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charmProjects\trade_persona\data\raw\"/>
    </mc:Choice>
  </mc:AlternateContent>
  <bookViews>
    <workbookView xWindow="0" yWindow="0" windowWidth="24000" windowHeight="8385"/>
  </bookViews>
  <sheets>
    <sheet name="All" sheetId="1" r:id="rId1"/>
    <sheet name="Industry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L4516" i="1" l="1"/>
  <c r="AL4515" i="1"/>
  <c r="AL4514" i="1"/>
  <c r="AL4513" i="1"/>
  <c r="AL4512" i="1"/>
  <c r="AL4511" i="1"/>
  <c r="AL4510" i="1"/>
  <c r="AL4509" i="1"/>
  <c r="AL4508" i="1"/>
  <c r="AL4507" i="1"/>
  <c r="AL4506" i="1"/>
  <c r="AL4505" i="1"/>
  <c r="AL4504" i="1"/>
  <c r="AL4503" i="1"/>
  <c r="AL4502" i="1"/>
  <c r="AL4501" i="1"/>
  <c r="AL4500" i="1"/>
  <c r="AL4499" i="1"/>
  <c r="AL4498" i="1"/>
  <c r="AL4497" i="1"/>
  <c r="AL4496" i="1"/>
  <c r="AL4495" i="1"/>
  <c r="AL4494" i="1"/>
  <c r="AL4493" i="1"/>
  <c r="AL4492" i="1"/>
  <c r="AL4491" i="1"/>
  <c r="AL4490" i="1"/>
  <c r="AL4489" i="1"/>
  <c r="AL4488" i="1"/>
  <c r="AL4487" i="1"/>
  <c r="AL4486" i="1"/>
  <c r="AL4485" i="1"/>
  <c r="AL4484" i="1"/>
  <c r="AL4483" i="1"/>
  <c r="AL4482" i="1"/>
  <c r="AL4481" i="1"/>
  <c r="AL4480" i="1"/>
  <c r="AL4479" i="1"/>
  <c r="AL4478" i="1"/>
  <c r="AL4477" i="1"/>
  <c r="AL4476" i="1"/>
  <c r="AL4475" i="1"/>
  <c r="AL4474" i="1"/>
  <c r="AL4473" i="1"/>
  <c r="AL4472" i="1"/>
  <c r="AL4471" i="1"/>
  <c r="AL4470" i="1"/>
  <c r="AL4469" i="1"/>
  <c r="AL4468" i="1"/>
  <c r="AL4467" i="1"/>
  <c r="AL4466" i="1"/>
  <c r="AL4465" i="1"/>
  <c r="AL4464" i="1"/>
  <c r="AL4463" i="1"/>
  <c r="AL4462" i="1"/>
  <c r="AL4461" i="1"/>
  <c r="AL4460" i="1"/>
  <c r="AL4459" i="1"/>
  <c r="AL4458" i="1"/>
  <c r="AL4457" i="1"/>
  <c r="AL4456" i="1"/>
  <c r="AL4455" i="1"/>
  <c r="AL4454" i="1"/>
  <c r="AL4453" i="1"/>
  <c r="AL4452" i="1"/>
  <c r="AL4451" i="1"/>
  <c r="AL4450" i="1"/>
  <c r="AL4449" i="1"/>
  <c r="AL4448" i="1"/>
  <c r="AL4447" i="1"/>
  <c r="AL4446" i="1"/>
  <c r="AL4445" i="1"/>
  <c r="AL4444" i="1"/>
  <c r="AL4443" i="1"/>
  <c r="AL4442" i="1"/>
  <c r="AL4441" i="1"/>
  <c r="AL4440" i="1"/>
  <c r="AL4439" i="1"/>
  <c r="AL4438" i="1"/>
  <c r="AL4437" i="1"/>
  <c r="AL4436" i="1"/>
  <c r="AL4435" i="1"/>
  <c r="AL4434" i="1"/>
  <c r="AL4433" i="1"/>
  <c r="AL4432" i="1"/>
  <c r="AL4431" i="1"/>
  <c r="AL4430" i="1"/>
  <c r="AL4429" i="1"/>
  <c r="AL4428" i="1"/>
  <c r="AL4427" i="1"/>
  <c r="AL4426" i="1"/>
  <c r="AL4425" i="1"/>
  <c r="AL4424" i="1"/>
  <c r="AL4423" i="1"/>
  <c r="AL4422" i="1"/>
  <c r="AL4421" i="1"/>
  <c r="AL4420" i="1"/>
  <c r="AL4419" i="1"/>
  <c r="AL4418" i="1"/>
  <c r="AL4417" i="1"/>
  <c r="AL4416" i="1"/>
  <c r="AL4415" i="1"/>
  <c r="AL4414" i="1"/>
  <c r="AL4413" i="1"/>
  <c r="AL4412" i="1"/>
  <c r="AL4411" i="1"/>
  <c r="AL4410" i="1"/>
  <c r="AL4409" i="1"/>
  <c r="AL4408" i="1"/>
  <c r="AL4407" i="1"/>
  <c r="AL4406" i="1"/>
  <c r="AL4405" i="1"/>
  <c r="AL4404" i="1"/>
  <c r="AL4403" i="1"/>
  <c r="AL4402" i="1"/>
  <c r="AL4401" i="1"/>
  <c r="AL4400" i="1"/>
  <c r="AL4399" i="1"/>
  <c r="AL4398" i="1"/>
  <c r="AL4397" i="1"/>
  <c r="AL4396" i="1"/>
  <c r="AL4395" i="1"/>
  <c r="AL4394" i="1"/>
  <c r="AL4393" i="1"/>
  <c r="AL4392" i="1"/>
  <c r="AL4391" i="1"/>
  <c r="AL4390" i="1"/>
  <c r="AL4389" i="1"/>
  <c r="AL4388" i="1"/>
  <c r="AL4387" i="1"/>
  <c r="AL4386" i="1"/>
  <c r="AL4385" i="1"/>
  <c r="AL4384" i="1"/>
  <c r="AL4383" i="1"/>
  <c r="AL4382" i="1"/>
  <c r="AL4381" i="1"/>
  <c r="AL4380" i="1"/>
  <c r="AL4379" i="1"/>
  <c r="AL4378" i="1"/>
  <c r="AL4377" i="1"/>
  <c r="AL4376" i="1"/>
  <c r="AL4375" i="1"/>
  <c r="AL4374" i="1"/>
  <c r="AL4373" i="1"/>
  <c r="AL4372" i="1"/>
  <c r="AL4371" i="1"/>
  <c r="AL4370" i="1"/>
  <c r="AL4369" i="1"/>
  <c r="AL4368" i="1"/>
  <c r="AL4367" i="1"/>
  <c r="AL4366" i="1"/>
  <c r="AL4365" i="1"/>
  <c r="AL4364" i="1"/>
  <c r="AL4363" i="1"/>
  <c r="AL4362" i="1"/>
  <c r="AL4361" i="1"/>
  <c r="AL4360" i="1"/>
  <c r="AL4359" i="1"/>
  <c r="AL4358" i="1"/>
  <c r="AL4357" i="1"/>
  <c r="AL4356" i="1"/>
  <c r="AL4355" i="1"/>
  <c r="AL4354" i="1"/>
  <c r="AL4353" i="1"/>
  <c r="AL4352" i="1"/>
  <c r="AL4351" i="1"/>
  <c r="AL4350" i="1"/>
  <c r="AL4349" i="1"/>
  <c r="AL4348" i="1"/>
  <c r="AL4347" i="1"/>
  <c r="AL4346" i="1"/>
  <c r="AL4345" i="1"/>
  <c r="AL4344" i="1"/>
  <c r="AL4343" i="1"/>
  <c r="AL4342" i="1"/>
  <c r="AL4341" i="1"/>
  <c r="AL4340" i="1"/>
  <c r="AL4339" i="1"/>
  <c r="AL4338" i="1"/>
  <c r="AL4337" i="1"/>
  <c r="AL4336" i="1"/>
  <c r="AL4335" i="1"/>
  <c r="AL4334" i="1"/>
  <c r="AL4333" i="1"/>
  <c r="AL4332" i="1"/>
  <c r="AL4331" i="1"/>
  <c r="AL4330" i="1"/>
  <c r="AL4329" i="1"/>
  <c r="AL4328" i="1"/>
  <c r="AL4327" i="1"/>
  <c r="AL4326" i="1"/>
  <c r="AL4325" i="1"/>
  <c r="AL4324" i="1"/>
  <c r="AL4323" i="1"/>
  <c r="AL4322" i="1"/>
  <c r="AL4321" i="1"/>
  <c r="AL4320" i="1"/>
  <c r="AL4319" i="1"/>
  <c r="AL4318" i="1"/>
  <c r="AL4317" i="1"/>
  <c r="AL4316" i="1"/>
  <c r="AL4315" i="1"/>
  <c r="AL4314" i="1"/>
  <c r="AL4313" i="1"/>
  <c r="AL4312" i="1"/>
  <c r="AL4311" i="1"/>
  <c r="AL4310" i="1"/>
  <c r="AL4309" i="1"/>
  <c r="AL4308" i="1"/>
  <c r="AL4307" i="1"/>
  <c r="AL4306" i="1"/>
  <c r="AL4305" i="1"/>
  <c r="AL4304" i="1"/>
  <c r="AL4303" i="1"/>
  <c r="AL4302" i="1"/>
  <c r="AL4301" i="1"/>
  <c r="AL4300" i="1"/>
  <c r="AL4299" i="1"/>
  <c r="AL4298" i="1"/>
  <c r="AL4297" i="1"/>
  <c r="AL4296" i="1"/>
  <c r="AL4295" i="1"/>
  <c r="AL4294" i="1"/>
  <c r="AL4293" i="1"/>
  <c r="AL4292" i="1"/>
  <c r="AL4291" i="1"/>
  <c r="AL4290" i="1"/>
  <c r="AL4289" i="1"/>
  <c r="AL4288" i="1"/>
  <c r="AL4287" i="1"/>
  <c r="AL4286" i="1"/>
  <c r="AL4285" i="1"/>
  <c r="AL4284" i="1"/>
  <c r="AL4283" i="1"/>
  <c r="AL4282" i="1"/>
  <c r="AL4281" i="1"/>
  <c r="AL4280" i="1"/>
  <c r="AL4279" i="1"/>
  <c r="AL4278" i="1"/>
  <c r="AL4277" i="1"/>
  <c r="AL4276" i="1"/>
  <c r="AL4275" i="1"/>
  <c r="AL4274" i="1"/>
  <c r="AL4273" i="1"/>
  <c r="AL4272" i="1"/>
  <c r="AL4271" i="1"/>
  <c r="AL4270" i="1"/>
  <c r="AL4269" i="1"/>
  <c r="AL4268" i="1"/>
  <c r="AL4267" i="1"/>
  <c r="AL4266" i="1"/>
  <c r="AL4265" i="1"/>
  <c r="AL4264" i="1"/>
  <c r="AL4263" i="1"/>
  <c r="AL4262" i="1"/>
  <c r="AL4261" i="1"/>
  <c r="AL4260" i="1"/>
  <c r="AL4259" i="1"/>
  <c r="AL4258" i="1"/>
  <c r="AL4257" i="1"/>
  <c r="AL4256" i="1"/>
  <c r="AL4255" i="1"/>
  <c r="AL4254" i="1"/>
  <c r="AL4253" i="1"/>
  <c r="AL4252" i="1"/>
  <c r="AL4251" i="1"/>
  <c r="AL4250" i="1"/>
  <c r="AL4249" i="1"/>
  <c r="AL4248" i="1"/>
  <c r="AL4247" i="1"/>
  <c r="AL4246" i="1"/>
  <c r="AL4245" i="1"/>
  <c r="AL4244" i="1"/>
  <c r="AL4243" i="1"/>
  <c r="AL4242" i="1"/>
  <c r="AL4241" i="1"/>
  <c r="AL4240" i="1"/>
  <c r="AL4239" i="1"/>
  <c r="AL4238" i="1"/>
  <c r="AL4237" i="1"/>
  <c r="AL4236" i="1"/>
  <c r="AL4235" i="1"/>
  <c r="AL4234" i="1"/>
  <c r="AL4233" i="1"/>
  <c r="AL4232" i="1"/>
  <c r="AL4231" i="1"/>
  <c r="AL4230" i="1"/>
  <c r="AL4229" i="1"/>
  <c r="AL4228" i="1"/>
  <c r="AL4227" i="1"/>
  <c r="AL4226" i="1"/>
  <c r="AL4225" i="1"/>
  <c r="AL4224" i="1"/>
  <c r="AL4223" i="1"/>
  <c r="AL4222" i="1"/>
  <c r="AL4221" i="1"/>
  <c r="AL4220" i="1"/>
  <c r="AL4219" i="1"/>
  <c r="AL4218" i="1"/>
  <c r="AL4217" i="1"/>
  <c r="AL4216" i="1"/>
  <c r="AL4215" i="1"/>
  <c r="AL4214" i="1"/>
  <c r="AL4213" i="1"/>
  <c r="AL4212" i="1"/>
  <c r="AL4211" i="1"/>
  <c r="AL4210" i="1"/>
  <c r="AL4209" i="1"/>
  <c r="AL4208" i="1"/>
  <c r="AL4207" i="1"/>
  <c r="AL4206" i="1"/>
  <c r="AL4205" i="1"/>
  <c r="AL4204" i="1"/>
  <c r="AL4203" i="1"/>
  <c r="AL4202" i="1"/>
  <c r="AL4201" i="1"/>
  <c r="AL4200" i="1"/>
  <c r="AL4199" i="1"/>
  <c r="AL4198" i="1"/>
  <c r="AL4197" i="1"/>
  <c r="AL4196" i="1"/>
  <c r="AL4195" i="1"/>
  <c r="AL4194" i="1"/>
  <c r="AL4193" i="1"/>
  <c r="AL4192" i="1"/>
  <c r="AL4191" i="1"/>
  <c r="AL4190" i="1"/>
  <c r="AL4189" i="1"/>
  <c r="AL4188" i="1"/>
  <c r="AL4187" i="1"/>
  <c r="AL4186" i="1"/>
  <c r="AL4185" i="1"/>
  <c r="AL4184" i="1"/>
  <c r="AL4183" i="1"/>
  <c r="AL4182" i="1"/>
  <c r="AL4181" i="1"/>
  <c r="AL4180" i="1"/>
  <c r="AL4179" i="1"/>
  <c r="AL4178" i="1"/>
  <c r="AL4177" i="1"/>
  <c r="AL4176" i="1"/>
  <c r="AL4175" i="1"/>
  <c r="AL4174" i="1"/>
  <c r="AL4173" i="1"/>
  <c r="AL4172" i="1"/>
  <c r="AL4171" i="1"/>
  <c r="AL4170" i="1"/>
  <c r="AL4169" i="1"/>
  <c r="AL4168" i="1"/>
  <c r="AL4167" i="1"/>
  <c r="AL4166" i="1"/>
  <c r="AL4165" i="1"/>
  <c r="AL4164" i="1"/>
  <c r="AL4163" i="1"/>
  <c r="AL4162" i="1"/>
  <c r="AL4161" i="1"/>
  <c r="AL4160" i="1"/>
  <c r="AL4159" i="1"/>
  <c r="AL4158" i="1"/>
  <c r="AL4157" i="1"/>
  <c r="AL4156" i="1"/>
  <c r="AL4155" i="1"/>
  <c r="AL4154" i="1"/>
  <c r="AL4153" i="1"/>
  <c r="AL4152" i="1"/>
  <c r="AL4151" i="1"/>
  <c r="AL4150" i="1"/>
  <c r="AL4149" i="1"/>
  <c r="AL4148" i="1"/>
  <c r="AL4147" i="1"/>
  <c r="AL4146" i="1"/>
  <c r="AL4145" i="1"/>
  <c r="AL4144" i="1"/>
  <c r="AL4143" i="1"/>
  <c r="AL4142" i="1"/>
  <c r="AL4141" i="1"/>
  <c r="AL4140" i="1"/>
  <c r="AL4139" i="1"/>
  <c r="AL4138" i="1"/>
  <c r="AL4137" i="1"/>
  <c r="AL4136" i="1"/>
  <c r="AL4135" i="1"/>
  <c r="AL4134" i="1"/>
  <c r="AL4133" i="1"/>
  <c r="AL4132" i="1"/>
  <c r="AL4131" i="1"/>
  <c r="AL4130" i="1"/>
  <c r="AL4129" i="1"/>
  <c r="AL4128" i="1"/>
  <c r="AL4127" i="1"/>
  <c r="AL4126" i="1"/>
  <c r="AL4125" i="1"/>
  <c r="AL4124" i="1"/>
  <c r="AL4123" i="1"/>
  <c r="AL4122" i="1"/>
  <c r="AL4121" i="1"/>
  <c r="AL4120" i="1"/>
  <c r="AL4119" i="1"/>
  <c r="AL4118" i="1"/>
  <c r="AL4117" i="1"/>
  <c r="AL4116" i="1"/>
  <c r="AL4115" i="1"/>
  <c r="AL4114" i="1"/>
  <c r="AL4113" i="1"/>
  <c r="AL4112" i="1"/>
  <c r="AL4111" i="1"/>
  <c r="AL4110" i="1"/>
  <c r="AL4109" i="1"/>
  <c r="AL4108" i="1"/>
  <c r="AL4107" i="1"/>
  <c r="AL4106" i="1"/>
  <c r="AL4105" i="1"/>
  <c r="AL4104" i="1"/>
  <c r="AL4103" i="1"/>
  <c r="AL4102" i="1"/>
  <c r="AL4101" i="1"/>
  <c r="AL4100" i="1"/>
  <c r="AL4099" i="1"/>
  <c r="AL4098" i="1"/>
  <c r="AL4097" i="1"/>
  <c r="AL4096" i="1"/>
  <c r="AL4095" i="1"/>
  <c r="AL4094" i="1"/>
  <c r="AL4093" i="1"/>
  <c r="AL4092" i="1"/>
  <c r="AL4091" i="1"/>
  <c r="AL4090" i="1"/>
  <c r="AL4089" i="1"/>
  <c r="AL4088" i="1"/>
  <c r="AL4087" i="1"/>
  <c r="AL4086" i="1"/>
  <c r="AL4085" i="1"/>
  <c r="AL4084" i="1"/>
  <c r="AL4083" i="1"/>
  <c r="AL4082" i="1"/>
  <c r="AL4081" i="1"/>
  <c r="AL4080" i="1"/>
  <c r="AL4079" i="1"/>
  <c r="AL4078" i="1"/>
  <c r="AL4077" i="1"/>
  <c r="AL4076" i="1"/>
  <c r="AL4075" i="1"/>
  <c r="AL4074" i="1"/>
  <c r="AL4073" i="1"/>
  <c r="AL4072" i="1"/>
  <c r="AL4071" i="1"/>
  <c r="AL4070" i="1"/>
  <c r="AL4069" i="1"/>
  <c r="AL4068" i="1"/>
  <c r="AL4067" i="1"/>
  <c r="AL4066" i="1"/>
  <c r="AL4065" i="1"/>
  <c r="AL4064" i="1"/>
  <c r="AL4063" i="1"/>
  <c r="AL4062" i="1"/>
  <c r="AL4061" i="1"/>
  <c r="AL4060" i="1"/>
  <c r="AL4059" i="1"/>
  <c r="AL4058" i="1"/>
  <c r="AL4057" i="1"/>
  <c r="AL4056" i="1"/>
  <c r="AL4055" i="1"/>
  <c r="AL4054" i="1"/>
  <c r="AL4053" i="1"/>
  <c r="AL4052" i="1"/>
  <c r="AL4051" i="1"/>
  <c r="AL4050" i="1"/>
  <c r="AL4049" i="1"/>
  <c r="AL4048" i="1"/>
  <c r="AL4047" i="1"/>
  <c r="AL4046" i="1"/>
  <c r="AL4045" i="1"/>
  <c r="AL4044" i="1"/>
  <c r="AL4043" i="1"/>
  <c r="AL4042" i="1"/>
  <c r="AL4041" i="1"/>
  <c r="AL4040" i="1"/>
  <c r="AL4039" i="1"/>
  <c r="AL4038" i="1"/>
  <c r="AL4037" i="1"/>
  <c r="AL4036" i="1"/>
  <c r="AL4035" i="1"/>
  <c r="AL4034" i="1"/>
  <c r="AL4033" i="1"/>
  <c r="AL4032" i="1"/>
  <c r="AL4031" i="1"/>
  <c r="AL4030" i="1"/>
  <c r="AL4029" i="1"/>
  <c r="AL4028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3" i="1"/>
  <c r="AL4012" i="1"/>
  <c r="AL4011" i="1"/>
  <c r="AL4010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AL3953" i="1"/>
  <c r="AL3952" i="1"/>
  <c r="AL3951" i="1"/>
  <c r="AL3950" i="1"/>
  <c r="AL3949" i="1"/>
  <c r="AL3948" i="1"/>
  <c r="AL3947" i="1"/>
  <c r="AL3946" i="1"/>
  <c r="AL3945" i="1"/>
  <c r="AL3944" i="1"/>
  <c r="AL3943" i="1"/>
  <c r="AL3942" i="1"/>
  <c r="AL3941" i="1"/>
  <c r="AL3940" i="1"/>
  <c r="AL3939" i="1"/>
  <c r="AL3938" i="1"/>
  <c r="AL3937" i="1"/>
  <c r="AL3936" i="1"/>
  <c r="AL3935" i="1"/>
  <c r="AL3934" i="1"/>
  <c r="AL3933" i="1"/>
  <c r="AL3932" i="1"/>
  <c r="AL3931" i="1"/>
  <c r="AL3930" i="1"/>
  <c r="AL3929" i="1"/>
  <c r="AL3928" i="1"/>
  <c r="AL3927" i="1"/>
  <c r="AL3926" i="1"/>
  <c r="AL3925" i="1"/>
  <c r="AL3924" i="1"/>
  <c r="AL3923" i="1"/>
  <c r="AL3922" i="1"/>
  <c r="AL3921" i="1"/>
  <c r="AL3920" i="1"/>
  <c r="AL3919" i="1"/>
  <c r="AL3918" i="1"/>
  <c r="AL3917" i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9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L3881" i="1"/>
  <c r="AL3880" i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L3863" i="1"/>
  <c r="AL3862" i="1"/>
  <c r="AL3861" i="1"/>
  <c r="AL3860" i="1"/>
  <c r="AL3859" i="1"/>
  <c r="AL3858" i="1"/>
  <c r="AL3857" i="1"/>
  <c r="AL3856" i="1"/>
  <c r="AL3855" i="1"/>
  <c r="AL3854" i="1"/>
  <c r="AL3853" i="1"/>
  <c r="AL3852" i="1"/>
  <c r="AL3851" i="1"/>
  <c r="AL3850" i="1"/>
  <c r="AL3849" i="1"/>
  <c r="AL3848" i="1"/>
  <c r="AL3847" i="1"/>
  <c r="AL3846" i="1"/>
  <c r="AL3845" i="1"/>
  <c r="AL3844" i="1"/>
  <c r="AL3843" i="1"/>
  <c r="AL3842" i="1"/>
  <c r="AL3841" i="1"/>
  <c r="AL3840" i="1"/>
  <c r="AL3839" i="1"/>
  <c r="AL3838" i="1"/>
  <c r="AL3837" i="1"/>
  <c r="AL3836" i="1"/>
  <c r="AL3835" i="1"/>
  <c r="AL3834" i="1"/>
  <c r="AL3833" i="1"/>
  <c r="AL3832" i="1"/>
  <c r="AL3831" i="1"/>
  <c r="AL3830" i="1"/>
  <c r="AL3829" i="1"/>
  <c r="AL3828" i="1"/>
  <c r="AL3827" i="1"/>
  <c r="AL3826" i="1"/>
  <c r="AL3825" i="1"/>
  <c r="AL3824" i="1"/>
  <c r="AL3823" i="1"/>
  <c r="AL3822" i="1"/>
  <c r="AL3821" i="1"/>
  <c r="AL3820" i="1"/>
  <c r="AL3819" i="1"/>
  <c r="AL3818" i="1"/>
  <c r="AL3817" i="1"/>
  <c r="AL3816" i="1"/>
  <c r="AL3815" i="1"/>
  <c r="AL3814" i="1"/>
  <c r="AL3813" i="1"/>
  <c r="AL3812" i="1"/>
  <c r="AL3811" i="1"/>
  <c r="AL3810" i="1"/>
  <c r="AL3809" i="1"/>
  <c r="AL3808" i="1"/>
  <c r="AL3807" i="1"/>
  <c r="AL3806" i="1"/>
  <c r="AL3805" i="1"/>
  <c r="AL3804" i="1"/>
  <c r="AL3803" i="1"/>
  <c r="AL3802" i="1"/>
  <c r="AL3801" i="1"/>
  <c r="AL3800" i="1"/>
  <c r="AL3799" i="1"/>
  <c r="AL3798" i="1"/>
  <c r="AL3797" i="1"/>
  <c r="AL3796" i="1"/>
  <c r="AL3795" i="1"/>
  <c r="AL3794" i="1"/>
  <c r="AL3793" i="1"/>
  <c r="AL3792" i="1"/>
  <c r="AL3791" i="1"/>
  <c r="AL3790" i="1"/>
  <c r="AL3789" i="1"/>
  <c r="AL3788" i="1"/>
  <c r="AL3787" i="1"/>
  <c r="AL3786" i="1"/>
  <c r="AL3785" i="1"/>
  <c r="AL3784" i="1"/>
  <c r="AL3783" i="1"/>
  <c r="AL3782" i="1"/>
  <c r="AL3781" i="1"/>
  <c r="AL3780" i="1"/>
  <c r="AL3779" i="1"/>
  <c r="AL3778" i="1"/>
  <c r="AL3777" i="1"/>
  <c r="AL3776" i="1"/>
  <c r="AL3775" i="1"/>
  <c r="AL3774" i="1"/>
  <c r="AL3773" i="1"/>
  <c r="AL3772" i="1"/>
  <c r="AL3771" i="1"/>
  <c r="AL3770" i="1"/>
  <c r="AL3769" i="1"/>
  <c r="AL3768" i="1"/>
  <c r="AL3767" i="1"/>
  <c r="AL3766" i="1"/>
  <c r="AL3765" i="1"/>
  <c r="AL3764" i="1"/>
  <c r="AL3763" i="1"/>
  <c r="AL3762" i="1"/>
  <c r="AL3761" i="1"/>
  <c r="AL3760" i="1"/>
  <c r="AL3759" i="1"/>
  <c r="AL3758" i="1"/>
  <c r="AL3757" i="1"/>
  <c r="AL3756" i="1"/>
  <c r="AL3755" i="1"/>
  <c r="AL3754" i="1"/>
  <c r="AL3753" i="1"/>
  <c r="AL3752" i="1"/>
  <c r="AL3751" i="1"/>
  <c r="AL3750" i="1"/>
  <c r="AL3749" i="1"/>
  <c r="AL3748" i="1"/>
  <c r="AL3747" i="1"/>
  <c r="AL3746" i="1"/>
  <c r="AL3745" i="1"/>
  <c r="AL3744" i="1"/>
  <c r="AL3743" i="1"/>
  <c r="AL3742" i="1"/>
  <c r="AL3741" i="1"/>
  <c r="AL3740" i="1"/>
  <c r="AL3739" i="1"/>
  <c r="AL3738" i="1"/>
  <c r="AL3737" i="1"/>
  <c r="AL3736" i="1"/>
  <c r="AL3735" i="1"/>
  <c r="AL3734" i="1"/>
  <c r="AL3733" i="1"/>
  <c r="AL3732" i="1"/>
  <c r="AL3731" i="1"/>
  <c r="AL3730" i="1"/>
  <c r="AL3729" i="1"/>
  <c r="AL3728" i="1"/>
  <c r="AL3727" i="1"/>
  <c r="AL3726" i="1"/>
  <c r="AL3725" i="1"/>
  <c r="AL3724" i="1"/>
  <c r="AL3723" i="1"/>
  <c r="AL3722" i="1"/>
  <c r="AL3721" i="1"/>
  <c r="AL3720" i="1"/>
  <c r="AL3719" i="1"/>
  <c r="AL3718" i="1"/>
  <c r="AL3717" i="1"/>
  <c r="AL3716" i="1"/>
  <c r="AL3715" i="1"/>
  <c r="AL3714" i="1"/>
  <c r="AL3713" i="1"/>
  <c r="AL3712" i="1"/>
  <c r="AL3711" i="1"/>
  <c r="AL3710" i="1"/>
  <c r="AL3709" i="1"/>
  <c r="AL3708" i="1"/>
  <c r="AL3707" i="1"/>
  <c r="AL3706" i="1"/>
  <c r="AL3705" i="1"/>
  <c r="AL3704" i="1"/>
  <c r="AL3703" i="1"/>
  <c r="AL3702" i="1"/>
  <c r="AL3701" i="1"/>
  <c r="AL3700" i="1"/>
  <c r="AL3699" i="1"/>
  <c r="AL3698" i="1"/>
  <c r="AL3697" i="1"/>
  <c r="AL3696" i="1"/>
  <c r="AL3695" i="1"/>
  <c r="AL3694" i="1"/>
  <c r="AL3693" i="1"/>
  <c r="AL3692" i="1"/>
  <c r="AL3691" i="1"/>
  <c r="AL3690" i="1"/>
  <c r="AL3689" i="1"/>
  <c r="AL3688" i="1"/>
  <c r="AL3687" i="1"/>
  <c r="AL3686" i="1"/>
  <c r="AL3685" i="1"/>
  <c r="AL3684" i="1"/>
  <c r="AL3683" i="1"/>
  <c r="AL3682" i="1"/>
  <c r="AL3681" i="1"/>
  <c r="AL3680" i="1"/>
  <c r="AL3679" i="1"/>
  <c r="AL3678" i="1"/>
  <c r="AL3677" i="1"/>
  <c r="AL3676" i="1"/>
  <c r="AL3675" i="1"/>
  <c r="AL3674" i="1"/>
  <c r="AL3673" i="1"/>
  <c r="AL3672" i="1"/>
  <c r="AL3671" i="1"/>
  <c r="AL3670" i="1"/>
  <c r="AL3669" i="1"/>
  <c r="AL3668" i="1"/>
  <c r="AL3667" i="1"/>
  <c r="AL3666" i="1"/>
  <c r="AL3665" i="1"/>
  <c r="AL3664" i="1"/>
  <c r="AL3663" i="1"/>
  <c r="AL3662" i="1"/>
  <c r="AL3661" i="1"/>
  <c r="AL3660" i="1"/>
  <c r="AL3659" i="1"/>
  <c r="AL3658" i="1"/>
  <c r="AL3657" i="1"/>
  <c r="AL3656" i="1"/>
  <c r="AL3655" i="1"/>
  <c r="AL3654" i="1"/>
  <c r="AL3653" i="1"/>
  <c r="AL3652" i="1"/>
  <c r="AL3651" i="1"/>
  <c r="AL3650" i="1"/>
  <c r="AL3649" i="1"/>
  <c r="AL3648" i="1"/>
  <c r="AL3647" i="1"/>
  <c r="AL3646" i="1"/>
  <c r="AL3645" i="1"/>
  <c r="AL3644" i="1"/>
  <c r="AL3643" i="1"/>
  <c r="AL3642" i="1"/>
  <c r="AL3641" i="1"/>
  <c r="AL3640" i="1"/>
  <c r="AL3639" i="1"/>
  <c r="AL3638" i="1"/>
  <c r="AL3637" i="1"/>
  <c r="AL3636" i="1"/>
  <c r="AL3635" i="1"/>
  <c r="AL3634" i="1"/>
  <c r="AL3633" i="1"/>
  <c r="AL3632" i="1"/>
  <c r="AL3631" i="1"/>
  <c r="AL3630" i="1"/>
  <c r="AL3629" i="1"/>
  <c r="AL3628" i="1"/>
  <c r="AL3627" i="1"/>
  <c r="AL3626" i="1"/>
  <c r="AL3625" i="1"/>
  <c r="AL3624" i="1"/>
  <c r="AL3623" i="1"/>
  <c r="AL3622" i="1"/>
  <c r="AL3621" i="1"/>
  <c r="AL3620" i="1"/>
  <c r="AL3619" i="1"/>
  <c r="AL3618" i="1"/>
  <c r="AL3617" i="1"/>
  <c r="AL3616" i="1"/>
  <c r="AL3615" i="1"/>
  <c r="AL3614" i="1"/>
  <c r="AL3613" i="1"/>
  <c r="AL3612" i="1"/>
  <c r="AL3611" i="1"/>
  <c r="AL3610" i="1"/>
  <c r="AL3609" i="1"/>
  <c r="AL3608" i="1"/>
  <c r="AL3607" i="1"/>
  <c r="AL3606" i="1"/>
  <c r="AL3605" i="1"/>
  <c r="AL3604" i="1"/>
  <c r="AL3603" i="1"/>
  <c r="AL3602" i="1"/>
  <c r="AL3601" i="1"/>
  <c r="AL3600" i="1"/>
  <c r="AL3599" i="1"/>
  <c r="AL3598" i="1"/>
  <c r="AL3597" i="1"/>
  <c r="AL3596" i="1"/>
  <c r="AL3595" i="1"/>
  <c r="AL3594" i="1"/>
  <c r="AL3593" i="1"/>
  <c r="AL3592" i="1"/>
  <c r="AL3591" i="1"/>
  <c r="AL3590" i="1"/>
  <c r="AL3589" i="1"/>
  <c r="AL3588" i="1"/>
  <c r="AL3587" i="1"/>
  <c r="AL3586" i="1"/>
  <c r="AL3585" i="1"/>
  <c r="AL3584" i="1"/>
  <c r="AL3583" i="1"/>
  <c r="AL3582" i="1"/>
  <c r="AL3581" i="1"/>
  <c r="AL3580" i="1"/>
  <c r="AL3579" i="1"/>
  <c r="AL3578" i="1"/>
  <c r="AL3577" i="1"/>
  <c r="AL3576" i="1"/>
  <c r="AL3575" i="1"/>
  <c r="AL3574" i="1"/>
  <c r="AL3573" i="1"/>
  <c r="AL3572" i="1"/>
  <c r="AL3571" i="1"/>
  <c r="AL3570" i="1"/>
  <c r="AL3569" i="1"/>
  <c r="AL3568" i="1"/>
  <c r="AL3567" i="1"/>
  <c r="AL3566" i="1"/>
  <c r="AL3565" i="1"/>
  <c r="AL3564" i="1"/>
  <c r="AL3563" i="1"/>
  <c r="AL3562" i="1"/>
  <c r="AL3561" i="1"/>
  <c r="AL3560" i="1"/>
  <c r="AL3559" i="1"/>
  <c r="AL3558" i="1"/>
  <c r="AL3557" i="1"/>
  <c r="AL3556" i="1"/>
  <c r="AL3555" i="1"/>
  <c r="AL3554" i="1"/>
  <c r="AL3553" i="1"/>
  <c r="AL3552" i="1"/>
  <c r="AL3551" i="1"/>
  <c r="AL3550" i="1"/>
  <c r="AL3549" i="1"/>
  <c r="AL3548" i="1"/>
  <c r="AL3547" i="1"/>
  <c r="AL3546" i="1"/>
  <c r="AL3545" i="1"/>
  <c r="AL3544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3003" i="1"/>
  <c r="AL3002" i="1"/>
  <c r="AL3001" i="1"/>
  <c r="AL3000" i="1"/>
  <c r="AL2999" i="1"/>
  <c r="AL2998" i="1"/>
  <c r="AL2997" i="1"/>
  <c r="AL2996" i="1"/>
  <c r="AL2995" i="1"/>
  <c r="AL2994" i="1"/>
  <c r="AL2993" i="1"/>
  <c r="AL2992" i="1"/>
  <c r="AL2991" i="1"/>
  <c r="AL2990" i="1"/>
  <c r="AL2989" i="1"/>
  <c r="AL2988" i="1"/>
  <c r="AL2987" i="1"/>
  <c r="AL2986" i="1"/>
  <c r="AL2985" i="1"/>
  <c r="AL2984" i="1"/>
  <c r="AL2983" i="1"/>
  <c r="AL2982" i="1"/>
  <c r="AL2981" i="1"/>
  <c r="AL2980" i="1"/>
  <c r="AL2979" i="1"/>
  <c r="AL2978" i="1"/>
  <c r="AL2977" i="1"/>
  <c r="AL2976" i="1"/>
  <c r="AL2975" i="1"/>
  <c r="AL2974" i="1"/>
  <c r="AL2973" i="1"/>
  <c r="AL2972" i="1"/>
  <c r="AL2971" i="1"/>
  <c r="AL2970" i="1"/>
  <c r="AL2969" i="1"/>
  <c r="AL2968" i="1"/>
  <c r="AL2967" i="1"/>
  <c r="AL2966" i="1"/>
  <c r="AL2965" i="1"/>
  <c r="AL2964" i="1"/>
  <c r="AL2963" i="1"/>
  <c r="AL2962" i="1"/>
  <c r="AL2961" i="1"/>
  <c r="AL2960" i="1"/>
  <c r="AL2959" i="1"/>
  <c r="AL2958" i="1"/>
  <c r="AL2957" i="1"/>
  <c r="AL2956" i="1"/>
  <c r="AL2955" i="1"/>
  <c r="AL2954" i="1"/>
  <c r="AL2953" i="1"/>
  <c r="AL2952" i="1"/>
  <c r="AL2951" i="1"/>
  <c r="AL2950" i="1"/>
  <c r="AL2949" i="1"/>
  <c r="AL2948" i="1"/>
  <c r="AL2947" i="1"/>
  <c r="AL2946" i="1"/>
  <c r="AL2945" i="1"/>
  <c r="AL2944" i="1"/>
  <c r="AL2943" i="1"/>
  <c r="AL2942" i="1"/>
  <c r="AL2941" i="1"/>
  <c r="AL2940" i="1"/>
  <c r="AL2939" i="1"/>
  <c r="AL2938" i="1"/>
  <c r="AL2937" i="1"/>
  <c r="AL2936" i="1"/>
  <c r="AL2935" i="1"/>
  <c r="AL2934" i="1"/>
  <c r="AL2933" i="1"/>
  <c r="AL2932" i="1"/>
  <c r="AL2931" i="1"/>
  <c r="AL2930" i="1"/>
  <c r="AL2929" i="1"/>
  <c r="AL2928" i="1"/>
  <c r="AL2927" i="1"/>
  <c r="AL2926" i="1"/>
  <c r="AL2925" i="1"/>
  <c r="AL2924" i="1"/>
  <c r="AL2923" i="1"/>
  <c r="AL2922" i="1"/>
  <c r="AL2921" i="1"/>
  <c r="AL2920" i="1"/>
  <c r="AL2919" i="1"/>
  <c r="AL2918" i="1"/>
  <c r="AL2917" i="1"/>
  <c r="AL2916" i="1"/>
  <c r="AL2915" i="1"/>
  <c r="AL2914" i="1"/>
  <c r="AL2913" i="1"/>
  <c r="AL2912" i="1"/>
  <c r="AL2911" i="1"/>
  <c r="AL2910" i="1"/>
  <c r="AL2909" i="1"/>
  <c r="AL2908" i="1"/>
  <c r="AL2907" i="1"/>
  <c r="AL2906" i="1"/>
  <c r="AL2905" i="1"/>
  <c r="AL2904" i="1"/>
  <c r="AL2903" i="1"/>
  <c r="AL2902" i="1"/>
  <c r="AL2901" i="1"/>
  <c r="AL2900" i="1"/>
  <c r="AL2899" i="1"/>
  <c r="AL2898" i="1"/>
  <c r="AL2897" i="1"/>
  <c r="AL2896" i="1"/>
  <c r="AL2895" i="1"/>
  <c r="AL2894" i="1"/>
  <c r="AL2893" i="1"/>
  <c r="AL2892" i="1"/>
  <c r="AL2891" i="1"/>
  <c r="AL2890" i="1"/>
  <c r="AL2889" i="1"/>
  <c r="AL2888" i="1"/>
  <c r="AL2887" i="1"/>
  <c r="AL2886" i="1"/>
  <c r="AL2885" i="1"/>
  <c r="AL2884" i="1"/>
  <c r="AL2883" i="1"/>
  <c r="AL2882" i="1"/>
  <c r="AL2881" i="1"/>
  <c r="AL2880" i="1"/>
  <c r="AL2879" i="1"/>
  <c r="AL2878" i="1"/>
  <c r="AL2877" i="1"/>
  <c r="AL2876" i="1"/>
  <c r="AL2875" i="1"/>
  <c r="AL2874" i="1"/>
  <c r="AL2873" i="1"/>
  <c r="AL2872" i="1"/>
  <c r="AL2871" i="1"/>
  <c r="AL2870" i="1"/>
  <c r="AL2869" i="1"/>
  <c r="AL2868" i="1"/>
  <c r="AL2867" i="1"/>
  <c r="AL2866" i="1"/>
  <c r="AL2865" i="1"/>
  <c r="AL2864" i="1"/>
  <c r="AL2863" i="1"/>
  <c r="AL2862" i="1"/>
  <c r="AL2861" i="1"/>
  <c r="AL2860" i="1"/>
  <c r="AL2859" i="1"/>
  <c r="AL2858" i="1"/>
  <c r="AL2857" i="1"/>
  <c r="AL2856" i="1"/>
  <c r="AL2855" i="1"/>
  <c r="AL2854" i="1"/>
  <c r="AL2853" i="1"/>
  <c r="AL2852" i="1"/>
  <c r="AL2851" i="1"/>
  <c r="AL2850" i="1"/>
  <c r="AL2849" i="1"/>
  <c r="AL2848" i="1"/>
  <c r="AL2847" i="1"/>
  <c r="AL2846" i="1"/>
  <c r="AL2845" i="1"/>
  <c r="AL2844" i="1"/>
  <c r="AL2843" i="1"/>
  <c r="AL2842" i="1"/>
  <c r="AL2841" i="1"/>
  <c r="AL2840" i="1"/>
  <c r="AL2839" i="1"/>
  <c r="AL2838" i="1"/>
  <c r="AL2837" i="1"/>
  <c r="AL2836" i="1"/>
  <c r="AL2835" i="1"/>
  <c r="AL2834" i="1"/>
  <c r="AL2833" i="1"/>
  <c r="AL2832" i="1"/>
  <c r="AL2831" i="1"/>
  <c r="AL2830" i="1"/>
  <c r="AL2829" i="1"/>
  <c r="AL2828" i="1"/>
  <c r="AL2827" i="1"/>
  <c r="AL2826" i="1"/>
  <c r="AL2825" i="1"/>
  <c r="AL2824" i="1"/>
  <c r="AL2823" i="1"/>
  <c r="AL2822" i="1"/>
  <c r="AL2821" i="1"/>
  <c r="AL2820" i="1"/>
  <c r="AL2819" i="1"/>
  <c r="AL2818" i="1"/>
  <c r="AL2817" i="1"/>
  <c r="AL2816" i="1"/>
  <c r="AL2815" i="1"/>
  <c r="AL2814" i="1"/>
  <c r="AL2813" i="1"/>
  <c r="AL2812" i="1"/>
  <c r="AL2811" i="1"/>
  <c r="AL2810" i="1"/>
  <c r="AL2809" i="1"/>
  <c r="AL2808" i="1"/>
  <c r="AL2807" i="1"/>
  <c r="AL2806" i="1"/>
  <c r="AL2805" i="1"/>
  <c r="AL2804" i="1"/>
  <c r="AL2803" i="1"/>
  <c r="AL2802" i="1"/>
  <c r="AL2801" i="1"/>
  <c r="AL2800" i="1"/>
  <c r="AL2799" i="1"/>
  <c r="AL2798" i="1"/>
  <c r="AL2797" i="1"/>
  <c r="AL2796" i="1"/>
  <c r="AL2795" i="1"/>
  <c r="AL2794" i="1"/>
  <c r="AL2793" i="1"/>
  <c r="AL2792" i="1"/>
  <c r="AL2791" i="1"/>
  <c r="AL2790" i="1"/>
  <c r="AL2789" i="1"/>
  <c r="AL2788" i="1"/>
  <c r="AL2787" i="1"/>
  <c r="AL2786" i="1"/>
  <c r="AL2785" i="1"/>
  <c r="AL2784" i="1"/>
  <c r="AL2783" i="1"/>
  <c r="AL2782" i="1"/>
  <c r="AL2781" i="1"/>
  <c r="AL2780" i="1"/>
  <c r="AL2779" i="1"/>
  <c r="AL2778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2749" i="1"/>
  <c r="AL2748" i="1"/>
  <c r="AL2747" i="1"/>
  <c r="AL2746" i="1"/>
  <c r="AL2745" i="1"/>
  <c r="AL2744" i="1"/>
  <c r="AL2743" i="1"/>
  <c r="AL2742" i="1"/>
  <c r="AL2741" i="1"/>
  <c r="AL2740" i="1"/>
  <c r="AL2739" i="1"/>
  <c r="AL2738" i="1"/>
  <c r="AL2737" i="1"/>
  <c r="AL2736" i="1"/>
  <c r="AL2735" i="1"/>
  <c r="AL2734" i="1"/>
  <c r="AL2733" i="1"/>
  <c r="AL2732" i="1"/>
  <c r="AL2731" i="1"/>
  <c r="AL2730" i="1"/>
  <c r="AL2729" i="1"/>
  <c r="AL2728" i="1"/>
  <c r="AL2727" i="1"/>
  <c r="AL2726" i="1"/>
  <c r="AL2725" i="1"/>
  <c r="AL2724" i="1"/>
  <c r="AL2723" i="1"/>
  <c r="AL2722" i="1"/>
  <c r="AL2721" i="1"/>
  <c r="AL2720" i="1"/>
  <c r="AL2719" i="1"/>
  <c r="AL2718" i="1"/>
  <c r="AL2717" i="1"/>
  <c r="AL2716" i="1"/>
  <c r="AL2715" i="1"/>
  <c r="AL2714" i="1"/>
  <c r="AL2713" i="1"/>
  <c r="AL2712" i="1"/>
  <c r="AL2711" i="1"/>
  <c r="AL2710" i="1"/>
  <c r="AL2709" i="1"/>
  <c r="AL2708" i="1"/>
  <c r="AL2707" i="1"/>
  <c r="AL2706" i="1"/>
  <c r="AL2705" i="1"/>
  <c r="AL2704" i="1"/>
  <c r="AL2703" i="1"/>
  <c r="AL2702" i="1"/>
  <c r="AL2701" i="1"/>
  <c r="AL2700" i="1"/>
  <c r="AL2699" i="1"/>
  <c r="AL2698" i="1"/>
  <c r="AL2697" i="1"/>
  <c r="AL2696" i="1"/>
  <c r="AL2695" i="1"/>
  <c r="AL2694" i="1"/>
  <c r="AL2693" i="1"/>
  <c r="AL2692" i="1"/>
  <c r="AL2691" i="1"/>
  <c r="AL2690" i="1"/>
  <c r="AL2689" i="1"/>
  <c r="AL2688" i="1"/>
  <c r="AL2687" i="1"/>
  <c r="AL2686" i="1"/>
  <c r="AL2685" i="1"/>
  <c r="AL2684" i="1"/>
  <c r="AL2683" i="1"/>
  <c r="AL2682" i="1"/>
  <c r="AL2681" i="1"/>
  <c r="AL2680" i="1"/>
  <c r="AL2679" i="1"/>
  <c r="AL2678" i="1"/>
  <c r="AL2677" i="1"/>
  <c r="AL2676" i="1"/>
  <c r="AL2675" i="1"/>
  <c r="AL2674" i="1"/>
  <c r="AL2673" i="1"/>
  <c r="AL2672" i="1"/>
  <c r="AL2671" i="1"/>
  <c r="AL2670" i="1"/>
  <c r="AL2669" i="1"/>
  <c r="AL2668" i="1"/>
  <c r="AL2667" i="1"/>
  <c r="AL2666" i="1"/>
  <c r="AL2665" i="1"/>
  <c r="AL2664" i="1"/>
  <c r="AL2663" i="1"/>
  <c r="AL2662" i="1"/>
  <c r="AL2661" i="1"/>
  <c r="AL2660" i="1"/>
  <c r="AL265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2616" i="1"/>
  <c r="AL2615" i="1"/>
  <c r="AL2614" i="1"/>
  <c r="AL2613" i="1"/>
  <c r="AL2612" i="1"/>
  <c r="AL2611" i="1"/>
  <c r="AL2610" i="1"/>
  <c r="AL2609" i="1"/>
  <c r="AL2608" i="1"/>
  <c r="AL2607" i="1"/>
  <c r="AL2606" i="1"/>
  <c r="AL2605" i="1"/>
  <c r="AL2604" i="1"/>
  <c r="AL2603" i="1"/>
  <c r="AL2602" i="1"/>
  <c r="AL2601" i="1"/>
  <c r="AL2600" i="1"/>
  <c r="AL2599" i="1"/>
  <c r="AL2598" i="1"/>
  <c r="AL2597" i="1"/>
  <c r="AL2596" i="1"/>
  <c r="AL2595" i="1"/>
  <c r="AL2594" i="1"/>
  <c r="AL2593" i="1"/>
  <c r="AL2592" i="1"/>
  <c r="AL2591" i="1"/>
  <c r="AL2590" i="1"/>
  <c r="AL2589" i="1"/>
  <c r="AL2588" i="1"/>
  <c r="AL2587" i="1"/>
  <c r="AL2586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2" i="1"/>
  <c r="AL2571" i="1"/>
  <c r="AL2570" i="1"/>
  <c r="AL2569" i="1"/>
  <c r="AL2568" i="1"/>
  <c r="AL2567" i="1"/>
  <c r="AL2566" i="1"/>
  <c r="AL2565" i="1"/>
  <c r="AL2564" i="1"/>
  <c r="AL2563" i="1"/>
  <c r="AL2562" i="1"/>
  <c r="AL2561" i="1"/>
  <c r="AL2560" i="1"/>
  <c r="AL2559" i="1"/>
  <c r="AL2558" i="1"/>
  <c r="AL2557" i="1"/>
  <c r="AL2556" i="1"/>
  <c r="AL2555" i="1"/>
  <c r="AL2554" i="1"/>
  <c r="AL2553" i="1"/>
  <c r="AL2552" i="1"/>
  <c r="AL2551" i="1"/>
  <c r="AL2550" i="1"/>
  <c r="AL2549" i="1"/>
  <c r="AL2548" i="1"/>
  <c r="AL2547" i="1"/>
  <c r="AL2546" i="1"/>
  <c r="AL2545" i="1"/>
  <c r="AL2544" i="1"/>
  <c r="AL2543" i="1"/>
  <c r="AL2542" i="1"/>
  <c r="AL2541" i="1"/>
  <c r="AL2540" i="1"/>
  <c r="AL2539" i="1"/>
  <c r="AL2538" i="1"/>
  <c r="AL2537" i="1"/>
  <c r="AL2536" i="1"/>
  <c r="AL2535" i="1"/>
  <c r="AL2534" i="1"/>
  <c r="AL2533" i="1"/>
  <c r="AL2532" i="1"/>
  <c r="AL2531" i="1"/>
  <c r="AL2530" i="1"/>
  <c r="AL2529" i="1"/>
  <c r="AL2528" i="1"/>
  <c r="AL2527" i="1"/>
  <c r="AL2526" i="1"/>
  <c r="AL2525" i="1"/>
  <c r="AL2524" i="1"/>
  <c r="AL2523" i="1"/>
  <c r="AL2522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507" i="1"/>
  <c r="AL2506" i="1"/>
  <c r="AL2505" i="1"/>
  <c r="AL2504" i="1"/>
  <c r="AL2503" i="1"/>
  <c r="AL2502" i="1"/>
  <c r="AL2501" i="1"/>
  <c r="AL2500" i="1"/>
  <c r="AL2499" i="1"/>
  <c r="AL2498" i="1"/>
  <c r="AL2497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2481" i="1"/>
  <c r="AL2480" i="1"/>
  <c r="AL2479" i="1"/>
  <c r="AL2478" i="1"/>
  <c r="AL2477" i="1"/>
  <c r="AL2476" i="1"/>
  <c r="AL2475" i="1"/>
  <c r="AL2474" i="1"/>
  <c r="AL2473" i="1"/>
  <c r="AL2472" i="1"/>
  <c r="AL2471" i="1"/>
  <c r="AL2470" i="1"/>
  <c r="AL2469" i="1"/>
  <c r="AL2468" i="1"/>
  <c r="AL2467" i="1"/>
  <c r="AL2466" i="1"/>
  <c r="AL2465" i="1"/>
  <c r="AL2464" i="1"/>
  <c r="AL2463" i="1"/>
  <c r="AL2462" i="1"/>
  <c r="AL2461" i="1"/>
  <c r="AL2460" i="1"/>
  <c r="AL2459" i="1"/>
  <c r="AL2458" i="1"/>
  <c r="AL2457" i="1"/>
  <c r="AL2456" i="1"/>
  <c r="AL2455" i="1"/>
  <c r="AL2454" i="1"/>
  <c r="AL2453" i="1"/>
  <c r="AL2452" i="1"/>
  <c r="AL2451" i="1"/>
  <c r="AL2450" i="1"/>
  <c r="AL2449" i="1"/>
  <c r="AL2448" i="1"/>
  <c r="AL2447" i="1"/>
  <c r="AL2446" i="1"/>
  <c r="AL2445" i="1"/>
  <c r="AL2444" i="1"/>
  <c r="AL2443" i="1"/>
  <c r="AL2442" i="1"/>
  <c r="AL2441" i="1"/>
  <c r="AL2440" i="1"/>
  <c r="AL2439" i="1"/>
  <c r="AL2438" i="1"/>
  <c r="AL2437" i="1"/>
  <c r="AL2436" i="1"/>
  <c r="AL2435" i="1"/>
  <c r="AL2434" i="1"/>
  <c r="AL2433" i="1"/>
  <c r="AL2432" i="1"/>
  <c r="AL2431" i="1"/>
  <c r="AL2430" i="1"/>
  <c r="AL2429" i="1"/>
  <c r="AL2428" i="1"/>
  <c r="AL2427" i="1"/>
  <c r="AL2426" i="1"/>
  <c r="AL2425" i="1"/>
  <c r="AL2424" i="1"/>
  <c r="AL2423" i="1"/>
  <c r="AL2422" i="1"/>
  <c r="AL2421" i="1"/>
  <c r="AL2420" i="1"/>
  <c r="AL2419" i="1"/>
  <c r="AL2418" i="1"/>
  <c r="AL2417" i="1"/>
  <c r="AL2416" i="1"/>
  <c r="AL2415" i="1"/>
  <c r="AL2414" i="1"/>
  <c r="AL2413" i="1"/>
  <c r="AL2412" i="1"/>
  <c r="AL2411" i="1"/>
  <c r="AL2410" i="1"/>
  <c r="AL2409" i="1"/>
  <c r="AL2408" i="1"/>
  <c r="AL2407" i="1"/>
  <c r="AL2406" i="1"/>
  <c r="AL2405" i="1"/>
  <c r="AL2404" i="1"/>
  <c r="AL2403" i="1"/>
  <c r="AL2402" i="1"/>
  <c r="AL2401" i="1"/>
  <c r="AL2400" i="1"/>
  <c r="AL2399" i="1"/>
  <c r="AL2398" i="1"/>
  <c r="AL2397" i="1"/>
  <c r="AL2396" i="1"/>
  <c r="AL2395" i="1"/>
  <c r="AL2394" i="1"/>
  <c r="AL2393" i="1"/>
  <c r="AL2392" i="1"/>
  <c r="AL2391" i="1"/>
  <c r="AL2390" i="1"/>
  <c r="AL2389" i="1"/>
  <c r="AL2388" i="1"/>
  <c r="AL2387" i="1"/>
  <c r="AL2386" i="1"/>
  <c r="AL2385" i="1"/>
  <c r="AL2384" i="1"/>
  <c r="AL2383" i="1"/>
  <c r="AL2382" i="1"/>
  <c r="AL2381" i="1"/>
  <c r="AL2380" i="1"/>
  <c r="AL2379" i="1"/>
  <c r="AL2378" i="1"/>
  <c r="AL2377" i="1"/>
  <c r="AL2376" i="1"/>
  <c r="AL2375" i="1"/>
  <c r="AL2374" i="1"/>
  <c r="AL2373" i="1"/>
  <c r="AL2372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46" i="1"/>
  <c r="AL2345" i="1"/>
  <c r="AL2344" i="1"/>
  <c r="AL2343" i="1"/>
  <c r="AL2342" i="1"/>
  <c r="AL2341" i="1"/>
  <c r="AL2340" i="1"/>
  <c r="AL2339" i="1"/>
  <c r="AL2338" i="1"/>
  <c r="AL2337" i="1"/>
  <c r="AL2336" i="1"/>
  <c r="AL2335" i="1"/>
  <c r="AL2334" i="1"/>
  <c r="AL2333" i="1"/>
  <c r="AL2332" i="1"/>
  <c r="AL2331" i="1"/>
  <c r="AL2330" i="1"/>
  <c r="AL2329" i="1"/>
  <c r="AL2328" i="1"/>
  <c r="AL2327" i="1"/>
  <c r="AL2326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2305" i="1"/>
  <c r="AL2304" i="1"/>
  <c r="AL2303" i="1"/>
  <c r="AL2302" i="1"/>
  <c r="AL2301" i="1"/>
  <c r="AL2300" i="1"/>
  <c r="AL2299" i="1"/>
  <c r="AL2298" i="1"/>
  <c r="AL2297" i="1"/>
  <c r="AL2296" i="1"/>
  <c r="AL2295" i="1"/>
  <c r="AL2294" i="1"/>
  <c r="AL2293" i="1"/>
  <c r="AL2292" i="1"/>
  <c r="AL2291" i="1"/>
  <c r="AL2290" i="1"/>
  <c r="AL2289" i="1"/>
  <c r="AL2288" i="1"/>
  <c r="AL2287" i="1"/>
  <c r="AL2286" i="1"/>
  <c r="AL2285" i="1"/>
  <c r="AL2284" i="1"/>
  <c r="AL2283" i="1"/>
  <c r="AL2282" i="1"/>
  <c r="AL2281" i="1"/>
  <c r="AL2280" i="1"/>
  <c r="AL2279" i="1"/>
  <c r="AL2278" i="1"/>
  <c r="AL2277" i="1"/>
  <c r="AL2276" i="1"/>
  <c r="AL2275" i="1"/>
  <c r="AL2274" i="1"/>
  <c r="AL2273" i="1"/>
  <c r="AL2272" i="1"/>
  <c r="AL2271" i="1"/>
  <c r="AL2270" i="1"/>
  <c r="AL2269" i="1"/>
  <c r="AL2268" i="1"/>
  <c r="AL2267" i="1"/>
  <c r="AL2266" i="1"/>
  <c r="AL2265" i="1"/>
  <c r="AL2264" i="1"/>
  <c r="AL2263" i="1"/>
  <c r="AL2262" i="1"/>
  <c r="AL2261" i="1"/>
  <c r="AL2260" i="1"/>
  <c r="AL2259" i="1"/>
  <c r="AL2258" i="1"/>
  <c r="AL2257" i="1"/>
  <c r="AL2256" i="1"/>
  <c r="AL2255" i="1"/>
  <c r="AL2254" i="1"/>
  <c r="AL2253" i="1"/>
  <c r="AL2252" i="1"/>
  <c r="AL2251" i="1"/>
  <c r="AL2250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9" i="1"/>
  <c r="AL2228" i="1"/>
  <c r="AL2227" i="1"/>
  <c r="AL2226" i="1"/>
  <c r="AL2225" i="1"/>
  <c r="AL2224" i="1"/>
  <c r="AL2223" i="1"/>
  <c r="AL2222" i="1"/>
  <c r="AL2221" i="1"/>
  <c r="AL2220" i="1"/>
  <c r="AL2219" i="1"/>
  <c r="AL2218" i="1"/>
  <c r="AL2217" i="1"/>
  <c r="AL2216" i="1"/>
  <c r="AL2215" i="1"/>
  <c r="AL2214" i="1"/>
  <c r="AL2213" i="1"/>
  <c r="AL2212" i="1"/>
  <c r="AL2211" i="1"/>
  <c r="AL2210" i="1"/>
  <c r="AL2209" i="1"/>
  <c r="AL2208" i="1"/>
  <c r="AL2207" i="1"/>
  <c r="AL2206" i="1"/>
  <c r="AL2205" i="1"/>
  <c r="AL2204" i="1"/>
  <c r="AL2203" i="1"/>
  <c r="AL2202" i="1"/>
  <c r="AL2201" i="1"/>
  <c r="AL2200" i="1"/>
  <c r="AL2199" i="1"/>
  <c r="AL2198" i="1"/>
  <c r="AL2197" i="1"/>
  <c r="AL2196" i="1"/>
  <c r="AL2195" i="1"/>
  <c r="AL2194" i="1"/>
  <c r="AL2193" i="1"/>
  <c r="AL2192" i="1"/>
  <c r="AL2191" i="1"/>
  <c r="AL2190" i="1"/>
  <c r="AL2189" i="1"/>
  <c r="AL2188" i="1"/>
  <c r="AL2187" i="1"/>
  <c r="AL2186" i="1"/>
  <c r="AL2185" i="1"/>
  <c r="AL2184" i="1"/>
  <c r="AL2183" i="1"/>
  <c r="AL2182" i="1"/>
  <c r="AL2181" i="1"/>
  <c r="AL2180" i="1"/>
  <c r="AL2179" i="1"/>
  <c r="AL2178" i="1"/>
  <c r="AL2177" i="1"/>
  <c r="AL2176" i="1"/>
  <c r="AL2175" i="1"/>
  <c r="AL2174" i="1"/>
  <c r="AL2173" i="1"/>
  <c r="AL2172" i="1"/>
  <c r="AL2171" i="1"/>
  <c r="AL2170" i="1"/>
  <c r="AL2169" i="1"/>
  <c r="AL2168" i="1"/>
  <c r="AL2167" i="1"/>
  <c r="AL2166" i="1"/>
  <c r="AL2165" i="1"/>
  <c r="AL2164" i="1"/>
  <c r="AL2163" i="1"/>
  <c r="AL2162" i="1"/>
  <c r="AL2161" i="1"/>
  <c r="AL2160" i="1"/>
  <c r="AL2159" i="1"/>
  <c r="AL2158" i="1"/>
  <c r="AL2157" i="1"/>
  <c r="AL2156" i="1"/>
  <c r="AL2155" i="1"/>
  <c r="AL2154" i="1"/>
  <c r="AL2153" i="1"/>
  <c r="AL2152" i="1"/>
  <c r="AL2151" i="1"/>
  <c r="AL2150" i="1"/>
  <c r="AL2149" i="1"/>
  <c r="AL2148" i="1"/>
  <c r="AL2147" i="1"/>
  <c r="AL2146" i="1"/>
  <c r="AL2145" i="1"/>
  <c r="AL2144" i="1"/>
  <c r="AL2143" i="1"/>
  <c r="AL2142" i="1"/>
  <c r="AL2141" i="1"/>
  <c r="AL2140" i="1"/>
  <c r="AL2139" i="1"/>
  <c r="AL2138" i="1"/>
  <c r="AL2137" i="1"/>
  <c r="AL2136" i="1"/>
  <c r="AL2135" i="1"/>
  <c r="AL2134" i="1"/>
  <c r="AL2133" i="1"/>
  <c r="AL2132" i="1"/>
  <c r="AL2131" i="1"/>
  <c r="AL2130" i="1"/>
  <c r="AL2129" i="1"/>
  <c r="AL2128" i="1"/>
  <c r="AL2127" i="1"/>
  <c r="AL2126" i="1"/>
  <c r="AL2125" i="1"/>
  <c r="AL2124" i="1"/>
  <c r="AL2123" i="1"/>
  <c r="AL2122" i="1"/>
  <c r="AL2121" i="1"/>
  <c r="AL2120" i="1"/>
  <c r="AL2119" i="1"/>
  <c r="AL2118" i="1"/>
  <c r="AL2117" i="1"/>
  <c r="AL2116" i="1"/>
  <c r="AL2115" i="1"/>
  <c r="AL2114" i="1"/>
  <c r="AL2113" i="1"/>
  <c r="AL2112" i="1"/>
  <c r="AL2111" i="1"/>
  <c r="AL2110" i="1"/>
  <c r="AL2109" i="1"/>
  <c r="AL2108" i="1"/>
  <c r="AL2107" i="1"/>
  <c r="AL2106" i="1"/>
  <c r="AL2105" i="1"/>
  <c r="AL2104" i="1"/>
  <c r="AL2103" i="1"/>
  <c r="AL2102" i="1"/>
  <c r="AL2101" i="1"/>
  <c r="AL2100" i="1"/>
  <c r="AL2099" i="1"/>
  <c r="AL2098" i="1"/>
  <c r="AL2097" i="1"/>
  <c r="AL2096" i="1"/>
  <c r="AL2095" i="1"/>
  <c r="AL2094" i="1"/>
  <c r="AL2093" i="1"/>
  <c r="AL2092" i="1"/>
  <c r="AL2091" i="1"/>
  <c r="AL2090" i="1"/>
  <c r="AL2089" i="1"/>
  <c r="AL2088" i="1"/>
  <c r="AL2087" i="1"/>
  <c r="AL2086" i="1"/>
  <c r="AL2085" i="1"/>
  <c r="AL2084" i="1"/>
  <c r="AL2083" i="1"/>
  <c r="AL2082" i="1"/>
  <c r="AL2081" i="1"/>
  <c r="AL2080" i="1"/>
  <c r="AL2079" i="1"/>
  <c r="AL2078" i="1"/>
  <c r="AL2077" i="1"/>
  <c r="AL2076" i="1"/>
  <c r="AL2075" i="1"/>
  <c r="AL2074" i="1"/>
  <c r="AL2073" i="1"/>
  <c r="AL2072" i="1"/>
  <c r="AL2071" i="1"/>
  <c r="AL2070" i="1"/>
  <c r="AL2069" i="1"/>
  <c r="AL2068" i="1"/>
  <c r="AL2067" i="1"/>
  <c r="AL2066" i="1"/>
  <c r="AL2065" i="1"/>
  <c r="AL2064" i="1"/>
  <c r="AL2063" i="1"/>
  <c r="AL2062" i="1"/>
  <c r="AL2061" i="1"/>
  <c r="AL2060" i="1"/>
  <c r="AL2059" i="1"/>
  <c r="AL2058" i="1"/>
  <c r="AL2057" i="1"/>
  <c r="AL2056" i="1"/>
  <c r="AL2055" i="1"/>
  <c r="AL2054" i="1"/>
  <c r="AL2053" i="1"/>
  <c r="AL2052" i="1"/>
  <c r="AL2051" i="1"/>
  <c r="AL2050" i="1"/>
  <c r="AL2049" i="1"/>
  <c r="AL2048" i="1"/>
  <c r="AL2047" i="1"/>
  <c r="AL2046" i="1"/>
  <c r="AL2045" i="1"/>
  <c r="AL2044" i="1"/>
  <c r="AL2043" i="1"/>
  <c r="AL2042" i="1"/>
  <c r="AL2041" i="1"/>
  <c r="AL2040" i="1"/>
  <c r="AL2039" i="1"/>
  <c r="AL2038" i="1"/>
  <c r="AL2037" i="1"/>
  <c r="AL2036" i="1"/>
  <c r="AL2035" i="1"/>
  <c r="AL2034" i="1"/>
  <c r="AL2033" i="1"/>
  <c r="AL2032" i="1"/>
  <c r="AL2031" i="1"/>
  <c r="AL2030" i="1"/>
  <c r="AL2029" i="1"/>
  <c r="AL2028" i="1"/>
  <c r="AL2027" i="1"/>
  <c r="AL2026" i="1"/>
  <c r="AL2025" i="1"/>
  <c r="AL2024" i="1"/>
  <c r="AL2023" i="1"/>
  <c r="AL2022" i="1"/>
  <c r="AL2021" i="1"/>
  <c r="AL2020" i="1"/>
  <c r="AL2019" i="1"/>
  <c r="AL2018" i="1"/>
  <c r="AL2017" i="1"/>
  <c r="AL2016" i="1"/>
  <c r="AL2015" i="1"/>
  <c r="AL2014" i="1"/>
  <c r="AL2013" i="1"/>
  <c r="AL2012" i="1"/>
  <c r="AL2011" i="1"/>
  <c r="AL2010" i="1"/>
  <c r="AL2009" i="1"/>
  <c r="AL2008" i="1"/>
  <c r="AL2007" i="1"/>
  <c r="AL2006" i="1"/>
  <c r="AL2005" i="1"/>
  <c r="AL2004" i="1"/>
  <c r="AL2003" i="1"/>
  <c r="AL2002" i="1"/>
  <c r="AL2001" i="1"/>
  <c r="AL2000" i="1"/>
  <c r="AL1999" i="1"/>
  <c r="AL1998" i="1"/>
  <c r="AL1997" i="1"/>
  <c r="AL1996" i="1"/>
  <c r="AL1995" i="1"/>
  <c r="AL1994" i="1"/>
  <c r="AL1993" i="1"/>
  <c r="AL1992" i="1"/>
  <c r="AL1991" i="1"/>
  <c r="AL1990" i="1"/>
  <c r="AL1989" i="1"/>
  <c r="AL1988" i="1"/>
  <c r="AL1987" i="1"/>
  <c r="AL1986" i="1"/>
  <c r="AL1985" i="1"/>
  <c r="AL1984" i="1"/>
  <c r="AL1983" i="1"/>
  <c r="AL1982" i="1"/>
  <c r="AL1981" i="1"/>
  <c r="AL1980" i="1"/>
  <c r="AL1979" i="1"/>
  <c r="AL1978" i="1"/>
  <c r="AL1977" i="1"/>
  <c r="AL1976" i="1"/>
  <c r="AL1975" i="1"/>
  <c r="AL1974" i="1"/>
  <c r="AL1973" i="1"/>
  <c r="AL1972" i="1"/>
  <c r="AL1971" i="1"/>
  <c r="AL1970" i="1"/>
  <c r="AL1969" i="1"/>
  <c r="AL1968" i="1"/>
  <c r="AL1967" i="1"/>
  <c r="AL1966" i="1"/>
  <c r="AL1965" i="1"/>
  <c r="AL1964" i="1"/>
  <c r="AL1963" i="1"/>
  <c r="AL1962" i="1"/>
  <c r="AL1961" i="1"/>
  <c r="AL1960" i="1"/>
  <c r="AL1959" i="1"/>
  <c r="AL1958" i="1"/>
  <c r="AL1957" i="1"/>
  <c r="AL1956" i="1"/>
  <c r="AL1955" i="1"/>
  <c r="AL1954" i="1"/>
  <c r="AL1953" i="1"/>
  <c r="AL1952" i="1"/>
  <c r="AL1951" i="1"/>
  <c r="AL1950" i="1"/>
  <c r="AL1949" i="1"/>
  <c r="AL1948" i="1"/>
  <c r="AL1947" i="1"/>
  <c r="AL1946" i="1"/>
  <c r="AL1945" i="1"/>
  <c r="AL1944" i="1"/>
  <c r="I1944" i="1"/>
  <c r="AL1943" i="1"/>
  <c r="I1943" i="1"/>
  <c r="AL1942" i="1"/>
  <c r="AL1941" i="1"/>
  <c r="AL1940" i="1"/>
  <c r="AL1939" i="1"/>
  <c r="AL1938" i="1"/>
  <c r="AL1937" i="1"/>
  <c r="AL1936" i="1"/>
  <c r="AL1935" i="1"/>
  <c r="AL1934" i="1"/>
  <c r="AL1933" i="1"/>
  <c r="AL1932" i="1"/>
  <c r="AL1931" i="1"/>
  <c r="AL1930" i="1"/>
  <c r="AL1929" i="1"/>
  <c r="AL1928" i="1"/>
  <c r="AL1927" i="1"/>
  <c r="AL1926" i="1"/>
  <c r="AL1925" i="1"/>
  <c r="AL1924" i="1"/>
  <c r="AL1923" i="1"/>
  <c r="AL1922" i="1"/>
  <c r="AL1921" i="1"/>
  <c r="AL1920" i="1"/>
  <c r="AL1919" i="1"/>
  <c r="AL1918" i="1"/>
  <c r="AL1917" i="1"/>
  <c r="AL1916" i="1"/>
  <c r="AL1915" i="1"/>
  <c r="AL1914" i="1"/>
  <c r="AL1913" i="1"/>
  <c r="AL1912" i="1"/>
  <c r="AL1911" i="1"/>
  <c r="AL1910" i="1"/>
  <c r="AL1909" i="1"/>
  <c r="AL1908" i="1"/>
  <c r="AL1907" i="1"/>
  <c r="AL1906" i="1"/>
  <c r="AL1905" i="1"/>
  <c r="AL1904" i="1"/>
  <c r="AL1903" i="1"/>
  <c r="AL1902" i="1"/>
  <c r="AL1901" i="1"/>
  <c r="AL1900" i="1"/>
  <c r="AL1899" i="1"/>
  <c r="AL1898" i="1"/>
  <c r="AL1897" i="1"/>
  <c r="AL1896" i="1"/>
  <c r="AL1895" i="1"/>
  <c r="AL1894" i="1"/>
  <c r="AL1893" i="1"/>
  <c r="AL1892" i="1"/>
  <c r="AL1891" i="1"/>
  <c r="AL1890" i="1"/>
  <c r="AL1889" i="1"/>
  <c r="AL1888" i="1"/>
  <c r="AL1887" i="1"/>
  <c r="AL1886" i="1"/>
  <c r="AL1885" i="1"/>
  <c r="AL1884" i="1"/>
  <c r="AL1883" i="1"/>
  <c r="AL1882" i="1"/>
  <c r="AL1881" i="1"/>
  <c r="AL1880" i="1"/>
  <c r="AL1879" i="1"/>
  <c r="AL1878" i="1"/>
  <c r="AL1877" i="1"/>
  <c r="AL1876" i="1"/>
  <c r="AL1875" i="1"/>
  <c r="AL1874" i="1"/>
  <c r="AL1873" i="1"/>
  <c r="AL1872" i="1"/>
  <c r="AL1871" i="1"/>
  <c r="AL1870" i="1"/>
  <c r="AL1869" i="1"/>
  <c r="AL1868" i="1"/>
  <c r="AL1867" i="1"/>
  <c r="AL1866" i="1"/>
  <c r="AL1865" i="1"/>
  <c r="AL1864" i="1"/>
  <c r="AL1863" i="1"/>
  <c r="AL1862" i="1"/>
  <c r="AL1861" i="1"/>
  <c r="AL1860" i="1"/>
  <c r="AL1859" i="1"/>
  <c r="AL1858" i="1"/>
  <c r="AL1857" i="1"/>
  <c r="AL1856" i="1"/>
  <c r="AL1855" i="1"/>
  <c r="AL1854" i="1"/>
  <c r="AL1853" i="1"/>
  <c r="AL1852" i="1"/>
  <c r="AL1851" i="1"/>
  <c r="AL1850" i="1"/>
  <c r="AL1849" i="1"/>
  <c r="AL1848" i="1"/>
  <c r="AL1847" i="1"/>
  <c r="AL1846" i="1"/>
  <c r="AL1845" i="1"/>
  <c r="AL1844" i="1"/>
  <c r="AL1843" i="1"/>
  <c r="AL1842" i="1"/>
  <c r="AL1841" i="1"/>
  <c r="AL1840" i="1"/>
  <c r="AL1839" i="1"/>
  <c r="AL1838" i="1"/>
  <c r="AL1837" i="1"/>
  <c r="AL1836" i="1"/>
  <c r="AL1835" i="1"/>
  <c r="AL1834" i="1"/>
  <c r="AL1833" i="1"/>
  <c r="AL1832" i="1"/>
  <c r="AL1831" i="1"/>
  <c r="AL1830" i="1"/>
  <c r="AL1829" i="1"/>
  <c r="AL1828" i="1"/>
  <c r="AL1827" i="1"/>
  <c r="AL1826" i="1"/>
  <c r="AL1825" i="1"/>
  <c r="AL1824" i="1"/>
  <c r="AL1823" i="1"/>
  <c r="AL1822" i="1"/>
  <c r="AL1821" i="1"/>
  <c r="AL1820" i="1"/>
  <c r="AL1819" i="1"/>
  <c r="AL1818" i="1"/>
  <c r="AL1817" i="1"/>
  <c r="AL1816" i="1"/>
  <c r="AL1815" i="1"/>
  <c r="AL1814" i="1"/>
  <c r="AL1813" i="1"/>
  <c r="AL1812" i="1"/>
  <c r="AL1811" i="1"/>
  <c r="AL1810" i="1"/>
  <c r="AL1809" i="1"/>
  <c r="AL1808" i="1"/>
  <c r="AL1807" i="1"/>
  <c r="AL1806" i="1"/>
  <c r="AL1805" i="1"/>
  <c r="AL1804" i="1"/>
  <c r="AL1803" i="1"/>
  <c r="AL1802" i="1"/>
  <c r="AL1801" i="1"/>
  <c r="AL1800" i="1"/>
  <c r="AL1799" i="1"/>
  <c r="AL1798" i="1"/>
  <c r="AL1797" i="1"/>
  <c r="AL1796" i="1"/>
  <c r="AL1795" i="1"/>
  <c r="AL1794" i="1"/>
  <c r="AL1793" i="1"/>
  <c r="AL1792" i="1"/>
  <c r="AL1791" i="1"/>
  <c r="AL1790" i="1"/>
  <c r="AL1789" i="1"/>
  <c r="AL1788" i="1"/>
  <c r="AL1787" i="1"/>
  <c r="AL1786" i="1"/>
  <c r="AL1785" i="1"/>
  <c r="AL1784" i="1"/>
  <c r="AL1783" i="1"/>
  <c r="AL1782" i="1"/>
  <c r="AL1781" i="1"/>
  <c r="AL1780" i="1"/>
  <c r="AL1779" i="1"/>
  <c r="AL1778" i="1"/>
  <c r="AL1777" i="1"/>
  <c r="AL1776" i="1"/>
  <c r="AL1775" i="1"/>
  <c r="AL1774" i="1"/>
  <c r="AL1773" i="1"/>
  <c r="AL1772" i="1"/>
  <c r="AL1771" i="1"/>
  <c r="AL1770" i="1"/>
  <c r="AL1769" i="1"/>
  <c r="AL1768" i="1"/>
  <c r="AL1767" i="1"/>
  <c r="AL1766" i="1"/>
  <c r="AL1765" i="1"/>
  <c r="AL1764" i="1"/>
  <c r="AL1763" i="1"/>
  <c r="AL1762" i="1"/>
  <c r="AL1761" i="1"/>
  <c r="AL1760" i="1"/>
  <c r="AL1759" i="1"/>
  <c r="AL1758" i="1"/>
  <c r="AL1757" i="1"/>
  <c r="AL1756" i="1"/>
  <c r="AL1755" i="1"/>
  <c r="AL1754" i="1"/>
  <c r="AL1753" i="1"/>
  <c r="AL1752" i="1"/>
  <c r="AL1751" i="1"/>
  <c r="AL1750" i="1"/>
  <c r="AL1749" i="1"/>
  <c r="AL1748" i="1"/>
  <c r="AL1747" i="1"/>
  <c r="AL1746" i="1"/>
  <c r="AL1745" i="1"/>
  <c r="AL1744" i="1"/>
  <c r="AL1743" i="1"/>
  <c r="AL1742" i="1"/>
  <c r="AL1741" i="1"/>
  <c r="AL1740" i="1"/>
  <c r="AL1739" i="1"/>
  <c r="AL1738" i="1"/>
  <c r="AL1737" i="1"/>
  <c r="AL1736" i="1"/>
  <c r="AL1735" i="1"/>
  <c r="AL1734" i="1"/>
  <c r="AL1733" i="1"/>
  <c r="AL1732" i="1"/>
  <c r="AL1731" i="1"/>
  <c r="AL1730" i="1"/>
  <c r="AL1729" i="1"/>
  <c r="AL1728" i="1"/>
  <c r="AL1727" i="1"/>
  <c r="AL1726" i="1"/>
  <c r="AL1725" i="1"/>
  <c r="AL1724" i="1"/>
  <c r="AL1723" i="1"/>
  <c r="AL1722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691" i="1"/>
  <c r="AL1690" i="1"/>
  <c r="AL1689" i="1"/>
  <c r="AL1688" i="1"/>
  <c r="AL1687" i="1"/>
  <c r="AL1686" i="1"/>
  <c r="AL1685" i="1"/>
  <c r="AL1684" i="1"/>
  <c r="AL1683" i="1"/>
  <c r="AL1682" i="1"/>
  <c r="AL1681" i="1"/>
  <c r="AL1680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7" i="1"/>
  <c r="AL1636" i="1"/>
  <c r="AL1635" i="1"/>
  <c r="AL1634" i="1"/>
  <c r="AL1633" i="1"/>
  <c r="AL1632" i="1"/>
  <c r="AL1631" i="1"/>
  <c r="AL1630" i="1"/>
  <c r="AL1629" i="1"/>
  <c r="AL1628" i="1"/>
  <c r="AL1627" i="1"/>
  <c r="AL1626" i="1"/>
  <c r="AL1625" i="1"/>
  <c r="AL1624" i="1"/>
  <c r="AL1623" i="1"/>
  <c r="AL1622" i="1"/>
  <c r="AL1621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83" i="1"/>
  <c r="AL1482" i="1"/>
  <c r="AL1481" i="1"/>
  <c r="AL1480" i="1"/>
  <c r="AL1479" i="1"/>
  <c r="AL1478" i="1"/>
  <c r="AL1477" i="1"/>
  <c r="AL1476" i="1"/>
  <c r="AL1475" i="1"/>
  <c r="AL1474" i="1"/>
  <c r="AL1473" i="1"/>
  <c r="AL1472" i="1"/>
  <c r="AL1471" i="1"/>
  <c r="AL1470" i="1"/>
  <c r="AL1469" i="1"/>
  <c r="AL1468" i="1"/>
  <c r="AL1467" i="1"/>
  <c r="AL1466" i="1"/>
  <c r="AL1465" i="1"/>
  <c r="AL1464" i="1"/>
  <c r="AL1463" i="1"/>
  <c r="AL1462" i="1"/>
  <c r="AL1461" i="1"/>
  <c r="AL1460" i="1"/>
  <c r="AL1459" i="1"/>
  <c r="AL1458" i="1"/>
  <c r="AL1457" i="1"/>
  <c r="AL1456" i="1"/>
  <c r="AL1455" i="1"/>
  <c r="AL1454" i="1"/>
  <c r="AL1453" i="1"/>
  <c r="AL1452" i="1"/>
  <c r="AL1451" i="1"/>
  <c r="AL1450" i="1"/>
  <c r="AL1449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375" i="1"/>
  <c r="AL1374" i="1"/>
  <c r="AL1373" i="1"/>
  <c r="AL1372" i="1"/>
  <c r="AL1371" i="1"/>
  <c r="AL1370" i="1"/>
  <c r="AL1369" i="1"/>
  <c r="AL1368" i="1"/>
  <c r="AL1367" i="1"/>
  <c r="AL1366" i="1"/>
  <c r="AL1365" i="1"/>
  <c r="AL1364" i="1"/>
  <c r="AL1363" i="1"/>
  <c r="AL1362" i="1"/>
  <c r="AL1361" i="1"/>
  <c r="AL1360" i="1"/>
  <c r="AL1359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34" i="1"/>
  <c r="AL1333" i="1"/>
  <c r="AL1332" i="1"/>
  <c r="AL1331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15" i="1"/>
  <c r="AL1314" i="1"/>
  <c r="AL1313" i="1"/>
  <c r="AL1312" i="1"/>
  <c r="AL1311" i="1"/>
  <c r="AL1310" i="1"/>
  <c r="AL1309" i="1"/>
  <c r="AL1308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H4515" i="1"/>
  <c r="W4514" i="1"/>
  <c r="L4513" i="1"/>
  <c r="AH4509" i="1"/>
  <c r="W4508" i="1"/>
  <c r="L4507" i="1"/>
  <c r="AH4503" i="1"/>
  <c r="W4502" i="1"/>
  <c r="L4501" i="1"/>
  <c r="AH4497" i="1"/>
  <c r="W4496" i="1"/>
  <c r="L4495" i="1"/>
  <c r="AH4491" i="1"/>
  <c r="W4490" i="1"/>
  <c r="L4489" i="1"/>
  <c r="AH4485" i="1"/>
  <c r="W4484" i="1"/>
  <c r="L4483" i="1"/>
  <c r="AH4479" i="1"/>
  <c r="W4478" i="1"/>
  <c r="L4477" i="1"/>
  <c r="AH4473" i="1"/>
  <c r="W4472" i="1"/>
  <c r="L4471" i="1"/>
  <c r="AH4467" i="1"/>
  <c r="W4466" i="1"/>
  <c r="L4465" i="1"/>
  <c r="AH4461" i="1"/>
  <c r="W4460" i="1"/>
  <c r="L4459" i="1"/>
  <c r="AH4455" i="1"/>
  <c r="W4454" i="1"/>
  <c r="L4453" i="1"/>
  <c r="AH4449" i="1"/>
  <c r="W4448" i="1"/>
  <c r="L4447" i="1"/>
  <c r="AH4443" i="1"/>
  <c r="W4442" i="1"/>
  <c r="L4441" i="1"/>
  <c r="AH4437" i="1"/>
  <c r="W4436" i="1"/>
  <c r="L4435" i="1"/>
  <c r="AH4431" i="1"/>
  <c r="W4430" i="1"/>
  <c r="L4429" i="1"/>
  <c r="AH4425" i="1"/>
  <c r="W4424" i="1"/>
  <c r="L4423" i="1"/>
  <c r="AI4516" i="1"/>
  <c r="AH4516" i="1"/>
  <c r="W4515" i="1"/>
  <c r="L4514" i="1"/>
  <c r="AH4510" i="1"/>
  <c r="W4509" i="1"/>
  <c r="L4508" i="1"/>
  <c r="AH4504" i="1"/>
  <c r="W4503" i="1"/>
  <c r="L4502" i="1"/>
  <c r="AH4498" i="1"/>
  <c r="W4497" i="1"/>
  <c r="L4496" i="1"/>
  <c r="AH4492" i="1"/>
  <c r="W4491" i="1"/>
  <c r="L4490" i="1"/>
  <c r="AH4486" i="1"/>
  <c r="W4485" i="1"/>
  <c r="L4484" i="1"/>
  <c r="AH4480" i="1"/>
  <c r="W4479" i="1"/>
  <c r="L4478" i="1"/>
  <c r="AH4474" i="1"/>
  <c r="W4473" i="1"/>
  <c r="L4472" i="1"/>
  <c r="AH4468" i="1"/>
  <c r="W4467" i="1"/>
  <c r="L4466" i="1"/>
  <c r="AH4462" i="1"/>
  <c r="W4461" i="1"/>
  <c r="L4460" i="1"/>
  <c r="AH4456" i="1"/>
  <c r="W4455" i="1"/>
  <c r="L4454" i="1"/>
  <c r="AH4450" i="1"/>
  <c r="W4449" i="1"/>
  <c r="L4448" i="1"/>
  <c r="AH4444" i="1"/>
  <c r="W4443" i="1"/>
  <c r="L4442" i="1"/>
  <c r="AH4438" i="1"/>
  <c r="W4437" i="1"/>
  <c r="L4436" i="1"/>
  <c r="AH4432" i="1"/>
  <c r="W4431" i="1"/>
  <c r="L4430" i="1"/>
  <c r="AH4426" i="1"/>
  <c r="W4425" i="1"/>
  <c r="L4424" i="1"/>
  <c r="AH4420" i="1"/>
  <c r="W4419" i="1"/>
  <c r="L4418" i="1"/>
  <c r="AH4414" i="1"/>
  <c r="W4413" i="1"/>
  <c r="L4412" i="1"/>
  <c r="AH4408" i="1"/>
  <c r="W4407" i="1"/>
  <c r="L4406" i="1"/>
  <c r="AH4402" i="1"/>
  <c r="W4401" i="1"/>
  <c r="L4400" i="1"/>
  <c r="AH4396" i="1"/>
  <c r="W4395" i="1"/>
  <c r="L4394" i="1"/>
  <c r="AH4390" i="1"/>
  <c r="W4389" i="1"/>
  <c r="L4388" i="1"/>
  <c r="AF4516" i="1"/>
  <c r="M4515" i="1"/>
  <c r="J4514" i="1"/>
  <c r="G4513" i="1"/>
  <c r="AI4511" i="1"/>
  <c r="AF4510" i="1"/>
  <c r="M4509" i="1"/>
  <c r="J4508" i="1"/>
  <c r="G4507" i="1"/>
  <c r="AI4505" i="1"/>
  <c r="AF4504" i="1"/>
  <c r="M4503" i="1"/>
  <c r="J4502" i="1"/>
  <c r="G4501" i="1"/>
  <c r="AI4499" i="1"/>
  <c r="AF4498" i="1"/>
  <c r="M4497" i="1"/>
  <c r="J4496" i="1"/>
  <c r="G4495" i="1"/>
  <c r="AI4493" i="1"/>
  <c r="AF4492" i="1"/>
  <c r="M4491" i="1"/>
  <c r="J4490" i="1"/>
  <c r="G4489" i="1"/>
  <c r="AI4487" i="1"/>
  <c r="AF4486" i="1"/>
  <c r="M4485" i="1"/>
  <c r="J4484" i="1"/>
  <c r="G4483" i="1"/>
  <c r="AI4481" i="1"/>
  <c r="AF4480" i="1"/>
  <c r="M4479" i="1"/>
  <c r="J4478" i="1"/>
  <c r="G4477" i="1"/>
  <c r="AI4475" i="1"/>
  <c r="AF4474" i="1"/>
  <c r="M4473" i="1"/>
  <c r="J4472" i="1"/>
  <c r="G4471" i="1"/>
  <c r="AI4469" i="1"/>
  <c r="AF4468" i="1"/>
  <c r="M4467" i="1"/>
  <c r="J4466" i="1"/>
  <c r="G4465" i="1"/>
  <c r="AI4463" i="1"/>
  <c r="AF4462" i="1"/>
  <c r="M4461" i="1"/>
  <c r="J4460" i="1"/>
  <c r="G4459" i="1"/>
  <c r="AI4457" i="1"/>
  <c r="AF4456" i="1"/>
  <c r="M4455" i="1"/>
  <c r="J4454" i="1"/>
  <c r="G4453" i="1"/>
  <c r="AI4451" i="1"/>
  <c r="AF4450" i="1"/>
  <c r="M4449" i="1"/>
  <c r="J4448" i="1"/>
  <c r="G4447" i="1"/>
  <c r="AI4445" i="1"/>
  <c r="AF4444" i="1"/>
  <c r="M4443" i="1"/>
  <c r="J4442" i="1"/>
  <c r="G4441" i="1"/>
  <c r="AI4439" i="1"/>
  <c r="AF4438" i="1"/>
  <c r="M4437" i="1"/>
  <c r="J4436" i="1"/>
  <c r="G4435" i="1"/>
  <c r="AI4433" i="1"/>
  <c r="AF4432" i="1"/>
  <c r="M4431" i="1"/>
  <c r="J4430" i="1"/>
  <c r="G4429" i="1"/>
  <c r="AI4427" i="1"/>
  <c r="AF4426" i="1"/>
  <c r="M4425" i="1"/>
  <c r="J4424" i="1"/>
  <c r="G4423" i="1"/>
  <c r="AI4421" i="1"/>
  <c r="AF4420" i="1"/>
  <c r="M4419" i="1"/>
  <c r="J4418" i="1"/>
  <c r="G4417" i="1"/>
  <c r="AI4415" i="1"/>
  <c r="AF4414" i="1"/>
  <c r="M4413" i="1"/>
  <c r="J4412" i="1"/>
  <c r="G4411" i="1"/>
  <c r="AI4409" i="1"/>
  <c r="AF4408" i="1"/>
  <c r="M4407" i="1"/>
  <c r="J4406" i="1"/>
  <c r="G4405" i="1"/>
  <c r="AI4403" i="1"/>
  <c r="AF4402" i="1"/>
  <c r="M4401" i="1"/>
  <c r="J4400" i="1"/>
  <c r="G4399" i="1"/>
  <c r="AI4397" i="1"/>
  <c r="AF4396" i="1"/>
  <c r="M4395" i="1"/>
  <c r="J4394" i="1"/>
  <c r="G4393" i="1"/>
  <c r="AI4391" i="1"/>
  <c r="AF4390" i="1"/>
  <c r="M4389" i="1"/>
  <c r="J4388" i="1"/>
  <c r="G4387" i="1"/>
  <c r="AI4385" i="1"/>
  <c r="AF4384" i="1"/>
  <c r="M4383" i="1"/>
  <c r="J4382" i="1"/>
  <c r="G4381" i="1"/>
  <c r="AI4379" i="1"/>
  <c r="AF4378" i="1"/>
  <c r="M4377" i="1"/>
  <c r="J4376" i="1"/>
  <c r="G4375" i="1"/>
  <c r="AI4373" i="1"/>
  <c r="AF4372" i="1"/>
  <c r="M4371" i="1"/>
  <c r="J4370" i="1"/>
  <c r="G4369" i="1"/>
  <c r="AI4367" i="1"/>
  <c r="AF4366" i="1"/>
  <c r="M4365" i="1"/>
  <c r="W4516" i="1"/>
  <c r="L4515" i="1"/>
  <c r="AH4511" i="1"/>
  <c r="W4510" i="1"/>
  <c r="L4509" i="1"/>
  <c r="AH4505" i="1"/>
  <c r="W4504" i="1"/>
  <c r="L4503" i="1"/>
  <c r="AH4499" i="1"/>
  <c r="W4498" i="1"/>
  <c r="L4497" i="1"/>
  <c r="AH4493" i="1"/>
  <c r="W4492" i="1"/>
  <c r="L4491" i="1"/>
  <c r="AH4487" i="1"/>
  <c r="W4486" i="1"/>
  <c r="L4485" i="1"/>
  <c r="AH4481" i="1"/>
  <c r="W4480" i="1"/>
  <c r="L4479" i="1"/>
  <c r="AH4475" i="1"/>
  <c r="W4474" i="1"/>
  <c r="L4473" i="1"/>
  <c r="AH4469" i="1"/>
  <c r="W4468" i="1"/>
  <c r="L4467" i="1"/>
  <c r="AH4463" i="1"/>
  <c r="W4462" i="1"/>
  <c r="L4461" i="1"/>
  <c r="AH4457" i="1"/>
  <c r="W4456" i="1"/>
  <c r="L4455" i="1"/>
  <c r="AH4451" i="1"/>
  <c r="W4450" i="1"/>
  <c r="L4449" i="1"/>
  <c r="AH4445" i="1"/>
  <c r="W4444" i="1"/>
  <c r="L4443" i="1"/>
  <c r="AH4439" i="1"/>
  <c r="W4438" i="1"/>
  <c r="L4437" i="1"/>
  <c r="AH4433" i="1"/>
  <c r="W4432" i="1"/>
  <c r="L4431" i="1"/>
  <c r="AH4427" i="1"/>
  <c r="W4426" i="1"/>
  <c r="L4425" i="1"/>
  <c r="AH4421" i="1"/>
  <c r="W4420" i="1"/>
  <c r="L4419" i="1"/>
  <c r="M4516" i="1"/>
  <c r="L4516" i="1"/>
  <c r="J4516" i="1"/>
  <c r="G4516" i="1"/>
  <c r="AH4514" i="1"/>
  <c r="W4513" i="1"/>
  <c r="L4512" i="1"/>
  <c r="AH4508" i="1"/>
  <c r="W4507" i="1"/>
  <c r="L4506" i="1"/>
  <c r="AH4502" i="1"/>
  <c r="W4501" i="1"/>
  <c r="L4500" i="1"/>
  <c r="AH4496" i="1"/>
  <c r="W4495" i="1"/>
  <c r="L4494" i="1"/>
  <c r="AH4490" i="1"/>
  <c r="W4489" i="1"/>
  <c r="L4488" i="1"/>
  <c r="AH4484" i="1"/>
  <c r="W4483" i="1"/>
  <c r="L4482" i="1"/>
  <c r="AH4478" i="1"/>
  <c r="W4477" i="1"/>
  <c r="L4476" i="1"/>
  <c r="AH4472" i="1"/>
  <c r="W4471" i="1"/>
  <c r="L4470" i="1"/>
  <c r="AH4466" i="1"/>
  <c r="W4465" i="1"/>
  <c r="L4464" i="1"/>
  <c r="AH4460" i="1"/>
  <c r="W4459" i="1"/>
  <c r="L4458" i="1"/>
  <c r="AH4454" i="1"/>
  <c r="W4453" i="1"/>
  <c r="L4452" i="1"/>
  <c r="AH4448" i="1"/>
  <c r="W4447" i="1"/>
  <c r="L4446" i="1"/>
  <c r="AH4442" i="1"/>
  <c r="W4441" i="1"/>
  <c r="L4440" i="1"/>
  <c r="AH4436" i="1"/>
  <c r="W4435" i="1"/>
  <c r="L4434" i="1"/>
  <c r="AH4430" i="1"/>
  <c r="W4429" i="1"/>
  <c r="L4428" i="1"/>
  <c r="AH4424" i="1"/>
  <c r="W4423" i="1"/>
  <c r="L4422" i="1"/>
  <c r="AH4418" i="1"/>
  <c r="W4417" i="1"/>
  <c r="L4416" i="1"/>
  <c r="AH4412" i="1"/>
  <c r="W4411" i="1"/>
  <c r="L4410" i="1"/>
  <c r="AH4406" i="1"/>
  <c r="W4405" i="1"/>
  <c r="L4404" i="1"/>
  <c r="AH4400" i="1"/>
  <c r="W4399" i="1"/>
  <c r="L4398" i="1"/>
  <c r="AH4394" i="1"/>
  <c r="W4393" i="1"/>
  <c r="L4392" i="1"/>
  <c r="AH4388" i="1"/>
  <c r="W4387" i="1"/>
  <c r="L4386" i="1"/>
  <c r="AI4515" i="1"/>
  <c r="AI4513" i="1"/>
  <c r="G4512" i="1"/>
  <c r="J4510" i="1"/>
  <c r="M4508" i="1"/>
  <c r="W4506" i="1"/>
  <c r="AI4504" i="1"/>
  <c r="AI4500" i="1"/>
  <c r="J4499" i="1"/>
  <c r="J4497" i="1"/>
  <c r="M4495" i="1"/>
  <c r="W4493" i="1"/>
  <c r="AI4489" i="1"/>
  <c r="G4488" i="1"/>
  <c r="J4486" i="1"/>
  <c r="M4484" i="1"/>
  <c r="W4482" i="1"/>
  <c r="AI4480" i="1"/>
  <c r="AI4476" i="1"/>
  <c r="J4475" i="1"/>
  <c r="J4473" i="1"/>
  <c r="M4471" i="1"/>
  <c r="W4469" i="1"/>
  <c r="AI4465" i="1"/>
  <c r="G4464" i="1"/>
  <c r="J4462" i="1"/>
  <c r="M4460" i="1"/>
  <c r="W4458" i="1"/>
  <c r="AI4456" i="1"/>
  <c r="AI4452" i="1"/>
  <c r="J4451" i="1"/>
  <c r="J4449" i="1"/>
  <c r="M4447" i="1"/>
  <c r="W4445" i="1"/>
  <c r="AI4441" i="1"/>
  <c r="G4440" i="1"/>
  <c r="J4438" i="1"/>
  <c r="M4436" i="1"/>
  <c r="W4434" i="1"/>
  <c r="AI4432" i="1"/>
  <c r="AI4428" i="1"/>
  <c r="J4427" i="1"/>
  <c r="J4425" i="1"/>
  <c r="M4423" i="1"/>
  <c r="W4421" i="1"/>
  <c r="G4418" i="1"/>
  <c r="W4416" i="1"/>
  <c r="G4415" i="1"/>
  <c r="AF4413" i="1"/>
  <c r="M4410" i="1"/>
  <c r="L4407" i="1"/>
  <c r="AI4405" i="1"/>
  <c r="J4404" i="1"/>
  <c r="AI4402" i="1"/>
  <c r="J4401" i="1"/>
  <c r="AH4399" i="1"/>
  <c r="W4396" i="1"/>
  <c r="AF4393" i="1"/>
  <c r="G4392" i="1"/>
  <c r="M4390" i="1"/>
  <c r="G4389" i="1"/>
  <c r="M4387" i="1"/>
  <c r="W4384" i="1"/>
  <c r="J4383" i="1"/>
  <c r="AF4380" i="1"/>
  <c r="L4379" i="1"/>
  <c r="G4378" i="1"/>
  <c r="AH4376" i="1"/>
  <c r="M4375" i="1"/>
  <c r="AI4372" i="1"/>
  <c r="W4371" i="1"/>
  <c r="AI4368" i="1"/>
  <c r="W4367" i="1"/>
  <c r="J4366" i="1"/>
  <c r="AH4363" i="1"/>
  <c r="W4362" i="1"/>
  <c r="L4361" i="1"/>
  <c r="AH4357" i="1"/>
  <c r="W4356" i="1"/>
  <c r="L4355" i="1"/>
  <c r="AH4351" i="1"/>
  <c r="W4350" i="1"/>
  <c r="L4349" i="1"/>
  <c r="AH4345" i="1"/>
  <c r="W4344" i="1"/>
  <c r="L4343" i="1"/>
  <c r="AH4339" i="1"/>
  <c r="W4338" i="1"/>
  <c r="L4337" i="1"/>
  <c r="AH4333" i="1"/>
  <c r="W4332" i="1"/>
  <c r="L4331" i="1"/>
  <c r="AH4327" i="1"/>
  <c r="W4326" i="1"/>
  <c r="L4325" i="1"/>
  <c r="AH4321" i="1"/>
  <c r="W4320" i="1"/>
  <c r="L4319" i="1"/>
  <c r="AH4315" i="1"/>
  <c r="W4314" i="1"/>
  <c r="L4313" i="1"/>
  <c r="AH4309" i="1"/>
  <c r="W4308" i="1"/>
  <c r="L4307" i="1"/>
  <c r="AH4303" i="1"/>
  <c r="W4302" i="1"/>
  <c r="L4301" i="1"/>
  <c r="AH4513" i="1"/>
  <c r="G4508" i="1"/>
  <c r="M4506" i="1"/>
  <c r="M4504" i="1"/>
  <c r="AI4502" i="1"/>
  <c r="AH4500" i="1"/>
  <c r="G4499" i="1"/>
  <c r="J4495" i="1"/>
  <c r="M4493" i="1"/>
  <c r="AI4491" i="1"/>
  <c r="AH4489" i="1"/>
  <c r="G4484" i="1"/>
  <c r="M4482" i="1"/>
  <c r="M4480" i="1"/>
  <c r="AI4478" i="1"/>
  <c r="AH4476" i="1"/>
  <c r="G4475" i="1"/>
  <c r="J4471" i="1"/>
  <c r="M4469" i="1"/>
  <c r="AI4467" i="1"/>
  <c r="AH4465" i="1"/>
  <c r="G4460" i="1"/>
  <c r="M4458" i="1"/>
  <c r="M4456" i="1"/>
  <c r="AI4454" i="1"/>
  <c r="AH4452" i="1"/>
  <c r="G4451" i="1"/>
  <c r="J4447" i="1"/>
  <c r="M4445" i="1"/>
  <c r="AI4443" i="1"/>
  <c r="AH4441" i="1"/>
  <c r="G4436" i="1"/>
  <c r="M4434" i="1"/>
  <c r="M4432" i="1"/>
  <c r="AI4430" i="1"/>
  <c r="AH4428" i="1"/>
  <c r="G4427" i="1"/>
  <c r="J4423" i="1"/>
  <c r="M4421" i="1"/>
  <c r="AI4419" i="1"/>
  <c r="M4416" i="1"/>
  <c r="L4413" i="1"/>
  <c r="AI4411" i="1"/>
  <c r="J4410" i="1"/>
  <c r="AI4408" i="1"/>
  <c r="J4407" i="1"/>
  <c r="AH4405" i="1"/>
  <c r="W4402" i="1"/>
  <c r="AF4399" i="1"/>
  <c r="G4398" i="1"/>
  <c r="M4396" i="1"/>
  <c r="G4395" i="1"/>
  <c r="M4393" i="1"/>
  <c r="L4390" i="1"/>
  <c r="L4387" i="1"/>
  <c r="AH4385" i="1"/>
  <c r="M4384" i="1"/>
  <c r="AI4381" i="1"/>
  <c r="W4380" i="1"/>
  <c r="J4379" i="1"/>
  <c r="AF4376" i="1"/>
  <c r="L4375" i="1"/>
  <c r="G4374" i="1"/>
  <c r="AH4372" i="1"/>
  <c r="L4371" i="1"/>
  <c r="G4370" i="1"/>
  <c r="AH4368" i="1"/>
  <c r="M4367" i="1"/>
  <c r="AI4364" i="1"/>
  <c r="AF4363" i="1"/>
  <c r="M4362" i="1"/>
  <c r="J4361" i="1"/>
  <c r="G4360" i="1"/>
  <c r="AI4358" i="1"/>
  <c r="AF4357" i="1"/>
  <c r="M4356" i="1"/>
  <c r="J4355" i="1"/>
  <c r="G4354" i="1"/>
  <c r="AI4352" i="1"/>
  <c r="AF4351" i="1"/>
  <c r="M4350" i="1"/>
  <c r="J4349" i="1"/>
  <c r="G4348" i="1"/>
  <c r="AI4346" i="1"/>
  <c r="AF4345" i="1"/>
  <c r="M4344" i="1"/>
  <c r="J4343" i="1"/>
  <c r="G4342" i="1"/>
  <c r="AF4515" i="1"/>
  <c r="AF4513" i="1"/>
  <c r="AF4511" i="1"/>
  <c r="G4510" i="1"/>
  <c r="J4506" i="1"/>
  <c r="L4504" i="1"/>
  <c r="AF4502" i="1"/>
  <c r="AF4500" i="1"/>
  <c r="G4497" i="1"/>
  <c r="L4493" i="1"/>
  <c r="AF4491" i="1"/>
  <c r="AF4489" i="1"/>
  <c r="AF4487" i="1"/>
  <c r="G4486" i="1"/>
  <c r="J4482" i="1"/>
  <c r="L4480" i="1"/>
  <c r="AF4478" i="1"/>
  <c r="AF4476" i="1"/>
  <c r="G4473" i="1"/>
  <c r="L4469" i="1"/>
  <c r="AF4467" i="1"/>
  <c r="AF4465" i="1"/>
  <c r="AF4463" i="1"/>
  <c r="G4462" i="1"/>
  <c r="J4458" i="1"/>
  <c r="L4456" i="1"/>
  <c r="AF4454" i="1"/>
  <c r="AF4452" i="1"/>
  <c r="G4449" i="1"/>
  <c r="L4445" i="1"/>
  <c r="AF4443" i="1"/>
  <c r="AF4441" i="1"/>
  <c r="AF4439" i="1"/>
  <c r="G4438" i="1"/>
  <c r="J4434" i="1"/>
  <c r="L4432" i="1"/>
  <c r="AF4430" i="1"/>
  <c r="AF4428" i="1"/>
  <c r="G4425" i="1"/>
  <c r="L4421" i="1"/>
  <c r="AH4419" i="1"/>
  <c r="AI4417" i="1"/>
  <c r="J4416" i="1"/>
  <c r="AI4414" i="1"/>
  <c r="J4413" i="1"/>
  <c r="AH4411" i="1"/>
  <c r="W4408" i="1"/>
  <c r="AF4405" i="1"/>
  <c r="G4404" i="1"/>
  <c r="M4402" i="1"/>
  <c r="G4401" i="1"/>
  <c r="M4399" i="1"/>
  <c r="L4396" i="1"/>
  <c r="L4393" i="1"/>
  <c r="AH4391" i="1"/>
  <c r="J4390" i="1"/>
  <c r="AI4388" i="1"/>
  <c r="J4387" i="1"/>
  <c r="AF4385" i="1"/>
  <c r="L4384" i="1"/>
  <c r="G4383" i="1"/>
  <c r="AH4381" i="1"/>
  <c r="M4380" i="1"/>
  <c r="AI4377" i="1"/>
  <c r="W4376" i="1"/>
  <c r="J4375" i="1"/>
  <c r="W4372" i="1"/>
  <c r="J4371" i="1"/>
  <c r="AF4368" i="1"/>
  <c r="L4367" i="1"/>
  <c r="G4366" i="1"/>
  <c r="AH4364" i="1"/>
  <c r="W4363" i="1"/>
  <c r="L4362" i="1"/>
  <c r="AH4358" i="1"/>
  <c r="W4357" i="1"/>
  <c r="L4356" i="1"/>
  <c r="AH4352" i="1"/>
  <c r="W4351" i="1"/>
  <c r="L4350" i="1"/>
  <c r="AH4346" i="1"/>
  <c r="W4345" i="1"/>
  <c r="L4344" i="1"/>
  <c r="J4515" i="1"/>
  <c r="M4513" i="1"/>
  <c r="W4511" i="1"/>
  <c r="AI4507" i="1"/>
  <c r="G4506" i="1"/>
  <c r="J4504" i="1"/>
  <c r="M4502" i="1"/>
  <c r="W4500" i="1"/>
  <c r="AI4498" i="1"/>
  <c r="AI4494" i="1"/>
  <c r="J4493" i="1"/>
  <c r="J4491" i="1"/>
  <c r="M4489" i="1"/>
  <c r="W4487" i="1"/>
  <c r="AI4483" i="1"/>
  <c r="G4482" i="1"/>
  <c r="J4480" i="1"/>
  <c r="M4478" i="1"/>
  <c r="W4476" i="1"/>
  <c r="AI4474" i="1"/>
  <c r="AI4470" i="1"/>
  <c r="J4469" i="1"/>
  <c r="J4467" i="1"/>
  <c r="M4465" i="1"/>
  <c r="W4463" i="1"/>
  <c r="AI4459" i="1"/>
  <c r="G4458" i="1"/>
  <c r="J4456" i="1"/>
  <c r="M4454" i="1"/>
  <c r="W4452" i="1"/>
  <c r="AI4450" i="1"/>
  <c r="AI4446" i="1"/>
  <c r="J4445" i="1"/>
  <c r="J4443" i="1"/>
  <c r="M4441" i="1"/>
  <c r="W4439" i="1"/>
  <c r="AI4435" i="1"/>
  <c r="G4434" i="1"/>
  <c r="J4432" i="1"/>
  <c r="M4430" i="1"/>
  <c r="W4428" i="1"/>
  <c r="AI4426" i="1"/>
  <c r="AI4422" i="1"/>
  <c r="J4421" i="1"/>
  <c r="AF4419" i="1"/>
  <c r="AH4417" i="1"/>
  <c r="W4414" i="1"/>
  <c r="AF4411" i="1"/>
  <c r="G4410" i="1"/>
  <c r="M4408" i="1"/>
  <c r="G4407" i="1"/>
  <c r="M4405" i="1"/>
  <c r="L4402" i="1"/>
  <c r="L4399" i="1"/>
  <c r="AH4397" i="1"/>
  <c r="J4396" i="1"/>
  <c r="AI4394" i="1"/>
  <c r="J4393" i="1"/>
  <c r="AF4391" i="1"/>
  <c r="AF4388" i="1"/>
  <c r="W4385" i="1"/>
  <c r="J4384" i="1"/>
  <c r="AF4381" i="1"/>
  <c r="L4380" i="1"/>
  <c r="G4379" i="1"/>
  <c r="AH4377" i="1"/>
  <c r="M4376" i="1"/>
  <c r="AH4373" i="1"/>
  <c r="M4372" i="1"/>
  <c r="AF4514" i="1"/>
  <c r="AF4512" i="1"/>
  <c r="G4509" i="1"/>
  <c r="L4505" i="1"/>
  <c r="AF4503" i="1"/>
  <c r="AF4501" i="1"/>
  <c r="AF4499" i="1"/>
  <c r="G4498" i="1"/>
  <c r="J4494" i="1"/>
  <c r="L4492" i="1"/>
  <c r="AF4490" i="1"/>
  <c r="AF4488" i="1"/>
  <c r="G4485" i="1"/>
  <c r="L4481" i="1"/>
  <c r="AF4479" i="1"/>
  <c r="AF4477" i="1"/>
  <c r="AF4475" i="1"/>
  <c r="G4474" i="1"/>
  <c r="J4470" i="1"/>
  <c r="L4468" i="1"/>
  <c r="AF4466" i="1"/>
  <c r="AF4464" i="1"/>
  <c r="G4461" i="1"/>
  <c r="L4457" i="1"/>
  <c r="AF4455" i="1"/>
  <c r="AF4453" i="1"/>
  <c r="AF4451" i="1"/>
  <c r="G4450" i="1"/>
  <c r="J4446" i="1"/>
  <c r="L4444" i="1"/>
  <c r="AF4442" i="1"/>
  <c r="AF4440" i="1"/>
  <c r="G4437" i="1"/>
  <c r="L4433" i="1"/>
  <c r="AF4431" i="1"/>
  <c r="AF4429" i="1"/>
  <c r="AF4427" i="1"/>
  <c r="G4426" i="1"/>
  <c r="J4422" i="1"/>
  <c r="L4420" i="1"/>
  <c r="AI4418" i="1"/>
  <c r="W4415" i="1"/>
  <c r="G4414" i="1"/>
  <c r="W4412" i="1"/>
  <c r="AI4410" i="1"/>
  <c r="M4409" i="1"/>
  <c r="M4406" i="1"/>
  <c r="AH4404" i="1"/>
  <c r="L4403" i="1"/>
  <c r="AI4401" i="1"/>
  <c r="AF4398" i="1"/>
  <c r="J4397" i="1"/>
  <c r="AH4395" i="1"/>
  <c r="G4394" i="1"/>
  <c r="W4392" i="1"/>
  <c r="G4391" i="1"/>
  <c r="AF4389" i="1"/>
  <c r="M4386" i="1"/>
  <c r="G4385" i="1"/>
  <c r="AH4512" i="1"/>
  <c r="L4510" i="1"/>
  <c r="M4507" i="1"/>
  <c r="AH4501" i="1"/>
  <c r="M4498" i="1"/>
  <c r="G4493" i="1"/>
  <c r="M4490" i="1"/>
  <c r="L4487" i="1"/>
  <c r="G4476" i="1"/>
  <c r="AF4473" i="1"/>
  <c r="AF4470" i="1"/>
  <c r="G4468" i="1"/>
  <c r="AH4464" i="1"/>
  <c r="L4462" i="1"/>
  <c r="M4459" i="1"/>
  <c r="AH4453" i="1"/>
  <c r="M4450" i="1"/>
  <c r="G4445" i="1"/>
  <c r="M4442" i="1"/>
  <c r="L4439" i="1"/>
  <c r="G4428" i="1"/>
  <c r="AF4425" i="1"/>
  <c r="AF4422" i="1"/>
  <c r="G4420" i="1"/>
  <c r="L4417" i="1"/>
  <c r="J4415" i="1"/>
  <c r="AF4412" i="1"/>
  <c r="J4405" i="1"/>
  <c r="G4403" i="1"/>
  <c r="W4400" i="1"/>
  <c r="AF4395" i="1"/>
  <c r="AI4392" i="1"/>
  <c r="AI4390" i="1"/>
  <c r="L4382" i="1"/>
  <c r="J4380" i="1"/>
  <c r="M4378" i="1"/>
  <c r="AI4376" i="1"/>
  <c r="AF4374" i="1"/>
  <c r="G4373" i="1"/>
  <c r="AI4370" i="1"/>
  <c r="L4369" i="1"/>
  <c r="AF4367" i="1"/>
  <c r="AH4365" i="1"/>
  <c r="J4364" i="1"/>
  <c r="AH4362" i="1"/>
  <c r="W4359" i="1"/>
  <c r="AF4356" i="1"/>
  <c r="AI4354" i="1"/>
  <c r="M4353" i="1"/>
  <c r="G4352" i="1"/>
  <c r="J4350" i="1"/>
  <c r="AH4348" i="1"/>
  <c r="L4347" i="1"/>
  <c r="AF4342" i="1"/>
  <c r="J4341" i="1"/>
  <c r="G4340" i="1"/>
  <c r="AH4338" i="1"/>
  <c r="M4337" i="1"/>
  <c r="G4336" i="1"/>
  <c r="AI4334" i="1"/>
  <c r="W4333" i="1"/>
  <c r="J4332" i="1"/>
  <c r="AF4329" i="1"/>
  <c r="M4328" i="1"/>
  <c r="AI4325" i="1"/>
  <c r="W4324" i="1"/>
  <c r="J4323" i="1"/>
  <c r="G4322" i="1"/>
  <c r="AH4320" i="1"/>
  <c r="M4319" i="1"/>
  <c r="G4318" i="1"/>
  <c r="AI4316" i="1"/>
  <c r="W4315" i="1"/>
  <c r="J4314" i="1"/>
  <c r="AF4311" i="1"/>
  <c r="M4310" i="1"/>
  <c r="AI4307" i="1"/>
  <c r="W4306" i="1"/>
  <c r="J4305" i="1"/>
  <c r="G4304" i="1"/>
  <c r="AH4302" i="1"/>
  <c r="M4301" i="1"/>
  <c r="AH4297" i="1"/>
  <c r="W4296" i="1"/>
  <c r="L4295" i="1"/>
  <c r="AH4291" i="1"/>
  <c r="W4290" i="1"/>
  <c r="L4289" i="1"/>
  <c r="AH4285" i="1"/>
  <c r="W4284" i="1"/>
  <c r="L4283" i="1"/>
  <c r="AH4279" i="1"/>
  <c r="W4278" i="1"/>
  <c r="L4277" i="1"/>
  <c r="AH4273" i="1"/>
  <c r="W4272" i="1"/>
  <c r="L4271" i="1"/>
  <c r="AH4267" i="1"/>
  <c r="W4266" i="1"/>
  <c r="L4265" i="1"/>
  <c r="AH4261" i="1"/>
  <c r="W4260" i="1"/>
  <c r="L4259" i="1"/>
  <c r="AH4255" i="1"/>
  <c r="W4254" i="1"/>
  <c r="L4253" i="1"/>
  <c r="AH4249" i="1"/>
  <c r="W4248" i="1"/>
  <c r="L4247" i="1"/>
  <c r="AH4243" i="1"/>
  <c r="W4242" i="1"/>
  <c r="L4241" i="1"/>
  <c r="AH4237" i="1"/>
  <c r="W4236" i="1"/>
  <c r="L4235" i="1"/>
  <c r="AH4231" i="1"/>
  <c r="W4512" i="1"/>
  <c r="J4507" i="1"/>
  <c r="M4501" i="1"/>
  <c r="L4498" i="1"/>
  <c r="AI4495" i="1"/>
  <c r="G4490" i="1"/>
  <c r="J4487" i="1"/>
  <c r="AI4484" i="1"/>
  <c r="AF4481" i="1"/>
  <c r="G4479" i="1"/>
  <c r="W4470" i="1"/>
  <c r="W4464" i="1"/>
  <c r="J4459" i="1"/>
  <c r="M4453" i="1"/>
  <c r="L4450" i="1"/>
  <c r="AI4447" i="1"/>
  <c r="G4442" i="1"/>
  <c r="J4439" i="1"/>
  <c r="AI4436" i="1"/>
  <c r="AF4433" i="1"/>
  <c r="G4431" i="1"/>
  <c r="W4422" i="1"/>
  <c r="J4417" i="1"/>
  <c r="M4412" i="1"/>
  <c r="AH4409" i="1"/>
  <c r="AI4407" i="1"/>
  <c r="M4400" i="1"/>
  <c r="AF4397" i="1"/>
  <c r="L4395" i="1"/>
  <c r="AH4392" i="1"/>
  <c r="W4390" i="1"/>
  <c r="G4388" i="1"/>
  <c r="G4386" i="1"/>
  <c r="AI4383" i="1"/>
  <c r="L4378" i="1"/>
  <c r="L4376" i="1"/>
  <c r="W4374" i="1"/>
  <c r="AH4370" i="1"/>
  <c r="J4369" i="1"/>
  <c r="J4367" i="1"/>
  <c r="AF4365" i="1"/>
  <c r="AF4362" i="1"/>
  <c r="AI4360" i="1"/>
  <c r="M4359" i="1"/>
  <c r="G4358" i="1"/>
  <c r="J4356" i="1"/>
  <c r="AH4354" i="1"/>
  <c r="L4353" i="1"/>
  <c r="AF4348" i="1"/>
  <c r="J4347" i="1"/>
  <c r="AI4345" i="1"/>
  <c r="G4344" i="1"/>
  <c r="W4342" i="1"/>
  <c r="AF4338" i="1"/>
  <c r="J4337" i="1"/>
  <c r="AH4334" i="1"/>
  <c r="M4333" i="1"/>
  <c r="AI4330" i="1"/>
  <c r="W4329" i="1"/>
  <c r="L4328" i="1"/>
  <c r="G4327" i="1"/>
  <c r="AH4325" i="1"/>
  <c r="M4324" i="1"/>
  <c r="AF4320" i="1"/>
  <c r="J4319" i="1"/>
  <c r="AH4316" i="1"/>
  <c r="M4315" i="1"/>
  <c r="AI4312" i="1"/>
  <c r="W4311" i="1"/>
  <c r="L4310" i="1"/>
  <c r="G4309" i="1"/>
  <c r="AH4307" i="1"/>
  <c r="M4306" i="1"/>
  <c r="AF4302" i="1"/>
  <c r="J4301" i="1"/>
  <c r="G4300" i="1"/>
  <c r="AI4298" i="1"/>
  <c r="AF4297" i="1"/>
  <c r="M4296" i="1"/>
  <c r="J4295" i="1"/>
  <c r="G4294" i="1"/>
  <c r="AI4292" i="1"/>
  <c r="AF4291" i="1"/>
  <c r="M4290" i="1"/>
  <c r="M4512" i="1"/>
  <c r="AI4509" i="1"/>
  <c r="G4504" i="1"/>
  <c r="J4501" i="1"/>
  <c r="J4498" i="1"/>
  <c r="AH4495" i="1"/>
  <c r="AI4492" i="1"/>
  <c r="G4487" i="1"/>
  <c r="AF4484" i="1"/>
  <c r="W4481" i="1"/>
  <c r="W4475" i="1"/>
  <c r="AI4472" i="1"/>
  <c r="M4470" i="1"/>
  <c r="M4464" i="1"/>
  <c r="AI4461" i="1"/>
  <c r="G4456" i="1"/>
  <c r="J4453" i="1"/>
  <c r="J4450" i="1"/>
  <c r="AH4447" i="1"/>
  <c r="AI4444" i="1"/>
  <c r="G4439" i="1"/>
  <c r="AF4436" i="1"/>
  <c r="W4433" i="1"/>
  <c r="W4427" i="1"/>
  <c r="AI4424" i="1"/>
  <c r="M4422" i="1"/>
  <c r="J4419" i="1"/>
  <c r="M4414" i="1"/>
  <c r="AF4409" i="1"/>
  <c r="AH4407" i="1"/>
  <c r="AI4404" i="1"/>
  <c r="J4402" i="1"/>
  <c r="G4400" i="1"/>
  <c r="W4397" i="1"/>
  <c r="J4395" i="1"/>
  <c r="AF4392" i="1"/>
  <c r="G4390" i="1"/>
  <c r="AH4383" i="1"/>
  <c r="G4382" i="1"/>
  <c r="G4380" i="1"/>
  <c r="J4378" i="1"/>
  <c r="M4374" i="1"/>
  <c r="L4372" i="1"/>
  <c r="AF4370" i="1"/>
  <c r="W4365" i="1"/>
  <c r="G4364" i="1"/>
  <c r="J4362" i="1"/>
  <c r="AH4360" i="1"/>
  <c r="L4359" i="1"/>
  <c r="AF4354" i="1"/>
  <c r="J4353" i="1"/>
  <c r="AI4351" i="1"/>
  <c r="G4350" i="1"/>
  <c r="W4348" i="1"/>
  <c r="M4345" i="1"/>
  <c r="M4342" i="1"/>
  <c r="G4341" i="1"/>
  <c r="AI4339" i="1"/>
  <c r="M4338" i="1"/>
  <c r="AI4335" i="1"/>
  <c r="AF4334" i="1"/>
  <c r="L4333" i="1"/>
  <c r="G4332" i="1"/>
  <c r="AH4330" i="1"/>
  <c r="M4329" i="1"/>
  <c r="J4328" i="1"/>
  <c r="AF4325" i="1"/>
  <c r="L4324" i="1"/>
  <c r="G4323" i="1"/>
  <c r="AI4321" i="1"/>
  <c r="M4320" i="1"/>
  <c r="AI4317" i="1"/>
  <c r="AF4316" i="1"/>
  <c r="L4315" i="1"/>
  <c r="G4314" i="1"/>
  <c r="AH4312" i="1"/>
  <c r="M4311" i="1"/>
  <c r="J4310" i="1"/>
  <c r="AF4307" i="1"/>
  <c r="L4306" i="1"/>
  <c r="G4305" i="1"/>
  <c r="AI4303" i="1"/>
  <c r="M4302" i="1"/>
  <c r="AH4298" i="1"/>
  <c r="W4297" i="1"/>
  <c r="L4296" i="1"/>
  <c r="AH4292" i="1"/>
  <c r="W4291" i="1"/>
  <c r="L4290" i="1"/>
  <c r="AH4286" i="1"/>
  <c r="W4285" i="1"/>
  <c r="L4284" i="1"/>
  <c r="AH4280" i="1"/>
  <c r="W4279" i="1"/>
  <c r="L4278" i="1"/>
  <c r="AH4274" i="1"/>
  <c r="W4273" i="1"/>
  <c r="L4272" i="1"/>
  <c r="AH4268" i="1"/>
  <c r="W4267" i="1"/>
  <c r="L4266" i="1"/>
  <c r="AH4262" i="1"/>
  <c r="G4511" i="1"/>
  <c r="AF4508" i="1"/>
  <c r="W4505" i="1"/>
  <c r="W4499" i="1"/>
  <c r="AI4496" i="1"/>
  <c r="M4494" i="1"/>
  <c r="M4488" i="1"/>
  <c r="AI4485" i="1"/>
  <c r="G4480" i="1"/>
  <c r="J4477" i="1"/>
  <c r="J4474" i="1"/>
  <c r="AH4471" i="1"/>
  <c r="AI4468" i="1"/>
  <c r="G4463" i="1"/>
  <c r="AF4460" i="1"/>
  <c r="W4457" i="1"/>
  <c r="W4451" i="1"/>
  <c r="AI4448" i="1"/>
  <c r="M4446" i="1"/>
  <c r="M4440" i="1"/>
  <c r="AI4437" i="1"/>
  <c r="G4432" i="1"/>
  <c r="J4429" i="1"/>
  <c r="J4426" i="1"/>
  <c r="AH4423" i="1"/>
  <c r="AI4420" i="1"/>
  <c r="M4418" i="1"/>
  <c r="AH4415" i="1"/>
  <c r="AH4413" i="1"/>
  <c r="L4408" i="1"/>
  <c r="AF4403" i="1"/>
  <c r="L4401" i="1"/>
  <c r="AH4398" i="1"/>
  <c r="M4391" i="1"/>
  <c r="AH4386" i="1"/>
  <c r="AI4384" i="1"/>
  <c r="AH4382" i="1"/>
  <c r="J4377" i="1"/>
  <c r="W4375" i="1"/>
  <c r="M4373" i="1"/>
  <c r="AH4371" i="1"/>
  <c r="AH4369" i="1"/>
  <c r="M4366" i="1"/>
  <c r="AF4364" i="1"/>
  <c r="AF4361" i="1"/>
  <c r="W4358" i="1"/>
  <c r="G4357" i="1"/>
  <c r="W4355" i="1"/>
  <c r="AI4353" i="1"/>
  <c r="M4352" i="1"/>
  <c r="M4349" i="1"/>
  <c r="AH4347" i="1"/>
  <c r="L4346" i="1"/>
  <c r="AI4344" i="1"/>
  <c r="G4343" i="1"/>
  <c r="AF4341" i="1"/>
  <c r="M4340" i="1"/>
  <c r="AI4337" i="1"/>
  <c r="W4336" i="1"/>
  <c r="J4335" i="1"/>
  <c r="G4334" i="1"/>
  <c r="AH4332" i="1"/>
  <c r="M4331" i="1"/>
  <c r="G4330" i="1"/>
  <c r="AI4328" i="1"/>
  <c r="W4327" i="1"/>
  <c r="J4326" i="1"/>
  <c r="AF4323" i="1"/>
  <c r="AI4508" i="1"/>
  <c r="G4505" i="1"/>
  <c r="M4500" i="1"/>
  <c r="AF4496" i="1"/>
  <c r="AI4488" i="1"/>
  <c r="J4485" i="1"/>
  <c r="AI4477" i="1"/>
  <c r="G4470" i="1"/>
  <c r="M4466" i="1"/>
  <c r="AI4462" i="1"/>
  <c r="AI4458" i="1"/>
  <c r="L4451" i="1"/>
  <c r="M4439" i="1"/>
  <c r="AF4435" i="1"/>
  <c r="J4428" i="1"/>
  <c r="M4424" i="1"/>
  <c r="M4420" i="1"/>
  <c r="AH4410" i="1"/>
  <c r="M4404" i="1"/>
  <c r="M4397" i="1"/>
  <c r="AF4387" i="1"/>
  <c r="AH4384" i="1"/>
  <c r="M4379" i="1"/>
  <c r="AF4373" i="1"/>
  <c r="G4371" i="1"/>
  <c r="M4368" i="1"/>
  <c r="M4363" i="1"/>
  <c r="M4361" i="1"/>
  <c r="J4359" i="1"/>
  <c r="J4357" i="1"/>
  <c r="AF4352" i="1"/>
  <c r="AI4350" i="1"/>
  <c r="L4348" i="1"/>
  <c r="J4346" i="1"/>
  <c r="AI4341" i="1"/>
  <c r="L4336" i="1"/>
  <c r="M4334" i="1"/>
  <c r="AF4332" i="1"/>
  <c r="AF4330" i="1"/>
  <c r="M4323" i="1"/>
  <c r="AF4321" i="1"/>
  <c r="G4320" i="1"/>
  <c r="M4318" i="1"/>
  <c r="G4315" i="1"/>
  <c r="M4313" i="1"/>
  <c r="AI4311" i="1"/>
  <c r="G4310" i="1"/>
  <c r="M4308" i="1"/>
  <c r="AI4306" i="1"/>
  <c r="M4303" i="1"/>
  <c r="AI4301" i="1"/>
  <c r="J4300" i="1"/>
  <c r="AF4298" i="1"/>
  <c r="AF4295" i="1"/>
  <c r="W4292" i="1"/>
  <c r="G4291" i="1"/>
  <c r="W4289" i="1"/>
  <c r="G4288" i="1"/>
  <c r="AI4286" i="1"/>
  <c r="L4285" i="1"/>
  <c r="W4282" i="1"/>
  <c r="J4281" i="1"/>
  <c r="M4278" i="1"/>
  <c r="AF4275" i="1"/>
  <c r="L4274" i="1"/>
  <c r="W4271" i="1"/>
  <c r="G4270" i="1"/>
  <c r="AI4268" i="1"/>
  <c r="L4267" i="1"/>
  <c r="W4264" i="1"/>
  <c r="J4263" i="1"/>
  <c r="AF4260" i="1"/>
  <c r="J4259" i="1"/>
  <c r="AH4256" i="1"/>
  <c r="M4255" i="1"/>
  <c r="AI4252" i="1"/>
  <c r="W4251" i="1"/>
  <c r="L4250" i="1"/>
  <c r="G4249" i="1"/>
  <c r="AH4247" i="1"/>
  <c r="M4246" i="1"/>
  <c r="AF4242" i="1"/>
  <c r="J4241" i="1"/>
  <c r="AH4238" i="1"/>
  <c r="M4237" i="1"/>
  <c r="AI4234" i="1"/>
  <c r="W4233" i="1"/>
  <c r="L4232" i="1"/>
  <c r="G4231" i="1"/>
  <c r="AI4229" i="1"/>
  <c r="AF4228" i="1"/>
  <c r="M4227" i="1"/>
  <c r="J4226" i="1"/>
  <c r="G4225" i="1"/>
  <c r="AI4223" i="1"/>
  <c r="AF4222" i="1"/>
  <c r="M4221" i="1"/>
  <c r="J4220" i="1"/>
  <c r="G4219" i="1"/>
  <c r="AI4217" i="1"/>
  <c r="AF4216" i="1"/>
  <c r="M4215" i="1"/>
  <c r="J4214" i="1"/>
  <c r="G4213" i="1"/>
  <c r="AI4211" i="1"/>
  <c r="AF4210" i="1"/>
  <c r="M4209" i="1"/>
  <c r="J4208" i="1"/>
  <c r="G4207" i="1"/>
  <c r="AI4205" i="1"/>
  <c r="AF4204" i="1"/>
  <c r="M4203" i="1"/>
  <c r="J4202" i="1"/>
  <c r="G4201" i="1"/>
  <c r="AI4199" i="1"/>
  <c r="AF4198" i="1"/>
  <c r="M4197" i="1"/>
  <c r="J4196" i="1"/>
  <c r="G4195" i="1"/>
  <c r="AI4193" i="1"/>
  <c r="AF4192" i="1"/>
  <c r="M4191" i="1"/>
  <c r="J4190" i="1"/>
  <c r="G4189" i="1"/>
  <c r="AI4187" i="1"/>
  <c r="AF4186" i="1"/>
  <c r="M4185" i="1"/>
  <c r="J4184" i="1"/>
  <c r="G4183" i="1"/>
  <c r="AI4181" i="1"/>
  <c r="AF4180" i="1"/>
  <c r="M4179" i="1"/>
  <c r="J4178" i="1"/>
  <c r="G4177" i="1"/>
  <c r="AI4175" i="1"/>
  <c r="AF4174" i="1"/>
  <c r="M4173" i="1"/>
  <c r="J4172" i="1"/>
  <c r="G4171" i="1"/>
  <c r="AI4169" i="1"/>
  <c r="AF4168" i="1"/>
  <c r="M4167" i="1"/>
  <c r="J4166" i="1"/>
  <c r="G4165" i="1"/>
  <c r="AI4163" i="1"/>
  <c r="AF4162" i="1"/>
  <c r="M4161" i="1"/>
  <c r="J4160" i="1"/>
  <c r="G4159" i="1"/>
  <c r="AI4157" i="1"/>
  <c r="AF4156" i="1"/>
  <c r="M4155" i="1"/>
  <c r="J4154" i="1"/>
  <c r="G4153" i="1"/>
  <c r="AI4151" i="1"/>
  <c r="AF4150" i="1"/>
  <c r="M4149" i="1"/>
  <c r="J4148" i="1"/>
  <c r="G4147" i="1"/>
  <c r="AI4145" i="1"/>
  <c r="AF4144" i="1"/>
  <c r="M4143" i="1"/>
  <c r="J4142" i="1"/>
  <c r="G4141" i="1"/>
  <c r="M4511" i="1"/>
  <c r="J4500" i="1"/>
  <c r="M4496" i="1"/>
  <c r="M4492" i="1"/>
  <c r="AH4488" i="1"/>
  <c r="M4481" i="1"/>
  <c r="AH4477" i="1"/>
  <c r="G4466" i="1"/>
  <c r="M4462" i="1"/>
  <c r="AH4458" i="1"/>
  <c r="G4455" i="1"/>
  <c r="AH4446" i="1"/>
  <c r="G4443" i="1"/>
  <c r="M4435" i="1"/>
  <c r="G4424" i="1"/>
  <c r="J4420" i="1"/>
  <c r="AI4416" i="1"/>
  <c r="AF4410" i="1"/>
  <c r="AF4407" i="1"/>
  <c r="AI4400" i="1"/>
  <c r="L4397" i="1"/>
  <c r="W4381" i="1"/>
  <c r="G4376" i="1"/>
  <c r="W4373" i="1"/>
  <c r="L4368" i="1"/>
  <c r="AI4365" i="1"/>
  <c r="L4363" i="1"/>
  <c r="G4361" i="1"/>
  <c r="W4354" i="1"/>
  <c r="W4352" i="1"/>
  <c r="AH4350" i="1"/>
  <c r="J4348" i="1"/>
  <c r="AI4343" i="1"/>
  <c r="AH4341" i="1"/>
  <c r="G4338" i="1"/>
  <c r="J4336" i="1"/>
  <c r="L4334" i="1"/>
  <c r="M4332" i="1"/>
  <c r="W4330" i="1"/>
  <c r="AH4328" i="1"/>
  <c r="AI4326" i="1"/>
  <c r="G4325" i="1"/>
  <c r="L4323" i="1"/>
  <c r="W4321" i="1"/>
  <c r="L4318" i="1"/>
  <c r="W4316" i="1"/>
  <c r="J4313" i="1"/>
  <c r="AH4311" i="1"/>
  <c r="L4308" i="1"/>
  <c r="AH4306" i="1"/>
  <c r="AI4304" i="1"/>
  <c r="L4303" i="1"/>
  <c r="AH4301" i="1"/>
  <c r="W4298" i="1"/>
  <c r="G4297" i="1"/>
  <c r="W4295" i="1"/>
  <c r="AI4293" i="1"/>
  <c r="M4292" i="1"/>
  <c r="M4289" i="1"/>
  <c r="AF4286" i="1"/>
  <c r="J4285" i="1"/>
  <c r="AI4283" i="1"/>
  <c r="M4282" i="1"/>
  <c r="AI4279" i="1"/>
  <c r="J4278" i="1"/>
  <c r="AI4276" i="1"/>
  <c r="W4275" i="1"/>
  <c r="J4274" i="1"/>
  <c r="AI4272" i="1"/>
  <c r="M4271" i="1"/>
  <c r="AF4268" i="1"/>
  <c r="J4267" i="1"/>
  <c r="AI4265" i="1"/>
  <c r="M4264" i="1"/>
  <c r="AI4261" i="1"/>
  <c r="M4260" i="1"/>
  <c r="AI4257" i="1"/>
  <c r="AF4256" i="1"/>
  <c r="L4255" i="1"/>
  <c r="G4254" i="1"/>
  <c r="AH4252" i="1"/>
  <c r="M4251" i="1"/>
  <c r="J4250" i="1"/>
  <c r="AF4247" i="1"/>
  <c r="L4246" i="1"/>
  <c r="G4245" i="1"/>
  <c r="AI4243" i="1"/>
  <c r="M4242" i="1"/>
  <c r="AI4239" i="1"/>
  <c r="AF4238" i="1"/>
  <c r="L4237" i="1"/>
  <c r="G4236" i="1"/>
  <c r="AH4234" i="1"/>
  <c r="M4233" i="1"/>
  <c r="J4232" i="1"/>
  <c r="AH4229" i="1"/>
  <c r="W4228" i="1"/>
  <c r="L4227" i="1"/>
  <c r="AH4223" i="1"/>
  <c r="W4222" i="1"/>
  <c r="L4221" i="1"/>
  <c r="AH4217" i="1"/>
  <c r="W4216" i="1"/>
  <c r="L4215" i="1"/>
  <c r="AH4211" i="1"/>
  <c r="W4210" i="1"/>
  <c r="L4209" i="1"/>
  <c r="AH4205" i="1"/>
  <c r="G4515" i="1"/>
  <c r="L4511" i="1"/>
  <c r="AH4507" i="1"/>
  <c r="G4500" i="1"/>
  <c r="G4496" i="1"/>
  <c r="J4492" i="1"/>
  <c r="W4488" i="1"/>
  <c r="J4481" i="1"/>
  <c r="M4477" i="1"/>
  <c r="AI4473" i="1"/>
  <c r="AF4469" i="1"/>
  <c r="AF4458" i="1"/>
  <c r="AF4446" i="1"/>
  <c r="AI4438" i="1"/>
  <c r="J4435" i="1"/>
  <c r="AI4431" i="1"/>
  <c r="M4427" i="1"/>
  <c r="AH4416" i="1"/>
  <c r="AI4413" i="1"/>
  <c r="W4410" i="1"/>
  <c r="AH4403" i="1"/>
  <c r="AF4400" i="1"/>
  <c r="G4397" i="1"/>
  <c r="AI4393" i="1"/>
  <c r="AI4389" i="1"/>
  <c r="AI4386" i="1"/>
  <c r="G4384" i="1"/>
  <c r="M4381" i="1"/>
  <c r="AI4378" i="1"/>
  <c r="L4373" i="1"/>
  <c r="W4370" i="1"/>
  <c r="J4368" i="1"/>
  <c r="L4365" i="1"/>
  <c r="J4363" i="1"/>
  <c r="G4359" i="1"/>
  <c r="M4354" i="1"/>
  <c r="L4352" i="1"/>
  <c r="AF4350" i="1"/>
  <c r="G4346" i="1"/>
  <c r="AH4343" i="1"/>
  <c r="W4341" i="1"/>
  <c r="AF4339" i="1"/>
  <c r="J4334" i="1"/>
  <c r="L4332" i="1"/>
  <c r="M4330" i="1"/>
  <c r="AF4328" i="1"/>
  <c r="AH4326" i="1"/>
  <c r="M4321" i="1"/>
  <c r="AI4319" i="1"/>
  <c r="J4318" i="1"/>
  <c r="M4316" i="1"/>
  <c r="AI4314" i="1"/>
  <c r="L4311" i="1"/>
  <c r="AI4309" i="1"/>
  <c r="J4308" i="1"/>
  <c r="AF4306" i="1"/>
  <c r="AH4304" i="1"/>
  <c r="J4303" i="1"/>
  <c r="AF4301" i="1"/>
  <c r="AI4299" i="1"/>
  <c r="M4298" i="1"/>
  <c r="M4295" i="1"/>
  <c r="AH4293" i="1"/>
  <c r="L4292" i="1"/>
  <c r="AI4290" i="1"/>
  <c r="J4289" i="1"/>
  <c r="AI4287" i="1"/>
  <c r="W4286" i="1"/>
  <c r="AH4283" i="1"/>
  <c r="L4282" i="1"/>
  <c r="G4281" i="1"/>
  <c r="AF4279" i="1"/>
  <c r="AH4276" i="1"/>
  <c r="M4275" i="1"/>
  <c r="AH4272" i="1"/>
  <c r="J4271" i="1"/>
  <c r="AI4269" i="1"/>
  <c r="W4268" i="1"/>
  <c r="AH4265" i="1"/>
  <c r="L4264" i="1"/>
  <c r="G4263" i="1"/>
  <c r="AF4261" i="1"/>
  <c r="L4260" i="1"/>
  <c r="G4259" i="1"/>
  <c r="AH4257" i="1"/>
  <c r="W4256" i="1"/>
  <c r="J4255" i="1"/>
  <c r="AF4252" i="1"/>
  <c r="L4251" i="1"/>
  <c r="AI4248" i="1"/>
  <c r="W4247" i="1"/>
  <c r="J4246" i="1"/>
  <c r="AF4243" i="1"/>
  <c r="L4242" i="1"/>
  <c r="G4241" i="1"/>
  <c r="AH4239" i="1"/>
  <c r="W4238" i="1"/>
  <c r="J4237" i="1"/>
  <c r="AF4234" i="1"/>
  <c r="L4233" i="1"/>
  <c r="AI4230" i="1"/>
  <c r="AF4229" i="1"/>
  <c r="M4228" i="1"/>
  <c r="J4227" i="1"/>
  <c r="G4226" i="1"/>
  <c r="AI4224" i="1"/>
  <c r="AF4223" i="1"/>
  <c r="M4222" i="1"/>
  <c r="J4221" i="1"/>
  <c r="G4220" i="1"/>
  <c r="AI4218" i="1"/>
  <c r="AF4217" i="1"/>
  <c r="M4216" i="1"/>
  <c r="J4215" i="1"/>
  <c r="G4214" i="1"/>
  <c r="AI4212" i="1"/>
  <c r="AF4211" i="1"/>
  <c r="M4210" i="1"/>
  <c r="J4209" i="1"/>
  <c r="G4208" i="1"/>
  <c r="AI4206" i="1"/>
  <c r="AF4205" i="1"/>
  <c r="M4204" i="1"/>
  <c r="J4511" i="1"/>
  <c r="AF4507" i="1"/>
  <c r="AI4503" i="1"/>
  <c r="J4488" i="1"/>
  <c r="G4481" i="1"/>
  <c r="G4469" i="1"/>
  <c r="J4465" i="1"/>
  <c r="AF4461" i="1"/>
  <c r="G4454" i="1"/>
  <c r="W4446" i="1"/>
  <c r="AI4442" i="1"/>
  <c r="M4438" i="1"/>
  <c r="J4431" i="1"/>
  <c r="L4427" i="1"/>
  <c r="AI4423" i="1"/>
  <c r="AF4416" i="1"/>
  <c r="G4413" i="1"/>
  <c r="AI4406" i="1"/>
  <c r="W4403" i="1"/>
  <c r="AH4393" i="1"/>
  <c r="AH4389" i="1"/>
  <c r="AF4386" i="1"/>
  <c r="L4381" i="1"/>
  <c r="AH4378" i="1"/>
  <c r="AI4375" i="1"/>
  <c r="J4373" i="1"/>
  <c r="M4370" i="1"/>
  <c r="G4368" i="1"/>
  <c r="J4365" i="1"/>
  <c r="G4363" i="1"/>
  <c r="AF4360" i="1"/>
  <c r="AI4356" i="1"/>
  <c r="L4354" i="1"/>
  <c r="J4352" i="1"/>
  <c r="AI4347" i="1"/>
  <c r="AF4343" i="1"/>
  <c r="M4341" i="1"/>
  <c r="W4339" i="1"/>
  <c r="AH4337" i="1"/>
  <c r="AH4335" i="1"/>
  <c r="L4330" i="1"/>
  <c r="W4328" i="1"/>
  <c r="AF4326" i="1"/>
  <c r="AI4324" i="1"/>
  <c r="AI4322" i="1"/>
  <c r="L4321" i="1"/>
  <c r="AH4319" i="1"/>
  <c r="L4316" i="1"/>
  <c r="AH4314" i="1"/>
  <c r="G4313" i="1"/>
  <c r="J4311" i="1"/>
  <c r="AF4309" i="1"/>
  <c r="J4306" i="1"/>
  <c r="AF4304" i="1"/>
  <c r="W4301" i="1"/>
  <c r="AH4299" i="1"/>
  <c r="L4298" i="1"/>
  <c r="AI4296" i="1"/>
  <c r="G4295" i="1"/>
  <c r="AF4293" i="1"/>
  <c r="J4292" i="1"/>
  <c r="AH4290" i="1"/>
  <c r="G4289" i="1"/>
  <c r="AH4287" i="1"/>
  <c r="M4286" i="1"/>
  <c r="G4285" i="1"/>
  <c r="AF4283" i="1"/>
  <c r="J4282" i="1"/>
  <c r="M4279" i="1"/>
  <c r="G4278" i="1"/>
  <c r="AF4276" i="1"/>
  <c r="L4275" i="1"/>
  <c r="G4274" i="1"/>
  <c r="AF4272" i="1"/>
  <c r="G4271" i="1"/>
  <c r="AH4269" i="1"/>
  <c r="M4268" i="1"/>
  <c r="G4267" i="1"/>
  <c r="AF4265" i="1"/>
  <c r="J4264" i="1"/>
  <c r="W4261" i="1"/>
  <c r="J4260" i="1"/>
  <c r="AF4257" i="1"/>
  <c r="M4256" i="1"/>
  <c r="AI4253" i="1"/>
  <c r="W4252" i="1"/>
  <c r="J4251" i="1"/>
  <c r="G4250" i="1"/>
  <c r="AH4248" i="1"/>
  <c r="M4247" i="1"/>
  <c r="G4246" i="1"/>
  <c r="AI4244" i="1"/>
  <c r="W4243" i="1"/>
  <c r="J4242" i="1"/>
  <c r="AF4239" i="1"/>
  <c r="M4238" i="1"/>
  <c r="AI4235" i="1"/>
  <c r="W4234" i="1"/>
  <c r="J4233" i="1"/>
  <c r="G4232" i="1"/>
  <c r="AH4230" i="1"/>
  <c r="W4229" i="1"/>
  <c r="L4228" i="1"/>
  <c r="AH4224" i="1"/>
  <c r="W4223" i="1"/>
  <c r="L4222" i="1"/>
  <c r="AH4218" i="1"/>
  <c r="W4217" i="1"/>
  <c r="L4216" i="1"/>
  <c r="AH4212" i="1"/>
  <c r="W4211" i="1"/>
  <c r="L4210" i="1"/>
  <c r="AH4206" i="1"/>
  <c r="W4205" i="1"/>
  <c r="L4204" i="1"/>
  <c r="J4513" i="1"/>
  <c r="AF4509" i="1"/>
  <c r="G4502" i="1"/>
  <c r="W4494" i="1"/>
  <c r="AI4490" i="1"/>
  <c r="M4486" i="1"/>
  <c r="J4479" i="1"/>
  <c r="L4475" i="1"/>
  <c r="AI4471" i="1"/>
  <c r="M4463" i="1"/>
  <c r="J4452" i="1"/>
  <c r="M4448" i="1"/>
  <c r="M4444" i="1"/>
  <c r="AH4440" i="1"/>
  <c r="M4433" i="1"/>
  <c r="AH4429" i="1"/>
  <c r="W4418" i="1"/>
  <c r="L4415" i="1"/>
  <c r="M4411" i="1"/>
  <c r="L4405" i="1"/>
  <c r="G4402" i="1"/>
  <c r="W4398" i="1"/>
  <c r="M4388" i="1"/>
  <c r="L4385" i="1"/>
  <c r="AI4382" i="1"/>
  <c r="W4377" i="1"/>
  <c r="AH4374" i="1"/>
  <c r="G4372" i="1"/>
  <c r="W4369" i="1"/>
  <c r="AI4366" i="1"/>
  <c r="M4364" i="1"/>
  <c r="AH4355" i="1"/>
  <c r="W4353" i="1"/>
  <c r="J4351" i="1"/>
  <c r="G4349" i="1"/>
  <c r="AH4342" i="1"/>
  <c r="AF4340" i="1"/>
  <c r="AI4336" i="1"/>
  <c r="J4331" i="1"/>
  <c r="L4329" i="1"/>
  <c r="AF4327" i="1"/>
  <c r="L4322" i="1"/>
  <c r="AI4320" i="1"/>
  <c r="AI4318" i="1"/>
  <c r="L4317" i="1"/>
  <c r="AI4315" i="1"/>
  <c r="AI4313" i="1"/>
  <c r="L4312" i="1"/>
  <c r="AH4310" i="1"/>
  <c r="J4307" i="1"/>
  <c r="AF4305" i="1"/>
  <c r="J4302" i="1"/>
  <c r="AF4300" i="1"/>
  <c r="J4299" i="1"/>
  <c r="AI4297" i="1"/>
  <c r="G4296" i="1"/>
  <c r="W4294" i="1"/>
  <c r="M4291" i="1"/>
  <c r="W4288" i="1"/>
  <c r="J4287" i="1"/>
  <c r="M4284" i="1"/>
  <c r="AI4510" i="1"/>
  <c r="AF4505" i="1"/>
  <c r="AH4494" i="1"/>
  <c r="M4483" i="1"/>
  <c r="G4478" i="1"/>
  <c r="AF4472" i="1"/>
  <c r="J4457" i="1"/>
  <c r="G4446" i="1"/>
  <c r="AI4440" i="1"/>
  <c r="AI4429" i="1"/>
  <c r="AF4424" i="1"/>
  <c r="G4419" i="1"/>
  <c r="L4414" i="1"/>
  <c r="L4409" i="1"/>
  <c r="W4391" i="1"/>
  <c r="W4379" i="1"/>
  <c r="AF4375" i="1"/>
  <c r="AF4371" i="1"/>
  <c r="J4360" i="1"/>
  <c r="M4357" i="1"/>
  <c r="M4347" i="1"/>
  <c r="AH4344" i="1"/>
  <c r="AI4338" i="1"/>
  <c r="AF4335" i="1"/>
  <c r="AI4329" i="1"/>
  <c r="J4327" i="1"/>
  <c r="AF4324" i="1"/>
  <c r="J4322" i="1"/>
  <c r="W4319" i="1"/>
  <c r="M4314" i="1"/>
  <c r="J4309" i="1"/>
  <c r="G4306" i="1"/>
  <c r="AI4300" i="1"/>
  <c r="W4293" i="1"/>
  <c r="J4291" i="1"/>
  <c r="AI4288" i="1"/>
  <c r="G4287" i="1"/>
  <c r="AH4284" i="1"/>
  <c r="AH4282" i="1"/>
  <c r="AF4280" i="1"/>
  <c r="G4273" i="1"/>
  <c r="AH4270" i="1"/>
  <c r="AI4266" i="1"/>
  <c r="J4261" i="1"/>
  <c r="W4259" i="1"/>
  <c r="W4257" i="1"/>
  <c r="G4252" i="1"/>
  <c r="M4250" i="1"/>
  <c r="L4248" i="1"/>
  <c r="AF4246" i="1"/>
  <c r="AF4244" i="1"/>
  <c r="G4243" i="1"/>
  <c r="L4239" i="1"/>
  <c r="AF4237" i="1"/>
  <c r="AF4235" i="1"/>
  <c r="AI4233" i="1"/>
  <c r="AI4231" i="1"/>
  <c r="J4230" i="1"/>
  <c r="J4228" i="1"/>
  <c r="AF4226" i="1"/>
  <c r="J4223" i="1"/>
  <c r="AF4221" i="1"/>
  <c r="AH4219" i="1"/>
  <c r="J4218" i="1"/>
  <c r="J4216" i="1"/>
  <c r="AF4214" i="1"/>
  <c r="J4211" i="1"/>
  <c r="AF4209" i="1"/>
  <c r="AH4207" i="1"/>
  <c r="J4206" i="1"/>
  <c r="W4204" i="1"/>
  <c r="G4203" i="1"/>
  <c r="AH4201" i="1"/>
  <c r="M4200" i="1"/>
  <c r="AI4197" i="1"/>
  <c r="W4196" i="1"/>
  <c r="J4195" i="1"/>
  <c r="W4192" i="1"/>
  <c r="J4191" i="1"/>
  <c r="AF4188" i="1"/>
  <c r="L4187" i="1"/>
  <c r="G4186" i="1"/>
  <c r="AH4184" i="1"/>
  <c r="M4183" i="1"/>
  <c r="AI4180" i="1"/>
  <c r="W4179" i="1"/>
  <c r="AI4176" i="1"/>
  <c r="W4175" i="1"/>
  <c r="J4174" i="1"/>
  <c r="AF4171" i="1"/>
  <c r="L4170" i="1"/>
  <c r="G4169" i="1"/>
  <c r="AH4167" i="1"/>
  <c r="M4166" i="1"/>
  <c r="AH4163" i="1"/>
  <c r="M4162" i="1"/>
  <c r="AI4159" i="1"/>
  <c r="W4158" i="1"/>
  <c r="J4157" i="1"/>
  <c r="AF4154" i="1"/>
  <c r="L4153" i="1"/>
  <c r="G4152" i="1"/>
  <c r="AH4150" i="1"/>
  <c r="L4149" i="1"/>
  <c r="G4148" i="1"/>
  <c r="AH4146" i="1"/>
  <c r="M4145" i="1"/>
  <c r="AI4142" i="1"/>
  <c r="W4141" i="1"/>
  <c r="J4140" i="1"/>
  <c r="G4139" i="1"/>
  <c r="AI4137" i="1"/>
  <c r="AF4136" i="1"/>
  <c r="M4135" i="1"/>
  <c r="J4134" i="1"/>
  <c r="G4133" i="1"/>
  <c r="AI4131" i="1"/>
  <c r="AF4130" i="1"/>
  <c r="M4129" i="1"/>
  <c r="J4128" i="1"/>
  <c r="G4127" i="1"/>
  <c r="AI4125" i="1"/>
  <c r="AF4124" i="1"/>
  <c r="M4123" i="1"/>
  <c r="J4122" i="1"/>
  <c r="G4121" i="1"/>
  <c r="AI4119" i="1"/>
  <c r="AF4118" i="1"/>
  <c r="M4117" i="1"/>
  <c r="J4116" i="1"/>
  <c r="G4115" i="1"/>
  <c r="AI4113" i="1"/>
  <c r="AF4112" i="1"/>
  <c r="M4111" i="1"/>
  <c r="J4110" i="1"/>
  <c r="G4109" i="1"/>
  <c r="AI4107" i="1"/>
  <c r="AF4106" i="1"/>
  <c r="M4105" i="1"/>
  <c r="J4104" i="1"/>
  <c r="G4103" i="1"/>
  <c r="AI4101" i="1"/>
  <c r="AF4100" i="1"/>
  <c r="M4099" i="1"/>
  <c r="J4098" i="1"/>
  <c r="G4097" i="1"/>
  <c r="AI4095" i="1"/>
  <c r="AF4094" i="1"/>
  <c r="M4093" i="1"/>
  <c r="J4092" i="1"/>
  <c r="G4091" i="1"/>
  <c r="AI4089" i="1"/>
  <c r="AF4088" i="1"/>
  <c r="M4087" i="1"/>
  <c r="J4086" i="1"/>
  <c r="G4085" i="1"/>
  <c r="AI4083" i="1"/>
  <c r="AF4082" i="1"/>
  <c r="M4081" i="1"/>
  <c r="J4080" i="1"/>
  <c r="G4079" i="1"/>
  <c r="AI4077" i="1"/>
  <c r="AF4076" i="1"/>
  <c r="M4075" i="1"/>
  <c r="J4074" i="1"/>
  <c r="G4073" i="1"/>
  <c r="AI4071" i="1"/>
  <c r="AF4070" i="1"/>
  <c r="M4069" i="1"/>
  <c r="J4068" i="1"/>
  <c r="G4067" i="1"/>
  <c r="AI4065" i="1"/>
  <c r="AF4064" i="1"/>
  <c r="M4063" i="1"/>
  <c r="J4062" i="1"/>
  <c r="G4061" i="1"/>
  <c r="AI4059" i="1"/>
  <c r="AF4058" i="1"/>
  <c r="M4057" i="1"/>
  <c r="J4056" i="1"/>
  <c r="G4055" i="1"/>
  <c r="AI4053" i="1"/>
  <c r="AF4052" i="1"/>
  <c r="M4051" i="1"/>
  <c r="J4050" i="1"/>
  <c r="G4049" i="1"/>
  <c r="AI4047" i="1"/>
  <c r="AF4046" i="1"/>
  <c r="M4045" i="1"/>
  <c r="J4044" i="1"/>
  <c r="G4043" i="1"/>
  <c r="AI4041" i="1"/>
  <c r="AF4040" i="1"/>
  <c r="M4039" i="1"/>
  <c r="J4038" i="1"/>
  <c r="G4037" i="1"/>
  <c r="AI4035" i="1"/>
  <c r="AF4034" i="1"/>
  <c r="M4033" i="1"/>
  <c r="J4032" i="1"/>
  <c r="G4031" i="1"/>
  <c r="AI4029" i="1"/>
  <c r="AF4028" i="1"/>
  <c r="M4027" i="1"/>
  <c r="J4026" i="1"/>
  <c r="G4025" i="1"/>
  <c r="AI4023" i="1"/>
  <c r="AF4022" i="1"/>
  <c r="M4021" i="1"/>
  <c r="J4020" i="1"/>
  <c r="G4019" i="1"/>
  <c r="AI4017" i="1"/>
  <c r="AF4016" i="1"/>
  <c r="M4015" i="1"/>
  <c r="J4014" i="1"/>
  <c r="G4013" i="1"/>
  <c r="AI4011" i="1"/>
  <c r="M4510" i="1"/>
  <c r="M4505" i="1"/>
  <c r="M4499" i="1"/>
  <c r="AF4494" i="1"/>
  <c r="J4483" i="1"/>
  <c r="M4472" i="1"/>
  <c r="G4467" i="1"/>
  <c r="J4461" i="1"/>
  <c r="G4457" i="1"/>
  <c r="M4451" i="1"/>
  <c r="W4440" i="1"/>
  <c r="AI4434" i="1"/>
  <c r="M4429" i="1"/>
  <c r="J4414" i="1"/>
  <c r="J4409" i="1"/>
  <c r="AI4395" i="1"/>
  <c r="L4391" i="1"/>
  <c r="W4386" i="1"/>
  <c r="AF4382" i="1"/>
  <c r="AH4366" i="1"/>
  <c r="AI4362" i="1"/>
  <c r="L4357" i="1"/>
  <c r="AH4353" i="1"/>
  <c r="G4347" i="1"/>
  <c r="AF4344" i="1"/>
  <c r="AI4340" i="1"/>
  <c r="L4338" i="1"/>
  <c r="W4335" i="1"/>
  <c r="AI4332" i="1"/>
  <c r="AH4329" i="1"/>
  <c r="J4324" i="1"/>
  <c r="G4319" i="1"/>
  <c r="G4317" i="1"/>
  <c r="L4314" i="1"/>
  <c r="AF4303" i="1"/>
  <c r="AH4300" i="1"/>
  <c r="J4298" i="1"/>
  <c r="M4293" i="1"/>
  <c r="AH4288" i="1"/>
  <c r="AF4284" i="1"/>
  <c r="AF4282" i="1"/>
  <c r="W4280" i="1"/>
  <c r="AI4278" i="1"/>
  <c r="W4276" i="1"/>
  <c r="AI4274" i="1"/>
  <c r="AF4270" i="1"/>
  <c r="G4269" i="1"/>
  <c r="AH4266" i="1"/>
  <c r="AI4264" i="1"/>
  <c r="AI4262" i="1"/>
  <c r="M4259" i="1"/>
  <c r="M4257" i="1"/>
  <c r="AI4255" i="1"/>
  <c r="AH4253" i="1"/>
  <c r="J4248" i="1"/>
  <c r="W4246" i="1"/>
  <c r="W4244" i="1"/>
  <c r="AI4240" i="1"/>
  <c r="J4239" i="1"/>
  <c r="W4237" i="1"/>
  <c r="W4235" i="1"/>
  <c r="AH4233" i="1"/>
  <c r="AF4231" i="1"/>
  <c r="W4226" i="1"/>
  <c r="W4221" i="1"/>
  <c r="AF4219" i="1"/>
  <c r="W4214" i="1"/>
  <c r="W4209" i="1"/>
  <c r="AF4207" i="1"/>
  <c r="J4204" i="1"/>
  <c r="AF4201" i="1"/>
  <c r="L4200" i="1"/>
  <c r="G4199" i="1"/>
  <c r="AH4197" i="1"/>
  <c r="M4196" i="1"/>
  <c r="AH4193" i="1"/>
  <c r="M4192" i="1"/>
  <c r="AI4189" i="1"/>
  <c r="W4188" i="1"/>
  <c r="J4187" i="1"/>
  <c r="AF4184" i="1"/>
  <c r="L4183" i="1"/>
  <c r="G4182" i="1"/>
  <c r="AH4180" i="1"/>
  <c r="L4179" i="1"/>
  <c r="G4178" i="1"/>
  <c r="AH4176" i="1"/>
  <c r="M4175" i="1"/>
  <c r="AI4172" i="1"/>
  <c r="W4171" i="1"/>
  <c r="J4170" i="1"/>
  <c r="AF4167" i="1"/>
  <c r="L4166" i="1"/>
  <c r="AF4163" i="1"/>
  <c r="L4162" i="1"/>
  <c r="G4161" i="1"/>
  <c r="AH4159" i="1"/>
  <c r="M4158" i="1"/>
  <c r="AI4155" i="1"/>
  <c r="W4154" i="1"/>
  <c r="J4153" i="1"/>
  <c r="W4150" i="1"/>
  <c r="J4149" i="1"/>
  <c r="AF4146" i="1"/>
  <c r="L4145" i="1"/>
  <c r="G4144" i="1"/>
  <c r="AH4142" i="1"/>
  <c r="M4141" i="1"/>
  <c r="AH4137" i="1"/>
  <c r="W4136" i="1"/>
  <c r="L4135" i="1"/>
  <c r="AH4131" i="1"/>
  <c r="W4130" i="1"/>
  <c r="L4129" i="1"/>
  <c r="AH4125" i="1"/>
  <c r="W4124" i="1"/>
  <c r="L4123" i="1"/>
  <c r="AH4119" i="1"/>
  <c r="W4118" i="1"/>
  <c r="L4117" i="1"/>
  <c r="AH4113" i="1"/>
  <c r="W4112" i="1"/>
  <c r="L4111" i="1"/>
  <c r="AH4107" i="1"/>
  <c r="W4106" i="1"/>
  <c r="L4105" i="1"/>
  <c r="J4505" i="1"/>
  <c r="L4499" i="1"/>
  <c r="G4494" i="1"/>
  <c r="M4487" i="1"/>
  <c r="G4472" i="1"/>
  <c r="AF4445" i="1"/>
  <c r="J4440" i="1"/>
  <c r="AH4434" i="1"/>
  <c r="AF4423" i="1"/>
  <c r="AF4418" i="1"/>
  <c r="G4409" i="1"/>
  <c r="AF4404" i="1"/>
  <c r="AI4399" i="1"/>
  <c r="J4391" i="1"/>
  <c r="J4386" i="1"/>
  <c r="W4382" i="1"/>
  <c r="W4378" i="1"/>
  <c r="AI4374" i="1"/>
  <c r="L4370" i="1"/>
  <c r="W4366" i="1"/>
  <c r="AI4359" i="1"/>
  <c r="AF4353" i="1"/>
  <c r="AI4349" i="1"/>
  <c r="J4344" i="1"/>
  <c r="AH4340" i="1"/>
  <c r="J4338" i="1"/>
  <c r="M4335" i="1"/>
  <c r="J4329" i="1"/>
  <c r="M4326" i="1"/>
  <c r="G4324" i="1"/>
  <c r="G4311" i="1"/>
  <c r="AI4308" i="1"/>
  <c r="AI4305" i="1"/>
  <c r="W4303" i="1"/>
  <c r="W4300" i="1"/>
  <c r="AI4295" i="1"/>
  <c r="L4293" i="1"/>
  <c r="AF4288" i="1"/>
  <c r="L4286" i="1"/>
  <c r="J4284" i="1"/>
  <c r="G4282" i="1"/>
  <c r="M4280" i="1"/>
  <c r="AH4278" i="1"/>
  <c r="M4276" i="1"/>
  <c r="AF4274" i="1"/>
  <c r="M4272" i="1"/>
  <c r="W4270" i="1"/>
  <c r="AF4266" i="1"/>
  <c r="AH4264" i="1"/>
  <c r="AF4262" i="1"/>
  <c r="G4261" i="1"/>
  <c r="L4257" i="1"/>
  <c r="AF4255" i="1"/>
  <c r="AF4253" i="1"/>
  <c r="AI4251" i="1"/>
  <c r="AI4249" i="1"/>
  <c r="M4244" i="1"/>
  <c r="AI4242" i="1"/>
  <c r="AH4240" i="1"/>
  <c r="G4237" i="1"/>
  <c r="M4235" i="1"/>
  <c r="AF4233" i="1"/>
  <c r="W4231" i="1"/>
  <c r="G4230" i="1"/>
  <c r="G4228" i="1"/>
  <c r="M4226" i="1"/>
  <c r="AF4224" i="1"/>
  <c r="G4223" i="1"/>
  <c r="G4221" i="1"/>
  <c r="W4219" i="1"/>
  <c r="G4218" i="1"/>
  <c r="G4216" i="1"/>
  <c r="M4214" i="1"/>
  <c r="AF4212" i="1"/>
  <c r="G4211" i="1"/>
  <c r="G4209" i="1"/>
  <c r="W4207" i="1"/>
  <c r="G4206" i="1"/>
  <c r="AI4202" i="1"/>
  <c r="W4201" i="1"/>
  <c r="J4200" i="1"/>
  <c r="AF4197" i="1"/>
  <c r="L4196" i="1"/>
  <c r="AF4193" i="1"/>
  <c r="L4192" i="1"/>
  <c r="G4191" i="1"/>
  <c r="AH4189" i="1"/>
  <c r="M4188" i="1"/>
  <c r="AI4185" i="1"/>
  <c r="W4184" i="1"/>
  <c r="J4183" i="1"/>
  <c r="W4180" i="1"/>
  <c r="J4179" i="1"/>
  <c r="AF4176" i="1"/>
  <c r="L4175" i="1"/>
  <c r="G4174" i="1"/>
  <c r="AH4172" i="1"/>
  <c r="M4171" i="1"/>
  <c r="AI4168" i="1"/>
  <c r="W4167" i="1"/>
  <c r="AI4164" i="1"/>
  <c r="W4163" i="1"/>
  <c r="J4162" i="1"/>
  <c r="AF4159" i="1"/>
  <c r="L4158" i="1"/>
  <c r="G4157" i="1"/>
  <c r="AH4155" i="1"/>
  <c r="M4154" i="1"/>
  <c r="AH4151" i="1"/>
  <c r="M4150" i="1"/>
  <c r="AI4147" i="1"/>
  <c r="W4146" i="1"/>
  <c r="J4145" i="1"/>
  <c r="AF4142" i="1"/>
  <c r="L4141" i="1"/>
  <c r="G4140" i="1"/>
  <c r="AI4138" i="1"/>
  <c r="AF4137" i="1"/>
  <c r="M4136" i="1"/>
  <c r="J4135" i="1"/>
  <c r="G4134" i="1"/>
  <c r="AI4132" i="1"/>
  <c r="AF4131" i="1"/>
  <c r="M4130" i="1"/>
  <c r="J4129" i="1"/>
  <c r="G4128" i="1"/>
  <c r="AI4126" i="1"/>
  <c r="AF4125" i="1"/>
  <c r="M4124" i="1"/>
  <c r="J4123" i="1"/>
  <c r="G4122" i="1"/>
  <c r="AI4120" i="1"/>
  <c r="AF4119" i="1"/>
  <c r="M4118" i="1"/>
  <c r="J4117" i="1"/>
  <c r="G4116" i="1"/>
  <c r="AI4114" i="1"/>
  <c r="AF4113" i="1"/>
  <c r="M4112" i="1"/>
  <c r="J4111" i="1"/>
  <c r="G4110" i="1"/>
  <c r="AI4108" i="1"/>
  <c r="AF4107" i="1"/>
  <c r="M4106" i="1"/>
  <c r="J4105" i="1"/>
  <c r="G4104" i="1"/>
  <c r="AI4102" i="1"/>
  <c r="AF4101" i="1"/>
  <c r="M4100" i="1"/>
  <c r="J4099" i="1"/>
  <c r="G4098" i="1"/>
  <c r="AI4096" i="1"/>
  <c r="AF4095" i="1"/>
  <c r="M4094" i="1"/>
  <c r="J4093" i="1"/>
  <c r="G4092" i="1"/>
  <c r="AI4090" i="1"/>
  <c r="AF4089" i="1"/>
  <c r="M4088" i="1"/>
  <c r="J4087" i="1"/>
  <c r="G4086" i="1"/>
  <c r="AI4084" i="1"/>
  <c r="AF4083" i="1"/>
  <c r="M4082" i="1"/>
  <c r="J4081" i="1"/>
  <c r="G4080" i="1"/>
  <c r="AI4514" i="1"/>
  <c r="J4509" i="1"/>
  <c r="AI4482" i="1"/>
  <c r="M4476" i="1"/>
  <c r="AI4466" i="1"/>
  <c r="AF4434" i="1"/>
  <c r="M4428" i="1"/>
  <c r="W4404" i="1"/>
  <c r="J4399" i="1"/>
  <c r="AF4394" i="1"/>
  <c r="M4382" i="1"/>
  <c r="L4374" i="1"/>
  <c r="L4366" i="1"/>
  <c r="G4362" i="1"/>
  <c r="AH4359" i="1"/>
  <c r="AH4356" i="1"/>
  <c r="AH4349" i="1"/>
  <c r="AF4346" i="1"/>
  <c r="W4340" i="1"/>
  <c r="L4335" i="1"/>
  <c r="AI4331" i="1"/>
  <c r="L4326" i="1"/>
  <c r="J4321" i="1"/>
  <c r="AH4318" i="1"/>
  <c r="J4316" i="1"/>
  <c r="AH4313" i="1"/>
  <c r="AH4308" i="1"/>
  <c r="AH4305" i="1"/>
  <c r="G4303" i="1"/>
  <c r="M4300" i="1"/>
  <c r="G4298" i="1"/>
  <c r="AH4295" i="1"/>
  <c r="J4293" i="1"/>
  <c r="AF4290" i="1"/>
  <c r="M4288" i="1"/>
  <c r="J4286" i="1"/>
  <c r="L4280" i="1"/>
  <c r="AF4278" i="1"/>
  <c r="L4276" i="1"/>
  <c r="W4274" i="1"/>
  <c r="J4272" i="1"/>
  <c r="M4270" i="1"/>
  <c r="L4268" i="1"/>
  <c r="M4266" i="1"/>
  <c r="AF4264" i="1"/>
  <c r="W4262" i="1"/>
  <c r="AI4258" i="1"/>
  <c r="J4257" i="1"/>
  <c r="W4255" i="1"/>
  <c r="W4253" i="1"/>
  <c r="AH4251" i="1"/>
  <c r="AF4249" i="1"/>
  <c r="G4248" i="1"/>
  <c r="AI4245" i="1"/>
  <c r="L4244" i="1"/>
  <c r="AH4242" i="1"/>
  <c r="AF4240" i="1"/>
  <c r="G4239" i="1"/>
  <c r="J4235" i="1"/>
  <c r="M4231" i="1"/>
  <c r="L4226" i="1"/>
  <c r="W4224" i="1"/>
  <c r="M4219" i="1"/>
  <c r="L4214" i="1"/>
  <c r="W4212" i="1"/>
  <c r="M4207" i="1"/>
  <c r="G4204" i="1"/>
  <c r="AH4202" i="1"/>
  <c r="M4201" i="1"/>
  <c r="AI4198" i="1"/>
  <c r="W4197" i="1"/>
  <c r="AI4194" i="1"/>
  <c r="W4193" i="1"/>
  <c r="J4192" i="1"/>
  <c r="AF4189" i="1"/>
  <c r="L4188" i="1"/>
  <c r="G4187" i="1"/>
  <c r="AH4185" i="1"/>
  <c r="M4184" i="1"/>
  <c r="AH4181" i="1"/>
  <c r="M4180" i="1"/>
  <c r="AI4177" i="1"/>
  <c r="W4176" i="1"/>
  <c r="J4175" i="1"/>
  <c r="AF4172" i="1"/>
  <c r="L4171" i="1"/>
  <c r="G4170" i="1"/>
  <c r="AH4168" i="1"/>
  <c r="L4167" i="1"/>
  <c r="G4166" i="1"/>
  <c r="AH4164" i="1"/>
  <c r="M4163" i="1"/>
  <c r="AI4160" i="1"/>
  <c r="W4159" i="1"/>
  <c r="J4158" i="1"/>
  <c r="AF4155" i="1"/>
  <c r="L4154" i="1"/>
  <c r="AF4151" i="1"/>
  <c r="L4150" i="1"/>
  <c r="G4149" i="1"/>
  <c r="AH4147" i="1"/>
  <c r="M4146" i="1"/>
  <c r="AI4143" i="1"/>
  <c r="W4142" i="1"/>
  <c r="J4141" i="1"/>
  <c r="AH4138" i="1"/>
  <c r="W4137" i="1"/>
  <c r="L4136" i="1"/>
  <c r="AH4132" i="1"/>
  <c r="W4131" i="1"/>
  <c r="L4130" i="1"/>
  <c r="AH4126" i="1"/>
  <c r="W4125" i="1"/>
  <c r="L4124" i="1"/>
  <c r="AH4120" i="1"/>
  <c r="W4119" i="1"/>
  <c r="L4118" i="1"/>
  <c r="AH4114" i="1"/>
  <c r="W4113" i="1"/>
  <c r="L4112" i="1"/>
  <c r="AH4108" i="1"/>
  <c r="W4107" i="1"/>
  <c r="L4106" i="1"/>
  <c r="AI4512" i="1"/>
  <c r="AI4506" i="1"/>
  <c r="G4491" i="1"/>
  <c r="M4474" i="1"/>
  <c r="AI4453" i="1"/>
  <c r="G4448" i="1"/>
  <c r="J4437" i="1"/>
  <c r="G4421" i="1"/>
  <c r="J4411" i="1"/>
  <c r="M4392" i="1"/>
  <c r="W4388" i="1"/>
  <c r="AH4380" i="1"/>
  <c r="G4377" i="1"/>
  <c r="J4372" i="1"/>
  <c r="W4368" i="1"/>
  <c r="W4364" i="1"/>
  <c r="L4358" i="1"/>
  <c r="M4355" i="1"/>
  <c r="M4351" i="1"/>
  <c r="M4348" i="1"/>
  <c r="J4345" i="1"/>
  <c r="L4342" i="1"/>
  <c r="L4339" i="1"/>
  <c r="AH4336" i="1"/>
  <c r="AI4333" i="1"/>
  <c r="G4331" i="1"/>
  <c r="M4325" i="1"/>
  <c r="AH4322" i="1"/>
  <c r="J4320" i="1"/>
  <c r="AF4317" i="1"/>
  <c r="J4315" i="1"/>
  <c r="W4312" i="1"/>
  <c r="M4307" i="1"/>
  <c r="W4304" i="1"/>
  <c r="G4302" i="1"/>
  <c r="M4299" i="1"/>
  <c r="M4294" i="1"/>
  <c r="G4292" i="1"/>
  <c r="AI4289" i="1"/>
  <c r="W4287" i="1"/>
  <c r="AF4285" i="1"/>
  <c r="J4283" i="1"/>
  <c r="M4281" i="1"/>
  <c r="L4279" i="1"/>
  <c r="W4277" i="1"/>
  <c r="AH4275" i="1"/>
  <c r="M4273" i="1"/>
  <c r="AH4271" i="1"/>
  <c r="W4269" i="1"/>
  <c r="AI4267" i="1"/>
  <c r="W4265" i="1"/>
  <c r="AF4263" i="1"/>
  <c r="G4262" i="1"/>
  <c r="L4258" i="1"/>
  <c r="L4256" i="1"/>
  <c r="AF4254" i="1"/>
  <c r="AI4250" i="1"/>
  <c r="G4247" i="1"/>
  <c r="L4245" i="1"/>
  <c r="M4243" i="1"/>
  <c r="AH4241" i="1"/>
  <c r="G4240" i="1"/>
  <c r="L4236" i="1"/>
  <c r="L4234" i="1"/>
  <c r="AF4232" i="1"/>
  <c r="AF4230" i="1"/>
  <c r="G4229" i="1"/>
  <c r="G4227" i="1"/>
  <c r="W4225" i="1"/>
  <c r="G4224" i="1"/>
  <c r="G4222" i="1"/>
  <c r="M4220" i="1"/>
  <c r="AF4218" i="1"/>
  <c r="G4217" i="1"/>
  <c r="G4215" i="1"/>
  <c r="W4213" i="1"/>
  <c r="G4212" i="1"/>
  <c r="G4210" i="1"/>
  <c r="M4208" i="1"/>
  <c r="AF4206" i="1"/>
  <c r="G4205" i="1"/>
  <c r="W4203" i="1"/>
  <c r="AI4200" i="1"/>
  <c r="W4199" i="1"/>
  <c r="J4198" i="1"/>
  <c r="AF4195" i="1"/>
  <c r="L4194" i="1"/>
  <c r="G4193" i="1"/>
  <c r="AH4191" i="1"/>
  <c r="M4190" i="1"/>
  <c r="AH4187" i="1"/>
  <c r="M4186" i="1"/>
  <c r="AI4183" i="1"/>
  <c r="W4182" i="1"/>
  <c r="J4181" i="1"/>
  <c r="AF4178" i="1"/>
  <c r="L4177" i="1"/>
  <c r="G4176" i="1"/>
  <c r="AH4174" i="1"/>
  <c r="L4173" i="1"/>
  <c r="G4172" i="1"/>
  <c r="AH4170" i="1"/>
  <c r="M4169" i="1"/>
  <c r="AI4166" i="1"/>
  <c r="W4165" i="1"/>
  <c r="J4164" i="1"/>
  <c r="AF4161" i="1"/>
  <c r="L4160" i="1"/>
  <c r="AF4157" i="1"/>
  <c r="L4156" i="1"/>
  <c r="G4155" i="1"/>
  <c r="AH4153" i="1"/>
  <c r="M4152" i="1"/>
  <c r="AI4486" i="1"/>
  <c r="AH4459" i="1"/>
  <c r="M4417" i="1"/>
  <c r="L4411" i="1"/>
  <c r="G4406" i="1"/>
  <c r="AH4387" i="1"/>
  <c r="L4360" i="1"/>
  <c r="AI4355" i="1"/>
  <c r="G4351" i="1"/>
  <c r="M4346" i="1"/>
  <c r="W4337" i="1"/>
  <c r="G4333" i="1"/>
  <c r="G4321" i="1"/>
  <c r="M4317" i="1"/>
  <c r="W4313" i="1"/>
  <c r="AF4294" i="1"/>
  <c r="J4290" i="1"/>
  <c r="L4287" i="1"/>
  <c r="W4283" i="1"/>
  <c r="AI4280" i="1"/>
  <c r="AF4277" i="1"/>
  <c r="AI4271" i="1"/>
  <c r="J4268" i="1"/>
  <c r="J4265" i="1"/>
  <c r="L4262" i="1"/>
  <c r="AI4259" i="1"/>
  <c r="G4257" i="1"/>
  <c r="L4254" i="1"/>
  <c r="AF4251" i="1"/>
  <c r="AF4245" i="1"/>
  <c r="L4240" i="1"/>
  <c r="J4234" i="1"/>
  <c r="AH4228" i="1"/>
  <c r="AF4225" i="1"/>
  <c r="W4220" i="1"/>
  <c r="M4217" i="1"/>
  <c r="L4212" i="1"/>
  <c r="AI4209" i="1"/>
  <c r="AH4204" i="1"/>
  <c r="L4202" i="1"/>
  <c r="G4198" i="1"/>
  <c r="AI4195" i="1"/>
  <c r="G4194" i="1"/>
  <c r="AI4191" i="1"/>
  <c r="AF4187" i="1"/>
  <c r="W4185" i="1"/>
  <c r="W4183" i="1"/>
  <c r="L4181" i="1"/>
  <c r="G4179" i="1"/>
  <c r="J4177" i="1"/>
  <c r="G4173" i="1"/>
  <c r="AI4170" i="1"/>
  <c r="W4168" i="1"/>
  <c r="AF4166" i="1"/>
  <c r="M4164" i="1"/>
  <c r="W4162" i="1"/>
  <c r="M4160" i="1"/>
  <c r="J4156" i="1"/>
  <c r="G4154" i="1"/>
  <c r="J4152" i="1"/>
  <c r="G4150" i="1"/>
  <c r="L4148" i="1"/>
  <c r="J4146" i="1"/>
  <c r="M4144" i="1"/>
  <c r="M4142" i="1"/>
  <c r="AF4140" i="1"/>
  <c r="J4137" i="1"/>
  <c r="AF4135" i="1"/>
  <c r="AH4133" i="1"/>
  <c r="J4132" i="1"/>
  <c r="J4130" i="1"/>
  <c r="AF4128" i="1"/>
  <c r="J4125" i="1"/>
  <c r="AF4123" i="1"/>
  <c r="AH4121" i="1"/>
  <c r="J4120" i="1"/>
  <c r="J4118" i="1"/>
  <c r="AF4116" i="1"/>
  <c r="J4113" i="1"/>
  <c r="AF4111" i="1"/>
  <c r="AH4109" i="1"/>
  <c r="J4108" i="1"/>
  <c r="J4106" i="1"/>
  <c r="AF4104" i="1"/>
  <c r="W4101" i="1"/>
  <c r="AH4098" i="1"/>
  <c r="L4097" i="1"/>
  <c r="L4094" i="1"/>
  <c r="W4091" i="1"/>
  <c r="AH4088" i="1"/>
  <c r="AH4085" i="1"/>
  <c r="L4084" i="1"/>
  <c r="W4081" i="1"/>
  <c r="AF4078" i="1"/>
  <c r="L4077" i="1"/>
  <c r="G4076" i="1"/>
  <c r="AH4074" i="1"/>
  <c r="M4073" i="1"/>
  <c r="AI4070" i="1"/>
  <c r="W4069" i="1"/>
  <c r="AI4066" i="1"/>
  <c r="W4065" i="1"/>
  <c r="J4064" i="1"/>
  <c r="AF4061" i="1"/>
  <c r="L4060" i="1"/>
  <c r="G4059" i="1"/>
  <c r="AH4057" i="1"/>
  <c r="M4056" i="1"/>
  <c r="AH4053" i="1"/>
  <c r="M4052" i="1"/>
  <c r="AI4049" i="1"/>
  <c r="W4048" i="1"/>
  <c r="J4047" i="1"/>
  <c r="AF4044" i="1"/>
  <c r="L4043" i="1"/>
  <c r="G4042" i="1"/>
  <c r="AH4040" i="1"/>
  <c r="L4039" i="1"/>
  <c r="G4038" i="1"/>
  <c r="AH4036" i="1"/>
  <c r="M4035" i="1"/>
  <c r="AI4032" i="1"/>
  <c r="W4031" i="1"/>
  <c r="J4030" i="1"/>
  <c r="AF4027" i="1"/>
  <c r="L4026" i="1"/>
  <c r="AF4023" i="1"/>
  <c r="L4022" i="1"/>
  <c r="G4021" i="1"/>
  <c r="AH4019" i="1"/>
  <c r="M4018" i="1"/>
  <c r="AI4015" i="1"/>
  <c r="W4014" i="1"/>
  <c r="J4013" i="1"/>
  <c r="AF4010" i="1"/>
  <c r="M4009" i="1"/>
  <c r="J4008" i="1"/>
  <c r="G4007" i="1"/>
  <c r="AI4005" i="1"/>
  <c r="AF4004" i="1"/>
  <c r="M4003" i="1"/>
  <c r="J4002" i="1"/>
  <c r="G4001" i="1"/>
  <c r="AI3999" i="1"/>
  <c r="AF3998" i="1"/>
  <c r="M3997" i="1"/>
  <c r="J3996" i="1"/>
  <c r="G3995" i="1"/>
  <c r="AI3993" i="1"/>
  <c r="AF3992" i="1"/>
  <c r="M3991" i="1"/>
  <c r="J3990" i="1"/>
  <c r="G3989" i="1"/>
  <c r="AI3987" i="1"/>
  <c r="AF3986" i="1"/>
  <c r="M3985" i="1"/>
  <c r="J3984" i="1"/>
  <c r="G3983" i="1"/>
  <c r="AI3981" i="1"/>
  <c r="AF3980" i="1"/>
  <c r="M3979" i="1"/>
  <c r="J3978" i="1"/>
  <c r="G3977" i="1"/>
  <c r="AI3975" i="1"/>
  <c r="AF3974" i="1"/>
  <c r="M3973" i="1"/>
  <c r="J3972" i="1"/>
  <c r="G3971" i="1"/>
  <c r="AI3969" i="1"/>
  <c r="AF3968" i="1"/>
  <c r="M3967" i="1"/>
  <c r="J3966" i="1"/>
  <c r="G3965" i="1"/>
  <c r="AI3963" i="1"/>
  <c r="AF3962" i="1"/>
  <c r="M3961" i="1"/>
  <c r="J3960" i="1"/>
  <c r="G3959" i="1"/>
  <c r="AI3957" i="1"/>
  <c r="AF3956" i="1"/>
  <c r="M3955" i="1"/>
  <c r="J3954" i="1"/>
  <c r="G3953" i="1"/>
  <c r="AI3951" i="1"/>
  <c r="AF3950" i="1"/>
  <c r="M3949" i="1"/>
  <c r="J3948" i="1"/>
  <c r="G3947" i="1"/>
  <c r="AI3945" i="1"/>
  <c r="AF3944" i="1"/>
  <c r="M3943" i="1"/>
  <c r="J3942" i="1"/>
  <c r="G3941" i="1"/>
  <c r="AI3939" i="1"/>
  <c r="AF3938" i="1"/>
  <c r="M3937" i="1"/>
  <c r="J3936" i="1"/>
  <c r="G3935" i="1"/>
  <c r="AI3933" i="1"/>
  <c r="AF3932" i="1"/>
  <c r="M3931" i="1"/>
  <c r="J3930" i="1"/>
  <c r="G3929" i="1"/>
  <c r="AI3927" i="1"/>
  <c r="AF3926" i="1"/>
  <c r="M3925" i="1"/>
  <c r="J3924" i="1"/>
  <c r="G3923" i="1"/>
  <c r="AI3921" i="1"/>
  <c r="AF3920" i="1"/>
  <c r="M3919" i="1"/>
  <c r="J3918" i="1"/>
  <c r="G3917" i="1"/>
  <c r="AI3915" i="1"/>
  <c r="AF3914" i="1"/>
  <c r="M3913" i="1"/>
  <c r="J3912" i="1"/>
  <c r="G3911" i="1"/>
  <c r="AI3909" i="1"/>
  <c r="AF3908" i="1"/>
  <c r="M3907" i="1"/>
  <c r="J3906" i="1"/>
  <c r="G3905" i="1"/>
  <c r="AI3903" i="1"/>
  <c r="AF3902" i="1"/>
  <c r="M3901" i="1"/>
  <c r="J3900" i="1"/>
  <c r="AI4501" i="1"/>
  <c r="L4486" i="1"/>
  <c r="AF4459" i="1"/>
  <c r="M4452" i="1"/>
  <c r="L4438" i="1"/>
  <c r="AI4398" i="1"/>
  <c r="J4381" i="1"/>
  <c r="AI4369" i="1"/>
  <c r="L4364" i="1"/>
  <c r="AF4355" i="1"/>
  <c r="L4341" i="1"/>
  <c r="G4337" i="1"/>
  <c r="G4328" i="1"/>
  <c r="AH4324" i="1"/>
  <c r="J4317" i="1"/>
  <c r="W4309" i="1"/>
  <c r="W4305" i="1"/>
  <c r="M4297" i="1"/>
  <c r="L4294" i="1"/>
  <c r="M4283" i="1"/>
  <c r="J4280" i="1"/>
  <c r="M4277" i="1"/>
  <c r="M4274" i="1"/>
  <c r="AF4271" i="1"/>
  <c r="G4265" i="1"/>
  <c r="J4262" i="1"/>
  <c r="AH4259" i="1"/>
  <c r="J4254" i="1"/>
  <c r="AF4248" i="1"/>
  <c r="W4245" i="1"/>
  <c r="J4240" i="1"/>
  <c r="AI4236" i="1"/>
  <c r="G4234" i="1"/>
  <c r="M4225" i="1"/>
  <c r="AI4222" i="1"/>
  <c r="L4220" i="1"/>
  <c r="L4217" i="1"/>
  <c r="AI4214" i="1"/>
  <c r="J4212" i="1"/>
  <c r="AH4209" i="1"/>
  <c r="G4202" i="1"/>
  <c r="AH4199" i="1"/>
  <c r="AH4195" i="1"/>
  <c r="AF4191" i="1"/>
  <c r="W4189" i="1"/>
  <c r="W4187" i="1"/>
  <c r="L4185" i="1"/>
  <c r="AI4174" i="1"/>
  <c r="AF4170" i="1"/>
  <c r="M4168" i="1"/>
  <c r="W4166" i="1"/>
  <c r="L4164" i="1"/>
  <c r="G4162" i="1"/>
  <c r="G4158" i="1"/>
  <c r="L4144" i="1"/>
  <c r="L4142" i="1"/>
  <c r="W4140" i="1"/>
  <c r="W4135" i="1"/>
  <c r="AF4133" i="1"/>
  <c r="W4128" i="1"/>
  <c r="W4123" i="1"/>
  <c r="AF4121" i="1"/>
  <c r="W4116" i="1"/>
  <c r="W4111" i="1"/>
  <c r="AF4109" i="1"/>
  <c r="W4104" i="1"/>
  <c r="M4101" i="1"/>
  <c r="G4100" i="1"/>
  <c r="AF4098" i="1"/>
  <c r="J4097" i="1"/>
  <c r="AH4095" i="1"/>
  <c r="J4094" i="1"/>
  <c r="AI4092" i="1"/>
  <c r="M4091" i="1"/>
  <c r="G4090" i="1"/>
  <c r="W4088" i="1"/>
  <c r="G4087" i="1"/>
  <c r="AF4085" i="1"/>
  <c r="J4084" i="1"/>
  <c r="AI4082" i="1"/>
  <c r="L4081" i="1"/>
  <c r="AI4079" i="1"/>
  <c r="W4078" i="1"/>
  <c r="J4077" i="1"/>
  <c r="AF4074" i="1"/>
  <c r="L4073" i="1"/>
  <c r="G4072" i="1"/>
  <c r="AH4070" i="1"/>
  <c r="L4069" i="1"/>
  <c r="G4068" i="1"/>
  <c r="AH4066" i="1"/>
  <c r="M4065" i="1"/>
  <c r="AI4062" i="1"/>
  <c r="W4061" i="1"/>
  <c r="J4060" i="1"/>
  <c r="AF4057" i="1"/>
  <c r="L4056" i="1"/>
  <c r="AF4053" i="1"/>
  <c r="L4052" i="1"/>
  <c r="G4051" i="1"/>
  <c r="AH4049" i="1"/>
  <c r="M4048" i="1"/>
  <c r="AI4045" i="1"/>
  <c r="W4044" i="1"/>
  <c r="J4043" i="1"/>
  <c r="W4040" i="1"/>
  <c r="J4039" i="1"/>
  <c r="AF4036" i="1"/>
  <c r="L4035" i="1"/>
  <c r="G4034" i="1"/>
  <c r="AH4032" i="1"/>
  <c r="M4031" i="1"/>
  <c r="AI4028" i="1"/>
  <c r="W4027" i="1"/>
  <c r="AI4024" i="1"/>
  <c r="W4023" i="1"/>
  <c r="J4022" i="1"/>
  <c r="AF4019" i="1"/>
  <c r="L4018" i="1"/>
  <c r="G4017" i="1"/>
  <c r="AH4015" i="1"/>
  <c r="M4014" i="1"/>
  <c r="AH4011" i="1"/>
  <c r="W4010" i="1"/>
  <c r="L4009" i="1"/>
  <c r="AH4005" i="1"/>
  <c r="W4004" i="1"/>
  <c r="L4003" i="1"/>
  <c r="AH3999" i="1"/>
  <c r="W3998" i="1"/>
  <c r="L3997" i="1"/>
  <c r="AH3993" i="1"/>
  <c r="W3992" i="1"/>
  <c r="L3991" i="1"/>
  <c r="AH3987" i="1"/>
  <c r="W3986" i="1"/>
  <c r="L3985" i="1"/>
  <c r="AH3981" i="1"/>
  <c r="W3980" i="1"/>
  <c r="L3979" i="1"/>
  <c r="AH3975" i="1"/>
  <c r="W3974" i="1"/>
  <c r="L3973" i="1"/>
  <c r="AH3969" i="1"/>
  <c r="W3968" i="1"/>
  <c r="L3967" i="1"/>
  <c r="AF4493" i="1"/>
  <c r="AI4479" i="1"/>
  <c r="AF4471" i="1"/>
  <c r="AI4464" i="1"/>
  <c r="G4452" i="1"/>
  <c r="G4430" i="1"/>
  <c r="AH4422" i="1"/>
  <c r="G4416" i="1"/>
  <c r="M4398" i="1"/>
  <c r="J4392" i="1"/>
  <c r="AH4375" i="1"/>
  <c r="AF4369" i="1"/>
  <c r="AF4359" i="1"/>
  <c r="G4355" i="1"/>
  <c r="L4345" i="1"/>
  <c r="L4320" i="1"/>
  <c r="AF4312" i="1"/>
  <c r="M4309" i="1"/>
  <c r="M4305" i="1"/>
  <c r="G4301" i="1"/>
  <c r="L4297" i="1"/>
  <c r="J4294" i="1"/>
  <c r="G4290" i="1"/>
  <c r="G4283" i="1"/>
  <c r="J4277" i="1"/>
  <c r="G4268" i="1"/>
  <c r="AF4259" i="1"/>
  <c r="AI4256" i="1"/>
  <c r="G4251" i="1"/>
  <c r="M4248" i="1"/>
  <c r="M4245" i="1"/>
  <c r="AH4236" i="1"/>
  <c r="W4230" i="1"/>
  <c r="AI4227" i="1"/>
  <c r="L4225" i="1"/>
  <c r="AH4222" i="1"/>
  <c r="J4217" i="1"/>
  <c r="AH4214" i="1"/>
  <c r="W4206" i="1"/>
  <c r="AI4203" i="1"/>
  <c r="AF4199" i="1"/>
  <c r="L4197" i="1"/>
  <c r="W4195" i="1"/>
  <c r="M4193" i="1"/>
  <c r="W4191" i="1"/>
  <c r="M4189" i="1"/>
  <c r="M4187" i="1"/>
  <c r="J4185" i="1"/>
  <c r="AI4182" i="1"/>
  <c r="G4181" i="1"/>
  <c r="AI4178" i="1"/>
  <c r="W4174" i="1"/>
  <c r="W4172" i="1"/>
  <c r="W4170" i="1"/>
  <c r="L4168" i="1"/>
  <c r="G4160" i="1"/>
  <c r="G4156" i="1"/>
  <c r="AI4153" i="1"/>
  <c r="AI4149" i="1"/>
  <c r="G4146" i="1"/>
  <c r="J4144" i="1"/>
  <c r="M4140" i="1"/>
  <c r="AF4138" i="1"/>
  <c r="G4137" i="1"/>
  <c r="G4135" i="1"/>
  <c r="W4133" i="1"/>
  <c r="G4132" i="1"/>
  <c r="G4130" i="1"/>
  <c r="M4128" i="1"/>
  <c r="AF4126" i="1"/>
  <c r="G4125" i="1"/>
  <c r="G4123" i="1"/>
  <c r="W4121" i="1"/>
  <c r="G4120" i="1"/>
  <c r="G4118" i="1"/>
  <c r="M4116" i="1"/>
  <c r="AF4114" i="1"/>
  <c r="G4113" i="1"/>
  <c r="G4111" i="1"/>
  <c r="W4109" i="1"/>
  <c r="G4108" i="1"/>
  <c r="G4106" i="1"/>
  <c r="M4104" i="1"/>
  <c r="AH4102" i="1"/>
  <c r="L4101" i="1"/>
  <c r="W4098" i="1"/>
  <c r="W4095" i="1"/>
  <c r="AH4092" i="1"/>
  <c r="L4091" i="1"/>
  <c r="L4088" i="1"/>
  <c r="W4085" i="1"/>
  <c r="AH4082" i="1"/>
  <c r="AH4079" i="1"/>
  <c r="M4078" i="1"/>
  <c r="AI4075" i="1"/>
  <c r="W4074" i="1"/>
  <c r="J4073" i="1"/>
  <c r="W4070" i="1"/>
  <c r="J4069" i="1"/>
  <c r="AF4066" i="1"/>
  <c r="L4065" i="1"/>
  <c r="G4064" i="1"/>
  <c r="AH4062" i="1"/>
  <c r="M4061" i="1"/>
  <c r="AI4058" i="1"/>
  <c r="W4057" i="1"/>
  <c r="AI4054" i="1"/>
  <c r="W4053" i="1"/>
  <c r="J4052" i="1"/>
  <c r="AF4049" i="1"/>
  <c r="L4048" i="1"/>
  <c r="G4047" i="1"/>
  <c r="AH4045" i="1"/>
  <c r="M4044" i="1"/>
  <c r="AH4041" i="1"/>
  <c r="M4040" i="1"/>
  <c r="AI4037" i="1"/>
  <c r="W4036" i="1"/>
  <c r="J4035" i="1"/>
  <c r="AF4032" i="1"/>
  <c r="L4031" i="1"/>
  <c r="G4030" i="1"/>
  <c r="AH4028" i="1"/>
  <c r="L4027" i="1"/>
  <c r="G4026" i="1"/>
  <c r="AH4024" i="1"/>
  <c r="M4023" i="1"/>
  <c r="AI4020" i="1"/>
  <c r="W4019" i="1"/>
  <c r="J4018" i="1"/>
  <c r="AF4015" i="1"/>
  <c r="L4014" i="1"/>
  <c r="AF4011" i="1"/>
  <c r="M4010" i="1"/>
  <c r="J4009" i="1"/>
  <c r="G4008" i="1"/>
  <c r="AI4006" i="1"/>
  <c r="AF4005" i="1"/>
  <c r="M4004" i="1"/>
  <c r="J4003" i="1"/>
  <c r="G4002" i="1"/>
  <c r="AI4000" i="1"/>
  <c r="AF3999" i="1"/>
  <c r="M3998" i="1"/>
  <c r="J3997" i="1"/>
  <c r="G3996" i="1"/>
  <c r="AI3994" i="1"/>
  <c r="AF3993" i="1"/>
  <c r="M3992" i="1"/>
  <c r="J3991" i="1"/>
  <c r="G3990" i="1"/>
  <c r="AI3988" i="1"/>
  <c r="AF3987" i="1"/>
  <c r="M3986" i="1"/>
  <c r="J3985" i="1"/>
  <c r="G3984" i="1"/>
  <c r="M4514" i="1"/>
  <c r="AH4506" i="1"/>
  <c r="AF4485" i="1"/>
  <c r="J4464" i="1"/>
  <c r="J4444" i="1"/>
  <c r="AF4437" i="1"/>
  <c r="G4422" i="1"/>
  <c r="W4409" i="1"/>
  <c r="J4398" i="1"/>
  <c r="M4385" i="1"/>
  <c r="AI4380" i="1"/>
  <c r="M4369" i="1"/>
  <c r="AI4363" i="1"/>
  <c r="AF4349" i="1"/>
  <c r="L4340" i="1"/>
  <c r="AF4336" i="1"/>
  <c r="AH4331" i="1"/>
  <c r="AI4327" i="1"/>
  <c r="AI4323" i="1"/>
  <c r="M4312" i="1"/>
  <c r="L4309" i="1"/>
  <c r="L4305" i="1"/>
  <c r="J4297" i="1"/>
  <c r="G4280" i="1"/>
  <c r="G4277" i="1"/>
  <c r="AI4273" i="1"/>
  <c r="AI4270" i="1"/>
  <c r="G4264" i="1"/>
  <c r="J4256" i="1"/>
  <c r="M4253" i="1"/>
  <c r="J4245" i="1"/>
  <c r="G4242" i="1"/>
  <c r="W4239" i="1"/>
  <c r="AF4236" i="1"/>
  <c r="G4233" i="1"/>
  <c r="M4230" i="1"/>
  <c r="AH4227" i="1"/>
  <c r="J4225" i="1"/>
  <c r="J4222" i="1"/>
  <c r="AI4219" i="1"/>
  <c r="AI4208" i="1"/>
  <c r="M4206" i="1"/>
  <c r="AH4203" i="1"/>
  <c r="AI4201" i="1"/>
  <c r="M4199" i="1"/>
  <c r="J4197" i="1"/>
  <c r="M4195" i="1"/>
  <c r="L4193" i="1"/>
  <c r="L4191" i="1"/>
  <c r="L4189" i="1"/>
  <c r="G4185" i="1"/>
  <c r="AH4182" i="1"/>
  <c r="AH4178" i="1"/>
  <c r="M4176" i="1"/>
  <c r="M4174" i="1"/>
  <c r="M4172" i="1"/>
  <c r="M4170" i="1"/>
  <c r="J4168" i="1"/>
  <c r="AI4165" i="1"/>
  <c r="G4164" i="1"/>
  <c r="AI4161" i="1"/>
  <c r="AH4157" i="1"/>
  <c r="AF4153" i="1"/>
  <c r="W4151" i="1"/>
  <c r="AH4149" i="1"/>
  <c r="AF4147" i="1"/>
  <c r="G4142" i="1"/>
  <c r="L4140" i="1"/>
  <c r="W4138" i="1"/>
  <c r="M4133" i="1"/>
  <c r="L4128" i="1"/>
  <c r="W4126" i="1"/>
  <c r="M4121" i="1"/>
  <c r="L4116" i="1"/>
  <c r="W4114" i="1"/>
  <c r="M4109" i="1"/>
  <c r="L4104" i="1"/>
  <c r="AF4102" i="1"/>
  <c r="J4101" i="1"/>
  <c r="AI4099" i="1"/>
  <c r="M4098" i="1"/>
  <c r="M4095" i="1"/>
  <c r="G4094" i="1"/>
  <c r="AF4092" i="1"/>
  <c r="J4091" i="1"/>
  <c r="AH4089" i="1"/>
  <c r="J4088" i="1"/>
  <c r="AI4086" i="1"/>
  <c r="M4085" i="1"/>
  <c r="G4084" i="1"/>
  <c r="W4082" i="1"/>
  <c r="G4081" i="1"/>
  <c r="AF4079" i="1"/>
  <c r="L4078" i="1"/>
  <c r="G4077" i="1"/>
  <c r="AH4075" i="1"/>
  <c r="M4074" i="1"/>
  <c r="AH4071" i="1"/>
  <c r="M4070" i="1"/>
  <c r="AI4067" i="1"/>
  <c r="W4066" i="1"/>
  <c r="J4065" i="1"/>
  <c r="AF4062" i="1"/>
  <c r="L4061" i="1"/>
  <c r="G4060" i="1"/>
  <c r="AH4058" i="1"/>
  <c r="L4057" i="1"/>
  <c r="G4056" i="1"/>
  <c r="AH4054" i="1"/>
  <c r="M4053" i="1"/>
  <c r="AI4050" i="1"/>
  <c r="W4049" i="1"/>
  <c r="J4048" i="1"/>
  <c r="AF4045" i="1"/>
  <c r="L4044" i="1"/>
  <c r="AF4041" i="1"/>
  <c r="L4040" i="1"/>
  <c r="G4039" i="1"/>
  <c r="AH4037" i="1"/>
  <c r="M4036" i="1"/>
  <c r="AI4033" i="1"/>
  <c r="W4032" i="1"/>
  <c r="J4031" i="1"/>
  <c r="W4028" i="1"/>
  <c r="J4027" i="1"/>
  <c r="AF4024" i="1"/>
  <c r="L4023" i="1"/>
  <c r="G4022" i="1"/>
  <c r="AH4020" i="1"/>
  <c r="M4019" i="1"/>
  <c r="AI4016" i="1"/>
  <c r="W4015" i="1"/>
  <c r="AI4012" i="1"/>
  <c r="W4011" i="1"/>
  <c r="L4010" i="1"/>
  <c r="AH4006" i="1"/>
  <c r="W4005" i="1"/>
  <c r="L4004" i="1"/>
  <c r="AH4000" i="1"/>
  <c r="W3999" i="1"/>
  <c r="L3998" i="1"/>
  <c r="AH3994" i="1"/>
  <c r="W3993" i="1"/>
  <c r="L3992" i="1"/>
  <c r="AH3988" i="1"/>
  <c r="W3987" i="1"/>
  <c r="L3986" i="1"/>
  <c r="J4503" i="1"/>
  <c r="AF4497" i="1"/>
  <c r="J4489" i="1"/>
  <c r="M4475" i="1"/>
  <c r="J4468" i="1"/>
  <c r="AI4455" i="1"/>
  <c r="L4426" i="1"/>
  <c r="AH4401" i="1"/>
  <c r="J4389" i="1"/>
  <c r="AF4383" i="1"/>
  <c r="W4361" i="1"/>
  <c r="AI4357" i="1"/>
  <c r="AF4347" i="1"/>
  <c r="M4343" i="1"/>
  <c r="G4339" i="1"/>
  <c r="W4334" i="1"/>
  <c r="J4330" i="1"/>
  <c r="G4326" i="1"/>
  <c r="W4322" i="1"/>
  <c r="W4318" i="1"/>
  <c r="AI4310" i="1"/>
  <c r="W4307" i="1"/>
  <c r="L4299" i="1"/>
  <c r="J4288" i="1"/>
  <c r="AF4281" i="1"/>
  <c r="AI4275" i="1"/>
  <c r="M4269" i="1"/>
  <c r="M4263" i="1"/>
  <c r="AH4260" i="1"/>
  <c r="J4258" i="1"/>
  <c r="M4252" i="1"/>
  <c r="W4249" i="1"/>
  <c r="AI4246" i="1"/>
  <c r="G4244" i="1"/>
  <c r="M4241" i="1"/>
  <c r="J4238" i="1"/>
  <c r="M4232" i="1"/>
  <c r="J4229" i="1"/>
  <c r="AH4226" i="1"/>
  <c r="W4218" i="1"/>
  <c r="AI4215" i="1"/>
  <c r="L4213" i="1"/>
  <c r="AH4210" i="1"/>
  <c r="J4205" i="1"/>
  <c r="AH4200" i="1"/>
  <c r="W4198" i="1"/>
  <c r="AH4196" i="1"/>
  <c r="W4194" i="1"/>
  <c r="AH4192" i="1"/>
  <c r="W4190" i="1"/>
  <c r="J4188" i="1"/>
  <c r="J4186" i="1"/>
  <c r="G4184" i="1"/>
  <c r="AH4177" i="1"/>
  <c r="AH4175" i="1"/>
  <c r="AF4173" i="1"/>
  <c r="AH4171" i="1"/>
  <c r="L4169" i="1"/>
  <c r="J4165" i="1"/>
  <c r="G4163" i="1"/>
  <c r="AI4156" i="1"/>
  <c r="AH4152" i="1"/>
  <c r="AH4148" i="1"/>
  <c r="J4143" i="1"/>
  <c r="W4139" i="1"/>
  <c r="G4138" i="1"/>
  <c r="G4136" i="1"/>
  <c r="M4134" i="1"/>
  <c r="AF4132" i="1"/>
  <c r="G4131" i="1"/>
  <c r="G4129" i="1"/>
  <c r="W4127" i="1"/>
  <c r="G4126" i="1"/>
  <c r="G4124" i="1"/>
  <c r="M4122" i="1"/>
  <c r="AF4120" i="1"/>
  <c r="G4119" i="1"/>
  <c r="G4117" i="1"/>
  <c r="W4115" i="1"/>
  <c r="G4114" i="1"/>
  <c r="G4112" i="1"/>
  <c r="M4110" i="1"/>
  <c r="AF4108" i="1"/>
  <c r="G4107" i="1"/>
  <c r="G4105" i="1"/>
  <c r="W4103" i="1"/>
  <c r="AH4100" i="1"/>
  <c r="AH4097" i="1"/>
  <c r="L4096" i="1"/>
  <c r="W4093" i="1"/>
  <c r="W4090" i="1"/>
  <c r="AH4087" i="1"/>
  <c r="L4086" i="1"/>
  <c r="AH4084" i="1"/>
  <c r="L4083" i="1"/>
  <c r="W4080" i="1"/>
  <c r="AH4077" i="1"/>
  <c r="M4076" i="1"/>
  <c r="AI4073" i="1"/>
  <c r="W4072" i="1"/>
  <c r="J4071" i="1"/>
  <c r="AF4068" i="1"/>
  <c r="L4067" i="1"/>
  <c r="G4066" i="1"/>
  <c r="AH4064" i="1"/>
  <c r="L4063" i="1"/>
  <c r="G4062" i="1"/>
  <c r="AH4060" i="1"/>
  <c r="M4059" i="1"/>
  <c r="AI4056" i="1"/>
  <c r="W4055" i="1"/>
  <c r="J4054" i="1"/>
  <c r="AF4051" i="1"/>
  <c r="L4050" i="1"/>
  <c r="AF4047" i="1"/>
  <c r="L4046" i="1"/>
  <c r="G4045" i="1"/>
  <c r="AH4043" i="1"/>
  <c r="M4042" i="1"/>
  <c r="AI4039" i="1"/>
  <c r="W4038" i="1"/>
  <c r="J4037" i="1"/>
  <c r="W4034" i="1"/>
  <c r="J4033" i="1"/>
  <c r="AF4030" i="1"/>
  <c r="L4029" i="1"/>
  <c r="G4028" i="1"/>
  <c r="AH4026" i="1"/>
  <c r="M4025" i="1"/>
  <c r="AI4022" i="1"/>
  <c r="W4021" i="1"/>
  <c r="AI4018" i="1"/>
  <c r="W4017" i="1"/>
  <c r="J4016" i="1"/>
  <c r="AF4013" i="1"/>
  <c r="L4012" i="1"/>
  <c r="AF4482" i="1"/>
  <c r="AF4448" i="1"/>
  <c r="L4377" i="1"/>
  <c r="W4343" i="1"/>
  <c r="AF4337" i="1"/>
  <c r="W4331" i="1"/>
  <c r="W4325" i="1"/>
  <c r="J4304" i="1"/>
  <c r="G4299" i="1"/>
  <c r="G4293" i="1"/>
  <c r="L4288" i="1"/>
  <c r="G4279" i="1"/>
  <c r="J4270" i="1"/>
  <c r="L4261" i="1"/>
  <c r="J4253" i="1"/>
  <c r="M4249" i="1"/>
  <c r="M4236" i="1"/>
  <c r="AF4227" i="1"/>
  <c r="M4223" i="1"/>
  <c r="L4219" i="1"/>
  <c r="AF4215" i="1"/>
  <c r="M4211" i="1"/>
  <c r="AF4194" i="1"/>
  <c r="AI4184" i="1"/>
  <c r="AF4181" i="1"/>
  <c r="J4169" i="1"/>
  <c r="AF4165" i="1"/>
  <c r="AH4162" i="1"/>
  <c r="L4159" i="1"/>
  <c r="AH4156" i="1"/>
  <c r="G4151" i="1"/>
  <c r="M4148" i="1"/>
  <c r="W4145" i="1"/>
  <c r="G4143" i="1"/>
  <c r="AF4139" i="1"/>
  <c r="W4134" i="1"/>
  <c r="M4131" i="1"/>
  <c r="L4126" i="1"/>
  <c r="AI4123" i="1"/>
  <c r="AH4118" i="1"/>
  <c r="AF4115" i="1"/>
  <c r="W4110" i="1"/>
  <c r="M4107" i="1"/>
  <c r="M4102" i="1"/>
  <c r="J4100" i="1"/>
  <c r="AI4097" i="1"/>
  <c r="AF4093" i="1"/>
  <c r="AF4091" i="1"/>
  <c r="J4089" i="1"/>
  <c r="AH4086" i="1"/>
  <c r="W4084" i="1"/>
  <c r="AF4075" i="1"/>
  <c r="AF4073" i="1"/>
  <c r="M4071" i="1"/>
  <c r="AF4069" i="1"/>
  <c r="M4067" i="1"/>
  <c r="G4065" i="1"/>
  <c r="AH4056" i="1"/>
  <c r="W4054" i="1"/>
  <c r="AH4052" i="1"/>
  <c r="W4050" i="1"/>
  <c r="AF4048" i="1"/>
  <c r="M4046" i="1"/>
  <c r="L4042" i="1"/>
  <c r="G4036" i="1"/>
  <c r="AH4029" i="1"/>
  <c r="AH4025" i="1"/>
  <c r="AF4021" i="1"/>
  <c r="L4019" i="1"/>
  <c r="L4017" i="1"/>
  <c r="L4013" i="1"/>
  <c r="J4011" i="1"/>
  <c r="AF4009" i="1"/>
  <c r="AH4007" i="1"/>
  <c r="J4006" i="1"/>
  <c r="J4004" i="1"/>
  <c r="AF4002" i="1"/>
  <c r="J3999" i="1"/>
  <c r="AF3997" i="1"/>
  <c r="AH3995" i="1"/>
  <c r="J3994" i="1"/>
  <c r="J3992" i="1"/>
  <c r="AF3990" i="1"/>
  <c r="J3987" i="1"/>
  <c r="AF3985" i="1"/>
  <c r="AH3983" i="1"/>
  <c r="M3982" i="1"/>
  <c r="G3981" i="1"/>
  <c r="AF3979" i="1"/>
  <c r="G3978" i="1"/>
  <c r="AH3976" i="1"/>
  <c r="L3975" i="1"/>
  <c r="W3972" i="1"/>
  <c r="AF3969" i="1"/>
  <c r="J3968" i="1"/>
  <c r="AI3966" i="1"/>
  <c r="M3965" i="1"/>
  <c r="AI3962" i="1"/>
  <c r="W3961" i="1"/>
  <c r="AI3958" i="1"/>
  <c r="W3957" i="1"/>
  <c r="J3956" i="1"/>
  <c r="AF3953" i="1"/>
  <c r="L3952" i="1"/>
  <c r="G3951" i="1"/>
  <c r="AH3949" i="1"/>
  <c r="M3948" i="1"/>
  <c r="AH3945" i="1"/>
  <c r="M3944" i="1"/>
  <c r="AI3941" i="1"/>
  <c r="W3940" i="1"/>
  <c r="J3939" i="1"/>
  <c r="AF3936" i="1"/>
  <c r="L3935" i="1"/>
  <c r="G3934" i="1"/>
  <c r="AH3932" i="1"/>
  <c r="L3931" i="1"/>
  <c r="G3930" i="1"/>
  <c r="AH3928" i="1"/>
  <c r="M3927" i="1"/>
  <c r="AI3924" i="1"/>
  <c r="W3923" i="1"/>
  <c r="J3922" i="1"/>
  <c r="AF3919" i="1"/>
  <c r="L3918" i="1"/>
  <c r="AF3915" i="1"/>
  <c r="L3914" i="1"/>
  <c r="G3913" i="1"/>
  <c r="AH3911" i="1"/>
  <c r="M3910" i="1"/>
  <c r="AI3907" i="1"/>
  <c r="W3906" i="1"/>
  <c r="J3905" i="1"/>
  <c r="W3902" i="1"/>
  <c r="J3901" i="1"/>
  <c r="AH3898" i="1"/>
  <c r="W3897" i="1"/>
  <c r="L3896" i="1"/>
  <c r="AH3892" i="1"/>
  <c r="W3891" i="1"/>
  <c r="L3890" i="1"/>
  <c r="AH3886" i="1"/>
  <c r="W3885" i="1"/>
  <c r="L3884" i="1"/>
  <c r="AH3880" i="1"/>
  <c r="W3879" i="1"/>
  <c r="L3878" i="1"/>
  <c r="AH3874" i="1"/>
  <c r="W3873" i="1"/>
  <c r="L3872" i="1"/>
  <c r="AH3868" i="1"/>
  <c r="W3867" i="1"/>
  <c r="L3866" i="1"/>
  <c r="AH3862" i="1"/>
  <c r="W3861" i="1"/>
  <c r="L3860" i="1"/>
  <c r="AH3856" i="1"/>
  <c r="W3855" i="1"/>
  <c r="L3854" i="1"/>
  <c r="AH3850" i="1"/>
  <c r="W3849" i="1"/>
  <c r="L3848" i="1"/>
  <c r="AH3844" i="1"/>
  <c r="W3843" i="1"/>
  <c r="L3842" i="1"/>
  <c r="AH3838" i="1"/>
  <c r="W3837" i="1"/>
  <c r="L3836" i="1"/>
  <c r="AH3832" i="1"/>
  <c r="W3831" i="1"/>
  <c r="L3830" i="1"/>
  <c r="AH3826" i="1"/>
  <c r="W3825" i="1"/>
  <c r="L3824" i="1"/>
  <c r="AH3820" i="1"/>
  <c r="W3819" i="1"/>
  <c r="L3818" i="1"/>
  <c r="AH3814" i="1"/>
  <c r="W3813" i="1"/>
  <c r="L3812" i="1"/>
  <c r="AH3808" i="1"/>
  <c r="W3807" i="1"/>
  <c r="L3806" i="1"/>
  <c r="AH3802" i="1"/>
  <c r="W3801" i="1"/>
  <c r="L3800" i="1"/>
  <c r="AH3796" i="1"/>
  <c r="W3795" i="1"/>
  <c r="L3794" i="1"/>
  <c r="AH3790" i="1"/>
  <c r="W3789" i="1"/>
  <c r="L3788" i="1"/>
  <c r="AH3784" i="1"/>
  <c r="W3783" i="1"/>
  <c r="L3782" i="1"/>
  <c r="AH3778" i="1"/>
  <c r="W3777" i="1"/>
  <c r="L3776" i="1"/>
  <c r="AH3772" i="1"/>
  <c r="W3771" i="1"/>
  <c r="L3770" i="1"/>
  <c r="AH3766" i="1"/>
  <c r="W3765" i="1"/>
  <c r="L3764" i="1"/>
  <c r="AH3760" i="1"/>
  <c r="W3759" i="1"/>
  <c r="L3758" i="1"/>
  <c r="AH3754" i="1"/>
  <c r="W3753" i="1"/>
  <c r="L3752" i="1"/>
  <c r="L4463" i="1"/>
  <c r="AF4421" i="1"/>
  <c r="AF4406" i="1"/>
  <c r="W4383" i="1"/>
  <c r="AI4361" i="1"/>
  <c r="G4356" i="1"/>
  <c r="W4349" i="1"/>
  <c r="J4325" i="1"/>
  <c r="AF4319" i="1"/>
  <c r="AF4314" i="1"/>
  <c r="M4265" i="1"/>
  <c r="L4249" i="1"/>
  <c r="AH4244" i="1"/>
  <c r="W4240" i="1"/>
  <c r="J4236" i="1"/>
  <c r="L4231" i="1"/>
  <c r="W4227" i="1"/>
  <c r="L4223" i="1"/>
  <c r="J4219" i="1"/>
  <c r="W4215" i="1"/>
  <c r="L4211" i="1"/>
  <c r="AI4207" i="1"/>
  <c r="AF4203" i="1"/>
  <c r="M4194" i="1"/>
  <c r="AI4190" i="1"/>
  <c r="G4188" i="1"/>
  <c r="L4184" i="1"/>
  <c r="W4181" i="1"/>
  <c r="W4178" i="1"/>
  <c r="AF4175" i="1"/>
  <c r="L4172" i="1"/>
  <c r="M4165" i="1"/>
  <c r="J4159" i="1"/>
  <c r="W4156" i="1"/>
  <c r="W4153" i="1"/>
  <c r="G4145" i="1"/>
  <c r="M4139" i="1"/>
  <c r="AI4136" i="1"/>
  <c r="L4134" i="1"/>
  <c r="L4131" i="1"/>
  <c r="AI4128" i="1"/>
  <c r="J4126" i="1"/>
  <c r="AH4123" i="1"/>
  <c r="M4115" i="1"/>
  <c r="AI4112" i="1"/>
  <c r="L4110" i="1"/>
  <c r="L4107" i="1"/>
  <c r="AI4104" i="1"/>
  <c r="L4102" i="1"/>
  <c r="AF4097" i="1"/>
  <c r="L4095" i="1"/>
  <c r="L4093" i="1"/>
  <c r="G4089" i="1"/>
  <c r="AF4086" i="1"/>
  <c r="M4084" i="1"/>
  <c r="G4082" i="1"/>
  <c r="AF4077" i="1"/>
  <c r="W4075" i="1"/>
  <c r="W4073" i="1"/>
  <c r="L4071" i="1"/>
  <c r="G4069" i="1"/>
  <c r="J4067" i="1"/>
  <c r="G4063" i="1"/>
  <c r="AI4060" i="1"/>
  <c r="W4058" i="1"/>
  <c r="AF4056" i="1"/>
  <c r="M4054" i="1"/>
  <c r="W4052" i="1"/>
  <c r="M4050" i="1"/>
  <c r="J4046" i="1"/>
  <c r="G4044" i="1"/>
  <c r="J4042" i="1"/>
  <c r="G4040" i="1"/>
  <c r="AH4033" i="1"/>
  <c r="AI4031" i="1"/>
  <c r="AF4029" i="1"/>
  <c r="AI4027" i="1"/>
  <c r="AF4025" i="1"/>
  <c r="AH4023" i="1"/>
  <c r="L4021" i="1"/>
  <c r="J4019" i="1"/>
  <c r="J4017" i="1"/>
  <c r="G4015" i="1"/>
  <c r="W4009" i="1"/>
  <c r="AF4007" i="1"/>
  <c r="W4002" i="1"/>
  <c r="W3997" i="1"/>
  <c r="AF3995" i="1"/>
  <c r="W3990" i="1"/>
  <c r="W3985" i="1"/>
  <c r="AF3983" i="1"/>
  <c r="L3982" i="1"/>
  <c r="W3979" i="1"/>
  <c r="AF3976" i="1"/>
  <c r="J3975" i="1"/>
  <c r="AI3973" i="1"/>
  <c r="M3972" i="1"/>
  <c r="W3969" i="1"/>
  <c r="AH3966" i="1"/>
  <c r="L3965" i="1"/>
  <c r="G3964" i="1"/>
  <c r="AH3962" i="1"/>
  <c r="L3961" i="1"/>
  <c r="G3960" i="1"/>
  <c r="AH3958" i="1"/>
  <c r="M3957" i="1"/>
  <c r="AI3954" i="1"/>
  <c r="W3953" i="1"/>
  <c r="J3952" i="1"/>
  <c r="AF3949" i="1"/>
  <c r="L3948" i="1"/>
  <c r="AF3945" i="1"/>
  <c r="L3944" i="1"/>
  <c r="G3943" i="1"/>
  <c r="AH3941" i="1"/>
  <c r="M3940" i="1"/>
  <c r="AI3937" i="1"/>
  <c r="W3936" i="1"/>
  <c r="J3935" i="1"/>
  <c r="W3932" i="1"/>
  <c r="J3931" i="1"/>
  <c r="AF3928" i="1"/>
  <c r="L3927" i="1"/>
  <c r="G3926" i="1"/>
  <c r="AH3924" i="1"/>
  <c r="M3923" i="1"/>
  <c r="AI3920" i="1"/>
  <c r="W3919" i="1"/>
  <c r="AI3916" i="1"/>
  <c r="W3915" i="1"/>
  <c r="J3914" i="1"/>
  <c r="AF3911" i="1"/>
  <c r="L3910" i="1"/>
  <c r="G3909" i="1"/>
  <c r="AH3907" i="1"/>
  <c r="M3906" i="1"/>
  <c r="AH3903" i="1"/>
  <c r="M3902" i="1"/>
  <c r="AI3899" i="1"/>
  <c r="AF3898" i="1"/>
  <c r="M3897" i="1"/>
  <c r="J3896" i="1"/>
  <c r="G3895" i="1"/>
  <c r="AI3893" i="1"/>
  <c r="AF3892" i="1"/>
  <c r="M3891" i="1"/>
  <c r="J3890" i="1"/>
  <c r="G3889" i="1"/>
  <c r="AI3887" i="1"/>
  <c r="AF3886" i="1"/>
  <c r="M3885" i="1"/>
  <c r="J3884" i="1"/>
  <c r="G3883" i="1"/>
  <c r="AI3881" i="1"/>
  <c r="AF3880" i="1"/>
  <c r="M3879" i="1"/>
  <c r="J3878" i="1"/>
  <c r="G3877" i="1"/>
  <c r="AI3875" i="1"/>
  <c r="AF3874" i="1"/>
  <c r="M3873" i="1"/>
  <c r="J3872" i="1"/>
  <c r="G3871" i="1"/>
  <c r="AI3869" i="1"/>
  <c r="AF3868" i="1"/>
  <c r="M3867" i="1"/>
  <c r="J3866" i="1"/>
  <c r="G3865" i="1"/>
  <c r="AI3863" i="1"/>
  <c r="AF3862" i="1"/>
  <c r="M3861" i="1"/>
  <c r="J3860" i="1"/>
  <c r="G3859" i="1"/>
  <c r="AI3857" i="1"/>
  <c r="AF3856" i="1"/>
  <c r="M3855" i="1"/>
  <c r="J3854" i="1"/>
  <c r="G3853" i="1"/>
  <c r="AI3851" i="1"/>
  <c r="AF3850" i="1"/>
  <c r="M3849" i="1"/>
  <c r="J3848" i="1"/>
  <c r="G3847" i="1"/>
  <c r="AI3845" i="1"/>
  <c r="AF3844" i="1"/>
  <c r="M3843" i="1"/>
  <c r="J3842" i="1"/>
  <c r="G3841" i="1"/>
  <c r="AI3839" i="1"/>
  <c r="AF3838" i="1"/>
  <c r="M3837" i="1"/>
  <c r="J3836" i="1"/>
  <c r="G3835" i="1"/>
  <c r="AI3833" i="1"/>
  <c r="AF3832" i="1"/>
  <c r="M3831" i="1"/>
  <c r="J3830" i="1"/>
  <c r="G3829" i="1"/>
  <c r="AI3827" i="1"/>
  <c r="AF3826" i="1"/>
  <c r="M3825" i="1"/>
  <c r="J3824" i="1"/>
  <c r="G3823" i="1"/>
  <c r="AI3821" i="1"/>
  <c r="AF3820" i="1"/>
  <c r="M3819" i="1"/>
  <c r="J3818" i="1"/>
  <c r="G3817" i="1"/>
  <c r="AI3815" i="1"/>
  <c r="AF3814" i="1"/>
  <c r="M3813" i="1"/>
  <c r="J3812" i="1"/>
  <c r="G3811" i="1"/>
  <c r="AI3809" i="1"/>
  <c r="AF3808" i="1"/>
  <c r="M3807" i="1"/>
  <c r="J3806" i="1"/>
  <c r="G3805" i="1"/>
  <c r="AI3803" i="1"/>
  <c r="AF3802" i="1"/>
  <c r="M3801" i="1"/>
  <c r="J3800" i="1"/>
  <c r="AF4506" i="1"/>
  <c r="J4463" i="1"/>
  <c r="J4455" i="1"/>
  <c r="AF4447" i="1"/>
  <c r="AI4412" i="1"/>
  <c r="W4406" i="1"/>
  <c r="L4383" i="1"/>
  <c r="AH4361" i="1"/>
  <c r="AI4342" i="1"/>
  <c r="M4336" i="1"/>
  <c r="AF4308" i="1"/>
  <c r="AF4292" i="1"/>
  <c r="AF4287" i="1"/>
  <c r="AI4282" i="1"/>
  <c r="AF4273" i="1"/>
  <c r="AF4269" i="1"/>
  <c r="AI4260" i="1"/>
  <c r="G4253" i="1"/>
  <c r="J4249" i="1"/>
  <c r="J4244" i="1"/>
  <c r="M4240" i="1"/>
  <c r="J4231" i="1"/>
  <c r="L4207" i="1"/>
  <c r="L4203" i="1"/>
  <c r="AF4200" i="1"/>
  <c r="J4194" i="1"/>
  <c r="AH4190" i="1"/>
  <c r="M4181" i="1"/>
  <c r="M4178" i="1"/>
  <c r="L4165" i="1"/>
  <c r="AH4161" i="1"/>
  <c r="M4156" i="1"/>
  <c r="M4153" i="1"/>
  <c r="AI4150" i="1"/>
  <c r="W4147" i="1"/>
  <c r="L4139" i="1"/>
  <c r="AH4136" i="1"/>
  <c r="J4131" i="1"/>
  <c r="AH4128" i="1"/>
  <c r="W4120" i="1"/>
  <c r="AI4117" i="1"/>
  <c r="L4115" i="1"/>
  <c r="AH4112" i="1"/>
  <c r="J4107" i="1"/>
  <c r="AH4104" i="1"/>
  <c r="J4102" i="1"/>
  <c r="AH4099" i="1"/>
  <c r="W4097" i="1"/>
  <c r="J4095" i="1"/>
  <c r="W4086" i="1"/>
  <c r="W4079" i="1"/>
  <c r="W4077" i="1"/>
  <c r="L4075" i="1"/>
  <c r="AI4064" i="1"/>
  <c r="AF4060" i="1"/>
  <c r="M4058" i="1"/>
  <c r="W4056" i="1"/>
  <c r="L4054" i="1"/>
  <c r="G4052" i="1"/>
  <c r="G4048" i="1"/>
  <c r="AF4037" i="1"/>
  <c r="AH4035" i="1"/>
  <c r="AF4033" i="1"/>
  <c r="AH4031" i="1"/>
  <c r="W4029" i="1"/>
  <c r="AH4027" i="1"/>
  <c r="W4025" i="1"/>
  <c r="J4023" i="1"/>
  <c r="J4021" i="1"/>
  <c r="AH4012" i="1"/>
  <c r="G4011" i="1"/>
  <c r="G4009" i="1"/>
  <c r="W4007" i="1"/>
  <c r="G4006" i="1"/>
  <c r="G4004" i="1"/>
  <c r="M4002" i="1"/>
  <c r="AF4000" i="1"/>
  <c r="G3999" i="1"/>
  <c r="G3997" i="1"/>
  <c r="W3995" i="1"/>
  <c r="G3994" i="1"/>
  <c r="G3992" i="1"/>
  <c r="M3990" i="1"/>
  <c r="AF3988" i="1"/>
  <c r="G3987" i="1"/>
  <c r="G3985" i="1"/>
  <c r="W3983" i="1"/>
  <c r="J3982" i="1"/>
  <c r="AI3980" i="1"/>
  <c r="J3979" i="1"/>
  <c r="AI3977" i="1"/>
  <c r="W3976" i="1"/>
  <c r="AH3973" i="1"/>
  <c r="L3972" i="1"/>
  <c r="AI3970" i="1"/>
  <c r="M3969" i="1"/>
  <c r="G3968" i="1"/>
  <c r="AF3966" i="1"/>
  <c r="J3965" i="1"/>
  <c r="W3962" i="1"/>
  <c r="J3961" i="1"/>
  <c r="AF3958" i="1"/>
  <c r="L3957" i="1"/>
  <c r="G3956" i="1"/>
  <c r="AH3954" i="1"/>
  <c r="M3953" i="1"/>
  <c r="AI3950" i="1"/>
  <c r="W3949" i="1"/>
  <c r="AI3946" i="1"/>
  <c r="W3945" i="1"/>
  <c r="J3944" i="1"/>
  <c r="AF3941" i="1"/>
  <c r="L3940" i="1"/>
  <c r="G3939" i="1"/>
  <c r="AH3937" i="1"/>
  <c r="M3936" i="1"/>
  <c r="AH3933" i="1"/>
  <c r="M3932" i="1"/>
  <c r="AI3929" i="1"/>
  <c r="W3928" i="1"/>
  <c r="J3927" i="1"/>
  <c r="AF3924" i="1"/>
  <c r="L3923" i="1"/>
  <c r="G3922" i="1"/>
  <c r="AH3920" i="1"/>
  <c r="L3919" i="1"/>
  <c r="G3918" i="1"/>
  <c r="AH3916" i="1"/>
  <c r="M3915" i="1"/>
  <c r="AI3912" i="1"/>
  <c r="W3911" i="1"/>
  <c r="J3910" i="1"/>
  <c r="AF3907" i="1"/>
  <c r="L3906" i="1"/>
  <c r="AF3903" i="1"/>
  <c r="L3902" i="1"/>
  <c r="G3901" i="1"/>
  <c r="AH3899" i="1"/>
  <c r="W3898" i="1"/>
  <c r="L3897" i="1"/>
  <c r="AH3893" i="1"/>
  <c r="W3892" i="1"/>
  <c r="L3891" i="1"/>
  <c r="AH3887" i="1"/>
  <c r="W3886" i="1"/>
  <c r="L3885" i="1"/>
  <c r="AH3881" i="1"/>
  <c r="W3880" i="1"/>
  <c r="L3879" i="1"/>
  <c r="AH3875" i="1"/>
  <c r="W3874" i="1"/>
  <c r="L3873" i="1"/>
  <c r="AH3869" i="1"/>
  <c r="W3868" i="1"/>
  <c r="L3867" i="1"/>
  <c r="AH3863" i="1"/>
  <c r="W3862" i="1"/>
  <c r="L3861" i="1"/>
  <c r="AH3857" i="1"/>
  <c r="W3856" i="1"/>
  <c r="L3855" i="1"/>
  <c r="AH3851" i="1"/>
  <c r="W3850" i="1"/>
  <c r="L3849" i="1"/>
  <c r="AH3845" i="1"/>
  <c r="W3844" i="1"/>
  <c r="L3843" i="1"/>
  <c r="AH3839" i="1"/>
  <c r="W3838" i="1"/>
  <c r="L3837" i="1"/>
  <c r="AH3833" i="1"/>
  <c r="W3832" i="1"/>
  <c r="L3831" i="1"/>
  <c r="AH3827" i="1"/>
  <c r="W3826" i="1"/>
  <c r="L3825" i="1"/>
  <c r="AH3821" i="1"/>
  <c r="W3820" i="1"/>
  <c r="L3819" i="1"/>
  <c r="AH3815" i="1"/>
  <c r="W3814" i="1"/>
  <c r="L3813" i="1"/>
  <c r="AH3809" i="1"/>
  <c r="W3808" i="1"/>
  <c r="L3807" i="1"/>
  <c r="AH3803" i="1"/>
  <c r="W3802" i="1"/>
  <c r="G4514" i="1"/>
  <c r="AI4497" i="1"/>
  <c r="AH4470" i="1"/>
  <c r="G4412" i="1"/>
  <c r="L4389" i="1"/>
  <c r="AH4367" i="1"/>
  <c r="AI4348" i="1"/>
  <c r="J4342" i="1"/>
  <c r="AF4318" i="1"/>
  <c r="AF4313" i="1"/>
  <c r="G4308" i="1"/>
  <c r="AI4302" i="1"/>
  <c r="M4287" i="1"/>
  <c r="AI4277" i="1"/>
  <c r="L4273" i="1"/>
  <c r="L4269" i="1"/>
  <c r="AH4235" i="1"/>
  <c r="AI4226" i="1"/>
  <c r="AI4210" i="1"/>
  <c r="J4207" i="1"/>
  <c r="J4203" i="1"/>
  <c r="W4200" i="1"/>
  <c r="G4197" i="1"/>
  <c r="AF4190" i="1"/>
  <c r="L4178" i="1"/>
  <c r="G4175" i="1"/>
  <c r="G4168" i="1"/>
  <c r="W4161" i="1"/>
  <c r="J4150" i="1"/>
  <c r="M4147" i="1"/>
  <c r="AI4144" i="1"/>
  <c r="AI4141" i="1"/>
  <c r="J4139" i="1"/>
  <c r="J4136" i="1"/>
  <c r="AI4133" i="1"/>
  <c r="AI4122" i="1"/>
  <c r="M4120" i="1"/>
  <c r="AH4117" i="1"/>
  <c r="J4115" i="1"/>
  <c r="J4112" i="1"/>
  <c r="AI4109" i="1"/>
  <c r="G4102" i="1"/>
  <c r="AF4099" i="1"/>
  <c r="M4097" i="1"/>
  <c r="G4093" i="1"/>
  <c r="AH4090" i="1"/>
  <c r="AI4088" i="1"/>
  <c r="M4086" i="1"/>
  <c r="AH4083" i="1"/>
  <c r="AI4081" i="1"/>
  <c r="M4079" i="1"/>
  <c r="M4077" i="1"/>
  <c r="J4075" i="1"/>
  <c r="AI4072" i="1"/>
  <c r="G4071" i="1"/>
  <c r="AI4068" i="1"/>
  <c r="W4064" i="1"/>
  <c r="W4062" i="1"/>
  <c r="W4060" i="1"/>
  <c r="L4058" i="1"/>
  <c r="G4050" i="1"/>
  <c r="G4046" i="1"/>
  <c r="AI4043" i="1"/>
  <c r="AH4039" i="1"/>
  <c r="W4037" i="1"/>
  <c r="AF4035" i="1"/>
  <c r="W4033" i="1"/>
  <c r="AF4031" i="1"/>
  <c r="M4029" i="1"/>
  <c r="L4025" i="1"/>
  <c r="AH4016" i="1"/>
  <c r="AI4014" i="1"/>
  <c r="AF4012" i="1"/>
  <c r="M4007" i="1"/>
  <c r="L4002" i="1"/>
  <c r="W4000" i="1"/>
  <c r="M3995" i="1"/>
  <c r="L3990" i="1"/>
  <c r="W3988" i="1"/>
  <c r="M3983" i="1"/>
  <c r="AH3980" i="1"/>
  <c r="AH3977" i="1"/>
  <c r="M3976" i="1"/>
  <c r="G3975" i="1"/>
  <c r="AF3973" i="1"/>
  <c r="G3972" i="1"/>
  <c r="AH3970" i="1"/>
  <c r="L3969" i="1"/>
  <c r="W3966" i="1"/>
  <c r="AH3963" i="1"/>
  <c r="M3962" i="1"/>
  <c r="AI3959" i="1"/>
  <c r="W3958" i="1"/>
  <c r="J3957" i="1"/>
  <c r="AF3954" i="1"/>
  <c r="L3953" i="1"/>
  <c r="G3952" i="1"/>
  <c r="AH3950" i="1"/>
  <c r="L3949" i="1"/>
  <c r="G3948" i="1"/>
  <c r="AH3946" i="1"/>
  <c r="M3945" i="1"/>
  <c r="AI3942" i="1"/>
  <c r="W3941" i="1"/>
  <c r="J3940" i="1"/>
  <c r="AF3937" i="1"/>
  <c r="L3936" i="1"/>
  <c r="AF3933" i="1"/>
  <c r="L3932" i="1"/>
  <c r="G3931" i="1"/>
  <c r="AH3929" i="1"/>
  <c r="M3928" i="1"/>
  <c r="AI3925" i="1"/>
  <c r="W3924" i="1"/>
  <c r="J3923" i="1"/>
  <c r="W3920" i="1"/>
  <c r="J3919" i="1"/>
  <c r="AF3916" i="1"/>
  <c r="L3915" i="1"/>
  <c r="G3914" i="1"/>
  <c r="AH3912" i="1"/>
  <c r="M3911" i="1"/>
  <c r="AI3908" i="1"/>
  <c r="W3907" i="1"/>
  <c r="AI3904" i="1"/>
  <c r="W3903" i="1"/>
  <c r="J3902" i="1"/>
  <c r="AF3899" i="1"/>
  <c r="M3898" i="1"/>
  <c r="J3897" i="1"/>
  <c r="G3896" i="1"/>
  <c r="AI3894" i="1"/>
  <c r="AF3893" i="1"/>
  <c r="M3892" i="1"/>
  <c r="J3891" i="1"/>
  <c r="G3890" i="1"/>
  <c r="AI3888" i="1"/>
  <c r="AF3887" i="1"/>
  <c r="M3886" i="1"/>
  <c r="J3885" i="1"/>
  <c r="G3884" i="1"/>
  <c r="AI3882" i="1"/>
  <c r="AF3881" i="1"/>
  <c r="M3880" i="1"/>
  <c r="J3879" i="1"/>
  <c r="G3878" i="1"/>
  <c r="AI3876" i="1"/>
  <c r="AF3875" i="1"/>
  <c r="M3874" i="1"/>
  <c r="J3873" i="1"/>
  <c r="G3872" i="1"/>
  <c r="AI3870" i="1"/>
  <c r="AF3869" i="1"/>
  <c r="M3868" i="1"/>
  <c r="J3867" i="1"/>
  <c r="G3866" i="1"/>
  <c r="AI3864" i="1"/>
  <c r="AF3863" i="1"/>
  <c r="M3862" i="1"/>
  <c r="J3861" i="1"/>
  <c r="G3860" i="1"/>
  <c r="AI3858" i="1"/>
  <c r="AF3857" i="1"/>
  <c r="M3856" i="1"/>
  <c r="J3855" i="1"/>
  <c r="G3854" i="1"/>
  <c r="AI3852" i="1"/>
  <c r="AF3851" i="1"/>
  <c r="M3850" i="1"/>
  <c r="J3849" i="1"/>
  <c r="G3848" i="1"/>
  <c r="AI3846" i="1"/>
  <c r="AF3845" i="1"/>
  <c r="M3844" i="1"/>
  <c r="J3843" i="1"/>
  <c r="G3842" i="1"/>
  <c r="AI3840" i="1"/>
  <c r="AF3839" i="1"/>
  <c r="M3838" i="1"/>
  <c r="J3837" i="1"/>
  <c r="G3836" i="1"/>
  <c r="AI3834" i="1"/>
  <c r="AF3833" i="1"/>
  <c r="M3832" i="1"/>
  <c r="J3831" i="1"/>
  <c r="G3830" i="1"/>
  <c r="AI3828" i="1"/>
  <c r="AF3827" i="1"/>
  <c r="M3826" i="1"/>
  <c r="J3825" i="1"/>
  <c r="G3824" i="1"/>
  <c r="AI3822" i="1"/>
  <c r="AF3821" i="1"/>
  <c r="M3820" i="1"/>
  <c r="J3819" i="1"/>
  <c r="G3818" i="1"/>
  <c r="AI3816" i="1"/>
  <c r="AF3815" i="1"/>
  <c r="M3814" i="1"/>
  <c r="J3813" i="1"/>
  <c r="G3812" i="1"/>
  <c r="AI3810" i="1"/>
  <c r="AF3809" i="1"/>
  <c r="M3808" i="1"/>
  <c r="J3807" i="1"/>
  <c r="G3806" i="1"/>
  <c r="AI3804" i="1"/>
  <c r="AF3803" i="1"/>
  <c r="M3802" i="1"/>
  <c r="J3801" i="1"/>
  <c r="G3800" i="1"/>
  <c r="AI3798" i="1"/>
  <c r="AH4483" i="1"/>
  <c r="AI4425" i="1"/>
  <c r="J4408" i="1"/>
  <c r="W4394" i="1"/>
  <c r="AF4379" i="1"/>
  <c r="G4365" i="1"/>
  <c r="AF4358" i="1"/>
  <c r="M4339" i="1"/>
  <c r="J4333" i="1"/>
  <c r="L4327" i="1"/>
  <c r="M4322" i="1"/>
  <c r="G4316" i="1"/>
  <c r="M4285" i="1"/>
  <c r="G4272" i="1"/>
  <c r="M4267" i="1"/>
  <c r="AF4258" i="1"/>
  <c r="AI4254" i="1"/>
  <c r="AH4250" i="1"/>
  <c r="G4238" i="1"/>
  <c r="M4224" i="1"/>
  <c r="AI4220" i="1"/>
  <c r="AI4216" i="1"/>
  <c r="J4213" i="1"/>
  <c r="AH4208" i="1"/>
  <c r="L4205" i="1"/>
  <c r="M4202" i="1"/>
  <c r="AI4192" i="1"/>
  <c r="J4189" i="1"/>
  <c r="M4182" i="1"/>
  <c r="AH4173" i="1"/>
  <c r="J4163" i="1"/>
  <c r="AF4160" i="1"/>
  <c r="W4157" i="1"/>
  <c r="L4146" i="1"/>
  <c r="AF4143" i="1"/>
  <c r="AH4140" i="1"/>
  <c r="W4132" i="1"/>
  <c r="AI4129" i="1"/>
  <c r="L4127" i="1"/>
  <c r="AH4124" i="1"/>
  <c r="J4119" i="1"/>
  <c r="AH4116" i="1"/>
  <c r="W4108" i="1"/>
  <c r="AI4105" i="1"/>
  <c r="L4103" i="1"/>
  <c r="AI4098" i="1"/>
  <c r="M4096" i="1"/>
  <c r="W4094" i="1"/>
  <c r="AF4087" i="1"/>
  <c r="J4085" i="1"/>
  <c r="G4083" i="1"/>
  <c r="AH4080" i="1"/>
  <c r="AH4078" i="1"/>
  <c r="L4076" i="1"/>
  <c r="J4072" i="1"/>
  <c r="G4070" i="1"/>
  <c r="AH4063" i="1"/>
  <c r="AI4061" i="1"/>
  <c r="W4059" i="1"/>
  <c r="J4057" i="1"/>
  <c r="L4055" i="1"/>
  <c r="J4051" i="1"/>
  <c r="AI4042" i="1"/>
  <c r="G4041" i="1"/>
  <c r="AH4038" i="1"/>
  <c r="AI4036" i="1"/>
  <c r="AH4034" i="1"/>
  <c r="M4032" i="1"/>
  <c r="W4030" i="1"/>
  <c r="M4028" i="1"/>
  <c r="W4026" i="1"/>
  <c r="M4024" i="1"/>
  <c r="M4022" i="1"/>
  <c r="L4020" i="1"/>
  <c r="G4016" i="1"/>
  <c r="AI4013" i="1"/>
  <c r="G4012" i="1"/>
  <c r="G4010" i="1"/>
  <c r="M4008" i="1"/>
  <c r="AF4006" i="1"/>
  <c r="G4005" i="1"/>
  <c r="G4003" i="1"/>
  <c r="W4001" i="1"/>
  <c r="G4000" i="1"/>
  <c r="G3998" i="1"/>
  <c r="M3996" i="1"/>
  <c r="AF3994" i="1"/>
  <c r="G3993" i="1"/>
  <c r="G3991" i="1"/>
  <c r="W3989" i="1"/>
  <c r="G3988" i="1"/>
  <c r="G3986" i="1"/>
  <c r="M3984" i="1"/>
  <c r="AI3982" i="1"/>
  <c r="M3981" i="1"/>
  <c r="G3980" i="1"/>
  <c r="AF3978" i="1"/>
  <c r="J3977" i="1"/>
  <c r="L3974" i="1"/>
  <c r="W3971" i="1"/>
  <c r="J3970" i="1"/>
  <c r="AI3968" i="1"/>
  <c r="J3967" i="1"/>
  <c r="AI3965" i="1"/>
  <c r="W3964" i="1"/>
  <c r="J3963" i="1"/>
  <c r="AF3960" i="1"/>
  <c r="L3959" i="1"/>
  <c r="G3958" i="1"/>
  <c r="AH3956" i="1"/>
  <c r="L3955" i="1"/>
  <c r="G3954" i="1"/>
  <c r="AH3952" i="1"/>
  <c r="M3951" i="1"/>
  <c r="AI3948" i="1"/>
  <c r="W3947" i="1"/>
  <c r="J3946" i="1"/>
  <c r="AF3943" i="1"/>
  <c r="L3942" i="1"/>
  <c r="AF3939" i="1"/>
  <c r="L3938" i="1"/>
  <c r="G3937" i="1"/>
  <c r="AH3935" i="1"/>
  <c r="M3934" i="1"/>
  <c r="AI3931" i="1"/>
  <c r="W3930" i="1"/>
  <c r="J3929" i="1"/>
  <c r="W3926" i="1"/>
  <c r="J3925" i="1"/>
  <c r="AF3922" i="1"/>
  <c r="L3921" i="1"/>
  <c r="G3920" i="1"/>
  <c r="AH3918" i="1"/>
  <c r="M3917" i="1"/>
  <c r="AI3914" i="1"/>
  <c r="W3913" i="1"/>
  <c r="AI3910" i="1"/>
  <c r="W3909" i="1"/>
  <c r="J3908" i="1"/>
  <c r="AF3905" i="1"/>
  <c r="L3904" i="1"/>
  <c r="G3903" i="1"/>
  <c r="AH3901" i="1"/>
  <c r="M3900" i="1"/>
  <c r="AH3896" i="1"/>
  <c r="W3895" i="1"/>
  <c r="L3894" i="1"/>
  <c r="AH3890" i="1"/>
  <c r="W3889" i="1"/>
  <c r="L3888" i="1"/>
  <c r="AH3884" i="1"/>
  <c r="W3883" i="1"/>
  <c r="L3882" i="1"/>
  <c r="AH3878" i="1"/>
  <c r="W3877" i="1"/>
  <c r="L3876" i="1"/>
  <c r="AH3872" i="1"/>
  <c r="W3871" i="1"/>
  <c r="L3870" i="1"/>
  <c r="AH3866" i="1"/>
  <c r="W3865" i="1"/>
  <c r="L3864" i="1"/>
  <c r="AH3860" i="1"/>
  <c r="W3859" i="1"/>
  <c r="L3858" i="1"/>
  <c r="AH3854" i="1"/>
  <c r="W3853" i="1"/>
  <c r="L3852" i="1"/>
  <c r="AH3848" i="1"/>
  <c r="W3847" i="1"/>
  <c r="L3846" i="1"/>
  <c r="AH3842" i="1"/>
  <c r="W3841" i="1"/>
  <c r="L3840" i="1"/>
  <c r="AH3836" i="1"/>
  <c r="W3835" i="1"/>
  <c r="L3834" i="1"/>
  <c r="AH3830" i="1"/>
  <c r="W3829" i="1"/>
  <c r="L3828" i="1"/>
  <c r="AH3824" i="1"/>
  <c r="W3823" i="1"/>
  <c r="L3822" i="1"/>
  <c r="AH3818" i="1"/>
  <c r="W3817" i="1"/>
  <c r="L3816" i="1"/>
  <c r="AH3812" i="1"/>
  <c r="W3811" i="1"/>
  <c r="L3810" i="1"/>
  <c r="AH3806" i="1"/>
  <c r="W3805" i="1"/>
  <c r="L3804" i="1"/>
  <c r="AH3800" i="1"/>
  <c r="W3799" i="1"/>
  <c r="L3798" i="1"/>
  <c r="AF4449" i="1"/>
  <c r="J4403" i="1"/>
  <c r="J4385" i="1"/>
  <c r="G4335" i="1"/>
  <c r="M4327" i="1"/>
  <c r="G4307" i="1"/>
  <c r="AI4294" i="1"/>
  <c r="AH4281" i="1"/>
  <c r="G4276" i="1"/>
  <c r="M4254" i="1"/>
  <c r="AI4247" i="1"/>
  <c r="L4230" i="1"/>
  <c r="L4224" i="1"/>
  <c r="M4218" i="1"/>
  <c r="M4213" i="1"/>
  <c r="W4202" i="1"/>
  <c r="L4198" i="1"/>
  <c r="AH4188" i="1"/>
  <c r="AF4183" i="1"/>
  <c r="AI4179" i="1"/>
  <c r="AH4166" i="1"/>
  <c r="L4161" i="1"/>
  <c r="M4157" i="1"/>
  <c r="AH4129" i="1"/>
  <c r="L4122" i="1"/>
  <c r="AI4118" i="1"/>
  <c r="J4114" i="1"/>
  <c r="AF4110" i="1"/>
  <c r="W4102" i="1"/>
  <c r="G4099" i="1"/>
  <c r="AH4081" i="1"/>
  <c r="J4078" i="1"/>
  <c r="AF4071" i="1"/>
  <c r="M4068" i="1"/>
  <c r="AH4065" i="1"/>
  <c r="M4062" i="1"/>
  <c r="L4059" i="1"/>
  <c r="AI4055" i="1"/>
  <c r="L4049" i="1"/>
  <c r="AH4046" i="1"/>
  <c r="M4043" i="1"/>
  <c r="J4040" i="1"/>
  <c r="J4034" i="1"/>
  <c r="AI4030" i="1"/>
  <c r="L4024" i="1"/>
  <c r="AF4020" i="1"/>
  <c r="AH4017" i="1"/>
  <c r="AH4014" i="1"/>
  <c r="AI4008" i="1"/>
  <c r="M4006" i="1"/>
  <c r="AH4003" i="1"/>
  <c r="J4001" i="1"/>
  <c r="J3998" i="1"/>
  <c r="AI3995" i="1"/>
  <c r="AI3984" i="1"/>
  <c r="AF3982" i="1"/>
  <c r="J3980" i="1"/>
  <c r="W3973" i="1"/>
  <c r="M3971" i="1"/>
  <c r="G3967" i="1"/>
  <c r="AF3964" i="1"/>
  <c r="L3962" i="1"/>
  <c r="W3960" i="1"/>
  <c r="L3958" i="1"/>
  <c r="L3956" i="1"/>
  <c r="L3954" i="1"/>
  <c r="G3950" i="1"/>
  <c r="AH3947" i="1"/>
  <c r="AH3943" i="1"/>
  <c r="M3941" i="1"/>
  <c r="W3939" i="1"/>
  <c r="W3937" i="1"/>
  <c r="W3935" i="1"/>
  <c r="M3933" i="1"/>
  <c r="W3931" i="1"/>
  <c r="L3929" i="1"/>
  <c r="G3927" i="1"/>
  <c r="AF3912" i="1"/>
  <c r="AF3910" i="1"/>
  <c r="M3908" i="1"/>
  <c r="AF3906" i="1"/>
  <c r="M3904" i="1"/>
  <c r="L3900" i="1"/>
  <c r="J3898" i="1"/>
  <c r="W3896" i="1"/>
  <c r="W3894" i="1"/>
  <c r="AI3892" i="1"/>
  <c r="AI3890" i="1"/>
  <c r="AH3888" i="1"/>
  <c r="G3887" i="1"/>
  <c r="G3885" i="1"/>
  <c r="J3883" i="1"/>
  <c r="L3881" i="1"/>
  <c r="AF3879" i="1"/>
  <c r="M3877" i="1"/>
  <c r="W3875" i="1"/>
  <c r="AI3873" i="1"/>
  <c r="AH3871" i="1"/>
  <c r="G3870" i="1"/>
  <c r="G3868" i="1"/>
  <c r="J3864" i="1"/>
  <c r="J3862" i="1"/>
  <c r="W3860" i="1"/>
  <c r="W3858" i="1"/>
  <c r="AI3856" i="1"/>
  <c r="AI3854" i="1"/>
  <c r="AH3852" i="1"/>
  <c r="G3851" i="1"/>
  <c r="G3849" i="1"/>
  <c r="J3847" i="1"/>
  <c r="L3845" i="1"/>
  <c r="AF3843" i="1"/>
  <c r="M3841" i="1"/>
  <c r="W3839" i="1"/>
  <c r="AI3837" i="1"/>
  <c r="AH3835" i="1"/>
  <c r="G3834" i="1"/>
  <c r="G3832" i="1"/>
  <c r="J3828" i="1"/>
  <c r="J3826" i="1"/>
  <c r="W3824" i="1"/>
  <c r="W3822" i="1"/>
  <c r="AI3820" i="1"/>
  <c r="AI3818" i="1"/>
  <c r="AH3816" i="1"/>
  <c r="G3815" i="1"/>
  <c r="G3813" i="1"/>
  <c r="J3811" i="1"/>
  <c r="L3809" i="1"/>
  <c r="AF3807" i="1"/>
  <c r="M3805" i="1"/>
  <c r="W3803" i="1"/>
  <c r="AI3801" i="1"/>
  <c r="M3798" i="1"/>
  <c r="AI3795" i="1"/>
  <c r="W3794" i="1"/>
  <c r="J3793" i="1"/>
  <c r="AF3790" i="1"/>
  <c r="L3789" i="1"/>
  <c r="G3788" i="1"/>
  <c r="AH3786" i="1"/>
  <c r="W3785" i="1"/>
  <c r="J3784" i="1"/>
  <c r="AF3781" i="1"/>
  <c r="L3780" i="1"/>
  <c r="AI3777" i="1"/>
  <c r="W3776" i="1"/>
  <c r="J3775" i="1"/>
  <c r="AF3772" i="1"/>
  <c r="L3771" i="1"/>
  <c r="G3770" i="1"/>
  <c r="AH3768" i="1"/>
  <c r="W3767" i="1"/>
  <c r="J3766" i="1"/>
  <c r="AF3763" i="1"/>
  <c r="L3762" i="1"/>
  <c r="AI3759" i="1"/>
  <c r="W3758" i="1"/>
  <c r="J3757" i="1"/>
  <c r="AF3754" i="1"/>
  <c r="L3753" i="1"/>
  <c r="G3752" i="1"/>
  <c r="AH3750" i="1"/>
  <c r="W3749" i="1"/>
  <c r="L3748" i="1"/>
  <c r="AH3744" i="1"/>
  <c r="W3743" i="1"/>
  <c r="L3742" i="1"/>
  <c r="AH3738" i="1"/>
  <c r="W3737" i="1"/>
  <c r="L3736" i="1"/>
  <c r="AH3732" i="1"/>
  <c r="W3731" i="1"/>
  <c r="L3730" i="1"/>
  <c r="AH3726" i="1"/>
  <c r="W3725" i="1"/>
  <c r="L3724" i="1"/>
  <c r="AH3720" i="1"/>
  <c r="W3719" i="1"/>
  <c r="L3718" i="1"/>
  <c r="AH3714" i="1"/>
  <c r="W3713" i="1"/>
  <c r="L3712" i="1"/>
  <c r="AH3708" i="1"/>
  <c r="W3707" i="1"/>
  <c r="L3706" i="1"/>
  <c r="AH3702" i="1"/>
  <c r="W3701" i="1"/>
  <c r="L3700" i="1"/>
  <c r="AH3696" i="1"/>
  <c r="W3695" i="1"/>
  <c r="L3694" i="1"/>
  <c r="AH3690" i="1"/>
  <c r="W3689" i="1"/>
  <c r="L3688" i="1"/>
  <c r="AH3684" i="1"/>
  <c r="W3683" i="1"/>
  <c r="L3682" i="1"/>
  <c r="AH3678" i="1"/>
  <c r="W3677" i="1"/>
  <c r="L3676" i="1"/>
  <c r="AH3672" i="1"/>
  <c r="W3671" i="1"/>
  <c r="L3670" i="1"/>
  <c r="AH3666" i="1"/>
  <c r="W3665" i="1"/>
  <c r="L3664" i="1"/>
  <c r="AH3660" i="1"/>
  <c r="W3659" i="1"/>
  <c r="L3658" i="1"/>
  <c r="AH3654" i="1"/>
  <c r="W3653" i="1"/>
  <c r="L3652" i="1"/>
  <c r="AH3648" i="1"/>
  <c r="W3647" i="1"/>
  <c r="L3646" i="1"/>
  <c r="AH3642" i="1"/>
  <c r="W3641" i="1"/>
  <c r="L3640" i="1"/>
  <c r="AH3636" i="1"/>
  <c r="W3635" i="1"/>
  <c r="L3634" i="1"/>
  <c r="AH3630" i="1"/>
  <c r="W3629" i="1"/>
  <c r="L3628" i="1"/>
  <c r="AH3624" i="1"/>
  <c r="W3623" i="1"/>
  <c r="L3622" i="1"/>
  <c r="AH3618" i="1"/>
  <c r="W3617" i="1"/>
  <c r="L3616" i="1"/>
  <c r="AH3612" i="1"/>
  <c r="W3611" i="1"/>
  <c r="L3610" i="1"/>
  <c r="AH3606" i="1"/>
  <c r="W3605" i="1"/>
  <c r="L3604" i="1"/>
  <c r="AH3600" i="1"/>
  <c r="W3599" i="1"/>
  <c r="L3598" i="1"/>
  <c r="AH3594" i="1"/>
  <c r="W3593" i="1"/>
  <c r="L3592" i="1"/>
  <c r="J4476" i="1"/>
  <c r="AF4457" i="1"/>
  <c r="M4394" i="1"/>
  <c r="G4367" i="1"/>
  <c r="L4351" i="1"/>
  <c r="J4312" i="1"/>
  <c r="AF4299" i="1"/>
  <c r="AH4294" i="1"/>
  <c r="W4281" i="1"/>
  <c r="L4270" i="1"/>
  <c r="AI4263" i="1"/>
  <c r="AH4258" i="1"/>
  <c r="J4247" i="1"/>
  <c r="AI4241" i="1"/>
  <c r="J4224" i="1"/>
  <c r="L4218" i="1"/>
  <c r="AH4179" i="1"/>
  <c r="J4161" i="1"/>
  <c r="L4157" i="1"/>
  <c r="AF4149" i="1"/>
  <c r="AH4145" i="1"/>
  <c r="AH4141" i="1"/>
  <c r="M4137" i="1"/>
  <c r="L4133" i="1"/>
  <c r="AF4129" i="1"/>
  <c r="M4125" i="1"/>
  <c r="AH4105" i="1"/>
  <c r="G4095" i="1"/>
  <c r="AI4091" i="1"/>
  <c r="AF4081" i="1"/>
  <c r="AI4074" i="1"/>
  <c r="W4071" i="1"/>
  <c r="L4068" i="1"/>
  <c r="AF4065" i="1"/>
  <c r="L4062" i="1"/>
  <c r="J4059" i="1"/>
  <c r="AH4055" i="1"/>
  <c r="AI4052" i="1"/>
  <c r="J4049" i="1"/>
  <c r="W4046" i="1"/>
  <c r="AH4030" i="1"/>
  <c r="G4027" i="1"/>
  <c r="J4024" i="1"/>
  <c r="W4020" i="1"/>
  <c r="AF4017" i="1"/>
  <c r="AF4014" i="1"/>
  <c r="M4011" i="1"/>
  <c r="AH4008" i="1"/>
  <c r="L4006" i="1"/>
  <c r="AF4003" i="1"/>
  <c r="L3995" i="1"/>
  <c r="AI3989" i="1"/>
  <c r="M3987" i="1"/>
  <c r="AH3984" i="1"/>
  <c r="W3982" i="1"/>
  <c r="AF3977" i="1"/>
  <c r="AF3975" i="1"/>
  <c r="J3973" i="1"/>
  <c r="L3971" i="1"/>
  <c r="G3969" i="1"/>
  <c r="M3964" i="1"/>
  <c r="J3962" i="1"/>
  <c r="M3960" i="1"/>
  <c r="J3958" i="1"/>
  <c r="AH3951" i="1"/>
  <c r="AF3947" i="1"/>
  <c r="L3945" i="1"/>
  <c r="W3943" i="1"/>
  <c r="L3941" i="1"/>
  <c r="M3939" i="1"/>
  <c r="L3937" i="1"/>
  <c r="M3935" i="1"/>
  <c r="L3933" i="1"/>
  <c r="G3925" i="1"/>
  <c r="AI3922" i="1"/>
  <c r="G3921" i="1"/>
  <c r="AI3918" i="1"/>
  <c r="AH3914" i="1"/>
  <c r="W3912" i="1"/>
  <c r="W3910" i="1"/>
  <c r="L3908" i="1"/>
  <c r="G3906" i="1"/>
  <c r="J3904" i="1"/>
  <c r="G3902" i="1"/>
  <c r="M3896" i="1"/>
  <c r="M3894" i="1"/>
  <c r="L3892" i="1"/>
  <c r="AF3890" i="1"/>
  <c r="AF3888" i="1"/>
  <c r="J3881" i="1"/>
  <c r="L3877" i="1"/>
  <c r="M3875" i="1"/>
  <c r="AH3873" i="1"/>
  <c r="AF3871" i="1"/>
  <c r="AI3865" i="1"/>
  <c r="M3860" i="1"/>
  <c r="M3858" i="1"/>
  <c r="L3856" i="1"/>
  <c r="AF3854" i="1"/>
  <c r="AF3852" i="1"/>
  <c r="J3845" i="1"/>
  <c r="L3841" i="1"/>
  <c r="M3839" i="1"/>
  <c r="AH3837" i="1"/>
  <c r="AF3835" i="1"/>
  <c r="AI3829" i="1"/>
  <c r="M3824" i="1"/>
  <c r="M3822" i="1"/>
  <c r="L3820" i="1"/>
  <c r="AF3818" i="1"/>
  <c r="AF3816" i="1"/>
  <c r="J3809" i="1"/>
  <c r="L3805" i="1"/>
  <c r="M3803" i="1"/>
  <c r="AH3801" i="1"/>
  <c r="AI3799" i="1"/>
  <c r="J3798" i="1"/>
  <c r="G3797" i="1"/>
  <c r="AH3795" i="1"/>
  <c r="M3794" i="1"/>
  <c r="G3793" i="1"/>
  <c r="AI3791" i="1"/>
  <c r="W3790" i="1"/>
  <c r="J3789" i="1"/>
  <c r="AF3786" i="1"/>
  <c r="M3785" i="1"/>
  <c r="AI3782" i="1"/>
  <c r="W3781" i="1"/>
  <c r="J3780" i="1"/>
  <c r="G3779" i="1"/>
  <c r="AH3777" i="1"/>
  <c r="M3776" i="1"/>
  <c r="G3775" i="1"/>
  <c r="AI3773" i="1"/>
  <c r="W3772" i="1"/>
  <c r="J3771" i="1"/>
  <c r="AF3768" i="1"/>
  <c r="M3767" i="1"/>
  <c r="AI3764" i="1"/>
  <c r="W3763" i="1"/>
  <c r="J3762" i="1"/>
  <c r="G3761" i="1"/>
  <c r="AH3759" i="1"/>
  <c r="M3758" i="1"/>
  <c r="G3757" i="1"/>
  <c r="AI3755" i="1"/>
  <c r="W3754" i="1"/>
  <c r="J3753" i="1"/>
  <c r="AF3750" i="1"/>
  <c r="M3749" i="1"/>
  <c r="J3748" i="1"/>
  <c r="G3747" i="1"/>
  <c r="AI3745" i="1"/>
  <c r="AF3744" i="1"/>
  <c r="M3743" i="1"/>
  <c r="J3742" i="1"/>
  <c r="G3741" i="1"/>
  <c r="AI3739" i="1"/>
  <c r="AF3738" i="1"/>
  <c r="M3737" i="1"/>
  <c r="J3736" i="1"/>
  <c r="G3735" i="1"/>
  <c r="AI3733" i="1"/>
  <c r="AF3732" i="1"/>
  <c r="M3731" i="1"/>
  <c r="J3730" i="1"/>
  <c r="G3729" i="1"/>
  <c r="AI3727" i="1"/>
  <c r="AF3726" i="1"/>
  <c r="M3725" i="1"/>
  <c r="J3724" i="1"/>
  <c r="G3723" i="1"/>
  <c r="AI3721" i="1"/>
  <c r="AF3720" i="1"/>
  <c r="M3719" i="1"/>
  <c r="J3718" i="1"/>
  <c r="G3717" i="1"/>
  <c r="AI3715" i="1"/>
  <c r="AF3714" i="1"/>
  <c r="M3713" i="1"/>
  <c r="J3712" i="1"/>
  <c r="G3711" i="1"/>
  <c r="AI3709" i="1"/>
  <c r="AF3708" i="1"/>
  <c r="M3707" i="1"/>
  <c r="J3706" i="1"/>
  <c r="G3705" i="1"/>
  <c r="AI3703" i="1"/>
  <c r="AF3702" i="1"/>
  <c r="M3701" i="1"/>
  <c r="J3700" i="1"/>
  <c r="G3699" i="1"/>
  <c r="AI3697" i="1"/>
  <c r="AF3696" i="1"/>
  <c r="M3695" i="1"/>
  <c r="J3694" i="1"/>
  <c r="G3693" i="1"/>
  <c r="AI3691" i="1"/>
  <c r="AF3690" i="1"/>
  <c r="M3689" i="1"/>
  <c r="J3688" i="1"/>
  <c r="AF4495" i="1"/>
  <c r="M4457" i="1"/>
  <c r="M4358" i="1"/>
  <c r="G4312" i="1"/>
  <c r="W4299" i="1"/>
  <c r="G4286" i="1"/>
  <c r="L4281" i="1"/>
  <c r="J4275" i="1"/>
  <c r="AH4263" i="1"/>
  <c r="W4258" i="1"/>
  <c r="AF4241" i="1"/>
  <c r="G4235" i="1"/>
  <c r="M4229" i="1"/>
  <c r="M4212" i="1"/>
  <c r="L4206" i="1"/>
  <c r="L4201" i="1"/>
  <c r="AF4182" i="1"/>
  <c r="AF4179" i="1"/>
  <c r="L4174" i="1"/>
  <c r="AH4165" i="1"/>
  <c r="AI4152" i="1"/>
  <c r="W4149" i="1"/>
  <c r="AF4145" i="1"/>
  <c r="AF4141" i="1"/>
  <c r="L4137" i="1"/>
  <c r="J4133" i="1"/>
  <c r="W4129" i="1"/>
  <c r="L4125" i="1"/>
  <c r="AI4121" i="1"/>
  <c r="AF4117" i="1"/>
  <c r="M4113" i="1"/>
  <c r="L4109" i="1"/>
  <c r="AF4105" i="1"/>
  <c r="AH4101" i="1"/>
  <c r="L4098" i="1"/>
  <c r="AH4091" i="1"/>
  <c r="G4088" i="1"/>
  <c r="AF4084" i="1"/>
  <c r="G4078" i="1"/>
  <c r="L4074" i="1"/>
  <c r="AF4055" i="1"/>
  <c r="AH4042" i="1"/>
  <c r="AF4039" i="1"/>
  <c r="L4036" i="1"/>
  <c r="L4033" i="1"/>
  <c r="M4030" i="1"/>
  <c r="G4024" i="1"/>
  <c r="M4020" i="1"/>
  <c r="M4017" i="1"/>
  <c r="G4014" i="1"/>
  <c r="L4011" i="1"/>
  <c r="AF4008" i="1"/>
  <c r="W4003" i="1"/>
  <c r="M4000" i="1"/>
  <c r="J3995" i="1"/>
  <c r="AI3992" i="1"/>
  <c r="AH3989" i="1"/>
  <c r="L3987" i="1"/>
  <c r="AF3984" i="1"/>
  <c r="G3982" i="1"/>
  <c r="W3977" i="1"/>
  <c r="W3975" i="1"/>
  <c r="J3971" i="1"/>
  <c r="M3966" i="1"/>
  <c r="L3964" i="1"/>
  <c r="L3960" i="1"/>
  <c r="AI3955" i="1"/>
  <c r="AF3951" i="1"/>
  <c r="AI3949" i="1"/>
  <c r="M3947" i="1"/>
  <c r="J3945" i="1"/>
  <c r="L3943" i="1"/>
  <c r="J3941" i="1"/>
  <c r="L3939" i="1"/>
  <c r="J3937" i="1"/>
  <c r="J3933" i="1"/>
  <c r="AI3930" i="1"/>
  <c r="AI3926" i="1"/>
  <c r="AH3922" i="1"/>
  <c r="AF3918" i="1"/>
  <c r="W3916" i="1"/>
  <c r="W3914" i="1"/>
  <c r="M3912" i="1"/>
  <c r="G3910" i="1"/>
  <c r="G3900" i="1"/>
  <c r="G3898" i="1"/>
  <c r="J3894" i="1"/>
  <c r="J3892" i="1"/>
  <c r="W3890" i="1"/>
  <c r="W3888" i="1"/>
  <c r="AI3886" i="1"/>
  <c r="AI3884" i="1"/>
  <c r="AH3882" i="1"/>
  <c r="G3881" i="1"/>
  <c r="G3879" i="1"/>
  <c r="J3877" i="1"/>
  <c r="L3875" i="1"/>
  <c r="AF3873" i="1"/>
  <c r="M3871" i="1"/>
  <c r="W3869" i="1"/>
  <c r="AI3867" i="1"/>
  <c r="AH3865" i="1"/>
  <c r="G3864" i="1"/>
  <c r="G3862" i="1"/>
  <c r="J3858" i="1"/>
  <c r="J3856" i="1"/>
  <c r="W3854" i="1"/>
  <c r="W3852" i="1"/>
  <c r="AI3850" i="1"/>
  <c r="AI3848" i="1"/>
  <c r="AH3846" i="1"/>
  <c r="G3845" i="1"/>
  <c r="G3843" i="1"/>
  <c r="J3841" i="1"/>
  <c r="L3839" i="1"/>
  <c r="AF3837" i="1"/>
  <c r="M3835" i="1"/>
  <c r="W3833" i="1"/>
  <c r="AI3831" i="1"/>
  <c r="AH3829" i="1"/>
  <c r="G3828" i="1"/>
  <c r="G3826" i="1"/>
  <c r="J3822" i="1"/>
  <c r="J3820" i="1"/>
  <c r="W3818" i="1"/>
  <c r="W3816" i="1"/>
  <c r="AI3814" i="1"/>
  <c r="AI3812" i="1"/>
  <c r="AH3810" i="1"/>
  <c r="G3809" i="1"/>
  <c r="G3807" i="1"/>
  <c r="J3805" i="1"/>
  <c r="L3803" i="1"/>
  <c r="AF3801" i="1"/>
  <c r="AH3799" i="1"/>
  <c r="AF3795" i="1"/>
  <c r="J3794" i="1"/>
  <c r="AH3791" i="1"/>
  <c r="M3790" i="1"/>
  <c r="AI3787" i="1"/>
  <c r="W3786" i="1"/>
  <c r="L3785" i="1"/>
  <c r="G3784" i="1"/>
  <c r="AH3782" i="1"/>
  <c r="M3781" i="1"/>
  <c r="AF3777" i="1"/>
  <c r="J3776" i="1"/>
  <c r="AH3773" i="1"/>
  <c r="M3772" i="1"/>
  <c r="AI3769" i="1"/>
  <c r="W3768" i="1"/>
  <c r="L3767" i="1"/>
  <c r="G3766" i="1"/>
  <c r="AH3764" i="1"/>
  <c r="M3763" i="1"/>
  <c r="AF3759" i="1"/>
  <c r="J3758" i="1"/>
  <c r="AH3755" i="1"/>
  <c r="M3754" i="1"/>
  <c r="AI3751" i="1"/>
  <c r="W3750" i="1"/>
  <c r="L3749" i="1"/>
  <c r="AH3745" i="1"/>
  <c r="W3744" i="1"/>
  <c r="L3743" i="1"/>
  <c r="AH3739" i="1"/>
  <c r="W3738" i="1"/>
  <c r="L3737" i="1"/>
  <c r="AH3733" i="1"/>
  <c r="W3732" i="1"/>
  <c r="L3731" i="1"/>
  <c r="AH3727" i="1"/>
  <c r="W3726" i="1"/>
  <c r="L3725" i="1"/>
  <c r="AH3721" i="1"/>
  <c r="W3720" i="1"/>
  <c r="L3719" i="1"/>
  <c r="AH3715" i="1"/>
  <c r="W3714" i="1"/>
  <c r="L3713" i="1"/>
  <c r="AH3709" i="1"/>
  <c r="W3708" i="1"/>
  <c r="L3707" i="1"/>
  <c r="AH3703" i="1"/>
  <c r="W3702" i="1"/>
  <c r="L3701" i="1"/>
  <c r="AH3697" i="1"/>
  <c r="W3696" i="1"/>
  <c r="L3695" i="1"/>
  <c r="AH3691" i="1"/>
  <c r="W3690" i="1"/>
  <c r="L3689" i="1"/>
  <c r="AH3685" i="1"/>
  <c r="W3684" i="1"/>
  <c r="L3683" i="1"/>
  <c r="AH3679" i="1"/>
  <c r="W3678" i="1"/>
  <c r="L3677" i="1"/>
  <c r="AF4401" i="1"/>
  <c r="J4374" i="1"/>
  <c r="J4358" i="1"/>
  <c r="AF4333" i="1"/>
  <c r="J4269" i="1"/>
  <c r="W4263" i="1"/>
  <c r="M4258" i="1"/>
  <c r="L4252" i="1"/>
  <c r="W4241" i="1"/>
  <c r="L4229" i="1"/>
  <c r="J4201" i="1"/>
  <c r="AI4196" i="1"/>
  <c r="G4192" i="1"/>
  <c r="AI4186" i="1"/>
  <c r="L4182" i="1"/>
  <c r="AH4169" i="1"/>
  <c r="AH4160" i="1"/>
  <c r="AF4152" i="1"/>
  <c r="L4121" i="1"/>
  <c r="W4117" i="1"/>
  <c r="L4113" i="1"/>
  <c r="J4109" i="1"/>
  <c r="W4105" i="1"/>
  <c r="AI4094" i="1"/>
  <c r="AI4080" i="1"/>
  <c r="G4074" i="1"/>
  <c r="L4070" i="1"/>
  <c r="AH4067" i="1"/>
  <c r="M4055" i="1"/>
  <c r="AI4051" i="1"/>
  <c r="AI4048" i="1"/>
  <c r="W4045" i="1"/>
  <c r="AF4042" i="1"/>
  <c r="W4039" i="1"/>
  <c r="J4036" i="1"/>
  <c r="L4030" i="1"/>
  <c r="AI4026" i="1"/>
  <c r="G4020" i="1"/>
  <c r="W4008" i="1"/>
  <c r="M4005" i="1"/>
  <c r="L4000" i="1"/>
  <c r="AI3997" i="1"/>
  <c r="AH3992" i="1"/>
  <c r="AF3989" i="1"/>
  <c r="W3984" i="1"/>
  <c r="AI3979" i="1"/>
  <c r="M3977" i="1"/>
  <c r="M3975" i="1"/>
  <c r="G3973" i="1"/>
  <c r="AH3968" i="1"/>
  <c r="L3966" i="1"/>
  <c r="J3964" i="1"/>
  <c r="G3962" i="1"/>
  <c r="AH3955" i="1"/>
  <c r="AI3953" i="1"/>
  <c r="W3951" i="1"/>
  <c r="J3949" i="1"/>
  <c r="L3947" i="1"/>
  <c r="J3943" i="1"/>
  <c r="AI3934" i="1"/>
  <c r="G3933" i="1"/>
  <c r="AH3930" i="1"/>
  <c r="AI3928" i="1"/>
  <c r="AH3926" i="1"/>
  <c r="M3924" i="1"/>
  <c r="W3922" i="1"/>
  <c r="M3920" i="1"/>
  <c r="W3918" i="1"/>
  <c r="M3916" i="1"/>
  <c r="M3914" i="1"/>
  <c r="L3912" i="1"/>
  <c r="G3908" i="1"/>
  <c r="AI3905" i="1"/>
  <c r="G3904" i="1"/>
  <c r="AI3901" i="1"/>
  <c r="AI3895" i="1"/>
  <c r="M3890" i="1"/>
  <c r="M3888" i="1"/>
  <c r="L3886" i="1"/>
  <c r="AF3884" i="1"/>
  <c r="AF3882" i="1"/>
  <c r="J3875" i="1"/>
  <c r="L3871" i="1"/>
  <c r="M3869" i="1"/>
  <c r="AH3867" i="1"/>
  <c r="AF3865" i="1"/>
  <c r="AI3859" i="1"/>
  <c r="M3854" i="1"/>
  <c r="M3852" i="1"/>
  <c r="L3850" i="1"/>
  <c r="AF3848" i="1"/>
  <c r="AF3846" i="1"/>
  <c r="J3839" i="1"/>
  <c r="L3835" i="1"/>
  <c r="M3833" i="1"/>
  <c r="AH3831" i="1"/>
  <c r="AF3829" i="1"/>
  <c r="AI3823" i="1"/>
  <c r="M3818" i="1"/>
  <c r="M3816" i="1"/>
  <c r="L3814" i="1"/>
  <c r="AF3812" i="1"/>
  <c r="AF3810" i="1"/>
  <c r="J3803" i="1"/>
  <c r="L3801" i="1"/>
  <c r="AF3799" i="1"/>
  <c r="G3798" i="1"/>
  <c r="AI3796" i="1"/>
  <c r="M3795" i="1"/>
  <c r="AI3792" i="1"/>
  <c r="AF3791" i="1"/>
  <c r="L3790" i="1"/>
  <c r="G3789" i="1"/>
  <c r="AH3787" i="1"/>
  <c r="M3786" i="1"/>
  <c r="J3785" i="1"/>
  <c r="AF3782" i="1"/>
  <c r="L3781" i="1"/>
  <c r="G3780" i="1"/>
  <c r="AI3778" i="1"/>
  <c r="M3777" i="1"/>
  <c r="AI3774" i="1"/>
  <c r="AF3773" i="1"/>
  <c r="L3772" i="1"/>
  <c r="G3771" i="1"/>
  <c r="AH3769" i="1"/>
  <c r="M3768" i="1"/>
  <c r="J3767" i="1"/>
  <c r="AF3764" i="1"/>
  <c r="L3763" i="1"/>
  <c r="G3762" i="1"/>
  <c r="AI3760" i="1"/>
  <c r="M3759" i="1"/>
  <c r="AI3756" i="1"/>
  <c r="AF3755" i="1"/>
  <c r="L3754" i="1"/>
  <c r="G3753" i="1"/>
  <c r="AH3751" i="1"/>
  <c r="M3750" i="1"/>
  <c r="J3749" i="1"/>
  <c r="G3748" i="1"/>
  <c r="AI3746" i="1"/>
  <c r="AF3745" i="1"/>
  <c r="M3744" i="1"/>
  <c r="J3743" i="1"/>
  <c r="G3742" i="1"/>
  <c r="AI3740" i="1"/>
  <c r="AF3739" i="1"/>
  <c r="M3738" i="1"/>
  <c r="J3737" i="1"/>
  <c r="G3736" i="1"/>
  <c r="AI3734" i="1"/>
  <c r="AF3733" i="1"/>
  <c r="M3732" i="1"/>
  <c r="J3731" i="1"/>
  <c r="G3730" i="1"/>
  <c r="AI3728" i="1"/>
  <c r="AF3727" i="1"/>
  <c r="M3726" i="1"/>
  <c r="J3725" i="1"/>
  <c r="G3724" i="1"/>
  <c r="AI3722" i="1"/>
  <c r="AF3721" i="1"/>
  <c r="M3720" i="1"/>
  <c r="J3719" i="1"/>
  <c r="G3718" i="1"/>
  <c r="AI3716" i="1"/>
  <c r="AF3715" i="1"/>
  <c r="M3714" i="1"/>
  <c r="J3713" i="1"/>
  <c r="G3712" i="1"/>
  <c r="AI3710" i="1"/>
  <c r="AF3709" i="1"/>
  <c r="M3708" i="1"/>
  <c r="J3707" i="1"/>
  <c r="G3706" i="1"/>
  <c r="AI3704" i="1"/>
  <c r="AF3703" i="1"/>
  <c r="M3702" i="1"/>
  <c r="J3701" i="1"/>
  <c r="G3700" i="1"/>
  <c r="AI3698" i="1"/>
  <c r="AF3697" i="1"/>
  <c r="M3696" i="1"/>
  <c r="J3695" i="1"/>
  <c r="G3694" i="1"/>
  <c r="AI3692" i="1"/>
  <c r="AF3691" i="1"/>
  <c r="M3690" i="1"/>
  <c r="J3689" i="1"/>
  <c r="G3688" i="1"/>
  <c r="AI3686" i="1"/>
  <c r="AF3685" i="1"/>
  <c r="M3684" i="1"/>
  <c r="J3683" i="1"/>
  <c r="G3682" i="1"/>
  <c r="AI3680" i="1"/>
  <c r="AF3679" i="1"/>
  <c r="M3678" i="1"/>
  <c r="J3677" i="1"/>
  <c r="G3676" i="1"/>
  <c r="AI3674" i="1"/>
  <c r="AF3673" i="1"/>
  <c r="M3672" i="1"/>
  <c r="J3671" i="1"/>
  <c r="G3670" i="1"/>
  <c r="AI3668" i="1"/>
  <c r="AF3667" i="1"/>
  <c r="M3666" i="1"/>
  <c r="J3665" i="1"/>
  <c r="G3664" i="1"/>
  <c r="AI3662" i="1"/>
  <c r="AF3661" i="1"/>
  <c r="M3660" i="1"/>
  <c r="J3659" i="1"/>
  <c r="G3658" i="1"/>
  <c r="AI3656" i="1"/>
  <c r="AF3655" i="1"/>
  <c r="M3654" i="1"/>
  <c r="J3653" i="1"/>
  <c r="G3652" i="1"/>
  <c r="AI3650" i="1"/>
  <c r="AF3649" i="1"/>
  <c r="M3648" i="1"/>
  <c r="M4415" i="1"/>
  <c r="AH4379" i="1"/>
  <c r="AI4371" i="1"/>
  <c r="J4354" i="1"/>
  <c r="AF4315" i="1"/>
  <c r="L4302" i="1"/>
  <c r="AF4296" i="1"/>
  <c r="J4266" i="1"/>
  <c r="M4261" i="1"/>
  <c r="W4250" i="1"/>
  <c r="AI4238" i="1"/>
  <c r="AH4232" i="1"/>
  <c r="AH4220" i="1"/>
  <c r="J4199" i="1"/>
  <c r="G4190" i="1"/>
  <c r="AF4185" i="1"/>
  <c r="J4180" i="1"/>
  <c r="AI4167" i="1"/>
  <c r="AI4158" i="1"/>
  <c r="L4151" i="1"/>
  <c r="L4147" i="1"/>
  <c r="W4143" i="1"/>
  <c r="M4127" i="1"/>
  <c r="M4119" i="1"/>
  <c r="AH4115" i="1"/>
  <c r="AH4111" i="1"/>
  <c r="AF4103" i="1"/>
  <c r="L4100" i="1"/>
  <c r="W4096" i="1"/>
  <c r="L4079" i="1"/>
  <c r="J4076" i="1"/>
  <c r="AF4072" i="1"/>
  <c r="AH4069" i="1"/>
  <c r="L4066" i="1"/>
  <c r="AF4063" i="1"/>
  <c r="M4060" i="1"/>
  <c r="AH4050" i="1"/>
  <c r="M4047" i="1"/>
  <c r="AH4044" i="1"/>
  <c r="L4041" i="1"/>
  <c r="L4038" i="1"/>
  <c r="G4032" i="1"/>
  <c r="J4025" i="1"/>
  <c r="AF4018" i="1"/>
  <c r="W4012" i="1"/>
  <c r="J4007" i="1"/>
  <c r="AI4004" i="1"/>
  <c r="AH4001" i="1"/>
  <c r="L3999" i="1"/>
  <c r="AF3996" i="1"/>
  <c r="W3991" i="1"/>
  <c r="M3988" i="1"/>
  <c r="J3983" i="1"/>
  <c r="AH3978" i="1"/>
  <c r="L3976" i="1"/>
  <c r="J3974" i="1"/>
  <c r="AH3967" i="1"/>
  <c r="W3965" i="1"/>
  <c r="L3963" i="1"/>
  <c r="G3961" i="1"/>
  <c r="J3959" i="1"/>
  <c r="G3955" i="1"/>
  <c r="AI3952" i="1"/>
  <c r="W3950" i="1"/>
  <c r="AF3948" i="1"/>
  <c r="M3946" i="1"/>
  <c r="W3944" i="1"/>
  <c r="M3942" i="1"/>
  <c r="J3938" i="1"/>
  <c r="G3936" i="1"/>
  <c r="J3934" i="1"/>
  <c r="G3932" i="1"/>
  <c r="AH3925" i="1"/>
  <c r="AI3923" i="1"/>
  <c r="AF3921" i="1"/>
  <c r="AI3919" i="1"/>
  <c r="AF3917" i="1"/>
  <c r="AH3915" i="1"/>
  <c r="L3913" i="1"/>
  <c r="J3911" i="1"/>
  <c r="J3909" i="1"/>
  <c r="G3907" i="1"/>
  <c r="AI3900" i="1"/>
  <c r="G3899" i="1"/>
  <c r="G3897" i="1"/>
  <c r="J3895" i="1"/>
  <c r="L3893" i="1"/>
  <c r="AF3891" i="1"/>
  <c r="M3889" i="1"/>
  <c r="W3887" i="1"/>
  <c r="AI3885" i="1"/>
  <c r="AH3883" i="1"/>
  <c r="G3882" i="1"/>
  <c r="G3880" i="1"/>
  <c r="J3876" i="1"/>
  <c r="J3874" i="1"/>
  <c r="W3872" i="1"/>
  <c r="W3870" i="1"/>
  <c r="AI3868" i="1"/>
  <c r="AI3866" i="1"/>
  <c r="AH3864" i="1"/>
  <c r="G3863" i="1"/>
  <c r="G3861" i="1"/>
  <c r="J3859" i="1"/>
  <c r="L3857" i="1"/>
  <c r="AF3855" i="1"/>
  <c r="M3853" i="1"/>
  <c r="W3851" i="1"/>
  <c r="AI3849" i="1"/>
  <c r="AH3847" i="1"/>
  <c r="G3846" i="1"/>
  <c r="G3844" i="1"/>
  <c r="J3840" i="1"/>
  <c r="J3838" i="1"/>
  <c r="W3836" i="1"/>
  <c r="W3834" i="1"/>
  <c r="AI3832" i="1"/>
  <c r="AI3830" i="1"/>
  <c r="AH3828" i="1"/>
  <c r="G3827" i="1"/>
  <c r="G3825" i="1"/>
  <c r="J3823" i="1"/>
  <c r="L3821" i="1"/>
  <c r="AF3819" i="1"/>
  <c r="M3817" i="1"/>
  <c r="W3815" i="1"/>
  <c r="AI3813" i="1"/>
  <c r="AH3811" i="1"/>
  <c r="G3810" i="1"/>
  <c r="G3808" i="1"/>
  <c r="J3804" i="1"/>
  <c r="J3802" i="1"/>
  <c r="AF3800" i="1"/>
  <c r="W3797" i="1"/>
  <c r="J3796" i="1"/>
  <c r="AF3793" i="1"/>
  <c r="L3792" i="1"/>
  <c r="AI3789" i="1"/>
  <c r="W3788" i="1"/>
  <c r="J3787" i="1"/>
  <c r="AF3784" i="1"/>
  <c r="L3783" i="1"/>
  <c r="G3782" i="1"/>
  <c r="AH3780" i="1"/>
  <c r="W3779" i="1"/>
  <c r="J3778" i="1"/>
  <c r="AF3775" i="1"/>
  <c r="L3774" i="1"/>
  <c r="AI3771" i="1"/>
  <c r="W3770" i="1"/>
  <c r="J3769" i="1"/>
  <c r="AF3766" i="1"/>
  <c r="L3765" i="1"/>
  <c r="G3764" i="1"/>
  <c r="AH3762" i="1"/>
  <c r="W3761" i="1"/>
  <c r="J3760" i="1"/>
  <c r="AF3757" i="1"/>
  <c r="L3756" i="1"/>
  <c r="AI3753" i="1"/>
  <c r="W3752" i="1"/>
  <c r="J3751" i="1"/>
  <c r="AH3748" i="1"/>
  <c r="W3747" i="1"/>
  <c r="L3746" i="1"/>
  <c r="AH3742" i="1"/>
  <c r="W3741" i="1"/>
  <c r="L3740" i="1"/>
  <c r="AH3736" i="1"/>
  <c r="W3735" i="1"/>
  <c r="L3734" i="1"/>
  <c r="AH4435" i="1"/>
  <c r="M4426" i="1"/>
  <c r="AI4396" i="1"/>
  <c r="W4346" i="1"/>
  <c r="L4304" i="1"/>
  <c r="J4273" i="1"/>
  <c r="AI4225" i="1"/>
  <c r="J4193" i="1"/>
  <c r="W4186" i="1"/>
  <c r="G4180" i="1"/>
  <c r="AF4169" i="1"/>
  <c r="L4163" i="1"/>
  <c r="W4152" i="1"/>
  <c r="L4132" i="1"/>
  <c r="AI4115" i="1"/>
  <c r="AI4103" i="1"/>
  <c r="L4099" i="1"/>
  <c r="J4090" i="1"/>
  <c r="AI4085" i="1"/>
  <c r="W4076" i="1"/>
  <c r="M4066" i="1"/>
  <c r="AI4057" i="1"/>
  <c r="AH4047" i="1"/>
  <c r="W4043" i="1"/>
  <c r="AF4038" i="1"/>
  <c r="M4034" i="1"/>
  <c r="AI4007" i="1"/>
  <c r="AI4003" i="1"/>
  <c r="AH3991" i="1"/>
  <c r="M3980" i="1"/>
  <c r="G3974" i="1"/>
  <c r="W3970" i="1"/>
  <c r="W3967" i="1"/>
  <c r="W3963" i="1"/>
  <c r="G3957" i="1"/>
  <c r="M3954" i="1"/>
  <c r="AI3947" i="1"/>
  <c r="AH3944" i="1"/>
  <c r="AI3940" i="1"/>
  <c r="G3938" i="1"/>
  <c r="W3934" i="1"/>
  <c r="W3925" i="1"/>
  <c r="L3922" i="1"/>
  <c r="J3916" i="1"/>
  <c r="M3909" i="1"/>
  <c r="J3903" i="1"/>
  <c r="G3894" i="1"/>
  <c r="G3891" i="1"/>
  <c r="W3876" i="1"/>
  <c r="G3873" i="1"/>
  <c r="J3870" i="1"/>
  <c r="W3864" i="1"/>
  <c r="AH3861" i="1"/>
  <c r="AH3858" i="1"/>
  <c r="AH3855" i="1"/>
  <c r="AF3849" i="1"/>
  <c r="M3846" i="1"/>
  <c r="AI3843" i="1"/>
  <c r="AH3840" i="1"/>
  <c r="G3838" i="1"/>
  <c r="AF3834" i="1"/>
  <c r="L3823" i="1"/>
  <c r="AF3805" i="1"/>
  <c r="L3802" i="1"/>
  <c r="M3799" i="1"/>
  <c r="M3797" i="1"/>
  <c r="J3795" i="1"/>
  <c r="M3793" i="1"/>
  <c r="M3791" i="1"/>
  <c r="M3789" i="1"/>
  <c r="L3787" i="1"/>
  <c r="J3783" i="1"/>
  <c r="G3781" i="1"/>
  <c r="J3779" i="1"/>
  <c r="G3777" i="1"/>
  <c r="J3773" i="1"/>
  <c r="AI3770" i="1"/>
  <c r="G3765" i="1"/>
  <c r="AI3762" i="1"/>
  <c r="AF3760" i="1"/>
  <c r="AI3758" i="1"/>
  <c r="AF3756" i="1"/>
  <c r="AF3752" i="1"/>
  <c r="L3750" i="1"/>
  <c r="AF3748" i="1"/>
  <c r="AF3746" i="1"/>
  <c r="J3739" i="1"/>
  <c r="L3735" i="1"/>
  <c r="M3733" i="1"/>
  <c r="AH3731" i="1"/>
  <c r="AH3729" i="1"/>
  <c r="J3728" i="1"/>
  <c r="L3726" i="1"/>
  <c r="AH3724" i="1"/>
  <c r="L3721" i="1"/>
  <c r="AH3719" i="1"/>
  <c r="AH3717" i="1"/>
  <c r="J3716" i="1"/>
  <c r="L3714" i="1"/>
  <c r="AH3712" i="1"/>
  <c r="L3709" i="1"/>
  <c r="AH3707" i="1"/>
  <c r="AH3705" i="1"/>
  <c r="J3704" i="1"/>
  <c r="L3702" i="1"/>
  <c r="AH3700" i="1"/>
  <c r="L3697" i="1"/>
  <c r="AH3695" i="1"/>
  <c r="AH3693" i="1"/>
  <c r="J3692" i="1"/>
  <c r="L3690" i="1"/>
  <c r="AH3688" i="1"/>
  <c r="G3687" i="1"/>
  <c r="W3685" i="1"/>
  <c r="G3684" i="1"/>
  <c r="W3682" i="1"/>
  <c r="M3679" i="1"/>
  <c r="M3676" i="1"/>
  <c r="W3673" i="1"/>
  <c r="AH3670" i="1"/>
  <c r="L3669" i="1"/>
  <c r="W3666" i="1"/>
  <c r="G3665" i="1"/>
  <c r="AF3663" i="1"/>
  <c r="J3662" i="1"/>
  <c r="M3659" i="1"/>
  <c r="W3656" i="1"/>
  <c r="J3655" i="1"/>
  <c r="AI3653" i="1"/>
  <c r="M3652" i="1"/>
  <c r="W3649" i="1"/>
  <c r="AI3646" i="1"/>
  <c r="W3645" i="1"/>
  <c r="J3644" i="1"/>
  <c r="G3643" i="1"/>
  <c r="AH3641" i="1"/>
  <c r="M3640" i="1"/>
  <c r="G3639" i="1"/>
  <c r="AI3637" i="1"/>
  <c r="W3636" i="1"/>
  <c r="J3635" i="1"/>
  <c r="AF3632" i="1"/>
  <c r="M3631" i="1"/>
  <c r="AI3628" i="1"/>
  <c r="W3627" i="1"/>
  <c r="J3626" i="1"/>
  <c r="G3625" i="1"/>
  <c r="AH3623" i="1"/>
  <c r="M3622" i="1"/>
  <c r="G3621" i="1"/>
  <c r="AI3619" i="1"/>
  <c r="W3618" i="1"/>
  <c r="J3617" i="1"/>
  <c r="AF3614" i="1"/>
  <c r="M3613" i="1"/>
  <c r="AI3610" i="1"/>
  <c r="W3609" i="1"/>
  <c r="J3608" i="1"/>
  <c r="G3607" i="1"/>
  <c r="AH3605" i="1"/>
  <c r="M3604" i="1"/>
  <c r="G3603" i="1"/>
  <c r="AI3601" i="1"/>
  <c r="W3600" i="1"/>
  <c r="J3599" i="1"/>
  <c r="AF3596" i="1"/>
  <c r="M3595" i="1"/>
  <c r="AI3592" i="1"/>
  <c r="W3591" i="1"/>
  <c r="J3590" i="1"/>
  <c r="G3589" i="1"/>
  <c r="AI3587" i="1"/>
  <c r="AF3586" i="1"/>
  <c r="M3585" i="1"/>
  <c r="J3584" i="1"/>
  <c r="G3583" i="1"/>
  <c r="AI3581" i="1"/>
  <c r="AF3580" i="1"/>
  <c r="M3579" i="1"/>
  <c r="J3578" i="1"/>
  <c r="G3577" i="1"/>
  <c r="AI3575" i="1"/>
  <c r="AF3574" i="1"/>
  <c r="M3573" i="1"/>
  <c r="J3572" i="1"/>
  <c r="G3571" i="1"/>
  <c r="AI3569" i="1"/>
  <c r="AF3568" i="1"/>
  <c r="M3567" i="1"/>
  <c r="J3566" i="1"/>
  <c r="G3565" i="1"/>
  <c r="AI3563" i="1"/>
  <c r="AF3562" i="1"/>
  <c r="M3561" i="1"/>
  <c r="J3560" i="1"/>
  <c r="G3559" i="1"/>
  <c r="AI3557" i="1"/>
  <c r="AF3556" i="1"/>
  <c r="M3555" i="1"/>
  <c r="J3554" i="1"/>
  <c r="G3553" i="1"/>
  <c r="AI3551" i="1"/>
  <c r="AF3550" i="1"/>
  <c r="M3549" i="1"/>
  <c r="J3548" i="1"/>
  <c r="G3547" i="1"/>
  <c r="AI3545" i="1"/>
  <c r="AF3544" i="1"/>
  <c r="M3543" i="1"/>
  <c r="J3542" i="1"/>
  <c r="G3541" i="1"/>
  <c r="AI3539" i="1"/>
  <c r="AF3538" i="1"/>
  <c r="M3537" i="1"/>
  <c r="J3536" i="1"/>
  <c r="G3535" i="1"/>
  <c r="AI3533" i="1"/>
  <c r="AF3532" i="1"/>
  <c r="M3531" i="1"/>
  <c r="J3530" i="1"/>
  <c r="G3529" i="1"/>
  <c r="AI3527" i="1"/>
  <c r="AF3526" i="1"/>
  <c r="M3525" i="1"/>
  <c r="J3524" i="1"/>
  <c r="G3523" i="1"/>
  <c r="AI3521" i="1"/>
  <c r="AF3520" i="1"/>
  <c r="M3519" i="1"/>
  <c r="J3518" i="1"/>
  <c r="G3517" i="1"/>
  <c r="AI3515" i="1"/>
  <c r="AF3514" i="1"/>
  <c r="M3513" i="1"/>
  <c r="J3512" i="1"/>
  <c r="G3511" i="1"/>
  <c r="AI3509" i="1"/>
  <c r="AF3508" i="1"/>
  <c r="M3507" i="1"/>
  <c r="J3506" i="1"/>
  <c r="G3505" i="1"/>
  <c r="AI3503" i="1"/>
  <c r="AF3502" i="1"/>
  <c r="M3501" i="1"/>
  <c r="J3500" i="1"/>
  <c r="G3499" i="1"/>
  <c r="AI3497" i="1"/>
  <c r="AF3496" i="1"/>
  <c r="M3495" i="1"/>
  <c r="J3494" i="1"/>
  <c r="G3493" i="1"/>
  <c r="AI3491" i="1"/>
  <c r="AF3490" i="1"/>
  <c r="M3489" i="1"/>
  <c r="J3488" i="1"/>
  <c r="G3487" i="1"/>
  <c r="AI3485" i="1"/>
  <c r="AF3484" i="1"/>
  <c r="M3483" i="1"/>
  <c r="J3482" i="1"/>
  <c r="G3481" i="1"/>
  <c r="AI3479" i="1"/>
  <c r="AF3478" i="1"/>
  <c r="M3477" i="1"/>
  <c r="J3476" i="1"/>
  <c r="G3475" i="1"/>
  <c r="AI3473" i="1"/>
  <c r="AF3472" i="1"/>
  <c r="M3471" i="1"/>
  <c r="J3470" i="1"/>
  <c r="G3469" i="1"/>
  <c r="G4444" i="1"/>
  <c r="AF4415" i="1"/>
  <c r="G4396" i="1"/>
  <c r="AF4310" i="1"/>
  <c r="J4279" i="1"/>
  <c r="G4256" i="1"/>
  <c r="AH4225" i="1"/>
  <c r="J4210" i="1"/>
  <c r="AH4198" i="1"/>
  <c r="L4186" i="1"/>
  <c r="W4169" i="1"/>
  <c r="L4152" i="1"/>
  <c r="J4147" i="1"/>
  <c r="M4126" i="1"/>
  <c r="J4121" i="1"/>
  <c r="AH4103" i="1"/>
  <c r="AI4093" i="1"/>
  <c r="L4085" i="1"/>
  <c r="AF4080" i="1"/>
  <c r="J4070" i="1"/>
  <c r="J4066" i="1"/>
  <c r="AH4061" i="1"/>
  <c r="G4057" i="1"/>
  <c r="W4047" i="1"/>
  <c r="M4038" i="1"/>
  <c r="L4034" i="1"/>
  <c r="G4029" i="1"/>
  <c r="AI4019" i="1"/>
  <c r="L4015" i="1"/>
  <c r="L4007" i="1"/>
  <c r="M3999" i="1"/>
  <c r="AF3991" i="1"/>
  <c r="AI3983" i="1"/>
  <c r="L3980" i="1"/>
  <c r="M3970" i="1"/>
  <c r="M3963" i="1"/>
  <c r="AH3959" i="1"/>
  <c r="J3947" i="1"/>
  <c r="G3944" i="1"/>
  <c r="AH3940" i="1"/>
  <c r="L3934" i="1"/>
  <c r="AF3930" i="1"/>
  <c r="G3928" i="1"/>
  <c r="L3925" i="1"/>
  <c r="G3919" i="1"/>
  <c r="G3916" i="1"/>
  <c r="L3909" i="1"/>
  <c r="AH3905" i="1"/>
  <c r="W3899" i="1"/>
  <c r="M3887" i="1"/>
  <c r="W3884" i="1"/>
  <c r="AI3878" i="1"/>
  <c r="M3876" i="1"/>
  <c r="G3867" i="1"/>
  <c r="M3864" i="1"/>
  <c r="AF3861" i="1"/>
  <c r="AF3858" i="1"/>
  <c r="G3852" i="1"/>
  <c r="J3846" i="1"/>
  <c r="AH3843" i="1"/>
  <c r="AF3840" i="1"/>
  <c r="M3834" i="1"/>
  <c r="AF3831" i="1"/>
  <c r="AF3828" i="1"/>
  <c r="AI3825" i="1"/>
  <c r="AI3819" i="1"/>
  <c r="J3816" i="1"/>
  <c r="AH3813" i="1"/>
  <c r="W3810" i="1"/>
  <c r="L3799" i="1"/>
  <c r="L3797" i="1"/>
  <c r="L3793" i="1"/>
  <c r="L3791" i="1"/>
  <c r="G3787" i="1"/>
  <c r="G3785" i="1"/>
  <c r="AH3774" i="1"/>
  <c r="G3773" i="1"/>
  <c r="AH3770" i="1"/>
  <c r="AI3768" i="1"/>
  <c r="AI3766" i="1"/>
  <c r="AF3762" i="1"/>
  <c r="W3760" i="1"/>
  <c r="AH3758" i="1"/>
  <c r="W3756" i="1"/>
  <c r="AI3754" i="1"/>
  <c r="M3752" i="1"/>
  <c r="J3750" i="1"/>
  <c r="W3748" i="1"/>
  <c r="W3746" i="1"/>
  <c r="AI3744" i="1"/>
  <c r="AI3742" i="1"/>
  <c r="AH3740" i="1"/>
  <c r="G3739" i="1"/>
  <c r="G3737" i="1"/>
  <c r="J3735" i="1"/>
  <c r="L3733" i="1"/>
  <c r="AF3731" i="1"/>
  <c r="AF3729" i="1"/>
  <c r="J3726" i="1"/>
  <c r="AF3724" i="1"/>
  <c r="AH3722" i="1"/>
  <c r="J3721" i="1"/>
  <c r="AF3719" i="1"/>
  <c r="AF3717" i="1"/>
  <c r="J3714" i="1"/>
  <c r="AF3712" i="1"/>
  <c r="AH3710" i="1"/>
  <c r="J3709" i="1"/>
  <c r="AF3707" i="1"/>
  <c r="AF3705" i="1"/>
  <c r="J3702" i="1"/>
  <c r="AF3700" i="1"/>
  <c r="AH3698" i="1"/>
  <c r="J3697" i="1"/>
  <c r="AF3695" i="1"/>
  <c r="AF3693" i="1"/>
  <c r="J3690" i="1"/>
  <c r="AF3688" i="1"/>
  <c r="M3685" i="1"/>
  <c r="M3682" i="1"/>
  <c r="AH3680" i="1"/>
  <c r="L3679" i="1"/>
  <c r="AI3677" i="1"/>
  <c r="J3676" i="1"/>
  <c r="AH3674" i="1"/>
  <c r="M3673" i="1"/>
  <c r="G3672" i="1"/>
  <c r="AF3670" i="1"/>
  <c r="J3669" i="1"/>
  <c r="AI3667" i="1"/>
  <c r="L3666" i="1"/>
  <c r="W3663" i="1"/>
  <c r="AI3660" i="1"/>
  <c r="L3659" i="1"/>
  <c r="AI3657" i="1"/>
  <c r="M3656" i="1"/>
  <c r="AH3653" i="1"/>
  <c r="J3652" i="1"/>
  <c r="AH3650" i="1"/>
  <c r="M3649" i="1"/>
  <c r="G3648" i="1"/>
  <c r="AH3646" i="1"/>
  <c r="M3645" i="1"/>
  <c r="AF3641" i="1"/>
  <c r="J3640" i="1"/>
  <c r="AH3637" i="1"/>
  <c r="M3636" i="1"/>
  <c r="AI3633" i="1"/>
  <c r="W3632" i="1"/>
  <c r="L3631" i="1"/>
  <c r="G3630" i="1"/>
  <c r="AH3628" i="1"/>
  <c r="M3627" i="1"/>
  <c r="AF3623" i="1"/>
  <c r="J3622" i="1"/>
  <c r="AH3619" i="1"/>
  <c r="M3618" i="1"/>
  <c r="AI3615" i="1"/>
  <c r="W3614" i="1"/>
  <c r="L3613" i="1"/>
  <c r="G3612" i="1"/>
  <c r="AH3610" i="1"/>
  <c r="M3609" i="1"/>
  <c r="AF3605" i="1"/>
  <c r="J3604" i="1"/>
  <c r="AH3601" i="1"/>
  <c r="M3600" i="1"/>
  <c r="AI3597" i="1"/>
  <c r="W3596" i="1"/>
  <c r="L3595" i="1"/>
  <c r="G3594" i="1"/>
  <c r="AH3592" i="1"/>
  <c r="M3591" i="1"/>
  <c r="AH3587" i="1"/>
  <c r="W3586" i="1"/>
  <c r="L3585" i="1"/>
  <c r="AH3581" i="1"/>
  <c r="W3580" i="1"/>
  <c r="L3579" i="1"/>
  <c r="AH3575" i="1"/>
  <c r="W3574" i="1"/>
  <c r="L3573" i="1"/>
  <c r="AH3569" i="1"/>
  <c r="W3568" i="1"/>
  <c r="L3567" i="1"/>
  <c r="AH3563" i="1"/>
  <c r="W3562" i="1"/>
  <c r="L3561" i="1"/>
  <c r="AH3557" i="1"/>
  <c r="W3556" i="1"/>
  <c r="L3555" i="1"/>
  <c r="AH3551" i="1"/>
  <c r="W3550" i="1"/>
  <c r="L4474" i="1"/>
  <c r="G4345" i="1"/>
  <c r="W4310" i="1"/>
  <c r="L4263" i="1"/>
  <c r="AI4232" i="1"/>
  <c r="AH4216" i="1"/>
  <c r="AI4204" i="1"/>
  <c r="M4198" i="1"/>
  <c r="AI4173" i="1"/>
  <c r="AI4162" i="1"/>
  <c r="W4155" i="1"/>
  <c r="M4114" i="1"/>
  <c r="M4103" i="1"/>
  <c r="AH4093" i="1"/>
  <c r="W4089" i="1"/>
  <c r="M4080" i="1"/>
  <c r="J4061" i="1"/>
  <c r="AH4051" i="1"/>
  <c r="L4047" i="1"/>
  <c r="W4042" i="1"/>
  <c r="W4024" i="1"/>
  <c r="J4015" i="1"/>
  <c r="AI4010" i="1"/>
  <c r="AI4002" i="1"/>
  <c r="W3994" i="1"/>
  <c r="L3983" i="1"/>
  <c r="AI3976" i="1"/>
  <c r="L3970" i="1"/>
  <c r="AF3959" i="1"/>
  <c r="AI3956" i="1"/>
  <c r="AH3953" i="1"/>
  <c r="M3950" i="1"/>
  <c r="AF3940" i="1"/>
  <c r="M3930" i="1"/>
  <c r="AH3921" i="1"/>
  <c r="G3912" i="1"/>
  <c r="W3905" i="1"/>
  <c r="AI3902" i="1"/>
  <c r="M3899" i="1"/>
  <c r="AI3896" i="1"/>
  <c r="W3893" i="1"/>
  <c r="L3887" i="1"/>
  <c r="M3884" i="1"/>
  <c r="W3881" i="1"/>
  <c r="AF3878" i="1"/>
  <c r="AI3872" i="1"/>
  <c r="G3858" i="1"/>
  <c r="G3855" i="1"/>
  <c r="W3840" i="1"/>
  <c r="G3837" i="1"/>
  <c r="J3834" i="1"/>
  <c r="W3828" i="1"/>
  <c r="AH3825" i="1"/>
  <c r="AH3822" i="1"/>
  <c r="AH3819" i="1"/>
  <c r="AF3813" i="1"/>
  <c r="M3810" i="1"/>
  <c r="AI3807" i="1"/>
  <c r="AH3804" i="1"/>
  <c r="G3802" i="1"/>
  <c r="J3799" i="1"/>
  <c r="J3797" i="1"/>
  <c r="G3795" i="1"/>
  <c r="J3791" i="1"/>
  <c r="AI3788" i="1"/>
  <c r="G3783" i="1"/>
  <c r="AI3780" i="1"/>
  <c r="AF3778" i="1"/>
  <c r="AI3776" i="1"/>
  <c r="AF3774" i="1"/>
  <c r="AF3770" i="1"/>
  <c r="L3768" i="1"/>
  <c r="W3766" i="1"/>
  <c r="W3764" i="1"/>
  <c r="W3762" i="1"/>
  <c r="M3760" i="1"/>
  <c r="AF3758" i="1"/>
  <c r="M3756" i="1"/>
  <c r="J3754" i="1"/>
  <c r="J3752" i="1"/>
  <c r="M3748" i="1"/>
  <c r="M3746" i="1"/>
  <c r="L3744" i="1"/>
  <c r="AF3742" i="1"/>
  <c r="AF3740" i="1"/>
  <c r="J3733" i="1"/>
  <c r="W3729" i="1"/>
  <c r="G3728" i="1"/>
  <c r="W3724" i="1"/>
  <c r="AF3722" i="1"/>
  <c r="W3717" i="1"/>
  <c r="G3716" i="1"/>
  <c r="W3712" i="1"/>
  <c r="AF3710" i="1"/>
  <c r="W3705" i="1"/>
  <c r="G3704" i="1"/>
  <c r="W3700" i="1"/>
  <c r="AF3698" i="1"/>
  <c r="W3693" i="1"/>
  <c r="G3692" i="1"/>
  <c r="W3688" i="1"/>
  <c r="AH3686" i="1"/>
  <c r="L3685" i="1"/>
  <c r="AI3683" i="1"/>
  <c r="J3682" i="1"/>
  <c r="AF3680" i="1"/>
  <c r="J3679" i="1"/>
  <c r="AH3677" i="1"/>
  <c r="AF3674" i="1"/>
  <c r="L3673" i="1"/>
  <c r="W3670" i="1"/>
  <c r="G3669" i="1"/>
  <c r="AH3667" i="1"/>
  <c r="J3666" i="1"/>
  <c r="AI3664" i="1"/>
  <c r="M3663" i="1"/>
  <c r="G3662" i="1"/>
  <c r="AF3660" i="1"/>
  <c r="AH3657" i="1"/>
  <c r="L3656" i="1"/>
  <c r="G3655" i="1"/>
  <c r="AF3653" i="1"/>
  <c r="AF3650" i="1"/>
  <c r="L3649" i="1"/>
  <c r="AF3646" i="1"/>
  <c r="L3645" i="1"/>
  <c r="G3644" i="1"/>
  <c r="AI3642" i="1"/>
  <c r="M3641" i="1"/>
  <c r="AI3638" i="1"/>
  <c r="AF3637" i="1"/>
  <c r="L3636" i="1"/>
  <c r="G3635" i="1"/>
  <c r="AH3633" i="1"/>
  <c r="M3632" i="1"/>
  <c r="J3631" i="1"/>
  <c r="AF3628" i="1"/>
  <c r="L3627" i="1"/>
  <c r="G3626" i="1"/>
  <c r="AI3624" i="1"/>
  <c r="M3623" i="1"/>
  <c r="AI3620" i="1"/>
  <c r="AF3619" i="1"/>
  <c r="L3618" i="1"/>
  <c r="G3617" i="1"/>
  <c r="AH3615" i="1"/>
  <c r="M3614" i="1"/>
  <c r="J3613" i="1"/>
  <c r="AF3610" i="1"/>
  <c r="L3609" i="1"/>
  <c r="G3608" i="1"/>
  <c r="AI3606" i="1"/>
  <c r="M3605" i="1"/>
  <c r="AI3602" i="1"/>
  <c r="AF3601" i="1"/>
  <c r="L3600" i="1"/>
  <c r="G3599" i="1"/>
  <c r="AH3597" i="1"/>
  <c r="M3596" i="1"/>
  <c r="J3595" i="1"/>
  <c r="AF3592" i="1"/>
  <c r="L3591" i="1"/>
  <c r="G3590" i="1"/>
  <c r="AI3588" i="1"/>
  <c r="AF3587" i="1"/>
  <c r="M3586" i="1"/>
  <c r="J3585" i="1"/>
  <c r="G3584" i="1"/>
  <c r="AI3582" i="1"/>
  <c r="AF3581" i="1"/>
  <c r="M3580" i="1"/>
  <c r="J3579" i="1"/>
  <c r="G3578" i="1"/>
  <c r="AI3576" i="1"/>
  <c r="AF3575" i="1"/>
  <c r="M3574" i="1"/>
  <c r="J3573" i="1"/>
  <c r="G3572" i="1"/>
  <c r="AI3570" i="1"/>
  <c r="AF3569" i="1"/>
  <c r="M3568" i="1"/>
  <c r="J3567" i="1"/>
  <c r="G3566" i="1"/>
  <c r="AI3564" i="1"/>
  <c r="AF3563" i="1"/>
  <c r="M3562" i="1"/>
  <c r="J3561" i="1"/>
  <c r="G3560" i="1"/>
  <c r="AI3558" i="1"/>
  <c r="AF3557" i="1"/>
  <c r="M3556" i="1"/>
  <c r="J3555" i="1"/>
  <c r="G3554" i="1"/>
  <c r="AI3552" i="1"/>
  <c r="AF3551" i="1"/>
  <c r="M3550" i="1"/>
  <c r="J3549" i="1"/>
  <c r="G3548" i="1"/>
  <c r="AI3546" i="1"/>
  <c r="AF3545" i="1"/>
  <c r="M3544" i="1"/>
  <c r="J3543" i="1"/>
  <c r="G3542" i="1"/>
  <c r="AI3540" i="1"/>
  <c r="AF3539" i="1"/>
  <c r="M3538" i="1"/>
  <c r="J3537" i="1"/>
  <c r="G3536" i="1"/>
  <c r="AI3534" i="1"/>
  <c r="AF4483" i="1"/>
  <c r="J4433" i="1"/>
  <c r="G4353" i="1"/>
  <c r="AH4317" i="1"/>
  <c r="AI4285" i="1"/>
  <c r="G4255" i="1"/>
  <c r="M4239" i="1"/>
  <c r="W4232" i="1"/>
  <c r="W4173" i="1"/>
  <c r="L4155" i="1"/>
  <c r="M4151" i="1"/>
  <c r="AI4146" i="1"/>
  <c r="AI4140" i="1"/>
  <c r="AI4135" i="1"/>
  <c r="AI4130" i="1"/>
  <c r="L4120" i="1"/>
  <c r="L4114" i="1"/>
  <c r="M4108" i="1"/>
  <c r="J4103" i="1"/>
  <c r="M4089" i="1"/>
  <c r="L4080" i="1"/>
  <c r="G4075" i="1"/>
  <c r="W4051" i="1"/>
  <c r="M4037" i="1"/>
  <c r="G4033" i="1"/>
  <c r="L4028" i="1"/>
  <c r="AH4018" i="1"/>
  <c r="AH4010" i="1"/>
  <c r="AH4002" i="1"/>
  <c r="AI3998" i="1"/>
  <c r="M3994" i="1"/>
  <c r="AI3990" i="1"/>
  <c r="AI3986" i="1"/>
  <c r="AH3979" i="1"/>
  <c r="J3976" i="1"/>
  <c r="AI3972" i="1"/>
  <c r="G3970" i="1"/>
  <c r="G3966" i="1"/>
  <c r="G3963" i="1"/>
  <c r="W3959" i="1"/>
  <c r="W3956" i="1"/>
  <c r="J3953" i="1"/>
  <c r="L3950" i="1"/>
  <c r="AF3946" i="1"/>
  <c r="AI3943" i="1"/>
  <c r="G3940" i="1"/>
  <c r="AI3936" i="1"/>
  <c r="L3930" i="1"/>
  <c r="AH3927" i="1"/>
  <c r="L3924" i="1"/>
  <c r="W3921" i="1"/>
  <c r="M3918" i="1"/>
  <c r="J3915" i="1"/>
  <c r="AH3908" i="1"/>
  <c r="M3905" i="1"/>
  <c r="AH3902" i="1"/>
  <c r="L3899" i="1"/>
  <c r="AF3896" i="1"/>
  <c r="M3893" i="1"/>
  <c r="AI3889" i="1"/>
  <c r="J3887" i="1"/>
  <c r="M3881" i="1"/>
  <c r="W3878" i="1"/>
  <c r="G3876" i="1"/>
  <c r="AF3872" i="1"/>
  <c r="L3869" i="1"/>
  <c r="AF3866" i="1"/>
  <c r="W3863" i="1"/>
  <c r="M3851" i="1"/>
  <c r="W3848" i="1"/>
  <c r="AI3842" i="1"/>
  <c r="M3840" i="1"/>
  <c r="G3831" i="1"/>
  <c r="M3828" i="1"/>
  <c r="AF3825" i="1"/>
  <c r="AF3822" i="1"/>
  <c r="G3816" i="1"/>
  <c r="J3810" i="1"/>
  <c r="AH3807" i="1"/>
  <c r="AF3804" i="1"/>
  <c r="G3799" i="1"/>
  <c r="AH3792" i="1"/>
  <c r="G3791" i="1"/>
  <c r="AH3788" i="1"/>
  <c r="AI3786" i="1"/>
  <c r="AI3784" i="1"/>
  <c r="AF3780" i="1"/>
  <c r="W3778" i="1"/>
  <c r="AH3776" i="1"/>
  <c r="W3774" i="1"/>
  <c r="AI3772" i="1"/>
  <c r="M3770" i="1"/>
  <c r="J3768" i="1"/>
  <c r="M3766" i="1"/>
  <c r="M3764" i="1"/>
  <c r="M3762" i="1"/>
  <c r="L3760" i="1"/>
  <c r="G3758" i="1"/>
  <c r="J3756" i="1"/>
  <c r="G3750" i="1"/>
  <c r="J3746" i="1"/>
  <c r="J3744" i="1"/>
  <c r="W3742" i="1"/>
  <c r="W3740" i="1"/>
  <c r="AI3738" i="1"/>
  <c r="AI3736" i="1"/>
  <c r="AH3734" i="1"/>
  <c r="G3733" i="1"/>
  <c r="G3731" i="1"/>
  <c r="M3729" i="1"/>
  <c r="G3726" i="1"/>
  <c r="M3724" i="1"/>
  <c r="W3722" i="1"/>
  <c r="G3721" i="1"/>
  <c r="G3719" i="1"/>
  <c r="M3717" i="1"/>
  <c r="G3714" i="1"/>
  <c r="M3712" i="1"/>
  <c r="W3710" i="1"/>
  <c r="G3709" i="1"/>
  <c r="G3707" i="1"/>
  <c r="M3705" i="1"/>
  <c r="G3702" i="1"/>
  <c r="M3700" i="1"/>
  <c r="W3698" i="1"/>
  <c r="G3697" i="1"/>
  <c r="G3695" i="1"/>
  <c r="M3693" i="1"/>
  <c r="G3690" i="1"/>
  <c r="M3688" i="1"/>
  <c r="AF3686" i="1"/>
  <c r="J3685" i="1"/>
  <c r="AH3683" i="1"/>
  <c r="W3680" i="1"/>
  <c r="AF3677" i="1"/>
  <c r="W3674" i="1"/>
  <c r="J3673" i="1"/>
  <c r="AI3671" i="1"/>
  <c r="M3670" i="1"/>
  <c r="W3667" i="1"/>
  <c r="AH3664" i="1"/>
  <c r="L3663" i="1"/>
  <c r="W3660" i="1"/>
  <c r="G3659" i="1"/>
  <c r="AF3657" i="1"/>
  <c r="J3656" i="1"/>
  <c r="M3653" i="1"/>
  <c r="W3650" i="1"/>
  <c r="J3649" i="1"/>
  <c r="AI3647" i="1"/>
  <c r="W3646" i="1"/>
  <c r="J3645" i="1"/>
  <c r="AF3642" i="1"/>
  <c r="L3641" i="1"/>
  <c r="G3640" i="1"/>
  <c r="AH3638" i="1"/>
  <c r="W3637" i="1"/>
  <c r="J3636" i="1"/>
  <c r="AF3633" i="1"/>
  <c r="L3632" i="1"/>
  <c r="AI3629" i="1"/>
  <c r="W3628" i="1"/>
  <c r="J3627" i="1"/>
  <c r="AF3624" i="1"/>
  <c r="L3623" i="1"/>
  <c r="G3622" i="1"/>
  <c r="AH3620" i="1"/>
  <c r="W3619" i="1"/>
  <c r="J3618" i="1"/>
  <c r="AF3615" i="1"/>
  <c r="L3614" i="1"/>
  <c r="AI3611" i="1"/>
  <c r="W3610" i="1"/>
  <c r="J3609" i="1"/>
  <c r="AF3606" i="1"/>
  <c r="L3605" i="1"/>
  <c r="G3604" i="1"/>
  <c r="AH3602" i="1"/>
  <c r="W3601" i="1"/>
  <c r="J3600" i="1"/>
  <c r="AF3597" i="1"/>
  <c r="L3596" i="1"/>
  <c r="AI3593" i="1"/>
  <c r="W3592" i="1"/>
  <c r="J3591" i="1"/>
  <c r="AH3588" i="1"/>
  <c r="W3587" i="1"/>
  <c r="L3586" i="1"/>
  <c r="AH3582" i="1"/>
  <c r="W3581" i="1"/>
  <c r="L3580" i="1"/>
  <c r="AH3576" i="1"/>
  <c r="W3575" i="1"/>
  <c r="L3574" i="1"/>
  <c r="AH3570" i="1"/>
  <c r="W3569" i="1"/>
  <c r="L3568" i="1"/>
  <c r="AH3564" i="1"/>
  <c r="W3563" i="1"/>
  <c r="L3562" i="1"/>
  <c r="J4340" i="1"/>
  <c r="AF4322" i="1"/>
  <c r="AF4267" i="1"/>
  <c r="J4252" i="1"/>
  <c r="AI4228" i="1"/>
  <c r="AH4213" i="1"/>
  <c r="L4195" i="1"/>
  <c r="AI4188" i="1"/>
  <c r="L4176" i="1"/>
  <c r="AI4171" i="1"/>
  <c r="AH4154" i="1"/>
  <c r="M4138" i="1"/>
  <c r="AF4134" i="1"/>
  <c r="AI4127" i="1"/>
  <c r="AI4111" i="1"/>
  <c r="AH4106" i="1"/>
  <c r="AI4100" i="1"/>
  <c r="G4096" i="1"/>
  <c r="W4087" i="1"/>
  <c r="AH4072" i="1"/>
  <c r="AI4063" i="1"/>
  <c r="M4049" i="1"/>
  <c r="AI4040" i="1"/>
  <c r="W4035" i="1"/>
  <c r="AF4026" i="1"/>
  <c r="W4016" i="1"/>
  <c r="AH4009" i="1"/>
  <c r="L4001" i="1"/>
  <c r="AI3996" i="1"/>
  <c r="J3993" i="1"/>
  <c r="J3989" i="1"/>
  <c r="AI3985" i="1"/>
  <c r="W3981" i="1"/>
  <c r="M3978" i="1"/>
  <c r="AI3974" i="1"/>
  <c r="AH3971" i="1"/>
  <c r="L3968" i="1"/>
  <c r="AI3964" i="1"/>
  <c r="AF3961" i="1"/>
  <c r="J3955" i="1"/>
  <c r="M3952" i="1"/>
  <c r="AH3938" i="1"/>
  <c r="AF3935" i="1"/>
  <c r="M3929" i="1"/>
  <c r="L3926" i="1"/>
  <c r="AF3923" i="1"/>
  <c r="J3920" i="1"/>
  <c r="L3917" i="1"/>
  <c r="AI3913" i="1"/>
  <c r="AH3910" i="1"/>
  <c r="W3904" i="1"/>
  <c r="L3895" i="1"/>
  <c r="AF3877" i="1"/>
  <c r="L3874" i="1"/>
  <c r="J3868" i="1"/>
  <c r="L3865" i="1"/>
  <c r="AI3862" i="1"/>
  <c r="AF3859" i="1"/>
  <c r="L3853" i="1"/>
  <c r="M3847" i="1"/>
  <c r="L3844" i="1"/>
  <c r="AI3841" i="1"/>
  <c r="AI3835" i="1"/>
  <c r="J3827" i="1"/>
  <c r="J3821" i="1"/>
  <c r="AH3817" i="1"/>
  <c r="AI3811" i="1"/>
  <c r="M3806" i="1"/>
  <c r="W3800" i="1"/>
  <c r="G3790" i="1"/>
  <c r="AI3783" i="1"/>
  <c r="AH3779" i="1"/>
  <c r="AH3775" i="1"/>
  <c r="AH3771" i="1"/>
  <c r="W3769" i="1"/>
  <c r="AH3767" i="1"/>
  <c r="AF3765" i="1"/>
  <c r="AH3763" i="1"/>
  <c r="M3761" i="1"/>
  <c r="J3759" i="1"/>
  <c r="M3757" i="1"/>
  <c r="M3755" i="1"/>
  <c r="M3753" i="1"/>
  <c r="L3751" i="1"/>
  <c r="L3747" i="1"/>
  <c r="M3745" i="1"/>
  <c r="AH3743" i="1"/>
  <c r="AF3741" i="1"/>
  <c r="AI3735" i="1"/>
  <c r="W3730" i="1"/>
  <c r="AF3728" i="1"/>
  <c r="W3723" i="1"/>
  <c r="G3722" i="1"/>
  <c r="W3718" i="1"/>
  <c r="AF3716" i="1"/>
  <c r="W3711" i="1"/>
  <c r="G3710" i="1"/>
  <c r="W3706" i="1"/>
  <c r="AF3704" i="1"/>
  <c r="W3699" i="1"/>
  <c r="G3698" i="1"/>
  <c r="W3694" i="1"/>
  <c r="AF3692" i="1"/>
  <c r="W3687" i="1"/>
  <c r="AF3684" i="1"/>
  <c r="M3681" i="1"/>
  <c r="G3680" i="1"/>
  <c r="L3678" i="1"/>
  <c r="AI3676" i="1"/>
  <c r="M3675" i="1"/>
  <c r="G3674" i="1"/>
  <c r="AF3672" i="1"/>
  <c r="AH3669" i="1"/>
  <c r="L3668" i="1"/>
  <c r="G3667" i="1"/>
  <c r="AF3665" i="1"/>
  <c r="AF3662" i="1"/>
  <c r="L3661" i="1"/>
  <c r="W3658" i="1"/>
  <c r="G3657" i="1"/>
  <c r="AH3655" i="1"/>
  <c r="J3654" i="1"/>
  <c r="AI3652" i="1"/>
  <c r="M3651" i="1"/>
  <c r="G3650" i="1"/>
  <c r="AF3648" i="1"/>
  <c r="J3647" i="1"/>
  <c r="AF3644" i="1"/>
  <c r="M3643" i="1"/>
  <c r="AI3640" i="1"/>
  <c r="W3639" i="1"/>
  <c r="J3638" i="1"/>
  <c r="G3637" i="1"/>
  <c r="AH3635" i="1"/>
  <c r="M3634" i="1"/>
  <c r="G3633" i="1"/>
  <c r="AI3631" i="1"/>
  <c r="W3630" i="1"/>
  <c r="J3629" i="1"/>
  <c r="AF3626" i="1"/>
  <c r="M3625" i="1"/>
  <c r="AI3622" i="1"/>
  <c r="W3621" i="1"/>
  <c r="J3620" i="1"/>
  <c r="G3619" i="1"/>
  <c r="AH3617" i="1"/>
  <c r="M3616" i="1"/>
  <c r="G3615" i="1"/>
  <c r="AI3613" i="1"/>
  <c r="W3612" i="1"/>
  <c r="J3611" i="1"/>
  <c r="AF3608" i="1"/>
  <c r="M3607" i="1"/>
  <c r="AI3604" i="1"/>
  <c r="W3603" i="1"/>
  <c r="J3602" i="1"/>
  <c r="G3601" i="1"/>
  <c r="AH3599" i="1"/>
  <c r="M3598" i="1"/>
  <c r="G3597" i="1"/>
  <c r="AI3595" i="1"/>
  <c r="W3594" i="1"/>
  <c r="J3593" i="1"/>
  <c r="AF3590" i="1"/>
  <c r="M3589" i="1"/>
  <c r="J3588" i="1"/>
  <c r="G3587" i="1"/>
  <c r="AI3585" i="1"/>
  <c r="AF3584" i="1"/>
  <c r="M3583" i="1"/>
  <c r="J3582" i="1"/>
  <c r="G3581" i="1"/>
  <c r="AI3579" i="1"/>
  <c r="AF3578" i="1"/>
  <c r="M3577" i="1"/>
  <c r="J3576" i="1"/>
  <c r="G3575" i="1"/>
  <c r="AI3573" i="1"/>
  <c r="AF3572" i="1"/>
  <c r="M3571" i="1"/>
  <c r="J3570" i="1"/>
  <c r="G3569" i="1"/>
  <c r="AI3567" i="1"/>
  <c r="AF3566" i="1"/>
  <c r="M3565" i="1"/>
  <c r="J3564" i="1"/>
  <c r="G3563" i="1"/>
  <c r="AI3561" i="1"/>
  <c r="AF3560" i="1"/>
  <c r="M3559" i="1"/>
  <c r="J3558" i="1"/>
  <c r="G3557" i="1"/>
  <c r="AI3555" i="1"/>
  <c r="AF3554" i="1"/>
  <c r="M3553" i="1"/>
  <c r="J3552" i="1"/>
  <c r="G3551" i="1"/>
  <c r="AI3549" i="1"/>
  <c r="AF3548" i="1"/>
  <c r="M3547" i="1"/>
  <c r="J3546" i="1"/>
  <c r="G3545" i="1"/>
  <c r="AI3543" i="1"/>
  <c r="AF3542" i="1"/>
  <c r="M3541" i="1"/>
  <c r="J3540" i="1"/>
  <c r="G3539" i="1"/>
  <c r="AI3537" i="1"/>
  <c r="AF3536" i="1"/>
  <c r="M3535" i="1"/>
  <c r="J3534" i="1"/>
  <c r="G3533" i="1"/>
  <c r="AF4377" i="1"/>
  <c r="AH4296" i="1"/>
  <c r="AF4289" i="1"/>
  <c r="W4208" i="1"/>
  <c r="AF4177" i="1"/>
  <c r="W4164" i="1"/>
  <c r="J4138" i="1"/>
  <c r="J4124" i="1"/>
  <c r="AH4110" i="1"/>
  <c r="G4101" i="1"/>
  <c r="L4090" i="1"/>
  <c r="M4083" i="1"/>
  <c r="M4064" i="1"/>
  <c r="J4058" i="1"/>
  <c r="G4053" i="1"/>
  <c r="AH4021" i="1"/>
  <c r="AH4004" i="1"/>
  <c r="AH3998" i="1"/>
  <c r="L3993" i="1"/>
  <c r="L3977" i="1"/>
  <c r="AF3972" i="1"/>
  <c r="AF3967" i="1"/>
  <c r="AH3961" i="1"/>
  <c r="AF3952" i="1"/>
  <c r="W3948" i="1"/>
  <c r="M3938" i="1"/>
  <c r="W3933" i="1"/>
  <c r="L3901" i="1"/>
  <c r="AH3897" i="1"/>
  <c r="G3893" i="1"/>
  <c r="J3889" i="1"/>
  <c r="AF3885" i="1"/>
  <c r="AH3877" i="1"/>
  <c r="M3872" i="1"/>
  <c r="L3868" i="1"/>
  <c r="AH3859" i="1"/>
  <c r="AI3855" i="1"/>
  <c r="W3846" i="1"/>
  <c r="M3842" i="1"/>
  <c r="J3833" i="1"/>
  <c r="M3829" i="1"/>
  <c r="M3821" i="1"/>
  <c r="M3812" i="1"/>
  <c r="L3808" i="1"/>
  <c r="M3804" i="1"/>
  <c r="M3800" i="1"/>
  <c r="AF3796" i="1"/>
  <c r="AF3785" i="1"/>
  <c r="J3782" i="1"/>
  <c r="M3779" i="1"/>
  <c r="AF3776" i="1"/>
  <c r="J3770" i="1"/>
  <c r="AF3767" i="1"/>
  <c r="J3764" i="1"/>
  <c r="J3761" i="1"/>
  <c r="W3757" i="1"/>
  <c r="G3754" i="1"/>
  <c r="AF3747" i="1"/>
  <c r="AH3741" i="1"/>
  <c r="L3739" i="1"/>
  <c r="W3736" i="1"/>
  <c r="AF3730" i="1"/>
  <c r="W3727" i="1"/>
  <c r="J3722" i="1"/>
  <c r="M3716" i="1"/>
  <c r="AH3713" i="1"/>
  <c r="G3708" i="1"/>
  <c r="AI3702" i="1"/>
  <c r="M3699" i="1"/>
  <c r="AI3696" i="1"/>
  <c r="AI3693" i="1"/>
  <c r="J3691" i="1"/>
  <c r="AI3687" i="1"/>
  <c r="J3681" i="1"/>
  <c r="AI3678" i="1"/>
  <c r="W3676" i="1"/>
  <c r="J3674" i="1"/>
  <c r="AF3669" i="1"/>
  <c r="M3667" i="1"/>
  <c r="L3665" i="1"/>
  <c r="G3661" i="1"/>
  <c r="AH3658" i="1"/>
  <c r="AF3656" i="1"/>
  <c r="L3654" i="1"/>
  <c r="AI3651" i="1"/>
  <c r="AF3647" i="1"/>
  <c r="AH3645" i="1"/>
  <c r="AF3643" i="1"/>
  <c r="AI3641" i="1"/>
  <c r="M3639" i="1"/>
  <c r="L3637" i="1"/>
  <c r="L3635" i="1"/>
  <c r="L3633" i="1"/>
  <c r="G3631" i="1"/>
  <c r="J3625" i="1"/>
  <c r="G3623" i="1"/>
  <c r="AH3616" i="1"/>
  <c r="AI3614" i="1"/>
  <c r="AF3612" i="1"/>
  <c r="M3610" i="1"/>
  <c r="W3608" i="1"/>
  <c r="W3606" i="1"/>
  <c r="AF3604" i="1"/>
  <c r="M3602" i="1"/>
  <c r="J3598" i="1"/>
  <c r="J3594" i="1"/>
  <c r="G3592" i="1"/>
  <c r="L3588" i="1"/>
  <c r="L3584" i="1"/>
  <c r="M3582" i="1"/>
  <c r="J3580" i="1"/>
  <c r="M3578" i="1"/>
  <c r="W3576" i="1"/>
  <c r="AH3574" i="1"/>
  <c r="W3572" i="1"/>
  <c r="AF3570" i="1"/>
  <c r="AI3568" i="1"/>
  <c r="AH3566" i="1"/>
  <c r="J3559" i="1"/>
  <c r="M3557" i="1"/>
  <c r="AH3555" i="1"/>
  <c r="AI3553" i="1"/>
  <c r="L3552" i="1"/>
  <c r="L3550" i="1"/>
  <c r="AI3548" i="1"/>
  <c r="J3547" i="1"/>
  <c r="W3545" i="1"/>
  <c r="G3544" i="1"/>
  <c r="M3542" i="1"/>
  <c r="AH3540" i="1"/>
  <c r="J3539" i="1"/>
  <c r="AF3537" i="1"/>
  <c r="M3534" i="1"/>
  <c r="AF3531" i="1"/>
  <c r="L3530" i="1"/>
  <c r="AF3527" i="1"/>
  <c r="L3526" i="1"/>
  <c r="G3525" i="1"/>
  <c r="AH3523" i="1"/>
  <c r="M3522" i="1"/>
  <c r="AI3519" i="1"/>
  <c r="W3518" i="1"/>
  <c r="J3517" i="1"/>
  <c r="W3514" i="1"/>
  <c r="J3513" i="1"/>
  <c r="AF3510" i="1"/>
  <c r="L3509" i="1"/>
  <c r="G3508" i="1"/>
  <c r="AH3506" i="1"/>
  <c r="M3505" i="1"/>
  <c r="AI3502" i="1"/>
  <c r="W3501" i="1"/>
  <c r="AI3498" i="1"/>
  <c r="W3497" i="1"/>
  <c r="J3496" i="1"/>
  <c r="AF3493" i="1"/>
  <c r="L3492" i="1"/>
  <c r="G3491" i="1"/>
  <c r="AH3489" i="1"/>
  <c r="M3488" i="1"/>
  <c r="AH3485" i="1"/>
  <c r="M3484" i="1"/>
  <c r="AI3481" i="1"/>
  <c r="W3480" i="1"/>
  <c r="J3479" i="1"/>
  <c r="AF3476" i="1"/>
  <c r="L3475" i="1"/>
  <c r="G3474" i="1"/>
  <c r="AH3472" i="1"/>
  <c r="L3471" i="1"/>
  <c r="G3470" i="1"/>
  <c r="AH3468" i="1"/>
  <c r="W3467" i="1"/>
  <c r="L3466" i="1"/>
  <c r="AH3462" i="1"/>
  <c r="W3461" i="1"/>
  <c r="L3460" i="1"/>
  <c r="AH3456" i="1"/>
  <c r="W3455" i="1"/>
  <c r="L3454" i="1"/>
  <c r="AH3450" i="1"/>
  <c r="W3449" i="1"/>
  <c r="L3448" i="1"/>
  <c r="AH3444" i="1"/>
  <c r="W3443" i="1"/>
  <c r="L3442" i="1"/>
  <c r="AH3438" i="1"/>
  <c r="W3437" i="1"/>
  <c r="L3436" i="1"/>
  <c r="AH3432" i="1"/>
  <c r="W3431" i="1"/>
  <c r="L3430" i="1"/>
  <c r="AH3426" i="1"/>
  <c r="W3425" i="1"/>
  <c r="L3424" i="1"/>
  <c r="AH3420" i="1"/>
  <c r="W3419" i="1"/>
  <c r="L3418" i="1"/>
  <c r="AH3414" i="1"/>
  <c r="W3413" i="1"/>
  <c r="L3412" i="1"/>
  <c r="AH3408" i="1"/>
  <c r="W3407" i="1"/>
  <c r="L3406" i="1"/>
  <c r="AH3402" i="1"/>
  <c r="W3401" i="1"/>
  <c r="L3400" i="1"/>
  <c r="AH3396" i="1"/>
  <c r="W3395" i="1"/>
  <c r="L3394" i="1"/>
  <c r="AH3390" i="1"/>
  <c r="W3389" i="1"/>
  <c r="L3388" i="1"/>
  <c r="AH3384" i="1"/>
  <c r="W3383" i="1"/>
  <c r="L3382" i="1"/>
  <c r="AH3378" i="1"/>
  <c r="W3377" i="1"/>
  <c r="L3376" i="1"/>
  <c r="AH3372" i="1"/>
  <c r="W3371" i="1"/>
  <c r="L3370" i="1"/>
  <c r="AH3366" i="1"/>
  <c r="W3365" i="1"/>
  <c r="L3364" i="1"/>
  <c r="AH3360" i="1"/>
  <c r="W3359" i="1"/>
  <c r="L3358" i="1"/>
  <c r="AH3354" i="1"/>
  <c r="W3353" i="1"/>
  <c r="L3352" i="1"/>
  <c r="AH3348" i="1"/>
  <c r="W3347" i="1"/>
  <c r="L3346" i="1"/>
  <c r="AH3342" i="1"/>
  <c r="W3341" i="1"/>
  <c r="L3340" i="1"/>
  <c r="AH3336" i="1"/>
  <c r="W3335" i="1"/>
  <c r="L3334" i="1"/>
  <c r="AH3330" i="1"/>
  <c r="W3329" i="1"/>
  <c r="L3328" i="1"/>
  <c r="AH3324" i="1"/>
  <c r="W3323" i="1"/>
  <c r="L3322" i="1"/>
  <c r="AH3318" i="1"/>
  <c r="W3317" i="1"/>
  <c r="L3316" i="1"/>
  <c r="AH3312" i="1"/>
  <c r="W3311" i="1"/>
  <c r="L3310" i="1"/>
  <c r="AH3306" i="1"/>
  <c r="W3305" i="1"/>
  <c r="L3304" i="1"/>
  <c r="AH3300" i="1"/>
  <c r="W3299" i="1"/>
  <c r="L3298" i="1"/>
  <c r="AH3294" i="1"/>
  <c r="W3293" i="1"/>
  <c r="L3292" i="1"/>
  <c r="AH3288" i="1"/>
  <c r="W3287" i="1"/>
  <c r="L3286" i="1"/>
  <c r="AH3282" i="1"/>
  <c r="W3281" i="1"/>
  <c r="L3280" i="1"/>
  <c r="J4441" i="1"/>
  <c r="AI4387" i="1"/>
  <c r="AH4323" i="1"/>
  <c r="J4296" i="1"/>
  <c r="L4243" i="1"/>
  <c r="AH4215" i="1"/>
  <c r="L4208" i="1"/>
  <c r="G4200" i="1"/>
  <c r="W4177" i="1"/>
  <c r="J4171" i="1"/>
  <c r="AH4143" i="1"/>
  <c r="AH4130" i="1"/>
  <c r="J4083" i="1"/>
  <c r="L4064" i="1"/>
  <c r="G4058" i="1"/>
  <c r="L4045" i="1"/>
  <c r="M4026" i="1"/>
  <c r="AF3981" i="1"/>
  <c r="W3952" i="1"/>
  <c r="AH3942" i="1"/>
  <c r="L3928" i="1"/>
  <c r="G3924" i="1"/>
  <c r="G3915" i="1"/>
  <c r="L3905" i="1"/>
  <c r="AF3897" i="1"/>
  <c r="M3863" i="1"/>
  <c r="M3859" i="1"/>
  <c r="J3850" i="1"/>
  <c r="G3833" i="1"/>
  <c r="L3829" i="1"/>
  <c r="G3821" i="1"/>
  <c r="J3808" i="1"/>
  <c r="W3796" i="1"/>
  <c r="AI3793" i="1"/>
  <c r="AI3790" i="1"/>
  <c r="AF3787" i="1"/>
  <c r="L3779" i="1"/>
  <c r="G3776" i="1"/>
  <c r="W3773" i="1"/>
  <c r="L3757" i="1"/>
  <c r="AI3750" i="1"/>
  <c r="M3747" i="1"/>
  <c r="M3741" i="1"/>
  <c r="M3736" i="1"/>
  <c r="W3733" i="1"/>
  <c r="M3730" i="1"/>
  <c r="M3727" i="1"/>
  <c r="AI3724" i="1"/>
  <c r="AI3718" i="1"/>
  <c r="L3716" i="1"/>
  <c r="AF3713" i="1"/>
  <c r="M3710" i="1"/>
  <c r="AH3704" i="1"/>
  <c r="L3699" i="1"/>
  <c r="L3696" i="1"/>
  <c r="L3693" i="1"/>
  <c r="G3691" i="1"/>
  <c r="AH3687" i="1"/>
  <c r="AI3685" i="1"/>
  <c r="G3683" i="1"/>
  <c r="G3681" i="1"/>
  <c r="AF3678" i="1"/>
  <c r="AH3671" i="1"/>
  <c r="W3669" i="1"/>
  <c r="L3667" i="1"/>
  <c r="AH3662" i="1"/>
  <c r="AF3658" i="1"/>
  <c r="AH3651" i="1"/>
  <c r="AI3649" i="1"/>
  <c r="M3647" i="1"/>
  <c r="AF3645" i="1"/>
  <c r="W3643" i="1"/>
  <c r="J3641" i="1"/>
  <c r="L3639" i="1"/>
  <c r="J3637" i="1"/>
  <c r="J3633" i="1"/>
  <c r="G3629" i="1"/>
  <c r="AI3626" i="1"/>
  <c r="AF3620" i="1"/>
  <c r="AI3618" i="1"/>
  <c r="AF3616" i="1"/>
  <c r="AH3614" i="1"/>
  <c r="M3612" i="1"/>
  <c r="J3610" i="1"/>
  <c r="M3608" i="1"/>
  <c r="M3606" i="1"/>
  <c r="W3604" i="1"/>
  <c r="L3602" i="1"/>
  <c r="G3600" i="1"/>
  <c r="G3596" i="1"/>
  <c r="AI3589" i="1"/>
  <c r="G3586" i="1"/>
  <c r="L3582" i="1"/>
  <c r="L3578" i="1"/>
  <c r="M3576" i="1"/>
  <c r="J3574" i="1"/>
  <c r="M3572" i="1"/>
  <c r="W3570" i="1"/>
  <c r="AH3568" i="1"/>
  <c r="W3566" i="1"/>
  <c r="AF3564" i="1"/>
  <c r="AI3562" i="1"/>
  <c r="AI3560" i="1"/>
  <c r="L3557" i="1"/>
  <c r="AF3555" i="1"/>
  <c r="AH3553" i="1"/>
  <c r="J3550" i="1"/>
  <c r="AH3548" i="1"/>
  <c r="M3545" i="1"/>
  <c r="L3542" i="1"/>
  <c r="AF3540" i="1"/>
  <c r="W3537" i="1"/>
  <c r="AI3535" i="1"/>
  <c r="L3534" i="1"/>
  <c r="AI3532" i="1"/>
  <c r="W3531" i="1"/>
  <c r="AI3528" i="1"/>
  <c r="W3527" i="1"/>
  <c r="J3526" i="1"/>
  <c r="AF3523" i="1"/>
  <c r="L3522" i="1"/>
  <c r="G3521" i="1"/>
  <c r="AH3519" i="1"/>
  <c r="M3518" i="1"/>
  <c r="AH3515" i="1"/>
  <c r="M3514" i="1"/>
  <c r="AI3511" i="1"/>
  <c r="W3510" i="1"/>
  <c r="J3509" i="1"/>
  <c r="AF3506" i="1"/>
  <c r="L3505" i="1"/>
  <c r="G3504" i="1"/>
  <c r="AH3502" i="1"/>
  <c r="L3501" i="1"/>
  <c r="G3500" i="1"/>
  <c r="AH3498" i="1"/>
  <c r="M3497" i="1"/>
  <c r="AI3494" i="1"/>
  <c r="W3493" i="1"/>
  <c r="J3492" i="1"/>
  <c r="AF3489" i="1"/>
  <c r="L3488" i="1"/>
  <c r="AF3485" i="1"/>
  <c r="L3484" i="1"/>
  <c r="G3483" i="1"/>
  <c r="AH3481" i="1"/>
  <c r="M3480" i="1"/>
  <c r="AI3477" i="1"/>
  <c r="W3476" i="1"/>
  <c r="J3475" i="1"/>
  <c r="W3472" i="1"/>
  <c r="J3471" i="1"/>
  <c r="AF3468" i="1"/>
  <c r="M3467" i="1"/>
  <c r="J3466" i="1"/>
  <c r="G3465" i="1"/>
  <c r="AI3463" i="1"/>
  <c r="AF3462" i="1"/>
  <c r="M3461" i="1"/>
  <c r="J3460" i="1"/>
  <c r="G3459" i="1"/>
  <c r="AI3457" i="1"/>
  <c r="AF3456" i="1"/>
  <c r="M3455" i="1"/>
  <c r="J3454" i="1"/>
  <c r="G3453" i="1"/>
  <c r="AI3451" i="1"/>
  <c r="AF3450" i="1"/>
  <c r="M3449" i="1"/>
  <c r="J3448" i="1"/>
  <c r="G3447" i="1"/>
  <c r="AI3445" i="1"/>
  <c r="AF3444" i="1"/>
  <c r="M3443" i="1"/>
  <c r="J3442" i="1"/>
  <c r="G3441" i="1"/>
  <c r="AI3439" i="1"/>
  <c r="AF3438" i="1"/>
  <c r="M3437" i="1"/>
  <c r="J3436" i="1"/>
  <c r="G3435" i="1"/>
  <c r="AI3433" i="1"/>
  <c r="AF3432" i="1"/>
  <c r="M3431" i="1"/>
  <c r="J3430" i="1"/>
  <c r="G3429" i="1"/>
  <c r="AI3427" i="1"/>
  <c r="AF3426" i="1"/>
  <c r="M3425" i="1"/>
  <c r="J3424" i="1"/>
  <c r="G3423" i="1"/>
  <c r="AI3421" i="1"/>
  <c r="AF3420" i="1"/>
  <c r="M3419" i="1"/>
  <c r="J3418" i="1"/>
  <c r="G3417" i="1"/>
  <c r="AI3415" i="1"/>
  <c r="AF3414" i="1"/>
  <c r="M3413" i="1"/>
  <c r="J3412" i="1"/>
  <c r="G3411" i="1"/>
  <c r="AI3409" i="1"/>
  <c r="AF3408" i="1"/>
  <c r="M3407" i="1"/>
  <c r="J3406" i="1"/>
  <c r="G3405" i="1"/>
  <c r="AI3403" i="1"/>
  <c r="AF3402" i="1"/>
  <c r="M3401" i="1"/>
  <c r="J3400" i="1"/>
  <c r="G3399" i="1"/>
  <c r="AI3397" i="1"/>
  <c r="AF3396" i="1"/>
  <c r="M3395" i="1"/>
  <c r="G4408" i="1"/>
  <c r="W4323" i="1"/>
  <c r="M4304" i="1"/>
  <c r="G4260" i="1"/>
  <c r="J4243" i="1"/>
  <c r="M4234" i="1"/>
  <c r="AH4183" i="1"/>
  <c r="M4177" i="1"/>
  <c r="J4155" i="1"/>
  <c r="L4143" i="1"/>
  <c r="W4100" i="1"/>
  <c r="AH4094" i="1"/>
  <c r="L4089" i="1"/>
  <c r="AI4076" i="1"/>
  <c r="AI4069" i="1"/>
  <c r="J4045" i="1"/>
  <c r="L4032" i="1"/>
  <c r="AH4013" i="1"/>
  <c r="AI4009" i="1"/>
  <c r="AH3997" i="1"/>
  <c r="AH3986" i="1"/>
  <c r="L3981" i="1"/>
  <c r="AI3971" i="1"/>
  <c r="AI3960" i="1"/>
  <c r="M3956" i="1"/>
  <c r="AF3942" i="1"/>
  <c r="AI3932" i="1"/>
  <c r="J3928" i="1"/>
  <c r="AH3919" i="1"/>
  <c r="AH3909" i="1"/>
  <c r="AH3900" i="1"/>
  <c r="G3892" i="1"/>
  <c r="J3888" i="1"/>
  <c r="AI3880" i="1"/>
  <c r="AH3876" i="1"/>
  <c r="AI3871" i="1"/>
  <c r="L3863" i="1"/>
  <c r="L3859" i="1"/>
  <c r="G3850" i="1"/>
  <c r="W3845" i="1"/>
  <c r="AH3841" i="1"/>
  <c r="J3829" i="1"/>
  <c r="AI3824" i="1"/>
  <c r="M3815" i="1"/>
  <c r="AF3811" i="1"/>
  <c r="G3804" i="1"/>
  <c r="M3796" i="1"/>
  <c r="AH3793" i="1"/>
  <c r="J3790" i="1"/>
  <c r="W3787" i="1"/>
  <c r="W3784" i="1"/>
  <c r="M3773" i="1"/>
  <c r="G3767" i="1"/>
  <c r="AH3753" i="1"/>
  <c r="J3747" i="1"/>
  <c r="G3744" i="1"/>
  <c r="L3741" i="1"/>
  <c r="L3738" i="1"/>
  <c r="L3727" i="1"/>
  <c r="AH3718" i="1"/>
  <c r="G3713" i="1"/>
  <c r="L3710" i="1"/>
  <c r="AI3707" i="1"/>
  <c r="W3704" i="1"/>
  <c r="AI3701" i="1"/>
  <c r="J3699" i="1"/>
  <c r="J3696" i="1"/>
  <c r="J3693" i="1"/>
  <c r="AF3687" i="1"/>
  <c r="J3678" i="1"/>
  <c r="AI3675" i="1"/>
  <c r="AF3671" i="1"/>
  <c r="M3669" i="1"/>
  <c r="J3667" i="1"/>
  <c r="W3662" i="1"/>
  <c r="L3660" i="1"/>
  <c r="M3658" i="1"/>
  <c r="G3656" i="1"/>
  <c r="G3654" i="1"/>
  <c r="AF3651" i="1"/>
  <c r="AH3649" i="1"/>
  <c r="L3647" i="1"/>
  <c r="G3645" i="1"/>
  <c r="L3643" i="1"/>
  <c r="J3639" i="1"/>
  <c r="AI3634" i="1"/>
  <c r="AI3630" i="1"/>
  <c r="AH3626" i="1"/>
  <c r="AH3622" i="1"/>
  <c r="W3620" i="1"/>
  <c r="AF3618" i="1"/>
  <c r="W3616" i="1"/>
  <c r="J3614" i="1"/>
  <c r="L3612" i="1"/>
  <c r="L3608" i="1"/>
  <c r="L3606" i="1"/>
  <c r="G3598" i="1"/>
  <c r="AH3593" i="1"/>
  <c r="AI3591" i="1"/>
  <c r="AH3589" i="1"/>
  <c r="G3588" i="1"/>
  <c r="AI3583" i="1"/>
  <c r="G3580" i="1"/>
  <c r="L3576" i="1"/>
  <c r="L3572" i="1"/>
  <c r="M3570" i="1"/>
  <c r="J3568" i="1"/>
  <c r="M3566" i="1"/>
  <c r="W3564" i="1"/>
  <c r="AH3562" i="1"/>
  <c r="AH3560" i="1"/>
  <c r="J3557" i="1"/>
  <c r="W3555" i="1"/>
  <c r="AF3553" i="1"/>
  <c r="G3552" i="1"/>
  <c r="W3548" i="1"/>
  <c r="L3545" i="1"/>
  <c r="AH3543" i="1"/>
  <c r="W3540" i="1"/>
  <c r="L3537" i="1"/>
  <c r="AH3535" i="1"/>
  <c r="AH3532" i="1"/>
  <c r="L3531" i="1"/>
  <c r="G3530" i="1"/>
  <c r="AH3528" i="1"/>
  <c r="M3527" i="1"/>
  <c r="AI3524" i="1"/>
  <c r="W3523" i="1"/>
  <c r="J3522" i="1"/>
  <c r="AF3519" i="1"/>
  <c r="L3518" i="1"/>
  <c r="AF3515" i="1"/>
  <c r="L3514" i="1"/>
  <c r="G3513" i="1"/>
  <c r="AH3511" i="1"/>
  <c r="M3510" i="1"/>
  <c r="AI3507" i="1"/>
  <c r="W3506" i="1"/>
  <c r="J3505" i="1"/>
  <c r="W3502" i="1"/>
  <c r="J3501" i="1"/>
  <c r="AF3498" i="1"/>
  <c r="L3497" i="1"/>
  <c r="G3496" i="1"/>
  <c r="AH3494" i="1"/>
  <c r="M3493" i="1"/>
  <c r="AI3490" i="1"/>
  <c r="W3489" i="1"/>
  <c r="AI3486" i="1"/>
  <c r="W3485" i="1"/>
  <c r="J3484" i="1"/>
  <c r="AF3481" i="1"/>
  <c r="L3480" i="1"/>
  <c r="G3479" i="1"/>
  <c r="AH3477" i="1"/>
  <c r="M3476" i="1"/>
  <c r="AH3473" i="1"/>
  <c r="M3472" i="1"/>
  <c r="AI3469" i="1"/>
  <c r="W3468" i="1"/>
  <c r="L3467" i="1"/>
  <c r="AH3463" i="1"/>
  <c r="W3462" i="1"/>
  <c r="L3461" i="1"/>
  <c r="AH3457" i="1"/>
  <c r="W3456" i="1"/>
  <c r="L3455" i="1"/>
  <c r="AH3451" i="1"/>
  <c r="W3450" i="1"/>
  <c r="L3449" i="1"/>
  <c r="AH3445" i="1"/>
  <c r="W3444" i="1"/>
  <c r="L3443" i="1"/>
  <c r="AH3439" i="1"/>
  <c r="W3438" i="1"/>
  <c r="L3437" i="1"/>
  <c r="AH3433" i="1"/>
  <c r="W3432" i="1"/>
  <c r="L3431" i="1"/>
  <c r="AH3427" i="1"/>
  <c r="W3426" i="1"/>
  <c r="L3425" i="1"/>
  <c r="AH3421" i="1"/>
  <c r="W3420" i="1"/>
  <c r="L3419" i="1"/>
  <c r="AH3415" i="1"/>
  <c r="W3414" i="1"/>
  <c r="L3413" i="1"/>
  <c r="AH3409" i="1"/>
  <c r="W3408" i="1"/>
  <c r="L3407" i="1"/>
  <c r="AH3403" i="1"/>
  <c r="W3402" i="1"/>
  <c r="L3401" i="1"/>
  <c r="AH3397" i="1"/>
  <c r="W3396" i="1"/>
  <c r="L3395" i="1"/>
  <c r="AF4417" i="1"/>
  <c r="AF4331" i="1"/>
  <c r="AF4250" i="1"/>
  <c r="L4199" i="1"/>
  <c r="AI4148" i="1"/>
  <c r="AI4116" i="1"/>
  <c r="L4108" i="1"/>
  <c r="AH4076" i="1"/>
  <c r="W4063" i="1"/>
  <c r="L4051" i="1"/>
  <c r="AI4038" i="1"/>
  <c r="AI4025" i="1"/>
  <c r="W4013" i="1"/>
  <c r="AI3991" i="1"/>
  <c r="J3986" i="1"/>
  <c r="J3981" i="1"/>
  <c r="G3976" i="1"/>
  <c r="AF3971" i="1"/>
  <c r="AH3965" i="1"/>
  <c r="AH3960" i="1"/>
  <c r="L3951" i="1"/>
  <c r="W3946" i="1"/>
  <c r="W3942" i="1"/>
  <c r="J3932" i="1"/>
  <c r="AH3923" i="1"/>
  <c r="AF3909" i="1"/>
  <c r="AH3904" i="1"/>
  <c r="AF3900" i="1"/>
  <c r="L3880" i="1"/>
  <c r="AF3876" i="1"/>
  <c r="J3871" i="1"/>
  <c r="AF3867" i="1"/>
  <c r="J3863" i="1"/>
  <c r="AI3853" i="1"/>
  <c r="M3845" i="1"/>
  <c r="AF3841" i="1"/>
  <c r="AI3836" i="1"/>
  <c r="L3832" i="1"/>
  <c r="AF3824" i="1"/>
  <c r="G3820" i="1"/>
  <c r="L3815" i="1"/>
  <c r="M3811" i="1"/>
  <c r="L3796" i="1"/>
  <c r="W3793" i="1"/>
  <c r="M3787" i="1"/>
  <c r="M3784" i="1"/>
  <c r="AI3781" i="1"/>
  <c r="M3778" i="1"/>
  <c r="AI3775" i="1"/>
  <c r="L3773" i="1"/>
  <c r="AF3769" i="1"/>
  <c r="AI3763" i="1"/>
  <c r="G3760" i="1"/>
  <c r="AH3756" i="1"/>
  <c r="AF3753" i="1"/>
  <c r="AI3749" i="1"/>
  <c r="J3741" i="1"/>
  <c r="J3738" i="1"/>
  <c r="AH3735" i="1"/>
  <c r="AI3732" i="1"/>
  <c r="AI3729" i="1"/>
  <c r="J3727" i="1"/>
  <c r="AI3723" i="1"/>
  <c r="W3721" i="1"/>
  <c r="AF3718" i="1"/>
  <c r="W3715" i="1"/>
  <c r="J3710" i="1"/>
  <c r="M3704" i="1"/>
  <c r="AH3701" i="1"/>
  <c r="G3696" i="1"/>
  <c r="AI3690" i="1"/>
  <c r="M3687" i="1"/>
  <c r="G3685" i="1"/>
  <c r="AI3682" i="1"/>
  <c r="M3680" i="1"/>
  <c r="AH3675" i="1"/>
  <c r="AI3673" i="1"/>
  <c r="M3671" i="1"/>
  <c r="AF3664" i="1"/>
  <c r="M3662" i="1"/>
  <c r="J3660" i="1"/>
  <c r="J3658" i="1"/>
  <c r="W3651" i="1"/>
  <c r="J3643" i="1"/>
  <c r="G3641" i="1"/>
  <c r="AH3634" i="1"/>
  <c r="AI3632" i="1"/>
  <c r="AF3630" i="1"/>
  <c r="M3628" i="1"/>
  <c r="W3626" i="1"/>
  <c r="W3624" i="1"/>
  <c r="AF3622" i="1"/>
  <c r="M3620" i="1"/>
  <c r="J3616" i="1"/>
  <c r="J3612" i="1"/>
  <c r="G3610" i="1"/>
  <c r="J3606" i="1"/>
  <c r="AI3603" i="1"/>
  <c r="G3602" i="1"/>
  <c r="AI3599" i="1"/>
  <c r="AH3595" i="1"/>
  <c r="AF3593" i="1"/>
  <c r="AH3591" i="1"/>
  <c r="AF3589" i="1"/>
  <c r="AH3585" i="1"/>
  <c r="AH3583" i="1"/>
  <c r="G3582" i="1"/>
  <c r="AI3577" i="1"/>
  <c r="G3574" i="1"/>
  <c r="L3570" i="1"/>
  <c r="L3566" i="1"/>
  <c r="M3564" i="1"/>
  <c r="J3562" i="1"/>
  <c r="W3560" i="1"/>
  <c r="AH3558" i="1"/>
  <c r="W3553" i="1"/>
  <c r="G3550" i="1"/>
  <c r="M3548" i="1"/>
  <c r="AH3546" i="1"/>
  <c r="J3545" i="1"/>
  <c r="AF3543" i="1"/>
  <c r="M3540" i="1"/>
  <c r="AI3538" i="1"/>
  <c r="AF3535" i="1"/>
  <c r="G3534" i="1"/>
  <c r="W3532" i="1"/>
  <c r="J3531" i="1"/>
  <c r="AF3528" i="1"/>
  <c r="L3527" i="1"/>
  <c r="G3526" i="1"/>
  <c r="AH3524" i="1"/>
  <c r="M3523" i="1"/>
  <c r="AI3520" i="1"/>
  <c r="W3519" i="1"/>
  <c r="AI3516" i="1"/>
  <c r="W3515" i="1"/>
  <c r="J3514" i="1"/>
  <c r="AF3511" i="1"/>
  <c r="L3510" i="1"/>
  <c r="G3509" i="1"/>
  <c r="AH3507" i="1"/>
  <c r="M3506" i="1"/>
  <c r="AH3503" i="1"/>
  <c r="M3502" i="1"/>
  <c r="AI3499" i="1"/>
  <c r="W3498" i="1"/>
  <c r="J3497" i="1"/>
  <c r="AF3494" i="1"/>
  <c r="L3493" i="1"/>
  <c r="G3492" i="1"/>
  <c r="AH3490" i="1"/>
  <c r="L3489" i="1"/>
  <c r="G3488" i="1"/>
  <c r="AH3486" i="1"/>
  <c r="M3485" i="1"/>
  <c r="AI3482" i="1"/>
  <c r="W3481" i="1"/>
  <c r="J3480" i="1"/>
  <c r="AF3477" i="1"/>
  <c r="L3476" i="1"/>
  <c r="AF3473" i="1"/>
  <c r="L3472" i="1"/>
  <c r="G3471" i="1"/>
  <c r="AH3469" i="1"/>
  <c r="M3468" i="1"/>
  <c r="J3467" i="1"/>
  <c r="G3466" i="1"/>
  <c r="AI3464" i="1"/>
  <c r="AF3463" i="1"/>
  <c r="M3462" i="1"/>
  <c r="J3461" i="1"/>
  <c r="G3460" i="1"/>
  <c r="AI3458" i="1"/>
  <c r="AF3457" i="1"/>
  <c r="M3456" i="1"/>
  <c r="J3455" i="1"/>
  <c r="G3454" i="1"/>
  <c r="AI3452" i="1"/>
  <c r="AF3451" i="1"/>
  <c r="M3450" i="1"/>
  <c r="J3449" i="1"/>
  <c r="G3448" i="1"/>
  <c r="AI3446" i="1"/>
  <c r="AF3445" i="1"/>
  <c r="M3444" i="1"/>
  <c r="J3443" i="1"/>
  <c r="G3442" i="1"/>
  <c r="AI3440" i="1"/>
  <c r="AF3439" i="1"/>
  <c r="M3438" i="1"/>
  <c r="J3437" i="1"/>
  <c r="G3436" i="1"/>
  <c r="AI3434" i="1"/>
  <c r="AF3433" i="1"/>
  <c r="M3432" i="1"/>
  <c r="J3431" i="1"/>
  <c r="G3430" i="1"/>
  <c r="AI3428" i="1"/>
  <c r="AF3427" i="1"/>
  <c r="M3426" i="1"/>
  <c r="J3425" i="1"/>
  <c r="G3424" i="1"/>
  <c r="AI3422" i="1"/>
  <c r="AF3421" i="1"/>
  <c r="M3420" i="1"/>
  <c r="J3419" i="1"/>
  <c r="G3418" i="1"/>
  <c r="AI3416" i="1"/>
  <c r="AF3415" i="1"/>
  <c r="M3414" i="1"/>
  <c r="J3413" i="1"/>
  <c r="G3412" i="1"/>
  <c r="AI3410" i="1"/>
  <c r="AF3409" i="1"/>
  <c r="M3408" i="1"/>
  <c r="J3407" i="1"/>
  <c r="G3406" i="1"/>
  <c r="AI3404" i="1"/>
  <c r="AF3403" i="1"/>
  <c r="M3402" i="1"/>
  <c r="J3401" i="1"/>
  <c r="G3400" i="1"/>
  <c r="AI3398" i="1"/>
  <c r="AF3397" i="1"/>
  <c r="M3396" i="1"/>
  <c r="J3395" i="1"/>
  <c r="G3394" i="1"/>
  <c r="AI3392" i="1"/>
  <c r="AF3391" i="1"/>
  <c r="M3390" i="1"/>
  <c r="J3389" i="1"/>
  <c r="G3388" i="1"/>
  <c r="AI3386" i="1"/>
  <c r="AF3385" i="1"/>
  <c r="M3384" i="1"/>
  <c r="J3383" i="1"/>
  <c r="G3382" i="1"/>
  <c r="AI3380" i="1"/>
  <c r="AF3379" i="1"/>
  <c r="M3378" i="1"/>
  <c r="J3377" i="1"/>
  <c r="G3376" i="1"/>
  <c r="AI3374" i="1"/>
  <c r="AF3373" i="1"/>
  <c r="M3372" i="1"/>
  <c r="J3371" i="1"/>
  <c r="G3370" i="1"/>
  <c r="AI3368" i="1"/>
  <c r="AF3367" i="1"/>
  <c r="M3366" i="1"/>
  <c r="J3365" i="1"/>
  <c r="G3364" i="1"/>
  <c r="AI3362" i="1"/>
  <c r="AF3361" i="1"/>
  <c r="M3360" i="1"/>
  <c r="J3359" i="1"/>
  <c r="G3358" i="1"/>
  <c r="AI3356" i="1"/>
  <c r="AF3355" i="1"/>
  <c r="M3354" i="1"/>
  <c r="J3353" i="1"/>
  <c r="G3352" i="1"/>
  <c r="AI3350" i="1"/>
  <c r="AF3349" i="1"/>
  <c r="M3348" i="1"/>
  <c r="J3347" i="1"/>
  <c r="G3346" i="1"/>
  <c r="AI3344" i="1"/>
  <c r="AF3343" i="1"/>
  <c r="M3342" i="1"/>
  <c r="J3341" i="1"/>
  <c r="G3340" i="1"/>
  <c r="AI3338" i="1"/>
  <c r="AF3337" i="1"/>
  <c r="M3336" i="1"/>
  <c r="J3335" i="1"/>
  <c r="G3334" i="1"/>
  <c r="AI3332" i="1"/>
  <c r="AF3331" i="1"/>
  <c r="M3330" i="1"/>
  <c r="M4403" i="1"/>
  <c r="L4291" i="1"/>
  <c r="G4275" i="1"/>
  <c r="AH4246" i="1"/>
  <c r="L4238" i="1"/>
  <c r="G4196" i="1"/>
  <c r="AI4139" i="1"/>
  <c r="AH4096" i="1"/>
  <c r="W4067" i="1"/>
  <c r="G4054" i="1"/>
  <c r="AH4048" i="1"/>
  <c r="AH4022" i="1"/>
  <c r="M4016" i="1"/>
  <c r="J4000" i="1"/>
  <c r="L3989" i="1"/>
  <c r="L3984" i="1"/>
  <c r="AI3978" i="1"/>
  <c r="AF3963" i="1"/>
  <c r="M3958" i="1"/>
  <c r="W3954" i="1"/>
  <c r="G3945" i="1"/>
  <c r="AH3939" i="1"/>
  <c r="J3926" i="1"/>
  <c r="M3921" i="1"/>
  <c r="J3917" i="1"/>
  <c r="J3907" i="1"/>
  <c r="AI3898" i="1"/>
  <c r="AH3894" i="1"/>
  <c r="M3865" i="1"/>
  <c r="G3857" i="1"/>
  <c r="J3852" i="1"/>
  <c r="AI3847" i="1"/>
  <c r="G3839" i="1"/>
  <c r="AF3830" i="1"/>
  <c r="AI3817" i="1"/>
  <c r="G3814" i="1"/>
  <c r="W3809" i="1"/>
  <c r="AI3805" i="1"/>
  <c r="AI3797" i="1"/>
  <c r="AI3794" i="1"/>
  <c r="J3792" i="1"/>
  <c r="AF3788" i="1"/>
  <c r="G3786" i="1"/>
  <c r="M3783" i="1"/>
  <c r="M3780" i="1"/>
  <c r="L3777" i="1"/>
  <c r="M3774" i="1"/>
  <c r="M3765" i="1"/>
  <c r="AI3761" i="1"/>
  <c r="L3755" i="1"/>
  <c r="AF3751" i="1"/>
  <c r="AI3748" i="1"/>
  <c r="W3745" i="1"/>
  <c r="G3740" i="1"/>
  <c r="AH3737" i="1"/>
  <c r="W3734" i="1"/>
  <c r="AI3731" i="1"/>
  <c r="W3728" i="1"/>
  <c r="AI3725" i="1"/>
  <c r="J3723" i="1"/>
  <c r="J3720" i="1"/>
  <c r="J3717" i="1"/>
  <c r="AF3711" i="1"/>
  <c r="L3703" i="1"/>
  <c r="AH3694" i="1"/>
  <c r="G3689" i="1"/>
  <c r="M3686" i="1"/>
  <c r="AH3681" i="1"/>
  <c r="AI3679" i="1"/>
  <c r="G3677" i="1"/>
  <c r="G3675" i="1"/>
  <c r="AI3672" i="1"/>
  <c r="J3670" i="1"/>
  <c r="J3668" i="1"/>
  <c r="AI3663" i="1"/>
  <c r="W3661" i="1"/>
  <c r="AH3659" i="1"/>
  <c r="L3657" i="1"/>
  <c r="AH3652" i="1"/>
  <c r="M3650" i="1"/>
  <c r="L3648" i="1"/>
  <c r="L3644" i="1"/>
  <c r="L3642" i="1"/>
  <c r="G3634" i="1"/>
  <c r="AH3629" i="1"/>
  <c r="AI3627" i="1"/>
  <c r="AH3625" i="1"/>
  <c r="AF3621" i="1"/>
  <c r="M3619" i="1"/>
  <c r="M3617" i="1"/>
  <c r="M3615" i="1"/>
  <c r="W3613" i="1"/>
  <c r="L3611" i="1"/>
  <c r="G3609" i="1"/>
  <c r="L3607" i="1"/>
  <c r="J3603" i="1"/>
  <c r="AI3598" i="1"/>
  <c r="AI3594" i="1"/>
  <c r="AH3590" i="1"/>
  <c r="AI3584" i="1"/>
  <c r="J3577" i="1"/>
  <c r="J3575" i="1"/>
  <c r="G3573" i="1"/>
  <c r="L3571" i="1"/>
  <c r="L3569" i="1"/>
  <c r="W3567" i="1"/>
  <c r="W3565" i="1"/>
  <c r="M3563" i="1"/>
  <c r="AF3561" i="1"/>
  <c r="AH3559" i="1"/>
  <c r="J3556" i="1"/>
  <c r="W3554" i="1"/>
  <c r="AH3552" i="1"/>
  <c r="L3549" i="1"/>
  <c r="AH3547" i="1"/>
  <c r="W3544" i="1"/>
  <c r="L3541" i="1"/>
  <c r="AH3539" i="1"/>
  <c r="W3536" i="1"/>
  <c r="M3533" i="1"/>
  <c r="G3532" i="1"/>
  <c r="AH3530" i="1"/>
  <c r="M3529" i="1"/>
  <c r="AI3526" i="1"/>
  <c r="W3525" i="1"/>
  <c r="AI3522" i="1"/>
  <c r="W3521" i="1"/>
  <c r="J3520" i="1"/>
  <c r="AF3517" i="1"/>
  <c r="L3516" i="1"/>
  <c r="G3515" i="1"/>
  <c r="AH3513" i="1"/>
  <c r="M3512" i="1"/>
  <c r="AH3509" i="1"/>
  <c r="M3508" i="1"/>
  <c r="AI3505" i="1"/>
  <c r="W3504" i="1"/>
  <c r="J3503" i="1"/>
  <c r="AF3500" i="1"/>
  <c r="L3499" i="1"/>
  <c r="G3498" i="1"/>
  <c r="AH3496" i="1"/>
  <c r="L3495" i="1"/>
  <c r="G3494" i="1"/>
  <c r="AH3492" i="1"/>
  <c r="M3491" i="1"/>
  <c r="AI3488" i="1"/>
  <c r="W3487" i="1"/>
  <c r="J3486" i="1"/>
  <c r="AF3483" i="1"/>
  <c r="L3482" i="1"/>
  <c r="AF3479" i="1"/>
  <c r="L3478" i="1"/>
  <c r="G3477" i="1"/>
  <c r="AH3475" i="1"/>
  <c r="M3474" i="1"/>
  <c r="AI3471" i="1"/>
  <c r="W3470" i="1"/>
  <c r="J3469" i="1"/>
  <c r="AH3466" i="1"/>
  <c r="W3465" i="1"/>
  <c r="L3464" i="1"/>
  <c r="AH3460" i="1"/>
  <c r="W3459" i="1"/>
  <c r="L3458" i="1"/>
  <c r="AH3454" i="1"/>
  <c r="W3453" i="1"/>
  <c r="L3452" i="1"/>
  <c r="AH3448" i="1"/>
  <c r="W3447" i="1"/>
  <c r="L3446" i="1"/>
  <c r="AH3442" i="1"/>
  <c r="W3441" i="1"/>
  <c r="L3440" i="1"/>
  <c r="AH3436" i="1"/>
  <c r="W3435" i="1"/>
  <c r="L3434" i="1"/>
  <c r="AH3430" i="1"/>
  <c r="W3429" i="1"/>
  <c r="L3428" i="1"/>
  <c r="AH3424" i="1"/>
  <c r="W3423" i="1"/>
  <c r="L3422" i="1"/>
  <c r="AH3418" i="1"/>
  <c r="W3417" i="1"/>
  <c r="L3416" i="1"/>
  <c r="AH3412" i="1"/>
  <c r="W3411" i="1"/>
  <c r="L3410" i="1"/>
  <c r="AH3406" i="1"/>
  <c r="W3405" i="1"/>
  <c r="L3404" i="1"/>
  <c r="AH3400" i="1"/>
  <c r="W3399" i="1"/>
  <c r="L3398" i="1"/>
  <c r="M4360" i="1"/>
  <c r="W4317" i="1"/>
  <c r="AH4277" i="1"/>
  <c r="AI4106" i="1"/>
  <c r="AF4096" i="1"/>
  <c r="AF4090" i="1"/>
  <c r="AF4059" i="1"/>
  <c r="AF4043" i="1"/>
  <c r="J4028" i="1"/>
  <c r="M4013" i="1"/>
  <c r="W4006" i="1"/>
  <c r="M3993" i="1"/>
  <c r="W3978" i="1"/>
  <c r="AH3964" i="1"/>
  <c r="AF3957" i="1"/>
  <c r="AF3931" i="1"/>
  <c r="AF3925" i="1"/>
  <c r="AI3906" i="1"/>
  <c r="M3895" i="1"/>
  <c r="AH3889" i="1"/>
  <c r="G3874" i="1"/>
  <c r="AI3861" i="1"/>
  <c r="AH3849" i="1"/>
  <c r="AI3826" i="1"/>
  <c r="J3814" i="1"/>
  <c r="AI3808" i="1"/>
  <c r="AH3797" i="1"/>
  <c r="AF3792" i="1"/>
  <c r="J3788" i="1"/>
  <c r="AI3779" i="1"/>
  <c r="M3775" i="1"/>
  <c r="AF3771" i="1"/>
  <c r="L3766" i="1"/>
  <c r="AH3761" i="1"/>
  <c r="AH3747" i="1"/>
  <c r="AF3743" i="1"/>
  <c r="W3739" i="1"/>
  <c r="M3735" i="1"/>
  <c r="M3718" i="1"/>
  <c r="AH3706" i="1"/>
  <c r="J3703" i="1"/>
  <c r="AI3694" i="1"/>
  <c r="L3691" i="1"/>
  <c r="W3686" i="1"/>
  <c r="AF3675" i="1"/>
  <c r="W3672" i="1"/>
  <c r="AH3668" i="1"/>
  <c r="AI3665" i="1"/>
  <c r="L3662" i="1"/>
  <c r="AF3659" i="1"/>
  <c r="W3655" i="1"/>
  <c r="AF3652" i="1"/>
  <c r="AI3645" i="1"/>
  <c r="M3642" i="1"/>
  <c r="G3636" i="1"/>
  <c r="M3633" i="1"/>
  <c r="L3630" i="1"/>
  <c r="AF3627" i="1"/>
  <c r="L3624" i="1"/>
  <c r="M3621" i="1"/>
  <c r="G3618" i="1"/>
  <c r="J3615" i="1"/>
  <c r="M3611" i="1"/>
  <c r="AI3607" i="1"/>
  <c r="L3601" i="1"/>
  <c r="W3598" i="1"/>
  <c r="W3595" i="1"/>
  <c r="M3592" i="1"/>
  <c r="W3589" i="1"/>
  <c r="M3584" i="1"/>
  <c r="J3581" i="1"/>
  <c r="W3578" i="1"/>
  <c r="L3575" i="1"/>
  <c r="AI3571" i="1"/>
  <c r="AF3565" i="1"/>
  <c r="AI3559" i="1"/>
  <c r="L3554" i="1"/>
  <c r="L3551" i="1"/>
  <c r="L3548" i="1"/>
  <c r="G3546" i="1"/>
  <c r="L3543" i="1"/>
  <c r="J3541" i="1"/>
  <c r="W3538" i="1"/>
  <c r="AF3533" i="1"/>
  <c r="AH3531" i="1"/>
  <c r="W3529" i="1"/>
  <c r="J3527" i="1"/>
  <c r="J3525" i="1"/>
  <c r="AH3516" i="1"/>
  <c r="AH3512" i="1"/>
  <c r="AI3510" i="1"/>
  <c r="W3508" i="1"/>
  <c r="L3506" i="1"/>
  <c r="L3504" i="1"/>
  <c r="L3500" i="1"/>
  <c r="AI3495" i="1"/>
  <c r="AF3491" i="1"/>
  <c r="AI3489" i="1"/>
  <c r="M3487" i="1"/>
  <c r="J3485" i="1"/>
  <c r="L3483" i="1"/>
  <c r="J3481" i="1"/>
  <c r="L3479" i="1"/>
  <c r="J3477" i="1"/>
  <c r="J3473" i="1"/>
  <c r="AI3470" i="1"/>
  <c r="J3463" i="1"/>
  <c r="L3459" i="1"/>
  <c r="M3457" i="1"/>
  <c r="AH3455" i="1"/>
  <c r="AF3453" i="1"/>
  <c r="AI3447" i="1"/>
  <c r="M3442" i="1"/>
  <c r="M3440" i="1"/>
  <c r="L3438" i="1"/>
  <c r="AF3436" i="1"/>
  <c r="AF3434" i="1"/>
  <c r="J3427" i="1"/>
  <c r="L3423" i="1"/>
  <c r="M3421" i="1"/>
  <c r="AH3419" i="1"/>
  <c r="AF3417" i="1"/>
  <c r="AI3411" i="1"/>
  <c r="M3406" i="1"/>
  <c r="M3404" i="1"/>
  <c r="L3402" i="1"/>
  <c r="AF3400" i="1"/>
  <c r="AF3398" i="1"/>
  <c r="M3393" i="1"/>
  <c r="G3392" i="1"/>
  <c r="AF3390" i="1"/>
  <c r="AH3387" i="1"/>
  <c r="L3386" i="1"/>
  <c r="G3385" i="1"/>
  <c r="AF3383" i="1"/>
  <c r="AF3380" i="1"/>
  <c r="L3379" i="1"/>
  <c r="W3376" i="1"/>
  <c r="G3375" i="1"/>
  <c r="AH3373" i="1"/>
  <c r="J3372" i="1"/>
  <c r="AI3370" i="1"/>
  <c r="M3369" i="1"/>
  <c r="G3368" i="1"/>
  <c r="AF3366" i="1"/>
  <c r="AH3363" i="1"/>
  <c r="L3362" i="1"/>
  <c r="G3361" i="1"/>
  <c r="AF3359" i="1"/>
  <c r="AF3356" i="1"/>
  <c r="L3355" i="1"/>
  <c r="W3352" i="1"/>
  <c r="G3351" i="1"/>
  <c r="AH3349" i="1"/>
  <c r="J3348" i="1"/>
  <c r="AI3346" i="1"/>
  <c r="M3345" i="1"/>
  <c r="G3344" i="1"/>
  <c r="AF3342" i="1"/>
  <c r="AH3339" i="1"/>
  <c r="L3338" i="1"/>
  <c r="G3337" i="1"/>
  <c r="AF3335" i="1"/>
  <c r="AF3332" i="1"/>
  <c r="L3331" i="1"/>
  <c r="AF3328" i="1"/>
  <c r="L3327" i="1"/>
  <c r="G3326" i="1"/>
  <c r="AI3324" i="1"/>
  <c r="M3323" i="1"/>
  <c r="AI3320" i="1"/>
  <c r="AF3319" i="1"/>
  <c r="L3318" i="1"/>
  <c r="G3317" i="1"/>
  <c r="AH3315" i="1"/>
  <c r="M3314" i="1"/>
  <c r="J3313" i="1"/>
  <c r="AF3310" i="1"/>
  <c r="L3309" i="1"/>
  <c r="G3308" i="1"/>
  <c r="AI3306" i="1"/>
  <c r="M3305" i="1"/>
  <c r="AI3302" i="1"/>
  <c r="AF3301" i="1"/>
  <c r="L3300" i="1"/>
  <c r="G3299" i="1"/>
  <c r="AH3297" i="1"/>
  <c r="M3296" i="1"/>
  <c r="J3295" i="1"/>
  <c r="AF3292" i="1"/>
  <c r="L3291" i="1"/>
  <c r="G3290" i="1"/>
  <c r="AI3288" i="1"/>
  <c r="M3287" i="1"/>
  <c r="AI3284" i="1"/>
  <c r="AF3283" i="1"/>
  <c r="L3282" i="1"/>
  <c r="G3281" i="1"/>
  <c r="AH3279" i="1"/>
  <c r="M3278" i="1"/>
  <c r="J3277" i="1"/>
  <c r="G3276" i="1"/>
  <c r="AI3274" i="1"/>
  <c r="AF3273" i="1"/>
  <c r="M3272" i="1"/>
  <c r="J3271" i="1"/>
  <c r="G3270" i="1"/>
  <c r="AI3268" i="1"/>
  <c r="AF3267" i="1"/>
  <c r="M3266" i="1"/>
  <c r="J3265" i="1"/>
  <c r="G3264" i="1"/>
  <c r="AI3262" i="1"/>
  <c r="AF3261" i="1"/>
  <c r="M3260" i="1"/>
  <c r="J3259" i="1"/>
  <c r="G3258" i="1"/>
  <c r="AI3256" i="1"/>
  <c r="AF3255" i="1"/>
  <c r="M3254" i="1"/>
  <c r="J3253" i="1"/>
  <c r="G3252" i="1"/>
  <c r="AI3250" i="1"/>
  <c r="AF3249" i="1"/>
  <c r="M3248" i="1"/>
  <c r="J3247" i="1"/>
  <c r="G3246" i="1"/>
  <c r="AI3244" i="1"/>
  <c r="AF3243" i="1"/>
  <c r="M3242" i="1"/>
  <c r="J3241" i="1"/>
  <c r="G3240" i="1"/>
  <c r="AI3238" i="1"/>
  <c r="AF3237" i="1"/>
  <c r="M3236" i="1"/>
  <c r="J3235" i="1"/>
  <c r="G3234" i="1"/>
  <c r="AI3232" i="1"/>
  <c r="AF3231" i="1"/>
  <c r="M3230" i="1"/>
  <c r="J3229" i="1"/>
  <c r="G3228" i="1"/>
  <c r="AI3226" i="1"/>
  <c r="AF3225" i="1"/>
  <c r="M3224" i="1"/>
  <c r="J3223" i="1"/>
  <c r="G3222" i="1"/>
  <c r="AI3220" i="1"/>
  <c r="AF3219" i="1"/>
  <c r="M3218" i="1"/>
  <c r="J3217" i="1"/>
  <c r="G3216" i="1"/>
  <c r="AI3214" i="1"/>
  <c r="AF3213" i="1"/>
  <c r="M3212" i="1"/>
  <c r="J3211" i="1"/>
  <c r="G3210" i="1"/>
  <c r="AI3208" i="1"/>
  <c r="AF3207" i="1"/>
  <c r="M3206" i="1"/>
  <c r="J3205" i="1"/>
  <c r="G3204" i="1"/>
  <c r="AI3202" i="1"/>
  <c r="AF3201" i="1"/>
  <c r="M3200" i="1"/>
  <c r="J3199" i="1"/>
  <c r="G3198" i="1"/>
  <c r="AI3196" i="1"/>
  <c r="AF3195" i="1"/>
  <c r="M3194" i="1"/>
  <c r="J3193" i="1"/>
  <c r="G3192" i="1"/>
  <c r="AI3190" i="1"/>
  <c r="AF3189" i="1"/>
  <c r="M3188" i="1"/>
  <c r="J3187" i="1"/>
  <c r="G3186" i="1"/>
  <c r="AI3184" i="1"/>
  <c r="AF3183" i="1"/>
  <c r="M3182" i="1"/>
  <c r="J3181" i="1"/>
  <c r="G3180" i="1"/>
  <c r="AI3178" i="1"/>
  <c r="AF3177" i="1"/>
  <c r="M3176" i="1"/>
  <c r="J3175" i="1"/>
  <c r="G3174" i="1"/>
  <c r="AI3172" i="1"/>
  <c r="AF3171" i="1"/>
  <c r="M3170" i="1"/>
  <c r="J3169" i="1"/>
  <c r="G3168" i="1"/>
  <c r="AI3166" i="1"/>
  <c r="AF3165" i="1"/>
  <c r="M3164" i="1"/>
  <c r="J3163" i="1"/>
  <c r="G3162" i="1"/>
  <c r="AI3160" i="1"/>
  <c r="AF3159" i="1"/>
  <c r="M3158" i="1"/>
  <c r="J3157" i="1"/>
  <c r="G3156" i="1"/>
  <c r="AI3154" i="1"/>
  <c r="AF3153" i="1"/>
  <c r="M3152" i="1"/>
  <c r="J3151" i="1"/>
  <c r="G3150" i="1"/>
  <c r="AI3148" i="1"/>
  <c r="AF3147" i="1"/>
  <c r="M3146" i="1"/>
  <c r="J3145" i="1"/>
  <c r="G3144" i="1"/>
  <c r="AI3142" i="1"/>
  <c r="AF3141" i="1"/>
  <c r="M3140" i="1"/>
  <c r="J3139" i="1"/>
  <c r="G3138" i="1"/>
  <c r="AI3136" i="1"/>
  <c r="AF3135" i="1"/>
  <c r="M3134" i="1"/>
  <c r="J3133" i="1"/>
  <c r="G3132" i="1"/>
  <c r="AI3130" i="1"/>
  <c r="AF3129" i="1"/>
  <c r="M3128" i="1"/>
  <c r="J3127" i="1"/>
  <c r="G3126" i="1"/>
  <c r="AI3124" i="1"/>
  <c r="AF3123" i="1"/>
  <c r="M3122" i="1"/>
  <c r="J3121" i="1"/>
  <c r="G3120" i="1"/>
  <c r="AI3118" i="1"/>
  <c r="AF3117" i="1"/>
  <c r="M3116" i="1"/>
  <c r="J3115" i="1"/>
  <c r="G3114" i="1"/>
  <c r="AI3112" i="1"/>
  <c r="AF3111" i="1"/>
  <c r="M3110" i="1"/>
  <c r="J3109" i="1"/>
  <c r="G3108" i="1"/>
  <c r="AI3106" i="1"/>
  <c r="AF3105" i="1"/>
  <c r="M3104" i="1"/>
  <c r="J3103" i="1"/>
  <c r="G3102" i="1"/>
  <c r="AI3100" i="1"/>
  <c r="AF3099" i="1"/>
  <c r="M3098" i="1"/>
  <c r="J3097" i="1"/>
  <c r="G3096" i="1"/>
  <c r="AI3094" i="1"/>
  <c r="AF3093" i="1"/>
  <c r="M3092" i="1"/>
  <c r="J3091" i="1"/>
  <c r="G3090" i="1"/>
  <c r="AI3088" i="1"/>
  <c r="AF3087" i="1"/>
  <c r="M3086" i="1"/>
  <c r="J3085" i="1"/>
  <c r="G3084" i="1"/>
  <c r="AI3082" i="1"/>
  <c r="AF3081" i="1"/>
  <c r="M3080" i="1"/>
  <c r="J3079" i="1"/>
  <c r="G3078" i="1"/>
  <c r="AI3076" i="1"/>
  <c r="AF3075" i="1"/>
  <c r="M3074" i="1"/>
  <c r="J3073" i="1"/>
  <c r="G3072" i="1"/>
  <c r="AI3070" i="1"/>
  <c r="AF3069" i="1"/>
  <c r="M3068" i="1"/>
  <c r="J3067" i="1"/>
  <c r="G3066" i="1"/>
  <c r="AI3064" i="1"/>
  <c r="AF3063" i="1"/>
  <c r="M3062" i="1"/>
  <c r="J3061" i="1"/>
  <c r="G3060" i="1"/>
  <c r="AI3058" i="1"/>
  <c r="AF3057" i="1"/>
  <c r="M3056" i="1"/>
  <c r="J3055" i="1"/>
  <c r="G3054" i="1"/>
  <c r="AI3052" i="1"/>
  <c r="AF3051" i="1"/>
  <c r="M3050" i="1"/>
  <c r="J3049" i="1"/>
  <c r="G3048" i="1"/>
  <c r="AI3046" i="1"/>
  <c r="AF3045" i="1"/>
  <c r="M3044" i="1"/>
  <c r="J3043" i="1"/>
  <c r="G3042" i="1"/>
  <c r="AI3040" i="1"/>
  <c r="AF3039" i="1"/>
  <c r="M3038" i="1"/>
  <c r="J3037" i="1"/>
  <c r="G3036" i="1"/>
  <c r="AI3034" i="1"/>
  <c r="AF3033" i="1"/>
  <c r="M3032" i="1"/>
  <c r="J3031" i="1"/>
  <c r="G3030" i="1"/>
  <c r="AI3028" i="1"/>
  <c r="AF3027" i="1"/>
  <c r="M3026" i="1"/>
  <c r="J3025" i="1"/>
  <c r="G3024" i="1"/>
  <c r="AI3022" i="1"/>
  <c r="AF3021" i="1"/>
  <c r="M3020" i="1"/>
  <c r="J3019" i="1"/>
  <c r="G3018" i="1"/>
  <c r="AI3016" i="1"/>
  <c r="AF3015" i="1"/>
  <c r="M3014" i="1"/>
  <c r="J3013" i="1"/>
  <c r="G3012" i="1"/>
  <c r="AI3010" i="1"/>
  <c r="AF3009" i="1"/>
  <c r="M3008" i="1"/>
  <c r="J3007" i="1"/>
  <c r="G3006" i="1"/>
  <c r="AI3004" i="1"/>
  <c r="AF3003" i="1"/>
  <c r="M3002" i="1"/>
  <c r="J3001" i="1"/>
  <c r="G3000" i="1"/>
  <c r="AI2998" i="1"/>
  <c r="AF2997" i="1"/>
  <c r="M2996" i="1"/>
  <c r="J2995" i="1"/>
  <c r="G2994" i="1"/>
  <c r="AI2992" i="1"/>
  <c r="AF2991" i="1"/>
  <c r="M2990" i="1"/>
  <c r="J2989" i="1"/>
  <c r="G2988" i="1"/>
  <c r="AI2986" i="1"/>
  <c r="AF2985" i="1"/>
  <c r="M2984" i="1"/>
  <c r="J2983" i="1"/>
  <c r="G2982" i="1"/>
  <c r="AI2980" i="1"/>
  <c r="AF2979" i="1"/>
  <c r="M2978" i="1"/>
  <c r="J2977" i="1"/>
  <c r="G2976" i="1"/>
  <c r="AI2974" i="1"/>
  <c r="AF2973" i="1"/>
  <c r="M2972" i="1"/>
  <c r="J2971" i="1"/>
  <c r="G2970" i="1"/>
  <c r="AI2968" i="1"/>
  <c r="AF2967" i="1"/>
  <c r="M2966" i="1"/>
  <c r="J2965" i="1"/>
  <c r="G2964" i="1"/>
  <c r="AI2962" i="1"/>
  <c r="AF2961" i="1"/>
  <c r="M2960" i="1"/>
  <c r="J2959" i="1"/>
  <c r="G2958" i="1"/>
  <c r="AI2956" i="1"/>
  <c r="AF2955" i="1"/>
  <c r="M2954" i="1"/>
  <c r="J2953" i="1"/>
  <c r="G2952" i="1"/>
  <c r="AI2950" i="1"/>
  <c r="AF2949" i="1"/>
  <c r="G4266" i="1"/>
  <c r="AF4196" i="1"/>
  <c r="AI4154" i="1"/>
  <c r="L4138" i="1"/>
  <c r="J4096" i="1"/>
  <c r="M4090" i="1"/>
  <c r="L4082" i="1"/>
  <c r="AF4067" i="1"/>
  <c r="L3978" i="1"/>
  <c r="AF3970" i="1"/>
  <c r="J3950" i="1"/>
  <c r="AI3944" i="1"/>
  <c r="AH3936" i="1"/>
  <c r="AI3917" i="1"/>
  <c r="AH3906" i="1"/>
  <c r="W3900" i="1"/>
  <c r="AF3889" i="1"/>
  <c r="AI3883" i="1"/>
  <c r="AI3879" i="1"/>
  <c r="L3826" i="1"/>
  <c r="AI3802" i="1"/>
  <c r="AF3797" i="1"/>
  <c r="W3792" i="1"/>
  <c r="AH3783" i="1"/>
  <c r="AF3779" i="1"/>
  <c r="L3775" i="1"/>
  <c r="M3771" i="1"/>
  <c r="AF3761" i="1"/>
  <c r="W3751" i="1"/>
  <c r="M3739" i="1"/>
  <c r="AI3730" i="1"/>
  <c r="AI3726" i="1"/>
  <c r="M3722" i="1"/>
  <c r="AI3714" i="1"/>
  <c r="AF3706" i="1"/>
  <c r="G3703" i="1"/>
  <c r="M3698" i="1"/>
  <c r="AF3694" i="1"/>
  <c r="L3686" i="1"/>
  <c r="AH3682" i="1"/>
  <c r="W3679" i="1"/>
  <c r="W3675" i="1"/>
  <c r="L3672" i="1"/>
  <c r="AF3668" i="1"/>
  <c r="AH3665" i="1"/>
  <c r="M3655" i="1"/>
  <c r="W3652" i="1"/>
  <c r="AI3648" i="1"/>
  <c r="J3642" i="1"/>
  <c r="AF3638" i="1"/>
  <c r="J3630" i="1"/>
  <c r="G3627" i="1"/>
  <c r="J3624" i="1"/>
  <c r="L3621" i="1"/>
  <c r="AH3607" i="1"/>
  <c r="AH3604" i="1"/>
  <c r="J3601" i="1"/>
  <c r="G3595" i="1"/>
  <c r="J3592" i="1"/>
  <c r="L3589" i="1"/>
  <c r="AH3571" i="1"/>
  <c r="L3565" i="1"/>
  <c r="AF3559" i="1"/>
  <c r="AI3556" i="1"/>
  <c r="J3551" i="1"/>
  <c r="L3538" i="1"/>
  <c r="W3533" i="1"/>
  <c r="L3529" i="1"/>
  <c r="AH3520" i="1"/>
  <c r="AI3518" i="1"/>
  <c r="AF3516" i="1"/>
  <c r="AI3514" i="1"/>
  <c r="AF3512" i="1"/>
  <c r="AH3510" i="1"/>
  <c r="L3508" i="1"/>
  <c r="J3504" i="1"/>
  <c r="G3502" i="1"/>
  <c r="AH3495" i="1"/>
  <c r="AI3493" i="1"/>
  <c r="W3491" i="1"/>
  <c r="J3489" i="1"/>
  <c r="L3487" i="1"/>
  <c r="J3483" i="1"/>
  <c r="AI3474" i="1"/>
  <c r="G3473" i="1"/>
  <c r="AH3470" i="1"/>
  <c r="AI3468" i="1"/>
  <c r="AI3466" i="1"/>
  <c r="AH3464" i="1"/>
  <c r="G3463" i="1"/>
  <c r="G3461" i="1"/>
  <c r="J3459" i="1"/>
  <c r="L3457" i="1"/>
  <c r="AF3455" i="1"/>
  <c r="M3453" i="1"/>
  <c r="W3451" i="1"/>
  <c r="AI3449" i="1"/>
  <c r="AH3447" i="1"/>
  <c r="G3446" i="1"/>
  <c r="G3444" i="1"/>
  <c r="J3440" i="1"/>
  <c r="J3438" i="1"/>
  <c r="W3436" i="1"/>
  <c r="W3434" i="1"/>
  <c r="AI3432" i="1"/>
  <c r="AI3430" i="1"/>
  <c r="AH3428" i="1"/>
  <c r="G3427" i="1"/>
  <c r="G3425" i="1"/>
  <c r="J3423" i="1"/>
  <c r="L3421" i="1"/>
  <c r="AF3419" i="1"/>
  <c r="M3417" i="1"/>
  <c r="W3415" i="1"/>
  <c r="AI3413" i="1"/>
  <c r="AH3411" i="1"/>
  <c r="G3410" i="1"/>
  <c r="G3408" i="1"/>
  <c r="J3404" i="1"/>
  <c r="J3402" i="1"/>
  <c r="W3400" i="1"/>
  <c r="W3398" i="1"/>
  <c r="AI3396" i="1"/>
  <c r="AI3394" i="1"/>
  <c r="L3393" i="1"/>
  <c r="W3390" i="1"/>
  <c r="G3389" i="1"/>
  <c r="AF3387" i="1"/>
  <c r="J3386" i="1"/>
  <c r="M3383" i="1"/>
  <c r="W3380" i="1"/>
  <c r="J3379" i="1"/>
  <c r="AI3377" i="1"/>
  <c r="M3376" i="1"/>
  <c r="W3373" i="1"/>
  <c r="AH3370" i="1"/>
  <c r="L3369" i="1"/>
  <c r="W3366" i="1"/>
  <c r="G3365" i="1"/>
  <c r="AF3363" i="1"/>
  <c r="J3362" i="1"/>
  <c r="M3359" i="1"/>
  <c r="W3356" i="1"/>
  <c r="J3355" i="1"/>
  <c r="AI3353" i="1"/>
  <c r="M3352" i="1"/>
  <c r="W3349" i="1"/>
  <c r="AH3346" i="1"/>
  <c r="L3345" i="1"/>
  <c r="W3342" i="1"/>
  <c r="G3341" i="1"/>
  <c r="AF3339" i="1"/>
  <c r="J3338" i="1"/>
  <c r="M3335" i="1"/>
  <c r="W3332" i="1"/>
  <c r="J3331" i="1"/>
  <c r="AI3329" i="1"/>
  <c r="W3328" i="1"/>
  <c r="J3327" i="1"/>
  <c r="AF3324" i="1"/>
  <c r="L3323" i="1"/>
  <c r="G3322" i="1"/>
  <c r="AH3320" i="1"/>
  <c r="W3319" i="1"/>
  <c r="J3318" i="1"/>
  <c r="AF3315" i="1"/>
  <c r="L3314" i="1"/>
  <c r="AI3311" i="1"/>
  <c r="W3310" i="1"/>
  <c r="J3309" i="1"/>
  <c r="AF3306" i="1"/>
  <c r="L3305" i="1"/>
  <c r="G3304" i="1"/>
  <c r="AH3302" i="1"/>
  <c r="W3301" i="1"/>
  <c r="J3300" i="1"/>
  <c r="AF3297" i="1"/>
  <c r="L3296" i="1"/>
  <c r="AI3293" i="1"/>
  <c r="W3292" i="1"/>
  <c r="J3291" i="1"/>
  <c r="AF3288" i="1"/>
  <c r="L3287" i="1"/>
  <c r="G3286" i="1"/>
  <c r="AH3284" i="1"/>
  <c r="W3283" i="1"/>
  <c r="J3282" i="1"/>
  <c r="AF3279" i="1"/>
  <c r="L3278" i="1"/>
  <c r="AH3274" i="1"/>
  <c r="W3273" i="1"/>
  <c r="L3272" i="1"/>
  <c r="AH3268" i="1"/>
  <c r="W3267" i="1"/>
  <c r="L3266" i="1"/>
  <c r="AH3262" i="1"/>
  <c r="W3261" i="1"/>
  <c r="L3260" i="1"/>
  <c r="AH3256" i="1"/>
  <c r="W3255" i="1"/>
  <c r="L3254" i="1"/>
  <c r="AH3250" i="1"/>
  <c r="W3249" i="1"/>
  <c r="L3248" i="1"/>
  <c r="AH3244" i="1"/>
  <c r="W3243" i="1"/>
  <c r="L3242" i="1"/>
  <c r="AH3238" i="1"/>
  <c r="W3237" i="1"/>
  <c r="L3236" i="1"/>
  <c r="AH3232" i="1"/>
  <c r="W3231" i="1"/>
  <c r="L3230" i="1"/>
  <c r="AH3226" i="1"/>
  <c r="W3225" i="1"/>
  <c r="L3224" i="1"/>
  <c r="AH3220" i="1"/>
  <c r="W3219" i="1"/>
  <c r="L3218" i="1"/>
  <c r="AH3214" i="1"/>
  <c r="W3213" i="1"/>
  <c r="L3212" i="1"/>
  <c r="AH3208" i="1"/>
  <c r="W3207" i="1"/>
  <c r="L3206" i="1"/>
  <c r="AH3202" i="1"/>
  <c r="W3201" i="1"/>
  <c r="L3200" i="1"/>
  <c r="AH3196" i="1"/>
  <c r="W3195" i="1"/>
  <c r="L3194" i="1"/>
  <c r="AH3190" i="1"/>
  <c r="W3189" i="1"/>
  <c r="L3188" i="1"/>
  <c r="AH3184" i="1"/>
  <c r="W3183" i="1"/>
  <c r="L3182" i="1"/>
  <c r="AH3178" i="1"/>
  <c r="W3177" i="1"/>
  <c r="L3176" i="1"/>
  <c r="AH3172" i="1"/>
  <c r="W3171" i="1"/>
  <c r="L3170" i="1"/>
  <c r="AH3166" i="1"/>
  <c r="W3165" i="1"/>
  <c r="L3164" i="1"/>
  <c r="AH3160" i="1"/>
  <c r="W3159" i="1"/>
  <c r="L3158" i="1"/>
  <c r="AH3154" i="1"/>
  <c r="W3153" i="1"/>
  <c r="L3152" i="1"/>
  <c r="AH3148" i="1"/>
  <c r="W3147" i="1"/>
  <c r="L3146" i="1"/>
  <c r="AH3142" i="1"/>
  <c r="W3141" i="1"/>
  <c r="L3140" i="1"/>
  <c r="AH3136" i="1"/>
  <c r="W3135" i="1"/>
  <c r="L3134" i="1"/>
  <c r="AH3130" i="1"/>
  <c r="W3129" i="1"/>
  <c r="L3128" i="1"/>
  <c r="AH3124" i="1"/>
  <c r="W3123" i="1"/>
  <c r="L3122" i="1"/>
  <c r="AH3118" i="1"/>
  <c r="W3117" i="1"/>
  <c r="L3116" i="1"/>
  <c r="AH3112" i="1"/>
  <c r="W3111" i="1"/>
  <c r="L3110" i="1"/>
  <c r="AH3106" i="1"/>
  <c r="W3105" i="1"/>
  <c r="L3104" i="1"/>
  <c r="AH3100" i="1"/>
  <c r="W3099" i="1"/>
  <c r="L3098" i="1"/>
  <c r="AH3094" i="1"/>
  <c r="W3093" i="1"/>
  <c r="L3092" i="1"/>
  <c r="AH3088" i="1"/>
  <c r="W3087" i="1"/>
  <c r="L3086" i="1"/>
  <c r="AH3082" i="1"/>
  <c r="W3081" i="1"/>
  <c r="L3080" i="1"/>
  <c r="AH3076" i="1"/>
  <c r="W3075" i="1"/>
  <c r="L3074" i="1"/>
  <c r="AH3070" i="1"/>
  <c r="W3069" i="1"/>
  <c r="L3068" i="1"/>
  <c r="AH3064" i="1"/>
  <c r="W3063" i="1"/>
  <c r="L3062" i="1"/>
  <c r="AH3058" i="1"/>
  <c r="W3057" i="1"/>
  <c r="L3056" i="1"/>
  <c r="AH3052" i="1"/>
  <c r="W3051" i="1"/>
  <c r="L3050" i="1"/>
  <c r="AH3046" i="1"/>
  <c r="W3045" i="1"/>
  <c r="L3044" i="1"/>
  <c r="W4347" i="1"/>
  <c r="AI4284" i="1"/>
  <c r="J4276" i="1"/>
  <c r="AH4245" i="1"/>
  <c r="M4205" i="1"/>
  <c r="AH4122" i="1"/>
  <c r="J4082" i="1"/>
  <c r="AH4073" i="1"/>
  <c r="AF4050" i="1"/>
  <c r="G4035" i="1"/>
  <c r="M4012" i="1"/>
  <c r="L4005" i="1"/>
  <c r="AH3985" i="1"/>
  <c r="AH3917" i="1"/>
  <c r="AI3911" i="1"/>
  <c r="AF3894" i="1"/>
  <c r="L3889" i="1"/>
  <c r="AF3883" i="1"/>
  <c r="AH3879" i="1"/>
  <c r="W3866" i="1"/>
  <c r="AI3860" i="1"/>
  <c r="M3848" i="1"/>
  <c r="AF3842" i="1"/>
  <c r="AF3836" i="1"/>
  <c r="G3819" i="1"/>
  <c r="M3792" i="1"/>
  <c r="AF3783" i="1"/>
  <c r="AI3765" i="1"/>
  <c r="L3761" i="1"/>
  <c r="G3756" i="1"/>
  <c r="M3751" i="1"/>
  <c r="AH3746" i="1"/>
  <c r="G3743" i="1"/>
  <c r="AF3734" i="1"/>
  <c r="AH3730" i="1"/>
  <c r="L3722" i="1"/>
  <c r="AI3717" i="1"/>
  <c r="M3706" i="1"/>
  <c r="L3698" i="1"/>
  <c r="M3694" i="1"/>
  <c r="J3686" i="1"/>
  <c r="AF3682" i="1"/>
  <c r="G3679" i="1"/>
  <c r="L3675" i="1"/>
  <c r="J3672" i="1"/>
  <c r="W3668" i="1"/>
  <c r="M3665" i="1"/>
  <c r="AI3661" i="1"/>
  <c r="AI3658" i="1"/>
  <c r="L3655" i="1"/>
  <c r="W3648" i="1"/>
  <c r="AI3644" i="1"/>
  <c r="G3642" i="1"/>
  <c r="W3638" i="1"/>
  <c r="AI3635" i="1"/>
  <c r="AH3632" i="1"/>
  <c r="G3624" i="1"/>
  <c r="J3621" i="1"/>
  <c r="AI3617" i="1"/>
  <c r="G3614" i="1"/>
  <c r="G3611" i="1"/>
  <c r="AF3607" i="1"/>
  <c r="W3597" i="1"/>
  <c r="J3589" i="1"/>
  <c r="AI3586" i="1"/>
  <c r="AF3583" i="1"/>
  <c r="AI3580" i="1"/>
  <c r="AH3577" i="1"/>
  <c r="AF3571" i="1"/>
  <c r="G3568" i="1"/>
  <c r="J3565" i="1"/>
  <c r="G3562" i="1"/>
  <c r="W3559" i="1"/>
  <c r="AH3556" i="1"/>
  <c r="L3553" i="1"/>
  <c r="AH3545" i="1"/>
  <c r="G3543" i="1"/>
  <c r="J3538" i="1"/>
  <c r="W3535" i="1"/>
  <c r="L3533" i="1"/>
  <c r="G3531" i="1"/>
  <c r="J3529" i="1"/>
  <c r="G3527" i="1"/>
  <c r="AH3522" i="1"/>
  <c r="W3520" i="1"/>
  <c r="AH3518" i="1"/>
  <c r="W3516" i="1"/>
  <c r="AH3514" i="1"/>
  <c r="W3512" i="1"/>
  <c r="J3510" i="1"/>
  <c r="J3508" i="1"/>
  <c r="G3506" i="1"/>
  <c r="AH3499" i="1"/>
  <c r="AH3497" i="1"/>
  <c r="AF3495" i="1"/>
  <c r="AH3493" i="1"/>
  <c r="L3491" i="1"/>
  <c r="J3487" i="1"/>
  <c r="G3485" i="1"/>
  <c r="AI3478" i="1"/>
  <c r="AH3474" i="1"/>
  <c r="AF3470" i="1"/>
  <c r="L3468" i="1"/>
  <c r="AF3466" i="1"/>
  <c r="AF3464" i="1"/>
  <c r="J3457" i="1"/>
  <c r="L3453" i="1"/>
  <c r="M3451" i="1"/>
  <c r="AH3449" i="1"/>
  <c r="AF3447" i="1"/>
  <c r="AI3441" i="1"/>
  <c r="M3436" i="1"/>
  <c r="M3434" i="1"/>
  <c r="L3432" i="1"/>
  <c r="AF3430" i="1"/>
  <c r="AF3428" i="1"/>
  <c r="J3421" i="1"/>
  <c r="L3417" i="1"/>
  <c r="M3415" i="1"/>
  <c r="AH3413" i="1"/>
  <c r="AF3411" i="1"/>
  <c r="AI3405" i="1"/>
  <c r="M3400" i="1"/>
  <c r="M3398" i="1"/>
  <c r="L3396" i="1"/>
  <c r="AH3394" i="1"/>
  <c r="J3393" i="1"/>
  <c r="AI3391" i="1"/>
  <c r="L3390" i="1"/>
  <c r="W3387" i="1"/>
  <c r="AI3384" i="1"/>
  <c r="L3383" i="1"/>
  <c r="AI3381" i="1"/>
  <c r="M3380" i="1"/>
  <c r="AH3377" i="1"/>
  <c r="J3376" i="1"/>
  <c r="AH3374" i="1"/>
  <c r="M3373" i="1"/>
  <c r="G3372" i="1"/>
  <c r="AF3370" i="1"/>
  <c r="J3369" i="1"/>
  <c r="AI3367" i="1"/>
  <c r="L3366" i="1"/>
  <c r="W3363" i="1"/>
  <c r="AI3360" i="1"/>
  <c r="L3359" i="1"/>
  <c r="AI3357" i="1"/>
  <c r="M3356" i="1"/>
  <c r="AH3353" i="1"/>
  <c r="J3352" i="1"/>
  <c r="AH3350" i="1"/>
  <c r="M3349" i="1"/>
  <c r="G3348" i="1"/>
  <c r="AF3346" i="1"/>
  <c r="J3345" i="1"/>
  <c r="AI3343" i="1"/>
  <c r="L3342" i="1"/>
  <c r="W3339" i="1"/>
  <c r="AI3336" i="1"/>
  <c r="L3335" i="1"/>
  <c r="AI3333" i="1"/>
  <c r="M3332" i="1"/>
  <c r="AH3329" i="1"/>
  <c r="M3328" i="1"/>
  <c r="G3327" i="1"/>
  <c r="AI3325" i="1"/>
  <c r="W3324" i="1"/>
  <c r="J3323" i="1"/>
  <c r="AF3320" i="1"/>
  <c r="M3319" i="1"/>
  <c r="AI3316" i="1"/>
  <c r="W3315" i="1"/>
  <c r="J3314" i="1"/>
  <c r="G3313" i="1"/>
  <c r="AH3311" i="1"/>
  <c r="M3310" i="1"/>
  <c r="G3309" i="1"/>
  <c r="AI3307" i="1"/>
  <c r="W3306" i="1"/>
  <c r="J3305" i="1"/>
  <c r="AF3302" i="1"/>
  <c r="M3301" i="1"/>
  <c r="AI3298" i="1"/>
  <c r="W3297" i="1"/>
  <c r="J3296" i="1"/>
  <c r="G3295" i="1"/>
  <c r="AH3293" i="1"/>
  <c r="M3292" i="1"/>
  <c r="G3291" i="1"/>
  <c r="AI3289" i="1"/>
  <c r="W3288" i="1"/>
  <c r="J3287" i="1"/>
  <c r="AF3284" i="1"/>
  <c r="M3283" i="1"/>
  <c r="AI3280" i="1"/>
  <c r="W3279" i="1"/>
  <c r="J3278" i="1"/>
  <c r="G3277" i="1"/>
  <c r="AI3275" i="1"/>
  <c r="AF3274" i="1"/>
  <c r="M3273" i="1"/>
  <c r="J3272" i="1"/>
  <c r="G3271" i="1"/>
  <c r="AI3269" i="1"/>
  <c r="AF3268" i="1"/>
  <c r="M3267" i="1"/>
  <c r="J3266" i="1"/>
  <c r="G3265" i="1"/>
  <c r="AI3263" i="1"/>
  <c r="AF3262" i="1"/>
  <c r="M3261" i="1"/>
  <c r="J3260" i="1"/>
  <c r="G3259" i="1"/>
  <c r="AI3257" i="1"/>
  <c r="AF3256" i="1"/>
  <c r="M3255" i="1"/>
  <c r="J3254" i="1"/>
  <c r="G3253" i="1"/>
  <c r="AI3251" i="1"/>
  <c r="AF3250" i="1"/>
  <c r="M3249" i="1"/>
  <c r="J3248" i="1"/>
  <c r="G3247" i="1"/>
  <c r="AI3245" i="1"/>
  <c r="AF3244" i="1"/>
  <c r="M3243" i="1"/>
  <c r="J3242" i="1"/>
  <c r="G3241" i="1"/>
  <c r="AI3239" i="1"/>
  <c r="AF3238" i="1"/>
  <c r="M3237" i="1"/>
  <c r="J3236" i="1"/>
  <c r="G3235" i="1"/>
  <c r="AI3233" i="1"/>
  <c r="AF3232" i="1"/>
  <c r="M3231" i="1"/>
  <c r="J3230" i="1"/>
  <c r="G3229" i="1"/>
  <c r="AI3227" i="1"/>
  <c r="AF3226" i="1"/>
  <c r="M3225" i="1"/>
  <c r="J3224" i="1"/>
  <c r="G3223" i="1"/>
  <c r="AI3221" i="1"/>
  <c r="AF3220" i="1"/>
  <c r="M3219" i="1"/>
  <c r="J3218" i="1"/>
  <c r="G3217" i="1"/>
  <c r="AI3215" i="1"/>
  <c r="AF3214" i="1"/>
  <c r="M3213" i="1"/>
  <c r="J3212" i="1"/>
  <c r="G3211" i="1"/>
  <c r="AI3209" i="1"/>
  <c r="AF3208" i="1"/>
  <c r="M3207" i="1"/>
  <c r="J3206" i="1"/>
  <c r="G3205" i="1"/>
  <c r="AI3203" i="1"/>
  <c r="AF3202" i="1"/>
  <c r="M3201" i="1"/>
  <c r="J3200" i="1"/>
  <c r="G3199" i="1"/>
  <c r="AI3197" i="1"/>
  <c r="AF3196" i="1"/>
  <c r="M3195" i="1"/>
  <c r="J3194" i="1"/>
  <c r="G3193" i="1"/>
  <c r="AI3191" i="1"/>
  <c r="AF3190" i="1"/>
  <c r="M3189" i="1"/>
  <c r="J3188" i="1"/>
  <c r="G3187" i="1"/>
  <c r="AI3185" i="1"/>
  <c r="AF3184" i="1"/>
  <c r="M3183" i="1"/>
  <c r="J3182" i="1"/>
  <c r="G3181" i="1"/>
  <c r="AI3179" i="1"/>
  <c r="AF3178" i="1"/>
  <c r="M3177" i="1"/>
  <c r="J3176" i="1"/>
  <c r="G3175" i="1"/>
  <c r="AI3173" i="1"/>
  <c r="AF3172" i="1"/>
  <c r="M3171" i="1"/>
  <c r="J3170" i="1"/>
  <c r="G3169" i="1"/>
  <c r="AI3167" i="1"/>
  <c r="AF3166" i="1"/>
  <c r="M3165" i="1"/>
  <c r="J3164" i="1"/>
  <c r="G3163" i="1"/>
  <c r="AI3161" i="1"/>
  <c r="AF3160" i="1"/>
  <c r="M3159" i="1"/>
  <c r="J3158" i="1"/>
  <c r="G3157" i="1"/>
  <c r="AI3155" i="1"/>
  <c r="AF3154" i="1"/>
  <c r="M3153" i="1"/>
  <c r="J3152" i="1"/>
  <c r="G3151" i="1"/>
  <c r="AI3149" i="1"/>
  <c r="AF3148" i="1"/>
  <c r="M3147" i="1"/>
  <c r="J3146" i="1"/>
  <c r="G3145" i="1"/>
  <c r="AI3143" i="1"/>
  <c r="AF3142" i="1"/>
  <c r="M3141" i="1"/>
  <c r="J3140" i="1"/>
  <c r="G3139" i="1"/>
  <c r="AI3137" i="1"/>
  <c r="AF3136" i="1"/>
  <c r="M3135" i="1"/>
  <c r="J3134" i="1"/>
  <c r="G3133" i="1"/>
  <c r="AI3131" i="1"/>
  <c r="AF3130" i="1"/>
  <c r="M3129" i="1"/>
  <c r="J3128" i="1"/>
  <c r="G3127" i="1"/>
  <c r="AI3125" i="1"/>
  <c r="AF3124" i="1"/>
  <c r="M3123" i="1"/>
  <c r="J3122" i="1"/>
  <c r="G3121" i="1"/>
  <c r="AI3119" i="1"/>
  <c r="AF3118" i="1"/>
  <c r="M3117" i="1"/>
  <c r="J3116" i="1"/>
  <c r="G3115" i="1"/>
  <c r="AI3113" i="1"/>
  <c r="AF3112" i="1"/>
  <c r="M3111" i="1"/>
  <c r="J3110" i="1"/>
  <c r="G3109" i="1"/>
  <c r="AI3107" i="1"/>
  <c r="AF3106" i="1"/>
  <c r="M3105" i="1"/>
  <c r="J3104" i="1"/>
  <c r="G3103" i="1"/>
  <c r="AI3101" i="1"/>
  <c r="AF3100" i="1"/>
  <c r="M3099" i="1"/>
  <c r="J3098" i="1"/>
  <c r="G3097" i="1"/>
  <c r="AI3095" i="1"/>
  <c r="AF3094" i="1"/>
  <c r="M3093" i="1"/>
  <c r="J3092" i="1"/>
  <c r="G3091" i="1"/>
  <c r="AI3089" i="1"/>
  <c r="AF3088" i="1"/>
  <c r="M3087" i="1"/>
  <c r="J3086" i="1"/>
  <c r="G3085" i="1"/>
  <c r="AI3083" i="1"/>
  <c r="AF3082" i="1"/>
  <c r="M3081" i="1"/>
  <c r="J3080" i="1"/>
  <c r="G3079" i="1"/>
  <c r="AI3077" i="1"/>
  <c r="AF3076" i="1"/>
  <c r="M3075" i="1"/>
  <c r="J3074" i="1"/>
  <c r="G3073" i="1"/>
  <c r="AI3071" i="1"/>
  <c r="AF3070" i="1"/>
  <c r="M3069" i="1"/>
  <c r="J3068" i="1"/>
  <c r="G3067" i="1"/>
  <c r="AI3065" i="1"/>
  <c r="AF3064" i="1"/>
  <c r="M3063" i="1"/>
  <c r="J3062" i="1"/>
  <c r="G3061" i="1"/>
  <c r="AI3059" i="1"/>
  <c r="AF3058" i="1"/>
  <c r="M3057" i="1"/>
  <c r="J3056" i="1"/>
  <c r="G3055" i="1"/>
  <c r="AI3053" i="1"/>
  <c r="AF3052" i="1"/>
  <c r="M3051" i="1"/>
  <c r="J3050" i="1"/>
  <c r="G3049" i="1"/>
  <c r="AI3047" i="1"/>
  <c r="AF3046" i="1"/>
  <c r="M3045" i="1"/>
  <c r="J3044" i="1"/>
  <c r="G3043" i="1"/>
  <c r="AI3041" i="1"/>
  <c r="AF3040" i="1"/>
  <c r="M3039" i="1"/>
  <c r="J3038" i="1"/>
  <c r="G3037" i="1"/>
  <c r="AI3035" i="1"/>
  <c r="AF3034" i="1"/>
  <c r="M3033" i="1"/>
  <c r="J3032" i="1"/>
  <c r="G3031" i="1"/>
  <c r="G4284" i="1"/>
  <c r="AI4213" i="1"/>
  <c r="AH4186" i="1"/>
  <c r="W4160" i="1"/>
  <c r="AF4122" i="1"/>
  <c r="W4041" i="1"/>
  <c r="W4018" i="1"/>
  <c r="J4012" i="1"/>
  <c r="J4005" i="1"/>
  <c r="J3969" i="1"/>
  <c r="AF3955" i="1"/>
  <c r="G3949" i="1"/>
  <c r="AF3929" i="1"/>
  <c r="W3917" i="1"/>
  <c r="L3911" i="1"/>
  <c r="J3899" i="1"/>
  <c r="M3883" i="1"/>
  <c r="M3866" i="1"/>
  <c r="AF3860" i="1"/>
  <c r="AH3853" i="1"/>
  <c r="W3842" i="1"/>
  <c r="M3836" i="1"/>
  <c r="W3830" i="1"/>
  <c r="AI3806" i="1"/>
  <c r="G3801" i="1"/>
  <c r="G3796" i="1"/>
  <c r="G3792" i="1"/>
  <c r="L3778" i="1"/>
  <c r="J3774" i="1"/>
  <c r="AH3765" i="1"/>
  <c r="G3751" i="1"/>
  <c r="M3734" i="1"/>
  <c r="AH3725" i="1"/>
  <c r="L3717" i="1"/>
  <c r="AI3713" i="1"/>
  <c r="W3709" i="1"/>
  <c r="J3698" i="1"/>
  <c r="AI3689" i="1"/>
  <c r="G3686" i="1"/>
  <c r="J3675" i="1"/>
  <c r="M3668" i="1"/>
  <c r="AH3661" i="1"/>
  <c r="L3651" i="1"/>
  <c r="J3648" i="1"/>
  <c r="AH3644" i="1"/>
  <c r="M3638" i="1"/>
  <c r="AF3635" i="1"/>
  <c r="J3632" i="1"/>
  <c r="AF3629" i="1"/>
  <c r="M3626" i="1"/>
  <c r="AF3617" i="1"/>
  <c r="W3607" i="1"/>
  <c r="AH3603" i="1"/>
  <c r="AI3600" i="1"/>
  <c r="M3597" i="1"/>
  <c r="AF3594" i="1"/>
  <c r="AH3586" i="1"/>
  <c r="W3583" i="1"/>
  <c r="AH3580" i="1"/>
  <c r="AF3577" i="1"/>
  <c r="AI3574" i="1"/>
  <c r="W3571" i="1"/>
  <c r="L3559" i="1"/>
  <c r="L3556" i="1"/>
  <c r="J3553" i="1"/>
  <c r="AI3550" i="1"/>
  <c r="AI3547" i="1"/>
  <c r="L3540" i="1"/>
  <c r="G3538" i="1"/>
  <c r="L3535" i="1"/>
  <c r="J3533" i="1"/>
  <c r="AF3524" i="1"/>
  <c r="AF3522" i="1"/>
  <c r="M3520" i="1"/>
  <c r="AF3518" i="1"/>
  <c r="M3516" i="1"/>
  <c r="L3512" i="1"/>
  <c r="AF3503" i="1"/>
  <c r="AI3501" i="1"/>
  <c r="AF3499" i="1"/>
  <c r="AF3497" i="1"/>
  <c r="W3495" i="1"/>
  <c r="J3493" i="1"/>
  <c r="J3491" i="1"/>
  <c r="G3489" i="1"/>
  <c r="AH3482" i="1"/>
  <c r="AI3480" i="1"/>
  <c r="AH3478" i="1"/>
  <c r="AI3476" i="1"/>
  <c r="AF3474" i="1"/>
  <c r="AI3472" i="1"/>
  <c r="M3470" i="1"/>
  <c r="J3468" i="1"/>
  <c r="W3466" i="1"/>
  <c r="W3464" i="1"/>
  <c r="AI3462" i="1"/>
  <c r="AI3460" i="1"/>
  <c r="AH3458" i="1"/>
  <c r="G3457" i="1"/>
  <c r="G3455" i="1"/>
  <c r="J3453" i="1"/>
  <c r="L3451" i="1"/>
  <c r="AF3449" i="1"/>
  <c r="M3447" i="1"/>
  <c r="W3445" i="1"/>
  <c r="AI3443" i="1"/>
  <c r="AH3441" i="1"/>
  <c r="G3440" i="1"/>
  <c r="G3438" i="1"/>
  <c r="J3434" i="1"/>
  <c r="J3432" i="1"/>
  <c r="W3430" i="1"/>
  <c r="W3428" i="1"/>
  <c r="AI3426" i="1"/>
  <c r="AI3424" i="1"/>
  <c r="AH3422" i="1"/>
  <c r="G3421" i="1"/>
  <c r="G3419" i="1"/>
  <c r="J3417" i="1"/>
  <c r="L3415" i="1"/>
  <c r="AF3413" i="1"/>
  <c r="M3411" i="1"/>
  <c r="W3409" i="1"/>
  <c r="AI3407" i="1"/>
  <c r="AH3405" i="1"/>
  <c r="G3404" i="1"/>
  <c r="G3402" i="1"/>
  <c r="J3398" i="1"/>
  <c r="J3396" i="1"/>
  <c r="AF3394" i="1"/>
  <c r="G3393" i="1"/>
  <c r="AH3391" i="1"/>
  <c r="J3390" i="1"/>
  <c r="AI3388" i="1"/>
  <c r="M3387" i="1"/>
  <c r="G3386" i="1"/>
  <c r="AF3384" i="1"/>
  <c r="AH3381" i="1"/>
  <c r="L3380" i="1"/>
  <c r="G3379" i="1"/>
  <c r="AF3377" i="1"/>
  <c r="AF3374" i="1"/>
  <c r="L3373" i="1"/>
  <c r="W3370" i="1"/>
  <c r="G3369" i="1"/>
  <c r="AH3367" i="1"/>
  <c r="J3366" i="1"/>
  <c r="AI3364" i="1"/>
  <c r="M3363" i="1"/>
  <c r="G3362" i="1"/>
  <c r="AF3360" i="1"/>
  <c r="AH3357" i="1"/>
  <c r="L3356" i="1"/>
  <c r="G3355" i="1"/>
  <c r="AF3353" i="1"/>
  <c r="AF3350" i="1"/>
  <c r="L3349" i="1"/>
  <c r="W3346" i="1"/>
  <c r="G3345" i="1"/>
  <c r="AH3343" i="1"/>
  <c r="J3342" i="1"/>
  <c r="AI3340" i="1"/>
  <c r="M3339" i="1"/>
  <c r="G3338" i="1"/>
  <c r="AF3336" i="1"/>
  <c r="AH3333" i="1"/>
  <c r="L3332" i="1"/>
  <c r="G3331" i="1"/>
  <c r="AF3329" i="1"/>
  <c r="J3328" i="1"/>
  <c r="AH3325" i="1"/>
  <c r="M3324" i="1"/>
  <c r="AI3321" i="1"/>
  <c r="W3320" i="1"/>
  <c r="L3319" i="1"/>
  <c r="G3318" i="1"/>
  <c r="AH3316" i="1"/>
  <c r="M3315" i="1"/>
  <c r="AF3311" i="1"/>
  <c r="J3310" i="1"/>
  <c r="AH3307" i="1"/>
  <c r="M3306" i="1"/>
  <c r="AI3303" i="1"/>
  <c r="W3302" i="1"/>
  <c r="L3301" i="1"/>
  <c r="G3300" i="1"/>
  <c r="AH3298" i="1"/>
  <c r="M3297" i="1"/>
  <c r="AF3293" i="1"/>
  <c r="J3292" i="1"/>
  <c r="AH3289" i="1"/>
  <c r="M3288" i="1"/>
  <c r="AI3285" i="1"/>
  <c r="W3284" i="1"/>
  <c r="L3283" i="1"/>
  <c r="G3282" i="1"/>
  <c r="AH3280" i="1"/>
  <c r="M3279" i="1"/>
  <c r="AH3275" i="1"/>
  <c r="W3274" i="1"/>
  <c r="L3273" i="1"/>
  <c r="AH3269" i="1"/>
  <c r="W3268" i="1"/>
  <c r="L3267" i="1"/>
  <c r="AH3263" i="1"/>
  <c r="W3262" i="1"/>
  <c r="L3261" i="1"/>
  <c r="AH3257" i="1"/>
  <c r="W3256" i="1"/>
  <c r="L3255" i="1"/>
  <c r="AH3251" i="1"/>
  <c r="W3250" i="1"/>
  <c r="L3249" i="1"/>
  <c r="AH3245" i="1"/>
  <c r="W3244" i="1"/>
  <c r="L3243" i="1"/>
  <c r="AH3239" i="1"/>
  <c r="W3238" i="1"/>
  <c r="L3237" i="1"/>
  <c r="AH3233" i="1"/>
  <c r="W3232" i="1"/>
  <c r="L3231" i="1"/>
  <c r="AH3227" i="1"/>
  <c r="W3226" i="1"/>
  <c r="L3225" i="1"/>
  <c r="AH3221" i="1"/>
  <c r="W3220" i="1"/>
  <c r="L3219" i="1"/>
  <c r="AH3215" i="1"/>
  <c r="W3214" i="1"/>
  <c r="L3213" i="1"/>
  <c r="AH3209" i="1"/>
  <c r="W3208" i="1"/>
  <c r="L3207" i="1"/>
  <c r="AH3203" i="1"/>
  <c r="W3202" i="1"/>
  <c r="L3201" i="1"/>
  <c r="AH3197" i="1"/>
  <c r="W3196" i="1"/>
  <c r="L3195" i="1"/>
  <c r="AH3191" i="1"/>
  <c r="W3190" i="1"/>
  <c r="L3189" i="1"/>
  <c r="AH3185" i="1"/>
  <c r="W3184" i="1"/>
  <c r="L3183" i="1"/>
  <c r="AH3179" i="1"/>
  <c r="W3178" i="1"/>
  <c r="L3177" i="1"/>
  <c r="AH3173" i="1"/>
  <c r="W3172" i="1"/>
  <c r="L3171" i="1"/>
  <c r="AH3167" i="1"/>
  <c r="W3166" i="1"/>
  <c r="L3165" i="1"/>
  <c r="AH3161" i="1"/>
  <c r="W3160" i="1"/>
  <c r="L3159" i="1"/>
  <c r="AH3155" i="1"/>
  <c r="W3154" i="1"/>
  <c r="L3153" i="1"/>
  <c r="AH3149" i="1"/>
  <c r="W3148" i="1"/>
  <c r="L3147" i="1"/>
  <c r="AH3143" i="1"/>
  <c r="W3142" i="1"/>
  <c r="L3141" i="1"/>
  <c r="AH3137" i="1"/>
  <c r="W3136" i="1"/>
  <c r="L3135" i="1"/>
  <c r="AH3131" i="1"/>
  <c r="W3130" i="1"/>
  <c r="L3129" i="1"/>
  <c r="AH3125" i="1"/>
  <c r="W3124" i="1"/>
  <c r="L3123" i="1"/>
  <c r="AH3119" i="1"/>
  <c r="W3118" i="1"/>
  <c r="L3117" i="1"/>
  <c r="AH3113" i="1"/>
  <c r="W3112" i="1"/>
  <c r="L3111" i="1"/>
  <c r="AH3107" i="1"/>
  <c r="W3106" i="1"/>
  <c r="L3105" i="1"/>
  <c r="AH3101" i="1"/>
  <c r="W3100" i="1"/>
  <c r="L3099" i="1"/>
  <c r="AH3095" i="1"/>
  <c r="W3094" i="1"/>
  <c r="L3093" i="1"/>
  <c r="AH3089" i="1"/>
  <c r="W3088" i="1"/>
  <c r="L3087" i="1"/>
  <c r="AH3083" i="1"/>
  <c r="W3082" i="1"/>
  <c r="L3081" i="1"/>
  <c r="AH3077" i="1"/>
  <c r="W3076" i="1"/>
  <c r="L3075" i="1"/>
  <c r="AH3071" i="1"/>
  <c r="W3070" i="1"/>
  <c r="L3069" i="1"/>
  <c r="AH3065" i="1"/>
  <c r="W3064" i="1"/>
  <c r="L3063" i="1"/>
  <c r="AH3059" i="1"/>
  <c r="W3058" i="1"/>
  <c r="L3057" i="1"/>
  <c r="AH3053" i="1"/>
  <c r="W3052" i="1"/>
  <c r="L3051" i="1"/>
  <c r="AH3047" i="1"/>
  <c r="W3046" i="1"/>
  <c r="L3045" i="1"/>
  <c r="AH3041" i="1"/>
  <c r="W3040" i="1"/>
  <c r="L3039" i="1"/>
  <c r="AH3035" i="1"/>
  <c r="W3034" i="1"/>
  <c r="L3033" i="1"/>
  <c r="AH3029" i="1"/>
  <c r="W3028" i="1"/>
  <c r="L3027" i="1"/>
  <c r="AH3023" i="1"/>
  <c r="W3022" i="1"/>
  <c r="L3021" i="1"/>
  <c r="AH3017" i="1"/>
  <c r="W3016" i="1"/>
  <c r="L3015" i="1"/>
  <c r="AH3011" i="1"/>
  <c r="W3010" i="1"/>
  <c r="L3009" i="1"/>
  <c r="AH3005" i="1"/>
  <c r="W3004" i="1"/>
  <c r="L3003" i="1"/>
  <c r="AH2999" i="1"/>
  <c r="AH4289" i="1"/>
  <c r="J4182" i="1"/>
  <c r="AF4158" i="1"/>
  <c r="AH4134" i="1"/>
  <c r="L4119" i="1"/>
  <c r="W4099" i="1"/>
  <c r="M4092" i="1"/>
  <c r="AI4078" i="1"/>
  <c r="AI4001" i="1"/>
  <c r="L3988" i="1"/>
  <c r="L3946" i="1"/>
  <c r="W3927" i="1"/>
  <c r="W3908" i="1"/>
  <c r="AH3891" i="1"/>
  <c r="G3886" i="1"/>
  <c r="J3882" i="1"/>
  <c r="M3857" i="1"/>
  <c r="L3851" i="1"/>
  <c r="W3827" i="1"/>
  <c r="AH3798" i="1"/>
  <c r="AF3794" i="1"/>
  <c r="AH3789" i="1"/>
  <c r="AI3785" i="1"/>
  <c r="J3781" i="1"/>
  <c r="J3772" i="1"/>
  <c r="G3768" i="1"/>
  <c r="J3763" i="1"/>
  <c r="G3749" i="1"/>
  <c r="G3745" i="1"/>
  <c r="M3740" i="1"/>
  <c r="L3732" i="1"/>
  <c r="M3728" i="1"/>
  <c r="AH3723" i="1"/>
  <c r="G3720" i="1"/>
  <c r="M3715" i="1"/>
  <c r="AH3711" i="1"/>
  <c r="J3708" i="1"/>
  <c r="L3704" i="1"/>
  <c r="L3692" i="1"/>
  <c r="J3684" i="1"/>
  <c r="AH3673" i="1"/>
  <c r="AI3666" i="1"/>
  <c r="AH3663" i="1"/>
  <c r="L3653" i="1"/>
  <c r="J3650" i="1"/>
  <c r="M3646" i="1"/>
  <c r="AH3643" i="1"/>
  <c r="J3634" i="1"/>
  <c r="AF3631" i="1"/>
  <c r="W3625" i="1"/>
  <c r="W3622" i="1"/>
  <c r="L3619" i="1"/>
  <c r="G3616" i="1"/>
  <c r="AI3612" i="1"/>
  <c r="AF3602" i="1"/>
  <c r="L3599" i="1"/>
  <c r="AH3596" i="1"/>
  <c r="L3593" i="1"/>
  <c r="W3590" i="1"/>
  <c r="G3585" i="1"/>
  <c r="W3582" i="1"/>
  <c r="G3579" i="1"/>
  <c r="AF3576" i="1"/>
  <c r="G3570" i="1"/>
  <c r="AI3566" i="1"/>
  <c r="L3558" i="1"/>
  <c r="M3552" i="1"/>
  <c r="W3549" i="1"/>
  <c r="AF3546" i="1"/>
  <c r="J3544" i="1"/>
  <c r="AI3541" i="1"/>
  <c r="M3539" i="1"/>
  <c r="AI3536" i="1"/>
  <c r="AF3534" i="1"/>
  <c r="J3532" i="1"/>
  <c r="J3528" i="1"/>
  <c r="AI3525" i="1"/>
  <c r="AF3521" i="1"/>
  <c r="L3519" i="1"/>
  <c r="W3517" i="1"/>
  <c r="M3515" i="1"/>
  <c r="W3513" i="1"/>
  <c r="M3511" i="1"/>
  <c r="M3509" i="1"/>
  <c r="J3507" i="1"/>
  <c r="AI3504" i="1"/>
  <c r="G3503" i="1"/>
  <c r="AI3500" i="1"/>
  <c r="W3496" i="1"/>
  <c r="W3494" i="1"/>
  <c r="W3492" i="1"/>
  <c r="L3490" i="1"/>
  <c r="G3482" i="1"/>
  <c r="G3478" i="1"/>
  <c r="AI3475" i="1"/>
  <c r="AH3471" i="1"/>
  <c r="W3469" i="1"/>
  <c r="AH3467" i="1"/>
  <c r="AF3465" i="1"/>
  <c r="AI3459" i="1"/>
  <c r="M3454" i="1"/>
  <c r="M3452" i="1"/>
  <c r="L3450" i="1"/>
  <c r="AF3448" i="1"/>
  <c r="AF3446" i="1"/>
  <c r="J3439" i="1"/>
  <c r="L3435" i="1"/>
  <c r="M3433" i="1"/>
  <c r="AH3431" i="1"/>
  <c r="AF3429" i="1"/>
  <c r="AI3423" i="1"/>
  <c r="M3418" i="1"/>
  <c r="M3416" i="1"/>
  <c r="L3414" i="1"/>
  <c r="AF3412" i="1"/>
  <c r="AF3410" i="1"/>
  <c r="J3403" i="1"/>
  <c r="L3399" i="1"/>
  <c r="M3397" i="1"/>
  <c r="AH3395" i="1"/>
  <c r="AI3393" i="1"/>
  <c r="M3392" i="1"/>
  <c r="AH3389" i="1"/>
  <c r="J3388" i="1"/>
  <c r="AH3386" i="1"/>
  <c r="M3385" i="1"/>
  <c r="G3384" i="1"/>
  <c r="AF3382" i="1"/>
  <c r="J3381" i="1"/>
  <c r="AI3379" i="1"/>
  <c r="L3378" i="1"/>
  <c r="W3375" i="1"/>
  <c r="AI3372" i="1"/>
  <c r="L3371" i="1"/>
  <c r="AI3369" i="1"/>
  <c r="M3368" i="1"/>
  <c r="AH3365" i="1"/>
  <c r="J3364" i="1"/>
  <c r="AH3362" i="1"/>
  <c r="M3361" i="1"/>
  <c r="G3360" i="1"/>
  <c r="AF3358" i="1"/>
  <c r="J3357" i="1"/>
  <c r="AI3355" i="1"/>
  <c r="L3354" i="1"/>
  <c r="W3351" i="1"/>
  <c r="AI3348" i="1"/>
  <c r="L3347" i="1"/>
  <c r="AI3345" i="1"/>
  <c r="M3344" i="1"/>
  <c r="AH3341" i="1"/>
  <c r="J3340" i="1"/>
  <c r="AH3338" i="1"/>
  <c r="M3337" i="1"/>
  <c r="G3336" i="1"/>
  <c r="AF3334" i="1"/>
  <c r="J3333" i="1"/>
  <c r="AI3331" i="1"/>
  <c r="L3330" i="1"/>
  <c r="G3329" i="1"/>
  <c r="AH3327" i="1"/>
  <c r="M3326" i="1"/>
  <c r="J3325" i="1"/>
  <c r="AF3322" i="1"/>
  <c r="L3321" i="1"/>
  <c r="G3320" i="1"/>
  <c r="AI3318" i="1"/>
  <c r="M3317" i="1"/>
  <c r="AI3314" i="1"/>
  <c r="AF3313" i="1"/>
  <c r="L3312" i="1"/>
  <c r="G3311" i="1"/>
  <c r="AH3309" i="1"/>
  <c r="M3308" i="1"/>
  <c r="J3307" i="1"/>
  <c r="AF3304" i="1"/>
  <c r="L3303" i="1"/>
  <c r="G3302" i="1"/>
  <c r="AI3300" i="1"/>
  <c r="M3299" i="1"/>
  <c r="AI3296" i="1"/>
  <c r="AF3295" i="1"/>
  <c r="L3294" i="1"/>
  <c r="G3293" i="1"/>
  <c r="AH3291" i="1"/>
  <c r="M3290" i="1"/>
  <c r="J3289" i="1"/>
  <c r="AF3286" i="1"/>
  <c r="L3285" i="1"/>
  <c r="G3284" i="1"/>
  <c r="AI3282" i="1"/>
  <c r="M3281" i="1"/>
  <c r="AI3278" i="1"/>
  <c r="AF3277" i="1"/>
  <c r="M3276" i="1"/>
  <c r="J3275" i="1"/>
  <c r="G3274" i="1"/>
  <c r="AI3272" i="1"/>
  <c r="AF3271" i="1"/>
  <c r="M3270" i="1"/>
  <c r="J3269" i="1"/>
  <c r="G3268" i="1"/>
  <c r="AI3266" i="1"/>
  <c r="AF3265" i="1"/>
  <c r="M3264" i="1"/>
  <c r="J3263" i="1"/>
  <c r="G3262" i="1"/>
  <c r="AI3260" i="1"/>
  <c r="AF3259" i="1"/>
  <c r="M3258" i="1"/>
  <c r="J3257" i="1"/>
  <c r="G3256" i="1"/>
  <c r="AI3254" i="1"/>
  <c r="AF3253" i="1"/>
  <c r="M3252" i="1"/>
  <c r="J3251" i="1"/>
  <c r="G3250" i="1"/>
  <c r="AI3248" i="1"/>
  <c r="AF3247" i="1"/>
  <c r="M3246" i="1"/>
  <c r="J3245" i="1"/>
  <c r="G3244" i="1"/>
  <c r="AI3242" i="1"/>
  <c r="AF3241" i="1"/>
  <c r="M3240" i="1"/>
  <c r="J3239" i="1"/>
  <c r="G3238" i="1"/>
  <c r="AI3236" i="1"/>
  <c r="AF3235" i="1"/>
  <c r="M3234" i="1"/>
  <c r="J3233" i="1"/>
  <c r="G3232" i="1"/>
  <c r="AI3230" i="1"/>
  <c r="AF3229" i="1"/>
  <c r="M3228" i="1"/>
  <c r="J3227" i="1"/>
  <c r="G3226" i="1"/>
  <c r="AI3224" i="1"/>
  <c r="AF3223" i="1"/>
  <c r="M3222" i="1"/>
  <c r="J3221" i="1"/>
  <c r="G3220" i="1"/>
  <c r="AI3218" i="1"/>
  <c r="AF3217" i="1"/>
  <c r="M3216" i="1"/>
  <c r="J3215" i="1"/>
  <c r="G3214" i="1"/>
  <c r="AI3212" i="1"/>
  <c r="AF3211" i="1"/>
  <c r="M3210" i="1"/>
  <c r="J3209" i="1"/>
  <c r="G3208" i="1"/>
  <c r="AI3206" i="1"/>
  <c r="AF3205" i="1"/>
  <c r="M3204" i="1"/>
  <c r="J3203" i="1"/>
  <c r="G3202" i="1"/>
  <c r="AI3200" i="1"/>
  <c r="AF3199" i="1"/>
  <c r="M3198" i="1"/>
  <c r="J3197" i="1"/>
  <c r="G3196" i="1"/>
  <c r="AI3194" i="1"/>
  <c r="AF3193" i="1"/>
  <c r="M3192" i="1"/>
  <c r="J3191" i="1"/>
  <c r="G3190" i="1"/>
  <c r="AI3188" i="1"/>
  <c r="AF3187" i="1"/>
  <c r="M3186" i="1"/>
  <c r="J3185" i="1"/>
  <c r="G3184" i="1"/>
  <c r="AI3182" i="1"/>
  <c r="AF3181" i="1"/>
  <c r="M3180" i="1"/>
  <c r="J3179" i="1"/>
  <c r="G3178" i="1"/>
  <c r="AI3176" i="1"/>
  <c r="AF3175" i="1"/>
  <c r="M3174" i="1"/>
  <c r="J3173" i="1"/>
  <c r="G3172" i="1"/>
  <c r="AI3170" i="1"/>
  <c r="AF3169" i="1"/>
  <c r="M3168" i="1"/>
  <c r="J3167" i="1"/>
  <c r="G3166" i="1"/>
  <c r="AI3164" i="1"/>
  <c r="AF3163" i="1"/>
  <c r="M3162" i="1"/>
  <c r="J3161" i="1"/>
  <c r="G3160" i="1"/>
  <c r="AI3158" i="1"/>
  <c r="AF3157" i="1"/>
  <c r="M3156" i="1"/>
  <c r="J3155" i="1"/>
  <c r="G3154" i="1"/>
  <c r="AI3152" i="1"/>
  <c r="AF3151" i="1"/>
  <c r="M3150" i="1"/>
  <c r="J3149" i="1"/>
  <c r="G3148" i="1"/>
  <c r="AI3146" i="1"/>
  <c r="AF3145" i="1"/>
  <c r="M3144" i="1"/>
  <c r="J3143" i="1"/>
  <c r="G3142" i="1"/>
  <c r="AI3140" i="1"/>
  <c r="AF3139" i="1"/>
  <c r="M3138" i="1"/>
  <c r="J3137" i="1"/>
  <c r="G3136" i="1"/>
  <c r="AI3134" i="1"/>
  <c r="AF3133" i="1"/>
  <c r="M3132" i="1"/>
  <c r="J3131" i="1"/>
  <c r="G3130" i="1"/>
  <c r="AI3128" i="1"/>
  <c r="AF3127" i="1"/>
  <c r="M3126" i="1"/>
  <c r="J3125" i="1"/>
  <c r="G3124" i="1"/>
  <c r="AI3122" i="1"/>
  <c r="AF3121" i="1"/>
  <c r="M3120" i="1"/>
  <c r="J3119" i="1"/>
  <c r="G3118" i="1"/>
  <c r="AI3116" i="1"/>
  <c r="AF3115" i="1"/>
  <c r="M3114" i="1"/>
  <c r="J3113" i="1"/>
  <c r="G3112" i="1"/>
  <c r="AI3110" i="1"/>
  <c r="AF3109" i="1"/>
  <c r="M3108" i="1"/>
  <c r="J3107" i="1"/>
  <c r="G3106" i="1"/>
  <c r="AI3104" i="1"/>
  <c r="AF3103" i="1"/>
  <c r="M3102" i="1"/>
  <c r="J3101" i="1"/>
  <c r="G3100" i="1"/>
  <c r="AI3098" i="1"/>
  <c r="AF3097" i="1"/>
  <c r="M3096" i="1"/>
  <c r="J3095" i="1"/>
  <c r="G3094" i="1"/>
  <c r="AI3092" i="1"/>
  <c r="AF3091" i="1"/>
  <c r="M3090" i="1"/>
  <c r="J3089" i="1"/>
  <c r="G3088" i="1"/>
  <c r="AI3086" i="1"/>
  <c r="AF3085" i="1"/>
  <c r="M3084" i="1"/>
  <c r="J3083" i="1"/>
  <c r="G3082" i="1"/>
  <c r="AI3080" i="1"/>
  <c r="AF3079" i="1"/>
  <c r="M3078" i="1"/>
  <c r="J3077" i="1"/>
  <c r="G3076" i="1"/>
  <c r="AI3074" i="1"/>
  <c r="AF3073" i="1"/>
  <c r="M3072" i="1"/>
  <c r="J3071" i="1"/>
  <c r="G3070" i="1"/>
  <c r="AI3068" i="1"/>
  <c r="AF3067" i="1"/>
  <c r="M3066" i="1"/>
  <c r="J3065" i="1"/>
  <c r="G3064" i="1"/>
  <c r="AI3062" i="1"/>
  <c r="AF3061" i="1"/>
  <c r="M3060" i="1"/>
  <c r="J3059" i="1"/>
  <c r="G3058" i="1"/>
  <c r="AI3056" i="1"/>
  <c r="AF3055" i="1"/>
  <c r="M3054" i="1"/>
  <c r="J3053" i="1"/>
  <c r="G3052" i="1"/>
  <c r="AI3050" i="1"/>
  <c r="AF3049" i="1"/>
  <c r="M3048" i="1"/>
  <c r="J3047" i="1"/>
  <c r="G3046" i="1"/>
  <c r="AI3044" i="1"/>
  <c r="AF3043" i="1"/>
  <c r="M3042" i="1"/>
  <c r="J3041" i="1"/>
  <c r="G3040" i="1"/>
  <c r="AI3038" i="1"/>
  <c r="AF3037" i="1"/>
  <c r="M3036" i="1"/>
  <c r="J3035" i="1"/>
  <c r="G3034" i="1"/>
  <c r="AI3032" i="1"/>
  <c r="AF3031" i="1"/>
  <c r="M3030" i="1"/>
  <c r="J3029" i="1"/>
  <c r="J4041" i="1"/>
  <c r="W4022" i="1"/>
  <c r="L3996" i="1"/>
  <c r="J3988" i="1"/>
  <c r="AI3961" i="1"/>
  <c r="W3929" i="1"/>
  <c r="J3921" i="1"/>
  <c r="AF3913" i="1"/>
  <c r="L3898" i="1"/>
  <c r="AI3891" i="1"/>
  <c r="AI3877" i="1"/>
  <c r="M3870" i="1"/>
  <c r="L3847" i="1"/>
  <c r="G3840" i="1"/>
  <c r="L3833" i="1"/>
  <c r="L3784" i="1"/>
  <c r="G3778" i="1"/>
  <c r="G3772" i="1"/>
  <c r="J3765" i="1"/>
  <c r="AI3752" i="1"/>
  <c r="J3734" i="1"/>
  <c r="AH3728" i="1"/>
  <c r="L3723" i="1"/>
  <c r="AH3716" i="1"/>
  <c r="M3711" i="1"/>
  <c r="L3684" i="1"/>
  <c r="J3680" i="1"/>
  <c r="M3664" i="1"/>
  <c r="AI3654" i="1"/>
  <c r="W3644" i="1"/>
  <c r="AH3627" i="1"/>
  <c r="AF3613" i="1"/>
  <c r="AI3608" i="1"/>
  <c r="M3599" i="1"/>
  <c r="AI3590" i="1"/>
  <c r="AF3582" i="1"/>
  <c r="W3573" i="1"/>
  <c r="G3564" i="1"/>
  <c r="M3560" i="1"/>
  <c r="G3556" i="1"/>
  <c r="AF3547" i="1"/>
  <c r="M3536" i="1"/>
  <c r="M3532" i="1"/>
  <c r="AH3529" i="1"/>
  <c r="M3526" i="1"/>
  <c r="L3523" i="1"/>
  <c r="L3517" i="1"/>
  <c r="AI3513" i="1"/>
  <c r="G3510" i="1"/>
  <c r="M3503" i="1"/>
  <c r="W3500" i="1"/>
  <c r="L3494" i="1"/>
  <c r="W3490" i="1"/>
  <c r="AF3487" i="1"/>
  <c r="W3484" i="1"/>
  <c r="M3481" i="1"/>
  <c r="W3478" i="1"/>
  <c r="AF3475" i="1"/>
  <c r="M3469" i="1"/>
  <c r="M3466" i="1"/>
  <c r="AF3461" i="1"/>
  <c r="M3458" i="1"/>
  <c r="G3449" i="1"/>
  <c r="J3446" i="1"/>
  <c r="AF3443" i="1"/>
  <c r="AI3437" i="1"/>
  <c r="J3429" i="1"/>
  <c r="J3426" i="1"/>
  <c r="AH3423" i="1"/>
  <c r="AI3420" i="1"/>
  <c r="AH3417" i="1"/>
  <c r="AI3414" i="1"/>
  <c r="L3411" i="1"/>
  <c r="W3406" i="1"/>
  <c r="M3403" i="1"/>
  <c r="L3397" i="1"/>
  <c r="W3394" i="1"/>
  <c r="J3392" i="1"/>
  <c r="AI3387" i="1"/>
  <c r="L3385" i="1"/>
  <c r="W3378" i="1"/>
  <c r="AF3376" i="1"/>
  <c r="J3374" i="1"/>
  <c r="AI3371" i="1"/>
  <c r="AF3369" i="1"/>
  <c r="L3367" i="1"/>
  <c r="AF3362" i="1"/>
  <c r="L3360" i="1"/>
  <c r="J3358" i="1"/>
  <c r="M3353" i="1"/>
  <c r="M3351" i="1"/>
  <c r="G3347" i="1"/>
  <c r="W3344" i="1"/>
  <c r="AH3337" i="1"/>
  <c r="AH3335" i="1"/>
  <c r="L3333" i="1"/>
  <c r="AI3330" i="1"/>
  <c r="AI3328" i="1"/>
  <c r="AF3326" i="1"/>
  <c r="AH3322" i="1"/>
  <c r="M3320" i="1"/>
  <c r="W3318" i="1"/>
  <c r="M3316" i="1"/>
  <c r="G3314" i="1"/>
  <c r="J3312" i="1"/>
  <c r="G3310" i="1"/>
  <c r="J3308" i="1"/>
  <c r="J3304" i="1"/>
  <c r="AI3299" i="1"/>
  <c r="AH3295" i="1"/>
  <c r="AF3291" i="1"/>
  <c r="AF3289" i="1"/>
  <c r="AI3287" i="1"/>
  <c r="AF3285" i="1"/>
  <c r="AH3283" i="1"/>
  <c r="L3281" i="1"/>
  <c r="J3279" i="1"/>
  <c r="L3277" i="1"/>
  <c r="M3275" i="1"/>
  <c r="J3273" i="1"/>
  <c r="M3271" i="1"/>
  <c r="W3269" i="1"/>
  <c r="AH3267" i="1"/>
  <c r="W3265" i="1"/>
  <c r="AF3263" i="1"/>
  <c r="AI3261" i="1"/>
  <c r="AH3259" i="1"/>
  <c r="AI3253" i="1"/>
  <c r="J3246" i="1"/>
  <c r="J3244" i="1"/>
  <c r="G3242" i="1"/>
  <c r="L3240" i="1"/>
  <c r="L3238" i="1"/>
  <c r="W3236" i="1"/>
  <c r="W3234" i="1"/>
  <c r="M3232" i="1"/>
  <c r="AF3230" i="1"/>
  <c r="AF3228" i="1"/>
  <c r="AH3224" i="1"/>
  <c r="AH3222" i="1"/>
  <c r="G3221" i="1"/>
  <c r="AI3216" i="1"/>
  <c r="G3213" i="1"/>
  <c r="L3209" i="1"/>
  <c r="L3205" i="1"/>
  <c r="M3203" i="1"/>
  <c r="J3201" i="1"/>
  <c r="M3199" i="1"/>
  <c r="W3197" i="1"/>
  <c r="AH3195" i="1"/>
  <c r="W3193" i="1"/>
  <c r="AF3191" i="1"/>
  <c r="AI3189" i="1"/>
  <c r="AH3187" i="1"/>
  <c r="AI3181" i="1"/>
  <c r="J3174" i="1"/>
  <c r="J3172" i="1"/>
  <c r="G3170" i="1"/>
  <c r="L3168" i="1"/>
  <c r="L3166" i="1"/>
  <c r="W3164" i="1"/>
  <c r="W3162" i="1"/>
  <c r="M3160" i="1"/>
  <c r="AF3158" i="1"/>
  <c r="AF3156" i="1"/>
  <c r="AH3152" i="1"/>
  <c r="AH3150" i="1"/>
  <c r="G3149" i="1"/>
  <c r="AI3144" i="1"/>
  <c r="G3141" i="1"/>
  <c r="L3137" i="1"/>
  <c r="L3133" i="1"/>
  <c r="M3131" i="1"/>
  <c r="J3129" i="1"/>
  <c r="M3127" i="1"/>
  <c r="W3125" i="1"/>
  <c r="AH3123" i="1"/>
  <c r="W3121" i="1"/>
  <c r="AF3119" i="1"/>
  <c r="AI3117" i="1"/>
  <c r="AH3115" i="1"/>
  <c r="AI3109" i="1"/>
  <c r="J3102" i="1"/>
  <c r="J3100" i="1"/>
  <c r="G3098" i="1"/>
  <c r="L3096" i="1"/>
  <c r="L3094" i="1"/>
  <c r="W3092" i="1"/>
  <c r="W3090" i="1"/>
  <c r="M3088" i="1"/>
  <c r="AF3086" i="1"/>
  <c r="AF3084" i="1"/>
  <c r="AH3080" i="1"/>
  <c r="AH3078" i="1"/>
  <c r="G3077" i="1"/>
  <c r="AI3072" i="1"/>
  <c r="G3069" i="1"/>
  <c r="L3065" i="1"/>
  <c r="L3061" i="1"/>
  <c r="M3059" i="1"/>
  <c r="J3057" i="1"/>
  <c r="M3055" i="1"/>
  <c r="W3053" i="1"/>
  <c r="AH3051" i="1"/>
  <c r="W3049" i="1"/>
  <c r="AF3047" i="1"/>
  <c r="AI3045" i="1"/>
  <c r="AH3043" i="1"/>
  <c r="J3040" i="1"/>
  <c r="W3038" i="1"/>
  <c r="AH3036" i="1"/>
  <c r="G3035" i="1"/>
  <c r="M3031" i="1"/>
  <c r="AI3029" i="1"/>
  <c r="J3028" i="1"/>
  <c r="AI3026" i="1"/>
  <c r="M3025" i="1"/>
  <c r="AF3022" i="1"/>
  <c r="AH3019" i="1"/>
  <c r="M3018" i="1"/>
  <c r="G3017" i="1"/>
  <c r="W3015" i="1"/>
  <c r="G3014" i="1"/>
  <c r="AH3012" i="1"/>
  <c r="L3011" i="1"/>
  <c r="W3008" i="1"/>
  <c r="G3007" i="1"/>
  <c r="AF3005" i="1"/>
  <c r="J3004" i="1"/>
  <c r="AI3002" i="1"/>
  <c r="M3001" i="1"/>
  <c r="AF2998" i="1"/>
  <c r="L2997" i="1"/>
  <c r="G2996" i="1"/>
  <c r="AH2994" i="1"/>
  <c r="M2993" i="1"/>
  <c r="AI2990" i="1"/>
  <c r="W2989" i="1"/>
  <c r="J2988" i="1"/>
  <c r="W2985" i="1"/>
  <c r="J2984" i="1"/>
  <c r="AF2981" i="1"/>
  <c r="L2980" i="1"/>
  <c r="G2979" i="1"/>
  <c r="AH2977" i="1"/>
  <c r="M2976" i="1"/>
  <c r="AI2973" i="1"/>
  <c r="W2972" i="1"/>
  <c r="AI2969" i="1"/>
  <c r="W2968" i="1"/>
  <c r="J2967" i="1"/>
  <c r="AF2964" i="1"/>
  <c r="L2963" i="1"/>
  <c r="G2962" i="1"/>
  <c r="AH2960" i="1"/>
  <c r="M2959" i="1"/>
  <c r="AH2956" i="1"/>
  <c r="M2955" i="1"/>
  <c r="AI2952" i="1"/>
  <c r="W2951" i="1"/>
  <c r="J2950" i="1"/>
  <c r="AH2947" i="1"/>
  <c r="W2946" i="1"/>
  <c r="L2945" i="1"/>
  <c r="AH2941" i="1"/>
  <c r="W2940" i="1"/>
  <c r="L2939" i="1"/>
  <c r="AH2935" i="1"/>
  <c r="W2934" i="1"/>
  <c r="L2933" i="1"/>
  <c r="AH2929" i="1"/>
  <c r="W2928" i="1"/>
  <c r="L2927" i="1"/>
  <c r="AH2923" i="1"/>
  <c r="W2922" i="1"/>
  <c r="L2921" i="1"/>
  <c r="AH2917" i="1"/>
  <c r="W2916" i="1"/>
  <c r="L2915" i="1"/>
  <c r="AH2911" i="1"/>
  <c r="W2910" i="1"/>
  <c r="L2909" i="1"/>
  <c r="AH2905" i="1"/>
  <c r="W2904" i="1"/>
  <c r="L2903" i="1"/>
  <c r="AH2899" i="1"/>
  <c r="W2898" i="1"/>
  <c r="L2897" i="1"/>
  <c r="AH2893" i="1"/>
  <c r="W2892" i="1"/>
  <c r="L2891" i="1"/>
  <c r="AH2887" i="1"/>
  <c r="W2886" i="1"/>
  <c r="L2885" i="1"/>
  <c r="AH2881" i="1"/>
  <c r="W2880" i="1"/>
  <c r="L2879" i="1"/>
  <c r="AH2875" i="1"/>
  <c r="W2874" i="1"/>
  <c r="L2873" i="1"/>
  <c r="AH2869" i="1"/>
  <c r="W2868" i="1"/>
  <c r="L2867" i="1"/>
  <c r="AH2863" i="1"/>
  <c r="W2862" i="1"/>
  <c r="L2861" i="1"/>
  <c r="AH2857" i="1"/>
  <c r="W2856" i="1"/>
  <c r="L2855" i="1"/>
  <c r="AH2851" i="1"/>
  <c r="W2850" i="1"/>
  <c r="L2849" i="1"/>
  <c r="AH2845" i="1"/>
  <c r="W2844" i="1"/>
  <c r="L2843" i="1"/>
  <c r="AH2839" i="1"/>
  <c r="W2838" i="1"/>
  <c r="L2837" i="1"/>
  <c r="AH2833" i="1"/>
  <c r="W2832" i="1"/>
  <c r="L2831" i="1"/>
  <c r="AH2827" i="1"/>
  <c r="W2826" i="1"/>
  <c r="L2825" i="1"/>
  <c r="AH2821" i="1"/>
  <c r="W2820" i="1"/>
  <c r="L2819" i="1"/>
  <c r="AH2815" i="1"/>
  <c r="W2814" i="1"/>
  <c r="L2813" i="1"/>
  <c r="AH2809" i="1"/>
  <c r="W2808" i="1"/>
  <c r="L2807" i="1"/>
  <c r="AH2803" i="1"/>
  <c r="W2802" i="1"/>
  <c r="L2801" i="1"/>
  <c r="AH2797" i="1"/>
  <c r="W2796" i="1"/>
  <c r="L2795" i="1"/>
  <c r="AH2791" i="1"/>
  <c r="W2790" i="1"/>
  <c r="L2789" i="1"/>
  <c r="AH2785" i="1"/>
  <c r="W2784" i="1"/>
  <c r="L2783" i="1"/>
  <c r="AH2779" i="1"/>
  <c r="W2778" i="1"/>
  <c r="L2777" i="1"/>
  <c r="AH2773" i="1"/>
  <c r="W2772" i="1"/>
  <c r="L2771" i="1"/>
  <c r="AH2767" i="1"/>
  <c r="W2766" i="1"/>
  <c r="L2765" i="1"/>
  <c r="AH2761" i="1"/>
  <c r="W2760" i="1"/>
  <c r="L2759" i="1"/>
  <c r="AH2755" i="1"/>
  <c r="W2754" i="1"/>
  <c r="L2753" i="1"/>
  <c r="AH2749" i="1"/>
  <c r="W2748" i="1"/>
  <c r="L2747" i="1"/>
  <c r="AH2743" i="1"/>
  <c r="W2742" i="1"/>
  <c r="L2741" i="1"/>
  <c r="AH2737" i="1"/>
  <c r="W2736" i="1"/>
  <c r="L2735" i="1"/>
  <c r="AH2731" i="1"/>
  <c r="W2730" i="1"/>
  <c r="L2729" i="1"/>
  <c r="AH2725" i="1"/>
  <c r="W2724" i="1"/>
  <c r="L2723" i="1"/>
  <c r="AH2719" i="1"/>
  <c r="W2718" i="1"/>
  <c r="L2717" i="1"/>
  <c r="AH2713" i="1"/>
  <c r="W2712" i="1"/>
  <c r="L2711" i="1"/>
  <c r="AH2707" i="1"/>
  <c r="W2706" i="1"/>
  <c r="L2705" i="1"/>
  <c r="AH2701" i="1"/>
  <c r="W2700" i="1"/>
  <c r="L2699" i="1"/>
  <c r="AH2695" i="1"/>
  <c r="W2694" i="1"/>
  <c r="L2693" i="1"/>
  <c r="AH2689" i="1"/>
  <c r="W2688" i="1"/>
  <c r="L2687" i="1"/>
  <c r="AH2683" i="1"/>
  <c r="W2682" i="1"/>
  <c r="L2681" i="1"/>
  <c r="AH2677" i="1"/>
  <c r="W2676" i="1"/>
  <c r="L2675" i="1"/>
  <c r="AH2671" i="1"/>
  <c r="W2670" i="1"/>
  <c r="L2669" i="1"/>
  <c r="AH2665" i="1"/>
  <c r="W2664" i="1"/>
  <c r="L2663" i="1"/>
  <c r="AH2659" i="1"/>
  <c r="AI4281" i="1"/>
  <c r="AI4237" i="1"/>
  <c r="J4176" i="1"/>
  <c r="M4159" i="1"/>
  <c r="J3913" i="1"/>
  <c r="AF3904" i="1"/>
  <c r="L3883" i="1"/>
  <c r="L3862" i="1"/>
  <c r="L3811" i="1"/>
  <c r="W3804" i="1"/>
  <c r="AF3789" i="1"/>
  <c r="AH3752" i="1"/>
  <c r="L3745" i="1"/>
  <c r="G3734" i="1"/>
  <c r="L3728" i="1"/>
  <c r="W3716" i="1"/>
  <c r="L3711" i="1"/>
  <c r="AI3705" i="1"/>
  <c r="AI3700" i="1"/>
  <c r="AI3695" i="1"/>
  <c r="AH3689" i="1"/>
  <c r="M3674" i="1"/>
  <c r="AI3669" i="1"/>
  <c r="J3664" i="1"/>
  <c r="AI3659" i="1"/>
  <c r="AF3654" i="1"/>
  <c r="M3644" i="1"/>
  <c r="AI3639" i="1"/>
  <c r="AH3631" i="1"/>
  <c r="G3613" i="1"/>
  <c r="AH3608" i="1"/>
  <c r="AF3603" i="1"/>
  <c r="M3594" i="1"/>
  <c r="M3590" i="1"/>
  <c r="J3586" i="1"/>
  <c r="W3577" i="1"/>
  <c r="L3560" i="1"/>
  <c r="W3551" i="1"/>
  <c r="W3547" i="1"/>
  <c r="G3540" i="1"/>
  <c r="L3536" i="1"/>
  <c r="L3532" i="1"/>
  <c r="AF3529" i="1"/>
  <c r="J3523" i="1"/>
  <c r="G3520" i="1"/>
  <c r="AF3513" i="1"/>
  <c r="AI3506" i="1"/>
  <c r="L3503" i="1"/>
  <c r="M3500" i="1"/>
  <c r="G3497" i="1"/>
  <c r="M3490" i="1"/>
  <c r="G3484" i="1"/>
  <c r="L3481" i="1"/>
  <c r="M3478" i="1"/>
  <c r="W3475" i="1"/>
  <c r="J3472" i="1"/>
  <c r="L3469" i="1"/>
  <c r="W3463" i="1"/>
  <c r="J3458" i="1"/>
  <c r="AI3454" i="1"/>
  <c r="G3452" i="1"/>
  <c r="AH3440" i="1"/>
  <c r="AH3437" i="1"/>
  <c r="AH3434" i="1"/>
  <c r="AI3431" i="1"/>
  <c r="AF3423" i="1"/>
  <c r="L3420" i="1"/>
  <c r="J3414" i="1"/>
  <c r="J3411" i="1"/>
  <c r="AI3408" i="1"/>
  <c r="L3403" i="1"/>
  <c r="AI3399" i="1"/>
  <c r="J3397" i="1"/>
  <c r="M3394" i="1"/>
  <c r="AI3389" i="1"/>
  <c r="L3387" i="1"/>
  <c r="J3385" i="1"/>
  <c r="AI3382" i="1"/>
  <c r="AH3380" i="1"/>
  <c r="J3378" i="1"/>
  <c r="G3374" i="1"/>
  <c r="AH3371" i="1"/>
  <c r="W3369" i="1"/>
  <c r="J3367" i="1"/>
  <c r="AH3364" i="1"/>
  <c r="W3362" i="1"/>
  <c r="J3360" i="1"/>
  <c r="AH3355" i="1"/>
  <c r="L3353" i="1"/>
  <c r="L3351" i="1"/>
  <c r="G3349" i="1"/>
  <c r="L3344" i="1"/>
  <c r="G3342" i="1"/>
  <c r="W3337" i="1"/>
  <c r="G3335" i="1"/>
  <c r="G3333" i="1"/>
  <c r="AF3330" i="1"/>
  <c r="AH3328" i="1"/>
  <c r="W3326" i="1"/>
  <c r="L3324" i="1"/>
  <c r="W3322" i="1"/>
  <c r="L3320" i="1"/>
  <c r="M3318" i="1"/>
  <c r="J3316" i="1"/>
  <c r="G3306" i="1"/>
  <c r="AH3299" i="1"/>
  <c r="AI3297" i="1"/>
  <c r="W3295" i="1"/>
  <c r="M3293" i="1"/>
  <c r="W3291" i="1"/>
  <c r="W3289" i="1"/>
  <c r="AH3287" i="1"/>
  <c r="W3285" i="1"/>
  <c r="J3283" i="1"/>
  <c r="J3281" i="1"/>
  <c r="G3279" i="1"/>
  <c r="L3275" i="1"/>
  <c r="L3271" i="1"/>
  <c r="M3269" i="1"/>
  <c r="J3267" i="1"/>
  <c r="M3265" i="1"/>
  <c r="W3263" i="1"/>
  <c r="AH3261" i="1"/>
  <c r="W3259" i="1"/>
  <c r="AF3257" i="1"/>
  <c r="AI3255" i="1"/>
  <c r="AH3253" i="1"/>
  <c r="AI3247" i="1"/>
  <c r="J3240" i="1"/>
  <c r="J3238" i="1"/>
  <c r="G3236" i="1"/>
  <c r="L3234" i="1"/>
  <c r="L3232" i="1"/>
  <c r="W3230" i="1"/>
  <c r="W3228" i="1"/>
  <c r="M3226" i="1"/>
  <c r="AF3224" i="1"/>
  <c r="AF3222" i="1"/>
  <c r="AH3218" i="1"/>
  <c r="AH3216" i="1"/>
  <c r="G3215" i="1"/>
  <c r="AI3210" i="1"/>
  <c r="G3207" i="1"/>
  <c r="L3203" i="1"/>
  <c r="L3199" i="1"/>
  <c r="M3197" i="1"/>
  <c r="J3195" i="1"/>
  <c r="M3193" i="1"/>
  <c r="W3191" i="1"/>
  <c r="AH3189" i="1"/>
  <c r="W3187" i="1"/>
  <c r="AF3185" i="1"/>
  <c r="AI3183" i="1"/>
  <c r="AH3181" i="1"/>
  <c r="AI3175" i="1"/>
  <c r="J3168" i="1"/>
  <c r="J3166" i="1"/>
  <c r="G3164" i="1"/>
  <c r="L3162" i="1"/>
  <c r="L3160" i="1"/>
  <c r="W3158" i="1"/>
  <c r="W3156" i="1"/>
  <c r="M3154" i="1"/>
  <c r="AF3152" i="1"/>
  <c r="AF3150" i="1"/>
  <c r="AH3146" i="1"/>
  <c r="AH3144" i="1"/>
  <c r="G3143" i="1"/>
  <c r="AI3138" i="1"/>
  <c r="G3135" i="1"/>
  <c r="L3131" i="1"/>
  <c r="L3127" i="1"/>
  <c r="M3125" i="1"/>
  <c r="J3123" i="1"/>
  <c r="M3121" i="1"/>
  <c r="W3119" i="1"/>
  <c r="AH3117" i="1"/>
  <c r="W3115" i="1"/>
  <c r="AF3113" i="1"/>
  <c r="AI3111" i="1"/>
  <c r="AH3109" i="1"/>
  <c r="AI3103" i="1"/>
  <c r="J3096" i="1"/>
  <c r="J3094" i="1"/>
  <c r="G3092" i="1"/>
  <c r="L3090" i="1"/>
  <c r="L3088" i="1"/>
  <c r="W3086" i="1"/>
  <c r="W3084" i="1"/>
  <c r="M3082" i="1"/>
  <c r="AF3080" i="1"/>
  <c r="AF3078" i="1"/>
  <c r="AH3074" i="1"/>
  <c r="AH3072" i="1"/>
  <c r="G3071" i="1"/>
  <c r="AI3066" i="1"/>
  <c r="G3063" i="1"/>
  <c r="L3059" i="1"/>
  <c r="L3055" i="1"/>
  <c r="M3053" i="1"/>
  <c r="J3051" i="1"/>
  <c r="M3049" i="1"/>
  <c r="W3047" i="1"/>
  <c r="AH3045" i="1"/>
  <c r="W3043" i="1"/>
  <c r="L3038" i="1"/>
  <c r="AF3036" i="1"/>
  <c r="G3033" i="1"/>
  <c r="L3031" i="1"/>
  <c r="AF3029" i="1"/>
  <c r="AH3026" i="1"/>
  <c r="L3025" i="1"/>
  <c r="M3022" i="1"/>
  <c r="G3021" i="1"/>
  <c r="AF3019" i="1"/>
  <c r="L3018" i="1"/>
  <c r="M3015" i="1"/>
  <c r="AF3012" i="1"/>
  <c r="J3011" i="1"/>
  <c r="AI3009" i="1"/>
  <c r="L3008" i="1"/>
  <c r="W3005" i="1"/>
  <c r="AH3002" i="1"/>
  <c r="L3001" i="1"/>
  <c r="W2998" i="1"/>
  <c r="J2997" i="1"/>
  <c r="AF2994" i="1"/>
  <c r="L2993" i="1"/>
  <c r="G2992" i="1"/>
  <c r="AH2990" i="1"/>
  <c r="M2989" i="1"/>
  <c r="AH2986" i="1"/>
  <c r="M2985" i="1"/>
  <c r="AI2982" i="1"/>
  <c r="W2981" i="1"/>
  <c r="J2980" i="1"/>
  <c r="AF2977" i="1"/>
  <c r="L2976" i="1"/>
  <c r="G2975" i="1"/>
  <c r="AH2973" i="1"/>
  <c r="L2972" i="1"/>
  <c r="G2971" i="1"/>
  <c r="AH2969" i="1"/>
  <c r="M2968" i="1"/>
  <c r="AI2965" i="1"/>
  <c r="W2964" i="1"/>
  <c r="J2963" i="1"/>
  <c r="AF2960" i="1"/>
  <c r="L2959" i="1"/>
  <c r="AF2956" i="1"/>
  <c r="L2955" i="1"/>
  <c r="G2954" i="1"/>
  <c r="AH2952" i="1"/>
  <c r="M2951" i="1"/>
  <c r="AI2948" i="1"/>
  <c r="AF2947" i="1"/>
  <c r="M2946" i="1"/>
  <c r="J2945" i="1"/>
  <c r="G2944" i="1"/>
  <c r="AI2942" i="1"/>
  <c r="AF2941" i="1"/>
  <c r="M2940" i="1"/>
  <c r="J2939" i="1"/>
  <c r="G2938" i="1"/>
  <c r="AI2936" i="1"/>
  <c r="AF2935" i="1"/>
  <c r="M2934" i="1"/>
  <c r="J2933" i="1"/>
  <c r="G2932" i="1"/>
  <c r="AI2930" i="1"/>
  <c r="AF2929" i="1"/>
  <c r="M2928" i="1"/>
  <c r="J2927" i="1"/>
  <c r="G2926" i="1"/>
  <c r="AI2924" i="1"/>
  <c r="AF2923" i="1"/>
  <c r="M2922" i="1"/>
  <c r="J2921" i="1"/>
  <c r="G2920" i="1"/>
  <c r="AI2918" i="1"/>
  <c r="AF2917" i="1"/>
  <c r="M2916" i="1"/>
  <c r="J2915" i="1"/>
  <c r="G2914" i="1"/>
  <c r="AI2912" i="1"/>
  <c r="AF2911" i="1"/>
  <c r="M2910" i="1"/>
  <c r="J2909" i="1"/>
  <c r="G2908" i="1"/>
  <c r="AI2906" i="1"/>
  <c r="AF2905" i="1"/>
  <c r="M2904" i="1"/>
  <c r="J2903" i="1"/>
  <c r="G2902" i="1"/>
  <c r="AI2900" i="1"/>
  <c r="AF2899" i="1"/>
  <c r="M2898" i="1"/>
  <c r="J2897" i="1"/>
  <c r="G2896" i="1"/>
  <c r="AI2894" i="1"/>
  <c r="AF2893" i="1"/>
  <c r="M2892" i="1"/>
  <c r="J2891" i="1"/>
  <c r="G2890" i="1"/>
  <c r="AI2888" i="1"/>
  <c r="AF2887" i="1"/>
  <c r="M2886" i="1"/>
  <c r="J2885" i="1"/>
  <c r="G2884" i="1"/>
  <c r="AI2882" i="1"/>
  <c r="AF2881" i="1"/>
  <c r="M2880" i="1"/>
  <c r="J2879" i="1"/>
  <c r="G2878" i="1"/>
  <c r="AI2876" i="1"/>
  <c r="AF2875" i="1"/>
  <c r="M2874" i="1"/>
  <c r="J2873" i="1"/>
  <c r="G2872" i="1"/>
  <c r="AI2870" i="1"/>
  <c r="AF2869" i="1"/>
  <c r="M2868" i="1"/>
  <c r="J2867" i="1"/>
  <c r="G2866" i="1"/>
  <c r="AI2864" i="1"/>
  <c r="AF2863" i="1"/>
  <c r="M2862" i="1"/>
  <c r="J2861" i="1"/>
  <c r="G2860" i="1"/>
  <c r="AI2858" i="1"/>
  <c r="AF2857" i="1"/>
  <c r="M2856" i="1"/>
  <c r="J2855" i="1"/>
  <c r="G2854" i="1"/>
  <c r="AI2852" i="1"/>
  <c r="AF2851" i="1"/>
  <c r="M2850" i="1"/>
  <c r="J2849" i="1"/>
  <c r="G2848" i="1"/>
  <c r="AI2846" i="1"/>
  <c r="AF2845" i="1"/>
  <c r="M2844" i="1"/>
  <c r="J2843" i="1"/>
  <c r="G2842" i="1"/>
  <c r="AI2840" i="1"/>
  <c r="AF2839" i="1"/>
  <c r="M2838" i="1"/>
  <c r="J2837" i="1"/>
  <c r="G2836" i="1"/>
  <c r="AI2834" i="1"/>
  <c r="AF2833" i="1"/>
  <c r="M2832" i="1"/>
  <c r="J2831" i="1"/>
  <c r="G2830" i="1"/>
  <c r="AI2828" i="1"/>
  <c r="AF2827" i="1"/>
  <c r="M2826" i="1"/>
  <c r="J2825" i="1"/>
  <c r="G2824" i="1"/>
  <c r="AI2822" i="1"/>
  <c r="AF2821" i="1"/>
  <c r="M2820" i="1"/>
  <c r="J2819" i="1"/>
  <c r="G2818" i="1"/>
  <c r="AI2816" i="1"/>
  <c r="AF2815" i="1"/>
  <c r="M2814" i="1"/>
  <c r="J2813" i="1"/>
  <c r="G2812" i="1"/>
  <c r="AI2810" i="1"/>
  <c r="AF2809" i="1"/>
  <c r="M2808" i="1"/>
  <c r="J2807" i="1"/>
  <c r="G2806" i="1"/>
  <c r="AI2804" i="1"/>
  <c r="AF2803" i="1"/>
  <c r="M2802" i="1"/>
  <c r="J2801" i="1"/>
  <c r="G2800" i="1"/>
  <c r="AI2798" i="1"/>
  <c r="AF2797" i="1"/>
  <c r="M2796" i="1"/>
  <c r="J2795" i="1"/>
  <c r="G2794" i="1"/>
  <c r="AI2792" i="1"/>
  <c r="AF2791" i="1"/>
  <c r="M2790" i="1"/>
  <c r="J2789" i="1"/>
  <c r="G2788" i="1"/>
  <c r="AI2786" i="1"/>
  <c r="AF2785" i="1"/>
  <c r="M2784" i="1"/>
  <c r="J2783" i="1"/>
  <c r="G2782" i="1"/>
  <c r="AI2780" i="1"/>
  <c r="AF2779" i="1"/>
  <c r="M2778" i="1"/>
  <c r="J2777" i="1"/>
  <c r="G2776" i="1"/>
  <c r="AI2774" i="1"/>
  <c r="AF2773" i="1"/>
  <c r="M2772" i="1"/>
  <c r="J2771" i="1"/>
  <c r="G2770" i="1"/>
  <c r="AI2768" i="1"/>
  <c r="AF2767" i="1"/>
  <c r="AI4291" i="1"/>
  <c r="G4258" i="1"/>
  <c r="J4167" i="1"/>
  <c r="M4132" i="1"/>
  <c r="AI4124" i="1"/>
  <c r="W4092" i="1"/>
  <c r="AI4021" i="1"/>
  <c r="M3968" i="1"/>
  <c r="AI3935" i="1"/>
  <c r="L3920" i="1"/>
  <c r="AI3897" i="1"/>
  <c r="J3869" i="1"/>
  <c r="AF3853" i="1"/>
  <c r="J3832" i="1"/>
  <c r="AF3817" i="1"/>
  <c r="J3777" i="1"/>
  <c r="AI3757" i="1"/>
  <c r="J3745" i="1"/>
  <c r="J3711" i="1"/>
  <c r="L3705" i="1"/>
  <c r="AF3689" i="1"/>
  <c r="AF3683" i="1"/>
  <c r="L3674" i="1"/>
  <c r="W3654" i="1"/>
  <c r="G3649" i="1"/>
  <c r="AH3639" i="1"/>
  <c r="M3635" i="1"/>
  <c r="W3631" i="1"/>
  <c r="L3626" i="1"/>
  <c r="L3617" i="1"/>
  <c r="M3603" i="1"/>
  <c r="AH3598" i="1"/>
  <c r="L3594" i="1"/>
  <c r="L3590" i="1"/>
  <c r="M3581" i="1"/>
  <c r="L3577" i="1"/>
  <c r="AI3572" i="1"/>
  <c r="AH3567" i="1"/>
  <c r="L3563" i="1"/>
  <c r="G3555" i="1"/>
  <c r="M3551" i="1"/>
  <c r="L3547" i="1"/>
  <c r="W3543" i="1"/>
  <c r="AH3525" i="1"/>
  <c r="J3516" i="1"/>
  <c r="L3513" i="1"/>
  <c r="AF3509" i="1"/>
  <c r="J3490" i="1"/>
  <c r="AF3486" i="1"/>
  <c r="J3478" i="1"/>
  <c r="M3475" i="1"/>
  <c r="AI3465" i="1"/>
  <c r="M3463" i="1"/>
  <c r="AF3460" i="1"/>
  <c r="G3458" i="1"/>
  <c r="AF3454" i="1"/>
  <c r="AI3448" i="1"/>
  <c r="M3445" i="1"/>
  <c r="G3443" i="1"/>
  <c r="AF3440" i="1"/>
  <c r="AF3437" i="1"/>
  <c r="AF3431" i="1"/>
  <c r="M3428" i="1"/>
  <c r="G3426" i="1"/>
  <c r="M3423" i="1"/>
  <c r="J3420" i="1"/>
  <c r="AH3416" i="1"/>
  <c r="L3408" i="1"/>
  <c r="AF3405" i="1"/>
  <c r="G3403" i="1"/>
  <c r="AH3399" i="1"/>
  <c r="G3397" i="1"/>
  <c r="J3394" i="1"/>
  <c r="AF3389" i="1"/>
  <c r="J3387" i="1"/>
  <c r="AH3382" i="1"/>
  <c r="J3380" i="1"/>
  <c r="AI3375" i="1"/>
  <c r="AF3371" i="1"/>
  <c r="G3367" i="1"/>
  <c r="AF3364" i="1"/>
  <c r="M3362" i="1"/>
  <c r="AF3357" i="1"/>
  <c r="W3355" i="1"/>
  <c r="J3351" i="1"/>
  <c r="M3346" i="1"/>
  <c r="J3344" i="1"/>
  <c r="AI3339" i="1"/>
  <c r="L3337" i="1"/>
  <c r="W3330" i="1"/>
  <c r="L3326" i="1"/>
  <c r="J3324" i="1"/>
  <c r="M3322" i="1"/>
  <c r="J3320" i="1"/>
  <c r="G3316" i="1"/>
  <c r="AI3313" i="1"/>
  <c r="G3312" i="1"/>
  <c r="AI3309" i="1"/>
  <c r="AH3303" i="1"/>
  <c r="AI3301" i="1"/>
  <c r="AF3299" i="1"/>
  <c r="L3297" i="1"/>
  <c r="M3295" i="1"/>
  <c r="L3293" i="1"/>
  <c r="M3291" i="1"/>
  <c r="M3289" i="1"/>
  <c r="AF3287" i="1"/>
  <c r="M3285" i="1"/>
  <c r="AI3276" i="1"/>
  <c r="G3273" i="1"/>
  <c r="L3269" i="1"/>
  <c r="L3265" i="1"/>
  <c r="M3263" i="1"/>
  <c r="J3261" i="1"/>
  <c r="M3259" i="1"/>
  <c r="W3257" i="1"/>
  <c r="AH3255" i="1"/>
  <c r="W3253" i="1"/>
  <c r="AF3251" i="1"/>
  <c r="AI3249" i="1"/>
  <c r="AH3247" i="1"/>
  <c r="AI3241" i="1"/>
  <c r="J3234" i="1"/>
  <c r="J3232" i="1"/>
  <c r="G3230" i="1"/>
  <c r="L3228" i="1"/>
  <c r="L3226" i="1"/>
  <c r="W3224" i="1"/>
  <c r="W3222" i="1"/>
  <c r="M3220" i="1"/>
  <c r="AF3218" i="1"/>
  <c r="AF3216" i="1"/>
  <c r="AH3212" i="1"/>
  <c r="AH3210" i="1"/>
  <c r="G3209" i="1"/>
  <c r="AI3204" i="1"/>
  <c r="G3201" i="1"/>
  <c r="L3197" i="1"/>
  <c r="L3193" i="1"/>
  <c r="M3191" i="1"/>
  <c r="J3189" i="1"/>
  <c r="M3187" i="1"/>
  <c r="W3185" i="1"/>
  <c r="AH3183" i="1"/>
  <c r="W3181" i="1"/>
  <c r="AF3179" i="1"/>
  <c r="AI3177" i="1"/>
  <c r="AH3175" i="1"/>
  <c r="AI3169" i="1"/>
  <c r="J3162" i="1"/>
  <c r="J3160" i="1"/>
  <c r="G3158" i="1"/>
  <c r="L3156" i="1"/>
  <c r="L3154" i="1"/>
  <c r="W3152" i="1"/>
  <c r="W3150" i="1"/>
  <c r="M3148" i="1"/>
  <c r="AF3146" i="1"/>
  <c r="AF3144" i="1"/>
  <c r="AH3140" i="1"/>
  <c r="AH3138" i="1"/>
  <c r="G3137" i="1"/>
  <c r="AI3132" i="1"/>
  <c r="G3129" i="1"/>
  <c r="L3125" i="1"/>
  <c r="L3121" i="1"/>
  <c r="M3119" i="1"/>
  <c r="J3117" i="1"/>
  <c r="M3115" i="1"/>
  <c r="W3113" i="1"/>
  <c r="AH3111" i="1"/>
  <c r="W3109" i="1"/>
  <c r="AF3107" i="1"/>
  <c r="AI3105" i="1"/>
  <c r="AH3103" i="1"/>
  <c r="AI3097" i="1"/>
  <c r="J3090" i="1"/>
  <c r="J3088" i="1"/>
  <c r="G3086" i="1"/>
  <c r="L3084" i="1"/>
  <c r="L3082" i="1"/>
  <c r="W3080" i="1"/>
  <c r="W3078" i="1"/>
  <c r="M3076" i="1"/>
  <c r="AF3074" i="1"/>
  <c r="AF3072" i="1"/>
  <c r="AH3068" i="1"/>
  <c r="AH3066" i="1"/>
  <c r="G3065" i="1"/>
  <c r="AI3060" i="1"/>
  <c r="G3057" i="1"/>
  <c r="L3053" i="1"/>
  <c r="L3049" i="1"/>
  <c r="M3047" i="1"/>
  <c r="J3045" i="1"/>
  <c r="M3043" i="1"/>
  <c r="AF3041" i="1"/>
  <c r="G3038" i="1"/>
  <c r="W3036" i="1"/>
  <c r="AH3034" i="1"/>
  <c r="W3029" i="1"/>
  <c r="G3028" i="1"/>
  <c r="AF3026" i="1"/>
  <c r="AI3023" i="1"/>
  <c r="L3022" i="1"/>
  <c r="W3019" i="1"/>
  <c r="J3018" i="1"/>
  <c r="AH3016" i="1"/>
  <c r="J3015" i="1"/>
  <c r="AI3013" i="1"/>
  <c r="W3012" i="1"/>
  <c r="AH3009" i="1"/>
  <c r="J3008" i="1"/>
  <c r="AI3006" i="1"/>
  <c r="M3005" i="1"/>
  <c r="G3004" i="1"/>
  <c r="AF3002" i="1"/>
  <c r="AI2999" i="1"/>
  <c r="M2998" i="1"/>
  <c r="AI2995" i="1"/>
  <c r="W2994" i="1"/>
  <c r="J2993" i="1"/>
  <c r="AF2990" i="1"/>
  <c r="L2989" i="1"/>
  <c r="AF2986" i="1"/>
  <c r="L2985" i="1"/>
  <c r="G2984" i="1"/>
  <c r="AH2982" i="1"/>
  <c r="M2981" i="1"/>
  <c r="AI2978" i="1"/>
  <c r="W2977" i="1"/>
  <c r="J2976" i="1"/>
  <c r="W2973" i="1"/>
  <c r="J2972" i="1"/>
  <c r="AF2969" i="1"/>
  <c r="L2968" i="1"/>
  <c r="G2967" i="1"/>
  <c r="AH2965" i="1"/>
  <c r="M2964" i="1"/>
  <c r="AI2961" i="1"/>
  <c r="W2960" i="1"/>
  <c r="AI2957" i="1"/>
  <c r="W2956" i="1"/>
  <c r="J2955" i="1"/>
  <c r="AF2952" i="1"/>
  <c r="L2951" i="1"/>
  <c r="G2950" i="1"/>
  <c r="AH2948" i="1"/>
  <c r="W2947" i="1"/>
  <c r="L2946" i="1"/>
  <c r="AH2942" i="1"/>
  <c r="W2941" i="1"/>
  <c r="L2940" i="1"/>
  <c r="AH2936" i="1"/>
  <c r="W2935" i="1"/>
  <c r="L2934" i="1"/>
  <c r="AH2930" i="1"/>
  <c r="W2929" i="1"/>
  <c r="L2928" i="1"/>
  <c r="AH2924" i="1"/>
  <c r="W2923" i="1"/>
  <c r="L2922" i="1"/>
  <c r="AH2918" i="1"/>
  <c r="W2917" i="1"/>
  <c r="L2916" i="1"/>
  <c r="AH2912" i="1"/>
  <c r="W2911" i="1"/>
  <c r="L2910" i="1"/>
  <c r="AH2906" i="1"/>
  <c r="W2905" i="1"/>
  <c r="L2904" i="1"/>
  <c r="AH2900" i="1"/>
  <c r="W2899" i="1"/>
  <c r="L2898" i="1"/>
  <c r="AH2894" i="1"/>
  <c r="W2893" i="1"/>
  <c r="L2892" i="1"/>
  <c r="AH2888" i="1"/>
  <c r="W2887" i="1"/>
  <c r="L2886" i="1"/>
  <c r="AH2882" i="1"/>
  <c r="W2881" i="1"/>
  <c r="L2880" i="1"/>
  <c r="AH2876" i="1"/>
  <c r="W2875" i="1"/>
  <c r="L2874" i="1"/>
  <c r="AH2870" i="1"/>
  <c r="W2869" i="1"/>
  <c r="L2868" i="1"/>
  <c r="AH2864" i="1"/>
  <c r="W2863" i="1"/>
  <c r="L2862" i="1"/>
  <c r="AH2858" i="1"/>
  <c r="W2857" i="1"/>
  <c r="L2856" i="1"/>
  <c r="AH2852" i="1"/>
  <c r="W2851" i="1"/>
  <c r="L2850" i="1"/>
  <c r="AH2846" i="1"/>
  <c r="W2845" i="1"/>
  <c r="L2844" i="1"/>
  <c r="AH2840" i="1"/>
  <c r="W2839" i="1"/>
  <c r="L2838" i="1"/>
  <c r="AH2834" i="1"/>
  <c r="W2833" i="1"/>
  <c r="L2832" i="1"/>
  <c r="AH2828" i="1"/>
  <c r="W2827" i="1"/>
  <c r="L2826" i="1"/>
  <c r="AH2822" i="1"/>
  <c r="W2821" i="1"/>
  <c r="L2820" i="1"/>
  <c r="AH2816" i="1"/>
  <c r="W2815" i="1"/>
  <c r="L2814" i="1"/>
  <c r="AH2810" i="1"/>
  <c r="W2809" i="1"/>
  <c r="L2808" i="1"/>
  <c r="AH2804" i="1"/>
  <c r="W2803" i="1"/>
  <c r="L2802" i="1"/>
  <c r="AH2798" i="1"/>
  <c r="W2797" i="1"/>
  <c r="L2796" i="1"/>
  <c r="AH2792" i="1"/>
  <c r="W2791" i="1"/>
  <c r="L2790" i="1"/>
  <c r="AH2786" i="1"/>
  <c r="W2785" i="1"/>
  <c r="L2784" i="1"/>
  <c r="AH2780" i="1"/>
  <c r="W2779" i="1"/>
  <c r="L2778" i="1"/>
  <c r="AH2774" i="1"/>
  <c r="W2773" i="1"/>
  <c r="L2772" i="1"/>
  <c r="AH2768" i="1"/>
  <c r="W2767" i="1"/>
  <c r="L2766" i="1"/>
  <c r="AH2762" i="1"/>
  <c r="W2761" i="1"/>
  <c r="L2760" i="1"/>
  <c r="AH2756" i="1"/>
  <c r="W2755" i="1"/>
  <c r="L2754" i="1"/>
  <c r="AH2750" i="1"/>
  <c r="W2749" i="1"/>
  <c r="L2748" i="1"/>
  <c r="AH2744" i="1"/>
  <c r="W2743" i="1"/>
  <c r="L2742" i="1"/>
  <c r="AH2738" i="1"/>
  <c r="W2737" i="1"/>
  <c r="L2736" i="1"/>
  <c r="AH2732" i="1"/>
  <c r="W2731" i="1"/>
  <c r="L2730" i="1"/>
  <c r="AH2726" i="1"/>
  <c r="W2725" i="1"/>
  <c r="L2724" i="1"/>
  <c r="AH2720" i="1"/>
  <c r="W2719" i="1"/>
  <c r="AH4194" i="1"/>
  <c r="G4167" i="1"/>
  <c r="AH4158" i="1"/>
  <c r="AF4148" i="1"/>
  <c r="L4092" i="1"/>
  <c r="W4083" i="1"/>
  <c r="J4055" i="1"/>
  <c r="J4029" i="1"/>
  <c r="AF4001" i="1"/>
  <c r="L3994" i="1"/>
  <c r="M3959" i="1"/>
  <c r="J3951" i="1"/>
  <c r="AF3927" i="1"/>
  <c r="M3903" i="1"/>
  <c r="W3882" i="1"/>
  <c r="G3875" i="1"/>
  <c r="G3869" i="1"/>
  <c r="J3853" i="1"/>
  <c r="AI3838" i="1"/>
  <c r="AH3823" i="1"/>
  <c r="L3817" i="1"/>
  <c r="G3803" i="1"/>
  <c r="L3795" i="1"/>
  <c r="M3788" i="1"/>
  <c r="W3782" i="1"/>
  <c r="AH3757" i="1"/>
  <c r="G3738" i="1"/>
  <c r="G3727" i="1"/>
  <c r="M3721" i="1"/>
  <c r="L3715" i="1"/>
  <c r="J3705" i="1"/>
  <c r="AI3699" i="1"/>
  <c r="M3683" i="1"/>
  <c r="J3663" i="1"/>
  <c r="AI3643" i="1"/>
  <c r="AF3639" i="1"/>
  <c r="AI3621" i="1"/>
  <c r="J3607" i="1"/>
  <c r="L3603" i="1"/>
  <c r="AF3598" i="1"/>
  <c r="AF3585" i="1"/>
  <c r="L3581" i="1"/>
  <c r="AH3572" i="1"/>
  <c r="AF3567" i="1"/>
  <c r="J3563" i="1"/>
  <c r="W3539" i="1"/>
  <c r="J3535" i="1"/>
  <c r="W3528" i="1"/>
  <c r="AF3525" i="1"/>
  <c r="W3522" i="1"/>
  <c r="J3519" i="1"/>
  <c r="W3509" i="1"/>
  <c r="AH3505" i="1"/>
  <c r="W3499" i="1"/>
  <c r="AI3496" i="1"/>
  <c r="G3490" i="1"/>
  <c r="W3486" i="1"/>
  <c r="AI3483" i="1"/>
  <c r="AH3480" i="1"/>
  <c r="G3472" i="1"/>
  <c r="AH3465" i="1"/>
  <c r="L3463" i="1"/>
  <c r="W3460" i="1"/>
  <c r="W3454" i="1"/>
  <c r="J3451" i="1"/>
  <c r="W3448" i="1"/>
  <c r="L3445" i="1"/>
  <c r="W3440" i="1"/>
  <c r="G3437" i="1"/>
  <c r="G3434" i="1"/>
  <c r="J3428" i="1"/>
  <c r="G3420" i="1"/>
  <c r="AF3416" i="1"/>
  <c r="G3414" i="1"/>
  <c r="AH3410" i="1"/>
  <c r="J3408" i="1"/>
  <c r="M3405" i="1"/>
  <c r="AF3399" i="1"/>
  <c r="W3391" i="1"/>
  <c r="M3389" i="1"/>
  <c r="G3387" i="1"/>
  <c r="W3382" i="1"/>
  <c r="G3378" i="1"/>
  <c r="AH3375" i="1"/>
  <c r="AI3373" i="1"/>
  <c r="M3371" i="1"/>
  <c r="AH3368" i="1"/>
  <c r="W3364" i="1"/>
  <c r="W3357" i="1"/>
  <c r="M3355" i="1"/>
  <c r="G3353" i="1"/>
  <c r="AF3348" i="1"/>
  <c r="J3346" i="1"/>
  <c r="AI3341" i="1"/>
  <c r="L3339" i="1"/>
  <c r="J3337" i="1"/>
  <c r="AI3334" i="1"/>
  <c r="AH3332" i="1"/>
  <c r="J3330" i="1"/>
  <c r="G3328" i="1"/>
  <c r="J3326" i="1"/>
  <c r="J3322" i="1"/>
  <c r="AI3317" i="1"/>
  <c r="AH3313" i="1"/>
  <c r="AF3309" i="1"/>
  <c r="AF3307" i="1"/>
  <c r="AI3305" i="1"/>
  <c r="AF3303" i="1"/>
  <c r="AH3301" i="1"/>
  <c r="L3299" i="1"/>
  <c r="J3297" i="1"/>
  <c r="L3295" i="1"/>
  <c r="J3293" i="1"/>
  <c r="L3289" i="1"/>
  <c r="G3287" i="1"/>
  <c r="J3285" i="1"/>
  <c r="G3283" i="1"/>
  <c r="AH3278" i="1"/>
  <c r="AH3276" i="1"/>
  <c r="G3275" i="1"/>
  <c r="AI3270" i="1"/>
  <c r="G3267" i="1"/>
  <c r="L3263" i="1"/>
  <c r="L3259" i="1"/>
  <c r="M3257" i="1"/>
  <c r="J3255" i="1"/>
  <c r="M3253" i="1"/>
  <c r="W3251" i="1"/>
  <c r="AH3249" i="1"/>
  <c r="W3247" i="1"/>
  <c r="AF3245" i="1"/>
  <c r="AI3243" i="1"/>
  <c r="AH3241" i="1"/>
  <c r="AI3235" i="1"/>
  <c r="J3228" i="1"/>
  <c r="J3226" i="1"/>
  <c r="G3224" i="1"/>
  <c r="L3222" i="1"/>
  <c r="L3220" i="1"/>
  <c r="W3218" i="1"/>
  <c r="W3216" i="1"/>
  <c r="M3214" i="1"/>
  <c r="AF3212" i="1"/>
  <c r="AF3210" i="1"/>
  <c r="AH3206" i="1"/>
  <c r="AH3204" i="1"/>
  <c r="G3203" i="1"/>
  <c r="AI3198" i="1"/>
  <c r="G3195" i="1"/>
  <c r="L3191" i="1"/>
  <c r="L3187" i="1"/>
  <c r="M3185" i="1"/>
  <c r="J3183" i="1"/>
  <c r="M3181" i="1"/>
  <c r="W3179" i="1"/>
  <c r="AH3177" i="1"/>
  <c r="W3175" i="1"/>
  <c r="AF3173" i="1"/>
  <c r="AI3171" i="1"/>
  <c r="AH3169" i="1"/>
  <c r="AI3163" i="1"/>
  <c r="J3156" i="1"/>
  <c r="J3154" i="1"/>
  <c r="G3152" i="1"/>
  <c r="L3150" i="1"/>
  <c r="L3148" i="1"/>
  <c r="W3146" i="1"/>
  <c r="W3144" i="1"/>
  <c r="M3142" i="1"/>
  <c r="AF3140" i="1"/>
  <c r="AF3138" i="1"/>
  <c r="AH3134" i="1"/>
  <c r="AH3132" i="1"/>
  <c r="G3131" i="1"/>
  <c r="AI3126" i="1"/>
  <c r="G3123" i="1"/>
  <c r="L3119" i="1"/>
  <c r="L3115" i="1"/>
  <c r="M3113" i="1"/>
  <c r="J3111" i="1"/>
  <c r="M3109" i="1"/>
  <c r="W3107" i="1"/>
  <c r="AH3105" i="1"/>
  <c r="W3103" i="1"/>
  <c r="AF3101" i="1"/>
  <c r="AI3099" i="1"/>
  <c r="AH3097" i="1"/>
  <c r="AI3091" i="1"/>
  <c r="J3084" i="1"/>
  <c r="J3082" i="1"/>
  <c r="G3080" i="1"/>
  <c r="L3078" i="1"/>
  <c r="L3076" i="1"/>
  <c r="W3074" i="1"/>
  <c r="W3072" i="1"/>
  <c r="M3070" i="1"/>
  <c r="AF3068" i="1"/>
  <c r="AF3066" i="1"/>
  <c r="AH3062" i="1"/>
  <c r="AH3060" i="1"/>
  <c r="G3059" i="1"/>
  <c r="AI3054" i="1"/>
  <c r="G3051" i="1"/>
  <c r="L3047" i="1"/>
  <c r="L3043" i="1"/>
  <c r="W3041" i="1"/>
  <c r="AI3039" i="1"/>
  <c r="L3036" i="1"/>
  <c r="M3034" i="1"/>
  <c r="AH3032" i="1"/>
  <c r="M3029" i="1"/>
  <c r="W3026" i="1"/>
  <c r="G3025" i="1"/>
  <c r="AF3023" i="1"/>
  <c r="J3022" i="1"/>
  <c r="AI3020" i="1"/>
  <c r="M3019" i="1"/>
  <c r="AF3016" i="1"/>
  <c r="AH3013" i="1"/>
  <c r="M3012" i="1"/>
  <c r="G3011" i="1"/>
  <c r="W3009" i="1"/>
  <c r="G3008" i="1"/>
  <c r="AH3006" i="1"/>
  <c r="L3005" i="1"/>
  <c r="W3002" i="1"/>
  <c r="G3001" i="1"/>
  <c r="AF2999" i="1"/>
  <c r="L2998" i="1"/>
  <c r="G2997" i="1"/>
  <c r="AH2995" i="1"/>
  <c r="M2994" i="1"/>
  <c r="AI2991" i="1"/>
  <c r="W2990" i="1"/>
  <c r="AI2987" i="1"/>
  <c r="W2986" i="1"/>
  <c r="J2985" i="1"/>
  <c r="AF2982" i="1"/>
  <c r="L2981" i="1"/>
  <c r="G2980" i="1"/>
  <c r="AH2978" i="1"/>
  <c r="M2977" i="1"/>
  <c r="AH2974" i="1"/>
  <c r="M2973" i="1"/>
  <c r="AI2970" i="1"/>
  <c r="W2969" i="1"/>
  <c r="J2968" i="1"/>
  <c r="AF2965" i="1"/>
  <c r="L2964" i="1"/>
  <c r="G2963" i="1"/>
  <c r="AH2961" i="1"/>
  <c r="L2960" i="1"/>
  <c r="G2959" i="1"/>
  <c r="AH2957" i="1"/>
  <c r="M2956" i="1"/>
  <c r="AI2953" i="1"/>
  <c r="W2952" i="1"/>
  <c r="J2951" i="1"/>
  <c r="AF2948" i="1"/>
  <c r="M2947" i="1"/>
  <c r="J2946" i="1"/>
  <c r="G2945" i="1"/>
  <c r="AI2943" i="1"/>
  <c r="AF2942" i="1"/>
  <c r="M2941" i="1"/>
  <c r="J2940" i="1"/>
  <c r="G2939" i="1"/>
  <c r="AI2937" i="1"/>
  <c r="AF2936" i="1"/>
  <c r="M2935" i="1"/>
  <c r="J2934" i="1"/>
  <c r="G2933" i="1"/>
  <c r="AI2931" i="1"/>
  <c r="AF2930" i="1"/>
  <c r="M2929" i="1"/>
  <c r="J2928" i="1"/>
  <c r="G2927" i="1"/>
  <c r="AI2925" i="1"/>
  <c r="AF2924" i="1"/>
  <c r="M2923" i="1"/>
  <c r="J2922" i="1"/>
  <c r="G2921" i="1"/>
  <c r="AI2919" i="1"/>
  <c r="AF2918" i="1"/>
  <c r="M2917" i="1"/>
  <c r="J2916" i="1"/>
  <c r="G2915" i="1"/>
  <c r="AI2913" i="1"/>
  <c r="AF2912" i="1"/>
  <c r="M2911" i="1"/>
  <c r="J2910" i="1"/>
  <c r="G2909" i="1"/>
  <c r="AI2907" i="1"/>
  <c r="AF2906" i="1"/>
  <c r="M2905" i="1"/>
  <c r="J2904" i="1"/>
  <c r="G2903" i="1"/>
  <c r="AI2901" i="1"/>
  <c r="AF2900" i="1"/>
  <c r="M2899" i="1"/>
  <c r="J2898" i="1"/>
  <c r="G2897" i="1"/>
  <c r="AI2895" i="1"/>
  <c r="AF2894" i="1"/>
  <c r="M2893" i="1"/>
  <c r="J2892" i="1"/>
  <c r="G2891" i="1"/>
  <c r="AI2889" i="1"/>
  <c r="AF2888" i="1"/>
  <c r="M2887" i="1"/>
  <c r="J2886" i="1"/>
  <c r="G2885" i="1"/>
  <c r="AI2883" i="1"/>
  <c r="AF2882" i="1"/>
  <c r="M2881" i="1"/>
  <c r="J2880" i="1"/>
  <c r="G2879" i="1"/>
  <c r="AI2877" i="1"/>
  <c r="AF2876" i="1"/>
  <c r="M2875" i="1"/>
  <c r="J2874" i="1"/>
  <c r="G2873" i="1"/>
  <c r="AI2871" i="1"/>
  <c r="AF2870" i="1"/>
  <c r="M2869" i="1"/>
  <c r="J2868" i="1"/>
  <c r="G2867" i="1"/>
  <c r="AI2865" i="1"/>
  <c r="AF2864" i="1"/>
  <c r="M2863" i="1"/>
  <c r="J2862" i="1"/>
  <c r="G2861" i="1"/>
  <c r="AI2859" i="1"/>
  <c r="AF2858" i="1"/>
  <c r="M2857" i="1"/>
  <c r="J2856" i="1"/>
  <c r="G2855" i="1"/>
  <c r="AI2853" i="1"/>
  <c r="AF2852" i="1"/>
  <c r="M2851" i="1"/>
  <c r="J2850" i="1"/>
  <c r="G2849" i="1"/>
  <c r="AI2847" i="1"/>
  <c r="AF2846" i="1"/>
  <c r="M2845" i="1"/>
  <c r="J2844" i="1"/>
  <c r="G2843" i="1"/>
  <c r="AI2841" i="1"/>
  <c r="AF2840" i="1"/>
  <c r="M2839" i="1"/>
  <c r="J2838" i="1"/>
  <c r="G2837" i="1"/>
  <c r="AI2835" i="1"/>
  <c r="AF2834" i="1"/>
  <c r="M2833" i="1"/>
  <c r="J2832" i="1"/>
  <c r="G2831" i="1"/>
  <c r="AI2829" i="1"/>
  <c r="AF2828" i="1"/>
  <c r="M2827" i="1"/>
  <c r="J2826" i="1"/>
  <c r="G2825" i="1"/>
  <c r="AI2823" i="1"/>
  <c r="AF2822" i="1"/>
  <c r="M2821" i="1"/>
  <c r="J2820" i="1"/>
  <c r="G2819" i="1"/>
  <c r="AI2817" i="1"/>
  <c r="AF2816" i="1"/>
  <c r="M2815" i="1"/>
  <c r="J2814" i="1"/>
  <c r="G2813" i="1"/>
  <c r="AI2811" i="1"/>
  <c r="AF2810" i="1"/>
  <c r="M2809" i="1"/>
  <c r="J2808" i="1"/>
  <c r="G2807" i="1"/>
  <c r="AI2805" i="1"/>
  <c r="AF2804" i="1"/>
  <c r="M2803" i="1"/>
  <c r="J2802" i="1"/>
  <c r="G2801" i="1"/>
  <c r="AI2799" i="1"/>
  <c r="AF2798" i="1"/>
  <c r="M2797" i="1"/>
  <c r="J2796" i="1"/>
  <c r="G2795" i="1"/>
  <c r="AI2793" i="1"/>
  <c r="AF2792" i="1"/>
  <c r="M2791" i="1"/>
  <c r="J2790" i="1"/>
  <c r="G2789" i="1"/>
  <c r="AI2787" i="1"/>
  <c r="AF2786" i="1"/>
  <c r="M2785" i="1"/>
  <c r="J2784" i="1"/>
  <c r="G2783" i="1"/>
  <c r="AI2781" i="1"/>
  <c r="AF2780" i="1"/>
  <c r="M2779" i="1"/>
  <c r="J2778" i="1"/>
  <c r="G2777" i="1"/>
  <c r="AI2775" i="1"/>
  <c r="AF2774" i="1"/>
  <c r="M2773" i="1"/>
  <c r="J2772" i="1"/>
  <c r="G2771" i="1"/>
  <c r="AI2769" i="1"/>
  <c r="AF2768" i="1"/>
  <c r="M2767" i="1"/>
  <c r="J2766" i="1"/>
  <c r="G2765" i="1"/>
  <c r="AI2763" i="1"/>
  <c r="AF2762" i="1"/>
  <c r="M2761" i="1"/>
  <c r="J2760" i="1"/>
  <c r="G2759" i="1"/>
  <c r="AI2757" i="1"/>
  <c r="AF2756" i="1"/>
  <c r="M2755" i="1"/>
  <c r="J2754" i="1"/>
  <c r="G2753" i="1"/>
  <c r="AI2751" i="1"/>
  <c r="AF2750" i="1"/>
  <c r="M2749" i="1"/>
  <c r="J2748" i="1"/>
  <c r="G2747" i="1"/>
  <c r="AI2745" i="1"/>
  <c r="AF2744" i="1"/>
  <c r="M2743" i="1"/>
  <c r="J2742" i="1"/>
  <c r="G2741" i="1"/>
  <c r="AI2739" i="1"/>
  <c r="AF2738" i="1"/>
  <c r="M2737" i="1"/>
  <c r="J2736" i="1"/>
  <c r="G2735" i="1"/>
  <c r="AI2733" i="1"/>
  <c r="AF2732" i="1"/>
  <c r="M2731" i="1"/>
  <c r="J2730" i="1"/>
  <c r="G2729" i="1"/>
  <c r="AI2727" i="1"/>
  <c r="AF2726" i="1"/>
  <c r="M2725" i="1"/>
  <c r="J2724" i="1"/>
  <c r="G2723" i="1"/>
  <c r="AI2721" i="1"/>
  <c r="AF2720" i="1"/>
  <c r="M2719" i="1"/>
  <c r="J2718" i="1"/>
  <c r="G2717" i="1"/>
  <c r="AI2715" i="1"/>
  <c r="AF2714" i="1"/>
  <c r="M2713" i="1"/>
  <c r="J2712" i="1"/>
  <c r="G2711" i="1"/>
  <c r="AI2709" i="1"/>
  <c r="AF2708" i="1"/>
  <c r="M2707" i="1"/>
  <c r="J2706" i="1"/>
  <c r="G2705" i="1"/>
  <c r="AI2703" i="1"/>
  <c r="AF2702" i="1"/>
  <c r="M2701" i="1"/>
  <c r="G4329" i="1"/>
  <c r="L4190" i="1"/>
  <c r="L4180" i="1"/>
  <c r="AH4127" i="1"/>
  <c r="J4079" i="1"/>
  <c r="J4053" i="1"/>
  <c r="AH3990" i="1"/>
  <c r="W3901" i="1"/>
  <c r="J3886" i="1"/>
  <c r="J3865" i="1"/>
  <c r="J3857" i="1"/>
  <c r="J3835" i="1"/>
  <c r="AF3806" i="1"/>
  <c r="W3780" i="1"/>
  <c r="G3774" i="1"/>
  <c r="G3755" i="1"/>
  <c r="AF3736" i="1"/>
  <c r="AI3719" i="1"/>
  <c r="L3708" i="1"/>
  <c r="W3681" i="1"/>
  <c r="L3671" i="1"/>
  <c r="G3666" i="1"/>
  <c r="J3661" i="1"/>
  <c r="AH3656" i="1"/>
  <c r="J3651" i="1"/>
  <c r="J3646" i="1"/>
  <c r="M3637" i="1"/>
  <c r="W3633" i="1"/>
  <c r="M3624" i="1"/>
  <c r="G3620" i="1"/>
  <c r="L3615" i="1"/>
  <c r="AI3609" i="1"/>
  <c r="AI3605" i="1"/>
  <c r="AI3596" i="1"/>
  <c r="W3579" i="1"/>
  <c r="AH3565" i="1"/>
  <c r="W3561" i="1"/>
  <c r="AH3541" i="1"/>
  <c r="AH3537" i="1"/>
  <c r="W3530" i="1"/>
  <c r="AH3527" i="1"/>
  <c r="L3524" i="1"/>
  <c r="L3521" i="1"/>
  <c r="W3511" i="1"/>
  <c r="AF3507" i="1"/>
  <c r="AF3504" i="1"/>
  <c r="AF3501" i="1"/>
  <c r="M3498" i="1"/>
  <c r="W3488" i="1"/>
  <c r="L3485" i="1"/>
  <c r="W3482" i="1"/>
  <c r="AH3479" i="1"/>
  <c r="AH3476" i="1"/>
  <c r="L3470" i="1"/>
  <c r="AF3467" i="1"/>
  <c r="M3464" i="1"/>
  <c r="G3462" i="1"/>
  <c r="M3459" i="1"/>
  <c r="J3456" i="1"/>
  <c r="AH3452" i="1"/>
  <c r="L3444" i="1"/>
  <c r="AF3441" i="1"/>
  <c r="G3439" i="1"/>
  <c r="AH3435" i="1"/>
  <c r="G3433" i="1"/>
  <c r="AI3429" i="1"/>
  <c r="M3427" i="1"/>
  <c r="AF3424" i="1"/>
  <c r="G3422" i="1"/>
  <c r="AF3418" i="1"/>
  <c r="AI3412" i="1"/>
  <c r="M3409" i="1"/>
  <c r="G3407" i="1"/>
  <c r="AF3404" i="1"/>
  <c r="AF3401" i="1"/>
  <c r="AF3395" i="1"/>
  <c r="AH3392" i="1"/>
  <c r="W3388" i="1"/>
  <c r="W3381" i="1"/>
  <c r="M3379" i="1"/>
  <c r="G3377" i="1"/>
  <c r="AF3372" i="1"/>
  <c r="J3370" i="1"/>
  <c r="AI3365" i="1"/>
  <c r="L3363" i="1"/>
  <c r="J3361" i="1"/>
  <c r="AI3358" i="1"/>
  <c r="AH3356" i="1"/>
  <c r="J3354" i="1"/>
  <c r="G3350" i="1"/>
  <c r="AH3347" i="1"/>
  <c r="W3345" i="1"/>
  <c r="J3343" i="1"/>
  <c r="AH3340" i="1"/>
  <c r="W3338" i="1"/>
  <c r="J3336" i="1"/>
  <c r="AH3331" i="1"/>
  <c r="L3329" i="1"/>
  <c r="M3327" i="1"/>
  <c r="M3325" i="1"/>
  <c r="AF3323" i="1"/>
  <c r="M3321" i="1"/>
  <c r="AI3312" i="1"/>
  <c r="AH3308" i="1"/>
  <c r="G3307" i="1"/>
  <c r="AI3304" i="1"/>
  <c r="AF3300" i="1"/>
  <c r="W3298" i="1"/>
  <c r="W3296" i="1"/>
  <c r="M3294" i="1"/>
  <c r="L3290" i="1"/>
  <c r="J3288" i="1"/>
  <c r="M3286" i="1"/>
  <c r="J3284" i="1"/>
  <c r="G3280" i="1"/>
  <c r="AI3277" i="1"/>
  <c r="J3270" i="1"/>
  <c r="J3268" i="1"/>
  <c r="G3266" i="1"/>
  <c r="L3264" i="1"/>
  <c r="L3262" i="1"/>
  <c r="W3260" i="1"/>
  <c r="W3258" i="1"/>
  <c r="M3256" i="1"/>
  <c r="AF3254" i="1"/>
  <c r="AF3252" i="1"/>
  <c r="AH3248" i="1"/>
  <c r="AH3246" i="1"/>
  <c r="G3245" i="1"/>
  <c r="AI3240" i="1"/>
  <c r="G3237" i="1"/>
  <c r="L3233" i="1"/>
  <c r="L3229" i="1"/>
  <c r="M3227" i="1"/>
  <c r="J3225" i="1"/>
  <c r="M3223" i="1"/>
  <c r="W3221" i="1"/>
  <c r="AH3219" i="1"/>
  <c r="W3217" i="1"/>
  <c r="AF3215" i="1"/>
  <c r="AI3213" i="1"/>
  <c r="AH3211" i="1"/>
  <c r="AI3205" i="1"/>
  <c r="J3198" i="1"/>
  <c r="J3196" i="1"/>
  <c r="G3194" i="1"/>
  <c r="L3192" i="1"/>
  <c r="L3190" i="1"/>
  <c r="W3188" i="1"/>
  <c r="W3186" i="1"/>
  <c r="M3184" i="1"/>
  <c r="AF3182" i="1"/>
  <c r="AF3180" i="1"/>
  <c r="AH3176" i="1"/>
  <c r="AH3174" i="1"/>
  <c r="G3173" i="1"/>
  <c r="AI3168" i="1"/>
  <c r="G3165" i="1"/>
  <c r="L3161" i="1"/>
  <c r="L3157" i="1"/>
  <c r="M3155" i="1"/>
  <c r="J3153" i="1"/>
  <c r="M3151" i="1"/>
  <c r="W3149" i="1"/>
  <c r="AH3147" i="1"/>
  <c r="W3145" i="1"/>
  <c r="AF3143" i="1"/>
  <c r="AI3141" i="1"/>
  <c r="AH3139" i="1"/>
  <c r="AI3133" i="1"/>
  <c r="J3126" i="1"/>
  <c r="J3124" i="1"/>
  <c r="G3122" i="1"/>
  <c r="L3120" i="1"/>
  <c r="L3118" i="1"/>
  <c r="W3116" i="1"/>
  <c r="W3114" i="1"/>
  <c r="M3112" i="1"/>
  <c r="AF3110" i="1"/>
  <c r="AF3108" i="1"/>
  <c r="AH3104" i="1"/>
  <c r="AH3102" i="1"/>
  <c r="G3101" i="1"/>
  <c r="AI3096" i="1"/>
  <c r="G3093" i="1"/>
  <c r="L3089" i="1"/>
  <c r="L3085" i="1"/>
  <c r="M3083" i="1"/>
  <c r="J3081" i="1"/>
  <c r="M3079" i="1"/>
  <c r="W3077" i="1"/>
  <c r="AH3075" i="1"/>
  <c r="W3073" i="1"/>
  <c r="AF3071" i="1"/>
  <c r="AI3069" i="1"/>
  <c r="AH3067" i="1"/>
  <c r="AI3061" i="1"/>
  <c r="J3054" i="1"/>
  <c r="J3052" i="1"/>
  <c r="G3050" i="1"/>
  <c r="L3048" i="1"/>
  <c r="L3046" i="1"/>
  <c r="W3044" i="1"/>
  <c r="AF3042" i="1"/>
  <c r="G3039" i="1"/>
  <c r="L3037" i="1"/>
  <c r="W3035" i="1"/>
  <c r="AI3033" i="1"/>
  <c r="L3030" i="1"/>
  <c r="AH3028" i="1"/>
  <c r="J3027" i="1"/>
  <c r="AI3025" i="1"/>
  <c r="W3024" i="1"/>
  <c r="AH3021" i="1"/>
  <c r="J3020" i="1"/>
  <c r="AI3018" i="1"/>
  <c r="M3017" i="1"/>
  <c r="G3016" i="1"/>
  <c r="AF3014" i="1"/>
  <c r="AI3011" i="1"/>
  <c r="L3010" i="1"/>
  <c r="W3007" i="1"/>
  <c r="J3006" i="1"/>
  <c r="AH3004" i="1"/>
  <c r="J3003" i="1"/>
  <c r="AI3001" i="1"/>
  <c r="W3000" i="1"/>
  <c r="AI2997" i="1"/>
  <c r="W2996" i="1"/>
  <c r="AI2993" i="1"/>
  <c r="W2992" i="1"/>
  <c r="J2991" i="1"/>
  <c r="AF2988" i="1"/>
  <c r="L2987" i="1"/>
  <c r="G2986" i="1"/>
  <c r="AH2984" i="1"/>
  <c r="M2983" i="1"/>
  <c r="AH2980" i="1"/>
  <c r="M2979" i="1"/>
  <c r="AI2976" i="1"/>
  <c r="W2975" i="1"/>
  <c r="J2974" i="1"/>
  <c r="AF2971" i="1"/>
  <c r="L2970" i="1"/>
  <c r="G2969" i="1"/>
  <c r="AH2967" i="1"/>
  <c r="L2966" i="1"/>
  <c r="G2965" i="1"/>
  <c r="AH2963" i="1"/>
  <c r="M2962" i="1"/>
  <c r="AI2959" i="1"/>
  <c r="W2958" i="1"/>
  <c r="J2957" i="1"/>
  <c r="AF2954" i="1"/>
  <c r="L2953" i="1"/>
  <c r="AF2950" i="1"/>
  <c r="L2949" i="1"/>
  <c r="AH2945" i="1"/>
  <c r="W2944" i="1"/>
  <c r="L2943" i="1"/>
  <c r="AH2939" i="1"/>
  <c r="W2938" i="1"/>
  <c r="L2937" i="1"/>
  <c r="AH2933" i="1"/>
  <c r="W2932" i="1"/>
  <c r="L2931" i="1"/>
  <c r="AH2927" i="1"/>
  <c r="W2926" i="1"/>
  <c r="L2925" i="1"/>
  <c r="AH2921" i="1"/>
  <c r="W2920" i="1"/>
  <c r="L2919" i="1"/>
  <c r="AH2915" i="1"/>
  <c r="W2914" i="1"/>
  <c r="L2913" i="1"/>
  <c r="AH2909" i="1"/>
  <c r="W2908" i="1"/>
  <c r="L2907" i="1"/>
  <c r="AH2903" i="1"/>
  <c r="W2902" i="1"/>
  <c r="L2901" i="1"/>
  <c r="AH2897" i="1"/>
  <c r="W2896" i="1"/>
  <c r="L2895" i="1"/>
  <c r="AH2891" i="1"/>
  <c r="W2890" i="1"/>
  <c r="L2889" i="1"/>
  <c r="AH2885" i="1"/>
  <c r="W2884" i="1"/>
  <c r="L2883" i="1"/>
  <c r="AH2879" i="1"/>
  <c r="W2878" i="1"/>
  <c r="L2877" i="1"/>
  <c r="AH2873" i="1"/>
  <c r="W2872" i="1"/>
  <c r="L2871" i="1"/>
  <c r="AH2867" i="1"/>
  <c r="W2866" i="1"/>
  <c r="L2865" i="1"/>
  <c r="AH2861" i="1"/>
  <c r="W2860" i="1"/>
  <c r="L2859" i="1"/>
  <c r="AH2855" i="1"/>
  <c r="W2854" i="1"/>
  <c r="L2853" i="1"/>
  <c r="AH2849" i="1"/>
  <c r="W2848" i="1"/>
  <c r="L2847" i="1"/>
  <c r="AH2843" i="1"/>
  <c r="W2842" i="1"/>
  <c r="L2841" i="1"/>
  <c r="AH2837" i="1"/>
  <c r="W2836" i="1"/>
  <c r="L2835" i="1"/>
  <c r="AH2831" i="1"/>
  <c r="W2830" i="1"/>
  <c r="L2829" i="1"/>
  <c r="AH2825" i="1"/>
  <c r="W2824" i="1"/>
  <c r="L2823" i="1"/>
  <c r="AH2819" i="1"/>
  <c r="W2818" i="1"/>
  <c r="L2817" i="1"/>
  <c r="AH2813" i="1"/>
  <c r="W2812" i="1"/>
  <c r="L2811" i="1"/>
  <c r="AH2807" i="1"/>
  <c r="W2806" i="1"/>
  <c r="L2805" i="1"/>
  <c r="AH2801" i="1"/>
  <c r="W2800" i="1"/>
  <c r="L2799" i="1"/>
  <c r="AH2795" i="1"/>
  <c r="W2794" i="1"/>
  <c r="L2793" i="1"/>
  <c r="AH2789" i="1"/>
  <c r="W2788" i="1"/>
  <c r="L2787" i="1"/>
  <c r="AH2783" i="1"/>
  <c r="W2782" i="1"/>
  <c r="L2781" i="1"/>
  <c r="AH2777" i="1"/>
  <c r="W2776" i="1"/>
  <c r="L2775" i="1"/>
  <c r="AH2771" i="1"/>
  <c r="W2770" i="1"/>
  <c r="L2769" i="1"/>
  <c r="AH2765" i="1"/>
  <c r="W2764" i="1"/>
  <c r="AI4221" i="1"/>
  <c r="AF4202" i="1"/>
  <c r="W4148" i="1"/>
  <c r="AH4139" i="1"/>
  <c r="AI4110" i="1"/>
  <c r="AI4087" i="1"/>
  <c r="W4068" i="1"/>
  <c r="M3926" i="1"/>
  <c r="L3916" i="1"/>
  <c r="L3907" i="1"/>
  <c r="J3880" i="1"/>
  <c r="AH3785" i="1"/>
  <c r="L3769" i="1"/>
  <c r="AF3723" i="1"/>
  <c r="J3715" i="1"/>
  <c r="AI3708" i="1"/>
  <c r="G3701" i="1"/>
  <c r="AI3688" i="1"/>
  <c r="AF3681" i="1"/>
  <c r="AF3676" i="1"/>
  <c r="M3661" i="1"/>
  <c r="AI3655" i="1"/>
  <c r="AF3599" i="1"/>
  <c r="J3583" i="1"/>
  <c r="G3576" i="1"/>
  <c r="M3558" i="1"/>
  <c r="AH3542" i="1"/>
  <c r="AI3531" i="1"/>
  <c r="G3522" i="1"/>
  <c r="W3503" i="1"/>
  <c r="M3494" i="1"/>
  <c r="AH3488" i="1"/>
  <c r="AH3484" i="1"/>
  <c r="G3480" i="1"/>
  <c r="W3471" i="1"/>
  <c r="J3462" i="1"/>
  <c r="W3458" i="1"/>
  <c r="AH3453" i="1"/>
  <c r="G3445" i="1"/>
  <c r="L3441" i="1"/>
  <c r="G3432" i="1"/>
  <c r="AI3418" i="1"/>
  <c r="AH3401" i="1"/>
  <c r="G3390" i="1"/>
  <c r="M3386" i="1"/>
  <c r="AH3383" i="1"/>
  <c r="AH3376" i="1"/>
  <c r="AH3369" i="1"/>
  <c r="G3366" i="1"/>
  <c r="G3359" i="1"/>
  <c r="G3356" i="1"/>
  <c r="AF3352" i="1"/>
  <c r="J3349" i="1"/>
  <c r="AH3345" i="1"/>
  <c r="AF3338" i="1"/>
  <c r="AH3334" i="1"/>
  <c r="AI3327" i="1"/>
  <c r="G3325" i="1"/>
  <c r="W3321" i="1"/>
  <c r="AH3317" i="1"/>
  <c r="J3306" i="1"/>
  <c r="J3303" i="1"/>
  <c r="M3300" i="1"/>
  <c r="AH3296" i="1"/>
  <c r="W3290" i="1"/>
  <c r="AI3286" i="1"/>
  <c r="AI3283" i="1"/>
  <c r="M3280" i="1"/>
  <c r="M3277" i="1"/>
  <c r="J3274" i="1"/>
  <c r="W3271" i="1"/>
  <c r="L3268" i="1"/>
  <c r="AI3264" i="1"/>
  <c r="AF3258" i="1"/>
  <c r="W3252" i="1"/>
  <c r="AI3246" i="1"/>
  <c r="L3241" i="1"/>
  <c r="M3238" i="1"/>
  <c r="M3235" i="1"/>
  <c r="M3229" i="1"/>
  <c r="J3208" i="1"/>
  <c r="W3205" i="1"/>
  <c r="L3202" i="1"/>
  <c r="AH3199" i="1"/>
  <c r="M3196" i="1"/>
  <c r="J3190" i="1"/>
  <c r="AH3186" i="1"/>
  <c r="AH3180" i="1"/>
  <c r="J3178" i="1"/>
  <c r="L3172" i="1"/>
  <c r="M3169" i="1"/>
  <c r="W3163" i="1"/>
  <c r="G3161" i="1"/>
  <c r="W3157" i="1"/>
  <c r="L3151" i="1"/>
  <c r="L3145" i="1"/>
  <c r="L3139" i="1"/>
  <c r="L3136" i="1"/>
  <c r="AH3133" i="1"/>
  <c r="M3130" i="1"/>
  <c r="AI3127" i="1"/>
  <c r="AH3121" i="1"/>
  <c r="M3118" i="1"/>
  <c r="AI3114" i="1"/>
  <c r="J3112" i="1"/>
  <c r="AI3108" i="1"/>
  <c r="L3106" i="1"/>
  <c r="L3103" i="1"/>
  <c r="M3100" i="1"/>
  <c r="W3097" i="1"/>
  <c r="G3095" i="1"/>
  <c r="AH3091" i="1"/>
  <c r="AH3085" i="1"/>
  <c r="G3083" i="1"/>
  <c r="W3079" i="1"/>
  <c r="J3076" i="1"/>
  <c r="M3073" i="1"/>
  <c r="J3070" i="1"/>
  <c r="M3067" i="1"/>
  <c r="M3064" i="1"/>
  <c r="G3053" i="1"/>
  <c r="AI3049" i="1"/>
  <c r="M3035" i="1"/>
  <c r="AF3032" i="1"/>
  <c r="W3030" i="1"/>
  <c r="AI3027" i="1"/>
  <c r="AF3025" i="1"/>
  <c r="L3023" i="1"/>
  <c r="AH3018" i="1"/>
  <c r="L3016" i="1"/>
  <c r="J3014" i="1"/>
  <c r="M3009" i="1"/>
  <c r="M3007" i="1"/>
  <c r="G3003" i="1"/>
  <c r="AF3000" i="1"/>
  <c r="J2998" i="1"/>
  <c r="J2996" i="1"/>
  <c r="AH2987" i="1"/>
  <c r="AH2983" i="1"/>
  <c r="AI2981" i="1"/>
  <c r="W2979" i="1"/>
  <c r="L2977" i="1"/>
  <c r="L2975" i="1"/>
  <c r="L2971" i="1"/>
  <c r="AI2966" i="1"/>
  <c r="AF2962" i="1"/>
  <c r="AI2960" i="1"/>
  <c r="M2958" i="1"/>
  <c r="J2956" i="1"/>
  <c r="L2954" i="1"/>
  <c r="J2952" i="1"/>
  <c r="L2950" i="1"/>
  <c r="L2948" i="1"/>
  <c r="AF2946" i="1"/>
  <c r="M2944" i="1"/>
  <c r="W2942" i="1"/>
  <c r="AI2940" i="1"/>
  <c r="AH2938" i="1"/>
  <c r="G2937" i="1"/>
  <c r="G2935" i="1"/>
  <c r="J2931" i="1"/>
  <c r="J2929" i="1"/>
  <c r="W2927" i="1"/>
  <c r="W2925" i="1"/>
  <c r="AI2923" i="1"/>
  <c r="AI2921" i="1"/>
  <c r="AH2919" i="1"/>
  <c r="G2918" i="1"/>
  <c r="G2916" i="1"/>
  <c r="J2914" i="1"/>
  <c r="L2912" i="1"/>
  <c r="AF2910" i="1"/>
  <c r="M2908" i="1"/>
  <c r="W2906" i="1"/>
  <c r="AI2904" i="1"/>
  <c r="AH2902" i="1"/>
  <c r="G2901" i="1"/>
  <c r="G2899" i="1"/>
  <c r="J2895" i="1"/>
  <c r="J2893" i="1"/>
  <c r="W2891" i="1"/>
  <c r="W2889" i="1"/>
  <c r="AI2887" i="1"/>
  <c r="AI2885" i="1"/>
  <c r="AH2883" i="1"/>
  <c r="G2882" i="1"/>
  <c r="G2880" i="1"/>
  <c r="J2878" i="1"/>
  <c r="L2876" i="1"/>
  <c r="AF2874" i="1"/>
  <c r="M2872" i="1"/>
  <c r="W2870" i="1"/>
  <c r="AI2868" i="1"/>
  <c r="AH2866" i="1"/>
  <c r="G2865" i="1"/>
  <c r="G2863" i="1"/>
  <c r="J2859" i="1"/>
  <c r="J2857" i="1"/>
  <c r="W2855" i="1"/>
  <c r="W2853" i="1"/>
  <c r="AI2851" i="1"/>
  <c r="AI2849" i="1"/>
  <c r="AH2847" i="1"/>
  <c r="G2846" i="1"/>
  <c r="G2844" i="1"/>
  <c r="J2842" i="1"/>
  <c r="L2840" i="1"/>
  <c r="AF2838" i="1"/>
  <c r="M2836" i="1"/>
  <c r="W2834" i="1"/>
  <c r="AI2832" i="1"/>
  <c r="AH2830" i="1"/>
  <c r="G2829" i="1"/>
  <c r="G2827" i="1"/>
  <c r="J2823" i="1"/>
  <c r="J2821" i="1"/>
  <c r="W2819" i="1"/>
  <c r="W2817" i="1"/>
  <c r="AI2815" i="1"/>
  <c r="AI2813" i="1"/>
  <c r="AH2811" i="1"/>
  <c r="G2810" i="1"/>
  <c r="G2808" i="1"/>
  <c r="J2806" i="1"/>
  <c r="L2804" i="1"/>
  <c r="AF2802" i="1"/>
  <c r="M2800" i="1"/>
  <c r="W2798" i="1"/>
  <c r="AI2796" i="1"/>
  <c r="AH2794" i="1"/>
  <c r="G2793" i="1"/>
  <c r="G2791" i="1"/>
  <c r="J2787" i="1"/>
  <c r="J2785" i="1"/>
  <c r="W2783" i="1"/>
  <c r="W2781" i="1"/>
  <c r="AI2779" i="1"/>
  <c r="AI2777" i="1"/>
  <c r="AH2775" i="1"/>
  <c r="G2774" i="1"/>
  <c r="G2772" i="1"/>
  <c r="J2770" i="1"/>
  <c r="L2768" i="1"/>
  <c r="AF2766" i="1"/>
  <c r="AH2764" i="1"/>
  <c r="J2763" i="1"/>
  <c r="AI2761" i="1"/>
  <c r="G2760" i="1"/>
  <c r="W2758" i="1"/>
  <c r="AF2755" i="1"/>
  <c r="M2752" i="1"/>
  <c r="G2751" i="1"/>
  <c r="L2749" i="1"/>
  <c r="AI2747" i="1"/>
  <c r="L2746" i="1"/>
  <c r="J2743" i="1"/>
  <c r="AH2741" i="1"/>
  <c r="J2740" i="1"/>
  <c r="AI2738" i="1"/>
  <c r="AF2735" i="1"/>
  <c r="G2734" i="1"/>
  <c r="W2732" i="1"/>
  <c r="G2731" i="1"/>
  <c r="W2729" i="1"/>
  <c r="M2726" i="1"/>
  <c r="M2723" i="1"/>
  <c r="AH2721" i="1"/>
  <c r="L2720" i="1"/>
  <c r="AI2718" i="1"/>
  <c r="M2717" i="1"/>
  <c r="W2714" i="1"/>
  <c r="AH2711" i="1"/>
  <c r="L2710" i="1"/>
  <c r="W2707" i="1"/>
  <c r="G2706" i="1"/>
  <c r="AF2704" i="1"/>
  <c r="J2703" i="1"/>
  <c r="M2700" i="1"/>
  <c r="AI2697" i="1"/>
  <c r="AF2696" i="1"/>
  <c r="L2695" i="1"/>
  <c r="G2694" i="1"/>
  <c r="AH2692" i="1"/>
  <c r="M2691" i="1"/>
  <c r="J2690" i="1"/>
  <c r="AF2687" i="1"/>
  <c r="L2686" i="1"/>
  <c r="G2685" i="1"/>
  <c r="AI2683" i="1"/>
  <c r="M2682" i="1"/>
  <c r="AI2679" i="1"/>
  <c r="AF2678" i="1"/>
  <c r="L2677" i="1"/>
  <c r="G2676" i="1"/>
  <c r="AH2674" i="1"/>
  <c r="M2673" i="1"/>
  <c r="J2672" i="1"/>
  <c r="AF2669" i="1"/>
  <c r="L2668" i="1"/>
  <c r="G2667" i="1"/>
  <c r="AI2665" i="1"/>
  <c r="M2664" i="1"/>
  <c r="AI2661" i="1"/>
  <c r="AF2660" i="1"/>
  <c r="L2659" i="1"/>
  <c r="AH2655" i="1"/>
  <c r="W2654" i="1"/>
  <c r="L2653" i="1"/>
  <c r="AH2649" i="1"/>
  <c r="W2648" i="1"/>
  <c r="L2647" i="1"/>
  <c r="AH2643" i="1"/>
  <c r="W2642" i="1"/>
  <c r="L2641" i="1"/>
  <c r="AH2637" i="1"/>
  <c r="W2636" i="1"/>
  <c r="L2635" i="1"/>
  <c r="AH2631" i="1"/>
  <c r="W2630" i="1"/>
  <c r="L2629" i="1"/>
  <c r="AH2625" i="1"/>
  <c r="W2624" i="1"/>
  <c r="L2623" i="1"/>
  <c r="AH2619" i="1"/>
  <c r="W2618" i="1"/>
  <c r="L2617" i="1"/>
  <c r="AH2613" i="1"/>
  <c r="W2612" i="1"/>
  <c r="L2611" i="1"/>
  <c r="AH2607" i="1"/>
  <c r="W2606" i="1"/>
  <c r="L2605" i="1"/>
  <c r="AH2601" i="1"/>
  <c r="W2600" i="1"/>
  <c r="L2599" i="1"/>
  <c r="AH2595" i="1"/>
  <c r="W2594" i="1"/>
  <c r="L2593" i="1"/>
  <c r="AH2589" i="1"/>
  <c r="W2588" i="1"/>
  <c r="L2587" i="1"/>
  <c r="AH2583" i="1"/>
  <c r="W2582" i="1"/>
  <c r="L2581" i="1"/>
  <c r="AH2577" i="1"/>
  <c r="W2576" i="1"/>
  <c r="L2575" i="1"/>
  <c r="AH2571" i="1"/>
  <c r="W2570" i="1"/>
  <c r="L2569" i="1"/>
  <c r="AH2565" i="1"/>
  <c r="W2564" i="1"/>
  <c r="L2563" i="1"/>
  <c r="AH2559" i="1"/>
  <c r="W2558" i="1"/>
  <c r="L2557" i="1"/>
  <c r="AH2553" i="1"/>
  <c r="W2552" i="1"/>
  <c r="L2551" i="1"/>
  <c r="AH2547" i="1"/>
  <c r="W2546" i="1"/>
  <c r="L2545" i="1"/>
  <c r="AH2541" i="1"/>
  <c r="W2540" i="1"/>
  <c r="L2539" i="1"/>
  <c r="AH2535" i="1"/>
  <c r="W2534" i="1"/>
  <c r="L2533" i="1"/>
  <c r="AH2529" i="1"/>
  <c r="W2528" i="1"/>
  <c r="L2527" i="1"/>
  <c r="AH2523" i="1"/>
  <c r="W2522" i="1"/>
  <c r="L2521" i="1"/>
  <c r="AH2517" i="1"/>
  <c r="W2516" i="1"/>
  <c r="L2515" i="1"/>
  <c r="AH2511" i="1"/>
  <c r="W2510" i="1"/>
  <c r="L2509" i="1"/>
  <c r="AH2505" i="1"/>
  <c r="W2504" i="1"/>
  <c r="L2503" i="1"/>
  <c r="AH2499" i="1"/>
  <c r="W2498" i="1"/>
  <c r="L2497" i="1"/>
  <c r="AH2493" i="1"/>
  <c r="W2492" i="1"/>
  <c r="L2491" i="1"/>
  <c r="AH2487" i="1"/>
  <c r="W2486" i="1"/>
  <c r="L2485" i="1"/>
  <c r="AH2481" i="1"/>
  <c r="W2480" i="1"/>
  <c r="L2479" i="1"/>
  <c r="AH2475" i="1"/>
  <c r="W2474" i="1"/>
  <c r="L2473" i="1"/>
  <c r="AH2469" i="1"/>
  <c r="W2468" i="1"/>
  <c r="L2467" i="1"/>
  <c r="AH2463" i="1"/>
  <c r="W2462" i="1"/>
  <c r="L2461" i="1"/>
  <c r="AH2457" i="1"/>
  <c r="W2456" i="1"/>
  <c r="L2455" i="1"/>
  <c r="AH2451" i="1"/>
  <c r="W2450" i="1"/>
  <c r="L2449" i="1"/>
  <c r="AH2445" i="1"/>
  <c r="W2444" i="1"/>
  <c r="L2443" i="1"/>
  <c r="AH2439" i="1"/>
  <c r="W2438" i="1"/>
  <c r="L2437" i="1"/>
  <c r="AH2433" i="1"/>
  <c r="W2432" i="1"/>
  <c r="L2431" i="1"/>
  <c r="AH4221" i="1"/>
  <c r="L4087" i="1"/>
  <c r="G4018" i="1"/>
  <c r="M3989" i="1"/>
  <c r="G3979" i="1"/>
  <c r="AH3934" i="1"/>
  <c r="G3888" i="1"/>
  <c r="AH3870" i="1"/>
  <c r="J3851" i="1"/>
  <c r="AH3834" i="1"/>
  <c r="M3809" i="1"/>
  <c r="AI3800" i="1"/>
  <c r="G3769" i="1"/>
  <c r="AI3737" i="1"/>
  <c r="M3723" i="1"/>
  <c r="G3715" i="1"/>
  <c r="L3681" i="1"/>
  <c r="G3668" i="1"/>
  <c r="AH3647" i="1"/>
  <c r="AH3640" i="1"/>
  <c r="M3629" i="1"/>
  <c r="AH3611" i="1"/>
  <c r="J3605" i="1"/>
  <c r="G3593" i="1"/>
  <c r="M3587" i="1"/>
  <c r="M3569" i="1"/>
  <c r="G3558" i="1"/>
  <c r="AF3552" i="1"/>
  <c r="W3546" i="1"/>
  <c r="W3542" i="1"/>
  <c r="AH3536" i="1"/>
  <c r="AH3526" i="1"/>
  <c r="AI3517" i="1"/>
  <c r="AI3512" i="1"/>
  <c r="W3507" i="1"/>
  <c r="AF3488" i="1"/>
  <c r="W3474" i="1"/>
  <c r="J3441" i="1"/>
  <c r="AI3435" i="1"/>
  <c r="W3427" i="1"/>
  <c r="W3418" i="1"/>
  <c r="L3409" i="1"/>
  <c r="L3405" i="1"/>
  <c r="G3401" i="1"/>
  <c r="AF3392" i="1"/>
  <c r="G3383" i="1"/>
  <c r="AH3379" i="1"/>
  <c r="G3373" i="1"/>
  <c r="AF3345" i="1"/>
  <c r="AF3341" i="1"/>
  <c r="M3338" i="1"/>
  <c r="W3334" i="1"/>
  <c r="W3331" i="1"/>
  <c r="AF3327" i="1"/>
  <c r="J3321" i="1"/>
  <c r="AF3317" i="1"/>
  <c r="AH3314" i="1"/>
  <c r="M3311" i="1"/>
  <c r="AI3308" i="1"/>
  <c r="G3303" i="1"/>
  <c r="AF3296" i="1"/>
  <c r="J3290" i="1"/>
  <c r="AH3286" i="1"/>
  <c r="J3280" i="1"/>
  <c r="AH3264" i="1"/>
  <c r="L3258" i="1"/>
  <c r="L3252" i="1"/>
  <c r="J3249" i="1"/>
  <c r="AF3246" i="1"/>
  <c r="AH3243" i="1"/>
  <c r="L3235" i="1"/>
  <c r="AI3222" i="1"/>
  <c r="AI3219" i="1"/>
  <c r="L3216" i="1"/>
  <c r="AH3213" i="1"/>
  <c r="W3210" i="1"/>
  <c r="M3205" i="1"/>
  <c r="J3202" i="1"/>
  <c r="W3199" i="1"/>
  <c r="L3196" i="1"/>
  <c r="AI3192" i="1"/>
  <c r="AF3186" i="1"/>
  <c r="W3180" i="1"/>
  <c r="AI3174" i="1"/>
  <c r="L3169" i="1"/>
  <c r="M3166" i="1"/>
  <c r="M3163" i="1"/>
  <c r="M3157" i="1"/>
  <c r="J3136" i="1"/>
  <c r="W3133" i="1"/>
  <c r="L3130" i="1"/>
  <c r="AH3127" i="1"/>
  <c r="M3124" i="1"/>
  <c r="J3118" i="1"/>
  <c r="AH3114" i="1"/>
  <c r="AH3108" i="1"/>
  <c r="J3106" i="1"/>
  <c r="L3100" i="1"/>
  <c r="M3097" i="1"/>
  <c r="W3091" i="1"/>
  <c r="G3089" i="1"/>
  <c r="W3085" i="1"/>
  <c r="L3079" i="1"/>
  <c r="L3073" i="1"/>
  <c r="L3067" i="1"/>
  <c r="L3064" i="1"/>
  <c r="AH3061" i="1"/>
  <c r="M3058" i="1"/>
  <c r="AI3055" i="1"/>
  <c r="AH3049" i="1"/>
  <c r="M3046" i="1"/>
  <c r="AH3040" i="1"/>
  <c r="AI3037" i="1"/>
  <c r="L3035" i="1"/>
  <c r="W3032" i="1"/>
  <c r="J3030" i="1"/>
  <c r="AH3027" i="1"/>
  <c r="W3025" i="1"/>
  <c r="J3023" i="1"/>
  <c r="AH3020" i="1"/>
  <c r="AF3018" i="1"/>
  <c r="J3016" i="1"/>
  <c r="AF3011" i="1"/>
  <c r="J3009" i="1"/>
  <c r="L3007" i="1"/>
  <c r="G3005" i="1"/>
  <c r="M3000" i="1"/>
  <c r="AH2991" i="1"/>
  <c r="AI2989" i="1"/>
  <c r="AF2987" i="1"/>
  <c r="AI2985" i="1"/>
  <c r="AF2983" i="1"/>
  <c r="AH2981" i="1"/>
  <c r="L2979" i="1"/>
  <c r="J2975" i="1"/>
  <c r="G2973" i="1"/>
  <c r="AH2966" i="1"/>
  <c r="AI2964" i="1"/>
  <c r="W2962" i="1"/>
  <c r="J2960" i="1"/>
  <c r="L2958" i="1"/>
  <c r="J2954" i="1"/>
  <c r="J2948" i="1"/>
  <c r="L2944" i="1"/>
  <c r="M2942" i="1"/>
  <c r="AH2940" i="1"/>
  <c r="AF2938" i="1"/>
  <c r="AI2932" i="1"/>
  <c r="M2927" i="1"/>
  <c r="M2925" i="1"/>
  <c r="L2923" i="1"/>
  <c r="AF2921" i="1"/>
  <c r="AF2919" i="1"/>
  <c r="J2912" i="1"/>
  <c r="L2908" i="1"/>
  <c r="M2906" i="1"/>
  <c r="AH2904" i="1"/>
  <c r="AF2902" i="1"/>
  <c r="AI2896" i="1"/>
  <c r="M2891" i="1"/>
  <c r="M2889" i="1"/>
  <c r="L2887" i="1"/>
  <c r="AF2885" i="1"/>
  <c r="AF2883" i="1"/>
  <c r="J2876" i="1"/>
  <c r="L2872" i="1"/>
  <c r="M2870" i="1"/>
  <c r="AH2868" i="1"/>
  <c r="AF2866" i="1"/>
  <c r="AI2860" i="1"/>
  <c r="M2855" i="1"/>
  <c r="M2853" i="1"/>
  <c r="L2851" i="1"/>
  <c r="AF2849" i="1"/>
  <c r="AF2847" i="1"/>
  <c r="J2840" i="1"/>
  <c r="L2836" i="1"/>
  <c r="M2834" i="1"/>
  <c r="AH2832" i="1"/>
  <c r="AF2830" i="1"/>
  <c r="AI2824" i="1"/>
  <c r="M2819" i="1"/>
  <c r="M2817" i="1"/>
  <c r="L2815" i="1"/>
  <c r="AF2813" i="1"/>
  <c r="AF2811" i="1"/>
  <c r="J2804" i="1"/>
  <c r="L2800" i="1"/>
  <c r="M2798" i="1"/>
  <c r="AH2796" i="1"/>
  <c r="AF2794" i="1"/>
  <c r="AI2788" i="1"/>
  <c r="M2783" i="1"/>
  <c r="M2781" i="1"/>
  <c r="L2779" i="1"/>
  <c r="AF2777" i="1"/>
  <c r="AF2775" i="1"/>
  <c r="J2768" i="1"/>
  <c r="M2766" i="1"/>
  <c r="AF2764" i="1"/>
  <c r="AF2761" i="1"/>
  <c r="M2758" i="1"/>
  <c r="G2757" i="1"/>
  <c r="L2755" i="1"/>
  <c r="AI2753" i="1"/>
  <c r="L2752" i="1"/>
  <c r="J2749" i="1"/>
  <c r="AH2747" i="1"/>
  <c r="J2746" i="1"/>
  <c r="AI2744" i="1"/>
  <c r="AF2741" i="1"/>
  <c r="G2740" i="1"/>
  <c r="W2738" i="1"/>
  <c r="G2737" i="1"/>
  <c r="W2735" i="1"/>
  <c r="M2732" i="1"/>
  <c r="M2729" i="1"/>
  <c r="AH2727" i="1"/>
  <c r="L2726" i="1"/>
  <c r="AI2724" i="1"/>
  <c r="J2723" i="1"/>
  <c r="AF2721" i="1"/>
  <c r="J2720" i="1"/>
  <c r="AH2718" i="1"/>
  <c r="J2717" i="1"/>
  <c r="AH2715" i="1"/>
  <c r="M2714" i="1"/>
  <c r="G2713" i="1"/>
  <c r="AF2711" i="1"/>
  <c r="J2710" i="1"/>
  <c r="AI2708" i="1"/>
  <c r="L2707" i="1"/>
  <c r="W2704" i="1"/>
  <c r="AI2701" i="1"/>
  <c r="L2700" i="1"/>
  <c r="G2699" i="1"/>
  <c r="AH2697" i="1"/>
  <c r="W2696" i="1"/>
  <c r="J2695" i="1"/>
  <c r="AF2692" i="1"/>
  <c r="L2691" i="1"/>
  <c r="AI2688" i="1"/>
  <c r="W2687" i="1"/>
  <c r="J2686" i="1"/>
  <c r="AF2683" i="1"/>
  <c r="L2682" i="1"/>
  <c r="G2681" i="1"/>
  <c r="AH2679" i="1"/>
  <c r="W2678" i="1"/>
  <c r="J2677" i="1"/>
  <c r="AF2674" i="1"/>
  <c r="L2673" i="1"/>
  <c r="AI2670" i="1"/>
  <c r="W2669" i="1"/>
  <c r="J2668" i="1"/>
  <c r="AF2665" i="1"/>
  <c r="L2664" i="1"/>
  <c r="G2663" i="1"/>
  <c r="AH2661" i="1"/>
  <c r="W2660" i="1"/>
  <c r="J2659" i="1"/>
  <c r="G2658" i="1"/>
  <c r="AI2656" i="1"/>
  <c r="AF2655" i="1"/>
  <c r="M2654" i="1"/>
  <c r="J2653" i="1"/>
  <c r="G2652" i="1"/>
  <c r="AI2650" i="1"/>
  <c r="AF2649" i="1"/>
  <c r="M2648" i="1"/>
  <c r="J2647" i="1"/>
  <c r="G2646" i="1"/>
  <c r="AI2644" i="1"/>
  <c r="AF2643" i="1"/>
  <c r="M2642" i="1"/>
  <c r="J2641" i="1"/>
  <c r="G2640" i="1"/>
  <c r="AI2638" i="1"/>
  <c r="AF2637" i="1"/>
  <c r="M2636" i="1"/>
  <c r="J2635" i="1"/>
  <c r="G2634" i="1"/>
  <c r="AI2632" i="1"/>
  <c r="AF2631" i="1"/>
  <c r="M2630" i="1"/>
  <c r="J2629" i="1"/>
  <c r="G2628" i="1"/>
  <c r="AI2626" i="1"/>
  <c r="AF2625" i="1"/>
  <c r="M2624" i="1"/>
  <c r="J2623" i="1"/>
  <c r="G2622" i="1"/>
  <c r="AI2620" i="1"/>
  <c r="AF2619" i="1"/>
  <c r="M2618" i="1"/>
  <c r="J2617" i="1"/>
  <c r="G2616" i="1"/>
  <c r="AI2614" i="1"/>
  <c r="AF2613" i="1"/>
  <c r="M2612" i="1"/>
  <c r="J2611" i="1"/>
  <c r="G2610" i="1"/>
  <c r="AI2608" i="1"/>
  <c r="AF2607" i="1"/>
  <c r="M2606" i="1"/>
  <c r="J2605" i="1"/>
  <c r="G2604" i="1"/>
  <c r="AI2602" i="1"/>
  <c r="AF2601" i="1"/>
  <c r="M2600" i="1"/>
  <c r="J2599" i="1"/>
  <c r="G2598" i="1"/>
  <c r="AI2596" i="1"/>
  <c r="AF2595" i="1"/>
  <c r="M2594" i="1"/>
  <c r="J2593" i="1"/>
  <c r="G2592" i="1"/>
  <c r="AI2590" i="1"/>
  <c r="AF2589" i="1"/>
  <c r="M2588" i="1"/>
  <c r="J2587" i="1"/>
  <c r="G2586" i="1"/>
  <c r="AI2584" i="1"/>
  <c r="AF2583" i="1"/>
  <c r="M2582" i="1"/>
  <c r="J2581" i="1"/>
  <c r="G2580" i="1"/>
  <c r="AI2578" i="1"/>
  <c r="AF2577" i="1"/>
  <c r="M2576" i="1"/>
  <c r="J2575" i="1"/>
  <c r="G2574" i="1"/>
  <c r="AI2572" i="1"/>
  <c r="AF2571" i="1"/>
  <c r="M2570" i="1"/>
  <c r="J2569" i="1"/>
  <c r="G2568" i="1"/>
  <c r="AI2566" i="1"/>
  <c r="AF2565" i="1"/>
  <c r="M2564" i="1"/>
  <c r="J2563" i="1"/>
  <c r="G2562" i="1"/>
  <c r="AI2560" i="1"/>
  <c r="AF2559" i="1"/>
  <c r="M2558" i="1"/>
  <c r="J2557" i="1"/>
  <c r="G2556" i="1"/>
  <c r="AI2554" i="1"/>
  <c r="AF2553" i="1"/>
  <c r="M2552" i="1"/>
  <c r="J2551" i="1"/>
  <c r="G2550" i="1"/>
  <c r="AI2548" i="1"/>
  <c r="AF2547" i="1"/>
  <c r="M2546" i="1"/>
  <c r="J2545" i="1"/>
  <c r="G2544" i="1"/>
  <c r="AI2542" i="1"/>
  <c r="AF2541" i="1"/>
  <c r="M2540" i="1"/>
  <c r="J2539" i="1"/>
  <c r="G2538" i="1"/>
  <c r="AI2536" i="1"/>
  <c r="AF2535" i="1"/>
  <c r="M2534" i="1"/>
  <c r="J2533" i="1"/>
  <c r="G2532" i="1"/>
  <c r="AI2530" i="1"/>
  <c r="AF2529" i="1"/>
  <c r="M2528" i="1"/>
  <c r="J2527" i="1"/>
  <c r="G2526" i="1"/>
  <c r="AI2524" i="1"/>
  <c r="AF2523" i="1"/>
  <c r="M2522" i="1"/>
  <c r="J2521" i="1"/>
  <c r="G2520" i="1"/>
  <c r="AI2518" i="1"/>
  <c r="AF2517" i="1"/>
  <c r="M2516" i="1"/>
  <c r="J2515" i="1"/>
  <c r="G2514" i="1"/>
  <c r="AI2512" i="1"/>
  <c r="AF2511" i="1"/>
  <c r="M2510" i="1"/>
  <c r="J2509" i="1"/>
  <c r="G2508" i="1"/>
  <c r="AI2506" i="1"/>
  <c r="AF2505" i="1"/>
  <c r="M2504" i="1"/>
  <c r="J2503" i="1"/>
  <c r="G2502" i="1"/>
  <c r="AI2500" i="1"/>
  <c r="AF2499" i="1"/>
  <c r="M2498" i="1"/>
  <c r="J2497" i="1"/>
  <c r="G2496" i="1"/>
  <c r="AI2494" i="1"/>
  <c r="AF2493" i="1"/>
  <c r="M2492" i="1"/>
  <c r="J2491" i="1"/>
  <c r="G2490" i="1"/>
  <c r="AI2488" i="1"/>
  <c r="AF2487" i="1"/>
  <c r="M2486" i="1"/>
  <c r="J2485" i="1"/>
  <c r="G2484" i="1"/>
  <c r="AI2482" i="1"/>
  <c r="AF2481" i="1"/>
  <c r="M2480" i="1"/>
  <c r="J2479" i="1"/>
  <c r="G2478" i="1"/>
  <c r="AI2476" i="1"/>
  <c r="AF2475" i="1"/>
  <c r="M2474" i="1"/>
  <c r="J2473" i="1"/>
  <c r="G2472" i="1"/>
  <c r="AI2470" i="1"/>
  <c r="AF2469" i="1"/>
  <c r="M2468" i="1"/>
  <c r="J2467" i="1"/>
  <c r="G2466" i="1"/>
  <c r="AI2464" i="1"/>
  <c r="AF2463" i="1"/>
  <c r="M2462" i="1"/>
  <c r="J2461" i="1"/>
  <c r="G2460" i="1"/>
  <c r="AI2458" i="1"/>
  <c r="AF2457" i="1"/>
  <c r="M2456" i="1"/>
  <c r="J2455" i="1"/>
  <c r="G2454" i="1"/>
  <c r="AI2452" i="1"/>
  <c r="AF2451" i="1"/>
  <c r="M2450" i="1"/>
  <c r="J2449" i="1"/>
  <c r="G2448" i="1"/>
  <c r="AI2446" i="1"/>
  <c r="AF2445" i="1"/>
  <c r="M2444" i="1"/>
  <c r="J2443" i="1"/>
  <c r="G2442" i="1"/>
  <c r="AI2440" i="1"/>
  <c r="AF2439" i="1"/>
  <c r="M2438" i="1"/>
  <c r="L4300" i="1"/>
  <c r="AH4254" i="1"/>
  <c r="L4008" i="1"/>
  <c r="G3942" i="1"/>
  <c r="AF3934" i="1"/>
  <c r="AF3870" i="1"/>
  <c r="J3817" i="1"/>
  <c r="W3775" i="1"/>
  <c r="L3759" i="1"/>
  <c r="AF3737" i="1"/>
  <c r="L3729" i="1"/>
  <c r="L3687" i="1"/>
  <c r="G3647" i="1"/>
  <c r="AF3640" i="1"/>
  <c r="AF3634" i="1"/>
  <c r="L3629" i="1"/>
  <c r="AI3623" i="1"/>
  <c r="AF3611" i="1"/>
  <c r="G3605" i="1"/>
  <c r="L3587" i="1"/>
  <c r="M3575" i="1"/>
  <c r="J3569" i="1"/>
  <c r="W3552" i="1"/>
  <c r="M3546" i="1"/>
  <c r="AI3530" i="1"/>
  <c r="W3526" i="1"/>
  <c r="AH3521" i="1"/>
  <c r="AH3517" i="1"/>
  <c r="L3507" i="1"/>
  <c r="L3502" i="1"/>
  <c r="L3498" i="1"/>
  <c r="AH3483" i="1"/>
  <c r="W3479" i="1"/>
  <c r="L3474" i="1"/>
  <c r="M3465" i="1"/>
  <c r="W3457" i="1"/>
  <c r="AF3452" i="1"/>
  <c r="M3448" i="1"/>
  <c r="AI3444" i="1"/>
  <c r="AF3435" i="1"/>
  <c r="G3431" i="1"/>
  <c r="L3427" i="1"/>
  <c r="AF3422" i="1"/>
  <c r="J3409" i="1"/>
  <c r="J3405" i="1"/>
  <c r="G3396" i="1"/>
  <c r="W3392" i="1"/>
  <c r="L3389" i="1"/>
  <c r="AI3385" i="1"/>
  <c r="W3379" i="1"/>
  <c r="AF3375" i="1"/>
  <c r="AF3368" i="1"/>
  <c r="AF3365" i="1"/>
  <c r="AI3361" i="1"/>
  <c r="AH3358" i="1"/>
  <c r="AI3351" i="1"/>
  <c r="W3348" i="1"/>
  <c r="M3341" i="1"/>
  <c r="M3334" i="1"/>
  <c r="M3331" i="1"/>
  <c r="W3327" i="1"/>
  <c r="G3324" i="1"/>
  <c r="G3321" i="1"/>
  <c r="L3317" i="1"/>
  <c r="AF3314" i="1"/>
  <c r="L3311" i="1"/>
  <c r="AF3308" i="1"/>
  <c r="AH3305" i="1"/>
  <c r="J3299" i="1"/>
  <c r="G3296" i="1"/>
  <c r="W3286" i="1"/>
  <c r="AF3282" i="1"/>
  <c r="AF3276" i="1"/>
  <c r="AI3273" i="1"/>
  <c r="AH3270" i="1"/>
  <c r="AF3264" i="1"/>
  <c r="G3261" i="1"/>
  <c r="J3258" i="1"/>
  <c r="G3255" i="1"/>
  <c r="J3252" i="1"/>
  <c r="W3246" i="1"/>
  <c r="J3243" i="1"/>
  <c r="AH3240" i="1"/>
  <c r="AI3237" i="1"/>
  <c r="AI3231" i="1"/>
  <c r="AI3228" i="1"/>
  <c r="AI3225" i="1"/>
  <c r="J3222" i="1"/>
  <c r="J3219" i="1"/>
  <c r="J3216" i="1"/>
  <c r="J3213" i="1"/>
  <c r="L3210" i="1"/>
  <c r="AH3192" i="1"/>
  <c r="L3186" i="1"/>
  <c r="L3180" i="1"/>
  <c r="J3177" i="1"/>
  <c r="AF3174" i="1"/>
  <c r="AH3171" i="1"/>
  <c r="L3163" i="1"/>
  <c r="AI3150" i="1"/>
  <c r="AI3147" i="1"/>
  <c r="L3144" i="1"/>
  <c r="AH3141" i="1"/>
  <c r="W3138" i="1"/>
  <c r="M3133" i="1"/>
  <c r="J3130" i="1"/>
  <c r="W3127" i="1"/>
  <c r="L3124" i="1"/>
  <c r="AI3120" i="1"/>
  <c r="AF3114" i="1"/>
  <c r="W3108" i="1"/>
  <c r="AI3102" i="1"/>
  <c r="L3097" i="1"/>
  <c r="M3094" i="1"/>
  <c r="M3091" i="1"/>
  <c r="M3085" i="1"/>
  <c r="J3064" i="1"/>
  <c r="W3061" i="1"/>
  <c r="L3058" i="1"/>
  <c r="AH3055" i="1"/>
  <c r="M3052" i="1"/>
  <c r="J3046" i="1"/>
  <c r="AI3042" i="1"/>
  <c r="M3040" i="1"/>
  <c r="AH3037" i="1"/>
  <c r="L3032" i="1"/>
  <c r="W3027" i="1"/>
  <c r="G3023" i="1"/>
  <c r="AF3020" i="1"/>
  <c r="W3018" i="1"/>
  <c r="AF3013" i="1"/>
  <c r="W3011" i="1"/>
  <c r="L3002" i="1"/>
  <c r="L3000" i="1"/>
  <c r="G2998" i="1"/>
  <c r="AH2993" i="1"/>
  <c r="W2991" i="1"/>
  <c r="AH2989" i="1"/>
  <c r="W2987" i="1"/>
  <c r="AH2985" i="1"/>
  <c r="W2983" i="1"/>
  <c r="J2981" i="1"/>
  <c r="J2979" i="1"/>
  <c r="G2977" i="1"/>
  <c r="AH2970" i="1"/>
  <c r="AH2968" i="1"/>
  <c r="AF2966" i="1"/>
  <c r="AH2964" i="1"/>
  <c r="L2962" i="1"/>
  <c r="J2958" i="1"/>
  <c r="G2956" i="1"/>
  <c r="AI2949" i="1"/>
  <c r="G2948" i="1"/>
  <c r="G2946" i="1"/>
  <c r="J2944" i="1"/>
  <c r="L2942" i="1"/>
  <c r="AF2940" i="1"/>
  <c r="M2938" i="1"/>
  <c r="W2936" i="1"/>
  <c r="AI2934" i="1"/>
  <c r="AH2932" i="1"/>
  <c r="G2931" i="1"/>
  <c r="G2929" i="1"/>
  <c r="J2925" i="1"/>
  <c r="J2923" i="1"/>
  <c r="W2921" i="1"/>
  <c r="W2919" i="1"/>
  <c r="AI2917" i="1"/>
  <c r="AI2915" i="1"/>
  <c r="AH2913" i="1"/>
  <c r="G2912" i="1"/>
  <c r="G2910" i="1"/>
  <c r="J2908" i="1"/>
  <c r="L2906" i="1"/>
  <c r="AF2904" i="1"/>
  <c r="M2902" i="1"/>
  <c r="W2900" i="1"/>
  <c r="AI2898" i="1"/>
  <c r="AH2896" i="1"/>
  <c r="G2895" i="1"/>
  <c r="G2893" i="1"/>
  <c r="J2889" i="1"/>
  <c r="J2887" i="1"/>
  <c r="W2885" i="1"/>
  <c r="W2883" i="1"/>
  <c r="AI2881" i="1"/>
  <c r="AI2879" i="1"/>
  <c r="AH2877" i="1"/>
  <c r="G2876" i="1"/>
  <c r="G2874" i="1"/>
  <c r="J2872" i="1"/>
  <c r="L2870" i="1"/>
  <c r="AF2868" i="1"/>
  <c r="M2866" i="1"/>
  <c r="W2864" i="1"/>
  <c r="AI2862" i="1"/>
  <c r="AH2860" i="1"/>
  <c r="G2859" i="1"/>
  <c r="G2857" i="1"/>
  <c r="J2853" i="1"/>
  <c r="J2851" i="1"/>
  <c r="W2849" i="1"/>
  <c r="W2847" i="1"/>
  <c r="AI2845" i="1"/>
  <c r="AI2843" i="1"/>
  <c r="AH2841" i="1"/>
  <c r="G2840" i="1"/>
  <c r="G2838" i="1"/>
  <c r="J2836" i="1"/>
  <c r="L2834" i="1"/>
  <c r="AF2832" i="1"/>
  <c r="M2830" i="1"/>
  <c r="W2828" i="1"/>
  <c r="AI2826" i="1"/>
  <c r="AH2824" i="1"/>
  <c r="G2823" i="1"/>
  <c r="G2821" i="1"/>
  <c r="J2817" i="1"/>
  <c r="J2815" i="1"/>
  <c r="W2813" i="1"/>
  <c r="W2811" i="1"/>
  <c r="AI2809" i="1"/>
  <c r="AI2807" i="1"/>
  <c r="AH2805" i="1"/>
  <c r="G2804" i="1"/>
  <c r="G2802" i="1"/>
  <c r="J2800" i="1"/>
  <c r="L2798" i="1"/>
  <c r="AF2796" i="1"/>
  <c r="M2794" i="1"/>
  <c r="W2792" i="1"/>
  <c r="AI2790" i="1"/>
  <c r="AH2788" i="1"/>
  <c r="G2787" i="1"/>
  <c r="G2785" i="1"/>
  <c r="J2781" i="1"/>
  <c r="J2779" i="1"/>
  <c r="W2777" i="1"/>
  <c r="W2775" i="1"/>
  <c r="AI2773" i="1"/>
  <c r="AI2771" i="1"/>
  <c r="AH2769" i="1"/>
  <c r="G2768" i="1"/>
  <c r="M2764" i="1"/>
  <c r="G2763" i="1"/>
  <c r="L2761" i="1"/>
  <c r="AI2759" i="1"/>
  <c r="L2758" i="1"/>
  <c r="J2755" i="1"/>
  <c r="AH2753" i="1"/>
  <c r="J2752" i="1"/>
  <c r="AI2750" i="1"/>
  <c r="AF2747" i="1"/>
  <c r="G2746" i="1"/>
  <c r="W2744" i="1"/>
  <c r="G2743" i="1"/>
  <c r="W2741" i="1"/>
  <c r="M2738" i="1"/>
  <c r="M2735" i="1"/>
  <c r="AH2733" i="1"/>
  <c r="L2732" i="1"/>
  <c r="AI2730" i="1"/>
  <c r="J2729" i="1"/>
  <c r="AF2727" i="1"/>
  <c r="J2726" i="1"/>
  <c r="AH2724" i="1"/>
  <c r="W2721" i="1"/>
  <c r="AF2718" i="1"/>
  <c r="AF2715" i="1"/>
  <c r="L2714" i="1"/>
  <c r="W2711" i="1"/>
  <c r="G2710" i="1"/>
  <c r="AH2708" i="1"/>
  <c r="J2707" i="1"/>
  <c r="AI2705" i="1"/>
  <c r="M2704" i="1"/>
  <c r="G2703" i="1"/>
  <c r="AF2701" i="1"/>
  <c r="J2700" i="1"/>
  <c r="AF2697" i="1"/>
  <c r="M2696" i="1"/>
  <c r="AI2693" i="1"/>
  <c r="W2692" i="1"/>
  <c r="J2691" i="1"/>
  <c r="G2690" i="1"/>
  <c r="AH2688" i="1"/>
  <c r="M2687" i="1"/>
  <c r="G2686" i="1"/>
  <c r="AI2684" i="1"/>
  <c r="W2683" i="1"/>
  <c r="J2682" i="1"/>
  <c r="AF2679" i="1"/>
  <c r="M2678" i="1"/>
  <c r="AI2675" i="1"/>
  <c r="W2674" i="1"/>
  <c r="J2673" i="1"/>
  <c r="G2672" i="1"/>
  <c r="AH2670" i="1"/>
  <c r="M2669" i="1"/>
  <c r="G2668" i="1"/>
  <c r="AI2666" i="1"/>
  <c r="W2665" i="1"/>
  <c r="J2664" i="1"/>
  <c r="AF2661" i="1"/>
  <c r="M2660" i="1"/>
  <c r="AH2656" i="1"/>
  <c r="W2655" i="1"/>
  <c r="L2654" i="1"/>
  <c r="AH2650" i="1"/>
  <c r="W2649" i="1"/>
  <c r="L2648" i="1"/>
  <c r="AH2644" i="1"/>
  <c r="W2643" i="1"/>
  <c r="L2642" i="1"/>
  <c r="AH2638" i="1"/>
  <c r="W2637" i="1"/>
  <c r="L2636" i="1"/>
  <c r="AH2632" i="1"/>
  <c r="W2631" i="1"/>
  <c r="L2630" i="1"/>
  <c r="AH2626" i="1"/>
  <c r="W2625" i="1"/>
  <c r="L2624" i="1"/>
  <c r="AH2620" i="1"/>
  <c r="W2619" i="1"/>
  <c r="L2618" i="1"/>
  <c r="AH2614" i="1"/>
  <c r="W2613" i="1"/>
  <c r="L2612" i="1"/>
  <c r="AH2608" i="1"/>
  <c r="W2607" i="1"/>
  <c r="L2606" i="1"/>
  <c r="AH2602" i="1"/>
  <c r="W2601" i="1"/>
  <c r="L2600" i="1"/>
  <c r="AH2596" i="1"/>
  <c r="W2595" i="1"/>
  <c r="L2594" i="1"/>
  <c r="AH2590" i="1"/>
  <c r="W2589" i="1"/>
  <c r="L2588" i="1"/>
  <c r="AH2584" i="1"/>
  <c r="W2583" i="1"/>
  <c r="L2582" i="1"/>
  <c r="AH2578" i="1"/>
  <c r="W2577" i="1"/>
  <c r="L2576" i="1"/>
  <c r="AH2572" i="1"/>
  <c r="W2571" i="1"/>
  <c r="L2570" i="1"/>
  <c r="AH2566" i="1"/>
  <c r="W2565" i="1"/>
  <c r="L2564" i="1"/>
  <c r="AH2560" i="1"/>
  <c r="W2559" i="1"/>
  <c r="L2558" i="1"/>
  <c r="AH2554" i="1"/>
  <c r="W2553" i="1"/>
  <c r="L2552" i="1"/>
  <c r="AH2548" i="1"/>
  <c r="W2547" i="1"/>
  <c r="L2546" i="1"/>
  <c r="AH2542" i="1"/>
  <c r="W2541" i="1"/>
  <c r="L2540" i="1"/>
  <c r="AH2536" i="1"/>
  <c r="W2535" i="1"/>
  <c r="L2534" i="1"/>
  <c r="AH2530" i="1"/>
  <c r="W2529" i="1"/>
  <c r="L2528" i="1"/>
  <c r="AH2524" i="1"/>
  <c r="W2523" i="1"/>
  <c r="L2522" i="1"/>
  <c r="AH2518" i="1"/>
  <c r="W2517" i="1"/>
  <c r="L2516" i="1"/>
  <c r="AH2512" i="1"/>
  <c r="W2511" i="1"/>
  <c r="L2510" i="1"/>
  <c r="AH2506" i="1"/>
  <c r="W2505" i="1"/>
  <c r="L2504" i="1"/>
  <c r="AH2500" i="1"/>
  <c r="W2499" i="1"/>
  <c r="L2498" i="1"/>
  <c r="AH2494" i="1"/>
  <c r="W2493" i="1"/>
  <c r="L2492" i="1"/>
  <c r="AH2488" i="1"/>
  <c r="W2487" i="1"/>
  <c r="L2486" i="1"/>
  <c r="AH2482" i="1"/>
  <c r="W2481" i="1"/>
  <c r="L2480" i="1"/>
  <c r="AH2476" i="1"/>
  <c r="W2475" i="1"/>
  <c r="L2474" i="1"/>
  <c r="AH2470" i="1"/>
  <c r="W2469" i="1"/>
  <c r="L2468" i="1"/>
  <c r="AH2464" i="1"/>
  <c r="W2463" i="1"/>
  <c r="L2462" i="1"/>
  <c r="AH2458" i="1"/>
  <c r="W2457" i="1"/>
  <c r="L2456" i="1"/>
  <c r="AH2452" i="1"/>
  <c r="W2451" i="1"/>
  <c r="L2450" i="1"/>
  <c r="AH2446" i="1"/>
  <c r="W2445" i="1"/>
  <c r="L2444" i="1"/>
  <c r="AH2440" i="1"/>
  <c r="W2439" i="1"/>
  <c r="L2438" i="1"/>
  <c r="AF4220" i="1"/>
  <c r="AF4127" i="1"/>
  <c r="AI4046" i="1"/>
  <c r="L4037" i="1"/>
  <c r="AH3895" i="1"/>
  <c r="M3878" i="1"/>
  <c r="W3791" i="1"/>
  <c r="AI3743" i="1"/>
  <c r="J3729" i="1"/>
  <c r="AI3706" i="1"/>
  <c r="AH3699" i="1"/>
  <c r="AH3692" i="1"/>
  <c r="J3687" i="1"/>
  <c r="L3680" i="1"/>
  <c r="G3660" i="1"/>
  <c r="W3640" i="1"/>
  <c r="W3634" i="1"/>
  <c r="J3623" i="1"/>
  <c r="L3597" i="1"/>
  <c r="J3587" i="1"/>
  <c r="W3557" i="1"/>
  <c r="L3546" i="1"/>
  <c r="AF3541" i="1"/>
  <c r="AF3530" i="1"/>
  <c r="M3521" i="1"/>
  <c r="M3517" i="1"/>
  <c r="G3512" i="1"/>
  <c r="G3507" i="1"/>
  <c r="J3502" i="1"/>
  <c r="J3498" i="1"/>
  <c r="AI3492" i="1"/>
  <c r="AI3487" i="1"/>
  <c r="W3483" i="1"/>
  <c r="M3479" i="1"/>
  <c r="J3474" i="1"/>
  <c r="L3465" i="1"/>
  <c r="AI3461" i="1"/>
  <c r="W3452" i="1"/>
  <c r="J3444" i="1"/>
  <c r="M3435" i="1"/>
  <c r="W3422" i="1"/>
  <c r="AI3417" i="1"/>
  <c r="G3413" i="1"/>
  <c r="G3409" i="1"/>
  <c r="AI3400" i="1"/>
  <c r="L3392" i="1"/>
  <c r="AH3385" i="1"/>
  <c r="M3382" i="1"/>
  <c r="M3375" i="1"/>
  <c r="W3372" i="1"/>
  <c r="W3368" i="1"/>
  <c r="M3365" i="1"/>
  <c r="AH3361" i="1"/>
  <c r="W3358" i="1"/>
  <c r="AI3354" i="1"/>
  <c r="AH3351" i="1"/>
  <c r="L3348" i="1"/>
  <c r="AH3344" i="1"/>
  <c r="L3341" i="1"/>
  <c r="AI3337" i="1"/>
  <c r="J3334" i="1"/>
  <c r="J3317" i="1"/>
  <c r="W3314" i="1"/>
  <c r="J3311" i="1"/>
  <c r="W3308" i="1"/>
  <c r="AF3305" i="1"/>
  <c r="M3302" i="1"/>
  <c r="AI3292" i="1"/>
  <c r="J3286" i="1"/>
  <c r="W3282" i="1"/>
  <c r="AI3279" i="1"/>
  <c r="W3276" i="1"/>
  <c r="AH3273" i="1"/>
  <c r="AF3270" i="1"/>
  <c r="AI3267" i="1"/>
  <c r="W3264" i="1"/>
  <c r="G3249" i="1"/>
  <c r="L3246" i="1"/>
  <c r="AF3240" i="1"/>
  <c r="AH3237" i="1"/>
  <c r="AI3234" i="1"/>
  <c r="AH3231" i="1"/>
  <c r="AH3228" i="1"/>
  <c r="AH3225" i="1"/>
  <c r="J3210" i="1"/>
  <c r="AI3207" i="1"/>
  <c r="AF3204" i="1"/>
  <c r="AI3201" i="1"/>
  <c r="AH3198" i="1"/>
  <c r="AF3192" i="1"/>
  <c r="G3189" i="1"/>
  <c r="J3186" i="1"/>
  <c r="G3183" i="1"/>
  <c r="J3180" i="1"/>
  <c r="W3174" i="1"/>
  <c r="J3171" i="1"/>
  <c r="AH3168" i="1"/>
  <c r="AI3165" i="1"/>
  <c r="AI3159" i="1"/>
  <c r="AI3156" i="1"/>
  <c r="AI3153" i="1"/>
  <c r="J3150" i="1"/>
  <c r="J3147" i="1"/>
  <c r="J3144" i="1"/>
  <c r="J3141" i="1"/>
  <c r="L3138" i="1"/>
  <c r="AH3120" i="1"/>
  <c r="L3114" i="1"/>
  <c r="L3108" i="1"/>
  <c r="J3105" i="1"/>
  <c r="AF3102" i="1"/>
  <c r="AH3099" i="1"/>
  <c r="L3091" i="1"/>
  <c r="AI3078" i="1"/>
  <c r="AI3075" i="1"/>
  <c r="L3072" i="1"/>
  <c r="AH3069" i="1"/>
  <c r="W3066" i="1"/>
  <c r="M3061" i="1"/>
  <c r="J3058" i="1"/>
  <c r="W3055" i="1"/>
  <c r="L3052" i="1"/>
  <c r="AI3048" i="1"/>
  <c r="AH3042" i="1"/>
  <c r="L3040" i="1"/>
  <c r="W3037" i="1"/>
  <c r="G3032" i="1"/>
  <c r="M3027" i="1"/>
  <c r="AI3024" i="1"/>
  <c r="W3020" i="1"/>
  <c r="W3013" i="1"/>
  <c r="M3011" i="1"/>
  <c r="G3009" i="1"/>
  <c r="AF3004" i="1"/>
  <c r="J3002" i="1"/>
  <c r="J3000" i="1"/>
  <c r="AF2995" i="1"/>
  <c r="AF2993" i="1"/>
  <c r="M2991" i="1"/>
  <c r="AF2989" i="1"/>
  <c r="M2987" i="1"/>
  <c r="L2983" i="1"/>
  <c r="AF2974" i="1"/>
  <c r="AI2972" i="1"/>
  <c r="AF2970" i="1"/>
  <c r="AF2968" i="1"/>
  <c r="W2966" i="1"/>
  <c r="J2964" i="1"/>
  <c r="J2962" i="1"/>
  <c r="G2960" i="1"/>
  <c r="AH2953" i="1"/>
  <c r="AI2951" i="1"/>
  <c r="AH2949" i="1"/>
  <c r="J2942" i="1"/>
  <c r="L2938" i="1"/>
  <c r="M2936" i="1"/>
  <c r="AH2934" i="1"/>
  <c r="AF2932" i="1"/>
  <c r="AI2926" i="1"/>
  <c r="M2921" i="1"/>
  <c r="M2919" i="1"/>
  <c r="L2917" i="1"/>
  <c r="AF2915" i="1"/>
  <c r="AF2913" i="1"/>
  <c r="J2906" i="1"/>
  <c r="L2902" i="1"/>
  <c r="M2900" i="1"/>
  <c r="AH2898" i="1"/>
  <c r="AF2896" i="1"/>
  <c r="AI2890" i="1"/>
  <c r="M2885" i="1"/>
  <c r="M2883" i="1"/>
  <c r="L2881" i="1"/>
  <c r="AF2879" i="1"/>
  <c r="AF2877" i="1"/>
  <c r="J2870" i="1"/>
  <c r="L2866" i="1"/>
  <c r="M2864" i="1"/>
  <c r="AH2862" i="1"/>
  <c r="AF2860" i="1"/>
  <c r="AI2854" i="1"/>
  <c r="M2849" i="1"/>
  <c r="M2847" i="1"/>
  <c r="L2845" i="1"/>
  <c r="AF2843" i="1"/>
  <c r="AF2841" i="1"/>
  <c r="J2834" i="1"/>
  <c r="L2830" i="1"/>
  <c r="M2828" i="1"/>
  <c r="AH2826" i="1"/>
  <c r="AF2824" i="1"/>
  <c r="AI2818" i="1"/>
  <c r="M2813" i="1"/>
  <c r="M2811" i="1"/>
  <c r="L2809" i="1"/>
  <c r="AF2807" i="1"/>
  <c r="AF2805" i="1"/>
  <c r="J2798" i="1"/>
  <c r="L2794" i="1"/>
  <c r="M2792" i="1"/>
  <c r="AH2790" i="1"/>
  <c r="AF2788" i="1"/>
  <c r="AI2782" i="1"/>
  <c r="M2777" i="1"/>
  <c r="M2775" i="1"/>
  <c r="L2773" i="1"/>
  <c r="AF2771" i="1"/>
  <c r="AF2769" i="1"/>
  <c r="G2766" i="1"/>
  <c r="L2764" i="1"/>
  <c r="J2761" i="1"/>
  <c r="AH2759" i="1"/>
  <c r="J2758" i="1"/>
  <c r="AI2756" i="1"/>
  <c r="AF2753" i="1"/>
  <c r="G2752" i="1"/>
  <c r="W2750" i="1"/>
  <c r="G2749" i="1"/>
  <c r="W2747" i="1"/>
  <c r="M2744" i="1"/>
  <c r="M2741" i="1"/>
  <c r="AH2739" i="1"/>
  <c r="L2738" i="1"/>
  <c r="AI2736" i="1"/>
  <c r="J2735" i="1"/>
  <c r="AF2733" i="1"/>
  <c r="J2732" i="1"/>
  <c r="AH2730" i="1"/>
  <c r="W2727" i="1"/>
  <c r="AF2724" i="1"/>
  <c r="AI2722" i="1"/>
  <c r="M2721" i="1"/>
  <c r="G2720" i="1"/>
  <c r="M2718" i="1"/>
  <c r="W2715" i="1"/>
  <c r="J2714" i="1"/>
  <c r="AI2712" i="1"/>
  <c r="M2711" i="1"/>
  <c r="W2708" i="1"/>
  <c r="AH2705" i="1"/>
  <c r="L2704" i="1"/>
  <c r="W2701" i="1"/>
  <c r="AI2698" i="1"/>
  <c r="W2697" i="1"/>
  <c r="L2696" i="1"/>
  <c r="G2695" i="1"/>
  <c r="AH2693" i="1"/>
  <c r="M2692" i="1"/>
  <c r="AF2688" i="1"/>
  <c r="J2687" i="1"/>
  <c r="AH2684" i="1"/>
  <c r="M2683" i="1"/>
  <c r="AI2680" i="1"/>
  <c r="W2679" i="1"/>
  <c r="L2678" i="1"/>
  <c r="G2677" i="1"/>
  <c r="AH2675" i="1"/>
  <c r="M2674" i="1"/>
  <c r="AF2670" i="1"/>
  <c r="J2669" i="1"/>
  <c r="AH2666" i="1"/>
  <c r="M2665" i="1"/>
  <c r="AI2662" i="1"/>
  <c r="W2661" i="1"/>
  <c r="L2660" i="1"/>
  <c r="G2659" i="1"/>
  <c r="AI2657" i="1"/>
  <c r="AF2656" i="1"/>
  <c r="M2655" i="1"/>
  <c r="J2654" i="1"/>
  <c r="G2653" i="1"/>
  <c r="AI2651" i="1"/>
  <c r="AF2650" i="1"/>
  <c r="M2649" i="1"/>
  <c r="J2648" i="1"/>
  <c r="G2647" i="1"/>
  <c r="AI2645" i="1"/>
  <c r="AF2644" i="1"/>
  <c r="M2643" i="1"/>
  <c r="J2642" i="1"/>
  <c r="G2641" i="1"/>
  <c r="AI2639" i="1"/>
  <c r="AF2638" i="1"/>
  <c r="M2637" i="1"/>
  <c r="J2636" i="1"/>
  <c r="G2635" i="1"/>
  <c r="AI2633" i="1"/>
  <c r="AF2632" i="1"/>
  <c r="M2631" i="1"/>
  <c r="J2630" i="1"/>
  <c r="G2629" i="1"/>
  <c r="AI2627" i="1"/>
  <c r="AF2626" i="1"/>
  <c r="M2625" i="1"/>
  <c r="J2624" i="1"/>
  <c r="G2623" i="1"/>
  <c r="AI2621" i="1"/>
  <c r="AF2620" i="1"/>
  <c r="M2619" i="1"/>
  <c r="J2618" i="1"/>
  <c r="G2617" i="1"/>
  <c r="AI2615" i="1"/>
  <c r="AF2614" i="1"/>
  <c r="M2613" i="1"/>
  <c r="J2612" i="1"/>
  <c r="G2611" i="1"/>
  <c r="AI2609" i="1"/>
  <c r="AF2608" i="1"/>
  <c r="M2607" i="1"/>
  <c r="J2606" i="1"/>
  <c r="G2605" i="1"/>
  <c r="AI2603" i="1"/>
  <c r="AF2602" i="1"/>
  <c r="M2601" i="1"/>
  <c r="J2600" i="1"/>
  <c r="G2599" i="1"/>
  <c r="AI2597" i="1"/>
  <c r="AF2596" i="1"/>
  <c r="M2595" i="1"/>
  <c r="J2594" i="1"/>
  <c r="G2593" i="1"/>
  <c r="AI2591" i="1"/>
  <c r="AF2590" i="1"/>
  <c r="M2589" i="1"/>
  <c r="J2588" i="1"/>
  <c r="G2587" i="1"/>
  <c r="AI2585" i="1"/>
  <c r="AF2584" i="1"/>
  <c r="M2583" i="1"/>
  <c r="J2582" i="1"/>
  <c r="G2581" i="1"/>
  <c r="AI2579" i="1"/>
  <c r="AF2578" i="1"/>
  <c r="M2577" i="1"/>
  <c r="J2576" i="1"/>
  <c r="G2575" i="1"/>
  <c r="AI2573" i="1"/>
  <c r="AF2572" i="1"/>
  <c r="M2571" i="1"/>
  <c r="J2570" i="1"/>
  <c r="G2569" i="1"/>
  <c r="AI2567" i="1"/>
  <c r="AF2566" i="1"/>
  <c r="M2565" i="1"/>
  <c r="J2564" i="1"/>
  <c r="G2563" i="1"/>
  <c r="AI2561" i="1"/>
  <c r="AF2560" i="1"/>
  <c r="M2559" i="1"/>
  <c r="J2558" i="1"/>
  <c r="G2557" i="1"/>
  <c r="AI2555" i="1"/>
  <c r="AF2554" i="1"/>
  <c r="M2553" i="1"/>
  <c r="J2552" i="1"/>
  <c r="G2551" i="1"/>
  <c r="AI2549" i="1"/>
  <c r="AF2548" i="1"/>
  <c r="M2547" i="1"/>
  <c r="J2546" i="1"/>
  <c r="G2545" i="1"/>
  <c r="AI2543" i="1"/>
  <c r="AF2542" i="1"/>
  <c r="M2541" i="1"/>
  <c r="J2540" i="1"/>
  <c r="G2539" i="1"/>
  <c r="AI2537" i="1"/>
  <c r="AF2536" i="1"/>
  <c r="M2535" i="1"/>
  <c r="J2534" i="1"/>
  <c r="G2533" i="1"/>
  <c r="AI2531" i="1"/>
  <c r="AF2530" i="1"/>
  <c r="M2529" i="1"/>
  <c r="J2528" i="1"/>
  <c r="G2527" i="1"/>
  <c r="AI2525" i="1"/>
  <c r="AF2524" i="1"/>
  <c r="M2523" i="1"/>
  <c r="J2522" i="1"/>
  <c r="G2521" i="1"/>
  <c r="AI2519" i="1"/>
  <c r="AF2518" i="1"/>
  <c r="M2517" i="1"/>
  <c r="J2516" i="1"/>
  <c r="G2515" i="1"/>
  <c r="AI2513" i="1"/>
  <c r="AF2512" i="1"/>
  <c r="M2511" i="1"/>
  <c r="J2510" i="1"/>
  <c r="G2509" i="1"/>
  <c r="AI2507" i="1"/>
  <c r="AF2506" i="1"/>
  <c r="M2505" i="1"/>
  <c r="J2504" i="1"/>
  <c r="G2503" i="1"/>
  <c r="AI2501" i="1"/>
  <c r="AF2500" i="1"/>
  <c r="M2499" i="1"/>
  <c r="J2498" i="1"/>
  <c r="G2497" i="1"/>
  <c r="AI2495" i="1"/>
  <c r="AF2494" i="1"/>
  <c r="M2493" i="1"/>
  <c r="J2492" i="1"/>
  <c r="G2491" i="1"/>
  <c r="AI2489" i="1"/>
  <c r="AF2488" i="1"/>
  <c r="M2487" i="1"/>
  <c r="J2486" i="1"/>
  <c r="G2485" i="1"/>
  <c r="AI2483" i="1"/>
  <c r="AF2482" i="1"/>
  <c r="M2481" i="1"/>
  <c r="J2480" i="1"/>
  <c r="G2479" i="1"/>
  <c r="AI2477" i="1"/>
  <c r="AF2476" i="1"/>
  <c r="M2475" i="1"/>
  <c r="J2474" i="1"/>
  <c r="G2473" i="1"/>
  <c r="AI2471" i="1"/>
  <c r="AF2470" i="1"/>
  <c r="M2469" i="1"/>
  <c r="J2468" i="1"/>
  <c r="G2467" i="1"/>
  <c r="AI2465" i="1"/>
  <c r="AF2464" i="1"/>
  <c r="M2463" i="1"/>
  <c r="J2462" i="1"/>
  <c r="J4151" i="1"/>
  <c r="M3974" i="1"/>
  <c r="AF3965" i="1"/>
  <c r="W3955" i="1"/>
  <c r="W3938" i="1"/>
  <c r="AF3901" i="1"/>
  <c r="AI3874" i="1"/>
  <c r="L3838" i="1"/>
  <c r="AF3725" i="1"/>
  <c r="M3703" i="1"/>
  <c r="W3697" i="1"/>
  <c r="M3691" i="1"/>
  <c r="M3677" i="1"/>
  <c r="G3671" i="1"/>
  <c r="M3657" i="1"/>
  <c r="G3632" i="1"/>
  <c r="L3620" i="1"/>
  <c r="M3601" i="1"/>
  <c r="AF3595" i="1"/>
  <c r="AH3584" i="1"/>
  <c r="AI3578" i="1"/>
  <c r="AI3565" i="1"/>
  <c r="AI3554" i="1"/>
  <c r="AF3549" i="1"/>
  <c r="L3544" i="1"/>
  <c r="AH3533" i="1"/>
  <c r="M3528" i="1"/>
  <c r="G3524" i="1"/>
  <c r="J3515" i="1"/>
  <c r="AH3500" i="1"/>
  <c r="G3486" i="1"/>
  <c r="L3473" i="1"/>
  <c r="G3464" i="1"/>
  <c r="AH3459" i="1"/>
  <c r="AI3455" i="1"/>
  <c r="AI3450" i="1"/>
  <c r="W3446" i="1"/>
  <c r="AF3442" i="1"/>
  <c r="AI3438" i="1"/>
  <c r="L3433" i="1"/>
  <c r="L3429" i="1"/>
  <c r="AF3425" i="1"/>
  <c r="G3416" i="1"/>
  <c r="AH3398" i="1"/>
  <c r="G3391" i="1"/>
  <c r="J3384" i="1"/>
  <c r="L3381" i="1"/>
  <c r="L3377" i="1"/>
  <c r="M3374" i="1"/>
  <c r="M3367" i="1"/>
  <c r="W3360" i="1"/>
  <c r="G3357" i="1"/>
  <c r="L3350" i="1"/>
  <c r="L3343" i="1"/>
  <c r="J3329" i="1"/>
  <c r="AF3325" i="1"/>
  <c r="AI3322" i="1"/>
  <c r="G3319" i="1"/>
  <c r="AI3315" i="1"/>
  <c r="L3307" i="1"/>
  <c r="M3304" i="1"/>
  <c r="G3298" i="1"/>
  <c r="W3294" i="1"/>
  <c r="M3284" i="1"/>
  <c r="AF3281" i="1"/>
  <c r="G3278" i="1"/>
  <c r="W3275" i="1"/>
  <c r="G3272" i="1"/>
  <c r="AF3269" i="1"/>
  <c r="G3263" i="1"/>
  <c r="AI3259" i="1"/>
  <c r="L3253" i="1"/>
  <c r="W3242" i="1"/>
  <c r="M3239" i="1"/>
  <c r="AF3236" i="1"/>
  <c r="W3233" i="1"/>
  <c r="L3227" i="1"/>
  <c r="AI3223" i="1"/>
  <c r="AI3217" i="1"/>
  <c r="AI3211" i="1"/>
  <c r="M3209" i="1"/>
  <c r="W3206" i="1"/>
  <c r="AF3203" i="1"/>
  <c r="W3200" i="1"/>
  <c r="W3194" i="1"/>
  <c r="G3185" i="1"/>
  <c r="G3179" i="1"/>
  <c r="G3176" i="1"/>
  <c r="L3173" i="1"/>
  <c r="AF3170" i="1"/>
  <c r="W3167" i="1"/>
  <c r="AH3164" i="1"/>
  <c r="AF3161" i="1"/>
  <c r="AH3158" i="1"/>
  <c r="W3155" i="1"/>
  <c r="L3149" i="1"/>
  <c r="L3143" i="1"/>
  <c r="W3137" i="1"/>
  <c r="AF3134" i="1"/>
  <c r="AF3128" i="1"/>
  <c r="AF3122" i="1"/>
  <c r="G3116" i="1"/>
  <c r="G3110" i="1"/>
  <c r="W3104" i="1"/>
  <c r="M3101" i="1"/>
  <c r="AH3098" i="1"/>
  <c r="AF3095" i="1"/>
  <c r="AF3083" i="1"/>
  <c r="M3077" i="1"/>
  <c r="G3074" i="1"/>
  <c r="M3071" i="1"/>
  <c r="G3068" i="1"/>
  <c r="AF3065" i="1"/>
  <c r="J3060" i="1"/>
  <c r="AH3056" i="1"/>
  <c r="L3054" i="1"/>
  <c r="AH3050" i="1"/>
  <c r="AF3044" i="1"/>
  <c r="M3041" i="1"/>
  <c r="J3036" i="1"/>
  <c r="AH3033" i="1"/>
  <c r="AF3028" i="1"/>
  <c r="J3026" i="1"/>
  <c r="J3024" i="1"/>
  <c r="AI3021" i="1"/>
  <c r="L3019" i="1"/>
  <c r="J3017" i="1"/>
  <c r="AI3014" i="1"/>
  <c r="AI3012" i="1"/>
  <c r="J3010" i="1"/>
  <c r="AH3003" i="1"/>
  <c r="W3001" i="1"/>
  <c r="J2999" i="1"/>
  <c r="AI2996" i="1"/>
  <c r="AF2992" i="1"/>
  <c r="L2990" i="1"/>
  <c r="W2988" i="1"/>
  <c r="M2986" i="1"/>
  <c r="W2984" i="1"/>
  <c r="M2982" i="1"/>
  <c r="M2980" i="1"/>
  <c r="J2978" i="1"/>
  <c r="AI2975" i="1"/>
  <c r="G2974" i="1"/>
  <c r="AI2971" i="1"/>
  <c r="W2967" i="1"/>
  <c r="W2965" i="1"/>
  <c r="W2963" i="1"/>
  <c r="L2961" i="1"/>
  <c r="G2953" i="1"/>
  <c r="G2949" i="1"/>
  <c r="G2947" i="1"/>
  <c r="J2943" i="1"/>
  <c r="J2941" i="1"/>
  <c r="W2939" i="1"/>
  <c r="W2937" i="1"/>
  <c r="AI2935" i="1"/>
  <c r="AI2933" i="1"/>
  <c r="AH2931" i="1"/>
  <c r="G2930" i="1"/>
  <c r="G2928" i="1"/>
  <c r="J2926" i="1"/>
  <c r="L2924" i="1"/>
  <c r="AF2922" i="1"/>
  <c r="M2920" i="1"/>
  <c r="W2918" i="1"/>
  <c r="AI2916" i="1"/>
  <c r="AH2914" i="1"/>
  <c r="G2913" i="1"/>
  <c r="G2911" i="1"/>
  <c r="J2907" i="1"/>
  <c r="J2905" i="1"/>
  <c r="W2903" i="1"/>
  <c r="W2901" i="1"/>
  <c r="AI2899" i="1"/>
  <c r="AI2897" i="1"/>
  <c r="AH2895" i="1"/>
  <c r="G2894" i="1"/>
  <c r="G2892" i="1"/>
  <c r="J2890" i="1"/>
  <c r="L2888" i="1"/>
  <c r="AF2886" i="1"/>
  <c r="M2884" i="1"/>
  <c r="W2882" i="1"/>
  <c r="AI2880" i="1"/>
  <c r="AH2878" i="1"/>
  <c r="G2877" i="1"/>
  <c r="G2875" i="1"/>
  <c r="J2871" i="1"/>
  <c r="J2869" i="1"/>
  <c r="W2867" i="1"/>
  <c r="W2865" i="1"/>
  <c r="AI2863" i="1"/>
  <c r="AI2861" i="1"/>
  <c r="AH2859" i="1"/>
  <c r="G2858" i="1"/>
  <c r="G2856" i="1"/>
  <c r="J2854" i="1"/>
  <c r="L2852" i="1"/>
  <c r="AF2850" i="1"/>
  <c r="M2848" i="1"/>
  <c r="W2846" i="1"/>
  <c r="AI2844" i="1"/>
  <c r="AH2842" i="1"/>
  <c r="G2841" i="1"/>
  <c r="G2839" i="1"/>
  <c r="J2835" i="1"/>
  <c r="J2833" i="1"/>
  <c r="W2831" i="1"/>
  <c r="W2829" i="1"/>
  <c r="AI2827" i="1"/>
  <c r="AI2825" i="1"/>
  <c r="AH2823" i="1"/>
  <c r="G2822" i="1"/>
  <c r="G2820" i="1"/>
  <c r="J2818" i="1"/>
  <c r="L2816" i="1"/>
  <c r="AF2814" i="1"/>
  <c r="M2812" i="1"/>
  <c r="W2810" i="1"/>
  <c r="AI2808" i="1"/>
  <c r="AH2806" i="1"/>
  <c r="G2805" i="1"/>
  <c r="G2803" i="1"/>
  <c r="J2799" i="1"/>
  <c r="J2797" i="1"/>
  <c r="W2795" i="1"/>
  <c r="W2793" i="1"/>
  <c r="AI2791" i="1"/>
  <c r="AI2789" i="1"/>
  <c r="AH2787" i="1"/>
  <c r="G2786" i="1"/>
  <c r="G2784" i="1"/>
  <c r="J2782" i="1"/>
  <c r="L2780" i="1"/>
  <c r="AF2778" i="1"/>
  <c r="M2776" i="1"/>
  <c r="W2774" i="1"/>
  <c r="AI2772" i="1"/>
  <c r="AH2770" i="1"/>
  <c r="G2769" i="1"/>
  <c r="G2767" i="1"/>
  <c r="M2765" i="1"/>
  <c r="AF2763" i="1"/>
  <c r="J2762" i="1"/>
  <c r="AH2760" i="1"/>
  <c r="W2757" i="1"/>
  <c r="AF2754" i="1"/>
  <c r="AI2752" i="1"/>
  <c r="M2751" i="1"/>
  <c r="G2750" i="1"/>
  <c r="M2748" i="1"/>
  <c r="AH2746" i="1"/>
  <c r="L2745" i="1"/>
  <c r="AF2740" i="1"/>
  <c r="J2739" i="1"/>
  <c r="AI2737" i="1"/>
  <c r="G2736" i="1"/>
  <c r="W2734" i="1"/>
  <c r="AF2731" i="1"/>
  <c r="M2728" i="1"/>
  <c r="G2727" i="1"/>
  <c r="L2725" i="1"/>
  <c r="AI2723" i="1"/>
  <c r="L2722" i="1"/>
  <c r="J2719" i="1"/>
  <c r="AI2717" i="1"/>
  <c r="M2716" i="1"/>
  <c r="G2715" i="1"/>
  <c r="AF2713" i="1"/>
  <c r="AH2710" i="1"/>
  <c r="L2709" i="1"/>
  <c r="G2708" i="1"/>
  <c r="AF2706" i="1"/>
  <c r="AF2703" i="1"/>
  <c r="L2702" i="1"/>
  <c r="AF2699" i="1"/>
  <c r="L2698" i="1"/>
  <c r="G2697" i="1"/>
  <c r="AI2695" i="1"/>
  <c r="M2694" i="1"/>
  <c r="AI2691" i="1"/>
  <c r="AF2690" i="1"/>
  <c r="L2689" i="1"/>
  <c r="G2688" i="1"/>
  <c r="AH2686" i="1"/>
  <c r="M2685" i="1"/>
  <c r="J2684" i="1"/>
  <c r="AF2681" i="1"/>
  <c r="L2680" i="1"/>
  <c r="G2679" i="1"/>
  <c r="AI2677" i="1"/>
  <c r="M2676" i="1"/>
  <c r="AI2673" i="1"/>
  <c r="AF2672" i="1"/>
  <c r="L2671" i="1"/>
  <c r="G2670" i="1"/>
  <c r="AH2668" i="1"/>
  <c r="M2667" i="1"/>
  <c r="J2666" i="1"/>
  <c r="AF2663" i="1"/>
  <c r="L2662" i="1"/>
  <c r="G2661" i="1"/>
  <c r="AI2659" i="1"/>
  <c r="W2658" i="1"/>
  <c r="L2657" i="1"/>
  <c r="AH2653" i="1"/>
  <c r="W2652" i="1"/>
  <c r="L2651" i="1"/>
  <c r="AH2647" i="1"/>
  <c r="W2646" i="1"/>
  <c r="L2645" i="1"/>
  <c r="AH2641" i="1"/>
  <c r="W2640" i="1"/>
  <c r="L2639" i="1"/>
  <c r="AH2635" i="1"/>
  <c r="W2634" i="1"/>
  <c r="L2633" i="1"/>
  <c r="AH2629" i="1"/>
  <c r="W2628" i="1"/>
  <c r="L2627" i="1"/>
  <c r="AH2623" i="1"/>
  <c r="W2622" i="1"/>
  <c r="L2621" i="1"/>
  <c r="AH2617" i="1"/>
  <c r="W2616" i="1"/>
  <c r="L2615" i="1"/>
  <c r="AH2611" i="1"/>
  <c r="W2610" i="1"/>
  <c r="L2609" i="1"/>
  <c r="AH2605" i="1"/>
  <c r="W2604" i="1"/>
  <c r="L2603" i="1"/>
  <c r="AH2599" i="1"/>
  <c r="W2598" i="1"/>
  <c r="L2597" i="1"/>
  <c r="AH2593" i="1"/>
  <c r="W2592" i="1"/>
  <c r="L2591" i="1"/>
  <c r="AH2587" i="1"/>
  <c r="W2586" i="1"/>
  <c r="L2585" i="1"/>
  <c r="AH2581" i="1"/>
  <c r="W2580" i="1"/>
  <c r="L2579" i="1"/>
  <c r="AH2575" i="1"/>
  <c r="W2574" i="1"/>
  <c r="L2573" i="1"/>
  <c r="AH2569" i="1"/>
  <c r="W2568" i="1"/>
  <c r="L2567" i="1"/>
  <c r="AH2563" i="1"/>
  <c r="W2562" i="1"/>
  <c r="L2561" i="1"/>
  <c r="AH2557" i="1"/>
  <c r="W2556" i="1"/>
  <c r="L2555" i="1"/>
  <c r="AH2551" i="1"/>
  <c r="W2550" i="1"/>
  <c r="L2549" i="1"/>
  <c r="AH2545" i="1"/>
  <c r="W2544" i="1"/>
  <c r="L2543" i="1"/>
  <c r="AH2539" i="1"/>
  <c r="W2538" i="1"/>
  <c r="L2537" i="1"/>
  <c r="AH2533" i="1"/>
  <c r="W2532" i="1"/>
  <c r="L2531" i="1"/>
  <c r="AH2527" i="1"/>
  <c r="W2526" i="1"/>
  <c r="L2525" i="1"/>
  <c r="AH2521" i="1"/>
  <c r="W2520" i="1"/>
  <c r="L2519" i="1"/>
  <c r="AH2515" i="1"/>
  <c r="W2514" i="1"/>
  <c r="L2513" i="1"/>
  <c r="AH2509" i="1"/>
  <c r="W2508" i="1"/>
  <c r="L2507" i="1"/>
  <c r="AH2503" i="1"/>
  <c r="W2502" i="1"/>
  <c r="L2501" i="1"/>
  <c r="AH2497" i="1"/>
  <c r="W2496" i="1"/>
  <c r="L2495" i="1"/>
  <c r="AH2491" i="1"/>
  <c r="W2490" i="1"/>
  <c r="L2489" i="1"/>
  <c r="AH2485" i="1"/>
  <c r="W2484" i="1"/>
  <c r="L2483" i="1"/>
  <c r="AH2479" i="1"/>
  <c r="W2478" i="1"/>
  <c r="L2477" i="1"/>
  <c r="AH2473" i="1"/>
  <c r="W2472" i="1"/>
  <c r="L2471" i="1"/>
  <c r="AH2467" i="1"/>
  <c r="W2466" i="1"/>
  <c r="L2465" i="1"/>
  <c r="AH2461" i="1"/>
  <c r="W2460" i="1"/>
  <c r="L2459" i="1"/>
  <c r="AH2455" i="1"/>
  <c r="W2454" i="1"/>
  <c r="L2453" i="1"/>
  <c r="AH2449" i="1"/>
  <c r="W2448" i="1"/>
  <c r="L2447" i="1"/>
  <c r="AH2443" i="1"/>
  <c r="W2442" i="1"/>
  <c r="L2441" i="1"/>
  <c r="AF4208" i="1"/>
  <c r="J4173" i="1"/>
  <c r="AF4054" i="1"/>
  <c r="AI4044" i="1"/>
  <c r="AI4034" i="1"/>
  <c r="G4023" i="1"/>
  <c r="M3827" i="1"/>
  <c r="J3740" i="1"/>
  <c r="G3628" i="1"/>
  <c r="G3606" i="1"/>
  <c r="J3597" i="1"/>
  <c r="L3583" i="1"/>
  <c r="G3567" i="1"/>
  <c r="AH3538" i="1"/>
  <c r="W3524" i="1"/>
  <c r="G3518" i="1"/>
  <c r="J3511" i="1"/>
  <c r="AH3504" i="1"/>
  <c r="AI3484" i="1"/>
  <c r="G3467" i="1"/>
  <c r="AI3442" i="1"/>
  <c r="AI3436" i="1"/>
  <c r="W3412" i="1"/>
  <c r="AI3401" i="1"/>
  <c r="W3386" i="1"/>
  <c r="AF3381" i="1"/>
  <c r="M3357" i="1"/>
  <c r="G3343" i="1"/>
  <c r="AH3323" i="1"/>
  <c r="AF3318" i="1"/>
  <c r="M3313" i="1"/>
  <c r="W3309" i="1"/>
  <c r="L3276" i="1"/>
  <c r="G3254" i="1"/>
  <c r="L3250" i="1"/>
  <c r="W3245" i="1"/>
  <c r="W3241" i="1"/>
  <c r="L3215" i="1"/>
  <c r="L3211" i="1"/>
  <c r="M3202" i="1"/>
  <c r="L3198" i="1"/>
  <c r="AI3193" i="1"/>
  <c r="AH3188" i="1"/>
  <c r="L3184" i="1"/>
  <c r="M3179" i="1"/>
  <c r="M3175" i="1"/>
  <c r="G3171" i="1"/>
  <c r="L3167" i="1"/>
  <c r="AI3162" i="1"/>
  <c r="AI3145" i="1"/>
  <c r="AF3137" i="1"/>
  <c r="G3125" i="1"/>
  <c r="J3120" i="1"/>
  <c r="AI3115" i="1"/>
  <c r="AH3110" i="1"/>
  <c r="W3101" i="1"/>
  <c r="J3093" i="1"/>
  <c r="W3089" i="1"/>
  <c r="AI3067" i="1"/>
  <c r="AH3063" i="1"/>
  <c r="AF3059" i="1"/>
  <c r="AH3054" i="1"/>
  <c r="W3050" i="1"/>
  <c r="G3045" i="1"/>
  <c r="J3033" i="1"/>
  <c r="AH3025" i="1"/>
  <c r="G3022" i="1"/>
  <c r="G3015" i="1"/>
  <c r="AF3008" i="1"/>
  <c r="J3005" i="1"/>
  <c r="AH3001" i="1"/>
  <c r="G2995" i="1"/>
  <c r="J2992" i="1"/>
  <c r="AI2988" i="1"/>
  <c r="L2982" i="1"/>
  <c r="W2978" i="1"/>
  <c r="M2975" i="1"/>
  <c r="G2972" i="1"/>
  <c r="L2969" i="1"/>
  <c r="G2966" i="1"/>
  <c r="AH2962" i="1"/>
  <c r="M2953" i="1"/>
  <c r="W2950" i="1"/>
  <c r="L2947" i="1"/>
  <c r="AI2944" i="1"/>
  <c r="AI2938" i="1"/>
  <c r="J2930" i="1"/>
  <c r="J2924" i="1"/>
  <c r="AH2920" i="1"/>
  <c r="AI2914" i="1"/>
  <c r="M2909" i="1"/>
  <c r="M2903" i="1"/>
  <c r="J2900" i="1"/>
  <c r="W2897" i="1"/>
  <c r="M2894" i="1"/>
  <c r="AI2891" i="1"/>
  <c r="W2888" i="1"/>
  <c r="L2882" i="1"/>
  <c r="M2879" i="1"/>
  <c r="W2876" i="1"/>
  <c r="AF2873" i="1"/>
  <c r="AI2867" i="1"/>
  <c r="G2853" i="1"/>
  <c r="G2850" i="1"/>
  <c r="W2835" i="1"/>
  <c r="G2832" i="1"/>
  <c r="J2829" i="1"/>
  <c r="W2823" i="1"/>
  <c r="AH2820" i="1"/>
  <c r="AH2817" i="1"/>
  <c r="AH2814" i="1"/>
  <c r="AF2808" i="1"/>
  <c r="M2805" i="1"/>
  <c r="AI2802" i="1"/>
  <c r="AH2799" i="1"/>
  <c r="G2797" i="1"/>
  <c r="AF2793" i="1"/>
  <c r="L2782" i="1"/>
  <c r="G2764" i="1"/>
  <c r="G2762" i="1"/>
  <c r="M2759" i="1"/>
  <c r="J2757" i="1"/>
  <c r="AH2754" i="1"/>
  <c r="G2745" i="1"/>
  <c r="AH2742" i="1"/>
  <c r="L2740" i="1"/>
  <c r="G2733" i="1"/>
  <c r="M2730" i="1"/>
  <c r="L2728" i="1"/>
  <c r="AF2723" i="1"/>
  <c r="W2716" i="1"/>
  <c r="G2712" i="1"/>
  <c r="AF2709" i="1"/>
  <c r="AI2707" i="1"/>
  <c r="M2705" i="1"/>
  <c r="G2701" i="1"/>
  <c r="AH2694" i="1"/>
  <c r="AI2692" i="1"/>
  <c r="W2690" i="1"/>
  <c r="M2688" i="1"/>
  <c r="W2686" i="1"/>
  <c r="W2684" i="1"/>
  <c r="AH2682" i="1"/>
  <c r="W2680" i="1"/>
  <c r="J2678" i="1"/>
  <c r="J2676" i="1"/>
  <c r="G2674" i="1"/>
  <c r="AI2667" i="1"/>
  <c r="G2662" i="1"/>
  <c r="AH2657" i="1"/>
  <c r="G2656" i="1"/>
  <c r="G2654" i="1"/>
  <c r="J2652" i="1"/>
  <c r="L2650" i="1"/>
  <c r="AF2648" i="1"/>
  <c r="M2646" i="1"/>
  <c r="W2644" i="1"/>
  <c r="AI2642" i="1"/>
  <c r="AH2640" i="1"/>
  <c r="G2639" i="1"/>
  <c r="G2637" i="1"/>
  <c r="J2633" i="1"/>
  <c r="J2631" i="1"/>
  <c r="W2629" i="1"/>
  <c r="W2627" i="1"/>
  <c r="AI2625" i="1"/>
  <c r="AI2623" i="1"/>
  <c r="AH2621" i="1"/>
  <c r="G2620" i="1"/>
  <c r="G2618" i="1"/>
  <c r="J2616" i="1"/>
  <c r="L2614" i="1"/>
  <c r="AF2612" i="1"/>
  <c r="M2610" i="1"/>
  <c r="W2608" i="1"/>
  <c r="AI2606" i="1"/>
  <c r="AH2604" i="1"/>
  <c r="G2603" i="1"/>
  <c r="G2601" i="1"/>
  <c r="J2597" i="1"/>
  <c r="J2595" i="1"/>
  <c r="W2593" i="1"/>
  <c r="W2591" i="1"/>
  <c r="AI2589" i="1"/>
  <c r="AI2587" i="1"/>
  <c r="AH2585" i="1"/>
  <c r="G2584" i="1"/>
  <c r="G2582" i="1"/>
  <c r="J2580" i="1"/>
  <c r="L2578" i="1"/>
  <c r="AF2576" i="1"/>
  <c r="M2574" i="1"/>
  <c r="W2572" i="1"/>
  <c r="AI2570" i="1"/>
  <c r="AH2568" i="1"/>
  <c r="G2567" i="1"/>
  <c r="G2565" i="1"/>
  <c r="J2561" i="1"/>
  <c r="J2559" i="1"/>
  <c r="W2557" i="1"/>
  <c r="W2555" i="1"/>
  <c r="AI2553" i="1"/>
  <c r="AI2551" i="1"/>
  <c r="AH2549" i="1"/>
  <c r="G2548" i="1"/>
  <c r="G2546" i="1"/>
  <c r="J2544" i="1"/>
  <c r="L2542" i="1"/>
  <c r="AF2540" i="1"/>
  <c r="M2538" i="1"/>
  <c r="W2536" i="1"/>
  <c r="AI2534" i="1"/>
  <c r="AH2532" i="1"/>
  <c r="G2531" i="1"/>
  <c r="G2529" i="1"/>
  <c r="J2525" i="1"/>
  <c r="J2523" i="1"/>
  <c r="W2521" i="1"/>
  <c r="W2519" i="1"/>
  <c r="AI2517" i="1"/>
  <c r="AI2515" i="1"/>
  <c r="AH2513" i="1"/>
  <c r="G2512" i="1"/>
  <c r="G2510" i="1"/>
  <c r="J2508" i="1"/>
  <c r="L2506" i="1"/>
  <c r="AF2504" i="1"/>
  <c r="M2502" i="1"/>
  <c r="W2500" i="1"/>
  <c r="AI2498" i="1"/>
  <c r="AH2496" i="1"/>
  <c r="G2495" i="1"/>
  <c r="G2493" i="1"/>
  <c r="J2489" i="1"/>
  <c r="J2487" i="1"/>
  <c r="W2485" i="1"/>
  <c r="W2483" i="1"/>
  <c r="AI2481" i="1"/>
  <c r="AI2479" i="1"/>
  <c r="AH2477" i="1"/>
  <c r="G2476" i="1"/>
  <c r="G2474" i="1"/>
  <c r="J2472" i="1"/>
  <c r="L2470" i="1"/>
  <c r="AF2468" i="1"/>
  <c r="M2466" i="1"/>
  <c r="W2464" i="1"/>
  <c r="AI2462" i="1"/>
  <c r="AI2460" i="1"/>
  <c r="J2459" i="1"/>
  <c r="M2457" i="1"/>
  <c r="J2454" i="1"/>
  <c r="W2452" i="1"/>
  <c r="G2449" i="1"/>
  <c r="W2447" i="1"/>
  <c r="M2442" i="1"/>
  <c r="AF2437" i="1"/>
  <c r="J2436" i="1"/>
  <c r="AF2433" i="1"/>
  <c r="L2432" i="1"/>
  <c r="G2431" i="1"/>
  <c r="AH2429" i="1"/>
  <c r="W2428" i="1"/>
  <c r="L2427" i="1"/>
  <c r="AH2423" i="1"/>
  <c r="W2422" i="1"/>
  <c r="L2421" i="1"/>
  <c r="AH2417" i="1"/>
  <c r="W2416" i="1"/>
  <c r="L2415" i="1"/>
  <c r="AH2411" i="1"/>
  <c r="W2410" i="1"/>
  <c r="L2409" i="1"/>
  <c r="AH2405" i="1"/>
  <c r="W2404" i="1"/>
  <c r="L2403" i="1"/>
  <c r="AH2399" i="1"/>
  <c r="W2398" i="1"/>
  <c r="L2397" i="1"/>
  <c r="AH2393" i="1"/>
  <c r="W2392" i="1"/>
  <c r="L2391" i="1"/>
  <c r="AH2387" i="1"/>
  <c r="W2386" i="1"/>
  <c r="L2385" i="1"/>
  <c r="AH2381" i="1"/>
  <c r="W2380" i="1"/>
  <c r="L2379" i="1"/>
  <c r="AH2375" i="1"/>
  <c r="W2374" i="1"/>
  <c r="L2373" i="1"/>
  <c r="AH2369" i="1"/>
  <c r="W2368" i="1"/>
  <c r="L2367" i="1"/>
  <c r="AH2363" i="1"/>
  <c r="W2362" i="1"/>
  <c r="L2361" i="1"/>
  <c r="AH2357" i="1"/>
  <c r="W2356" i="1"/>
  <c r="L2355" i="1"/>
  <c r="AH2351" i="1"/>
  <c r="W2350" i="1"/>
  <c r="L2349" i="1"/>
  <c r="AH2345" i="1"/>
  <c r="W2344" i="1"/>
  <c r="L2343" i="1"/>
  <c r="AH2339" i="1"/>
  <c r="W2338" i="1"/>
  <c r="L2337" i="1"/>
  <c r="AH2333" i="1"/>
  <c r="W2332" i="1"/>
  <c r="L2331" i="1"/>
  <c r="AH2327" i="1"/>
  <c r="W2326" i="1"/>
  <c r="L2325" i="1"/>
  <c r="AH2321" i="1"/>
  <c r="W2320" i="1"/>
  <c r="L2319" i="1"/>
  <c r="AH2315" i="1"/>
  <c r="W2314" i="1"/>
  <c r="L2313" i="1"/>
  <c r="AH2309" i="1"/>
  <c r="W2308" i="1"/>
  <c r="L2307" i="1"/>
  <c r="AH2303" i="1"/>
  <c r="W2302" i="1"/>
  <c r="L2301" i="1"/>
  <c r="AH2297" i="1"/>
  <c r="W2296" i="1"/>
  <c r="L2295" i="1"/>
  <c r="AH2291" i="1"/>
  <c r="W2290" i="1"/>
  <c r="L2289" i="1"/>
  <c r="AH2285" i="1"/>
  <c r="W2284" i="1"/>
  <c r="L2283" i="1"/>
  <c r="AH2279" i="1"/>
  <c r="W2278" i="1"/>
  <c r="L2277" i="1"/>
  <c r="AH2273" i="1"/>
  <c r="W2272" i="1"/>
  <c r="L2271" i="1"/>
  <c r="AH2267" i="1"/>
  <c r="W2266" i="1"/>
  <c r="L2265" i="1"/>
  <c r="AH2261" i="1"/>
  <c r="W2260" i="1"/>
  <c r="L2259" i="1"/>
  <c r="AH2255" i="1"/>
  <c r="W2254" i="1"/>
  <c r="L2253" i="1"/>
  <c r="AH2249" i="1"/>
  <c r="W2248" i="1"/>
  <c r="L2247" i="1"/>
  <c r="AH2243" i="1"/>
  <c r="W2242" i="1"/>
  <c r="L2241" i="1"/>
  <c r="AH2237" i="1"/>
  <c r="W2236" i="1"/>
  <c r="L2235" i="1"/>
  <c r="AH2231" i="1"/>
  <c r="W2230" i="1"/>
  <c r="L2229" i="1"/>
  <c r="AH2225" i="1"/>
  <c r="W2224" i="1"/>
  <c r="L2223" i="1"/>
  <c r="AH2219" i="1"/>
  <c r="W2218" i="1"/>
  <c r="L2217" i="1"/>
  <c r="AH2213" i="1"/>
  <c r="W2212" i="1"/>
  <c r="L2211" i="1"/>
  <c r="AH2207" i="1"/>
  <c r="W2206" i="1"/>
  <c r="L2205" i="1"/>
  <c r="AH2201" i="1"/>
  <c r="W2200" i="1"/>
  <c r="L2199" i="1"/>
  <c r="AH2195" i="1"/>
  <c r="W2194" i="1"/>
  <c r="L2193" i="1"/>
  <c r="AH2189" i="1"/>
  <c r="W2188" i="1"/>
  <c r="L2187" i="1"/>
  <c r="AH2183" i="1"/>
  <c r="W2182" i="1"/>
  <c r="L2181" i="1"/>
  <c r="AH2177" i="1"/>
  <c r="W2176" i="1"/>
  <c r="L2175" i="1"/>
  <c r="AH2171" i="1"/>
  <c r="W2170" i="1"/>
  <c r="L2169" i="1"/>
  <c r="AH2165" i="1"/>
  <c r="W2164" i="1"/>
  <c r="L2163" i="1"/>
  <c r="AH2159" i="1"/>
  <c r="W2158" i="1"/>
  <c r="L2157" i="1"/>
  <c r="AH2153" i="1"/>
  <c r="W2152" i="1"/>
  <c r="L2151" i="1"/>
  <c r="AH2147" i="1"/>
  <c r="W2146" i="1"/>
  <c r="L2145" i="1"/>
  <c r="AH2141" i="1"/>
  <c r="W2140" i="1"/>
  <c r="L2139" i="1"/>
  <c r="AH2135" i="1"/>
  <c r="W2134" i="1"/>
  <c r="L2133" i="1"/>
  <c r="AH2129" i="1"/>
  <c r="W2128" i="1"/>
  <c r="L2127" i="1"/>
  <c r="AH2123" i="1"/>
  <c r="W2122" i="1"/>
  <c r="L2121" i="1"/>
  <c r="AH2117" i="1"/>
  <c r="W2116" i="1"/>
  <c r="L2115" i="1"/>
  <c r="AH2111" i="1"/>
  <c r="W2110" i="1"/>
  <c r="L2109" i="1"/>
  <c r="M4072" i="1"/>
  <c r="J4063" i="1"/>
  <c r="M4001" i="1"/>
  <c r="G3856" i="1"/>
  <c r="L3827" i="1"/>
  <c r="M3782" i="1"/>
  <c r="W3755" i="1"/>
  <c r="AI3747" i="1"/>
  <c r="AI3720" i="1"/>
  <c r="AI3711" i="1"/>
  <c r="G3651" i="1"/>
  <c r="W3642" i="1"/>
  <c r="AH3613" i="1"/>
  <c r="AI3544" i="1"/>
  <c r="M3530" i="1"/>
  <c r="M3524" i="1"/>
  <c r="M3504" i="1"/>
  <c r="AH3491" i="1"/>
  <c r="W3477" i="1"/>
  <c r="M3460" i="1"/>
  <c r="L3447" i="1"/>
  <c r="W3442" i="1"/>
  <c r="AH3429" i="1"/>
  <c r="W3424" i="1"/>
  <c r="M3412" i="1"/>
  <c r="AI3406" i="1"/>
  <c r="G3395" i="1"/>
  <c r="AI3390" i="1"/>
  <c r="M3381" i="1"/>
  <c r="AI3376" i="1"/>
  <c r="AI3366" i="1"/>
  <c r="L3357" i="1"/>
  <c r="AI3352" i="1"/>
  <c r="AI3347" i="1"/>
  <c r="J3332" i="1"/>
  <c r="G3323" i="1"/>
  <c r="L3313" i="1"/>
  <c r="M3309" i="1"/>
  <c r="AH3304" i="1"/>
  <c r="W3300" i="1"/>
  <c r="AI3294" i="1"/>
  <c r="AI3290" i="1"/>
  <c r="AH3285" i="1"/>
  <c r="AF3280" i="1"/>
  <c r="J3276" i="1"/>
  <c r="AI3271" i="1"/>
  <c r="AH3266" i="1"/>
  <c r="M3262" i="1"/>
  <c r="L3257" i="1"/>
  <c r="J3250" i="1"/>
  <c r="M3245" i="1"/>
  <c r="M3241" i="1"/>
  <c r="G3233" i="1"/>
  <c r="AH3223" i="1"/>
  <c r="G3219" i="1"/>
  <c r="AF3206" i="1"/>
  <c r="AH3193" i="1"/>
  <c r="AF3188" i="1"/>
  <c r="J3184" i="1"/>
  <c r="L3179" i="1"/>
  <c r="L3175" i="1"/>
  <c r="G3167" i="1"/>
  <c r="AH3162" i="1"/>
  <c r="AF3149" i="1"/>
  <c r="AH3145" i="1"/>
  <c r="M3137" i="1"/>
  <c r="AF3132" i="1"/>
  <c r="AH3128" i="1"/>
  <c r="W3110" i="1"/>
  <c r="L3101" i="1"/>
  <c r="AH3096" i="1"/>
  <c r="M3089" i="1"/>
  <c r="AI3084" i="1"/>
  <c r="G3081" i="1"/>
  <c r="W3067" i="1"/>
  <c r="J3063" i="1"/>
  <c r="W3059" i="1"/>
  <c r="AF3054" i="1"/>
  <c r="G3041" i="1"/>
  <c r="G3029" i="1"/>
  <c r="AF3001" i="1"/>
  <c r="AH2997" i="1"/>
  <c r="AH2988" i="1"/>
  <c r="G2985" i="1"/>
  <c r="J2982" i="1"/>
  <c r="L2978" i="1"/>
  <c r="J2969" i="1"/>
  <c r="AI2958" i="1"/>
  <c r="AI2955" i="1"/>
  <c r="M2950" i="1"/>
  <c r="J2947" i="1"/>
  <c r="AH2944" i="1"/>
  <c r="AI2941" i="1"/>
  <c r="J2938" i="1"/>
  <c r="L2935" i="1"/>
  <c r="M2932" i="1"/>
  <c r="AH2926" i="1"/>
  <c r="G2924" i="1"/>
  <c r="AF2920" i="1"/>
  <c r="J2917" i="1"/>
  <c r="AF2914" i="1"/>
  <c r="AI2911" i="1"/>
  <c r="G2906" i="1"/>
  <c r="G2900" i="1"/>
  <c r="M2897" i="1"/>
  <c r="L2894" i="1"/>
  <c r="AF2891" i="1"/>
  <c r="M2888" i="1"/>
  <c r="AI2884" i="1"/>
  <c r="J2882" i="1"/>
  <c r="M2876" i="1"/>
  <c r="W2873" i="1"/>
  <c r="G2871" i="1"/>
  <c r="AF2867" i="1"/>
  <c r="L2864" i="1"/>
  <c r="AF2861" i="1"/>
  <c r="W2858" i="1"/>
  <c r="M2846" i="1"/>
  <c r="W2843" i="1"/>
  <c r="AI2837" i="1"/>
  <c r="M2835" i="1"/>
  <c r="G2826" i="1"/>
  <c r="M2823" i="1"/>
  <c r="AF2820" i="1"/>
  <c r="AF2817" i="1"/>
  <c r="G2811" i="1"/>
  <c r="J2805" i="1"/>
  <c r="AH2802" i="1"/>
  <c r="AF2799" i="1"/>
  <c r="M2793" i="1"/>
  <c r="AF2790" i="1"/>
  <c r="AF2787" i="1"/>
  <c r="AI2784" i="1"/>
  <c r="AI2778" i="1"/>
  <c r="J2775" i="1"/>
  <c r="AH2772" i="1"/>
  <c r="W2769" i="1"/>
  <c r="J2759" i="1"/>
  <c r="M2754" i="1"/>
  <c r="AH2751" i="1"/>
  <c r="AI2749" i="1"/>
  <c r="AI2746" i="1"/>
  <c r="AF2742" i="1"/>
  <c r="AF2737" i="1"/>
  <c r="AI2734" i="1"/>
  <c r="J2728" i="1"/>
  <c r="AI2725" i="1"/>
  <c r="W2723" i="1"/>
  <c r="G2721" i="1"/>
  <c r="L2718" i="1"/>
  <c r="L2716" i="1"/>
  <c r="G2714" i="1"/>
  <c r="W2709" i="1"/>
  <c r="AF2707" i="1"/>
  <c r="J2705" i="1"/>
  <c r="AI2702" i="1"/>
  <c r="AH2698" i="1"/>
  <c r="AI2696" i="1"/>
  <c r="AF2694" i="1"/>
  <c r="L2692" i="1"/>
  <c r="M2690" i="1"/>
  <c r="L2688" i="1"/>
  <c r="M2686" i="1"/>
  <c r="M2684" i="1"/>
  <c r="AF2682" i="1"/>
  <c r="M2680" i="1"/>
  <c r="AI2671" i="1"/>
  <c r="AH2667" i="1"/>
  <c r="G2666" i="1"/>
  <c r="AI2663" i="1"/>
  <c r="AF2659" i="1"/>
  <c r="AF2657" i="1"/>
  <c r="J2650" i="1"/>
  <c r="L2646" i="1"/>
  <c r="M2644" i="1"/>
  <c r="AH2642" i="1"/>
  <c r="AF2640" i="1"/>
  <c r="AI2634" i="1"/>
  <c r="M2629" i="1"/>
  <c r="M2627" i="1"/>
  <c r="L2625" i="1"/>
  <c r="AF2623" i="1"/>
  <c r="AF2621" i="1"/>
  <c r="J2614" i="1"/>
  <c r="L2610" i="1"/>
  <c r="M2608" i="1"/>
  <c r="AH2606" i="1"/>
  <c r="AF2604" i="1"/>
  <c r="AI2598" i="1"/>
  <c r="M2593" i="1"/>
  <c r="M2591" i="1"/>
  <c r="L2589" i="1"/>
  <c r="AF2587" i="1"/>
  <c r="AF2585" i="1"/>
  <c r="J2578" i="1"/>
  <c r="L2574" i="1"/>
  <c r="M2572" i="1"/>
  <c r="AH2570" i="1"/>
  <c r="AF2568" i="1"/>
  <c r="AI2562" i="1"/>
  <c r="M2557" i="1"/>
  <c r="M2555" i="1"/>
  <c r="L2553" i="1"/>
  <c r="AF2551" i="1"/>
  <c r="AF2549" i="1"/>
  <c r="J2542" i="1"/>
  <c r="L2538" i="1"/>
  <c r="M2536" i="1"/>
  <c r="AH2534" i="1"/>
  <c r="AF2532" i="1"/>
  <c r="AI2526" i="1"/>
  <c r="M2521" i="1"/>
  <c r="M2519" i="1"/>
  <c r="L2517" i="1"/>
  <c r="AF2515" i="1"/>
  <c r="AF2513" i="1"/>
  <c r="J2506" i="1"/>
  <c r="L2502" i="1"/>
  <c r="M2500" i="1"/>
  <c r="AH2498" i="1"/>
  <c r="AF2496" i="1"/>
  <c r="AI2490" i="1"/>
  <c r="M2485" i="1"/>
  <c r="M2483" i="1"/>
  <c r="L2481" i="1"/>
  <c r="AF2479" i="1"/>
  <c r="AF2477" i="1"/>
  <c r="J2470" i="1"/>
  <c r="L2466" i="1"/>
  <c r="M2464" i="1"/>
  <c r="AH2462" i="1"/>
  <c r="AH2460" i="1"/>
  <c r="L2457" i="1"/>
  <c r="AI2455" i="1"/>
  <c r="M2452" i="1"/>
  <c r="AI2450" i="1"/>
  <c r="M2447" i="1"/>
  <c r="AI2445" i="1"/>
  <c r="G2444" i="1"/>
  <c r="L2442" i="1"/>
  <c r="AF2440" i="1"/>
  <c r="G2439" i="1"/>
  <c r="W2437" i="1"/>
  <c r="G2436" i="1"/>
  <c r="AI2434" i="1"/>
  <c r="W2433" i="1"/>
  <c r="J2432" i="1"/>
  <c r="AF2429" i="1"/>
  <c r="M2428" i="1"/>
  <c r="J2427" i="1"/>
  <c r="G2426" i="1"/>
  <c r="AI2424" i="1"/>
  <c r="AF2423" i="1"/>
  <c r="M2422" i="1"/>
  <c r="J2421" i="1"/>
  <c r="G2420" i="1"/>
  <c r="AI2418" i="1"/>
  <c r="AF2417" i="1"/>
  <c r="M2416" i="1"/>
  <c r="J2415" i="1"/>
  <c r="G2414" i="1"/>
  <c r="AI2412" i="1"/>
  <c r="AF2411" i="1"/>
  <c r="M2410" i="1"/>
  <c r="J2409" i="1"/>
  <c r="G2408" i="1"/>
  <c r="AI2406" i="1"/>
  <c r="AF2405" i="1"/>
  <c r="M2404" i="1"/>
  <c r="J2403" i="1"/>
  <c r="G2402" i="1"/>
  <c r="AI2400" i="1"/>
  <c r="AF2399" i="1"/>
  <c r="M2398" i="1"/>
  <c r="J2397" i="1"/>
  <c r="G2396" i="1"/>
  <c r="AI2394" i="1"/>
  <c r="AF2393" i="1"/>
  <c r="M2392" i="1"/>
  <c r="J2391" i="1"/>
  <c r="G2390" i="1"/>
  <c r="AI2388" i="1"/>
  <c r="AF2387" i="1"/>
  <c r="M2386" i="1"/>
  <c r="J2385" i="1"/>
  <c r="G2384" i="1"/>
  <c r="AI2382" i="1"/>
  <c r="AF2381" i="1"/>
  <c r="M2380" i="1"/>
  <c r="J2379" i="1"/>
  <c r="G2378" i="1"/>
  <c r="AI2376" i="1"/>
  <c r="AF2375" i="1"/>
  <c r="M2374" i="1"/>
  <c r="J2373" i="1"/>
  <c r="G2372" i="1"/>
  <c r="AI2370" i="1"/>
  <c r="AF2369" i="1"/>
  <c r="M2368" i="1"/>
  <c r="J2367" i="1"/>
  <c r="G2366" i="1"/>
  <c r="AI2364" i="1"/>
  <c r="AF2363" i="1"/>
  <c r="M2362" i="1"/>
  <c r="J2361" i="1"/>
  <c r="G2360" i="1"/>
  <c r="AI2358" i="1"/>
  <c r="AF2357" i="1"/>
  <c r="M2356" i="1"/>
  <c r="J2355" i="1"/>
  <c r="G2354" i="1"/>
  <c r="AI2352" i="1"/>
  <c r="AF2351" i="1"/>
  <c r="M2350" i="1"/>
  <c r="J2349" i="1"/>
  <c r="G2348" i="1"/>
  <c r="AI2346" i="1"/>
  <c r="AF2345" i="1"/>
  <c r="M2344" i="1"/>
  <c r="J2343" i="1"/>
  <c r="G2342" i="1"/>
  <c r="AI2340" i="1"/>
  <c r="AF2339" i="1"/>
  <c r="M2338" i="1"/>
  <c r="J2337" i="1"/>
  <c r="G2336" i="1"/>
  <c r="AI2334" i="1"/>
  <c r="AF2333" i="1"/>
  <c r="M2332" i="1"/>
  <c r="J2331" i="1"/>
  <c r="G2330" i="1"/>
  <c r="AI2328" i="1"/>
  <c r="AF2327" i="1"/>
  <c r="M2326" i="1"/>
  <c r="J2325" i="1"/>
  <c r="G2324" i="1"/>
  <c r="AI2322" i="1"/>
  <c r="AF2321" i="1"/>
  <c r="M2320" i="1"/>
  <c r="J2319" i="1"/>
  <c r="G2318" i="1"/>
  <c r="AI2316" i="1"/>
  <c r="AF2315" i="1"/>
  <c r="M2314" i="1"/>
  <c r="J2313" i="1"/>
  <c r="G2312" i="1"/>
  <c r="AI2310" i="1"/>
  <c r="AF2309" i="1"/>
  <c r="M2308" i="1"/>
  <c r="J2307" i="1"/>
  <c r="G2306" i="1"/>
  <c r="AI2304" i="1"/>
  <c r="AF2303" i="1"/>
  <c r="M2302" i="1"/>
  <c r="J2301" i="1"/>
  <c r="G2300" i="1"/>
  <c r="AI2298" i="1"/>
  <c r="AF2297" i="1"/>
  <c r="M2296" i="1"/>
  <c r="J2295" i="1"/>
  <c r="G2294" i="1"/>
  <c r="AI2292" i="1"/>
  <c r="AF2291" i="1"/>
  <c r="M2290" i="1"/>
  <c r="J2289" i="1"/>
  <c r="G2288" i="1"/>
  <c r="AI2286" i="1"/>
  <c r="AF2285" i="1"/>
  <c r="M2284" i="1"/>
  <c r="J2283" i="1"/>
  <c r="G2282" i="1"/>
  <c r="AI2280" i="1"/>
  <c r="AF2279" i="1"/>
  <c r="M2278" i="1"/>
  <c r="J2277" i="1"/>
  <c r="G2276" i="1"/>
  <c r="AI2274" i="1"/>
  <c r="AF2273" i="1"/>
  <c r="M2272" i="1"/>
  <c r="J2271" i="1"/>
  <c r="G2270" i="1"/>
  <c r="AI2268" i="1"/>
  <c r="AF2267" i="1"/>
  <c r="M2266" i="1"/>
  <c r="J2265" i="1"/>
  <c r="G2264" i="1"/>
  <c r="AI2262" i="1"/>
  <c r="AF2261" i="1"/>
  <c r="M2260" i="1"/>
  <c r="J2259" i="1"/>
  <c r="G2258" i="1"/>
  <c r="AI2256" i="1"/>
  <c r="AF2255" i="1"/>
  <c r="M2254" i="1"/>
  <c r="J2253" i="1"/>
  <c r="G2252" i="1"/>
  <c r="AI2250" i="1"/>
  <c r="AF2249" i="1"/>
  <c r="M2248" i="1"/>
  <c r="J2247" i="1"/>
  <c r="G2246" i="1"/>
  <c r="AI2244" i="1"/>
  <c r="AF2243" i="1"/>
  <c r="M2242" i="1"/>
  <c r="J2241" i="1"/>
  <c r="G2240" i="1"/>
  <c r="AI2238" i="1"/>
  <c r="AF2237" i="1"/>
  <c r="M2236" i="1"/>
  <c r="J2235" i="1"/>
  <c r="G2234" i="1"/>
  <c r="AI2232" i="1"/>
  <c r="AF2231" i="1"/>
  <c r="M2230" i="1"/>
  <c r="J2229" i="1"/>
  <c r="G2228" i="1"/>
  <c r="AI2226" i="1"/>
  <c r="AF2225" i="1"/>
  <c r="M2224" i="1"/>
  <c r="J2223" i="1"/>
  <c r="G2222" i="1"/>
  <c r="AI2220" i="1"/>
  <c r="L4072" i="1"/>
  <c r="L4053" i="1"/>
  <c r="J3755" i="1"/>
  <c r="L3720" i="1"/>
  <c r="AF3701" i="1"/>
  <c r="AI3684" i="1"/>
  <c r="AH3676" i="1"/>
  <c r="J3596" i="1"/>
  <c r="AF3588" i="1"/>
  <c r="AH3573" i="1"/>
  <c r="AH3544" i="1"/>
  <c r="G3537" i="1"/>
  <c r="M3496" i="1"/>
  <c r="L3477" i="1"/>
  <c r="AF3471" i="1"/>
  <c r="AI3453" i="1"/>
  <c r="J3447" i="1"/>
  <c r="J3435" i="1"/>
  <c r="M3429" i="1"/>
  <c r="M3424" i="1"/>
  <c r="AF3406" i="1"/>
  <c r="W3385" i="1"/>
  <c r="G3381" i="1"/>
  <c r="G3371" i="1"/>
  <c r="W3361" i="1"/>
  <c r="AH3352" i="1"/>
  <c r="AF3347" i="1"/>
  <c r="AI3342" i="1"/>
  <c r="AI3326" i="1"/>
  <c r="W3304" i="1"/>
  <c r="AF3294" i="1"/>
  <c r="AH3290" i="1"/>
  <c r="G3285" i="1"/>
  <c r="W3280" i="1"/>
  <c r="AH3271" i="1"/>
  <c r="AF3266" i="1"/>
  <c r="J3262" i="1"/>
  <c r="L3245" i="1"/>
  <c r="AH3236" i="1"/>
  <c r="W3223" i="1"/>
  <c r="L3214" i="1"/>
  <c r="G3206" i="1"/>
  <c r="AH3201" i="1"/>
  <c r="G3188" i="1"/>
  <c r="AH3170" i="1"/>
  <c r="AF3162" i="1"/>
  <c r="AI3157" i="1"/>
  <c r="AH3153" i="1"/>
  <c r="M3149" i="1"/>
  <c r="M3145" i="1"/>
  <c r="W3140" i="1"/>
  <c r="W3132" i="1"/>
  <c r="W3128" i="1"/>
  <c r="J3114" i="1"/>
  <c r="G3105" i="1"/>
  <c r="AF3096" i="1"/>
  <c r="AH3084" i="1"/>
  <c r="W3071" i="1"/>
  <c r="W3054" i="1"/>
  <c r="AH3044" i="1"/>
  <c r="AI3036" i="1"/>
  <c r="AH3024" i="1"/>
  <c r="W3021" i="1"/>
  <c r="AI3017" i="1"/>
  <c r="AH3014" i="1"/>
  <c r="AI3007" i="1"/>
  <c r="M3004" i="1"/>
  <c r="W2997" i="1"/>
  <c r="AI2994" i="1"/>
  <c r="L2991" i="1"/>
  <c r="M2988" i="1"/>
  <c r="G2978" i="1"/>
  <c r="W2974" i="1"/>
  <c r="AH2971" i="1"/>
  <c r="M2965" i="1"/>
  <c r="AH2958" i="1"/>
  <c r="AH2955" i="1"/>
  <c r="AF2944" i="1"/>
  <c r="L2941" i="1"/>
  <c r="J2935" i="1"/>
  <c r="L2932" i="1"/>
  <c r="AI2929" i="1"/>
  <c r="AF2926" i="1"/>
  <c r="L2920" i="1"/>
  <c r="M2914" i="1"/>
  <c r="L2911" i="1"/>
  <c r="AI2908" i="1"/>
  <c r="AI2902" i="1"/>
  <c r="J2894" i="1"/>
  <c r="J2888" i="1"/>
  <c r="AH2884" i="1"/>
  <c r="AI2878" i="1"/>
  <c r="M2873" i="1"/>
  <c r="M2867" i="1"/>
  <c r="J2864" i="1"/>
  <c r="W2861" i="1"/>
  <c r="M2858" i="1"/>
  <c r="AI2855" i="1"/>
  <c r="W2852" i="1"/>
  <c r="L2846" i="1"/>
  <c r="M2843" i="1"/>
  <c r="W2840" i="1"/>
  <c r="AF2837" i="1"/>
  <c r="AI2831" i="1"/>
  <c r="G2817" i="1"/>
  <c r="G2814" i="1"/>
  <c r="W2799" i="1"/>
  <c r="G2796" i="1"/>
  <c r="J2793" i="1"/>
  <c r="W2787" i="1"/>
  <c r="AH2784" i="1"/>
  <c r="AH2781" i="1"/>
  <c r="AH2778" i="1"/>
  <c r="AF2772" i="1"/>
  <c r="M2769" i="1"/>
  <c r="AI2766" i="1"/>
  <c r="AH2763" i="1"/>
  <c r="W2756" i="1"/>
  <c r="AF2751" i="1"/>
  <c r="AF2749" i="1"/>
  <c r="AF2746" i="1"/>
  <c r="L2744" i="1"/>
  <c r="M2742" i="1"/>
  <c r="AF2739" i="1"/>
  <c r="L2737" i="1"/>
  <c r="AH2734" i="1"/>
  <c r="AI2732" i="1"/>
  <c r="G2730" i="1"/>
  <c r="G2728" i="1"/>
  <c r="AF2725" i="1"/>
  <c r="J2716" i="1"/>
  <c r="AI2711" i="1"/>
  <c r="M2709" i="1"/>
  <c r="G2707" i="1"/>
  <c r="AH2702" i="1"/>
  <c r="AI2700" i="1"/>
  <c r="AF2698" i="1"/>
  <c r="AH2696" i="1"/>
  <c r="L2694" i="1"/>
  <c r="J2692" i="1"/>
  <c r="L2690" i="1"/>
  <c r="J2688" i="1"/>
  <c r="L2684" i="1"/>
  <c r="G2682" i="1"/>
  <c r="J2680" i="1"/>
  <c r="G2678" i="1"/>
  <c r="AH2673" i="1"/>
  <c r="AF2671" i="1"/>
  <c r="AI2669" i="1"/>
  <c r="AF2667" i="1"/>
  <c r="AH2663" i="1"/>
  <c r="M2661" i="1"/>
  <c r="W2659" i="1"/>
  <c r="W2657" i="1"/>
  <c r="AI2655" i="1"/>
  <c r="AI2653" i="1"/>
  <c r="AH2651" i="1"/>
  <c r="G2650" i="1"/>
  <c r="G2648" i="1"/>
  <c r="J2646" i="1"/>
  <c r="L2644" i="1"/>
  <c r="AF2642" i="1"/>
  <c r="M2640" i="1"/>
  <c r="W2638" i="1"/>
  <c r="AI2636" i="1"/>
  <c r="AH2634" i="1"/>
  <c r="G2633" i="1"/>
  <c r="G2631" i="1"/>
  <c r="J2627" i="1"/>
  <c r="J2625" i="1"/>
  <c r="W2623" i="1"/>
  <c r="W2621" i="1"/>
  <c r="AI2619" i="1"/>
  <c r="AI2617" i="1"/>
  <c r="AH2615" i="1"/>
  <c r="G2614" i="1"/>
  <c r="G2612" i="1"/>
  <c r="J2610" i="1"/>
  <c r="L2608" i="1"/>
  <c r="AF2606" i="1"/>
  <c r="M2604" i="1"/>
  <c r="W2602" i="1"/>
  <c r="AI2600" i="1"/>
  <c r="AH2598" i="1"/>
  <c r="G2597" i="1"/>
  <c r="G2595" i="1"/>
  <c r="J2591" i="1"/>
  <c r="J2589" i="1"/>
  <c r="W2587" i="1"/>
  <c r="W2585" i="1"/>
  <c r="AI2583" i="1"/>
  <c r="AI2581" i="1"/>
  <c r="AH2579" i="1"/>
  <c r="G2578" i="1"/>
  <c r="G2576" i="1"/>
  <c r="J2574" i="1"/>
  <c r="L2572" i="1"/>
  <c r="AF2570" i="1"/>
  <c r="M2568" i="1"/>
  <c r="W2566" i="1"/>
  <c r="AI2564" i="1"/>
  <c r="AH2562" i="1"/>
  <c r="G2561" i="1"/>
  <c r="G2559" i="1"/>
  <c r="J2555" i="1"/>
  <c r="J2553" i="1"/>
  <c r="W2551" i="1"/>
  <c r="W2549" i="1"/>
  <c r="AI2547" i="1"/>
  <c r="AI2545" i="1"/>
  <c r="AH2543" i="1"/>
  <c r="G2542" i="1"/>
  <c r="G2540" i="1"/>
  <c r="J2538" i="1"/>
  <c r="L2536" i="1"/>
  <c r="AF2534" i="1"/>
  <c r="M2532" i="1"/>
  <c r="W2530" i="1"/>
  <c r="AI2528" i="1"/>
  <c r="AH2526" i="1"/>
  <c r="G2525" i="1"/>
  <c r="G2523" i="1"/>
  <c r="J2519" i="1"/>
  <c r="J2517" i="1"/>
  <c r="W2515" i="1"/>
  <c r="W2513" i="1"/>
  <c r="AI2511" i="1"/>
  <c r="AI2509" i="1"/>
  <c r="AH2507" i="1"/>
  <c r="G2506" i="1"/>
  <c r="G2504" i="1"/>
  <c r="J2502" i="1"/>
  <c r="L2500" i="1"/>
  <c r="AF2498" i="1"/>
  <c r="M2496" i="1"/>
  <c r="W2494" i="1"/>
  <c r="AI2492" i="1"/>
  <c r="AH2490" i="1"/>
  <c r="G2489" i="1"/>
  <c r="G2487" i="1"/>
  <c r="J2483" i="1"/>
  <c r="J2481" i="1"/>
  <c r="W2479" i="1"/>
  <c r="W2477" i="1"/>
  <c r="AI2475" i="1"/>
  <c r="AI2473" i="1"/>
  <c r="AH2471" i="1"/>
  <c r="G2470" i="1"/>
  <c r="G2468" i="1"/>
  <c r="J2466" i="1"/>
  <c r="L2464" i="1"/>
  <c r="AF2462" i="1"/>
  <c r="AF2460" i="1"/>
  <c r="G2459" i="1"/>
  <c r="J2457" i="1"/>
  <c r="AF2455" i="1"/>
  <c r="AI2453" i="1"/>
  <c r="L2452" i="1"/>
  <c r="AH2450" i="1"/>
  <c r="AI2448" i="1"/>
  <c r="J2447" i="1"/>
  <c r="M2445" i="1"/>
  <c r="J2442" i="1"/>
  <c r="W2440" i="1"/>
  <c r="M2437" i="1"/>
  <c r="AH2434" i="1"/>
  <c r="M2433" i="1"/>
  <c r="AI2430" i="1"/>
  <c r="W2429" i="1"/>
  <c r="L2428" i="1"/>
  <c r="AH2424" i="1"/>
  <c r="W2423" i="1"/>
  <c r="L2422" i="1"/>
  <c r="AH2418" i="1"/>
  <c r="W2417" i="1"/>
  <c r="L2416" i="1"/>
  <c r="AH2412" i="1"/>
  <c r="W2411" i="1"/>
  <c r="L2410" i="1"/>
  <c r="AH2406" i="1"/>
  <c r="W2405" i="1"/>
  <c r="L2404" i="1"/>
  <c r="AH2400" i="1"/>
  <c r="W2399" i="1"/>
  <c r="L2398" i="1"/>
  <c r="AH2394" i="1"/>
  <c r="W2393" i="1"/>
  <c r="L2392" i="1"/>
  <c r="AH2388" i="1"/>
  <c r="W2387" i="1"/>
  <c r="L2386" i="1"/>
  <c r="AH2382" i="1"/>
  <c r="W2381" i="1"/>
  <c r="L2380" i="1"/>
  <c r="AH2376" i="1"/>
  <c r="W2375" i="1"/>
  <c r="L2374" i="1"/>
  <c r="AH2370" i="1"/>
  <c r="W2369" i="1"/>
  <c r="L2368" i="1"/>
  <c r="AH2364" i="1"/>
  <c r="W2363" i="1"/>
  <c r="L2362" i="1"/>
  <c r="AH2358" i="1"/>
  <c r="W2357" i="1"/>
  <c r="L2356" i="1"/>
  <c r="AH2352" i="1"/>
  <c r="W2351" i="1"/>
  <c r="L2350" i="1"/>
  <c r="AH2346" i="1"/>
  <c r="W2345" i="1"/>
  <c r="L2344" i="1"/>
  <c r="AH2340" i="1"/>
  <c r="W2339" i="1"/>
  <c r="L2338" i="1"/>
  <c r="AH2334" i="1"/>
  <c r="W2333" i="1"/>
  <c r="L2332" i="1"/>
  <c r="AH2328" i="1"/>
  <c r="W2327" i="1"/>
  <c r="L2326" i="1"/>
  <c r="AH2322" i="1"/>
  <c r="W2321" i="1"/>
  <c r="L2320" i="1"/>
  <c r="AH2316" i="1"/>
  <c r="W2315" i="1"/>
  <c r="L2314" i="1"/>
  <c r="AH2310" i="1"/>
  <c r="W2309" i="1"/>
  <c r="L2308" i="1"/>
  <c r="AH2304" i="1"/>
  <c r="W2303" i="1"/>
  <c r="L2302" i="1"/>
  <c r="AH2298" i="1"/>
  <c r="W2297" i="1"/>
  <c r="L2296" i="1"/>
  <c r="AH2292" i="1"/>
  <c r="W2291" i="1"/>
  <c r="L2290" i="1"/>
  <c r="AH2286" i="1"/>
  <c r="W2285" i="1"/>
  <c r="L2284" i="1"/>
  <c r="AH2280" i="1"/>
  <c r="W2279" i="1"/>
  <c r="L2278" i="1"/>
  <c r="AH2274" i="1"/>
  <c r="W2273" i="1"/>
  <c r="L2272" i="1"/>
  <c r="AH2268" i="1"/>
  <c r="W2267" i="1"/>
  <c r="L2266" i="1"/>
  <c r="AH2262" i="1"/>
  <c r="W2261" i="1"/>
  <c r="L2260" i="1"/>
  <c r="AH2256" i="1"/>
  <c r="W2255" i="1"/>
  <c r="L2254" i="1"/>
  <c r="AH2250" i="1"/>
  <c r="W2249" i="1"/>
  <c r="L2248" i="1"/>
  <c r="AH2244" i="1"/>
  <c r="W2243" i="1"/>
  <c r="L2242" i="1"/>
  <c r="AH2238" i="1"/>
  <c r="W2237" i="1"/>
  <c r="L2236" i="1"/>
  <c r="AH2232" i="1"/>
  <c r="W2231" i="1"/>
  <c r="L2230" i="1"/>
  <c r="AH2226" i="1"/>
  <c r="W2225" i="1"/>
  <c r="L2224" i="1"/>
  <c r="AH2220" i="1"/>
  <c r="W2219" i="1"/>
  <c r="L2218" i="1"/>
  <c r="AH2214" i="1"/>
  <c r="W2213" i="1"/>
  <c r="L2212" i="1"/>
  <c r="AH2208" i="1"/>
  <c r="W2207" i="1"/>
  <c r="L2206" i="1"/>
  <c r="AH2202" i="1"/>
  <c r="W2201" i="1"/>
  <c r="L2200" i="1"/>
  <c r="AH2196" i="1"/>
  <c r="W2195" i="1"/>
  <c r="L2194" i="1"/>
  <c r="AH2190" i="1"/>
  <c r="W2189" i="1"/>
  <c r="L2188" i="1"/>
  <c r="AH2184" i="1"/>
  <c r="W2183" i="1"/>
  <c r="L2182" i="1"/>
  <c r="AH2178" i="1"/>
  <c r="W2177" i="1"/>
  <c r="L2176" i="1"/>
  <c r="AH2172" i="1"/>
  <c r="W2171" i="1"/>
  <c r="L2170" i="1"/>
  <c r="AH2166" i="1"/>
  <c r="W2165" i="1"/>
  <c r="L2164" i="1"/>
  <c r="AH2160" i="1"/>
  <c r="W2159" i="1"/>
  <c r="L2158" i="1"/>
  <c r="AH2154" i="1"/>
  <c r="W2153" i="1"/>
  <c r="L2152" i="1"/>
  <c r="AH2148" i="1"/>
  <c r="W2147" i="1"/>
  <c r="L2146" i="1"/>
  <c r="J4010" i="1"/>
  <c r="AH3948" i="1"/>
  <c r="AI3938" i="1"/>
  <c r="AF3864" i="1"/>
  <c r="AI3844" i="1"/>
  <c r="AF3798" i="1"/>
  <c r="AH3781" i="1"/>
  <c r="G3763" i="1"/>
  <c r="G3746" i="1"/>
  <c r="W3692" i="1"/>
  <c r="L3650" i="1"/>
  <c r="J3619" i="1"/>
  <c r="W3588" i="1"/>
  <c r="AF3573" i="1"/>
  <c r="AF3558" i="1"/>
  <c r="AI3529" i="1"/>
  <c r="AI3523" i="1"/>
  <c r="G3516" i="1"/>
  <c r="L3496" i="1"/>
  <c r="AF3482" i="1"/>
  <c r="J3465" i="1"/>
  <c r="AF3459" i="1"/>
  <c r="M3441" i="1"/>
  <c r="W3416" i="1"/>
  <c r="M3399" i="1"/>
  <c r="L3375" i="1"/>
  <c r="L3361" i="1"/>
  <c r="J3356" i="1"/>
  <c r="M3347" i="1"/>
  <c r="W3336" i="1"/>
  <c r="G3332" i="1"/>
  <c r="AH3326" i="1"/>
  <c r="AF3316" i="1"/>
  <c r="AF3312" i="1"/>
  <c r="L3308" i="1"/>
  <c r="J3294" i="1"/>
  <c r="AF3290" i="1"/>
  <c r="AF3275" i="1"/>
  <c r="W3266" i="1"/>
  <c r="G3257" i="1"/>
  <c r="AI3252" i="1"/>
  <c r="W3240" i="1"/>
  <c r="AF3227" i="1"/>
  <c r="L3223" i="1"/>
  <c r="G3218" i="1"/>
  <c r="J3214" i="1"/>
  <c r="AF3197" i="1"/>
  <c r="W3192" i="1"/>
  <c r="L3174" i="1"/>
  <c r="W3170" i="1"/>
  <c r="AH3157" i="1"/>
  <c r="G3140" i="1"/>
  <c r="M3136" i="1"/>
  <c r="L3132" i="1"/>
  <c r="G3128" i="1"/>
  <c r="AI3123" i="1"/>
  <c r="L3109" i="1"/>
  <c r="W3096" i="1"/>
  <c r="AH3092" i="1"/>
  <c r="J3075" i="1"/>
  <c r="L3071" i="1"/>
  <c r="L3066" i="1"/>
  <c r="AF3062" i="1"/>
  <c r="AH3048" i="1"/>
  <c r="G3044" i="1"/>
  <c r="AI3031" i="1"/>
  <c r="M3028" i="1"/>
  <c r="AF3024" i="1"/>
  <c r="M3021" i="1"/>
  <c r="AF3017" i="1"/>
  <c r="W3014" i="1"/>
  <c r="AH3010" i="1"/>
  <c r="AH3007" i="1"/>
  <c r="L3004" i="1"/>
  <c r="AI3000" i="1"/>
  <c r="M2997" i="1"/>
  <c r="L2994" i="1"/>
  <c r="L2988" i="1"/>
  <c r="AI2984" i="1"/>
  <c r="G2981" i="1"/>
  <c r="M2974" i="1"/>
  <c r="W2971" i="1"/>
  <c r="L2965" i="1"/>
  <c r="W2961" i="1"/>
  <c r="AF2958" i="1"/>
  <c r="W2955" i="1"/>
  <c r="M2952" i="1"/>
  <c r="W2949" i="1"/>
  <c r="AH2937" i="1"/>
  <c r="J2932" i="1"/>
  <c r="L2929" i="1"/>
  <c r="M2926" i="1"/>
  <c r="G2923" i="1"/>
  <c r="J2920" i="1"/>
  <c r="G2917" i="1"/>
  <c r="L2914" i="1"/>
  <c r="J2911" i="1"/>
  <c r="AH2908" i="1"/>
  <c r="AI2905" i="1"/>
  <c r="J2902" i="1"/>
  <c r="L2899" i="1"/>
  <c r="M2896" i="1"/>
  <c r="AH2890" i="1"/>
  <c r="G2888" i="1"/>
  <c r="AF2884" i="1"/>
  <c r="J2881" i="1"/>
  <c r="AF2878" i="1"/>
  <c r="AI2875" i="1"/>
  <c r="G2870" i="1"/>
  <c r="G2864" i="1"/>
  <c r="M2861" i="1"/>
  <c r="L2858" i="1"/>
  <c r="AF2855" i="1"/>
  <c r="M2852" i="1"/>
  <c r="AI2848" i="1"/>
  <c r="J2846" i="1"/>
  <c r="M2840" i="1"/>
  <c r="W2837" i="1"/>
  <c r="G2835" i="1"/>
  <c r="AF2831" i="1"/>
  <c r="L2828" i="1"/>
  <c r="AF2825" i="1"/>
  <c r="W2822" i="1"/>
  <c r="M2810" i="1"/>
  <c r="W2807" i="1"/>
  <c r="AI2801" i="1"/>
  <c r="M2799" i="1"/>
  <c r="G2790" i="1"/>
  <c r="M2787" i="1"/>
  <c r="AF2784" i="1"/>
  <c r="AF2781" i="1"/>
  <c r="G2775" i="1"/>
  <c r="J2769" i="1"/>
  <c r="AH2766" i="1"/>
  <c r="W2763" i="1"/>
  <c r="G2761" i="1"/>
  <c r="AI2758" i="1"/>
  <c r="M2756" i="1"/>
  <c r="G2754" i="1"/>
  <c r="W2751" i="1"/>
  <c r="W2746" i="1"/>
  <c r="J2744" i="1"/>
  <c r="G2742" i="1"/>
  <c r="W2739" i="1"/>
  <c r="J2737" i="1"/>
  <c r="AF2734" i="1"/>
  <c r="J2725" i="1"/>
  <c r="AH2722" i="1"/>
  <c r="AI2720" i="1"/>
  <c r="G2718" i="1"/>
  <c r="G2716" i="1"/>
  <c r="AI2713" i="1"/>
  <c r="J2711" i="1"/>
  <c r="J2709" i="1"/>
  <c r="AI2704" i="1"/>
  <c r="W2702" i="1"/>
  <c r="AH2700" i="1"/>
  <c r="W2698" i="1"/>
  <c r="J2696" i="1"/>
  <c r="J2694" i="1"/>
  <c r="G2692" i="1"/>
  <c r="AI2685" i="1"/>
  <c r="G2680" i="1"/>
  <c r="AF2675" i="1"/>
  <c r="AF2673" i="1"/>
  <c r="W2671" i="1"/>
  <c r="AH2669" i="1"/>
  <c r="W2667" i="1"/>
  <c r="L2665" i="1"/>
  <c r="W2663" i="1"/>
  <c r="L2661" i="1"/>
  <c r="M2659" i="1"/>
  <c r="M2657" i="1"/>
  <c r="L2655" i="1"/>
  <c r="AF2653" i="1"/>
  <c r="AF2651" i="1"/>
  <c r="J2644" i="1"/>
  <c r="L2640" i="1"/>
  <c r="M2638" i="1"/>
  <c r="AH2636" i="1"/>
  <c r="AF2634" i="1"/>
  <c r="AI2628" i="1"/>
  <c r="M2623" i="1"/>
  <c r="M2621" i="1"/>
  <c r="L2619" i="1"/>
  <c r="AF2617" i="1"/>
  <c r="AF2615" i="1"/>
  <c r="J2608" i="1"/>
  <c r="L2604" i="1"/>
  <c r="M2602" i="1"/>
  <c r="AH2600" i="1"/>
  <c r="AF2598" i="1"/>
  <c r="AI2592" i="1"/>
  <c r="M2587" i="1"/>
  <c r="M2585" i="1"/>
  <c r="L2583" i="1"/>
  <c r="AF2581" i="1"/>
  <c r="AF2579" i="1"/>
  <c r="J2572" i="1"/>
  <c r="L2568" i="1"/>
  <c r="M2566" i="1"/>
  <c r="AH2564" i="1"/>
  <c r="AF2562" i="1"/>
  <c r="AI2556" i="1"/>
  <c r="M2551" i="1"/>
  <c r="M2549" i="1"/>
  <c r="L2547" i="1"/>
  <c r="AF2545" i="1"/>
  <c r="AF2543" i="1"/>
  <c r="J2536" i="1"/>
  <c r="L2532" i="1"/>
  <c r="M2530" i="1"/>
  <c r="AH2528" i="1"/>
  <c r="AF2526" i="1"/>
  <c r="AI2520" i="1"/>
  <c r="M2515" i="1"/>
  <c r="M2513" i="1"/>
  <c r="L2511" i="1"/>
  <c r="AF2509" i="1"/>
  <c r="AF2507" i="1"/>
  <c r="J2500" i="1"/>
  <c r="L2496" i="1"/>
  <c r="M2494" i="1"/>
  <c r="AH2492" i="1"/>
  <c r="AF2490" i="1"/>
  <c r="AI2484" i="1"/>
  <c r="M2479" i="1"/>
  <c r="M2477" i="1"/>
  <c r="L2475" i="1"/>
  <c r="AF2473" i="1"/>
  <c r="AF2471" i="1"/>
  <c r="J2464" i="1"/>
  <c r="M2460" i="1"/>
  <c r="W2455" i="1"/>
  <c r="AH2453" i="1"/>
  <c r="J2452" i="1"/>
  <c r="AF2450" i="1"/>
  <c r="AH2448" i="1"/>
  <c r="L2445" i="1"/>
  <c r="AI2443" i="1"/>
  <c r="M2440" i="1"/>
  <c r="AI2438" i="1"/>
  <c r="J2437" i="1"/>
  <c r="AI2435" i="1"/>
  <c r="AF2434" i="1"/>
  <c r="L2433" i="1"/>
  <c r="G2432" i="1"/>
  <c r="AH2430" i="1"/>
  <c r="M2429" i="1"/>
  <c r="J2428" i="1"/>
  <c r="G2427" i="1"/>
  <c r="AI2425" i="1"/>
  <c r="AF2424" i="1"/>
  <c r="M2423" i="1"/>
  <c r="J2422" i="1"/>
  <c r="G2421" i="1"/>
  <c r="AI2419" i="1"/>
  <c r="AF2418" i="1"/>
  <c r="M2417" i="1"/>
  <c r="J2416" i="1"/>
  <c r="G2415" i="1"/>
  <c r="AI2413" i="1"/>
  <c r="AF2412" i="1"/>
  <c r="M2411" i="1"/>
  <c r="J2410" i="1"/>
  <c r="G2409" i="1"/>
  <c r="AI2407" i="1"/>
  <c r="AF2406" i="1"/>
  <c r="M2405" i="1"/>
  <c r="J2404" i="1"/>
  <c r="G2403" i="1"/>
  <c r="AI2401" i="1"/>
  <c r="AF2400" i="1"/>
  <c r="M2399" i="1"/>
  <c r="J2398" i="1"/>
  <c r="G2397" i="1"/>
  <c r="AI2395" i="1"/>
  <c r="AF2394" i="1"/>
  <c r="M2393" i="1"/>
  <c r="J2392" i="1"/>
  <c r="G2391" i="1"/>
  <c r="AI2389" i="1"/>
  <c r="AF2388" i="1"/>
  <c r="M2387" i="1"/>
  <c r="J2386" i="1"/>
  <c r="G2385" i="1"/>
  <c r="AI2383" i="1"/>
  <c r="AF2382" i="1"/>
  <c r="M2381" i="1"/>
  <c r="J2380" i="1"/>
  <c r="G2379" i="1"/>
  <c r="AI2377" i="1"/>
  <c r="AF2376" i="1"/>
  <c r="M2375" i="1"/>
  <c r="J2374" i="1"/>
  <c r="G2373" i="1"/>
  <c r="AI2371" i="1"/>
  <c r="AF2370" i="1"/>
  <c r="M2369" i="1"/>
  <c r="J2368" i="1"/>
  <c r="G2367" i="1"/>
  <c r="AI2365" i="1"/>
  <c r="AF2364" i="1"/>
  <c r="M2363" i="1"/>
  <c r="J2362" i="1"/>
  <c r="G2361" i="1"/>
  <c r="AI2359" i="1"/>
  <c r="AF2358" i="1"/>
  <c r="M2357" i="1"/>
  <c r="J2356" i="1"/>
  <c r="G2355" i="1"/>
  <c r="AI2353" i="1"/>
  <c r="AF2352" i="1"/>
  <c r="M2351" i="1"/>
  <c r="J2350" i="1"/>
  <c r="G2349" i="1"/>
  <c r="AI2347" i="1"/>
  <c r="AF2346" i="1"/>
  <c r="M2345" i="1"/>
  <c r="J2344" i="1"/>
  <c r="G2343" i="1"/>
  <c r="AI2341" i="1"/>
  <c r="AF2340" i="1"/>
  <c r="M2339" i="1"/>
  <c r="J2338" i="1"/>
  <c r="G2337" i="1"/>
  <c r="AI2335" i="1"/>
  <c r="AF2334" i="1"/>
  <c r="M2333" i="1"/>
  <c r="J2332" i="1"/>
  <c r="G2331" i="1"/>
  <c r="AI2329" i="1"/>
  <c r="AF2328" i="1"/>
  <c r="M2327" i="1"/>
  <c r="J2326" i="1"/>
  <c r="G2325" i="1"/>
  <c r="AI2323" i="1"/>
  <c r="AF2322" i="1"/>
  <c r="M2321" i="1"/>
  <c r="J2320" i="1"/>
  <c r="G2319" i="1"/>
  <c r="AI2317" i="1"/>
  <c r="AF2316" i="1"/>
  <c r="M2315" i="1"/>
  <c r="J2314" i="1"/>
  <c r="G2313" i="1"/>
  <c r="AI2311" i="1"/>
  <c r="AF2310" i="1"/>
  <c r="M2309" i="1"/>
  <c r="J2308" i="1"/>
  <c r="G2307" i="1"/>
  <c r="AI2305" i="1"/>
  <c r="AF2304" i="1"/>
  <c r="M2303" i="1"/>
  <c r="J2302" i="1"/>
  <c r="G2301" i="1"/>
  <c r="AI2299" i="1"/>
  <c r="AF2298" i="1"/>
  <c r="M2297" i="1"/>
  <c r="J2296" i="1"/>
  <c r="G2295" i="1"/>
  <c r="AI2293" i="1"/>
  <c r="AF2292" i="1"/>
  <c r="M2291" i="1"/>
  <c r="J2290" i="1"/>
  <c r="G2289" i="1"/>
  <c r="AI2287" i="1"/>
  <c r="AF2286" i="1"/>
  <c r="M2285" i="1"/>
  <c r="J2284" i="1"/>
  <c r="G2283" i="1"/>
  <c r="AI2281" i="1"/>
  <c r="AF2280" i="1"/>
  <c r="M2279" i="1"/>
  <c r="J2278" i="1"/>
  <c r="G2277" i="1"/>
  <c r="AI2275" i="1"/>
  <c r="AF2274" i="1"/>
  <c r="M2273" i="1"/>
  <c r="J2272" i="1"/>
  <c r="G2271" i="1"/>
  <c r="AI2269" i="1"/>
  <c r="AF2268" i="1"/>
  <c r="M2267" i="1"/>
  <c r="J2266" i="1"/>
  <c r="G2265" i="1"/>
  <c r="AI2263" i="1"/>
  <c r="AF2262" i="1"/>
  <c r="M2261" i="1"/>
  <c r="J2260" i="1"/>
  <c r="G2259" i="1"/>
  <c r="AI2257" i="1"/>
  <c r="AF2256" i="1"/>
  <c r="M2255" i="1"/>
  <c r="J2254" i="1"/>
  <c r="G2253" i="1"/>
  <c r="AI2251" i="1"/>
  <c r="AF2250" i="1"/>
  <c r="M2249" i="1"/>
  <c r="J2248" i="1"/>
  <c r="G2247" i="1"/>
  <c r="AI2245" i="1"/>
  <c r="AF2244" i="1"/>
  <c r="M2243" i="1"/>
  <c r="J2242" i="1"/>
  <c r="G2241" i="1"/>
  <c r="AI2239" i="1"/>
  <c r="AF2238" i="1"/>
  <c r="M2237" i="1"/>
  <c r="J2236" i="1"/>
  <c r="G2235" i="1"/>
  <c r="AI2233" i="1"/>
  <c r="AF2232" i="1"/>
  <c r="M2231" i="1"/>
  <c r="J2230" i="1"/>
  <c r="G2229" i="1"/>
  <c r="AI2227" i="1"/>
  <c r="AF2226" i="1"/>
  <c r="M2225" i="1"/>
  <c r="J2224" i="1"/>
  <c r="G2223" i="1"/>
  <c r="AI2221" i="1"/>
  <c r="AF2220" i="1"/>
  <c r="M2219" i="1"/>
  <c r="J2218" i="1"/>
  <c r="G2217" i="1"/>
  <c r="AI2215" i="1"/>
  <c r="AF2214" i="1"/>
  <c r="M2213" i="1"/>
  <c r="J2212" i="1"/>
  <c r="G2211" i="1"/>
  <c r="AI2209" i="1"/>
  <c r="AF2208" i="1"/>
  <c r="M2207" i="1"/>
  <c r="J2206" i="1"/>
  <c r="G2205" i="1"/>
  <c r="AI2203" i="1"/>
  <c r="AF2202" i="1"/>
  <c r="M2201" i="1"/>
  <c r="J2200" i="1"/>
  <c r="G2199" i="1"/>
  <c r="AI2197" i="1"/>
  <c r="AF2196" i="1"/>
  <c r="M2195" i="1"/>
  <c r="J2194" i="1"/>
  <c r="G2193" i="1"/>
  <c r="AI2191" i="1"/>
  <c r="AF2190" i="1"/>
  <c r="M2189" i="1"/>
  <c r="J2188" i="1"/>
  <c r="G2187" i="1"/>
  <c r="AI2185" i="1"/>
  <c r="AF2184" i="1"/>
  <c r="M2183" i="1"/>
  <c r="J2182" i="1"/>
  <c r="G2181" i="1"/>
  <c r="AI2179" i="1"/>
  <c r="AF2178" i="1"/>
  <c r="M2177" i="1"/>
  <c r="J2176" i="1"/>
  <c r="G2175" i="1"/>
  <c r="AI2173" i="1"/>
  <c r="AF2172" i="1"/>
  <c r="M2171" i="1"/>
  <c r="J2170" i="1"/>
  <c r="G2169" i="1"/>
  <c r="AI2167" i="1"/>
  <c r="AF2166" i="1"/>
  <c r="M2165" i="1"/>
  <c r="J2164" i="1"/>
  <c r="G2163" i="1"/>
  <c r="AI2161" i="1"/>
  <c r="AF2160" i="1"/>
  <c r="M2159" i="1"/>
  <c r="J2158" i="1"/>
  <c r="G2157" i="1"/>
  <c r="AI2155" i="1"/>
  <c r="AF2154" i="1"/>
  <c r="M2153" i="1"/>
  <c r="J2152" i="1"/>
  <c r="G2151" i="1"/>
  <c r="AI2149" i="1"/>
  <c r="AF2148" i="1"/>
  <c r="M2147" i="1"/>
  <c r="J2146" i="1"/>
  <c r="G2145" i="1"/>
  <c r="AI2143" i="1"/>
  <c r="AF2142" i="1"/>
  <c r="M2141" i="1"/>
  <c r="J2140" i="1"/>
  <c r="G2139" i="1"/>
  <c r="AI2137" i="1"/>
  <c r="AF2136" i="1"/>
  <c r="M2135" i="1"/>
  <c r="J2134" i="1"/>
  <c r="G2133" i="1"/>
  <c r="AI2131" i="1"/>
  <c r="AF2130" i="1"/>
  <c r="M2129" i="1"/>
  <c r="J2128" i="1"/>
  <c r="G2127" i="1"/>
  <c r="AI2125" i="1"/>
  <c r="AF2124" i="1"/>
  <c r="M2123" i="1"/>
  <c r="J2122" i="1"/>
  <c r="G2121" i="1"/>
  <c r="AI2119" i="1"/>
  <c r="AF2118" i="1"/>
  <c r="M2117" i="1"/>
  <c r="J2116" i="1"/>
  <c r="G2115" i="1"/>
  <c r="AI2113" i="1"/>
  <c r="AF2112" i="1"/>
  <c r="M2111" i="1"/>
  <c r="J2110" i="1"/>
  <c r="G2109" i="1"/>
  <c r="W4144" i="1"/>
  <c r="AI4134" i="1"/>
  <c r="L4016" i="1"/>
  <c r="W3996" i="1"/>
  <c r="AH3974" i="1"/>
  <c r="M3882" i="1"/>
  <c r="M3830" i="1"/>
  <c r="J3786" i="1"/>
  <c r="G3759" i="1"/>
  <c r="M3742" i="1"/>
  <c r="G3646" i="1"/>
  <c r="M3630" i="1"/>
  <c r="AF3600" i="1"/>
  <c r="W3585" i="1"/>
  <c r="AH3578" i="1"/>
  <c r="L3520" i="1"/>
  <c r="M3486" i="1"/>
  <c r="AF3480" i="1"/>
  <c r="G3468" i="1"/>
  <c r="AI3456" i="1"/>
  <c r="J3450" i="1"/>
  <c r="L3439" i="1"/>
  <c r="L3426" i="1"/>
  <c r="W3421" i="1"/>
  <c r="G3415" i="1"/>
  <c r="W3403" i="1"/>
  <c r="W3397" i="1"/>
  <c r="AI3383" i="1"/>
  <c r="AF3378" i="1"/>
  <c r="L3368" i="1"/>
  <c r="AH3359" i="1"/>
  <c r="W3354" i="1"/>
  <c r="J3350" i="1"/>
  <c r="AF3344" i="1"/>
  <c r="AI3319" i="1"/>
  <c r="G3315" i="1"/>
  <c r="J3302" i="1"/>
  <c r="G3297" i="1"/>
  <c r="AH3292" i="1"/>
  <c r="L3288" i="1"/>
  <c r="M3282" i="1"/>
  <c r="G3269" i="1"/>
  <c r="J3264" i="1"/>
  <c r="M3247" i="1"/>
  <c r="G3239" i="1"/>
  <c r="AF3234" i="1"/>
  <c r="L3221" i="1"/>
  <c r="G3212" i="1"/>
  <c r="L3208" i="1"/>
  <c r="J3204" i="1"/>
  <c r="AI3199" i="1"/>
  <c r="L3181" i="1"/>
  <c r="W3168" i="1"/>
  <c r="AF3164" i="1"/>
  <c r="AF3155" i="1"/>
  <c r="AH3151" i="1"/>
  <c r="G3147" i="1"/>
  <c r="W3126" i="1"/>
  <c r="AI3121" i="1"/>
  <c r="L3112" i="1"/>
  <c r="L3107" i="1"/>
  <c r="AH3090" i="1"/>
  <c r="AI3073" i="1"/>
  <c r="M3065" i="1"/>
  <c r="AF3060" i="1"/>
  <c r="W3056" i="1"/>
  <c r="L3042" i="1"/>
  <c r="AH3038" i="1"/>
  <c r="J3034" i="1"/>
  <c r="AH3030" i="1"/>
  <c r="M3023" i="1"/>
  <c r="M3016" i="1"/>
  <c r="G3013" i="1"/>
  <c r="M3006" i="1"/>
  <c r="L2999" i="1"/>
  <c r="G2990" i="1"/>
  <c r="AI2979" i="1"/>
  <c r="W2976" i="1"/>
  <c r="J2973" i="1"/>
  <c r="J2970" i="1"/>
  <c r="L2967" i="1"/>
  <c r="AI2963" i="1"/>
  <c r="L2957" i="1"/>
  <c r="W2954" i="1"/>
  <c r="W2948" i="1"/>
  <c r="AF2945" i="1"/>
  <c r="AI2939" i="1"/>
  <c r="G2925" i="1"/>
  <c r="G2922" i="1"/>
  <c r="W2907" i="1"/>
  <c r="G2904" i="1"/>
  <c r="J2901" i="1"/>
  <c r="W2895" i="1"/>
  <c r="AH2892" i="1"/>
  <c r="AH2889" i="1"/>
  <c r="AH2886" i="1"/>
  <c r="AF2880" i="1"/>
  <c r="M2877" i="1"/>
  <c r="AI2874" i="1"/>
  <c r="AH2871" i="1"/>
  <c r="G2869" i="1"/>
  <c r="AF2865" i="1"/>
  <c r="L2854" i="1"/>
  <c r="AF2836" i="1"/>
  <c r="L2833" i="1"/>
  <c r="J2827" i="1"/>
  <c r="L2824" i="1"/>
  <c r="AI2821" i="1"/>
  <c r="AF2818" i="1"/>
  <c r="L2812" i="1"/>
  <c r="M2806" i="1"/>
  <c r="L2803" i="1"/>
  <c r="AI2800" i="1"/>
  <c r="AI2794" i="1"/>
  <c r="J2786" i="1"/>
  <c r="J2780" i="1"/>
  <c r="AH2776" i="1"/>
  <c r="AI2770" i="1"/>
  <c r="J2765" i="1"/>
  <c r="W2762" i="1"/>
  <c r="AH2757" i="1"/>
  <c r="AI2755" i="1"/>
  <c r="M2750" i="1"/>
  <c r="G2748" i="1"/>
  <c r="W2745" i="1"/>
  <c r="AF2743" i="1"/>
  <c r="AI2740" i="1"/>
  <c r="W2733" i="1"/>
  <c r="J2731" i="1"/>
  <c r="AI2728" i="1"/>
  <c r="G2722" i="1"/>
  <c r="AF2719" i="1"/>
  <c r="AH2712" i="1"/>
  <c r="W2710" i="1"/>
  <c r="L2708" i="1"/>
  <c r="AH2703" i="1"/>
  <c r="AH2699" i="1"/>
  <c r="M2697" i="1"/>
  <c r="W2695" i="1"/>
  <c r="M2693" i="1"/>
  <c r="G2691" i="1"/>
  <c r="J2689" i="1"/>
  <c r="G2687" i="1"/>
  <c r="J2685" i="1"/>
  <c r="J2681" i="1"/>
  <c r="AI2676" i="1"/>
  <c r="AH2672" i="1"/>
  <c r="AF2668" i="1"/>
  <c r="AF2666" i="1"/>
  <c r="AI2664" i="1"/>
  <c r="AF2662" i="1"/>
  <c r="AH2660" i="1"/>
  <c r="M2658" i="1"/>
  <c r="W2656" i="1"/>
  <c r="AI2654" i="1"/>
  <c r="AH2652" i="1"/>
  <c r="G2651" i="1"/>
  <c r="G2649" i="1"/>
  <c r="J2645" i="1"/>
  <c r="J2643" i="1"/>
  <c r="W2641" i="1"/>
  <c r="W2639" i="1"/>
  <c r="AI2637" i="1"/>
  <c r="AI2635" i="1"/>
  <c r="AH2633" i="1"/>
  <c r="G2632" i="1"/>
  <c r="G2630" i="1"/>
  <c r="J2628" i="1"/>
  <c r="L2626" i="1"/>
  <c r="AF2624" i="1"/>
  <c r="M2622" i="1"/>
  <c r="W2620" i="1"/>
  <c r="AI2618" i="1"/>
  <c r="AH2616" i="1"/>
  <c r="G2615" i="1"/>
  <c r="G2613" i="1"/>
  <c r="J2609" i="1"/>
  <c r="J2607" i="1"/>
  <c r="W2605" i="1"/>
  <c r="W2603" i="1"/>
  <c r="AI2601" i="1"/>
  <c r="AI2599" i="1"/>
  <c r="AH2597" i="1"/>
  <c r="G2596" i="1"/>
  <c r="G2594" i="1"/>
  <c r="J2592" i="1"/>
  <c r="L2590" i="1"/>
  <c r="AF2588" i="1"/>
  <c r="M2586" i="1"/>
  <c r="W2584" i="1"/>
  <c r="AI2582" i="1"/>
  <c r="AH2580" i="1"/>
  <c r="G2579" i="1"/>
  <c r="G2577" i="1"/>
  <c r="J2573" i="1"/>
  <c r="J2571" i="1"/>
  <c r="W2569" i="1"/>
  <c r="W2567" i="1"/>
  <c r="AI2565" i="1"/>
  <c r="AI2563" i="1"/>
  <c r="AH2561" i="1"/>
  <c r="G2560" i="1"/>
  <c r="G2558" i="1"/>
  <c r="J2556" i="1"/>
  <c r="L2554" i="1"/>
  <c r="AF2552" i="1"/>
  <c r="M2550" i="1"/>
  <c r="W2548" i="1"/>
  <c r="AI2546" i="1"/>
  <c r="AH2544" i="1"/>
  <c r="G2543" i="1"/>
  <c r="G2541" i="1"/>
  <c r="J2537" i="1"/>
  <c r="J2535" i="1"/>
  <c r="W2533" i="1"/>
  <c r="W2531" i="1"/>
  <c r="AI2529" i="1"/>
  <c r="AI2527" i="1"/>
  <c r="AH2525" i="1"/>
  <c r="G2524" i="1"/>
  <c r="G2522" i="1"/>
  <c r="J2520" i="1"/>
  <c r="L2518" i="1"/>
  <c r="AF2516" i="1"/>
  <c r="M2514" i="1"/>
  <c r="W2512" i="1"/>
  <c r="AI2510" i="1"/>
  <c r="AH2508" i="1"/>
  <c r="G2507" i="1"/>
  <c r="G2505" i="1"/>
  <c r="J2501" i="1"/>
  <c r="J2499" i="1"/>
  <c r="W2497" i="1"/>
  <c r="W2495" i="1"/>
  <c r="AI2493" i="1"/>
  <c r="AI2491" i="1"/>
  <c r="AH2489" i="1"/>
  <c r="G2488" i="1"/>
  <c r="G2486" i="1"/>
  <c r="J2484" i="1"/>
  <c r="L2482" i="1"/>
  <c r="AF2480" i="1"/>
  <c r="M2478" i="1"/>
  <c r="W2476" i="1"/>
  <c r="AI2474" i="1"/>
  <c r="AH2472" i="1"/>
  <c r="G2471" i="1"/>
  <c r="G2469" i="1"/>
  <c r="J2465" i="1"/>
  <c r="J2463" i="1"/>
  <c r="W2461" i="1"/>
  <c r="AH2459" i="1"/>
  <c r="J2458" i="1"/>
  <c r="AF2456" i="1"/>
  <c r="AH2454" i="1"/>
  <c r="L2451" i="1"/>
  <c r="AI2449" i="1"/>
  <c r="M2446" i="1"/>
  <c r="AI2444" i="1"/>
  <c r="M2441" i="1"/>
  <c r="AI2439" i="1"/>
  <c r="G2438" i="1"/>
  <c r="AF2436" i="1"/>
  <c r="L2435" i="1"/>
  <c r="AI2432" i="1"/>
  <c r="W2431" i="1"/>
  <c r="J2430" i="1"/>
  <c r="AH2427" i="1"/>
  <c r="W2426" i="1"/>
  <c r="L2425" i="1"/>
  <c r="AH2421" i="1"/>
  <c r="W2420" i="1"/>
  <c r="L2419" i="1"/>
  <c r="AH2415" i="1"/>
  <c r="W2414" i="1"/>
  <c r="L2413" i="1"/>
  <c r="AH2409" i="1"/>
  <c r="W2408" i="1"/>
  <c r="L2407" i="1"/>
  <c r="AH2403" i="1"/>
  <c r="W2402" i="1"/>
  <c r="L2401" i="1"/>
  <c r="AH2397" i="1"/>
  <c r="W2396" i="1"/>
  <c r="L2395" i="1"/>
  <c r="AH2391" i="1"/>
  <c r="W2390" i="1"/>
  <c r="L2389" i="1"/>
  <c r="AH2385" i="1"/>
  <c r="W2384" i="1"/>
  <c r="L2383" i="1"/>
  <c r="AH2379" i="1"/>
  <c r="W2378" i="1"/>
  <c r="L2377" i="1"/>
  <c r="AH2373" i="1"/>
  <c r="W2372" i="1"/>
  <c r="L2371" i="1"/>
  <c r="AH2367" i="1"/>
  <c r="W2366" i="1"/>
  <c r="L2365" i="1"/>
  <c r="AH2361" i="1"/>
  <c r="W2360" i="1"/>
  <c r="L2359" i="1"/>
  <c r="AH2355" i="1"/>
  <c r="W2354" i="1"/>
  <c r="L2353" i="1"/>
  <c r="AH2349" i="1"/>
  <c r="W2348" i="1"/>
  <c r="L2347" i="1"/>
  <c r="AH2343" i="1"/>
  <c r="W2342" i="1"/>
  <c r="L2341" i="1"/>
  <c r="AH2337" i="1"/>
  <c r="W2336" i="1"/>
  <c r="L2335" i="1"/>
  <c r="AH2331" i="1"/>
  <c r="W2330" i="1"/>
  <c r="L2329" i="1"/>
  <c r="AH2325" i="1"/>
  <c r="W2324" i="1"/>
  <c r="L2323" i="1"/>
  <c r="AH2319" i="1"/>
  <c r="W2318" i="1"/>
  <c r="L2317" i="1"/>
  <c r="AH2313" i="1"/>
  <c r="W2312" i="1"/>
  <c r="L2311" i="1"/>
  <c r="AH2307" i="1"/>
  <c r="W2306" i="1"/>
  <c r="L2305" i="1"/>
  <c r="AH2301" i="1"/>
  <c r="W2300" i="1"/>
  <c r="L2299" i="1"/>
  <c r="AH2295" i="1"/>
  <c r="W2294" i="1"/>
  <c r="L2293" i="1"/>
  <c r="AH2289" i="1"/>
  <c r="W2288" i="1"/>
  <c r="L2287" i="1"/>
  <c r="AH2283" i="1"/>
  <c r="W2282" i="1"/>
  <c r="L2281" i="1"/>
  <c r="AH2277" i="1"/>
  <c r="W2276" i="1"/>
  <c r="L2275" i="1"/>
  <c r="AH2271" i="1"/>
  <c r="W2270" i="1"/>
  <c r="L2269" i="1"/>
  <c r="AH2265" i="1"/>
  <c r="W2264" i="1"/>
  <c r="L2263" i="1"/>
  <c r="AH2259" i="1"/>
  <c r="W2258" i="1"/>
  <c r="L2257" i="1"/>
  <c r="AH2253" i="1"/>
  <c r="W2252" i="1"/>
  <c r="L2251" i="1"/>
  <c r="AH2247" i="1"/>
  <c r="W2246" i="1"/>
  <c r="L2245" i="1"/>
  <c r="AH2241" i="1"/>
  <c r="W2240" i="1"/>
  <c r="L2239" i="1"/>
  <c r="AH2235" i="1"/>
  <c r="W2234" i="1"/>
  <c r="L2233" i="1"/>
  <c r="AH2229" i="1"/>
  <c r="W2228" i="1"/>
  <c r="L2227" i="1"/>
  <c r="AH2223" i="1"/>
  <c r="W2222" i="1"/>
  <c r="L2221" i="1"/>
  <c r="AH2217" i="1"/>
  <c r="W2216" i="1"/>
  <c r="L2215" i="1"/>
  <c r="AH2211" i="1"/>
  <c r="W2210" i="1"/>
  <c r="L2209" i="1"/>
  <c r="AH2205" i="1"/>
  <c r="W2204" i="1"/>
  <c r="L2203" i="1"/>
  <c r="AH2199" i="1"/>
  <c r="W2198" i="1"/>
  <c r="L2197" i="1"/>
  <c r="AH2193" i="1"/>
  <c r="W2192" i="1"/>
  <c r="L2191" i="1"/>
  <c r="AH2187" i="1"/>
  <c r="W2186" i="1"/>
  <c r="L2185" i="1"/>
  <c r="AH2181" i="1"/>
  <c r="W2180" i="1"/>
  <c r="L2179" i="1"/>
  <c r="AH2175" i="1"/>
  <c r="W2174" i="1"/>
  <c r="L2173" i="1"/>
  <c r="AH2169" i="1"/>
  <c r="W2168" i="1"/>
  <c r="L2167" i="1"/>
  <c r="AH2163" i="1"/>
  <c r="W2162" i="1"/>
  <c r="L2161" i="1"/>
  <c r="AH2157" i="1"/>
  <c r="W2156" i="1"/>
  <c r="L2155" i="1"/>
  <c r="AH2151" i="1"/>
  <c r="W2150" i="1"/>
  <c r="J4127" i="1"/>
  <c r="AI3967" i="1"/>
  <c r="G3946" i="1"/>
  <c r="AH3913" i="1"/>
  <c r="L3903" i="1"/>
  <c r="J3893" i="1"/>
  <c r="G3678" i="1"/>
  <c r="W3615" i="1"/>
  <c r="G3561" i="1"/>
  <c r="G3528" i="1"/>
  <c r="G3519" i="1"/>
  <c r="J3495" i="1"/>
  <c r="AH3487" i="1"/>
  <c r="J3464" i="1"/>
  <c r="J3433" i="1"/>
  <c r="AI3425" i="1"/>
  <c r="M3410" i="1"/>
  <c r="AI3395" i="1"/>
  <c r="M3364" i="1"/>
  <c r="G3339" i="1"/>
  <c r="AH3319" i="1"/>
  <c r="M3307" i="1"/>
  <c r="AI3295" i="1"/>
  <c r="G3289" i="1"/>
  <c r="AI3281" i="1"/>
  <c r="L3270" i="1"/>
  <c r="L3247" i="1"/>
  <c r="AI3229" i="1"/>
  <c r="AH3217" i="1"/>
  <c r="AF3200" i="1"/>
  <c r="AH3194" i="1"/>
  <c r="W3182" i="1"/>
  <c r="AF3176" i="1"/>
  <c r="J3159" i="1"/>
  <c r="AI3135" i="1"/>
  <c r="G3111" i="1"/>
  <c r="AF3104" i="1"/>
  <c r="G3099" i="1"/>
  <c r="AI3093" i="1"/>
  <c r="AI3087" i="1"/>
  <c r="AF3077" i="1"/>
  <c r="W3039" i="1"/>
  <c r="L3028" i="1"/>
  <c r="W3023" i="1"/>
  <c r="G3019" i="1"/>
  <c r="M2999" i="1"/>
  <c r="L2995" i="1"/>
  <c r="J2986" i="1"/>
  <c r="M2971" i="1"/>
  <c r="M2961" i="1"/>
  <c r="M2957" i="1"/>
  <c r="G2936" i="1"/>
  <c r="AF2931" i="1"/>
  <c r="M2918" i="1"/>
  <c r="AF2901" i="1"/>
  <c r="AF2897" i="1"/>
  <c r="J2883" i="1"/>
  <c r="AH2865" i="1"/>
  <c r="G2862" i="1"/>
  <c r="J2845" i="1"/>
  <c r="L2842" i="1"/>
  <c r="AH2838" i="1"/>
  <c r="AI2833" i="1"/>
  <c r="M2829" i="1"/>
  <c r="AI2820" i="1"/>
  <c r="J2816" i="1"/>
  <c r="J2794" i="1"/>
  <c r="L2786" i="1"/>
  <c r="M2782" i="1"/>
  <c r="AF2757" i="1"/>
  <c r="W2753" i="1"/>
  <c r="L2750" i="1"/>
  <c r="AI2743" i="1"/>
  <c r="M2739" i="1"/>
  <c r="M2736" i="1"/>
  <c r="G2726" i="1"/>
  <c r="M2722" i="1"/>
  <c r="G2719" i="1"/>
  <c r="L2715" i="1"/>
  <c r="L2712" i="1"/>
  <c r="M2708" i="1"/>
  <c r="G2702" i="1"/>
  <c r="J2699" i="1"/>
  <c r="AF2685" i="1"/>
  <c r="AI2682" i="1"/>
  <c r="J2679" i="1"/>
  <c r="L2670" i="1"/>
  <c r="G2664" i="1"/>
  <c r="AF2646" i="1"/>
  <c r="L2643" i="1"/>
  <c r="J2637" i="1"/>
  <c r="L2634" i="1"/>
  <c r="AI2631" i="1"/>
  <c r="AF2628" i="1"/>
  <c r="L2622" i="1"/>
  <c r="M2616" i="1"/>
  <c r="L2613" i="1"/>
  <c r="AI2610" i="1"/>
  <c r="AI2604" i="1"/>
  <c r="J2596" i="1"/>
  <c r="J2590" i="1"/>
  <c r="AH2586" i="1"/>
  <c r="AI2580" i="1"/>
  <c r="M2575" i="1"/>
  <c r="M2569" i="1"/>
  <c r="J2566" i="1"/>
  <c r="W2563" i="1"/>
  <c r="M2560" i="1"/>
  <c r="AI2557" i="1"/>
  <c r="W2554" i="1"/>
  <c r="L2548" i="1"/>
  <c r="M2545" i="1"/>
  <c r="W2542" i="1"/>
  <c r="AF2539" i="1"/>
  <c r="AI2533" i="1"/>
  <c r="G2519" i="1"/>
  <c r="G2516" i="1"/>
  <c r="W2501" i="1"/>
  <c r="G2498" i="1"/>
  <c r="J2495" i="1"/>
  <c r="W2489" i="1"/>
  <c r="AH2486" i="1"/>
  <c r="AH2483" i="1"/>
  <c r="AH2480" i="1"/>
  <c r="AF2474" i="1"/>
  <c r="M2471" i="1"/>
  <c r="AI2468" i="1"/>
  <c r="AH2465" i="1"/>
  <c r="G2463" i="1"/>
  <c r="AI2459" i="1"/>
  <c r="G2457" i="1"/>
  <c r="AF2454" i="1"/>
  <c r="W2449" i="1"/>
  <c r="AF2444" i="1"/>
  <c r="AI2441" i="1"/>
  <c r="M2439" i="1"/>
  <c r="G2433" i="1"/>
  <c r="AI2426" i="1"/>
  <c r="M2421" i="1"/>
  <c r="M2419" i="1"/>
  <c r="L2417" i="1"/>
  <c r="AF2415" i="1"/>
  <c r="AF2413" i="1"/>
  <c r="J2406" i="1"/>
  <c r="L2402" i="1"/>
  <c r="M2400" i="1"/>
  <c r="AH2398" i="1"/>
  <c r="AF2396" i="1"/>
  <c r="AI2390" i="1"/>
  <c r="M2385" i="1"/>
  <c r="M2383" i="1"/>
  <c r="L2381" i="1"/>
  <c r="AF2379" i="1"/>
  <c r="AF2377" i="1"/>
  <c r="J2370" i="1"/>
  <c r="L2366" i="1"/>
  <c r="M2364" i="1"/>
  <c r="AH2362" i="1"/>
  <c r="AF2360" i="1"/>
  <c r="AI2354" i="1"/>
  <c r="M2349" i="1"/>
  <c r="M2347" i="1"/>
  <c r="L2345" i="1"/>
  <c r="AF2343" i="1"/>
  <c r="AF2341" i="1"/>
  <c r="J2334" i="1"/>
  <c r="L2330" i="1"/>
  <c r="M2328" i="1"/>
  <c r="AH2326" i="1"/>
  <c r="AF2324" i="1"/>
  <c r="AI2318" i="1"/>
  <c r="M2313" i="1"/>
  <c r="M2311" i="1"/>
  <c r="L2309" i="1"/>
  <c r="AF2307" i="1"/>
  <c r="AF2305" i="1"/>
  <c r="J2298" i="1"/>
  <c r="L2294" i="1"/>
  <c r="M2292" i="1"/>
  <c r="AH2290" i="1"/>
  <c r="AF2288" i="1"/>
  <c r="AI2282" i="1"/>
  <c r="M2277" i="1"/>
  <c r="M2275" i="1"/>
  <c r="L2273" i="1"/>
  <c r="AF2271" i="1"/>
  <c r="AF2269" i="1"/>
  <c r="J2262" i="1"/>
  <c r="L2258" i="1"/>
  <c r="M2256" i="1"/>
  <c r="AH2254" i="1"/>
  <c r="AF2252" i="1"/>
  <c r="AI2246" i="1"/>
  <c r="M2241" i="1"/>
  <c r="M2239" i="1"/>
  <c r="L2237" i="1"/>
  <c r="AF2235" i="1"/>
  <c r="AF2233" i="1"/>
  <c r="J2226" i="1"/>
  <c r="L2222" i="1"/>
  <c r="M2220" i="1"/>
  <c r="AI2218" i="1"/>
  <c r="M2215" i="1"/>
  <c r="AI2213" i="1"/>
  <c r="G2212" i="1"/>
  <c r="L2210" i="1"/>
  <c r="AI2208" i="1"/>
  <c r="G2207" i="1"/>
  <c r="M2205" i="1"/>
  <c r="AF2203" i="1"/>
  <c r="G2202" i="1"/>
  <c r="M2200" i="1"/>
  <c r="AF2198" i="1"/>
  <c r="G2197" i="1"/>
  <c r="J2195" i="1"/>
  <c r="AF2193" i="1"/>
  <c r="L2190" i="1"/>
  <c r="AH2188" i="1"/>
  <c r="AI2186" i="1"/>
  <c r="J2185" i="1"/>
  <c r="AF2183" i="1"/>
  <c r="J2180" i="1"/>
  <c r="W2178" i="1"/>
  <c r="J2175" i="1"/>
  <c r="W2173" i="1"/>
  <c r="M2168" i="1"/>
  <c r="W2163" i="1"/>
  <c r="AH2161" i="1"/>
  <c r="J2160" i="1"/>
  <c r="AF2158" i="1"/>
  <c r="AH2156" i="1"/>
  <c r="L2153" i="1"/>
  <c r="AI2151" i="1"/>
  <c r="G2150" i="1"/>
  <c r="W2148" i="1"/>
  <c r="G2147" i="1"/>
  <c r="W2145" i="1"/>
  <c r="W2142" i="1"/>
  <c r="AH2139" i="1"/>
  <c r="L2138" i="1"/>
  <c r="W2135" i="1"/>
  <c r="G2134" i="1"/>
  <c r="AF2132" i="1"/>
  <c r="J2131" i="1"/>
  <c r="M2128" i="1"/>
  <c r="W2125" i="1"/>
  <c r="J2124" i="1"/>
  <c r="AI2122" i="1"/>
  <c r="M2121" i="1"/>
  <c r="W2118" i="1"/>
  <c r="AH2115" i="1"/>
  <c r="L2114" i="1"/>
  <c r="W2111" i="1"/>
  <c r="G2110" i="1"/>
  <c r="AF2108" i="1"/>
  <c r="L2107" i="1"/>
  <c r="AH2103" i="1"/>
  <c r="W2102" i="1"/>
  <c r="L2101" i="1"/>
  <c r="AH2097" i="1"/>
  <c r="W2096" i="1"/>
  <c r="L2095" i="1"/>
  <c r="AH2091" i="1"/>
  <c r="W2090" i="1"/>
  <c r="L2089" i="1"/>
  <c r="AH2085" i="1"/>
  <c r="W2084" i="1"/>
  <c r="L2083" i="1"/>
  <c r="AH2079" i="1"/>
  <c r="W2078" i="1"/>
  <c r="L2077" i="1"/>
  <c r="AH2073" i="1"/>
  <c r="W2072" i="1"/>
  <c r="L2071" i="1"/>
  <c r="AH2067" i="1"/>
  <c r="W2066" i="1"/>
  <c r="L2065" i="1"/>
  <c r="AH2061" i="1"/>
  <c r="W2060" i="1"/>
  <c r="L2059" i="1"/>
  <c r="AH2055" i="1"/>
  <c r="W2054" i="1"/>
  <c r="L2053" i="1"/>
  <c r="AH2049" i="1"/>
  <c r="W2048" i="1"/>
  <c r="L2047" i="1"/>
  <c r="AH2043" i="1"/>
  <c r="W2042" i="1"/>
  <c r="L2041" i="1"/>
  <c r="AH2037" i="1"/>
  <c r="W2036" i="1"/>
  <c r="L2035" i="1"/>
  <c r="AH2031" i="1"/>
  <c r="W2030" i="1"/>
  <c r="L2029" i="1"/>
  <c r="AH2025" i="1"/>
  <c r="W2024" i="1"/>
  <c r="L2023" i="1"/>
  <c r="AH2019" i="1"/>
  <c r="W2018" i="1"/>
  <c r="L2017" i="1"/>
  <c r="AH2013" i="1"/>
  <c r="W2012" i="1"/>
  <c r="L2011" i="1"/>
  <c r="AH2007" i="1"/>
  <c r="W2006" i="1"/>
  <c r="L2005" i="1"/>
  <c r="AH2001" i="1"/>
  <c r="W2000" i="1"/>
  <c r="L1999" i="1"/>
  <c r="AH1995" i="1"/>
  <c r="W1994" i="1"/>
  <c r="L1993" i="1"/>
  <c r="AH1989" i="1"/>
  <c r="AH4068" i="1"/>
  <c r="AF3847" i="1"/>
  <c r="W3798" i="1"/>
  <c r="M3697" i="1"/>
  <c r="G3495" i="1"/>
  <c r="L3456" i="1"/>
  <c r="AH3425" i="1"/>
  <c r="J3410" i="1"/>
  <c r="M3370" i="1"/>
  <c r="M3358" i="1"/>
  <c r="AF3351" i="1"/>
  <c r="W3325" i="1"/>
  <c r="J3319" i="1"/>
  <c r="W3312" i="1"/>
  <c r="J3301" i="1"/>
  <c r="AH3281" i="1"/>
  <c r="M3251" i="1"/>
  <c r="AH3234" i="1"/>
  <c r="AH3229" i="1"/>
  <c r="M3217" i="1"/>
  <c r="W3211" i="1"/>
  <c r="G3200" i="1"/>
  <c r="AF3194" i="1"/>
  <c r="AI3187" i="1"/>
  <c r="G3182" i="1"/>
  <c r="W3176" i="1"/>
  <c r="G3159" i="1"/>
  <c r="G3153" i="1"/>
  <c r="AH3135" i="1"/>
  <c r="G3117" i="1"/>
  <c r="G3104" i="1"/>
  <c r="AH3093" i="1"/>
  <c r="AH3087" i="1"/>
  <c r="L3077" i="1"/>
  <c r="L3070" i="1"/>
  <c r="AI3057" i="1"/>
  <c r="AI3051" i="1"/>
  <c r="J3039" i="1"/>
  <c r="W3033" i="1"/>
  <c r="M3013" i="1"/>
  <c r="G2999" i="1"/>
  <c r="J2990" i="1"/>
  <c r="AF2980" i="1"/>
  <c r="AH2975" i="1"/>
  <c r="J2966" i="1"/>
  <c r="J2961" i="1"/>
  <c r="G2957" i="1"/>
  <c r="L2952" i="1"/>
  <c r="M2948" i="1"/>
  <c r="AH2943" i="1"/>
  <c r="AF2939" i="1"/>
  <c r="W2931" i="1"/>
  <c r="AI2927" i="1"/>
  <c r="AI2922" i="1"/>
  <c r="L2918" i="1"/>
  <c r="W2913" i="1"/>
  <c r="AI2909" i="1"/>
  <c r="M2901" i="1"/>
  <c r="AI2892" i="1"/>
  <c r="G2883" i="1"/>
  <c r="M2878" i="1"/>
  <c r="AH2874" i="1"/>
  <c r="M2865" i="1"/>
  <c r="AI2857" i="1"/>
  <c r="AH2853" i="1"/>
  <c r="M2824" i="1"/>
  <c r="G2816" i="1"/>
  <c r="J2811" i="1"/>
  <c r="AI2806" i="1"/>
  <c r="G2798" i="1"/>
  <c r="AF2789" i="1"/>
  <c r="AI2776" i="1"/>
  <c r="G2773" i="1"/>
  <c r="W2768" i="1"/>
  <c r="AI2764" i="1"/>
  <c r="AI2760" i="1"/>
  <c r="M2757" i="1"/>
  <c r="M2753" i="1"/>
  <c r="J2750" i="1"/>
  <c r="M2746" i="1"/>
  <c r="L2743" i="1"/>
  <c r="L2739" i="1"/>
  <c r="G2732" i="1"/>
  <c r="AH2728" i="1"/>
  <c r="J2722" i="1"/>
  <c r="J2715" i="1"/>
  <c r="J2708" i="1"/>
  <c r="AH2704" i="1"/>
  <c r="AF2695" i="1"/>
  <c r="AH2691" i="1"/>
  <c r="G2689" i="1"/>
  <c r="W2685" i="1"/>
  <c r="W2675" i="1"/>
  <c r="AI2672" i="1"/>
  <c r="J2670" i="1"/>
  <c r="AI2660" i="1"/>
  <c r="J2657" i="1"/>
  <c r="AH2654" i="1"/>
  <c r="W2651" i="1"/>
  <c r="AH2639" i="1"/>
  <c r="J2634" i="1"/>
  <c r="L2631" i="1"/>
  <c r="M2628" i="1"/>
  <c r="G2625" i="1"/>
  <c r="J2622" i="1"/>
  <c r="G2619" i="1"/>
  <c r="L2616" i="1"/>
  <c r="J2613" i="1"/>
  <c r="AH2610" i="1"/>
  <c r="AI2607" i="1"/>
  <c r="J2604" i="1"/>
  <c r="L2601" i="1"/>
  <c r="M2598" i="1"/>
  <c r="AH2592" i="1"/>
  <c r="G2590" i="1"/>
  <c r="AF2586" i="1"/>
  <c r="J2583" i="1"/>
  <c r="AF2580" i="1"/>
  <c r="AI2577" i="1"/>
  <c r="G2572" i="1"/>
  <c r="G2566" i="1"/>
  <c r="M2563" i="1"/>
  <c r="L2560" i="1"/>
  <c r="AF2557" i="1"/>
  <c r="M2554" i="1"/>
  <c r="AI2550" i="1"/>
  <c r="J2548" i="1"/>
  <c r="M2542" i="1"/>
  <c r="W2539" i="1"/>
  <c r="G2537" i="1"/>
  <c r="AF2533" i="1"/>
  <c r="L2530" i="1"/>
  <c r="AF2527" i="1"/>
  <c r="W2524" i="1"/>
  <c r="M2512" i="1"/>
  <c r="W2509" i="1"/>
  <c r="AI2503" i="1"/>
  <c r="M2501" i="1"/>
  <c r="G2492" i="1"/>
  <c r="M2489" i="1"/>
  <c r="AF2486" i="1"/>
  <c r="AF2483" i="1"/>
  <c r="G2477" i="1"/>
  <c r="J2471" i="1"/>
  <c r="AH2468" i="1"/>
  <c r="AF2465" i="1"/>
  <c r="AF2459" i="1"/>
  <c r="M2454" i="1"/>
  <c r="AI2451" i="1"/>
  <c r="M2449" i="1"/>
  <c r="AF2446" i="1"/>
  <c r="J2444" i="1"/>
  <c r="AH2441" i="1"/>
  <c r="L2439" i="1"/>
  <c r="AI2436" i="1"/>
  <c r="G2435" i="1"/>
  <c r="AF2430" i="1"/>
  <c r="AI2428" i="1"/>
  <c r="AH2426" i="1"/>
  <c r="G2425" i="1"/>
  <c r="G2423" i="1"/>
  <c r="J2419" i="1"/>
  <c r="J2417" i="1"/>
  <c r="W2415" i="1"/>
  <c r="W2413" i="1"/>
  <c r="AI2411" i="1"/>
  <c r="AI2409" i="1"/>
  <c r="AH2407" i="1"/>
  <c r="G2406" i="1"/>
  <c r="G2404" i="1"/>
  <c r="J2402" i="1"/>
  <c r="L2400" i="1"/>
  <c r="AF2398" i="1"/>
  <c r="M2396" i="1"/>
  <c r="W2394" i="1"/>
  <c r="AI2392" i="1"/>
  <c r="AH2390" i="1"/>
  <c r="G2389" i="1"/>
  <c r="G2387" i="1"/>
  <c r="J2383" i="1"/>
  <c r="J2381" i="1"/>
  <c r="W2379" i="1"/>
  <c r="W2377" i="1"/>
  <c r="AI2375" i="1"/>
  <c r="AI2373" i="1"/>
  <c r="AH2371" i="1"/>
  <c r="G2370" i="1"/>
  <c r="G2368" i="1"/>
  <c r="J2366" i="1"/>
  <c r="L2364" i="1"/>
  <c r="AF2362" i="1"/>
  <c r="M2360" i="1"/>
  <c r="W2358" i="1"/>
  <c r="AI2356" i="1"/>
  <c r="AH2354" i="1"/>
  <c r="G2353" i="1"/>
  <c r="G2351" i="1"/>
  <c r="J2347" i="1"/>
  <c r="J2345" i="1"/>
  <c r="W2343" i="1"/>
  <c r="W2341" i="1"/>
  <c r="AI2339" i="1"/>
  <c r="AI2337" i="1"/>
  <c r="AH2335" i="1"/>
  <c r="G2334" i="1"/>
  <c r="G2332" i="1"/>
  <c r="J2330" i="1"/>
  <c r="L2328" i="1"/>
  <c r="AF2326" i="1"/>
  <c r="M2324" i="1"/>
  <c r="W2322" i="1"/>
  <c r="AI2320" i="1"/>
  <c r="AH2318" i="1"/>
  <c r="G2317" i="1"/>
  <c r="G2315" i="1"/>
  <c r="J2311" i="1"/>
  <c r="J2309" i="1"/>
  <c r="W2307" i="1"/>
  <c r="W2305" i="1"/>
  <c r="AI2303" i="1"/>
  <c r="AI2301" i="1"/>
  <c r="AH2299" i="1"/>
  <c r="G2298" i="1"/>
  <c r="G2296" i="1"/>
  <c r="J2294" i="1"/>
  <c r="L2292" i="1"/>
  <c r="AF2290" i="1"/>
  <c r="M2288" i="1"/>
  <c r="W2286" i="1"/>
  <c r="AI2284" i="1"/>
  <c r="AH2282" i="1"/>
  <c r="G2281" i="1"/>
  <c r="G2279" i="1"/>
  <c r="J2275" i="1"/>
  <c r="J2273" i="1"/>
  <c r="W2271" i="1"/>
  <c r="W2269" i="1"/>
  <c r="AI2267" i="1"/>
  <c r="AI2265" i="1"/>
  <c r="AH2263" i="1"/>
  <c r="G2262" i="1"/>
  <c r="G2260" i="1"/>
  <c r="J2258" i="1"/>
  <c r="L2256" i="1"/>
  <c r="AF2254" i="1"/>
  <c r="M2252" i="1"/>
  <c r="W2250" i="1"/>
  <c r="AI2248" i="1"/>
  <c r="AH2246" i="1"/>
  <c r="G2245" i="1"/>
  <c r="G2243" i="1"/>
  <c r="J2239" i="1"/>
  <c r="J2237" i="1"/>
  <c r="W2235" i="1"/>
  <c r="W2233" i="1"/>
  <c r="AI2231" i="1"/>
  <c r="AI2229" i="1"/>
  <c r="AH2227" i="1"/>
  <c r="G2226" i="1"/>
  <c r="G2224" i="1"/>
  <c r="J2222" i="1"/>
  <c r="L2220" i="1"/>
  <c r="AH2218" i="1"/>
  <c r="AI2216" i="1"/>
  <c r="J2215" i="1"/>
  <c r="AF2213" i="1"/>
  <c r="M3922" i="1"/>
  <c r="W3857" i="1"/>
  <c r="AI3767" i="1"/>
  <c r="AF3735" i="1"/>
  <c r="L3638" i="1"/>
  <c r="AH3534" i="1"/>
  <c r="AH3501" i="1"/>
  <c r="L3486" i="1"/>
  <c r="G3456" i="1"/>
  <c r="J3416" i="1"/>
  <c r="AI3402" i="1"/>
  <c r="AH3388" i="1"/>
  <c r="W3343" i="1"/>
  <c r="L3325" i="1"/>
  <c r="M3312" i="1"/>
  <c r="G3301" i="1"/>
  <c r="G3288" i="1"/>
  <c r="M3274" i="1"/>
  <c r="L3256" i="1"/>
  <c r="L3251" i="1"/>
  <c r="AF3239" i="1"/>
  <c r="W3229" i="1"/>
  <c r="L3217" i="1"/>
  <c r="M3211" i="1"/>
  <c r="AH3205" i="1"/>
  <c r="W3169" i="1"/>
  <c r="G3146" i="1"/>
  <c r="J3135" i="1"/>
  <c r="AI3129" i="1"/>
  <c r="AF3098" i="1"/>
  <c r="J3087" i="1"/>
  <c r="AI3063" i="1"/>
  <c r="AH3057" i="1"/>
  <c r="AH3022" i="1"/>
  <c r="L3013" i="1"/>
  <c r="AI3008" i="1"/>
  <c r="AI3003" i="1"/>
  <c r="J2994" i="1"/>
  <c r="W2980" i="1"/>
  <c r="AF2975" i="1"/>
  <c r="W2970" i="1"/>
  <c r="G2961" i="1"/>
  <c r="AF2943" i="1"/>
  <c r="M2939" i="1"/>
  <c r="M2931" i="1"/>
  <c r="AF2927" i="1"/>
  <c r="AH2922" i="1"/>
  <c r="J2918" i="1"/>
  <c r="M2913" i="1"/>
  <c r="AF2909" i="1"/>
  <c r="L2905" i="1"/>
  <c r="L2896" i="1"/>
  <c r="AF2892" i="1"/>
  <c r="G2887" i="1"/>
  <c r="L2878" i="1"/>
  <c r="AI2869" i="1"/>
  <c r="J2865" i="1"/>
  <c r="L2857" i="1"/>
  <c r="AF2853" i="1"/>
  <c r="AH2848" i="1"/>
  <c r="G2845" i="1"/>
  <c r="W2841" i="1"/>
  <c r="M2837" i="1"/>
  <c r="G2833" i="1"/>
  <c r="J2828" i="1"/>
  <c r="J2824" i="1"/>
  <c r="AI2819" i="1"/>
  <c r="AF2806" i="1"/>
  <c r="AH2793" i="1"/>
  <c r="W2789" i="1"/>
  <c r="AI2785" i="1"/>
  <c r="G2781" i="1"/>
  <c r="AF2776" i="1"/>
  <c r="M2768" i="1"/>
  <c r="J2764" i="1"/>
  <c r="AF2760" i="1"/>
  <c r="L2757" i="1"/>
  <c r="J2753" i="1"/>
  <c r="AI2735" i="1"/>
  <c r="AF2728" i="1"/>
  <c r="J2704" i="1"/>
  <c r="L2701" i="1"/>
  <c r="M2698" i="1"/>
  <c r="M2695" i="1"/>
  <c r="AF2691" i="1"/>
  <c r="L2685" i="1"/>
  <c r="AI2681" i="1"/>
  <c r="AI2678" i="1"/>
  <c r="M2675" i="1"/>
  <c r="W2672" i="1"/>
  <c r="W2666" i="1"/>
  <c r="M2663" i="1"/>
  <c r="J2660" i="1"/>
  <c r="AF2654" i="1"/>
  <c r="M2651" i="1"/>
  <c r="AI2648" i="1"/>
  <c r="AH2645" i="1"/>
  <c r="G2643" i="1"/>
  <c r="AF2639" i="1"/>
  <c r="L2628" i="1"/>
  <c r="AF2610" i="1"/>
  <c r="L2607" i="1"/>
  <c r="J2601" i="1"/>
  <c r="L2598" i="1"/>
  <c r="AI2595" i="1"/>
  <c r="AF2592" i="1"/>
  <c r="L2586" i="1"/>
  <c r="M2580" i="1"/>
  <c r="L2577" i="1"/>
  <c r="AI2574" i="1"/>
  <c r="AI2568" i="1"/>
  <c r="J2560" i="1"/>
  <c r="J2554" i="1"/>
  <c r="AH2550" i="1"/>
  <c r="AI2544" i="1"/>
  <c r="M2539" i="1"/>
  <c r="M2533" i="1"/>
  <c r="J2530" i="1"/>
  <c r="W2527" i="1"/>
  <c r="M2524" i="1"/>
  <c r="AI2521" i="1"/>
  <c r="W2518" i="1"/>
  <c r="L2512" i="1"/>
  <c r="M2509" i="1"/>
  <c r="W2506" i="1"/>
  <c r="AF2503" i="1"/>
  <c r="AI2497" i="1"/>
  <c r="G2483" i="1"/>
  <c r="G2480" i="1"/>
  <c r="W2465" i="1"/>
  <c r="G2462" i="1"/>
  <c r="W2459" i="1"/>
  <c r="AI2456" i="1"/>
  <c r="L2454" i="1"/>
  <c r="M2451" i="1"/>
  <c r="W2446" i="1"/>
  <c r="AF2441" i="1"/>
  <c r="J2439" i="1"/>
  <c r="AH2436" i="1"/>
  <c r="AH2432" i="1"/>
  <c r="W2430" i="1"/>
  <c r="AH2428" i="1"/>
  <c r="AF2426" i="1"/>
  <c r="AI2420" i="1"/>
  <c r="M2415" i="1"/>
  <c r="M2413" i="1"/>
  <c r="L2411" i="1"/>
  <c r="AF2409" i="1"/>
  <c r="AF2407" i="1"/>
  <c r="J2400" i="1"/>
  <c r="L2396" i="1"/>
  <c r="M2394" i="1"/>
  <c r="AH2392" i="1"/>
  <c r="AF2390" i="1"/>
  <c r="AI2384" i="1"/>
  <c r="M2379" i="1"/>
  <c r="M2377" i="1"/>
  <c r="L2375" i="1"/>
  <c r="AF2373" i="1"/>
  <c r="AF2371" i="1"/>
  <c r="J2364" i="1"/>
  <c r="L2360" i="1"/>
  <c r="M2358" i="1"/>
  <c r="AH2356" i="1"/>
  <c r="AF2354" i="1"/>
  <c r="AI2348" i="1"/>
  <c r="M2343" i="1"/>
  <c r="M2341" i="1"/>
  <c r="L2339" i="1"/>
  <c r="AF2337" i="1"/>
  <c r="AF2335" i="1"/>
  <c r="J2328" i="1"/>
  <c r="L2324" i="1"/>
  <c r="M2322" i="1"/>
  <c r="AH2320" i="1"/>
  <c r="AF2318" i="1"/>
  <c r="AI2312" i="1"/>
  <c r="M2307" i="1"/>
  <c r="M2305" i="1"/>
  <c r="L2303" i="1"/>
  <c r="AF2301" i="1"/>
  <c r="AF2299" i="1"/>
  <c r="J2292" i="1"/>
  <c r="L2288" i="1"/>
  <c r="M2286" i="1"/>
  <c r="AH2284" i="1"/>
  <c r="AF2282" i="1"/>
  <c r="AI2276" i="1"/>
  <c r="M2271" i="1"/>
  <c r="M2269" i="1"/>
  <c r="L2267" i="1"/>
  <c r="AF2265" i="1"/>
  <c r="AF2263" i="1"/>
  <c r="J2256" i="1"/>
  <c r="L2252" i="1"/>
  <c r="M2250" i="1"/>
  <c r="AH2248" i="1"/>
  <c r="AF2246" i="1"/>
  <c r="AI2240" i="1"/>
  <c r="M2235" i="1"/>
  <c r="M2233" i="1"/>
  <c r="L2231" i="1"/>
  <c r="AF2229" i="1"/>
  <c r="AF2227" i="1"/>
  <c r="J2220" i="1"/>
  <c r="AF2218" i="1"/>
  <c r="AH2216" i="1"/>
  <c r="L2213" i="1"/>
  <c r="AI2211" i="1"/>
  <c r="G2210" i="1"/>
  <c r="M2208" i="1"/>
  <c r="AI2206" i="1"/>
  <c r="M2203" i="1"/>
  <c r="AI2201" i="1"/>
  <c r="G2200" i="1"/>
  <c r="L2198" i="1"/>
  <c r="AI2196" i="1"/>
  <c r="G2195" i="1"/>
  <c r="M2193" i="1"/>
  <c r="AF2191" i="1"/>
  <c r="G2190" i="1"/>
  <c r="M2188" i="1"/>
  <c r="AF2186" i="1"/>
  <c r="G2185" i="1"/>
  <c r="J2183" i="1"/>
  <c r="AF2181" i="1"/>
  <c r="L2178" i="1"/>
  <c r="AH2176" i="1"/>
  <c r="AI2174" i="1"/>
  <c r="J2173" i="1"/>
  <c r="AF2171" i="1"/>
  <c r="J2168" i="1"/>
  <c r="W2166" i="1"/>
  <c r="J2163" i="1"/>
  <c r="W2161" i="1"/>
  <c r="M2156" i="1"/>
  <c r="W2151" i="1"/>
  <c r="AH2149" i="1"/>
  <c r="L2148" i="1"/>
  <c r="AI2146" i="1"/>
  <c r="J2145" i="1"/>
  <c r="AF2143" i="1"/>
  <c r="L2142" i="1"/>
  <c r="W2139" i="1"/>
  <c r="G2138" i="1"/>
  <c r="AH2136" i="1"/>
  <c r="J2135" i="1"/>
  <c r="AI2133" i="1"/>
  <c r="M2132" i="1"/>
  <c r="G2131" i="1"/>
  <c r="AF2129" i="1"/>
  <c r="AH2126" i="1"/>
  <c r="L2125" i="1"/>
  <c r="G2124" i="1"/>
  <c r="AF2122" i="1"/>
  <c r="AF2119" i="1"/>
  <c r="L2118" i="1"/>
  <c r="W2115" i="1"/>
  <c r="G2114" i="1"/>
  <c r="AH2112" i="1"/>
  <c r="J2111" i="1"/>
  <c r="AI2109" i="1"/>
  <c r="M2108" i="1"/>
  <c r="AH2104" i="1"/>
  <c r="W2103" i="1"/>
  <c r="L2102" i="1"/>
  <c r="AH2098" i="1"/>
  <c r="W2097" i="1"/>
  <c r="L2096" i="1"/>
  <c r="AH2092" i="1"/>
  <c r="W2091" i="1"/>
  <c r="L2090" i="1"/>
  <c r="AH2086" i="1"/>
  <c r="W2085" i="1"/>
  <c r="L2084" i="1"/>
  <c r="AH2080" i="1"/>
  <c r="W2079" i="1"/>
  <c r="L2078" i="1"/>
  <c r="AH2074" i="1"/>
  <c r="W2073" i="1"/>
  <c r="L2072" i="1"/>
  <c r="AH2068" i="1"/>
  <c r="W2067" i="1"/>
  <c r="L2066" i="1"/>
  <c r="AH2062" i="1"/>
  <c r="W2061" i="1"/>
  <c r="L2060" i="1"/>
  <c r="AH2056" i="1"/>
  <c r="W2055" i="1"/>
  <c r="L2054" i="1"/>
  <c r="AH2050" i="1"/>
  <c r="W2049" i="1"/>
  <c r="L2048" i="1"/>
  <c r="AH2044" i="1"/>
  <c r="W2043" i="1"/>
  <c r="AH4135" i="1"/>
  <c r="W3806" i="1"/>
  <c r="G3725" i="1"/>
  <c r="G3638" i="1"/>
  <c r="M3593" i="1"/>
  <c r="AI3542" i="1"/>
  <c r="W3534" i="1"/>
  <c r="AI3508" i="1"/>
  <c r="G3501" i="1"/>
  <c r="AF3469" i="1"/>
  <c r="W3439" i="1"/>
  <c r="AH3393" i="1"/>
  <c r="AF3388" i="1"/>
  <c r="J3382" i="1"/>
  <c r="J3375" i="1"/>
  <c r="AI3363" i="1"/>
  <c r="W3350" i="1"/>
  <c r="M3343" i="1"/>
  <c r="L3306" i="1"/>
  <c r="G3294" i="1"/>
  <c r="L3274" i="1"/>
  <c r="J3256" i="1"/>
  <c r="G3251" i="1"/>
  <c r="W3239" i="1"/>
  <c r="AF3233" i="1"/>
  <c r="AI3186" i="1"/>
  <c r="AH3163" i="1"/>
  <c r="AI3139" i="1"/>
  <c r="AH3129" i="1"/>
  <c r="AH3122" i="1"/>
  <c r="AH3116" i="1"/>
  <c r="M3103" i="1"/>
  <c r="W3098" i="1"/>
  <c r="AF3092" i="1"/>
  <c r="G3087" i="1"/>
  <c r="AI3081" i="1"/>
  <c r="J3069" i="1"/>
  <c r="AF3050" i="1"/>
  <c r="AI3043" i="1"/>
  <c r="AF3038" i="1"/>
  <c r="G3027" i="1"/>
  <c r="W3017" i="1"/>
  <c r="AH3008" i="1"/>
  <c r="W3003" i="1"/>
  <c r="AH2998" i="1"/>
  <c r="M2970" i="1"/>
  <c r="L2956" i="1"/>
  <c r="AH2951" i="1"/>
  <c r="AI2947" i="1"/>
  <c r="W2943" i="1"/>
  <c r="AF2934" i="1"/>
  <c r="J2913" i="1"/>
  <c r="W2909" i="1"/>
  <c r="J2896" i="1"/>
  <c r="M2882" i="1"/>
  <c r="AI2873" i="1"/>
  <c r="L2869" i="1"/>
  <c r="M2860" i="1"/>
  <c r="AF2848" i="1"/>
  <c r="M2841" i="1"/>
  <c r="G2828" i="1"/>
  <c r="AF2819" i="1"/>
  <c r="G2815" i="1"/>
  <c r="L2810" i="1"/>
  <c r="L2806" i="1"/>
  <c r="AF2801" i="1"/>
  <c r="AI2797" i="1"/>
  <c r="M2789" i="1"/>
  <c r="L2785" i="1"/>
  <c r="L2776" i="1"/>
  <c r="M2760" i="1"/>
  <c r="AH2745" i="1"/>
  <c r="AI2742" i="1"/>
  <c r="G2739" i="1"/>
  <c r="AH2735" i="1"/>
  <c r="AI2731" i="1"/>
  <c r="W2728" i="1"/>
  <c r="G2725" i="1"/>
  <c r="L2721" i="1"/>
  <c r="AH2717" i="1"/>
  <c r="AI2714" i="1"/>
  <c r="G2704" i="1"/>
  <c r="J2701" i="1"/>
  <c r="J2698" i="1"/>
  <c r="W2691" i="1"/>
  <c r="AH2681" i="1"/>
  <c r="AH2678" i="1"/>
  <c r="J2675" i="1"/>
  <c r="M2672" i="1"/>
  <c r="M2666" i="1"/>
  <c r="J2663" i="1"/>
  <c r="G2657" i="1"/>
  <c r="J2651" i="1"/>
  <c r="AH2648" i="1"/>
  <c r="AF2645" i="1"/>
  <c r="M2639" i="1"/>
  <c r="AF2636" i="1"/>
  <c r="AF2633" i="1"/>
  <c r="AI2630" i="1"/>
  <c r="AI2624" i="1"/>
  <c r="J2621" i="1"/>
  <c r="AH2618" i="1"/>
  <c r="W2615" i="1"/>
  <c r="AH2603" i="1"/>
  <c r="J2598" i="1"/>
  <c r="L2595" i="1"/>
  <c r="M2592" i="1"/>
  <c r="G2589" i="1"/>
  <c r="J2586" i="1"/>
  <c r="G2583" i="1"/>
  <c r="L2580" i="1"/>
  <c r="J2577" i="1"/>
  <c r="AH2574" i="1"/>
  <c r="AI2571" i="1"/>
  <c r="J2568" i="1"/>
  <c r="L2565" i="1"/>
  <c r="M2562" i="1"/>
  <c r="AH2556" i="1"/>
  <c r="G2554" i="1"/>
  <c r="AF2550" i="1"/>
  <c r="J2547" i="1"/>
  <c r="AF2544" i="1"/>
  <c r="AI2541" i="1"/>
  <c r="G2536" i="1"/>
  <c r="G2530" i="1"/>
  <c r="M2527" i="1"/>
  <c r="L2524" i="1"/>
  <c r="AF2521" i="1"/>
  <c r="M2518" i="1"/>
  <c r="AI2514" i="1"/>
  <c r="J2512" i="1"/>
  <c r="M2506" i="1"/>
  <c r="W2503" i="1"/>
  <c r="G2501" i="1"/>
  <c r="AF2497" i="1"/>
  <c r="L2494" i="1"/>
  <c r="AF2491" i="1"/>
  <c r="W2488" i="1"/>
  <c r="M2476" i="1"/>
  <c r="W2473" i="1"/>
  <c r="AI2467" i="1"/>
  <c r="M2465" i="1"/>
  <c r="M2459" i="1"/>
  <c r="AH2456" i="1"/>
  <c r="J2451" i="1"/>
  <c r="AF2448" i="1"/>
  <c r="L2446" i="1"/>
  <c r="AF2443" i="1"/>
  <c r="W2441" i="1"/>
  <c r="W2436" i="1"/>
  <c r="W2434" i="1"/>
  <c r="AF2432" i="1"/>
  <c r="M2430" i="1"/>
  <c r="AF2428" i="1"/>
  <c r="M2426" i="1"/>
  <c r="W2424" i="1"/>
  <c r="AI2422" i="1"/>
  <c r="AH2420" i="1"/>
  <c r="G2419" i="1"/>
  <c r="G2417" i="1"/>
  <c r="J2413" i="1"/>
  <c r="J2411" i="1"/>
  <c r="W2409" i="1"/>
  <c r="W2407" i="1"/>
  <c r="AI2405" i="1"/>
  <c r="AI2403" i="1"/>
  <c r="AH2401" i="1"/>
  <c r="G2400" i="1"/>
  <c r="G2398" i="1"/>
  <c r="J2396" i="1"/>
  <c r="L2394" i="1"/>
  <c r="AF2392" i="1"/>
  <c r="M2390" i="1"/>
  <c r="W2388" i="1"/>
  <c r="AI2386" i="1"/>
  <c r="AH2384" i="1"/>
  <c r="G2383" i="1"/>
  <c r="G2381" i="1"/>
  <c r="J2377" i="1"/>
  <c r="J2375" i="1"/>
  <c r="W2373" i="1"/>
  <c r="W2371" i="1"/>
  <c r="AI2369" i="1"/>
  <c r="AI2367" i="1"/>
  <c r="AH2365" i="1"/>
  <c r="G2364" i="1"/>
  <c r="G2362" i="1"/>
  <c r="J2360" i="1"/>
  <c r="L2358" i="1"/>
  <c r="AF2356" i="1"/>
  <c r="M2354" i="1"/>
  <c r="W2352" i="1"/>
  <c r="AI2350" i="1"/>
  <c r="AH2348" i="1"/>
  <c r="G2347" i="1"/>
  <c r="G2345" i="1"/>
  <c r="J2341" i="1"/>
  <c r="J2339" i="1"/>
  <c r="W2337" i="1"/>
  <c r="W2335" i="1"/>
  <c r="AI2333" i="1"/>
  <c r="AI2331" i="1"/>
  <c r="AH2329" i="1"/>
  <c r="G2328" i="1"/>
  <c r="G2326" i="1"/>
  <c r="J2324" i="1"/>
  <c r="L2322" i="1"/>
  <c r="AF2320" i="1"/>
  <c r="M2318" i="1"/>
  <c r="W2316" i="1"/>
  <c r="AI2314" i="1"/>
  <c r="AH2312" i="1"/>
  <c r="G2311" i="1"/>
  <c r="G2309" i="1"/>
  <c r="J2305" i="1"/>
  <c r="J2303" i="1"/>
  <c r="W2301" i="1"/>
  <c r="W2299" i="1"/>
  <c r="AI2297" i="1"/>
  <c r="AI2295" i="1"/>
  <c r="AH2293" i="1"/>
  <c r="G2292" i="1"/>
  <c r="G2290" i="1"/>
  <c r="J2288" i="1"/>
  <c r="L2286" i="1"/>
  <c r="AF2284" i="1"/>
  <c r="M2282" i="1"/>
  <c r="W2280" i="1"/>
  <c r="AI2278" i="1"/>
  <c r="AH2276" i="1"/>
  <c r="G2275" i="1"/>
  <c r="G2273" i="1"/>
  <c r="J2269" i="1"/>
  <c r="J2267" i="1"/>
  <c r="W2265" i="1"/>
  <c r="W2263" i="1"/>
  <c r="AI2261" i="1"/>
  <c r="AI2259" i="1"/>
  <c r="AH2257" i="1"/>
  <c r="G2256" i="1"/>
  <c r="G2254" i="1"/>
  <c r="J2252" i="1"/>
  <c r="L2250" i="1"/>
  <c r="AF2248" i="1"/>
  <c r="M2246" i="1"/>
  <c r="W2244" i="1"/>
  <c r="AI2242" i="1"/>
  <c r="AH2240" i="1"/>
  <c r="G2239" i="1"/>
  <c r="G2237" i="1"/>
  <c r="J2233" i="1"/>
  <c r="J2231" i="1"/>
  <c r="W2229" i="1"/>
  <c r="W2227" i="1"/>
  <c r="AI2225" i="1"/>
  <c r="AI2223" i="1"/>
  <c r="AH2221" i="1"/>
  <c r="G2220" i="1"/>
  <c r="M2218" i="1"/>
  <c r="AF2216" i="1"/>
  <c r="G2215" i="1"/>
  <c r="J2213" i="1"/>
  <c r="AF2211" i="1"/>
  <c r="L2208" i="1"/>
  <c r="AH2206" i="1"/>
  <c r="AI2204" i="1"/>
  <c r="J2203" i="1"/>
  <c r="AF2201" i="1"/>
  <c r="J2198" i="1"/>
  <c r="W2196" i="1"/>
  <c r="J2193" i="1"/>
  <c r="W2191" i="1"/>
  <c r="M2186" i="1"/>
  <c r="W2181" i="1"/>
  <c r="AH2179" i="1"/>
  <c r="J2178" i="1"/>
  <c r="AF2176" i="1"/>
  <c r="AH2174" i="1"/>
  <c r="L2171" i="1"/>
  <c r="AI2169" i="1"/>
  <c r="G2168" i="1"/>
  <c r="M2166" i="1"/>
  <c r="AI2164" i="1"/>
  <c r="M2161" i="1"/>
  <c r="AI2159" i="1"/>
  <c r="G2158" i="1"/>
  <c r="L2156" i="1"/>
  <c r="AI2154" i="1"/>
  <c r="G2153" i="1"/>
  <c r="M2151" i="1"/>
  <c r="AF2149" i="1"/>
  <c r="J2148" i="1"/>
  <c r="AH2146" i="1"/>
  <c r="W2143" i="1"/>
  <c r="J2142" i="1"/>
  <c r="AI2140" i="1"/>
  <c r="M2139" i="1"/>
  <c r="W2136" i="1"/>
  <c r="AH2133" i="1"/>
  <c r="L2132" i="1"/>
  <c r="W2129" i="1"/>
  <c r="G2128" i="1"/>
  <c r="AF2126" i="1"/>
  <c r="J2125" i="1"/>
  <c r="M2122" i="1"/>
  <c r="W2119" i="1"/>
  <c r="J2118" i="1"/>
  <c r="AI2116" i="1"/>
  <c r="M2115" i="1"/>
  <c r="W2112" i="1"/>
  <c r="AH2109" i="1"/>
  <c r="L2108" i="1"/>
  <c r="G2107" i="1"/>
  <c r="AI2105" i="1"/>
  <c r="AF2104" i="1"/>
  <c r="M2103" i="1"/>
  <c r="J2102" i="1"/>
  <c r="G2101" i="1"/>
  <c r="AI2099" i="1"/>
  <c r="AF2098" i="1"/>
  <c r="M2097" i="1"/>
  <c r="J2096" i="1"/>
  <c r="G2095" i="1"/>
  <c r="AI2093" i="1"/>
  <c r="AF2092" i="1"/>
  <c r="M2091" i="1"/>
  <c r="J2090" i="1"/>
  <c r="G2089" i="1"/>
  <c r="AH4482" i="1"/>
  <c r="AI4460" i="1"/>
  <c r="AI4449" i="1"/>
  <c r="M4262" i="1"/>
  <c r="AH3996" i="1"/>
  <c r="AH3931" i="1"/>
  <c r="AF3823" i="1"/>
  <c r="J3815" i="1"/>
  <c r="L3786" i="1"/>
  <c r="W3703" i="1"/>
  <c r="AF3666" i="1"/>
  <c r="W3657" i="1"/>
  <c r="AH3621" i="1"/>
  <c r="W3584" i="1"/>
  <c r="W3558" i="1"/>
  <c r="AH3550" i="1"/>
  <c r="L3525" i="1"/>
  <c r="AH3508" i="1"/>
  <c r="L3462" i="1"/>
  <c r="AH3446" i="1"/>
  <c r="M3439" i="1"/>
  <c r="M3430" i="1"/>
  <c r="AF3393" i="1"/>
  <c r="M3388" i="1"/>
  <c r="J3363" i="1"/>
  <c r="M3350" i="1"/>
  <c r="L3336" i="1"/>
  <c r="G3330" i="1"/>
  <c r="L3279" i="1"/>
  <c r="M3268" i="1"/>
  <c r="M3244" i="1"/>
  <c r="L3239" i="1"/>
  <c r="M3233" i="1"/>
  <c r="AF3221" i="1"/>
  <c r="W3204" i="1"/>
  <c r="AF3198" i="1"/>
  <c r="J3192" i="1"/>
  <c r="AI3180" i="1"/>
  <c r="AF3168" i="1"/>
  <c r="AI3151" i="1"/>
  <c r="W3139" i="1"/>
  <c r="W3134" i="1"/>
  <c r="W3122" i="1"/>
  <c r="AF3116" i="1"/>
  <c r="J3108" i="1"/>
  <c r="AH3081" i="1"/>
  <c r="W3062" i="1"/>
  <c r="AF3056" i="1"/>
  <c r="AH3031" i="1"/>
  <c r="L3017" i="1"/>
  <c r="L3012" i="1"/>
  <c r="M3003" i="1"/>
  <c r="W2993" i="1"/>
  <c r="G2989" i="1"/>
  <c r="AF2984" i="1"/>
  <c r="AH2979" i="1"/>
  <c r="L2974" i="1"/>
  <c r="AF2951" i="1"/>
  <c r="M2943" i="1"/>
  <c r="W2930" i="1"/>
  <c r="L2926" i="1"/>
  <c r="G2905" i="1"/>
  <c r="L2900" i="1"/>
  <c r="AI2886" i="1"/>
  <c r="W2877" i="1"/>
  <c r="L2860" i="1"/>
  <c r="AI2856" i="1"/>
  <c r="J2852" i="1"/>
  <c r="L2848" i="1"/>
  <c r="AH2844" i="1"/>
  <c r="J2841" i="1"/>
  <c r="AI2836" i="1"/>
  <c r="AF2823" i="1"/>
  <c r="J2810" i="1"/>
  <c r="W2801" i="1"/>
  <c r="L2797" i="1"/>
  <c r="L2792" i="1"/>
  <c r="W2780" i="1"/>
  <c r="J2776" i="1"/>
  <c r="W2771" i="1"/>
  <c r="AI2767" i="1"/>
  <c r="M2763" i="1"/>
  <c r="L2756" i="1"/>
  <c r="AH2752" i="1"/>
  <c r="AF2745" i="1"/>
  <c r="L2731" i="1"/>
  <c r="J2721" i="1"/>
  <c r="AF2717" i="1"/>
  <c r="AH2714" i="1"/>
  <c r="AI2710" i="1"/>
  <c r="G2698" i="1"/>
  <c r="AI2694" i="1"/>
  <c r="AI2687" i="1"/>
  <c r="W2681" i="1"/>
  <c r="G2675" i="1"/>
  <c r="L2672" i="1"/>
  <c r="G2669" i="1"/>
  <c r="L2666" i="1"/>
  <c r="G2660" i="1"/>
  <c r="W2645" i="1"/>
  <c r="G2642" i="1"/>
  <c r="J2639" i="1"/>
  <c r="W2633" i="1"/>
  <c r="AH2630" i="1"/>
  <c r="AH2627" i="1"/>
  <c r="AF4164" i="1"/>
  <c r="W3812" i="1"/>
  <c r="AI3681" i="1"/>
  <c r="AF3609" i="1"/>
  <c r="J3571" i="1"/>
  <c r="L3539" i="1"/>
  <c r="AF3505" i="1"/>
  <c r="G3428" i="1"/>
  <c r="G3398" i="1"/>
  <c r="M3391" i="1"/>
  <c r="J3373" i="1"/>
  <c r="W3340" i="1"/>
  <c r="AH3321" i="1"/>
  <c r="J3315" i="1"/>
  <c r="W3303" i="1"/>
  <c r="J3298" i="1"/>
  <c r="AI3291" i="1"/>
  <c r="W3272" i="1"/>
  <c r="AI3265" i="1"/>
  <c r="W3254" i="1"/>
  <c r="AF3248" i="1"/>
  <c r="G3231" i="1"/>
  <c r="M3208" i="1"/>
  <c r="L3178" i="1"/>
  <c r="L3155" i="1"/>
  <c r="M3143" i="1"/>
  <c r="J3132" i="1"/>
  <c r="AF3126" i="1"/>
  <c r="W3120" i="1"/>
  <c r="L3113" i="1"/>
  <c r="M3095" i="1"/>
  <c r="AH3079" i="1"/>
  <c r="AH3073" i="1"/>
  <c r="J3066" i="1"/>
  <c r="W3060" i="1"/>
  <c r="J3048" i="1"/>
  <c r="L3041" i="1"/>
  <c r="AF3035" i="1"/>
  <c r="AF3030" i="1"/>
  <c r="G3020" i="1"/>
  <c r="AI3015" i="1"/>
  <c r="AF3010" i="1"/>
  <c r="W3006" i="1"/>
  <c r="L2996" i="1"/>
  <c r="M2992" i="1"/>
  <c r="G2983" i="1"/>
  <c r="AI2977" i="1"/>
  <c r="G2968" i="1"/>
  <c r="AF2963" i="1"/>
  <c r="AH2954" i="1"/>
  <c r="AI2945" i="1"/>
  <c r="W2933" i="1"/>
  <c r="J2919" i="1"/>
  <c r="AF2907" i="1"/>
  <c r="AF2903" i="1"/>
  <c r="W2894" i="1"/>
  <c r="L2890" i="1"/>
  <c r="AH2880" i="1"/>
  <c r="W2859" i="1"/>
  <c r="L2839" i="1"/>
  <c r="AF2835" i="1"/>
  <c r="J2830" i="1"/>
  <c r="AF2826" i="1"/>
  <c r="J2822" i="1"/>
  <c r="AI2812" i="1"/>
  <c r="M2804" i="1"/>
  <c r="AF2800" i="1"/>
  <c r="AI2795" i="1"/>
  <c r="L2791" i="1"/>
  <c r="AF2783" i="1"/>
  <c r="G2779" i="1"/>
  <c r="L2774" i="1"/>
  <c r="M2770" i="1"/>
  <c r="M2762" i="1"/>
  <c r="AH2758" i="1"/>
  <c r="G2755" i="1"/>
  <c r="L2751" i="1"/>
  <c r="AH2740" i="1"/>
  <c r="AH2723" i="1"/>
  <c r="AH2716" i="1"/>
  <c r="J2713" i="1"/>
  <c r="AH2709" i="1"/>
  <c r="L2706" i="1"/>
  <c r="W2693" i="1"/>
  <c r="AI2689" i="1"/>
  <c r="AI2686" i="1"/>
  <c r="L2683" i="1"/>
  <c r="AF2680" i="1"/>
  <c r="J2674" i="1"/>
  <c r="M2668" i="1"/>
  <c r="G2665" i="1"/>
  <c r="J2662" i="1"/>
  <c r="AH2658" i="1"/>
  <c r="AI2652" i="1"/>
  <c r="M2647" i="1"/>
  <c r="M2641" i="1"/>
  <c r="J2638" i="1"/>
  <c r="W2635" i="1"/>
  <c r="M2632" i="1"/>
  <c r="AI2629" i="1"/>
  <c r="W2626" i="1"/>
  <c r="L2620" i="1"/>
  <c r="M2617" i="1"/>
  <c r="W2614" i="1"/>
  <c r="AF2611" i="1"/>
  <c r="AI2605" i="1"/>
  <c r="G2591" i="1"/>
  <c r="G2588" i="1"/>
  <c r="W2573" i="1"/>
  <c r="G2570" i="1"/>
  <c r="J2567" i="1"/>
  <c r="W2561" i="1"/>
  <c r="AH2558" i="1"/>
  <c r="AH2555" i="1"/>
  <c r="AH2552" i="1"/>
  <c r="AF2546" i="1"/>
  <c r="M2543" i="1"/>
  <c r="AI2540" i="1"/>
  <c r="AH2537" i="1"/>
  <c r="G2535" i="1"/>
  <c r="AF2531" i="1"/>
  <c r="L2520" i="1"/>
  <c r="AF2502" i="1"/>
  <c r="L2499" i="1"/>
  <c r="J2493" i="1"/>
  <c r="L2490" i="1"/>
  <c r="AI2487" i="1"/>
  <c r="AF2484" i="1"/>
  <c r="L2478" i="1"/>
  <c r="M2472" i="1"/>
  <c r="L2469" i="1"/>
  <c r="AI2466" i="1"/>
  <c r="L2458" i="1"/>
  <c r="M2455" i="1"/>
  <c r="G2453" i="1"/>
  <c r="AI2447" i="1"/>
  <c r="AI2442" i="1"/>
  <c r="L2440" i="1"/>
  <c r="AF2435" i="1"/>
  <c r="AF2431" i="1"/>
  <c r="L2429" i="1"/>
  <c r="AF2427" i="1"/>
  <c r="AF2425" i="1"/>
  <c r="J2418" i="1"/>
  <c r="L2414" i="1"/>
  <c r="M2412" i="1"/>
  <c r="AH2410" i="1"/>
  <c r="AF2408" i="1"/>
  <c r="AI2402" i="1"/>
  <c r="M2397" i="1"/>
  <c r="M2395" i="1"/>
  <c r="L2393" i="1"/>
  <c r="AF2391" i="1"/>
  <c r="AF2389" i="1"/>
  <c r="J2382" i="1"/>
  <c r="L2378" i="1"/>
  <c r="M2376" i="1"/>
  <c r="AH2374" i="1"/>
  <c r="AF2372" i="1"/>
  <c r="AI2366" i="1"/>
  <c r="M2361" i="1"/>
  <c r="M2359" i="1"/>
  <c r="L2357" i="1"/>
  <c r="AF2355" i="1"/>
  <c r="AF2353" i="1"/>
  <c r="J2346" i="1"/>
  <c r="L2342" i="1"/>
  <c r="M2340" i="1"/>
  <c r="AH2338" i="1"/>
  <c r="AF2336" i="1"/>
  <c r="AI2330" i="1"/>
  <c r="M2325" i="1"/>
  <c r="M2323" i="1"/>
  <c r="L2321" i="1"/>
  <c r="AF2319" i="1"/>
  <c r="AF2317" i="1"/>
  <c r="J2310" i="1"/>
  <c r="L2306" i="1"/>
  <c r="M2304" i="1"/>
  <c r="AH2302" i="1"/>
  <c r="AF2300" i="1"/>
  <c r="AI2294" i="1"/>
  <c r="M2289" i="1"/>
  <c r="M2287" i="1"/>
  <c r="L2285" i="1"/>
  <c r="AF2283" i="1"/>
  <c r="AF2281" i="1"/>
  <c r="J2274" i="1"/>
  <c r="L2270" i="1"/>
  <c r="M2268" i="1"/>
  <c r="AH2266" i="1"/>
  <c r="AF2264" i="1"/>
  <c r="AI2258" i="1"/>
  <c r="M2253" i="1"/>
  <c r="M2251" i="1"/>
  <c r="L2249" i="1"/>
  <c r="AF2247" i="1"/>
  <c r="AF2245" i="1"/>
  <c r="J2238" i="1"/>
  <c r="L2234" i="1"/>
  <c r="M2232" i="1"/>
  <c r="AH2230" i="1"/>
  <c r="AF2228" i="1"/>
  <c r="AI2222" i="1"/>
  <c r="J2219" i="1"/>
  <c r="AF2217" i="1"/>
  <c r="L2214" i="1"/>
  <c r="AH2212" i="1"/>
  <c r="AI2210" i="1"/>
  <c r="J2209" i="1"/>
  <c r="AF2207" i="1"/>
  <c r="J2204" i="1"/>
  <c r="W2202" i="1"/>
  <c r="J2199" i="1"/>
  <c r="W2197" i="1"/>
  <c r="M2192" i="1"/>
  <c r="W2187" i="1"/>
  <c r="AH2185" i="1"/>
  <c r="J2184" i="1"/>
  <c r="AF2182" i="1"/>
  <c r="AH2180" i="1"/>
  <c r="L2177" i="1"/>
  <c r="AI2175" i="1"/>
  <c r="G2174" i="1"/>
  <c r="M2172" i="1"/>
  <c r="AI2170" i="1"/>
  <c r="M2167" i="1"/>
  <c r="AI2165" i="1"/>
  <c r="G2164" i="1"/>
  <c r="L2162" i="1"/>
  <c r="AI2160" i="1"/>
  <c r="G2159" i="1"/>
  <c r="M2157" i="1"/>
  <c r="AF2155" i="1"/>
  <c r="G2154" i="1"/>
  <c r="M2152" i="1"/>
  <c r="AF2150" i="1"/>
  <c r="AF2147" i="1"/>
  <c r="M2144" i="1"/>
  <c r="G2143" i="1"/>
  <c r="AF2141" i="1"/>
  <c r="AH2138" i="1"/>
  <c r="L2137" i="1"/>
  <c r="G2136" i="1"/>
  <c r="AF2134" i="1"/>
  <c r="AF2131" i="1"/>
  <c r="L2130" i="1"/>
  <c r="W2127" i="1"/>
  <c r="G2126" i="1"/>
  <c r="AH2124" i="1"/>
  <c r="J2123" i="1"/>
  <c r="AI2121" i="1"/>
  <c r="M2120" i="1"/>
  <c r="G2119" i="1"/>
  <c r="AF2117" i="1"/>
  <c r="AH2114" i="1"/>
  <c r="L2113" i="1"/>
  <c r="G2112" i="1"/>
  <c r="AF2110" i="1"/>
  <c r="AH2107" i="1"/>
  <c r="W2106" i="1"/>
  <c r="L2105" i="1"/>
  <c r="AH2101" i="1"/>
  <c r="W2100" i="1"/>
  <c r="L2099" i="1"/>
  <c r="AH2095" i="1"/>
  <c r="W2094" i="1"/>
  <c r="L2093" i="1"/>
  <c r="AH2089" i="1"/>
  <c r="W2088" i="1"/>
  <c r="L2087" i="1"/>
  <c r="AH2083" i="1"/>
  <c r="W2082" i="1"/>
  <c r="L2081" i="1"/>
  <c r="AH2077" i="1"/>
  <c r="W2076" i="1"/>
  <c r="L2075" i="1"/>
  <c r="AH2071" i="1"/>
  <c r="W2070" i="1"/>
  <c r="L2069" i="1"/>
  <c r="AH2065" i="1"/>
  <c r="W2064" i="1"/>
  <c r="L2063" i="1"/>
  <c r="AH2059" i="1"/>
  <c r="W2058" i="1"/>
  <c r="L2057" i="1"/>
  <c r="AH2053" i="1"/>
  <c r="W2052" i="1"/>
  <c r="L2051" i="1"/>
  <c r="AH2047" i="1"/>
  <c r="W2046" i="1"/>
  <c r="L2045" i="1"/>
  <c r="AH2041" i="1"/>
  <c r="AF4213" i="1"/>
  <c r="G3732" i="1"/>
  <c r="AF3699" i="1"/>
  <c r="J3628" i="1"/>
  <c r="AH3609" i="1"/>
  <c r="AH3579" i="1"/>
  <c r="L3391" i="1"/>
  <c r="W3367" i="1"/>
  <c r="AI3349" i="1"/>
  <c r="M3340" i="1"/>
  <c r="M3333" i="1"/>
  <c r="AH3258" i="1"/>
  <c r="AH3242" i="1"/>
  <c r="G3227" i="1"/>
  <c r="M3172" i="1"/>
  <c r="J3165" i="1"/>
  <c r="L3142" i="1"/>
  <c r="G3134" i="1"/>
  <c r="L3126" i="1"/>
  <c r="M3107" i="1"/>
  <c r="W3042" i="1"/>
  <c r="L3034" i="1"/>
  <c r="L3020" i="1"/>
  <c r="G2993" i="1"/>
  <c r="AH2972" i="1"/>
  <c r="AH2946" i="1"/>
  <c r="G2940" i="1"/>
  <c r="G2934" i="1"/>
  <c r="AH2928" i="1"/>
  <c r="AI2903" i="1"/>
  <c r="M2890" i="1"/>
  <c r="J2884" i="1"/>
  <c r="J2877" i="1"/>
  <c r="AF2872" i="1"/>
  <c r="J2866" i="1"/>
  <c r="AF2854" i="1"/>
  <c r="AI2842" i="1"/>
  <c r="AH2836" i="1"/>
  <c r="AH2829" i="1"/>
  <c r="W2804" i="1"/>
  <c r="M2786" i="1"/>
  <c r="G2780" i="1"/>
  <c r="J2734" i="1"/>
  <c r="AH2729" i="1"/>
  <c r="M2724" i="1"/>
  <c r="L2719" i="1"/>
  <c r="W2713" i="1"/>
  <c r="M2703" i="1"/>
  <c r="W2699" i="1"/>
  <c r="M2689" i="1"/>
  <c r="AI2668" i="1"/>
  <c r="AF2658" i="1"/>
  <c r="J2626" i="1"/>
  <c r="W2617" i="1"/>
  <c r="M2609" i="1"/>
  <c r="W2596" i="1"/>
  <c r="L2592" i="1"/>
  <c r="G2571" i="1"/>
  <c r="L2566" i="1"/>
  <c r="AI2552" i="1"/>
  <c r="W2543" i="1"/>
  <c r="L2526" i="1"/>
  <c r="AI2522" i="1"/>
  <c r="J2518" i="1"/>
  <c r="L2514" i="1"/>
  <c r="AH2510" i="1"/>
  <c r="J2507" i="1"/>
  <c r="AI2502" i="1"/>
  <c r="AF2489" i="1"/>
  <c r="J2476" i="1"/>
  <c r="W2467" i="1"/>
  <c r="L2463" i="1"/>
  <c r="G2455" i="1"/>
  <c r="AH2447" i="1"/>
  <c r="W2443" i="1"/>
  <c r="G2440" i="1"/>
  <c r="M2436" i="1"/>
  <c r="AI2427" i="1"/>
  <c r="M2424" i="1"/>
  <c r="G2422" i="1"/>
  <c r="AF2419" i="1"/>
  <c r="AF2416" i="1"/>
  <c r="AF2410" i="1"/>
  <c r="M2407" i="1"/>
  <c r="G2405" i="1"/>
  <c r="M2402" i="1"/>
  <c r="J2399" i="1"/>
  <c r="AH2395" i="1"/>
  <c r="L2387" i="1"/>
  <c r="AF2384" i="1"/>
  <c r="G2382" i="1"/>
  <c r="AH2378" i="1"/>
  <c r="G2376" i="1"/>
  <c r="AI2372" i="1"/>
  <c r="M2370" i="1"/>
  <c r="AF2367" i="1"/>
  <c r="G2365" i="1"/>
  <c r="AF2361" i="1"/>
  <c r="AI2355" i="1"/>
  <c r="M2352" i="1"/>
  <c r="G2350" i="1"/>
  <c r="AF2347" i="1"/>
  <c r="AF2344" i="1"/>
  <c r="AF2338" i="1"/>
  <c r="M2335" i="1"/>
  <c r="G2333" i="1"/>
  <c r="M2330" i="1"/>
  <c r="J2327" i="1"/>
  <c r="AH2323" i="1"/>
  <c r="L2315" i="1"/>
  <c r="AF2312" i="1"/>
  <c r="G2310" i="1"/>
  <c r="AH2306" i="1"/>
  <c r="G2304" i="1"/>
  <c r="AI2300" i="1"/>
  <c r="M2298" i="1"/>
  <c r="AF2295" i="1"/>
  <c r="G2293" i="1"/>
  <c r="AF2289" i="1"/>
  <c r="AI2283" i="1"/>
  <c r="M2280" i="1"/>
  <c r="G2278" i="1"/>
  <c r="AF2275" i="1"/>
  <c r="AF2272" i="1"/>
  <c r="AF2266" i="1"/>
  <c r="M2263" i="1"/>
  <c r="G2261" i="1"/>
  <c r="M2258" i="1"/>
  <c r="J2255" i="1"/>
  <c r="AH2251" i="1"/>
  <c r="L2243" i="1"/>
  <c r="AF2240" i="1"/>
  <c r="G2238" i="1"/>
  <c r="AH2234" i="1"/>
  <c r="G2232" i="1"/>
  <c r="AI2228" i="1"/>
  <c r="M2226" i="1"/>
  <c r="AF2223" i="1"/>
  <c r="G2221" i="1"/>
  <c r="AF2215" i="1"/>
  <c r="AI2212" i="1"/>
  <c r="J2210" i="1"/>
  <c r="AF2205" i="1"/>
  <c r="AH2198" i="1"/>
  <c r="J2196" i="1"/>
  <c r="G2194" i="1"/>
  <c r="AH2191" i="1"/>
  <c r="AF2189" i="1"/>
  <c r="J2187" i="1"/>
  <c r="AI2184" i="1"/>
  <c r="M2182" i="1"/>
  <c r="G2180" i="1"/>
  <c r="AI2177" i="1"/>
  <c r="W2175" i="1"/>
  <c r="AH2170" i="1"/>
  <c r="AF2168" i="1"/>
  <c r="J2166" i="1"/>
  <c r="AF2161" i="1"/>
  <c r="J2159" i="1"/>
  <c r="AI2156" i="1"/>
  <c r="M2154" i="1"/>
  <c r="G2152" i="1"/>
  <c r="M2149" i="1"/>
  <c r="J2147" i="1"/>
  <c r="J2143" i="1"/>
  <c r="J2141" i="1"/>
  <c r="J2137" i="1"/>
  <c r="L2135" i="1"/>
  <c r="J2133" i="1"/>
  <c r="J2129" i="1"/>
  <c r="M2127" i="1"/>
  <c r="M2125" i="1"/>
  <c r="W2123" i="1"/>
  <c r="W2121" i="1"/>
  <c r="M2119" i="1"/>
  <c r="W2117" i="1"/>
  <c r="AF2115" i="1"/>
  <c r="W2113" i="1"/>
  <c r="AI2111" i="1"/>
  <c r="W2109" i="1"/>
  <c r="W2107" i="1"/>
  <c r="AH2105" i="1"/>
  <c r="J2104" i="1"/>
  <c r="AF2102" i="1"/>
  <c r="AH2100" i="1"/>
  <c r="L2097" i="1"/>
  <c r="AI2095" i="1"/>
  <c r="G2094" i="1"/>
  <c r="M2092" i="1"/>
  <c r="AI2090" i="1"/>
  <c r="W2087" i="1"/>
  <c r="G2086" i="1"/>
  <c r="AF2084" i="1"/>
  <c r="W2081" i="1"/>
  <c r="G2080" i="1"/>
  <c r="AF2078" i="1"/>
  <c r="W2075" i="1"/>
  <c r="G2074" i="1"/>
  <c r="AF2072" i="1"/>
  <c r="W2069" i="1"/>
  <c r="G2068" i="1"/>
  <c r="AF2066" i="1"/>
  <c r="W2063" i="1"/>
  <c r="G2062" i="1"/>
  <c r="AF2060" i="1"/>
  <c r="W2057" i="1"/>
  <c r="G2056" i="1"/>
  <c r="AF2054" i="1"/>
  <c r="W2051" i="1"/>
  <c r="G2050" i="1"/>
  <c r="AF2048" i="1"/>
  <c r="W2045" i="1"/>
  <c r="G2044" i="1"/>
  <c r="AF2042" i="1"/>
  <c r="AI2039" i="1"/>
  <c r="AF2038" i="1"/>
  <c r="L2037" i="1"/>
  <c r="G2036" i="1"/>
  <c r="AH2034" i="1"/>
  <c r="M2033" i="1"/>
  <c r="J2032" i="1"/>
  <c r="AF2029" i="1"/>
  <c r="L2028" i="1"/>
  <c r="G2027" i="1"/>
  <c r="AI2025" i="1"/>
  <c r="M2024" i="1"/>
  <c r="AI2021" i="1"/>
  <c r="AF2020" i="1"/>
  <c r="L2019" i="1"/>
  <c r="G2018" i="1"/>
  <c r="AH2016" i="1"/>
  <c r="M2015" i="1"/>
  <c r="J2014" i="1"/>
  <c r="AF2011" i="1"/>
  <c r="L2010" i="1"/>
  <c r="G2009" i="1"/>
  <c r="AI2007" i="1"/>
  <c r="M2006" i="1"/>
  <c r="AI2003" i="1"/>
  <c r="AF2002" i="1"/>
  <c r="L2001" i="1"/>
  <c r="G2000" i="1"/>
  <c r="AH1998" i="1"/>
  <c r="M1997" i="1"/>
  <c r="J1996" i="1"/>
  <c r="AF1993" i="1"/>
  <c r="L1992" i="1"/>
  <c r="G1991" i="1"/>
  <c r="AI1989" i="1"/>
  <c r="W1988" i="1"/>
  <c r="L1987" i="1"/>
  <c r="AH1983" i="1"/>
  <c r="W1982" i="1"/>
  <c r="L1981" i="1"/>
  <c r="AH1977" i="1"/>
  <c r="W1976" i="1"/>
  <c r="L1975" i="1"/>
  <c r="AH1971" i="1"/>
  <c r="W1970" i="1"/>
  <c r="L1969" i="1"/>
  <c r="AH1965" i="1"/>
  <c r="W1964" i="1"/>
  <c r="L1963" i="1"/>
  <c r="AH1959" i="1"/>
  <c r="W1958" i="1"/>
  <c r="L1957" i="1"/>
  <c r="AH1953" i="1"/>
  <c r="W1952" i="1"/>
  <c r="L1951" i="1"/>
  <c r="AH1947" i="1"/>
  <c r="W1946" i="1"/>
  <c r="L1945" i="1"/>
  <c r="AH1942" i="1"/>
  <c r="W1941" i="1"/>
  <c r="L1940" i="1"/>
  <c r="AH1936" i="1"/>
  <c r="W1935" i="1"/>
  <c r="L1934" i="1"/>
  <c r="AH1930" i="1"/>
  <c r="W1929" i="1"/>
  <c r="L1928" i="1"/>
  <c r="AH1924" i="1"/>
  <c r="W1923" i="1"/>
  <c r="L1922" i="1"/>
  <c r="AH1918" i="1"/>
  <c r="W1917" i="1"/>
  <c r="L1916" i="1"/>
  <c r="AH1912" i="1"/>
  <c r="W1911" i="1"/>
  <c r="AH4059" i="1"/>
  <c r="AH3885" i="1"/>
  <c r="AI3741" i="1"/>
  <c r="M3709" i="1"/>
  <c r="AF3579" i="1"/>
  <c r="J3521" i="1"/>
  <c r="AF3492" i="1"/>
  <c r="M3482" i="1"/>
  <c r="W3473" i="1"/>
  <c r="M3446" i="1"/>
  <c r="J3391" i="1"/>
  <c r="W3374" i="1"/>
  <c r="L3315" i="1"/>
  <c r="W3307" i="1"/>
  <c r="AH3272" i="1"/>
  <c r="AF3242" i="1"/>
  <c r="W3203" i="1"/>
  <c r="AI3195" i="1"/>
  <c r="M3178" i="1"/>
  <c r="AH3156" i="1"/>
  <c r="J3142" i="1"/>
  <c r="G3107" i="1"/>
  <c r="J3099" i="1"/>
  <c r="J3042" i="1"/>
  <c r="L3026" i="1"/>
  <c r="AF3006" i="1"/>
  <c r="W2999" i="1"/>
  <c r="L2986" i="1"/>
  <c r="AF2978" i="1"/>
  <c r="AF2972" i="1"/>
  <c r="AF2957" i="1"/>
  <c r="G2951" i="1"/>
  <c r="AF2928" i="1"/>
  <c r="W2915" i="1"/>
  <c r="AF2859" i="1"/>
  <c r="M2854" i="1"/>
  <c r="J2848" i="1"/>
  <c r="AF2842" i="1"/>
  <c r="AF2829" i="1"/>
  <c r="M2822" i="1"/>
  <c r="W2816" i="1"/>
  <c r="J2791" i="1"/>
  <c r="AI2748" i="1"/>
  <c r="J2738" i="1"/>
  <c r="AF2729" i="1"/>
  <c r="G2724" i="1"/>
  <c r="L2713" i="1"/>
  <c r="L2703" i="1"/>
  <c r="M2699" i="1"/>
  <c r="AF2693" i="1"/>
  <c r="J2683" i="1"/>
  <c r="AF2677" i="1"/>
  <c r="W2673" i="1"/>
  <c r="W2668" i="1"/>
  <c r="L2658" i="1"/>
  <c r="AI2649" i="1"/>
  <c r="M2645" i="1"/>
  <c r="AI2640" i="1"/>
  <c r="AF2635" i="1"/>
  <c r="AF2630" i="1"/>
  <c r="G2626" i="1"/>
  <c r="AI2612" i="1"/>
  <c r="G2609" i="1"/>
  <c r="AF2603" i="1"/>
  <c r="G2600" i="1"/>
  <c r="M2596" i="1"/>
  <c r="AH2582" i="1"/>
  <c r="W2578" i="1"/>
  <c r="AF2574" i="1"/>
  <c r="AF2561" i="1"/>
  <c r="J2543" i="1"/>
  <c r="AI2538" i="1"/>
  <c r="J2526" i="1"/>
  <c r="AH2522" i="1"/>
  <c r="G2518" i="1"/>
  <c r="J2514" i="1"/>
  <c r="AF2510" i="1"/>
  <c r="AH2502" i="1"/>
  <c r="M2497" i="1"/>
  <c r="L2493" i="1"/>
  <c r="AH2484" i="1"/>
  <c r="AI2480" i="1"/>
  <c r="W2471" i="1"/>
  <c r="M2467" i="1"/>
  <c r="AF2458" i="1"/>
  <c r="G2451" i="1"/>
  <c r="AF2447" i="1"/>
  <c r="M2443" i="1"/>
  <c r="L2436" i="1"/>
  <c r="AI2433" i="1"/>
  <c r="L2430" i="1"/>
  <c r="W2427" i="1"/>
  <c r="L2424" i="1"/>
  <c r="W2419" i="1"/>
  <c r="G2416" i="1"/>
  <c r="G2413" i="1"/>
  <c r="J2407" i="1"/>
  <c r="G2399" i="1"/>
  <c r="AF2395" i="1"/>
  <c r="G2393" i="1"/>
  <c r="AH2389" i="1"/>
  <c r="J2387" i="1"/>
  <c r="M2384" i="1"/>
  <c r="AF2378" i="1"/>
  <c r="AH2372" i="1"/>
  <c r="L2370" i="1"/>
  <c r="W2367" i="1"/>
  <c r="W2361" i="1"/>
  <c r="J2358" i="1"/>
  <c r="W2355" i="1"/>
  <c r="L2352" i="1"/>
  <c r="W2347" i="1"/>
  <c r="G2344" i="1"/>
  <c r="G2341" i="1"/>
  <c r="J2335" i="1"/>
  <c r="G2327" i="1"/>
  <c r="AF2323" i="1"/>
  <c r="G2321" i="1"/>
  <c r="AH2317" i="1"/>
  <c r="J2315" i="1"/>
  <c r="M2312" i="1"/>
  <c r="AF2306" i="1"/>
  <c r="AH2300" i="1"/>
  <c r="L2298" i="1"/>
  <c r="W2295" i="1"/>
  <c r="W2289" i="1"/>
  <c r="J2286" i="1"/>
  <c r="W2283" i="1"/>
  <c r="L2280" i="1"/>
  <c r="W2275" i="1"/>
  <c r="G2272" i="1"/>
  <c r="G2269" i="1"/>
  <c r="J2263" i="1"/>
  <c r="G2255" i="1"/>
  <c r="AF2251" i="1"/>
  <c r="G2249" i="1"/>
  <c r="AH2245" i="1"/>
  <c r="J2243" i="1"/>
  <c r="M2240" i="1"/>
  <c r="AF2234" i="1"/>
  <c r="AH2228" i="1"/>
  <c r="L2226" i="1"/>
  <c r="W2223" i="1"/>
  <c r="AI2217" i="1"/>
  <c r="W2215" i="1"/>
  <c r="AF2212" i="1"/>
  <c r="AI2207" i="1"/>
  <c r="W2205" i="1"/>
  <c r="G2203" i="1"/>
  <c r="AI2200" i="1"/>
  <c r="M2198" i="1"/>
  <c r="G2196" i="1"/>
  <c r="M2191" i="1"/>
  <c r="L2189" i="1"/>
  <c r="W2184" i="1"/>
  <c r="AF2177" i="1"/>
  <c r="M2175" i="1"/>
  <c r="AI2172" i="1"/>
  <c r="AF2170" i="1"/>
  <c r="L2168" i="1"/>
  <c r="G2166" i="1"/>
  <c r="AI2163" i="1"/>
  <c r="J2161" i="1"/>
  <c r="AF2156" i="1"/>
  <c r="L2154" i="1"/>
  <c r="L2149" i="1"/>
  <c r="AI2144" i="1"/>
  <c r="G2141" i="1"/>
  <c r="G2135" i="1"/>
  <c r="J2127" i="1"/>
  <c r="L2123" i="1"/>
  <c r="J2121" i="1"/>
  <c r="L2119" i="1"/>
  <c r="L2117" i="1"/>
  <c r="J2115" i="1"/>
  <c r="M2113" i="1"/>
  <c r="AF2111" i="1"/>
  <c r="M2109" i="1"/>
  <c r="M2107" i="1"/>
  <c r="AF2105" i="1"/>
  <c r="G2104" i="1"/>
  <c r="M2102" i="1"/>
  <c r="AF2100" i="1"/>
  <c r="G2099" i="1"/>
  <c r="J2097" i="1"/>
  <c r="AF2095" i="1"/>
  <c r="L2092" i="1"/>
  <c r="AH2090" i="1"/>
  <c r="AI2088" i="1"/>
  <c r="M2087" i="1"/>
  <c r="M2084" i="1"/>
  <c r="AI2082" i="1"/>
  <c r="M2081" i="1"/>
  <c r="M2078" i="1"/>
  <c r="AI2076" i="1"/>
  <c r="M2075" i="1"/>
  <c r="M2072" i="1"/>
  <c r="AI2070" i="1"/>
  <c r="M2069" i="1"/>
  <c r="M2066" i="1"/>
  <c r="AI2064" i="1"/>
  <c r="M2063" i="1"/>
  <c r="M2060" i="1"/>
  <c r="AI2058" i="1"/>
  <c r="M2057" i="1"/>
  <c r="M2054" i="1"/>
  <c r="AI2052" i="1"/>
  <c r="M2051" i="1"/>
  <c r="M2048" i="1"/>
  <c r="AI2046" i="1"/>
  <c r="M2045" i="1"/>
  <c r="M2042" i="1"/>
  <c r="G2041" i="1"/>
  <c r="AH2039" i="1"/>
  <c r="W2038" i="1"/>
  <c r="J2037" i="1"/>
  <c r="AF2034" i="1"/>
  <c r="L2033" i="1"/>
  <c r="AI2030" i="1"/>
  <c r="W2029" i="1"/>
  <c r="J2028" i="1"/>
  <c r="AF2025" i="1"/>
  <c r="L2024" i="1"/>
  <c r="G2023" i="1"/>
  <c r="AH2021" i="1"/>
  <c r="W2020" i="1"/>
  <c r="J2019" i="1"/>
  <c r="AF2016" i="1"/>
  <c r="L2015" i="1"/>
  <c r="AI2012" i="1"/>
  <c r="W2011" i="1"/>
  <c r="J2010" i="1"/>
  <c r="AF2007" i="1"/>
  <c r="L2006" i="1"/>
  <c r="G2005" i="1"/>
  <c r="AH2003" i="1"/>
  <c r="W2002" i="1"/>
  <c r="J2001" i="1"/>
  <c r="AF1998" i="1"/>
  <c r="L1997" i="1"/>
  <c r="AI1994" i="1"/>
  <c r="W1993" i="1"/>
  <c r="AF3895" i="1"/>
  <c r="AI3636" i="1"/>
  <c r="M3588" i="1"/>
  <c r="W3541" i="1"/>
  <c r="L3511" i="1"/>
  <c r="M3492" i="1"/>
  <c r="M3473" i="1"/>
  <c r="AH3407" i="1"/>
  <c r="J3399" i="1"/>
  <c r="L3374" i="1"/>
  <c r="J3339" i="1"/>
  <c r="AI3323" i="1"/>
  <c r="AF3298" i="1"/>
  <c r="AF3272" i="1"/>
  <c r="W3248" i="1"/>
  <c r="AF3209" i="1"/>
  <c r="AF3125" i="1"/>
  <c r="AI3090" i="1"/>
  <c r="W3083" i="1"/>
  <c r="G3075" i="1"/>
  <c r="G3026" i="1"/>
  <c r="AI3019" i="1"/>
  <c r="J3012" i="1"/>
  <c r="L3006" i="1"/>
  <c r="AH2992" i="1"/>
  <c r="W2957" i="1"/>
  <c r="W2945" i="1"/>
  <c r="AF2933" i="1"/>
  <c r="AI2920" i="1"/>
  <c r="M2915" i="1"/>
  <c r="AF2908" i="1"/>
  <c r="AF2895" i="1"/>
  <c r="AF2889" i="1"/>
  <c r="AF2871" i="1"/>
  <c r="M2859" i="1"/>
  <c r="M2842" i="1"/>
  <c r="AH2835" i="1"/>
  <c r="L2822" i="1"/>
  <c r="M2816" i="1"/>
  <c r="J2809" i="1"/>
  <c r="AI2803" i="1"/>
  <c r="M2771" i="1"/>
  <c r="AI2765" i="1"/>
  <c r="AI2754" i="1"/>
  <c r="AH2748" i="1"/>
  <c r="G2744" i="1"/>
  <c r="M2733" i="1"/>
  <c r="J2693" i="1"/>
  <c r="G2683" i="1"/>
  <c r="W2677" i="1"/>
  <c r="G2673" i="1"/>
  <c r="AH2662" i="1"/>
  <c r="J2658" i="1"/>
  <c r="W2653" i="1"/>
  <c r="L2649" i="1"/>
  <c r="J2640" i="1"/>
  <c r="M2635" i="1"/>
  <c r="G2621" i="1"/>
  <c r="AI2616" i="1"/>
  <c r="AH2612" i="1"/>
  <c r="M2603" i="1"/>
  <c r="L2596" i="1"/>
  <c r="AH2591" i="1"/>
  <c r="AI2586" i="1"/>
  <c r="AF2582" i="1"/>
  <c r="M2578" i="1"/>
  <c r="J2565" i="1"/>
  <c r="M2561" i="1"/>
  <c r="AF2556" i="1"/>
  <c r="G2552" i="1"/>
  <c r="G2547" i="1"/>
  <c r="AH2538" i="1"/>
  <c r="G2534" i="1"/>
  <c r="L2529" i="1"/>
  <c r="AF2522" i="1"/>
  <c r="M2488" i="1"/>
  <c r="M2484" i="1"/>
  <c r="J2475" i="1"/>
  <c r="W2458" i="1"/>
  <c r="AI2454" i="1"/>
  <c r="G2447" i="1"/>
  <c r="G2443" i="1"/>
  <c r="J2433" i="1"/>
  <c r="G2430" i="1"/>
  <c r="M2427" i="1"/>
  <c r="J2424" i="1"/>
  <c r="AI2421" i="1"/>
  <c r="G2410" i="1"/>
  <c r="AI2404" i="1"/>
  <c r="AF2401" i="1"/>
  <c r="W2395" i="1"/>
  <c r="W2389" i="1"/>
  <c r="L2384" i="1"/>
  <c r="AI2381" i="1"/>
  <c r="M2378" i="1"/>
  <c r="M2372" i="1"/>
  <c r="M2367" i="1"/>
  <c r="W2364" i="1"/>
  <c r="G2358" i="1"/>
  <c r="M2355" i="1"/>
  <c r="J2352" i="1"/>
  <c r="AI2349" i="1"/>
  <c r="G2338" i="1"/>
  <c r="AI2332" i="1"/>
  <c r="AF2329" i="1"/>
  <c r="W2323" i="1"/>
  <c r="W2317" i="1"/>
  <c r="L2312" i="1"/>
  <c r="AI2309" i="1"/>
  <c r="M2306" i="1"/>
  <c r="M2300" i="1"/>
  <c r="M2295" i="1"/>
  <c r="W2292" i="1"/>
  <c r="G2286" i="1"/>
  <c r="M2283" i="1"/>
  <c r="J2280" i="1"/>
  <c r="AI2277" i="1"/>
  <c r="G2266" i="1"/>
  <c r="AI2260" i="1"/>
  <c r="AF2257" i="1"/>
  <c r="W2251" i="1"/>
  <c r="W2245" i="1"/>
  <c r="L2240" i="1"/>
  <c r="AI2237" i="1"/>
  <c r="M2234" i="1"/>
  <c r="M2228" i="1"/>
  <c r="M2223" i="1"/>
  <c r="W2220" i="1"/>
  <c r="W2217" i="1"/>
  <c r="M2212" i="1"/>
  <c r="AH2209" i="1"/>
  <c r="L2207" i="1"/>
  <c r="J2205" i="1"/>
  <c r="AH2200" i="1"/>
  <c r="G2198" i="1"/>
  <c r="AI2193" i="1"/>
  <c r="J2191" i="1"/>
  <c r="J2189" i="1"/>
  <c r="AH2186" i="1"/>
  <c r="M2184" i="1"/>
  <c r="G2182" i="1"/>
  <c r="AF2179" i="1"/>
  <c r="J2177" i="1"/>
  <c r="W2172" i="1"/>
  <c r="M2170" i="1"/>
  <c r="AF2163" i="1"/>
  <c r="J2156" i="1"/>
  <c r="J2154" i="1"/>
  <c r="AF2151" i="1"/>
  <c r="J2149" i="1"/>
  <c r="AH2144" i="1"/>
  <c r="AI2138" i="1"/>
  <c r="G2137" i="1"/>
  <c r="AI2132" i="1"/>
  <c r="AI2130" i="1"/>
  <c r="G2129" i="1"/>
  <c r="G2125" i="1"/>
  <c r="J2119" i="1"/>
  <c r="J2117" i="1"/>
  <c r="J2113" i="1"/>
  <c r="L2111" i="1"/>
  <c r="J2109" i="1"/>
  <c r="J2107" i="1"/>
  <c r="W2105" i="1"/>
  <c r="M2100" i="1"/>
  <c r="W2095" i="1"/>
  <c r="AH2093" i="1"/>
  <c r="J2092" i="1"/>
  <c r="AF2090" i="1"/>
  <c r="AH2088" i="1"/>
  <c r="J2087" i="1"/>
  <c r="AI2085" i="1"/>
  <c r="J2084" i="1"/>
  <c r="AH2082" i="1"/>
  <c r="J2081" i="1"/>
  <c r="AI2079" i="1"/>
  <c r="J2078" i="1"/>
  <c r="AH2076" i="1"/>
  <c r="J2075" i="1"/>
  <c r="AI2073" i="1"/>
  <c r="J2072" i="1"/>
  <c r="AH2070" i="1"/>
  <c r="J2069" i="1"/>
  <c r="AI2067" i="1"/>
  <c r="J2066" i="1"/>
  <c r="AH2064" i="1"/>
  <c r="J2063" i="1"/>
  <c r="AI2061" i="1"/>
  <c r="J2060" i="1"/>
  <c r="AH2058" i="1"/>
  <c r="J2057" i="1"/>
  <c r="AI2055" i="1"/>
  <c r="J2054" i="1"/>
  <c r="AH2052" i="1"/>
  <c r="J2051" i="1"/>
  <c r="AI2049" i="1"/>
  <c r="J2048" i="1"/>
  <c r="AH2046" i="1"/>
  <c r="J2045" i="1"/>
  <c r="AI2043" i="1"/>
  <c r="L2042" i="1"/>
  <c r="AF2039" i="1"/>
  <c r="M2038" i="1"/>
  <c r="AI2035" i="1"/>
  <c r="W2034" i="1"/>
  <c r="J2033" i="1"/>
  <c r="G2032" i="1"/>
  <c r="AH2030" i="1"/>
  <c r="M2029" i="1"/>
  <c r="G2028" i="1"/>
  <c r="AI2026" i="1"/>
  <c r="W2025" i="1"/>
  <c r="J2024" i="1"/>
  <c r="AF2021" i="1"/>
  <c r="M2020" i="1"/>
  <c r="AI2017" i="1"/>
  <c r="W2016" i="1"/>
  <c r="J2015" i="1"/>
  <c r="G2014" i="1"/>
  <c r="AH2012" i="1"/>
  <c r="M2011" i="1"/>
  <c r="G2010" i="1"/>
  <c r="AI2008" i="1"/>
  <c r="W2007" i="1"/>
  <c r="J2006" i="1"/>
  <c r="AF2003" i="1"/>
  <c r="M2002" i="1"/>
  <c r="AI1999" i="1"/>
  <c r="W1998" i="1"/>
  <c r="J1997" i="1"/>
  <c r="G1996" i="1"/>
  <c r="AH1994" i="1"/>
  <c r="M1993" i="1"/>
  <c r="G1992" i="1"/>
  <c r="AI1990" i="1"/>
  <c r="W1989" i="1"/>
  <c r="L1988" i="1"/>
  <c r="AH1984" i="1"/>
  <c r="W1983" i="1"/>
  <c r="L1982" i="1"/>
  <c r="AH1978" i="1"/>
  <c r="W1977" i="1"/>
  <c r="L1976" i="1"/>
  <c r="AH1972" i="1"/>
  <c r="W1971" i="1"/>
  <c r="L1970" i="1"/>
  <c r="AH1966" i="1"/>
  <c r="W1965" i="1"/>
  <c r="L1964" i="1"/>
  <c r="AH1960" i="1"/>
  <c r="W1959" i="1"/>
  <c r="L1958" i="1"/>
  <c r="AH1954" i="1"/>
  <c r="W1953" i="1"/>
  <c r="L1952" i="1"/>
  <c r="AH1948" i="1"/>
  <c r="W1947" i="1"/>
  <c r="L1946" i="1"/>
  <c r="AI1943" i="1"/>
  <c r="W1942" i="1"/>
  <c r="L1941" i="1"/>
  <c r="AH1937" i="1"/>
  <c r="W1936" i="1"/>
  <c r="L1935" i="1"/>
  <c r="AH1931" i="1"/>
  <c r="W1930" i="1"/>
  <c r="L1929" i="1"/>
  <c r="AH1925" i="1"/>
  <c r="W1924" i="1"/>
  <c r="L1923" i="1"/>
  <c r="AH1919" i="1"/>
  <c r="W1918" i="1"/>
  <c r="L1917" i="1"/>
  <c r="AH1913" i="1"/>
  <c r="W1912" i="1"/>
  <c r="L1911" i="1"/>
  <c r="AH3805" i="1"/>
  <c r="AH3794" i="1"/>
  <c r="AH3749" i="1"/>
  <c r="J3657" i="1"/>
  <c r="AF3636" i="1"/>
  <c r="J3445" i="1"/>
  <c r="AF3407" i="1"/>
  <c r="L3365" i="1"/>
  <c r="M3298" i="1"/>
  <c r="AF3278" i="1"/>
  <c r="G3248" i="1"/>
  <c r="W3209" i="1"/>
  <c r="L3185" i="1"/>
  <c r="G3177" i="1"/>
  <c r="J3148" i="1"/>
  <c r="M3106" i="1"/>
  <c r="AF3090" i="1"/>
  <c r="L3083" i="1"/>
  <c r="AF3048" i="1"/>
  <c r="L2992" i="1"/>
  <c r="M2963" i="1"/>
  <c r="AH2950" i="1"/>
  <c r="M2945" i="1"/>
  <c r="M2933" i="1"/>
  <c r="AH2901" i="1"/>
  <c r="M2895" i="1"/>
  <c r="G2889" i="1"/>
  <c r="W2871" i="1"/>
  <c r="J2847" i="1"/>
  <c r="G2809" i="1"/>
  <c r="J2803" i="1"/>
  <c r="G2778" i="1"/>
  <c r="AF2765" i="1"/>
  <c r="AF2759" i="1"/>
  <c r="AF2748" i="1"/>
  <c r="G2738" i="1"/>
  <c r="L2733" i="1"/>
  <c r="AF2712" i="1"/>
  <c r="AI2706" i="1"/>
  <c r="M2702" i="1"/>
  <c r="G2693" i="1"/>
  <c r="AH2687" i="1"/>
  <c r="M2677" i="1"/>
  <c r="L2667" i="1"/>
  <c r="W2662" i="1"/>
  <c r="M2653" i="1"/>
  <c r="J2649" i="1"/>
  <c r="G2645" i="1"/>
  <c r="AF2616" i="1"/>
  <c r="G2608" i="1"/>
  <c r="J2603" i="1"/>
  <c r="AF2599" i="1"/>
  <c r="AF2591" i="1"/>
  <c r="AH2573" i="1"/>
  <c r="AI2569" i="1"/>
  <c r="M2556" i="1"/>
  <c r="AF2538" i="1"/>
  <c r="J2529" i="1"/>
  <c r="AF2525" i="1"/>
  <c r="G2517" i="1"/>
  <c r="J2513" i="1"/>
  <c r="AI2505" i="1"/>
  <c r="AH2501" i="1"/>
  <c r="AI2496" i="1"/>
  <c r="L2488" i="1"/>
  <c r="L2484" i="1"/>
  <c r="G2475" i="1"/>
  <c r="W2470" i="1"/>
  <c r="AH2466" i="1"/>
  <c r="M2458" i="1"/>
  <c r="J2450" i="1"/>
  <c r="AH2438" i="1"/>
  <c r="AH2435" i="1"/>
  <c r="G2424" i="1"/>
  <c r="AF2421" i="1"/>
  <c r="W2418" i="1"/>
  <c r="AI2415" i="1"/>
  <c r="W2412" i="1"/>
  <c r="G2407" i="1"/>
  <c r="AH2404" i="1"/>
  <c r="W2401" i="1"/>
  <c r="AI2398" i="1"/>
  <c r="J2395" i="1"/>
  <c r="M2389" i="1"/>
  <c r="AH2386" i="1"/>
  <c r="J2384" i="1"/>
  <c r="J2378" i="1"/>
  <c r="G2375" i="1"/>
  <c r="L2372" i="1"/>
  <c r="L2369" i="1"/>
  <c r="AI2360" i="1"/>
  <c r="G2352" i="1"/>
  <c r="AF2349" i="1"/>
  <c r="W2346" i="1"/>
  <c r="AI2343" i="1"/>
  <c r="W2340" i="1"/>
  <c r="G2335" i="1"/>
  <c r="AH2332" i="1"/>
  <c r="W2329" i="1"/>
  <c r="AI2326" i="1"/>
  <c r="J2323" i="1"/>
  <c r="M2317" i="1"/>
  <c r="AH2314" i="1"/>
  <c r="J2312" i="1"/>
  <c r="J2306" i="1"/>
  <c r="G2303" i="1"/>
  <c r="L2300" i="1"/>
  <c r="L2297" i="1"/>
  <c r="AI2288" i="1"/>
  <c r="G2280" i="1"/>
  <c r="AF2277" i="1"/>
  <c r="W2274" i="1"/>
  <c r="AI2271" i="1"/>
  <c r="W2268" i="1"/>
  <c r="G2263" i="1"/>
  <c r="AH2260" i="1"/>
  <c r="W2257" i="1"/>
  <c r="AI2254" i="1"/>
  <c r="J2251" i="1"/>
  <c r="M2245" i="1"/>
  <c r="AH2242" i="1"/>
  <c r="J2240" i="1"/>
  <c r="J2234" i="1"/>
  <c r="G2231" i="1"/>
  <c r="L2228" i="1"/>
  <c r="L2225" i="1"/>
  <c r="M2217" i="1"/>
  <c r="AI2214" i="1"/>
  <c r="AF2209" i="1"/>
  <c r="J2207" i="1"/>
  <c r="AI2202" i="1"/>
  <c r="AF2200" i="1"/>
  <c r="AI2195" i="1"/>
  <c r="W2193" i="1"/>
  <c r="G2189" i="1"/>
  <c r="L2186" i="1"/>
  <c r="L2184" i="1"/>
  <c r="W2179" i="1"/>
  <c r="AF2174" i="1"/>
  <c r="L2172" i="1"/>
  <c r="G2170" i="1"/>
  <c r="AH2167" i="1"/>
  <c r="AF2165" i="1"/>
  <c r="M2163" i="1"/>
  <c r="G2161" i="1"/>
  <c r="AI2158" i="1"/>
  <c r="G2156" i="1"/>
  <c r="J2151" i="1"/>
  <c r="G2149" i="1"/>
  <c r="AF2146" i="1"/>
  <c r="AF2144" i="1"/>
  <c r="AI2142" i="1"/>
  <c r="AH2140" i="1"/>
  <c r="AF2138" i="1"/>
  <c r="AI2134" i="1"/>
  <c r="AH2132" i="1"/>
  <c r="AH2130" i="1"/>
  <c r="G2123" i="1"/>
  <c r="AI2120" i="1"/>
  <c r="G2117" i="1"/>
  <c r="G2111" i="1"/>
  <c r="M2105" i="1"/>
  <c r="AI2103" i="1"/>
  <c r="G2102" i="1"/>
  <c r="L2100" i="1"/>
  <c r="AI2098" i="1"/>
  <c r="G2097" i="1"/>
  <c r="M2095" i="1"/>
  <c r="AF2093" i="1"/>
  <c r="G2092" i="1"/>
  <c r="M2090" i="1"/>
  <c r="AF2088" i="1"/>
  <c r="AF2085" i="1"/>
  <c r="AF2082" i="1"/>
  <c r="AF2079" i="1"/>
  <c r="AF2076" i="1"/>
  <c r="AF2073" i="1"/>
  <c r="AF2070" i="1"/>
  <c r="AF2067" i="1"/>
  <c r="AF2064" i="1"/>
  <c r="AF2061" i="1"/>
  <c r="AF2058" i="1"/>
  <c r="AF2055" i="1"/>
  <c r="AF2052" i="1"/>
  <c r="AF2049" i="1"/>
  <c r="AF2046" i="1"/>
  <c r="AF2043" i="1"/>
  <c r="J2042" i="1"/>
  <c r="AI2040" i="1"/>
  <c r="W2039" i="1"/>
  <c r="L2038" i="1"/>
  <c r="G2037" i="1"/>
  <c r="AH2035" i="1"/>
  <c r="M2034" i="1"/>
  <c r="AF2030" i="1"/>
  <c r="J2029" i="1"/>
  <c r="AH2026" i="1"/>
  <c r="M2025" i="1"/>
  <c r="AI2022" i="1"/>
  <c r="W2021" i="1"/>
  <c r="L2020" i="1"/>
  <c r="G2019" i="1"/>
  <c r="AH2017" i="1"/>
  <c r="M2016" i="1"/>
  <c r="AF2012" i="1"/>
  <c r="J2011" i="1"/>
  <c r="AH2008" i="1"/>
  <c r="M2007" i="1"/>
  <c r="G4503" i="1"/>
  <c r="G4492" i="1"/>
  <c r="G3794" i="1"/>
  <c r="AF3749" i="1"/>
  <c r="AI3625" i="1"/>
  <c r="AI3616" i="1"/>
  <c r="AH3549" i="1"/>
  <c r="M3499" i="1"/>
  <c r="J3452" i="1"/>
  <c r="J3415" i="1"/>
  <c r="G3380" i="1"/>
  <c r="W3313" i="1"/>
  <c r="G3305" i="1"/>
  <c r="W3278" i="1"/>
  <c r="J3231" i="1"/>
  <c r="G3225" i="1"/>
  <c r="AF3131" i="1"/>
  <c r="W3065" i="1"/>
  <c r="G3056" i="1"/>
  <c r="W3048" i="1"/>
  <c r="AI3005" i="1"/>
  <c r="L2984" i="1"/>
  <c r="AH2976" i="1"/>
  <c r="AF2937" i="1"/>
  <c r="AH2907" i="1"/>
  <c r="L2875" i="1"/>
  <c r="M2871" i="1"/>
  <c r="L2863" i="1"/>
  <c r="J2858" i="1"/>
  <c r="G2852" i="1"/>
  <c r="G2847" i="1"/>
  <c r="G2834" i="1"/>
  <c r="L2827" i="1"/>
  <c r="L2821" i="1"/>
  <c r="AF2770" i="1"/>
  <c r="W2765" i="1"/>
  <c r="W2759" i="1"/>
  <c r="J2733" i="1"/>
  <c r="M2727" i="1"/>
  <c r="AF2722" i="1"/>
  <c r="W2717" i="1"/>
  <c r="M2712" i="1"/>
  <c r="AH2706" i="1"/>
  <c r="J2702" i="1"/>
  <c r="L2697" i="1"/>
  <c r="J2667" i="1"/>
  <c r="M2662" i="1"/>
  <c r="M2634" i="1"/>
  <c r="AF2629" i="1"/>
  <c r="AH2624" i="1"/>
  <c r="M2620" i="1"/>
  <c r="AI2611" i="1"/>
  <c r="W2599" i="1"/>
  <c r="J2585" i="1"/>
  <c r="AF2573" i="1"/>
  <c r="AF2569" i="1"/>
  <c r="W2560" i="1"/>
  <c r="L2556" i="1"/>
  <c r="AH2546" i="1"/>
  <c r="W2525" i="1"/>
  <c r="L2505" i="1"/>
  <c r="AF2501" i="1"/>
  <c r="J2496" i="1"/>
  <c r="AF2492" i="1"/>
  <c r="J2488" i="1"/>
  <c r="AI2478" i="1"/>
  <c r="M2470" i="1"/>
  <c r="AF2466" i="1"/>
  <c r="AI2461" i="1"/>
  <c r="G2458" i="1"/>
  <c r="AF2453" i="1"/>
  <c r="G2450" i="1"/>
  <c r="J2446" i="1"/>
  <c r="AH2442" i="1"/>
  <c r="AF2438" i="1"/>
  <c r="W2435" i="1"/>
  <c r="AI2429" i="1"/>
  <c r="L2426" i="1"/>
  <c r="W2421" i="1"/>
  <c r="M2418" i="1"/>
  <c r="L2412" i="1"/>
  <c r="M2409" i="1"/>
  <c r="AF2404" i="1"/>
  <c r="M2401" i="1"/>
  <c r="G2392" i="1"/>
  <c r="J2389" i="1"/>
  <c r="AF2386" i="1"/>
  <c r="AI2380" i="1"/>
  <c r="J2372" i="1"/>
  <c r="J2369" i="1"/>
  <c r="AH2366" i="1"/>
  <c r="AI2363" i="1"/>
  <c r="AH2360" i="1"/>
  <c r="AI2357" i="1"/>
  <c r="L2354" i="1"/>
  <c r="W2349" i="1"/>
  <c r="M2346" i="1"/>
  <c r="L2340" i="1"/>
  <c r="M2337" i="1"/>
  <c r="AF2332" i="1"/>
  <c r="M2329" i="1"/>
  <c r="G2320" i="1"/>
  <c r="J2317" i="1"/>
  <c r="AF2314" i="1"/>
  <c r="AI2308" i="1"/>
  <c r="J2300" i="1"/>
  <c r="J2297" i="1"/>
  <c r="AH2294" i="1"/>
  <c r="AI2291" i="1"/>
  <c r="AH2288" i="1"/>
  <c r="AI2285" i="1"/>
  <c r="L2282" i="1"/>
  <c r="W2277" i="1"/>
  <c r="M2274" i="1"/>
  <c r="L2268" i="1"/>
  <c r="M2265" i="1"/>
  <c r="AF2260" i="1"/>
  <c r="M2257" i="1"/>
  <c r="G2248" i="1"/>
  <c r="J2245" i="1"/>
  <c r="AF2242" i="1"/>
  <c r="AI2236" i="1"/>
  <c r="J2228" i="1"/>
  <c r="J2225" i="1"/>
  <c r="AH2222" i="1"/>
  <c r="AI2219" i="1"/>
  <c r="J2217" i="1"/>
  <c r="W2214" i="1"/>
  <c r="W2209" i="1"/>
  <c r="AH2204" i="1"/>
  <c r="M2202" i="1"/>
  <c r="AH2197" i="1"/>
  <c r="AF2195" i="1"/>
  <c r="G2191" i="1"/>
  <c r="J2186" i="1"/>
  <c r="G2184" i="1"/>
  <c r="AI2181" i="1"/>
  <c r="M2179" i="1"/>
  <c r="G2177" i="1"/>
  <c r="M2174" i="1"/>
  <c r="J2172" i="1"/>
  <c r="AF2167" i="1"/>
  <c r="L2165" i="1"/>
  <c r="AH2158" i="1"/>
  <c r="AI2153" i="1"/>
  <c r="M2146" i="1"/>
  <c r="W2144" i="1"/>
  <c r="AH2142" i="1"/>
  <c r="AF2140" i="1"/>
  <c r="W2138" i="1"/>
  <c r="AI2136" i="1"/>
  <c r="AH2134" i="1"/>
  <c r="W2132" i="1"/>
  <c r="W2130" i="1"/>
  <c r="AI2128" i="1"/>
  <c r="AI2126" i="1"/>
  <c r="AI2124" i="1"/>
  <c r="AH2120" i="1"/>
  <c r="AI2114" i="1"/>
  <c r="G2113" i="1"/>
  <c r="AI2108" i="1"/>
  <c r="AI2106" i="1"/>
  <c r="J2105" i="1"/>
  <c r="AF2103" i="1"/>
  <c r="J2100" i="1"/>
  <c r="W2098" i="1"/>
  <c r="J2095" i="1"/>
  <c r="W2093" i="1"/>
  <c r="M2088" i="1"/>
  <c r="G2087" i="1"/>
  <c r="M2085" i="1"/>
  <c r="G2084" i="1"/>
  <c r="M2082" i="1"/>
  <c r="G2081" i="1"/>
  <c r="M2079" i="1"/>
  <c r="G2078" i="1"/>
  <c r="M2076" i="1"/>
  <c r="G2075" i="1"/>
  <c r="M2073" i="1"/>
  <c r="G2072" i="1"/>
  <c r="M2070" i="1"/>
  <c r="G2069" i="1"/>
  <c r="M2067" i="1"/>
  <c r="G2066" i="1"/>
  <c r="M2064" i="1"/>
  <c r="G2063" i="1"/>
  <c r="M2061" i="1"/>
  <c r="G2060" i="1"/>
  <c r="M2058" i="1"/>
  <c r="G2057" i="1"/>
  <c r="M2055" i="1"/>
  <c r="G2054" i="1"/>
  <c r="M2052" i="1"/>
  <c r="G2051" i="1"/>
  <c r="M2049" i="1"/>
  <c r="G2048" i="1"/>
  <c r="M2046" i="1"/>
  <c r="G2045" i="1"/>
  <c r="M2043" i="1"/>
  <c r="AH2040" i="1"/>
  <c r="M2039" i="1"/>
  <c r="J2038" i="1"/>
  <c r="AF2035" i="1"/>
  <c r="L2034" i="1"/>
  <c r="G2033" i="1"/>
  <c r="AI2031" i="1"/>
  <c r="M2030" i="1"/>
  <c r="AI2027" i="1"/>
  <c r="AF2026" i="1"/>
  <c r="L2025" i="1"/>
  <c r="G2024" i="1"/>
  <c r="AH2022" i="1"/>
  <c r="M2021" i="1"/>
  <c r="J2020" i="1"/>
  <c r="AF2017" i="1"/>
  <c r="L2016" i="1"/>
  <c r="G2015" i="1"/>
  <c r="AI2013" i="1"/>
  <c r="M2012" i="1"/>
  <c r="AI2009" i="1"/>
  <c r="AF2008" i="1"/>
  <c r="L2007" i="1"/>
  <c r="G2006" i="1"/>
  <c r="AH2004" i="1"/>
  <c r="M4041" i="1"/>
  <c r="AH3982" i="1"/>
  <c r="G3822" i="1"/>
  <c r="G3663" i="1"/>
  <c r="G3653" i="1"/>
  <c r="L3515" i="1"/>
  <c r="G3450" i="1"/>
  <c r="W3404" i="1"/>
  <c r="AI3310" i="1"/>
  <c r="L3284" i="1"/>
  <c r="G3260" i="1"/>
  <c r="AH3252" i="1"/>
  <c r="L3244" i="1"/>
  <c r="W3198" i="1"/>
  <c r="AH3182" i="1"/>
  <c r="W3173" i="1"/>
  <c r="M3167" i="1"/>
  <c r="AF3120" i="1"/>
  <c r="W3102" i="1"/>
  <c r="L3095" i="1"/>
  <c r="AI3079" i="1"/>
  <c r="G3062" i="1"/>
  <c r="AF3053" i="1"/>
  <c r="M3037" i="1"/>
  <c r="G3002" i="1"/>
  <c r="W2995" i="1"/>
  <c r="W2982" i="1"/>
  <c r="AI2967" i="1"/>
  <c r="AH2959" i="1"/>
  <c r="G2942" i="1"/>
  <c r="L2936" i="1"/>
  <c r="L2930" i="1"/>
  <c r="W2924" i="1"/>
  <c r="G2886" i="1"/>
  <c r="G2868" i="1"/>
  <c r="AF2856" i="1"/>
  <c r="AI2850" i="1"/>
  <c r="AF2844" i="1"/>
  <c r="M2831" i="1"/>
  <c r="W2825" i="1"/>
  <c r="AH2818" i="1"/>
  <c r="AH2812" i="1"/>
  <c r="AH2800" i="1"/>
  <c r="J2788" i="1"/>
  <c r="AF2782" i="1"/>
  <c r="M2774" i="1"/>
  <c r="J2751" i="1"/>
  <c r="AI2726" i="1"/>
  <c r="W2720" i="1"/>
  <c r="M2710" i="1"/>
  <c r="W2705" i="1"/>
  <c r="AF2700" i="1"/>
  <c r="G2696" i="1"/>
  <c r="AH2690" i="1"/>
  <c r="AH2685" i="1"/>
  <c r="W2647" i="1"/>
  <c r="W2632" i="1"/>
  <c r="AF2627" i="1"/>
  <c r="G2602" i="1"/>
  <c r="AF2597" i="1"/>
  <c r="M2584" i="1"/>
  <c r="AF2567" i="1"/>
  <c r="AF2563" i="1"/>
  <c r="J2549" i="1"/>
  <c r="AH2531" i="1"/>
  <c r="G2528" i="1"/>
  <c r="J2511" i="1"/>
  <c r="L2508" i="1"/>
  <c r="AH2504" i="1"/>
  <c r="AI2499" i="1"/>
  <c r="M2495" i="1"/>
  <c r="AI2486" i="1"/>
  <c r="J2482" i="1"/>
  <c r="J2456" i="1"/>
  <c r="M2448" i="1"/>
  <c r="G2445" i="1"/>
  <c r="AI2437" i="1"/>
  <c r="M2434" i="1"/>
  <c r="AH2431" i="1"/>
  <c r="W2425" i="1"/>
  <c r="L2420" i="1"/>
  <c r="AI2417" i="1"/>
  <c r="M2414" i="1"/>
  <c r="M2408" i="1"/>
  <c r="M2403" i="1"/>
  <c r="W2400" i="1"/>
  <c r="G2394" i="1"/>
  <c r="M2391" i="1"/>
  <c r="J2388" i="1"/>
  <c r="AI2385" i="1"/>
  <c r="G2374" i="1"/>
  <c r="AI2368" i="1"/>
  <c r="AF2365" i="1"/>
  <c r="W2359" i="1"/>
  <c r="W2353" i="1"/>
  <c r="L2348" i="1"/>
  <c r="AI2345" i="1"/>
  <c r="M2342" i="1"/>
  <c r="M2336" i="1"/>
  <c r="M2331" i="1"/>
  <c r="W2328" i="1"/>
  <c r="G2322" i="1"/>
  <c r="M2319" i="1"/>
  <c r="J2316" i="1"/>
  <c r="AI2313" i="1"/>
  <c r="G2302" i="1"/>
  <c r="AI2296" i="1"/>
  <c r="AF2293" i="1"/>
  <c r="W2287" i="1"/>
  <c r="W2281" i="1"/>
  <c r="L2276" i="1"/>
  <c r="AI2273" i="1"/>
  <c r="M2270" i="1"/>
  <c r="M2264" i="1"/>
  <c r="M2259" i="1"/>
  <c r="W2256" i="1"/>
  <c r="G2250" i="1"/>
  <c r="M2247" i="1"/>
  <c r="J2244" i="1"/>
  <c r="AI2241" i="1"/>
  <c r="G2230" i="1"/>
  <c r="AI2224" i="1"/>
  <c r="AF2221" i="1"/>
  <c r="G2219" i="1"/>
  <c r="J2216" i="1"/>
  <c r="G2204" i="1"/>
  <c r="L2201" i="1"/>
  <c r="W2199" i="1"/>
  <c r="AI2194" i="1"/>
  <c r="L2192" i="1"/>
  <c r="M2190" i="1"/>
  <c r="W2185" i="1"/>
  <c r="G2183" i="1"/>
  <c r="AI2180" i="1"/>
  <c r="AI2178" i="1"/>
  <c r="AH2173" i="1"/>
  <c r="J2171" i="1"/>
  <c r="J2169" i="1"/>
  <c r="G2167" i="1"/>
  <c r="AH2164" i="1"/>
  <c r="M2162" i="1"/>
  <c r="G2160" i="1"/>
  <c r="AF2157" i="1"/>
  <c r="J2155" i="1"/>
  <c r="AI2152" i="1"/>
  <c r="L2150" i="1"/>
  <c r="G2148" i="1"/>
  <c r="AI2145" i="1"/>
  <c r="AH2137" i="1"/>
  <c r="AH2131" i="1"/>
  <c r="G2130" i="1"/>
  <c r="J2126" i="1"/>
  <c r="G2122" i="1"/>
  <c r="J2120" i="1"/>
  <c r="L2116" i="1"/>
  <c r="J2114" i="1"/>
  <c r="L2112" i="1"/>
  <c r="L2110" i="1"/>
  <c r="G2108" i="1"/>
  <c r="L2106" i="1"/>
  <c r="AI2104" i="1"/>
  <c r="G2103" i="1"/>
  <c r="M2101" i="1"/>
  <c r="AF2099" i="1"/>
  <c r="G2098" i="1"/>
  <c r="M2096" i="1"/>
  <c r="AF2094" i="1"/>
  <c r="G2093" i="1"/>
  <c r="J2091" i="1"/>
  <c r="AF2089" i="1"/>
  <c r="W2086" i="1"/>
  <c r="G2085" i="1"/>
  <c r="W2083" i="1"/>
  <c r="W2080" i="1"/>
  <c r="G2079" i="1"/>
  <c r="W2077" i="1"/>
  <c r="W2074" i="1"/>
  <c r="G2073" i="1"/>
  <c r="W2071" i="1"/>
  <c r="W2068" i="1"/>
  <c r="G2067" i="1"/>
  <c r="W2065" i="1"/>
  <c r="W2062" i="1"/>
  <c r="G2061" i="1"/>
  <c r="W2059" i="1"/>
  <c r="W2056" i="1"/>
  <c r="G2055" i="1"/>
  <c r="W2053" i="1"/>
  <c r="W2050" i="1"/>
  <c r="G2049" i="1"/>
  <c r="W2047" i="1"/>
  <c r="W2044" i="1"/>
  <c r="G2043" i="1"/>
  <c r="AF2041" i="1"/>
  <c r="L2040" i="1"/>
  <c r="G2039" i="1"/>
  <c r="AI2037" i="1"/>
  <c r="M2036" i="1"/>
  <c r="AI2033" i="1"/>
  <c r="AF2032" i="1"/>
  <c r="L2031" i="1"/>
  <c r="G2030" i="1"/>
  <c r="AH2028" i="1"/>
  <c r="M2027" i="1"/>
  <c r="J2026" i="1"/>
  <c r="AF2023" i="1"/>
  <c r="L2022" i="1"/>
  <c r="G2021" i="1"/>
  <c r="AI2019" i="1"/>
  <c r="M2018" i="1"/>
  <c r="AI2015" i="1"/>
  <c r="AF2014" i="1"/>
  <c r="L2013" i="1"/>
  <c r="G2012" i="1"/>
  <c r="AH2010" i="1"/>
  <c r="M2009" i="1"/>
  <c r="J2008" i="1"/>
  <c r="AF2005" i="1"/>
  <c r="L2004" i="1"/>
  <c r="G2003" i="1"/>
  <c r="AI2001" i="1"/>
  <c r="M2000" i="1"/>
  <c r="W3821" i="1"/>
  <c r="M3554" i="1"/>
  <c r="W3384" i="1"/>
  <c r="AI3335" i="1"/>
  <c r="J3237" i="1"/>
  <c r="J3220" i="1"/>
  <c r="G3155" i="1"/>
  <c r="L3024" i="1"/>
  <c r="AH3015" i="1"/>
  <c r="AF2953" i="1"/>
  <c r="AI2946" i="1"/>
  <c r="M2937" i="1"/>
  <c r="G2907" i="1"/>
  <c r="AF2898" i="1"/>
  <c r="AF2890" i="1"/>
  <c r="G2881" i="1"/>
  <c r="AH2856" i="1"/>
  <c r="J2839" i="1"/>
  <c r="J2812" i="1"/>
  <c r="AF2795" i="1"/>
  <c r="L2788" i="1"/>
  <c r="M2780" i="1"/>
  <c r="L2763" i="1"/>
  <c r="AF2736" i="1"/>
  <c r="AI2729" i="1"/>
  <c r="M2706" i="1"/>
  <c r="AI2699" i="1"/>
  <c r="G2684" i="1"/>
  <c r="J2671" i="1"/>
  <c r="AF2664" i="1"/>
  <c r="M2656" i="1"/>
  <c r="L2652" i="1"/>
  <c r="AH2646" i="1"/>
  <c r="L2632" i="1"/>
  <c r="J2619" i="1"/>
  <c r="AI2594" i="1"/>
  <c r="L2559" i="1"/>
  <c r="G2553" i="1"/>
  <c r="L2535" i="1"/>
  <c r="L2523" i="1"/>
  <c r="G2499" i="1"/>
  <c r="AI2485" i="1"/>
  <c r="M2473" i="1"/>
  <c r="AF2467" i="1"/>
  <c r="M2461" i="1"/>
  <c r="AF2449" i="1"/>
  <c r="AH2437" i="1"/>
  <c r="M2432" i="1"/>
  <c r="L2423" i="1"/>
  <c r="AH2419" i="1"/>
  <c r="AF2414" i="1"/>
  <c r="J2405" i="1"/>
  <c r="L2390" i="1"/>
  <c r="G2377" i="1"/>
  <c r="AF2368" i="1"/>
  <c r="J2363" i="1"/>
  <c r="G2359" i="1"/>
  <c r="J2340" i="1"/>
  <c r="W2331" i="1"/>
  <c r="AI2321" i="1"/>
  <c r="L2316" i="1"/>
  <c r="AH2311" i="1"/>
  <c r="AI2289" i="1"/>
  <c r="G2285" i="1"/>
  <c r="J2276" i="1"/>
  <c r="AI2270" i="1"/>
  <c r="AI2266" i="1"/>
  <c r="J2257" i="1"/>
  <c r="AI2252" i="1"/>
  <c r="W2247" i="1"/>
  <c r="M2238" i="1"/>
  <c r="AH2233" i="1"/>
  <c r="M2211" i="1"/>
  <c r="J2208" i="1"/>
  <c r="L2204" i="1"/>
  <c r="L2196" i="1"/>
  <c r="AF2192" i="1"/>
  <c r="AF2188" i="1"/>
  <c r="M2180" i="1"/>
  <c r="G2176" i="1"/>
  <c r="M2164" i="1"/>
  <c r="M2160" i="1"/>
  <c r="AF2152" i="1"/>
  <c r="M2148" i="1"/>
  <c r="AI2135" i="1"/>
  <c r="G2132" i="1"/>
  <c r="L2122" i="1"/>
  <c r="J2112" i="1"/>
  <c r="W2108" i="1"/>
  <c r="AH2102" i="1"/>
  <c r="M2099" i="1"/>
  <c r="AF2096" i="1"/>
  <c r="J2093" i="1"/>
  <c r="G2090" i="1"/>
  <c r="AH2087" i="1"/>
  <c r="G2082" i="1"/>
  <c r="L2079" i="1"/>
  <c r="L2074" i="1"/>
  <c r="M2071" i="1"/>
  <c r="AI2068" i="1"/>
  <c r="AH2063" i="1"/>
  <c r="G2058" i="1"/>
  <c r="L2055" i="1"/>
  <c r="L2050" i="1"/>
  <c r="M2047" i="1"/>
  <c r="AI2044" i="1"/>
  <c r="G2042" i="1"/>
  <c r="M2037" i="1"/>
  <c r="G2035" i="1"/>
  <c r="W2032" i="1"/>
  <c r="J2030" i="1"/>
  <c r="AH2027" i="1"/>
  <c r="M2023" i="1"/>
  <c r="AF2018" i="1"/>
  <c r="G2016" i="1"/>
  <c r="AF2013" i="1"/>
  <c r="AH2011" i="1"/>
  <c r="J2009" i="1"/>
  <c r="AF2004" i="1"/>
  <c r="AI2002" i="1"/>
  <c r="AI2000" i="1"/>
  <c r="G1999" i="1"/>
  <c r="W1995" i="1"/>
  <c r="G1994" i="1"/>
  <c r="M1992" i="1"/>
  <c r="AH1990" i="1"/>
  <c r="J1989" i="1"/>
  <c r="AI1987" i="1"/>
  <c r="M1986" i="1"/>
  <c r="AI1983" i="1"/>
  <c r="J1982" i="1"/>
  <c r="AI1980" i="1"/>
  <c r="W1979" i="1"/>
  <c r="J1978" i="1"/>
  <c r="AI1976" i="1"/>
  <c r="M1975" i="1"/>
  <c r="AF1972" i="1"/>
  <c r="J1971" i="1"/>
  <c r="AI1969" i="1"/>
  <c r="M1968" i="1"/>
  <c r="AI1965" i="1"/>
  <c r="J1964" i="1"/>
  <c r="AI1962" i="1"/>
  <c r="W1961" i="1"/>
  <c r="J1960" i="1"/>
  <c r="AI1958" i="1"/>
  <c r="M1957" i="1"/>
  <c r="AF1954" i="1"/>
  <c r="J1953" i="1"/>
  <c r="AI1951" i="1"/>
  <c r="M1950" i="1"/>
  <c r="AI1947" i="1"/>
  <c r="J1946" i="1"/>
  <c r="AI1944" i="1"/>
  <c r="M1943" i="1"/>
  <c r="W1940" i="1"/>
  <c r="G1939" i="1"/>
  <c r="AI1937" i="1"/>
  <c r="L1936" i="1"/>
  <c r="W1933" i="1"/>
  <c r="J1932" i="1"/>
  <c r="M1929" i="1"/>
  <c r="AF1926" i="1"/>
  <c r="L1925" i="1"/>
  <c r="W1922" i="1"/>
  <c r="G1921" i="1"/>
  <c r="AI1919" i="1"/>
  <c r="L1918" i="1"/>
  <c r="W1915" i="1"/>
  <c r="J1914" i="1"/>
  <c r="M1911" i="1"/>
  <c r="AH1907" i="1"/>
  <c r="W1906" i="1"/>
  <c r="L1905" i="1"/>
  <c r="AH1901" i="1"/>
  <c r="W1900" i="1"/>
  <c r="L1899" i="1"/>
  <c r="AH1895" i="1"/>
  <c r="W1894" i="1"/>
  <c r="L1893" i="1"/>
  <c r="AH1889" i="1"/>
  <c r="W1888" i="1"/>
  <c r="L1887" i="1"/>
  <c r="AH1883" i="1"/>
  <c r="W1882" i="1"/>
  <c r="L1881" i="1"/>
  <c r="AH1877" i="1"/>
  <c r="W1876" i="1"/>
  <c r="L1875" i="1"/>
  <c r="AH1871" i="1"/>
  <c r="W1870" i="1"/>
  <c r="L1869" i="1"/>
  <c r="AH1865" i="1"/>
  <c r="W1864" i="1"/>
  <c r="L1863" i="1"/>
  <c r="AH1859" i="1"/>
  <c r="W1858" i="1"/>
  <c r="L1857" i="1"/>
  <c r="AH1853" i="1"/>
  <c r="W1852" i="1"/>
  <c r="L1851" i="1"/>
  <c r="AH1847" i="1"/>
  <c r="W1846" i="1"/>
  <c r="L1845" i="1"/>
  <c r="AH1841" i="1"/>
  <c r="W1840" i="1"/>
  <c r="L1839" i="1"/>
  <c r="AH1835" i="1"/>
  <c r="W1834" i="1"/>
  <c r="L1833" i="1"/>
  <c r="AH1829" i="1"/>
  <c r="W1828" i="1"/>
  <c r="L1827" i="1"/>
  <c r="AH1823" i="1"/>
  <c r="W1822" i="1"/>
  <c r="L1821" i="1"/>
  <c r="AH1817" i="1"/>
  <c r="W1816" i="1"/>
  <c r="L1815" i="1"/>
  <c r="AH1811" i="1"/>
  <c r="W1810" i="1"/>
  <c r="L1809" i="1"/>
  <c r="AH1805" i="1"/>
  <c r="W1804" i="1"/>
  <c r="L1803" i="1"/>
  <c r="AH1799" i="1"/>
  <c r="W1798" i="1"/>
  <c r="L1797" i="1"/>
  <c r="AH1793" i="1"/>
  <c r="W1792" i="1"/>
  <c r="L1791" i="1"/>
  <c r="AH1787" i="1"/>
  <c r="W1786" i="1"/>
  <c r="L1785" i="1"/>
  <c r="AH1781" i="1"/>
  <c r="W1780" i="1"/>
  <c r="L1779" i="1"/>
  <c r="AH1775" i="1"/>
  <c r="W1774" i="1"/>
  <c r="L1773" i="1"/>
  <c r="AH1769" i="1"/>
  <c r="W1768" i="1"/>
  <c r="L1767" i="1"/>
  <c r="AH1763" i="1"/>
  <c r="W1762" i="1"/>
  <c r="L1761" i="1"/>
  <c r="AH1757" i="1"/>
  <c r="W1756" i="1"/>
  <c r="L1755" i="1"/>
  <c r="AH1751" i="1"/>
  <c r="W1750" i="1"/>
  <c r="L1749" i="1"/>
  <c r="AH1745" i="1"/>
  <c r="W1744" i="1"/>
  <c r="L1743" i="1"/>
  <c r="AH1739" i="1"/>
  <c r="W1738" i="1"/>
  <c r="L1737" i="1"/>
  <c r="AH1733" i="1"/>
  <c r="W1732" i="1"/>
  <c r="L1731" i="1"/>
  <c r="AH1727" i="1"/>
  <c r="W1726" i="1"/>
  <c r="L1725" i="1"/>
  <c r="AH1721" i="1"/>
  <c r="W1720" i="1"/>
  <c r="L1719" i="1"/>
  <c r="AH1715" i="1"/>
  <c r="W1714" i="1"/>
  <c r="L1713" i="1"/>
  <c r="AH1709" i="1"/>
  <c r="W1708" i="1"/>
  <c r="L1707" i="1"/>
  <c r="AH1703" i="1"/>
  <c r="W1702" i="1"/>
  <c r="L1701" i="1"/>
  <c r="AH1697" i="1"/>
  <c r="W1696" i="1"/>
  <c r="L1695" i="1"/>
  <c r="AH1691" i="1"/>
  <c r="W1690" i="1"/>
  <c r="L1689" i="1"/>
  <c r="AH1685" i="1"/>
  <c r="W1684" i="1"/>
  <c r="L1683" i="1"/>
  <c r="AH1679" i="1"/>
  <c r="W1678" i="1"/>
  <c r="L1677" i="1"/>
  <c r="AH1673" i="1"/>
  <c r="W1672" i="1"/>
  <c r="L1671" i="1"/>
  <c r="AH1667" i="1"/>
  <c r="W1666" i="1"/>
  <c r="L1665" i="1"/>
  <c r="AH1661" i="1"/>
  <c r="W1660" i="1"/>
  <c r="L1659" i="1"/>
  <c r="AH1655" i="1"/>
  <c r="W1654" i="1"/>
  <c r="L1653" i="1"/>
  <c r="AH1649" i="1"/>
  <c r="W1648" i="1"/>
  <c r="L1647" i="1"/>
  <c r="AH1643" i="1"/>
  <c r="W1642" i="1"/>
  <c r="L1641" i="1"/>
  <c r="AH1637" i="1"/>
  <c r="W1636" i="1"/>
  <c r="L1635" i="1"/>
  <c r="AH1631" i="1"/>
  <c r="W1630" i="1"/>
  <c r="L1629" i="1"/>
  <c r="AH1625" i="1"/>
  <c r="W1624" i="1"/>
  <c r="L1623" i="1"/>
  <c r="AH1619" i="1"/>
  <c r="W1618" i="1"/>
  <c r="L1617" i="1"/>
  <c r="AH1613" i="1"/>
  <c r="W1612" i="1"/>
  <c r="L1611" i="1"/>
  <c r="AH1607" i="1"/>
  <c r="W1606" i="1"/>
  <c r="L1605" i="1"/>
  <c r="AH1601" i="1"/>
  <c r="W1600" i="1"/>
  <c r="L1599" i="1"/>
  <c r="AH1595" i="1"/>
  <c r="W1594" i="1"/>
  <c r="L1593" i="1"/>
  <c r="AH1589" i="1"/>
  <c r="W1588" i="1"/>
  <c r="L1587" i="1"/>
  <c r="AH1583" i="1"/>
  <c r="W1582" i="1"/>
  <c r="L1581" i="1"/>
  <c r="AH1577" i="1"/>
  <c r="W1576" i="1"/>
  <c r="L1575" i="1"/>
  <c r="AH1571" i="1"/>
  <c r="W1570" i="1"/>
  <c r="L1569" i="1"/>
  <c r="AH1565" i="1"/>
  <c r="W1564" i="1"/>
  <c r="L1563" i="1"/>
  <c r="AH1559" i="1"/>
  <c r="W1558" i="1"/>
  <c r="L1557" i="1"/>
  <c r="AH1553" i="1"/>
  <c r="W1552" i="1"/>
  <c r="L1551" i="1"/>
  <c r="AH1547" i="1"/>
  <c r="W1546" i="1"/>
  <c r="L1545" i="1"/>
  <c r="AH1541" i="1"/>
  <c r="W1540" i="1"/>
  <c r="L1539" i="1"/>
  <c r="AH1535" i="1"/>
  <c r="W1534" i="1"/>
  <c r="L1533" i="1"/>
  <c r="AH1529" i="1"/>
  <c r="W1528" i="1"/>
  <c r="L1527" i="1"/>
  <c r="AH1523" i="1"/>
  <c r="W1522" i="1"/>
  <c r="L1521" i="1"/>
  <c r="AH1517" i="1"/>
  <c r="W1516" i="1"/>
  <c r="L1515" i="1"/>
  <c r="AH1511" i="1"/>
  <c r="W1510" i="1"/>
  <c r="L1509" i="1"/>
  <c r="AH1505" i="1"/>
  <c r="W1504" i="1"/>
  <c r="L1503" i="1"/>
  <c r="AH1499" i="1"/>
  <c r="W1498" i="1"/>
  <c r="L1497" i="1"/>
  <c r="AH1493" i="1"/>
  <c r="W1492" i="1"/>
  <c r="L1491" i="1"/>
  <c r="AH1487" i="1"/>
  <c r="W1486" i="1"/>
  <c r="L1485" i="1"/>
  <c r="AH1481" i="1"/>
  <c r="W1480" i="1"/>
  <c r="L1479" i="1"/>
  <c r="AH1475" i="1"/>
  <c r="W1474" i="1"/>
  <c r="L1473" i="1"/>
  <c r="AH1469" i="1"/>
  <c r="W1468" i="1"/>
  <c r="L1467" i="1"/>
  <c r="AH3972" i="1"/>
  <c r="M3692" i="1"/>
  <c r="J3499" i="1"/>
  <c r="G3476" i="1"/>
  <c r="AH3404" i="1"/>
  <c r="W3393" i="1"/>
  <c r="L3384" i="1"/>
  <c r="AH3265" i="1"/>
  <c r="W3031" i="1"/>
  <c r="AF3007" i="1"/>
  <c r="W2953" i="1"/>
  <c r="J2937" i="1"/>
  <c r="AI2928" i="1"/>
  <c r="W2912" i="1"/>
  <c r="G2898" i="1"/>
  <c r="M2795" i="1"/>
  <c r="L2770" i="1"/>
  <c r="J2756" i="1"/>
  <c r="AI2690" i="1"/>
  <c r="AH2676" i="1"/>
  <c r="G2671" i="1"/>
  <c r="L2656" i="1"/>
  <c r="L2638" i="1"/>
  <c r="J2632" i="1"/>
  <c r="AI2613" i="1"/>
  <c r="G2607" i="1"/>
  <c r="AH2594" i="1"/>
  <c r="AI2588" i="1"/>
  <c r="AI2576" i="1"/>
  <c r="AH2540" i="1"/>
  <c r="AF2528" i="1"/>
  <c r="AI2516" i="1"/>
  <c r="G2511" i="1"/>
  <c r="J2505" i="1"/>
  <c r="W2491" i="1"/>
  <c r="AF2485" i="1"/>
  <c r="AH2478" i="1"/>
  <c r="G2461" i="1"/>
  <c r="AF2442" i="1"/>
  <c r="G2437" i="1"/>
  <c r="G2428" i="1"/>
  <c r="J2423" i="1"/>
  <c r="J2414" i="1"/>
  <c r="AI2408" i="1"/>
  <c r="G2395" i="1"/>
  <c r="J2390" i="1"/>
  <c r="AF2385" i="1"/>
  <c r="G2363" i="1"/>
  <c r="AH2353" i="1"/>
  <c r="AI2344" i="1"/>
  <c r="G2340" i="1"/>
  <c r="AI2325" i="1"/>
  <c r="J2321" i="1"/>
  <c r="G2316" i="1"/>
  <c r="AF2311" i="1"/>
  <c r="AI2307" i="1"/>
  <c r="W2298" i="1"/>
  <c r="W2293" i="1"/>
  <c r="AI2279" i="1"/>
  <c r="AH2270" i="1"/>
  <c r="L2261" i="1"/>
  <c r="G2257" i="1"/>
  <c r="AH2252" i="1"/>
  <c r="G2242" i="1"/>
  <c r="L2238" i="1"/>
  <c r="M2229" i="1"/>
  <c r="AH2224" i="1"/>
  <c r="AF2219" i="1"/>
  <c r="AH2215" i="1"/>
  <c r="J2211" i="1"/>
  <c r="G2208" i="1"/>
  <c r="AI2199" i="1"/>
  <c r="J2192" i="1"/>
  <c r="G2188" i="1"/>
  <c r="L2180" i="1"/>
  <c r="AI2171" i="1"/>
  <c r="W2167" i="1"/>
  <c r="L2160" i="1"/>
  <c r="AH2155" i="1"/>
  <c r="L2144" i="1"/>
  <c r="AI2141" i="1"/>
  <c r="M2138" i="1"/>
  <c r="AF2135" i="1"/>
  <c r="AH2128" i="1"/>
  <c r="AH2125" i="1"/>
  <c r="AI2118" i="1"/>
  <c r="AI2115" i="1"/>
  <c r="J2108" i="1"/>
  <c r="G2105" i="1"/>
  <c r="J2099" i="1"/>
  <c r="AF2087" i="1"/>
  <c r="AI2084" i="1"/>
  <c r="J2079" i="1"/>
  <c r="L2076" i="1"/>
  <c r="J2074" i="1"/>
  <c r="J2071" i="1"/>
  <c r="AF2068" i="1"/>
  <c r="AI2065" i="1"/>
  <c r="AF2063" i="1"/>
  <c r="AI2060" i="1"/>
  <c r="J2055" i="1"/>
  <c r="L2052" i="1"/>
  <c r="J2050" i="1"/>
  <c r="J2047" i="1"/>
  <c r="AF2044" i="1"/>
  <c r="L2039" i="1"/>
  <c r="M2032" i="1"/>
  <c r="AF2027" i="1"/>
  <c r="J2025" i="1"/>
  <c r="J2023" i="1"/>
  <c r="AI2020" i="1"/>
  <c r="L2018" i="1"/>
  <c r="W2013" i="1"/>
  <c r="G2011" i="1"/>
  <c r="AI2006" i="1"/>
  <c r="W2004" i="1"/>
  <c r="AH2002" i="1"/>
  <c r="AH2000" i="1"/>
  <c r="G1997" i="1"/>
  <c r="M1995" i="1"/>
  <c r="J1992" i="1"/>
  <c r="AF1990" i="1"/>
  <c r="AH1987" i="1"/>
  <c r="L1986" i="1"/>
  <c r="G1985" i="1"/>
  <c r="AF1983" i="1"/>
  <c r="AH1980" i="1"/>
  <c r="M1979" i="1"/>
  <c r="AH1976" i="1"/>
  <c r="J1975" i="1"/>
  <c r="AI1973" i="1"/>
  <c r="W1972" i="1"/>
  <c r="AH1969" i="1"/>
  <c r="L1968" i="1"/>
  <c r="G1967" i="1"/>
  <c r="AF1965" i="1"/>
  <c r="AH1962" i="1"/>
  <c r="M1961" i="1"/>
  <c r="AH1958" i="1"/>
  <c r="J1957" i="1"/>
  <c r="AI1955" i="1"/>
  <c r="W1954" i="1"/>
  <c r="AH1951" i="1"/>
  <c r="L1950" i="1"/>
  <c r="G1949" i="1"/>
  <c r="AF1947" i="1"/>
  <c r="AH1944" i="1"/>
  <c r="L1943" i="1"/>
  <c r="AI1941" i="1"/>
  <c r="M1940" i="1"/>
  <c r="AF1937" i="1"/>
  <c r="J1936" i="1"/>
  <c r="AI1934" i="1"/>
  <c r="M1933" i="1"/>
  <c r="AI1930" i="1"/>
  <c r="J1929" i="1"/>
  <c r="AI1927" i="1"/>
  <c r="W1926" i="1"/>
  <c r="J1925" i="1"/>
  <c r="AI1923" i="1"/>
  <c r="M1922" i="1"/>
  <c r="AF1919" i="1"/>
  <c r="J1918" i="1"/>
  <c r="AI1916" i="1"/>
  <c r="M1915" i="1"/>
  <c r="AI1912" i="1"/>
  <c r="J1911" i="1"/>
  <c r="G1910" i="1"/>
  <c r="AI1908" i="1"/>
  <c r="AF1907" i="1"/>
  <c r="M1906" i="1"/>
  <c r="J1905" i="1"/>
  <c r="G1904" i="1"/>
  <c r="AI1902" i="1"/>
  <c r="AF1901" i="1"/>
  <c r="M1900" i="1"/>
  <c r="J1899" i="1"/>
  <c r="G1898" i="1"/>
  <c r="AI1896" i="1"/>
  <c r="AF1895" i="1"/>
  <c r="M1894" i="1"/>
  <c r="J1893" i="1"/>
  <c r="G1892" i="1"/>
  <c r="AI1890" i="1"/>
  <c r="AF1889" i="1"/>
  <c r="M1888" i="1"/>
  <c r="J1887" i="1"/>
  <c r="G1886" i="1"/>
  <c r="AI1884" i="1"/>
  <c r="AF1883" i="1"/>
  <c r="M1882" i="1"/>
  <c r="J1881" i="1"/>
  <c r="G1880" i="1"/>
  <c r="AI1878" i="1"/>
  <c r="AF1877" i="1"/>
  <c r="M1876" i="1"/>
  <c r="J1875" i="1"/>
  <c r="G1874" i="1"/>
  <c r="AI1872" i="1"/>
  <c r="AF1871" i="1"/>
  <c r="M1870" i="1"/>
  <c r="J1869" i="1"/>
  <c r="G1868" i="1"/>
  <c r="AI1866" i="1"/>
  <c r="AF1865" i="1"/>
  <c r="M1864" i="1"/>
  <c r="J1863" i="1"/>
  <c r="G1862" i="1"/>
  <c r="AI1860" i="1"/>
  <c r="AF1859" i="1"/>
  <c r="M1858" i="1"/>
  <c r="J1857" i="1"/>
  <c r="G1856" i="1"/>
  <c r="AI1854" i="1"/>
  <c r="AF1853" i="1"/>
  <c r="M1852" i="1"/>
  <c r="J1851" i="1"/>
  <c r="G1850" i="1"/>
  <c r="AI1848" i="1"/>
  <c r="AF1847" i="1"/>
  <c r="M1846" i="1"/>
  <c r="J1845" i="1"/>
  <c r="G1844" i="1"/>
  <c r="AI1842" i="1"/>
  <c r="AF1841" i="1"/>
  <c r="M1840" i="1"/>
  <c r="J1839" i="1"/>
  <c r="G1838" i="1"/>
  <c r="AI1836" i="1"/>
  <c r="AF1835" i="1"/>
  <c r="M1834" i="1"/>
  <c r="J1833" i="1"/>
  <c r="G1832" i="1"/>
  <c r="AI1830" i="1"/>
  <c r="AF1829" i="1"/>
  <c r="M1828" i="1"/>
  <c r="J1827" i="1"/>
  <c r="G1826" i="1"/>
  <c r="AI1824" i="1"/>
  <c r="AF1823" i="1"/>
  <c r="M1822" i="1"/>
  <c r="J1821" i="1"/>
  <c r="G1820" i="1"/>
  <c r="AI1818" i="1"/>
  <c r="AF1817" i="1"/>
  <c r="M1816" i="1"/>
  <c r="J1815" i="1"/>
  <c r="G1814" i="1"/>
  <c r="AI1812" i="1"/>
  <c r="AF1811" i="1"/>
  <c r="M1810" i="1"/>
  <c r="J1809" i="1"/>
  <c r="G1808" i="1"/>
  <c r="AI1806" i="1"/>
  <c r="AF1805" i="1"/>
  <c r="M1804" i="1"/>
  <c r="J1803" i="1"/>
  <c r="G1802" i="1"/>
  <c r="AI1800" i="1"/>
  <c r="AF1799" i="1"/>
  <c r="M1798" i="1"/>
  <c r="J1797" i="1"/>
  <c r="G1796" i="1"/>
  <c r="AI1794" i="1"/>
  <c r="AF1793" i="1"/>
  <c r="M1792" i="1"/>
  <c r="J1791" i="1"/>
  <c r="G1790" i="1"/>
  <c r="AI1788" i="1"/>
  <c r="AF1787" i="1"/>
  <c r="M1786" i="1"/>
  <c r="J1785" i="1"/>
  <c r="G1784" i="1"/>
  <c r="AI1782" i="1"/>
  <c r="AF1781" i="1"/>
  <c r="M1780" i="1"/>
  <c r="J1779" i="1"/>
  <c r="G1778" i="1"/>
  <c r="AI1776" i="1"/>
  <c r="AF1775" i="1"/>
  <c r="M1774" i="1"/>
  <c r="J1773" i="1"/>
  <c r="G1772" i="1"/>
  <c r="AI1770" i="1"/>
  <c r="AF1769" i="1"/>
  <c r="M1768" i="1"/>
  <c r="J1767" i="1"/>
  <c r="G1766" i="1"/>
  <c r="AI1764" i="1"/>
  <c r="AF1763" i="1"/>
  <c r="M1762" i="1"/>
  <c r="J1761" i="1"/>
  <c r="G1760" i="1"/>
  <c r="AI1758" i="1"/>
  <c r="AF1757" i="1"/>
  <c r="M1756" i="1"/>
  <c r="J1755" i="1"/>
  <c r="G1754" i="1"/>
  <c r="AI1752" i="1"/>
  <c r="AF1751" i="1"/>
  <c r="M1750" i="1"/>
  <c r="J1749" i="1"/>
  <c r="G1748" i="1"/>
  <c r="AI1746" i="1"/>
  <c r="AF1745" i="1"/>
  <c r="M1744" i="1"/>
  <c r="J1743" i="1"/>
  <c r="G1742" i="1"/>
  <c r="AI1740" i="1"/>
  <c r="AF1739" i="1"/>
  <c r="M1738" i="1"/>
  <c r="J1737" i="1"/>
  <c r="G1736" i="1"/>
  <c r="AI1734" i="1"/>
  <c r="AF1733" i="1"/>
  <c r="M1732" i="1"/>
  <c r="J1731" i="1"/>
  <c r="G1730" i="1"/>
  <c r="AI1728" i="1"/>
  <c r="AF1727" i="1"/>
  <c r="M1726" i="1"/>
  <c r="J1725" i="1"/>
  <c r="G1724" i="1"/>
  <c r="AI1722" i="1"/>
  <c r="AF1721" i="1"/>
  <c r="M1720" i="1"/>
  <c r="J1719" i="1"/>
  <c r="G1718" i="1"/>
  <c r="AI1716" i="1"/>
  <c r="AF1715" i="1"/>
  <c r="M1714" i="1"/>
  <c r="J1713" i="1"/>
  <c r="G1712" i="1"/>
  <c r="AI1710" i="1"/>
  <c r="AF1709" i="1"/>
  <c r="M1708" i="1"/>
  <c r="J1707" i="1"/>
  <c r="G1706" i="1"/>
  <c r="AI1704" i="1"/>
  <c r="AF1703" i="1"/>
  <c r="M1702" i="1"/>
  <c r="J1701" i="1"/>
  <c r="G1700" i="1"/>
  <c r="AI1698" i="1"/>
  <c r="AF1697" i="1"/>
  <c r="M1696" i="1"/>
  <c r="J1695" i="1"/>
  <c r="G1694" i="1"/>
  <c r="AI1692" i="1"/>
  <c r="AF1691" i="1"/>
  <c r="M1690" i="1"/>
  <c r="J1689" i="1"/>
  <c r="G1688" i="1"/>
  <c r="AI1686" i="1"/>
  <c r="AF1685" i="1"/>
  <c r="M1684" i="1"/>
  <c r="J1683" i="1"/>
  <c r="G1682" i="1"/>
  <c r="AI1680" i="1"/>
  <c r="AF1679" i="1"/>
  <c r="M1678" i="1"/>
  <c r="J1677" i="1"/>
  <c r="G1676" i="1"/>
  <c r="AI1674" i="1"/>
  <c r="AF1673" i="1"/>
  <c r="M1672" i="1"/>
  <c r="J1671" i="1"/>
  <c r="G1670" i="1"/>
  <c r="AI1668" i="1"/>
  <c r="AF1667" i="1"/>
  <c r="M1666" i="1"/>
  <c r="J1665" i="1"/>
  <c r="G1664" i="1"/>
  <c r="AI1662" i="1"/>
  <c r="AF1661" i="1"/>
  <c r="M1660" i="1"/>
  <c r="J1659" i="1"/>
  <c r="G1658" i="1"/>
  <c r="AI1656" i="1"/>
  <c r="AF1655" i="1"/>
  <c r="M1654" i="1"/>
  <c r="J1653" i="1"/>
  <c r="G1652" i="1"/>
  <c r="AI1650" i="1"/>
  <c r="AF1649" i="1"/>
  <c r="M1648" i="1"/>
  <c r="J1647" i="1"/>
  <c r="G1646" i="1"/>
  <c r="AI1644" i="1"/>
  <c r="AF1643" i="1"/>
  <c r="M1642" i="1"/>
  <c r="J1641" i="1"/>
  <c r="G1640" i="1"/>
  <c r="AI1638" i="1"/>
  <c r="AF1637" i="1"/>
  <c r="M1636" i="1"/>
  <c r="J1635" i="1"/>
  <c r="G1634" i="1"/>
  <c r="AI1632" i="1"/>
  <c r="AF1631" i="1"/>
  <c r="M1630" i="1"/>
  <c r="J1629" i="1"/>
  <c r="G1628" i="1"/>
  <c r="AI1626" i="1"/>
  <c r="AF1625" i="1"/>
  <c r="M1624" i="1"/>
  <c r="J1623" i="1"/>
  <c r="G1622" i="1"/>
  <c r="AI1620" i="1"/>
  <c r="AF1619" i="1"/>
  <c r="M1618" i="1"/>
  <c r="J1617" i="1"/>
  <c r="G1616" i="1"/>
  <c r="AI1614" i="1"/>
  <c r="AF1613" i="1"/>
  <c r="M1612" i="1"/>
  <c r="J1611" i="1"/>
  <c r="G1610" i="1"/>
  <c r="AI1608" i="1"/>
  <c r="AF1607" i="1"/>
  <c r="M1606" i="1"/>
  <c r="J1605" i="1"/>
  <c r="G1604" i="1"/>
  <c r="AI1602" i="1"/>
  <c r="AF1601" i="1"/>
  <c r="M1600" i="1"/>
  <c r="J1599" i="1"/>
  <c r="G1598" i="1"/>
  <c r="AI1596" i="1"/>
  <c r="AF1595" i="1"/>
  <c r="M1594" i="1"/>
  <c r="J1593" i="1"/>
  <c r="G1592" i="1"/>
  <c r="AI1590" i="1"/>
  <c r="AF1589" i="1"/>
  <c r="M1588" i="1"/>
  <c r="J1587" i="1"/>
  <c r="G1586" i="1"/>
  <c r="AI1584" i="1"/>
  <c r="AF1583" i="1"/>
  <c r="M1582" i="1"/>
  <c r="J1581" i="1"/>
  <c r="G1580" i="1"/>
  <c r="AI1578" i="1"/>
  <c r="AF1577" i="1"/>
  <c r="M1576" i="1"/>
  <c r="J1575" i="1"/>
  <c r="G1574" i="1"/>
  <c r="AI1572" i="1"/>
  <c r="AF1571" i="1"/>
  <c r="M1570" i="1"/>
  <c r="J1569" i="1"/>
  <c r="G1568" i="1"/>
  <c r="AI1566" i="1"/>
  <c r="AF1565" i="1"/>
  <c r="M1564" i="1"/>
  <c r="J1563" i="1"/>
  <c r="G1562" i="1"/>
  <c r="AI1560" i="1"/>
  <c r="AF1559" i="1"/>
  <c r="M1558" i="1"/>
  <c r="J1557" i="1"/>
  <c r="G1556" i="1"/>
  <c r="AI1554" i="1"/>
  <c r="AF1553" i="1"/>
  <c r="M1552" i="1"/>
  <c r="J1551" i="1"/>
  <c r="G1550" i="1"/>
  <c r="AI1548" i="1"/>
  <c r="AF1547" i="1"/>
  <c r="M1546" i="1"/>
  <c r="J1545" i="1"/>
  <c r="G1544" i="1"/>
  <c r="AI1542" i="1"/>
  <c r="AF3625" i="1"/>
  <c r="AH3561" i="1"/>
  <c r="W3433" i="1"/>
  <c r="AF3354" i="1"/>
  <c r="W3316" i="1"/>
  <c r="W3227" i="1"/>
  <c r="W3143" i="1"/>
  <c r="G3113" i="1"/>
  <c r="L3102" i="1"/>
  <c r="J3072" i="1"/>
  <c r="L3014" i="1"/>
  <c r="AH2996" i="1"/>
  <c r="M2969" i="1"/>
  <c r="AF2959" i="1"/>
  <c r="G2919" i="1"/>
  <c r="M2912" i="1"/>
  <c r="AI2872" i="1"/>
  <c r="J2863" i="1"/>
  <c r="AI2838" i="1"/>
  <c r="M2818" i="1"/>
  <c r="AI2762" i="1"/>
  <c r="G2756" i="1"/>
  <c r="AI2741" i="1"/>
  <c r="M2720" i="1"/>
  <c r="AF2705" i="1"/>
  <c r="AF2676" i="1"/>
  <c r="J2656" i="1"/>
  <c r="G2638" i="1"/>
  <c r="G2624" i="1"/>
  <c r="AF2618" i="1"/>
  <c r="AF2600" i="1"/>
  <c r="AF2594" i="1"/>
  <c r="AH2588" i="1"/>
  <c r="AH2576" i="1"/>
  <c r="L2571" i="1"/>
  <c r="AF2564" i="1"/>
  <c r="AI2558" i="1"/>
  <c r="W2545" i="1"/>
  <c r="AH2516" i="1"/>
  <c r="M2491" i="1"/>
  <c r="AF2478" i="1"/>
  <c r="AI2472" i="1"/>
  <c r="L2448" i="1"/>
  <c r="AI2431" i="1"/>
  <c r="L2418" i="1"/>
  <c r="AH2408" i="1"/>
  <c r="AI2399" i="1"/>
  <c r="W2385" i="1"/>
  <c r="AH2380" i="1"/>
  <c r="W2376" i="1"/>
  <c r="M2371" i="1"/>
  <c r="M2353" i="1"/>
  <c r="AH2344" i="1"/>
  <c r="W2334" i="1"/>
  <c r="AH2330" i="1"/>
  <c r="AF2325" i="1"/>
  <c r="W2311" i="1"/>
  <c r="AI2302" i="1"/>
  <c r="M2293" i="1"/>
  <c r="L2279" i="1"/>
  <c r="AH2275" i="1"/>
  <c r="AF2270" i="1"/>
  <c r="J2261" i="1"/>
  <c r="L2246" i="1"/>
  <c r="G2233" i="1"/>
  <c r="AF2224" i="1"/>
  <c r="L2219" i="1"/>
  <c r="AH2203" i="1"/>
  <c r="AF2199" i="1"/>
  <c r="L2195" i="1"/>
  <c r="G2192" i="1"/>
  <c r="AI2183" i="1"/>
  <c r="AF2175" i="1"/>
  <c r="J2167" i="1"/>
  <c r="W2155" i="1"/>
  <c r="J2144" i="1"/>
  <c r="W2141" i="1"/>
  <c r="J2138" i="1"/>
  <c r="W2131" i="1"/>
  <c r="AF2128" i="1"/>
  <c r="AF2125" i="1"/>
  <c r="AH2118" i="1"/>
  <c r="AI2101" i="1"/>
  <c r="G2096" i="1"/>
  <c r="AI2089" i="1"/>
  <c r="AH2084" i="1"/>
  <c r="AI2081" i="1"/>
  <c r="J2076" i="1"/>
  <c r="G2071" i="1"/>
  <c r="M2068" i="1"/>
  <c r="AF2065" i="1"/>
  <c r="AH2060" i="1"/>
  <c r="AI2057" i="1"/>
  <c r="J2052" i="1"/>
  <c r="G2047" i="1"/>
  <c r="M2044" i="1"/>
  <c r="AI2041" i="1"/>
  <c r="J2039" i="1"/>
  <c r="AI2036" i="1"/>
  <c r="AI2034" i="1"/>
  <c r="L2032" i="1"/>
  <c r="W2027" i="1"/>
  <c r="AH2020" i="1"/>
  <c r="J2018" i="1"/>
  <c r="AH2015" i="1"/>
  <c r="M2013" i="1"/>
  <c r="AH2006" i="1"/>
  <c r="M2004" i="1"/>
  <c r="L2002" i="1"/>
  <c r="AF2000" i="1"/>
  <c r="AI1998" i="1"/>
  <c r="L1995" i="1"/>
  <c r="AI1993" i="1"/>
  <c r="W1990" i="1"/>
  <c r="G1989" i="1"/>
  <c r="AF1987" i="1"/>
  <c r="J1986" i="1"/>
  <c r="M1983" i="1"/>
  <c r="G1982" i="1"/>
  <c r="AF1980" i="1"/>
  <c r="L1979" i="1"/>
  <c r="G1978" i="1"/>
  <c r="AF1976" i="1"/>
  <c r="G1975" i="1"/>
  <c r="AH1973" i="1"/>
  <c r="M1972" i="1"/>
  <c r="G1971" i="1"/>
  <c r="AF1969" i="1"/>
  <c r="J1968" i="1"/>
  <c r="M1965" i="1"/>
  <c r="G1964" i="1"/>
  <c r="AF1962" i="1"/>
  <c r="L1961" i="1"/>
  <c r="G1960" i="1"/>
  <c r="AF1958" i="1"/>
  <c r="G1957" i="1"/>
  <c r="AH1955" i="1"/>
  <c r="M1954" i="1"/>
  <c r="G1953" i="1"/>
  <c r="AF1951" i="1"/>
  <c r="J1950" i="1"/>
  <c r="M1947" i="1"/>
  <c r="G1946" i="1"/>
  <c r="AF1944" i="1"/>
  <c r="J1943" i="1"/>
  <c r="AH1941" i="1"/>
  <c r="J1940" i="1"/>
  <c r="AI1938" i="1"/>
  <c r="W1937" i="1"/>
  <c r="AH1934" i="1"/>
  <c r="L1933" i="1"/>
  <c r="G1932" i="1"/>
  <c r="AF1930" i="1"/>
  <c r="AH1927" i="1"/>
  <c r="M1926" i="1"/>
  <c r="AH1923" i="1"/>
  <c r="J1922" i="1"/>
  <c r="AI1920" i="1"/>
  <c r="W1919" i="1"/>
  <c r="AH1916" i="1"/>
  <c r="L1915" i="1"/>
  <c r="G1914" i="1"/>
  <c r="AF1912" i="1"/>
  <c r="AH1908" i="1"/>
  <c r="W1907" i="1"/>
  <c r="L1906" i="1"/>
  <c r="AH1902" i="1"/>
  <c r="W1901" i="1"/>
  <c r="L1900" i="1"/>
  <c r="AH1896" i="1"/>
  <c r="W1895" i="1"/>
  <c r="L1894" i="1"/>
  <c r="AH1890" i="1"/>
  <c r="W1889" i="1"/>
  <c r="L1888" i="1"/>
  <c r="AH1884" i="1"/>
  <c r="W1883" i="1"/>
  <c r="L1882" i="1"/>
  <c r="AH1878" i="1"/>
  <c r="W1877" i="1"/>
  <c r="L1876" i="1"/>
  <c r="AH1872" i="1"/>
  <c r="W1871" i="1"/>
  <c r="L1870" i="1"/>
  <c r="AH1866" i="1"/>
  <c r="W1865" i="1"/>
  <c r="L1864" i="1"/>
  <c r="AH1860" i="1"/>
  <c r="W1859" i="1"/>
  <c r="L1858" i="1"/>
  <c r="AH1854" i="1"/>
  <c r="W1853" i="1"/>
  <c r="L1852" i="1"/>
  <c r="AH1848" i="1"/>
  <c r="W1847" i="1"/>
  <c r="L1846" i="1"/>
  <c r="AH1842" i="1"/>
  <c r="W1841" i="1"/>
  <c r="L1840" i="1"/>
  <c r="AH1836" i="1"/>
  <c r="W1835" i="1"/>
  <c r="L1834" i="1"/>
  <c r="AH1830" i="1"/>
  <c r="W1829" i="1"/>
  <c r="L1828" i="1"/>
  <c r="AH1824" i="1"/>
  <c r="W1823" i="1"/>
  <c r="L1822" i="1"/>
  <c r="AH1818" i="1"/>
  <c r="W1817" i="1"/>
  <c r="L1816" i="1"/>
  <c r="AH1812" i="1"/>
  <c r="W1811" i="1"/>
  <c r="L1810" i="1"/>
  <c r="AH1806" i="1"/>
  <c r="W1805" i="1"/>
  <c r="L1804" i="1"/>
  <c r="AH1800" i="1"/>
  <c r="W1799" i="1"/>
  <c r="L1798" i="1"/>
  <c r="AH1794" i="1"/>
  <c r="W1793" i="1"/>
  <c r="L1792" i="1"/>
  <c r="AH1788" i="1"/>
  <c r="W1787" i="1"/>
  <c r="L1786" i="1"/>
  <c r="AH1782" i="1"/>
  <c r="W1781" i="1"/>
  <c r="L1780" i="1"/>
  <c r="AH1776" i="1"/>
  <c r="W1775" i="1"/>
  <c r="L1774" i="1"/>
  <c r="AH1770" i="1"/>
  <c r="W1769" i="1"/>
  <c r="L1768" i="1"/>
  <c r="AH1764" i="1"/>
  <c r="W1763" i="1"/>
  <c r="L1762" i="1"/>
  <c r="AH1758" i="1"/>
  <c r="W1757" i="1"/>
  <c r="L1756" i="1"/>
  <c r="AH1752" i="1"/>
  <c r="W1751" i="1"/>
  <c r="L1750" i="1"/>
  <c r="AH1746" i="1"/>
  <c r="W1745" i="1"/>
  <c r="L1744" i="1"/>
  <c r="AH1740" i="1"/>
  <c r="W1739" i="1"/>
  <c r="L1738" i="1"/>
  <c r="AH1734" i="1"/>
  <c r="W1733" i="1"/>
  <c r="L1732" i="1"/>
  <c r="AH1728" i="1"/>
  <c r="W1727" i="1"/>
  <c r="L1726" i="1"/>
  <c r="AH1722" i="1"/>
  <c r="W1721" i="1"/>
  <c r="L1720" i="1"/>
  <c r="AH1716" i="1"/>
  <c r="W1715" i="1"/>
  <c r="L1714" i="1"/>
  <c r="AH1710" i="1"/>
  <c r="W1709" i="1"/>
  <c r="L1708" i="1"/>
  <c r="AH1704" i="1"/>
  <c r="W1703" i="1"/>
  <c r="L1702" i="1"/>
  <c r="AH1698" i="1"/>
  <c r="W1697" i="1"/>
  <c r="L1696" i="1"/>
  <c r="AH1692" i="1"/>
  <c r="W1691" i="1"/>
  <c r="L1690" i="1"/>
  <c r="AH1686" i="1"/>
  <c r="W1685" i="1"/>
  <c r="L1684" i="1"/>
  <c r="AH1680" i="1"/>
  <c r="W1679" i="1"/>
  <c r="L1678" i="1"/>
  <c r="AH1674" i="1"/>
  <c r="W1673" i="1"/>
  <c r="L1672" i="1"/>
  <c r="AH1668" i="1"/>
  <c r="W1667" i="1"/>
  <c r="L1666" i="1"/>
  <c r="AH1662" i="1"/>
  <c r="W1661" i="1"/>
  <c r="L1660" i="1"/>
  <c r="AH1656" i="1"/>
  <c r="W1655" i="1"/>
  <c r="L1654" i="1"/>
  <c r="AH1650" i="1"/>
  <c r="W1649" i="1"/>
  <c r="L1648" i="1"/>
  <c r="AH1644" i="1"/>
  <c r="W1643" i="1"/>
  <c r="L1642" i="1"/>
  <c r="AH1638" i="1"/>
  <c r="W1637" i="1"/>
  <c r="L1636" i="1"/>
  <c r="AH1632" i="1"/>
  <c r="W1631" i="1"/>
  <c r="L1630" i="1"/>
  <c r="AH1626" i="1"/>
  <c r="W1625" i="1"/>
  <c r="L1624" i="1"/>
  <c r="AH1620" i="1"/>
  <c r="W1619" i="1"/>
  <c r="L1618" i="1"/>
  <c r="AH1614" i="1"/>
  <c r="W1613" i="1"/>
  <c r="L1612" i="1"/>
  <c r="AH1608" i="1"/>
  <c r="W1607" i="1"/>
  <c r="L1606" i="1"/>
  <c r="AH1602" i="1"/>
  <c r="W1601" i="1"/>
  <c r="L1600" i="1"/>
  <c r="AH1596" i="1"/>
  <c r="W1595" i="1"/>
  <c r="L1594" i="1"/>
  <c r="AH1590" i="1"/>
  <c r="W1589" i="1"/>
  <c r="L1588" i="1"/>
  <c r="AH1584" i="1"/>
  <c r="W1583" i="1"/>
  <c r="L1582" i="1"/>
  <c r="AH1578" i="1"/>
  <c r="W1577" i="1"/>
  <c r="L1576" i="1"/>
  <c r="AH1572" i="1"/>
  <c r="W1571" i="1"/>
  <c r="L1570" i="1"/>
  <c r="AH1566" i="1"/>
  <c r="W1565" i="1"/>
  <c r="L1564" i="1"/>
  <c r="AH1560" i="1"/>
  <c r="W1559" i="1"/>
  <c r="L1558" i="1"/>
  <c r="AH1554" i="1"/>
  <c r="W1553" i="1"/>
  <c r="L1552" i="1"/>
  <c r="AH1548" i="1"/>
  <c r="W1547" i="1"/>
  <c r="L1546" i="1"/>
  <c r="AH1542" i="1"/>
  <c r="W1541" i="1"/>
  <c r="L1540" i="1"/>
  <c r="AH1536" i="1"/>
  <c r="W1535" i="1"/>
  <c r="L1534" i="1"/>
  <c r="AH1530" i="1"/>
  <c r="W1529" i="1"/>
  <c r="L1528" i="1"/>
  <c r="AH1524" i="1"/>
  <c r="W1523" i="1"/>
  <c r="L1522" i="1"/>
  <c r="AH1518" i="1"/>
  <c r="W1517" i="1"/>
  <c r="L1516" i="1"/>
  <c r="AH1512" i="1"/>
  <c r="W1511" i="1"/>
  <c r="L1510" i="1"/>
  <c r="AH1506" i="1"/>
  <c r="W1505" i="1"/>
  <c r="L1504" i="1"/>
  <c r="AH1500" i="1"/>
  <c r="W1499" i="1"/>
  <c r="L1498" i="1"/>
  <c r="AH1494" i="1"/>
  <c r="M4468" i="1"/>
  <c r="G4433" i="1"/>
  <c r="J4339" i="1"/>
  <c r="W3691" i="1"/>
  <c r="AI3670" i="1"/>
  <c r="L3625" i="1"/>
  <c r="W3602" i="1"/>
  <c r="AF3591" i="1"/>
  <c r="AH3443" i="1"/>
  <c r="M3422" i="1"/>
  <c r="G3363" i="1"/>
  <c r="G3354" i="1"/>
  <c r="AF3333" i="1"/>
  <c r="AH3235" i="1"/>
  <c r="AH3200" i="1"/>
  <c r="G3191" i="1"/>
  <c r="W3161" i="1"/>
  <c r="AI3030" i="1"/>
  <c r="AF2996" i="1"/>
  <c r="J2987" i="1"/>
  <c r="W2959" i="1"/>
  <c r="J2936" i="1"/>
  <c r="AH2872" i="1"/>
  <c r="AH2854" i="1"/>
  <c r="L2818" i="1"/>
  <c r="M2801" i="1"/>
  <c r="W2786" i="1"/>
  <c r="L2762" i="1"/>
  <c r="M2747" i="1"/>
  <c r="J2741" i="1"/>
  <c r="M2734" i="1"/>
  <c r="L2727" i="1"/>
  <c r="J2697" i="1"/>
  <c r="AF2689" i="1"/>
  <c r="L2676" i="1"/>
  <c r="M2670" i="1"/>
  <c r="W2650" i="1"/>
  <c r="G2644" i="1"/>
  <c r="G2606" i="1"/>
  <c r="W2581" i="1"/>
  <c r="G2564" i="1"/>
  <c r="AF2558" i="1"/>
  <c r="AI2539" i="1"/>
  <c r="AI2504" i="1"/>
  <c r="J2478" i="1"/>
  <c r="AF2472" i="1"/>
  <c r="L2460" i="1"/>
  <c r="W2453" i="1"/>
  <c r="J2448" i="1"/>
  <c r="J2441" i="1"/>
  <c r="M2431" i="1"/>
  <c r="AH2422" i="1"/>
  <c r="G2418" i="1"/>
  <c r="AH2413" i="1"/>
  <c r="L2408" i="1"/>
  <c r="L2399" i="1"/>
  <c r="J2394" i="1"/>
  <c r="AF2380" i="1"/>
  <c r="L2376" i="1"/>
  <c r="J2371" i="1"/>
  <c r="AF2366" i="1"/>
  <c r="AI2362" i="1"/>
  <c r="J2357" i="1"/>
  <c r="J2353" i="1"/>
  <c r="AF2348" i="1"/>
  <c r="G2339" i="1"/>
  <c r="M2334" i="1"/>
  <c r="AF2330" i="1"/>
  <c r="W2325" i="1"/>
  <c r="AI2315" i="1"/>
  <c r="AI2306" i="1"/>
  <c r="AF2302" i="1"/>
  <c r="J2293" i="1"/>
  <c r="AH2287" i="1"/>
  <c r="G2284" i="1"/>
  <c r="J2279" i="1"/>
  <c r="J2270" i="1"/>
  <c r="AI2264" i="1"/>
  <c r="G2251" i="1"/>
  <c r="J2246" i="1"/>
  <c r="AF2241" i="1"/>
  <c r="M2214" i="1"/>
  <c r="AH2210" i="1"/>
  <c r="W2203" i="1"/>
  <c r="M2199" i="1"/>
  <c r="AI2187" i="1"/>
  <c r="L2183" i="1"/>
  <c r="J2179" i="1"/>
  <c r="G2171" i="1"/>
  <c r="AF2159" i="1"/>
  <c r="M2155" i="1"/>
  <c r="AI2147" i="1"/>
  <c r="G2144" i="1"/>
  <c r="L2141" i="1"/>
  <c r="M2134" i="1"/>
  <c r="M2131" i="1"/>
  <c r="L2128" i="1"/>
  <c r="AH2121" i="1"/>
  <c r="M2118" i="1"/>
  <c r="AF2114" i="1"/>
  <c r="AI2107" i="1"/>
  <c r="W2104" i="1"/>
  <c r="AF2101" i="1"/>
  <c r="M2098" i="1"/>
  <c r="AI2092" i="1"/>
  <c r="W2089" i="1"/>
  <c r="AI2086" i="1"/>
  <c r="AH2081" i="1"/>
  <c r="G2076" i="1"/>
  <c r="L2073" i="1"/>
  <c r="L2068" i="1"/>
  <c r="M2065" i="1"/>
  <c r="AI2062" i="1"/>
  <c r="AH2057" i="1"/>
  <c r="G2052" i="1"/>
  <c r="L2049" i="1"/>
  <c r="L2044" i="1"/>
  <c r="W2041" i="1"/>
  <c r="AH2036" i="1"/>
  <c r="J2034" i="1"/>
  <c r="AI2029" i="1"/>
  <c r="L2027" i="1"/>
  <c r="G2025" i="1"/>
  <c r="AF2022" i="1"/>
  <c r="AF2015" i="1"/>
  <c r="J2013" i="1"/>
  <c r="AI2010" i="1"/>
  <c r="W2008" i="1"/>
  <c r="AF2006" i="1"/>
  <c r="J2004" i="1"/>
  <c r="J2002" i="1"/>
  <c r="L2000" i="1"/>
  <c r="M1998" i="1"/>
  <c r="AI1996" i="1"/>
  <c r="J1995" i="1"/>
  <c r="AH1993" i="1"/>
  <c r="AI1991" i="1"/>
  <c r="M1990" i="1"/>
  <c r="W1987" i="1"/>
  <c r="G1986" i="1"/>
  <c r="AI1984" i="1"/>
  <c r="L1983" i="1"/>
  <c r="W1980" i="1"/>
  <c r="J1979" i="1"/>
  <c r="M1976" i="1"/>
  <c r="AF1973" i="1"/>
  <c r="L1972" i="1"/>
  <c r="W1969" i="1"/>
  <c r="G1968" i="1"/>
  <c r="AI1966" i="1"/>
  <c r="L1965" i="1"/>
  <c r="W1962" i="1"/>
  <c r="J1961" i="1"/>
  <c r="M1958" i="1"/>
  <c r="AF1955" i="1"/>
  <c r="L1954" i="1"/>
  <c r="W1951" i="1"/>
  <c r="G1950" i="1"/>
  <c r="AI1948" i="1"/>
  <c r="L1947" i="1"/>
  <c r="W1944" i="1"/>
  <c r="AF1941" i="1"/>
  <c r="G1940" i="1"/>
  <c r="AH1938" i="1"/>
  <c r="M1937" i="1"/>
  <c r="G1936" i="1"/>
  <c r="AF1934" i="1"/>
  <c r="J1933" i="1"/>
  <c r="M1930" i="1"/>
  <c r="G1929" i="1"/>
  <c r="AF1927" i="1"/>
  <c r="L1926" i="1"/>
  <c r="G1925" i="1"/>
  <c r="AF1923" i="1"/>
  <c r="G1922" i="1"/>
  <c r="AH1920" i="1"/>
  <c r="M1919" i="1"/>
  <c r="G1918" i="1"/>
  <c r="AF1916" i="1"/>
  <c r="J1915" i="1"/>
  <c r="M1912" i="1"/>
  <c r="G1911" i="1"/>
  <c r="AI1909" i="1"/>
  <c r="AF1908" i="1"/>
  <c r="M1907" i="1"/>
  <c r="J1906" i="1"/>
  <c r="G1905" i="1"/>
  <c r="AI1903" i="1"/>
  <c r="AF1902" i="1"/>
  <c r="M1901" i="1"/>
  <c r="J1900" i="1"/>
  <c r="G1899" i="1"/>
  <c r="AI1897" i="1"/>
  <c r="AF1896" i="1"/>
  <c r="M1895" i="1"/>
  <c r="J1894" i="1"/>
  <c r="G1893" i="1"/>
  <c r="AI1891" i="1"/>
  <c r="AF1890" i="1"/>
  <c r="M1889" i="1"/>
  <c r="J1888" i="1"/>
  <c r="G1887" i="1"/>
  <c r="AI1885" i="1"/>
  <c r="AF1884" i="1"/>
  <c r="M1883" i="1"/>
  <c r="J1882" i="1"/>
  <c r="G1881" i="1"/>
  <c r="AI1879" i="1"/>
  <c r="AF1878" i="1"/>
  <c r="M1877" i="1"/>
  <c r="J1876" i="1"/>
  <c r="G1875" i="1"/>
  <c r="AI1873" i="1"/>
  <c r="AF1872" i="1"/>
  <c r="M1871" i="1"/>
  <c r="J1870" i="1"/>
  <c r="G1869" i="1"/>
  <c r="AI1867" i="1"/>
  <c r="AF1866" i="1"/>
  <c r="M1865" i="1"/>
  <c r="J1864" i="1"/>
  <c r="G1863" i="1"/>
  <c r="AI1861" i="1"/>
  <c r="AF1860" i="1"/>
  <c r="M1859" i="1"/>
  <c r="J1858" i="1"/>
  <c r="G1857" i="1"/>
  <c r="AI1855" i="1"/>
  <c r="AF1854" i="1"/>
  <c r="M1853" i="1"/>
  <c r="J1852" i="1"/>
  <c r="G1851" i="1"/>
  <c r="AI1849" i="1"/>
  <c r="AF1848" i="1"/>
  <c r="M1847" i="1"/>
  <c r="J1846" i="1"/>
  <c r="G1845" i="1"/>
  <c r="AI1843" i="1"/>
  <c r="AF1842" i="1"/>
  <c r="M1841" i="1"/>
  <c r="J1840" i="1"/>
  <c r="G1839" i="1"/>
  <c r="AI1837" i="1"/>
  <c r="AF1836" i="1"/>
  <c r="M1835" i="1"/>
  <c r="J1834" i="1"/>
  <c r="G1833" i="1"/>
  <c r="AI1831" i="1"/>
  <c r="AF1830" i="1"/>
  <c r="M1829" i="1"/>
  <c r="J1828" i="1"/>
  <c r="G1827" i="1"/>
  <c r="AI1825" i="1"/>
  <c r="AF1824" i="1"/>
  <c r="M1823" i="1"/>
  <c r="J1822" i="1"/>
  <c r="G1821" i="1"/>
  <c r="AI1819" i="1"/>
  <c r="AF1818" i="1"/>
  <c r="M1817" i="1"/>
  <c r="J1816" i="1"/>
  <c r="G1815" i="1"/>
  <c r="AI1813" i="1"/>
  <c r="AF1812" i="1"/>
  <c r="M1811" i="1"/>
  <c r="J1810" i="1"/>
  <c r="G1809" i="1"/>
  <c r="AI1807" i="1"/>
  <c r="AF1806" i="1"/>
  <c r="M1805" i="1"/>
  <c r="J1804" i="1"/>
  <c r="G1803" i="1"/>
  <c r="AI1801" i="1"/>
  <c r="AF1800" i="1"/>
  <c r="M1799" i="1"/>
  <c r="J1798" i="1"/>
  <c r="G1797" i="1"/>
  <c r="AI1795" i="1"/>
  <c r="AF1794" i="1"/>
  <c r="M1793" i="1"/>
  <c r="J1792" i="1"/>
  <c r="G1791" i="1"/>
  <c r="AI1789" i="1"/>
  <c r="AF1788" i="1"/>
  <c r="M1787" i="1"/>
  <c r="J1786" i="1"/>
  <c r="G1785" i="1"/>
  <c r="AI1783" i="1"/>
  <c r="AF1782" i="1"/>
  <c r="M1781" i="1"/>
  <c r="J1780" i="1"/>
  <c r="G1779" i="1"/>
  <c r="AI1777" i="1"/>
  <c r="AF1776" i="1"/>
  <c r="M1775" i="1"/>
  <c r="J1774" i="1"/>
  <c r="G1773" i="1"/>
  <c r="AI1771" i="1"/>
  <c r="AF1770" i="1"/>
  <c r="M1769" i="1"/>
  <c r="J1768" i="1"/>
  <c r="G1767" i="1"/>
  <c r="AI1765" i="1"/>
  <c r="AF1764" i="1"/>
  <c r="M1763" i="1"/>
  <c r="J1762" i="1"/>
  <c r="G1761" i="1"/>
  <c r="AI1759" i="1"/>
  <c r="AF1758" i="1"/>
  <c r="M1757" i="1"/>
  <c r="J1756" i="1"/>
  <c r="G1755" i="1"/>
  <c r="AI1753" i="1"/>
  <c r="AF1752" i="1"/>
  <c r="M1751" i="1"/>
  <c r="J1750" i="1"/>
  <c r="G1749" i="1"/>
  <c r="AI1747" i="1"/>
  <c r="AF1746" i="1"/>
  <c r="M1745" i="1"/>
  <c r="J1744" i="1"/>
  <c r="G1743" i="1"/>
  <c r="AI1741" i="1"/>
  <c r="AF1740" i="1"/>
  <c r="M1739" i="1"/>
  <c r="J1738" i="1"/>
  <c r="G1737" i="1"/>
  <c r="AI1735" i="1"/>
  <c r="AF1734" i="1"/>
  <c r="M1733" i="1"/>
  <c r="J1732" i="1"/>
  <c r="G1731" i="1"/>
  <c r="AI1729" i="1"/>
  <c r="AF1728" i="1"/>
  <c r="M1727" i="1"/>
  <c r="J1726" i="1"/>
  <c r="G1725" i="1"/>
  <c r="AI1723" i="1"/>
  <c r="AF1722" i="1"/>
  <c r="M1721" i="1"/>
  <c r="J1720" i="1"/>
  <c r="G1719" i="1"/>
  <c r="AI1717" i="1"/>
  <c r="AF1716" i="1"/>
  <c r="M1715" i="1"/>
  <c r="J1714" i="1"/>
  <c r="G1713" i="1"/>
  <c r="AI1711" i="1"/>
  <c r="AF1710" i="1"/>
  <c r="M1709" i="1"/>
  <c r="J1708" i="1"/>
  <c r="G1707" i="1"/>
  <c r="AI1705" i="1"/>
  <c r="AF1704" i="1"/>
  <c r="M1703" i="1"/>
  <c r="J1702" i="1"/>
  <c r="G1701" i="1"/>
  <c r="AI1699" i="1"/>
  <c r="AF1698" i="1"/>
  <c r="M1697" i="1"/>
  <c r="J1696" i="1"/>
  <c r="G1695" i="1"/>
  <c r="AI1693" i="1"/>
  <c r="AF1692" i="1"/>
  <c r="M1691" i="1"/>
  <c r="J1690" i="1"/>
  <c r="G1689" i="1"/>
  <c r="AI1687" i="1"/>
  <c r="AF1686" i="1"/>
  <c r="M1685" i="1"/>
  <c r="J1684" i="1"/>
  <c r="G1683" i="1"/>
  <c r="AI1681" i="1"/>
  <c r="AF1680" i="1"/>
  <c r="M1679" i="1"/>
  <c r="J1678" i="1"/>
  <c r="G1677" i="1"/>
  <c r="AI1675" i="1"/>
  <c r="AF1674" i="1"/>
  <c r="M1673" i="1"/>
  <c r="J1672" i="1"/>
  <c r="G1671" i="1"/>
  <c r="AI1669" i="1"/>
  <c r="AF1668" i="1"/>
  <c r="M1667" i="1"/>
  <c r="J1666" i="1"/>
  <c r="G1665" i="1"/>
  <c r="AI1663" i="1"/>
  <c r="AF1662" i="1"/>
  <c r="M1661" i="1"/>
  <c r="J1660" i="1"/>
  <c r="G1659" i="1"/>
  <c r="AI1657" i="1"/>
  <c r="AF1656" i="1"/>
  <c r="M1655" i="1"/>
  <c r="J1654" i="1"/>
  <c r="G1653" i="1"/>
  <c r="AI1651" i="1"/>
  <c r="AF1650" i="1"/>
  <c r="M1649" i="1"/>
  <c r="J1648" i="1"/>
  <c r="G1647" i="1"/>
  <c r="AI1645" i="1"/>
  <c r="AF1644" i="1"/>
  <c r="M1643" i="1"/>
  <c r="J1642" i="1"/>
  <c r="G1641" i="1"/>
  <c r="AI1639" i="1"/>
  <c r="AF1638" i="1"/>
  <c r="M1637" i="1"/>
  <c r="J1636" i="1"/>
  <c r="G1635" i="1"/>
  <c r="AI1633" i="1"/>
  <c r="AF1632" i="1"/>
  <c r="M1631" i="1"/>
  <c r="J1630" i="1"/>
  <c r="G1629" i="1"/>
  <c r="AI1627" i="1"/>
  <c r="AF1626" i="1"/>
  <c r="M1625" i="1"/>
  <c r="J1624" i="1"/>
  <c r="G1623" i="1"/>
  <c r="AI1621" i="1"/>
  <c r="AF1620" i="1"/>
  <c r="M1619" i="1"/>
  <c r="J1618" i="1"/>
  <c r="G1617" i="1"/>
  <c r="AI1615" i="1"/>
  <c r="AF1614" i="1"/>
  <c r="M1613" i="1"/>
  <c r="J1612" i="1"/>
  <c r="G1611" i="1"/>
  <c r="AI1609" i="1"/>
  <c r="AF1608" i="1"/>
  <c r="M1607" i="1"/>
  <c r="J1606" i="1"/>
  <c r="G1605" i="1"/>
  <c r="AI1603" i="1"/>
  <c r="AF1602" i="1"/>
  <c r="M1601" i="1"/>
  <c r="J1600" i="1"/>
  <c r="G1599" i="1"/>
  <c r="AI1597" i="1"/>
  <c r="AF1596" i="1"/>
  <c r="M1595" i="1"/>
  <c r="J1594" i="1"/>
  <c r="G1593" i="1"/>
  <c r="AI1591" i="1"/>
  <c r="AF1590" i="1"/>
  <c r="M1589" i="1"/>
  <c r="J1588" i="1"/>
  <c r="G1587" i="1"/>
  <c r="AI1585" i="1"/>
  <c r="AF1584" i="1"/>
  <c r="M1583" i="1"/>
  <c r="J1582" i="1"/>
  <c r="G1581" i="1"/>
  <c r="AI1579" i="1"/>
  <c r="AF1578" i="1"/>
  <c r="M1577" i="1"/>
  <c r="J1576" i="1"/>
  <c r="G1575" i="1"/>
  <c r="AI1573" i="1"/>
  <c r="AF1572" i="1"/>
  <c r="M1571" i="1"/>
  <c r="J1570" i="1"/>
  <c r="G1569" i="1"/>
  <c r="AI1567" i="1"/>
  <c r="AF1566" i="1"/>
  <c r="M1565" i="1"/>
  <c r="J1564" i="1"/>
  <c r="G1563" i="1"/>
  <c r="AI1561" i="1"/>
  <c r="AF1560" i="1"/>
  <c r="M1559" i="1"/>
  <c r="J1558" i="1"/>
  <c r="G1557" i="1"/>
  <c r="AI1555" i="1"/>
  <c r="AF1554" i="1"/>
  <c r="M1553" i="1"/>
  <c r="J1552" i="1"/>
  <c r="G1551" i="1"/>
  <c r="AI1549" i="1"/>
  <c r="AF1548" i="1"/>
  <c r="M1547" i="1"/>
  <c r="J1546" i="1"/>
  <c r="G1545" i="1"/>
  <c r="AI1543" i="1"/>
  <c r="AF1542" i="1"/>
  <c r="M1541" i="1"/>
  <c r="J1540" i="1"/>
  <c r="G1539" i="1"/>
  <c r="AI1537" i="1"/>
  <c r="AF1536" i="1"/>
  <c r="M1535" i="1"/>
  <c r="AI3712" i="1"/>
  <c r="G3591" i="1"/>
  <c r="J3422" i="1"/>
  <c r="L3372" i="1"/>
  <c r="W3333" i="1"/>
  <c r="AH3254" i="1"/>
  <c r="W3235" i="1"/>
  <c r="M3161" i="1"/>
  <c r="L3060" i="1"/>
  <c r="AH3039" i="1"/>
  <c r="J3021" i="1"/>
  <c r="G2987" i="1"/>
  <c r="G2943" i="1"/>
  <c r="W2879" i="1"/>
  <c r="AF2862" i="1"/>
  <c r="J2747" i="1"/>
  <c r="L2734" i="1"/>
  <c r="J2727" i="1"/>
  <c r="AI2719" i="1"/>
  <c r="W2689" i="1"/>
  <c r="M2681" i="1"/>
  <c r="J2661" i="1"/>
  <c r="J2655" i="1"/>
  <c r="M2650" i="1"/>
  <c r="L2637" i="1"/>
  <c r="W2611" i="1"/>
  <c r="M2599" i="1"/>
  <c r="AI2593" i="1"/>
  <c r="M2581" i="1"/>
  <c r="AI2575" i="1"/>
  <c r="L2550" i="1"/>
  <c r="M2544" i="1"/>
  <c r="AI2532" i="1"/>
  <c r="AH2520" i="1"/>
  <c r="M2490" i="1"/>
  <c r="L2472" i="1"/>
  <c r="G2465" i="1"/>
  <c r="J2460" i="1"/>
  <c r="M2453" i="1"/>
  <c r="G2441" i="1"/>
  <c r="M2435" i="1"/>
  <c r="J2431" i="1"/>
  <c r="J2426" i="1"/>
  <c r="AF2422" i="1"/>
  <c r="J2408" i="1"/>
  <c r="AF2403" i="1"/>
  <c r="M2388" i="1"/>
  <c r="G2380" i="1"/>
  <c r="J2376" i="1"/>
  <c r="G2371" i="1"/>
  <c r="M2366" i="1"/>
  <c r="M2348" i="1"/>
  <c r="L2334" i="1"/>
  <c r="AI2319" i="1"/>
  <c r="W2310" i="1"/>
  <c r="G2297" i="1"/>
  <c r="AF2287" i="1"/>
  <c r="L2274" i="1"/>
  <c r="AH2264" i="1"/>
  <c r="AI2255" i="1"/>
  <c r="W2241" i="1"/>
  <c r="AH2236" i="1"/>
  <c r="W2232" i="1"/>
  <c r="M2227" i="1"/>
  <c r="J2214" i="1"/>
  <c r="AF2210" i="1"/>
  <c r="AF2206" i="1"/>
  <c r="AF2187" i="1"/>
  <c r="G2179" i="1"/>
  <c r="L2174" i="1"/>
  <c r="AI2162" i="1"/>
  <c r="L2159" i="1"/>
  <c r="G2155" i="1"/>
  <c r="AI2150" i="1"/>
  <c r="L2147" i="1"/>
  <c r="AF2137" i="1"/>
  <c r="L2134" i="1"/>
  <c r="L2131" i="1"/>
  <c r="W2124" i="1"/>
  <c r="AF2121" i="1"/>
  <c r="G2118" i="1"/>
  <c r="W2114" i="1"/>
  <c r="AI2110" i="1"/>
  <c r="AF2107" i="1"/>
  <c r="M2104" i="1"/>
  <c r="W2101" i="1"/>
  <c r="L2098" i="1"/>
  <c r="W2092" i="1"/>
  <c r="M2089" i="1"/>
  <c r="AF2086" i="1"/>
  <c r="AI2083" i="1"/>
  <c r="AF2081" i="1"/>
  <c r="AI2078" i="1"/>
  <c r="J2073" i="1"/>
  <c r="L2070" i="1"/>
  <c r="J2068" i="1"/>
  <c r="J2065" i="1"/>
  <c r="AF2062" i="1"/>
  <c r="AI2059" i="1"/>
  <c r="AF2057" i="1"/>
  <c r="AI2054" i="1"/>
  <c r="J2049" i="1"/>
  <c r="L2046" i="1"/>
  <c r="J2044" i="1"/>
  <c r="M2041" i="1"/>
  <c r="AF2036" i="1"/>
  <c r="G2034" i="1"/>
  <c r="AF2031" i="1"/>
  <c r="AH2029" i="1"/>
  <c r="J2027" i="1"/>
  <c r="W2022" i="1"/>
  <c r="G2020" i="1"/>
  <c r="W2015" i="1"/>
  <c r="AF2010" i="1"/>
  <c r="M2008" i="1"/>
  <c r="G2004" i="1"/>
  <c r="J2000" i="1"/>
  <c r="L1998" i="1"/>
  <c r="AH1996" i="1"/>
  <c r="J1993" i="1"/>
  <c r="AH1991" i="1"/>
  <c r="L1990" i="1"/>
  <c r="AI1988" i="1"/>
  <c r="M1987" i="1"/>
  <c r="AF1984" i="1"/>
  <c r="J1983" i="1"/>
  <c r="AI1981" i="1"/>
  <c r="M1980" i="1"/>
  <c r="AI1977" i="1"/>
  <c r="J1976" i="1"/>
  <c r="AI1974" i="1"/>
  <c r="W1973" i="1"/>
  <c r="J1972" i="1"/>
  <c r="AI1970" i="1"/>
  <c r="M1969" i="1"/>
  <c r="AF1966" i="1"/>
  <c r="J1965" i="1"/>
  <c r="AI1963" i="1"/>
  <c r="M1962" i="1"/>
  <c r="AI1959" i="1"/>
  <c r="J1958" i="1"/>
  <c r="AI1956" i="1"/>
  <c r="W1955" i="1"/>
  <c r="J1954" i="1"/>
  <c r="AI1952" i="1"/>
  <c r="M1951" i="1"/>
  <c r="AF1948" i="1"/>
  <c r="J1947" i="1"/>
  <c r="AI1945" i="1"/>
  <c r="M1944" i="1"/>
  <c r="M1941" i="1"/>
  <c r="AF1938" i="1"/>
  <c r="L1937" i="1"/>
  <c r="W1934" i="1"/>
  <c r="G1933" i="1"/>
  <c r="AI1931" i="1"/>
  <c r="L1930" i="1"/>
  <c r="W1927" i="1"/>
  <c r="J1926" i="1"/>
  <c r="M1923" i="1"/>
  <c r="AF1920" i="1"/>
  <c r="L1919" i="1"/>
  <c r="W1916" i="1"/>
  <c r="G1915" i="1"/>
  <c r="AI1913" i="1"/>
  <c r="L1912" i="1"/>
  <c r="AH1909" i="1"/>
  <c r="W1908" i="1"/>
  <c r="L1907" i="1"/>
  <c r="AH1903" i="1"/>
  <c r="W1902" i="1"/>
  <c r="L1901" i="1"/>
  <c r="AH1897" i="1"/>
  <c r="W1896" i="1"/>
  <c r="L1895" i="1"/>
  <c r="AH1891" i="1"/>
  <c r="W1890" i="1"/>
  <c r="L1889" i="1"/>
  <c r="AH1885" i="1"/>
  <c r="W1884" i="1"/>
  <c r="L1883" i="1"/>
  <c r="AH1879" i="1"/>
  <c r="W1878" i="1"/>
  <c r="L1877" i="1"/>
  <c r="AH1873" i="1"/>
  <c r="W1872" i="1"/>
  <c r="L1871" i="1"/>
  <c r="AH1867" i="1"/>
  <c r="W1866" i="1"/>
  <c r="L1865" i="1"/>
  <c r="AH1861" i="1"/>
  <c r="W1860" i="1"/>
  <c r="L1859" i="1"/>
  <c r="AH1855" i="1"/>
  <c r="W1854" i="1"/>
  <c r="L1853" i="1"/>
  <c r="AH1849" i="1"/>
  <c r="W1848" i="1"/>
  <c r="L1847" i="1"/>
  <c r="AH1843" i="1"/>
  <c r="W1842" i="1"/>
  <c r="L1841" i="1"/>
  <c r="AH1837" i="1"/>
  <c r="W1836" i="1"/>
  <c r="L1835" i="1"/>
  <c r="AH1831" i="1"/>
  <c r="W1830" i="1"/>
  <c r="L1829" i="1"/>
  <c r="AH1825" i="1"/>
  <c r="W1824" i="1"/>
  <c r="L1823" i="1"/>
  <c r="AH1819" i="1"/>
  <c r="W1818" i="1"/>
  <c r="L1817" i="1"/>
  <c r="AH1813" i="1"/>
  <c r="W1812" i="1"/>
  <c r="L1811" i="1"/>
  <c r="AH1807" i="1"/>
  <c r="W1806" i="1"/>
  <c r="L1805" i="1"/>
  <c r="AH1801" i="1"/>
  <c r="W1800" i="1"/>
  <c r="L1799" i="1"/>
  <c r="AH1795" i="1"/>
  <c r="W1794" i="1"/>
  <c r="L1793" i="1"/>
  <c r="AH1789" i="1"/>
  <c r="W1788" i="1"/>
  <c r="L1787" i="1"/>
  <c r="AH1783" i="1"/>
  <c r="W1782" i="1"/>
  <c r="L1781" i="1"/>
  <c r="AH1777" i="1"/>
  <c r="W1776" i="1"/>
  <c r="L1775" i="1"/>
  <c r="AH1771" i="1"/>
  <c r="W1770" i="1"/>
  <c r="L1769" i="1"/>
  <c r="AH1765" i="1"/>
  <c r="W1764" i="1"/>
  <c r="L1763" i="1"/>
  <c r="AH1759" i="1"/>
  <c r="W1758" i="1"/>
  <c r="L1757" i="1"/>
  <c r="AH1753" i="1"/>
  <c r="W1752" i="1"/>
  <c r="L1751" i="1"/>
  <c r="AH1747" i="1"/>
  <c r="W1746" i="1"/>
  <c r="L1745" i="1"/>
  <c r="AH1741" i="1"/>
  <c r="W1740" i="1"/>
  <c r="L1739" i="1"/>
  <c r="AH1735" i="1"/>
  <c r="W1734" i="1"/>
  <c r="L1733" i="1"/>
  <c r="AH1729" i="1"/>
  <c r="W1728" i="1"/>
  <c r="L1727" i="1"/>
  <c r="AH1723" i="1"/>
  <c r="W1722" i="1"/>
  <c r="L1721" i="1"/>
  <c r="AH1717" i="1"/>
  <c r="W1716" i="1"/>
  <c r="L1715" i="1"/>
  <c r="AH1711" i="1"/>
  <c r="W1710" i="1"/>
  <c r="L1709" i="1"/>
  <c r="AH1705" i="1"/>
  <c r="W1704" i="1"/>
  <c r="L1703" i="1"/>
  <c r="AH1699" i="1"/>
  <c r="W1698" i="1"/>
  <c r="L1697" i="1"/>
  <c r="AH1693" i="1"/>
  <c r="W1692" i="1"/>
  <c r="L1691" i="1"/>
  <c r="AH1687" i="1"/>
  <c r="W1686" i="1"/>
  <c r="L1685" i="1"/>
  <c r="AH1681" i="1"/>
  <c r="W1680" i="1"/>
  <c r="L1679" i="1"/>
  <c r="AH1675" i="1"/>
  <c r="W1674" i="1"/>
  <c r="L1673" i="1"/>
  <c r="AH1669" i="1"/>
  <c r="W1668" i="1"/>
  <c r="L1667" i="1"/>
  <c r="AH1663" i="1"/>
  <c r="W1662" i="1"/>
  <c r="L1661" i="1"/>
  <c r="AH1657" i="1"/>
  <c r="W1656" i="1"/>
  <c r="L1655" i="1"/>
  <c r="AH1651" i="1"/>
  <c r="W1650" i="1"/>
  <c r="L1649" i="1"/>
  <c r="AH1645" i="1"/>
  <c r="W1644" i="1"/>
  <c r="L1643" i="1"/>
  <c r="AH1639" i="1"/>
  <c r="W1638" i="1"/>
  <c r="L1637" i="1"/>
  <c r="AH1633" i="1"/>
  <c r="W1632" i="1"/>
  <c r="L1631" i="1"/>
  <c r="AH1627" i="1"/>
  <c r="W1626" i="1"/>
  <c r="L1625" i="1"/>
  <c r="AH1621" i="1"/>
  <c r="W1620" i="1"/>
  <c r="L1619" i="1"/>
  <c r="AH1615" i="1"/>
  <c r="W1614" i="1"/>
  <c r="L1613" i="1"/>
  <c r="AH1609" i="1"/>
  <c r="W1608" i="1"/>
  <c r="L1607" i="1"/>
  <c r="AH1603" i="1"/>
  <c r="W1602" i="1"/>
  <c r="L1601" i="1"/>
  <c r="AH1597" i="1"/>
  <c r="W1596" i="1"/>
  <c r="L1595" i="1"/>
  <c r="AH1591" i="1"/>
  <c r="W1590" i="1"/>
  <c r="L1589" i="1"/>
  <c r="AH1585" i="1"/>
  <c r="W1584" i="1"/>
  <c r="L1583" i="1"/>
  <c r="AH1579" i="1"/>
  <c r="W1578" i="1"/>
  <c r="L1577" i="1"/>
  <c r="AH1573" i="1"/>
  <c r="W1572" i="1"/>
  <c r="L1571" i="1"/>
  <c r="AH1567" i="1"/>
  <c r="W1566" i="1"/>
  <c r="L1565" i="1"/>
  <c r="AH1561" i="1"/>
  <c r="W1560" i="1"/>
  <c r="L1559" i="1"/>
  <c r="AH1555" i="1"/>
  <c r="W1554" i="1"/>
  <c r="L1553" i="1"/>
  <c r="AH1549" i="1"/>
  <c r="W1548" i="1"/>
  <c r="L1547" i="1"/>
  <c r="G3514" i="1"/>
  <c r="AI3419" i="1"/>
  <c r="AI3378" i="1"/>
  <c r="AI3359" i="1"/>
  <c r="AF3321" i="1"/>
  <c r="AF3260" i="1"/>
  <c r="G2955" i="1"/>
  <c r="M2924" i="1"/>
  <c r="L2893" i="1"/>
  <c r="L2884" i="1"/>
  <c r="AI2814" i="1"/>
  <c r="W2752" i="1"/>
  <c r="J2745" i="1"/>
  <c r="AI2716" i="1"/>
  <c r="G2709" i="1"/>
  <c r="AF2686" i="1"/>
  <c r="M2679" i="1"/>
  <c r="AI2647" i="1"/>
  <c r="AI2641" i="1"/>
  <c r="G2627" i="1"/>
  <c r="J2615" i="1"/>
  <c r="AH2609" i="1"/>
  <c r="M2597" i="1"/>
  <c r="G2585" i="1"/>
  <c r="M2579" i="1"/>
  <c r="AH2567" i="1"/>
  <c r="AF2555" i="1"/>
  <c r="M2537" i="1"/>
  <c r="J2531" i="1"/>
  <c r="AH2519" i="1"/>
  <c r="J2494" i="1"/>
  <c r="AI2469" i="1"/>
  <c r="AI2463" i="1"/>
  <c r="AI2457" i="1"/>
  <c r="G2452" i="1"/>
  <c r="J2445" i="1"/>
  <c r="J2434" i="1"/>
  <c r="J2429" i="1"/>
  <c r="J2425" i="1"/>
  <c r="AF2420" i="1"/>
  <c r="G2411" i="1"/>
  <c r="M2406" i="1"/>
  <c r="AF2402" i="1"/>
  <c r="W2397" i="1"/>
  <c r="AI2387" i="1"/>
  <c r="AI2378" i="1"/>
  <c r="AF2374" i="1"/>
  <c r="J2365" i="1"/>
  <c r="AH2359" i="1"/>
  <c r="G2356" i="1"/>
  <c r="J2351" i="1"/>
  <c r="J2342" i="1"/>
  <c r="AI2336" i="1"/>
  <c r="G2323" i="1"/>
  <c r="J2318" i="1"/>
  <c r="AF2313" i="1"/>
  <c r="G2291" i="1"/>
  <c r="AH2281" i="1"/>
  <c r="AI2272" i="1"/>
  <c r="G2268" i="1"/>
  <c r="AI2253" i="1"/>
  <c r="J2249" i="1"/>
  <c r="G2244" i="1"/>
  <c r="AF2239" i="1"/>
  <c r="AI2235" i="1"/>
  <c r="W2226" i="1"/>
  <c r="W2221" i="1"/>
  <c r="G2213" i="1"/>
  <c r="AI2205" i="1"/>
  <c r="J2201" i="1"/>
  <c r="M2197" i="1"/>
  <c r="M2181" i="1"/>
  <c r="M2173" i="1"/>
  <c r="M2169" i="1"/>
  <c r="J2165" i="1"/>
  <c r="G2162" i="1"/>
  <c r="AI2157" i="1"/>
  <c r="AF2153" i="1"/>
  <c r="M2136" i="1"/>
  <c r="W2133" i="1"/>
  <c r="AI2123" i="1"/>
  <c r="L2120" i="1"/>
  <c r="AH2116" i="1"/>
  <c r="AF2113" i="1"/>
  <c r="M2106" i="1"/>
  <c r="J2103" i="1"/>
  <c r="G2100" i="1"/>
  <c r="AF2097" i="1"/>
  <c r="L2094" i="1"/>
  <c r="L2091" i="1"/>
  <c r="J2088" i="1"/>
  <c r="G2083" i="1"/>
  <c r="M2080" i="1"/>
  <c r="AF2077" i="1"/>
  <c r="AH2072" i="1"/>
  <c r="AI2069" i="1"/>
  <c r="J2064" i="1"/>
  <c r="G2059" i="1"/>
  <c r="M2056" i="1"/>
  <c r="AF2053" i="1"/>
  <c r="AH2048" i="1"/>
  <c r="AI2045" i="1"/>
  <c r="W2040" i="1"/>
  <c r="G2038" i="1"/>
  <c r="W2033" i="1"/>
  <c r="AF2028" i="1"/>
  <c r="M2026" i="1"/>
  <c r="M2019" i="1"/>
  <c r="G2017" i="1"/>
  <c r="W2014" i="1"/>
  <c r="J2012" i="1"/>
  <c r="AH2009" i="1"/>
  <c r="M2005" i="1"/>
  <c r="L2003" i="1"/>
  <c r="W2001" i="1"/>
  <c r="AF1999" i="1"/>
  <c r="AI1997" i="1"/>
  <c r="L1996" i="1"/>
  <c r="M1994" i="1"/>
  <c r="AI1992" i="1"/>
  <c r="L1991" i="1"/>
  <c r="J1988" i="1"/>
  <c r="AI1986" i="1"/>
  <c r="W1985" i="1"/>
  <c r="J1984" i="1"/>
  <c r="AI1982" i="1"/>
  <c r="M1981" i="1"/>
  <c r="AF1978" i="1"/>
  <c r="J1977" i="1"/>
  <c r="AI1975" i="1"/>
  <c r="M1974" i="1"/>
  <c r="AI1971" i="1"/>
  <c r="J1970" i="1"/>
  <c r="AI1968" i="1"/>
  <c r="W1967" i="1"/>
  <c r="J1966" i="1"/>
  <c r="AI1964" i="1"/>
  <c r="M1963" i="1"/>
  <c r="AF1960" i="1"/>
  <c r="J1959" i="1"/>
  <c r="AI1957" i="1"/>
  <c r="M1956" i="1"/>
  <c r="AI1953" i="1"/>
  <c r="J1952" i="1"/>
  <c r="AI1950" i="1"/>
  <c r="W1949" i="1"/>
  <c r="J1948" i="1"/>
  <c r="AI1946" i="1"/>
  <c r="M1945" i="1"/>
  <c r="L1942" i="1"/>
  <c r="W1939" i="1"/>
  <c r="J1938" i="1"/>
  <c r="M1935" i="1"/>
  <c r="AF1932" i="1"/>
  <c r="L1931" i="1"/>
  <c r="W1928" i="1"/>
  <c r="G1927" i="1"/>
  <c r="AI1925" i="1"/>
  <c r="L1924" i="1"/>
  <c r="W1921" i="1"/>
  <c r="J1920" i="1"/>
  <c r="M1917" i="1"/>
  <c r="AF1914" i="1"/>
  <c r="L1913" i="1"/>
  <c r="W1910" i="1"/>
  <c r="L1909" i="1"/>
  <c r="AH1905" i="1"/>
  <c r="W1904" i="1"/>
  <c r="L1903" i="1"/>
  <c r="AH1899" i="1"/>
  <c r="W1898" i="1"/>
  <c r="L1897" i="1"/>
  <c r="AH1893" i="1"/>
  <c r="W1892" i="1"/>
  <c r="L1891" i="1"/>
  <c r="AH1887" i="1"/>
  <c r="W1886" i="1"/>
  <c r="L1885" i="1"/>
  <c r="AH1881" i="1"/>
  <c r="W1880" i="1"/>
  <c r="L1879" i="1"/>
  <c r="AH1875" i="1"/>
  <c r="W1874" i="1"/>
  <c r="L1873" i="1"/>
  <c r="AH1869" i="1"/>
  <c r="W1868" i="1"/>
  <c r="L1867" i="1"/>
  <c r="AH1863" i="1"/>
  <c r="W1862" i="1"/>
  <c r="L1861" i="1"/>
  <c r="AH1857" i="1"/>
  <c r="W1856" i="1"/>
  <c r="L1855" i="1"/>
  <c r="AH1851" i="1"/>
  <c r="W1850" i="1"/>
  <c r="L1849" i="1"/>
  <c r="AH1845" i="1"/>
  <c r="W1844" i="1"/>
  <c r="L1843" i="1"/>
  <c r="AH1839" i="1"/>
  <c r="W1838" i="1"/>
  <c r="L1837" i="1"/>
  <c r="AH1833" i="1"/>
  <c r="W1832" i="1"/>
  <c r="L1831" i="1"/>
  <c r="AH1827" i="1"/>
  <c r="W1826" i="1"/>
  <c r="L1825" i="1"/>
  <c r="AH1821" i="1"/>
  <c r="W1820" i="1"/>
  <c r="L1819" i="1"/>
  <c r="AH1815" i="1"/>
  <c r="W1814" i="1"/>
  <c r="L1813" i="1"/>
  <c r="AH1809" i="1"/>
  <c r="W1808" i="1"/>
  <c r="L1807" i="1"/>
  <c r="AH1803" i="1"/>
  <c r="W1802" i="1"/>
  <c r="L1801" i="1"/>
  <c r="AH1797" i="1"/>
  <c r="W1796" i="1"/>
  <c r="L1795" i="1"/>
  <c r="AH1791" i="1"/>
  <c r="W1790" i="1"/>
  <c r="L1789" i="1"/>
  <c r="AH1785" i="1"/>
  <c r="W1784" i="1"/>
  <c r="L1783" i="1"/>
  <c r="AH1779" i="1"/>
  <c r="W1778" i="1"/>
  <c r="L1777" i="1"/>
  <c r="AH1773" i="1"/>
  <c r="W1772" i="1"/>
  <c r="L1771" i="1"/>
  <c r="AH1767" i="1"/>
  <c r="W1766" i="1"/>
  <c r="L1765" i="1"/>
  <c r="AH1761" i="1"/>
  <c r="W1760" i="1"/>
  <c r="L1759" i="1"/>
  <c r="AH1755" i="1"/>
  <c r="W1754" i="1"/>
  <c r="L1753" i="1"/>
  <c r="AH1749" i="1"/>
  <c r="W1748" i="1"/>
  <c r="L1747" i="1"/>
  <c r="AH1743" i="1"/>
  <c r="W1742" i="1"/>
  <c r="L1741" i="1"/>
  <c r="AH1737" i="1"/>
  <c r="W1736" i="1"/>
  <c r="L1735" i="1"/>
  <c r="AH1731" i="1"/>
  <c r="W1730" i="1"/>
  <c r="L1729" i="1"/>
  <c r="AH1725" i="1"/>
  <c r="W1724" i="1"/>
  <c r="L1723" i="1"/>
  <c r="AH1719" i="1"/>
  <c r="W1718" i="1"/>
  <c r="L1717" i="1"/>
  <c r="AH1713" i="1"/>
  <c r="W1712" i="1"/>
  <c r="L1711" i="1"/>
  <c r="AH1707" i="1"/>
  <c r="W1706" i="1"/>
  <c r="L1705" i="1"/>
  <c r="AH1701" i="1"/>
  <c r="W1700" i="1"/>
  <c r="L1699" i="1"/>
  <c r="AH1695" i="1"/>
  <c r="W1694" i="1"/>
  <c r="L1693" i="1"/>
  <c r="AH1689" i="1"/>
  <c r="W1688" i="1"/>
  <c r="L1687" i="1"/>
  <c r="AH1683" i="1"/>
  <c r="W1682" i="1"/>
  <c r="L1681" i="1"/>
  <c r="AH1677" i="1"/>
  <c r="W1676" i="1"/>
  <c r="L1675" i="1"/>
  <c r="AH1671" i="1"/>
  <c r="W1670" i="1"/>
  <c r="L1669" i="1"/>
  <c r="AH1665" i="1"/>
  <c r="W1664" i="1"/>
  <c r="L1663" i="1"/>
  <c r="AH1659" i="1"/>
  <c r="W1658" i="1"/>
  <c r="L1657" i="1"/>
  <c r="AH1653" i="1"/>
  <c r="W1652" i="1"/>
  <c r="L1651" i="1"/>
  <c r="AH1647" i="1"/>
  <c r="W1646" i="1"/>
  <c r="L1645" i="1"/>
  <c r="AH1641" i="1"/>
  <c r="W1640" i="1"/>
  <c r="L1639" i="1"/>
  <c r="AH1635" i="1"/>
  <c r="W1634" i="1"/>
  <c r="L1633" i="1"/>
  <c r="AH1629" i="1"/>
  <c r="W1628" i="1"/>
  <c r="L1627" i="1"/>
  <c r="AH1623" i="1"/>
  <c r="W1622" i="1"/>
  <c r="L1621" i="1"/>
  <c r="AH1617" i="1"/>
  <c r="W1616" i="1"/>
  <c r="L1615" i="1"/>
  <c r="AH1611" i="1"/>
  <c r="W1610" i="1"/>
  <c r="L1609" i="1"/>
  <c r="AH1605" i="1"/>
  <c r="W1604" i="1"/>
  <c r="L1603" i="1"/>
  <c r="AH1599" i="1"/>
  <c r="W1598" i="1"/>
  <c r="L1597" i="1"/>
  <c r="AH1593" i="1"/>
  <c r="W1592" i="1"/>
  <c r="L1591" i="1"/>
  <c r="AH1587" i="1"/>
  <c r="W1586" i="1"/>
  <c r="L1585" i="1"/>
  <c r="AH1581" i="1"/>
  <c r="W1580" i="1"/>
  <c r="L1579" i="1"/>
  <c r="AH1575" i="1"/>
  <c r="W1574" i="1"/>
  <c r="L1573" i="1"/>
  <c r="AH1569" i="1"/>
  <c r="W1568" i="1"/>
  <c r="L1567" i="1"/>
  <c r="AH1563" i="1"/>
  <c r="W1562" i="1"/>
  <c r="L1561" i="1"/>
  <c r="AH1557" i="1"/>
  <c r="W1556" i="1"/>
  <c r="L1555" i="1"/>
  <c r="AH1551" i="1"/>
  <c r="W1550" i="1"/>
  <c r="L1549" i="1"/>
  <c r="AH1545" i="1"/>
  <c r="M3769" i="1"/>
  <c r="G3549" i="1"/>
  <c r="J3368" i="1"/>
  <c r="L3302" i="1"/>
  <c r="W3270" i="1"/>
  <c r="AI2954" i="1"/>
  <c r="J2875" i="1"/>
  <c r="M2825" i="1"/>
  <c r="W2805" i="1"/>
  <c r="L2767" i="1"/>
  <c r="G2758" i="1"/>
  <c r="M2740" i="1"/>
  <c r="AF2730" i="1"/>
  <c r="AH2664" i="1"/>
  <c r="AF2647" i="1"/>
  <c r="AF2605" i="1"/>
  <c r="W2597" i="1"/>
  <c r="J2524" i="1"/>
  <c r="AI2508" i="1"/>
  <c r="G2494" i="1"/>
  <c r="J2477" i="1"/>
  <c r="G2434" i="1"/>
  <c r="J2412" i="1"/>
  <c r="L2405" i="1"/>
  <c r="M2373" i="1"/>
  <c r="W2365" i="1"/>
  <c r="AI2351" i="1"/>
  <c r="G2346" i="1"/>
  <c r="L2318" i="1"/>
  <c r="M2299" i="1"/>
  <c r="G2287" i="1"/>
  <c r="G2274" i="1"/>
  <c r="AF2253" i="1"/>
  <c r="J2232" i="1"/>
  <c r="W2190" i="1"/>
  <c r="M2185" i="1"/>
  <c r="G2173" i="1"/>
  <c r="W2154" i="1"/>
  <c r="AH2143" i="1"/>
  <c r="AI2129" i="1"/>
  <c r="L2103" i="1"/>
  <c r="J2098" i="1"/>
  <c r="L2088" i="1"/>
  <c r="L2080" i="1"/>
  <c r="AI2075" i="1"/>
  <c r="AI2071" i="1"/>
  <c r="L2062" i="1"/>
  <c r="L2058" i="1"/>
  <c r="AI2053" i="1"/>
  <c r="M2050" i="1"/>
  <c r="AH2045" i="1"/>
  <c r="AF2040" i="1"/>
  <c r="W2017" i="1"/>
  <c r="W2009" i="1"/>
  <c r="AI2005" i="1"/>
  <c r="G2002" i="1"/>
  <c r="AI1995" i="1"/>
  <c r="AH1992" i="1"/>
  <c r="G1990" i="1"/>
  <c r="J1987" i="1"/>
  <c r="J1985" i="1"/>
  <c r="AF1982" i="1"/>
  <c r="M1977" i="1"/>
  <c r="AH1974" i="1"/>
  <c r="AI1972" i="1"/>
  <c r="G1970" i="1"/>
  <c r="M1967" i="1"/>
  <c r="J1962" i="1"/>
  <c r="W1957" i="1"/>
  <c r="G1955" i="1"/>
  <c r="M1952" i="1"/>
  <c r="AH1949" i="1"/>
  <c r="M1942" i="1"/>
  <c r="G1938" i="1"/>
  <c r="AF1935" i="1"/>
  <c r="G1931" i="1"/>
  <c r="AF1928" i="1"/>
  <c r="G1926" i="1"/>
  <c r="M1921" i="1"/>
  <c r="G1919" i="1"/>
  <c r="M1914" i="1"/>
  <c r="G1912" i="1"/>
  <c r="AF1905" i="1"/>
  <c r="W1903" i="1"/>
  <c r="J1901" i="1"/>
  <c r="M1899" i="1"/>
  <c r="J1897" i="1"/>
  <c r="G1895" i="1"/>
  <c r="AI1892" i="1"/>
  <c r="G1891" i="1"/>
  <c r="AI1888" i="1"/>
  <c r="AF1886" i="1"/>
  <c r="M1884" i="1"/>
  <c r="AF1882" i="1"/>
  <c r="L1880" i="1"/>
  <c r="J1878" i="1"/>
  <c r="AF1869" i="1"/>
  <c r="W1867" i="1"/>
  <c r="J1865" i="1"/>
  <c r="M1863" i="1"/>
  <c r="J1861" i="1"/>
  <c r="G1859" i="1"/>
  <c r="AI1856" i="1"/>
  <c r="G1855" i="1"/>
  <c r="AI1852" i="1"/>
  <c r="AF1850" i="1"/>
  <c r="M1848" i="1"/>
  <c r="AF1846" i="1"/>
  <c r="L1844" i="1"/>
  <c r="J1842" i="1"/>
  <c r="AF1833" i="1"/>
  <c r="W1831" i="1"/>
  <c r="J1829" i="1"/>
  <c r="M1827" i="1"/>
  <c r="J1825" i="1"/>
  <c r="G1823" i="1"/>
  <c r="AI1820" i="1"/>
  <c r="G1819" i="1"/>
  <c r="AI1816" i="1"/>
  <c r="AF1814" i="1"/>
  <c r="M1812" i="1"/>
  <c r="AF1810" i="1"/>
  <c r="L1808" i="1"/>
  <c r="J1806" i="1"/>
  <c r="AF1797" i="1"/>
  <c r="W1795" i="1"/>
  <c r="J1793" i="1"/>
  <c r="M1791" i="1"/>
  <c r="J1789" i="1"/>
  <c r="G1787" i="1"/>
  <c r="AI1784" i="1"/>
  <c r="G1783" i="1"/>
  <c r="AI1780" i="1"/>
  <c r="AF1778" i="1"/>
  <c r="M1776" i="1"/>
  <c r="AF1774" i="1"/>
  <c r="L1772" i="1"/>
  <c r="J1770" i="1"/>
  <c r="AF1761" i="1"/>
  <c r="W1759" i="1"/>
  <c r="J1757" i="1"/>
  <c r="M1755" i="1"/>
  <c r="J1753" i="1"/>
  <c r="G1751" i="1"/>
  <c r="AI1748" i="1"/>
  <c r="G1747" i="1"/>
  <c r="AI1744" i="1"/>
  <c r="AF1742" i="1"/>
  <c r="M1740" i="1"/>
  <c r="AF1738" i="1"/>
  <c r="L1736" i="1"/>
  <c r="J1734" i="1"/>
  <c r="AF1725" i="1"/>
  <c r="W1723" i="1"/>
  <c r="J1721" i="1"/>
  <c r="M1719" i="1"/>
  <c r="J1717" i="1"/>
  <c r="G1715" i="1"/>
  <c r="AI1712" i="1"/>
  <c r="G1711" i="1"/>
  <c r="AI1708" i="1"/>
  <c r="AF1706" i="1"/>
  <c r="M1704" i="1"/>
  <c r="AF1702" i="1"/>
  <c r="L1700" i="1"/>
  <c r="J1698" i="1"/>
  <c r="AF1689" i="1"/>
  <c r="W1687" i="1"/>
  <c r="J1685" i="1"/>
  <c r="M1683" i="1"/>
  <c r="J1681" i="1"/>
  <c r="G1679" i="1"/>
  <c r="AI1676" i="1"/>
  <c r="G1675" i="1"/>
  <c r="AI1672" i="1"/>
  <c r="AF1670" i="1"/>
  <c r="M1668" i="1"/>
  <c r="AF1666" i="1"/>
  <c r="L1664" i="1"/>
  <c r="J1662" i="1"/>
  <c r="AF1653" i="1"/>
  <c r="W1651" i="1"/>
  <c r="J1649" i="1"/>
  <c r="M1647" i="1"/>
  <c r="J1645" i="1"/>
  <c r="G1643" i="1"/>
  <c r="AI1640" i="1"/>
  <c r="G1639" i="1"/>
  <c r="AI1636" i="1"/>
  <c r="AF1634" i="1"/>
  <c r="M1632" i="1"/>
  <c r="AF1630" i="1"/>
  <c r="L1628" i="1"/>
  <c r="J1626" i="1"/>
  <c r="AF1617" i="1"/>
  <c r="W1615" i="1"/>
  <c r="J1613" i="1"/>
  <c r="M1611" i="1"/>
  <c r="J1609" i="1"/>
  <c r="G1607" i="1"/>
  <c r="AI1604" i="1"/>
  <c r="G1603" i="1"/>
  <c r="AI1600" i="1"/>
  <c r="AF1598" i="1"/>
  <c r="M1596" i="1"/>
  <c r="AF1594" i="1"/>
  <c r="L1592" i="1"/>
  <c r="J1590" i="1"/>
  <c r="AF1581" i="1"/>
  <c r="W1579" i="1"/>
  <c r="J1577" i="1"/>
  <c r="M1575" i="1"/>
  <c r="J1573" i="1"/>
  <c r="G1571" i="1"/>
  <c r="AI1568" i="1"/>
  <c r="G1567" i="1"/>
  <c r="AI1564" i="1"/>
  <c r="AF1562" i="1"/>
  <c r="M1560" i="1"/>
  <c r="AF1558" i="1"/>
  <c r="L1556" i="1"/>
  <c r="J1554" i="1"/>
  <c r="AF1545" i="1"/>
  <c r="AH1543" i="1"/>
  <c r="J1542" i="1"/>
  <c r="AH1540" i="1"/>
  <c r="W1537" i="1"/>
  <c r="AF1534" i="1"/>
  <c r="G1533" i="1"/>
  <c r="AH1531" i="1"/>
  <c r="M1530" i="1"/>
  <c r="G1529" i="1"/>
  <c r="AF1527" i="1"/>
  <c r="J1526" i="1"/>
  <c r="M1523" i="1"/>
  <c r="G1522" i="1"/>
  <c r="AF1520" i="1"/>
  <c r="L1519" i="1"/>
  <c r="G1518" i="1"/>
  <c r="AF1516" i="1"/>
  <c r="G1515" i="1"/>
  <c r="AH1513" i="1"/>
  <c r="M1512" i="1"/>
  <c r="G1511" i="1"/>
  <c r="AF1509" i="1"/>
  <c r="J1508" i="1"/>
  <c r="M1505" i="1"/>
  <c r="G1504" i="1"/>
  <c r="AF1502" i="1"/>
  <c r="L1501" i="1"/>
  <c r="G1500" i="1"/>
  <c r="AF1498" i="1"/>
  <c r="G1497" i="1"/>
  <c r="AH1495" i="1"/>
  <c r="M1494" i="1"/>
  <c r="AI1491" i="1"/>
  <c r="W1490" i="1"/>
  <c r="J1489" i="1"/>
  <c r="G1488" i="1"/>
  <c r="AH1486" i="1"/>
  <c r="M1485" i="1"/>
  <c r="G1484" i="1"/>
  <c r="AI1482" i="1"/>
  <c r="W1481" i="1"/>
  <c r="J1480" i="1"/>
  <c r="AF1477" i="1"/>
  <c r="M1476" i="1"/>
  <c r="AI1473" i="1"/>
  <c r="W1472" i="1"/>
  <c r="J1471" i="1"/>
  <c r="G1470" i="1"/>
  <c r="AH1468" i="1"/>
  <c r="M1467" i="1"/>
  <c r="G1466" i="1"/>
  <c r="AI1464" i="1"/>
  <c r="AF1463" i="1"/>
  <c r="M1462" i="1"/>
  <c r="J1461" i="1"/>
  <c r="G1460" i="1"/>
  <c r="AI1458" i="1"/>
  <c r="AF1457" i="1"/>
  <c r="M1456" i="1"/>
  <c r="J1455" i="1"/>
  <c r="G1454" i="1"/>
  <c r="AI1452" i="1"/>
  <c r="AF1451" i="1"/>
  <c r="M1450" i="1"/>
  <c r="J1449" i="1"/>
  <c r="G1448" i="1"/>
  <c r="AI1446" i="1"/>
  <c r="AF1445" i="1"/>
  <c r="M1444" i="1"/>
  <c r="J1443" i="1"/>
  <c r="G1442" i="1"/>
  <c r="AI1440" i="1"/>
  <c r="AF1439" i="1"/>
  <c r="M1438" i="1"/>
  <c r="J1437" i="1"/>
  <c r="G1436" i="1"/>
  <c r="AI1434" i="1"/>
  <c r="AF1433" i="1"/>
  <c r="M1432" i="1"/>
  <c r="J1431" i="1"/>
  <c r="G1430" i="1"/>
  <c r="AI1428" i="1"/>
  <c r="AF1427" i="1"/>
  <c r="M1426" i="1"/>
  <c r="J1425" i="1"/>
  <c r="G1424" i="1"/>
  <c r="AI1422" i="1"/>
  <c r="AF1421" i="1"/>
  <c r="M1420" i="1"/>
  <c r="J1419" i="1"/>
  <c r="G1418" i="1"/>
  <c r="AI1416" i="1"/>
  <c r="AF1415" i="1"/>
  <c r="M1414" i="1"/>
  <c r="J1413" i="1"/>
  <c r="G1412" i="1"/>
  <c r="AI1410" i="1"/>
  <c r="AF1409" i="1"/>
  <c r="M1408" i="1"/>
  <c r="J1407" i="1"/>
  <c r="G1406" i="1"/>
  <c r="AI1404" i="1"/>
  <c r="AF1403" i="1"/>
  <c r="M1402" i="1"/>
  <c r="J1401" i="1"/>
  <c r="G1400" i="1"/>
  <c r="AI1398" i="1"/>
  <c r="AF1397" i="1"/>
  <c r="M1396" i="1"/>
  <c r="J1395" i="1"/>
  <c r="G1394" i="1"/>
  <c r="AI1392" i="1"/>
  <c r="AF1391" i="1"/>
  <c r="M1390" i="1"/>
  <c r="J1389" i="1"/>
  <c r="G1388" i="1"/>
  <c r="AI1386" i="1"/>
  <c r="AF1385" i="1"/>
  <c r="M1384" i="1"/>
  <c r="J1383" i="1"/>
  <c r="G1382" i="1"/>
  <c r="AI1380" i="1"/>
  <c r="AF1379" i="1"/>
  <c r="M1378" i="1"/>
  <c r="J1377" i="1"/>
  <c r="G1376" i="1"/>
  <c r="AI1374" i="1"/>
  <c r="AF1373" i="1"/>
  <c r="M1372" i="1"/>
  <c r="J1371" i="1"/>
  <c r="G1370" i="1"/>
  <c r="AI1368" i="1"/>
  <c r="AF1367" i="1"/>
  <c r="M1366" i="1"/>
  <c r="J1365" i="1"/>
  <c r="G1364" i="1"/>
  <c r="AI1362" i="1"/>
  <c r="AF1361" i="1"/>
  <c r="M1360" i="1"/>
  <c r="J1359" i="1"/>
  <c r="G1358" i="1"/>
  <c r="AI1356" i="1"/>
  <c r="AF1355" i="1"/>
  <c r="M1354" i="1"/>
  <c r="J1353" i="1"/>
  <c r="G1352" i="1"/>
  <c r="AI1350" i="1"/>
  <c r="AF1349" i="1"/>
  <c r="M1348" i="1"/>
  <c r="J1347" i="1"/>
  <c r="G1346" i="1"/>
  <c r="AI1344" i="1"/>
  <c r="AF1343" i="1"/>
  <c r="M1342" i="1"/>
  <c r="J1341" i="1"/>
  <c r="G1340" i="1"/>
  <c r="AI1338" i="1"/>
  <c r="AF1337" i="1"/>
  <c r="M1336" i="1"/>
  <c r="J1335" i="1"/>
  <c r="G1334" i="1"/>
  <c r="AI1332" i="1"/>
  <c r="AF1331" i="1"/>
  <c r="M1330" i="1"/>
  <c r="J1329" i="1"/>
  <c r="G1328" i="1"/>
  <c r="AI1326" i="1"/>
  <c r="AF1325" i="1"/>
  <c r="M1324" i="1"/>
  <c r="J1323" i="1"/>
  <c r="G1322" i="1"/>
  <c r="AI1320" i="1"/>
  <c r="AF1319" i="1"/>
  <c r="M1318" i="1"/>
  <c r="J1317" i="1"/>
  <c r="G1316" i="1"/>
  <c r="AI1314" i="1"/>
  <c r="AF1313" i="1"/>
  <c r="M1312" i="1"/>
  <c r="J1311" i="1"/>
  <c r="G1310" i="1"/>
  <c r="AI1308" i="1"/>
  <c r="AF1307" i="1"/>
  <c r="M1306" i="1"/>
  <c r="L1305" i="1"/>
  <c r="AH1301" i="1"/>
  <c r="W1300" i="1"/>
  <c r="L1299" i="1"/>
  <c r="AH1295" i="1"/>
  <c r="W1294" i="1"/>
  <c r="L1293" i="1"/>
  <c r="AH1289" i="1"/>
  <c r="W1288" i="1"/>
  <c r="L1287" i="1"/>
  <c r="AH1283" i="1"/>
  <c r="W1282" i="1"/>
  <c r="L1281" i="1"/>
  <c r="AH1277" i="1"/>
  <c r="W1276" i="1"/>
  <c r="L1275" i="1"/>
  <c r="AH1271" i="1"/>
  <c r="W1270" i="1"/>
  <c r="L1269" i="1"/>
  <c r="AH1265" i="1"/>
  <c r="W1264" i="1"/>
  <c r="L1263" i="1"/>
  <c r="AH1259" i="1"/>
  <c r="W1258" i="1"/>
  <c r="L1257" i="1"/>
  <c r="AH1253" i="1"/>
  <c r="W1252" i="1"/>
  <c r="L1251" i="1"/>
  <c r="AH1247" i="1"/>
  <c r="W1246" i="1"/>
  <c r="L1245" i="1"/>
  <c r="AH1241" i="1"/>
  <c r="W1240" i="1"/>
  <c r="L1239" i="1"/>
  <c r="AH1235" i="1"/>
  <c r="W1234" i="1"/>
  <c r="L1233" i="1"/>
  <c r="AH1229" i="1"/>
  <c r="W1228" i="1"/>
  <c r="L1227" i="1"/>
  <c r="AH1223" i="1"/>
  <c r="W1222" i="1"/>
  <c r="L1221" i="1"/>
  <c r="AH1217" i="1"/>
  <c r="W1216" i="1"/>
  <c r="L1215" i="1"/>
  <c r="AH1211" i="1"/>
  <c r="W1210" i="1"/>
  <c r="L1209" i="1"/>
  <c r="AH1205" i="1"/>
  <c r="W1204" i="1"/>
  <c r="L1203" i="1"/>
  <c r="AH1199" i="1"/>
  <c r="W1198" i="1"/>
  <c r="L1197" i="1"/>
  <c r="AH1193" i="1"/>
  <c r="W1192" i="1"/>
  <c r="L1191" i="1"/>
  <c r="AH1187" i="1"/>
  <c r="W1186" i="1"/>
  <c r="L1185" i="1"/>
  <c r="AH1181" i="1"/>
  <c r="W1180" i="1"/>
  <c r="L1179" i="1"/>
  <c r="AH1175" i="1"/>
  <c r="W1174" i="1"/>
  <c r="L1173" i="1"/>
  <c r="AH1169" i="1"/>
  <c r="W1168" i="1"/>
  <c r="L1167" i="1"/>
  <c r="AH1163" i="1"/>
  <c r="W1162" i="1"/>
  <c r="L1161" i="1"/>
  <c r="AH1157" i="1"/>
  <c r="W1156" i="1"/>
  <c r="L1155" i="1"/>
  <c r="AH1151" i="1"/>
  <c r="W1150" i="1"/>
  <c r="L1149" i="1"/>
  <c r="AH1145" i="1"/>
  <c r="W1144" i="1"/>
  <c r="L1143" i="1"/>
  <c r="AH1139" i="1"/>
  <c r="W1138" i="1"/>
  <c r="L1137" i="1"/>
  <c r="AH1133" i="1"/>
  <c r="W1132" i="1"/>
  <c r="AH3957" i="1"/>
  <c r="W3664" i="1"/>
  <c r="AF3458" i="1"/>
  <c r="AH3207" i="1"/>
  <c r="M2995" i="1"/>
  <c r="J2767" i="1"/>
  <c r="AF2710" i="1"/>
  <c r="G2655" i="1"/>
  <c r="AH2628" i="1"/>
  <c r="M2605" i="1"/>
  <c r="W2579" i="1"/>
  <c r="G2573" i="1"/>
  <c r="G2555" i="1"/>
  <c r="M2531" i="1"/>
  <c r="AF2508" i="1"/>
  <c r="J2440" i="1"/>
  <c r="AH2425" i="1"/>
  <c r="G2412" i="1"/>
  <c r="AI2397" i="1"/>
  <c r="AI2391" i="1"/>
  <c r="AI2379" i="1"/>
  <c r="M2365" i="1"/>
  <c r="L2351" i="1"/>
  <c r="AI2338" i="1"/>
  <c r="M2310" i="1"/>
  <c r="G2305" i="1"/>
  <c r="J2299" i="1"/>
  <c r="AF2259" i="1"/>
  <c r="W2253" i="1"/>
  <c r="W2238" i="1"/>
  <c r="J2190" i="1"/>
  <c r="M2178" i="1"/>
  <c r="AI2166" i="1"/>
  <c r="AI2148" i="1"/>
  <c r="M2143" i="1"/>
  <c r="AI2139" i="1"/>
  <c r="L2129" i="1"/>
  <c r="M2124" i="1"/>
  <c r="AH2119" i="1"/>
  <c r="AH2113" i="1"/>
  <c r="AH2108" i="1"/>
  <c r="M2093" i="1"/>
  <c r="G2088" i="1"/>
  <c r="J2080" i="1"/>
  <c r="AH2075" i="1"/>
  <c r="AF2071" i="1"/>
  <c r="AI2066" i="1"/>
  <c r="J2062" i="1"/>
  <c r="J2058" i="1"/>
  <c r="M2053" i="1"/>
  <c r="AF2045" i="1"/>
  <c r="M2040" i="1"/>
  <c r="L2036" i="1"/>
  <c r="AI2032" i="1"/>
  <c r="AI2028" i="1"/>
  <c r="AI2024" i="1"/>
  <c r="L2021" i="1"/>
  <c r="M2017" i="1"/>
  <c r="G2013" i="1"/>
  <c r="L2009" i="1"/>
  <c r="AH2005" i="1"/>
  <c r="J1998" i="1"/>
  <c r="AF1995" i="1"/>
  <c r="AF1992" i="1"/>
  <c r="G1987" i="1"/>
  <c r="M1982" i="1"/>
  <c r="AI1979" i="1"/>
  <c r="L1977" i="1"/>
  <c r="AF1974" i="1"/>
  <c r="L1967" i="1"/>
  <c r="AH1964" i="1"/>
  <c r="G1962" i="1"/>
  <c r="AF1959" i="1"/>
  <c r="AF1949" i="1"/>
  <c r="G1947" i="1"/>
  <c r="L1944" i="1"/>
  <c r="J1942" i="1"/>
  <c r="AI1939" i="1"/>
  <c r="J1935" i="1"/>
  <c r="AI1932" i="1"/>
  <c r="M1928" i="1"/>
  <c r="J1923" i="1"/>
  <c r="L1921" i="1"/>
  <c r="M1916" i="1"/>
  <c r="L1914" i="1"/>
  <c r="AF1909" i="1"/>
  <c r="AI1907" i="1"/>
  <c r="W1905" i="1"/>
  <c r="M1903" i="1"/>
  <c r="AH1892" i="1"/>
  <c r="AH1888" i="1"/>
  <c r="M1886" i="1"/>
  <c r="L1884" i="1"/>
  <c r="G1882" i="1"/>
  <c r="J1880" i="1"/>
  <c r="G1878" i="1"/>
  <c r="AI1875" i="1"/>
  <c r="AF1873" i="1"/>
  <c r="AI1871" i="1"/>
  <c r="W1869" i="1"/>
  <c r="M1867" i="1"/>
  <c r="AH1856" i="1"/>
  <c r="AH1852" i="1"/>
  <c r="M1850" i="1"/>
  <c r="L1848" i="1"/>
  <c r="G1846" i="1"/>
  <c r="J1844" i="1"/>
  <c r="G1842" i="1"/>
  <c r="AI1839" i="1"/>
  <c r="AF1837" i="1"/>
  <c r="AI1835" i="1"/>
  <c r="W1833" i="1"/>
  <c r="M1831" i="1"/>
  <c r="AH1820" i="1"/>
  <c r="AH1816" i="1"/>
  <c r="M1814" i="1"/>
  <c r="L1812" i="1"/>
  <c r="G1810" i="1"/>
  <c r="J1808" i="1"/>
  <c r="G1806" i="1"/>
  <c r="AI1803" i="1"/>
  <c r="AF1801" i="1"/>
  <c r="AI1799" i="1"/>
  <c r="W1797" i="1"/>
  <c r="M1795" i="1"/>
  <c r="AH1784" i="1"/>
  <c r="AH1780" i="1"/>
  <c r="M1778" i="1"/>
  <c r="L1776" i="1"/>
  <c r="G1774" i="1"/>
  <c r="J1772" i="1"/>
  <c r="G1770" i="1"/>
  <c r="AI1767" i="1"/>
  <c r="AF1765" i="1"/>
  <c r="AI1763" i="1"/>
  <c r="W1761" i="1"/>
  <c r="M1759" i="1"/>
  <c r="AH1748" i="1"/>
  <c r="AH1744" i="1"/>
  <c r="M1742" i="1"/>
  <c r="L1740" i="1"/>
  <c r="G1738" i="1"/>
  <c r="J1736" i="1"/>
  <c r="G1734" i="1"/>
  <c r="AI1731" i="1"/>
  <c r="AF1729" i="1"/>
  <c r="AI1727" i="1"/>
  <c r="W1725" i="1"/>
  <c r="M1723" i="1"/>
  <c r="AH1712" i="1"/>
  <c r="AH1708" i="1"/>
  <c r="M1706" i="1"/>
  <c r="L1704" i="1"/>
  <c r="G1702" i="1"/>
  <c r="J1700" i="1"/>
  <c r="G1698" i="1"/>
  <c r="AI1695" i="1"/>
  <c r="AF1693" i="1"/>
  <c r="AI1691" i="1"/>
  <c r="W1689" i="1"/>
  <c r="M1687" i="1"/>
  <c r="AH1676" i="1"/>
  <c r="AH1672" i="1"/>
  <c r="M1670" i="1"/>
  <c r="L1668" i="1"/>
  <c r="G1666" i="1"/>
  <c r="J1664" i="1"/>
  <c r="G1662" i="1"/>
  <c r="AI1659" i="1"/>
  <c r="AF1657" i="1"/>
  <c r="AI1655" i="1"/>
  <c r="W1653" i="1"/>
  <c r="M1651" i="1"/>
  <c r="AH1640" i="1"/>
  <c r="AH1636" i="1"/>
  <c r="M1634" i="1"/>
  <c r="L1632" i="1"/>
  <c r="G1630" i="1"/>
  <c r="J1628" i="1"/>
  <c r="G1626" i="1"/>
  <c r="AI1623" i="1"/>
  <c r="AF1621" i="1"/>
  <c r="AI1619" i="1"/>
  <c r="W1617" i="1"/>
  <c r="M1615" i="1"/>
  <c r="AH1604" i="1"/>
  <c r="AH1600" i="1"/>
  <c r="M1598" i="1"/>
  <c r="L1596" i="1"/>
  <c r="G1594" i="1"/>
  <c r="J1592" i="1"/>
  <c r="G1590" i="1"/>
  <c r="AI1587" i="1"/>
  <c r="AF1585" i="1"/>
  <c r="AI1583" i="1"/>
  <c r="W1581" i="1"/>
  <c r="M1579" i="1"/>
  <c r="AH1568" i="1"/>
  <c r="AH1564" i="1"/>
  <c r="M1562" i="1"/>
  <c r="L1560" i="1"/>
  <c r="G1558" i="1"/>
  <c r="J1556" i="1"/>
  <c r="G1554" i="1"/>
  <c r="AI1551" i="1"/>
  <c r="AF1549" i="1"/>
  <c r="AI1547" i="1"/>
  <c r="W1545" i="1"/>
  <c r="AF1543" i="1"/>
  <c r="AF1540" i="1"/>
  <c r="AI1538" i="1"/>
  <c r="M1537" i="1"/>
  <c r="G1536" i="1"/>
  <c r="M1534" i="1"/>
  <c r="AF1531" i="1"/>
  <c r="L1530" i="1"/>
  <c r="W1527" i="1"/>
  <c r="G1526" i="1"/>
  <c r="AI1524" i="1"/>
  <c r="L1523" i="1"/>
  <c r="W1520" i="1"/>
  <c r="J1519" i="1"/>
  <c r="M1516" i="1"/>
  <c r="AF1513" i="1"/>
  <c r="L1512" i="1"/>
  <c r="W1509" i="1"/>
  <c r="G1508" i="1"/>
  <c r="AI1506" i="1"/>
  <c r="L1505" i="1"/>
  <c r="W1502" i="1"/>
  <c r="J1501" i="1"/>
  <c r="M1498" i="1"/>
  <c r="AF1495" i="1"/>
  <c r="L1494" i="1"/>
  <c r="G1493" i="1"/>
  <c r="AH1491" i="1"/>
  <c r="M1490" i="1"/>
  <c r="AF1486" i="1"/>
  <c r="J1485" i="1"/>
  <c r="AH1482" i="1"/>
  <c r="M1481" i="1"/>
  <c r="AI1478" i="1"/>
  <c r="W1477" i="1"/>
  <c r="L1476" i="1"/>
  <c r="G1475" i="1"/>
  <c r="AH1473" i="1"/>
  <c r="M1472" i="1"/>
  <c r="AF1468" i="1"/>
  <c r="J1467" i="1"/>
  <c r="AH1464" i="1"/>
  <c r="W1463" i="1"/>
  <c r="L1462" i="1"/>
  <c r="AH1458" i="1"/>
  <c r="W1457" i="1"/>
  <c r="L1456" i="1"/>
  <c r="AH1452" i="1"/>
  <c r="W1451" i="1"/>
  <c r="L1450" i="1"/>
  <c r="AH1446" i="1"/>
  <c r="W1445" i="1"/>
  <c r="L1444" i="1"/>
  <c r="AH1440" i="1"/>
  <c r="W1439" i="1"/>
  <c r="L1438" i="1"/>
  <c r="AH1434" i="1"/>
  <c r="W1433" i="1"/>
  <c r="L1432" i="1"/>
  <c r="AH1428" i="1"/>
  <c r="W1427" i="1"/>
  <c r="L1426" i="1"/>
  <c r="AH1422" i="1"/>
  <c r="W1421" i="1"/>
  <c r="L1420" i="1"/>
  <c r="AH1416" i="1"/>
  <c r="W1415" i="1"/>
  <c r="L1414" i="1"/>
  <c r="AH1410" i="1"/>
  <c r="W1409" i="1"/>
  <c r="L1408" i="1"/>
  <c r="AH1404" i="1"/>
  <c r="W1403" i="1"/>
  <c r="L1402" i="1"/>
  <c r="AH1398" i="1"/>
  <c r="W1397" i="1"/>
  <c r="L1396" i="1"/>
  <c r="AH1392" i="1"/>
  <c r="W1391" i="1"/>
  <c r="L1390" i="1"/>
  <c r="AH1386" i="1"/>
  <c r="W1385" i="1"/>
  <c r="L1384" i="1"/>
  <c r="AH1380" i="1"/>
  <c r="W1379" i="1"/>
  <c r="L1378" i="1"/>
  <c r="AH1374" i="1"/>
  <c r="W1373" i="1"/>
  <c r="L1372" i="1"/>
  <c r="AH1368" i="1"/>
  <c r="W1367" i="1"/>
  <c r="L1366" i="1"/>
  <c r="AH1362" i="1"/>
  <c r="W1361" i="1"/>
  <c r="L1360" i="1"/>
  <c r="AH1356" i="1"/>
  <c r="W1355" i="1"/>
  <c r="L1354" i="1"/>
  <c r="AH1350" i="1"/>
  <c r="W1349" i="1"/>
  <c r="L1348" i="1"/>
  <c r="AH1344" i="1"/>
  <c r="W1343" i="1"/>
  <c r="L1342" i="1"/>
  <c r="AH1338" i="1"/>
  <c r="W1337" i="1"/>
  <c r="L1336" i="1"/>
  <c r="AH1332" i="1"/>
  <c r="W1331" i="1"/>
  <c r="L1330" i="1"/>
  <c r="AH1326" i="1"/>
  <c r="W1325" i="1"/>
  <c r="L1324" i="1"/>
  <c r="AH1320" i="1"/>
  <c r="W1319" i="1"/>
  <c r="L1318" i="1"/>
  <c r="AH1314" i="1"/>
  <c r="W1313" i="1"/>
  <c r="L1312" i="1"/>
  <c r="AH1308" i="1"/>
  <c r="W1307" i="1"/>
  <c r="L1306" i="1"/>
  <c r="J1305" i="1"/>
  <c r="G1304" i="1"/>
  <c r="AI1302" i="1"/>
  <c r="AF1301" i="1"/>
  <c r="M1300" i="1"/>
  <c r="J1299" i="1"/>
  <c r="G1298" i="1"/>
  <c r="AI1296" i="1"/>
  <c r="AF1295" i="1"/>
  <c r="M1294" i="1"/>
  <c r="J1293" i="1"/>
  <c r="G1292" i="1"/>
  <c r="AI1290" i="1"/>
  <c r="AF1289" i="1"/>
  <c r="M1288" i="1"/>
  <c r="J1287" i="1"/>
  <c r="G1286" i="1"/>
  <c r="AI1284" i="1"/>
  <c r="AF1283" i="1"/>
  <c r="M1282" i="1"/>
  <c r="J1281" i="1"/>
  <c r="G1280" i="1"/>
  <c r="AI1278" i="1"/>
  <c r="AF1277" i="1"/>
  <c r="M1276" i="1"/>
  <c r="J1275" i="1"/>
  <c r="G1274" i="1"/>
  <c r="AI1272" i="1"/>
  <c r="AF1271" i="1"/>
  <c r="M1270" i="1"/>
  <c r="J1269" i="1"/>
  <c r="G1268" i="1"/>
  <c r="AI1266" i="1"/>
  <c r="AF1265" i="1"/>
  <c r="M1264" i="1"/>
  <c r="J1263" i="1"/>
  <c r="G1262" i="1"/>
  <c r="AI1260" i="1"/>
  <c r="AF1259" i="1"/>
  <c r="M1258" i="1"/>
  <c r="J1257" i="1"/>
  <c r="G1256" i="1"/>
  <c r="AI1254" i="1"/>
  <c r="AF1253" i="1"/>
  <c r="M1252" i="1"/>
  <c r="J1251" i="1"/>
  <c r="G1250" i="1"/>
  <c r="AI1248" i="1"/>
  <c r="AF1247" i="1"/>
  <c r="M1246" i="1"/>
  <c r="J1245" i="1"/>
  <c r="G1244" i="1"/>
  <c r="AI1242" i="1"/>
  <c r="AF1241" i="1"/>
  <c r="M1240" i="1"/>
  <c r="J1239" i="1"/>
  <c r="G1238" i="1"/>
  <c r="AI1236" i="1"/>
  <c r="AF1235" i="1"/>
  <c r="M1234" i="1"/>
  <c r="J1233" i="1"/>
  <c r="G1232" i="1"/>
  <c r="AI1230" i="1"/>
  <c r="AF1229" i="1"/>
  <c r="M1228" i="1"/>
  <c r="J1227" i="1"/>
  <c r="G1226" i="1"/>
  <c r="AI1224" i="1"/>
  <c r="AF1223" i="1"/>
  <c r="M1222" i="1"/>
  <c r="J1221" i="1"/>
  <c r="G1220" i="1"/>
  <c r="AI1218" i="1"/>
  <c r="AF1217" i="1"/>
  <c r="M1216" i="1"/>
  <c r="J1215" i="1"/>
  <c r="G1214" i="1"/>
  <c r="AI1212" i="1"/>
  <c r="AF1211" i="1"/>
  <c r="M1210" i="1"/>
  <c r="J1209" i="1"/>
  <c r="G1208" i="1"/>
  <c r="AI1206" i="1"/>
  <c r="J3732" i="1"/>
  <c r="AI3467" i="1"/>
  <c r="M3377" i="1"/>
  <c r="AH3310" i="1"/>
  <c r="AI3258" i="1"/>
  <c r="W3215" i="1"/>
  <c r="J3207" i="1"/>
  <c r="G3197" i="1"/>
  <c r="AH3165" i="1"/>
  <c r="G3047" i="1"/>
  <c r="AF2812" i="1"/>
  <c r="AH2680" i="1"/>
  <c r="AI2646" i="1"/>
  <c r="J2620" i="1"/>
  <c r="J2579" i="1"/>
  <c r="AI2523" i="1"/>
  <c r="M2508" i="1"/>
  <c r="G2500" i="1"/>
  <c r="L2476" i="1"/>
  <c r="M2425" i="1"/>
  <c r="AF2397" i="1"/>
  <c r="W2391" i="1"/>
  <c r="AF2331" i="1"/>
  <c r="AI2324" i="1"/>
  <c r="L2310" i="1"/>
  <c r="G2299" i="1"/>
  <c r="W2259" i="1"/>
  <c r="M2244" i="1"/>
  <c r="G2225" i="1"/>
  <c r="M2206" i="1"/>
  <c r="G2201" i="1"/>
  <c r="AH2194" i="1"/>
  <c r="G2178" i="1"/>
  <c r="G2172" i="1"/>
  <c r="L2166" i="1"/>
  <c r="W2160" i="1"/>
  <c r="J2153" i="1"/>
  <c r="L2143" i="1"/>
  <c r="AF2139" i="1"/>
  <c r="L2124" i="1"/>
  <c r="AI2097" i="1"/>
  <c r="AF2083" i="1"/>
  <c r="AF2075" i="1"/>
  <c r="AH2066" i="1"/>
  <c r="J2053" i="1"/>
  <c r="J2040" i="1"/>
  <c r="J2036" i="1"/>
  <c r="AH2032" i="1"/>
  <c r="W2028" i="1"/>
  <c r="AH2024" i="1"/>
  <c r="J2021" i="1"/>
  <c r="J2017" i="1"/>
  <c r="W2005" i="1"/>
  <c r="AF2001" i="1"/>
  <c r="G1998" i="1"/>
  <c r="G1995" i="1"/>
  <c r="W1992" i="1"/>
  <c r="AF1989" i="1"/>
  <c r="W1984" i="1"/>
  <c r="AH1979" i="1"/>
  <c r="W1974" i="1"/>
  <c r="G1972" i="1"/>
  <c r="J1969" i="1"/>
  <c r="J1967" i="1"/>
  <c r="AF1964" i="1"/>
  <c r="M1959" i="1"/>
  <c r="AH1956" i="1"/>
  <c r="AI1954" i="1"/>
  <c r="G1952" i="1"/>
  <c r="M1949" i="1"/>
  <c r="J1944" i="1"/>
  <c r="AH1939" i="1"/>
  <c r="J1937" i="1"/>
  <c r="AH1932" i="1"/>
  <c r="J1930" i="1"/>
  <c r="J1928" i="1"/>
  <c r="AF1925" i="1"/>
  <c r="J1921" i="1"/>
  <c r="AI1918" i="1"/>
  <c r="J1916" i="1"/>
  <c r="AI1911" i="1"/>
  <c r="W1909" i="1"/>
  <c r="J1907" i="1"/>
  <c r="M1905" i="1"/>
  <c r="J1903" i="1"/>
  <c r="G1901" i="1"/>
  <c r="AI1898" i="1"/>
  <c r="G1897" i="1"/>
  <c r="AI1894" i="1"/>
  <c r="AF1892" i="1"/>
  <c r="M1890" i="1"/>
  <c r="AF1888" i="1"/>
  <c r="L1886" i="1"/>
  <c r="J1884" i="1"/>
  <c r="AF1875" i="1"/>
  <c r="W1873" i="1"/>
  <c r="J1871" i="1"/>
  <c r="M1869" i="1"/>
  <c r="J1867" i="1"/>
  <c r="G1865" i="1"/>
  <c r="AI1862" i="1"/>
  <c r="G1861" i="1"/>
  <c r="AI1858" i="1"/>
  <c r="AF1856" i="1"/>
  <c r="M1854" i="1"/>
  <c r="AF1852" i="1"/>
  <c r="L1850" i="1"/>
  <c r="J1848" i="1"/>
  <c r="AF1839" i="1"/>
  <c r="W1837" i="1"/>
  <c r="J1835" i="1"/>
  <c r="M1833" i="1"/>
  <c r="J1831" i="1"/>
  <c r="G1829" i="1"/>
  <c r="AI1826" i="1"/>
  <c r="G1825" i="1"/>
  <c r="AI1822" i="1"/>
  <c r="AF1820" i="1"/>
  <c r="M1818" i="1"/>
  <c r="AF1816" i="1"/>
  <c r="L1814" i="1"/>
  <c r="J1812" i="1"/>
  <c r="AF1803" i="1"/>
  <c r="W1801" i="1"/>
  <c r="J1799" i="1"/>
  <c r="M1797" i="1"/>
  <c r="J1795" i="1"/>
  <c r="G1793" i="1"/>
  <c r="AI1790" i="1"/>
  <c r="G1789" i="1"/>
  <c r="AI1786" i="1"/>
  <c r="AF1784" i="1"/>
  <c r="M1782" i="1"/>
  <c r="AF1780" i="1"/>
  <c r="L1778" i="1"/>
  <c r="J1776" i="1"/>
  <c r="AF1767" i="1"/>
  <c r="W1765" i="1"/>
  <c r="J1763" i="1"/>
  <c r="M1761" i="1"/>
  <c r="J1759" i="1"/>
  <c r="G1757" i="1"/>
  <c r="AI1754" i="1"/>
  <c r="G1753" i="1"/>
  <c r="AI1750" i="1"/>
  <c r="AF1748" i="1"/>
  <c r="M1746" i="1"/>
  <c r="AF1744" i="1"/>
  <c r="L1742" i="1"/>
  <c r="J1740" i="1"/>
  <c r="AF1731" i="1"/>
  <c r="W1729" i="1"/>
  <c r="J1727" i="1"/>
  <c r="M1725" i="1"/>
  <c r="J1723" i="1"/>
  <c r="G1721" i="1"/>
  <c r="AI1718" i="1"/>
  <c r="G1717" i="1"/>
  <c r="AI1714" i="1"/>
  <c r="AF1712" i="1"/>
  <c r="M1710" i="1"/>
  <c r="AF1708" i="1"/>
  <c r="L1706" i="1"/>
  <c r="J1704" i="1"/>
  <c r="AF1695" i="1"/>
  <c r="W1693" i="1"/>
  <c r="J1691" i="1"/>
  <c r="M1689" i="1"/>
  <c r="J1687" i="1"/>
  <c r="G1685" i="1"/>
  <c r="AI1682" i="1"/>
  <c r="G1681" i="1"/>
  <c r="AI1678" i="1"/>
  <c r="AF1676" i="1"/>
  <c r="M1674" i="1"/>
  <c r="AF1672" i="1"/>
  <c r="L1670" i="1"/>
  <c r="J1668" i="1"/>
  <c r="AF1659" i="1"/>
  <c r="W1657" i="1"/>
  <c r="J1655" i="1"/>
  <c r="M1653" i="1"/>
  <c r="J1651" i="1"/>
  <c r="G1649" i="1"/>
  <c r="AI1646" i="1"/>
  <c r="G1645" i="1"/>
  <c r="AI1642" i="1"/>
  <c r="AF1640" i="1"/>
  <c r="M1638" i="1"/>
  <c r="AF1636" i="1"/>
  <c r="L1634" i="1"/>
  <c r="J1632" i="1"/>
  <c r="AF1623" i="1"/>
  <c r="W1621" i="1"/>
  <c r="J1619" i="1"/>
  <c r="M1617" i="1"/>
  <c r="J1615" i="1"/>
  <c r="G1613" i="1"/>
  <c r="AI1610" i="1"/>
  <c r="G1609" i="1"/>
  <c r="AI1606" i="1"/>
  <c r="AF1604" i="1"/>
  <c r="M1602" i="1"/>
  <c r="AF1600" i="1"/>
  <c r="L1598" i="1"/>
  <c r="J1596" i="1"/>
  <c r="AF1587" i="1"/>
  <c r="W1585" i="1"/>
  <c r="J1583" i="1"/>
  <c r="M1581" i="1"/>
  <c r="J1579" i="1"/>
  <c r="G1577" i="1"/>
  <c r="AI1574" i="1"/>
  <c r="G1573" i="1"/>
  <c r="AI1570" i="1"/>
  <c r="AF1568" i="1"/>
  <c r="M1566" i="1"/>
  <c r="AF1564" i="1"/>
  <c r="L1562" i="1"/>
  <c r="J1560" i="1"/>
  <c r="AF1551" i="1"/>
  <c r="W1549" i="1"/>
  <c r="J1547" i="1"/>
  <c r="M1545" i="1"/>
  <c r="W1543" i="1"/>
  <c r="G1542" i="1"/>
  <c r="M1540" i="1"/>
  <c r="AH1538" i="1"/>
  <c r="L1537" i="1"/>
  <c r="J1534" i="1"/>
  <c r="AI1532" i="1"/>
  <c r="W1531" i="1"/>
  <c r="J1530" i="1"/>
  <c r="AI1528" i="1"/>
  <c r="M1527" i="1"/>
  <c r="AF1524" i="1"/>
  <c r="J1523" i="1"/>
  <c r="AI1521" i="1"/>
  <c r="M1520" i="1"/>
  <c r="AI1517" i="1"/>
  <c r="J1516" i="1"/>
  <c r="AI1514" i="1"/>
  <c r="W1513" i="1"/>
  <c r="J1512" i="1"/>
  <c r="AI1510" i="1"/>
  <c r="M1509" i="1"/>
  <c r="AF1506" i="1"/>
  <c r="J1505" i="1"/>
  <c r="AI1503" i="1"/>
  <c r="M1502" i="1"/>
  <c r="AI1499" i="1"/>
  <c r="J1498" i="1"/>
  <c r="AI1496" i="1"/>
  <c r="W1495" i="1"/>
  <c r="J1494" i="1"/>
  <c r="AF1491" i="1"/>
  <c r="L1490" i="1"/>
  <c r="G1489" i="1"/>
  <c r="AI1487" i="1"/>
  <c r="M1486" i="1"/>
  <c r="AI1483" i="1"/>
  <c r="AF1482" i="1"/>
  <c r="L1481" i="1"/>
  <c r="G1480" i="1"/>
  <c r="AH1478" i="1"/>
  <c r="M1477" i="1"/>
  <c r="J1476" i="1"/>
  <c r="AF1473" i="1"/>
  <c r="L1472" i="1"/>
  <c r="G1471" i="1"/>
  <c r="AI1469" i="1"/>
  <c r="M1468" i="1"/>
  <c r="AI1465" i="1"/>
  <c r="AF1464" i="1"/>
  <c r="M1463" i="1"/>
  <c r="J1462" i="1"/>
  <c r="G1461" i="1"/>
  <c r="AI1459" i="1"/>
  <c r="AF1458" i="1"/>
  <c r="M1457" i="1"/>
  <c r="J1456" i="1"/>
  <c r="G1455" i="1"/>
  <c r="AI1453" i="1"/>
  <c r="AF1452" i="1"/>
  <c r="M1451" i="1"/>
  <c r="J1450" i="1"/>
  <c r="G1449" i="1"/>
  <c r="AI1447" i="1"/>
  <c r="AF1446" i="1"/>
  <c r="M1445" i="1"/>
  <c r="J1444" i="1"/>
  <c r="G1443" i="1"/>
  <c r="AI1441" i="1"/>
  <c r="AF1440" i="1"/>
  <c r="M1439" i="1"/>
  <c r="J1438" i="1"/>
  <c r="G1437" i="1"/>
  <c r="AI1435" i="1"/>
  <c r="AF1434" i="1"/>
  <c r="M1433" i="1"/>
  <c r="J1432" i="1"/>
  <c r="G1431" i="1"/>
  <c r="AI1429" i="1"/>
  <c r="AF1428" i="1"/>
  <c r="M1427" i="1"/>
  <c r="J1426" i="1"/>
  <c r="G1425" i="1"/>
  <c r="AI1423" i="1"/>
  <c r="AF1422" i="1"/>
  <c r="M1421" i="1"/>
  <c r="J1420" i="1"/>
  <c r="G1419" i="1"/>
  <c r="AI1417" i="1"/>
  <c r="AF1416" i="1"/>
  <c r="M1415" i="1"/>
  <c r="J1414" i="1"/>
  <c r="G1413" i="1"/>
  <c r="AI1411" i="1"/>
  <c r="AF1410" i="1"/>
  <c r="M1409" i="1"/>
  <c r="J1408" i="1"/>
  <c r="G1407" i="1"/>
  <c r="AI1405" i="1"/>
  <c r="AF1404" i="1"/>
  <c r="M1403" i="1"/>
  <c r="J1402" i="1"/>
  <c r="G1401" i="1"/>
  <c r="AI1399" i="1"/>
  <c r="AF1398" i="1"/>
  <c r="M1397" i="1"/>
  <c r="J1396" i="1"/>
  <c r="G1395" i="1"/>
  <c r="AI1393" i="1"/>
  <c r="AF1392" i="1"/>
  <c r="M1391" i="1"/>
  <c r="J1390" i="1"/>
  <c r="G1389" i="1"/>
  <c r="AI1387" i="1"/>
  <c r="AF1386" i="1"/>
  <c r="M1385" i="1"/>
  <c r="J1384" i="1"/>
  <c r="G1383" i="1"/>
  <c r="AI1381" i="1"/>
  <c r="AF1380" i="1"/>
  <c r="M1379" i="1"/>
  <c r="J1378" i="1"/>
  <c r="G1377" i="1"/>
  <c r="AI1375" i="1"/>
  <c r="AF1374" i="1"/>
  <c r="M1373" i="1"/>
  <c r="J1372" i="1"/>
  <c r="G1371" i="1"/>
  <c r="AI1369" i="1"/>
  <c r="AF1368" i="1"/>
  <c r="M1367" i="1"/>
  <c r="J1366" i="1"/>
  <c r="G1365" i="1"/>
  <c r="AI1363" i="1"/>
  <c r="AF1362" i="1"/>
  <c r="M1361" i="1"/>
  <c r="J1360" i="1"/>
  <c r="G1359" i="1"/>
  <c r="AI1357" i="1"/>
  <c r="AF1356" i="1"/>
  <c r="M1355" i="1"/>
  <c r="J1354" i="1"/>
  <c r="G1353" i="1"/>
  <c r="AI1351" i="1"/>
  <c r="AF1350" i="1"/>
  <c r="M1349" i="1"/>
  <c r="J1348" i="1"/>
  <c r="G1347" i="1"/>
  <c r="AI1345" i="1"/>
  <c r="AF1344" i="1"/>
  <c r="M1343" i="1"/>
  <c r="J1342" i="1"/>
  <c r="G1341" i="1"/>
  <c r="AI1339" i="1"/>
  <c r="AF1338" i="1"/>
  <c r="M1337" i="1"/>
  <c r="J1336" i="1"/>
  <c r="G1335" i="1"/>
  <c r="AI1333" i="1"/>
  <c r="AF1332" i="1"/>
  <c r="M1331" i="1"/>
  <c r="J1330" i="1"/>
  <c r="G1329" i="1"/>
  <c r="AI1327" i="1"/>
  <c r="AF1326" i="1"/>
  <c r="M1325" i="1"/>
  <c r="J1324" i="1"/>
  <c r="G1323" i="1"/>
  <c r="AI1321" i="1"/>
  <c r="AF1320" i="1"/>
  <c r="M1319" i="1"/>
  <c r="J1318" i="1"/>
  <c r="G1317" i="1"/>
  <c r="AI1315" i="1"/>
  <c r="AF1314" i="1"/>
  <c r="M1313" i="1"/>
  <c r="J1312" i="1"/>
  <c r="G1311" i="1"/>
  <c r="AI1309" i="1"/>
  <c r="AF1308" i="1"/>
  <c r="M1307" i="1"/>
  <c r="J1306" i="1"/>
  <c r="AH1302" i="1"/>
  <c r="W1301" i="1"/>
  <c r="L1300" i="1"/>
  <c r="AH1296" i="1"/>
  <c r="W1295" i="1"/>
  <c r="L1294" i="1"/>
  <c r="AH1290" i="1"/>
  <c r="W1289" i="1"/>
  <c r="L1288" i="1"/>
  <c r="AH1284" i="1"/>
  <c r="W1283" i="1"/>
  <c r="L1282" i="1"/>
  <c r="AH1278" i="1"/>
  <c r="W1277" i="1"/>
  <c r="L1276" i="1"/>
  <c r="AH1272" i="1"/>
  <c r="W1271" i="1"/>
  <c r="L1270" i="1"/>
  <c r="AH1266" i="1"/>
  <c r="W1265" i="1"/>
  <c r="L1264" i="1"/>
  <c r="AH1260" i="1"/>
  <c r="W1259" i="1"/>
  <c r="L1258" i="1"/>
  <c r="AH1254" i="1"/>
  <c r="W1253" i="1"/>
  <c r="L1252" i="1"/>
  <c r="AH1248" i="1"/>
  <c r="W1247" i="1"/>
  <c r="L1246" i="1"/>
  <c r="AH1242" i="1"/>
  <c r="W1241" i="1"/>
  <c r="L1240" i="1"/>
  <c r="AH1236" i="1"/>
  <c r="W1235" i="1"/>
  <c r="L1234" i="1"/>
  <c r="AH1230" i="1"/>
  <c r="W1229" i="1"/>
  <c r="L1228" i="1"/>
  <c r="AH1224" i="1"/>
  <c r="W1223" i="1"/>
  <c r="L1222" i="1"/>
  <c r="AH1218" i="1"/>
  <c r="W1217" i="1"/>
  <c r="L1216" i="1"/>
  <c r="AH1212" i="1"/>
  <c r="W1211" i="1"/>
  <c r="L1210" i="1"/>
  <c r="AH1206" i="1"/>
  <c r="W1205" i="1"/>
  <c r="L1204" i="1"/>
  <c r="AH1200" i="1"/>
  <c r="W1199" i="1"/>
  <c r="L1198" i="1"/>
  <c r="AH1194" i="1"/>
  <c r="W1193" i="1"/>
  <c r="L1192" i="1"/>
  <c r="AH1188" i="1"/>
  <c r="W1187" i="1"/>
  <c r="L1186" i="1"/>
  <c r="AH1182" i="1"/>
  <c r="W1181" i="1"/>
  <c r="L1180" i="1"/>
  <c r="AH1176" i="1"/>
  <c r="W1175" i="1"/>
  <c r="L1174" i="1"/>
  <c r="AH1170" i="1"/>
  <c r="W1169" i="1"/>
  <c r="L1168" i="1"/>
  <c r="AH1164" i="1"/>
  <c r="W1163" i="1"/>
  <c r="L1162" i="1"/>
  <c r="AH1158" i="1"/>
  <c r="W1157" i="1"/>
  <c r="L1156" i="1"/>
  <c r="AH1152" i="1"/>
  <c r="W1151" i="1"/>
  <c r="L1150" i="1"/>
  <c r="AH1146" i="1"/>
  <c r="W1145" i="1"/>
  <c r="L1144" i="1"/>
  <c r="AH1140" i="1"/>
  <c r="W1139" i="1"/>
  <c r="L1138" i="1"/>
  <c r="AH1134" i="1"/>
  <c r="W1133" i="1"/>
  <c r="L1132" i="1"/>
  <c r="W4360" i="1"/>
  <c r="W4122" i="1"/>
  <c r="G3673" i="1"/>
  <c r="W3410" i="1"/>
  <c r="AH3277" i="1"/>
  <c r="M3215" i="1"/>
  <c r="AF3089" i="1"/>
  <c r="M3024" i="1"/>
  <c r="AI2983" i="1"/>
  <c r="L2973" i="1"/>
  <c r="J2774" i="1"/>
  <c r="G2700" i="1"/>
  <c r="M2671" i="1"/>
  <c r="G2636" i="1"/>
  <c r="M2611" i="1"/>
  <c r="L2562" i="1"/>
  <c r="AF2537" i="1"/>
  <c r="AH2514" i="1"/>
  <c r="W2482" i="1"/>
  <c r="W2403" i="1"/>
  <c r="AH2383" i="1"/>
  <c r="G2357" i="1"/>
  <c r="AH2350" i="1"/>
  <c r="AH2324" i="1"/>
  <c r="M2316" i="1"/>
  <c r="W2304" i="1"/>
  <c r="L2291" i="1"/>
  <c r="J2285" i="1"/>
  <c r="AH2278" i="1"/>
  <c r="AH2272" i="1"/>
  <c r="L2264" i="1"/>
  <c r="L2244" i="1"/>
  <c r="AI2230" i="1"/>
  <c r="G2218" i="1"/>
  <c r="G2206" i="1"/>
  <c r="AF2194" i="1"/>
  <c r="AI2189" i="1"/>
  <c r="J2139" i="1"/>
  <c r="AF2133" i="1"/>
  <c r="AI2112" i="1"/>
  <c r="AI2102" i="1"/>
  <c r="AI2087" i="1"/>
  <c r="M2083" i="1"/>
  <c r="J2070" i="1"/>
  <c r="L2061" i="1"/>
  <c r="G2053" i="1"/>
  <c r="G2040" i="1"/>
  <c r="M2028" i="1"/>
  <c r="AF2024" i="1"/>
  <c r="L2012" i="1"/>
  <c r="L2008" i="1"/>
  <c r="J2005" i="1"/>
  <c r="M2001" i="1"/>
  <c r="M1989" i="1"/>
  <c r="AH1986" i="1"/>
  <c r="M1984" i="1"/>
  <c r="AH1981" i="1"/>
  <c r="AF1979" i="1"/>
  <c r="G1977" i="1"/>
  <c r="L1974" i="1"/>
  <c r="G1969" i="1"/>
  <c r="M1964" i="1"/>
  <c r="AI1961" i="1"/>
  <c r="L1959" i="1"/>
  <c r="AF1956" i="1"/>
  <c r="L1949" i="1"/>
  <c r="AH1946" i="1"/>
  <c r="G1942" i="1"/>
  <c r="AF1939" i="1"/>
  <c r="G1935" i="1"/>
  <c r="W1932" i="1"/>
  <c r="G1928" i="1"/>
  <c r="W1925" i="1"/>
  <c r="G1923" i="1"/>
  <c r="AF1918" i="1"/>
  <c r="G1916" i="1"/>
  <c r="AF1913" i="1"/>
  <c r="AH1911" i="1"/>
  <c r="M1909" i="1"/>
  <c r="AH1898" i="1"/>
  <c r="AH1894" i="1"/>
  <c r="M1892" i="1"/>
  <c r="L1890" i="1"/>
  <c r="G1888" i="1"/>
  <c r="J1886" i="1"/>
  <c r="G1884" i="1"/>
  <c r="AI1881" i="1"/>
  <c r="AF1879" i="1"/>
  <c r="AI1877" i="1"/>
  <c r="W1875" i="1"/>
  <c r="M1873" i="1"/>
  <c r="AH1862" i="1"/>
  <c r="AH1858" i="1"/>
  <c r="M1856" i="1"/>
  <c r="L1854" i="1"/>
  <c r="G1852" i="1"/>
  <c r="J1850" i="1"/>
  <c r="G1848" i="1"/>
  <c r="AI1845" i="1"/>
  <c r="AF1843" i="1"/>
  <c r="AI1841" i="1"/>
  <c r="W1839" i="1"/>
  <c r="M1837" i="1"/>
  <c r="AH1826" i="1"/>
  <c r="AH1822" i="1"/>
  <c r="M1820" i="1"/>
  <c r="L1818" i="1"/>
  <c r="G1816" i="1"/>
  <c r="J1814" i="1"/>
  <c r="G1812" i="1"/>
  <c r="AI1809" i="1"/>
  <c r="AF1807" i="1"/>
  <c r="AI1805" i="1"/>
  <c r="W1803" i="1"/>
  <c r="M1801" i="1"/>
  <c r="AH1790" i="1"/>
  <c r="AH1786" i="1"/>
  <c r="M1784" i="1"/>
  <c r="L1782" i="1"/>
  <c r="G1780" i="1"/>
  <c r="J1778" i="1"/>
  <c r="G1776" i="1"/>
  <c r="AI1773" i="1"/>
  <c r="AF1771" i="1"/>
  <c r="AI1769" i="1"/>
  <c r="W1767" i="1"/>
  <c r="M1765" i="1"/>
  <c r="AH1754" i="1"/>
  <c r="AH1750" i="1"/>
  <c r="M1748" i="1"/>
  <c r="L1746" i="1"/>
  <c r="G1744" i="1"/>
  <c r="J1742" i="1"/>
  <c r="G1740" i="1"/>
  <c r="AI1737" i="1"/>
  <c r="AF1735" i="1"/>
  <c r="AI1733" i="1"/>
  <c r="W1731" i="1"/>
  <c r="M1729" i="1"/>
  <c r="AH1718" i="1"/>
  <c r="AH1714" i="1"/>
  <c r="M1712" i="1"/>
  <c r="L1710" i="1"/>
  <c r="G1708" i="1"/>
  <c r="J1706" i="1"/>
  <c r="G1704" i="1"/>
  <c r="AI1701" i="1"/>
  <c r="AF1699" i="1"/>
  <c r="AI1697" i="1"/>
  <c r="W1695" i="1"/>
  <c r="M1693" i="1"/>
  <c r="AH1682" i="1"/>
  <c r="AH1678" i="1"/>
  <c r="M1676" i="1"/>
  <c r="L1674" i="1"/>
  <c r="G1672" i="1"/>
  <c r="J1670" i="1"/>
  <c r="G1668" i="1"/>
  <c r="AI1665" i="1"/>
  <c r="AF1663" i="1"/>
  <c r="AI1661" i="1"/>
  <c r="W1659" i="1"/>
  <c r="M1657" i="1"/>
  <c r="AH1646" i="1"/>
  <c r="AH1642" i="1"/>
  <c r="M1640" i="1"/>
  <c r="L1638" i="1"/>
  <c r="G1636" i="1"/>
  <c r="J1634" i="1"/>
  <c r="G1632" i="1"/>
  <c r="AI1629" i="1"/>
  <c r="AF1627" i="1"/>
  <c r="AI1625" i="1"/>
  <c r="W1623" i="1"/>
  <c r="M1621" i="1"/>
  <c r="AH1610" i="1"/>
  <c r="AH1606" i="1"/>
  <c r="M1604" i="1"/>
  <c r="L1602" i="1"/>
  <c r="G1600" i="1"/>
  <c r="J1598" i="1"/>
  <c r="G1596" i="1"/>
  <c r="AI1593" i="1"/>
  <c r="AF1591" i="1"/>
  <c r="AI1589" i="1"/>
  <c r="W1587" i="1"/>
  <c r="M1585" i="1"/>
  <c r="AH1574" i="1"/>
  <c r="AH1570" i="1"/>
  <c r="M1568" i="1"/>
  <c r="L1566" i="1"/>
  <c r="G1564" i="1"/>
  <c r="J1562" i="1"/>
  <c r="G1560" i="1"/>
  <c r="AI1557" i="1"/>
  <c r="AF1555" i="1"/>
  <c r="AI1553" i="1"/>
  <c r="W1551" i="1"/>
  <c r="M1549" i="1"/>
  <c r="M1543" i="1"/>
  <c r="AF1538" i="1"/>
  <c r="J1537" i="1"/>
  <c r="AI1535" i="1"/>
  <c r="AH1532" i="1"/>
  <c r="M1531" i="1"/>
  <c r="AH1528" i="1"/>
  <c r="J1527" i="1"/>
  <c r="AI1525" i="1"/>
  <c r="W1524" i="1"/>
  <c r="AH1521" i="1"/>
  <c r="L1520" i="1"/>
  <c r="G1519" i="1"/>
  <c r="AF1517" i="1"/>
  <c r="AH1514" i="1"/>
  <c r="M1513" i="1"/>
  <c r="AH1510" i="1"/>
  <c r="J1509" i="1"/>
  <c r="AI1507" i="1"/>
  <c r="W1506" i="1"/>
  <c r="AH1503" i="1"/>
  <c r="L1502" i="1"/>
  <c r="G1501" i="1"/>
  <c r="AF1499" i="1"/>
  <c r="AH1496" i="1"/>
  <c r="M1495" i="1"/>
  <c r="AI1492" i="1"/>
  <c r="W1491" i="1"/>
  <c r="J1490" i="1"/>
  <c r="AF1487" i="1"/>
  <c r="L1486" i="1"/>
  <c r="G1485" i="1"/>
  <c r="AH1483" i="1"/>
  <c r="W1482" i="1"/>
  <c r="J1481" i="1"/>
  <c r="AF1478" i="1"/>
  <c r="L1477" i="1"/>
  <c r="AI1474" i="1"/>
  <c r="W1473" i="1"/>
  <c r="J1472" i="1"/>
  <c r="AF1469" i="1"/>
  <c r="L1468" i="1"/>
  <c r="G1467" i="1"/>
  <c r="AH1465" i="1"/>
  <c r="W1464" i="1"/>
  <c r="L1463" i="1"/>
  <c r="AH1459" i="1"/>
  <c r="W1458" i="1"/>
  <c r="L1457" i="1"/>
  <c r="AH1453" i="1"/>
  <c r="W1452" i="1"/>
  <c r="L1451" i="1"/>
  <c r="AH1447" i="1"/>
  <c r="W1446" i="1"/>
  <c r="L1445" i="1"/>
  <c r="AH1441" i="1"/>
  <c r="W1440" i="1"/>
  <c r="L1439" i="1"/>
  <c r="AH1435" i="1"/>
  <c r="W1434" i="1"/>
  <c r="L1433" i="1"/>
  <c r="AH1429" i="1"/>
  <c r="W1428" i="1"/>
  <c r="L1427" i="1"/>
  <c r="AH1423" i="1"/>
  <c r="W1422" i="1"/>
  <c r="L1421" i="1"/>
  <c r="AH1417" i="1"/>
  <c r="W1416" i="1"/>
  <c r="L1415" i="1"/>
  <c r="AH1411" i="1"/>
  <c r="W1410" i="1"/>
  <c r="L1409" i="1"/>
  <c r="AH1405" i="1"/>
  <c r="W1404" i="1"/>
  <c r="L1403" i="1"/>
  <c r="AH1399" i="1"/>
  <c r="W1398" i="1"/>
  <c r="L1397" i="1"/>
  <c r="AH1393" i="1"/>
  <c r="W1392" i="1"/>
  <c r="L1391" i="1"/>
  <c r="AH1387" i="1"/>
  <c r="W1386" i="1"/>
  <c r="L1385" i="1"/>
  <c r="AH1381" i="1"/>
  <c r="W1380" i="1"/>
  <c r="L1379" i="1"/>
  <c r="AH1375" i="1"/>
  <c r="W1374" i="1"/>
  <c r="L1373" i="1"/>
  <c r="AH1369" i="1"/>
  <c r="W1368" i="1"/>
  <c r="L1367" i="1"/>
  <c r="AH1363" i="1"/>
  <c r="W1362" i="1"/>
  <c r="L1361" i="1"/>
  <c r="AH1357" i="1"/>
  <c r="W1356" i="1"/>
  <c r="L1355" i="1"/>
  <c r="AH1351" i="1"/>
  <c r="W1350" i="1"/>
  <c r="L1349" i="1"/>
  <c r="AH1345" i="1"/>
  <c r="W1344" i="1"/>
  <c r="L1343" i="1"/>
  <c r="AH1339" i="1"/>
  <c r="W1338" i="1"/>
  <c r="L1337" i="1"/>
  <c r="AH1333" i="1"/>
  <c r="W1332" i="1"/>
  <c r="L1331" i="1"/>
  <c r="AH1327" i="1"/>
  <c r="W1326" i="1"/>
  <c r="L1325" i="1"/>
  <c r="AH1321" i="1"/>
  <c r="W1320" i="1"/>
  <c r="L1319" i="1"/>
  <c r="AH1315" i="1"/>
  <c r="W1314" i="1"/>
  <c r="L1313" i="1"/>
  <c r="AH1309" i="1"/>
  <c r="W1308" i="1"/>
  <c r="L1307" i="1"/>
  <c r="G1305" i="1"/>
  <c r="AI1303" i="1"/>
  <c r="AF1302" i="1"/>
  <c r="M1301" i="1"/>
  <c r="J1300" i="1"/>
  <c r="G1299" i="1"/>
  <c r="AI1297" i="1"/>
  <c r="AF1296" i="1"/>
  <c r="M1295" i="1"/>
  <c r="J1294" i="1"/>
  <c r="G1293" i="1"/>
  <c r="AI1291" i="1"/>
  <c r="AF1290" i="1"/>
  <c r="M1289" i="1"/>
  <c r="J1288" i="1"/>
  <c r="G1287" i="1"/>
  <c r="AI1285" i="1"/>
  <c r="AF1284" i="1"/>
  <c r="M1283" i="1"/>
  <c r="J1282" i="1"/>
  <c r="G1281" i="1"/>
  <c r="AI1279" i="1"/>
  <c r="AF1278" i="1"/>
  <c r="M1277" i="1"/>
  <c r="J1276" i="1"/>
  <c r="G1275" i="1"/>
  <c r="AI1273" i="1"/>
  <c r="AF1272" i="1"/>
  <c r="M1271" i="1"/>
  <c r="J1270" i="1"/>
  <c r="G1269" i="1"/>
  <c r="AI1267" i="1"/>
  <c r="AF1266" i="1"/>
  <c r="M1265" i="1"/>
  <c r="J1264" i="1"/>
  <c r="G1263" i="1"/>
  <c r="AI1261" i="1"/>
  <c r="AF1260" i="1"/>
  <c r="M1259" i="1"/>
  <c r="J1258" i="1"/>
  <c r="G1257" i="1"/>
  <c r="AI1255" i="1"/>
  <c r="AF1254" i="1"/>
  <c r="M1253" i="1"/>
  <c r="J1252" i="1"/>
  <c r="G1251" i="1"/>
  <c r="AI1249" i="1"/>
  <c r="AF1248" i="1"/>
  <c r="M1247" i="1"/>
  <c r="J1246" i="1"/>
  <c r="G1245" i="1"/>
  <c r="AI1243" i="1"/>
  <c r="AF1242" i="1"/>
  <c r="M1241" i="1"/>
  <c r="J1240" i="1"/>
  <c r="G1239" i="1"/>
  <c r="AI1237" i="1"/>
  <c r="AF1236" i="1"/>
  <c r="M1235" i="1"/>
  <c r="J1234" i="1"/>
  <c r="G1233" i="1"/>
  <c r="AI1231" i="1"/>
  <c r="AF1230" i="1"/>
  <c r="M1229" i="1"/>
  <c r="J1228" i="1"/>
  <c r="G1227" i="1"/>
  <c r="AI1225" i="1"/>
  <c r="AF1224" i="1"/>
  <c r="M1223" i="1"/>
  <c r="J1222" i="1"/>
  <c r="G1221" i="1"/>
  <c r="AI1219" i="1"/>
  <c r="AF1218" i="1"/>
  <c r="M1217" i="1"/>
  <c r="J1216" i="1"/>
  <c r="G1215" i="1"/>
  <c r="AI1213" i="1"/>
  <c r="AF1212" i="1"/>
  <c r="M1211" i="1"/>
  <c r="J1210" i="1"/>
  <c r="G1209" i="1"/>
  <c r="AI1207" i="1"/>
  <c r="AF1206" i="1"/>
  <c r="M1205" i="1"/>
  <c r="J1204" i="1"/>
  <c r="G1203" i="1"/>
  <c r="AI1201" i="1"/>
  <c r="AH4144" i="1"/>
  <c r="AF3386" i="1"/>
  <c r="W3277" i="1"/>
  <c r="M3173" i="1"/>
  <c r="W3068" i="1"/>
  <c r="G2941" i="1"/>
  <c r="M2930" i="1"/>
  <c r="AI2893" i="1"/>
  <c r="G2851" i="1"/>
  <c r="J2792" i="1"/>
  <c r="AI2783" i="1"/>
  <c r="M2745" i="1"/>
  <c r="L2679" i="1"/>
  <c r="M2626" i="1"/>
  <c r="J2562" i="1"/>
  <c r="L2544" i="1"/>
  <c r="W2537" i="1"/>
  <c r="AF2514" i="1"/>
  <c r="W2507" i="1"/>
  <c r="M2482" i="1"/>
  <c r="G2456" i="1"/>
  <c r="J2438" i="1"/>
  <c r="AI2416" i="1"/>
  <c r="AI2410" i="1"/>
  <c r="AI2396" i="1"/>
  <c r="AF2383" i="1"/>
  <c r="AH2377" i="1"/>
  <c r="W2370" i="1"/>
  <c r="L2363" i="1"/>
  <c r="AF2350" i="1"/>
  <c r="AH2336" i="1"/>
  <c r="L2304" i="1"/>
  <c r="J2291" i="1"/>
  <c r="AF2278" i="1"/>
  <c r="J2264" i="1"/>
  <c r="AH2258" i="1"/>
  <c r="AF2236" i="1"/>
  <c r="AF2230" i="1"/>
  <c r="W2211" i="1"/>
  <c r="M2194" i="1"/>
  <c r="G2165" i="1"/>
  <c r="AH2152" i="1"/>
  <c r="M2142" i="1"/>
  <c r="M2133" i="1"/>
  <c r="AI2127" i="1"/>
  <c r="AF2123" i="1"/>
  <c r="AI2117" i="1"/>
  <c r="M2112" i="1"/>
  <c r="AH2106" i="1"/>
  <c r="AI2096" i="1"/>
  <c r="AI2091" i="1"/>
  <c r="J2083" i="1"/>
  <c r="AH2078" i="1"/>
  <c r="AI2074" i="1"/>
  <c r="G2070" i="1"/>
  <c r="G2065" i="1"/>
  <c r="J2061" i="1"/>
  <c r="AI2056" i="1"/>
  <c r="AI2048" i="1"/>
  <c r="L2043" i="1"/>
  <c r="W2031" i="1"/>
  <c r="AI2016" i="1"/>
  <c r="G2001" i="1"/>
  <c r="AH1997" i="1"/>
  <c r="AF1994" i="1"/>
  <c r="AF1991" i="1"/>
  <c r="L1989" i="1"/>
  <c r="AF1986" i="1"/>
  <c r="L1984" i="1"/>
  <c r="AF1981" i="1"/>
  <c r="G1979" i="1"/>
  <c r="J1974" i="1"/>
  <c r="AF1971" i="1"/>
  <c r="W1966" i="1"/>
  <c r="AH1961" i="1"/>
  <c r="W1956" i="1"/>
  <c r="G1954" i="1"/>
  <c r="J1951" i="1"/>
  <c r="J1949" i="1"/>
  <c r="AF1946" i="1"/>
  <c r="M1939" i="1"/>
  <c r="G1937" i="1"/>
  <c r="M1932" i="1"/>
  <c r="G1930" i="1"/>
  <c r="M1925" i="1"/>
  <c r="W1920" i="1"/>
  <c r="M1918" i="1"/>
  <c r="W1913" i="1"/>
  <c r="AF1911" i="1"/>
  <c r="J1909" i="1"/>
  <c r="G1907" i="1"/>
  <c r="AI1904" i="1"/>
  <c r="G1903" i="1"/>
  <c r="AI1900" i="1"/>
  <c r="AF1898" i="1"/>
  <c r="M1896" i="1"/>
  <c r="AF1894" i="1"/>
  <c r="L1892" i="1"/>
  <c r="J1890" i="1"/>
  <c r="AF1881" i="1"/>
  <c r="W1879" i="1"/>
  <c r="J1877" i="1"/>
  <c r="M1875" i="1"/>
  <c r="J1873" i="1"/>
  <c r="G1871" i="1"/>
  <c r="AI1868" i="1"/>
  <c r="G1867" i="1"/>
  <c r="AI1864" i="1"/>
  <c r="AF1862" i="1"/>
  <c r="M1860" i="1"/>
  <c r="AF1858" i="1"/>
  <c r="L1856" i="1"/>
  <c r="J1854" i="1"/>
  <c r="AF1845" i="1"/>
  <c r="W1843" i="1"/>
  <c r="J1841" i="1"/>
  <c r="M1839" i="1"/>
  <c r="J1837" i="1"/>
  <c r="G1835" i="1"/>
  <c r="AI1832" i="1"/>
  <c r="G1831" i="1"/>
  <c r="AI1828" i="1"/>
  <c r="AF1826" i="1"/>
  <c r="M1824" i="1"/>
  <c r="AF1822" i="1"/>
  <c r="L1820" i="1"/>
  <c r="J1818" i="1"/>
  <c r="AF1809" i="1"/>
  <c r="W1807" i="1"/>
  <c r="J1805" i="1"/>
  <c r="M1803" i="1"/>
  <c r="J1801" i="1"/>
  <c r="G1799" i="1"/>
  <c r="AI1796" i="1"/>
  <c r="G1795" i="1"/>
  <c r="AI1792" i="1"/>
  <c r="AF1790" i="1"/>
  <c r="M1788" i="1"/>
  <c r="AF1786" i="1"/>
  <c r="L1784" i="1"/>
  <c r="J1782" i="1"/>
  <c r="AF1773" i="1"/>
  <c r="W1771" i="1"/>
  <c r="J1769" i="1"/>
  <c r="M1767" i="1"/>
  <c r="J1765" i="1"/>
  <c r="G1763" i="1"/>
  <c r="AI1760" i="1"/>
  <c r="G1759" i="1"/>
  <c r="AI1756" i="1"/>
  <c r="AF1754" i="1"/>
  <c r="M1752" i="1"/>
  <c r="AF1750" i="1"/>
  <c r="L1748" i="1"/>
  <c r="J1746" i="1"/>
  <c r="AF1737" i="1"/>
  <c r="W1735" i="1"/>
  <c r="J1733" i="1"/>
  <c r="M1731" i="1"/>
  <c r="J1729" i="1"/>
  <c r="G1727" i="1"/>
  <c r="AI1724" i="1"/>
  <c r="G1723" i="1"/>
  <c r="AI1720" i="1"/>
  <c r="AF1718" i="1"/>
  <c r="M1716" i="1"/>
  <c r="AF1714" i="1"/>
  <c r="L1712" i="1"/>
  <c r="J1710" i="1"/>
  <c r="AF1701" i="1"/>
  <c r="W1699" i="1"/>
  <c r="J1697" i="1"/>
  <c r="M1695" i="1"/>
  <c r="J1693" i="1"/>
  <c r="G1691" i="1"/>
  <c r="AI1688" i="1"/>
  <c r="G1687" i="1"/>
  <c r="AI1684" i="1"/>
  <c r="AF1682" i="1"/>
  <c r="M1680" i="1"/>
  <c r="AF1678" i="1"/>
  <c r="L1676" i="1"/>
  <c r="J1674" i="1"/>
  <c r="AF1665" i="1"/>
  <c r="W1663" i="1"/>
  <c r="J1661" i="1"/>
  <c r="M1659" i="1"/>
  <c r="J1657" i="1"/>
  <c r="G1655" i="1"/>
  <c r="AI1652" i="1"/>
  <c r="G1651" i="1"/>
  <c r="AI1648" i="1"/>
  <c r="AF1646" i="1"/>
  <c r="M1644" i="1"/>
  <c r="AF1642" i="1"/>
  <c r="L1640" i="1"/>
  <c r="J1638" i="1"/>
  <c r="AF1629" i="1"/>
  <c r="W1627" i="1"/>
  <c r="J1625" i="1"/>
  <c r="M1623" i="1"/>
  <c r="J1621" i="1"/>
  <c r="G1619" i="1"/>
  <c r="AI1616" i="1"/>
  <c r="G1615" i="1"/>
  <c r="AI1612" i="1"/>
  <c r="AF1610" i="1"/>
  <c r="M1608" i="1"/>
  <c r="AF1606" i="1"/>
  <c r="L1604" i="1"/>
  <c r="J1602" i="1"/>
  <c r="AF1593" i="1"/>
  <c r="W1591" i="1"/>
  <c r="J1589" i="1"/>
  <c r="M1587" i="1"/>
  <c r="J1585" i="1"/>
  <c r="G1583" i="1"/>
  <c r="AI1580" i="1"/>
  <c r="G1579" i="1"/>
  <c r="AI1576" i="1"/>
  <c r="AF1574" i="1"/>
  <c r="M1572" i="1"/>
  <c r="AF1570" i="1"/>
  <c r="L1568" i="1"/>
  <c r="J1566" i="1"/>
  <c r="AF1557" i="1"/>
  <c r="W1555" i="1"/>
  <c r="J1553" i="1"/>
  <c r="M1551" i="1"/>
  <c r="J1549" i="1"/>
  <c r="G1547" i="1"/>
  <c r="AI1544" i="1"/>
  <c r="L1543" i="1"/>
  <c r="AI1541" i="1"/>
  <c r="G1540" i="1"/>
  <c r="W1538" i="1"/>
  <c r="AF1535" i="1"/>
  <c r="G1534" i="1"/>
  <c r="AF1532" i="1"/>
  <c r="L1531" i="1"/>
  <c r="G1530" i="1"/>
  <c r="AF1528" i="1"/>
  <c r="G1527" i="1"/>
  <c r="AH1525" i="1"/>
  <c r="M1524" i="1"/>
  <c r="G1523" i="1"/>
  <c r="AF1521" i="1"/>
  <c r="J1520" i="1"/>
  <c r="M1517" i="1"/>
  <c r="G1516" i="1"/>
  <c r="AF1514" i="1"/>
  <c r="L1513" i="1"/>
  <c r="G1512" i="1"/>
  <c r="AF1510" i="1"/>
  <c r="G1509" i="1"/>
  <c r="AH1507" i="1"/>
  <c r="M1506" i="1"/>
  <c r="G1505" i="1"/>
  <c r="AF1503" i="1"/>
  <c r="J1502" i="1"/>
  <c r="M1499" i="1"/>
  <c r="G1498" i="1"/>
  <c r="AF1496" i="1"/>
  <c r="L1495" i="1"/>
  <c r="G1494" i="1"/>
  <c r="AH1492" i="1"/>
  <c r="M1491" i="1"/>
  <c r="G1490" i="1"/>
  <c r="AI1488" i="1"/>
  <c r="W1487" i="1"/>
  <c r="J1486" i="1"/>
  <c r="AF1483" i="1"/>
  <c r="M1482" i="1"/>
  <c r="AI1479" i="1"/>
  <c r="W1478" i="1"/>
  <c r="J1477" i="1"/>
  <c r="G1476" i="1"/>
  <c r="AH1474" i="1"/>
  <c r="M1473" i="1"/>
  <c r="G1472" i="1"/>
  <c r="AI1470" i="1"/>
  <c r="W1469" i="1"/>
  <c r="J1468" i="1"/>
  <c r="AF1465" i="1"/>
  <c r="M1464" i="1"/>
  <c r="J1463" i="1"/>
  <c r="G1462" i="1"/>
  <c r="AI1460" i="1"/>
  <c r="AF1459" i="1"/>
  <c r="M1458" i="1"/>
  <c r="J1457" i="1"/>
  <c r="G1456" i="1"/>
  <c r="AI1454" i="1"/>
  <c r="AF1453" i="1"/>
  <c r="M1452" i="1"/>
  <c r="J1451" i="1"/>
  <c r="G1450" i="1"/>
  <c r="AI1448" i="1"/>
  <c r="AF1447" i="1"/>
  <c r="M1446" i="1"/>
  <c r="J1445" i="1"/>
  <c r="G1444" i="1"/>
  <c r="AI1442" i="1"/>
  <c r="AF1441" i="1"/>
  <c r="M1440" i="1"/>
  <c r="J1439" i="1"/>
  <c r="G1438" i="1"/>
  <c r="AI1436" i="1"/>
  <c r="AF1435" i="1"/>
  <c r="M1434" i="1"/>
  <c r="J1433" i="1"/>
  <c r="G1432" i="1"/>
  <c r="AI1430" i="1"/>
  <c r="AF1429" i="1"/>
  <c r="M1428" i="1"/>
  <c r="J1427" i="1"/>
  <c r="G1426" i="1"/>
  <c r="AI1424" i="1"/>
  <c r="AF1423" i="1"/>
  <c r="M1422" i="1"/>
  <c r="J1421" i="1"/>
  <c r="G1420" i="1"/>
  <c r="AI1418" i="1"/>
  <c r="AF1417" i="1"/>
  <c r="M1416" i="1"/>
  <c r="J1415" i="1"/>
  <c r="G1414" i="1"/>
  <c r="AI1412" i="1"/>
  <c r="AF1411" i="1"/>
  <c r="M1410" i="1"/>
  <c r="J1409" i="1"/>
  <c r="G1408" i="1"/>
  <c r="AI1406" i="1"/>
  <c r="AF1405" i="1"/>
  <c r="M1404" i="1"/>
  <c r="J1403" i="1"/>
  <c r="G1402" i="1"/>
  <c r="AI1400" i="1"/>
  <c r="AF1399" i="1"/>
  <c r="M1398" i="1"/>
  <c r="J1397" i="1"/>
  <c r="G1396" i="1"/>
  <c r="AI1394" i="1"/>
  <c r="AF1393" i="1"/>
  <c r="M1392" i="1"/>
  <c r="J1391" i="1"/>
  <c r="G1390" i="1"/>
  <c r="AI1388" i="1"/>
  <c r="AF1387" i="1"/>
  <c r="M1386" i="1"/>
  <c r="J1385" i="1"/>
  <c r="G1384" i="1"/>
  <c r="AI1382" i="1"/>
  <c r="AF1381" i="1"/>
  <c r="M1380" i="1"/>
  <c r="J1379" i="1"/>
  <c r="G1378" i="1"/>
  <c r="AI1376" i="1"/>
  <c r="AF1375" i="1"/>
  <c r="M1374" i="1"/>
  <c r="J1373" i="1"/>
  <c r="G1372" i="1"/>
  <c r="AI1370" i="1"/>
  <c r="AF1369" i="1"/>
  <c r="M1368" i="1"/>
  <c r="J1367" i="1"/>
  <c r="G1366" i="1"/>
  <c r="AI1364" i="1"/>
  <c r="AF1363" i="1"/>
  <c r="M1362" i="1"/>
  <c r="J1361" i="1"/>
  <c r="G1360" i="1"/>
  <c r="AI1358" i="1"/>
  <c r="AF1357" i="1"/>
  <c r="M1356" i="1"/>
  <c r="J1355" i="1"/>
  <c r="G1354" i="1"/>
  <c r="AI1352" i="1"/>
  <c r="AF1351" i="1"/>
  <c r="M1350" i="1"/>
  <c r="J1349" i="1"/>
  <c r="G1348" i="1"/>
  <c r="AI1346" i="1"/>
  <c r="AF1345" i="1"/>
  <c r="M1344" i="1"/>
  <c r="J1343" i="1"/>
  <c r="G1342" i="1"/>
  <c r="AI1340" i="1"/>
  <c r="AF1339" i="1"/>
  <c r="M1338" i="1"/>
  <c r="J1337" i="1"/>
  <c r="G1336" i="1"/>
  <c r="AI1334" i="1"/>
  <c r="AF1333" i="1"/>
  <c r="M1332" i="1"/>
  <c r="J1331" i="1"/>
  <c r="G1330" i="1"/>
  <c r="AI1328" i="1"/>
  <c r="AF1327" i="1"/>
  <c r="M1326" i="1"/>
  <c r="J1325" i="1"/>
  <c r="G1324" i="1"/>
  <c r="AI1322" i="1"/>
  <c r="AF1321" i="1"/>
  <c r="M1320" i="1"/>
  <c r="J1319" i="1"/>
  <c r="G1318" i="1"/>
  <c r="AI1316" i="1"/>
  <c r="AF1315" i="1"/>
  <c r="M1314" i="1"/>
  <c r="J1313" i="1"/>
  <c r="G1312" i="1"/>
  <c r="AI1310" i="1"/>
  <c r="AF1309" i="1"/>
  <c r="M1308" i="1"/>
  <c r="J1307" i="1"/>
  <c r="G1306" i="1"/>
  <c r="AH1303" i="1"/>
  <c r="W1302" i="1"/>
  <c r="L1301" i="1"/>
  <c r="AH1297" i="1"/>
  <c r="W1296" i="1"/>
  <c r="L1295" i="1"/>
  <c r="AH1291" i="1"/>
  <c r="W1290" i="1"/>
  <c r="L1289" i="1"/>
  <c r="AH1285" i="1"/>
  <c r="W1284" i="1"/>
  <c r="L1283" i="1"/>
  <c r="AH1279" i="1"/>
  <c r="W1278" i="1"/>
  <c r="L1277" i="1"/>
  <c r="AH1273" i="1"/>
  <c r="W1272" i="1"/>
  <c r="L1271" i="1"/>
  <c r="AH1267" i="1"/>
  <c r="W1266" i="1"/>
  <c r="L1265" i="1"/>
  <c r="AH1261" i="1"/>
  <c r="W1260" i="1"/>
  <c r="L1259" i="1"/>
  <c r="AH1255" i="1"/>
  <c r="W1254" i="1"/>
  <c r="L1253" i="1"/>
  <c r="AH1249" i="1"/>
  <c r="W1248" i="1"/>
  <c r="L1247" i="1"/>
  <c r="AH1243" i="1"/>
  <c r="W1242" i="1"/>
  <c r="L1241" i="1"/>
  <c r="AH1237" i="1"/>
  <c r="W1236" i="1"/>
  <c r="L1235" i="1"/>
  <c r="AH1231" i="1"/>
  <c r="W1230" i="1"/>
  <c r="L1229" i="1"/>
  <c r="AH1225" i="1"/>
  <c r="W1224" i="1"/>
  <c r="L1223" i="1"/>
  <c r="AH1219" i="1"/>
  <c r="W1218" i="1"/>
  <c r="L1217" i="1"/>
  <c r="AH1213" i="1"/>
  <c r="W1212" i="1"/>
  <c r="L1211" i="1"/>
  <c r="AH1207" i="1"/>
  <c r="W1206" i="1"/>
  <c r="L1205" i="1"/>
  <c r="AH1201" i="1"/>
  <c r="W3095" i="1"/>
  <c r="G3010" i="1"/>
  <c r="J2899" i="1"/>
  <c r="AI2839" i="1"/>
  <c r="G2799" i="1"/>
  <c r="AI2658" i="1"/>
  <c r="M2615" i="1"/>
  <c r="W2575" i="1"/>
  <c r="M2567" i="1"/>
  <c r="AI2559" i="1"/>
  <c r="L2541" i="1"/>
  <c r="M2526" i="1"/>
  <c r="J2453" i="1"/>
  <c r="AH2444" i="1"/>
  <c r="G2429" i="1"/>
  <c r="AI2414" i="1"/>
  <c r="G2401" i="1"/>
  <c r="M2382" i="1"/>
  <c r="AH2368" i="1"/>
  <c r="J2354" i="1"/>
  <c r="J2282" i="1"/>
  <c r="AF2276" i="1"/>
  <c r="M2262" i="1"/>
  <c r="AI2234" i="1"/>
  <c r="G2216" i="1"/>
  <c r="M2209" i="1"/>
  <c r="AF2197" i="1"/>
  <c r="AH2192" i="1"/>
  <c r="J2181" i="1"/>
  <c r="J2157" i="1"/>
  <c r="M2150" i="1"/>
  <c r="AF2145" i="1"/>
  <c r="W2126" i="1"/>
  <c r="G2116" i="1"/>
  <c r="M2110" i="1"/>
  <c r="AI2094" i="1"/>
  <c r="J2077" i="1"/>
  <c r="AF2059" i="1"/>
  <c r="AF2051" i="1"/>
  <c r="AH2042" i="1"/>
  <c r="L2026" i="1"/>
  <c r="AI2014" i="1"/>
  <c r="W2010" i="1"/>
  <c r="M2003" i="1"/>
  <c r="AH1999" i="1"/>
  <c r="AF1996" i="1"/>
  <c r="M1988" i="1"/>
  <c r="AH1985" i="1"/>
  <c r="M1978" i="1"/>
  <c r="AH1975" i="1"/>
  <c r="L1973" i="1"/>
  <c r="AH1970" i="1"/>
  <c r="G1966" i="1"/>
  <c r="J1963" i="1"/>
  <c r="AI1960" i="1"/>
  <c r="G1958" i="1"/>
  <c r="L1953" i="1"/>
  <c r="AF1950" i="1"/>
  <c r="L1948" i="1"/>
  <c r="AF1945" i="1"/>
  <c r="W1938" i="1"/>
  <c r="M1936" i="1"/>
  <c r="W1931" i="1"/>
  <c r="AF1929" i="1"/>
  <c r="M1924" i="1"/>
  <c r="G1920" i="1"/>
  <c r="AF1917" i="1"/>
  <c r="G1913" i="1"/>
  <c r="AF1910" i="1"/>
  <c r="M1908" i="1"/>
  <c r="AF1906" i="1"/>
  <c r="L1904" i="1"/>
  <c r="J1902" i="1"/>
  <c r="AF1893" i="1"/>
  <c r="W1891" i="1"/>
  <c r="J1889" i="1"/>
  <c r="M1887" i="1"/>
  <c r="J1885" i="1"/>
  <c r="G1883" i="1"/>
  <c r="AI1880" i="1"/>
  <c r="G1879" i="1"/>
  <c r="AI1876" i="1"/>
  <c r="AF1874" i="1"/>
  <c r="M1872" i="1"/>
  <c r="AF1870" i="1"/>
  <c r="L1868" i="1"/>
  <c r="J1866" i="1"/>
  <c r="AF1857" i="1"/>
  <c r="W1855" i="1"/>
  <c r="J1853" i="1"/>
  <c r="M1851" i="1"/>
  <c r="J1849" i="1"/>
  <c r="G1847" i="1"/>
  <c r="AI1844" i="1"/>
  <c r="G1843" i="1"/>
  <c r="AI1840" i="1"/>
  <c r="AF1838" i="1"/>
  <c r="M1836" i="1"/>
  <c r="AF1834" i="1"/>
  <c r="L1832" i="1"/>
  <c r="J1830" i="1"/>
  <c r="AF1821" i="1"/>
  <c r="W1819" i="1"/>
  <c r="J1817" i="1"/>
  <c r="M1815" i="1"/>
  <c r="J1813" i="1"/>
  <c r="G1811" i="1"/>
  <c r="AI1808" i="1"/>
  <c r="G1807" i="1"/>
  <c r="AI1804" i="1"/>
  <c r="AF1802" i="1"/>
  <c r="M1800" i="1"/>
  <c r="AF1798" i="1"/>
  <c r="L1796" i="1"/>
  <c r="J1794" i="1"/>
  <c r="AF1785" i="1"/>
  <c r="W1783" i="1"/>
  <c r="J1781" i="1"/>
  <c r="M1779" i="1"/>
  <c r="J1777" i="1"/>
  <c r="G1775" i="1"/>
  <c r="AI1772" i="1"/>
  <c r="G1771" i="1"/>
  <c r="AI1768" i="1"/>
  <c r="AF1766" i="1"/>
  <c r="M1764" i="1"/>
  <c r="AF1762" i="1"/>
  <c r="L1760" i="1"/>
  <c r="J1758" i="1"/>
  <c r="AF1749" i="1"/>
  <c r="W1747" i="1"/>
  <c r="J1745" i="1"/>
  <c r="M1743" i="1"/>
  <c r="J1741" i="1"/>
  <c r="G1739" i="1"/>
  <c r="AI1736" i="1"/>
  <c r="G1735" i="1"/>
  <c r="AI1732" i="1"/>
  <c r="AF1730" i="1"/>
  <c r="M1728" i="1"/>
  <c r="AF1726" i="1"/>
  <c r="L1724" i="1"/>
  <c r="J1722" i="1"/>
  <c r="AF1713" i="1"/>
  <c r="W1711" i="1"/>
  <c r="J1709" i="1"/>
  <c r="M1707" i="1"/>
  <c r="J1705" i="1"/>
  <c r="G1703" i="1"/>
  <c r="AI1700" i="1"/>
  <c r="G1699" i="1"/>
  <c r="AI1696" i="1"/>
  <c r="AF1694" i="1"/>
  <c r="M1692" i="1"/>
  <c r="AF1690" i="1"/>
  <c r="L1688" i="1"/>
  <c r="J1686" i="1"/>
  <c r="AF1677" i="1"/>
  <c r="W1675" i="1"/>
  <c r="J1673" i="1"/>
  <c r="M1671" i="1"/>
  <c r="J1669" i="1"/>
  <c r="G1667" i="1"/>
  <c r="AI1664" i="1"/>
  <c r="G1663" i="1"/>
  <c r="AI1660" i="1"/>
  <c r="AF1658" i="1"/>
  <c r="M1656" i="1"/>
  <c r="AF1654" i="1"/>
  <c r="L1652" i="1"/>
  <c r="J1650" i="1"/>
  <c r="AF1641" i="1"/>
  <c r="W1639" i="1"/>
  <c r="J1637" i="1"/>
  <c r="M1635" i="1"/>
  <c r="J1633" i="1"/>
  <c r="G1631" i="1"/>
  <c r="AI1628" i="1"/>
  <c r="G1627" i="1"/>
  <c r="AI1624" i="1"/>
  <c r="AF1622" i="1"/>
  <c r="M1620" i="1"/>
  <c r="AF1618" i="1"/>
  <c r="L1616" i="1"/>
  <c r="J1614" i="1"/>
  <c r="AF1605" i="1"/>
  <c r="W1603" i="1"/>
  <c r="J1601" i="1"/>
  <c r="M1599" i="1"/>
  <c r="J1597" i="1"/>
  <c r="G1595" i="1"/>
  <c r="AI1592" i="1"/>
  <c r="G1591" i="1"/>
  <c r="AI1588" i="1"/>
  <c r="AF1586" i="1"/>
  <c r="M1584" i="1"/>
  <c r="AF1582" i="1"/>
  <c r="L1580" i="1"/>
  <c r="J1578" i="1"/>
  <c r="AF1569" i="1"/>
  <c r="W1567" i="1"/>
  <c r="J1565" i="1"/>
  <c r="M1563" i="1"/>
  <c r="J1561" i="1"/>
  <c r="G1559" i="1"/>
  <c r="AI1556" i="1"/>
  <c r="G1555" i="1"/>
  <c r="AI1552" i="1"/>
  <c r="AF1550" i="1"/>
  <c r="M1548" i="1"/>
  <c r="AF1546" i="1"/>
  <c r="M1544" i="1"/>
  <c r="AF1539" i="1"/>
  <c r="G1538" i="1"/>
  <c r="W1536" i="1"/>
  <c r="G1535" i="1"/>
  <c r="AF1533" i="1"/>
  <c r="J1532" i="1"/>
  <c r="M1529" i="1"/>
  <c r="G1528" i="1"/>
  <c r="AF1526" i="1"/>
  <c r="L1525" i="1"/>
  <c r="G1524" i="1"/>
  <c r="AF1522" i="1"/>
  <c r="G1521" i="1"/>
  <c r="AH1519" i="1"/>
  <c r="M1518" i="1"/>
  <c r="G1517" i="1"/>
  <c r="AF1515" i="1"/>
  <c r="J1514" i="1"/>
  <c r="M1511" i="1"/>
  <c r="G1510" i="1"/>
  <c r="AF1508" i="1"/>
  <c r="L1507" i="1"/>
  <c r="G1506" i="1"/>
  <c r="AF1504" i="1"/>
  <c r="G1503" i="1"/>
  <c r="AH1501" i="1"/>
  <c r="M1500" i="1"/>
  <c r="G1499" i="1"/>
  <c r="AF1497" i="1"/>
  <c r="J1496" i="1"/>
  <c r="W1493" i="1"/>
  <c r="J1492" i="1"/>
  <c r="AF1489" i="1"/>
  <c r="M1488" i="1"/>
  <c r="AI1485" i="1"/>
  <c r="W1484" i="1"/>
  <c r="J1483" i="1"/>
  <c r="G1482" i="1"/>
  <c r="AH1480" i="1"/>
  <c r="M1479" i="1"/>
  <c r="G1478" i="1"/>
  <c r="AI1476" i="1"/>
  <c r="W1475" i="1"/>
  <c r="J1474" i="1"/>
  <c r="AF1471" i="1"/>
  <c r="M1470" i="1"/>
  <c r="AI1467" i="1"/>
  <c r="W1466" i="1"/>
  <c r="J1465" i="1"/>
  <c r="G1464" i="1"/>
  <c r="AI1462" i="1"/>
  <c r="AF1461" i="1"/>
  <c r="M1460" i="1"/>
  <c r="J1459" i="1"/>
  <c r="G1458" i="1"/>
  <c r="AI1456" i="1"/>
  <c r="AF1455" i="1"/>
  <c r="M1454" i="1"/>
  <c r="J1453" i="1"/>
  <c r="G1452" i="1"/>
  <c r="AI1450" i="1"/>
  <c r="AF1449" i="1"/>
  <c r="M1448" i="1"/>
  <c r="J1447" i="1"/>
  <c r="G1446" i="1"/>
  <c r="AI1444" i="1"/>
  <c r="AF1443" i="1"/>
  <c r="M1442" i="1"/>
  <c r="J1441" i="1"/>
  <c r="G1440" i="1"/>
  <c r="AI1438" i="1"/>
  <c r="AF1437" i="1"/>
  <c r="M1436" i="1"/>
  <c r="J1435" i="1"/>
  <c r="G1434" i="1"/>
  <c r="AI1432" i="1"/>
  <c r="AF1431" i="1"/>
  <c r="M1430" i="1"/>
  <c r="J1429" i="1"/>
  <c r="G1428" i="1"/>
  <c r="AI1426" i="1"/>
  <c r="AF1425" i="1"/>
  <c r="M1424" i="1"/>
  <c r="J1423" i="1"/>
  <c r="G1422" i="1"/>
  <c r="AI1420" i="1"/>
  <c r="AF1419" i="1"/>
  <c r="M1418" i="1"/>
  <c r="J1417" i="1"/>
  <c r="G1416" i="1"/>
  <c r="AI1414" i="1"/>
  <c r="AF1413" i="1"/>
  <c r="M1412" i="1"/>
  <c r="J1411" i="1"/>
  <c r="G1410" i="1"/>
  <c r="AI1408" i="1"/>
  <c r="AF1407" i="1"/>
  <c r="M1406" i="1"/>
  <c r="J1405" i="1"/>
  <c r="G1404" i="1"/>
  <c r="AI1402" i="1"/>
  <c r="AF1401" i="1"/>
  <c r="M1400" i="1"/>
  <c r="J1399" i="1"/>
  <c r="G1398" i="1"/>
  <c r="AI1396" i="1"/>
  <c r="AF1395" i="1"/>
  <c r="M1394" i="1"/>
  <c r="J1393" i="1"/>
  <c r="G1392" i="1"/>
  <c r="AI1390" i="1"/>
  <c r="AF1389" i="1"/>
  <c r="M1388" i="1"/>
  <c r="J1387" i="1"/>
  <c r="G1386" i="1"/>
  <c r="AI1384" i="1"/>
  <c r="AF1383" i="1"/>
  <c r="M1382" i="1"/>
  <c r="J1381" i="1"/>
  <c r="G1380" i="1"/>
  <c r="AI1378" i="1"/>
  <c r="AF1377" i="1"/>
  <c r="M1376" i="1"/>
  <c r="J1375" i="1"/>
  <c r="G1374" i="1"/>
  <c r="AI1372" i="1"/>
  <c r="AF1371" i="1"/>
  <c r="M1370" i="1"/>
  <c r="J1369" i="1"/>
  <c r="G1368" i="1"/>
  <c r="AI1366" i="1"/>
  <c r="AF1365" i="1"/>
  <c r="M1364" i="1"/>
  <c r="J1363" i="1"/>
  <c r="G1362" i="1"/>
  <c r="AI1360" i="1"/>
  <c r="AF1359" i="1"/>
  <c r="M1358" i="1"/>
  <c r="J1357" i="1"/>
  <c r="G1356" i="1"/>
  <c r="AI1354" i="1"/>
  <c r="AF1353" i="1"/>
  <c r="M1352" i="1"/>
  <c r="J1351" i="1"/>
  <c r="G1350" i="1"/>
  <c r="AI1348" i="1"/>
  <c r="AF1347" i="1"/>
  <c r="M1346" i="1"/>
  <c r="J1345" i="1"/>
  <c r="G1344" i="1"/>
  <c r="AI1342" i="1"/>
  <c r="AF1341" i="1"/>
  <c r="M1340" i="1"/>
  <c r="J1339" i="1"/>
  <c r="G1338" i="1"/>
  <c r="AI1336" i="1"/>
  <c r="AF1335" i="1"/>
  <c r="M1334" i="1"/>
  <c r="J1333" i="1"/>
  <c r="G1332" i="1"/>
  <c r="AI1330" i="1"/>
  <c r="AF1329" i="1"/>
  <c r="M1328" i="1"/>
  <c r="J1327" i="1"/>
  <c r="G1326" i="1"/>
  <c r="AI1324" i="1"/>
  <c r="AF1323" i="1"/>
  <c r="M1322" i="1"/>
  <c r="J1321" i="1"/>
  <c r="G1320" i="1"/>
  <c r="AI1318" i="1"/>
  <c r="AF1317" i="1"/>
  <c r="M1316" i="1"/>
  <c r="J1315" i="1"/>
  <c r="G1314" i="1"/>
  <c r="AI1312" i="1"/>
  <c r="AF1311" i="1"/>
  <c r="M1310" i="1"/>
  <c r="J1309" i="1"/>
  <c r="G1308" i="1"/>
  <c r="AI1306" i="1"/>
  <c r="AF1305" i="1"/>
  <c r="W1304" i="1"/>
  <c r="L1303" i="1"/>
  <c r="AH1299" i="1"/>
  <c r="W1298" i="1"/>
  <c r="L1297" i="1"/>
  <c r="AH1293" i="1"/>
  <c r="W1292" i="1"/>
  <c r="L1291" i="1"/>
  <c r="AH1287" i="1"/>
  <c r="W1286" i="1"/>
  <c r="L1285" i="1"/>
  <c r="AH1281" i="1"/>
  <c r="W1280" i="1"/>
  <c r="L1279" i="1"/>
  <c r="AH1275" i="1"/>
  <c r="W1274" i="1"/>
  <c r="L1273" i="1"/>
  <c r="AH1269" i="1"/>
  <c r="W1268" i="1"/>
  <c r="L1267" i="1"/>
  <c r="AH1263" i="1"/>
  <c r="W1262" i="1"/>
  <c r="L1261" i="1"/>
  <c r="AH1257" i="1"/>
  <c r="W1256" i="1"/>
  <c r="L1255" i="1"/>
  <c r="AH1251" i="1"/>
  <c r="W1250" i="1"/>
  <c r="L1249" i="1"/>
  <c r="AH1245" i="1"/>
  <c r="W1244" i="1"/>
  <c r="L1243" i="1"/>
  <c r="AH1239" i="1"/>
  <c r="W1238" i="1"/>
  <c r="L1237" i="1"/>
  <c r="AH1233" i="1"/>
  <c r="W1232" i="1"/>
  <c r="L1231" i="1"/>
  <c r="AH1227" i="1"/>
  <c r="W1226" i="1"/>
  <c r="L1225" i="1"/>
  <c r="AH1221" i="1"/>
  <c r="W1220" i="1"/>
  <c r="L1219" i="1"/>
  <c r="AH1215" i="1"/>
  <c r="W1214" i="1"/>
  <c r="L1213" i="1"/>
  <c r="AH1209" i="1"/>
  <c r="W1208" i="1"/>
  <c r="L1207" i="1"/>
  <c r="AH1203" i="1"/>
  <c r="W1202" i="1"/>
  <c r="L1201" i="1"/>
  <c r="W3131" i="1"/>
  <c r="AH3086" i="1"/>
  <c r="L3029" i="1"/>
  <c r="AI2910" i="1"/>
  <c r="J2665" i="1"/>
  <c r="J2469" i="1"/>
  <c r="M2420" i="1"/>
  <c r="AH2402" i="1"/>
  <c r="AI2393" i="1"/>
  <c r="G2386" i="1"/>
  <c r="G2369" i="1"/>
  <c r="AF2359" i="1"/>
  <c r="AH2342" i="1"/>
  <c r="AI2327" i="1"/>
  <c r="AF2294" i="1"/>
  <c r="J2268" i="1"/>
  <c r="J2250" i="1"/>
  <c r="G2209" i="1"/>
  <c r="J2202" i="1"/>
  <c r="G2186" i="1"/>
  <c r="AH2127" i="1"/>
  <c r="AF2120" i="1"/>
  <c r="J2106" i="1"/>
  <c r="AH2099" i="1"/>
  <c r="L2086" i="1"/>
  <c r="AF2074" i="1"/>
  <c r="L2067" i="1"/>
  <c r="W2035" i="1"/>
  <c r="AF2019" i="1"/>
  <c r="L2014" i="1"/>
  <c r="J2007" i="1"/>
  <c r="M1996" i="1"/>
  <c r="M1991" i="1"/>
  <c r="AI1978" i="1"/>
  <c r="G1974" i="1"/>
  <c r="L1966" i="1"/>
  <c r="L1962" i="1"/>
  <c r="AI1949" i="1"/>
  <c r="J1945" i="1"/>
  <c r="M1938" i="1"/>
  <c r="J1934" i="1"/>
  <c r="AI1915" i="1"/>
  <c r="J1912" i="1"/>
  <c r="AH1904" i="1"/>
  <c r="J1883" i="1"/>
  <c r="AF1876" i="1"/>
  <c r="AH1868" i="1"/>
  <c r="J1847" i="1"/>
  <c r="AF1840" i="1"/>
  <c r="AH1832" i="1"/>
  <c r="J1811" i="1"/>
  <c r="AF1804" i="1"/>
  <c r="AH1796" i="1"/>
  <c r="J1775" i="1"/>
  <c r="AF1768" i="1"/>
  <c r="AH1760" i="1"/>
  <c r="J1739" i="1"/>
  <c r="AF1732" i="1"/>
  <c r="AH1724" i="1"/>
  <c r="J1703" i="1"/>
  <c r="AF1696" i="1"/>
  <c r="AH1688" i="1"/>
  <c r="J1667" i="1"/>
  <c r="AF1660" i="1"/>
  <c r="AH1652" i="1"/>
  <c r="J1631" i="1"/>
  <c r="AF1624" i="1"/>
  <c r="AH1616" i="1"/>
  <c r="J1595" i="1"/>
  <c r="AF1588" i="1"/>
  <c r="AH1580" i="1"/>
  <c r="J1559" i="1"/>
  <c r="AF1552" i="1"/>
  <c r="AH1544" i="1"/>
  <c r="L1542" i="1"/>
  <c r="M1539" i="1"/>
  <c r="M1536" i="1"/>
  <c r="AH1533" i="1"/>
  <c r="L1526" i="1"/>
  <c r="J1521" i="1"/>
  <c r="AF1518" i="1"/>
  <c r="AI1513" i="1"/>
  <c r="J1511" i="1"/>
  <c r="W1508" i="1"/>
  <c r="J1506" i="1"/>
  <c r="W1503" i="1"/>
  <c r="AI1498" i="1"/>
  <c r="G1496" i="1"/>
  <c r="AF1493" i="1"/>
  <c r="M1484" i="1"/>
  <c r="AF1479" i="1"/>
  <c r="AH1472" i="1"/>
  <c r="L1470" i="1"/>
  <c r="W1465" i="1"/>
  <c r="G1459" i="1"/>
  <c r="AF1456" i="1"/>
  <c r="L1454" i="1"/>
  <c r="AH1449" i="1"/>
  <c r="W1447" i="1"/>
  <c r="G1441" i="1"/>
  <c r="AF1438" i="1"/>
  <c r="L1436" i="1"/>
  <c r="AH1431" i="1"/>
  <c r="W1429" i="1"/>
  <c r="G1423" i="1"/>
  <c r="AF1420" i="1"/>
  <c r="L1418" i="1"/>
  <c r="AH1413" i="1"/>
  <c r="W1411" i="1"/>
  <c r="G1405" i="1"/>
  <c r="AF1402" i="1"/>
  <c r="L1400" i="1"/>
  <c r="AH1395" i="1"/>
  <c r="W1393" i="1"/>
  <c r="G1387" i="1"/>
  <c r="AF1384" i="1"/>
  <c r="L1382" i="1"/>
  <c r="AH1377" i="1"/>
  <c r="W1375" i="1"/>
  <c r="G1369" i="1"/>
  <c r="AF1366" i="1"/>
  <c r="L1364" i="1"/>
  <c r="AH1359" i="1"/>
  <c r="W1357" i="1"/>
  <c r="G1351" i="1"/>
  <c r="AF1348" i="1"/>
  <c r="L1346" i="1"/>
  <c r="AH1341" i="1"/>
  <c r="W1339" i="1"/>
  <c r="G1333" i="1"/>
  <c r="AF1330" i="1"/>
  <c r="L1328" i="1"/>
  <c r="AH1323" i="1"/>
  <c r="W1321" i="1"/>
  <c r="G1315" i="1"/>
  <c r="AF1312" i="1"/>
  <c r="L1310" i="1"/>
  <c r="AH1305" i="1"/>
  <c r="AF1303" i="1"/>
  <c r="AI1301" i="1"/>
  <c r="W1299" i="1"/>
  <c r="M1297" i="1"/>
  <c r="AH1286" i="1"/>
  <c r="AH1282" i="1"/>
  <c r="M1280" i="1"/>
  <c r="L1278" i="1"/>
  <c r="G1276" i="1"/>
  <c r="J1274" i="1"/>
  <c r="G1272" i="1"/>
  <c r="AI1269" i="1"/>
  <c r="AF1267" i="1"/>
  <c r="AI1265" i="1"/>
  <c r="W1263" i="1"/>
  <c r="M1261" i="1"/>
  <c r="AH1250" i="1"/>
  <c r="AH1246" i="1"/>
  <c r="M1244" i="1"/>
  <c r="L1242" i="1"/>
  <c r="G1240" i="1"/>
  <c r="J1238" i="1"/>
  <c r="G1236" i="1"/>
  <c r="AI1233" i="1"/>
  <c r="AF1231" i="1"/>
  <c r="AI1229" i="1"/>
  <c r="W1227" i="1"/>
  <c r="M1225" i="1"/>
  <c r="AH1214" i="1"/>
  <c r="AH1210" i="1"/>
  <c r="M1208" i="1"/>
  <c r="L1206" i="1"/>
  <c r="AF1204" i="1"/>
  <c r="AF1202" i="1"/>
  <c r="L1199" i="1"/>
  <c r="W1196" i="1"/>
  <c r="J1195" i="1"/>
  <c r="M1192" i="1"/>
  <c r="AF1189" i="1"/>
  <c r="L1188" i="1"/>
  <c r="W1185" i="1"/>
  <c r="G1184" i="1"/>
  <c r="AI1182" i="1"/>
  <c r="L1181" i="1"/>
  <c r="W1178" i="1"/>
  <c r="J1177" i="1"/>
  <c r="M1174" i="1"/>
  <c r="AF1171" i="1"/>
  <c r="L1170" i="1"/>
  <c r="W1167" i="1"/>
  <c r="G1166" i="1"/>
  <c r="AI1164" i="1"/>
  <c r="L1163" i="1"/>
  <c r="W1160" i="1"/>
  <c r="J1159" i="1"/>
  <c r="M1156" i="1"/>
  <c r="AF1153" i="1"/>
  <c r="L1152" i="1"/>
  <c r="W1149" i="1"/>
  <c r="G1148" i="1"/>
  <c r="AI1146" i="1"/>
  <c r="L1145" i="1"/>
  <c r="W1142" i="1"/>
  <c r="J1141" i="1"/>
  <c r="M1138" i="1"/>
  <c r="AF1135" i="1"/>
  <c r="L1134" i="1"/>
  <c r="W1131" i="1"/>
  <c r="J1130" i="1"/>
  <c r="G1129" i="1"/>
  <c r="AI1127" i="1"/>
  <c r="AF1126" i="1"/>
  <c r="M1125" i="1"/>
  <c r="J1124" i="1"/>
  <c r="G1123" i="1"/>
  <c r="AI1121" i="1"/>
  <c r="AF1120" i="1"/>
  <c r="M1119" i="1"/>
  <c r="J1118" i="1"/>
  <c r="G1117" i="1"/>
  <c r="AI1115" i="1"/>
  <c r="AF1114" i="1"/>
  <c r="M1113" i="1"/>
  <c r="J1112" i="1"/>
  <c r="G1111" i="1"/>
  <c r="AI1109" i="1"/>
  <c r="AF1108" i="1"/>
  <c r="M1107" i="1"/>
  <c r="J1106" i="1"/>
  <c r="G1105" i="1"/>
  <c r="AI1103" i="1"/>
  <c r="AF1102" i="1"/>
  <c r="M1101" i="1"/>
  <c r="J1100" i="1"/>
  <c r="G1099" i="1"/>
  <c r="AI1097" i="1"/>
  <c r="AF1096" i="1"/>
  <c r="M1095" i="1"/>
  <c r="J1094" i="1"/>
  <c r="G1093" i="1"/>
  <c r="AI1091" i="1"/>
  <c r="AF1090" i="1"/>
  <c r="M1089" i="1"/>
  <c r="J1088" i="1"/>
  <c r="G1087" i="1"/>
  <c r="AI1085" i="1"/>
  <c r="AF1084" i="1"/>
  <c r="M1083" i="1"/>
  <c r="J1082" i="1"/>
  <c r="G1081" i="1"/>
  <c r="AI1079" i="1"/>
  <c r="AF1078" i="1"/>
  <c r="M1077" i="1"/>
  <c r="J1076" i="1"/>
  <c r="G1075" i="1"/>
  <c r="AI1073" i="1"/>
  <c r="AF1072" i="1"/>
  <c r="M1071" i="1"/>
  <c r="J1070" i="1"/>
  <c r="G1069" i="1"/>
  <c r="AI1067" i="1"/>
  <c r="AF1066" i="1"/>
  <c r="M1065" i="1"/>
  <c r="J1064" i="1"/>
  <c r="G1063" i="1"/>
  <c r="AI1061" i="1"/>
  <c r="AF1060" i="1"/>
  <c r="M1059" i="1"/>
  <c r="J1058" i="1"/>
  <c r="G1057" i="1"/>
  <c r="AI1055" i="1"/>
  <c r="AF1054" i="1"/>
  <c r="M1053" i="1"/>
  <c r="J1052" i="1"/>
  <c r="G1051" i="1"/>
  <c r="AI1049" i="1"/>
  <c r="AF1048" i="1"/>
  <c r="M1047" i="1"/>
  <c r="J1046" i="1"/>
  <c r="G1045" i="1"/>
  <c r="AI1043" i="1"/>
  <c r="AF1042" i="1"/>
  <c r="M1041" i="1"/>
  <c r="J1040" i="1"/>
  <c r="G1039" i="1"/>
  <c r="AI1037" i="1"/>
  <c r="AF1036" i="1"/>
  <c r="M1035" i="1"/>
  <c r="J1034" i="1"/>
  <c r="G1033" i="1"/>
  <c r="AI1031" i="1"/>
  <c r="AF1030" i="1"/>
  <c r="M1029" i="1"/>
  <c r="J1028" i="1"/>
  <c r="G1027" i="1"/>
  <c r="AI1025" i="1"/>
  <c r="AF1024" i="1"/>
  <c r="M1023" i="1"/>
  <c r="J1022" i="1"/>
  <c r="G1021" i="1"/>
  <c r="AI1019" i="1"/>
  <c r="AF1018" i="1"/>
  <c r="M1017" i="1"/>
  <c r="J1016" i="1"/>
  <c r="G1015" i="1"/>
  <c r="AI1013" i="1"/>
  <c r="AF1012" i="1"/>
  <c r="M1011" i="1"/>
  <c r="J1010" i="1"/>
  <c r="G1009" i="1"/>
  <c r="AI1007" i="1"/>
  <c r="AF1006" i="1"/>
  <c r="M1005" i="1"/>
  <c r="J1004" i="1"/>
  <c r="G1003" i="1"/>
  <c r="AI1001" i="1"/>
  <c r="AF1000" i="1"/>
  <c r="M999" i="1"/>
  <c r="J998" i="1"/>
  <c r="G997" i="1"/>
  <c r="AI995" i="1"/>
  <c r="AF994" i="1"/>
  <c r="M993" i="1"/>
  <c r="J992" i="1"/>
  <c r="G991" i="1"/>
  <c r="AI989" i="1"/>
  <c r="AF988" i="1"/>
  <c r="M987" i="1"/>
  <c r="J986" i="1"/>
  <c r="G985" i="1"/>
  <c r="AI983" i="1"/>
  <c r="AF982" i="1"/>
  <c r="M981" i="1"/>
  <c r="J980" i="1"/>
  <c r="G979" i="1"/>
  <c r="AI977" i="1"/>
  <c r="AF976" i="1"/>
  <c r="M975" i="1"/>
  <c r="J974" i="1"/>
  <c r="G973" i="1"/>
  <c r="AI971" i="1"/>
  <c r="AF970" i="1"/>
  <c r="M969" i="1"/>
  <c r="J968" i="1"/>
  <c r="G967" i="1"/>
  <c r="AI965" i="1"/>
  <c r="AF964" i="1"/>
  <c r="M963" i="1"/>
  <c r="J962" i="1"/>
  <c r="G961" i="1"/>
  <c r="AI959" i="1"/>
  <c r="AF958" i="1"/>
  <c r="M957" i="1"/>
  <c r="J956" i="1"/>
  <c r="G955" i="1"/>
  <c r="AI953" i="1"/>
  <c r="AF952" i="1"/>
  <c r="M951" i="1"/>
  <c r="J950" i="1"/>
  <c r="G949" i="1"/>
  <c r="AI947" i="1"/>
  <c r="AF946" i="1"/>
  <c r="M945" i="1"/>
  <c r="J944" i="1"/>
  <c r="G943" i="1"/>
  <c r="AI941" i="1"/>
  <c r="AF940" i="1"/>
  <c r="M939" i="1"/>
  <c r="J938" i="1"/>
  <c r="G937" i="1"/>
  <c r="AI935" i="1"/>
  <c r="AF934" i="1"/>
  <c r="M933" i="1"/>
  <c r="J932" i="1"/>
  <c r="G931" i="1"/>
  <c r="AI929" i="1"/>
  <c r="AF928" i="1"/>
  <c r="M927" i="1"/>
  <c r="J926" i="1"/>
  <c r="G925" i="1"/>
  <c r="AI923" i="1"/>
  <c r="AF922" i="1"/>
  <c r="M921" i="1"/>
  <c r="J920" i="1"/>
  <c r="G919" i="1"/>
  <c r="AI917" i="1"/>
  <c r="AF916" i="1"/>
  <c r="M915" i="1"/>
  <c r="J914" i="1"/>
  <c r="G913" i="1"/>
  <c r="AI911" i="1"/>
  <c r="AF910" i="1"/>
  <c r="M909" i="1"/>
  <c r="J908" i="1"/>
  <c r="G907" i="1"/>
  <c r="AI905" i="1"/>
  <c r="AF904" i="1"/>
  <c r="M903" i="1"/>
  <c r="J902" i="1"/>
  <c r="G901" i="1"/>
  <c r="AI899" i="1"/>
  <c r="AF898" i="1"/>
  <c r="M897" i="1"/>
  <c r="J896" i="1"/>
  <c r="G895" i="1"/>
  <c r="AI893" i="1"/>
  <c r="AF892" i="1"/>
  <c r="M891" i="1"/>
  <c r="J890" i="1"/>
  <c r="G889" i="1"/>
  <c r="AI887" i="1"/>
  <c r="AF886" i="1"/>
  <c r="M885" i="1"/>
  <c r="J884" i="1"/>
  <c r="G883" i="1"/>
  <c r="AI881" i="1"/>
  <c r="AF880" i="1"/>
  <c r="M879" i="1"/>
  <c r="J878" i="1"/>
  <c r="G877" i="1"/>
  <c r="AI875" i="1"/>
  <c r="AF874" i="1"/>
  <c r="M873" i="1"/>
  <c r="J872" i="1"/>
  <c r="G871" i="1"/>
  <c r="AI869" i="1"/>
  <c r="AF868" i="1"/>
  <c r="M867" i="1"/>
  <c r="J866" i="1"/>
  <c r="G865" i="1"/>
  <c r="AI863" i="1"/>
  <c r="AF862" i="1"/>
  <c r="M861" i="1"/>
  <c r="J860" i="1"/>
  <c r="G859" i="1"/>
  <c r="AI857" i="1"/>
  <c r="AF856" i="1"/>
  <c r="M855" i="1"/>
  <c r="J854" i="1"/>
  <c r="G853" i="1"/>
  <c r="AI851" i="1"/>
  <c r="AF850" i="1"/>
  <c r="M849" i="1"/>
  <c r="J848" i="1"/>
  <c r="G847" i="1"/>
  <c r="AI845" i="1"/>
  <c r="AF844" i="1"/>
  <c r="M843" i="1"/>
  <c r="J842" i="1"/>
  <c r="G841" i="1"/>
  <c r="AI839" i="1"/>
  <c r="AF838" i="1"/>
  <c r="M837" i="1"/>
  <c r="J836" i="1"/>
  <c r="G835" i="1"/>
  <c r="AI833" i="1"/>
  <c r="AF832" i="1"/>
  <c r="M831" i="1"/>
  <c r="J830" i="1"/>
  <c r="G829" i="1"/>
  <c r="AI827" i="1"/>
  <c r="AF826" i="1"/>
  <c r="M825" i="1"/>
  <c r="J824" i="1"/>
  <c r="G823" i="1"/>
  <c r="AI821" i="1"/>
  <c r="AF820" i="1"/>
  <c r="M819" i="1"/>
  <c r="J818" i="1"/>
  <c r="G817" i="1"/>
  <c r="AI815" i="1"/>
  <c r="AF814" i="1"/>
  <c r="M813" i="1"/>
  <c r="J812" i="1"/>
  <c r="G811" i="1"/>
  <c r="AI809" i="1"/>
  <c r="AF808" i="1"/>
  <c r="M807" i="1"/>
  <c r="J806" i="1"/>
  <c r="G805" i="1"/>
  <c r="AI803" i="1"/>
  <c r="AF802" i="1"/>
  <c r="M801" i="1"/>
  <c r="J800" i="1"/>
  <c r="G799" i="1"/>
  <c r="AI797" i="1"/>
  <c r="AF796" i="1"/>
  <c r="M795" i="1"/>
  <c r="J794" i="1"/>
  <c r="G793" i="1"/>
  <c r="AI791" i="1"/>
  <c r="AF790" i="1"/>
  <c r="M789" i="1"/>
  <c r="J788" i="1"/>
  <c r="G787" i="1"/>
  <c r="AI785" i="1"/>
  <c r="AF784" i="1"/>
  <c r="M783" i="1"/>
  <c r="J782" i="1"/>
  <c r="G781" i="1"/>
  <c r="AI779" i="1"/>
  <c r="AF778" i="1"/>
  <c r="M777" i="1"/>
  <c r="J776" i="1"/>
  <c r="G775" i="1"/>
  <c r="AI773" i="1"/>
  <c r="AF772" i="1"/>
  <c r="M771" i="1"/>
  <c r="J770" i="1"/>
  <c r="G769" i="1"/>
  <c r="AI767" i="1"/>
  <c r="AF766" i="1"/>
  <c r="M765" i="1"/>
  <c r="J764" i="1"/>
  <c r="G763" i="1"/>
  <c r="AI761" i="1"/>
  <c r="AF760" i="1"/>
  <c r="M759" i="1"/>
  <c r="J758" i="1"/>
  <c r="G757" i="1"/>
  <c r="AI755" i="1"/>
  <c r="AF754" i="1"/>
  <c r="M753" i="1"/>
  <c r="J752" i="1"/>
  <c r="G751" i="1"/>
  <c r="AI749" i="1"/>
  <c r="AF748" i="1"/>
  <c r="M747" i="1"/>
  <c r="J746" i="1"/>
  <c r="G745" i="1"/>
  <c r="AI743" i="1"/>
  <c r="AF742" i="1"/>
  <c r="M741" i="1"/>
  <c r="J740" i="1"/>
  <c r="G739" i="1"/>
  <c r="AI737" i="1"/>
  <c r="AF736" i="1"/>
  <c r="M735" i="1"/>
  <c r="J734" i="1"/>
  <c r="G733" i="1"/>
  <c r="AI731" i="1"/>
  <c r="AF730" i="1"/>
  <c r="M729" i="1"/>
  <c r="J728" i="1"/>
  <c r="G727" i="1"/>
  <c r="AI725" i="1"/>
  <c r="AF724" i="1"/>
  <c r="M723" i="1"/>
  <c r="J722" i="1"/>
  <c r="G721" i="1"/>
  <c r="AI719" i="1"/>
  <c r="AF718" i="1"/>
  <c r="M717" i="1"/>
  <c r="J716" i="1"/>
  <c r="G715" i="1"/>
  <c r="AI713" i="1"/>
  <c r="AF712" i="1"/>
  <c r="M711" i="1"/>
  <c r="J710" i="1"/>
  <c r="G709" i="1"/>
  <c r="AI707" i="1"/>
  <c r="AF706" i="1"/>
  <c r="M705" i="1"/>
  <c r="J704" i="1"/>
  <c r="G703" i="1"/>
  <c r="AI701" i="1"/>
  <c r="AF700" i="1"/>
  <c r="M699" i="1"/>
  <c r="J698" i="1"/>
  <c r="G697" i="1"/>
  <c r="AI695" i="1"/>
  <c r="AF694" i="1"/>
  <c r="M693" i="1"/>
  <c r="J692" i="1"/>
  <c r="G691" i="1"/>
  <c r="AI689" i="1"/>
  <c r="AF688" i="1"/>
  <c r="M687" i="1"/>
  <c r="J686" i="1"/>
  <c r="G685" i="1"/>
  <c r="AI683" i="1"/>
  <c r="AF682" i="1"/>
  <c r="M681" i="1"/>
  <c r="J680" i="1"/>
  <c r="G679" i="1"/>
  <c r="AI677" i="1"/>
  <c r="AF676" i="1"/>
  <c r="M675" i="1"/>
  <c r="J674" i="1"/>
  <c r="G673" i="1"/>
  <c r="AI671" i="1"/>
  <c r="AF670" i="1"/>
  <c r="M669" i="1"/>
  <c r="J668" i="1"/>
  <c r="G667" i="1"/>
  <c r="AI665" i="1"/>
  <c r="AF664" i="1"/>
  <c r="M663" i="1"/>
  <c r="J662" i="1"/>
  <c r="G661" i="1"/>
  <c r="AI659" i="1"/>
  <c r="AF658" i="1"/>
  <c r="M657" i="1"/>
  <c r="J656" i="1"/>
  <c r="G655" i="1"/>
  <c r="AI653" i="1"/>
  <c r="AF652" i="1"/>
  <c r="M651" i="1"/>
  <c r="J650" i="1"/>
  <c r="G649" i="1"/>
  <c r="AI647" i="1"/>
  <c r="AF646" i="1"/>
  <c r="M645" i="1"/>
  <c r="J644" i="1"/>
  <c r="G643" i="1"/>
  <c r="AI641" i="1"/>
  <c r="AF640" i="1"/>
  <c r="M639" i="1"/>
  <c r="J638" i="1"/>
  <c r="G637" i="1"/>
  <c r="AI635" i="1"/>
  <c r="AF634" i="1"/>
  <c r="M633" i="1"/>
  <c r="J632" i="1"/>
  <c r="G631" i="1"/>
  <c r="AI629" i="1"/>
  <c r="AF628" i="1"/>
  <c r="M627" i="1"/>
  <c r="J626" i="1"/>
  <c r="G625" i="1"/>
  <c r="AI623" i="1"/>
  <c r="AF622" i="1"/>
  <c r="M621" i="1"/>
  <c r="J620" i="1"/>
  <c r="G619" i="1"/>
  <c r="AI617" i="1"/>
  <c r="AF616" i="1"/>
  <c r="M615" i="1"/>
  <c r="J614" i="1"/>
  <c r="G613" i="1"/>
  <c r="AI611" i="1"/>
  <c r="AF610" i="1"/>
  <c r="M609" i="1"/>
  <c r="J608" i="1"/>
  <c r="G607" i="1"/>
  <c r="AI605" i="1"/>
  <c r="AF604" i="1"/>
  <c r="M603" i="1"/>
  <c r="J602" i="1"/>
  <c r="G601" i="1"/>
  <c r="AI599" i="1"/>
  <c r="AF598" i="1"/>
  <c r="M597" i="1"/>
  <c r="J596" i="1"/>
  <c r="G595" i="1"/>
  <c r="AI593" i="1"/>
  <c r="AF592" i="1"/>
  <c r="M591" i="1"/>
  <c r="J590" i="1"/>
  <c r="G589" i="1"/>
  <c r="AI587" i="1"/>
  <c r="AF586" i="1"/>
  <c r="M585" i="1"/>
  <c r="J584" i="1"/>
  <c r="G583" i="1"/>
  <c r="AI581" i="1"/>
  <c r="AF580" i="1"/>
  <c r="M579" i="1"/>
  <c r="J578" i="1"/>
  <c r="G577" i="1"/>
  <c r="AI575" i="1"/>
  <c r="AF574" i="1"/>
  <c r="M573" i="1"/>
  <c r="J572" i="1"/>
  <c r="G571" i="1"/>
  <c r="AI569" i="1"/>
  <c r="AF568" i="1"/>
  <c r="M567" i="1"/>
  <c r="J566" i="1"/>
  <c r="G565" i="1"/>
  <c r="AI563" i="1"/>
  <c r="AF562" i="1"/>
  <c r="M561" i="1"/>
  <c r="J560" i="1"/>
  <c r="G559" i="1"/>
  <c r="AI557" i="1"/>
  <c r="AF556" i="1"/>
  <c r="M555" i="1"/>
  <c r="J554" i="1"/>
  <c r="G553" i="1"/>
  <c r="AI551" i="1"/>
  <c r="AF550" i="1"/>
  <c r="M549" i="1"/>
  <c r="J548" i="1"/>
  <c r="G547" i="1"/>
  <c r="AI545" i="1"/>
  <c r="AF544" i="1"/>
  <c r="M543" i="1"/>
  <c r="J542" i="1"/>
  <c r="G541" i="1"/>
  <c r="AI539" i="1"/>
  <c r="AF538" i="1"/>
  <c r="M537" i="1"/>
  <c r="J536" i="1"/>
  <c r="G535" i="1"/>
  <c r="AI533" i="1"/>
  <c r="AF532" i="1"/>
  <c r="M531" i="1"/>
  <c r="J530" i="1"/>
  <c r="G529" i="1"/>
  <c r="AI527" i="1"/>
  <c r="AF526" i="1"/>
  <c r="M525" i="1"/>
  <c r="J524" i="1"/>
  <c r="G523" i="1"/>
  <c r="AI521" i="1"/>
  <c r="AF520" i="1"/>
  <c r="M519" i="1"/>
  <c r="J518" i="1"/>
  <c r="G517" i="1"/>
  <c r="AI515" i="1"/>
  <c r="AF514" i="1"/>
  <c r="M513" i="1"/>
  <c r="J512" i="1"/>
  <c r="G511" i="1"/>
  <c r="AI509" i="1"/>
  <c r="AF508" i="1"/>
  <c r="M507" i="1"/>
  <c r="J506" i="1"/>
  <c r="G505" i="1"/>
  <c r="AI503" i="1"/>
  <c r="AF502" i="1"/>
  <c r="M501" i="1"/>
  <c r="J500" i="1"/>
  <c r="G499" i="1"/>
  <c r="AI497" i="1"/>
  <c r="AF496" i="1"/>
  <c r="M495" i="1"/>
  <c r="J494" i="1"/>
  <c r="G493" i="1"/>
  <c r="AI491" i="1"/>
  <c r="AF490" i="1"/>
  <c r="M489" i="1"/>
  <c r="J488" i="1"/>
  <c r="G487" i="1"/>
  <c r="AI485" i="1"/>
  <c r="AF484" i="1"/>
  <c r="M483" i="1"/>
  <c r="J482" i="1"/>
  <c r="G481" i="1"/>
  <c r="AI479" i="1"/>
  <c r="AF478" i="1"/>
  <c r="M477" i="1"/>
  <c r="J476" i="1"/>
  <c r="G475" i="1"/>
  <c r="AI473" i="1"/>
  <c r="AF472" i="1"/>
  <c r="M471" i="1"/>
  <c r="J470" i="1"/>
  <c r="G469" i="1"/>
  <c r="AI467" i="1"/>
  <c r="AF466" i="1"/>
  <c r="M465" i="1"/>
  <c r="J464" i="1"/>
  <c r="G463" i="1"/>
  <c r="AI461" i="1"/>
  <c r="AF460" i="1"/>
  <c r="M459" i="1"/>
  <c r="J458" i="1"/>
  <c r="G457" i="1"/>
  <c r="AI455" i="1"/>
  <c r="AF454" i="1"/>
  <c r="M453" i="1"/>
  <c r="J452" i="1"/>
  <c r="G451" i="1"/>
  <c r="AI449" i="1"/>
  <c r="AF448" i="1"/>
  <c r="M447" i="1"/>
  <c r="J446" i="1"/>
  <c r="G445" i="1"/>
  <c r="AI443" i="1"/>
  <c r="AF442" i="1"/>
  <c r="M441" i="1"/>
  <c r="J440" i="1"/>
  <c r="G439" i="1"/>
  <c r="AI437" i="1"/>
  <c r="AF436" i="1"/>
  <c r="M435" i="1"/>
  <c r="J434" i="1"/>
  <c r="G433" i="1"/>
  <c r="AI431" i="1"/>
  <c r="AF430" i="1"/>
  <c r="M429" i="1"/>
  <c r="J428" i="1"/>
  <c r="G427" i="1"/>
  <c r="AI425" i="1"/>
  <c r="AF424" i="1"/>
  <c r="M423" i="1"/>
  <c r="J422" i="1"/>
  <c r="G421" i="1"/>
  <c r="AI419" i="1"/>
  <c r="AF418" i="1"/>
  <c r="M417" i="1"/>
  <c r="J416" i="1"/>
  <c r="G415" i="1"/>
  <c r="AI413" i="1"/>
  <c r="AF412" i="1"/>
  <c r="M411" i="1"/>
  <c r="J410" i="1"/>
  <c r="G409" i="1"/>
  <c r="AI407" i="1"/>
  <c r="AF406" i="1"/>
  <c r="M405" i="1"/>
  <c r="J404" i="1"/>
  <c r="G403" i="1"/>
  <c r="AI401" i="1"/>
  <c r="AF400" i="1"/>
  <c r="M399" i="1"/>
  <c r="J398" i="1"/>
  <c r="G397" i="1"/>
  <c r="AI395" i="1"/>
  <c r="AF394" i="1"/>
  <c r="M393" i="1"/>
  <c r="J392" i="1"/>
  <c r="G391" i="1"/>
  <c r="AI389" i="1"/>
  <c r="AF388" i="1"/>
  <c r="M387" i="1"/>
  <c r="J386" i="1"/>
  <c r="G385" i="1"/>
  <c r="AI383" i="1"/>
  <c r="AF382" i="1"/>
  <c r="M381" i="1"/>
  <c r="J380" i="1"/>
  <c r="G379" i="1"/>
  <c r="AI377" i="1"/>
  <c r="AF376" i="1"/>
  <c r="M375" i="1"/>
  <c r="J374" i="1"/>
  <c r="G373" i="1"/>
  <c r="AI371" i="1"/>
  <c r="AF370" i="1"/>
  <c r="M369" i="1"/>
  <c r="J368" i="1"/>
  <c r="G367" i="1"/>
  <c r="AI365" i="1"/>
  <c r="AF364" i="1"/>
  <c r="M363" i="1"/>
  <c r="J362" i="1"/>
  <c r="G361" i="1"/>
  <c r="AI359" i="1"/>
  <c r="AF358" i="1"/>
  <c r="M357" i="1"/>
  <c r="J356" i="1"/>
  <c r="G355" i="1"/>
  <c r="AI353" i="1"/>
  <c r="AF352" i="1"/>
  <c r="M351" i="1"/>
  <c r="J350" i="1"/>
  <c r="G349" i="1"/>
  <c r="AI347" i="1"/>
  <c r="AF346" i="1"/>
  <c r="M345" i="1"/>
  <c r="J344" i="1"/>
  <c r="G343" i="1"/>
  <c r="AI341" i="1"/>
  <c r="AF340" i="1"/>
  <c r="M339" i="1"/>
  <c r="J338" i="1"/>
  <c r="G337" i="1"/>
  <c r="AI335" i="1"/>
  <c r="AF334" i="1"/>
  <c r="M333" i="1"/>
  <c r="J332" i="1"/>
  <c r="G331" i="1"/>
  <c r="AI329" i="1"/>
  <c r="AF328" i="1"/>
  <c r="M327" i="1"/>
  <c r="J326" i="1"/>
  <c r="G325" i="1"/>
  <c r="AI323" i="1"/>
  <c r="AF322" i="1"/>
  <c r="M321" i="1"/>
  <c r="J320" i="1"/>
  <c r="G319" i="1"/>
  <c r="AI317" i="1"/>
  <c r="AF316" i="1"/>
  <c r="M315" i="1"/>
  <c r="J314" i="1"/>
  <c r="G313" i="1"/>
  <c r="AI311" i="1"/>
  <c r="AF310" i="1"/>
  <c r="M309" i="1"/>
  <c r="J308" i="1"/>
  <c r="G307" i="1"/>
  <c r="AI305" i="1"/>
  <c r="AF304" i="1"/>
  <c r="M303" i="1"/>
  <c r="J302" i="1"/>
  <c r="G301" i="1"/>
  <c r="AI299" i="1"/>
  <c r="AF298" i="1"/>
  <c r="M297" i="1"/>
  <c r="J296" i="1"/>
  <c r="G295" i="1"/>
  <c r="AI293" i="1"/>
  <c r="AF292" i="1"/>
  <c r="M291" i="1"/>
  <c r="J290" i="1"/>
  <c r="G289" i="1"/>
  <c r="AI287" i="1"/>
  <c r="AF286" i="1"/>
  <c r="M285" i="1"/>
  <c r="J284" i="1"/>
  <c r="G283" i="1"/>
  <c r="AI281" i="1"/>
  <c r="AF280" i="1"/>
  <c r="M279" i="1"/>
  <c r="J278" i="1"/>
  <c r="G277" i="1"/>
  <c r="AI275" i="1"/>
  <c r="AF274" i="1"/>
  <c r="M273" i="1"/>
  <c r="J272" i="1"/>
  <c r="G271" i="1"/>
  <c r="AI269" i="1"/>
  <c r="M3823" i="1"/>
  <c r="L3528" i="1"/>
  <c r="W3505" i="1"/>
  <c r="AF3340" i="1"/>
  <c r="M3329" i="1"/>
  <c r="M3250" i="1"/>
  <c r="W3151" i="1"/>
  <c r="AH2910" i="1"/>
  <c r="AI2866" i="1"/>
  <c r="AF2758" i="1"/>
  <c r="AI2674" i="1"/>
  <c r="AI2643" i="1"/>
  <c r="M2633" i="1"/>
  <c r="AI2622" i="1"/>
  <c r="M2614" i="1"/>
  <c r="M2507" i="1"/>
  <c r="J2420" i="1"/>
  <c r="J2393" i="1"/>
  <c r="J2359" i="1"/>
  <c r="AF2342" i="1"/>
  <c r="L2327" i="1"/>
  <c r="M2294" i="1"/>
  <c r="L2232" i="1"/>
  <c r="M2216" i="1"/>
  <c r="M2140" i="1"/>
  <c r="AF2127" i="1"/>
  <c r="W2120" i="1"/>
  <c r="G2106" i="1"/>
  <c r="W2099" i="1"/>
  <c r="J2086" i="1"/>
  <c r="AI2080" i="1"/>
  <c r="M2074" i="1"/>
  <c r="J2067" i="1"/>
  <c r="AH2054" i="1"/>
  <c r="AI2047" i="1"/>
  <c r="J2041" i="1"/>
  <c r="M2035" i="1"/>
  <c r="L2030" i="1"/>
  <c r="W2019" i="1"/>
  <c r="G2007" i="1"/>
  <c r="J1991" i="1"/>
  <c r="W1986" i="1"/>
  <c r="AH1982" i="1"/>
  <c r="W1978" i="1"/>
  <c r="AH1957" i="1"/>
  <c r="AF1953" i="1"/>
  <c r="G1945" i="1"/>
  <c r="J1941" i="1"/>
  <c r="L1938" i="1"/>
  <c r="G1934" i="1"/>
  <c r="AI1926" i="1"/>
  <c r="AI1922" i="1"/>
  <c r="J1919" i="1"/>
  <c r="AH1915" i="1"/>
  <c r="L1908" i="1"/>
  <c r="AF1904" i="1"/>
  <c r="AH1900" i="1"/>
  <c r="AF1897" i="1"/>
  <c r="G1894" i="1"/>
  <c r="AI1886" i="1"/>
  <c r="M1879" i="1"/>
  <c r="G1876" i="1"/>
  <c r="L1872" i="1"/>
  <c r="AF1868" i="1"/>
  <c r="AH1864" i="1"/>
  <c r="AF1861" i="1"/>
  <c r="G1858" i="1"/>
  <c r="AI1850" i="1"/>
  <c r="M1843" i="1"/>
  <c r="G1840" i="1"/>
  <c r="L1836" i="1"/>
  <c r="AF1832" i="1"/>
  <c r="AH1828" i="1"/>
  <c r="AF1825" i="1"/>
  <c r="G1822" i="1"/>
  <c r="AI1814" i="1"/>
  <c r="M1807" i="1"/>
  <c r="G1804" i="1"/>
  <c r="L1800" i="1"/>
  <c r="AF1796" i="1"/>
  <c r="AH1792" i="1"/>
  <c r="AF1789" i="1"/>
  <c r="G1786" i="1"/>
  <c r="AI1778" i="1"/>
  <c r="M1771" i="1"/>
  <c r="G1768" i="1"/>
  <c r="L1764" i="1"/>
  <c r="AF1760" i="1"/>
  <c r="AH1756" i="1"/>
  <c r="AF1753" i="1"/>
  <c r="G1750" i="1"/>
  <c r="AI1742" i="1"/>
  <c r="M1735" i="1"/>
  <c r="G1732" i="1"/>
  <c r="L1728" i="1"/>
  <c r="AF1724" i="1"/>
  <c r="AH1720" i="1"/>
  <c r="AF1717" i="1"/>
  <c r="G1714" i="1"/>
  <c r="AI1706" i="1"/>
  <c r="M1699" i="1"/>
  <c r="G1696" i="1"/>
  <c r="L1692" i="1"/>
  <c r="AF1688" i="1"/>
  <c r="AH1684" i="1"/>
  <c r="AF1681" i="1"/>
  <c r="G1678" i="1"/>
  <c r="AI1670" i="1"/>
  <c r="M1663" i="1"/>
  <c r="G1660" i="1"/>
  <c r="L1656" i="1"/>
  <c r="AF1652" i="1"/>
  <c r="AH1648" i="1"/>
  <c r="AF1645" i="1"/>
  <c r="G1642" i="1"/>
  <c r="AI1634" i="1"/>
  <c r="M1627" i="1"/>
  <c r="G1624" i="1"/>
  <c r="L1620" i="1"/>
  <c r="AF1616" i="1"/>
  <c r="AH1612" i="1"/>
  <c r="AF1609" i="1"/>
  <c r="G1606" i="1"/>
  <c r="AI1598" i="1"/>
  <c r="M1591" i="1"/>
  <c r="G1588" i="1"/>
  <c r="L1584" i="1"/>
  <c r="AF1580" i="1"/>
  <c r="AH1576" i="1"/>
  <c r="AF1573" i="1"/>
  <c r="G1570" i="1"/>
  <c r="AI1562" i="1"/>
  <c r="M1555" i="1"/>
  <c r="G1552" i="1"/>
  <c r="L1548" i="1"/>
  <c r="AF1544" i="1"/>
  <c r="J1539" i="1"/>
  <c r="L1536" i="1"/>
  <c r="W1533" i="1"/>
  <c r="G1531" i="1"/>
  <c r="M1528" i="1"/>
  <c r="AI1523" i="1"/>
  <c r="W1518" i="1"/>
  <c r="AI1515" i="1"/>
  <c r="J1513" i="1"/>
  <c r="M1508" i="1"/>
  <c r="M1503" i="1"/>
  <c r="AI1500" i="1"/>
  <c r="AH1498" i="1"/>
  <c r="M1493" i="1"/>
  <c r="G1491" i="1"/>
  <c r="AH1488" i="1"/>
  <c r="AI1486" i="1"/>
  <c r="L1484" i="1"/>
  <c r="W1479" i="1"/>
  <c r="G1477" i="1"/>
  <c r="AF1474" i="1"/>
  <c r="AF1472" i="1"/>
  <c r="J1470" i="1"/>
  <c r="AH1467" i="1"/>
  <c r="M1465" i="1"/>
  <c r="G1463" i="1"/>
  <c r="AH1460" i="1"/>
  <c r="W1456" i="1"/>
  <c r="J1454" i="1"/>
  <c r="W1449" i="1"/>
  <c r="M1447" i="1"/>
  <c r="G1445" i="1"/>
  <c r="AH1442" i="1"/>
  <c r="W1438" i="1"/>
  <c r="J1436" i="1"/>
  <c r="W1431" i="1"/>
  <c r="M1429" i="1"/>
  <c r="G1427" i="1"/>
  <c r="AH1424" i="1"/>
  <c r="W1420" i="1"/>
  <c r="J1418" i="1"/>
  <c r="W1413" i="1"/>
  <c r="M1411" i="1"/>
  <c r="G1409" i="1"/>
  <c r="AH1406" i="1"/>
  <c r="W1402" i="1"/>
  <c r="J1400" i="1"/>
  <c r="W1395" i="1"/>
  <c r="M1393" i="1"/>
  <c r="G1391" i="1"/>
  <c r="AH1388" i="1"/>
  <c r="W1384" i="1"/>
  <c r="J1382" i="1"/>
  <c r="W1377" i="1"/>
  <c r="M1375" i="1"/>
  <c r="G1373" i="1"/>
  <c r="AH1370" i="1"/>
  <c r="W1366" i="1"/>
  <c r="J1364" i="1"/>
  <c r="W1359" i="1"/>
  <c r="M1357" i="1"/>
  <c r="G1355" i="1"/>
  <c r="AH1352" i="1"/>
  <c r="W1348" i="1"/>
  <c r="J1346" i="1"/>
  <c r="W1341" i="1"/>
  <c r="M1339" i="1"/>
  <c r="G1337" i="1"/>
  <c r="AH1334" i="1"/>
  <c r="W1330" i="1"/>
  <c r="J1328" i="1"/>
  <c r="W1323" i="1"/>
  <c r="M1321" i="1"/>
  <c r="G1319" i="1"/>
  <c r="AH1316" i="1"/>
  <c r="W1312" i="1"/>
  <c r="J1310" i="1"/>
  <c r="AE1305" i="1"/>
  <c r="W1303" i="1"/>
  <c r="J1301" i="1"/>
  <c r="M1299" i="1"/>
  <c r="J1297" i="1"/>
  <c r="G1295" i="1"/>
  <c r="AI1292" i="1"/>
  <c r="G1291" i="1"/>
  <c r="AI1288" i="1"/>
  <c r="AF1286" i="1"/>
  <c r="M1284" i="1"/>
  <c r="AF1282" i="1"/>
  <c r="L1280" i="1"/>
  <c r="J1278" i="1"/>
  <c r="AF1269" i="1"/>
  <c r="W1267" i="1"/>
  <c r="J1265" i="1"/>
  <c r="M1263" i="1"/>
  <c r="J1261" i="1"/>
  <c r="G1259" i="1"/>
  <c r="AI1256" i="1"/>
  <c r="G1255" i="1"/>
  <c r="AI1252" i="1"/>
  <c r="AF1250" i="1"/>
  <c r="M1248" i="1"/>
  <c r="AF1246" i="1"/>
  <c r="L1244" i="1"/>
  <c r="J1242" i="1"/>
  <c r="AF1233" i="1"/>
  <c r="W1231" i="1"/>
  <c r="J1229" i="1"/>
  <c r="M1227" i="1"/>
  <c r="J1225" i="1"/>
  <c r="G1223" i="1"/>
  <c r="AI1220" i="1"/>
  <c r="G1219" i="1"/>
  <c r="AI1216" i="1"/>
  <c r="AF1214" i="1"/>
  <c r="M1212" i="1"/>
  <c r="AF1210" i="1"/>
  <c r="L1208" i="1"/>
  <c r="J1206" i="1"/>
  <c r="M1204" i="1"/>
  <c r="M1202" i="1"/>
  <c r="AI1200" i="1"/>
  <c r="J1199" i="1"/>
  <c r="AI1197" i="1"/>
  <c r="M1196" i="1"/>
  <c r="AI1193" i="1"/>
  <c r="J1192" i="1"/>
  <c r="AI1190" i="1"/>
  <c r="W1189" i="1"/>
  <c r="J1188" i="1"/>
  <c r="AI1186" i="1"/>
  <c r="M1185" i="1"/>
  <c r="AF1182" i="1"/>
  <c r="J1181" i="1"/>
  <c r="AI1179" i="1"/>
  <c r="M1178" i="1"/>
  <c r="AI1175" i="1"/>
  <c r="J1174" i="1"/>
  <c r="AI1172" i="1"/>
  <c r="W1171" i="1"/>
  <c r="J1170" i="1"/>
  <c r="AI1168" i="1"/>
  <c r="M1167" i="1"/>
  <c r="AF1164" i="1"/>
  <c r="J1163" i="1"/>
  <c r="AI1161" i="1"/>
  <c r="M1160" i="1"/>
  <c r="AI1157" i="1"/>
  <c r="J1156" i="1"/>
  <c r="AI1154" i="1"/>
  <c r="W1153" i="1"/>
  <c r="J1152" i="1"/>
  <c r="AI1150" i="1"/>
  <c r="M1149" i="1"/>
  <c r="AF1146" i="1"/>
  <c r="J1145" i="1"/>
  <c r="AI1143" i="1"/>
  <c r="M1142" i="1"/>
  <c r="AI1139" i="1"/>
  <c r="J1138" i="1"/>
  <c r="AI1136" i="1"/>
  <c r="W1135" i="1"/>
  <c r="J1134" i="1"/>
  <c r="AI1132" i="1"/>
  <c r="M1131" i="1"/>
  <c r="AH1127" i="1"/>
  <c r="W1126" i="1"/>
  <c r="L1125" i="1"/>
  <c r="AH1121" i="1"/>
  <c r="W1120" i="1"/>
  <c r="L1119" i="1"/>
  <c r="AH1115" i="1"/>
  <c r="W1114" i="1"/>
  <c r="L1113" i="1"/>
  <c r="AH1109" i="1"/>
  <c r="W1108" i="1"/>
  <c r="L1107" i="1"/>
  <c r="AH1103" i="1"/>
  <c r="W1102" i="1"/>
  <c r="L1101" i="1"/>
  <c r="AH1097" i="1"/>
  <c r="W1096" i="1"/>
  <c r="L1095" i="1"/>
  <c r="AH1091" i="1"/>
  <c r="W1090" i="1"/>
  <c r="L1089" i="1"/>
  <c r="AH1085" i="1"/>
  <c r="W1084" i="1"/>
  <c r="L1083" i="1"/>
  <c r="AH1079" i="1"/>
  <c r="W1078" i="1"/>
  <c r="L1077" i="1"/>
  <c r="AH1073" i="1"/>
  <c r="W1072" i="1"/>
  <c r="L1071" i="1"/>
  <c r="AH1067" i="1"/>
  <c r="W1066" i="1"/>
  <c r="L1065" i="1"/>
  <c r="AH1061" i="1"/>
  <c r="W1060" i="1"/>
  <c r="L1059" i="1"/>
  <c r="AH1055" i="1"/>
  <c r="W1054" i="1"/>
  <c r="L1053" i="1"/>
  <c r="AH1049" i="1"/>
  <c r="W1048" i="1"/>
  <c r="L1047" i="1"/>
  <c r="AH1043" i="1"/>
  <c r="W1042" i="1"/>
  <c r="L1041" i="1"/>
  <c r="AH1037" i="1"/>
  <c r="W1036" i="1"/>
  <c r="L1035" i="1"/>
  <c r="AH1031" i="1"/>
  <c r="W1030" i="1"/>
  <c r="L1029" i="1"/>
  <c r="AH1025" i="1"/>
  <c r="W1024" i="1"/>
  <c r="L1023" i="1"/>
  <c r="AH1019" i="1"/>
  <c r="W1018" i="1"/>
  <c r="L1017" i="1"/>
  <c r="AH1013" i="1"/>
  <c r="W1012" i="1"/>
  <c r="L1011" i="1"/>
  <c r="AH1007" i="1"/>
  <c r="W1006" i="1"/>
  <c r="L1005" i="1"/>
  <c r="AH1001" i="1"/>
  <c r="W1000" i="1"/>
  <c r="L999" i="1"/>
  <c r="AH995" i="1"/>
  <c r="W994" i="1"/>
  <c r="L993" i="1"/>
  <c r="AH989" i="1"/>
  <c r="W988" i="1"/>
  <c r="L987" i="1"/>
  <c r="AH983" i="1"/>
  <c r="W982" i="1"/>
  <c r="L981" i="1"/>
  <c r="AH977" i="1"/>
  <c r="W976" i="1"/>
  <c r="L975" i="1"/>
  <c r="AH971" i="1"/>
  <c r="W970" i="1"/>
  <c r="L969" i="1"/>
  <c r="AH965" i="1"/>
  <c r="W964" i="1"/>
  <c r="L963" i="1"/>
  <c r="AH959" i="1"/>
  <c r="W958" i="1"/>
  <c r="L957" i="1"/>
  <c r="AH953" i="1"/>
  <c r="W952" i="1"/>
  <c r="L951" i="1"/>
  <c r="AH947" i="1"/>
  <c r="W946" i="1"/>
  <c r="L945" i="1"/>
  <c r="AH941" i="1"/>
  <c r="W940" i="1"/>
  <c r="L939" i="1"/>
  <c r="AH935" i="1"/>
  <c r="W934" i="1"/>
  <c r="L933" i="1"/>
  <c r="AH929" i="1"/>
  <c r="W928" i="1"/>
  <c r="L927" i="1"/>
  <c r="AH923" i="1"/>
  <c r="W922" i="1"/>
  <c r="L921" i="1"/>
  <c r="AH917" i="1"/>
  <c r="W916" i="1"/>
  <c r="L915" i="1"/>
  <c r="AH911" i="1"/>
  <c r="W910" i="1"/>
  <c r="L909" i="1"/>
  <c r="AH905" i="1"/>
  <c r="W904" i="1"/>
  <c r="L903" i="1"/>
  <c r="AH899" i="1"/>
  <c r="W898" i="1"/>
  <c r="L897" i="1"/>
  <c r="AH893" i="1"/>
  <c r="W892" i="1"/>
  <c r="L891" i="1"/>
  <c r="AH887" i="1"/>
  <c r="W886" i="1"/>
  <c r="L885" i="1"/>
  <c r="AH881" i="1"/>
  <c r="W880" i="1"/>
  <c r="L879" i="1"/>
  <c r="AH875" i="1"/>
  <c r="W874" i="1"/>
  <c r="L873" i="1"/>
  <c r="AH869" i="1"/>
  <c r="W868" i="1"/>
  <c r="L867" i="1"/>
  <c r="AH863" i="1"/>
  <c r="W862" i="1"/>
  <c r="L861" i="1"/>
  <c r="AH857" i="1"/>
  <c r="W856" i="1"/>
  <c r="L855" i="1"/>
  <c r="AH851" i="1"/>
  <c r="W850" i="1"/>
  <c r="L849" i="1"/>
  <c r="AH845" i="1"/>
  <c r="W844" i="1"/>
  <c r="L843" i="1"/>
  <c r="AH839" i="1"/>
  <c r="W838" i="1"/>
  <c r="L837" i="1"/>
  <c r="AH833" i="1"/>
  <c r="W832" i="1"/>
  <c r="L831" i="1"/>
  <c r="AH827" i="1"/>
  <c r="W826" i="1"/>
  <c r="L825" i="1"/>
  <c r="AH821" i="1"/>
  <c r="W820" i="1"/>
  <c r="L819" i="1"/>
  <c r="AH815" i="1"/>
  <c r="W814" i="1"/>
  <c r="L813" i="1"/>
  <c r="AH809" i="1"/>
  <c r="W808" i="1"/>
  <c r="L807" i="1"/>
  <c r="AH803" i="1"/>
  <c r="W802" i="1"/>
  <c r="L801" i="1"/>
  <c r="AH797" i="1"/>
  <c r="W796" i="1"/>
  <c r="L795" i="1"/>
  <c r="AH791" i="1"/>
  <c r="W790" i="1"/>
  <c r="L789" i="1"/>
  <c r="AH785" i="1"/>
  <c r="W784" i="1"/>
  <c r="L783" i="1"/>
  <c r="AH779" i="1"/>
  <c r="W778" i="1"/>
  <c r="L777" i="1"/>
  <c r="AH773" i="1"/>
  <c r="W772" i="1"/>
  <c r="L771" i="1"/>
  <c r="AH767" i="1"/>
  <c r="W766" i="1"/>
  <c r="L765" i="1"/>
  <c r="AH761" i="1"/>
  <c r="W760" i="1"/>
  <c r="L759" i="1"/>
  <c r="AH755" i="1"/>
  <c r="W754" i="1"/>
  <c r="L753" i="1"/>
  <c r="AH749" i="1"/>
  <c r="W748" i="1"/>
  <c r="L747" i="1"/>
  <c r="AH743" i="1"/>
  <c r="W742" i="1"/>
  <c r="L741" i="1"/>
  <c r="AH737" i="1"/>
  <c r="W736" i="1"/>
  <c r="L735" i="1"/>
  <c r="AH731" i="1"/>
  <c r="W730" i="1"/>
  <c r="L729" i="1"/>
  <c r="AH725" i="1"/>
  <c r="W724" i="1"/>
  <c r="L723" i="1"/>
  <c r="AH719" i="1"/>
  <c r="W718" i="1"/>
  <c r="L717" i="1"/>
  <c r="AH713" i="1"/>
  <c r="W712" i="1"/>
  <c r="L711" i="1"/>
  <c r="AH707" i="1"/>
  <c r="W706" i="1"/>
  <c r="L705" i="1"/>
  <c r="AH701" i="1"/>
  <c r="W700" i="1"/>
  <c r="L699" i="1"/>
  <c r="AH695" i="1"/>
  <c r="W694" i="1"/>
  <c r="L693" i="1"/>
  <c r="AH689" i="1"/>
  <c r="W688" i="1"/>
  <c r="L687" i="1"/>
  <c r="AH683" i="1"/>
  <c r="W682" i="1"/>
  <c r="L681" i="1"/>
  <c r="AH677" i="1"/>
  <c r="W676" i="1"/>
  <c r="L675" i="1"/>
  <c r="AH671" i="1"/>
  <c r="W670" i="1"/>
  <c r="L669" i="1"/>
  <c r="AH665" i="1"/>
  <c r="W664" i="1"/>
  <c r="L663" i="1"/>
  <c r="AH659" i="1"/>
  <c r="W658" i="1"/>
  <c r="L657" i="1"/>
  <c r="AH653" i="1"/>
  <c r="W652" i="1"/>
  <c r="L651" i="1"/>
  <c r="AH647" i="1"/>
  <c r="W646" i="1"/>
  <c r="L645" i="1"/>
  <c r="AH641" i="1"/>
  <c r="W640" i="1"/>
  <c r="L639" i="1"/>
  <c r="AH635" i="1"/>
  <c r="W634" i="1"/>
  <c r="L633" i="1"/>
  <c r="AH629" i="1"/>
  <c r="W628" i="1"/>
  <c r="L627" i="1"/>
  <c r="AH623" i="1"/>
  <c r="W622" i="1"/>
  <c r="L621" i="1"/>
  <c r="AH617" i="1"/>
  <c r="W616" i="1"/>
  <c r="L615" i="1"/>
  <c r="AH611" i="1"/>
  <c r="W610" i="1"/>
  <c r="L609" i="1"/>
  <c r="AH605" i="1"/>
  <c r="W604" i="1"/>
  <c r="L603" i="1"/>
  <c r="AH599" i="1"/>
  <c r="W598" i="1"/>
  <c r="L597" i="1"/>
  <c r="AH593" i="1"/>
  <c r="W592" i="1"/>
  <c r="L591" i="1"/>
  <c r="AH587" i="1"/>
  <c r="W586" i="1"/>
  <c r="L585" i="1"/>
  <c r="AH581" i="1"/>
  <c r="W580" i="1"/>
  <c r="L579" i="1"/>
  <c r="AH575" i="1"/>
  <c r="W574" i="1"/>
  <c r="L573" i="1"/>
  <c r="AH569" i="1"/>
  <c r="W568" i="1"/>
  <c r="L567" i="1"/>
  <c r="AH563" i="1"/>
  <c r="W562" i="1"/>
  <c r="L561" i="1"/>
  <c r="AH557" i="1"/>
  <c r="W556" i="1"/>
  <c r="L555" i="1"/>
  <c r="AH551" i="1"/>
  <c r="W550" i="1"/>
  <c r="L549" i="1"/>
  <c r="AH545" i="1"/>
  <c r="W544" i="1"/>
  <c r="L543" i="1"/>
  <c r="AH539" i="1"/>
  <c r="W538" i="1"/>
  <c r="L537" i="1"/>
  <c r="AH533" i="1"/>
  <c r="W532" i="1"/>
  <c r="L531" i="1"/>
  <c r="AH527" i="1"/>
  <c r="W526" i="1"/>
  <c r="L525" i="1"/>
  <c r="AH521" i="1"/>
  <c r="W520" i="1"/>
  <c r="L519" i="1"/>
  <c r="AH515" i="1"/>
  <c r="W514" i="1"/>
  <c r="L513" i="1"/>
  <c r="AH509" i="1"/>
  <c r="W508" i="1"/>
  <c r="L507" i="1"/>
  <c r="AH503" i="1"/>
  <c r="W502" i="1"/>
  <c r="L501" i="1"/>
  <c r="AH497" i="1"/>
  <c r="W496" i="1"/>
  <c r="L495" i="1"/>
  <c r="AH491" i="1"/>
  <c r="W490" i="1"/>
  <c r="L489" i="1"/>
  <c r="AH485" i="1"/>
  <c r="W484" i="1"/>
  <c r="L483" i="1"/>
  <c r="AH479" i="1"/>
  <c r="W478" i="1"/>
  <c r="L477" i="1"/>
  <c r="AH473" i="1"/>
  <c r="W472" i="1"/>
  <c r="L471" i="1"/>
  <c r="AH467" i="1"/>
  <c r="W466" i="1"/>
  <c r="L465" i="1"/>
  <c r="AH461" i="1"/>
  <c r="W460" i="1"/>
  <c r="L459" i="1"/>
  <c r="AH455" i="1"/>
  <c r="W454" i="1"/>
  <c r="L453" i="1"/>
  <c r="AH449" i="1"/>
  <c r="W448" i="1"/>
  <c r="L447" i="1"/>
  <c r="AH443" i="1"/>
  <c r="W442" i="1"/>
  <c r="L441" i="1"/>
  <c r="AH437" i="1"/>
  <c r="W436" i="1"/>
  <c r="L435" i="1"/>
  <c r="AH431" i="1"/>
  <c r="W430" i="1"/>
  <c r="L429" i="1"/>
  <c r="AH425" i="1"/>
  <c r="W424" i="1"/>
  <c r="L423" i="1"/>
  <c r="AH419" i="1"/>
  <c r="W418" i="1"/>
  <c r="L417" i="1"/>
  <c r="AH413" i="1"/>
  <c r="W412" i="1"/>
  <c r="L411" i="1"/>
  <c r="AH3260" i="1"/>
  <c r="M3139" i="1"/>
  <c r="G3119" i="1"/>
  <c r="AI3085" i="1"/>
  <c r="AF2684" i="1"/>
  <c r="L2674" i="1"/>
  <c r="AF2652" i="1"/>
  <c r="AH2622" i="1"/>
  <c r="AF2575" i="1"/>
  <c r="AI2535" i="1"/>
  <c r="M2525" i="1"/>
  <c r="L2487" i="1"/>
  <c r="J2401" i="1"/>
  <c r="J2348" i="1"/>
  <c r="L2333" i="1"/>
  <c r="AH2308" i="1"/>
  <c r="M2301" i="1"/>
  <c r="M2276" i="1"/>
  <c r="G2267" i="1"/>
  <c r="AF2258" i="1"/>
  <c r="AI2249" i="1"/>
  <c r="L2216" i="1"/>
  <c r="W2208" i="1"/>
  <c r="AI2192" i="1"/>
  <c r="AF2185" i="1"/>
  <c r="AF2169" i="1"/>
  <c r="AH2162" i="1"/>
  <c r="G2146" i="1"/>
  <c r="L2140" i="1"/>
  <c r="G2120" i="1"/>
  <c r="AF2091" i="1"/>
  <c r="AF2080" i="1"/>
  <c r="AF2047" i="1"/>
  <c r="J2035" i="1"/>
  <c r="AI2023" i="1"/>
  <c r="L1978" i="1"/>
  <c r="M1973" i="1"/>
  <c r="AF1961" i="1"/>
  <c r="AF1957" i="1"/>
  <c r="M1953" i="1"/>
  <c r="W1948" i="1"/>
  <c r="AH1926" i="1"/>
  <c r="AH1922" i="1"/>
  <c r="AF1915" i="1"/>
  <c r="J1908" i="1"/>
  <c r="M1904" i="1"/>
  <c r="AF1900" i="1"/>
  <c r="W1897" i="1"/>
  <c r="G1890" i="1"/>
  <c r="AH1886" i="1"/>
  <c r="J1879" i="1"/>
  <c r="J1872" i="1"/>
  <c r="M1868" i="1"/>
  <c r="AF1864" i="1"/>
  <c r="W1861" i="1"/>
  <c r="G1854" i="1"/>
  <c r="AH1850" i="1"/>
  <c r="J1843" i="1"/>
  <c r="J1836" i="1"/>
  <c r="M1832" i="1"/>
  <c r="AF1828" i="1"/>
  <c r="W1825" i="1"/>
  <c r="G1818" i="1"/>
  <c r="AH1814" i="1"/>
  <c r="J1807" i="1"/>
  <c r="J1800" i="1"/>
  <c r="M1796" i="1"/>
  <c r="AF1792" i="1"/>
  <c r="W1789" i="1"/>
  <c r="G1782" i="1"/>
  <c r="AH1778" i="1"/>
  <c r="J1771" i="1"/>
  <c r="J1764" i="1"/>
  <c r="M1760" i="1"/>
  <c r="AF1756" i="1"/>
  <c r="W1753" i="1"/>
  <c r="G1746" i="1"/>
  <c r="AH1742" i="1"/>
  <c r="J1735" i="1"/>
  <c r="J1728" i="1"/>
  <c r="M1724" i="1"/>
  <c r="AF1720" i="1"/>
  <c r="W1717" i="1"/>
  <c r="G1710" i="1"/>
  <c r="AH1706" i="1"/>
  <c r="J1699" i="1"/>
  <c r="J1692" i="1"/>
  <c r="M1688" i="1"/>
  <c r="AF1684" i="1"/>
  <c r="W1681" i="1"/>
  <c r="G1674" i="1"/>
  <c r="AH1670" i="1"/>
  <c r="J1663" i="1"/>
  <c r="J1656" i="1"/>
  <c r="M1652" i="1"/>
  <c r="AF1648" i="1"/>
  <c r="W1645" i="1"/>
  <c r="G1638" i="1"/>
  <c r="AH1634" i="1"/>
  <c r="J1627" i="1"/>
  <c r="J1620" i="1"/>
  <c r="M1616" i="1"/>
  <c r="AF1612" i="1"/>
  <c r="W1609" i="1"/>
  <c r="G1602" i="1"/>
  <c r="AH1598" i="1"/>
  <c r="J1591" i="1"/>
  <c r="J1584" i="1"/>
  <c r="M1580" i="1"/>
  <c r="AF1576" i="1"/>
  <c r="W1573" i="1"/>
  <c r="G1566" i="1"/>
  <c r="AH1562" i="1"/>
  <c r="J1555" i="1"/>
  <c r="J1548" i="1"/>
  <c r="W1544" i="1"/>
  <c r="AF1541" i="1"/>
  <c r="J1536" i="1"/>
  <c r="M1533" i="1"/>
  <c r="J1528" i="1"/>
  <c r="AF1525" i="1"/>
  <c r="AF1523" i="1"/>
  <c r="AI1520" i="1"/>
  <c r="L1518" i="1"/>
  <c r="AH1515" i="1"/>
  <c r="L1508" i="1"/>
  <c r="J1503" i="1"/>
  <c r="AF1500" i="1"/>
  <c r="AI1495" i="1"/>
  <c r="L1493" i="1"/>
  <c r="AF1488" i="1"/>
  <c r="J1484" i="1"/>
  <c r="AI1481" i="1"/>
  <c r="J1479" i="1"/>
  <c r="M1474" i="1"/>
  <c r="AF1467" i="1"/>
  <c r="L1465" i="1"/>
  <c r="AF1460" i="1"/>
  <c r="L1458" i="1"/>
  <c r="AI1451" i="1"/>
  <c r="M1449" i="1"/>
  <c r="L1447" i="1"/>
  <c r="AF1442" i="1"/>
  <c r="L1440" i="1"/>
  <c r="AI1433" i="1"/>
  <c r="M1431" i="1"/>
  <c r="L1429" i="1"/>
  <c r="AF1424" i="1"/>
  <c r="L1422" i="1"/>
  <c r="AI1415" i="1"/>
  <c r="M1413" i="1"/>
  <c r="L1411" i="1"/>
  <c r="AF1406" i="1"/>
  <c r="L1404" i="1"/>
  <c r="AI1397" i="1"/>
  <c r="M1395" i="1"/>
  <c r="L1393" i="1"/>
  <c r="AF1388" i="1"/>
  <c r="L1386" i="1"/>
  <c r="AI1379" i="1"/>
  <c r="M1377" i="1"/>
  <c r="L1375" i="1"/>
  <c r="AF1370" i="1"/>
  <c r="L1368" i="1"/>
  <c r="AI1361" i="1"/>
  <c r="M1359" i="1"/>
  <c r="L1357" i="1"/>
  <c r="AF1352" i="1"/>
  <c r="L1350" i="1"/>
  <c r="AI1343" i="1"/>
  <c r="M1341" i="1"/>
  <c r="L1339" i="1"/>
  <c r="AF1334" i="1"/>
  <c r="L1332" i="1"/>
  <c r="AI1325" i="1"/>
  <c r="M1323" i="1"/>
  <c r="L1321" i="1"/>
  <c r="AF1316" i="1"/>
  <c r="L1314" i="1"/>
  <c r="AI1307" i="1"/>
  <c r="W1305" i="1"/>
  <c r="M1303" i="1"/>
  <c r="AH1292" i="1"/>
  <c r="AH1288" i="1"/>
  <c r="M1286" i="1"/>
  <c r="L1284" i="1"/>
  <c r="G1282" i="1"/>
  <c r="J1280" i="1"/>
  <c r="G1278" i="1"/>
  <c r="AI1275" i="1"/>
  <c r="AF1273" i="1"/>
  <c r="AI1271" i="1"/>
  <c r="W1269" i="1"/>
  <c r="M1267" i="1"/>
  <c r="AH1256" i="1"/>
  <c r="AH1252" i="1"/>
  <c r="M1250" i="1"/>
  <c r="L1248" i="1"/>
  <c r="G1246" i="1"/>
  <c r="J1244" i="1"/>
  <c r="G1242" i="1"/>
  <c r="AI1239" i="1"/>
  <c r="AF1237" i="1"/>
  <c r="AI1235" i="1"/>
  <c r="W1233" i="1"/>
  <c r="M1231" i="1"/>
  <c r="AH1220" i="1"/>
  <c r="AH1216" i="1"/>
  <c r="M1214" i="1"/>
  <c r="L1212" i="1"/>
  <c r="G1210" i="1"/>
  <c r="J1208" i="1"/>
  <c r="G1206" i="1"/>
  <c r="G1204" i="1"/>
  <c r="L1202" i="1"/>
  <c r="AF1200" i="1"/>
  <c r="AH1197" i="1"/>
  <c r="L1196" i="1"/>
  <c r="G1195" i="1"/>
  <c r="AF1193" i="1"/>
  <c r="AH1190" i="1"/>
  <c r="M1189" i="1"/>
  <c r="AH1186" i="1"/>
  <c r="J1185" i="1"/>
  <c r="AI1183" i="1"/>
  <c r="W1182" i="1"/>
  <c r="AH1179" i="1"/>
  <c r="L1178" i="1"/>
  <c r="G1177" i="1"/>
  <c r="AF1175" i="1"/>
  <c r="AH1172" i="1"/>
  <c r="M1171" i="1"/>
  <c r="AH1168" i="1"/>
  <c r="J1167" i="1"/>
  <c r="AI1165" i="1"/>
  <c r="W1164" i="1"/>
  <c r="AH1161" i="1"/>
  <c r="L1160" i="1"/>
  <c r="G1159" i="1"/>
  <c r="AF1157" i="1"/>
  <c r="AH1154" i="1"/>
  <c r="M1153" i="1"/>
  <c r="AH1150" i="1"/>
  <c r="J1149" i="1"/>
  <c r="AI1147" i="1"/>
  <c r="W1146" i="1"/>
  <c r="AH1143" i="1"/>
  <c r="L1142" i="1"/>
  <c r="G1141" i="1"/>
  <c r="AF1139" i="1"/>
  <c r="AH1136" i="1"/>
  <c r="M1135" i="1"/>
  <c r="AH1132" i="1"/>
  <c r="L1131" i="1"/>
  <c r="G1130" i="1"/>
  <c r="AI1128" i="1"/>
  <c r="AF1127" i="1"/>
  <c r="M1126" i="1"/>
  <c r="J1125" i="1"/>
  <c r="G1124" i="1"/>
  <c r="AI1122" i="1"/>
  <c r="AF1121" i="1"/>
  <c r="M1120" i="1"/>
  <c r="J1119" i="1"/>
  <c r="G1118" i="1"/>
  <c r="AI1116" i="1"/>
  <c r="AF1115" i="1"/>
  <c r="M1114" i="1"/>
  <c r="J1113" i="1"/>
  <c r="G1112" i="1"/>
  <c r="AI1110" i="1"/>
  <c r="AF1109" i="1"/>
  <c r="M1108" i="1"/>
  <c r="J1107" i="1"/>
  <c r="G1106" i="1"/>
  <c r="AI1104" i="1"/>
  <c r="AF1103" i="1"/>
  <c r="M1102" i="1"/>
  <c r="J1101" i="1"/>
  <c r="G1100" i="1"/>
  <c r="AI1098" i="1"/>
  <c r="AF1097" i="1"/>
  <c r="M1096" i="1"/>
  <c r="J1095" i="1"/>
  <c r="G1094" i="1"/>
  <c r="AI1092" i="1"/>
  <c r="AF1091" i="1"/>
  <c r="M1090" i="1"/>
  <c r="J1089" i="1"/>
  <c r="G1088" i="1"/>
  <c r="AI1086" i="1"/>
  <c r="AF1085" i="1"/>
  <c r="M1084" i="1"/>
  <c r="J1083" i="1"/>
  <c r="G1082" i="1"/>
  <c r="AI1080" i="1"/>
  <c r="AF1079" i="1"/>
  <c r="M1078" i="1"/>
  <c r="J1077" i="1"/>
  <c r="G1076" i="1"/>
  <c r="AI1074" i="1"/>
  <c r="AF1073" i="1"/>
  <c r="M1072" i="1"/>
  <c r="J1071" i="1"/>
  <c r="G1070" i="1"/>
  <c r="AI1068" i="1"/>
  <c r="AF1067" i="1"/>
  <c r="M1066" i="1"/>
  <c r="J1065" i="1"/>
  <c r="G1064" i="1"/>
  <c r="AI1062" i="1"/>
  <c r="AF1061" i="1"/>
  <c r="M1060" i="1"/>
  <c r="J1059" i="1"/>
  <c r="G1058" i="1"/>
  <c r="AI1056" i="1"/>
  <c r="AF1055" i="1"/>
  <c r="M1054" i="1"/>
  <c r="J1053" i="1"/>
  <c r="G1052" i="1"/>
  <c r="AI1050" i="1"/>
  <c r="AF1049" i="1"/>
  <c r="M1048" i="1"/>
  <c r="J1047" i="1"/>
  <c r="G1046" i="1"/>
  <c r="AI1044" i="1"/>
  <c r="AF1043" i="1"/>
  <c r="M1042" i="1"/>
  <c r="J1041" i="1"/>
  <c r="G1040" i="1"/>
  <c r="AI1038" i="1"/>
  <c r="AF1037" i="1"/>
  <c r="M1036" i="1"/>
  <c r="J1035" i="1"/>
  <c r="G1034" i="1"/>
  <c r="AI1032" i="1"/>
  <c r="AF1031" i="1"/>
  <c r="M1030" i="1"/>
  <c r="J1029" i="1"/>
  <c r="G1028" i="1"/>
  <c r="AI1026" i="1"/>
  <c r="AF1025" i="1"/>
  <c r="M1024" i="1"/>
  <c r="J1023" i="1"/>
  <c r="G1022" i="1"/>
  <c r="AI1020" i="1"/>
  <c r="AF1019" i="1"/>
  <c r="M1018" i="1"/>
  <c r="J1017" i="1"/>
  <c r="G1016" i="1"/>
  <c r="AI1014" i="1"/>
  <c r="AF1013" i="1"/>
  <c r="M1012" i="1"/>
  <c r="J1011" i="1"/>
  <c r="G1010" i="1"/>
  <c r="AI1008" i="1"/>
  <c r="AF1007" i="1"/>
  <c r="M1006" i="1"/>
  <c r="J1005" i="1"/>
  <c r="G1004" i="1"/>
  <c r="AI1002" i="1"/>
  <c r="AF1001" i="1"/>
  <c r="M1000" i="1"/>
  <c r="J999" i="1"/>
  <c r="G998" i="1"/>
  <c r="AI996" i="1"/>
  <c r="AF995" i="1"/>
  <c r="M994" i="1"/>
  <c r="J993" i="1"/>
  <c r="G992" i="1"/>
  <c r="AI990" i="1"/>
  <c r="AF989" i="1"/>
  <c r="M988" i="1"/>
  <c r="J987" i="1"/>
  <c r="G986" i="1"/>
  <c r="AI984" i="1"/>
  <c r="AF983" i="1"/>
  <c r="M982" i="1"/>
  <c r="J981" i="1"/>
  <c r="G980" i="1"/>
  <c r="AI978" i="1"/>
  <c r="AF977" i="1"/>
  <c r="M976" i="1"/>
  <c r="J975" i="1"/>
  <c r="G974" i="1"/>
  <c r="AI972" i="1"/>
  <c r="AF971" i="1"/>
  <c r="M970" i="1"/>
  <c r="J969" i="1"/>
  <c r="G968" i="1"/>
  <c r="AI966" i="1"/>
  <c r="AF965" i="1"/>
  <c r="M964" i="1"/>
  <c r="J963" i="1"/>
  <c r="G962" i="1"/>
  <c r="AI960" i="1"/>
  <c r="AF959" i="1"/>
  <c r="M958" i="1"/>
  <c r="J957" i="1"/>
  <c r="G956" i="1"/>
  <c r="AI954" i="1"/>
  <c r="AF953" i="1"/>
  <c r="M952" i="1"/>
  <c r="J951" i="1"/>
  <c r="G950" i="1"/>
  <c r="AI948" i="1"/>
  <c r="AF947" i="1"/>
  <c r="M946" i="1"/>
  <c r="J945" i="1"/>
  <c r="G944" i="1"/>
  <c r="AI942" i="1"/>
  <c r="AF941" i="1"/>
  <c r="M940" i="1"/>
  <c r="J939" i="1"/>
  <c r="G938" i="1"/>
  <c r="AI936" i="1"/>
  <c r="AF935" i="1"/>
  <c r="M934" i="1"/>
  <c r="J933" i="1"/>
  <c r="G932" i="1"/>
  <c r="AI930" i="1"/>
  <c r="AF929" i="1"/>
  <c r="M928" i="1"/>
  <c r="J927" i="1"/>
  <c r="G926" i="1"/>
  <c r="AI924" i="1"/>
  <c r="AF923" i="1"/>
  <c r="M922" i="1"/>
  <c r="J921" i="1"/>
  <c r="G920" i="1"/>
  <c r="AI918" i="1"/>
  <c r="AF917" i="1"/>
  <c r="M916" i="1"/>
  <c r="J915" i="1"/>
  <c r="G914" i="1"/>
  <c r="AI912" i="1"/>
  <c r="AF911" i="1"/>
  <c r="M910" i="1"/>
  <c r="J909" i="1"/>
  <c r="G908" i="1"/>
  <c r="AI906" i="1"/>
  <c r="AF905" i="1"/>
  <c r="M904" i="1"/>
  <c r="J903" i="1"/>
  <c r="G902" i="1"/>
  <c r="AI900" i="1"/>
  <c r="AF899" i="1"/>
  <c r="M898" i="1"/>
  <c r="J897" i="1"/>
  <c r="G896" i="1"/>
  <c r="AI894" i="1"/>
  <c r="AF893" i="1"/>
  <c r="M892" i="1"/>
  <c r="J891" i="1"/>
  <c r="G890" i="1"/>
  <c r="AI888" i="1"/>
  <c r="AF887" i="1"/>
  <c r="M886" i="1"/>
  <c r="J885" i="1"/>
  <c r="G884" i="1"/>
  <c r="AI882" i="1"/>
  <c r="AF881" i="1"/>
  <c r="M880" i="1"/>
  <c r="J879" i="1"/>
  <c r="G878" i="1"/>
  <c r="AI876" i="1"/>
  <c r="AF875" i="1"/>
  <c r="M874" i="1"/>
  <c r="J873" i="1"/>
  <c r="G872" i="1"/>
  <c r="AI870" i="1"/>
  <c r="AF869" i="1"/>
  <c r="M868" i="1"/>
  <c r="J867" i="1"/>
  <c r="G866" i="1"/>
  <c r="AI864" i="1"/>
  <c r="AF863" i="1"/>
  <c r="M862" i="1"/>
  <c r="J861" i="1"/>
  <c r="G860" i="1"/>
  <c r="AI858" i="1"/>
  <c r="AF857" i="1"/>
  <c r="M856" i="1"/>
  <c r="J855" i="1"/>
  <c r="G854" i="1"/>
  <c r="AI852" i="1"/>
  <c r="AF851" i="1"/>
  <c r="M850" i="1"/>
  <c r="J849" i="1"/>
  <c r="G848" i="1"/>
  <c r="AI846" i="1"/>
  <c r="AF845" i="1"/>
  <c r="M844" i="1"/>
  <c r="J843" i="1"/>
  <c r="G842" i="1"/>
  <c r="AI840" i="1"/>
  <c r="AF839" i="1"/>
  <c r="M838" i="1"/>
  <c r="J837" i="1"/>
  <c r="G836" i="1"/>
  <c r="AI834" i="1"/>
  <c r="AF833" i="1"/>
  <c r="M832" i="1"/>
  <c r="J831" i="1"/>
  <c r="G830" i="1"/>
  <c r="AI828" i="1"/>
  <c r="AF827" i="1"/>
  <c r="M826" i="1"/>
  <c r="J825" i="1"/>
  <c r="G824" i="1"/>
  <c r="AI822" i="1"/>
  <c r="AF821" i="1"/>
  <c r="M820" i="1"/>
  <c r="J819" i="1"/>
  <c r="G818" i="1"/>
  <c r="AI816" i="1"/>
  <c r="AF815" i="1"/>
  <c r="M814" i="1"/>
  <c r="J813" i="1"/>
  <c r="G812" i="1"/>
  <c r="AI810" i="1"/>
  <c r="AF809" i="1"/>
  <c r="M808" i="1"/>
  <c r="J807" i="1"/>
  <c r="G806" i="1"/>
  <c r="AI804" i="1"/>
  <c r="AF803" i="1"/>
  <c r="M802" i="1"/>
  <c r="J801" i="1"/>
  <c r="G800" i="1"/>
  <c r="AI798" i="1"/>
  <c r="AF797" i="1"/>
  <c r="M796" i="1"/>
  <c r="J795" i="1"/>
  <c r="G794" i="1"/>
  <c r="AI792" i="1"/>
  <c r="AF791" i="1"/>
  <c r="M790" i="1"/>
  <c r="J789" i="1"/>
  <c r="G788" i="1"/>
  <c r="AI786" i="1"/>
  <c r="AF785" i="1"/>
  <c r="M784" i="1"/>
  <c r="J783" i="1"/>
  <c r="G782" i="1"/>
  <c r="AI780" i="1"/>
  <c r="AF779" i="1"/>
  <c r="M778" i="1"/>
  <c r="J777" i="1"/>
  <c r="G776" i="1"/>
  <c r="AI774" i="1"/>
  <c r="AF773" i="1"/>
  <c r="M772" i="1"/>
  <c r="J771" i="1"/>
  <c r="G770" i="1"/>
  <c r="AI768" i="1"/>
  <c r="AF767" i="1"/>
  <c r="M766" i="1"/>
  <c r="J765" i="1"/>
  <c r="G764" i="1"/>
  <c r="AI762" i="1"/>
  <c r="AF761" i="1"/>
  <c r="M760" i="1"/>
  <c r="J759" i="1"/>
  <c r="G758" i="1"/>
  <c r="AI756" i="1"/>
  <c r="AF755" i="1"/>
  <c r="M754" i="1"/>
  <c r="J753" i="1"/>
  <c r="G752" i="1"/>
  <c r="AI750" i="1"/>
  <c r="AF749" i="1"/>
  <c r="M748" i="1"/>
  <c r="J747" i="1"/>
  <c r="G746" i="1"/>
  <c r="AI744" i="1"/>
  <c r="AF743" i="1"/>
  <c r="M742" i="1"/>
  <c r="J741" i="1"/>
  <c r="G740" i="1"/>
  <c r="AI738" i="1"/>
  <c r="AF737" i="1"/>
  <c r="M736" i="1"/>
  <c r="J735" i="1"/>
  <c r="G734" i="1"/>
  <c r="AI732" i="1"/>
  <c r="AF731" i="1"/>
  <c r="M730" i="1"/>
  <c r="J729" i="1"/>
  <c r="G728" i="1"/>
  <c r="AI726" i="1"/>
  <c r="AF725" i="1"/>
  <c r="M724" i="1"/>
  <c r="J723" i="1"/>
  <c r="G722" i="1"/>
  <c r="AI720" i="1"/>
  <c r="AF719" i="1"/>
  <c r="M718" i="1"/>
  <c r="J717" i="1"/>
  <c r="G716" i="1"/>
  <c r="AI714" i="1"/>
  <c r="AF713" i="1"/>
  <c r="M712" i="1"/>
  <c r="J711" i="1"/>
  <c r="G710" i="1"/>
  <c r="AI708" i="1"/>
  <c r="AF707" i="1"/>
  <c r="M706" i="1"/>
  <c r="J705" i="1"/>
  <c r="G704" i="1"/>
  <c r="AI702" i="1"/>
  <c r="AF701" i="1"/>
  <c r="M700" i="1"/>
  <c r="J699" i="1"/>
  <c r="G698" i="1"/>
  <c r="AI696" i="1"/>
  <c r="AF695" i="1"/>
  <c r="M694" i="1"/>
  <c r="J693" i="1"/>
  <c r="G692" i="1"/>
  <c r="AI690" i="1"/>
  <c r="AF689" i="1"/>
  <c r="M688" i="1"/>
  <c r="J687" i="1"/>
  <c r="G686" i="1"/>
  <c r="AI684" i="1"/>
  <c r="AF683" i="1"/>
  <c r="M682" i="1"/>
  <c r="J681" i="1"/>
  <c r="G680" i="1"/>
  <c r="AI678" i="1"/>
  <c r="AF677" i="1"/>
  <c r="M676" i="1"/>
  <c r="J675" i="1"/>
  <c r="G674" i="1"/>
  <c r="AI672" i="1"/>
  <c r="AF671" i="1"/>
  <c r="M670" i="1"/>
  <c r="J669" i="1"/>
  <c r="G668" i="1"/>
  <c r="AI666" i="1"/>
  <c r="AF665" i="1"/>
  <c r="M664" i="1"/>
  <c r="J663" i="1"/>
  <c r="G662" i="1"/>
  <c r="AI660" i="1"/>
  <c r="AF659" i="1"/>
  <c r="M658" i="1"/>
  <c r="J657" i="1"/>
  <c r="G656" i="1"/>
  <c r="AI654" i="1"/>
  <c r="AF653" i="1"/>
  <c r="M652" i="1"/>
  <c r="J651" i="1"/>
  <c r="G650" i="1"/>
  <c r="AI648" i="1"/>
  <c r="AF647" i="1"/>
  <c r="M646" i="1"/>
  <c r="J645" i="1"/>
  <c r="G644" i="1"/>
  <c r="AI642" i="1"/>
  <c r="AF641" i="1"/>
  <c r="M640" i="1"/>
  <c r="J639" i="1"/>
  <c r="G638" i="1"/>
  <c r="AI636" i="1"/>
  <c r="AF635" i="1"/>
  <c r="M634" i="1"/>
  <c r="J633" i="1"/>
  <c r="G632" i="1"/>
  <c r="AI630" i="1"/>
  <c r="AF629" i="1"/>
  <c r="M628" i="1"/>
  <c r="J627" i="1"/>
  <c r="G626" i="1"/>
  <c r="AI624" i="1"/>
  <c r="AF623" i="1"/>
  <c r="M622" i="1"/>
  <c r="J621" i="1"/>
  <c r="G620" i="1"/>
  <c r="AI618" i="1"/>
  <c r="AF617" i="1"/>
  <c r="M616" i="1"/>
  <c r="J615" i="1"/>
  <c r="G614" i="1"/>
  <c r="AI612" i="1"/>
  <c r="AF611" i="1"/>
  <c r="M610" i="1"/>
  <c r="J609" i="1"/>
  <c r="G608" i="1"/>
  <c r="AI606" i="1"/>
  <c r="AF605" i="1"/>
  <c r="M604" i="1"/>
  <c r="J603" i="1"/>
  <c r="G602" i="1"/>
  <c r="AI600" i="1"/>
  <c r="AF599" i="1"/>
  <c r="M598" i="1"/>
  <c r="J597" i="1"/>
  <c r="G596" i="1"/>
  <c r="AI594" i="1"/>
  <c r="AF593" i="1"/>
  <c r="M592" i="1"/>
  <c r="J591" i="1"/>
  <c r="G590" i="1"/>
  <c r="AI588" i="1"/>
  <c r="AF587" i="1"/>
  <c r="M586" i="1"/>
  <c r="J585" i="1"/>
  <c r="G584" i="1"/>
  <c r="AI582" i="1"/>
  <c r="AF581" i="1"/>
  <c r="M580" i="1"/>
  <c r="J579" i="1"/>
  <c r="G578" i="1"/>
  <c r="AI576" i="1"/>
  <c r="AF575" i="1"/>
  <c r="M574" i="1"/>
  <c r="J573" i="1"/>
  <c r="G572" i="1"/>
  <c r="AI570" i="1"/>
  <c r="AF569" i="1"/>
  <c r="M568" i="1"/>
  <c r="J567" i="1"/>
  <c r="G566" i="1"/>
  <c r="AI564" i="1"/>
  <c r="AF563" i="1"/>
  <c r="M562" i="1"/>
  <c r="J561" i="1"/>
  <c r="G560" i="1"/>
  <c r="AI558" i="1"/>
  <c r="AF557" i="1"/>
  <c r="M556" i="1"/>
  <c r="J555" i="1"/>
  <c r="G554" i="1"/>
  <c r="AI552" i="1"/>
  <c r="AF551" i="1"/>
  <c r="M550" i="1"/>
  <c r="J549" i="1"/>
  <c r="G548" i="1"/>
  <c r="AI546" i="1"/>
  <c r="AF545" i="1"/>
  <c r="M544" i="1"/>
  <c r="J543" i="1"/>
  <c r="G542" i="1"/>
  <c r="AI540" i="1"/>
  <c r="AF539" i="1"/>
  <c r="M538" i="1"/>
  <c r="J537" i="1"/>
  <c r="G536" i="1"/>
  <c r="AI534" i="1"/>
  <c r="AF533" i="1"/>
  <c r="M532" i="1"/>
  <c r="J531" i="1"/>
  <c r="G530" i="1"/>
  <c r="AI528" i="1"/>
  <c r="AF527" i="1"/>
  <c r="M526" i="1"/>
  <c r="J525" i="1"/>
  <c r="G524" i="1"/>
  <c r="AI522" i="1"/>
  <c r="AF521" i="1"/>
  <c r="M520" i="1"/>
  <c r="J519" i="1"/>
  <c r="G518" i="1"/>
  <c r="AI516" i="1"/>
  <c r="AF515" i="1"/>
  <c r="M514" i="1"/>
  <c r="J513" i="1"/>
  <c r="G512" i="1"/>
  <c r="AI510" i="1"/>
  <c r="AF509" i="1"/>
  <c r="M508" i="1"/>
  <c r="J507" i="1"/>
  <c r="G506" i="1"/>
  <c r="AI504" i="1"/>
  <c r="AF503" i="1"/>
  <c r="M502" i="1"/>
  <c r="J501" i="1"/>
  <c r="G500" i="1"/>
  <c r="AI498" i="1"/>
  <c r="AF497" i="1"/>
  <c r="M496" i="1"/>
  <c r="J495" i="1"/>
  <c r="G494" i="1"/>
  <c r="AI492" i="1"/>
  <c r="AF491" i="1"/>
  <c r="M490" i="1"/>
  <c r="J489" i="1"/>
  <c r="G488" i="1"/>
  <c r="AI486" i="1"/>
  <c r="AF485" i="1"/>
  <c r="M484" i="1"/>
  <c r="J483" i="1"/>
  <c r="G482" i="1"/>
  <c r="AI480" i="1"/>
  <c r="AF479" i="1"/>
  <c r="M478" i="1"/>
  <c r="J477" i="1"/>
  <c r="G476" i="1"/>
  <c r="AI474" i="1"/>
  <c r="AF473" i="1"/>
  <c r="M472" i="1"/>
  <c r="J471" i="1"/>
  <c r="G470" i="1"/>
  <c r="AI468" i="1"/>
  <c r="AF467" i="1"/>
  <c r="M466" i="1"/>
  <c r="J465" i="1"/>
  <c r="G464" i="1"/>
  <c r="AI462" i="1"/>
  <c r="AF461" i="1"/>
  <c r="M460" i="1"/>
  <c r="J459" i="1"/>
  <c r="G458" i="1"/>
  <c r="AI456" i="1"/>
  <c r="AF455" i="1"/>
  <c r="M454" i="1"/>
  <c r="J453" i="1"/>
  <c r="G452" i="1"/>
  <c r="AI450" i="1"/>
  <c r="AF449" i="1"/>
  <c r="M448" i="1"/>
  <c r="J447" i="1"/>
  <c r="G446" i="1"/>
  <c r="AI444" i="1"/>
  <c r="AF443" i="1"/>
  <c r="M442" i="1"/>
  <c r="J441" i="1"/>
  <c r="G440" i="1"/>
  <c r="AI438" i="1"/>
  <c r="AF437" i="1"/>
  <c r="M436" i="1"/>
  <c r="J435" i="1"/>
  <c r="G434" i="1"/>
  <c r="AI432" i="1"/>
  <c r="AF431" i="1"/>
  <c r="M430" i="1"/>
  <c r="J429" i="1"/>
  <c r="G428" i="1"/>
  <c r="AI426" i="1"/>
  <c r="AF425" i="1"/>
  <c r="M424" i="1"/>
  <c r="J423" i="1"/>
  <c r="G422" i="1"/>
  <c r="AI420" i="1"/>
  <c r="AF419" i="1"/>
  <c r="M418" i="1"/>
  <c r="J417" i="1"/>
  <c r="G416" i="1"/>
  <c r="AI414" i="1"/>
  <c r="AF413" i="1"/>
  <c r="M412" i="1"/>
  <c r="J411" i="1"/>
  <c r="G410" i="1"/>
  <c r="AI408" i="1"/>
  <c r="AF407" i="1"/>
  <c r="M406" i="1"/>
  <c r="J405" i="1"/>
  <c r="G404" i="1"/>
  <c r="AI402" i="1"/>
  <c r="AF401" i="1"/>
  <c r="M400" i="1"/>
  <c r="J399" i="1"/>
  <c r="G398" i="1"/>
  <c r="AI396" i="1"/>
  <c r="AF395" i="1"/>
  <c r="M394" i="1"/>
  <c r="J393" i="1"/>
  <c r="G392" i="1"/>
  <c r="AI390" i="1"/>
  <c r="AF389" i="1"/>
  <c r="M388" i="1"/>
  <c r="J387" i="1"/>
  <c r="G386" i="1"/>
  <c r="AI384" i="1"/>
  <c r="AF383" i="1"/>
  <c r="M382" i="1"/>
  <c r="J381" i="1"/>
  <c r="G380" i="1"/>
  <c r="AI378" i="1"/>
  <c r="AF377" i="1"/>
  <c r="M376" i="1"/>
  <c r="J375" i="1"/>
  <c r="G374" i="1"/>
  <c r="AI372" i="1"/>
  <c r="AF371" i="1"/>
  <c r="M370" i="1"/>
  <c r="J369" i="1"/>
  <c r="G368" i="1"/>
  <c r="AI366" i="1"/>
  <c r="AF365" i="1"/>
  <c r="M364" i="1"/>
  <c r="J363" i="1"/>
  <c r="G362" i="1"/>
  <c r="AI360" i="1"/>
  <c r="AF359" i="1"/>
  <c r="M358" i="1"/>
  <c r="J357" i="1"/>
  <c r="G356" i="1"/>
  <c r="AI354" i="1"/>
  <c r="AF353" i="1"/>
  <c r="M352" i="1"/>
  <c r="J351" i="1"/>
  <c r="G350" i="1"/>
  <c r="AI348" i="1"/>
  <c r="AF347" i="1"/>
  <c r="M346" i="1"/>
  <c r="J345" i="1"/>
  <c r="G344" i="1"/>
  <c r="AI342" i="1"/>
  <c r="AF341" i="1"/>
  <c r="M340" i="1"/>
  <c r="J339" i="1"/>
  <c r="G338" i="1"/>
  <c r="AI336" i="1"/>
  <c r="AF335" i="1"/>
  <c r="M334" i="1"/>
  <c r="J333" i="1"/>
  <c r="G332" i="1"/>
  <c r="AI330" i="1"/>
  <c r="AF329" i="1"/>
  <c r="M328" i="1"/>
  <c r="J327" i="1"/>
  <c r="G326" i="1"/>
  <c r="AI324" i="1"/>
  <c r="AF323" i="1"/>
  <c r="M322" i="1"/>
  <c r="J321" i="1"/>
  <c r="G320" i="1"/>
  <c r="AI318" i="1"/>
  <c r="AF317" i="1"/>
  <c r="M316" i="1"/>
  <c r="J315" i="1"/>
  <c r="G314" i="1"/>
  <c r="AI312" i="1"/>
  <c r="AF311" i="1"/>
  <c r="M310" i="1"/>
  <c r="J309" i="1"/>
  <c r="G308" i="1"/>
  <c r="AI306" i="1"/>
  <c r="AF305" i="1"/>
  <c r="M304" i="1"/>
  <c r="J303" i="1"/>
  <c r="G302" i="1"/>
  <c r="AI300" i="1"/>
  <c r="AF299" i="1"/>
  <c r="M298" i="1"/>
  <c r="J297" i="1"/>
  <c r="G296" i="1"/>
  <c r="AI294" i="1"/>
  <c r="AF293" i="1"/>
  <c r="M292" i="1"/>
  <c r="J291" i="1"/>
  <c r="G290" i="1"/>
  <c r="AI288" i="1"/>
  <c r="AF287" i="1"/>
  <c r="M286" i="1"/>
  <c r="J285" i="1"/>
  <c r="G284" i="1"/>
  <c r="AI282" i="1"/>
  <c r="AF281" i="1"/>
  <c r="M280" i="1"/>
  <c r="J279" i="1"/>
  <c r="G278" i="1"/>
  <c r="AI276" i="1"/>
  <c r="AF275" i="1"/>
  <c r="M274" i="1"/>
  <c r="J273" i="1"/>
  <c r="G272" i="1"/>
  <c r="AI270" i="1"/>
  <c r="AF269" i="1"/>
  <c r="J3844" i="1"/>
  <c r="M2949" i="1"/>
  <c r="W2726" i="1"/>
  <c r="AF2716" i="1"/>
  <c r="M2652" i="1"/>
  <c r="AF2622" i="1"/>
  <c r="AF2593" i="1"/>
  <c r="L2584" i="1"/>
  <c r="AH2495" i="1"/>
  <c r="G2446" i="1"/>
  <c r="AH2341" i="1"/>
  <c r="J2333" i="1"/>
  <c r="AF2308" i="1"/>
  <c r="AH2239" i="1"/>
  <c r="AF2222" i="1"/>
  <c r="AI2176" i="1"/>
  <c r="W2169" i="1"/>
  <c r="AF2162" i="1"/>
  <c r="G2140" i="1"/>
  <c r="M2126" i="1"/>
  <c r="L2085" i="1"/>
  <c r="M2059" i="1"/>
  <c r="G2029" i="1"/>
  <c r="AH2023" i="1"/>
  <c r="AI2018" i="1"/>
  <c r="W1999" i="1"/>
  <c r="L1994" i="1"/>
  <c r="J1990" i="1"/>
  <c r="AI1985" i="1"/>
  <c r="W1981" i="1"/>
  <c r="J1973" i="1"/>
  <c r="AH1968" i="1"/>
  <c r="G1961" i="1"/>
  <c r="M1948" i="1"/>
  <c r="G1941" i="1"/>
  <c r="AI1933" i="1"/>
  <c r="AI1929" i="1"/>
  <c r="AF1922" i="1"/>
  <c r="G1908" i="1"/>
  <c r="J1904" i="1"/>
  <c r="G1900" i="1"/>
  <c r="M1897" i="1"/>
  <c r="AI1893" i="1"/>
  <c r="AI1882" i="1"/>
  <c r="G1872" i="1"/>
  <c r="J1868" i="1"/>
  <c r="G1864" i="1"/>
  <c r="M1861" i="1"/>
  <c r="AI1857" i="1"/>
  <c r="AI1846" i="1"/>
  <c r="G1836" i="1"/>
  <c r="J1832" i="1"/>
  <c r="G1828" i="1"/>
  <c r="M1825" i="1"/>
  <c r="AI1821" i="1"/>
  <c r="AI1810" i="1"/>
  <c r="G1800" i="1"/>
  <c r="J1796" i="1"/>
  <c r="G1792" i="1"/>
  <c r="M1789" i="1"/>
  <c r="AI1785" i="1"/>
  <c r="AI1774" i="1"/>
  <c r="G1764" i="1"/>
  <c r="J1760" i="1"/>
  <c r="G1756" i="1"/>
  <c r="M1753" i="1"/>
  <c r="AI1749" i="1"/>
  <c r="AI1738" i="1"/>
  <c r="G1728" i="1"/>
  <c r="J1724" i="1"/>
  <c r="G1720" i="1"/>
  <c r="M1717" i="1"/>
  <c r="AI1713" i="1"/>
  <c r="AI1702" i="1"/>
  <c r="G1692" i="1"/>
  <c r="J1688" i="1"/>
  <c r="G1684" i="1"/>
  <c r="M1681" i="1"/>
  <c r="AI1677" i="1"/>
  <c r="AI1666" i="1"/>
  <c r="G1656" i="1"/>
  <c r="J1652" i="1"/>
  <c r="G1648" i="1"/>
  <c r="M1645" i="1"/>
  <c r="AI1641" i="1"/>
  <c r="AI1630" i="1"/>
  <c r="G1620" i="1"/>
  <c r="J1616" i="1"/>
  <c r="G1612" i="1"/>
  <c r="M1609" i="1"/>
  <c r="AI1605" i="1"/>
  <c r="AI1594" i="1"/>
  <c r="G1584" i="1"/>
  <c r="J1580" i="1"/>
  <c r="G1576" i="1"/>
  <c r="M1573" i="1"/>
  <c r="AI1569" i="1"/>
  <c r="AI1558" i="1"/>
  <c r="G1548" i="1"/>
  <c r="L1544" i="1"/>
  <c r="L1541" i="1"/>
  <c r="M1538" i="1"/>
  <c r="J1533" i="1"/>
  <c r="AI1530" i="1"/>
  <c r="W1525" i="1"/>
  <c r="AH1520" i="1"/>
  <c r="J1518" i="1"/>
  <c r="W1515" i="1"/>
  <c r="G1513" i="1"/>
  <c r="M1510" i="1"/>
  <c r="AI1505" i="1"/>
  <c r="W1500" i="1"/>
  <c r="AI1497" i="1"/>
  <c r="J1495" i="1"/>
  <c r="J1493" i="1"/>
  <c r="AI1490" i="1"/>
  <c r="W1488" i="1"/>
  <c r="G1486" i="1"/>
  <c r="AF1481" i="1"/>
  <c r="AH1476" i="1"/>
  <c r="L1474" i="1"/>
  <c r="AI1471" i="1"/>
  <c r="W1467" i="1"/>
  <c r="AH1462" i="1"/>
  <c r="W1460" i="1"/>
  <c r="J1458" i="1"/>
  <c r="AI1455" i="1"/>
  <c r="AH1451" i="1"/>
  <c r="L1449" i="1"/>
  <c r="AH1444" i="1"/>
  <c r="W1442" i="1"/>
  <c r="J1440" i="1"/>
  <c r="AI1437" i="1"/>
  <c r="AH1433" i="1"/>
  <c r="L1431" i="1"/>
  <c r="AH1426" i="1"/>
  <c r="W1424" i="1"/>
  <c r="J1422" i="1"/>
  <c r="AI1419" i="1"/>
  <c r="AH1415" i="1"/>
  <c r="L1413" i="1"/>
  <c r="AH1408" i="1"/>
  <c r="W1406" i="1"/>
  <c r="J1404" i="1"/>
  <c r="AI1401" i="1"/>
  <c r="AH1397" i="1"/>
  <c r="L1395" i="1"/>
  <c r="AH1390" i="1"/>
  <c r="W1388" i="1"/>
  <c r="J1386" i="1"/>
  <c r="AI1383" i="1"/>
  <c r="AH1379" i="1"/>
  <c r="L1377" i="1"/>
  <c r="AH1372" i="1"/>
  <c r="W1370" i="1"/>
  <c r="J1368" i="1"/>
  <c r="AI1365" i="1"/>
  <c r="AH1361" i="1"/>
  <c r="L1359" i="1"/>
  <c r="AH1354" i="1"/>
  <c r="W1352" i="1"/>
  <c r="J1350" i="1"/>
  <c r="AI1347" i="1"/>
  <c r="AH1343" i="1"/>
  <c r="L1341" i="1"/>
  <c r="AH1336" i="1"/>
  <c r="W1334" i="1"/>
  <c r="J1332" i="1"/>
  <c r="AI1329" i="1"/>
  <c r="AH1325" i="1"/>
  <c r="L1323" i="1"/>
  <c r="AH1318" i="1"/>
  <c r="W1316" i="1"/>
  <c r="J1314" i="1"/>
  <c r="AI1311" i="1"/>
  <c r="AH1307" i="1"/>
  <c r="M1305" i="1"/>
  <c r="J1303" i="1"/>
  <c r="G1301" i="1"/>
  <c r="AI1298" i="1"/>
  <c r="G1297" i="1"/>
  <c r="AI1294" i="1"/>
  <c r="AF1292" i="1"/>
  <c r="M1290" i="1"/>
  <c r="AF1288" i="1"/>
  <c r="L1286" i="1"/>
  <c r="J1284" i="1"/>
  <c r="AF1275" i="1"/>
  <c r="W1273" i="1"/>
  <c r="J1271" i="1"/>
  <c r="M1269" i="1"/>
  <c r="J1267" i="1"/>
  <c r="G1265" i="1"/>
  <c r="AI1262" i="1"/>
  <c r="G1261" i="1"/>
  <c r="AI1258" i="1"/>
  <c r="AF1256" i="1"/>
  <c r="M1254" i="1"/>
  <c r="AF1252" i="1"/>
  <c r="L1250" i="1"/>
  <c r="J1248" i="1"/>
  <c r="AF1239" i="1"/>
  <c r="W1237" i="1"/>
  <c r="J1235" i="1"/>
  <c r="M1233" i="1"/>
  <c r="J1231" i="1"/>
  <c r="G1229" i="1"/>
  <c r="AI1226" i="1"/>
  <c r="G1225" i="1"/>
  <c r="AI1222" i="1"/>
  <c r="AF1220" i="1"/>
  <c r="M1218" i="1"/>
  <c r="AF1216" i="1"/>
  <c r="L1214" i="1"/>
  <c r="J1212" i="1"/>
  <c r="J1202" i="1"/>
  <c r="W1200" i="1"/>
  <c r="G1199" i="1"/>
  <c r="AF1197" i="1"/>
  <c r="J1196" i="1"/>
  <c r="M1193" i="1"/>
  <c r="G1192" i="1"/>
  <c r="AF1190" i="1"/>
  <c r="L1189" i="1"/>
  <c r="G1188" i="1"/>
  <c r="AF1186" i="1"/>
  <c r="G1185" i="1"/>
  <c r="AH1183" i="1"/>
  <c r="M1182" i="1"/>
  <c r="G1181" i="1"/>
  <c r="AF1179" i="1"/>
  <c r="J1178" i="1"/>
  <c r="M1175" i="1"/>
  <c r="G1174" i="1"/>
  <c r="AF1172" i="1"/>
  <c r="L1171" i="1"/>
  <c r="G1170" i="1"/>
  <c r="AF1168" i="1"/>
  <c r="G1167" i="1"/>
  <c r="AH1165" i="1"/>
  <c r="M1164" i="1"/>
  <c r="G1163" i="1"/>
  <c r="AF1161" i="1"/>
  <c r="J1160" i="1"/>
  <c r="M1157" i="1"/>
  <c r="G1156" i="1"/>
  <c r="AF1154" i="1"/>
  <c r="L1153" i="1"/>
  <c r="G1152" i="1"/>
  <c r="AF1150" i="1"/>
  <c r="G1149" i="1"/>
  <c r="AH1147" i="1"/>
  <c r="M1146" i="1"/>
  <c r="G1145" i="1"/>
  <c r="AF1143" i="1"/>
  <c r="J1142" i="1"/>
  <c r="M1139" i="1"/>
  <c r="G1138" i="1"/>
  <c r="AF1136" i="1"/>
  <c r="L1135" i="1"/>
  <c r="G1134" i="1"/>
  <c r="AF1132" i="1"/>
  <c r="J1131" i="1"/>
  <c r="AH1128" i="1"/>
  <c r="W1127" i="1"/>
  <c r="L1126" i="1"/>
  <c r="AH1122" i="1"/>
  <c r="W1121" i="1"/>
  <c r="L1120" i="1"/>
  <c r="AH1116" i="1"/>
  <c r="W1115" i="1"/>
  <c r="L1114" i="1"/>
  <c r="AH1110" i="1"/>
  <c r="W1109" i="1"/>
  <c r="L1108" i="1"/>
  <c r="AH1104" i="1"/>
  <c r="W1103" i="1"/>
  <c r="L1102" i="1"/>
  <c r="AH1098" i="1"/>
  <c r="W1097" i="1"/>
  <c r="L1096" i="1"/>
  <c r="AH1092" i="1"/>
  <c r="W1091" i="1"/>
  <c r="L1090" i="1"/>
  <c r="AH1086" i="1"/>
  <c r="W1085" i="1"/>
  <c r="L1084" i="1"/>
  <c r="AH1080" i="1"/>
  <c r="W1079" i="1"/>
  <c r="L1078" i="1"/>
  <c r="AH1074" i="1"/>
  <c r="W1073" i="1"/>
  <c r="L1072" i="1"/>
  <c r="AH1068" i="1"/>
  <c r="W1067" i="1"/>
  <c r="L1066" i="1"/>
  <c r="AH1062" i="1"/>
  <c r="W1061" i="1"/>
  <c r="L1060" i="1"/>
  <c r="AH1056" i="1"/>
  <c r="W1055" i="1"/>
  <c r="L1054" i="1"/>
  <c r="AH1050" i="1"/>
  <c r="W1049" i="1"/>
  <c r="L1048" i="1"/>
  <c r="AH1044" i="1"/>
  <c r="W1043" i="1"/>
  <c r="L1042" i="1"/>
  <c r="AH1038" i="1"/>
  <c r="W1037" i="1"/>
  <c r="L1036" i="1"/>
  <c r="AH1032" i="1"/>
  <c r="W1031" i="1"/>
  <c r="L1030" i="1"/>
  <c r="AH1026" i="1"/>
  <c r="W1025" i="1"/>
  <c r="L1024" i="1"/>
  <c r="AH1020" i="1"/>
  <c r="W1019" i="1"/>
  <c r="L1018" i="1"/>
  <c r="AH1014" i="1"/>
  <c r="W1013" i="1"/>
  <c r="L1012" i="1"/>
  <c r="AH1008" i="1"/>
  <c r="W1007" i="1"/>
  <c r="L1006" i="1"/>
  <c r="AH1002" i="1"/>
  <c r="W1001" i="1"/>
  <c r="L1000" i="1"/>
  <c r="AH996" i="1"/>
  <c r="W995" i="1"/>
  <c r="L994" i="1"/>
  <c r="AH990" i="1"/>
  <c r="W989" i="1"/>
  <c r="L988" i="1"/>
  <c r="AH984" i="1"/>
  <c r="W983" i="1"/>
  <c r="L982" i="1"/>
  <c r="AH978" i="1"/>
  <c r="W977" i="1"/>
  <c r="L976" i="1"/>
  <c r="AH972" i="1"/>
  <c r="W971" i="1"/>
  <c r="L970" i="1"/>
  <c r="AH966" i="1"/>
  <c r="W965" i="1"/>
  <c r="L964" i="1"/>
  <c r="AH960" i="1"/>
  <c r="W959" i="1"/>
  <c r="L958" i="1"/>
  <c r="AH954" i="1"/>
  <c r="W953" i="1"/>
  <c r="L952" i="1"/>
  <c r="AH948" i="1"/>
  <c r="W947" i="1"/>
  <c r="L946" i="1"/>
  <c r="AH942" i="1"/>
  <c r="W941" i="1"/>
  <c r="L940" i="1"/>
  <c r="AH936" i="1"/>
  <c r="W935" i="1"/>
  <c r="L934" i="1"/>
  <c r="AH930" i="1"/>
  <c r="W929" i="1"/>
  <c r="L928" i="1"/>
  <c r="AH924" i="1"/>
  <c r="W923" i="1"/>
  <c r="L922" i="1"/>
  <c r="AH918" i="1"/>
  <c r="W917" i="1"/>
  <c r="L916" i="1"/>
  <c r="AH912" i="1"/>
  <c r="W911" i="1"/>
  <c r="L910" i="1"/>
  <c r="AH906" i="1"/>
  <c r="W905" i="1"/>
  <c r="L904" i="1"/>
  <c r="AH900" i="1"/>
  <c r="W899" i="1"/>
  <c r="L898" i="1"/>
  <c r="AH894" i="1"/>
  <c r="W893" i="1"/>
  <c r="L892" i="1"/>
  <c r="AH888" i="1"/>
  <c r="W887" i="1"/>
  <c r="L886" i="1"/>
  <c r="AH882" i="1"/>
  <c r="W881" i="1"/>
  <c r="L880" i="1"/>
  <c r="AH876" i="1"/>
  <c r="W875" i="1"/>
  <c r="L874" i="1"/>
  <c r="AH870" i="1"/>
  <c r="W869" i="1"/>
  <c r="L868" i="1"/>
  <c r="AH864" i="1"/>
  <c r="W863" i="1"/>
  <c r="L862" i="1"/>
  <c r="AH858" i="1"/>
  <c r="W857" i="1"/>
  <c r="L856" i="1"/>
  <c r="AH852" i="1"/>
  <c r="W851" i="1"/>
  <c r="L850" i="1"/>
  <c r="AH846" i="1"/>
  <c r="W845" i="1"/>
  <c r="L844" i="1"/>
  <c r="AH840" i="1"/>
  <c r="W839" i="1"/>
  <c r="L838" i="1"/>
  <c r="AH834" i="1"/>
  <c r="W833" i="1"/>
  <c r="L832" i="1"/>
  <c r="AH828" i="1"/>
  <c r="W827" i="1"/>
  <c r="L826" i="1"/>
  <c r="AH822" i="1"/>
  <c r="W821" i="1"/>
  <c r="L820" i="1"/>
  <c r="AH816" i="1"/>
  <c r="W815" i="1"/>
  <c r="L814" i="1"/>
  <c r="AH810" i="1"/>
  <c r="W809" i="1"/>
  <c r="L808" i="1"/>
  <c r="AH804" i="1"/>
  <c r="W803" i="1"/>
  <c r="L802" i="1"/>
  <c r="AH798" i="1"/>
  <c r="W797" i="1"/>
  <c r="L796" i="1"/>
  <c r="AH792" i="1"/>
  <c r="W791" i="1"/>
  <c r="L790" i="1"/>
  <c r="AH786" i="1"/>
  <c r="W785" i="1"/>
  <c r="L784" i="1"/>
  <c r="AH780" i="1"/>
  <c r="W779" i="1"/>
  <c r="L778" i="1"/>
  <c r="AH774" i="1"/>
  <c r="W773" i="1"/>
  <c r="L772" i="1"/>
  <c r="AH768" i="1"/>
  <c r="W767" i="1"/>
  <c r="L766" i="1"/>
  <c r="AH762" i="1"/>
  <c r="W761" i="1"/>
  <c r="L760" i="1"/>
  <c r="AH756" i="1"/>
  <c r="W755" i="1"/>
  <c r="L754" i="1"/>
  <c r="AH750" i="1"/>
  <c r="W749" i="1"/>
  <c r="L748" i="1"/>
  <c r="AH744" i="1"/>
  <c r="W743" i="1"/>
  <c r="L742" i="1"/>
  <c r="AH738" i="1"/>
  <c r="W737" i="1"/>
  <c r="L736" i="1"/>
  <c r="AH732" i="1"/>
  <c r="W731" i="1"/>
  <c r="L730" i="1"/>
  <c r="AH726" i="1"/>
  <c r="W725" i="1"/>
  <c r="L724" i="1"/>
  <c r="AH720" i="1"/>
  <c r="W719" i="1"/>
  <c r="L718" i="1"/>
  <c r="AH714" i="1"/>
  <c r="W713" i="1"/>
  <c r="L712" i="1"/>
  <c r="AH708" i="1"/>
  <c r="W707" i="1"/>
  <c r="L706" i="1"/>
  <c r="AH702" i="1"/>
  <c r="W701" i="1"/>
  <c r="L700" i="1"/>
  <c r="AH696" i="1"/>
  <c r="W695" i="1"/>
  <c r="L694" i="1"/>
  <c r="AH690" i="1"/>
  <c r="W689" i="1"/>
  <c r="L688" i="1"/>
  <c r="AH684" i="1"/>
  <c r="W683" i="1"/>
  <c r="L682" i="1"/>
  <c r="AH678" i="1"/>
  <c r="W677" i="1"/>
  <c r="L676" i="1"/>
  <c r="AH672" i="1"/>
  <c r="W671" i="1"/>
  <c r="L670" i="1"/>
  <c r="AH666" i="1"/>
  <c r="W665" i="1"/>
  <c r="L664" i="1"/>
  <c r="AH660" i="1"/>
  <c r="W659" i="1"/>
  <c r="L658" i="1"/>
  <c r="AH654" i="1"/>
  <c r="W653" i="1"/>
  <c r="L652" i="1"/>
  <c r="AH648" i="1"/>
  <c r="W647" i="1"/>
  <c r="L646" i="1"/>
  <c r="AH642" i="1"/>
  <c r="W641" i="1"/>
  <c r="L640" i="1"/>
  <c r="AH636" i="1"/>
  <c r="W635" i="1"/>
  <c r="L634" i="1"/>
  <c r="AH630" i="1"/>
  <c r="W629" i="1"/>
  <c r="L628" i="1"/>
  <c r="AH624" i="1"/>
  <c r="W623" i="1"/>
  <c r="L622" i="1"/>
  <c r="AH618" i="1"/>
  <c r="W617" i="1"/>
  <c r="L616" i="1"/>
  <c r="AH612" i="1"/>
  <c r="W611" i="1"/>
  <c r="L610" i="1"/>
  <c r="AH606" i="1"/>
  <c r="W605" i="1"/>
  <c r="L604" i="1"/>
  <c r="AH600" i="1"/>
  <c r="W599" i="1"/>
  <c r="L598" i="1"/>
  <c r="AH594" i="1"/>
  <c r="W593" i="1"/>
  <c r="L592" i="1"/>
  <c r="AH588" i="1"/>
  <c r="W587" i="1"/>
  <c r="L586" i="1"/>
  <c r="AH582" i="1"/>
  <c r="W581" i="1"/>
  <c r="L580" i="1"/>
  <c r="AH576" i="1"/>
  <c r="W575" i="1"/>
  <c r="L574" i="1"/>
  <c r="AH570" i="1"/>
  <c r="W569" i="1"/>
  <c r="L568" i="1"/>
  <c r="AH564" i="1"/>
  <c r="W563" i="1"/>
  <c r="L562" i="1"/>
  <c r="AH558" i="1"/>
  <c r="W557" i="1"/>
  <c r="L556" i="1"/>
  <c r="AH552" i="1"/>
  <c r="W551" i="1"/>
  <c r="L550" i="1"/>
  <c r="AH546" i="1"/>
  <c r="W545" i="1"/>
  <c r="L544" i="1"/>
  <c r="AH540" i="1"/>
  <c r="W539" i="1"/>
  <c r="L538" i="1"/>
  <c r="AH534" i="1"/>
  <c r="W533" i="1"/>
  <c r="L532" i="1"/>
  <c r="AH528" i="1"/>
  <c r="W527" i="1"/>
  <c r="L526" i="1"/>
  <c r="AH522" i="1"/>
  <c r="W521" i="1"/>
  <c r="L520" i="1"/>
  <c r="AH516" i="1"/>
  <c r="W515" i="1"/>
  <c r="L514" i="1"/>
  <c r="AH510" i="1"/>
  <c r="W509" i="1"/>
  <c r="L508" i="1"/>
  <c r="AH504" i="1"/>
  <c r="W503" i="1"/>
  <c r="L502" i="1"/>
  <c r="AH498" i="1"/>
  <c r="W497" i="1"/>
  <c r="L496" i="1"/>
  <c r="AH492" i="1"/>
  <c r="W491" i="1"/>
  <c r="L490" i="1"/>
  <c r="AH486" i="1"/>
  <c r="W485" i="1"/>
  <c r="L484" i="1"/>
  <c r="AH480" i="1"/>
  <c r="W479" i="1"/>
  <c r="L478" i="1"/>
  <c r="AH474" i="1"/>
  <c r="W473" i="1"/>
  <c r="L472" i="1"/>
  <c r="AH468" i="1"/>
  <c r="W467" i="1"/>
  <c r="L466" i="1"/>
  <c r="AH462" i="1"/>
  <c r="W461" i="1"/>
  <c r="L460" i="1"/>
  <c r="AH456" i="1"/>
  <c r="W455" i="1"/>
  <c r="L454" i="1"/>
  <c r="AH450" i="1"/>
  <c r="W449" i="1"/>
  <c r="L448" i="1"/>
  <c r="AH444" i="1"/>
  <c r="W443" i="1"/>
  <c r="L442" i="1"/>
  <c r="AH438" i="1"/>
  <c r="W437" i="1"/>
  <c r="L436" i="1"/>
  <c r="AH432" i="1"/>
  <c r="W431" i="1"/>
  <c r="L430" i="1"/>
  <c r="AH426" i="1"/>
  <c r="W425" i="1"/>
  <c r="L424" i="1"/>
  <c r="AH420" i="1"/>
  <c r="W419" i="1"/>
  <c r="L418" i="1"/>
  <c r="AH414" i="1"/>
  <c r="W413" i="1"/>
  <c r="L412" i="1"/>
  <c r="AH408" i="1"/>
  <c r="W407" i="1"/>
  <c r="L406" i="1"/>
  <c r="L3204" i="1"/>
  <c r="AH3159" i="1"/>
  <c r="J3138" i="1"/>
  <c r="J2949" i="1"/>
  <c r="AH2916" i="1"/>
  <c r="AH2808" i="1"/>
  <c r="M2788" i="1"/>
  <c r="AH2736" i="1"/>
  <c r="AF2641" i="1"/>
  <c r="L2602" i="1"/>
  <c r="J2584" i="1"/>
  <c r="AF2495" i="1"/>
  <c r="J2435" i="1"/>
  <c r="W2383" i="1"/>
  <c r="AH2347" i="1"/>
  <c r="G2308" i="1"/>
  <c r="W2239" i="1"/>
  <c r="M2222" i="1"/>
  <c r="M2176" i="1"/>
  <c r="J2162" i="1"/>
  <c r="AH2145" i="1"/>
  <c r="J2132" i="1"/>
  <c r="L2126" i="1"/>
  <c r="AH2110" i="1"/>
  <c r="L2104" i="1"/>
  <c r="G2091" i="1"/>
  <c r="J2085" i="1"/>
  <c r="AI2072" i="1"/>
  <c r="J2059" i="1"/>
  <c r="J2046" i="1"/>
  <c r="W2023" i="1"/>
  <c r="AH2018" i="1"/>
  <c r="AI2011" i="1"/>
  <c r="M1999" i="1"/>
  <c r="J1994" i="1"/>
  <c r="AF1985" i="1"/>
  <c r="J1981" i="1"/>
  <c r="AF1977" i="1"/>
  <c r="G1973" i="1"/>
  <c r="AF1968" i="1"/>
  <c r="G1965" i="1"/>
  <c r="L1956" i="1"/>
  <c r="AH1952" i="1"/>
  <c r="AH1933" i="1"/>
  <c r="AH1929" i="1"/>
  <c r="AI1914" i="1"/>
  <c r="AI1910" i="1"/>
  <c r="W1893" i="1"/>
  <c r="AI1889" i="1"/>
  <c r="AF1885" i="1"/>
  <c r="AH1882" i="1"/>
  <c r="AI1874" i="1"/>
  <c r="W1857" i="1"/>
  <c r="AI1853" i="1"/>
  <c r="AF1849" i="1"/>
  <c r="AH1846" i="1"/>
  <c r="AI1838" i="1"/>
  <c r="W1821" i="1"/>
  <c r="AI1817" i="1"/>
  <c r="AF1813" i="1"/>
  <c r="AH1810" i="1"/>
  <c r="AI1802" i="1"/>
  <c r="W1785" i="1"/>
  <c r="AI1781" i="1"/>
  <c r="AF1777" i="1"/>
  <c r="AH1774" i="1"/>
  <c r="AI1766" i="1"/>
  <c r="W1749" i="1"/>
  <c r="AI1745" i="1"/>
  <c r="AF1741" i="1"/>
  <c r="AH1738" i="1"/>
  <c r="AI1730" i="1"/>
  <c r="W1713" i="1"/>
  <c r="AI1709" i="1"/>
  <c r="AF1705" i="1"/>
  <c r="AH1702" i="1"/>
  <c r="AI1694" i="1"/>
  <c r="W1677" i="1"/>
  <c r="AI1673" i="1"/>
  <c r="AF1669" i="1"/>
  <c r="AH1666" i="1"/>
  <c r="AI1658" i="1"/>
  <c r="W1641" i="1"/>
  <c r="AI1637" i="1"/>
  <c r="AF1633" i="1"/>
  <c r="AH1630" i="1"/>
  <c r="AI1622" i="1"/>
  <c r="W1605" i="1"/>
  <c r="AI1601" i="1"/>
  <c r="AF1597" i="1"/>
  <c r="AH1594" i="1"/>
  <c r="AI1586" i="1"/>
  <c r="W1569" i="1"/>
  <c r="AI1565" i="1"/>
  <c r="AF1561" i="1"/>
  <c r="AH1558" i="1"/>
  <c r="AI1550" i="1"/>
  <c r="J1544" i="1"/>
  <c r="J1541" i="1"/>
  <c r="L1538" i="1"/>
  <c r="L1535" i="1"/>
  <c r="AF1530" i="1"/>
  <c r="M1525" i="1"/>
  <c r="AI1522" i="1"/>
  <c r="G1520" i="1"/>
  <c r="M1515" i="1"/>
  <c r="J1510" i="1"/>
  <c r="AF1507" i="1"/>
  <c r="AF1505" i="1"/>
  <c r="AI1502" i="1"/>
  <c r="L1500" i="1"/>
  <c r="AH1497" i="1"/>
  <c r="AH1490" i="1"/>
  <c r="L1488" i="1"/>
  <c r="W1483" i="1"/>
  <c r="G1481" i="1"/>
  <c r="G1479" i="1"/>
  <c r="AF1476" i="1"/>
  <c r="AH1471" i="1"/>
  <c r="M1469" i="1"/>
  <c r="G1465" i="1"/>
  <c r="AF1462" i="1"/>
  <c r="L1460" i="1"/>
  <c r="AH1455" i="1"/>
  <c r="W1453" i="1"/>
  <c r="G1447" i="1"/>
  <c r="AF1444" i="1"/>
  <c r="L1442" i="1"/>
  <c r="AH1437" i="1"/>
  <c r="W1435" i="1"/>
  <c r="G1429" i="1"/>
  <c r="AF1426" i="1"/>
  <c r="L1424" i="1"/>
  <c r="AH1419" i="1"/>
  <c r="W1417" i="1"/>
  <c r="G1411" i="1"/>
  <c r="AF1408" i="1"/>
  <c r="L1406" i="1"/>
  <c r="AH1401" i="1"/>
  <c r="W1399" i="1"/>
  <c r="G1393" i="1"/>
  <c r="AF1390" i="1"/>
  <c r="L1388" i="1"/>
  <c r="AH1383" i="1"/>
  <c r="W1381" i="1"/>
  <c r="G1375" i="1"/>
  <c r="AF1372" i="1"/>
  <c r="L1370" i="1"/>
  <c r="AH1365" i="1"/>
  <c r="W1363" i="1"/>
  <c r="G1357" i="1"/>
  <c r="AF1354" i="1"/>
  <c r="L1352" i="1"/>
  <c r="AH1347" i="1"/>
  <c r="W1345" i="1"/>
  <c r="G1339" i="1"/>
  <c r="AF1336" i="1"/>
  <c r="L1334" i="1"/>
  <c r="AH1329" i="1"/>
  <c r="W1327" i="1"/>
  <c r="G1321" i="1"/>
  <c r="AF1318" i="1"/>
  <c r="L1316" i="1"/>
  <c r="AH1311" i="1"/>
  <c r="W1309" i="1"/>
  <c r="AH1298" i="1"/>
  <c r="AH1294" i="1"/>
  <c r="M1292" i="1"/>
  <c r="L1290" i="1"/>
  <c r="G1288" i="1"/>
  <c r="J1286" i="1"/>
  <c r="G1284" i="1"/>
  <c r="AI1281" i="1"/>
  <c r="AF1279" i="1"/>
  <c r="AI1277" i="1"/>
  <c r="W1275" i="1"/>
  <c r="M1273" i="1"/>
  <c r="AH1262" i="1"/>
  <c r="AH1258" i="1"/>
  <c r="M1256" i="1"/>
  <c r="L1254" i="1"/>
  <c r="G1252" i="1"/>
  <c r="J1250" i="1"/>
  <c r="G1248" i="1"/>
  <c r="AI1245" i="1"/>
  <c r="AF1243" i="1"/>
  <c r="AI1241" i="1"/>
  <c r="W1239" i="1"/>
  <c r="M1237" i="1"/>
  <c r="AH1226" i="1"/>
  <c r="AH1222" i="1"/>
  <c r="M1220" i="1"/>
  <c r="L1218" i="1"/>
  <c r="G1216" i="1"/>
  <c r="J1214" i="1"/>
  <c r="G1212" i="1"/>
  <c r="AI1209" i="1"/>
  <c r="AF1207" i="1"/>
  <c r="AI1205" i="1"/>
  <c r="AI1203" i="1"/>
  <c r="G1202" i="1"/>
  <c r="M1200" i="1"/>
  <c r="W1197" i="1"/>
  <c r="G1196" i="1"/>
  <c r="AI1194" i="1"/>
  <c r="L1193" i="1"/>
  <c r="W1190" i="1"/>
  <c r="J1189" i="1"/>
  <c r="M1186" i="1"/>
  <c r="AF1183" i="1"/>
  <c r="L1182" i="1"/>
  <c r="W1179" i="1"/>
  <c r="G1178" i="1"/>
  <c r="AI1176" i="1"/>
  <c r="L1175" i="1"/>
  <c r="W1172" i="1"/>
  <c r="J1171" i="1"/>
  <c r="M1168" i="1"/>
  <c r="AF1165" i="1"/>
  <c r="L1164" i="1"/>
  <c r="W1161" i="1"/>
  <c r="G1160" i="1"/>
  <c r="AI1158" i="1"/>
  <c r="L1157" i="1"/>
  <c r="W1154" i="1"/>
  <c r="J1153" i="1"/>
  <c r="M1150" i="1"/>
  <c r="AF1147" i="1"/>
  <c r="L1146" i="1"/>
  <c r="W1143" i="1"/>
  <c r="G1142" i="1"/>
  <c r="AI1140" i="1"/>
  <c r="L1139" i="1"/>
  <c r="W1136" i="1"/>
  <c r="J1135" i="1"/>
  <c r="M1132" i="1"/>
  <c r="G1131" i="1"/>
  <c r="AI1129" i="1"/>
  <c r="AF1128" i="1"/>
  <c r="M1127" i="1"/>
  <c r="J1126" i="1"/>
  <c r="G1125" i="1"/>
  <c r="AI1123" i="1"/>
  <c r="AF1122" i="1"/>
  <c r="M1121" i="1"/>
  <c r="J1120" i="1"/>
  <c r="G1119" i="1"/>
  <c r="AI1117" i="1"/>
  <c r="AF1116" i="1"/>
  <c r="M1115" i="1"/>
  <c r="J1114" i="1"/>
  <c r="G1113" i="1"/>
  <c r="AI1111" i="1"/>
  <c r="AF1110" i="1"/>
  <c r="M1109" i="1"/>
  <c r="J1108" i="1"/>
  <c r="G1107" i="1"/>
  <c r="AI1105" i="1"/>
  <c r="AF1104" i="1"/>
  <c r="M1103" i="1"/>
  <c r="J1102" i="1"/>
  <c r="G1101" i="1"/>
  <c r="AI1099" i="1"/>
  <c r="AF1098" i="1"/>
  <c r="M1097" i="1"/>
  <c r="J1096" i="1"/>
  <c r="G1095" i="1"/>
  <c r="AI1093" i="1"/>
  <c r="AF1092" i="1"/>
  <c r="M1091" i="1"/>
  <c r="J1090" i="1"/>
  <c r="G1089" i="1"/>
  <c r="AI1087" i="1"/>
  <c r="AF1086" i="1"/>
  <c r="M1085" i="1"/>
  <c r="J1084" i="1"/>
  <c r="G1083" i="1"/>
  <c r="AI1081" i="1"/>
  <c r="AF1080" i="1"/>
  <c r="M1079" i="1"/>
  <c r="J1078" i="1"/>
  <c r="G1077" i="1"/>
  <c r="AI1075" i="1"/>
  <c r="AF1074" i="1"/>
  <c r="M1073" i="1"/>
  <c r="J1072" i="1"/>
  <c r="G1071" i="1"/>
  <c r="AI1069" i="1"/>
  <c r="AF1068" i="1"/>
  <c r="M1067" i="1"/>
  <c r="J1066" i="1"/>
  <c r="G1065" i="1"/>
  <c r="AI1063" i="1"/>
  <c r="AF1062" i="1"/>
  <c r="M1061" i="1"/>
  <c r="J1060" i="1"/>
  <c r="G1059" i="1"/>
  <c r="AI1057" i="1"/>
  <c r="AF1056" i="1"/>
  <c r="M1055" i="1"/>
  <c r="J1054" i="1"/>
  <c r="G1053" i="1"/>
  <c r="AI1051" i="1"/>
  <c r="AF1050" i="1"/>
  <c r="M1049" i="1"/>
  <c r="J1048" i="1"/>
  <c r="G1047" i="1"/>
  <c r="AI1045" i="1"/>
  <c r="AF1044" i="1"/>
  <c r="M1043" i="1"/>
  <c r="J1042" i="1"/>
  <c r="G1041" i="1"/>
  <c r="AI1039" i="1"/>
  <c r="AF1038" i="1"/>
  <c r="M1037" i="1"/>
  <c r="J1036" i="1"/>
  <c r="G1035" i="1"/>
  <c r="AI1033" i="1"/>
  <c r="AF1032" i="1"/>
  <c r="M1031" i="1"/>
  <c r="J1030" i="1"/>
  <c r="G1029" i="1"/>
  <c r="AI1027" i="1"/>
  <c r="AF1026" i="1"/>
  <c r="M1025" i="1"/>
  <c r="J1024" i="1"/>
  <c r="G1023" i="1"/>
  <c r="AI1021" i="1"/>
  <c r="AF1020" i="1"/>
  <c r="M1019" i="1"/>
  <c r="J1018" i="1"/>
  <c r="G1017" i="1"/>
  <c r="AI1015" i="1"/>
  <c r="AF1014" i="1"/>
  <c r="M1013" i="1"/>
  <c r="J1012" i="1"/>
  <c r="G1011" i="1"/>
  <c r="AI1009" i="1"/>
  <c r="AF1008" i="1"/>
  <c r="M1007" i="1"/>
  <c r="J1006" i="1"/>
  <c r="G1005" i="1"/>
  <c r="AI1003" i="1"/>
  <c r="AF1002" i="1"/>
  <c r="M1001" i="1"/>
  <c r="J1000" i="1"/>
  <c r="G999" i="1"/>
  <c r="AI997" i="1"/>
  <c r="AF996" i="1"/>
  <c r="M995" i="1"/>
  <c r="J994" i="1"/>
  <c r="G993" i="1"/>
  <c r="AI991" i="1"/>
  <c r="AF990" i="1"/>
  <c r="M989" i="1"/>
  <c r="J988" i="1"/>
  <c r="G987" i="1"/>
  <c r="AI985" i="1"/>
  <c r="AF984" i="1"/>
  <c r="M983" i="1"/>
  <c r="J982" i="1"/>
  <c r="G981" i="1"/>
  <c r="AI979" i="1"/>
  <c r="AF978" i="1"/>
  <c r="M977" i="1"/>
  <c r="J976" i="1"/>
  <c r="G975" i="1"/>
  <c r="AI973" i="1"/>
  <c r="AF972" i="1"/>
  <c r="M971" i="1"/>
  <c r="J970" i="1"/>
  <c r="G969" i="1"/>
  <c r="AI967" i="1"/>
  <c r="AF966" i="1"/>
  <c r="M965" i="1"/>
  <c r="J964" i="1"/>
  <c r="G963" i="1"/>
  <c r="AI961" i="1"/>
  <c r="AF960" i="1"/>
  <c r="M959" i="1"/>
  <c r="J958" i="1"/>
  <c r="G957" i="1"/>
  <c r="AI955" i="1"/>
  <c r="AF954" i="1"/>
  <c r="M953" i="1"/>
  <c r="J952" i="1"/>
  <c r="G951" i="1"/>
  <c r="AI949" i="1"/>
  <c r="AF948" i="1"/>
  <c r="M947" i="1"/>
  <c r="J946" i="1"/>
  <c r="G945" i="1"/>
  <c r="AI943" i="1"/>
  <c r="AF942" i="1"/>
  <c r="M941" i="1"/>
  <c r="J940" i="1"/>
  <c r="G939" i="1"/>
  <c r="AI937" i="1"/>
  <c r="AF936" i="1"/>
  <c r="M935" i="1"/>
  <c r="J934" i="1"/>
  <c r="G933" i="1"/>
  <c r="AI931" i="1"/>
  <c r="AF930" i="1"/>
  <c r="M929" i="1"/>
  <c r="J928" i="1"/>
  <c r="G927" i="1"/>
  <c r="AI925" i="1"/>
  <c r="AF924" i="1"/>
  <c r="M923" i="1"/>
  <c r="J922" i="1"/>
  <c r="G921" i="1"/>
  <c r="AI919" i="1"/>
  <c r="AF918" i="1"/>
  <c r="M917" i="1"/>
  <c r="J916" i="1"/>
  <c r="G915" i="1"/>
  <c r="AI913" i="1"/>
  <c r="AF912" i="1"/>
  <c r="M911" i="1"/>
  <c r="J910" i="1"/>
  <c r="G909" i="1"/>
  <c r="AI907" i="1"/>
  <c r="AF906" i="1"/>
  <c r="M905" i="1"/>
  <c r="J904" i="1"/>
  <c r="G903" i="1"/>
  <c r="AI901" i="1"/>
  <c r="AF900" i="1"/>
  <c r="M899" i="1"/>
  <c r="J898" i="1"/>
  <c r="G897" i="1"/>
  <c r="AI895" i="1"/>
  <c r="AF894" i="1"/>
  <c r="M893" i="1"/>
  <c r="J892" i="1"/>
  <c r="G891" i="1"/>
  <c r="AI889" i="1"/>
  <c r="AF888" i="1"/>
  <c r="M887" i="1"/>
  <c r="J886" i="1"/>
  <c r="G885" i="1"/>
  <c r="AI883" i="1"/>
  <c r="AF882" i="1"/>
  <c r="M881" i="1"/>
  <c r="J880" i="1"/>
  <c r="G879" i="1"/>
  <c r="AI877" i="1"/>
  <c r="AF876" i="1"/>
  <c r="M875" i="1"/>
  <c r="J874" i="1"/>
  <c r="G873" i="1"/>
  <c r="AI871" i="1"/>
  <c r="AF870" i="1"/>
  <c r="M869" i="1"/>
  <c r="J868" i="1"/>
  <c r="G867" i="1"/>
  <c r="AI865" i="1"/>
  <c r="AF864" i="1"/>
  <c r="M863" i="1"/>
  <c r="J862" i="1"/>
  <c r="G861" i="1"/>
  <c r="AI859" i="1"/>
  <c r="AF858" i="1"/>
  <c r="M857" i="1"/>
  <c r="J856" i="1"/>
  <c r="G855" i="1"/>
  <c r="AI853" i="1"/>
  <c r="AF852" i="1"/>
  <c r="M851" i="1"/>
  <c r="J850" i="1"/>
  <c r="G849" i="1"/>
  <c r="AI847" i="1"/>
  <c r="AF846" i="1"/>
  <c r="M845" i="1"/>
  <c r="J844" i="1"/>
  <c r="G843" i="1"/>
  <c r="AI841" i="1"/>
  <c r="AF840" i="1"/>
  <c r="M839" i="1"/>
  <c r="J838" i="1"/>
  <c r="G837" i="1"/>
  <c r="AI835" i="1"/>
  <c r="AF834" i="1"/>
  <c r="M833" i="1"/>
  <c r="J832" i="1"/>
  <c r="G831" i="1"/>
  <c r="AI829" i="1"/>
  <c r="AF828" i="1"/>
  <c r="M827" i="1"/>
  <c r="J826" i="1"/>
  <c r="G825" i="1"/>
  <c r="AI823" i="1"/>
  <c r="AF822" i="1"/>
  <c r="M821" i="1"/>
  <c r="J820" i="1"/>
  <c r="G819" i="1"/>
  <c r="AI817" i="1"/>
  <c r="AF816" i="1"/>
  <c r="M815" i="1"/>
  <c r="J814" i="1"/>
  <c r="G813" i="1"/>
  <c r="AI811" i="1"/>
  <c r="AF810" i="1"/>
  <c r="M809" i="1"/>
  <c r="J808" i="1"/>
  <c r="G807" i="1"/>
  <c r="AI805" i="1"/>
  <c r="AF804" i="1"/>
  <c r="M803" i="1"/>
  <c r="J802" i="1"/>
  <c r="G801" i="1"/>
  <c r="AI799" i="1"/>
  <c r="AF798" i="1"/>
  <c r="M797" i="1"/>
  <c r="J796" i="1"/>
  <c r="G795" i="1"/>
  <c r="AI793" i="1"/>
  <c r="AF792" i="1"/>
  <c r="M791" i="1"/>
  <c r="J790" i="1"/>
  <c r="G789" i="1"/>
  <c r="AI787" i="1"/>
  <c r="AF786" i="1"/>
  <c r="M785" i="1"/>
  <c r="J784" i="1"/>
  <c r="G783" i="1"/>
  <c r="AI781" i="1"/>
  <c r="AF780" i="1"/>
  <c r="M779" i="1"/>
  <c r="J778" i="1"/>
  <c r="G777" i="1"/>
  <c r="AI775" i="1"/>
  <c r="AF774" i="1"/>
  <c r="M773" i="1"/>
  <c r="J772" i="1"/>
  <c r="G771" i="1"/>
  <c r="AI769" i="1"/>
  <c r="AF768" i="1"/>
  <c r="M767" i="1"/>
  <c r="J766" i="1"/>
  <c r="G765" i="1"/>
  <c r="AI763" i="1"/>
  <c r="AF762" i="1"/>
  <c r="M761" i="1"/>
  <c r="J760" i="1"/>
  <c r="G759" i="1"/>
  <c r="AI757" i="1"/>
  <c r="AF756" i="1"/>
  <c r="M755" i="1"/>
  <c r="J754" i="1"/>
  <c r="G753" i="1"/>
  <c r="AI751" i="1"/>
  <c r="AF750" i="1"/>
  <c r="M749" i="1"/>
  <c r="J748" i="1"/>
  <c r="G747" i="1"/>
  <c r="AI745" i="1"/>
  <c r="AF744" i="1"/>
  <c r="M743" i="1"/>
  <c r="J742" i="1"/>
  <c r="G741" i="1"/>
  <c r="AI739" i="1"/>
  <c r="AF738" i="1"/>
  <c r="M737" i="1"/>
  <c r="J736" i="1"/>
  <c r="G735" i="1"/>
  <c r="AI733" i="1"/>
  <c r="AF732" i="1"/>
  <c r="M731" i="1"/>
  <c r="J730" i="1"/>
  <c r="G729" i="1"/>
  <c r="AI727" i="1"/>
  <c r="AF726" i="1"/>
  <c r="M725" i="1"/>
  <c r="J724" i="1"/>
  <c r="G723" i="1"/>
  <c r="AI721" i="1"/>
  <c r="AF720" i="1"/>
  <c r="M719" i="1"/>
  <c r="J718" i="1"/>
  <c r="G717" i="1"/>
  <c r="AI715" i="1"/>
  <c r="AF714" i="1"/>
  <c r="M713" i="1"/>
  <c r="J712" i="1"/>
  <c r="G711" i="1"/>
  <c r="AI709" i="1"/>
  <c r="AF708" i="1"/>
  <c r="M707" i="1"/>
  <c r="J706" i="1"/>
  <c r="G705" i="1"/>
  <c r="AI703" i="1"/>
  <c r="AF702" i="1"/>
  <c r="M701" i="1"/>
  <c r="J700" i="1"/>
  <c r="G699" i="1"/>
  <c r="AI697" i="1"/>
  <c r="AF696" i="1"/>
  <c r="M695" i="1"/>
  <c r="J694" i="1"/>
  <c r="G693" i="1"/>
  <c r="AI691" i="1"/>
  <c r="AF690" i="1"/>
  <c r="M689" i="1"/>
  <c r="J688" i="1"/>
  <c r="G687" i="1"/>
  <c r="AI685" i="1"/>
  <c r="AF684" i="1"/>
  <c r="M683" i="1"/>
  <c r="J682" i="1"/>
  <c r="G681" i="1"/>
  <c r="AI679" i="1"/>
  <c r="AF678" i="1"/>
  <c r="M677" i="1"/>
  <c r="J676" i="1"/>
  <c r="G675" i="1"/>
  <c r="AI673" i="1"/>
  <c r="AF672" i="1"/>
  <c r="M671" i="1"/>
  <c r="J670" i="1"/>
  <c r="G669" i="1"/>
  <c r="AI667" i="1"/>
  <c r="AF666" i="1"/>
  <c r="M665" i="1"/>
  <c r="J664" i="1"/>
  <c r="G663" i="1"/>
  <c r="AI661" i="1"/>
  <c r="AF660" i="1"/>
  <c r="M659" i="1"/>
  <c r="J658" i="1"/>
  <c r="G657" i="1"/>
  <c r="AI655" i="1"/>
  <c r="AF654" i="1"/>
  <c r="M653" i="1"/>
  <c r="J652" i="1"/>
  <c r="G651" i="1"/>
  <c r="AI649" i="1"/>
  <c r="AF648" i="1"/>
  <c r="M647" i="1"/>
  <c r="J646" i="1"/>
  <c r="G645" i="1"/>
  <c r="AI643" i="1"/>
  <c r="AF642" i="1"/>
  <c r="M641" i="1"/>
  <c r="J640" i="1"/>
  <c r="G639" i="1"/>
  <c r="AI637" i="1"/>
  <c r="AF636" i="1"/>
  <c r="M635" i="1"/>
  <c r="J634" i="1"/>
  <c r="G633" i="1"/>
  <c r="AI631" i="1"/>
  <c r="AF630" i="1"/>
  <c r="M629" i="1"/>
  <c r="J628" i="1"/>
  <c r="G627" i="1"/>
  <c r="AI625" i="1"/>
  <c r="AF624" i="1"/>
  <c r="M623" i="1"/>
  <c r="J622" i="1"/>
  <c r="G621" i="1"/>
  <c r="AI619" i="1"/>
  <c r="AF618" i="1"/>
  <c r="M617" i="1"/>
  <c r="J616" i="1"/>
  <c r="G615" i="1"/>
  <c r="AI613" i="1"/>
  <c r="AF612" i="1"/>
  <c r="M611" i="1"/>
  <c r="J610" i="1"/>
  <c r="G609" i="1"/>
  <c r="AI607" i="1"/>
  <c r="AF606" i="1"/>
  <c r="M605" i="1"/>
  <c r="J604" i="1"/>
  <c r="G603" i="1"/>
  <c r="AI601" i="1"/>
  <c r="AF600" i="1"/>
  <c r="M599" i="1"/>
  <c r="J598" i="1"/>
  <c r="G597" i="1"/>
  <c r="AI595" i="1"/>
  <c r="AF594" i="1"/>
  <c r="M593" i="1"/>
  <c r="J592" i="1"/>
  <c r="G591" i="1"/>
  <c r="AI589" i="1"/>
  <c r="AF588" i="1"/>
  <c r="M587" i="1"/>
  <c r="J586" i="1"/>
  <c r="G585" i="1"/>
  <c r="AI583" i="1"/>
  <c r="AF582" i="1"/>
  <c r="M581" i="1"/>
  <c r="J580" i="1"/>
  <c r="G579" i="1"/>
  <c r="AI577" i="1"/>
  <c r="AF576" i="1"/>
  <c r="M575" i="1"/>
  <c r="J574" i="1"/>
  <c r="G573" i="1"/>
  <c r="AI571" i="1"/>
  <c r="AF570" i="1"/>
  <c r="M569" i="1"/>
  <c r="J568" i="1"/>
  <c r="G567" i="1"/>
  <c r="AI565" i="1"/>
  <c r="AF564" i="1"/>
  <c r="M563" i="1"/>
  <c r="J562" i="1"/>
  <c r="G561" i="1"/>
  <c r="AI559" i="1"/>
  <c r="AF558" i="1"/>
  <c r="M557" i="1"/>
  <c r="J556" i="1"/>
  <c r="G555" i="1"/>
  <c r="AI553" i="1"/>
  <c r="AF552" i="1"/>
  <c r="M551" i="1"/>
  <c r="J550" i="1"/>
  <c r="G549" i="1"/>
  <c r="AI547" i="1"/>
  <c r="AF546" i="1"/>
  <c r="M545" i="1"/>
  <c r="J544" i="1"/>
  <c r="G543" i="1"/>
  <c r="AI541" i="1"/>
  <c r="AF540" i="1"/>
  <c r="M539" i="1"/>
  <c r="J538" i="1"/>
  <c r="G537" i="1"/>
  <c r="AI535" i="1"/>
  <c r="AF534" i="1"/>
  <c r="M533" i="1"/>
  <c r="J532" i="1"/>
  <c r="G531" i="1"/>
  <c r="AI529" i="1"/>
  <c r="AF528" i="1"/>
  <c r="M527" i="1"/>
  <c r="J526" i="1"/>
  <c r="G525" i="1"/>
  <c r="AI523" i="1"/>
  <c r="AF522" i="1"/>
  <c r="M521" i="1"/>
  <c r="J520" i="1"/>
  <c r="G519" i="1"/>
  <c r="AI517" i="1"/>
  <c r="AF516" i="1"/>
  <c r="M515" i="1"/>
  <c r="J514" i="1"/>
  <c r="G513" i="1"/>
  <c r="AI511" i="1"/>
  <c r="AF510" i="1"/>
  <c r="M509" i="1"/>
  <c r="J508" i="1"/>
  <c r="G507" i="1"/>
  <c r="AI505" i="1"/>
  <c r="AF504" i="1"/>
  <c r="M503" i="1"/>
  <c r="J502" i="1"/>
  <c r="G501" i="1"/>
  <c r="AI499" i="1"/>
  <c r="AF498" i="1"/>
  <c r="M497" i="1"/>
  <c r="J496" i="1"/>
  <c r="G495" i="1"/>
  <c r="AI493" i="1"/>
  <c r="AF492" i="1"/>
  <c r="M491" i="1"/>
  <c r="J490" i="1"/>
  <c r="G489" i="1"/>
  <c r="AI487" i="1"/>
  <c r="AF486" i="1"/>
  <c r="M485" i="1"/>
  <c r="J484" i="1"/>
  <c r="G483" i="1"/>
  <c r="AI481" i="1"/>
  <c r="AF480" i="1"/>
  <c r="M479" i="1"/>
  <c r="J478" i="1"/>
  <c r="G477" i="1"/>
  <c r="AI475" i="1"/>
  <c r="AF474" i="1"/>
  <c r="M473" i="1"/>
  <c r="J472" i="1"/>
  <c r="G471" i="1"/>
  <c r="AI469" i="1"/>
  <c r="AF468" i="1"/>
  <c r="M467" i="1"/>
  <c r="J466" i="1"/>
  <c r="G465" i="1"/>
  <c r="AI463" i="1"/>
  <c r="AF462" i="1"/>
  <c r="M461" i="1"/>
  <c r="J460" i="1"/>
  <c r="G459" i="1"/>
  <c r="AI457" i="1"/>
  <c r="AF456" i="1"/>
  <c r="M455" i="1"/>
  <c r="J454" i="1"/>
  <c r="G453" i="1"/>
  <c r="AI451" i="1"/>
  <c r="AF450" i="1"/>
  <c r="M449" i="1"/>
  <c r="J448" i="1"/>
  <c r="G447" i="1"/>
  <c r="AI445" i="1"/>
  <c r="AF444" i="1"/>
  <c r="M443" i="1"/>
  <c r="J442" i="1"/>
  <c r="G441" i="1"/>
  <c r="AI439" i="1"/>
  <c r="AF438" i="1"/>
  <c r="M437" i="1"/>
  <c r="J436" i="1"/>
  <c r="G435" i="1"/>
  <c r="AI433" i="1"/>
  <c r="AF432" i="1"/>
  <c r="M431" i="1"/>
  <c r="J430" i="1"/>
  <c r="G429" i="1"/>
  <c r="AI427" i="1"/>
  <c r="AF426" i="1"/>
  <c r="M425" i="1"/>
  <c r="J424" i="1"/>
  <c r="G423" i="1"/>
  <c r="AI421" i="1"/>
  <c r="AF420" i="1"/>
  <c r="M419" i="1"/>
  <c r="J418" i="1"/>
  <c r="G417" i="1"/>
  <c r="AI415" i="1"/>
  <c r="AF414" i="1"/>
  <c r="M413" i="1"/>
  <c r="J412" i="1"/>
  <c r="G411" i="1"/>
  <c r="AI409" i="1"/>
  <c r="AF408" i="1"/>
  <c r="M407" i="1"/>
  <c r="J406" i="1"/>
  <c r="G405" i="1"/>
  <c r="AI403" i="1"/>
  <c r="AF402" i="1"/>
  <c r="M401" i="1"/>
  <c r="J400" i="1"/>
  <c r="G399" i="1"/>
  <c r="AI397" i="1"/>
  <c r="AF396" i="1"/>
  <c r="M395" i="1"/>
  <c r="J394" i="1"/>
  <c r="G393" i="1"/>
  <c r="AI391" i="1"/>
  <c r="AF390" i="1"/>
  <c r="M389" i="1"/>
  <c r="J388" i="1"/>
  <c r="G387" i="1"/>
  <c r="AI385" i="1"/>
  <c r="AF384" i="1"/>
  <c r="M383" i="1"/>
  <c r="J382" i="1"/>
  <c r="G381" i="1"/>
  <c r="AI379" i="1"/>
  <c r="AF378" i="1"/>
  <c r="M377" i="1"/>
  <c r="J376" i="1"/>
  <c r="G375" i="1"/>
  <c r="AI373" i="1"/>
  <c r="AF372" i="1"/>
  <c r="M371" i="1"/>
  <c r="J370" i="1"/>
  <c r="G369" i="1"/>
  <c r="AI367" i="1"/>
  <c r="AF366" i="1"/>
  <c r="M365" i="1"/>
  <c r="J364" i="1"/>
  <c r="G363" i="1"/>
  <c r="AI361" i="1"/>
  <c r="AF360" i="1"/>
  <c r="M359" i="1"/>
  <c r="J358" i="1"/>
  <c r="G357" i="1"/>
  <c r="AI355" i="1"/>
  <c r="AF354" i="1"/>
  <c r="M353" i="1"/>
  <c r="J352" i="1"/>
  <c r="G351" i="1"/>
  <c r="AI349" i="1"/>
  <c r="AF348" i="1"/>
  <c r="M347" i="1"/>
  <c r="J346" i="1"/>
  <c r="G345" i="1"/>
  <c r="AI343" i="1"/>
  <c r="AF342" i="1"/>
  <c r="M341" i="1"/>
  <c r="J340" i="1"/>
  <c r="G339" i="1"/>
  <c r="AH3000" i="1"/>
  <c r="M2967" i="1"/>
  <c r="J2860" i="1"/>
  <c r="AF2752" i="1"/>
  <c r="W2722" i="1"/>
  <c r="W2609" i="1"/>
  <c r="M2590" i="1"/>
  <c r="G2549" i="1"/>
  <c r="AF2520" i="1"/>
  <c r="G2482" i="1"/>
  <c r="AF2452" i="1"/>
  <c r="AH2396" i="1"/>
  <c r="G2388" i="1"/>
  <c r="J2329" i="1"/>
  <c r="W2313" i="1"/>
  <c r="AH2305" i="1"/>
  <c r="AH2296" i="1"/>
  <c r="W2262" i="1"/>
  <c r="G2236" i="1"/>
  <c r="J2227" i="1"/>
  <c r="M2204" i="1"/>
  <c r="AI2188" i="1"/>
  <c r="J2150" i="1"/>
  <c r="M2137" i="1"/>
  <c r="J2130" i="1"/>
  <c r="M2116" i="1"/>
  <c r="J2101" i="1"/>
  <c r="AH2094" i="1"/>
  <c r="G2077" i="1"/>
  <c r="AH2069" i="1"/>
  <c r="AI2063" i="1"/>
  <c r="AF2056" i="1"/>
  <c r="AI2050" i="1"/>
  <c r="AF2037" i="1"/>
  <c r="W2026" i="1"/>
  <c r="G2022" i="1"/>
  <c r="AF2009" i="1"/>
  <c r="J2003" i="1"/>
  <c r="AF1997" i="1"/>
  <c r="G1993" i="1"/>
  <c r="AF1988" i="1"/>
  <c r="J1980" i="1"/>
  <c r="L1971" i="1"/>
  <c r="AH1967" i="1"/>
  <c r="AF1963" i="1"/>
  <c r="M1955" i="1"/>
  <c r="M1946" i="1"/>
  <c r="AI1935" i="1"/>
  <c r="J1924" i="1"/>
  <c r="M1913" i="1"/>
  <c r="J1910" i="1"/>
  <c r="G1906" i="1"/>
  <c r="L1902" i="1"/>
  <c r="G1885" i="1"/>
  <c r="J1874" i="1"/>
  <c r="G1870" i="1"/>
  <c r="L1866" i="1"/>
  <c r="G1849" i="1"/>
  <c r="J1838" i="1"/>
  <c r="G1834" i="1"/>
  <c r="L1830" i="1"/>
  <c r="G1813" i="1"/>
  <c r="J1802" i="1"/>
  <c r="G1798" i="1"/>
  <c r="L1794" i="1"/>
  <c r="G1777" i="1"/>
  <c r="J1766" i="1"/>
  <c r="G1762" i="1"/>
  <c r="L1758" i="1"/>
  <c r="G1741" i="1"/>
  <c r="J1730" i="1"/>
  <c r="G1726" i="1"/>
  <c r="L1722" i="1"/>
  <c r="G1705" i="1"/>
  <c r="J1694" i="1"/>
  <c r="G1690" i="1"/>
  <c r="L1686" i="1"/>
  <c r="G1669" i="1"/>
  <c r="J1658" i="1"/>
  <c r="G1654" i="1"/>
  <c r="L1650" i="1"/>
  <c r="G1633" i="1"/>
  <c r="J1622" i="1"/>
  <c r="G1618" i="1"/>
  <c r="L1614" i="1"/>
  <c r="G1597" i="1"/>
  <c r="J1586" i="1"/>
  <c r="G1582" i="1"/>
  <c r="L1578" i="1"/>
  <c r="G1561" i="1"/>
  <c r="J1550" i="1"/>
  <c r="G1546" i="1"/>
  <c r="G1543" i="1"/>
  <c r="AF1537" i="1"/>
  <c r="AI1534" i="1"/>
  <c r="G1532" i="1"/>
  <c r="AF1529" i="1"/>
  <c r="AI1526" i="1"/>
  <c r="W1519" i="1"/>
  <c r="M1514" i="1"/>
  <c r="AH1509" i="1"/>
  <c r="M1504" i="1"/>
  <c r="AI1501" i="1"/>
  <c r="L1499" i="1"/>
  <c r="AF1494" i="1"/>
  <c r="AH1489" i="1"/>
  <c r="M1487" i="1"/>
  <c r="G1483" i="1"/>
  <c r="M1480" i="1"/>
  <c r="J1478" i="1"/>
  <c r="AF1475" i="1"/>
  <c r="M1466" i="1"/>
  <c r="AH1461" i="1"/>
  <c r="W1459" i="1"/>
  <c r="G1453" i="1"/>
  <c r="AF1450" i="1"/>
  <c r="L1448" i="1"/>
  <c r="AH1443" i="1"/>
  <c r="W1441" i="1"/>
  <c r="G1435" i="1"/>
  <c r="AF1432" i="1"/>
  <c r="L1430" i="1"/>
  <c r="AH1425" i="1"/>
  <c r="W1423" i="1"/>
  <c r="G1417" i="1"/>
  <c r="AF1414" i="1"/>
  <c r="L1412" i="1"/>
  <c r="AH1407" i="1"/>
  <c r="W1405" i="1"/>
  <c r="G1399" i="1"/>
  <c r="AF1396" i="1"/>
  <c r="L1394" i="1"/>
  <c r="AH1389" i="1"/>
  <c r="W1387" i="1"/>
  <c r="G1381" i="1"/>
  <c r="AF1378" i="1"/>
  <c r="L1376" i="1"/>
  <c r="AH1371" i="1"/>
  <c r="W1369" i="1"/>
  <c r="G1363" i="1"/>
  <c r="AF1360" i="1"/>
  <c r="L1358" i="1"/>
  <c r="AH1353" i="1"/>
  <c r="W1351" i="1"/>
  <c r="G1345" i="1"/>
  <c r="AF1342" i="1"/>
  <c r="L1340" i="1"/>
  <c r="AH1335" i="1"/>
  <c r="W1333" i="1"/>
  <c r="G1327" i="1"/>
  <c r="AF1324" i="1"/>
  <c r="L1322" i="1"/>
  <c r="AH1317" i="1"/>
  <c r="W1315" i="1"/>
  <c r="G1309" i="1"/>
  <c r="AF1306" i="1"/>
  <c r="M1304" i="1"/>
  <c r="L1302" i="1"/>
  <c r="G1300" i="1"/>
  <c r="J1298" i="1"/>
  <c r="G1296" i="1"/>
  <c r="AI1293" i="1"/>
  <c r="AF1291" i="1"/>
  <c r="AI1289" i="1"/>
  <c r="W1287" i="1"/>
  <c r="M1285" i="1"/>
  <c r="AH1274" i="1"/>
  <c r="AH1270" i="1"/>
  <c r="M1268" i="1"/>
  <c r="L1266" i="1"/>
  <c r="G1264" i="1"/>
  <c r="J1262" i="1"/>
  <c r="G1260" i="1"/>
  <c r="AI1257" i="1"/>
  <c r="AF1255" i="1"/>
  <c r="AI1253" i="1"/>
  <c r="W1251" i="1"/>
  <c r="M1249" i="1"/>
  <c r="AH1238" i="1"/>
  <c r="AH1234" i="1"/>
  <c r="M1232" i="1"/>
  <c r="L1230" i="1"/>
  <c r="G1228" i="1"/>
  <c r="J1226" i="1"/>
  <c r="G1224" i="1"/>
  <c r="AI1221" i="1"/>
  <c r="AF1219" i="1"/>
  <c r="AI1217" i="1"/>
  <c r="W1215" i="1"/>
  <c r="M1213" i="1"/>
  <c r="G1205" i="1"/>
  <c r="J1203" i="1"/>
  <c r="M1201" i="1"/>
  <c r="M1198" i="1"/>
  <c r="AF1195" i="1"/>
  <c r="L1194" i="1"/>
  <c r="W1191" i="1"/>
  <c r="G1190" i="1"/>
  <c r="AI1188" i="1"/>
  <c r="L1187" i="1"/>
  <c r="W1184" i="1"/>
  <c r="J1183" i="1"/>
  <c r="M1180" i="1"/>
  <c r="AF1177" i="1"/>
  <c r="L1176" i="1"/>
  <c r="W1173" i="1"/>
  <c r="G1172" i="1"/>
  <c r="AI1170" i="1"/>
  <c r="L1169" i="1"/>
  <c r="W1166" i="1"/>
  <c r="J1165" i="1"/>
  <c r="M1162" i="1"/>
  <c r="AF1159" i="1"/>
  <c r="L1158" i="1"/>
  <c r="W1155" i="1"/>
  <c r="G1154" i="1"/>
  <c r="AI1152" i="1"/>
  <c r="L1151" i="1"/>
  <c r="W1148" i="1"/>
  <c r="J1147" i="1"/>
  <c r="M1144" i="1"/>
  <c r="AF1141" i="1"/>
  <c r="L1140" i="1"/>
  <c r="W1137" i="1"/>
  <c r="G1136" i="1"/>
  <c r="AI1134" i="1"/>
  <c r="L1133" i="1"/>
  <c r="AF1130" i="1"/>
  <c r="M1129" i="1"/>
  <c r="J1128" i="1"/>
  <c r="G1127" i="1"/>
  <c r="AI1125" i="1"/>
  <c r="AF1124" i="1"/>
  <c r="M1123" i="1"/>
  <c r="J1122" i="1"/>
  <c r="G1121" i="1"/>
  <c r="AI1119" i="1"/>
  <c r="AF1118" i="1"/>
  <c r="M1117" i="1"/>
  <c r="J1116" i="1"/>
  <c r="G1115" i="1"/>
  <c r="AI1113" i="1"/>
  <c r="AF1112" i="1"/>
  <c r="M1111" i="1"/>
  <c r="J1110" i="1"/>
  <c r="G1109" i="1"/>
  <c r="AI1107" i="1"/>
  <c r="AF1106" i="1"/>
  <c r="M1105" i="1"/>
  <c r="J1104" i="1"/>
  <c r="G1103" i="1"/>
  <c r="AI1101" i="1"/>
  <c r="AF1100" i="1"/>
  <c r="M1099" i="1"/>
  <c r="J1098" i="1"/>
  <c r="G1097" i="1"/>
  <c r="AI1095" i="1"/>
  <c r="AF1094" i="1"/>
  <c r="M1093" i="1"/>
  <c r="J1092" i="1"/>
  <c r="G1091" i="1"/>
  <c r="AI1089" i="1"/>
  <c r="AF1088" i="1"/>
  <c r="M1087" i="1"/>
  <c r="J1086" i="1"/>
  <c r="G1085" i="1"/>
  <c r="AI1083" i="1"/>
  <c r="AF1082" i="1"/>
  <c r="M1081" i="1"/>
  <c r="J1080" i="1"/>
  <c r="G1079" i="1"/>
  <c r="AI1077" i="1"/>
  <c r="AF1076" i="1"/>
  <c r="M1075" i="1"/>
  <c r="J1074" i="1"/>
  <c r="G1073" i="1"/>
  <c r="AI1071" i="1"/>
  <c r="AF1070" i="1"/>
  <c r="M1069" i="1"/>
  <c r="J1068" i="1"/>
  <c r="G1067" i="1"/>
  <c r="AI1065" i="1"/>
  <c r="AF1064" i="1"/>
  <c r="M1063" i="1"/>
  <c r="J1062" i="1"/>
  <c r="G1061" i="1"/>
  <c r="AI1059" i="1"/>
  <c r="AF1058" i="1"/>
  <c r="M1057" i="1"/>
  <c r="J1056" i="1"/>
  <c r="G1055" i="1"/>
  <c r="AI1053" i="1"/>
  <c r="AF1052" i="1"/>
  <c r="M1051" i="1"/>
  <c r="J1050" i="1"/>
  <c r="G1049" i="1"/>
  <c r="AI1047" i="1"/>
  <c r="AF1046" i="1"/>
  <c r="M1045" i="1"/>
  <c r="J1044" i="1"/>
  <c r="G1043" i="1"/>
  <c r="AI1041" i="1"/>
  <c r="AF1040" i="1"/>
  <c r="M1039" i="1"/>
  <c r="J1038" i="1"/>
  <c r="G1037" i="1"/>
  <c r="AI1035" i="1"/>
  <c r="AF1034" i="1"/>
  <c r="M1033" i="1"/>
  <c r="J1032" i="1"/>
  <c r="G1031" i="1"/>
  <c r="AI1029" i="1"/>
  <c r="AF1028" i="1"/>
  <c r="M1027" i="1"/>
  <c r="J1026" i="1"/>
  <c r="G1025" i="1"/>
  <c r="AI1023" i="1"/>
  <c r="AF1022" i="1"/>
  <c r="M1021" i="1"/>
  <c r="J1020" i="1"/>
  <c r="G1019" i="1"/>
  <c r="AI1017" i="1"/>
  <c r="AF1016" i="1"/>
  <c r="M1015" i="1"/>
  <c r="J1014" i="1"/>
  <c r="G1013" i="1"/>
  <c r="AI1011" i="1"/>
  <c r="AF1010" i="1"/>
  <c r="M1009" i="1"/>
  <c r="J1008" i="1"/>
  <c r="G1007" i="1"/>
  <c r="AI1005" i="1"/>
  <c r="AF1004" i="1"/>
  <c r="M1003" i="1"/>
  <c r="J1002" i="1"/>
  <c r="G1001" i="1"/>
  <c r="AI999" i="1"/>
  <c r="AF998" i="1"/>
  <c r="M997" i="1"/>
  <c r="J996" i="1"/>
  <c r="G995" i="1"/>
  <c r="AI993" i="1"/>
  <c r="AF992" i="1"/>
  <c r="M991" i="1"/>
  <c r="J990" i="1"/>
  <c r="G989" i="1"/>
  <c r="AI987" i="1"/>
  <c r="AF986" i="1"/>
  <c r="M985" i="1"/>
  <c r="J984" i="1"/>
  <c r="G983" i="1"/>
  <c r="AI981" i="1"/>
  <c r="AF980" i="1"/>
  <c r="M979" i="1"/>
  <c r="J978" i="1"/>
  <c r="G977" i="1"/>
  <c r="AI975" i="1"/>
  <c r="AF974" i="1"/>
  <c r="M973" i="1"/>
  <c r="J972" i="1"/>
  <c r="G971" i="1"/>
  <c r="AI969" i="1"/>
  <c r="AF968" i="1"/>
  <c r="M967" i="1"/>
  <c r="J966" i="1"/>
  <c r="G965" i="1"/>
  <c r="AI963" i="1"/>
  <c r="AF962" i="1"/>
  <c r="M961" i="1"/>
  <c r="J960" i="1"/>
  <c r="G959" i="1"/>
  <c r="AI957" i="1"/>
  <c r="AF956" i="1"/>
  <c r="M955" i="1"/>
  <c r="J954" i="1"/>
  <c r="G953" i="1"/>
  <c r="AI951" i="1"/>
  <c r="AF950" i="1"/>
  <c r="M949" i="1"/>
  <c r="J948" i="1"/>
  <c r="G947" i="1"/>
  <c r="AI945" i="1"/>
  <c r="AF944" i="1"/>
  <c r="M943" i="1"/>
  <c r="J942" i="1"/>
  <c r="G941" i="1"/>
  <c r="AI939" i="1"/>
  <c r="AF938" i="1"/>
  <c r="M937" i="1"/>
  <c r="J936" i="1"/>
  <c r="G935" i="1"/>
  <c r="AI933" i="1"/>
  <c r="AF932" i="1"/>
  <c r="M931" i="1"/>
  <c r="J930" i="1"/>
  <c r="G929" i="1"/>
  <c r="AI927" i="1"/>
  <c r="AF926" i="1"/>
  <c r="M925" i="1"/>
  <c r="J924" i="1"/>
  <c r="G923" i="1"/>
  <c r="AI921" i="1"/>
  <c r="AF920" i="1"/>
  <c r="M919" i="1"/>
  <c r="J918" i="1"/>
  <c r="G917" i="1"/>
  <c r="AI915" i="1"/>
  <c r="AF914" i="1"/>
  <c r="M913" i="1"/>
  <c r="J912" i="1"/>
  <c r="G911" i="1"/>
  <c r="AI909" i="1"/>
  <c r="AF908" i="1"/>
  <c r="M907" i="1"/>
  <c r="J906" i="1"/>
  <c r="G905" i="1"/>
  <c r="AI903" i="1"/>
  <c r="AF902" i="1"/>
  <c r="M901" i="1"/>
  <c r="J900" i="1"/>
  <c r="G899" i="1"/>
  <c r="AI897" i="1"/>
  <c r="AF896" i="1"/>
  <c r="M895" i="1"/>
  <c r="J894" i="1"/>
  <c r="G893" i="1"/>
  <c r="AI891" i="1"/>
  <c r="AF890" i="1"/>
  <c r="M889" i="1"/>
  <c r="J888" i="1"/>
  <c r="G887" i="1"/>
  <c r="AI885" i="1"/>
  <c r="AF884" i="1"/>
  <c r="M883" i="1"/>
  <c r="J882" i="1"/>
  <c r="G881" i="1"/>
  <c r="AI879" i="1"/>
  <c r="AF878" i="1"/>
  <c r="M877" i="1"/>
  <c r="J876" i="1"/>
  <c r="G875" i="1"/>
  <c r="AI873" i="1"/>
  <c r="AF872" i="1"/>
  <c r="M871" i="1"/>
  <c r="J870" i="1"/>
  <c r="G869" i="1"/>
  <c r="AI867" i="1"/>
  <c r="AF866" i="1"/>
  <c r="M865" i="1"/>
  <c r="J864" i="1"/>
  <c r="G863" i="1"/>
  <c r="AI861" i="1"/>
  <c r="AF860" i="1"/>
  <c r="M859" i="1"/>
  <c r="J858" i="1"/>
  <c r="G857" i="1"/>
  <c r="AI855" i="1"/>
  <c r="AF854" i="1"/>
  <c r="M853" i="1"/>
  <c r="J852" i="1"/>
  <c r="G851" i="1"/>
  <c r="AI849" i="1"/>
  <c r="AF848" i="1"/>
  <c r="M847" i="1"/>
  <c r="J846" i="1"/>
  <c r="G845" i="1"/>
  <c r="AI843" i="1"/>
  <c r="AF842" i="1"/>
  <c r="M841" i="1"/>
  <c r="J840" i="1"/>
  <c r="G839" i="1"/>
  <c r="AI837" i="1"/>
  <c r="AF836" i="1"/>
  <c r="M835" i="1"/>
  <c r="J834" i="1"/>
  <c r="G833" i="1"/>
  <c r="AI831" i="1"/>
  <c r="AF830" i="1"/>
  <c r="M829" i="1"/>
  <c r="J828" i="1"/>
  <c r="G827" i="1"/>
  <c r="AI825" i="1"/>
  <c r="AF824" i="1"/>
  <c r="M823" i="1"/>
  <c r="J822" i="1"/>
  <c r="G821" i="1"/>
  <c r="AI819" i="1"/>
  <c r="AF818" i="1"/>
  <c r="M817" i="1"/>
  <c r="J816" i="1"/>
  <c r="G815" i="1"/>
  <c r="AI813" i="1"/>
  <c r="AF812" i="1"/>
  <c r="M811" i="1"/>
  <c r="J810" i="1"/>
  <c r="G809" i="1"/>
  <c r="AI807" i="1"/>
  <c r="AF806" i="1"/>
  <c r="M805" i="1"/>
  <c r="J804" i="1"/>
  <c r="G803" i="1"/>
  <c r="AI801" i="1"/>
  <c r="AF800" i="1"/>
  <c r="M799" i="1"/>
  <c r="J798" i="1"/>
  <c r="G797" i="1"/>
  <c r="AI795" i="1"/>
  <c r="AF794" i="1"/>
  <c r="M793" i="1"/>
  <c r="J792" i="1"/>
  <c r="G791" i="1"/>
  <c r="AI789" i="1"/>
  <c r="AF788" i="1"/>
  <c r="M787" i="1"/>
  <c r="J786" i="1"/>
  <c r="G785" i="1"/>
  <c r="AI783" i="1"/>
  <c r="AF782" i="1"/>
  <c r="M781" i="1"/>
  <c r="J780" i="1"/>
  <c r="G779" i="1"/>
  <c r="AI777" i="1"/>
  <c r="AF776" i="1"/>
  <c r="M775" i="1"/>
  <c r="J774" i="1"/>
  <c r="G773" i="1"/>
  <c r="AI771" i="1"/>
  <c r="AF770" i="1"/>
  <c r="M769" i="1"/>
  <c r="J768" i="1"/>
  <c r="G767" i="1"/>
  <c r="AI765" i="1"/>
  <c r="AF764" i="1"/>
  <c r="M763" i="1"/>
  <c r="J762" i="1"/>
  <c r="G761" i="1"/>
  <c r="AI759" i="1"/>
  <c r="AF758" i="1"/>
  <c r="M757" i="1"/>
  <c r="J756" i="1"/>
  <c r="G755" i="1"/>
  <c r="AI753" i="1"/>
  <c r="AF752" i="1"/>
  <c r="M751" i="1"/>
  <c r="J750" i="1"/>
  <c r="G749" i="1"/>
  <c r="AI747" i="1"/>
  <c r="AF746" i="1"/>
  <c r="M745" i="1"/>
  <c r="J744" i="1"/>
  <c r="G743" i="1"/>
  <c r="AI741" i="1"/>
  <c r="AF740" i="1"/>
  <c r="M739" i="1"/>
  <c r="J738" i="1"/>
  <c r="G737" i="1"/>
  <c r="AI735" i="1"/>
  <c r="AF734" i="1"/>
  <c r="M733" i="1"/>
  <c r="J732" i="1"/>
  <c r="G731" i="1"/>
  <c r="AI729" i="1"/>
  <c r="AF728" i="1"/>
  <c r="M727" i="1"/>
  <c r="J726" i="1"/>
  <c r="G725" i="1"/>
  <c r="AI723" i="1"/>
  <c r="AF722" i="1"/>
  <c r="M721" i="1"/>
  <c r="J720" i="1"/>
  <c r="G719" i="1"/>
  <c r="AI717" i="1"/>
  <c r="AF716" i="1"/>
  <c r="M715" i="1"/>
  <c r="J714" i="1"/>
  <c r="G713" i="1"/>
  <c r="AI711" i="1"/>
  <c r="AF710" i="1"/>
  <c r="M709" i="1"/>
  <c r="J708" i="1"/>
  <c r="G707" i="1"/>
  <c r="AI705" i="1"/>
  <c r="AF704" i="1"/>
  <c r="M703" i="1"/>
  <c r="J702" i="1"/>
  <c r="G701" i="1"/>
  <c r="AI699" i="1"/>
  <c r="AF698" i="1"/>
  <c r="M697" i="1"/>
  <c r="J696" i="1"/>
  <c r="G695" i="1"/>
  <c r="AI693" i="1"/>
  <c r="AF692" i="1"/>
  <c r="M691" i="1"/>
  <c r="J690" i="1"/>
  <c r="G689" i="1"/>
  <c r="AI687" i="1"/>
  <c r="AF686" i="1"/>
  <c r="M685" i="1"/>
  <c r="J684" i="1"/>
  <c r="G683" i="1"/>
  <c r="AI681" i="1"/>
  <c r="AF680" i="1"/>
  <c r="M679" i="1"/>
  <c r="J678" i="1"/>
  <c r="G677" i="1"/>
  <c r="AI675" i="1"/>
  <c r="AF674" i="1"/>
  <c r="M673" i="1"/>
  <c r="J672" i="1"/>
  <c r="G671" i="1"/>
  <c r="AI669" i="1"/>
  <c r="AF668" i="1"/>
  <c r="M667" i="1"/>
  <c r="J666" i="1"/>
  <c r="G665" i="1"/>
  <c r="AI663" i="1"/>
  <c r="AF662" i="1"/>
  <c r="M661" i="1"/>
  <c r="J660" i="1"/>
  <c r="G659" i="1"/>
  <c r="AI657" i="1"/>
  <c r="AF656" i="1"/>
  <c r="M655" i="1"/>
  <c r="J654" i="1"/>
  <c r="G653" i="1"/>
  <c r="AI651" i="1"/>
  <c r="AF650" i="1"/>
  <c r="M649" i="1"/>
  <c r="J648" i="1"/>
  <c r="G647" i="1"/>
  <c r="AI645" i="1"/>
  <c r="AF644" i="1"/>
  <c r="M643" i="1"/>
  <c r="J642" i="1"/>
  <c r="G641" i="1"/>
  <c r="AI639" i="1"/>
  <c r="AF638" i="1"/>
  <c r="M637" i="1"/>
  <c r="J636" i="1"/>
  <c r="G635" i="1"/>
  <c r="AI633" i="1"/>
  <c r="AF632" i="1"/>
  <c r="M631" i="1"/>
  <c r="J630" i="1"/>
  <c r="G629" i="1"/>
  <c r="AI627" i="1"/>
  <c r="AF626" i="1"/>
  <c r="M625" i="1"/>
  <c r="J624" i="1"/>
  <c r="G623" i="1"/>
  <c r="AI621" i="1"/>
  <c r="AF620" i="1"/>
  <c r="M619" i="1"/>
  <c r="J618" i="1"/>
  <c r="G617" i="1"/>
  <c r="AI615" i="1"/>
  <c r="AF614" i="1"/>
  <c r="M613" i="1"/>
  <c r="J612" i="1"/>
  <c r="G611" i="1"/>
  <c r="AI609" i="1"/>
  <c r="AF608" i="1"/>
  <c r="M607" i="1"/>
  <c r="J606" i="1"/>
  <c r="G605" i="1"/>
  <c r="AI603" i="1"/>
  <c r="AF602" i="1"/>
  <c r="M601" i="1"/>
  <c r="J600" i="1"/>
  <c r="G599" i="1"/>
  <c r="AI597" i="1"/>
  <c r="AF596" i="1"/>
  <c r="M595" i="1"/>
  <c r="J594" i="1"/>
  <c r="G593" i="1"/>
  <c r="AI591" i="1"/>
  <c r="AF590" i="1"/>
  <c r="M589" i="1"/>
  <c r="J588" i="1"/>
  <c r="G587" i="1"/>
  <c r="AI585" i="1"/>
  <c r="AF584" i="1"/>
  <c r="M583" i="1"/>
  <c r="J582" i="1"/>
  <c r="G581" i="1"/>
  <c r="AI579" i="1"/>
  <c r="AF578" i="1"/>
  <c r="M577" i="1"/>
  <c r="J576" i="1"/>
  <c r="G575" i="1"/>
  <c r="AI573" i="1"/>
  <c r="AF572" i="1"/>
  <c r="M571" i="1"/>
  <c r="J570" i="1"/>
  <c r="G569" i="1"/>
  <c r="AI567" i="1"/>
  <c r="AF566" i="1"/>
  <c r="M565" i="1"/>
  <c r="J564" i="1"/>
  <c r="G563" i="1"/>
  <c r="AI561" i="1"/>
  <c r="AF560" i="1"/>
  <c r="M559" i="1"/>
  <c r="J558" i="1"/>
  <c r="G557" i="1"/>
  <c r="AI555" i="1"/>
  <c r="AF554" i="1"/>
  <c r="M553" i="1"/>
  <c r="J552" i="1"/>
  <c r="G551" i="1"/>
  <c r="AI549" i="1"/>
  <c r="AF548" i="1"/>
  <c r="M547" i="1"/>
  <c r="J546" i="1"/>
  <c r="G545" i="1"/>
  <c r="AI543" i="1"/>
  <c r="AF542" i="1"/>
  <c r="M541" i="1"/>
  <c r="J540" i="1"/>
  <c r="G539" i="1"/>
  <c r="AI537" i="1"/>
  <c r="AF536" i="1"/>
  <c r="M535" i="1"/>
  <c r="J534" i="1"/>
  <c r="G533" i="1"/>
  <c r="AI531" i="1"/>
  <c r="AF530" i="1"/>
  <c r="M529" i="1"/>
  <c r="J528" i="1"/>
  <c r="G527" i="1"/>
  <c r="AI525" i="1"/>
  <c r="AF524" i="1"/>
  <c r="M523" i="1"/>
  <c r="J522" i="1"/>
  <c r="G521" i="1"/>
  <c r="AI519" i="1"/>
  <c r="AF518" i="1"/>
  <c r="M517" i="1"/>
  <c r="J516" i="1"/>
  <c r="G515" i="1"/>
  <c r="AI513" i="1"/>
  <c r="AF512" i="1"/>
  <c r="M511" i="1"/>
  <c r="J510" i="1"/>
  <c r="G509" i="1"/>
  <c r="AI507" i="1"/>
  <c r="AF506" i="1"/>
  <c r="M505" i="1"/>
  <c r="J504" i="1"/>
  <c r="G503" i="1"/>
  <c r="AI501" i="1"/>
  <c r="AF500" i="1"/>
  <c r="M499" i="1"/>
  <c r="J498" i="1"/>
  <c r="G497" i="1"/>
  <c r="AI495" i="1"/>
  <c r="AF494" i="1"/>
  <c r="M493" i="1"/>
  <c r="J492" i="1"/>
  <c r="G491" i="1"/>
  <c r="AI489" i="1"/>
  <c r="AF488" i="1"/>
  <c r="M487" i="1"/>
  <c r="J486" i="1"/>
  <c r="G485" i="1"/>
  <c r="AI483" i="1"/>
  <c r="AF482" i="1"/>
  <c r="M481" i="1"/>
  <c r="J480" i="1"/>
  <c r="G479" i="1"/>
  <c r="AI477" i="1"/>
  <c r="AF476" i="1"/>
  <c r="M475" i="1"/>
  <c r="J474" i="1"/>
  <c r="G473" i="1"/>
  <c r="AI471" i="1"/>
  <c r="AF470" i="1"/>
  <c r="M469" i="1"/>
  <c r="J468" i="1"/>
  <c r="G467" i="1"/>
  <c r="AI465" i="1"/>
  <c r="AF464" i="1"/>
  <c r="M463" i="1"/>
  <c r="J462" i="1"/>
  <c r="G461" i="1"/>
  <c r="AI459" i="1"/>
  <c r="AF458" i="1"/>
  <c r="M457" i="1"/>
  <c r="J456" i="1"/>
  <c r="G455" i="1"/>
  <c r="AI453" i="1"/>
  <c r="AF452" i="1"/>
  <c r="M451" i="1"/>
  <c r="J450" i="1"/>
  <c r="G449" i="1"/>
  <c r="AI447" i="1"/>
  <c r="AF446" i="1"/>
  <c r="M445" i="1"/>
  <c r="J444" i="1"/>
  <c r="G443" i="1"/>
  <c r="AI441" i="1"/>
  <c r="AF440" i="1"/>
  <c r="M439" i="1"/>
  <c r="J438" i="1"/>
  <c r="G437" i="1"/>
  <c r="AI435" i="1"/>
  <c r="AF434" i="1"/>
  <c r="M433" i="1"/>
  <c r="J432" i="1"/>
  <c r="G431" i="1"/>
  <c r="AI429" i="1"/>
  <c r="AF428" i="1"/>
  <c r="M427" i="1"/>
  <c r="J426" i="1"/>
  <c r="G425" i="1"/>
  <c r="AI423" i="1"/>
  <c r="AF422" i="1"/>
  <c r="M421" i="1"/>
  <c r="J420" i="1"/>
  <c r="G419" i="1"/>
  <c r="AI417" i="1"/>
  <c r="AF416" i="1"/>
  <c r="M415" i="1"/>
  <c r="J414" i="1"/>
  <c r="G413" i="1"/>
  <c r="AI411" i="1"/>
  <c r="AF410" i="1"/>
  <c r="M409" i="1"/>
  <c r="J408" i="1"/>
  <c r="G407" i="1"/>
  <c r="AI405" i="1"/>
  <c r="AF404" i="1"/>
  <c r="M403" i="1"/>
  <c r="J402" i="1"/>
  <c r="G401" i="1"/>
  <c r="AI399" i="1"/>
  <c r="AF398" i="1"/>
  <c r="M397" i="1"/>
  <c r="J396" i="1"/>
  <c r="G395" i="1"/>
  <c r="AI393" i="1"/>
  <c r="AF392" i="1"/>
  <c r="M391" i="1"/>
  <c r="J390" i="1"/>
  <c r="G389" i="1"/>
  <c r="AI387" i="1"/>
  <c r="AF386" i="1"/>
  <c r="M385" i="1"/>
  <c r="J384" i="1"/>
  <c r="G383" i="1"/>
  <c r="AI381" i="1"/>
  <c r="AF380" i="1"/>
  <c r="M379" i="1"/>
  <c r="J378" i="1"/>
  <c r="G377" i="1"/>
  <c r="AI375" i="1"/>
  <c r="AF374" i="1"/>
  <c r="M373" i="1"/>
  <c r="J372" i="1"/>
  <c r="G371" i="1"/>
  <c r="AI369" i="1"/>
  <c r="AF368" i="1"/>
  <c r="M367" i="1"/>
  <c r="J366" i="1"/>
  <c r="G365" i="1"/>
  <c r="AI363" i="1"/>
  <c r="AF362" i="1"/>
  <c r="M361" i="1"/>
  <c r="J360" i="1"/>
  <c r="G359" i="1"/>
  <c r="AI357" i="1"/>
  <c r="AF356" i="1"/>
  <c r="M355" i="1"/>
  <c r="J354" i="1"/>
  <c r="G353" i="1"/>
  <c r="AI351" i="1"/>
  <c r="AF350" i="1"/>
  <c r="M349" i="1"/>
  <c r="J348" i="1"/>
  <c r="G347" i="1"/>
  <c r="AI345" i="1"/>
  <c r="AF344" i="1"/>
  <c r="M343" i="1"/>
  <c r="J342" i="1"/>
  <c r="G341" i="1"/>
  <c r="AI339" i="1"/>
  <c r="AF338" i="1"/>
  <c r="M337" i="1"/>
  <c r="J336" i="1"/>
  <c r="G335" i="1"/>
  <c r="AI333" i="1"/>
  <c r="AF332" i="1"/>
  <c r="M331" i="1"/>
  <c r="J330" i="1"/>
  <c r="G329" i="1"/>
  <c r="AI327" i="1"/>
  <c r="AF326" i="1"/>
  <c r="M325" i="1"/>
  <c r="G3243" i="1"/>
  <c r="M3221" i="1"/>
  <c r="M2503" i="1"/>
  <c r="G2481" i="1"/>
  <c r="AH2416" i="1"/>
  <c r="W2406" i="1"/>
  <c r="L2255" i="1"/>
  <c r="AH2168" i="1"/>
  <c r="M2158" i="1"/>
  <c r="W2149" i="1"/>
  <c r="J2094" i="1"/>
  <c r="M2077" i="1"/>
  <c r="AF2050" i="1"/>
  <c r="AH2033" i="1"/>
  <c r="M2010" i="1"/>
  <c r="AI1967" i="1"/>
  <c r="AF1943" i="1"/>
  <c r="L1939" i="1"/>
  <c r="AF1933" i="1"/>
  <c r="AI1917" i="1"/>
  <c r="AI1906" i="1"/>
  <c r="J1896" i="1"/>
  <c r="AF1891" i="1"/>
  <c r="AH1870" i="1"/>
  <c r="G1860" i="1"/>
  <c r="M1855" i="1"/>
  <c r="AH1844" i="1"/>
  <c r="AI1827" i="1"/>
  <c r="J1819" i="1"/>
  <c r="W1813" i="1"/>
  <c r="AF1808" i="1"/>
  <c r="AH1802" i="1"/>
  <c r="AI1797" i="1"/>
  <c r="AF1791" i="1"/>
  <c r="AI1787" i="1"/>
  <c r="M1777" i="1"/>
  <c r="M1772" i="1"/>
  <c r="M1766" i="1"/>
  <c r="W1755" i="1"/>
  <c r="J1751" i="1"/>
  <c r="L1730" i="1"/>
  <c r="AF1687" i="1"/>
  <c r="M1682" i="1"/>
  <c r="G1673" i="1"/>
  <c r="M1662" i="1"/>
  <c r="L1646" i="1"/>
  <c r="AI1631" i="1"/>
  <c r="L1626" i="1"/>
  <c r="G1621" i="1"/>
  <c r="M1614" i="1"/>
  <c r="J1610" i="1"/>
  <c r="M1605" i="1"/>
  <c r="G1578" i="1"/>
  <c r="AI1563" i="1"/>
  <c r="G1553" i="1"/>
  <c r="M1542" i="1"/>
  <c r="AH1537" i="1"/>
  <c r="W1532" i="1"/>
  <c r="G1525" i="1"/>
  <c r="M1521" i="1"/>
  <c r="AI1516" i="1"/>
  <c r="W1512" i="1"/>
  <c r="AF1484" i="1"/>
  <c r="L1480" i="1"/>
  <c r="AI1475" i="1"/>
  <c r="W1471" i="1"/>
  <c r="AI1468" i="1"/>
  <c r="L1464" i="1"/>
  <c r="L1453" i="1"/>
  <c r="AH1445" i="1"/>
  <c r="M1441" i="1"/>
  <c r="M1437" i="1"/>
  <c r="J1434" i="1"/>
  <c r="J1430" i="1"/>
  <c r="AI1425" i="1"/>
  <c r="AF1418" i="1"/>
  <c r="AH1414" i="1"/>
  <c r="L1410" i="1"/>
  <c r="L1399" i="1"/>
  <c r="AH1391" i="1"/>
  <c r="M1387" i="1"/>
  <c r="M1383" i="1"/>
  <c r="J1380" i="1"/>
  <c r="J1376" i="1"/>
  <c r="AI1371" i="1"/>
  <c r="AF1364" i="1"/>
  <c r="AH1360" i="1"/>
  <c r="L1356" i="1"/>
  <c r="L1345" i="1"/>
  <c r="AH1337" i="1"/>
  <c r="M1333" i="1"/>
  <c r="M1329" i="1"/>
  <c r="J1326" i="1"/>
  <c r="J1322" i="1"/>
  <c r="AI1317" i="1"/>
  <c r="AF1310" i="1"/>
  <c r="AH1306" i="1"/>
  <c r="AI1295" i="1"/>
  <c r="AI1280" i="1"/>
  <c r="L1274" i="1"/>
  <c r="AI1270" i="1"/>
  <c r="AI1259" i="1"/>
  <c r="AI1244" i="1"/>
  <c r="L1238" i="1"/>
  <c r="AI1234" i="1"/>
  <c r="AI1223" i="1"/>
  <c r="AI1208" i="1"/>
  <c r="J1205" i="1"/>
  <c r="AF1199" i="1"/>
  <c r="G1197" i="1"/>
  <c r="AF1194" i="1"/>
  <c r="AH1192" i="1"/>
  <c r="J1190" i="1"/>
  <c r="AF1187" i="1"/>
  <c r="AF1185" i="1"/>
  <c r="AH1180" i="1"/>
  <c r="AF1178" i="1"/>
  <c r="AH1173" i="1"/>
  <c r="G1169" i="1"/>
  <c r="AF1166" i="1"/>
  <c r="G1162" i="1"/>
  <c r="W1159" i="1"/>
  <c r="G1155" i="1"/>
  <c r="W1152" i="1"/>
  <c r="G1150" i="1"/>
  <c r="AF1145" i="1"/>
  <c r="G1143" i="1"/>
  <c r="AF1140" i="1"/>
  <c r="AH1138" i="1"/>
  <c r="J1136" i="1"/>
  <c r="AF1133" i="1"/>
  <c r="AF1131" i="1"/>
  <c r="J1129" i="1"/>
  <c r="W1124" i="1"/>
  <c r="M1122" i="1"/>
  <c r="G1120" i="1"/>
  <c r="AH1117" i="1"/>
  <c r="W1113" i="1"/>
  <c r="J1111" i="1"/>
  <c r="W1106" i="1"/>
  <c r="M1104" i="1"/>
  <c r="G1102" i="1"/>
  <c r="AH1099" i="1"/>
  <c r="W1095" i="1"/>
  <c r="J1093" i="1"/>
  <c r="W1088" i="1"/>
  <c r="M1086" i="1"/>
  <c r="G1084" i="1"/>
  <c r="AH1081" i="1"/>
  <c r="W1077" i="1"/>
  <c r="J1075" i="1"/>
  <c r="W1070" i="1"/>
  <c r="M1068" i="1"/>
  <c r="G1066" i="1"/>
  <c r="AH1063" i="1"/>
  <c r="W1059" i="1"/>
  <c r="J1057" i="1"/>
  <c r="W1052" i="1"/>
  <c r="M1050" i="1"/>
  <c r="G1048" i="1"/>
  <c r="AH1045" i="1"/>
  <c r="W1041" i="1"/>
  <c r="J1039" i="1"/>
  <c r="W1034" i="1"/>
  <c r="M1032" i="1"/>
  <c r="G1030" i="1"/>
  <c r="AH1027" i="1"/>
  <c r="W1023" i="1"/>
  <c r="J1021" i="1"/>
  <c r="W1016" i="1"/>
  <c r="M1014" i="1"/>
  <c r="G1012" i="1"/>
  <c r="AH1009" i="1"/>
  <c r="W1005" i="1"/>
  <c r="J1003" i="1"/>
  <c r="W998" i="1"/>
  <c r="M996" i="1"/>
  <c r="G994" i="1"/>
  <c r="AH991" i="1"/>
  <c r="W987" i="1"/>
  <c r="J985" i="1"/>
  <c r="W980" i="1"/>
  <c r="M978" i="1"/>
  <c r="G976" i="1"/>
  <c r="AH973" i="1"/>
  <c r="W969" i="1"/>
  <c r="J967" i="1"/>
  <c r="W962" i="1"/>
  <c r="M960" i="1"/>
  <c r="G958" i="1"/>
  <c r="AH955" i="1"/>
  <c r="W951" i="1"/>
  <c r="J949" i="1"/>
  <c r="W944" i="1"/>
  <c r="M942" i="1"/>
  <c r="G940" i="1"/>
  <c r="AH937" i="1"/>
  <c r="W933" i="1"/>
  <c r="J931" i="1"/>
  <c r="W926" i="1"/>
  <c r="M924" i="1"/>
  <c r="G922" i="1"/>
  <c r="AH919" i="1"/>
  <c r="W915" i="1"/>
  <c r="J913" i="1"/>
  <c r="W908" i="1"/>
  <c r="M906" i="1"/>
  <c r="G904" i="1"/>
  <c r="AH901" i="1"/>
  <c r="W897" i="1"/>
  <c r="J895" i="1"/>
  <c r="W890" i="1"/>
  <c r="M888" i="1"/>
  <c r="G886" i="1"/>
  <c r="AH883" i="1"/>
  <c r="W879" i="1"/>
  <c r="J877" i="1"/>
  <c r="W872" i="1"/>
  <c r="M870" i="1"/>
  <c r="G868" i="1"/>
  <c r="AH865" i="1"/>
  <c r="W861" i="1"/>
  <c r="J859" i="1"/>
  <c r="W854" i="1"/>
  <c r="M852" i="1"/>
  <c r="G850" i="1"/>
  <c r="AH847" i="1"/>
  <c r="W843" i="1"/>
  <c r="J841" i="1"/>
  <c r="W836" i="1"/>
  <c r="M834" i="1"/>
  <c r="G832" i="1"/>
  <c r="AH829" i="1"/>
  <c r="W825" i="1"/>
  <c r="J823" i="1"/>
  <c r="W818" i="1"/>
  <c r="M816" i="1"/>
  <c r="G814" i="1"/>
  <c r="AH811" i="1"/>
  <c r="W807" i="1"/>
  <c r="J805" i="1"/>
  <c r="W800" i="1"/>
  <c r="M798" i="1"/>
  <c r="G796" i="1"/>
  <c r="AH793" i="1"/>
  <c r="W789" i="1"/>
  <c r="J787" i="1"/>
  <c r="W782" i="1"/>
  <c r="M780" i="1"/>
  <c r="G778" i="1"/>
  <c r="AH775" i="1"/>
  <c r="W771" i="1"/>
  <c r="J769" i="1"/>
  <c r="W764" i="1"/>
  <c r="M762" i="1"/>
  <c r="G760" i="1"/>
  <c r="AH757" i="1"/>
  <c r="W753" i="1"/>
  <c r="J751" i="1"/>
  <c r="W746" i="1"/>
  <c r="M744" i="1"/>
  <c r="G742" i="1"/>
  <c r="AH739" i="1"/>
  <c r="W735" i="1"/>
  <c r="J733" i="1"/>
  <c r="W728" i="1"/>
  <c r="M726" i="1"/>
  <c r="G724" i="1"/>
  <c r="AH721" i="1"/>
  <c r="W717" i="1"/>
  <c r="J715" i="1"/>
  <c r="W710" i="1"/>
  <c r="M708" i="1"/>
  <c r="G706" i="1"/>
  <c r="AH703" i="1"/>
  <c r="W699" i="1"/>
  <c r="J697" i="1"/>
  <c r="W692" i="1"/>
  <c r="M690" i="1"/>
  <c r="G688" i="1"/>
  <c r="AH685" i="1"/>
  <c r="W681" i="1"/>
  <c r="J679" i="1"/>
  <c r="W674" i="1"/>
  <c r="M672" i="1"/>
  <c r="G670" i="1"/>
  <c r="AH667" i="1"/>
  <c r="W663" i="1"/>
  <c r="J661" i="1"/>
  <c r="W656" i="1"/>
  <c r="M654" i="1"/>
  <c r="G652" i="1"/>
  <c r="AH649" i="1"/>
  <c r="W645" i="1"/>
  <c r="J643" i="1"/>
  <c r="W638" i="1"/>
  <c r="M636" i="1"/>
  <c r="G634" i="1"/>
  <c r="AH631" i="1"/>
  <c r="W627" i="1"/>
  <c r="J625" i="1"/>
  <c r="W620" i="1"/>
  <c r="M618" i="1"/>
  <c r="G616" i="1"/>
  <c r="AH613" i="1"/>
  <c r="W609" i="1"/>
  <c r="J607" i="1"/>
  <c r="W602" i="1"/>
  <c r="M600" i="1"/>
  <c r="G598" i="1"/>
  <c r="AH595" i="1"/>
  <c r="W591" i="1"/>
  <c r="J589" i="1"/>
  <c r="W584" i="1"/>
  <c r="M582" i="1"/>
  <c r="G580" i="1"/>
  <c r="AH577" i="1"/>
  <c r="W573" i="1"/>
  <c r="J571" i="1"/>
  <c r="W566" i="1"/>
  <c r="M564" i="1"/>
  <c r="G562" i="1"/>
  <c r="AH559" i="1"/>
  <c r="W555" i="1"/>
  <c r="J553" i="1"/>
  <c r="W548" i="1"/>
  <c r="M546" i="1"/>
  <c r="G544" i="1"/>
  <c r="AH541" i="1"/>
  <c r="W537" i="1"/>
  <c r="J535" i="1"/>
  <c r="W530" i="1"/>
  <c r="M528" i="1"/>
  <c r="G526" i="1"/>
  <c r="AH523" i="1"/>
  <c r="W519" i="1"/>
  <c r="J517" i="1"/>
  <c r="W512" i="1"/>
  <c r="M510" i="1"/>
  <c r="G508" i="1"/>
  <c r="AH505" i="1"/>
  <c r="W501" i="1"/>
  <c r="J499" i="1"/>
  <c r="W494" i="1"/>
  <c r="M492" i="1"/>
  <c r="G490" i="1"/>
  <c r="AH487" i="1"/>
  <c r="W483" i="1"/>
  <c r="J481" i="1"/>
  <c r="W476" i="1"/>
  <c r="M474" i="1"/>
  <c r="G472" i="1"/>
  <c r="AH469" i="1"/>
  <c r="W465" i="1"/>
  <c r="J463" i="1"/>
  <c r="W458" i="1"/>
  <c r="M456" i="1"/>
  <c r="G454" i="1"/>
  <c r="AH451" i="1"/>
  <c r="W447" i="1"/>
  <c r="J445" i="1"/>
  <c r="W440" i="1"/>
  <c r="M438" i="1"/>
  <c r="G436" i="1"/>
  <c r="AH433" i="1"/>
  <c r="W429" i="1"/>
  <c r="J427" i="1"/>
  <c r="W422" i="1"/>
  <c r="M420" i="1"/>
  <c r="G418" i="1"/>
  <c r="AH415" i="1"/>
  <c r="W411" i="1"/>
  <c r="L409" i="1"/>
  <c r="J407" i="1"/>
  <c r="L405" i="1"/>
  <c r="L403" i="1"/>
  <c r="W401" i="1"/>
  <c r="AH399" i="1"/>
  <c r="L394" i="1"/>
  <c r="W392" i="1"/>
  <c r="AH390" i="1"/>
  <c r="L385" i="1"/>
  <c r="W383" i="1"/>
  <c r="AH381" i="1"/>
  <c r="L376" i="1"/>
  <c r="W374" i="1"/>
  <c r="AH372" i="1"/>
  <c r="L367" i="1"/>
  <c r="W365" i="1"/>
  <c r="AH363" i="1"/>
  <c r="L358" i="1"/>
  <c r="W356" i="1"/>
  <c r="AH354" i="1"/>
  <c r="L349" i="1"/>
  <c r="W347" i="1"/>
  <c r="AH345" i="1"/>
  <c r="L340" i="1"/>
  <c r="W338" i="1"/>
  <c r="L335" i="1"/>
  <c r="AH333" i="1"/>
  <c r="W330" i="1"/>
  <c r="L327" i="1"/>
  <c r="AH325" i="1"/>
  <c r="J324" i="1"/>
  <c r="AI322" i="1"/>
  <c r="L321" i="1"/>
  <c r="AI319" i="1"/>
  <c r="M318" i="1"/>
  <c r="G317" i="1"/>
  <c r="AF315" i="1"/>
  <c r="AF312" i="1"/>
  <c r="J311" i="1"/>
  <c r="AI309" i="1"/>
  <c r="M308" i="1"/>
  <c r="M305" i="1"/>
  <c r="G304" i="1"/>
  <c r="AF302" i="1"/>
  <c r="J301" i="1"/>
  <c r="AH299" i="1"/>
  <c r="J298" i="1"/>
  <c r="AI296" i="1"/>
  <c r="M295" i="1"/>
  <c r="G294" i="1"/>
  <c r="W292" i="1"/>
  <c r="G291" i="1"/>
  <c r="AF289" i="1"/>
  <c r="J288" i="1"/>
  <c r="AI286" i="1"/>
  <c r="L285" i="1"/>
  <c r="AI283" i="1"/>
  <c r="M282" i="1"/>
  <c r="G281" i="1"/>
  <c r="AF279" i="1"/>
  <c r="AF276" i="1"/>
  <c r="J275" i="1"/>
  <c r="AI273" i="1"/>
  <c r="M272" i="1"/>
  <c r="M269" i="1"/>
  <c r="J268" i="1"/>
  <c r="G267" i="1"/>
  <c r="AI265" i="1"/>
  <c r="AF264" i="1"/>
  <c r="M263" i="1"/>
  <c r="J262" i="1"/>
  <c r="G261" i="1"/>
  <c r="AI259" i="1"/>
  <c r="AF258" i="1"/>
  <c r="M257" i="1"/>
  <c r="J256" i="1"/>
  <c r="G255" i="1"/>
  <c r="AI253" i="1"/>
  <c r="AF252" i="1"/>
  <c r="M251" i="1"/>
  <c r="J250" i="1"/>
  <c r="G249" i="1"/>
  <c r="AI247" i="1"/>
  <c r="AF246" i="1"/>
  <c r="M245" i="1"/>
  <c r="J244" i="1"/>
  <c r="G243" i="1"/>
  <c r="AI241" i="1"/>
  <c r="AF240" i="1"/>
  <c r="M239" i="1"/>
  <c r="J238" i="1"/>
  <c r="G237" i="1"/>
  <c r="AI235" i="1"/>
  <c r="AF234" i="1"/>
  <c r="M233" i="1"/>
  <c r="J232" i="1"/>
  <c r="G231" i="1"/>
  <c r="AI229" i="1"/>
  <c r="AF228" i="1"/>
  <c r="M227" i="1"/>
  <c r="J226" i="1"/>
  <c r="G225" i="1"/>
  <c r="AI223" i="1"/>
  <c r="AF222" i="1"/>
  <c r="M221" i="1"/>
  <c r="J220" i="1"/>
  <c r="G219" i="1"/>
  <c r="AI217" i="1"/>
  <c r="AF216" i="1"/>
  <c r="M215" i="1"/>
  <c r="J214" i="1"/>
  <c r="G213" i="1"/>
  <c r="AI211" i="1"/>
  <c r="AF210" i="1"/>
  <c r="M209" i="1"/>
  <c r="J208" i="1"/>
  <c r="G207" i="1"/>
  <c r="AI205" i="1"/>
  <c r="AF204" i="1"/>
  <c r="M203" i="1"/>
  <c r="J202" i="1"/>
  <c r="G201" i="1"/>
  <c r="AI199" i="1"/>
  <c r="AF198" i="1"/>
  <c r="M197" i="1"/>
  <c r="J196" i="1"/>
  <c r="G195" i="1"/>
  <c r="AI193" i="1"/>
  <c r="AF192" i="1"/>
  <c r="M191" i="1"/>
  <c r="J190" i="1"/>
  <c r="G189" i="1"/>
  <c r="AI187" i="1"/>
  <c r="AF186" i="1"/>
  <c r="M185" i="1"/>
  <c r="J184" i="1"/>
  <c r="G183" i="1"/>
  <c r="AI181" i="1"/>
  <c r="AF180" i="1"/>
  <c r="M179" i="1"/>
  <c r="J178" i="1"/>
  <c r="G177" i="1"/>
  <c r="AI175" i="1"/>
  <c r="AF174" i="1"/>
  <c r="M173" i="1"/>
  <c r="J172" i="1"/>
  <c r="G171" i="1"/>
  <c r="AI169" i="1"/>
  <c r="AF168" i="1"/>
  <c r="M167" i="1"/>
  <c r="J166" i="1"/>
  <c r="G165" i="1"/>
  <c r="AI163" i="1"/>
  <c r="AF162" i="1"/>
  <c r="M161" i="1"/>
  <c r="J160" i="1"/>
  <c r="G159" i="1"/>
  <c r="AI157" i="1"/>
  <c r="AF156" i="1"/>
  <c r="M155" i="1"/>
  <c r="J154" i="1"/>
  <c r="G153" i="1"/>
  <c r="AI151" i="1"/>
  <c r="AF150" i="1"/>
  <c r="M149" i="1"/>
  <c r="J148" i="1"/>
  <c r="G147" i="1"/>
  <c r="AI145" i="1"/>
  <c r="AF144" i="1"/>
  <c r="M143" i="1"/>
  <c r="J142" i="1"/>
  <c r="G141" i="1"/>
  <c r="AI139" i="1"/>
  <c r="AF138" i="1"/>
  <c r="M137" i="1"/>
  <c r="J136" i="1"/>
  <c r="G135" i="1"/>
  <c r="AI133" i="1"/>
  <c r="AF132" i="1"/>
  <c r="M131" i="1"/>
  <c r="J130" i="1"/>
  <c r="G129" i="1"/>
  <c r="AI127" i="1"/>
  <c r="AF126" i="1"/>
  <c r="M125" i="1"/>
  <c r="J124" i="1"/>
  <c r="G123" i="1"/>
  <c r="AI121" i="1"/>
  <c r="AF120" i="1"/>
  <c r="M119" i="1"/>
  <c r="J118" i="1"/>
  <c r="G117" i="1"/>
  <c r="AI115" i="1"/>
  <c r="AF114" i="1"/>
  <c r="M113" i="1"/>
  <c r="J112" i="1"/>
  <c r="G111" i="1"/>
  <c r="AI109" i="1"/>
  <c r="AF108" i="1"/>
  <c r="M107" i="1"/>
  <c r="J106" i="1"/>
  <c r="G105" i="1"/>
  <c r="AI103" i="1"/>
  <c r="AF102" i="1"/>
  <c r="M101" i="1"/>
  <c r="J100" i="1"/>
  <c r="G99" i="1"/>
  <c r="AI97" i="1"/>
  <c r="AF96" i="1"/>
  <c r="M95" i="1"/>
  <c r="J94" i="1"/>
  <c r="G93" i="1"/>
  <c r="AI91" i="1"/>
  <c r="AF90" i="1"/>
  <c r="M89" i="1"/>
  <c r="J88" i="1"/>
  <c r="G87" i="1"/>
  <c r="AI85" i="1"/>
  <c r="AF84" i="1"/>
  <c r="M83" i="1"/>
  <c r="J82" i="1"/>
  <c r="G81" i="1"/>
  <c r="AI79" i="1"/>
  <c r="AF78" i="1"/>
  <c r="M77" i="1"/>
  <c r="J76" i="1"/>
  <c r="G75" i="1"/>
  <c r="AI73" i="1"/>
  <c r="AF72" i="1"/>
  <c r="M71" i="1"/>
  <c r="J70" i="1"/>
  <c r="G69" i="1"/>
  <c r="AI67" i="1"/>
  <c r="AF66" i="1"/>
  <c r="M65" i="1"/>
  <c r="J64" i="1"/>
  <c r="G63" i="1"/>
  <c r="AI61" i="1"/>
  <c r="AF60" i="1"/>
  <c r="M59" i="1"/>
  <c r="J58" i="1"/>
  <c r="G57" i="1"/>
  <c r="AI55" i="1"/>
  <c r="AF54" i="1"/>
  <c r="M53" i="1"/>
  <c r="J52" i="1"/>
  <c r="G51" i="1"/>
  <c r="AI49" i="1"/>
  <c r="AF48" i="1"/>
  <c r="M47" i="1"/>
  <c r="J46" i="1"/>
  <c r="G45" i="1"/>
  <c r="AI43" i="1"/>
  <c r="AF42" i="1"/>
  <c r="M41" i="1"/>
  <c r="J40" i="1"/>
  <c r="G39" i="1"/>
  <c r="AI37" i="1"/>
  <c r="AF36" i="1"/>
  <c r="M35" i="1"/>
  <c r="J34" i="1"/>
  <c r="G33" i="1"/>
  <c r="AI31" i="1"/>
  <c r="AF30" i="1"/>
  <c r="M29" i="1"/>
  <c r="J28" i="1"/>
  <c r="G27" i="1"/>
  <c r="AI25" i="1"/>
  <c r="AF24" i="1"/>
  <c r="M23" i="1"/>
  <c r="J22" i="1"/>
  <c r="G21" i="1"/>
  <c r="AI19" i="1"/>
  <c r="AF18" i="1"/>
  <c r="M17" i="1"/>
  <c r="J16" i="1"/>
  <c r="G15" i="1"/>
  <c r="AI13" i="1"/>
  <c r="AF12" i="1"/>
  <c r="M11" i="1"/>
  <c r="J10" i="1"/>
  <c r="G9" i="1"/>
  <c r="AI7" i="1"/>
  <c r="AF6" i="1"/>
  <c r="M5" i="1"/>
  <c r="J4" i="1"/>
  <c r="G3" i="1"/>
  <c r="M66" i="1"/>
  <c r="AI56" i="1"/>
  <c r="M54" i="1"/>
  <c r="G52" i="1"/>
  <c r="AF49" i="1"/>
  <c r="M48" i="1"/>
  <c r="G46" i="1"/>
  <c r="AI44" i="1"/>
  <c r="M42" i="1"/>
  <c r="G40" i="1"/>
  <c r="AI38" i="1"/>
  <c r="M36" i="1"/>
  <c r="G34" i="1"/>
  <c r="AF31" i="1"/>
  <c r="J29" i="1"/>
  <c r="AI26" i="1"/>
  <c r="M24" i="1"/>
  <c r="G22" i="1"/>
  <c r="AF19" i="1"/>
  <c r="M18" i="1"/>
  <c r="G16" i="1"/>
  <c r="AF13" i="1"/>
  <c r="J11" i="1"/>
  <c r="AI8" i="1"/>
  <c r="M6" i="1"/>
  <c r="G4" i="1"/>
  <c r="L12" i="1"/>
  <c r="W7" i="1"/>
  <c r="AF26" i="1"/>
  <c r="AI21" i="1"/>
  <c r="G17" i="1"/>
  <c r="AF8" i="1"/>
  <c r="AF2" i="1"/>
  <c r="M3010" i="1"/>
  <c r="AF2976" i="1"/>
  <c r="AH2850" i="1"/>
  <c r="AH2782" i="1"/>
  <c r="M2715" i="1"/>
  <c r="G2513" i="1"/>
  <c r="L2406" i="1"/>
  <c r="J2304" i="1"/>
  <c r="AF2033" i="1"/>
  <c r="L1980" i="1"/>
  <c r="AF1967" i="1"/>
  <c r="W1960" i="1"/>
  <c r="L1955" i="1"/>
  <c r="W1943" i="1"/>
  <c r="J1939" i="1"/>
  <c r="M1927" i="1"/>
  <c r="AH1917" i="1"/>
  <c r="AH1906" i="1"/>
  <c r="G1896" i="1"/>
  <c r="M1891" i="1"/>
  <c r="AH1880" i="1"/>
  <c r="AI1863" i="1"/>
  <c r="J1855" i="1"/>
  <c r="W1849" i="1"/>
  <c r="AF1844" i="1"/>
  <c r="AH1838" i="1"/>
  <c r="AI1833" i="1"/>
  <c r="AF1827" i="1"/>
  <c r="AI1823" i="1"/>
  <c r="M1813" i="1"/>
  <c r="M1808" i="1"/>
  <c r="M1802" i="1"/>
  <c r="W1791" i="1"/>
  <c r="J1787" i="1"/>
  <c r="L1766" i="1"/>
  <c r="AF1723" i="1"/>
  <c r="M1718" i="1"/>
  <c r="G1709" i="1"/>
  <c r="M1698" i="1"/>
  <c r="L1682" i="1"/>
  <c r="AI1667" i="1"/>
  <c r="L1662" i="1"/>
  <c r="G1657" i="1"/>
  <c r="M1650" i="1"/>
  <c r="J1646" i="1"/>
  <c r="M1641" i="1"/>
  <c r="G1614" i="1"/>
  <c r="AI1599" i="1"/>
  <c r="G1589" i="1"/>
  <c r="J1568" i="1"/>
  <c r="AF1563" i="1"/>
  <c r="W1557" i="1"/>
  <c r="G1537" i="1"/>
  <c r="M1532" i="1"/>
  <c r="AH1516" i="1"/>
  <c r="W1507" i="1"/>
  <c r="J1499" i="1"/>
  <c r="G1495" i="1"/>
  <c r="J1491" i="1"/>
  <c r="L1487" i="1"/>
  <c r="M1475" i="1"/>
  <c r="M1471" i="1"/>
  <c r="J1464" i="1"/>
  <c r="J1460" i="1"/>
  <c r="AH1456" i="1"/>
  <c r="AH1448" i="1"/>
  <c r="L1441" i="1"/>
  <c r="L1437" i="1"/>
  <c r="W1425" i="1"/>
  <c r="AI1421" i="1"/>
  <c r="W1418" i="1"/>
  <c r="W1414" i="1"/>
  <c r="J1410" i="1"/>
  <c r="J1406" i="1"/>
  <c r="AH1402" i="1"/>
  <c r="AH1394" i="1"/>
  <c r="L1387" i="1"/>
  <c r="L1383" i="1"/>
  <c r="W1371" i="1"/>
  <c r="AI1367" i="1"/>
  <c r="W1364" i="1"/>
  <c r="W1360" i="1"/>
  <c r="J1356" i="1"/>
  <c r="J1352" i="1"/>
  <c r="AH1348" i="1"/>
  <c r="AH1340" i="1"/>
  <c r="L1333" i="1"/>
  <c r="L1329" i="1"/>
  <c r="W1317" i="1"/>
  <c r="AI1313" i="1"/>
  <c r="W1310" i="1"/>
  <c r="W1306" i="1"/>
  <c r="M1302" i="1"/>
  <c r="AF1298" i="1"/>
  <c r="J1295" i="1"/>
  <c r="W1291" i="1"/>
  <c r="AI1287" i="1"/>
  <c r="AH1280" i="1"/>
  <c r="G1277" i="1"/>
  <c r="AF1270" i="1"/>
  <c r="M1266" i="1"/>
  <c r="AF1262" i="1"/>
  <c r="J1259" i="1"/>
  <c r="W1255" i="1"/>
  <c r="AI1251" i="1"/>
  <c r="AH1244" i="1"/>
  <c r="G1241" i="1"/>
  <c r="AF1234" i="1"/>
  <c r="M1230" i="1"/>
  <c r="AF1226" i="1"/>
  <c r="J1223" i="1"/>
  <c r="W1219" i="1"/>
  <c r="AI1215" i="1"/>
  <c r="AH1208" i="1"/>
  <c r="AF1201" i="1"/>
  <c r="M1199" i="1"/>
  <c r="W1194" i="1"/>
  <c r="AF1192" i="1"/>
  <c r="M1187" i="1"/>
  <c r="G1183" i="1"/>
  <c r="AF1180" i="1"/>
  <c r="G1176" i="1"/>
  <c r="AF1173" i="1"/>
  <c r="G1171" i="1"/>
  <c r="M1166" i="1"/>
  <c r="G1164" i="1"/>
  <c r="M1159" i="1"/>
  <c r="G1157" i="1"/>
  <c r="M1152" i="1"/>
  <c r="W1147" i="1"/>
  <c r="M1145" i="1"/>
  <c r="W1140" i="1"/>
  <c r="AF1138" i="1"/>
  <c r="M1133" i="1"/>
  <c r="AI1126" i="1"/>
  <c r="M1124" i="1"/>
  <c r="L1122" i="1"/>
  <c r="AF1117" i="1"/>
  <c r="L1115" i="1"/>
  <c r="AI1108" i="1"/>
  <c r="M1106" i="1"/>
  <c r="L1104" i="1"/>
  <c r="AF1099" i="1"/>
  <c r="L1097" i="1"/>
  <c r="AI1090" i="1"/>
  <c r="M1088" i="1"/>
  <c r="L1086" i="1"/>
  <c r="AF1081" i="1"/>
  <c r="L1079" i="1"/>
  <c r="AI1072" i="1"/>
  <c r="M1070" i="1"/>
  <c r="L1068" i="1"/>
  <c r="AF1063" i="1"/>
  <c r="L1061" i="1"/>
  <c r="AI1054" i="1"/>
  <c r="M1052" i="1"/>
  <c r="L1050" i="1"/>
  <c r="AF1045" i="1"/>
  <c r="L1043" i="1"/>
  <c r="AI1036" i="1"/>
  <c r="M1034" i="1"/>
  <c r="L1032" i="1"/>
  <c r="AF1027" i="1"/>
  <c r="L1025" i="1"/>
  <c r="AI1018" i="1"/>
  <c r="M1016" i="1"/>
  <c r="L1014" i="1"/>
  <c r="AF1009" i="1"/>
  <c r="L1007" i="1"/>
  <c r="AI1000" i="1"/>
  <c r="M998" i="1"/>
  <c r="L996" i="1"/>
  <c r="AF991" i="1"/>
  <c r="L989" i="1"/>
  <c r="AI982" i="1"/>
  <c r="M980" i="1"/>
  <c r="L978" i="1"/>
  <c r="AF973" i="1"/>
  <c r="L971" i="1"/>
  <c r="AI964" i="1"/>
  <c r="M962" i="1"/>
  <c r="L960" i="1"/>
  <c r="AF955" i="1"/>
  <c r="L953" i="1"/>
  <c r="AI946" i="1"/>
  <c r="M944" i="1"/>
  <c r="L942" i="1"/>
  <c r="AF937" i="1"/>
  <c r="L935" i="1"/>
  <c r="AI928" i="1"/>
  <c r="M926" i="1"/>
  <c r="L924" i="1"/>
  <c r="AF919" i="1"/>
  <c r="L917" i="1"/>
  <c r="AI910" i="1"/>
  <c r="M908" i="1"/>
  <c r="L906" i="1"/>
  <c r="AF901" i="1"/>
  <c r="L899" i="1"/>
  <c r="AI892" i="1"/>
  <c r="M890" i="1"/>
  <c r="L888" i="1"/>
  <c r="AF883" i="1"/>
  <c r="L881" i="1"/>
  <c r="AI874" i="1"/>
  <c r="M872" i="1"/>
  <c r="L870" i="1"/>
  <c r="AF865" i="1"/>
  <c r="L863" i="1"/>
  <c r="AI856" i="1"/>
  <c r="M854" i="1"/>
  <c r="L852" i="1"/>
  <c r="AF847" i="1"/>
  <c r="L845" i="1"/>
  <c r="AI838" i="1"/>
  <c r="M836" i="1"/>
  <c r="L834" i="1"/>
  <c r="AF829" i="1"/>
  <c r="L827" i="1"/>
  <c r="AI820" i="1"/>
  <c r="M818" i="1"/>
  <c r="L816" i="1"/>
  <c r="AF811" i="1"/>
  <c r="L809" i="1"/>
  <c r="AI802" i="1"/>
  <c r="M800" i="1"/>
  <c r="L798" i="1"/>
  <c r="AF793" i="1"/>
  <c r="L791" i="1"/>
  <c r="AI784" i="1"/>
  <c r="M782" i="1"/>
  <c r="L780" i="1"/>
  <c r="AF775" i="1"/>
  <c r="L773" i="1"/>
  <c r="AI766" i="1"/>
  <c r="M764" i="1"/>
  <c r="L762" i="1"/>
  <c r="AF757" i="1"/>
  <c r="L755" i="1"/>
  <c r="AI748" i="1"/>
  <c r="M746" i="1"/>
  <c r="L744" i="1"/>
  <c r="AF739" i="1"/>
  <c r="L737" i="1"/>
  <c r="AI730" i="1"/>
  <c r="M728" i="1"/>
  <c r="L726" i="1"/>
  <c r="AF721" i="1"/>
  <c r="L719" i="1"/>
  <c r="AI712" i="1"/>
  <c r="M710" i="1"/>
  <c r="L708" i="1"/>
  <c r="AF703" i="1"/>
  <c r="L701" i="1"/>
  <c r="AI694" i="1"/>
  <c r="M692" i="1"/>
  <c r="L690" i="1"/>
  <c r="AF685" i="1"/>
  <c r="L683" i="1"/>
  <c r="AI676" i="1"/>
  <c r="M674" i="1"/>
  <c r="L672" i="1"/>
  <c r="AF667" i="1"/>
  <c r="L665" i="1"/>
  <c r="AI658" i="1"/>
  <c r="M656" i="1"/>
  <c r="L654" i="1"/>
  <c r="AF649" i="1"/>
  <c r="L647" i="1"/>
  <c r="AI640" i="1"/>
  <c r="M638" i="1"/>
  <c r="L636" i="1"/>
  <c r="AF631" i="1"/>
  <c r="L629" i="1"/>
  <c r="AI622" i="1"/>
  <c r="M620" i="1"/>
  <c r="L618" i="1"/>
  <c r="AF613" i="1"/>
  <c r="L611" i="1"/>
  <c r="AI604" i="1"/>
  <c r="M602" i="1"/>
  <c r="L600" i="1"/>
  <c r="AF595" i="1"/>
  <c r="L593" i="1"/>
  <c r="AI586" i="1"/>
  <c r="M584" i="1"/>
  <c r="L582" i="1"/>
  <c r="AF577" i="1"/>
  <c r="L575" i="1"/>
  <c r="AI568" i="1"/>
  <c r="M566" i="1"/>
  <c r="L564" i="1"/>
  <c r="AF559" i="1"/>
  <c r="L557" i="1"/>
  <c r="AI550" i="1"/>
  <c r="M548" i="1"/>
  <c r="L546" i="1"/>
  <c r="AF541" i="1"/>
  <c r="L539" i="1"/>
  <c r="AI532" i="1"/>
  <c r="M530" i="1"/>
  <c r="L528" i="1"/>
  <c r="AF523" i="1"/>
  <c r="L521" i="1"/>
  <c r="AI514" i="1"/>
  <c r="M512" i="1"/>
  <c r="L510" i="1"/>
  <c r="AF505" i="1"/>
  <c r="L503" i="1"/>
  <c r="AI496" i="1"/>
  <c r="M494" i="1"/>
  <c r="L492" i="1"/>
  <c r="AF487" i="1"/>
  <c r="L485" i="1"/>
  <c r="AI478" i="1"/>
  <c r="M476" i="1"/>
  <c r="L474" i="1"/>
  <c r="AF469" i="1"/>
  <c r="L467" i="1"/>
  <c r="AI460" i="1"/>
  <c r="M458" i="1"/>
  <c r="L456" i="1"/>
  <c r="AF451" i="1"/>
  <c r="L449" i="1"/>
  <c r="AI442" i="1"/>
  <c r="M440" i="1"/>
  <c r="L438" i="1"/>
  <c r="AF433" i="1"/>
  <c r="L431" i="1"/>
  <c r="AI424" i="1"/>
  <c r="M422" i="1"/>
  <c r="L420" i="1"/>
  <c r="AF415" i="1"/>
  <c r="L413" i="1"/>
  <c r="J409" i="1"/>
  <c r="J403" i="1"/>
  <c r="L401" i="1"/>
  <c r="AF399" i="1"/>
  <c r="AH397" i="1"/>
  <c r="G396" i="1"/>
  <c r="M392" i="1"/>
  <c r="W390" i="1"/>
  <c r="AI388" i="1"/>
  <c r="J385" i="1"/>
  <c r="L383" i="1"/>
  <c r="AF381" i="1"/>
  <c r="AH379" i="1"/>
  <c r="G378" i="1"/>
  <c r="M374" i="1"/>
  <c r="W372" i="1"/>
  <c r="AI370" i="1"/>
  <c r="J367" i="1"/>
  <c r="L365" i="1"/>
  <c r="AF363" i="1"/>
  <c r="AH361" i="1"/>
  <c r="G360" i="1"/>
  <c r="M356" i="1"/>
  <c r="W354" i="1"/>
  <c r="AI352" i="1"/>
  <c r="J349" i="1"/>
  <c r="L347" i="1"/>
  <c r="AF345" i="1"/>
  <c r="AH343" i="1"/>
  <c r="G342" i="1"/>
  <c r="M338" i="1"/>
  <c r="AH336" i="1"/>
  <c r="J335" i="1"/>
  <c r="AF333" i="1"/>
  <c r="M330" i="1"/>
  <c r="AI328" i="1"/>
  <c r="AF325" i="1"/>
  <c r="AH322" i="1"/>
  <c r="AH319" i="1"/>
  <c r="L318" i="1"/>
  <c r="W315" i="1"/>
  <c r="W312" i="1"/>
  <c r="AH309" i="1"/>
  <c r="L308" i="1"/>
  <c r="AH306" i="1"/>
  <c r="L305" i="1"/>
  <c r="W302" i="1"/>
  <c r="W299" i="1"/>
  <c r="AH296" i="1"/>
  <c r="L295" i="1"/>
  <c r="L292" i="1"/>
  <c r="W289" i="1"/>
  <c r="AH286" i="1"/>
  <c r="AH283" i="1"/>
  <c r="L282" i="1"/>
  <c r="W279" i="1"/>
  <c r="W276" i="1"/>
  <c r="AH273" i="1"/>
  <c r="L272" i="1"/>
  <c r="AH270" i="1"/>
  <c r="L269" i="1"/>
  <c r="AH265" i="1"/>
  <c r="W264" i="1"/>
  <c r="L263" i="1"/>
  <c r="AH259" i="1"/>
  <c r="W258" i="1"/>
  <c r="L257" i="1"/>
  <c r="AH253" i="1"/>
  <c r="W252" i="1"/>
  <c r="L251" i="1"/>
  <c r="AH247" i="1"/>
  <c r="W246" i="1"/>
  <c r="L245" i="1"/>
  <c r="AH241" i="1"/>
  <c r="W240" i="1"/>
  <c r="L239" i="1"/>
  <c r="AH235" i="1"/>
  <c r="W234" i="1"/>
  <c r="L233" i="1"/>
  <c r="AH229" i="1"/>
  <c r="W228" i="1"/>
  <c r="L227" i="1"/>
  <c r="AH223" i="1"/>
  <c r="W222" i="1"/>
  <c r="L221" i="1"/>
  <c r="AH217" i="1"/>
  <c r="W216" i="1"/>
  <c r="L215" i="1"/>
  <c r="AH211" i="1"/>
  <c r="W210" i="1"/>
  <c r="L209" i="1"/>
  <c r="AH205" i="1"/>
  <c r="W204" i="1"/>
  <c r="L203" i="1"/>
  <c r="AH199" i="1"/>
  <c r="W198" i="1"/>
  <c r="L197" i="1"/>
  <c r="AH193" i="1"/>
  <c r="W192" i="1"/>
  <c r="L191" i="1"/>
  <c r="AH187" i="1"/>
  <c r="W186" i="1"/>
  <c r="L185" i="1"/>
  <c r="AH181" i="1"/>
  <c r="W180" i="1"/>
  <c r="L179" i="1"/>
  <c r="AH175" i="1"/>
  <c r="W174" i="1"/>
  <c r="L173" i="1"/>
  <c r="AH169" i="1"/>
  <c r="W168" i="1"/>
  <c r="L167" i="1"/>
  <c r="AH163" i="1"/>
  <c r="W162" i="1"/>
  <c r="L161" i="1"/>
  <c r="AH157" i="1"/>
  <c r="W156" i="1"/>
  <c r="L155" i="1"/>
  <c r="AH151" i="1"/>
  <c r="W150" i="1"/>
  <c r="L149" i="1"/>
  <c r="AH145" i="1"/>
  <c r="W144" i="1"/>
  <c r="L143" i="1"/>
  <c r="AH139" i="1"/>
  <c r="W138" i="1"/>
  <c r="L137" i="1"/>
  <c r="AH133" i="1"/>
  <c r="W132" i="1"/>
  <c r="L131" i="1"/>
  <c r="AH127" i="1"/>
  <c r="W126" i="1"/>
  <c r="L125" i="1"/>
  <c r="AH121" i="1"/>
  <c r="W120" i="1"/>
  <c r="L119" i="1"/>
  <c r="AH115" i="1"/>
  <c r="W114" i="1"/>
  <c r="L113" i="1"/>
  <c r="AH109" i="1"/>
  <c r="W108" i="1"/>
  <c r="L107" i="1"/>
  <c r="AH103" i="1"/>
  <c r="W102" i="1"/>
  <c r="L101" i="1"/>
  <c r="AH97" i="1"/>
  <c r="W96" i="1"/>
  <c r="L95" i="1"/>
  <c r="AH91" i="1"/>
  <c r="W90" i="1"/>
  <c r="L89" i="1"/>
  <c r="AH85" i="1"/>
  <c r="W84" i="1"/>
  <c r="L83" i="1"/>
  <c r="AH79" i="1"/>
  <c r="W78" i="1"/>
  <c r="L77" i="1"/>
  <c r="AH73" i="1"/>
  <c r="W72" i="1"/>
  <c r="L71" i="1"/>
  <c r="AH67" i="1"/>
  <c r="W66" i="1"/>
  <c r="L65" i="1"/>
  <c r="AH61" i="1"/>
  <c r="W60" i="1"/>
  <c r="L59" i="1"/>
  <c r="AH55" i="1"/>
  <c r="W54" i="1"/>
  <c r="L53" i="1"/>
  <c r="AH49" i="1"/>
  <c r="W48" i="1"/>
  <c r="L47" i="1"/>
  <c r="AH43" i="1"/>
  <c r="W42" i="1"/>
  <c r="L41" i="1"/>
  <c r="AH37" i="1"/>
  <c r="W36" i="1"/>
  <c r="L35" i="1"/>
  <c r="AH31" i="1"/>
  <c r="W30" i="1"/>
  <c r="L29" i="1"/>
  <c r="AH25" i="1"/>
  <c r="W24" i="1"/>
  <c r="L23" i="1"/>
  <c r="AH19" i="1"/>
  <c r="W18" i="1"/>
  <c r="L17" i="1"/>
  <c r="AH13" i="1"/>
  <c r="W12" i="1"/>
  <c r="L11" i="1"/>
  <c r="AH7" i="1"/>
  <c r="W6" i="1"/>
  <c r="L5" i="1"/>
  <c r="AH3230" i="1"/>
  <c r="M2907" i="1"/>
  <c r="G2792" i="1"/>
  <c r="W2703" i="1"/>
  <c r="AF2609" i="1"/>
  <c r="J2490" i="1"/>
  <c r="AI2374" i="1"/>
  <c r="G2314" i="1"/>
  <c r="AI2243" i="1"/>
  <c r="M2221" i="1"/>
  <c r="L2202" i="1"/>
  <c r="W2157" i="1"/>
  <c r="M2130" i="1"/>
  <c r="L2056" i="1"/>
  <c r="G2026" i="1"/>
  <c r="G1980" i="1"/>
  <c r="M1960" i="1"/>
  <c r="J1955" i="1"/>
  <c r="G1948" i="1"/>
  <c r="L1932" i="1"/>
  <c r="L1927" i="1"/>
  <c r="AI1921" i="1"/>
  <c r="J1917" i="1"/>
  <c r="AI1899" i="1"/>
  <c r="J1891" i="1"/>
  <c r="W1885" i="1"/>
  <c r="AF1880" i="1"/>
  <c r="AH1874" i="1"/>
  <c r="AI1869" i="1"/>
  <c r="AF1863" i="1"/>
  <c r="AI1859" i="1"/>
  <c r="M1849" i="1"/>
  <c r="M1844" i="1"/>
  <c r="M1838" i="1"/>
  <c r="W1827" i="1"/>
  <c r="J1823" i="1"/>
  <c r="L1802" i="1"/>
  <c r="AF1759" i="1"/>
  <c r="M1754" i="1"/>
  <c r="G1745" i="1"/>
  <c r="M1734" i="1"/>
  <c r="L1718" i="1"/>
  <c r="AI1703" i="1"/>
  <c r="L1698" i="1"/>
  <c r="G1693" i="1"/>
  <c r="M1686" i="1"/>
  <c r="J1682" i="1"/>
  <c r="M1677" i="1"/>
  <c r="G1650" i="1"/>
  <c r="AI1635" i="1"/>
  <c r="G1625" i="1"/>
  <c r="J1604" i="1"/>
  <c r="AF1599" i="1"/>
  <c r="W1593" i="1"/>
  <c r="AI1577" i="1"/>
  <c r="L1572" i="1"/>
  <c r="W1563" i="1"/>
  <c r="M1557" i="1"/>
  <c r="AH1552" i="1"/>
  <c r="AI1546" i="1"/>
  <c r="G1541" i="1"/>
  <c r="L1532" i="1"/>
  <c r="L1524" i="1"/>
  <c r="AI1511" i="1"/>
  <c r="M1507" i="1"/>
  <c r="J1487" i="1"/>
  <c r="M1483" i="1"/>
  <c r="AH1479" i="1"/>
  <c r="L1475" i="1"/>
  <c r="L1471" i="1"/>
  <c r="G1468" i="1"/>
  <c r="AF1448" i="1"/>
  <c r="W1444" i="1"/>
  <c r="G1433" i="1"/>
  <c r="M1425" i="1"/>
  <c r="AH1421" i="1"/>
  <c r="AF1394" i="1"/>
  <c r="W1390" i="1"/>
  <c r="G1379" i="1"/>
  <c r="M1371" i="1"/>
  <c r="AH1367" i="1"/>
  <c r="AF1340" i="1"/>
  <c r="W1336" i="1"/>
  <c r="G1325" i="1"/>
  <c r="M1317" i="1"/>
  <c r="AH1313" i="1"/>
  <c r="J1302" i="1"/>
  <c r="M1298" i="1"/>
  <c r="M1291" i="1"/>
  <c r="AF1287" i="1"/>
  <c r="AI1283" i="1"/>
  <c r="AF1280" i="1"/>
  <c r="J1273" i="1"/>
  <c r="G1270" i="1"/>
  <c r="J1266" i="1"/>
  <c r="M1262" i="1"/>
  <c r="M1255" i="1"/>
  <c r="AF1251" i="1"/>
  <c r="AI1247" i="1"/>
  <c r="AF1244" i="1"/>
  <c r="J1237" i="1"/>
  <c r="G1234" i="1"/>
  <c r="J1230" i="1"/>
  <c r="M1226" i="1"/>
  <c r="M1219" i="1"/>
  <c r="AF1215" i="1"/>
  <c r="AI1211" i="1"/>
  <c r="AF1208" i="1"/>
  <c r="W1201" i="1"/>
  <c r="AI1196" i="1"/>
  <c r="M1194" i="1"/>
  <c r="AI1189" i="1"/>
  <c r="J1187" i="1"/>
  <c r="AI1184" i="1"/>
  <c r="J1180" i="1"/>
  <c r="AI1177" i="1"/>
  <c r="M1173" i="1"/>
  <c r="J1168" i="1"/>
  <c r="L1166" i="1"/>
  <c r="M1161" i="1"/>
  <c r="L1159" i="1"/>
  <c r="M1154" i="1"/>
  <c r="AI1149" i="1"/>
  <c r="M1147" i="1"/>
  <c r="AI1142" i="1"/>
  <c r="M1140" i="1"/>
  <c r="AI1135" i="1"/>
  <c r="J1133" i="1"/>
  <c r="AI1130" i="1"/>
  <c r="AH1126" i="1"/>
  <c r="L1124" i="1"/>
  <c r="AH1119" i="1"/>
  <c r="W1117" i="1"/>
  <c r="J1115" i="1"/>
  <c r="AI1112" i="1"/>
  <c r="AH1108" i="1"/>
  <c r="L1106" i="1"/>
  <c r="AH1101" i="1"/>
  <c r="W1099" i="1"/>
  <c r="J1097" i="1"/>
  <c r="AI1094" i="1"/>
  <c r="AH1090" i="1"/>
  <c r="L1088" i="1"/>
  <c r="AH1083" i="1"/>
  <c r="W1081" i="1"/>
  <c r="J1079" i="1"/>
  <c r="AI1076" i="1"/>
  <c r="AH1072" i="1"/>
  <c r="L1070" i="1"/>
  <c r="AH1065" i="1"/>
  <c r="W1063" i="1"/>
  <c r="J1061" i="1"/>
  <c r="AI1058" i="1"/>
  <c r="AH1054" i="1"/>
  <c r="L1052" i="1"/>
  <c r="AH1047" i="1"/>
  <c r="W1045" i="1"/>
  <c r="J1043" i="1"/>
  <c r="AI1040" i="1"/>
  <c r="AH1036" i="1"/>
  <c r="L1034" i="1"/>
  <c r="AH1029" i="1"/>
  <c r="W1027" i="1"/>
  <c r="J1025" i="1"/>
  <c r="AI1022" i="1"/>
  <c r="AH1018" i="1"/>
  <c r="L1016" i="1"/>
  <c r="AH1011" i="1"/>
  <c r="W1009" i="1"/>
  <c r="J1007" i="1"/>
  <c r="AI1004" i="1"/>
  <c r="AH1000" i="1"/>
  <c r="L998" i="1"/>
  <c r="AH993" i="1"/>
  <c r="W991" i="1"/>
  <c r="J989" i="1"/>
  <c r="AI986" i="1"/>
  <c r="AH982" i="1"/>
  <c r="L980" i="1"/>
  <c r="AH975" i="1"/>
  <c r="W973" i="1"/>
  <c r="J971" i="1"/>
  <c r="AI968" i="1"/>
  <c r="AH964" i="1"/>
  <c r="L962" i="1"/>
  <c r="AH957" i="1"/>
  <c r="W955" i="1"/>
  <c r="J953" i="1"/>
  <c r="AI950" i="1"/>
  <c r="AH946" i="1"/>
  <c r="L944" i="1"/>
  <c r="AH939" i="1"/>
  <c r="W937" i="1"/>
  <c r="J935" i="1"/>
  <c r="AI932" i="1"/>
  <c r="AH928" i="1"/>
  <c r="L926" i="1"/>
  <c r="AH921" i="1"/>
  <c r="W919" i="1"/>
  <c r="J917" i="1"/>
  <c r="AI914" i="1"/>
  <c r="AH910" i="1"/>
  <c r="L908" i="1"/>
  <c r="AH903" i="1"/>
  <c r="W901" i="1"/>
  <c r="J899" i="1"/>
  <c r="AI896" i="1"/>
  <c r="AH892" i="1"/>
  <c r="L890" i="1"/>
  <c r="AH885" i="1"/>
  <c r="W883" i="1"/>
  <c r="J881" i="1"/>
  <c r="AI878" i="1"/>
  <c r="AH874" i="1"/>
  <c r="L872" i="1"/>
  <c r="AH867" i="1"/>
  <c r="W865" i="1"/>
  <c r="J863" i="1"/>
  <c r="AI860" i="1"/>
  <c r="AH856" i="1"/>
  <c r="L854" i="1"/>
  <c r="AH849" i="1"/>
  <c r="W847" i="1"/>
  <c r="J845" i="1"/>
  <c r="AI842" i="1"/>
  <c r="AH838" i="1"/>
  <c r="L836" i="1"/>
  <c r="AH831" i="1"/>
  <c r="W829" i="1"/>
  <c r="J827" i="1"/>
  <c r="AI824" i="1"/>
  <c r="AH820" i="1"/>
  <c r="L818" i="1"/>
  <c r="AH813" i="1"/>
  <c r="W811" i="1"/>
  <c r="J809" i="1"/>
  <c r="AI806" i="1"/>
  <c r="AH802" i="1"/>
  <c r="L800" i="1"/>
  <c r="AH795" i="1"/>
  <c r="W793" i="1"/>
  <c r="J791" i="1"/>
  <c r="AI788" i="1"/>
  <c r="AH784" i="1"/>
  <c r="L782" i="1"/>
  <c r="AH777" i="1"/>
  <c r="W775" i="1"/>
  <c r="J773" i="1"/>
  <c r="AI770" i="1"/>
  <c r="AH766" i="1"/>
  <c r="L764" i="1"/>
  <c r="AH759" i="1"/>
  <c r="W757" i="1"/>
  <c r="J755" i="1"/>
  <c r="AI752" i="1"/>
  <c r="AH748" i="1"/>
  <c r="L746" i="1"/>
  <c r="AH741" i="1"/>
  <c r="W739" i="1"/>
  <c r="J737" i="1"/>
  <c r="AI734" i="1"/>
  <c r="AH730" i="1"/>
  <c r="L728" i="1"/>
  <c r="AH723" i="1"/>
  <c r="W721" i="1"/>
  <c r="J719" i="1"/>
  <c r="AI716" i="1"/>
  <c r="AH712" i="1"/>
  <c r="L710" i="1"/>
  <c r="AH705" i="1"/>
  <c r="W703" i="1"/>
  <c r="J701" i="1"/>
  <c r="AI698" i="1"/>
  <c r="AH694" i="1"/>
  <c r="L692" i="1"/>
  <c r="AH687" i="1"/>
  <c r="W685" i="1"/>
  <c r="J683" i="1"/>
  <c r="AI680" i="1"/>
  <c r="AH676" i="1"/>
  <c r="L674" i="1"/>
  <c r="AH669" i="1"/>
  <c r="W667" i="1"/>
  <c r="J665" i="1"/>
  <c r="AI662" i="1"/>
  <c r="AH658" i="1"/>
  <c r="L656" i="1"/>
  <c r="AH651" i="1"/>
  <c r="W649" i="1"/>
  <c r="J647" i="1"/>
  <c r="AI644" i="1"/>
  <c r="AH640" i="1"/>
  <c r="L638" i="1"/>
  <c r="AH633" i="1"/>
  <c r="W631" i="1"/>
  <c r="J629" i="1"/>
  <c r="AI626" i="1"/>
  <c r="AH622" i="1"/>
  <c r="L620" i="1"/>
  <c r="AH615" i="1"/>
  <c r="W613" i="1"/>
  <c r="J611" i="1"/>
  <c r="AI608" i="1"/>
  <c r="AH604" i="1"/>
  <c r="L602" i="1"/>
  <c r="AH597" i="1"/>
  <c r="W595" i="1"/>
  <c r="J593" i="1"/>
  <c r="AI590" i="1"/>
  <c r="AH586" i="1"/>
  <c r="L584" i="1"/>
  <c r="AH579" i="1"/>
  <c r="W577" i="1"/>
  <c r="J575" i="1"/>
  <c r="AI572" i="1"/>
  <c r="AH568" i="1"/>
  <c r="L566" i="1"/>
  <c r="AH561" i="1"/>
  <c r="W559" i="1"/>
  <c r="J557" i="1"/>
  <c r="AI554" i="1"/>
  <c r="AH550" i="1"/>
  <c r="L548" i="1"/>
  <c r="AH543" i="1"/>
  <c r="W541" i="1"/>
  <c r="J539" i="1"/>
  <c r="AI536" i="1"/>
  <c r="AH532" i="1"/>
  <c r="L530" i="1"/>
  <c r="AH525" i="1"/>
  <c r="W523" i="1"/>
  <c r="J521" i="1"/>
  <c r="AI518" i="1"/>
  <c r="AH514" i="1"/>
  <c r="L512" i="1"/>
  <c r="AH507" i="1"/>
  <c r="W505" i="1"/>
  <c r="J503" i="1"/>
  <c r="AI500" i="1"/>
  <c r="AH496" i="1"/>
  <c r="L494" i="1"/>
  <c r="AH489" i="1"/>
  <c r="W487" i="1"/>
  <c r="J485" i="1"/>
  <c r="AI482" i="1"/>
  <c r="AH478" i="1"/>
  <c r="L476" i="1"/>
  <c r="AH471" i="1"/>
  <c r="W469" i="1"/>
  <c r="J467" i="1"/>
  <c r="AI464" i="1"/>
  <c r="AH460" i="1"/>
  <c r="L458" i="1"/>
  <c r="AH453" i="1"/>
  <c r="W451" i="1"/>
  <c r="J449" i="1"/>
  <c r="AI446" i="1"/>
  <c r="AH442" i="1"/>
  <c r="L440" i="1"/>
  <c r="AH435" i="1"/>
  <c r="W433" i="1"/>
  <c r="J431" i="1"/>
  <c r="AI428" i="1"/>
  <c r="AH424" i="1"/>
  <c r="L422" i="1"/>
  <c r="AH417" i="1"/>
  <c r="W415" i="1"/>
  <c r="J413" i="1"/>
  <c r="AI410" i="1"/>
  <c r="AI404" i="1"/>
  <c r="J401" i="1"/>
  <c r="W399" i="1"/>
  <c r="AF397" i="1"/>
  <c r="G394" i="1"/>
  <c r="L392" i="1"/>
  <c r="M390" i="1"/>
  <c r="AH388" i="1"/>
  <c r="AI386" i="1"/>
  <c r="J383" i="1"/>
  <c r="W381" i="1"/>
  <c r="AF379" i="1"/>
  <c r="G376" i="1"/>
  <c r="L374" i="1"/>
  <c r="M372" i="1"/>
  <c r="AH370" i="1"/>
  <c r="AI368" i="1"/>
  <c r="J365" i="1"/>
  <c r="W363" i="1"/>
  <c r="AF361" i="1"/>
  <c r="G358" i="1"/>
  <c r="L356" i="1"/>
  <c r="M354" i="1"/>
  <c r="AH352" i="1"/>
  <c r="AI350" i="1"/>
  <c r="J347" i="1"/>
  <c r="W345" i="1"/>
  <c r="AF343" i="1"/>
  <c r="G340" i="1"/>
  <c r="L338" i="1"/>
  <c r="AF336" i="1"/>
  <c r="W333" i="1"/>
  <c r="AI331" i="1"/>
  <c r="L330" i="1"/>
  <c r="AH328" i="1"/>
  <c r="G327" i="1"/>
  <c r="W325" i="1"/>
  <c r="G324" i="1"/>
  <c r="W322" i="1"/>
  <c r="G321" i="1"/>
  <c r="AF319" i="1"/>
  <c r="J318" i="1"/>
  <c r="AI316" i="1"/>
  <c r="L315" i="1"/>
  <c r="AI313" i="1"/>
  <c r="M312" i="1"/>
  <c r="G311" i="1"/>
  <c r="AF309" i="1"/>
  <c r="AF306" i="1"/>
  <c r="J305" i="1"/>
  <c r="AI303" i="1"/>
  <c r="M302" i="1"/>
  <c r="M299" i="1"/>
  <c r="G298" i="1"/>
  <c r="AF296" i="1"/>
  <c r="J295" i="1"/>
  <c r="AH293" i="1"/>
  <c r="J292" i="1"/>
  <c r="AI290" i="1"/>
  <c r="M289" i="1"/>
  <c r="G288" i="1"/>
  <c r="W286" i="1"/>
  <c r="G285" i="1"/>
  <c r="AF283" i="1"/>
  <c r="J282" i="1"/>
  <c r="AI280" i="1"/>
  <c r="L279" i="1"/>
  <c r="AI277" i="1"/>
  <c r="M276" i="1"/>
  <c r="G275" i="1"/>
  <c r="AF273" i="1"/>
  <c r="AF270" i="1"/>
  <c r="J269" i="1"/>
  <c r="G268" i="1"/>
  <c r="AI266" i="1"/>
  <c r="AF265" i="1"/>
  <c r="M264" i="1"/>
  <c r="J263" i="1"/>
  <c r="G262" i="1"/>
  <c r="AI260" i="1"/>
  <c r="AF259" i="1"/>
  <c r="M258" i="1"/>
  <c r="J257" i="1"/>
  <c r="G256" i="1"/>
  <c r="AI254" i="1"/>
  <c r="AF253" i="1"/>
  <c r="M252" i="1"/>
  <c r="J251" i="1"/>
  <c r="G250" i="1"/>
  <c r="AI248" i="1"/>
  <c r="AF247" i="1"/>
  <c r="M246" i="1"/>
  <c r="J245" i="1"/>
  <c r="G244" i="1"/>
  <c r="AI242" i="1"/>
  <c r="AF241" i="1"/>
  <c r="M240" i="1"/>
  <c r="J239" i="1"/>
  <c r="G238" i="1"/>
  <c r="AI236" i="1"/>
  <c r="AF235" i="1"/>
  <c r="M234" i="1"/>
  <c r="J233" i="1"/>
  <c r="G232" i="1"/>
  <c r="AI230" i="1"/>
  <c r="AF229" i="1"/>
  <c r="M228" i="1"/>
  <c r="J227" i="1"/>
  <c r="G226" i="1"/>
  <c r="AI224" i="1"/>
  <c r="AF223" i="1"/>
  <c r="M222" i="1"/>
  <c r="J221" i="1"/>
  <c r="G220" i="1"/>
  <c r="AI218" i="1"/>
  <c r="AF217" i="1"/>
  <c r="M216" i="1"/>
  <c r="J215" i="1"/>
  <c r="G214" i="1"/>
  <c r="AI212" i="1"/>
  <c r="AF211" i="1"/>
  <c r="M210" i="1"/>
  <c r="J209" i="1"/>
  <c r="G208" i="1"/>
  <c r="AI206" i="1"/>
  <c r="AF205" i="1"/>
  <c r="M204" i="1"/>
  <c r="J203" i="1"/>
  <c r="G202" i="1"/>
  <c r="AI200" i="1"/>
  <c r="AF199" i="1"/>
  <c r="M198" i="1"/>
  <c r="J197" i="1"/>
  <c r="G196" i="1"/>
  <c r="AI194" i="1"/>
  <c r="AF193" i="1"/>
  <c r="M192" i="1"/>
  <c r="J191" i="1"/>
  <c r="G190" i="1"/>
  <c r="AI188" i="1"/>
  <c r="AF187" i="1"/>
  <c r="M186" i="1"/>
  <c r="J185" i="1"/>
  <c r="G184" i="1"/>
  <c r="AI182" i="1"/>
  <c r="AF181" i="1"/>
  <c r="M180" i="1"/>
  <c r="J179" i="1"/>
  <c r="G178" i="1"/>
  <c r="AI176" i="1"/>
  <c r="AF175" i="1"/>
  <c r="M174" i="1"/>
  <c r="J173" i="1"/>
  <c r="G172" i="1"/>
  <c r="AI170" i="1"/>
  <c r="AF169" i="1"/>
  <c r="M168" i="1"/>
  <c r="J167" i="1"/>
  <c r="G166" i="1"/>
  <c r="AI164" i="1"/>
  <c r="AF163" i="1"/>
  <c r="M162" i="1"/>
  <c r="J161" i="1"/>
  <c r="G160" i="1"/>
  <c r="AI158" i="1"/>
  <c r="AF157" i="1"/>
  <c r="M156" i="1"/>
  <c r="J155" i="1"/>
  <c r="G154" i="1"/>
  <c r="AI152" i="1"/>
  <c r="AF151" i="1"/>
  <c r="M150" i="1"/>
  <c r="J149" i="1"/>
  <c r="G148" i="1"/>
  <c r="AI146" i="1"/>
  <c r="AF145" i="1"/>
  <c r="M144" i="1"/>
  <c r="J143" i="1"/>
  <c r="G142" i="1"/>
  <c r="AI140" i="1"/>
  <c r="AF139" i="1"/>
  <c r="M138" i="1"/>
  <c r="J137" i="1"/>
  <c r="G136" i="1"/>
  <c r="AI134" i="1"/>
  <c r="AF133" i="1"/>
  <c r="M132" i="1"/>
  <c r="J131" i="1"/>
  <c r="G130" i="1"/>
  <c r="AI128" i="1"/>
  <c r="AF127" i="1"/>
  <c r="M126" i="1"/>
  <c r="J125" i="1"/>
  <c r="G124" i="1"/>
  <c r="AI122" i="1"/>
  <c r="AF121" i="1"/>
  <c r="M120" i="1"/>
  <c r="J119" i="1"/>
  <c r="G118" i="1"/>
  <c r="AI116" i="1"/>
  <c r="AF115" i="1"/>
  <c r="M114" i="1"/>
  <c r="J113" i="1"/>
  <c r="G112" i="1"/>
  <c r="AI110" i="1"/>
  <c r="AF109" i="1"/>
  <c r="M108" i="1"/>
  <c r="J107" i="1"/>
  <c r="G106" i="1"/>
  <c r="AI104" i="1"/>
  <c r="AF103" i="1"/>
  <c r="M102" i="1"/>
  <c r="J101" i="1"/>
  <c r="G100" i="1"/>
  <c r="AI98" i="1"/>
  <c r="AF97" i="1"/>
  <c r="M96" i="1"/>
  <c r="J95" i="1"/>
  <c r="G94" i="1"/>
  <c r="AI92" i="1"/>
  <c r="AF91" i="1"/>
  <c r="M90" i="1"/>
  <c r="J89" i="1"/>
  <c r="G88" i="1"/>
  <c r="AI86" i="1"/>
  <c r="AF85" i="1"/>
  <c r="M84" i="1"/>
  <c r="J83" i="1"/>
  <c r="G82" i="1"/>
  <c r="AI80" i="1"/>
  <c r="AF79" i="1"/>
  <c r="M78" i="1"/>
  <c r="J77" i="1"/>
  <c r="G76" i="1"/>
  <c r="AI74" i="1"/>
  <c r="AF73" i="1"/>
  <c r="M72" i="1"/>
  <c r="J71" i="1"/>
  <c r="G70" i="1"/>
  <c r="AI68" i="1"/>
  <c r="AF67" i="1"/>
  <c r="J65" i="1"/>
  <c r="G64" i="1"/>
  <c r="AI62" i="1"/>
  <c r="AF61" i="1"/>
  <c r="M60" i="1"/>
  <c r="J59" i="1"/>
  <c r="G58" i="1"/>
  <c r="AF55" i="1"/>
  <c r="J53" i="1"/>
  <c r="AI50" i="1"/>
  <c r="J47" i="1"/>
  <c r="AF43" i="1"/>
  <c r="J41" i="1"/>
  <c r="AF37" i="1"/>
  <c r="J35" i="1"/>
  <c r="AI32" i="1"/>
  <c r="M30" i="1"/>
  <c r="G28" i="1"/>
  <c r="AF25" i="1"/>
  <c r="J23" i="1"/>
  <c r="AI20" i="1"/>
  <c r="J17" i="1"/>
  <c r="AI14" i="1"/>
  <c r="M12" i="1"/>
  <c r="G10" i="1"/>
  <c r="AF7" i="1"/>
  <c r="J5" i="1"/>
  <c r="AI2" i="1"/>
  <c r="AH8" i="1"/>
  <c r="AI27" i="1"/>
  <c r="J18" i="1"/>
  <c r="M13" i="1"/>
  <c r="G11" i="1"/>
  <c r="J6" i="1"/>
  <c r="AI3" i="1"/>
  <c r="AH3126" i="1"/>
  <c r="J2532" i="1"/>
  <c r="L2434" i="1"/>
  <c r="AI2423" i="1"/>
  <c r="AH2414" i="1"/>
  <c r="AI2342" i="1"/>
  <c r="J2322" i="1"/>
  <c r="J2221" i="1"/>
  <c r="J2174" i="1"/>
  <c r="AI2100" i="1"/>
  <c r="L2064" i="1"/>
  <c r="J2056" i="1"/>
  <c r="J2016" i="1"/>
  <c r="G2008" i="1"/>
  <c r="M1985" i="1"/>
  <c r="M1966" i="1"/>
  <c r="L1960" i="1"/>
  <c r="J1927" i="1"/>
  <c r="AH1921" i="1"/>
  <c r="G1917" i="1"/>
  <c r="AH1910" i="1"/>
  <c r="AI1905" i="1"/>
  <c r="AF1899" i="1"/>
  <c r="AI1895" i="1"/>
  <c r="M1885" i="1"/>
  <c r="M1880" i="1"/>
  <c r="M1874" i="1"/>
  <c r="W1863" i="1"/>
  <c r="J1859" i="1"/>
  <c r="L1838" i="1"/>
  <c r="AF1795" i="1"/>
  <c r="M1790" i="1"/>
  <c r="G1781" i="1"/>
  <c r="M1770" i="1"/>
  <c r="L1754" i="1"/>
  <c r="AI1739" i="1"/>
  <c r="L1734" i="1"/>
  <c r="G1729" i="1"/>
  <c r="M1722" i="1"/>
  <c r="J1718" i="1"/>
  <c r="M1713" i="1"/>
  <c r="G1686" i="1"/>
  <c r="AI1671" i="1"/>
  <c r="G1661" i="1"/>
  <c r="J1640" i="1"/>
  <c r="AF1635" i="1"/>
  <c r="W1629" i="1"/>
  <c r="AI1613" i="1"/>
  <c r="L1608" i="1"/>
  <c r="W1599" i="1"/>
  <c r="M1593" i="1"/>
  <c r="AH1588" i="1"/>
  <c r="AI1582" i="1"/>
  <c r="J1572" i="1"/>
  <c r="AF1567" i="1"/>
  <c r="AH1546" i="1"/>
  <c r="AI1536" i="1"/>
  <c r="AI1527" i="1"/>
  <c r="J1524" i="1"/>
  <c r="AI1519" i="1"/>
  <c r="J1515" i="1"/>
  <c r="AF1511" i="1"/>
  <c r="J1507" i="1"/>
  <c r="AH1502" i="1"/>
  <c r="AI1494" i="1"/>
  <c r="AF1490" i="1"/>
  <c r="G1487" i="1"/>
  <c r="L1483" i="1"/>
  <c r="J1475" i="1"/>
  <c r="AI1463" i="1"/>
  <c r="W1455" i="1"/>
  <c r="L1452" i="1"/>
  <c r="W1448" i="1"/>
  <c r="AH1436" i="1"/>
  <c r="L1425" i="1"/>
  <c r="G1421" i="1"/>
  <c r="M1417" i="1"/>
  <c r="AI1413" i="1"/>
  <c r="AI1409" i="1"/>
  <c r="W1401" i="1"/>
  <c r="L1398" i="1"/>
  <c r="W1394" i="1"/>
  <c r="AH1382" i="1"/>
  <c r="L1371" i="1"/>
  <c r="G1367" i="1"/>
  <c r="M1363" i="1"/>
  <c r="AI1359" i="1"/>
  <c r="AI1355" i="1"/>
  <c r="W1347" i="1"/>
  <c r="L1344" i="1"/>
  <c r="W1340" i="1"/>
  <c r="AH1328" i="1"/>
  <c r="L1317" i="1"/>
  <c r="G1313" i="1"/>
  <c r="M1309" i="1"/>
  <c r="AI1305" i="1"/>
  <c r="G1302" i="1"/>
  <c r="L1298" i="1"/>
  <c r="AF1294" i="1"/>
  <c r="J1291" i="1"/>
  <c r="M1287" i="1"/>
  <c r="J1283" i="1"/>
  <c r="AI1276" i="1"/>
  <c r="G1266" i="1"/>
  <c r="L1262" i="1"/>
  <c r="AF1258" i="1"/>
  <c r="J1255" i="1"/>
  <c r="M1251" i="1"/>
  <c r="J1247" i="1"/>
  <c r="AI1240" i="1"/>
  <c r="G1230" i="1"/>
  <c r="L1226" i="1"/>
  <c r="AF1222" i="1"/>
  <c r="J1219" i="1"/>
  <c r="M1215" i="1"/>
  <c r="J1211" i="1"/>
  <c r="AI1204" i="1"/>
  <c r="J1201" i="1"/>
  <c r="AI1198" i="1"/>
  <c r="AH1196" i="1"/>
  <c r="J1194" i="1"/>
  <c r="AI1191" i="1"/>
  <c r="AH1189" i="1"/>
  <c r="AH1184" i="1"/>
  <c r="J1182" i="1"/>
  <c r="AH1177" i="1"/>
  <c r="J1175" i="1"/>
  <c r="J1173" i="1"/>
  <c r="AF1170" i="1"/>
  <c r="J1166" i="1"/>
  <c r="AI1163" i="1"/>
  <c r="J1161" i="1"/>
  <c r="AI1156" i="1"/>
  <c r="L1154" i="1"/>
  <c r="AI1151" i="1"/>
  <c r="AH1149" i="1"/>
  <c r="L1147" i="1"/>
  <c r="AI1144" i="1"/>
  <c r="AH1142" i="1"/>
  <c r="J1140" i="1"/>
  <c r="AI1137" i="1"/>
  <c r="AH1135" i="1"/>
  <c r="AH1130" i="1"/>
  <c r="W1128" i="1"/>
  <c r="G1122" i="1"/>
  <c r="AF1119" i="1"/>
  <c r="L1117" i="1"/>
  <c r="AH1112" i="1"/>
  <c r="W1110" i="1"/>
  <c r="G1104" i="1"/>
  <c r="AF1101" i="1"/>
  <c r="L1099" i="1"/>
  <c r="AH1094" i="1"/>
  <c r="W1092" i="1"/>
  <c r="G1086" i="1"/>
  <c r="AF1083" i="1"/>
  <c r="L1081" i="1"/>
  <c r="AH1076" i="1"/>
  <c r="W1074" i="1"/>
  <c r="G1068" i="1"/>
  <c r="AF1065" i="1"/>
  <c r="L1063" i="1"/>
  <c r="AH1058" i="1"/>
  <c r="W1056" i="1"/>
  <c r="G1050" i="1"/>
  <c r="AF1047" i="1"/>
  <c r="L1045" i="1"/>
  <c r="AH1040" i="1"/>
  <c r="W1038" i="1"/>
  <c r="G1032" i="1"/>
  <c r="AF1029" i="1"/>
  <c r="L1027" i="1"/>
  <c r="AH1022" i="1"/>
  <c r="W1020" i="1"/>
  <c r="G1014" i="1"/>
  <c r="AF1011" i="1"/>
  <c r="L1009" i="1"/>
  <c r="AH1004" i="1"/>
  <c r="W1002" i="1"/>
  <c r="G996" i="1"/>
  <c r="AF993" i="1"/>
  <c r="L991" i="1"/>
  <c r="AH986" i="1"/>
  <c r="W984" i="1"/>
  <c r="G978" i="1"/>
  <c r="AF975" i="1"/>
  <c r="L973" i="1"/>
  <c r="AH968" i="1"/>
  <c r="W966" i="1"/>
  <c r="G960" i="1"/>
  <c r="AF957" i="1"/>
  <c r="L955" i="1"/>
  <c r="AH950" i="1"/>
  <c r="W948" i="1"/>
  <c r="G942" i="1"/>
  <c r="AF939" i="1"/>
  <c r="L937" i="1"/>
  <c r="AH932" i="1"/>
  <c r="W930" i="1"/>
  <c r="G924" i="1"/>
  <c r="AF921" i="1"/>
  <c r="L919" i="1"/>
  <c r="AH914" i="1"/>
  <c r="W912" i="1"/>
  <c r="G906" i="1"/>
  <c r="AF903" i="1"/>
  <c r="L901" i="1"/>
  <c r="AH896" i="1"/>
  <c r="W894" i="1"/>
  <c r="G888" i="1"/>
  <c r="AF885" i="1"/>
  <c r="L883" i="1"/>
  <c r="AH878" i="1"/>
  <c r="W876" i="1"/>
  <c r="G870" i="1"/>
  <c r="AF867" i="1"/>
  <c r="L865" i="1"/>
  <c r="AH860" i="1"/>
  <c r="W858" i="1"/>
  <c r="G852" i="1"/>
  <c r="AF849" i="1"/>
  <c r="L847" i="1"/>
  <c r="AH842" i="1"/>
  <c r="W840" i="1"/>
  <c r="G834" i="1"/>
  <c r="AF831" i="1"/>
  <c r="L829" i="1"/>
  <c r="AH824" i="1"/>
  <c r="W822" i="1"/>
  <c r="G816" i="1"/>
  <c r="AF813" i="1"/>
  <c r="L811" i="1"/>
  <c r="AH806" i="1"/>
  <c r="W804" i="1"/>
  <c r="G798" i="1"/>
  <c r="AF795" i="1"/>
  <c r="L793" i="1"/>
  <c r="AH788" i="1"/>
  <c r="W786" i="1"/>
  <c r="G780" i="1"/>
  <c r="AF777" i="1"/>
  <c r="L775" i="1"/>
  <c r="AH770" i="1"/>
  <c r="W768" i="1"/>
  <c r="G762" i="1"/>
  <c r="AF759" i="1"/>
  <c r="L757" i="1"/>
  <c r="AH752" i="1"/>
  <c r="W750" i="1"/>
  <c r="G744" i="1"/>
  <c r="AF741" i="1"/>
  <c r="L739" i="1"/>
  <c r="AH734" i="1"/>
  <c r="W732" i="1"/>
  <c r="G726" i="1"/>
  <c r="AF723" i="1"/>
  <c r="L721" i="1"/>
  <c r="AH716" i="1"/>
  <c r="W714" i="1"/>
  <c r="G708" i="1"/>
  <c r="AF705" i="1"/>
  <c r="L703" i="1"/>
  <c r="AH698" i="1"/>
  <c r="W696" i="1"/>
  <c r="G690" i="1"/>
  <c r="AF687" i="1"/>
  <c r="L685" i="1"/>
  <c r="AH680" i="1"/>
  <c r="W678" i="1"/>
  <c r="G672" i="1"/>
  <c r="AF669" i="1"/>
  <c r="L667" i="1"/>
  <c r="AH662" i="1"/>
  <c r="W660" i="1"/>
  <c r="G654" i="1"/>
  <c r="AF651" i="1"/>
  <c r="L649" i="1"/>
  <c r="AH644" i="1"/>
  <c r="W642" i="1"/>
  <c r="G636" i="1"/>
  <c r="AF633" i="1"/>
  <c r="L631" i="1"/>
  <c r="AH626" i="1"/>
  <c r="W624" i="1"/>
  <c r="G618" i="1"/>
  <c r="AF615" i="1"/>
  <c r="L613" i="1"/>
  <c r="AH608" i="1"/>
  <c r="W606" i="1"/>
  <c r="G600" i="1"/>
  <c r="AF597" i="1"/>
  <c r="L595" i="1"/>
  <c r="AH590" i="1"/>
  <c r="W588" i="1"/>
  <c r="G582" i="1"/>
  <c r="AF579" i="1"/>
  <c r="L577" i="1"/>
  <c r="AH572" i="1"/>
  <c r="W570" i="1"/>
  <c r="G564" i="1"/>
  <c r="AF561" i="1"/>
  <c r="L559" i="1"/>
  <c r="AH554" i="1"/>
  <c r="W552" i="1"/>
  <c r="G546" i="1"/>
  <c r="AF543" i="1"/>
  <c r="L541" i="1"/>
  <c r="AH536" i="1"/>
  <c r="W534" i="1"/>
  <c r="G528" i="1"/>
  <c r="AF525" i="1"/>
  <c r="L523" i="1"/>
  <c r="AH518" i="1"/>
  <c r="W516" i="1"/>
  <c r="G510" i="1"/>
  <c r="AF507" i="1"/>
  <c r="L505" i="1"/>
  <c r="AH500" i="1"/>
  <c r="W498" i="1"/>
  <c r="G492" i="1"/>
  <c r="AF489" i="1"/>
  <c r="L487" i="1"/>
  <c r="AH482" i="1"/>
  <c r="W480" i="1"/>
  <c r="G474" i="1"/>
  <c r="AF471" i="1"/>
  <c r="L469" i="1"/>
  <c r="AH464" i="1"/>
  <c r="W462" i="1"/>
  <c r="G456" i="1"/>
  <c r="AF453" i="1"/>
  <c r="L451" i="1"/>
  <c r="AH446" i="1"/>
  <c r="W444" i="1"/>
  <c r="G438" i="1"/>
  <c r="AF435" i="1"/>
  <c r="L433" i="1"/>
  <c r="AH428" i="1"/>
  <c r="W426" i="1"/>
  <c r="G420" i="1"/>
  <c r="AF417" i="1"/>
  <c r="L415" i="1"/>
  <c r="AH410" i="1"/>
  <c r="AI406" i="1"/>
  <c r="AH404" i="1"/>
  <c r="L399" i="1"/>
  <c r="W397" i="1"/>
  <c r="AH395" i="1"/>
  <c r="L390" i="1"/>
  <c r="W388" i="1"/>
  <c r="AH386" i="1"/>
  <c r="L381" i="1"/>
  <c r="W379" i="1"/>
  <c r="AH377" i="1"/>
  <c r="L372" i="1"/>
  <c r="W370" i="1"/>
  <c r="AH368" i="1"/>
  <c r="L363" i="1"/>
  <c r="W361" i="1"/>
  <c r="AH359" i="1"/>
  <c r="L354" i="1"/>
  <c r="W352" i="1"/>
  <c r="AH350" i="1"/>
  <c r="L345" i="1"/>
  <c r="W343" i="1"/>
  <c r="AH341" i="1"/>
  <c r="W336" i="1"/>
  <c r="L333" i="1"/>
  <c r="AH331" i="1"/>
  <c r="W328" i="1"/>
  <c r="L325" i="1"/>
  <c r="L322" i="1"/>
  <c r="W319" i="1"/>
  <c r="AH316" i="1"/>
  <c r="AH313" i="1"/>
  <c r="L312" i="1"/>
  <c r="W309" i="1"/>
  <c r="W306" i="1"/>
  <c r="AH303" i="1"/>
  <c r="L302" i="1"/>
  <c r="AH300" i="1"/>
  <c r="L299" i="1"/>
  <c r="W296" i="1"/>
  <c r="W293" i="1"/>
  <c r="AH290" i="1"/>
  <c r="L289" i="1"/>
  <c r="L286" i="1"/>
  <c r="W283" i="1"/>
  <c r="AH280" i="1"/>
  <c r="AH277" i="1"/>
  <c r="L276" i="1"/>
  <c r="W273" i="1"/>
  <c r="W270" i="1"/>
  <c r="AH266" i="1"/>
  <c r="W265" i="1"/>
  <c r="L264" i="1"/>
  <c r="AH260" i="1"/>
  <c r="W259" i="1"/>
  <c r="L258" i="1"/>
  <c r="AH254" i="1"/>
  <c r="W253" i="1"/>
  <c r="L252" i="1"/>
  <c r="AH248" i="1"/>
  <c r="W247" i="1"/>
  <c r="L246" i="1"/>
  <c r="AH242" i="1"/>
  <c r="W241" i="1"/>
  <c r="L240" i="1"/>
  <c r="AH236" i="1"/>
  <c r="W235" i="1"/>
  <c r="L234" i="1"/>
  <c r="AH230" i="1"/>
  <c r="W229" i="1"/>
  <c r="L228" i="1"/>
  <c r="AH224" i="1"/>
  <c r="W223" i="1"/>
  <c r="L222" i="1"/>
  <c r="AH218" i="1"/>
  <c r="W217" i="1"/>
  <c r="L216" i="1"/>
  <c r="AH212" i="1"/>
  <c r="W211" i="1"/>
  <c r="L210" i="1"/>
  <c r="AH206" i="1"/>
  <c r="W205" i="1"/>
  <c r="L204" i="1"/>
  <c r="AH200" i="1"/>
  <c r="W199" i="1"/>
  <c r="L198" i="1"/>
  <c r="AH194" i="1"/>
  <c r="W193" i="1"/>
  <c r="L192" i="1"/>
  <c r="AH188" i="1"/>
  <c r="W187" i="1"/>
  <c r="L186" i="1"/>
  <c r="AH182" i="1"/>
  <c r="W181" i="1"/>
  <c r="L180" i="1"/>
  <c r="AH176" i="1"/>
  <c r="W175" i="1"/>
  <c r="L174" i="1"/>
  <c r="AH170" i="1"/>
  <c r="W169" i="1"/>
  <c r="L168" i="1"/>
  <c r="AH164" i="1"/>
  <c r="W163" i="1"/>
  <c r="L162" i="1"/>
  <c r="AH158" i="1"/>
  <c r="W157" i="1"/>
  <c r="L156" i="1"/>
  <c r="AH152" i="1"/>
  <c r="W151" i="1"/>
  <c r="L150" i="1"/>
  <c r="AH146" i="1"/>
  <c r="W145" i="1"/>
  <c r="L144" i="1"/>
  <c r="AH140" i="1"/>
  <c r="W139" i="1"/>
  <c r="L138" i="1"/>
  <c r="AH134" i="1"/>
  <c r="W133" i="1"/>
  <c r="L132" i="1"/>
  <c r="AH128" i="1"/>
  <c r="W127" i="1"/>
  <c r="L126" i="1"/>
  <c r="AH122" i="1"/>
  <c r="W121" i="1"/>
  <c r="L120" i="1"/>
  <c r="AH116" i="1"/>
  <c r="W115" i="1"/>
  <c r="L114" i="1"/>
  <c r="AH110" i="1"/>
  <c r="W109" i="1"/>
  <c r="L108" i="1"/>
  <c r="AH104" i="1"/>
  <c r="W103" i="1"/>
  <c r="L102" i="1"/>
  <c r="AH98" i="1"/>
  <c r="W97" i="1"/>
  <c r="L96" i="1"/>
  <c r="AH92" i="1"/>
  <c r="W91" i="1"/>
  <c r="L90" i="1"/>
  <c r="AH86" i="1"/>
  <c r="W85" i="1"/>
  <c r="L84" i="1"/>
  <c r="AH80" i="1"/>
  <c r="W79" i="1"/>
  <c r="L78" i="1"/>
  <c r="AH74" i="1"/>
  <c r="W73" i="1"/>
  <c r="L72" i="1"/>
  <c r="AH68" i="1"/>
  <c r="W67" i="1"/>
  <c r="L66" i="1"/>
  <c r="AH62" i="1"/>
  <c r="W61" i="1"/>
  <c r="L60" i="1"/>
  <c r="AH56" i="1"/>
  <c r="W55" i="1"/>
  <c r="L54" i="1"/>
  <c r="AH50" i="1"/>
  <c r="W49" i="1"/>
  <c r="L48" i="1"/>
  <c r="AH44" i="1"/>
  <c r="W43" i="1"/>
  <c r="L42" i="1"/>
  <c r="AH38" i="1"/>
  <c r="W37" i="1"/>
  <c r="L36" i="1"/>
  <c r="AH32" i="1"/>
  <c r="W31" i="1"/>
  <c r="L30" i="1"/>
  <c r="AH26" i="1"/>
  <c r="W25" i="1"/>
  <c r="L24" i="1"/>
  <c r="AH20" i="1"/>
  <c r="W19" i="1"/>
  <c r="L18" i="1"/>
  <c r="AH14" i="1"/>
  <c r="W13" i="1"/>
  <c r="L6" i="1"/>
  <c r="AH2" i="1"/>
  <c r="G29" i="1"/>
  <c r="AF20" i="1"/>
  <c r="AF14" i="1"/>
  <c r="M7" i="1"/>
  <c r="J3078" i="1"/>
  <c r="AF2916" i="1"/>
  <c r="J2541" i="1"/>
  <c r="M2520" i="1"/>
  <c r="W2382" i="1"/>
  <c r="L2262" i="1"/>
  <c r="M2210" i="1"/>
  <c r="AI2182" i="1"/>
  <c r="W2137" i="1"/>
  <c r="AF2109" i="1"/>
  <c r="L2082" i="1"/>
  <c r="G2064" i="1"/>
  <c r="AI2038" i="1"/>
  <c r="M2031" i="1"/>
  <c r="J1999" i="1"/>
  <c r="L1985" i="1"/>
  <c r="M1971" i="1"/>
  <c r="AI1942" i="1"/>
  <c r="AF1931" i="1"/>
  <c r="AF1921" i="1"/>
  <c r="M1910" i="1"/>
  <c r="W1899" i="1"/>
  <c r="J1895" i="1"/>
  <c r="L1874" i="1"/>
  <c r="AF1831" i="1"/>
  <c r="M1826" i="1"/>
  <c r="G1817" i="1"/>
  <c r="M1806" i="1"/>
  <c r="L1790" i="1"/>
  <c r="AI1775" i="1"/>
  <c r="L1770" i="1"/>
  <c r="G1765" i="1"/>
  <c r="M1758" i="1"/>
  <c r="J1754" i="1"/>
  <c r="M1749" i="1"/>
  <c r="G1722" i="1"/>
  <c r="AI1707" i="1"/>
  <c r="G1697" i="1"/>
  <c r="J1676" i="1"/>
  <c r="AF1671" i="1"/>
  <c r="W1665" i="1"/>
  <c r="AI1649" i="1"/>
  <c r="L1644" i="1"/>
  <c r="W1635" i="1"/>
  <c r="M1629" i="1"/>
  <c r="AH1624" i="1"/>
  <c r="AI1618" i="1"/>
  <c r="J1608" i="1"/>
  <c r="AF1603" i="1"/>
  <c r="AH1582" i="1"/>
  <c r="G1572" i="1"/>
  <c r="M1567" i="1"/>
  <c r="AH1556" i="1"/>
  <c r="AI1540" i="1"/>
  <c r="AI1531" i="1"/>
  <c r="AH1527" i="1"/>
  <c r="AF1519" i="1"/>
  <c r="L1511" i="1"/>
  <c r="G1507" i="1"/>
  <c r="G1502" i="1"/>
  <c r="W1494" i="1"/>
  <c r="M1478" i="1"/>
  <c r="AH1470" i="1"/>
  <c r="AH1463" i="1"/>
  <c r="M1459" i="1"/>
  <c r="M1455" i="1"/>
  <c r="J1452" i="1"/>
  <c r="J1448" i="1"/>
  <c r="AI1443" i="1"/>
  <c r="AF1436" i="1"/>
  <c r="AH1432" i="1"/>
  <c r="L1428" i="1"/>
  <c r="L1417" i="1"/>
  <c r="AH1409" i="1"/>
  <c r="M1405" i="1"/>
  <c r="M1401" i="1"/>
  <c r="J1398" i="1"/>
  <c r="J1394" i="1"/>
  <c r="AI1389" i="1"/>
  <c r="AF1382" i="1"/>
  <c r="AH1378" i="1"/>
  <c r="L1374" i="1"/>
  <c r="L1363" i="1"/>
  <c r="AH1355" i="1"/>
  <c r="M1351" i="1"/>
  <c r="M1347" i="1"/>
  <c r="J1344" i="1"/>
  <c r="J1340" i="1"/>
  <c r="AI1335" i="1"/>
  <c r="AF1328" i="1"/>
  <c r="AH1324" i="1"/>
  <c r="L1320" i="1"/>
  <c r="L1309" i="1"/>
  <c r="G1294" i="1"/>
  <c r="G1283" i="1"/>
  <c r="W1279" i="1"/>
  <c r="AH1276" i="1"/>
  <c r="G1273" i="1"/>
  <c r="G1258" i="1"/>
  <c r="G1247" i="1"/>
  <c r="W1243" i="1"/>
  <c r="AH1240" i="1"/>
  <c r="G1237" i="1"/>
  <c r="G1222" i="1"/>
  <c r="G1211" i="1"/>
  <c r="W1207" i="1"/>
  <c r="AH1204" i="1"/>
  <c r="AH1198" i="1"/>
  <c r="AF1196" i="1"/>
  <c r="AH1191" i="1"/>
  <c r="G1187" i="1"/>
  <c r="AF1184" i="1"/>
  <c r="G1180" i="1"/>
  <c r="W1177" i="1"/>
  <c r="G1173" i="1"/>
  <c r="W1170" i="1"/>
  <c r="G1168" i="1"/>
  <c r="AF1163" i="1"/>
  <c r="G1161" i="1"/>
  <c r="AF1158" i="1"/>
  <c r="AH1156" i="1"/>
  <c r="J1154" i="1"/>
  <c r="AF1151" i="1"/>
  <c r="AF1149" i="1"/>
  <c r="AH1144" i="1"/>
  <c r="AF1142" i="1"/>
  <c r="AH1137" i="1"/>
  <c r="G1133" i="1"/>
  <c r="W1130" i="1"/>
  <c r="M1128" i="1"/>
  <c r="G1126" i="1"/>
  <c r="AH1123" i="1"/>
  <c r="W1119" i="1"/>
  <c r="J1117" i="1"/>
  <c r="W1112" i="1"/>
  <c r="M1110" i="1"/>
  <c r="G1108" i="1"/>
  <c r="AH1105" i="1"/>
  <c r="W1101" i="1"/>
  <c r="J1099" i="1"/>
  <c r="W1094" i="1"/>
  <c r="M1092" i="1"/>
  <c r="G1090" i="1"/>
  <c r="AH1087" i="1"/>
  <c r="W1083" i="1"/>
  <c r="J1081" i="1"/>
  <c r="W1076" i="1"/>
  <c r="M1074" i="1"/>
  <c r="G1072" i="1"/>
  <c r="AH1069" i="1"/>
  <c r="W1065" i="1"/>
  <c r="J1063" i="1"/>
  <c r="W1058" i="1"/>
  <c r="M1056" i="1"/>
  <c r="G1054" i="1"/>
  <c r="AH1051" i="1"/>
  <c r="W1047" i="1"/>
  <c r="J1045" i="1"/>
  <c r="W1040" i="1"/>
  <c r="M1038" i="1"/>
  <c r="G1036" i="1"/>
  <c r="AH1033" i="1"/>
  <c r="W1029" i="1"/>
  <c r="J1027" i="1"/>
  <c r="W1022" i="1"/>
  <c r="M1020" i="1"/>
  <c r="G1018" i="1"/>
  <c r="AH1015" i="1"/>
  <c r="W1011" i="1"/>
  <c r="J1009" i="1"/>
  <c r="W1004" i="1"/>
  <c r="M1002" i="1"/>
  <c r="G1000" i="1"/>
  <c r="AH997" i="1"/>
  <c r="W993" i="1"/>
  <c r="J991" i="1"/>
  <c r="W986" i="1"/>
  <c r="M984" i="1"/>
  <c r="G982" i="1"/>
  <c r="AH979" i="1"/>
  <c r="W975" i="1"/>
  <c r="J973" i="1"/>
  <c r="W968" i="1"/>
  <c r="M966" i="1"/>
  <c r="G964" i="1"/>
  <c r="AH961" i="1"/>
  <c r="W957" i="1"/>
  <c r="J955" i="1"/>
  <c r="W950" i="1"/>
  <c r="M948" i="1"/>
  <c r="G946" i="1"/>
  <c r="AH943" i="1"/>
  <c r="W939" i="1"/>
  <c r="J937" i="1"/>
  <c r="W932" i="1"/>
  <c r="M930" i="1"/>
  <c r="G928" i="1"/>
  <c r="AH925" i="1"/>
  <c r="W921" i="1"/>
  <c r="J919" i="1"/>
  <c r="W914" i="1"/>
  <c r="M912" i="1"/>
  <c r="G910" i="1"/>
  <c r="AH907" i="1"/>
  <c r="W903" i="1"/>
  <c r="J901" i="1"/>
  <c r="W896" i="1"/>
  <c r="M894" i="1"/>
  <c r="G892" i="1"/>
  <c r="AH889" i="1"/>
  <c r="W885" i="1"/>
  <c r="J883" i="1"/>
  <c r="W878" i="1"/>
  <c r="M876" i="1"/>
  <c r="G874" i="1"/>
  <c r="AH871" i="1"/>
  <c r="W867" i="1"/>
  <c r="J865" i="1"/>
  <c r="W860" i="1"/>
  <c r="M858" i="1"/>
  <c r="G856" i="1"/>
  <c r="AH853" i="1"/>
  <c r="W849" i="1"/>
  <c r="J847" i="1"/>
  <c r="W842" i="1"/>
  <c r="M840" i="1"/>
  <c r="G838" i="1"/>
  <c r="AH835" i="1"/>
  <c r="W831" i="1"/>
  <c r="J829" i="1"/>
  <c r="W824" i="1"/>
  <c r="M822" i="1"/>
  <c r="G820" i="1"/>
  <c r="AH817" i="1"/>
  <c r="W813" i="1"/>
  <c r="J811" i="1"/>
  <c r="W806" i="1"/>
  <c r="M804" i="1"/>
  <c r="G802" i="1"/>
  <c r="AH799" i="1"/>
  <c r="W795" i="1"/>
  <c r="J793" i="1"/>
  <c r="W788" i="1"/>
  <c r="M786" i="1"/>
  <c r="G784" i="1"/>
  <c r="AH781" i="1"/>
  <c r="W777" i="1"/>
  <c r="J775" i="1"/>
  <c r="W770" i="1"/>
  <c r="M768" i="1"/>
  <c r="G766" i="1"/>
  <c r="AH763" i="1"/>
  <c r="W759" i="1"/>
  <c r="J757" i="1"/>
  <c r="W752" i="1"/>
  <c r="M750" i="1"/>
  <c r="G748" i="1"/>
  <c r="AH745" i="1"/>
  <c r="W741" i="1"/>
  <c r="J739" i="1"/>
  <c r="W734" i="1"/>
  <c r="M732" i="1"/>
  <c r="G730" i="1"/>
  <c r="AH727" i="1"/>
  <c r="W723" i="1"/>
  <c r="J721" i="1"/>
  <c r="W716" i="1"/>
  <c r="M714" i="1"/>
  <c r="G712" i="1"/>
  <c r="AH709" i="1"/>
  <c r="W705" i="1"/>
  <c r="J703" i="1"/>
  <c r="W698" i="1"/>
  <c r="M696" i="1"/>
  <c r="G694" i="1"/>
  <c r="AH691" i="1"/>
  <c r="W687" i="1"/>
  <c r="J685" i="1"/>
  <c r="W680" i="1"/>
  <c r="M678" i="1"/>
  <c r="G676" i="1"/>
  <c r="AH673" i="1"/>
  <c r="W669" i="1"/>
  <c r="J667" i="1"/>
  <c r="W662" i="1"/>
  <c r="M660" i="1"/>
  <c r="G658" i="1"/>
  <c r="AH655" i="1"/>
  <c r="W651" i="1"/>
  <c r="J649" i="1"/>
  <c r="W644" i="1"/>
  <c r="M642" i="1"/>
  <c r="G640" i="1"/>
  <c r="AH637" i="1"/>
  <c r="W633" i="1"/>
  <c r="J631" i="1"/>
  <c r="W626" i="1"/>
  <c r="M624" i="1"/>
  <c r="G622" i="1"/>
  <c r="AH619" i="1"/>
  <c r="W615" i="1"/>
  <c r="J613" i="1"/>
  <c r="W608" i="1"/>
  <c r="M606" i="1"/>
  <c r="G604" i="1"/>
  <c r="AH601" i="1"/>
  <c r="W597" i="1"/>
  <c r="J595" i="1"/>
  <c r="W590" i="1"/>
  <c r="M588" i="1"/>
  <c r="G586" i="1"/>
  <c r="AH583" i="1"/>
  <c r="W579" i="1"/>
  <c r="J577" i="1"/>
  <c r="W572" i="1"/>
  <c r="M570" i="1"/>
  <c r="G568" i="1"/>
  <c r="AH565" i="1"/>
  <c r="W561" i="1"/>
  <c r="J559" i="1"/>
  <c r="W554" i="1"/>
  <c r="M552" i="1"/>
  <c r="G550" i="1"/>
  <c r="AH547" i="1"/>
  <c r="W543" i="1"/>
  <c r="J541" i="1"/>
  <c r="W536" i="1"/>
  <c r="M534" i="1"/>
  <c r="G532" i="1"/>
  <c r="AH529" i="1"/>
  <c r="W525" i="1"/>
  <c r="J523" i="1"/>
  <c r="W518" i="1"/>
  <c r="M516" i="1"/>
  <c r="G514" i="1"/>
  <c r="AH511" i="1"/>
  <c r="W507" i="1"/>
  <c r="J505" i="1"/>
  <c r="W500" i="1"/>
  <c r="M498" i="1"/>
  <c r="G496" i="1"/>
  <c r="AH493" i="1"/>
  <c r="W489" i="1"/>
  <c r="J487" i="1"/>
  <c r="W482" i="1"/>
  <c r="M480" i="1"/>
  <c r="G478" i="1"/>
  <c r="AH475" i="1"/>
  <c r="W471" i="1"/>
  <c r="J469" i="1"/>
  <c r="W464" i="1"/>
  <c r="M462" i="1"/>
  <c r="G460" i="1"/>
  <c r="AH457" i="1"/>
  <c r="W453" i="1"/>
  <c r="J451" i="1"/>
  <c r="W446" i="1"/>
  <c r="M444" i="1"/>
  <c r="G442" i="1"/>
  <c r="AH439" i="1"/>
  <c r="W435" i="1"/>
  <c r="J433" i="1"/>
  <c r="W428" i="1"/>
  <c r="M426" i="1"/>
  <c r="G424" i="1"/>
  <c r="AH421" i="1"/>
  <c r="W417" i="1"/>
  <c r="J415" i="1"/>
  <c r="W410" i="1"/>
  <c r="W408" i="1"/>
  <c r="AH406" i="1"/>
  <c r="W404" i="1"/>
  <c r="AH402" i="1"/>
  <c r="L397" i="1"/>
  <c r="W395" i="1"/>
  <c r="AH393" i="1"/>
  <c r="L388" i="1"/>
  <c r="W386" i="1"/>
  <c r="AH384" i="1"/>
  <c r="L379" i="1"/>
  <c r="W377" i="1"/>
  <c r="AH375" i="1"/>
  <c r="L370" i="1"/>
  <c r="W368" i="1"/>
  <c r="AH366" i="1"/>
  <c r="L361" i="1"/>
  <c r="W359" i="1"/>
  <c r="AH357" i="1"/>
  <c r="L352" i="1"/>
  <c r="W350" i="1"/>
  <c r="AH348" i="1"/>
  <c r="L343" i="1"/>
  <c r="W341" i="1"/>
  <c r="AH339" i="1"/>
  <c r="M336" i="1"/>
  <c r="AI334" i="1"/>
  <c r="AF331" i="1"/>
  <c r="G330" i="1"/>
  <c r="L328" i="1"/>
  <c r="AI326" i="1"/>
  <c r="J325" i="1"/>
  <c r="AH323" i="1"/>
  <c r="J322" i="1"/>
  <c r="AI320" i="1"/>
  <c r="M319" i="1"/>
  <c r="G318" i="1"/>
  <c r="W316" i="1"/>
  <c r="G315" i="1"/>
  <c r="AF313" i="1"/>
  <c r="J312" i="1"/>
  <c r="AI310" i="1"/>
  <c r="L309" i="1"/>
  <c r="AI307" i="1"/>
  <c r="M306" i="1"/>
  <c r="G305" i="1"/>
  <c r="AF303" i="1"/>
  <c r="AF300" i="1"/>
  <c r="J299" i="1"/>
  <c r="AI297" i="1"/>
  <c r="M296" i="1"/>
  <c r="M293" i="1"/>
  <c r="G292" i="1"/>
  <c r="AF290" i="1"/>
  <c r="J289" i="1"/>
  <c r="AH287" i="1"/>
  <c r="J286" i="1"/>
  <c r="AI284" i="1"/>
  <c r="M283" i="1"/>
  <c r="G282" i="1"/>
  <c r="W280" i="1"/>
  <c r="G279" i="1"/>
  <c r="AF277" i="1"/>
  <c r="J276" i="1"/>
  <c r="AI274" i="1"/>
  <c r="L273" i="1"/>
  <c r="AI271" i="1"/>
  <c r="M270" i="1"/>
  <c r="G269" i="1"/>
  <c r="AI267" i="1"/>
  <c r="AF266" i="1"/>
  <c r="M265" i="1"/>
  <c r="J264" i="1"/>
  <c r="G263" i="1"/>
  <c r="AI261" i="1"/>
  <c r="AF260" i="1"/>
  <c r="M259" i="1"/>
  <c r="J258" i="1"/>
  <c r="G257" i="1"/>
  <c r="AI255" i="1"/>
  <c r="AF254" i="1"/>
  <c r="M253" i="1"/>
  <c r="J252" i="1"/>
  <c r="G251" i="1"/>
  <c r="AI249" i="1"/>
  <c r="AF248" i="1"/>
  <c r="M247" i="1"/>
  <c r="J246" i="1"/>
  <c r="G245" i="1"/>
  <c r="AI243" i="1"/>
  <c r="AF242" i="1"/>
  <c r="M241" i="1"/>
  <c r="J240" i="1"/>
  <c r="G239" i="1"/>
  <c r="AI237" i="1"/>
  <c r="AF236" i="1"/>
  <c r="M235" i="1"/>
  <c r="J234" i="1"/>
  <c r="G233" i="1"/>
  <c r="AI231" i="1"/>
  <c r="AF230" i="1"/>
  <c r="M229" i="1"/>
  <c r="J228" i="1"/>
  <c r="G227" i="1"/>
  <c r="AI225" i="1"/>
  <c r="AF224" i="1"/>
  <c r="M223" i="1"/>
  <c r="J222" i="1"/>
  <c r="G221" i="1"/>
  <c r="AI219" i="1"/>
  <c r="AF218" i="1"/>
  <c r="M217" i="1"/>
  <c r="J216" i="1"/>
  <c r="G215" i="1"/>
  <c r="AI213" i="1"/>
  <c r="AF212" i="1"/>
  <c r="M211" i="1"/>
  <c r="J210" i="1"/>
  <c r="G209" i="1"/>
  <c r="AI207" i="1"/>
  <c r="AF206" i="1"/>
  <c r="M205" i="1"/>
  <c r="J204" i="1"/>
  <c r="G203" i="1"/>
  <c r="AI201" i="1"/>
  <c r="AF200" i="1"/>
  <c r="M199" i="1"/>
  <c r="J198" i="1"/>
  <c r="G197" i="1"/>
  <c r="AI195" i="1"/>
  <c r="AF194" i="1"/>
  <c r="M193" i="1"/>
  <c r="J192" i="1"/>
  <c r="G191" i="1"/>
  <c r="AI189" i="1"/>
  <c r="AF188" i="1"/>
  <c r="M187" i="1"/>
  <c r="J186" i="1"/>
  <c r="G185" i="1"/>
  <c r="AI183" i="1"/>
  <c r="AF182" i="1"/>
  <c r="M181" i="1"/>
  <c r="J180" i="1"/>
  <c r="G179" i="1"/>
  <c r="AI177" i="1"/>
  <c r="AF176" i="1"/>
  <c r="M175" i="1"/>
  <c r="J174" i="1"/>
  <c r="G173" i="1"/>
  <c r="AI171" i="1"/>
  <c r="AF170" i="1"/>
  <c r="M169" i="1"/>
  <c r="J168" i="1"/>
  <c r="G167" i="1"/>
  <c r="AI165" i="1"/>
  <c r="AF164" i="1"/>
  <c r="M163" i="1"/>
  <c r="J162" i="1"/>
  <c r="G161" i="1"/>
  <c r="AI159" i="1"/>
  <c r="AF158" i="1"/>
  <c r="M157" i="1"/>
  <c r="J156" i="1"/>
  <c r="G155" i="1"/>
  <c r="AI153" i="1"/>
  <c r="AF152" i="1"/>
  <c r="M151" i="1"/>
  <c r="J150" i="1"/>
  <c r="G149" i="1"/>
  <c r="AI147" i="1"/>
  <c r="AF146" i="1"/>
  <c r="M145" i="1"/>
  <c r="J144" i="1"/>
  <c r="G143" i="1"/>
  <c r="AI141" i="1"/>
  <c r="AF140" i="1"/>
  <c r="M139" i="1"/>
  <c r="J138" i="1"/>
  <c r="G137" i="1"/>
  <c r="AI135" i="1"/>
  <c r="AF134" i="1"/>
  <c r="M133" i="1"/>
  <c r="J132" i="1"/>
  <c r="G131" i="1"/>
  <c r="AI129" i="1"/>
  <c r="AF128" i="1"/>
  <c r="M127" i="1"/>
  <c r="J126" i="1"/>
  <c r="G125" i="1"/>
  <c r="AI123" i="1"/>
  <c r="AF122" i="1"/>
  <c r="M121" i="1"/>
  <c r="J120" i="1"/>
  <c r="G119" i="1"/>
  <c r="AI117" i="1"/>
  <c r="AF116" i="1"/>
  <c r="M115" i="1"/>
  <c r="J114" i="1"/>
  <c r="G113" i="1"/>
  <c r="AI111" i="1"/>
  <c r="AF110" i="1"/>
  <c r="M109" i="1"/>
  <c r="J108" i="1"/>
  <c r="G107" i="1"/>
  <c r="AI105" i="1"/>
  <c r="AF104" i="1"/>
  <c r="M103" i="1"/>
  <c r="J102" i="1"/>
  <c r="G101" i="1"/>
  <c r="AI99" i="1"/>
  <c r="AF98" i="1"/>
  <c r="M97" i="1"/>
  <c r="J96" i="1"/>
  <c r="G95" i="1"/>
  <c r="AI93" i="1"/>
  <c r="AF92" i="1"/>
  <c r="M91" i="1"/>
  <c r="J90" i="1"/>
  <c r="G89" i="1"/>
  <c r="AI87" i="1"/>
  <c r="AF86" i="1"/>
  <c r="M85" i="1"/>
  <c r="J84" i="1"/>
  <c r="G83" i="1"/>
  <c r="AI81" i="1"/>
  <c r="AF80" i="1"/>
  <c r="M79" i="1"/>
  <c r="J78" i="1"/>
  <c r="G77" i="1"/>
  <c r="AI75" i="1"/>
  <c r="AF74" i="1"/>
  <c r="M73" i="1"/>
  <c r="J72" i="1"/>
  <c r="G71" i="1"/>
  <c r="AI69" i="1"/>
  <c r="AF68" i="1"/>
  <c r="M67" i="1"/>
  <c r="J66" i="1"/>
  <c r="G65" i="1"/>
  <c r="AI63" i="1"/>
  <c r="AF62" i="1"/>
  <c r="M61" i="1"/>
  <c r="J60" i="1"/>
  <c r="G59" i="1"/>
  <c r="AI57" i="1"/>
  <c r="AF56" i="1"/>
  <c r="M55" i="1"/>
  <c r="J54" i="1"/>
  <c r="G53" i="1"/>
  <c r="AI51" i="1"/>
  <c r="AF50" i="1"/>
  <c r="M49" i="1"/>
  <c r="J48" i="1"/>
  <c r="G47" i="1"/>
  <c r="AI45" i="1"/>
  <c r="AF44" i="1"/>
  <c r="M43" i="1"/>
  <c r="J42" i="1"/>
  <c r="G41" i="1"/>
  <c r="AI39" i="1"/>
  <c r="AF38" i="1"/>
  <c r="M37" i="1"/>
  <c r="J36" i="1"/>
  <c r="G35" i="1"/>
  <c r="AI33" i="1"/>
  <c r="AF32" i="1"/>
  <c r="M31" i="1"/>
  <c r="J30" i="1"/>
  <c r="M25" i="1"/>
  <c r="J24" i="1"/>
  <c r="G23" i="1"/>
  <c r="M19" i="1"/>
  <c r="AI15" i="1"/>
  <c r="J12" i="1"/>
  <c r="AI9" i="1"/>
  <c r="G5" i="1"/>
  <c r="J4512" i="1"/>
  <c r="G3451" i="1"/>
  <c r="AH2925" i="1"/>
  <c r="M2573" i="1"/>
  <c r="J2550" i="1"/>
  <c r="L2382" i="1"/>
  <c r="AI2361" i="1"/>
  <c r="AI2290" i="1"/>
  <c r="M2281" i="1"/>
  <c r="AH2182" i="1"/>
  <c r="AF2173" i="1"/>
  <c r="AF2164" i="1"/>
  <c r="M2145" i="1"/>
  <c r="J2082" i="1"/>
  <c r="G2046" i="1"/>
  <c r="AH2038" i="1"/>
  <c r="J2031" i="1"/>
  <c r="W1991" i="1"/>
  <c r="G1959" i="1"/>
  <c r="AF1942" i="1"/>
  <c r="AI1936" i="1"/>
  <c r="M1931" i="1"/>
  <c r="L1910" i="1"/>
  <c r="AF1867" i="1"/>
  <c r="M1862" i="1"/>
  <c r="G1853" i="1"/>
  <c r="M1842" i="1"/>
  <c r="L1826" i="1"/>
  <c r="AI1811" i="1"/>
  <c r="L1806" i="1"/>
  <c r="G1801" i="1"/>
  <c r="M1794" i="1"/>
  <c r="J1790" i="1"/>
  <c r="M1785" i="1"/>
  <c r="G1758" i="1"/>
  <c r="AI1743" i="1"/>
  <c r="G1733" i="1"/>
  <c r="J1712" i="1"/>
  <c r="AF1707" i="1"/>
  <c r="W1701" i="1"/>
  <c r="AI1685" i="1"/>
  <c r="L1680" i="1"/>
  <c r="W1671" i="1"/>
  <c r="M1665" i="1"/>
  <c r="AH1660" i="1"/>
  <c r="AI1654" i="1"/>
  <c r="J1644" i="1"/>
  <c r="AF1639" i="1"/>
  <c r="AH1618" i="1"/>
  <c r="G1608" i="1"/>
  <c r="M1603" i="1"/>
  <c r="AH1592" i="1"/>
  <c r="AI1575" i="1"/>
  <c r="J1567" i="1"/>
  <c r="W1561" i="1"/>
  <c r="AF1556" i="1"/>
  <c r="AH1550" i="1"/>
  <c r="AI1545" i="1"/>
  <c r="J1535" i="1"/>
  <c r="J1531" i="1"/>
  <c r="M1519" i="1"/>
  <c r="W1514" i="1"/>
  <c r="W1497" i="1"/>
  <c r="AI1489" i="1"/>
  <c r="L1478" i="1"/>
  <c r="G1474" i="1"/>
  <c r="AF1470" i="1"/>
  <c r="AI1466" i="1"/>
  <c r="L1459" i="1"/>
  <c r="L1455" i="1"/>
  <c r="W1443" i="1"/>
  <c r="AI1439" i="1"/>
  <c r="W1436" i="1"/>
  <c r="W1432" i="1"/>
  <c r="J1428" i="1"/>
  <c r="J1424" i="1"/>
  <c r="AH1420" i="1"/>
  <c r="AH1412" i="1"/>
  <c r="L1405" i="1"/>
  <c r="L1401" i="1"/>
  <c r="W1389" i="1"/>
  <c r="AI1385" i="1"/>
  <c r="W1382" i="1"/>
  <c r="W1378" i="1"/>
  <c r="J1374" i="1"/>
  <c r="J1370" i="1"/>
  <c r="AH1366" i="1"/>
  <c r="AH1358" i="1"/>
  <c r="L1351" i="1"/>
  <c r="L1347" i="1"/>
  <c r="W1335" i="1"/>
  <c r="AI1331" i="1"/>
  <c r="W1328" i="1"/>
  <c r="W1324" i="1"/>
  <c r="J1320" i="1"/>
  <c r="J1316" i="1"/>
  <c r="AH1312" i="1"/>
  <c r="AI1304" i="1"/>
  <c r="AF1297" i="1"/>
  <c r="J1290" i="1"/>
  <c r="AI1286" i="1"/>
  <c r="M1279" i="1"/>
  <c r="AF1276" i="1"/>
  <c r="AI1268" i="1"/>
  <c r="AF1261" i="1"/>
  <c r="J1254" i="1"/>
  <c r="AI1250" i="1"/>
  <c r="M1243" i="1"/>
  <c r="M2548" i="1"/>
  <c r="AH2474" i="1"/>
  <c r="L2388" i="1"/>
  <c r="AH2269" i="1"/>
  <c r="AF2180" i="1"/>
  <c r="AF2106" i="1"/>
  <c r="AH2096" i="1"/>
  <c r="J2022" i="1"/>
  <c r="AI2004" i="1"/>
  <c r="G1983" i="1"/>
  <c r="G1976" i="1"/>
  <c r="W1963" i="1"/>
  <c r="G1951" i="1"/>
  <c r="AI1940" i="1"/>
  <c r="AH1935" i="1"/>
  <c r="AF1924" i="1"/>
  <c r="W1914" i="1"/>
  <c r="G1909" i="1"/>
  <c r="M1902" i="1"/>
  <c r="J1898" i="1"/>
  <c r="M1893" i="1"/>
  <c r="G1866" i="1"/>
  <c r="AI1851" i="1"/>
  <c r="G1841" i="1"/>
  <c r="J1820" i="1"/>
  <c r="AF1815" i="1"/>
  <c r="W1809" i="1"/>
  <c r="AI1793" i="1"/>
  <c r="L1788" i="1"/>
  <c r="W1779" i="1"/>
  <c r="M1773" i="1"/>
  <c r="AH1768" i="1"/>
  <c r="AI1762" i="1"/>
  <c r="J1752" i="1"/>
  <c r="AF1747" i="1"/>
  <c r="AH1726" i="1"/>
  <c r="G1716" i="1"/>
  <c r="M1711" i="1"/>
  <c r="AH1700" i="1"/>
  <c r="AI1683" i="1"/>
  <c r="J1675" i="1"/>
  <c r="W1669" i="1"/>
  <c r="AF1664" i="1"/>
  <c r="AH1658" i="1"/>
  <c r="AI1653" i="1"/>
  <c r="AF1647" i="1"/>
  <c r="AI1643" i="1"/>
  <c r="M1633" i="1"/>
  <c r="M1628" i="1"/>
  <c r="M1622" i="1"/>
  <c r="W1611" i="1"/>
  <c r="J1607" i="1"/>
  <c r="L1586" i="1"/>
  <c r="J1543" i="1"/>
  <c r="W1539" i="1"/>
  <c r="AH1534" i="1"/>
  <c r="M1526" i="1"/>
  <c r="M1522" i="1"/>
  <c r="AI1509" i="1"/>
  <c r="M1501" i="1"/>
  <c r="AF1492" i="1"/>
  <c r="L1489" i="1"/>
  <c r="W1485" i="1"/>
  <c r="AH1477" i="1"/>
  <c r="G1473" i="1"/>
  <c r="L1469" i="1"/>
  <c r="L1466" i="1"/>
  <c r="AI1461" i="1"/>
  <c r="AF1454" i="1"/>
  <c r="AH1450" i="1"/>
  <c r="L1446" i="1"/>
  <c r="L1435" i="1"/>
  <c r="AH1427" i="1"/>
  <c r="M1423" i="1"/>
  <c r="M1419" i="1"/>
  <c r="J1416" i="1"/>
  <c r="J1412" i="1"/>
  <c r="AI1407" i="1"/>
  <c r="AF1400" i="1"/>
  <c r="AH1396" i="1"/>
  <c r="L1392" i="1"/>
  <c r="L1381" i="1"/>
  <c r="AH1373" i="1"/>
  <c r="M1369" i="1"/>
  <c r="M1365" i="1"/>
  <c r="J1362" i="1"/>
  <c r="J1358" i="1"/>
  <c r="AI1353" i="1"/>
  <c r="AF1346" i="1"/>
  <c r="AH1342" i="1"/>
  <c r="L1338" i="1"/>
  <c r="L1327" i="1"/>
  <c r="AH1319" i="1"/>
  <c r="M1315" i="1"/>
  <c r="M1311" i="1"/>
  <c r="J1308" i="1"/>
  <c r="L1304" i="1"/>
  <c r="AF1300" i="1"/>
  <c r="M1296" i="1"/>
  <c r="M1293" i="1"/>
  <c r="J1289" i="1"/>
  <c r="W1285" i="1"/>
  <c r="AF1281" i="1"/>
  <c r="J1272" i="1"/>
  <c r="L1268" i="1"/>
  <c r="AF1264" i="1"/>
  <c r="M1260" i="1"/>
  <c r="M1257" i="1"/>
  <c r="J1253" i="1"/>
  <c r="W1249" i="1"/>
  <c r="AF1245" i="1"/>
  <c r="J1236" i="1"/>
  <c r="L1232" i="1"/>
  <c r="AF1228" i="1"/>
  <c r="M1224" i="1"/>
  <c r="M1221" i="1"/>
  <c r="J1217" i="1"/>
  <c r="W1213" i="1"/>
  <c r="AF1209" i="1"/>
  <c r="M1203" i="1"/>
  <c r="J1200" i="1"/>
  <c r="G1198" i="1"/>
  <c r="W1195" i="1"/>
  <c r="G1191" i="1"/>
  <c r="W1188" i="1"/>
  <c r="G1186" i="1"/>
  <c r="AF1181" i="1"/>
  <c r="G1179" i="1"/>
  <c r="AF1176" i="1"/>
  <c r="AH1174" i="1"/>
  <c r="J1172" i="1"/>
  <c r="AF1169" i="1"/>
  <c r="AF1167" i="1"/>
  <c r="AH1162" i="1"/>
  <c r="AF1160" i="1"/>
  <c r="AH1155" i="1"/>
  <c r="G1151" i="1"/>
  <c r="AF1148" i="1"/>
  <c r="G1144" i="1"/>
  <c r="W1141" i="1"/>
  <c r="G1137" i="1"/>
  <c r="W1134" i="1"/>
  <c r="G1132" i="1"/>
  <c r="AH1129" i="1"/>
  <c r="W1125" i="1"/>
  <c r="J1123" i="1"/>
  <c r="W1118" i="1"/>
  <c r="M1116" i="1"/>
  <c r="G1114" i="1"/>
  <c r="AH1111" i="1"/>
  <c r="W1107" i="1"/>
  <c r="J1105" i="1"/>
  <c r="W1100" i="1"/>
  <c r="M1098" i="1"/>
  <c r="G1096" i="1"/>
  <c r="AH1093" i="1"/>
  <c r="W1089" i="1"/>
  <c r="J1087" i="1"/>
  <c r="W1082" i="1"/>
  <c r="M1080" i="1"/>
  <c r="G1078" i="1"/>
  <c r="AH1075" i="1"/>
  <c r="W1071" i="1"/>
  <c r="J1069" i="1"/>
  <c r="W1064" i="1"/>
  <c r="M1062" i="1"/>
  <c r="G1060" i="1"/>
  <c r="AH1057" i="1"/>
  <c r="W1053" i="1"/>
  <c r="J1051" i="1"/>
  <c r="W1046" i="1"/>
  <c r="M1044" i="1"/>
  <c r="G1042" i="1"/>
  <c r="AH1039" i="1"/>
  <c r="W1035" i="1"/>
  <c r="J1033" i="1"/>
  <c r="W1028" i="1"/>
  <c r="M1026" i="1"/>
  <c r="G1024" i="1"/>
  <c r="AH1021" i="1"/>
  <c r="W1017" i="1"/>
  <c r="J1015" i="1"/>
  <c r="W1010" i="1"/>
  <c r="M1008" i="1"/>
  <c r="G1006" i="1"/>
  <c r="AH1003" i="1"/>
  <c r="W999" i="1"/>
  <c r="J997" i="1"/>
  <c r="W992" i="1"/>
  <c r="M990" i="1"/>
  <c r="G988" i="1"/>
  <c r="AH985" i="1"/>
  <c r="W981" i="1"/>
  <c r="J979" i="1"/>
  <c r="W974" i="1"/>
  <c r="M972" i="1"/>
  <c r="G970" i="1"/>
  <c r="AH967" i="1"/>
  <c r="W963" i="1"/>
  <c r="J961" i="1"/>
  <c r="W956" i="1"/>
  <c r="M954" i="1"/>
  <c r="G952" i="1"/>
  <c r="AH949" i="1"/>
  <c r="W945" i="1"/>
  <c r="J943" i="1"/>
  <c r="W938" i="1"/>
  <c r="M936" i="1"/>
  <c r="G934" i="1"/>
  <c r="AH931" i="1"/>
  <c r="W927" i="1"/>
  <c r="J925" i="1"/>
  <c r="W920" i="1"/>
  <c r="M918" i="1"/>
  <c r="G916" i="1"/>
  <c r="AH913" i="1"/>
  <c r="W909" i="1"/>
  <c r="J907" i="1"/>
  <c r="W902" i="1"/>
  <c r="M900" i="1"/>
  <c r="G898" i="1"/>
  <c r="AH895" i="1"/>
  <c r="W891" i="1"/>
  <c r="J889" i="1"/>
  <c r="W884" i="1"/>
  <c r="M882" i="1"/>
  <c r="G880" i="1"/>
  <c r="AH877" i="1"/>
  <c r="W873" i="1"/>
  <c r="J871" i="1"/>
  <c r="W866" i="1"/>
  <c r="M864" i="1"/>
  <c r="G862" i="1"/>
  <c r="AH859" i="1"/>
  <c r="W855" i="1"/>
  <c r="J853" i="1"/>
  <c r="W848" i="1"/>
  <c r="M846" i="1"/>
  <c r="G844" i="1"/>
  <c r="AH841" i="1"/>
  <c r="W837" i="1"/>
  <c r="J835" i="1"/>
  <c r="W830" i="1"/>
  <c r="M828" i="1"/>
  <c r="G826" i="1"/>
  <c r="AH823" i="1"/>
  <c r="W819" i="1"/>
  <c r="J817" i="1"/>
  <c r="W812" i="1"/>
  <c r="M810" i="1"/>
  <c r="G808" i="1"/>
  <c r="AH805" i="1"/>
  <c r="W801" i="1"/>
  <c r="J799" i="1"/>
  <c r="W794" i="1"/>
  <c r="M792" i="1"/>
  <c r="G790" i="1"/>
  <c r="AH787" i="1"/>
  <c r="W783" i="1"/>
  <c r="J781" i="1"/>
  <c r="W776" i="1"/>
  <c r="M774" i="1"/>
  <c r="G772" i="1"/>
  <c r="AH769" i="1"/>
  <c r="W765" i="1"/>
  <c r="J763" i="1"/>
  <c r="W758" i="1"/>
  <c r="M756" i="1"/>
  <c r="G754" i="1"/>
  <c r="AH751" i="1"/>
  <c r="W747" i="1"/>
  <c r="J745" i="1"/>
  <c r="W740" i="1"/>
  <c r="M738" i="1"/>
  <c r="G736" i="1"/>
  <c r="AH733" i="1"/>
  <c r="W729" i="1"/>
  <c r="J727" i="1"/>
  <c r="W722" i="1"/>
  <c r="M720" i="1"/>
  <c r="G718" i="1"/>
  <c r="AH715" i="1"/>
  <c r="W711" i="1"/>
  <c r="J709" i="1"/>
  <c r="W704" i="1"/>
  <c r="M702" i="1"/>
  <c r="G700" i="1"/>
  <c r="AH697" i="1"/>
  <c r="W693" i="1"/>
  <c r="J691" i="1"/>
  <c r="W686" i="1"/>
  <c r="M684" i="1"/>
  <c r="G682" i="1"/>
  <c r="AH679" i="1"/>
  <c r="W675" i="1"/>
  <c r="J673" i="1"/>
  <c r="W668" i="1"/>
  <c r="M666" i="1"/>
  <c r="G664" i="1"/>
  <c r="AH661" i="1"/>
  <c r="W657" i="1"/>
  <c r="J655" i="1"/>
  <c r="W650" i="1"/>
  <c r="M648" i="1"/>
  <c r="G646" i="1"/>
  <c r="AH643" i="1"/>
  <c r="W639" i="1"/>
  <c r="J637" i="1"/>
  <c r="W632" i="1"/>
  <c r="M630" i="1"/>
  <c r="G628" i="1"/>
  <c r="AH625" i="1"/>
  <c r="W621" i="1"/>
  <c r="J619" i="1"/>
  <c r="W614" i="1"/>
  <c r="M612" i="1"/>
  <c r="G610" i="1"/>
  <c r="AH607" i="1"/>
  <c r="W603" i="1"/>
  <c r="J601" i="1"/>
  <c r="W596" i="1"/>
  <c r="M594" i="1"/>
  <c r="G592" i="1"/>
  <c r="AH589" i="1"/>
  <c r="W585" i="1"/>
  <c r="J583" i="1"/>
  <c r="W578" i="1"/>
  <c r="M576" i="1"/>
  <c r="G574" i="1"/>
  <c r="AH571" i="1"/>
  <c r="W567" i="1"/>
  <c r="J565" i="1"/>
  <c r="W560" i="1"/>
  <c r="M558" i="1"/>
  <c r="G556" i="1"/>
  <c r="AH553" i="1"/>
  <c r="W549" i="1"/>
  <c r="J547" i="1"/>
  <c r="W542" i="1"/>
  <c r="M540" i="1"/>
  <c r="G538" i="1"/>
  <c r="AH535" i="1"/>
  <c r="W531" i="1"/>
  <c r="J529" i="1"/>
  <c r="W524" i="1"/>
  <c r="M522" i="1"/>
  <c r="G520" i="1"/>
  <c r="AH517" i="1"/>
  <c r="W513" i="1"/>
  <c r="J511" i="1"/>
  <c r="W506" i="1"/>
  <c r="M504" i="1"/>
  <c r="G502" i="1"/>
  <c r="AH499" i="1"/>
  <c r="W495" i="1"/>
  <c r="J493" i="1"/>
  <c r="W488" i="1"/>
  <c r="M486" i="1"/>
  <c r="G484" i="1"/>
  <c r="AH481" i="1"/>
  <c r="W477" i="1"/>
  <c r="J475" i="1"/>
  <c r="W470" i="1"/>
  <c r="M468" i="1"/>
  <c r="G466" i="1"/>
  <c r="AH463" i="1"/>
  <c r="W459" i="1"/>
  <c r="J457" i="1"/>
  <c r="W452" i="1"/>
  <c r="M450" i="1"/>
  <c r="G448" i="1"/>
  <c r="AH445" i="1"/>
  <c r="W441" i="1"/>
  <c r="J439" i="1"/>
  <c r="W434" i="1"/>
  <c r="M432" i="1"/>
  <c r="G430" i="1"/>
  <c r="AH427" i="1"/>
  <c r="W423" i="1"/>
  <c r="J421" i="1"/>
  <c r="W416" i="1"/>
  <c r="M414" i="1"/>
  <c r="G412" i="1"/>
  <c r="G408" i="1"/>
  <c r="L400" i="1"/>
  <c r="W398" i="1"/>
  <c r="AH396" i="1"/>
  <c r="L391" i="1"/>
  <c r="W389" i="1"/>
  <c r="AH387" i="1"/>
  <c r="L382" i="1"/>
  <c r="W380" i="1"/>
  <c r="AH378" i="1"/>
  <c r="L373" i="1"/>
  <c r="W371" i="1"/>
  <c r="AH369" i="1"/>
  <c r="L364" i="1"/>
  <c r="W362" i="1"/>
  <c r="AH360" i="1"/>
  <c r="L355" i="1"/>
  <c r="W353" i="1"/>
  <c r="AH351" i="1"/>
  <c r="L346" i="1"/>
  <c r="W344" i="1"/>
  <c r="AH342" i="1"/>
  <c r="W337" i="1"/>
  <c r="J334" i="1"/>
  <c r="AH332" i="1"/>
  <c r="M329" i="1"/>
  <c r="L326" i="1"/>
  <c r="AF324" i="1"/>
  <c r="J323" i="1"/>
  <c r="AI321" i="1"/>
  <c r="M320" i="1"/>
  <c r="M317" i="1"/>
  <c r="G316" i="1"/>
  <c r="AF314" i="1"/>
  <c r="J313" i="1"/>
  <c r="AH311" i="1"/>
  <c r="J310" i="1"/>
  <c r="AI308" i="1"/>
  <c r="M307" i="1"/>
  <c r="G306" i="1"/>
  <c r="W304" i="1"/>
  <c r="G303" i="1"/>
  <c r="AF301" i="1"/>
  <c r="J300" i="1"/>
  <c r="AI298" i="1"/>
  <c r="L297" i="1"/>
  <c r="AI295" i="1"/>
  <c r="M294" i="1"/>
  <c r="G293" i="1"/>
  <c r="AF291" i="1"/>
  <c r="AF288" i="1"/>
  <c r="J287" i="1"/>
  <c r="AI285" i="1"/>
  <c r="M284" i="1"/>
  <c r="M281" i="1"/>
  <c r="G280" i="1"/>
  <c r="AF278" i="1"/>
  <c r="J277" i="1"/>
  <c r="AH275" i="1"/>
  <c r="J274" i="1"/>
  <c r="AI272" i="1"/>
  <c r="M271" i="1"/>
  <c r="G270" i="1"/>
  <c r="AF268" i="1"/>
  <c r="M267" i="1"/>
  <c r="J266" i="1"/>
  <c r="G265" i="1"/>
  <c r="AI263" i="1"/>
  <c r="AF262" i="1"/>
  <c r="M261" i="1"/>
  <c r="J260" i="1"/>
  <c r="G259" i="1"/>
  <c r="AI257" i="1"/>
  <c r="AF256" i="1"/>
  <c r="M255" i="1"/>
  <c r="J254" i="1"/>
  <c r="G253" i="1"/>
  <c r="AI251" i="1"/>
  <c r="AF250" i="1"/>
  <c r="M249" i="1"/>
  <c r="J248" i="1"/>
  <c r="G247" i="1"/>
  <c r="AI245" i="1"/>
  <c r="AF244" i="1"/>
  <c r="M243" i="1"/>
  <c r="J242" i="1"/>
  <c r="G241" i="1"/>
  <c r="AI239" i="1"/>
  <c r="AF238" i="1"/>
  <c r="M237" i="1"/>
  <c r="J236" i="1"/>
  <c r="G235" i="1"/>
  <c r="AI233" i="1"/>
  <c r="AF232" i="1"/>
  <c r="M231" i="1"/>
  <c r="J230" i="1"/>
  <c r="G229" i="1"/>
  <c r="AI227" i="1"/>
  <c r="AF226" i="1"/>
  <c r="M225" i="1"/>
  <c r="J224" i="1"/>
  <c r="G223" i="1"/>
  <c r="AI221" i="1"/>
  <c r="AF220" i="1"/>
  <c r="M219" i="1"/>
  <c r="J218" i="1"/>
  <c r="G217" i="1"/>
  <c r="AI215" i="1"/>
  <c r="AF214" i="1"/>
  <c r="M213" i="1"/>
  <c r="J212" i="1"/>
  <c r="G211" i="1"/>
  <c r="AI209" i="1"/>
  <c r="AF208" i="1"/>
  <c r="M207" i="1"/>
  <c r="J206" i="1"/>
  <c r="G205" i="1"/>
  <c r="AI203" i="1"/>
  <c r="AF202" i="1"/>
  <c r="M201" i="1"/>
  <c r="J200" i="1"/>
  <c r="G199" i="1"/>
  <c r="AI197" i="1"/>
  <c r="AF196" i="1"/>
  <c r="M195" i="1"/>
  <c r="J194" i="1"/>
  <c r="G193" i="1"/>
  <c r="AI191" i="1"/>
  <c r="AF190" i="1"/>
  <c r="M189" i="1"/>
  <c r="J188" i="1"/>
  <c r="G187" i="1"/>
  <c r="AI185" i="1"/>
  <c r="AF184" i="1"/>
  <c r="M183" i="1"/>
  <c r="J182" i="1"/>
  <c r="G181" i="1"/>
  <c r="AI179" i="1"/>
  <c r="AF178" i="1"/>
  <c r="M177" i="1"/>
  <c r="J176" i="1"/>
  <c r="G175" i="1"/>
  <c r="AI173" i="1"/>
  <c r="AF172" i="1"/>
  <c r="M171" i="1"/>
  <c r="J170" i="1"/>
  <c r="G169" i="1"/>
  <c r="AI167" i="1"/>
  <c r="AF166" i="1"/>
  <c r="M165" i="1"/>
  <c r="J164" i="1"/>
  <c r="G163" i="1"/>
  <c r="AI161" i="1"/>
  <c r="AF160" i="1"/>
  <c r="M159" i="1"/>
  <c r="J158" i="1"/>
  <c r="G157" i="1"/>
  <c r="AI155" i="1"/>
  <c r="AF154" i="1"/>
  <c r="M153" i="1"/>
  <c r="J152" i="1"/>
  <c r="G151" i="1"/>
  <c r="AI149" i="1"/>
  <c r="AF148" i="1"/>
  <c r="M147" i="1"/>
  <c r="J146" i="1"/>
  <c r="G145" i="1"/>
  <c r="AI143" i="1"/>
  <c r="AF142" i="1"/>
  <c r="M141" i="1"/>
  <c r="J140" i="1"/>
  <c r="G139" i="1"/>
  <c r="AI137" i="1"/>
  <c r="AF136" i="1"/>
  <c r="M135" i="1"/>
  <c r="J134" i="1"/>
  <c r="G133" i="1"/>
  <c r="AI131" i="1"/>
  <c r="AF130" i="1"/>
  <c r="M129" i="1"/>
  <c r="J128" i="1"/>
  <c r="G127" i="1"/>
  <c r="AI125" i="1"/>
  <c r="AF124" i="1"/>
  <c r="M123" i="1"/>
  <c r="J122" i="1"/>
  <c r="G121" i="1"/>
  <c r="AI119" i="1"/>
  <c r="AF118" i="1"/>
  <c r="M117" i="1"/>
  <c r="J116" i="1"/>
  <c r="G115" i="1"/>
  <c r="AI113" i="1"/>
  <c r="AF112" i="1"/>
  <c r="M111" i="1"/>
  <c r="J110" i="1"/>
  <c r="G109" i="1"/>
  <c r="AI107" i="1"/>
  <c r="AF106" i="1"/>
  <c r="M105" i="1"/>
  <c r="J104" i="1"/>
  <c r="G103" i="1"/>
  <c r="AI101" i="1"/>
  <c r="AF100" i="1"/>
  <c r="M99" i="1"/>
  <c r="J98" i="1"/>
  <c r="G97" i="1"/>
  <c r="AI95" i="1"/>
  <c r="AF94" i="1"/>
  <c r="M93" i="1"/>
  <c r="J92" i="1"/>
  <c r="G91" i="1"/>
  <c r="AI89" i="1"/>
  <c r="AF88" i="1"/>
  <c r="M87" i="1"/>
  <c r="J86" i="1"/>
  <c r="G85" i="1"/>
  <c r="AI83" i="1"/>
  <c r="AF82" i="1"/>
  <c r="M81" i="1"/>
  <c r="J80" i="1"/>
  <c r="G79" i="1"/>
  <c r="AI77" i="1"/>
  <c r="AF76" i="1"/>
  <c r="M75" i="1"/>
  <c r="J74" i="1"/>
  <c r="G73" i="1"/>
  <c r="AI71" i="1"/>
  <c r="AF70" i="1"/>
  <c r="M69" i="1"/>
  <c r="J68" i="1"/>
  <c r="G67" i="1"/>
  <c r="AI65" i="1"/>
  <c r="AF64" i="1"/>
  <c r="M63" i="1"/>
  <c r="J62" i="1"/>
  <c r="G61" i="1"/>
  <c r="AI59" i="1"/>
  <c r="AF58" i="1"/>
  <c r="M57" i="1"/>
  <c r="J56" i="1"/>
  <c r="G55" i="1"/>
  <c r="AI53" i="1"/>
  <c r="AF52" i="1"/>
  <c r="M51" i="1"/>
  <c r="J50" i="1"/>
  <c r="G49" i="1"/>
  <c r="AI47" i="1"/>
  <c r="AF46" i="1"/>
  <c r="M45" i="1"/>
  <c r="J44" i="1"/>
  <c r="G43" i="1"/>
  <c r="AI41" i="1"/>
  <c r="AF40" i="1"/>
  <c r="M39" i="1"/>
  <c r="J38" i="1"/>
  <c r="G37" i="1"/>
  <c r="AI35" i="1"/>
  <c r="AF34" i="1"/>
  <c r="M33" i="1"/>
  <c r="J32" i="1"/>
  <c r="G31" i="1"/>
  <c r="AI29" i="1"/>
  <c r="AF28" i="1"/>
  <c r="M27" i="1"/>
  <c r="J26" i="1"/>
  <c r="G25" i="1"/>
  <c r="AI23" i="1"/>
  <c r="AF22" i="1"/>
  <c r="M21" i="1"/>
  <c r="J20" i="1"/>
  <c r="G19" i="1"/>
  <c r="AI17" i="1"/>
  <c r="AF16" i="1"/>
  <c r="M15" i="1"/>
  <c r="J14" i="1"/>
  <c r="G13" i="1"/>
  <c r="AI11" i="1"/>
  <c r="AF10" i="1"/>
  <c r="M9" i="1"/>
  <c r="J8" i="1"/>
  <c r="G7" i="1"/>
  <c r="AI5" i="1"/>
  <c r="AF4" i="1"/>
  <c r="M3" i="1"/>
  <c r="J2" i="1"/>
  <c r="J2602" i="1"/>
  <c r="J2281" i="1"/>
  <c r="AI2247" i="1"/>
  <c r="W1996" i="1"/>
  <c r="M1970" i="1"/>
  <c r="W1945" i="1"/>
  <c r="W1881" i="1"/>
  <c r="M1866" i="1"/>
  <c r="AF1851" i="1"/>
  <c r="AH1804" i="1"/>
  <c r="AI1779" i="1"/>
  <c r="AF1772" i="1"/>
  <c r="AF1755" i="1"/>
  <c r="M1741" i="1"/>
  <c r="AI1726" i="1"/>
  <c r="W1719" i="1"/>
  <c r="AH1690" i="1"/>
  <c r="AF1675" i="1"/>
  <c r="M1658" i="1"/>
  <c r="AF1611" i="1"/>
  <c r="L1529" i="1"/>
  <c r="J1497" i="1"/>
  <c r="G1492" i="1"/>
  <c r="AH1485" i="1"/>
  <c r="AF1480" i="1"/>
  <c r="AI1472" i="1"/>
  <c r="J1466" i="1"/>
  <c r="M1453" i="1"/>
  <c r="AH1439" i="1"/>
  <c r="W1419" i="1"/>
  <c r="AF1412" i="1"/>
  <c r="W1400" i="1"/>
  <c r="M1353" i="1"/>
  <c r="M1327" i="1"/>
  <c r="M3190" i="1"/>
  <c r="AF3167" i="1"/>
  <c r="J2043" i="1"/>
  <c r="M2014" i="1"/>
  <c r="W2003" i="1"/>
  <c r="AI1928" i="1"/>
  <c r="AF1903" i="1"/>
  <c r="L1896" i="1"/>
  <c r="AI1887" i="1"/>
  <c r="AI1865" i="1"/>
  <c r="L1842" i="1"/>
  <c r="AH1834" i="1"/>
  <c r="J1826" i="1"/>
  <c r="AF1819" i="1"/>
  <c r="J1747" i="1"/>
  <c r="AI1725" i="1"/>
  <c r="J1711" i="1"/>
  <c r="AI1689" i="1"/>
  <c r="J1680" i="1"/>
  <c r="M1626" i="1"/>
  <c r="M1610" i="1"/>
  <c r="AI1595" i="1"/>
  <c r="L1574" i="1"/>
  <c r="M1550" i="1"/>
  <c r="J1522" i="1"/>
  <c r="AI1508" i="1"/>
  <c r="W1496" i="1"/>
  <c r="M1399" i="1"/>
  <c r="AH1385" i="1"/>
  <c r="W1365" i="1"/>
  <c r="AF1358" i="1"/>
  <c r="W1346" i="1"/>
  <c r="AF1293" i="1"/>
  <c r="W1281" i="1"/>
  <c r="M1275" i="1"/>
  <c r="AF1257" i="1"/>
  <c r="W1245" i="1"/>
  <c r="AI1228" i="1"/>
  <c r="G1201" i="1"/>
  <c r="J1197" i="1"/>
  <c r="AF1188" i="1"/>
  <c r="L1184" i="1"/>
  <c r="AI1180" i="1"/>
  <c r="M1176" i="1"/>
  <c r="AI1167" i="1"/>
  <c r="AI1159" i="1"/>
  <c r="AI1155" i="1"/>
  <c r="M1151" i="1"/>
  <c r="J1148" i="1"/>
  <c r="J1139" i="1"/>
  <c r="G1135" i="1"/>
  <c r="L1127" i="1"/>
  <c r="W1123" i="1"/>
  <c r="L1112" i="1"/>
  <c r="AF1093" i="1"/>
  <c r="W1086" i="1"/>
  <c r="AH1082" i="1"/>
  <c r="AI1078" i="1"/>
  <c r="L1075" i="1"/>
  <c r="AF1071" i="1"/>
  <c r="L1067" i="1"/>
  <c r="L1064" i="1"/>
  <c r="L1056" i="1"/>
  <c r="AI1052" i="1"/>
  <c r="AH1041" i="1"/>
  <c r="G1038" i="1"/>
  <c r="AI1030" i="1"/>
  <c r="W1026" i="1"/>
  <c r="L1019" i="1"/>
  <c r="W1015" i="1"/>
  <c r="L1004" i="1"/>
  <c r="AF985" i="1"/>
  <c r="W978" i="1"/>
  <c r="AH974" i="1"/>
  <c r="AI970" i="1"/>
  <c r="L967" i="1"/>
  <c r="AF963" i="1"/>
  <c r="L959" i="1"/>
  <c r="L956" i="1"/>
  <c r="L948" i="1"/>
  <c r="AI944" i="1"/>
  <c r="AH933" i="1"/>
  <c r="G930" i="1"/>
  <c r="AI922" i="1"/>
  <c r="W918" i="1"/>
  <c r="L911" i="1"/>
  <c r="W907" i="1"/>
  <c r="L896" i="1"/>
  <c r="AF877" i="1"/>
  <c r="W870" i="1"/>
  <c r="AH866" i="1"/>
  <c r="AI862" i="1"/>
  <c r="L859" i="1"/>
  <c r="AF855" i="1"/>
  <c r="L851" i="1"/>
  <c r="L848" i="1"/>
  <c r="L840" i="1"/>
  <c r="AI836" i="1"/>
  <c r="AH825" i="1"/>
  <c r="G822" i="1"/>
  <c r="AI814" i="1"/>
  <c r="W810" i="1"/>
  <c r="L803" i="1"/>
  <c r="W799" i="1"/>
  <c r="L788" i="1"/>
  <c r="AF769" i="1"/>
  <c r="W762" i="1"/>
  <c r="AH758" i="1"/>
  <c r="AI754" i="1"/>
  <c r="L751" i="1"/>
  <c r="AF747" i="1"/>
  <c r="L743" i="1"/>
  <c r="L740" i="1"/>
  <c r="L732" i="1"/>
  <c r="AI728" i="1"/>
  <c r="AH717" i="1"/>
  <c r="G714" i="1"/>
  <c r="AI706" i="1"/>
  <c r="W702" i="1"/>
  <c r="L695" i="1"/>
  <c r="W691" i="1"/>
  <c r="L680" i="1"/>
  <c r="AF661" i="1"/>
  <c r="W654" i="1"/>
  <c r="AH650" i="1"/>
  <c r="AI646" i="1"/>
  <c r="L643" i="1"/>
  <c r="AF639" i="1"/>
  <c r="L635" i="1"/>
  <c r="L632" i="1"/>
  <c r="L624" i="1"/>
  <c r="AI620" i="1"/>
  <c r="AH609" i="1"/>
  <c r="G606" i="1"/>
  <c r="AI598" i="1"/>
  <c r="W594" i="1"/>
  <c r="L587" i="1"/>
  <c r="W583" i="1"/>
  <c r="L572" i="1"/>
  <c r="AF553" i="1"/>
  <c r="W546" i="1"/>
  <c r="AH542" i="1"/>
  <c r="AI538" i="1"/>
  <c r="L535" i="1"/>
  <c r="AF531" i="1"/>
  <c r="L527" i="1"/>
  <c r="L524" i="1"/>
  <c r="L516" i="1"/>
  <c r="AI512" i="1"/>
  <c r="AH501" i="1"/>
  <c r="G498" i="1"/>
  <c r="AI490" i="1"/>
  <c r="W486" i="1"/>
  <c r="L479" i="1"/>
  <c r="W475" i="1"/>
  <c r="L464" i="1"/>
  <c r="AF445" i="1"/>
  <c r="W438" i="1"/>
  <c r="AH434" i="1"/>
  <c r="AI430" i="1"/>
  <c r="L427" i="1"/>
  <c r="AF423" i="1"/>
  <c r="L419" i="1"/>
  <c r="L416" i="1"/>
  <c r="AH405" i="1"/>
  <c r="W402" i="1"/>
  <c r="M396" i="1"/>
  <c r="W393" i="1"/>
  <c r="G390" i="1"/>
  <c r="L387" i="1"/>
  <c r="L384" i="1"/>
  <c r="AI380" i="1"/>
  <c r="AH371" i="1"/>
  <c r="M368" i="1"/>
  <c r="M362" i="1"/>
  <c r="J359" i="1"/>
  <c r="AH356" i="1"/>
  <c r="J353" i="1"/>
  <c r="AI337" i="1"/>
  <c r="W335" i="1"/>
  <c r="W332" i="1"/>
  <c r="W329" i="1"/>
  <c r="L324" i="1"/>
  <c r="AF321" i="1"/>
  <c r="J316" i="1"/>
  <c r="W313" i="1"/>
  <c r="W308" i="1"/>
  <c r="M300" i="1"/>
  <c r="AH297" i="1"/>
  <c r="AI292" i="1"/>
  <c r="L287" i="1"/>
  <c r="AF284" i="1"/>
  <c r="AH279" i="1"/>
  <c r="W271" i="1"/>
  <c r="AI268" i="1"/>
  <c r="AH264" i="1"/>
  <c r="L262" i="1"/>
  <c r="AH257" i="1"/>
  <c r="W255" i="1"/>
  <c r="J253" i="1"/>
  <c r="AH3461" i="1"/>
  <c r="W3212" i="1"/>
  <c r="AF2116" i="1"/>
  <c r="M2094" i="1"/>
  <c r="W1968" i="1"/>
  <c r="AF1936" i="1"/>
  <c r="AH1928" i="1"/>
  <c r="M1920" i="1"/>
  <c r="AF1887" i="1"/>
  <c r="G1873" i="1"/>
  <c r="M1857" i="1"/>
  <c r="M1819" i="1"/>
  <c r="J1784" i="1"/>
  <c r="AI1761" i="1"/>
  <c r="AH1732" i="1"/>
  <c r="G1680" i="1"/>
  <c r="AI1647" i="1"/>
  <c r="W1633" i="1"/>
  <c r="AI1617" i="1"/>
  <c r="L1610" i="1"/>
  <c r="J1574" i="1"/>
  <c r="L1550" i="1"/>
  <c r="W1542" i="1"/>
  <c r="L1514" i="1"/>
  <c r="AH1508" i="1"/>
  <c r="AF1501" i="1"/>
  <c r="M1496" i="1"/>
  <c r="AI1484" i="1"/>
  <c r="W1470" i="1"/>
  <c r="AI1457" i="1"/>
  <c r="G1451" i="1"/>
  <c r="AH1438" i="1"/>
  <c r="AI1431" i="1"/>
  <c r="AH1418" i="1"/>
  <c r="AI1391" i="1"/>
  <c r="G1385" i="1"/>
  <c r="W1372" i="1"/>
  <c r="L1365" i="1"/>
  <c r="W1358" i="1"/>
  <c r="J1338" i="1"/>
  <c r="L1326" i="1"/>
  <c r="AI1319" i="1"/>
  <c r="AI1299" i="1"/>
  <c r="W1293" i="1"/>
  <c r="M1281" i="1"/>
  <c r="AI1263" i="1"/>
  <c r="W1257" i="1"/>
  <c r="M1245" i="1"/>
  <c r="M1239" i="1"/>
  <c r="AH1228" i="1"/>
  <c r="M1206" i="1"/>
  <c r="AI1192" i="1"/>
  <c r="M1188" i="1"/>
  <c r="J1184" i="1"/>
  <c r="J1176" i="1"/>
  <c r="AI1171" i="1"/>
  <c r="AH1167" i="1"/>
  <c r="M1163" i="1"/>
  <c r="AH1159" i="1"/>
  <c r="AF1155" i="1"/>
  <c r="J1151" i="1"/>
  <c r="M1143" i="1"/>
  <c r="G1139" i="1"/>
  <c r="M1130" i="1"/>
  <c r="J1127" i="1"/>
  <c r="L1123" i="1"/>
  <c r="G1116" i="1"/>
  <c r="AI1100" i="1"/>
  <c r="W1093" i="1"/>
  <c r="AH1089" i="1"/>
  <c r="M1082" i="1"/>
  <c r="AH1078" i="1"/>
  <c r="J1067" i="1"/>
  <c r="AH1052" i="1"/>
  <c r="AF1041" i="1"/>
  <c r="AF1033" i="1"/>
  <c r="AH1030" i="1"/>
  <c r="L1026" i="1"/>
  <c r="M1022" i="1"/>
  <c r="J1019" i="1"/>
  <c r="L1015" i="1"/>
  <c r="G1008" i="1"/>
  <c r="AI992" i="1"/>
  <c r="W985" i="1"/>
  <c r="AH981" i="1"/>
  <c r="M974" i="1"/>
  <c r="AH970" i="1"/>
  <c r="J959" i="1"/>
  <c r="AH944" i="1"/>
  <c r="AF933" i="1"/>
  <c r="AF925" i="1"/>
  <c r="AH922" i="1"/>
  <c r="L918" i="1"/>
  <c r="M914" i="1"/>
  <c r="J911" i="1"/>
  <c r="L907" i="1"/>
  <c r="G900" i="1"/>
  <c r="AI884" i="1"/>
  <c r="W877" i="1"/>
  <c r="AH873" i="1"/>
  <c r="M866" i="1"/>
  <c r="AH862" i="1"/>
  <c r="J851" i="1"/>
  <c r="AH836" i="1"/>
  <c r="AF825" i="1"/>
  <c r="AF817" i="1"/>
  <c r="AH814" i="1"/>
  <c r="L810" i="1"/>
  <c r="M806" i="1"/>
  <c r="J803" i="1"/>
  <c r="L799" i="1"/>
  <c r="G792" i="1"/>
  <c r="AI776" i="1"/>
  <c r="W769" i="1"/>
  <c r="AH765" i="1"/>
  <c r="M758" i="1"/>
  <c r="AH754" i="1"/>
  <c r="J743" i="1"/>
  <c r="AH728" i="1"/>
  <c r="AF717" i="1"/>
  <c r="AF709" i="1"/>
  <c r="AH706" i="1"/>
  <c r="L702" i="1"/>
  <c r="M698" i="1"/>
  <c r="J695" i="1"/>
  <c r="L691" i="1"/>
  <c r="G684" i="1"/>
  <c r="AI668" i="1"/>
  <c r="W661" i="1"/>
  <c r="AH657" i="1"/>
  <c r="M650" i="1"/>
  <c r="AH646" i="1"/>
  <c r="J635" i="1"/>
  <c r="AH620" i="1"/>
  <c r="AF609" i="1"/>
  <c r="AF601" i="1"/>
  <c r="AH598" i="1"/>
  <c r="L594" i="1"/>
  <c r="M590" i="1"/>
  <c r="J587" i="1"/>
  <c r="L583" i="1"/>
  <c r="G576" i="1"/>
  <c r="AI560" i="1"/>
  <c r="W553" i="1"/>
  <c r="AH549" i="1"/>
  <c r="M542" i="1"/>
  <c r="AH538" i="1"/>
  <c r="J527" i="1"/>
  <c r="AH512" i="1"/>
  <c r="AF501" i="1"/>
  <c r="AF493" i="1"/>
  <c r="AH490" i="1"/>
  <c r="L486" i="1"/>
  <c r="M482" i="1"/>
  <c r="J479" i="1"/>
  <c r="L475" i="1"/>
  <c r="G468" i="1"/>
  <c r="AI452" i="1"/>
  <c r="W445" i="1"/>
  <c r="AH441" i="1"/>
  <c r="M434" i="1"/>
  <c r="AH430" i="1"/>
  <c r="J419" i="1"/>
  <c r="M408" i="1"/>
  <c r="AF405" i="1"/>
  <c r="M402" i="1"/>
  <c r="L396" i="1"/>
  <c r="L393" i="1"/>
  <c r="G384" i="1"/>
  <c r="AH380" i="1"/>
  <c r="L377" i="1"/>
  <c r="AI374" i="1"/>
  <c r="L371" i="1"/>
  <c r="L368" i="1"/>
  <c r="AH365" i="1"/>
  <c r="L362" i="1"/>
  <c r="AI346" i="1"/>
  <c r="AI340" i="1"/>
  <c r="AH337" i="1"/>
  <c r="M335" i="1"/>
  <c r="M332" i="1"/>
  <c r="L329" i="1"/>
  <c r="AH326" i="1"/>
  <c r="W321" i="1"/>
  <c r="AH318" i="1"/>
  <c r="M313" i="1"/>
  <c r="AH310" i="1"/>
  <c r="AH305" i="1"/>
  <c r="L300" i="1"/>
  <c r="AF297" i="1"/>
  <c r="AH294" i="1"/>
  <c r="AH292" i="1"/>
  <c r="AI289" i="1"/>
  <c r="W284" i="1"/>
  <c r="AH281" i="1"/>
  <c r="AH276" i="1"/>
  <c r="G274" i="1"/>
  <c r="L271" i="1"/>
  <c r="AH268" i="1"/>
  <c r="W266" i="1"/>
  <c r="G260" i="1"/>
  <c r="AF257" i="1"/>
  <c r="L255" i="1"/>
  <c r="AH250" i="1"/>
  <c r="W248" i="1"/>
  <c r="G242" i="1"/>
  <c r="AF239" i="1"/>
  <c r="L237" i="1"/>
  <c r="AH232" i="1"/>
  <c r="W230" i="1"/>
  <c r="G224" i="1"/>
  <c r="AF221" i="1"/>
  <c r="L219" i="1"/>
  <c r="AH214" i="1"/>
  <c r="W212" i="1"/>
  <c r="G206" i="1"/>
  <c r="AF203" i="1"/>
  <c r="L201" i="1"/>
  <c r="AH196" i="1"/>
  <c r="W194" i="1"/>
  <c r="G188" i="1"/>
  <c r="AF185" i="1"/>
  <c r="L183" i="1"/>
  <c r="AH178" i="1"/>
  <c r="W176" i="1"/>
  <c r="G170" i="1"/>
  <c r="AF167" i="1"/>
  <c r="L165" i="1"/>
  <c r="AH160" i="1"/>
  <c r="W158" i="1"/>
  <c r="G152" i="1"/>
  <c r="AF149" i="1"/>
  <c r="L147" i="1"/>
  <c r="AH142" i="1"/>
  <c r="W140" i="1"/>
  <c r="G134" i="1"/>
  <c r="AF131" i="1"/>
  <c r="L129" i="1"/>
  <c r="AH124" i="1"/>
  <c r="W122" i="1"/>
  <c r="G116" i="1"/>
  <c r="AF113" i="1"/>
  <c r="L111" i="1"/>
  <c r="AH106" i="1"/>
  <c r="W104" i="1"/>
  <c r="G98" i="1"/>
  <c r="AF95" i="1"/>
  <c r="L93" i="1"/>
  <c r="AH88" i="1"/>
  <c r="W86" i="1"/>
  <c r="G80" i="1"/>
  <c r="AF77" i="1"/>
  <c r="L75" i="1"/>
  <c r="AH70" i="1"/>
  <c r="W68" i="1"/>
  <c r="G62" i="1"/>
  <c r="AF59" i="1"/>
  <c r="L57" i="1"/>
  <c r="AH52" i="1"/>
  <c r="W50" i="1"/>
  <c r="G44" i="1"/>
  <c r="AF41" i="1"/>
  <c r="L39" i="1"/>
  <c r="AH34" i="1"/>
  <c r="W32" i="1"/>
  <c r="W2740" i="1"/>
  <c r="J2287" i="1"/>
  <c r="AI2190" i="1"/>
  <c r="AI2168" i="1"/>
  <c r="L2136" i="1"/>
  <c r="M2062" i="1"/>
  <c r="AI2051" i="1"/>
  <c r="AI2042" i="1"/>
  <c r="M2022" i="1"/>
  <c r="G1984" i="1"/>
  <c r="AF1975" i="1"/>
  <c r="AH1950" i="1"/>
  <c r="AH1943" i="1"/>
  <c r="L1920" i="1"/>
  <c r="G1902" i="1"/>
  <c r="W1887" i="1"/>
  <c r="M1809" i="1"/>
  <c r="W1777" i="1"/>
  <c r="G1769" i="1"/>
  <c r="L1752" i="1"/>
  <c r="L1716" i="1"/>
  <c r="AH1694" i="1"/>
  <c r="AH1664" i="1"/>
  <c r="W1647" i="1"/>
  <c r="AH1586" i="1"/>
  <c r="AF1579" i="1"/>
  <c r="G1565" i="1"/>
  <c r="W1521" i="1"/>
  <c r="G1514" i="1"/>
  <c r="W1501" i="1"/>
  <c r="L1496" i="1"/>
  <c r="W1489" i="1"/>
  <c r="AH1484" i="1"/>
  <c r="AI1477" i="1"/>
  <c r="AH1457" i="1"/>
  <c r="M1443" i="1"/>
  <c r="M1345" i="1"/>
  <c r="AH1331" i="1"/>
  <c r="W1311" i="1"/>
  <c r="AH1304" i="1"/>
  <c r="AF1299" i="1"/>
  <c r="AI1274" i="1"/>
  <c r="AH1268" i="1"/>
  <c r="AF1263" i="1"/>
  <c r="G1217" i="1"/>
  <c r="L1200" i="1"/>
  <c r="M1179" i="1"/>
  <c r="AH1171" i="1"/>
  <c r="M1155" i="1"/>
  <c r="G1147" i="1"/>
  <c r="J1143" i="1"/>
  <c r="AF1134" i="1"/>
  <c r="L1130" i="1"/>
  <c r="AF1111" i="1"/>
  <c r="W1104" i="1"/>
  <c r="AH1100" i="1"/>
  <c r="AI1096" i="1"/>
  <c r="L1093" i="1"/>
  <c r="AF1089" i="1"/>
  <c r="L1085" i="1"/>
  <c r="L1082" i="1"/>
  <c r="L1074" i="1"/>
  <c r="AI1070" i="1"/>
  <c r="AH1059" i="1"/>
  <c r="G1056" i="1"/>
  <c r="AI1048" i="1"/>
  <c r="W1044" i="1"/>
  <c r="L1037" i="1"/>
  <c r="W1033" i="1"/>
  <c r="L1022" i="1"/>
  <c r="AF1003" i="1"/>
  <c r="W996" i="1"/>
  <c r="AH992" i="1"/>
  <c r="AI988" i="1"/>
  <c r="L985" i="1"/>
  <c r="AF981" i="1"/>
  <c r="L977" i="1"/>
  <c r="L974" i="1"/>
  <c r="L966" i="1"/>
  <c r="AI962" i="1"/>
  <c r="AH951" i="1"/>
  <c r="G948" i="1"/>
  <c r="AI940" i="1"/>
  <c r="W936" i="1"/>
  <c r="L929" i="1"/>
  <c r="W925" i="1"/>
  <c r="L914" i="1"/>
  <c r="AF895" i="1"/>
  <c r="W888" i="1"/>
  <c r="AH884" i="1"/>
  <c r="AI880" i="1"/>
  <c r="L877" i="1"/>
  <c r="AF873" i="1"/>
  <c r="L869" i="1"/>
  <c r="L866" i="1"/>
  <c r="L858" i="1"/>
  <c r="AI854" i="1"/>
  <c r="AH843" i="1"/>
  <c r="G840" i="1"/>
  <c r="AI832" i="1"/>
  <c r="W828" i="1"/>
  <c r="L821" i="1"/>
  <c r="W817" i="1"/>
  <c r="L806" i="1"/>
  <c r="AF787" i="1"/>
  <c r="W780" i="1"/>
  <c r="AH776" i="1"/>
  <c r="AI772" i="1"/>
  <c r="L769" i="1"/>
  <c r="AF765" i="1"/>
  <c r="L761" i="1"/>
  <c r="L758" i="1"/>
  <c r="L750" i="1"/>
  <c r="AI746" i="1"/>
  <c r="AH735" i="1"/>
  <c r="G732" i="1"/>
  <c r="AI724" i="1"/>
  <c r="W720" i="1"/>
  <c r="L713" i="1"/>
  <c r="W709" i="1"/>
  <c r="L698" i="1"/>
  <c r="AF679" i="1"/>
  <c r="W672" i="1"/>
  <c r="AH668" i="1"/>
  <c r="AI664" i="1"/>
  <c r="L661" i="1"/>
  <c r="AF657" i="1"/>
  <c r="L653" i="1"/>
  <c r="L650" i="1"/>
  <c r="L642" i="1"/>
  <c r="AI638" i="1"/>
  <c r="AH627" i="1"/>
  <c r="G624" i="1"/>
  <c r="AI616" i="1"/>
  <c r="W612" i="1"/>
  <c r="L605" i="1"/>
  <c r="W601" i="1"/>
  <c r="L590" i="1"/>
  <c r="AF571" i="1"/>
  <c r="W564" i="1"/>
  <c r="AH560" i="1"/>
  <c r="AI556" i="1"/>
  <c r="L553" i="1"/>
  <c r="AF549" i="1"/>
  <c r="L545" i="1"/>
  <c r="L542" i="1"/>
  <c r="L534" i="1"/>
  <c r="AI530" i="1"/>
  <c r="AH519" i="1"/>
  <c r="G516" i="1"/>
  <c r="AI508" i="1"/>
  <c r="W504" i="1"/>
  <c r="L497" i="1"/>
  <c r="W493" i="1"/>
  <c r="L482" i="1"/>
  <c r="AF463" i="1"/>
  <c r="W456" i="1"/>
  <c r="AH452" i="1"/>
  <c r="AI448" i="1"/>
  <c r="L445" i="1"/>
  <c r="AF441" i="1"/>
  <c r="L437" i="1"/>
  <c r="L434" i="1"/>
  <c r="L426" i="1"/>
  <c r="AI422" i="1"/>
  <c r="AH411" i="1"/>
  <c r="L408" i="1"/>
  <c r="W405" i="1"/>
  <c r="L402" i="1"/>
  <c r="AI398" i="1"/>
  <c r="AH389" i="1"/>
  <c r="M386" i="1"/>
  <c r="M380" i="1"/>
  <c r="J377" i="1"/>
  <c r="AH374" i="1"/>
  <c r="J371" i="1"/>
  <c r="AH355" i="1"/>
  <c r="AH349" i="1"/>
  <c r="AH346" i="1"/>
  <c r="J343" i="1"/>
  <c r="AH340" i="1"/>
  <c r="AF337" i="1"/>
  <c r="L332" i="1"/>
  <c r="J329" i="1"/>
  <c r="W326" i="1"/>
  <c r="W323" i="1"/>
  <c r="AF318" i="1"/>
  <c r="L313" i="1"/>
  <c r="W310" i="1"/>
  <c r="AH307" i="1"/>
  <c r="W305" i="1"/>
  <c r="AI302" i="1"/>
  <c r="W297" i="1"/>
  <c r="AF294" i="1"/>
  <c r="AH289" i="1"/>
  <c r="G287" i="1"/>
  <c r="L284" i="1"/>
  <c r="W281" i="1"/>
  <c r="AI278" i="1"/>
  <c r="J271" i="1"/>
  <c r="W268" i="1"/>
  <c r="M266" i="1"/>
  <c r="G264" i="1"/>
  <c r="AH261" i="1"/>
  <c r="W257" i="1"/>
  <c r="J255" i="1"/>
  <c r="W250" i="1"/>
  <c r="M248" i="1"/>
  <c r="G246" i="1"/>
  <c r="AH243" i="1"/>
  <c r="W239" i="1"/>
  <c r="J237" i="1"/>
  <c r="W232" i="1"/>
  <c r="M230" i="1"/>
  <c r="G228" i="1"/>
  <c r="AH225" i="1"/>
  <c r="W221" i="1"/>
  <c r="J219" i="1"/>
  <c r="W214" i="1"/>
  <c r="M212" i="1"/>
  <c r="G210" i="1"/>
  <c r="AH207" i="1"/>
  <c r="W203" i="1"/>
  <c r="J201" i="1"/>
  <c r="AH3554" i="1"/>
  <c r="J2773" i="1"/>
  <c r="AI2198" i="1"/>
  <c r="J2136" i="1"/>
  <c r="AH2051" i="1"/>
  <c r="G2031" i="1"/>
  <c r="W1975" i="1"/>
  <c r="W1950" i="1"/>
  <c r="M1878" i="1"/>
  <c r="J1856" i="1"/>
  <c r="AH1840" i="1"/>
  <c r="L1824" i="1"/>
  <c r="AI1791" i="1"/>
  <c r="AF1783" i="1"/>
  <c r="G1752" i="1"/>
  <c r="W1737" i="1"/>
  <c r="J1716" i="1"/>
  <c r="M1701" i="1"/>
  <c r="M1694" i="1"/>
  <c r="AI1679" i="1"/>
  <c r="M1664" i="1"/>
  <c r="M1639" i="1"/>
  <c r="G1601" i="1"/>
  <c r="M1586" i="1"/>
  <c r="M1556" i="1"/>
  <c r="AI1533" i="1"/>
  <c r="AH1526" i="1"/>
  <c r="M1489" i="1"/>
  <c r="J1469" i="1"/>
  <c r="W1462" i="1"/>
  <c r="G1457" i="1"/>
  <c r="W1450" i="1"/>
  <c r="L1443" i="1"/>
  <c r="W1437" i="1"/>
  <c r="AH1430" i="1"/>
  <c r="AI1403" i="1"/>
  <c r="G1397" i="1"/>
  <c r="AH1384" i="1"/>
  <c r="AI1377" i="1"/>
  <c r="AH1364" i="1"/>
  <c r="AI1337" i="1"/>
  <c r="G1331" i="1"/>
  <c r="W1318" i="1"/>
  <c r="L1311" i="1"/>
  <c r="AF1304" i="1"/>
  <c r="L1292" i="1"/>
  <c r="AF1285" i="1"/>
  <c r="AF1274" i="1"/>
  <c r="AF1268" i="1"/>
  <c r="L1256" i="1"/>
  <c r="AF1249" i="1"/>
  <c r="AI1238" i="1"/>
  <c r="AI1232" i="1"/>
  <c r="AI1227" i="1"/>
  <c r="AF1221" i="1"/>
  <c r="AI1210" i="1"/>
  <c r="AF1205" i="1"/>
  <c r="G1200" i="1"/>
  <c r="AI1195" i="1"/>
  <c r="AF1191" i="1"/>
  <c r="AI1187" i="1"/>
  <c r="W1183" i="1"/>
  <c r="J1179" i="1"/>
  <c r="G1175" i="1"/>
  <c r="AI1166" i="1"/>
  <c r="AI1162" i="1"/>
  <c r="W1158" i="1"/>
  <c r="J1155" i="1"/>
  <c r="AI1138" i="1"/>
  <c r="M1134" i="1"/>
  <c r="AI1118" i="1"/>
  <c r="W1111" i="1"/>
  <c r="AH1107" i="1"/>
  <c r="M1100" i="1"/>
  <c r="AH1096" i="1"/>
  <c r="J1085" i="1"/>
  <c r="AH1070" i="1"/>
  <c r="AF1059" i="1"/>
  <c r="AF1051" i="1"/>
  <c r="AH1048" i="1"/>
  <c r="L1044" i="1"/>
  <c r="M1040" i="1"/>
  <c r="J1037" i="1"/>
  <c r="L1033" i="1"/>
  <c r="G1026" i="1"/>
  <c r="AI1010" i="1"/>
  <c r="W1003" i="1"/>
  <c r="AH999" i="1"/>
  <c r="M992" i="1"/>
  <c r="AH988" i="1"/>
  <c r="J977" i="1"/>
  <c r="AH962" i="1"/>
  <c r="AF951" i="1"/>
  <c r="AF943" i="1"/>
  <c r="AH940" i="1"/>
  <c r="L936" i="1"/>
  <c r="M932" i="1"/>
  <c r="J929" i="1"/>
  <c r="L925" i="1"/>
  <c r="G918" i="1"/>
  <c r="AI902" i="1"/>
  <c r="W895" i="1"/>
  <c r="AH891" i="1"/>
  <c r="M884" i="1"/>
  <c r="AH880" i="1"/>
  <c r="J869" i="1"/>
  <c r="AH854" i="1"/>
  <c r="AF843" i="1"/>
  <c r="AF835" i="1"/>
  <c r="AH832" i="1"/>
  <c r="L828" i="1"/>
  <c r="M824" i="1"/>
  <c r="J821" i="1"/>
  <c r="L817" i="1"/>
  <c r="G810" i="1"/>
  <c r="AI794" i="1"/>
  <c r="W787" i="1"/>
  <c r="AH783" i="1"/>
  <c r="M776" i="1"/>
  <c r="AH772" i="1"/>
  <c r="J761" i="1"/>
  <c r="AH746" i="1"/>
  <c r="AF735" i="1"/>
  <c r="AF727" i="1"/>
  <c r="AH724" i="1"/>
  <c r="L720" i="1"/>
  <c r="M716" i="1"/>
  <c r="J713" i="1"/>
  <c r="L709" i="1"/>
  <c r="G702" i="1"/>
  <c r="AI686" i="1"/>
  <c r="W679" i="1"/>
  <c r="AH675" i="1"/>
  <c r="M668" i="1"/>
  <c r="AH664" i="1"/>
  <c r="J653" i="1"/>
  <c r="AH638" i="1"/>
  <c r="AF627" i="1"/>
  <c r="AF619" i="1"/>
  <c r="AH616" i="1"/>
  <c r="L612" i="1"/>
  <c r="M608" i="1"/>
  <c r="J605" i="1"/>
  <c r="L601" i="1"/>
  <c r="G594" i="1"/>
  <c r="AI578" i="1"/>
  <c r="W571" i="1"/>
  <c r="AH567" i="1"/>
  <c r="M560" i="1"/>
  <c r="AH556" i="1"/>
  <c r="J545" i="1"/>
  <c r="AH530" i="1"/>
  <c r="AF519" i="1"/>
  <c r="AF511" i="1"/>
  <c r="AH508" i="1"/>
  <c r="L504" i="1"/>
  <c r="M500" i="1"/>
  <c r="J497" i="1"/>
  <c r="L493" i="1"/>
  <c r="G486" i="1"/>
  <c r="AI470" i="1"/>
  <c r="W463" i="1"/>
  <c r="AH459" i="1"/>
  <c r="M452" i="1"/>
  <c r="AH448" i="1"/>
  <c r="J437" i="1"/>
  <c r="AH422" i="1"/>
  <c r="AF411" i="1"/>
  <c r="G402" i="1"/>
  <c r="AH398" i="1"/>
  <c r="L395" i="1"/>
  <c r="AI392" i="1"/>
  <c r="L389" i="1"/>
  <c r="L386" i="1"/>
  <c r="AH383" i="1"/>
  <c r="L380" i="1"/>
  <c r="AI364" i="1"/>
  <c r="AI358" i="1"/>
  <c r="AF355" i="1"/>
  <c r="AF349" i="1"/>
  <c r="W346" i="1"/>
  <c r="W340" i="1"/>
  <c r="L337" i="1"/>
  <c r="AH334" i="1"/>
  <c r="M326" i="1"/>
  <c r="M323" i="1"/>
  <c r="AH320" i="1"/>
  <c r="W318" i="1"/>
  <c r="AI315" i="1"/>
  <c r="L310" i="1"/>
  <c r="AF307" i="1"/>
  <c r="AH302" i="1"/>
  <c r="G300" i="1"/>
  <c r="W294" i="1"/>
  <c r="AI291" i="1"/>
  <c r="L281" i="1"/>
  <c r="AH278" i="1"/>
  <c r="G276" i="1"/>
  <c r="M268" i="1"/>
  <c r="L266" i="1"/>
  <c r="AF261" i="1"/>
  <c r="L259" i="1"/>
  <c r="AI252" i="1"/>
  <c r="M250" i="1"/>
  <c r="L248" i="1"/>
  <c r="AF243" i="1"/>
  <c r="L241" i="1"/>
  <c r="AI234" i="1"/>
  <c r="M232" i="1"/>
  <c r="L230" i="1"/>
  <c r="AF225" i="1"/>
  <c r="L223" i="1"/>
  <c r="AI216" i="1"/>
  <c r="M214" i="1"/>
  <c r="L212" i="1"/>
  <c r="AF207" i="1"/>
  <c r="L205" i="1"/>
  <c r="M2187" i="1"/>
  <c r="AH2122" i="1"/>
  <c r="AF2069" i="1"/>
  <c r="G1981" i="1"/>
  <c r="G1956" i="1"/>
  <c r="AI1924" i="1"/>
  <c r="G1877" i="1"/>
  <c r="G1830" i="1"/>
  <c r="AI1815" i="1"/>
  <c r="AH1798" i="1"/>
  <c r="AH1766" i="1"/>
  <c r="AI1757" i="1"/>
  <c r="W1743" i="1"/>
  <c r="AH1736" i="1"/>
  <c r="J1715" i="1"/>
  <c r="M1700" i="1"/>
  <c r="L1622" i="1"/>
  <c r="G1585" i="1"/>
  <c r="J1571" i="1"/>
  <c r="M1554" i="1"/>
  <c r="AH1539" i="1"/>
  <c r="J1525" i="1"/>
  <c r="AI1518" i="1"/>
  <c r="AF1512" i="1"/>
  <c r="AI1493" i="1"/>
  <c r="J1482" i="1"/>
  <c r="M1461" i="1"/>
  <c r="M1435" i="1"/>
  <c r="G1415" i="1"/>
  <c r="AF1376" i="1"/>
  <c r="L1369" i="1"/>
  <c r="L1362" i="1"/>
  <c r="AH1349" i="1"/>
  <c r="M1335" i="1"/>
  <c r="G1303" i="1"/>
  <c r="G1285" i="1"/>
  <c r="G1267" i="1"/>
  <c r="G1249" i="1"/>
  <c r="J1232" i="1"/>
  <c r="L1220" i="1"/>
  <c r="AI1214" i="1"/>
  <c r="M1209" i="1"/>
  <c r="AF1203" i="1"/>
  <c r="L1195" i="1"/>
  <c r="AH1178" i="1"/>
  <c r="AF1174" i="1"/>
  <c r="AI1169" i="1"/>
  <c r="W1165" i="1"/>
  <c r="G1158" i="1"/>
  <c r="AI1153" i="1"/>
  <c r="AH1141" i="1"/>
  <c r="M1137" i="1"/>
  <c r="L1129" i="1"/>
  <c r="AF1125" i="1"/>
  <c r="L1121" i="1"/>
  <c r="L1118" i="1"/>
  <c r="L1110" i="1"/>
  <c r="AI1106" i="1"/>
  <c r="AH1095" i="1"/>
  <c r="G1092" i="1"/>
  <c r="AI1084" i="1"/>
  <c r="W1080" i="1"/>
  <c r="L1073" i="1"/>
  <c r="W1069" i="1"/>
  <c r="L1058" i="1"/>
  <c r="AF1039" i="1"/>
  <c r="W1032" i="1"/>
  <c r="AH1028" i="1"/>
  <c r="AI1024" i="1"/>
  <c r="L1021" i="1"/>
  <c r="AF1017" i="1"/>
  <c r="L1013" i="1"/>
  <c r="L1010" i="1"/>
  <c r="L1002" i="1"/>
  <c r="AI998" i="1"/>
  <c r="AH987" i="1"/>
  <c r="G984" i="1"/>
  <c r="AI976" i="1"/>
  <c r="W972" i="1"/>
  <c r="L965" i="1"/>
  <c r="W961" i="1"/>
  <c r="L950" i="1"/>
  <c r="AF931" i="1"/>
  <c r="W924" i="1"/>
  <c r="AH920" i="1"/>
  <c r="AI916" i="1"/>
  <c r="L913" i="1"/>
  <c r="AF909" i="1"/>
  <c r="L905" i="1"/>
  <c r="L902" i="1"/>
  <c r="L894" i="1"/>
  <c r="AI890" i="1"/>
  <c r="AH879" i="1"/>
  <c r="G876" i="1"/>
  <c r="AI868" i="1"/>
  <c r="W864" i="1"/>
  <c r="L857" i="1"/>
  <c r="W853" i="1"/>
  <c r="L842" i="1"/>
  <c r="AF823" i="1"/>
  <c r="W816" i="1"/>
  <c r="AH812" i="1"/>
  <c r="AI808" i="1"/>
  <c r="L805" i="1"/>
  <c r="AF801" i="1"/>
  <c r="L797" i="1"/>
  <c r="L794" i="1"/>
  <c r="L786" i="1"/>
  <c r="AI782" i="1"/>
  <c r="AH771" i="1"/>
  <c r="G768" i="1"/>
  <c r="AI760" i="1"/>
  <c r="W756" i="1"/>
  <c r="L749" i="1"/>
  <c r="W745" i="1"/>
  <c r="L734" i="1"/>
  <c r="AF715" i="1"/>
  <c r="W708" i="1"/>
  <c r="AH704" i="1"/>
  <c r="AI700" i="1"/>
  <c r="L697" i="1"/>
  <c r="AF693" i="1"/>
  <c r="L689" i="1"/>
  <c r="L686" i="1"/>
  <c r="L678" i="1"/>
  <c r="AI674" i="1"/>
  <c r="AH663" i="1"/>
  <c r="G660" i="1"/>
  <c r="AI652" i="1"/>
  <c r="W648" i="1"/>
  <c r="L641" i="1"/>
  <c r="W637" i="1"/>
  <c r="L626" i="1"/>
  <c r="AF607" i="1"/>
  <c r="W600" i="1"/>
  <c r="AH596" i="1"/>
  <c r="AI592" i="1"/>
  <c r="L589" i="1"/>
  <c r="AF585" i="1"/>
  <c r="L581" i="1"/>
  <c r="L578" i="1"/>
  <c r="L570" i="1"/>
  <c r="AI566" i="1"/>
  <c r="AH555" i="1"/>
  <c r="G552" i="1"/>
  <c r="AI544" i="1"/>
  <c r="W540" i="1"/>
  <c r="L533" i="1"/>
  <c r="W529" i="1"/>
  <c r="L518" i="1"/>
  <c r="AF499" i="1"/>
  <c r="W492" i="1"/>
  <c r="AH488" i="1"/>
  <c r="AI484" i="1"/>
  <c r="L481" i="1"/>
  <c r="AF477" i="1"/>
  <c r="L473" i="1"/>
  <c r="L470" i="1"/>
  <c r="L462" i="1"/>
  <c r="AI458" i="1"/>
  <c r="AH447" i="1"/>
  <c r="G444" i="1"/>
  <c r="AI436" i="1"/>
  <c r="W432" i="1"/>
  <c r="L425" i="1"/>
  <c r="W421" i="1"/>
  <c r="L410" i="1"/>
  <c r="L407" i="1"/>
  <c r="AH391" i="1"/>
  <c r="AH385" i="1"/>
  <c r="AH382" i="1"/>
  <c r="J379" i="1"/>
  <c r="AH376" i="1"/>
  <c r="W373" i="1"/>
  <c r="G370" i="1"/>
  <c r="W367" i="1"/>
  <c r="AF351" i="1"/>
  <c r="W348" i="1"/>
  <c r="M342" i="1"/>
  <c r="W339" i="1"/>
  <c r="J331" i="1"/>
  <c r="AI325" i="1"/>
  <c r="G323" i="1"/>
  <c r="L320" i="1"/>
  <c r="W317" i="1"/>
  <c r="AI314" i="1"/>
  <c r="J307" i="1"/>
  <c r="L304" i="1"/>
  <c r="AH301" i="1"/>
  <c r="G299" i="1"/>
  <c r="L296" i="1"/>
  <c r="L291" i="1"/>
  <c r="W288" i="1"/>
  <c r="J283" i="1"/>
  <c r="L278" i="1"/>
  <c r="M275" i="1"/>
  <c r="AH272" i="1"/>
  <c r="J270" i="1"/>
  <c r="AH267" i="1"/>
  <c r="W263" i="1"/>
  <c r="J261" i="1"/>
  <c r="W256" i="1"/>
  <c r="M254" i="1"/>
  <c r="AF2925" i="1"/>
  <c r="AI2830" i="1"/>
  <c r="M2807" i="1"/>
  <c r="G1963" i="1"/>
  <c r="M1783" i="1"/>
  <c r="AF1736" i="1"/>
  <c r="AF1700" i="1"/>
  <c r="M1597" i="1"/>
  <c r="J1517" i="1"/>
  <c r="J1500" i="1"/>
  <c r="L1492" i="1"/>
  <c r="W1430" i="1"/>
  <c r="L1389" i="1"/>
  <c r="M1381" i="1"/>
  <c r="W1354" i="1"/>
  <c r="AF1322" i="1"/>
  <c r="M1274" i="1"/>
  <c r="J1243" i="1"/>
  <c r="G1231" i="1"/>
  <c r="J1224" i="1"/>
  <c r="W1209" i="1"/>
  <c r="AI1202" i="1"/>
  <c r="J1191" i="1"/>
  <c r="AH1185" i="1"/>
  <c r="AI1173" i="1"/>
  <c r="J1162" i="1"/>
  <c r="AF1156" i="1"/>
  <c r="W1122" i="1"/>
  <c r="M1112" i="1"/>
  <c r="AH1102" i="1"/>
  <c r="L1091" i="1"/>
  <c r="AI1064" i="1"/>
  <c r="L1038" i="1"/>
  <c r="AF1021" i="1"/>
  <c r="AH1016" i="1"/>
  <c r="J1001" i="1"/>
  <c r="L995" i="1"/>
  <c r="L990" i="1"/>
  <c r="AF969" i="1"/>
  <c r="AI958" i="1"/>
  <c r="W942" i="1"/>
  <c r="AH915" i="1"/>
  <c r="W889" i="1"/>
  <c r="L884" i="1"/>
  <c r="G858" i="1"/>
  <c r="AF841" i="1"/>
  <c r="AI830" i="1"/>
  <c r="J815" i="1"/>
  <c r="W798" i="1"/>
  <c r="M788" i="1"/>
  <c r="AH778" i="1"/>
  <c r="L767" i="1"/>
  <c r="AI740" i="1"/>
  <c r="L714" i="1"/>
  <c r="AF697" i="1"/>
  <c r="AH692" i="1"/>
  <c r="J677" i="1"/>
  <c r="L671" i="1"/>
  <c r="L666" i="1"/>
  <c r="AF645" i="1"/>
  <c r="AI634" i="1"/>
  <c r="W618" i="1"/>
  <c r="AH591" i="1"/>
  <c r="W565" i="1"/>
  <c r="L560" i="1"/>
  <c r="G534" i="1"/>
  <c r="AF517" i="1"/>
  <c r="AI506" i="1"/>
  <c r="J491" i="1"/>
  <c r="W474" i="1"/>
  <c r="M464" i="1"/>
  <c r="AH454" i="1"/>
  <c r="L443" i="1"/>
  <c r="AI416" i="1"/>
  <c r="W406" i="1"/>
  <c r="W375" i="1"/>
  <c r="L366" i="1"/>
  <c r="J361" i="1"/>
  <c r="AF357" i="1"/>
  <c r="L353" i="1"/>
  <c r="M348" i="1"/>
  <c r="M344" i="1"/>
  <c r="AF339" i="1"/>
  <c r="L331" i="1"/>
  <c r="W327" i="1"/>
  <c r="AH314" i="1"/>
  <c r="W303" i="1"/>
  <c r="AI279" i="1"/>
  <c r="L275" i="1"/>
  <c r="AF271" i="1"/>
  <c r="L267" i="1"/>
  <c r="G248" i="1"/>
  <c r="W242" i="1"/>
  <c r="G234" i="1"/>
  <c r="L231" i="1"/>
  <c r="AH228" i="1"/>
  <c r="W225" i="1"/>
  <c r="L220" i="1"/>
  <c r="L217" i="1"/>
  <c r="L214" i="1"/>
  <c r="L211" i="1"/>
  <c r="AH208" i="1"/>
  <c r="L206" i="1"/>
  <c r="M200" i="1"/>
  <c r="W195" i="1"/>
  <c r="W190" i="1"/>
  <c r="M188" i="1"/>
  <c r="W183" i="1"/>
  <c r="M178" i="1"/>
  <c r="AF173" i="1"/>
  <c r="L171" i="1"/>
  <c r="M166" i="1"/>
  <c r="AF161" i="1"/>
  <c r="J159" i="1"/>
  <c r="AI156" i="1"/>
  <c r="L154" i="1"/>
  <c r="W149" i="1"/>
  <c r="AH144" i="1"/>
  <c r="AH132" i="1"/>
  <c r="G120" i="1"/>
  <c r="AH117" i="1"/>
  <c r="L115" i="1"/>
  <c r="AI112" i="1"/>
  <c r="W110" i="1"/>
  <c r="G108" i="1"/>
  <c r="AF105" i="1"/>
  <c r="J103" i="1"/>
  <c r="AH100" i="1"/>
  <c r="W98" i="1"/>
  <c r="G96" i="1"/>
  <c r="AF93" i="1"/>
  <c r="J91" i="1"/>
  <c r="W88" i="1"/>
  <c r="L86" i="1"/>
  <c r="AH83" i="1"/>
  <c r="W81" i="1"/>
  <c r="W76" i="1"/>
  <c r="L74" i="1"/>
  <c r="AH71" i="1"/>
  <c r="L69" i="1"/>
  <c r="J2197" i="1"/>
  <c r="W2037" i="1"/>
  <c r="AF1952" i="1"/>
  <c r="M1934" i="1"/>
  <c r="AH1914" i="1"/>
  <c r="M1830" i="1"/>
  <c r="J1783" i="1"/>
  <c r="W1773" i="1"/>
  <c r="M1736" i="1"/>
  <c r="AI1690" i="1"/>
  <c r="J1643" i="1"/>
  <c r="AF1615" i="1"/>
  <c r="AI1571" i="1"/>
  <c r="M1561" i="1"/>
  <c r="L1482" i="1"/>
  <c r="J1473" i="1"/>
  <c r="J1446" i="1"/>
  <c r="W1412" i="1"/>
  <c r="W1396" i="1"/>
  <c r="AI1373" i="1"/>
  <c r="AH1346" i="1"/>
  <c r="W1329" i="1"/>
  <c r="W1322" i="1"/>
  <c r="J1304" i="1"/>
  <c r="L1296" i="1"/>
  <c r="G1289" i="1"/>
  <c r="G1243" i="1"/>
  <c r="AH1202" i="1"/>
  <c r="AF1144" i="1"/>
  <c r="J1132" i="1"/>
  <c r="G1128" i="1"/>
  <c r="AH1106" i="1"/>
  <c r="J1091" i="1"/>
  <c r="L1080" i="1"/>
  <c r="AF1075" i="1"/>
  <c r="AF1069" i="1"/>
  <c r="AH1064" i="1"/>
  <c r="AH1053" i="1"/>
  <c r="W1021" i="1"/>
  <c r="AH1010" i="1"/>
  <c r="AH1005" i="1"/>
  <c r="J995" i="1"/>
  <c r="L984" i="1"/>
  <c r="AF979" i="1"/>
  <c r="AI974" i="1"/>
  <c r="AH958" i="1"/>
  <c r="L947" i="1"/>
  <c r="W931" i="1"/>
  <c r="AI926" i="1"/>
  <c r="AI920" i="1"/>
  <c r="AF915" i="1"/>
  <c r="AH909" i="1"/>
  <c r="AI904" i="1"/>
  <c r="G894" i="1"/>
  <c r="L889" i="1"/>
  <c r="M878" i="1"/>
  <c r="AH868" i="1"/>
  <c r="W852" i="1"/>
  <c r="W846" i="1"/>
  <c r="W841" i="1"/>
  <c r="W835" i="1"/>
  <c r="AH830" i="1"/>
  <c r="AH808" i="1"/>
  <c r="G804" i="1"/>
  <c r="AH782" i="1"/>
  <c r="J767" i="1"/>
  <c r="L756" i="1"/>
  <c r="AF751" i="1"/>
  <c r="AF745" i="1"/>
  <c r="AH740" i="1"/>
  <c r="AH729" i="1"/>
  <c r="W697" i="1"/>
  <c r="AH686" i="1"/>
  <c r="AH681" i="1"/>
  <c r="J671" i="1"/>
  <c r="L660" i="1"/>
  <c r="AF655" i="1"/>
  <c r="AI650" i="1"/>
  <c r="AH634" i="1"/>
  <c r="L623" i="1"/>
  <c r="W607" i="1"/>
  <c r="AI602" i="1"/>
  <c r="AI596" i="1"/>
  <c r="AF591" i="1"/>
  <c r="AH585" i="1"/>
  <c r="AI580" i="1"/>
  <c r="G570" i="1"/>
  <c r="L565" i="1"/>
  <c r="M554" i="1"/>
  <c r="AH544" i="1"/>
  <c r="W528" i="1"/>
  <c r="W522" i="1"/>
  <c r="AH2150" i="1"/>
  <c r="AH2014" i="1"/>
  <c r="G1924" i="1"/>
  <c r="AH1876" i="1"/>
  <c r="M1821" i="1"/>
  <c r="AH1762" i="1"/>
  <c r="AF1743" i="1"/>
  <c r="W1707" i="1"/>
  <c r="AF1651" i="1"/>
  <c r="M1578" i="1"/>
  <c r="L1506" i="1"/>
  <c r="AH1454" i="1"/>
  <c r="J1388" i="1"/>
  <c r="W1353" i="1"/>
  <c r="J1296" i="1"/>
  <c r="M1236" i="1"/>
  <c r="AH1195" i="1"/>
  <c r="M1190" i="1"/>
  <c r="M1184" i="1"/>
  <c r="AI1178" i="1"/>
  <c r="M1172" i="1"/>
  <c r="AH1166" i="1"/>
  <c r="AI1148" i="1"/>
  <c r="J1144" i="1"/>
  <c r="J1121" i="1"/>
  <c r="W1116" i="1"/>
  <c r="L1111" i="1"/>
  <c r="W1075" i="1"/>
  <c r="L1069" i="1"/>
  <c r="M1064" i="1"/>
  <c r="M1058" i="1"/>
  <c r="AF1053" i="1"/>
  <c r="AI1042" i="1"/>
  <c r="AF1015" i="1"/>
  <c r="M1010" i="1"/>
  <c r="AF1005" i="1"/>
  <c r="G990" i="1"/>
  <c r="W979" i="1"/>
  <c r="M968" i="1"/>
  <c r="AH963" i="1"/>
  <c r="AI952" i="1"/>
  <c r="J947" i="1"/>
  <c r="L941" i="1"/>
  <c r="L931" i="1"/>
  <c r="AH926" i="1"/>
  <c r="M920" i="1"/>
  <c r="AH904" i="1"/>
  <c r="AI898" i="1"/>
  <c r="L878" i="1"/>
  <c r="AI872" i="1"/>
  <c r="J857" i="1"/>
  <c r="L846" i="1"/>
  <c r="L841" i="1"/>
  <c r="L835" i="1"/>
  <c r="M830" i="1"/>
  <c r="AH819" i="1"/>
  <c r="J797" i="1"/>
  <c r="W792" i="1"/>
  <c r="L787" i="1"/>
  <c r="W751" i="1"/>
  <c r="L745" i="1"/>
  <c r="M740" i="1"/>
  <c r="M734" i="1"/>
  <c r="AF729" i="1"/>
  <c r="AI718" i="1"/>
  <c r="AF691" i="1"/>
  <c r="M686" i="1"/>
  <c r="AF681" i="1"/>
  <c r="G666" i="1"/>
  <c r="W655" i="1"/>
  <c r="M644" i="1"/>
  <c r="AH639" i="1"/>
  <c r="AI628" i="1"/>
  <c r="J623" i="1"/>
  <c r="L617" i="1"/>
  <c r="L607" i="1"/>
  <c r="AH602" i="1"/>
  <c r="M596" i="1"/>
  <c r="AH580" i="1"/>
  <c r="AI574" i="1"/>
  <c r="L554" i="1"/>
  <c r="AI548" i="1"/>
  <c r="J533" i="1"/>
  <c r="L522" i="1"/>
  <c r="L517" i="1"/>
  <c r="L511" i="1"/>
  <c r="M506" i="1"/>
  <c r="AH495" i="1"/>
  <c r="M3303" i="1"/>
  <c r="G3292" i="1"/>
  <c r="W2590" i="1"/>
  <c r="AF2519" i="1"/>
  <c r="AF2461" i="1"/>
  <c r="M2196" i="1"/>
  <c r="AF1970" i="1"/>
  <c r="J1913" i="1"/>
  <c r="AI1847" i="1"/>
  <c r="AI1829" i="1"/>
  <c r="AH1772" i="1"/>
  <c r="AI1751" i="1"/>
  <c r="J1679" i="1"/>
  <c r="W1454" i="1"/>
  <c r="AI1445" i="1"/>
  <c r="AH1403" i="1"/>
  <c r="AI1395" i="1"/>
  <c r="L1380" i="1"/>
  <c r="L1353" i="1"/>
  <c r="J1279" i="1"/>
  <c r="M1272" i="1"/>
  <c r="AI1264" i="1"/>
  <c r="J1249" i="1"/>
  <c r="M1242" i="1"/>
  <c r="L1236" i="1"/>
  <c r="M1207" i="1"/>
  <c r="M1195" i="1"/>
  <c r="L1190" i="1"/>
  <c r="L1172" i="1"/>
  <c r="AI1160" i="1"/>
  <c r="AH1148" i="1"/>
  <c r="AF1137" i="1"/>
  <c r="L1116" i="1"/>
  <c r="AF1105" i="1"/>
  <c r="AF1095" i="1"/>
  <c r="G1080" i="1"/>
  <c r="AH1042" i="1"/>
  <c r="L1031" i="1"/>
  <c r="L1020" i="1"/>
  <c r="AF999" i="1"/>
  <c r="AI994" i="1"/>
  <c r="L979" i="1"/>
  <c r="L968" i="1"/>
  <c r="AH952" i="1"/>
  <c r="J941" i="1"/>
  <c r="G936" i="1"/>
  <c r="L920" i="1"/>
  <c r="AI908" i="1"/>
  <c r="AH898" i="1"/>
  <c r="L893" i="1"/>
  <c r="W882" i="1"/>
  <c r="AH872" i="1"/>
  <c r="AH861" i="1"/>
  <c r="G846" i="1"/>
  <c r="L830" i="1"/>
  <c r="L824" i="1"/>
  <c r="AF819" i="1"/>
  <c r="L792" i="1"/>
  <c r="AF781" i="1"/>
  <c r="AF771" i="1"/>
  <c r="G756" i="1"/>
  <c r="G2227" i="1"/>
  <c r="M2114" i="1"/>
  <c r="AI1883" i="1"/>
  <c r="G1837" i="1"/>
  <c r="AI1715" i="1"/>
  <c r="M1669" i="1"/>
  <c r="AH1622" i="1"/>
  <c r="J1603" i="1"/>
  <c r="M1569" i="1"/>
  <c r="W1530" i="1"/>
  <c r="AI1480" i="1"/>
  <c r="AI1427" i="1"/>
  <c r="L1419" i="1"/>
  <c r="G1403" i="1"/>
  <c r="G1361" i="1"/>
  <c r="L1335" i="1"/>
  <c r="AH1310" i="1"/>
  <c r="G1279" i="1"/>
  <c r="L1272" i="1"/>
  <c r="AH1264" i="1"/>
  <c r="J1256" i="1"/>
  <c r="W1221" i="1"/>
  <c r="AF1213" i="1"/>
  <c r="J1207" i="1"/>
  <c r="M1183" i="1"/>
  <c r="M1177" i="1"/>
  <c r="M1165" i="1"/>
  <c r="AH1160" i="1"/>
  <c r="AH1153" i="1"/>
  <c r="M1148" i="1"/>
  <c r="J1137" i="1"/>
  <c r="AI1131" i="1"/>
  <c r="W1105" i="1"/>
  <c r="L1100" i="1"/>
  <c r="G1074" i="1"/>
  <c r="AF1057" i="1"/>
  <c r="AI1046" i="1"/>
  <c r="J1031" i="1"/>
  <c r="W1014" i="1"/>
  <c r="M1004" i="1"/>
  <c r="AH994" i="1"/>
  <c r="L983" i="1"/>
  <c r="AI956" i="1"/>
  <c r="L930" i="1"/>
  <c r="AF913" i="1"/>
  <c r="AH908" i="1"/>
  <c r="J893" i="1"/>
  <c r="L887" i="1"/>
  <c r="L882" i="1"/>
  <c r="AF861" i="1"/>
  <c r="AI850" i="1"/>
  <c r="W834" i="1"/>
  <c r="AH807" i="1"/>
  <c r="W781" i="1"/>
  <c r="L776" i="1"/>
  <c r="G750" i="1"/>
  <c r="AF733" i="1"/>
  <c r="AI722" i="1"/>
  <c r="J707" i="1"/>
  <c r="W690" i="1"/>
  <c r="M680" i="1"/>
  <c r="AH670" i="1"/>
  <c r="L659" i="1"/>
  <c r="AI632" i="1"/>
  <c r="L606" i="1"/>
  <c r="AF589" i="1"/>
  <c r="AH584" i="1"/>
  <c r="J569" i="1"/>
  <c r="L563" i="1"/>
  <c r="L558" i="1"/>
  <c r="AF537" i="1"/>
  <c r="AI526" i="1"/>
  <c r="W510" i="1"/>
  <c r="AH483" i="1"/>
  <c r="W457" i="1"/>
  <c r="L452" i="1"/>
  <c r="G426" i="1"/>
  <c r="AH400" i="1"/>
  <c r="W396" i="1"/>
  <c r="M378" i="1"/>
  <c r="AH373" i="1"/>
  <c r="L369" i="1"/>
  <c r="AH364" i="1"/>
  <c r="M360" i="1"/>
  <c r="AI356" i="1"/>
  <c r="W351" i="1"/>
  <c r="AH347" i="1"/>
  <c r="W342" i="1"/>
  <c r="AH338" i="1"/>
  <c r="L334" i="1"/>
  <c r="AH321" i="1"/>
  <c r="L317" i="1"/>
  <c r="AI301" i="1"/>
  <c r="L293" i="1"/>
  <c r="AH285" i="1"/>
  <c r="L274" i="1"/>
  <c r="AI262" i="1"/>
  <c r="M256" i="1"/>
  <c r="AH249" i="1"/>
  <c r="M244" i="1"/>
  <c r="AH238" i="1"/>
  <c r="W233" i="1"/>
  <c r="W227" i="1"/>
  <c r="G222" i="1"/>
  <c r="W219" i="1"/>
  <c r="W213" i="1"/>
  <c r="AI210" i="1"/>
  <c r="M202" i="1"/>
  <c r="G192" i="1"/>
  <c r="AH189" i="1"/>
  <c r="L187" i="1"/>
  <c r="AI184" i="1"/>
  <c r="W182" i="1"/>
  <c r="G180" i="1"/>
  <c r="AF177" i="1"/>
  <c r="J175" i="1"/>
  <c r="AH172" i="1"/>
  <c r="W170" i="1"/>
  <c r="G168" i="1"/>
  <c r="AF165" i="1"/>
  <c r="J163" i="1"/>
  <c r="W160" i="1"/>
  <c r="L158" i="1"/>
  <c r="AH155" i="1"/>
  <c r="W153" i="1"/>
  <c r="W148" i="1"/>
  <c r="L146" i="1"/>
  <c r="AH143" i="1"/>
  <c r="L141" i="1"/>
  <c r="M136" i="1"/>
  <c r="L134" i="1"/>
  <c r="AH131" i="1"/>
  <c r="J129" i="1"/>
  <c r="AI126" i="1"/>
  <c r="L124" i="1"/>
  <c r="G122" i="1"/>
  <c r="W119" i="1"/>
  <c r="J117" i="1"/>
  <c r="AI114" i="1"/>
  <c r="L112" i="1"/>
  <c r="G110" i="1"/>
  <c r="W107" i="1"/>
  <c r="AH102" i="1"/>
  <c r="AH87" i="1"/>
  <c r="L85" i="1"/>
  <c r="AI2077" i="1"/>
  <c r="W1997" i="1"/>
  <c r="G1988" i="1"/>
  <c r="J1956" i="1"/>
  <c r="AI1834" i="1"/>
  <c r="AH1730" i="1"/>
  <c r="L1694" i="1"/>
  <c r="M1646" i="1"/>
  <c r="AH1628" i="1"/>
  <c r="L1416" i="1"/>
  <c r="W1407" i="1"/>
  <c r="AH1400" i="1"/>
  <c r="AH1376" i="1"/>
  <c r="AI1349" i="1"/>
  <c r="J1277" i="1"/>
  <c r="W1261" i="1"/>
  <c r="AI1246" i="1"/>
  <c r="AF1225" i="1"/>
  <c r="J1198" i="1"/>
  <c r="G1193" i="1"/>
  <c r="M1169" i="1"/>
  <c r="J1164" i="1"/>
  <c r="J1158" i="1"/>
  <c r="J1146" i="1"/>
  <c r="M1141" i="1"/>
  <c r="AF1129" i="1"/>
  <c r="AH1124" i="1"/>
  <c r="J1109" i="1"/>
  <c r="L1103" i="1"/>
  <c r="L1098" i="1"/>
  <c r="AF1077" i="1"/>
  <c r="AI1066" i="1"/>
  <c r="W1050" i="1"/>
  <c r="AH1023" i="1"/>
  <c r="W997" i="1"/>
  <c r="L992" i="1"/>
  <c r="G966" i="1"/>
  <c r="AF949" i="1"/>
  <c r="AI938" i="1"/>
  <c r="J923" i="1"/>
  <c r="W906" i="1"/>
  <c r="M896" i="1"/>
  <c r="AH886" i="1"/>
  <c r="L875" i="1"/>
  <c r="AI848" i="1"/>
  <c r="L822" i="1"/>
  <c r="AF805" i="1"/>
  <c r="AH800" i="1"/>
  <c r="J785" i="1"/>
  <c r="L779" i="1"/>
  <c r="L774" i="1"/>
  <c r="AF753" i="1"/>
  <c r="AI742" i="1"/>
  <c r="AH1945" i="1"/>
  <c r="M1898" i="1"/>
  <c r="G1889" i="1"/>
  <c r="AI1870" i="1"/>
  <c r="J1824" i="1"/>
  <c r="W1815" i="1"/>
  <c r="G1805" i="1"/>
  <c r="M1747" i="1"/>
  <c r="M1730" i="1"/>
  <c r="AF1711" i="1"/>
  <c r="AF1683" i="1"/>
  <c r="M1675" i="1"/>
  <c r="AF1628" i="1"/>
  <c r="M1574" i="1"/>
  <c r="AF1485" i="1"/>
  <c r="W1476" i="1"/>
  <c r="AI1449" i="1"/>
  <c r="M1407" i="1"/>
  <c r="W1383" i="1"/>
  <c r="W1376" i="1"/>
  <c r="G1349" i="1"/>
  <c r="AI1341" i="1"/>
  <c r="AI1323" i="1"/>
  <c r="L1315" i="1"/>
  <c r="G1307" i="1"/>
  <c r="AH1232" i="1"/>
  <c r="W1225" i="1"/>
  <c r="J1218" i="1"/>
  <c r="J1186" i="1"/>
  <c r="AI1181" i="1"/>
  <c r="J1169" i="1"/>
  <c r="G1146" i="1"/>
  <c r="L1141" i="1"/>
  <c r="W1129" i="1"/>
  <c r="AH1118" i="1"/>
  <c r="AH1113" i="1"/>
  <c r="J1103" i="1"/>
  <c r="L1092" i="1"/>
  <c r="AF1087" i="1"/>
  <c r="AI1082" i="1"/>
  <c r="AH1066" i="1"/>
  <c r="L1055" i="1"/>
  <c r="W1039" i="1"/>
  <c r="AI1034" i="1"/>
  <c r="AI1028" i="1"/>
  <c r="AF1023" i="1"/>
  <c r="AH1017" i="1"/>
  <c r="AI1012" i="1"/>
  <c r="G1002" i="1"/>
  <c r="L997" i="1"/>
  <c r="M986" i="1"/>
  <c r="AH976" i="1"/>
  <c r="W960" i="1"/>
  <c r="W954" i="1"/>
  <c r="W949" i="1"/>
  <c r="W943" i="1"/>
  <c r="AH938" i="1"/>
  <c r="AH916" i="1"/>
  <c r="G912" i="1"/>
  <c r="AH890" i="1"/>
  <c r="J875" i="1"/>
  <c r="L864" i="1"/>
  <c r="AF859" i="1"/>
  <c r="AF853" i="1"/>
  <c r="AH848" i="1"/>
  <c r="AH837" i="1"/>
  <c r="W805" i="1"/>
  <c r="AH794" i="1"/>
  <c r="AH789" i="1"/>
  <c r="J779" i="1"/>
  <c r="L768" i="1"/>
  <c r="AF763" i="1"/>
  <c r="AI758" i="1"/>
  <c r="AH742" i="1"/>
  <c r="L731" i="1"/>
  <c r="W715" i="1"/>
  <c r="AI710" i="1"/>
  <c r="AI704" i="1"/>
  <c r="AF699" i="1"/>
  <c r="AH693" i="1"/>
  <c r="AI688" i="1"/>
  <c r="G678" i="1"/>
  <c r="L673" i="1"/>
  <c r="M662" i="1"/>
  <c r="AH652" i="1"/>
  <c r="W636" i="1"/>
  <c r="W630" i="1"/>
  <c r="W625" i="1"/>
  <c r="W619" i="1"/>
  <c r="AH614" i="1"/>
  <c r="AH592" i="1"/>
  <c r="G588" i="1"/>
  <c r="AH566" i="1"/>
  <c r="J551" i="1"/>
  <c r="L540" i="1"/>
  <c r="AF535" i="1"/>
  <c r="AF529" i="1"/>
  <c r="AH524" i="1"/>
  <c r="AH513" i="1"/>
  <c r="W481" i="1"/>
  <c r="W1741" i="1"/>
  <c r="AF1592" i="1"/>
  <c r="W1575" i="1"/>
  <c r="AH1504" i="1"/>
  <c r="J1442" i="1"/>
  <c r="L1423" i="1"/>
  <c r="M1278" i="1"/>
  <c r="J1268" i="1"/>
  <c r="G1213" i="1"/>
  <c r="W1203" i="1"/>
  <c r="M1170" i="1"/>
  <c r="AF1162" i="1"/>
  <c r="G1153" i="1"/>
  <c r="W1051" i="1"/>
  <c r="AH1006" i="1"/>
  <c r="W967" i="1"/>
  <c r="L912" i="1"/>
  <c r="AF897" i="1"/>
  <c r="W859" i="1"/>
  <c r="M812" i="1"/>
  <c r="AH796" i="1"/>
  <c r="AH764" i="1"/>
  <c r="J749" i="1"/>
  <c r="L684" i="1"/>
  <c r="L677" i="1"/>
  <c r="AI670" i="1"/>
  <c r="AF663" i="1"/>
  <c r="AH656" i="1"/>
  <c r="W643" i="1"/>
  <c r="AF567" i="1"/>
  <c r="L552" i="1"/>
  <c r="L547" i="1"/>
  <c r="AH526" i="1"/>
  <c r="W499" i="1"/>
  <c r="G480" i="1"/>
  <c r="J473" i="1"/>
  <c r="L468" i="1"/>
  <c r="G462" i="1"/>
  <c r="L450" i="1"/>
  <c r="AF439" i="1"/>
  <c r="M428" i="1"/>
  <c r="AH401" i="1"/>
  <c r="AH392" i="1"/>
  <c r="L378" i="1"/>
  <c r="L357" i="1"/>
  <c r="L351" i="1"/>
  <c r="G346" i="1"/>
  <c r="G336" i="1"/>
  <c r="G312" i="1"/>
  <c r="AF308" i="1"/>
  <c r="W290" i="1"/>
  <c r="AF282" i="1"/>
  <c r="M278" i="1"/>
  <c r="W269" i="1"/>
  <c r="J265" i="1"/>
  <c r="W261" i="1"/>
  <c r="AH258" i="1"/>
  <c r="W254" i="1"/>
  <c r="W251" i="1"/>
  <c r="AH244" i="1"/>
  <c r="W238" i="1"/>
  <c r="L225" i="1"/>
  <c r="AI222" i="1"/>
  <c r="AF219" i="1"/>
  <c r="M206" i="1"/>
  <c r="AI202" i="1"/>
  <c r="G200" i="1"/>
  <c r="W197" i="1"/>
  <c r="AH191" i="1"/>
  <c r="J189" i="1"/>
  <c r="AF183" i="1"/>
  <c r="AI180" i="1"/>
  <c r="AH177" i="1"/>
  <c r="J169" i="1"/>
  <c r="W166" i="1"/>
  <c r="M160" i="1"/>
  <c r="AH154" i="1"/>
  <c r="L152" i="1"/>
  <c r="AI148" i="1"/>
  <c r="M140" i="1"/>
  <c r="W135" i="1"/>
  <c r="AI132" i="1"/>
  <c r="AH129" i="1"/>
  <c r="J127" i="1"/>
  <c r="M124" i="1"/>
  <c r="AH118" i="1"/>
  <c r="L116" i="1"/>
  <c r="L110" i="1"/>
  <c r="L104" i="1"/>
  <c r="W101" i="1"/>
  <c r="W93" i="1"/>
  <c r="AI90" i="1"/>
  <c r="AF87" i="1"/>
  <c r="L82" i="1"/>
  <c r="AI76" i="1"/>
  <c r="M74" i="1"/>
  <c r="AF71" i="1"/>
  <c r="AH66" i="1"/>
  <c r="AH51" i="1"/>
  <c r="L49" i="1"/>
  <c r="AI46" i="1"/>
  <c r="AH39" i="1"/>
  <c r="L37" i="1"/>
  <c r="AI34" i="1"/>
  <c r="M32" i="1"/>
  <c r="AF27" i="1"/>
  <c r="L25" i="1"/>
  <c r="AI18" i="1"/>
  <c r="M16" i="1"/>
  <c r="L14" i="1"/>
  <c r="AF9" i="1"/>
  <c r="L7" i="1"/>
  <c r="W44" i="1"/>
  <c r="AI4" i="1"/>
  <c r="M128" i="1"/>
  <c r="L1407" i="1"/>
  <c r="AI1282" i="1"/>
  <c r="J1055" i="1"/>
  <c r="AI1016" i="1"/>
  <c r="L900" i="1"/>
  <c r="AH760" i="1"/>
  <c r="AH710" i="1"/>
  <c r="AF673" i="1"/>
  <c r="AF625" i="1"/>
  <c r="W576" i="1"/>
  <c r="M536" i="1"/>
  <c r="AH476" i="1"/>
  <c r="J425" i="1"/>
  <c r="AH394" i="1"/>
  <c r="G364" i="1"/>
  <c r="J337" i="1"/>
  <c r="G310" i="1"/>
  <c r="G240" i="1"/>
  <c r="J187" i="1"/>
  <c r="J153" i="1"/>
  <c r="W105" i="1"/>
  <c r="M50" i="1"/>
  <c r="AI172" i="1"/>
  <c r="G144" i="1"/>
  <c r="J111" i="1"/>
  <c r="AI82" i="1"/>
  <c r="AH64" i="1"/>
  <c r="W52" i="1"/>
  <c r="W45" i="1"/>
  <c r="AH35" i="1"/>
  <c r="M1181" i="1"/>
  <c r="L480" i="1"/>
  <c r="L169" i="1"/>
  <c r="G12" i="1"/>
  <c r="L2336" i="1"/>
  <c r="L1878" i="1"/>
  <c r="G1794" i="1"/>
  <c r="AI1719" i="1"/>
  <c r="G1644" i="1"/>
  <c r="M1592" i="1"/>
  <c r="J1504" i="1"/>
  <c r="AF1238" i="1"/>
  <c r="J1220" i="1"/>
  <c r="G1194" i="1"/>
  <c r="AI1145" i="1"/>
  <c r="M1136" i="1"/>
  <c r="L1128" i="1"/>
  <c r="AI1120" i="1"/>
  <c r="AF1113" i="1"/>
  <c r="L1105" i="1"/>
  <c r="AI1088" i="1"/>
  <c r="L1051" i="1"/>
  <c r="AF997" i="1"/>
  <c r="AH850" i="1"/>
  <c r="M842" i="1"/>
  <c r="AI826" i="1"/>
  <c r="L812" i="1"/>
  <c r="W733" i="1"/>
  <c r="W726" i="1"/>
  <c r="AH699" i="1"/>
  <c r="L648" i="1"/>
  <c r="AH621" i="1"/>
  <c r="AI614" i="1"/>
  <c r="AH573" i="1"/>
  <c r="G540" i="1"/>
  <c r="L499" i="1"/>
  <c r="L444" i="1"/>
  <c r="W439" i="1"/>
  <c r="L428" i="1"/>
  <c r="AH416" i="1"/>
  <c r="G406" i="1"/>
  <c r="AF387" i="1"/>
  <c r="AI382" i="1"/>
  <c r="W366" i="1"/>
  <c r="AH330" i="1"/>
  <c r="AH298" i="1"/>
  <c r="L294" i="1"/>
  <c r="M290" i="1"/>
  <c r="G286" i="1"/>
  <c r="W282" i="1"/>
  <c r="G273" i="1"/>
  <c r="L261" i="1"/>
  <c r="L254" i="1"/>
  <c r="L247" i="1"/>
  <c r="W244" i="1"/>
  <c r="J241" i="1"/>
  <c r="M238" i="1"/>
  <c r="L235" i="1"/>
  <c r="AH231" i="1"/>
  <c r="AI228" i="1"/>
  <c r="J225" i="1"/>
  <c r="AH222" i="1"/>
  <c r="AH215" i="1"/>
  <c r="AI208" i="1"/>
  <c r="AH202" i="1"/>
  <c r="M194" i="1"/>
  <c r="AF191" i="1"/>
  <c r="G186" i="1"/>
  <c r="J183" i="1"/>
  <c r="AH180" i="1"/>
  <c r="W177" i="1"/>
  <c r="AI174" i="1"/>
  <c r="AH171" i="1"/>
  <c r="L166" i="1"/>
  <c r="L163" i="1"/>
  <c r="L160" i="1"/>
  <c r="L157" i="1"/>
  <c r="W154" i="1"/>
  <c r="AH148" i="1"/>
  <c r="G146" i="1"/>
  <c r="AI142" i="1"/>
  <c r="L140" i="1"/>
  <c r="AH137" i="1"/>
  <c r="L135" i="1"/>
  <c r="AF129" i="1"/>
  <c r="L121" i="1"/>
  <c r="W118" i="1"/>
  <c r="AH112" i="1"/>
  <c r="AI106" i="1"/>
  <c r="J93" i="1"/>
  <c r="AH90" i="1"/>
  <c r="W87" i="1"/>
  <c r="AI84" i="1"/>
  <c r="L79" i="1"/>
  <c r="AH76" i="1"/>
  <c r="W71" i="1"/>
  <c r="G66" i="1"/>
  <c r="AH63" i="1"/>
  <c r="L61" i="1"/>
  <c r="AI58" i="1"/>
  <c r="W56" i="1"/>
  <c r="G54" i="1"/>
  <c r="AF51" i="1"/>
  <c r="J49" i="1"/>
  <c r="AH46" i="1"/>
  <c r="G42" i="1"/>
  <c r="AF39" i="1"/>
  <c r="J37" i="1"/>
  <c r="W34" i="1"/>
  <c r="L32" i="1"/>
  <c r="AH29" i="1"/>
  <c r="W27" i="1"/>
  <c r="J25" i="1"/>
  <c r="AI22" i="1"/>
  <c r="AH18" i="1"/>
  <c r="L16" i="1"/>
  <c r="AH11" i="1"/>
  <c r="W9" i="1"/>
  <c r="J7" i="1"/>
  <c r="M1845" i="1"/>
  <c r="W1683" i="1"/>
  <c r="J1538" i="1"/>
  <c r="W1342" i="1"/>
  <c r="AI1300" i="1"/>
  <c r="G1235" i="1"/>
  <c r="M1191" i="1"/>
  <c r="AI1141" i="1"/>
  <c r="L1062" i="1"/>
  <c r="AH1034" i="1"/>
  <c r="M956" i="1"/>
  <c r="AF907" i="1"/>
  <c r="W900" i="1"/>
  <c r="L876" i="1"/>
  <c r="W823" i="1"/>
  <c r="AH688" i="1"/>
  <c r="J659" i="1"/>
  <c r="G612" i="1"/>
  <c r="L571" i="1"/>
  <c r="AI502" i="1"/>
  <c r="AF483" i="1"/>
  <c r="AF459" i="1"/>
  <c r="L414" i="1"/>
  <c r="AF375" i="1"/>
  <c r="AF369" i="1"/>
  <c r="J328" i="1"/>
  <c r="W314" i="1"/>
  <c r="J306" i="1"/>
  <c r="AH284" i="1"/>
  <c r="J267" i="1"/>
  <c r="L260" i="1"/>
  <c r="AH252" i="1"/>
  <c r="J243" i="1"/>
  <c r="W237" i="1"/>
  <c r="AI226" i="1"/>
  <c r="AI220" i="1"/>
  <c r="AH204" i="1"/>
  <c r="AH198" i="1"/>
  <c r="M190" i="1"/>
  <c r="AH184" i="1"/>
  <c r="W179" i="1"/>
  <c r="W173" i="1"/>
  <c r="L153" i="1"/>
  <c r="AF147" i="1"/>
  <c r="AH136" i="1"/>
  <c r="AI130" i="1"/>
  <c r="J123" i="1"/>
  <c r="AH114" i="1"/>
  <c r="AI108" i="1"/>
  <c r="AH94" i="1"/>
  <c r="W89" i="1"/>
  <c r="W83" i="1"/>
  <c r="AH60" i="1"/>
  <c r="AH45" i="1"/>
  <c r="L43" i="1"/>
  <c r="AI40" i="1"/>
  <c r="G36" i="1"/>
  <c r="J31" i="1"/>
  <c r="AH28" i="1"/>
  <c r="AF17" i="1"/>
  <c r="AH10" i="1"/>
  <c r="W8" i="1"/>
  <c r="G2" i="1"/>
  <c r="J1862" i="1"/>
  <c r="AI1607" i="1"/>
  <c r="AF1198" i="1"/>
  <c r="AH1077" i="1"/>
  <c r="L1001" i="1"/>
  <c r="L815" i="1"/>
  <c r="W582" i="1"/>
  <c r="G522" i="1"/>
  <c r="W409" i="1"/>
  <c r="L375" i="1"/>
  <c r="G328" i="1"/>
  <c r="J280" i="1"/>
  <c r="L207" i="1"/>
  <c r="AF141" i="1"/>
  <c r="L117" i="1"/>
  <c r="W94" i="1"/>
  <c r="AF45" i="1"/>
  <c r="M26" i="1"/>
  <c r="W10" i="1"/>
  <c r="G176" i="1"/>
  <c r="G150" i="1"/>
  <c r="L133" i="1"/>
  <c r="AH119" i="1"/>
  <c r="L105" i="1"/>
  <c r="G86" i="1"/>
  <c r="G60" i="1"/>
  <c r="L8" i="1"/>
  <c r="J1892" i="1"/>
  <c r="AH1808" i="1"/>
  <c r="AF1123" i="1"/>
  <c r="AH1084" i="1"/>
  <c r="AH1046" i="1"/>
  <c r="J983" i="1"/>
  <c r="M938" i="1"/>
  <c r="M860" i="1"/>
  <c r="AH790" i="1"/>
  <c r="L644" i="1"/>
  <c r="L596" i="1"/>
  <c r="L569" i="1"/>
  <c r="AF475" i="1"/>
  <c r="AI418" i="1"/>
  <c r="L398" i="1"/>
  <c r="W384" i="1"/>
  <c r="AI332" i="1"/>
  <c r="AI304" i="1"/>
  <c r="M242" i="1"/>
  <c r="M226" i="1"/>
  <c r="W161" i="1"/>
  <c r="J105" i="1"/>
  <c r="L94" i="1"/>
  <c r="AH82" i="1"/>
  <c r="AF69" i="1"/>
  <c r="M62" i="1"/>
  <c r="W57" i="1"/>
  <c r="J33" i="1"/>
  <c r="L28" i="1"/>
  <c r="J19" i="1"/>
  <c r="AH12" i="1"/>
  <c r="W3" i="1"/>
  <c r="W1851" i="1"/>
  <c r="W990" i="1"/>
  <c r="L446" i="1"/>
  <c r="AH418" i="1"/>
  <c r="AF393" i="1"/>
  <c r="AI362" i="1"/>
  <c r="AF327" i="1"/>
  <c r="L226" i="1"/>
  <c r="AH203" i="1"/>
  <c r="AH149" i="1"/>
  <c r="AH113" i="1"/>
  <c r="L99" i="1"/>
  <c r="L88" i="1"/>
  <c r="W69" i="1"/>
  <c r="G50" i="1"/>
  <c r="G38" i="1"/>
  <c r="L21" i="1"/>
  <c r="W14" i="1"/>
  <c r="AF5" i="1"/>
  <c r="J1860" i="1"/>
  <c r="L1554" i="1"/>
  <c r="W1297" i="1"/>
  <c r="AH1114" i="1"/>
  <c r="L1046" i="1"/>
  <c r="AI1006" i="1"/>
  <c r="AF967" i="1"/>
  <c r="AF889" i="1"/>
  <c r="AI866" i="1"/>
  <c r="AI812" i="1"/>
  <c r="AI796" i="1"/>
  <c r="L707" i="1"/>
  <c r="W684" i="1"/>
  <c r="AF643" i="1"/>
  <c r="AF603" i="1"/>
  <c r="W547" i="1"/>
  <c r="L506" i="1"/>
  <c r="L488" i="1"/>
  <c r="W468" i="1"/>
  <c r="AH423" i="1"/>
  <c r="J397" i="1"/>
  <c r="AH362" i="1"/>
  <c r="W331" i="1"/>
  <c r="AH308" i="1"/>
  <c r="AH282" i="1"/>
  <c r="AF251" i="1"/>
  <c r="AI244" i="1"/>
  <c r="L232" i="1"/>
  <c r="W206" i="1"/>
  <c r="AH186" i="1"/>
  <c r="L172" i="1"/>
  <c r="AI160" i="1"/>
  <c r="AI154" i="1"/>
  <c r="M146" i="1"/>
  <c r="G138" i="1"/>
  <c r="AI118" i="1"/>
  <c r="M104" i="1"/>
  <c r="AH93" i="1"/>
  <c r="J69" i="1"/>
  <c r="W59" i="1"/>
  <c r="AH54" i="1"/>
  <c r="AH27" i="1"/>
  <c r="J21" i="1"/>
  <c r="M14" i="1"/>
  <c r="J3" i="1"/>
  <c r="L2346" i="1"/>
  <c r="J2336" i="1"/>
  <c r="AH1963" i="1"/>
  <c r="L1898" i="1"/>
  <c r="AF1719" i="1"/>
  <c r="AH1654" i="1"/>
  <c r="AI1611" i="1"/>
  <c r="AH1522" i="1"/>
  <c r="AI1512" i="1"/>
  <c r="J1285" i="1"/>
  <c r="M1238" i="1"/>
  <c r="AI1185" i="1"/>
  <c r="L1177" i="1"/>
  <c r="AF1152" i="1"/>
  <c r="L1136" i="1"/>
  <c r="AH1120" i="1"/>
  <c r="AH1088" i="1"/>
  <c r="J1073" i="1"/>
  <c r="M1028" i="1"/>
  <c r="G1020" i="1"/>
  <c r="AH1012" i="1"/>
  <c r="AI980" i="1"/>
  <c r="L972" i="1"/>
  <c r="L943" i="1"/>
  <c r="AH902" i="1"/>
  <c r="J887" i="1"/>
  <c r="AF879" i="1"/>
  <c r="AF871" i="1"/>
  <c r="L833" i="1"/>
  <c r="AH826" i="1"/>
  <c r="AI818" i="1"/>
  <c r="M770" i="1"/>
  <c r="W763" i="1"/>
  <c r="L733" i="1"/>
  <c r="G720" i="1"/>
  <c r="L662" i="1"/>
  <c r="L655" i="1"/>
  <c r="G642" i="1"/>
  <c r="AH628" i="1"/>
  <c r="AF621" i="1"/>
  <c r="M614" i="1"/>
  <c r="L608" i="1"/>
  <c r="AH578" i="1"/>
  <c r="AF573" i="1"/>
  <c r="W558" i="1"/>
  <c r="M518" i="1"/>
  <c r="W511" i="1"/>
  <c r="L461" i="1"/>
  <c r="L455" i="1"/>
  <c r="G450" i="1"/>
  <c r="L439" i="1"/>
  <c r="AF421" i="1"/>
  <c r="M416" i="1"/>
  <c r="M410" i="1"/>
  <c r="AI400" i="1"/>
  <c r="AF391" i="1"/>
  <c r="W387" i="1"/>
  <c r="W382" i="1"/>
  <c r="G372" i="1"/>
  <c r="M366" i="1"/>
  <c r="M350" i="1"/>
  <c r="AH335" i="1"/>
  <c r="AF330" i="1"/>
  <c r="AF320" i="1"/>
  <c r="L316" i="1"/>
  <c r="W311" i="1"/>
  <c r="W307" i="1"/>
  <c r="L303" i="1"/>
  <c r="W298" i="1"/>
  <c r="J294" i="1"/>
  <c r="L290" i="1"/>
  <c r="W277" i="1"/>
  <c r="L268" i="1"/>
  <c r="G258" i="1"/>
  <c r="G254" i="1"/>
  <c r="AI250" i="1"/>
  <c r="J247" i="1"/>
  <c r="L244" i="1"/>
  <c r="L238" i="1"/>
  <c r="J235" i="1"/>
  <c r="AF231" i="1"/>
  <c r="W218" i="1"/>
  <c r="AF215" i="1"/>
  <c r="G212" i="1"/>
  <c r="W208" i="1"/>
  <c r="W202" i="1"/>
  <c r="L199" i="1"/>
  <c r="AI196" i="1"/>
  <c r="L194" i="1"/>
  <c r="W191" i="1"/>
  <c r="L177" i="1"/>
  <c r="AH174" i="1"/>
  <c r="AF171" i="1"/>
  <c r="J157" i="1"/>
  <c r="M154" i="1"/>
  <c r="L151" i="1"/>
  <c r="M148" i="1"/>
  <c r="W142" i="1"/>
  <c r="AF137" i="1"/>
  <c r="J135" i="1"/>
  <c r="G132" i="1"/>
  <c r="W129" i="1"/>
  <c r="AH126" i="1"/>
  <c r="AH123" i="1"/>
  <c r="J121" i="1"/>
  <c r="M118" i="1"/>
  <c r="W112" i="1"/>
  <c r="W106" i="1"/>
  <c r="G104" i="1"/>
  <c r="AI100" i="1"/>
  <c r="M98" i="1"/>
  <c r="AH95" i="1"/>
  <c r="G90" i="1"/>
  <c r="L87" i="1"/>
  <c r="AH84" i="1"/>
  <c r="AH81" i="1"/>
  <c r="J79" i="1"/>
  <c r="M76" i="1"/>
  <c r="G74" i="1"/>
  <c r="M68" i="1"/>
  <c r="AF63" i="1"/>
  <c r="J61" i="1"/>
  <c r="AH58" i="1"/>
  <c r="M56" i="1"/>
  <c r="W51" i="1"/>
  <c r="W46" i="1"/>
  <c r="M44" i="1"/>
  <c r="W39" i="1"/>
  <c r="M34" i="1"/>
  <c r="AF29" i="1"/>
  <c r="L27" i="1"/>
  <c r="AH22" i="1"/>
  <c r="W20" i="1"/>
  <c r="G14" i="1"/>
  <c r="AF11" i="1"/>
  <c r="L9" i="1"/>
  <c r="AH4" i="1"/>
  <c r="W2" i="1"/>
  <c r="L103" i="1"/>
  <c r="AI78" i="1"/>
  <c r="AF65" i="1"/>
  <c r="AI48" i="1"/>
  <c r="W41" i="1"/>
  <c r="AH36" i="1"/>
  <c r="L20" i="1"/>
  <c r="AF15" i="1"/>
  <c r="L2" i="1"/>
  <c r="J13" i="1"/>
  <c r="L359" i="1"/>
  <c r="AH141" i="1"/>
  <c r="L15" i="1"/>
  <c r="J1639" i="1"/>
  <c r="G1182" i="1"/>
  <c r="AI1124" i="1"/>
  <c r="W1008" i="1"/>
  <c r="AF799" i="1"/>
  <c r="L529" i="1"/>
  <c r="AF447" i="1"/>
  <c r="L348" i="1"/>
  <c r="L323" i="1"/>
  <c r="M314" i="1"/>
  <c r="G230" i="1"/>
  <c r="AH220" i="1"/>
  <c r="AH195" i="1"/>
  <c r="J193" i="1"/>
  <c r="AH167" i="1"/>
  <c r="L128" i="1"/>
  <c r="AI102" i="1"/>
  <c r="AI72" i="1"/>
  <c r="AI64" i="1"/>
  <c r="L55" i="1"/>
  <c r="J43" i="1"/>
  <c r="W33" i="1"/>
  <c r="G24" i="1"/>
  <c r="L283" i="1"/>
  <c r="W125" i="1"/>
  <c r="G92" i="1"/>
  <c r="W62" i="1"/>
  <c r="L33" i="1"/>
  <c r="AF2296" i="1"/>
  <c r="L1658" i="1"/>
  <c r="AF1466" i="1"/>
  <c r="L1308" i="1"/>
  <c r="AH1131" i="1"/>
  <c r="L954" i="1"/>
  <c r="J905" i="1"/>
  <c r="J581" i="1"/>
  <c r="AF481" i="1"/>
  <c r="M446" i="1"/>
  <c r="AH327" i="1"/>
  <c r="W300" i="1"/>
  <c r="W291" i="1"/>
  <c r="AH255" i="1"/>
  <c r="W245" i="1"/>
  <c r="AH239" i="1"/>
  <c r="L229" i="1"/>
  <c r="M220" i="1"/>
  <c r="AH209" i="1"/>
  <c r="W200" i="1"/>
  <c r="AI192" i="1"/>
  <c r="W178" i="1"/>
  <c r="W172" i="1"/>
  <c r="W155" i="1"/>
  <c r="J133" i="1"/>
  <c r="AF119" i="1"/>
  <c r="L45" i="1"/>
  <c r="AF35" i="1"/>
  <c r="AI16" i="1"/>
  <c r="AH5" i="1"/>
  <c r="G2329" i="1"/>
  <c r="L1860" i="1"/>
  <c r="AI1721" i="1"/>
  <c r="AF1232" i="1"/>
  <c r="AF1107" i="1"/>
  <c r="L1076" i="1"/>
  <c r="AI1060" i="1"/>
  <c r="L1039" i="1"/>
  <c r="L961" i="1"/>
  <c r="AH945" i="1"/>
  <c r="W913" i="1"/>
  <c r="L860" i="1"/>
  <c r="L722" i="1"/>
  <c r="AH700" i="1"/>
  <c r="AF637" i="1"/>
  <c r="AH610" i="1"/>
  <c r="W535" i="1"/>
  <c r="L500" i="1"/>
  <c r="M488" i="1"/>
  <c r="L463" i="1"/>
  <c r="AH407" i="1"/>
  <c r="M384" i="1"/>
  <c r="AF373" i="1"/>
  <c r="L336" i="1"/>
  <c r="M262" i="1"/>
  <c r="L242" i="1"/>
  <c r="L236" i="1"/>
  <c r="J213" i="1"/>
  <c r="L200" i="1"/>
  <c r="J195" i="1"/>
  <c r="AI186" i="1"/>
  <c r="L178" i="1"/>
  <c r="AI166" i="1"/>
  <c r="W152" i="1"/>
  <c r="AF143" i="1"/>
  <c r="AH135" i="1"/>
  <c r="AI124" i="1"/>
  <c r="W116" i="1"/>
  <c r="AH101" i="1"/>
  <c r="L91" i="1"/>
  <c r="W77" i="1"/>
  <c r="M64" i="1"/>
  <c r="J57" i="1"/>
  <c r="W47" i="1"/>
  <c r="W35" i="1"/>
  <c r="G26" i="1"/>
  <c r="L637" i="1"/>
  <c r="AH520" i="1"/>
  <c r="L457" i="1"/>
  <c r="W378" i="1"/>
  <c r="J317" i="1"/>
  <c r="W295" i="1"/>
  <c r="AH269" i="1"/>
  <c r="AH219" i="1"/>
  <c r="W124" i="1"/>
  <c r="W113" i="1"/>
  <c r="AF101" i="1"/>
  <c r="AH9" i="1"/>
  <c r="G2991" i="1"/>
  <c r="G2464" i="1"/>
  <c r="J1931" i="1"/>
  <c r="M1492" i="1"/>
  <c r="W1461" i="1"/>
  <c r="AF1430" i="1"/>
  <c r="M1389" i="1"/>
  <c r="J1334" i="1"/>
  <c r="J1193" i="1"/>
  <c r="W1057" i="1"/>
  <c r="G1044" i="1"/>
  <c r="AH1035" i="1"/>
  <c r="L1028" i="1"/>
  <c r="AF987" i="1"/>
  <c r="AH980" i="1"/>
  <c r="J965" i="1"/>
  <c r="M950" i="1"/>
  <c r="AI934" i="1"/>
  <c r="AH927" i="1"/>
  <c r="M902" i="1"/>
  <c r="L895" i="1"/>
  <c r="W871" i="1"/>
  <c r="J833" i="1"/>
  <c r="AH818" i="1"/>
  <c r="AH801" i="1"/>
  <c r="M794" i="1"/>
  <c r="G786" i="1"/>
  <c r="AI778" i="1"/>
  <c r="L770" i="1"/>
  <c r="L763" i="1"/>
  <c r="W738" i="1"/>
  <c r="L725" i="1"/>
  <c r="J689" i="1"/>
  <c r="AI682" i="1"/>
  <c r="AF675" i="1"/>
  <c r="G648" i="1"/>
  <c r="L614" i="1"/>
  <c r="AI584" i="1"/>
  <c r="M578" i="1"/>
  <c r="AF565" i="1"/>
  <c r="L551" i="1"/>
  <c r="AI524" i="1"/>
  <c r="G504" i="1"/>
  <c r="L498" i="1"/>
  <c r="AI472" i="1"/>
  <c r="AI466" i="1"/>
  <c r="J461" i="1"/>
  <c r="J455" i="1"/>
  <c r="L432" i="1"/>
  <c r="AF427" i="1"/>
  <c r="L421" i="1"/>
  <c r="W400" i="1"/>
  <c r="J395" i="1"/>
  <c r="W391" i="1"/>
  <c r="AI376" i="1"/>
  <c r="G366" i="1"/>
  <c r="W360" i="1"/>
  <c r="W355" i="1"/>
  <c r="L350" i="1"/>
  <c r="AI344" i="1"/>
  <c r="L339" i="1"/>
  <c r="AH324" i="1"/>
  <c r="W320" i="1"/>
  <c r="M311" i="1"/>
  <c r="L307" i="1"/>
  <c r="L298" i="1"/>
  <c r="AF285" i="1"/>
  <c r="J281" i="1"/>
  <c r="M277" i="1"/>
  <c r="AF272" i="1"/>
  <c r="AI264" i="1"/>
  <c r="L250" i="1"/>
  <c r="W231" i="1"/>
  <c r="AH227" i="1"/>
  <c r="M218" i="1"/>
  <c r="W215" i="1"/>
  <c r="M208" i="1"/>
  <c r="J205" i="1"/>
  <c r="L202" i="1"/>
  <c r="J199" i="1"/>
  <c r="W196" i="1"/>
  <c r="W188" i="1"/>
  <c r="AH185" i="1"/>
  <c r="J177" i="1"/>
  <c r="G174" i="1"/>
  <c r="W171" i="1"/>
  <c r="AI168" i="1"/>
  <c r="AH165" i="1"/>
  <c r="AI162" i="1"/>
  <c r="AH159" i="1"/>
  <c r="J151" i="1"/>
  <c r="L148" i="1"/>
  <c r="L145" i="1"/>
  <c r="M142" i="1"/>
  <c r="G140" i="1"/>
  <c r="W137" i="1"/>
  <c r="AF123" i="1"/>
  <c r="L118" i="1"/>
  <c r="J115" i="1"/>
  <c r="M112" i="1"/>
  <c r="L109" i="1"/>
  <c r="M106" i="1"/>
  <c r="W100" i="1"/>
  <c r="L98" i="1"/>
  <c r="W95" i="1"/>
  <c r="J87" i="1"/>
  <c r="G84" i="1"/>
  <c r="AF81" i="1"/>
  <c r="L76" i="1"/>
  <c r="AI70" i="1"/>
  <c r="L68" i="1"/>
  <c r="AH65" i="1"/>
  <c r="W63" i="1"/>
  <c r="W58" i="1"/>
  <c r="L56" i="1"/>
  <c r="AH53" i="1"/>
  <c r="L51" i="1"/>
  <c r="M46" i="1"/>
  <c r="L44" i="1"/>
  <c r="AH41" i="1"/>
  <c r="J39" i="1"/>
  <c r="AI36" i="1"/>
  <c r="L34" i="1"/>
  <c r="G32" i="1"/>
  <c r="W29" i="1"/>
  <c r="J27" i="1"/>
  <c r="W22" i="1"/>
  <c r="M20" i="1"/>
  <c r="G18" i="1"/>
  <c r="AH15" i="1"/>
  <c r="W11" i="1"/>
  <c r="J9" i="1"/>
  <c r="W4" i="1"/>
  <c r="M2" i="1"/>
  <c r="L106" i="1"/>
  <c r="L81" i="1"/>
  <c r="AF53" i="1"/>
  <c r="L46" i="1"/>
  <c r="AI24" i="1"/>
  <c r="L13" i="1"/>
  <c r="M4" i="1"/>
  <c r="AF89" i="1"/>
  <c r="L4" i="1"/>
  <c r="W364" i="1"/>
  <c r="AI144" i="1"/>
  <c r="AF2204" i="1"/>
  <c r="AH1300" i="1"/>
  <c r="G1207" i="1"/>
  <c r="J1157" i="1"/>
  <c r="G1062" i="1"/>
  <c r="L932" i="1"/>
  <c r="M752" i="1"/>
  <c r="AF465" i="1"/>
  <c r="W385" i="1"/>
  <c r="J319" i="1"/>
  <c r="L249" i="1"/>
  <c r="AH233" i="1"/>
  <c r="AH210" i="1"/>
  <c r="L190" i="1"/>
  <c r="L176" i="1"/>
  <c r="M170" i="1"/>
  <c r="W136" i="1"/>
  <c r="AH108" i="1"/>
  <c r="J97" i="1"/>
  <c r="W75" i="1"/>
  <c r="L67" i="1"/>
  <c r="AH57" i="1"/>
  <c r="M38" i="1"/>
  <c r="AH21" i="1"/>
  <c r="AH3" i="1"/>
  <c r="L270" i="1"/>
  <c r="W164" i="1"/>
  <c r="M94" i="1"/>
  <c r="J67" i="1"/>
  <c r="L38" i="1"/>
  <c r="L19" i="1"/>
  <c r="W2319" i="1"/>
  <c r="M1497" i="1"/>
  <c r="L1260" i="1"/>
  <c r="G1189" i="1"/>
  <c r="L1148" i="1"/>
  <c r="AF961" i="1"/>
  <c r="L923" i="1"/>
  <c r="AF837" i="1"/>
  <c r="L588" i="1"/>
  <c r="AH562" i="1"/>
  <c r="AI440" i="1"/>
  <c r="G309" i="1"/>
  <c r="AH295" i="1"/>
  <c r="W262" i="1"/>
  <c r="L184" i="1"/>
  <c r="M158" i="1"/>
  <c r="AI138" i="1"/>
  <c r="G128" i="1"/>
  <c r="M80" i="1"/>
  <c r="AF47" i="1"/>
  <c r="AH23" i="1"/>
  <c r="G2142" i="1"/>
  <c r="AI1901" i="1"/>
  <c r="L1434" i="1"/>
  <c r="J1260" i="1"/>
  <c r="AF1240" i="1"/>
  <c r="J1213" i="1"/>
  <c r="AI1114" i="1"/>
  <c r="W1068" i="1"/>
  <c r="M1046" i="1"/>
  <c r="G954" i="1"/>
  <c r="G882" i="1"/>
  <c r="G828" i="1"/>
  <c r="W727" i="1"/>
  <c r="L715" i="1"/>
  <c r="L630" i="1"/>
  <c r="AH603" i="1"/>
  <c r="AH506" i="1"/>
  <c r="AH440" i="1"/>
  <c r="AF429" i="1"/>
  <c r="AI412" i="1"/>
  <c r="AH367" i="1"/>
  <c r="G352" i="1"/>
  <c r="AH317" i="1"/>
  <c r="AF295" i="1"/>
  <c r="M287" i="1"/>
  <c r="AH274" i="1"/>
  <c r="AH251" i="1"/>
  <c r="AI232" i="1"/>
  <c r="AH216" i="1"/>
  <c r="AF209" i="1"/>
  <c r="AH197" i="1"/>
  <c r="W189" i="1"/>
  <c r="J181" i="1"/>
  <c r="M172" i="1"/>
  <c r="L164" i="1"/>
  <c r="W146" i="1"/>
  <c r="AH138" i="1"/>
  <c r="L130" i="1"/>
  <c r="AH107" i="1"/>
  <c r="AI96" i="1"/>
  <c r="J85" i="1"/>
  <c r="AH59" i="1"/>
  <c r="AI54" i="1"/>
  <c r="J45" i="1"/>
  <c r="L40" i="1"/>
  <c r="AF23" i="1"/>
  <c r="G8" i="1"/>
  <c r="AF789" i="1"/>
  <c r="AI692" i="1"/>
  <c r="G630" i="1"/>
  <c r="AH574" i="1"/>
  <c r="J373" i="1"/>
  <c r="J341" i="1"/>
  <c r="G322" i="1"/>
  <c r="L265" i="1"/>
  <c r="AI238" i="1"/>
  <c r="G216" i="1"/>
  <c r="G164" i="1"/>
  <c r="M110" i="1"/>
  <c r="J99" i="1"/>
  <c r="AI66" i="1"/>
  <c r="AH42" i="1"/>
  <c r="W23" i="1"/>
  <c r="W16" i="1"/>
  <c r="J2089" i="1"/>
  <c r="AH1940" i="1"/>
  <c r="G1824" i="1"/>
  <c r="J1748" i="1"/>
  <c r="AH1696" i="1"/>
  <c r="M1590" i="1"/>
  <c r="AI1581" i="1"/>
  <c r="AI1539" i="1"/>
  <c r="AI1529" i="1"/>
  <c r="G1469" i="1"/>
  <c r="L1461" i="1"/>
  <c r="G1439" i="1"/>
  <c r="G1343" i="1"/>
  <c r="AF1227" i="1"/>
  <c r="G1218" i="1"/>
  <c r="W1176" i="1"/>
  <c r="M1094" i="1"/>
  <c r="W1087" i="1"/>
  <c r="L1057" i="1"/>
  <c r="L1049" i="1"/>
  <c r="AF1035" i="1"/>
  <c r="L1003" i="1"/>
  <c r="G972" i="1"/>
  <c r="AH934" i="1"/>
  <c r="AF927" i="1"/>
  <c r="AI886" i="1"/>
  <c r="L871" i="1"/>
  <c r="G864" i="1"/>
  <c r="M848" i="1"/>
  <c r="AH747" i="1"/>
  <c r="L738" i="1"/>
  <c r="J725" i="1"/>
  <c r="AH711" i="1"/>
  <c r="M704" i="1"/>
  <c r="AH682" i="1"/>
  <c r="L668" i="1"/>
  <c r="J641" i="1"/>
  <c r="L599" i="1"/>
  <c r="M572" i="1"/>
  <c r="G558" i="1"/>
  <c r="AH531" i="1"/>
  <c r="M524" i="1"/>
  <c r="W517" i="1"/>
  <c r="L491" i="1"/>
  <c r="AH484" i="1"/>
  <c r="AH477" i="1"/>
  <c r="AH472" i="1"/>
  <c r="AH466" i="1"/>
  <c r="J443" i="1"/>
  <c r="W427" i="1"/>
  <c r="M404" i="1"/>
  <c r="J391" i="1"/>
  <c r="G382" i="1"/>
  <c r="W376" i="1"/>
  <c r="L360" i="1"/>
  <c r="J355" i="1"/>
  <c r="AH344" i="1"/>
  <c r="W334" i="1"/>
  <c r="AH329" i="1"/>
  <c r="W324" i="1"/>
  <c r="AH315" i="1"/>
  <c r="L311" i="1"/>
  <c r="J293" i="1"/>
  <c r="W285" i="1"/>
  <c r="L277" i="1"/>
  <c r="W272" i="1"/>
  <c r="AF267" i="1"/>
  <c r="W260" i="1"/>
  <c r="L253" i="1"/>
  <c r="AI246" i="1"/>
  <c r="W243" i="1"/>
  <c r="AI240" i="1"/>
  <c r="AH237" i="1"/>
  <c r="AH234" i="1"/>
  <c r="J231" i="1"/>
  <c r="AF227" i="1"/>
  <c r="W224" i="1"/>
  <c r="AH221" i="1"/>
  <c r="L218" i="1"/>
  <c r="J211" i="1"/>
  <c r="L208" i="1"/>
  <c r="M196" i="1"/>
  <c r="G194" i="1"/>
  <c r="AI190" i="1"/>
  <c r="L188" i="1"/>
  <c r="W185" i="1"/>
  <c r="M182" i="1"/>
  <c r="AH179" i="1"/>
  <c r="J171" i="1"/>
  <c r="AH168" i="1"/>
  <c r="W165" i="1"/>
  <c r="AH162" i="1"/>
  <c r="AF159" i="1"/>
  <c r="AH153" i="1"/>
  <c r="J145" i="1"/>
  <c r="L142" i="1"/>
  <c r="W134" i="1"/>
  <c r="W131" i="1"/>
  <c r="G126" i="1"/>
  <c r="W123" i="1"/>
  <c r="J109" i="1"/>
  <c r="M100" i="1"/>
  <c r="W92" i="1"/>
  <c r="AH89" i="1"/>
  <c r="L73" i="1"/>
  <c r="W70" i="1"/>
  <c r="L63" i="1"/>
  <c r="M58" i="1"/>
  <c r="J51" i="1"/>
  <c r="M22" i="1"/>
  <c r="AI6" i="1"/>
  <c r="AH78" i="1"/>
  <c r="J63" i="1"/>
  <c r="L22" i="1"/>
  <c r="L319" i="1"/>
  <c r="AH120" i="1"/>
  <c r="AF1779" i="1"/>
  <c r="AI1174" i="1"/>
  <c r="L1109" i="1"/>
  <c r="AF807" i="1"/>
  <c r="W666" i="1"/>
  <c r="M632" i="1"/>
  <c r="W589" i="1"/>
  <c r="AH502" i="1"/>
  <c r="AH470" i="1"/>
  <c r="AH436" i="1"/>
  <c r="AH403" i="1"/>
  <c r="L301" i="1"/>
  <c r="L256" i="1"/>
  <c r="AH226" i="1"/>
  <c r="W201" i="1"/>
  <c r="G182" i="1"/>
  <c r="W147" i="1"/>
  <c r="AH130" i="1"/>
  <c r="W111" i="1"/>
  <c r="AH40" i="1"/>
  <c r="W28" i="1"/>
  <c r="W17" i="1"/>
  <c r="M8" i="1"/>
  <c r="AH262" i="1"/>
  <c r="W167" i="1"/>
  <c r="W80" i="1"/>
  <c r="AF57" i="1"/>
  <c r="L50" i="1"/>
  <c r="L26" i="1"/>
  <c r="W274" i="1"/>
  <c r="L3564" i="1"/>
  <c r="AF1940" i="1"/>
  <c r="AF1855" i="1"/>
  <c r="W1845" i="1"/>
  <c r="M1737" i="1"/>
  <c r="W1705" i="1"/>
  <c r="L1590" i="1"/>
  <c r="AI1559" i="1"/>
  <c r="G1549" i="1"/>
  <c r="J1529" i="1"/>
  <c r="W1408" i="1"/>
  <c r="AH1322" i="1"/>
  <c r="J1292" i="1"/>
  <c r="G1254" i="1"/>
  <c r="AI1199" i="1"/>
  <c r="L1183" i="1"/>
  <c r="M1158" i="1"/>
  <c r="J1150" i="1"/>
  <c r="AH1125" i="1"/>
  <c r="M1118" i="1"/>
  <c r="G1110" i="1"/>
  <c r="AI1102" i="1"/>
  <c r="L1094" i="1"/>
  <c r="L1087" i="1"/>
  <c r="W1062" i="1"/>
  <c r="J1049" i="1"/>
  <c r="L986" i="1"/>
  <c r="AH956" i="1"/>
  <c r="L949" i="1"/>
  <c r="AH855" i="1"/>
  <c r="L839" i="1"/>
  <c r="AI800" i="1"/>
  <c r="L785" i="1"/>
  <c r="AH753" i="1"/>
  <c r="G738" i="1"/>
  <c r="J731" i="1"/>
  <c r="AH718" i="1"/>
  <c r="AF711" i="1"/>
  <c r="L704" i="1"/>
  <c r="L696" i="1"/>
  <c r="AH674" i="1"/>
  <c r="M626" i="1"/>
  <c r="L619" i="1"/>
  <c r="J599" i="1"/>
  <c r="AF583" i="1"/>
  <c r="AH537" i="1"/>
  <c r="L509" i="1"/>
  <c r="AI454" i="1"/>
  <c r="G432" i="1"/>
  <c r="W414" i="1"/>
  <c r="AH409" i="1"/>
  <c r="L404" i="1"/>
  <c r="G400" i="1"/>
  <c r="W349" i="1"/>
  <c r="L344" i="1"/>
  <c r="AI338" i="1"/>
  <c r="G334" i="1"/>
  <c r="M324" i="1"/>
  <c r="L306" i="1"/>
  <c r="W301" i="1"/>
  <c r="G297" i="1"/>
  <c r="AH288" i="1"/>
  <c r="W267" i="1"/>
  <c r="AH263" i="1"/>
  <c r="M260" i="1"/>
  <c r="AI256" i="1"/>
  <c r="AF249" i="1"/>
  <c r="AH246" i="1"/>
  <c r="L243" i="1"/>
  <c r="AH240" i="1"/>
  <c r="AF237" i="1"/>
  <c r="M224" i="1"/>
  <c r="AI214" i="1"/>
  <c r="AI204" i="1"/>
  <c r="AH201" i="1"/>
  <c r="AI198" i="1"/>
  <c r="L196" i="1"/>
  <c r="AH190" i="1"/>
  <c r="L182" i="1"/>
  <c r="AF179" i="1"/>
  <c r="AH173" i="1"/>
  <c r="J165" i="1"/>
  <c r="W159" i="1"/>
  <c r="AH156" i="1"/>
  <c r="AF153" i="1"/>
  <c r="AI150" i="1"/>
  <c r="AH147" i="1"/>
  <c r="L139" i="1"/>
  <c r="AI136" i="1"/>
  <c r="M134" i="1"/>
  <c r="W128" i="1"/>
  <c r="L123" i="1"/>
  <c r="AI120" i="1"/>
  <c r="AF117" i="1"/>
  <c r="AH111" i="1"/>
  <c r="L100" i="1"/>
  <c r="AI94" i="1"/>
  <c r="M92" i="1"/>
  <c r="AF83" i="1"/>
  <c r="J81" i="1"/>
  <c r="AH75" i="1"/>
  <c r="J73" i="1"/>
  <c r="M70" i="1"/>
  <c r="G68" i="1"/>
  <c r="W65" i="1"/>
  <c r="AI60" i="1"/>
  <c r="L58" i="1"/>
  <c r="G56" i="1"/>
  <c r="W53" i="1"/>
  <c r="AH48" i="1"/>
  <c r="AH33" i="1"/>
  <c r="L31" i="1"/>
  <c r="AI28" i="1"/>
  <c r="AH24" i="1"/>
  <c r="AH17" i="1"/>
  <c r="W15" i="1"/>
  <c r="AI10" i="1"/>
  <c r="AH6" i="1"/>
  <c r="L1862" i="1"/>
  <c r="M1705" i="1"/>
  <c r="W1597" i="1"/>
  <c r="AI1133" i="1"/>
  <c r="AH1071" i="1"/>
  <c r="J839" i="1"/>
  <c r="G696" i="1"/>
  <c r="AH632" i="1"/>
  <c r="J563" i="1"/>
  <c r="J509" i="1"/>
  <c r="AI476" i="1"/>
  <c r="AH465" i="1"/>
  <c r="W420" i="1"/>
  <c r="AF409" i="1"/>
  <c r="AI394" i="1"/>
  <c r="AF385" i="1"/>
  <c r="G354" i="1"/>
  <c r="M301" i="1"/>
  <c r="M288" i="1"/>
  <c r="L280" i="1"/>
  <c r="AH271" i="1"/>
  <c r="AF263" i="1"/>
  <c r="AH256" i="1"/>
  <c r="W249" i="1"/>
  <c r="L224" i="1"/>
  <c r="G218" i="1"/>
  <c r="W207" i="1"/>
  <c r="AF201" i="1"/>
  <c r="L193" i="1"/>
  <c r="M176" i="1"/>
  <c r="G162" i="1"/>
  <c r="L159" i="1"/>
  <c r="G156" i="1"/>
  <c r="AH150" i="1"/>
  <c r="J139" i="1"/>
  <c r="AH125" i="1"/>
  <c r="W117" i="1"/>
  <c r="AF111" i="1"/>
  <c r="AH105" i="1"/>
  <c r="L97" i="1"/>
  <c r="L92" i="1"/>
  <c r="M86" i="1"/>
  <c r="AF75" i="1"/>
  <c r="L70" i="1"/>
  <c r="G48" i="1"/>
  <c r="W38" i="1"/>
  <c r="AF33" i="1"/>
  <c r="W26" i="1"/>
  <c r="G20" i="1"/>
  <c r="G1253" i="1"/>
  <c r="L1165" i="1"/>
  <c r="L823" i="1"/>
  <c r="AH645" i="1"/>
  <c r="L515" i="1"/>
  <c r="G414" i="1"/>
  <c r="W369" i="1"/>
  <c r="G333" i="1"/>
  <c r="L288" i="1"/>
  <c r="AH245" i="1"/>
  <c r="AH213" i="1"/>
  <c r="W184" i="1"/>
  <c r="AF125" i="1"/>
  <c r="AH99" i="1"/>
  <c r="G78" i="1"/>
  <c r="AI52" i="1"/>
  <c r="J15" i="1"/>
  <c r="G6" i="1"/>
  <c r="W275" i="1"/>
  <c r="AI178" i="1"/>
  <c r="W130" i="1"/>
  <c r="G102" i="1"/>
  <c r="AI88" i="1"/>
  <c r="AH72" i="1"/>
  <c r="AH69" i="1"/>
  <c r="J55" i="1"/>
  <c r="AH47" i="1"/>
  <c r="M28" i="1"/>
  <c r="AF21" i="1"/>
  <c r="M10" i="1"/>
  <c r="AF3" i="1"/>
  <c r="M1881" i="1"/>
  <c r="G1788" i="1"/>
  <c r="W1526" i="1"/>
  <c r="M1197" i="1"/>
  <c r="M1076" i="1"/>
  <c r="AI844" i="1"/>
  <c r="G774" i="1"/>
  <c r="AH736" i="1"/>
  <c r="AI610" i="1"/>
  <c r="AI488" i="1"/>
  <c r="AH429" i="1"/>
  <c r="W403" i="1"/>
  <c r="W358" i="1"/>
  <c r="W287" i="1"/>
  <c r="G266" i="1"/>
  <c r="M236" i="1"/>
  <c r="J223" i="1"/>
  <c r="L213" i="1"/>
  <c r="L195" i="1"/>
  <c r="AF189" i="1"/>
  <c r="L181" i="1"/>
  <c r="M164" i="1"/>
  <c r="J141" i="1"/>
  <c r="M130" i="1"/>
  <c r="M122" i="1"/>
  <c r="W99" i="1"/>
  <c r="M88" i="1"/>
  <c r="AH77" i="1"/>
  <c r="W64" i="1"/>
  <c r="M52" i="1"/>
  <c r="M40" i="1"/>
  <c r="AI30" i="1"/>
  <c r="W21" i="1"/>
  <c r="L10" i="1"/>
  <c r="G1637" i="1"/>
  <c r="W1098" i="1"/>
  <c r="L938" i="1"/>
  <c r="AH844" i="1"/>
  <c r="AF547" i="1"/>
  <c r="AI520" i="1"/>
  <c r="AI494" i="1"/>
  <c r="AF457" i="1"/>
  <c r="L341" i="1"/>
  <c r="AH304" i="1"/>
  <c r="AF255" i="1"/>
  <c r="J229" i="1"/>
  <c r="AH192" i="1"/>
  <c r="L175" i="1"/>
  <c r="L122" i="1"/>
  <c r="W82" i="1"/>
  <c r="L80" i="1"/>
  <c r="G72" i="1"/>
  <c r="L62" i="1"/>
  <c r="L52" i="1"/>
  <c r="AI42" i="1"/>
  <c r="AH30" i="1"/>
  <c r="L3" i="1"/>
  <c r="AH1988" i="1"/>
  <c r="AF1575" i="1"/>
  <c r="AI1504" i="1"/>
  <c r="J1392" i="1"/>
  <c r="G1098" i="1"/>
  <c r="AH1060" i="1"/>
  <c r="J1013" i="1"/>
  <c r="AH998" i="1"/>
  <c r="AF945" i="1"/>
  <c r="AH897" i="1"/>
  <c r="L804" i="1"/>
  <c r="L781" i="1"/>
  <c r="L727" i="1"/>
  <c r="AI656" i="1"/>
  <c r="AF513" i="1"/>
  <c r="AH494" i="1"/>
  <c r="W450" i="1"/>
  <c r="AI434" i="1"/>
  <c r="AH412" i="1"/>
  <c r="G388" i="1"/>
  <c r="AF367" i="1"/>
  <c r="W357" i="1"/>
  <c r="AH312" i="1"/>
  <c r="J304" i="1"/>
  <c r="W278" i="1"/>
  <c r="AI258" i="1"/>
  <c r="G236" i="1"/>
  <c r="W209" i="1"/>
  <c r="AF197" i="1"/>
  <c r="L189" i="1"/>
  <c r="AH183" i="1"/>
  <c r="AH166" i="1"/>
  <c r="G158" i="1"/>
  <c r="M152" i="1"/>
  <c r="W143" i="1"/>
  <c r="AF135" i="1"/>
  <c r="L127" i="1"/>
  <c r="M116" i="1"/>
  <c r="AF107" i="1"/>
  <c r="AH96" i="1"/>
  <c r="M82" i="1"/>
  <c r="W74" i="1"/>
  <c r="L64" i="1"/>
  <c r="G30" i="1"/>
  <c r="W5" i="1"/>
  <c r="G2214" i="1"/>
  <c r="M2086" i="1"/>
  <c r="AI1798" i="1"/>
  <c r="J1788" i="1"/>
  <c r="AI1755" i="1"/>
  <c r="L1517" i="1"/>
  <c r="J1488" i="1"/>
  <c r="AH1466" i="1"/>
  <c r="W1426" i="1"/>
  <c r="AH1330" i="1"/>
  <c r="G1290" i="1"/>
  <c r="G1271" i="1"/>
  <c r="J1241" i="1"/>
  <c r="L1224" i="1"/>
  <c r="G1165" i="1"/>
  <c r="G1140" i="1"/>
  <c r="L1040" i="1"/>
  <c r="AH1024" i="1"/>
  <c r="L1008" i="1"/>
  <c r="AH969" i="1"/>
  <c r="AF891" i="1"/>
  <c r="L853" i="1"/>
  <c r="AI790" i="1"/>
  <c r="AF783" i="1"/>
  <c r="W774" i="1"/>
  <c r="L752" i="1"/>
  <c r="W744" i="1"/>
  <c r="AI736" i="1"/>
  <c r="AH722" i="1"/>
  <c r="L716" i="1"/>
  <c r="L679" i="1"/>
  <c r="W673" i="1"/>
  <c r="L625" i="1"/>
  <c r="J617" i="1"/>
  <c r="L576" i="1"/>
  <c r="AI562" i="1"/>
  <c r="AF555" i="1"/>
  <c r="AH548" i="1"/>
  <c r="AI542" i="1"/>
  <c r="L536" i="1"/>
  <c r="J515" i="1"/>
  <c r="AF495" i="1"/>
  <c r="M470" i="1"/>
  <c r="AH458" i="1"/>
  <c r="AF403" i="1"/>
  <c r="M398" i="1"/>
  <c r="W394" i="1"/>
  <c r="J389" i="1"/>
  <c r="AH358" i="1"/>
  <c r="AH353" i="1"/>
  <c r="G348" i="1"/>
  <c r="L342" i="1"/>
  <c r="L314" i="1"/>
  <c r="AH291" i="1"/>
  <c r="J259" i="1"/>
  <c r="G252" i="1"/>
  <c r="J249" i="1"/>
  <c r="AF245" i="1"/>
  <c r="W236" i="1"/>
  <c r="AF233" i="1"/>
  <c r="W226" i="1"/>
  <c r="W220" i="1"/>
  <c r="J217" i="1"/>
  <c r="AF213" i="1"/>
  <c r="J207" i="1"/>
  <c r="G204" i="1"/>
  <c r="G198" i="1"/>
  <c r="AF195" i="1"/>
  <c r="M184" i="1"/>
  <c r="L170" i="1"/>
  <c r="AH161" i="1"/>
  <c r="AF155" i="1"/>
  <c r="J147" i="1"/>
  <c r="W141" i="1"/>
  <c r="L136" i="1"/>
  <c r="G114" i="1"/>
  <c r="AF99" i="1"/>
  <c r="J75" i="1"/>
  <c r="W40" i="1"/>
  <c r="AI12" i="1"/>
  <c r="M722" i="1"/>
  <c r="AH16" i="1"/>
  <c r="AI764" i="1"/>
  <c r="I114" i="1" l="1"/>
  <c r="I198" i="1"/>
  <c r="I204" i="1"/>
  <c r="I252" i="1"/>
  <c r="I348" i="1"/>
  <c r="I1140" i="1"/>
  <c r="I1165" i="1"/>
  <c r="I1271" i="1"/>
  <c r="I1290" i="1"/>
  <c r="I2214" i="1"/>
  <c r="I30" i="1"/>
  <c r="I158" i="1"/>
  <c r="I236" i="1"/>
  <c r="I388" i="1"/>
  <c r="I1098" i="1"/>
  <c r="I72" i="1"/>
  <c r="I1637" i="1"/>
  <c r="I266" i="1"/>
  <c r="I774" i="1"/>
  <c r="I1788" i="1"/>
  <c r="I102" i="1"/>
  <c r="I6" i="1"/>
  <c r="I78" i="1"/>
  <c r="I333" i="1"/>
  <c r="I414" i="1"/>
  <c r="I1253" i="1"/>
  <c r="I20" i="1"/>
  <c r="I48" i="1"/>
  <c r="I156" i="1"/>
  <c r="I162" i="1"/>
  <c r="I218" i="1"/>
  <c r="I354" i="1"/>
  <c r="I696" i="1"/>
  <c r="I56" i="1"/>
  <c r="I68" i="1"/>
  <c r="I297" i="1"/>
  <c r="I334" i="1"/>
  <c r="I400" i="1"/>
  <c r="I432" i="1"/>
  <c r="I738" i="1"/>
  <c r="I1110" i="1"/>
  <c r="I1254" i="1"/>
  <c r="I1549" i="1"/>
  <c r="I182" i="1"/>
  <c r="I126" i="1"/>
  <c r="I194" i="1"/>
  <c r="I382" i="1"/>
  <c r="I558" i="1"/>
  <c r="I864" i="1"/>
  <c r="I972" i="1"/>
  <c r="I1218" i="1"/>
  <c r="I1343" i="1"/>
  <c r="I1439" i="1"/>
  <c r="I1469" i="1"/>
  <c r="I1824" i="1"/>
  <c r="I164" i="1"/>
  <c r="I216" i="1"/>
  <c r="I322" i="1"/>
  <c r="I630" i="1"/>
  <c r="I8" i="1"/>
  <c r="I352" i="1"/>
  <c r="I828" i="1"/>
  <c r="I882" i="1"/>
  <c r="I954" i="1"/>
  <c r="I2142" i="1"/>
  <c r="I128" i="1"/>
  <c r="I309" i="1"/>
  <c r="I1189" i="1"/>
  <c r="I1062" i="1"/>
  <c r="I1207" i="1"/>
  <c r="I18" i="1"/>
  <c r="I32" i="1"/>
  <c r="I84" i="1"/>
  <c r="I140" i="1"/>
  <c r="I174" i="1"/>
  <c r="I366" i="1"/>
  <c r="I504" i="1"/>
  <c r="I648" i="1"/>
  <c r="I786" i="1"/>
  <c r="I1044" i="1"/>
  <c r="I2464" i="1"/>
  <c r="I2991" i="1"/>
  <c r="I26" i="1"/>
  <c r="I2329" i="1"/>
  <c r="I92" i="1"/>
  <c r="I24" i="1"/>
  <c r="I230" i="1"/>
  <c r="I1182" i="1"/>
  <c r="I14" i="1"/>
  <c r="I74" i="1"/>
  <c r="I90" i="1"/>
  <c r="I104" i="1"/>
  <c r="I132" i="1"/>
  <c r="I212" i="1"/>
  <c r="I254" i="1"/>
  <c r="I258" i="1"/>
  <c r="I372" i="1"/>
  <c r="I450" i="1"/>
  <c r="I642" i="1"/>
  <c r="I720" i="1"/>
  <c r="I1020" i="1"/>
  <c r="I138" i="1"/>
  <c r="I38" i="1"/>
  <c r="I50" i="1"/>
  <c r="I60" i="1"/>
  <c r="I86" i="1"/>
  <c r="I150" i="1"/>
  <c r="I176" i="1"/>
  <c r="I328" i="1"/>
  <c r="I522" i="1"/>
  <c r="I2" i="1"/>
  <c r="I36" i="1"/>
  <c r="I612" i="1"/>
  <c r="I1235" i="1"/>
  <c r="I42" i="1"/>
  <c r="I54" i="1"/>
  <c r="I66" i="1"/>
  <c r="I146" i="1"/>
  <c r="I186" i="1"/>
  <c r="I273" i="1"/>
  <c r="I286" i="1"/>
  <c r="I406" i="1"/>
  <c r="I540" i="1"/>
  <c r="I1194" i="1"/>
  <c r="I1644" i="1"/>
  <c r="I1794" i="1"/>
  <c r="I12" i="1"/>
  <c r="I144" i="1"/>
  <c r="I240" i="1"/>
  <c r="I310" i="1"/>
  <c r="I364" i="1"/>
  <c r="I200" i="1"/>
  <c r="I312" i="1"/>
  <c r="I336" i="1"/>
  <c r="I346" i="1"/>
  <c r="I462" i="1"/>
  <c r="I480" i="1"/>
  <c r="I1153" i="1"/>
  <c r="I1213" i="1"/>
  <c r="I588" i="1"/>
  <c r="I678" i="1"/>
  <c r="I912" i="1"/>
  <c r="I1002" i="1"/>
  <c r="I1146" i="1"/>
  <c r="I1307" i="1"/>
  <c r="I1349" i="1"/>
  <c r="I1805" i="1"/>
  <c r="I1889" i="1"/>
  <c r="I966" i="1"/>
  <c r="I1193" i="1"/>
  <c r="I1988" i="1"/>
  <c r="I110" i="1"/>
  <c r="I122" i="1"/>
  <c r="I168" i="1"/>
  <c r="I180" i="1"/>
  <c r="I192" i="1"/>
  <c r="I222" i="1"/>
  <c r="I426" i="1"/>
  <c r="I750" i="1"/>
  <c r="I1074" i="1"/>
  <c r="I1279" i="1"/>
  <c r="I1361" i="1"/>
  <c r="I1403" i="1"/>
  <c r="I1837" i="1"/>
  <c r="I2227" i="1"/>
  <c r="I756" i="1"/>
  <c r="I846" i="1"/>
  <c r="I936" i="1"/>
  <c r="I1080" i="1"/>
  <c r="I3292" i="1"/>
  <c r="I666" i="1"/>
  <c r="I990" i="1"/>
  <c r="I1924" i="1"/>
  <c r="I570" i="1"/>
  <c r="I804" i="1"/>
  <c r="I894" i="1"/>
  <c r="I1128" i="1"/>
  <c r="I1243" i="1"/>
  <c r="I1289" i="1"/>
  <c r="I96" i="1"/>
  <c r="I108" i="1"/>
  <c r="I120" i="1"/>
  <c r="I234" i="1"/>
  <c r="I248" i="1"/>
  <c r="I534" i="1"/>
  <c r="I858" i="1"/>
  <c r="I1231" i="1"/>
  <c r="I1963" i="1"/>
  <c r="I299" i="1"/>
  <c r="I323" i="1"/>
  <c r="I370" i="1"/>
  <c r="I444" i="1"/>
  <c r="I552" i="1"/>
  <c r="I660" i="1"/>
  <c r="I768" i="1"/>
  <c r="I876" i="1"/>
  <c r="I984" i="1"/>
  <c r="I1092" i="1"/>
  <c r="I1158" i="1"/>
  <c r="I1249" i="1"/>
  <c r="I1267" i="1"/>
  <c r="I1285" i="1"/>
  <c r="I1303" i="1"/>
  <c r="I1415" i="1"/>
  <c r="I1585" i="1"/>
  <c r="I1830" i="1"/>
  <c r="I1877" i="1"/>
  <c r="I1956" i="1"/>
  <c r="I1981" i="1"/>
  <c r="I276" i="1"/>
  <c r="I300" i="1"/>
  <c r="I402" i="1"/>
  <c r="I486" i="1"/>
  <c r="I594" i="1"/>
  <c r="I702" i="1"/>
  <c r="I810" i="1"/>
  <c r="I918" i="1"/>
  <c r="I1026" i="1"/>
  <c r="I1175" i="1"/>
  <c r="I1200" i="1"/>
  <c r="I1331" i="1"/>
  <c r="I1397" i="1"/>
  <c r="I1457" i="1"/>
  <c r="I1601" i="1"/>
  <c r="I1752" i="1"/>
  <c r="I2031" i="1"/>
  <c r="I210" i="1"/>
  <c r="I228" i="1"/>
  <c r="I246" i="1"/>
  <c r="I264" i="1"/>
  <c r="I287" i="1"/>
  <c r="I516" i="1"/>
  <c r="I624" i="1"/>
  <c r="I732" i="1"/>
  <c r="I840" i="1"/>
  <c r="I948" i="1"/>
  <c r="I1056" i="1"/>
  <c r="I1147" i="1"/>
  <c r="I1217" i="1"/>
  <c r="I1514" i="1"/>
  <c r="I1565" i="1"/>
  <c r="I1769" i="1"/>
  <c r="I1902" i="1"/>
  <c r="I1984" i="1"/>
  <c r="I44" i="1"/>
  <c r="I62" i="1"/>
  <c r="I80" i="1"/>
  <c r="I98" i="1"/>
  <c r="I116" i="1"/>
  <c r="I134" i="1"/>
  <c r="I152" i="1"/>
  <c r="I170" i="1"/>
  <c r="I188" i="1"/>
  <c r="I206" i="1"/>
  <c r="I224" i="1"/>
  <c r="I242" i="1"/>
  <c r="I260" i="1"/>
  <c r="I274" i="1"/>
  <c r="I384" i="1"/>
  <c r="I468" i="1"/>
  <c r="I576" i="1"/>
  <c r="I684" i="1"/>
  <c r="I792" i="1"/>
  <c r="I900" i="1"/>
  <c r="I1008" i="1"/>
  <c r="I1116" i="1"/>
  <c r="I1139" i="1"/>
  <c r="I1385" i="1"/>
  <c r="I1451" i="1"/>
  <c r="I1680" i="1"/>
  <c r="I1873" i="1"/>
  <c r="I390" i="1"/>
  <c r="I498" i="1"/>
  <c r="I606" i="1"/>
  <c r="I714" i="1"/>
  <c r="I822" i="1"/>
  <c r="I930" i="1"/>
  <c r="I1038" i="1"/>
  <c r="I1135" i="1"/>
  <c r="I1201" i="1"/>
  <c r="I1492" i="1"/>
  <c r="I7" i="1"/>
  <c r="I13" i="1"/>
  <c r="I19" i="1"/>
  <c r="I25" i="1"/>
  <c r="I31" i="1"/>
  <c r="I37" i="1"/>
  <c r="I43" i="1"/>
  <c r="I49" i="1"/>
  <c r="I55" i="1"/>
  <c r="I61" i="1"/>
  <c r="I67" i="1"/>
  <c r="I73" i="1"/>
  <c r="I79" i="1"/>
  <c r="I85" i="1"/>
  <c r="I91" i="1"/>
  <c r="I97" i="1"/>
  <c r="I103" i="1"/>
  <c r="I109" i="1"/>
  <c r="I115" i="1"/>
  <c r="I121" i="1"/>
  <c r="I127" i="1"/>
  <c r="I133" i="1"/>
  <c r="I139" i="1"/>
  <c r="I145" i="1"/>
  <c r="I151" i="1"/>
  <c r="I157" i="1"/>
  <c r="I163" i="1"/>
  <c r="I169" i="1"/>
  <c r="I175" i="1"/>
  <c r="I181" i="1"/>
  <c r="I187" i="1"/>
  <c r="I193" i="1"/>
  <c r="I199" i="1"/>
  <c r="I205" i="1"/>
  <c r="I211" i="1"/>
  <c r="I217" i="1"/>
  <c r="I223" i="1"/>
  <c r="I229" i="1"/>
  <c r="I235" i="1"/>
  <c r="I241" i="1"/>
  <c r="I247" i="1"/>
  <c r="I253" i="1"/>
  <c r="I259" i="1"/>
  <c r="I265" i="1"/>
  <c r="I270" i="1"/>
  <c r="I280" i="1"/>
  <c r="I293" i="1"/>
  <c r="I303" i="1"/>
  <c r="I306" i="1"/>
  <c r="I316" i="1"/>
  <c r="I408" i="1"/>
  <c r="I412" i="1"/>
  <c r="I430" i="1"/>
  <c r="I448" i="1"/>
  <c r="I466" i="1"/>
  <c r="I484" i="1"/>
  <c r="I502" i="1"/>
  <c r="I520" i="1"/>
  <c r="I538" i="1"/>
  <c r="I556" i="1"/>
  <c r="I574" i="1"/>
  <c r="I592" i="1"/>
  <c r="I610" i="1"/>
  <c r="I628" i="1"/>
  <c r="I646" i="1"/>
  <c r="I664" i="1"/>
  <c r="I682" i="1"/>
  <c r="I700" i="1"/>
  <c r="I718" i="1"/>
  <c r="I736" i="1"/>
  <c r="I754" i="1"/>
  <c r="I772" i="1"/>
  <c r="I790" i="1"/>
  <c r="I808" i="1"/>
  <c r="I826" i="1"/>
  <c r="I844" i="1"/>
  <c r="I862" i="1"/>
  <c r="I880" i="1"/>
  <c r="I898" i="1"/>
  <c r="I916" i="1"/>
  <c r="I934" i="1"/>
  <c r="I952" i="1"/>
  <c r="I970" i="1"/>
  <c r="I988" i="1"/>
  <c r="I1006" i="1"/>
  <c r="I1024" i="1"/>
  <c r="I1042" i="1"/>
  <c r="I1060" i="1"/>
  <c r="I1078" i="1"/>
  <c r="I1096" i="1"/>
  <c r="I1114" i="1"/>
  <c r="I1132" i="1"/>
  <c r="I1137" i="1"/>
  <c r="I1144" i="1"/>
  <c r="I1151" i="1"/>
  <c r="I1179" i="1"/>
  <c r="I1186" i="1"/>
  <c r="I1191" i="1"/>
  <c r="I1198" i="1"/>
  <c r="I1473" i="1"/>
  <c r="I1716" i="1"/>
  <c r="I1841" i="1"/>
  <c r="I1866" i="1"/>
  <c r="I1909" i="1"/>
  <c r="I1951" i="1"/>
  <c r="I1976" i="1"/>
  <c r="I1983" i="1"/>
  <c r="I1474" i="1"/>
  <c r="I1608" i="1"/>
  <c r="I1733" i="1"/>
  <c r="I1758" i="1"/>
  <c r="I1801" i="1"/>
  <c r="I1853" i="1"/>
  <c r="I1959" i="1"/>
  <c r="I2046" i="1"/>
  <c r="I3451" i="1"/>
  <c r="I5" i="1"/>
  <c r="I23" i="1"/>
  <c r="I35" i="1"/>
  <c r="I41" i="1"/>
  <c r="I47" i="1"/>
  <c r="I53" i="1"/>
  <c r="I59" i="1"/>
  <c r="I65" i="1"/>
  <c r="I71" i="1"/>
  <c r="I77" i="1"/>
  <c r="I83" i="1"/>
  <c r="I89" i="1"/>
  <c r="I95" i="1"/>
  <c r="I101" i="1"/>
  <c r="I107" i="1"/>
  <c r="I113" i="1"/>
  <c r="I119" i="1"/>
  <c r="I125" i="1"/>
  <c r="I131" i="1"/>
  <c r="I137" i="1"/>
  <c r="I143" i="1"/>
  <c r="I149" i="1"/>
  <c r="I155" i="1"/>
  <c r="I161" i="1"/>
  <c r="I167" i="1"/>
  <c r="I173" i="1"/>
  <c r="I179" i="1"/>
  <c r="I185" i="1"/>
  <c r="I191" i="1"/>
  <c r="I197" i="1"/>
  <c r="I203" i="1"/>
  <c r="I209" i="1"/>
  <c r="I215" i="1"/>
  <c r="I221" i="1"/>
  <c r="I227" i="1"/>
  <c r="I233" i="1"/>
  <c r="I239" i="1"/>
  <c r="I245" i="1"/>
  <c r="I251" i="1"/>
  <c r="I257" i="1"/>
  <c r="I263" i="1"/>
  <c r="I269" i="1"/>
  <c r="I279" i="1"/>
  <c r="I282" i="1"/>
  <c r="I292" i="1"/>
  <c r="I305" i="1"/>
  <c r="I315" i="1"/>
  <c r="I318" i="1"/>
  <c r="I330" i="1"/>
  <c r="I424" i="1"/>
  <c r="I442" i="1"/>
  <c r="I460" i="1"/>
  <c r="I478" i="1"/>
  <c r="I496" i="1"/>
  <c r="I514" i="1"/>
  <c r="I532" i="1"/>
  <c r="I550" i="1"/>
  <c r="I568" i="1"/>
  <c r="I586" i="1"/>
  <c r="I604" i="1"/>
  <c r="I622" i="1"/>
  <c r="I640" i="1"/>
  <c r="I658" i="1"/>
  <c r="I676" i="1"/>
  <c r="I694" i="1"/>
  <c r="I712" i="1"/>
  <c r="I730" i="1"/>
  <c r="I748" i="1"/>
  <c r="I766" i="1"/>
  <c r="I784" i="1"/>
  <c r="I802" i="1"/>
  <c r="I820" i="1"/>
  <c r="I838" i="1"/>
  <c r="I856" i="1"/>
  <c r="I874" i="1"/>
  <c r="I892" i="1"/>
  <c r="I910" i="1"/>
  <c r="I928" i="1"/>
  <c r="I946" i="1"/>
  <c r="I964" i="1"/>
  <c r="I982" i="1"/>
  <c r="I1000" i="1"/>
  <c r="I1018" i="1"/>
  <c r="I1036" i="1"/>
  <c r="I1054" i="1"/>
  <c r="I1072" i="1"/>
  <c r="I1090" i="1"/>
  <c r="I1108" i="1"/>
  <c r="I1126" i="1"/>
  <c r="I1133" i="1"/>
  <c r="I1161" i="1"/>
  <c r="I1168" i="1"/>
  <c r="I1173" i="1"/>
  <c r="I1180" i="1"/>
  <c r="I1187" i="1"/>
  <c r="I1211" i="1"/>
  <c r="I1222" i="1"/>
  <c r="I1237" i="1"/>
  <c r="I1247" i="1"/>
  <c r="I1258" i="1"/>
  <c r="I1273" i="1"/>
  <c r="I1283" i="1"/>
  <c r="I1294" i="1"/>
  <c r="I1502" i="1"/>
  <c r="I1507" i="1"/>
  <c r="I1572" i="1"/>
  <c r="I1697" i="1"/>
  <c r="I1722" i="1"/>
  <c r="I1765" i="1"/>
  <c r="I1817" i="1"/>
  <c r="I2064" i="1"/>
  <c r="I29" i="1"/>
  <c r="I420" i="1"/>
  <c r="I438" i="1"/>
  <c r="I456" i="1"/>
  <c r="I474" i="1"/>
  <c r="I492" i="1"/>
  <c r="I510" i="1"/>
  <c r="I528" i="1"/>
  <c r="I546" i="1"/>
  <c r="I564" i="1"/>
  <c r="I582" i="1"/>
  <c r="I600" i="1"/>
  <c r="I618" i="1"/>
  <c r="I636" i="1"/>
  <c r="I654" i="1"/>
  <c r="I672" i="1"/>
  <c r="I690" i="1"/>
  <c r="I708" i="1"/>
  <c r="I726" i="1"/>
  <c r="I744" i="1"/>
  <c r="I762" i="1"/>
  <c r="I780" i="1"/>
  <c r="I798" i="1"/>
  <c r="I816" i="1"/>
  <c r="I834" i="1"/>
  <c r="I852" i="1"/>
  <c r="I870" i="1"/>
  <c r="I888" i="1"/>
  <c r="I906" i="1"/>
  <c r="I924" i="1"/>
  <c r="I942" i="1"/>
  <c r="I960" i="1"/>
  <c r="I978" i="1"/>
  <c r="I996" i="1"/>
  <c r="I1014" i="1"/>
  <c r="I1032" i="1"/>
  <c r="I1050" i="1"/>
  <c r="I1068" i="1"/>
  <c r="I1086" i="1"/>
  <c r="I1104" i="1"/>
  <c r="I1122" i="1"/>
  <c r="I1230" i="1"/>
  <c r="I1266" i="1"/>
  <c r="I1302" i="1"/>
  <c r="I1313" i="1"/>
  <c r="I1367" i="1"/>
  <c r="I1421" i="1"/>
  <c r="I1487" i="1"/>
  <c r="I1661" i="1"/>
  <c r="I1686" i="1"/>
  <c r="I1729" i="1"/>
  <c r="I1781" i="1"/>
  <c r="I1917" i="1"/>
  <c r="I2008" i="1"/>
  <c r="I11" i="1"/>
  <c r="I10" i="1"/>
  <c r="I28" i="1"/>
  <c r="I58" i="1"/>
  <c r="I64" i="1"/>
  <c r="I70" i="1"/>
  <c r="I76" i="1"/>
  <c r="I82" i="1"/>
  <c r="I88" i="1"/>
  <c r="I94" i="1"/>
  <c r="I100" i="1"/>
  <c r="I106" i="1"/>
  <c r="I112" i="1"/>
  <c r="I118" i="1"/>
  <c r="I124" i="1"/>
  <c r="I130" i="1"/>
  <c r="I136" i="1"/>
  <c r="I142" i="1"/>
  <c r="I148" i="1"/>
  <c r="I154" i="1"/>
  <c r="I160" i="1"/>
  <c r="I166" i="1"/>
  <c r="I172" i="1"/>
  <c r="I178" i="1"/>
  <c r="I184" i="1"/>
  <c r="I190" i="1"/>
  <c r="I196" i="1"/>
  <c r="I202" i="1"/>
  <c r="I208" i="1"/>
  <c r="I214" i="1"/>
  <c r="I220" i="1"/>
  <c r="I226" i="1"/>
  <c r="I232" i="1"/>
  <c r="I238" i="1"/>
  <c r="I244" i="1"/>
  <c r="I250" i="1"/>
  <c r="I256" i="1"/>
  <c r="I262" i="1"/>
  <c r="I268" i="1"/>
  <c r="I275" i="1"/>
  <c r="I285" i="1"/>
  <c r="I288" i="1"/>
  <c r="I298" i="1"/>
  <c r="I311" i="1"/>
  <c r="I321" i="1"/>
  <c r="I324" i="1"/>
  <c r="I327" i="1"/>
  <c r="I340" i="1"/>
  <c r="I358" i="1"/>
  <c r="I376" i="1"/>
  <c r="I394" i="1"/>
  <c r="I1234" i="1"/>
  <c r="I1270" i="1"/>
  <c r="I1325" i="1"/>
  <c r="I1379" i="1"/>
  <c r="I1433" i="1"/>
  <c r="I1468" i="1"/>
  <c r="I1541" i="1"/>
  <c r="I1625" i="1"/>
  <c r="I1650" i="1"/>
  <c r="I1693" i="1"/>
  <c r="I1745" i="1"/>
  <c r="I1948" i="1"/>
  <c r="I1980" i="1"/>
  <c r="I2026" i="1"/>
  <c r="I2314" i="1"/>
  <c r="I2792" i="1"/>
  <c r="I342" i="1"/>
  <c r="I360" i="1"/>
  <c r="I378" i="1"/>
  <c r="I396" i="1"/>
  <c r="I1157" i="1"/>
  <c r="I1164" i="1"/>
  <c r="I1171" i="1"/>
  <c r="I1176" i="1"/>
  <c r="I1183" i="1"/>
  <c r="I1241" i="1"/>
  <c r="I1277" i="1"/>
  <c r="I1495" i="1"/>
  <c r="I1537" i="1"/>
  <c r="I1589" i="1"/>
  <c r="I1614" i="1"/>
  <c r="I1657" i="1"/>
  <c r="I1709" i="1"/>
  <c r="I1896" i="1"/>
  <c r="I2513" i="1"/>
  <c r="I17" i="1"/>
  <c r="I4" i="1"/>
  <c r="I16" i="1"/>
  <c r="I22" i="1"/>
  <c r="I34" i="1"/>
  <c r="I40" i="1"/>
  <c r="I46" i="1"/>
  <c r="I52" i="1"/>
  <c r="I3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147" i="1"/>
  <c r="I153" i="1"/>
  <c r="I159" i="1"/>
  <c r="I165" i="1"/>
  <c r="I171" i="1"/>
  <c r="I177" i="1"/>
  <c r="I183" i="1"/>
  <c r="I189" i="1"/>
  <c r="I195" i="1"/>
  <c r="I201" i="1"/>
  <c r="I207" i="1"/>
  <c r="I213" i="1"/>
  <c r="I219" i="1"/>
  <c r="I225" i="1"/>
  <c r="I231" i="1"/>
  <c r="I237" i="1"/>
  <c r="I243" i="1"/>
  <c r="I249" i="1"/>
  <c r="I255" i="1"/>
  <c r="I261" i="1"/>
  <c r="I267" i="1"/>
  <c r="I281" i="1"/>
  <c r="I291" i="1"/>
  <c r="I294" i="1"/>
  <c r="I304" i="1"/>
  <c r="I317" i="1"/>
  <c r="I418" i="1"/>
  <c r="I436" i="1"/>
  <c r="I454" i="1"/>
  <c r="I472" i="1"/>
  <c r="I490" i="1"/>
  <c r="I508" i="1"/>
  <c r="I526" i="1"/>
  <c r="I544" i="1"/>
  <c r="I562" i="1"/>
  <c r="I580" i="1"/>
  <c r="I598" i="1"/>
  <c r="I616" i="1"/>
  <c r="I634" i="1"/>
  <c r="I652" i="1"/>
  <c r="I670" i="1"/>
  <c r="I688" i="1"/>
  <c r="I706" i="1"/>
  <c r="I724" i="1"/>
  <c r="I742" i="1"/>
  <c r="I760" i="1"/>
  <c r="I778" i="1"/>
  <c r="I796" i="1"/>
  <c r="I814" i="1"/>
  <c r="I832" i="1"/>
  <c r="I850" i="1"/>
  <c r="I868" i="1"/>
  <c r="I886" i="1"/>
  <c r="I904" i="1"/>
  <c r="I922" i="1"/>
  <c r="I940" i="1"/>
  <c r="I958" i="1"/>
  <c r="I976" i="1"/>
  <c r="I994" i="1"/>
  <c r="I1012" i="1"/>
  <c r="I1030" i="1"/>
  <c r="I1048" i="1"/>
  <c r="I1066" i="1"/>
  <c r="I1084" i="1"/>
  <c r="I1102" i="1"/>
  <c r="I1120" i="1"/>
  <c r="I1143" i="1"/>
  <c r="I1150" i="1"/>
  <c r="I1155" i="1"/>
  <c r="I1162" i="1"/>
  <c r="I1169" i="1"/>
  <c r="I1197" i="1"/>
  <c r="I1525" i="1"/>
  <c r="I1553" i="1"/>
  <c r="I1578" i="1"/>
  <c r="I1621" i="1"/>
  <c r="I1673" i="1"/>
  <c r="I1860" i="1"/>
  <c r="I2481" i="1"/>
  <c r="I3243" i="1"/>
  <c r="I329" i="1"/>
  <c r="I335" i="1"/>
  <c r="I341" i="1"/>
  <c r="I347" i="1"/>
  <c r="I353" i="1"/>
  <c r="I359" i="1"/>
  <c r="I365" i="1"/>
  <c r="I371" i="1"/>
  <c r="I377" i="1"/>
  <c r="I383" i="1"/>
  <c r="I389" i="1"/>
  <c r="I395" i="1"/>
  <c r="I401" i="1"/>
  <c r="I407" i="1"/>
  <c r="I413" i="1"/>
  <c r="I419" i="1"/>
  <c r="I425" i="1"/>
  <c r="I431" i="1"/>
  <c r="I437" i="1"/>
  <c r="I443" i="1"/>
  <c r="I449" i="1"/>
  <c r="I455" i="1"/>
  <c r="I461" i="1"/>
  <c r="I467" i="1"/>
  <c r="I473" i="1"/>
  <c r="I479" i="1"/>
  <c r="I485" i="1"/>
  <c r="I491" i="1"/>
  <c r="I497" i="1"/>
  <c r="I503" i="1"/>
  <c r="I509" i="1"/>
  <c r="I515" i="1"/>
  <c r="I521" i="1"/>
  <c r="I527" i="1"/>
  <c r="I533" i="1"/>
  <c r="I539" i="1"/>
  <c r="I545" i="1"/>
  <c r="I551" i="1"/>
  <c r="I557" i="1"/>
  <c r="I563" i="1"/>
  <c r="I569" i="1"/>
  <c r="I575" i="1"/>
  <c r="I581" i="1"/>
  <c r="I587" i="1"/>
  <c r="I593" i="1"/>
  <c r="I599" i="1"/>
  <c r="I605" i="1"/>
  <c r="I611" i="1"/>
  <c r="I617" i="1"/>
  <c r="I623" i="1"/>
  <c r="I629" i="1"/>
  <c r="I635" i="1"/>
  <c r="I641" i="1"/>
  <c r="I647" i="1"/>
  <c r="I653" i="1"/>
  <c r="I659" i="1"/>
  <c r="I665" i="1"/>
  <c r="I671" i="1"/>
  <c r="I677" i="1"/>
  <c r="I683" i="1"/>
  <c r="I689" i="1"/>
  <c r="I695" i="1"/>
  <c r="I701" i="1"/>
  <c r="I707" i="1"/>
  <c r="I713" i="1"/>
  <c r="I719" i="1"/>
  <c r="I725" i="1"/>
  <c r="I731" i="1"/>
  <c r="I737" i="1"/>
  <c r="I743" i="1"/>
  <c r="I749" i="1"/>
  <c r="I755" i="1"/>
  <c r="I761" i="1"/>
  <c r="I767" i="1"/>
  <c r="I773" i="1"/>
  <c r="I779" i="1"/>
  <c r="I785" i="1"/>
  <c r="I791" i="1"/>
  <c r="I797" i="1"/>
  <c r="I803" i="1"/>
  <c r="I809" i="1"/>
  <c r="I815" i="1"/>
  <c r="I821" i="1"/>
  <c r="I827" i="1"/>
  <c r="I833" i="1"/>
  <c r="I839" i="1"/>
  <c r="I845" i="1"/>
  <c r="I851" i="1"/>
  <c r="I857" i="1"/>
  <c r="I863" i="1"/>
  <c r="I869" i="1"/>
  <c r="I875" i="1"/>
  <c r="I881" i="1"/>
  <c r="I887" i="1"/>
  <c r="I893" i="1"/>
  <c r="I899" i="1"/>
  <c r="I905" i="1"/>
  <c r="I911" i="1"/>
  <c r="I917" i="1"/>
  <c r="I923" i="1"/>
  <c r="I929" i="1"/>
  <c r="I935" i="1"/>
  <c r="I941" i="1"/>
  <c r="I947" i="1"/>
  <c r="I953" i="1"/>
  <c r="I959" i="1"/>
  <c r="I965" i="1"/>
  <c r="I971" i="1"/>
  <c r="I977" i="1"/>
  <c r="I983" i="1"/>
  <c r="I989" i="1"/>
  <c r="I995" i="1"/>
  <c r="I1001" i="1"/>
  <c r="I1007" i="1"/>
  <c r="I1013" i="1"/>
  <c r="I1019" i="1"/>
  <c r="I1025" i="1"/>
  <c r="I1031" i="1"/>
  <c r="I1037" i="1"/>
  <c r="I1043" i="1"/>
  <c r="I1049" i="1"/>
  <c r="I1055" i="1"/>
  <c r="I1061" i="1"/>
  <c r="I1067" i="1"/>
  <c r="I1073" i="1"/>
  <c r="I1079" i="1"/>
  <c r="I1085" i="1"/>
  <c r="I1091" i="1"/>
  <c r="I1097" i="1"/>
  <c r="I1103" i="1"/>
  <c r="I1109" i="1"/>
  <c r="I1115" i="1"/>
  <c r="I1121" i="1"/>
  <c r="I1127" i="1"/>
  <c r="I1136" i="1"/>
  <c r="I1154" i="1"/>
  <c r="I1172" i="1"/>
  <c r="I1190" i="1"/>
  <c r="I1205" i="1"/>
  <c r="I1224" i="1"/>
  <c r="I1228" i="1"/>
  <c r="I1260" i="1"/>
  <c r="I1264" i="1"/>
  <c r="I1296" i="1"/>
  <c r="I1300" i="1"/>
  <c r="I1309" i="1"/>
  <c r="I1327" i="1"/>
  <c r="I1345" i="1"/>
  <c r="I1363" i="1"/>
  <c r="I1381" i="1"/>
  <c r="I1399" i="1"/>
  <c r="I1417" i="1"/>
  <c r="I1435" i="1"/>
  <c r="I1453" i="1"/>
  <c r="I1483" i="1"/>
  <c r="I1532" i="1"/>
  <c r="I1543" i="1"/>
  <c r="I1546" i="1"/>
  <c r="I1561" i="1"/>
  <c r="I1582" i="1"/>
  <c r="I1597" i="1"/>
  <c r="I1618" i="1"/>
  <c r="I1633" i="1"/>
  <c r="I1654" i="1"/>
  <c r="I1669" i="1"/>
  <c r="I1690" i="1"/>
  <c r="I1705" i="1"/>
  <c r="I1726" i="1"/>
  <c r="I1741" i="1"/>
  <c r="I1762" i="1"/>
  <c r="I1777" i="1"/>
  <c r="I1798" i="1"/>
  <c r="I1813" i="1"/>
  <c r="I1834" i="1"/>
  <c r="I1849" i="1"/>
  <c r="I1870" i="1"/>
  <c r="I1885" i="1"/>
  <c r="I1906" i="1"/>
  <c r="I1993" i="1"/>
  <c r="I2022" i="1"/>
  <c r="I2077" i="1"/>
  <c r="I2236" i="1"/>
  <c r="I2388" i="1"/>
  <c r="I2482" i="1"/>
  <c r="I2549" i="1"/>
  <c r="I339" i="1"/>
  <c r="I345" i="1"/>
  <c r="I351" i="1"/>
  <c r="I357" i="1"/>
  <c r="I363" i="1"/>
  <c r="I369" i="1"/>
  <c r="I375" i="1"/>
  <c r="I381" i="1"/>
  <c r="I387" i="1"/>
  <c r="I393" i="1"/>
  <c r="I399" i="1"/>
  <c r="I405" i="1"/>
  <c r="I411" i="1"/>
  <c r="I417" i="1"/>
  <c r="I423" i="1"/>
  <c r="I429" i="1"/>
  <c r="I435" i="1"/>
  <c r="I441" i="1"/>
  <c r="I447" i="1"/>
  <c r="I453" i="1"/>
  <c r="I459" i="1"/>
  <c r="I465" i="1"/>
  <c r="I471" i="1"/>
  <c r="I477" i="1"/>
  <c r="I483" i="1"/>
  <c r="I489" i="1"/>
  <c r="I495" i="1"/>
  <c r="I501" i="1"/>
  <c r="I507" i="1"/>
  <c r="I513" i="1"/>
  <c r="I519" i="1"/>
  <c r="I525" i="1"/>
  <c r="I531" i="1"/>
  <c r="I537" i="1"/>
  <c r="I543" i="1"/>
  <c r="I549" i="1"/>
  <c r="I555" i="1"/>
  <c r="I561" i="1"/>
  <c r="I567" i="1"/>
  <c r="I573" i="1"/>
  <c r="I579" i="1"/>
  <c r="I585" i="1"/>
  <c r="I591" i="1"/>
  <c r="I597" i="1"/>
  <c r="I603" i="1"/>
  <c r="I609" i="1"/>
  <c r="I615" i="1"/>
  <c r="I621" i="1"/>
  <c r="I627" i="1"/>
  <c r="I633" i="1"/>
  <c r="I639" i="1"/>
  <c r="I645" i="1"/>
  <c r="I651" i="1"/>
  <c r="I657" i="1"/>
  <c r="I663" i="1"/>
  <c r="I669" i="1"/>
  <c r="I675" i="1"/>
  <c r="I681" i="1"/>
  <c r="I687" i="1"/>
  <c r="I693" i="1"/>
  <c r="I699" i="1"/>
  <c r="I705" i="1"/>
  <c r="I711" i="1"/>
  <c r="I717" i="1"/>
  <c r="I723" i="1"/>
  <c r="I729" i="1"/>
  <c r="I735" i="1"/>
  <c r="I741" i="1"/>
  <c r="I747" i="1"/>
  <c r="I753" i="1"/>
  <c r="I759" i="1"/>
  <c r="I765" i="1"/>
  <c r="I771" i="1"/>
  <c r="I777" i="1"/>
  <c r="I783" i="1"/>
  <c r="I789" i="1"/>
  <c r="I795" i="1"/>
  <c r="I801" i="1"/>
  <c r="I807" i="1"/>
  <c r="I813" i="1"/>
  <c r="I819" i="1"/>
  <c r="I825" i="1"/>
  <c r="I831" i="1"/>
  <c r="I837" i="1"/>
  <c r="I843" i="1"/>
  <c r="I849" i="1"/>
  <c r="I855" i="1"/>
  <c r="I861" i="1"/>
  <c r="I867" i="1"/>
  <c r="I873" i="1"/>
  <c r="I879" i="1"/>
  <c r="I885" i="1"/>
  <c r="I891" i="1"/>
  <c r="I897" i="1"/>
  <c r="I903" i="1"/>
  <c r="I909" i="1"/>
  <c r="I915" i="1"/>
  <c r="I921" i="1"/>
  <c r="I927" i="1"/>
  <c r="I933" i="1"/>
  <c r="I939" i="1"/>
  <c r="I945" i="1"/>
  <c r="I951" i="1"/>
  <c r="I957" i="1"/>
  <c r="I963" i="1"/>
  <c r="I969" i="1"/>
  <c r="I975" i="1"/>
  <c r="I981" i="1"/>
  <c r="I987" i="1"/>
  <c r="I993" i="1"/>
  <c r="I999" i="1"/>
  <c r="I1005" i="1"/>
  <c r="I1011" i="1"/>
  <c r="I1017" i="1"/>
  <c r="I1023" i="1"/>
  <c r="I1029" i="1"/>
  <c r="I1035" i="1"/>
  <c r="I1041" i="1"/>
  <c r="I1047" i="1"/>
  <c r="I1053" i="1"/>
  <c r="I1059" i="1"/>
  <c r="I1065" i="1"/>
  <c r="I1071" i="1"/>
  <c r="I1077" i="1"/>
  <c r="I1083" i="1"/>
  <c r="I1089" i="1"/>
  <c r="I1095" i="1"/>
  <c r="I1101" i="1"/>
  <c r="I1107" i="1"/>
  <c r="I1113" i="1"/>
  <c r="I1119" i="1"/>
  <c r="I1125" i="1"/>
  <c r="I1131" i="1"/>
  <c r="I1142" i="1"/>
  <c r="I1160" i="1"/>
  <c r="I1178" i="1"/>
  <c r="I1196" i="1"/>
  <c r="I1202" i="1"/>
  <c r="I1212" i="1"/>
  <c r="I1216" i="1"/>
  <c r="I1248" i="1"/>
  <c r="I1252" i="1"/>
  <c r="I1284" i="1"/>
  <c r="I1288" i="1"/>
  <c r="I1321" i="1"/>
  <c r="I1339" i="1"/>
  <c r="I1357" i="1"/>
  <c r="I1375" i="1"/>
  <c r="I1393" i="1"/>
  <c r="I1411" i="1"/>
  <c r="I1429" i="1"/>
  <c r="I1447" i="1"/>
  <c r="I1465" i="1"/>
  <c r="I1479" i="1"/>
  <c r="I1481" i="1"/>
  <c r="I1520" i="1"/>
  <c r="I1965" i="1"/>
  <c r="I1973" i="1"/>
  <c r="I2091" i="1"/>
  <c r="I2308" i="1"/>
  <c r="I1134" i="1"/>
  <c r="I1138" i="1"/>
  <c r="I1145" i="1"/>
  <c r="I1149" i="1"/>
  <c r="I1152" i="1"/>
  <c r="I1156" i="1"/>
  <c r="I1163" i="1"/>
  <c r="I1167" i="1"/>
  <c r="I1170" i="1"/>
  <c r="I1174" i="1"/>
  <c r="I1181" i="1"/>
  <c r="I1185" i="1"/>
  <c r="I1188" i="1"/>
  <c r="I1192" i="1"/>
  <c r="I1199" i="1"/>
  <c r="I1225" i="1"/>
  <c r="I1229" i="1"/>
  <c r="I1261" i="1"/>
  <c r="I1265" i="1"/>
  <c r="I1297" i="1"/>
  <c r="I1301" i="1"/>
  <c r="I1486" i="1"/>
  <c r="I1513" i="1"/>
  <c r="I1548" i="1"/>
  <c r="I1576" i="1"/>
  <c r="I1584" i="1"/>
  <c r="I1612" i="1"/>
  <c r="I1620" i="1"/>
  <c r="I1648" i="1"/>
  <c r="I1656" i="1"/>
  <c r="I1684" i="1"/>
  <c r="I1692" i="1"/>
  <c r="I1720" i="1"/>
  <c r="I1728" i="1"/>
  <c r="I1756" i="1"/>
  <c r="I1764" i="1"/>
  <c r="I1792" i="1"/>
  <c r="I1800" i="1"/>
  <c r="I1828" i="1"/>
  <c r="I1836" i="1"/>
  <c r="I1864" i="1"/>
  <c r="I1872" i="1"/>
  <c r="I1900" i="1"/>
  <c r="I1908" i="1"/>
  <c r="I1941" i="1"/>
  <c r="I1961" i="1"/>
  <c r="I2029" i="1"/>
  <c r="I2140" i="1"/>
  <c r="I2446" i="1"/>
  <c r="I272" i="1"/>
  <c r="I278" i="1"/>
  <c r="I284" i="1"/>
  <c r="I290" i="1"/>
  <c r="I296" i="1"/>
  <c r="I302" i="1"/>
  <c r="I308" i="1"/>
  <c r="I314" i="1"/>
  <c r="I320" i="1"/>
  <c r="I326" i="1"/>
  <c r="I332" i="1"/>
  <c r="I338" i="1"/>
  <c r="I344" i="1"/>
  <c r="I350" i="1"/>
  <c r="I356" i="1"/>
  <c r="I362" i="1"/>
  <c r="I368" i="1"/>
  <c r="I374" i="1"/>
  <c r="I380" i="1"/>
  <c r="I386" i="1"/>
  <c r="I392" i="1"/>
  <c r="I398" i="1"/>
  <c r="I404" i="1"/>
  <c r="I410" i="1"/>
  <c r="I416" i="1"/>
  <c r="I422" i="1"/>
  <c r="I428" i="1"/>
  <c r="I434" i="1"/>
  <c r="I440" i="1"/>
  <c r="I446" i="1"/>
  <c r="I452" i="1"/>
  <c r="I458" i="1"/>
  <c r="I464" i="1"/>
  <c r="I470" i="1"/>
  <c r="I476" i="1"/>
  <c r="I482" i="1"/>
  <c r="I488" i="1"/>
  <c r="I494" i="1"/>
  <c r="I500" i="1"/>
  <c r="I506" i="1"/>
  <c r="I512" i="1"/>
  <c r="I518" i="1"/>
  <c r="I524" i="1"/>
  <c r="I530" i="1"/>
  <c r="I536" i="1"/>
  <c r="I542" i="1"/>
  <c r="I548" i="1"/>
  <c r="I554" i="1"/>
  <c r="I560" i="1"/>
  <c r="I566" i="1"/>
  <c r="I572" i="1"/>
  <c r="I578" i="1"/>
  <c r="I584" i="1"/>
  <c r="I590" i="1"/>
  <c r="I596" i="1"/>
  <c r="I602" i="1"/>
  <c r="I608" i="1"/>
  <c r="I614" i="1"/>
  <c r="I620" i="1"/>
  <c r="I626" i="1"/>
  <c r="I632" i="1"/>
  <c r="I638" i="1"/>
  <c r="I644" i="1"/>
  <c r="I650" i="1"/>
  <c r="I656" i="1"/>
  <c r="I662" i="1"/>
  <c r="I668" i="1"/>
  <c r="I674" i="1"/>
  <c r="I680" i="1"/>
  <c r="I686" i="1"/>
  <c r="I692" i="1"/>
  <c r="I698" i="1"/>
  <c r="I704" i="1"/>
  <c r="I710" i="1"/>
  <c r="I716" i="1"/>
  <c r="I722" i="1"/>
  <c r="I728" i="1"/>
  <c r="I734" i="1"/>
  <c r="I740" i="1"/>
  <c r="I746" i="1"/>
  <c r="I752" i="1"/>
  <c r="I758" i="1"/>
  <c r="I764" i="1"/>
  <c r="I770" i="1"/>
  <c r="I776" i="1"/>
  <c r="I782" i="1"/>
  <c r="I788" i="1"/>
  <c r="I794" i="1"/>
  <c r="I800" i="1"/>
  <c r="I806" i="1"/>
  <c r="I812" i="1"/>
  <c r="I818" i="1"/>
  <c r="I824" i="1"/>
  <c r="I830" i="1"/>
  <c r="I836" i="1"/>
  <c r="I842" i="1"/>
  <c r="I848" i="1"/>
  <c r="I854" i="1"/>
  <c r="I860" i="1"/>
  <c r="I866" i="1"/>
  <c r="I872" i="1"/>
  <c r="I878" i="1"/>
  <c r="I884" i="1"/>
  <c r="I890" i="1"/>
  <c r="I896" i="1"/>
  <c r="I902" i="1"/>
  <c r="I908" i="1"/>
  <c r="I914" i="1"/>
  <c r="I920" i="1"/>
  <c r="I926" i="1"/>
  <c r="I932" i="1"/>
  <c r="I938" i="1"/>
  <c r="I944" i="1"/>
  <c r="I950" i="1"/>
  <c r="I956" i="1"/>
  <c r="I962" i="1"/>
  <c r="I968" i="1"/>
  <c r="I974" i="1"/>
  <c r="I980" i="1"/>
  <c r="I986" i="1"/>
  <c r="I992" i="1"/>
  <c r="I998" i="1"/>
  <c r="I1004" i="1"/>
  <c r="I1010" i="1"/>
  <c r="I1016" i="1"/>
  <c r="I1022" i="1"/>
  <c r="I1028" i="1"/>
  <c r="I1034" i="1"/>
  <c r="I1040" i="1"/>
  <c r="I1046" i="1"/>
  <c r="I1052" i="1"/>
  <c r="I1058" i="1"/>
  <c r="I1064" i="1"/>
  <c r="I1070" i="1"/>
  <c r="I1076" i="1"/>
  <c r="I1082" i="1"/>
  <c r="I1088" i="1"/>
  <c r="I1094" i="1"/>
  <c r="I1100" i="1"/>
  <c r="I1106" i="1"/>
  <c r="I1112" i="1"/>
  <c r="I1118" i="1"/>
  <c r="I1124" i="1"/>
  <c r="I1130" i="1"/>
  <c r="I1141" i="1"/>
  <c r="I1159" i="1"/>
  <c r="I1177" i="1"/>
  <c r="I1195" i="1"/>
  <c r="I1204" i="1"/>
  <c r="I1206" i="1"/>
  <c r="I1210" i="1"/>
  <c r="I1242" i="1"/>
  <c r="I1246" i="1"/>
  <c r="I1278" i="1"/>
  <c r="I1282" i="1"/>
  <c r="I1566" i="1"/>
  <c r="I1602" i="1"/>
  <c r="I1638" i="1"/>
  <c r="I1674" i="1"/>
  <c r="I1710" i="1"/>
  <c r="I1746" i="1"/>
  <c r="I1782" i="1"/>
  <c r="I1818" i="1"/>
  <c r="I1854" i="1"/>
  <c r="I1890" i="1"/>
  <c r="I2120" i="1"/>
  <c r="I2146" i="1"/>
  <c r="I2267" i="1"/>
  <c r="I3119" i="1"/>
  <c r="I1219" i="1"/>
  <c r="I1223" i="1"/>
  <c r="I1255" i="1"/>
  <c r="I1259" i="1"/>
  <c r="I1291" i="1"/>
  <c r="I1295" i="1"/>
  <c r="I1319" i="1"/>
  <c r="I1337" i="1"/>
  <c r="I1355" i="1"/>
  <c r="I1373" i="1"/>
  <c r="I1391" i="1"/>
  <c r="I1409" i="1"/>
  <c r="I1427" i="1"/>
  <c r="I1445" i="1"/>
  <c r="I1463" i="1"/>
  <c r="I1477" i="1"/>
  <c r="I1491" i="1"/>
  <c r="I1531" i="1"/>
  <c r="I1552" i="1"/>
  <c r="I1570" i="1"/>
  <c r="I1588" i="1"/>
  <c r="I1606" i="1"/>
  <c r="I1624" i="1"/>
  <c r="I1642" i="1"/>
  <c r="I1660" i="1"/>
  <c r="I1678" i="1"/>
  <c r="I1696" i="1"/>
  <c r="I1714" i="1"/>
  <c r="I1732" i="1"/>
  <c r="I1750" i="1"/>
  <c r="I1768" i="1"/>
  <c r="I1786" i="1"/>
  <c r="I1804" i="1"/>
  <c r="I1822" i="1"/>
  <c r="I1840" i="1"/>
  <c r="I1858" i="1"/>
  <c r="I1876" i="1"/>
  <c r="I1894" i="1"/>
  <c r="I1934" i="1"/>
  <c r="I1945" i="1"/>
  <c r="I2007" i="1"/>
  <c r="I2106" i="1"/>
  <c r="I271" i="1"/>
  <c r="I277" i="1"/>
  <c r="I283" i="1"/>
  <c r="I289" i="1"/>
  <c r="I295" i="1"/>
  <c r="I301" i="1"/>
  <c r="I307" i="1"/>
  <c r="I313" i="1"/>
  <c r="I319" i="1"/>
  <c r="I325" i="1"/>
  <c r="I331" i="1"/>
  <c r="I337" i="1"/>
  <c r="I343" i="1"/>
  <c r="I349" i="1"/>
  <c r="I355" i="1"/>
  <c r="I361" i="1"/>
  <c r="I367" i="1"/>
  <c r="I373" i="1"/>
  <c r="I379" i="1"/>
  <c r="I385" i="1"/>
  <c r="I391" i="1"/>
  <c r="I397" i="1"/>
  <c r="I403" i="1"/>
  <c r="I409" i="1"/>
  <c r="I415" i="1"/>
  <c r="I421" i="1"/>
  <c r="I427" i="1"/>
  <c r="I433" i="1"/>
  <c r="I439" i="1"/>
  <c r="I445" i="1"/>
  <c r="I451" i="1"/>
  <c r="I457" i="1"/>
  <c r="I463" i="1"/>
  <c r="I469" i="1"/>
  <c r="I475" i="1"/>
  <c r="I481" i="1"/>
  <c r="I487" i="1"/>
  <c r="I493" i="1"/>
  <c r="I499" i="1"/>
  <c r="I505" i="1"/>
  <c r="I511" i="1"/>
  <c r="I517" i="1"/>
  <c r="I523" i="1"/>
  <c r="I529" i="1"/>
  <c r="I535" i="1"/>
  <c r="I541" i="1"/>
  <c r="I547" i="1"/>
  <c r="I553" i="1"/>
  <c r="I559" i="1"/>
  <c r="I565" i="1"/>
  <c r="I571" i="1"/>
  <c r="I577" i="1"/>
  <c r="I583" i="1"/>
  <c r="I589" i="1"/>
  <c r="I595" i="1"/>
  <c r="I601" i="1"/>
  <c r="I607" i="1"/>
  <c r="I613" i="1"/>
  <c r="I619" i="1"/>
  <c r="I625" i="1"/>
  <c r="I631" i="1"/>
  <c r="I637" i="1"/>
  <c r="I643" i="1"/>
  <c r="I649" i="1"/>
  <c r="I655" i="1"/>
  <c r="I661" i="1"/>
  <c r="I667" i="1"/>
  <c r="I673" i="1"/>
  <c r="I679" i="1"/>
  <c r="I685" i="1"/>
  <c r="I691" i="1"/>
  <c r="I697" i="1"/>
  <c r="I703" i="1"/>
  <c r="I709" i="1"/>
  <c r="I715" i="1"/>
  <c r="I721" i="1"/>
  <c r="I727" i="1"/>
  <c r="I733" i="1"/>
  <c r="I739" i="1"/>
  <c r="I745" i="1"/>
  <c r="I751" i="1"/>
  <c r="I757" i="1"/>
  <c r="I763" i="1"/>
  <c r="I769" i="1"/>
  <c r="I775" i="1"/>
  <c r="I781" i="1"/>
  <c r="I787" i="1"/>
  <c r="I793" i="1"/>
  <c r="I799" i="1"/>
  <c r="I805" i="1"/>
  <c r="I811" i="1"/>
  <c r="I817" i="1"/>
  <c r="I823" i="1"/>
  <c r="I829" i="1"/>
  <c r="I835" i="1"/>
  <c r="I841" i="1"/>
  <c r="I847" i="1"/>
  <c r="I853" i="1"/>
  <c r="I859" i="1"/>
  <c r="I865" i="1"/>
  <c r="I871" i="1"/>
  <c r="I877" i="1"/>
  <c r="I883" i="1"/>
  <c r="I889" i="1"/>
  <c r="I895" i="1"/>
  <c r="I901" i="1"/>
  <c r="I907" i="1"/>
  <c r="I913" i="1"/>
  <c r="I919" i="1"/>
  <c r="I925" i="1"/>
  <c r="I931" i="1"/>
  <c r="I937" i="1"/>
  <c r="I943" i="1"/>
  <c r="I949" i="1"/>
  <c r="I955" i="1"/>
  <c r="I961" i="1"/>
  <c r="I967" i="1"/>
  <c r="I973" i="1"/>
  <c r="I979" i="1"/>
  <c r="I985" i="1"/>
  <c r="I991" i="1"/>
  <c r="I997" i="1"/>
  <c r="I1003" i="1"/>
  <c r="I1009" i="1"/>
  <c r="I1015" i="1"/>
  <c r="I1021" i="1"/>
  <c r="I1027" i="1"/>
  <c r="I1033" i="1"/>
  <c r="I1039" i="1"/>
  <c r="I1045" i="1"/>
  <c r="I1051" i="1"/>
  <c r="I1057" i="1"/>
  <c r="I1063" i="1"/>
  <c r="I1069" i="1"/>
  <c r="I1075" i="1"/>
  <c r="I1081" i="1"/>
  <c r="I1087" i="1"/>
  <c r="I1093" i="1"/>
  <c r="I1099" i="1"/>
  <c r="I1105" i="1"/>
  <c r="I1111" i="1"/>
  <c r="I1117" i="1"/>
  <c r="I1123" i="1"/>
  <c r="I1129" i="1"/>
  <c r="I1148" i="1"/>
  <c r="I1166" i="1"/>
  <c r="I1184" i="1"/>
  <c r="I1236" i="1"/>
  <c r="I1240" i="1"/>
  <c r="I1272" i="1"/>
  <c r="I1276" i="1"/>
  <c r="I1315" i="1"/>
  <c r="I1333" i="1"/>
  <c r="I1351" i="1"/>
  <c r="I1369" i="1"/>
  <c r="I1387" i="1"/>
  <c r="I1405" i="1"/>
  <c r="I1423" i="1"/>
  <c r="I1441" i="1"/>
  <c r="I1459" i="1"/>
  <c r="I1496" i="1"/>
  <c r="I1974" i="1"/>
  <c r="I2186" i="1"/>
  <c r="I2209" i="1"/>
  <c r="I2369" i="1"/>
  <c r="I2386" i="1"/>
  <c r="I1308" i="1"/>
  <c r="I1314" i="1"/>
  <c r="I1320" i="1"/>
  <c r="I1326" i="1"/>
  <c r="I1332" i="1"/>
  <c r="I1338" i="1"/>
  <c r="I1344" i="1"/>
  <c r="I1350" i="1"/>
  <c r="I1356" i="1"/>
  <c r="I1362" i="1"/>
  <c r="I1368" i="1"/>
  <c r="I1374" i="1"/>
  <c r="I1380" i="1"/>
  <c r="I1386" i="1"/>
  <c r="I1392" i="1"/>
  <c r="I1398" i="1"/>
  <c r="I1404" i="1"/>
  <c r="I1410" i="1"/>
  <c r="I1416" i="1"/>
  <c r="I1422" i="1"/>
  <c r="I1428" i="1"/>
  <c r="I1434" i="1"/>
  <c r="I1440" i="1"/>
  <c r="I1446" i="1"/>
  <c r="I1452" i="1"/>
  <c r="I1458" i="1"/>
  <c r="I1464" i="1"/>
  <c r="I1478" i="1"/>
  <c r="I1482" i="1"/>
  <c r="I1499" i="1"/>
  <c r="I1503" i="1"/>
  <c r="I1506" i="1"/>
  <c r="I1510" i="1"/>
  <c r="I1517" i="1"/>
  <c r="I1521" i="1"/>
  <c r="I1524" i="1"/>
  <c r="I1528" i="1"/>
  <c r="I1535" i="1"/>
  <c r="I1538" i="1"/>
  <c r="I1555" i="1"/>
  <c r="I1559" i="1"/>
  <c r="I1591" i="1"/>
  <c r="I1595" i="1"/>
  <c r="I1627" i="1"/>
  <c r="I1631" i="1"/>
  <c r="I1663" i="1"/>
  <c r="I1667" i="1"/>
  <c r="I1699" i="1"/>
  <c r="I1703" i="1"/>
  <c r="I1735" i="1"/>
  <c r="I1739" i="1"/>
  <c r="I1771" i="1"/>
  <c r="I1775" i="1"/>
  <c r="I1807" i="1"/>
  <c r="I1811" i="1"/>
  <c r="I1843" i="1"/>
  <c r="I1847" i="1"/>
  <c r="I1879" i="1"/>
  <c r="I1883" i="1"/>
  <c r="I1913" i="1"/>
  <c r="I1920" i="1"/>
  <c r="I1958" i="1"/>
  <c r="I1966" i="1"/>
  <c r="I2116" i="1"/>
  <c r="I2216" i="1"/>
  <c r="I2401" i="1"/>
  <c r="I2429" i="1"/>
  <c r="I2799" i="1"/>
  <c r="I3010" i="1"/>
  <c r="I1306" i="1"/>
  <c r="I1312" i="1"/>
  <c r="I1318" i="1"/>
  <c r="I1324" i="1"/>
  <c r="I1330" i="1"/>
  <c r="I1336" i="1"/>
  <c r="I1342" i="1"/>
  <c r="I1348" i="1"/>
  <c r="I1354" i="1"/>
  <c r="I1360" i="1"/>
  <c r="I1366" i="1"/>
  <c r="I1372" i="1"/>
  <c r="I1378" i="1"/>
  <c r="I1384" i="1"/>
  <c r="I1390" i="1"/>
  <c r="I1396" i="1"/>
  <c r="I1402" i="1"/>
  <c r="I1408" i="1"/>
  <c r="I1414" i="1"/>
  <c r="I1420" i="1"/>
  <c r="I1426" i="1"/>
  <c r="I1432" i="1"/>
  <c r="I1438" i="1"/>
  <c r="I1444" i="1"/>
  <c r="I1450" i="1"/>
  <c r="I1456" i="1"/>
  <c r="I1462" i="1"/>
  <c r="I1472" i="1"/>
  <c r="I1476" i="1"/>
  <c r="I1490" i="1"/>
  <c r="I1494" i="1"/>
  <c r="I1498" i="1"/>
  <c r="I1505" i="1"/>
  <c r="I1509" i="1"/>
  <c r="I1512" i="1"/>
  <c r="I1516" i="1"/>
  <c r="I1523" i="1"/>
  <c r="I1527" i="1"/>
  <c r="I1530" i="1"/>
  <c r="I1534" i="1"/>
  <c r="I1540" i="1"/>
  <c r="I1547" i="1"/>
  <c r="I1579" i="1"/>
  <c r="I1583" i="1"/>
  <c r="I1615" i="1"/>
  <c r="I1619" i="1"/>
  <c r="I1651" i="1"/>
  <c r="I1655" i="1"/>
  <c r="I1687" i="1"/>
  <c r="I1691" i="1"/>
  <c r="I1723" i="1"/>
  <c r="I1727" i="1"/>
  <c r="I1759" i="1"/>
  <c r="I1763" i="1"/>
  <c r="I1795" i="1"/>
  <c r="I1799" i="1"/>
  <c r="I1831" i="1"/>
  <c r="I1835" i="1"/>
  <c r="I1867" i="1"/>
  <c r="I1871" i="1"/>
  <c r="I1903" i="1"/>
  <c r="I1907" i="1"/>
  <c r="I1930" i="1"/>
  <c r="I1937" i="1"/>
  <c r="I1954" i="1"/>
  <c r="I1979" i="1"/>
  <c r="I2001" i="1"/>
  <c r="I2065" i="1"/>
  <c r="I2070" i="1"/>
  <c r="I2165" i="1"/>
  <c r="I2456" i="1"/>
  <c r="I2851" i="1"/>
  <c r="I2941" i="1"/>
  <c r="I1203" i="1"/>
  <c r="I1209" i="1"/>
  <c r="I1215" i="1"/>
  <c r="I1221" i="1"/>
  <c r="I1227" i="1"/>
  <c r="I1233" i="1"/>
  <c r="I1239" i="1"/>
  <c r="I1245" i="1"/>
  <c r="I1251" i="1"/>
  <c r="I1257" i="1"/>
  <c r="I1263" i="1"/>
  <c r="I1269" i="1"/>
  <c r="I1275" i="1"/>
  <c r="I1281" i="1"/>
  <c r="I1287" i="1"/>
  <c r="I1293" i="1"/>
  <c r="I1299" i="1"/>
  <c r="I1305" i="1"/>
  <c r="I1467" i="1"/>
  <c r="I1485" i="1"/>
  <c r="I1501" i="1"/>
  <c r="I1519" i="1"/>
  <c r="I1560" i="1"/>
  <c r="I1564" i="1"/>
  <c r="I1596" i="1"/>
  <c r="I1600" i="1"/>
  <c r="I1632" i="1"/>
  <c r="I1636" i="1"/>
  <c r="I1668" i="1"/>
  <c r="I1672" i="1"/>
  <c r="I1704" i="1"/>
  <c r="I1708" i="1"/>
  <c r="I1740" i="1"/>
  <c r="I1744" i="1"/>
  <c r="I1776" i="1"/>
  <c r="I1780" i="1"/>
  <c r="I1812" i="1"/>
  <c r="I1816" i="1"/>
  <c r="I1848" i="1"/>
  <c r="I1852" i="1"/>
  <c r="I1884" i="1"/>
  <c r="I1888" i="1"/>
  <c r="I1916" i="1"/>
  <c r="I1923" i="1"/>
  <c r="I1928" i="1"/>
  <c r="I1935" i="1"/>
  <c r="I1942" i="1"/>
  <c r="I1969" i="1"/>
  <c r="I1977" i="1"/>
  <c r="I2040" i="1"/>
  <c r="I2053" i="1"/>
  <c r="I2206" i="1"/>
  <c r="I2218" i="1"/>
  <c r="I2357" i="1"/>
  <c r="I2636" i="1"/>
  <c r="I2700" i="1"/>
  <c r="I3673" i="1"/>
  <c r="I1311" i="1"/>
  <c r="I1317" i="1"/>
  <c r="I1323" i="1"/>
  <c r="I1329" i="1"/>
  <c r="I1335" i="1"/>
  <c r="I1341" i="1"/>
  <c r="I1347" i="1"/>
  <c r="I1353" i="1"/>
  <c r="I1359" i="1"/>
  <c r="I1365" i="1"/>
  <c r="I1371" i="1"/>
  <c r="I1377" i="1"/>
  <c r="I1383" i="1"/>
  <c r="I1389" i="1"/>
  <c r="I1395" i="1"/>
  <c r="I1401" i="1"/>
  <c r="I1407" i="1"/>
  <c r="I1413" i="1"/>
  <c r="I1419" i="1"/>
  <c r="I1425" i="1"/>
  <c r="I1431" i="1"/>
  <c r="I1437" i="1"/>
  <c r="I1443" i="1"/>
  <c r="I1449" i="1"/>
  <c r="I1455" i="1"/>
  <c r="I1461" i="1"/>
  <c r="I1471" i="1"/>
  <c r="I1480" i="1"/>
  <c r="I1489" i="1"/>
  <c r="I1542" i="1"/>
  <c r="I1573" i="1"/>
  <c r="I1577" i="1"/>
  <c r="I1609" i="1"/>
  <c r="I1613" i="1"/>
  <c r="I1645" i="1"/>
  <c r="I1649" i="1"/>
  <c r="I1681" i="1"/>
  <c r="I1685" i="1"/>
  <c r="I1717" i="1"/>
  <c r="I1721" i="1"/>
  <c r="I1753" i="1"/>
  <c r="I1757" i="1"/>
  <c r="I1789" i="1"/>
  <c r="I1793" i="1"/>
  <c r="I1825" i="1"/>
  <c r="I1829" i="1"/>
  <c r="I1861" i="1"/>
  <c r="I1865" i="1"/>
  <c r="I1897" i="1"/>
  <c r="I1901" i="1"/>
  <c r="I1952" i="1"/>
  <c r="I1972" i="1"/>
  <c r="I1995" i="1"/>
  <c r="I1998" i="1"/>
  <c r="I2172" i="1"/>
  <c r="I2178" i="1"/>
  <c r="I2201" i="1"/>
  <c r="I2225" i="1"/>
  <c r="I2299" i="1"/>
  <c r="I2500" i="1"/>
  <c r="I3047" i="1"/>
  <c r="I3197" i="1"/>
  <c r="I1208" i="1"/>
  <c r="I1214" i="1"/>
  <c r="I1220" i="1"/>
  <c r="I1226" i="1"/>
  <c r="I1232" i="1"/>
  <c r="I1238" i="1"/>
  <c r="I1244" i="1"/>
  <c r="I1250" i="1"/>
  <c r="I1256" i="1"/>
  <c r="I1262" i="1"/>
  <c r="I1268" i="1"/>
  <c r="I1274" i="1"/>
  <c r="I1280" i="1"/>
  <c r="I1286" i="1"/>
  <c r="I1292" i="1"/>
  <c r="I1298" i="1"/>
  <c r="I1304" i="1"/>
  <c r="I1475" i="1"/>
  <c r="I1493" i="1"/>
  <c r="I1508" i="1"/>
  <c r="I1526" i="1"/>
  <c r="I1536" i="1"/>
  <c r="I1554" i="1"/>
  <c r="I1558" i="1"/>
  <c r="I1590" i="1"/>
  <c r="I1594" i="1"/>
  <c r="I1626" i="1"/>
  <c r="I1630" i="1"/>
  <c r="I1662" i="1"/>
  <c r="I1666" i="1"/>
  <c r="I1698" i="1"/>
  <c r="I1702" i="1"/>
  <c r="I1734" i="1"/>
  <c r="I1738" i="1"/>
  <c r="I1770" i="1"/>
  <c r="I1774" i="1"/>
  <c r="I1806" i="1"/>
  <c r="I1810" i="1"/>
  <c r="I1842" i="1"/>
  <c r="I1846" i="1"/>
  <c r="I1878" i="1"/>
  <c r="I1882" i="1"/>
  <c r="I1947" i="1"/>
  <c r="I1962" i="1"/>
  <c r="I1987" i="1"/>
  <c r="I2013" i="1"/>
  <c r="I2088" i="1"/>
  <c r="I2305" i="1"/>
  <c r="I2412" i="1"/>
  <c r="I2555" i="1"/>
  <c r="I2573" i="1"/>
  <c r="I2655" i="1"/>
  <c r="I1310" i="1"/>
  <c r="I1316" i="1"/>
  <c r="I1322" i="1"/>
  <c r="I1328" i="1"/>
  <c r="I1334" i="1"/>
  <c r="I1340" i="1"/>
  <c r="I1346" i="1"/>
  <c r="I1352" i="1"/>
  <c r="I1358" i="1"/>
  <c r="I1364" i="1"/>
  <c r="I1370" i="1"/>
  <c r="I1376" i="1"/>
  <c r="I1382" i="1"/>
  <c r="I1388" i="1"/>
  <c r="I1394" i="1"/>
  <c r="I1400" i="1"/>
  <c r="I1406" i="1"/>
  <c r="I1412" i="1"/>
  <c r="I1418" i="1"/>
  <c r="I1424" i="1"/>
  <c r="I1430" i="1"/>
  <c r="I1436" i="1"/>
  <c r="I1442" i="1"/>
  <c r="I1448" i="1"/>
  <c r="I1454" i="1"/>
  <c r="I1460" i="1"/>
  <c r="I1466" i="1"/>
  <c r="I1470" i="1"/>
  <c r="I1484" i="1"/>
  <c r="I1488" i="1"/>
  <c r="I1497" i="1"/>
  <c r="I1500" i="1"/>
  <c r="I1504" i="1"/>
  <c r="I1511" i="1"/>
  <c r="I1515" i="1"/>
  <c r="I1518" i="1"/>
  <c r="I1522" i="1"/>
  <c r="I1529" i="1"/>
  <c r="I1533" i="1"/>
  <c r="I1567" i="1"/>
  <c r="I1571" i="1"/>
  <c r="I1603" i="1"/>
  <c r="I1607" i="1"/>
  <c r="I1639" i="1"/>
  <c r="I1643" i="1"/>
  <c r="I1675" i="1"/>
  <c r="I1679" i="1"/>
  <c r="I1711" i="1"/>
  <c r="I1715" i="1"/>
  <c r="I1747" i="1"/>
  <c r="I1751" i="1"/>
  <c r="I1783" i="1"/>
  <c r="I1787" i="1"/>
  <c r="I1819" i="1"/>
  <c r="I1823" i="1"/>
  <c r="I1855" i="1"/>
  <c r="I1859" i="1"/>
  <c r="I1891" i="1"/>
  <c r="I1895" i="1"/>
  <c r="I1912" i="1"/>
  <c r="I1919" i="1"/>
  <c r="I1926" i="1"/>
  <c r="I1931" i="1"/>
  <c r="I1938" i="1"/>
  <c r="I1955" i="1"/>
  <c r="I1970" i="1"/>
  <c r="I1990" i="1"/>
  <c r="I2002" i="1"/>
  <c r="I2173" i="1"/>
  <c r="I2274" i="1"/>
  <c r="I2287" i="1"/>
  <c r="I2346" i="1"/>
  <c r="I2434" i="1"/>
  <c r="I2494" i="1"/>
  <c r="I2758" i="1"/>
  <c r="I3549" i="1"/>
  <c r="I1927" i="1"/>
  <c r="I2017" i="1"/>
  <c r="I2038" i="1"/>
  <c r="I2059" i="1"/>
  <c r="I2083" i="1"/>
  <c r="I2100" i="1"/>
  <c r="I2162" i="1"/>
  <c r="I2213" i="1"/>
  <c r="I2244" i="1"/>
  <c r="I2268" i="1"/>
  <c r="I2291" i="1"/>
  <c r="I2323" i="1"/>
  <c r="I2356" i="1"/>
  <c r="I2411" i="1"/>
  <c r="I2452" i="1"/>
  <c r="I2585" i="1"/>
  <c r="I2627" i="1"/>
  <c r="I2709" i="1"/>
  <c r="I2955" i="1"/>
  <c r="I3514" i="1"/>
  <c r="I1915" i="1"/>
  <c r="I1933" i="1"/>
  <c r="I2004" i="1"/>
  <c r="I2020" i="1"/>
  <c r="I2034" i="1"/>
  <c r="I2118" i="1"/>
  <c r="I2155" i="1"/>
  <c r="I2179" i="1"/>
  <c r="I2297" i="1"/>
  <c r="I2371" i="1"/>
  <c r="I2380" i="1"/>
  <c r="I2441" i="1"/>
  <c r="I2465" i="1"/>
  <c r="I2943" i="1"/>
  <c r="I2987" i="1"/>
  <c r="I3591" i="1"/>
  <c r="I1539" i="1"/>
  <c r="I1545" i="1"/>
  <c r="I1551" i="1"/>
  <c r="I1557" i="1"/>
  <c r="I1563" i="1"/>
  <c r="I1569" i="1"/>
  <c r="I1575" i="1"/>
  <c r="I1581" i="1"/>
  <c r="I1587" i="1"/>
  <c r="I1593" i="1"/>
  <c r="I1599" i="1"/>
  <c r="I1605" i="1"/>
  <c r="I1611" i="1"/>
  <c r="I1617" i="1"/>
  <c r="I1623" i="1"/>
  <c r="I1629" i="1"/>
  <c r="I1635" i="1"/>
  <c r="I1641" i="1"/>
  <c r="I1647" i="1"/>
  <c r="I1653" i="1"/>
  <c r="I1659" i="1"/>
  <c r="I1665" i="1"/>
  <c r="I1671" i="1"/>
  <c r="I1677" i="1"/>
  <c r="I1683" i="1"/>
  <c r="I1689" i="1"/>
  <c r="I1695" i="1"/>
  <c r="I1701" i="1"/>
  <c r="I1707" i="1"/>
  <c r="I1713" i="1"/>
  <c r="I1719" i="1"/>
  <c r="I1725" i="1"/>
  <c r="I1731" i="1"/>
  <c r="I1737" i="1"/>
  <c r="I1743" i="1"/>
  <c r="I1749" i="1"/>
  <c r="I1755" i="1"/>
  <c r="I1761" i="1"/>
  <c r="I1767" i="1"/>
  <c r="I1773" i="1"/>
  <c r="I1779" i="1"/>
  <c r="I1785" i="1"/>
  <c r="I1791" i="1"/>
  <c r="I1797" i="1"/>
  <c r="I1803" i="1"/>
  <c r="I1809" i="1"/>
  <c r="I1815" i="1"/>
  <c r="I1821" i="1"/>
  <c r="I1827" i="1"/>
  <c r="I1833" i="1"/>
  <c r="I1839" i="1"/>
  <c r="I1845" i="1"/>
  <c r="I1851" i="1"/>
  <c r="I1857" i="1"/>
  <c r="I1863" i="1"/>
  <c r="I1869" i="1"/>
  <c r="I1875" i="1"/>
  <c r="I1881" i="1"/>
  <c r="I1887" i="1"/>
  <c r="I1893" i="1"/>
  <c r="I1899" i="1"/>
  <c r="I1905" i="1"/>
  <c r="I1911" i="1"/>
  <c r="I1918" i="1"/>
  <c r="I1922" i="1"/>
  <c r="I1925" i="1"/>
  <c r="I1929" i="1"/>
  <c r="I1936" i="1"/>
  <c r="I1940" i="1"/>
  <c r="I1950" i="1"/>
  <c r="I1968" i="1"/>
  <c r="I1986" i="1"/>
  <c r="I2025" i="1"/>
  <c r="I2052" i="1"/>
  <c r="I2076" i="1"/>
  <c r="I2144" i="1"/>
  <c r="I2171" i="1"/>
  <c r="I2251" i="1"/>
  <c r="I2284" i="1"/>
  <c r="I2339" i="1"/>
  <c r="I2418" i="1"/>
  <c r="I2564" i="1"/>
  <c r="I2606" i="1"/>
  <c r="I2644" i="1"/>
  <c r="I3191" i="1"/>
  <c r="I3354" i="1"/>
  <c r="I3363" i="1"/>
  <c r="I4433" i="1"/>
  <c r="I1914" i="1"/>
  <c r="I1932" i="1"/>
  <c r="I1946" i="1"/>
  <c r="I1953" i="1"/>
  <c r="I1957" i="1"/>
  <c r="I1960" i="1"/>
  <c r="I1964" i="1"/>
  <c r="I1971" i="1"/>
  <c r="I1975" i="1"/>
  <c r="I1978" i="1"/>
  <c r="I1982" i="1"/>
  <c r="I1989" i="1"/>
  <c r="I2047" i="1"/>
  <c r="I2071" i="1"/>
  <c r="I2096" i="1"/>
  <c r="I2192" i="1"/>
  <c r="I2233" i="1"/>
  <c r="I2624" i="1"/>
  <c r="I2638" i="1"/>
  <c r="I2756" i="1"/>
  <c r="I2919" i="1"/>
  <c r="I3113" i="1"/>
  <c r="I1544" i="1"/>
  <c r="I1550" i="1"/>
  <c r="I1556" i="1"/>
  <c r="I1562" i="1"/>
  <c r="I1568" i="1"/>
  <c r="I1574" i="1"/>
  <c r="I1580" i="1"/>
  <c r="I1586" i="1"/>
  <c r="I1592" i="1"/>
  <c r="I1598" i="1"/>
  <c r="I1604" i="1"/>
  <c r="I1610" i="1"/>
  <c r="I1616" i="1"/>
  <c r="I1622" i="1"/>
  <c r="I1628" i="1"/>
  <c r="I1634" i="1"/>
  <c r="I1640" i="1"/>
  <c r="I1646" i="1"/>
  <c r="I1652" i="1"/>
  <c r="I1658" i="1"/>
  <c r="I1664" i="1"/>
  <c r="I1670" i="1"/>
  <c r="I1676" i="1"/>
  <c r="I1682" i="1"/>
  <c r="I1688" i="1"/>
  <c r="I1694" i="1"/>
  <c r="I1700" i="1"/>
  <c r="I1706" i="1"/>
  <c r="I1712" i="1"/>
  <c r="I1718" i="1"/>
  <c r="I1724" i="1"/>
  <c r="I1730" i="1"/>
  <c r="I1736" i="1"/>
  <c r="I1742" i="1"/>
  <c r="I1748" i="1"/>
  <c r="I1754" i="1"/>
  <c r="I1760" i="1"/>
  <c r="I1766" i="1"/>
  <c r="I1772" i="1"/>
  <c r="I1778" i="1"/>
  <c r="I1784" i="1"/>
  <c r="I1790" i="1"/>
  <c r="I1796" i="1"/>
  <c r="I1802" i="1"/>
  <c r="I1808" i="1"/>
  <c r="I1814" i="1"/>
  <c r="I1820" i="1"/>
  <c r="I1826" i="1"/>
  <c r="I1832" i="1"/>
  <c r="I1838" i="1"/>
  <c r="I1844" i="1"/>
  <c r="I1850" i="1"/>
  <c r="I1856" i="1"/>
  <c r="I1862" i="1"/>
  <c r="I1868" i="1"/>
  <c r="I1874" i="1"/>
  <c r="I1880" i="1"/>
  <c r="I1886" i="1"/>
  <c r="I1892" i="1"/>
  <c r="I1898" i="1"/>
  <c r="I1904" i="1"/>
  <c r="I1910" i="1"/>
  <c r="I1949" i="1"/>
  <c r="I1967" i="1"/>
  <c r="I1985" i="1"/>
  <c r="I1997" i="1"/>
  <c r="I2011" i="1"/>
  <c r="I2105" i="1"/>
  <c r="I2188" i="1"/>
  <c r="I2208" i="1"/>
  <c r="I2242" i="1"/>
  <c r="I2257" i="1"/>
  <c r="I2316" i="1"/>
  <c r="I2340" i="1"/>
  <c r="I2363" i="1"/>
  <c r="I2395" i="1"/>
  <c r="I2428" i="1"/>
  <c r="I2437" i="1"/>
  <c r="I2461" i="1"/>
  <c r="I2511" i="1"/>
  <c r="I2607" i="1"/>
  <c r="I2671" i="1"/>
  <c r="I2898" i="1"/>
  <c r="I3476" i="1"/>
  <c r="I1921" i="1"/>
  <c r="I1939" i="1"/>
  <c r="I1994" i="1"/>
  <c r="I1999" i="1"/>
  <c r="I2016" i="1"/>
  <c r="I2035" i="1"/>
  <c r="I2042" i="1"/>
  <c r="I2058" i="1"/>
  <c r="I2082" i="1"/>
  <c r="I2090" i="1"/>
  <c r="I2132" i="1"/>
  <c r="I2176" i="1"/>
  <c r="I2285" i="1"/>
  <c r="I2359" i="1"/>
  <c r="I2377" i="1"/>
  <c r="I2499" i="1"/>
  <c r="I2553" i="1"/>
  <c r="I2684" i="1"/>
  <c r="I2881" i="1"/>
  <c r="I2907" i="1"/>
  <c r="I3155" i="1"/>
  <c r="I2003" i="1"/>
  <c r="I2012" i="1"/>
  <c r="I2021" i="1"/>
  <c r="I2030" i="1"/>
  <c r="I2039" i="1"/>
  <c r="I2043" i="1"/>
  <c r="I2049" i="1"/>
  <c r="I2055" i="1"/>
  <c r="I2061" i="1"/>
  <c r="I2067" i="1"/>
  <c r="I2073" i="1"/>
  <c r="I2079" i="1"/>
  <c r="I2085" i="1"/>
  <c r="I2093" i="1"/>
  <c r="I2098" i="1"/>
  <c r="I2103" i="1"/>
  <c r="I2108" i="1"/>
  <c r="I2122" i="1"/>
  <c r="I2130" i="1"/>
  <c r="I2148" i="1"/>
  <c r="I2160" i="1"/>
  <c r="I2167" i="1"/>
  <c r="I2183" i="1"/>
  <c r="I2204" i="1"/>
  <c r="I2219" i="1"/>
  <c r="I2230" i="1"/>
  <c r="I2250" i="1"/>
  <c r="I2302" i="1"/>
  <c r="I2322" i="1"/>
  <c r="I2374" i="1"/>
  <c r="I2394" i="1"/>
  <c r="I2445" i="1"/>
  <c r="I2528" i="1"/>
  <c r="I2602" i="1"/>
  <c r="I2696" i="1"/>
  <c r="I2868" i="1"/>
  <c r="I2886" i="1"/>
  <c r="I2942" i="1"/>
  <c r="I3002" i="1"/>
  <c r="I3062" i="1"/>
  <c r="I3260" i="1"/>
  <c r="I3450" i="1"/>
  <c r="I3653" i="1"/>
  <c r="I3663" i="1"/>
  <c r="I3822" i="1"/>
  <c r="I2006" i="1"/>
  <c r="I2015" i="1"/>
  <c r="I2024" i="1"/>
  <c r="I2033" i="1"/>
  <c r="I2045" i="1"/>
  <c r="I2048" i="1"/>
  <c r="I2051" i="1"/>
  <c r="I2054" i="1"/>
  <c r="I2057" i="1"/>
  <c r="I2060" i="1"/>
  <c r="I2063" i="1"/>
  <c r="I2066" i="1"/>
  <c r="I2069" i="1"/>
  <c r="I2072" i="1"/>
  <c r="I2075" i="1"/>
  <c r="I2078" i="1"/>
  <c r="I2081" i="1"/>
  <c r="I2084" i="1"/>
  <c r="I2087" i="1"/>
  <c r="I2113" i="1"/>
  <c r="I2177" i="1"/>
  <c r="I2184" i="1"/>
  <c r="I2191" i="1"/>
  <c r="I2248" i="1"/>
  <c r="I2320" i="1"/>
  <c r="I2392" i="1"/>
  <c r="I2450" i="1"/>
  <c r="I2458" i="1"/>
  <c r="I2834" i="1"/>
  <c r="I2847" i="1"/>
  <c r="I2852" i="1"/>
  <c r="I3056" i="1"/>
  <c r="I3225" i="1"/>
  <c r="I3305" i="1"/>
  <c r="I3380" i="1"/>
  <c r="I3794" i="1"/>
  <c r="I4492" i="1"/>
  <c r="I4503" i="1"/>
  <c r="I2019" i="1"/>
  <c r="I2037" i="1"/>
  <c r="I2092" i="1"/>
  <c r="I2097" i="1"/>
  <c r="I2102" i="1"/>
  <c r="I2111" i="1"/>
  <c r="I2117" i="1"/>
  <c r="I2123" i="1"/>
  <c r="I2149" i="1"/>
  <c r="I2156" i="1"/>
  <c r="I2161" i="1"/>
  <c r="I2170" i="1"/>
  <c r="I2189" i="1"/>
  <c r="I2231" i="1"/>
  <c r="I2263" i="1"/>
  <c r="I2280" i="1"/>
  <c r="I2303" i="1"/>
  <c r="I2335" i="1"/>
  <c r="I2352" i="1"/>
  <c r="I2375" i="1"/>
  <c r="I2407" i="1"/>
  <c r="I2424" i="1"/>
  <c r="I2475" i="1"/>
  <c r="I2517" i="1"/>
  <c r="I2608" i="1"/>
  <c r="I2645" i="1"/>
  <c r="I2693" i="1"/>
  <c r="I2738" i="1"/>
  <c r="I2778" i="1"/>
  <c r="I2809" i="1"/>
  <c r="I2889" i="1"/>
  <c r="I3177" i="1"/>
  <c r="I3248" i="1"/>
  <c r="I1992" i="1"/>
  <c r="I1996" i="1"/>
  <c r="I2010" i="1"/>
  <c r="I2014" i="1"/>
  <c r="I2028" i="1"/>
  <c r="I2032" i="1"/>
  <c r="I2125" i="1"/>
  <c r="I2129" i="1"/>
  <c r="I2137" i="1"/>
  <c r="I2182" i="1"/>
  <c r="I2198" i="1"/>
  <c r="I2266" i="1"/>
  <c r="I2286" i="1"/>
  <c r="I2338" i="1"/>
  <c r="I2358" i="1"/>
  <c r="I2410" i="1"/>
  <c r="I2430" i="1"/>
  <c r="I2443" i="1"/>
  <c r="I2447" i="1"/>
  <c r="I2534" i="1"/>
  <c r="I2547" i="1"/>
  <c r="I2552" i="1"/>
  <c r="I2621" i="1"/>
  <c r="I2673" i="1"/>
  <c r="I2683" i="1"/>
  <c r="I2744" i="1"/>
  <c r="I3026" i="1"/>
  <c r="I3075" i="1"/>
  <c r="I2005" i="1"/>
  <c r="I2023" i="1"/>
  <c r="I2041" i="1"/>
  <c r="I2099" i="1"/>
  <c r="I2104" i="1"/>
  <c r="I2135" i="1"/>
  <c r="I2141" i="1"/>
  <c r="I2166" i="1"/>
  <c r="I2196" i="1"/>
  <c r="I2203" i="1"/>
  <c r="I2249" i="1"/>
  <c r="I2255" i="1"/>
  <c r="I2269" i="1"/>
  <c r="I2272" i="1"/>
  <c r="I2321" i="1"/>
  <c r="I2327" i="1"/>
  <c r="I2341" i="1"/>
  <c r="I2344" i="1"/>
  <c r="I2393" i="1"/>
  <c r="I2399" i="1"/>
  <c r="I2413" i="1"/>
  <c r="I2416" i="1"/>
  <c r="I2451" i="1"/>
  <c r="I2518" i="1"/>
  <c r="I2600" i="1"/>
  <c r="I2609" i="1"/>
  <c r="I2626" i="1"/>
  <c r="I2724" i="1"/>
  <c r="I2951" i="1"/>
  <c r="I3107" i="1"/>
  <c r="I1991" i="1"/>
  <c r="I2000" i="1"/>
  <c r="I2009" i="1"/>
  <c r="I2018" i="1"/>
  <c r="I2027" i="1"/>
  <c r="I2036" i="1"/>
  <c r="I2044" i="1"/>
  <c r="I2050" i="1"/>
  <c r="I2056" i="1"/>
  <c r="I2062" i="1"/>
  <c r="I2068" i="1"/>
  <c r="I2074" i="1"/>
  <c r="I2080" i="1"/>
  <c r="I2086" i="1"/>
  <c r="I2094" i="1"/>
  <c r="I2152" i="1"/>
  <c r="I2180" i="1"/>
  <c r="I2194" i="1"/>
  <c r="I2221" i="1"/>
  <c r="I2232" i="1"/>
  <c r="I2238" i="1"/>
  <c r="I2261" i="1"/>
  <c r="I2278" i="1"/>
  <c r="I2293" i="1"/>
  <c r="I2304" i="1"/>
  <c r="I2310" i="1"/>
  <c r="I2333" i="1"/>
  <c r="I2350" i="1"/>
  <c r="I2365" i="1"/>
  <c r="I2376" i="1"/>
  <c r="I2382" i="1"/>
  <c r="I2405" i="1"/>
  <c r="I2422" i="1"/>
  <c r="I2440" i="1"/>
  <c r="I2455" i="1"/>
  <c r="I2571" i="1"/>
  <c r="I2780" i="1"/>
  <c r="I2934" i="1"/>
  <c r="I2940" i="1"/>
  <c r="I2993" i="1"/>
  <c r="I3134" i="1"/>
  <c r="I3227" i="1"/>
  <c r="I3732" i="1"/>
  <c r="I2112" i="1"/>
  <c r="I2119" i="1"/>
  <c r="I2126" i="1"/>
  <c r="I2136" i="1"/>
  <c r="I2143" i="1"/>
  <c r="I2154" i="1"/>
  <c r="I2159" i="1"/>
  <c r="I2164" i="1"/>
  <c r="I2174" i="1"/>
  <c r="I2453" i="1"/>
  <c r="I2535" i="1"/>
  <c r="I2570" i="1"/>
  <c r="I2588" i="1"/>
  <c r="I2591" i="1"/>
  <c r="I2665" i="1"/>
  <c r="I2755" i="1"/>
  <c r="I2779" i="1"/>
  <c r="I2968" i="1"/>
  <c r="I2983" i="1"/>
  <c r="I3020" i="1"/>
  <c r="I3231" i="1"/>
  <c r="I3398" i="1"/>
  <c r="I3428" i="1"/>
  <c r="I2642" i="1"/>
  <c r="I2660" i="1"/>
  <c r="I2669" i="1"/>
  <c r="I2675" i="1"/>
  <c r="I2698" i="1"/>
  <c r="I2905" i="1"/>
  <c r="I2989" i="1"/>
  <c r="I3330" i="1"/>
  <c r="I2089" i="1"/>
  <c r="I2095" i="1"/>
  <c r="I2101" i="1"/>
  <c r="I2107" i="1"/>
  <c r="I2128" i="1"/>
  <c r="I2153" i="1"/>
  <c r="I2158" i="1"/>
  <c r="I2168" i="1"/>
  <c r="I2215" i="1"/>
  <c r="I2220" i="1"/>
  <c r="I2237" i="1"/>
  <c r="I2239" i="1"/>
  <c r="I2254" i="1"/>
  <c r="I2256" i="1"/>
  <c r="I2273" i="1"/>
  <c r="I2275" i="1"/>
  <c r="I2290" i="1"/>
  <c r="I2292" i="1"/>
  <c r="I2309" i="1"/>
  <c r="I2311" i="1"/>
  <c r="I2326" i="1"/>
  <c r="I2328" i="1"/>
  <c r="I2345" i="1"/>
  <c r="I2347" i="1"/>
  <c r="I2362" i="1"/>
  <c r="I2364" i="1"/>
  <c r="I2381" i="1"/>
  <c r="I2383" i="1"/>
  <c r="I2398" i="1"/>
  <c r="I2400" i="1"/>
  <c r="I2417" i="1"/>
  <c r="I2419" i="1"/>
  <c r="I2501" i="1"/>
  <c r="I2530" i="1"/>
  <c r="I2536" i="1"/>
  <c r="I2554" i="1"/>
  <c r="I2583" i="1"/>
  <c r="I2589" i="1"/>
  <c r="I2657" i="1"/>
  <c r="I2704" i="1"/>
  <c r="I2725" i="1"/>
  <c r="I2739" i="1"/>
  <c r="I2815" i="1"/>
  <c r="I2828" i="1"/>
  <c r="I3027" i="1"/>
  <c r="I3087" i="1"/>
  <c r="I3251" i="1"/>
  <c r="I3294" i="1"/>
  <c r="I3501" i="1"/>
  <c r="I3638" i="1"/>
  <c r="I3725" i="1"/>
  <c r="I2114" i="1"/>
  <c r="I2124" i="1"/>
  <c r="I2131" i="1"/>
  <c r="I2138" i="1"/>
  <c r="I2185" i="1"/>
  <c r="I2190" i="1"/>
  <c r="I2195" i="1"/>
  <c r="I2200" i="1"/>
  <c r="I2210" i="1"/>
  <c r="I2462" i="1"/>
  <c r="I2480" i="1"/>
  <c r="I2483" i="1"/>
  <c r="I2643" i="1"/>
  <c r="I2781" i="1"/>
  <c r="I2833" i="1"/>
  <c r="I2845" i="1"/>
  <c r="I2887" i="1"/>
  <c r="I2961" i="1"/>
  <c r="I3146" i="1"/>
  <c r="I3288" i="1"/>
  <c r="I3301" i="1"/>
  <c r="I3456" i="1"/>
  <c r="I2224" i="1"/>
  <c r="I2226" i="1"/>
  <c r="I2243" i="1"/>
  <c r="I2245" i="1"/>
  <c r="I2260" i="1"/>
  <c r="I2262" i="1"/>
  <c r="I2279" i="1"/>
  <c r="I2281" i="1"/>
  <c r="I2296" i="1"/>
  <c r="I2298" i="1"/>
  <c r="I2315" i="1"/>
  <c r="I2317" i="1"/>
  <c r="I2332" i="1"/>
  <c r="I2334" i="1"/>
  <c r="I2351" i="1"/>
  <c r="I2353" i="1"/>
  <c r="I2368" i="1"/>
  <c r="I2370" i="1"/>
  <c r="I2387" i="1"/>
  <c r="I2389" i="1"/>
  <c r="I2404" i="1"/>
  <c r="I2406" i="1"/>
  <c r="I2423" i="1"/>
  <c r="I2425" i="1"/>
  <c r="I2435" i="1"/>
  <c r="I2477" i="1"/>
  <c r="I2492" i="1"/>
  <c r="I2537" i="1"/>
  <c r="I2566" i="1"/>
  <c r="I2572" i="1"/>
  <c r="I2590" i="1"/>
  <c r="I2619" i="1"/>
  <c r="I2625" i="1"/>
  <c r="I2689" i="1"/>
  <c r="I2732" i="1"/>
  <c r="I2773" i="1"/>
  <c r="I2798" i="1"/>
  <c r="I2816" i="1"/>
  <c r="I2883" i="1"/>
  <c r="I2957" i="1"/>
  <c r="I2999" i="1"/>
  <c r="I3104" i="1"/>
  <c r="I3117" i="1"/>
  <c r="I3153" i="1"/>
  <c r="I3159" i="1"/>
  <c r="I3182" i="1"/>
  <c r="I3200" i="1"/>
  <c r="I3495" i="1"/>
  <c r="I2110" i="1"/>
  <c r="I2134" i="1"/>
  <c r="I2147" i="1"/>
  <c r="I2150" i="1"/>
  <c r="I2197" i="1"/>
  <c r="I2202" i="1"/>
  <c r="I2207" i="1"/>
  <c r="I2212" i="1"/>
  <c r="I2433" i="1"/>
  <c r="I2457" i="1"/>
  <c r="I2463" i="1"/>
  <c r="I2498" i="1"/>
  <c r="I2516" i="1"/>
  <c r="I2519" i="1"/>
  <c r="I2664" i="1"/>
  <c r="I2702" i="1"/>
  <c r="I2719" i="1"/>
  <c r="I2726" i="1"/>
  <c r="I2862" i="1"/>
  <c r="I2936" i="1"/>
  <c r="I3019" i="1"/>
  <c r="I3099" i="1"/>
  <c r="I3111" i="1"/>
  <c r="I3289" i="1"/>
  <c r="I3339" i="1"/>
  <c r="I3519" i="1"/>
  <c r="I3528" i="1"/>
  <c r="I3561" i="1"/>
  <c r="I3678" i="1"/>
  <c r="I3946" i="1"/>
  <c r="I2438" i="1"/>
  <c r="I2469" i="1"/>
  <c r="I2471" i="1"/>
  <c r="I2486" i="1"/>
  <c r="I2488" i="1"/>
  <c r="I2505" i="1"/>
  <c r="I2507" i="1"/>
  <c r="I2522" i="1"/>
  <c r="I2524" i="1"/>
  <c r="I2541" i="1"/>
  <c r="I2543" i="1"/>
  <c r="I2558" i="1"/>
  <c r="I2560" i="1"/>
  <c r="I2577" i="1"/>
  <c r="I2579" i="1"/>
  <c r="I2594" i="1"/>
  <c r="I2596" i="1"/>
  <c r="I2613" i="1"/>
  <c r="I2615" i="1"/>
  <c r="I2630" i="1"/>
  <c r="I2632" i="1"/>
  <c r="I2649" i="1"/>
  <c r="I2651" i="1"/>
  <c r="I2687" i="1"/>
  <c r="I2691" i="1"/>
  <c r="I2722" i="1"/>
  <c r="I2748" i="1"/>
  <c r="I2869" i="1"/>
  <c r="I2904" i="1"/>
  <c r="I2922" i="1"/>
  <c r="I2925" i="1"/>
  <c r="I2990" i="1"/>
  <c r="I3013" i="1"/>
  <c r="I3147" i="1"/>
  <c r="I3212" i="1"/>
  <c r="I3239" i="1"/>
  <c r="I3269" i="1"/>
  <c r="I3297" i="1"/>
  <c r="I3315" i="1"/>
  <c r="I3415" i="1"/>
  <c r="I3468" i="1"/>
  <c r="I3646" i="1"/>
  <c r="I3759" i="1"/>
  <c r="I2109" i="1"/>
  <c r="I2115" i="1"/>
  <c r="I2121" i="1"/>
  <c r="I2127" i="1"/>
  <c r="I2133" i="1"/>
  <c r="I2139" i="1"/>
  <c r="I2145" i="1"/>
  <c r="I2151" i="1"/>
  <c r="I2157" i="1"/>
  <c r="I2163" i="1"/>
  <c r="I2169" i="1"/>
  <c r="I2175" i="1"/>
  <c r="I2181" i="1"/>
  <c r="I2187" i="1"/>
  <c r="I2193" i="1"/>
  <c r="I2199" i="1"/>
  <c r="I2205" i="1"/>
  <c r="I2211" i="1"/>
  <c r="I2217" i="1"/>
  <c r="I2223" i="1"/>
  <c r="I2229" i="1"/>
  <c r="I2235" i="1"/>
  <c r="I2241" i="1"/>
  <c r="I2247" i="1"/>
  <c r="I2253" i="1"/>
  <c r="I2259" i="1"/>
  <c r="I2265" i="1"/>
  <c r="I2271" i="1"/>
  <c r="I2277" i="1"/>
  <c r="I2283" i="1"/>
  <c r="I2289" i="1"/>
  <c r="I2295" i="1"/>
  <c r="I2301" i="1"/>
  <c r="I2307" i="1"/>
  <c r="I2313" i="1"/>
  <c r="I2319" i="1"/>
  <c r="I2325" i="1"/>
  <c r="I2331" i="1"/>
  <c r="I2337" i="1"/>
  <c r="I2343" i="1"/>
  <c r="I2349" i="1"/>
  <c r="I2355" i="1"/>
  <c r="I2361" i="1"/>
  <c r="I2367" i="1"/>
  <c r="I2373" i="1"/>
  <c r="I2379" i="1"/>
  <c r="I2385" i="1"/>
  <c r="I2391" i="1"/>
  <c r="I2397" i="1"/>
  <c r="I2403" i="1"/>
  <c r="I2409" i="1"/>
  <c r="I2415" i="1"/>
  <c r="I2421" i="1"/>
  <c r="I2427" i="1"/>
  <c r="I2432" i="1"/>
  <c r="I2680" i="1"/>
  <c r="I2692" i="1"/>
  <c r="I2716" i="1"/>
  <c r="I2718" i="1"/>
  <c r="I2742" i="1"/>
  <c r="I2754" i="1"/>
  <c r="I2761" i="1"/>
  <c r="I2775" i="1"/>
  <c r="I2790" i="1"/>
  <c r="I2835" i="1"/>
  <c r="I2864" i="1"/>
  <c r="I2870" i="1"/>
  <c r="I2888" i="1"/>
  <c r="I2917" i="1"/>
  <c r="I2923" i="1"/>
  <c r="I2981" i="1"/>
  <c r="I3044" i="1"/>
  <c r="I3128" i="1"/>
  <c r="I3140" i="1"/>
  <c r="I3218" i="1"/>
  <c r="I3257" i="1"/>
  <c r="I3332" i="1"/>
  <c r="I3516" i="1"/>
  <c r="I3746" i="1"/>
  <c r="I3763" i="1"/>
  <c r="I2459" i="1"/>
  <c r="I2468" i="1"/>
  <c r="I2470" i="1"/>
  <c r="I2487" i="1"/>
  <c r="I2489" i="1"/>
  <c r="I2504" i="1"/>
  <c r="I2506" i="1"/>
  <c r="I2523" i="1"/>
  <c r="I2525" i="1"/>
  <c r="I2540" i="1"/>
  <c r="I2542" i="1"/>
  <c r="I2559" i="1"/>
  <c r="I2561" i="1"/>
  <c r="I2576" i="1"/>
  <c r="I2578" i="1"/>
  <c r="I2595" i="1"/>
  <c r="I2597" i="1"/>
  <c r="I2612" i="1"/>
  <c r="I2614" i="1"/>
  <c r="I2631" i="1"/>
  <c r="I2633" i="1"/>
  <c r="I2648" i="1"/>
  <c r="I2650" i="1"/>
  <c r="I2678" i="1"/>
  <c r="I2682" i="1"/>
  <c r="I2707" i="1"/>
  <c r="I2728" i="1"/>
  <c r="I2730" i="1"/>
  <c r="I2796" i="1"/>
  <c r="I2814" i="1"/>
  <c r="I2817" i="1"/>
  <c r="I2978" i="1"/>
  <c r="I3105" i="1"/>
  <c r="I3188" i="1"/>
  <c r="I3206" i="1"/>
  <c r="I3285" i="1"/>
  <c r="I3371" i="1"/>
  <c r="I3381" i="1"/>
  <c r="I3537" i="1"/>
  <c r="I2222" i="1"/>
  <c r="I2228" i="1"/>
  <c r="I2234" i="1"/>
  <c r="I2240" i="1"/>
  <c r="I2246" i="1"/>
  <c r="I2252" i="1"/>
  <c r="I2258" i="1"/>
  <c r="I2264" i="1"/>
  <c r="I2270" i="1"/>
  <c r="I2276" i="1"/>
  <c r="I2282" i="1"/>
  <c r="I2288" i="1"/>
  <c r="I2294" i="1"/>
  <c r="I2300" i="1"/>
  <c r="I2306" i="1"/>
  <c r="I2312" i="1"/>
  <c r="I2318" i="1"/>
  <c r="I2324" i="1"/>
  <c r="I2330" i="1"/>
  <c r="I2336" i="1"/>
  <c r="I2342" i="1"/>
  <c r="I2348" i="1"/>
  <c r="I2354" i="1"/>
  <c r="I2360" i="1"/>
  <c r="I2366" i="1"/>
  <c r="I2372" i="1"/>
  <c r="I2378" i="1"/>
  <c r="I2384" i="1"/>
  <c r="I2390" i="1"/>
  <c r="I2396" i="1"/>
  <c r="I2402" i="1"/>
  <c r="I2408" i="1"/>
  <c r="I2414" i="1"/>
  <c r="I2420" i="1"/>
  <c r="I2426" i="1"/>
  <c r="I2436" i="1"/>
  <c r="I2439" i="1"/>
  <c r="I2444" i="1"/>
  <c r="I2666" i="1"/>
  <c r="I2714" i="1"/>
  <c r="I2721" i="1"/>
  <c r="I2811" i="1"/>
  <c r="I2826" i="1"/>
  <c r="I2871" i="1"/>
  <c r="I2900" i="1"/>
  <c r="I2906" i="1"/>
  <c r="I2924" i="1"/>
  <c r="I2985" i="1"/>
  <c r="I3029" i="1"/>
  <c r="I3041" i="1"/>
  <c r="I3081" i="1"/>
  <c r="I3167" i="1"/>
  <c r="I3219" i="1"/>
  <c r="I3233" i="1"/>
  <c r="I3323" i="1"/>
  <c r="I3395" i="1"/>
  <c r="I3651" i="1"/>
  <c r="I3856" i="1"/>
  <c r="I2431" i="1"/>
  <c r="I2449" i="1"/>
  <c r="I2474" i="1"/>
  <c r="I2476" i="1"/>
  <c r="I2493" i="1"/>
  <c r="I2495" i="1"/>
  <c r="I2510" i="1"/>
  <c r="I2512" i="1"/>
  <c r="I2529" i="1"/>
  <c r="I2531" i="1"/>
  <c r="I2546" i="1"/>
  <c r="I2548" i="1"/>
  <c r="I2565" i="1"/>
  <c r="I2567" i="1"/>
  <c r="I2582" i="1"/>
  <c r="I2584" i="1"/>
  <c r="I2601" i="1"/>
  <c r="I2603" i="1"/>
  <c r="I2618" i="1"/>
  <c r="I2620" i="1"/>
  <c r="I2637" i="1"/>
  <c r="I2639" i="1"/>
  <c r="I2654" i="1"/>
  <c r="I2656" i="1"/>
  <c r="I2662" i="1"/>
  <c r="I2674" i="1"/>
  <c r="I2701" i="1"/>
  <c r="I2712" i="1"/>
  <c r="I2733" i="1"/>
  <c r="I2745" i="1"/>
  <c r="I2762" i="1"/>
  <c r="I2764" i="1"/>
  <c r="I2797" i="1"/>
  <c r="I2832" i="1"/>
  <c r="I2850" i="1"/>
  <c r="I2853" i="1"/>
  <c r="I2966" i="1"/>
  <c r="I2972" i="1"/>
  <c r="I2995" i="1"/>
  <c r="I3015" i="1"/>
  <c r="I3022" i="1"/>
  <c r="I3045" i="1"/>
  <c r="I3125" i="1"/>
  <c r="I3171" i="1"/>
  <c r="I3254" i="1"/>
  <c r="I3343" i="1"/>
  <c r="I3467" i="1"/>
  <c r="I3518" i="1"/>
  <c r="I3567" i="1"/>
  <c r="I3606" i="1"/>
  <c r="I3628" i="1"/>
  <c r="I4023" i="1"/>
  <c r="I2661" i="1"/>
  <c r="I2670" i="1"/>
  <c r="I2679" i="1"/>
  <c r="I2688" i="1"/>
  <c r="I2697" i="1"/>
  <c r="I2708" i="1"/>
  <c r="I2715" i="1"/>
  <c r="I2727" i="1"/>
  <c r="I2736" i="1"/>
  <c r="I2750" i="1"/>
  <c r="I2767" i="1"/>
  <c r="I2769" i="1"/>
  <c r="I2784" i="1"/>
  <c r="I2786" i="1"/>
  <c r="I2803" i="1"/>
  <c r="I2805" i="1"/>
  <c r="I2820" i="1"/>
  <c r="I2822" i="1"/>
  <c r="I2839" i="1"/>
  <c r="I2841" i="1"/>
  <c r="I2856" i="1"/>
  <c r="I2858" i="1"/>
  <c r="I2875" i="1"/>
  <c r="I2877" i="1"/>
  <c r="I2892" i="1"/>
  <c r="I2894" i="1"/>
  <c r="I2911" i="1"/>
  <c r="I2913" i="1"/>
  <c r="I2928" i="1"/>
  <c r="I2930" i="1"/>
  <c r="I2947" i="1"/>
  <c r="I2949" i="1"/>
  <c r="I2953" i="1"/>
  <c r="I2974" i="1"/>
  <c r="I3068" i="1"/>
  <c r="I3074" i="1"/>
  <c r="I3110" i="1"/>
  <c r="I3116" i="1"/>
  <c r="I3176" i="1"/>
  <c r="I3179" i="1"/>
  <c r="I3185" i="1"/>
  <c r="I3263" i="1"/>
  <c r="I3272" i="1"/>
  <c r="I3278" i="1"/>
  <c r="I3298" i="1"/>
  <c r="I3319" i="1"/>
  <c r="I3357" i="1"/>
  <c r="I3391" i="1"/>
  <c r="I3416" i="1"/>
  <c r="I3464" i="1"/>
  <c r="I3486" i="1"/>
  <c r="I3524" i="1"/>
  <c r="I3632" i="1"/>
  <c r="I3671" i="1"/>
  <c r="I2467" i="1"/>
  <c r="I2473" i="1"/>
  <c r="I2479" i="1"/>
  <c r="I2485" i="1"/>
  <c r="I2491" i="1"/>
  <c r="I2497" i="1"/>
  <c r="I2503" i="1"/>
  <c r="I2509" i="1"/>
  <c r="I2515" i="1"/>
  <c r="I2521" i="1"/>
  <c r="I2527" i="1"/>
  <c r="I2533" i="1"/>
  <c r="I2539" i="1"/>
  <c r="I2545" i="1"/>
  <c r="I2551" i="1"/>
  <c r="I2557" i="1"/>
  <c r="I2563" i="1"/>
  <c r="I2569" i="1"/>
  <c r="I2575" i="1"/>
  <c r="I2581" i="1"/>
  <c r="I2587" i="1"/>
  <c r="I2593" i="1"/>
  <c r="I2599" i="1"/>
  <c r="I2605" i="1"/>
  <c r="I2611" i="1"/>
  <c r="I2617" i="1"/>
  <c r="I2623" i="1"/>
  <c r="I2629" i="1"/>
  <c r="I2635" i="1"/>
  <c r="I2641" i="1"/>
  <c r="I2647" i="1"/>
  <c r="I2653" i="1"/>
  <c r="I2659" i="1"/>
  <c r="I2677" i="1"/>
  <c r="I2695" i="1"/>
  <c r="I2720" i="1"/>
  <c r="I2749" i="1"/>
  <c r="I2752" i="1"/>
  <c r="I2766" i="1"/>
  <c r="I2960" i="1"/>
  <c r="I3009" i="1"/>
  <c r="I3032" i="1"/>
  <c r="I3183" i="1"/>
  <c r="I3189" i="1"/>
  <c r="I3249" i="1"/>
  <c r="I3409" i="1"/>
  <c r="I3413" i="1"/>
  <c r="I3507" i="1"/>
  <c r="I3512" i="1"/>
  <c r="I3660" i="1"/>
  <c r="I2668" i="1"/>
  <c r="I2672" i="1"/>
  <c r="I2686" i="1"/>
  <c r="I2690" i="1"/>
  <c r="I2703" i="1"/>
  <c r="I2710" i="1"/>
  <c r="I2743" i="1"/>
  <c r="I2746" i="1"/>
  <c r="I2763" i="1"/>
  <c r="I2768" i="1"/>
  <c r="I2785" i="1"/>
  <c r="I2787" i="1"/>
  <c r="I2802" i="1"/>
  <c r="I2804" i="1"/>
  <c r="I2821" i="1"/>
  <c r="I2823" i="1"/>
  <c r="I2838" i="1"/>
  <c r="I2840" i="1"/>
  <c r="I2857" i="1"/>
  <c r="I2859" i="1"/>
  <c r="I2874" i="1"/>
  <c r="I2876" i="1"/>
  <c r="I2893" i="1"/>
  <c r="I2895" i="1"/>
  <c r="I2910" i="1"/>
  <c r="I2912" i="1"/>
  <c r="I2929" i="1"/>
  <c r="I2931" i="1"/>
  <c r="I2946" i="1"/>
  <c r="I2948" i="1"/>
  <c r="I2956" i="1"/>
  <c r="I2977" i="1"/>
  <c r="I2998" i="1"/>
  <c r="I3023" i="1"/>
  <c r="I3255" i="1"/>
  <c r="I3261" i="1"/>
  <c r="I3296" i="1"/>
  <c r="I3321" i="1"/>
  <c r="I3324" i="1"/>
  <c r="I3396" i="1"/>
  <c r="I3431" i="1"/>
  <c r="I3605" i="1"/>
  <c r="I3647" i="1"/>
  <c r="I3942" i="1"/>
  <c r="I2442" i="1"/>
  <c r="I2448" i="1"/>
  <c r="I2454" i="1"/>
  <c r="I2460" i="1"/>
  <c r="I2466" i="1"/>
  <c r="I2472" i="1"/>
  <c r="I2478" i="1"/>
  <c r="I2484" i="1"/>
  <c r="I2490" i="1"/>
  <c r="I2496" i="1"/>
  <c r="I2502" i="1"/>
  <c r="I2508" i="1"/>
  <c r="I2514" i="1"/>
  <c r="I2520" i="1"/>
  <c r="I2526" i="1"/>
  <c r="I2532" i="1"/>
  <c r="I2538" i="1"/>
  <c r="I2544" i="1"/>
  <c r="I2550" i="1"/>
  <c r="I2556" i="1"/>
  <c r="I2562" i="1"/>
  <c r="I2568" i="1"/>
  <c r="I2574" i="1"/>
  <c r="I2580" i="1"/>
  <c r="I2586" i="1"/>
  <c r="I2592" i="1"/>
  <c r="I2598" i="1"/>
  <c r="I2604" i="1"/>
  <c r="I2610" i="1"/>
  <c r="I2616" i="1"/>
  <c r="I2622" i="1"/>
  <c r="I2628" i="1"/>
  <c r="I2634" i="1"/>
  <c r="I2640" i="1"/>
  <c r="I2646" i="1"/>
  <c r="I2652" i="1"/>
  <c r="I2658" i="1"/>
  <c r="I2663" i="1"/>
  <c r="I2681" i="1"/>
  <c r="I2699" i="1"/>
  <c r="I2713" i="1"/>
  <c r="I2737" i="1"/>
  <c r="I2740" i="1"/>
  <c r="I2757" i="1"/>
  <c r="I2973" i="1"/>
  <c r="I3005" i="1"/>
  <c r="I3089" i="1"/>
  <c r="I3303" i="1"/>
  <c r="I3373" i="1"/>
  <c r="I3383" i="1"/>
  <c r="I3401" i="1"/>
  <c r="I3558" i="1"/>
  <c r="I3593" i="1"/>
  <c r="I3668" i="1"/>
  <c r="I3715" i="1"/>
  <c r="I3769" i="1"/>
  <c r="I3888" i="1"/>
  <c r="I3979" i="1"/>
  <c r="I4018" i="1"/>
  <c r="I2667" i="1"/>
  <c r="I2676" i="1"/>
  <c r="I2685" i="1"/>
  <c r="I2694" i="1"/>
  <c r="I2706" i="1"/>
  <c r="I2731" i="1"/>
  <c r="I2734" i="1"/>
  <c r="I2751" i="1"/>
  <c r="I2760" i="1"/>
  <c r="I2772" i="1"/>
  <c r="I2774" i="1"/>
  <c r="I2791" i="1"/>
  <c r="I2793" i="1"/>
  <c r="I2808" i="1"/>
  <c r="I2810" i="1"/>
  <c r="I2827" i="1"/>
  <c r="I2829" i="1"/>
  <c r="I2844" i="1"/>
  <c r="I2846" i="1"/>
  <c r="I2863" i="1"/>
  <c r="I2865" i="1"/>
  <c r="I2880" i="1"/>
  <c r="I2882" i="1"/>
  <c r="I2899" i="1"/>
  <c r="I2901" i="1"/>
  <c r="I2916" i="1"/>
  <c r="I2918" i="1"/>
  <c r="I2935" i="1"/>
  <c r="I2937" i="1"/>
  <c r="I3003" i="1"/>
  <c r="I3053" i="1"/>
  <c r="I3083" i="1"/>
  <c r="I3095" i="1"/>
  <c r="I3161" i="1"/>
  <c r="I3325" i="1"/>
  <c r="I3356" i="1"/>
  <c r="I3359" i="1"/>
  <c r="I3366" i="1"/>
  <c r="I3390" i="1"/>
  <c r="I3432" i="1"/>
  <c r="I3445" i="1"/>
  <c r="I3480" i="1"/>
  <c r="I3522" i="1"/>
  <c r="I3576" i="1"/>
  <c r="I3701" i="1"/>
  <c r="I2965" i="1"/>
  <c r="I2969" i="1"/>
  <c r="I2986" i="1"/>
  <c r="I3016" i="1"/>
  <c r="I3039" i="1"/>
  <c r="I3050" i="1"/>
  <c r="I3093" i="1"/>
  <c r="I3101" i="1"/>
  <c r="I3122" i="1"/>
  <c r="I3165" i="1"/>
  <c r="I3173" i="1"/>
  <c r="I3194" i="1"/>
  <c r="I3237" i="1"/>
  <c r="I3245" i="1"/>
  <c r="I3266" i="1"/>
  <c r="I3280" i="1"/>
  <c r="I3307" i="1"/>
  <c r="I3350" i="1"/>
  <c r="I3377" i="1"/>
  <c r="I3407" i="1"/>
  <c r="I3422" i="1"/>
  <c r="I3433" i="1"/>
  <c r="I3439" i="1"/>
  <c r="I3462" i="1"/>
  <c r="I3620" i="1"/>
  <c r="I3666" i="1"/>
  <c r="I3755" i="1"/>
  <c r="I3774" i="1"/>
  <c r="I4329" i="1"/>
  <c r="I2705" i="1"/>
  <c r="I2711" i="1"/>
  <c r="I2717" i="1"/>
  <c r="I2723" i="1"/>
  <c r="I2729" i="1"/>
  <c r="I2735" i="1"/>
  <c r="I2741" i="1"/>
  <c r="I2747" i="1"/>
  <c r="I2753" i="1"/>
  <c r="I2759" i="1"/>
  <c r="I2765" i="1"/>
  <c r="I2771" i="1"/>
  <c r="I2777" i="1"/>
  <c r="I2783" i="1"/>
  <c r="I2789" i="1"/>
  <c r="I2795" i="1"/>
  <c r="I2801" i="1"/>
  <c r="I2807" i="1"/>
  <c r="I2813" i="1"/>
  <c r="I2819" i="1"/>
  <c r="I2825" i="1"/>
  <c r="I2831" i="1"/>
  <c r="I2837" i="1"/>
  <c r="I2843" i="1"/>
  <c r="I2849" i="1"/>
  <c r="I2855" i="1"/>
  <c r="I2861" i="1"/>
  <c r="I2867" i="1"/>
  <c r="I2873" i="1"/>
  <c r="I2879" i="1"/>
  <c r="I2885" i="1"/>
  <c r="I2891" i="1"/>
  <c r="I2897" i="1"/>
  <c r="I2903" i="1"/>
  <c r="I2909" i="1"/>
  <c r="I2915" i="1"/>
  <c r="I2921" i="1"/>
  <c r="I2927" i="1"/>
  <c r="I2933" i="1"/>
  <c r="I2939" i="1"/>
  <c r="I2945" i="1"/>
  <c r="I2959" i="1"/>
  <c r="I2963" i="1"/>
  <c r="I2980" i="1"/>
  <c r="I2997" i="1"/>
  <c r="I3001" i="1"/>
  <c r="I3008" i="1"/>
  <c r="I3011" i="1"/>
  <c r="I3025" i="1"/>
  <c r="I3051" i="1"/>
  <c r="I3059" i="1"/>
  <c r="I3080" i="1"/>
  <c r="I3123" i="1"/>
  <c r="I3131" i="1"/>
  <c r="I3152" i="1"/>
  <c r="I3195" i="1"/>
  <c r="I3203" i="1"/>
  <c r="I3224" i="1"/>
  <c r="I3267" i="1"/>
  <c r="I3275" i="1"/>
  <c r="I3283" i="1"/>
  <c r="I3287" i="1"/>
  <c r="I3328" i="1"/>
  <c r="I3353" i="1"/>
  <c r="I3378" i="1"/>
  <c r="I3387" i="1"/>
  <c r="I3414" i="1"/>
  <c r="I3420" i="1"/>
  <c r="I3434" i="1"/>
  <c r="I3437" i="1"/>
  <c r="I3472" i="1"/>
  <c r="I3490" i="1"/>
  <c r="I3727" i="1"/>
  <c r="I3738" i="1"/>
  <c r="I3803" i="1"/>
  <c r="I3869" i="1"/>
  <c r="I3875" i="1"/>
  <c r="I4167" i="1"/>
  <c r="I2950" i="1"/>
  <c r="I2967" i="1"/>
  <c r="I2984" i="1"/>
  <c r="I3004" i="1"/>
  <c r="I3028" i="1"/>
  <c r="I3038" i="1"/>
  <c r="I3057" i="1"/>
  <c r="I3065" i="1"/>
  <c r="I3086" i="1"/>
  <c r="I3129" i="1"/>
  <c r="I3137" i="1"/>
  <c r="I3158" i="1"/>
  <c r="I3201" i="1"/>
  <c r="I3209" i="1"/>
  <c r="I3230" i="1"/>
  <c r="I3273" i="1"/>
  <c r="I3312" i="1"/>
  <c r="I3316" i="1"/>
  <c r="I3367" i="1"/>
  <c r="I3397" i="1"/>
  <c r="I3403" i="1"/>
  <c r="I3426" i="1"/>
  <c r="I3443" i="1"/>
  <c r="I3458" i="1"/>
  <c r="I3555" i="1"/>
  <c r="I3649" i="1"/>
  <c r="I4258" i="1"/>
  <c r="I2770" i="1"/>
  <c r="I2776" i="1"/>
  <c r="I2782" i="1"/>
  <c r="I2788" i="1"/>
  <c r="I2794" i="1"/>
  <c r="I2800" i="1"/>
  <c r="I2806" i="1"/>
  <c r="I2812" i="1"/>
  <c r="I2818" i="1"/>
  <c r="I2824" i="1"/>
  <c r="I2830" i="1"/>
  <c r="I2836" i="1"/>
  <c r="I2842" i="1"/>
  <c r="I2848" i="1"/>
  <c r="I2854" i="1"/>
  <c r="I2860" i="1"/>
  <c r="I2866" i="1"/>
  <c r="I2872" i="1"/>
  <c r="I2878" i="1"/>
  <c r="I2884" i="1"/>
  <c r="I2890" i="1"/>
  <c r="I2896" i="1"/>
  <c r="I2902" i="1"/>
  <c r="I2908" i="1"/>
  <c r="I2914" i="1"/>
  <c r="I2920" i="1"/>
  <c r="I2926" i="1"/>
  <c r="I2932" i="1"/>
  <c r="I2938" i="1"/>
  <c r="I2944" i="1"/>
  <c r="I2954" i="1"/>
  <c r="I2971" i="1"/>
  <c r="I2975" i="1"/>
  <c r="I2992" i="1"/>
  <c r="I3021" i="1"/>
  <c r="I3033" i="1"/>
  <c r="I3063" i="1"/>
  <c r="I3071" i="1"/>
  <c r="I3092" i="1"/>
  <c r="I3135" i="1"/>
  <c r="I3143" i="1"/>
  <c r="I3164" i="1"/>
  <c r="I3207" i="1"/>
  <c r="I3215" i="1"/>
  <c r="I3236" i="1"/>
  <c r="I3279" i="1"/>
  <c r="I3306" i="1"/>
  <c r="I3333" i="1"/>
  <c r="I3335" i="1"/>
  <c r="I3342" i="1"/>
  <c r="I3349" i="1"/>
  <c r="I3374" i="1"/>
  <c r="I3452" i="1"/>
  <c r="I3484" i="1"/>
  <c r="I3497" i="1"/>
  <c r="I3520" i="1"/>
  <c r="I3540" i="1"/>
  <c r="I3613" i="1"/>
  <c r="I3734" i="1"/>
  <c r="I2962" i="1"/>
  <c r="I2979" i="1"/>
  <c r="I2996" i="1"/>
  <c r="I3007" i="1"/>
  <c r="I3014" i="1"/>
  <c r="I3017" i="1"/>
  <c r="I3035" i="1"/>
  <c r="I3069" i="1"/>
  <c r="I3077" i="1"/>
  <c r="I3098" i="1"/>
  <c r="I3141" i="1"/>
  <c r="I3149" i="1"/>
  <c r="I3170" i="1"/>
  <c r="I3213" i="1"/>
  <c r="I3221" i="1"/>
  <c r="I3242" i="1"/>
  <c r="I3310" i="1"/>
  <c r="I3314" i="1"/>
  <c r="I3347" i="1"/>
  <c r="I3449" i="1"/>
  <c r="I3510" i="1"/>
  <c r="I3556" i="1"/>
  <c r="I3564" i="1"/>
  <c r="I3772" i="1"/>
  <c r="I3778" i="1"/>
  <c r="I3840" i="1"/>
  <c r="I3034" i="1"/>
  <c r="I3040" i="1"/>
  <c r="I3046" i="1"/>
  <c r="I3052" i="1"/>
  <c r="I3058" i="1"/>
  <c r="I3064" i="1"/>
  <c r="I3070" i="1"/>
  <c r="I3076" i="1"/>
  <c r="I3082" i="1"/>
  <c r="I3088" i="1"/>
  <c r="I3094" i="1"/>
  <c r="I3100" i="1"/>
  <c r="I3106" i="1"/>
  <c r="I3112" i="1"/>
  <c r="I3118" i="1"/>
  <c r="I3124" i="1"/>
  <c r="I3130" i="1"/>
  <c r="I3136" i="1"/>
  <c r="I3142" i="1"/>
  <c r="I3148" i="1"/>
  <c r="I3154" i="1"/>
  <c r="I3160" i="1"/>
  <c r="I3166" i="1"/>
  <c r="I3172" i="1"/>
  <c r="I3178" i="1"/>
  <c r="I3184" i="1"/>
  <c r="I3190" i="1"/>
  <c r="I3196" i="1"/>
  <c r="I3202" i="1"/>
  <c r="I3208" i="1"/>
  <c r="I3214" i="1"/>
  <c r="I3220" i="1"/>
  <c r="I3226" i="1"/>
  <c r="I3232" i="1"/>
  <c r="I3238" i="1"/>
  <c r="I3244" i="1"/>
  <c r="I3250" i="1"/>
  <c r="I3256" i="1"/>
  <c r="I3262" i="1"/>
  <c r="I3268" i="1"/>
  <c r="I3274" i="1"/>
  <c r="I3284" i="1"/>
  <c r="I3293" i="1"/>
  <c r="I3302" i="1"/>
  <c r="I3311" i="1"/>
  <c r="I3320" i="1"/>
  <c r="I3329" i="1"/>
  <c r="I3336" i="1"/>
  <c r="I3360" i="1"/>
  <c r="I3384" i="1"/>
  <c r="I3478" i="1"/>
  <c r="I3482" i="1"/>
  <c r="I3503" i="1"/>
  <c r="I3570" i="1"/>
  <c r="I3579" i="1"/>
  <c r="I3585" i="1"/>
  <c r="I3616" i="1"/>
  <c r="I3720" i="1"/>
  <c r="I3745" i="1"/>
  <c r="I3749" i="1"/>
  <c r="I3768" i="1"/>
  <c r="I3886" i="1"/>
  <c r="I3282" i="1"/>
  <c r="I3300" i="1"/>
  <c r="I3318" i="1"/>
  <c r="I3331" i="1"/>
  <c r="I3338" i="1"/>
  <c r="I3345" i="1"/>
  <c r="I3355" i="1"/>
  <c r="I3362" i="1"/>
  <c r="I3369" i="1"/>
  <c r="I3379" i="1"/>
  <c r="I3386" i="1"/>
  <c r="I3393" i="1"/>
  <c r="I3402" i="1"/>
  <c r="I3404" i="1"/>
  <c r="I3419" i="1"/>
  <c r="I3421" i="1"/>
  <c r="I3438" i="1"/>
  <c r="I3440" i="1"/>
  <c r="I3455" i="1"/>
  <c r="I3457" i="1"/>
  <c r="I3489" i="1"/>
  <c r="I3538" i="1"/>
  <c r="I3686" i="1"/>
  <c r="I3751" i="1"/>
  <c r="I3792" i="1"/>
  <c r="I3796" i="1"/>
  <c r="I3801" i="1"/>
  <c r="I3949" i="1"/>
  <c r="I4284" i="1"/>
  <c r="I3031" i="1"/>
  <c r="I3037" i="1"/>
  <c r="I3043" i="1"/>
  <c r="I3049" i="1"/>
  <c r="I3055" i="1"/>
  <c r="I3061" i="1"/>
  <c r="I3067" i="1"/>
  <c r="I3073" i="1"/>
  <c r="I3079" i="1"/>
  <c r="I3085" i="1"/>
  <c r="I3091" i="1"/>
  <c r="I3097" i="1"/>
  <c r="I3103" i="1"/>
  <c r="I3109" i="1"/>
  <c r="I3115" i="1"/>
  <c r="I3121" i="1"/>
  <c r="I3127" i="1"/>
  <c r="I3133" i="1"/>
  <c r="I3139" i="1"/>
  <c r="I3145" i="1"/>
  <c r="I3151" i="1"/>
  <c r="I3157" i="1"/>
  <c r="I3163" i="1"/>
  <c r="I3169" i="1"/>
  <c r="I3175" i="1"/>
  <c r="I3181" i="1"/>
  <c r="I3187" i="1"/>
  <c r="I3193" i="1"/>
  <c r="I3199" i="1"/>
  <c r="I3205" i="1"/>
  <c r="I3211" i="1"/>
  <c r="I3217" i="1"/>
  <c r="I3223" i="1"/>
  <c r="I3229" i="1"/>
  <c r="I3235" i="1"/>
  <c r="I3241" i="1"/>
  <c r="I3247" i="1"/>
  <c r="I3253" i="1"/>
  <c r="I3259" i="1"/>
  <c r="I3265" i="1"/>
  <c r="I3271" i="1"/>
  <c r="I3277" i="1"/>
  <c r="I3291" i="1"/>
  <c r="I3295" i="1"/>
  <c r="I3309" i="1"/>
  <c r="I3313" i="1"/>
  <c r="I3327" i="1"/>
  <c r="I3348" i="1"/>
  <c r="I3372" i="1"/>
  <c r="I3485" i="1"/>
  <c r="I3506" i="1"/>
  <c r="I3527" i="1"/>
  <c r="I3531" i="1"/>
  <c r="I3543" i="1"/>
  <c r="I3562" i="1"/>
  <c r="I3568" i="1"/>
  <c r="I3611" i="1"/>
  <c r="I3614" i="1"/>
  <c r="I3624" i="1"/>
  <c r="I3642" i="1"/>
  <c r="I3679" i="1"/>
  <c r="I3743" i="1"/>
  <c r="I3756" i="1"/>
  <c r="I3819" i="1"/>
  <c r="I4035" i="1"/>
  <c r="I3286" i="1"/>
  <c r="I3304" i="1"/>
  <c r="I3322" i="1"/>
  <c r="I3341" i="1"/>
  <c r="I3365" i="1"/>
  <c r="I3389" i="1"/>
  <c r="I3408" i="1"/>
  <c r="I3410" i="1"/>
  <c r="I3425" i="1"/>
  <c r="I3427" i="1"/>
  <c r="I3444" i="1"/>
  <c r="I3446" i="1"/>
  <c r="I3461" i="1"/>
  <c r="I3463" i="1"/>
  <c r="I3473" i="1"/>
  <c r="I3502" i="1"/>
  <c r="I3595" i="1"/>
  <c r="I3627" i="1"/>
  <c r="I3703" i="1"/>
  <c r="I4266" i="1"/>
  <c r="I2952" i="1"/>
  <c r="I2958" i="1"/>
  <c r="I2964" i="1"/>
  <c r="I2970" i="1"/>
  <c r="I2976" i="1"/>
  <c r="I2982" i="1"/>
  <c r="I2988" i="1"/>
  <c r="I2994" i="1"/>
  <c r="I3000" i="1"/>
  <c r="I3006" i="1"/>
  <c r="I3012" i="1"/>
  <c r="I3018" i="1"/>
  <c r="I3024" i="1"/>
  <c r="I3030" i="1"/>
  <c r="I3036" i="1"/>
  <c r="I3042" i="1"/>
  <c r="I3048" i="1"/>
  <c r="I3054" i="1"/>
  <c r="I3060" i="1"/>
  <c r="I3066" i="1"/>
  <c r="I3072" i="1"/>
  <c r="I3078" i="1"/>
  <c r="I3084" i="1"/>
  <c r="I3090" i="1"/>
  <c r="I3096" i="1"/>
  <c r="I3102" i="1"/>
  <c r="I3108" i="1"/>
  <c r="I3114" i="1"/>
  <c r="I3120" i="1"/>
  <c r="I3126" i="1"/>
  <c r="I3132" i="1"/>
  <c r="I3138" i="1"/>
  <c r="I3144" i="1"/>
  <c r="I3150" i="1"/>
  <c r="I3156" i="1"/>
  <c r="I3162" i="1"/>
  <c r="I3168" i="1"/>
  <c r="I3174" i="1"/>
  <c r="I3180" i="1"/>
  <c r="I3186" i="1"/>
  <c r="I3192" i="1"/>
  <c r="I3198" i="1"/>
  <c r="I3204" i="1"/>
  <c r="I3210" i="1"/>
  <c r="I3216" i="1"/>
  <c r="I3222" i="1"/>
  <c r="I3228" i="1"/>
  <c r="I3234" i="1"/>
  <c r="I3240" i="1"/>
  <c r="I3246" i="1"/>
  <c r="I3252" i="1"/>
  <c r="I3258" i="1"/>
  <c r="I3264" i="1"/>
  <c r="I3270" i="1"/>
  <c r="I3276" i="1"/>
  <c r="I3281" i="1"/>
  <c r="I3290" i="1"/>
  <c r="I3299" i="1"/>
  <c r="I3308" i="1"/>
  <c r="I3317" i="1"/>
  <c r="I3326" i="1"/>
  <c r="I3337" i="1"/>
  <c r="I3344" i="1"/>
  <c r="I3351" i="1"/>
  <c r="I3361" i="1"/>
  <c r="I3368" i="1"/>
  <c r="I3375" i="1"/>
  <c r="I3385" i="1"/>
  <c r="I3392" i="1"/>
  <c r="I3546" i="1"/>
  <c r="I3618" i="1"/>
  <c r="I3636" i="1"/>
  <c r="I3874" i="1"/>
  <c r="I3477" i="1"/>
  <c r="I3494" i="1"/>
  <c r="I3498" i="1"/>
  <c r="I3515" i="1"/>
  <c r="I3532" i="1"/>
  <c r="I3573" i="1"/>
  <c r="I3609" i="1"/>
  <c r="I3634" i="1"/>
  <c r="I3675" i="1"/>
  <c r="I3677" i="1"/>
  <c r="I3689" i="1"/>
  <c r="I3740" i="1"/>
  <c r="I3786" i="1"/>
  <c r="I3814" i="1"/>
  <c r="I3839" i="1"/>
  <c r="I3857" i="1"/>
  <c r="I3945" i="1"/>
  <c r="I4054" i="1"/>
  <c r="I4196" i="1"/>
  <c r="I4275" i="1"/>
  <c r="I3334" i="1"/>
  <c r="I3340" i="1"/>
  <c r="I3346" i="1"/>
  <c r="I3352" i="1"/>
  <c r="I3358" i="1"/>
  <c r="I3364" i="1"/>
  <c r="I3370" i="1"/>
  <c r="I3376" i="1"/>
  <c r="I3382" i="1"/>
  <c r="I3388" i="1"/>
  <c r="I3394" i="1"/>
  <c r="I3400" i="1"/>
  <c r="I3406" i="1"/>
  <c r="I3412" i="1"/>
  <c r="I3418" i="1"/>
  <c r="I3424" i="1"/>
  <c r="I3430" i="1"/>
  <c r="I3436" i="1"/>
  <c r="I3442" i="1"/>
  <c r="I3448" i="1"/>
  <c r="I3454" i="1"/>
  <c r="I3460" i="1"/>
  <c r="I3466" i="1"/>
  <c r="I3471" i="1"/>
  <c r="I3488" i="1"/>
  <c r="I3492" i="1"/>
  <c r="I3509" i="1"/>
  <c r="I3526" i="1"/>
  <c r="I3534" i="1"/>
  <c r="I3550" i="1"/>
  <c r="I3574" i="1"/>
  <c r="I3582" i="1"/>
  <c r="I3602" i="1"/>
  <c r="I3610" i="1"/>
  <c r="I3641" i="1"/>
  <c r="I3685" i="1"/>
  <c r="I3696" i="1"/>
  <c r="I3760" i="1"/>
  <c r="I3820" i="1"/>
  <c r="I3976" i="1"/>
  <c r="I3479" i="1"/>
  <c r="I3496" i="1"/>
  <c r="I3513" i="1"/>
  <c r="I3530" i="1"/>
  <c r="I3552" i="1"/>
  <c r="I3580" i="1"/>
  <c r="I3588" i="1"/>
  <c r="I3598" i="1"/>
  <c r="I3645" i="1"/>
  <c r="I3654" i="1"/>
  <c r="I3656" i="1"/>
  <c r="I3713" i="1"/>
  <c r="I3744" i="1"/>
  <c r="I3767" i="1"/>
  <c r="I3804" i="1"/>
  <c r="I3850" i="1"/>
  <c r="I3892" i="1"/>
  <c r="I4260" i="1"/>
  <c r="I4408" i="1"/>
  <c r="I3399" i="1"/>
  <c r="I3405" i="1"/>
  <c r="I3411" i="1"/>
  <c r="I3417" i="1"/>
  <c r="I3423" i="1"/>
  <c r="I3429" i="1"/>
  <c r="I3435" i="1"/>
  <c r="I3441" i="1"/>
  <c r="I3447" i="1"/>
  <c r="I3453" i="1"/>
  <c r="I3459" i="1"/>
  <c r="I3465" i="1"/>
  <c r="I3483" i="1"/>
  <c r="I3500" i="1"/>
  <c r="I3504" i="1"/>
  <c r="I3521" i="1"/>
  <c r="I3586" i="1"/>
  <c r="I3596" i="1"/>
  <c r="I3600" i="1"/>
  <c r="I3629" i="1"/>
  <c r="I3681" i="1"/>
  <c r="I3683" i="1"/>
  <c r="I3691" i="1"/>
  <c r="I3776" i="1"/>
  <c r="I3821" i="1"/>
  <c r="I3833" i="1"/>
  <c r="I3915" i="1"/>
  <c r="I3924" i="1"/>
  <c r="I4058" i="1"/>
  <c r="I4200" i="1"/>
  <c r="I3470" i="1"/>
  <c r="I3474" i="1"/>
  <c r="I3491" i="1"/>
  <c r="I3508" i="1"/>
  <c r="I3525" i="1"/>
  <c r="I3544" i="1"/>
  <c r="I3592" i="1"/>
  <c r="I3623" i="1"/>
  <c r="I3631" i="1"/>
  <c r="I3661" i="1"/>
  <c r="I3708" i="1"/>
  <c r="I3754" i="1"/>
  <c r="I3893" i="1"/>
  <c r="I4053" i="1"/>
  <c r="I4101" i="1"/>
  <c r="I3533" i="1"/>
  <c r="I3539" i="1"/>
  <c r="I3545" i="1"/>
  <c r="I3551" i="1"/>
  <c r="I3557" i="1"/>
  <c r="I3563" i="1"/>
  <c r="I3569" i="1"/>
  <c r="I3575" i="1"/>
  <c r="I3581" i="1"/>
  <c r="I3587" i="1"/>
  <c r="I3597" i="1"/>
  <c r="I3601" i="1"/>
  <c r="I3615" i="1"/>
  <c r="I3619" i="1"/>
  <c r="I3633" i="1"/>
  <c r="I3637" i="1"/>
  <c r="I3650" i="1"/>
  <c r="I3657" i="1"/>
  <c r="I3667" i="1"/>
  <c r="I3674" i="1"/>
  <c r="I3680" i="1"/>
  <c r="I3698" i="1"/>
  <c r="I3710" i="1"/>
  <c r="I3722" i="1"/>
  <c r="I3790" i="1"/>
  <c r="I4096" i="1"/>
  <c r="I3604" i="1"/>
  <c r="I3622" i="1"/>
  <c r="I3640" i="1"/>
  <c r="I3659" i="1"/>
  <c r="I3690" i="1"/>
  <c r="I3695" i="1"/>
  <c r="I3697" i="1"/>
  <c r="I3702" i="1"/>
  <c r="I3707" i="1"/>
  <c r="I3709" i="1"/>
  <c r="I3714" i="1"/>
  <c r="I3719" i="1"/>
  <c r="I3721" i="1"/>
  <c r="I3726" i="1"/>
  <c r="I3731" i="1"/>
  <c r="I3733" i="1"/>
  <c r="I3750" i="1"/>
  <c r="I3758" i="1"/>
  <c r="I3791" i="1"/>
  <c r="I3799" i="1"/>
  <c r="I3816" i="1"/>
  <c r="I3831" i="1"/>
  <c r="I3876" i="1"/>
  <c r="I3940" i="1"/>
  <c r="I3963" i="1"/>
  <c r="I3966" i="1"/>
  <c r="I3970" i="1"/>
  <c r="I4033" i="1"/>
  <c r="I4075" i="1"/>
  <c r="I4255" i="1"/>
  <c r="I4353" i="1"/>
  <c r="I3536" i="1"/>
  <c r="I3542" i="1"/>
  <c r="I3548" i="1"/>
  <c r="I3554" i="1"/>
  <c r="I3560" i="1"/>
  <c r="I3566" i="1"/>
  <c r="I3572" i="1"/>
  <c r="I3578" i="1"/>
  <c r="I3584" i="1"/>
  <c r="I3590" i="1"/>
  <c r="I3599" i="1"/>
  <c r="I3608" i="1"/>
  <c r="I3617" i="1"/>
  <c r="I3626" i="1"/>
  <c r="I3635" i="1"/>
  <c r="I3644" i="1"/>
  <c r="I3655" i="1"/>
  <c r="I3662" i="1"/>
  <c r="I3669" i="1"/>
  <c r="I3692" i="1"/>
  <c r="I3704" i="1"/>
  <c r="I3716" i="1"/>
  <c r="I3728" i="1"/>
  <c r="I3783" i="1"/>
  <c r="I3795" i="1"/>
  <c r="I3802" i="1"/>
  <c r="I3837" i="1"/>
  <c r="I3855" i="1"/>
  <c r="I3858" i="1"/>
  <c r="I3912" i="1"/>
  <c r="I4345" i="1"/>
  <c r="I3594" i="1"/>
  <c r="I3612" i="1"/>
  <c r="I3630" i="1"/>
  <c r="I3648" i="1"/>
  <c r="I3672" i="1"/>
  <c r="I3737" i="1"/>
  <c r="I3739" i="1"/>
  <c r="I3773" i="1"/>
  <c r="I3785" i="1"/>
  <c r="I3787" i="1"/>
  <c r="I3852" i="1"/>
  <c r="I3867" i="1"/>
  <c r="I3916" i="1"/>
  <c r="I3919" i="1"/>
  <c r="I3928" i="1"/>
  <c r="I3944" i="1"/>
  <c r="I4029" i="1"/>
  <c r="I4057" i="1"/>
  <c r="I4256" i="1"/>
  <c r="I4396" i="1"/>
  <c r="I4444" i="1"/>
  <c r="I3469" i="1"/>
  <c r="I3475" i="1"/>
  <c r="I3481" i="1"/>
  <c r="I3487" i="1"/>
  <c r="I3493" i="1"/>
  <c r="I3499" i="1"/>
  <c r="I3505" i="1"/>
  <c r="I3511" i="1"/>
  <c r="I3517" i="1"/>
  <c r="I3523" i="1"/>
  <c r="I3529" i="1"/>
  <c r="I3535" i="1"/>
  <c r="I3541" i="1"/>
  <c r="I3547" i="1"/>
  <c r="I3553" i="1"/>
  <c r="I3559" i="1"/>
  <c r="I3565" i="1"/>
  <c r="I3571" i="1"/>
  <c r="I3577" i="1"/>
  <c r="I3583" i="1"/>
  <c r="I3589" i="1"/>
  <c r="I3603" i="1"/>
  <c r="I3607" i="1"/>
  <c r="I3621" i="1"/>
  <c r="I3625" i="1"/>
  <c r="I3639" i="1"/>
  <c r="I3643" i="1"/>
  <c r="I3665" i="1"/>
  <c r="I3684" i="1"/>
  <c r="I3687" i="1"/>
  <c r="I3765" i="1"/>
  <c r="I3777" i="1"/>
  <c r="I3781" i="1"/>
  <c r="I3838" i="1"/>
  <c r="I3873" i="1"/>
  <c r="I3891" i="1"/>
  <c r="I3894" i="1"/>
  <c r="I3938" i="1"/>
  <c r="I3957" i="1"/>
  <c r="I3974" i="1"/>
  <c r="I4180" i="1"/>
  <c r="I3764" i="1"/>
  <c r="I3782" i="1"/>
  <c r="I3808" i="1"/>
  <c r="I3810" i="1"/>
  <c r="I3825" i="1"/>
  <c r="I3827" i="1"/>
  <c r="I3844" i="1"/>
  <c r="I3846" i="1"/>
  <c r="I3861" i="1"/>
  <c r="I3863" i="1"/>
  <c r="I3880" i="1"/>
  <c r="I3882" i="1"/>
  <c r="I3897" i="1"/>
  <c r="I3899" i="1"/>
  <c r="I3907" i="1"/>
  <c r="I3932" i="1"/>
  <c r="I3936" i="1"/>
  <c r="I3955" i="1"/>
  <c r="I3961" i="1"/>
  <c r="I4032" i="1"/>
  <c r="I4190" i="1"/>
  <c r="I3652" i="1"/>
  <c r="I3658" i="1"/>
  <c r="I3664" i="1"/>
  <c r="I3670" i="1"/>
  <c r="I3676" i="1"/>
  <c r="I3682" i="1"/>
  <c r="I3688" i="1"/>
  <c r="I3694" i="1"/>
  <c r="I3700" i="1"/>
  <c r="I3706" i="1"/>
  <c r="I3712" i="1"/>
  <c r="I3718" i="1"/>
  <c r="I3724" i="1"/>
  <c r="I3730" i="1"/>
  <c r="I3736" i="1"/>
  <c r="I3742" i="1"/>
  <c r="I3748" i="1"/>
  <c r="I3753" i="1"/>
  <c r="I3762" i="1"/>
  <c r="I3771" i="1"/>
  <c r="I3780" i="1"/>
  <c r="I3789" i="1"/>
  <c r="I3798" i="1"/>
  <c r="I3904" i="1"/>
  <c r="I3908" i="1"/>
  <c r="I3933" i="1"/>
  <c r="I3962" i="1"/>
  <c r="I3973" i="1"/>
  <c r="I4020" i="1"/>
  <c r="I4074" i="1"/>
  <c r="I4192" i="1"/>
  <c r="I3766" i="1"/>
  <c r="I3784" i="1"/>
  <c r="I3807" i="1"/>
  <c r="I3809" i="1"/>
  <c r="I3826" i="1"/>
  <c r="I3828" i="1"/>
  <c r="I3843" i="1"/>
  <c r="I3845" i="1"/>
  <c r="I3862" i="1"/>
  <c r="I3864" i="1"/>
  <c r="I3879" i="1"/>
  <c r="I3881" i="1"/>
  <c r="I3898" i="1"/>
  <c r="I3900" i="1"/>
  <c r="I3910" i="1"/>
  <c r="I3982" i="1"/>
  <c r="I4014" i="1"/>
  <c r="I4024" i="1"/>
  <c r="I4078" i="1"/>
  <c r="I4088" i="1"/>
  <c r="I4235" i="1"/>
  <c r="I4286" i="1"/>
  <c r="I4312" i="1"/>
  <c r="I3693" i="1"/>
  <c r="I3699" i="1"/>
  <c r="I3705" i="1"/>
  <c r="I3711" i="1"/>
  <c r="I3717" i="1"/>
  <c r="I3723" i="1"/>
  <c r="I3729" i="1"/>
  <c r="I3735" i="1"/>
  <c r="I3741" i="1"/>
  <c r="I3747" i="1"/>
  <c r="I3757" i="1"/>
  <c r="I3761" i="1"/>
  <c r="I3775" i="1"/>
  <c r="I3779" i="1"/>
  <c r="I3793" i="1"/>
  <c r="I3797" i="1"/>
  <c r="I3902" i="1"/>
  <c r="I3906" i="1"/>
  <c r="I3921" i="1"/>
  <c r="I3925" i="1"/>
  <c r="I3969" i="1"/>
  <c r="I4027" i="1"/>
  <c r="I4095" i="1"/>
  <c r="I4367" i="1"/>
  <c r="I3752" i="1"/>
  <c r="I3770" i="1"/>
  <c r="I3788" i="1"/>
  <c r="I3813" i="1"/>
  <c r="I3815" i="1"/>
  <c r="I3832" i="1"/>
  <c r="I3834" i="1"/>
  <c r="I3849" i="1"/>
  <c r="I3851" i="1"/>
  <c r="I3868" i="1"/>
  <c r="I3870" i="1"/>
  <c r="I3885" i="1"/>
  <c r="I3887" i="1"/>
  <c r="I3927" i="1"/>
  <c r="I3950" i="1"/>
  <c r="I3967" i="1"/>
  <c r="I4099" i="1"/>
  <c r="I4276" i="1"/>
  <c r="I4307" i="1"/>
  <c r="I4335" i="1"/>
  <c r="I3903" i="1"/>
  <c r="I3920" i="1"/>
  <c r="I3937" i="1"/>
  <c r="I3954" i="1"/>
  <c r="I3958" i="1"/>
  <c r="I3980" i="1"/>
  <c r="I3986" i="1"/>
  <c r="I3988" i="1"/>
  <c r="I3991" i="1"/>
  <c r="I3993" i="1"/>
  <c r="I3998" i="1"/>
  <c r="I4000" i="1"/>
  <c r="I4003" i="1"/>
  <c r="I4005" i="1"/>
  <c r="I4010" i="1"/>
  <c r="I4012" i="1"/>
  <c r="I4016" i="1"/>
  <c r="I4041" i="1"/>
  <c r="I4070" i="1"/>
  <c r="I4083" i="1"/>
  <c r="I4238" i="1"/>
  <c r="I4272" i="1"/>
  <c r="I4316" i="1"/>
  <c r="I4365" i="1"/>
  <c r="I3800" i="1"/>
  <c r="I3806" i="1"/>
  <c r="I3812" i="1"/>
  <c r="I3818" i="1"/>
  <c r="I3824" i="1"/>
  <c r="I3830" i="1"/>
  <c r="I3836" i="1"/>
  <c r="I3842" i="1"/>
  <c r="I3848" i="1"/>
  <c r="I3854" i="1"/>
  <c r="I3860" i="1"/>
  <c r="I3866" i="1"/>
  <c r="I3872" i="1"/>
  <c r="I3878" i="1"/>
  <c r="I3884" i="1"/>
  <c r="I3890" i="1"/>
  <c r="I3896" i="1"/>
  <c r="I3914" i="1"/>
  <c r="I3931" i="1"/>
  <c r="I3948" i="1"/>
  <c r="I3952" i="1"/>
  <c r="I3972" i="1"/>
  <c r="I3975" i="1"/>
  <c r="I4046" i="1"/>
  <c r="I4050" i="1"/>
  <c r="I4071" i="1"/>
  <c r="I4093" i="1"/>
  <c r="I4102" i="1"/>
  <c r="I4168" i="1"/>
  <c r="I4175" i="1"/>
  <c r="I4197" i="1"/>
  <c r="I4308" i="1"/>
  <c r="I4412" i="1"/>
  <c r="I4514" i="1"/>
  <c r="I3901" i="1"/>
  <c r="I3918" i="1"/>
  <c r="I3922" i="1"/>
  <c r="I3939" i="1"/>
  <c r="I3956" i="1"/>
  <c r="I3968" i="1"/>
  <c r="I3985" i="1"/>
  <c r="I3987" i="1"/>
  <c r="I3992" i="1"/>
  <c r="I3994" i="1"/>
  <c r="I3997" i="1"/>
  <c r="I3999" i="1"/>
  <c r="I4004" i="1"/>
  <c r="I4006" i="1"/>
  <c r="I4009" i="1"/>
  <c r="I4011" i="1"/>
  <c r="I4048" i="1"/>
  <c r="I4052" i="1"/>
  <c r="I4253" i="1"/>
  <c r="I3805" i="1"/>
  <c r="I3811" i="1"/>
  <c r="I3817" i="1"/>
  <c r="I3823" i="1"/>
  <c r="I3829" i="1"/>
  <c r="I3835" i="1"/>
  <c r="I3841" i="1"/>
  <c r="I3847" i="1"/>
  <c r="I3853" i="1"/>
  <c r="I3859" i="1"/>
  <c r="I3865" i="1"/>
  <c r="I3871" i="1"/>
  <c r="I3877" i="1"/>
  <c r="I3883" i="1"/>
  <c r="I3889" i="1"/>
  <c r="I3895" i="1"/>
  <c r="I3909" i="1"/>
  <c r="I3926" i="1"/>
  <c r="I3943" i="1"/>
  <c r="I3960" i="1"/>
  <c r="I3964" i="1"/>
  <c r="I4015" i="1"/>
  <c r="I4040" i="1"/>
  <c r="I4044" i="1"/>
  <c r="I4063" i="1"/>
  <c r="I4069" i="1"/>
  <c r="I4082" i="1"/>
  <c r="I4089" i="1"/>
  <c r="I4145" i="1"/>
  <c r="I4188" i="1"/>
  <c r="I4356" i="1"/>
  <c r="I3913" i="1"/>
  <c r="I3930" i="1"/>
  <c r="I3934" i="1"/>
  <c r="I3951" i="1"/>
  <c r="I3978" i="1"/>
  <c r="I3981" i="1"/>
  <c r="I4036" i="1"/>
  <c r="I4065" i="1"/>
  <c r="I4143" i="1"/>
  <c r="I4151" i="1"/>
  <c r="I4279" i="1"/>
  <c r="I4293" i="1"/>
  <c r="I4299" i="1"/>
  <c r="I4028" i="1"/>
  <c r="I4045" i="1"/>
  <c r="I4062" i="1"/>
  <c r="I4066" i="1"/>
  <c r="I4105" i="1"/>
  <c r="I4107" i="1"/>
  <c r="I4112" i="1"/>
  <c r="I4114" i="1"/>
  <c r="I4117" i="1"/>
  <c r="I4119" i="1"/>
  <c r="I4124" i="1"/>
  <c r="I4126" i="1"/>
  <c r="I4129" i="1"/>
  <c r="I4131" i="1"/>
  <c r="I4136" i="1"/>
  <c r="I4138" i="1"/>
  <c r="I4163" i="1"/>
  <c r="I4184" i="1"/>
  <c r="I4244" i="1"/>
  <c r="I4326" i="1"/>
  <c r="I4339" i="1"/>
  <c r="I4022" i="1"/>
  <c r="I4039" i="1"/>
  <c r="I4056" i="1"/>
  <c r="I4060" i="1"/>
  <c r="I4077" i="1"/>
  <c r="I4081" i="1"/>
  <c r="I4084" i="1"/>
  <c r="I4094" i="1"/>
  <c r="I4142" i="1"/>
  <c r="I4164" i="1"/>
  <c r="I4185" i="1"/>
  <c r="I4233" i="1"/>
  <c r="I4242" i="1"/>
  <c r="I4264" i="1"/>
  <c r="I4277" i="1"/>
  <c r="I4280" i="1"/>
  <c r="I4422" i="1"/>
  <c r="I3984" i="1"/>
  <c r="I3990" i="1"/>
  <c r="I3996" i="1"/>
  <c r="I4002" i="1"/>
  <c r="I4008" i="1"/>
  <c r="I4026" i="1"/>
  <c r="I4030" i="1"/>
  <c r="I4047" i="1"/>
  <c r="I4064" i="1"/>
  <c r="I4106" i="1"/>
  <c r="I4108" i="1"/>
  <c r="I4111" i="1"/>
  <c r="I4113" i="1"/>
  <c r="I4118" i="1"/>
  <c r="I4120" i="1"/>
  <c r="I4123" i="1"/>
  <c r="I4125" i="1"/>
  <c r="I4130" i="1"/>
  <c r="I4132" i="1"/>
  <c r="I4135" i="1"/>
  <c r="I4137" i="1"/>
  <c r="I4146" i="1"/>
  <c r="I4156" i="1"/>
  <c r="I4160" i="1"/>
  <c r="I4181" i="1"/>
  <c r="I4251" i="1"/>
  <c r="I4268" i="1"/>
  <c r="I4283" i="1"/>
  <c r="I4290" i="1"/>
  <c r="I4301" i="1"/>
  <c r="I4355" i="1"/>
  <c r="I4416" i="1"/>
  <c r="I4430" i="1"/>
  <c r="I4452" i="1"/>
  <c r="I4017" i="1"/>
  <c r="I4034" i="1"/>
  <c r="I4051" i="1"/>
  <c r="I4068" i="1"/>
  <c r="I4072" i="1"/>
  <c r="I4087" i="1"/>
  <c r="I4090" i="1"/>
  <c r="I4100" i="1"/>
  <c r="I4158" i="1"/>
  <c r="I4162" i="1"/>
  <c r="I4202" i="1"/>
  <c r="I4234" i="1"/>
  <c r="I4265" i="1"/>
  <c r="I4328" i="1"/>
  <c r="I4337" i="1"/>
  <c r="I3905" i="1"/>
  <c r="I3911" i="1"/>
  <c r="I3917" i="1"/>
  <c r="I3923" i="1"/>
  <c r="I3929" i="1"/>
  <c r="I3935" i="1"/>
  <c r="I3941" i="1"/>
  <c r="I3947" i="1"/>
  <c r="I3953" i="1"/>
  <c r="I3959" i="1"/>
  <c r="I3965" i="1"/>
  <c r="I3971" i="1"/>
  <c r="I3977" i="1"/>
  <c r="I3983" i="1"/>
  <c r="I3989" i="1"/>
  <c r="I3995" i="1"/>
  <c r="I4001" i="1"/>
  <c r="I4007" i="1"/>
  <c r="I4021" i="1"/>
  <c r="I4038" i="1"/>
  <c r="I4042" i="1"/>
  <c r="I4059" i="1"/>
  <c r="I4076" i="1"/>
  <c r="I4150" i="1"/>
  <c r="I4154" i="1"/>
  <c r="I4173" i="1"/>
  <c r="I4179" i="1"/>
  <c r="I4194" i="1"/>
  <c r="I4198" i="1"/>
  <c r="I4257" i="1"/>
  <c r="I4321" i="1"/>
  <c r="I4333" i="1"/>
  <c r="I4351" i="1"/>
  <c r="I4406" i="1"/>
  <c r="I4155" i="1"/>
  <c r="I4172" i="1"/>
  <c r="I4176" i="1"/>
  <c r="I4193" i="1"/>
  <c r="I4205" i="1"/>
  <c r="I4210" i="1"/>
  <c r="I4212" i="1"/>
  <c r="I4215" i="1"/>
  <c r="I4217" i="1"/>
  <c r="I4222" i="1"/>
  <c r="I4224" i="1"/>
  <c r="I4227" i="1"/>
  <c r="I4229" i="1"/>
  <c r="I4240" i="1"/>
  <c r="I4247" i="1"/>
  <c r="I4262" i="1"/>
  <c r="I4292" i="1"/>
  <c r="I4302" i="1"/>
  <c r="I4331" i="1"/>
  <c r="I4377" i="1"/>
  <c r="I4421" i="1"/>
  <c r="I4448" i="1"/>
  <c r="I4491" i="1"/>
  <c r="I4149" i="1"/>
  <c r="I4166" i="1"/>
  <c r="I4170" i="1"/>
  <c r="I4187" i="1"/>
  <c r="I4204" i="1"/>
  <c r="I4239" i="1"/>
  <c r="I4248" i="1"/>
  <c r="I4298" i="1"/>
  <c r="I4303" i="1"/>
  <c r="I4362" i="1"/>
  <c r="I4080" i="1"/>
  <c r="I4086" i="1"/>
  <c r="I4092" i="1"/>
  <c r="I4098" i="1"/>
  <c r="I4104" i="1"/>
  <c r="I4110" i="1"/>
  <c r="I4116" i="1"/>
  <c r="I4122" i="1"/>
  <c r="I4128" i="1"/>
  <c r="I4134" i="1"/>
  <c r="I4140" i="1"/>
  <c r="I4157" i="1"/>
  <c r="I4174" i="1"/>
  <c r="I4191" i="1"/>
  <c r="I4206" i="1"/>
  <c r="I4209" i="1"/>
  <c r="I4211" i="1"/>
  <c r="I4216" i="1"/>
  <c r="I4218" i="1"/>
  <c r="I4221" i="1"/>
  <c r="I4223" i="1"/>
  <c r="I4228" i="1"/>
  <c r="I4230" i="1"/>
  <c r="I4237" i="1"/>
  <c r="I4261" i="1"/>
  <c r="I4282" i="1"/>
  <c r="I4311" i="1"/>
  <c r="I4324" i="1"/>
  <c r="I4409" i="1"/>
  <c r="I4472" i="1"/>
  <c r="I4494" i="1"/>
  <c r="I4144" i="1"/>
  <c r="I4161" i="1"/>
  <c r="I4178" i="1"/>
  <c r="I4182" i="1"/>
  <c r="I4199" i="1"/>
  <c r="I4269" i="1"/>
  <c r="I4317" i="1"/>
  <c r="I4319" i="1"/>
  <c r="I4347" i="1"/>
  <c r="I4457" i="1"/>
  <c r="I4467" i="1"/>
  <c r="I4013" i="1"/>
  <c r="I4019" i="1"/>
  <c r="I4025" i="1"/>
  <c r="I4031" i="1"/>
  <c r="I4037" i="1"/>
  <c r="I4043" i="1"/>
  <c r="I4049" i="1"/>
  <c r="I4055" i="1"/>
  <c r="I4061" i="1"/>
  <c r="I4067" i="1"/>
  <c r="I4073" i="1"/>
  <c r="I4079" i="1"/>
  <c r="I4085" i="1"/>
  <c r="I4091" i="1"/>
  <c r="I4097" i="1"/>
  <c r="I4103" i="1"/>
  <c r="I4109" i="1"/>
  <c r="I4115" i="1"/>
  <c r="I4121" i="1"/>
  <c r="I4127" i="1"/>
  <c r="I4133" i="1"/>
  <c r="I4139" i="1"/>
  <c r="I4148" i="1"/>
  <c r="I4152" i="1"/>
  <c r="I4169" i="1"/>
  <c r="I4186" i="1"/>
  <c r="I4203" i="1"/>
  <c r="I4243" i="1"/>
  <c r="I4252" i="1"/>
  <c r="I4273" i="1"/>
  <c r="I4287" i="1"/>
  <c r="I4306" i="1"/>
  <c r="I4419" i="1"/>
  <c r="I4446" i="1"/>
  <c r="I4478" i="1"/>
  <c r="I4296" i="1"/>
  <c r="I4349" i="1"/>
  <c r="I4372" i="1"/>
  <c r="I4402" i="1"/>
  <c r="I4502" i="1"/>
  <c r="I4232" i="1"/>
  <c r="I4246" i="1"/>
  <c r="I4250" i="1"/>
  <c r="I4267" i="1"/>
  <c r="I4271" i="1"/>
  <c r="I4274" i="1"/>
  <c r="I4278" i="1"/>
  <c r="I4285" i="1"/>
  <c r="I4289" i="1"/>
  <c r="I4295" i="1"/>
  <c r="I4313" i="1"/>
  <c r="I4363" i="1"/>
  <c r="I4368" i="1"/>
  <c r="I4413" i="1"/>
  <c r="I4454" i="1"/>
  <c r="I4469" i="1"/>
  <c r="I4481" i="1"/>
  <c r="I4208" i="1"/>
  <c r="I4214" i="1"/>
  <c r="I4220" i="1"/>
  <c r="I4226" i="1"/>
  <c r="I4241" i="1"/>
  <c r="I4259" i="1"/>
  <c r="I4263" i="1"/>
  <c r="I4281" i="1"/>
  <c r="I4346" i="1"/>
  <c r="I4359" i="1"/>
  <c r="I4384" i="1"/>
  <c r="I4397" i="1"/>
  <c r="I4496" i="1"/>
  <c r="I4500" i="1"/>
  <c r="I4515" i="1"/>
  <c r="I4236" i="1"/>
  <c r="I4245" i="1"/>
  <c r="I4254" i="1"/>
  <c r="I4297" i="1"/>
  <c r="I4325" i="1"/>
  <c r="I4338" i="1"/>
  <c r="I4361" i="1"/>
  <c r="I4376" i="1"/>
  <c r="I4424" i="1"/>
  <c r="I4443" i="1"/>
  <c r="I4455" i="1"/>
  <c r="I4466" i="1"/>
  <c r="I4141" i="1"/>
  <c r="I4147" i="1"/>
  <c r="I4153" i="1"/>
  <c r="I4159" i="1"/>
  <c r="I4165" i="1"/>
  <c r="I4171" i="1"/>
  <c r="I4177" i="1"/>
  <c r="I4183" i="1"/>
  <c r="I4189" i="1"/>
  <c r="I4195" i="1"/>
  <c r="I4201" i="1"/>
  <c r="I4207" i="1"/>
  <c r="I4213" i="1"/>
  <c r="I4219" i="1"/>
  <c r="I4225" i="1"/>
  <c r="I4231" i="1"/>
  <c r="I4249" i="1"/>
  <c r="I4270" i="1"/>
  <c r="I4288" i="1"/>
  <c r="I4291" i="1"/>
  <c r="I4310" i="1"/>
  <c r="I4315" i="1"/>
  <c r="I4320" i="1"/>
  <c r="I4371" i="1"/>
  <c r="I4470" i="1"/>
  <c r="I4505" i="1"/>
  <c r="I4330" i="1"/>
  <c r="I4334" i="1"/>
  <c r="I4343" i="1"/>
  <c r="I4357" i="1"/>
  <c r="I4432" i="1"/>
  <c r="I4463" i="1"/>
  <c r="I4480" i="1"/>
  <c r="I4511" i="1"/>
  <c r="I4305" i="1"/>
  <c r="I4314" i="1"/>
  <c r="I4323" i="1"/>
  <c r="I4332" i="1"/>
  <c r="I4341" i="1"/>
  <c r="I4350" i="1"/>
  <c r="I4364" i="1"/>
  <c r="I4380" i="1"/>
  <c r="I4382" i="1"/>
  <c r="I4390" i="1"/>
  <c r="I4400" i="1"/>
  <c r="I4439" i="1"/>
  <c r="I4456" i="1"/>
  <c r="I4487" i="1"/>
  <c r="I4504" i="1"/>
  <c r="I4294" i="1"/>
  <c r="I4300" i="1"/>
  <c r="I4309" i="1"/>
  <c r="I4327" i="1"/>
  <c r="I4344" i="1"/>
  <c r="I4358" i="1"/>
  <c r="I4386" i="1"/>
  <c r="I4388" i="1"/>
  <c r="I4431" i="1"/>
  <c r="I4442" i="1"/>
  <c r="I4479" i="1"/>
  <c r="I4490" i="1"/>
  <c r="I4304" i="1"/>
  <c r="I4318" i="1"/>
  <c r="I4322" i="1"/>
  <c r="I4336" i="1"/>
  <c r="I4340" i="1"/>
  <c r="I4352" i="1"/>
  <c r="I4373" i="1"/>
  <c r="I4403" i="1"/>
  <c r="I4420" i="1"/>
  <c r="I4428" i="1"/>
  <c r="I4445" i="1"/>
  <c r="I4468" i="1"/>
  <c r="I4476" i="1"/>
  <c r="I4493" i="1"/>
  <c r="I4385" i="1"/>
  <c r="I4391" i="1"/>
  <c r="I4394" i="1"/>
  <c r="I4414" i="1"/>
  <c r="I4426" i="1"/>
  <c r="I4437" i="1"/>
  <c r="I4450" i="1"/>
  <c r="I4461" i="1"/>
  <c r="I4474" i="1"/>
  <c r="I4485" i="1"/>
  <c r="I4498" i="1"/>
  <c r="I4509" i="1"/>
  <c r="I4379" i="1"/>
  <c r="I4407" i="1"/>
  <c r="I4410" i="1"/>
  <c r="I4434" i="1"/>
  <c r="I4458" i="1"/>
  <c r="I4482" i="1"/>
  <c r="I4506" i="1"/>
  <c r="I4366" i="1"/>
  <c r="I4383" i="1"/>
  <c r="I4401" i="1"/>
  <c r="I4404" i="1"/>
  <c r="I4425" i="1"/>
  <c r="I4438" i="1"/>
  <c r="I4449" i="1"/>
  <c r="I4462" i="1"/>
  <c r="I4473" i="1"/>
  <c r="I4486" i="1"/>
  <c r="I4497" i="1"/>
  <c r="I4510" i="1"/>
  <c r="I4342" i="1"/>
  <c r="I4348" i="1"/>
  <c r="I4354" i="1"/>
  <c r="I4360" i="1"/>
  <c r="I4370" i="1"/>
  <c r="I4374" i="1"/>
  <c r="I4395" i="1"/>
  <c r="I4398" i="1"/>
  <c r="I4427" i="1"/>
  <c r="I4436" i="1"/>
  <c r="I4451" i="1"/>
  <c r="I4460" i="1"/>
  <c r="I4475" i="1"/>
  <c r="I4484" i="1"/>
  <c r="I4499" i="1"/>
  <c r="I4508" i="1"/>
  <c r="I4378" i="1"/>
  <c r="I4389" i="1"/>
  <c r="I4392" i="1"/>
  <c r="I4415" i="1"/>
  <c r="I4418" i="1"/>
  <c r="I4440" i="1"/>
  <c r="I4464" i="1"/>
  <c r="I4488" i="1"/>
  <c r="I4512" i="1"/>
  <c r="I4516" i="1"/>
  <c r="I4369" i="1"/>
  <c r="I4375" i="1"/>
  <c r="I4381" i="1"/>
  <c r="I4387" i="1"/>
  <c r="I4393" i="1"/>
  <c r="I4399" i="1"/>
  <c r="I4405" i="1"/>
  <c r="I4411" i="1"/>
  <c r="I4417" i="1"/>
  <c r="I4423" i="1"/>
  <c r="I4429" i="1"/>
  <c r="I4435" i="1"/>
  <c r="I4441" i="1"/>
  <c r="I4447" i="1"/>
  <c r="I4453" i="1"/>
  <c r="I4459" i="1"/>
  <c r="I4465" i="1"/>
  <c r="I4471" i="1"/>
  <c r="I4477" i="1"/>
  <c r="I4483" i="1"/>
  <c r="I4489" i="1"/>
  <c r="I4495" i="1"/>
  <c r="I4501" i="1"/>
  <c r="I4507" i="1"/>
  <c r="I4513" i="1"/>
</calcChain>
</file>

<file path=xl/sharedStrings.xml><?xml version="1.0" encoding="utf-8"?>
<sst xmlns="http://schemas.openxmlformats.org/spreadsheetml/2006/main" count="27225" uniqueCount="13663">
  <si>
    <t>Stock Name</t>
  </si>
  <si>
    <t>Symbol</t>
  </si>
  <si>
    <t>Industry_O</t>
  </si>
  <si>
    <t>Industry</t>
  </si>
  <si>
    <t>Market Cap(Rs. Cr.)</t>
  </si>
  <si>
    <t>Exchange</t>
  </si>
  <si>
    <t>Last Price</t>
  </si>
  <si>
    <t>LTPP</t>
  </si>
  <si>
    <t>LTP</t>
  </si>
  <si>
    <t>Volume</t>
  </si>
  <si>
    <t>Chng%</t>
  </si>
  <si>
    <t>Chg%</t>
  </si>
  <si>
    <t>Change</t>
  </si>
  <si>
    <t>TTM Statement</t>
  </si>
  <si>
    <t>Period Ending</t>
  </si>
  <si>
    <t>Total Debt(Rs. Cr.)</t>
  </si>
  <si>
    <t>Enterprise Value(Rs. Cr.)</t>
  </si>
  <si>
    <t>TTM Ending (Results)</t>
  </si>
  <si>
    <t>Net Sales (Rs. Cr.)</t>
  </si>
  <si>
    <t>Profit After Tax (Rs. Cr.)</t>
  </si>
  <si>
    <t>TTM Ending (Valuation)</t>
  </si>
  <si>
    <t>Price Earning Ratio  (TTM)</t>
  </si>
  <si>
    <t>Price Earning Ratio(TTM)</t>
  </si>
  <si>
    <t>PEG Ratio</t>
  </si>
  <si>
    <t>Price To Book Value(TTM)</t>
  </si>
  <si>
    <t>Statement</t>
  </si>
  <si>
    <t>Year Ending</t>
  </si>
  <si>
    <t>Debt Equity Ratio</t>
  </si>
  <si>
    <t>Return On Equity(%)</t>
  </si>
  <si>
    <t>Return On Capital Employed(%)</t>
  </si>
  <si>
    <t>52w_high_csv</t>
  </si>
  <si>
    <t>52w_high</t>
  </si>
  <si>
    <t>52w_low_csv</t>
  </si>
  <si>
    <t>52w_low</t>
  </si>
  <si>
    <t>EPS</t>
  </si>
  <si>
    <t>Symbol with Comma for External Upload</t>
  </si>
  <si>
    <t>EPS_csv</t>
  </si>
  <si>
    <t>20 Microns Ltd.</t>
  </si>
  <si>
    <t>20MICRONS</t>
  </si>
  <si>
    <t>Mining &amp; Minerals</t>
  </si>
  <si>
    <t>NSE</t>
  </si>
  <si>
    <t>21st Century Management Services Ltd.</t>
  </si>
  <si>
    <t>21STCENMGM</t>
  </si>
  <si>
    <t>Finance - Investment</t>
  </si>
  <si>
    <t>21STCENMGM,</t>
  </si>
  <si>
    <t>523638,</t>
  </si>
  <si>
    <t>360 One Wam Ltd.</t>
  </si>
  <si>
    <t>360ONE</t>
  </si>
  <si>
    <t>Finance - Others</t>
  </si>
  <si>
    <t>360ONE,</t>
  </si>
  <si>
    <t>Bright Outdoor Media Ltd.</t>
  </si>
  <si>
    <t>BRIGHT</t>
  </si>
  <si>
    <t>Advertising &amp; Media</t>
  </si>
  <si>
    <t>BSE</t>
  </si>
  <si>
    <t>532067,</t>
  </si>
  <si>
    <t>3I Infotech Ltd.</t>
  </si>
  <si>
    <t>3IINFOLTD</t>
  </si>
  <si>
    <t>IT - Software</t>
  </si>
  <si>
    <t>531651,</t>
  </si>
  <si>
    <t>Innokaiz India Ltd.</t>
  </si>
  <si>
    <t>INNOKAIZ</t>
  </si>
  <si>
    <t>3IINFOLTD,</t>
  </si>
  <si>
    <t>3M India Ltd.</t>
  </si>
  <si>
    <t>3MINDIA</t>
  </si>
  <si>
    <t>Diversified</t>
  </si>
  <si>
    <t>EFFWA,</t>
  </si>
  <si>
    <t>3P Land Holdings Ltd.</t>
  </si>
  <si>
    <t>3PLAND</t>
  </si>
  <si>
    <t>3PLAND,</t>
  </si>
  <si>
    <t>3rd Rock Multimedia Ltd.</t>
  </si>
  <si>
    <t>3RDROCK</t>
  </si>
  <si>
    <t>Miscellaneous</t>
  </si>
  <si>
    <t>PPSL,</t>
  </si>
  <si>
    <t>5Paisa Capital Ltd.</t>
  </si>
  <si>
    <t>5PAISA</t>
  </si>
  <si>
    <t>Finance - Stock Broking</t>
  </si>
  <si>
    <t>5PAISA,</t>
  </si>
  <si>
    <t>515059,</t>
  </si>
  <si>
    <t>63 Moons Technologies Ltd.</t>
  </si>
  <si>
    <t>63MOONS</t>
  </si>
  <si>
    <t>A And M Jumbo Bags Ltd.</t>
  </si>
  <si>
    <t>AMJUMBO</t>
  </si>
  <si>
    <t>Plastic Products</t>
  </si>
  <si>
    <t>530991,</t>
  </si>
  <si>
    <t>A2Z Infra Engineering Ltd.</t>
  </si>
  <si>
    <t>A2ZINFRA</t>
  </si>
  <si>
    <t>Engineering - Construction</t>
  </si>
  <si>
    <t>543520,</t>
  </si>
  <si>
    <t>AAA Technologies Ltd.</t>
  </si>
  <si>
    <t>AAATECH</t>
  </si>
  <si>
    <t>BPO/ITeS</t>
  </si>
  <si>
    <t>APTECHT,</t>
  </si>
  <si>
    <t>Aadhar Housing Finance Ltd.</t>
  </si>
  <si>
    <t>AADHARHFC</t>
  </si>
  <si>
    <t>Finance - Housing</t>
  </si>
  <si>
    <t>AADHARHFC,</t>
  </si>
  <si>
    <t>NAUKRI,</t>
  </si>
  <si>
    <t>TGIF Agribusiness Ltd.</t>
  </si>
  <si>
    <t>TGIF</t>
  </si>
  <si>
    <t>Agriculture</t>
  </si>
  <si>
    <t>542012,</t>
  </si>
  <si>
    <t>Aakash Exploration Services Ltd.</t>
  </si>
  <si>
    <t>AAKASH</t>
  </si>
  <si>
    <t>Oil Exploration</t>
  </si>
  <si>
    <t>Aarey Drugs &amp; Pharmaceuticals Ltd.</t>
  </si>
  <si>
    <t>AAREYDRUGS</t>
  </si>
  <si>
    <t>Pharmaceuticals &amp; Drugs</t>
  </si>
  <si>
    <t>QVCEL,</t>
  </si>
  <si>
    <t>Vrundavan Plantation Ltd.</t>
  </si>
  <si>
    <t>VPL</t>
  </si>
  <si>
    <t>Aaron Industries Ltd.</t>
  </si>
  <si>
    <t>AARON</t>
  </si>
  <si>
    <t>Engineering</t>
  </si>
  <si>
    <t>509563,</t>
  </si>
  <si>
    <t>Alfavision Overseas (India) Ltd.</t>
  </si>
  <si>
    <t>ALFAVIO</t>
  </si>
  <si>
    <t>AAKASH,</t>
  </si>
  <si>
    <t>Asian Warehousing Ltd.</t>
  </si>
  <si>
    <t>ASIAN</t>
  </si>
  <si>
    <t>539096,</t>
  </si>
  <si>
    <t>Beeyu Overseas Ltd.</t>
  </si>
  <si>
    <t>BEEYU</t>
  </si>
  <si>
    <t>538812,</t>
  </si>
  <si>
    <t>Aartech Solonics Ltd.</t>
  </si>
  <si>
    <t>AARTECH</t>
  </si>
  <si>
    <t>Electric Equipment</t>
  </si>
  <si>
    <t>EXICOM,</t>
  </si>
  <si>
    <t>Aarti Drugs Ltd.</t>
  </si>
  <si>
    <t>AARTIDRUGS</t>
  </si>
  <si>
    <t>RSYSTEMS,</t>
  </si>
  <si>
    <t>Genomic Valley Biotech Ltd.</t>
  </si>
  <si>
    <t>GVBL</t>
  </si>
  <si>
    <t>AARON,</t>
  </si>
  <si>
    <t>Aarti Industries Ltd.</t>
  </si>
  <si>
    <t>AARTIIND</t>
  </si>
  <si>
    <t>Chemicals</t>
  </si>
  <si>
    <t>BEML,</t>
  </si>
  <si>
    <t>Himalaya Food lnternational Ltd.</t>
  </si>
  <si>
    <t>HFIL</t>
  </si>
  <si>
    <t>AARTIDRUGS,</t>
  </si>
  <si>
    <t>Hindustan Agrigenetics Ltd.</t>
  </si>
  <si>
    <t>HINDUST</t>
  </si>
  <si>
    <t>AARTIIND,</t>
  </si>
  <si>
    <t>Aarti Pharmalabs Ltd.</t>
  </si>
  <si>
    <t>AARTIPHARM</t>
  </si>
  <si>
    <t>RPPINFRA,</t>
  </si>
  <si>
    <t>JK Agri Genetics Ltd.</t>
  </si>
  <si>
    <t>JK AGRI</t>
  </si>
  <si>
    <t>AARTISURF,</t>
  </si>
  <si>
    <t>Aarti Surfactants Ltd.</t>
  </si>
  <si>
    <t>AARTISURF</t>
  </si>
  <si>
    <t>Household &amp; Personal Products</t>
  </si>
  <si>
    <t>Aarvee Denims &amp; Exports Ltd.</t>
  </si>
  <si>
    <t>AARVEEDEN</t>
  </si>
  <si>
    <t>Textile - Weaving</t>
  </si>
  <si>
    <t>Mangalam Seeds Ltd.</t>
  </si>
  <si>
    <t>MSL</t>
  </si>
  <si>
    <t>Aarvi Encon Ltd.</t>
  </si>
  <si>
    <t>AARVI</t>
  </si>
  <si>
    <t>Professional Services</t>
  </si>
  <si>
    <t>531240,</t>
  </si>
  <si>
    <t>Aatmaj Healthcare Ltd.</t>
  </si>
  <si>
    <t>AATMAJ</t>
  </si>
  <si>
    <t>Hospital &amp; Healthcare Services</t>
  </si>
  <si>
    <t>MARINE,</t>
  </si>
  <si>
    <t>Naturite Agro Products Ltd.</t>
  </si>
  <si>
    <t>NAPL</t>
  </si>
  <si>
    <t>540718,</t>
  </si>
  <si>
    <t>Aavas Financiers Ltd.</t>
  </si>
  <si>
    <t>AAVAS</t>
  </si>
  <si>
    <t>AAVAS,</t>
  </si>
  <si>
    <t>INFOBEAN,</t>
  </si>
  <si>
    <t>Omega Ag-Seeds (Punjab) Ltd.</t>
  </si>
  <si>
    <t>OMEAG</t>
  </si>
  <si>
    <t>ABCOTS,</t>
  </si>
  <si>
    <t>Saptarishi Agro Industries Ltd.</t>
  </si>
  <si>
    <t>SPTRSHI</t>
  </si>
  <si>
    <t>ABINFRA,</t>
  </si>
  <si>
    <t>SC Agrotech Ltd.</t>
  </si>
  <si>
    <t>SCAGRO</t>
  </si>
  <si>
    <t>ABAN,</t>
  </si>
  <si>
    <t>Shree Ganesh Bio-Tech (India) Ltd.</t>
  </si>
  <si>
    <t>SHREEGANES</t>
  </si>
  <si>
    <t>512165,</t>
  </si>
  <si>
    <t>AB Cotspin India Ltd.</t>
  </si>
  <si>
    <t>ABCOTS</t>
  </si>
  <si>
    <t>Textile</t>
  </si>
  <si>
    <t>526211,</t>
  </si>
  <si>
    <t>Simran Farms Ltd.</t>
  </si>
  <si>
    <t>SIMRAN</t>
  </si>
  <si>
    <t>ABB,</t>
  </si>
  <si>
    <t>Tarai Foods Ltd.</t>
  </si>
  <si>
    <t>TARAI</t>
  </si>
  <si>
    <t>ABBOTINDIA,</t>
  </si>
  <si>
    <t>Tierra Agrotech Ltd.</t>
  </si>
  <si>
    <t>TIERRA</t>
  </si>
  <si>
    <t>520123,</t>
  </si>
  <si>
    <t>Transchem Ltd.</t>
  </si>
  <si>
    <t>TRANSCHEM</t>
  </si>
  <si>
    <t>ABHAPOWER,</t>
  </si>
  <si>
    <t>AB Infrabuild Ltd.</t>
  </si>
  <si>
    <t>ABINFRA</t>
  </si>
  <si>
    <t>GHCL,</t>
  </si>
  <si>
    <t>Aban Offshore Ltd.</t>
  </si>
  <si>
    <t>ABAN</t>
  </si>
  <si>
    <t>PNCINFRA,</t>
  </si>
  <si>
    <t>Abans Holdings Ltd.</t>
  </si>
  <si>
    <t>AHL</t>
  </si>
  <si>
    <t>Finance - NBFC</t>
  </si>
  <si>
    <t>AHL,</t>
  </si>
  <si>
    <t>500240,</t>
  </si>
  <si>
    <t>ABB India Ltd.</t>
  </si>
  <si>
    <t>ABB</t>
  </si>
  <si>
    <t>EXIDEIND,</t>
  </si>
  <si>
    <t>Abbott India Ltd.</t>
  </si>
  <si>
    <t>ABBOTINDIA</t>
  </si>
  <si>
    <t>524502,</t>
  </si>
  <si>
    <t>Abha Power And Steel Ltd.</t>
  </si>
  <si>
    <t>ABHAPOWER</t>
  </si>
  <si>
    <t>Steel &amp; Iron Products</t>
  </si>
  <si>
    <t>SREEL,</t>
  </si>
  <si>
    <t>Abhishek Integrations Ltd.</t>
  </si>
  <si>
    <t>AILIMITED</t>
  </si>
  <si>
    <t>Business Support</t>
  </si>
  <si>
    <t>ASAHIINDIA,</t>
  </si>
  <si>
    <t>ABM International Ltd.</t>
  </si>
  <si>
    <t>ABMINTLLTD</t>
  </si>
  <si>
    <t>Trading</t>
  </si>
  <si>
    <t>532320,</t>
  </si>
  <si>
    <t>ABS Marine Services Ltd.</t>
  </si>
  <si>
    <t>ABSMARINE</t>
  </si>
  <si>
    <t>Shipping</t>
  </si>
  <si>
    <t>SIGNORIA,</t>
  </si>
  <si>
    <t>SpiceJet Ltd.</t>
  </si>
  <si>
    <t>SPICEJET</t>
  </si>
  <si>
    <t>Airlines</t>
  </si>
  <si>
    <t>ACC,</t>
  </si>
  <si>
    <t>ACC Ltd.</t>
  </si>
  <si>
    <t>ACC</t>
  </si>
  <si>
    <t>Cement &amp; Construction Materials</t>
  </si>
  <si>
    <t>543737,</t>
  </si>
  <si>
    <t>Accelya Solutions India Ltd.</t>
  </si>
  <si>
    <t>ACCELYA</t>
  </si>
  <si>
    <t>526616,</t>
  </si>
  <si>
    <t>TAAL Enterprises Ltd.</t>
  </si>
  <si>
    <t>TAALENT</t>
  </si>
  <si>
    <t>ACCENTMIC,</t>
  </si>
  <si>
    <t>Taneja Aerospace &amp; Aviation Ltd.</t>
  </si>
  <si>
    <t>TANAA</t>
  </si>
  <si>
    <t>ACCORD,</t>
  </si>
  <si>
    <t>Accent Microcell Ltd.</t>
  </si>
  <si>
    <t>ACCENTMIC</t>
  </si>
  <si>
    <t>PYRAMID,</t>
  </si>
  <si>
    <t>Accord Synergy Ltd.</t>
  </si>
  <si>
    <t>ACCORD</t>
  </si>
  <si>
    <t>Telecommunication - Service Provider</t>
  </si>
  <si>
    <t>512527,</t>
  </si>
  <si>
    <t>Accuracy Shipping Ltd.</t>
  </si>
  <si>
    <t>ACCURACY</t>
  </si>
  <si>
    <t>Logistics</t>
  </si>
  <si>
    <t>ACE Integrated Solutions Ltd.</t>
  </si>
  <si>
    <t>ACEINTEG</t>
  </si>
  <si>
    <t>Arfin India Ltd.</t>
  </si>
  <si>
    <t>ARFIN</t>
  </si>
  <si>
    <t>Aluminium &amp; Aluminium Products</t>
  </si>
  <si>
    <t>531525,</t>
  </si>
  <si>
    <t>Acme Solar Holdings Ltd.</t>
  </si>
  <si>
    <t>ACMESOLAR</t>
  </si>
  <si>
    <t>Power Generation/Distribution</t>
  </si>
  <si>
    <t>526081,</t>
  </si>
  <si>
    <t>Golkonda Aluminium Extrusions Ltd.</t>
  </si>
  <si>
    <t>GOLKONDA</t>
  </si>
  <si>
    <t>517356,</t>
  </si>
  <si>
    <t>Action Construction Equipment Ltd.</t>
  </si>
  <si>
    <t>ACE</t>
  </si>
  <si>
    <t>Construction Vehicles</t>
  </si>
  <si>
    <t>Hind Aluminium Industries Ltd.</t>
  </si>
  <si>
    <t>HINDALUMI</t>
  </si>
  <si>
    <t>Adani Energy Solutions Ltd.</t>
  </si>
  <si>
    <t>ADANIENSOL</t>
  </si>
  <si>
    <t>SARTELE,</t>
  </si>
  <si>
    <t>Adani Enterprises Ltd.</t>
  </si>
  <si>
    <t>ADANIENT</t>
  </si>
  <si>
    <t>VADILALIND,</t>
  </si>
  <si>
    <t>Adani Green Energy Ltd.</t>
  </si>
  <si>
    <t>ADANIGREEN</t>
  </si>
  <si>
    <t>Adani Ports and Special Economic Zone Ltd.</t>
  </si>
  <si>
    <t>ADANIPORTS</t>
  </si>
  <si>
    <t>Port</t>
  </si>
  <si>
    <t>SANSERA,</t>
  </si>
  <si>
    <t>Nirav Commercials Ltd.</t>
  </si>
  <si>
    <t>NIRAVCOM</t>
  </si>
  <si>
    <t>Palco Metals Ltd.</t>
  </si>
  <si>
    <t>PALCO</t>
  </si>
  <si>
    <t>ADANIENSOL,</t>
  </si>
  <si>
    <t>PG Foils Ltd.</t>
  </si>
  <si>
    <t>PGFOILQ</t>
  </si>
  <si>
    <t>ADANIENT,</t>
  </si>
  <si>
    <t>Sacheta Metals Ltd.</t>
  </si>
  <si>
    <t>SACHEMT</t>
  </si>
  <si>
    <t>ADANIGREEN,</t>
  </si>
  <si>
    <t>Sudal Industries Ltd.</t>
  </si>
  <si>
    <t>SUDAI</t>
  </si>
  <si>
    <t>ADANIPORTS,</t>
  </si>
  <si>
    <t>Adani Power Ltd.</t>
  </si>
  <si>
    <t>ADANIPOWER</t>
  </si>
  <si>
    <t>SSDL,</t>
  </si>
  <si>
    <t>Adani Total Gas Ltd.</t>
  </si>
  <si>
    <t>ATGL</t>
  </si>
  <si>
    <t>Gas Transmission/Marketing</t>
  </si>
  <si>
    <t>MRPL,</t>
  </si>
  <si>
    <t>Nicco Parks &amp; Resorts Ltd.</t>
  </si>
  <si>
    <t>NICCOPAR</t>
  </si>
  <si>
    <t>Amusement Parks/Recreation/Club</t>
  </si>
  <si>
    <t>AWL,</t>
  </si>
  <si>
    <t>Adani Wilmar Ltd.</t>
  </si>
  <si>
    <t>AWL</t>
  </si>
  <si>
    <t>Edible Oil</t>
  </si>
  <si>
    <t>530733,</t>
  </si>
  <si>
    <t>Addictive Learning Technology Ltd.</t>
  </si>
  <si>
    <t>LAWSIKHO</t>
  </si>
  <si>
    <t>Educational Institutions</t>
  </si>
  <si>
    <t>ADF Foods Ltd.</t>
  </si>
  <si>
    <t>ADFFOODS</t>
  </si>
  <si>
    <t>Consumer Food</t>
  </si>
  <si>
    <t>DCXINDIA,</t>
  </si>
  <si>
    <t>Prima Industries Ltd.</t>
  </si>
  <si>
    <t>PRIMAIN</t>
  </si>
  <si>
    <t>Animal Feed</t>
  </si>
  <si>
    <t>541865,</t>
  </si>
  <si>
    <t>Waterbase Ltd.</t>
  </si>
  <si>
    <t>WATERBASE</t>
  </si>
  <si>
    <t>507852,</t>
  </si>
  <si>
    <t>Aditya Birla Capital Ltd.</t>
  </si>
  <si>
    <t>ABCAPITAL</t>
  </si>
  <si>
    <t>ABCAPITAL,</t>
  </si>
  <si>
    <t>BKV Industries Ltd.</t>
  </si>
  <si>
    <t>BKV</t>
  </si>
  <si>
    <t>Aquaculture</t>
  </si>
  <si>
    <t>ADFFOODS,</t>
  </si>
  <si>
    <t>Flora Corporation Ltd.</t>
  </si>
  <si>
    <t>FLORACORP</t>
  </si>
  <si>
    <t>531286,</t>
  </si>
  <si>
    <t>Kings Infra Ventures Ltd.</t>
  </si>
  <si>
    <t>KINGSINFR</t>
  </si>
  <si>
    <t>539189,</t>
  </si>
  <si>
    <t>NCC Blue Water Products Ltd.</t>
  </si>
  <si>
    <t>NCCBLUE</t>
  </si>
  <si>
    <t>Vistar Amar Ltd.</t>
  </si>
  <si>
    <t>VISTARAMAR</t>
  </si>
  <si>
    <t>514113,</t>
  </si>
  <si>
    <t>Zeal Aqua Ltd.</t>
  </si>
  <si>
    <t>ZEAL</t>
  </si>
  <si>
    <t>Spectra Industries Ltd.</t>
  </si>
  <si>
    <t>SPECTRA</t>
  </si>
  <si>
    <t>Auto Ancillary</t>
  </si>
  <si>
    <t>ABFRL,</t>
  </si>
  <si>
    <t>Aditya Birla Fashion and Retail Ltd.</t>
  </si>
  <si>
    <t>ABFRL</t>
  </si>
  <si>
    <t>Retailing</t>
  </si>
  <si>
    <t>540737,</t>
  </si>
  <si>
    <t>Emmforce Autotech Ltd.</t>
  </si>
  <si>
    <t>EMMFORCE</t>
  </si>
  <si>
    <t>ABREL,</t>
  </si>
  <si>
    <t>Aditya Birla Money Ltd.</t>
  </si>
  <si>
    <t>BIRLAMONEY</t>
  </si>
  <si>
    <t>BIRLAMONEY,</t>
  </si>
  <si>
    <t>523248,</t>
  </si>
  <si>
    <t>New Swan Multitech Ltd.</t>
  </si>
  <si>
    <t>SWANAGRO</t>
  </si>
  <si>
    <t>540146,</t>
  </si>
  <si>
    <t>Aditya Birla Real Estate Ltd.</t>
  </si>
  <si>
    <t>ABREL</t>
  </si>
  <si>
    <t>Paper &amp; Paper Products</t>
  </si>
  <si>
    <t>531437,</t>
  </si>
  <si>
    <t>SM Auto Stamping Ltd.</t>
  </si>
  <si>
    <t>SMAUTO</t>
  </si>
  <si>
    <t>521141,</t>
  </si>
  <si>
    <t>Akar Auto Industries Ltd.</t>
  </si>
  <si>
    <t>AAIL</t>
  </si>
  <si>
    <t>AUSL,</t>
  </si>
  <si>
    <t>Amforge Industries Ltd.</t>
  </si>
  <si>
    <t>AMFORG</t>
  </si>
  <si>
    <t>AVL,</t>
  </si>
  <si>
    <t>Aditya Birla Sun Life AMC Ltd.</t>
  </si>
  <si>
    <t>ABSLAMC</t>
  </si>
  <si>
    <t>Finance - Asset Management</t>
  </si>
  <si>
    <t>ABSLAMC,</t>
  </si>
  <si>
    <t>Aditya Ultra Steel Ltd.</t>
  </si>
  <si>
    <t>AUSL</t>
  </si>
  <si>
    <t>Automobile Corporation of Goa Ltd.</t>
  </si>
  <si>
    <t>ACGL</t>
  </si>
  <si>
    <t>ADROITINFO,</t>
  </si>
  <si>
    <t>Aditya Vision Ltd.</t>
  </si>
  <si>
    <t>AVL</t>
  </si>
  <si>
    <t>537709,</t>
  </si>
  <si>
    <t>Ador Welding Ltd.</t>
  </si>
  <si>
    <t>ADORWELD</t>
  </si>
  <si>
    <t>Electrodes &amp; Welding Equipment</t>
  </si>
  <si>
    <t>Adroit Infotech Ltd.</t>
  </si>
  <si>
    <t>ADROITINFO</t>
  </si>
  <si>
    <t>504882,</t>
  </si>
  <si>
    <t>Advanced Enzyme Technologies Ltd.</t>
  </si>
  <si>
    <t>ADVENZYMES</t>
  </si>
  <si>
    <t>RACE,</t>
  </si>
  <si>
    <t>Bharat Seats Ltd.</t>
  </si>
  <si>
    <t>BHARATSE</t>
  </si>
  <si>
    <t>506947,</t>
  </si>
  <si>
    <t>Advani Hotels &amp; Resorts (India) Ltd.</t>
  </si>
  <si>
    <t>ADVANIHOTR</t>
  </si>
  <si>
    <t>Hotel, Resort &amp; Restaurants</t>
  </si>
  <si>
    <t>Aegis Logistics Ltd.</t>
  </si>
  <si>
    <t>AEGISLOG</t>
  </si>
  <si>
    <t>514460,</t>
  </si>
  <si>
    <t>Aeroflex Industries Ltd.</t>
  </si>
  <si>
    <t>AEROFLEX</t>
  </si>
  <si>
    <t>Engineering - Industrial Equipments</t>
  </si>
  <si>
    <t>506640,</t>
  </si>
  <si>
    <t>Enkei Wheels (India) Ltd.</t>
  </si>
  <si>
    <t>ENKEIWHEL</t>
  </si>
  <si>
    <t>AEGISLOG,</t>
  </si>
  <si>
    <t>Eraaya Lifespaces Ltd.</t>
  </si>
  <si>
    <t>ERAAYA</t>
  </si>
  <si>
    <t>544213,</t>
  </si>
  <si>
    <t>Aeron Composite Ltd.</t>
  </si>
  <si>
    <t>AERON</t>
  </si>
  <si>
    <t>512115,</t>
  </si>
  <si>
    <t>Aesthetik Engineers Ltd.</t>
  </si>
  <si>
    <t>AESTHETIK</t>
  </si>
  <si>
    <t>GENUSPOWER,</t>
  </si>
  <si>
    <t>Aether Industries Ltd.</t>
  </si>
  <si>
    <t>AETHER</t>
  </si>
  <si>
    <t>509438,</t>
  </si>
  <si>
    <t>Afcons Infrastructure Ltd</t>
  </si>
  <si>
    <t>AFCONS</t>
  </si>
  <si>
    <t>513059,</t>
  </si>
  <si>
    <t>GS Auto International Ltd.</t>
  </si>
  <si>
    <t>GSAUTO</t>
  </si>
  <si>
    <t>AESTHETIK,</t>
  </si>
  <si>
    <t>Him Teknoforge Ltd.</t>
  </si>
  <si>
    <t>HIMTEK</t>
  </si>
  <si>
    <t>AETHER,</t>
  </si>
  <si>
    <t>Affle (India) Ltd.</t>
  </si>
  <si>
    <t>AFFLE</t>
  </si>
  <si>
    <t>ARABIAN,</t>
  </si>
  <si>
    <t>Hindustan Hardy Ltd.</t>
  </si>
  <si>
    <t>HINDHARD</t>
  </si>
  <si>
    <t>AFCONS,</t>
  </si>
  <si>
    <t>Affordable Robotic &amp; Automation Ltd.</t>
  </si>
  <si>
    <t>AFFORDABLE</t>
  </si>
  <si>
    <t>539041,</t>
  </si>
  <si>
    <t>IP Rings Ltd.</t>
  </si>
  <si>
    <t>IPRINGLTD</t>
  </si>
  <si>
    <t>AFFORDABLE,</t>
  </si>
  <si>
    <t>IST Ltd.</t>
  </si>
  <si>
    <t>ISTLTD</t>
  </si>
  <si>
    <t>AGUL,</t>
  </si>
  <si>
    <t>Jagan Lamps Ltd.</t>
  </si>
  <si>
    <t>JAGANLAM</t>
  </si>
  <si>
    <t>AGARWALFT,</t>
  </si>
  <si>
    <t>AG Universal Ltd.</t>
  </si>
  <si>
    <t>AGUL</t>
  </si>
  <si>
    <t>UNIMECH,</t>
  </si>
  <si>
    <t>Agarwal Float Glass India Ltd.</t>
  </si>
  <si>
    <t>AGARWALFT</t>
  </si>
  <si>
    <t>Jay Ushin Ltd.</t>
  </si>
  <si>
    <t>JAYUSH</t>
  </si>
  <si>
    <t>AGARWALTUF,</t>
  </si>
  <si>
    <t>Agarwal Industrial Corporation Ltd.</t>
  </si>
  <si>
    <t>AGARIND</t>
  </si>
  <si>
    <t>Petrochemicals</t>
  </si>
  <si>
    <t>Agarwal Toughened Glass India Ltd.</t>
  </si>
  <si>
    <t>AGARWALTUF</t>
  </si>
  <si>
    <t>Glass</t>
  </si>
  <si>
    <t>MARICO,</t>
  </si>
  <si>
    <t>Kinetic Engineering Ltd.</t>
  </si>
  <si>
    <t>KINETICENG</t>
  </si>
  <si>
    <t>516020,</t>
  </si>
  <si>
    <t>Kranti Industries Ltd.</t>
  </si>
  <si>
    <t>KRANTI</t>
  </si>
  <si>
    <t>AGNI,</t>
  </si>
  <si>
    <t>AGI Greenpac Ltd.</t>
  </si>
  <si>
    <t>AGI</t>
  </si>
  <si>
    <t>Packaging</t>
  </si>
  <si>
    <t>531454,</t>
  </si>
  <si>
    <t>AGI Infra Ltd.</t>
  </si>
  <si>
    <t>AGIIL</t>
  </si>
  <si>
    <t>Construction - Real Estate</t>
  </si>
  <si>
    <t>Agni Green Power Ltd.</t>
  </si>
  <si>
    <t>AGNI</t>
  </si>
  <si>
    <t>GHCLTEXTIL,</t>
  </si>
  <si>
    <t>Machino Plastics Ltd.</t>
  </si>
  <si>
    <t>MACPLASQ</t>
  </si>
  <si>
    <t>ATFL,</t>
  </si>
  <si>
    <t>Agri-Tech (India) Ltd.</t>
  </si>
  <si>
    <t>AGRITECH</t>
  </si>
  <si>
    <t>530027,</t>
  </si>
  <si>
    <t>Menon Pistons Ltd.</t>
  </si>
  <si>
    <t>MENNPIS</t>
  </si>
  <si>
    <t>543941,</t>
  </si>
  <si>
    <t>Agro Phos India Ltd.</t>
  </si>
  <si>
    <t>AGROPHOS</t>
  </si>
  <si>
    <t>Fertilizers</t>
  </si>
  <si>
    <t>Agro Tech Foods Ltd.</t>
  </si>
  <si>
    <t>ATFL</t>
  </si>
  <si>
    <t>ENDURANCE,</t>
  </si>
  <si>
    <t>AGS Transact Technologies Ltd.</t>
  </si>
  <si>
    <t>AGSTRA</t>
  </si>
  <si>
    <t>519174,</t>
  </si>
  <si>
    <t>Ahimsa Industries Ltd.</t>
  </si>
  <si>
    <t>AHIMSA</t>
  </si>
  <si>
    <t>Ahlada Engineers Ltd.</t>
  </si>
  <si>
    <t>AHLADA</t>
  </si>
  <si>
    <t>514400,</t>
  </si>
  <si>
    <t>Porwal Auto Components Ltd.</t>
  </si>
  <si>
    <t>PORWAL</t>
  </si>
  <si>
    <t>AIAENG,</t>
  </si>
  <si>
    <t>Ahluwalia Contracts (India) Ltd.</t>
  </si>
  <si>
    <t>AHLUCONT</t>
  </si>
  <si>
    <t>AIA Engineering Ltd.</t>
  </si>
  <si>
    <t>AIAENG</t>
  </si>
  <si>
    <t>Castings/Forgings</t>
  </si>
  <si>
    <t>AURDIS,</t>
  </si>
  <si>
    <t>Aimtron Electronics Ltd.</t>
  </si>
  <si>
    <t>AIMTRON</t>
  </si>
  <si>
    <t>Electronics - Components</t>
  </si>
  <si>
    <t>NYKAA,</t>
  </si>
  <si>
    <t>AION-Tech Solutions Ltd.</t>
  </si>
  <si>
    <t>GOLDTECH</t>
  </si>
  <si>
    <t>530119,</t>
  </si>
  <si>
    <t>Airan Ltd.</t>
  </si>
  <si>
    <t>AIRAN</t>
  </si>
  <si>
    <t>543207,</t>
  </si>
  <si>
    <t>Airo Lam Ltd.</t>
  </si>
  <si>
    <t>AIROLAM</t>
  </si>
  <si>
    <t>Laminates/Decoratives</t>
  </si>
  <si>
    <t>Ajanta Pharma Ltd.</t>
  </si>
  <si>
    <t>AJANTPHARM</t>
  </si>
  <si>
    <t>RILINFRA,</t>
  </si>
  <si>
    <t>Ajmera Realty &amp; Infra India Ltd.</t>
  </si>
  <si>
    <t>AJMERA</t>
  </si>
  <si>
    <t>Ajooni Biotech Ltd.</t>
  </si>
  <si>
    <t>AJOONI</t>
  </si>
  <si>
    <t>523411,</t>
  </si>
  <si>
    <t>Rasandik Engineering Industries India Ltd.</t>
  </si>
  <si>
    <t>RASANDIK</t>
  </si>
  <si>
    <t>AJMERA,</t>
  </si>
  <si>
    <t>Akanksha Power &amp; Infrastructure Ltd.</t>
  </si>
  <si>
    <t>AKANKSHA</t>
  </si>
  <si>
    <t>521137,</t>
  </si>
  <si>
    <t>Akash Infra-Projects Ltd.</t>
  </si>
  <si>
    <t>AKASH</t>
  </si>
  <si>
    <t>GLOBALPET,</t>
  </si>
  <si>
    <t>Saint-Gobain Sekurit India Ltd.</t>
  </si>
  <si>
    <t>SAINTGOBAIN</t>
  </si>
  <si>
    <t>539300,</t>
  </si>
  <si>
    <t>Sal Automotive Ltd.</t>
  </si>
  <si>
    <t>SALAUTO</t>
  </si>
  <si>
    <t>AKANKSHA,</t>
  </si>
  <si>
    <t>Samkrg Pistons &amp; Rings Ltd.</t>
  </si>
  <si>
    <t>SAMKRG</t>
  </si>
  <si>
    <t>530621,</t>
  </si>
  <si>
    <t>AKG Exim Ltd.</t>
  </si>
  <si>
    <t>AKG</t>
  </si>
  <si>
    <t>VAKRANGEE,</t>
  </si>
  <si>
    <t>AKI India Ltd.</t>
  </si>
  <si>
    <t>AKI</t>
  </si>
  <si>
    <t>Leather</t>
  </si>
  <si>
    <t>ORICONENT,</t>
  </si>
  <si>
    <t>Akiko Global Services Ltd.</t>
  </si>
  <si>
    <t>AKIKO</t>
  </si>
  <si>
    <t>Akme Fintrade (India) Ltd.</t>
  </si>
  <si>
    <t>AFIL</t>
  </si>
  <si>
    <t>AFIL,</t>
  </si>
  <si>
    <t>526409,</t>
  </si>
  <si>
    <t>Aksh Optifibre Ltd.</t>
  </si>
  <si>
    <t>AKSHOPTFBR</t>
  </si>
  <si>
    <t>Cable</t>
  </si>
  <si>
    <t>ASPIRE,</t>
  </si>
  <si>
    <t>Akshar Spintex Ltd.</t>
  </si>
  <si>
    <t>AKSHAR</t>
  </si>
  <si>
    <t>523722,</t>
  </si>
  <si>
    <t>Aksharchem (India) Ltd.</t>
  </si>
  <si>
    <t>AKSHARCHEM</t>
  </si>
  <si>
    <t>Dyes &amp; Pigments</t>
  </si>
  <si>
    <t>Sibar Auto Parts Ltd.</t>
  </si>
  <si>
    <t>SIBARAUT</t>
  </si>
  <si>
    <t>AKSHARCHEM,</t>
  </si>
  <si>
    <t>Akums Drugs &amp; Pharmaceuticals Ltd.</t>
  </si>
  <si>
    <t>AKUMS</t>
  </si>
  <si>
    <t>RKSWAMY,</t>
  </si>
  <si>
    <t>Akzo Nobel India Ltd.</t>
  </si>
  <si>
    <t>AKZOINDIA</t>
  </si>
  <si>
    <t>Paints</t>
  </si>
  <si>
    <t>530095,</t>
  </si>
  <si>
    <t>Alankit Ltd.</t>
  </si>
  <si>
    <t>ALANKIT</t>
  </si>
  <si>
    <t>ALANKIT,</t>
  </si>
  <si>
    <t>MADHUCON,</t>
  </si>
  <si>
    <t>Albert David Ltd.</t>
  </si>
  <si>
    <t>ALBERTDAVD</t>
  </si>
  <si>
    <t>RACLGEAR,</t>
  </si>
  <si>
    <t>Alembic Ltd.</t>
  </si>
  <si>
    <t>ALEMBICLTD</t>
  </si>
  <si>
    <t>541703,</t>
  </si>
  <si>
    <t>Alembic Pharmaceuticals Ltd.</t>
  </si>
  <si>
    <t>APLLTD</t>
  </si>
  <si>
    <t>RADAAN,</t>
  </si>
  <si>
    <t>Alicon Castalloy Ltd.</t>
  </si>
  <si>
    <t>ALICON</t>
  </si>
  <si>
    <t>AURIONPRO,</t>
  </si>
  <si>
    <t>Alivus Life Sciences Ltd.</t>
  </si>
  <si>
    <t>GLS</t>
  </si>
  <si>
    <t>539673,</t>
  </si>
  <si>
    <t>Alkali Metals Ltd.</t>
  </si>
  <si>
    <t>ALKALI</t>
  </si>
  <si>
    <t>Alkem Laboratories Ltd.</t>
  </si>
  <si>
    <t>ALKEM</t>
  </si>
  <si>
    <t>531273,</t>
  </si>
  <si>
    <t>Talbros Engineering Ltd.</t>
  </si>
  <si>
    <t>TALBROSENG</t>
  </si>
  <si>
    <t>517546,</t>
  </si>
  <si>
    <t>Alkyl Amines Chemicals Ltd.</t>
  </si>
  <si>
    <t>ALKYLAMINE</t>
  </si>
  <si>
    <t>532230,</t>
  </si>
  <si>
    <t>Triton Valves Ltd.</t>
  </si>
  <si>
    <t>TRITONV</t>
  </si>
  <si>
    <t>All E Technologies Ltd.</t>
  </si>
  <si>
    <t>ALLETEC</t>
  </si>
  <si>
    <t>524654,</t>
  </si>
  <si>
    <t>Allcargo Gati Ltd.</t>
  </si>
  <si>
    <t>ACLGATI</t>
  </si>
  <si>
    <t>523151,</t>
  </si>
  <si>
    <t>Allcargo Logistics Ltd.</t>
  </si>
  <si>
    <t>ALLCARGO</t>
  </si>
  <si>
    <t>530741,</t>
  </si>
  <si>
    <t>Allcargo Terminals Ltd.</t>
  </si>
  <si>
    <t>ATL</t>
  </si>
  <si>
    <t>524636,</t>
  </si>
  <si>
    <t>Alldigi Tech Ltd.</t>
  </si>
  <si>
    <t>ALLDIGI</t>
  </si>
  <si>
    <t>Allied Blenders And Distillers Ltd.</t>
  </si>
  <si>
    <t>ABDL</t>
  </si>
  <si>
    <t>Breweries &amp; Distilleries</t>
  </si>
  <si>
    <t>ARSSINFRA,</t>
  </si>
  <si>
    <t>Allied Digital Services Ltd.</t>
  </si>
  <si>
    <t>ADSL</t>
  </si>
  <si>
    <t>544245,</t>
  </si>
  <si>
    <t>ZF Steering Gear (India) Ltd.</t>
  </si>
  <si>
    <t>ZFSTEERING</t>
  </si>
  <si>
    <t>ALLETEC,</t>
  </si>
  <si>
    <t>Almondz Global Securities Ltd.</t>
  </si>
  <si>
    <t>ALMONDZ</t>
  </si>
  <si>
    <t>ALMONDZ,</t>
  </si>
  <si>
    <t>MVKAGRO,</t>
  </si>
  <si>
    <t>Alok Industries Ltd.</t>
  </si>
  <si>
    <t>ALOKINDS</t>
  </si>
  <si>
    <t>539911,</t>
  </si>
  <si>
    <t>Alpa Laboratories Ltd.</t>
  </si>
  <si>
    <t>ALPA</t>
  </si>
  <si>
    <t>RADHIKAJWE,</t>
  </si>
  <si>
    <t>Alpex Solar Ltd.</t>
  </si>
  <si>
    <t>ALPEXSOLAR</t>
  </si>
  <si>
    <t>EIFFL,</t>
  </si>
  <si>
    <t>Alphageo (India) Ltd.</t>
  </si>
  <si>
    <t>ALPHAGEO</t>
  </si>
  <si>
    <t>GARFIBRES,</t>
  </si>
  <si>
    <t>Bombay Cycle &amp; Motor Agency Ltd.</t>
  </si>
  <si>
    <t>BOMBCYC</t>
  </si>
  <si>
    <t>Automobile Two &amp; Three Wheelers</t>
  </si>
  <si>
    <t>ABDL,</t>
  </si>
  <si>
    <t>Alps Industries Ltd.</t>
  </si>
  <si>
    <t>ALPSINDUS</t>
  </si>
  <si>
    <t>524488,</t>
  </si>
  <si>
    <t>Aluwind Architectural Ltd.</t>
  </si>
  <si>
    <t>ALUWIND</t>
  </si>
  <si>
    <t>GANGAFORGE,</t>
  </si>
  <si>
    <t>Amara Raja Energy &amp; Mobility Ltd.</t>
  </si>
  <si>
    <t>ARE&amp;M</t>
  </si>
  <si>
    <t>Batteries</t>
  </si>
  <si>
    <t>ANNAPURNA,</t>
  </si>
  <si>
    <t>Wardwizard Innovations &amp; Mobility Ltd.</t>
  </si>
  <si>
    <t>WARDINMOBI</t>
  </si>
  <si>
    <t>ALPA,</t>
  </si>
  <si>
    <t>Ambani Orgochem Ltd.</t>
  </si>
  <si>
    <t>AMBANIORGO</t>
  </si>
  <si>
    <t>513502,</t>
  </si>
  <si>
    <t>Amber Enterprises India Ltd.</t>
  </si>
  <si>
    <t>AMBER</t>
  </si>
  <si>
    <t>Air Conditioners</t>
  </si>
  <si>
    <t>AILIMITED,</t>
  </si>
  <si>
    <t>Competent Automobiles Company Ltd.</t>
  </si>
  <si>
    <t>COMPEAU</t>
  </si>
  <si>
    <t>Automobiles - Dealers &amp; Distributors</t>
  </si>
  <si>
    <t>543937,</t>
  </si>
  <si>
    <t>Ambey Laboratories Ltd.</t>
  </si>
  <si>
    <t>AMBEY</t>
  </si>
  <si>
    <t>Pesticides &amp; Agrochemicals</t>
  </si>
  <si>
    <t>PRITIKAUTO,</t>
  </si>
  <si>
    <t>Naksh Precious Metals Ltd.</t>
  </si>
  <si>
    <t>NAKSH</t>
  </si>
  <si>
    <t>526519,</t>
  </si>
  <si>
    <t>Ambica Agarbathies &amp; Aroma Industries Ltd.</t>
  </si>
  <si>
    <t>AMBICAAGAR</t>
  </si>
  <si>
    <t>Ambika Cotton Mills Ltd.</t>
  </si>
  <si>
    <t>AMBIKCO</t>
  </si>
  <si>
    <t>Textile - Spinning</t>
  </si>
  <si>
    <t>TPLPLASTEH,</t>
  </si>
  <si>
    <t>Ambuja Cements Ltd.</t>
  </si>
  <si>
    <t>AMBUJACEM</t>
  </si>
  <si>
    <t>DMART,</t>
  </si>
  <si>
    <t>AMD Industries Ltd.</t>
  </si>
  <si>
    <t>AMDIND</t>
  </si>
  <si>
    <t>RUCHIRA,</t>
  </si>
  <si>
    <t>Ameya Precision Engineers Ltd.</t>
  </si>
  <si>
    <t>AMEYA</t>
  </si>
  <si>
    <t>531813,</t>
  </si>
  <si>
    <t>Mercury Ev-Tech Ltd.</t>
  </si>
  <si>
    <t>MERCURYEV</t>
  </si>
  <si>
    <t>Automobiles - Passenger Cars</t>
  </si>
  <si>
    <t>501622,</t>
  </si>
  <si>
    <t>AMI Organics Ltd.</t>
  </si>
  <si>
    <t>AMIORG</t>
  </si>
  <si>
    <t>RADICO,</t>
  </si>
  <si>
    <t>Amiable Logistics (India) Ltd.</t>
  </si>
  <si>
    <t>AMIABLE</t>
  </si>
  <si>
    <t>ORIENTTECH,</t>
  </si>
  <si>
    <t>Amines &amp; Plasticizers Ltd.</t>
  </si>
  <si>
    <t>AMNPLST</t>
  </si>
  <si>
    <t>524606,</t>
  </si>
  <si>
    <t>AMJ Land Holdings Ltd.</t>
  </si>
  <si>
    <t>AMJLAND</t>
  </si>
  <si>
    <t>CENTUM,</t>
  </si>
  <si>
    <t>Amrutanjan Health Care Ltd.</t>
  </si>
  <si>
    <t>AMRUTANJAN</t>
  </si>
  <si>
    <t>RADIOWALLA,</t>
  </si>
  <si>
    <t>Anand Rathi Wealth Ltd.</t>
  </si>
  <si>
    <t>ANANDRATHI</t>
  </si>
  <si>
    <t>ANANDRATHI,</t>
  </si>
  <si>
    <t>LLOYDSENGG,</t>
  </si>
  <si>
    <t>Anant Raj Ltd.</t>
  </si>
  <si>
    <t>ANANTRAJ</t>
  </si>
  <si>
    <t>CENTENKA,</t>
  </si>
  <si>
    <t>Andhra Cements Ltd.</t>
  </si>
  <si>
    <t>ACL</t>
  </si>
  <si>
    <t>AVG,</t>
  </si>
  <si>
    <t>Andhra Paper Ltd.</t>
  </si>
  <si>
    <t>ANDHRAPAP</t>
  </si>
  <si>
    <t>PRANIK,</t>
  </si>
  <si>
    <t>Angel One Ltd.</t>
  </si>
  <si>
    <t>ANGELONE</t>
  </si>
  <si>
    <t>ANGELONE,</t>
  </si>
  <si>
    <t>MCL,</t>
  </si>
  <si>
    <t>ANI Integrated Services Ltd.</t>
  </si>
  <si>
    <t>AISL</t>
  </si>
  <si>
    <t>GATEWAY,</t>
  </si>
  <si>
    <t>Anik Industries Ltd.</t>
  </si>
  <si>
    <t>ANIKINDS</t>
  </si>
  <si>
    <t>543547,</t>
  </si>
  <si>
    <t>Anjani Portland Cement Ltd.</t>
  </si>
  <si>
    <t>APCL</t>
  </si>
  <si>
    <t>AVIANSH,</t>
  </si>
  <si>
    <t>Ankit Metal &amp; Power Ltd.</t>
  </si>
  <si>
    <t>ANKITMETAL</t>
  </si>
  <si>
    <t>SIMPLEXINF,</t>
  </si>
  <si>
    <t>Anlon Technology Solution Ltd.</t>
  </si>
  <si>
    <t>ANLON</t>
  </si>
  <si>
    <t>Anmol India Ltd.</t>
  </si>
  <si>
    <t>ANMOL</t>
  </si>
  <si>
    <t>530459,</t>
  </si>
  <si>
    <t>Annapurna Swadisht Ltd.</t>
  </si>
  <si>
    <t>ANNAPURNA</t>
  </si>
  <si>
    <t>DANISH,</t>
  </si>
  <si>
    <t>Ansal Properties &amp; Infrastructure Ltd.</t>
  </si>
  <si>
    <t>ANSALAPI</t>
  </si>
  <si>
    <t>CEREBRAINT,</t>
  </si>
  <si>
    <t>Antarctica Ltd.</t>
  </si>
  <si>
    <t>ANTGRAPHIC</t>
  </si>
  <si>
    <t>Printing And Publishing</t>
  </si>
  <si>
    <t>543782,</t>
  </si>
  <si>
    <t>Antony Waste Handling Cell Ltd.</t>
  </si>
  <si>
    <t>AWHCL</t>
  </si>
  <si>
    <t>Environmental Services</t>
  </si>
  <si>
    <t>Anuh Pharma Ltd.</t>
  </si>
  <si>
    <t>ANUHPHR</t>
  </si>
  <si>
    <t>RPEL,</t>
  </si>
  <si>
    <t>Anupam Rasayan India Ltd.</t>
  </si>
  <si>
    <t>ANURAS</t>
  </si>
  <si>
    <t>BESTAGRO,</t>
  </si>
  <si>
    <t>Anya Polytech &amp; Fertilizers Ltd.</t>
  </si>
  <si>
    <t>ANYA</t>
  </si>
  <si>
    <t>531594,</t>
  </si>
  <si>
    <t>Anzen India Energy Yield Plus Trust.</t>
  </si>
  <si>
    <t>ANZEN</t>
  </si>
  <si>
    <t>ANZEN,</t>
  </si>
  <si>
    <t>JUBLINDS,</t>
  </si>
  <si>
    <t>Apar Industries Ltd.</t>
  </si>
  <si>
    <t>APARINDS</t>
  </si>
  <si>
    <t>526614,</t>
  </si>
  <si>
    <t>Apcotex Industries Ltd.</t>
  </si>
  <si>
    <t>APCOTEXIND</t>
  </si>
  <si>
    <t>Rubber Products</t>
  </si>
  <si>
    <t>530977,</t>
  </si>
  <si>
    <t>Apeejay Surrendra Park Hotels Ltd.</t>
  </si>
  <si>
    <t>PARKHOTELS</t>
  </si>
  <si>
    <t>539012,</t>
  </si>
  <si>
    <t>Apex Ecotech Ltd.</t>
  </si>
  <si>
    <t>APEXECO</t>
  </si>
  <si>
    <t>Apex Frozen Foods Ltd.</t>
  </si>
  <si>
    <t>APEX</t>
  </si>
  <si>
    <t>LAWSIKHO,</t>
  </si>
  <si>
    <t>APL Apollo Tubes Ltd.</t>
  </si>
  <si>
    <t>APLAPOLLO</t>
  </si>
  <si>
    <t>SKIL,</t>
  </si>
  <si>
    <t>Apollo Hospitals Enterprise Ltd.</t>
  </si>
  <si>
    <t>APOLLOHOSP</t>
  </si>
  <si>
    <t>531540,</t>
  </si>
  <si>
    <t>Apollo Micro Systems Ltd.</t>
  </si>
  <si>
    <t>APOLLO</t>
  </si>
  <si>
    <t>FSC,</t>
  </si>
  <si>
    <t>Apollo Pipes Ltd.</t>
  </si>
  <si>
    <t>APOLLOPIPE</t>
  </si>
  <si>
    <t>ROSSELLIND,</t>
  </si>
  <si>
    <t>Apollo Sindoori Hotels Ltd.</t>
  </si>
  <si>
    <t>APOLSINHOT</t>
  </si>
  <si>
    <t>540730,</t>
  </si>
  <si>
    <t>Apollo Tyres Ltd.</t>
  </si>
  <si>
    <t>APOLLOTYRE</t>
  </si>
  <si>
    <t>Tyres &amp; Allied</t>
  </si>
  <si>
    <t>ZAGGLE,</t>
  </si>
  <si>
    <t>Aprameya Engineering Ltd.</t>
  </si>
  <si>
    <t>APRAMEYA</t>
  </si>
  <si>
    <t>WELCORP,</t>
  </si>
  <si>
    <t>Aptech Ltd.</t>
  </si>
  <si>
    <t>APTECHT</t>
  </si>
  <si>
    <t>IT - Education</t>
  </si>
  <si>
    <t>538743,</t>
  </si>
  <si>
    <t>Aptus Value Housing Finance India Ltd.</t>
  </si>
  <si>
    <t>APTUS</t>
  </si>
  <si>
    <t>APTUS,</t>
  </si>
  <si>
    <t>INFIBEAM,</t>
  </si>
  <si>
    <t>Arabian Petroleum Ltd.</t>
  </si>
  <si>
    <t>ARABIAN</t>
  </si>
  <si>
    <t>Lubricants</t>
  </si>
  <si>
    <t>PARIN,</t>
  </si>
  <si>
    <t>Archean Chemical Industries Ltd.</t>
  </si>
  <si>
    <t>ACI</t>
  </si>
  <si>
    <t>508664,</t>
  </si>
  <si>
    <t>Archidply Decor Ltd.</t>
  </si>
  <si>
    <t>ADL</t>
  </si>
  <si>
    <t>Wood &amp; Wood Products</t>
  </si>
  <si>
    <t>BLACKBUCK,</t>
  </si>
  <si>
    <t>Archidply Industries Ltd.</t>
  </si>
  <si>
    <t>ARCHIDPLY</t>
  </si>
  <si>
    <t>ZODIACLOTH,</t>
  </si>
  <si>
    <t>Archies Ltd.</t>
  </si>
  <si>
    <t>ARCHIES</t>
  </si>
  <si>
    <t>524336,</t>
  </si>
  <si>
    <t>Arham Technologies Ltd.</t>
  </si>
  <si>
    <t>ARHAM</t>
  </si>
  <si>
    <t>Consumer Durables - Electronics</t>
  </si>
  <si>
    <t>DPABHUSHAN,</t>
  </si>
  <si>
    <t>Aries Agro Ltd.</t>
  </si>
  <si>
    <t>ARIES</t>
  </si>
  <si>
    <t>ICRA,</t>
  </si>
  <si>
    <t>Arihant Academy Ltd.</t>
  </si>
  <si>
    <t>ARIHANTACA</t>
  </si>
  <si>
    <t>EMBDL,</t>
  </si>
  <si>
    <t>Arihant Capital Markets Ltd.</t>
  </si>
  <si>
    <t>ARIHANTCAP</t>
  </si>
  <si>
    <t>ARIHANTCAP,</t>
  </si>
  <si>
    <t>LUPIN,</t>
  </si>
  <si>
    <t>Arihant Superstructures Ltd.</t>
  </si>
  <si>
    <t>ARIHANTSUP</t>
  </si>
  <si>
    <t>543920,</t>
  </si>
  <si>
    <t>Aristo Bio-Tech and Lifescience Ltd.</t>
  </si>
  <si>
    <t>ARISTO</t>
  </si>
  <si>
    <t>PRITIKA,</t>
  </si>
  <si>
    <t>Arkade Developers Ltd.</t>
  </si>
  <si>
    <t>ARKADE</t>
  </si>
  <si>
    <t>Waaree Technologies Ltd.</t>
  </si>
  <si>
    <t>WAAREE</t>
  </si>
  <si>
    <t>530799,</t>
  </si>
  <si>
    <t>Arman Financial Services Ltd.</t>
  </si>
  <si>
    <t>ARMANFIN</t>
  </si>
  <si>
    <t>ARMANFIN,</t>
  </si>
  <si>
    <t>540953,</t>
  </si>
  <si>
    <t>Aro Granite Industries Ltd.</t>
  </si>
  <si>
    <t>AROGRANITE</t>
  </si>
  <si>
    <t>Ceramics/Marble/Granite/Sanitaryware</t>
  </si>
  <si>
    <t>BAJEL,</t>
  </si>
  <si>
    <t>Arrow Greentech Ltd.</t>
  </si>
  <si>
    <t>ARROWGREEN</t>
  </si>
  <si>
    <t>Arshiya Ltd.</t>
  </si>
  <si>
    <t>ARSHIYA</t>
  </si>
  <si>
    <t>531512,</t>
  </si>
  <si>
    <t>High Energy Batteries (India) Ltd.</t>
  </si>
  <si>
    <t>HIGHENE</t>
  </si>
  <si>
    <t>507828,</t>
  </si>
  <si>
    <t>ARSS Infrastructure Projects Ltd.</t>
  </si>
  <si>
    <t>ARSSINFRA</t>
  </si>
  <si>
    <t>GSLSU,</t>
  </si>
  <si>
    <t>Panasonic Energy India Company Ltd.</t>
  </si>
  <si>
    <t>PANAENERG</t>
  </si>
  <si>
    <t>ANTGRAPHIC,</t>
  </si>
  <si>
    <t>Benara Bearings And Pistons Ltd.</t>
  </si>
  <si>
    <t>BENARA</t>
  </si>
  <si>
    <t>Bearings</t>
  </si>
  <si>
    <t>AWHCL,</t>
  </si>
  <si>
    <t>Art Nirman Ltd.</t>
  </si>
  <si>
    <t>ARTNIRMAN</t>
  </si>
  <si>
    <t>Austin Engineering Company Ltd.</t>
  </si>
  <si>
    <t>AUSTENG</t>
  </si>
  <si>
    <t>Bimetal Bearings Ltd.</t>
  </si>
  <si>
    <t>BIMETAL</t>
  </si>
  <si>
    <t>ANURAS,</t>
  </si>
  <si>
    <t>Galaxy Bearings Ltd.</t>
  </si>
  <si>
    <t>GALXBRG</t>
  </si>
  <si>
    <t>542865,</t>
  </si>
  <si>
    <t>Artemis Medicare Services Ltd.</t>
  </si>
  <si>
    <t>ARTEMISMED</t>
  </si>
  <si>
    <t>543464,</t>
  </si>
  <si>
    <t>Arvee Laboratories (India) Ltd.</t>
  </si>
  <si>
    <t>ARVEE</t>
  </si>
  <si>
    <t>BEWLTD,</t>
  </si>
  <si>
    <t>Arvind Fashions Ltd.</t>
  </si>
  <si>
    <t>ARVINDFASN</t>
  </si>
  <si>
    <t>SHREEKARNI,</t>
  </si>
  <si>
    <t>Arvind Ltd.</t>
  </si>
  <si>
    <t>ARVIND</t>
  </si>
  <si>
    <t>503816,</t>
  </si>
  <si>
    <t>Arvind Port and Infra Ltd.</t>
  </si>
  <si>
    <t>ARVINDPORT</t>
  </si>
  <si>
    <t>SHYAMTEL,</t>
  </si>
  <si>
    <t>Arvind Smartspaces Ltd.</t>
  </si>
  <si>
    <t>ARVSMART</t>
  </si>
  <si>
    <t>CGPOWER,</t>
  </si>
  <si>
    <t>SNL Bearings Ltd.</t>
  </si>
  <si>
    <t>SNL</t>
  </si>
  <si>
    <t>APEX,</t>
  </si>
  <si>
    <t>Asahi India Glass Ltd.</t>
  </si>
  <si>
    <t>ASAHIINDIA</t>
  </si>
  <si>
    <t>526115,</t>
  </si>
  <si>
    <t>Vishal Bearings Ltd.</t>
  </si>
  <si>
    <t>VISHALBL</t>
  </si>
  <si>
    <t>517096,</t>
  </si>
  <si>
    <t>Asahi Songwon Colors Ltd.</t>
  </si>
  <si>
    <t>ASAHISONG</t>
  </si>
  <si>
    <t>ELDEHSG,</t>
  </si>
  <si>
    <t>Ascom Leasing &amp; Investments Ltd.</t>
  </si>
  <si>
    <t>ASCOM</t>
  </si>
  <si>
    <t>ASCOM,</t>
  </si>
  <si>
    <t>KRIDHANINF,</t>
  </si>
  <si>
    <t>Ashapura Logistics Ltd.</t>
  </si>
  <si>
    <t>ASHALOG</t>
  </si>
  <si>
    <t>PARACABLES,</t>
  </si>
  <si>
    <t>Ashapura Minechem Ltd.</t>
  </si>
  <si>
    <t>ASHAPURMIN</t>
  </si>
  <si>
    <t>512026,</t>
  </si>
  <si>
    <t>Ashiana Housing Ltd.</t>
  </si>
  <si>
    <t>ASHIANA</t>
  </si>
  <si>
    <t>531489,</t>
  </si>
  <si>
    <t>Ashima Ltd.</t>
  </si>
  <si>
    <t>ASHIMASYN</t>
  </si>
  <si>
    <t>SURAJEST,</t>
  </si>
  <si>
    <t>Patrona Risk Solutions Ltd.</t>
  </si>
  <si>
    <t>CRPRISK</t>
  </si>
  <si>
    <t>APOLLOTYRE,</t>
  </si>
  <si>
    <t>Ashok Leyland Ltd.</t>
  </si>
  <si>
    <t>ASHOKLEY</t>
  </si>
  <si>
    <t>Automobiles-Trucks/Lcv</t>
  </si>
  <si>
    <t>Ashoka Buildcon Ltd.</t>
  </si>
  <si>
    <t>ASHOKA</t>
  </si>
  <si>
    <t>GLOBALVECT,</t>
  </si>
  <si>
    <t>Ashoka Metcast Ltd.</t>
  </si>
  <si>
    <t>ASHOKAMET</t>
  </si>
  <si>
    <t>532090,</t>
  </si>
  <si>
    <t>Asian Energy Services Ltd.</t>
  </si>
  <si>
    <t>ASIANENE</t>
  </si>
  <si>
    <t>543709,</t>
  </si>
  <si>
    <t>Asian Granito India Ltd.</t>
  </si>
  <si>
    <t>ASIANTILES</t>
  </si>
  <si>
    <t>BALAMINES,</t>
  </si>
  <si>
    <t>Asian Hotels (East) Ltd.</t>
  </si>
  <si>
    <t>AHLEAST</t>
  </si>
  <si>
    <t>MELSTAR,</t>
  </si>
  <si>
    <t>Alphalogic Techsys Ltd.</t>
  </si>
  <si>
    <t>ALPHALOGIC</t>
  </si>
  <si>
    <t>Asian Hotels (North) Ltd.</t>
  </si>
  <si>
    <t>ASIANHOTNR</t>
  </si>
  <si>
    <t>MENONBE,</t>
  </si>
  <si>
    <t>Asian Paints Ltd.</t>
  </si>
  <si>
    <t>ASIANPAINT</t>
  </si>
  <si>
    <t>500192,</t>
  </si>
  <si>
    <t>ASK Automotive Ltd.</t>
  </si>
  <si>
    <t>ASKAUTOLTD</t>
  </si>
  <si>
    <t>523120,</t>
  </si>
  <si>
    <t>ASL Industries Ltd.</t>
  </si>
  <si>
    <t>ASLIND</t>
  </si>
  <si>
    <t>Aspinwall And Company Ltd.</t>
  </si>
  <si>
    <t>ASPINWALL</t>
  </si>
  <si>
    <t>543637,</t>
  </si>
  <si>
    <t>Aspire &amp; Innovative Advertising Ltd.</t>
  </si>
  <si>
    <t>ASPIRE</t>
  </si>
  <si>
    <t>UNIENTER,</t>
  </si>
  <si>
    <t>Associated Alcohols &amp; Breweries Ltd.</t>
  </si>
  <si>
    <t>ASALCBR</t>
  </si>
  <si>
    <t>ARSHIYA,</t>
  </si>
  <si>
    <t>Astec Lifesciences Ltd.</t>
  </si>
  <si>
    <t>ASTEC</t>
  </si>
  <si>
    <t>PRIZOR,</t>
  </si>
  <si>
    <t>Informed Technologies India Ltd.</t>
  </si>
  <si>
    <t>INFORTEC</t>
  </si>
  <si>
    <t>539151,</t>
  </si>
  <si>
    <t>Aster DM Healthcare Ltd.</t>
  </si>
  <si>
    <t>ASTERDM</t>
  </si>
  <si>
    <t>MDL,</t>
  </si>
  <si>
    <t>Astra Microwave Products Ltd.</t>
  </si>
  <si>
    <t>ASTRAMICRO</t>
  </si>
  <si>
    <t>Defence</t>
  </si>
  <si>
    <t>DKEGL,</t>
  </si>
  <si>
    <t>Jupiter Infomedia Ltd.</t>
  </si>
  <si>
    <t>JUPITERIN</t>
  </si>
  <si>
    <t>530267,</t>
  </si>
  <si>
    <t>Astral Ltd.</t>
  </si>
  <si>
    <t>ASTRAL</t>
  </si>
  <si>
    <t>REPL,</t>
  </si>
  <si>
    <t>Astrazeneca Pharma India Ltd.</t>
  </si>
  <si>
    <t>ASTRAZEN</t>
  </si>
  <si>
    <t>526813,</t>
  </si>
  <si>
    <t>Astron Paper &amp; Board Mill Ltd.</t>
  </si>
  <si>
    <t>ASTRON</t>
  </si>
  <si>
    <t>519014,</t>
  </si>
  <si>
    <t>Protean e-Gov Technologies Ltd.</t>
  </si>
  <si>
    <t>PROTEAN</t>
  </si>
  <si>
    <t>ARIHANTSUP,</t>
  </si>
  <si>
    <t>Atal Realtech Ltd.</t>
  </si>
  <si>
    <t>ATALREAL</t>
  </si>
  <si>
    <t>CHALET,</t>
  </si>
  <si>
    <t>Riddhi Corporate Services Ltd.</t>
  </si>
  <si>
    <t>RIDDHICORP</t>
  </si>
  <si>
    <t>531677,</t>
  </si>
  <si>
    <t>Atam Valves Ltd.</t>
  </si>
  <si>
    <t>ATAM</t>
  </si>
  <si>
    <t>530141,</t>
  </si>
  <si>
    <t>Atlantaa Ltd.</t>
  </si>
  <si>
    <t>ATLANTAA</t>
  </si>
  <si>
    <t>GLOBALE,</t>
  </si>
  <si>
    <t>TeleCanor Global Ltd.</t>
  </si>
  <si>
    <t>TELECANOR</t>
  </si>
  <si>
    <t>United Interactive Ltd.</t>
  </si>
  <si>
    <t>UNITEDINT</t>
  </si>
  <si>
    <t>Atlas Cycles (Haryana) Ltd.</t>
  </si>
  <si>
    <t>ATLASCYCLE</t>
  </si>
  <si>
    <t>Cycles</t>
  </si>
  <si>
    <t>526315,</t>
  </si>
  <si>
    <t>Atmastco Ltd.</t>
  </si>
  <si>
    <t>ATMASTCO</t>
  </si>
  <si>
    <t>514386,</t>
  </si>
  <si>
    <t>Atul Auto Ltd.</t>
  </si>
  <si>
    <t>ATULAUTO</t>
  </si>
  <si>
    <t>ALLDIGI,</t>
  </si>
  <si>
    <t>Atul Ltd.</t>
  </si>
  <si>
    <t>ATUL</t>
  </si>
  <si>
    <t>BFUTILITIE,</t>
  </si>
  <si>
    <t>AU Small Finance Bank Ltd.</t>
  </si>
  <si>
    <t>AUBANK</t>
  </si>
  <si>
    <t>Bank - Private</t>
  </si>
  <si>
    <t>AMBER,</t>
  </si>
  <si>
    <t>Aurangabad Distillery Ltd.</t>
  </si>
  <si>
    <t>AURDIS</t>
  </si>
  <si>
    <t>ARTNIRMAN,</t>
  </si>
  <si>
    <t>Aurionpro Solutions Ltd.</t>
  </si>
  <si>
    <t>AURIONPRO</t>
  </si>
  <si>
    <t>NAZARA,</t>
  </si>
  <si>
    <t>Jagatjit Industries Ltd.</t>
  </si>
  <si>
    <t>JAGAJITIND</t>
  </si>
  <si>
    <t>ARTEMISMED,</t>
  </si>
  <si>
    <t>Piccadily Agro Industries Ltd.</t>
  </si>
  <si>
    <t>PICCADIL</t>
  </si>
  <si>
    <t>526443,</t>
  </si>
  <si>
    <t>Auro Impex &amp; Chemicals Ltd.</t>
  </si>
  <si>
    <t>AUROIMPEX</t>
  </si>
  <si>
    <t>500270,</t>
  </si>
  <si>
    <t>Aurobindo Pharma Ltd.</t>
  </si>
  <si>
    <t>AUROPHARMA</t>
  </si>
  <si>
    <t>RVNL,</t>
  </si>
  <si>
    <t>Silver Oak (India) Ltd.</t>
  </si>
  <si>
    <t>SILVOAK</t>
  </si>
  <si>
    <t>Aurum Proptech Ltd.</t>
  </si>
  <si>
    <t>AURUM</t>
  </si>
  <si>
    <t>523242,</t>
  </si>
  <si>
    <t>Ausom Enterprise Ltd.</t>
  </si>
  <si>
    <t>AUSOMENT</t>
  </si>
  <si>
    <t>502589,</t>
  </si>
  <si>
    <t>Tahmar Enterprises Ltd.</t>
  </si>
  <si>
    <t>TAHMARENT</t>
  </si>
  <si>
    <t>ARVINDFASN,</t>
  </si>
  <si>
    <t>Australian Premium Solar (India) Ltd.</t>
  </si>
  <si>
    <t>APS</t>
  </si>
  <si>
    <t>530197,</t>
  </si>
  <si>
    <t>Authum Investment &amp; Infrastructure Ltd.</t>
  </si>
  <si>
    <t>AIIL</t>
  </si>
  <si>
    <t>AIIL,</t>
  </si>
  <si>
    <t>ITC,</t>
  </si>
  <si>
    <t>Autoline Industries Ltd.</t>
  </si>
  <si>
    <t>AUTOIND</t>
  </si>
  <si>
    <t>ADORWELD,</t>
  </si>
  <si>
    <t>Winsome Breweries Ltd.</t>
  </si>
  <si>
    <t>WINSOMBR</t>
  </si>
  <si>
    <t>Automotive Axles Ltd.</t>
  </si>
  <si>
    <t>AUTOAXLES</t>
  </si>
  <si>
    <t>544185,</t>
  </si>
  <si>
    <t>Automotive Stampings and Assemblies Ltd.</t>
  </si>
  <si>
    <t>ASAL</t>
  </si>
  <si>
    <t>543230,</t>
  </si>
  <si>
    <t>Avadh Sugar &amp; Energy Ltd.</t>
  </si>
  <si>
    <t>AVADHSUGAR</t>
  </si>
  <si>
    <t>Sugar</t>
  </si>
  <si>
    <t>530931,</t>
  </si>
  <si>
    <t>Evans Electric Ltd.</t>
  </si>
  <si>
    <t>EVANS</t>
  </si>
  <si>
    <t>543943,</t>
  </si>
  <si>
    <t>Avalon Technologies Ltd.</t>
  </si>
  <si>
    <t>AVALON</t>
  </si>
  <si>
    <t>Silicon Rental Solutions Ltd.</t>
  </si>
  <si>
    <t>SRSOLTD</t>
  </si>
  <si>
    <t>Avantel Ltd.</t>
  </si>
  <si>
    <t>AVANTEL</t>
  </si>
  <si>
    <t>Telecommunication - Equipment</t>
  </si>
  <si>
    <t>SUNFLAG,</t>
  </si>
  <si>
    <t>Techknowgreen Solutions Ltd.</t>
  </si>
  <si>
    <t>TECHKGREEN</t>
  </si>
  <si>
    <t>ASHAPURMIN,</t>
  </si>
  <si>
    <t>Vanta Bioscience Ltd.</t>
  </si>
  <si>
    <t>VANTABIO</t>
  </si>
  <si>
    <t>542579,</t>
  </si>
  <si>
    <t>Avanti Feeds Ltd.</t>
  </si>
  <si>
    <t>AVANTIFEED</t>
  </si>
  <si>
    <t>DIL,</t>
  </si>
  <si>
    <t>Avenue Supermarts Ltd.</t>
  </si>
  <si>
    <t>DMART</t>
  </si>
  <si>
    <t>516106,</t>
  </si>
  <si>
    <t>Dynavision Ltd.</t>
  </si>
  <si>
    <t>DYNAVSN</t>
  </si>
  <si>
    <t>513401,</t>
  </si>
  <si>
    <t>EFC (I) Ltd.</t>
  </si>
  <si>
    <t>EFCIL</t>
  </si>
  <si>
    <t>EKI Energy Services Ltd.</t>
  </si>
  <si>
    <t>EKI</t>
  </si>
  <si>
    <t>ASHIMASYN,</t>
  </si>
  <si>
    <t>AVG Logistics Ltd.</t>
  </si>
  <si>
    <t>AVG</t>
  </si>
  <si>
    <t>523862,</t>
  </si>
  <si>
    <t>Jaykay Enterprises Ltd.</t>
  </si>
  <si>
    <t>JAYKAY</t>
  </si>
  <si>
    <t>526847,</t>
  </si>
  <si>
    <t>Avi Ansh Textile Ltd.</t>
  </si>
  <si>
    <t>AVIANSH</t>
  </si>
  <si>
    <t>539310,</t>
  </si>
  <si>
    <t>Avonmore Capital &amp; Management Services Ltd.</t>
  </si>
  <si>
    <t>AVONMORE</t>
  </si>
  <si>
    <t>AVONMORE,</t>
  </si>
  <si>
    <t>542924,</t>
  </si>
  <si>
    <t>Majestic Auto Ltd.</t>
  </si>
  <si>
    <t>MAJESAUT</t>
  </si>
  <si>
    <t>507872,</t>
  </si>
  <si>
    <t>AVP Infracon Ltd.</t>
  </si>
  <si>
    <t>AVPINFRA</t>
  </si>
  <si>
    <t>505504,</t>
  </si>
  <si>
    <t>Avro India Ltd.</t>
  </si>
  <si>
    <t>AVROIND</t>
  </si>
  <si>
    <t>RULKA,</t>
  </si>
  <si>
    <t>AVSL Industries Ltd.</t>
  </si>
  <si>
    <t>AVSL</t>
  </si>
  <si>
    <t>ASMS,</t>
  </si>
  <si>
    <t>Quint Digital Ltd.</t>
  </si>
  <si>
    <t>QUINT</t>
  </si>
  <si>
    <t>526187,</t>
  </si>
  <si>
    <t>AVT Natural Products Ltd.</t>
  </si>
  <si>
    <t>AVTNPL</t>
  </si>
  <si>
    <t>512068,</t>
  </si>
  <si>
    <t>Shangar Decor Ltd.</t>
  </si>
  <si>
    <t>SHANGAR</t>
  </si>
  <si>
    <t>502015,</t>
  </si>
  <si>
    <t>Shyama Computronics And Services Ltd.</t>
  </si>
  <si>
    <t>SHYAMACOMP</t>
  </si>
  <si>
    <t>530899,</t>
  </si>
  <si>
    <t>Starlog Enterprises Ltd.</t>
  </si>
  <si>
    <t>STARLOG</t>
  </si>
  <si>
    <t>ASIANENE,</t>
  </si>
  <si>
    <t>Swadeshi Polytex Ltd.</t>
  </si>
  <si>
    <t>SWADPOL</t>
  </si>
  <si>
    <t>ASIANTILES,</t>
  </si>
  <si>
    <t>Swagtam Trading &amp; Services Ltd.</t>
  </si>
  <si>
    <t>SWAGTAM</t>
  </si>
  <si>
    <t>AHLEAST,</t>
  </si>
  <si>
    <t>Swasti Vinayaka Art &amp; Heritage Corporation Ltd.</t>
  </si>
  <si>
    <t>SVARTCORP</t>
  </si>
  <si>
    <t>ASIANHOTNR,</t>
  </si>
  <si>
    <t>Trishakti Industries Ltd.</t>
  </si>
  <si>
    <t>TRISHAKT</t>
  </si>
  <si>
    <t>ASIANPAINT,</t>
  </si>
  <si>
    <t>Yash Innoventures Ltd.</t>
  </si>
  <si>
    <t>YASHINNO</t>
  </si>
  <si>
    <t>524434,</t>
  </si>
  <si>
    <t>Awfis Space Solutions Ltd.</t>
  </si>
  <si>
    <t>AWFIS</t>
  </si>
  <si>
    <t>ASAHISONG,</t>
  </si>
  <si>
    <t>Axis Bank Ltd.</t>
  </si>
  <si>
    <t>AXISBANK</t>
  </si>
  <si>
    <t>AMBEY,</t>
  </si>
  <si>
    <t>Axiscades Technologies Ltd.</t>
  </si>
  <si>
    <t>AXISCADES</t>
  </si>
  <si>
    <t>519506,</t>
  </si>
  <si>
    <t>Toss the Coin Ltd.</t>
  </si>
  <si>
    <t>TTC</t>
  </si>
  <si>
    <t>530723,</t>
  </si>
  <si>
    <t>Axita Cotton Ltd.</t>
  </si>
  <si>
    <t>AXITA</t>
  </si>
  <si>
    <t>SWANENERGY,</t>
  </si>
  <si>
    <t>AYM Syntex Ltd.</t>
  </si>
  <si>
    <t>AYMSYNTEX</t>
  </si>
  <si>
    <t>SWARAJENG,</t>
  </si>
  <si>
    <t>Azad Engineering Ltd.</t>
  </si>
  <si>
    <t>AZAD</t>
  </si>
  <si>
    <t>515147,</t>
  </si>
  <si>
    <t>B.A.G. Films and Media Ltd.</t>
  </si>
  <si>
    <t>BAGFILMS</t>
  </si>
  <si>
    <t>Film Production, Distribution &amp; Entertainment</t>
  </si>
  <si>
    <t>B.L. Kashyap and Sons Ltd.</t>
  </si>
  <si>
    <t>BLKASHYAP</t>
  </si>
  <si>
    <t>B&amp;B Triplewall Containers Ltd.</t>
  </si>
  <si>
    <t>BBTCL</t>
  </si>
  <si>
    <t>PRATHAM,</t>
  </si>
  <si>
    <t>Baazar Style Retail Ltd.</t>
  </si>
  <si>
    <t>STYLEBAAZA</t>
  </si>
  <si>
    <t>SHREYANIND,</t>
  </si>
  <si>
    <t>Baba Food Processing (India) Ltd.</t>
  </si>
  <si>
    <t>BABAFP</t>
  </si>
  <si>
    <t>532329,</t>
  </si>
  <si>
    <t>Cybele Industries Ltd.</t>
  </si>
  <si>
    <t>CYBELEIND</t>
  </si>
  <si>
    <t>531168,</t>
  </si>
  <si>
    <t>Delton Cables Ltd.</t>
  </si>
  <si>
    <t>DLTNCBL</t>
  </si>
  <si>
    <t>544183,</t>
  </si>
  <si>
    <t>Bafna Pharmaceuticals Ltd.</t>
  </si>
  <si>
    <t>BAFNAPH</t>
  </si>
  <si>
    <t>RAIN,</t>
  </si>
  <si>
    <t>Baheti Recycling Industries Ltd.</t>
  </si>
  <si>
    <t>BAHETI</t>
  </si>
  <si>
    <t>ACEINTEG,</t>
  </si>
  <si>
    <t>Baid Finserv Ltd.</t>
  </si>
  <si>
    <t>BAIDFIN</t>
  </si>
  <si>
    <t>BAIDFIN,</t>
  </si>
  <si>
    <t>530145,</t>
  </si>
  <si>
    <t>Bajaj Auto Ltd.</t>
  </si>
  <si>
    <t>BAJAJ-AUTO</t>
  </si>
  <si>
    <t>534064,</t>
  </si>
  <si>
    <t>Bajaj Consumer Care Ltd.</t>
  </si>
  <si>
    <t>BAJAJCON</t>
  </si>
  <si>
    <t>513303,</t>
  </si>
  <si>
    <t>Bajaj Electricals Ltd.</t>
  </si>
  <si>
    <t>BAJAJELEC</t>
  </si>
  <si>
    <t>Consumer Durables - Domestic Appliances</t>
  </si>
  <si>
    <t>523105,</t>
  </si>
  <si>
    <t>Bajaj Finance Ltd.</t>
  </si>
  <si>
    <t>BAJFINANCE</t>
  </si>
  <si>
    <t>BAJFINANCE,</t>
  </si>
  <si>
    <t>531328,</t>
  </si>
  <si>
    <t>Relicab Cable Manufacturing Ltd.</t>
  </si>
  <si>
    <t>RELICAB</t>
  </si>
  <si>
    <t>ATALREAL,</t>
  </si>
  <si>
    <t>Bajaj Finserv Ltd.</t>
  </si>
  <si>
    <t>BAJAJFINSV</t>
  </si>
  <si>
    <t>BAJAJFINSV,</t>
  </si>
  <si>
    <t>538837,</t>
  </si>
  <si>
    <t>SGN Telecoms Ltd.</t>
  </si>
  <si>
    <t>SGNTE</t>
  </si>
  <si>
    <t>Bajaj Healthcare Ltd.</t>
  </si>
  <si>
    <t>BAJAJHCARE</t>
  </si>
  <si>
    <t>RAINBOW,</t>
  </si>
  <si>
    <t>Bajaj Hindusthan Sugar Ltd.</t>
  </si>
  <si>
    <t>BAJAJHIND</t>
  </si>
  <si>
    <t>Ultracab (India) Ltd.</t>
  </si>
  <si>
    <t>ULTRACAB</t>
  </si>
  <si>
    <t>538713,</t>
  </si>
  <si>
    <t>Bajaj Holdings &amp; Investment Ltd.</t>
  </si>
  <si>
    <t>BAJAJHLDNG</t>
  </si>
  <si>
    <t>BAJAJHLDNG,</t>
  </si>
  <si>
    <t>KIRLPNU,</t>
  </si>
  <si>
    <t>Bajaj Housing Finance Ltd.</t>
  </si>
  <si>
    <t>BAJAJHFL</t>
  </si>
  <si>
    <t>BAJAJHFL,</t>
  </si>
  <si>
    <t>537985,</t>
  </si>
  <si>
    <t>Bajel Projects Ltd.</t>
  </si>
  <si>
    <t>BAJEL</t>
  </si>
  <si>
    <t>540654,</t>
  </si>
  <si>
    <t>Bal Pharma Ltd.</t>
  </si>
  <si>
    <t>BALPHARMA</t>
  </si>
  <si>
    <t>531694,</t>
  </si>
  <si>
    <t>Captain Technocast Ltd.</t>
  </si>
  <si>
    <t>CTCL</t>
  </si>
  <si>
    <t>ATUL,</t>
  </si>
  <si>
    <t>Kalyani Cast-Tech Ltd.</t>
  </si>
  <si>
    <t>KALYANI</t>
  </si>
  <si>
    <t>500028,</t>
  </si>
  <si>
    <t>Balaji Amines Ltd.</t>
  </si>
  <si>
    <t>BALAMINES</t>
  </si>
  <si>
    <t>Balaji Telefilms Ltd.</t>
  </si>
  <si>
    <t>BALAJITELE</t>
  </si>
  <si>
    <t>Balaxi Pharmaceuticals Ltd.</t>
  </si>
  <si>
    <t>BALAXI</t>
  </si>
  <si>
    <t>ROML,</t>
  </si>
  <si>
    <t>Bhagwati Autocast Ltd.</t>
  </si>
  <si>
    <t>BGWTATO</t>
  </si>
  <si>
    <t>AUROIMPEX,</t>
  </si>
  <si>
    <t>Creative Castings Ltd.</t>
  </si>
  <si>
    <t>CREATIVE</t>
  </si>
  <si>
    <t>530233,</t>
  </si>
  <si>
    <t>Balkrishna Industries Ltd.</t>
  </si>
  <si>
    <t>BALKRISIND</t>
  </si>
  <si>
    <t>539963,</t>
  </si>
  <si>
    <t>Gujarat Intrux Ltd.</t>
  </si>
  <si>
    <t>GUJINTRX</t>
  </si>
  <si>
    <t>AURUM,</t>
  </si>
  <si>
    <t>Investment &amp; Precision Castings Ltd.</t>
  </si>
  <si>
    <t>INVPRECQ</t>
  </si>
  <si>
    <t>AUSOMENT,</t>
  </si>
  <si>
    <t>Kirloskar Ferrous Industries Ltd.</t>
  </si>
  <si>
    <t>KIRLFER</t>
  </si>
  <si>
    <t>522005,</t>
  </si>
  <si>
    <t>Magna Electro Castings Ltd.</t>
  </si>
  <si>
    <t>MAGNAELQ</t>
  </si>
  <si>
    <t>APS,</t>
  </si>
  <si>
    <t>National Fittings Ltd.</t>
  </si>
  <si>
    <t>NATFIT</t>
  </si>
  <si>
    <t>Balkrishna Paper Mills Ltd.</t>
  </si>
  <si>
    <t>BALKRISHNA</t>
  </si>
  <si>
    <t>526490,</t>
  </si>
  <si>
    <t>Nitin Castings Ltd.</t>
  </si>
  <si>
    <t>NITINCAST</t>
  </si>
  <si>
    <t>505036,</t>
  </si>
  <si>
    <t>Balmer Lawrie &amp; Company Ltd.</t>
  </si>
  <si>
    <t>BALMLAWRIE</t>
  </si>
  <si>
    <t>EICHERMOT,</t>
  </si>
  <si>
    <t>Simplex Castings Ltd.</t>
  </si>
  <si>
    <t>SIMPLEXCAS</t>
  </si>
  <si>
    <t>ASAL,</t>
  </si>
  <si>
    <t>Balrampur Chini Mills Ltd.</t>
  </si>
  <si>
    <t>BALRAMCHIN</t>
  </si>
  <si>
    <t>STARCEMENT,</t>
  </si>
  <si>
    <t>Balu Forge Industries Ltd.</t>
  </si>
  <si>
    <t>BALUFORGE</t>
  </si>
  <si>
    <t>526407,</t>
  </si>
  <si>
    <t>Uni Abex Alloy Products Ltd.</t>
  </si>
  <si>
    <t>UNIABEXAL</t>
  </si>
  <si>
    <t>AVALON,</t>
  </si>
  <si>
    <t>Universal Auto Foundry Ltd.</t>
  </si>
  <si>
    <t>UNIAUTO</t>
  </si>
  <si>
    <t>512149,</t>
  </si>
  <si>
    <t>Welcast Steels Ltd.</t>
  </si>
  <si>
    <t>ZWELCAST</t>
  </si>
  <si>
    <t>AVANTEL,</t>
  </si>
  <si>
    <t>Banaras Beads Ltd.</t>
  </si>
  <si>
    <t>BANARBEADS</t>
  </si>
  <si>
    <t>MANORAMA,</t>
  </si>
  <si>
    <t>Banco Products (India) Ltd.</t>
  </si>
  <si>
    <t>BANCOINDIA</t>
  </si>
  <si>
    <t>521048,</t>
  </si>
  <si>
    <t>Bandhan Bank Ltd.</t>
  </si>
  <si>
    <t>BANDHANBNK</t>
  </si>
  <si>
    <t>AMBICAAGAR,</t>
  </si>
  <si>
    <t>Bang Overseas Ltd.</t>
  </si>
  <si>
    <t>BANG</t>
  </si>
  <si>
    <t>SWARAJ,</t>
  </si>
  <si>
    <t>Bank Of Baroda</t>
  </si>
  <si>
    <t>BANKBARODA</t>
  </si>
  <si>
    <t>Bank - Public</t>
  </si>
  <si>
    <t>526173,</t>
  </si>
  <si>
    <t>Bank Of India</t>
  </si>
  <si>
    <t>BANKINDIA</t>
  </si>
  <si>
    <t>540694,</t>
  </si>
  <si>
    <t>Bank Of Maharashtra</t>
  </si>
  <si>
    <t>MAHABANK</t>
  </si>
  <si>
    <t>Banka Bioloo Ltd.</t>
  </si>
  <si>
    <t>BANKA</t>
  </si>
  <si>
    <t>540266,</t>
  </si>
  <si>
    <t>Bannari Amman Spinning Mills Ltd.</t>
  </si>
  <si>
    <t>BASML</t>
  </si>
  <si>
    <t>513063,</t>
  </si>
  <si>
    <t>Bannari Amman Sugars Ltd.</t>
  </si>
  <si>
    <t>BANARISUG</t>
  </si>
  <si>
    <t>539255,</t>
  </si>
  <si>
    <t>Bansal Wire Industries Ltd.</t>
  </si>
  <si>
    <t>BANSALWIRE</t>
  </si>
  <si>
    <t>SRF,</t>
  </si>
  <si>
    <t>Banswara Syntex Ltd.</t>
  </si>
  <si>
    <t>BANSWRAS</t>
  </si>
  <si>
    <t>Textile - Manmade Fibres</t>
  </si>
  <si>
    <t>500414,</t>
  </si>
  <si>
    <t>Barak Valley Cements Ltd.</t>
  </si>
  <si>
    <t>BVCL</t>
  </si>
  <si>
    <t>539288,</t>
  </si>
  <si>
    <t>Hemadri Cements Ltd.</t>
  </si>
  <si>
    <t>HEMACEM</t>
  </si>
  <si>
    <t>513642,</t>
  </si>
  <si>
    <t>Barbeque-Nation Hospitality Ltd.</t>
  </si>
  <si>
    <t>BARBEQUE</t>
  </si>
  <si>
    <t>Restaurants</t>
  </si>
  <si>
    <t>SHILPAMED,</t>
  </si>
  <si>
    <t>Bartronics India Ltd.</t>
  </si>
  <si>
    <t>ASMS</t>
  </si>
  <si>
    <t>NCLIND,</t>
  </si>
  <si>
    <t>BASF India Ltd.</t>
  </si>
  <si>
    <t>BASF</t>
  </si>
  <si>
    <t>Basilic Fly Studio Ltd.</t>
  </si>
  <si>
    <t>BASILIC</t>
  </si>
  <si>
    <t>536709,</t>
  </si>
  <si>
    <t>Kanoria Energy &amp; Infrastructure Ltd.</t>
  </si>
  <si>
    <t>KEIL</t>
  </si>
  <si>
    <t>AYMSYNTEX,</t>
  </si>
  <si>
    <t>Bata India Ltd.</t>
  </si>
  <si>
    <t>BATAINDIA</t>
  </si>
  <si>
    <t>Footwear</t>
  </si>
  <si>
    <t>MAITREYA,</t>
  </si>
  <si>
    <t>Keerthi Industries Ltd.</t>
  </si>
  <si>
    <t>KEERTHI</t>
  </si>
  <si>
    <t>504731,</t>
  </si>
  <si>
    <t>Baweja Studios Ltd.</t>
  </si>
  <si>
    <t>BAWEJA</t>
  </si>
  <si>
    <t>INDSWFTLAB,</t>
  </si>
  <si>
    <t>Bayer CropScience Ltd.</t>
  </si>
  <si>
    <t>BAYERCROP</t>
  </si>
  <si>
    <t>Milestone Global Ltd.</t>
  </si>
  <si>
    <t>MILESTONE</t>
  </si>
  <si>
    <t>BAGFILMS,</t>
  </si>
  <si>
    <t>BCL Industries Ltd.</t>
  </si>
  <si>
    <t>BCLIND</t>
  </si>
  <si>
    <t>EMMIL,</t>
  </si>
  <si>
    <t>Beacon Trusteeship Ltd.</t>
  </si>
  <si>
    <t>BEACON</t>
  </si>
  <si>
    <t>BEACON,</t>
  </si>
  <si>
    <t>JFLLIFE,</t>
  </si>
  <si>
    <t>Beardsell Ltd.</t>
  </si>
  <si>
    <t>BEARDSELL</t>
  </si>
  <si>
    <t>511664,</t>
  </si>
  <si>
    <t>Panyam Cements &amp; Mineral Industries Ltd.</t>
  </si>
  <si>
    <t>PANCM</t>
  </si>
  <si>
    <t>523186,</t>
  </si>
  <si>
    <t>Bedmutha Industries Ltd.</t>
  </si>
  <si>
    <t>BEDMUTHA</t>
  </si>
  <si>
    <t>SKP,</t>
  </si>
  <si>
    <t>BEML Land Assets Ltd.</t>
  </si>
  <si>
    <t>BLAL</t>
  </si>
  <si>
    <t>CLSEL,</t>
  </si>
  <si>
    <t>BEML Ltd.</t>
  </si>
  <si>
    <t>BEML</t>
  </si>
  <si>
    <t>526269,</t>
  </si>
  <si>
    <t>Berger Paints India Ltd.</t>
  </si>
  <si>
    <t>BERGEPAINT</t>
  </si>
  <si>
    <t>PRAJIND,</t>
  </si>
  <si>
    <t>Best Agrolife Ltd.</t>
  </si>
  <si>
    <t>BESTAGRO</t>
  </si>
  <si>
    <t>PGHL,</t>
  </si>
  <si>
    <t>Beta Drugs Ltd.</t>
  </si>
  <si>
    <t>BETA</t>
  </si>
  <si>
    <t>Shiva Cement Ltd.</t>
  </si>
  <si>
    <t>SHIVACEM</t>
  </si>
  <si>
    <t>BAFNAPH,</t>
  </si>
  <si>
    <t>BEW Engineering Ltd.</t>
  </si>
  <si>
    <t>BEWLTD</t>
  </si>
  <si>
    <t>GANGOTRI,</t>
  </si>
  <si>
    <t>BF Investment Ltd.</t>
  </si>
  <si>
    <t>BFINVEST</t>
  </si>
  <si>
    <t>BFINVEST,</t>
  </si>
  <si>
    <t>Shri Keshav Cements &amp; Infra Ltd.</t>
  </si>
  <si>
    <t>SKCIL</t>
  </si>
  <si>
    <t>BAJAJ-AUTO,</t>
  </si>
  <si>
    <t>Srichakra Cement Ltd.</t>
  </si>
  <si>
    <t>SRICC</t>
  </si>
  <si>
    <t>BAJAJCON,</t>
  </si>
  <si>
    <t>BF Utilities Ltd.</t>
  </si>
  <si>
    <t>BFUTILITIE</t>
  </si>
  <si>
    <t>SAREGAMA,</t>
  </si>
  <si>
    <t>BGR Energy Systems Ltd.</t>
  </si>
  <si>
    <t>BGRENERGY</t>
  </si>
  <si>
    <t>GICL,</t>
  </si>
  <si>
    <t>Bhageria Industries Ltd.</t>
  </si>
  <si>
    <t>BHAGERIA</t>
  </si>
  <si>
    <t>ELECON,</t>
  </si>
  <si>
    <t>Bhagiradha Chemicals &amp; Industries Ltd.</t>
  </si>
  <si>
    <t>BHAGCHEM</t>
  </si>
  <si>
    <t>PGHH,</t>
  </si>
  <si>
    <t>Bhagyanagar India Ltd.</t>
  </si>
  <si>
    <t>BHAGYANGR</t>
  </si>
  <si>
    <t>Metal - Non Ferrous</t>
  </si>
  <si>
    <t>517119,</t>
  </si>
  <si>
    <t>Bhandari Hosiery Exports Ltd.</t>
  </si>
  <si>
    <t>BHANDARI</t>
  </si>
  <si>
    <t>544035,</t>
  </si>
  <si>
    <t>Bhansali Engineering Polymers Ltd.</t>
  </si>
  <si>
    <t>BEPL</t>
  </si>
  <si>
    <t>BGRENERGY,</t>
  </si>
  <si>
    <t>Shiva Granito Export Ltd.</t>
  </si>
  <si>
    <t>SHIVAEXPO</t>
  </si>
  <si>
    <t>507944,</t>
  </si>
  <si>
    <t>Bharat Bijlee Ltd.</t>
  </si>
  <si>
    <t>BBL</t>
  </si>
  <si>
    <t>544164,</t>
  </si>
  <si>
    <t>ASI Industries Ltd.</t>
  </si>
  <si>
    <t>ASIIL</t>
  </si>
  <si>
    <t>BALPHARMA,</t>
  </si>
  <si>
    <t>Bharat Dynamics Ltd.</t>
  </si>
  <si>
    <t>BDL</t>
  </si>
  <si>
    <t>DLF,</t>
  </si>
  <si>
    <t>Bharat Electronics Ltd.</t>
  </si>
  <si>
    <t>BEL</t>
  </si>
  <si>
    <t>HARDWYN,</t>
  </si>
  <si>
    <t>Divyashakti Ltd.</t>
  </si>
  <si>
    <t>DIVSHKT</t>
  </si>
  <si>
    <t>BALAXI,</t>
  </si>
  <si>
    <t>Elegant Marbles &amp; Grani Industries Ltd.</t>
  </si>
  <si>
    <t>ELEMARB</t>
  </si>
  <si>
    <t>539834,</t>
  </si>
  <si>
    <t>Bharat Forge Ltd.</t>
  </si>
  <si>
    <t>BHARATFORG</t>
  </si>
  <si>
    <t>Forgings</t>
  </si>
  <si>
    <t>Glittek Granites Ltd.</t>
  </si>
  <si>
    <t>GLITTEKG</t>
  </si>
  <si>
    <t>BALKRISHNA,</t>
  </si>
  <si>
    <t>Bharat Gears Ltd.</t>
  </si>
  <si>
    <t>BHARATGEAR</t>
  </si>
  <si>
    <t>534612,</t>
  </si>
  <si>
    <t>Inani Marbles &amp; Industries Ltd.</t>
  </si>
  <si>
    <t>INANI</t>
  </si>
  <si>
    <t>Bharat Heavy Electricals Ltd.</t>
  </si>
  <si>
    <t>BHEL</t>
  </si>
  <si>
    <t>538081,</t>
  </si>
  <si>
    <t>Bharat Highways InvIT</t>
  </si>
  <si>
    <t>BHINVIT</t>
  </si>
  <si>
    <t>BHINVIT,</t>
  </si>
  <si>
    <t>JUBLINGREA,</t>
  </si>
  <si>
    <t>Bharat Petroleum Corporation Ltd.</t>
  </si>
  <si>
    <t>BPCL</t>
  </si>
  <si>
    <t>Refineries</t>
  </si>
  <si>
    <t>Marble City India Ltd.</t>
  </si>
  <si>
    <t>MARBLE</t>
  </si>
  <si>
    <t>519295,</t>
  </si>
  <si>
    <t>Midwest Gold Ltd.</t>
  </si>
  <si>
    <t>MIDWEST</t>
  </si>
  <si>
    <t>Bharat Rasayan Ltd.</t>
  </si>
  <si>
    <t>BHARATRAS</t>
  </si>
  <si>
    <t>PROLIFE,</t>
  </si>
  <si>
    <t>Bharat Road Network Ltd.</t>
  </si>
  <si>
    <t>BRNL</t>
  </si>
  <si>
    <t>GLOBE,</t>
  </si>
  <si>
    <t>Bharat Wire Ropes Ltd.</t>
  </si>
  <si>
    <t>BHARATWIRE</t>
  </si>
  <si>
    <t>PDSL,</t>
  </si>
  <si>
    <t>Bharatiya Global Infomedia Ltd.</t>
  </si>
  <si>
    <t>BGLOBAL</t>
  </si>
  <si>
    <t>Pacific Industries Ltd.</t>
  </si>
  <si>
    <t>PACIFICI</t>
  </si>
  <si>
    <t>Bharti Airtel Ltd.</t>
  </si>
  <si>
    <t>BHARTIARTL</t>
  </si>
  <si>
    <t>Ravileela Granites Ltd.</t>
  </si>
  <si>
    <t>RALEGRA</t>
  </si>
  <si>
    <t>512025,</t>
  </si>
  <si>
    <t>Bharti Hexacom Ltd.</t>
  </si>
  <si>
    <t>BHARTIHEXA</t>
  </si>
  <si>
    <t>SUPERSPIN,</t>
  </si>
  <si>
    <t>Restile Ceramics Ltd.</t>
  </si>
  <si>
    <t>RESTILE</t>
  </si>
  <si>
    <t>Solid Stone Company Ltd.</t>
  </si>
  <si>
    <t>SOLIDSTON</t>
  </si>
  <si>
    <t>Bhartiya International Ltd.</t>
  </si>
  <si>
    <t>BIL</t>
  </si>
  <si>
    <t>507690,</t>
  </si>
  <si>
    <t>Bigbloc Construction Ltd.</t>
  </si>
  <si>
    <t>BIGBLOC</t>
  </si>
  <si>
    <t>CMNL,</t>
  </si>
  <si>
    <t>Bikaji Foods International Ltd.</t>
  </si>
  <si>
    <t>BIKAJI</t>
  </si>
  <si>
    <t>DECCANTRAN,</t>
  </si>
  <si>
    <t>Bikewo Green Tech Ltd.</t>
  </si>
  <si>
    <t>BIKEWO</t>
  </si>
  <si>
    <t>539277,</t>
  </si>
  <si>
    <t>Eiko Lifesciences Ltd.</t>
  </si>
  <si>
    <t>EIKO</t>
  </si>
  <si>
    <t>BANSALWIRE,</t>
  </si>
  <si>
    <t>Vikas Proppant &amp; Granite Ltd.</t>
  </si>
  <si>
    <t>VIKASPROP</t>
  </si>
  <si>
    <t>BANSWRAS,</t>
  </si>
  <si>
    <t>Binani Industries Ltd.</t>
  </si>
  <si>
    <t>BINANIIND</t>
  </si>
  <si>
    <t>EIHAHOTELS,</t>
  </si>
  <si>
    <t>Jayshree Chemicals Ltd.</t>
  </si>
  <si>
    <t>JAYCH</t>
  </si>
  <si>
    <t>BARBEQUE,</t>
  </si>
  <si>
    <t>Biocon Ltd.</t>
  </si>
  <si>
    <t>BIOCON</t>
  </si>
  <si>
    <t>532503,</t>
  </si>
  <si>
    <t>Biofil Chemicals &amp; Pharmaceuticals Ltd.</t>
  </si>
  <si>
    <t>BIOFILCHEM</t>
  </si>
  <si>
    <t>538707,</t>
  </si>
  <si>
    <t>Birla Cable Ltd.</t>
  </si>
  <si>
    <t>BIRLACABLE</t>
  </si>
  <si>
    <t>Bhatia Colour Chem Ltd.</t>
  </si>
  <si>
    <t>BCCL</t>
  </si>
  <si>
    <t>524687,</t>
  </si>
  <si>
    <t>Chemcrux Enterprises Ltd.</t>
  </si>
  <si>
    <t>CHEMCRUX</t>
  </si>
  <si>
    <t>BASF,</t>
  </si>
  <si>
    <t>Deepak Chemtex Ltd.</t>
  </si>
  <si>
    <t>DEEPAKCHEM</t>
  </si>
  <si>
    <t>BASILIC,</t>
  </si>
  <si>
    <t>Fischer Medical Ventures Ltd.</t>
  </si>
  <si>
    <t>FISCHER</t>
  </si>
  <si>
    <t>BATAINDIA,</t>
  </si>
  <si>
    <t>Birla Corporation Ltd.</t>
  </si>
  <si>
    <t>BIRLACORPN</t>
  </si>
  <si>
    <t>523896,</t>
  </si>
  <si>
    <t>Birlasoft Ltd.</t>
  </si>
  <si>
    <t>BSOFT</t>
  </si>
  <si>
    <t>BKM Industries Ltd.</t>
  </si>
  <si>
    <t>BKMINDST</t>
  </si>
  <si>
    <t>HARIOMPIPE,</t>
  </si>
  <si>
    <t>Black Box Ltd.</t>
  </si>
  <si>
    <t>BBOX</t>
  </si>
  <si>
    <t>SEL,</t>
  </si>
  <si>
    <t>BLB Ltd.</t>
  </si>
  <si>
    <t>BLBLIMITED</t>
  </si>
  <si>
    <t>BLBLIMITED,</t>
  </si>
  <si>
    <t>539682,</t>
  </si>
  <si>
    <t>Bliss GVS Pharma Ltd.</t>
  </si>
  <si>
    <t>BLISSGVS</t>
  </si>
  <si>
    <t>526873,</t>
  </si>
  <si>
    <t>BLS E-Services Ltd.</t>
  </si>
  <si>
    <t>BLSE</t>
  </si>
  <si>
    <t>540259,</t>
  </si>
  <si>
    <t>BLS International Services Ltd.</t>
  </si>
  <si>
    <t>BLS</t>
  </si>
  <si>
    <t>Travel Services</t>
  </si>
  <si>
    <t>531337,</t>
  </si>
  <si>
    <t>Blue Chip India Ltd.</t>
  </si>
  <si>
    <t>BLUECHIP</t>
  </si>
  <si>
    <t>BLUECHIP,</t>
  </si>
  <si>
    <t>INNOVACAP,</t>
  </si>
  <si>
    <t>Shivam Chemicals Ltd.</t>
  </si>
  <si>
    <t>SHIVAM</t>
  </si>
  <si>
    <t>Blue Coast Hotels Ltd.</t>
  </si>
  <si>
    <t>BLUECOAST</t>
  </si>
  <si>
    <t>Blue Dart Express Ltd.</t>
  </si>
  <si>
    <t>BLUEDART</t>
  </si>
  <si>
    <t>Courier Services</t>
  </si>
  <si>
    <t>DIVISLAB,</t>
  </si>
  <si>
    <t>Blue Jet Healthcare Ltd.</t>
  </si>
  <si>
    <t>BLUEJET</t>
  </si>
  <si>
    <t>530253,</t>
  </si>
  <si>
    <t>Blue Pebble Ltd.</t>
  </si>
  <si>
    <t>BLUEPEBBLE</t>
  </si>
  <si>
    <t>Engineering Consultancy</t>
  </si>
  <si>
    <t>Zinema Media &amp; Entertainment Ltd.</t>
  </si>
  <si>
    <t>ZINEMA</t>
  </si>
  <si>
    <t>Blue Star Ltd.</t>
  </si>
  <si>
    <t>BLUESTARCO</t>
  </si>
  <si>
    <t>Mysore Petro Chemicals Ltd.</t>
  </si>
  <si>
    <t>MYSORPETRO</t>
  </si>
  <si>
    <t>522650,</t>
  </si>
  <si>
    <t>Vikas WSP Ltd.</t>
  </si>
  <si>
    <t>VIKASWSP</t>
  </si>
  <si>
    <t>BLAL,</t>
  </si>
  <si>
    <t>Bodal Chemicals Ltd.</t>
  </si>
  <si>
    <t>BODALCHEM</t>
  </si>
  <si>
    <t>EFORCE,</t>
  </si>
  <si>
    <t>Advance Petrochemicals Ltd.</t>
  </si>
  <si>
    <t>ADVPETR-B</t>
  </si>
  <si>
    <t>541178,</t>
  </si>
  <si>
    <t>Bodhi Tree Multimedia Ltd.</t>
  </si>
  <si>
    <t>BTML</t>
  </si>
  <si>
    <t>TV Broadcasting &amp; Software Production</t>
  </si>
  <si>
    <t>Bohra Industries Ltd.</t>
  </si>
  <si>
    <t>BOHRAIND</t>
  </si>
  <si>
    <t>IDEALTECHO,</t>
  </si>
  <si>
    <t>Bombay Burmah Trading Corporation Ltd.</t>
  </si>
  <si>
    <t>BBTC</t>
  </si>
  <si>
    <t>AAREYDRUGS,</t>
  </si>
  <si>
    <t>Alufluoride Ltd.</t>
  </si>
  <si>
    <t>ALUFLUOR</t>
  </si>
  <si>
    <t>BERGEPAINT,</t>
  </si>
  <si>
    <t>Amal Ltd.</t>
  </si>
  <si>
    <t>AMAL</t>
  </si>
  <si>
    <t>Bombay Dyeing And Manufacturing Company Ltd.</t>
  </si>
  <si>
    <t>BOMDYEING</t>
  </si>
  <si>
    <t>Andhra Petrochemicals Ltd.</t>
  </si>
  <si>
    <t>ANDHRAPET</t>
  </si>
  <si>
    <t>Bombay Metrics Supply Chain Ltd.</t>
  </si>
  <si>
    <t>BMETRICS</t>
  </si>
  <si>
    <t>SBCL,</t>
  </si>
  <si>
    <t>Bombay Super Hybrid Seeds Ltd.</t>
  </si>
  <si>
    <t>BSHSL</t>
  </si>
  <si>
    <t>539562,</t>
  </si>
  <si>
    <t>Archit Organosys Ltd.</t>
  </si>
  <si>
    <t>ARCHITORG</t>
  </si>
  <si>
    <t>BETA,</t>
  </si>
  <si>
    <t>ARCL Organics Ltd.</t>
  </si>
  <si>
    <t>ARCL</t>
  </si>
  <si>
    <t>512477,</t>
  </si>
  <si>
    <t>Borosil Ltd.</t>
  </si>
  <si>
    <t>BOROLTD</t>
  </si>
  <si>
    <t>CROWN,</t>
  </si>
  <si>
    <t>Asian Petroproducts &amp; Exports Ltd.</t>
  </si>
  <si>
    <t>ASINPET</t>
  </si>
  <si>
    <t>Borosil Renewables Ltd.</t>
  </si>
  <si>
    <t>BORORENEW</t>
  </si>
  <si>
    <t>Borosil Scientific Ltd.</t>
  </si>
  <si>
    <t>BOROSCI</t>
  </si>
  <si>
    <t>537573,</t>
  </si>
  <si>
    <t>Bosch Ltd.</t>
  </si>
  <si>
    <t>BOSCHLTD</t>
  </si>
  <si>
    <t>ADVENZYMES,</t>
  </si>
  <si>
    <t>Boss Packaging Solutions Ltd.</t>
  </si>
  <si>
    <t>BOSS</t>
  </si>
  <si>
    <t>Black Rose Industries Ltd.</t>
  </si>
  <si>
    <t>BLACKROSE</t>
  </si>
  <si>
    <t>509449,</t>
  </si>
  <si>
    <t>BPL Ltd.</t>
  </si>
  <si>
    <t>BPL</t>
  </si>
  <si>
    <t>505250,</t>
  </si>
  <si>
    <t>Caprolactam Chemicals Ltd.</t>
  </si>
  <si>
    <t>CAPRO</t>
  </si>
  <si>
    <t>BHAGCHEM,</t>
  </si>
  <si>
    <t>Brace Port Logistics Ltd.</t>
  </si>
  <si>
    <t>BRACEPORT</t>
  </si>
  <si>
    <t>507970,</t>
  </si>
  <si>
    <t>Brainbees Solutions Ltd.</t>
  </si>
  <si>
    <t>FIRSTCRY</t>
  </si>
  <si>
    <t>e-Commerce</t>
  </si>
  <si>
    <t>544166,</t>
  </si>
  <si>
    <t>Brand Concepts Ltd.</t>
  </si>
  <si>
    <t>BCONCEPTS</t>
  </si>
  <si>
    <t>503863,</t>
  </si>
  <si>
    <t>Brigade Enterprises Ltd.</t>
  </si>
  <si>
    <t>BRIGADE</t>
  </si>
  <si>
    <t>CHAMBLFERT,</t>
  </si>
  <si>
    <t>CJ Gelatine Products Ltd.</t>
  </si>
  <si>
    <t>CJGEL</t>
  </si>
  <si>
    <t>BEPL,</t>
  </si>
  <si>
    <t>Bright Solar Ltd.</t>
  </si>
  <si>
    <t>Compressors / Pumps</t>
  </si>
  <si>
    <t>CAPLIPOINT,</t>
  </si>
  <si>
    <t>Cochin Minerals &amp; Rutile Ltd.</t>
  </si>
  <si>
    <t>COCHINM</t>
  </si>
  <si>
    <t>Crestchem Ltd.</t>
  </si>
  <si>
    <t>CRSTCHM</t>
  </si>
  <si>
    <t>BBL,</t>
  </si>
  <si>
    <t>Dai-Ichi Karkaria Ltd.</t>
  </si>
  <si>
    <t>DAICHI</t>
  </si>
  <si>
    <t>BDL,</t>
  </si>
  <si>
    <t>Daikaffil Chemicals India Ltd.</t>
  </si>
  <si>
    <t>DAIKAFFI</t>
  </si>
  <si>
    <t>BEL,</t>
  </si>
  <si>
    <t>Brightcom Group Ltd.</t>
  </si>
  <si>
    <t>BCG</t>
  </si>
  <si>
    <t>NDRAUTO,</t>
  </si>
  <si>
    <t>Deep Polymers Ltd.</t>
  </si>
  <si>
    <t>DEEP</t>
  </si>
  <si>
    <t>BHARATGEAR,</t>
  </si>
  <si>
    <t>Britannia Industries Ltd.</t>
  </si>
  <si>
    <t>BRITANNIA</t>
  </si>
  <si>
    <t>Brookfield India Real Estate Trust REIT</t>
  </si>
  <si>
    <t>BIRET</t>
  </si>
  <si>
    <t>BIRET,</t>
  </si>
  <si>
    <t>JUBLPHARMA,</t>
  </si>
  <si>
    <t>Brooks Laboratories Ltd.</t>
  </si>
  <si>
    <t>BROOKS</t>
  </si>
  <si>
    <t>ARENTERP,</t>
  </si>
  <si>
    <t>BSE Ltd.</t>
  </si>
  <si>
    <t>BSE,</t>
  </si>
  <si>
    <t>LLOYDSME,</t>
  </si>
  <si>
    <t>BSL Ltd.</t>
  </si>
  <si>
    <t>BSL</t>
  </si>
  <si>
    <t>UFO,</t>
  </si>
  <si>
    <t>Elantas Beck India Ltd.</t>
  </si>
  <si>
    <t>ELANTAS</t>
  </si>
  <si>
    <t>BHARATRAS,</t>
  </si>
  <si>
    <t>Bulkcorp International Ltd.</t>
  </si>
  <si>
    <t>BULKCORP</t>
  </si>
  <si>
    <t>SANOFICONR,</t>
  </si>
  <si>
    <t>Burnpur Cement Ltd.</t>
  </si>
  <si>
    <t>BURNPUR</t>
  </si>
  <si>
    <t>Butterfly Gandhimathi Appliances Ltd.</t>
  </si>
  <si>
    <t>BUTTERFLY</t>
  </si>
  <si>
    <t>C2C Advanced Systems Ltd.</t>
  </si>
  <si>
    <t>C2C</t>
  </si>
  <si>
    <t>542013,</t>
  </si>
  <si>
    <t>Cadsys India Ltd.</t>
  </si>
  <si>
    <t>CADSYS</t>
  </si>
  <si>
    <t>APOLLOHOSP,</t>
  </si>
  <si>
    <t>California Software Company Ltd.</t>
  </si>
  <si>
    <t>CALSOFT</t>
  </si>
  <si>
    <t>NECLIFE,</t>
  </si>
  <si>
    <t>Garodia Chemicals Ltd.</t>
  </si>
  <si>
    <t>GARODCH</t>
  </si>
  <si>
    <t>BIL,</t>
  </si>
  <si>
    <t>Cambridge Technology Enterprises Ltd.</t>
  </si>
  <si>
    <t>CTE</t>
  </si>
  <si>
    <t>NEELAM,</t>
  </si>
  <si>
    <t>Camlin Fine Sciences Ltd.</t>
  </si>
  <si>
    <t>CAMLINFINE</t>
  </si>
  <si>
    <t>BHAGERIA,</t>
  </si>
  <si>
    <t>Campus Activewear Ltd.</t>
  </si>
  <si>
    <t>CAMPUS</t>
  </si>
  <si>
    <t>513430,</t>
  </si>
  <si>
    <t>Grauer &amp; Weil (India) Ltd.</t>
  </si>
  <si>
    <t>GRAUWEIL</t>
  </si>
  <si>
    <t>514272,</t>
  </si>
  <si>
    <t>Can Fin Homes Ltd.</t>
  </si>
  <si>
    <t>CANFINHOME</t>
  </si>
  <si>
    <t>CANFINHOME,</t>
  </si>
  <si>
    <t>Canara Bank</t>
  </si>
  <si>
    <t>CANBK</t>
  </si>
  <si>
    <t>AISL,</t>
  </si>
  <si>
    <t>Gujchem Distillers India Ltd.</t>
  </si>
  <si>
    <t>GUJCMDS</t>
  </si>
  <si>
    <t>BIGBLOC,</t>
  </si>
  <si>
    <t>Hardcastle &amp; Waud Manufacturing Company Ltd.</t>
  </si>
  <si>
    <t>HARDCAS</t>
  </si>
  <si>
    <t>500058,</t>
  </si>
  <si>
    <t>Haryana Leather Chemicals Ltd.</t>
  </si>
  <si>
    <t>HARLETH</t>
  </si>
  <si>
    <t>BIKAJI,</t>
  </si>
  <si>
    <t>Canarys Automations Ltd.</t>
  </si>
  <si>
    <t>CANARYS</t>
  </si>
  <si>
    <t>NAHARINDUS,</t>
  </si>
  <si>
    <t>Cantabil Retail India Ltd.</t>
  </si>
  <si>
    <t>CANTABIL</t>
  </si>
  <si>
    <t>SWELECTES,</t>
  </si>
  <si>
    <t>Capacit'e Infraprojects Ltd.</t>
  </si>
  <si>
    <t>CAPACITE</t>
  </si>
  <si>
    <t>530309,</t>
  </si>
  <si>
    <t>Hindustan Organic Chemicals Ltd.</t>
  </si>
  <si>
    <t>HOCL</t>
  </si>
  <si>
    <t>505681,</t>
  </si>
  <si>
    <t>Capital Small Finance Bank Ltd.</t>
  </si>
  <si>
    <t>CAPITALSFB</t>
  </si>
  <si>
    <t>AMBIKCO,</t>
  </si>
  <si>
    <t>Capital Trust Ltd.</t>
  </si>
  <si>
    <t>CAPTRUST</t>
  </si>
  <si>
    <t>CAPTRUST,</t>
  </si>
  <si>
    <t>LANCORHOL,</t>
  </si>
  <si>
    <t>India Gelatine &amp; Chemicals Ltd.</t>
  </si>
  <si>
    <t>INDGELA</t>
  </si>
  <si>
    <t>BIOCON,</t>
  </si>
  <si>
    <t>Caplin Point Laboratories Ltd.</t>
  </si>
  <si>
    <t>CAPLIPOINT</t>
  </si>
  <si>
    <t>RAJESHEXPO,</t>
  </si>
  <si>
    <t>Indian Toners &amp; Developers Ltd.</t>
  </si>
  <si>
    <t>INDTONER</t>
  </si>
  <si>
    <t>Capri Global Capital Ltd.</t>
  </si>
  <si>
    <t>CGCL</t>
  </si>
  <si>
    <t>CGCL,</t>
  </si>
  <si>
    <t>Carborundum Universal Ltd.</t>
  </si>
  <si>
    <t>CARBORUNIV</t>
  </si>
  <si>
    <t>Abrasives</t>
  </si>
  <si>
    <t>20MICRONS,</t>
  </si>
  <si>
    <t>Indo Euro Indchem Ltd.</t>
  </si>
  <si>
    <t>INDOEURO</t>
  </si>
  <si>
    <t>522105,</t>
  </si>
  <si>
    <t>Indokem Ltd.</t>
  </si>
  <si>
    <t>INDOKEM</t>
  </si>
  <si>
    <t>BSOFT,</t>
  </si>
  <si>
    <t>Care Ratings Ltd.</t>
  </si>
  <si>
    <t>CARERATING</t>
  </si>
  <si>
    <t>Ratings</t>
  </si>
  <si>
    <t>540786,</t>
  </si>
  <si>
    <t>Career Point Ltd.</t>
  </si>
  <si>
    <t>CAREERP</t>
  </si>
  <si>
    <t>EROSMEDIA,</t>
  </si>
  <si>
    <t>Carraro India Ltd.</t>
  </si>
  <si>
    <t>CARRARO</t>
  </si>
  <si>
    <t>ACLGATI,</t>
  </si>
  <si>
    <t>CarTrade Tech Ltd.</t>
  </si>
  <si>
    <t>CARTRADE</t>
  </si>
  <si>
    <t>ETML,</t>
  </si>
  <si>
    <t>Jyoti Resins &amp; Adhesives Ltd.</t>
  </si>
  <si>
    <t>JYOTIRES</t>
  </si>
  <si>
    <t>BBOX,</t>
  </si>
  <si>
    <t>Kanchi Karpooram Ltd.</t>
  </si>
  <si>
    <t>KANCHI</t>
  </si>
  <si>
    <t>514183,</t>
  </si>
  <si>
    <t>Carysil Ltd.</t>
  </si>
  <si>
    <t>CARYSIL</t>
  </si>
  <si>
    <t>MODTHREAD,</t>
  </si>
  <si>
    <t>Keltech Energies Ltd.</t>
  </si>
  <si>
    <t>KELENRG</t>
  </si>
  <si>
    <t>BLISSGVS,</t>
  </si>
  <si>
    <t>Kemistar Corporation Ltd.</t>
  </si>
  <si>
    <t>KEMISTAR</t>
  </si>
  <si>
    <t>526225,</t>
  </si>
  <si>
    <t>Kesar Petroproducts Ltd.</t>
  </si>
  <si>
    <t>KESARPE</t>
  </si>
  <si>
    <t>513422,</t>
  </si>
  <si>
    <t>Castrol India Ltd.</t>
  </si>
  <si>
    <t>CASTROLIND</t>
  </si>
  <si>
    <t>524628,</t>
  </si>
  <si>
    <t>Lime Chemicals Ltd.</t>
  </si>
  <si>
    <t>LIMECHM</t>
  </si>
  <si>
    <t>BLS,</t>
  </si>
  <si>
    <t>CCL Products (India) Ltd.</t>
  </si>
  <si>
    <t>CCL</t>
  </si>
  <si>
    <t>Tea/Coffee</t>
  </si>
  <si>
    <t>521113,</t>
  </si>
  <si>
    <t>CE Info Systems Ltd.</t>
  </si>
  <si>
    <t>MAPMYINDIA</t>
  </si>
  <si>
    <t>508670,</t>
  </si>
  <si>
    <t>Ceat Ltd.</t>
  </si>
  <si>
    <t>CEATLTD</t>
  </si>
  <si>
    <t>ZEAL,</t>
  </si>
  <si>
    <t>Medi-Caps Ltd.</t>
  </si>
  <si>
    <t>MEDICAPQ</t>
  </si>
  <si>
    <t>BLUECOAST,</t>
  </si>
  <si>
    <t>Ceigall India Ltd.</t>
  </si>
  <si>
    <t>CEIGALL</t>
  </si>
  <si>
    <t>Naperol Investments Ltd.</t>
  </si>
  <si>
    <t>NAPEROL</t>
  </si>
  <si>
    <t>BLUEJET,</t>
  </si>
  <si>
    <t>Narmada Gelatines Ltd.</t>
  </si>
  <si>
    <t>SHAWGELTIN</t>
  </si>
  <si>
    <t>BLUEPEBBLE,</t>
  </si>
  <si>
    <t>Celebrity Fashions Ltd.</t>
  </si>
  <si>
    <t>CELEBRITY</t>
  </si>
  <si>
    <t>523558,</t>
  </si>
  <si>
    <t>Cell Point (India) Ltd.</t>
  </si>
  <si>
    <t>CELLPOINT</t>
  </si>
  <si>
    <t>521226,</t>
  </si>
  <si>
    <t>Nikhil Adhesives Ltd.</t>
  </si>
  <si>
    <t>NIKHILAD</t>
  </si>
  <si>
    <t>526125,</t>
  </si>
  <si>
    <t>Nitta Gelatin India Ltd.</t>
  </si>
  <si>
    <t>NITTAGELA</t>
  </si>
  <si>
    <t>Cellecor Gadgets Ltd.</t>
  </si>
  <si>
    <t>CELLECOR</t>
  </si>
  <si>
    <t>526113,</t>
  </si>
  <si>
    <t>Cello World Ltd.</t>
  </si>
  <si>
    <t>CELLO</t>
  </si>
  <si>
    <t>519003,</t>
  </si>
  <si>
    <t>Central Bank Of India</t>
  </si>
  <si>
    <t>CENTRALBK</t>
  </si>
  <si>
    <t>ANIKINDS,</t>
  </si>
  <si>
    <t>Central Depository Services (India) Ltd.</t>
  </si>
  <si>
    <t>CDSL</t>
  </si>
  <si>
    <t>Depository Services</t>
  </si>
  <si>
    <t>CDSL,</t>
  </si>
  <si>
    <t>DOMS,</t>
  </si>
  <si>
    <t>Paushak Ltd.</t>
  </si>
  <si>
    <t>PAUSHAKLTD</t>
  </si>
  <si>
    <t>BBTC,</t>
  </si>
  <si>
    <t>Pentokey Organy (India) Ltd.</t>
  </si>
  <si>
    <t>PNTKYOR</t>
  </si>
  <si>
    <t>501430,</t>
  </si>
  <si>
    <t>Centrum Capital Ltd.</t>
  </si>
  <si>
    <t>CENTRUM</t>
  </si>
  <si>
    <t>CENTRUM,</t>
  </si>
  <si>
    <t>Centum Electronics Ltd.</t>
  </si>
  <si>
    <t>CENTUM</t>
  </si>
  <si>
    <t>GABRIEL,</t>
  </si>
  <si>
    <t>Century Enka Ltd.</t>
  </si>
  <si>
    <t>CENTENKA</t>
  </si>
  <si>
    <t>531499,</t>
  </si>
  <si>
    <t>Polson Ltd.</t>
  </si>
  <si>
    <t>POLSON</t>
  </si>
  <si>
    <t>BSHSL,</t>
  </si>
  <si>
    <t>Polychem Ltd.</t>
  </si>
  <si>
    <t>POLYCHEM</t>
  </si>
  <si>
    <t>504648,</t>
  </si>
  <si>
    <t>Polylink Polymers (India) Ltd.</t>
  </si>
  <si>
    <t>POLYLINK</t>
  </si>
  <si>
    <t>543971,</t>
  </si>
  <si>
    <t>Century Extrusions Ltd.</t>
  </si>
  <si>
    <t>CENTEXT</t>
  </si>
  <si>
    <t>543499,</t>
  </si>
  <si>
    <t>Primo Chemicals Ltd.</t>
  </si>
  <si>
    <t>PRIMO</t>
  </si>
  <si>
    <t>BOROLTD,</t>
  </si>
  <si>
    <t>Century Plyboards (India) Ltd.</t>
  </si>
  <si>
    <t>CENTURYPLY</t>
  </si>
  <si>
    <t>Resonance Specialties Ltd.</t>
  </si>
  <si>
    <t>RESONANCE</t>
  </si>
  <si>
    <t>BOROSCI,</t>
  </si>
  <si>
    <t>Cera Sanitaryware Ltd.</t>
  </si>
  <si>
    <t>CERA</t>
  </si>
  <si>
    <t>BALAJITELE,</t>
  </si>
  <si>
    <t>Cerebra Integrated Technologies Ltd.</t>
  </si>
  <si>
    <t>CEREBRAINT</t>
  </si>
  <si>
    <t>VARDMNPOLY,</t>
  </si>
  <si>
    <t>Saianand Commercial Ltd.</t>
  </si>
  <si>
    <t>SAICOM</t>
  </si>
  <si>
    <t>BPL,</t>
  </si>
  <si>
    <t>CESC Ltd.</t>
  </si>
  <si>
    <t>CESC</t>
  </si>
  <si>
    <t>SARLAPOLY,</t>
  </si>
  <si>
    <t>CG Power and Industrial Solutions Ltd.</t>
  </si>
  <si>
    <t>CGPOWER</t>
  </si>
  <si>
    <t>543444,</t>
  </si>
  <si>
    <t>Chalet Hotels Ltd.</t>
  </si>
  <si>
    <t>CHALET</t>
  </si>
  <si>
    <t>531357,</t>
  </si>
  <si>
    <t>Shree Hari Chemicals Export Ltd.</t>
  </si>
  <si>
    <t>SHHARICH</t>
  </si>
  <si>
    <t>FIRSTCRY,</t>
  </si>
  <si>
    <t>Chaman Lal Setia Exports Ltd.</t>
  </si>
  <si>
    <t>CLSEL</t>
  </si>
  <si>
    <t>531227,</t>
  </si>
  <si>
    <t>Chaman Metallics Ltd.</t>
  </si>
  <si>
    <t>CMNL</t>
  </si>
  <si>
    <t>Steel/Sponge Iron/Pig Iron</t>
  </si>
  <si>
    <t>514442,</t>
  </si>
  <si>
    <t>Span Divergent Ltd.</t>
  </si>
  <si>
    <t>SDL</t>
  </si>
  <si>
    <t>530207,</t>
  </si>
  <si>
    <t>Chambal Fertilisers and Chemicals Ltd.</t>
  </si>
  <si>
    <t>CHAMBLFERT</t>
  </si>
  <si>
    <t>IDENTICAL,</t>
  </si>
  <si>
    <t>Sreechem Resins Ltd.</t>
  </si>
  <si>
    <t>SRECR</t>
  </si>
  <si>
    <t>BRIGADE,</t>
  </si>
  <si>
    <t>Chavda Infra Ltd.</t>
  </si>
  <si>
    <t>CHAVDA</t>
  </si>
  <si>
    <t>531158,</t>
  </si>
  <si>
    <t>Sunil Healthcare Ltd.</t>
  </si>
  <si>
    <t>SUNLOC</t>
  </si>
  <si>
    <t>543831,</t>
  </si>
  <si>
    <t>Sunshield Chemicals Ltd.</t>
  </si>
  <si>
    <t>SUNSHIEL</t>
  </si>
  <si>
    <t>BRIGHT,</t>
  </si>
  <si>
    <t>Chembond Chemicals Ltd.</t>
  </si>
  <si>
    <t>CHEMBOND</t>
  </si>
  <si>
    <t>504646,</t>
  </si>
  <si>
    <t>Tanfac Industries Ltd.</t>
  </si>
  <si>
    <t>TANFACIND</t>
  </si>
  <si>
    <t>Chemcon Speciality Chemicals Ltd.</t>
  </si>
  <si>
    <t>CHEMCON</t>
  </si>
  <si>
    <t>BHAGYANGR,</t>
  </si>
  <si>
    <t>Chemfab Alkalis Ltd.</t>
  </si>
  <si>
    <t>CHEMFAB</t>
  </si>
  <si>
    <t>540545,</t>
  </si>
  <si>
    <t>TCM Ltd.</t>
  </si>
  <si>
    <t>TCMLMTD</t>
  </si>
  <si>
    <t>544231,</t>
  </si>
  <si>
    <t>Chemplast Sanmar Ltd.</t>
  </si>
  <si>
    <t>CHEMPLASTS</t>
  </si>
  <si>
    <t>BHANDARI,</t>
  </si>
  <si>
    <t>TGV SRACC Ltd.</t>
  </si>
  <si>
    <t>TGVSL</t>
  </si>
  <si>
    <t>BROOKS,</t>
  </si>
  <si>
    <t>Chennai Petroleum Corporation Ltd.</t>
  </si>
  <si>
    <t>CHENNPETRO</t>
  </si>
  <si>
    <t>543341,</t>
  </si>
  <si>
    <t>Chetana Education Ltd.</t>
  </si>
  <si>
    <t>CHETANA</t>
  </si>
  <si>
    <t>512329,</t>
  </si>
  <si>
    <t>Tinna Rubber And Infrastructure Ltd.</t>
  </si>
  <si>
    <t>TINNARUBR</t>
  </si>
  <si>
    <t>BSL,</t>
  </si>
  <si>
    <t>Titan Bio-Tech Ltd.</t>
  </si>
  <si>
    <t>TITANBIO</t>
  </si>
  <si>
    <t>BULKCORP,</t>
  </si>
  <si>
    <t>Tuticorin Alkali Chemicals and Fertilizers Ltd.</t>
  </si>
  <si>
    <t>TUTIALKA</t>
  </si>
  <si>
    <t>BURNPUR,</t>
  </si>
  <si>
    <t>Ultramarine &amp; Pigments Ltd.</t>
  </si>
  <si>
    <t>ULTRAMAR</t>
  </si>
  <si>
    <t>BUTTERFLY,</t>
  </si>
  <si>
    <t>Cheviot Company Ltd.</t>
  </si>
  <si>
    <t>CHEVIOT</t>
  </si>
  <si>
    <t>511447,</t>
  </si>
  <si>
    <t>Vasundhara Rasayans Ltd.</t>
  </si>
  <si>
    <t>VRL</t>
  </si>
  <si>
    <t>CADSYS,</t>
  </si>
  <si>
    <t>Venlon Enterprises Ltd.</t>
  </si>
  <si>
    <t>VENLONENT</t>
  </si>
  <si>
    <t>517236,</t>
  </si>
  <si>
    <t>Vikram Thermo (India) Ltd.</t>
  </si>
  <si>
    <t>VIKRAMTH</t>
  </si>
  <si>
    <t>CALSOFT,</t>
  </si>
  <si>
    <t>Choice International Ltd.</t>
  </si>
  <si>
    <t>CHOICEIN</t>
  </si>
  <si>
    <t>CHOICEIN,</t>
  </si>
  <si>
    <t>MAGNUM,</t>
  </si>
  <si>
    <t>Cholamandalam Financial Holdings Ltd.</t>
  </si>
  <si>
    <t>CHOLAHLDNG</t>
  </si>
  <si>
    <t>CHOLAHLDNG,</t>
  </si>
  <si>
    <t>JAIBALAJI,</t>
  </si>
  <si>
    <t>Vivid Global Industries Ltd.</t>
  </si>
  <si>
    <t>VIVIDIND</t>
  </si>
  <si>
    <t>CAMLINFINE,</t>
  </si>
  <si>
    <t>Cholamandalam Investment and Finance Company Ltd.</t>
  </si>
  <si>
    <t>CHOLAFIN</t>
  </si>
  <si>
    <t>CHOLAFIN,</t>
  </si>
  <si>
    <t>KPIGREEN,</t>
  </si>
  <si>
    <t>Machhar Industries Ltd.</t>
  </si>
  <si>
    <t>MACIND</t>
  </si>
  <si>
    <t>National Peroxide Ltd.</t>
  </si>
  <si>
    <t>NPL</t>
  </si>
  <si>
    <t>CIE Automotive India Ltd.</t>
  </si>
  <si>
    <t>CIEINDIA</t>
  </si>
  <si>
    <t>MANAV,</t>
  </si>
  <si>
    <t>Cigniti Technologies Ltd.</t>
  </si>
  <si>
    <t>CIGNITITEC</t>
  </si>
  <si>
    <t>NELCAST,</t>
  </si>
  <si>
    <t>Cineline India Ltd.</t>
  </si>
  <si>
    <t>CINELINE</t>
  </si>
  <si>
    <t>INDNIPPON,</t>
  </si>
  <si>
    <t>Cinevista Ltd.</t>
  </si>
  <si>
    <t>CINEVISTA</t>
  </si>
  <si>
    <t>IPL,</t>
  </si>
  <si>
    <t>Cipla Ltd.</t>
  </si>
  <si>
    <t>CIPLA</t>
  </si>
  <si>
    <t>543285,</t>
  </si>
  <si>
    <t>NTC Industries Ltd.</t>
  </si>
  <si>
    <t>NTCIND</t>
  </si>
  <si>
    <t>Cigarettes/Tobacco</t>
  </si>
  <si>
    <t>The Indian Wood Products Company Ltd.</t>
  </si>
  <si>
    <t>IWP</t>
  </si>
  <si>
    <t>City Union Bank Ltd.</t>
  </si>
  <si>
    <t>CUB</t>
  </si>
  <si>
    <t>526439,</t>
  </si>
  <si>
    <t>CL Educate Ltd.</t>
  </si>
  <si>
    <t>CLEDUCATE</t>
  </si>
  <si>
    <t>Clean Science And Technology Ltd.</t>
  </si>
  <si>
    <t>CLEAN</t>
  </si>
  <si>
    <t>531862,</t>
  </si>
  <si>
    <t>CMI Ltd.</t>
  </si>
  <si>
    <t>CMICABLES</t>
  </si>
  <si>
    <t>ASLIND,</t>
  </si>
  <si>
    <t>CMM Infraprojects Ltd.</t>
  </si>
  <si>
    <t>CMMIPL</t>
  </si>
  <si>
    <t>531900,</t>
  </si>
  <si>
    <t>CMS Info Systems Ltd.</t>
  </si>
  <si>
    <t>CMSINFO</t>
  </si>
  <si>
    <t>520121,</t>
  </si>
  <si>
    <t>Coal India Ltd.</t>
  </si>
  <si>
    <t>COALINDIA</t>
  </si>
  <si>
    <t>523620,</t>
  </si>
  <si>
    <t>Coastal Corporation Ltd.</t>
  </si>
  <si>
    <t>COASTCORP</t>
  </si>
  <si>
    <t>DEEDEV,</t>
  </si>
  <si>
    <t>Cochin Shipyard Ltd.</t>
  </si>
  <si>
    <t>COCHINSHIP</t>
  </si>
  <si>
    <t>Ship Building</t>
  </si>
  <si>
    <t>531506,</t>
  </si>
  <si>
    <t>Coffee Day Enterprises Ltd.</t>
  </si>
  <si>
    <t>COFFEEDAY</t>
  </si>
  <si>
    <t>SCILAL,</t>
  </si>
  <si>
    <t>Veljan Denison Ltd.</t>
  </si>
  <si>
    <t>VELJAN</t>
  </si>
  <si>
    <t>CAREERP,</t>
  </si>
  <si>
    <t>WPIL Ltd.</t>
  </si>
  <si>
    <t>WPIL</t>
  </si>
  <si>
    <t>543618,</t>
  </si>
  <si>
    <t>Pacheli Industrial Finance Ltd.</t>
  </si>
  <si>
    <t>PIFL</t>
  </si>
  <si>
    <t>CARRARO,</t>
  </si>
  <si>
    <t>Coforge Ltd.</t>
  </si>
  <si>
    <t>COFORGE</t>
  </si>
  <si>
    <t>NEOGEN,</t>
  </si>
  <si>
    <t>Colgate-Palmolive (India) Ltd.</t>
  </si>
  <si>
    <t>COLPAL</t>
  </si>
  <si>
    <t>MODIRUBBER,</t>
  </si>
  <si>
    <t>Athena Constructions Ltd.</t>
  </si>
  <si>
    <t>ATHCON</t>
  </si>
  <si>
    <t>B-Right Real Estate Ltd.</t>
  </si>
  <si>
    <t>BRRL</t>
  </si>
  <si>
    <t>CASTROLIND,</t>
  </si>
  <si>
    <t>Commercial Syn Bags Ltd.</t>
  </si>
  <si>
    <t>COMSYN</t>
  </si>
  <si>
    <t>514197,</t>
  </si>
  <si>
    <t>Committed Cargo Care Ltd.</t>
  </si>
  <si>
    <t>COMMITTED</t>
  </si>
  <si>
    <t>OCCL,</t>
  </si>
  <si>
    <t>Compuage Infocom Ltd.</t>
  </si>
  <si>
    <t>COMPINFO</t>
  </si>
  <si>
    <t>IT - Hardware</t>
  </si>
  <si>
    <t>526169,</t>
  </si>
  <si>
    <t>Compucom Software Ltd.</t>
  </si>
  <si>
    <t>COMPUSOFT</t>
  </si>
  <si>
    <t>MUKANDLTD,</t>
  </si>
  <si>
    <t>Jet Solar Ltd.</t>
  </si>
  <si>
    <t>JETSOLAR</t>
  </si>
  <si>
    <t>MAPMYINDIA,</t>
  </si>
  <si>
    <t>Computer Age Management Services Ltd.</t>
  </si>
  <si>
    <t>CAMS</t>
  </si>
  <si>
    <t>CAMS,</t>
  </si>
  <si>
    <t>DOLPHIN,</t>
  </si>
  <si>
    <t>Modi's Navnirman Ltd.</t>
  </si>
  <si>
    <t>MODIS</t>
  </si>
  <si>
    <t>Rajeswari Infrastructure Ltd.</t>
  </si>
  <si>
    <t>RAJINFRA</t>
  </si>
  <si>
    <t>531119,</t>
  </si>
  <si>
    <t>SBL Infratech Ltd.</t>
  </si>
  <si>
    <t>SBLI</t>
  </si>
  <si>
    <t>514171,</t>
  </si>
  <si>
    <t>Concord Biotech Ltd.</t>
  </si>
  <si>
    <t>CONCORDBIO</t>
  </si>
  <si>
    <t>RCDL,</t>
  </si>
  <si>
    <t>SVS Ventures Ltd.</t>
  </si>
  <si>
    <t>SVS</t>
  </si>
  <si>
    <t>538734,</t>
  </si>
  <si>
    <t>Unishire Urban Infra Ltd.</t>
  </si>
  <si>
    <t>UNISHIRE</t>
  </si>
  <si>
    <t>CELEBRITY,</t>
  </si>
  <si>
    <t>Veer Global Infraconstruction Ltd.</t>
  </si>
  <si>
    <t>VGIL</t>
  </si>
  <si>
    <t>CELLPOINT,</t>
  </si>
  <si>
    <t>Concord Enviro Systems Ltd.</t>
  </si>
  <si>
    <t>CEWATER</t>
  </si>
  <si>
    <t>HLEGLAS,</t>
  </si>
  <si>
    <t>Confidence Petroleum India Ltd.</t>
  </si>
  <si>
    <t>CONFIPET</t>
  </si>
  <si>
    <t>Industrial Gases &amp; Fuels</t>
  </si>
  <si>
    <t>MOS,</t>
  </si>
  <si>
    <t>Alpine Housing Development Corporation Ltd.</t>
  </si>
  <si>
    <t>ALPINEHOU</t>
  </si>
  <si>
    <t>CELLO,</t>
  </si>
  <si>
    <t>Abhishek Infraventures Ltd.</t>
  </si>
  <si>
    <t>ABHIINFRA</t>
  </si>
  <si>
    <t>522251,</t>
  </si>
  <si>
    <t>Consolidated Construction Consortium Ltd.</t>
  </si>
  <si>
    <t>CCCL</t>
  </si>
  <si>
    <t>GMBREW,</t>
  </si>
  <si>
    <t>Consolidated Finvest &amp; Holdings Ltd.</t>
  </si>
  <si>
    <t>CONSOFINVT</t>
  </si>
  <si>
    <t>CONSOFINVT,</t>
  </si>
  <si>
    <t>540696,</t>
  </si>
  <si>
    <t>Container Corporation Of India Ltd.</t>
  </si>
  <si>
    <t>CONCOR</t>
  </si>
  <si>
    <t>531779,</t>
  </si>
  <si>
    <t>Continental Seeds and Chemicals Ltd.</t>
  </si>
  <si>
    <t>CONTI</t>
  </si>
  <si>
    <t>Control Print Ltd.</t>
  </si>
  <si>
    <t>CONTROLPR</t>
  </si>
  <si>
    <t>MUNJALSHOW,</t>
  </si>
  <si>
    <t>Anna Infrastructures Ltd.</t>
  </si>
  <si>
    <t>ANNAINFRA</t>
  </si>
  <si>
    <t>CENTEXT,</t>
  </si>
  <si>
    <t>Ansal Buildwell Ltd.</t>
  </si>
  <si>
    <t>ANSALBU</t>
  </si>
  <si>
    <t>CENTURYPLY,</t>
  </si>
  <si>
    <t>Ansal Housing Ltd.</t>
  </si>
  <si>
    <t>ANSALHSG</t>
  </si>
  <si>
    <t>CERA,</t>
  </si>
  <si>
    <t>Cool Caps Industries Ltd.</t>
  </si>
  <si>
    <t>COOLCAPS</t>
  </si>
  <si>
    <t>ROTO,</t>
  </si>
  <si>
    <t>Arihant Foundations &amp; Housing Ltd.</t>
  </si>
  <si>
    <t>ARIHANT</t>
  </si>
  <si>
    <t>CESC,</t>
  </si>
  <si>
    <t>Coral India Finance &amp; Housing Ltd.</t>
  </si>
  <si>
    <t>CORALFINAC</t>
  </si>
  <si>
    <t>CORALFINAC,</t>
  </si>
  <si>
    <t>Cords Cable Industries Ltd.</t>
  </si>
  <si>
    <t>CORDSCABLE</t>
  </si>
  <si>
    <t>ASALCBR,</t>
  </si>
  <si>
    <t>Coromandel International Ltd.</t>
  </si>
  <si>
    <t>COROMANDEL</t>
  </si>
  <si>
    <t>Cosmo First Ltd.</t>
  </si>
  <si>
    <t>COSMOFIRST</t>
  </si>
  <si>
    <t>SATECH,</t>
  </si>
  <si>
    <t>Country Club Hospitality &amp; Holidays Ltd.</t>
  </si>
  <si>
    <t>CCHHL</t>
  </si>
  <si>
    <t>543982,</t>
  </si>
  <si>
    <t>Country Condo's Ltd.</t>
  </si>
  <si>
    <t>COUNCODOS</t>
  </si>
  <si>
    <t>CPS Shapers Ltd.</t>
  </si>
  <si>
    <t>CPS</t>
  </si>
  <si>
    <t>SURAJLTD,</t>
  </si>
  <si>
    <t>Craftsman Automation Ltd.</t>
  </si>
  <si>
    <t>CRAFTSMAN</t>
  </si>
  <si>
    <t>ADVANIHOTR,</t>
  </si>
  <si>
    <t>Crayons Advertising Ltd.</t>
  </si>
  <si>
    <t>CRAYONS</t>
  </si>
  <si>
    <t>544190,</t>
  </si>
  <si>
    <t>BSEL Algo Ltd.</t>
  </si>
  <si>
    <t>BSELALGO</t>
  </si>
  <si>
    <t>542627,</t>
  </si>
  <si>
    <t>Creative Eye Ltd.</t>
  </si>
  <si>
    <t>CREATIVEYE</t>
  </si>
  <si>
    <t>XELPMOC,</t>
  </si>
  <si>
    <t>Citadel Realty &amp; Developers Ltd.</t>
  </si>
  <si>
    <t>CITADEL</t>
  </si>
  <si>
    <t>540829,</t>
  </si>
  <si>
    <t>Creative Graphics Solutions India Ltd.</t>
  </si>
  <si>
    <t>CGRAPHICS</t>
  </si>
  <si>
    <t>526043,</t>
  </si>
  <si>
    <t>Croissance Ltd.</t>
  </si>
  <si>
    <t>CROISSANCE</t>
  </si>
  <si>
    <t>531977,</t>
  </si>
  <si>
    <t>Decorous Investment &amp; Trading Co Ltd.</t>
  </si>
  <si>
    <t>DITCO</t>
  </si>
  <si>
    <t>544151,</t>
  </si>
  <si>
    <t>Creative Newtech Ltd.</t>
  </si>
  <si>
    <t>ACI,</t>
  </si>
  <si>
    <t>East Buildtech Ltd.</t>
  </si>
  <si>
    <t>EASTBUILD</t>
  </si>
  <si>
    <t>539800,</t>
  </si>
  <si>
    <t>CreditAccess Grameen Ltd.</t>
  </si>
  <si>
    <t>CREDITACC</t>
  </si>
  <si>
    <t>CREDITACC,</t>
  </si>
  <si>
    <t>Elpro International Ltd.</t>
  </si>
  <si>
    <t>ELPROINTL</t>
  </si>
  <si>
    <t>CHEMBOND,</t>
  </si>
  <si>
    <t>Credo Brands Marketing Ltd.</t>
  </si>
  <si>
    <t>MUFTI</t>
  </si>
  <si>
    <t>VASA,</t>
  </si>
  <si>
    <t>Epsom Properties Ltd.</t>
  </si>
  <si>
    <t>EPSOMPRO</t>
  </si>
  <si>
    <t>540395,</t>
  </si>
  <si>
    <t>Crest Ventures Ltd.</t>
  </si>
  <si>
    <t>CREST</t>
  </si>
  <si>
    <t>CREST,</t>
  </si>
  <si>
    <t>Espire Hospitality Ltd.</t>
  </si>
  <si>
    <t>ESPIRE</t>
  </si>
  <si>
    <t>506365,</t>
  </si>
  <si>
    <t>ETT Ltd.</t>
  </si>
  <si>
    <t>ETT</t>
  </si>
  <si>
    <t>CHEMPLASTS,</t>
  </si>
  <si>
    <t>CRISIL Ltd.</t>
  </si>
  <si>
    <t>CRISIL</t>
  </si>
  <si>
    <t>524548,</t>
  </si>
  <si>
    <t>Garnet Construction Ltd.</t>
  </si>
  <si>
    <t>GARNET</t>
  </si>
  <si>
    <t>539011,</t>
  </si>
  <si>
    <t>Crompton Greaves Consumer Electricals Ltd.</t>
  </si>
  <si>
    <t>CROMPTON</t>
  </si>
  <si>
    <t>Crop Life Science Ltd.</t>
  </si>
  <si>
    <t>CLSL</t>
  </si>
  <si>
    <t>PNC,</t>
  </si>
  <si>
    <t>Gothi Plascon (India) Ltd.</t>
  </si>
  <si>
    <t>GOTHIPL</t>
  </si>
  <si>
    <t>CHEVIOT,</t>
  </si>
  <si>
    <t>Grovy India Ltd.</t>
  </si>
  <si>
    <t>GROVY</t>
  </si>
  <si>
    <t>532992,</t>
  </si>
  <si>
    <t>Gyan Developers &amp; Builders Ltd.</t>
  </si>
  <si>
    <t>GYANDEV</t>
  </si>
  <si>
    <t>Hampton Sky Realty Ltd.</t>
  </si>
  <si>
    <t>HAMPTON</t>
  </si>
  <si>
    <t>530427,</t>
  </si>
  <si>
    <t>Hazoor Multi Projects Ltd.</t>
  </si>
  <si>
    <t>HAZOOR</t>
  </si>
  <si>
    <t>526546,</t>
  </si>
  <si>
    <t>HB Estate Developers Ltd.</t>
  </si>
  <si>
    <t>HBESD</t>
  </si>
  <si>
    <t>Crown Lifters Ltd.</t>
  </si>
  <si>
    <t>CROWN</t>
  </si>
  <si>
    <t>ASHIANA,</t>
  </si>
  <si>
    <t>CSB Bank Ltd.</t>
  </si>
  <si>
    <t>CSBBANK</t>
  </si>
  <si>
    <t>543678,</t>
  </si>
  <si>
    <t>CSL Finance Ltd.</t>
  </si>
  <si>
    <t>CSLFINANCE</t>
  </si>
  <si>
    <t>CSLFINANCE,</t>
  </si>
  <si>
    <t>533289,</t>
  </si>
  <si>
    <t>IITL Projects Ltd.</t>
  </si>
  <si>
    <t>IITLPROJ</t>
  </si>
  <si>
    <t>519477,</t>
  </si>
  <si>
    <t>Ishaan Infrastructures &amp; Shelters Ltd.</t>
  </si>
  <si>
    <t>IISL</t>
  </si>
  <si>
    <t>542678,</t>
  </si>
  <si>
    <t>Jainco Projects (India) Ltd.</t>
  </si>
  <si>
    <t>JAINCO</t>
  </si>
  <si>
    <t>CIEINDIA,</t>
  </si>
  <si>
    <t>Kamanwala Housing Construction Ltd.</t>
  </si>
  <si>
    <t>KAMANWALA</t>
  </si>
  <si>
    <t>CIGNITITEC,</t>
  </si>
  <si>
    <t>Cubex Tubings Ltd.</t>
  </si>
  <si>
    <t>CUBEXTUB</t>
  </si>
  <si>
    <t>PGIL,</t>
  </si>
  <si>
    <t>KCL Infra Projects Ltd.</t>
  </si>
  <si>
    <t>KCLINFRA</t>
  </si>
  <si>
    <t>526373,</t>
  </si>
  <si>
    <t>Cummins India Ltd.</t>
  </si>
  <si>
    <t>CUMMINSIND</t>
  </si>
  <si>
    <t>Diesel Engines</t>
  </si>
  <si>
    <t>KMF Builders &amp; Developers Ltd.</t>
  </si>
  <si>
    <t>KMFBLDR</t>
  </si>
  <si>
    <t>CINEVISTA,</t>
  </si>
  <si>
    <t>Cupid Ltd.</t>
  </si>
  <si>
    <t>CUPID</t>
  </si>
  <si>
    <t>543539,</t>
  </si>
  <si>
    <t>Cyber Media (India) Ltd.</t>
  </si>
  <si>
    <t>CYBERMEDIA</t>
  </si>
  <si>
    <t>SEAMECLTD,</t>
  </si>
  <si>
    <t>Cyber Media Research &amp; Services Ltd.</t>
  </si>
  <si>
    <t>CMRSL</t>
  </si>
  <si>
    <t>514264,</t>
  </si>
  <si>
    <t>CyberTech Systems And Software Ltd.</t>
  </si>
  <si>
    <t>CYBERTECH</t>
  </si>
  <si>
    <t>CBAZAAR,</t>
  </si>
  <si>
    <t>Cyient DLM Ltd.</t>
  </si>
  <si>
    <t>CYIENTDLM</t>
  </si>
  <si>
    <t>EUROTEXIND,</t>
  </si>
  <si>
    <t>Martin Burn Ltd.</t>
  </si>
  <si>
    <t>MARBU</t>
  </si>
  <si>
    <t>Maruti Infrastructure Ltd.</t>
  </si>
  <si>
    <t>MAINFRA</t>
  </si>
  <si>
    <t>507515,</t>
  </si>
  <si>
    <t>Cyient Ltd.</t>
  </si>
  <si>
    <t>CYIENT</t>
  </si>
  <si>
    <t>509040,</t>
  </si>
  <si>
    <t>Maxheights Infrastructure Ltd.</t>
  </si>
  <si>
    <t>MAXHEIGHTS</t>
  </si>
  <si>
    <t>543435,</t>
  </si>
  <si>
    <t>Mega Nirman &amp; Industries Ltd.</t>
  </si>
  <si>
    <t>MNIL</t>
  </si>
  <si>
    <t>540310,</t>
  </si>
  <si>
    <t>Narendra Properties Ltd.</t>
  </si>
  <si>
    <t>NARPROP</t>
  </si>
  <si>
    <t>Navkar Urbanstructure Ltd.</t>
  </si>
  <si>
    <t>NAVKAR</t>
  </si>
  <si>
    <t>CLEAN,</t>
  </si>
  <si>
    <t>D-Link (India) Ltd.</t>
  </si>
  <si>
    <t>DLINKINDIA</t>
  </si>
  <si>
    <t>IT - Networking</t>
  </si>
  <si>
    <t>D.B. Corp Ltd.</t>
  </si>
  <si>
    <t>DBCORP</t>
  </si>
  <si>
    <t>SECMARK,</t>
  </si>
  <si>
    <t>D.P. Abhushan Ltd.</t>
  </si>
  <si>
    <t>DPABHUSHAN</t>
  </si>
  <si>
    <t>Diamond &amp; Jewellery</t>
  </si>
  <si>
    <t>DUGLOBAL,</t>
  </si>
  <si>
    <t>Nimbus Projects Ltd.</t>
  </si>
  <si>
    <t>NIMBSPROJ</t>
  </si>
  <si>
    <t>CMMIPL,</t>
  </si>
  <si>
    <t>D.P. Wires Ltd.</t>
  </si>
  <si>
    <t>DPWIRES</t>
  </si>
  <si>
    <t>526479,</t>
  </si>
  <si>
    <t>Dabur India Ltd.</t>
  </si>
  <si>
    <t>DABUR</t>
  </si>
  <si>
    <t>503776,</t>
  </si>
  <si>
    <t>Dalmia Bharat Ltd.</t>
  </si>
  <si>
    <t>DALBHARAT</t>
  </si>
  <si>
    <t>AVPINFRA,</t>
  </si>
  <si>
    <t>Dalmia Bharat Sugar And Industries Ltd.</t>
  </si>
  <si>
    <t>DALMIASUG</t>
  </si>
  <si>
    <t>Patidar Buildcon Ltd.</t>
  </si>
  <si>
    <t>PATIDAR</t>
  </si>
  <si>
    <t>520131,</t>
  </si>
  <si>
    <t>DAM Capital Advisors Ltd.</t>
  </si>
  <si>
    <t>DAMCAPITAL</t>
  </si>
  <si>
    <t>DAMCAPITAL,</t>
  </si>
  <si>
    <t>JCHAC,</t>
  </si>
  <si>
    <t>Damodar Industries Ltd.</t>
  </si>
  <si>
    <t>DAMODARIND</t>
  </si>
  <si>
    <t>500422,</t>
  </si>
  <si>
    <t>Premier Energy &amp; Infrastructure Ltd.</t>
  </si>
  <si>
    <t>PEIL</t>
  </si>
  <si>
    <t>COCHINSHIP,</t>
  </si>
  <si>
    <t>Prerna Infrabuild Ltd.</t>
  </si>
  <si>
    <t>PRERINFRA</t>
  </si>
  <si>
    <t>COFFEEDAY,</t>
  </si>
  <si>
    <t>Dangee Dums Ltd.</t>
  </si>
  <si>
    <t>DANGEE</t>
  </si>
  <si>
    <t>DEEM,</t>
  </si>
  <si>
    <t>Prime Property Development Corporation Ltd.</t>
  </si>
  <si>
    <t>PRIMEPRO</t>
  </si>
  <si>
    <t>Danish Power Ltd.</t>
  </si>
  <si>
    <t>DANISH</t>
  </si>
  <si>
    <t>FORCEMOT,</t>
  </si>
  <si>
    <t>Data Patterns (India) Ltd.</t>
  </si>
  <si>
    <t>DATAPATTNS</t>
  </si>
  <si>
    <t>DMCC,</t>
  </si>
  <si>
    <t>Datamatics Global Services Ltd.</t>
  </si>
  <si>
    <t>DATAMATICS</t>
  </si>
  <si>
    <t>NETWEB,</t>
  </si>
  <si>
    <t>Davangere Sugar Company Ltd.</t>
  </si>
  <si>
    <t>DAVANGERE</t>
  </si>
  <si>
    <t>PVV Infra Ltd.</t>
  </si>
  <si>
    <t>PVVINFRA</t>
  </si>
  <si>
    <t>Quantum Build-Tech Ltd.</t>
  </si>
  <si>
    <t>QUANTBUILD</t>
  </si>
  <si>
    <t>DB (International) Stock Brokers Ltd.</t>
  </si>
  <si>
    <t>DBSTOCKBRO</t>
  </si>
  <si>
    <t>DBSTOCKBRO,</t>
  </si>
  <si>
    <t>MACOBSTECH,</t>
  </si>
  <si>
    <t>Radhe Developers (India) Ltd.</t>
  </si>
  <si>
    <t>RADHEDE</t>
  </si>
  <si>
    <t>COMMITTED,</t>
  </si>
  <si>
    <t>Raghunath International Ltd.</t>
  </si>
  <si>
    <t>RAGHUNAT</t>
  </si>
  <si>
    <t>531041,</t>
  </si>
  <si>
    <t>Rainbow Foundations Ltd.</t>
  </si>
  <si>
    <t>RAINBOWF</t>
  </si>
  <si>
    <t>COMPINFO,</t>
  </si>
  <si>
    <t>Rander Corporation Ltd.</t>
  </si>
  <si>
    <t>RANDER</t>
  </si>
  <si>
    <t>COMPUSOFT,</t>
  </si>
  <si>
    <t>Rap Media Ltd.</t>
  </si>
  <si>
    <t>RAP</t>
  </si>
  <si>
    <t>Ratnabhumi Developers Ltd.</t>
  </si>
  <si>
    <t>RATNABHUMI</t>
  </si>
  <si>
    <t>507833,</t>
  </si>
  <si>
    <t>DC Infotech and Communication Ltd.</t>
  </si>
  <si>
    <t>DCI</t>
  </si>
  <si>
    <t>RDB Infrastructure And Power Ltd.</t>
  </si>
  <si>
    <t>RDBRIL</t>
  </si>
  <si>
    <t>522231,</t>
  </si>
  <si>
    <t>Real Eco-Energy Ltd.</t>
  </si>
  <si>
    <t>REALECO</t>
  </si>
  <si>
    <t>CONCORDBIO,</t>
  </si>
  <si>
    <t>Rodium Realty Ltd.</t>
  </si>
  <si>
    <t>RODIUM</t>
  </si>
  <si>
    <t>543619,</t>
  </si>
  <si>
    <t>RTCL Ltd.</t>
  </si>
  <si>
    <t>RAGHUTOB</t>
  </si>
  <si>
    <t>538965,</t>
  </si>
  <si>
    <t>S&amp;T Corporation Ltd.</t>
  </si>
  <si>
    <t>STCORP</t>
  </si>
  <si>
    <t>CEWATER,</t>
  </si>
  <si>
    <t>SAB Industries Ltd.</t>
  </si>
  <si>
    <t>SAB</t>
  </si>
  <si>
    <t>539991,</t>
  </si>
  <si>
    <t>Samor Reality Ltd.</t>
  </si>
  <si>
    <t>SAMOR</t>
  </si>
  <si>
    <t>CONFIPET,</t>
  </si>
  <si>
    <t>Sanathnagar Enterprises Ltd.</t>
  </si>
  <si>
    <t>SEL</t>
  </si>
  <si>
    <t>Sanmit Infra Ltd.</t>
  </si>
  <si>
    <t>SANINFRA</t>
  </si>
  <si>
    <t>CCCL,</t>
  </si>
  <si>
    <t>Satchmo Holdings Ltd.</t>
  </si>
  <si>
    <t>SATCH</t>
  </si>
  <si>
    <t>Shashijit Infraprojects Ltd.</t>
  </si>
  <si>
    <t>SHASHIJIT</t>
  </si>
  <si>
    <t>523844,</t>
  </si>
  <si>
    <t>Shervani Industrial Syndicate Ltd.</t>
  </si>
  <si>
    <t>SHERVANI</t>
  </si>
  <si>
    <t>CONCOR,</t>
  </si>
  <si>
    <t>DCB Bank Ltd.</t>
  </si>
  <si>
    <t>DCBBANK</t>
  </si>
  <si>
    <t>AMBUJACEM,</t>
  </si>
  <si>
    <t>Shri Krishna Devcon Ltd.</t>
  </si>
  <si>
    <t>SHRIKRISH</t>
  </si>
  <si>
    <t>531067,</t>
  </si>
  <si>
    <t>DCG Cables &amp; Wires Ltd.</t>
  </si>
  <si>
    <t>DCG</t>
  </si>
  <si>
    <t>526433,</t>
  </si>
  <si>
    <t>Shristi Infrastructure Development Corporation Ltd.</t>
  </si>
  <si>
    <t>SHRISTI</t>
  </si>
  <si>
    <t>531460,</t>
  </si>
  <si>
    <t>DCM Financial Services Ltd.</t>
  </si>
  <si>
    <t>DCMFINSERV</t>
  </si>
  <si>
    <t>DCMFINSERV,</t>
  </si>
  <si>
    <t>514360,</t>
  </si>
  <si>
    <t>Sikozy Realtors Ltd.</t>
  </si>
  <si>
    <t>SIKOZY</t>
  </si>
  <si>
    <t>Skyline Millars Ltd.</t>
  </si>
  <si>
    <t>SKYLMILAR</t>
  </si>
  <si>
    <t>CONTI,</t>
  </si>
  <si>
    <t>Skyline Ventures India Ltd.</t>
  </si>
  <si>
    <t>SKILVEN</t>
  </si>
  <si>
    <t>CONTROLPR,</t>
  </si>
  <si>
    <t>DCM Ltd.</t>
  </si>
  <si>
    <t>DCM</t>
  </si>
  <si>
    <t>532410,</t>
  </si>
  <si>
    <t>SSPDL Ltd.</t>
  </si>
  <si>
    <t>SSPDL</t>
  </si>
  <si>
    <t>Steel Strips Infrastructures Ltd.</t>
  </si>
  <si>
    <t>STLSTRINF</t>
  </si>
  <si>
    <t>524506,</t>
  </si>
  <si>
    <t>Sterling Green Woods Ltd.</t>
  </si>
  <si>
    <t>STRGRENWO</t>
  </si>
  <si>
    <t>530755,</t>
  </si>
  <si>
    <t>DCM Nouvelle Ltd.</t>
  </si>
  <si>
    <t>DCMNVL</t>
  </si>
  <si>
    <t>539278,</t>
  </si>
  <si>
    <t>DCM Shriram Industries Ltd.</t>
  </si>
  <si>
    <t>DCMSRIND</t>
  </si>
  <si>
    <t>STARPAPER,</t>
  </si>
  <si>
    <t>Supreme Holdings &amp; Hospitality (India) Ltd.</t>
  </si>
  <si>
    <t>SUPREME</t>
  </si>
  <si>
    <t>530545,</t>
  </si>
  <si>
    <t>DCM Shriram Ltd.</t>
  </si>
  <si>
    <t>DCMSHRIRAM</t>
  </si>
  <si>
    <t>540204,</t>
  </si>
  <si>
    <t>DCW Ltd.</t>
  </si>
  <si>
    <t>DCW</t>
  </si>
  <si>
    <t>BHARATFORG,</t>
  </si>
  <si>
    <t>SV Global Mill Ltd.</t>
  </si>
  <si>
    <t>SVGLOBAL</t>
  </si>
  <si>
    <t>COSMOFIRST,</t>
  </si>
  <si>
    <t>DCX Systems Ltd.</t>
  </si>
  <si>
    <t>DCXINDIA</t>
  </si>
  <si>
    <t>DE Neers Tools Ltd.</t>
  </si>
  <si>
    <t>DENEERS</t>
  </si>
  <si>
    <t>GUJGASLTD,</t>
  </si>
  <si>
    <t>Thakkers Developers Ltd.</t>
  </si>
  <si>
    <t>THAKDEV</t>
  </si>
  <si>
    <t>CCHHL,</t>
  </si>
  <si>
    <t>De Nora India Ltd.</t>
  </si>
  <si>
    <t>DENORA</t>
  </si>
  <si>
    <t>541741,</t>
  </si>
  <si>
    <t>Tirupati Sarjan Ltd.</t>
  </si>
  <si>
    <t>TIRSARJ</t>
  </si>
  <si>
    <t>CPS,</t>
  </si>
  <si>
    <t>Debock Industries Ltd.</t>
  </si>
  <si>
    <t>DIL</t>
  </si>
  <si>
    <t>524564,</t>
  </si>
  <si>
    <t>Deccan Cements Ltd.</t>
  </si>
  <si>
    <t>DECCANCE</t>
  </si>
  <si>
    <t>AVROIND,</t>
  </si>
  <si>
    <t>UTL Industries Ltd.</t>
  </si>
  <si>
    <t>UTLINDS</t>
  </si>
  <si>
    <t>512093,</t>
  </si>
  <si>
    <t>Deccan Transcon Leasing Ltd.</t>
  </si>
  <si>
    <t>DECCANTRAN</t>
  </si>
  <si>
    <t>SIGNPOST,</t>
  </si>
  <si>
    <t>Variman Global Enterprises Ltd.</t>
  </si>
  <si>
    <t>VARIMAN</t>
  </si>
  <si>
    <t>509472,</t>
  </si>
  <si>
    <t>Victoria Mills Ltd.</t>
  </si>
  <si>
    <t>VICTMILL</t>
  </si>
  <si>
    <t>CRAYONS,</t>
  </si>
  <si>
    <t>Dee Development Engineers Ltd</t>
  </si>
  <si>
    <t>DEEDEV</t>
  </si>
  <si>
    <t>507960,</t>
  </si>
  <si>
    <t>Vivid Mercantile Ltd.</t>
  </si>
  <si>
    <t>VIVIDM</t>
  </si>
  <si>
    <t>CREATIVEYE,</t>
  </si>
  <si>
    <t>Deem Roll-Tech Ltd.</t>
  </si>
  <si>
    <t>DEEM</t>
  </si>
  <si>
    <t>519566,</t>
  </si>
  <si>
    <t>Yogi Infra Projects Ltd.</t>
  </si>
  <si>
    <t>YOGISUNG</t>
  </si>
  <si>
    <t>CREATIVE,</t>
  </si>
  <si>
    <t>Yuranus Infrastructure Ltd.</t>
  </si>
  <si>
    <t>YURANUS</t>
  </si>
  <si>
    <t>Deep Industries Ltd.</t>
  </si>
  <si>
    <t>DEEPINDS</t>
  </si>
  <si>
    <t>539195,</t>
  </si>
  <si>
    <t>Deepak Builders &amp; Engineers India Ltd.</t>
  </si>
  <si>
    <t>DBEIL</t>
  </si>
  <si>
    <t>MUFTI,</t>
  </si>
  <si>
    <t>Deepak Fertilisers And Petrochemicals Corporation Ltd.</t>
  </si>
  <si>
    <t>DEEPAKFERT</t>
  </si>
  <si>
    <t>531840,</t>
  </si>
  <si>
    <t>Deepak Nitrite Ltd.</t>
  </si>
  <si>
    <t>DEEPAKNTR</t>
  </si>
  <si>
    <t>BHEL,</t>
  </si>
  <si>
    <t>Delaplex Ltd.</t>
  </si>
  <si>
    <t>DELAPLEX</t>
  </si>
  <si>
    <t>NAHARPOLY,</t>
  </si>
  <si>
    <t>Brady &amp; Morris Engineering Company Ltd.</t>
  </si>
  <si>
    <t>BRADYM</t>
  </si>
  <si>
    <t>CRISIL,</t>
  </si>
  <si>
    <t>Delhivery Ltd.</t>
  </si>
  <si>
    <t>DELHIVERY</t>
  </si>
  <si>
    <t>DPEL,</t>
  </si>
  <si>
    <t>Comrade Appliances Ltd.</t>
  </si>
  <si>
    <t>COMRADE</t>
  </si>
  <si>
    <t>CROMPTON,</t>
  </si>
  <si>
    <t>Delphi World Money Ltd.</t>
  </si>
  <si>
    <t>DELPHIFX</t>
  </si>
  <si>
    <t>DELPHIFX,</t>
  </si>
  <si>
    <t>507759,</t>
  </si>
  <si>
    <t>Delta Corp Ltd.</t>
  </si>
  <si>
    <t>DELTACORP</t>
  </si>
  <si>
    <t>ADANIPOWER,</t>
  </si>
  <si>
    <t>Delta Manufacturing Ltd.</t>
  </si>
  <si>
    <t>DELTAMAGNT</t>
  </si>
  <si>
    <t>FAIRCHEMOR,</t>
  </si>
  <si>
    <t>Den Networks Ltd.</t>
  </si>
  <si>
    <t>DEN</t>
  </si>
  <si>
    <t>XPROINDIA,</t>
  </si>
  <si>
    <t>Destiny Logistics &amp; Infra Ltd.</t>
  </si>
  <si>
    <t>DESTINY</t>
  </si>
  <si>
    <t>ORIENTHOT,</t>
  </si>
  <si>
    <t>Dev Information Technology Ltd.</t>
  </si>
  <si>
    <t>DEVIT</t>
  </si>
  <si>
    <t>NETWORK18,</t>
  </si>
  <si>
    <t>Gorani Industries Ltd.</t>
  </si>
  <si>
    <t>GORANIN</t>
  </si>
  <si>
    <t>CUMMINSIND,</t>
  </si>
  <si>
    <t>Hawkins Cookers Ltd.</t>
  </si>
  <si>
    <t>HAWKINCOOK</t>
  </si>
  <si>
    <t>Devyani International Ltd.</t>
  </si>
  <si>
    <t>DEVYANI</t>
  </si>
  <si>
    <t>539559,</t>
  </si>
  <si>
    <t>Dhampur Bio Organics Ltd.</t>
  </si>
  <si>
    <t>DBOL</t>
  </si>
  <si>
    <t>531616,</t>
  </si>
  <si>
    <t>Dhampur Sugar Mills Ltd.</t>
  </si>
  <si>
    <t>DHAMPURSUG</t>
  </si>
  <si>
    <t>540492,</t>
  </si>
  <si>
    <t>Dhani Services Ltd.</t>
  </si>
  <si>
    <t>DHANI</t>
  </si>
  <si>
    <t>DHANI,</t>
  </si>
  <si>
    <t>LOKESHMACH,</t>
  </si>
  <si>
    <t>Singer India Ltd.</t>
  </si>
  <si>
    <t>SINGER</t>
  </si>
  <si>
    <t>CMRSL,</t>
  </si>
  <si>
    <t>Dhanlaxmi Bank Ltd.</t>
  </si>
  <si>
    <t>DHANBANK</t>
  </si>
  <si>
    <t>530133,</t>
  </si>
  <si>
    <t>Dhanlaxmi Crop Science Ltd.</t>
  </si>
  <si>
    <t>DHANLAXMI</t>
  </si>
  <si>
    <t>Dhanuka Agritech Ltd.</t>
  </si>
  <si>
    <t>DHANUKA</t>
  </si>
  <si>
    <t>543375,</t>
  </si>
  <si>
    <t>Dhanuka Realty Ltd.</t>
  </si>
  <si>
    <t>DRL</t>
  </si>
  <si>
    <t>CCL,</t>
  </si>
  <si>
    <t>Dhariwalcorp Ltd.</t>
  </si>
  <si>
    <t>DHARIWAL</t>
  </si>
  <si>
    <t>Dharmaj Crop Guard Ltd.</t>
  </si>
  <si>
    <t>DHARMAJ</t>
  </si>
  <si>
    <t>544295,</t>
  </si>
  <si>
    <t>Catvision Ltd.</t>
  </si>
  <si>
    <t>CATVISION</t>
  </si>
  <si>
    <t>DPWIRES,</t>
  </si>
  <si>
    <t>Dhruv Consultancy Services Ltd.</t>
  </si>
  <si>
    <t>DHRUV</t>
  </si>
  <si>
    <t>HDIL,</t>
  </si>
  <si>
    <t>Dhunseri Investments Ltd.</t>
  </si>
  <si>
    <t>DHUNINV</t>
  </si>
  <si>
    <t>DHUNINV,</t>
  </si>
  <si>
    <t>JPPOWER,</t>
  </si>
  <si>
    <t>Dhunseri Tea &amp; Industries Ltd.</t>
  </si>
  <si>
    <t>DTIL</t>
  </si>
  <si>
    <t>Dhunseri Ventures Ltd.</t>
  </si>
  <si>
    <t>DVL</t>
  </si>
  <si>
    <t>Diamines &amp; Chemicals Ltd.</t>
  </si>
  <si>
    <t>DIAMINESQ</t>
  </si>
  <si>
    <t>524663,</t>
  </si>
  <si>
    <t>Salora International Ltd.</t>
  </si>
  <si>
    <t>SALORAINTL</t>
  </si>
  <si>
    <t>DALMIASUG,</t>
  </si>
  <si>
    <t>Thakral Services (India) Ltd.</t>
  </si>
  <si>
    <t>THAKRAL</t>
  </si>
  <si>
    <t>Diamond Power Infrastructure Ltd.</t>
  </si>
  <si>
    <t>DIACABS</t>
  </si>
  <si>
    <t>ASKAUTOLTD,</t>
  </si>
  <si>
    <t>Tasty Dairy Specialities Ltd.</t>
  </si>
  <si>
    <t>TDSL</t>
  </si>
  <si>
    <t>DANGEE,</t>
  </si>
  <si>
    <t>DIC India Ltd.</t>
  </si>
  <si>
    <t>DICIND</t>
  </si>
  <si>
    <t>541096,</t>
  </si>
  <si>
    <t>Diensten Tech Ltd.</t>
  </si>
  <si>
    <t>DTL</t>
  </si>
  <si>
    <t>513119,</t>
  </si>
  <si>
    <t>Chatha Foods Ltd.</t>
  </si>
  <si>
    <t>CHATHA</t>
  </si>
  <si>
    <t>540361,</t>
  </si>
  <si>
    <t>Dindigul Farm Product Ltd.</t>
  </si>
  <si>
    <t>DFPL</t>
  </si>
  <si>
    <t>Goel Food Products Ltd.</t>
  </si>
  <si>
    <t>GOEL</t>
  </si>
  <si>
    <t>539884,</t>
  </si>
  <si>
    <t>Diffusion Engineers Ltd.</t>
  </si>
  <si>
    <t>DIFFNKG</t>
  </si>
  <si>
    <t>Digicontent Ltd.</t>
  </si>
  <si>
    <t>DGCONTENT</t>
  </si>
  <si>
    <t>SECURCRED,</t>
  </si>
  <si>
    <t>Digidrive Distributors Ltd.</t>
  </si>
  <si>
    <t>DIGIDRIVE</t>
  </si>
  <si>
    <t>531962,</t>
  </si>
  <si>
    <t>Jetmall Spices and Masala Ltd.</t>
  </si>
  <si>
    <t>JETMALL</t>
  </si>
  <si>
    <t>DAVANGERE,</t>
  </si>
  <si>
    <t>Jhandewalas Foods Ltd.</t>
  </si>
  <si>
    <t>JFL</t>
  </si>
  <si>
    <t>Digikore Studios Ltd.</t>
  </si>
  <si>
    <t>DIGIKORE</t>
  </si>
  <si>
    <t>INDSWFTLTD,</t>
  </si>
  <si>
    <t>Digispice Technologies Ltd.</t>
  </si>
  <si>
    <t>DIGISPICE</t>
  </si>
  <si>
    <t>NPST,</t>
  </si>
  <si>
    <t>Digjam Ltd.</t>
  </si>
  <si>
    <t>DIGJAMLMTD</t>
  </si>
  <si>
    <t>Diligent Media Corporation Ltd.</t>
  </si>
  <si>
    <t>DNAMEDIA</t>
  </si>
  <si>
    <t>SECURKLOUD,</t>
  </si>
  <si>
    <t>Sampre Nutritions Ltd.</t>
  </si>
  <si>
    <t>SAMPRE</t>
  </si>
  <si>
    <t>DCM,</t>
  </si>
  <si>
    <t>Sonalis Consumer Products Ltd.</t>
  </si>
  <si>
    <t>SONALIS</t>
  </si>
  <si>
    <t>DCMNVL,</t>
  </si>
  <si>
    <t>Dilip Buildcon Ltd.</t>
  </si>
  <si>
    <t>DBL</t>
  </si>
  <si>
    <t>GMMPFAUDLR,</t>
  </si>
  <si>
    <t>Dish TV India Ltd.</t>
  </si>
  <si>
    <t>DISHTV</t>
  </si>
  <si>
    <t>XTGLOBAL,</t>
  </si>
  <si>
    <t>Dishman Carbogen Amcis Ltd.</t>
  </si>
  <si>
    <t>DCAL</t>
  </si>
  <si>
    <t>522257,</t>
  </si>
  <si>
    <t>Divgi Torqtransfer Systems Ltd.</t>
  </si>
  <si>
    <t>DIVGIITTS</t>
  </si>
  <si>
    <t>GAYAHWS,</t>
  </si>
  <si>
    <t>Divi's Laboratories Ltd.</t>
  </si>
  <si>
    <t>DIVISLAB</t>
  </si>
  <si>
    <t>RAJPUTANA,</t>
  </si>
  <si>
    <t>Anjani Foods Ltd.</t>
  </si>
  <si>
    <t>ANJANIFOODS</t>
  </si>
  <si>
    <t>DENEERS,</t>
  </si>
  <si>
    <t>ANS Industries Ltd.</t>
  </si>
  <si>
    <t>ANSINDUS</t>
  </si>
  <si>
    <t>DENORA,</t>
  </si>
  <si>
    <t>Divine Power Energy Ltd.</t>
  </si>
  <si>
    <t>DPEL</t>
  </si>
  <si>
    <t>PFIZER,</t>
  </si>
  <si>
    <t>Aveer Foods Ltd.</t>
  </si>
  <si>
    <t>AVEER</t>
  </si>
  <si>
    <t>DECCANCE,</t>
  </si>
  <si>
    <t>Divyadhan Recycling Industries Ltd.</t>
  </si>
  <si>
    <t>DIVYADHAN</t>
  </si>
  <si>
    <t>Bambino Agro Industries Ltd.</t>
  </si>
  <si>
    <t>BAMBINO</t>
  </si>
  <si>
    <t>542248,</t>
  </si>
  <si>
    <t>Dixon Technologies (India) Ltd.</t>
  </si>
  <si>
    <t>DIXON</t>
  </si>
  <si>
    <t>517514,</t>
  </si>
  <si>
    <t>DJ Mediaprint &amp; Logistics Ltd.</t>
  </si>
  <si>
    <t>DJML</t>
  </si>
  <si>
    <t>SEJALLTD,</t>
  </si>
  <si>
    <t>Ceeta Industries Ltd.</t>
  </si>
  <si>
    <t>CEETAIN</t>
  </si>
  <si>
    <t>524752,</t>
  </si>
  <si>
    <t>DK Enterprises Global Ltd.</t>
  </si>
  <si>
    <t>DKEGL</t>
  </si>
  <si>
    <t>POLYPLEX,</t>
  </si>
  <si>
    <t>Chordia Food Products Ltd.</t>
  </si>
  <si>
    <t>CHORDIA</t>
  </si>
  <si>
    <t>539405,</t>
  </si>
  <si>
    <t>DLF Ltd.</t>
  </si>
  <si>
    <t>DLF</t>
  </si>
  <si>
    <t>CHAVDA,</t>
  </si>
  <si>
    <t>DMCC Speciality Chemicals Ltd.</t>
  </si>
  <si>
    <t>DMCC</t>
  </si>
  <si>
    <t>BPCL,</t>
  </si>
  <si>
    <t>Docmode Health Technologies Ltd.</t>
  </si>
  <si>
    <t>DHTL</t>
  </si>
  <si>
    <t>Dodla Dairy Ltd</t>
  </si>
  <si>
    <t>DODLA</t>
  </si>
  <si>
    <t>DEEPINDS,</t>
  </si>
  <si>
    <t>Dolat Algotech Ltd.</t>
  </si>
  <si>
    <t>DOLATALGO</t>
  </si>
  <si>
    <t>DOLATALGO,</t>
  </si>
  <si>
    <t>LTFOODS,</t>
  </si>
  <si>
    <t>Flex Foods Ltd.</t>
  </si>
  <si>
    <t>FLEXFO</t>
  </si>
  <si>
    <t>DBEIL,</t>
  </si>
  <si>
    <t>Dollar Industries Ltd.</t>
  </si>
  <si>
    <t>DOLLAR</t>
  </si>
  <si>
    <t>SYNCOMF,</t>
  </si>
  <si>
    <t>Gayatri Bio Organics Ltd.</t>
  </si>
  <si>
    <t>GAYATRIBI</t>
  </si>
  <si>
    <t>DEEPAKFERT,</t>
  </si>
  <si>
    <t>Goldcoin Health Foods Ltd.</t>
  </si>
  <si>
    <t>GOLDCOINHF</t>
  </si>
  <si>
    <t>DEEPAKNTR,</t>
  </si>
  <si>
    <t>Dollex Agrotech Ltd.</t>
  </si>
  <si>
    <t>DOLLEX</t>
  </si>
  <si>
    <t>526231,</t>
  </si>
  <si>
    <t>Dolphin Offshore Enterprises (India) Ltd.</t>
  </si>
  <si>
    <t>DOLPHIN</t>
  </si>
  <si>
    <t>PODDARHOUS,</t>
  </si>
  <si>
    <t>DOMS Industries Ltd.</t>
  </si>
  <si>
    <t>DOMS</t>
  </si>
  <si>
    <t>Printing &amp; Stationery</t>
  </si>
  <si>
    <t>SCHAEFFLER,</t>
  </si>
  <si>
    <t>Donear Industries Ltd.</t>
  </si>
  <si>
    <t>DONEAR</t>
  </si>
  <si>
    <t>518075,</t>
  </si>
  <si>
    <t>Dr. Lal Pathlabs Ltd.</t>
  </si>
  <si>
    <t>LALPATHLAB</t>
  </si>
  <si>
    <t>MASTER,</t>
  </si>
  <si>
    <t>Dr. Reddy's Laboratories Ltd.</t>
  </si>
  <si>
    <t>DRREDDY</t>
  </si>
  <si>
    <t>RAJINDLTD,</t>
  </si>
  <si>
    <t>DRC Systems India Ltd.</t>
  </si>
  <si>
    <t>DRCSYSTEMS</t>
  </si>
  <si>
    <t>NEULANDLAB,</t>
  </si>
  <si>
    <t>IB Infotech Enterprises Ltd.</t>
  </si>
  <si>
    <t>IBINFO</t>
  </si>
  <si>
    <t>504240,</t>
  </si>
  <si>
    <t>Dreamfolks Services Ltd.</t>
  </si>
  <si>
    <t>DREAMFOLKS</t>
  </si>
  <si>
    <t>Airport Management Services</t>
  </si>
  <si>
    <t>ACCURACY,</t>
  </si>
  <si>
    <t>Integrated Industries Ltd.</t>
  </si>
  <si>
    <t>IIL</t>
  </si>
  <si>
    <t>537536,</t>
  </si>
  <si>
    <t>Dredging Corporation Of India Ltd.</t>
  </si>
  <si>
    <t>DREDGECORP</t>
  </si>
  <si>
    <t>533014,</t>
  </si>
  <si>
    <t>Drone Destination Ltd.</t>
  </si>
  <si>
    <t>DRONE</t>
  </si>
  <si>
    <t>531812,</t>
  </si>
  <si>
    <t>Kore Foods Ltd.</t>
  </si>
  <si>
    <t>KORE</t>
  </si>
  <si>
    <t>543848,</t>
  </si>
  <si>
    <t>Kothari Fermentation &amp; Biochem Ltd.</t>
  </si>
  <si>
    <t>KFBL</t>
  </si>
  <si>
    <t>531585,</t>
  </si>
  <si>
    <t>Kovilpatti Lakshmi Roller Flour Mills Ltd.</t>
  </si>
  <si>
    <t>KLRFM</t>
  </si>
  <si>
    <t>DEVYANI,</t>
  </si>
  <si>
    <t>DRS Dilip Roadlines Ltd.</t>
  </si>
  <si>
    <t>DRSDILIP</t>
  </si>
  <si>
    <t>531859,</t>
  </si>
  <si>
    <t>KSE Ltd.</t>
  </si>
  <si>
    <t>KSE</t>
  </si>
  <si>
    <t>DBOL,</t>
  </si>
  <si>
    <t>Lotus Chocolate Company Ltd.</t>
  </si>
  <si>
    <t>LOTUSCHO</t>
  </si>
  <si>
    <t>DHAMPURSUG,</t>
  </si>
  <si>
    <t>DSJ Keep Learning Ltd.</t>
  </si>
  <si>
    <t>KEEPLEARN</t>
  </si>
  <si>
    <t>SELMC,</t>
  </si>
  <si>
    <t>Mahaan Foods Ltd.</t>
  </si>
  <si>
    <t>MAHAANF</t>
  </si>
  <si>
    <t>521216,</t>
  </si>
  <si>
    <t>DU Digital Global Ltd.</t>
  </si>
  <si>
    <t>DUGLOBAL</t>
  </si>
  <si>
    <t>SHAHALLOYS,</t>
  </si>
  <si>
    <t>Ducol Organics &amp; Colours Ltd.</t>
  </si>
  <si>
    <t>DUCOL</t>
  </si>
  <si>
    <t>530361,</t>
  </si>
  <si>
    <t>Milkfood Ltd.</t>
  </si>
  <si>
    <t>MLKFOOD</t>
  </si>
  <si>
    <t>Mishtann Foods Ltd.</t>
  </si>
  <si>
    <t>MISHTANN</t>
  </si>
  <si>
    <t>Modern Dairies Ltd.</t>
  </si>
  <si>
    <t>MODAIRY</t>
  </si>
  <si>
    <t>DHANLAXMI,</t>
  </si>
  <si>
    <t>Ducon Infratechnologies Ltd.</t>
  </si>
  <si>
    <t>DUCON</t>
  </si>
  <si>
    <t>511401,</t>
  </si>
  <si>
    <t>MSR Copper Ltd.</t>
  </si>
  <si>
    <t>MSRINDIA</t>
  </si>
  <si>
    <t>DHANUKA,</t>
  </si>
  <si>
    <t>Durlax Top Surface Ltd.</t>
  </si>
  <si>
    <t>DURLAX</t>
  </si>
  <si>
    <t>BASML,</t>
  </si>
  <si>
    <t>Dwarikesh Sugar Industries Ltd.</t>
  </si>
  <si>
    <t>DWARKESH</t>
  </si>
  <si>
    <t>Dynacons Systems &amp; Solutions Ltd.</t>
  </si>
  <si>
    <t>DSSL</t>
  </si>
  <si>
    <t>NDTV,</t>
  </si>
  <si>
    <t>NHC Foods Ltd.</t>
  </si>
  <si>
    <t>NHCFOODS</t>
  </si>
  <si>
    <t>DHARIWAL,</t>
  </si>
  <si>
    <t>Oceanic Foods Ltd.</t>
  </si>
  <si>
    <t>OCEANIC</t>
  </si>
  <si>
    <t>DHARMAJ,</t>
  </si>
  <si>
    <t>Orient Beverages Ltd.</t>
  </si>
  <si>
    <t>ORIBEVER</t>
  </si>
  <si>
    <t>540080,</t>
  </si>
  <si>
    <t>Ovobel Foods Ltd.</t>
  </si>
  <si>
    <t>OVOBELE</t>
  </si>
  <si>
    <t>Dynamatic Technologies Ltd.</t>
  </si>
  <si>
    <t>DYNAMATECH</t>
  </si>
  <si>
    <t>Dynamic Cables Ltd.</t>
  </si>
  <si>
    <t>DYCL</t>
  </si>
  <si>
    <t>512600,</t>
  </si>
  <si>
    <t>Prime Industries Ltd.</t>
  </si>
  <si>
    <t>PRIMIND</t>
  </si>
  <si>
    <t>DHRUV,</t>
  </si>
  <si>
    <t>Puretrop Fruits Ltd.</t>
  </si>
  <si>
    <t>PURETROP</t>
  </si>
  <si>
    <t>Ritesh International Ltd.</t>
  </si>
  <si>
    <t>RITESHIN</t>
  </si>
  <si>
    <t>Saboo Sodium Chloro Ltd.</t>
  </si>
  <si>
    <t>SABOOSOD</t>
  </si>
  <si>
    <t>DTIL,</t>
  </si>
  <si>
    <t>Dynamic Services &amp; Security Ltd.</t>
  </si>
  <si>
    <t>DYNAMIC</t>
  </si>
  <si>
    <t>UNITECH,</t>
  </si>
  <si>
    <t>Dynemic Products Ltd.</t>
  </si>
  <si>
    <t>DYNPRO</t>
  </si>
  <si>
    <t>ELECTHERM,</t>
  </si>
  <si>
    <t>Sayaji Industries Ltd.</t>
  </si>
  <si>
    <t>SAYAJIIND</t>
  </si>
  <si>
    <t>DIAMINESQ,</t>
  </si>
  <si>
    <t>Sharat Industries Ltd.</t>
  </si>
  <si>
    <t>SHINDL</t>
  </si>
  <si>
    <t>DIACABS,</t>
  </si>
  <si>
    <t>E Factor Experiences Ltd.</t>
  </si>
  <si>
    <t>EFACTOR</t>
  </si>
  <si>
    <t>526525,</t>
  </si>
  <si>
    <t>E.I.D. - Parry (India) Ltd.</t>
  </si>
  <si>
    <t>EIDPARRY</t>
  </si>
  <si>
    <t>Spectrum Foods Ltd.</t>
  </si>
  <si>
    <t>SPECFOOD</t>
  </si>
  <si>
    <t>DTL,</t>
  </si>
  <si>
    <t>E2E Networks Ltd.</t>
  </si>
  <si>
    <t>E2E</t>
  </si>
  <si>
    <t>Sunil Agro Foods Ltd.</t>
  </si>
  <si>
    <t>SUNILAGR</t>
  </si>
  <si>
    <t>540811,</t>
  </si>
  <si>
    <t>Super Bakers (India) Ltd.</t>
  </si>
  <si>
    <t>SUPERBAK</t>
  </si>
  <si>
    <t>DGCONTENT,</t>
  </si>
  <si>
    <t>Suryo Foods &amp; Industries Ltd.</t>
  </si>
  <si>
    <t>SURFI</t>
  </si>
  <si>
    <t>DIGIDRIVE,</t>
  </si>
  <si>
    <t>Eastern Silk Industries Ltd.</t>
  </si>
  <si>
    <t>EASTSILK</t>
  </si>
  <si>
    <t>SYNGENE,</t>
  </si>
  <si>
    <t>Tirupati Starch &amp; Chemicals Ltd.</t>
  </si>
  <si>
    <t>TIRUSTA</t>
  </si>
  <si>
    <t>DIGISPICE,</t>
  </si>
  <si>
    <t>Transglobe Foods Ltd.</t>
  </si>
  <si>
    <t>TRANSFD</t>
  </si>
  <si>
    <t>DIGJAMLMTD,</t>
  </si>
  <si>
    <t>Easy Trip Planners Ltd.</t>
  </si>
  <si>
    <t>EASEMYTRIP</t>
  </si>
  <si>
    <t>WINSOL,</t>
  </si>
  <si>
    <t>Uniroyal Marine Exports Ltd.</t>
  </si>
  <si>
    <t>UNRYLMA</t>
  </si>
  <si>
    <t>DNAMEDIA,</t>
  </si>
  <si>
    <t>Universal Starch-Chem Allied Ltd.</t>
  </si>
  <si>
    <t>UNIVSTAR</t>
  </si>
  <si>
    <t>DBL,</t>
  </si>
  <si>
    <t>Vadilal Enterprises Ltd.</t>
  </si>
  <si>
    <t>VADILENT</t>
  </si>
  <si>
    <t>544201,</t>
  </si>
  <si>
    <t>eClerx Services Ltd.</t>
  </si>
  <si>
    <t>ECLERX</t>
  </si>
  <si>
    <t>ADL,</t>
  </si>
  <si>
    <t>Ecos (India) Mobility &amp; Hospitality Ltd.</t>
  </si>
  <si>
    <t>ECOSMOBLTY</t>
  </si>
  <si>
    <t>531847,</t>
  </si>
  <si>
    <t>Virat Crane Industries Ltd.</t>
  </si>
  <si>
    <t>VIRATCRA</t>
  </si>
  <si>
    <t>DISHTV,</t>
  </si>
  <si>
    <t>Edelweiss Financial Services Ltd.</t>
  </si>
  <si>
    <t>EDELWEISS</t>
  </si>
  <si>
    <t>EDELWEISS,</t>
  </si>
  <si>
    <t>539599,</t>
  </si>
  <si>
    <t>Educomp Solutions Ltd.</t>
  </si>
  <si>
    <t>EDUCOMP</t>
  </si>
  <si>
    <t>MTARTECH,</t>
  </si>
  <si>
    <t>Effwa Infra &amp; Research Ltd.</t>
  </si>
  <si>
    <t>EFFWA</t>
  </si>
  <si>
    <t>Eicher Motors Ltd.</t>
  </si>
  <si>
    <t>EICHERMOT</t>
  </si>
  <si>
    <t>ADSL,</t>
  </si>
  <si>
    <t>EIH Associated Hotels Ltd.</t>
  </si>
  <si>
    <t>EIHAHOTELS</t>
  </si>
  <si>
    <t>531810,</t>
  </si>
  <si>
    <t>EIH Ltd.</t>
  </si>
  <si>
    <t>EIHOTEL</t>
  </si>
  <si>
    <t>METALFORGE,</t>
  </si>
  <si>
    <t>Eimco Elecon (India) Ltd.</t>
  </si>
  <si>
    <t>EIMCOELECO</t>
  </si>
  <si>
    <t>Eldeco Housing &amp; Industries Ltd.</t>
  </si>
  <si>
    <t>ELDEHSG</t>
  </si>
  <si>
    <t>531099,</t>
  </si>
  <si>
    <t>CFF Fluid Control Ltd.</t>
  </si>
  <si>
    <t>CFF</t>
  </si>
  <si>
    <t>DJML,</t>
  </si>
  <si>
    <t>Elecon Engineering Company Ltd.</t>
  </si>
  <si>
    <t>ELECON</t>
  </si>
  <si>
    <t>524080,</t>
  </si>
  <si>
    <t>Electro Force (India) Ltd.</t>
  </si>
  <si>
    <t>EFORCE</t>
  </si>
  <si>
    <t>FCONSUMER,</t>
  </si>
  <si>
    <t>Electronics Mart India Ltd.</t>
  </si>
  <si>
    <t>EMIL</t>
  </si>
  <si>
    <t>SHREEOSFM,</t>
  </si>
  <si>
    <t>Electrosteel Castings Ltd.</t>
  </si>
  <si>
    <t>ELECTCAST</t>
  </si>
  <si>
    <t>AUROPHARMA,</t>
  </si>
  <si>
    <t>Electrotherm (India) Ltd.</t>
  </si>
  <si>
    <t>ELECTHERM</t>
  </si>
  <si>
    <t>538919,</t>
  </si>
  <si>
    <t>NIBE Ltd.</t>
  </si>
  <si>
    <t>NIBE</t>
  </si>
  <si>
    <t>DHTL,</t>
  </si>
  <si>
    <t>Elgi Equipments Ltd.</t>
  </si>
  <si>
    <t>ELGIEQUIP</t>
  </si>
  <si>
    <t>509486,</t>
  </si>
  <si>
    <t>Elgi Rubber Company Ltd.</t>
  </si>
  <si>
    <t>ELGIRUBCO</t>
  </si>
  <si>
    <t>543373,</t>
  </si>
  <si>
    <t>Elin Electronics Ltd.</t>
  </si>
  <si>
    <t>ELIN</t>
  </si>
  <si>
    <t>DABUR,</t>
  </si>
  <si>
    <t>Emami Ltd.</t>
  </si>
  <si>
    <t>EMAMILTD</t>
  </si>
  <si>
    <t>MODISONLTD,</t>
  </si>
  <si>
    <t>Emami Paper Mills Ltd.</t>
  </si>
  <si>
    <t>EMAMIPAP</t>
  </si>
  <si>
    <t>PRAXIS,</t>
  </si>
  <si>
    <t>Emami Realty Ltd.</t>
  </si>
  <si>
    <t>EMAMIREAL</t>
  </si>
  <si>
    <t>CHEMCON,</t>
  </si>
  <si>
    <t>Embassy Office Parks REIT</t>
  </si>
  <si>
    <t>EMBASSY</t>
  </si>
  <si>
    <t>EMBASSY,</t>
  </si>
  <si>
    <t>536073,</t>
  </si>
  <si>
    <t>Emcure Pharmaceuticals Ltd.</t>
  </si>
  <si>
    <t>EMCURE</t>
  </si>
  <si>
    <t>Hipolin Ltd.</t>
  </si>
  <si>
    <t>HIPOLIN</t>
  </si>
  <si>
    <t>Detergents &amp; Soaps</t>
  </si>
  <si>
    <t>526783,</t>
  </si>
  <si>
    <t>Standard Surfactants Ltd.</t>
  </si>
  <si>
    <t>STDSFAC</t>
  </si>
  <si>
    <t>LALPATHLAB,</t>
  </si>
  <si>
    <t>Emerald Tyre Manufacturers Ltd.</t>
  </si>
  <si>
    <t>ETML</t>
  </si>
  <si>
    <t>ZENITHEXPO,</t>
  </si>
  <si>
    <t>Dev Labtech Venture Ltd.</t>
  </si>
  <si>
    <t>DEVLAB</t>
  </si>
  <si>
    <t>540144,</t>
  </si>
  <si>
    <t>Emkay Global Financial Services Ltd.</t>
  </si>
  <si>
    <t>EMKAY</t>
  </si>
  <si>
    <t>EMKAY,</t>
  </si>
  <si>
    <t>LUMAXTECH,</t>
  </si>
  <si>
    <t>Emkay Taps And Cutting Tools Ltd.</t>
  </si>
  <si>
    <t>EMKAYTOOLS</t>
  </si>
  <si>
    <t>540938,</t>
  </si>
  <si>
    <t>Emmbi Industries Ltd.</t>
  </si>
  <si>
    <t>EMMBI</t>
  </si>
  <si>
    <t>531869,</t>
  </si>
  <si>
    <t>Varyaa Creations Ltd.</t>
  </si>
  <si>
    <t>VARYAA</t>
  </si>
  <si>
    <t>DRONE,</t>
  </si>
  <si>
    <t>Ashapuri Gold Ornament Ltd.</t>
  </si>
  <si>
    <t>AGOL</t>
  </si>
  <si>
    <t>543713,</t>
  </si>
  <si>
    <t>Asian Star Company Ltd.</t>
  </si>
  <si>
    <t>ASTAR</t>
  </si>
  <si>
    <t>DRSDILIP,</t>
  </si>
  <si>
    <t>Bhakti Gems &amp; Jewellery Ltd.</t>
  </si>
  <si>
    <t>BGJL</t>
  </si>
  <si>
    <t>KEEPLEARN,</t>
  </si>
  <si>
    <t>EMS Ltd.</t>
  </si>
  <si>
    <t>EMSLIMITED</t>
  </si>
  <si>
    <t>GMRAIRPORT,</t>
  </si>
  <si>
    <t>Darshan Orna Ltd.</t>
  </si>
  <si>
    <t>DARSHANORNA</t>
  </si>
  <si>
    <t>DUCOL,</t>
  </si>
  <si>
    <t>Deep Diamond India Ltd.</t>
  </si>
  <si>
    <t>DDIL</t>
  </si>
  <si>
    <t>DUCON,</t>
  </si>
  <si>
    <t>Gautam Gems Ltd.</t>
  </si>
  <si>
    <t>GGL</t>
  </si>
  <si>
    <t>531471,</t>
  </si>
  <si>
    <t>eMudhra Ltd.</t>
  </si>
  <si>
    <t>EMUDHRA</t>
  </si>
  <si>
    <t>ARCHIDPLY,</t>
  </si>
  <si>
    <t>Golkunda Diamonds &amp; Jewellery Ltd.</t>
  </si>
  <si>
    <t>GOLKUNDIA</t>
  </si>
  <si>
    <t>DURLAX,</t>
  </si>
  <si>
    <t>Endurance Technologies Ltd.</t>
  </si>
  <si>
    <t>ENDURANCE</t>
  </si>
  <si>
    <t>Energy Development Company Ltd.</t>
  </si>
  <si>
    <t>ENERGYDEV</t>
  </si>
  <si>
    <t>SAROJA,</t>
  </si>
  <si>
    <t>Kenvi Jewels Ltd.</t>
  </si>
  <si>
    <t>KENVI</t>
  </si>
  <si>
    <t>517437,</t>
  </si>
  <si>
    <t>Energy-Mission Machineries (India) Ltd.</t>
  </si>
  <si>
    <t>EMMIL</t>
  </si>
  <si>
    <t>GIPCL,</t>
  </si>
  <si>
    <t>Minal Industries Ltd.</t>
  </si>
  <si>
    <t>MINALIND</t>
  </si>
  <si>
    <t>DSSL,</t>
  </si>
  <si>
    <t>Mini Diamonds (India) Ltd.</t>
  </si>
  <si>
    <t>MINID</t>
  </si>
  <si>
    <t>DYNAMATECH,</t>
  </si>
  <si>
    <t>Enfuse Solutions Ltd.</t>
  </si>
  <si>
    <t>ENFUSE</t>
  </si>
  <si>
    <t>EMAMIREAL,</t>
  </si>
  <si>
    <t>Engineers India Ltd.</t>
  </si>
  <si>
    <t>ENGINERSIN</t>
  </si>
  <si>
    <t>GAYAPROJ,</t>
  </si>
  <si>
    <t>Narbada Gems And Jewellery Ltd.</t>
  </si>
  <si>
    <t>NARBADA</t>
  </si>
  <si>
    <t>Orosil Smiths India Ltd.</t>
  </si>
  <si>
    <t>OROSMITHS</t>
  </si>
  <si>
    <t>DYNAMIC,</t>
  </si>
  <si>
    <t>Enser Communications Ltd.</t>
  </si>
  <si>
    <t>ENSER</t>
  </si>
  <si>
    <t>APOLLO,</t>
  </si>
  <si>
    <t>Entero Healthcare Solutions Ltd.</t>
  </si>
  <si>
    <t>ENTERO</t>
  </si>
  <si>
    <t>VDEAL,</t>
  </si>
  <si>
    <t>Entertainment Network (India) Ltd.</t>
  </si>
  <si>
    <t>ENIL</t>
  </si>
  <si>
    <t>538521,</t>
  </si>
  <si>
    <t>Enviro Infra Engineers Ltd.</t>
  </si>
  <si>
    <t>EIEL</t>
  </si>
  <si>
    <t>GSMFOILS,</t>
  </si>
  <si>
    <t>Envirotech Systems Ltd.</t>
  </si>
  <si>
    <t>ENVIRO</t>
  </si>
  <si>
    <t>HLVLTD,</t>
  </si>
  <si>
    <t>Royal India Corporation Ltd.</t>
  </si>
  <si>
    <t>ROYALIND</t>
  </si>
  <si>
    <t>E2E,</t>
  </si>
  <si>
    <t>EPACK Durable Ltd.</t>
  </si>
  <si>
    <t>EPACK</t>
  </si>
  <si>
    <t>ABMINTLLTD,</t>
  </si>
  <si>
    <t>Shukra Bullions Ltd.</t>
  </si>
  <si>
    <t>SKRABUL</t>
  </si>
  <si>
    <t>Shukra Jewellery Ltd.</t>
  </si>
  <si>
    <t>SHUKJEW</t>
  </si>
  <si>
    <t>EASTSILK,</t>
  </si>
  <si>
    <t>Epigral Ltd.</t>
  </si>
  <si>
    <t>EPIGRAL</t>
  </si>
  <si>
    <t>BRNL,</t>
  </si>
  <si>
    <t>SM Gold Ltd.</t>
  </si>
  <si>
    <t>SMGOLD</t>
  </si>
  <si>
    <t>Sovereign Diamonds Ltd.</t>
  </si>
  <si>
    <t>SOVERDIA</t>
  </si>
  <si>
    <t>EASEMYTRIP,</t>
  </si>
  <si>
    <t>Starlineps Enterprises Ltd.</t>
  </si>
  <si>
    <t>STARLENT</t>
  </si>
  <si>
    <t>ECLERX,</t>
  </si>
  <si>
    <t>Swarnsarita Jewels India Ltd.</t>
  </si>
  <si>
    <t>SWARNSAR</t>
  </si>
  <si>
    <t>514402,</t>
  </si>
  <si>
    <t>EPL Ltd.</t>
  </si>
  <si>
    <t>EPL</t>
  </si>
  <si>
    <t>SADBHAV,</t>
  </si>
  <si>
    <t>Equinox India Developments Ltd.</t>
  </si>
  <si>
    <t>EMBDL</t>
  </si>
  <si>
    <t>CHEMFAB,</t>
  </si>
  <si>
    <t>Equippp Social Impact Technologies Ltd.</t>
  </si>
  <si>
    <t>EQUIPPP</t>
  </si>
  <si>
    <t>Uday Jewellery Industries Ltd.</t>
  </si>
  <si>
    <t>UDAYJEW</t>
  </si>
  <si>
    <t>526703,</t>
  </si>
  <si>
    <t>UH Zaveri Ltd.</t>
  </si>
  <si>
    <t>UHZAVERI</t>
  </si>
  <si>
    <t>ECOSMOBLTY,</t>
  </si>
  <si>
    <t>Zodiac-JRD-MKJ Ltd.</t>
  </si>
  <si>
    <t>ZODJRDMKJ</t>
  </si>
  <si>
    <t>540063,</t>
  </si>
  <si>
    <t>Equitas Small Finance Bank Ltd.</t>
  </si>
  <si>
    <t>EQUITASBNK</t>
  </si>
  <si>
    <t>AMDIND,</t>
  </si>
  <si>
    <t>Eris Lifesciences Ltd.</t>
  </si>
  <si>
    <t>ERIS</t>
  </si>
  <si>
    <t>RAJRATAN,</t>
  </si>
  <si>
    <t>Eros International Media Ltd.</t>
  </si>
  <si>
    <t>EROSMEDIA</t>
  </si>
  <si>
    <t>509162,</t>
  </si>
  <si>
    <t>Finelistings Technologies Ltd.</t>
  </si>
  <si>
    <t>FTL</t>
  </si>
  <si>
    <t>512008,</t>
  </si>
  <si>
    <t>Esab India Ltd.</t>
  </si>
  <si>
    <t>ESABINDIA</t>
  </si>
  <si>
    <t>539730,</t>
  </si>
  <si>
    <t>ESAF Small Finance Bank Ltd.</t>
  </si>
  <si>
    <t>ESAFSFB</t>
  </si>
  <si>
    <t>Esconet Technologies Ltd.</t>
  </si>
  <si>
    <t>ESCONET</t>
  </si>
  <si>
    <t>UBL,</t>
  </si>
  <si>
    <t>BNR Udyog Ltd.</t>
  </si>
  <si>
    <t>BNRUDY</t>
  </si>
  <si>
    <t>EIHOTEL,</t>
  </si>
  <si>
    <t>Escorts Kubota Ltd.</t>
  </si>
  <si>
    <t>ESCORTS</t>
  </si>
  <si>
    <t>Automobiles-Tractors</t>
  </si>
  <si>
    <t>ARE&amp;M,</t>
  </si>
  <si>
    <t>Esprit Stones Ltd.</t>
  </si>
  <si>
    <t>ESPRIT</t>
  </si>
  <si>
    <t>BANARISUG,</t>
  </si>
  <si>
    <t>Essar Shipping Ltd.</t>
  </si>
  <si>
    <t>ESSARSHPNG</t>
  </si>
  <si>
    <t>SICALLOG,</t>
  </si>
  <si>
    <t>Essen Speciality Films Ltd.</t>
  </si>
  <si>
    <t>ESFL</t>
  </si>
  <si>
    <t>SADBHIN,</t>
  </si>
  <si>
    <t>TCI Industries Ltd.</t>
  </si>
  <si>
    <t>TCIIND</t>
  </si>
  <si>
    <t>543475,</t>
  </si>
  <si>
    <t>Vishvprabha Ventures Ltd.</t>
  </si>
  <si>
    <t>VISVEN</t>
  </si>
  <si>
    <t>543284,</t>
  </si>
  <si>
    <t>Genpharmasec Ltd.</t>
  </si>
  <si>
    <t>GENPHARMA</t>
  </si>
  <si>
    <t>531144,</t>
  </si>
  <si>
    <t>Jaysynth Orgochem Ltd.</t>
  </si>
  <si>
    <t>JAYSYNTH</t>
  </si>
  <si>
    <t>513452,</t>
  </si>
  <si>
    <t>Ester Industries Ltd.</t>
  </si>
  <si>
    <t>ESTER</t>
  </si>
  <si>
    <t>SADHNANIQ,</t>
  </si>
  <si>
    <t>Ethos Ltd.</t>
  </si>
  <si>
    <t>ETHOSLTD</t>
  </si>
  <si>
    <t>OSWALSEEDS,</t>
  </si>
  <si>
    <t>Eureka Forbes Ltd.</t>
  </si>
  <si>
    <t>EUREKAFORB</t>
  </si>
  <si>
    <t>CUBEXTUB,</t>
  </si>
  <si>
    <t>Euro India Fresh Foods Ltd.</t>
  </si>
  <si>
    <t>EIFFL</t>
  </si>
  <si>
    <t>541778,</t>
  </si>
  <si>
    <t>Euro Panel Products Ltd.</t>
  </si>
  <si>
    <t>EUROBOND</t>
  </si>
  <si>
    <t>539661,</t>
  </si>
  <si>
    <t>Camex Ltd.</t>
  </si>
  <si>
    <t>CAMEXLTD</t>
  </si>
  <si>
    <t>EMIL,</t>
  </si>
  <si>
    <t>Dynamic Industries Ltd.</t>
  </si>
  <si>
    <t>DYNAMIND</t>
  </si>
  <si>
    <t>ELECTCAST,</t>
  </si>
  <si>
    <t>Eurotex Industries And Exports Ltd.</t>
  </si>
  <si>
    <t>EUROTEXIND</t>
  </si>
  <si>
    <t>519367,</t>
  </si>
  <si>
    <t>Fundviser Capital (India) Ltd.</t>
  </si>
  <si>
    <t>FUNDVISER</t>
  </si>
  <si>
    <t>526473,</t>
  </si>
  <si>
    <t>Eveready Industries India Ltd.</t>
  </si>
  <si>
    <t>EVEREADY</t>
  </si>
  <si>
    <t>Ishan Dyes and Chemicals Ltd.</t>
  </si>
  <si>
    <t>ISHANCH</t>
  </si>
  <si>
    <t>ELGIEQUIP,</t>
  </si>
  <si>
    <t>Everest Industries Ltd.</t>
  </si>
  <si>
    <t>EVERESTIND</t>
  </si>
  <si>
    <t>AVSL,</t>
  </si>
  <si>
    <t>Organic Coatings Ltd.</t>
  </si>
  <si>
    <t>ORGCOAT</t>
  </si>
  <si>
    <t>ELIN,</t>
  </si>
  <si>
    <t>Everest Kanto Cylinder Ltd.</t>
  </si>
  <si>
    <t>EKC</t>
  </si>
  <si>
    <t>HATHWAY,</t>
  </si>
  <si>
    <t>Pratiksha Chemicals Ltd.</t>
  </si>
  <si>
    <t>PRATIKSH</t>
  </si>
  <si>
    <t>Excel Industries Ltd.</t>
  </si>
  <si>
    <t>EXCELINDUS</t>
  </si>
  <si>
    <t>543814,</t>
  </si>
  <si>
    <t>Shreyas Intermediates Ltd.</t>
  </si>
  <si>
    <t>SHREYASI</t>
  </si>
  <si>
    <t>504000,</t>
  </si>
  <si>
    <t>Excel Realty N Infra Ltd.</t>
  </si>
  <si>
    <t>EXCEL</t>
  </si>
  <si>
    <t>VEDL,</t>
  </si>
  <si>
    <t>Excellent Wires And Packaging Ltd.</t>
  </si>
  <si>
    <t>EXCELLENT</t>
  </si>
  <si>
    <t>Vipul Organics Ltd.</t>
  </si>
  <si>
    <t>VIPULORG</t>
  </si>
  <si>
    <t>EMAMIPAP,</t>
  </si>
  <si>
    <t>Exicom Tele-Systems Ltd.</t>
  </si>
  <si>
    <t>EXICOM</t>
  </si>
  <si>
    <t>FAZE3Q,</t>
  </si>
  <si>
    <t>Fone4 Communications (India) Ltd.</t>
  </si>
  <si>
    <t>FONE4</t>
  </si>
  <si>
    <t>Exide Industries Ltd.</t>
  </si>
  <si>
    <t>EXIDEIND</t>
  </si>
  <si>
    <t>531406,</t>
  </si>
  <si>
    <t>Pace E-Commerce Ventures Ltd.</t>
  </si>
  <si>
    <t>PACE</t>
  </si>
  <si>
    <t>Expleo Solutions Ltd.</t>
  </si>
  <si>
    <t>EXPLEOSOL</t>
  </si>
  <si>
    <t>NEWGEN,</t>
  </si>
  <si>
    <t>Exxaro Tiles Ltd.</t>
  </si>
  <si>
    <t>EXXARO</t>
  </si>
  <si>
    <t>BALKRISIND,</t>
  </si>
  <si>
    <t>Fairchem Organics Ltd.</t>
  </si>
  <si>
    <t>FAIRCHEMOR</t>
  </si>
  <si>
    <t>523229,</t>
  </si>
  <si>
    <t>Falcon Technoprojects India Ltd.</t>
  </si>
  <si>
    <t>FALCONTECH</t>
  </si>
  <si>
    <t>HPAL,</t>
  </si>
  <si>
    <t>Faze Three Ltd.</t>
  </si>
  <si>
    <t>FAZE3Q</t>
  </si>
  <si>
    <t>SYRMA,</t>
  </si>
  <si>
    <t>FCS Software Solutions Ltd.</t>
  </si>
  <si>
    <t>FCSSOFT</t>
  </si>
  <si>
    <t>NEWJAISA,</t>
  </si>
  <si>
    <t>FDC Ltd.</t>
  </si>
  <si>
    <t>FDC</t>
  </si>
  <si>
    <t>RAJSREESUG,</t>
  </si>
  <si>
    <t>Fedbank Financial Services Ltd</t>
  </si>
  <si>
    <t>FEDFINA</t>
  </si>
  <si>
    <t>FEDFINA,</t>
  </si>
  <si>
    <t>530313,</t>
  </si>
  <si>
    <t>Federal-Mogul Goetze (India) Ltd.</t>
  </si>
  <si>
    <t>FMGOETZE</t>
  </si>
  <si>
    <t>524594,</t>
  </si>
  <si>
    <t>Felix Industries Ltd.</t>
  </si>
  <si>
    <t>FELIX</t>
  </si>
  <si>
    <t>HUBTOWN,</t>
  </si>
  <si>
    <t>Fiberweb (India) Ltd.</t>
  </si>
  <si>
    <t>FIBERWEB</t>
  </si>
  <si>
    <t>SYSTANGO,</t>
  </si>
  <si>
    <t>Ambo Agritec Ltd.</t>
  </si>
  <si>
    <t>AMBOAGRI</t>
  </si>
  <si>
    <t>EMUDHRA,</t>
  </si>
  <si>
    <t>Ajanta Soya Ltd.</t>
  </si>
  <si>
    <t>AJANTSOY</t>
  </si>
  <si>
    <t>Fidel Softech Ltd.</t>
  </si>
  <si>
    <t>FIDEL</t>
  </si>
  <si>
    <t>NMSTEEL,</t>
  </si>
  <si>
    <t>Fiem Industries Ltd.</t>
  </si>
  <si>
    <t>FIEMIND</t>
  </si>
  <si>
    <t>AEROFLEX,</t>
  </si>
  <si>
    <t>Ambar Protein Industries Ltd.</t>
  </si>
  <si>
    <t>AMBARPIL</t>
  </si>
  <si>
    <t>ENERGYDEV,</t>
  </si>
  <si>
    <t>Filatex Fashions Ltd.</t>
  </si>
  <si>
    <t>FILATFASH</t>
  </si>
  <si>
    <t>CIAN Agro Industries &amp; Infrastructure Ltd.</t>
  </si>
  <si>
    <t>CIANAGRO</t>
  </si>
  <si>
    <t>ENFUSE,</t>
  </si>
  <si>
    <t>Diligent Industries Ltd.</t>
  </si>
  <si>
    <t>DILIGENT</t>
  </si>
  <si>
    <t>ENGINERSIN,</t>
  </si>
  <si>
    <t>Filatex India Ltd.</t>
  </si>
  <si>
    <t>FILATEX</t>
  </si>
  <si>
    <t>TORNTPHARM,</t>
  </si>
  <si>
    <t>Fine Organic Industries Ltd.</t>
  </si>
  <si>
    <t>FINEORG</t>
  </si>
  <si>
    <t>BHARATWIRE,</t>
  </si>
  <si>
    <t>Fineotex Chemical Ltd.</t>
  </si>
  <si>
    <t>FCL</t>
  </si>
  <si>
    <t>BGLOBAL,</t>
  </si>
  <si>
    <t>Fino Payments Bank Ltd.</t>
  </si>
  <si>
    <t>FINOPB</t>
  </si>
  <si>
    <t>AMEYA,</t>
  </si>
  <si>
    <t>Modi Naturals Ltd.</t>
  </si>
  <si>
    <t>MODINATUR</t>
  </si>
  <si>
    <t>ENIL,</t>
  </si>
  <si>
    <t>Natraj Proteins Ltd.</t>
  </si>
  <si>
    <t>NATRAJPR</t>
  </si>
  <si>
    <t>500246,</t>
  </si>
  <si>
    <t>Finolex Cables Ltd.</t>
  </si>
  <si>
    <t>FINCABLES</t>
  </si>
  <si>
    <t>ASTEC,</t>
  </si>
  <si>
    <t>Poona Dal &amp; Oil Industries Ltd.</t>
  </si>
  <si>
    <t>POONADAL</t>
  </si>
  <si>
    <t>ENVIRO,</t>
  </si>
  <si>
    <t>Finolex Industries Ltd.</t>
  </si>
  <si>
    <t>FINPIPE</t>
  </si>
  <si>
    <t>SADHAV,</t>
  </si>
  <si>
    <t>Firstsource Solutions Ltd.</t>
  </si>
  <si>
    <t>FSL</t>
  </si>
  <si>
    <t>ARCHIES,</t>
  </si>
  <si>
    <t>Shri Gang Industries &amp; Allied Products Ltd.</t>
  </si>
  <si>
    <t>SHRIGANG</t>
  </si>
  <si>
    <t>530407,</t>
  </si>
  <si>
    <t>Suraj Industries Ltd.</t>
  </si>
  <si>
    <t>SURJIND</t>
  </si>
  <si>
    <t>EPIGRAL,</t>
  </si>
  <si>
    <t>Vijay Solvex Ltd.</t>
  </si>
  <si>
    <t>VIJSOLX</t>
  </si>
  <si>
    <t>EPL,</t>
  </si>
  <si>
    <t>VJTF Eduservices Ltd.</t>
  </si>
  <si>
    <t>VJTFEDU</t>
  </si>
  <si>
    <t>531155,</t>
  </si>
  <si>
    <t>Five-Star Business Finance Ltd.</t>
  </si>
  <si>
    <t>FIVESTAR</t>
  </si>
  <si>
    <t>FIVESTAR,</t>
  </si>
  <si>
    <t>Flair Writing Industries Ltd.</t>
  </si>
  <si>
    <t>FLAIR</t>
  </si>
  <si>
    <t>SCHNEIDER,</t>
  </si>
  <si>
    <t>Ascensive Educare Ltd.</t>
  </si>
  <si>
    <t>ASCENSIVE</t>
  </si>
  <si>
    <t>EQUIPPP,</t>
  </si>
  <si>
    <t>Flexituff Ventures International Ltd.</t>
  </si>
  <si>
    <t>FLEXITUFF</t>
  </si>
  <si>
    <t>Humming Bird Education Ltd.</t>
  </si>
  <si>
    <t>HBEL</t>
  </si>
  <si>
    <t>531035,</t>
  </si>
  <si>
    <t>Foce India Ltd.</t>
  </si>
  <si>
    <t>FOCE</t>
  </si>
  <si>
    <t>Watches &amp; Accessories</t>
  </si>
  <si>
    <t>ZENSARTECH,</t>
  </si>
  <si>
    <t>Focus Lighting &amp; Fixtures Ltd.</t>
  </si>
  <si>
    <t>FOCUS</t>
  </si>
  <si>
    <t>FCSSOFT,</t>
  </si>
  <si>
    <t>Fonebox Retail Ltd.</t>
  </si>
  <si>
    <t>FONEBOX</t>
  </si>
  <si>
    <t>SHIVALIK,</t>
  </si>
  <si>
    <t>Foods &amp; Inns Ltd.</t>
  </si>
  <si>
    <t>FOODSIN</t>
  </si>
  <si>
    <t>544036,</t>
  </si>
  <si>
    <t>Golden Crest Education &amp; Services Ltd.</t>
  </si>
  <si>
    <t>GOLDENCREST</t>
  </si>
  <si>
    <t>Lucent Industries Ltd.</t>
  </si>
  <si>
    <t>LUCENT</t>
  </si>
  <si>
    <t>ESCONET,</t>
  </si>
  <si>
    <t>Forcas Studio Ltd.</t>
  </si>
  <si>
    <t>FORCAS</t>
  </si>
  <si>
    <t>Shanti Educational Initiatives Ltd.</t>
  </si>
  <si>
    <t>SEIL</t>
  </si>
  <si>
    <t>531259,</t>
  </si>
  <si>
    <t>Force Motors Ltd.</t>
  </si>
  <si>
    <t>FORCEMOT</t>
  </si>
  <si>
    <t>539196,</t>
  </si>
  <si>
    <t>Vantage Knowledge Academy Ltd.</t>
  </si>
  <si>
    <t>VKAL</t>
  </si>
  <si>
    <t>ESPRIT,</t>
  </si>
  <si>
    <t>Forge Auto International Ltd.</t>
  </si>
  <si>
    <t>FORGEAUTO</t>
  </si>
  <si>
    <t>539275,</t>
  </si>
  <si>
    <t>Virtual Global Education Ltd.</t>
  </si>
  <si>
    <t>VIRTUALG</t>
  </si>
  <si>
    <t>ESFL,</t>
  </si>
  <si>
    <t>Fortis Healthcare Ltd.</t>
  </si>
  <si>
    <t>FORTIS</t>
  </si>
  <si>
    <t>MATRIMONY,</t>
  </si>
  <si>
    <t>Sodhani Academy Of Fintech Enablers Ltd.</t>
  </si>
  <si>
    <t>SAFE</t>
  </si>
  <si>
    <t>ETHOSLTD,</t>
  </si>
  <si>
    <t>Foseco India Ltd.</t>
  </si>
  <si>
    <t>FOSECOIND</t>
  </si>
  <si>
    <t>BHARTIARTL,</t>
  </si>
  <si>
    <t>Freshara Agro Exports Ltd.</t>
  </si>
  <si>
    <t>FRESHARA</t>
  </si>
  <si>
    <t>Frog Cellsat Ltd.</t>
  </si>
  <si>
    <t>FROG</t>
  </si>
  <si>
    <t>530953,</t>
  </si>
  <si>
    <t>FSN E-Commerce Ventures Ltd.</t>
  </si>
  <si>
    <t>NYKAA</t>
  </si>
  <si>
    <t>506180,</t>
  </si>
  <si>
    <t>Calcom Vision Ltd.</t>
  </si>
  <si>
    <t>CALCOM</t>
  </si>
  <si>
    <t>526468,</t>
  </si>
  <si>
    <t>Cospower Engineering Ltd.</t>
  </si>
  <si>
    <t>COSPOWER</t>
  </si>
  <si>
    <t>EUROBOND,</t>
  </si>
  <si>
    <t>Fusion Micro Finance Ltd.</t>
  </si>
  <si>
    <t>FUSION</t>
  </si>
  <si>
    <t>FUSION,</t>
  </si>
  <si>
    <t>KABRAEXTRU,</t>
  </si>
  <si>
    <t>Future Consumer Ltd.</t>
  </si>
  <si>
    <t>FCONSUMER</t>
  </si>
  <si>
    <t>527005,</t>
  </si>
  <si>
    <t>Future Enterprises Ltd.</t>
  </si>
  <si>
    <t>FEL</t>
  </si>
  <si>
    <t>SHIVATEX,</t>
  </si>
  <si>
    <t>RMC Switchgears Ltd.</t>
  </si>
  <si>
    <t>RMC</t>
  </si>
  <si>
    <t>EVERESTIND,</t>
  </si>
  <si>
    <t>Future Enterprises Ltd.-B-DVR</t>
  </si>
  <si>
    <t>FELDVR</t>
  </si>
  <si>
    <t>530433,</t>
  </si>
  <si>
    <t>Future Lifestyle Fashions Ltd.</t>
  </si>
  <si>
    <t>FLFL</t>
  </si>
  <si>
    <t>SHIVAMILLS,</t>
  </si>
  <si>
    <t>Future Market Networks Ltd.</t>
  </si>
  <si>
    <t>FMNL</t>
  </si>
  <si>
    <t>Future Retail Ltd.</t>
  </si>
  <si>
    <t>FRETAIL</t>
  </si>
  <si>
    <t>540072,</t>
  </si>
  <si>
    <t>Future Supply Chain Solutions Ltd.</t>
  </si>
  <si>
    <t>FSC</t>
  </si>
  <si>
    <t>ORIENTPPR,</t>
  </si>
  <si>
    <t>G-Tec Jainx Education Ltd.</t>
  </si>
  <si>
    <t>GTECJAINX</t>
  </si>
  <si>
    <t>Taylormade Renewables Ltd.</t>
  </si>
  <si>
    <t>TRL</t>
  </si>
  <si>
    <t>EXCEL,</t>
  </si>
  <si>
    <t>Gabriel India Ltd.</t>
  </si>
  <si>
    <t>GABRIEL</t>
  </si>
  <si>
    <t>AERON,</t>
  </si>
  <si>
    <t>Virtuoso Optoelectronics Ltd.</t>
  </si>
  <si>
    <t>VOEPL</t>
  </si>
  <si>
    <t>543895,</t>
  </si>
  <si>
    <t>GACM Technologies Ltd.</t>
  </si>
  <si>
    <t>GATECH</t>
  </si>
  <si>
    <t>GATECH,</t>
  </si>
  <si>
    <t>MPTODAY,</t>
  </si>
  <si>
    <t>GACM Technologies Ltd. - (DVR)</t>
  </si>
  <si>
    <t>GATECHDVR</t>
  </si>
  <si>
    <t>GATECHDVR,</t>
  </si>
  <si>
    <t>LORDSCHLO,</t>
  </si>
  <si>
    <t>Alfa Transformers Ltd.</t>
  </si>
  <si>
    <t>ALFATRAN</t>
  </si>
  <si>
    <t>EXPLEOSOL,</t>
  </si>
  <si>
    <t>GAIL (India) Ltd.</t>
  </si>
  <si>
    <t>GAIL</t>
  </si>
  <si>
    <t>MSUMI,</t>
  </si>
  <si>
    <t>Aplab Ltd.</t>
  </si>
  <si>
    <t>APLAB</t>
  </si>
  <si>
    <t>EXXARO,</t>
  </si>
  <si>
    <t>Artemis Electricals And Projects Ltd.</t>
  </si>
  <si>
    <t>AEPL</t>
  </si>
  <si>
    <t>Gajanand International Ltd.</t>
  </si>
  <si>
    <t>GAJANAND</t>
  </si>
  <si>
    <t>539544,</t>
  </si>
  <si>
    <t>Gala Precision Engineering Ltd.</t>
  </si>
  <si>
    <t>GALAPREC</t>
  </si>
  <si>
    <t>HMAAGRO,</t>
  </si>
  <si>
    <t>Galaxy Surfactants Ltd.</t>
  </si>
  <si>
    <t>GALAXYSURF</t>
  </si>
  <si>
    <t>504273,</t>
  </si>
  <si>
    <t>Dhanashree Electronics Ltd.</t>
  </si>
  <si>
    <t>DEL</t>
  </si>
  <si>
    <t>FALCONTECH,</t>
  </si>
  <si>
    <t>Epic Energy Ltd.</t>
  </si>
  <si>
    <t>EPIC</t>
  </si>
  <si>
    <t>516110,</t>
  </si>
  <si>
    <t>Gallantt Ispat Ltd.</t>
  </si>
  <si>
    <t>GALLANTT</t>
  </si>
  <si>
    <t>543065,</t>
  </si>
  <si>
    <t>Gandhar Oil Refinery (India) Ltd.</t>
  </si>
  <si>
    <t>GANDHAR</t>
  </si>
  <si>
    <t>532911,</t>
  </si>
  <si>
    <t>Gandhi Special Tubes Ltd.</t>
  </si>
  <si>
    <t>GANDHITUBE</t>
  </si>
  <si>
    <t>542034,</t>
  </si>
  <si>
    <t>GG Engineering Ltd.</t>
  </si>
  <si>
    <t>GGENG</t>
  </si>
  <si>
    <t>Ganesh Benzoplast Ltd.</t>
  </si>
  <si>
    <t>GANESHBE</t>
  </si>
  <si>
    <t>BHARTIHEXA,</t>
  </si>
  <si>
    <t>Ganesh Green Bharat Ltd.</t>
  </si>
  <si>
    <t>GGBL</t>
  </si>
  <si>
    <t>FORGEAUTO,</t>
  </si>
  <si>
    <t>Hindustan Appliances Ltd.</t>
  </si>
  <si>
    <t>HINDAPL</t>
  </si>
  <si>
    <t>521228,</t>
  </si>
  <si>
    <t>Ganesh Housing Corporation Ltd.</t>
  </si>
  <si>
    <t>GANESHHOUC</t>
  </si>
  <si>
    <t>537326,</t>
  </si>
  <si>
    <t>Ganesh Infraworld Ltd.</t>
  </si>
  <si>
    <t>GANESHIN</t>
  </si>
  <si>
    <t>GSS,</t>
  </si>
  <si>
    <t>Ganesha Ecosphere Ltd.</t>
  </si>
  <si>
    <t>GANECOS</t>
  </si>
  <si>
    <t>TIPSFILMS,</t>
  </si>
  <si>
    <t>Ganga Forging Ltd.</t>
  </si>
  <si>
    <t>GANGAFORGE</t>
  </si>
  <si>
    <t>512595,</t>
  </si>
  <si>
    <t>Ganges Securities Ltd.</t>
  </si>
  <si>
    <t>GANGESSECU</t>
  </si>
  <si>
    <t>GANGESSECU,</t>
  </si>
  <si>
    <t>JEYYAM,</t>
  </si>
  <si>
    <t>Gangotri Textiles Ltd.</t>
  </si>
  <si>
    <t>GANGOTRI</t>
  </si>
  <si>
    <t>506687,</t>
  </si>
  <si>
    <t>Integra Switchgear Ltd.</t>
  </si>
  <si>
    <t>INTEGSW</t>
  </si>
  <si>
    <t>FIEMIND,</t>
  </si>
  <si>
    <t>JSL Industries Ltd.</t>
  </si>
  <si>
    <t>JSLINDL</t>
  </si>
  <si>
    <t>FILATFASH,</t>
  </si>
  <si>
    <t>Jyoti Ltd.</t>
  </si>
  <si>
    <t>JYOTI</t>
  </si>
  <si>
    <t>FILATEX,</t>
  </si>
  <si>
    <t>Kaycee Industries Ltd.</t>
  </si>
  <si>
    <t>KAYCEEI</t>
  </si>
  <si>
    <t>531486,</t>
  </si>
  <si>
    <t>Garden Reach Shipbuilders &amp; Engineers Ltd.</t>
  </si>
  <si>
    <t>GRSE</t>
  </si>
  <si>
    <t>523790,</t>
  </si>
  <si>
    <t>Lakshmi Electrical Control Systems Ltd.</t>
  </si>
  <si>
    <t>LAKSELEC</t>
  </si>
  <si>
    <t>544173,</t>
  </si>
  <si>
    <t>Marsons Ltd.</t>
  </si>
  <si>
    <t>MARSONS</t>
  </si>
  <si>
    <t>FCL,</t>
  </si>
  <si>
    <t>Mehai Technology Ltd.</t>
  </si>
  <si>
    <t>MEHAI</t>
  </si>
  <si>
    <t>Garuda Construction &amp; Engineering Ltd.</t>
  </si>
  <si>
    <t>GARUDA</t>
  </si>
  <si>
    <t>512379,</t>
  </si>
  <si>
    <t>Modulex Construction Technologies Ltd.</t>
  </si>
  <si>
    <t>MODULEX</t>
  </si>
  <si>
    <t>FINCABLES,</t>
  </si>
  <si>
    <t>Permanent Magnets Ltd.</t>
  </si>
  <si>
    <t>PERMAGN</t>
  </si>
  <si>
    <t>FINPIPE,</t>
  </si>
  <si>
    <t>Rexnord Electronics &amp; Controls Ltd.</t>
  </si>
  <si>
    <t>REXNORD</t>
  </si>
  <si>
    <t>Garware Hi-Tech Films Ltd.</t>
  </si>
  <si>
    <t>GRWRHITECH</t>
  </si>
  <si>
    <t>540821,</t>
  </si>
  <si>
    <t>RTS Power Corporation Ltd.</t>
  </si>
  <si>
    <t>RTSPOWR</t>
  </si>
  <si>
    <t>FSL,</t>
  </si>
  <si>
    <t>Garware Technical Fibres Ltd.</t>
  </si>
  <si>
    <t>GARFIBRES</t>
  </si>
  <si>
    <t>522294,</t>
  </si>
  <si>
    <t>Gateway Distriparks Ltd.</t>
  </si>
  <si>
    <t>GATEWAY</t>
  </si>
  <si>
    <t>PAKKA,</t>
  </si>
  <si>
    <t>Gayatri Highways Ltd.</t>
  </si>
  <si>
    <t>GAYAHWS</t>
  </si>
  <si>
    <t>GNA,</t>
  </si>
  <si>
    <t>Gayatri Projects Ltd.</t>
  </si>
  <si>
    <t>GAYAPROJ</t>
  </si>
  <si>
    <t>Shilchar Technologies Ltd.</t>
  </si>
  <si>
    <t>SHILCTECH</t>
  </si>
  <si>
    <t>FLEXITUFF,</t>
  </si>
  <si>
    <t>Gayatri Rubbers and Chemicals Ltd.</t>
  </si>
  <si>
    <t>GRCL</t>
  </si>
  <si>
    <t>503804,</t>
  </si>
  <si>
    <t>Sparc Electrex Ltd.</t>
  </si>
  <si>
    <t>SPAR</t>
  </si>
  <si>
    <t>540267,</t>
  </si>
  <si>
    <t>Star Delta Transformers Ltd.</t>
  </si>
  <si>
    <t>STARDELTA</t>
  </si>
  <si>
    <t>530705,</t>
  </si>
  <si>
    <t>GE Power India Ltd.</t>
  </si>
  <si>
    <t>GEPIL</t>
  </si>
  <si>
    <t>GE Vernova T&amp;D India Ltd.</t>
  </si>
  <si>
    <t>GVT&amp;D</t>
  </si>
  <si>
    <t>FDC,</t>
  </si>
  <si>
    <t>GeeCee Ventures Ltd.</t>
  </si>
  <si>
    <t>GEECEE</t>
  </si>
  <si>
    <t>CHENNPETRO,</t>
  </si>
  <si>
    <t>Geekay Wires Ltd.</t>
  </si>
  <si>
    <t>GEEKAYWIRE</t>
  </si>
  <si>
    <t>SINCLAIR,</t>
  </si>
  <si>
    <t>General Insurance Corporation of India</t>
  </si>
  <si>
    <t>GICRE</t>
  </si>
  <si>
    <t>Insurance</t>
  </si>
  <si>
    <t>GICRE,</t>
  </si>
  <si>
    <t>MPSLTD,</t>
  </si>
  <si>
    <t>Generic Engineering Construction And Projects Ltd.</t>
  </si>
  <si>
    <t>GENCON</t>
  </si>
  <si>
    <t>GOCOLORS,</t>
  </si>
  <si>
    <t>Genesys International Corporation Ltd.</t>
  </si>
  <si>
    <t>GENESYS</t>
  </si>
  <si>
    <t>NEXTMEDIA,</t>
  </si>
  <si>
    <t>Gensol Engineering Ltd.</t>
  </si>
  <si>
    <t>GENSOL</t>
  </si>
  <si>
    <t>GOACARBON,</t>
  </si>
  <si>
    <t>Genus Paper &amp; Boards Ltd.</t>
  </si>
  <si>
    <t>GENUSPAPER</t>
  </si>
  <si>
    <t>517258,</t>
  </si>
  <si>
    <t>Genus Power Infrastructures Ltd.</t>
  </si>
  <si>
    <t>GENUSPOWER</t>
  </si>
  <si>
    <t>508486,</t>
  </si>
  <si>
    <t>Geojit Financial Services Ltd.</t>
  </si>
  <si>
    <t>GEOJITFSL</t>
  </si>
  <si>
    <t>GEOJITFSL,</t>
  </si>
  <si>
    <t>507836,</t>
  </si>
  <si>
    <t>GFL Ltd.</t>
  </si>
  <si>
    <t>GFLLIMITED</t>
  </si>
  <si>
    <t>GFLLIMITED,</t>
  </si>
  <si>
    <t>INOXGREEN,</t>
  </si>
  <si>
    <t>GHCL Ltd.</t>
  </si>
  <si>
    <t>GHCL</t>
  </si>
  <si>
    <t>524534,</t>
  </si>
  <si>
    <t>GHCL Textiles Ltd.</t>
  </si>
  <si>
    <t>GHCLTEXTIL</t>
  </si>
  <si>
    <t>TRANSRAILL,</t>
  </si>
  <si>
    <t>GIC Housing Finance Ltd.</t>
  </si>
  <si>
    <t>GICHSGFIN</t>
  </si>
  <si>
    <t>GICHSGFIN,</t>
  </si>
  <si>
    <t>532001,</t>
  </si>
  <si>
    <t>Yash Highvoltage Ltd.</t>
  </si>
  <si>
    <t>YASHHV</t>
  </si>
  <si>
    <t>540190,</t>
  </si>
  <si>
    <t>Gillanders Arbuthnot &amp; Company Ltd.</t>
  </si>
  <si>
    <t>GILLANDERS</t>
  </si>
  <si>
    <t>EIMCOELECO,</t>
  </si>
  <si>
    <t>D&amp;H India Ltd.</t>
  </si>
  <si>
    <t>DHINDIA</t>
  </si>
  <si>
    <t>539032,</t>
  </si>
  <si>
    <t>Gillette India Ltd.</t>
  </si>
  <si>
    <t>GILLETTE</t>
  </si>
  <si>
    <t>MHHL,</t>
  </si>
  <si>
    <t>Ginni Filaments Ltd.</t>
  </si>
  <si>
    <t>GINNIFILA</t>
  </si>
  <si>
    <t>TRANSTEEL,</t>
  </si>
  <si>
    <t>GEE Ltd.</t>
  </si>
  <si>
    <t>GEE</t>
  </si>
  <si>
    <t>FRESHARA,</t>
  </si>
  <si>
    <t>GIR Natureview Resorts Ltd.</t>
  </si>
  <si>
    <t>GIRRESORTS</t>
  </si>
  <si>
    <t>MEGASTAR,</t>
  </si>
  <si>
    <t>Giriraj Civil Developers Ltd.</t>
  </si>
  <si>
    <t>GIRIRAJ</t>
  </si>
  <si>
    <t>Panasonic Carbon India Company Ltd.</t>
  </si>
  <si>
    <t>PANCARBON</t>
  </si>
  <si>
    <t>522195,</t>
  </si>
  <si>
    <t>Rasi Electrodes Ltd.</t>
  </si>
  <si>
    <t>RASIELEC</t>
  </si>
  <si>
    <t>532042,</t>
  </si>
  <si>
    <t>GKW Ltd.</t>
  </si>
  <si>
    <t>GKWLIMITED</t>
  </si>
  <si>
    <t>GKWLIMITED,</t>
  </si>
  <si>
    <t>532154,</t>
  </si>
  <si>
    <t>Gland Pharma Ltd.</t>
  </si>
  <si>
    <t>GLAND</t>
  </si>
  <si>
    <t>500357,</t>
  </si>
  <si>
    <t>Glaxosmithkline Pharmaceuticals Ltd.</t>
  </si>
  <si>
    <t>GLAXO</t>
  </si>
  <si>
    <t>RAMAPHO,</t>
  </si>
  <si>
    <t>CWD Ltd.</t>
  </si>
  <si>
    <t>CWD</t>
  </si>
  <si>
    <t>Glenmark Pharmaceuticals Ltd.</t>
  </si>
  <si>
    <t>GLENMARK</t>
  </si>
  <si>
    <t>RAMASTEEL,</t>
  </si>
  <si>
    <t>Insolation Energy Ltd.</t>
  </si>
  <si>
    <t>INA</t>
  </si>
  <si>
    <t>FEL,</t>
  </si>
  <si>
    <t>Global Education Ltd.</t>
  </si>
  <si>
    <t>GLOBAL</t>
  </si>
  <si>
    <t>ESABINDIA,</t>
  </si>
  <si>
    <t>Global Health Ltd.</t>
  </si>
  <si>
    <t>MEDANTA</t>
  </si>
  <si>
    <t>MAXESTATES,</t>
  </si>
  <si>
    <t>Global Pet Industries Ltd.</t>
  </si>
  <si>
    <t>GLOBALPET</t>
  </si>
  <si>
    <t>517372,</t>
  </si>
  <si>
    <t>Global Surfaces Ltd.</t>
  </si>
  <si>
    <t>GSLSU</t>
  </si>
  <si>
    <t>BALMLAWRIE,</t>
  </si>
  <si>
    <t>Global Vectra Helicorp Ltd.</t>
  </si>
  <si>
    <t>GLOBALVECT</t>
  </si>
  <si>
    <t>517494,</t>
  </si>
  <si>
    <t>Globale Tessile Ltd.</t>
  </si>
  <si>
    <t>GLOBALE</t>
  </si>
  <si>
    <t>BCC Fuba India Ltd.</t>
  </si>
  <si>
    <t>BCCFUBA</t>
  </si>
  <si>
    <t>GTECJAINX,</t>
  </si>
  <si>
    <t>Globe International Carriers Ltd.</t>
  </si>
  <si>
    <t>GICL</t>
  </si>
  <si>
    <t>ORIENTALTL,</t>
  </si>
  <si>
    <t>Globe Textiles (India) Ltd.</t>
  </si>
  <si>
    <t>GLOBE</t>
  </si>
  <si>
    <t>TAC,</t>
  </si>
  <si>
    <t>Continental Controls Ltd.</t>
  </si>
  <si>
    <t>CONTICON</t>
  </si>
  <si>
    <t>544108,</t>
  </si>
  <si>
    <t>Cosmo Ferrites Ltd.</t>
  </si>
  <si>
    <t>COSMOFE</t>
  </si>
  <si>
    <t>Globesecure Technologies Ltd.</t>
  </si>
  <si>
    <t>GSTL</t>
  </si>
  <si>
    <t>539402,</t>
  </si>
  <si>
    <t>Edvenswa Enterprises Ltd.</t>
  </si>
  <si>
    <t>EDVENSWA</t>
  </si>
  <si>
    <t>524624,</t>
  </si>
  <si>
    <t>Gujarat Poly Electronics Ltd.</t>
  </si>
  <si>
    <t>GUJARATPOLY</t>
  </si>
  <si>
    <t>GAIL,</t>
  </si>
  <si>
    <t>Hindusthan Urban Infrastructure Ltd.</t>
  </si>
  <si>
    <t>HUIL</t>
  </si>
  <si>
    <t>Globus Spirits Ltd.</t>
  </si>
  <si>
    <t>GLOBUSSPR</t>
  </si>
  <si>
    <t>531297,</t>
  </si>
  <si>
    <t>Gloster Ltd.</t>
  </si>
  <si>
    <t>GLOSTERLTD</t>
  </si>
  <si>
    <t>516032,</t>
  </si>
  <si>
    <t>Incap Ltd.</t>
  </si>
  <si>
    <t>INCAP</t>
  </si>
  <si>
    <t>GALAPREC,</t>
  </si>
  <si>
    <t>GM Breweries Ltd.</t>
  </si>
  <si>
    <t>GMBREW</t>
  </si>
  <si>
    <t>542670,</t>
  </si>
  <si>
    <t>GMM Pfaudler Ltd.</t>
  </si>
  <si>
    <t>GMMPFAUDLR</t>
  </si>
  <si>
    <t>532334,</t>
  </si>
  <si>
    <t>Modern Insulators Ltd.</t>
  </si>
  <si>
    <t>MODINSU</t>
  </si>
  <si>
    <t>526073,</t>
  </si>
  <si>
    <t>Pan Electronics (India) Ltd.</t>
  </si>
  <si>
    <t>PANELEC</t>
  </si>
  <si>
    <t>506186,</t>
  </si>
  <si>
    <t>RIR Power Electronics Ltd.</t>
  </si>
  <si>
    <t>RIR</t>
  </si>
  <si>
    <t>GALAXYSURF,</t>
  </si>
  <si>
    <t>SPEL Semiconductor Ltd.</t>
  </si>
  <si>
    <t>SPELS</t>
  </si>
  <si>
    <t>GALLANTT,</t>
  </si>
  <si>
    <t>GMR Airports Ltd.</t>
  </si>
  <si>
    <t>GMRAIRPORT</t>
  </si>
  <si>
    <t>GMR Power and Urban Infra Ltd.</t>
  </si>
  <si>
    <t>GMRP&amp;UI</t>
  </si>
  <si>
    <t>514412,</t>
  </si>
  <si>
    <t>GNA Axles Ltd.</t>
  </si>
  <si>
    <t>GNA</t>
  </si>
  <si>
    <t>534733,</t>
  </si>
  <si>
    <t>Vintron Informatics Ltd.</t>
  </si>
  <si>
    <t>VINTRON</t>
  </si>
  <si>
    <t>GANESHBE,</t>
  </si>
  <si>
    <t>Go Digit General Insurance Ltd.</t>
  </si>
  <si>
    <t>GODIGIT</t>
  </si>
  <si>
    <t>GODIGIT,</t>
  </si>
  <si>
    <t>BECTORFOOD,</t>
  </si>
  <si>
    <t>Go Fashion (India) Ltd.</t>
  </si>
  <si>
    <t>GOCOLORS</t>
  </si>
  <si>
    <t>533110,</t>
  </si>
  <si>
    <t>Goa Carbon Ltd.</t>
  </si>
  <si>
    <t>GOACARBON</t>
  </si>
  <si>
    <t>Carbon Black</t>
  </si>
  <si>
    <t>ATMASTCO,</t>
  </si>
  <si>
    <t>GOCL Corporation Ltd.</t>
  </si>
  <si>
    <t>GOCLCORP</t>
  </si>
  <si>
    <t>543497,</t>
  </si>
  <si>
    <t>Godavari Biorefineries Ltd.</t>
  </si>
  <si>
    <t>GODAVARIB</t>
  </si>
  <si>
    <t>530231,</t>
  </si>
  <si>
    <t>Godawari Power And Ispat Ltd.</t>
  </si>
  <si>
    <t>GPIL</t>
  </si>
  <si>
    <t>SMARTLINK,</t>
  </si>
  <si>
    <t>Godfrey Phillips India Ltd.</t>
  </si>
  <si>
    <t>GODFRYPHLP</t>
  </si>
  <si>
    <t>CAPACITE,</t>
  </si>
  <si>
    <t>Godha Cabcon &amp; Insulation Ltd.</t>
  </si>
  <si>
    <t>GODHA</t>
  </si>
  <si>
    <t>Godrej Agrovet Ltd.</t>
  </si>
  <si>
    <t>GODREJAGRO</t>
  </si>
  <si>
    <t>Innovators Facade Systems Ltd.</t>
  </si>
  <si>
    <t>INNOVATORS</t>
  </si>
  <si>
    <t>512443,</t>
  </si>
  <si>
    <t>Godrej Consumer Products Ltd.</t>
  </si>
  <si>
    <t>GODREJCP</t>
  </si>
  <si>
    <t>MOHITIND,</t>
  </si>
  <si>
    <t>Godrej Industries Ltd.</t>
  </si>
  <si>
    <t>GODREJIND</t>
  </si>
  <si>
    <t>540956,</t>
  </si>
  <si>
    <t>KP Green Engineering Ltd.</t>
  </si>
  <si>
    <t>KPGEL</t>
  </si>
  <si>
    <t>530615,</t>
  </si>
  <si>
    <t>Organic Recycling Systems Ltd.</t>
  </si>
  <si>
    <t>ORGANICREC</t>
  </si>
  <si>
    <t>539216,</t>
  </si>
  <si>
    <t>Godrej Properties Ltd.</t>
  </si>
  <si>
    <t>GODREJPROP</t>
  </si>
  <si>
    <t>CHETANA,</t>
  </si>
  <si>
    <t>Goenka Diamond and Jewels Ltd.</t>
  </si>
  <si>
    <t>GOENKA</t>
  </si>
  <si>
    <t>DRREDDY,</t>
  </si>
  <si>
    <t>Gokaldas Exports Ltd.</t>
  </si>
  <si>
    <t>GOKEX</t>
  </si>
  <si>
    <t>TAINWALCHM,</t>
  </si>
  <si>
    <t>Sunita Tools Ltd.</t>
  </si>
  <si>
    <t>SUNITATOOL</t>
  </si>
  <si>
    <t>GARUDA,</t>
  </si>
  <si>
    <t>Vruddhi Engineering Works Ltd.</t>
  </si>
  <si>
    <t>VRUDDHI</t>
  </si>
  <si>
    <t>GRWRHITECH,</t>
  </si>
  <si>
    <t>Gokul Agro Resources Ltd.</t>
  </si>
  <si>
    <t>GOKULAGRO</t>
  </si>
  <si>
    <t>533477,</t>
  </si>
  <si>
    <t>Gokul Refoils and Solvent Ltd.</t>
  </si>
  <si>
    <t>GOKUL</t>
  </si>
  <si>
    <t>ENSER,</t>
  </si>
  <si>
    <t>Golden Tobacco Ltd.</t>
  </si>
  <si>
    <t>GOLDENTOBC</t>
  </si>
  <si>
    <t>CANTABIL,</t>
  </si>
  <si>
    <t>Goldiam International Ltd.</t>
  </si>
  <si>
    <t>GOLDIAM</t>
  </si>
  <si>
    <t>504908,</t>
  </si>
  <si>
    <t>Bansal Roofing Products Ltd.</t>
  </si>
  <si>
    <t>BRPL</t>
  </si>
  <si>
    <t>540936,</t>
  </si>
  <si>
    <t>Goldkart Jewels Ltd.</t>
  </si>
  <si>
    <t>GOLDKART</t>
  </si>
  <si>
    <t>DRCSYSTEMS,</t>
  </si>
  <si>
    <t>Goldstar Power Ltd.</t>
  </si>
  <si>
    <t>GOLDSTAR</t>
  </si>
  <si>
    <t>ANMOL,</t>
  </si>
  <si>
    <t>Goodluck India Ltd.</t>
  </si>
  <si>
    <t>GOODLUCK</t>
  </si>
  <si>
    <t>GTV Engineering Ltd.</t>
  </si>
  <si>
    <t>GTV</t>
  </si>
  <si>
    <t>GRCL,</t>
  </si>
  <si>
    <t>Gujarat Toolroom Ltd.</t>
  </si>
  <si>
    <t>GUJTLRM</t>
  </si>
  <si>
    <t>532183,</t>
  </si>
  <si>
    <t>Gopal Snacks Ltd.</t>
  </si>
  <si>
    <t>GOPAL</t>
  </si>
  <si>
    <t>514030,</t>
  </si>
  <si>
    <t>Kennametal India Ltd.</t>
  </si>
  <si>
    <t>KENNAMET</t>
  </si>
  <si>
    <t>Krishna Ventures Ltd.</t>
  </si>
  <si>
    <t>KRISHNA</t>
  </si>
  <si>
    <t>GEPIL,</t>
  </si>
  <si>
    <t>Lippi Systems Ltd.</t>
  </si>
  <si>
    <t>LIPPISYS</t>
  </si>
  <si>
    <t>GVT&amp;D,</t>
  </si>
  <si>
    <t>Goyal Aluminiums Ltd.</t>
  </si>
  <si>
    <t>GOYALALUM</t>
  </si>
  <si>
    <t>543241,</t>
  </si>
  <si>
    <t>Goyal Salt Ltd.</t>
  </si>
  <si>
    <t>GOYALSALT</t>
  </si>
  <si>
    <t>DATAPATTNS,</t>
  </si>
  <si>
    <t>GP Eco Solutions India Ltd.</t>
  </si>
  <si>
    <t>GPECO</t>
  </si>
  <si>
    <t>UHTL,</t>
  </si>
  <si>
    <t>GP Petroleums Ltd.</t>
  </si>
  <si>
    <t>GULFPETRO</t>
  </si>
  <si>
    <t>540359,</t>
  </si>
  <si>
    <t>GPT Healthcare Ltd.</t>
  </si>
  <si>
    <t>GPTHEALTH</t>
  </si>
  <si>
    <t>GPT Infraprojects Ltd.</t>
  </si>
  <si>
    <t>GPTINFRA</t>
  </si>
  <si>
    <t>GOCLCORP,</t>
  </si>
  <si>
    <t>SBEC Systems (India) Ltd.</t>
  </si>
  <si>
    <t>SBECSYS</t>
  </si>
  <si>
    <t>GENCON,</t>
  </si>
  <si>
    <t>Scan Projects Ltd.</t>
  </si>
  <si>
    <t>SCANPRO</t>
  </si>
  <si>
    <t>GENESYS,</t>
  </si>
  <si>
    <t>Sharika Enterprises Ltd.</t>
  </si>
  <si>
    <t>SHARIKA</t>
  </si>
  <si>
    <t>531739,</t>
  </si>
  <si>
    <t>Shivagrico Implements Ltd.</t>
  </si>
  <si>
    <t>SHIVAGR</t>
  </si>
  <si>
    <t>539206,</t>
  </si>
  <si>
    <t>GR Infraprojects Ltd.</t>
  </si>
  <si>
    <t>GRINFRA</t>
  </si>
  <si>
    <t>GODAVARIB,</t>
  </si>
  <si>
    <t>Grand Foundry Ltd.</t>
  </si>
  <si>
    <t>GFSTEELS</t>
  </si>
  <si>
    <t>513418,</t>
  </si>
  <si>
    <t>Tulive Developers Ltd.</t>
  </si>
  <si>
    <t>TULIVE</t>
  </si>
  <si>
    <t>GENUSPAPER,</t>
  </si>
  <si>
    <t>Granules India Ltd.</t>
  </si>
  <si>
    <t>GRANULES</t>
  </si>
  <si>
    <t>515127,</t>
  </si>
  <si>
    <t>Graphisads Ltd.</t>
  </si>
  <si>
    <t>GRAPHISAD</t>
  </si>
  <si>
    <t>PILITA,</t>
  </si>
  <si>
    <t>Graphite India Ltd.</t>
  </si>
  <si>
    <t>GRAPHITE</t>
  </si>
  <si>
    <t>FROG,</t>
  </si>
  <si>
    <t>Grasim Industries Ltd.</t>
  </si>
  <si>
    <t>GRASIM</t>
  </si>
  <si>
    <t>AVTNPL,</t>
  </si>
  <si>
    <t>Gravita India Ltd.</t>
  </si>
  <si>
    <t>GRAVITA</t>
  </si>
  <si>
    <t>543540,</t>
  </si>
  <si>
    <t>Greaves Cotton Ltd.</t>
  </si>
  <si>
    <t>GREAVESCOT</t>
  </si>
  <si>
    <t>EDUCOMP,</t>
  </si>
  <si>
    <t>Greenchef Appliances Ltd.</t>
  </si>
  <si>
    <t>GREENCHEF</t>
  </si>
  <si>
    <t>CLSL,</t>
  </si>
  <si>
    <t>Greenlam Industries Ltd.</t>
  </si>
  <si>
    <t>GREENLAM</t>
  </si>
  <si>
    <t>532271,</t>
  </si>
  <si>
    <t>Greenpanel Industries Ltd.</t>
  </si>
  <si>
    <t>GREENPANEL</t>
  </si>
  <si>
    <t>ZOMATO,</t>
  </si>
  <si>
    <t>Faalcon Concepts Ltd.</t>
  </si>
  <si>
    <t>FAALCON</t>
  </si>
  <si>
    <t>542918,</t>
  </si>
  <si>
    <t>Greenply Industries Ltd.</t>
  </si>
  <si>
    <t>GREENPLY</t>
  </si>
  <si>
    <t>ZOTA,</t>
  </si>
  <si>
    <t>Gretex Industries Ltd.</t>
  </si>
  <si>
    <t>GRETEX</t>
  </si>
  <si>
    <t>SURAKSHA,</t>
  </si>
  <si>
    <t>Grill Splendour Services Ltd.</t>
  </si>
  <si>
    <t>BIRDYS</t>
  </si>
  <si>
    <t>SHIVAMAUTO,</t>
  </si>
  <si>
    <t>Janus Corporation Ltd.</t>
  </si>
  <si>
    <t>JANUSCORP</t>
  </si>
  <si>
    <t>GILLETTE,</t>
  </si>
  <si>
    <t>Jayant Infratech Ltd.</t>
  </si>
  <si>
    <t>JAYANT</t>
  </si>
  <si>
    <t>531744,</t>
  </si>
  <si>
    <t>Grindwell Norton Ltd.</t>
  </si>
  <si>
    <t>GRINDWELL</t>
  </si>
  <si>
    <t>GRM Overseas Ltd.</t>
  </si>
  <si>
    <t>GRMOVER</t>
  </si>
  <si>
    <t>DELAPLEX,</t>
  </si>
  <si>
    <t>GRP Ltd.</t>
  </si>
  <si>
    <t>GRPLTD</t>
  </si>
  <si>
    <t>Markolines Pavement Technologies Ltd.</t>
  </si>
  <si>
    <t>MARKOLINES</t>
  </si>
  <si>
    <t>539013,</t>
  </si>
  <si>
    <t>GSM Foils Ltd.</t>
  </si>
  <si>
    <t>GSMFOILS</t>
  </si>
  <si>
    <t>POWERGRID,</t>
  </si>
  <si>
    <t>GSS Infotech Ltd.</t>
  </si>
  <si>
    <t>GSS</t>
  </si>
  <si>
    <t>544265,</t>
  </si>
  <si>
    <t>Promax Power Ltd.</t>
  </si>
  <si>
    <t>PROMAX</t>
  </si>
  <si>
    <t>542666,</t>
  </si>
  <si>
    <t>GTL Infrastructure Ltd.</t>
  </si>
  <si>
    <t>GTLINFRA</t>
  </si>
  <si>
    <t>Telecom-Infrastructure</t>
  </si>
  <si>
    <t>GTL Ltd.</t>
  </si>
  <si>
    <t>GTL</t>
  </si>
  <si>
    <t>526133,</t>
  </si>
  <si>
    <t>GTPL Hathway Ltd.</t>
  </si>
  <si>
    <t>GTPL</t>
  </si>
  <si>
    <t>Gufic Biosciences Ltd.</t>
  </si>
  <si>
    <t>GUFICBIO</t>
  </si>
  <si>
    <t>Suyog Gurbaxani Funicular Ropeways Ltd.</t>
  </si>
  <si>
    <t>SGFRL</t>
  </si>
  <si>
    <t>GLENMARK,</t>
  </si>
  <si>
    <t>Gujarat Alkalies And Chemicals Ltd.</t>
  </si>
  <si>
    <t>GUJALKALI</t>
  </si>
  <si>
    <t>533108,</t>
  </si>
  <si>
    <t>Gujarat Ambuja Exports Ltd.</t>
  </si>
  <si>
    <t>GAEL</t>
  </si>
  <si>
    <t>Solvent Extraction</t>
  </si>
  <si>
    <t>Gujarat Apollo Industries Ltd.</t>
  </si>
  <si>
    <t>GUJAPOLLO</t>
  </si>
  <si>
    <t>Gujarat Fluorochemicals Ltd.</t>
  </si>
  <si>
    <t>FLUOROCHEM</t>
  </si>
  <si>
    <t>526488,</t>
  </si>
  <si>
    <t>Gujarat Gas Ltd.</t>
  </si>
  <si>
    <t>GUJGASLTD</t>
  </si>
  <si>
    <t>MANKIND,</t>
  </si>
  <si>
    <t>Adhbhut Infrastructure Ltd.</t>
  </si>
  <si>
    <t>ADHBHUTIN</t>
  </si>
  <si>
    <t>501848,</t>
  </si>
  <si>
    <t>Gujarat Industries Power Company Ltd.</t>
  </si>
  <si>
    <t>GIPCL</t>
  </si>
  <si>
    <t>SARVESHWAR,</t>
  </si>
  <si>
    <t>Gujarat Lease Financing Ltd.</t>
  </si>
  <si>
    <t>GLFL</t>
  </si>
  <si>
    <t>GLFL,</t>
  </si>
  <si>
    <t>LEMERITE,</t>
  </si>
  <si>
    <t>Gujarat Mineral Development Corporation Ltd.</t>
  </si>
  <si>
    <t>GMDCLTD</t>
  </si>
  <si>
    <t>524572,</t>
  </si>
  <si>
    <t>Gujarat Narmada Valley Fertilizers &amp; Chemicals Ltd.</t>
  </si>
  <si>
    <t>GNFC</t>
  </si>
  <si>
    <t>524614,</t>
  </si>
  <si>
    <t>Gujarat Pipavav Port Ltd.</t>
  </si>
  <si>
    <t>GPPL</t>
  </si>
  <si>
    <t>SANSTAR,</t>
  </si>
  <si>
    <t>Gujarat Raffia Industries Ltd.</t>
  </si>
  <si>
    <t>GUJRAFFIA</t>
  </si>
  <si>
    <t>SAGCEM,</t>
  </si>
  <si>
    <t>Gujarat State Fertilizers &amp; Chemicals Ltd.</t>
  </si>
  <si>
    <t>GSFC</t>
  </si>
  <si>
    <t>IFBAGRO,</t>
  </si>
  <si>
    <t>Gujarat State Petronet Ltd.</t>
  </si>
  <si>
    <t>GSPL</t>
  </si>
  <si>
    <t>544073,</t>
  </si>
  <si>
    <t>BMW Industries Ltd.</t>
  </si>
  <si>
    <t>BMW</t>
  </si>
  <si>
    <t>GSTL,</t>
  </si>
  <si>
    <t>Brahmaputra Infrastructure Ltd.</t>
  </si>
  <si>
    <t>BRAHMINFRA</t>
  </si>
  <si>
    <t>526025,</t>
  </si>
  <si>
    <t>CCL International Ltd.</t>
  </si>
  <si>
    <t>CCLINTER</t>
  </si>
  <si>
    <t>GLOBUSSPR,</t>
  </si>
  <si>
    <t>Conart Engineers Ltd.</t>
  </si>
  <si>
    <t>CONART</t>
  </si>
  <si>
    <t>GLOSTERLTD,</t>
  </si>
  <si>
    <t>Gulf Oil Lubricants India Ltd.</t>
  </si>
  <si>
    <t>GULFOILLUB</t>
  </si>
  <si>
    <t>506128,</t>
  </si>
  <si>
    <t>Crane Infrastructure Ltd.</t>
  </si>
  <si>
    <t>CRANEINFRA</t>
  </si>
  <si>
    <t>543239,</t>
  </si>
  <si>
    <t>Gulshan Polyols Ltd.</t>
  </si>
  <si>
    <t>GULPOLY</t>
  </si>
  <si>
    <t>DELHIVERY,</t>
  </si>
  <si>
    <t>GVK Power &amp; Infrastructure Ltd.</t>
  </si>
  <si>
    <t>GVKPIL</t>
  </si>
  <si>
    <t>Expo Gas Containers Ltd.</t>
  </si>
  <si>
    <t>EXPOGAS</t>
  </si>
  <si>
    <t>GMRP&amp;UI,</t>
  </si>
  <si>
    <t>GVP Infotech Ltd.</t>
  </si>
  <si>
    <t>GVPTECH</t>
  </si>
  <si>
    <t>530897,</t>
  </si>
  <si>
    <t>H.G. Infra Engineering Ltd.</t>
  </si>
  <si>
    <t>HGINFRA</t>
  </si>
  <si>
    <t>530317,</t>
  </si>
  <si>
    <t>Happiest Minds Technologies Ltd.</t>
  </si>
  <si>
    <t>HAPPSTMNDS</t>
  </si>
  <si>
    <t>NGLFINE,</t>
  </si>
  <si>
    <t>Happy Forgings Ltd.</t>
  </si>
  <si>
    <t>HAPPYFORGE</t>
  </si>
  <si>
    <t>MANAKSTEEL,</t>
  </si>
  <si>
    <t>Genus Prime Infrastructures Ltd.</t>
  </si>
  <si>
    <t>GENUSPRIME</t>
  </si>
  <si>
    <t>542850,</t>
  </si>
  <si>
    <t>Hardwyn India Ltd.</t>
  </si>
  <si>
    <t>HARDWYN</t>
  </si>
  <si>
    <t>530043,</t>
  </si>
  <si>
    <t>Hariom Pipe Industries Ltd.</t>
  </si>
  <si>
    <t>HARIOMPIPE</t>
  </si>
  <si>
    <t>SMLISUZU,</t>
  </si>
  <si>
    <t>Harrisons Malayalam Ltd.</t>
  </si>
  <si>
    <t>HARRMALAYA</t>
  </si>
  <si>
    <t>AARTECH,</t>
  </si>
  <si>
    <t>Harsha Engineers International Ltd.</t>
  </si>
  <si>
    <t>HARSHA</t>
  </si>
  <si>
    <t>HBLENGINE,</t>
  </si>
  <si>
    <t>Hathway Cable &amp; Datacom Ltd.</t>
  </si>
  <si>
    <t>HATHWAY</t>
  </si>
  <si>
    <t>Hatsun Agro Product Ltd.</t>
  </si>
  <si>
    <t>HATSUN</t>
  </si>
  <si>
    <t>Ind Renewable Energy Ltd.</t>
  </si>
  <si>
    <t>INDRENEW</t>
  </si>
  <si>
    <t>GODREJAGRO,</t>
  </si>
  <si>
    <t>Havells India Ltd.</t>
  </si>
  <si>
    <t>HAVELLS</t>
  </si>
  <si>
    <t>HB Stockholdings Ltd.</t>
  </si>
  <si>
    <t>HBSL</t>
  </si>
  <si>
    <t>HBSL,</t>
  </si>
  <si>
    <t>KSCL,</t>
  </si>
  <si>
    <t>HBL Engineering Ltd.</t>
  </si>
  <si>
    <t>HBLENGINE</t>
  </si>
  <si>
    <t>523007,</t>
  </si>
  <si>
    <t>HCL Infosystems Ltd.</t>
  </si>
  <si>
    <t>HCL-INSYS</t>
  </si>
  <si>
    <t>RADIOCITY,</t>
  </si>
  <si>
    <t>HCL Technologies Ltd.</t>
  </si>
  <si>
    <t>HCLTECH</t>
  </si>
  <si>
    <t>517554,</t>
  </si>
  <si>
    <t>HDFC Asset Management Company Ltd.</t>
  </si>
  <si>
    <t>HDFCAMC</t>
  </si>
  <si>
    <t>HDFCAMC,</t>
  </si>
  <si>
    <t>INDOCO,</t>
  </si>
  <si>
    <t>Julien Agro Infratech Ltd.</t>
  </si>
  <si>
    <t>JULIEN</t>
  </si>
  <si>
    <t>532957,</t>
  </si>
  <si>
    <t>K&amp;R Rail Engineering Ltd.</t>
  </si>
  <si>
    <t>KRRAIL</t>
  </si>
  <si>
    <t>GOKEX,</t>
  </si>
  <si>
    <t>Kaizen Agro Infrabuild Ltd.</t>
  </si>
  <si>
    <t>KAIZENAGRO</t>
  </si>
  <si>
    <t>GOKULAGRO,</t>
  </si>
  <si>
    <t>HDFC Bank Ltd.</t>
  </si>
  <si>
    <t>HDFCBANK</t>
  </si>
  <si>
    <t>513117,</t>
  </si>
  <si>
    <t>HDFC Life Insurance Company Ltd.</t>
  </si>
  <si>
    <t>HDFCLIFE</t>
  </si>
  <si>
    <t>HDFCLIFE,</t>
  </si>
  <si>
    <t>508922,</t>
  </si>
  <si>
    <t>Heads UP Ventures Ltd.</t>
  </si>
  <si>
    <t>HEADSUP</t>
  </si>
  <si>
    <t>SHREEPUSHK,</t>
  </si>
  <si>
    <t>Healthcare Global Enterprises Ltd.</t>
  </si>
  <si>
    <t>HCG</t>
  </si>
  <si>
    <t>MAXHEALTH,</t>
  </si>
  <si>
    <t>HEC Infra Projects Ltd.</t>
  </si>
  <si>
    <t>HECPROJECT</t>
  </si>
  <si>
    <t>GPIL,</t>
  </si>
  <si>
    <t>HEG Ltd.</t>
  </si>
  <si>
    <t>HEG</t>
  </si>
  <si>
    <t>Last Mile Enterprises Ltd.</t>
  </si>
  <si>
    <t>LASTMILE</t>
  </si>
  <si>
    <t>GOLDSTAR,</t>
  </si>
  <si>
    <t>Heidelberg Cement India Ltd.</t>
  </si>
  <si>
    <t>HEIDELBERG</t>
  </si>
  <si>
    <t>AWFIS,</t>
  </si>
  <si>
    <t>Madhav Infra Projects Ltd.</t>
  </si>
  <si>
    <t>MADHAVIPL</t>
  </si>
  <si>
    <t>513309,</t>
  </si>
  <si>
    <t>Hemisphere Properties India Ltd.</t>
  </si>
  <si>
    <t>HEMIPROP</t>
  </si>
  <si>
    <t>Heranba Industries Ltd.</t>
  </si>
  <si>
    <t>HERANBA</t>
  </si>
  <si>
    <t>544021,</t>
  </si>
  <si>
    <t>Hercules Hoists Ltd.</t>
  </si>
  <si>
    <t>HERCULES</t>
  </si>
  <si>
    <t>526717,</t>
  </si>
  <si>
    <t>Heritage Foods Ltd.</t>
  </si>
  <si>
    <t>HERITGFOOD</t>
  </si>
  <si>
    <t>DELTACORP,</t>
  </si>
  <si>
    <t>Hero MotoCorp Ltd.</t>
  </si>
  <si>
    <t>HEROMOTOCO</t>
  </si>
  <si>
    <t>Newtime Infrastructure Ltd.</t>
  </si>
  <si>
    <t>NEWINFRA</t>
  </si>
  <si>
    <t>GOPAL,</t>
  </si>
  <si>
    <t>Hester Biosciences Ltd.</t>
  </si>
  <si>
    <t>HESTERBIO</t>
  </si>
  <si>
    <t>RKFORGE,</t>
  </si>
  <si>
    <t>Nirlon Ltd.</t>
  </si>
  <si>
    <t>NIRLON</t>
  </si>
  <si>
    <t>531111,</t>
  </si>
  <si>
    <t>Noida Toll Bridge Company Ltd.</t>
  </si>
  <si>
    <t>NOIDATOLL</t>
  </si>
  <si>
    <t>Heubach Colorants India Ltd.</t>
  </si>
  <si>
    <t>HEUBACHIND</t>
  </si>
  <si>
    <t>BIKEWO,</t>
  </si>
  <si>
    <t>Hexa Tradex Ltd.</t>
  </si>
  <si>
    <t>HEXATRADEX</t>
  </si>
  <si>
    <t>505232,</t>
  </si>
  <si>
    <t>PBA Infrastructure Ltd.</t>
  </si>
  <si>
    <t>PBAINFRA</t>
  </si>
  <si>
    <t>HFCL Ltd.</t>
  </si>
  <si>
    <t>HFCL</t>
  </si>
  <si>
    <t>SUNDARAM,</t>
  </si>
  <si>
    <t>Hi-Green Carbon Ltd.</t>
  </si>
  <si>
    <t>HIGREEN</t>
  </si>
  <si>
    <t>ATLASCYCLE,</t>
  </si>
  <si>
    <t>Hi-Tech Pipes Ltd.</t>
  </si>
  <si>
    <t>HITECH</t>
  </si>
  <si>
    <t>SMSLIFE,</t>
  </si>
  <si>
    <t>Precision Electronics Ltd.</t>
  </si>
  <si>
    <t>PRECISIO</t>
  </si>
  <si>
    <t>GPTHEALTH,</t>
  </si>
  <si>
    <t>Highways Infrastructure Trust</t>
  </si>
  <si>
    <t>HIGHWAYS</t>
  </si>
  <si>
    <t>Finance Term Lending</t>
  </si>
  <si>
    <t>HIGHWAYS,</t>
  </si>
  <si>
    <t>MAHSCOOTER,</t>
  </si>
  <si>
    <t>Hikal Ltd.</t>
  </si>
  <si>
    <t>HIKAL</t>
  </si>
  <si>
    <t>RAMKY,</t>
  </si>
  <si>
    <t>Refex Renewables &amp; Infrastructure Ltd.</t>
  </si>
  <si>
    <t>REFEXRENEW</t>
  </si>
  <si>
    <t>GFSTEELS,</t>
  </si>
  <si>
    <t>HIL Ltd.</t>
  </si>
  <si>
    <t>HIL</t>
  </si>
  <si>
    <t>Hilton Metal Forging Ltd.</t>
  </si>
  <si>
    <t>HILTON</t>
  </si>
  <si>
    <t>MANDEEP,</t>
  </si>
  <si>
    <t>Himadri Speciality Chemical Ltd.</t>
  </si>
  <si>
    <t>HSCL</t>
  </si>
  <si>
    <t>526853,</t>
  </si>
  <si>
    <t>Himatsingka Seide Ltd.</t>
  </si>
  <si>
    <t>HIMATSEIDE</t>
  </si>
  <si>
    <t>TALBROAUTO,</t>
  </si>
  <si>
    <t>Hind Rectifiers Ltd.</t>
  </si>
  <si>
    <t>HIRECT</t>
  </si>
  <si>
    <t>FMGOETZE,</t>
  </si>
  <si>
    <t>Sam Industries Ltd.</t>
  </si>
  <si>
    <t>SAMINDUS</t>
  </si>
  <si>
    <t>505710,</t>
  </si>
  <si>
    <t>Hindalco Industries Ltd.</t>
  </si>
  <si>
    <t>HINDALCO</t>
  </si>
  <si>
    <t>PEARLPOLY,</t>
  </si>
  <si>
    <t>Shelter Infra Projects Ltd.</t>
  </si>
  <si>
    <t>SIPL</t>
  </si>
  <si>
    <t>GRAVITA,</t>
  </si>
  <si>
    <t>Shree Precoated Steels Ltd.</t>
  </si>
  <si>
    <t>SPSL</t>
  </si>
  <si>
    <t>GREAVESCOT,</t>
  </si>
  <si>
    <t>Hindcon Chemicals Ltd.</t>
  </si>
  <si>
    <t>HINDCON</t>
  </si>
  <si>
    <t>543209,</t>
  </si>
  <si>
    <t>Hindprakash Industries Ltd.</t>
  </si>
  <si>
    <t>HPIL</t>
  </si>
  <si>
    <t>526705,</t>
  </si>
  <si>
    <t>Hinduja Global Solutions Ltd.</t>
  </si>
  <si>
    <t>HGS</t>
  </si>
  <si>
    <t>524640,</t>
  </si>
  <si>
    <t>Hindustan Aeronautics Ltd.</t>
  </si>
  <si>
    <t>HAL</t>
  </si>
  <si>
    <t>543410,</t>
  </si>
  <si>
    <t>Hindustan Composites Ltd.</t>
  </si>
  <si>
    <t>HINDCOMPOS</t>
  </si>
  <si>
    <t>544224,</t>
  </si>
  <si>
    <t>Hindustan Construction Company Ltd.</t>
  </si>
  <si>
    <t>HCC</t>
  </si>
  <si>
    <t>GODFRYPHLP,</t>
  </si>
  <si>
    <t>Hindustan Copper Ltd.</t>
  </si>
  <si>
    <t>HINDCOPPER</t>
  </si>
  <si>
    <t>524136,</t>
  </si>
  <si>
    <t>Hindustan Foods Ltd.</t>
  </si>
  <si>
    <t>HNDFDS</t>
  </si>
  <si>
    <t>539596,</t>
  </si>
  <si>
    <t>Hindustan Media Ventures Ltd.</t>
  </si>
  <si>
    <t>HMVL</t>
  </si>
  <si>
    <t>Hindustan Motors Ltd.</t>
  </si>
  <si>
    <t>HINDMOTORS</t>
  </si>
  <si>
    <t>524634,</t>
  </si>
  <si>
    <t>Vardhman Concrete Ltd.</t>
  </si>
  <si>
    <t>VARDHMAN</t>
  </si>
  <si>
    <t>GRMOVER,</t>
  </si>
  <si>
    <t>Hindustan Oil Exploration Company Ltd.</t>
  </si>
  <si>
    <t>HINDOILEXP</t>
  </si>
  <si>
    <t>540717,</t>
  </si>
  <si>
    <t>Hindustan Petroleum Corporation Ltd.</t>
  </si>
  <si>
    <t>HINDPETRO</t>
  </si>
  <si>
    <t>SFL,</t>
  </si>
  <si>
    <t>Vivanta Industries Ltd.</t>
  </si>
  <si>
    <t>VIVANTA</t>
  </si>
  <si>
    <t>539222,</t>
  </si>
  <si>
    <t>VSF Projects Ltd.</t>
  </si>
  <si>
    <t>VSFPROJ</t>
  </si>
  <si>
    <t>GRPLTD,</t>
  </si>
  <si>
    <t>Hindustan Unilever Ltd.</t>
  </si>
  <si>
    <t>HINDUNILVR</t>
  </si>
  <si>
    <t>530169,</t>
  </si>
  <si>
    <t>Hindustan Zinc Ltd.</t>
  </si>
  <si>
    <t>HINDZINC</t>
  </si>
  <si>
    <t>531352,</t>
  </si>
  <si>
    <t>Hindusthan National Glass &amp; Industries Ltd.</t>
  </si>
  <si>
    <t>HINDNATGLS</t>
  </si>
  <si>
    <t>MARATHON,</t>
  </si>
  <si>
    <t>Hindware Home Innovation Ltd.</t>
  </si>
  <si>
    <t>HINDWAREAP</t>
  </si>
  <si>
    <t>CUPID,</t>
  </si>
  <si>
    <t>Hisar Metal Industries Ltd.</t>
  </si>
  <si>
    <t>HISARMETAL</t>
  </si>
  <si>
    <t>SMSPHARMA,</t>
  </si>
  <si>
    <t>Hitachi Energy India Ltd.</t>
  </si>
  <si>
    <t>POWERINDIA</t>
  </si>
  <si>
    <t>FELIX,</t>
  </si>
  <si>
    <t>Hitech Corporation Ltd.</t>
  </si>
  <si>
    <t>HITECHCORP</t>
  </si>
  <si>
    <t>ROLEXRINGS,</t>
  </si>
  <si>
    <t>NACDAC Infrastructure Ltd.</t>
  </si>
  <si>
    <t>NACDAC</t>
  </si>
  <si>
    <t>500170,</t>
  </si>
  <si>
    <t>Popular Foundations Ltd.</t>
  </si>
  <si>
    <t>PFL</t>
  </si>
  <si>
    <t>532744,</t>
  </si>
  <si>
    <t>HLE Glascoat Ltd.</t>
  </si>
  <si>
    <t>HLEGLAS</t>
  </si>
  <si>
    <t>HLV Ltd.</t>
  </si>
  <si>
    <t>HLVLTD</t>
  </si>
  <si>
    <t>540150,</t>
  </si>
  <si>
    <t>HMA Agro Industries Ltd.</t>
  </si>
  <si>
    <t>HMAAGRO</t>
  </si>
  <si>
    <t>DELTAMAGNT,</t>
  </si>
  <si>
    <t>VVIP Infratech Ltd.</t>
  </si>
  <si>
    <t>VVIPIL</t>
  </si>
  <si>
    <t>GUFICBIO,</t>
  </si>
  <si>
    <t>HMT Ltd.</t>
  </si>
  <si>
    <t>HMT</t>
  </si>
  <si>
    <t>HEADSUP,</t>
  </si>
  <si>
    <t>Hoac Foods India Ltd.</t>
  </si>
  <si>
    <t>HOACFOODS</t>
  </si>
  <si>
    <t>DATAMATICS,</t>
  </si>
  <si>
    <t>Holmarc Opto-Mechatronics Ltd.</t>
  </si>
  <si>
    <t>HOLMARC</t>
  </si>
  <si>
    <t>Medical Equipment/Supplies/Accessories</t>
  </si>
  <si>
    <t>521080,</t>
  </si>
  <si>
    <t>Alphalogic Industries Ltd.</t>
  </si>
  <si>
    <t>ALPHAIND</t>
  </si>
  <si>
    <t>513507,</t>
  </si>
  <si>
    <t>Home First Finance Company India Ltd.</t>
  </si>
  <si>
    <t>HOMEFIRST</t>
  </si>
  <si>
    <t>HOMEFIRST,</t>
  </si>
  <si>
    <t>INFOLLION,</t>
  </si>
  <si>
    <t>Aztec Fluids &amp; Machinery Ltd.</t>
  </si>
  <si>
    <t>AZTEC</t>
  </si>
  <si>
    <t>526965,</t>
  </si>
  <si>
    <t>Concord Control Systems Ltd.</t>
  </si>
  <si>
    <t>CNCRD</t>
  </si>
  <si>
    <t>FLUOROCHEM,</t>
  </si>
  <si>
    <t>Homesfy Realty Ltd.</t>
  </si>
  <si>
    <t>HOMESFY</t>
  </si>
  <si>
    <t>534796,</t>
  </si>
  <si>
    <t>Honasa Consumer Ltd.</t>
  </si>
  <si>
    <t>HONASA</t>
  </si>
  <si>
    <t>VELS,</t>
  </si>
  <si>
    <t>Honda India Power Products Ltd.</t>
  </si>
  <si>
    <t>HONDAPOWER</t>
  </si>
  <si>
    <t>506414,</t>
  </si>
  <si>
    <t>Honeywell Automation India Ltd.</t>
  </si>
  <si>
    <t>HONAUT</t>
  </si>
  <si>
    <t>526821,</t>
  </si>
  <si>
    <t>Forbes Precision Tools And Machine Parts Ltd.</t>
  </si>
  <si>
    <t>TOTEM</t>
  </si>
  <si>
    <t>524238,</t>
  </si>
  <si>
    <t>Housing &amp; Urban Development Corporation Ltd.</t>
  </si>
  <si>
    <t>HUDCO</t>
  </si>
  <si>
    <t>HUDCO,</t>
  </si>
  <si>
    <t>Housing Development And Infrastructure Ltd.</t>
  </si>
  <si>
    <t>HDIL</t>
  </si>
  <si>
    <t>519475,</t>
  </si>
  <si>
    <t>Kilburn Engineering Ltd.</t>
  </si>
  <si>
    <t>KLBRENG-B</t>
  </si>
  <si>
    <t>GMDCLTD,</t>
  </si>
  <si>
    <t>HOV Services Ltd.</t>
  </si>
  <si>
    <t>HOVS</t>
  </si>
  <si>
    <t>543993,</t>
  </si>
  <si>
    <t>Mewar Hi-Tech Engineering Ltd.</t>
  </si>
  <si>
    <t>MHEL</t>
  </si>
  <si>
    <t>513536,</t>
  </si>
  <si>
    <t>HP Adhesives Ltd.</t>
  </si>
  <si>
    <t>HPAL</t>
  </si>
  <si>
    <t>BINANIIND,</t>
  </si>
  <si>
    <t>Sealmatic India Ltd.</t>
  </si>
  <si>
    <t>SEALMATIC</t>
  </si>
  <si>
    <t>GPPL,</t>
  </si>
  <si>
    <t>Shri Balaji Valve Components Ltd.</t>
  </si>
  <si>
    <t>SBVCL</t>
  </si>
  <si>
    <t>517288,</t>
  </si>
  <si>
    <t>HPL Electric &amp; Power Ltd.</t>
  </si>
  <si>
    <t>HPL</t>
  </si>
  <si>
    <t>533896,</t>
  </si>
  <si>
    <t>Storage Technologies &amp; Automation Ltd.</t>
  </si>
  <si>
    <t>STAL</t>
  </si>
  <si>
    <t>GSFC,</t>
  </si>
  <si>
    <t>HRH Next Services Ltd.</t>
  </si>
  <si>
    <t>HRHNEXT</t>
  </si>
  <si>
    <t>APOLLOPIPE,</t>
  </si>
  <si>
    <t>Acrow India Ltd.</t>
  </si>
  <si>
    <t>ACROW</t>
  </si>
  <si>
    <t>GSPL,</t>
  </si>
  <si>
    <t>Adarsh Plant Protect Ltd.</t>
  </si>
  <si>
    <t>ADARSHPL</t>
  </si>
  <si>
    <t>524314,</t>
  </si>
  <si>
    <t>Advait Infratech Ltd.</t>
  </si>
  <si>
    <t>ADVAIT</t>
  </si>
  <si>
    <t>506879,</t>
  </si>
  <si>
    <t>Advance Metering Technology Ltd.</t>
  </si>
  <si>
    <t>AMTL</t>
  </si>
  <si>
    <t>513337,</t>
  </si>
  <si>
    <t>HT Media Ltd.</t>
  </si>
  <si>
    <t>HTMEDIA</t>
  </si>
  <si>
    <t>SEMAC,</t>
  </si>
  <si>
    <t>Algoquant Fintech Ltd.</t>
  </si>
  <si>
    <t>AQFINTECH</t>
  </si>
  <si>
    <t>GULFOILLUB,</t>
  </si>
  <si>
    <t>Alliance Integrated Metaliks Ltd.</t>
  </si>
  <si>
    <t>AIML</t>
  </si>
  <si>
    <t>GULPOLY,</t>
  </si>
  <si>
    <t>Amba Enterprises Ltd.</t>
  </si>
  <si>
    <t>AEL</t>
  </si>
  <si>
    <t>523277,</t>
  </si>
  <si>
    <t>Arigato Universe Ltd.</t>
  </si>
  <si>
    <t>ARIGATO</t>
  </si>
  <si>
    <t>GVKPIL,</t>
  </si>
  <si>
    <t>Artson Ltd.</t>
  </si>
  <si>
    <t>ARTSONEN</t>
  </si>
  <si>
    <t>GVPTECH,</t>
  </si>
  <si>
    <t>Hubtown Ltd.</t>
  </si>
  <si>
    <t>HUBTOWN</t>
  </si>
  <si>
    <t>501833,</t>
  </si>
  <si>
    <t>ATV Projects India Ltd.</t>
  </si>
  <si>
    <t>ATVPR</t>
  </si>
  <si>
    <t>HGINFRA,</t>
  </si>
  <si>
    <t>Axtel Industries Ltd.</t>
  </si>
  <si>
    <t>AXTEL</t>
  </si>
  <si>
    <t>539854,</t>
  </si>
  <si>
    <t>Huhtamaki India Ltd.</t>
  </si>
  <si>
    <t>HUHTAMAKI</t>
  </si>
  <si>
    <t>SAGILITY,</t>
  </si>
  <si>
    <t>Bajaj Steel Industries Ltd.</t>
  </si>
  <si>
    <t>BAJAJST</t>
  </si>
  <si>
    <t>544312,</t>
  </si>
  <si>
    <t>HVAX Technologies Ltd.</t>
  </si>
  <si>
    <t>HVAX</t>
  </si>
  <si>
    <t>532145,</t>
  </si>
  <si>
    <t>Batliboi Ltd.</t>
  </si>
  <si>
    <t>BATLIBOI</t>
  </si>
  <si>
    <t>HAPPSTMNDS,</t>
  </si>
  <si>
    <t>BCPL Railway Infrastructure Ltd.</t>
  </si>
  <si>
    <t>BCPL</t>
  </si>
  <si>
    <t>HAPPYFORGE,</t>
  </si>
  <si>
    <t>Bemco Hydraulics Ltd.</t>
  </si>
  <si>
    <t>BEMHY</t>
  </si>
  <si>
    <t>509597,</t>
  </si>
  <si>
    <t>Hybrid Financial Services Ltd.</t>
  </si>
  <si>
    <t>HYBRIDFIN</t>
  </si>
  <si>
    <t>HYBRIDFIN,</t>
  </si>
  <si>
    <t>KHAICHEM,</t>
  </si>
  <si>
    <t>Hyundai Motor India Ltd.</t>
  </si>
  <si>
    <t>HYUNDAI</t>
  </si>
  <si>
    <t>543804,</t>
  </si>
  <si>
    <t>Birla Precision Technologies Ltd.</t>
  </si>
  <si>
    <t>BIRLAPREC</t>
  </si>
  <si>
    <t>512604,</t>
  </si>
  <si>
    <t>IBL Finance Ltd.</t>
  </si>
  <si>
    <t>IBLFL</t>
  </si>
  <si>
    <t>IBLFL,</t>
  </si>
  <si>
    <t>524202,</t>
  </si>
  <si>
    <t>Cenlub Industries Ltd.</t>
  </si>
  <si>
    <t>CENLUB</t>
  </si>
  <si>
    <t>542682,</t>
  </si>
  <si>
    <t>Chemtech Industrial Valves Ltd.</t>
  </si>
  <si>
    <t>CHEMTECH</t>
  </si>
  <si>
    <t>526931,</t>
  </si>
  <si>
    <t>Cranex Ltd.</t>
  </si>
  <si>
    <t>CRANEX</t>
  </si>
  <si>
    <t>HARRMALAYA,</t>
  </si>
  <si>
    <t>DHP India Ltd.</t>
  </si>
  <si>
    <t>DHPIND</t>
  </si>
  <si>
    <t>HARSHA,</t>
  </si>
  <si>
    <t>Disa India Ltd.</t>
  </si>
  <si>
    <t>DISAQ</t>
  </si>
  <si>
    <t>544105,</t>
  </si>
  <si>
    <t>Duncan Engineering Ltd.</t>
  </si>
  <si>
    <t>DUNCANENG</t>
  </si>
  <si>
    <t>505336,</t>
  </si>
  <si>
    <t>ICDS Ltd.</t>
  </si>
  <si>
    <t>ICDSLTD</t>
  </si>
  <si>
    <t>ICDSLTD,</t>
  </si>
  <si>
    <t>523594,</t>
  </si>
  <si>
    <t>ICE Make Refrigeration Ltd.</t>
  </si>
  <si>
    <t>ICEMAKE</t>
  </si>
  <si>
    <t>GAJANAND,</t>
  </si>
  <si>
    <t>Ema India Ltd.</t>
  </si>
  <si>
    <t>EMAINDIA</t>
  </si>
  <si>
    <t>Envair Electrodyne Ltd.</t>
  </si>
  <si>
    <t>ENVAIREL</t>
  </si>
  <si>
    <t>509073,</t>
  </si>
  <si>
    <t>ICICI Bank Ltd.</t>
  </si>
  <si>
    <t>ICICIBANK</t>
  </si>
  <si>
    <t>AMIORG,</t>
  </si>
  <si>
    <t>Fluidomat Ltd.</t>
  </si>
  <si>
    <t>FLUIDOM</t>
  </si>
  <si>
    <t>HATSUN,</t>
  </si>
  <si>
    <t>Forbes &amp; Company Ltd.</t>
  </si>
  <si>
    <t>FORBESCO</t>
  </si>
  <si>
    <t>HAVELLS,</t>
  </si>
  <si>
    <t>G.G. Dandekar Properties Ltd.</t>
  </si>
  <si>
    <t>GGDPROP</t>
  </si>
  <si>
    <t>539176,</t>
  </si>
  <si>
    <t>ICICI Lombard General Insurance Company Ltd.</t>
  </si>
  <si>
    <t>ICICIGI</t>
  </si>
  <si>
    <t>ICICIGI,</t>
  </si>
  <si>
    <t>543262,</t>
  </si>
  <si>
    <t>GG Automotive Gears Ltd.</t>
  </si>
  <si>
    <t>GGAUTO</t>
  </si>
  <si>
    <t>532467,</t>
  </si>
  <si>
    <t>ICICI Prudential Life Insurance Company Ltd.</t>
  </si>
  <si>
    <t>ICICIPRULI</t>
  </si>
  <si>
    <t>ICICIPRULI,</t>
  </si>
  <si>
    <t>MSTCLTD,</t>
  </si>
  <si>
    <t>ICICI Securities Ltd.</t>
  </si>
  <si>
    <t>ISEC</t>
  </si>
  <si>
    <t>ISEC,</t>
  </si>
  <si>
    <t>LUXIND,</t>
  </si>
  <si>
    <t>ICRA Ltd.</t>
  </si>
  <si>
    <t>ICRA</t>
  </si>
  <si>
    <t>SCML,</t>
  </si>
  <si>
    <t>Gujarat Containers Ltd.</t>
  </si>
  <si>
    <t>GUJCONT</t>
  </si>
  <si>
    <t>IDBI Bank Ltd.</t>
  </si>
  <si>
    <t>IDBI</t>
  </si>
  <si>
    <t>AMIABLE,</t>
  </si>
  <si>
    <t>Harshil Agrotech Ltd.</t>
  </si>
  <si>
    <t>HARSHILAGR</t>
  </si>
  <si>
    <t>HCL-INSYS,</t>
  </si>
  <si>
    <t>Hawa Engineers Ltd.</t>
  </si>
  <si>
    <t>HAWAENG</t>
  </si>
  <si>
    <t>HCLTECH,</t>
  </si>
  <si>
    <t>Ideaforge Technology Ltd.</t>
  </si>
  <si>
    <t>IDEAFORGE</t>
  </si>
  <si>
    <t>HCG,</t>
  </si>
  <si>
    <t>Hindustan Tin Works Ltd.</t>
  </si>
  <si>
    <t>HINDTIN</t>
  </si>
  <si>
    <t>Hittco Tools Ltd.</t>
  </si>
  <si>
    <t>HITTCO</t>
  </si>
  <si>
    <t>Ideal Technoplast Industries Ltd.</t>
  </si>
  <si>
    <t>IDEALTECHO</t>
  </si>
  <si>
    <t>POWERMECH,</t>
  </si>
  <si>
    <t>Identical Brains Studios Ltd.</t>
  </si>
  <si>
    <t>IDENTICAL</t>
  </si>
  <si>
    <t>INDORAMA,</t>
  </si>
  <si>
    <t>IDFC First Bank Ltd.</t>
  </si>
  <si>
    <t>IDFCFIRSTB</t>
  </si>
  <si>
    <t>544037,</t>
  </si>
  <si>
    <t>Incon Engineers Ltd.</t>
  </si>
  <si>
    <t>INCON</t>
  </si>
  <si>
    <t>543546,</t>
  </si>
  <si>
    <t>IFB Agro Industries Ltd.</t>
  </si>
  <si>
    <t>IFBAGRO</t>
  </si>
  <si>
    <t>DEN,</t>
  </si>
  <si>
    <t>Integra Engineering India Ltd.</t>
  </si>
  <si>
    <t>INTEGRAEN</t>
  </si>
  <si>
    <t>526967,</t>
  </si>
  <si>
    <t>International Combustion (India) Ltd.</t>
  </si>
  <si>
    <t>INTLCOMBQ</t>
  </si>
  <si>
    <t>HEG,</t>
  </si>
  <si>
    <t>IFB Industries Ltd.</t>
  </si>
  <si>
    <t>IFBIND</t>
  </si>
  <si>
    <t>543378,</t>
  </si>
  <si>
    <t>IFCI Ltd.</t>
  </si>
  <si>
    <t>IFCI</t>
  </si>
  <si>
    <t>IFCI,</t>
  </si>
  <si>
    <t>505523,</t>
  </si>
  <si>
    <t>ITL Industries Ltd.</t>
  </si>
  <si>
    <t>ITL</t>
  </si>
  <si>
    <t>Jainex Aamcol Ltd.</t>
  </si>
  <si>
    <t>JAINEX</t>
  </si>
  <si>
    <t>502133,</t>
  </si>
  <si>
    <t>Jasch Gauging Technologies Ltd.</t>
  </si>
  <si>
    <t>JGTL</t>
  </si>
  <si>
    <t>531178,</t>
  </si>
  <si>
    <t>IFGL Refractories Ltd.</t>
  </si>
  <si>
    <t>IFGLEXPOR</t>
  </si>
  <si>
    <t>Refractories</t>
  </si>
  <si>
    <t>SHERA,</t>
  </si>
  <si>
    <t>John Cockerill India Ltd</t>
  </si>
  <si>
    <t>COCKERILL</t>
  </si>
  <si>
    <t>HEMIPROP,</t>
  </si>
  <si>
    <t>JostS Engineering Company Ltd.</t>
  </si>
  <si>
    <t>JOSTS</t>
  </si>
  <si>
    <t>524590,</t>
  </si>
  <si>
    <t>IG Petrochemicals Ltd.</t>
  </si>
  <si>
    <t>IGPL</t>
  </si>
  <si>
    <t>523054,</t>
  </si>
  <si>
    <t>Igarashi Motors India Ltd.</t>
  </si>
  <si>
    <t>IGARASHI</t>
  </si>
  <si>
    <t>IIFL Capital Services Ltd.</t>
  </si>
  <si>
    <t>IIFLCAPS</t>
  </si>
  <si>
    <t>IIFLCAPS,</t>
  </si>
  <si>
    <t>505212,</t>
  </si>
  <si>
    <t>IIFL Finance Ltd.</t>
  </si>
  <si>
    <t>IIFL</t>
  </si>
  <si>
    <t>IIFL,</t>
  </si>
  <si>
    <t>538564,</t>
  </si>
  <si>
    <t>IKIO Lighting Ltd.</t>
  </si>
  <si>
    <t>IKIO</t>
  </si>
  <si>
    <t>539228,</t>
  </si>
  <si>
    <t>KPT Industries Ltd.</t>
  </si>
  <si>
    <t>KPT</t>
  </si>
  <si>
    <t>HEUBACHIND,</t>
  </si>
  <si>
    <t>IL&amp;FS Engineering and Construction Company Ltd.</t>
  </si>
  <si>
    <t>IL&amp;FSENGG</t>
  </si>
  <si>
    <t>GODHA,</t>
  </si>
  <si>
    <t>Loyal Equipments Ltd.</t>
  </si>
  <si>
    <t>LOYAL</t>
  </si>
  <si>
    <t>HFCL,</t>
  </si>
  <si>
    <t>IL&amp;FS Investment Managers Ltd.</t>
  </si>
  <si>
    <t>IVC</t>
  </si>
  <si>
    <t>IVC,</t>
  </si>
  <si>
    <t>523712,</t>
  </si>
  <si>
    <t>IL&amp;FS Transportation Networks Ltd.</t>
  </si>
  <si>
    <t>IL&amp;FSTRANS</t>
  </si>
  <si>
    <t>Imagicaaworld Entertainment Ltd.</t>
  </si>
  <si>
    <t>IMAGICAA</t>
  </si>
  <si>
    <t>ATGL,</t>
  </si>
  <si>
    <t>Incredible Industries Ltd.</t>
  </si>
  <si>
    <t>INCREDIBLE</t>
  </si>
  <si>
    <t>SMVD,</t>
  </si>
  <si>
    <t>Ind-Swift Laboratories Ltd.</t>
  </si>
  <si>
    <t>INDSWFTLAB</t>
  </si>
  <si>
    <t>RANASUG,</t>
  </si>
  <si>
    <t>Mauria Udyog Ltd.</t>
  </si>
  <si>
    <t>MUL</t>
  </si>
  <si>
    <t>Ind-Swift Ltd.</t>
  </si>
  <si>
    <t>INDSWFTLTD</t>
  </si>
  <si>
    <t>531228,</t>
  </si>
  <si>
    <t>Miven Machine Tools Ltd.</t>
  </si>
  <si>
    <t>MIVENMACH</t>
  </si>
  <si>
    <t>HIL,</t>
  </si>
  <si>
    <t>Indbank Merchant Banking Services Ltd.</t>
  </si>
  <si>
    <t>INDBANK</t>
  </si>
  <si>
    <t>INDBANK,</t>
  </si>
  <si>
    <t>LODHA,</t>
  </si>
  <si>
    <t>Indegene Ltd.</t>
  </si>
  <si>
    <t>INDGN</t>
  </si>
  <si>
    <t>544091,</t>
  </si>
  <si>
    <t>Patels Airtemp (India) Ltd.</t>
  </si>
  <si>
    <t>PATELSAI</t>
  </si>
  <si>
    <t>HILTON,</t>
  </si>
  <si>
    <t>India Glycols Ltd.</t>
  </si>
  <si>
    <t>INDIAGLYCO</t>
  </si>
  <si>
    <t>BIOFILCHEM,</t>
  </si>
  <si>
    <t>Polymechplast Machines Ltd.</t>
  </si>
  <si>
    <t>POLYCHMP</t>
  </si>
  <si>
    <t>HSCL,</t>
  </si>
  <si>
    <t>Pradeep Metals Ltd.</t>
  </si>
  <si>
    <t>PRADPME</t>
  </si>
  <si>
    <t>526899,</t>
  </si>
  <si>
    <t>India Grid Trust</t>
  </si>
  <si>
    <t>INDIGRID</t>
  </si>
  <si>
    <t>INDIGRID,</t>
  </si>
  <si>
    <t>JMA,</t>
  </si>
  <si>
    <t>India Motor Parts &amp; Accessories Ltd.</t>
  </si>
  <si>
    <t>IMPAL</t>
  </si>
  <si>
    <t>VENTIVE,</t>
  </si>
  <si>
    <t>Rajoo Engineers Ltd.</t>
  </si>
  <si>
    <t>RAJOOENG</t>
  </si>
  <si>
    <t>HIRECT,</t>
  </si>
  <si>
    <t>Rapicut Carbides Ltd.</t>
  </si>
  <si>
    <t>RAPICUT</t>
  </si>
  <si>
    <t>HINDALCO,</t>
  </si>
  <si>
    <t>Rishi Laser Ltd.</t>
  </si>
  <si>
    <t>RISHILASE</t>
  </si>
  <si>
    <t>HINDCON,</t>
  </si>
  <si>
    <t>India Nippon Electricals Ltd.</t>
  </si>
  <si>
    <t>INDNIPPON</t>
  </si>
  <si>
    <t>AFFLE,</t>
  </si>
  <si>
    <t>Rungta Irrigation Ltd.</t>
  </si>
  <si>
    <t>RUNGTAIR</t>
  </si>
  <si>
    <t>HPIL,</t>
  </si>
  <si>
    <t>India Pesticides Ltd.</t>
  </si>
  <si>
    <t>IPL</t>
  </si>
  <si>
    <t>PROV,</t>
  </si>
  <si>
    <t>India Power Corporation Ltd.</t>
  </si>
  <si>
    <t>DPSCLTD</t>
  </si>
  <si>
    <t>SASKEN,</t>
  </si>
  <si>
    <t>Shetron Ltd.</t>
  </si>
  <si>
    <t>SHETR</t>
  </si>
  <si>
    <t>HAL,</t>
  </si>
  <si>
    <t>Shilp Gravures Ltd.</t>
  </si>
  <si>
    <t>SHILGRAVQ</t>
  </si>
  <si>
    <t>519574,</t>
  </si>
  <si>
    <t>Shraddha Prime Projects Ltd.</t>
  </si>
  <si>
    <t>SHRADDHA</t>
  </si>
  <si>
    <t>531918,</t>
  </si>
  <si>
    <t>Shri Bajrang Alliance Ltd.</t>
  </si>
  <si>
    <t>SHBAJRG</t>
  </si>
  <si>
    <t>532041,</t>
  </si>
  <si>
    <t>India Shelter Finance Corporation Ltd.</t>
  </si>
  <si>
    <t>INDIASHLTR</t>
  </si>
  <si>
    <t>INDIASHLTR,</t>
  </si>
  <si>
    <t>541083,</t>
  </si>
  <si>
    <t>Sika Interplant Systems Ltd.</t>
  </si>
  <si>
    <t>SIKA</t>
  </si>
  <si>
    <t>HCC,</t>
  </si>
  <si>
    <t>India Tourism Development Corporation Ltd.</t>
  </si>
  <si>
    <t>ITDC</t>
  </si>
  <si>
    <t>513721,</t>
  </si>
  <si>
    <t>Solitaire Machine Tools Ltd.</t>
  </si>
  <si>
    <t>SOLIMAC</t>
  </si>
  <si>
    <t>524013,</t>
  </si>
  <si>
    <t>Sprayking Ltd.</t>
  </si>
  <si>
    <t>SPRAYKING</t>
  </si>
  <si>
    <t>HNDFDS,</t>
  </si>
  <si>
    <t>Sterling Powergensys Ltd.</t>
  </si>
  <si>
    <t>STERPOW</t>
  </si>
  <si>
    <t>505893,</t>
  </si>
  <si>
    <t>T&amp;I Global Ltd.</t>
  </si>
  <si>
    <t>TIGLOB</t>
  </si>
  <si>
    <t>HMVL,</t>
  </si>
  <si>
    <t>Indiabulls Enterprises Ltd.</t>
  </si>
  <si>
    <t>IEL</t>
  </si>
  <si>
    <t>Indiamart Intermesh Ltd.</t>
  </si>
  <si>
    <t>INDIAMART</t>
  </si>
  <si>
    <t>Indian Bank</t>
  </si>
  <si>
    <t>INDIANB</t>
  </si>
  <si>
    <t>Trans Freight Containers Ltd.</t>
  </si>
  <si>
    <t>TRANSFRE</t>
  </si>
  <si>
    <t>HINDPETRO,</t>
  </si>
  <si>
    <t>Trans India House Impex Ltd</t>
  </si>
  <si>
    <t>TIHIL</t>
  </si>
  <si>
    <t>530315,</t>
  </si>
  <si>
    <t>Indian Card Clothing Company Ltd.</t>
  </si>
  <si>
    <t>INDIANCARD</t>
  </si>
  <si>
    <t>Textile - Machinery</t>
  </si>
  <si>
    <t>TIL,</t>
  </si>
  <si>
    <t>Indian Emulsifiers Ltd.</t>
  </si>
  <si>
    <t>IEML</t>
  </si>
  <si>
    <t>522004,</t>
  </si>
  <si>
    <t>Indian Energy Exchange Ltd.</t>
  </si>
  <si>
    <t>IEX</t>
  </si>
  <si>
    <t>Indian Hume Pipe Company Ltd.</t>
  </si>
  <si>
    <t>INDIANHUME</t>
  </si>
  <si>
    <t>GODREJCP,</t>
  </si>
  <si>
    <t>United Van Der Horst Ltd.</t>
  </si>
  <si>
    <t>UVDRHOR</t>
  </si>
  <si>
    <t>HINDWAREAP,</t>
  </si>
  <si>
    <t>Vuenow Infratech Ltd.</t>
  </si>
  <si>
    <t>VUENOW</t>
  </si>
  <si>
    <t>530853,</t>
  </si>
  <si>
    <t>Indian Oil Corporation Ltd.</t>
  </si>
  <si>
    <t>IOC</t>
  </si>
  <si>
    <t>SCPL,</t>
  </si>
  <si>
    <t>Indian Overseas Bank</t>
  </si>
  <si>
    <t>IOB</t>
  </si>
  <si>
    <t>511153,</t>
  </si>
  <si>
    <t>Indian Phosphate Ltd.</t>
  </si>
  <si>
    <t>IPHL</t>
  </si>
  <si>
    <t>INCREDIBLE,</t>
  </si>
  <si>
    <t>Indian Railway Catering And Tourism Corporation Ltd.</t>
  </si>
  <si>
    <t>IRCTC</t>
  </si>
  <si>
    <t>Indian Railway Finance Corporation Ltd.</t>
  </si>
  <si>
    <t>IRFC</t>
  </si>
  <si>
    <t>IRFC,</t>
  </si>
  <si>
    <t>MTNL,</t>
  </si>
  <si>
    <t>Indian Renewable Energy Development Agency Ltd.</t>
  </si>
  <si>
    <t>IREDA</t>
  </si>
  <si>
    <t>IREDA,</t>
  </si>
  <si>
    <t>KROSS,</t>
  </si>
  <si>
    <t>Indian Terrain Fashions Ltd.</t>
  </si>
  <si>
    <t>INDTERRAIN</t>
  </si>
  <si>
    <t>TNPL,</t>
  </si>
  <si>
    <t>Indifra Ltd.</t>
  </si>
  <si>
    <t>INDIFRA</t>
  </si>
  <si>
    <t>Indigo Paints Ltd.</t>
  </si>
  <si>
    <t>INDIGOPNTS</t>
  </si>
  <si>
    <t>PRAENG,</t>
  </si>
  <si>
    <t>Indo Amines Ltd.</t>
  </si>
  <si>
    <t>INDOAMIN</t>
  </si>
  <si>
    <t>BIRLACABLE,</t>
  </si>
  <si>
    <t>Indo Borax &amp; Chemicals Ltd.</t>
  </si>
  <si>
    <t>INDOBORAX</t>
  </si>
  <si>
    <t>BIRLACORPN,</t>
  </si>
  <si>
    <t>Indo Count Industries Ltd.</t>
  </si>
  <si>
    <t>ICIL</t>
  </si>
  <si>
    <t>Indo Rama Synthetics (India) Ltd.</t>
  </si>
  <si>
    <t>INDORAMA</t>
  </si>
  <si>
    <t>TIPSMUSIC,</t>
  </si>
  <si>
    <t>Indo Tech Transformers Ltd.</t>
  </si>
  <si>
    <t>INDOTECH</t>
  </si>
  <si>
    <t>FIBERWEB,</t>
  </si>
  <si>
    <t>Indo Thai Securities Ltd.</t>
  </si>
  <si>
    <t>INDOTHAI</t>
  </si>
  <si>
    <t>INDOTHAI,</t>
  </si>
  <si>
    <t>Indo US Bio-Tech Ltd.</t>
  </si>
  <si>
    <t>INDOUS</t>
  </si>
  <si>
    <t>AARTIPHARM,</t>
  </si>
  <si>
    <t>Indo-National Ltd.</t>
  </si>
  <si>
    <t>NIPPOBATRY</t>
  </si>
  <si>
    <t>ANSALAPI,</t>
  </si>
  <si>
    <t>DMR Hydroengineering &amp; Infrastructures Ltd.</t>
  </si>
  <si>
    <t>DMR</t>
  </si>
  <si>
    <t>HOVS,</t>
  </si>
  <si>
    <t>DRA Consultants Ltd.</t>
  </si>
  <si>
    <t>DRA</t>
  </si>
  <si>
    <t>526761,</t>
  </si>
  <si>
    <t>Indoco Remedies Ltd.</t>
  </si>
  <si>
    <t>INDOCO</t>
  </si>
  <si>
    <t>RML,</t>
  </si>
  <si>
    <t>Indostar Capital Finance Ltd.</t>
  </si>
  <si>
    <t>INDOSTAR</t>
  </si>
  <si>
    <t>INDOSTAR,</t>
  </si>
  <si>
    <t>504392,</t>
  </si>
  <si>
    <t>Artefact Projects Ltd.</t>
  </si>
  <si>
    <t>ARTEFACT</t>
  </si>
  <si>
    <t>HPL,</t>
  </si>
  <si>
    <t>Indowind Energy Ltd.</t>
  </si>
  <si>
    <t>INDOWIND</t>
  </si>
  <si>
    <t>Indraprastha Gas Ltd.</t>
  </si>
  <si>
    <t>IGL</t>
  </si>
  <si>
    <t>MVGJL,</t>
  </si>
  <si>
    <t>Indraprastha Medical Corporation Ltd.</t>
  </si>
  <si>
    <t>INDRAMEDCO</t>
  </si>
  <si>
    <t>Indus Towers Ltd.</t>
  </si>
  <si>
    <t>INDUSTOWER</t>
  </si>
  <si>
    <t>SUPRAJIT,</t>
  </si>
  <si>
    <t>GEM Enviro Management Ltd.</t>
  </si>
  <si>
    <t>GEMENVIRO</t>
  </si>
  <si>
    <t>HUHTAMAKI,</t>
  </si>
  <si>
    <t>RESGEN Ltd.</t>
  </si>
  <si>
    <t>RESGEN</t>
  </si>
  <si>
    <t>542592,</t>
  </si>
  <si>
    <t>IndusInd Bank Ltd.</t>
  </si>
  <si>
    <t>INDUSINDBK</t>
  </si>
  <si>
    <t>541771,</t>
  </si>
  <si>
    <t>Industrial Investment Trust Ltd.</t>
  </si>
  <si>
    <t>IITL</t>
  </si>
  <si>
    <t>IITL,</t>
  </si>
  <si>
    <t>524174,</t>
  </si>
  <si>
    <t>Eco Recycling Ltd.</t>
  </si>
  <si>
    <t>ECORECO</t>
  </si>
  <si>
    <t>HYUNDAI,</t>
  </si>
  <si>
    <t>Infibeam Avenues Ltd.</t>
  </si>
  <si>
    <t>INFIBEAM</t>
  </si>
  <si>
    <t>Fintech</t>
  </si>
  <si>
    <t>MAHESHWARI,</t>
  </si>
  <si>
    <t>Infinium Pharmachem Ltd.</t>
  </si>
  <si>
    <t>INFINIUM</t>
  </si>
  <si>
    <t>BAWEJA,</t>
  </si>
  <si>
    <t>Info Edge (India) Ltd.</t>
  </si>
  <si>
    <t>NAUKRI</t>
  </si>
  <si>
    <t>526851,</t>
  </si>
  <si>
    <t>Infobeans Technologies Ltd.</t>
  </si>
  <si>
    <t>INFOBEAN</t>
  </si>
  <si>
    <t>535136,</t>
  </si>
  <si>
    <t>Infollion Research Services Ltd.</t>
  </si>
  <si>
    <t>INFOLLION</t>
  </si>
  <si>
    <t>543443,</t>
  </si>
  <si>
    <t>Simmonds Marshall Ltd.</t>
  </si>
  <si>
    <t>SIMMOND</t>
  </si>
  <si>
    <t>Fasteners</t>
  </si>
  <si>
    <t>Infomedia Press Ltd.</t>
  </si>
  <si>
    <t>INFOMEDIA</t>
  </si>
  <si>
    <t>SENCO,</t>
  </si>
  <si>
    <t>Infosys Ltd.</t>
  </si>
  <si>
    <t>INFY</t>
  </si>
  <si>
    <t>526721,</t>
  </si>
  <si>
    <t>Ingersoll-Rand (India) Ltd.</t>
  </si>
  <si>
    <t>INGERRAND</t>
  </si>
  <si>
    <t>507486,</t>
  </si>
  <si>
    <t>Basant Agro Tech (India) Ltd.</t>
  </si>
  <si>
    <t>BASANTGL</t>
  </si>
  <si>
    <t>Bharat Agri Fert &amp; Realty Ltd.</t>
  </si>
  <si>
    <t>BHARATAGRI</t>
  </si>
  <si>
    <t>IDEAFORGE,</t>
  </si>
  <si>
    <t>Innomet Advanced Materials Ltd.</t>
  </si>
  <si>
    <t>INNOMET</t>
  </si>
  <si>
    <t>Metal - Ferrous</t>
  </si>
  <si>
    <t>PAVNAIND,</t>
  </si>
  <si>
    <t>Innova Captab Ltd.</t>
  </si>
  <si>
    <t>INNOVACAP</t>
  </si>
  <si>
    <t>RBL,</t>
  </si>
  <si>
    <t>Innovana Thinklabs Ltd.</t>
  </si>
  <si>
    <t>INNOVANA</t>
  </si>
  <si>
    <t>Innovative Tyres &amp; Tubes Ltd.</t>
  </si>
  <si>
    <t>ITTL</t>
  </si>
  <si>
    <t>531663,</t>
  </si>
  <si>
    <t>Inox Green Energy Services Ltd.</t>
  </si>
  <si>
    <t>INOXGREEN</t>
  </si>
  <si>
    <t>Inox India Ltd.</t>
  </si>
  <si>
    <t>INOXINDIA</t>
  </si>
  <si>
    <t>HECPROJECT,</t>
  </si>
  <si>
    <t>Indra Industries Ltd.</t>
  </si>
  <si>
    <t>INDRAIND</t>
  </si>
  <si>
    <t>IFBIND,</t>
  </si>
  <si>
    <t>Inox Wind Energy Ltd.</t>
  </si>
  <si>
    <t>IWEL</t>
  </si>
  <si>
    <t>533202,</t>
  </si>
  <si>
    <t>Kothari Industrial Corporation Ltd.</t>
  </si>
  <si>
    <t>KOTIC</t>
  </si>
  <si>
    <t>IFGLEXPOR,</t>
  </si>
  <si>
    <t>Inox Wind Ltd.</t>
  </si>
  <si>
    <t>INOXWIND</t>
  </si>
  <si>
    <t>FIDEL,</t>
  </si>
  <si>
    <t>Insecticides (India) Ltd.</t>
  </si>
  <si>
    <t>INSECTICID</t>
  </si>
  <si>
    <t>PROZONER,</t>
  </si>
  <si>
    <t>Inspire Films Ltd.</t>
  </si>
  <si>
    <t>INSPIRE</t>
  </si>
  <si>
    <t>Inspirisys Solutions Ltd.</t>
  </si>
  <si>
    <t>INSPIRISYS</t>
  </si>
  <si>
    <t>531083,</t>
  </si>
  <si>
    <t>MP Agro Industries Ltd.</t>
  </si>
  <si>
    <t>MPAGI</t>
  </si>
  <si>
    <t>Integra Essentia Ltd.</t>
  </si>
  <si>
    <t>ESSENTIA</t>
  </si>
  <si>
    <t>TNPETRO,</t>
  </si>
  <si>
    <t>Integrated Personnel Services Ltd.</t>
  </si>
  <si>
    <t>IPSL</t>
  </si>
  <si>
    <t>542862,</t>
  </si>
  <si>
    <t>Intellect Design Arena Ltd.</t>
  </si>
  <si>
    <t>INTELLECT</t>
  </si>
  <si>
    <t>NIITLTD,</t>
  </si>
  <si>
    <t>Intense Technologies Ltd.</t>
  </si>
  <si>
    <t>INTENTECH</t>
  </si>
  <si>
    <t>526159,</t>
  </si>
  <si>
    <t>Interarch Building Products Ltd.</t>
  </si>
  <si>
    <t>INTERARCH</t>
  </si>
  <si>
    <t>GTLINFRA,</t>
  </si>
  <si>
    <t>Saptak Chem And Business Ltd.</t>
  </si>
  <si>
    <t>SCBL</t>
  </si>
  <si>
    <t>Shiva Global Agro Industries Ltd.</t>
  </si>
  <si>
    <t>SHIVAAGRO</t>
  </si>
  <si>
    <t>IL&amp;FSTRANS,</t>
  </si>
  <si>
    <t>Interglobe Aviation Ltd.</t>
  </si>
  <si>
    <t>INDIGO</t>
  </si>
  <si>
    <t>ACCELYA,</t>
  </si>
  <si>
    <t>Teesta Agro Industries Ltd.</t>
  </si>
  <si>
    <t>TEEAI</t>
  </si>
  <si>
    <t>513295,</t>
  </si>
  <si>
    <t>Interiors &amp; More Ltd.</t>
  </si>
  <si>
    <t>INM</t>
  </si>
  <si>
    <t>ONYX,</t>
  </si>
  <si>
    <t>The Phosphate Company Ltd.</t>
  </si>
  <si>
    <t>PHOSPHATE</t>
  </si>
  <si>
    <t>International Conveyors Ltd.</t>
  </si>
  <si>
    <t>INTLCONV</t>
  </si>
  <si>
    <t>HEIDELBERG,</t>
  </si>
  <si>
    <t>International Gemmological Institute (India) Ltd.</t>
  </si>
  <si>
    <t>IGIL</t>
  </si>
  <si>
    <t>519532,</t>
  </si>
  <si>
    <t>Intrasoft Technologies Ltd.</t>
  </si>
  <si>
    <t>ISFT</t>
  </si>
  <si>
    <t>ARHAM,</t>
  </si>
  <si>
    <t>Vision Corporation Ltd.</t>
  </si>
  <si>
    <t>VISIONCO</t>
  </si>
  <si>
    <t>Inventure Growth &amp; Securities Ltd.</t>
  </si>
  <si>
    <t>INVENTURE</t>
  </si>
  <si>
    <t>INVENTURE,</t>
  </si>
  <si>
    <t>Inventurus Knowledge Solutions Ltd.</t>
  </si>
  <si>
    <t>IKS</t>
  </si>
  <si>
    <t>IOL Chemicals And Pharmaceuticals Ltd.</t>
  </si>
  <si>
    <t>IOLCP</t>
  </si>
  <si>
    <t>RANEENGINE,</t>
  </si>
  <si>
    <t>Ion Exchange (India) Ltd.</t>
  </si>
  <si>
    <t>IONEXCHANG</t>
  </si>
  <si>
    <t>GTT Data Solutions Ltd.</t>
  </si>
  <si>
    <t>GTTDATA</t>
  </si>
  <si>
    <t>Raconteur Global Resources Ltd.</t>
  </si>
  <si>
    <t>RACONTEUR</t>
  </si>
  <si>
    <t>INDGN,</t>
  </si>
  <si>
    <t>SDC Techmedia Ltd.</t>
  </si>
  <si>
    <t>SDC</t>
  </si>
  <si>
    <t>Ipca Laboratories Ltd.</t>
  </si>
  <si>
    <t>IPCALAB</t>
  </si>
  <si>
    <t>Vision Cinemas Ltd.</t>
  </si>
  <si>
    <t>VISIONCINE</t>
  </si>
  <si>
    <t>531253,</t>
  </si>
  <si>
    <t>VR Films &amp; Studios Ltd.</t>
  </si>
  <si>
    <t>VRFILMS</t>
  </si>
  <si>
    <t>INDIAGLYCO,</t>
  </si>
  <si>
    <t>52 Weeks Entertainment Ltd.</t>
  </si>
  <si>
    <t>SHAQUAK</t>
  </si>
  <si>
    <t>IRB Infrastructure Developers Ltd.</t>
  </si>
  <si>
    <t>IRB</t>
  </si>
  <si>
    <t>GODREJIND,</t>
  </si>
  <si>
    <t>Baba Arts Ltd.</t>
  </si>
  <si>
    <t>BABA</t>
  </si>
  <si>
    <t>IRB Infrastructure Trust - (IRBIT)</t>
  </si>
  <si>
    <t>IRBIT</t>
  </si>
  <si>
    <t>Unspecified</t>
  </si>
  <si>
    <t>530665,</t>
  </si>
  <si>
    <t>BGIL Films &amp; Technologies Ltd.</t>
  </si>
  <si>
    <t>BGIL</t>
  </si>
  <si>
    <t>IMPAL,</t>
  </si>
  <si>
    <t>IRB InvIT Fund</t>
  </si>
  <si>
    <t>IRBINVIT</t>
  </si>
  <si>
    <t>IRBINVIT,</t>
  </si>
  <si>
    <t>544304,</t>
  </si>
  <si>
    <t>Ircon International Ltd.</t>
  </si>
  <si>
    <t>IRCON</t>
  </si>
  <si>
    <t>GODREJPROP,</t>
  </si>
  <si>
    <t>Filmcity Media Ltd.</t>
  </si>
  <si>
    <t>FILME</t>
  </si>
  <si>
    <t>DPSCLTD,</t>
  </si>
  <si>
    <t>Galaxy Cloud Kitchens Ltd.</t>
  </si>
  <si>
    <t>GCKL</t>
  </si>
  <si>
    <t>GV Films Ltd.</t>
  </si>
  <si>
    <t>GVFILM</t>
  </si>
  <si>
    <t>513361,</t>
  </si>
  <si>
    <t>JMD Ventures Ltd.</t>
  </si>
  <si>
    <t>JMDVL</t>
  </si>
  <si>
    <t>ITDC,</t>
  </si>
  <si>
    <t>Khyati Multimedia Entertainment Ltd.</t>
  </si>
  <si>
    <t>KHYATI</t>
  </si>
  <si>
    <t>IEL,</t>
  </si>
  <si>
    <t>Madhuveer Com 18 Network Ltd.</t>
  </si>
  <si>
    <t>MADHUVEER</t>
  </si>
  <si>
    <t>INDIAMART,</t>
  </si>
  <si>
    <t>Media Matrix Worldwide Ltd</t>
  </si>
  <si>
    <t>MMWL</t>
  </si>
  <si>
    <t>514165,</t>
  </si>
  <si>
    <t>Mediaone Global Entertainment Ltd.</t>
  </si>
  <si>
    <t>MEDIAONE</t>
  </si>
  <si>
    <t>Iris Business Services Ltd.</t>
  </si>
  <si>
    <t>IRIS</t>
  </si>
  <si>
    <t>ARIES,</t>
  </si>
  <si>
    <t>Nouveau Global Ventures Ltd.</t>
  </si>
  <si>
    <t>NOUVEAU</t>
  </si>
  <si>
    <t>IEML,</t>
  </si>
  <si>
    <t>Orient Tradelink Ltd.</t>
  </si>
  <si>
    <t>ORIENTTR</t>
  </si>
  <si>
    <t>IEX,</t>
  </si>
  <si>
    <t>Panorama Studios International Ltd.</t>
  </si>
  <si>
    <t>PANORAMA</t>
  </si>
  <si>
    <t>INDIANHUME,</t>
  </si>
  <si>
    <t>Picturehouse Media Ltd.</t>
  </si>
  <si>
    <t>PICTUREHS</t>
  </si>
  <si>
    <t>Iris Clothings Ltd.</t>
  </si>
  <si>
    <t>IRISDOREME</t>
  </si>
  <si>
    <t>TNTELE,</t>
  </si>
  <si>
    <t>IRM Energy Ltd.</t>
  </si>
  <si>
    <t>IRMENERGY</t>
  </si>
  <si>
    <t>Purple Entertainment Ltd.</t>
  </si>
  <si>
    <t>PURPLE</t>
  </si>
  <si>
    <t>IPHL,</t>
  </si>
  <si>
    <t>ISGEC Heavy Engineering Ltd.</t>
  </si>
  <si>
    <t>ISGEC</t>
  </si>
  <si>
    <t>543538,</t>
  </si>
  <si>
    <t>Quantum Digital Vision (India) Ltd.</t>
  </si>
  <si>
    <t>QUANTDIA</t>
  </si>
  <si>
    <t>Ishan International Ltd.</t>
  </si>
  <si>
    <t>ISHAN</t>
  </si>
  <si>
    <t>Italian Edibles Ltd.</t>
  </si>
  <si>
    <t>ITALIANE</t>
  </si>
  <si>
    <t>Shalimar Productions Ltd.</t>
  </si>
  <si>
    <t>SHALPRO</t>
  </si>
  <si>
    <t>INDTERRAIN,</t>
  </si>
  <si>
    <t>ITC Ltd.</t>
  </si>
  <si>
    <t>ITC</t>
  </si>
  <si>
    <t>ITD Cementation India Ltd.</t>
  </si>
  <si>
    <t>ITDCEM</t>
  </si>
  <si>
    <t>ITI Ltd.</t>
  </si>
  <si>
    <t>ITI</t>
  </si>
  <si>
    <t>537253,</t>
  </si>
  <si>
    <t>Thinkink Picturez Ltd.</t>
  </si>
  <si>
    <t>THINKINK</t>
  </si>
  <si>
    <t>INDIGOPNTS,</t>
  </si>
  <si>
    <t>IVP Ltd.</t>
  </si>
  <si>
    <t>IVP</t>
  </si>
  <si>
    <t>531671,</t>
  </si>
  <si>
    <t>IZMO Ltd.</t>
  </si>
  <si>
    <t>IZMO</t>
  </si>
  <si>
    <t>NILAINFRA,</t>
  </si>
  <si>
    <t>J Kumar Infraprojects Ltd.</t>
  </si>
  <si>
    <t>JKIL</t>
  </si>
  <si>
    <t>GILLANDERS,</t>
  </si>
  <si>
    <t>Universal Arts Ltd.</t>
  </si>
  <si>
    <t>UNIVARTS</t>
  </si>
  <si>
    <t>538838,</t>
  </si>
  <si>
    <t>Vashu Bhagnani Industries Ltd.</t>
  </si>
  <si>
    <t>POOJAENT</t>
  </si>
  <si>
    <t>ICIL,</t>
  </si>
  <si>
    <t>WinPro Industries Ltd.</t>
  </si>
  <si>
    <t>WINPRO</t>
  </si>
  <si>
    <t>524458,</t>
  </si>
  <si>
    <t>Jagran Prakashan Ltd.</t>
  </si>
  <si>
    <t>JAGRAN</t>
  </si>
  <si>
    <t>SEPC,</t>
  </si>
  <si>
    <t>Jagsonpal Pharmaceuticals Ltd.</t>
  </si>
  <si>
    <t>JAGSNPHARM</t>
  </si>
  <si>
    <t>500360,</t>
  </si>
  <si>
    <t>Shriram Asset Management Company Ltd.</t>
  </si>
  <si>
    <t>SRAMSET</t>
  </si>
  <si>
    <t>531359,</t>
  </si>
  <si>
    <t>Jai Balaji Industries Ltd.</t>
  </si>
  <si>
    <t>JAIBALAJI</t>
  </si>
  <si>
    <t>SSFL,</t>
  </si>
  <si>
    <t>Jai Corp Ltd.</t>
  </si>
  <si>
    <t>JAICORPLTD</t>
  </si>
  <si>
    <t>SAHAJ,</t>
  </si>
  <si>
    <t>Jain Irrigation Systems Ltd.</t>
  </si>
  <si>
    <t>JISLJALEQS</t>
  </si>
  <si>
    <t>SAHAJSOLAR,</t>
  </si>
  <si>
    <t>Jain Irrigation Systems Ltd. (DVR)</t>
  </si>
  <si>
    <t>JISLDVREQS</t>
  </si>
  <si>
    <t>ROLLT,</t>
  </si>
  <si>
    <t>Vedant Asset Ltd.</t>
  </si>
  <si>
    <t>VEDANTASSET</t>
  </si>
  <si>
    <t>543623,</t>
  </si>
  <si>
    <t>504092,</t>
  </si>
  <si>
    <t>Nisus Finance Services Co Ltd.</t>
  </si>
  <si>
    <t>NISUS</t>
  </si>
  <si>
    <t>544296,</t>
  </si>
  <si>
    <t>543769,</t>
  </si>
  <si>
    <t>Ind Bank Housing Ltd.</t>
  </si>
  <si>
    <t>INDBNK</t>
  </si>
  <si>
    <t>523465,</t>
  </si>
  <si>
    <t>India Home Loan Ltd.</t>
  </si>
  <si>
    <t>INDIAHOME</t>
  </si>
  <si>
    <t>530979,</t>
  </si>
  <si>
    <t>INDOWIND,</t>
  </si>
  <si>
    <t>Mehta Housing Finance Ltd.</t>
  </si>
  <si>
    <t>MEHTAHG</t>
  </si>
  <si>
    <t>511740,</t>
  </si>
  <si>
    <t>539175,</t>
  </si>
  <si>
    <t>Jaiprakash Associates Ltd.</t>
  </si>
  <si>
    <t>JPASSOCIAT</t>
  </si>
  <si>
    <t>GOENKA,</t>
  </si>
  <si>
    <t>Jaiprakash Power Ventures Ltd.</t>
  </si>
  <si>
    <t>JPPOWER</t>
  </si>
  <si>
    <t>SSEGL,</t>
  </si>
  <si>
    <t>Jakharia Fabric Ltd.</t>
  </si>
  <si>
    <t>JAKHARIA</t>
  </si>
  <si>
    <t>SURANASOL,</t>
  </si>
  <si>
    <t>Jalan Transolutions (India) Ltd.</t>
  </si>
  <si>
    <t>JALAN</t>
  </si>
  <si>
    <t>OBCL,</t>
  </si>
  <si>
    <t>Jamna Auto Industries Ltd.</t>
  </si>
  <si>
    <t>JAMNAAUTO</t>
  </si>
  <si>
    <t>Jana Small Finance Bank Ltd.</t>
  </si>
  <si>
    <t>JSFB</t>
  </si>
  <si>
    <t>AMNPLST,</t>
  </si>
  <si>
    <t>Jash Engineering Ltd.</t>
  </si>
  <si>
    <t>JASH</t>
  </si>
  <si>
    <t>543916,</t>
  </si>
  <si>
    <t>Jay Bee Laminations Ltd.</t>
  </si>
  <si>
    <t>JAYBEE</t>
  </si>
  <si>
    <t>FORTIS,</t>
  </si>
  <si>
    <t>Jay Bharat Maruti Ltd.</t>
  </si>
  <si>
    <t>JAYBARMARU</t>
  </si>
  <si>
    <t>AGARIND,</t>
  </si>
  <si>
    <t>Jay Jalaram Technologies Ltd.</t>
  </si>
  <si>
    <t>544165,</t>
  </si>
  <si>
    <t>Jay Shree Tea &amp; Industries Ltd.</t>
  </si>
  <si>
    <t>JAYSREETEA</t>
  </si>
  <si>
    <t>Jayant Agro-Organics Ltd.</t>
  </si>
  <si>
    <t>JAYAGROGN</t>
  </si>
  <si>
    <t>526709,</t>
  </si>
  <si>
    <t>Jayaswal Neco Industries Ltd.</t>
  </si>
  <si>
    <t>JAYNECOIND</t>
  </si>
  <si>
    <t>SOBHA,</t>
  </si>
  <si>
    <t>JB Chemicals &amp; Pharmaceuticals Ltd.</t>
  </si>
  <si>
    <t>JBCHEPHARM</t>
  </si>
  <si>
    <t>JBM Auto Ltd.</t>
  </si>
  <si>
    <t>JBMA</t>
  </si>
  <si>
    <t>AGI,</t>
  </si>
  <si>
    <t>Sahara Housingfina Corporation Ltd.</t>
  </si>
  <si>
    <t>SAHARAHOUS</t>
  </si>
  <si>
    <t>511533,</t>
  </si>
  <si>
    <t>INFOMEDIA,</t>
  </si>
  <si>
    <t>Star Housing Finance Ltd.</t>
  </si>
  <si>
    <t>STARHFL</t>
  </si>
  <si>
    <t>539017,</t>
  </si>
  <si>
    <t>504810,</t>
  </si>
  <si>
    <t>Parshwanath Corporation Ltd.</t>
  </si>
  <si>
    <t>PARSHWANA</t>
  </si>
  <si>
    <t>511176,</t>
  </si>
  <si>
    <t>INFY,</t>
  </si>
  <si>
    <t>Jeena Sikho Lifecare Ltd.</t>
  </si>
  <si>
    <t>JSLL</t>
  </si>
  <si>
    <t>UNITDSPR,</t>
  </si>
  <si>
    <t>Alexander Stamps And Coin Ltd.</t>
  </si>
  <si>
    <t>ALEXANDER</t>
  </si>
  <si>
    <t>511463,</t>
  </si>
  <si>
    <t>INGERRAND,</t>
  </si>
  <si>
    <t>Amerise Biosciences Ltd.</t>
  </si>
  <si>
    <t>AMERISE</t>
  </si>
  <si>
    <t>531681,</t>
  </si>
  <si>
    <t>530787,</t>
  </si>
  <si>
    <t>Annvrridhhi Ventures Ltd.</t>
  </si>
  <si>
    <t>ANVRDHI</t>
  </si>
  <si>
    <t>538539,</t>
  </si>
  <si>
    <t>543905,</t>
  </si>
  <si>
    <t>Aravali Securities &amp; Finance Ltd.</t>
  </si>
  <si>
    <t>ARAVALIS</t>
  </si>
  <si>
    <t>512344,</t>
  </si>
  <si>
    <t>INNOMET,</t>
  </si>
  <si>
    <t>Jet Freight Logistics Ltd.</t>
  </si>
  <si>
    <t>JETFREIGHT</t>
  </si>
  <si>
    <t>539121,</t>
  </si>
  <si>
    <t>Brijlaxmi Leasing &amp; Finance Ltd.</t>
  </si>
  <si>
    <t>BRIJLEAS</t>
  </si>
  <si>
    <t>532113,</t>
  </si>
  <si>
    <t>INNOVANA,</t>
  </si>
  <si>
    <t>Jet Knitwears Ltd.</t>
  </si>
  <si>
    <t>JETKNIT</t>
  </si>
  <si>
    <t>SURANAT&amp;P,</t>
  </si>
  <si>
    <t>CMX Holdings Ltd.</t>
  </si>
  <si>
    <t>SIELFNS</t>
  </si>
  <si>
    <t>532217,</t>
  </si>
  <si>
    <t>541983,</t>
  </si>
  <si>
    <t>Decillion Finance Ltd.</t>
  </si>
  <si>
    <t>DFL</t>
  </si>
  <si>
    <t>539190,</t>
  </si>
  <si>
    <t>523840,</t>
  </si>
  <si>
    <t>Easun Capital Markets Ltd.</t>
  </si>
  <si>
    <t>EASUN</t>
  </si>
  <si>
    <t>542906,</t>
  </si>
  <si>
    <t>ITTL,</t>
  </si>
  <si>
    <t>Epuja Spiritech Ltd.</t>
  </si>
  <si>
    <t>EPUJA</t>
  </si>
  <si>
    <t>532092,</t>
  </si>
  <si>
    <t>541353,</t>
  </si>
  <si>
    <t>Garnet International Ltd.</t>
  </si>
  <si>
    <t>GARNETINT</t>
  </si>
  <si>
    <t>512493,</t>
  </si>
  <si>
    <t>543951,</t>
  </si>
  <si>
    <t>Jeyyam Global Foods Ltd.</t>
  </si>
  <si>
    <t>JEYYAM</t>
  </si>
  <si>
    <t>DCAL,</t>
  </si>
  <si>
    <t>Gourmet Gateway India Ltd.</t>
  </si>
  <si>
    <t>GOURMET</t>
  </si>
  <si>
    <t>506134,</t>
  </si>
  <si>
    <t>INOXINDIA,</t>
  </si>
  <si>
    <t>Jackson Investments Ltd.</t>
  </si>
  <si>
    <t>JACKSON</t>
  </si>
  <si>
    <t>538422,</t>
  </si>
  <si>
    <t>IWEL,</t>
  </si>
  <si>
    <t>Jindal Leasefin Ltd.</t>
  </si>
  <si>
    <t>JLL</t>
  </si>
  <si>
    <t>539947,</t>
  </si>
  <si>
    <t>INOXWIND,</t>
  </si>
  <si>
    <t>Kairosoft Ai Solutions Ltd.</t>
  </si>
  <si>
    <t>VOLKAI</t>
  </si>
  <si>
    <t>506122,</t>
  </si>
  <si>
    <t>INSECTICID,</t>
  </si>
  <si>
    <t>Karnavati Finance Ltd.</t>
  </si>
  <si>
    <t>KARNAVATI</t>
  </si>
  <si>
    <t>538928,</t>
  </si>
  <si>
    <t>543620,</t>
  </si>
  <si>
    <t>Ladam Affordable Housing Ltd.</t>
  </si>
  <si>
    <t>LAHL</t>
  </si>
  <si>
    <t>540026,</t>
  </si>
  <si>
    <t>INSPIRE,</t>
  </si>
  <si>
    <t>Madhusudan Securities Ltd.</t>
  </si>
  <si>
    <t>MADHUSE</t>
  </si>
  <si>
    <t>511000,</t>
  </si>
  <si>
    <t>INSPIRISYS,</t>
  </si>
  <si>
    <t>Mahamaya Investments Ltd.</t>
  </si>
  <si>
    <t>MILLENNIUM</t>
  </si>
  <si>
    <t>511187,</t>
  </si>
  <si>
    <t>JFL Life Sciences Ltd.</t>
  </si>
  <si>
    <t>JFLLIFE</t>
  </si>
  <si>
    <t>QFIL,</t>
  </si>
  <si>
    <t>JG Chemicals Ltd.</t>
  </si>
  <si>
    <t>JGCHEM</t>
  </si>
  <si>
    <t>BAYERCROP,</t>
  </si>
  <si>
    <t>Munoth Financial Services Ltd.</t>
  </si>
  <si>
    <t>MUNOTHFI</t>
  </si>
  <si>
    <t>531821,</t>
  </si>
  <si>
    <t>ESSENTIA,</t>
  </si>
  <si>
    <t>Nikki Global Finance Ltd.</t>
  </si>
  <si>
    <t>NIKKIGL</t>
  </si>
  <si>
    <t>531272,</t>
  </si>
  <si>
    <t>517423,</t>
  </si>
  <si>
    <t>Niyogin Fintech Ltd.</t>
  </si>
  <si>
    <t>NIYOGIN</t>
  </si>
  <si>
    <t>538772,</t>
  </si>
  <si>
    <t>JHS Svendgaard Laboratories Ltd.</t>
  </si>
  <si>
    <t>JHS</t>
  </si>
  <si>
    <t>MOKSH,</t>
  </si>
  <si>
    <t>JHS Svendgaard Retail Ventures Ltd.</t>
  </si>
  <si>
    <t>RETAIL</t>
  </si>
  <si>
    <t>539593,</t>
  </si>
  <si>
    <t>Pasupati Fincap Ltd.</t>
  </si>
  <si>
    <t>PASUFIN</t>
  </si>
  <si>
    <t>511734,</t>
  </si>
  <si>
    <t>IPSL,</t>
  </si>
  <si>
    <t>Peoples Investments Ltd.</t>
  </si>
  <si>
    <t>PEOPLIN</t>
  </si>
  <si>
    <t>501144,</t>
  </si>
  <si>
    <t>INTELLECT,</t>
  </si>
  <si>
    <t>Pro CLB Global Ltd.</t>
  </si>
  <si>
    <t>PROCLB</t>
  </si>
  <si>
    <t>540703,</t>
  </si>
  <si>
    <t>INTENTECH,</t>
  </si>
  <si>
    <t>Rich Universe Network Ltd.</t>
  </si>
  <si>
    <t>RICHUNV</t>
  </si>
  <si>
    <t>530271,</t>
  </si>
  <si>
    <t>RKD Agri &amp; Retail Ltd.</t>
  </si>
  <si>
    <t>RKDAGRRTL</t>
  </si>
  <si>
    <t>511169,</t>
  </si>
  <si>
    <t>530259,</t>
  </si>
  <si>
    <t>RR Financial Consultants Ltd.</t>
  </si>
  <si>
    <t>RRFIN</t>
  </si>
  <si>
    <t>511626,</t>
  </si>
  <si>
    <t>539692,</t>
  </si>
  <si>
    <t>Sai Capital Ltd.</t>
  </si>
  <si>
    <t>SAICAPI</t>
  </si>
  <si>
    <t>531931,</t>
  </si>
  <si>
    <t>INTERARCH,</t>
  </si>
  <si>
    <t>Shalimar Agencies Ltd.</t>
  </si>
  <si>
    <t>SAGL</t>
  </si>
  <si>
    <t>539895,</t>
  </si>
  <si>
    <t>INDIGO,</t>
  </si>
  <si>
    <t>Shree Securities Ltd.</t>
  </si>
  <si>
    <t>SHREESEC</t>
  </si>
  <si>
    <t>538975,</t>
  </si>
  <si>
    <t>INM,</t>
  </si>
  <si>
    <t>Stanrose Mafatlal Investments &amp; Finance Ltd.</t>
  </si>
  <si>
    <t>STANROS</t>
  </si>
  <si>
    <t>506105,</t>
  </si>
  <si>
    <t>505737,</t>
  </si>
  <si>
    <t>Svaraj Trading &amp; Agencies Ltd.</t>
  </si>
  <si>
    <t>ZSVARAJT</t>
  </si>
  <si>
    <t>503624,</t>
  </si>
  <si>
    <t>INTLCONV,</t>
  </si>
  <si>
    <t>Systematix Securities Ltd.</t>
  </si>
  <si>
    <t>SYTIXSE</t>
  </si>
  <si>
    <t>531432,</t>
  </si>
  <si>
    <t>IGIL,</t>
  </si>
  <si>
    <t>Thirdwave Financial Intermediaries Ltd.</t>
  </si>
  <si>
    <t>THIRDFIN</t>
  </si>
  <si>
    <t>531652,</t>
  </si>
  <si>
    <t>500213,</t>
  </si>
  <si>
    <t>Tomorrow Technologies Global Innovations Ltd.</t>
  </si>
  <si>
    <t>CNIRESLTD</t>
  </si>
  <si>
    <t>512018,</t>
  </si>
  <si>
    <t>ISFT,</t>
  </si>
  <si>
    <t>Vikalp Securities Ltd.</t>
  </si>
  <si>
    <t>VIKALPS</t>
  </si>
  <si>
    <t>531334,</t>
  </si>
  <si>
    <t>Wagend Infra Venture Ltd.</t>
  </si>
  <si>
    <t>WAGEND</t>
  </si>
  <si>
    <t>503675,</t>
  </si>
  <si>
    <t>IKS,</t>
  </si>
  <si>
    <t>Yunik Managing Advisors Ltd.</t>
  </si>
  <si>
    <t>YUNIKM</t>
  </si>
  <si>
    <t>533149,</t>
  </si>
  <si>
    <t>504786,</t>
  </si>
  <si>
    <t>Jindal Drilling &amp; Industries Ltd.</t>
  </si>
  <si>
    <t>JINDRILL</t>
  </si>
  <si>
    <t>507645,</t>
  </si>
  <si>
    <t>HEM Holdings &amp; Trading Ltd.</t>
  </si>
  <si>
    <t>ZHEMHOLD</t>
  </si>
  <si>
    <t>505520,</t>
  </si>
  <si>
    <t>IONEXCHANG,</t>
  </si>
  <si>
    <t>Jindal Photo Ltd.</t>
  </si>
  <si>
    <t>JINDALPHOT</t>
  </si>
  <si>
    <t>JINDALPHOT,</t>
  </si>
  <si>
    <t>IRB,</t>
  </si>
  <si>
    <t>Jindal Poly Films Ltd.</t>
  </si>
  <si>
    <t>JINDALPOLY</t>
  </si>
  <si>
    <t>Jindal Poly Investment and Finance Company Ltd.</t>
  </si>
  <si>
    <t>JPOLYINVST</t>
  </si>
  <si>
    <t>JPOLYINVST,</t>
  </si>
  <si>
    <t>IPCALAB,</t>
  </si>
  <si>
    <t>Siddha Ventures Ltd.</t>
  </si>
  <si>
    <t>SIDDHA</t>
  </si>
  <si>
    <t>530439,</t>
  </si>
  <si>
    <t>IRBIT,</t>
  </si>
  <si>
    <t>Jindal Saw Ltd.</t>
  </si>
  <si>
    <t>JINDALSAW</t>
  </si>
  <si>
    <t>512014,</t>
  </si>
  <si>
    <t>Bazel International Ltd.</t>
  </si>
  <si>
    <t>BAZELINTER</t>
  </si>
  <si>
    <t>539946,</t>
  </si>
  <si>
    <t>IRCON,</t>
  </si>
  <si>
    <t>Seven Hill Industries Ltd.</t>
  </si>
  <si>
    <t>SEVENHILL</t>
  </si>
  <si>
    <t>511760,</t>
  </si>
  <si>
    <t>IRIS,</t>
  </si>
  <si>
    <t>LKP Finance Ltd.</t>
  </si>
  <si>
    <t>LKPFIN</t>
  </si>
  <si>
    <t>507912,</t>
  </si>
  <si>
    <t>IRISDOREME,</t>
  </si>
  <si>
    <t>PH Capital Ltd.</t>
  </si>
  <si>
    <t>PHCAP</t>
  </si>
  <si>
    <t>500143,</t>
  </si>
  <si>
    <t>IRMENERGY,</t>
  </si>
  <si>
    <t>Jindal Stainless Ltd.</t>
  </si>
  <si>
    <t>JSL</t>
  </si>
  <si>
    <t>544257,</t>
  </si>
  <si>
    <t>Vibrant Global Capital Ltd.</t>
  </si>
  <si>
    <t>VGCL</t>
  </si>
  <si>
    <t>538732,</t>
  </si>
  <si>
    <t>ISGEC,</t>
  </si>
  <si>
    <t>Paul Merchants Ltd.</t>
  </si>
  <si>
    <t>PML</t>
  </si>
  <si>
    <t>539113,</t>
  </si>
  <si>
    <t>540134,</t>
  </si>
  <si>
    <t>Wallfort Financial Services Ltd.</t>
  </si>
  <si>
    <t>WALLFORT</t>
  </si>
  <si>
    <t>532053,</t>
  </si>
  <si>
    <t>531109,</t>
  </si>
  <si>
    <t>Jindal Steel &amp; Power Ltd.</t>
  </si>
  <si>
    <t>JINDALSTEL</t>
  </si>
  <si>
    <t>SRIVASAVI,</t>
  </si>
  <si>
    <t>Econo Trade (India) Ltd.</t>
  </si>
  <si>
    <t>ETIL</t>
  </si>
  <si>
    <t>538708,</t>
  </si>
  <si>
    <t>524400,</t>
  </si>
  <si>
    <t>Bombay Oxygen Investments Ltd.</t>
  </si>
  <si>
    <t>BOMOXY-B1</t>
  </si>
  <si>
    <t>509470,</t>
  </si>
  <si>
    <t>Srestha Finvest Ltd.</t>
  </si>
  <si>
    <t>SRESTHA</t>
  </si>
  <si>
    <t>539217,</t>
  </si>
  <si>
    <t>508807,</t>
  </si>
  <si>
    <t>Elixir Capital Ltd.</t>
  </si>
  <si>
    <t>ELIXIR</t>
  </si>
  <si>
    <t>531278,</t>
  </si>
  <si>
    <t>ITALIANE,</t>
  </si>
  <si>
    <t>Jindal Worldwide Ltd.</t>
  </si>
  <si>
    <t>JINDWORLD</t>
  </si>
  <si>
    <t>TANLA,</t>
  </si>
  <si>
    <t>First Custodian Fund (India) Ltd.</t>
  </si>
  <si>
    <t>1STCUS</t>
  </si>
  <si>
    <t>511122,</t>
  </si>
  <si>
    <t>543806,</t>
  </si>
  <si>
    <t>Sumedha Fiscal Services Ltd.</t>
  </si>
  <si>
    <t>SUMEDHA</t>
  </si>
  <si>
    <t>530419,</t>
  </si>
  <si>
    <t>ITDCEM,</t>
  </si>
  <si>
    <t>Titan Securities Ltd.</t>
  </si>
  <si>
    <t>TITANSEC</t>
  </si>
  <si>
    <t>530045,</t>
  </si>
  <si>
    <t>ITI,</t>
  </si>
  <si>
    <t>AK Capital Services Ltd.</t>
  </si>
  <si>
    <t>AKCAPIT</t>
  </si>
  <si>
    <t>530499,</t>
  </si>
  <si>
    <t>522183,</t>
  </si>
  <si>
    <t>JIO Financial Services Ltd.</t>
  </si>
  <si>
    <t>JIOFIN</t>
  </si>
  <si>
    <t>JIOFIN,</t>
  </si>
  <si>
    <t>LAURUSLABS,</t>
  </si>
  <si>
    <t>Zodiac Ventures Ltd.</t>
  </si>
  <si>
    <t>ZODIACVEN</t>
  </si>
  <si>
    <t>IZMO,</t>
  </si>
  <si>
    <t>Kama Holdings Ltd.</t>
  </si>
  <si>
    <t>KAMAHOLD</t>
  </si>
  <si>
    <t>532468,</t>
  </si>
  <si>
    <t>JKIL,</t>
  </si>
  <si>
    <t>SKP Securities Ltd.</t>
  </si>
  <si>
    <t>SKPSEC</t>
  </si>
  <si>
    <t>531169,</t>
  </si>
  <si>
    <t>JITF Infralogistics Ltd.</t>
  </si>
  <si>
    <t>JITFINFRA</t>
  </si>
  <si>
    <t>541444,</t>
  </si>
  <si>
    <t>Dhanlaxmi Cotex Ltd.</t>
  </si>
  <si>
    <t>DHANCOT</t>
  </si>
  <si>
    <t>512485,</t>
  </si>
  <si>
    <t>530711,</t>
  </si>
  <si>
    <t>Jiwanram Sheoduttrai Industries Ltd.</t>
  </si>
  <si>
    <t>JIWANRAM</t>
  </si>
  <si>
    <t>SURANI,</t>
  </si>
  <si>
    <t>Kanungo Financiers Ltd.</t>
  </si>
  <si>
    <t>KANUNGO</t>
  </si>
  <si>
    <t>540515,</t>
  </si>
  <si>
    <t>532825,</t>
  </si>
  <si>
    <t>Qgo Finance Ltd.</t>
  </si>
  <si>
    <t>QGO</t>
  </si>
  <si>
    <t>538646,</t>
  </si>
  <si>
    <t>JAGRAN,</t>
  </si>
  <si>
    <t>Som Datt Finance Corporation Ltd.</t>
  </si>
  <si>
    <t>SODFC</t>
  </si>
  <si>
    <t>511571,</t>
  </si>
  <si>
    <t>Shrydus Industries Ltd.</t>
  </si>
  <si>
    <t>SHRYDUS</t>
  </si>
  <si>
    <t>511493,</t>
  </si>
  <si>
    <t>JAGSNPHARM,</t>
  </si>
  <si>
    <t>JK Cement Ltd.</t>
  </si>
  <si>
    <t>JKCEMENT</t>
  </si>
  <si>
    <t>AXISCADES,</t>
  </si>
  <si>
    <t>PMC Fincorp Ltd.</t>
  </si>
  <si>
    <t>PMCFIN</t>
  </si>
  <si>
    <t>534060,</t>
  </si>
  <si>
    <t>JAICORPLTD,</t>
  </si>
  <si>
    <t>Mehta Integrated Finance Ltd.</t>
  </si>
  <si>
    <t>MEHIF</t>
  </si>
  <si>
    <t>511377,</t>
  </si>
  <si>
    <t>523467,</t>
  </si>
  <si>
    <t>Mefcom Capital Markets Ltd.</t>
  </si>
  <si>
    <t>MEFCOMCAP</t>
  </si>
  <si>
    <t>531176,</t>
  </si>
  <si>
    <t>514312,</t>
  </si>
  <si>
    <t>Chartered Capital &amp; Investment Ltd.</t>
  </si>
  <si>
    <t>CHRTEDCA</t>
  </si>
  <si>
    <t>511696,</t>
  </si>
  <si>
    <t>JISLJALEQS,</t>
  </si>
  <si>
    <t>East West Freight Carriers Ltd.</t>
  </si>
  <si>
    <t>EASTWEST</t>
  </si>
  <si>
    <t>540006,</t>
  </si>
  <si>
    <t>JISLDVREQS,</t>
  </si>
  <si>
    <t>Pioneer Investcorp Ltd.</t>
  </si>
  <si>
    <t>PIONRINV</t>
  </si>
  <si>
    <t>507864,</t>
  </si>
  <si>
    <t>526865,</t>
  </si>
  <si>
    <t>JK Lakshmi Cement Ltd.</t>
  </si>
  <si>
    <t>JKLAKSHMI</t>
  </si>
  <si>
    <t>AXITA,</t>
  </si>
  <si>
    <t>Walchand Peoplefirst Ltd.</t>
  </si>
  <si>
    <t>WALCHPF</t>
  </si>
  <si>
    <t>501370,</t>
  </si>
  <si>
    <t>505840,</t>
  </si>
  <si>
    <t>Elcid Investments Ltd.</t>
  </si>
  <si>
    <t>ELCIDIN</t>
  </si>
  <si>
    <t>503681,</t>
  </si>
  <si>
    <t>JPASSOCIAT,</t>
  </si>
  <si>
    <t>JK Paper Ltd.</t>
  </si>
  <si>
    <t>JKPAPER</t>
  </si>
  <si>
    <t>PRECWIRE,</t>
  </si>
  <si>
    <t>HB Portfolio Ltd.</t>
  </si>
  <si>
    <t>HBPOR</t>
  </si>
  <si>
    <t>532333,</t>
  </si>
  <si>
    <t>JAKHARIA,</t>
  </si>
  <si>
    <t>Bervin Investment &amp; Leasing Ltd.</t>
  </si>
  <si>
    <t>BERVINL</t>
  </si>
  <si>
    <t>531340,</t>
  </si>
  <si>
    <t>JALAN,</t>
  </si>
  <si>
    <t>JK Tyre &amp; Industries Ltd.</t>
  </si>
  <si>
    <t>JKTYRE</t>
  </si>
  <si>
    <t>ZEELEARN,</t>
  </si>
  <si>
    <t>Fedders Holding Ltd.</t>
  </si>
  <si>
    <t>FEDDERSHOL</t>
  </si>
  <si>
    <t>511628,</t>
  </si>
  <si>
    <t>JAMNAAUTO,</t>
  </si>
  <si>
    <t>JM Financial Ltd.</t>
  </si>
  <si>
    <t>JMFINANCIL</t>
  </si>
  <si>
    <t>JMFINANCIL,</t>
  </si>
  <si>
    <t>543544,</t>
  </si>
  <si>
    <t>Prismx Global Ventures Ltd.</t>
  </si>
  <si>
    <t>PRISMX</t>
  </si>
  <si>
    <t>501314,</t>
  </si>
  <si>
    <t>JNK India Ltd.</t>
  </si>
  <si>
    <t>JNKINDIA</t>
  </si>
  <si>
    <t>Dharani Finance Ltd.</t>
  </si>
  <si>
    <t>DHARFIN</t>
  </si>
  <si>
    <t>511451,</t>
  </si>
  <si>
    <t>544112,</t>
  </si>
  <si>
    <t>ArihantS Securities Ltd.</t>
  </si>
  <si>
    <t>ARISE</t>
  </si>
  <si>
    <t>531017,</t>
  </si>
  <si>
    <t>500220,</t>
  </si>
  <si>
    <t>Modern Engineering And Projects Ltd.</t>
  </si>
  <si>
    <t>MEAPL</t>
  </si>
  <si>
    <t>539762,</t>
  </si>
  <si>
    <t>JASH,</t>
  </si>
  <si>
    <t>SMIFS Capital Markets Ltd.</t>
  </si>
  <si>
    <t>SMIFS</t>
  </si>
  <si>
    <t>508905,</t>
  </si>
  <si>
    <t>514318,</t>
  </si>
  <si>
    <t>Tilak Ventures Ltd.</t>
  </si>
  <si>
    <t>TILAK</t>
  </si>
  <si>
    <t>503663,</t>
  </si>
  <si>
    <t>526001,</t>
  </si>
  <si>
    <t>Yash Management &amp; Satellite Ltd.</t>
  </si>
  <si>
    <t>YASHMGM</t>
  </si>
  <si>
    <t>511601,</t>
  </si>
  <si>
    <t>JAYBEE,</t>
  </si>
  <si>
    <t>GCM Capital Advisors Ltd.</t>
  </si>
  <si>
    <t>GCMCAPI</t>
  </si>
  <si>
    <t>538319,</t>
  </si>
  <si>
    <t>JAYBARMARU,</t>
  </si>
  <si>
    <t>Galactico Corporate Services Ltd.</t>
  </si>
  <si>
    <t>GALACTICO</t>
  </si>
  <si>
    <t>542802,</t>
  </si>
  <si>
    <t>KORE,</t>
  </si>
  <si>
    <t>Abirami Financial Services (India) Ltd.</t>
  </si>
  <si>
    <t>ABIRAFN</t>
  </si>
  <si>
    <t>511756,</t>
  </si>
  <si>
    <t>JAYSREETEA,</t>
  </si>
  <si>
    <t>Bridge Securities Ltd.</t>
  </si>
  <si>
    <t>BRIDGESE</t>
  </si>
  <si>
    <t>530249,</t>
  </si>
  <si>
    <t>513252,</t>
  </si>
  <si>
    <t>Jindal Capital Ltd.</t>
  </si>
  <si>
    <t>JINDCAP</t>
  </si>
  <si>
    <t>530405,</t>
  </si>
  <si>
    <t>Ashirwad Capital Ltd.</t>
  </si>
  <si>
    <t>ASHCAP</t>
  </si>
  <si>
    <t>512247,</t>
  </si>
  <si>
    <t>JAYAGROGN,</t>
  </si>
  <si>
    <t>Jocil Ltd.</t>
  </si>
  <si>
    <t>JOCIL</t>
  </si>
  <si>
    <t>BKMINDST,</t>
  </si>
  <si>
    <t>Superior Finlease Ltd.</t>
  </si>
  <si>
    <t>SUPERIOR</t>
  </si>
  <si>
    <t>539835,</t>
  </si>
  <si>
    <t>JAYNECOIND,</t>
  </si>
  <si>
    <t>Ajcon Global Services Ltd.</t>
  </si>
  <si>
    <t>AJCON</t>
  </si>
  <si>
    <t>511692,</t>
  </si>
  <si>
    <t>531323,</t>
  </si>
  <si>
    <t>Amarnath Securities Ltd.</t>
  </si>
  <si>
    <t>AMARSEC</t>
  </si>
  <si>
    <t>538465,</t>
  </si>
  <si>
    <t>500306,</t>
  </si>
  <si>
    <t>Tamboli Industries Ltd.</t>
  </si>
  <si>
    <t>TAMBOLIIN</t>
  </si>
  <si>
    <t>533170,</t>
  </si>
  <si>
    <t>506520,</t>
  </si>
  <si>
    <t>Haryana Capfin Ltd.</t>
  </si>
  <si>
    <t>HARYNACAP</t>
  </si>
  <si>
    <t>532855,</t>
  </si>
  <si>
    <t>524592,</t>
  </si>
  <si>
    <t>Johnson Controls - Hitachi Air Conditioning India Ltd.</t>
  </si>
  <si>
    <t>JCHAC</t>
  </si>
  <si>
    <t>531161,</t>
  </si>
  <si>
    <t>JSW Energy Ltd.</t>
  </si>
  <si>
    <t>JSWENERGY</t>
  </si>
  <si>
    <t>SATIPOLY,</t>
  </si>
  <si>
    <t>Yamini Investments Ltd.</t>
  </si>
  <si>
    <t>YAMNINV</t>
  </si>
  <si>
    <t>511012,</t>
  </si>
  <si>
    <t>JSLL,</t>
  </si>
  <si>
    <t>JSW Holdings Ltd.</t>
  </si>
  <si>
    <t>JSWHL</t>
  </si>
  <si>
    <t>JSWHL,</t>
  </si>
  <si>
    <t>JKLAKSHMI,</t>
  </si>
  <si>
    <t>Clio Infotech Ltd.</t>
  </si>
  <si>
    <t>CLIOINFO</t>
  </si>
  <si>
    <t>530839,</t>
  </si>
  <si>
    <t>524731,</t>
  </si>
  <si>
    <t>VB Desai Financial Services Ltd.</t>
  </si>
  <si>
    <t>VBDESAI</t>
  </si>
  <si>
    <t>511110,</t>
  </si>
  <si>
    <t>JETFREIGHT,</t>
  </si>
  <si>
    <t>Libord Securities Ltd.</t>
  </si>
  <si>
    <t>LIBORD</t>
  </si>
  <si>
    <t>531027,</t>
  </si>
  <si>
    <t>JETKNIT,</t>
  </si>
  <si>
    <t>Assam Entrade Ltd.</t>
  </si>
  <si>
    <t>ASSAMENT</t>
  </si>
  <si>
    <t>542911,</t>
  </si>
  <si>
    <t>538794,</t>
  </si>
  <si>
    <t>JSW Infrastructure Ltd.</t>
  </si>
  <si>
    <t>JSWINFRA</t>
  </si>
  <si>
    <t>SANWARIA,</t>
  </si>
  <si>
    <t>Aryaman Financial Services Ltd.</t>
  </si>
  <si>
    <t>ARYAMAN</t>
  </si>
  <si>
    <t>530245,</t>
  </si>
  <si>
    <t>543286,</t>
  </si>
  <si>
    <t>JSW Steel Ltd.</t>
  </si>
  <si>
    <t>JSWSTEEL</t>
  </si>
  <si>
    <t>538923,</t>
  </si>
  <si>
    <t>JTEKT India Ltd.</t>
  </si>
  <si>
    <t>JTEKTINDIA</t>
  </si>
  <si>
    <t>AGIIL,</t>
  </si>
  <si>
    <t>Systematix Corporate Services Ltd.</t>
  </si>
  <si>
    <t>SYSTMTXC</t>
  </si>
  <si>
    <t>526506,</t>
  </si>
  <si>
    <t>JGCHEM,</t>
  </si>
  <si>
    <t>Sujala Trading &amp; Holdings Ltd.</t>
  </si>
  <si>
    <t>SUJALA</t>
  </si>
  <si>
    <t>539117,</t>
  </si>
  <si>
    <t>540850,</t>
  </si>
  <si>
    <t>Consecutive Investments &amp; Trading Company Ltd.</t>
  </si>
  <si>
    <t>CITL</t>
  </si>
  <si>
    <t>539091,</t>
  </si>
  <si>
    <t>Apollo Finvest (India) Ltd.</t>
  </si>
  <si>
    <t>APOLLOFI</t>
  </si>
  <si>
    <t>512437,</t>
  </si>
  <si>
    <t>JHS,</t>
  </si>
  <si>
    <t>Rajputana Investment &amp; Finance Ltd.</t>
  </si>
  <si>
    <t>RAJPUTANA</t>
  </si>
  <si>
    <t>539090,</t>
  </si>
  <si>
    <t>RETAIL,</t>
  </si>
  <si>
    <t>Utique Enterprises Ltd.</t>
  </si>
  <si>
    <t>UTIQUE</t>
  </si>
  <si>
    <t>500014,</t>
  </si>
  <si>
    <t>JTL Industries Ltd</t>
  </si>
  <si>
    <t>JTLIND</t>
  </si>
  <si>
    <t>Adinath Exim Resources Ltd.</t>
  </si>
  <si>
    <t>ADIEXRE</t>
  </si>
  <si>
    <t>532056,</t>
  </si>
  <si>
    <t>507981,</t>
  </si>
  <si>
    <t>Jubilant FoodWorks Ltd.</t>
  </si>
  <si>
    <t>JUBLFOOD</t>
  </si>
  <si>
    <t>DESTINY,</t>
  </si>
  <si>
    <t>Jubilant Industries Ltd.</t>
  </si>
  <si>
    <t>JUBLINDS</t>
  </si>
  <si>
    <t>539399,</t>
  </si>
  <si>
    <t>Jubilant Ingrevia Ltd.</t>
  </si>
  <si>
    <t>JUBLINGREA</t>
  </si>
  <si>
    <t>519500,</t>
  </si>
  <si>
    <t>Jubilant Pharmova Ltd.</t>
  </si>
  <si>
    <t>JUBLPHARMA</t>
  </si>
  <si>
    <t>RAPPID,</t>
  </si>
  <si>
    <t>GSB Finance Ltd.</t>
  </si>
  <si>
    <t>GSBFIN</t>
  </si>
  <si>
    <t>511543,</t>
  </si>
  <si>
    <t>JINDALSAW,</t>
  </si>
  <si>
    <t>Mercury Trade Links Ltd.</t>
  </si>
  <si>
    <t>MERCTRD</t>
  </si>
  <si>
    <t>512415,</t>
  </si>
  <si>
    <t>JSL,</t>
  </si>
  <si>
    <t>Darjeeling Ropeway Co Ltd.</t>
  </si>
  <si>
    <t>DARJEELING</t>
  </si>
  <si>
    <t>539770,</t>
  </si>
  <si>
    <t>JINDALSTEL,</t>
  </si>
  <si>
    <t>JA Finance Ltd.</t>
  </si>
  <si>
    <t>JAFINANCE</t>
  </si>
  <si>
    <t>543860,</t>
  </si>
  <si>
    <t>JINDWORLD,</t>
  </si>
  <si>
    <t>VB Industries Ltd.</t>
  </si>
  <si>
    <t>VBIND</t>
  </si>
  <si>
    <t>539123,</t>
  </si>
  <si>
    <t>Softrak Venture Investment Ltd.</t>
  </si>
  <si>
    <t>SOFTRAKV</t>
  </si>
  <si>
    <t>531529,</t>
  </si>
  <si>
    <t>JITFINFRA,</t>
  </si>
  <si>
    <t>RRP Semiconductor Ltd.</t>
  </si>
  <si>
    <t>RRP</t>
  </si>
  <si>
    <t>504346,</t>
  </si>
  <si>
    <t>JIWANRAM,</t>
  </si>
  <si>
    <t>Jullundur Motor Agency (Delhi) Ltd.</t>
  </si>
  <si>
    <t>JMA</t>
  </si>
  <si>
    <t>VERA,</t>
  </si>
  <si>
    <t>Regency Fincorp Ltd.</t>
  </si>
  <si>
    <t>REGENCY</t>
  </si>
  <si>
    <t>540175,</t>
  </si>
  <si>
    <t>536493,</t>
  </si>
  <si>
    <t>Apoorva Leasing Finance And Investment Company Ltd.</t>
  </si>
  <si>
    <t>APOORVA</t>
  </si>
  <si>
    <t>539545,</t>
  </si>
  <si>
    <t>JKCEMENT,</t>
  </si>
  <si>
    <t>Juniper Hotels Ltd.</t>
  </si>
  <si>
    <t>JUNIPER</t>
  </si>
  <si>
    <t>MICROPRO,</t>
  </si>
  <si>
    <t>Bharat Bhushan Finance &amp; Commodity Brokers Ltd.</t>
  </si>
  <si>
    <t>BHARAT</t>
  </si>
  <si>
    <t>511501,</t>
  </si>
  <si>
    <t>JKPAPER,</t>
  </si>
  <si>
    <t>Bampsl Securities Ltd.</t>
  </si>
  <si>
    <t>BAMPSL</t>
  </si>
  <si>
    <t>531591,</t>
  </si>
  <si>
    <t>JKTYRE,</t>
  </si>
  <si>
    <t>Indian Infotech &amp; Software Ltd.</t>
  </si>
  <si>
    <t>INDINFO</t>
  </si>
  <si>
    <t>509051,</t>
  </si>
  <si>
    <t>538765,</t>
  </si>
  <si>
    <t>Jupiter Life Line Hospitals Ltd.</t>
  </si>
  <si>
    <t>JLHL</t>
  </si>
  <si>
    <t>534338,</t>
  </si>
  <si>
    <t>Khoobsurat Ltd.</t>
  </si>
  <si>
    <t>KHOOBSURAT</t>
  </si>
  <si>
    <t>535730,</t>
  </si>
  <si>
    <t>511092,</t>
  </si>
  <si>
    <t>Jupiter Wagons Ltd.</t>
  </si>
  <si>
    <t>JWL</t>
  </si>
  <si>
    <t>Railways Wagons</t>
  </si>
  <si>
    <t>Just Dial Ltd.</t>
  </si>
  <si>
    <t>JUSTDIAL</t>
  </si>
  <si>
    <t>ARIHANTACA,</t>
  </si>
  <si>
    <t>Jyothy Labs Ltd.</t>
  </si>
  <si>
    <t>JYOTHYLAB</t>
  </si>
  <si>
    <t>MOLDTKPAC,</t>
  </si>
  <si>
    <t>Sellwin Traders Ltd.</t>
  </si>
  <si>
    <t>SELLWIN</t>
  </si>
  <si>
    <t>538875,</t>
  </si>
  <si>
    <t>JOCIL,</t>
  </si>
  <si>
    <t>Mid East Portfolio Management Ltd.</t>
  </si>
  <si>
    <t>MIDEASTP</t>
  </si>
  <si>
    <t>526251,</t>
  </si>
  <si>
    <t>500147,</t>
  </si>
  <si>
    <t>Jyoti CNC Automation Ltd.</t>
  </si>
  <si>
    <t>JYOTICNC</t>
  </si>
  <si>
    <t>HERANBA,</t>
  </si>
  <si>
    <t>Jyoti Structures Ltd.</t>
  </si>
  <si>
    <t>JYOTISTRUC</t>
  </si>
  <si>
    <t>Transmission Towers / Equipments</t>
  </si>
  <si>
    <t>K.C.P. Sugar And Industries Corporation Ltd.</t>
  </si>
  <si>
    <t>KCPSUGIND</t>
  </si>
  <si>
    <t>STEELXIND,</t>
  </si>
  <si>
    <t>Colab Cloud Platforms Ltd.</t>
  </si>
  <si>
    <t>COLABCLOUD</t>
  </si>
  <si>
    <t>542866,</t>
  </si>
  <si>
    <t>542446,</t>
  </si>
  <si>
    <t>Arunjyoti Bio Ventures Ltd.</t>
  </si>
  <si>
    <t>ABVL</t>
  </si>
  <si>
    <t>530881,</t>
  </si>
  <si>
    <t>505750,</t>
  </si>
  <si>
    <t>Odyssey Corporation Ltd.</t>
  </si>
  <si>
    <t>ODYCORP</t>
  </si>
  <si>
    <t>531996,</t>
  </si>
  <si>
    <t>504080,</t>
  </si>
  <si>
    <t>Pan India Corporation Ltd.</t>
  </si>
  <si>
    <t>PANINDIAC</t>
  </si>
  <si>
    <t>511525,</t>
  </si>
  <si>
    <t>JSWENERGY,</t>
  </si>
  <si>
    <t>Arunis Abode Ltd.</t>
  </si>
  <si>
    <t>ARUNIS</t>
  </si>
  <si>
    <t>526935,</t>
  </si>
  <si>
    <t>Sharp Investments Ltd.</t>
  </si>
  <si>
    <t>SHARPINV</t>
  </si>
  <si>
    <t>538212,</t>
  </si>
  <si>
    <t>JSWINFRA,</t>
  </si>
  <si>
    <t>Prism Medico and Pharmacy Ltd.</t>
  </si>
  <si>
    <t>PRISMMEDI</t>
  </si>
  <si>
    <t>512217,</t>
  </si>
  <si>
    <t>JSWSTEEL,</t>
  </si>
  <si>
    <t>Milgrey Finance &amp; Investments Ltd.</t>
  </si>
  <si>
    <t>ZMILGFIN</t>
  </si>
  <si>
    <t>511018,</t>
  </si>
  <si>
    <t>JTEKTINDIA,</t>
  </si>
  <si>
    <t>Capital India Finance Ltd.</t>
  </si>
  <si>
    <t>CIFL</t>
  </si>
  <si>
    <t>530879,</t>
  </si>
  <si>
    <t>JTLIND,</t>
  </si>
  <si>
    <t>Sumeru Industries Ltd.</t>
  </si>
  <si>
    <t>SUMERUIND</t>
  </si>
  <si>
    <t>530445,</t>
  </si>
  <si>
    <t>JUBLFOOD,</t>
  </si>
  <si>
    <t>K.M. Sugar Mills Ltd.</t>
  </si>
  <si>
    <t>KMSUGAR</t>
  </si>
  <si>
    <t>513173,</t>
  </si>
  <si>
    <t>K.P.R. Mill Ltd.</t>
  </si>
  <si>
    <t>KPRMILL</t>
  </si>
  <si>
    <t>TCLCONS,</t>
  </si>
  <si>
    <t>K2 Infragen Ltd.</t>
  </si>
  <si>
    <t>K2INFRA</t>
  </si>
  <si>
    <t>GINNIFILA,</t>
  </si>
  <si>
    <t>Kabra Extrusiontechnik Ltd.</t>
  </si>
  <si>
    <t>KABRAEXTRU</t>
  </si>
  <si>
    <t>HERCULES,</t>
  </si>
  <si>
    <t>Kajaria Ceramics Ltd.</t>
  </si>
  <si>
    <t>KAJARIACER</t>
  </si>
  <si>
    <t>BALRAMCHIN,</t>
  </si>
  <si>
    <t>India Infrastructure Trust - (INFRATRUST)</t>
  </si>
  <si>
    <t>INFRATRUST</t>
  </si>
  <si>
    <t>542543,</t>
  </si>
  <si>
    <t>516078,</t>
  </si>
  <si>
    <t>Kakatiya Cement Sugar &amp; Industries Ltd.</t>
  </si>
  <si>
    <t>KAKATCEM</t>
  </si>
  <si>
    <t>523850,</t>
  </si>
  <si>
    <t>Kalahridhaan Trendz Ltd.</t>
  </si>
  <si>
    <t>KTL</t>
  </si>
  <si>
    <t>530185,</t>
  </si>
  <si>
    <t>Kalana Ispat Ltd.</t>
  </si>
  <si>
    <t>KALANA</t>
  </si>
  <si>
    <t>SABTNL,</t>
  </si>
  <si>
    <t>Kalpataru Projects International Ltd.</t>
  </si>
  <si>
    <t>KPIL</t>
  </si>
  <si>
    <t>GOKUL,</t>
  </si>
  <si>
    <t>Kalyan Jewellers India Ltd.</t>
  </si>
  <si>
    <t>KALYANKJIL</t>
  </si>
  <si>
    <t>526355,</t>
  </si>
  <si>
    <t>Abhinav Leasing &amp; Finance Ltd.</t>
  </si>
  <si>
    <t>ALFL</t>
  </si>
  <si>
    <t>538952,</t>
  </si>
  <si>
    <t>JUSTDIAL,</t>
  </si>
  <si>
    <t>ACE Engitech Ltd.</t>
  </si>
  <si>
    <t>ACEENGITEC</t>
  </si>
  <si>
    <t>530669,</t>
  </si>
  <si>
    <t>JYOTHYLAB,</t>
  </si>
  <si>
    <t>Alfred Herbert (India) Ltd.</t>
  </si>
  <si>
    <t>ALFREDHE</t>
  </si>
  <si>
    <t>505216,</t>
  </si>
  <si>
    <t>JYOTICNC,</t>
  </si>
  <si>
    <t>Ashtasidhhi Industries Ltd.</t>
  </si>
  <si>
    <t>GUJINV</t>
  </si>
  <si>
    <t>531341,</t>
  </si>
  <si>
    <t>504076,</t>
  </si>
  <si>
    <t>Banas Finance Ltd.</t>
  </si>
  <si>
    <t>BANASFN</t>
  </si>
  <si>
    <t>509053,</t>
  </si>
  <si>
    <t>514448,</t>
  </si>
  <si>
    <t>BCL Enterprises Ltd.</t>
  </si>
  <si>
    <t>BCLENTERPR</t>
  </si>
  <si>
    <t>539621,</t>
  </si>
  <si>
    <t>JYOTISTRUC,</t>
  </si>
  <si>
    <t>Befound Movement Ltd.</t>
  </si>
  <si>
    <t>BEFOUNDMOL</t>
  </si>
  <si>
    <t>511585,</t>
  </si>
  <si>
    <t>KCPSUGIND,</t>
  </si>
  <si>
    <t>Credent Global Finance Ltd.</t>
  </si>
  <si>
    <t>CGFL</t>
  </si>
  <si>
    <t>539598,</t>
  </si>
  <si>
    <t>KMSUGAR,</t>
  </si>
  <si>
    <t>Cupid Breweries And Distilleries Ltd.</t>
  </si>
  <si>
    <t>CUPIDALBV</t>
  </si>
  <si>
    <t>512361,</t>
  </si>
  <si>
    <t>KPRMILL,</t>
  </si>
  <si>
    <t>Kalyani Forge Ltd.</t>
  </si>
  <si>
    <t>KALYANIFRG</t>
  </si>
  <si>
    <t>544287,</t>
  </si>
  <si>
    <t>Dynamic Portfolio Management &amp; Services Ltd.</t>
  </si>
  <si>
    <t>DYNAMICP</t>
  </si>
  <si>
    <t>530779,</t>
  </si>
  <si>
    <t>K2INFRA,</t>
  </si>
  <si>
    <t>Kalyani Investment Company Ltd.</t>
  </si>
  <si>
    <t>KICL</t>
  </si>
  <si>
    <t>KICL,</t>
  </si>
  <si>
    <t>517063,</t>
  </si>
  <si>
    <t>Gallops Enterprises Ltd.</t>
  </si>
  <si>
    <t>GALLOPENT</t>
  </si>
  <si>
    <t>531902,</t>
  </si>
  <si>
    <t>524675,</t>
  </si>
  <si>
    <t>Garbi Finvest Ltd.</t>
  </si>
  <si>
    <t>GARBIFIN</t>
  </si>
  <si>
    <t>539492,</t>
  </si>
  <si>
    <t>531778,</t>
  </si>
  <si>
    <t>Gemstone Investments Ltd.</t>
  </si>
  <si>
    <t>GEMSI</t>
  </si>
  <si>
    <t>531137,</t>
  </si>
  <si>
    <t>504840,</t>
  </si>
  <si>
    <t>GK Consultants Ltd.</t>
  </si>
  <si>
    <t>GKCONS</t>
  </si>
  <si>
    <t>531758,</t>
  </si>
  <si>
    <t>Greencrest Financial Services Ltd.</t>
  </si>
  <si>
    <t>GREENCREST</t>
  </si>
  <si>
    <t>531737,</t>
  </si>
  <si>
    <t>531780,</t>
  </si>
  <si>
    <t>Hasti Finance Ltd.</t>
  </si>
  <si>
    <t>HASTIFIN</t>
  </si>
  <si>
    <t>531387,</t>
  </si>
  <si>
    <t>538833,</t>
  </si>
  <si>
    <t>HB Leasing &amp; Finance Company Ltd.</t>
  </si>
  <si>
    <t>HBLEAS</t>
  </si>
  <si>
    <t>508956,</t>
  </si>
  <si>
    <t>KAJARIACER,</t>
  </si>
  <si>
    <t>India Lease Development Ltd.</t>
  </si>
  <si>
    <t>INDLEASE</t>
  </si>
  <si>
    <t>500202,</t>
  </si>
  <si>
    <t>543939,</t>
  </si>
  <si>
    <t>Innovassynth Investments Ltd.</t>
  </si>
  <si>
    <t>INOVSYNTH</t>
  </si>
  <si>
    <t>533315,</t>
  </si>
  <si>
    <t>KAKATCEM,</t>
  </si>
  <si>
    <t>Intec Capital Ltd.</t>
  </si>
  <si>
    <t>INTECCAP</t>
  </si>
  <si>
    <t>526871,</t>
  </si>
  <si>
    <t>521054,</t>
  </si>
  <si>
    <t>Integrated Capital Services Ltd.</t>
  </si>
  <si>
    <t>ICSL</t>
  </si>
  <si>
    <t>539149,</t>
  </si>
  <si>
    <t>KTL,</t>
  </si>
  <si>
    <t>ISF Ltd.</t>
  </si>
  <si>
    <t>ISFL</t>
  </si>
  <si>
    <t>526859,</t>
  </si>
  <si>
    <t>KALANA,</t>
  </si>
  <si>
    <t>Jayabharat Credit Ltd.</t>
  </si>
  <si>
    <t>JAYBHCR</t>
  </si>
  <si>
    <t>501311,</t>
  </si>
  <si>
    <t>530201,</t>
  </si>
  <si>
    <t>Kapil Raj Finance Ltd.</t>
  </si>
  <si>
    <t>KAPILRAJ</t>
  </si>
  <si>
    <t>539679,</t>
  </si>
  <si>
    <t>KPIL,</t>
  </si>
  <si>
    <t>Kreon Finnancial Services Ltd.</t>
  </si>
  <si>
    <t>KREONFIN</t>
  </si>
  <si>
    <t>530139,</t>
  </si>
  <si>
    <t>Kumbhat Financial Services Ltd.</t>
  </si>
  <si>
    <t>KUMPFIN</t>
  </si>
  <si>
    <t>526869,</t>
  </si>
  <si>
    <t>KALYANKJIL,</t>
  </si>
  <si>
    <t>Ladderup Finance Ltd.</t>
  </si>
  <si>
    <t>LADDERUP</t>
  </si>
  <si>
    <t>530577,</t>
  </si>
  <si>
    <t>544023,</t>
  </si>
  <si>
    <t>Lyons Corporate Market Ltd.</t>
  </si>
  <si>
    <t>LYONSCO</t>
  </si>
  <si>
    <t>531441,</t>
  </si>
  <si>
    <t>KALYANIFRG,</t>
  </si>
  <si>
    <t>Marg Techno Projects Ltd.</t>
  </si>
  <si>
    <t>MTPL</t>
  </si>
  <si>
    <t>540254,</t>
  </si>
  <si>
    <t>Kalyani Steels Ltd.</t>
  </si>
  <si>
    <t>KSL</t>
  </si>
  <si>
    <t>Premier Capital Services Ltd.</t>
  </si>
  <si>
    <t>PREMCAP</t>
  </si>
  <si>
    <t>511016,</t>
  </si>
  <si>
    <t>Prime Capital Market Ltd.</t>
  </si>
  <si>
    <t>PRIMECAPM</t>
  </si>
  <si>
    <t>535514,</t>
  </si>
  <si>
    <t>514322,</t>
  </si>
  <si>
    <t>Purple Finance Ltd.</t>
  </si>
  <si>
    <t>PURPLEFIN</t>
  </si>
  <si>
    <t>544191,</t>
  </si>
  <si>
    <t>511131,</t>
  </si>
  <si>
    <t>Ramchandra Leasing &amp; Finance Ltd.</t>
  </si>
  <si>
    <t>RLFL</t>
  </si>
  <si>
    <t>538540,</t>
  </si>
  <si>
    <t>KAMATHOTEL,</t>
  </si>
  <si>
    <t>Ramsons Projects Ltd.</t>
  </si>
  <si>
    <t>RAMSONS</t>
  </si>
  <si>
    <t>530925,</t>
  </si>
  <si>
    <t>KAMDHENU,</t>
  </si>
  <si>
    <t>Regis Industries Ltd.</t>
  </si>
  <si>
    <t>REGIS</t>
  </si>
  <si>
    <t>543208,</t>
  </si>
  <si>
    <t>KAMOPAINTS,</t>
  </si>
  <si>
    <t>Kamat Hotels (India) Ltd.</t>
  </si>
  <si>
    <t>KAMATHOTEL</t>
  </si>
  <si>
    <t>Roselabs Finance Ltd.</t>
  </si>
  <si>
    <t>ROSELABS</t>
  </si>
  <si>
    <t>531324,</t>
  </si>
  <si>
    <t>538896,</t>
  </si>
  <si>
    <t>Salem Erode Investments Ltd.</t>
  </si>
  <si>
    <t>SALEM</t>
  </si>
  <si>
    <t>540181,</t>
  </si>
  <si>
    <t>541005,</t>
  </si>
  <si>
    <t>Kamdhenu Ltd.</t>
  </si>
  <si>
    <t>KAMDHENU</t>
  </si>
  <si>
    <t>532344,</t>
  </si>
  <si>
    <t>Savani Financials Ltd.</t>
  </si>
  <si>
    <t>SAVFI</t>
  </si>
  <si>
    <t>511577,</t>
  </si>
  <si>
    <t>KANDARP,</t>
  </si>
  <si>
    <t>Shyamkamal Investments Ltd.</t>
  </si>
  <si>
    <t>SHYMINV</t>
  </si>
  <si>
    <t>505515,</t>
  </si>
  <si>
    <t>513456,</t>
  </si>
  <si>
    <t>Stellar Capital Services Ltd.</t>
  </si>
  <si>
    <t>STELLAR</t>
  </si>
  <si>
    <t>536738,</t>
  </si>
  <si>
    <t>KANORICHEM,</t>
  </si>
  <si>
    <t>Step Two Corporation Ltd.</t>
  </si>
  <si>
    <t>STEP2COR</t>
  </si>
  <si>
    <t>531509,</t>
  </si>
  <si>
    <t>539620,</t>
  </si>
  <si>
    <t>Sunshine Capital Ltd.</t>
  </si>
  <si>
    <t>SCL</t>
  </si>
  <si>
    <t>539574,</t>
  </si>
  <si>
    <t>KANPRPLA,</t>
  </si>
  <si>
    <t>Kamdhenu Ventures Ltd.</t>
  </si>
  <si>
    <t>KAMOPAINTS</t>
  </si>
  <si>
    <t>VERANDA,</t>
  </si>
  <si>
    <t>Thirani Projects Ltd.</t>
  </si>
  <si>
    <t>TPROJECT</t>
  </si>
  <si>
    <t>538464,</t>
  </si>
  <si>
    <t>Trustwave Securities Ltd.</t>
  </si>
  <si>
    <t>TRUSTWAVE</t>
  </si>
  <si>
    <t>508963,</t>
  </si>
  <si>
    <t>512036,</t>
  </si>
  <si>
    <t>Kanani Industries Ltd.</t>
  </si>
  <si>
    <t>KANANIIND</t>
  </si>
  <si>
    <t>516003,</t>
  </si>
  <si>
    <t>Virat Leasing Ltd.</t>
  </si>
  <si>
    <t>VLL</t>
  </si>
  <si>
    <t>539167,</t>
  </si>
  <si>
    <t>KAPSTON,</t>
  </si>
  <si>
    <t>Visagar Financial Services Ltd.</t>
  </si>
  <si>
    <t>VISAGAR</t>
  </si>
  <si>
    <t>531025,</t>
  </si>
  <si>
    <t>KARMAENG,</t>
  </si>
  <si>
    <t>Kandarp Digi Smart BPO Ltd.</t>
  </si>
  <si>
    <t>KANDARP</t>
  </si>
  <si>
    <t>APOLSINHOT,</t>
  </si>
  <si>
    <t>Yogi Ltd.</t>
  </si>
  <si>
    <t>YOGI</t>
  </si>
  <si>
    <t>511702,</t>
  </si>
  <si>
    <t>KARNIKA,</t>
  </si>
  <si>
    <t>BFL Asset Finvest Ltd.</t>
  </si>
  <si>
    <t>BFLAFL</t>
  </si>
  <si>
    <t>539662,</t>
  </si>
  <si>
    <t>Key Corp Ltd.</t>
  </si>
  <si>
    <t>KEYCORP</t>
  </si>
  <si>
    <t>507948,</t>
  </si>
  <si>
    <t>531960,</t>
  </si>
  <si>
    <t>Kanoria Chemicals &amp; Industries Ltd.</t>
  </si>
  <si>
    <t>KANORICHEM</t>
  </si>
  <si>
    <t>Available Finance Ltd.</t>
  </si>
  <si>
    <t>AVAILFC</t>
  </si>
  <si>
    <t>531310,</t>
  </si>
  <si>
    <t>KATARIA,</t>
  </si>
  <si>
    <t>Suvifin Credit Solutions Ltd.</t>
  </si>
  <si>
    <t>PURSHOTTAM</t>
  </si>
  <si>
    <t>538647,</t>
  </si>
  <si>
    <t>531126,</t>
  </si>
  <si>
    <t>Bengal &amp; Assam Company Ltd.</t>
  </si>
  <si>
    <t>BENGALASM</t>
  </si>
  <si>
    <t>533095,</t>
  </si>
  <si>
    <t>KAUSHALYA,</t>
  </si>
  <si>
    <t>Kiduja India Ltd.</t>
  </si>
  <si>
    <t>KIDUJA</t>
  </si>
  <si>
    <t>507946,</t>
  </si>
  <si>
    <t>KLL,</t>
  </si>
  <si>
    <t>Kanpur Plastipack Ltd.</t>
  </si>
  <si>
    <t>KANPRPLA</t>
  </si>
  <si>
    <t>Shardul Securities Ltd.</t>
  </si>
  <si>
    <t>SHARDUL</t>
  </si>
  <si>
    <t>512393,</t>
  </si>
  <si>
    <t>KAVVERITEL,</t>
  </si>
  <si>
    <t>Kansai Nerolac Paints Ltd.</t>
  </si>
  <si>
    <t>KANSAINER</t>
  </si>
  <si>
    <t>PRAKASH,</t>
  </si>
  <si>
    <t>KZ Leasing &amp; Finance Ltd.</t>
  </si>
  <si>
    <t>KZLFIN</t>
  </si>
  <si>
    <t>511728,</t>
  </si>
  <si>
    <t>530255,</t>
  </si>
  <si>
    <t>Octal Credit Capital Ltd.</t>
  </si>
  <si>
    <t>OCTAL</t>
  </si>
  <si>
    <t>538894,</t>
  </si>
  <si>
    <t>KAYA,</t>
  </si>
  <si>
    <t>Sonal Mercantile Ltd.</t>
  </si>
  <si>
    <t>SONAL</t>
  </si>
  <si>
    <t>538943,</t>
  </si>
  <si>
    <t>504084,</t>
  </si>
  <si>
    <t>Stellant Securities (India) Ltd.</t>
  </si>
  <si>
    <t>STELLANT</t>
  </si>
  <si>
    <t>526071,</t>
  </si>
  <si>
    <t>KAYNES,</t>
  </si>
  <si>
    <t>Visco Trade Associates Ltd.</t>
  </si>
  <si>
    <t>VISCO</t>
  </si>
  <si>
    <t>540097,</t>
  </si>
  <si>
    <t>KBCGLOBAL,</t>
  </si>
  <si>
    <t>JMJ Fintech Ltd.</t>
  </si>
  <si>
    <t>JMJFIN</t>
  </si>
  <si>
    <t>538834,</t>
  </si>
  <si>
    <t>Kapston Services Ltd.</t>
  </si>
  <si>
    <t>KAPSTON</t>
  </si>
  <si>
    <t>SHANKARA,</t>
  </si>
  <si>
    <t>Saumya Consultants Ltd.</t>
  </si>
  <si>
    <t>SAUMYA</t>
  </si>
  <si>
    <t>539218,</t>
  </si>
  <si>
    <t>KCK,</t>
  </si>
  <si>
    <t>Karma Energy Ltd.</t>
  </si>
  <si>
    <t>KARMAENG</t>
  </si>
  <si>
    <t>SATIA,</t>
  </si>
  <si>
    <t>Karnika Industries Ltd.</t>
  </si>
  <si>
    <t>KARNIKA</t>
  </si>
  <si>
    <t>SBGLP,</t>
  </si>
  <si>
    <t>Integra Capital Ltd.</t>
  </si>
  <si>
    <t>INTCAPL</t>
  </si>
  <si>
    <t>531314,</t>
  </si>
  <si>
    <t>KDDL,</t>
  </si>
  <si>
    <t>TCFC Finance Ltd.</t>
  </si>
  <si>
    <t>TCFCFINQ</t>
  </si>
  <si>
    <t>532284,</t>
  </si>
  <si>
    <t>KEC,</t>
  </si>
  <si>
    <t>Arnold Holdings Ltd.</t>
  </si>
  <si>
    <t>ARNOLD</t>
  </si>
  <si>
    <t>537069,</t>
  </si>
  <si>
    <t>518011,</t>
  </si>
  <si>
    <t>Karur Vysya Bank Ltd.</t>
  </si>
  <si>
    <t>KARURVYSYA</t>
  </si>
  <si>
    <t>AMJLAND,</t>
  </si>
  <si>
    <t>Morgan Ventures Ltd.</t>
  </si>
  <si>
    <t>MORGAN</t>
  </si>
  <si>
    <t>526237,</t>
  </si>
  <si>
    <t>KELLTONTEC,</t>
  </si>
  <si>
    <t>Ad-Manum Finance Ltd.</t>
  </si>
  <si>
    <t>ADMANUM</t>
  </si>
  <si>
    <t>511359,</t>
  </si>
  <si>
    <t>506528,</t>
  </si>
  <si>
    <t>Kiran Vyapar Ltd.</t>
  </si>
  <si>
    <t>KIRANVYPAR</t>
  </si>
  <si>
    <t>537750,</t>
  </si>
  <si>
    <t>531163,</t>
  </si>
  <si>
    <t>Kataria Industries Ltd.</t>
  </si>
  <si>
    <t>KATARIA</t>
  </si>
  <si>
    <t>532425,</t>
  </si>
  <si>
    <t>Kaushalya Infrastructure Development Corporation Ltd.</t>
  </si>
  <si>
    <t>KAUSHALYA</t>
  </si>
  <si>
    <t>538542,</t>
  </si>
  <si>
    <t>Golechha Global Finance Ltd.</t>
  </si>
  <si>
    <t>GOLECHA</t>
  </si>
  <si>
    <t>531360,</t>
  </si>
  <si>
    <t>505890,</t>
  </si>
  <si>
    <t>Kaushalya Logistics Ltd.</t>
  </si>
  <si>
    <t>KLL</t>
  </si>
  <si>
    <t>531626,</t>
  </si>
  <si>
    <t>United Credit Ltd.</t>
  </si>
  <si>
    <t>UNITDCR</t>
  </si>
  <si>
    <t>531091,</t>
  </si>
  <si>
    <t>530163,</t>
  </si>
  <si>
    <t>Balmer Lawrie Investments Ltd.</t>
  </si>
  <si>
    <t>BLIL</t>
  </si>
  <si>
    <t>532485,</t>
  </si>
  <si>
    <t>KERNEX,</t>
  </si>
  <si>
    <t>Goenka Business &amp; Finance Ltd.</t>
  </si>
  <si>
    <t>GBFL</t>
  </si>
  <si>
    <t>538787,</t>
  </si>
  <si>
    <t>507180,</t>
  </si>
  <si>
    <t>Kaveri Seed Company Ltd.</t>
  </si>
  <si>
    <t>KSCL</t>
  </si>
  <si>
    <t>AARVEEDEN,</t>
  </si>
  <si>
    <t>Kavveri Defence &amp; Wireless Technologies Ltd.</t>
  </si>
  <si>
    <t>KAVVERITEL</t>
  </si>
  <si>
    <t>521232,</t>
  </si>
  <si>
    <t>Goyal Associates Ltd.</t>
  </si>
  <si>
    <t>GOYALASS</t>
  </si>
  <si>
    <t>530663,</t>
  </si>
  <si>
    <t>KESORAMIND,</t>
  </si>
  <si>
    <t>Williamson Financial Services Ltd.</t>
  </si>
  <si>
    <t>WILLIMFI</t>
  </si>
  <si>
    <t>519214,</t>
  </si>
  <si>
    <t>KKCL,</t>
  </si>
  <si>
    <t>Mansi Finance (Chennai) Ltd.</t>
  </si>
  <si>
    <t>MANSIFIN</t>
  </si>
  <si>
    <t>511758,</t>
  </si>
  <si>
    <t>Nalin Lease Finance Ltd.</t>
  </si>
  <si>
    <t>NLFL</t>
  </si>
  <si>
    <t>531212,</t>
  </si>
  <si>
    <t>Kay Cee Energy &amp; Infra Ltd.</t>
  </si>
  <si>
    <t>KCEIL</t>
  </si>
  <si>
    <t>GIRRESORTS,</t>
  </si>
  <si>
    <t>Kaya Ltd.</t>
  </si>
  <si>
    <t>KAYA</t>
  </si>
  <si>
    <t>540401,</t>
  </si>
  <si>
    <t>Saraswati Commercial (India) Ltd.</t>
  </si>
  <si>
    <t>ZSARACOM</t>
  </si>
  <si>
    <t>512020,</t>
  </si>
  <si>
    <t>500239,</t>
  </si>
  <si>
    <t>Kaynes Technology India Ltd.</t>
  </si>
  <si>
    <t>KAYNES</t>
  </si>
  <si>
    <t>Aastamangalam Finance Ltd.</t>
  </si>
  <si>
    <t>AASTAFIN</t>
  </si>
  <si>
    <t>511764,</t>
  </si>
  <si>
    <t>KHADIM,</t>
  </si>
  <si>
    <t>NEIL Industries Ltd.</t>
  </si>
  <si>
    <t>NEIL</t>
  </si>
  <si>
    <t>539016,</t>
  </si>
  <si>
    <t>KHAITANLTD,</t>
  </si>
  <si>
    <t>KBC Global Ltd.</t>
  </si>
  <si>
    <t>KBCGLOBAL</t>
  </si>
  <si>
    <t>Inter Globe Finance Ltd.</t>
  </si>
  <si>
    <t>INTRGLB</t>
  </si>
  <si>
    <t>511391,</t>
  </si>
  <si>
    <t>519064,</t>
  </si>
  <si>
    <t>Kck Industries Ltd.</t>
  </si>
  <si>
    <t>KCK</t>
  </si>
  <si>
    <t>522091,</t>
  </si>
  <si>
    <t>Adcon Capital Services Ltd.</t>
  </si>
  <si>
    <t>ADCON</t>
  </si>
  <si>
    <t>539506,</t>
  </si>
  <si>
    <t>543953,</t>
  </si>
  <si>
    <t>TTI Enterprise Ltd.</t>
  </si>
  <si>
    <t>TTIENT</t>
  </si>
  <si>
    <t>538597,</t>
  </si>
  <si>
    <t>KHFM,</t>
  </si>
  <si>
    <t>RSD Finance Ltd.</t>
  </si>
  <si>
    <t>RSDFIN</t>
  </si>
  <si>
    <t>539875,</t>
  </si>
  <si>
    <t>Comfort Fincap Ltd.</t>
  </si>
  <si>
    <t>COMFINCAP</t>
  </si>
  <si>
    <t>535267,</t>
  </si>
  <si>
    <t>544270,</t>
  </si>
  <si>
    <t>Moongipa Capital Finance Ltd.</t>
  </si>
  <si>
    <t>MONGIPA</t>
  </si>
  <si>
    <t>530167,</t>
  </si>
  <si>
    <t>531692,</t>
  </si>
  <si>
    <t>KCP Ltd.</t>
  </si>
  <si>
    <t>KCP</t>
  </si>
  <si>
    <t>AZAD,</t>
  </si>
  <si>
    <t>KDDL Ltd.</t>
  </si>
  <si>
    <t>KDDL</t>
  </si>
  <si>
    <t>ZFCVINDIA,</t>
  </si>
  <si>
    <t>KEC International Ltd.</t>
  </si>
  <si>
    <t>KEC</t>
  </si>
  <si>
    <t>540062,</t>
  </si>
  <si>
    <t>Ceejay Finance Ltd.</t>
  </si>
  <si>
    <t>CEEJAY</t>
  </si>
  <si>
    <t>530789,</t>
  </si>
  <si>
    <t>522101,</t>
  </si>
  <si>
    <t>KEI Industries Ltd.</t>
  </si>
  <si>
    <t>KEI</t>
  </si>
  <si>
    <t>ASTERDM,</t>
  </si>
  <si>
    <t>Kellton Tech Solutions Ltd.</t>
  </si>
  <si>
    <t>KELLTONTEC</t>
  </si>
  <si>
    <t>NILKAMAL,</t>
  </si>
  <si>
    <t>Kernex Microsystems (India) Ltd.</t>
  </si>
  <si>
    <t>KERNEX</t>
  </si>
  <si>
    <t>Glance Finance Ltd.</t>
  </si>
  <si>
    <t>GLANCE</t>
  </si>
  <si>
    <t>531199,</t>
  </si>
  <si>
    <t>KINGFA,</t>
  </si>
  <si>
    <t>Voltaire Leasing &amp; Finance Ltd.</t>
  </si>
  <si>
    <t>VOLLF</t>
  </si>
  <si>
    <t>509038,</t>
  </si>
  <si>
    <t>530215,</t>
  </si>
  <si>
    <t>Kesoram Industries Ltd.</t>
  </si>
  <si>
    <t>KESORAMIND</t>
  </si>
  <si>
    <t>544177,</t>
  </si>
  <si>
    <t>Rajkot Investment Trust Ltd.</t>
  </si>
  <si>
    <t>RAJKOTINV</t>
  </si>
  <si>
    <t>539495,</t>
  </si>
  <si>
    <t>531413,</t>
  </si>
  <si>
    <t>Standard Capital Markets Ltd.</t>
  </si>
  <si>
    <t>STANCAP</t>
  </si>
  <si>
    <t>511700,</t>
  </si>
  <si>
    <t>530443,</t>
  </si>
  <si>
    <t>Kewal Kiran Clothing Ltd.</t>
  </si>
  <si>
    <t>KKCL</t>
  </si>
  <si>
    <t>TARACHAND,</t>
  </si>
  <si>
    <t>Sita Enterprises Ltd.</t>
  </si>
  <si>
    <t>SITAENT</t>
  </si>
  <si>
    <t>512589,</t>
  </si>
  <si>
    <t>KIRIINDUS,</t>
  </si>
  <si>
    <t>JJ Finance Corporation Ltd.</t>
  </si>
  <si>
    <t>JJFINCOR</t>
  </si>
  <si>
    <t>523062,</t>
  </si>
  <si>
    <t>KIRLOSBROS,</t>
  </si>
  <si>
    <t>Keynote Financial Services Ltd.</t>
  </si>
  <si>
    <t>KEYFINSERV</t>
  </si>
  <si>
    <t>KEYFINSERV,</t>
  </si>
  <si>
    <t>ISHAN,</t>
  </si>
  <si>
    <t>Indianivesh Ltd.</t>
  </si>
  <si>
    <t>INDIANVSH</t>
  </si>
  <si>
    <t>501700,</t>
  </si>
  <si>
    <t>500245,</t>
  </si>
  <si>
    <t>Keystone Realtors Ltd</t>
  </si>
  <si>
    <t>RUSTOMJEE</t>
  </si>
  <si>
    <t>CINELINE,</t>
  </si>
  <si>
    <t>CFSL Ltd.</t>
  </si>
  <si>
    <t>CUBIFIN</t>
  </si>
  <si>
    <t>511710,</t>
  </si>
  <si>
    <t>KIRLOSENG,</t>
  </si>
  <si>
    <t>KFin Technologies Ltd.</t>
  </si>
  <si>
    <t>KFINTECH</t>
  </si>
  <si>
    <t>KFINTECH,</t>
  </si>
  <si>
    <t>DONEAR,</t>
  </si>
  <si>
    <t>Comfort Intech Ltd.</t>
  </si>
  <si>
    <t>COMFINTE</t>
  </si>
  <si>
    <t>531216,</t>
  </si>
  <si>
    <t>519230,</t>
  </si>
  <si>
    <t>Khadim India Ltd.</t>
  </si>
  <si>
    <t>KHADIM</t>
  </si>
  <si>
    <t>500267,</t>
  </si>
  <si>
    <t>Khaitan (India) Ltd.</t>
  </si>
  <si>
    <t>KHAITANLTD</t>
  </si>
  <si>
    <t>530825,</t>
  </si>
  <si>
    <t>Upsurge Investment &amp; Finance Ltd.</t>
  </si>
  <si>
    <t>UPSURGE</t>
  </si>
  <si>
    <t>531390,</t>
  </si>
  <si>
    <t>544221,</t>
  </si>
  <si>
    <t>Ekam Leasing &amp; Finance Company Ltd.</t>
  </si>
  <si>
    <t>EKAMLEA</t>
  </si>
  <si>
    <t>530581,</t>
  </si>
  <si>
    <t>Khaitan Chemicals &amp; Fertilizers Ltd.</t>
  </si>
  <si>
    <t>KHAICHEM</t>
  </si>
  <si>
    <t>Khandwala Securities Ltd.</t>
  </si>
  <si>
    <t>KHANDSE</t>
  </si>
  <si>
    <t>KHANDSE,</t>
  </si>
  <si>
    <t>517449,</t>
  </si>
  <si>
    <t>Mukesh Babu Financial Services Ltd.</t>
  </si>
  <si>
    <t>MUKESHB</t>
  </si>
  <si>
    <t>530341,</t>
  </si>
  <si>
    <t>KKVAPOW,</t>
  </si>
  <si>
    <t>Classic Leasing &amp; Finance Ltd.</t>
  </si>
  <si>
    <t>CLFL</t>
  </si>
  <si>
    <t>540481,</t>
  </si>
  <si>
    <t>524520,</t>
  </si>
  <si>
    <t>Gowra Leasing &amp; Finance Ltd.</t>
  </si>
  <si>
    <t>GOWRALE</t>
  </si>
  <si>
    <t>530709,</t>
  </si>
  <si>
    <t>531578,</t>
  </si>
  <si>
    <t>ARC Finance Ltd.</t>
  </si>
  <si>
    <t>ARCFIN</t>
  </si>
  <si>
    <t>540135,</t>
  </si>
  <si>
    <t>KNAGRI,</t>
  </si>
  <si>
    <t>Industrial &amp; Prudential Investment Company Ltd.</t>
  </si>
  <si>
    <t>INDPRUD</t>
  </si>
  <si>
    <t>501298,</t>
  </si>
  <si>
    <t>KMEW,</t>
  </si>
  <si>
    <t>Sainik Finance &amp; Industries Ltd.</t>
  </si>
  <si>
    <t>SAINIK</t>
  </si>
  <si>
    <t>530265,</t>
  </si>
  <si>
    <t>KNRCON,</t>
  </si>
  <si>
    <t>Paragon Finance Ltd.</t>
  </si>
  <si>
    <t>PARAGONF</t>
  </si>
  <si>
    <t>531255,</t>
  </si>
  <si>
    <t>KODYTECH,</t>
  </si>
  <si>
    <t>KHFM Hospitality and Facility Management Services Ltd.</t>
  </si>
  <si>
    <t>KHFM</t>
  </si>
  <si>
    <t>SHAIVAL,</t>
  </si>
  <si>
    <t>Kilitch Drugs (India) Ltd.</t>
  </si>
  <si>
    <t>KILITCH</t>
  </si>
  <si>
    <t>RPTECH,</t>
  </si>
  <si>
    <t>FGP Ltd.</t>
  </si>
  <si>
    <t>FGP</t>
  </si>
  <si>
    <t>500142,</t>
  </si>
  <si>
    <t>KOLTEPATIL,</t>
  </si>
  <si>
    <t>Morarka Finance Ltd.</t>
  </si>
  <si>
    <t>MORARKFI</t>
  </si>
  <si>
    <t>511549,</t>
  </si>
  <si>
    <t>514128,</t>
  </si>
  <si>
    <t>KIFS Financial Services Ltd.</t>
  </si>
  <si>
    <t>KIFS</t>
  </si>
  <si>
    <t>535566,</t>
  </si>
  <si>
    <t>532397,</t>
  </si>
  <si>
    <t>Kingfa Science &amp; Technology (India) Ltd.</t>
  </si>
  <si>
    <t>KINGFA</t>
  </si>
  <si>
    <t>SAILIFE,</t>
  </si>
  <si>
    <t>Quest Capital Markets Ltd.</t>
  </si>
  <si>
    <t>QUESTCAP</t>
  </si>
  <si>
    <t>500069,</t>
  </si>
  <si>
    <t>KONTOR,</t>
  </si>
  <si>
    <t>WSFX Global Pay Ltd.</t>
  </si>
  <si>
    <t>WSFX</t>
  </si>
  <si>
    <t>511147,</t>
  </si>
  <si>
    <t>KOPRAN,</t>
  </si>
  <si>
    <t>KIOCL Ltd.</t>
  </si>
  <si>
    <t>KIOCL</t>
  </si>
  <si>
    <t>PHOGLOBAL,</t>
  </si>
  <si>
    <t>Galada Finance Ltd.</t>
  </si>
  <si>
    <t>GALADAFIN</t>
  </si>
  <si>
    <t>538881,</t>
  </si>
  <si>
    <t>500458,</t>
  </si>
  <si>
    <t>Kiri Industries Ltd.</t>
  </si>
  <si>
    <t>KIRIINDUS</t>
  </si>
  <si>
    <t>ELGIRUBCO,</t>
  </si>
  <si>
    <t>Kirloskar Brothers Ltd.</t>
  </si>
  <si>
    <t>KIRLOSBROS</t>
  </si>
  <si>
    <t>HERITGFOOD,</t>
  </si>
  <si>
    <t>Abhinav Capital Services Ltd.</t>
  </si>
  <si>
    <t>ABHICAP</t>
  </si>
  <si>
    <t>532057,</t>
  </si>
  <si>
    <t>509732,</t>
  </si>
  <si>
    <t>Sakthi Finance Ltd.</t>
  </si>
  <si>
    <t>SAKTHIFIN</t>
  </si>
  <si>
    <t>511066,</t>
  </si>
  <si>
    <t>KOTHARIPET,</t>
  </si>
  <si>
    <t>Kirloskar Electric Company Ltd.</t>
  </si>
  <si>
    <t>KECL</t>
  </si>
  <si>
    <t>FINEORG,</t>
  </si>
  <si>
    <t>Kirloskar Industries Ltd.</t>
  </si>
  <si>
    <t>KIRLOSIND</t>
  </si>
  <si>
    <t>HEROMOTOCO,</t>
  </si>
  <si>
    <t>Kirloskar Oil Engines Ltd.</t>
  </si>
  <si>
    <t>KIRLOSENG</t>
  </si>
  <si>
    <t>HESTERBIO,</t>
  </si>
  <si>
    <t>Kirloskar Pneumatic Company Ltd.</t>
  </si>
  <si>
    <t>KIRLPNU</t>
  </si>
  <si>
    <t>538817,</t>
  </si>
  <si>
    <t>Ushakiran Finance Ltd.</t>
  </si>
  <si>
    <t>USHAKIRA</t>
  </si>
  <si>
    <t>511507,</t>
  </si>
  <si>
    <t>523323,</t>
  </si>
  <si>
    <t>Swarna Securities Ltd.</t>
  </si>
  <si>
    <t>SWRNASE</t>
  </si>
  <si>
    <t>531003,</t>
  </si>
  <si>
    <t>507598,</t>
  </si>
  <si>
    <t>Global Capital Markets Ltd.</t>
  </si>
  <si>
    <t>GLOBALCA</t>
  </si>
  <si>
    <t>530263,</t>
  </si>
  <si>
    <t>KPEL,</t>
  </si>
  <si>
    <t>GSL Securities Ltd.</t>
  </si>
  <si>
    <t>GSLSEC</t>
  </si>
  <si>
    <t>530469,</t>
  </si>
  <si>
    <t>544150,</t>
  </si>
  <si>
    <t>Kitex Garments Ltd.</t>
  </si>
  <si>
    <t>KITEX</t>
  </si>
  <si>
    <t>TARAPUR,</t>
  </si>
  <si>
    <t>KKV Agro Powers Ltd.</t>
  </si>
  <si>
    <t>KKVAPOW</t>
  </si>
  <si>
    <t>SAPPHIRE,</t>
  </si>
  <si>
    <t>Sangam Finserv Ltd.</t>
  </si>
  <si>
    <t>SANGAMFIN</t>
  </si>
  <si>
    <t>538714,</t>
  </si>
  <si>
    <t>505299,</t>
  </si>
  <si>
    <t>Smart Finsec Ltd.</t>
  </si>
  <si>
    <t>SMARTFIN</t>
  </si>
  <si>
    <t>539494,</t>
  </si>
  <si>
    <t>542459,</t>
  </si>
  <si>
    <t>Helpage Finlease Ltd.</t>
  </si>
  <si>
    <t>HELPAGE</t>
  </si>
  <si>
    <t>539174,</t>
  </si>
  <si>
    <t>KRBL,</t>
  </si>
  <si>
    <t>SG Finserve Ltd.</t>
  </si>
  <si>
    <t>SGFIN</t>
  </si>
  <si>
    <t>539199,</t>
  </si>
  <si>
    <t>KREBSBIO,</t>
  </si>
  <si>
    <t>Enbee Trade &amp; Finance Ltd.</t>
  </si>
  <si>
    <t>ENBETRD</t>
  </si>
  <si>
    <t>512441,</t>
  </si>
  <si>
    <t>KN Agri Resources Ltd.</t>
  </si>
  <si>
    <t>KNAGRI</t>
  </si>
  <si>
    <t>DCI,</t>
  </si>
  <si>
    <t>Knowledge Marine &amp; Engineering Works Ltd.</t>
  </si>
  <si>
    <t>KMEW</t>
  </si>
  <si>
    <t>SHUBHSHREE,</t>
  </si>
  <si>
    <t>Optimus Finance Ltd.</t>
  </si>
  <si>
    <t>OPTIFIN</t>
  </si>
  <si>
    <t>531254,</t>
  </si>
  <si>
    <t>KRISHANA,</t>
  </si>
  <si>
    <t>KNR Constructions Ltd.</t>
  </si>
  <si>
    <t>KNRCON</t>
  </si>
  <si>
    <t>GOLDENTOBC,</t>
  </si>
  <si>
    <t>Kody Technolab Ltd.</t>
  </si>
  <si>
    <t>KODYTECH</t>
  </si>
  <si>
    <t>SP Capital Financing Ltd.</t>
  </si>
  <si>
    <t>SPCAPIT</t>
  </si>
  <si>
    <t>530289,</t>
  </si>
  <si>
    <t>KRISHIVAL,</t>
  </si>
  <si>
    <t>Capital Trade Links Ltd.</t>
  </si>
  <si>
    <t>CTL</t>
  </si>
  <si>
    <t>538476,</t>
  </si>
  <si>
    <t>Kohinoor Foods Ltd.</t>
  </si>
  <si>
    <t>KOHINOOR</t>
  </si>
  <si>
    <t>DEVIT,</t>
  </si>
  <si>
    <t>Indus Finance Ltd.</t>
  </si>
  <si>
    <t>INDUSFINL</t>
  </si>
  <si>
    <t>531841,</t>
  </si>
  <si>
    <t>500248,</t>
  </si>
  <si>
    <t>Kokuyo Camlin Ltd.</t>
  </si>
  <si>
    <t>KOKUYOCMLN</t>
  </si>
  <si>
    <t>535647,</t>
  </si>
  <si>
    <t>Kolte-Patil Developers Ltd.</t>
  </si>
  <si>
    <t>KOLTEPATIL</t>
  </si>
  <si>
    <t>CIPLA,</t>
  </si>
  <si>
    <t>KJMC Financial Services Ltd.</t>
  </si>
  <si>
    <t>KJMCFIN</t>
  </si>
  <si>
    <t>530235,</t>
  </si>
  <si>
    <t>KRITI,</t>
  </si>
  <si>
    <t>Lead Financial Services Ltd.</t>
  </si>
  <si>
    <t>LEADFIN</t>
  </si>
  <si>
    <t>531288,</t>
  </si>
  <si>
    <t>KRITINUT,</t>
  </si>
  <si>
    <t>MKVentures Capital Ltd.</t>
  </si>
  <si>
    <t>MKVENTURES</t>
  </si>
  <si>
    <t>514238,</t>
  </si>
  <si>
    <t>KRITIKA,</t>
  </si>
  <si>
    <t>Sulabh Engineers &amp; Services Ltd.</t>
  </si>
  <si>
    <t>SULABEN</t>
  </si>
  <si>
    <t>508969,</t>
  </si>
  <si>
    <t>KRN,</t>
  </si>
  <si>
    <t>Shalibhadra Finance Ltd.</t>
  </si>
  <si>
    <t>SAHLIBHFI</t>
  </si>
  <si>
    <t>511754,</t>
  </si>
  <si>
    <t>KRONOX,</t>
  </si>
  <si>
    <t>Konstelec Engineers Ltd.</t>
  </si>
  <si>
    <t>KONSTELEC</t>
  </si>
  <si>
    <t>GRSE,</t>
  </si>
  <si>
    <t>ACME Resources Ltd.</t>
  </si>
  <si>
    <t>ACME</t>
  </si>
  <si>
    <t>539391,</t>
  </si>
  <si>
    <t>KRSNAA,</t>
  </si>
  <si>
    <t>Pulsar International Ltd.</t>
  </si>
  <si>
    <t>PULSRIN</t>
  </si>
  <si>
    <t>512591,</t>
  </si>
  <si>
    <t>523550,</t>
  </si>
  <si>
    <t>India Cements Capital Ltd.</t>
  </si>
  <si>
    <t>INDCEMCAP</t>
  </si>
  <si>
    <t>511355,</t>
  </si>
  <si>
    <t>KRYSTAL,</t>
  </si>
  <si>
    <t>Ken Financial Services Ltd.</t>
  </si>
  <si>
    <t>KENFIN</t>
  </si>
  <si>
    <t>530547,</t>
  </si>
  <si>
    <t>KSB,</t>
  </si>
  <si>
    <t>Beryl Securities Ltd.</t>
  </si>
  <si>
    <t>BERYLSE</t>
  </si>
  <si>
    <t>531582,</t>
  </si>
  <si>
    <t>519421,</t>
  </si>
  <si>
    <t>Kontor Space Ltd.</t>
  </si>
  <si>
    <t>KONTOR</t>
  </si>
  <si>
    <t>Anjani Finance Ltd.</t>
  </si>
  <si>
    <t>ANJANIFIN</t>
  </si>
  <si>
    <t>531878,</t>
  </si>
  <si>
    <t>KSOLVES,</t>
  </si>
  <si>
    <t>Anupam Finserv Ltd.</t>
  </si>
  <si>
    <t>ANUPAM</t>
  </si>
  <si>
    <t>530109,</t>
  </si>
  <si>
    <t>KUANTUM,</t>
  </si>
  <si>
    <t>Panafic Industrials Ltd.</t>
  </si>
  <si>
    <t>PANAFIC</t>
  </si>
  <si>
    <t>538860,</t>
  </si>
  <si>
    <t>India Finsec Ltd.</t>
  </si>
  <si>
    <t>IFINSEC</t>
  </si>
  <si>
    <t>535667,</t>
  </si>
  <si>
    <t>Tokyo Finance Ltd.</t>
  </si>
  <si>
    <t>TOKYOFIN</t>
  </si>
  <si>
    <t>531644,</t>
  </si>
  <si>
    <t>KEL,</t>
  </si>
  <si>
    <t>Kopran Ltd.</t>
  </si>
  <si>
    <t>KOPRAN</t>
  </si>
  <si>
    <t>531233,</t>
  </si>
  <si>
    <t>Richfield Financial Services Ltd.</t>
  </si>
  <si>
    <t>RFSL</t>
  </si>
  <si>
    <t>539435,</t>
  </si>
  <si>
    <t>514240,</t>
  </si>
  <si>
    <t>Oasis Securities Ltd.</t>
  </si>
  <si>
    <t>OASISEC</t>
  </si>
  <si>
    <t>512489,</t>
  </si>
  <si>
    <t>530421,</t>
  </si>
  <si>
    <t>Unifinz Capital India Ltd.</t>
  </si>
  <si>
    <t>UCIL</t>
  </si>
  <si>
    <t>541358,</t>
  </si>
  <si>
    <t>539997,</t>
  </si>
  <si>
    <t>Continental Securities Ltd.</t>
  </si>
  <si>
    <t>CSL</t>
  </si>
  <si>
    <t>538868,</t>
  </si>
  <si>
    <t>Kore Digital Ltd.</t>
  </si>
  <si>
    <t>KDL</t>
  </si>
  <si>
    <t>SUPREMEENG,</t>
  </si>
  <si>
    <t>F Mec International Financial Services Ltd.</t>
  </si>
  <si>
    <t>FMEC</t>
  </si>
  <si>
    <t>539552,</t>
  </si>
  <si>
    <t>LTTS,</t>
  </si>
  <si>
    <t>Esaar (India) Ltd.</t>
  </si>
  <si>
    <t>ESARIND</t>
  </si>
  <si>
    <t>531502,</t>
  </si>
  <si>
    <t>LAOPALA,</t>
  </si>
  <si>
    <t>Shreevatsa Finance &amp; Leasing Ltd.</t>
  </si>
  <si>
    <t>SHVFL</t>
  </si>
  <si>
    <t>532007,</t>
  </si>
  <si>
    <t>505693,</t>
  </si>
  <si>
    <t>Kotak Mahindra Bank Ltd.</t>
  </si>
  <si>
    <t>KOTAKBANK</t>
  </si>
  <si>
    <t>544169,</t>
  </si>
  <si>
    <t>Kothari Petrochemicals Ltd.</t>
  </si>
  <si>
    <t>KOTHARIPET</t>
  </si>
  <si>
    <t>530077,</t>
  </si>
  <si>
    <t>Futuristic Solutions Ltd.</t>
  </si>
  <si>
    <t>FUTSOL</t>
  </si>
  <si>
    <t>534063,</t>
  </si>
  <si>
    <t>Kuber Udyog Ltd.</t>
  </si>
  <si>
    <t>KUBERJI</t>
  </si>
  <si>
    <t>539408,</t>
  </si>
  <si>
    <t>524522,</t>
  </si>
  <si>
    <t>Vani Commercials Ltd.</t>
  </si>
  <si>
    <t>VANICOM</t>
  </si>
  <si>
    <t>538918,</t>
  </si>
  <si>
    <t>LAGNAM,</t>
  </si>
  <si>
    <t>Swati Projects Ltd.</t>
  </si>
  <si>
    <t>SWATIPRO</t>
  </si>
  <si>
    <t>543914,</t>
  </si>
  <si>
    <t>531842,</t>
  </si>
  <si>
    <t>Challani Capital Ltd.</t>
  </si>
  <si>
    <t>CHALLANI</t>
  </si>
  <si>
    <t>530747,</t>
  </si>
  <si>
    <t>535387,</t>
  </si>
  <si>
    <t>Moneyboxx Finance Ltd.</t>
  </si>
  <si>
    <t>MONEYBOXX</t>
  </si>
  <si>
    <t>538446,</t>
  </si>
  <si>
    <t>504258,</t>
  </si>
  <si>
    <t>RGF Capital Markets Ltd.</t>
  </si>
  <si>
    <t>RGF</t>
  </si>
  <si>
    <t>539669,</t>
  </si>
  <si>
    <t>505302,</t>
  </si>
  <si>
    <t>NPR Finance Ltd.</t>
  </si>
  <si>
    <t>NPRFIN</t>
  </si>
  <si>
    <t>530127,</t>
  </si>
  <si>
    <t>Emerald Finance Ltd.</t>
  </si>
  <si>
    <t>EMERALD</t>
  </si>
  <si>
    <t>538882,</t>
  </si>
  <si>
    <t>502958,</t>
  </si>
  <si>
    <t>Advik Capital Ltd.</t>
  </si>
  <si>
    <t>ADVIKCA</t>
  </si>
  <si>
    <t>539773,</t>
  </si>
  <si>
    <t>LAKPRE,</t>
  </si>
  <si>
    <t>Rita Finance and Leasing Ltd.</t>
  </si>
  <si>
    <t>RFLL</t>
  </si>
  <si>
    <t>543256,</t>
  </si>
  <si>
    <t>LAKSHYA,</t>
  </si>
  <si>
    <t>Supra Pacific Financial Services Ltd.</t>
  </si>
  <si>
    <t>SUPRAPFSL</t>
  </si>
  <si>
    <t>540168,</t>
  </si>
  <si>
    <t>LAMBODHARA,</t>
  </si>
  <si>
    <t>Dhruva Capital Services Ltd.</t>
  </si>
  <si>
    <t>DHRUVCA</t>
  </si>
  <si>
    <t>531237,</t>
  </si>
  <si>
    <t>LAMOSAIC,</t>
  </si>
  <si>
    <t>Ashika Credit Capital Ltd.</t>
  </si>
  <si>
    <t>ASHIKA</t>
  </si>
  <si>
    <t>543766,</t>
  </si>
  <si>
    <t>539841,</t>
  </si>
  <si>
    <t>Kothari Products Ltd.</t>
  </si>
  <si>
    <t>KOTHARIPRO</t>
  </si>
  <si>
    <t>VERTEXPLUS,</t>
  </si>
  <si>
    <t>Finkurve Financial Services Ltd.</t>
  </si>
  <si>
    <t>FINKURVE</t>
  </si>
  <si>
    <t>508954,</t>
  </si>
  <si>
    <t>532275,</t>
  </si>
  <si>
    <t>Kothari Sugars And Chemicals Ltd.</t>
  </si>
  <si>
    <t>KOTARISUG</t>
  </si>
  <si>
    <t>STEELCAS,</t>
  </si>
  <si>
    <t>Agarwal Fortune India Ltd.</t>
  </si>
  <si>
    <t>AGARWAL</t>
  </si>
  <si>
    <t>530765,</t>
  </si>
  <si>
    <t>LPDC,</t>
  </si>
  <si>
    <t>Jagsonpal Finance &amp; Leasing Ltd.</t>
  </si>
  <si>
    <t>JAGSONFI</t>
  </si>
  <si>
    <t>530601,</t>
  </si>
  <si>
    <t>LT,</t>
  </si>
  <si>
    <t>Margo Finance Ltd.</t>
  </si>
  <si>
    <t>MARGOFIN</t>
  </si>
  <si>
    <t>500206,</t>
  </si>
  <si>
    <t>LASA,</t>
  </si>
  <si>
    <t>Indo-City Infotech Ltd.</t>
  </si>
  <si>
    <t>INDOCITY</t>
  </si>
  <si>
    <t>532100,</t>
  </si>
  <si>
    <t>526961,</t>
  </si>
  <si>
    <t>Kotyark Industries Ltd.</t>
  </si>
  <si>
    <t>KOTYARK</t>
  </si>
  <si>
    <t>63MOONS,</t>
  </si>
  <si>
    <t>Money Masters Leasing &amp; Finance Ltd.</t>
  </si>
  <si>
    <t>MMLF</t>
  </si>
  <si>
    <t>535910,</t>
  </si>
  <si>
    <t>LATTEYS,</t>
  </si>
  <si>
    <t>KP Energy Ltd.</t>
  </si>
  <si>
    <t>KPEL</t>
  </si>
  <si>
    <t>GOLDIAM,</t>
  </si>
  <si>
    <t>Sarvottam Finvest Ltd.</t>
  </si>
  <si>
    <t>SARVOTTAM</t>
  </si>
  <si>
    <t>539124,</t>
  </si>
  <si>
    <t>LAXMICOT,</t>
  </si>
  <si>
    <t>Libord Finance Ltd.</t>
  </si>
  <si>
    <t>LIBORDFIN</t>
  </si>
  <si>
    <t>511593,</t>
  </si>
  <si>
    <t>LGHL,</t>
  </si>
  <si>
    <t>Franklin Leasing And Finance Ltd.</t>
  </si>
  <si>
    <t>FRANKLIN</t>
  </si>
  <si>
    <t>539839,</t>
  </si>
  <si>
    <t>LXCHEM,</t>
  </si>
  <si>
    <t>Abhishek Finlease Ltd.</t>
  </si>
  <si>
    <t>ABHIFIN</t>
  </si>
  <si>
    <t>538935,</t>
  </si>
  <si>
    <t>LCCINFOTEC,</t>
  </si>
  <si>
    <t>KPI Green Energy Ltd.</t>
  </si>
  <si>
    <t>KPIGREEN</t>
  </si>
  <si>
    <t>Pro Fin Capital Services Ltd.</t>
  </si>
  <si>
    <t>PROFINC</t>
  </si>
  <si>
    <t>511557,</t>
  </si>
  <si>
    <t>IXIGO,</t>
  </si>
  <si>
    <t>Luharuka Media &amp; Infra Ltd.</t>
  </si>
  <si>
    <t>LUHARUKA</t>
  </si>
  <si>
    <t>512048,</t>
  </si>
  <si>
    <t>Krishna Capital And Securities Ltd.</t>
  </si>
  <si>
    <t>KRISHNACAP</t>
  </si>
  <si>
    <t>539384,</t>
  </si>
  <si>
    <t>LRRPL,</t>
  </si>
  <si>
    <t>Rapid Investments Ltd.</t>
  </si>
  <si>
    <t>RAPIDIN</t>
  </si>
  <si>
    <t>501351,</t>
  </si>
  <si>
    <t>Frontier Capital Ltd.</t>
  </si>
  <si>
    <t>FRONTCAP</t>
  </si>
  <si>
    <t>508980,</t>
  </si>
  <si>
    <t>517415,</t>
  </si>
  <si>
    <t>Citi Port Financial Services Ltd.</t>
  </si>
  <si>
    <t>CITIPOR</t>
  </si>
  <si>
    <t>531235,</t>
  </si>
  <si>
    <t>532829,</t>
  </si>
  <si>
    <t>Vintage Securities Ltd.</t>
  </si>
  <si>
    <t>VINTAGES</t>
  </si>
  <si>
    <t>531051,</t>
  </si>
  <si>
    <t>LEMONTREE,</t>
  </si>
  <si>
    <t>NCL Research &amp; Financial Services Ltd.</t>
  </si>
  <si>
    <t>NCLRESE</t>
  </si>
  <si>
    <t>530557,</t>
  </si>
  <si>
    <t>502250,</t>
  </si>
  <si>
    <t>Mercantile Ventures Ltd.</t>
  </si>
  <si>
    <t>MERCANTILE</t>
  </si>
  <si>
    <t>538942,</t>
  </si>
  <si>
    <t>533602,</t>
  </si>
  <si>
    <t>Mangalam Industrial Finance Ltd.</t>
  </si>
  <si>
    <t>MANGIND</t>
  </si>
  <si>
    <t>537800,</t>
  </si>
  <si>
    <t>531944,</t>
  </si>
  <si>
    <t>Worth Investment &amp; Trading Co Ltd.</t>
  </si>
  <si>
    <t>WORTH</t>
  </si>
  <si>
    <t>538451,</t>
  </si>
  <si>
    <t>LEXUS,</t>
  </si>
  <si>
    <t>Leading Leasing Finance And Investment Co Ltd.</t>
  </si>
  <si>
    <t>LLFICL</t>
  </si>
  <si>
    <t>540360,</t>
  </si>
  <si>
    <t>LGBBROSLTD,</t>
  </si>
  <si>
    <t>Biogen Pharmachem Industries Ltd.</t>
  </si>
  <si>
    <t>BIOGEN</t>
  </si>
  <si>
    <t>531752,</t>
  </si>
  <si>
    <t>533007,</t>
  </si>
  <si>
    <t>MPIL Corporation Ltd.</t>
  </si>
  <si>
    <t>MPILCORPL</t>
  </si>
  <si>
    <t>500450,</t>
  </si>
  <si>
    <t>LIBAS,</t>
  </si>
  <si>
    <t>Ontic Finserve Ltd.</t>
  </si>
  <si>
    <t>ONTIC</t>
  </si>
  <si>
    <t>540386,</t>
  </si>
  <si>
    <t>LIBERTSHOE,</t>
  </si>
  <si>
    <t>Trinity League India Ltd.</t>
  </si>
  <si>
    <t>TRINITYLEA</t>
  </si>
  <si>
    <t>531846,</t>
  </si>
  <si>
    <t>Caspian Corporate Services Ltd.</t>
  </si>
  <si>
    <t>CASPIAN</t>
  </si>
  <si>
    <t>534732,</t>
  </si>
  <si>
    <t>Kalyan Capitals Ltd.</t>
  </si>
  <si>
    <t>KALYANCAP</t>
  </si>
  <si>
    <t>538778,</t>
  </si>
  <si>
    <t>Sera Investments &amp; Finance India Ltd.</t>
  </si>
  <si>
    <t>SERA</t>
  </si>
  <si>
    <t>512399,</t>
  </si>
  <si>
    <t>Prithvi Exchange (India) Ltd.</t>
  </si>
  <si>
    <t>PRITHVIEXCH</t>
  </si>
  <si>
    <t>531688,</t>
  </si>
  <si>
    <t>LIKHITHA,</t>
  </si>
  <si>
    <t>KPIT Technologies Ltd.</t>
  </si>
  <si>
    <t>KPITTECH</t>
  </si>
  <si>
    <t>511714,</t>
  </si>
  <si>
    <t>Veeram Securities Ltd.</t>
  </si>
  <si>
    <t>VSL</t>
  </si>
  <si>
    <t>540252,</t>
  </si>
  <si>
    <t>LINC,</t>
  </si>
  <si>
    <t>KRBL Ltd.</t>
  </si>
  <si>
    <t>KRBL</t>
  </si>
  <si>
    <t>538715,</t>
  </si>
  <si>
    <t>Krebs Biochemicals &amp; Industries Ltd.</t>
  </si>
  <si>
    <t>KREBSBIO</t>
  </si>
  <si>
    <t>RATEGAIN,</t>
  </si>
  <si>
    <t>Longspur International Ventures Ltd.</t>
  </si>
  <si>
    <t>LONGSPUR</t>
  </si>
  <si>
    <t>504340,</t>
  </si>
  <si>
    <t>524748,</t>
  </si>
  <si>
    <t>Atharv Enterprises Ltd.</t>
  </si>
  <si>
    <t>ATHARVENT</t>
  </si>
  <si>
    <t>530187,</t>
  </si>
  <si>
    <t>526604,</t>
  </si>
  <si>
    <t>Kridhan Infra Ltd.</t>
  </si>
  <si>
    <t>KRIDHANINF</t>
  </si>
  <si>
    <t>SOLARINDS,</t>
  </si>
  <si>
    <t>Onesource Industries And Ventures Ltd.</t>
  </si>
  <si>
    <t>OIVL</t>
  </si>
  <si>
    <t>530805,</t>
  </si>
  <si>
    <t>Krishana Phoschem Ltd.</t>
  </si>
  <si>
    <t>KRISHANA</t>
  </si>
  <si>
    <t>540377,</t>
  </si>
  <si>
    <t>Krishca Strapping Solutions Ltd.</t>
  </si>
  <si>
    <t>KRISHCA</t>
  </si>
  <si>
    <t>505729,</t>
  </si>
  <si>
    <t>Nidhi Granites Ltd.</t>
  </si>
  <si>
    <t>NIDHGRN</t>
  </si>
  <si>
    <t>512103,</t>
  </si>
  <si>
    <t>LLOYDS,</t>
  </si>
  <si>
    <t>Krishival Foods Ltd.</t>
  </si>
  <si>
    <t>KRISHIVAL</t>
  </si>
  <si>
    <t>Krishna Defence and Allied Industries Ltd.</t>
  </si>
  <si>
    <t>KRISHNADEF</t>
  </si>
  <si>
    <t>Aryan Share And Stock Brokers Ltd.</t>
  </si>
  <si>
    <t>ARYAN</t>
  </si>
  <si>
    <t>542176,</t>
  </si>
  <si>
    <t>543746,</t>
  </si>
  <si>
    <t>Krishna Institute of Medical Sciences Ltd</t>
  </si>
  <si>
    <t>KIMS</t>
  </si>
  <si>
    <t>MAYURUNIQ,</t>
  </si>
  <si>
    <t>Dhenu Buildcon Infra Ltd.</t>
  </si>
  <si>
    <t>DHENUBUILD</t>
  </si>
  <si>
    <t>501945,</t>
  </si>
  <si>
    <t>DJS Stock &amp; Shares Ltd.</t>
  </si>
  <si>
    <t>DJSSS</t>
  </si>
  <si>
    <t>511636,</t>
  </si>
  <si>
    <t>526568,</t>
  </si>
  <si>
    <t>Fruition Venture Ltd.</t>
  </si>
  <si>
    <t>FRUTION</t>
  </si>
  <si>
    <t>538568,</t>
  </si>
  <si>
    <t>534422,</t>
  </si>
  <si>
    <t>Kriti Industries (India) Ltd.</t>
  </si>
  <si>
    <t>KRITI</t>
  </si>
  <si>
    <t>543541,</t>
  </si>
  <si>
    <t>GCM Securities Ltd.</t>
  </si>
  <si>
    <t>GCMSECU</t>
  </si>
  <si>
    <t>535431,</t>
  </si>
  <si>
    <t>530065,</t>
  </si>
  <si>
    <t>Munoth Capital Markets Ltd.</t>
  </si>
  <si>
    <t>MUNCAPM</t>
  </si>
  <si>
    <t>511200,</t>
  </si>
  <si>
    <t>LAL,</t>
  </si>
  <si>
    <t>Relic Technologies Ltd.</t>
  </si>
  <si>
    <t>RELICTEC</t>
  </si>
  <si>
    <t>511712,</t>
  </si>
  <si>
    <t>523475,</t>
  </si>
  <si>
    <t>Comfort Commotrade Ltd.</t>
  </si>
  <si>
    <t>COMCL</t>
  </si>
  <si>
    <t>534691,</t>
  </si>
  <si>
    <t>LOTUSEYE,</t>
  </si>
  <si>
    <t>Daulat Securities Ltd.</t>
  </si>
  <si>
    <t>DAULAT</t>
  </si>
  <si>
    <t>530171,</t>
  </si>
  <si>
    <t>LOVABLE,</t>
  </si>
  <si>
    <t>Kriti Nutrients Ltd.</t>
  </si>
  <si>
    <t>KRITINUT</t>
  </si>
  <si>
    <t>ENTERO,</t>
  </si>
  <si>
    <t>My Money Securities Ltd.</t>
  </si>
  <si>
    <t>MYMONEY</t>
  </si>
  <si>
    <t>538862,</t>
  </si>
  <si>
    <t>LOYALTEX,</t>
  </si>
  <si>
    <t>Inani Securities Ltd.</t>
  </si>
  <si>
    <t>INANISEC</t>
  </si>
  <si>
    <t>531672,</t>
  </si>
  <si>
    <t>514446,</t>
  </si>
  <si>
    <t>Kritika Wires Ltd.</t>
  </si>
  <si>
    <t>KRITIKA</t>
  </si>
  <si>
    <t>SOLARA,</t>
  </si>
  <si>
    <t>Gilada Finance &amp; Investments Ltd.</t>
  </si>
  <si>
    <t>GILADAFINS</t>
  </si>
  <si>
    <t>538788,</t>
  </si>
  <si>
    <t>LTIM,</t>
  </si>
  <si>
    <t>KRN Heat Exchanger And Refrigeration Ltd.</t>
  </si>
  <si>
    <t>KRN</t>
  </si>
  <si>
    <t>HMT,</t>
  </si>
  <si>
    <t>Cil Securities Ltd.</t>
  </si>
  <si>
    <t>CILSEC</t>
  </si>
  <si>
    <t>530829,</t>
  </si>
  <si>
    <t>526179,</t>
  </si>
  <si>
    <t>Kronox Lab Sciences Ltd.</t>
  </si>
  <si>
    <t>KRONOX</t>
  </si>
  <si>
    <t>Kross Ltd.</t>
  </si>
  <si>
    <t>KROSS</t>
  </si>
  <si>
    <t>ALLCARGO,</t>
  </si>
  <si>
    <t>Swastika Investmart Ltd.</t>
  </si>
  <si>
    <t>SWASTIKA</t>
  </si>
  <si>
    <t>530585,</t>
  </si>
  <si>
    <t>LUMAXIND,</t>
  </si>
  <si>
    <t>Krsnaa Diagnostics Ltd.</t>
  </si>
  <si>
    <t>KRSNAA</t>
  </si>
  <si>
    <t>MAZDOCK,</t>
  </si>
  <si>
    <t>Krystal Integrated Services Ltd</t>
  </si>
  <si>
    <t>KRYSTAL</t>
  </si>
  <si>
    <t>530429,</t>
  </si>
  <si>
    <t>KSB Ltd.</t>
  </si>
  <si>
    <t>KSB</t>
  </si>
  <si>
    <t>536974,</t>
  </si>
  <si>
    <t>Sugal &amp; Damani Share Brokers Ltd.</t>
  </si>
  <si>
    <t>SUGALDAM</t>
  </si>
  <si>
    <t>511654,</t>
  </si>
  <si>
    <t>LYKALABS,</t>
  </si>
  <si>
    <t>LKP Securities Ltd.</t>
  </si>
  <si>
    <t>LKPSEC</t>
  </si>
  <si>
    <t>540192,</t>
  </si>
  <si>
    <t>530689,</t>
  </si>
  <si>
    <t>Kshitij Polyline Ltd.</t>
  </si>
  <si>
    <t>KSHITIJPOL</t>
  </si>
  <si>
    <t>KJMC Corporate Advisors (India) Ltd.</t>
  </si>
  <si>
    <t>KJMCCORP</t>
  </si>
  <si>
    <t>532304,</t>
  </si>
  <si>
    <t>LYPSAGEMS,</t>
  </si>
  <si>
    <t>KSolves India Ltd.</t>
  </si>
  <si>
    <t>KSOLVES</t>
  </si>
  <si>
    <t>NINSYS,</t>
  </si>
  <si>
    <t>Kuantum Papers Ltd.</t>
  </si>
  <si>
    <t>KUANTUM</t>
  </si>
  <si>
    <t>530331,</t>
  </si>
  <si>
    <t>Kundan Edifice Ltd.</t>
  </si>
  <si>
    <t>KEL</t>
  </si>
  <si>
    <t>542668,</t>
  </si>
  <si>
    <t>L&amp;T Finance Ltd.</t>
  </si>
  <si>
    <t>LTF</t>
  </si>
  <si>
    <t>LTF,</t>
  </si>
  <si>
    <t>513693,</t>
  </si>
  <si>
    <t>Monotype India Ltd.</t>
  </si>
  <si>
    <t>MONOT</t>
  </si>
  <si>
    <t>505343,</t>
  </si>
  <si>
    <t>544248,</t>
  </si>
  <si>
    <t>Inditrade Capital Ltd.</t>
  </si>
  <si>
    <t>INDICAP</t>
  </si>
  <si>
    <t>532745,</t>
  </si>
  <si>
    <t>543934,</t>
  </si>
  <si>
    <t>L&amp;T Technology Services Ltd.</t>
  </si>
  <si>
    <t>LTTS</t>
  </si>
  <si>
    <t>La Opala RG Ltd.</t>
  </si>
  <si>
    <t>LAOPALA</t>
  </si>
  <si>
    <t>MARCO,</t>
  </si>
  <si>
    <t>Joindre Capital Services Ltd.</t>
  </si>
  <si>
    <t>JOINDRE</t>
  </si>
  <si>
    <t>531861,</t>
  </si>
  <si>
    <t>MACPOWER,</t>
  </si>
  <si>
    <t>Lagnam Spintex Ltd.</t>
  </si>
  <si>
    <t>LAGNAM</t>
  </si>
  <si>
    <t>TASTYBITE,</t>
  </si>
  <si>
    <t>Lakshmi Finance &amp; Industrial Corporation Ltd.</t>
  </si>
  <si>
    <t>LFIC</t>
  </si>
  <si>
    <t>LFIC,</t>
  </si>
  <si>
    <t>KCEIL,</t>
  </si>
  <si>
    <t>NDA Securities Ltd.</t>
  </si>
  <si>
    <t>NDASEC</t>
  </si>
  <si>
    <t>511535,</t>
  </si>
  <si>
    <t>539894,</t>
  </si>
  <si>
    <t>BN Rathi Securities Ltd.</t>
  </si>
  <si>
    <t>BNRSEC</t>
  </si>
  <si>
    <t>523019,</t>
  </si>
  <si>
    <t>MADHAV,</t>
  </si>
  <si>
    <t>Lakshmi Precision Screws Ltd.</t>
  </si>
  <si>
    <t>LAKPRE</t>
  </si>
  <si>
    <t>Lakshya Powertech Ltd.</t>
  </si>
  <si>
    <t>LAKSHYA</t>
  </si>
  <si>
    <t>GTL,</t>
  </si>
  <si>
    <t>Lambodhara Textiles Ltd.</t>
  </si>
  <si>
    <t>LAMBODHARA</t>
  </si>
  <si>
    <t>TBZ,</t>
  </si>
  <si>
    <t>Lamosaic India Ltd.</t>
  </si>
  <si>
    <t>LAMOSAIC</t>
  </si>
  <si>
    <t>WENDT,</t>
  </si>
  <si>
    <t>ISL Consulting Ltd.</t>
  </si>
  <si>
    <t>ISLCONSUL</t>
  </si>
  <si>
    <t>511609,</t>
  </si>
  <si>
    <t>531910,</t>
  </si>
  <si>
    <t>Nexus Surgical And Medicare Ltd.</t>
  </si>
  <si>
    <t>NEXUSSURGL</t>
  </si>
  <si>
    <t>538874,</t>
  </si>
  <si>
    <t>MBAPL,</t>
  </si>
  <si>
    <t>Lancor Holdings Ltd.</t>
  </si>
  <si>
    <t>LANCORHOL</t>
  </si>
  <si>
    <t>CARTRADE,</t>
  </si>
  <si>
    <t>Vertex Securities Ltd.</t>
  </si>
  <si>
    <t>VERTEX</t>
  </si>
  <si>
    <t>531950,</t>
  </si>
  <si>
    <t>MADRASFERT,</t>
  </si>
  <si>
    <t>Modern Shares &amp; Stockbrokers Ltd.</t>
  </si>
  <si>
    <t>MODRNSH</t>
  </si>
  <si>
    <t>509760,</t>
  </si>
  <si>
    <t>538401,</t>
  </si>
  <si>
    <t>Gajanan Securities Services Ltd.</t>
  </si>
  <si>
    <t>GAJANANSEC</t>
  </si>
  <si>
    <t>538609,</t>
  </si>
  <si>
    <t>500264,</t>
  </si>
  <si>
    <t>Alacrity Securities Ltd.</t>
  </si>
  <si>
    <t>ALSL</t>
  </si>
  <si>
    <t>535916,</t>
  </si>
  <si>
    <t>543613,</t>
  </si>
  <si>
    <t>Jhaveri Credits &amp; Capital Ltd.</t>
  </si>
  <si>
    <t>JHACC</t>
  </si>
  <si>
    <t>531550,</t>
  </si>
  <si>
    <t>MAGADSUGAR,</t>
  </si>
  <si>
    <t>Toyam Sports Ltd.</t>
  </si>
  <si>
    <t>TOYAMSL</t>
  </si>
  <si>
    <t>538607,</t>
  </si>
  <si>
    <t>538891,</t>
  </si>
  <si>
    <t>Landmark Cars Ltd.</t>
  </si>
  <si>
    <t>LANDMARK</t>
  </si>
  <si>
    <t>542770,</t>
  </si>
  <si>
    <t>Landmark Property Development Company Ltd.</t>
  </si>
  <si>
    <t>LPDC</t>
  </si>
  <si>
    <t>502445,</t>
  </si>
  <si>
    <t>Larsen &amp; Toubro Ltd.</t>
  </si>
  <si>
    <t>LT</t>
  </si>
  <si>
    <t>GOLDKART,</t>
  </si>
  <si>
    <t>KBS India Ltd.</t>
  </si>
  <si>
    <t>KBSINDIA</t>
  </si>
  <si>
    <t>530357,</t>
  </si>
  <si>
    <t>Meghna Infracon Infrastructure Ltd.</t>
  </si>
  <si>
    <t>MIIL</t>
  </si>
  <si>
    <t>538668,</t>
  </si>
  <si>
    <t>519612,</t>
  </si>
  <si>
    <t>Gujarat State Financial Corporation Ltd.</t>
  </si>
  <si>
    <t>GUJSTATFIN</t>
  </si>
  <si>
    <t>532160,</t>
  </si>
  <si>
    <t>MFML,</t>
  </si>
  <si>
    <t>Lasa Supergenerics Ltd.</t>
  </si>
  <si>
    <t>LASA</t>
  </si>
  <si>
    <t>540796,</t>
  </si>
  <si>
    <t>Latent View Analytics Ltd.</t>
  </si>
  <si>
    <t>LATENTVIEW</t>
  </si>
  <si>
    <t>541702,</t>
  </si>
  <si>
    <t>Latteys Industries Ltd.</t>
  </si>
  <si>
    <t>LATTEYS</t>
  </si>
  <si>
    <t>540652,</t>
  </si>
  <si>
    <t>Laurus Labs Ltd.</t>
  </si>
  <si>
    <t>LAURUSLABS</t>
  </si>
  <si>
    <t>RATNAMANI,</t>
  </si>
  <si>
    <t>Laxmi Cotspin Ltd.</t>
  </si>
  <si>
    <t>LAXMICOT</t>
  </si>
  <si>
    <t>543616,</t>
  </si>
  <si>
    <t>Laxmi Goldorna House Ltd.</t>
  </si>
  <si>
    <t>LGHL</t>
  </si>
  <si>
    <t>DWARKESH,</t>
  </si>
  <si>
    <t>Laxmi Organic Industries Ltd.</t>
  </si>
  <si>
    <t>LXCHEM</t>
  </si>
  <si>
    <t>BLSE,</t>
  </si>
  <si>
    <t>LCC Infotech Ltd.</t>
  </si>
  <si>
    <t>LCCINFOTEC</t>
  </si>
  <si>
    <t>MUKTAARTS,</t>
  </si>
  <si>
    <t>Le Merite Exports Ltd.</t>
  </si>
  <si>
    <t>LEMERITE</t>
  </si>
  <si>
    <t>SURYAROSNI,</t>
  </si>
  <si>
    <t>Le Travenues Technology Ltd.</t>
  </si>
  <si>
    <t>IXIGO</t>
  </si>
  <si>
    <t>526586,</t>
  </si>
  <si>
    <t>Lead Reclaim And Rubber Products Ltd.</t>
  </si>
  <si>
    <t>LRRPL</t>
  </si>
  <si>
    <t>523309,</t>
  </si>
  <si>
    <t>Lemon Tree Hotels Ltd.</t>
  </si>
  <si>
    <t>LEMONTREE</t>
  </si>
  <si>
    <t>500277,</t>
  </si>
  <si>
    <t>Lexus Granito (India) Ltd.</t>
  </si>
  <si>
    <t>LEXUS</t>
  </si>
  <si>
    <t>BALUFORGE,</t>
  </si>
  <si>
    <t>LG Balakrishnan &amp; Bros Ltd.</t>
  </si>
  <si>
    <t>LGBBROSLTD</t>
  </si>
  <si>
    <t>AGRITECH,</t>
  </si>
  <si>
    <t>Libas Consumer Products Ltd.</t>
  </si>
  <si>
    <t>LIBAS</t>
  </si>
  <si>
    <t>TATACHEM,</t>
  </si>
  <si>
    <t>Liberty Shoes Ltd.</t>
  </si>
  <si>
    <t>LIBERTSHOE</t>
  </si>
  <si>
    <t>MAKS,</t>
  </si>
  <si>
    <t>LIC Housing Finance Ltd.</t>
  </si>
  <si>
    <t>LICHSGFIN</t>
  </si>
  <si>
    <t>LICHSGFIN,</t>
  </si>
  <si>
    <t>Indrayani Biotech Ltd.</t>
  </si>
  <si>
    <t>INDRANIB</t>
  </si>
  <si>
    <t>Floriculture</t>
  </si>
  <si>
    <t>MAHLOG,</t>
  </si>
  <si>
    <t>Trescon Ltd.</t>
  </si>
  <si>
    <t>TRESCON</t>
  </si>
  <si>
    <t>543874,</t>
  </si>
  <si>
    <t>Life Insurance Corporation of India</t>
  </si>
  <si>
    <t>LICI</t>
  </si>
  <si>
    <t>LICI,</t>
  </si>
  <si>
    <t>540809,</t>
  </si>
  <si>
    <t>Likhitha Infrastructure Ltd.</t>
  </si>
  <si>
    <t>LIKHITHA</t>
  </si>
  <si>
    <t>Linc Ltd.</t>
  </si>
  <si>
    <t>LINC</t>
  </si>
  <si>
    <t>533268,</t>
  </si>
  <si>
    <t>Lehar Footwears Ltd.</t>
  </si>
  <si>
    <t>LEHAR</t>
  </si>
  <si>
    <t>506919,</t>
  </si>
  <si>
    <t>Lincoln Pharmaceuticals Ltd.</t>
  </si>
  <si>
    <t>LINCOLN</t>
  </si>
  <si>
    <t>RATNAVEER,</t>
  </si>
  <si>
    <t>Linde India Ltd.</t>
  </si>
  <si>
    <t>LINDEINDIA</t>
  </si>
  <si>
    <t>MOXSH,</t>
  </si>
  <si>
    <t>Lloyds Engineering Works Ltd.</t>
  </si>
  <si>
    <t>LLOYDSENGG</t>
  </si>
  <si>
    <t>HEXATRADEX,</t>
  </si>
  <si>
    <t>NB Footwear Ltd.</t>
  </si>
  <si>
    <t>NBFOOT</t>
  </si>
  <si>
    <t>MAMATA,</t>
  </si>
  <si>
    <t>Lloyds Enterprises Ltd.</t>
  </si>
  <si>
    <t>LLOYDSENT</t>
  </si>
  <si>
    <t>VSTL,</t>
  </si>
  <si>
    <t>Lloyds Luxuries Ltd.</t>
  </si>
  <si>
    <t>LLOYDS</t>
  </si>
  <si>
    <t>526841,</t>
  </si>
  <si>
    <t>Lloyds Metals &amp; Energy Ltd.</t>
  </si>
  <si>
    <t>LLOYDSME</t>
  </si>
  <si>
    <t>540914,</t>
  </si>
  <si>
    <t>LMW Ltd.</t>
  </si>
  <si>
    <t>LMW</t>
  </si>
  <si>
    <t>Amic Forging Ltd.</t>
  </si>
  <si>
    <t>AMIC</t>
  </si>
  <si>
    <t>MANAKSIA,</t>
  </si>
  <si>
    <t>Lokesh Machines Ltd.</t>
  </si>
  <si>
    <t>LOKESHMACH</t>
  </si>
  <si>
    <t>504028,</t>
  </si>
  <si>
    <t>Lords Chloro Alkali Ltd.</t>
  </si>
  <si>
    <t>LORDSCHLO</t>
  </si>
  <si>
    <t>Lorenzini Apparels Ltd.</t>
  </si>
  <si>
    <t>LAL</t>
  </si>
  <si>
    <t>TATACOMM,</t>
  </si>
  <si>
    <t>Lotus Eye Hospital And Institute Ltd.</t>
  </si>
  <si>
    <t>LOTUSEYE</t>
  </si>
  <si>
    <t>MBLINFRA,</t>
  </si>
  <si>
    <t>EL Forge Ltd.</t>
  </si>
  <si>
    <t>ELFORGE</t>
  </si>
  <si>
    <t>Lovable Lingerie Ltd.</t>
  </si>
  <si>
    <t>LOVABLE</t>
  </si>
  <si>
    <t>TCS,</t>
  </si>
  <si>
    <t>Loyal Textile Mills Ltd.</t>
  </si>
  <si>
    <t>LOYALTEX</t>
  </si>
  <si>
    <t>TATACONSUM,</t>
  </si>
  <si>
    <t>LT Foods Ltd.</t>
  </si>
  <si>
    <t>LTFOODS</t>
  </si>
  <si>
    <t>531923,</t>
  </si>
  <si>
    <t>Krishanveer Forge Ltd.</t>
  </si>
  <si>
    <t>KVFORGE</t>
  </si>
  <si>
    <t>LGB Forge Ltd.</t>
  </si>
  <si>
    <t>LGBFORGE</t>
  </si>
  <si>
    <t>MAL,</t>
  </si>
  <si>
    <t>LTIMindtree Ltd.</t>
  </si>
  <si>
    <t>LTIM</t>
  </si>
  <si>
    <t>NIRAJISPAT,</t>
  </si>
  <si>
    <t>Lumax Auto Technologies Ltd.</t>
  </si>
  <si>
    <t>LUMAXTECH</t>
  </si>
  <si>
    <t>539546,</t>
  </si>
  <si>
    <t>Samrat Forgings Ltd.</t>
  </si>
  <si>
    <t>SAMRATFORG</t>
  </si>
  <si>
    <t>MGEL,</t>
  </si>
  <si>
    <t>Smiths &amp; Founders (India) Ltd.</t>
  </si>
  <si>
    <t>SMFIL</t>
  </si>
  <si>
    <t>Lumax Industries Ltd.</t>
  </si>
  <si>
    <t>LUMAXIND</t>
  </si>
  <si>
    <t>AGROPHOS,</t>
  </si>
  <si>
    <t>Lupin Ltd.</t>
  </si>
  <si>
    <t>LUPIN</t>
  </si>
  <si>
    <t>RTNPOWER,</t>
  </si>
  <si>
    <t>Lux Industries Ltd.</t>
  </si>
  <si>
    <t>LUXIND</t>
  </si>
  <si>
    <t>TATAELXSI,</t>
  </si>
  <si>
    <t>Rudra Gas Enterprise Ltd.</t>
  </si>
  <si>
    <t>RUDRAGAS</t>
  </si>
  <si>
    <t>MANGCHEFER,</t>
  </si>
  <si>
    <t>Lyka Labs Ltd.</t>
  </si>
  <si>
    <t>LYKALABS</t>
  </si>
  <si>
    <t>507300,</t>
  </si>
  <si>
    <t>Confidence Futuristic Energetech Ltd.</t>
  </si>
  <si>
    <t>CFEL</t>
  </si>
  <si>
    <t>MIEL,</t>
  </si>
  <si>
    <t>Lypsa Gems &amp; Jewellery Ltd.</t>
  </si>
  <si>
    <t>LYPSAGEMS</t>
  </si>
  <si>
    <t>M.V.K. Agro Food Product Ltd.</t>
  </si>
  <si>
    <t>MVKAGRO</t>
  </si>
  <si>
    <t>STANLEY,</t>
  </si>
  <si>
    <t>Maan Aluminium Ltd.</t>
  </si>
  <si>
    <t>MAANALU</t>
  </si>
  <si>
    <t>ACMESOLAR,</t>
  </si>
  <si>
    <t>Macobs Technologies Ltd.</t>
  </si>
  <si>
    <t>MACOBSTECH</t>
  </si>
  <si>
    <t>509525,</t>
  </si>
  <si>
    <t>Macpower CNC Machines Ltd.</t>
  </si>
  <si>
    <t>MACPOWER</t>
  </si>
  <si>
    <t>HIGREEN,</t>
  </si>
  <si>
    <t>Macrotech Developers Ltd.</t>
  </si>
  <si>
    <t>LODHA</t>
  </si>
  <si>
    <t>Madhav Copper Ltd.</t>
  </si>
  <si>
    <t>MCL</t>
  </si>
  <si>
    <t>PELATRO,</t>
  </si>
  <si>
    <t>Empire Industries Ltd.</t>
  </si>
  <si>
    <t>EMPIND</t>
  </si>
  <si>
    <t>MANUGRAPH,</t>
  </si>
  <si>
    <t>Haldyn Glass Ltd.</t>
  </si>
  <si>
    <t>HALDYNGL</t>
  </si>
  <si>
    <t>MARALOVER,</t>
  </si>
  <si>
    <t>Madhav Marbles And Granites Ltd.</t>
  </si>
  <si>
    <t>MADHAV</t>
  </si>
  <si>
    <t>520127,</t>
  </si>
  <si>
    <t>Jai Mata Glass Ltd.</t>
  </si>
  <si>
    <t>JAIMATAG</t>
  </si>
  <si>
    <t>531281,</t>
  </si>
  <si>
    <t>Madhucon Projects Ltd.</t>
  </si>
  <si>
    <t>MADHUCON</t>
  </si>
  <si>
    <t>523676,</t>
  </si>
  <si>
    <t>Madhusudan Masala Ltd.</t>
  </si>
  <si>
    <t>MADHUSUDAN</t>
  </si>
  <si>
    <t>DCG,</t>
  </si>
  <si>
    <t>Triveni Glass Ltd.</t>
  </si>
  <si>
    <t>TRIVENIGQ</t>
  </si>
  <si>
    <t>Madhya Bharat Agro Products Ltd.</t>
  </si>
  <si>
    <t>MBAPL</t>
  </si>
  <si>
    <t>IGPL,</t>
  </si>
  <si>
    <t>Madhya Pradesh Today Media Ltd.</t>
  </si>
  <si>
    <t>MPTODAY</t>
  </si>
  <si>
    <t>542753,</t>
  </si>
  <si>
    <t>Asarfi Hospital Ltd.</t>
  </si>
  <si>
    <t>ASARFI</t>
  </si>
  <si>
    <t>MARINETRAN,</t>
  </si>
  <si>
    <t>Global Longlife Hospital and Research Ltd.</t>
  </si>
  <si>
    <t>GLHRL</t>
  </si>
  <si>
    <t>531503,</t>
  </si>
  <si>
    <t>Madras Fertilizers Ltd.</t>
  </si>
  <si>
    <t>MADRASFERT</t>
  </si>
  <si>
    <t>IGARASHI,</t>
  </si>
  <si>
    <t>Magadh Sugar &amp; Energy Ltd.</t>
  </si>
  <si>
    <t>MAGADSUGAR</t>
  </si>
  <si>
    <t>543622,</t>
  </si>
  <si>
    <t>Magnum Ventures Ltd.</t>
  </si>
  <si>
    <t>MAGNUM</t>
  </si>
  <si>
    <t>Magson Retail &amp; Distribution Ltd.</t>
  </si>
  <si>
    <t>MAGSON</t>
  </si>
  <si>
    <t>SHRADHA,</t>
  </si>
  <si>
    <t>Maha Rashtra Apex Corporation Ltd.</t>
  </si>
  <si>
    <t>MAHAPEXLTD</t>
  </si>
  <si>
    <t>MAHAPEXLTD,</t>
  </si>
  <si>
    <t>IOLCP,</t>
  </si>
  <si>
    <t>Mahalaxmi Fabric Mills Ltd.</t>
  </si>
  <si>
    <t>MFML</t>
  </si>
  <si>
    <t>THOMASCOOK,</t>
  </si>
  <si>
    <t>Mahalaxmi Rubtech Ltd.</t>
  </si>
  <si>
    <t>MHLXMIRU</t>
  </si>
  <si>
    <t>TATAPOWER,</t>
  </si>
  <si>
    <t>Mahamaya Steel Industries Ltd.</t>
  </si>
  <si>
    <t>MAHASTEEL</t>
  </si>
  <si>
    <t>522152,</t>
  </si>
  <si>
    <t>Aspira Pathlab &amp; Diagnostics Ltd.</t>
  </si>
  <si>
    <t>ASPIRA</t>
  </si>
  <si>
    <t>MARUTI,</t>
  </si>
  <si>
    <t>Mahanagar Gas Ltd.</t>
  </si>
  <si>
    <t>MGL</t>
  </si>
  <si>
    <t>MANOMAY,</t>
  </si>
  <si>
    <t>Choksi Laboratories Ltd.</t>
  </si>
  <si>
    <t>CHOKSILA</t>
  </si>
  <si>
    <t>Constronics Infra Ltd.</t>
  </si>
  <si>
    <t>CONSTRONIC</t>
  </si>
  <si>
    <t>Dhanvantri Jeevan Rekha Ltd.</t>
  </si>
  <si>
    <t>ZDHJERK</t>
  </si>
  <si>
    <t>MASON,</t>
  </si>
  <si>
    <t>Dr Agarwals Eye Hospital Ltd.</t>
  </si>
  <si>
    <t>DRAGARWQ</t>
  </si>
  <si>
    <t>MASTEK,</t>
  </si>
  <si>
    <t>Mahanagar Telephone Nigam Ltd.</t>
  </si>
  <si>
    <t>MTNL</t>
  </si>
  <si>
    <t>SFML,</t>
  </si>
  <si>
    <t>Family Care Hospitals Ltd.</t>
  </si>
  <si>
    <t>FAMILYCARE</t>
  </si>
  <si>
    <t>Maharashtra Scooters Ltd.</t>
  </si>
  <si>
    <t>MAHSCOOTER</t>
  </si>
  <si>
    <t>AGSTRA,</t>
  </si>
  <si>
    <t>Fortis Malar Hospitals Ltd.</t>
  </si>
  <si>
    <t>FORTISMLR</t>
  </si>
  <si>
    <t>539219,</t>
  </si>
  <si>
    <t>Gian Life Care Ltd.</t>
  </si>
  <si>
    <t>GIANLIFE</t>
  </si>
  <si>
    <t>MAWANASUG,</t>
  </si>
  <si>
    <t>Maharashtra Seamless Ltd.</t>
  </si>
  <si>
    <t>MAHSEAMLES</t>
  </si>
  <si>
    <t>BALCO,</t>
  </si>
  <si>
    <t>Maheshwari Logistics Ltd.</t>
  </si>
  <si>
    <t>MAHESHWARI</t>
  </si>
  <si>
    <t>538742,</t>
  </si>
  <si>
    <t>Mahickra Chemicals Ltd.</t>
  </si>
  <si>
    <t>MAHICKRA</t>
  </si>
  <si>
    <t>517246,</t>
  </si>
  <si>
    <t>Mahindra &amp; Mahindra Financial Services Ltd.</t>
  </si>
  <si>
    <t>M&amp;MFIN</t>
  </si>
  <si>
    <t>M&amp;MFIN,</t>
  </si>
  <si>
    <t>KIOCL,</t>
  </si>
  <si>
    <t>Mahindra &amp; Mahindra Ltd.</t>
  </si>
  <si>
    <t>M&amp;M</t>
  </si>
  <si>
    <t>ALUWIND,</t>
  </si>
  <si>
    <t>Mahindra EPC Irrigation Ltd.</t>
  </si>
  <si>
    <t>MAHEPC</t>
  </si>
  <si>
    <t>HITECH,</t>
  </si>
  <si>
    <t>KMC Speciality Hospitals (India) Ltd.</t>
  </si>
  <si>
    <t>KMCSHIL</t>
  </si>
  <si>
    <t>MAXPOSURE,</t>
  </si>
  <si>
    <t>Kovai Medical Center &amp; Hospital Ltd.</t>
  </si>
  <si>
    <t>KOVAI</t>
  </si>
  <si>
    <t>544106,</t>
  </si>
  <si>
    <t>Mahindra Holidays &amp; Resorts India Ltd.</t>
  </si>
  <si>
    <t>MHRIL</t>
  </si>
  <si>
    <t>541337,</t>
  </si>
  <si>
    <t>Mahindra Lifespace Developers Ltd.</t>
  </si>
  <si>
    <t>MAHLIFE</t>
  </si>
  <si>
    <t>538786,</t>
  </si>
  <si>
    <t>Looks Health Services Ltd.</t>
  </si>
  <si>
    <t>LOOKS</t>
  </si>
  <si>
    <t>MAZDA,</t>
  </si>
  <si>
    <t>Mahindra Logistics Ltd.</t>
  </si>
  <si>
    <t>MAHLOG</t>
  </si>
  <si>
    <t>PANACEABIO,</t>
  </si>
  <si>
    <t>Maitreya Medicare Ltd.</t>
  </si>
  <si>
    <t>MAITREYA</t>
  </si>
  <si>
    <t>514060,</t>
  </si>
  <si>
    <t>Medinova Diagnostic Services Ltd.</t>
  </si>
  <si>
    <t>MEDINOV</t>
  </si>
  <si>
    <t>MBECL,</t>
  </si>
  <si>
    <t>Maks Energy Solutions India Ltd.</t>
  </si>
  <si>
    <t>MAKS</t>
  </si>
  <si>
    <t>EVEREADY,</t>
  </si>
  <si>
    <t>Mallcom (India) Ltd</t>
  </si>
  <si>
    <t>MALLCOM</t>
  </si>
  <si>
    <t>541627,</t>
  </si>
  <si>
    <t>NG Industries Ltd.</t>
  </si>
  <si>
    <t>NGIND</t>
  </si>
  <si>
    <t>523144,</t>
  </si>
  <si>
    <t>Malu Paper Mills Ltd.</t>
  </si>
  <si>
    <t>MALUPAPER</t>
  </si>
  <si>
    <t>PREMIERENE,</t>
  </si>
  <si>
    <t>Samsrita Labs Ltd.</t>
  </si>
  <si>
    <t>SAMSRITA</t>
  </si>
  <si>
    <t>503685,</t>
  </si>
  <si>
    <t>Mamata Machinery Ltd.</t>
  </si>
  <si>
    <t>MAMATA</t>
  </si>
  <si>
    <t>HOACFOODS,</t>
  </si>
  <si>
    <t>Sharma East India Hospitals &amp; Medical Research Ltd.</t>
  </si>
  <si>
    <t>SHARMEH</t>
  </si>
  <si>
    <t>MEDIORG,</t>
  </si>
  <si>
    <t>Soni Medicare Ltd.</t>
  </si>
  <si>
    <t>SML</t>
  </si>
  <si>
    <t>539938,</t>
  </si>
  <si>
    <t>Tejnaksh Healthcare Ltd.</t>
  </si>
  <si>
    <t>TEJNAKSH</t>
  </si>
  <si>
    <t>MEDICO,</t>
  </si>
  <si>
    <t>Man Industries (India) Ltd.</t>
  </si>
  <si>
    <t>MANINDS</t>
  </si>
  <si>
    <t>Transgene Biotek Ltd.</t>
  </si>
  <si>
    <t>TRABI</t>
  </si>
  <si>
    <t>MEDPLUS,</t>
  </si>
  <si>
    <t>Man InfraConstruction Ltd.</t>
  </si>
  <si>
    <t>MANINFRA</t>
  </si>
  <si>
    <t>GOODLUCK,</t>
  </si>
  <si>
    <t>Manaksia Aluminium Company Ltd.</t>
  </si>
  <si>
    <t>MANAKALUCO</t>
  </si>
  <si>
    <t>513149,</t>
  </si>
  <si>
    <t>Manaksia Coated Metals &amp; Industries Ltd.</t>
  </si>
  <si>
    <t>MANAKCOAT</t>
  </si>
  <si>
    <t>SDBL,</t>
  </si>
  <si>
    <t>Broach Lifecare Hospital Ltd.</t>
  </si>
  <si>
    <t>BROACH</t>
  </si>
  <si>
    <t>MEGAFLEX,</t>
  </si>
  <si>
    <t>Clinitech Laboratory Ltd.</t>
  </si>
  <si>
    <t>CTLLAB</t>
  </si>
  <si>
    <t>539767,</t>
  </si>
  <si>
    <t>Manaksia Ltd.</t>
  </si>
  <si>
    <t>MANAKSIA</t>
  </si>
  <si>
    <t>VIJAYA,</t>
  </si>
  <si>
    <t>Manaksia Steels Ltd.</t>
  </si>
  <si>
    <t>MANAKSTEEL</t>
  </si>
  <si>
    <t>SOMATEX,</t>
  </si>
  <si>
    <t>Phoenix Township Ltd.</t>
  </si>
  <si>
    <t>PHOENIXTN</t>
  </si>
  <si>
    <t>MEGATHERM,</t>
  </si>
  <si>
    <t>Silver Pearl Hospitality &amp; Luxury Spaces Ltd.</t>
  </si>
  <si>
    <t>SILVERPRL</t>
  </si>
  <si>
    <t>MOL,</t>
  </si>
  <si>
    <t>Manali Petrochemicals Ltd.</t>
  </si>
  <si>
    <t>MANALIPETC</t>
  </si>
  <si>
    <t>506981,</t>
  </si>
  <si>
    <t>Manappuram Finance Ltd.</t>
  </si>
  <si>
    <t>MANAPPURAM</t>
  </si>
  <si>
    <t>MANAPPURAM,</t>
  </si>
  <si>
    <t>531784,</t>
  </si>
  <si>
    <t>Manav Infra Projects Ltd.</t>
  </si>
  <si>
    <t>MANAV</t>
  </si>
  <si>
    <t>GIRIRAJ,</t>
  </si>
  <si>
    <t>Aruna Hotels Ltd.</t>
  </si>
  <si>
    <t>ARUNAHTEL</t>
  </si>
  <si>
    <t>Ashram Online.Com Ltd.</t>
  </si>
  <si>
    <t>ASHRAM</t>
  </si>
  <si>
    <t>Manba Finance Ltd.</t>
  </si>
  <si>
    <t>MANBA</t>
  </si>
  <si>
    <t>MANBA,</t>
  </si>
  <si>
    <t>KOTHARIPRO,</t>
  </si>
  <si>
    <t>Mandeep Auto Industries Ltd.</t>
  </si>
  <si>
    <t>MANDEEP</t>
  </si>
  <si>
    <t>Benares Hotels Ltd.</t>
  </si>
  <si>
    <t>BENARAS</t>
  </si>
  <si>
    <t>531727,</t>
  </si>
  <si>
    <t>Best Eastern Hotels Ltd.</t>
  </si>
  <si>
    <t>BESTEAST</t>
  </si>
  <si>
    <t>MEP,</t>
  </si>
  <si>
    <t>Mangal Credit and Fincorp Ltd.</t>
  </si>
  <si>
    <t>MANCREDIT</t>
  </si>
  <si>
    <t>MANCREDIT,</t>
  </si>
  <si>
    <t>KONSTELEC,</t>
  </si>
  <si>
    <t>Mangalam Alloys Ltd.</t>
  </si>
  <si>
    <t>MAL</t>
  </si>
  <si>
    <t>532879,</t>
  </si>
  <si>
    <t>CHL Ltd.</t>
  </si>
  <si>
    <t>CHLLTD</t>
  </si>
  <si>
    <t>538964,</t>
  </si>
  <si>
    <t>Cindrella Hotels Ltd.</t>
  </si>
  <si>
    <t>CINDHO</t>
  </si>
  <si>
    <t>Mangalam Cement Ltd.</t>
  </si>
  <si>
    <t>MANGLMCEM</t>
  </si>
  <si>
    <t>543543,</t>
  </si>
  <si>
    <t>Mangalam Drugs And Organics Ltd.</t>
  </si>
  <si>
    <t>MANGALAM</t>
  </si>
  <si>
    <t>526095,</t>
  </si>
  <si>
    <t>Mangalam Global Enterprise Ltd.</t>
  </si>
  <si>
    <t>MGEL</t>
  </si>
  <si>
    <t>AARVI,</t>
  </si>
  <si>
    <t>Emerald Leisures Ltd.</t>
  </si>
  <si>
    <t>EMERALL</t>
  </si>
  <si>
    <t>METROBRAND,</t>
  </si>
  <si>
    <t>Graviss Hospitality Ltd.</t>
  </si>
  <si>
    <t>GRAVISSHO</t>
  </si>
  <si>
    <t>500159,</t>
  </si>
  <si>
    <t>Gujarat Hotels Ltd.</t>
  </si>
  <si>
    <t>GUJHOTE</t>
  </si>
  <si>
    <t>METROPOLIS,</t>
  </si>
  <si>
    <t>Mangalam Organics Ltd.</t>
  </si>
  <si>
    <t>MANORG</t>
  </si>
  <si>
    <t>539607,</t>
  </si>
  <si>
    <t>Howard Hotels Ltd.</t>
  </si>
  <si>
    <t>HOWARHO</t>
  </si>
  <si>
    <t>531613,</t>
  </si>
  <si>
    <t>HS India Ltd.</t>
  </si>
  <si>
    <t>HOTLSILV</t>
  </si>
  <si>
    <t>526622,</t>
  </si>
  <si>
    <t>Mangalam Worldwide Ltd.</t>
  </si>
  <si>
    <t>MWL</t>
  </si>
  <si>
    <t>SIRCA,</t>
  </si>
  <si>
    <t>Jindal Hotels Ltd.</t>
  </si>
  <si>
    <t>JINDHOT</t>
  </si>
  <si>
    <t>MICEL,</t>
  </si>
  <si>
    <t>Mangalore Chemicals &amp; Fertilizers Ltd.</t>
  </si>
  <si>
    <t>MANGCHEFER</t>
  </si>
  <si>
    <t>539449,</t>
  </si>
  <si>
    <t>Mangalore Refinery And Petrochemicals Ltd.</t>
  </si>
  <si>
    <t>MRPL</t>
  </si>
  <si>
    <t>SHEETAL,</t>
  </si>
  <si>
    <t>Manglam Infra &amp; Engineering Ltd.</t>
  </si>
  <si>
    <t>MIEL</t>
  </si>
  <si>
    <t>HTMEDIA,</t>
  </si>
  <si>
    <t>Lords Ishwar Hotels Ltd.</t>
  </si>
  <si>
    <t>LORDSHOTL</t>
  </si>
  <si>
    <t>526570,</t>
  </si>
  <si>
    <t>Mac Charles (India) Ltd.</t>
  </si>
  <si>
    <t>MCCHRLS-B</t>
  </si>
  <si>
    <t>538895,</t>
  </si>
  <si>
    <t>Mankind Pharma Ltd.</t>
  </si>
  <si>
    <t>MANKIND</t>
  </si>
  <si>
    <t>RVHL,</t>
  </si>
  <si>
    <t>Manoj Vaibhav Gems 'N' Jewellers Ltd.</t>
  </si>
  <si>
    <t>MVGJL</t>
  </si>
  <si>
    <t>Reliable Ventures India Ltd.</t>
  </si>
  <si>
    <t>RELIABVEN</t>
  </si>
  <si>
    <t>Manomay Tex India Ltd.</t>
  </si>
  <si>
    <t>MANOMAY</t>
  </si>
  <si>
    <t>ULTRACEMCO,</t>
  </si>
  <si>
    <t>Manorama Industries Ltd.</t>
  </si>
  <si>
    <t>MANORAMA</t>
  </si>
  <si>
    <t>SILLYMONKS,</t>
  </si>
  <si>
    <t>Royale Manor Hotels &amp; Industries Ltd.</t>
  </si>
  <si>
    <t>RAYALEMA</t>
  </si>
  <si>
    <t>522235,</t>
  </si>
  <si>
    <t>Manugraph India Ltd.</t>
  </si>
  <si>
    <t>MANUGRAPH</t>
  </si>
  <si>
    <t>504176,</t>
  </si>
  <si>
    <t>Savera Industries Ltd.</t>
  </si>
  <si>
    <t>SAVERA</t>
  </si>
  <si>
    <t>MINDACORP,</t>
  </si>
  <si>
    <t>Sayaji Hotel (Pune) Ltd.</t>
  </si>
  <si>
    <t>SHPLPUNE</t>
  </si>
  <si>
    <t>MINDPOOL,</t>
  </si>
  <si>
    <t>Sayaji Hotels (Indore) Ltd.</t>
  </si>
  <si>
    <t>SHILINDORE</t>
  </si>
  <si>
    <t>Sayaji Hotels Ltd.</t>
  </si>
  <si>
    <t>SAYAJIHOTL</t>
  </si>
  <si>
    <t>MINDTECK,</t>
  </si>
  <si>
    <t>Maral Overseas Ltd.</t>
  </si>
  <si>
    <t>MARALOVER</t>
  </si>
  <si>
    <t>TRIDENT,</t>
  </si>
  <si>
    <t>Marathon Nextgen Realty Ltd.</t>
  </si>
  <si>
    <t>MARATHON</t>
  </si>
  <si>
    <t>538674,</t>
  </si>
  <si>
    <t>Marco Cables &amp; Conductors Ltd.</t>
  </si>
  <si>
    <t>MARCO</t>
  </si>
  <si>
    <t>ASPINWALL,</t>
  </si>
  <si>
    <t>Marico Ltd.</t>
  </si>
  <si>
    <t>MARICO</t>
  </si>
  <si>
    <t>542679,</t>
  </si>
  <si>
    <t>Marine Electricals (India) Ltd.</t>
  </si>
  <si>
    <t>MARINE</t>
  </si>
  <si>
    <t>531301,</t>
  </si>
  <si>
    <t>Marinetrans India Ltd.</t>
  </si>
  <si>
    <t>MARINETRAN</t>
  </si>
  <si>
    <t>ORTEL,</t>
  </si>
  <si>
    <t>Marksans Pharma Ltd.</t>
  </si>
  <si>
    <t>MARKSANS</t>
  </si>
  <si>
    <t>RELTD,</t>
  </si>
  <si>
    <t>UP Hotels Ltd.</t>
  </si>
  <si>
    <t>UPHOT</t>
  </si>
  <si>
    <t>MITCON,</t>
  </si>
  <si>
    <t>Velan Hotels Ltd.</t>
  </si>
  <si>
    <t>VELHO</t>
  </si>
  <si>
    <t>523782,</t>
  </si>
  <si>
    <t>Marshall Machines Ltd.</t>
  </si>
  <si>
    <t>MARSHALL</t>
  </si>
  <si>
    <t>West Leisure Resorts Ltd.</t>
  </si>
  <si>
    <t>WESTLEIRES</t>
  </si>
  <si>
    <t>MITTAL,</t>
  </si>
  <si>
    <t>Jungle Camps India Ltd.</t>
  </si>
  <si>
    <t>JUNGLECAMP</t>
  </si>
  <si>
    <t>522036,</t>
  </si>
  <si>
    <t>Maruti Suzuki India Ltd.</t>
  </si>
  <si>
    <t>MARUTI</t>
  </si>
  <si>
    <t>506597,</t>
  </si>
  <si>
    <t>Marvel Decor Ltd.</t>
  </si>
  <si>
    <t>MDL</t>
  </si>
  <si>
    <t>Inflame Appliances Ltd.</t>
  </si>
  <si>
    <t>INFLAME</t>
  </si>
  <si>
    <t>Milestone Furniture Ltd.</t>
  </si>
  <si>
    <t>MILEFUR</t>
  </si>
  <si>
    <t>MMFL,</t>
  </si>
  <si>
    <t>MAS Financial Services Ltd.</t>
  </si>
  <si>
    <t>MASFIN</t>
  </si>
  <si>
    <t>MASFIN,</t>
  </si>
  <si>
    <t>MGL,</t>
  </si>
  <si>
    <t>Mask Investments Ltd.</t>
  </si>
  <si>
    <t>MASKINVEST</t>
  </si>
  <si>
    <t>MASKINVEST,</t>
  </si>
  <si>
    <t>Mason Infratech Ltd.</t>
  </si>
  <si>
    <t>MASON</t>
  </si>
  <si>
    <t>CEATLTD,</t>
  </si>
  <si>
    <t>Mastek Ltd.</t>
  </si>
  <si>
    <t>MASTEK</t>
  </si>
  <si>
    <t>NIRMAN,</t>
  </si>
  <si>
    <t>Master Components Ltd.</t>
  </si>
  <si>
    <t>MASTER</t>
  </si>
  <si>
    <t>544143,</t>
  </si>
  <si>
    <t>Master Trust Ltd.</t>
  </si>
  <si>
    <t>MASTERTR</t>
  </si>
  <si>
    <t>MASTERTR,</t>
  </si>
  <si>
    <t>Ador Multiproducts Ltd.</t>
  </si>
  <si>
    <t>ADORMUL</t>
  </si>
  <si>
    <t>515008,</t>
  </si>
  <si>
    <t>Matrimony.Com Ltd.</t>
  </si>
  <si>
    <t>MATRIMONY</t>
  </si>
  <si>
    <t>Mawana Sugars Ltd.</t>
  </si>
  <si>
    <t>MAWANASUG</t>
  </si>
  <si>
    <t>Max Estates Ltd.</t>
  </si>
  <si>
    <t>MAXESTATES</t>
  </si>
  <si>
    <t>CLEDUCATE,</t>
  </si>
  <si>
    <t>Max Financial Services Ltd.</t>
  </si>
  <si>
    <t>MFSL</t>
  </si>
  <si>
    <t>MFSL,</t>
  </si>
  <si>
    <t>LMW,</t>
  </si>
  <si>
    <t>Max Healthcare Institute Ltd.</t>
  </si>
  <si>
    <t>MAXHEALTH</t>
  </si>
  <si>
    <t>MCLEODRUSS,</t>
  </si>
  <si>
    <t>Max India Ltd.</t>
  </si>
  <si>
    <t>MAXIND</t>
  </si>
  <si>
    <t>MAXIND,</t>
  </si>
  <si>
    <t>505358,</t>
  </si>
  <si>
    <t>Maxposure Ltd.</t>
  </si>
  <si>
    <t>MAXPOSURE</t>
  </si>
  <si>
    <t>3MINDIA,</t>
  </si>
  <si>
    <t>Mayur Uniquoters Ltd.</t>
  </si>
  <si>
    <t>MAYURUNIQ</t>
  </si>
  <si>
    <t>TATASTEEL,</t>
  </si>
  <si>
    <t>Mazagon Dock Shipbuilders Ltd.</t>
  </si>
  <si>
    <t>MAZDOCK</t>
  </si>
  <si>
    <t>524632,</t>
  </si>
  <si>
    <t>Mazda Ltd.</t>
  </si>
  <si>
    <t>MAZDA</t>
  </si>
  <si>
    <t>HIKAL,</t>
  </si>
  <si>
    <t>MBL Infrastructure Ltd.</t>
  </si>
  <si>
    <t>MBLINFRA</t>
  </si>
  <si>
    <t>500166,</t>
  </si>
  <si>
    <t>Mcleod Russel India Ltd.</t>
  </si>
  <si>
    <t>MCLEODRUSS</t>
  </si>
  <si>
    <t>Jaipan Industries Ltd.</t>
  </si>
  <si>
    <t>JAIPAN</t>
  </si>
  <si>
    <t>MOIL,</t>
  </si>
  <si>
    <t>Mcnally Bharat Engineering Company Ltd.</t>
  </si>
  <si>
    <t>MBECL</t>
  </si>
  <si>
    <t>500168,</t>
  </si>
  <si>
    <t>MCON Rasayan India Ltd.</t>
  </si>
  <si>
    <t>MCON</t>
  </si>
  <si>
    <t>Lykis Ltd.</t>
  </si>
  <si>
    <t>LYKISLTD</t>
  </si>
  <si>
    <t>MOLDTECH,</t>
  </si>
  <si>
    <t>Muller &amp; Phipps (India) Ltd.</t>
  </si>
  <si>
    <t>MULLER</t>
  </si>
  <si>
    <t>Paramount Cosmetics (India) Ltd.</t>
  </si>
  <si>
    <t>PARMCOS-B</t>
  </si>
  <si>
    <t>Pee Cee Cosma Sope Ltd.</t>
  </si>
  <si>
    <t>PCCOSMA</t>
  </si>
  <si>
    <t>Medi Assist Healthcare Services Ltd.</t>
  </si>
  <si>
    <t>MEDIASSIST</t>
  </si>
  <si>
    <t>ASHOKLEY,</t>
  </si>
  <si>
    <t>Radix Industries (India) Ltd.</t>
  </si>
  <si>
    <t>RADIXIND</t>
  </si>
  <si>
    <t>Medicamen Biotech Ltd.</t>
  </si>
  <si>
    <t>MEDICAMEQ</t>
  </si>
  <si>
    <t>541634,</t>
  </si>
  <si>
    <t>Sarup Industries Ltd.</t>
  </si>
  <si>
    <t>SARUPINDUS</t>
  </si>
  <si>
    <t>Medicamen Organics Ltd.</t>
  </si>
  <si>
    <t>MEDIORG</t>
  </si>
  <si>
    <t>RKEC,</t>
  </si>
  <si>
    <t>Medico Remedies Ltd.</t>
  </si>
  <si>
    <t>MEDICO</t>
  </si>
  <si>
    <t>RAYMONDLSL,</t>
  </si>
  <si>
    <t>Yuvraaj Hygiene Product Ltd.</t>
  </si>
  <si>
    <t>YUVRAAJHPL</t>
  </si>
  <si>
    <t>MOREPENLAB,</t>
  </si>
  <si>
    <t>Medplus Health Services Ltd.</t>
  </si>
  <si>
    <t>MEDPLUS</t>
  </si>
  <si>
    <t>RAYMOND,</t>
  </si>
  <si>
    <t>Bhagawati Oxygen Ltd.</t>
  </si>
  <si>
    <t>BHAGWOX</t>
  </si>
  <si>
    <t>523160,</t>
  </si>
  <si>
    <t>Mega Flex Plastics Ltd.</t>
  </si>
  <si>
    <t>MEGAFLEX</t>
  </si>
  <si>
    <t>526640,</t>
  </si>
  <si>
    <t>Gagan Gases Ltd.</t>
  </si>
  <si>
    <t>GAGAN</t>
  </si>
  <si>
    <t>532407,</t>
  </si>
  <si>
    <t>Megasoft Ltd.</t>
  </si>
  <si>
    <t>MEGASOFT</t>
  </si>
  <si>
    <t>543194,</t>
  </si>
  <si>
    <t>Megastar Foods Ltd.</t>
  </si>
  <si>
    <t>MEGASTAR</t>
  </si>
  <si>
    <t>Kabsons Industries Ltd.</t>
  </si>
  <si>
    <t>KABSON</t>
  </si>
  <si>
    <t>MOTISONS,</t>
  </si>
  <si>
    <t>Megatherm Induction Ltd.</t>
  </si>
  <si>
    <t>MEGATHERM</t>
  </si>
  <si>
    <t>GNFC,</t>
  </si>
  <si>
    <t>National Oxygen Ltd.</t>
  </si>
  <si>
    <t>NOL</t>
  </si>
  <si>
    <t>506543,</t>
  </si>
  <si>
    <t>Meghmani Organics Ltd.</t>
  </si>
  <si>
    <t>MOL</t>
  </si>
  <si>
    <t>BLUEDART,</t>
  </si>
  <si>
    <t>Rajasthan Cylinders &amp; Containers Ltd.</t>
  </si>
  <si>
    <t>RCCL</t>
  </si>
  <si>
    <t>MPHASIS,</t>
  </si>
  <si>
    <t>Rajasthan Gases Ltd.</t>
  </si>
  <si>
    <t>RAJGASES</t>
  </si>
  <si>
    <t>Melstar Information Technologies Ltd.</t>
  </si>
  <si>
    <t>MELSTAR</t>
  </si>
  <si>
    <t>NITCO,</t>
  </si>
  <si>
    <t>Hilltone Software &amp; Gases Ltd.</t>
  </si>
  <si>
    <t>HILLTONE</t>
  </si>
  <si>
    <t>VISESHINFO,</t>
  </si>
  <si>
    <t>Menon Bearings Ltd.</t>
  </si>
  <si>
    <t>MENONBE</t>
  </si>
  <si>
    <t>ANYA,</t>
  </si>
  <si>
    <t>MEP Infrastructure Developers Ltd.</t>
  </si>
  <si>
    <t>MEP</t>
  </si>
  <si>
    <t>540614,</t>
  </si>
  <si>
    <t>Metalyst Forgings Ltd.</t>
  </si>
  <si>
    <t>METALFORGE</t>
  </si>
  <si>
    <t>MANAKCOAT,</t>
  </si>
  <si>
    <t>Metro Brands Ltd.</t>
  </si>
  <si>
    <t>METROBRAND</t>
  </si>
  <si>
    <t>MALLCOM,</t>
  </si>
  <si>
    <t>Metropolis Healthcare Ltd.</t>
  </si>
  <si>
    <t>METROPOLIS</t>
  </si>
  <si>
    <t>MCON,</t>
  </si>
  <si>
    <t>MIC Electronics Ltd.</t>
  </si>
  <si>
    <t>MICEL</t>
  </si>
  <si>
    <t>EUREKAFORB,</t>
  </si>
  <si>
    <t>Micropro Software Solutions Ltd.</t>
  </si>
  <si>
    <t>MICROPRO</t>
  </si>
  <si>
    <t>NAMAN,</t>
  </si>
  <si>
    <t>Milton Industries Ltd.</t>
  </si>
  <si>
    <t>MILTON</t>
  </si>
  <si>
    <t>OPTIEMUS,</t>
  </si>
  <si>
    <t>Minda Corporation Ltd.</t>
  </si>
  <si>
    <t>MINDACORP</t>
  </si>
  <si>
    <t>AHIMSA,</t>
  </si>
  <si>
    <t>Mindpool Technologies Ltd.</t>
  </si>
  <si>
    <t>MINDPOOL</t>
  </si>
  <si>
    <t>NAMOEWASTE,</t>
  </si>
  <si>
    <t>Mindspace Business Parks REIT</t>
  </si>
  <si>
    <t>MINDSPACE</t>
  </si>
  <si>
    <t>MINDSPACE,</t>
  </si>
  <si>
    <t>JUNIPER,</t>
  </si>
  <si>
    <t>Mindteck (India) Ltd.</t>
  </si>
  <si>
    <t>MINDTECK</t>
  </si>
  <si>
    <t>508875,</t>
  </si>
  <si>
    <t>BITS Ltd.</t>
  </si>
  <si>
    <t>BITS</t>
  </si>
  <si>
    <t>Mirc Electronics Ltd.</t>
  </si>
  <si>
    <t>MIRCELECTR</t>
  </si>
  <si>
    <t>DALBHARAT,</t>
  </si>
  <si>
    <t>Computer Point Ltd.</t>
  </si>
  <si>
    <t>COMPUPN</t>
  </si>
  <si>
    <t>523832,</t>
  </si>
  <si>
    <t>Mirza International Ltd.</t>
  </si>
  <si>
    <t>MIRZAINT</t>
  </si>
  <si>
    <t>MALUPAPER,</t>
  </si>
  <si>
    <t>IEC Education Ltd.</t>
  </si>
  <si>
    <t>IECEDU</t>
  </si>
  <si>
    <t>MUKKA,</t>
  </si>
  <si>
    <t>Jetking Infotrain Ltd.</t>
  </si>
  <si>
    <t>JETKINGQ</t>
  </si>
  <si>
    <t>535204,</t>
  </si>
  <si>
    <t>Mishra Dhatu Nigam Ltd.</t>
  </si>
  <si>
    <t>MIDHANI</t>
  </si>
  <si>
    <t>SOMICONVEY,</t>
  </si>
  <si>
    <t>Mitcon Consultancy &amp; Engineering Services Ltd.</t>
  </si>
  <si>
    <t>MITCON</t>
  </si>
  <si>
    <t>ASHOKA,</t>
  </si>
  <si>
    <t>Mittal Life Style Ltd.</t>
  </si>
  <si>
    <t>MITTAL</t>
  </si>
  <si>
    <t>VILAS,</t>
  </si>
  <si>
    <t>MK Proteins Ltd.</t>
  </si>
  <si>
    <t>MKPL</t>
  </si>
  <si>
    <t>526574,</t>
  </si>
  <si>
    <t>Accel Ltd.</t>
  </si>
  <si>
    <t>ACCEL</t>
  </si>
  <si>
    <t>504356,</t>
  </si>
  <si>
    <t>ACI Infocom Ltd.</t>
  </si>
  <si>
    <t>ACIIN</t>
  </si>
  <si>
    <t>MUNJALAU,</t>
  </si>
  <si>
    <t>MM Forgings Ltd.</t>
  </si>
  <si>
    <t>MMFL</t>
  </si>
  <si>
    <t>MANGLMCEM,</t>
  </si>
  <si>
    <t>MMP Industries Ltd.</t>
  </si>
  <si>
    <t>MMP</t>
  </si>
  <si>
    <t>ACE,</t>
  </si>
  <si>
    <t>MMTC Ltd.</t>
  </si>
  <si>
    <t>MMTC</t>
  </si>
  <si>
    <t>VILINBIO,</t>
  </si>
  <si>
    <t>Modern Threads (India) Ltd.</t>
  </si>
  <si>
    <t>MODTHREAD</t>
  </si>
  <si>
    <t>531568,</t>
  </si>
  <si>
    <t>ECS Biztech Ltd.</t>
  </si>
  <si>
    <t>ECS</t>
  </si>
  <si>
    <t>542724,</t>
  </si>
  <si>
    <t>Empower India Ltd.</t>
  </si>
  <si>
    <t>EMPOWER</t>
  </si>
  <si>
    <t>MURUDCERA,</t>
  </si>
  <si>
    <t>Modi Rubber Ltd.</t>
  </si>
  <si>
    <t>MODIRUBBER</t>
  </si>
  <si>
    <t>PITTIENG,</t>
  </si>
  <si>
    <t>Modison Ltd.</t>
  </si>
  <si>
    <t>MODISONLTD</t>
  </si>
  <si>
    <t>Mohini Health &amp; Hygiene Ltd.</t>
  </si>
  <si>
    <t>MHHL</t>
  </si>
  <si>
    <t>533101,</t>
  </si>
  <si>
    <t>Mohit Industries Ltd.</t>
  </si>
  <si>
    <t>MOHITIND</t>
  </si>
  <si>
    <t>541228,</t>
  </si>
  <si>
    <t>MOIL Ltd.</t>
  </si>
  <si>
    <t>MOIL</t>
  </si>
  <si>
    <t>537839,</t>
  </si>
  <si>
    <t>PCS Technology Ltd.</t>
  </si>
  <si>
    <t>PCS</t>
  </si>
  <si>
    <t>Moksh Ornaments Ltd.</t>
  </si>
  <si>
    <t>MOKSH</t>
  </si>
  <si>
    <t>DYCL,</t>
  </si>
  <si>
    <t>Mold-Tek Packaging Ltd.</t>
  </si>
  <si>
    <t>MOLDTKPAC</t>
  </si>
  <si>
    <t>SAKSOFT,</t>
  </si>
  <si>
    <t>VXL Instruments Ltd.</t>
  </si>
  <si>
    <t>VXLINSTR</t>
  </si>
  <si>
    <t>Mangal Compusolution Ltd.</t>
  </si>
  <si>
    <t>MANGALCOMP</t>
  </si>
  <si>
    <t>544313,</t>
  </si>
  <si>
    <t>Mold-Tek Technologies Ltd.</t>
  </si>
  <si>
    <t>MOLDTECH</t>
  </si>
  <si>
    <t>HRHNEXT,</t>
  </si>
  <si>
    <t>Monarch Networth Capital Ltd.</t>
  </si>
  <si>
    <t>MONARCH</t>
  </si>
  <si>
    <t>MONARCH,</t>
  </si>
  <si>
    <t>MADHUSUDAN,</t>
  </si>
  <si>
    <t>Mono Pharmacare Ltd.</t>
  </si>
  <si>
    <t>MONOPHARMA</t>
  </si>
  <si>
    <t>539314,</t>
  </si>
  <si>
    <t>Globalspace Technologies Ltd.</t>
  </si>
  <si>
    <t>NAGAFERT,</t>
  </si>
  <si>
    <t>Monte Carlo Fashions Ltd.</t>
  </si>
  <si>
    <t>MONTECARLO</t>
  </si>
  <si>
    <t>TBI,</t>
  </si>
  <si>
    <t>Svam Softwares Ltd.</t>
  </si>
  <si>
    <t>SVAMSOF</t>
  </si>
  <si>
    <t>NAGREEKEXP,</t>
  </si>
  <si>
    <t>Ahasolar Technologies Ltd.</t>
  </si>
  <si>
    <t>AHASOLAR</t>
  </si>
  <si>
    <t>Morarjee Textiles Ltd.</t>
  </si>
  <si>
    <t>MORARJEE</t>
  </si>
  <si>
    <t>539518,</t>
  </si>
  <si>
    <t>Morepen Laboratories Ltd.</t>
  </si>
  <si>
    <t>MOREPENLAB</t>
  </si>
  <si>
    <t>RBMINFRA,</t>
  </si>
  <si>
    <t>Ekansh Concepts Ltd.</t>
  </si>
  <si>
    <t>EKANSH</t>
  </si>
  <si>
    <t>NAHARSPING,</t>
  </si>
  <si>
    <t>Ekennis Software Service Ltd.</t>
  </si>
  <si>
    <t>EKENNIS</t>
  </si>
  <si>
    <t>NGIL,</t>
  </si>
  <si>
    <t>MOS Utility Ltd.</t>
  </si>
  <si>
    <t>MOS</t>
  </si>
  <si>
    <t>539383,</t>
  </si>
  <si>
    <t>Jonjua Overseas Ltd.</t>
  </si>
  <si>
    <t>JONJUA</t>
  </si>
  <si>
    <t>Motherson Sumi Wiring India Ltd.</t>
  </si>
  <si>
    <t>MSUMI</t>
  </si>
  <si>
    <t>SONAMAC,</t>
  </si>
  <si>
    <t>Motilal Oswal Financial Services Ltd.</t>
  </si>
  <si>
    <t>MOTILALOFS</t>
  </si>
  <si>
    <t>MOTILALOFS,</t>
  </si>
  <si>
    <t>MAANALU,</t>
  </si>
  <si>
    <t>Motisons Jewellers Ltd.</t>
  </si>
  <si>
    <t>MOTISONS</t>
  </si>
  <si>
    <t>524818,</t>
  </si>
  <si>
    <t>Moxsh Overseas Educon Ltd.</t>
  </si>
  <si>
    <t>MOXSH</t>
  </si>
  <si>
    <t>ERIS,</t>
  </si>
  <si>
    <t>Nihar Info Global Ltd.</t>
  </si>
  <si>
    <t>NIHARINF</t>
  </si>
  <si>
    <t>NDL,</t>
  </si>
  <si>
    <t>Mphasis Ltd.</t>
  </si>
  <si>
    <t>MPHASIS</t>
  </si>
  <si>
    <t>NITIRAJ,</t>
  </si>
  <si>
    <t>MPS Infotecnics Ltd.</t>
  </si>
  <si>
    <t>VISESHINFO</t>
  </si>
  <si>
    <t>506532,</t>
  </si>
  <si>
    <t>MPS Ltd.</t>
  </si>
  <si>
    <t>MPSLTD</t>
  </si>
  <si>
    <t>SEQUENT,</t>
  </si>
  <si>
    <t>Sattrix Information Security Ltd.</t>
  </si>
  <si>
    <t>SATTRIX</t>
  </si>
  <si>
    <t>519455,</t>
  </si>
  <si>
    <t>MRF Ltd.</t>
  </si>
  <si>
    <t>MRF</t>
  </si>
  <si>
    <t>ZENTEC,</t>
  </si>
  <si>
    <t>MRO-TEK Realty Ltd.</t>
  </si>
  <si>
    <t>MRO-TEK</t>
  </si>
  <si>
    <t>Mrs. Bectors Food Specialities Ltd.</t>
  </si>
  <si>
    <t>BECTORFOOD</t>
  </si>
  <si>
    <t>521151,</t>
  </si>
  <si>
    <t>MSP Steel &amp; Power Ltd.</t>
  </si>
  <si>
    <t>MSPL</t>
  </si>
  <si>
    <t>526901,</t>
  </si>
  <si>
    <t>MSTC Ltd.</t>
  </si>
  <si>
    <t>MSTCLTD</t>
  </si>
  <si>
    <t>EMKAYTOOLS,</t>
  </si>
  <si>
    <t>Veefin Solutions Ltd.</t>
  </si>
  <si>
    <t>VEEFIN</t>
  </si>
  <si>
    <t>NATHBIOGEN,</t>
  </si>
  <si>
    <t>MT Educare Ltd.</t>
  </si>
  <si>
    <t>MTEDUCARE</t>
  </si>
  <si>
    <t>ESCORTS,</t>
  </si>
  <si>
    <t>MTAR Technologies Ltd.</t>
  </si>
  <si>
    <t>MTARTECH</t>
  </si>
  <si>
    <t>GEECEE,</t>
  </si>
  <si>
    <t>Mufin Green Finance Ltd.</t>
  </si>
  <si>
    <t>MUFIN</t>
  </si>
  <si>
    <t>MUFIN,</t>
  </si>
  <si>
    <t>JNKINDIA,</t>
  </si>
  <si>
    <t>Mukand Ltd.</t>
  </si>
  <si>
    <t>MUKANDLTD</t>
  </si>
  <si>
    <t>Mukka Proteins Ltd.</t>
  </si>
  <si>
    <t>MUKKA</t>
  </si>
  <si>
    <t>DRL,</t>
  </si>
  <si>
    <t>Mukta Arts Ltd.</t>
  </si>
  <si>
    <t>MUKTAARTS</t>
  </si>
  <si>
    <t>INDIANCARD,</t>
  </si>
  <si>
    <t>7Seas Entertainment Ltd.</t>
  </si>
  <si>
    <t>7SEASL</t>
  </si>
  <si>
    <t>507813,</t>
  </si>
  <si>
    <t>ABM Knowledgeware Ltd.</t>
  </si>
  <si>
    <t>ABMKNO</t>
  </si>
  <si>
    <t>544205,</t>
  </si>
  <si>
    <t>Multi Commodity Exchange Of India Ltd.</t>
  </si>
  <si>
    <t>MCX</t>
  </si>
  <si>
    <t>MCX,</t>
  </si>
  <si>
    <t>MAGSON,</t>
  </si>
  <si>
    <t>Ace Software Exports Ltd.</t>
  </si>
  <si>
    <t>ACESOFT</t>
  </si>
  <si>
    <t>531287,</t>
  </si>
  <si>
    <t>Munjal Auto Industries Ltd.</t>
  </si>
  <si>
    <t>MUNJALAU</t>
  </si>
  <si>
    <t>AHLADA,</t>
  </si>
  <si>
    <t>Munjal Showa Ltd.</t>
  </si>
  <si>
    <t>MUNJALSHOW</t>
  </si>
  <si>
    <t>AHLUCONT,</t>
  </si>
  <si>
    <t>Murudeshwar Ceramics Ltd.</t>
  </si>
  <si>
    <t>MURUDCERA</t>
  </si>
  <si>
    <t>BANARBEADS,</t>
  </si>
  <si>
    <t>Music Broadcast Ltd.</t>
  </si>
  <si>
    <t>RADIOCITY</t>
  </si>
  <si>
    <t>544310,</t>
  </si>
  <si>
    <t>Muthoot Capital Services Ltd.</t>
  </si>
  <si>
    <t>MUTHOOTCAP</t>
  </si>
  <si>
    <t>MUTHOOTCAP,</t>
  </si>
  <si>
    <t>RUSTOMJEE,</t>
  </si>
  <si>
    <t>AMPVOLTS Ltd.</t>
  </si>
  <si>
    <t>AMPVOLTS</t>
  </si>
  <si>
    <t>538926,</t>
  </si>
  <si>
    <t>Aris International Ltd.</t>
  </si>
  <si>
    <t>ARISINT</t>
  </si>
  <si>
    <t>543579,</t>
  </si>
  <si>
    <t>Artificial Electronics Intelligent Material Ltd.</t>
  </si>
  <si>
    <t>AEIM</t>
  </si>
  <si>
    <t>NAVA,</t>
  </si>
  <si>
    <t>Asit C Mehta Financial Services Ltd.</t>
  </si>
  <si>
    <t>ASITCFIN</t>
  </si>
  <si>
    <t>NAVINFLUOR,</t>
  </si>
  <si>
    <t>ASM Technologies Ltd.</t>
  </si>
  <si>
    <t>ASMTEC</t>
  </si>
  <si>
    <t>NAVKARCORP,</t>
  </si>
  <si>
    <t>Athena Global Technologies Ltd.</t>
  </si>
  <si>
    <t>ATHENAGLO</t>
  </si>
  <si>
    <t>531494,</t>
  </si>
  <si>
    <t>Atishay Ltd.</t>
  </si>
  <si>
    <t>ATISHAY</t>
  </si>
  <si>
    <t>NAVNETEDUL,</t>
  </si>
  <si>
    <t>Muthoot Finance Ltd.</t>
  </si>
  <si>
    <t>MUTHOOTFIN</t>
  </si>
  <si>
    <t>MUTHOOTFIN,</t>
  </si>
  <si>
    <t>Muthoot Microfin Ltd.</t>
  </si>
  <si>
    <t>MUTHOOTMF</t>
  </si>
  <si>
    <t>MUTHOOTMF,</t>
  </si>
  <si>
    <t>KEI,</t>
  </si>
  <si>
    <t>Avance Technologies Ltd.</t>
  </si>
  <si>
    <t>AVANCE</t>
  </si>
  <si>
    <t>NBCC,</t>
  </si>
  <si>
    <t>My Mudra Fincorp Ltd.</t>
  </si>
  <si>
    <t>MYMUDRA</t>
  </si>
  <si>
    <t>MYMUDRA,</t>
  </si>
  <si>
    <t>INDUSTOWER,</t>
  </si>
  <si>
    <t>B2B Software Technologies Ltd.</t>
  </si>
  <si>
    <t>B2BSOFT</t>
  </si>
  <si>
    <t>NCC,</t>
  </si>
  <si>
    <t>N.B.I. Industrial Finance Co. Ltd.</t>
  </si>
  <si>
    <t>NBIFIN</t>
  </si>
  <si>
    <t>NBIFIN,</t>
  </si>
  <si>
    <t>LATENTVIEW,</t>
  </si>
  <si>
    <t>NACL Industries Ltd.</t>
  </si>
  <si>
    <t>NACLIND</t>
  </si>
  <si>
    <t>Naga Dhunseri Group Ltd.</t>
  </si>
  <si>
    <t>NDGL</t>
  </si>
  <si>
    <t>NDGL,</t>
  </si>
  <si>
    <t>Blue Cloud Softech Solutions Ltd.</t>
  </si>
  <si>
    <t>BLUECLOUDS</t>
  </si>
  <si>
    <t>NDLVENTURE,</t>
  </si>
  <si>
    <t>Nagarjuna Fertilizers and Chemicals Ltd.</t>
  </si>
  <si>
    <t>NAGAFERT</t>
  </si>
  <si>
    <t>Nagreeka Capital &amp; Infrastructure Ltd.</t>
  </si>
  <si>
    <t>NAGREEKCAP</t>
  </si>
  <si>
    <t>NAGREEKCAP,</t>
  </si>
  <si>
    <t>502933,</t>
  </si>
  <si>
    <t>Nagreeka Exports Ltd.</t>
  </si>
  <si>
    <t>NAGREEKEXP</t>
  </si>
  <si>
    <t>TRIDHYA,</t>
  </si>
  <si>
    <t>Nahar Capital And Financial Services Ltd.</t>
  </si>
  <si>
    <t>NAHARCAP</t>
  </si>
  <si>
    <t>NAHARCAP,</t>
  </si>
  <si>
    <t>KECL,</t>
  </si>
  <si>
    <t>Ceinsys Tech Ltd.</t>
  </si>
  <si>
    <t>CEINSYSTECH</t>
  </si>
  <si>
    <t>539409,</t>
  </si>
  <si>
    <t>CG-VAK Software &amp; Exports Ltd.</t>
  </si>
  <si>
    <t>CGVAK</t>
  </si>
  <si>
    <t>Nahar Industrial Enterprises Ltd.</t>
  </si>
  <si>
    <t>NAHARINDUS</t>
  </si>
  <si>
    <t>TRIGYN,</t>
  </si>
  <si>
    <t>Citizen Infoline Ltd.</t>
  </si>
  <si>
    <t>CIL</t>
  </si>
  <si>
    <t>NELCO,</t>
  </si>
  <si>
    <t>Nahar Poly Films Ltd.</t>
  </si>
  <si>
    <t>NAHARPOLY</t>
  </si>
  <si>
    <t>SAKHTISUG,</t>
  </si>
  <si>
    <t>Continental Chemicals Ltd.</t>
  </si>
  <si>
    <t>CONTCHM</t>
  </si>
  <si>
    <t>544269,</t>
  </si>
  <si>
    <t>COSYN Ltd.</t>
  </si>
  <si>
    <t>COSYN</t>
  </si>
  <si>
    <t>NEPHROCARE,</t>
  </si>
  <si>
    <t>Cranes Software International Ltd.</t>
  </si>
  <si>
    <t>CRANESSOFT</t>
  </si>
  <si>
    <t>NESCO,</t>
  </si>
  <si>
    <t>Cressanda Railway Solutions Ltd.</t>
  </si>
  <si>
    <t>CRESSAN</t>
  </si>
  <si>
    <t>NESTLEIND,</t>
  </si>
  <si>
    <t>Nahar Spinning Mills Ltd.</t>
  </si>
  <si>
    <t>NAHARSPING</t>
  </si>
  <si>
    <t>509046,</t>
  </si>
  <si>
    <t>Nakoda Group Of Industries Ltd.</t>
  </si>
  <si>
    <t>NGIL</t>
  </si>
  <si>
    <t>531043,</t>
  </si>
  <si>
    <t>Danlaw Technologies India Ltd.</t>
  </si>
  <si>
    <t>DANLAW</t>
  </si>
  <si>
    <t>511658,</t>
  </si>
  <si>
    <t>Nalwa Sons Investments Ltd.</t>
  </si>
  <si>
    <t>NSIL</t>
  </si>
  <si>
    <t>NSIL,</t>
  </si>
  <si>
    <t>JINDALPOLY,</t>
  </si>
  <si>
    <t>Naman In-Store (India) Ltd.</t>
  </si>
  <si>
    <t>NAMAN</t>
  </si>
  <si>
    <t>509196,</t>
  </si>
  <si>
    <t>Namo Ewaste Management Ltd.</t>
  </si>
  <si>
    <t>NAMOEWASTE</t>
  </si>
  <si>
    <t>ICEMAKE,</t>
  </si>
  <si>
    <t>Nandan Denim Ltd.</t>
  </si>
  <si>
    <t>NDL</t>
  </si>
  <si>
    <t>TBOTEK,</t>
  </si>
  <si>
    <t>Nandani Creation Ltd.</t>
  </si>
  <si>
    <t>JAIPURKURT</t>
  </si>
  <si>
    <t>512038,</t>
  </si>
  <si>
    <t>Elnet Technologies Ltd.</t>
  </si>
  <si>
    <t>ELNET</t>
  </si>
  <si>
    <t>544082,</t>
  </si>
  <si>
    <t>Narayana Hrudayalaya Ltd.</t>
  </si>
  <si>
    <t>NH</t>
  </si>
  <si>
    <t>MEDIASSIST,</t>
  </si>
  <si>
    <t>Narmada Agrobase Ltd.</t>
  </si>
  <si>
    <t>NARMADA</t>
  </si>
  <si>
    <t>AATMAJ,</t>
  </si>
  <si>
    <t>Natco Pharma Ltd.</t>
  </si>
  <si>
    <t>NATCOPHARM</t>
  </si>
  <si>
    <t>533285,</t>
  </si>
  <si>
    <t>First Fintec Ltd.</t>
  </si>
  <si>
    <t>FIRSTFIN</t>
  </si>
  <si>
    <t>531959,</t>
  </si>
  <si>
    <t>Nath Bio-Genes (India) Ltd.</t>
  </si>
  <si>
    <t>NATHBIOGEN</t>
  </si>
  <si>
    <t>GHV Infra Projects Ltd.</t>
  </si>
  <si>
    <t>GHVINFRA</t>
  </si>
  <si>
    <t>Groarc Industries India Ltd.</t>
  </si>
  <si>
    <t>GROARC</t>
  </si>
  <si>
    <t>National Aluminium Company Ltd.</t>
  </si>
  <si>
    <t>NATIONALUM</t>
  </si>
  <si>
    <t>541144,</t>
  </si>
  <si>
    <t>National Fertilizers Ltd.</t>
  </si>
  <si>
    <t>NFL</t>
  </si>
  <si>
    <t>526530,</t>
  </si>
  <si>
    <t>National Highways Infra Trust</t>
  </si>
  <si>
    <t>NHIT</t>
  </si>
  <si>
    <t>NHIT,</t>
  </si>
  <si>
    <t>MAHSEAMLES,</t>
  </si>
  <si>
    <t>Nava Ltd.</t>
  </si>
  <si>
    <t>NAVA</t>
  </si>
  <si>
    <t>544189,</t>
  </si>
  <si>
    <t>Hiliks Technologies Ltd.</t>
  </si>
  <si>
    <t>HILIKS</t>
  </si>
  <si>
    <t>NHPC,</t>
  </si>
  <si>
    <t>Navin Fluorine International Ltd.</t>
  </si>
  <si>
    <t>NAVINFLUOR</t>
  </si>
  <si>
    <t>BLUESTARCO,</t>
  </si>
  <si>
    <t>Navkar Corporation Ltd.</t>
  </si>
  <si>
    <t>NAVKARCORP</t>
  </si>
  <si>
    <t>PANACHE,</t>
  </si>
  <si>
    <t>Infronics Systems Ltd.</t>
  </si>
  <si>
    <t>INFRONICS</t>
  </si>
  <si>
    <t>NIDAN,</t>
  </si>
  <si>
    <t>Navneet Education Ltd.</t>
  </si>
  <si>
    <t>NAVNETEDUL</t>
  </si>
  <si>
    <t>Nazara Technologies Ltd.</t>
  </si>
  <si>
    <t>NAZARA</t>
  </si>
  <si>
    <t>542206,</t>
  </si>
  <si>
    <t>Integrated Hitech Ltd.</t>
  </si>
  <si>
    <t>INTEGHIT</t>
  </si>
  <si>
    <t>NIITMTS,</t>
  </si>
  <si>
    <t>NBCC (India) Ltd.</t>
  </si>
  <si>
    <t>NBCC</t>
  </si>
  <si>
    <t>544220,</t>
  </si>
  <si>
    <t>NCC Ltd.</t>
  </si>
  <si>
    <t>NCC</t>
  </si>
  <si>
    <t>531913,</t>
  </si>
  <si>
    <t>Interactive Financial Services Ltd.</t>
  </si>
  <si>
    <t>IFINSER</t>
  </si>
  <si>
    <t>NCL Industries Ltd.</t>
  </si>
  <si>
    <t>NCLIND</t>
  </si>
  <si>
    <t>537766,</t>
  </si>
  <si>
    <t>Jeevan Scientific Technology Ltd.</t>
  </si>
  <si>
    <t>JSTL</t>
  </si>
  <si>
    <t>NILASPACES,</t>
  </si>
  <si>
    <t>Kashyap Tele-Medicines Ltd.</t>
  </si>
  <si>
    <t>KASHYAP</t>
  </si>
  <si>
    <t>502294,</t>
  </si>
  <si>
    <t>Kati Patang Lifestyle Ltd.</t>
  </si>
  <si>
    <t>VIRTUALS</t>
  </si>
  <si>
    <t>530129,</t>
  </si>
  <si>
    <t>NDL Ventures Ltd.</t>
  </si>
  <si>
    <t>NDLVENTURE</t>
  </si>
  <si>
    <t>523650,</t>
  </si>
  <si>
    <t>NDR Auto Components Ltd.</t>
  </si>
  <si>
    <t>NDRAUTO</t>
  </si>
  <si>
    <t>522273,</t>
  </si>
  <si>
    <t>Nectar Lifesciences Ltd.</t>
  </si>
  <si>
    <t>NECLIFE</t>
  </si>
  <si>
    <t>530053,</t>
  </si>
  <si>
    <t>Neelam Linens and Garments (India) Ltd.</t>
  </si>
  <si>
    <t>NEELAM</t>
  </si>
  <si>
    <t>THOMASCOTT,</t>
  </si>
  <si>
    <t>Lee &amp; Nee Softwares (Exports) Ltd.</t>
  </si>
  <si>
    <t>LEENEE</t>
  </si>
  <si>
    <t>NIRAJ,</t>
  </si>
  <si>
    <t>Nelcast Ltd.</t>
  </si>
  <si>
    <t>NELCAST</t>
  </si>
  <si>
    <t>AUTOIND,</t>
  </si>
  <si>
    <t>Magellanic Cloud Ltd.</t>
  </si>
  <si>
    <t>MCLOUD</t>
  </si>
  <si>
    <t>512425,</t>
  </si>
  <si>
    <t>Mahaveer Infoway Ltd.</t>
  </si>
  <si>
    <t>MINFY</t>
  </si>
  <si>
    <t>500307,</t>
  </si>
  <si>
    <t>Nelco Ltd.</t>
  </si>
  <si>
    <t>NELCO</t>
  </si>
  <si>
    <t>Neogen Chemicals Ltd.</t>
  </si>
  <si>
    <t>NEOGEN</t>
  </si>
  <si>
    <t>542669,</t>
  </si>
  <si>
    <t>Megri Soft Ltd.</t>
  </si>
  <si>
    <t>MEGRISOFT</t>
  </si>
  <si>
    <t>Nephro Care India Ltd.</t>
  </si>
  <si>
    <t>NEPHROCARE</t>
  </si>
  <si>
    <t>543364,</t>
  </si>
  <si>
    <t>Nesco Ltd.</t>
  </si>
  <si>
    <t>NESCO</t>
  </si>
  <si>
    <t>539697,</t>
  </si>
  <si>
    <t>Moschip Technologies Ltd.</t>
  </si>
  <si>
    <t>MOSCHIP</t>
  </si>
  <si>
    <t>NITINSPIN,</t>
  </si>
  <si>
    <t>Nestle India Ltd.</t>
  </si>
  <si>
    <t>NESTLEIND</t>
  </si>
  <si>
    <t>Net Avenue Technologies Ltd.</t>
  </si>
  <si>
    <t>CBAZAAR</t>
  </si>
  <si>
    <t>EMCURE,</t>
  </si>
  <si>
    <t>Mudunuru Ltd.</t>
  </si>
  <si>
    <t>MUDUNURU</t>
  </si>
  <si>
    <t>Netweb Technologies India Ltd.</t>
  </si>
  <si>
    <t>NETWEB</t>
  </si>
  <si>
    <t>Netlink Solutions (India) Ltd.</t>
  </si>
  <si>
    <t>NETLINK</t>
  </si>
  <si>
    <t>Nettlinx Ltd.</t>
  </si>
  <si>
    <t>NETTLINX</t>
  </si>
  <si>
    <t>NKIND,</t>
  </si>
  <si>
    <t>Network 18 Media &amp; Investments Ltd.</t>
  </si>
  <si>
    <t>NETWORK18</t>
  </si>
  <si>
    <t>Network People Services Technologies Ltd.</t>
  </si>
  <si>
    <t>NPST</t>
  </si>
  <si>
    <t>543522,</t>
  </si>
  <si>
    <t>Neuland Laboratories Ltd.</t>
  </si>
  <si>
    <t>NEULANDLAB</t>
  </si>
  <si>
    <t>New Delhi Television Ltd.</t>
  </si>
  <si>
    <t>NDTV</t>
  </si>
  <si>
    <t>YASHOPTICS,</t>
  </si>
  <si>
    <t>ObjectOne Information Systems Ltd.</t>
  </si>
  <si>
    <t>OONE</t>
  </si>
  <si>
    <t>NOCIL,</t>
  </si>
  <si>
    <t>Odyssey Technologies Ltd.</t>
  </si>
  <si>
    <t>ODYSSEY</t>
  </si>
  <si>
    <t>532481,</t>
  </si>
  <si>
    <t>Omega Interactive Technologies Ltd.</t>
  </si>
  <si>
    <t>OMEGAIN</t>
  </si>
  <si>
    <t>NORBTEAEXP,</t>
  </si>
  <si>
    <t>Omni AxS Software Ltd.</t>
  </si>
  <si>
    <t>OMNIAX</t>
  </si>
  <si>
    <t>524414,</t>
  </si>
  <si>
    <t>Newgen Software Technologies Ltd.</t>
  </si>
  <si>
    <t>NEWGEN</t>
  </si>
  <si>
    <t>NLCINDIA,</t>
  </si>
  <si>
    <t>Newjaisa Technologies Ltd.</t>
  </si>
  <si>
    <t>NEWJAISA</t>
  </si>
  <si>
    <t>UNIVPHOTO,</t>
  </si>
  <si>
    <t>NewMalayalam Steel Ltd.</t>
  </si>
  <si>
    <t>NMSTEEL</t>
  </si>
  <si>
    <t>HAVISHA,</t>
  </si>
  <si>
    <t>Orchasp Ltd.</t>
  </si>
  <si>
    <t>ORCHASP</t>
  </si>
  <si>
    <t>531465,</t>
  </si>
  <si>
    <t>Otco International Ltd.</t>
  </si>
  <si>
    <t>OTCO</t>
  </si>
  <si>
    <t>NOVAAGRI,</t>
  </si>
  <si>
    <t>Next Mediaworks Ltd.</t>
  </si>
  <si>
    <t>NEXTMEDIA</t>
  </si>
  <si>
    <t>SERVICE,</t>
  </si>
  <si>
    <t>Parle Industries Ltd.</t>
  </si>
  <si>
    <t>PARLEIND</t>
  </si>
  <si>
    <t>500672,</t>
  </si>
  <si>
    <t>Nexus Select Trust</t>
  </si>
  <si>
    <t>NXST</t>
  </si>
  <si>
    <t>NXST,</t>
  </si>
  <si>
    <t>534623,</t>
  </si>
  <si>
    <t>Popees Cares Ltd.</t>
  </si>
  <si>
    <t>POPEES</t>
  </si>
  <si>
    <t>NRAIL,</t>
  </si>
  <si>
    <t>PS IT Infrastructure &amp; Services Ltd.</t>
  </si>
  <si>
    <t>PSITINFRA</t>
  </si>
  <si>
    <t>NRBBEARING,</t>
  </si>
  <si>
    <t>NGL Fine-Chem Ltd.</t>
  </si>
  <si>
    <t>NGLFINE</t>
  </si>
  <si>
    <t>REDINGTON,</t>
  </si>
  <si>
    <t>NHPC Ltd.</t>
  </si>
  <si>
    <t>NHPC</t>
  </si>
  <si>
    <t>539519,</t>
  </si>
  <si>
    <t>Nidan Laboratories And Healthcare Ltd.</t>
  </si>
  <si>
    <t>NIDAN</t>
  </si>
  <si>
    <t>MARKSANS,</t>
  </si>
  <si>
    <t>Ram Info Ltd.</t>
  </si>
  <si>
    <t>RAMINFO</t>
  </si>
  <si>
    <t>NTPC,</t>
  </si>
  <si>
    <t>NIIT Learning Systems Ltd.</t>
  </si>
  <si>
    <t>NIITMTS</t>
  </si>
  <si>
    <t>NMDC,</t>
  </si>
  <si>
    <t>NIIT Ltd.</t>
  </si>
  <si>
    <t>NIITLTD</t>
  </si>
  <si>
    <t>501477,</t>
  </si>
  <si>
    <t>Nila Infrastructures Ltd.</t>
  </si>
  <si>
    <t>NILAINFRA</t>
  </si>
  <si>
    <t>Response Informatics Ltd.</t>
  </si>
  <si>
    <t>RESPONSINF</t>
  </si>
  <si>
    <t>531304,</t>
  </si>
  <si>
    <t>Nila Spaces Ltd.</t>
  </si>
  <si>
    <t>NILASPACES</t>
  </si>
  <si>
    <t>CMICABLES,</t>
  </si>
  <si>
    <t>Nilkamal Ltd.</t>
  </si>
  <si>
    <t>NILKAMAL</t>
  </si>
  <si>
    <t>SECL,</t>
  </si>
  <si>
    <t>Nintec Systems Ltd.</t>
  </si>
  <si>
    <t>NINSYS</t>
  </si>
  <si>
    <t>NSLNISP,</t>
  </si>
  <si>
    <t>Nippon Life India Asset Management Ltd.</t>
  </si>
  <si>
    <t>NAM-INDIA</t>
  </si>
  <si>
    <t>NAM-INDIA,</t>
  </si>
  <si>
    <t>NIPPOBATRY,</t>
  </si>
  <si>
    <t>Niraj Cement Structurals Ltd.</t>
  </si>
  <si>
    <t>NIRAJ</t>
  </si>
  <si>
    <t>531608,</t>
  </si>
  <si>
    <t>Saven Technologies Ltd.</t>
  </si>
  <si>
    <t>7TEC</t>
  </si>
  <si>
    <t>OBEROIRLTY,</t>
  </si>
  <si>
    <t>Niraj Ispat Industries Ltd.</t>
  </si>
  <si>
    <t>NIRAJISPAT</t>
  </si>
  <si>
    <t>Silverline Technologies Ltd.</t>
  </si>
  <si>
    <t>SILVERLINE</t>
  </si>
  <si>
    <t>OBSCP,</t>
  </si>
  <si>
    <t>Sofcom Systems Ltd.</t>
  </si>
  <si>
    <t>SOFCOM</t>
  </si>
  <si>
    <t>OCCLLTD,</t>
  </si>
  <si>
    <t>Softsol India Ltd.</t>
  </si>
  <si>
    <t>SOFTSOL</t>
  </si>
  <si>
    <t>540405,</t>
  </si>
  <si>
    <t>Nirman Agri Genetics Ltd.</t>
  </si>
  <si>
    <t>NIRMAN</t>
  </si>
  <si>
    <t>539528,</t>
  </si>
  <si>
    <t>Nitco Ltd.</t>
  </si>
  <si>
    <t>NITCO</t>
  </si>
  <si>
    <t>Southern Infosys Ltd.</t>
  </si>
  <si>
    <t>SOUTHERNIN</t>
  </si>
  <si>
    <t>ODIGMA,</t>
  </si>
  <si>
    <t>Space Incubatrics Technologies Ltd.</t>
  </si>
  <si>
    <t>SPACEINCUBA</t>
  </si>
  <si>
    <t>Starcom Information Technology Ltd.</t>
  </si>
  <si>
    <t>STARCOM</t>
  </si>
  <si>
    <t>530175,</t>
  </si>
  <si>
    <t>Nitin Spinners Ltd.</t>
  </si>
  <si>
    <t>NITINSPIN</t>
  </si>
  <si>
    <t>Sylph Technologies Ltd.</t>
  </si>
  <si>
    <t>SYLPH</t>
  </si>
  <si>
    <t>OILCOUNTUB,</t>
  </si>
  <si>
    <t>T Spiritual World Ltd.</t>
  </si>
  <si>
    <t>TSPIRITUAL</t>
  </si>
  <si>
    <t>OIL,</t>
  </si>
  <si>
    <t>Nitiraj Engineers Ltd.</t>
  </si>
  <si>
    <t>NITIRAJ</t>
  </si>
  <si>
    <t>544308,</t>
  </si>
  <si>
    <t>Niva Bupa Health Insurance Company Ltd.</t>
  </si>
  <si>
    <t>NIVABUPA</t>
  </si>
  <si>
    <t>NIVABUPA,</t>
  </si>
  <si>
    <t>MTEDUCARE,</t>
  </si>
  <si>
    <t>NK Industries Ltd.</t>
  </si>
  <si>
    <t>NKIND</t>
  </si>
  <si>
    <t>EIEL,</t>
  </si>
  <si>
    <t>NLC India Ltd.</t>
  </si>
  <si>
    <t>NLCINDIA</t>
  </si>
  <si>
    <t>NMDC Ltd.</t>
  </si>
  <si>
    <t>NMDC</t>
  </si>
  <si>
    <t>526588,</t>
  </si>
  <si>
    <t>TechNVision Ventures Ltd.</t>
  </si>
  <si>
    <t>TECHNVISN</t>
  </si>
  <si>
    <t>507609,</t>
  </si>
  <si>
    <t>NMDC Steel Ltd.</t>
  </si>
  <si>
    <t>NSLNISP</t>
  </si>
  <si>
    <t>SONATSOFTW,</t>
  </si>
  <si>
    <t>Titan Intech Ltd.</t>
  </si>
  <si>
    <t>TITANIN</t>
  </si>
  <si>
    <t>538537,</t>
  </si>
  <si>
    <t>Nocil Ltd.</t>
  </si>
  <si>
    <t>NOCIL</t>
  </si>
  <si>
    <t>530809,</t>
  </si>
  <si>
    <t>Norben Tea &amp; Exports Ltd.</t>
  </si>
  <si>
    <t>NORBTEAEXP</t>
  </si>
  <si>
    <t>SUMICHEM,</t>
  </si>
  <si>
    <t>North Eastern Carrying Corporation Ltd.</t>
  </si>
  <si>
    <t>NECCLTD</t>
  </si>
  <si>
    <t>USG Tech Solutions Ltd.</t>
  </si>
  <si>
    <t>USGTECH</t>
  </si>
  <si>
    <t>511644,</t>
  </si>
  <si>
    <t>Vama Industries Ltd.</t>
  </si>
  <si>
    <t>VAMA</t>
  </si>
  <si>
    <t>OMFURN,</t>
  </si>
  <si>
    <t>VCU Data Management Ltd.</t>
  </si>
  <si>
    <t>VCU</t>
  </si>
  <si>
    <t>OMKARCHEM,</t>
  </si>
  <si>
    <t>Vedavaag Systems Ltd.</t>
  </si>
  <si>
    <t>VEDAVAAG</t>
  </si>
  <si>
    <t>532340,</t>
  </si>
  <si>
    <t>Virgo Global Ltd.</t>
  </si>
  <si>
    <t>VIRGOGLOB</t>
  </si>
  <si>
    <t>543400,</t>
  </si>
  <si>
    <t>Northern ARC Capital Ltd.</t>
  </si>
  <si>
    <t>NORTHARC</t>
  </si>
  <si>
    <t>NORTHARC,</t>
  </si>
  <si>
    <t>531609,</t>
  </si>
  <si>
    <t>Nova Agritech Ltd.</t>
  </si>
  <si>
    <t>NOVAAGRI</t>
  </si>
  <si>
    <t>PRUDMOULI,</t>
  </si>
  <si>
    <t>WEP Solutions Ltd.</t>
  </si>
  <si>
    <t>WEPSOLN</t>
  </si>
  <si>
    <t>514330,</t>
  </si>
  <si>
    <t>NR Agarwal Industries Ltd.</t>
  </si>
  <si>
    <t>NRAIL</t>
  </si>
  <si>
    <t>PREMIER,</t>
  </si>
  <si>
    <t>NRB Bearings Ltd.</t>
  </si>
  <si>
    <t>NRBBEARING</t>
  </si>
  <si>
    <t>NRB Industrial Bearings Ltd.</t>
  </si>
  <si>
    <t>NIBL</t>
  </si>
  <si>
    <t>APARINDS,</t>
  </si>
  <si>
    <t>NTPC Green Energy Ltd.</t>
  </si>
  <si>
    <t>NTPCGREEN</t>
  </si>
  <si>
    <t>531797,</t>
  </si>
  <si>
    <t>NTPC Ltd.</t>
  </si>
  <si>
    <t>NTPC</t>
  </si>
  <si>
    <t>SAURASHCEM,</t>
  </si>
  <si>
    <t>Nucleus Software Exports Ltd.</t>
  </si>
  <si>
    <t>NUCLEUS</t>
  </si>
  <si>
    <t>522289,</t>
  </si>
  <si>
    <t>Nupur Recyclers Ltd.</t>
  </si>
  <si>
    <t>NRL</t>
  </si>
  <si>
    <t>VINYAS,</t>
  </si>
  <si>
    <t>Nureca Ltd.</t>
  </si>
  <si>
    <t>NURECA</t>
  </si>
  <si>
    <t>PATANJALI,</t>
  </si>
  <si>
    <t>Nuvama Wealth Management Ltd.</t>
  </si>
  <si>
    <t>NUVAMA</t>
  </si>
  <si>
    <t>NUVAMA,</t>
  </si>
  <si>
    <t>LINDEINDIA,</t>
  </si>
  <si>
    <t>Nuvoco Vistas Corporation Ltd.</t>
  </si>
  <si>
    <t>NUVOCO</t>
  </si>
  <si>
    <t>BLKASHYAP,</t>
  </si>
  <si>
    <t>Nxt-Infra Trust - (NXT-INFRA)</t>
  </si>
  <si>
    <t>NXT-INFRA</t>
  </si>
  <si>
    <t>ZENITHSTL,</t>
  </si>
  <si>
    <t>Oberoi Realty Ltd.</t>
  </si>
  <si>
    <t>OBEROIRLTY</t>
  </si>
  <si>
    <t>CMSINFO,</t>
  </si>
  <si>
    <t>OBSC Perfection Ltd.</t>
  </si>
  <si>
    <t>OBSCP</t>
  </si>
  <si>
    <t>HOLMARC,</t>
  </si>
  <si>
    <t>Alfa Ica (India) Ltd.</t>
  </si>
  <si>
    <t>ALFAICA</t>
  </si>
  <si>
    <t>OFSS,</t>
  </si>
  <si>
    <t>Deco-Mica Ltd.</t>
  </si>
  <si>
    <t>DECOMIC</t>
  </si>
  <si>
    <t>ORBTEXP,</t>
  </si>
  <si>
    <t>OCCL Ltd.</t>
  </si>
  <si>
    <t>OCCLLTD</t>
  </si>
  <si>
    <t>CANARYS,</t>
  </si>
  <si>
    <t>Odigma Consultancy Solutions Ltd.</t>
  </si>
  <si>
    <t>ODIGMA</t>
  </si>
  <si>
    <t>530697,</t>
  </si>
  <si>
    <t>Oil &amp; Natural Gas Corporation Ltd.</t>
  </si>
  <si>
    <t>ONGC</t>
  </si>
  <si>
    <t>POLYMED,</t>
  </si>
  <si>
    <t>Suncare Traders Ltd.</t>
  </si>
  <si>
    <t>SCTL</t>
  </si>
  <si>
    <t>543997,</t>
  </si>
  <si>
    <t>Oil Country Tubular Ltd.</t>
  </si>
  <si>
    <t>OILCOUNTUB</t>
  </si>
  <si>
    <t>SONUINFRA,</t>
  </si>
  <si>
    <t>Oil India Ltd.</t>
  </si>
  <si>
    <t>OIL</t>
  </si>
  <si>
    <t>POLYCAB,</t>
  </si>
  <si>
    <t>Amin Tannery Ltd.</t>
  </si>
  <si>
    <t>AMINTAN</t>
  </si>
  <si>
    <t>ORIENTBELL,</t>
  </si>
  <si>
    <t>OLA Electric Mobility Ltd.</t>
  </si>
  <si>
    <t>OLAELEC</t>
  </si>
  <si>
    <t>ALPEXSOLAR,</t>
  </si>
  <si>
    <t>Euro Leder Fashion Ltd.</t>
  </si>
  <si>
    <t>EUROLED</t>
  </si>
  <si>
    <t>ORIENTCEM,</t>
  </si>
  <si>
    <t>Oscar Global Ltd.</t>
  </si>
  <si>
    <t>OSCARGLO</t>
  </si>
  <si>
    <t>ORIENTCER,</t>
  </si>
  <si>
    <t>Phoenix International Ltd.</t>
  </si>
  <si>
    <t>PHOENXINTL</t>
  </si>
  <si>
    <t>ORIENTELEC,</t>
  </si>
  <si>
    <t>Super Tannery Ltd.</t>
  </si>
  <si>
    <t>SUPTANERY</t>
  </si>
  <si>
    <t>GREENPOWER,</t>
  </si>
  <si>
    <t>Olectra Greentech Ltd.</t>
  </si>
  <si>
    <t>OLECTRA</t>
  </si>
  <si>
    <t>500009,</t>
  </si>
  <si>
    <t>MFL India Ltd.</t>
  </si>
  <si>
    <t>MFLINDIA</t>
  </si>
  <si>
    <t>ORIENTLTD,</t>
  </si>
  <si>
    <t>Om Infra Ltd.</t>
  </si>
  <si>
    <t>OMINFRAL</t>
  </si>
  <si>
    <t>Omax Autos Ltd.</t>
  </si>
  <si>
    <t>OMAXAUTO</t>
  </si>
  <si>
    <t>532806,</t>
  </si>
  <si>
    <t>Cargotrans Maritime Ltd.</t>
  </si>
  <si>
    <t>CARGOTRANS</t>
  </si>
  <si>
    <t>OAL,</t>
  </si>
  <si>
    <t>Omaxe Ltd.</t>
  </si>
  <si>
    <t>OMAXE</t>
  </si>
  <si>
    <t>Omfurn India Ltd.</t>
  </si>
  <si>
    <t>OMFURN</t>
  </si>
  <si>
    <t>MMP,</t>
  </si>
  <si>
    <t>Omkar Speciality Chemicals Ltd.</t>
  </si>
  <si>
    <t>OMKARCHEM</t>
  </si>
  <si>
    <t>BVCL,</t>
  </si>
  <si>
    <t>On Door Concepts Ltd.</t>
  </si>
  <si>
    <t>ONDOOR</t>
  </si>
  <si>
    <t>538795,</t>
  </si>
  <si>
    <t>One Mobikwik Systems Ltd.</t>
  </si>
  <si>
    <t>MOBIKWIK</t>
  </si>
  <si>
    <t>MHRIL,</t>
  </si>
  <si>
    <t>One Point One Solutions Ltd.</t>
  </si>
  <si>
    <t>ONEPOINT</t>
  </si>
  <si>
    <t>531381,</t>
  </si>
  <si>
    <t>One97 Communications Ltd.</t>
  </si>
  <si>
    <t>PAYTM</t>
  </si>
  <si>
    <t>MAHICKRA,</t>
  </si>
  <si>
    <t>Oneclick Logistics India Ltd.</t>
  </si>
  <si>
    <t>OLIL</t>
  </si>
  <si>
    <t>ORTINGLOBE,</t>
  </si>
  <si>
    <t>Onelife Capital Advisors Ltd.</t>
  </si>
  <si>
    <t>ONELIFECAP</t>
  </si>
  <si>
    <t>ONELIFECAP,</t>
  </si>
  <si>
    <t>532303,</t>
  </si>
  <si>
    <t>Prime Fresh Ltd.</t>
  </si>
  <si>
    <t>PRIMEFRESH</t>
  </si>
  <si>
    <t>OSELDEVICE,</t>
  </si>
  <si>
    <t>Onmobile Global Ltd.</t>
  </si>
  <si>
    <t>ONMOBILE</t>
  </si>
  <si>
    <t>NECCLTD,</t>
  </si>
  <si>
    <t>Onward Technologies Ltd.</t>
  </si>
  <si>
    <t>ONWARDTEC</t>
  </si>
  <si>
    <t>ABC India Ltd.</t>
  </si>
  <si>
    <t>ABCINDQ</t>
  </si>
  <si>
    <t>OSWALAGRO,</t>
  </si>
  <si>
    <t>Onyx Biotec Ltd.</t>
  </si>
  <si>
    <t>ONYX</t>
  </si>
  <si>
    <t>512618,</t>
  </si>
  <si>
    <t>Optiemus Infracom Ltd.</t>
  </si>
  <si>
    <t>OPTIEMUS</t>
  </si>
  <si>
    <t>VIPIND,</t>
  </si>
  <si>
    <t>Oracle Financial Services Software Ltd.</t>
  </si>
  <si>
    <t>OFSS</t>
  </si>
  <si>
    <t>542628,</t>
  </si>
  <si>
    <t>Orbit Exports Ltd.</t>
  </si>
  <si>
    <t>ORBTEXP</t>
  </si>
  <si>
    <t>TCIEXP,</t>
  </si>
  <si>
    <t>Orchid Pharma Ltd.</t>
  </si>
  <si>
    <t>ORCHPHARMA</t>
  </si>
  <si>
    <t>531260,</t>
  </si>
  <si>
    <t>Oriana Power Ltd.</t>
  </si>
  <si>
    <t>ORIANA</t>
  </si>
  <si>
    <t>Oricon Enterprises Ltd.</t>
  </si>
  <si>
    <t>ORICONENT</t>
  </si>
  <si>
    <t>PVSL,</t>
  </si>
  <si>
    <t>Balurghat Technologies Ltd.</t>
  </si>
  <si>
    <t>BALTE</t>
  </si>
  <si>
    <t>523483,</t>
  </si>
  <si>
    <t>Chartered Logistics Ltd.</t>
  </si>
  <si>
    <t>CHLOGIST</t>
  </si>
  <si>
    <t>531395,</t>
  </si>
  <si>
    <t>Coastal Roadways Ltd.</t>
  </si>
  <si>
    <t>COARO</t>
  </si>
  <si>
    <t>532350,</t>
  </si>
  <si>
    <t>Orient Bell Ltd.</t>
  </si>
  <si>
    <t>ORIENTBELL</t>
  </si>
  <si>
    <t>BANCOINDIA,</t>
  </si>
  <si>
    <t>Containerway International Ltd.</t>
  </si>
  <si>
    <t>CONTAINER</t>
  </si>
  <si>
    <t>526905,</t>
  </si>
  <si>
    <t>Flomic Global Logistics Ltd.</t>
  </si>
  <si>
    <t>FLOMIC</t>
  </si>
  <si>
    <t>PAGEIND,</t>
  </si>
  <si>
    <t>Frontline Corporation Ltd.</t>
  </si>
  <si>
    <t>FRONTCORP</t>
  </si>
  <si>
    <t>Orient Cement Ltd.</t>
  </si>
  <si>
    <t>ORIENTCEM</t>
  </si>
  <si>
    <t>508136,</t>
  </si>
  <si>
    <t>Inter State Oil Carrier Ltd.</t>
  </si>
  <si>
    <t>INTSTOIL</t>
  </si>
  <si>
    <t>Orient Ceratech Ltd.</t>
  </si>
  <si>
    <t>ORIENTCER</t>
  </si>
  <si>
    <t>SHIGAN,</t>
  </si>
  <si>
    <t>Orient Electric Ltd.</t>
  </si>
  <si>
    <t>ORIENTELEC</t>
  </si>
  <si>
    <t>531472,</t>
  </si>
  <si>
    <t>Kesar Terminals &amp; Infrastructure Ltd.</t>
  </si>
  <si>
    <t>KTIL</t>
  </si>
  <si>
    <t>PALREDTEC,</t>
  </si>
  <si>
    <t>Lakshmi Engineering And Warehousing Ltd.</t>
  </si>
  <si>
    <t>LAKSHMIEW</t>
  </si>
  <si>
    <t>517397,</t>
  </si>
  <si>
    <t>Lancer Container Lines Ltd.</t>
  </si>
  <si>
    <t>LANCER</t>
  </si>
  <si>
    <t>Orient Green Power Company Ltd.</t>
  </si>
  <si>
    <t>GREENPOWER</t>
  </si>
  <si>
    <t>Orient Paper &amp; Industries Ltd.</t>
  </si>
  <si>
    <t>ORIENTPPR</t>
  </si>
  <si>
    <t>PREMIERPOL,</t>
  </si>
  <si>
    <t>Orient Press Ltd.</t>
  </si>
  <si>
    <t>ORIENTLTD</t>
  </si>
  <si>
    <t>Orient Technologies Ltd.</t>
  </si>
  <si>
    <t>ORIENTTECH</t>
  </si>
  <si>
    <t>532373,</t>
  </si>
  <si>
    <t>Oriental Aromatics Ltd.</t>
  </si>
  <si>
    <t>OAL</t>
  </si>
  <si>
    <t>BODALCHEM,</t>
  </si>
  <si>
    <t>Oriental Carbon &amp; Chemicals Ltd.</t>
  </si>
  <si>
    <t>OCCL</t>
  </si>
  <si>
    <t>BTML,</t>
  </si>
  <si>
    <t>Oriental Hotels Ltd.</t>
  </si>
  <si>
    <t>ORIENTHOT</t>
  </si>
  <si>
    <t>531338,</t>
  </si>
  <si>
    <t>Oriental Trimex Ltd.</t>
  </si>
  <si>
    <t>ORIENTALTL</t>
  </si>
  <si>
    <t>524602,</t>
  </si>
  <si>
    <t>Sanco Trans Ltd.</t>
  </si>
  <si>
    <t>SANCTRN</t>
  </si>
  <si>
    <t>531726,</t>
  </si>
  <si>
    <t>Orissa Bengal Carrier Ltd.</t>
  </si>
  <si>
    <t>OBCL</t>
  </si>
  <si>
    <t>PANAMAPET,</t>
  </si>
  <si>
    <t>Shreeji Translogistics Ltd.</t>
  </si>
  <si>
    <t>STL</t>
  </si>
  <si>
    <t>531280,</t>
  </si>
  <si>
    <t>Ortel Communications Ltd.</t>
  </si>
  <si>
    <t>ORTEL</t>
  </si>
  <si>
    <t>WEL,</t>
  </si>
  <si>
    <t>Ortin Global Ltd.</t>
  </si>
  <si>
    <t>ORTINGLOBE</t>
  </si>
  <si>
    <t>REFRACTORY,</t>
  </si>
  <si>
    <t>Osel Devices Ltd.</t>
  </si>
  <si>
    <t>OSELDEVICE</t>
  </si>
  <si>
    <t>543798,</t>
  </si>
  <si>
    <t>OSIA Hyper Retail Ltd.</t>
  </si>
  <si>
    <t>OSIAHYPER</t>
  </si>
  <si>
    <t>SRPL,</t>
  </si>
  <si>
    <t>Oswal Agro Mills Ltd.</t>
  </si>
  <si>
    <t>OSWALAGRO</t>
  </si>
  <si>
    <t>514302,</t>
  </si>
  <si>
    <t>Tiger Logistics (India) Ltd.</t>
  </si>
  <si>
    <t>TIGERLOGS</t>
  </si>
  <si>
    <t>PAR,</t>
  </si>
  <si>
    <t>Oswal Greentech Ltd.</t>
  </si>
  <si>
    <t>OSWALGREEN</t>
  </si>
  <si>
    <t>OSWALGREEN,</t>
  </si>
  <si>
    <t>Page Industries Ltd.</t>
  </si>
  <si>
    <t>PAGEIND</t>
  </si>
  <si>
    <t>TCPLPACK,</t>
  </si>
  <si>
    <t>Paisalo Digital Ltd.</t>
  </si>
  <si>
    <t>PAISALO</t>
  </si>
  <si>
    <t>PAISALO,</t>
  </si>
  <si>
    <t>KDL,</t>
  </si>
  <si>
    <t>Pakka Ltd.</t>
  </si>
  <si>
    <t>PAKKA</t>
  </si>
  <si>
    <t>PRLIND,</t>
  </si>
  <si>
    <t>Afcom Holdings Ltd.</t>
  </si>
  <si>
    <t>AFCOM</t>
  </si>
  <si>
    <t>PARAMATRIX,</t>
  </si>
  <si>
    <t>Palash Securities Ltd.</t>
  </si>
  <si>
    <t>PALASHSECU</t>
  </si>
  <si>
    <t>PALASHSECU,</t>
  </si>
  <si>
    <t>531889,</t>
  </si>
  <si>
    <t>Palred Technologies Ltd.</t>
  </si>
  <si>
    <t>PALREDTEC</t>
  </si>
  <si>
    <t>513566,</t>
  </si>
  <si>
    <t>Panacea Biotec Ltd.</t>
  </si>
  <si>
    <t>PANACEABIO</t>
  </si>
  <si>
    <t>Rapid Multimodal Logistics Ltd.</t>
  </si>
  <si>
    <t>RAPID</t>
  </si>
  <si>
    <t>PSFL,</t>
  </si>
  <si>
    <t>Panache Digilife Ltd.</t>
  </si>
  <si>
    <t>PANACHE</t>
  </si>
  <si>
    <t>Panama Petrochem Ltd.</t>
  </si>
  <si>
    <t>PANAMAPET</t>
  </si>
  <si>
    <t>542694,</t>
  </si>
  <si>
    <t>Pansari Developers Ltd.</t>
  </si>
  <si>
    <t>PANSARI</t>
  </si>
  <si>
    <t>COALINDIA,</t>
  </si>
  <si>
    <t>Par Drugs And Chemicals Ltd.</t>
  </si>
  <si>
    <t>PAR</t>
  </si>
  <si>
    <t>BOHRAIND,</t>
  </si>
  <si>
    <t>Paradeep Phosphates Ltd.</t>
  </si>
  <si>
    <t>PARADEEP</t>
  </si>
  <si>
    <t>531968,</t>
  </si>
  <si>
    <t>Parag Milk Foods Ltd.</t>
  </si>
  <si>
    <t>PARAGMILK</t>
  </si>
  <si>
    <t>526971,</t>
  </si>
  <si>
    <t>Paragon Fine And Speciality Chemical Ltd.</t>
  </si>
  <si>
    <t>PARAGON</t>
  </si>
  <si>
    <t>BCLIND,</t>
  </si>
  <si>
    <t>Paramatrix Technologies Ltd.</t>
  </si>
  <si>
    <t>PARAMATRIX</t>
  </si>
  <si>
    <t>JAIPURKURT,</t>
  </si>
  <si>
    <t>Paramount Communications Ltd.</t>
  </si>
  <si>
    <t>PARACABLES</t>
  </si>
  <si>
    <t>ASTRAMICRO,</t>
  </si>
  <si>
    <t>Paramount Dye Tec Ltd.</t>
  </si>
  <si>
    <t>PARAMOUNT</t>
  </si>
  <si>
    <t>544214,</t>
  </si>
  <si>
    <t>Amkay Products Ltd.</t>
  </si>
  <si>
    <t>AMKAY</t>
  </si>
  <si>
    <t>PARTYCRUS,</t>
  </si>
  <si>
    <t>Hemant Surgical Industries Ltd.</t>
  </si>
  <si>
    <t>HSIL</t>
  </si>
  <si>
    <t>541347,</t>
  </si>
  <si>
    <t>Paramount Speciality Forgings Ltd.</t>
  </si>
  <si>
    <t>PSFL</t>
  </si>
  <si>
    <t>MWL,</t>
  </si>
  <si>
    <t>Paras Defence And Space Technologies Ltd.</t>
  </si>
  <si>
    <t>PARAS</t>
  </si>
  <si>
    <t>DODLA,</t>
  </si>
  <si>
    <t>GKB Ophthalmics Ltd.</t>
  </si>
  <si>
    <t>GKB</t>
  </si>
  <si>
    <t>PASUPTAC,</t>
  </si>
  <si>
    <t>Kretto Syscon Ltd.</t>
  </si>
  <si>
    <t>KRETTOSYS</t>
  </si>
  <si>
    <t>Paras Petrofils Ltd.</t>
  </si>
  <si>
    <t>PARASPETRO</t>
  </si>
  <si>
    <t>539040,</t>
  </si>
  <si>
    <t>Parin Enterprises Ltd.</t>
  </si>
  <si>
    <t>PARIN</t>
  </si>
  <si>
    <t>MMTC,</t>
  </si>
  <si>
    <t>Prevest Denpro Ltd.</t>
  </si>
  <si>
    <t>PREVEST</t>
  </si>
  <si>
    <t>PATINTLOG,</t>
  </si>
  <si>
    <t>Raaj Medisafe India Ltd.</t>
  </si>
  <si>
    <t>RAAJMEDI</t>
  </si>
  <si>
    <t>517417,</t>
  </si>
  <si>
    <t>Shree Pacetronix Ltd.</t>
  </si>
  <si>
    <t>SHREEPAC</t>
  </si>
  <si>
    <t>524031,</t>
  </si>
  <si>
    <t>Parsvnath Developers Ltd.</t>
  </si>
  <si>
    <t>PARSVNATH</t>
  </si>
  <si>
    <t>COASTCORP,</t>
  </si>
  <si>
    <t>Bloom Industries Ltd.</t>
  </si>
  <si>
    <t>BLOIN</t>
  </si>
  <si>
    <t>540903,</t>
  </si>
  <si>
    <t>MFS Intercorp Ltd.</t>
  </si>
  <si>
    <t>MFSINTRCRP</t>
  </si>
  <si>
    <t>514326,</t>
  </si>
  <si>
    <t>National Standard (India) Ltd.</t>
  </si>
  <si>
    <t>NATIONSTD</t>
  </si>
  <si>
    <t>PATTECH,</t>
  </si>
  <si>
    <t>Party Cruisers Ltd.</t>
  </si>
  <si>
    <t>PARTYCRUS</t>
  </si>
  <si>
    <t>Sharda Ispat Ltd.</t>
  </si>
  <si>
    <t>SHRDAIS</t>
  </si>
  <si>
    <t>532742,</t>
  </si>
  <si>
    <t>Pashupati Cotspin Ltd.</t>
  </si>
  <si>
    <t>PASHUPATI</t>
  </si>
  <si>
    <t>544303,</t>
  </si>
  <si>
    <t>Pasupati Acrylon Ltd.</t>
  </si>
  <si>
    <t>PASUPTAC</t>
  </si>
  <si>
    <t>539985,</t>
  </si>
  <si>
    <t>Patanjali Foods Ltd.</t>
  </si>
  <si>
    <t>PATANJALI</t>
  </si>
  <si>
    <t>EMSLIMITED,</t>
  </si>
  <si>
    <t>Siyaram Recycling Industries Ltd.</t>
  </si>
  <si>
    <t>SIYARAM</t>
  </si>
  <si>
    <t>514087,</t>
  </si>
  <si>
    <t>B.C. Power Controls Ltd.</t>
  </si>
  <si>
    <t>BCP</t>
  </si>
  <si>
    <t>PCJEWELLER,</t>
  </si>
  <si>
    <t>Baroda Extrusion Ltd.</t>
  </si>
  <si>
    <t>BAROEXT</t>
  </si>
  <si>
    <t>PCBL,</t>
  </si>
  <si>
    <t>Patel Engineering Ltd.</t>
  </si>
  <si>
    <t>PATELENG</t>
  </si>
  <si>
    <t>GOYALALUM,</t>
  </si>
  <si>
    <t>Patel Integrated Logistics Ltd.</t>
  </si>
  <si>
    <t>PATINTLOG</t>
  </si>
  <si>
    <t>508941,</t>
  </si>
  <si>
    <t>Bonlon Industries Ltd.</t>
  </si>
  <si>
    <t>BONLON</t>
  </si>
  <si>
    <t>PROPEQUITY,</t>
  </si>
  <si>
    <t>Pattech Fitwell Tube Components Ltd.</t>
  </si>
  <si>
    <t>PATTECH</t>
  </si>
  <si>
    <t>MANALIPETC,</t>
  </si>
  <si>
    <t>Pavna Industries Ltd.</t>
  </si>
  <si>
    <t>PAVNAIND</t>
  </si>
  <si>
    <t>505712,</t>
  </si>
  <si>
    <t>PB Fintech Ltd.</t>
  </si>
  <si>
    <t>POLICYBZR</t>
  </si>
  <si>
    <t>PC Jeweller Ltd.</t>
  </si>
  <si>
    <t>PCJEWELLER</t>
  </si>
  <si>
    <t>517238,</t>
  </si>
  <si>
    <t>PCBL Chemical Ltd.</t>
  </si>
  <si>
    <t>PCBL</t>
  </si>
  <si>
    <t>ATULAUTO,</t>
  </si>
  <si>
    <t>PDS Ltd.</t>
  </si>
  <si>
    <t>PDSL</t>
  </si>
  <si>
    <t>TDPOWERSYS,</t>
  </si>
  <si>
    <t>Nile Ltd.</t>
  </si>
  <si>
    <t>NILE</t>
  </si>
  <si>
    <t>PENINLAND,</t>
  </si>
  <si>
    <t>Onix Solar Energy Ltd.</t>
  </si>
  <si>
    <t>ONIXSOLAR</t>
  </si>
  <si>
    <t>PENIND,</t>
  </si>
  <si>
    <t>Pocl Enterprises Ltd.</t>
  </si>
  <si>
    <t>POEL</t>
  </si>
  <si>
    <t>PENTAGON,</t>
  </si>
  <si>
    <t>PE Analytics Ltd.</t>
  </si>
  <si>
    <t>PROPEQUITY</t>
  </si>
  <si>
    <t>PIONEEREMB,</t>
  </si>
  <si>
    <t>Poojawestern Metaliks Ltd.</t>
  </si>
  <si>
    <t>POOJA</t>
  </si>
  <si>
    <t>Pearl Global Industries Ltd.</t>
  </si>
  <si>
    <t>PGIL</t>
  </si>
  <si>
    <t>TEAMLEASE,</t>
  </si>
  <si>
    <t>Pearl Polymers Ltd.</t>
  </si>
  <si>
    <t>PEARLPOLY</t>
  </si>
  <si>
    <t>SALZERELEC,</t>
  </si>
  <si>
    <t>Pelatro Ltd.</t>
  </si>
  <si>
    <t>PELATRO</t>
  </si>
  <si>
    <t>ONMOBILE,</t>
  </si>
  <si>
    <t>Shalimar Wires Industries Ltd.</t>
  </si>
  <si>
    <t>SHALIWIR</t>
  </si>
  <si>
    <t>504132,</t>
  </si>
  <si>
    <t>Peninsula Land Ltd.</t>
  </si>
  <si>
    <t>PENINLAND</t>
  </si>
  <si>
    <t>508571,</t>
  </si>
  <si>
    <t>Southern Magnesium &amp; Chemicals Ltd.</t>
  </si>
  <si>
    <t>SOUTHMG</t>
  </si>
  <si>
    <t>PCCL,</t>
  </si>
  <si>
    <t>Pennar Industries Ltd.</t>
  </si>
  <si>
    <t>PENIND</t>
  </si>
  <si>
    <t>531398,</t>
  </si>
  <si>
    <t>Pentagon Rubber Ltd.</t>
  </si>
  <si>
    <t>PENTAGON</t>
  </si>
  <si>
    <t>512453,</t>
  </si>
  <si>
    <t>Perfect Infraengineers Ltd.</t>
  </si>
  <si>
    <t>PERFECT</t>
  </si>
  <si>
    <t>526727,</t>
  </si>
  <si>
    <t>Persistent Systems Ltd.</t>
  </si>
  <si>
    <t>PERSISTENT</t>
  </si>
  <si>
    <t>Petro Carbon And Chemicals Ltd.</t>
  </si>
  <si>
    <t>PCCL</t>
  </si>
  <si>
    <t>Petronet LNG Ltd.</t>
  </si>
  <si>
    <t>PETRONET</t>
  </si>
  <si>
    <t>532723,</t>
  </si>
  <si>
    <t>Pfizer Ltd.</t>
  </si>
  <si>
    <t>PFIZER</t>
  </si>
  <si>
    <t>532124,</t>
  </si>
  <si>
    <t>Deccan Gold Mines Ltd.</t>
  </si>
  <si>
    <t>DECNGOLD</t>
  </si>
  <si>
    <t>PHANTOMFX,</t>
  </si>
  <si>
    <t>PG Electroplast Ltd.</t>
  </si>
  <si>
    <t>PGEL</t>
  </si>
  <si>
    <t>CYBERMEDIA,</t>
  </si>
  <si>
    <t>Kachchh Minerals Ltd.</t>
  </si>
  <si>
    <t>KACHCHH</t>
  </si>
  <si>
    <t>526481,</t>
  </si>
  <si>
    <t>Phantom Digital Effects Ltd.</t>
  </si>
  <si>
    <t>PHANTOMFX</t>
  </si>
  <si>
    <t>WORTH,</t>
  </si>
  <si>
    <t>Phoenix Overseas Ltd.</t>
  </si>
  <si>
    <t>PHOGLOBAL</t>
  </si>
  <si>
    <t>WSTCSTPAPR,</t>
  </si>
  <si>
    <t>PI Industries Ltd.</t>
  </si>
  <si>
    <t>PIIND</t>
  </si>
  <si>
    <t>PSPPROJECT,</t>
  </si>
  <si>
    <t>Picturepost Studios Ltd.</t>
  </si>
  <si>
    <t>PPSL</t>
  </si>
  <si>
    <t>536846,</t>
  </si>
  <si>
    <t>Pidilite Industries Ltd.</t>
  </si>
  <si>
    <t>PIDILITIND</t>
  </si>
  <si>
    <t>BOMDYEING,</t>
  </si>
  <si>
    <t>RAW Edge Industrial Solutions Ltd.</t>
  </si>
  <si>
    <t>RAWEDGE</t>
  </si>
  <si>
    <t>530305,</t>
  </si>
  <si>
    <t>PIL ITALICA Lifestyle Ltd.</t>
  </si>
  <si>
    <t>PILITA</t>
  </si>
  <si>
    <t>532005,</t>
  </si>
  <si>
    <t>Pilani Investment And Industries Corporation Ltd.</t>
  </si>
  <si>
    <t>PILANIINVS</t>
  </si>
  <si>
    <t>PILANIINVS,</t>
  </si>
  <si>
    <t>JBCHEPHARM,</t>
  </si>
  <si>
    <t>Pioneer Embroideries Ltd.</t>
  </si>
  <si>
    <t>PIONEEREMB</t>
  </si>
  <si>
    <t>TRIVENI,</t>
  </si>
  <si>
    <t>Associated Coaters Ltd.</t>
  </si>
  <si>
    <t>ASSOCIATED</t>
  </si>
  <si>
    <t>PIDILITIND,</t>
  </si>
  <si>
    <t>Piramal Enterprises Ltd.</t>
  </si>
  <si>
    <t>PEL</t>
  </si>
  <si>
    <t>PEL,</t>
  </si>
  <si>
    <t>KSL,</t>
  </si>
  <si>
    <t>Piramal Pharma Ltd.</t>
  </si>
  <si>
    <t>PPLPHARMA</t>
  </si>
  <si>
    <t>RCOM,</t>
  </si>
  <si>
    <t>Pitti Engineering Ltd.</t>
  </si>
  <si>
    <t>PITTIENG</t>
  </si>
  <si>
    <t>GEEKAYWIRE,</t>
  </si>
  <si>
    <t>Qualitek Labs Ltd.</t>
  </si>
  <si>
    <t>QLL</t>
  </si>
  <si>
    <t>Pix Transmissions Ltd.</t>
  </si>
  <si>
    <t>PIXTRANS</t>
  </si>
  <si>
    <t>SHRIRAMPPS,</t>
  </si>
  <si>
    <t>Plada Infotech Services Ltd.</t>
  </si>
  <si>
    <t>PLADAINFO</t>
  </si>
  <si>
    <t>Manor Estates &amp; Industries Ltd.</t>
  </si>
  <si>
    <t>KARANWO</t>
  </si>
  <si>
    <t>PPLPHARMA,</t>
  </si>
  <si>
    <t>Plastiblends India Ltd.</t>
  </si>
  <si>
    <t>PLASTIBLEN</t>
  </si>
  <si>
    <t>BMETRICS,</t>
  </si>
  <si>
    <t>Modipon Ltd.</t>
  </si>
  <si>
    <t>MODIPON</t>
  </si>
  <si>
    <t>PIXTRANS,</t>
  </si>
  <si>
    <t>Multipurpose Trading &amp; Agencies Ltd.</t>
  </si>
  <si>
    <t>ZMULTIPU</t>
  </si>
  <si>
    <t>PLADAINFO,</t>
  </si>
  <si>
    <t>Square Four Projects India Ltd.</t>
  </si>
  <si>
    <t>SFPIL</t>
  </si>
  <si>
    <t>PLASTIBLEN,</t>
  </si>
  <si>
    <t>Triliance Polymers Ltd.</t>
  </si>
  <si>
    <t>TRILIANCE</t>
  </si>
  <si>
    <t>PLATIND,</t>
  </si>
  <si>
    <t>Vaarad Ventures Ltd.</t>
  </si>
  <si>
    <t>VAARAD</t>
  </si>
  <si>
    <t>PLAZACABLE,</t>
  </si>
  <si>
    <t>Adtech Systems Ltd.</t>
  </si>
  <si>
    <t>ADTECH</t>
  </si>
  <si>
    <t>513403,</t>
  </si>
  <si>
    <t>Platinum Industries Ltd.</t>
  </si>
  <si>
    <t>PLATIND</t>
  </si>
  <si>
    <t>Plaza Wires Ltd.</t>
  </si>
  <si>
    <t>PLAZACABLE</t>
  </si>
  <si>
    <t>ASTRAL,</t>
  </si>
  <si>
    <t>PN Gadgil Jewellers Ltd.</t>
  </si>
  <si>
    <t>PNGJL</t>
  </si>
  <si>
    <t>526335,</t>
  </si>
  <si>
    <t>PNB Gilts Ltd.</t>
  </si>
  <si>
    <t>PNBGILTS</t>
  </si>
  <si>
    <t>PNBGILTS,</t>
  </si>
  <si>
    <t>506530,</t>
  </si>
  <si>
    <t>PNB Housing Finance Ltd.</t>
  </si>
  <si>
    <t>PNBHOUSING</t>
  </si>
  <si>
    <t>PNBHOUSING,</t>
  </si>
  <si>
    <t>PNC Infratech Ltd.</t>
  </si>
  <si>
    <t>PNCINFRA</t>
  </si>
  <si>
    <t>GOYALSALT,</t>
  </si>
  <si>
    <t>Poddar Housing and Development Ltd.</t>
  </si>
  <si>
    <t>PODDARHOUS</t>
  </si>
  <si>
    <t>CARYSIL,</t>
  </si>
  <si>
    <t>Poddar Pigments Ltd.</t>
  </si>
  <si>
    <t>PODDARMENT</t>
  </si>
  <si>
    <t>539533,</t>
  </si>
  <si>
    <t>Duke Offshore Ltd.</t>
  </si>
  <si>
    <t>DUKEOFS</t>
  </si>
  <si>
    <t>PODDARMENT,</t>
  </si>
  <si>
    <t>Gujarat Natural Resources Ltd.</t>
  </si>
  <si>
    <t>GNRL</t>
  </si>
  <si>
    <t>POKARNA,</t>
  </si>
  <si>
    <t>Pokarna Ltd.</t>
  </si>
  <si>
    <t>POKARNA</t>
  </si>
  <si>
    <t>BANG,</t>
  </si>
  <si>
    <t>Poly Medicure Ltd.</t>
  </si>
  <si>
    <t>POLYMED</t>
  </si>
  <si>
    <t>PATELENG,</t>
  </si>
  <si>
    <t>Polycab India Ltd.</t>
  </si>
  <si>
    <t>POLYCAB</t>
  </si>
  <si>
    <t>ASTRAZEN,</t>
  </si>
  <si>
    <t>Polyplex Corporation Ltd.</t>
  </si>
  <si>
    <t>POLYPLEX</t>
  </si>
  <si>
    <t>521240,</t>
  </si>
  <si>
    <t>Polysil Irrigation Systems Ltd.</t>
  </si>
  <si>
    <t>POLYSIL</t>
  </si>
  <si>
    <t>RPSGVENT,</t>
  </si>
  <si>
    <t>Pondy Oxides &amp; Chemicals Ltd.</t>
  </si>
  <si>
    <t>POCL</t>
  </si>
  <si>
    <t>524210,</t>
  </si>
  <si>
    <t>Ponni Sugars (Erode) Ltd.</t>
  </si>
  <si>
    <t>PONNIERODE</t>
  </si>
  <si>
    <t>SWSOLAR,</t>
  </si>
  <si>
    <t>Poonawalla Fincorp Ltd.</t>
  </si>
  <si>
    <t>POONAWALLA</t>
  </si>
  <si>
    <t>POONAWALLA,</t>
  </si>
  <si>
    <t>Popular Vehicles &amp; Services Ltd.</t>
  </si>
  <si>
    <t>PVSL</t>
  </si>
  <si>
    <t>ALPSINDUS,</t>
  </si>
  <si>
    <t>Gabriel Pet Straps Ltd.</t>
  </si>
  <si>
    <t>GPSL</t>
  </si>
  <si>
    <t>POLYSIL,</t>
  </si>
  <si>
    <t>Rajeshwari Cans Ltd.</t>
  </si>
  <si>
    <t>RCAN</t>
  </si>
  <si>
    <t>539354,</t>
  </si>
  <si>
    <t>S.V.J. Enterprises Ltd.</t>
  </si>
  <si>
    <t>SVJ</t>
  </si>
  <si>
    <t>POCL,</t>
  </si>
  <si>
    <t>Positron Energy Ltd.</t>
  </si>
  <si>
    <t>POSITRON</t>
  </si>
  <si>
    <t>WCIL,</t>
  </si>
  <si>
    <t>Power &amp; Instrumentation (Gujarat) Ltd.</t>
  </si>
  <si>
    <t>PIGL</t>
  </si>
  <si>
    <t>GPECO,</t>
  </si>
  <si>
    <t>Anuroop Packaging Ltd.</t>
  </si>
  <si>
    <t>ANUROOP</t>
  </si>
  <si>
    <t>519359,</t>
  </si>
  <si>
    <t>Power Finance Corporation Ltd.</t>
  </si>
  <si>
    <t>PFC</t>
  </si>
  <si>
    <t>PFC,</t>
  </si>
  <si>
    <t>513460,</t>
  </si>
  <si>
    <t>GKP Printing &amp; Packaging Ltd.</t>
  </si>
  <si>
    <t>GKP</t>
  </si>
  <si>
    <t>530565,</t>
  </si>
  <si>
    <t>Kaira Can Company Ltd.</t>
  </si>
  <si>
    <t>KAIRA</t>
  </si>
  <si>
    <t>544259,</t>
  </si>
  <si>
    <t>Power Grid Corporation Of India Ltd.</t>
  </si>
  <si>
    <t>POWERGRID</t>
  </si>
  <si>
    <t>532404,</t>
  </si>
  <si>
    <t>Power Mech Projects Ltd.</t>
  </si>
  <si>
    <t>POWERMECH</t>
  </si>
  <si>
    <t>GULFPETRO,</t>
  </si>
  <si>
    <t>Synthiko Foils Ltd.</t>
  </si>
  <si>
    <t>SYNTHFO</t>
  </si>
  <si>
    <t>POSITRON,</t>
  </si>
  <si>
    <t>POWERGRID Infrastructure Investment Trust.</t>
  </si>
  <si>
    <t>PGINVIT</t>
  </si>
  <si>
    <t>PGINVIT,</t>
  </si>
  <si>
    <t>JLHL,</t>
  </si>
  <si>
    <t>PPAP Automotive Ltd.</t>
  </si>
  <si>
    <t>PPAP</t>
  </si>
  <si>
    <t>544072,</t>
  </si>
  <si>
    <t>Praj Industries Ltd.</t>
  </si>
  <si>
    <t>PRAJIND</t>
  </si>
  <si>
    <t>HIMATSEIDE,</t>
  </si>
  <si>
    <t>Prajay Engineers Syndicate Ltd.</t>
  </si>
  <si>
    <t>PRAENG</t>
  </si>
  <si>
    <t>513353,</t>
  </si>
  <si>
    <t>Prakash Industries Ltd.</t>
  </si>
  <si>
    <t>PRAKASH</t>
  </si>
  <si>
    <t>516108,</t>
  </si>
  <si>
    <t>Prakash Pipes Ltd.</t>
  </si>
  <si>
    <t>PPL</t>
  </si>
  <si>
    <t>SAIFL,</t>
  </si>
  <si>
    <t>Prakash Steelage Ltd.</t>
  </si>
  <si>
    <t>PRAKASHSTL</t>
  </si>
  <si>
    <t>SOUTHWEST,</t>
  </si>
  <si>
    <t>Retina Paints Ltd.</t>
  </si>
  <si>
    <t>RETINA</t>
  </si>
  <si>
    <t>513532,</t>
  </si>
  <si>
    <t>Pramara Promotions Ltd.</t>
  </si>
  <si>
    <t>PRAMARA</t>
  </si>
  <si>
    <t>Pranik Logistics Ltd.</t>
  </si>
  <si>
    <t>PRANIK</t>
  </si>
  <si>
    <t>PARAMOUNT,</t>
  </si>
  <si>
    <t>Prataap Snacks Ltd.</t>
  </si>
  <si>
    <t>DIAMONDYD</t>
  </si>
  <si>
    <t>531306,</t>
  </si>
  <si>
    <t>Pratham EPC Projects Ltd.</t>
  </si>
  <si>
    <t>PRATHAM</t>
  </si>
  <si>
    <t>533212,</t>
  </si>
  <si>
    <t>Praxis Home Retail Ltd.</t>
  </si>
  <si>
    <t>PRAXIS</t>
  </si>
  <si>
    <t>RAMANEWS,</t>
  </si>
  <si>
    <t>Precision Camshafts Ltd.</t>
  </si>
  <si>
    <t>PRECAM</t>
  </si>
  <si>
    <t>524288,</t>
  </si>
  <si>
    <t>Rama Paper Mills Ltd.</t>
  </si>
  <si>
    <t>RAMAPPR-B</t>
  </si>
  <si>
    <t>PRAKASHSTL,</t>
  </si>
  <si>
    <t>Precision Metaliks Ltd.</t>
  </si>
  <si>
    <t>PRECISION</t>
  </si>
  <si>
    <t>POLICYBZR,</t>
  </si>
  <si>
    <t>Agio Paper &amp; Industries Ltd.</t>
  </si>
  <si>
    <t>AGIOPAPER</t>
  </si>
  <si>
    <t>PRAMARA,</t>
  </si>
  <si>
    <t>Precision Wires India Ltd.</t>
  </si>
  <si>
    <t>PRECWIRE</t>
  </si>
  <si>
    <t>ASTRON,</t>
  </si>
  <si>
    <t>Precot Ltd.</t>
  </si>
  <si>
    <t>PRECOT</t>
  </si>
  <si>
    <t>538569,</t>
  </si>
  <si>
    <t>B&amp;A Packaging India Ltd.</t>
  </si>
  <si>
    <t>BAPACK</t>
  </si>
  <si>
    <t>DIAMONDYD,</t>
  </si>
  <si>
    <t>Premier Energies Ltd.</t>
  </si>
  <si>
    <t>PREMIERENE</t>
  </si>
  <si>
    <t>GANESHHOUC,</t>
  </si>
  <si>
    <t>Premier Explosives Ltd.</t>
  </si>
  <si>
    <t>PREMEXPLN</t>
  </si>
  <si>
    <t>543211,</t>
  </si>
  <si>
    <t>Cella Space Ltd.</t>
  </si>
  <si>
    <t>CELLA</t>
  </si>
  <si>
    <t>531257,</t>
  </si>
  <si>
    <t>Coral Newsprints Ltd.</t>
  </si>
  <si>
    <t>CORNE</t>
  </si>
  <si>
    <t>531637,</t>
  </si>
  <si>
    <t>Premier Ltd.</t>
  </si>
  <si>
    <t>PREMIER</t>
  </si>
  <si>
    <t>531979,</t>
  </si>
  <si>
    <t>Ganga Papers India Ltd.</t>
  </si>
  <si>
    <t>GANGAPA</t>
  </si>
  <si>
    <t>PRECAM,</t>
  </si>
  <si>
    <t>Premier Polyfilm Ltd.</t>
  </si>
  <si>
    <t>PREMIERPOL</t>
  </si>
  <si>
    <t>SAMHI,</t>
  </si>
  <si>
    <t>Hi-Tech Winding Systems Ltd.</t>
  </si>
  <si>
    <t>HITECHWIND</t>
  </si>
  <si>
    <t>PRECISION,</t>
  </si>
  <si>
    <t>Premier Roadlines Ltd.</t>
  </si>
  <si>
    <t>PRLIND</t>
  </si>
  <si>
    <t>530173,</t>
  </si>
  <si>
    <t>Kay Power and Paper Ltd.</t>
  </si>
  <si>
    <t>KAYPOWR</t>
  </si>
  <si>
    <t>PRECOT,</t>
  </si>
  <si>
    <t>Premium Plast Ltd.</t>
  </si>
  <si>
    <t>PREMIUM</t>
  </si>
  <si>
    <t>ATL,</t>
  </si>
  <si>
    <t>Presstonic Engineering Ltd.</t>
  </si>
  <si>
    <t>PRESSTONIC</t>
  </si>
  <si>
    <t>Prestige Estates Projects Ltd.</t>
  </si>
  <si>
    <t>PRESTIGE</t>
  </si>
  <si>
    <t>COFORGE,</t>
  </si>
  <si>
    <t>Mohit Paper Mills Ltd.</t>
  </si>
  <si>
    <t>MOHITPPR</t>
  </si>
  <si>
    <t>533100,</t>
  </si>
  <si>
    <t>Nath Industries Ltd.</t>
  </si>
  <si>
    <t>NATHIND</t>
  </si>
  <si>
    <t>PREMEXPLN,</t>
  </si>
  <si>
    <t>Pricol Ltd.</t>
  </si>
  <si>
    <t>PRICOLLTD</t>
  </si>
  <si>
    <t>AIMTRON,</t>
  </si>
  <si>
    <t>Prime Focus Ltd.</t>
  </si>
  <si>
    <t>PFOCUS</t>
  </si>
  <si>
    <t>IOC,</t>
  </si>
  <si>
    <t>Prime Securities Ltd.</t>
  </si>
  <si>
    <t>PRIMESECU</t>
  </si>
  <si>
    <t>PRIMESECU,</t>
  </si>
  <si>
    <t>Perfectpac Ltd.</t>
  </si>
  <si>
    <t>PERFEPA</t>
  </si>
  <si>
    <t>509835,</t>
  </si>
  <si>
    <t>Prince Pipes and Fittings Ltd.</t>
  </si>
  <si>
    <t>PRINCEPIPE</t>
  </si>
  <si>
    <t>543376,</t>
  </si>
  <si>
    <t>Prism Johnson Ltd.</t>
  </si>
  <si>
    <t>PRSMJOHNSN</t>
  </si>
  <si>
    <t>BBTCL,</t>
  </si>
  <si>
    <t>Saffron Industries Ltd.</t>
  </si>
  <si>
    <t>SAFFRON</t>
  </si>
  <si>
    <t>PRESSTONIC,</t>
  </si>
  <si>
    <t>Sangal Papers Ltd.</t>
  </si>
  <si>
    <t>SANPA</t>
  </si>
  <si>
    <t>526773,</t>
  </si>
  <si>
    <t>Priti International Ltd.</t>
  </si>
  <si>
    <t>PRITI</t>
  </si>
  <si>
    <t>ZYDUSLIFE,</t>
  </si>
  <si>
    <t>Scoobee Day Garments (India) Ltd.</t>
  </si>
  <si>
    <t>SCOOBEEDAY</t>
  </si>
  <si>
    <t>543363,</t>
  </si>
  <si>
    <t>Pritika Auto Industries Ltd.</t>
  </si>
  <si>
    <t>PRITIKAUTO</t>
  </si>
  <si>
    <t>544199,</t>
  </si>
  <si>
    <t>Shree Ajit Pulp &amp; Paper Ltd.</t>
  </si>
  <si>
    <t>SAPPL</t>
  </si>
  <si>
    <t>531246,</t>
  </si>
  <si>
    <t>Shree Karthik Papers Ltd.</t>
  </si>
  <si>
    <t>SHKARTP</t>
  </si>
  <si>
    <t>530589,</t>
  </si>
  <si>
    <t>Shree Krishna Paper Mills &amp; Industries Ltd.</t>
  </si>
  <si>
    <t>SKPMIL</t>
  </si>
  <si>
    <t>Pritika Engineering Components Ltd.</t>
  </si>
  <si>
    <t>PRITIKA</t>
  </si>
  <si>
    <t>GOLDTECH,</t>
  </si>
  <si>
    <t>Pritish Nandy Communications Ltd.</t>
  </si>
  <si>
    <t>PNC</t>
  </si>
  <si>
    <t>South India Paper Mills Ltd.</t>
  </si>
  <si>
    <t>STHINPA</t>
  </si>
  <si>
    <t>519299,</t>
  </si>
  <si>
    <t>Privi Speciality Chemicals Ltd.</t>
  </si>
  <si>
    <t>PRIVISCL</t>
  </si>
  <si>
    <t>BORORENEW,</t>
  </si>
  <si>
    <t>Prizor Viztech Ltd.</t>
  </si>
  <si>
    <t>PRIZOR</t>
  </si>
  <si>
    <t>GANESHIN,</t>
  </si>
  <si>
    <t>Superior Industrial Enterprises Ltd.</t>
  </si>
  <si>
    <t>SIEL</t>
  </si>
  <si>
    <t>521149,</t>
  </si>
  <si>
    <t>Procter &amp; Gamble Health Ltd.</t>
  </si>
  <si>
    <t>PGHL</t>
  </si>
  <si>
    <t>Tridev InfraEstates Ltd.</t>
  </si>
  <si>
    <t>ASHUTPM</t>
  </si>
  <si>
    <t>PRINCEPIPE,</t>
  </si>
  <si>
    <t>Vapi Enterprise Ltd.</t>
  </si>
  <si>
    <t>VAPIENTER</t>
  </si>
  <si>
    <t>PRSMJOHNSN,</t>
  </si>
  <si>
    <t>Procter &amp; Gamble Hygiene and Health Care Ltd.</t>
  </si>
  <si>
    <t>PGHH</t>
  </si>
  <si>
    <t>MONOPHARMA,</t>
  </si>
  <si>
    <t>Prolife Industries Ltd.</t>
  </si>
  <si>
    <t>PROLIFE</t>
  </si>
  <si>
    <t>542057,</t>
  </si>
  <si>
    <t>Subam Papers Ltd.</t>
  </si>
  <si>
    <t>SUBAM</t>
  </si>
  <si>
    <t>Three M Paper Boards Ltd.</t>
  </si>
  <si>
    <t>THREEMPAPE</t>
  </si>
  <si>
    <t>PRITI,</t>
  </si>
  <si>
    <t>Proventus Agrocom Ltd.</t>
  </si>
  <si>
    <t>PROV</t>
  </si>
  <si>
    <t>Prozone Realty Ltd.</t>
  </si>
  <si>
    <t>PROZONER</t>
  </si>
  <si>
    <t>COLPAL,</t>
  </si>
  <si>
    <t>Prudent Corporate Advisory Services Ltd.</t>
  </si>
  <si>
    <t>PRUDENT</t>
  </si>
  <si>
    <t>PRUDENT,</t>
  </si>
  <si>
    <t>LLOYDSENT,</t>
  </si>
  <si>
    <t>3B Blackbio Dx Ltd.</t>
  </si>
  <si>
    <t>3BBLACKBIO</t>
  </si>
  <si>
    <t>PRIVISCL,</t>
  </si>
  <si>
    <t>Aimco Pesticides Ltd.</t>
  </si>
  <si>
    <t>AIMCOPEST</t>
  </si>
  <si>
    <t>524580,</t>
  </si>
  <si>
    <t>Prudential Sugar Corporation Ltd.</t>
  </si>
  <si>
    <t>PRUDMOULI</t>
  </si>
  <si>
    <t>526500,</t>
  </si>
  <si>
    <t>PSP Projects Ltd.</t>
  </si>
  <si>
    <t>PSPPROJECT</t>
  </si>
  <si>
    <t>531210,</t>
  </si>
  <si>
    <t>PTC India Financial Services Ltd.</t>
  </si>
  <si>
    <t>PFS</t>
  </si>
  <si>
    <t>PFS,</t>
  </si>
  <si>
    <t>KIRLOSIND,</t>
  </si>
  <si>
    <t>PTC India Ltd.</t>
  </si>
  <si>
    <t>PTC</t>
  </si>
  <si>
    <t>512634,</t>
  </si>
  <si>
    <t>PTC Industries Ltd.</t>
  </si>
  <si>
    <t>PTCIL</t>
  </si>
  <si>
    <t>AUTOAXLES,</t>
  </si>
  <si>
    <t>PTL Enterprises Ltd.</t>
  </si>
  <si>
    <t>PTL</t>
  </si>
  <si>
    <t>ASHOKAMET,</t>
  </si>
  <si>
    <t>Bhaskar Agrochemicals Ltd.</t>
  </si>
  <si>
    <t>BHASKAGR</t>
  </si>
  <si>
    <t>526494,</t>
  </si>
  <si>
    <t>Pudumjee Paper Products Ltd.</t>
  </si>
  <si>
    <t>PDMJEPAPER</t>
  </si>
  <si>
    <t>PREMIUM,</t>
  </si>
  <si>
    <t>Pulz Electronics Ltd.</t>
  </si>
  <si>
    <t>PULZ</t>
  </si>
  <si>
    <t>FELDVR,</t>
  </si>
  <si>
    <t>Punjab &amp; Sind Bank</t>
  </si>
  <si>
    <t>PSB</t>
  </si>
  <si>
    <t>APCL,</t>
  </si>
  <si>
    <t>Punjab Chemicals &amp; Crop Protection Ltd.</t>
  </si>
  <si>
    <t>PUNJABCHEM</t>
  </si>
  <si>
    <t>Punjab National Bank</t>
  </si>
  <si>
    <t>PNB</t>
  </si>
  <si>
    <t>531223,</t>
  </si>
  <si>
    <t>Puravankara Ltd.</t>
  </si>
  <si>
    <t>PURVA</t>
  </si>
  <si>
    <t>540023,</t>
  </si>
  <si>
    <t>Purple United Sales Ltd.</t>
  </si>
  <si>
    <t>PURPLEUTED</t>
  </si>
  <si>
    <t>526981,</t>
  </si>
  <si>
    <t>Purv Flexipack Ltd.</t>
  </si>
  <si>
    <t>PURVFLEXI</t>
  </si>
  <si>
    <t>RRKABEL,</t>
  </si>
  <si>
    <t>Phyto Chem (India) Ltd.</t>
  </si>
  <si>
    <t>PHYTO</t>
  </si>
  <si>
    <t>505502,</t>
  </si>
  <si>
    <t>PVP Ventures Ltd.</t>
  </si>
  <si>
    <t>PVP</t>
  </si>
  <si>
    <t>PVR Inox Ltd.</t>
  </si>
  <si>
    <t>PVRINOX</t>
  </si>
  <si>
    <t>IRCTC,</t>
  </si>
  <si>
    <t>Pyramid Technoplast Ltd.</t>
  </si>
  <si>
    <t>PYRAMID</t>
  </si>
  <si>
    <t>532933,</t>
  </si>
  <si>
    <t>QMS Medical Allied Services Ltd.</t>
  </si>
  <si>
    <t>QMSMEDI</t>
  </si>
  <si>
    <t>VIVIDHA,</t>
  </si>
  <si>
    <t>Quadpro ITeS Ltd.</t>
  </si>
  <si>
    <t>QUADPRO</t>
  </si>
  <si>
    <t>APRAMEYA,</t>
  </si>
  <si>
    <t>Quality Foils (India) Ltd.</t>
  </si>
  <si>
    <t>QFIL</t>
  </si>
  <si>
    <t>SIS,</t>
  </si>
  <si>
    <t>Quess Corp Ltd.</t>
  </si>
  <si>
    <t>QUESS</t>
  </si>
  <si>
    <t>Super Crop Safe Ltd.</t>
  </si>
  <si>
    <t>SUCROSA</t>
  </si>
  <si>
    <t>PULZ,</t>
  </si>
  <si>
    <t>Transpek Industry Ltd.</t>
  </si>
  <si>
    <t>TRANSPEK</t>
  </si>
  <si>
    <t>Quest Laboratories Ltd.</t>
  </si>
  <si>
    <t>QUESTLAB</t>
  </si>
  <si>
    <t>543460,</t>
  </si>
  <si>
    <t>Greenhitech Ventures Ltd.</t>
  </si>
  <si>
    <t>GVL</t>
  </si>
  <si>
    <t>500346,</t>
  </si>
  <si>
    <t>Quick Heal Technologies Ltd.</t>
  </si>
  <si>
    <t>QUICKHEAL</t>
  </si>
  <si>
    <t>NIBL,</t>
  </si>
  <si>
    <t>Hindustan Fluorocarbons Ltd.</t>
  </si>
  <si>
    <t>HINFLUR</t>
  </si>
  <si>
    <t>PURVA,</t>
  </si>
  <si>
    <t>Quicktouch Technologies Ltd.</t>
  </si>
  <si>
    <t>QUICKTOUCH</t>
  </si>
  <si>
    <t>500298,</t>
  </si>
  <si>
    <t>Multibase India Ltd.</t>
  </si>
  <si>
    <t>MULTIBASE</t>
  </si>
  <si>
    <t>540159,</t>
  </si>
  <si>
    <t>Quintegra Solutions Ltd.</t>
  </si>
  <si>
    <t>QUINTEGRA</t>
  </si>
  <si>
    <t>526723,</t>
  </si>
  <si>
    <t>SVC Industries Ltd.</t>
  </si>
  <si>
    <t>SVCIND</t>
  </si>
  <si>
    <t>PURPLEUTED,</t>
  </si>
  <si>
    <t>QVC Exports Ltd.</t>
  </si>
  <si>
    <t>QVCEL</t>
  </si>
  <si>
    <t>WESTLIFE,</t>
  </si>
  <si>
    <t>R Systems International Ltd.</t>
  </si>
  <si>
    <t>RSYSTEMS</t>
  </si>
  <si>
    <t>NTPCGREEN,</t>
  </si>
  <si>
    <t>Nexxus Petro Industries Ltd.</t>
  </si>
  <si>
    <t>NEXXUS</t>
  </si>
  <si>
    <t>PVRINOX,</t>
  </si>
  <si>
    <t>Bharat Immunologicals &amp; Biologicals Corporation Ltd.</t>
  </si>
  <si>
    <t>BIBCL</t>
  </si>
  <si>
    <t>536659,</t>
  </si>
  <si>
    <t>R.P.P. Infra Projects Ltd.</t>
  </si>
  <si>
    <t>RPPINFRA</t>
  </si>
  <si>
    <t>COMSYN,</t>
  </si>
  <si>
    <t>Race Eco Chain Ltd.</t>
  </si>
  <si>
    <t>RACE</t>
  </si>
  <si>
    <t>519463,</t>
  </si>
  <si>
    <t>Brawn Biotech Ltd.</t>
  </si>
  <si>
    <t>BRAWN</t>
  </si>
  <si>
    <t>QMSMEDI,</t>
  </si>
  <si>
    <t>Cian Healthcare Ltd.</t>
  </si>
  <si>
    <t>CHCL</t>
  </si>
  <si>
    <t>QUADPRO,</t>
  </si>
  <si>
    <t>Fabino Enterprises Ltd.</t>
  </si>
  <si>
    <t>FABINO</t>
  </si>
  <si>
    <t>511116,</t>
  </si>
  <si>
    <t>Rachana Infrastructure Ltd.</t>
  </si>
  <si>
    <t>RILINFRA</t>
  </si>
  <si>
    <t>RACL Geartech Ltd.</t>
  </si>
  <si>
    <t>RACLGEAR</t>
  </si>
  <si>
    <t>AIRAN,</t>
  </si>
  <si>
    <t>Radaan Mediaworks India Ltd.</t>
  </si>
  <si>
    <t>RADAAN</t>
  </si>
  <si>
    <t>Radhika Jeweltech Ltd.</t>
  </si>
  <si>
    <t>RADHIKAJWE</t>
  </si>
  <si>
    <t>DYNPRO,</t>
  </si>
  <si>
    <t>Radiant Cash Management Services Ltd.</t>
  </si>
  <si>
    <t>RADIANTCMS</t>
  </si>
  <si>
    <t>RADIANTCMS,</t>
  </si>
  <si>
    <t>502901,</t>
  </si>
  <si>
    <t>Shelter Pharma Ltd.</t>
  </si>
  <si>
    <t>SHELTER</t>
  </si>
  <si>
    <t>538452,</t>
  </si>
  <si>
    <t>Shree Ganesh Remedies Ltd.</t>
  </si>
  <si>
    <t>SGRL</t>
  </si>
  <si>
    <t>QUESS,</t>
  </si>
  <si>
    <t>Radico Khaitan Ltd.</t>
  </si>
  <si>
    <t>RADICO</t>
  </si>
  <si>
    <t>522134,</t>
  </si>
  <si>
    <t>Sudarshan Pharma Industries Ltd.</t>
  </si>
  <si>
    <t>SUDARSHAN</t>
  </si>
  <si>
    <t>QUESTLAB,</t>
  </si>
  <si>
    <t>Trident Lifeline Ltd.</t>
  </si>
  <si>
    <t>TLL</t>
  </si>
  <si>
    <t>QUICKHEAL,</t>
  </si>
  <si>
    <t>Radiowalla Network Ltd.</t>
  </si>
  <si>
    <t>RADIOWALLA</t>
  </si>
  <si>
    <t>507265,</t>
  </si>
  <si>
    <t>Raghav Productivity Enhancers Ltd.</t>
  </si>
  <si>
    <t>RPEL</t>
  </si>
  <si>
    <t>524808,</t>
  </si>
  <si>
    <t>Rail Vikas Nigam Ltd.</t>
  </si>
  <si>
    <t>RVNL</t>
  </si>
  <si>
    <t>GPTINFRA,</t>
  </si>
  <si>
    <t>Railtel Corporation Of India Ltd.</t>
  </si>
  <si>
    <t>RAILTEL</t>
  </si>
  <si>
    <t>530677,</t>
  </si>
  <si>
    <t>Rain Industries Ltd.</t>
  </si>
  <si>
    <t>RAIN</t>
  </si>
  <si>
    <t>Rainbow Children's Medicare Ltd.</t>
  </si>
  <si>
    <t>RAINBOW</t>
  </si>
  <si>
    <t>512267,</t>
  </si>
  <si>
    <t>Aayush Wellness Ltd.</t>
  </si>
  <si>
    <t>AAYUSH</t>
  </si>
  <si>
    <t>538119,</t>
  </si>
  <si>
    <t>Raj Oil Mills Ltd.</t>
  </si>
  <si>
    <t>ROML</t>
  </si>
  <si>
    <t>543595,</t>
  </si>
  <si>
    <t>Raj Rayon Industries Ltd.</t>
  </si>
  <si>
    <t>RAJRILTD</t>
  </si>
  <si>
    <t>TITAGARH,</t>
  </si>
  <si>
    <t>Raj Television Network Ltd.</t>
  </si>
  <si>
    <t>RAJTV</t>
  </si>
  <si>
    <t>YATHARTH,</t>
  </si>
  <si>
    <t>Rajdarshan Industries Ltd.</t>
  </si>
  <si>
    <t>ARENTERP</t>
  </si>
  <si>
    <t>PIIND,</t>
  </si>
  <si>
    <t>Rajesh Exports Ltd.</t>
  </si>
  <si>
    <t>RAJESHEXPO</t>
  </si>
  <si>
    <t>EFACTOR,</t>
  </si>
  <si>
    <t>Rajgor Castor Derivatives Ltd.</t>
  </si>
  <si>
    <t>RCDL</t>
  </si>
  <si>
    <t>540615,</t>
  </si>
  <si>
    <t>Rajnandini Metal Ltd.</t>
  </si>
  <si>
    <t>RAJMET</t>
  </si>
  <si>
    <t>PERFECT,</t>
  </si>
  <si>
    <t>Rajputana Biodiesel Ltd.</t>
  </si>
  <si>
    <t>PNGJL,</t>
  </si>
  <si>
    <t>Rajputana Industries Ltd.</t>
  </si>
  <si>
    <t>RAJINDLTD</t>
  </si>
  <si>
    <t>PGEL,</t>
  </si>
  <si>
    <t>Ambalal Sarabhai Enterprises Ltd.</t>
  </si>
  <si>
    <t>AMBALALSA</t>
  </si>
  <si>
    <t>Rajratan Global Wire Ltd.</t>
  </si>
  <si>
    <t>RAJRATAN</t>
  </si>
  <si>
    <t>AIROLAM,</t>
  </si>
  <si>
    <t>Rajshree Polypack Ltd.</t>
  </si>
  <si>
    <t>RPPL</t>
  </si>
  <si>
    <t>543229,</t>
  </si>
  <si>
    <t>ANG Lifesciences India Ltd.</t>
  </si>
  <si>
    <t>ANG</t>
  </si>
  <si>
    <t>531412,</t>
  </si>
  <si>
    <t>Rajshree Sugars &amp; Chemicals Ltd.</t>
  </si>
  <si>
    <t>RAJSREESUG</t>
  </si>
  <si>
    <t>513575,</t>
  </si>
  <si>
    <t>Rallis India Ltd.</t>
  </si>
  <si>
    <t>RALLIS</t>
  </si>
  <si>
    <t>PTC,</t>
  </si>
  <si>
    <t>Auro Laboratories Ltd.</t>
  </si>
  <si>
    <t>AUROLAB</t>
  </si>
  <si>
    <t>514316,</t>
  </si>
  <si>
    <t>Ram Ratna Wires Ltd.</t>
  </si>
  <si>
    <t>RAMRAT</t>
  </si>
  <si>
    <t>521062,</t>
  </si>
  <si>
    <t>Bacil Pharma Ltd.</t>
  </si>
  <si>
    <t>BACPHAR</t>
  </si>
  <si>
    <t>RAILTEL,</t>
  </si>
  <si>
    <t>Rama Phosphates Ltd.</t>
  </si>
  <si>
    <t>RAMAPHO</t>
  </si>
  <si>
    <t>IKIO,</t>
  </si>
  <si>
    <t>Rama Steel Tubes Ltd.</t>
  </si>
  <si>
    <t>RAMASTEEL</t>
  </si>
  <si>
    <t>514454,</t>
  </si>
  <si>
    <t>Ramco Industries Ltd.</t>
  </si>
  <si>
    <t>RAMCOIND</t>
  </si>
  <si>
    <t>531268,</t>
  </si>
  <si>
    <t>Ramco Systems Ltd.</t>
  </si>
  <si>
    <t>RAMCOSYS</t>
  </si>
  <si>
    <t>NUCLEUS,</t>
  </si>
  <si>
    <t>Bandaram Pharma Packtech Ltd.</t>
  </si>
  <si>
    <t>BANDARAM</t>
  </si>
  <si>
    <t>530111,</t>
  </si>
  <si>
    <t>BDH Industries Ltd.</t>
  </si>
  <si>
    <t>BDH</t>
  </si>
  <si>
    <t>RAJRILTD,</t>
  </si>
  <si>
    <t>Beryl Drugs Ltd.</t>
  </si>
  <si>
    <t>BERLDRG</t>
  </si>
  <si>
    <t>RAJTV,</t>
  </si>
  <si>
    <t>Bharat Parenterals Ltd.</t>
  </si>
  <si>
    <t>BPLPHARMA</t>
  </si>
  <si>
    <t>503127,</t>
  </si>
  <si>
    <t>Ramdevbaba Solvent Ltd.</t>
  </si>
  <si>
    <t>RBS</t>
  </si>
  <si>
    <t>SIKKO,</t>
  </si>
  <si>
    <t>Ramkrishna Forgings Ltd.</t>
  </si>
  <si>
    <t>RKFORGE</t>
  </si>
  <si>
    <t>MANGALAM,</t>
  </si>
  <si>
    <t>Ramky Infrastructure Ltd.</t>
  </si>
  <si>
    <t>RAMKY</t>
  </si>
  <si>
    <t>GRINFRA,</t>
  </si>
  <si>
    <t>Rana Sugars Ltd.</t>
  </si>
  <si>
    <t>RANASUG</t>
  </si>
  <si>
    <t>STERTOOLS,</t>
  </si>
  <si>
    <t>Rane (Madras) Ltd.</t>
  </si>
  <si>
    <t>RML</t>
  </si>
  <si>
    <t>AJANTPHARM,</t>
  </si>
  <si>
    <t>Rane Brake Lining Ltd.</t>
  </si>
  <si>
    <t>RBL</t>
  </si>
  <si>
    <t>519216,</t>
  </si>
  <si>
    <t>Chemo-Pharma Laboratories Ltd.</t>
  </si>
  <si>
    <t>CHEMOPH</t>
  </si>
  <si>
    <t>544291,</t>
  </si>
  <si>
    <t>Rane Engine Valve Ltd.</t>
  </si>
  <si>
    <t>RANEENGINE</t>
  </si>
  <si>
    <t>Colinz Laboratories Ltd.</t>
  </si>
  <si>
    <t>COLINZ</t>
  </si>
  <si>
    <t>526823,</t>
  </si>
  <si>
    <t>Rane Holdings Ltd.</t>
  </si>
  <si>
    <t>RANEHOLDIN</t>
  </si>
  <si>
    <t>RANEHOLDIN,</t>
  </si>
  <si>
    <t>IVP,</t>
  </si>
  <si>
    <t>Concord Drugs Ltd.</t>
  </si>
  <si>
    <t>CONCORD</t>
  </si>
  <si>
    <t>514028,</t>
  </si>
  <si>
    <t>Coral Laboratories Ltd.</t>
  </si>
  <si>
    <t>CORALAB</t>
  </si>
  <si>
    <t>Deccan Health Care Ltd.</t>
  </si>
  <si>
    <t>DECCAN</t>
  </si>
  <si>
    <t>RAJMET,</t>
  </si>
  <si>
    <t>Decipher Labs Ltd.</t>
  </si>
  <si>
    <t>DECIPHER</t>
  </si>
  <si>
    <t>530525,</t>
  </si>
  <si>
    <t>Denis Chem Lab Ltd.</t>
  </si>
  <si>
    <t>DENISCHEM</t>
  </si>
  <si>
    <t>541601,</t>
  </si>
  <si>
    <t>Rappid Valves (India) Ltd.</t>
  </si>
  <si>
    <t>RAPPID</t>
  </si>
  <si>
    <t>Rashi Peripherals Ltd.</t>
  </si>
  <si>
    <t>RPTECH</t>
  </si>
  <si>
    <t>VPRPL,</t>
  </si>
  <si>
    <t>Rashtriya Chemicals and Fertilizers Ltd.</t>
  </si>
  <si>
    <t>RCF</t>
  </si>
  <si>
    <t>IL&amp;FSENGG,</t>
  </si>
  <si>
    <t>Emmessar Biotech &amp; Nutrition Ltd.</t>
  </si>
  <si>
    <t>EMMESSA</t>
  </si>
  <si>
    <t>RateGain Travel Technologies Ltd.</t>
  </si>
  <si>
    <t>RATEGAIN</t>
  </si>
  <si>
    <t>NRL,</t>
  </si>
  <si>
    <t>Everest Organics Ltd.</t>
  </si>
  <si>
    <t>EVERESTO</t>
  </si>
  <si>
    <t>RPPL,</t>
  </si>
  <si>
    <t>Ratnamani Metals &amp; Tubes Ltd.</t>
  </si>
  <si>
    <t>RATNAMANI</t>
  </si>
  <si>
    <t>523826,</t>
  </si>
  <si>
    <t>Fermenta Biotech Ltd.</t>
  </si>
  <si>
    <t>FERMENTA</t>
  </si>
  <si>
    <t>RALLIS,</t>
  </si>
  <si>
    <t>Fredun Pharmaceuticals Ltd.</t>
  </si>
  <si>
    <t>FREDUN</t>
  </si>
  <si>
    <t>530951,</t>
  </si>
  <si>
    <t>Gennex Laboratories Ltd.</t>
  </si>
  <si>
    <t>GENNEX</t>
  </si>
  <si>
    <t>RAMRAT,</t>
  </si>
  <si>
    <t>Ratnaveer Precision Engineering Ltd.</t>
  </si>
  <si>
    <t>RATNAVEER</t>
  </si>
  <si>
    <t>RattanIndia Enterprises Ltd.</t>
  </si>
  <si>
    <t>RTNINDIA</t>
  </si>
  <si>
    <t>SHANTIGEAR,</t>
  </si>
  <si>
    <t>RattanIndia Power Ltd.</t>
  </si>
  <si>
    <t>RTNPOWER</t>
  </si>
  <si>
    <t>SOTL,</t>
  </si>
  <si>
    <t>Godavari Drugs Ltd.</t>
  </si>
  <si>
    <t>GODAVARI</t>
  </si>
  <si>
    <t>523289,</t>
  </si>
  <si>
    <t>Ravi Kumar Distilleries Ltd.</t>
  </si>
  <si>
    <t>RKDL</t>
  </si>
  <si>
    <t>500016,</t>
  </si>
  <si>
    <t>Ravinder Heights Ltd.</t>
  </si>
  <si>
    <t>RVHL</t>
  </si>
  <si>
    <t>543921,</t>
  </si>
  <si>
    <t>Gujarat Inject (Kerala) Ltd.</t>
  </si>
  <si>
    <t>GUJINJEC</t>
  </si>
  <si>
    <t>RAMCOIND,</t>
  </si>
  <si>
    <t>Gujarat Terce Laboratories Ltd.</t>
  </si>
  <si>
    <t>GUJTERC</t>
  </si>
  <si>
    <t>RAMCOSYS,</t>
  </si>
  <si>
    <t>Gujarat Themis Biosyn Ltd.</t>
  </si>
  <si>
    <t>GUJTHEM</t>
  </si>
  <si>
    <t>RBS,</t>
  </si>
  <si>
    <t>Hemo Organic Ltd.</t>
  </si>
  <si>
    <t>HEMORGANIC</t>
  </si>
  <si>
    <t>514223,</t>
  </si>
  <si>
    <t>Ravindra Energy Ltd.</t>
  </si>
  <si>
    <t>RELTD</t>
  </si>
  <si>
    <t>531893,</t>
  </si>
  <si>
    <t>Raymond Lifestyle Ltd.</t>
  </si>
  <si>
    <t>RAYMONDLSL</t>
  </si>
  <si>
    <t>THYROCARE,</t>
  </si>
  <si>
    <t>Hindustan Bio Sciences Ltd.</t>
  </si>
  <si>
    <t>HINDBIO</t>
  </si>
  <si>
    <t>Raymond Ltd.</t>
  </si>
  <si>
    <t>RAYMOND</t>
  </si>
  <si>
    <t>UMANGDAIRY,</t>
  </si>
  <si>
    <t>RBL Bank Ltd.</t>
  </si>
  <si>
    <t>RBLBANK</t>
  </si>
  <si>
    <t>535719,</t>
  </si>
  <si>
    <t>RBM Infracon Ltd.</t>
  </si>
  <si>
    <t>RBMINFRA</t>
  </si>
  <si>
    <t>RBZ Jewellers Ltd.</t>
  </si>
  <si>
    <t>RBZJEWEL</t>
  </si>
  <si>
    <t>532820,</t>
  </si>
  <si>
    <t>REC Ltd.</t>
  </si>
  <si>
    <t>RECLTD</t>
  </si>
  <si>
    <t>RECLTD,</t>
  </si>
  <si>
    <t>Redington Ltd.</t>
  </si>
  <si>
    <t>REDINGTON</t>
  </si>
  <si>
    <t>VISHNUINFR,</t>
  </si>
  <si>
    <t>Ishita Drugs &amp; Industries Ltd.</t>
  </si>
  <si>
    <t>ISHITADR</t>
  </si>
  <si>
    <t>531583,</t>
  </si>
  <si>
    <t>Redtape Ltd.</t>
  </si>
  <si>
    <t>REDTAPE</t>
  </si>
  <si>
    <t>RENUKA,</t>
  </si>
  <si>
    <t>Refex Industries Ltd.</t>
  </si>
  <si>
    <t>REFEX</t>
  </si>
  <si>
    <t>526143,</t>
  </si>
  <si>
    <t>Jenburkt Pharmaceuticals Ltd.</t>
  </si>
  <si>
    <t>JENBURPH</t>
  </si>
  <si>
    <t>544237,</t>
  </si>
  <si>
    <t>Refractory Shapes Ltd.</t>
  </si>
  <si>
    <t>REFRACTORY</t>
  </si>
  <si>
    <t>526839,</t>
  </si>
  <si>
    <t>Kerala Ayurveda Ltd.</t>
  </si>
  <si>
    <t>KERALAYUR</t>
  </si>
  <si>
    <t>522207,</t>
  </si>
  <si>
    <t>Regency Ceramics Ltd.</t>
  </si>
  <si>
    <t>REGENCERAM</t>
  </si>
  <si>
    <t>Kimia Biosciences Ltd.</t>
  </si>
  <si>
    <t>KIMIABL</t>
  </si>
  <si>
    <t>RCF,</t>
  </si>
  <si>
    <t>Relaxo Footwears Ltd.</t>
  </si>
  <si>
    <t>RELAXO</t>
  </si>
  <si>
    <t>MANINDS,</t>
  </si>
  <si>
    <t>Reliable Data Services Ltd.</t>
  </si>
  <si>
    <t>RELIABLE</t>
  </si>
  <si>
    <t>NURECA,</t>
  </si>
  <si>
    <t>Kwality Pharmaceuticals Ltd.</t>
  </si>
  <si>
    <t>KPL</t>
  </si>
  <si>
    <t>532918,</t>
  </si>
  <si>
    <t>Lactose (India) Ltd.</t>
  </si>
  <si>
    <t>LACTOSE</t>
  </si>
  <si>
    <t>504903,</t>
  </si>
  <si>
    <t>Reliance Capital Ltd.</t>
  </si>
  <si>
    <t>RELCAPITAL</t>
  </si>
  <si>
    <t>RELCAPITAL,</t>
  </si>
  <si>
    <t>KANANIIND,</t>
  </si>
  <si>
    <t>Reliance Chemotex Industries Ltd.</t>
  </si>
  <si>
    <t>RELCHEMQ</t>
  </si>
  <si>
    <t>Reliance Communications Ltd.</t>
  </si>
  <si>
    <t>RCOM</t>
  </si>
  <si>
    <t>SUPREMEIND,</t>
  </si>
  <si>
    <t>Link Pharma Chem Ltd.</t>
  </si>
  <si>
    <t>LINKPH</t>
  </si>
  <si>
    <t>RTNINDIA,</t>
  </si>
  <si>
    <t>Reliance Home Finance Ltd.</t>
  </si>
  <si>
    <t>RHFL</t>
  </si>
  <si>
    <t>RHFL,</t>
  </si>
  <si>
    <t>IGL,</t>
  </si>
  <si>
    <t>Reliance Industrial Infrastructure Ltd.</t>
  </si>
  <si>
    <t>RIIL</t>
  </si>
  <si>
    <t>504369,</t>
  </si>
  <si>
    <t>Makers Laboratories Ltd.</t>
  </si>
  <si>
    <t>MAKERSL</t>
  </si>
  <si>
    <t>RKDL,</t>
  </si>
  <si>
    <t>Reliance Industries Ltd.</t>
  </si>
  <si>
    <t>RELIANCE</t>
  </si>
  <si>
    <t>SHEKHAWATI,</t>
  </si>
  <si>
    <t>Reliance Infrastructure Ltd.</t>
  </si>
  <si>
    <t>RELINFRA</t>
  </si>
  <si>
    <t>544090,</t>
  </si>
  <si>
    <t>Reliance Power Ltd.</t>
  </si>
  <si>
    <t>RPOWER</t>
  </si>
  <si>
    <t>544080,</t>
  </si>
  <si>
    <t>Religare Enterprises Ltd.</t>
  </si>
  <si>
    <t>RELIGARE</t>
  </si>
  <si>
    <t>RELIGARE,</t>
  </si>
  <si>
    <t>JINDRILL,</t>
  </si>
  <si>
    <t>Remsons Industries Ltd.</t>
  </si>
  <si>
    <t>REMSONSIND</t>
  </si>
  <si>
    <t>AJOONI,</t>
  </si>
  <si>
    <t>Remus Pharmaceuticals Ltd.</t>
  </si>
  <si>
    <t>REMUS</t>
  </si>
  <si>
    <t>538596,</t>
  </si>
  <si>
    <t>Mercury Laboratories Ltd.</t>
  </si>
  <si>
    <t>MERCURYLAB</t>
  </si>
  <si>
    <t>Renaissance Global Ltd.</t>
  </si>
  <si>
    <t>RGL</t>
  </si>
  <si>
    <t>EIDPARRY,</t>
  </si>
  <si>
    <t>Murae Organisor Ltd.</t>
  </si>
  <si>
    <t>MURAE</t>
  </si>
  <si>
    <t>RBZJEWEL,</t>
  </si>
  <si>
    <t>Repco Home Finance Ltd.</t>
  </si>
  <si>
    <t>REPCOHOME</t>
  </si>
  <si>
    <t>REPCOHOME,</t>
  </si>
  <si>
    <t>526445,</t>
  </si>
  <si>
    <t>Natural Capsules Ltd.</t>
  </si>
  <si>
    <t>NATCAPSUQ</t>
  </si>
  <si>
    <t>533608,</t>
  </si>
  <si>
    <t>Repro India Ltd.</t>
  </si>
  <si>
    <t>REPRO</t>
  </si>
  <si>
    <t>SESHAPAPER,</t>
  </si>
  <si>
    <t>Responsive Industries Ltd.</t>
  </si>
  <si>
    <t>RESPONIND</t>
  </si>
  <si>
    <t>539267,</t>
  </si>
  <si>
    <t>Restaurant Brands Asia Ltd.</t>
  </si>
  <si>
    <t>RBA</t>
  </si>
  <si>
    <t>SCI,</t>
  </si>
  <si>
    <t>Norris Medicines Ltd.</t>
  </si>
  <si>
    <t>NORRIS</t>
  </si>
  <si>
    <t>REDTAPE,</t>
  </si>
  <si>
    <t>Novartis India Ltd.</t>
  </si>
  <si>
    <t>NOVARTIND</t>
  </si>
  <si>
    <t>REFEX,</t>
  </si>
  <si>
    <t>Revathi Equipment India Ltd.</t>
  </si>
  <si>
    <t>RVTH</t>
  </si>
  <si>
    <t>HOMESFY,</t>
  </si>
  <si>
    <t>REX Pipes and Cables Industries Ltd.</t>
  </si>
  <si>
    <t>REXPIPES</t>
  </si>
  <si>
    <t>Oxygenta Pharmaceutical Ltd.</t>
  </si>
  <si>
    <t>OXYGENTAPH</t>
  </si>
  <si>
    <t>REGENCERAM,</t>
  </si>
  <si>
    <t>RHI Magnesita India Ltd.</t>
  </si>
  <si>
    <t>RHIM</t>
  </si>
  <si>
    <t>531201,</t>
  </si>
  <si>
    <t>Panchsheel Organics Ltd.</t>
  </si>
  <si>
    <t>PANCHSHEEL</t>
  </si>
  <si>
    <t>512624,</t>
  </si>
  <si>
    <t>Panjon Ltd.</t>
  </si>
  <si>
    <t>PANJON</t>
  </si>
  <si>
    <t>Parmax Pharma Ltd.</t>
  </si>
  <si>
    <t>PARMAX</t>
  </si>
  <si>
    <t>RELAXO,</t>
  </si>
  <si>
    <t>Parnax Lab Ltd.</t>
  </si>
  <si>
    <t>PARNAXLAB</t>
  </si>
  <si>
    <t>RELIABLE,</t>
  </si>
  <si>
    <t>Richa Info Systems Ltd.</t>
  </si>
  <si>
    <t>RICHA</t>
  </si>
  <si>
    <t>FLFL,</t>
  </si>
  <si>
    <t>Phaarmasia Ltd.</t>
  </si>
  <si>
    <t>PHRMASI</t>
  </si>
  <si>
    <t>Pharmaids Pharmaceuticals Ltd.</t>
  </si>
  <si>
    <t>PHARMAID</t>
  </si>
  <si>
    <t>RELCHEMQ,</t>
  </si>
  <si>
    <t>Rico Auto Industries Ltd.</t>
  </si>
  <si>
    <t>RICOAUTO</t>
  </si>
  <si>
    <t>Rishabh Instruments Ltd.</t>
  </si>
  <si>
    <t>RISHABH</t>
  </si>
  <si>
    <t>532379,</t>
  </si>
  <si>
    <t>Rajnish Wellness Ltd.</t>
  </si>
  <si>
    <t>RAJNISH</t>
  </si>
  <si>
    <t>RIIL,</t>
  </si>
  <si>
    <t>Roopa Industries Ltd.</t>
  </si>
  <si>
    <t>ROOPAIND</t>
  </si>
  <si>
    <t>RELIANCE,</t>
  </si>
  <si>
    <t>Ritco Logistics Ltd.</t>
  </si>
  <si>
    <t>RITCO</t>
  </si>
  <si>
    <t>504093,</t>
  </si>
  <si>
    <t>Rite Zone Chemcon India Ltd.</t>
  </si>
  <si>
    <t>RITEZONE</t>
  </si>
  <si>
    <t>524828,</t>
  </si>
  <si>
    <t>Samrat Pharmachem Ltd.</t>
  </si>
  <si>
    <t>SAMRATPH</t>
  </si>
  <si>
    <t>Sandu Pharmaceuticals Ltd.</t>
  </si>
  <si>
    <t>SANDUPHQ</t>
  </si>
  <si>
    <t>539760,</t>
  </si>
  <si>
    <t>Sanjivani Paranteral Ltd.</t>
  </si>
  <si>
    <t>SANJIVIN</t>
  </si>
  <si>
    <t>Rites Ltd.</t>
  </si>
  <si>
    <t>RITES</t>
  </si>
  <si>
    <t>RK Swamy Ltd.</t>
  </si>
  <si>
    <t>RKSWAMY</t>
  </si>
  <si>
    <t>Shamrock Industrial Company Ltd.</t>
  </si>
  <si>
    <t>SHAMROIN</t>
  </si>
  <si>
    <t>REMSONSIND,</t>
  </si>
  <si>
    <t>RKEC Projects Ltd.</t>
  </si>
  <si>
    <t>RKEC</t>
  </si>
  <si>
    <t>GRANULES,</t>
  </si>
  <si>
    <t>Shukra Pharmaceuticals Ltd.</t>
  </si>
  <si>
    <t>SHUKRAPHAR</t>
  </si>
  <si>
    <t>RGL,</t>
  </si>
  <si>
    <t>Smruthi Organics Ltd.</t>
  </si>
  <si>
    <t>SMRUTHIORG</t>
  </si>
  <si>
    <t>RM Drip and Sprinklers System Ltd.</t>
  </si>
  <si>
    <t>RMDRIP</t>
  </si>
  <si>
    <t>506858,</t>
  </si>
  <si>
    <t>RNFI Services Ltd.</t>
  </si>
  <si>
    <t>RNFI</t>
  </si>
  <si>
    <t>MAHLIFE,</t>
  </si>
  <si>
    <t>Robust Hotels Ltd.</t>
  </si>
  <si>
    <t>RHL</t>
  </si>
  <si>
    <t>507621,</t>
  </si>
  <si>
    <t>Source Natural Foods and Herbal Supplements Ltd.</t>
  </si>
  <si>
    <t>SOURCENTRL</t>
  </si>
  <si>
    <t>538273,</t>
  </si>
  <si>
    <t>Rockingdeals Circular Economy Ltd.</t>
  </si>
  <si>
    <t>ROCKINGDCE</t>
  </si>
  <si>
    <t>521131,</t>
  </si>
  <si>
    <t>Sun Pharma Advanced Research Company Ltd.</t>
  </si>
  <si>
    <t>SPARC</t>
  </si>
  <si>
    <t>RBA,</t>
  </si>
  <si>
    <t>Rolex Rings Ltd</t>
  </si>
  <si>
    <t>ROLEXRINGS</t>
  </si>
  <si>
    <t>APCOTEXIND,</t>
  </si>
  <si>
    <t>Rollatainers Ltd.</t>
  </si>
  <si>
    <t>ROLLT</t>
  </si>
  <si>
    <t>509895,</t>
  </si>
  <si>
    <t>Rolta India Ltd.</t>
  </si>
  <si>
    <t>ROLTA</t>
  </si>
  <si>
    <t>Rossari Biotech Ltd.</t>
  </si>
  <si>
    <t>ROSSARI</t>
  </si>
  <si>
    <t>BOSCHLTD,</t>
  </si>
  <si>
    <t>Rossell India Ltd.</t>
  </si>
  <si>
    <t>ROSSELLIND</t>
  </si>
  <si>
    <t>Rossell Techsys Ltd.</t>
  </si>
  <si>
    <t>ROSSTECH</t>
  </si>
  <si>
    <t>DOLLAR,</t>
  </si>
  <si>
    <t>Syschem (India) Ltd.</t>
  </si>
  <si>
    <t>SYSCHEM</t>
  </si>
  <si>
    <t>Roto Pumps Ltd.</t>
  </si>
  <si>
    <t>ROTO</t>
  </si>
  <si>
    <t>CARBORUNIV,</t>
  </si>
  <si>
    <t>Route Mobile Ltd.</t>
  </si>
  <si>
    <t>ROUTE</t>
  </si>
  <si>
    <t>Rox Hi-Tech Ltd.</t>
  </si>
  <si>
    <t>ROXHITECH</t>
  </si>
  <si>
    <t>NACLIND,</t>
  </si>
  <si>
    <t>Tyche Industries Ltd.</t>
  </si>
  <si>
    <t>TYCHE</t>
  </si>
  <si>
    <t>Royal Orchid Hotels Ltd.</t>
  </si>
  <si>
    <t>ROHLTD</t>
  </si>
  <si>
    <t>MILTON,</t>
  </si>
  <si>
    <t>Unick Fix-A-Form And Printers Ltd.</t>
  </si>
  <si>
    <t>UNICK</t>
  </si>
  <si>
    <t>RICHA,</t>
  </si>
  <si>
    <t>Unjha Formulations Ltd.</t>
  </si>
  <si>
    <t>UNJHAFOR</t>
  </si>
  <si>
    <t>RPG Life Sciences Ltd.</t>
  </si>
  <si>
    <t>RPGLIFE</t>
  </si>
  <si>
    <t>RELINFRA,</t>
  </si>
  <si>
    <t>RPSG Ventures Ltd.</t>
  </si>
  <si>
    <t>RPSGVENT</t>
  </si>
  <si>
    <t>NUVOCO,</t>
  </si>
  <si>
    <t>Veerhealth Care Ltd.</t>
  </si>
  <si>
    <t>VEERHEALTH</t>
  </si>
  <si>
    <t>524480,</t>
  </si>
  <si>
    <t>Venmax Drugs And Pharmaceuticals Ltd.</t>
  </si>
  <si>
    <t>VENMAX</t>
  </si>
  <si>
    <t>517035,</t>
  </si>
  <si>
    <t>RR Kabel Ltd.</t>
  </si>
  <si>
    <t>RRKABEL</t>
  </si>
  <si>
    <t>ATAM,</t>
  </si>
  <si>
    <t>RS Software (India) Ltd.</t>
  </si>
  <si>
    <t>RSSOFTWARE</t>
  </si>
  <si>
    <t>NXT-INFRA,</t>
  </si>
  <si>
    <t>Vista Pharmaceuticals Ltd.</t>
  </si>
  <si>
    <t>VISTAPH</t>
  </si>
  <si>
    <t>RISHABH,</t>
  </si>
  <si>
    <t>Vivo Bio Tech Ltd.</t>
  </si>
  <si>
    <t>VIVOBIOT</t>
  </si>
  <si>
    <t>526861,</t>
  </si>
  <si>
    <t>RSWM Ltd.</t>
  </si>
  <si>
    <t>RSWM</t>
  </si>
  <si>
    <t>524204,</t>
  </si>
  <si>
    <t>Rubfila International Ltd.</t>
  </si>
  <si>
    <t>RUBFILA</t>
  </si>
  <si>
    <t>511411,</t>
  </si>
  <si>
    <t>Ruchi Infrastructure Ltd.</t>
  </si>
  <si>
    <t>RUCHINFRA</t>
  </si>
  <si>
    <t>513511,</t>
  </si>
  <si>
    <t>Zenith Health Care Ltd.</t>
  </si>
  <si>
    <t>ZENITHHE</t>
  </si>
  <si>
    <t>RITCO,</t>
  </si>
  <si>
    <t>Zenotech Laboratories Ltd.</t>
  </si>
  <si>
    <t>ZENOTECH</t>
  </si>
  <si>
    <t>RITEZONE,</t>
  </si>
  <si>
    <t>Ruchira Papers Ltd.</t>
  </si>
  <si>
    <t>RUCHIRA</t>
  </si>
  <si>
    <t>531802,</t>
  </si>
  <si>
    <t>Rudrabhishek Enterprises Ltd.</t>
  </si>
  <si>
    <t>REPL</t>
  </si>
  <si>
    <t>GRAPHISAD,</t>
  </si>
  <si>
    <t>Rulka Electricals Ltd.</t>
  </si>
  <si>
    <t>RULKA</t>
  </si>
  <si>
    <t>EKC,</t>
  </si>
  <si>
    <t>Rupa &amp; Company Ltd.</t>
  </si>
  <si>
    <t>RUPA</t>
  </si>
  <si>
    <t>TEJASNET,</t>
  </si>
  <si>
    <t>Rushil Decor Ltd.</t>
  </si>
  <si>
    <t>RUSHIL</t>
  </si>
  <si>
    <t>ORCHPHARMA,</t>
  </si>
  <si>
    <t>S Chand And Company Ltd.</t>
  </si>
  <si>
    <t>SCHAND</t>
  </si>
  <si>
    <t>SETCO,</t>
  </si>
  <si>
    <t>S.P. Apparels Ltd.</t>
  </si>
  <si>
    <t>SPAL</t>
  </si>
  <si>
    <t>531628,</t>
  </si>
  <si>
    <t>S&amp;S Power Switchgear Ltd.</t>
  </si>
  <si>
    <t>S&amp;SPOWER</t>
  </si>
  <si>
    <t>524743,</t>
  </si>
  <si>
    <t>SA Tech Software India Ltd.</t>
  </si>
  <si>
    <t>SATECH</t>
  </si>
  <si>
    <t>Saakshi Medtech &amp; Panels Ltd.</t>
  </si>
  <si>
    <t>SAAKSHI</t>
  </si>
  <si>
    <t>524790,</t>
  </si>
  <si>
    <t>Choksi Imaging Ltd.</t>
  </si>
  <si>
    <t>CHOKSI</t>
  </si>
  <si>
    <t>Photographic Products</t>
  </si>
  <si>
    <t>543171,</t>
  </si>
  <si>
    <t>Photoquip (India) Ltd.</t>
  </si>
  <si>
    <t>PHOTOQUP</t>
  </si>
  <si>
    <t>RHL,</t>
  </si>
  <si>
    <t>SGL Resources Ltd.</t>
  </si>
  <si>
    <t>SGLRES</t>
  </si>
  <si>
    <t>ROCKINGDCE,</t>
  </si>
  <si>
    <t>SAB Events &amp; Governance Now Media Ltd.</t>
  </si>
  <si>
    <t>SABEVENTS</t>
  </si>
  <si>
    <t>SETUINFRA,</t>
  </si>
  <si>
    <t>Sabar Flex India Ltd.</t>
  </si>
  <si>
    <t>SABAR</t>
  </si>
  <si>
    <t>PONNIERODE,</t>
  </si>
  <si>
    <t>Sadbhav Engineering Ltd.</t>
  </si>
  <si>
    <t>SADBHAV</t>
  </si>
  <si>
    <t>GRAPHITE,</t>
  </si>
  <si>
    <t>Sadbhav Infrastructure Project Ltd.</t>
  </si>
  <si>
    <t>SADBHIN</t>
  </si>
  <si>
    <t>GRASIM,</t>
  </si>
  <si>
    <t>Sadhana Nitro Chem Ltd.</t>
  </si>
  <si>
    <t>SADHNANIQ</t>
  </si>
  <si>
    <t>BOSS,</t>
  </si>
  <si>
    <t>Sadhav Shipping Ltd.</t>
  </si>
  <si>
    <t>SADHAV</t>
  </si>
  <si>
    <t>531219,</t>
  </si>
  <si>
    <t>Safari Industries (India) Ltd.</t>
  </si>
  <si>
    <t>SAFARI</t>
  </si>
  <si>
    <t>MONTECARLO,</t>
  </si>
  <si>
    <t>Aik Pipes &amp; Polymers Ltd.</t>
  </si>
  <si>
    <t>AIKPIPES</t>
  </si>
  <si>
    <t>ROSSARI,</t>
  </si>
  <si>
    <t>Sagar Cements Ltd.</t>
  </si>
  <si>
    <t>SAGCEM</t>
  </si>
  <si>
    <t>STYLEBAAZA,</t>
  </si>
  <si>
    <t>Clara Industries Ltd.</t>
  </si>
  <si>
    <t>CLARA</t>
  </si>
  <si>
    <t>ROSSTECH,</t>
  </si>
  <si>
    <t>Sagardeep Alloys Ltd.</t>
  </si>
  <si>
    <t>SAGARDEEP</t>
  </si>
  <si>
    <t>526435,</t>
  </si>
  <si>
    <t>EP Biocomposites Ltd.</t>
  </si>
  <si>
    <t>EPBIO</t>
  </si>
  <si>
    <t>ROUTE,</t>
  </si>
  <si>
    <t>GM Polyplast Ltd.</t>
  </si>
  <si>
    <t>GMPL</t>
  </si>
  <si>
    <t>ROXHITECH,</t>
  </si>
  <si>
    <t>Harshdeep Hortico Ltd.</t>
  </si>
  <si>
    <t>HARSHDEEP</t>
  </si>
  <si>
    <t>526193,</t>
  </si>
  <si>
    <t>IIRM Holdings India Ltd.</t>
  </si>
  <si>
    <t>IIRM</t>
  </si>
  <si>
    <t>512047,</t>
  </si>
  <si>
    <t>Kaka Industries Ltd.</t>
  </si>
  <si>
    <t>KAKA</t>
  </si>
  <si>
    <t>ROHLTD,</t>
  </si>
  <si>
    <t>Sagility India Ltd.</t>
  </si>
  <si>
    <t>SAGILITY</t>
  </si>
  <si>
    <t>543927,</t>
  </si>
  <si>
    <t>Sah Polymers Ltd.</t>
  </si>
  <si>
    <t>SAH</t>
  </si>
  <si>
    <t>530025,</t>
  </si>
  <si>
    <t>Polymac Thermoformers Ltd.</t>
  </si>
  <si>
    <t>POLYMAC</t>
  </si>
  <si>
    <t>RPGLIFE,</t>
  </si>
  <si>
    <t>Sahaj Fashions Ltd.</t>
  </si>
  <si>
    <t>SAHAJ</t>
  </si>
  <si>
    <t>SURYALAXMI,</t>
  </si>
  <si>
    <t>Sahaj Solar Ltd.</t>
  </si>
  <si>
    <t>SAHAJSOLAR</t>
  </si>
  <si>
    <t>HONASA,</t>
  </si>
  <si>
    <t>Sahana System Ltd.</t>
  </si>
  <si>
    <t>SAHANA</t>
  </si>
  <si>
    <t>NH,</t>
  </si>
  <si>
    <t>Quality RO Industries Ltd.</t>
  </si>
  <si>
    <t>QRIL</t>
  </si>
  <si>
    <t>531307,</t>
  </si>
  <si>
    <t>Sahasra Electronic Solutions Ltd.</t>
  </si>
  <si>
    <t>SAHASRA</t>
  </si>
  <si>
    <t>GANECOS,</t>
  </si>
  <si>
    <t>Sahyadri Industries Ltd.</t>
  </si>
  <si>
    <t>SAHYADRI</t>
  </si>
  <si>
    <t>532380,</t>
  </si>
  <si>
    <t>Sai Life Sciences Ltd.</t>
  </si>
  <si>
    <t>SAILIFE</t>
  </si>
  <si>
    <t>RMDRIP,</t>
  </si>
  <si>
    <t>Sai Silks (Kalamandir) Ltd.</t>
  </si>
  <si>
    <t>KALAMANDIR</t>
  </si>
  <si>
    <t>Swashthik Plascon Ltd.</t>
  </si>
  <si>
    <t>SPL</t>
  </si>
  <si>
    <t>531552,</t>
  </si>
  <si>
    <t>Saj Hotels Ltd.</t>
  </si>
  <si>
    <t>SAJHOTELS</t>
  </si>
  <si>
    <t>538890,</t>
  </si>
  <si>
    <t>Aadi Industries Ltd.</t>
  </si>
  <si>
    <t>AADIIND</t>
  </si>
  <si>
    <t>RUBFILA,</t>
  </si>
  <si>
    <t>Amco India Ltd.</t>
  </si>
  <si>
    <t>AMCOIND</t>
  </si>
  <si>
    <t>RUCHINFRA,</t>
  </si>
  <si>
    <t>Sakar Healthcare Ltd.</t>
  </si>
  <si>
    <t>SAKAR</t>
  </si>
  <si>
    <t>RPOWER,</t>
  </si>
  <si>
    <t>Anka India Ltd.</t>
  </si>
  <si>
    <t>ANKIN</t>
  </si>
  <si>
    <t>514010,</t>
  </si>
  <si>
    <t>Arcee Industries Ltd.</t>
  </si>
  <si>
    <t>ARCEEIN</t>
  </si>
  <si>
    <t>544121,</t>
  </si>
  <si>
    <t>Ashish Polyplast Ltd.</t>
  </si>
  <si>
    <t>ASHISHPO</t>
  </si>
  <si>
    <t>539226,</t>
  </si>
  <si>
    <t>Saksoft Ltd.</t>
  </si>
  <si>
    <t>SAKSOFT</t>
  </si>
  <si>
    <t>504378,</t>
  </si>
  <si>
    <t>Sakthi Sugars Ltd.</t>
  </si>
  <si>
    <t>SAKHTISUG</t>
  </si>
  <si>
    <t>SGL,</t>
  </si>
  <si>
    <t>Axel Polymers Ltd.</t>
  </si>
  <si>
    <t>AXELPOLY</t>
  </si>
  <si>
    <t>530449,</t>
  </si>
  <si>
    <t>Bilcare Ltd.</t>
  </si>
  <si>
    <t>BI</t>
  </si>
  <si>
    <t>RUPA,</t>
  </si>
  <si>
    <t>Bisil Plast Ltd.</t>
  </si>
  <si>
    <t>BISIL</t>
  </si>
  <si>
    <t>RUSHIL,</t>
  </si>
  <si>
    <t>Bright Brothers Ltd.</t>
  </si>
  <si>
    <t>BRIGHTBR</t>
  </si>
  <si>
    <t>SCHAND,</t>
  </si>
  <si>
    <t>Caprihans India Ltd.</t>
  </si>
  <si>
    <t>CAPRIHANS</t>
  </si>
  <si>
    <t>SPAL,</t>
  </si>
  <si>
    <t>Captain Polyplast Ltd.</t>
  </si>
  <si>
    <t>CPL</t>
  </si>
  <si>
    <t>543799,</t>
  </si>
  <si>
    <t>CDG Petchem Ltd.</t>
  </si>
  <si>
    <t>CDG</t>
  </si>
  <si>
    <t>S&amp;SPOWER,</t>
  </si>
  <si>
    <t>Sakuma Exports Ltd.</t>
  </si>
  <si>
    <t>SAKUMA</t>
  </si>
  <si>
    <t>524711,</t>
  </si>
  <si>
    <t>SAL Steel Ltd.</t>
  </si>
  <si>
    <t>SALSTEEL</t>
  </si>
  <si>
    <t>530821,</t>
  </si>
  <si>
    <t>Cropster Agro Ltd.</t>
  </si>
  <si>
    <t>CROPSTER</t>
  </si>
  <si>
    <t>SAAKSHI,</t>
  </si>
  <si>
    <t>Ddev Plastiks Industries Ltd.</t>
  </si>
  <si>
    <t>DDEVPLASTIK</t>
  </si>
  <si>
    <t>SABEVENTS,</t>
  </si>
  <si>
    <t>Dhabriya Polywood Ltd.</t>
  </si>
  <si>
    <t>DHABRIYA</t>
  </si>
  <si>
    <t>539112,</t>
  </si>
  <si>
    <t>Duropack Ltd.</t>
  </si>
  <si>
    <t>DUROPACK</t>
  </si>
  <si>
    <t>SABAR,</t>
  </si>
  <si>
    <t>Dutron Polymers Ltd.</t>
  </si>
  <si>
    <t>DUTRON</t>
  </si>
  <si>
    <t>530461,</t>
  </si>
  <si>
    <t>Ecoplast Ltd.</t>
  </si>
  <si>
    <t>ECOPLAST</t>
  </si>
  <si>
    <t>540132,</t>
  </si>
  <si>
    <t>Salasar Exteriors &amp; Contour Ltd.</t>
  </si>
  <si>
    <t>SECL</t>
  </si>
  <si>
    <t>Salasar Techno Engineering Ltd.</t>
  </si>
  <si>
    <t>SALASAR</t>
  </si>
  <si>
    <t>HGS,</t>
  </si>
  <si>
    <t>Salona Cotspin Ltd.</t>
  </si>
  <si>
    <t>SALONA</t>
  </si>
  <si>
    <t>533407,</t>
  </si>
  <si>
    <t>Salzer Electronics Ltd.</t>
  </si>
  <si>
    <t>SALZERELEC</t>
  </si>
  <si>
    <t>Sambhaav Media Ltd.</t>
  </si>
  <si>
    <t>SAMBHAAV</t>
  </si>
  <si>
    <t>Sameera Agro &amp; Infra Ltd.</t>
  </si>
  <si>
    <t>SAIFL</t>
  </si>
  <si>
    <t>540874,</t>
  </si>
  <si>
    <t>Gujarat Craft Industries Ltd.</t>
  </si>
  <si>
    <t>GUJCRAFT</t>
  </si>
  <si>
    <t>SAFARI,</t>
  </si>
  <si>
    <t>Gujarat Petrosynthese Ltd.</t>
  </si>
  <si>
    <t>GUJPETR</t>
  </si>
  <si>
    <t>531436,</t>
  </si>
  <si>
    <t>Samhi Hotels Ltd.</t>
  </si>
  <si>
    <t>SAMHI</t>
  </si>
  <si>
    <t>531456,</t>
  </si>
  <si>
    <t>HCP Plastene Bulkpack Ltd.</t>
  </si>
  <si>
    <t>HPBL</t>
  </si>
  <si>
    <t>SAGARDEEP,</t>
  </si>
  <si>
    <t>Hindustan Adhesives Ltd.</t>
  </si>
  <si>
    <t>HINDADH</t>
  </si>
  <si>
    <t>540143,</t>
  </si>
  <si>
    <t>Sammaan Capital Ltd.</t>
  </si>
  <si>
    <t>SAMMAANCAP</t>
  </si>
  <si>
    <t>SAMMAANCAP,</t>
  </si>
  <si>
    <t>INDRAMEDCO,</t>
  </si>
  <si>
    <t>Innovative Tech Pack Ltd.</t>
  </si>
  <si>
    <t>INNOVTEC</t>
  </si>
  <si>
    <t>SAH,</t>
  </si>
  <si>
    <t>Sampann Utpadan India Ltd.</t>
  </si>
  <si>
    <t>SAMPANN</t>
  </si>
  <si>
    <t>523710,</t>
  </si>
  <si>
    <t>Samvardhana Motherson International Ltd.</t>
  </si>
  <si>
    <t>MOTHERSON</t>
  </si>
  <si>
    <t>AKASH,</t>
  </si>
  <si>
    <t>Jauss Polymers Ltd.</t>
  </si>
  <si>
    <t>JAUSPOL</t>
  </si>
  <si>
    <t>SAHANA,</t>
  </si>
  <si>
    <t>Sanathan Textiles Ltd.</t>
  </si>
  <si>
    <t>SANATHAN</t>
  </si>
  <si>
    <t>UCAL,</t>
  </si>
  <si>
    <t>Jumbo Bag Ltd.</t>
  </si>
  <si>
    <t>JUMBO</t>
  </si>
  <si>
    <t>SAHASRA,</t>
  </si>
  <si>
    <t>Kaiser Corporation Ltd.</t>
  </si>
  <si>
    <t>KACL</t>
  </si>
  <si>
    <t>SAHYADRI,</t>
  </si>
  <si>
    <t>Sanco Industries Ltd.</t>
  </si>
  <si>
    <t>SANCO</t>
  </si>
  <si>
    <t>ROLTA,</t>
  </si>
  <si>
    <t>Sandhar Technologies Ltd.</t>
  </si>
  <si>
    <t>SANDHAR</t>
  </si>
  <si>
    <t>AKG,</t>
  </si>
  <si>
    <t>Kisan Mouldings Ltd.</t>
  </si>
  <si>
    <t>KISAN</t>
  </si>
  <si>
    <t>KALAMANDIR,</t>
  </si>
  <si>
    <t>Kkalpana lndustries (India) Ltd.</t>
  </si>
  <si>
    <t>KKALPANAIND</t>
  </si>
  <si>
    <t>544170,</t>
  </si>
  <si>
    <t>Krishna Filament Industries Ltd.</t>
  </si>
  <si>
    <t>KRIFILIND</t>
  </si>
  <si>
    <t>512097,</t>
  </si>
  <si>
    <t>Sandur Manganese &amp; Iron Ores Ltd.</t>
  </si>
  <si>
    <t>SANDUMA</t>
  </si>
  <si>
    <t>507498,</t>
  </si>
  <si>
    <t>Sangam (India) Ltd.</t>
  </si>
  <si>
    <t>SANGAMIND</t>
  </si>
  <si>
    <t>530595,</t>
  </si>
  <si>
    <t>Kunststoffe Industries Ltd.</t>
  </si>
  <si>
    <t>KUNSTOFF</t>
  </si>
  <si>
    <t>515043,</t>
  </si>
  <si>
    <t>Kuwer Industries Ltd.</t>
  </si>
  <si>
    <t>KUWERIN</t>
  </si>
  <si>
    <t>SAJHOTELS,</t>
  </si>
  <si>
    <t>Mitsu Chem Plast Ltd.</t>
  </si>
  <si>
    <t>MITSU</t>
  </si>
  <si>
    <t>SAKAR,</t>
  </si>
  <si>
    <t>Sangani Hospitals Ltd.</t>
  </si>
  <si>
    <t>SANGANI</t>
  </si>
  <si>
    <t>MARSHALL,</t>
  </si>
  <si>
    <t>MPL Plastics Ltd.</t>
  </si>
  <si>
    <t>MPL</t>
  </si>
  <si>
    <t>Sanghi Industries Ltd.</t>
  </si>
  <si>
    <t>SANGHIIND</t>
  </si>
  <si>
    <t>BABAFP,</t>
  </si>
  <si>
    <t>Narmada Macplast Drip Irrigation Systems Ltd.</t>
  </si>
  <si>
    <t>NARMP</t>
  </si>
  <si>
    <t>SAKUMA,</t>
  </si>
  <si>
    <t>National Plastic Industries Ltd.</t>
  </si>
  <si>
    <t>NATPLAS</t>
  </si>
  <si>
    <t>539353,</t>
  </si>
  <si>
    <t>National Plastic Technologies Ltd.</t>
  </si>
  <si>
    <t>NATPLASTI</t>
  </si>
  <si>
    <t>SALSTEEL,</t>
  </si>
  <si>
    <t>Sanghvi Movers Ltd.</t>
  </si>
  <si>
    <t>SANGHVIMOV</t>
  </si>
  <si>
    <t>GUJAPOLLO,</t>
  </si>
  <si>
    <t>OK Play India Ltd.</t>
  </si>
  <si>
    <t>OKPLA</t>
  </si>
  <si>
    <t>SALASAR,</t>
  </si>
  <si>
    <t>Sanginita Chemicals Ltd.</t>
  </si>
  <si>
    <t>SANGINITA</t>
  </si>
  <si>
    <t>BRACEPORT,</t>
  </si>
  <si>
    <t>Padmanabh Alloys &amp; Polymers Ltd.</t>
  </si>
  <si>
    <t>PADALPO</t>
  </si>
  <si>
    <t>SALONA,</t>
  </si>
  <si>
    <t>Pankaj Polymers Ltd.</t>
  </si>
  <si>
    <t>PANKAJPO</t>
  </si>
  <si>
    <t>500370,</t>
  </si>
  <si>
    <t>Sanofi Consumer Healthcare India Ltd.</t>
  </si>
  <si>
    <t>SANOFICONR</t>
  </si>
  <si>
    <t>540358,</t>
  </si>
  <si>
    <t>Sanofi India Ltd.</t>
  </si>
  <si>
    <t>SANOFI</t>
  </si>
  <si>
    <t>539561,</t>
  </si>
  <si>
    <t>Sansera Engineering Ltd.</t>
  </si>
  <si>
    <t>SANSERA</t>
  </si>
  <si>
    <t>AKI,</t>
  </si>
  <si>
    <t>Polyspin Exports Ltd.</t>
  </si>
  <si>
    <t>POLYSPIN</t>
  </si>
  <si>
    <t>SAMBHAAV,</t>
  </si>
  <si>
    <t>Sanstar Ltd.</t>
  </si>
  <si>
    <t>SANSTAR</t>
  </si>
  <si>
    <t>DIVGIITTS,</t>
  </si>
  <si>
    <t>Sanwaria Consumer Ltd.</t>
  </si>
  <si>
    <t>SANWARIA</t>
  </si>
  <si>
    <t>EPACK,</t>
  </si>
  <si>
    <t>Pressure Sensitive Systems (India) Ltd.</t>
  </si>
  <si>
    <t>PRESSURS</t>
  </si>
  <si>
    <t>520075,</t>
  </si>
  <si>
    <t>Prima Plastics Ltd.</t>
  </si>
  <si>
    <t>PRIMAPLA</t>
  </si>
  <si>
    <t>Sapphire Foods India Ltd.</t>
  </si>
  <si>
    <t>SAPPHIRE</t>
  </si>
  <si>
    <t>DVL,</t>
  </si>
  <si>
    <t>Promact Impex Ltd.</t>
  </si>
  <si>
    <t>PROMACT</t>
  </si>
  <si>
    <t>SAMPANN,</t>
  </si>
  <si>
    <t>Raj Packaging Industries Ltd.</t>
  </si>
  <si>
    <t>RAJPACK</t>
  </si>
  <si>
    <t>530617,</t>
  </si>
  <si>
    <t>Sar Televenture Ltd.</t>
  </si>
  <si>
    <t>SARTELE</t>
  </si>
  <si>
    <t>523842,</t>
  </si>
  <si>
    <t>RDB Rasayans Ltd.</t>
  </si>
  <si>
    <t>RDBRL</t>
  </si>
  <si>
    <t>530125,</t>
  </si>
  <si>
    <t>Saraswati Saree Depot Ltd.</t>
  </si>
  <si>
    <t>SSDL</t>
  </si>
  <si>
    <t>WHIRLPOOL,</t>
  </si>
  <si>
    <t>Rishi Techtex Ltd.</t>
  </si>
  <si>
    <t>RISHITECH</t>
  </si>
  <si>
    <t>521206,</t>
  </si>
  <si>
    <t>Royal Cushion Vinyl Products Ltd.</t>
  </si>
  <si>
    <t>ROYALCU</t>
  </si>
  <si>
    <t>MOTHERSON,</t>
  </si>
  <si>
    <t>Sarda Energy &amp; Minerals Ltd.</t>
  </si>
  <si>
    <t>SARDAEN</t>
  </si>
  <si>
    <t>524727,</t>
  </si>
  <si>
    <t>Saregama India Ltd.</t>
  </si>
  <si>
    <t>SAREGAMA</t>
  </si>
  <si>
    <t>500319,</t>
  </si>
  <si>
    <t>Shish Industries Ltd.</t>
  </si>
  <si>
    <t>SHISHIND</t>
  </si>
  <si>
    <t>509423,</t>
  </si>
  <si>
    <t>Sarla Performance Fibers Ltd.</t>
  </si>
  <si>
    <t>SARLAPOLY</t>
  </si>
  <si>
    <t>524717,</t>
  </si>
  <si>
    <t>Shri Jagdamba Polymers Ltd.</t>
  </si>
  <si>
    <t>SHRJAGP</t>
  </si>
  <si>
    <t>SANCO,</t>
  </si>
  <si>
    <t>Sonal Adhesives Ltd.</t>
  </si>
  <si>
    <t>SONALAD</t>
  </si>
  <si>
    <t>523116,</t>
  </si>
  <si>
    <t>Stanpacks (India) Ltd.</t>
  </si>
  <si>
    <t>STANPACK</t>
  </si>
  <si>
    <t>SANDHAR,</t>
  </si>
  <si>
    <t>Saroja Pharma Industries India Ltd.</t>
  </si>
  <si>
    <t>SAROJA</t>
  </si>
  <si>
    <t>530281,</t>
  </si>
  <si>
    <t>Sarthak Metals Ltd.</t>
  </si>
  <si>
    <t>SMLT</t>
  </si>
  <si>
    <t>Sarveshwar Foods Ltd.</t>
  </si>
  <si>
    <t>SARVESHWAR</t>
  </si>
  <si>
    <t>543516,</t>
  </si>
  <si>
    <t>Sasken Technologies Ltd.</t>
  </si>
  <si>
    <t>SASKEN</t>
  </si>
  <si>
    <t>Sastasundar Ventures Ltd.</t>
  </si>
  <si>
    <t>SASTASUNDR</t>
  </si>
  <si>
    <t>SASTASUNDR,</t>
  </si>
  <si>
    <t>521242,</t>
  </si>
  <si>
    <t>Sat Industries Ltd.</t>
  </si>
  <si>
    <t>SATINDLTD</t>
  </si>
  <si>
    <t>SATINDLTD,</t>
  </si>
  <si>
    <t>LINCOLN,</t>
  </si>
  <si>
    <t>TPI India Ltd.</t>
  </si>
  <si>
    <t>TPINDIA</t>
  </si>
  <si>
    <t>SANGHIIND,</t>
  </si>
  <si>
    <t>Sathlokhar Synergys E&amp;C Global Ltd.</t>
  </si>
  <si>
    <t>SSEGL</t>
  </si>
  <si>
    <t>GTPL,</t>
  </si>
  <si>
    <t>Vinayak Polycon International Ltd.</t>
  </si>
  <si>
    <t>VINAYAKPOL</t>
  </si>
  <si>
    <t>SANGHVIMOV,</t>
  </si>
  <si>
    <t>Vinyoflex Ltd.</t>
  </si>
  <si>
    <t>VINYOFL</t>
  </si>
  <si>
    <t>SANGINITA,</t>
  </si>
  <si>
    <t>Wim Plast Ltd.</t>
  </si>
  <si>
    <t>WIMPLAST</t>
  </si>
  <si>
    <t>531569,</t>
  </si>
  <si>
    <t>Sati Poly Plast Ltd.</t>
  </si>
  <si>
    <t>SATIPOLY</t>
  </si>
  <si>
    <t>Satia Industries Ltd.</t>
  </si>
  <si>
    <t>SATIA</t>
  </si>
  <si>
    <t>PRESTIGE,</t>
  </si>
  <si>
    <t>Satin Creditcare Network Ltd.</t>
  </si>
  <si>
    <t>SATIN</t>
  </si>
  <si>
    <t>SATIN,</t>
  </si>
  <si>
    <t>MHLXMIRU,</t>
  </si>
  <si>
    <t>Saurashtra Cement Ltd.</t>
  </si>
  <si>
    <t>SAURASHCEM</t>
  </si>
  <si>
    <t>524516,</t>
  </si>
  <si>
    <t>Savita Oil Technologies Ltd.</t>
  </si>
  <si>
    <t>SOTL</t>
  </si>
  <si>
    <t>SBC Exports Ltd.</t>
  </si>
  <si>
    <t>SBC</t>
  </si>
  <si>
    <t>TEMBO,</t>
  </si>
  <si>
    <t>SBFC Finance Ltd.</t>
  </si>
  <si>
    <t>SBFC</t>
  </si>
  <si>
    <t>SBFC,</t>
  </si>
  <si>
    <t>KRISHNADEF,</t>
  </si>
  <si>
    <t>SBI Cards And Payment Services Ltd.</t>
  </si>
  <si>
    <t>SBICARD</t>
  </si>
  <si>
    <t>SBICARD,</t>
  </si>
  <si>
    <t>513369,</t>
  </si>
  <si>
    <t>SBI Life Insurance Company Ltd.</t>
  </si>
  <si>
    <t>SBILIFE</t>
  </si>
  <si>
    <t>SBILIFE,</t>
  </si>
  <si>
    <t>MSPL,</t>
  </si>
  <si>
    <t>WAA Solar Ltd.</t>
  </si>
  <si>
    <t>WAA</t>
  </si>
  <si>
    <t>519238,</t>
  </si>
  <si>
    <t>Schaeffler India Ltd.</t>
  </si>
  <si>
    <t>SCHAEFFLER</t>
  </si>
  <si>
    <t>PARKHOTELS,</t>
  </si>
  <si>
    <t>Schneider Electric Infrastructure Ltd.</t>
  </si>
  <si>
    <t>SCHNEIDER</t>
  </si>
  <si>
    <t>FLAIR,</t>
  </si>
  <si>
    <t>SD Retail Ltd.</t>
  </si>
  <si>
    <t>SDREAMS</t>
  </si>
  <si>
    <t>540108,</t>
  </si>
  <si>
    <t>Amalgamated Electricity Company Ltd.</t>
  </si>
  <si>
    <t>AMALGAM</t>
  </si>
  <si>
    <t>SARDAEN,</t>
  </si>
  <si>
    <t>Seamec Ltd.</t>
  </si>
  <si>
    <t>SEAMECLTD</t>
  </si>
  <si>
    <t>SIDDHIKA,</t>
  </si>
  <si>
    <t>Secmark Consultancy Ltd.</t>
  </si>
  <si>
    <t>SECMARK</t>
  </si>
  <si>
    <t>ARISTO,</t>
  </si>
  <si>
    <t>SecUR Credentials Ltd.</t>
  </si>
  <si>
    <t>SECURCRED</t>
  </si>
  <si>
    <t>523537,</t>
  </si>
  <si>
    <t>Gita Renewable Energy Ltd.</t>
  </si>
  <si>
    <t>GITARENEW</t>
  </si>
  <si>
    <t>531930,</t>
  </si>
  <si>
    <t>Globus Power Generation Ltd.</t>
  </si>
  <si>
    <t>GLOBUSCON</t>
  </si>
  <si>
    <t>SMLT,</t>
  </si>
  <si>
    <t>Securekloud Technologies Ltd.</t>
  </si>
  <si>
    <t>SECURKLOUD</t>
  </si>
  <si>
    <t>535657,</t>
  </si>
  <si>
    <t>Sejal Glass Ltd.</t>
  </si>
  <si>
    <t>SEJALLTD</t>
  </si>
  <si>
    <t>SEL Manufacturing Company Ltd.</t>
  </si>
  <si>
    <t>SELMC</t>
  </si>
  <si>
    <t>530533,</t>
  </si>
  <si>
    <t>Selan Exploration Technology Ltd.</t>
  </si>
  <si>
    <t>SELAN</t>
  </si>
  <si>
    <t>506605,</t>
  </si>
  <si>
    <t>Semac Consultants Ltd.</t>
  </si>
  <si>
    <t>SEMAC</t>
  </si>
  <si>
    <t>514428,</t>
  </si>
  <si>
    <t>Senco Gold Ltd.</t>
  </si>
  <si>
    <t>SENCO</t>
  </si>
  <si>
    <t>507917,</t>
  </si>
  <si>
    <t>Senores Pharmaceuticals Ltd.</t>
  </si>
  <si>
    <t>SENORES</t>
  </si>
  <si>
    <t>RNFI,</t>
  </si>
  <si>
    <t>SEPC Ltd.</t>
  </si>
  <si>
    <t>SEPC</t>
  </si>
  <si>
    <t>509546,</t>
  </si>
  <si>
    <t>Sequent Scientific Ltd.</t>
  </si>
  <si>
    <t>SEQUENT</t>
  </si>
  <si>
    <t>513043,</t>
  </si>
  <si>
    <t>Service Care Ltd.</t>
  </si>
  <si>
    <t>SERVICE</t>
  </si>
  <si>
    <t>512499,</t>
  </si>
  <si>
    <t>Servotech Renewable Power System Ltd.</t>
  </si>
  <si>
    <t>SERVOTECH</t>
  </si>
  <si>
    <t>523672,</t>
  </si>
  <si>
    <t>Seshasayee Paper and Boards Ltd.</t>
  </si>
  <si>
    <t>SESHAPAPER</t>
  </si>
  <si>
    <t>PRICOLLTD,</t>
  </si>
  <si>
    <t>Setco Automotive Ltd.</t>
  </si>
  <si>
    <t>SETCO</t>
  </si>
  <si>
    <t>AKIKO,</t>
  </si>
  <si>
    <t>Setubandhan Infrastructure Ltd.</t>
  </si>
  <si>
    <t>SETUINFRA</t>
  </si>
  <si>
    <t>531399,</t>
  </si>
  <si>
    <t>Seya Industries Ltd.</t>
  </si>
  <si>
    <t>SEYAIND</t>
  </si>
  <si>
    <t>505690,</t>
  </si>
  <si>
    <t>SH Kelkar And Company Ltd.</t>
  </si>
  <si>
    <t>SHK</t>
  </si>
  <si>
    <t>535693,</t>
  </si>
  <si>
    <t>Shah Alloys Ltd.</t>
  </si>
  <si>
    <t>SHAHALLOYS</t>
  </si>
  <si>
    <t>Shah Metacorp Ltd.</t>
  </si>
  <si>
    <t>SHAH</t>
  </si>
  <si>
    <t>531370,</t>
  </si>
  <si>
    <t>Shaily Engineering Plastics Ltd.</t>
  </si>
  <si>
    <t>SHAILY</t>
  </si>
  <si>
    <t>SANATHAN,</t>
  </si>
  <si>
    <t>Shaival Reality Ltd.</t>
  </si>
  <si>
    <t>SHAIVAL</t>
  </si>
  <si>
    <t>CEIGALL,</t>
  </si>
  <si>
    <t>Shakti Pumps (India) Ltd.</t>
  </si>
  <si>
    <t>SHAKTIPUMP</t>
  </si>
  <si>
    <t>CARERATING,</t>
  </si>
  <si>
    <t>Shalby Ltd.</t>
  </si>
  <si>
    <t>SHALBY</t>
  </si>
  <si>
    <t>MEDICAMEQ,</t>
  </si>
  <si>
    <t>Shalimar Paints Ltd.</t>
  </si>
  <si>
    <t>SHALPAINTS</t>
  </si>
  <si>
    <t>PPL,</t>
  </si>
  <si>
    <t>Shankar Lal Rampal Dye-Chem Ltd.</t>
  </si>
  <si>
    <t>SRD</t>
  </si>
  <si>
    <t>VIVIANA,</t>
  </si>
  <si>
    <t>Sri KPR Industries Ltd.</t>
  </si>
  <si>
    <t>SRIKPRIND</t>
  </si>
  <si>
    <t>SBC,</t>
  </si>
  <si>
    <t>Shankara Building Products Ltd.</t>
  </si>
  <si>
    <t>SHANKARA</t>
  </si>
  <si>
    <t>SPECIALITY,</t>
  </si>
  <si>
    <t>Shanthala FMCG Products Ltd.</t>
  </si>
  <si>
    <t>SHANTHALA</t>
  </si>
  <si>
    <t>URBAN,</t>
  </si>
  <si>
    <t>Shanthi Gears Ltd.</t>
  </si>
  <si>
    <t>SHANTIGEAR</t>
  </si>
  <si>
    <t>Shanti Overseas (India) Ltd.</t>
  </si>
  <si>
    <t>SHANTI</t>
  </si>
  <si>
    <t>543536,</t>
  </si>
  <si>
    <t>Veer Energy &amp; Infrastructure Ltd.</t>
  </si>
  <si>
    <t>VEERENRGY</t>
  </si>
  <si>
    <t>Waaree Renewable Technologies Ltd.</t>
  </si>
  <si>
    <t>WAAREERTL</t>
  </si>
  <si>
    <t>543366,</t>
  </si>
  <si>
    <t>Sharda Cropchem Ltd.</t>
  </si>
  <si>
    <t>SHARDACROP</t>
  </si>
  <si>
    <t>PTCIL,</t>
  </si>
  <si>
    <t>Sharda Motor Industries Ltd.</t>
  </si>
  <si>
    <t>SHARDAMOTR</t>
  </si>
  <si>
    <t>AKSHOPTFBR,</t>
  </si>
  <si>
    <t>Share India Securities Ltd.</t>
  </si>
  <si>
    <t>SHAREINDIA</t>
  </si>
  <si>
    <t>SHAREINDIA,</t>
  </si>
  <si>
    <t>531402,</t>
  </si>
  <si>
    <t>Sharp Chucks &amp; Machines Ltd.</t>
  </si>
  <si>
    <t>SCML</t>
  </si>
  <si>
    <t>Sheela Foam Ltd.</t>
  </si>
  <si>
    <t>SFL</t>
  </si>
  <si>
    <t>MORARJEE,</t>
  </si>
  <si>
    <t>Gala Global Products Ltd.</t>
  </si>
  <si>
    <t>GGPL</t>
  </si>
  <si>
    <t>531234,</t>
  </si>
  <si>
    <t>Kiran Print-Pack Ltd.</t>
  </si>
  <si>
    <t>KIRANPR</t>
  </si>
  <si>
    <t>SDREAMS,</t>
  </si>
  <si>
    <t>Sheetal Cool Products Ltd.</t>
  </si>
  <si>
    <t>SCPL</t>
  </si>
  <si>
    <t>530959,</t>
  </si>
  <si>
    <t>Sheetal Universal Ltd.</t>
  </si>
  <si>
    <t>SHEETAL</t>
  </si>
  <si>
    <t>AMJUMBO,</t>
  </si>
  <si>
    <t>Shekhawati Industries Ltd.</t>
  </si>
  <si>
    <t>SHEKHAWATI</t>
  </si>
  <si>
    <t>Shemaroo Entertainment Ltd.</t>
  </si>
  <si>
    <t>SHEMAROO</t>
  </si>
  <si>
    <t>523586,</t>
  </si>
  <si>
    <t>Shera Energy Ltd.</t>
  </si>
  <si>
    <t>SHERA</t>
  </si>
  <si>
    <t>532676,</t>
  </si>
  <si>
    <t>Shigan Quantum Technologies Ltd.</t>
  </si>
  <si>
    <t>SHIGAN</t>
  </si>
  <si>
    <t>513513,</t>
  </si>
  <si>
    <t>Shilpa Medicare Ltd.</t>
  </si>
  <si>
    <t>SHILPAMED</t>
  </si>
  <si>
    <t>REMUS,</t>
  </si>
  <si>
    <t>Shipping Corporation of India Land and Assets Ltd.</t>
  </si>
  <si>
    <t>SCILAL</t>
  </si>
  <si>
    <t>SIGACHI,</t>
  </si>
  <si>
    <t>Shipping Corporation Of India Ltd.</t>
  </si>
  <si>
    <t>SCI</t>
  </si>
  <si>
    <t>SIGMA,</t>
  </si>
  <si>
    <t>Shiv Aum Steels Ltd.</t>
  </si>
  <si>
    <t>SHIVAUM</t>
  </si>
  <si>
    <t>URJA,</t>
  </si>
  <si>
    <t>Shiva Mills Ltd.</t>
  </si>
  <si>
    <t>SHIVAMILLS</t>
  </si>
  <si>
    <t>TEXINFRA,</t>
  </si>
  <si>
    <t>Encode Packaging India Ltd</t>
  </si>
  <si>
    <t>ENCODE</t>
  </si>
  <si>
    <t>SELAN,</t>
  </si>
  <si>
    <t>Shiva Texyarn Ltd.</t>
  </si>
  <si>
    <t>SHIVATEX</t>
  </si>
  <si>
    <t>TTKHLTCARE,</t>
  </si>
  <si>
    <t>Shivalic Power Control Ltd.</t>
  </si>
  <si>
    <t>SPCL</t>
  </si>
  <si>
    <t>514358,</t>
  </si>
  <si>
    <t>Shivalik Bimetal Controls Ltd.</t>
  </si>
  <si>
    <t>SBCL</t>
  </si>
  <si>
    <t>PERSISTENT,</t>
  </si>
  <si>
    <t>Inland Printers Ltd.</t>
  </si>
  <si>
    <t>INLANPR</t>
  </si>
  <si>
    <t>SENORES,</t>
  </si>
  <si>
    <t>Shivalik Rasayan Ltd.</t>
  </si>
  <si>
    <t>SHIVALIK</t>
  </si>
  <si>
    <t>PTL,</t>
  </si>
  <si>
    <t>Shivam Autotech Ltd.</t>
  </si>
  <si>
    <t>SHIVAMAUTO</t>
  </si>
  <si>
    <t>AKSHAR,</t>
  </si>
  <si>
    <t>Shoppers Stop Ltd.</t>
  </si>
  <si>
    <t>SHOPERSTOP</t>
  </si>
  <si>
    <t>513488,</t>
  </si>
  <si>
    <t>Shradha Infraprojects Ltd.</t>
  </si>
  <si>
    <t>SHRADHA</t>
  </si>
  <si>
    <t>540597,</t>
  </si>
  <si>
    <t>Olympic Cards Ltd.</t>
  </si>
  <si>
    <t>OLPCL</t>
  </si>
  <si>
    <t>SERVOTECH,</t>
  </si>
  <si>
    <t>Shree Cement Ltd.</t>
  </si>
  <si>
    <t>SHREECEM</t>
  </si>
  <si>
    <t>BAHETI,</t>
  </si>
  <si>
    <t>Shree Digvijay Cement Company Ltd.</t>
  </si>
  <si>
    <t>SHREDIGCEM</t>
  </si>
  <si>
    <t>Shree Karni Fabcom Ltd.</t>
  </si>
  <si>
    <t>SHREEKARNI</t>
  </si>
  <si>
    <t>514140,</t>
  </si>
  <si>
    <t>Shree OSFM E-Mobility Ltd.</t>
  </si>
  <si>
    <t>SHREEOSFM</t>
  </si>
  <si>
    <t>544178,</t>
  </si>
  <si>
    <t>Shakti Press Ltd.</t>
  </si>
  <si>
    <t>SHAKTIPR</t>
  </si>
  <si>
    <t>SEYAIND,</t>
  </si>
  <si>
    <t>Shree Oswal Seeds and Chemicals Ltd.</t>
  </si>
  <si>
    <t>OSWALSEEDS</t>
  </si>
  <si>
    <t>Shree Pushkar Chemicals &amp; Fertilisers Ltd.</t>
  </si>
  <si>
    <t>SHREEPUSHK</t>
  </si>
  <si>
    <t>517477,</t>
  </si>
  <si>
    <t>Shree Ram Proteins Ltd.</t>
  </si>
  <si>
    <t>SRPL</t>
  </si>
  <si>
    <t>500389,</t>
  </si>
  <si>
    <t>Shree Rama Multi-Tech Ltd.</t>
  </si>
  <si>
    <t>SHREERAMA</t>
  </si>
  <si>
    <t>521222,</t>
  </si>
  <si>
    <t>Droneacharya Aerial Innovations Ltd.</t>
  </si>
  <si>
    <t>DRONACHRYA</t>
  </si>
  <si>
    <t>SHK,</t>
  </si>
  <si>
    <t>Shree Rama Newsprint Ltd.</t>
  </si>
  <si>
    <t>RAMANEWS</t>
  </si>
  <si>
    <t>PFOCUS,</t>
  </si>
  <si>
    <t>Exhicon Events Media Solutions Ltd.</t>
  </si>
  <si>
    <t>EXHICON</t>
  </si>
  <si>
    <t>SHAH,</t>
  </si>
  <si>
    <t>Innovatus Entertainment Networks Ltd.</t>
  </si>
  <si>
    <t>INNOVATUS</t>
  </si>
  <si>
    <t>526508,</t>
  </si>
  <si>
    <t>Shree Renuka Sugars Ltd.</t>
  </si>
  <si>
    <t>RENUKA</t>
  </si>
  <si>
    <t>504959,</t>
  </si>
  <si>
    <t>ITCONS E-Solutions Ltd.</t>
  </si>
  <si>
    <t>ITCONS</t>
  </si>
  <si>
    <t>SHAILY,</t>
  </si>
  <si>
    <t>Shree Tirupati Balajee Agro Trading Company Ltd</t>
  </si>
  <si>
    <t>BALAJEE</t>
  </si>
  <si>
    <t>SANOFI,</t>
  </si>
  <si>
    <t>Shree Tirupati Balajee FIBC Ltd.</t>
  </si>
  <si>
    <t>TIRUPATI</t>
  </si>
  <si>
    <t>RSSOFTWARE,</t>
  </si>
  <si>
    <t>Maruti Interior Products Ltd.</t>
  </si>
  <si>
    <t>SPITZE</t>
  </si>
  <si>
    <t>SHAKTIPUMP,</t>
  </si>
  <si>
    <t>Nirmitee Robotics India Ltd.</t>
  </si>
  <si>
    <t>NIRMITEE</t>
  </si>
  <si>
    <t>SHALBY,</t>
  </si>
  <si>
    <t>Shree Vasu Logistics Ltd.</t>
  </si>
  <si>
    <t>SVLL</t>
  </si>
  <si>
    <t>526345,</t>
  </si>
  <si>
    <t>Rithwik Facility Management Services Ltd.</t>
  </si>
  <si>
    <t>RITHWIKFMS</t>
  </si>
  <si>
    <t>Sanghvi Brands Ltd.</t>
  </si>
  <si>
    <t>SBRANDS</t>
  </si>
  <si>
    <t>SHALPAINTS,</t>
  </si>
  <si>
    <t>Shrem InvIT</t>
  </si>
  <si>
    <t>SHREMINVIT</t>
  </si>
  <si>
    <t>SHREMINVIT,</t>
  </si>
  <si>
    <t>JWL,</t>
  </si>
  <si>
    <t>Shrenik Ltd.</t>
  </si>
  <si>
    <t>SHRENIK</t>
  </si>
  <si>
    <t>VLEGOV,</t>
  </si>
  <si>
    <t>Shreyans Industries Ltd.</t>
  </si>
  <si>
    <t>SHREYANIND</t>
  </si>
  <si>
    <t>540404,</t>
  </si>
  <si>
    <t>Shri Ram Switchgears Ltd.</t>
  </si>
  <si>
    <t>SRIRAM</t>
  </si>
  <si>
    <t>537707,</t>
  </si>
  <si>
    <t>Gretex Corporate Services Ltd.</t>
  </si>
  <si>
    <t>GCSL</t>
  </si>
  <si>
    <t>SRD,</t>
  </si>
  <si>
    <t>Shri Techtex Ltd.</t>
  </si>
  <si>
    <t>SHRITECH</t>
  </si>
  <si>
    <t>519604,</t>
  </si>
  <si>
    <t>Praveg Ltd.</t>
  </si>
  <si>
    <t>PRAVEG</t>
  </si>
  <si>
    <t>SHANTHALA,</t>
  </si>
  <si>
    <t>Shriram Finance Ltd.</t>
  </si>
  <si>
    <t>SHRIRAMFIN</t>
  </si>
  <si>
    <t>SHRIRAMFIN,</t>
  </si>
  <si>
    <t>KILITCH,</t>
  </si>
  <si>
    <t>Sagarsoft (India) Ltd.</t>
  </si>
  <si>
    <t>SAGARSOFT</t>
  </si>
  <si>
    <t>539921,</t>
  </si>
  <si>
    <t>Shriram Pistons &amp; Rings Ltd</t>
  </si>
  <si>
    <t>SHRIPISTON</t>
  </si>
  <si>
    <t>HINDCOMPOS,</t>
  </si>
  <si>
    <t>Shriram Properties Ltd.</t>
  </si>
  <si>
    <t>SHRIRAMPPS</t>
  </si>
  <si>
    <t>506935,</t>
  </si>
  <si>
    <t>Shubhlaxmi Jewel Art Ltd.</t>
  </si>
  <si>
    <t>SHUBHLAXMI</t>
  </si>
  <si>
    <t>DREAMFOLKS,</t>
  </si>
  <si>
    <t>Shubhshree Biofuels Energy Ltd.</t>
  </si>
  <si>
    <t>SHUBHSHREE</t>
  </si>
  <si>
    <t>Mach Conferences and Events Ltd.</t>
  </si>
  <si>
    <t>MCEL</t>
  </si>
  <si>
    <t>519397,</t>
  </si>
  <si>
    <t>Share Samadhan Ltd.</t>
  </si>
  <si>
    <t>SSL</t>
  </si>
  <si>
    <t>SHARDACROP,</t>
  </si>
  <si>
    <t>Shyam Metalics And Energy Ltd.</t>
  </si>
  <si>
    <t>SHYAMMETL</t>
  </si>
  <si>
    <t>SPECTRUM,</t>
  </si>
  <si>
    <t>Shyam Telecom Ltd.</t>
  </si>
  <si>
    <t>SHYAMTEL</t>
  </si>
  <si>
    <t>543515,</t>
  </si>
  <si>
    <t>Sical Logistics Ltd.</t>
  </si>
  <si>
    <t>SICALLOG</t>
  </si>
  <si>
    <t>539469,</t>
  </si>
  <si>
    <t>Siddhika Coatings Ltd.</t>
  </si>
  <si>
    <t>SIDDHIKA</t>
  </si>
  <si>
    <t>Siemens Ltd.</t>
  </si>
  <si>
    <t>SIEMENS</t>
  </si>
  <si>
    <t>504380,</t>
  </si>
  <si>
    <t>Sigachi Industries Ltd.</t>
  </si>
  <si>
    <t>SIGACHI</t>
  </si>
  <si>
    <t>BCONCEPTS,</t>
  </si>
  <si>
    <t>Sigma Solve Ltd.</t>
  </si>
  <si>
    <t>SIGMA</t>
  </si>
  <si>
    <t>ARKADE,</t>
  </si>
  <si>
    <t>Signatureglobal (India) Ltd.</t>
  </si>
  <si>
    <t>SIGNATURE</t>
  </si>
  <si>
    <t>523232,</t>
  </si>
  <si>
    <t>Signet Industries Ltd.</t>
  </si>
  <si>
    <t>SIGIND</t>
  </si>
  <si>
    <t>Signoria Creation Ltd.</t>
  </si>
  <si>
    <t>SIGNORIA</t>
  </si>
  <si>
    <t>Continental Petroleums Ltd.</t>
  </si>
  <si>
    <t>CONTPTR</t>
  </si>
  <si>
    <t>540147,</t>
  </si>
  <si>
    <t>Signpost India Ltd.</t>
  </si>
  <si>
    <t>SIGNPOST</t>
  </si>
  <si>
    <t>3RDROCK,</t>
  </si>
  <si>
    <t>Sikko Industries Ltd.</t>
  </si>
  <si>
    <t>SIKKO</t>
  </si>
  <si>
    <t>PDMJEPAPER,</t>
  </si>
  <si>
    <t>SIL Investments Ltd.</t>
  </si>
  <si>
    <t>SILINV</t>
  </si>
  <si>
    <t>SILINV,</t>
  </si>
  <si>
    <t>KOKUYOCMLN,</t>
  </si>
  <si>
    <t>SILGO Retail Ltd.</t>
  </si>
  <si>
    <t>SILGO</t>
  </si>
  <si>
    <t>BALAJEE,</t>
  </si>
  <si>
    <t>Silkflex Polymers (India) Ltd.</t>
  </si>
  <si>
    <t>SILKFLEX</t>
  </si>
  <si>
    <t>UMESLTD,</t>
  </si>
  <si>
    <t>Silly Monks Entertainment Ltd.</t>
  </si>
  <si>
    <t>SILLYMONKS</t>
  </si>
  <si>
    <t>Associated Ceramics Ltd.</t>
  </si>
  <si>
    <t>ASSOCER</t>
  </si>
  <si>
    <t>SHEMAROO,</t>
  </si>
  <si>
    <t>Silver Touch Technologies Ltd.</t>
  </si>
  <si>
    <t>SILVERTUC</t>
  </si>
  <si>
    <t>506734,</t>
  </si>
  <si>
    <t>Lerthai Finance Ltd.</t>
  </si>
  <si>
    <t>LERTHAI</t>
  </si>
  <si>
    <t>526117,</t>
  </si>
  <si>
    <t>Morganite Crucible (India) Ltd.</t>
  </si>
  <si>
    <t>MORGANITE</t>
  </si>
  <si>
    <t>539111,</t>
  </si>
  <si>
    <t>Nilachal Refractories Ltd.</t>
  </si>
  <si>
    <t>NILACHAL</t>
  </si>
  <si>
    <t>526137,</t>
  </si>
  <si>
    <t>Simbhaoli Sugars Ltd.</t>
  </si>
  <si>
    <t>SIMBHALS</t>
  </si>
  <si>
    <t>530495,</t>
  </si>
  <si>
    <t>Simplex Infrastructures Ltd.</t>
  </si>
  <si>
    <t>SIMPLEXINF</t>
  </si>
  <si>
    <t>GREENCHEF,</t>
  </si>
  <si>
    <t>Sinclairs Hotels Ltd.</t>
  </si>
  <si>
    <t>SINCLAIR</t>
  </si>
  <si>
    <t>523373,</t>
  </si>
  <si>
    <t>Sindhu Trade Links Ltd.</t>
  </si>
  <si>
    <t>SINDHUTRAD</t>
  </si>
  <si>
    <t>SINDHUTRAD,</t>
  </si>
  <si>
    <t>KITEX,</t>
  </si>
  <si>
    <t>Sintercom India Ltd.</t>
  </si>
  <si>
    <t>SINTERCOM</t>
  </si>
  <si>
    <t>AKUMS,</t>
  </si>
  <si>
    <t>SIRCA Paints India Ltd.</t>
  </si>
  <si>
    <t>SIRCA</t>
  </si>
  <si>
    <t>IDEA,</t>
  </si>
  <si>
    <t>SIS Ltd.</t>
  </si>
  <si>
    <t>SIS</t>
  </si>
  <si>
    <t>SHANTI,</t>
  </si>
  <si>
    <t>Vikram Kamats Hospitality Ltd.</t>
  </si>
  <si>
    <t>KAMATS</t>
  </si>
  <si>
    <t>SHIVAUM,</t>
  </si>
  <si>
    <t>Siti Networks Ltd.</t>
  </si>
  <si>
    <t>SITINET</t>
  </si>
  <si>
    <t>505872,</t>
  </si>
  <si>
    <t>Neopolitan Pizza and Foods Ltd.</t>
  </si>
  <si>
    <t>NPFL</t>
  </si>
  <si>
    <t>532323,</t>
  </si>
  <si>
    <t>Siyaram Silk Mills Ltd.</t>
  </si>
  <si>
    <t>SIYSIL</t>
  </si>
  <si>
    <t>539798,</t>
  </si>
  <si>
    <t>SJ Logistics (India) Ltd.</t>
  </si>
  <si>
    <t>SJLOGISTIC</t>
  </si>
  <si>
    <t>PANSARI,</t>
  </si>
  <si>
    <t>SJS Enterprises Ltd.</t>
  </si>
  <si>
    <t>SJS</t>
  </si>
  <si>
    <t>AKZOINDIA,</t>
  </si>
  <si>
    <t>SJVN Ltd.</t>
  </si>
  <si>
    <t>SJVN</t>
  </si>
  <si>
    <t>540728,</t>
  </si>
  <si>
    <t>3C IT Solutions &amp; Telecom (India) Ltd.</t>
  </si>
  <si>
    <t>3CIT</t>
  </si>
  <si>
    <t>522237,</t>
  </si>
  <si>
    <t>Aditya Consumer Marketing Ltd.</t>
  </si>
  <si>
    <t>ACML</t>
  </si>
  <si>
    <t>SPCL,</t>
  </si>
  <si>
    <t>SKF India Ltd.</t>
  </si>
  <si>
    <t>SKFINDIA</t>
  </si>
  <si>
    <t>APEXECO,</t>
  </si>
  <si>
    <t>SKIL Infrastructure Ltd.</t>
  </si>
  <si>
    <t>SKIL</t>
  </si>
  <si>
    <t>530161,</t>
  </si>
  <si>
    <t>Skipper Ltd.</t>
  </si>
  <si>
    <t>SKIPPER</t>
  </si>
  <si>
    <t>HINDCOPPER,</t>
  </si>
  <si>
    <t>SKM Egg Products Export (India) Ltd.</t>
  </si>
  <si>
    <t>SKMEGGPROD</t>
  </si>
  <si>
    <t>DICIND,</t>
  </si>
  <si>
    <t>SKP Bearing Industries Ltd.</t>
  </si>
  <si>
    <t>SKP</t>
  </si>
  <si>
    <t>ANUHPHR,</t>
  </si>
  <si>
    <t>JLA Infraville Shoppers Ltd.</t>
  </si>
  <si>
    <t>JSHL</t>
  </si>
  <si>
    <t>SHOPERSTOP,</t>
  </si>
  <si>
    <t>Logica Infoway Ltd.</t>
  </si>
  <si>
    <t>LOGICA</t>
  </si>
  <si>
    <t>531771,</t>
  </si>
  <si>
    <t>Mafia Trends Ltd.</t>
  </si>
  <si>
    <t>MAFIA</t>
  </si>
  <si>
    <t>543976,</t>
  </si>
  <si>
    <t>Sky Gold Ltd.</t>
  </si>
  <si>
    <t>SKYGOLD</t>
  </si>
  <si>
    <t>531346,</t>
  </si>
  <si>
    <t>Slone Infosystems Ltd.</t>
  </si>
  <si>
    <t>SLONE</t>
  </si>
  <si>
    <t>USHAMART,</t>
  </si>
  <si>
    <t>Smartlink Holdings Ltd.</t>
  </si>
  <si>
    <t>SMARTLINK</t>
  </si>
  <si>
    <t>531832,</t>
  </si>
  <si>
    <t>Sabrimala Industries India Ltd.</t>
  </si>
  <si>
    <t>SIIL</t>
  </si>
  <si>
    <t>SHREECEM,</t>
  </si>
  <si>
    <t>Shantiguru Industries Ltd.</t>
  </si>
  <si>
    <t>SHANTIGURU</t>
  </si>
  <si>
    <t>SHREDIGCEM,</t>
  </si>
  <si>
    <t>SMC Global Securities Ltd.</t>
  </si>
  <si>
    <t>SMCGLOBAL</t>
  </si>
  <si>
    <t>SMCGLOBAL,</t>
  </si>
  <si>
    <t>539227,</t>
  </si>
  <si>
    <t>White Organic Retail Ltd.</t>
  </si>
  <si>
    <t>WORL</t>
  </si>
  <si>
    <t>530797,</t>
  </si>
  <si>
    <t>SML Isuzu Ltd.</t>
  </si>
  <si>
    <t>SMLISUZU</t>
  </si>
  <si>
    <t>AMBANIORGO,</t>
  </si>
  <si>
    <t>SMS Lifesciences India Ltd.</t>
  </si>
  <si>
    <t>SMSLIFE</t>
  </si>
  <si>
    <t>REPRO,</t>
  </si>
  <si>
    <t>SMS Pharmaceuticals Ltd.</t>
  </si>
  <si>
    <t>SMSPHARMA</t>
  </si>
  <si>
    <t>543805,</t>
  </si>
  <si>
    <t>SMVD Poly Pack Ltd.</t>
  </si>
  <si>
    <t>SMVD</t>
  </si>
  <si>
    <t>Snowman Logistics Ltd.</t>
  </si>
  <si>
    <t>SNOWMAN</t>
  </si>
  <si>
    <t>539143,</t>
  </si>
  <si>
    <t>Bhatia Communications &amp; Retail (India) Ltd.</t>
  </si>
  <si>
    <t>BHATIA</t>
  </si>
  <si>
    <t>500388,</t>
  </si>
  <si>
    <t>Sobha Ltd.</t>
  </si>
  <si>
    <t>SOBHA</t>
  </si>
  <si>
    <t>COOLCAPS,</t>
  </si>
  <si>
    <t>Chandni Machines Ltd.</t>
  </si>
  <si>
    <t>CHANDNIMACH</t>
  </si>
  <si>
    <t>544083,</t>
  </si>
  <si>
    <t>SoftTech Engineers Ltd.</t>
  </si>
  <si>
    <t>SOFTTECH</t>
  </si>
  <si>
    <t>Solar Industries India Ltd.</t>
  </si>
  <si>
    <t>SOLARINDS</t>
  </si>
  <si>
    <t>543439,</t>
  </si>
  <si>
    <t>Solara Active Pharma Sciences Ltd.</t>
  </si>
  <si>
    <t>SOLARA</t>
  </si>
  <si>
    <t>524218,</t>
  </si>
  <si>
    <t>Solex Energy Ltd.</t>
  </si>
  <si>
    <t>SOLEX</t>
  </si>
  <si>
    <t>524444,</t>
  </si>
  <si>
    <t>Solve Plastic Products Ltd.</t>
  </si>
  <si>
    <t>BALCO</t>
  </si>
  <si>
    <t>514280,</t>
  </si>
  <si>
    <t>Som Distilleries Breweries &amp; Wineries Ltd.</t>
  </si>
  <si>
    <t>SDBL</t>
  </si>
  <si>
    <t>Nivaka Fashions Ltd.</t>
  </si>
  <si>
    <t>NIVAKA</t>
  </si>
  <si>
    <t>503837,</t>
  </si>
  <si>
    <t>Olympia Industries Ltd.</t>
  </si>
  <si>
    <t>OLYMPTX</t>
  </si>
  <si>
    <t>530295,</t>
  </si>
  <si>
    <t>Soma Textiles &amp; Industries Ltd.</t>
  </si>
  <si>
    <t>SOMATEX</t>
  </si>
  <si>
    <t>TCL,</t>
  </si>
  <si>
    <t>PNGS Gargi Fashion Jewellery Ltd.</t>
  </si>
  <si>
    <t>GARGI</t>
  </si>
  <si>
    <t>SHREERAMA,</t>
  </si>
  <si>
    <t>Somany Ceramics Ltd.</t>
  </si>
  <si>
    <t>SOMANYCERA</t>
  </si>
  <si>
    <t>BANKA,</t>
  </si>
  <si>
    <t>Somi Conveyor Beltings Ltd.</t>
  </si>
  <si>
    <t>SOMICONVEY</t>
  </si>
  <si>
    <t>Sona BLW Precision Forgings Ltd.</t>
  </si>
  <si>
    <t>SONACOMS</t>
  </si>
  <si>
    <t>Sona Machinery Ltd.</t>
  </si>
  <si>
    <t>SONAMAC</t>
  </si>
  <si>
    <t>GUJRAFFIA,</t>
  </si>
  <si>
    <t>Sonam Ltd.</t>
  </si>
  <si>
    <t>SONAMLTD</t>
  </si>
  <si>
    <t>CYBERTECH,</t>
  </si>
  <si>
    <t>Sonata Software Ltd.</t>
  </si>
  <si>
    <t>SONATSOFTW</t>
  </si>
  <si>
    <t>542938,</t>
  </si>
  <si>
    <t>Sonu Infratech Ltd.</t>
  </si>
  <si>
    <t>SONUINFRA</t>
  </si>
  <si>
    <t>GLAND,</t>
  </si>
  <si>
    <t>Sotac Pharmaceuticals Ltd.</t>
  </si>
  <si>
    <t>SOTAC</t>
  </si>
  <si>
    <t>South West Pinnacle Exploration Ltd.</t>
  </si>
  <si>
    <t>SOUTHWEST</t>
  </si>
  <si>
    <t>531592,</t>
  </si>
  <si>
    <t>Southern Petrochemical Industries Corporation Ltd.</t>
  </si>
  <si>
    <t>SPIC</t>
  </si>
  <si>
    <t>IMAGICAA,</t>
  </si>
  <si>
    <t>SP Refractories Ltd.</t>
  </si>
  <si>
    <t>SPRL</t>
  </si>
  <si>
    <t>543963,</t>
  </si>
  <si>
    <t>Spacenet Enterprises India Ltd.</t>
  </si>
  <si>
    <t>SPCENET</t>
  </si>
  <si>
    <t>VOLTAMP,</t>
  </si>
  <si>
    <t>Spandana Sphoorty Financial Ltd.</t>
  </si>
  <si>
    <t>SPANDANA</t>
  </si>
  <si>
    <t>SPANDANA,</t>
  </si>
  <si>
    <t>KOTARISUG,</t>
  </si>
  <si>
    <t>Speciality Restaurants Ltd.</t>
  </si>
  <si>
    <t>SPECIALITY</t>
  </si>
  <si>
    <t>540693,</t>
  </si>
  <si>
    <t>Spectrum Electrical Industries Ltd.</t>
  </si>
  <si>
    <t>SPECTRUM</t>
  </si>
  <si>
    <t>543500,</t>
  </si>
  <si>
    <t>Spectrum Talent Management Ltd.</t>
  </si>
  <si>
    <t>SPECTSTM</t>
  </si>
  <si>
    <t>532455,</t>
  </si>
  <si>
    <t>Spencer's Retail Ltd.</t>
  </si>
  <si>
    <t>SPENCERS</t>
  </si>
  <si>
    <t>TIRUPATI,</t>
  </si>
  <si>
    <t>SPL Industries Ltd.</t>
  </si>
  <si>
    <t>SPLIL</t>
  </si>
  <si>
    <t>THANGAMAYL,</t>
  </si>
  <si>
    <t>SPML Infra Ltd.</t>
  </si>
  <si>
    <t>SPMLINFRA</t>
  </si>
  <si>
    <t>Captain Pipes Ltd.</t>
  </si>
  <si>
    <t>CAPPIPES</t>
  </si>
  <si>
    <t>531080,</t>
  </si>
  <si>
    <t>Cochin Malabar Estates &amp; Industries Ltd.</t>
  </si>
  <si>
    <t>COCHMAL</t>
  </si>
  <si>
    <t>SRIRAM,</t>
  </si>
  <si>
    <t>Dolfin Rubbers Ltd.</t>
  </si>
  <si>
    <t>DOLFIN</t>
  </si>
  <si>
    <t>SHRITECH,</t>
  </si>
  <si>
    <t>Eastern Treads Ltd.</t>
  </si>
  <si>
    <t>EASTRED</t>
  </si>
  <si>
    <t>538092,</t>
  </si>
  <si>
    <t>Sportking India Ltd.</t>
  </si>
  <si>
    <t>SPORTKING</t>
  </si>
  <si>
    <t>ANDHRSUGAR,</t>
  </si>
  <si>
    <t>SPP Polymer Ltd.</t>
  </si>
  <si>
    <t>SPPPOLY</t>
  </si>
  <si>
    <t>PPAP,</t>
  </si>
  <si>
    <t>Indag Rubber Ltd.</t>
  </si>
  <si>
    <t>INDAG</t>
  </si>
  <si>
    <t>MM Rubber Company Ltd.</t>
  </si>
  <si>
    <t>MMRUBBR-B</t>
  </si>
  <si>
    <t>SHRIPISTON,</t>
  </si>
  <si>
    <t>Sree Rayalaseema Hi-Strength Hypo Ltd.</t>
  </si>
  <si>
    <t>SRHHYPOLTD</t>
  </si>
  <si>
    <t>Sreeleathers Ltd.</t>
  </si>
  <si>
    <t>SREEL</t>
  </si>
  <si>
    <t>MANINFRA,</t>
  </si>
  <si>
    <t>SRF Ltd.</t>
  </si>
  <si>
    <t>SRF</t>
  </si>
  <si>
    <t>526731,</t>
  </si>
  <si>
    <t>SRG Housing Finance Ltd.</t>
  </si>
  <si>
    <t>SRGHFL</t>
  </si>
  <si>
    <t>SRGHFL,</t>
  </si>
  <si>
    <t>INFINIUM,</t>
  </si>
  <si>
    <t>Vamshi Rubber Ltd.</t>
  </si>
  <si>
    <t>VAMSHIRU</t>
  </si>
  <si>
    <t>SHUBHLAXMI,</t>
  </si>
  <si>
    <t>Sri Adhikari Brothers Television Network Ltd.</t>
  </si>
  <si>
    <t>SABTNL</t>
  </si>
  <si>
    <t>INDIFRA,</t>
  </si>
  <si>
    <t>Sri Havisha Hospitality and Infrastructure Ltd.</t>
  </si>
  <si>
    <t>HAVISHA</t>
  </si>
  <si>
    <t>MIRCELECTR,</t>
  </si>
  <si>
    <t>Srivari Spices &amp; Foods Ltd.</t>
  </si>
  <si>
    <t>SSFL</t>
  </si>
  <si>
    <t>DCMSRIND,</t>
  </si>
  <si>
    <t>Srivasavi Adhesive Tapes Ltd.</t>
  </si>
  <si>
    <t>SRIVASAVI</t>
  </si>
  <si>
    <t>RSWM,</t>
  </si>
  <si>
    <t>VMS Industries Ltd.</t>
  </si>
  <si>
    <t>VMS</t>
  </si>
  <si>
    <t>SHYAMMETL,</t>
  </si>
  <si>
    <t>SRM Contractors Ltd.</t>
  </si>
  <si>
    <t>SRM</t>
  </si>
  <si>
    <t>GLAXO,</t>
  </si>
  <si>
    <t>Standard Industries Ltd.</t>
  </si>
  <si>
    <t>SIL</t>
  </si>
  <si>
    <t>VR,</t>
  </si>
  <si>
    <t>Seacoast Shipping Services Ltd.</t>
  </si>
  <si>
    <t>SEACOAST</t>
  </si>
  <si>
    <t>Chowgule Steamships Ltd.</t>
  </si>
  <si>
    <t>CHOWGULSTM</t>
  </si>
  <si>
    <t>520141,</t>
  </si>
  <si>
    <t>Stanley Lifestyles Ltd.</t>
  </si>
  <si>
    <t>STANLEY</t>
  </si>
  <si>
    <t>503772,</t>
  </si>
  <si>
    <t>Star Cement Ltd.</t>
  </si>
  <si>
    <t>STARCEMENT</t>
  </si>
  <si>
    <t>BAJAJELEC,</t>
  </si>
  <si>
    <t>Global Offshore Services Ltd.</t>
  </si>
  <si>
    <t>GLOBOFFS</t>
  </si>
  <si>
    <t>Hariyana Ship Breakers Ltd.</t>
  </si>
  <si>
    <t>HRYNSHP</t>
  </si>
  <si>
    <t>526877,</t>
  </si>
  <si>
    <t>Star Health and Allied Insurance Company Ltd.</t>
  </si>
  <si>
    <t>STARHEALTH</t>
  </si>
  <si>
    <t>STARHEALTH,</t>
  </si>
  <si>
    <t>MRO-TEK,</t>
  </si>
  <si>
    <t>Shahi Shipping Ltd.</t>
  </si>
  <si>
    <t>SHAHISHIP</t>
  </si>
  <si>
    <t>SIEMENS,</t>
  </si>
  <si>
    <t>Star Paper Mills Ltd.</t>
  </si>
  <si>
    <t>STARPAPER</t>
  </si>
  <si>
    <t>530695,</t>
  </si>
  <si>
    <t>Starteck Finance Ltd.</t>
  </si>
  <si>
    <t>STARTECK</t>
  </si>
  <si>
    <t>STARTECK,</t>
  </si>
  <si>
    <t>KPITTECH,</t>
  </si>
  <si>
    <t>State Bank Of India</t>
  </si>
  <si>
    <t>SBIN</t>
  </si>
  <si>
    <t>531673,</t>
  </si>
  <si>
    <t>Steel Authority Of India Ltd.</t>
  </si>
  <si>
    <t>SAIL</t>
  </si>
  <si>
    <t>531982,</t>
  </si>
  <si>
    <t>Steel City Securities Ltd.</t>
  </si>
  <si>
    <t>STEELCITY</t>
  </si>
  <si>
    <t>STEELCITY,</t>
  </si>
  <si>
    <t>Steel Exchange India Ltd.</t>
  </si>
  <si>
    <t>STEELXIND</t>
  </si>
  <si>
    <t>504180,</t>
  </si>
  <si>
    <t>Mayank Cattle Food Ltd.</t>
  </si>
  <si>
    <t>MCFL</t>
  </si>
  <si>
    <t>523606,</t>
  </si>
  <si>
    <t>Steel Strips Wheels Ltd.</t>
  </si>
  <si>
    <t>SSWL</t>
  </si>
  <si>
    <t>539115,</t>
  </si>
  <si>
    <t>Shri Venkatesh Refineries Ltd.</t>
  </si>
  <si>
    <t>SVRL</t>
  </si>
  <si>
    <t>524642,</t>
  </si>
  <si>
    <t>Steelcast Ltd.</t>
  </si>
  <si>
    <t>STEELCAS</t>
  </si>
  <si>
    <t>AVADHSUGAR,</t>
  </si>
  <si>
    <t>IEL Ltd.</t>
  </si>
  <si>
    <t>INDXTRA</t>
  </si>
  <si>
    <t>SILGO,</t>
  </si>
  <si>
    <t>Khandelwal Extractions Ltd.</t>
  </si>
  <si>
    <t>ZKHANDEN</t>
  </si>
  <si>
    <t>543615,</t>
  </si>
  <si>
    <t>Kisaan Parivar Industries Ltd.</t>
  </si>
  <si>
    <t>KISAAN</t>
  </si>
  <si>
    <t>SILKFLEX,</t>
  </si>
  <si>
    <t>STEL Holdings Ltd.</t>
  </si>
  <si>
    <t>STEL</t>
  </si>
  <si>
    <t>STEL,</t>
  </si>
  <si>
    <t>PAOS Industries Ltd</t>
  </si>
  <si>
    <t>PAOS</t>
  </si>
  <si>
    <t>531635,</t>
  </si>
  <si>
    <t>Sterling and Wilson Renewable Energy Ltd.</t>
  </si>
  <si>
    <t>SWSOLAR</t>
  </si>
  <si>
    <t>544163,</t>
  </si>
  <si>
    <t>Shree Rajivlochan Oil Extraction Ltd.</t>
  </si>
  <si>
    <t>SHRAJOI</t>
  </si>
  <si>
    <t>SILVERTUC,</t>
  </si>
  <si>
    <t>Sterling Tools Ltd.</t>
  </si>
  <si>
    <t>STERTOOLS</t>
  </si>
  <si>
    <t>Unique Organics Ltd.</t>
  </si>
  <si>
    <t>UNIQUEO</t>
  </si>
  <si>
    <t>SIMBHALS,</t>
  </si>
  <si>
    <t>Wardwizard Foods and Beverages Ltd.</t>
  </si>
  <si>
    <t>WARDWIZFBL</t>
  </si>
  <si>
    <t>507998,</t>
  </si>
  <si>
    <t>BN Holdings Ltd.</t>
  </si>
  <si>
    <t>BNHOLDINGS</t>
  </si>
  <si>
    <t>513472,</t>
  </si>
  <si>
    <t>Sterlite Technologies Ltd.</t>
  </si>
  <si>
    <t>STLTECH</t>
  </si>
  <si>
    <t>539099,</t>
  </si>
  <si>
    <t>Cosmic CRF Ltd.</t>
  </si>
  <si>
    <t>COSMICCRF</t>
  </si>
  <si>
    <t>533019,</t>
  </si>
  <si>
    <t>STL Global Ltd.</t>
  </si>
  <si>
    <t>SGL</t>
  </si>
  <si>
    <t>BYKE,</t>
  </si>
  <si>
    <t>Stove Kraft Ltd.</t>
  </si>
  <si>
    <t>STOVEKRAFT</t>
  </si>
  <si>
    <t>CYIENTDLM,</t>
  </si>
  <si>
    <t>Strides Pharma Science Ltd.</t>
  </si>
  <si>
    <t>STAR</t>
  </si>
  <si>
    <t>RESPONIND,</t>
  </si>
  <si>
    <t>Stylam Industries Ltd.</t>
  </si>
  <si>
    <t>STYLAMIND</t>
  </si>
  <si>
    <t>531157,</t>
  </si>
  <si>
    <t>Maiden Forgings Ltd.</t>
  </si>
  <si>
    <t>MAIDEN</t>
  </si>
  <si>
    <t>SINTERCOM,</t>
  </si>
  <si>
    <t>Styrenix Performance Materials Ltd.</t>
  </si>
  <si>
    <t>STYRENIX</t>
  </si>
  <si>
    <t>538546,</t>
  </si>
  <si>
    <t>Subex Ltd.</t>
  </si>
  <si>
    <t>SUBEXLTD</t>
  </si>
  <si>
    <t>ONGC,</t>
  </si>
  <si>
    <t>Subros Ltd.</t>
  </si>
  <si>
    <t>SUBROS</t>
  </si>
  <si>
    <t>Rhetan TMT Ltd.</t>
  </si>
  <si>
    <t>RHETAN</t>
  </si>
  <si>
    <t>Scan Steels Ltd.</t>
  </si>
  <si>
    <t>SCANSTL</t>
  </si>
  <si>
    <t>SITINET,</t>
  </si>
  <si>
    <t>Sudarshan Chemical Industries Ltd.</t>
  </si>
  <si>
    <t>SUDARSCHEM</t>
  </si>
  <si>
    <t>522027,</t>
  </si>
  <si>
    <t>Sukhjit Starch &amp; Chemicals Ltd.</t>
  </si>
  <si>
    <t>SUKHJITS</t>
  </si>
  <si>
    <t>DIFFNKG,</t>
  </si>
  <si>
    <t>Sula Vineyards Ltd.</t>
  </si>
  <si>
    <t>SULA</t>
  </si>
  <si>
    <t>ARVEE,</t>
  </si>
  <si>
    <t>Sumit Woods Ltd.</t>
  </si>
  <si>
    <t>SUMIT</t>
  </si>
  <si>
    <t>CORDSCABLE,</t>
  </si>
  <si>
    <t>Aanchal Ispat Ltd.</t>
  </si>
  <si>
    <t>AANCHALISP</t>
  </si>
  <si>
    <t>SJS,</t>
  </si>
  <si>
    <t>Aditya Ispat Ltd.</t>
  </si>
  <si>
    <t>ADITYA</t>
  </si>
  <si>
    <t>SJVN,</t>
  </si>
  <si>
    <t>Ahmedabad Steelcraft Ltd.</t>
  </si>
  <si>
    <t>AHMDSTE</t>
  </si>
  <si>
    <t>SKFINDIA,</t>
  </si>
  <si>
    <t>Sumitomo Chemical India Ltd.</t>
  </si>
  <si>
    <t>SUMICHEM</t>
  </si>
  <si>
    <t>Ashiana Ispat Ltd.</t>
  </si>
  <si>
    <t>ASHIS</t>
  </si>
  <si>
    <t>SKIPPER,</t>
  </si>
  <si>
    <t>Azad India Mobility Ltd.</t>
  </si>
  <si>
    <t>AZADIND</t>
  </si>
  <si>
    <t>SKMEGGPROD,</t>
  </si>
  <si>
    <t>Summit Securities Ltd.</t>
  </si>
  <si>
    <t>SUMMITSEC</t>
  </si>
  <si>
    <t>SUMMITSEC,</t>
  </si>
  <si>
    <t>KRISHCA,</t>
  </si>
  <si>
    <t>Beekay Steel Industries Ltd.</t>
  </si>
  <si>
    <t>BEEKAY</t>
  </si>
  <si>
    <t>Bombay Wire Ropes Ltd.</t>
  </si>
  <si>
    <t>BOMBWIR</t>
  </si>
  <si>
    <t>SKYGOLD,</t>
  </si>
  <si>
    <t>Sun Pharmaceutical Industries Ltd.</t>
  </si>
  <si>
    <t>SUNPHARMA</t>
  </si>
  <si>
    <t>515085,</t>
  </si>
  <si>
    <t>Dhatre Udyog Ltd.</t>
  </si>
  <si>
    <t>DHATRE</t>
  </si>
  <si>
    <t>505650,</t>
  </si>
  <si>
    <t>Sun TV Network Ltd.</t>
  </si>
  <si>
    <t>SUNTV</t>
  </si>
  <si>
    <t>Frontier Springs Ltd.</t>
  </si>
  <si>
    <t>FRONTSP</t>
  </si>
  <si>
    <t>SLONE,</t>
  </si>
  <si>
    <t>Sundaram Brake Linings Ltd.</t>
  </si>
  <si>
    <t>SUNDRMBRAK</t>
  </si>
  <si>
    <t>ALBERTDAVD,</t>
  </si>
  <si>
    <t>Sundaram Finance Holdings Ltd.</t>
  </si>
  <si>
    <t>SUNDARMHLD</t>
  </si>
  <si>
    <t>SUNDARMHLD,</t>
  </si>
  <si>
    <t>507155,</t>
  </si>
  <si>
    <t>Garg Furnace Ltd.</t>
  </si>
  <si>
    <t>GARGFUR</t>
  </si>
  <si>
    <t>Sundaram Finance Ltd.</t>
  </si>
  <si>
    <t>SUNDARMFIN</t>
  </si>
  <si>
    <t>SUNDARMFIN,</t>
  </si>
  <si>
    <t>KIMS,</t>
  </si>
  <si>
    <t>Sundaram Multi Pap Ltd.</t>
  </si>
  <si>
    <t>SUNDARAM</t>
  </si>
  <si>
    <t>Gopal Iron &amp; Steels Company (Gujarat) Ltd.</t>
  </si>
  <si>
    <t>GOPAIST</t>
  </si>
  <si>
    <t>Sundaram-Clayton Ltd.</t>
  </si>
  <si>
    <t>SUNCLAY</t>
  </si>
  <si>
    <t>ALEMBICLTD,</t>
  </si>
  <si>
    <t>Sundram Fasteners Ltd.</t>
  </si>
  <si>
    <t>SUNDRMFAST</t>
  </si>
  <si>
    <t>APLLTD,</t>
  </si>
  <si>
    <t>Heera Ispat Ltd.</t>
  </si>
  <si>
    <t>HEERAISP</t>
  </si>
  <si>
    <t>540686,</t>
  </si>
  <si>
    <t>Sunflag Iron And Steel Company Ltd.</t>
  </si>
  <si>
    <t>SUNFLAG</t>
  </si>
  <si>
    <t>SPECTSTM,</t>
  </si>
  <si>
    <t>Sungarner Energies Ltd.</t>
  </si>
  <si>
    <t>506906,</t>
  </si>
  <si>
    <t>Sunlite Recycling Industries Ltd.</t>
  </si>
  <si>
    <t>SUNLITE</t>
  </si>
  <si>
    <t>526747,</t>
  </si>
  <si>
    <t>India Steel Works Ltd.</t>
  </si>
  <si>
    <t>ISWL</t>
  </si>
  <si>
    <t>505827,</t>
  </si>
  <si>
    <t>Inducto Steel Ltd.</t>
  </si>
  <si>
    <t>INDCTST</t>
  </si>
  <si>
    <t>SNOWMAN,</t>
  </si>
  <si>
    <t>Sunrest Lifescience Ltd.</t>
  </si>
  <si>
    <t>SUNREST</t>
  </si>
  <si>
    <t>UCL,</t>
  </si>
  <si>
    <t>Sunteck Realty Ltd.</t>
  </si>
  <si>
    <t>SUNTECK</t>
  </si>
  <si>
    <t>COROMANDEL,</t>
  </si>
  <si>
    <t>Super Spinning Mills Ltd.</t>
  </si>
  <si>
    <t>SUPERSPIN</t>
  </si>
  <si>
    <t>506808,</t>
  </si>
  <si>
    <t>Superhouse Ltd.</t>
  </si>
  <si>
    <t>SUPERHOUSE</t>
  </si>
  <si>
    <t>MANAKALUCO,</t>
  </si>
  <si>
    <t>Suprajit Engineering Ltd.</t>
  </si>
  <si>
    <t>SUPRAJIT</t>
  </si>
  <si>
    <t>Supreme Engineering Ltd.</t>
  </si>
  <si>
    <t>SUPREMEENG</t>
  </si>
  <si>
    <t>544047,</t>
  </si>
  <si>
    <t>Kanishk Steel Industries Ltd.</t>
  </si>
  <si>
    <t>KANSHST</t>
  </si>
  <si>
    <t>SOFTTECH,</t>
  </si>
  <si>
    <t>Supreme Facility Management Ltd.</t>
  </si>
  <si>
    <t>SFML</t>
  </si>
  <si>
    <t>513548,</t>
  </si>
  <si>
    <t>Supreme Industries Ltd.</t>
  </si>
  <si>
    <t>SUPREMEIND</t>
  </si>
  <si>
    <t>524703,</t>
  </si>
  <si>
    <t>LA TIM Metal &amp; Industries Ltd.</t>
  </si>
  <si>
    <t>LATIMMETAL</t>
  </si>
  <si>
    <t>SOLEX,</t>
  </si>
  <si>
    <t>Mahalaxmi Seamless Ltd.</t>
  </si>
  <si>
    <t>MAHALXSE</t>
  </si>
  <si>
    <t>513699,</t>
  </si>
  <si>
    <t>Supreme Infrastructure India Ltd.</t>
  </si>
  <si>
    <t>SUPREMEINF</t>
  </si>
  <si>
    <t>MEDANTA,</t>
  </si>
  <si>
    <t>Supreme Petrochem Ltd.</t>
  </si>
  <si>
    <t>SPLPETRO</t>
  </si>
  <si>
    <t>BCG,</t>
  </si>
  <si>
    <t>Supreme Power Equipment Ltd.</t>
  </si>
  <si>
    <t>SUPREMEPWR</t>
  </si>
  <si>
    <t>EXCELINDUS,</t>
  </si>
  <si>
    <t>Supriya Lifescience Ltd.</t>
  </si>
  <si>
    <t>SUPRIYA</t>
  </si>
  <si>
    <t>543902,</t>
  </si>
  <si>
    <t>Suraj Estate Developers Ltd.</t>
  </si>
  <si>
    <t>SURAJEST</t>
  </si>
  <si>
    <t>543928,</t>
  </si>
  <si>
    <t>Metal Coatings (India) Ltd.</t>
  </si>
  <si>
    <t>METALCO</t>
  </si>
  <si>
    <t>SOMANYCERA,</t>
  </si>
  <si>
    <t>Suraj Ltd.</t>
  </si>
  <si>
    <t>SURAJLTD</t>
  </si>
  <si>
    <t>517166,</t>
  </si>
  <si>
    <t>Modern Steels Ltd.</t>
  </si>
  <si>
    <t>MDRNSTL</t>
  </si>
  <si>
    <t>SONACOMS,</t>
  </si>
  <si>
    <t>Suraksha Diagnostic Ltd.</t>
  </si>
  <si>
    <t>SURAKSHA</t>
  </si>
  <si>
    <t>MEGASOFT,</t>
  </si>
  <si>
    <t>Surana Solar Ltd.</t>
  </si>
  <si>
    <t>SURANASOL</t>
  </si>
  <si>
    <t>Surana Telecom And Power Ltd.</t>
  </si>
  <si>
    <t>SURANAT&amp;P</t>
  </si>
  <si>
    <t>532102,</t>
  </si>
  <si>
    <t>Mukat Pipes Ltd.</t>
  </si>
  <si>
    <t>MUKATPIP</t>
  </si>
  <si>
    <t>543924,</t>
  </si>
  <si>
    <t>National General Industries Ltd.</t>
  </si>
  <si>
    <t>NATGENI</t>
  </si>
  <si>
    <t>SONAMLTD,</t>
  </si>
  <si>
    <t>Surani Steel Tubes Ltd.</t>
  </si>
  <si>
    <t>SURANI</t>
  </si>
  <si>
    <t>SIYSIL,</t>
  </si>
  <si>
    <t>Nova Iron &amp; Steel Ltd.</t>
  </si>
  <si>
    <t>NOVIS</t>
  </si>
  <si>
    <t>539378,</t>
  </si>
  <si>
    <t>Suratwwala Business Group Ltd.</t>
  </si>
  <si>
    <t>SBGLP</t>
  </si>
  <si>
    <t>523100,</t>
  </si>
  <si>
    <t>Panchmahal Steel Ltd.</t>
  </si>
  <si>
    <t>PANCHMAHQ</t>
  </si>
  <si>
    <t>SOTAC,</t>
  </si>
  <si>
    <t>Surya Roshni Ltd.</t>
  </si>
  <si>
    <t>SURYAROSNI</t>
  </si>
  <si>
    <t>531364,</t>
  </si>
  <si>
    <t>Suryalakshmi Cotton Mills Ltd.</t>
  </si>
  <si>
    <t>SURYALAXMI</t>
  </si>
  <si>
    <t>GROBTEA,</t>
  </si>
  <si>
    <t>Suryoday Small Finance Bank Ltd.</t>
  </si>
  <si>
    <t>SURYODAY</t>
  </si>
  <si>
    <t>526241,</t>
  </si>
  <si>
    <t>Rajasthan Tube Manufacturing Company Ltd.</t>
  </si>
  <si>
    <t>RAJTUBE</t>
  </si>
  <si>
    <t>540174,</t>
  </si>
  <si>
    <t>Sutlej Textiles And Industries Ltd.</t>
  </si>
  <si>
    <t>SUTLEJTEX</t>
  </si>
  <si>
    <t>TVSHLTD,</t>
  </si>
  <si>
    <t>Rathi Bars Ltd.</t>
  </si>
  <si>
    <t>RATHIBAR</t>
  </si>
  <si>
    <t>513498,</t>
  </si>
  <si>
    <t>Rathi Steel &amp; Power Ltd.</t>
  </si>
  <si>
    <t>RATHIST</t>
  </si>
  <si>
    <t>SPIC,</t>
  </si>
  <si>
    <t>Suumaya Industries Ltd.</t>
  </si>
  <si>
    <t>SUULD</t>
  </si>
  <si>
    <t>Suven Life Sciences Ltd.</t>
  </si>
  <si>
    <t>SUVEN</t>
  </si>
  <si>
    <t>519191,</t>
  </si>
  <si>
    <t>Remi Edelstahl Tubulars Ltd.</t>
  </si>
  <si>
    <t>REMIEDEL</t>
  </si>
  <si>
    <t>SPRL,</t>
  </si>
  <si>
    <t>Rishabh Digha Steel &amp; Allied Products Ltd.</t>
  </si>
  <si>
    <t>RISHDIGA</t>
  </si>
  <si>
    <t>541890,</t>
  </si>
  <si>
    <t>Rudra Global Infra Products Ltd.</t>
  </si>
  <si>
    <t>RUDRA</t>
  </si>
  <si>
    <t>SPCENET,</t>
  </si>
  <si>
    <t>Suven Pharmaceuticals Ltd.</t>
  </si>
  <si>
    <t>SUVENPHAR</t>
  </si>
  <si>
    <t>RVTH,</t>
  </si>
  <si>
    <t>Suvidhaa Infoserve Ltd.</t>
  </si>
  <si>
    <t>SUVIDHAA</t>
  </si>
  <si>
    <t>M&amp;M,</t>
  </si>
  <si>
    <t>Suyog Telematics Ltd.</t>
  </si>
  <si>
    <t>SUYOG</t>
  </si>
  <si>
    <t>530845,</t>
  </si>
  <si>
    <t>Suzlon Energy Ltd.</t>
  </si>
  <si>
    <t>SUZLON</t>
  </si>
  <si>
    <t>522017,</t>
  </si>
  <si>
    <t>Shree Steel Wire Ropes Ltd.</t>
  </si>
  <si>
    <t>SSWRL</t>
  </si>
  <si>
    <t>513687,</t>
  </si>
  <si>
    <t>SVP Global Textiles Ltd.</t>
  </si>
  <si>
    <t>SVPGLOB</t>
  </si>
  <si>
    <t>HITECHGEAR,</t>
  </si>
  <si>
    <t>Swan Energy Ltd.</t>
  </si>
  <si>
    <t>SWANENERGY</t>
  </si>
  <si>
    <t>INDIACEM,</t>
  </si>
  <si>
    <t>Swaraj Engines Ltd.</t>
  </si>
  <si>
    <t>SWARAJENG</t>
  </si>
  <si>
    <t>517170,</t>
  </si>
  <si>
    <t>Swaraj Suiting Ltd.</t>
  </si>
  <si>
    <t>SWARAJ</t>
  </si>
  <si>
    <t>SUTLEJTEX,</t>
  </si>
  <si>
    <t>Swastik Pipes Ltd.</t>
  </si>
  <si>
    <t>SWASTIK</t>
  </si>
  <si>
    <t>513496,</t>
  </si>
  <si>
    <t>Swelect Energy Systems Ltd.</t>
  </si>
  <si>
    <t>SWELECTES</t>
  </si>
  <si>
    <t>GANDHAR,</t>
  </si>
  <si>
    <t>Tulsyan NEC Ltd.</t>
  </si>
  <si>
    <t>TULSYAN</t>
  </si>
  <si>
    <t>526827,</t>
  </si>
  <si>
    <t>Umiya Tubes Ltd.</t>
  </si>
  <si>
    <t>UMIYA</t>
  </si>
  <si>
    <t>500285,</t>
  </si>
  <si>
    <t>Unison Metals Ltd.</t>
  </si>
  <si>
    <t>UNISON</t>
  </si>
  <si>
    <t>SPLIL,</t>
  </si>
  <si>
    <t>Swiggy Ltd.</t>
  </si>
  <si>
    <t>SWIGGY</t>
  </si>
  <si>
    <t>504351,</t>
  </si>
  <si>
    <t>Vallabh Steels Ltd.</t>
  </si>
  <si>
    <t>VALLABHSQ</t>
  </si>
  <si>
    <t>SPORTKING,</t>
  </si>
  <si>
    <t>Sylvan Plyboard (India) Ltd.</t>
  </si>
  <si>
    <t>SYLVANPLY</t>
  </si>
  <si>
    <t>538579,</t>
  </si>
  <si>
    <t>Symphony Ltd.</t>
  </si>
  <si>
    <t>SYMPHONY</t>
  </si>
  <si>
    <t>CYIENT,</t>
  </si>
  <si>
    <t>Syncom Formulations (India) Ltd.</t>
  </si>
  <si>
    <t>SYNCOMF</t>
  </si>
  <si>
    <t>REXPIPES,</t>
  </si>
  <si>
    <t>Synergy Green Industries Ltd.</t>
  </si>
  <si>
    <t>SGIL</t>
  </si>
  <si>
    <t>Syngene International Ltd.</t>
  </si>
  <si>
    <t>SYNGENE</t>
  </si>
  <si>
    <t>531888,</t>
  </si>
  <si>
    <t>Welspun Specialty Solutions Ltd.</t>
  </si>
  <si>
    <t>WELSPLSOL</t>
  </si>
  <si>
    <t>SRHHYPOLTD,</t>
  </si>
  <si>
    <t>Synoptics Technologies Ltd.</t>
  </si>
  <si>
    <t>SYNOPTICS</t>
  </si>
  <si>
    <t>Syrma SGS Technology Ltd.</t>
  </si>
  <si>
    <t>SYRMA</t>
  </si>
  <si>
    <t>GANDHITUBE,</t>
  </si>
  <si>
    <t>Systango Technologies Ltd.</t>
  </si>
  <si>
    <t>SYSTANGO</t>
  </si>
  <si>
    <t>531416,</t>
  </si>
  <si>
    <t>T.T. Ltd.</t>
  </si>
  <si>
    <t>TTL</t>
  </si>
  <si>
    <t>540954,</t>
  </si>
  <si>
    <t>TAC Infosec Ltd.</t>
  </si>
  <si>
    <t>TAC</t>
  </si>
  <si>
    <t>ASHALOG,</t>
  </si>
  <si>
    <t>Tainwala Chemicals &amp; Plastics (India) Ltd.</t>
  </si>
  <si>
    <t>TAINWALCHM</t>
  </si>
  <si>
    <t>SANDUMA,</t>
  </si>
  <si>
    <t>Taj GVK Hotels &amp; Resorts Ltd.</t>
  </si>
  <si>
    <t>TAJGVK</t>
  </si>
  <si>
    <t>MIRZAINT,</t>
  </si>
  <si>
    <t>Take Solutions Ltd.</t>
  </si>
  <si>
    <t>TAKE</t>
  </si>
  <si>
    <t>NARMADA,</t>
  </si>
  <si>
    <t>Ashirwad Steels &amp; Industries Ltd.</t>
  </si>
  <si>
    <t>ASHSI</t>
  </si>
  <si>
    <t>521161,</t>
  </si>
  <si>
    <t>Bihar Sponge Iron Ltd.</t>
  </si>
  <si>
    <t>BIHSPONG</t>
  </si>
  <si>
    <t>521234,</t>
  </si>
  <si>
    <t>Chennai Ferrous Industries Ltd.</t>
  </si>
  <si>
    <t>CHENFERRO</t>
  </si>
  <si>
    <t>521178,</t>
  </si>
  <si>
    <t>Elango Industries Ltd.</t>
  </si>
  <si>
    <t>ELANGO</t>
  </si>
  <si>
    <t>518053,</t>
  </si>
  <si>
    <t>Talbros Automotive Components Ltd.</t>
  </si>
  <si>
    <t>TALBROAUTO</t>
  </si>
  <si>
    <t>530973,</t>
  </si>
  <si>
    <t>Tamil Nadu Newsprint &amp; Papers Ltd.</t>
  </si>
  <si>
    <t>TNPL</t>
  </si>
  <si>
    <t>506852,</t>
  </si>
  <si>
    <t>KIC Metaliks Ltd.</t>
  </si>
  <si>
    <t>KAJARIR</t>
  </si>
  <si>
    <t>SRM,</t>
  </si>
  <si>
    <t>Tamilnad Mercantile Bank Ltd.</t>
  </si>
  <si>
    <t>TMB</t>
  </si>
  <si>
    <t>531991,</t>
  </si>
  <si>
    <t>Tamilnadu Petroproducts Ltd.</t>
  </si>
  <si>
    <t>TNPETRO</t>
  </si>
  <si>
    <t>PURVFLEXI,</t>
  </si>
  <si>
    <t>Tamilnadu Telecommunications Ltd.</t>
  </si>
  <si>
    <t>TNTELE</t>
  </si>
  <si>
    <t>517429,</t>
  </si>
  <si>
    <t>Suraj Products Ltd.</t>
  </si>
  <si>
    <t>SURAJ</t>
  </si>
  <si>
    <t>Tanla Platforms Ltd.</t>
  </si>
  <si>
    <t>TANLA</t>
  </si>
  <si>
    <t>526415,</t>
  </si>
  <si>
    <t>Tantia Constructions Ltd.</t>
  </si>
  <si>
    <t>TCLCONS</t>
  </si>
  <si>
    <t>GREENLAM,</t>
  </si>
  <si>
    <t>Tapi Fruit Processing Ltd.</t>
  </si>
  <si>
    <t>TAPIFRUIT</t>
  </si>
  <si>
    <t>DCMSHRIRAM,</t>
  </si>
  <si>
    <t>Tara Chand Infralogistic Solutions Ltd.</t>
  </si>
  <si>
    <t>TARACHAND</t>
  </si>
  <si>
    <t>500322,</t>
  </si>
  <si>
    <t>Tarapur Transformers Ltd.</t>
  </si>
  <si>
    <t>TARAPUR</t>
  </si>
  <si>
    <t>FOCE,</t>
  </si>
  <si>
    <t>TARC Ltd.</t>
  </si>
  <si>
    <t>TARC</t>
  </si>
  <si>
    <t>543172,</t>
  </si>
  <si>
    <t>Tarmat Ltd.</t>
  </si>
  <si>
    <t>TARMAT</t>
  </si>
  <si>
    <t>GREENPANEL,</t>
  </si>
  <si>
    <t>Tarsons Products Ltd.</t>
  </si>
  <si>
    <t>TARSONS</t>
  </si>
  <si>
    <t>516096,</t>
  </si>
  <si>
    <t>Tasty Bite Eatables Ltd.</t>
  </si>
  <si>
    <t>TASTYBITE</t>
  </si>
  <si>
    <t>DIGIKORE,</t>
  </si>
  <si>
    <t>Tata Chemicals Ltd.</t>
  </si>
  <si>
    <t>TATACHEM</t>
  </si>
  <si>
    <t>544101,</t>
  </si>
  <si>
    <t>Tata Communications Ltd.</t>
  </si>
  <si>
    <t>TATACOMM</t>
  </si>
  <si>
    <t>SUPREMEINF,</t>
  </si>
  <si>
    <t>Tata Consultancy Services Ltd.</t>
  </si>
  <si>
    <t>TCS</t>
  </si>
  <si>
    <t>OLAELEC,</t>
  </si>
  <si>
    <t>Dhampure Speciality Sugars Ltd.</t>
  </si>
  <si>
    <t>DHAMPURE</t>
  </si>
  <si>
    <t>520155,</t>
  </si>
  <si>
    <t>Tata Consumer Products Ltd.</t>
  </si>
  <si>
    <t>TATACONSUM</t>
  </si>
  <si>
    <t>SUNPHARMA,</t>
  </si>
  <si>
    <t>Tata Elxsi Ltd.</t>
  </si>
  <si>
    <t>TATAELXSI</t>
  </si>
  <si>
    <t>OLECTRA,</t>
  </si>
  <si>
    <t>Gayatri Sugars Ltd.</t>
  </si>
  <si>
    <t>GAYATRI</t>
  </si>
  <si>
    <t>SAIL,</t>
  </si>
  <si>
    <t>Indian Sucrose Ltd.</t>
  </si>
  <si>
    <t>INDSUCR</t>
  </si>
  <si>
    <t>Tata Investment Corporation Ltd.</t>
  </si>
  <si>
    <t>TATAINVEST</t>
  </si>
  <si>
    <t>TATAINVEST,</t>
  </si>
  <si>
    <t>LANDMARK,</t>
  </si>
  <si>
    <t>Tata Motors Ltd.</t>
  </si>
  <si>
    <t>TATAMOTORS</t>
  </si>
  <si>
    <t>519471,</t>
  </si>
  <si>
    <t>Kesar Enterprises Ltd.</t>
  </si>
  <si>
    <t>KESARENT</t>
  </si>
  <si>
    <t>SSWL,</t>
  </si>
  <si>
    <t>Tata Power Company Ltd.</t>
  </si>
  <si>
    <t>TATAPOWER</t>
  </si>
  <si>
    <t>517360,</t>
  </si>
  <si>
    <t>Tata Steel Ltd.</t>
  </si>
  <si>
    <t>TATASTEEL</t>
  </si>
  <si>
    <t>SPENCERS,</t>
  </si>
  <si>
    <t>Tata Technologies Ltd.</t>
  </si>
  <si>
    <t>TATATECH</t>
  </si>
  <si>
    <t>521105,</t>
  </si>
  <si>
    <t>MPDL Ltd.</t>
  </si>
  <si>
    <t>MPDL</t>
  </si>
  <si>
    <t>Parvati Sweetners and Power Ltd.</t>
  </si>
  <si>
    <t>PARVATI</t>
  </si>
  <si>
    <t>Piccadily Sugar &amp; Allied Industries Ltd.</t>
  </si>
  <si>
    <t>PICCASUG</t>
  </si>
  <si>
    <t>Tata Teleservices (Maharashtra) Ltd.</t>
  </si>
  <si>
    <t>TTML</t>
  </si>
  <si>
    <t>SPLPETRO,</t>
  </si>
  <si>
    <t>Tatva Chintan Pharma Chem Ltd.</t>
  </si>
  <si>
    <t>TATVA</t>
  </si>
  <si>
    <t>BRITANNIA,</t>
  </si>
  <si>
    <t>TBI Corn Ltd.</t>
  </si>
  <si>
    <t>TBI</t>
  </si>
  <si>
    <t>DCW,</t>
  </si>
  <si>
    <t>TBO Tek Ltd.</t>
  </si>
  <si>
    <t>TBOTEK</t>
  </si>
  <si>
    <t>WINDMACHIN,</t>
  </si>
  <si>
    <t>Ravalgaon Sugar Farm Ltd.</t>
  </si>
  <si>
    <t>RAVALSUGAR</t>
  </si>
  <si>
    <t>STLTECH,</t>
  </si>
  <si>
    <t>TCI Express Ltd.</t>
  </si>
  <si>
    <t>TCIEXP</t>
  </si>
  <si>
    <t>530291,</t>
  </si>
  <si>
    <t>SBEC Sugar Ltd.</t>
  </si>
  <si>
    <t>SBECSUG</t>
  </si>
  <si>
    <t>544171,</t>
  </si>
  <si>
    <t>Shree Hanuman Sugar &amp; Industries Ltd.</t>
  </si>
  <si>
    <t>HANSUGAR</t>
  </si>
  <si>
    <t>STOVEKRAFT,</t>
  </si>
  <si>
    <t>TCI Finance Ltd.</t>
  </si>
  <si>
    <t>TCIFINANCE</t>
  </si>
  <si>
    <t>TCIFINANCE,</t>
  </si>
  <si>
    <t>KANSAINER,</t>
  </si>
  <si>
    <t>TCPL Packaging Ltd.</t>
  </si>
  <si>
    <t>TCPLPACK</t>
  </si>
  <si>
    <t>PIGL,</t>
  </si>
  <si>
    <t>Sir Shadi Lal Enterprises Ltd.</t>
  </si>
  <si>
    <t>SSLEL</t>
  </si>
  <si>
    <t>STAR,</t>
  </si>
  <si>
    <t>TD Power Systems Ltd.</t>
  </si>
  <si>
    <t>TDPOWERSYS</t>
  </si>
  <si>
    <t>FOCUS,</t>
  </si>
  <si>
    <t>TeamLease Services Ltd.</t>
  </si>
  <si>
    <t>TEAMLEASE</t>
  </si>
  <si>
    <t>544059,</t>
  </si>
  <si>
    <t>Teamo Productions HQ Ltd.</t>
  </si>
  <si>
    <t>TPHQ</t>
  </si>
  <si>
    <t>GREENPLY,</t>
  </si>
  <si>
    <t>Tech Mahindra Ltd.</t>
  </si>
  <si>
    <t>TECHM</t>
  </si>
  <si>
    <t>534190,</t>
  </si>
  <si>
    <t>TechEra Engineering India Ltd.</t>
  </si>
  <si>
    <t>TECHERA</t>
  </si>
  <si>
    <t>HONDAPOWER,</t>
  </si>
  <si>
    <t>Terai Tea Company Ltd.</t>
  </si>
  <si>
    <t>TERAI</t>
  </si>
  <si>
    <t>SUBROS,</t>
  </si>
  <si>
    <t>Indong Tea Company Ltd.</t>
  </si>
  <si>
    <t>INDONG</t>
  </si>
  <si>
    <t>506003,</t>
  </si>
  <si>
    <t>Andrew Yule &amp; Company Ltd.</t>
  </si>
  <si>
    <t>ANDREWYU</t>
  </si>
  <si>
    <t>SUDARSCHEM,</t>
  </si>
  <si>
    <t>B&amp;A Ltd.</t>
  </si>
  <si>
    <t>BNALTD</t>
  </si>
  <si>
    <t>543828,</t>
  </si>
  <si>
    <t>TechIndia Nirman Ltd.</t>
  </si>
  <si>
    <t>TECHIN</t>
  </si>
  <si>
    <t>543324,</t>
  </si>
  <si>
    <t>Techno Electric &amp; Engineering Company Ltd.</t>
  </si>
  <si>
    <t>TECHNOE</t>
  </si>
  <si>
    <t>GRETEX,</t>
  </si>
  <si>
    <t>Diana Tea Company Ltd.</t>
  </si>
  <si>
    <t>DIANATEA</t>
  </si>
  <si>
    <t>Goodricke Group Ltd.</t>
  </si>
  <si>
    <t>GOODRICKE</t>
  </si>
  <si>
    <t>SUKHJITS,</t>
  </si>
  <si>
    <t>James Warren Tea Ltd.</t>
  </si>
  <si>
    <t>JAMESWARREN</t>
  </si>
  <si>
    <t>SULA,</t>
  </si>
  <si>
    <t>Technocraft Industries (India) Ltd.</t>
  </si>
  <si>
    <t>TIIL</t>
  </si>
  <si>
    <t>526161,</t>
  </si>
  <si>
    <t>Kanco Tea &amp; Industries Ltd.</t>
  </si>
  <si>
    <t>KANCOTEA</t>
  </si>
  <si>
    <t>Tecil Chemicals &amp; Hydro Power Ltd.</t>
  </si>
  <si>
    <t>TECILCHEM</t>
  </si>
  <si>
    <t>Neelamalai Agro Industries Ltd.</t>
  </si>
  <si>
    <t>NEAGI</t>
  </si>
  <si>
    <t>SUMIT,</t>
  </si>
  <si>
    <t>Teerth Gopicon Ltd.</t>
  </si>
  <si>
    <t>TGL</t>
  </si>
  <si>
    <t>513528,</t>
  </si>
  <si>
    <t>Octavius Plantations Ltd.</t>
  </si>
  <si>
    <t>OCTAVIUSPL</t>
  </si>
  <si>
    <t>Retro Green Revolution Ltd.</t>
  </si>
  <si>
    <t>RGRL</t>
  </si>
  <si>
    <t>532070,</t>
  </si>
  <si>
    <t>Shri Vasuprada Plantations Ltd.</t>
  </si>
  <si>
    <t>VASUPRADA</t>
  </si>
  <si>
    <t>532872,</t>
  </si>
  <si>
    <t>Tega Industries Ltd.</t>
  </si>
  <si>
    <t>TEGA</t>
  </si>
  <si>
    <t>HINDMOTORS,</t>
  </si>
  <si>
    <t>Tejas Networks Ltd.</t>
  </si>
  <si>
    <t>TEJASNET</t>
  </si>
  <si>
    <t>Tembo Global Industries Ltd.</t>
  </si>
  <si>
    <t>TEMBO</t>
  </si>
  <si>
    <t>HINDOILEXP,</t>
  </si>
  <si>
    <t>Tera Software Ltd.</t>
  </si>
  <si>
    <t>TERASOFT</t>
  </si>
  <si>
    <t>OMINFRAL,</t>
  </si>
  <si>
    <t>Tyroon Tea Company Ltd.</t>
  </si>
  <si>
    <t>TYROON</t>
  </si>
  <si>
    <t>530795,</t>
  </si>
  <si>
    <t>Warren Tea Ltd.</t>
  </si>
  <si>
    <t>WARRENTEA</t>
  </si>
  <si>
    <t>SUNDRMBRAK,</t>
  </si>
  <si>
    <t>Bondada Engineering Ltd.</t>
  </si>
  <si>
    <t>BONDADA</t>
  </si>
  <si>
    <t>Texmaco Infrastructure &amp; Holdings Ltd.</t>
  </si>
  <si>
    <t>TEXINFRA</t>
  </si>
  <si>
    <t>538922,</t>
  </si>
  <si>
    <t>Texmaco Rail &amp; Engineering Ltd.</t>
  </si>
  <si>
    <t>TEXRAIL</t>
  </si>
  <si>
    <t>Texmo Pipes And Products Ltd.</t>
  </si>
  <si>
    <t>TEXMOPIPES</t>
  </si>
  <si>
    <t>SANGAMIND,</t>
  </si>
  <si>
    <t>ADC India Communications Ltd.</t>
  </si>
  <si>
    <t>ADCINDIA</t>
  </si>
  <si>
    <t>SUNDRMFAST,</t>
  </si>
  <si>
    <t>TGB Banquets And Hotels Ltd.</t>
  </si>
  <si>
    <t>TGBHOTELS</t>
  </si>
  <si>
    <t>544015,</t>
  </si>
  <si>
    <t>Thaai Casting Ltd.</t>
  </si>
  <si>
    <t>TCL</t>
  </si>
  <si>
    <t>AVANTIFEED,</t>
  </si>
  <si>
    <t>Thangamayil Jewellery Ltd.</t>
  </si>
  <si>
    <t>THANGAMAYL</t>
  </si>
  <si>
    <t>530643,</t>
  </si>
  <si>
    <t>The Andhra Sugars Ltd.</t>
  </si>
  <si>
    <t>ANDHRSUGAR</t>
  </si>
  <si>
    <t>The Anup Engineering Ltd.</t>
  </si>
  <si>
    <t>ANUP</t>
  </si>
  <si>
    <t>GAEL,</t>
  </si>
  <si>
    <t>Maestros Electronics &amp; Telecommunications Systems Ltd.</t>
  </si>
  <si>
    <t>METSL</t>
  </si>
  <si>
    <t>544001,</t>
  </si>
  <si>
    <t>Punjab Communications Ltd.</t>
  </si>
  <si>
    <t>PUNJCOMMU</t>
  </si>
  <si>
    <t>SUNLITE,</t>
  </si>
  <si>
    <t>Quadrant Televentures Ltd.</t>
  </si>
  <si>
    <t>QUADRANT</t>
  </si>
  <si>
    <t>SUNREST,</t>
  </si>
  <si>
    <t>The Byke Hospitality Ltd.</t>
  </si>
  <si>
    <t>BYKE</t>
  </si>
  <si>
    <t>539220,</t>
  </si>
  <si>
    <t>The Federal Bank Ltd.</t>
  </si>
  <si>
    <t>FEDERALBNK</t>
  </si>
  <si>
    <t>AMRUTANJAN,</t>
  </si>
  <si>
    <t>The Fertilisers And Chemicals Travancore Ltd.</t>
  </si>
  <si>
    <t>FACT</t>
  </si>
  <si>
    <t>531129,</t>
  </si>
  <si>
    <t>Telogica Ltd.</t>
  </si>
  <si>
    <t>TELOGICA</t>
  </si>
  <si>
    <t>SUNTECK,</t>
  </si>
  <si>
    <t>The Great Eastern Shipping Company Ltd.</t>
  </si>
  <si>
    <t>GESHIP</t>
  </si>
  <si>
    <t>SIGNATURE,</t>
  </si>
  <si>
    <t>Valiant Communications Ltd.</t>
  </si>
  <si>
    <t>VALIANT</t>
  </si>
  <si>
    <t>530883,</t>
  </si>
  <si>
    <t>The Grob Tea Company Ltd.</t>
  </si>
  <si>
    <t>GROBTEA</t>
  </si>
  <si>
    <t>542025,</t>
  </si>
  <si>
    <t>The Hi-Tech Gears Ltd.</t>
  </si>
  <si>
    <t>HITECHGEAR</t>
  </si>
  <si>
    <t>531156,</t>
  </si>
  <si>
    <t>The India Cements Ltd.</t>
  </si>
  <si>
    <t>INDIACEM</t>
  </si>
  <si>
    <t>Steelman Telecom Ltd.</t>
  </si>
  <si>
    <t>STML</t>
  </si>
  <si>
    <t>SUPERHOUSE,</t>
  </si>
  <si>
    <t>The Indian Hotels Company Ltd.</t>
  </si>
  <si>
    <t>INDHOTEL</t>
  </si>
  <si>
    <t>MIDHANI,</t>
  </si>
  <si>
    <t>City Online Services Ltd.</t>
  </si>
  <si>
    <t>CITYONLINE</t>
  </si>
  <si>
    <t>519234,</t>
  </si>
  <si>
    <t>The Investment Trust of India Ltd.</t>
  </si>
  <si>
    <t>THEINVEST</t>
  </si>
  <si>
    <t>THEINVEST,</t>
  </si>
  <si>
    <t>507474,</t>
  </si>
  <si>
    <t>The Jammu &amp; Kashmir Bank Ltd.</t>
  </si>
  <si>
    <t>J&amp;KBANK</t>
  </si>
  <si>
    <t>The Karnataka Bank Ltd.</t>
  </si>
  <si>
    <t>KTKBANK</t>
  </si>
  <si>
    <t>542721,</t>
  </si>
  <si>
    <t>The Motor &amp; General Finance Ltd.</t>
  </si>
  <si>
    <t>MOTOGENFIN</t>
  </si>
  <si>
    <t>MOTOGENFIN,</t>
  </si>
  <si>
    <t>The New India Assurance Company Ltd.</t>
  </si>
  <si>
    <t>NIACL</t>
  </si>
  <si>
    <t>NIACL,</t>
  </si>
  <si>
    <t>MRF,</t>
  </si>
  <si>
    <t>The Orissa Minerals Development Company Ltd.</t>
  </si>
  <si>
    <t>ORISSAMINE</t>
  </si>
  <si>
    <t>532355,</t>
  </si>
  <si>
    <t>The Peria Karamalai Tea And Produce Company Ltd.</t>
  </si>
  <si>
    <t>PKTEA</t>
  </si>
  <si>
    <t>SUNTV,</t>
  </si>
  <si>
    <t>The Phoenix Mills Ltd.</t>
  </si>
  <si>
    <t>PHOENIXLTD</t>
  </si>
  <si>
    <t>COUNCODOS,</t>
  </si>
  <si>
    <t>The Ramco Cements Ltd.</t>
  </si>
  <si>
    <t>RAMCOCEM</t>
  </si>
  <si>
    <t>The Ruby Mills Ltd.</t>
  </si>
  <si>
    <t>RUBYMILLS</t>
  </si>
  <si>
    <t>Richa Industries Ltd.</t>
  </si>
  <si>
    <t>RICHAIND</t>
  </si>
  <si>
    <t>SUPRIYA,</t>
  </si>
  <si>
    <t>The Sandesh Ltd.</t>
  </si>
  <si>
    <t>SANDESH</t>
  </si>
  <si>
    <t>The South Indian Bank Ltd.</t>
  </si>
  <si>
    <t>SOUTHBANK</t>
  </si>
  <si>
    <t>ANANTRAJ,</t>
  </si>
  <si>
    <t>The State Trading Corporation Of India Ltd.</t>
  </si>
  <si>
    <t>STCINDIA</t>
  </si>
  <si>
    <t>544219,</t>
  </si>
  <si>
    <t>The Ugar Sugar Works Ltd.</t>
  </si>
  <si>
    <t>UGARSUGAR</t>
  </si>
  <si>
    <t>STYLAMIND,</t>
  </si>
  <si>
    <t>The United Nilgiri Tea Estates Company Ltd.</t>
  </si>
  <si>
    <t>UNITEDTEA</t>
  </si>
  <si>
    <t>539526,</t>
  </si>
  <si>
    <t>The Western Indian Plywoods Ltd.</t>
  </si>
  <si>
    <t>WIPL</t>
  </si>
  <si>
    <t>ORIANA,</t>
  </si>
  <si>
    <t>Thejo Engineering Ltd.</t>
  </si>
  <si>
    <t>THEJO</t>
  </si>
  <si>
    <t>GENSOL,</t>
  </si>
  <si>
    <t>Themis Medicare Ltd.</t>
  </si>
  <si>
    <t>THEMISMED</t>
  </si>
  <si>
    <t>543590,</t>
  </si>
  <si>
    <t>Thermax Ltd.</t>
  </si>
  <si>
    <t>THERMAX</t>
  </si>
  <si>
    <t>500449,</t>
  </si>
  <si>
    <t>Thinking Hats Entertainment Solutions Ltd.</t>
  </si>
  <si>
    <t>THESL</t>
  </si>
  <si>
    <t>INDOTECH,</t>
  </si>
  <si>
    <t>Thirumalai Chemicals Ltd.</t>
  </si>
  <si>
    <t>TIRUMALCHM</t>
  </si>
  <si>
    <t>532123,</t>
  </si>
  <si>
    <t>Thomas Cook (India) Ltd.</t>
  </si>
  <si>
    <t>THOMASCOOK</t>
  </si>
  <si>
    <t>WIPRO,</t>
  </si>
  <si>
    <t>Thomas Scott (India) Ltd.</t>
  </si>
  <si>
    <t>THOMASCOTT</t>
  </si>
  <si>
    <t>SVLL,</t>
  </si>
  <si>
    <t>Shanti Spintex Ltd.</t>
  </si>
  <si>
    <t>SHANTIDENM</t>
  </si>
  <si>
    <t>514138,</t>
  </si>
  <si>
    <t>Thyrocare Technologies Ltd.</t>
  </si>
  <si>
    <t>THYROCARE</t>
  </si>
  <si>
    <t>526301,</t>
  </si>
  <si>
    <t>Tijaria Polypipes Ltd.</t>
  </si>
  <si>
    <t>TIJARIA</t>
  </si>
  <si>
    <t>542019,</t>
  </si>
  <si>
    <t>TIL Ltd.</t>
  </si>
  <si>
    <t>TIL</t>
  </si>
  <si>
    <t>531909,</t>
  </si>
  <si>
    <t>Tilaknagar Industries Ltd.</t>
  </si>
  <si>
    <t>TI</t>
  </si>
  <si>
    <t>ARVIND,</t>
  </si>
  <si>
    <t>Titaanium Ten Enterprise Ltd.</t>
  </si>
  <si>
    <t>TITAANIUM</t>
  </si>
  <si>
    <t>543274,</t>
  </si>
  <si>
    <t>Time Technoplast Ltd.</t>
  </si>
  <si>
    <t>TIMETECHNO</t>
  </si>
  <si>
    <t>Times Guaranty Ltd.</t>
  </si>
  <si>
    <t>TIMESGTY</t>
  </si>
  <si>
    <t>TIMESGTY,</t>
  </si>
  <si>
    <t>Vivaa Tradecom Ltd.</t>
  </si>
  <si>
    <t>VIVAA</t>
  </si>
  <si>
    <t>SUVENPHAR,</t>
  </si>
  <si>
    <t>York Exports Ltd.</t>
  </si>
  <si>
    <t>YORKEXP</t>
  </si>
  <si>
    <t>SUVIDHAA,</t>
  </si>
  <si>
    <t>Timescan Logistics (India) Ltd.</t>
  </si>
  <si>
    <t>TIMESCAN</t>
  </si>
  <si>
    <t>OSIAHYPER,</t>
  </si>
  <si>
    <t>Acknit Industries Ltd.</t>
  </si>
  <si>
    <t>ACKNIT</t>
  </si>
  <si>
    <t>543391,</t>
  </si>
  <si>
    <t>Active Clothing Co Ltd.</t>
  </si>
  <si>
    <t>ACTIVE</t>
  </si>
  <si>
    <t>SUYOG,</t>
  </si>
  <si>
    <t>Addi Industries Ltd.</t>
  </si>
  <si>
    <t>ADDIND</t>
  </si>
  <si>
    <t>SUZLON,</t>
  </si>
  <si>
    <t>Advance Lifestyles Ltd.</t>
  </si>
  <si>
    <t>ADVLIFE</t>
  </si>
  <si>
    <t>535621,</t>
  </si>
  <si>
    <t>Timken India Ltd.</t>
  </si>
  <si>
    <t>TIMKEN</t>
  </si>
  <si>
    <t>APLAPOLLO,</t>
  </si>
  <si>
    <t>Alan Scott Enterprises Ltd.</t>
  </si>
  <si>
    <t>ALAN SCOTT</t>
  </si>
  <si>
    <t>Tips Films Ltd.</t>
  </si>
  <si>
    <t>TIPSFILMS</t>
  </si>
  <si>
    <t>Tips Music Ltd.</t>
  </si>
  <si>
    <t>TIPSMUSIC</t>
  </si>
  <si>
    <t>INDOAMIN,</t>
  </si>
  <si>
    <t>Anjani Synthetics Ltd.</t>
  </si>
  <si>
    <t>ANJANI</t>
  </si>
  <si>
    <t>SVPGLOB,</t>
  </si>
  <si>
    <t>Arex Industries Ltd.</t>
  </si>
  <si>
    <t>AREXMIS</t>
  </si>
  <si>
    <t>543745,</t>
  </si>
  <si>
    <t>Tirupati Forge Ltd.</t>
  </si>
  <si>
    <t>TIRUPATIFL</t>
  </si>
  <si>
    <t>MANORG,</t>
  </si>
  <si>
    <t>Ashnoor Textile Mills Ltd.</t>
  </si>
  <si>
    <t>ASHNOOR</t>
  </si>
  <si>
    <t>539406,</t>
  </si>
  <si>
    <t>Titagarh Railsystems Ltd.</t>
  </si>
  <si>
    <t>TITAGARH</t>
  </si>
  <si>
    <t>544251,</t>
  </si>
  <si>
    <t>Titan Company Ltd.</t>
  </si>
  <si>
    <t>TITAN</t>
  </si>
  <si>
    <t>539455,</t>
  </si>
  <si>
    <t>Tokyo Plast International Ltd.</t>
  </si>
  <si>
    <t>TOKYOPLAST</t>
  </si>
  <si>
    <t>SANGANI,</t>
  </si>
  <si>
    <t>Baroda Rayon Corporation Ltd.</t>
  </si>
  <si>
    <t>BARODARY</t>
  </si>
  <si>
    <t>Bella Casa Fashion &amp; Retail Ltd.</t>
  </si>
  <si>
    <t>BELLACASA</t>
  </si>
  <si>
    <t>526365,</t>
  </si>
  <si>
    <t>Tolins Tyres Ltd.</t>
  </si>
  <si>
    <t>TOLINS</t>
  </si>
  <si>
    <t>514266,</t>
  </si>
  <si>
    <t>Bhilwara Technical Textiles Ltd.</t>
  </si>
  <si>
    <t>BTTL</t>
  </si>
  <si>
    <t>512257,</t>
  </si>
  <si>
    <t>Bhudevi Infra Projects Ltd.</t>
  </si>
  <si>
    <t>BHUDEVI</t>
  </si>
  <si>
    <t>510245,</t>
  </si>
  <si>
    <t>Binayak Tex Processors Ltd.</t>
  </si>
  <si>
    <t>ZBINTXPP</t>
  </si>
  <si>
    <t>SWASTIK,</t>
  </si>
  <si>
    <t>Torrent Pharmaceuticals Ltd.</t>
  </si>
  <si>
    <t>TORNTPHARM</t>
  </si>
  <si>
    <t>RHIM,</t>
  </si>
  <si>
    <t>Candour Techtex Ltd.</t>
  </si>
  <si>
    <t>CANDOUR</t>
  </si>
  <si>
    <t>Torrent Power Ltd.</t>
  </si>
  <si>
    <t>TORNTPOWER</t>
  </si>
  <si>
    <t>Ceenik Exports (India) Ltd.</t>
  </si>
  <si>
    <t>CEENIK</t>
  </si>
  <si>
    <t>SWIGGY,</t>
  </si>
  <si>
    <t>Total Transport Systems Ltd.</t>
  </si>
  <si>
    <t>TOTAL</t>
  </si>
  <si>
    <t>PARADEEP,</t>
  </si>
  <si>
    <t>Touchwood Entertainment Ltd.</t>
  </si>
  <si>
    <t>TOUCHWOOD</t>
  </si>
  <si>
    <t>534708,</t>
  </si>
  <si>
    <t>Tourism Finance Corporation Of India Ltd.</t>
  </si>
  <si>
    <t>TFCILTD</t>
  </si>
  <si>
    <t>TFCILTD,</t>
  </si>
  <si>
    <t>MAHASTEEL,</t>
  </si>
  <si>
    <t>Classic Filaments Ltd.</t>
  </si>
  <si>
    <t>CFL</t>
  </si>
  <si>
    <t>SYLVANPLY,</t>
  </si>
  <si>
    <t>TPL Plastech Ltd.</t>
  </si>
  <si>
    <t>TPLPLASTEH</t>
  </si>
  <si>
    <t>531215,</t>
  </si>
  <si>
    <t>Dhanlaxmi Fabrics Ltd.</t>
  </si>
  <si>
    <t>DHANFAB</t>
  </si>
  <si>
    <t>SYMPHONY,</t>
  </si>
  <si>
    <t>Tracxn Technologies Ltd.</t>
  </si>
  <si>
    <t>TRACXN</t>
  </si>
  <si>
    <t>OMAXAUTO,</t>
  </si>
  <si>
    <t>E-Land Apparel Ltd.</t>
  </si>
  <si>
    <t>ELAND</t>
  </si>
  <si>
    <t>SGIL,</t>
  </si>
  <si>
    <t>Transformers &amp; Rectifiers (India) Ltd.</t>
  </si>
  <si>
    <t>TARIL</t>
  </si>
  <si>
    <t>543521,</t>
  </si>
  <si>
    <t>Eco Hotels &amp; Resorts Ltd.</t>
  </si>
  <si>
    <t>ECOHOTELS</t>
  </si>
  <si>
    <t>SYNOPTICS,</t>
  </si>
  <si>
    <t>Enterprise International Ltd.</t>
  </si>
  <si>
    <t>ENTRINT</t>
  </si>
  <si>
    <t>513307,</t>
  </si>
  <si>
    <t>Transindia Real Estate Ltd.</t>
  </si>
  <si>
    <t>TREL</t>
  </si>
  <si>
    <t>CRAFTSMAN,</t>
  </si>
  <si>
    <t>Felix Global Venture Ltd.</t>
  </si>
  <si>
    <t>TATIAGLOB</t>
  </si>
  <si>
    <t>531173,</t>
  </si>
  <si>
    <t>Transport Corporation Of India Ltd.</t>
  </si>
  <si>
    <t>TCI</t>
  </si>
  <si>
    <t>PARAGMILK,</t>
  </si>
  <si>
    <t>Transrail Lighting Ltd.</t>
  </si>
  <si>
    <t>TRANSRAILL</t>
  </si>
  <si>
    <t>523696,</t>
  </si>
  <si>
    <t>Transteel Seating Technologies Ltd.</t>
  </si>
  <si>
    <t>TRANSTEEL</t>
  </si>
  <si>
    <t>519287,</t>
  </si>
  <si>
    <t>Garment Mantra Lifestyle Ltd.</t>
  </si>
  <si>
    <t>GARMNTMNTR</t>
  </si>
  <si>
    <t>532444,</t>
  </si>
  <si>
    <t>Garware Marine Industries Ltd.</t>
  </si>
  <si>
    <t>GARWAMAR</t>
  </si>
  <si>
    <t>TTL,</t>
  </si>
  <si>
    <t>Transwarranty Finance Ltd.</t>
  </si>
  <si>
    <t>TFL</t>
  </si>
  <si>
    <t>TFL,</t>
  </si>
  <si>
    <t>KSHITIJPOL,</t>
  </si>
  <si>
    <t>Gini Silk Mills Ltd.</t>
  </si>
  <si>
    <t>GINISILK</t>
  </si>
  <si>
    <t>539956,</t>
  </si>
  <si>
    <t>Transwind Infrastructures Ltd.</t>
  </si>
  <si>
    <t>TRANSWIND</t>
  </si>
  <si>
    <t>Transworld Shipping Lines Ltd.</t>
  </si>
  <si>
    <t>TRANSWORLD</t>
  </si>
  <si>
    <t>SIGIND,</t>
  </si>
  <si>
    <t>Gokak Textiles Ltd.</t>
  </si>
  <si>
    <t>GOKAKTEX</t>
  </si>
  <si>
    <t>519483,</t>
  </si>
  <si>
    <t>Tree House Education &amp; Accessories Ltd.</t>
  </si>
  <si>
    <t>TREEHOUSE</t>
  </si>
  <si>
    <t>532016,</t>
  </si>
  <si>
    <t>Haria Apparels Ltd.</t>
  </si>
  <si>
    <t>HARIAAPL</t>
  </si>
  <si>
    <t>TAJGVK,</t>
  </si>
  <si>
    <t>High Street Filatex Ltd.</t>
  </si>
  <si>
    <t>HIGHSTREE</t>
  </si>
  <si>
    <t>TAKE,</t>
  </si>
  <si>
    <t>Trejhara Solutions Ltd.</t>
  </si>
  <si>
    <t>TREJHARA</t>
  </si>
  <si>
    <t>OMAXE,</t>
  </si>
  <si>
    <t>Hindoostan Mills Ltd.</t>
  </si>
  <si>
    <t>HINDMILL</t>
  </si>
  <si>
    <t>538987,</t>
  </si>
  <si>
    <t>HP Cotton Textile Mills Ltd.</t>
  </si>
  <si>
    <t>HPCOTTON</t>
  </si>
  <si>
    <t>Trent Ltd.</t>
  </si>
  <si>
    <t>TRENT</t>
  </si>
  <si>
    <t>540738,</t>
  </si>
  <si>
    <t>TRF Ltd.</t>
  </si>
  <si>
    <t>TRF</t>
  </si>
  <si>
    <t>HINDUNILVR,</t>
  </si>
  <si>
    <t>Tribhovandas Bhimji Zaveri Ltd.</t>
  </si>
  <si>
    <t>TBZ</t>
  </si>
  <si>
    <t>Trident Ltd.</t>
  </si>
  <si>
    <t>TRIDENT</t>
  </si>
  <si>
    <t>TVSSRICHAK,</t>
  </si>
  <si>
    <t>Jamshri Realty Ltd.</t>
  </si>
  <si>
    <t>JAMSHRI</t>
  </si>
  <si>
    <t>522229,</t>
  </si>
  <si>
    <t>Jayatma Industries Ltd.</t>
  </si>
  <si>
    <t>JAYIND</t>
  </si>
  <si>
    <t>506854,</t>
  </si>
  <si>
    <t>Trident Techlabs Ltd.</t>
  </si>
  <si>
    <t>TECHLABS</t>
  </si>
  <si>
    <t>526739,</t>
  </si>
  <si>
    <t>Tridhya Tech Ltd.</t>
  </si>
  <si>
    <t>TRIDHYA</t>
  </si>
  <si>
    <t>517431,</t>
  </si>
  <si>
    <t>Kapil Cotex Ltd.</t>
  </si>
  <si>
    <t>KAPILCO</t>
  </si>
  <si>
    <t>TAPIFRUIT,</t>
  </si>
  <si>
    <t>Trigyn Technologies Ltd.</t>
  </si>
  <si>
    <t>TRIGYN</t>
  </si>
  <si>
    <t>519479,</t>
  </si>
  <si>
    <t>KG Petrochem Ltd.</t>
  </si>
  <si>
    <t>KGPETRO</t>
  </si>
  <si>
    <t>519285,</t>
  </si>
  <si>
    <t>Triveni Engineering &amp; Industries Ltd.</t>
  </si>
  <si>
    <t>TRIVENI</t>
  </si>
  <si>
    <t>STYRENIX,</t>
  </si>
  <si>
    <t>Konark Synthetic Ltd.</t>
  </si>
  <si>
    <t>KONARKSY</t>
  </si>
  <si>
    <t>TARC,</t>
  </si>
  <si>
    <t>Kotia Enterprises Ltd.</t>
  </si>
  <si>
    <t>TARMAT,</t>
  </si>
  <si>
    <t>Kush Industries Ltd.</t>
  </si>
  <si>
    <t>KUSHIND</t>
  </si>
  <si>
    <t>TARSONS,</t>
  </si>
  <si>
    <t>Triveni Turbine Ltd.</t>
  </si>
  <si>
    <t>TRITURBINE</t>
  </si>
  <si>
    <t>HINDZINC,</t>
  </si>
  <si>
    <t>Lakshmi Mills Company Ltd.</t>
  </si>
  <si>
    <t>LAKSHMIMIL</t>
  </si>
  <si>
    <t>540955,</t>
  </si>
  <si>
    <t>Trom Industries Ltd.</t>
  </si>
  <si>
    <t>TROM</t>
  </si>
  <si>
    <t>530457,</t>
  </si>
  <si>
    <t>TruCap Finance Ltd.</t>
  </si>
  <si>
    <t>TRU</t>
  </si>
  <si>
    <t>TRU,</t>
  </si>
  <si>
    <t>543787,</t>
  </si>
  <si>
    <t>Trust Fintech Ltd.</t>
  </si>
  <si>
    <t>TRUST</t>
  </si>
  <si>
    <t>NATCOPHARM,</t>
  </si>
  <si>
    <t>TTK Healthcare Ltd.</t>
  </si>
  <si>
    <t>TTKHLTCARE</t>
  </si>
  <si>
    <t>531952,</t>
  </si>
  <si>
    <t>TTK Prestige Ltd.</t>
  </si>
  <si>
    <t>TTKPRESTIG</t>
  </si>
  <si>
    <t>DLINKINDIA,</t>
  </si>
  <si>
    <t>LWS Knitwear Ltd.</t>
  </si>
  <si>
    <t>LWSKNIT</t>
  </si>
  <si>
    <t>Mafatlal Industries Ltd.</t>
  </si>
  <si>
    <t>MAFATIND</t>
  </si>
  <si>
    <t>TATAMOTORS,</t>
  </si>
  <si>
    <t>Tube Investments of India Ltd.</t>
  </si>
  <si>
    <t>TIINDIA</t>
  </si>
  <si>
    <t>DIXON,</t>
  </si>
  <si>
    <t>Tunwal E-Motors Ltd.</t>
  </si>
  <si>
    <t>TUNWAL</t>
  </si>
  <si>
    <t>ALPHAGEO,</t>
  </si>
  <si>
    <t>Meyer Apparel Ltd.</t>
  </si>
  <si>
    <t>TATATECH,</t>
  </si>
  <si>
    <t>Minaxi Textiles Ltd.</t>
  </si>
  <si>
    <t>MINAXI</t>
  </si>
  <si>
    <t>TTML,</t>
  </si>
  <si>
    <t>MK Exim (India) Ltd.</t>
  </si>
  <si>
    <t>MKEXIM</t>
  </si>
  <si>
    <t>TATVA,</t>
  </si>
  <si>
    <t>TV Today Network Ltd.</t>
  </si>
  <si>
    <t>TVTODAY</t>
  </si>
  <si>
    <t>530675,</t>
  </si>
  <si>
    <t>TV Vision Ltd.</t>
  </si>
  <si>
    <t>TVVISION</t>
  </si>
  <si>
    <t>YUDIZ,</t>
  </si>
  <si>
    <t>TVS Electronics Ltd.</t>
  </si>
  <si>
    <t>TVSELECT</t>
  </si>
  <si>
    <t>535205,</t>
  </si>
  <si>
    <t>TVS Holdings Ltd.</t>
  </si>
  <si>
    <t>TVSHLTD</t>
  </si>
  <si>
    <t>505725,</t>
  </si>
  <si>
    <t>One Global Service Provider Ltd.</t>
  </si>
  <si>
    <t>ONEGLOBAL</t>
  </si>
  <si>
    <t>TVS Motor Company Ltd.</t>
  </si>
  <si>
    <t>TVSMOTOR</t>
  </si>
  <si>
    <t>ALOKINDS,</t>
  </si>
  <si>
    <t>Osiajee Texfab Ltd.</t>
  </si>
  <si>
    <t>OSIAJEE</t>
  </si>
  <si>
    <t>Oswal Yarns Ltd.</t>
  </si>
  <si>
    <t>OSWAYRN</t>
  </si>
  <si>
    <t>532262,</t>
  </si>
  <si>
    <t>Padam Cotton Yarns Ltd.</t>
  </si>
  <si>
    <t>PADAMCO</t>
  </si>
  <si>
    <t>524156,</t>
  </si>
  <si>
    <t>TVS Srichakra Ltd.</t>
  </si>
  <si>
    <t>TVSSRICHAK</t>
  </si>
  <si>
    <t>ZENITHDRUG,</t>
  </si>
  <si>
    <t>TVS Supply Chain Solutions Ltd.</t>
  </si>
  <si>
    <t>TVSSCS</t>
  </si>
  <si>
    <t>UCAL Ltd.</t>
  </si>
  <si>
    <t>UCAL</t>
  </si>
  <si>
    <t>ALICON,</t>
  </si>
  <si>
    <t>Prag Bosimi Synthetics Ltd.</t>
  </si>
  <si>
    <t>PRAGBOS</t>
  </si>
  <si>
    <t>TPHQ,</t>
  </si>
  <si>
    <t>Prakash Woollen &amp; Synthetic Mills Ltd.</t>
  </si>
  <si>
    <t>PWASML</t>
  </si>
  <si>
    <t>TECHM,</t>
  </si>
  <si>
    <t>Prashant India Ltd.</t>
  </si>
  <si>
    <t>PRSNTIN</t>
  </si>
  <si>
    <t>TECHERA,</t>
  </si>
  <si>
    <t>Premco Global Ltd.</t>
  </si>
  <si>
    <t>PREMCO</t>
  </si>
  <si>
    <t>TECHIN,</t>
  </si>
  <si>
    <t>Prime Urban Development India Ltd.</t>
  </si>
  <si>
    <t>PRIMEURB</t>
  </si>
  <si>
    <t>543991,</t>
  </si>
  <si>
    <t>R&amp;B Denims Ltd.</t>
  </si>
  <si>
    <t>RNBDENIMS</t>
  </si>
  <si>
    <t>TECHNOE,</t>
  </si>
  <si>
    <t>Raghuvir Synthetics Ltd.</t>
  </si>
  <si>
    <t>RAGHUSYN</t>
  </si>
  <si>
    <t>TIIL,</t>
  </si>
  <si>
    <t>Riba Textiles Ltd.</t>
  </si>
  <si>
    <t>RIBATEX</t>
  </si>
  <si>
    <t>501421,</t>
  </si>
  <si>
    <t>RLF Ltd.</t>
  </si>
  <si>
    <t>RLF</t>
  </si>
  <si>
    <t>TECILCHEM,</t>
  </si>
  <si>
    <t>RRIL Ltd.</t>
  </si>
  <si>
    <t>RRIL</t>
  </si>
  <si>
    <t>TGL,</t>
  </si>
  <si>
    <t>UCO Bank</t>
  </si>
  <si>
    <t>UCOBANK</t>
  </si>
  <si>
    <t>ANKITMETAL,</t>
  </si>
  <si>
    <t>Rudra Ecovation Ltd.</t>
  </si>
  <si>
    <t>RUDRAECO</t>
  </si>
  <si>
    <t>TEGA,</t>
  </si>
  <si>
    <t>Udaipur Cement Works Ltd.</t>
  </si>
  <si>
    <t>UDAICEMENT</t>
  </si>
  <si>
    <t>BAJAJHCARE,</t>
  </si>
  <si>
    <t>Udayshivakumar Infra Ltd.</t>
  </si>
  <si>
    <t>USK</t>
  </si>
  <si>
    <t>BIRDYS,</t>
  </si>
  <si>
    <t>Samtex Fashions Ltd.</t>
  </si>
  <si>
    <t>SAMTEX</t>
  </si>
  <si>
    <t>539428,</t>
  </si>
  <si>
    <t>Uflex Ltd.</t>
  </si>
  <si>
    <t>UFLEX</t>
  </si>
  <si>
    <t>540782,</t>
  </si>
  <si>
    <t>Sanrhea Technical Textiles Ltd.</t>
  </si>
  <si>
    <t>SANTETX</t>
  </si>
  <si>
    <t>532975,</t>
  </si>
  <si>
    <t>UFO Moviez India Ltd.</t>
  </si>
  <si>
    <t>UFO</t>
  </si>
  <si>
    <t>INDOBORAX,</t>
  </si>
  <si>
    <t>Seasons Textiles Ltd.</t>
  </si>
  <si>
    <t>SEASONST</t>
  </si>
  <si>
    <t>TERASOFT,</t>
  </si>
  <si>
    <t>Ugro Capital Ltd.</t>
  </si>
  <si>
    <t>UGROCAP</t>
  </si>
  <si>
    <t>UGROCAP,</t>
  </si>
  <si>
    <t>Shahlon Silk Industries Ltd.</t>
  </si>
  <si>
    <t>SHAHLON</t>
  </si>
  <si>
    <t>526638,</t>
  </si>
  <si>
    <t>Ujaas Energy Ltd.</t>
  </si>
  <si>
    <t>UEL</t>
  </si>
  <si>
    <t>FONEBOX,</t>
  </si>
  <si>
    <t>Shree Bhavya Fabrics Ltd</t>
  </si>
  <si>
    <t>SBFL</t>
  </si>
  <si>
    <t>TEXRAIL,</t>
  </si>
  <si>
    <t>Shri Dinesh Mills Ltd.</t>
  </si>
  <si>
    <t>SHRIDINE</t>
  </si>
  <si>
    <t>TEXMOPIPES,</t>
  </si>
  <si>
    <t>Shubham Polyspin Ltd.</t>
  </si>
  <si>
    <t>SHUBHAM</t>
  </si>
  <si>
    <t>TGBHOTELS,</t>
  </si>
  <si>
    <t>Siddheswari Garments Ltd.</t>
  </si>
  <si>
    <t>SIDDHEGA</t>
  </si>
  <si>
    <t>544175,</t>
  </si>
  <si>
    <t>Sky Industries Ltd.</t>
  </si>
  <si>
    <t>SKYIND</t>
  </si>
  <si>
    <t>507753,</t>
  </si>
  <si>
    <t>Ujjivan Small Finance Bank Ltd.</t>
  </si>
  <si>
    <t>UJJIVANSFB</t>
  </si>
  <si>
    <t>ACL,</t>
  </si>
  <si>
    <t>Southern Latex Ltd.</t>
  </si>
  <si>
    <t>SOUTLAT</t>
  </si>
  <si>
    <t>509945,</t>
  </si>
  <si>
    <t>Spenta International Ltd.</t>
  </si>
  <si>
    <t>SPENTA</t>
  </si>
  <si>
    <t>526654,</t>
  </si>
  <si>
    <t>Spice Islands Industries Ltd.</t>
  </si>
  <si>
    <t>SPICEISLIN</t>
  </si>
  <si>
    <t>509015,</t>
  </si>
  <si>
    <t>Ultra Wiring Connectivity Systems Ltd.</t>
  </si>
  <si>
    <t>UWCSL</t>
  </si>
  <si>
    <t>FMNL,</t>
  </si>
  <si>
    <t>Ultratech Cement Ltd.</t>
  </si>
  <si>
    <t>ULTRACEMCO</t>
  </si>
  <si>
    <t>BAJAJHIND,</t>
  </si>
  <si>
    <t>Spright Agro Ltd.</t>
  </si>
  <si>
    <t>SPRIGHT</t>
  </si>
  <si>
    <t>ANUP,</t>
  </si>
  <si>
    <t>Uma Converter Ltd.</t>
  </si>
  <si>
    <t>UMA</t>
  </si>
  <si>
    <t>540727,</t>
  </si>
  <si>
    <t>Subhash Silk Mills Ltd.</t>
  </si>
  <si>
    <t>SUBSM</t>
  </si>
  <si>
    <t>Suditi Industries Ltd.</t>
  </si>
  <si>
    <t>SUDTIND-B</t>
  </si>
  <si>
    <t>FACT,</t>
  </si>
  <si>
    <t>Sunil Industries Ltd.</t>
  </si>
  <si>
    <t>SUNILTX</t>
  </si>
  <si>
    <t>GESHIP,</t>
  </si>
  <si>
    <t>Uma Exports Ltd.</t>
  </si>
  <si>
    <t>UMAEXPORTS</t>
  </si>
  <si>
    <t>534618,</t>
  </si>
  <si>
    <t>Umang Dairies Ltd.</t>
  </si>
  <si>
    <t>UMANGDAIRY</t>
  </si>
  <si>
    <t>531153,</t>
  </si>
  <si>
    <t>Unichem Laboratories Ltd.</t>
  </si>
  <si>
    <t>UNICHEMLAB</t>
  </si>
  <si>
    <t>532766,</t>
  </si>
  <si>
    <t>Swasti Vinayaka Synthetics Ltd.</t>
  </si>
  <si>
    <t>SWASTIVI</t>
  </si>
  <si>
    <t>INDHOTEL,</t>
  </si>
  <si>
    <t>Unicommerce eSolutions Ltd.</t>
  </si>
  <si>
    <t>UNIECOM</t>
  </si>
  <si>
    <t>ONWARDTEC,</t>
  </si>
  <si>
    <t>Texel Industries Ltd.</t>
  </si>
  <si>
    <t>TEXELIN</t>
  </si>
  <si>
    <t>Unihealth Hospitals Ltd.</t>
  </si>
  <si>
    <t>UNIHEALTH</t>
  </si>
  <si>
    <t>517467,</t>
  </si>
  <si>
    <t>Trident Texofab Ltd.</t>
  </si>
  <si>
    <t>TTFL</t>
  </si>
  <si>
    <t>Uniroyal Industries Ltd.</t>
  </si>
  <si>
    <t>UNIROYAL</t>
  </si>
  <si>
    <t>United Leasing &amp; Industries Ltd.</t>
  </si>
  <si>
    <t>UNTTEMI</t>
  </si>
  <si>
    <t>Vandana Knitwear Ltd.</t>
  </si>
  <si>
    <t>VANDANA</t>
  </si>
  <si>
    <t>ORISSAMINE,</t>
  </si>
  <si>
    <t>Uniinfo Telecom Services Ltd.</t>
  </si>
  <si>
    <t>UNIINFO</t>
  </si>
  <si>
    <t>530735,</t>
  </si>
  <si>
    <t>Unilex Colours And Chemicals Ltd.</t>
  </si>
  <si>
    <t>UNILEX</t>
  </si>
  <si>
    <t>522292,</t>
  </si>
  <si>
    <t>Unimech Aerospace and Manufacturing Ltd.</t>
  </si>
  <si>
    <t>UNIMECH</t>
  </si>
  <si>
    <t>DOLLEX,</t>
  </si>
  <si>
    <t>Ventura Textiles Ltd.</t>
  </si>
  <si>
    <t>VENTURA</t>
  </si>
  <si>
    <t>RAMCOCEM,</t>
  </si>
  <si>
    <t>Union Bank Of India</t>
  </si>
  <si>
    <t>UNIONBANK</t>
  </si>
  <si>
    <t>ANLON,</t>
  </si>
  <si>
    <t>Uniparts India Ltd.</t>
  </si>
  <si>
    <t>UNIPARTS</t>
  </si>
  <si>
    <t>HINDNATGLS,</t>
  </si>
  <si>
    <t>Virat Industries Ltd.</t>
  </si>
  <si>
    <t>VIRAT</t>
  </si>
  <si>
    <t>Uniphos Enterprises Ltd.</t>
  </si>
  <si>
    <t>UNIENTER</t>
  </si>
  <si>
    <t>539337,</t>
  </si>
  <si>
    <t>Vishal Fabrics Ltd.</t>
  </si>
  <si>
    <t>VISHAL</t>
  </si>
  <si>
    <t>UGARSUGAR,</t>
  </si>
  <si>
    <t>Voith Paper Fabrics India Ltd.</t>
  </si>
  <si>
    <t>VOITHPAPR</t>
  </si>
  <si>
    <t>UNITEDTEA,</t>
  </si>
  <si>
    <t>Unitech Ltd.</t>
  </si>
  <si>
    <t>UNITECH</t>
  </si>
  <si>
    <t>538770,</t>
  </si>
  <si>
    <t>United Breweries Ltd.</t>
  </si>
  <si>
    <t>UBL</t>
  </si>
  <si>
    <t>ARVINDPORT,</t>
  </si>
  <si>
    <t>Winsome Textile Industries Ltd.</t>
  </si>
  <si>
    <t>WINSOMTX</t>
  </si>
  <si>
    <t>THEJO,</t>
  </si>
  <si>
    <t>Wires &amp; Fabriks (S.A.) Ltd.</t>
  </si>
  <si>
    <t>WIREFABR</t>
  </si>
  <si>
    <t>THEMISMED,</t>
  </si>
  <si>
    <t>United Drilling Tools Ltd.</t>
  </si>
  <si>
    <t>UNIDT</t>
  </si>
  <si>
    <t>539984,</t>
  </si>
  <si>
    <t>United Heat Transfer Ltd.</t>
  </si>
  <si>
    <t>UHTL</t>
  </si>
  <si>
    <t>HONAUT,</t>
  </si>
  <si>
    <t>United Polyfab Gujarat Ltd.</t>
  </si>
  <si>
    <t>UNITEDPOLY</t>
  </si>
  <si>
    <t>USK,</t>
  </si>
  <si>
    <t>United Spirits Ltd.</t>
  </si>
  <si>
    <t>UNITDSPR</t>
  </si>
  <si>
    <t>ARVSMART,</t>
  </si>
  <si>
    <t>Univa Foods Ltd.</t>
  </si>
  <si>
    <t>UNIVAFOODS</t>
  </si>
  <si>
    <t>539594,</t>
  </si>
  <si>
    <t>Kizi Apparels Ltd.</t>
  </si>
  <si>
    <t>KIZI</t>
  </si>
  <si>
    <t>TIRUMALCHM,</t>
  </si>
  <si>
    <t>Univastu India Ltd.</t>
  </si>
  <si>
    <t>UNIVASTU</t>
  </si>
  <si>
    <t>GRINDWELL,</t>
  </si>
  <si>
    <t>Universal Cables Ltd.</t>
  </si>
  <si>
    <t>UNIVCABLES</t>
  </si>
  <si>
    <t>ATLANTAA,</t>
  </si>
  <si>
    <t>Universus Photo Imagings Ltd.</t>
  </si>
  <si>
    <t>UNIVPHOTO</t>
  </si>
  <si>
    <t>531822,</t>
  </si>
  <si>
    <t>UNO Minda Ltd.</t>
  </si>
  <si>
    <t>UNOMINDA</t>
  </si>
  <si>
    <t>GLS,</t>
  </si>
  <si>
    <t>Updater Services Ltd.</t>
  </si>
  <si>
    <t>UDS</t>
  </si>
  <si>
    <t>539584,</t>
  </si>
  <si>
    <t>United Cotfab Ltd.</t>
  </si>
  <si>
    <t>COTFAB</t>
  </si>
  <si>
    <t>543531,</t>
  </si>
  <si>
    <t>Billwin Industries Ltd.</t>
  </si>
  <si>
    <t>BILLWIN</t>
  </si>
  <si>
    <t>536264,</t>
  </si>
  <si>
    <t>Harish Textile Engineers Ltd.</t>
  </si>
  <si>
    <t>HARISH</t>
  </si>
  <si>
    <t>TIJARIA,</t>
  </si>
  <si>
    <t>UPL Ltd.</t>
  </si>
  <si>
    <t>UPL</t>
  </si>
  <si>
    <t>PUNJABCHEM,</t>
  </si>
  <si>
    <t>Upsurge Seeds Of Agriculture Ltd.</t>
  </si>
  <si>
    <t>USASEEDS</t>
  </si>
  <si>
    <t>A2ZINFRA,</t>
  </si>
  <si>
    <t>Meera Industries Ltd.</t>
  </si>
  <si>
    <t>MEERA</t>
  </si>
  <si>
    <t>TI,</t>
  </si>
  <si>
    <t>Stovec Industries Ltd.</t>
  </si>
  <si>
    <t>STOVACQ</t>
  </si>
  <si>
    <t>TIMETECHNO,</t>
  </si>
  <si>
    <t>Veejay Lakshmi Engineering Works Ltd.</t>
  </si>
  <si>
    <t>VJLAXMIE</t>
  </si>
  <si>
    <t>AK Spintex Ltd.</t>
  </si>
  <si>
    <t>AKSPINTEX</t>
  </si>
  <si>
    <t>TIMESCAN,</t>
  </si>
  <si>
    <t>Uravi Defence and Technology Ltd.</t>
  </si>
  <si>
    <t>URAVI</t>
  </si>
  <si>
    <t>ALKALI,</t>
  </si>
  <si>
    <t>Betex India Ltd.</t>
  </si>
  <si>
    <t>BETXIND</t>
  </si>
  <si>
    <t>TIMKEN,</t>
  </si>
  <si>
    <t>Blue chip Tex Industries Ltd.</t>
  </si>
  <si>
    <t>BLUECHIPT</t>
  </si>
  <si>
    <t>530475,</t>
  </si>
  <si>
    <t>Urban Enviro Waste Management Ltd.</t>
  </si>
  <si>
    <t>URBAN</t>
  </si>
  <si>
    <t>HVAX,</t>
  </si>
  <si>
    <t>Urja Global Ltd.</t>
  </si>
  <si>
    <t>URJA</t>
  </si>
  <si>
    <t>Jattashankar Industries Ltd.</t>
  </si>
  <si>
    <t>JATTAINDUS</t>
  </si>
  <si>
    <t>TIRUPATIFL,</t>
  </si>
  <si>
    <t>Kamadgiri Fashion Ltd.</t>
  </si>
  <si>
    <t>KAMADGIRI</t>
  </si>
  <si>
    <t>531814,</t>
  </si>
  <si>
    <t>Lakhotia Polyesters (India) Ltd.</t>
  </si>
  <si>
    <t>LAKHOTIA</t>
  </si>
  <si>
    <t>524582,</t>
  </si>
  <si>
    <t>Usha Financial Services Ltd.</t>
  </si>
  <si>
    <t>USHAFIN</t>
  </si>
  <si>
    <t>USHAFIN,</t>
  </si>
  <si>
    <t>KOHINOOR,</t>
  </si>
  <si>
    <t>Usha Martin Education &amp; Solutions Ltd.</t>
  </si>
  <si>
    <t>UMESLTD</t>
  </si>
  <si>
    <t>Usha Martin Ltd.</t>
  </si>
  <si>
    <t>USHAMART</t>
  </si>
  <si>
    <t>SPMLINFRA,</t>
  </si>
  <si>
    <t>Ushanti Colour Chem Ltd.</t>
  </si>
  <si>
    <t>UCL</t>
  </si>
  <si>
    <t>BEARDSELL,</t>
  </si>
  <si>
    <t>Shree Rajasthan Syntex Ltd.</t>
  </si>
  <si>
    <t>SHRAJSYNQ</t>
  </si>
  <si>
    <t>TITAN,</t>
  </si>
  <si>
    <t>Suncity Synthetics Ltd.</t>
  </si>
  <si>
    <t>SUNCITYSY</t>
  </si>
  <si>
    <t>521005,</t>
  </si>
  <si>
    <t>Supertex Industries Ltd.</t>
  </si>
  <si>
    <t>SUPERTEX</t>
  </si>
  <si>
    <t>Surat Trade and Mercantile Ltd.</t>
  </si>
  <si>
    <t>SURATRAML</t>
  </si>
  <si>
    <t>UTI Asset Management Company Ltd.</t>
  </si>
  <si>
    <t>UTIAMC</t>
  </si>
  <si>
    <t>UTIAMC,</t>
  </si>
  <si>
    <t>INDOUS,</t>
  </si>
  <si>
    <t>Zenith Fibres Ltd.</t>
  </si>
  <si>
    <t>ZENIFIB</t>
  </si>
  <si>
    <t>TOLINS,</t>
  </si>
  <si>
    <t>Utkarsh Small Finance Bank Ltd.</t>
  </si>
  <si>
    <t>UTKARSHBNK</t>
  </si>
  <si>
    <t>ANDHRAPAP,</t>
  </si>
  <si>
    <t>Utssav CZ Gold Jewels Ltd.</t>
  </si>
  <si>
    <t>UTSSAV</t>
  </si>
  <si>
    <t>DREDGECORP,</t>
  </si>
  <si>
    <t>Gujarat Hy-Spin Ltd.</t>
  </si>
  <si>
    <t>GUJHYSPIN</t>
  </si>
  <si>
    <t>TORNTPOWER,</t>
  </si>
  <si>
    <t>Uttam Sugar Mills Ltd.</t>
  </si>
  <si>
    <t>UTTAMSUGAR</t>
  </si>
  <si>
    <t>544267,</t>
  </si>
  <si>
    <t>UY Fincorp Ltd.</t>
  </si>
  <si>
    <t>UYFINCORP</t>
  </si>
  <si>
    <t>UYFINCORP,</t>
  </si>
  <si>
    <t>KOTYARK,</t>
  </si>
  <si>
    <t>Aananda Lakshmi Spinning Mills Ltd.</t>
  </si>
  <si>
    <t>AANANDALAK</t>
  </si>
  <si>
    <t>TOUCHWOOD,</t>
  </si>
  <si>
    <t>Adinath Textiles Ltd.</t>
  </si>
  <si>
    <t>ADINATH</t>
  </si>
  <si>
    <t>Aditya Spinners Ltd.</t>
  </si>
  <si>
    <t>ADITYASP</t>
  </si>
  <si>
    <t>Amarjothi Spinning Mills Ltd.</t>
  </si>
  <si>
    <t>AMARJOTHI</t>
  </si>
  <si>
    <t>500421,</t>
  </si>
  <si>
    <t>V-Guard Industries Ltd.</t>
  </si>
  <si>
    <t>VGUARD</t>
  </si>
  <si>
    <t>FOODSIN,</t>
  </si>
  <si>
    <t>APM Industries Ltd.</t>
  </si>
  <si>
    <t>APMIN</t>
  </si>
  <si>
    <t>TRACXN,</t>
  </si>
  <si>
    <t>V-Marc India Ltd.</t>
  </si>
  <si>
    <t>VMARCIND</t>
  </si>
  <si>
    <t>540788,</t>
  </si>
  <si>
    <t>Bengal Tea &amp; Fabrics Ltd.</t>
  </si>
  <si>
    <t>BENGALT</t>
  </si>
  <si>
    <t>523752,</t>
  </si>
  <si>
    <t>V-Mart Retail Ltd.</t>
  </si>
  <si>
    <t>VMART</t>
  </si>
  <si>
    <t>V.S.T. Tillers Tractors Ltd.</t>
  </si>
  <si>
    <t>VSTTILLERS</t>
  </si>
  <si>
    <t>521097,</t>
  </si>
  <si>
    <t>Deepak Spinners Ltd.</t>
  </si>
  <si>
    <t>DEEPAKSP</t>
  </si>
  <si>
    <t>TARIL,</t>
  </si>
  <si>
    <t>Eureka Industries Ltd.</t>
  </si>
  <si>
    <t>EUREKAI</t>
  </si>
  <si>
    <t>526139,</t>
  </si>
  <si>
    <t>V2 Retail Ltd.</t>
  </si>
  <si>
    <t>V2RETAIL</t>
  </si>
  <si>
    <t>Everlon Financials Ltd.</t>
  </si>
  <si>
    <t>EVERFIN</t>
  </si>
  <si>
    <t>TREL,</t>
  </si>
  <si>
    <t>VA Tech Wabag Ltd.</t>
  </si>
  <si>
    <t>WABAG</t>
  </si>
  <si>
    <t>Garware Synthetics Ltd.</t>
  </si>
  <si>
    <t>GARWSYN</t>
  </si>
  <si>
    <t>TCI,</t>
  </si>
  <si>
    <t>Vadilal Industries Ltd.</t>
  </si>
  <si>
    <t>VADILALIND</t>
  </si>
  <si>
    <t>543594,</t>
  </si>
  <si>
    <t>Vadivarhe Speciality Chemicals Ltd.</t>
  </si>
  <si>
    <t>VSCL</t>
  </si>
  <si>
    <t>BEDMUTHA,</t>
  </si>
  <si>
    <t>GTN Industries Ltd.</t>
  </si>
  <si>
    <t>GTNINDS</t>
  </si>
  <si>
    <t>GTN Textiles Ltd.</t>
  </si>
  <si>
    <t>GTNTEX</t>
  </si>
  <si>
    <t>TRANSWIND,</t>
  </si>
  <si>
    <t>Indian Acrylics Ltd.</t>
  </si>
  <si>
    <t>INDIANACRY</t>
  </si>
  <si>
    <t>TRANSWORLD,</t>
  </si>
  <si>
    <t>Indo Cotspin Ltd.</t>
  </si>
  <si>
    <t>ICL</t>
  </si>
  <si>
    <t>544242,</t>
  </si>
  <si>
    <t>Kakatiya Textiles Ltd.</t>
  </si>
  <si>
    <t>KAKTEX</t>
  </si>
  <si>
    <t>TREEHOUSE,</t>
  </si>
  <si>
    <t>Kallam Textiles Ltd.</t>
  </si>
  <si>
    <t>KALLAM</t>
  </si>
  <si>
    <t>TREJHARA,</t>
  </si>
  <si>
    <t>Kandagiri Spinning Mills Ltd.</t>
  </si>
  <si>
    <t>KANDAGIRI</t>
  </si>
  <si>
    <t>TRENT,</t>
  </si>
  <si>
    <t>Katare Spinning Mills Ltd.</t>
  </si>
  <si>
    <t>KATRSPG</t>
  </si>
  <si>
    <t>532159,</t>
  </si>
  <si>
    <t>Kiran Syntex Ltd.</t>
  </si>
  <si>
    <t>KIRANSY-B</t>
  </si>
  <si>
    <t>TRF,</t>
  </si>
  <si>
    <t>Vaibhav Global Ltd.</t>
  </si>
  <si>
    <t>VAIBHAVGBL</t>
  </si>
  <si>
    <t>SHRENIK,</t>
  </si>
  <si>
    <t>Vaidya Sane Ayurved Laboratories Ltd.</t>
  </si>
  <si>
    <t>MADHAVBAUG</t>
  </si>
  <si>
    <t>523566,</t>
  </si>
  <si>
    <t>Vaishali Pharma Ltd.</t>
  </si>
  <si>
    <t>VAISHALI</t>
  </si>
  <si>
    <t>RICOAUTO,</t>
  </si>
  <si>
    <t>Maris Spinners Ltd.</t>
  </si>
  <si>
    <t>MARIS</t>
  </si>
  <si>
    <t>TECHLABS,</t>
  </si>
  <si>
    <t>Mid India Industries Ltd.</t>
  </si>
  <si>
    <t>MIDINDIA</t>
  </si>
  <si>
    <t>540726,</t>
  </si>
  <si>
    <t>Vakrangee Ltd.</t>
  </si>
  <si>
    <t>VAKRANGEE</t>
  </si>
  <si>
    <t>AROGRANITE,</t>
  </si>
  <si>
    <t>Valiant Laboratories Ltd.</t>
  </si>
  <si>
    <t>VALIANTLAB</t>
  </si>
  <si>
    <t>540590,</t>
  </si>
  <si>
    <t>Valiant Organics Ltd.</t>
  </si>
  <si>
    <t>VALIANTORG</t>
  </si>
  <si>
    <t>C2C,</t>
  </si>
  <si>
    <t>Valor Estate Ltd.</t>
  </si>
  <si>
    <t>DBREALTY</t>
  </si>
  <si>
    <t>522001,</t>
  </si>
  <si>
    <t>Varanium Cloud Ltd.</t>
  </si>
  <si>
    <t>CLOUD</t>
  </si>
  <si>
    <t>Pasari Spinning Mills Ltd.</t>
  </si>
  <si>
    <t>PASARI</t>
  </si>
  <si>
    <t>534755,</t>
  </si>
  <si>
    <t>Patspin India Ltd.</t>
  </si>
  <si>
    <t>PATSPINLTD</t>
  </si>
  <si>
    <t>531279,</t>
  </si>
  <si>
    <t>PBM Polytex Ltd.</t>
  </si>
  <si>
    <t>PBMPOLY</t>
  </si>
  <si>
    <t>505978,</t>
  </si>
  <si>
    <t>Vardhman Acrylics Ltd.</t>
  </si>
  <si>
    <t>VARDHACRLC</t>
  </si>
  <si>
    <t>TOKYOPLAST,</t>
  </si>
  <si>
    <t>Vardhman Holdings Ltd.</t>
  </si>
  <si>
    <t>VHL</t>
  </si>
  <si>
    <t>VHL,</t>
  </si>
  <si>
    <t>KCP,</t>
  </si>
  <si>
    <t>Premier Synthetics Ltd.</t>
  </si>
  <si>
    <t>PREMSYN</t>
  </si>
  <si>
    <t>502281,</t>
  </si>
  <si>
    <t>Raja Bahadur International Ltd.</t>
  </si>
  <si>
    <t>RAJABAH</t>
  </si>
  <si>
    <t>TRITURBINE,</t>
  </si>
  <si>
    <t>Rajapalayam Mills Ltd.</t>
  </si>
  <si>
    <t>RAJPALAYAM</t>
  </si>
  <si>
    <t>TROM,</t>
  </si>
  <si>
    <t>Vardhman Polytex Ltd.</t>
  </si>
  <si>
    <t>VARDMNPOLY</t>
  </si>
  <si>
    <t>PKTEA,</t>
  </si>
  <si>
    <t>Vardhman Special Steels Ltd.</t>
  </si>
  <si>
    <t>VSSL</t>
  </si>
  <si>
    <t>SPPPOLY,</t>
  </si>
  <si>
    <t>Sambandam Spinning Mills Ltd.</t>
  </si>
  <si>
    <t>SAMBANDAM</t>
  </si>
  <si>
    <t>TRUST,</t>
  </si>
  <si>
    <t>Vardhman Textiles Ltd.</t>
  </si>
  <si>
    <t>VTL</t>
  </si>
  <si>
    <t>PHOENIXLTD,</t>
  </si>
  <si>
    <t>Sheshadri Industries Ltd.</t>
  </si>
  <si>
    <t>SHESHAINDS</t>
  </si>
  <si>
    <t>Varroc Engineering Ltd.</t>
  </si>
  <si>
    <t>VARROC</t>
  </si>
  <si>
    <t>ALKEM,</t>
  </si>
  <si>
    <t>Shree Manufacturing Company Ltd.</t>
  </si>
  <si>
    <t>SHRMFGC</t>
  </si>
  <si>
    <t>TTKPRESTIG,</t>
  </si>
  <si>
    <t>Sree Jayalakshmi Autospin Ltd.</t>
  </si>
  <si>
    <t>SREEJAYA</t>
  </si>
  <si>
    <t>TIINDIA,</t>
  </si>
  <si>
    <t>Sri Lakshmi Saraswathi Textiles (Arni) Ltd.</t>
  </si>
  <si>
    <t>SLSTLQ</t>
  </si>
  <si>
    <t>505285,</t>
  </si>
  <si>
    <t>Sri Nachammai Cotton Mills Ltd.</t>
  </si>
  <si>
    <t>SRINACHA</t>
  </si>
  <si>
    <t>513629,</t>
  </si>
  <si>
    <t>Sri Ramakrishna Mills (Coimbatore) Ltd.</t>
  </si>
  <si>
    <t>SRMCL</t>
  </si>
  <si>
    <t>531411,</t>
  </si>
  <si>
    <t>Super Sales India Ltd.</t>
  </si>
  <si>
    <t>SUPER</t>
  </si>
  <si>
    <t>TUNWAL,</t>
  </si>
  <si>
    <t>Varun Beverages Ltd.</t>
  </si>
  <si>
    <t>VBL</t>
  </si>
  <si>
    <t>500068,</t>
  </si>
  <si>
    <t>Suryaamba Spinning Mills Ltd.</t>
  </si>
  <si>
    <t>SURYAAMBA</t>
  </si>
  <si>
    <t>TVTODAY,</t>
  </si>
  <si>
    <t>Suryalata Spinning Mills Ltd.</t>
  </si>
  <si>
    <t>SURYALA</t>
  </si>
  <si>
    <t>TVVISION,</t>
  </si>
  <si>
    <t>Suryavanshi Spinning Mills Ltd.</t>
  </si>
  <si>
    <t>SURYVANSP</t>
  </si>
  <si>
    <t>TVSELECT,</t>
  </si>
  <si>
    <t>Vasa Denticity Ltd.</t>
  </si>
  <si>
    <t>DENTALKART</t>
  </si>
  <si>
    <t>UTSSAV,</t>
  </si>
  <si>
    <t>Sybly Industries Ltd.</t>
  </si>
  <si>
    <t>SYBLY</t>
  </si>
  <si>
    <t>TVSMOTOR,</t>
  </si>
  <si>
    <t>VASA Retail And Overseas Ltd.</t>
  </si>
  <si>
    <t>VASA</t>
  </si>
  <si>
    <t>511672,</t>
  </si>
  <si>
    <t>True Green Bio Energy Ltd.</t>
  </si>
  <si>
    <t>CNOVAPETRO</t>
  </si>
  <si>
    <t>TVSSCS,</t>
  </si>
  <si>
    <t>Valson Industries Ltd.</t>
  </si>
  <si>
    <t>VALSONQ</t>
  </si>
  <si>
    <t>532384,</t>
  </si>
  <si>
    <t>Vippy Spinpro Ltd.</t>
  </si>
  <si>
    <t>VIPPYSP</t>
  </si>
  <si>
    <t>526945,</t>
  </si>
  <si>
    <t>Vascon Engineers Ltd.</t>
  </si>
  <si>
    <t>VASCONEQ</t>
  </si>
  <si>
    <t>532315,</t>
  </si>
  <si>
    <t>Vaswani Industries Ltd.</t>
  </si>
  <si>
    <t>VASWANI</t>
  </si>
  <si>
    <t>SIL,</t>
  </si>
  <si>
    <t>Mish Designs Ltd.</t>
  </si>
  <si>
    <t>MISHDESIGN</t>
  </si>
  <si>
    <t>UDAICEMENT,</t>
  </si>
  <si>
    <t>Vaxtex Cotfab Ltd.</t>
  </si>
  <si>
    <t>VCL</t>
  </si>
  <si>
    <t>WALPAR,</t>
  </si>
  <si>
    <t>Vdeal System Ltd.</t>
  </si>
  <si>
    <t>VDEAL</t>
  </si>
  <si>
    <t>530213,</t>
  </si>
  <si>
    <t>AI Champdany Industries Ltd.</t>
  </si>
  <si>
    <t>AICHAMP</t>
  </si>
  <si>
    <t>UFLEX,</t>
  </si>
  <si>
    <t>Vedant Fashions Ltd.</t>
  </si>
  <si>
    <t>MANYAVAR</t>
  </si>
  <si>
    <t>542123,</t>
  </si>
  <si>
    <t>Vedanta Ltd.</t>
  </si>
  <si>
    <t>VEDL</t>
  </si>
  <si>
    <t>PETRONET,</t>
  </si>
  <si>
    <t>Flora Textiles Ltd.</t>
  </si>
  <si>
    <t>ANIRIT</t>
  </si>
  <si>
    <t>541338,</t>
  </si>
  <si>
    <t>Jagjanani Textiles Ltd.</t>
  </si>
  <si>
    <t>JAGJANANI</t>
  </si>
  <si>
    <t>UEL,</t>
  </si>
  <si>
    <t>Jasch Industries Ltd.</t>
  </si>
  <si>
    <t>JASCH</t>
  </si>
  <si>
    <t>KG Denim Ltd.</t>
  </si>
  <si>
    <t>KGDENIM</t>
  </si>
  <si>
    <t>UWCSL,</t>
  </si>
  <si>
    <t>LS Industries Ltd.</t>
  </si>
  <si>
    <t>LSIND</t>
  </si>
  <si>
    <t>538706,</t>
  </si>
  <si>
    <t>Ludlow Jute &amp; Specialities Ltd.</t>
  </si>
  <si>
    <t>LUDLOWJUT</t>
  </si>
  <si>
    <t>506685,</t>
  </si>
  <si>
    <t>Veedol Corporation Ltd.</t>
  </si>
  <si>
    <t>VEEDOL</t>
  </si>
  <si>
    <t>PARSVNATH,</t>
  </si>
  <si>
    <t>Markobenz Ventures Ltd.</t>
  </si>
  <si>
    <t>MARKOBENZ</t>
  </si>
  <si>
    <t>UMA,</t>
  </si>
  <si>
    <t>Nutech Global Ltd.</t>
  </si>
  <si>
    <t>NUTECGLOB</t>
  </si>
  <si>
    <t>UMAEXPORTS,</t>
  </si>
  <si>
    <t>Veekayem Fashion And Apparels Ltd.</t>
  </si>
  <si>
    <t>VEEKAYEM</t>
  </si>
  <si>
    <t>SUULD,</t>
  </si>
  <si>
    <t>Vels Film International Ltd.</t>
  </si>
  <si>
    <t>VELS</t>
  </si>
  <si>
    <t>Tuni Textile Mills Ltd.</t>
  </si>
  <si>
    <t>TUNITEX</t>
  </si>
  <si>
    <t>504605,</t>
  </si>
  <si>
    <t>VTM Ltd.</t>
  </si>
  <si>
    <t>VTMLTD</t>
  </si>
  <si>
    <t>UNICHEMLAB,</t>
  </si>
  <si>
    <t>Fratelli Vineyards Ltd.</t>
  </si>
  <si>
    <t>FRATELLI</t>
  </si>
  <si>
    <t>541503,</t>
  </si>
  <si>
    <t>PALM Jewels Ltd.</t>
  </si>
  <si>
    <t>PALMJEWELS</t>
  </si>
  <si>
    <t>UNIECOM,</t>
  </si>
  <si>
    <t>Aayush Art And Bullion Ltd.</t>
  </si>
  <si>
    <t>AAYUSHBULL</t>
  </si>
  <si>
    <t>Achyut Healthcare Ltd.</t>
  </si>
  <si>
    <t>ACHYUT</t>
  </si>
  <si>
    <t>UNIHEALTH,</t>
  </si>
  <si>
    <t>Aelea Commodities Ltd.</t>
  </si>
  <si>
    <t>ACLD</t>
  </si>
  <si>
    <t>UNIINFO,</t>
  </si>
  <si>
    <t>Aerpace Industries Ltd.</t>
  </si>
  <si>
    <t>AERPACE</t>
  </si>
  <si>
    <t>UNILEX,</t>
  </si>
  <si>
    <t>Venky'S (India) Ltd.</t>
  </si>
  <si>
    <t>VENKEYS</t>
  </si>
  <si>
    <t>Ventive Hospitality Ltd.</t>
  </si>
  <si>
    <t>VENTIVE</t>
  </si>
  <si>
    <t>MKPL,</t>
  </si>
  <si>
    <t>Amanaya Ventures Ltd.</t>
  </si>
  <si>
    <t>AMANAYA</t>
  </si>
  <si>
    <t>UNIPARTS,</t>
  </si>
  <si>
    <t>Venus Pipes &amp; Tubes Ltd.</t>
  </si>
  <si>
    <t>VENUSPIPES</t>
  </si>
  <si>
    <t>540079,</t>
  </si>
  <si>
    <t>Brisk Technovision Ltd.</t>
  </si>
  <si>
    <t>BRISK</t>
  </si>
  <si>
    <t>530997,</t>
  </si>
  <si>
    <t>Venus Remedies Ltd.</t>
  </si>
  <si>
    <t>VENUSREM</t>
  </si>
  <si>
    <t>530251,</t>
  </si>
  <si>
    <t>Vera Synthetic Ltd.</t>
  </si>
  <si>
    <t>VERA</t>
  </si>
  <si>
    <t>SUVEN,</t>
  </si>
  <si>
    <t>Dhyaani Tradeventtures Ltd.</t>
  </si>
  <si>
    <t>DHYAANITR</t>
  </si>
  <si>
    <t>537582,</t>
  </si>
  <si>
    <t>Diggi Multitrade Ltd.</t>
  </si>
  <si>
    <t>DML</t>
  </si>
  <si>
    <t>538610,</t>
  </si>
  <si>
    <t>Dipna Pharmachem Ltd.</t>
  </si>
  <si>
    <t>DPL</t>
  </si>
  <si>
    <t>531867,</t>
  </si>
  <si>
    <t>Veranda Learning Solutions Ltd.</t>
  </si>
  <si>
    <t>VERANDA</t>
  </si>
  <si>
    <t>ESSARSHPNG,</t>
  </si>
  <si>
    <t>Veritaas Advertising Ltd.</t>
  </si>
  <si>
    <t>VERITAAS</t>
  </si>
  <si>
    <t>EVOQ Remedies Ltd.</t>
  </si>
  <si>
    <t>EVOQ</t>
  </si>
  <si>
    <t>544195,</t>
  </si>
  <si>
    <t>Ganesha Ecoverse Ltd.</t>
  </si>
  <si>
    <t>GANVERSE</t>
  </si>
  <si>
    <t>Goblin India Ltd.</t>
  </si>
  <si>
    <t>GOBLIN</t>
  </si>
  <si>
    <t>UNIDT,</t>
  </si>
  <si>
    <t>Vertexplus Technologies Ltd.</t>
  </si>
  <si>
    <t>VERTEXPLUS</t>
  </si>
  <si>
    <t>502587,</t>
  </si>
  <si>
    <t>Halder Venture Ltd.</t>
  </si>
  <si>
    <t>HALDER</t>
  </si>
  <si>
    <t>502893,</t>
  </si>
  <si>
    <t>Healthy Life Agritec Ltd.</t>
  </si>
  <si>
    <t>HEALTHYLIFE</t>
  </si>
  <si>
    <t>507808,</t>
  </si>
  <si>
    <t>Innovative Ideals And Services (India) Ltd.</t>
  </si>
  <si>
    <t>INNOVATIVE</t>
  </si>
  <si>
    <t>UNITEDPOLY,</t>
  </si>
  <si>
    <t>Vertoz Ltd.</t>
  </si>
  <si>
    <t>VERTOZ</t>
  </si>
  <si>
    <t>531925,</t>
  </si>
  <si>
    <t>Vesuvius India Ltd.</t>
  </si>
  <si>
    <t>VESUVIUS</t>
  </si>
  <si>
    <t>513709,</t>
  </si>
  <si>
    <t>Khazanchi Jewellers Ltd.</t>
  </si>
  <si>
    <t>KHAZANCHI</t>
  </si>
  <si>
    <t>UNIVAFOODS,</t>
  </si>
  <si>
    <t>Manoj Ceramic Ltd.</t>
  </si>
  <si>
    <t>MCPL</t>
  </si>
  <si>
    <t>UNIVASTU,</t>
  </si>
  <si>
    <t>Meson Valves India Ltd.</t>
  </si>
  <si>
    <t>MESON</t>
  </si>
  <si>
    <t>532378,</t>
  </si>
  <si>
    <t>Veto Switchgears And Cables Ltd.</t>
  </si>
  <si>
    <t>VETO</t>
  </si>
  <si>
    <t>502865,</t>
  </si>
  <si>
    <t>Nanavati Ventures Ltd.</t>
  </si>
  <si>
    <t>NVENTURES</t>
  </si>
  <si>
    <t>UNIVCABLES,</t>
  </si>
  <si>
    <t>Naturo Indiabull Ltd.</t>
  </si>
  <si>
    <t>NATURO</t>
  </si>
  <si>
    <t>524408,</t>
  </si>
  <si>
    <t>Viaz Tyres Ltd.</t>
  </si>
  <si>
    <t>VIAZ</t>
  </si>
  <si>
    <t>ZTECH,</t>
  </si>
  <si>
    <t>Northern Spirits Ltd.</t>
  </si>
  <si>
    <t>NSL</t>
  </si>
  <si>
    <t>531762,</t>
  </si>
  <si>
    <t>Omansh Enterprises Ltd.</t>
  </si>
  <si>
    <t>OMANSH</t>
  </si>
  <si>
    <t>UNOMINDA,</t>
  </si>
  <si>
    <t>Omnipotent Industries Ltd.</t>
  </si>
  <si>
    <t>OMNIPOTENT</t>
  </si>
  <si>
    <t>509960,</t>
  </si>
  <si>
    <t>Patron Exim Ltd.</t>
  </si>
  <si>
    <t>PATRON</t>
  </si>
  <si>
    <t>UDS,</t>
  </si>
  <si>
    <t>Pearl Green Clubs And Resorts Ltd.</t>
  </si>
  <si>
    <t>PGCRL</t>
  </si>
  <si>
    <t>UPL,</t>
  </si>
  <si>
    <t>Prospect Consumer Products Ltd.</t>
  </si>
  <si>
    <t>PCL</t>
  </si>
  <si>
    <t>Royal Sense Ltd.</t>
  </si>
  <si>
    <t>ROYAL</t>
  </si>
  <si>
    <t>USASEEDS,</t>
  </si>
  <si>
    <t>Sai Swami Metals &amp; Alloys Ltd.</t>
  </si>
  <si>
    <t>SAI</t>
  </si>
  <si>
    <t>539097,</t>
  </si>
  <si>
    <t>SG Mart Ltd.</t>
  </si>
  <si>
    <t>SGMART</t>
  </si>
  <si>
    <t>URAVI,</t>
  </si>
  <si>
    <t>Vibhor Steel Tubes Ltd.</t>
  </si>
  <si>
    <t>VSTL</t>
  </si>
  <si>
    <t>531205,</t>
  </si>
  <si>
    <t>Viceroy Hotels Ltd.</t>
  </si>
  <si>
    <t>VHLTD</t>
  </si>
  <si>
    <t>540078,</t>
  </si>
  <si>
    <t>Shree Marutinandan Tubes Ltd.</t>
  </si>
  <si>
    <t>SHREE</t>
  </si>
  <si>
    <t>532402,</t>
  </si>
  <si>
    <t>Vidhi Specialty Food Ingredients Ltd.</t>
  </si>
  <si>
    <t>VIDHIING</t>
  </si>
  <si>
    <t>EMAMILTD,</t>
  </si>
  <si>
    <t>Vijaya Diagnostic Centre Ltd.</t>
  </si>
  <si>
    <t>VIJAYA</t>
  </si>
  <si>
    <t>540519,</t>
  </si>
  <si>
    <t>Viji Finance Ltd.</t>
  </si>
  <si>
    <t>VIJIFIN</t>
  </si>
  <si>
    <t>VIJIFIN,</t>
  </si>
  <si>
    <t>Sun Retail Ltd.</t>
  </si>
  <si>
    <t>SUNRETAIL</t>
  </si>
  <si>
    <t>Vikas EcoTech Ltd.</t>
  </si>
  <si>
    <t>VIKASECO</t>
  </si>
  <si>
    <t>539018,</t>
  </si>
  <si>
    <t>Sunrise Efficient Marketing Ltd.</t>
  </si>
  <si>
    <t>SEML</t>
  </si>
  <si>
    <t>Suumaya Corporation Ltd.</t>
  </si>
  <si>
    <t>SUUMAYA</t>
  </si>
  <si>
    <t>Vikas Lifecare Ltd.</t>
  </si>
  <si>
    <t>VIKASLIFE</t>
  </si>
  <si>
    <t>PVP,</t>
  </si>
  <si>
    <t>Tiaan Consumer Ltd.</t>
  </si>
  <si>
    <t>TIAANC</t>
  </si>
  <si>
    <t>500426,</t>
  </si>
  <si>
    <t>Vilas Transcore Ltd.</t>
  </si>
  <si>
    <t>VILAS</t>
  </si>
  <si>
    <t>EXCELLENT,</t>
  </si>
  <si>
    <t>Veerkrupa Jewellers Ltd.</t>
  </si>
  <si>
    <t>VEERKRUPA</t>
  </si>
  <si>
    <t>UTTAMSUGAR,</t>
  </si>
  <si>
    <t>Vilin Bio Med Ltd.</t>
  </si>
  <si>
    <t>VILINBIO</t>
  </si>
  <si>
    <t>QUICKTOUCH,</t>
  </si>
  <si>
    <t>Yarn Syndicate Ltd.</t>
  </si>
  <si>
    <t>YARNSYN</t>
  </si>
  <si>
    <t>VGUARD,</t>
  </si>
  <si>
    <t>Longview Tea Company Ltd.</t>
  </si>
  <si>
    <t>LONTE</t>
  </si>
  <si>
    <t>VMARCIND,</t>
  </si>
  <si>
    <t>7NR Retail Ltd.</t>
  </si>
  <si>
    <t>7NR</t>
  </si>
  <si>
    <t>VMART,</t>
  </si>
  <si>
    <t>A-1 Ltd.</t>
  </si>
  <si>
    <t>A1L</t>
  </si>
  <si>
    <t>VSTTILLERS,</t>
  </si>
  <si>
    <t>Aarnav Fashions Ltd.</t>
  </si>
  <si>
    <t>AARNAV</t>
  </si>
  <si>
    <t>V2RETAIL,</t>
  </si>
  <si>
    <t>ABans Enterprises Ltd.</t>
  </si>
  <si>
    <t>ABANSENT</t>
  </si>
  <si>
    <t>WABAG,</t>
  </si>
  <si>
    <t>Vimta Labs Ltd.</t>
  </si>
  <si>
    <t>VIMTALABS</t>
  </si>
  <si>
    <t>ACE Men Engg Works Ltd.</t>
  </si>
  <si>
    <t>ACEMEN</t>
  </si>
  <si>
    <t>519152,</t>
  </si>
  <si>
    <t>Vinati Organics Ltd.</t>
  </si>
  <si>
    <t>VINATIORGA</t>
  </si>
  <si>
    <t>CTE,</t>
  </si>
  <si>
    <t>Add-Shop E-Retail Ltd.</t>
  </si>
  <si>
    <t>ASRL</t>
  </si>
  <si>
    <t>VSCL,</t>
  </si>
  <si>
    <t>Adhata Global Ltd.</t>
  </si>
  <si>
    <t>ADHHATA</t>
  </si>
  <si>
    <t>VAIBHAVGBL,</t>
  </si>
  <si>
    <t>Aeonx Digital Technology Ltd.</t>
  </si>
  <si>
    <t>AEONXDIGI</t>
  </si>
  <si>
    <t>MADHAVBAUG,</t>
  </si>
  <si>
    <t>Agribio Spirits Ltd.</t>
  </si>
  <si>
    <t>AGRIBIO</t>
  </si>
  <si>
    <t>VAISHALI,</t>
  </si>
  <si>
    <t>Vindhya Telelinks Ltd.</t>
  </si>
  <si>
    <t>VINDHYATEL</t>
  </si>
  <si>
    <t>SUNCLAY,</t>
  </si>
  <si>
    <t>Alstone Textiles (India) Ltd.</t>
  </si>
  <si>
    <t>ALSTONE</t>
  </si>
  <si>
    <t>526775,</t>
  </si>
  <si>
    <t>Ambitious Plastomac Company Ltd.</t>
  </si>
  <si>
    <t>AMBIT</t>
  </si>
  <si>
    <t>VALIANTLAB,</t>
  </si>
  <si>
    <t>Amrapali Industries Ltd.</t>
  </si>
  <si>
    <t>AMRAPLIN</t>
  </si>
  <si>
    <t>VALIANTORG,</t>
  </si>
  <si>
    <t>Amraworld Agrico Ltd.</t>
  </si>
  <si>
    <t>AMRAAGRI</t>
  </si>
  <si>
    <t>513397,</t>
  </si>
  <si>
    <t>Anand Rayons Ltd.</t>
  </si>
  <si>
    <t>ARL</t>
  </si>
  <si>
    <t>DBREALTY,</t>
  </si>
  <si>
    <t>Vineet Laboratories Ltd.</t>
  </si>
  <si>
    <t>VINEETLAB</t>
  </si>
  <si>
    <t>531539,</t>
  </si>
  <si>
    <t>Ashiana Agro Industries Ltd.</t>
  </si>
  <si>
    <t>ASHAI</t>
  </si>
  <si>
    <t>512175,</t>
  </si>
  <si>
    <t>Ashnisha Industries Ltd.</t>
  </si>
  <si>
    <t>ASHNI</t>
  </si>
  <si>
    <t>530369,</t>
  </si>
  <si>
    <t>Vinny Overseas Ltd.</t>
  </si>
  <si>
    <t>VINNY</t>
  </si>
  <si>
    <t>RUBYMILLS,</t>
  </si>
  <si>
    <t>Asia Pack Ltd.</t>
  </si>
  <si>
    <t>ASIAPAK</t>
  </si>
  <si>
    <t>Asian Tea &amp; Exports Ltd.</t>
  </si>
  <si>
    <t>ASIANTNE</t>
  </si>
  <si>
    <t>540729,</t>
  </si>
  <si>
    <t>Astal Laboratories Ltd.</t>
  </si>
  <si>
    <t>ASTALLTD</t>
  </si>
  <si>
    <t>539761,</t>
  </si>
  <si>
    <t>Vinsys IT Services India Ltd.</t>
  </si>
  <si>
    <t>VINSYS</t>
  </si>
  <si>
    <t>NATIONALUM,</t>
  </si>
  <si>
    <t>AVI Polymers Ltd.</t>
  </si>
  <si>
    <t>AVI</t>
  </si>
  <si>
    <t>CLOUD,</t>
  </si>
  <si>
    <t>AVI Products India Ltd.</t>
  </si>
  <si>
    <t>APIL</t>
  </si>
  <si>
    <t>VARDHACRLC,</t>
  </si>
  <si>
    <t>Banganga Paper Industries Ltd.</t>
  </si>
  <si>
    <t>INERTIAST</t>
  </si>
  <si>
    <t>531444,</t>
  </si>
  <si>
    <t>Bhilwara Spinners Ltd.</t>
  </si>
  <si>
    <t>BHILSPIN</t>
  </si>
  <si>
    <t>Vintage Coffee &amp; Beverages Ltd.</t>
  </si>
  <si>
    <t>VINCOFE</t>
  </si>
  <si>
    <t>539132,</t>
  </si>
  <si>
    <t>Chandra Prabhu International Ltd.</t>
  </si>
  <si>
    <t>CHANDRAP</t>
  </si>
  <si>
    <t>VSSL,</t>
  </si>
  <si>
    <t>Chandrima Mercantiles Ltd.</t>
  </si>
  <si>
    <t>CHANDRIMA</t>
  </si>
  <si>
    <t>VTL,</t>
  </si>
  <si>
    <t>CHD Chemicals Ltd.</t>
  </si>
  <si>
    <t>CHDCHEM</t>
  </si>
  <si>
    <t>540570,</t>
  </si>
  <si>
    <t>Checkpoint Trends Ltd.</t>
  </si>
  <si>
    <t>CHECKPOINT</t>
  </si>
  <si>
    <t>VARROC,</t>
  </si>
  <si>
    <t>Contil India Ltd.</t>
  </si>
  <si>
    <t>CONTILI</t>
  </si>
  <si>
    <t>VBL,</t>
  </si>
  <si>
    <t>Cosco (India) Ltd.</t>
  </si>
  <si>
    <t>COSCO</t>
  </si>
  <si>
    <t>544168,</t>
  </si>
  <si>
    <t>Cravatex Ltd.</t>
  </si>
  <si>
    <t>CRAVATEX</t>
  </si>
  <si>
    <t>DENTALKART,</t>
  </si>
  <si>
    <t>Vinyas Innovative Technologies Ltd.</t>
  </si>
  <si>
    <t>VINYAS</t>
  </si>
  <si>
    <t>FRETAIL,</t>
  </si>
  <si>
    <t>Danube Industries Ltd.</t>
  </si>
  <si>
    <t>DANUBE</t>
  </si>
  <si>
    <t>VASCONEQ,</t>
  </si>
  <si>
    <t>Delta Industrial Resources Ltd.</t>
  </si>
  <si>
    <t>DELTA</t>
  </si>
  <si>
    <t>532011,</t>
  </si>
  <si>
    <t>Devine Impex Ltd.</t>
  </si>
  <si>
    <t>DEVINE</t>
  </si>
  <si>
    <t>539291,</t>
  </si>
  <si>
    <t>Dhanalaxmi Roto Spinners Ltd.</t>
  </si>
  <si>
    <t>DHANROTO</t>
  </si>
  <si>
    <t>538634,</t>
  </si>
  <si>
    <t>Dhoot Industrial Finance Ltd.</t>
  </si>
  <si>
    <t>DHOOTIN</t>
  </si>
  <si>
    <t>VASWANI,</t>
  </si>
  <si>
    <t>Disha Resources Ltd.</t>
  </si>
  <si>
    <t>542803,</t>
  </si>
  <si>
    <t>Ecofinity Atomix Ltd.</t>
  </si>
  <si>
    <t>ARYAVAN</t>
  </si>
  <si>
    <t>VCL,</t>
  </si>
  <si>
    <t>Elegant Floriculture &amp; Agrotech (India) Ltd.</t>
  </si>
  <si>
    <t>ELEFLOR</t>
  </si>
  <si>
    <t>Elitecon International Ltd.</t>
  </si>
  <si>
    <t>ELITECON</t>
  </si>
  <si>
    <t>Emergent Industrial Solutions Ltd.</t>
  </si>
  <si>
    <t>EMERGENT</t>
  </si>
  <si>
    <t>536672,</t>
  </si>
  <si>
    <t>Vinyl Chemicals (India) Ltd.</t>
  </si>
  <si>
    <t>VINYLINDIA</t>
  </si>
  <si>
    <t>538970,</t>
  </si>
  <si>
    <t>VIP Clothing Ltd.</t>
  </si>
  <si>
    <t>VIPCLOTHNG</t>
  </si>
  <si>
    <t>SANDESH,</t>
  </si>
  <si>
    <t>Evexia Lifecare Ltd.</t>
  </si>
  <si>
    <t>EVEXIA</t>
  </si>
  <si>
    <t>MANYAVAR,</t>
  </si>
  <si>
    <t>VIP Industries Ltd.</t>
  </si>
  <si>
    <t>VIPIND</t>
  </si>
  <si>
    <t>Fervent Synergies Ltd.</t>
  </si>
  <si>
    <t>FERVENTSYN</t>
  </si>
  <si>
    <t>533056,</t>
  </si>
  <si>
    <t>Fortune International Ltd.</t>
  </si>
  <si>
    <t>FORINTL</t>
  </si>
  <si>
    <t>VEEDOL,</t>
  </si>
  <si>
    <t>Franklin Industries Ltd.</t>
  </si>
  <si>
    <t>FRANKLININD</t>
  </si>
  <si>
    <t>543931,</t>
  </si>
  <si>
    <t>Fraser and Co Ltd.</t>
  </si>
  <si>
    <t>FRASER</t>
  </si>
  <si>
    <t>522267,</t>
  </si>
  <si>
    <t>Ganon Products Ltd.</t>
  </si>
  <si>
    <t>GANONPRO</t>
  </si>
  <si>
    <t>VEEKAYEM,</t>
  </si>
  <si>
    <t>Globe Commercials Ltd.</t>
  </si>
  <si>
    <t>GLCL</t>
  </si>
  <si>
    <t>503657,</t>
  </si>
  <si>
    <t>Vipul Ltd.</t>
  </si>
  <si>
    <t>VIPULLTD</t>
  </si>
  <si>
    <t>539527,</t>
  </si>
  <si>
    <t>Grandma Trading &amp; Agencies Ltd.</t>
  </si>
  <si>
    <t>GRANDMA</t>
  </si>
  <si>
    <t>Gujarat Cotex Ltd.</t>
  </si>
  <si>
    <t>GUJCOTEX</t>
  </si>
  <si>
    <t>511523,</t>
  </si>
  <si>
    <t>Haria Exports Ltd.</t>
  </si>
  <si>
    <t>HARIAEXPO</t>
  </si>
  <si>
    <t>543545,</t>
  </si>
  <si>
    <t>Hemang Resources Ltd.</t>
  </si>
  <si>
    <t>HEMANG</t>
  </si>
  <si>
    <t>526755,</t>
  </si>
  <si>
    <t>Virinchi People’s Hospital Ltd.</t>
  </si>
  <si>
    <t>VIRINCHI</t>
  </si>
  <si>
    <t>514324,</t>
  </si>
  <si>
    <t>Virinchi Peopleâ€™s Hospital Ltd.</t>
  </si>
  <si>
    <t>ONDOOR,</t>
  </si>
  <si>
    <t>IFL Enterprises Ltd.</t>
  </si>
  <si>
    <t>IFL</t>
  </si>
  <si>
    <t>VENKEYS,</t>
  </si>
  <si>
    <t>IGC Industries Ltd.</t>
  </si>
  <si>
    <t>IGCIL</t>
  </si>
  <si>
    <t>524038,</t>
  </si>
  <si>
    <t>IMEC Services Ltd.</t>
  </si>
  <si>
    <t>IMEC</t>
  </si>
  <si>
    <t>531015,</t>
  </si>
  <si>
    <t>Visa Steel Ltd.</t>
  </si>
  <si>
    <t>VISASTEEL</t>
  </si>
  <si>
    <t>526532,</t>
  </si>
  <si>
    <t>Jaihind Synthetics Ltd.</t>
  </si>
  <si>
    <t>JAIHINDS</t>
  </si>
  <si>
    <t>516098,</t>
  </si>
  <si>
    <t>JMG Corporation Ltd.</t>
  </si>
  <si>
    <t>JMGCORP</t>
  </si>
  <si>
    <t>VENUSPIPES,</t>
  </si>
  <si>
    <t>Johnson Pharmacare Ltd.</t>
  </si>
  <si>
    <t>JOHNPHARMA</t>
  </si>
  <si>
    <t>VENUSREM,</t>
  </si>
  <si>
    <t>Visagar Polytex Ltd.</t>
  </si>
  <si>
    <t>VIVIDHA</t>
  </si>
  <si>
    <t>STCINDIA,</t>
  </si>
  <si>
    <t>Visaka Industries Ltd.</t>
  </si>
  <si>
    <t>VISAKAIND</t>
  </si>
  <si>
    <t>KCD Industries India Ltd.</t>
  </si>
  <si>
    <t>KCDGROUP</t>
  </si>
  <si>
    <t>VERITAAS,</t>
  </si>
  <si>
    <t>Kemp &amp; Company Ltd.</t>
  </si>
  <si>
    <t>KEMP</t>
  </si>
  <si>
    <t>512229,</t>
  </si>
  <si>
    <t>Konndor Industries Ltd.</t>
  </si>
  <si>
    <t>KONNDOR</t>
  </si>
  <si>
    <t>Visaman Global Sales Ltd.</t>
  </si>
  <si>
    <t>VISAMAN</t>
  </si>
  <si>
    <t>Laffans Petrochemicals Ltd.</t>
  </si>
  <si>
    <t>LAFFANSQ</t>
  </si>
  <si>
    <t>VERTOZ,</t>
  </si>
  <si>
    <t>Lahoti Overseas Ltd.</t>
  </si>
  <si>
    <t>LAHOTIOV</t>
  </si>
  <si>
    <t>VESUVIUS,</t>
  </si>
  <si>
    <t>Lesha Industries Ltd.</t>
  </si>
  <si>
    <t>LESHAIND</t>
  </si>
  <si>
    <t>VETO,</t>
  </si>
  <si>
    <t>Lexoraa Industries Ltd.</t>
  </si>
  <si>
    <t>LEXORAA</t>
  </si>
  <si>
    <t>VIAZ,</t>
  </si>
  <si>
    <t>Vishal Mega Mart Ltd.</t>
  </si>
  <si>
    <t>VMM</t>
  </si>
  <si>
    <t>544074,</t>
  </si>
  <si>
    <t>Vishnu Chemicals Ltd.</t>
  </si>
  <si>
    <t>VISHNU</t>
  </si>
  <si>
    <t>524440,</t>
  </si>
  <si>
    <t>Macfos Ltd.</t>
  </si>
  <si>
    <t>ROBU</t>
  </si>
  <si>
    <t>VHLTD,</t>
  </si>
  <si>
    <t>Madhusudan Industries Ltd.</t>
  </si>
  <si>
    <t>MADHUDIN</t>
  </si>
  <si>
    <t>503349,</t>
  </si>
  <si>
    <t>Maharashtra Corporation Ltd.</t>
  </si>
  <si>
    <t>MAHACORP</t>
  </si>
  <si>
    <t>VIDHIING,</t>
  </si>
  <si>
    <t>Maitri Enterprises Ltd.</t>
  </si>
  <si>
    <t>MAITRI</t>
  </si>
  <si>
    <t>531069,</t>
  </si>
  <si>
    <t>Vishnu Prakash R Punglia Ltd.</t>
  </si>
  <si>
    <t>VPRPL</t>
  </si>
  <si>
    <t>539522,</t>
  </si>
  <si>
    <t>Manbro Industries Ltd.</t>
  </si>
  <si>
    <t>MANBRO</t>
  </si>
  <si>
    <t>Vishnusurya Projects and Infra Ltd.</t>
  </si>
  <si>
    <t>VISHNUINFR</t>
  </si>
  <si>
    <t>532701,</t>
  </si>
  <si>
    <t>Maximus International Ltd.</t>
  </si>
  <si>
    <t>MAXIMUS</t>
  </si>
  <si>
    <t>VIKASECO,</t>
  </si>
  <si>
    <t>Medico Intercontinental Ltd.</t>
  </si>
  <si>
    <t>MIL</t>
  </si>
  <si>
    <t>VIKASLIFE,</t>
  </si>
  <si>
    <t>Metroglobal Ltd.</t>
  </si>
  <si>
    <t>METROGLOBL</t>
  </si>
  <si>
    <t>531518,</t>
  </si>
  <si>
    <t>Mihika Industries Ltd.</t>
  </si>
  <si>
    <t>MIHIKA</t>
  </si>
  <si>
    <t>519307,</t>
  </si>
  <si>
    <t>Mishka Exim Ltd.</t>
  </si>
  <si>
    <t>MISHKA</t>
  </si>
  <si>
    <t>539659,</t>
  </si>
  <si>
    <t>Mitshi India Ltd.</t>
  </si>
  <si>
    <t>MITSHI</t>
  </si>
  <si>
    <t>530477,</t>
  </si>
  <si>
    <t>Vishwaraj Sugar Industries Ltd.</t>
  </si>
  <si>
    <t>VISHWARAJ</t>
  </si>
  <si>
    <t>SUBEXLTD,</t>
  </si>
  <si>
    <t>Vishwas Agri Seeds Ltd.</t>
  </si>
  <si>
    <t>VISHWAS</t>
  </si>
  <si>
    <t>AAATECH,</t>
  </si>
  <si>
    <t>Modella Woollens Ltd.</t>
  </si>
  <si>
    <t>MODWOOL</t>
  </si>
  <si>
    <t>VIMTALABS,</t>
  </si>
  <si>
    <t>MRC Agrotech Ltd.</t>
  </si>
  <si>
    <t>MRCAGRO</t>
  </si>
  <si>
    <t>VINATIORGA,</t>
  </si>
  <si>
    <t>MRP Agro Ltd.</t>
  </si>
  <si>
    <t>MRP</t>
  </si>
  <si>
    <t>534639,</t>
  </si>
  <si>
    <t>Mukta Agriculture Ltd.</t>
  </si>
  <si>
    <t>MUKTA</t>
  </si>
  <si>
    <t>VINDHYATEL,</t>
  </si>
  <si>
    <t>Munoth Communication Ltd.</t>
  </si>
  <si>
    <t>MCLTD</t>
  </si>
  <si>
    <t>VINEETLAB,</t>
  </si>
  <si>
    <t>Mystic Electronics Ltd.</t>
  </si>
  <si>
    <t>MYSTICELE</t>
  </si>
  <si>
    <t>VINNY,</t>
  </si>
  <si>
    <t>Nagarjuna Agri Tech Ltd.</t>
  </si>
  <si>
    <t>NAGTECH</t>
  </si>
  <si>
    <t>VINSYS,</t>
  </si>
  <si>
    <t>Natural Biocon (India) Ltd.</t>
  </si>
  <si>
    <t>NATURAL</t>
  </si>
  <si>
    <t>VINCOFE,</t>
  </si>
  <si>
    <t>Neeraj Paper Marketing Ltd.</t>
  </si>
  <si>
    <t>NEERAJ</t>
  </si>
  <si>
    <t>NMS Global Ltd.</t>
  </si>
  <si>
    <t>NMSRESRC</t>
  </si>
  <si>
    <t>517393,</t>
  </si>
  <si>
    <t>Vision Infra Equipment Solutions Ltd.</t>
  </si>
  <si>
    <t>VIESL</t>
  </si>
  <si>
    <t>542667,</t>
  </si>
  <si>
    <t>Nyssa Corporation Ltd.</t>
  </si>
  <si>
    <t>NYSSACORP</t>
  </si>
  <si>
    <t>VINYLINDIA,</t>
  </si>
  <si>
    <t>Olympic Oil Industries Ltd.</t>
  </si>
  <si>
    <t>OLYOI</t>
  </si>
  <si>
    <t>530401,</t>
  </si>
  <si>
    <t>Omnitex Industries (India) Ltd.</t>
  </si>
  <si>
    <t>OMNITEX</t>
  </si>
  <si>
    <t>VIPCLOTHNG,</t>
  </si>
  <si>
    <t>Vital Chemtech Ltd.</t>
  </si>
  <si>
    <t>VITAL</t>
  </si>
  <si>
    <t>532645,</t>
  </si>
  <si>
    <t>Viviana Power Tech Ltd.</t>
  </si>
  <si>
    <t>VIVIANA</t>
  </si>
  <si>
    <t>GLOBAL,</t>
  </si>
  <si>
    <t>Padmanabh Industries Ltd.</t>
  </si>
  <si>
    <t>PADMAIND</t>
  </si>
  <si>
    <t>VIPULLTD,</t>
  </si>
  <si>
    <t>Panabyte Technologies Ltd.</t>
  </si>
  <si>
    <t>PANABYTE</t>
  </si>
  <si>
    <t>530627,</t>
  </si>
  <si>
    <t>Panth Infinity Ltd.</t>
  </si>
  <si>
    <t>PANTH</t>
  </si>
  <si>
    <t>519457,</t>
  </si>
  <si>
    <t>Parker Agrochem Exports Ltd.</t>
  </si>
  <si>
    <t>PARKERAC</t>
  </si>
  <si>
    <t>530521,</t>
  </si>
  <si>
    <t>Parshva Enterprises Ltd.</t>
  </si>
  <si>
    <t>PARSHVA</t>
  </si>
  <si>
    <t>Peeti Securities Ltd.</t>
  </si>
  <si>
    <t>PEETISEC</t>
  </si>
  <si>
    <t>532354,</t>
  </si>
  <si>
    <t>PH Trading Ltd.</t>
  </si>
  <si>
    <t>PHTRADING</t>
  </si>
  <si>
    <t>VIRINCHI,</t>
  </si>
  <si>
    <t>PM Telelinks Ltd.</t>
  </si>
  <si>
    <t>PMTELELIN</t>
  </si>
  <si>
    <t>Polo Queen Industrial &amp; Fintech Ltd.</t>
  </si>
  <si>
    <t>PQIF</t>
  </si>
  <si>
    <t>534741,</t>
  </si>
  <si>
    <t>Prabhhans Industries Ltd.</t>
  </si>
  <si>
    <t>PRABHHANS</t>
  </si>
  <si>
    <t>543597,</t>
  </si>
  <si>
    <t>Pradhin Ltd.</t>
  </si>
  <si>
    <t>PRADHIN</t>
  </si>
  <si>
    <t>VISASTEEL,</t>
  </si>
  <si>
    <t>Priya Ltd.</t>
  </si>
  <si>
    <t>PRIYALT</t>
  </si>
  <si>
    <t>Vivo Collaboration Solutions Ltd.</t>
  </si>
  <si>
    <t>VIVO</t>
  </si>
  <si>
    <t>NFL,</t>
  </si>
  <si>
    <t>Quasar India Ltd.</t>
  </si>
  <si>
    <t>QUASAR</t>
  </si>
  <si>
    <t>VISAKAIND,</t>
  </si>
  <si>
    <t>Radhagobind Commercial Ltd.</t>
  </si>
  <si>
    <t>RCL</t>
  </si>
  <si>
    <t>VISAMAN,</t>
  </si>
  <si>
    <t>Rajkamal Synthetics Ltd.</t>
  </si>
  <si>
    <t>RAJKSYN</t>
  </si>
  <si>
    <t>Rajnish Retail Ltd.</t>
  </si>
  <si>
    <t>RRETAIL</t>
  </si>
  <si>
    <t>539398,</t>
  </si>
  <si>
    <t>Rama Vision Ltd.</t>
  </si>
  <si>
    <t>RAMAVISION</t>
  </si>
  <si>
    <t>538598,</t>
  </si>
  <si>
    <t>Ramasigns Industries Ltd.</t>
  </si>
  <si>
    <t>RAMASIGNS</t>
  </si>
  <si>
    <t>VMM,</t>
  </si>
  <si>
    <t>Ramgopal Polytex Ltd.</t>
  </si>
  <si>
    <t>RAMGOPOLY</t>
  </si>
  <si>
    <t>VISHNU,</t>
  </si>
  <si>
    <t>VL E-Governance &amp; IT Solutions Ltd.</t>
  </si>
  <si>
    <t>VLEGOV</t>
  </si>
  <si>
    <t>DIVYADHAN,</t>
  </si>
  <si>
    <t>VL Infraprojects Ltd.</t>
  </si>
  <si>
    <t>VLINFRA</t>
  </si>
  <si>
    <t>539479,</t>
  </si>
  <si>
    <t>Regent Enterprises Ltd.</t>
  </si>
  <si>
    <t>REGENTRP</t>
  </si>
  <si>
    <t>512064,</t>
  </si>
  <si>
    <t>Remedium Lifecare Ltd.</t>
  </si>
  <si>
    <t>REMLIFE</t>
  </si>
  <si>
    <t>VISHWARAJ,</t>
  </si>
  <si>
    <t>Riddhi Siddhi Gluco Biols Ltd.</t>
  </si>
  <si>
    <t>RIDDHI</t>
  </si>
  <si>
    <t>VISHWAS,</t>
  </si>
  <si>
    <t>RISA International Ltd.</t>
  </si>
  <si>
    <t>RISAINTL</t>
  </si>
  <si>
    <t>526441,</t>
  </si>
  <si>
    <t>Rishiroop Ltd.</t>
  </si>
  <si>
    <t>RISHIROOP</t>
  </si>
  <si>
    <t>531668,</t>
  </si>
  <si>
    <t>RO Jewels Ltd.</t>
  </si>
  <si>
    <t>ROJL</t>
  </si>
  <si>
    <t>VIESL,</t>
  </si>
  <si>
    <t>VLS Finance Ltd.</t>
  </si>
  <si>
    <t>VLSFINANCE</t>
  </si>
  <si>
    <t>VLSFINANCE,</t>
  </si>
  <si>
    <t>Samyak International Ltd.</t>
  </si>
  <si>
    <t>SAMYAKINT</t>
  </si>
  <si>
    <t>538565,</t>
  </si>
  <si>
    <t>Sanblue Corporation Ltd.</t>
  </si>
  <si>
    <t>SANBLUE</t>
  </si>
  <si>
    <t>VITAL,</t>
  </si>
  <si>
    <t>Sarthak Industries Ltd.</t>
  </si>
  <si>
    <t>SARTHAKIND</t>
  </si>
  <si>
    <t>544002,</t>
  </si>
  <si>
    <t>Sattva Sukun Lifecare Ltd.</t>
  </si>
  <si>
    <t>MAYUKH</t>
  </si>
  <si>
    <t>541735,</t>
  </si>
  <si>
    <t>Sawaca Enterprises Ltd.</t>
  </si>
  <si>
    <t>SAWABUSI</t>
  </si>
  <si>
    <t>530057,</t>
  </si>
  <si>
    <t>Vodafone Idea Ltd.</t>
  </si>
  <si>
    <t>IDEA</t>
  </si>
  <si>
    <t>SUPREMEPWR,</t>
  </si>
  <si>
    <t>Sharanam Infraproject and Trading Ltd.</t>
  </si>
  <si>
    <t>SIPTL</t>
  </si>
  <si>
    <t>524576,</t>
  </si>
  <si>
    <t>Shivansh Finserve Ltd.</t>
  </si>
  <si>
    <t>SHIVA</t>
  </si>
  <si>
    <t>542046,</t>
  </si>
  <si>
    <t>Shradha AI Technologies Ltd.</t>
  </si>
  <si>
    <t>SHRAAITECH</t>
  </si>
  <si>
    <t>511509,</t>
  </si>
  <si>
    <t>Shree Ganesh Elastoplast Ltd.</t>
  </si>
  <si>
    <t>SHGANEL</t>
  </si>
  <si>
    <t>VIVO,</t>
  </si>
  <si>
    <t>Shree Metalloys Ltd.</t>
  </si>
  <si>
    <t>SHREMETAL</t>
  </si>
  <si>
    <t>509026,</t>
  </si>
  <si>
    <t>Voltamp Transformers Ltd.</t>
  </si>
  <si>
    <t>VOLTAMP</t>
  </si>
  <si>
    <t>544186,</t>
  </si>
  <si>
    <t>Sicagen India Ltd.</t>
  </si>
  <si>
    <t>SICAGEN</t>
  </si>
  <si>
    <t>VLINFRA,</t>
  </si>
  <si>
    <t>Voltas Ltd.</t>
  </si>
  <si>
    <t>VOLTAS</t>
  </si>
  <si>
    <t>ABSMARINE,</t>
  </si>
  <si>
    <t>Simplex Papers Ltd.</t>
  </si>
  <si>
    <t>SIMPLXPAP</t>
  </si>
  <si>
    <t>533427,</t>
  </si>
  <si>
    <t>VR Infraspace Ltd.</t>
  </si>
  <si>
    <t>VR</t>
  </si>
  <si>
    <t>CELLECOR,</t>
  </si>
  <si>
    <t>Sizemasters Technology Ltd.</t>
  </si>
  <si>
    <t>SIZEMASTER</t>
  </si>
  <si>
    <t>522122,</t>
  </si>
  <si>
    <t>Sobhagya Mercantile Ltd.</t>
  </si>
  <si>
    <t>SOBME</t>
  </si>
  <si>
    <t>Vraj Iron &amp; Steel Ltd.</t>
  </si>
  <si>
    <t>VRAJ</t>
  </si>
  <si>
    <t>SJLOGISTIC,</t>
  </si>
  <si>
    <t>SRU Steels Ltd.</t>
  </si>
  <si>
    <t>SRUSTEELS</t>
  </si>
  <si>
    <t>VOLTAS,</t>
  </si>
  <si>
    <t>Standard Batteries Ltd.</t>
  </si>
  <si>
    <t>STDBAT</t>
  </si>
  <si>
    <t>542654,</t>
  </si>
  <si>
    <t>VRL Logistics Ltd.</t>
  </si>
  <si>
    <t>VRLLOG</t>
  </si>
  <si>
    <t>PARAGON,</t>
  </si>
  <si>
    <t>Stratmont Industries Ltd.</t>
  </si>
  <si>
    <t>STRATMONT</t>
  </si>
  <si>
    <t>523888,</t>
  </si>
  <si>
    <t>Sumuka Agro Industries Ltd.</t>
  </si>
  <si>
    <t>SUMUKA</t>
  </si>
  <si>
    <t>VRAJ,</t>
  </si>
  <si>
    <t>Svarnim Trade Udyog Ltd.</t>
  </si>
  <si>
    <t>SNIM</t>
  </si>
  <si>
    <t>VRLLOG,</t>
  </si>
  <si>
    <t>Swiss Military Consumer Goods Ltd.</t>
  </si>
  <si>
    <t>SWISSMLTRY</t>
  </si>
  <si>
    <t>544157,</t>
  </si>
  <si>
    <t>Symbiox Investment &amp; Trading Co Ltd.</t>
  </si>
  <si>
    <t>SYMBIOX</t>
  </si>
  <si>
    <t>544011,</t>
  </si>
  <si>
    <t>Tai Industries Ltd.</t>
  </si>
  <si>
    <t>TAIIND</t>
  </si>
  <si>
    <t>519331,</t>
  </si>
  <si>
    <t>TCC Concept Ltd.</t>
  </si>
  <si>
    <t>TCC</t>
  </si>
  <si>
    <t>VSTIND,</t>
  </si>
  <si>
    <t>Tejassvi Aaharam Ltd.</t>
  </si>
  <si>
    <t>TEJASSVI</t>
  </si>
  <si>
    <t>532893,</t>
  </si>
  <si>
    <t>Thacker &amp; Company Ltd.</t>
  </si>
  <si>
    <t>THACKER</t>
  </si>
  <si>
    <t>531997,</t>
  </si>
  <si>
    <t>VST Industries Ltd.</t>
  </si>
  <si>
    <t>VSTIND</t>
  </si>
  <si>
    <t>The Yamuna Syndicate Ltd.</t>
  </si>
  <si>
    <t>YSL</t>
  </si>
  <si>
    <t>517399,</t>
  </si>
  <si>
    <t>Tirupati Tyres Ltd.</t>
  </si>
  <si>
    <t>TTIL</t>
  </si>
  <si>
    <t>WSI,</t>
  </si>
  <si>
    <t>Trio Mercantile &amp; Trading Ltd.</t>
  </si>
  <si>
    <t>TRIOMERC</t>
  </si>
  <si>
    <t>541445,</t>
  </si>
  <si>
    <t>Triveni Enterprises Ltd.</t>
  </si>
  <si>
    <t>TRIVENIENT</t>
  </si>
  <si>
    <t>WAAREEENER,</t>
  </si>
  <si>
    <t>W.S. Industries (India) Ltd.</t>
  </si>
  <si>
    <t>WSI</t>
  </si>
  <si>
    <t>FORCAS,</t>
  </si>
  <si>
    <t>Waaree Energies Ltd.</t>
  </si>
  <si>
    <t>WAAREEENER</t>
  </si>
  <si>
    <t>FOSECOIND,</t>
  </si>
  <si>
    <t>Unitech International Ltd.</t>
  </si>
  <si>
    <t>UNITINT</t>
  </si>
  <si>
    <t>UR Sugar Industries Ltd.</t>
  </si>
  <si>
    <t>URSUGAR</t>
  </si>
  <si>
    <t>Vasudhagama Enterprises Ltd.</t>
  </si>
  <si>
    <t>VASUDHAGAM</t>
  </si>
  <si>
    <t>WALCHANNAG,</t>
  </si>
  <si>
    <t>Vaxfab Enterprises Ltd.</t>
  </si>
  <si>
    <t>VEL</t>
  </si>
  <si>
    <t>Walchandnagar Industries Ltd.</t>
  </si>
  <si>
    <t>WALCHANNAG</t>
  </si>
  <si>
    <t>HISARMETAL,</t>
  </si>
  <si>
    <t>Veritas (India) Ltd.</t>
  </si>
  <si>
    <t>VERITAS</t>
  </si>
  <si>
    <t>WANBURY,</t>
  </si>
  <si>
    <t>Walpar Nutritions Ltd.</t>
  </si>
  <si>
    <t>WALPAR</t>
  </si>
  <si>
    <t>539515,</t>
  </si>
  <si>
    <t>Wanbury Ltd.</t>
  </si>
  <si>
    <t>WANBURY</t>
  </si>
  <si>
    <t>523021,</t>
  </si>
  <si>
    <t>Vivanza Biosciences Ltd.</t>
  </si>
  <si>
    <t>VIVANZA</t>
  </si>
  <si>
    <t>508494,</t>
  </si>
  <si>
    <t>Welcure Drugs &amp; Pharmaceuticals Ltd.</t>
  </si>
  <si>
    <t>WELCURE</t>
  </si>
  <si>
    <t>523660,</t>
  </si>
  <si>
    <t>WH Brady &amp; Company Ltd.</t>
  </si>
  <si>
    <t>WHBRADY</t>
  </si>
  <si>
    <t>WEWIN,</t>
  </si>
  <si>
    <t>White Organic Agro Ltd.</t>
  </si>
  <si>
    <t>WHITEORG</t>
  </si>
  <si>
    <t>Worldwide Aluminium Ltd.</t>
  </si>
  <si>
    <t>WWALUM</t>
  </si>
  <si>
    <t>WEBELSOLAR,</t>
  </si>
  <si>
    <t>Yash Chemex Ltd.</t>
  </si>
  <si>
    <t>YASHCHEM</t>
  </si>
  <si>
    <t>WEIZMANIND,</t>
  </si>
  <si>
    <t>Zenlabs Ethica Ltd.</t>
  </si>
  <si>
    <t>ZENLABS</t>
  </si>
  <si>
    <t>504988,</t>
  </si>
  <si>
    <t>We Win Ltd.</t>
  </si>
  <si>
    <t>WEWIN</t>
  </si>
  <si>
    <t>ARROWGREEN,</t>
  </si>
  <si>
    <t>Wealth First Portfolio Managers Ltd.</t>
  </si>
  <si>
    <t>WEALTH</t>
  </si>
  <si>
    <t>WEALTH,</t>
  </si>
  <si>
    <t>JBMA,</t>
  </si>
  <si>
    <t>Balgopal Commercial Ltd.</t>
  </si>
  <si>
    <t>BALGOPAL</t>
  </si>
  <si>
    <t>WELENT,</t>
  </si>
  <si>
    <t>Websol Energy System Ltd.</t>
  </si>
  <si>
    <t>WEBELSOLAR</t>
  </si>
  <si>
    <t>GGBL,</t>
  </si>
  <si>
    <t>Hamps Bio Ltd.</t>
  </si>
  <si>
    <t>HAMPS</t>
  </si>
  <si>
    <t>WELSPUNLIV,</t>
  </si>
  <si>
    <t>Khyati Global Ventures Ltd.</t>
  </si>
  <si>
    <t>KGVL</t>
  </si>
  <si>
    <t>500365,</t>
  </si>
  <si>
    <t>Weizmann Ltd.</t>
  </si>
  <si>
    <t>WEIZMANIND</t>
  </si>
  <si>
    <t>WIPL,</t>
  </si>
  <si>
    <t>Welspun Corp Ltd.</t>
  </si>
  <si>
    <t>WELCORP</t>
  </si>
  <si>
    <t>530037,</t>
  </si>
  <si>
    <t>Welspun Enterprises Ltd.</t>
  </si>
  <si>
    <t>WELENT</t>
  </si>
  <si>
    <t>CGRAPHICS,</t>
  </si>
  <si>
    <t>Piotex Industries Ltd.</t>
  </si>
  <si>
    <t>PIOTEX</t>
  </si>
  <si>
    <t>538382,</t>
  </si>
  <si>
    <t>Welspun Investments and Commercials Ltd.</t>
  </si>
  <si>
    <t>WELINV</t>
  </si>
  <si>
    <t>WELINV,</t>
  </si>
  <si>
    <t>Welspun Living Ltd.</t>
  </si>
  <si>
    <t>WELSPUNLIV</t>
  </si>
  <si>
    <t>540980,</t>
  </si>
  <si>
    <t>Rajesh Power Services Ltd.</t>
  </si>
  <si>
    <t>RAJESH</t>
  </si>
  <si>
    <t>501391,</t>
  </si>
  <si>
    <t>Rose Merc. Ltd.</t>
  </si>
  <si>
    <t>ROSEMER</t>
  </si>
  <si>
    <t>WHEELS,</t>
  </si>
  <si>
    <t>Wendt (India) Ltd.</t>
  </si>
  <si>
    <t>WENDT</t>
  </si>
  <si>
    <t>Shiv Texchem Ltd.</t>
  </si>
  <si>
    <t>SHIVTEXCHEM</t>
  </si>
  <si>
    <t>513713,</t>
  </si>
  <si>
    <t>West Coast Paper Mills Ltd.</t>
  </si>
  <si>
    <t>WSTCSTPAPR</t>
  </si>
  <si>
    <t>Western Carriers (India) Ltd.</t>
  </si>
  <si>
    <t>WCIL</t>
  </si>
  <si>
    <t>PARAS,</t>
  </si>
  <si>
    <t>Westlife Foodworld Ltd</t>
  </si>
  <si>
    <t>WESTLIFE</t>
  </si>
  <si>
    <t>544272,</t>
  </si>
  <si>
    <t>Wheels India Ltd.</t>
  </si>
  <si>
    <t>WHEELS</t>
  </si>
  <si>
    <t>543453,</t>
  </si>
  <si>
    <t>Sailani Tours N Travels Ltd.</t>
  </si>
  <si>
    <t>SAILANI</t>
  </si>
  <si>
    <t>WINDLAS,</t>
  </si>
  <si>
    <t>Whirlpool Of India Ltd.</t>
  </si>
  <si>
    <t>WHIRLPOOL</t>
  </si>
  <si>
    <t>DBCORP,</t>
  </si>
  <si>
    <t>Williamson Magor &amp; Company Ltd.</t>
  </si>
  <si>
    <t>WILLAMAGOR</t>
  </si>
  <si>
    <t>WILLAMAGOR,</t>
  </si>
  <si>
    <t>Windlas Biotech Ltd.</t>
  </si>
  <si>
    <t>WINDLAS</t>
  </si>
  <si>
    <t>526492,</t>
  </si>
  <si>
    <t>Windsor Machines Ltd.</t>
  </si>
  <si>
    <t>WINDMACHIN</t>
  </si>
  <si>
    <t>POWERINDIA,</t>
  </si>
  <si>
    <t>Growington Ventures India Ltd.</t>
  </si>
  <si>
    <t>GROWINGTON</t>
  </si>
  <si>
    <t>526471,</t>
  </si>
  <si>
    <t>International Travel House Ltd.</t>
  </si>
  <si>
    <t>ITHL</t>
  </si>
  <si>
    <t>514470,</t>
  </si>
  <si>
    <t>Mega Corporation Ltd.</t>
  </si>
  <si>
    <t>MEGACOR</t>
  </si>
  <si>
    <t>WINSOME,</t>
  </si>
  <si>
    <t>Winny Immigration &amp; Education Services Ltd.</t>
  </si>
  <si>
    <t>WINNY</t>
  </si>
  <si>
    <t>SHARDAMOTR,</t>
  </si>
  <si>
    <t>Transcorp International Ltd.</t>
  </si>
  <si>
    <t>TRANSCOR</t>
  </si>
  <si>
    <t>507817,</t>
  </si>
  <si>
    <t>Yaan Enterprises Ltd.</t>
  </si>
  <si>
    <t>YAANENT</t>
  </si>
  <si>
    <t>WTICAB,</t>
  </si>
  <si>
    <t>Winsol Engineers Ltd.</t>
  </si>
  <si>
    <t>WINSOL</t>
  </si>
  <si>
    <t>502873,</t>
  </si>
  <si>
    <t>Naturewings Holidays Ltd.</t>
  </si>
  <si>
    <t>NHL</t>
  </si>
  <si>
    <t>WOL3D,</t>
  </si>
  <si>
    <t>Travels &amp; Rentals Ltd.</t>
  </si>
  <si>
    <t>TRAVELS</t>
  </si>
  <si>
    <t>WOMANCART,</t>
  </si>
  <si>
    <t>Winsome Yarns Ltd.</t>
  </si>
  <si>
    <t>WINSOME</t>
  </si>
  <si>
    <t>TOTAL,</t>
  </si>
  <si>
    <t>Brandbucket Media &amp; Technology Ltd.</t>
  </si>
  <si>
    <t>BRANDBUCKT</t>
  </si>
  <si>
    <t>WONDERLA,</t>
  </si>
  <si>
    <t>Wipro Ltd.</t>
  </si>
  <si>
    <t>WIPRO</t>
  </si>
  <si>
    <t>MOBIKWIK,</t>
  </si>
  <si>
    <t>Wise Travel India Ltd.</t>
  </si>
  <si>
    <t>WTICAB</t>
  </si>
  <si>
    <t>WINNY,</t>
  </si>
  <si>
    <t>Wockhardt Ltd.</t>
  </si>
  <si>
    <t>WOCKPHARMA</t>
  </si>
  <si>
    <t>WOL 3D India Ltd.</t>
  </si>
  <si>
    <t>WOL3D</t>
  </si>
  <si>
    <t>526544,</t>
  </si>
  <si>
    <t>Womancart Ltd.</t>
  </si>
  <si>
    <t>WOMANCART</t>
  </si>
  <si>
    <t>539470,</t>
  </si>
  <si>
    <t>Colorchips New Media Ltd.</t>
  </si>
  <si>
    <t>COLORCHIPS</t>
  </si>
  <si>
    <t>XCHANGING,</t>
  </si>
  <si>
    <t>Wonder Electricals Ltd.</t>
  </si>
  <si>
    <t>WEL</t>
  </si>
  <si>
    <t>DAMODARIND,</t>
  </si>
  <si>
    <t>Wonderla Holidays Ltd.</t>
  </si>
  <si>
    <t>WONDERLA</t>
  </si>
  <si>
    <t>526711,</t>
  </si>
  <si>
    <t>Worth Peripherals Ltd.</t>
  </si>
  <si>
    <t>Xchanging Solutions Ltd.</t>
  </si>
  <si>
    <t>XCHANGING</t>
  </si>
  <si>
    <t>ONEPOINT,</t>
  </si>
  <si>
    <t>Esha Media Research Ltd.</t>
  </si>
  <si>
    <t>ESHAMEDIA</t>
  </si>
  <si>
    <t>YAARI,</t>
  </si>
  <si>
    <t>Xelpmoc Design And Tech Ltd.</t>
  </si>
  <si>
    <t>XELPMOC</t>
  </si>
  <si>
    <t>PAYTM,</t>
  </si>
  <si>
    <t>Hathway Bhawani Cabletel &amp; Datacom Ltd.</t>
  </si>
  <si>
    <t>HATHWAYB</t>
  </si>
  <si>
    <t>514378,</t>
  </si>
  <si>
    <t>Landmarc Leisure Corporation Ltd.</t>
  </si>
  <si>
    <t>LANDMARC</t>
  </si>
  <si>
    <t>539939,</t>
  </si>
  <si>
    <t>Xpro India Ltd.</t>
  </si>
  <si>
    <t>XPROINDIA</t>
  </si>
  <si>
    <t>532435,</t>
  </si>
  <si>
    <t>XT Global Infotech Ltd.</t>
  </si>
  <si>
    <t>XTGLOBAL</t>
  </si>
  <si>
    <t>OLIL,</t>
  </si>
  <si>
    <t>Yaari Digital Integrated Services Ltd.</t>
  </si>
  <si>
    <t>YAARI</t>
  </si>
  <si>
    <t>EMMBI,</t>
  </si>
  <si>
    <t>Yash Optics &amp; Lens Ltd.</t>
  </si>
  <si>
    <t>YASHOPTICS</t>
  </si>
  <si>
    <t>PASHUPATI,</t>
  </si>
  <si>
    <t>Padmalaya Telefilms Ltd.</t>
  </si>
  <si>
    <t>PADMALAYAT</t>
  </si>
  <si>
    <t>YASHO,</t>
  </si>
  <si>
    <t>Perfect-Octave Media Projects Ltd.</t>
  </si>
  <si>
    <t>OCTAVE</t>
  </si>
  <si>
    <t>YCCL,</t>
  </si>
  <si>
    <t>Yasho Industries Ltd.</t>
  </si>
  <si>
    <t>YASHO</t>
  </si>
  <si>
    <t>CAMPUS,</t>
  </si>
  <si>
    <t>Sadhna Broadcast Ltd.</t>
  </si>
  <si>
    <t>SADHNA</t>
  </si>
  <si>
    <t>YATRA,</t>
  </si>
  <si>
    <t>Sea TV Network Ltd.</t>
  </si>
  <si>
    <t>SEATV</t>
  </si>
  <si>
    <t>Sharpline Broadcast Ltd.</t>
  </si>
  <si>
    <t>SHARPLINE</t>
  </si>
  <si>
    <t>522209,</t>
  </si>
  <si>
    <t>Yasons Chemex Care Ltd.</t>
  </si>
  <si>
    <t>YCCL</t>
  </si>
  <si>
    <t>500123,</t>
  </si>
  <si>
    <t>Yatharth Hospital &amp; Trauma Care Services Ltd.</t>
  </si>
  <si>
    <t>YATHARTH</t>
  </si>
  <si>
    <t>531417,</t>
  </si>
  <si>
    <t>Yatra Online Ltd</t>
  </si>
  <si>
    <t>YATRA</t>
  </si>
  <si>
    <t>WOCKPHARMA,</t>
  </si>
  <si>
    <t>Yes Bank Ltd.</t>
  </si>
  <si>
    <t>YESBANK</t>
  </si>
  <si>
    <t>500012,</t>
  </si>
  <si>
    <t>Yudiz Solutions Ltd.</t>
  </si>
  <si>
    <t>YUDIZ</t>
  </si>
  <si>
    <t>531289,</t>
  </si>
  <si>
    <t>Yuken India Ltd.</t>
  </si>
  <si>
    <t>YUKEN</t>
  </si>
  <si>
    <t>HITECHCORP,</t>
  </si>
  <si>
    <t>Z-Tech (India) Ltd.</t>
  </si>
  <si>
    <t>ZTECH</t>
  </si>
  <si>
    <t>GUJALKALI,</t>
  </si>
  <si>
    <t>Zaggle Prepaid Ocean Services Ltd.</t>
  </si>
  <si>
    <t>ZAGGLE</t>
  </si>
  <si>
    <t>MAHEPC,</t>
  </si>
  <si>
    <t>Zeal Global Services Ltd.</t>
  </si>
  <si>
    <t>540198,</t>
  </si>
  <si>
    <t>Zee Entertainment Enterprises Ltd.</t>
  </si>
  <si>
    <t>ZEEL</t>
  </si>
  <si>
    <t>YUKEN,</t>
  </si>
  <si>
    <t>Zee Learn Ltd.</t>
  </si>
  <si>
    <t>ZEELEARN</t>
  </si>
  <si>
    <t>ESTER,</t>
  </si>
  <si>
    <t>Goodyear India Ltd.</t>
  </si>
  <si>
    <t>GOODYEAR</t>
  </si>
  <si>
    <t>ZEEL,</t>
  </si>
  <si>
    <t>Zee Media Corporation Ltd.</t>
  </si>
  <si>
    <t>ZEEMEDIA</t>
  </si>
  <si>
    <t>Krypton Industries Ltd.</t>
  </si>
  <si>
    <t>KRYPTONQ</t>
  </si>
  <si>
    <t>ZEEMEDIA,</t>
  </si>
  <si>
    <t>Zen Technologies Ltd.</t>
  </si>
  <si>
    <t>ZENTEC</t>
  </si>
  <si>
    <t>Zenith Drugs Ltd.</t>
  </si>
  <si>
    <t>ZENITHDRUG</t>
  </si>
  <si>
    <t>QUINTEGRA,</t>
  </si>
  <si>
    <t>Zenith Exports Ltd.</t>
  </si>
  <si>
    <t>ZENITHEXPO</t>
  </si>
  <si>
    <t>THERMAX,</t>
  </si>
  <si>
    <t>Zenith Steel Pipes &amp; Industries Ltd.</t>
  </si>
  <si>
    <t>ZENITHSTL</t>
  </si>
  <si>
    <t>514248,</t>
  </si>
  <si>
    <t>Zensar Technologies Ltd.</t>
  </si>
  <si>
    <t>ZENSARTECH</t>
  </si>
  <si>
    <t>ZF Commercial Vehicle Control Systems India Ltd.</t>
  </si>
  <si>
    <t>ZFCVINDIA</t>
  </si>
  <si>
    <t>ALKYLAMINE,</t>
  </si>
  <si>
    <t>Zim Laboratories Ltd.</t>
  </si>
  <si>
    <t>ZIMLAB</t>
  </si>
  <si>
    <t>RITES,</t>
  </si>
  <si>
    <t>Property Share Investment Trust REIT</t>
  </si>
  <si>
    <t>PSPLATINA</t>
  </si>
  <si>
    <t>532039,</t>
  </si>
  <si>
    <t>Zinka Logistics Solutions Ltd.</t>
  </si>
  <si>
    <t>BLACKBUCK</t>
  </si>
  <si>
    <t>PARASPETRO,</t>
  </si>
  <si>
    <t>Zodiac Clothing Company Ltd.</t>
  </si>
  <si>
    <t>ZODIACLOTH</t>
  </si>
  <si>
    <t>THESL,</t>
  </si>
  <si>
    <t>Timex Group India Ltd.</t>
  </si>
  <si>
    <t>TIMEX</t>
  </si>
  <si>
    <t>505163,</t>
  </si>
  <si>
    <t>Alkosign Ltd.</t>
  </si>
  <si>
    <t>ALKOSIGN</t>
  </si>
  <si>
    <t>ZIMLAB,</t>
  </si>
  <si>
    <t>Zodiac Energy Ltd.</t>
  </si>
  <si>
    <t>ZODIAC</t>
  </si>
  <si>
    <t>531661,</t>
  </si>
  <si>
    <t>Zomato Ltd.</t>
  </si>
  <si>
    <t>ZOMATO</t>
  </si>
  <si>
    <t>524768,</t>
  </si>
  <si>
    <t>Zota Health Care Ltd.</t>
  </si>
  <si>
    <t>ZOTA</t>
  </si>
  <si>
    <t>519097,</t>
  </si>
  <si>
    <t>Bloom Dekor Ltd.</t>
  </si>
  <si>
    <t>BLOOM</t>
  </si>
  <si>
    <t>ZODIAC,</t>
  </si>
  <si>
    <t>Zuari Agro Chemicals Ltd.</t>
  </si>
  <si>
    <t>ZUARI</t>
  </si>
  <si>
    <t>517370,</t>
  </si>
  <si>
    <t>Duroply Industries Ltd.</t>
  </si>
  <si>
    <t>DUROPLY</t>
  </si>
  <si>
    <t>512587,</t>
  </si>
  <si>
    <t>Zuari Industries Ltd.</t>
  </si>
  <si>
    <t>ZUARIIND</t>
  </si>
  <si>
    <t>524661,</t>
  </si>
  <si>
    <t>Zydus Lifesciences Ltd.</t>
  </si>
  <si>
    <t>ZYDUSLIFE</t>
  </si>
  <si>
    <t>540843,</t>
  </si>
  <si>
    <t>Oriental Rail Infrastructure Ltd.</t>
  </si>
  <si>
    <t>ORIRAIL</t>
  </si>
  <si>
    <t>ZUARI,</t>
  </si>
  <si>
    <t>Pratik Panels Ltd.</t>
  </si>
  <si>
    <t>PRATIK</t>
  </si>
  <si>
    <t>ZUARIIND,</t>
  </si>
  <si>
    <t>Zydus Wellness Ltd.</t>
  </si>
  <si>
    <t>ZYDUSWELL</t>
  </si>
  <si>
    <t>531553,</t>
  </si>
  <si>
    <t>VR Woodart Ltd.</t>
  </si>
  <si>
    <t>VRWODAR</t>
  </si>
  <si>
    <t>ZYDUSWELL,</t>
  </si>
  <si>
    <t>BANKNIFTY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</si>
</sst>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"/>
    <numFmt numFmtId="165" formatCode="yyyy\-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164" fontId="1" fillId="0" borderId="1" xfId="0" applyNumberFormat="1" applyFont="1" applyBorder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/>
    <xf numFmtId="165" fontId="1" fillId="0" borderId="1" xfId="0" applyNumberFormat="1" applyFont="1" applyBorder="1" applyAlignment="1">
      <alignment horizontal="left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1" xfId="0" applyFont="1" applyBorder="1" applyAlignment="1">
      <alignment horizontal="righ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65" fontId="1" fillId="0" borderId="0" xfId="0" applyNumberFormat="1" applyFont="1" applyAlignment="1"/>
    <xf numFmtId="0" fontId="1" fillId="0" borderId="3" xfId="0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4517"/>
  <sheetViews>
    <sheetView tabSelected="1" workbookViewId="0">
      <pane ySplit="1" topLeftCell="A4506" activePane="bottomLeft" state="frozen"/>
      <selection pane="bottomLeft" activeCell="C4518" sqref="C4518"/>
    </sheetView>
  </sheetViews>
  <sheetFormatPr defaultColWidth="12.5703125" defaultRowHeight="15.75" customHeight="1" x14ac:dyDescent="0.2"/>
  <cols>
    <col min="1" max="1" width="33" customWidth="1"/>
    <col min="3" max="3" width="25.42578125" customWidth="1"/>
    <col min="4" max="4" width="19.28515625" customWidth="1"/>
    <col min="5" max="5" width="19" customWidth="1"/>
    <col min="21" max="21" width="18.7109375" customWidth="1"/>
    <col min="22" max="22" width="20.42578125" customWidth="1"/>
    <col min="23" max="23" width="19.7109375" customWidth="1"/>
    <col min="29" max="29" width="16.7109375" customWidth="1"/>
    <col min="30" max="30" width="25.42578125" customWidth="1"/>
  </cols>
  <sheetData>
    <row r="1" spans="1:3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3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 t="s">
        <v>35</v>
      </c>
      <c r="AL1" s="1" t="s">
        <v>36</v>
      </c>
      <c r="AM1" s="5" t="s">
        <v>34</v>
      </c>
    </row>
    <row r="2" spans="1:39" ht="15.75" customHeight="1" x14ac:dyDescent="0.25">
      <c r="A2" s="1" t="s">
        <v>37</v>
      </c>
      <c r="B2" s="1" t="s">
        <v>38</v>
      </c>
      <c r="C2" s="1" t="s">
        <v>39</v>
      </c>
      <c r="D2" s="1" t="s">
        <v>39</v>
      </c>
      <c r="E2" s="6">
        <v>887.98</v>
      </c>
      <c r="F2" s="1" t="s">
        <v>40</v>
      </c>
      <c r="G2" s="6">
        <f ca="1">IFERROR(__xludf.DUMMYFUNCTION("iferror(GOOGLEFINANCE(TRIM(F2)&amp;"":"" &amp; TRIM(B2), ""price""),0
)"),168.05)</f>
        <v>168.05</v>
      </c>
      <c r="H2" s="6">
        <v>253.55</v>
      </c>
      <c r="I2" s="6">
        <f t="shared" ref="I2:I4516" ca="1" si="0">IF(G2&gt;0,G2,H2)</f>
        <v>168.05</v>
      </c>
      <c r="J2" s="6">
        <f ca="1">IFERROR(__xludf.DUMMYFUNCTION("IFERROR(GOOGLEFINANCE(B2, ""volume""), 0)"),126691)</f>
        <v>126691</v>
      </c>
      <c r="K2" s="6">
        <v>3.79</v>
      </c>
      <c r="L2" s="6">
        <f ca="1">IFERROR(__xludf.DUMMYFUNCTION("IFERROR(GOOGLEFINANCE(B2,""changepct""),K2)"),-2.61)</f>
        <v>-2.61</v>
      </c>
      <c r="M2" s="6">
        <f ca="1">IFERROR(__xludf.DUMMYFUNCTION("IFERROR(GOOGLEFINANCE(B2,""change""),0)"),-4.5)</f>
        <v>-4.5</v>
      </c>
      <c r="N2" s="6">
        <v>2</v>
      </c>
      <c r="O2" s="7">
        <v>45536</v>
      </c>
      <c r="P2" s="6">
        <v>115.73</v>
      </c>
      <c r="Q2" s="6">
        <v>987.15</v>
      </c>
      <c r="R2" s="7">
        <v>45536</v>
      </c>
      <c r="S2" s="6">
        <v>857.96</v>
      </c>
      <c r="T2" s="6">
        <v>59.38</v>
      </c>
      <c r="U2" s="7">
        <v>45536</v>
      </c>
      <c r="V2" s="6">
        <v>14.95</v>
      </c>
      <c r="W2" s="6">
        <f ca="1">IFERROR(__xludf.DUMMYFUNCTION("IFERROR(GOOGLEFINANCE(B2,""pe""),V2)"),9.2)</f>
        <v>9.1999999999999993</v>
      </c>
      <c r="X2" s="6">
        <v>0.83</v>
      </c>
      <c r="Y2" s="6">
        <v>2.31</v>
      </c>
      <c r="Z2" s="6">
        <v>2</v>
      </c>
      <c r="AA2" s="8">
        <v>45352</v>
      </c>
      <c r="AB2" s="4">
        <v>0.33</v>
      </c>
      <c r="AC2" s="6">
        <v>17.37</v>
      </c>
      <c r="AD2" s="6">
        <v>21.63</v>
      </c>
      <c r="AE2" s="1">
        <v>0</v>
      </c>
      <c r="AF2" s="1">
        <f ca="1">IFERROR(__xludf.DUMMYFUNCTION("IFERROR(GOOGLEFINANCE(TRIM(F2)&amp;"":"" &amp; TRIM(B2),""high52""),AE2)"),283.93)</f>
        <v>283.93</v>
      </c>
      <c r="AG2" s="1">
        <v>0</v>
      </c>
      <c r="AH2" s="1">
        <f ca="1">IFERROR(__xludf.DUMMYFUNCTION("IFERROR(GOOGLEFINANCE(TRIM(F2)&amp;"":"" &amp; TRIM(B2),""low52""),AE2)"),158.2)</f>
        <v>158.19999999999999</v>
      </c>
      <c r="AI2" s="1">
        <f ca="1">IFERROR(__xludf.DUMMYFUNCTION("IFERROR(GOOGLEFINANCE(B2,""eps""),0)"),18.26)</f>
        <v>18.260000000000002</v>
      </c>
      <c r="AJ2" s="1"/>
      <c r="AK2" s="9"/>
      <c r="AL2" s="9">
        <f t="shared" ref="AL2:AL4" si="1">IF(AA2&lt;&gt;AB2,1,0)</f>
        <v>1</v>
      </c>
    </row>
    <row r="3" spans="1:39" ht="15.75" customHeight="1" x14ac:dyDescent="0.25">
      <c r="A3" s="1" t="s">
        <v>41</v>
      </c>
      <c r="B3" s="1" t="s">
        <v>42</v>
      </c>
      <c r="C3" s="1" t="s">
        <v>43</v>
      </c>
      <c r="D3" s="1" t="s">
        <v>43</v>
      </c>
      <c r="E3" s="6">
        <v>96.84</v>
      </c>
      <c r="F3" s="1" t="s">
        <v>40</v>
      </c>
      <c r="G3" s="6">
        <f ca="1">IFERROR(__xludf.DUMMYFUNCTION("iferror(GOOGLEFINANCE(TRIM(F3)&amp;"":"" &amp; TRIM(B3), ""price""),0
)"),37.98)</f>
        <v>37.979999999999997</v>
      </c>
      <c r="H3" s="6">
        <v>93.03</v>
      </c>
      <c r="I3" s="6">
        <f t="shared" ca="1" si="0"/>
        <v>37.979999999999997</v>
      </c>
      <c r="J3" s="6">
        <f ca="1">IFERROR(__xludf.DUMMYFUNCTION("IFERROR(GOOGLEFINANCE(B3, ""volume""), 0)"),6792)</f>
        <v>6792</v>
      </c>
      <c r="K3" s="6">
        <v>2</v>
      </c>
      <c r="L3" s="6">
        <f ca="1">IFERROR(__xludf.DUMMYFUNCTION("IFERROR(GOOGLEFINANCE(B3,""changepct""),K3)"),1.99)</f>
        <v>1.99</v>
      </c>
      <c r="M3" s="6">
        <f ca="1">IFERROR(__xludf.DUMMYFUNCTION("IFERROR(GOOGLEFINANCE(B3,""change""),0)"),0.74)</f>
        <v>0.74</v>
      </c>
      <c r="N3" s="6">
        <v>2</v>
      </c>
      <c r="O3" s="7">
        <v>45536</v>
      </c>
      <c r="P3" s="6">
        <v>59.51</v>
      </c>
      <c r="Q3" s="7">
        <v>45536</v>
      </c>
      <c r="R3" s="6">
        <v>1.63</v>
      </c>
      <c r="S3" s="6">
        <v>0.03</v>
      </c>
      <c r="T3" s="6">
        <v>1.02</v>
      </c>
      <c r="U3" s="6">
        <v>2</v>
      </c>
      <c r="V3" s="7">
        <v>45352</v>
      </c>
      <c r="W3" s="10">
        <f ca="1">IFERROR(__xludf.DUMMYFUNCTION("IFERROR(GOOGLEFINANCE(B3,""pe""),V3)"),45352)</f>
        <v>45352</v>
      </c>
      <c r="X3" s="6">
        <v>0</v>
      </c>
      <c r="Y3" s="6">
        <v>86.99</v>
      </c>
      <c r="Z3" s="6">
        <v>78.430000000000007</v>
      </c>
      <c r="AA3" s="3" t="s">
        <v>44</v>
      </c>
      <c r="AB3" s="4"/>
      <c r="AC3" s="9"/>
      <c r="AD3" s="9"/>
      <c r="AE3" s="1">
        <v>0</v>
      </c>
      <c r="AF3" s="1">
        <f ca="1">IFERROR(__xludf.DUMMYFUNCTION("IFERROR(GOOGLEFINANCE(TRIM(F3)&amp;"":"" &amp; TRIM(B3),""high52""),AE3)"),81.58)</f>
        <v>81.58</v>
      </c>
      <c r="AG3" s="1">
        <v>0</v>
      </c>
      <c r="AH3" s="1">
        <f ca="1">IFERROR(__xludf.DUMMYFUNCTION("IFERROR(GOOGLEFINANCE(TRIM(F3)&amp;"":"" &amp; TRIM(B3),""low52""),AE3)"),36.03)</f>
        <v>36.03</v>
      </c>
      <c r="AI3" s="1">
        <f ca="1">IFERROR(__xludf.DUMMYFUNCTION("IFERROR(GOOGLEFINANCE(B3,""eps""),0)"),-19.14)</f>
        <v>-19.14</v>
      </c>
      <c r="AJ3" s="1"/>
      <c r="AK3" s="1" t="s">
        <v>45</v>
      </c>
      <c r="AL3" s="9">
        <f t="shared" si="1"/>
        <v>1</v>
      </c>
    </row>
    <row r="4" spans="1:39" ht="15.75" customHeight="1" x14ac:dyDescent="0.25">
      <c r="A4" s="1" t="s">
        <v>46</v>
      </c>
      <c r="B4" s="1" t="s">
        <v>47</v>
      </c>
      <c r="C4" s="1" t="s">
        <v>48</v>
      </c>
      <c r="D4" s="1" t="s">
        <v>48</v>
      </c>
      <c r="E4" s="6">
        <v>50194.47</v>
      </c>
      <c r="F4" s="1" t="s">
        <v>40</v>
      </c>
      <c r="G4" s="6">
        <f ca="1">IFERROR(__xludf.DUMMYFUNCTION("iferror(GOOGLEFINANCE(TRIM(F4)&amp;"":"" &amp; TRIM(B4), ""price""),0
)"),1117)</f>
        <v>1117</v>
      </c>
      <c r="H4" s="6">
        <v>1304.95</v>
      </c>
      <c r="I4" s="6">
        <f t="shared" ca="1" si="0"/>
        <v>1117</v>
      </c>
      <c r="J4" s="6">
        <f ca="1">IFERROR(__xludf.DUMMYFUNCTION("IFERROR(GOOGLEFINANCE(B4, ""volume""), 0)"),1295821)</f>
        <v>1295821</v>
      </c>
      <c r="K4" s="6">
        <v>0.93</v>
      </c>
      <c r="L4" s="6">
        <f ca="1">IFERROR(__xludf.DUMMYFUNCTION("IFERROR(GOOGLEFINANCE(B4,""changepct""),K4)"),1.38)</f>
        <v>1.38</v>
      </c>
      <c r="M4" s="6">
        <f ca="1">IFERROR(__xludf.DUMMYFUNCTION("IFERROR(GOOGLEFINANCE(B4,""change""),0)"),15.2)</f>
        <v>15.2</v>
      </c>
      <c r="N4" s="6">
        <v>2</v>
      </c>
      <c r="O4" s="7">
        <v>45536</v>
      </c>
      <c r="P4" s="6">
        <v>923.95</v>
      </c>
      <c r="Q4" s="7">
        <v>45536</v>
      </c>
      <c r="R4" s="6">
        <v>54.33</v>
      </c>
      <c r="S4" s="6">
        <v>3.29</v>
      </c>
      <c r="T4" s="6">
        <v>8.15</v>
      </c>
      <c r="U4" s="6">
        <v>2</v>
      </c>
      <c r="V4" s="7">
        <v>45352</v>
      </c>
      <c r="W4" s="6">
        <f ca="1">IFERROR(__xludf.DUMMYFUNCTION("IFERROR(GOOGLEFINANCE(B4,""pe""),V4)"),39.19)</f>
        <v>39.19</v>
      </c>
      <c r="X4" s="6">
        <v>2.83</v>
      </c>
      <c r="Y4" s="6">
        <v>25.3</v>
      </c>
      <c r="Z4" s="6">
        <v>14.54</v>
      </c>
      <c r="AA4" s="3" t="s">
        <v>49</v>
      </c>
      <c r="AB4" s="11"/>
      <c r="AC4" s="12"/>
      <c r="AD4" s="12"/>
      <c r="AE4" s="1">
        <v>0</v>
      </c>
      <c r="AF4" s="1">
        <f ca="1">IFERROR(__xludf.DUMMYFUNCTION("IFERROR(GOOGLEFINANCE(TRIM(F4)&amp;"":"" &amp; TRIM(B4),""high52""),AE4)"),1273.8)</f>
        <v>1273.8</v>
      </c>
      <c r="AG4" s="1">
        <v>0</v>
      </c>
      <c r="AH4" s="1">
        <f ca="1">IFERROR(__xludf.DUMMYFUNCTION("IFERROR(GOOGLEFINANCE(TRIM(F4)&amp;"":"" &amp; TRIM(B4),""low52""),AE4)"),790.5)</f>
        <v>790.5</v>
      </c>
      <c r="AI4" s="1">
        <f ca="1">IFERROR(__xludf.DUMMYFUNCTION("IFERROR(GOOGLEFINANCE(B4,""eps""),0)"),28.5)</f>
        <v>28.5</v>
      </c>
      <c r="AJ4" s="1"/>
      <c r="AK4" s="9"/>
      <c r="AL4" s="9">
        <f t="shared" si="1"/>
        <v>1</v>
      </c>
    </row>
    <row r="5" spans="1:39" ht="15.75" customHeight="1" x14ac:dyDescent="0.25">
      <c r="A5" s="1" t="s">
        <v>50</v>
      </c>
      <c r="B5" s="1" t="s">
        <v>51</v>
      </c>
      <c r="C5" s="1" t="s">
        <v>52</v>
      </c>
      <c r="D5" s="1" t="s">
        <v>52</v>
      </c>
      <c r="E5" s="6">
        <v>719.87</v>
      </c>
      <c r="F5" s="1" t="s">
        <v>53</v>
      </c>
      <c r="G5" s="6">
        <f ca="1">IFERROR(__xludf.DUMMYFUNCTION("iferror(GOOGLEFINANCE(TRIM(F5)&amp;"":"" &amp; TRIM(B5), ""price""),0
)"),0)</f>
        <v>0</v>
      </c>
      <c r="H5" s="6">
        <v>494.8</v>
      </c>
      <c r="I5" s="6">
        <f t="shared" ca="1" si="0"/>
        <v>494.8</v>
      </c>
      <c r="J5" s="6">
        <f ca="1">IFERROR(__xludf.DUMMYFUNCTION("IFERROR(GOOGLEFINANCE(B5, ""volume""), 0)"),0)</f>
        <v>0</v>
      </c>
      <c r="K5" s="9"/>
      <c r="L5" s="6" t="str">
        <f ca="1">IFERROR(__xludf.DUMMYFUNCTION("IFERROR(GOOGLEFINANCE(B5,""changepct""),K5)"),"")</f>
        <v/>
      </c>
      <c r="M5" s="6">
        <f ca="1">IFERROR(__xludf.DUMMYFUNCTION("IFERROR(GOOGLEFINANCE(B5,""change""),0)"),0)</f>
        <v>0</v>
      </c>
      <c r="N5" s="6">
        <v>1</v>
      </c>
      <c r="O5" s="7">
        <v>45536</v>
      </c>
      <c r="P5" s="6">
        <v>4.21</v>
      </c>
      <c r="Q5" s="6">
        <v>724.08</v>
      </c>
      <c r="R5" s="7">
        <v>45352</v>
      </c>
      <c r="S5" s="6">
        <v>106.68</v>
      </c>
      <c r="T5" s="6">
        <v>16.04</v>
      </c>
      <c r="U5" s="7">
        <v>45352</v>
      </c>
      <c r="V5" s="6">
        <v>44.88</v>
      </c>
      <c r="W5" s="6">
        <f ca="1">IFERROR(__xludf.DUMMYFUNCTION("IFERROR(GOOGLEFINANCE(B5,""pe""),V5)"),44.88)</f>
        <v>44.88</v>
      </c>
      <c r="X5" s="12"/>
      <c r="Y5" s="6">
        <v>5.01</v>
      </c>
      <c r="Z5" s="6">
        <v>1</v>
      </c>
      <c r="AA5" s="8">
        <v>45352</v>
      </c>
      <c r="AB5" s="4">
        <v>0.09</v>
      </c>
      <c r="AC5" s="6">
        <v>13.39</v>
      </c>
      <c r="AD5" s="6">
        <v>15.41</v>
      </c>
      <c r="AE5" s="1">
        <v>0</v>
      </c>
      <c r="AF5" s="1">
        <f ca="1">IFERROR(__xludf.DUMMYFUNCTION("IFERROR(GOOGLEFINANCE(TRIM(F5)&amp;"":"" &amp; TRIM(B5),""high52""),AE5)"),0)</f>
        <v>0</v>
      </c>
      <c r="AG5" s="1">
        <v>0</v>
      </c>
      <c r="AH5" s="1">
        <f ca="1">IFERROR(__xludf.DUMMYFUNCTION("IFERROR(GOOGLEFINANCE(TRIM(F5)&amp;"":"" &amp; TRIM(B5),""low52""),AE5)"),0)</f>
        <v>0</v>
      </c>
      <c r="AI5" s="1">
        <f ca="1">IFERROR(__xludf.DUMMYFUNCTION("IFERROR(GOOGLEFINANCE(B5,""eps""),0)"),0)</f>
        <v>0</v>
      </c>
      <c r="AJ5" s="1"/>
      <c r="AK5" s="1" t="s">
        <v>54</v>
      </c>
      <c r="AL5" s="1" t="b">
        <f>ISNUMBER(AA5)</f>
        <v>1</v>
      </c>
    </row>
    <row r="6" spans="1:39" ht="15.75" customHeight="1" x14ac:dyDescent="0.25">
      <c r="A6" s="1" t="s">
        <v>55</v>
      </c>
      <c r="B6" s="1" t="s">
        <v>56</v>
      </c>
      <c r="C6" s="1" t="s">
        <v>57</v>
      </c>
      <c r="D6" s="1" t="s">
        <v>57</v>
      </c>
      <c r="E6" s="6">
        <v>540.88</v>
      </c>
      <c r="F6" s="1" t="s">
        <v>40</v>
      </c>
      <c r="G6" s="6">
        <f ca="1">IFERROR(__xludf.DUMMYFUNCTION("iferror(GOOGLEFINANCE(TRIM(F6)&amp;"":"" &amp; TRIM(B6), ""price""),0
)"),14.79)</f>
        <v>14.79</v>
      </c>
      <c r="H6" s="6">
        <v>32.1</v>
      </c>
      <c r="I6" s="6">
        <f t="shared" ca="1" si="0"/>
        <v>14.79</v>
      </c>
      <c r="J6" s="6">
        <f ca="1">IFERROR(__xludf.DUMMYFUNCTION("IFERROR(GOOGLEFINANCE(B6, ""volume""), 0)"),312088)</f>
        <v>312088</v>
      </c>
      <c r="K6" s="6">
        <v>0.66</v>
      </c>
      <c r="L6" s="6">
        <f ca="1">IFERROR(__xludf.DUMMYFUNCTION("IFERROR(GOOGLEFINANCE(B6,""changepct""),K6)"),-1.07)</f>
        <v>-1.07</v>
      </c>
      <c r="M6" s="6">
        <f ca="1">IFERROR(__xludf.DUMMYFUNCTION("IFERROR(GOOGLEFINANCE(B6,""change""),0)"),-0.16)</f>
        <v>-0.16</v>
      </c>
      <c r="N6" s="6">
        <v>2</v>
      </c>
      <c r="O6" s="7">
        <v>45536</v>
      </c>
      <c r="P6" s="6">
        <v>31.47</v>
      </c>
      <c r="Q6" s="6">
        <v>522.07000000000005</v>
      </c>
      <c r="R6" s="7">
        <v>45536</v>
      </c>
      <c r="S6" s="6">
        <v>766.57</v>
      </c>
      <c r="T6" s="6">
        <v>-141.36000000000001</v>
      </c>
      <c r="U6" s="7">
        <v>45536</v>
      </c>
      <c r="V6" s="6">
        <v>0</v>
      </c>
      <c r="W6" s="6">
        <f ca="1">IFERROR(__xludf.DUMMYFUNCTION("IFERROR(GOOGLEFINANCE(B6,""pe""),V6)"),4.13)</f>
        <v>4.13</v>
      </c>
      <c r="X6" s="12"/>
      <c r="Y6" s="6">
        <v>1.93</v>
      </c>
      <c r="Z6" s="6">
        <v>2</v>
      </c>
      <c r="AA6" s="8">
        <v>45352</v>
      </c>
      <c r="AB6" s="4">
        <v>0.15</v>
      </c>
      <c r="AC6" s="6">
        <v>-64.7</v>
      </c>
      <c r="AD6" s="6">
        <v>-53.9</v>
      </c>
      <c r="AE6" s="1">
        <v>0</v>
      </c>
      <c r="AF6" s="1">
        <f ca="1">IFERROR(__xludf.DUMMYFUNCTION("IFERROR(GOOGLEFINANCE(TRIM(F6)&amp;"":"" &amp; TRIM(B6),""high52""),AE6)"),30.03)</f>
        <v>30.03</v>
      </c>
      <c r="AG6" s="1">
        <v>0</v>
      </c>
      <c r="AH6" s="1">
        <f ca="1">IFERROR(__xludf.DUMMYFUNCTION("IFERROR(GOOGLEFINANCE(TRIM(F6)&amp;"":"" &amp; TRIM(B6),""low52""),AE6)"),14.4)</f>
        <v>14.4</v>
      </c>
      <c r="AI6" s="1">
        <f ca="1">IFERROR(__xludf.DUMMYFUNCTION("IFERROR(GOOGLEFINANCE(B6,""eps""),0)"),3.58)</f>
        <v>3.58</v>
      </c>
      <c r="AJ6" s="1"/>
      <c r="AK6" s="1" t="s">
        <v>58</v>
      </c>
      <c r="AL6" s="9">
        <f>IF(AA6&lt;&gt;AB6,1,0)</f>
        <v>1</v>
      </c>
    </row>
    <row r="7" spans="1:39" ht="15.75" customHeight="1" x14ac:dyDescent="0.25">
      <c r="A7" s="1" t="s">
        <v>59</v>
      </c>
      <c r="B7" s="1" t="s">
        <v>60</v>
      </c>
      <c r="C7" s="1" t="s">
        <v>52</v>
      </c>
      <c r="D7" s="1" t="s">
        <v>52</v>
      </c>
      <c r="E7" s="6">
        <v>40.89</v>
      </c>
      <c r="F7" s="1" t="s">
        <v>53</v>
      </c>
      <c r="G7" s="6">
        <f ca="1">IFERROR(__xludf.DUMMYFUNCTION("iferror(GOOGLEFINANCE(TRIM(F7)&amp;"":"" &amp; TRIM(B7), ""price""),0
)"),0)</f>
        <v>0</v>
      </c>
      <c r="H7" s="6">
        <v>40</v>
      </c>
      <c r="I7" s="6">
        <f t="shared" ca="1" si="0"/>
        <v>40</v>
      </c>
      <c r="J7" s="6">
        <f ca="1">IFERROR(__xludf.DUMMYFUNCTION("IFERROR(GOOGLEFINANCE(B7, ""volume""), 0)"),0)</f>
        <v>0</v>
      </c>
      <c r="K7" s="9"/>
      <c r="L7" s="6" t="str">
        <f ca="1">IFERROR(__xludf.DUMMYFUNCTION("IFERROR(GOOGLEFINANCE(B7,""changepct""),K7)"),"")</f>
        <v/>
      </c>
      <c r="M7" s="6">
        <f ca="1">IFERROR(__xludf.DUMMYFUNCTION("IFERROR(GOOGLEFINANCE(B7,""change""),0)"),0)</f>
        <v>0</v>
      </c>
      <c r="N7" s="6">
        <v>1</v>
      </c>
      <c r="O7" s="7">
        <v>45536</v>
      </c>
      <c r="P7" s="6">
        <v>19.95</v>
      </c>
      <c r="Q7" s="6">
        <v>60.85</v>
      </c>
      <c r="R7" s="7">
        <v>45352</v>
      </c>
      <c r="S7" s="6">
        <v>77.63</v>
      </c>
      <c r="T7" s="6">
        <v>2.1</v>
      </c>
      <c r="U7" s="7">
        <v>45352</v>
      </c>
      <c r="V7" s="6">
        <v>19.45</v>
      </c>
      <c r="W7" s="6">
        <f ca="1">IFERROR(__xludf.DUMMYFUNCTION("IFERROR(GOOGLEFINANCE(B7,""pe""),V7)"),19.45)</f>
        <v>19.45</v>
      </c>
      <c r="X7" s="12"/>
      <c r="Y7" s="6">
        <v>0.85</v>
      </c>
      <c r="Z7" s="6">
        <v>1</v>
      </c>
      <c r="AA7" s="8">
        <v>45352</v>
      </c>
      <c r="AB7" s="4">
        <v>0.39</v>
      </c>
      <c r="AC7" s="6">
        <v>5.6</v>
      </c>
      <c r="AD7" s="6">
        <v>8.9</v>
      </c>
      <c r="AE7" s="1">
        <v>0</v>
      </c>
      <c r="AF7" s="1">
        <f ca="1">IFERROR(__xludf.DUMMYFUNCTION("IFERROR(GOOGLEFINANCE(TRIM(F7)&amp;"":"" &amp; TRIM(B7),""high52""),AE7)"),0)</f>
        <v>0</v>
      </c>
      <c r="AG7" s="1">
        <v>0</v>
      </c>
      <c r="AH7" s="1">
        <f ca="1">IFERROR(__xludf.DUMMYFUNCTION("IFERROR(GOOGLEFINANCE(TRIM(F7)&amp;"":"" &amp; TRIM(B7),""low52""),AE7)"),0)</f>
        <v>0</v>
      </c>
      <c r="AI7" s="1">
        <f ca="1">IFERROR(__xludf.DUMMYFUNCTION("IFERROR(GOOGLEFINANCE(B7,""eps""),0)"),0)</f>
        <v>0</v>
      </c>
      <c r="AJ7" s="1"/>
      <c r="AK7" s="1" t="s">
        <v>61</v>
      </c>
      <c r="AL7" s="1" t="b">
        <f>ISNUMBER(AA7)</f>
        <v>1</v>
      </c>
    </row>
    <row r="8" spans="1:39" ht="15.75" customHeight="1" x14ac:dyDescent="0.25">
      <c r="A8" s="1" t="s">
        <v>62</v>
      </c>
      <c r="B8" s="1" t="s">
        <v>63</v>
      </c>
      <c r="C8" s="1" t="s">
        <v>64</v>
      </c>
      <c r="D8" s="1" t="s">
        <v>64</v>
      </c>
      <c r="E8" s="6">
        <v>34873.56</v>
      </c>
      <c r="F8" s="1" t="s">
        <v>40</v>
      </c>
      <c r="G8" s="6">
        <f ca="1">IFERROR(__xludf.DUMMYFUNCTION("iferror(GOOGLEFINANCE(TRIM(F8)&amp;"":"" &amp; TRIM(B8), ""price""),0
)"),34850)</f>
        <v>34850</v>
      </c>
      <c r="H8" s="6">
        <v>30750.35</v>
      </c>
      <c r="I8" s="6">
        <f t="shared" ca="1" si="0"/>
        <v>34850</v>
      </c>
      <c r="J8" s="6">
        <f ca="1">IFERROR(__xludf.DUMMYFUNCTION("IFERROR(GOOGLEFINANCE(B8, ""volume""), 0)"),2593)</f>
        <v>2593</v>
      </c>
      <c r="K8" s="6">
        <v>-0.67</v>
      </c>
      <c r="L8" s="6">
        <f ca="1">IFERROR(__xludf.DUMMYFUNCTION("IFERROR(GOOGLEFINANCE(B8,""changepct""),K8)"),0.94)</f>
        <v>0.94</v>
      </c>
      <c r="M8" s="6">
        <f ca="1">IFERROR(__xludf.DUMMYFUNCTION("IFERROR(GOOGLEFINANCE(B8,""change""),0)"),325)</f>
        <v>325</v>
      </c>
      <c r="N8" s="6">
        <v>1</v>
      </c>
      <c r="O8" s="7">
        <v>45536</v>
      </c>
      <c r="P8" s="9"/>
      <c r="Q8" s="6">
        <v>34246.239999999998</v>
      </c>
      <c r="R8" s="7">
        <v>45536</v>
      </c>
      <c r="S8" s="6">
        <v>4080.34</v>
      </c>
      <c r="T8" s="6">
        <v>566.07000000000005</v>
      </c>
      <c r="U8" s="7">
        <v>45536</v>
      </c>
      <c r="V8" s="6">
        <v>61.61</v>
      </c>
      <c r="W8" s="6">
        <f ca="1">IFERROR(__xludf.DUMMYFUNCTION("IFERROR(GOOGLEFINANCE(B8,""pe""),V8)"),70.84)</f>
        <v>70.84</v>
      </c>
      <c r="X8" s="6">
        <v>6.31</v>
      </c>
      <c r="Y8" s="6">
        <v>20.94</v>
      </c>
      <c r="Z8" s="6">
        <v>2</v>
      </c>
      <c r="AA8" s="8">
        <v>45352</v>
      </c>
      <c r="AB8" s="4">
        <v>0</v>
      </c>
      <c r="AC8" s="6">
        <v>30.51</v>
      </c>
      <c r="AD8" s="6">
        <v>41.02</v>
      </c>
      <c r="AE8" s="1">
        <v>0</v>
      </c>
      <c r="AF8" s="1">
        <f ca="1">IFERROR(__xludf.DUMMYFUNCTION("IFERROR(GOOGLEFINANCE(TRIM(F8)&amp;"":"" &amp; TRIM(B8),""high52""),AE8)"),37305)</f>
        <v>37305</v>
      </c>
      <c r="AG8" s="1">
        <v>0</v>
      </c>
      <c r="AH8" s="1">
        <f ca="1">IFERROR(__xludf.DUMMYFUNCTION("IFERROR(GOOGLEFINANCE(TRIM(F8)&amp;"":"" &amp; TRIM(B8),""low52""),AE8)"),25718.15)</f>
        <v>25718.15</v>
      </c>
      <c r="AI8" s="1">
        <f ca="1">IFERROR(__xludf.DUMMYFUNCTION("IFERROR(GOOGLEFINANCE(B8,""eps""),0)"),491.93)</f>
        <v>491.93</v>
      </c>
      <c r="AJ8" s="1"/>
      <c r="AK8" s="1" t="s">
        <v>65</v>
      </c>
      <c r="AL8" s="9">
        <f t="shared" ref="AL8:AL14" si="2">IF(AA8&lt;&gt;AB8,1,0)</f>
        <v>1</v>
      </c>
    </row>
    <row r="9" spans="1:39" ht="15.75" customHeight="1" x14ac:dyDescent="0.25">
      <c r="A9" s="1" t="s">
        <v>66</v>
      </c>
      <c r="B9" s="1" t="s">
        <v>67</v>
      </c>
      <c r="C9" s="1" t="s">
        <v>43</v>
      </c>
      <c r="D9" s="1" t="s">
        <v>43</v>
      </c>
      <c r="E9" s="6">
        <v>111.56</v>
      </c>
      <c r="F9" s="1" t="s">
        <v>40</v>
      </c>
      <c r="G9" s="6">
        <f ca="1">IFERROR(__xludf.DUMMYFUNCTION("iferror(GOOGLEFINANCE(TRIM(F9)&amp;"":"" &amp; TRIM(B9), ""price""),0
)"),34.49)</f>
        <v>34.49</v>
      </c>
      <c r="H9" s="6">
        <v>60.5</v>
      </c>
      <c r="I9" s="6">
        <f t="shared" ca="1" si="0"/>
        <v>34.49</v>
      </c>
      <c r="J9" s="6">
        <f ca="1">IFERROR(__xludf.DUMMYFUNCTION("IFERROR(GOOGLEFINANCE(B9, ""volume""), 0)"),2118)</f>
        <v>2118</v>
      </c>
      <c r="K9" s="6">
        <v>-2.0699999999999998</v>
      </c>
      <c r="L9" s="6">
        <f ca="1">IFERROR(__xludf.DUMMYFUNCTION("IFERROR(GOOGLEFINANCE(B9,""changepct""),K9)"),-0.2)</f>
        <v>-0.2</v>
      </c>
      <c r="M9" s="6">
        <f ca="1">IFERROR(__xludf.DUMMYFUNCTION("IFERROR(GOOGLEFINANCE(B9,""change""),0)"),-0.07)</f>
        <v>-7.0000000000000007E-2</v>
      </c>
      <c r="N9" s="6">
        <v>2</v>
      </c>
      <c r="O9" s="7">
        <v>45536</v>
      </c>
      <c r="P9" s="6">
        <v>2.08</v>
      </c>
      <c r="Q9" s="7">
        <v>45536</v>
      </c>
      <c r="R9" s="6">
        <v>53.61</v>
      </c>
      <c r="S9" s="6">
        <v>0.61</v>
      </c>
      <c r="T9" s="6">
        <v>0.7</v>
      </c>
      <c r="U9" s="6">
        <v>2</v>
      </c>
      <c r="V9" s="7">
        <v>45352</v>
      </c>
      <c r="W9" s="6">
        <f ca="1">IFERROR(__xludf.DUMMYFUNCTION("IFERROR(GOOGLEFINANCE(B9,""pe""),V9)"),29.34)</f>
        <v>29.34</v>
      </c>
      <c r="X9" s="6">
        <v>0</v>
      </c>
      <c r="Y9" s="6">
        <v>2.19</v>
      </c>
      <c r="Z9" s="6">
        <v>2.93</v>
      </c>
      <c r="AA9" s="3" t="s">
        <v>68</v>
      </c>
      <c r="AB9" s="11"/>
      <c r="AC9" s="9"/>
      <c r="AD9" s="9"/>
      <c r="AE9" s="1">
        <v>0</v>
      </c>
      <c r="AF9" s="1">
        <f ca="1">IFERROR(__xludf.DUMMYFUNCTION("IFERROR(GOOGLEFINANCE(TRIM(F9)&amp;"":"" &amp; TRIM(B9),""high52""),AE9)"),58.79)</f>
        <v>58.79</v>
      </c>
      <c r="AG9" s="1">
        <v>0</v>
      </c>
      <c r="AH9" s="1">
        <f ca="1">IFERROR(__xludf.DUMMYFUNCTION("IFERROR(GOOGLEFINANCE(TRIM(F9)&amp;"":"" &amp; TRIM(B9),""low52""),AE9)"),32.71)</f>
        <v>32.71</v>
      </c>
      <c r="AI9" s="1">
        <f ca="1">IFERROR(__xludf.DUMMYFUNCTION("IFERROR(GOOGLEFINANCE(B9,""eps""),0)"),1.18)</f>
        <v>1.18</v>
      </c>
      <c r="AJ9" s="1"/>
      <c r="AK9" s="9"/>
      <c r="AL9" s="9">
        <f t="shared" si="2"/>
        <v>1</v>
      </c>
    </row>
    <row r="10" spans="1:39" ht="15.75" customHeight="1" x14ac:dyDescent="0.25">
      <c r="A10" s="1" t="s">
        <v>69</v>
      </c>
      <c r="B10" s="1" t="s">
        <v>70</v>
      </c>
      <c r="C10" s="1" t="s">
        <v>71</v>
      </c>
      <c r="D10" s="1" t="s">
        <v>71</v>
      </c>
      <c r="E10" s="6">
        <v>145.5</v>
      </c>
      <c r="F10" s="1" t="s">
        <v>40</v>
      </c>
      <c r="G10" s="6">
        <f ca="1">IFERROR(__xludf.DUMMYFUNCTION("iferror(GOOGLEFINANCE(TRIM(F10)&amp;"":"" &amp; TRIM(B10), ""price""),0
)"),0)</f>
        <v>0</v>
      </c>
      <c r="H10" s="6">
        <v>64.599999999999994</v>
      </c>
      <c r="I10" s="6">
        <f t="shared" ca="1" si="0"/>
        <v>64.599999999999994</v>
      </c>
      <c r="J10" s="6">
        <f ca="1">IFERROR(__xludf.DUMMYFUNCTION("IFERROR(GOOGLEFINANCE(B10, ""volume""), 0)"),0)</f>
        <v>0</v>
      </c>
      <c r="K10" s="9"/>
      <c r="L10" s="6" t="str">
        <f ca="1">IFERROR(__xludf.DUMMYFUNCTION("IFERROR(GOOGLEFINANCE(B10,""changepct""),K10)"),"")</f>
        <v/>
      </c>
      <c r="M10" s="6">
        <f ca="1">IFERROR(__xludf.DUMMYFUNCTION("IFERROR(GOOGLEFINANCE(B10,""change""),0)"),0)</f>
        <v>0</v>
      </c>
      <c r="N10" s="6">
        <v>1</v>
      </c>
      <c r="O10" s="7">
        <v>45352</v>
      </c>
      <c r="P10" s="6">
        <v>1.5</v>
      </c>
      <c r="Q10" s="6">
        <v>147</v>
      </c>
      <c r="R10" s="7">
        <v>45352</v>
      </c>
      <c r="S10" s="6">
        <v>4.8499999999999996</v>
      </c>
      <c r="T10" s="6">
        <v>-0.03</v>
      </c>
      <c r="U10" s="7">
        <v>45352</v>
      </c>
      <c r="V10" s="6">
        <v>0</v>
      </c>
      <c r="W10" s="6">
        <f ca="1">IFERROR(__xludf.DUMMYFUNCTION("IFERROR(GOOGLEFINANCE(B10,""pe""),V10)"),0)</f>
        <v>0</v>
      </c>
      <c r="X10" s="9"/>
      <c r="Y10" s="6">
        <v>6.17</v>
      </c>
      <c r="Z10" s="6">
        <v>1</v>
      </c>
      <c r="AA10" s="8">
        <v>41699</v>
      </c>
      <c r="AB10" s="4">
        <v>0</v>
      </c>
      <c r="AC10" s="6">
        <v>7.6</v>
      </c>
      <c r="AD10" s="6">
        <v>11.7</v>
      </c>
      <c r="AE10" s="1">
        <v>0</v>
      </c>
      <c r="AF10" s="1">
        <f ca="1">IFERROR(__xludf.DUMMYFUNCTION("IFERROR(GOOGLEFINANCE(TRIM(F10)&amp;"":"" &amp; TRIM(B10),""high52""),AE10)"),0)</f>
        <v>0</v>
      </c>
      <c r="AG10" s="1">
        <v>0</v>
      </c>
      <c r="AH10" s="1">
        <f ca="1">IFERROR(__xludf.DUMMYFUNCTION("IFERROR(GOOGLEFINANCE(TRIM(F10)&amp;"":"" &amp; TRIM(B10),""low52""),AE10)"),0)</f>
        <v>0</v>
      </c>
      <c r="AI10" s="1">
        <f ca="1">IFERROR(__xludf.DUMMYFUNCTION("IFERROR(GOOGLEFINANCE(B10,""eps""),0)"),0)</f>
        <v>0</v>
      </c>
      <c r="AJ10" s="1"/>
      <c r="AK10" s="1" t="s">
        <v>72</v>
      </c>
      <c r="AL10" s="9">
        <f t="shared" si="2"/>
        <v>1</v>
      </c>
    </row>
    <row r="11" spans="1:39" ht="15.75" customHeight="1" x14ac:dyDescent="0.25">
      <c r="A11" s="1" t="s">
        <v>73</v>
      </c>
      <c r="B11" s="1" t="s">
        <v>74</v>
      </c>
      <c r="C11" s="1" t="s">
        <v>75</v>
      </c>
      <c r="D11" s="1" t="s">
        <v>75</v>
      </c>
      <c r="E11" s="6">
        <v>1492.34</v>
      </c>
      <c r="F11" s="1" t="s">
        <v>40</v>
      </c>
      <c r="G11" s="6">
        <f ca="1">IFERROR(__xludf.DUMMYFUNCTION("iferror(GOOGLEFINANCE(TRIM(F11)&amp;"":"" &amp; TRIM(B11), ""price""),0
)"),333)</f>
        <v>333</v>
      </c>
      <c r="H11" s="6">
        <v>480.55</v>
      </c>
      <c r="I11" s="6">
        <f t="shared" ca="1" si="0"/>
        <v>333</v>
      </c>
      <c r="J11" s="6">
        <f ca="1">IFERROR(__xludf.DUMMYFUNCTION("IFERROR(GOOGLEFINANCE(B11, ""volume""), 0)"),72358)</f>
        <v>72358</v>
      </c>
      <c r="K11" s="6">
        <v>0.55000000000000004</v>
      </c>
      <c r="L11" s="6">
        <f ca="1">IFERROR(__xludf.DUMMYFUNCTION("IFERROR(GOOGLEFINANCE(B11,""changepct""),K11)"),0.33)</f>
        <v>0.33</v>
      </c>
      <c r="M11" s="6">
        <f ca="1">IFERROR(__xludf.DUMMYFUNCTION("IFERROR(GOOGLEFINANCE(B11,""change""),0)"),1.1)</f>
        <v>1.1000000000000001</v>
      </c>
      <c r="N11" s="6">
        <v>2</v>
      </c>
      <c r="O11" s="7">
        <v>45536</v>
      </c>
      <c r="P11" s="6">
        <v>62.85</v>
      </c>
      <c r="Q11" s="7">
        <v>45536</v>
      </c>
      <c r="R11" s="6">
        <v>23.74</v>
      </c>
      <c r="S11" s="6">
        <v>0.64</v>
      </c>
      <c r="T11" s="6">
        <v>2.59</v>
      </c>
      <c r="U11" s="6">
        <v>2</v>
      </c>
      <c r="V11" s="7">
        <v>45352</v>
      </c>
      <c r="W11" s="6">
        <f ca="1">IFERROR(__xludf.DUMMYFUNCTION("IFERROR(GOOGLEFINANCE(B11,""pe""),V11)"),24.02)</f>
        <v>24.02</v>
      </c>
      <c r="X11" s="6">
        <v>0.64</v>
      </c>
      <c r="Y11" s="6">
        <v>11.09</v>
      </c>
      <c r="Z11" s="6">
        <v>13.39</v>
      </c>
      <c r="AA11" s="3" t="s">
        <v>76</v>
      </c>
      <c r="AB11" s="11"/>
      <c r="AC11" s="9"/>
      <c r="AD11" s="9"/>
      <c r="AE11" s="1">
        <v>0</v>
      </c>
      <c r="AF11" s="1">
        <f ca="1">IFERROR(__xludf.DUMMYFUNCTION("IFERROR(GOOGLEFINANCE(TRIM(F11)&amp;"":"" &amp; TRIM(B11),""high52""),AE11)"),433.7)</f>
        <v>433.7</v>
      </c>
      <c r="AG11" s="1">
        <v>0</v>
      </c>
      <c r="AH11" s="1">
        <f ca="1">IFERROR(__xludf.DUMMYFUNCTION("IFERROR(GOOGLEFINANCE(TRIM(F11)&amp;"":"" &amp; TRIM(B11),""low52""),AE11)"),287.65)</f>
        <v>287.64999999999998</v>
      </c>
      <c r="AI11" s="1">
        <f ca="1">IFERROR(__xludf.DUMMYFUNCTION("IFERROR(GOOGLEFINANCE(B11,""eps""),0)"),13.86)</f>
        <v>13.86</v>
      </c>
      <c r="AJ11" s="1"/>
      <c r="AK11" s="1" t="s">
        <v>77</v>
      </c>
      <c r="AL11" s="9">
        <f t="shared" si="2"/>
        <v>1</v>
      </c>
    </row>
    <row r="12" spans="1:39" ht="15.75" customHeight="1" x14ac:dyDescent="0.25">
      <c r="A12" s="1" t="s">
        <v>78</v>
      </c>
      <c r="B12" s="1" t="s">
        <v>79</v>
      </c>
      <c r="C12" s="1" t="s">
        <v>57</v>
      </c>
      <c r="D12" s="1" t="s">
        <v>57</v>
      </c>
      <c r="E12" s="6">
        <v>4154.21</v>
      </c>
      <c r="F12" s="1" t="s">
        <v>40</v>
      </c>
      <c r="G12" s="6">
        <f ca="1">IFERROR(__xludf.DUMMYFUNCTION("iferror(GOOGLEFINANCE(TRIM(F12)&amp;"":"" &amp; TRIM(B12), ""price""),0
)"),637)</f>
        <v>637</v>
      </c>
      <c r="H12" s="6">
        <v>913</v>
      </c>
      <c r="I12" s="6">
        <f t="shared" ca="1" si="0"/>
        <v>637</v>
      </c>
      <c r="J12" s="6">
        <f ca="1">IFERROR(__xludf.DUMMYFUNCTION("IFERROR(GOOGLEFINANCE(B12, ""volume""), 0)"),83434)</f>
        <v>83434</v>
      </c>
      <c r="K12" s="6">
        <v>1.2</v>
      </c>
      <c r="L12" s="6">
        <f ca="1">IFERROR(__xludf.DUMMYFUNCTION("IFERROR(GOOGLEFINANCE(B12,""changepct""),K12)"),1.18)</f>
        <v>1.18</v>
      </c>
      <c r="M12" s="6">
        <f ca="1">IFERROR(__xludf.DUMMYFUNCTION("IFERROR(GOOGLEFINANCE(B12,""change""),0)"),7.4)</f>
        <v>7.4</v>
      </c>
      <c r="N12" s="6">
        <v>2</v>
      </c>
      <c r="O12" s="7">
        <v>45536</v>
      </c>
      <c r="P12" s="9"/>
      <c r="Q12" s="6">
        <v>2665.53</v>
      </c>
      <c r="R12" s="7">
        <v>45536</v>
      </c>
      <c r="S12" s="6">
        <v>275.44</v>
      </c>
      <c r="T12" s="6">
        <v>57.57</v>
      </c>
      <c r="U12" s="7">
        <v>45536</v>
      </c>
      <c r="V12" s="6">
        <v>56.71</v>
      </c>
      <c r="W12" s="6">
        <f ca="1">IFERROR(__xludf.DUMMYFUNCTION("IFERROR(GOOGLEFINANCE(B12,""pe""),V12)"),56.71)</f>
        <v>56.71</v>
      </c>
      <c r="X12" s="6">
        <v>1.01</v>
      </c>
      <c r="Y12" s="6">
        <v>1.25</v>
      </c>
      <c r="Z12" s="6">
        <v>2</v>
      </c>
      <c r="AA12" s="8">
        <v>45352</v>
      </c>
      <c r="AB12" s="4">
        <v>0</v>
      </c>
      <c r="AC12" s="6">
        <v>6.58</v>
      </c>
      <c r="AD12" s="6">
        <v>6.65</v>
      </c>
      <c r="AE12" s="1">
        <v>0</v>
      </c>
      <c r="AF12" s="1">
        <f ca="1">IFERROR(__xludf.DUMMYFUNCTION("IFERROR(GOOGLEFINANCE(TRIM(F12)&amp;"":"" &amp; TRIM(B12),""high52""),AE12)"),1130)</f>
        <v>1130</v>
      </c>
      <c r="AG12" s="1">
        <v>0</v>
      </c>
      <c r="AH12" s="1">
        <f ca="1">IFERROR(__xludf.DUMMYFUNCTION("IFERROR(GOOGLEFINANCE(TRIM(F12)&amp;"":"" &amp; TRIM(B12),""low52""),AE12)"),575.05)</f>
        <v>575.04999999999995</v>
      </c>
      <c r="AI12" s="1">
        <f ca="1">IFERROR(__xludf.DUMMYFUNCTION("IFERROR(GOOGLEFINANCE(B12,""eps""),0)"),-6.69)</f>
        <v>-6.69</v>
      </c>
      <c r="AJ12" s="1"/>
      <c r="AK12" s="12"/>
      <c r="AL12" s="9">
        <f t="shared" si="2"/>
        <v>1</v>
      </c>
    </row>
    <row r="13" spans="1:39" ht="15.75" customHeight="1" x14ac:dyDescent="0.25">
      <c r="A13" s="1" t="s">
        <v>80</v>
      </c>
      <c r="B13" s="1" t="s">
        <v>81</v>
      </c>
      <c r="C13" s="1" t="s">
        <v>82</v>
      </c>
      <c r="D13" s="1" t="s">
        <v>82</v>
      </c>
      <c r="E13" s="6">
        <v>14.44</v>
      </c>
      <c r="F13" s="1" t="s">
        <v>40</v>
      </c>
      <c r="G13" s="6">
        <f ca="1">IFERROR(__xludf.DUMMYFUNCTION("iferror(GOOGLEFINANCE(TRIM(F13)&amp;"":"" &amp; TRIM(B13), ""price""),0
)"),0)</f>
        <v>0</v>
      </c>
      <c r="H13" s="6">
        <v>13.75</v>
      </c>
      <c r="I13" s="6">
        <f t="shared" ca="1" si="0"/>
        <v>13.75</v>
      </c>
      <c r="J13" s="6">
        <f ca="1">IFERROR(__xludf.DUMMYFUNCTION("IFERROR(GOOGLEFINANCE(B13, ""volume""), 0)"),0)</f>
        <v>0</v>
      </c>
      <c r="K13" s="12"/>
      <c r="L13" s="6" t="str">
        <f ca="1">IFERROR(__xludf.DUMMYFUNCTION("IFERROR(GOOGLEFINANCE(B13,""changepct""),K13)"),"")</f>
        <v/>
      </c>
      <c r="M13" s="6">
        <f ca="1">IFERROR(__xludf.DUMMYFUNCTION("IFERROR(GOOGLEFINANCE(B13,""change""),0)"),0)</f>
        <v>0</v>
      </c>
      <c r="N13" s="6">
        <v>1</v>
      </c>
      <c r="O13" s="7">
        <v>45536</v>
      </c>
      <c r="P13" s="6">
        <v>7.55</v>
      </c>
      <c r="Q13" s="6">
        <v>21.8</v>
      </c>
      <c r="R13" s="7">
        <v>45352</v>
      </c>
      <c r="S13" s="6">
        <v>3.38</v>
      </c>
      <c r="T13" s="6">
        <v>-0.1</v>
      </c>
      <c r="U13" s="7">
        <v>45352</v>
      </c>
      <c r="V13" s="6">
        <v>0</v>
      </c>
      <c r="W13" s="6">
        <f ca="1">IFERROR(__xludf.DUMMYFUNCTION("IFERROR(GOOGLEFINANCE(B13,""pe""),V13)"),0)</f>
        <v>0</v>
      </c>
      <c r="X13" s="12"/>
      <c r="Y13" s="6">
        <v>1.68</v>
      </c>
      <c r="Z13" s="6">
        <v>2</v>
      </c>
      <c r="AA13" s="8">
        <v>44986</v>
      </c>
      <c r="AB13" s="4">
        <v>0.77</v>
      </c>
      <c r="AC13" s="6">
        <v>-18.72</v>
      </c>
      <c r="AD13" s="6">
        <v>-11.06</v>
      </c>
      <c r="AE13" s="1">
        <v>0</v>
      </c>
      <c r="AF13" s="1">
        <f ca="1">IFERROR(__xludf.DUMMYFUNCTION("IFERROR(GOOGLEFINANCE(TRIM(F13)&amp;"":"" &amp; TRIM(B13),""high52""),AE13)"),0)</f>
        <v>0</v>
      </c>
      <c r="AG13" s="1">
        <v>0</v>
      </c>
      <c r="AH13" s="1">
        <f ca="1">IFERROR(__xludf.DUMMYFUNCTION("IFERROR(GOOGLEFINANCE(TRIM(F13)&amp;"":"" &amp; TRIM(B13),""low52""),AE13)"),0)</f>
        <v>0</v>
      </c>
      <c r="AI13" s="1">
        <f ca="1">IFERROR(__xludf.DUMMYFUNCTION("IFERROR(GOOGLEFINANCE(B13,""eps""),0)"),0)</f>
        <v>0</v>
      </c>
      <c r="AJ13" s="1"/>
      <c r="AK13" s="1" t="s">
        <v>83</v>
      </c>
      <c r="AL13" s="9">
        <f t="shared" si="2"/>
        <v>1</v>
      </c>
    </row>
    <row r="14" spans="1:39" ht="15.75" customHeight="1" x14ac:dyDescent="0.25">
      <c r="A14" s="1" t="s">
        <v>84</v>
      </c>
      <c r="B14" s="1" t="s">
        <v>85</v>
      </c>
      <c r="C14" s="1" t="s">
        <v>86</v>
      </c>
      <c r="D14" s="1" t="s">
        <v>86</v>
      </c>
      <c r="E14" s="6">
        <v>473.06</v>
      </c>
      <c r="F14" s="1" t="s">
        <v>40</v>
      </c>
      <c r="G14" s="6">
        <f ca="1">IFERROR(__xludf.DUMMYFUNCTION("iferror(GOOGLEFINANCE(TRIM(F14)&amp;"":"" &amp; TRIM(B14), ""price""),0
)"),13.78)</f>
        <v>13.78</v>
      </c>
      <c r="H14" s="6">
        <v>25.75</v>
      </c>
      <c r="I14" s="6">
        <f t="shared" ca="1" si="0"/>
        <v>13.78</v>
      </c>
      <c r="J14" s="6">
        <f ca="1">IFERROR(__xludf.DUMMYFUNCTION("IFERROR(GOOGLEFINANCE(B14, ""volume""), 0)"),191256)</f>
        <v>191256</v>
      </c>
      <c r="K14" s="6">
        <v>-3.27</v>
      </c>
      <c r="L14" s="6">
        <f ca="1">IFERROR(__xludf.DUMMYFUNCTION("IFERROR(GOOGLEFINANCE(B14,""changepct""),K14)"),-1.22)</f>
        <v>-1.22</v>
      </c>
      <c r="M14" s="6">
        <f ca="1">IFERROR(__xludf.DUMMYFUNCTION("IFERROR(GOOGLEFINANCE(B14,""change""),0)"),-0.17)</f>
        <v>-0.17</v>
      </c>
      <c r="N14" s="6">
        <v>2</v>
      </c>
      <c r="O14" s="7">
        <v>45536</v>
      </c>
      <c r="P14" s="6">
        <v>106.74</v>
      </c>
      <c r="Q14" s="6">
        <v>575.12</v>
      </c>
      <c r="R14" s="7">
        <v>45536</v>
      </c>
      <c r="S14" s="6">
        <v>353.48</v>
      </c>
      <c r="T14" s="6">
        <v>12.45</v>
      </c>
      <c r="U14" s="7">
        <v>45536</v>
      </c>
      <c r="V14" s="6">
        <v>171.77</v>
      </c>
      <c r="W14" s="6">
        <f ca="1">IFERROR(__xludf.DUMMYFUNCTION("IFERROR(GOOGLEFINANCE(B14,""pe""),V14)"),97.08)</f>
        <v>97.08</v>
      </c>
      <c r="X14" s="12"/>
      <c r="Y14" s="6">
        <v>16.079999999999998</v>
      </c>
      <c r="Z14" s="6">
        <v>2</v>
      </c>
      <c r="AA14" s="8">
        <v>45352</v>
      </c>
      <c r="AB14" s="4">
        <v>7.4</v>
      </c>
      <c r="AC14" s="6">
        <v>-25.32</v>
      </c>
      <c r="AD14" s="6">
        <v>0.56000000000000005</v>
      </c>
      <c r="AE14" s="1">
        <v>0</v>
      </c>
      <c r="AF14" s="1">
        <f ca="1">IFERROR(__xludf.DUMMYFUNCTION("IFERROR(GOOGLEFINANCE(TRIM(F14)&amp;"":"" &amp; TRIM(B14),""high52""),AE14)"),23.25)</f>
        <v>23.25</v>
      </c>
      <c r="AG14" s="1">
        <v>0</v>
      </c>
      <c r="AH14" s="1">
        <f ca="1">IFERROR(__xludf.DUMMYFUNCTION("IFERROR(GOOGLEFINANCE(TRIM(F14)&amp;"":"" &amp; TRIM(B14),""low52""),AE14)"),12.35)</f>
        <v>12.35</v>
      </c>
      <c r="AI14" s="1">
        <f ca="1">IFERROR(__xludf.DUMMYFUNCTION("IFERROR(GOOGLEFINANCE(B14,""eps""),0)"),0.14)</f>
        <v>0.14000000000000001</v>
      </c>
      <c r="AJ14" s="1"/>
      <c r="AK14" s="1" t="s">
        <v>87</v>
      </c>
      <c r="AL14" s="9">
        <f t="shared" si="2"/>
        <v>1</v>
      </c>
    </row>
    <row r="15" spans="1:39" ht="15.75" customHeight="1" x14ac:dyDescent="0.25">
      <c r="A15" s="1" t="s">
        <v>88</v>
      </c>
      <c r="B15" s="1" t="s">
        <v>89</v>
      </c>
      <c r="C15" s="1" t="s">
        <v>90</v>
      </c>
      <c r="D15" s="1" t="s">
        <v>90</v>
      </c>
      <c r="E15" s="6">
        <v>135.44999999999999</v>
      </c>
      <c r="F15" s="1" t="s">
        <v>40</v>
      </c>
      <c r="G15" s="6">
        <f ca="1">IFERROR(__xludf.DUMMYFUNCTION("iferror(GOOGLEFINANCE(TRIM(F15)&amp;"":"" &amp; TRIM(B15), ""price""),0
)"),101.9)</f>
        <v>101.9</v>
      </c>
      <c r="H15" s="6">
        <v>107.37</v>
      </c>
      <c r="I15" s="6">
        <f t="shared" ca="1" si="0"/>
        <v>101.9</v>
      </c>
      <c r="J15" s="6">
        <f ca="1">IFERROR(__xludf.DUMMYFUNCTION("IFERROR(GOOGLEFINANCE(B15, ""volume""), 0)"),7523)</f>
        <v>7523</v>
      </c>
      <c r="K15" s="6">
        <v>1.77</v>
      </c>
      <c r="L15" s="6">
        <f ca="1">IFERROR(__xludf.DUMMYFUNCTION("IFERROR(GOOGLEFINANCE(B15,""changepct""),K15)"),0.11)</f>
        <v>0.11</v>
      </c>
      <c r="M15" s="6">
        <f ca="1">IFERROR(__xludf.DUMMYFUNCTION("IFERROR(GOOGLEFINANCE(B15,""change""),0)"),0.11)</f>
        <v>0.11</v>
      </c>
      <c r="N15" s="6">
        <v>1</v>
      </c>
      <c r="O15" s="7">
        <v>45536</v>
      </c>
      <c r="P15" s="9"/>
      <c r="Q15" s="6">
        <v>113.45</v>
      </c>
      <c r="R15" s="7">
        <v>45536</v>
      </c>
      <c r="S15" s="6">
        <v>22.85</v>
      </c>
      <c r="T15" s="6">
        <v>3.53</v>
      </c>
      <c r="U15" s="7">
        <v>45536</v>
      </c>
      <c r="V15" s="6">
        <v>38.380000000000003</v>
      </c>
      <c r="W15" s="6">
        <f ca="1">IFERROR(__xludf.DUMMYFUNCTION("IFERROR(GOOGLEFINANCE(B15,""pe""),V15)"),37.1)</f>
        <v>37.1</v>
      </c>
      <c r="X15" s="9"/>
      <c r="Y15" s="6">
        <v>4.63</v>
      </c>
      <c r="Z15" s="6">
        <v>1</v>
      </c>
      <c r="AA15" s="8">
        <v>45352</v>
      </c>
      <c r="AB15" s="4">
        <v>0</v>
      </c>
      <c r="AC15" s="6">
        <v>12.04</v>
      </c>
      <c r="AD15" s="6">
        <v>16.16</v>
      </c>
      <c r="AE15" s="1">
        <v>0</v>
      </c>
      <c r="AF15" s="1">
        <f ca="1">IFERROR(__xludf.DUMMYFUNCTION("IFERROR(GOOGLEFINANCE(TRIM(F15)&amp;"":"" &amp; TRIM(B15),""high52""),AE15)"),136)</f>
        <v>136</v>
      </c>
      <c r="AG15" s="1">
        <v>0</v>
      </c>
      <c r="AH15" s="1">
        <f ca="1">IFERROR(__xludf.DUMMYFUNCTION("IFERROR(GOOGLEFINANCE(TRIM(F15)&amp;"":"" &amp; TRIM(B15),""low52""),AE15)"),66)</f>
        <v>66</v>
      </c>
      <c r="AI15" s="1">
        <f ca="1">IFERROR(__xludf.DUMMYFUNCTION("IFERROR(GOOGLEFINANCE(B15,""eps""),0)"),2.75)</f>
        <v>2.75</v>
      </c>
      <c r="AJ15" s="1"/>
      <c r="AK15" s="1" t="s">
        <v>91</v>
      </c>
      <c r="AL15" s="1" t="b">
        <f>ISNUMBER(AA15)</f>
        <v>1</v>
      </c>
    </row>
    <row r="16" spans="1:39" ht="15.75" customHeight="1" x14ac:dyDescent="0.25">
      <c r="A16" s="1" t="s">
        <v>92</v>
      </c>
      <c r="B16" s="1" t="s">
        <v>93</v>
      </c>
      <c r="C16" s="1" t="s">
        <v>94</v>
      </c>
      <c r="D16" s="1" t="s">
        <v>94</v>
      </c>
      <c r="E16" s="6">
        <v>18142.37</v>
      </c>
      <c r="F16" s="1" t="s">
        <v>40</v>
      </c>
      <c r="G16" s="6">
        <f ca="1">IFERROR(__xludf.DUMMYFUNCTION("iferror(GOOGLEFINANCE(TRIM(F16)&amp;"":"" &amp; TRIM(B16), ""price""),0
)"),477.15)</f>
        <v>477.15</v>
      </c>
      <c r="H16" s="6">
        <v>427.8</v>
      </c>
      <c r="I16" s="6">
        <f t="shared" ca="1" si="0"/>
        <v>477.15</v>
      </c>
      <c r="J16" s="6">
        <f ca="1">IFERROR(__xludf.DUMMYFUNCTION("IFERROR(GOOGLEFINANCE(B16, ""volume""), 0)"),484967)</f>
        <v>484967</v>
      </c>
      <c r="K16" s="6">
        <v>1.57</v>
      </c>
      <c r="L16" s="6">
        <f ca="1">IFERROR(__xludf.DUMMYFUNCTION("IFERROR(GOOGLEFINANCE(B16,""changepct""),K16)"),-0.79)</f>
        <v>-0.79</v>
      </c>
      <c r="M16" s="6">
        <f ca="1">IFERROR(__xludf.DUMMYFUNCTION("IFERROR(GOOGLEFINANCE(B16,""change""),0)"),-3.8)</f>
        <v>-3.8</v>
      </c>
      <c r="N16" s="6">
        <v>2</v>
      </c>
      <c r="O16" s="7">
        <v>45352</v>
      </c>
      <c r="P16" s="6">
        <v>749.64</v>
      </c>
      <c r="Q16" s="7">
        <v>45352</v>
      </c>
      <c r="R16" s="6">
        <v>24.2</v>
      </c>
      <c r="S16" s="12"/>
      <c r="T16" s="6">
        <v>3.11</v>
      </c>
      <c r="U16" s="6">
        <v>2</v>
      </c>
      <c r="V16" s="7">
        <v>45352</v>
      </c>
      <c r="W16" s="6">
        <f ca="1">IFERROR(__xludf.DUMMYFUNCTION("IFERROR(GOOGLEFINANCE(B16,""pe""),V16)"),20.36)</f>
        <v>20.36</v>
      </c>
      <c r="X16" s="6">
        <v>3.18</v>
      </c>
      <c r="Y16" s="6">
        <v>18.649999999999999</v>
      </c>
      <c r="Z16" s="6">
        <v>11.38</v>
      </c>
      <c r="AA16" s="3" t="s">
        <v>95</v>
      </c>
      <c r="AB16" s="4"/>
      <c r="AC16" s="12"/>
      <c r="AD16" s="12"/>
      <c r="AE16" s="1">
        <v>0</v>
      </c>
      <c r="AF16" s="1">
        <f ca="1">IFERROR(__xludf.DUMMYFUNCTION("IFERROR(GOOGLEFINANCE(TRIM(F16)&amp;"":"" &amp; TRIM(B16),""high52""),AE16)"),547.8)</f>
        <v>547.79999999999995</v>
      </c>
      <c r="AG16" s="1">
        <v>0</v>
      </c>
      <c r="AH16" s="1">
        <f ca="1">IFERROR(__xludf.DUMMYFUNCTION("IFERROR(GOOGLEFINANCE(TRIM(F16)&amp;"":"" &amp; TRIM(B16),""low52""),AE16)"),361.6)</f>
        <v>361.6</v>
      </c>
      <c r="AI16" s="1">
        <f ca="1">IFERROR(__xludf.DUMMYFUNCTION("IFERROR(GOOGLEFINANCE(B16,""eps""),0)"),23.43)</f>
        <v>23.43</v>
      </c>
      <c r="AJ16" s="1"/>
      <c r="AK16" s="1" t="s">
        <v>96</v>
      </c>
      <c r="AL16" s="9">
        <f>IF(AA16&lt;&gt;AB16,1,0)</f>
        <v>1</v>
      </c>
    </row>
    <row r="17" spans="1:38" ht="15.75" customHeight="1" x14ac:dyDescent="0.25">
      <c r="A17" s="1" t="s">
        <v>97</v>
      </c>
      <c r="B17" s="1" t="s">
        <v>98</v>
      </c>
      <c r="C17" s="1" t="s">
        <v>99</v>
      </c>
      <c r="D17" s="1" t="s">
        <v>99</v>
      </c>
      <c r="E17" s="6">
        <v>27.75</v>
      </c>
      <c r="F17" s="1" t="s">
        <v>53</v>
      </c>
      <c r="G17" s="6">
        <f ca="1">IFERROR(__xludf.DUMMYFUNCTION("iferror(GOOGLEFINANCE(TRIM(F17)&amp;"":"" &amp; TRIM(B17), ""price""),0
)"),0)</f>
        <v>0</v>
      </c>
      <c r="H17" s="6">
        <v>109.75</v>
      </c>
      <c r="I17" s="6">
        <f t="shared" ca="1" si="0"/>
        <v>109.75</v>
      </c>
      <c r="J17" s="6">
        <f ca="1">IFERROR(__xludf.DUMMYFUNCTION("IFERROR(GOOGLEFINANCE(B17, ""volume""), 0)"),28900)</f>
        <v>28900</v>
      </c>
      <c r="K17" s="9"/>
      <c r="L17" s="6">
        <f ca="1">IFERROR(__xludf.DUMMYFUNCTION("IFERROR(GOOGLEFINANCE(B17,""changepct""),K17)"),0)</f>
        <v>0</v>
      </c>
      <c r="M17" s="6">
        <f ca="1">IFERROR(__xludf.DUMMYFUNCTION("IFERROR(GOOGLEFINANCE(B17,""change""),0)"),0)</f>
        <v>0</v>
      </c>
      <c r="N17" s="6">
        <v>1</v>
      </c>
      <c r="O17" s="7">
        <v>45536</v>
      </c>
      <c r="P17" s="9"/>
      <c r="Q17" s="6">
        <v>27.75</v>
      </c>
      <c r="R17" s="7">
        <v>45352</v>
      </c>
      <c r="S17" s="6">
        <v>1.54</v>
      </c>
      <c r="T17" s="6">
        <v>0.67</v>
      </c>
      <c r="U17" s="7">
        <v>45352</v>
      </c>
      <c r="V17" s="6">
        <v>41.3</v>
      </c>
      <c r="W17" s="6">
        <f ca="1">IFERROR(__xludf.DUMMYFUNCTION("IFERROR(GOOGLEFINANCE(B17,""pe""),V17)"),9.43)</f>
        <v>9.43</v>
      </c>
      <c r="X17" s="12"/>
      <c r="Y17" s="6">
        <v>3.09</v>
      </c>
      <c r="Z17" s="6">
        <v>1</v>
      </c>
      <c r="AA17" s="8">
        <v>45352</v>
      </c>
      <c r="AB17" s="4">
        <v>0</v>
      </c>
      <c r="AC17" s="6">
        <v>26.14</v>
      </c>
      <c r="AD17" s="6">
        <v>26.18</v>
      </c>
      <c r="AE17" s="1">
        <v>0</v>
      </c>
      <c r="AF17" s="1">
        <f ca="1">IFERROR(__xludf.DUMMYFUNCTION("IFERROR(GOOGLEFINANCE(TRIM(F17)&amp;"":"" &amp; TRIM(B17),""high52""),AE17)"),0)</f>
        <v>0</v>
      </c>
      <c r="AG17" s="1">
        <v>0</v>
      </c>
      <c r="AH17" s="1">
        <f ca="1">IFERROR(__xludf.DUMMYFUNCTION("IFERROR(GOOGLEFINANCE(TRIM(F17)&amp;"":"" &amp; TRIM(B17),""low52""),AE17)"),0)</f>
        <v>0</v>
      </c>
      <c r="AI17" s="1">
        <f ca="1">IFERROR(__xludf.DUMMYFUNCTION("IFERROR(GOOGLEFINANCE(B17,""eps""),0)"),0)</f>
        <v>0</v>
      </c>
      <c r="AJ17" s="1"/>
      <c r="AK17" s="1" t="s">
        <v>100</v>
      </c>
      <c r="AL17" s="1" t="b">
        <f>ISNUMBER(AA17)</f>
        <v>1</v>
      </c>
    </row>
    <row r="18" spans="1:38" ht="15.75" customHeight="1" x14ac:dyDescent="0.25">
      <c r="A18" s="1" t="s">
        <v>101</v>
      </c>
      <c r="B18" s="1" t="s">
        <v>102</v>
      </c>
      <c r="C18" s="1" t="s">
        <v>103</v>
      </c>
      <c r="D18" s="1" t="s">
        <v>103</v>
      </c>
      <c r="E18" s="6">
        <v>104.39</v>
      </c>
      <c r="F18" s="1" t="s">
        <v>40</v>
      </c>
      <c r="G18" s="6">
        <f ca="1">IFERROR(__xludf.DUMMYFUNCTION("iferror(GOOGLEFINANCE(TRIM(F18)&amp;"":"" &amp; TRIM(B18), ""price""),0
)"),7.8)</f>
        <v>7.8</v>
      </c>
      <c r="H18" s="6">
        <v>10.38</v>
      </c>
      <c r="I18" s="6">
        <f t="shared" ca="1" si="0"/>
        <v>7.8</v>
      </c>
      <c r="J18" s="6">
        <f ca="1">IFERROR(__xludf.DUMMYFUNCTION("IFERROR(GOOGLEFINANCE(B18, ""volume""), 0)"),30528)</f>
        <v>30528</v>
      </c>
      <c r="K18" s="6">
        <v>0.68</v>
      </c>
      <c r="L18" s="6">
        <f ca="1">IFERROR(__xludf.DUMMYFUNCTION("IFERROR(GOOGLEFINANCE(B18,""changepct""),K18)"),-1.27)</f>
        <v>-1.27</v>
      </c>
      <c r="M18" s="6">
        <f ca="1">IFERROR(__xludf.DUMMYFUNCTION("IFERROR(GOOGLEFINANCE(B18,""change""),0)"),-0.1)</f>
        <v>-0.1</v>
      </c>
      <c r="N18" s="6">
        <v>2</v>
      </c>
      <c r="O18" s="7">
        <v>45536</v>
      </c>
      <c r="P18" s="6">
        <v>13.87</v>
      </c>
      <c r="Q18" s="6">
        <v>118.26</v>
      </c>
      <c r="R18" s="7">
        <v>45536</v>
      </c>
      <c r="S18" s="6">
        <v>101.75</v>
      </c>
      <c r="T18" s="6">
        <v>5.22</v>
      </c>
      <c r="U18" s="7">
        <v>45536</v>
      </c>
      <c r="V18" s="6">
        <v>20.010000000000002</v>
      </c>
      <c r="W18" s="6">
        <f ca="1">IFERROR(__xludf.DUMMYFUNCTION("IFERROR(GOOGLEFINANCE(B18,""pe""),V18)"),57.74)</f>
        <v>57.74</v>
      </c>
      <c r="X18" s="9"/>
      <c r="Y18" s="6">
        <v>1.74</v>
      </c>
      <c r="Z18" s="6">
        <v>2</v>
      </c>
      <c r="AA18" s="8">
        <v>45352</v>
      </c>
      <c r="AB18" s="4">
        <v>0.44</v>
      </c>
      <c r="AC18" s="6">
        <v>11.2</v>
      </c>
      <c r="AD18" s="6">
        <v>12.64</v>
      </c>
      <c r="AE18" s="1">
        <v>0</v>
      </c>
      <c r="AF18" s="1">
        <f ca="1">IFERROR(__xludf.DUMMYFUNCTION("IFERROR(GOOGLEFINANCE(TRIM(F18)&amp;"":"" &amp; TRIM(B18),""high52""),AE18)"),13.79)</f>
        <v>13.79</v>
      </c>
      <c r="AG18" s="1">
        <v>0</v>
      </c>
      <c r="AH18" s="1">
        <f ca="1">IFERROR(__xludf.DUMMYFUNCTION("IFERROR(GOOGLEFINANCE(TRIM(F18)&amp;"":"" &amp; TRIM(B18),""low52""),AE18)"),7.06)</f>
        <v>7.06</v>
      </c>
      <c r="AI18" s="1">
        <f ca="1">IFERROR(__xludf.DUMMYFUNCTION("IFERROR(GOOGLEFINANCE(B18,""eps""),0)"),0.14)</f>
        <v>0.14000000000000001</v>
      </c>
      <c r="AJ18" s="1"/>
      <c r="AK18" s="9"/>
      <c r="AL18" s="9">
        <f t="shared" ref="AL18:AL19" si="3">IF(AA18&lt;&gt;AB18,1,0)</f>
        <v>1</v>
      </c>
    </row>
    <row r="19" spans="1:38" ht="15.75" customHeight="1" x14ac:dyDescent="0.25">
      <c r="A19" s="1" t="s">
        <v>104</v>
      </c>
      <c r="B19" s="1" t="s">
        <v>105</v>
      </c>
      <c r="C19" s="1" t="s">
        <v>106</v>
      </c>
      <c r="D19" s="1" t="s">
        <v>106</v>
      </c>
      <c r="E19" s="6">
        <v>165.73</v>
      </c>
      <c r="F19" s="1" t="s">
        <v>40</v>
      </c>
      <c r="G19" s="6">
        <f ca="1">IFERROR(__xludf.DUMMYFUNCTION("iferror(GOOGLEFINANCE(TRIM(F19)&amp;"":"" &amp; TRIM(B19), ""price""),0
)"),63.33)</f>
        <v>63.33</v>
      </c>
      <c r="H19" s="6">
        <v>59.5</v>
      </c>
      <c r="I19" s="6">
        <f t="shared" ca="1" si="0"/>
        <v>63.33</v>
      </c>
      <c r="J19" s="6">
        <f ca="1">IFERROR(__xludf.DUMMYFUNCTION("IFERROR(GOOGLEFINANCE(B19, ""volume""), 0)"),384484)</f>
        <v>384484</v>
      </c>
      <c r="K19" s="6">
        <v>1.8</v>
      </c>
      <c r="L19" s="6">
        <f ca="1">IFERROR(__xludf.DUMMYFUNCTION("IFERROR(GOOGLEFINANCE(B19,""changepct""),K19)"),-1.49)</f>
        <v>-1.49</v>
      </c>
      <c r="M19" s="6">
        <f ca="1">IFERROR(__xludf.DUMMYFUNCTION("IFERROR(GOOGLEFINANCE(B19,""change""),0)"),-0.96)</f>
        <v>-0.96</v>
      </c>
      <c r="N19" s="6">
        <v>1</v>
      </c>
      <c r="O19" s="7">
        <v>45536</v>
      </c>
      <c r="P19" s="6">
        <v>38.65</v>
      </c>
      <c r="Q19" s="6">
        <v>204.38</v>
      </c>
      <c r="R19" s="7">
        <v>45536</v>
      </c>
      <c r="S19" s="6">
        <v>518.89</v>
      </c>
      <c r="T19" s="6">
        <v>6.89</v>
      </c>
      <c r="U19" s="7">
        <v>45536</v>
      </c>
      <c r="V19" s="6">
        <v>24.05</v>
      </c>
      <c r="W19" s="6">
        <f ca="1">IFERROR(__xludf.DUMMYFUNCTION("IFERROR(GOOGLEFINANCE(B19,""pe""),V19)"),50.27)</f>
        <v>50.27</v>
      </c>
      <c r="X19" s="6">
        <v>-3.72</v>
      </c>
      <c r="Y19" s="6">
        <v>1.21</v>
      </c>
      <c r="Z19" s="6">
        <v>1</v>
      </c>
      <c r="AA19" s="8">
        <v>45352</v>
      </c>
      <c r="AB19" s="4">
        <v>0.24</v>
      </c>
      <c r="AC19" s="6">
        <v>3.82</v>
      </c>
      <c r="AD19" s="6">
        <v>6.09</v>
      </c>
      <c r="AE19" s="1">
        <v>0</v>
      </c>
      <c r="AF19" s="1">
        <f ca="1">IFERROR(__xludf.DUMMYFUNCTION("IFERROR(GOOGLEFINANCE(TRIM(F19)&amp;"":"" &amp; TRIM(B19),""high52""),AE19)"),100)</f>
        <v>100</v>
      </c>
      <c r="AG19" s="1">
        <v>0</v>
      </c>
      <c r="AH19" s="1">
        <f ca="1">IFERROR(__xludf.DUMMYFUNCTION("IFERROR(GOOGLEFINANCE(TRIM(F19)&amp;"":"" &amp; TRIM(B19),""low52""),AE19)"),31.35)</f>
        <v>31.35</v>
      </c>
      <c r="AI19" s="1">
        <f ca="1">IFERROR(__xludf.DUMMYFUNCTION("IFERROR(GOOGLEFINANCE(B19,""eps""),0)"),1.26)</f>
        <v>1.26</v>
      </c>
      <c r="AJ19" s="1"/>
      <c r="AK19" s="1" t="s">
        <v>107</v>
      </c>
      <c r="AL19" s="9">
        <f t="shared" si="3"/>
        <v>1</v>
      </c>
    </row>
    <row r="20" spans="1:38" ht="15.75" customHeight="1" x14ac:dyDescent="0.25">
      <c r="A20" s="1" t="s">
        <v>108</v>
      </c>
      <c r="B20" s="1" t="s">
        <v>109</v>
      </c>
      <c r="C20" s="1" t="s">
        <v>99</v>
      </c>
      <c r="D20" s="1" t="s">
        <v>99</v>
      </c>
      <c r="E20" s="6">
        <v>25.88</v>
      </c>
      <c r="F20" s="1" t="s">
        <v>53</v>
      </c>
      <c r="G20" s="6">
        <f ca="1">IFERROR(__xludf.DUMMYFUNCTION("iferror(GOOGLEFINANCE(TRIM(F20)&amp;"":"" &amp; TRIM(B20), ""price""),0
)"),0)</f>
        <v>0</v>
      </c>
      <c r="H20" s="6">
        <v>48.5</v>
      </c>
      <c r="I20" s="6">
        <f t="shared" ca="1" si="0"/>
        <v>48.5</v>
      </c>
      <c r="J20" s="6">
        <f ca="1">IFERROR(__xludf.DUMMYFUNCTION("IFERROR(GOOGLEFINANCE(B20, ""volume""), 0)"),0)</f>
        <v>0</v>
      </c>
      <c r="K20" s="12"/>
      <c r="L20" s="6">
        <f ca="1">IFERROR(__xludf.DUMMYFUNCTION("IFERROR(GOOGLEFINANCE(B20,""changepct""),K20)"),-1.14)</f>
        <v>-1.1399999999999999</v>
      </c>
      <c r="M20" s="6">
        <f ca="1">IFERROR(__xludf.DUMMYFUNCTION("IFERROR(GOOGLEFINANCE(B20,""change""),0)"),-1.14)</f>
        <v>-1.1399999999999999</v>
      </c>
      <c r="N20" s="6">
        <v>1</v>
      </c>
      <c r="O20" s="7">
        <v>45536</v>
      </c>
      <c r="P20" s="6">
        <v>0.04</v>
      </c>
      <c r="Q20" s="6">
        <v>25.92</v>
      </c>
      <c r="R20" s="7">
        <v>45352</v>
      </c>
      <c r="S20" s="6">
        <v>18.829999999999998</v>
      </c>
      <c r="T20" s="6">
        <v>1.69</v>
      </c>
      <c r="U20" s="7">
        <v>45352</v>
      </c>
      <c r="V20" s="6">
        <v>15.27</v>
      </c>
      <c r="W20" s="6">
        <f ca="1">IFERROR(__xludf.DUMMYFUNCTION("IFERROR(GOOGLEFINANCE(B20,""pe""),V20)"),15.27)</f>
        <v>15.27</v>
      </c>
      <c r="X20" s="9"/>
      <c r="Y20" s="6">
        <v>1.24</v>
      </c>
      <c r="Z20" s="6">
        <v>1</v>
      </c>
      <c r="AA20" s="8">
        <v>45352</v>
      </c>
      <c r="AB20" s="4">
        <v>0</v>
      </c>
      <c r="AC20" s="6">
        <v>16.170000000000002</v>
      </c>
      <c r="AD20" s="6">
        <v>24.05</v>
      </c>
      <c r="AE20" s="1">
        <v>0</v>
      </c>
      <c r="AF20" s="1">
        <f ca="1">IFERROR(__xludf.DUMMYFUNCTION("IFERROR(GOOGLEFINANCE(TRIM(F20)&amp;"":"" &amp; TRIM(B20),""high52""),AE20)"),0)</f>
        <v>0</v>
      </c>
      <c r="AG20" s="1">
        <v>0</v>
      </c>
      <c r="AH20" s="1">
        <f ca="1">IFERROR(__xludf.DUMMYFUNCTION("IFERROR(GOOGLEFINANCE(TRIM(F20)&amp;"":"" &amp; TRIM(B20),""low52""),AE20)"),0)</f>
        <v>0</v>
      </c>
      <c r="AI20" s="1">
        <f ca="1">IFERROR(__xludf.DUMMYFUNCTION("IFERROR(GOOGLEFINANCE(B20,""eps""),0)"),0)</f>
        <v>0</v>
      </c>
      <c r="AJ20" s="1"/>
      <c r="AK20" s="12"/>
      <c r="AL20" s="1" t="b">
        <f>ISBLANK(AB20)</f>
        <v>0</v>
      </c>
    </row>
    <row r="21" spans="1:38" ht="15.75" customHeight="1" x14ac:dyDescent="0.25">
      <c r="A21" s="1" t="s">
        <v>110</v>
      </c>
      <c r="B21" s="1" t="s">
        <v>111</v>
      </c>
      <c r="C21" s="1" t="s">
        <v>112</v>
      </c>
      <c r="D21" s="1" t="s">
        <v>112</v>
      </c>
      <c r="E21" s="6">
        <v>386.62</v>
      </c>
      <c r="F21" s="1" t="s">
        <v>40</v>
      </c>
      <c r="G21" s="6">
        <f ca="1">IFERROR(__xludf.DUMMYFUNCTION("iferror(GOOGLEFINANCE(TRIM(F21)&amp;"":"" &amp; TRIM(B21), ""price""),0
)"),153.15)</f>
        <v>153.15</v>
      </c>
      <c r="H21" s="6">
        <v>377.9</v>
      </c>
      <c r="I21" s="6">
        <f t="shared" ca="1" si="0"/>
        <v>153.15</v>
      </c>
      <c r="J21" s="6">
        <f ca="1">IFERROR(__xludf.DUMMYFUNCTION("IFERROR(GOOGLEFINANCE(B21, ""volume""), 0)"),5163)</f>
        <v>5163</v>
      </c>
      <c r="K21" s="6">
        <v>2.37</v>
      </c>
      <c r="L21" s="6">
        <f ca="1">IFERROR(__xludf.DUMMYFUNCTION("IFERROR(GOOGLEFINANCE(B21,""changepct""),K21)"),-1.15)</f>
        <v>-1.1499999999999999</v>
      </c>
      <c r="M21" s="6">
        <f ca="1">IFERROR(__xludf.DUMMYFUNCTION("IFERROR(GOOGLEFINANCE(B21,""change""),0)"),-1.78)</f>
        <v>-1.78</v>
      </c>
      <c r="N21" s="6">
        <v>1</v>
      </c>
      <c r="O21" s="7">
        <v>45536</v>
      </c>
      <c r="P21" s="6">
        <v>34.53</v>
      </c>
      <c r="Q21" s="6">
        <v>419.05</v>
      </c>
      <c r="R21" s="7">
        <v>45536</v>
      </c>
      <c r="S21" s="6">
        <v>69.19</v>
      </c>
      <c r="T21" s="6">
        <v>7.22</v>
      </c>
      <c r="U21" s="7">
        <v>45536</v>
      </c>
      <c r="V21" s="6">
        <v>53.58</v>
      </c>
      <c r="W21" s="6">
        <f ca="1">IFERROR(__xludf.DUMMYFUNCTION("IFERROR(GOOGLEFINANCE(B21,""pe""),V21)"),45.5)</f>
        <v>45.5</v>
      </c>
      <c r="X21" s="6">
        <v>1.25</v>
      </c>
      <c r="Y21" s="6">
        <v>9.7799999999999994</v>
      </c>
      <c r="Z21" s="6">
        <v>1</v>
      </c>
      <c r="AA21" s="8">
        <v>45352</v>
      </c>
      <c r="AB21" s="4">
        <v>0.88</v>
      </c>
      <c r="AC21" s="6">
        <v>22.48</v>
      </c>
      <c r="AD21" s="6">
        <v>19.829999999999998</v>
      </c>
      <c r="AE21" s="1">
        <v>0</v>
      </c>
      <c r="AF21" s="1">
        <f ca="1">IFERROR(__xludf.DUMMYFUNCTION("IFERROR(GOOGLEFINANCE(TRIM(F21)&amp;"":"" &amp; TRIM(B21),""high52""),AE21)"),258)</f>
        <v>258</v>
      </c>
      <c r="AG21" s="1">
        <v>0</v>
      </c>
      <c r="AH21" s="1">
        <f ca="1">IFERROR(__xludf.DUMMYFUNCTION("IFERROR(GOOGLEFINANCE(TRIM(F21)&amp;"":"" &amp; TRIM(B21),""low52""),AE21)"),149.55)</f>
        <v>149.55000000000001</v>
      </c>
      <c r="AI21" s="1">
        <f ca="1">IFERROR(__xludf.DUMMYFUNCTION("IFERROR(GOOGLEFINANCE(B21,""eps""),0)"),3.37)</f>
        <v>3.37</v>
      </c>
      <c r="AJ21" s="1"/>
      <c r="AK21" s="1" t="s">
        <v>113</v>
      </c>
      <c r="AL21" s="9">
        <f>IF(AA21&lt;&gt;AB21,1,0)</f>
        <v>1</v>
      </c>
    </row>
    <row r="22" spans="1:38" ht="15.75" customHeight="1" x14ac:dyDescent="0.25">
      <c r="A22" s="1" t="s">
        <v>114</v>
      </c>
      <c r="B22" s="1" t="s">
        <v>115</v>
      </c>
      <c r="C22" s="1" t="s">
        <v>99</v>
      </c>
      <c r="D22" s="1" t="s">
        <v>99</v>
      </c>
      <c r="E22" s="6">
        <v>43.73</v>
      </c>
      <c r="F22" s="1" t="s">
        <v>53</v>
      </c>
      <c r="G22" s="6">
        <f ca="1">IFERROR(__xludf.DUMMYFUNCTION("iferror(GOOGLEFINANCE(TRIM(F22)&amp;"":"" &amp; TRIM(B22), ""price""),0
)"),0)</f>
        <v>0</v>
      </c>
      <c r="H22" s="6">
        <v>14</v>
      </c>
      <c r="I22" s="6">
        <f t="shared" ca="1" si="0"/>
        <v>14</v>
      </c>
      <c r="J22" s="6">
        <f ca="1">IFERROR(__xludf.DUMMYFUNCTION("IFERROR(GOOGLEFINANCE(B22, ""volume""), 0)"),0)</f>
        <v>0</v>
      </c>
      <c r="K22" s="6">
        <v>0.94</v>
      </c>
      <c r="L22" s="6">
        <f ca="1">IFERROR(__xludf.DUMMYFUNCTION("IFERROR(GOOGLEFINANCE(B22,""changepct""),K22)"),0.94)</f>
        <v>0.94</v>
      </c>
      <c r="M22" s="6">
        <f ca="1">IFERROR(__xludf.DUMMYFUNCTION("IFERROR(GOOGLEFINANCE(B22,""change""),0)"),0)</f>
        <v>0</v>
      </c>
      <c r="N22" s="6">
        <v>1</v>
      </c>
      <c r="O22" s="7">
        <v>45536</v>
      </c>
      <c r="P22" s="6">
        <v>135.66</v>
      </c>
      <c r="Q22" s="6">
        <v>179.38</v>
      </c>
      <c r="R22" s="7">
        <v>45536</v>
      </c>
      <c r="S22" s="6">
        <v>2.74</v>
      </c>
      <c r="T22" s="6">
        <v>-0.27</v>
      </c>
      <c r="U22" s="7">
        <v>45536</v>
      </c>
      <c r="V22" s="6">
        <v>0</v>
      </c>
      <c r="W22" s="6">
        <f ca="1">IFERROR(__xludf.DUMMYFUNCTION("IFERROR(GOOGLEFINANCE(B22,""pe""),V22)"),0)</f>
        <v>0</v>
      </c>
      <c r="X22" s="9"/>
      <c r="Y22" s="6">
        <v>1.04</v>
      </c>
      <c r="Z22" s="6">
        <v>2</v>
      </c>
      <c r="AA22" s="8">
        <v>44986</v>
      </c>
      <c r="AB22" s="4">
        <v>3.62</v>
      </c>
      <c r="AC22" s="6">
        <v>-5.23</v>
      </c>
      <c r="AD22" s="6">
        <v>1.35</v>
      </c>
      <c r="AE22" s="1">
        <v>0</v>
      </c>
      <c r="AF22" s="1">
        <f ca="1">IFERROR(__xludf.DUMMYFUNCTION("IFERROR(GOOGLEFINANCE(TRIM(F22)&amp;"":"" &amp; TRIM(B22),""high52""),AE22)"),0)</f>
        <v>0</v>
      </c>
      <c r="AG22" s="1">
        <v>0</v>
      </c>
      <c r="AH22" s="1">
        <f ca="1">IFERROR(__xludf.DUMMYFUNCTION("IFERROR(GOOGLEFINANCE(TRIM(F22)&amp;"":"" &amp; TRIM(B22),""low52""),AE22)"),0)</f>
        <v>0</v>
      </c>
      <c r="AI22" s="1">
        <f ca="1">IFERROR(__xludf.DUMMYFUNCTION("IFERROR(GOOGLEFINANCE(B22,""eps""),0)"),0)</f>
        <v>0</v>
      </c>
      <c r="AJ22" s="1"/>
      <c r="AK22" s="1" t="s">
        <v>116</v>
      </c>
      <c r="AL22" s="1" t="b">
        <f t="shared" ref="AL22:AL24" si="4">ISNUMBER(AA22)</f>
        <v>1</v>
      </c>
    </row>
    <row r="23" spans="1:38" ht="15.75" customHeight="1" x14ac:dyDescent="0.25">
      <c r="A23" s="1" t="s">
        <v>117</v>
      </c>
      <c r="B23" s="1" t="s">
        <v>118</v>
      </c>
      <c r="C23" s="1" t="s">
        <v>99</v>
      </c>
      <c r="D23" s="1" t="s">
        <v>99</v>
      </c>
      <c r="E23" s="6">
        <v>20.78</v>
      </c>
      <c r="F23" s="1" t="s">
        <v>53</v>
      </c>
      <c r="G23" s="6">
        <f ca="1">IFERROR(__xludf.DUMMYFUNCTION("iferror(GOOGLEFINANCE(TRIM(F23)&amp;"":"" &amp; TRIM(B23), ""price""),0
)"),0)</f>
        <v>0</v>
      </c>
      <c r="H23" s="6">
        <v>61.49</v>
      </c>
      <c r="I23" s="6">
        <f t="shared" ca="1" si="0"/>
        <v>61.49</v>
      </c>
      <c r="J23" s="6">
        <f ca="1">IFERROR(__xludf.DUMMYFUNCTION("IFERROR(GOOGLEFINANCE(B23, ""volume""), 0)"),0)</f>
        <v>0</v>
      </c>
      <c r="K23" s="6">
        <v>3.21</v>
      </c>
      <c r="L23" s="6">
        <f ca="1">IFERROR(__xludf.DUMMYFUNCTION("IFERROR(GOOGLEFINANCE(B23,""changepct""),K23)"),3.21)</f>
        <v>3.21</v>
      </c>
      <c r="M23" s="6">
        <f ca="1">IFERROR(__xludf.DUMMYFUNCTION("IFERROR(GOOGLEFINANCE(B23,""change""),0)"),0)</f>
        <v>0</v>
      </c>
      <c r="N23" s="6">
        <v>1</v>
      </c>
      <c r="O23" s="7">
        <v>45536</v>
      </c>
      <c r="P23" s="6">
        <v>7.11</v>
      </c>
      <c r="Q23" s="6">
        <v>27.89</v>
      </c>
      <c r="R23" s="7">
        <v>45536</v>
      </c>
      <c r="S23" s="6">
        <v>1.52</v>
      </c>
      <c r="T23" s="6">
        <v>0.3</v>
      </c>
      <c r="U23" s="7">
        <v>45536</v>
      </c>
      <c r="V23" s="6">
        <v>69.959999999999994</v>
      </c>
      <c r="W23" s="6">
        <f ca="1">IFERROR(__xludf.DUMMYFUNCTION("IFERROR(GOOGLEFINANCE(B23,""pe""),V23)"),69.96)</f>
        <v>69.959999999999994</v>
      </c>
      <c r="X23" s="9"/>
      <c r="Y23" s="6">
        <v>6.25</v>
      </c>
      <c r="Z23" s="6">
        <v>1</v>
      </c>
      <c r="AA23" s="8">
        <v>45352</v>
      </c>
      <c r="AB23" s="4">
        <v>2.33</v>
      </c>
      <c r="AC23" s="6">
        <v>4.6100000000000003</v>
      </c>
      <c r="AD23" s="6">
        <v>9.23</v>
      </c>
      <c r="AE23" s="1">
        <v>0</v>
      </c>
      <c r="AF23" s="1">
        <f ca="1">IFERROR(__xludf.DUMMYFUNCTION("IFERROR(GOOGLEFINANCE(TRIM(F23)&amp;"":"" &amp; TRIM(B23),""high52""),AE23)"),0)</f>
        <v>0</v>
      </c>
      <c r="AG23" s="1">
        <v>0</v>
      </c>
      <c r="AH23" s="1">
        <f ca="1">IFERROR(__xludf.DUMMYFUNCTION("IFERROR(GOOGLEFINANCE(TRIM(F23)&amp;"":"" &amp; TRIM(B23),""low52""),AE23)"),0)</f>
        <v>0</v>
      </c>
      <c r="AI23" s="1">
        <f ca="1">IFERROR(__xludf.DUMMYFUNCTION("IFERROR(GOOGLEFINANCE(B23,""eps""),0)"),0)</f>
        <v>0</v>
      </c>
      <c r="AJ23" s="1"/>
      <c r="AK23" s="1" t="s">
        <v>119</v>
      </c>
      <c r="AL23" s="1" t="b">
        <f t="shared" si="4"/>
        <v>1</v>
      </c>
    </row>
    <row r="24" spans="1:38" ht="15.75" customHeight="1" x14ac:dyDescent="0.25">
      <c r="A24" s="1" t="s">
        <v>120</v>
      </c>
      <c r="B24" s="1" t="s">
        <v>121</v>
      </c>
      <c r="C24" s="1" t="s">
        <v>99</v>
      </c>
      <c r="D24" s="1" t="s">
        <v>99</v>
      </c>
      <c r="E24" s="6">
        <v>6.51</v>
      </c>
      <c r="F24" s="1" t="s">
        <v>53</v>
      </c>
      <c r="G24" s="6">
        <f ca="1">IFERROR(__xludf.DUMMYFUNCTION("iferror(GOOGLEFINANCE(TRIM(F24)&amp;"":"" &amp; TRIM(B24), ""price""),0
)"),0)</f>
        <v>0</v>
      </c>
      <c r="H24" s="6">
        <v>4.37</v>
      </c>
      <c r="I24" s="6">
        <f t="shared" ca="1" si="0"/>
        <v>4.37</v>
      </c>
      <c r="J24" s="6">
        <f ca="1">IFERROR(__xludf.DUMMYFUNCTION("IFERROR(GOOGLEFINANCE(B24, ""volume""), 0)"),0)</f>
        <v>0</v>
      </c>
      <c r="K24" s="6">
        <v>-5</v>
      </c>
      <c r="L24" s="6">
        <f ca="1">IFERROR(__xludf.DUMMYFUNCTION("IFERROR(GOOGLEFINANCE(B24,""changepct""),K24)"),-5)</f>
        <v>-5</v>
      </c>
      <c r="M24" s="6">
        <f ca="1">IFERROR(__xludf.DUMMYFUNCTION("IFERROR(GOOGLEFINANCE(B24,""change""),0)"),0)</f>
        <v>0</v>
      </c>
      <c r="N24" s="6">
        <v>1</v>
      </c>
      <c r="O24" s="7">
        <v>45536</v>
      </c>
      <c r="P24" s="9"/>
      <c r="Q24" s="6">
        <v>6.51</v>
      </c>
      <c r="R24" s="7">
        <v>45536</v>
      </c>
      <c r="S24" s="6">
        <v>0</v>
      </c>
      <c r="T24" s="6">
        <v>-0.24</v>
      </c>
      <c r="U24" s="7">
        <v>45536</v>
      </c>
      <c r="V24" s="6">
        <v>0</v>
      </c>
      <c r="W24" s="6">
        <f ca="1">IFERROR(__xludf.DUMMYFUNCTION("IFERROR(GOOGLEFINANCE(B24,""pe""),V24)"),0)</f>
        <v>0</v>
      </c>
      <c r="X24" s="6">
        <v>0</v>
      </c>
      <c r="Y24" s="6">
        <v>386.55</v>
      </c>
      <c r="Z24" s="6">
        <v>1</v>
      </c>
      <c r="AA24" s="8">
        <v>45352</v>
      </c>
      <c r="AB24" s="4">
        <v>0</v>
      </c>
      <c r="AC24" s="6">
        <v>-104.81</v>
      </c>
      <c r="AD24" s="6">
        <v>-104.33</v>
      </c>
      <c r="AE24" s="1">
        <v>0</v>
      </c>
      <c r="AF24" s="1">
        <f ca="1">IFERROR(__xludf.DUMMYFUNCTION("IFERROR(GOOGLEFINANCE(TRIM(F24)&amp;"":"" &amp; TRIM(B24),""high52""),AE24)"),0)</f>
        <v>0</v>
      </c>
      <c r="AG24" s="1">
        <v>0</v>
      </c>
      <c r="AH24" s="1">
        <f ca="1">IFERROR(__xludf.DUMMYFUNCTION("IFERROR(GOOGLEFINANCE(TRIM(F24)&amp;"":"" &amp; TRIM(B24),""low52""),AE24)"),0)</f>
        <v>0</v>
      </c>
      <c r="AI24" s="1">
        <f ca="1">IFERROR(__xludf.DUMMYFUNCTION("IFERROR(GOOGLEFINANCE(B24,""eps""),0)"),0)</f>
        <v>0</v>
      </c>
      <c r="AJ24" s="1"/>
      <c r="AK24" s="1" t="s">
        <v>122</v>
      </c>
      <c r="AL24" s="1" t="b">
        <f t="shared" si="4"/>
        <v>1</v>
      </c>
    </row>
    <row r="25" spans="1:38" ht="15.75" customHeight="1" x14ac:dyDescent="0.25">
      <c r="A25" s="1" t="s">
        <v>123</v>
      </c>
      <c r="B25" s="1" t="s">
        <v>124</v>
      </c>
      <c r="C25" s="1" t="s">
        <v>125</v>
      </c>
      <c r="D25" s="1" t="s">
        <v>125</v>
      </c>
      <c r="E25" s="6">
        <v>275.99</v>
      </c>
      <c r="F25" s="1" t="s">
        <v>40</v>
      </c>
      <c r="G25" s="6">
        <f ca="1">IFERROR(__xludf.DUMMYFUNCTION("iferror(GOOGLEFINANCE(TRIM(F25)&amp;"":"" &amp; TRIM(B25), ""price""),0
)"),46.1)</f>
        <v>46.1</v>
      </c>
      <c r="H25" s="6">
        <v>91.05</v>
      </c>
      <c r="I25" s="6">
        <f t="shared" ca="1" si="0"/>
        <v>46.1</v>
      </c>
      <c r="J25" s="6">
        <f ca="1">IFERROR(__xludf.DUMMYFUNCTION("IFERROR(GOOGLEFINANCE(B25, ""volume""), 0)"),21845)</f>
        <v>21845</v>
      </c>
      <c r="K25" s="6">
        <v>4.99</v>
      </c>
      <c r="L25" s="6">
        <f ca="1">IFERROR(__xludf.DUMMYFUNCTION("IFERROR(GOOGLEFINANCE(B25,""changepct""),K25)"),1.39)</f>
        <v>1.39</v>
      </c>
      <c r="M25" s="6">
        <f ca="1">IFERROR(__xludf.DUMMYFUNCTION("IFERROR(GOOGLEFINANCE(B25,""change""),0)"),0.63)</f>
        <v>0.63</v>
      </c>
      <c r="N25" s="6">
        <v>2</v>
      </c>
      <c r="O25" s="7">
        <v>45536</v>
      </c>
      <c r="P25" s="6">
        <v>4.17</v>
      </c>
      <c r="Q25" s="6">
        <v>280.16000000000003</v>
      </c>
      <c r="R25" s="7">
        <v>45536</v>
      </c>
      <c r="S25" s="6">
        <v>33.340000000000003</v>
      </c>
      <c r="T25" s="6">
        <v>2.76</v>
      </c>
      <c r="U25" s="7">
        <v>45536</v>
      </c>
      <c r="V25" s="6">
        <v>100.43</v>
      </c>
      <c r="W25" s="6">
        <f ca="1">IFERROR(__xludf.DUMMYFUNCTION("IFERROR(GOOGLEFINANCE(B25,""pe""),V25)"),48.97)</f>
        <v>48.97</v>
      </c>
      <c r="X25" s="6">
        <v>4.93</v>
      </c>
      <c r="Y25" s="6">
        <v>8.76</v>
      </c>
      <c r="Z25" s="6">
        <v>2</v>
      </c>
      <c r="AA25" s="8">
        <v>45352</v>
      </c>
      <c r="AB25" s="4">
        <v>0.14000000000000001</v>
      </c>
      <c r="AC25" s="6">
        <v>4.5</v>
      </c>
      <c r="AD25" s="6">
        <v>9.66</v>
      </c>
      <c r="AE25" s="1">
        <v>0</v>
      </c>
      <c r="AF25" s="1">
        <f ca="1">IFERROR(__xludf.DUMMYFUNCTION("IFERROR(GOOGLEFINANCE(TRIM(F25)&amp;"":"" &amp; TRIM(B25),""high52""),AE25)"),76.79)</f>
        <v>76.790000000000006</v>
      </c>
      <c r="AG25" s="1">
        <v>0</v>
      </c>
      <c r="AH25" s="1">
        <f ca="1">IFERROR(__xludf.DUMMYFUNCTION("IFERROR(GOOGLEFINANCE(TRIM(F25)&amp;"":"" &amp; TRIM(B25),""low52""),AE25)"),44)</f>
        <v>44</v>
      </c>
      <c r="AI25" s="1">
        <f ca="1">IFERROR(__xludf.DUMMYFUNCTION("IFERROR(GOOGLEFINANCE(B25,""eps""),0)"),0.94)</f>
        <v>0.94</v>
      </c>
      <c r="AJ25" s="1"/>
      <c r="AK25" s="1" t="s">
        <v>126</v>
      </c>
      <c r="AL25" s="9">
        <f t="shared" ref="AL25:AL26" si="5">IF(AA25&lt;&gt;AB25,1,0)</f>
        <v>1</v>
      </c>
    </row>
    <row r="26" spans="1:38" ht="15.75" customHeight="1" x14ac:dyDescent="0.25">
      <c r="A26" s="1" t="s">
        <v>127</v>
      </c>
      <c r="B26" s="1" t="s">
        <v>128</v>
      </c>
      <c r="C26" s="1" t="s">
        <v>106</v>
      </c>
      <c r="D26" s="1" t="s">
        <v>106</v>
      </c>
      <c r="E26" s="6">
        <v>4159.63</v>
      </c>
      <c r="F26" s="1" t="s">
        <v>40</v>
      </c>
      <c r="G26" s="6">
        <f ca="1">IFERROR(__xludf.DUMMYFUNCTION("iferror(GOOGLEFINANCE(TRIM(F26)&amp;"":"" &amp; TRIM(B26), ""price""),0
)"),384)</f>
        <v>384</v>
      </c>
      <c r="H26" s="6">
        <v>457.35</v>
      </c>
      <c r="I26" s="6">
        <f t="shared" ca="1" si="0"/>
        <v>384</v>
      </c>
      <c r="J26" s="6">
        <f ca="1">IFERROR(__xludf.DUMMYFUNCTION("IFERROR(GOOGLEFINANCE(B26, ""volume""), 0)"),59865)</f>
        <v>59865</v>
      </c>
      <c r="K26" s="6">
        <v>0.24</v>
      </c>
      <c r="L26" s="6">
        <f ca="1">IFERROR(__xludf.DUMMYFUNCTION("IFERROR(GOOGLEFINANCE(B26,""changepct""),K26)"),0.75)</f>
        <v>0.75</v>
      </c>
      <c r="M26" s="6">
        <f ca="1">IFERROR(__xludf.DUMMYFUNCTION("IFERROR(GOOGLEFINANCE(B26,""change""),0)"),2.85)</f>
        <v>2.85</v>
      </c>
      <c r="N26" s="6">
        <v>2</v>
      </c>
      <c r="O26" s="7">
        <v>45536</v>
      </c>
      <c r="P26" s="6">
        <v>588.11</v>
      </c>
      <c r="Q26" s="6">
        <v>4733.62</v>
      </c>
      <c r="R26" s="7">
        <v>45536</v>
      </c>
      <c r="S26" s="6">
        <v>2379.6</v>
      </c>
      <c r="T26" s="6">
        <v>152.25</v>
      </c>
      <c r="U26" s="7">
        <v>45536</v>
      </c>
      <c r="V26" s="6">
        <v>27.31</v>
      </c>
      <c r="W26" s="6">
        <f ca="1">IFERROR(__xludf.DUMMYFUNCTION("IFERROR(GOOGLEFINANCE(B26,""pe""),V26)"),17.7)</f>
        <v>17.7</v>
      </c>
      <c r="X26" s="6">
        <v>1.89</v>
      </c>
      <c r="Y26" s="6">
        <v>3.26</v>
      </c>
      <c r="Z26" s="6">
        <v>2</v>
      </c>
      <c r="AA26" s="8">
        <v>45352</v>
      </c>
      <c r="AB26" s="4">
        <v>0.44</v>
      </c>
      <c r="AC26" s="6">
        <v>13.87</v>
      </c>
      <c r="AD26" s="6">
        <v>15.01</v>
      </c>
      <c r="AE26" s="1">
        <v>0</v>
      </c>
      <c r="AF26" s="1">
        <f ca="1">IFERROR(__xludf.DUMMYFUNCTION("IFERROR(GOOGLEFINANCE(TRIM(F26)&amp;"":"" &amp; TRIM(B26),""high52""),AE26)"),564.05)</f>
        <v>564.04999999999995</v>
      </c>
      <c r="AG26" s="1">
        <v>0</v>
      </c>
      <c r="AH26" s="1">
        <f ca="1">IFERROR(__xludf.DUMMYFUNCTION("IFERROR(GOOGLEFINANCE(TRIM(F26)&amp;"":"" &amp; TRIM(B26),""low52""),AE26)"),312)</f>
        <v>312</v>
      </c>
      <c r="AI26" s="1">
        <f ca="1">IFERROR(__xludf.DUMMYFUNCTION("IFERROR(GOOGLEFINANCE(B26,""eps""),0)"),21.69)</f>
        <v>21.69</v>
      </c>
      <c r="AJ26" s="1"/>
      <c r="AK26" s="1" t="s">
        <v>129</v>
      </c>
      <c r="AL26" s="9">
        <f t="shared" si="5"/>
        <v>1</v>
      </c>
    </row>
    <row r="27" spans="1:38" ht="15.75" customHeight="1" x14ac:dyDescent="0.25">
      <c r="A27" s="1" t="s">
        <v>130</v>
      </c>
      <c r="B27" s="1" t="s">
        <v>131</v>
      </c>
      <c r="C27" s="1" t="s">
        <v>99</v>
      </c>
      <c r="D27" s="1" t="s">
        <v>99</v>
      </c>
      <c r="E27" s="6">
        <v>25.13</v>
      </c>
      <c r="F27" s="1" t="s">
        <v>53</v>
      </c>
      <c r="G27" s="6">
        <f ca="1">IFERROR(__xludf.DUMMYFUNCTION("iferror(GOOGLEFINANCE(TRIM(F27)&amp;"":"" &amp; TRIM(B27), ""price""),0
)"),0)</f>
        <v>0</v>
      </c>
      <c r="H27" s="6">
        <v>82.9</v>
      </c>
      <c r="I27" s="6">
        <f t="shared" ca="1" si="0"/>
        <v>82.9</v>
      </c>
      <c r="J27" s="6">
        <f ca="1">IFERROR(__xludf.DUMMYFUNCTION("IFERROR(GOOGLEFINANCE(B27, ""volume""), 0)"),0)</f>
        <v>0</v>
      </c>
      <c r="K27" s="6">
        <v>0.75</v>
      </c>
      <c r="L27" s="6">
        <f ca="1">IFERROR(__xludf.DUMMYFUNCTION("IFERROR(GOOGLEFINANCE(B27,""changepct""),K27)"),0.75)</f>
        <v>0.75</v>
      </c>
      <c r="M27" s="6">
        <f ca="1">IFERROR(__xludf.DUMMYFUNCTION("IFERROR(GOOGLEFINANCE(B27,""change""),0)"),0)</f>
        <v>0</v>
      </c>
      <c r="N27" s="6">
        <v>1</v>
      </c>
      <c r="O27" s="7">
        <v>45536</v>
      </c>
      <c r="P27" s="9"/>
      <c r="Q27" s="6">
        <v>24.71</v>
      </c>
      <c r="R27" s="7">
        <v>45536</v>
      </c>
      <c r="S27" s="6">
        <v>0.4</v>
      </c>
      <c r="T27" s="6">
        <v>0.25</v>
      </c>
      <c r="U27" s="7">
        <v>45536</v>
      </c>
      <c r="V27" s="6">
        <v>98.95</v>
      </c>
      <c r="W27" s="6">
        <f ca="1">IFERROR(__xludf.DUMMYFUNCTION("IFERROR(GOOGLEFINANCE(B27,""pe""),V27)"),98.95)</f>
        <v>98.95</v>
      </c>
      <c r="X27" s="6">
        <v>-2.35</v>
      </c>
      <c r="Y27" s="6">
        <v>6.58</v>
      </c>
      <c r="Z27" s="6">
        <v>1</v>
      </c>
      <c r="AA27" s="8">
        <v>45352</v>
      </c>
      <c r="AB27" s="4">
        <v>0</v>
      </c>
      <c r="AC27" s="6">
        <v>0.43</v>
      </c>
      <c r="AD27" s="6">
        <v>0.45</v>
      </c>
      <c r="AE27" s="1">
        <v>0</v>
      </c>
      <c r="AF27" s="1">
        <f ca="1">IFERROR(__xludf.DUMMYFUNCTION("IFERROR(GOOGLEFINANCE(TRIM(F27)&amp;"":"" &amp; TRIM(B27),""high52""),AE27)"),0)</f>
        <v>0</v>
      </c>
      <c r="AG27" s="1">
        <v>0</v>
      </c>
      <c r="AH27" s="1">
        <f ca="1">IFERROR(__xludf.DUMMYFUNCTION("IFERROR(GOOGLEFINANCE(TRIM(F27)&amp;"":"" &amp; TRIM(B27),""low52""),AE27)"),0)</f>
        <v>0</v>
      </c>
      <c r="AI27" s="1">
        <f ca="1">IFERROR(__xludf.DUMMYFUNCTION("IFERROR(GOOGLEFINANCE(B27,""eps""),0)"),0)</f>
        <v>0</v>
      </c>
      <c r="AJ27" s="1"/>
      <c r="AK27" s="1" t="s">
        <v>132</v>
      </c>
      <c r="AL27" s="1" t="b">
        <f t="shared" ref="AL27:AL30" si="6">ISNUMBER(AA27)</f>
        <v>1</v>
      </c>
    </row>
    <row r="28" spans="1:38" ht="15" x14ac:dyDescent="0.25">
      <c r="A28" s="1" t="s">
        <v>133</v>
      </c>
      <c r="B28" s="1" t="s">
        <v>134</v>
      </c>
      <c r="C28" s="1" t="s">
        <v>135</v>
      </c>
      <c r="D28" s="1" t="s">
        <v>135</v>
      </c>
      <c r="E28" s="6">
        <v>15050.01</v>
      </c>
      <c r="F28" s="1" t="s">
        <v>40</v>
      </c>
      <c r="G28" s="6">
        <f ca="1">IFERROR(__xludf.DUMMYFUNCTION("iferror(GOOGLEFINANCE(TRIM(F28)&amp;"":"" &amp; TRIM(B28), ""price""),0
)"),375)</f>
        <v>375</v>
      </c>
      <c r="H28" s="6">
        <v>416.9</v>
      </c>
      <c r="I28" s="6">
        <f t="shared" ca="1" si="0"/>
        <v>375</v>
      </c>
      <c r="J28" s="6">
        <f ca="1">IFERROR(__xludf.DUMMYFUNCTION("IFERROR(GOOGLEFINANCE(B28, ""volume""), 0)"),733767)</f>
        <v>733767</v>
      </c>
      <c r="K28" s="6">
        <v>0.4</v>
      </c>
      <c r="L28" s="6">
        <f ca="1">IFERROR(__xludf.DUMMYFUNCTION("IFERROR(GOOGLEFINANCE(B28,""changepct""),K28)"),1.16)</f>
        <v>1.1599999999999999</v>
      </c>
      <c r="M28" s="6">
        <f ca="1">IFERROR(__xludf.DUMMYFUNCTION("IFERROR(GOOGLEFINANCE(B28,""change""),0)"),4.3)</f>
        <v>4.3</v>
      </c>
      <c r="N28" s="6">
        <v>2</v>
      </c>
      <c r="O28" s="7">
        <v>45536</v>
      </c>
      <c r="P28" s="6">
        <v>3825</v>
      </c>
      <c r="Q28" s="6">
        <v>18551.009999999998</v>
      </c>
      <c r="R28" s="7">
        <v>45536</v>
      </c>
      <c r="S28" s="6">
        <v>6988</v>
      </c>
      <c r="T28" s="6">
        <v>445</v>
      </c>
      <c r="U28" s="7">
        <v>45536</v>
      </c>
      <c r="V28" s="6">
        <v>33.82</v>
      </c>
      <c r="W28" s="6">
        <f ca="1">IFERROR(__xludf.DUMMYFUNCTION("IFERROR(GOOGLEFINANCE(B28,""pe""),V28)"),46.82)</f>
        <v>46.82</v>
      </c>
      <c r="X28" s="6">
        <v>-10.28</v>
      </c>
      <c r="Y28" s="6">
        <v>2.76</v>
      </c>
      <c r="Z28" s="6">
        <v>2</v>
      </c>
      <c r="AA28" s="8">
        <v>45352</v>
      </c>
      <c r="AB28" s="4">
        <v>0.6</v>
      </c>
      <c r="AC28" s="6">
        <v>8.16</v>
      </c>
      <c r="AD28" s="6">
        <v>7.46</v>
      </c>
      <c r="AE28" s="1">
        <v>0</v>
      </c>
      <c r="AF28" s="1">
        <f ca="1">IFERROR(__xludf.DUMMYFUNCTION("IFERROR(GOOGLEFINANCE(TRIM(F28)&amp;"":"" &amp; TRIM(B28),""high52""),AE28)"),495)</f>
        <v>495</v>
      </c>
      <c r="AG28" s="1">
        <v>0</v>
      </c>
      <c r="AH28" s="1">
        <f ca="1">IFERROR(__xludf.DUMMYFUNCTION("IFERROR(GOOGLEFINANCE(TRIM(F28)&amp;"":"" &amp; TRIM(B28),""low52""),AE28)"),338.05)</f>
        <v>338.05</v>
      </c>
      <c r="AI28" s="1">
        <f ca="1">IFERROR(__xludf.DUMMYFUNCTION("IFERROR(GOOGLEFINANCE(B28,""eps""),0)"),8.01)</f>
        <v>8.01</v>
      </c>
      <c r="AJ28" s="1"/>
      <c r="AK28" s="1" t="s">
        <v>136</v>
      </c>
      <c r="AL28" s="1" t="b">
        <f t="shared" si="6"/>
        <v>1</v>
      </c>
    </row>
    <row r="29" spans="1:38" ht="15" x14ac:dyDescent="0.25">
      <c r="A29" s="1" t="s">
        <v>137</v>
      </c>
      <c r="B29" s="1" t="s">
        <v>138</v>
      </c>
      <c r="C29" s="1" t="s">
        <v>99</v>
      </c>
      <c r="D29" s="1" t="s">
        <v>99</v>
      </c>
      <c r="E29" s="6">
        <v>113.55</v>
      </c>
      <c r="F29" s="1" t="s">
        <v>53</v>
      </c>
      <c r="G29" s="6">
        <f ca="1">IFERROR(__xludf.DUMMYFUNCTION("iferror(GOOGLEFINANCE(TRIM(F29)&amp;"":"" &amp; TRIM(B29), ""price""),0
)"),0)</f>
        <v>0</v>
      </c>
      <c r="H29" s="6">
        <v>20.100000000000001</v>
      </c>
      <c r="I29" s="6">
        <f t="shared" ca="1" si="0"/>
        <v>20.100000000000001</v>
      </c>
      <c r="J29" s="6">
        <f ca="1">IFERROR(__xludf.DUMMYFUNCTION("IFERROR(GOOGLEFINANCE(B29, ""volume""), 0)"),0)</f>
        <v>0</v>
      </c>
      <c r="K29" s="6">
        <v>2.4500000000000002</v>
      </c>
      <c r="L29" s="6">
        <f ca="1">IFERROR(__xludf.DUMMYFUNCTION("IFERROR(GOOGLEFINANCE(B29,""changepct""),K29)"),2.45)</f>
        <v>2.4500000000000002</v>
      </c>
      <c r="M29" s="6">
        <f ca="1">IFERROR(__xludf.DUMMYFUNCTION("IFERROR(GOOGLEFINANCE(B29,""change""),0)"),0)</f>
        <v>0</v>
      </c>
      <c r="N29" s="6">
        <v>1</v>
      </c>
      <c r="O29" s="7">
        <v>45536</v>
      </c>
      <c r="P29" s="9"/>
      <c r="Q29" s="6">
        <v>110.2</v>
      </c>
      <c r="R29" s="7">
        <v>45536</v>
      </c>
      <c r="S29" s="6">
        <v>47.88</v>
      </c>
      <c r="T29" s="6">
        <v>6.25</v>
      </c>
      <c r="U29" s="7">
        <v>45536</v>
      </c>
      <c r="V29" s="6">
        <v>18.16</v>
      </c>
      <c r="W29" s="6">
        <f ca="1">IFERROR(__xludf.DUMMYFUNCTION("IFERROR(GOOGLEFINANCE(B29,""pe""),V29)"),18.16)</f>
        <v>18.16</v>
      </c>
      <c r="X29" s="12"/>
      <c r="Y29" s="6">
        <v>0.81</v>
      </c>
      <c r="Z29" s="6">
        <v>2</v>
      </c>
      <c r="AA29" s="8">
        <v>45352</v>
      </c>
      <c r="AB29" s="4">
        <v>0</v>
      </c>
      <c r="AC29" s="6">
        <v>3.62</v>
      </c>
      <c r="AD29" s="6">
        <v>3.63</v>
      </c>
      <c r="AE29" s="1">
        <v>0</v>
      </c>
      <c r="AF29" s="1">
        <f ca="1">IFERROR(__xludf.DUMMYFUNCTION("IFERROR(GOOGLEFINANCE(TRIM(F29)&amp;"":"" &amp; TRIM(B29),""high52""),AE29)"),0)</f>
        <v>0</v>
      </c>
      <c r="AG29" s="1">
        <v>0</v>
      </c>
      <c r="AH29" s="1">
        <f ca="1">IFERROR(__xludf.DUMMYFUNCTION("IFERROR(GOOGLEFINANCE(TRIM(F29)&amp;"":"" &amp; TRIM(B29),""low52""),AE29)"),0)</f>
        <v>0</v>
      </c>
      <c r="AI29" s="1">
        <f ca="1">IFERROR(__xludf.DUMMYFUNCTION("IFERROR(GOOGLEFINANCE(B29,""eps""),0)"),0)</f>
        <v>0</v>
      </c>
      <c r="AJ29" s="1"/>
      <c r="AK29" s="1" t="s">
        <v>139</v>
      </c>
      <c r="AL29" s="1" t="b">
        <f t="shared" si="6"/>
        <v>1</v>
      </c>
    </row>
    <row r="30" spans="1:38" ht="15" x14ac:dyDescent="0.25">
      <c r="A30" s="1" t="s">
        <v>140</v>
      </c>
      <c r="B30" s="1" t="s">
        <v>141</v>
      </c>
      <c r="C30" s="1" t="s">
        <v>99</v>
      </c>
      <c r="D30" s="1" t="s">
        <v>99</v>
      </c>
      <c r="E30" s="6">
        <v>24.91</v>
      </c>
      <c r="F30" s="1" t="s">
        <v>53</v>
      </c>
      <c r="G30" s="6">
        <f ca="1">IFERROR(__xludf.DUMMYFUNCTION("iferror(GOOGLEFINANCE(TRIM(F30)&amp;"":"" &amp; TRIM(B30), ""price""),0
)"),0)</f>
        <v>0</v>
      </c>
      <c r="H30" s="6">
        <v>55</v>
      </c>
      <c r="I30" s="6">
        <f t="shared" ca="1" si="0"/>
        <v>55</v>
      </c>
      <c r="J30" s="6">
        <f ca="1">IFERROR(__xludf.DUMMYFUNCTION("IFERROR(GOOGLEFINANCE(B30, ""volume""), 0)"),0)</f>
        <v>0</v>
      </c>
      <c r="K30" s="6">
        <v>-2.83</v>
      </c>
      <c r="L30" s="6">
        <f ca="1">IFERROR(__xludf.DUMMYFUNCTION("IFERROR(GOOGLEFINANCE(B30,""changepct""),K30)"),-2.83)</f>
        <v>-2.83</v>
      </c>
      <c r="M30" s="6">
        <f ca="1">IFERROR(__xludf.DUMMYFUNCTION("IFERROR(GOOGLEFINANCE(B30,""change""),0)"),0)</f>
        <v>0</v>
      </c>
      <c r="N30" s="6">
        <v>1</v>
      </c>
      <c r="O30" s="7">
        <v>45536</v>
      </c>
      <c r="P30" s="12"/>
      <c r="Q30" s="6">
        <v>24.91</v>
      </c>
      <c r="R30" s="7">
        <v>45536</v>
      </c>
      <c r="S30" s="6">
        <v>0.08</v>
      </c>
      <c r="T30" s="6">
        <v>0.55000000000000004</v>
      </c>
      <c r="U30" s="7">
        <v>45536</v>
      </c>
      <c r="V30" s="6">
        <v>45.7</v>
      </c>
      <c r="W30" s="6">
        <f ca="1">IFERROR(__xludf.DUMMYFUNCTION("IFERROR(GOOGLEFINANCE(B30,""pe""),V30)"),45.7)</f>
        <v>45.7</v>
      </c>
      <c r="X30" s="6">
        <v>1.06</v>
      </c>
      <c r="Y30" s="6">
        <v>2.02</v>
      </c>
      <c r="Z30" s="6">
        <v>1</v>
      </c>
      <c r="AA30" s="8">
        <v>44986</v>
      </c>
      <c r="AB30" s="4">
        <v>0</v>
      </c>
      <c r="AC30" s="6">
        <v>145.69999999999999</v>
      </c>
      <c r="AD30" s="6">
        <v>146.43</v>
      </c>
      <c r="AE30" s="1">
        <v>0</v>
      </c>
      <c r="AF30" s="1">
        <f ca="1">IFERROR(__xludf.DUMMYFUNCTION("IFERROR(GOOGLEFINANCE(TRIM(F30)&amp;"":"" &amp; TRIM(B30),""high52""),AE30)"),0)</f>
        <v>0</v>
      </c>
      <c r="AG30" s="1">
        <v>0</v>
      </c>
      <c r="AH30" s="1">
        <f ca="1">IFERROR(__xludf.DUMMYFUNCTION("IFERROR(GOOGLEFINANCE(TRIM(F30)&amp;"":"" &amp; TRIM(B30),""low52""),AE30)"),0)</f>
        <v>0</v>
      </c>
      <c r="AI30" s="1">
        <f ca="1">IFERROR(__xludf.DUMMYFUNCTION("IFERROR(GOOGLEFINANCE(B30,""eps""),0)"),0)</f>
        <v>0</v>
      </c>
      <c r="AJ30" s="1"/>
      <c r="AK30" s="1" t="s">
        <v>142</v>
      </c>
      <c r="AL30" s="1" t="b">
        <f t="shared" si="6"/>
        <v>1</v>
      </c>
    </row>
    <row r="31" spans="1:38" ht="15" x14ac:dyDescent="0.25">
      <c r="A31" s="1" t="s">
        <v>143</v>
      </c>
      <c r="B31" s="1" t="s">
        <v>144</v>
      </c>
      <c r="C31" s="1" t="s">
        <v>106</v>
      </c>
      <c r="D31" s="1" t="s">
        <v>106</v>
      </c>
      <c r="E31" s="6">
        <v>6270.87</v>
      </c>
      <c r="F31" s="1" t="s">
        <v>40</v>
      </c>
      <c r="G31" s="6">
        <f ca="1">IFERROR(__xludf.DUMMYFUNCTION("iferror(GOOGLEFINANCE(TRIM(F31)&amp;"":"" &amp; TRIM(B31), ""price""),0
)"),766)</f>
        <v>766</v>
      </c>
      <c r="H31" s="6">
        <v>689.55</v>
      </c>
      <c r="I31" s="6">
        <f t="shared" ca="1" si="0"/>
        <v>766</v>
      </c>
      <c r="J31" s="6">
        <f ca="1">IFERROR(__xludf.DUMMYFUNCTION("IFERROR(GOOGLEFINANCE(B31, ""volume""), 0)"),311548)</f>
        <v>311548</v>
      </c>
      <c r="K31" s="6">
        <v>-0.39</v>
      </c>
      <c r="L31" s="6">
        <f ca="1">IFERROR(__xludf.DUMMYFUNCTION("IFERROR(GOOGLEFINANCE(B31,""changepct""),K31)"),3.96)</f>
        <v>3.96</v>
      </c>
      <c r="M31" s="6">
        <f ca="1">IFERROR(__xludf.DUMMYFUNCTION("IFERROR(GOOGLEFINANCE(B31,""change""),0)"),29.2)</f>
        <v>29.2</v>
      </c>
      <c r="N31" s="6">
        <v>2</v>
      </c>
      <c r="O31" s="7">
        <v>45536</v>
      </c>
      <c r="P31" s="6">
        <v>367.5</v>
      </c>
      <c r="Q31" s="6">
        <v>6597.02</v>
      </c>
      <c r="R31" s="7">
        <v>45536</v>
      </c>
      <c r="S31" s="6">
        <v>1967.98</v>
      </c>
      <c r="T31" s="6">
        <v>228.09</v>
      </c>
      <c r="U31" s="7">
        <v>45536</v>
      </c>
      <c r="V31" s="6">
        <v>27.49</v>
      </c>
      <c r="W31" s="6">
        <f ca="1">IFERROR(__xludf.DUMMYFUNCTION("IFERROR(GOOGLEFINANCE(B31,""pe""),V31)"),28.96)</f>
        <v>28.96</v>
      </c>
      <c r="X31" s="9"/>
      <c r="Y31" s="6">
        <v>3.38</v>
      </c>
      <c r="Z31" s="6">
        <v>2</v>
      </c>
      <c r="AA31" s="8">
        <v>45352</v>
      </c>
      <c r="AB31" s="4">
        <v>0.15</v>
      </c>
      <c r="AC31" s="6">
        <v>13.08</v>
      </c>
      <c r="AD31" s="6">
        <v>16.75</v>
      </c>
      <c r="AE31" s="1">
        <v>0</v>
      </c>
      <c r="AF31" s="1">
        <f ca="1">IFERROR(__xludf.DUMMYFUNCTION("IFERROR(GOOGLEFINANCE(TRIM(F31)&amp;"":"" &amp; TRIM(B31),""high52""),AE31)"),971)</f>
        <v>971</v>
      </c>
      <c r="AG31" s="1">
        <v>0</v>
      </c>
      <c r="AH31" s="1">
        <f ca="1">IFERROR(__xludf.DUMMYFUNCTION("IFERROR(GOOGLEFINANCE(TRIM(F31)&amp;"":"" &amp; TRIM(B31),""low52""),AE31)"),573.95)</f>
        <v>573.95000000000005</v>
      </c>
      <c r="AI31" s="1">
        <f ca="1">IFERROR(__xludf.DUMMYFUNCTION("IFERROR(GOOGLEFINANCE(B31,""eps""),0)"),26.45)</f>
        <v>26.45</v>
      </c>
      <c r="AJ31" s="1"/>
      <c r="AK31" s="1" t="s">
        <v>145</v>
      </c>
      <c r="AL31" s="9">
        <f>IF(AA31&lt;&gt;AB31,1,0)</f>
        <v>1</v>
      </c>
    </row>
    <row r="32" spans="1:38" ht="15" x14ac:dyDescent="0.25">
      <c r="A32" s="1" t="s">
        <v>146</v>
      </c>
      <c r="B32" s="1" t="s">
        <v>147</v>
      </c>
      <c r="C32" s="1" t="s">
        <v>99</v>
      </c>
      <c r="D32" s="1" t="s">
        <v>99</v>
      </c>
      <c r="E32" s="6">
        <v>208.66</v>
      </c>
      <c r="F32" s="1" t="s">
        <v>53</v>
      </c>
      <c r="G32" s="6">
        <f ca="1">IFERROR(__xludf.DUMMYFUNCTION("iferror(GOOGLEFINANCE(TRIM(F32)&amp;"":"" &amp; TRIM(B32), ""price""),0
)"),0)</f>
        <v>0</v>
      </c>
      <c r="H32" s="6">
        <v>435.8</v>
      </c>
      <c r="I32" s="6">
        <f t="shared" ca="1" si="0"/>
        <v>435.8</v>
      </c>
      <c r="J32" s="6">
        <f ca="1">IFERROR(__xludf.DUMMYFUNCTION("IFERROR(GOOGLEFINANCE(B32, ""volume""), 0)"),0)</f>
        <v>0</v>
      </c>
      <c r="K32" s="6">
        <v>-3.16</v>
      </c>
      <c r="L32" s="6">
        <f ca="1">IFERROR(__xludf.DUMMYFUNCTION("IFERROR(GOOGLEFINANCE(B32,""changepct""),K32)"),-3.16)</f>
        <v>-3.16</v>
      </c>
      <c r="M32" s="6">
        <f ca="1">IFERROR(__xludf.DUMMYFUNCTION("IFERROR(GOOGLEFINANCE(B32,""change""),0)"),0)</f>
        <v>0</v>
      </c>
      <c r="N32" s="6">
        <v>1</v>
      </c>
      <c r="O32" s="7">
        <v>45536</v>
      </c>
      <c r="P32" s="6">
        <v>19.260000000000002</v>
      </c>
      <c r="Q32" s="6">
        <v>221.48</v>
      </c>
      <c r="R32" s="7">
        <v>45536</v>
      </c>
      <c r="S32" s="6">
        <v>167</v>
      </c>
      <c r="T32" s="6">
        <v>-19.98</v>
      </c>
      <c r="U32" s="7">
        <v>45536</v>
      </c>
      <c r="V32" s="6">
        <v>0</v>
      </c>
      <c r="W32" s="6">
        <f ca="1">IFERROR(__xludf.DUMMYFUNCTION("IFERROR(GOOGLEFINANCE(B32,""pe""),V32)"),0)</f>
        <v>0</v>
      </c>
      <c r="X32" s="9"/>
      <c r="Y32" s="6">
        <v>1.98</v>
      </c>
      <c r="Z32" s="6">
        <v>1</v>
      </c>
      <c r="AA32" s="13">
        <v>45352</v>
      </c>
      <c r="AB32" s="4">
        <v>0.25</v>
      </c>
      <c r="AC32" s="6">
        <v>-17.3</v>
      </c>
      <c r="AD32" s="6">
        <v>-13.91</v>
      </c>
      <c r="AE32" s="1">
        <v>0</v>
      </c>
      <c r="AF32" s="1">
        <f ca="1">IFERROR(__xludf.DUMMYFUNCTION("IFERROR(GOOGLEFINANCE(TRIM(F32)&amp;"":"" &amp; TRIM(B32),""high52""),AE32)"),0)</f>
        <v>0</v>
      </c>
      <c r="AG32" s="1">
        <v>0</v>
      </c>
      <c r="AH32" s="1">
        <f ca="1">IFERROR(__xludf.DUMMYFUNCTION("IFERROR(GOOGLEFINANCE(TRIM(F32)&amp;"":"" &amp; TRIM(B32),""low52""),AE32)"),0)</f>
        <v>0</v>
      </c>
      <c r="AI32" s="1">
        <f ca="1">IFERROR(__xludf.DUMMYFUNCTION("IFERROR(GOOGLEFINANCE(B32,""eps""),0)"),0)</f>
        <v>0</v>
      </c>
      <c r="AJ32" s="1"/>
      <c r="AK32" s="1" t="s">
        <v>148</v>
      </c>
      <c r="AL32" s="1" t="b">
        <f>ISNUMBER(AA32)</f>
        <v>1</v>
      </c>
    </row>
    <row r="33" spans="1:38" ht="15" x14ac:dyDescent="0.25">
      <c r="A33" s="1" t="s">
        <v>149</v>
      </c>
      <c r="B33" s="1" t="s">
        <v>150</v>
      </c>
      <c r="C33" s="1" t="s">
        <v>151</v>
      </c>
      <c r="D33" s="1" t="s">
        <v>151</v>
      </c>
      <c r="E33" s="6">
        <v>537.79</v>
      </c>
      <c r="F33" s="1" t="s">
        <v>40</v>
      </c>
      <c r="G33" s="6">
        <f ca="1">IFERROR(__xludf.DUMMYFUNCTION("iferror(GOOGLEFINANCE(TRIM(F33)&amp;"":"" &amp; TRIM(B33), ""price""),0
)"),415.4)</f>
        <v>415.4</v>
      </c>
      <c r="H33" s="6">
        <v>661.25</v>
      </c>
      <c r="I33" s="6">
        <f t="shared" ca="1" si="0"/>
        <v>415.4</v>
      </c>
      <c r="J33" s="6">
        <f ca="1">IFERROR(__xludf.DUMMYFUNCTION("IFERROR(GOOGLEFINANCE(B33, ""volume""), 0)"),7293)</f>
        <v>7293</v>
      </c>
      <c r="K33" s="6">
        <v>3.85</v>
      </c>
      <c r="L33" s="6">
        <f ca="1">IFERROR(__xludf.DUMMYFUNCTION("IFERROR(GOOGLEFINANCE(B33,""changepct""),K33)"),1.42)</f>
        <v>1.42</v>
      </c>
      <c r="M33" s="6">
        <f ca="1">IFERROR(__xludf.DUMMYFUNCTION("IFERROR(GOOGLEFINANCE(B33,""change""),0)"),5.8)</f>
        <v>5.8</v>
      </c>
      <c r="N33" s="6">
        <v>2</v>
      </c>
      <c r="O33" s="7">
        <v>45536</v>
      </c>
      <c r="P33" s="6">
        <v>111.17</v>
      </c>
      <c r="Q33" s="6">
        <v>647.69000000000005</v>
      </c>
      <c r="R33" s="7">
        <v>45536</v>
      </c>
      <c r="S33" s="6">
        <v>591.54999999999995</v>
      </c>
      <c r="T33" s="6">
        <v>15.36</v>
      </c>
      <c r="U33" s="7">
        <v>45536</v>
      </c>
      <c r="V33" s="6">
        <v>35.01</v>
      </c>
      <c r="W33" s="6">
        <f ca="1">IFERROR(__xludf.DUMMYFUNCTION("IFERROR(GOOGLEFINANCE(B33,""pe""),V33)"),20.03)</f>
        <v>20.03</v>
      </c>
      <c r="X33" s="12"/>
      <c r="Y33" s="6">
        <v>2.42</v>
      </c>
      <c r="Z33" s="6">
        <v>2</v>
      </c>
      <c r="AA33" s="8">
        <v>45352</v>
      </c>
      <c r="AB33" s="4">
        <v>0.45</v>
      </c>
      <c r="AC33" s="6">
        <v>11.05</v>
      </c>
      <c r="AD33" s="6">
        <v>14.62</v>
      </c>
      <c r="AE33" s="1">
        <v>0</v>
      </c>
      <c r="AF33" s="1">
        <f ca="1">IFERROR(__xludf.DUMMYFUNCTION("IFERROR(GOOGLEFINANCE(TRIM(F33)&amp;"":"" &amp; TRIM(B33),""high52""),AE33)"),653.1)</f>
        <v>653.1</v>
      </c>
      <c r="AG33" s="1">
        <v>0</v>
      </c>
      <c r="AH33" s="1">
        <f ca="1">IFERROR(__xludf.DUMMYFUNCTION("IFERROR(GOOGLEFINANCE(TRIM(F33)&amp;"":"" &amp; TRIM(B33),""low52""),AE33)"),358.3)</f>
        <v>358.3</v>
      </c>
      <c r="AI33" s="1">
        <f ca="1">IFERROR(__xludf.DUMMYFUNCTION("IFERROR(GOOGLEFINANCE(B33,""eps""),0)"),20.73)</f>
        <v>20.73</v>
      </c>
      <c r="AJ33" s="1"/>
      <c r="AK33" s="9"/>
      <c r="AL33" s="9">
        <f t="shared" ref="AL33:AL34" si="7">IF(AA33&lt;&gt;AB33,1,0)</f>
        <v>1</v>
      </c>
    </row>
    <row r="34" spans="1:38" ht="15" x14ac:dyDescent="0.25">
      <c r="A34" s="1" t="s">
        <v>152</v>
      </c>
      <c r="B34" s="1" t="s">
        <v>153</v>
      </c>
      <c r="C34" s="1" t="s">
        <v>154</v>
      </c>
      <c r="D34" s="1" t="s">
        <v>154</v>
      </c>
      <c r="E34" s="6">
        <v>278.58999999999997</v>
      </c>
      <c r="F34" s="1" t="s">
        <v>40</v>
      </c>
      <c r="G34" s="6">
        <f ca="1">IFERROR(__xludf.DUMMYFUNCTION("iferror(GOOGLEFINANCE(TRIM(F34)&amp;"":"" &amp; TRIM(B34), ""price""),0
)"),0)</f>
        <v>0</v>
      </c>
      <c r="H34" s="6">
        <v>121.14</v>
      </c>
      <c r="I34" s="6">
        <f t="shared" ca="1" si="0"/>
        <v>121.14</v>
      </c>
      <c r="J34" s="6">
        <f ca="1">IFERROR(__xludf.DUMMYFUNCTION("IFERROR(GOOGLEFINANCE(B34, ""volume""), 0)"),0)</f>
        <v>0</v>
      </c>
      <c r="K34" s="6">
        <v>2</v>
      </c>
      <c r="L34" s="6">
        <f ca="1">IFERROR(__xludf.DUMMYFUNCTION("IFERROR(GOOGLEFINANCE(B34,""changepct""),K34)"),2)</f>
        <v>2</v>
      </c>
      <c r="M34" s="6">
        <f ca="1">IFERROR(__xludf.DUMMYFUNCTION("IFERROR(GOOGLEFINANCE(B34,""change""),0)"),0)</f>
        <v>0</v>
      </c>
      <c r="N34" s="6">
        <v>1</v>
      </c>
      <c r="O34" s="7">
        <v>45536</v>
      </c>
      <c r="P34" s="6">
        <v>191.18</v>
      </c>
      <c r="Q34" s="6">
        <v>464.9</v>
      </c>
      <c r="R34" s="7">
        <v>45261</v>
      </c>
      <c r="S34" s="6">
        <v>110.64</v>
      </c>
      <c r="T34" s="6">
        <v>-53.6</v>
      </c>
      <c r="U34" s="7">
        <v>45352</v>
      </c>
      <c r="V34" s="6">
        <v>0</v>
      </c>
      <c r="W34" s="6">
        <f ca="1">IFERROR(__xludf.DUMMYFUNCTION("IFERROR(GOOGLEFINANCE(B34,""pe""),V34)"),0)</f>
        <v>0</v>
      </c>
      <c r="X34" s="9"/>
      <c r="Y34" s="6">
        <v>5.8</v>
      </c>
      <c r="Z34" s="6">
        <v>1</v>
      </c>
      <c r="AA34" s="8">
        <v>45352</v>
      </c>
      <c r="AB34" s="4">
        <v>16.14</v>
      </c>
      <c r="AC34" s="6">
        <v>-113.53</v>
      </c>
      <c r="AD34" s="6">
        <v>-9.65</v>
      </c>
      <c r="AE34" s="1">
        <v>0</v>
      </c>
      <c r="AF34" s="1">
        <f ca="1">IFERROR(__xludf.DUMMYFUNCTION("IFERROR(GOOGLEFINANCE(TRIM(F34)&amp;"":"" &amp; TRIM(B34),""high52""),AE34)"),0)</f>
        <v>0</v>
      </c>
      <c r="AG34" s="1">
        <v>0</v>
      </c>
      <c r="AH34" s="1">
        <f ca="1">IFERROR(__xludf.DUMMYFUNCTION("IFERROR(GOOGLEFINANCE(TRIM(F34)&amp;"":"" &amp; TRIM(B34),""low52""),AE34)"),0)</f>
        <v>0</v>
      </c>
      <c r="AI34" s="1">
        <f ca="1">IFERROR(__xludf.DUMMYFUNCTION("IFERROR(GOOGLEFINANCE(B34,""eps""),0)"),0)</f>
        <v>0</v>
      </c>
      <c r="AJ34" s="1"/>
      <c r="AK34" s="6">
        <v>37.450000000000003</v>
      </c>
      <c r="AL34" s="9">
        <f t="shared" si="7"/>
        <v>1</v>
      </c>
    </row>
    <row r="35" spans="1:38" ht="15" x14ac:dyDescent="0.25">
      <c r="A35" s="1" t="s">
        <v>155</v>
      </c>
      <c r="B35" s="1" t="s">
        <v>156</v>
      </c>
      <c r="C35" s="1" t="s">
        <v>99</v>
      </c>
      <c r="D35" s="1" t="s">
        <v>99</v>
      </c>
      <c r="E35" s="6">
        <v>226.58</v>
      </c>
      <c r="F35" s="1" t="s">
        <v>53</v>
      </c>
      <c r="G35" s="6">
        <f ca="1">IFERROR(__xludf.DUMMYFUNCTION("iferror(GOOGLEFINANCE(TRIM(F35)&amp;"":"" &amp; TRIM(B35), ""price""),0
)"),0)</f>
        <v>0</v>
      </c>
      <c r="H35" s="6">
        <v>210.6</v>
      </c>
      <c r="I35" s="6">
        <f t="shared" ca="1" si="0"/>
        <v>210.6</v>
      </c>
      <c r="J35" s="6">
        <f ca="1">IFERROR(__xludf.DUMMYFUNCTION("IFERROR(GOOGLEFINANCE(B35, ""volume""), 0)"),0)</f>
        <v>0</v>
      </c>
      <c r="K35" s="6">
        <v>2.06</v>
      </c>
      <c r="L35" s="6">
        <f ca="1">IFERROR(__xludf.DUMMYFUNCTION("IFERROR(GOOGLEFINANCE(B35,""changepct""),K35)"),2.06)</f>
        <v>2.06</v>
      </c>
      <c r="M35" s="6">
        <f ca="1">IFERROR(__xludf.DUMMYFUNCTION("IFERROR(GOOGLEFINANCE(B35,""change""),0)"),0)</f>
        <v>0</v>
      </c>
      <c r="N35" s="6">
        <v>2</v>
      </c>
      <c r="O35" s="7">
        <v>45536</v>
      </c>
      <c r="P35" s="6">
        <v>58.9</v>
      </c>
      <c r="Q35" s="6">
        <v>281.48</v>
      </c>
      <c r="R35" s="7">
        <v>45536</v>
      </c>
      <c r="S35" s="6">
        <v>127.83</v>
      </c>
      <c r="T35" s="6">
        <v>12.91</v>
      </c>
      <c r="U35" s="7">
        <v>45536</v>
      </c>
      <c r="V35" s="6">
        <v>17.55</v>
      </c>
      <c r="W35" s="6">
        <f ca="1">IFERROR(__xludf.DUMMYFUNCTION("IFERROR(GOOGLEFINANCE(B35,""pe""),V35)"),17.55)</f>
        <v>17.55</v>
      </c>
      <c r="X35" s="6">
        <v>0.56000000000000005</v>
      </c>
      <c r="Y35" s="6">
        <v>3.01</v>
      </c>
      <c r="Z35" s="6">
        <v>2</v>
      </c>
      <c r="AA35" s="8">
        <v>45352</v>
      </c>
      <c r="AB35" s="4">
        <v>0.82</v>
      </c>
      <c r="AC35" s="6">
        <v>20.86</v>
      </c>
      <c r="AD35" s="6">
        <v>18.97</v>
      </c>
      <c r="AE35" s="1">
        <v>0</v>
      </c>
      <c r="AF35" s="1">
        <f ca="1">IFERROR(__xludf.DUMMYFUNCTION("IFERROR(GOOGLEFINANCE(TRIM(F35)&amp;"":"" &amp; TRIM(B35),""high52""),AE35)"),0)</f>
        <v>0</v>
      </c>
      <c r="AG35" s="1">
        <v>0</v>
      </c>
      <c r="AH35" s="1">
        <f ca="1">IFERROR(__xludf.DUMMYFUNCTION("IFERROR(GOOGLEFINANCE(TRIM(F35)&amp;"":"" &amp; TRIM(B35),""low52""),AE35)"),0)</f>
        <v>0</v>
      </c>
      <c r="AI35" s="1">
        <f ca="1">IFERROR(__xludf.DUMMYFUNCTION("IFERROR(GOOGLEFINANCE(B35,""eps""),0)"),0)</f>
        <v>0</v>
      </c>
      <c r="AJ35" s="1"/>
      <c r="AK35" s="9"/>
      <c r="AL35" s="1" t="b">
        <f>ISBLANK(AB35)</f>
        <v>0</v>
      </c>
    </row>
    <row r="36" spans="1:38" ht="15" x14ac:dyDescent="0.25">
      <c r="A36" s="1" t="s">
        <v>157</v>
      </c>
      <c r="B36" s="1" t="s">
        <v>158</v>
      </c>
      <c r="C36" s="1" t="s">
        <v>159</v>
      </c>
      <c r="D36" s="1" t="s">
        <v>159</v>
      </c>
      <c r="E36" s="6">
        <v>201.11</v>
      </c>
      <c r="F36" s="1" t="s">
        <v>40</v>
      </c>
      <c r="G36" s="6">
        <f ca="1">IFERROR(__xludf.DUMMYFUNCTION("iferror(GOOGLEFINANCE(TRIM(F36)&amp;"":"" &amp; TRIM(B36), ""price""),0
)"),126)</f>
        <v>126</v>
      </c>
      <c r="H36" s="6">
        <v>135.31</v>
      </c>
      <c r="I36" s="6">
        <f t="shared" ca="1" si="0"/>
        <v>126</v>
      </c>
      <c r="J36" s="6">
        <f ca="1">IFERROR(__xludf.DUMMYFUNCTION("IFERROR(GOOGLEFINANCE(B36, ""volume""), 0)"),19887)</f>
        <v>19887</v>
      </c>
      <c r="K36" s="6">
        <v>-0.53</v>
      </c>
      <c r="L36" s="6">
        <f ca="1">IFERROR(__xludf.DUMMYFUNCTION("IFERROR(GOOGLEFINANCE(B36,""changepct""),K36)"),-5)</f>
        <v>-5</v>
      </c>
      <c r="M36" s="6">
        <f ca="1">IFERROR(__xludf.DUMMYFUNCTION("IFERROR(GOOGLEFINANCE(B36,""change""),0)"),-6.63)</f>
        <v>-6.63</v>
      </c>
      <c r="N36" s="6">
        <v>2</v>
      </c>
      <c r="O36" s="7">
        <v>45536</v>
      </c>
      <c r="P36" s="6">
        <v>33.630000000000003</v>
      </c>
      <c r="Q36" s="6">
        <v>213.8</v>
      </c>
      <c r="R36" s="7">
        <v>45536</v>
      </c>
      <c r="S36" s="6">
        <v>437.28</v>
      </c>
      <c r="T36" s="6">
        <v>10.130000000000001</v>
      </c>
      <c r="U36" s="7">
        <v>45536</v>
      </c>
      <c r="V36" s="6">
        <v>19.850000000000001</v>
      </c>
      <c r="W36" s="6">
        <f ca="1">IFERROR(__xludf.DUMMYFUNCTION("IFERROR(GOOGLEFINANCE(B36,""pe""),V36)"),13.07)</f>
        <v>13.07</v>
      </c>
      <c r="X36" s="6">
        <v>3.54</v>
      </c>
      <c r="Y36" s="6">
        <v>1.66</v>
      </c>
      <c r="Z36" s="6">
        <v>2</v>
      </c>
      <c r="AA36" s="8">
        <v>45352</v>
      </c>
      <c r="AB36" s="4">
        <v>0.08</v>
      </c>
      <c r="AC36" s="6">
        <v>10.11</v>
      </c>
      <c r="AD36" s="6">
        <v>11.75</v>
      </c>
      <c r="AE36" s="1">
        <v>0</v>
      </c>
      <c r="AF36" s="1">
        <f ca="1">IFERROR(__xludf.DUMMYFUNCTION("IFERROR(GOOGLEFINANCE(TRIM(F36)&amp;"":"" &amp; TRIM(B36),""high52""),AE36)"),152)</f>
        <v>152</v>
      </c>
      <c r="AG36" s="1">
        <v>0</v>
      </c>
      <c r="AH36" s="1">
        <f ca="1">IFERROR(__xludf.DUMMYFUNCTION("IFERROR(GOOGLEFINANCE(TRIM(F36)&amp;"":"" &amp; TRIM(B36),""low52""),AE36)"),88)</f>
        <v>88</v>
      </c>
      <c r="AI36" s="1">
        <f ca="1">IFERROR(__xludf.DUMMYFUNCTION("IFERROR(GOOGLEFINANCE(B36,""eps""),0)"),9.64)</f>
        <v>9.64</v>
      </c>
      <c r="AJ36" s="1"/>
      <c r="AK36" s="1" t="s">
        <v>160</v>
      </c>
      <c r="AL36" s="9">
        <f t="shared" ref="AL36:AL37" si="8">IF(AA36&lt;&gt;AB36,1,0)</f>
        <v>1</v>
      </c>
    </row>
    <row r="37" spans="1:38" ht="15" x14ac:dyDescent="0.25">
      <c r="A37" s="1" t="s">
        <v>161</v>
      </c>
      <c r="B37" s="1" t="s">
        <v>162</v>
      </c>
      <c r="C37" s="1" t="s">
        <v>163</v>
      </c>
      <c r="D37" s="1" t="s">
        <v>163</v>
      </c>
      <c r="E37" s="6">
        <v>57.18</v>
      </c>
      <c r="F37" s="1" t="s">
        <v>40</v>
      </c>
      <c r="G37" s="6">
        <f ca="1">IFERROR(__xludf.DUMMYFUNCTION("iferror(GOOGLEFINANCE(TRIM(F37)&amp;"":"" &amp; TRIM(B37), ""price""),0
)"),0)</f>
        <v>0</v>
      </c>
      <c r="H37" s="6">
        <v>25.3</v>
      </c>
      <c r="I37" s="6">
        <f t="shared" ca="1" si="0"/>
        <v>25.3</v>
      </c>
      <c r="J37" s="6">
        <f ca="1">IFERROR(__xludf.DUMMYFUNCTION("IFERROR(GOOGLEFINANCE(B37, ""volume""), 0)"),0)</f>
        <v>0</v>
      </c>
      <c r="K37" s="6">
        <v>0</v>
      </c>
      <c r="L37" s="6">
        <f ca="1">IFERROR(__xludf.DUMMYFUNCTION("IFERROR(GOOGLEFINANCE(B37,""changepct""),K37)"),0)</f>
        <v>0</v>
      </c>
      <c r="M37" s="6">
        <f ca="1">IFERROR(__xludf.DUMMYFUNCTION("IFERROR(GOOGLEFINANCE(B37,""change""),0)"),0)</f>
        <v>0</v>
      </c>
      <c r="N37" s="6">
        <v>1</v>
      </c>
      <c r="O37" s="7">
        <v>45536</v>
      </c>
      <c r="P37" s="6">
        <v>10.02</v>
      </c>
      <c r="Q37" s="6">
        <v>67.2</v>
      </c>
      <c r="R37" s="7">
        <v>45352</v>
      </c>
      <c r="S37" s="6">
        <v>15.74</v>
      </c>
      <c r="T37" s="6">
        <v>0.88</v>
      </c>
      <c r="U37" s="7">
        <v>45352</v>
      </c>
      <c r="V37" s="6">
        <v>64.92</v>
      </c>
      <c r="W37" s="6">
        <f ca="1">IFERROR(__xludf.DUMMYFUNCTION("IFERROR(GOOGLEFINANCE(B37,""pe""),V37)"),64.92)</f>
        <v>64.92</v>
      </c>
      <c r="X37" s="9"/>
      <c r="Y37" s="6">
        <v>1.1599999999999999</v>
      </c>
      <c r="Z37" s="6">
        <v>1</v>
      </c>
      <c r="AA37" s="8">
        <v>45352</v>
      </c>
      <c r="AB37" s="4">
        <v>0.11</v>
      </c>
      <c r="AC37" s="6">
        <v>2.77</v>
      </c>
      <c r="AD37" s="6">
        <v>6.41</v>
      </c>
      <c r="AE37" s="1">
        <v>0</v>
      </c>
      <c r="AF37" s="1">
        <f ca="1">IFERROR(__xludf.DUMMYFUNCTION("IFERROR(GOOGLEFINANCE(TRIM(F37)&amp;"":"" &amp; TRIM(B37),""high52""),AE37)"),0)</f>
        <v>0</v>
      </c>
      <c r="AG37" s="1">
        <v>0</v>
      </c>
      <c r="AH37" s="1">
        <f ca="1">IFERROR(__xludf.DUMMYFUNCTION("IFERROR(GOOGLEFINANCE(TRIM(F37)&amp;"":"" &amp; TRIM(B37),""low52""),AE37)"),0)</f>
        <v>0</v>
      </c>
      <c r="AI37" s="1">
        <f ca="1">IFERROR(__xludf.DUMMYFUNCTION("IFERROR(GOOGLEFINANCE(B37,""eps""),0)"),0)</f>
        <v>0</v>
      </c>
      <c r="AJ37" s="1"/>
      <c r="AK37" s="1" t="s">
        <v>164</v>
      </c>
      <c r="AL37" s="9">
        <f t="shared" si="8"/>
        <v>1</v>
      </c>
    </row>
    <row r="38" spans="1:38" ht="15" x14ac:dyDescent="0.25">
      <c r="A38" s="1" t="s">
        <v>165</v>
      </c>
      <c r="B38" s="1" t="s">
        <v>166</v>
      </c>
      <c r="C38" s="1" t="s">
        <v>99</v>
      </c>
      <c r="D38" s="1" t="s">
        <v>99</v>
      </c>
      <c r="E38" s="6">
        <v>64.08</v>
      </c>
      <c r="F38" s="1" t="s">
        <v>53</v>
      </c>
      <c r="G38" s="6">
        <f ca="1">IFERROR(__xludf.DUMMYFUNCTION("iferror(GOOGLEFINANCE(TRIM(F38)&amp;"":"" &amp; TRIM(B38), ""price""),0
)"),0)</f>
        <v>0</v>
      </c>
      <c r="H38" s="6">
        <v>121</v>
      </c>
      <c r="I38" s="6">
        <f t="shared" ca="1" si="0"/>
        <v>121</v>
      </c>
      <c r="J38" s="6">
        <f ca="1">IFERROR(__xludf.DUMMYFUNCTION("IFERROR(GOOGLEFINANCE(B38, ""volume""), 0)"),0)</f>
        <v>0</v>
      </c>
      <c r="K38" s="6">
        <v>0</v>
      </c>
      <c r="L38" s="6">
        <f ca="1">IFERROR(__xludf.DUMMYFUNCTION("IFERROR(GOOGLEFINANCE(B38,""changepct""),K38)"),0)</f>
        <v>0</v>
      </c>
      <c r="M38" s="6">
        <f ca="1">IFERROR(__xludf.DUMMYFUNCTION("IFERROR(GOOGLEFINANCE(B38,""change""),0)"),0)</f>
        <v>0</v>
      </c>
      <c r="N38" s="6">
        <v>1</v>
      </c>
      <c r="O38" s="7">
        <v>45536</v>
      </c>
      <c r="P38" s="6">
        <v>11.85</v>
      </c>
      <c r="Q38" s="6">
        <v>75.930000000000007</v>
      </c>
      <c r="R38" s="7">
        <v>45536</v>
      </c>
      <c r="S38" s="6">
        <v>6.05</v>
      </c>
      <c r="T38" s="6">
        <v>1.59</v>
      </c>
      <c r="U38" s="7">
        <v>45536</v>
      </c>
      <c r="V38" s="6">
        <v>40.299999999999997</v>
      </c>
      <c r="W38" s="6">
        <f ca="1">IFERROR(__xludf.DUMMYFUNCTION("IFERROR(GOOGLEFINANCE(B38,""pe""),V38)"),40.3)</f>
        <v>40.299999999999997</v>
      </c>
      <c r="X38" s="6">
        <v>0.7</v>
      </c>
      <c r="Y38" s="6">
        <v>5.46</v>
      </c>
      <c r="Z38" s="6">
        <v>1</v>
      </c>
      <c r="AA38" s="8">
        <v>45352</v>
      </c>
      <c r="AB38" s="4">
        <v>0.24</v>
      </c>
      <c r="AC38" s="6">
        <v>2.68</v>
      </c>
      <c r="AD38" s="6">
        <v>2.17</v>
      </c>
      <c r="AE38" s="1">
        <v>0</v>
      </c>
      <c r="AF38" s="1">
        <f ca="1">IFERROR(__xludf.DUMMYFUNCTION("IFERROR(GOOGLEFINANCE(TRIM(F38)&amp;"":"" &amp; TRIM(B38),""high52""),AE38)"),0)</f>
        <v>0</v>
      </c>
      <c r="AG38" s="1">
        <v>0</v>
      </c>
      <c r="AH38" s="1">
        <f ca="1">IFERROR(__xludf.DUMMYFUNCTION("IFERROR(GOOGLEFINANCE(TRIM(F38)&amp;"":"" &amp; TRIM(B38),""low52""),AE38)"),0)</f>
        <v>0</v>
      </c>
      <c r="AI38" s="1">
        <f ca="1">IFERROR(__xludf.DUMMYFUNCTION("IFERROR(GOOGLEFINANCE(B38,""eps""),0)"),0)</f>
        <v>0</v>
      </c>
      <c r="AJ38" s="1"/>
      <c r="AK38" s="1" t="s">
        <v>167</v>
      </c>
      <c r="AL38" s="1" t="b">
        <f>ISNUMBER(AA38)</f>
        <v>1</v>
      </c>
    </row>
    <row r="39" spans="1:38" ht="15" x14ac:dyDescent="0.25">
      <c r="A39" s="1" t="s">
        <v>168</v>
      </c>
      <c r="B39" s="1" t="s">
        <v>169</v>
      </c>
      <c r="C39" s="1" t="s">
        <v>94</v>
      </c>
      <c r="D39" s="1" t="s">
        <v>94</v>
      </c>
      <c r="E39" s="6">
        <v>13437.03</v>
      </c>
      <c r="F39" s="1" t="s">
        <v>40</v>
      </c>
      <c r="G39" s="6">
        <f ca="1">IFERROR(__xludf.DUMMYFUNCTION("iferror(GOOGLEFINANCE(TRIM(F39)&amp;"":"" &amp; TRIM(B39), ""price""),0
)"),1444.4)</f>
        <v>1444.4</v>
      </c>
      <c r="H39" s="6">
        <v>1712</v>
      </c>
      <c r="I39" s="6">
        <f t="shared" ca="1" si="0"/>
        <v>1444.4</v>
      </c>
      <c r="J39" s="6">
        <f ca="1">IFERROR(__xludf.DUMMYFUNCTION("IFERROR(GOOGLEFINANCE(B39, ""volume""), 0)"),91459)</f>
        <v>91459</v>
      </c>
      <c r="K39" s="6">
        <v>0.96</v>
      </c>
      <c r="L39" s="6">
        <f ca="1">IFERROR(__xludf.DUMMYFUNCTION("IFERROR(GOOGLEFINANCE(B39,""changepct""),K39)"),-0.18)</f>
        <v>-0.18</v>
      </c>
      <c r="M39" s="6">
        <f ca="1">IFERROR(__xludf.DUMMYFUNCTION("IFERROR(GOOGLEFINANCE(B39,""change""),0)"),-2.6)</f>
        <v>-2.6</v>
      </c>
      <c r="N39" s="6">
        <v>1</v>
      </c>
      <c r="O39" s="7">
        <v>45536</v>
      </c>
      <c r="P39" s="6">
        <v>533.27</v>
      </c>
      <c r="Q39" s="7">
        <v>45536</v>
      </c>
      <c r="R39" s="6">
        <v>25.2</v>
      </c>
      <c r="S39" s="6">
        <v>1.1100000000000001</v>
      </c>
      <c r="T39" s="6">
        <v>3.32</v>
      </c>
      <c r="U39" s="6">
        <v>2</v>
      </c>
      <c r="V39" s="7">
        <v>45352</v>
      </c>
      <c r="W39" s="6">
        <f ca="1">IFERROR(__xludf.DUMMYFUNCTION("IFERROR(GOOGLEFINANCE(B39,""pe""),V39)"),19.11)</f>
        <v>19.11</v>
      </c>
      <c r="X39" s="6">
        <v>3.31</v>
      </c>
      <c r="Y39" s="6">
        <v>14.13</v>
      </c>
      <c r="Z39" s="6">
        <v>9.9600000000000009</v>
      </c>
      <c r="AA39" s="3" t="s">
        <v>170</v>
      </c>
      <c r="AB39" s="11"/>
      <c r="AC39" s="9"/>
      <c r="AD39" s="9"/>
      <c r="AE39" s="1">
        <v>0</v>
      </c>
      <c r="AF39" s="1">
        <f ca="1">IFERROR(__xludf.DUMMYFUNCTION("IFERROR(GOOGLEFINANCE(TRIM(F39)&amp;"":"" &amp; TRIM(B39),""high52""),AE39)"),2234)</f>
        <v>2234</v>
      </c>
      <c r="AG39" s="1">
        <v>0</v>
      </c>
      <c r="AH39" s="1">
        <f ca="1">IFERROR(__xludf.DUMMYFUNCTION("IFERROR(GOOGLEFINANCE(TRIM(F39)&amp;"":"" &amp; TRIM(B39),""low52""),AE39)"),1351.1)</f>
        <v>1351.1</v>
      </c>
      <c r="AI39" s="1">
        <f ca="1">IFERROR(__xludf.DUMMYFUNCTION("IFERROR(GOOGLEFINANCE(B39,""eps""),0)"),75.6)</f>
        <v>75.599999999999994</v>
      </c>
      <c r="AJ39" s="1"/>
      <c r="AK39" s="1" t="s">
        <v>171</v>
      </c>
      <c r="AL39" s="9">
        <f>IF(AA39&lt;&gt;AB39,1,0)</f>
        <v>1</v>
      </c>
    </row>
    <row r="40" spans="1:38" ht="15" x14ac:dyDescent="0.25">
      <c r="A40" s="1" t="s">
        <v>172</v>
      </c>
      <c r="B40" s="1" t="s">
        <v>173</v>
      </c>
      <c r="C40" s="1" t="s">
        <v>99</v>
      </c>
      <c r="D40" s="1" t="s">
        <v>99</v>
      </c>
      <c r="E40" s="6">
        <v>6.69</v>
      </c>
      <c r="F40" s="1" t="s">
        <v>53</v>
      </c>
      <c r="G40" s="6">
        <f ca="1">IFERROR(__xludf.DUMMYFUNCTION("iferror(GOOGLEFINANCE(TRIM(F40)&amp;"":"" &amp; TRIM(B40), ""price""),0
)"),0)</f>
        <v>0</v>
      </c>
      <c r="H40" s="6">
        <v>8.8800000000000008</v>
      </c>
      <c r="I40" s="6">
        <f t="shared" ca="1" si="0"/>
        <v>8.8800000000000008</v>
      </c>
      <c r="J40" s="6">
        <f ca="1">IFERROR(__xludf.DUMMYFUNCTION("IFERROR(GOOGLEFINANCE(B40, ""volume""), 0)"),0)</f>
        <v>0</v>
      </c>
      <c r="K40" s="6">
        <v>4.96</v>
      </c>
      <c r="L40" s="6">
        <f ca="1">IFERROR(__xludf.DUMMYFUNCTION("IFERROR(GOOGLEFINANCE(B40,""changepct""),K40)"),4.96)</f>
        <v>4.96</v>
      </c>
      <c r="M40" s="6">
        <f ca="1">IFERROR(__xludf.DUMMYFUNCTION("IFERROR(GOOGLEFINANCE(B40,""change""),0)"),0)</f>
        <v>0</v>
      </c>
      <c r="N40" s="6">
        <v>1</v>
      </c>
      <c r="O40" s="7">
        <v>45536</v>
      </c>
      <c r="P40" s="6">
        <v>0.36</v>
      </c>
      <c r="Q40" s="6">
        <v>7.04</v>
      </c>
      <c r="R40" s="7">
        <v>45536</v>
      </c>
      <c r="S40" s="6">
        <v>0</v>
      </c>
      <c r="T40" s="6">
        <v>-0.25</v>
      </c>
      <c r="U40" s="7">
        <v>45536</v>
      </c>
      <c r="V40" s="6">
        <v>0</v>
      </c>
      <c r="W40" s="6">
        <f ca="1">IFERROR(__xludf.DUMMYFUNCTION("IFERROR(GOOGLEFINANCE(B40,""pe""),V40)"),0)</f>
        <v>0</v>
      </c>
      <c r="X40" s="12"/>
      <c r="Y40" s="6">
        <v>-8.57</v>
      </c>
      <c r="Z40" s="6">
        <v>1</v>
      </c>
      <c r="AA40" s="8">
        <v>45352</v>
      </c>
      <c r="AB40" s="4">
        <v>0</v>
      </c>
      <c r="AC40" s="6">
        <v>0</v>
      </c>
      <c r="AD40" s="6">
        <v>0</v>
      </c>
      <c r="AE40" s="1">
        <v>0</v>
      </c>
      <c r="AF40" s="1">
        <f ca="1">IFERROR(__xludf.DUMMYFUNCTION("IFERROR(GOOGLEFINANCE(TRIM(F40)&amp;"":"" &amp; TRIM(B40),""high52""),AE40)"),0)</f>
        <v>0</v>
      </c>
      <c r="AG40" s="1">
        <v>0</v>
      </c>
      <c r="AH40" s="1">
        <f ca="1">IFERROR(__xludf.DUMMYFUNCTION("IFERROR(GOOGLEFINANCE(TRIM(F40)&amp;"":"" &amp; TRIM(B40),""low52""),AE40)"),0)</f>
        <v>0</v>
      </c>
      <c r="AI40" s="1">
        <f ca="1">IFERROR(__xludf.DUMMYFUNCTION("IFERROR(GOOGLEFINANCE(B40,""eps""),0)"),0)</f>
        <v>0</v>
      </c>
      <c r="AJ40" s="1"/>
      <c r="AK40" s="1" t="s">
        <v>174</v>
      </c>
      <c r="AL40" s="1" t="b">
        <f t="shared" ref="AL40:AL43" si="9">ISNUMBER(AA40)</f>
        <v>1</v>
      </c>
    </row>
    <row r="41" spans="1:38" ht="15" x14ac:dyDescent="0.25">
      <c r="A41" s="1" t="s">
        <v>175</v>
      </c>
      <c r="B41" s="1" t="s">
        <v>176</v>
      </c>
      <c r="C41" s="1" t="s">
        <v>99</v>
      </c>
      <c r="D41" s="1" t="s">
        <v>99</v>
      </c>
      <c r="E41" s="6">
        <v>107.26</v>
      </c>
      <c r="F41" s="1" t="s">
        <v>53</v>
      </c>
      <c r="G41" s="6">
        <f ca="1">IFERROR(__xludf.DUMMYFUNCTION("iferror(GOOGLEFINANCE(TRIM(F41)&amp;"":"" &amp; TRIM(B41), ""price""),0
)"),0)</f>
        <v>0</v>
      </c>
      <c r="H41" s="6">
        <v>31</v>
      </c>
      <c r="I41" s="6">
        <f t="shared" ca="1" si="0"/>
        <v>31</v>
      </c>
      <c r="J41" s="6">
        <f ca="1">IFERROR(__xludf.DUMMYFUNCTION("IFERROR(GOOGLEFINANCE(B41, ""volume""), 0)"),0)</f>
        <v>0</v>
      </c>
      <c r="K41" s="6">
        <v>-1.77</v>
      </c>
      <c r="L41" s="6">
        <f ca="1">IFERROR(__xludf.DUMMYFUNCTION("IFERROR(GOOGLEFINANCE(B41,""changepct""),K41)"),-1.77)</f>
        <v>-1.77</v>
      </c>
      <c r="M41" s="6">
        <f ca="1">IFERROR(__xludf.DUMMYFUNCTION("IFERROR(GOOGLEFINANCE(B41,""change""),0)"),0)</f>
        <v>0</v>
      </c>
      <c r="N41" s="6">
        <v>1</v>
      </c>
      <c r="O41" s="7">
        <v>45536</v>
      </c>
      <c r="P41" s="6">
        <v>6.95</v>
      </c>
      <c r="Q41" s="6">
        <v>114.21</v>
      </c>
      <c r="R41" s="7">
        <v>45536</v>
      </c>
      <c r="S41" s="6">
        <v>53.86</v>
      </c>
      <c r="T41" s="6">
        <v>1.3</v>
      </c>
      <c r="U41" s="7">
        <v>45536</v>
      </c>
      <c r="V41" s="6">
        <v>82.64</v>
      </c>
      <c r="W41" s="6">
        <f ca="1">IFERROR(__xludf.DUMMYFUNCTION("IFERROR(GOOGLEFINANCE(B41,""pe""),V41)"),82.64)</f>
        <v>82.64</v>
      </c>
      <c r="X41" s="6">
        <v>0.59</v>
      </c>
      <c r="Y41" s="6">
        <v>15.95</v>
      </c>
      <c r="Z41" s="6">
        <v>1</v>
      </c>
      <c r="AA41" s="8">
        <v>45352</v>
      </c>
      <c r="AB41" s="4">
        <v>0.71</v>
      </c>
      <c r="AC41" s="6">
        <v>32.299999999999997</v>
      </c>
      <c r="AD41" s="6">
        <v>29.56</v>
      </c>
      <c r="AE41" s="1">
        <v>0</v>
      </c>
      <c r="AF41" s="1">
        <f ca="1">IFERROR(__xludf.DUMMYFUNCTION("IFERROR(GOOGLEFINANCE(TRIM(F41)&amp;"":"" &amp; TRIM(B41),""high52""),AE41)"),0)</f>
        <v>0</v>
      </c>
      <c r="AG41" s="1">
        <v>0</v>
      </c>
      <c r="AH41" s="1">
        <f ca="1">IFERROR(__xludf.DUMMYFUNCTION("IFERROR(GOOGLEFINANCE(TRIM(F41)&amp;"":"" &amp; TRIM(B41),""low52""),AE41)"),0)</f>
        <v>0</v>
      </c>
      <c r="AI41" s="1">
        <f ca="1">IFERROR(__xludf.DUMMYFUNCTION("IFERROR(GOOGLEFINANCE(B41,""eps""),0)"),0)</f>
        <v>0</v>
      </c>
      <c r="AJ41" s="1"/>
      <c r="AK41" s="1" t="s">
        <v>177</v>
      </c>
      <c r="AL41" s="1" t="b">
        <f t="shared" si="9"/>
        <v>1</v>
      </c>
    </row>
    <row r="42" spans="1:38" ht="15" x14ac:dyDescent="0.25">
      <c r="A42" s="1" t="s">
        <v>178</v>
      </c>
      <c r="B42" s="1" t="s">
        <v>179</v>
      </c>
      <c r="C42" s="1" t="s">
        <v>99</v>
      </c>
      <c r="D42" s="1" t="s">
        <v>99</v>
      </c>
      <c r="E42" s="6">
        <v>10.25</v>
      </c>
      <c r="F42" s="1" t="s">
        <v>53</v>
      </c>
      <c r="G42" s="6">
        <f ca="1">IFERROR(__xludf.DUMMYFUNCTION("iferror(GOOGLEFINANCE(TRIM(F42)&amp;"":"" &amp; TRIM(B42), ""price""),0
)"),0)</f>
        <v>0</v>
      </c>
      <c r="H42" s="6">
        <v>16.649999999999999</v>
      </c>
      <c r="I42" s="6">
        <f t="shared" ca="1" si="0"/>
        <v>16.649999999999999</v>
      </c>
      <c r="J42" s="6">
        <f ca="1">IFERROR(__xludf.DUMMYFUNCTION("IFERROR(GOOGLEFINANCE(B42, ""volume""), 0)"),0)</f>
        <v>0</v>
      </c>
      <c r="K42" s="6">
        <v>-2.63</v>
      </c>
      <c r="L42" s="6">
        <f ca="1">IFERROR(__xludf.DUMMYFUNCTION("IFERROR(GOOGLEFINANCE(B42,""changepct""),K42)"),-2.63)</f>
        <v>-2.63</v>
      </c>
      <c r="M42" s="6">
        <f ca="1">IFERROR(__xludf.DUMMYFUNCTION("IFERROR(GOOGLEFINANCE(B42,""change""),0)"),0)</f>
        <v>0</v>
      </c>
      <c r="N42" s="6">
        <v>1</v>
      </c>
      <c r="O42" s="7">
        <v>45536</v>
      </c>
      <c r="P42" s="9"/>
      <c r="Q42" s="6">
        <v>10.25</v>
      </c>
      <c r="R42" s="7">
        <v>45536</v>
      </c>
      <c r="S42" s="6">
        <v>0.68</v>
      </c>
      <c r="T42" s="6">
        <v>0.23</v>
      </c>
      <c r="U42" s="7">
        <v>45536</v>
      </c>
      <c r="V42" s="6">
        <v>45.16</v>
      </c>
      <c r="W42" s="6">
        <f ca="1">IFERROR(__xludf.DUMMYFUNCTION("IFERROR(GOOGLEFINANCE(B42,""pe""),V42)"),45.16)</f>
        <v>45.16</v>
      </c>
      <c r="X42" s="6">
        <v>1.05</v>
      </c>
      <c r="Y42" s="6">
        <v>3.85</v>
      </c>
      <c r="Z42" s="6">
        <v>1</v>
      </c>
      <c r="AA42" s="8">
        <v>45352</v>
      </c>
      <c r="AB42" s="4">
        <v>0</v>
      </c>
      <c r="AC42" s="6">
        <v>9.4700000000000006</v>
      </c>
      <c r="AD42" s="6">
        <v>10.09</v>
      </c>
      <c r="AE42" s="1">
        <v>0</v>
      </c>
      <c r="AF42" s="1">
        <f ca="1">IFERROR(__xludf.DUMMYFUNCTION("IFERROR(GOOGLEFINANCE(TRIM(F42)&amp;"":"" &amp; TRIM(B42),""high52""),AE42)"),0)</f>
        <v>0</v>
      </c>
      <c r="AG42" s="1">
        <v>0</v>
      </c>
      <c r="AH42" s="1">
        <f ca="1">IFERROR(__xludf.DUMMYFUNCTION("IFERROR(GOOGLEFINANCE(TRIM(F42)&amp;"":"" &amp; TRIM(B42),""low52""),AE42)"),0)</f>
        <v>0</v>
      </c>
      <c r="AI42" s="1">
        <f ca="1">IFERROR(__xludf.DUMMYFUNCTION("IFERROR(GOOGLEFINANCE(B42,""eps""),0)"),0)</f>
        <v>0</v>
      </c>
      <c r="AJ42" s="1"/>
      <c r="AK42" s="1" t="s">
        <v>180</v>
      </c>
      <c r="AL42" s="1" t="b">
        <f t="shared" si="9"/>
        <v>1</v>
      </c>
    </row>
    <row r="43" spans="1:38" ht="15" x14ac:dyDescent="0.25">
      <c r="A43" s="1" t="s">
        <v>181</v>
      </c>
      <c r="B43" s="1" t="s">
        <v>182</v>
      </c>
      <c r="C43" s="1" t="s">
        <v>99</v>
      </c>
      <c r="D43" s="1" t="s">
        <v>99</v>
      </c>
      <c r="E43" s="6">
        <v>41.06</v>
      </c>
      <c r="F43" s="1" t="s">
        <v>53</v>
      </c>
      <c r="G43" s="6">
        <f ca="1">IFERROR(__xludf.DUMMYFUNCTION("iferror(GOOGLEFINANCE(TRIM(F43)&amp;"":"" &amp; TRIM(B43), ""price""),0
)"),0)</f>
        <v>0</v>
      </c>
      <c r="H43" s="6">
        <v>1.03</v>
      </c>
      <c r="I43" s="6">
        <f t="shared" ca="1" si="0"/>
        <v>1.03</v>
      </c>
      <c r="J43" s="6">
        <f ca="1">IFERROR(__xludf.DUMMYFUNCTION("IFERROR(GOOGLEFINANCE(B43, ""volume""), 0)"),0)</f>
        <v>0</v>
      </c>
      <c r="K43" s="6">
        <v>0</v>
      </c>
      <c r="L43" s="6">
        <f ca="1">IFERROR(__xludf.DUMMYFUNCTION("IFERROR(GOOGLEFINANCE(B43,""changepct""),K43)"),0)</f>
        <v>0</v>
      </c>
      <c r="M43" s="6">
        <f ca="1">IFERROR(__xludf.DUMMYFUNCTION("IFERROR(GOOGLEFINANCE(B43,""change""),0)"),0)</f>
        <v>0</v>
      </c>
      <c r="N43" s="6">
        <v>1</v>
      </c>
      <c r="O43" s="7">
        <v>45536</v>
      </c>
      <c r="P43" s="9"/>
      <c r="Q43" s="6">
        <v>41.05</v>
      </c>
      <c r="R43" s="7">
        <v>45536</v>
      </c>
      <c r="S43" s="6">
        <v>13.44</v>
      </c>
      <c r="T43" s="6">
        <v>1.19</v>
      </c>
      <c r="U43" s="7">
        <v>45536</v>
      </c>
      <c r="V43" s="6">
        <v>34.47</v>
      </c>
      <c r="W43" s="6">
        <f ca="1">IFERROR(__xludf.DUMMYFUNCTION("IFERROR(GOOGLEFINANCE(B43,""pe""),V43)"),34.47)</f>
        <v>34.47</v>
      </c>
      <c r="X43" s="6">
        <v>-1.81</v>
      </c>
      <c r="Y43" s="6">
        <v>0.65</v>
      </c>
      <c r="Z43" s="6">
        <v>1</v>
      </c>
      <c r="AA43" s="8">
        <v>45352</v>
      </c>
      <c r="AB43" s="4">
        <v>0</v>
      </c>
      <c r="AC43" s="6">
        <v>0.99</v>
      </c>
      <c r="AD43" s="6">
        <v>1.36</v>
      </c>
      <c r="AE43" s="1">
        <v>0</v>
      </c>
      <c r="AF43" s="1">
        <f ca="1">IFERROR(__xludf.DUMMYFUNCTION("IFERROR(GOOGLEFINANCE(TRIM(F43)&amp;"":"" &amp; TRIM(B43),""high52""),AE43)"),0)</f>
        <v>0</v>
      </c>
      <c r="AG43" s="1">
        <v>0</v>
      </c>
      <c r="AH43" s="1">
        <f ca="1">IFERROR(__xludf.DUMMYFUNCTION("IFERROR(GOOGLEFINANCE(TRIM(F43)&amp;"":"" &amp; TRIM(B43),""low52""),AE43)"),0)</f>
        <v>0</v>
      </c>
      <c r="AI43" s="1">
        <f ca="1">IFERROR(__xludf.DUMMYFUNCTION("IFERROR(GOOGLEFINANCE(B43,""eps""),0)"),0)</f>
        <v>0</v>
      </c>
      <c r="AJ43" s="1"/>
      <c r="AK43" s="1" t="s">
        <v>183</v>
      </c>
      <c r="AL43" s="1" t="b">
        <f t="shared" si="9"/>
        <v>1</v>
      </c>
    </row>
    <row r="44" spans="1:38" ht="15" x14ac:dyDescent="0.25">
      <c r="A44" s="1" t="s">
        <v>184</v>
      </c>
      <c r="B44" s="1" t="s">
        <v>185</v>
      </c>
      <c r="C44" s="1" t="s">
        <v>186</v>
      </c>
      <c r="D44" s="1" t="s">
        <v>186</v>
      </c>
      <c r="E44" s="6">
        <v>464.9</v>
      </c>
      <c r="F44" s="1" t="s">
        <v>40</v>
      </c>
      <c r="G44" s="6">
        <f ca="1">IFERROR(__xludf.DUMMYFUNCTION("iferror(GOOGLEFINANCE(TRIM(F44)&amp;"":"" &amp; TRIM(B44), ""price""),0
)"),411.5)</f>
        <v>411.5</v>
      </c>
      <c r="H44" s="6">
        <v>458.35</v>
      </c>
      <c r="I44" s="6">
        <f t="shared" ca="1" si="0"/>
        <v>411.5</v>
      </c>
      <c r="J44" s="6">
        <f ca="1">IFERROR(__xludf.DUMMYFUNCTION("IFERROR(GOOGLEFINANCE(B44, ""volume""), 0)"),6457)</f>
        <v>6457</v>
      </c>
      <c r="K44" s="6">
        <v>1.47</v>
      </c>
      <c r="L44" s="6">
        <f ca="1">IFERROR(__xludf.DUMMYFUNCTION("IFERROR(GOOGLEFINANCE(B44,""changepct""),K44)"),-3.66)</f>
        <v>-3.66</v>
      </c>
      <c r="M44" s="6">
        <f ca="1">IFERROR(__xludf.DUMMYFUNCTION("IFERROR(GOOGLEFINANCE(B44,""change""),0)"),-15.65)</f>
        <v>-15.65</v>
      </c>
      <c r="N44" s="6">
        <v>1</v>
      </c>
      <c r="O44" s="7">
        <v>45536</v>
      </c>
      <c r="P44" s="6">
        <v>94.46</v>
      </c>
      <c r="Q44" s="6">
        <v>558.74</v>
      </c>
      <c r="R44" s="7">
        <v>45352</v>
      </c>
      <c r="S44" s="6">
        <v>255.77</v>
      </c>
      <c r="T44" s="6">
        <v>6.7</v>
      </c>
      <c r="U44" s="7">
        <v>45352</v>
      </c>
      <c r="V44" s="6">
        <v>69.400000000000006</v>
      </c>
      <c r="W44" s="6">
        <f ca="1">IFERROR(__xludf.DUMMYFUNCTION("IFERROR(GOOGLEFINANCE(B44,""pe""),V44)"),49.59)</f>
        <v>49.59</v>
      </c>
      <c r="X44" s="9"/>
      <c r="Y44" s="6">
        <v>9.85</v>
      </c>
      <c r="Z44" s="6">
        <v>1</v>
      </c>
      <c r="AA44" s="8">
        <v>45352</v>
      </c>
      <c r="AB44" s="4">
        <v>2.57</v>
      </c>
      <c r="AC44" s="6">
        <v>14.95</v>
      </c>
      <c r="AD44" s="6">
        <v>10.76</v>
      </c>
      <c r="AE44" s="1">
        <v>0</v>
      </c>
      <c r="AF44" s="1">
        <f ca="1">IFERROR(__xludf.DUMMYFUNCTION("IFERROR(GOOGLEFINANCE(TRIM(F44)&amp;"":"" &amp; TRIM(B44),""high52""),AE44)"),504)</f>
        <v>504</v>
      </c>
      <c r="AG44" s="1">
        <v>0</v>
      </c>
      <c r="AH44" s="1">
        <f ca="1">IFERROR(__xludf.DUMMYFUNCTION("IFERROR(GOOGLEFINANCE(TRIM(F44)&amp;"":"" &amp; TRIM(B44),""low52""),AE44)"),380.05)</f>
        <v>380.05</v>
      </c>
      <c r="AI44" s="1">
        <f ca="1">IFERROR(__xludf.DUMMYFUNCTION("IFERROR(GOOGLEFINANCE(B44,""eps""),0)"),8.3)</f>
        <v>8.3000000000000007</v>
      </c>
      <c r="AJ44" s="1"/>
      <c r="AK44" s="1" t="s">
        <v>187</v>
      </c>
      <c r="AL44" s="9">
        <f>IF(AA44&lt;&gt;AB44,1,0)</f>
        <v>1</v>
      </c>
    </row>
    <row r="45" spans="1:38" ht="15" x14ac:dyDescent="0.25">
      <c r="A45" s="1" t="s">
        <v>188</v>
      </c>
      <c r="B45" s="1" t="s">
        <v>189</v>
      </c>
      <c r="C45" s="1" t="s">
        <v>99</v>
      </c>
      <c r="D45" s="1" t="s">
        <v>99</v>
      </c>
      <c r="E45" s="6">
        <v>73.180000000000007</v>
      </c>
      <c r="F45" s="1" t="s">
        <v>53</v>
      </c>
      <c r="G45" s="6">
        <f ca="1">IFERROR(__xludf.DUMMYFUNCTION("iferror(GOOGLEFINANCE(TRIM(F45)&amp;"":"" &amp; TRIM(B45), ""price""),0
)"),0)</f>
        <v>0</v>
      </c>
      <c r="H45" s="6">
        <v>201.35</v>
      </c>
      <c r="I45" s="6">
        <f t="shared" ca="1" si="0"/>
        <v>201.35</v>
      </c>
      <c r="J45" s="6">
        <f ca="1">IFERROR(__xludf.DUMMYFUNCTION("IFERROR(GOOGLEFINANCE(B45, ""volume""), 0)"),0)</f>
        <v>0</v>
      </c>
      <c r="K45" s="6">
        <v>4.33</v>
      </c>
      <c r="L45" s="6">
        <f ca="1">IFERROR(__xludf.DUMMYFUNCTION("IFERROR(GOOGLEFINANCE(B45,""changepct""),K45)"),4.33)</f>
        <v>4.33</v>
      </c>
      <c r="M45" s="6">
        <f ca="1">IFERROR(__xludf.DUMMYFUNCTION("IFERROR(GOOGLEFINANCE(B45,""change""),0)"),0)</f>
        <v>0</v>
      </c>
      <c r="N45" s="6">
        <v>2</v>
      </c>
      <c r="O45" s="7">
        <v>45536</v>
      </c>
      <c r="P45" s="6">
        <v>12.18</v>
      </c>
      <c r="Q45" s="6">
        <v>85.36</v>
      </c>
      <c r="R45" s="7">
        <v>45536</v>
      </c>
      <c r="S45" s="6">
        <v>612.85</v>
      </c>
      <c r="T45" s="6">
        <v>5.79</v>
      </c>
      <c r="U45" s="7">
        <v>45536</v>
      </c>
      <c r="V45" s="6">
        <v>12.66</v>
      </c>
      <c r="W45" s="6">
        <f ca="1">IFERROR(__xludf.DUMMYFUNCTION("IFERROR(GOOGLEFINANCE(B45,""pe""),V45)"),12.66)</f>
        <v>12.66</v>
      </c>
      <c r="X45" s="6">
        <v>-0.34</v>
      </c>
      <c r="Y45" s="6">
        <v>1.83</v>
      </c>
      <c r="Z45" s="6">
        <v>2</v>
      </c>
      <c r="AA45" s="8">
        <v>45352</v>
      </c>
      <c r="AB45" s="4">
        <v>1.1299999999999999</v>
      </c>
      <c r="AC45" s="6">
        <v>1.29</v>
      </c>
      <c r="AD45" s="6">
        <v>3.96</v>
      </c>
      <c r="AE45" s="1">
        <v>0</v>
      </c>
      <c r="AF45" s="1">
        <f ca="1">IFERROR(__xludf.DUMMYFUNCTION("IFERROR(GOOGLEFINANCE(TRIM(F45)&amp;"":"" &amp; TRIM(B45),""high52""),AE45)"),0)</f>
        <v>0</v>
      </c>
      <c r="AG45" s="1">
        <v>0</v>
      </c>
      <c r="AH45" s="1">
        <f ca="1">IFERROR(__xludf.DUMMYFUNCTION("IFERROR(GOOGLEFINANCE(TRIM(F45)&amp;"":"" &amp; TRIM(B45),""low52""),AE45)"),0)</f>
        <v>0</v>
      </c>
      <c r="AI45" s="1">
        <f ca="1">IFERROR(__xludf.DUMMYFUNCTION("IFERROR(GOOGLEFINANCE(B45,""eps""),0)"),0)</f>
        <v>0</v>
      </c>
      <c r="AJ45" s="1"/>
      <c r="AK45" s="1" t="s">
        <v>190</v>
      </c>
      <c r="AL45" s="1" t="b">
        <f t="shared" ref="AL45:AL48" si="10">ISNUMBER(AA45)</f>
        <v>1</v>
      </c>
    </row>
    <row r="46" spans="1:38" ht="15" x14ac:dyDescent="0.25">
      <c r="A46" s="1" t="s">
        <v>191</v>
      </c>
      <c r="B46" s="1" t="s">
        <v>192</v>
      </c>
      <c r="C46" s="1" t="s">
        <v>99</v>
      </c>
      <c r="D46" s="1" t="s">
        <v>99</v>
      </c>
      <c r="E46" s="6">
        <v>16.91</v>
      </c>
      <c r="F46" s="1" t="s">
        <v>53</v>
      </c>
      <c r="G46" s="6">
        <f ca="1">IFERROR(__xludf.DUMMYFUNCTION("iferror(GOOGLEFINANCE(TRIM(F46)&amp;"":"" &amp; TRIM(B46), ""price""),0
)"),0)</f>
        <v>0</v>
      </c>
      <c r="H46" s="6">
        <v>9.99</v>
      </c>
      <c r="I46" s="6">
        <f t="shared" ca="1" si="0"/>
        <v>9.99</v>
      </c>
      <c r="J46" s="6">
        <f ca="1">IFERROR(__xludf.DUMMYFUNCTION("IFERROR(GOOGLEFINANCE(B46, ""volume""), 0)"),0)</f>
        <v>0</v>
      </c>
      <c r="K46" s="6">
        <v>4.72</v>
      </c>
      <c r="L46" s="6">
        <f ca="1">IFERROR(__xludf.DUMMYFUNCTION("IFERROR(GOOGLEFINANCE(B46,""changepct""),K46)"),4.72)</f>
        <v>4.72</v>
      </c>
      <c r="M46" s="6">
        <f ca="1">IFERROR(__xludf.DUMMYFUNCTION("IFERROR(GOOGLEFINANCE(B46,""change""),0)"),0)</f>
        <v>0</v>
      </c>
      <c r="N46" s="6">
        <v>1</v>
      </c>
      <c r="O46" s="7">
        <v>45536</v>
      </c>
      <c r="P46" s="6">
        <v>2.73</v>
      </c>
      <c r="Q46" s="6">
        <v>19.64</v>
      </c>
      <c r="R46" s="7">
        <v>45536</v>
      </c>
      <c r="S46" s="6">
        <v>0</v>
      </c>
      <c r="T46" s="6">
        <v>-0.47</v>
      </c>
      <c r="U46" s="7">
        <v>45536</v>
      </c>
      <c r="V46" s="6">
        <v>0</v>
      </c>
      <c r="W46" s="6">
        <f ca="1">IFERROR(__xludf.DUMMYFUNCTION("IFERROR(GOOGLEFINANCE(B46,""pe""),V46)"),0)</f>
        <v>0</v>
      </c>
      <c r="X46" s="9"/>
      <c r="Y46" s="6">
        <v>-101.06</v>
      </c>
      <c r="Z46" s="6">
        <v>1</v>
      </c>
      <c r="AA46" s="8">
        <v>45352</v>
      </c>
      <c r="AB46" s="4">
        <v>-1.1100000000000001</v>
      </c>
      <c r="AC46" s="6">
        <v>0</v>
      </c>
      <c r="AD46" s="6">
        <v>-19.309999999999999</v>
      </c>
      <c r="AE46" s="1">
        <v>0</v>
      </c>
      <c r="AF46" s="1">
        <f ca="1">IFERROR(__xludf.DUMMYFUNCTION("IFERROR(GOOGLEFINANCE(TRIM(F46)&amp;"":"" &amp; TRIM(B46),""high52""),AE46)"),0)</f>
        <v>0</v>
      </c>
      <c r="AG46" s="1">
        <v>0</v>
      </c>
      <c r="AH46" s="1">
        <f ca="1">IFERROR(__xludf.DUMMYFUNCTION("IFERROR(GOOGLEFINANCE(TRIM(F46)&amp;"":"" &amp; TRIM(B46),""low52""),AE46)"),0)</f>
        <v>0</v>
      </c>
      <c r="AI46" s="1">
        <f ca="1">IFERROR(__xludf.DUMMYFUNCTION("IFERROR(GOOGLEFINANCE(B46,""eps""),0)"),0)</f>
        <v>0</v>
      </c>
      <c r="AJ46" s="1"/>
      <c r="AK46" s="1" t="s">
        <v>193</v>
      </c>
      <c r="AL46" s="1" t="b">
        <f t="shared" si="10"/>
        <v>1</v>
      </c>
    </row>
    <row r="47" spans="1:38" ht="15" x14ac:dyDescent="0.25">
      <c r="A47" s="1" t="s">
        <v>194</v>
      </c>
      <c r="B47" s="1" t="s">
        <v>195</v>
      </c>
      <c r="C47" s="1" t="s">
        <v>99</v>
      </c>
      <c r="D47" s="1" t="s">
        <v>99</v>
      </c>
      <c r="E47" s="6">
        <v>377.03</v>
      </c>
      <c r="F47" s="1" t="s">
        <v>53</v>
      </c>
      <c r="G47" s="6">
        <f ca="1">IFERROR(__xludf.DUMMYFUNCTION("iferror(GOOGLEFINANCE(TRIM(F47)&amp;"":"" &amp; TRIM(B47), ""price""),0
)"),0)</f>
        <v>0</v>
      </c>
      <c r="H47" s="6">
        <v>58.38</v>
      </c>
      <c r="I47" s="6">
        <f t="shared" ca="1" si="0"/>
        <v>58.38</v>
      </c>
      <c r="J47" s="6">
        <f ca="1">IFERROR(__xludf.DUMMYFUNCTION("IFERROR(GOOGLEFINANCE(B47, ""volume""), 0)"),0)</f>
        <v>0</v>
      </c>
      <c r="K47" s="6">
        <v>1.57</v>
      </c>
      <c r="L47" s="6">
        <f ca="1">IFERROR(__xludf.DUMMYFUNCTION("IFERROR(GOOGLEFINANCE(B47,""changepct""),K47)"),1.57)</f>
        <v>1.57</v>
      </c>
      <c r="M47" s="6">
        <f ca="1">IFERROR(__xludf.DUMMYFUNCTION("IFERROR(GOOGLEFINANCE(B47,""change""),0)"),0)</f>
        <v>0</v>
      </c>
      <c r="N47" s="6">
        <v>2</v>
      </c>
      <c r="O47" s="7">
        <v>45536</v>
      </c>
      <c r="P47" s="6">
        <v>0.63</v>
      </c>
      <c r="Q47" s="6">
        <v>370.59</v>
      </c>
      <c r="R47" s="7">
        <v>45536</v>
      </c>
      <c r="S47" s="6">
        <v>67.73</v>
      </c>
      <c r="T47" s="6">
        <v>-9.93</v>
      </c>
      <c r="U47" s="7">
        <v>45536</v>
      </c>
      <c r="V47" s="6">
        <v>0</v>
      </c>
      <c r="W47" s="6">
        <f ca="1">IFERROR(__xludf.DUMMYFUNCTION("IFERROR(GOOGLEFINANCE(B47,""pe""),V47)"),0)</f>
        <v>0</v>
      </c>
      <c r="X47" s="9"/>
      <c r="Y47" s="6">
        <v>2.6</v>
      </c>
      <c r="Z47" s="6">
        <v>2</v>
      </c>
      <c r="AA47" s="8">
        <v>45352</v>
      </c>
      <c r="AB47" s="4">
        <v>0.21</v>
      </c>
      <c r="AC47" s="6">
        <v>-16.329999999999998</v>
      </c>
      <c r="AD47" s="6">
        <v>-7.12</v>
      </c>
      <c r="AE47" s="1">
        <v>0</v>
      </c>
      <c r="AF47" s="1">
        <f ca="1">IFERROR(__xludf.DUMMYFUNCTION("IFERROR(GOOGLEFINANCE(TRIM(F47)&amp;"":"" &amp; TRIM(B47),""high52""),AE47)"),0)</f>
        <v>0</v>
      </c>
      <c r="AG47" s="1">
        <v>0</v>
      </c>
      <c r="AH47" s="1">
        <f ca="1">IFERROR(__xludf.DUMMYFUNCTION("IFERROR(GOOGLEFINANCE(TRIM(F47)&amp;"":"" &amp; TRIM(B47),""low52""),AE47)"),0)</f>
        <v>0</v>
      </c>
      <c r="AI47" s="1">
        <f ca="1">IFERROR(__xludf.DUMMYFUNCTION("IFERROR(GOOGLEFINANCE(B47,""eps""),0)"),0)</f>
        <v>0</v>
      </c>
      <c r="AJ47" s="1"/>
      <c r="AK47" s="1" t="s">
        <v>196</v>
      </c>
      <c r="AL47" s="1" t="b">
        <f t="shared" si="10"/>
        <v>1</v>
      </c>
    </row>
    <row r="48" spans="1:38" ht="15" x14ac:dyDescent="0.25">
      <c r="A48" s="1" t="s">
        <v>197</v>
      </c>
      <c r="B48" s="1" t="s">
        <v>198</v>
      </c>
      <c r="C48" s="1" t="s">
        <v>99</v>
      </c>
      <c r="D48" s="1" t="s">
        <v>99</v>
      </c>
      <c r="E48" s="6">
        <v>65.63</v>
      </c>
      <c r="F48" s="1" t="s">
        <v>53</v>
      </c>
      <c r="G48" s="6">
        <f ca="1">IFERROR(__xludf.DUMMYFUNCTION("iferror(GOOGLEFINANCE(TRIM(F48)&amp;"":"" &amp; TRIM(B48), ""price""),0
)"),0)</f>
        <v>0</v>
      </c>
      <c r="H48" s="6">
        <v>53</v>
      </c>
      <c r="I48" s="6">
        <f t="shared" ca="1" si="0"/>
        <v>53</v>
      </c>
      <c r="J48" s="6">
        <f ca="1">IFERROR(__xludf.DUMMYFUNCTION("IFERROR(GOOGLEFINANCE(B48, ""volume""), 0)"),0)</f>
        <v>0</v>
      </c>
      <c r="K48" s="6">
        <v>-1.1599999999999999</v>
      </c>
      <c r="L48" s="6">
        <f ca="1">IFERROR(__xludf.DUMMYFUNCTION("IFERROR(GOOGLEFINANCE(B48,""changepct""),K48)"),-1.16)</f>
        <v>-1.1599999999999999</v>
      </c>
      <c r="M48" s="6">
        <f ca="1">IFERROR(__xludf.DUMMYFUNCTION("IFERROR(GOOGLEFINANCE(B48,""change""),0)"),0)</f>
        <v>0</v>
      </c>
      <c r="N48" s="6">
        <v>1</v>
      </c>
      <c r="O48" s="7">
        <v>45536</v>
      </c>
      <c r="P48" s="9"/>
      <c r="Q48" s="6">
        <v>65.63</v>
      </c>
      <c r="R48" s="7">
        <v>45536</v>
      </c>
      <c r="S48" s="6">
        <v>0.41</v>
      </c>
      <c r="T48" s="6">
        <v>5.5</v>
      </c>
      <c r="U48" s="7">
        <v>45536</v>
      </c>
      <c r="V48" s="6">
        <v>11.94</v>
      </c>
      <c r="W48" s="6">
        <f ca="1">IFERROR(__xludf.DUMMYFUNCTION("IFERROR(GOOGLEFINANCE(B48,""pe""),V48)"),11.94)</f>
        <v>11.94</v>
      </c>
      <c r="X48" s="6">
        <v>0.17</v>
      </c>
      <c r="Y48" s="6">
        <v>0.85</v>
      </c>
      <c r="Z48" s="6">
        <v>1</v>
      </c>
      <c r="AA48" s="8">
        <v>45352</v>
      </c>
      <c r="AB48" s="4">
        <v>0</v>
      </c>
      <c r="AC48" s="6">
        <v>5.94</v>
      </c>
      <c r="AD48" s="6">
        <v>7.99</v>
      </c>
      <c r="AE48" s="1">
        <v>0</v>
      </c>
      <c r="AF48" s="1">
        <f ca="1">IFERROR(__xludf.DUMMYFUNCTION("IFERROR(GOOGLEFINANCE(TRIM(F48)&amp;"":"" &amp; TRIM(B48),""high52""),AE48)"),0)</f>
        <v>0</v>
      </c>
      <c r="AG48" s="1">
        <v>0</v>
      </c>
      <c r="AH48" s="1">
        <f ca="1">IFERROR(__xludf.DUMMYFUNCTION("IFERROR(GOOGLEFINANCE(TRIM(F48)&amp;"":"" &amp; TRIM(B48),""low52""),AE48)"),0)</f>
        <v>0</v>
      </c>
      <c r="AI48" s="1">
        <f ca="1">IFERROR(__xludf.DUMMYFUNCTION("IFERROR(GOOGLEFINANCE(B48,""eps""),0)"),0)</f>
        <v>0</v>
      </c>
      <c r="AJ48" s="1"/>
      <c r="AK48" s="1" t="s">
        <v>199</v>
      </c>
      <c r="AL48" s="1" t="b">
        <f t="shared" si="10"/>
        <v>1</v>
      </c>
    </row>
    <row r="49" spans="1:38" ht="15" x14ac:dyDescent="0.25">
      <c r="A49" s="1" t="s">
        <v>200</v>
      </c>
      <c r="B49" s="1" t="s">
        <v>201</v>
      </c>
      <c r="C49" s="1" t="s">
        <v>86</v>
      </c>
      <c r="D49" s="1" t="s">
        <v>86</v>
      </c>
      <c r="E49" s="6">
        <v>534.88</v>
      </c>
      <c r="F49" s="1" t="s">
        <v>40</v>
      </c>
      <c r="G49" s="6">
        <f ca="1">IFERROR(__xludf.DUMMYFUNCTION("iferror(GOOGLEFINANCE(TRIM(F49)&amp;"":"" &amp; TRIM(B49), ""price""),0
)"),18.06)</f>
        <v>18.059999999999999</v>
      </c>
      <c r="H49" s="6">
        <v>95</v>
      </c>
      <c r="I49" s="6">
        <f t="shared" ca="1" si="0"/>
        <v>18.059999999999999</v>
      </c>
      <c r="J49" s="6">
        <f ca="1">IFERROR(__xludf.DUMMYFUNCTION("IFERROR(GOOGLEFINANCE(B49, ""volume""), 0)"),1481411)</f>
        <v>1481411</v>
      </c>
      <c r="K49" s="6">
        <v>-2.83</v>
      </c>
      <c r="L49" s="6">
        <f ca="1">IFERROR(__xludf.DUMMYFUNCTION("IFERROR(GOOGLEFINANCE(B49,""changepct""),K49)"),-2.38)</f>
        <v>-2.38</v>
      </c>
      <c r="M49" s="6">
        <f ca="1">IFERROR(__xludf.DUMMYFUNCTION("IFERROR(GOOGLEFINANCE(B49,""change""),0)"),-0.44)</f>
        <v>-0.44</v>
      </c>
      <c r="N49" s="6">
        <v>1</v>
      </c>
      <c r="O49" s="7">
        <v>45536</v>
      </c>
      <c r="P49" s="6">
        <v>29.75</v>
      </c>
      <c r="Q49" s="6">
        <v>554.13</v>
      </c>
      <c r="R49" s="7">
        <v>45352</v>
      </c>
      <c r="S49" s="6">
        <v>183.81</v>
      </c>
      <c r="T49" s="6">
        <v>11.42</v>
      </c>
      <c r="U49" s="7">
        <v>45352</v>
      </c>
      <c r="V49" s="6">
        <v>46.85</v>
      </c>
      <c r="W49" s="6">
        <f ca="1">IFERROR(__xludf.DUMMYFUNCTION("IFERROR(GOOGLEFINANCE(B49,""pe""),V49)"),12.38)</f>
        <v>12.38</v>
      </c>
      <c r="X49" s="6">
        <v>1.44</v>
      </c>
      <c r="Y49" s="6">
        <v>5.69</v>
      </c>
      <c r="Z49" s="6">
        <v>1</v>
      </c>
      <c r="AA49" s="8">
        <v>45352</v>
      </c>
      <c r="AB49" s="4">
        <v>0.51</v>
      </c>
      <c r="AC49" s="6">
        <v>19.7</v>
      </c>
      <c r="AD49" s="6">
        <v>21.87</v>
      </c>
      <c r="AE49" s="1">
        <v>0</v>
      </c>
      <c r="AF49" s="1">
        <f ca="1">IFERROR(__xludf.DUMMYFUNCTION("IFERROR(GOOGLEFINANCE(TRIM(F49)&amp;"":"" &amp; TRIM(B49),""high52""),AE49)"),22.5)</f>
        <v>22.5</v>
      </c>
      <c r="AG49" s="1">
        <v>0</v>
      </c>
      <c r="AH49" s="1">
        <f ca="1">IFERROR(__xludf.DUMMYFUNCTION("IFERROR(GOOGLEFINANCE(TRIM(F49)&amp;"":"" &amp; TRIM(B49),""low52""),AE49)"),6.17)</f>
        <v>6.17</v>
      </c>
      <c r="AI49" s="1">
        <f ca="1">IFERROR(__xludf.DUMMYFUNCTION("IFERROR(GOOGLEFINANCE(B49,""eps""),0)"),1.46)</f>
        <v>1.46</v>
      </c>
      <c r="AJ49" s="1"/>
      <c r="AK49" s="1" t="s">
        <v>202</v>
      </c>
      <c r="AL49" s="9">
        <f t="shared" ref="AL49:AL54" si="11">IF(AA49&lt;&gt;AB49,1,0)</f>
        <v>1</v>
      </c>
    </row>
    <row r="50" spans="1:38" ht="15" x14ac:dyDescent="0.25">
      <c r="A50" s="1" t="s">
        <v>203</v>
      </c>
      <c r="B50" s="1" t="s">
        <v>204</v>
      </c>
      <c r="C50" s="1" t="s">
        <v>103</v>
      </c>
      <c r="D50" s="1" t="s">
        <v>103</v>
      </c>
      <c r="E50" s="6">
        <v>368.93</v>
      </c>
      <c r="F50" s="1" t="s">
        <v>40</v>
      </c>
      <c r="G50" s="6">
        <f ca="1">IFERROR(__xludf.DUMMYFUNCTION("iferror(GOOGLEFINANCE(TRIM(F50)&amp;"":"" &amp; TRIM(B50), ""price""),0
)"),21.12)</f>
        <v>21.12</v>
      </c>
      <c r="H50" s="6">
        <v>64.5</v>
      </c>
      <c r="I50" s="6">
        <f t="shared" ca="1" si="0"/>
        <v>21.12</v>
      </c>
      <c r="J50" s="6">
        <f ca="1">IFERROR(__xludf.DUMMYFUNCTION("IFERROR(GOOGLEFINANCE(B50, ""volume""), 0)"),28486)</f>
        <v>28486</v>
      </c>
      <c r="K50" s="6">
        <v>2.23</v>
      </c>
      <c r="L50" s="6">
        <f ca="1">IFERROR(__xludf.DUMMYFUNCTION("IFERROR(GOOGLEFINANCE(B50,""changepct""),K50)"),-1.95)</f>
        <v>-1.95</v>
      </c>
      <c r="M50" s="6">
        <f ca="1">IFERROR(__xludf.DUMMYFUNCTION("IFERROR(GOOGLEFINANCE(B50,""change""),0)"),-0.42)</f>
        <v>-0.42</v>
      </c>
      <c r="N50" s="6">
        <v>2</v>
      </c>
      <c r="O50" s="7">
        <v>45536</v>
      </c>
      <c r="P50" s="6">
        <v>15370.14</v>
      </c>
      <c r="Q50" s="6">
        <v>15739.06</v>
      </c>
      <c r="R50" s="7">
        <v>45536</v>
      </c>
      <c r="S50" s="6">
        <v>475.39</v>
      </c>
      <c r="T50" s="6">
        <v>-1018.24</v>
      </c>
      <c r="U50" s="7">
        <v>45536</v>
      </c>
      <c r="V50" s="6">
        <v>0</v>
      </c>
      <c r="W50" s="6">
        <f ca="1">IFERROR(__xludf.DUMMYFUNCTION("IFERROR(GOOGLEFINANCE(B50,""pe""),V50)"),0)</f>
        <v>0</v>
      </c>
      <c r="X50" s="6">
        <v>0</v>
      </c>
      <c r="Y50" s="6">
        <v>-0.02</v>
      </c>
      <c r="Z50" s="6">
        <v>2</v>
      </c>
      <c r="AA50" s="8">
        <v>45352</v>
      </c>
      <c r="AB50" s="4">
        <v>-0.64</v>
      </c>
      <c r="AC50" s="6">
        <v>0</v>
      </c>
      <c r="AD50" s="6">
        <v>0</v>
      </c>
      <c r="AE50" s="1">
        <v>0</v>
      </c>
      <c r="AF50" s="1">
        <f ca="1">IFERROR(__xludf.DUMMYFUNCTION("IFERROR(GOOGLEFINANCE(TRIM(F50)&amp;"":"" &amp; TRIM(B50),""high52""),AE50)"),61)</f>
        <v>61</v>
      </c>
      <c r="AG50" s="1">
        <v>0</v>
      </c>
      <c r="AH50" s="1">
        <f ca="1">IFERROR(__xludf.DUMMYFUNCTION("IFERROR(GOOGLEFINANCE(TRIM(F50)&amp;"":"" &amp; TRIM(B50),""low52""),AE50)"),18.06)</f>
        <v>18.059999999999999</v>
      </c>
      <c r="AI50" s="1">
        <f ca="1">IFERROR(__xludf.DUMMYFUNCTION("IFERROR(GOOGLEFINANCE(B50,""eps""),0)"),-187.92)</f>
        <v>-187.92</v>
      </c>
      <c r="AJ50" s="1"/>
      <c r="AK50" s="1" t="s">
        <v>205</v>
      </c>
      <c r="AL50" s="9">
        <f t="shared" si="11"/>
        <v>1</v>
      </c>
    </row>
    <row r="51" spans="1:38" ht="15" x14ac:dyDescent="0.25">
      <c r="A51" s="1" t="s">
        <v>206</v>
      </c>
      <c r="B51" s="1" t="s">
        <v>207</v>
      </c>
      <c r="C51" s="1" t="s">
        <v>208</v>
      </c>
      <c r="D51" s="1" t="s">
        <v>208</v>
      </c>
      <c r="E51" s="6">
        <v>1294.1300000000001</v>
      </c>
      <c r="F51" s="1" t="s">
        <v>40</v>
      </c>
      <c r="G51" s="6">
        <f ca="1">IFERROR(__xludf.DUMMYFUNCTION("iferror(GOOGLEFINANCE(TRIM(F51)&amp;"":"" &amp; TRIM(B51), ""price""),0
)"),0)</f>
        <v>0</v>
      </c>
      <c r="H51" s="6">
        <v>263.35000000000002</v>
      </c>
      <c r="I51" s="6">
        <f t="shared" ca="1" si="0"/>
        <v>263.35000000000002</v>
      </c>
      <c r="J51" s="6">
        <f ca="1">IFERROR(__xludf.DUMMYFUNCTION("IFERROR(GOOGLEFINANCE(B51, ""volume""), 0)"),0)</f>
        <v>0</v>
      </c>
      <c r="K51" s="6">
        <v>3.13</v>
      </c>
      <c r="L51" s="6">
        <f ca="1">IFERROR(__xludf.DUMMYFUNCTION("IFERROR(GOOGLEFINANCE(B51,""changepct""),K51)"),0)</f>
        <v>0</v>
      </c>
      <c r="M51" s="6">
        <f ca="1">IFERROR(__xludf.DUMMYFUNCTION("IFERROR(GOOGLEFINANCE(B51,""change""),0)"),0)</f>
        <v>0</v>
      </c>
      <c r="N51" s="6">
        <v>2</v>
      </c>
      <c r="O51" s="7">
        <v>45536</v>
      </c>
      <c r="P51" s="6">
        <v>96.62</v>
      </c>
      <c r="Q51" s="7">
        <v>45536</v>
      </c>
      <c r="R51" s="6">
        <v>14.58</v>
      </c>
      <c r="S51" s="9"/>
      <c r="T51" s="6">
        <v>1.29</v>
      </c>
      <c r="U51" s="6">
        <v>2</v>
      </c>
      <c r="V51" s="7">
        <v>45352</v>
      </c>
      <c r="W51" s="10">
        <f ca="1">IFERROR(__xludf.DUMMYFUNCTION("IFERROR(GOOGLEFINANCE(B51,""pe""),V51)"),45352)</f>
        <v>45352</v>
      </c>
      <c r="X51" s="6">
        <v>1.02</v>
      </c>
      <c r="Y51" s="6">
        <v>10.25</v>
      </c>
      <c r="Z51" s="6">
        <v>9.6999999999999993</v>
      </c>
      <c r="AA51" s="3" t="s">
        <v>209</v>
      </c>
      <c r="AB51" s="11"/>
      <c r="AC51" s="9"/>
      <c r="AD51" s="9"/>
      <c r="AE51" s="1">
        <v>0</v>
      </c>
      <c r="AF51" s="1">
        <f ca="1">IFERROR(__xludf.DUMMYFUNCTION("IFERROR(GOOGLEFINANCE(TRIM(F51)&amp;"":"" &amp; TRIM(B51),""high52""),AE51)"),0)</f>
        <v>0</v>
      </c>
      <c r="AG51" s="1">
        <v>0</v>
      </c>
      <c r="AH51" s="1">
        <f ca="1">IFERROR(__xludf.DUMMYFUNCTION("IFERROR(GOOGLEFINANCE(TRIM(F51)&amp;"":"" &amp; TRIM(B51),""low52""),AE51)"),0)</f>
        <v>0</v>
      </c>
      <c r="AI51" s="1">
        <f ca="1">IFERROR(__xludf.DUMMYFUNCTION("IFERROR(GOOGLEFINANCE(B51,""eps""),0)"),0)</f>
        <v>0</v>
      </c>
      <c r="AJ51" s="1"/>
      <c r="AK51" s="1" t="s">
        <v>210</v>
      </c>
      <c r="AL51" s="9">
        <f t="shared" si="11"/>
        <v>1</v>
      </c>
    </row>
    <row r="52" spans="1:38" ht="15" x14ac:dyDescent="0.25">
      <c r="A52" s="1" t="s">
        <v>211</v>
      </c>
      <c r="B52" s="1" t="s">
        <v>212</v>
      </c>
      <c r="C52" s="1" t="s">
        <v>125</v>
      </c>
      <c r="D52" s="1" t="s">
        <v>125</v>
      </c>
      <c r="E52" s="6">
        <v>146016.5</v>
      </c>
      <c r="F52" s="1" t="s">
        <v>40</v>
      </c>
      <c r="G52" s="6">
        <f ca="1">IFERROR(__xludf.DUMMYFUNCTION("iferror(GOOGLEFINANCE(TRIM(F52)&amp;"":"" &amp; TRIM(B52), ""price""),0
)"),5454.5)</f>
        <v>5454.5</v>
      </c>
      <c r="H52" s="6">
        <v>6874.6</v>
      </c>
      <c r="I52" s="6">
        <f t="shared" ca="1" si="0"/>
        <v>5454.5</v>
      </c>
      <c r="J52" s="6">
        <f ca="1">IFERROR(__xludf.DUMMYFUNCTION("IFERROR(GOOGLEFINANCE(B52, ""volume""), 0)"),644588)</f>
        <v>644588</v>
      </c>
      <c r="K52" s="6">
        <v>-0.25</v>
      </c>
      <c r="L52" s="6">
        <f ca="1">IFERROR(__xludf.DUMMYFUNCTION("IFERROR(GOOGLEFINANCE(B52,""changepct""),K52)"),-0.44)</f>
        <v>-0.44</v>
      </c>
      <c r="M52" s="6">
        <f ca="1">IFERROR(__xludf.DUMMYFUNCTION("IFERROR(GOOGLEFINANCE(B52,""change""),0)"),-0.02)</f>
        <v>-0.02</v>
      </c>
      <c r="N52" s="6">
        <v>1</v>
      </c>
      <c r="O52" s="7">
        <v>45444</v>
      </c>
      <c r="P52" s="9"/>
      <c r="Q52" s="6">
        <v>141007.20000000001</v>
      </c>
      <c r="R52" s="7">
        <v>45536</v>
      </c>
      <c r="S52" s="6">
        <v>11580.87</v>
      </c>
      <c r="T52" s="6">
        <v>1687.9</v>
      </c>
      <c r="U52" s="7">
        <v>45536</v>
      </c>
      <c r="V52" s="6">
        <v>86.51</v>
      </c>
      <c r="W52" s="6">
        <f ca="1">IFERROR(__xludf.DUMMYFUNCTION("IFERROR(GOOGLEFINANCE(B52,""pe""),V52)"),40.29)</f>
        <v>40.29</v>
      </c>
      <c r="X52" s="6">
        <v>4.45</v>
      </c>
      <c r="Y52" s="6">
        <v>21.53</v>
      </c>
      <c r="Z52" s="6">
        <v>1</v>
      </c>
      <c r="AA52" s="8">
        <v>45261</v>
      </c>
      <c r="AB52" s="4">
        <v>0</v>
      </c>
      <c r="AC52" s="6">
        <v>22.94</v>
      </c>
      <c r="AD52" s="6">
        <v>30.79</v>
      </c>
      <c r="AE52" s="1">
        <v>0</v>
      </c>
      <c r="AF52" s="1">
        <f ca="1">IFERROR(__xludf.DUMMYFUNCTION("IFERROR(GOOGLEFINANCE(TRIM(F52)&amp;"":"" &amp; TRIM(B52),""high52""),AE52)"),6260)</f>
        <v>6260</v>
      </c>
      <c r="AG52" s="1">
        <v>0</v>
      </c>
      <c r="AH52" s="1">
        <f ca="1">IFERROR(__xludf.DUMMYFUNCTION("IFERROR(GOOGLEFINANCE(TRIM(F52)&amp;"":"" &amp; TRIM(B52),""low52""),AE52)"),4637.5)</f>
        <v>4637.5</v>
      </c>
      <c r="AI52" s="1">
        <f ca="1">IFERROR(__xludf.DUMMYFUNCTION("IFERROR(GOOGLEFINANCE(B52,""eps""),0)"),0.11)</f>
        <v>0.11</v>
      </c>
      <c r="AJ52" s="1"/>
      <c r="AK52" s="1" t="s">
        <v>213</v>
      </c>
      <c r="AL52" s="9">
        <f t="shared" si="11"/>
        <v>1</v>
      </c>
    </row>
    <row r="53" spans="1:38" ht="15" x14ac:dyDescent="0.25">
      <c r="A53" s="1" t="s">
        <v>214</v>
      </c>
      <c r="B53" s="1" t="s">
        <v>215</v>
      </c>
      <c r="C53" s="1" t="s">
        <v>106</v>
      </c>
      <c r="D53" s="1" t="s">
        <v>106</v>
      </c>
      <c r="E53" s="6">
        <v>63622.75</v>
      </c>
      <c r="F53" s="1" t="s">
        <v>40</v>
      </c>
      <c r="G53" s="6">
        <f ca="1">IFERROR(__xludf.DUMMYFUNCTION("iferror(GOOGLEFINANCE(TRIM(F53)&amp;"":"" &amp; TRIM(B53), ""price""),0
)"),27290)</f>
        <v>27290</v>
      </c>
      <c r="H53" s="6">
        <v>29702</v>
      </c>
      <c r="I53" s="6">
        <f t="shared" ca="1" si="0"/>
        <v>27290</v>
      </c>
      <c r="J53" s="6">
        <f ca="1">IFERROR(__xludf.DUMMYFUNCTION("IFERROR(GOOGLEFINANCE(B53, ""volume""), 0)"),6255)</f>
        <v>6255</v>
      </c>
      <c r="K53" s="6">
        <v>-0.85</v>
      </c>
      <c r="L53" s="6">
        <f ca="1">IFERROR(__xludf.DUMMYFUNCTION("IFERROR(GOOGLEFINANCE(B53,""changepct""),K53)"),0.17)</f>
        <v>0.17</v>
      </c>
      <c r="M53" s="6">
        <f ca="1">IFERROR(__xludf.DUMMYFUNCTION("IFERROR(GOOGLEFINANCE(B53,""change""),0)"),45)</f>
        <v>45</v>
      </c>
      <c r="N53" s="6">
        <v>1</v>
      </c>
      <c r="O53" s="7">
        <v>45536</v>
      </c>
      <c r="P53" s="9"/>
      <c r="Q53" s="6">
        <v>62517.05</v>
      </c>
      <c r="R53" s="7">
        <v>45536</v>
      </c>
      <c r="S53" s="6">
        <v>6066.05</v>
      </c>
      <c r="T53" s="6">
        <v>1284.6600000000001</v>
      </c>
      <c r="U53" s="7">
        <v>45536</v>
      </c>
      <c r="V53" s="6">
        <v>49.52</v>
      </c>
      <c r="W53" s="6">
        <f ca="1">IFERROR(__xludf.DUMMYFUNCTION("IFERROR(GOOGLEFINANCE(B53,""pe""),V53)"),38.43)</f>
        <v>38.43</v>
      </c>
      <c r="X53" s="6">
        <v>2.2799999999999998</v>
      </c>
      <c r="Y53" s="6">
        <v>18.07</v>
      </c>
      <c r="Z53" s="6">
        <v>1</v>
      </c>
      <c r="AA53" s="8">
        <v>45352</v>
      </c>
      <c r="AB53" s="4">
        <v>0</v>
      </c>
      <c r="AC53" s="6">
        <v>35.31</v>
      </c>
      <c r="AD53" s="6">
        <v>47.34</v>
      </c>
      <c r="AE53" s="1">
        <v>0</v>
      </c>
      <c r="AF53" s="1">
        <f ca="1">IFERROR(__xludf.DUMMYFUNCTION("IFERROR(GOOGLEFINANCE(TRIM(F53)&amp;"":"" &amp; TRIM(B53),""high52""),AE53)"),37000)</f>
        <v>37000</v>
      </c>
      <c r="AG53" s="1">
        <v>0</v>
      </c>
      <c r="AH53" s="1">
        <f ca="1">IFERROR(__xludf.DUMMYFUNCTION("IFERROR(GOOGLEFINANCE(TRIM(F53)&amp;"":"" &amp; TRIM(B53),""low52""),AE53)"),25760.05)</f>
        <v>25760.05</v>
      </c>
      <c r="AI53" s="1">
        <f ca="1">IFERROR(__xludf.DUMMYFUNCTION("IFERROR(GOOGLEFINANCE(B53,""eps""),0)"),710.12)</f>
        <v>710.12</v>
      </c>
      <c r="AJ53" s="1"/>
      <c r="AK53" s="1" t="s">
        <v>216</v>
      </c>
      <c r="AL53" s="9">
        <f t="shared" si="11"/>
        <v>1</v>
      </c>
    </row>
    <row r="54" spans="1:38" ht="15" x14ac:dyDescent="0.25">
      <c r="A54" s="1" t="s">
        <v>217</v>
      </c>
      <c r="B54" s="1" t="s">
        <v>218</v>
      </c>
      <c r="C54" s="1" t="s">
        <v>219</v>
      </c>
      <c r="D54" s="1" t="s">
        <v>219</v>
      </c>
      <c r="E54" s="6">
        <v>96.47</v>
      </c>
      <c r="F54" s="1" t="s">
        <v>40</v>
      </c>
      <c r="G54" s="6">
        <f ca="1">IFERROR(__xludf.DUMMYFUNCTION("iferror(GOOGLEFINANCE(TRIM(F54)&amp;"":"" &amp; TRIM(B54), ""price""),0
)"),0)</f>
        <v>0</v>
      </c>
      <c r="H54" s="6">
        <v>50.5</v>
      </c>
      <c r="I54" s="6">
        <f t="shared" ca="1" si="0"/>
        <v>50.5</v>
      </c>
      <c r="J54" s="6">
        <f ca="1">IFERROR(__xludf.DUMMYFUNCTION("IFERROR(GOOGLEFINANCE(B54, ""volume""), 0)"),0)</f>
        <v>0</v>
      </c>
      <c r="K54" s="6">
        <v>-2.7</v>
      </c>
      <c r="L54" s="6">
        <f ca="1">IFERROR(__xludf.DUMMYFUNCTION("IFERROR(GOOGLEFINANCE(B54,""changepct""),K54)"),-2.7)</f>
        <v>-2.7</v>
      </c>
      <c r="M54" s="6">
        <f ca="1">IFERROR(__xludf.DUMMYFUNCTION("IFERROR(GOOGLEFINANCE(B54,""change""),0)"),0)</f>
        <v>0</v>
      </c>
      <c r="N54" s="6">
        <v>1</v>
      </c>
      <c r="O54" s="7">
        <v>45352</v>
      </c>
      <c r="P54" s="6">
        <v>23.73</v>
      </c>
      <c r="Q54" s="6">
        <v>119.89</v>
      </c>
      <c r="R54" s="14"/>
      <c r="S54" s="9"/>
      <c r="T54" s="9"/>
      <c r="U54" s="7">
        <v>45352</v>
      </c>
      <c r="V54" s="6">
        <v>25.51</v>
      </c>
      <c r="W54" s="6">
        <f ca="1">IFERROR(__xludf.DUMMYFUNCTION("IFERROR(GOOGLEFINANCE(B54,""pe""),V54)"),25.51)</f>
        <v>25.51</v>
      </c>
      <c r="X54" s="9"/>
      <c r="Y54" s="6">
        <v>1.75</v>
      </c>
      <c r="Z54" s="6">
        <v>1</v>
      </c>
      <c r="AA54" s="8">
        <v>45352</v>
      </c>
      <c r="AB54" s="4">
        <v>1.35</v>
      </c>
      <c r="AC54" s="6">
        <v>24.17</v>
      </c>
      <c r="AD54" s="6">
        <v>18.239999999999998</v>
      </c>
      <c r="AE54" s="1">
        <v>0</v>
      </c>
      <c r="AF54" s="1">
        <f ca="1">IFERROR(__xludf.DUMMYFUNCTION("IFERROR(GOOGLEFINANCE(TRIM(F54)&amp;"":"" &amp; TRIM(B54),""high52""),AE54)"),0)</f>
        <v>0</v>
      </c>
      <c r="AG54" s="1">
        <v>0</v>
      </c>
      <c r="AH54" s="1">
        <f ca="1">IFERROR(__xludf.DUMMYFUNCTION("IFERROR(GOOGLEFINANCE(TRIM(F54)&amp;"":"" &amp; TRIM(B54),""low52""),AE54)"),0)</f>
        <v>0</v>
      </c>
      <c r="AI54" s="1">
        <f ca="1">IFERROR(__xludf.DUMMYFUNCTION("IFERROR(GOOGLEFINANCE(B54,""eps""),0)"),0)</f>
        <v>0</v>
      </c>
      <c r="AJ54" s="1"/>
      <c r="AK54" s="1" t="s">
        <v>220</v>
      </c>
      <c r="AL54" s="9">
        <f t="shared" si="11"/>
        <v>1</v>
      </c>
    </row>
    <row r="55" spans="1:38" ht="15" x14ac:dyDescent="0.25">
      <c r="A55" s="1" t="s">
        <v>221</v>
      </c>
      <c r="B55" s="1" t="s">
        <v>222</v>
      </c>
      <c r="C55" s="1" t="s">
        <v>223</v>
      </c>
      <c r="D55" s="1" t="s">
        <v>223</v>
      </c>
      <c r="E55" s="6">
        <v>49.59</v>
      </c>
      <c r="F55" s="1" t="s">
        <v>40</v>
      </c>
      <c r="G55" s="6">
        <f ca="1">IFERROR(__xludf.DUMMYFUNCTION("iferror(GOOGLEFINANCE(TRIM(F55)&amp;"":"" &amp; TRIM(B55), ""price""),0
)"),0)</f>
        <v>0</v>
      </c>
      <c r="H55" s="6">
        <v>82.35</v>
      </c>
      <c r="I55" s="6">
        <f t="shared" ca="1" si="0"/>
        <v>82.35</v>
      </c>
      <c r="J55" s="6">
        <f ca="1">IFERROR(__xludf.DUMMYFUNCTION("IFERROR(GOOGLEFINANCE(B55, ""volume""), 0)"),0)</f>
        <v>0</v>
      </c>
      <c r="K55" s="9"/>
      <c r="L55" s="6" t="str">
        <f ca="1">IFERROR(__xludf.DUMMYFUNCTION("IFERROR(GOOGLEFINANCE(B55,""changepct""),K55)"),"")</f>
        <v/>
      </c>
      <c r="M55" s="6">
        <f ca="1">IFERROR(__xludf.DUMMYFUNCTION("IFERROR(GOOGLEFINANCE(B55,""change""),0)"),0)</f>
        <v>0</v>
      </c>
      <c r="N55" s="6">
        <v>1</v>
      </c>
      <c r="O55" s="7">
        <v>45536</v>
      </c>
      <c r="P55" s="6">
        <v>7.2</v>
      </c>
      <c r="Q55" s="6">
        <v>56.79</v>
      </c>
      <c r="R55" s="7">
        <v>45352</v>
      </c>
      <c r="S55" s="6">
        <v>25.45</v>
      </c>
      <c r="T55" s="6">
        <v>0.77</v>
      </c>
      <c r="U55" s="7">
        <v>45352</v>
      </c>
      <c r="V55" s="6">
        <v>64.47</v>
      </c>
      <c r="W55" s="6">
        <f ca="1">IFERROR(__xludf.DUMMYFUNCTION("IFERROR(GOOGLEFINANCE(B55,""pe""),V55)"),64.47)</f>
        <v>64.47</v>
      </c>
      <c r="X55" s="9"/>
      <c r="Y55" s="6">
        <v>5.37</v>
      </c>
      <c r="Z55" s="6">
        <v>1</v>
      </c>
      <c r="AA55" s="8">
        <v>45352</v>
      </c>
      <c r="AB55" s="4">
        <v>0.61</v>
      </c>
      <c r="AC55" s="6">
        <v>8.69</v>
      </c>
      <c r="AD55" s="6">
        <v>13.07</v>
      </c>
      <c r="AE55" s="1">
        <v>0</v>
      </c>
      <c r="AF55" s="1">
        <f ca="1">IFERROR(__xludf.DUMMYFUNCTION("IFERROR(GOOGLEFINANCE(TRIM(F55)&amp;"":"" &amp; TRIM(B55),""high52""),AE55)"),0)</f>
        <v>0</v>
      </c>
      <c r="AG55" s="1">
        <v>0</v>
      </c>
      <c r="AH55" s="1">
        <f ca="1">IFERROR(__xludf.DUMMYFUNCTION("IFERROR(GOOGLEFINANCE(TRIM(F55)&amp;"":"" &amp; TRIM(B55),""low52""),AE55)"),0)</f>
        <v>0</v>
      </c>
      <c r="AI55" s="1">
        <f ca="1">IFERROR(__xludf.DUMMYFUNCTION("IFERROR(GOOGLEFINANCE(B55,""eps""),0)"),0)</f>
        <v>0</v>
      </c>
      <c r="AJ55" s="1"/>
      <c r="AK55" s="1" t="s">
        <v>224</v>
      </c>
      <c r="AL55" s="1" t="b">
        <f>ISNUMBER(AA55)</f>
        <v>1</v>
      </c>
    </row>
    <row r="56" spans="1:38" ht="15" x14ac:dyDescent="0.25">
      <c r="A56" s="1" t="s">
        <v>225</v>
      </c>
      <c r="B56" s="1" t="s">
        <v>226</v>
      </c>
      <c r="C56" s="1" t="s">
        <v>227</v>
      </c>
      <c r="D56" s="1" t="s">
        <v>227</v>
      </c>
      <c r="E56" s="6">
        <v>64.34</v>
      </c>
      <c r="F56" s="1" t="s">
        <v>40</v>
      </c>
      <c r="G56" s="6">
        <f ca="1">IFERROR(__xludf.DUMMYFUNCTION("iferror(GOOGLEFINANCE(TRIM(F56)&amp;"":"" &amp; TRIM(B56), ""price""),0
)"),37.7)</f>
        <v>37.700000000000003</v>
      </c>
      <c r="H56" s="6">
        <v>64.97</v>
      </c>
      <c r="I56" s="6">
        <f t="shared" ca="1" si="0"/>
        <v>37.700000000000003</v>
      </c>
      <c r="J56" s="6">
        <f ca="1">IFERROR(__xludf.DUMMYFUNCTION("IFERROR(GOOGLEFINANCE(B56, ""volume""), 0)"),661)</f>
        <v>661</v>
      </c>
      <c r="K56" s="6">
        <v>-5</v>
      </c>
      <c r="L56" s="6">
        <f ca="1">IFERROR(__xludf.DUMMYFUNCTION("IFERROR(GOOGLEFINANCE(B56,""changepct""),K56)"),7.1)</f>
        <v>7.1</v>
      </c>
      <c r="M56" s="6">
        <f ca="1">IFERROR(__xludf.DUMMYFUNCTION("IFERROR(GOOGLEFINANCE(B56,""change""),0)"),2.5)</f>
        <v>2.5</v>
      </c>
      <c r="N56" s="6">
        <v>2</v>
      </c>
      <c r="O56" s="7">
        <v>45536</v>
      </c>
      <c r="P56" s="6">
        <v>21.63</v>
      </c>
      <c r="Q56" s="6">
        <v>85.97</v>
      </c>
      <c r="R56" s="7">
        <v>45536</v>
      </c>
      <c r="S56" s="6">
        <v>82.51</v>
      </c>
      <c r="T56" s="6">
        <v>7.0000000000000007E-2</v>
      </c>
      <c r="U56" s="7">
        <v>45536</v>
      </c>
      <c r="V56" s="6">
        <v>835.6</v>
      </c>
      <c r="W56" s="6">
        <f ca="1">IFERROR(__xludf.DUMMYFUNCTION("IFERROR(GOOGLEFINANCE(B56,""pe""),V56)"),835.6)</f>
        <v>835.6</v>
      </c>
      <c r="X56" s="6">
        <v>-21.65</v>
      </c>
      <c r="Y56" s="6">
        <v>3.72</v>
      </c>
      <c r="Z56" s="6">
        <v>2</v>
      </c>
      <c r="AA56" s="8">
        <v>45352</v>
      </c>
      <c r="AB56" s="4">
        <v>0.68</v>
      </c>
      <c r="AC56" s="6">
        <v>-20.75</v>
      </c>
      <c r="AD56" s="6">
        <v>-18.73</v>
      </c>
      <c r="AE56" s="1">
        <v>0</v>
      </c>
      <c r="AF56" s="1">
        <f ca="1">IFERROR(__xludf.DUMMYFUNCTION("IFERROR(GOOGLEFINANCE(TRIM(F56)&amp;"":"" &amp; TRIM(B56),""high52""),AE56)"),78.21)</f>
        <v>78.209999999999994</v>
      </c>
      <c r="AG56" s="1">
        <v>0</v>
      </c>
      <c r="AH56" s="1">
        <f ca="1">IFERROR(__xludf.DUMMYFUNCTION("IFERROR(GOOGLEFINANCE(TRIM(F56)&amp;"":"" &amp; TRIM(B56),""low52""),AE56)"),34)</f>
        <v>34</v>
      </c>
      <c r="AI56" s="1">
        <f ca="1">IFERROR(__xludf.DUMMYFUNCTION("IFERROR(GOOGLEFINANCE(B56,""eps""),0)"),-4.62)</f>
        <v>-4.62</v>
      </c>
      <c r="AJ56" s="1"/>
      <c r="AK56" s="1" t="s">
        <v>228</v>
      </c>
      <c r="AL56" s="9">
        <f t="shared" ref="AL56:AL57" si="12">IF(AA56&lt;&gt;AB56,1,0)</f>
        <v>1</v>
      </c>
    </row>
    <row r="57" spans="1:38" ht="15" x14ac:dyDescent="0.25">
      <c r="A57" s="1" t="s">
        <v>229</v>
      </c>
      <c r="B57" s="1" t="s">
        <v>230</v>
      </c>
      <c r="C57" s="1" t="s">
        <v>231</v>
      </c>
      <c r="D57" s="1" t="s">
        <v>231</v>
      </c>
      <c r="E57" s="6">
        <v>499.47</v>
      </c>
      <c r="F57" s="1" t="s">
        <v>40</v>
      </c>
      <c r="G57" s="6">
        <f ca="1">IFERROR(__xludf.DUMMYFUNCTION("iferror(GOOGLEFINANCE(TRIM(F57)&amp;"":"" &amp; TRIM(B57), ""price""),0
)"),0)</f>
        <v>0</v>
      </c>
      <c r="H57" s="6">
        <v>200.05</v>
      </c>
      <c r="I57" s="6">
        <f t="shared" ca="1" si="0"/>
        <v>200.05</v>
      </c>
      <c r="J57" s="6">
        <f ca="1">IFERROR(__xludf.DUMMYFUNCTION("IFERROR(GOOGLEFINANCE(B57, ""volume""), 0)"),0)</f>
        <v>0</v>
      </c>
      <c r="K57" s="6">
        <v>-1.67</v>
      </c>
      <c r="L57" s="6">
        <f ca="1">IFERROR(__xludf.DUMMYFUNCTION("IFERROR(GOOGLEFINANCE(B57,""changepct""),K57)"),-1.67)</f>
        <v>-1.67</v>
      </c>
      <c r="M57" s="6">
        <f ca="1">IFERROR(__xludf.DUMMYFUNCTION("IFERROR(GOOGLEFINANCE(B57,""change""),0)"),0)</f>
        <v>0</v>
      </c>
      <c r="N57" s="6">
        <v>1</v>
      </c>
      <c r="O57" s="7">
        <v>45536</v>
      </c>
      <c r="P57" s="6">
        <v>20.25</v>
      </c>
      <c r="Q57" s="6">
        <v>519.72</v>
      </c>
      <c r="R57" s="14"/>
      <c r="S57" s="9"/>
      <c r="T57" s="9"/>
      <c r="U57" s="7">
        <v>45352</v>
      </c>
      <c r="V57" s="6">
        <v>25.57</v>
      </c>
      <c r="W57" s="6">
        <f ca="1">IFERROR(__xludf.DUMMYFUNCTION("IFERROR(GOOGLEFINANCE(B57,""pe""),V57)"),25.57)</f>
        <v>25.57</v>
      </c>
      <c r="X57" s="9"/>
      <c r="Y57" s="6">
        <v>2.27</v>
      </c>
      <c r="Z57" s="6">
        <v>2</v>
      </c>
      <c r="AA57" s="8">
        <v>45352</v>
      </c>
      <c r="AB57" s="4">
        <v>0.39</v>
      </c>
      <c r="AC57" s="6">
        <v>24.11</v>
      </c>
      <c r="AD57" s="6">
        <v>20.420000000000002</v>
      </c>
      <c r="AE57" s="1">
        <v>0</v>
      </c>
      <c r="AF57" s="1">
        <f ca="1">IFERROR(__xludf.DUMMYFUNCTION("IFERROR(GOOGLEFINANCE(TRIM(F57)&amp;"":"" &amp; TRIM(B57),""high52""),AE57)"),0)</f>
        <v>0</v>
      </c>
      <c r="AG57" s="1">
        <v>0</v>
      </c>
      <c r="AH57" s="1">
        <f ca="1">IFERROR(__xludf.DUMMYFUNCTION("IFERROR(GOOGLEFINANCE(TRIM(F57)&amp;"":"" &amp; TRIM(B57),""low52""),AE57)"),0)</f>
        <v>0</v>
      </c>
      <c r="AI57" s="1">
        <f ca="1">IFERROR(__xludf.DUMMYFUNCTION("IFERROR(GOOGLEFINANCE(B57,""eps""),0)"),0)</f>
        <v>0</v>
      </c>
      <c r="AJ57" s="1"/>
      <c r="AK57" s="1" t="s">
        <v>232</v>
      </c>
      <c r="AL57" s="9">
        <f t="shared" si="12"/>
        <v>1</v>
      </c>
    </row>
    <row r="58" spans="1:38" ht="15" x14ac:dyDescent="0.25">
      <c r="A58" s="1" t="s">
        <v>233</v>
      </c>
      <c r="B58" s="1" t="s">
        <v>234</v>
      </c>
      <c r="C58" s="1" t="s">
        <v>235</v>
      </c>
      <c r="D58" s="1" t="s">
        <v>235</v>
      </c>
      <c r="E58" s="6">
        <v>7109.51</v>
      </c>
      <c r="F58" s="1" t="s">
        <v>53</v>
      </c>
      <c r="G58" s="6">
        <f ca="1">IFERROR(__xludf.DUMMYFUNCTION("iferror(GOOGLEFINANCE(TRIM(F58)&amp;"":"" &amp; TRIM(B58), ""price""),0
)"),0)</f>
        <v>0</v>
      </c>
      <c r="H58" s="6">
        <v>55.74</v>
      </c>
      <c r="I58" s="6">
        <f t="shared" ca="1" si="0"/>
        <v>55.74</v>
      </c>
      <c r="J58" s="6">
        <f ca="1">IFERROR(__xludf.DUMMYFUNCTION("IFERROR(GOOGLEFINANCE(B58, ""volume""), 0)"),0)</f>
        <v>0</v>
      </c>
      <c r="K58" s="6">
        <v>0.49</v>
      </c>
      <c r="L58" s="6">
        <f ca="1">IFERROR(__xludf.DUMMYFUNCTION("IFERROR(GOOGLEFINANCE(B58,""changepct""),K58)"),0.49)</f>
        <v>0.49</v>
      </c>
      <c r="M58" s="6">
        <f ca="1">IFERROR(__xludf.DUMMYFUNCTION("IFERROR(GOOGLEFINANCE(B58,""change""),0)"),0)</f>
        <v>0</v>
      </c>
      <c r="N58" s="6">
        <v>1</v>
      </c>
      <c r="O58" s="7">
        <v>45352</v>
      </c>
      <c r="P58" s="6">
        <v>1152.1099999999999</v>
      </c>
      <c r="Q58" s="6">
        <v>8047.04</v>
      </c>
      <c r="R58" s="7">
        <v>45444</v>
      </c>
      <c r="S58" s="6">
        <v>6743.75</v>
      </c>
      <c r="T58" s="6">
        <v>-464.04</v>
      </c>
      <c r="U58" s="7">
        <v>45444</v>
      </c>
      <c r="V58" s="6">
        <v>0</v>
      </c>
      <c r="W58" s="6">
        <f ca="1">IFERROR(__xludf.DUMMYFUNCTION("IFERROR(GOOGLEFINANCE(B58,""pe""),V58)"),0)</f>
        <v>0</v>
      </c>
      <c r="X58" s="6">
        <v>0</v>
      </c>
      <c r="Y58" s="6">
        <v>18.89</v>
      </c>
      <c r="Z58" s="6">
        <v>2</v>
      </c>
      <c r="AA58" s="8">
        <v>45352</v>
      </c>
      <c r="AB58" s="4">
        <v>-0.21</v>
      </c>
      <c r="AC58" s="6">
        <v>0</v>
      </c>
      <c r="AD58" s="6">
        <v>0</v>
      </c>
      <c r="AE58" s="1">
        <v>0</v>
      </c>
      <c r="AF58" s="1">
        <f ca="1">IFERROR(__xludf.DUMMYFUNCTION("IFERROR(GOOGLEFINANCE(TRIM(F58)&amp;"":"" &amp; TRIM(B58),""high52""),AE58)"),0)</f>
        <v>0</v>
      </c>
      <c r="AG58" s="1">
        <v>0</v>
      </c>
      <c r="AH58" s="1">
        <f ca="1">IFERROR(__xludf.DUMMYFUNCTION("IFERROR(GOOGLEFINANCE(TRIM(F58)&amp;"":"" &amp; TRIM(B58),""low52""),AE58)"),0)</f>
        <v>0</v>
      </c>
      <c r="AI58" s="1">
        <f ca="1">IFERROR(__xludf.DUMMYFUNCTION("IFERROR(GOOGLEFINANCE(B58,""eps""),0)"),0)</f>
        <v>0</v>
      </c>
      <c r="AJ58" s="1"/>
      <c r="AK58" s="1" t="s">
        <v>236</v>
      </c>
      <c r="AL58" s="1" t="b">
        <f t="shared" ref="AL58:AL59" si="13">ISNUMBER(AA58)</f>
        <v>1</v>
      </c>
    </row>
    <row r="59" spans="1:38" ht="15" x14ac:dyDescent="0.25">
      <c r="A59" s="1" t="s">
        <v>237</v>
      </c>
      <c r="B59" s="1" t="s">
        <v>238</v>
      </c>
      <c r="C59" s="1" t="s">
        <v>239</v>
      </c>
      <c r="D59" s="1" t="s">
        <v>239</v>
      </c>
      <c r="E59" s="6">
        <v>38851.31</v>
      </c>
      <c r="F59" s="1" t="s">
        <v>40</v>
      </c>
      <c r="G59" s="6">
        <f ca="1">IFERROR(__xludf.DUMMYFUNCTION("iferror(GOOGLEFINANCE(TRIM(F59)&amp;"":"" &amp; TRIM(B59), ""price""),0
)"),1637.9)</f>
        <v>1637.9</v>
      </c>
      <c r="H59" s="6">
        <v>2069</v>
      </c>
      <c r="I59" s="6">
        <f t="shared" ca="1" si="0"/>
        <v>1637.9</v>
      </c>
      <c r="J59" s="6">
        <f ca="1">IFERROR(__xludf.DUMMYFUNCTION("IFERROR(GOOGLEFINANCE(B59, ""volume""), 0)"),0)</f>
        <v>0</v>
      </c>
      <c r="K59" s="6">
        <v>-0.06</v>
      </c>
      <c r="L59" s="6">
        <f ca="1">IFERROR(__xludf.DUMMYFUNCTION("IFERROR(GOOGLEFINANCE(B59,""changepct""),K59)"),-0.06)</f>
        <v>-0.06</v>
      </c>
      <c r="M59" s="6">
        <f ca="1">IFERROR(__xludf.DUMMYFUNCTION("IFERROR(GOOGLEFINANCE(B59,""change""),0)"),0)</f>
        <v>0</v>
      </c>
      <c r="N59" s="6">
        <v>2</v>
      </c>
      <c r="O59" s="7">
        <v>45536</v>
      </c>
      <c r="P59" s="9"/>
      <c r="Q59" s="6">
        <v>37667.99</v>
      </c>
      <c r="R59" s="7">
        <v>45536</v>
      </c>
      <c r="S59" s="6">
        <v>20091.490000000002</v>
      </c>
      <c r="T59" s="6">
        <v>2034.73</v>
      </c>
      <c r="U59" s="7">
        <v>45536</v>
      </c>
      <c r="V59" s="6">
        <v>19.010000000000002</v>
      </c>
      <c r="W59" s="6">
        <f ca="1">IFERROR(__xludf.DUMMYFUNCTION("IFERROR(GOOGLEFINANCE(B59,""pe""),V59)"),19.01)</f>
        <v>19.010000000000002</v>
      </c>
      <c r="X59" s="6">
        <v>2.68</v>
      </c>
      <c r="Y59" s="6">
        <v>2.3199999999999998</v>
      </c>
      <c r="Z59" s="6">
        <v>2</v>
      </c>
      <c r="AA59" s="8">
        <v>45352</v>
      </c>
      <c r="AB59" s="4">
        <v>0</v>
      </c>
      <c r="AC59" s="6">
        <v>15.34</v>
      </c>
      <c r="AD59" s="6">
        <v>19.13</v>
      </c>
      <c r="AE59" s="1">
        <v>0</v>
      </c>
      <c r="AF59" s="1">
        <f ca="1">IFERROR(__xludf.DUMMYFUNCTION("IFERROR(GOOGLEFINANCE(TRIM(F59)&amp;"":"" &amp; TRIM(B59),""high52""),AE59)"),2119.9)</f>
        <v>2119.9</v>
      </c>
      <c r="AG59" s="1">
        <v>0</v>
      </c>
      <c r="AH59" s="1">
        <f ca="1">IFERROR(__xludf.DUMMYFUNCTION("IFERROR(GOOGLEFINANCE(TRIM(F59)&amp;"":"" &amp; TRIM(B59),""low52""),AE59)"),1593)</f>
        <v>1593</v>
      </c>
      <c r="AI59" s="1">
        <f ca="1">IFERROR(__xludf.DUMMYFUNCTION("IFERROR(GOOGLEFINANCE(B59,""eps""),0)"),0)</f>
        <v>0</v>
      </c>
      <c r="AJ59" s="1"/>
      <c r="AK59" s="1" t="s">
        <v>240</v>
      </c>
      <c r="AL59" s="1" t="b">
        <f t="shared" si="13"/>
        <v>1</v>
      </c>
    </row>
    <row r="60" spans="1:38" ht="15" x14ac:dyDescent="0.25">
      <c r="A60" s="1" t="s">
        <v>241</v>
      </c>
      <c r="B60" s="1" t="s">
        <v>242</v>
      </c>
      <c r="C60" s="1" t="s">
        <v>57</v>
      </c>
      <c r="D60" s="1" t="s">
        <v>57</v>
      </c>
      <c r="E60" s="6">
        <v>2298.79</v>
      </c>
      <c r="F60" s="1" t="s">
        <v>40</v>
      </c>
      <c r="G60" s="6">
        <f ca="1">IFERROR(__xludf.DUMMYFUNCTION("iferror(GOOGLEFINANCE(TRIM(F60)&amp;"":"" &amp; TRIM(B60), ""price""),0
)"),1325)</f>
        <v>1325</v>
      </c>
      <c r="H60" s="6">
        <v>1560</v>
      </c>
      <c r="I60" s="6">
        <f t="shared" ca="1" si="0"/>
        <v>1325</v>
      </c>
      <c r="J60" s="6">
        <f ca="1">IFERROR(__xludf.DUMMYFUNCTION("IFERROR(GOOGLEFINANCE(B60, ""volume""), 0)"),24201)</f>
        <v>24201</v>
      </c>
      <c r="K60" s="6">
        <v>1.48</v>
      </c>
      <c r="L60" s="6">
        <f ca="1">IFERROR(__xludf.DUMMYFUNCTION("IFERROR(GOOGLEFINANCE(B60,""changepct""),K60)"),0.26)</f>
        <v>0.26</v>
      </c>
      <c r="M60" s="6">
        <f ca="1">IFERROR(__xludf.DUMMYFUNCTION("IFERROR(GOOGLEFINANCE(B60,""change""),0)"),3.4)</f>
        <v>3.4</v>
      </c>
      <c r="N60" s="6">
        <v>2</v>
      </c>
      <c r="O60" s="7">
        <v>45444</v>
      </c>
      <c r="P60" s="6">
        <v>0</v>
      </c>
      <c r="Q60" s="6">
        <v>2192.7600000000002</v>
      </c>
      <c r="R60" s="7">
        <v>45536</v>
      </c>
      <c r="S60" s="6">
        <v>510.97</v>
      </c>
      <c r="T60" s="6">
        <v>94.78</v>
      </c>
      <c r="U60" s="7">
        <v>45536</v>
      </c>
      <c r="V60" s="6">
        <v>24.25</v>
      </c>
      <c r="W60" s="6">
        <f ca="1">IFERROR(__xludf.DUMMYFUNCTION("IFERROR(GOOGLEFINANCE(B60,""pe""),V60)"),15.68)</f>
        <v>15.68</v>
      </c>
      <c r="X60" s="6">
        <v>12.63</v>
      </c>
      <c r="Y60" s="6">
        <v>7.29</v>
      </c>
      <c r="Z60" s="6">
        <v>2</v>
      </c>
      <c r="AA60" s="8">
        <v>45444</v>
      </c>
      <c r="AB60" s="4">
        <v>0</v>
      </c>
      <c r="AC60" s="6">
        <v>33.950000000000003</v>
      </c>
      <c r="AD60" s="6">
        <v>49.92</v>
      </c>
      <c r="AE60" s="1">
        <v>0</v>
      </c>
      <c r="AF60" s="1">
        <f ca="1">IFERROR(__xludf.DUMMYFUNCTION("IFERROR(GOOGLEFINANCE(TRIM(F60)&amp;"":"" &amp; TRIM(B60),""high52""),AE60)"),1527)</f>
        <v>1527</v>
      </c>
      <c r="AG60" s="1">
        <v>0</v>
      </c>
      <c r="AH60" s="1">
        <f ca="1">IFERROR(__xludf.DUMMYFUNCTION("IFERROR(GOOGLEFINANCE(TRIM(F60)&amp;"":"" &amp; TRIM(B60),""low52""),AE60)"),1218.5)</f>
        <v>1218.5</v>
      </c>
      <c r="AI60" s="1">
        <f ca="1">IFERROR(__xludf.DUMMYFUNCTION("IFERROR(GOOGLEFINANCE(B60,""eps""),0)"),84.53)</f>
        <v>84.53</v>
      </c>
      <c r="AJ60" s="1"/>
      <c r="AK60" s="1" t="s">
        <v>243</v>
      </c>
      <c r="AL60" s="9">
        <f>IF(AA60&lt;&gt;AB60,1,0)</f>
        <v>1</v>
      </c>
    </row>
    <row r="61" spans="1:38" ht="15" x14ac:dyDescent="0.25">
      <c r="A61" s="1" t="s">
        <v>244</v>
      </c>
      <c r="B61" s="1" t="s">
        <v>245</v>
      </c>
      <c r="C61" s="1" t="s">
        <v>235</v>
      </c>
      <c r="D61" s="1" t="s">
        <v>235</v>
      </c>
      <c r="E61" s="6">
        <v>911.06</v>
      </c>
      <c r="F61" s="1" t="s">
        <v>53</v>
      </c>
      <c r="G61" s="6">
        <f ca="1">IFERROR(__xludf.DUMMYFUNCTION("iferror(GOOGLEFINANCE(TRIM(F61)&amp;"":"" &amp; TRIM(B61), ""price""),0
)"),0)</f>
        <v>0</v>
      </c>
      <c r="H61" s="6">
        <v>2930</v>
      </c>
      <c r="I61" s="6">
        <f t="shared" ca="1" si="0"/>
        <v>2930</v>
      </c>
      <c r="J61" s="6">
        <f ca="1">IFERROR(__xludf.DUMMYFUNCTION("IFERROR(GOOGLEFINANCE(B61, ""volume""), 0)"),0)</f>
        <v>0</v>
      </c>
      <c r="K61" s="6">
        <v>0.22</v>
      </c>
      <c r="L61" s="6">
        <f ca="1">IFERROR(__xludf.DUMMYFUNCTION("IFERROR(GOOGLEFINANCE(B61,""changepct""),K61)"),0.22)</f>
        <v>0.22</v>
      </c>
      <c r="M61" s="6">
        <f ca="1">IFERROR(__xludf.DUMMYFUNCTION("IFERROR(GOOGLEFINANCE(B61,""change""),0)"),0)</f>
        <v>0</v>
      </c>
      <c r="N61" s="6">
        <v>2</v>
      </c>
      <c r="O61" s="7">
        <v>45536</v>
      </c>
      <c r="P61" s="9"/>
      <c r="Q61" s="6">
        <v>844.17</v>
      </c>
      <c r="R61" s="7">
        <v>45536</v>
      </c>
      <c r="S61" s="6">
        <v>187.67</v>
      </c>
      <c r="T61" s="6">
        <v>42.98</v>
      </c>
      <c r="U61" s="7">
        <v>45536</v>
      </c>
      <c r="V61" s="6">
        <v>21.2</v>
      </c>
      <c r="W61" s="6">
        <f ca="1">IFERROR(__xludf.DUMMYFUNCTION("IFERROR(GOOGLEFINANCE(B61,""pe""),V61)"),21.2)</f>
        <v>21.2</v>
      </c>
      <c r="X61" s="6">
        <v>1.37</v>
      </c>
      <c r="Y61" s="6">
        <v>5.09</v>
      </c>
      <c r="Z61" s="6">
        <v>2</v>
      </c>
      <c r="AA61" s="8">
        <v>45352</v>
      </c>
      <c r="AB61" s="4">
        <v>0</v>
      </c>
      <c r="AC61" s="6">
        <v>25.94</v>
      </c>
      <c r="AD61" s="6">
        <v>36.5</v>
      </c>
      <c r="AE61" s="1">
        <v>0</v>
      </c>
      <c r="AF61" s="1">
        <f ca="1">IFERROR(__xludf.DUMMYFUNCTION("IFERROR(GOOGLEFINANCE(TRIM(F61)&amp;"":"" &amp; TRIM(B61),""high52""),AE61)"),0)</f>
        <v>0</v>
      </c>
      <c r="AG61" s="1">
        <v>0</v>
      </c>
      <c r="AH61" s="1">
        <f ca="1">IFERROR(__xludf.DUMMYFUNCTION("IFERROR(GOOGLEFINANCE(TRIM(F61)&amp;"":"" &amp; TRIM(B61),""low52""),AE61)"),0)</f>
        <v>0</v>
      </c>
      <c r="AI61" s="1">
        <f ca="1">IFERROR(__xludf.DUMMYFUNCTION("IFERROR(GOOGLEFINANCE(B61,""eps""),0)"),0)</f>
        <v>0</v>
      </c>
      <c r="AJ61" s="1"/>
      <c r="AK61" s="1" t="s">
        <v>246</v>
      </c>
      <c r="AL61" s="1" t="b">
        <f t="shared" ref="AL61:AL62" si="14">ISNUMBER(AA61)</f>
        <v>1</v>
      </c>
    </row>
    <row r="62" spans="1:38" ht="15" x14ac:dyDescent="0.25">
      <c r="A62" s="1" t="s">
        <v>247</v>
      </c>
      <c r="B62" s="1" t="s">
        <v>248</v>
      </c>
      <c r="C62" s="1" t="s">
        <v>235</v>
      </c>
      <c r="D62" s="1" t="s">
        <v>235</v>
      </c>
      <c r="E62" s="6">
        <v>1150.2</v>
      </c>
      <c r="F62" s="1" t="s">
        <v>53</v>
      </c>
      <c r="G62" s="6">
        <f ca="1">IFERROR(__xludf.DUMMYFUNCTION("iferror(GOOGLEFINANCE(TRIM(F62)&amp;"":"" &amp; TRIM(B62), ""price""),0
)"),0)</f>
        <v>0</v>
      </c>
      <c r="H62" s="6">
        <v>452</v>
      </c>
      <c r="I62" s="6">
        <f t="shared" ca="1" si="0"/>
        <v>452</v>
      </c>
      <c r="J62" s="6">
        <f ca="1">IFERROR(__xludf.DUMMYFUNCTION("IFERROR(GOOGLEFINANCE(B62, ""volume""), 0)"),0)</f>
        <v>0</v>
      </c>
      <c r="K62" s="6">
        <v>0.21</v>
      </c>
      <c r="L62" s="6">
        <f ca="1">IFERROR(__xludf.DUMMYFUNCTION("IFERROR(GOOGLEFINANCE(B62,""changepct""),K62)"),0.21)</f>
        <v>0.21</v>
      </c>
      <c r="M62" s="6">
        <f ca="1">IFERROR(__xludf.DUMMYFUNCTION("IFERROR(GOOGLEFINANCE(B62,""change""),0)"),0)</f>
        <v>0</v>
      </c>
      <c r="N62" s="6">
        <v>2</v>
      </c>
      <c r="O62" s="7">
        <v>45536</v>
      </c>
      <c r="P62" s="9"/>
      <c r="Q62" s="6">
        <v>1139.94</v>
      </c>
      <c r="R62" s="7">
        <v>45536</v>
      </c>
      <c r="S62" s="6">
        <v>34.9</v>
      </c>
      <c r="T62" s="6">
        <v>12.58</v>
      </c>
      <c r="U62" s="7">
        <v>45536</v>
      </c>
      <c r="V62" s="6">
        <v>91.41</v>
      </c>
      <c r="W62" s="6">
        <f ca="1">IFERROR(__xludf.DUMMYFUNCTION("IFERROR(GOOGLEFINANCE(B62,""pe""),V62)"),91.41)</f>
        <v>91.41</v>
      </c>
      <c r="X62" s="6">
        <v>5.5</v>
      </c>
      <c r="Y62" s="6">
        <v>8.34</v>
      </c>
      <c r="Z62" s="6">
        <v>2</v>
      </c>
      <c r="AA62" s="8">
        <v>45352</v>
      </c>
      <c r="AB62" s="4">
        <v>0</v>
      </c>
      <c r="AC62" s="6">
        <v>9.2799999999999994</v>
      </c>
      <c r="AD62" s="6">
        <v>13.32</v>
      </c>
      <c r="AE62" s="1">
        <v>0</v>
      </c>
      <c r="AF62" s="1">
        <f ca="1">IFERROR(__xludf.DUMMYFUNCTION("IFERROR(GOOGLEFINANCE(TRIM(F62)&amp;"":"" &amp; TRIM(B62),""high52""),AE62)"),0)</f>
        <v>0</v>
      </c>
      <c r="AG62" s="1">
        <v>0</v>
      </c>
      <c r="AH62" s="1">
        <f ca="1">IFERROR(__xludf.DUMMYFUNCTION("IFERROR(GOOGLEFINANCE(TRIM(F62)&amp;"":"" &amp; TRIM(B62),""low52""),AE62)"),0)</f>
        <v>0</v>
      </c>
      <c r="AI62" s="1">
        <f ca="1">IFERROR(__xludf.DUMMYFUNCTION("IFERROR(GOOGLEFINANCE(B62,""eps""),0)"),0)</f>
        <v>0</v>
      </c>
      <c r="AJ62" s="1"/>
      <c r="AK62" s="1" t="s">
        <v>249</v>
      </c>
      <c r="AL62" s="1" t="b">
        <f t="shared" si="14"/>
        <v>1</v>
      </c>
    </row>
    <row r="63" spans="1:38" ht="15" x14ac:dyDescent="0.25">
      <c r="A63" s="1" t="s">
        <v>250</v>
      </c>
      <c r="B63" s="1" t="s">
        <v>251</v>
      </c>
      <c r="C63" s="1" t="s">
        <v>106</v>
      </c>
      <c r="D63" s="1" t="s">
        <v>106</v>
      </c>
      <c r="E63" s="6">
        <v>609.83000000000004</v>
      </c>
      <c r="F63" s="1" t="s">
        <v>40</v>
      </c>
      <c r="G63" s="6">
        <f ca="1">IFERROR(__xludf.DUMMYFUNCTION("iferror(GOOGLEFINANCE(TRIM(F63)&amp;"":"" &amp; TRIM(B63), ""price""),0
)"),0)</f>
        <v>0</v>
      </c>
      <c r="H63" s="6">
        <v>290</v>
      </c>
      <c r="I63" s="6">
        <f t="shared" ca="1" si="0"/>
        <v>290</v>
      </c>
      <c r="J63" s="6">
        <f ca="1">IFERROR(__xludf.DUMMYFUNCTION("IFERROR(GOOGLEFINANCE(B63, ""volume""), 0)"),0)</f>
        <v>0</v>
      </c>
      <c r="K63" s="6">
        <v>7.0000000000000007E-2</v>
      </c>
      <c r="L63" s="6">
        <f ca="1">IFERROR(__xludf.DUMMYFUNCTION("IFERROR(GOOGLEFINANCE(B63,""changepct""),K63)"),0.07)</f>
        <v>7.0000000000000007E-2</v>
      </c>
      <c r="M63" s="6">
        <f ca="1">IFERROR(__xludf.DUMMYFUNCTION("IFERROR(GOOGLEFINANCE(B63,""change""),0)"),0)</f>
        <v>0</v>
      </c>
      <c r="N63" s="6">
        <v>1</v>
      </c>
      <c r="O63" s="7">
        <v>45536</v>
      </c>
      <c r="P63" s="6">
        <v>2.06</v>
      </c>
      <c r="Q63" s="6">
        <v>611.88</v>
      </c>
      <c r="R63" s="7">
        <v>45352</v>
      </c>
      <c r="S63" s="6">
        <v>245.5</v>
      </c>
      <c r="T63" s="6">
        <v>30.17</v>
      </c>
      <c r="U63" s="7">
        <v>45352</v>
      </c>
      <c r="V63" s="6">
        <v>20.21</v>
      </c>
      <c r="W63" s="6">
        <f ca="1">IFERROR(__xludf.DUMMYFUNCTION("IFERROR(GOOGLEFINANCE(B63,""pe""),V63)"),20.21)</f>
        <v>20.21</v>
      </c>
      <c r="X63" s="12"/>
      <c r="Y63" s="6">
        <v>3.72</v>
      </c>
      <c r="Z63" s="6">
        <v>1</v>
      </c>
      <c r="AA63" s="8">
        <v>45352</v>
      </c>
      <c r="AB63" s="4">
        <v>0.08</v>
      </c>
      <c r="AC63" s="6">
        <v>28.17</v>
      </c>
      <c r="AD63" s="6">
        <v>30.16</v>
      </c>
      <c r="AE63" s="1">
        <v>0</v>
      </c>
      <c r="AF63" s="1">
        <f ca="1">IFERROR(__xludf.DUMMYFUNCTION("IFERROR(GOOGLEFINANCE(TRIM(F63)&amp;"":"" &amp; TRIM(B63),""high52""),AE63)"),0)</f>
        <v>0</v>
      </c>
      <c r="AG63" s="1">
        <v>0</v>
      </c>
      <c r="AH63" s="1">
        <f ca="1">IFERROR(__xludf.DUMMYFUNCTION("IFERROR(GOOGLEFINANCE(TRIM(F63)&amp;"":"" &amp; TRIM(B63),""low52""),AE63)"),0)</f>
        <v>0</v>
      </c>
      <c r="AI63" s="1">
        <f ca="1">IFERROR(__xludf.DUMMYFUNCTION("IFERROR(GOOGLEFINANCE(B63,""eps""),0)"),0)</f>
        <v>0</v>
      </c>
      <c r="AJ63" s="1"/>
      <c r="AK63" s="1" t="s">
        <v>252</v>
      </c>
      <c r="AL63" s="9">
        <f t="shared" ref="AL63:AL65" si="15">IF(AA63&lt;&gt;AB63,1,0)</f>
        <v>1</v>
      </c>
    </row>
    <row r="64" spans="1:38" ht="15" x14ac:dyDescent="0.25">
      <c r="A64" s="1" t="s">
        <v>253</v>
      </c>
      <c r="B64" s="1" t="s">
        <v>254</v>
      </c>
      <c r="C64" s="1" t="s">
        <v>255</v>
      </c>
      <c r="D64" s="1" t="s">
        <v>255</v>
      </c>
      <c r="E64" s="6">
        <v>9.58</v>
      </c>
      <c r="F64" s="1" t="s">
        <v>40</v>
      </c>
      <c r="G64" s="6">
        <f ca="1">IFERROR(__xludf.DUMMYFUNCTION("iferror(GOOGLEFINANCE(TRIM(F64)&amp;"":"" &amp; TRIM(B64), ""price""),0
)"),0)</f>
        <v>0</v>
      </c>
      <c r="H64" s="6">
        <v>27.6</v>
      </c>
      <c r="I64" s="6">
        <f t="shared" ca="1" si="0"/>
        <v>27.6</v>
      </c>
      <c r="J64" s="6">
        <f ca="1">IFERROR(__xludf.DUMMYFUNCTION("IFERROR(GOOGLEFINANCE(B64, ""volume""), 0)"),0)</f>
        <v>0</v>
      </c>
      <c r="K64" s="9"/>
      <c r="L64" s="6" t="str">
        <f ca="1">IFERROR(__xludf.DUMMYFUNCTION("IFERROR(GOOGLEFINANCE(B64,""changepct""),K64)"),"")</f>
        <v/>
      </c>
      <c r="M64" s="6">
        <f ca="1">IFERROR(__xludf.DUMMYFUNCTION("IFERROR(GOOGLEFINANCE(B64,""change""),0)"),0)</f>
        <v>0</v>
      </c>
      <c r="N64" s="6">
        <v>1</v>
      </c>
      <c r="O64" s="7">
        <v>45536</v>
      </c>
      <c r="P64" s="9"/>
      <c r="Q64" s="6">
        <v>9.58</v>
      </c>
      <c r="R64" s="7">
        <v>45352</v>
      </c>
      <c r="S64" s="6">
        <v>31.88</v>
      </c>
      <c r="T64" s="6">
        <v>0.39</v>
      </c>
      <c r="U64" s="7">
        <v>45352</v>
      </c>
      <c r="V64" s="6">
        <v>24.38</v>
      </c>
      <c r="W64" s="6">
        <f ca="1">IFERROR(__xludf.DUMMYFUNCTION("IFERROR(GOOGLEFINANCE(B64,""pe""),V64)"),24.38)</f>
        <v>24.38</v>
      </c>
      <c r="X64" s="6">
        <v>-0.7</v>
      </c>
      <c r="Y64" s="6">
        <v>0.65</v>
      </c>
      <c r="Z64" s="6">
        <v>1</v>
      </c>
      <c r="AA64" s="8">
        <v>45352</v>
      </c>
      <c r="AB64" s="4">
        <v>0</v>
      </c>
      <c r="AC64" s="6">
        <v>2.69</v>
      </c>
      <c r="AD64" s="6">
        <v>2.52</v>
      </c>
      <c r="AE64" s="1">
        <v>0</v>
      </c>
      <c r="AF64" s="1">
        <f ca="1">IFERROR(__xludf.DUMMYFUNCTION("IFERROR(GOOGLEFINANCE(TRIM(F64)&amp;"":"" &amp; TRIM(B64),""high52""),AE64)"),0)</f>
        <v>0</v>
      </c>
      <c r="AG64" s="1">
        <v>0</v>
      </c>
      <c r="AH64" s="1">
        <f ca="1">IFERROR(__xludf.DUMMYFUNCTION("IFERROR(GOOGLEFINANCE(TRIM(F64)&amp;"":"" &amp; TRIM(B64),""low52""),AE64)"),0)</f>
        <v>0</v>
      </c>
      <c r="AI64" s="1">
        <f ca="1">IFERROR(__xludf.DUMMYFUNCTION("IFERROR(GOOGLEFINANCE(B64,""eps""),0)"),0)</f>
        <v>0</v>
      </c>
      <c r="AJ64" s="1"/>
      <c r="AK64" s="1" t="s">
        <v>256</v>
      </c>
      <c r="AL64" s="9">
        <f t="shared" si="15"/>
        <v>1</v>
      </c>
    </row>
    <row r="65" spans="1:38" ht="15" x14ac:dyDescent="0.25">
      <c r="A65" s="1" t="s">
        <v>257</v>
      </c>
      <c r="B65" s="1" t="s">
        <v>258</v>
      </c>
      <c r="C65" s="1" t="s">
        <v>259</v>
      </c>
      <c r="D65" s="1" t="s">
        <v>259</v>
      </c>
      <c r="E65" s="6">
        <v>165.47</v>
      </c>
      <c r="F65" s="1" t="s">
        <v>40</v>
      </c>
      <c r="G65" s="6">
        <f ca="1">IFERROR(__xludf.DUMMYFUNCTION("iferror(GOOGLEFINANCE(TRIM(F65)&amp;"":"" &amp; TRIM(B65), ""price""),0
)"),5.08)</f>
        <v>5.08</v>
      </c>
      <c r="H65" s="6">
        <v>11.17</v>
      </c>
      <c r="I65" s="6">
        <f t="shared" ca="1" si="0"/>
        <v>5.08</v>
      </c>
      <c r="J65" s="6">
        <f ca="1">IFERROR(__xludf.DUMMYFUNCTION("IFERROR(GOOGLEFINANCE(B65, ""volume""), 0)"),107664)</f>
        <v>107664</v>
      </c>
      <c r="K65" s="6">
        <v>1.64</v>
      </c>
      <c r="L65" s="6">
        <f ca="1">IFERROR(__xludf.DUMMYFUNCTION("IFERROR(GOOGLEFINANCE(B65,""changepct""),K65)"),0.4)</f>
        <v>0.4</v>
      </c>
      <c r="M65" s="6">
        <f ca="1">IFERROR(__xludf.DUMMYFUNCTION("IFERROR(GOOGLEFINANCE(B65,""change""),0)"),0.02)</f>
        <v>0.02</v>
      </c>
      <c r="N65" s="6">
        <v>2</v>
      </c>
      <c r="O65" s="7">
        <v>45536</v>
      </c>
      <c r="P65" s="6">
        <v>114.49</v>
      </c>
      <c r="Q65" s="6">
        <v>267.2</v>
      </c>
      <c r="R65" s="7">
        <v>45536</v>
      </c>
      <c r="S65" s="6">
        <v>814.14</v>
      </c>
      <c r="T65" s="6">
        <v>9.1999999999999993</v>
      </c>
      <c r="U65" s="7">
        <v>45536</v>
      </c>
      <c r="V65" s="6">
        <v>17.98</v>
      </c>
      <c r="W65" s="6">
        <f ca="1">IFERROR(__xludf.DUMMYFUNCTION("IFERROR(GOOGLEFINANCE(B65,""pe""),V65)"),28.03)</f>
        <v>28.03</v>
      </c>
      <c r="X65" s="6">
        <v>-0.42</v>
      </c>
      <c r="Y65" s="6">
        <v>1.39</v>
      </c>
      <c r="Z65" s="6">
        <v>2</v>
      </c>
      <c r="AA65" s="8">
        <v>45352</v>
      </c>
      <c r="AB65" s="4">
        <v>0.94</v>
      </c>
      <c r="AC65" s="6">
        <v>0.44</v>
      </c>
      <c r="AD65" s="6">
        <v>5.38</v>
      </c>
      <c r="AE65" s="1">
        <v>0</v>
      </c>
      <c r="AF65" s="1">
        <f ca="1">IFERROR(__xludf.DUMMYFUNCTION("IFERROR(GOOGLEFINANCE(TRIM(F65)&amp;"":"" &amp; TRIM(B65),""high52""),AE65)"),10)</f>
        <v>10</v>
      </c>
      <c r="AG65" s="1">
        <v>0</v>
      </c>
      <c r="AH65" s="1">
        <f ca="1">IFERROR(__xludf.DUMMYFUNCTION("IFERROR(GOOGLEFINANCE(TRIM(F65)&amp;"":"" &amp; TRIM(B65),""low52""),AE65)"),4.62)</f>
        <v>4.62</v>
      </c>
      <c r="AI65" s="1">
        <f ca="1">IFERROR(__xludf.DUMMYFUNCTION("IFERROR(GOOGLEFINANCE(B65,""eps""),0)"),0.18)</f>
        <v>0.18</v>
      </c>
      <c r="AJ65" s="1"/>
      <c r="AK65" s="9"/>
      <c r="AL65" s="9">
        <f t="shared" si="15"/>
        <v>1</v>
      </c>
    </row>
    <row r="66" spans="1:38" ht="15" x14ac:dyDescent="0.25">
      <c r="A66" s="1" t="s">
        <v>260</v>
      </c>
      <c r="B66" s="1" t="s">
        <v>261</v>
      </c>
      <c r="C66" s="1" t="s">
        <v>90</v>
      </c>
      <c r="D66" s="1" t="s">
        <v>90</v>
      </c>
      <c r="E66" s="6">
        <v>31.67</v>
      </c>
      <c r="F66" s="1" t="s">
        <v>40</v>
      </c>
      <c r="G66" s="6">
        <f ca="1">IFERROR(__xludf.DUMMYFUNCTION("iferror(GOOGLEFINANCE(TRIM(F66)&amp;"":"" &amp; TRIM(B66), ""price""),0
)"),19.43)</f>
        <v>19.43</v>
      </c>
      <c r="H66" s="6">
        <v>31.25</v>
      </c>
      <c r="I66" s="6">
        <f t="shared" ca="1" si="0"/>
        <v>19.43</v>
      </c>
      <c r="J66" s="6">
        <f ca="1">IFERROR(__xludf.DUMMYFUNCTION("IFERROR(GOOGLEFINANCE(B66, ""volume""), 0)"),1072)</f>
        <v>1072</v>
      </c>
      <c r="K66" s="6">
        <v>0.64</v>
      </c>
      <c r="L66" s="6">
        <f ca="1">IFERROR(__xludf.DUMMYFUNCTION("IFERROR(GOOGLEFINANCE(B66,""changepct""),K66)"),0.21)</f>
        <v>0.21</v>
      </c>
      <c r="M66" s="6">
        <f ca="1">IFERROR(__xludf.DUMMYFUNCTION("IFERROR(GOOGLEFINANCE(B66,""change""),0)"),0.04)</f>
        <v>0.04</v>
      </c>
      <c r="N66" s="6">
        <v>2</v>
      </c>
      <c r="O66" s="7">
        <v>45536</v>
      </c>
      <c r="P66" s="6">
        <v>0.42</v>
      </c>
      <c r="Q66" s="6">
        <v>29.39</v>
      </c>
      <c r="R66" s="7">
        <v>45536</v>
      </c>
      <c r="S66" s="6">
        <v>11.37</v>
      </c>
      <c r="T66" s="6">
        <v>0.62</v>
      </c>
      <c r="U66" s="7">
        <v>45536</v>
      </c>
      <c r="V66" s="6">
        <v>51.08</v>
      </c>
      <c r="W66" s="6">
        <f ca="1">IFERROR(__xludf.DUMMYFUNCTION("IFERROR(GOOGLEFINANCE(B66,""pe""),V66)"),51.08)</f>
        <v>51.08</v>
      </c>
      <c r="X66" s="9"/>
      <c r="Y66" s="6">
        <v>1.66</v>
      </c>
      <c r="Z66" s="6">
        <v>2</v>
      </c>
      <c r="AA66" s="8">
        <v>45352</v>
      </c>
      <c r="AB66" s="4">
        <v>0.01</v>
      </c>
      <c r="AC66" s="6">
        <v>2.19</v>
      </c>
      <c r="AD66" s="6">
        <v>2.06</v>
      </c>
      <c r="AE66" s="1">
        <v>0</v>
      </c>
      <c r="AF66" s="1">
        <f ca="1">IFERROR(__xludf.DUMMYFUNCTION("IFERROR(GOOGLEFINANCE(TRIM(F66)&amp;"":"" &amp; TRIM(B66),""high52""),AE66)"),29.94)</f>
        <v>29.94</v>
      </c>
      <c r="AG66" s="1">
        <v>0</v>
      </c>
      <c r="AH66" s="1">
        <f ca="1">IFERROR(__xludf.DUMMYFUNCTION("IFERROR(GOOGLEFINANCE(TRIM(F66)&amp;"":"" &amp; TRIM(B66),""low52""),AE66)"),18.16)</f>
        <v>18.16</v>
      </c>
      <c r="AI66" s="1">
        <f ca="1">IFERROR(__xludf.DUMMYFUNCTION("IFERROR(GOOGLEFINANCE(B66,""eps""),0)"),-9.4)</f>
        <v>-9.4</v>
      </c>
      <c r="AJ66" s="1"/>
      <c r="AK66" s="9"/>
      <c r="AL66" s="1" t="b">
        <f>ISBLANK(AB66)</f>
        <v>0</v>
      </c>
    </row>
    <row r="67" spans="1:38" ht="15" x14ac:dyDescent="0.25">
      <c r="A67" s="1" t="s">
        <v>262</v>
      </c>
      <c r="B67" s="1" t="s">
        <v>263</v>
      </c>
      <c r="C67" s="1" t="s">
        <v>264</v>
      </c>
      <c r="D67" s="1" t="s">
        <v>264</v>
      </c>
      <c r="E67" s="6">
        <v>582.94000000000005</v>
      </c>
      <c r="F67" s="1" t="s">
        <v>53</v>
      </c>
      <c r="G67" s="6">
        <f ca="1">IFERROR(__xludf.DUMMYFUNCTION("iferror(GOOGLEFINANCE(TRIM(F67)&amp;"":"" &amp; TRIM(B67), ""price""),0
)"),0)</f>
        <v>0</v>
      </c>
      <c r="H67" s="6">
        <v>35.83</v>
      </c>
      <c r="I67" s="6">
        <f t="shared" ca="1" si="0"/>
        <v>35.83</v>
      </c>
      <c r="J67" s="6">
        <f ca="1">IFERROR(__xludf.DUMMYFUNCTION("IFERROR(GOOGLEFINANCE(B67, ""volume""), 0)"),600130)</f>
        <v>600130</v>
      </c>
      <c r="K67" s="6">
        <v>3.7</v>
      </c>
      <c r="L67" s="6">
        <f ca="1">IFERROR(__xludf.DUMMYFUNCTION("IFERROR(GOOGLEFINANCE(B67,""changepct""),K67)"),-1.38)</f>
        <v>-1.38</v>
      </c>
      <c r="M67" s="6">
        <f ca="1">IFERROR(__xludf.DUMMYFUNCTION("IFERROR(GOOGLEFINANCE(B67,""change""),0)"),-1.04)</f>
        <v>-1.04</v>
      </c>
      <c r="N67" s="6">
        <v>1</v>
      </c>
      <c r="O67" s="7">
        <v>45536</v>
      </c>
      <c r="P67" s="6">
        <v>133.12</v>
      </c>
      <c r="Q67" s="6">
        <v>701.97</v>
      </c>
      <c r="R67" s="7">
        <v>45536</v>
      </c>
      <c r="S67" s="6">
        <v>534.25</v>
      </c>
      <c r="T67" s="6">
        <v>9.75</v>
      </c>
      <c r="U67" s="7">
        <v>45536</v>
      </c>
      <c r="V67" s="6">
        <v>59.8</v>
      </c>
      <c r="W67" s="6">
        <f ca="1">IFERROR(__xludf.DUMMYFUNCTION("IFERROR(GOOGLEFINANCE(B67,""pe""),V67)"),175.48)</f>
        <v>175.48</v>
      </c>
      <c r="X67" s="6">
        <v>12.97</v>
      </c>
      <c r="Y67" s="6">
        <v>3.78</v>
      </c>
      <c r="Z67" s="6">
        <v>1</v>
      </c>
      <c r="AA67" s="8">
        <v>45352</v>
      </c>
      <c r="AB67" s="4">
        <v>1.25</v>
      </c>
      <c r="AC67" s="6">
        <v>8.9499999999999993</v>
      </c>
      <c r="AD67" s="6">
        <v>13.62</v>
      </c>
      <c r="AE67" s="1">
        <v>0</v>
      </c>
      <c r="AF67" s="1">
        <f ca="1">IFERROR(__xludf.DUMMYFUNCTION("IFERROR(GOOGLEFINANCE(TRIM(F67)&amp;"":"" &amp; TRIM(B67),""high52""),AE67)"),0)</f>
        <v>0</v>
      </c>
      <c r="AG67" s="1">
        <v>0</v>
      </c>
      <c r="AH67" s="1">
        <f ca="1">IFERROR(__xludf.DUMMYFUNCTION("IFERROR(GOOGLEFINANCE(TRIM(F67)&amp;"":"" &amp; TRIM(B67),""low52""),AE67)"),0)</f>
        <v>0</v>
      </c>
      <c r="AI67" s="1">
        <f ca="1">IFERROR(__xludf.DUMMYFUNCTION("IFERROR(GOOGLEFINANCE(B67,""eps""),0)"),0.42)</f>
        <v>0.42</v>
      </c>
      <c r="AJ67" s="1"/>
      <c r="AK67" s="1" t="s">
        <v>265</v>
      </c>
      <c r="AL67" s="1" t="b">
        <f>ISNUMBER(AA67)</f>
        <v>1</v>
      </c>
    </row>
    <row r="68" spans="1:38" ht="15" x14ac:dyDescent="0.25">
      <c r="A68" s="1" t="s">
        <v>266</v>
      </c>
      <c r="B68" s="1" t="s">
        <v>267</v>
      </c>
      <c r="C68" s="1" t="s">
        <v>268</v>
      </c>
      <c r="D68" s="1" t="s">
        <v>268</v>
      </c>
      <c r="E68" s="6">
        <v>14277.05</v>
      </c>
      <c r="F68" s="1" t="s">
        <v>40</v>
      </c>
      <c r="G68" s="6">
        <f ca="1">IFERROR(__xludf.DUMMYFUNCTION("iferror(GOOGLEFINANCE(TRIM(F68)&amp;"":"" &amp; TRIM(B68), ""price""),0
)"),219.96)</f>
        <v>219.96</v>
      </c>
      <c r="H68" s="6">
        <v>240.1</v>
      </c>
      <c r="I68" s="6">
        <f t="shared" ca="1" si="0"/>
        <v>219.96</v>
      </c>
      <c r="J68" s="6">
        <f ca="1">IFERROR(__xludf.DUMMYFUNCTION("IFERROR(GOOGLEFINANCE(B68, ""volume""), 0)"),308203)</f>
        <v>308203</v>
      </c>
      <c r="K68" s="6">
        <v>1.83</v>
      </c>
      <c r="L68" s="6">
        <f ca="1">IFERROR(__xludf.DUMMYFUNCTION("IFERROR(GOOGLEFINANCE(B68,""changepct""),K68)"),-0.76)</f>
        <v>-0.76</v>
      </c>
      <c r="M68" s="6">
        <f ca="1">IFERROR(__xludf.DUMMYFUNCTION("IFERROR(GOOGLEFINANCE(B68,""change""),0)"),-1.68)</f>
        <v>-1.68</v>
      </c>
      <c r="N68" s="6">
        <v>2</v>
      </c>
      <c r="O68" s="7">
        <v>45536</v>
      </c>
      <c r="P68" s="6">
        <v>10353.76</v>
      </c>
      <c r="Q68" s="6">
        <v>23032.87</v>
      </c>
      <c r="R68" s="14"/>
      <c r="S68" s="9"/>
      <c r="T68" s="9"/>
      <c r="U68" s="7">
        <v>45352</v>
      </c>
      <c r="V68" s="6">
        <v>20.46</v>
      </c>
      <c r="W68" s="6">
        <f ca="1">IFERROR(__xludf.DUMMYFUNCTION("IFERROR(GOOGLEFINANCE(B68,""pe""),V68)"),27.1)</f>
        <v>27.1</v>
      </c>
      <c r="X68" s="9"/>
      <c r="Y68" s="6">
        <v>2.94</v>
      </c>
      <c r="Z68" s="6">
        <v>2</v>
      </c>
      <c r="AA68" s="8">
        <v>45352</v>
      </c>
      <c r="AB68" s="4">
        <v>3.17</v>
      </c>
      <c r="AC68" s="6">
        <v>31.07</v>
      </c>
      <c r="AD68" s="6">
        <v>15.7</v>
      </c>
      <c r="AE68" s="1">
        <v>0</v>
      </c>
      <c r="AF68" s="1">
        <f ca="1">IFERROR(__xludf.DUMMYFUNCTION("IFERROR(GOOGLEFINANCE(TRIM(F68)&amp;"":"" &amp; TRIM(B68),""high52""),AE68)"),324.3)</f>
        <v>324.3</v>
      </c>
      <c r="AG68" s="1">
        <v>0</v>
      </c>
      <c r="AH68" s="1">
        <f ca="1">IFERROR(__xludf.DUMMYFUNCTION("IFERROR(GOOGLEFINANCE(TRIM(F68)&amp;"":"" &amp; TRIM(B68),""low52""),AE68)"),171.99)</f>
        <v>171.99</v>
      </c>
      <c r="AI68" s="1">
        <f ca="1">IFERROR(__xludf.DUMMYFUNCTION("IFERROR(GOOGLEFINANCE(B68,""eps""),0)"),8.12)</f>
        <v>8.1199999999999992</v>
      </c>
      <c r="AJ68" s="1"/>
      <c r="AK68" s="1" t="s">
        <v>269</v>
      </c>
      <c r="AL68" s="9">
        <f>IF(AA68&lt;&gt;AB68,1,0)</f>
        <v>1</v>
      </c>
    </row>
    <row r="69" spans="1:38" ht="15" x14ac:dyDescent="0.25">
      <c r="A69" s="1" t="s">
        <v>270</v>
      </c>
      <c r="B69" s="1" t="s">
        <v>271</v>
      </c>
      <c r="C69" s="1" t="s">
        <v>264</v>
      </c>
      <c r="D69" s="1" t="s">
        <v>264</v>
      </c>
      <c r="E69" s="6">
        <v>7.38</v>
      </c>
      <c r="F69" s="1" t="s">
        <v>53</v>
      </c>
      <c r="G69" s="6">
        <f ca="1">IFERROR(__xludf.DUMMYFUNCTION("iferror(GOOGLEFINANCE(TRIM(F69)&amp;"":"" &amp; TRIM(B69), ""price""),0
)"),0)</f>
        <v>0</v>
      </c>
      <c r="H69" s="6">
        <v>14.12</v>
      </c>
      <c r="I69" s="6">
        <f t="shared" ca="1" si="0"/>
        <v>14.12</v>
      </c>
      <c r="J69" s="6">
        <f ca="1">IFERROR(__xludf.DUMMYFUNCTION("IFERROR(GOOGLEFINANCE(B69, ""volume""), 0)"),0)</f>
        <v>0</v>
      </c>
      <c r="K69" s="6">
        <v>0.86</v>
      </c>
      <c r="L69" s="6">
        <f ca="1">IFERROR(__xludf.DUMMYFUNCTION("IFERROR(GOOGLEFINANCE(B69,""changepct""),K69)"),0.86)</f>
        <v>0.86</v>
      </c>
      <c r="M69" s="6">
        <f ca="1">IFERROR(__xludf.DUMMYFUNCTION("IFERROR(GOOGLEFINANCE(B69,""change""),0)"),0)</f>
        <v>0</v>
      </c>
      <c r="N69" s="6">
        <v>1</v>
      </c>
      <c r="O69" s="7">
        <v>45536</v>
      </c>
      <c r="P69" s="9"/>
      <c r="Q69" s="6">
        <v>7.35</v>
      </c>
      <c r="R69" s="7">
        <v>45536</v>
      </c>
      <c r="S69" s="6">
        <v>0.1</v>
      </c>
      <c r="T69" s="6">
        <v>0.51</v>
      </c>
      <c r="U69" s="7">
        <v>45536</v>
      </c>
      <c r="V69" s="6">
        <v>14.52</v>
      </c>
      <c r="W69" s="6">
        <f ca="1">IFERROR(__xludf.DUMMYFUNCTION("IFERROR(GOOGLEFINANCE(B69,""pe""),V69)"),14.52)</f>
        <v>14.52</v>
      </c>
      <c r="X69" s="6">
        <v>0.19</v>
      </c>
      <c r="Y69" s="6">
        <v>0.89</v>
      </c>
      <c r="Z69" s="6">
        <v>1</v>
      </c>
      <c r="AA69" s="8">
        <v>45352</v>
      </c>
      <c r="AB69" s="4">
        <v>0</v>
      </c>
      <c r="AC69" s="6">
        <v>19.420000000000002</v>
      </c>
      <c r="AD69" s="6">
        <v>19.43</v>
      </c>
      <c r="AE69" s="1">
        <v>0</v>
      </c>
      <c r="AF69" s="1">
        <f ca="1">IFERROR(__xludf.DUMMYFUNCTION("IFERROR(GOOGLEFINANCE(TRIM(F69)&amp;"":"" &amp; TRIM(B69),""high52""),AE69)"),0)</f>
        <v>0</v>
      </c>
      <c r="AG69" s="1">
        <v>0</v>
      </c>
      <c r="AH69" s="1">
        <f ca="1">IFERROR(__xludf.DUMMYFUNCTION("IFERROR(GOOGLEFINANCE(TRIM(F69)&amp;"":"" &amp; TRIM(B69),""low52""),AE69)"),0)</f>
        <v>0</v>
      </c>
      <c r="AI69" s="1">
        <f ca="1">IFERROR(__xludf.DUMMYFUNCTION("IFERROR(GOOGLEFINANCE(B69,""eps""),0)"),0)</f>
        <v>0</v>
      </c>
      <c r="AJ69" s="1"/>
      <c r="AK69" s="1" t="s">
        <v>272</v>
      </c>
      <c r="AL69" s="1" t="b">
        <f>ISNUMBER(AA69)</f>
        <v>1</v>
      </c>
    </row>
    <row r="70" spans="1:38" ht="15" x14ac:dyDescent="0.25">
      <c r="A70" s="1" t="s">
        <v>273</v>
      </c>
      <c r="B70" s="1" t="s">
        <v>274</v>
      </c>
      <c r="C70" s="1" t="s">
        <v>275</v>
      </c>
      <c r="D70" s="1" t="s">
        <v>275</v>
      </c>
      <c r="E70" s="6">
        <v>18560.900000000001</v>
      </c>
      <c r="F70" s="1" t="s">
        <v>40</v>
      </c>
      <c r="G70" s="6">
        <f ca="1">IFERROR(__xludf.DUMMYFUNCTION("iferror(GOOGLEFINANCE(TRIM(F70)&amp;"":"" &amp; TRIM(B70), ""price""),0
)"),878.9)</f>
        <v>878.9</v>
      </c>
      <c r="H70" s="6">
        <v>1548.5</v>
      </c>
      <c r="I70" s="6">
        <f t="shared" ca="1" si="0"/>
        <v>878.9</v>
      </c>
      <c r="J70" s="6">
        <f ca="1">IFERROR(__xludf.DUMMYFUNCTION("IFERROR(GOOGLEFINANCE(B70, ""volume""), 0)"),84061)</f>
        <v>84061</v>
      </c>
      <c r="K70" s="6">
        <v>-0.72</v>
      </c>
      <c r="L70" s="6">
        <f ca="1">IFERROR(__xludf.DUMMYFUNCTION("IFERROR(GOOGLEFINANCE(B70,""changepct""),K70)"),-0.62)</f>
        <v>-0.62</v>
      </c>
      <c r="M70" s="6">
        <f ca="1">IFERROR(__xludf.DUMMYFUNCTION("IFERROR(GOOGLEFINANCE(B70,""change""),0)"),-0.01)</f>
        <v>-0.01</v>
      </c>
      <c r="N70" s="6">
        <v>2</v>
      </c>
      <c r="O70" s="7">
        <v>45536</v>
      </c>
      <c r="P70" s="6">
        <v>113.77</v>
      </c>
      <c r="Q70" s="6">
        <v>18610.36</v>
      </c>
      <c r="R70" s="7">
        <v>45536</v>
      </c>
      <c r="S70" s="6">
        <v>3079.9</v>
      </c>
      <c r="T70" s="6">
        <v>365.69</v>
      </c>
      <c r="U70" s="7">
        <v>45536</v>
      </c>
      <c r="V70" s="6">
        <v>50.76</v>
      </c>
      <c r="W70" s="6">
        <f ca="1">IFERROR(__xludf.DUMMYFUNCTION("IFERROR(GOOGLEFINANCE(B70,""pe""),V70)"),50.76)</f>
        <v>50.76</v>
      </c>
      <c r="X70" s="6">
        <v>1.2</v>
      </c>
      <c r="Y70" s="6">
        <v>13.41</v>
      </c>
      <c r="Z70" s="6">
        <v>2</v>
      </c>
      <c r="AA70" s="8">
        <v>45352</v>
      </c>
      <c r="AB70" s="4">
        <v>0</v>
      </c>
      <c r="AC70" s="6">
        <v>30.56</v>
      </c>
      <c r="AD70" s="6">
        <v>42.35</v>
      </c>
      <c r="AE70" s="1">
        <v>0</v>
      </c>
      <c r="AF70" s="1">
        <f ca="1">IFERROR(__xludf.DUMMYFUNCTION("IFERROR(GOOGLEFINANCE(TRIM(F70)&amp;"":"" &amp; TRIM(B70),""high52""),AE70)"),1389)</f>
        <v>1389</v>
      </c>
      <c r="AG70" s="1">
        <v>0</v>
      </c>
      <c r="AH70" s="1">
        <f ca="1">IFERROR(__xludf.DUMMYFUNCTION("IFERROR(GOOGLEFINANCE(TRIM(F70)&amp;"":"" &amp; TRIM(B70),""low52""),AE70)"),775.45)</f>
        <v>775.45</v>
      </c>
      <c r="AI70" s="1">
        <f ca="1">IFERROR(__xludf.DUMMYFUNCTION("IFERROR(GOOGLEFINANCE(B70,""eps""),0)"),-0.02)</f>
        <v>-0.02</v>
      </c>
      <c r="AJ70" s="1"/>
      <c r="AK70" s="9"/>
      <c r="AL70" s="9">
        <f>IF(AA70&lt;&gt;AB70,1,0)</f>
        <v>1</v>
      </c>
    </row>
    <row r="71" spans="1:38" ht="15" x14ac:dyDescent="0.25">
      <c r="A71" s="1" t="s">
        <v>276</v>
      </c>
      <c r="B71" s="1" t="s">
        <v>277</v>
      </c>
      <c r="C71" s="1" t="s">
        <v>264</v>
      </c>
      <c r="D71" s="1" t="s">
        <v>264</v>
      </c>
      <c r="E71" s="6">
        <v>45.49</v>
      </c>
      <c r="F71" s="1" t="s">
        <v>53</v>
      </c>
      <c r="G71" s="6">
        <f ca="1">IFERROR(__xludf.DUMMYFUNCTION("iferror(GOOGLEFINANCE(TRIM(F71)&amp;"":"" &amp; TRIM(B71), ""price""),0
)"),0)</f>
        <v>0</v>
      </c>
      <c r="H71" s="6">
        <v>75</v>
      </c>
      <c r="I71" s="6">
        <f t="shared" ca="1" si="0"/>
        <v>75</v>
      </c>
      <c r="J71" s="6">
        <f ca="1">IFERROR(__xludf.DUMMYFUNCTION("IFERROR(GOOGLEFINANCE(B71, ""volume""), 0)"),0)</f>
        <v>0</v>
      </c>
      <c r="K71" s="6">
        <v>3.86</v>
      </c>
      <c r="L71" s="6">
        <f ca="1">IFERROR(__xludf.DUMMYFUNCTION("IFERROR(GOOGLEFINANCE(B71,""changepct""),K71)"),3.86)</f>
        <v>3.86</v>
      </c>
      <c r="M71" s="6">
        <f ca="1">IFERROR(__xludf.DUMMYFUNCTION("IFERROR(GOOGLEFINANCE(B71,""change""),0)"),0)</f>
        <v>0</v>
      </c>
      <c r="N71" s="6">
        <v>2</v>
      </c>
      <c r="O71" s="7">
        <v>45536</v>
      </c>
      <c r="P71" s="6">
        <v>0.6</v>
      </c>
      <c r="Q71" s="6">
        <v>43.94</v>
      </c>
      <c r="R71" s="7">
        <v>45536</v>
      </c>
      <c r="S71" s="6">
        <v>1.08</v>
      </c>
      <c r="T71" s="6">
        <v>1.56</v>
      </c>
      <c r="U71" s="7">
        <v>45536</v>
      </c>
      <c r="V71" s="6">
        <v>4.58</v>
      </c>
      <c r="W71" s="6">
        <f ca="1">IFERROR(__xludf.DUMMYFUNCTION("IFERROR(GOOGLEFINANCE(B71,""pe""),V71)"),4.58)</f>
        <v>4.58</v>
      </c>
      <c r="X71" s="6">
        <v>0.14000000000000001</v>
      </c>
      <c r="Y71" s="6">
        <v>0.56999999999999995</v>
      </c>
      <c r="Z71" s="6">
        <v>2</v>
      </c>
      <c r="AA71" s="8">
        <v>45352</v>
      </c>
      <c r="AB71" s="4">
        <v>0</v>
      </c>
      <c r="AC71" s="6">
        <v>9.31</v>
      </c>
      <c r="AD71" s="6">
        <v>8.49</v>
      </c>
      <c r="AE71" s="1">
        <v>0</v>
      </c>
      <c r="AF71" s="1">
        <f ca="1">IFERROR(__xludf.DUMMYFUNCTION("IFERROR(GOOGLEFINANCE(TRIM(F71)&amp;"":"" &amp; TRIM(B71),""high52""),AE71)"),0)</f>
        <v>0</v>
      </c>
      <c r="AG71" s="1">
        <v>0</v>
      </c>
      <c r="AH71" s="1">
        <f ca="1">IFERROR(__xludf.DUMMYFUNCTION("IFERROR(GOOGLEFINANCE(TRIM(F71)&amp;"":"" &amp; TRIM(B71),""low52""),AE71)"),0)</f>
        <v>0</v>
      </c>
      <c r="AI71" s="1">
        <f ca="1">IFERROR(__xludf.DUMMYFUNCTION("IFERROR(GOOGLEFINANCE(B71,""eps""),0)"),0)</f>
        <v>0</v>
      </c>
      <c r="AJ71" s="1"/>
      <c r="AK71" s="9"/>
      <c r="AL71" s="1" t="b">
        <f>ISBLANK(AB71)</f>
        <v>0</v>
      </c>
    </row>
    <row r="72" spans="1:38" ht="15" x14ac:dyDescent="0.25">
      <c r="A72" s="1" t="s">
        <v>278</v>
      </c>
      <c r="B72" s="1" t="s">
        <v>279</v>
      </c>
      <c r="C72" s="1" t="s">
        <v>268</v>
      </c>
      <c r="D72" s="1" t="s">
        <v>268</v>
      </c>
      <c r="E72" s="6">
        <v>97123.7</v>
      </c>
      <c r="F72" s="1" t="s">
        <v>40</v>
      </c>
      <c r="G72" s="6">
        <f ca="1">IFERROR(__xludf.DUMMYFUNCTION("iferror(GOOGLEFINANCE(TRIM(F72)&amp;"":"" &amp; TRIM(B72), ""price""),0
)"),882.9)</f>
        <v>882.9</v>
      </c>
      <c r="H72" s="6">
        <v>827.4</v>
      </c>
      <c r="I72" s="6">
        <f t="shared" ca="1" si="0"/>
        <v>882.9</v>
      </c>
      <c r="J72" s="6">
        <f ca="1">IFERROR(__xludf.DUMMYFUNCTION("IFERROR(GOOGLEFINANCE(B72, ""volume""), 0)"),1530800)</f>
        <v>1530800</v>
      </c>
      <c r="K72" s="6">
        <v>2.27</v>
      </c>
      <c r="L72" s="6">
        <f ca="1">IFERROR(__xludf.DUMMYFUNCTION("IFERROR(GOOGLEFINANCE(B72,""changepct""),K72)"),4.39)</f>
        <v>4.3899999999999997</v>
      </c>
      <c r="M72" s="6">
        <f ca="1">IFERROR(__xludf.DUMMYFUNCTION("IFERROR(GOOGLEFINANCE(B72,""change""),0)"),37.15)</f>
        <v>37.15</v>
      </c>
      <c r="N72" s="6">
        <v>2</v>
      </c>
      <c r="O72" s="7">
        <v>45536</v>
      </c>
      <c r="P72" s="6">
        <v>38950.86</v>
      </c>
      <c r="Q72" s="6">
        <v>130014.3</v>
      </c>
      <c r="R72" s="7">
        <v>45536</v>
      </c>
      <c r="S72" s="6">
        <v>20831.830000000002</v>
      </c>
      <c r="T72" s="6">
        <v>315.70999999999998</v>
      </c>
      <c r="U72" s="7">
        <v>45536</v>
      </c>
      <c r="V72" s="6">
        <v>179.59</v>
      </c>
      <c r="W72" s="6">
        <f ca="1">IFERROR(__xludf.DUMMYFUNCTION("IFERROR(GOOGLEFINANCE(B72,""pe""),V72)"),47.17)</f>
        <v>47.17</v>
      </c>
      <c r="X72" s="6">
        <v>11.77</v>
      </c>
      <c r="Y72" s="6">
        <v>4.63</v>
      </c>
      <c r="Z72" s="6">
        <v>2</v>
      </c>
      <c r="AA72" s="8">
        <v>45352</v>
      </c>
      <c r="AB72" s="4">
        <v>2.93</v>
      </c>
      <c r="AC72" s="6">
        <v>9.8000000000000007</v>
      </c>
      <c r="AD72" s="6">
        <v>9.51</v>
      </c>
      <c r="AE72" s="1">
        <v>0</v>
      </c>
      <c r="AF72" s="1">
        <f ca="1">IFERROR(__xludf.DUMMYFUNCTION("IFERROR(GOOGLEFINANCE(TRIM(F72)&amp;"":"" &amp; TRIM(B72),""high52""),AE72)"),1067.7)</f>
        <v>1067.7</v>
      </c>
      <c r="AG72" s="1">
        <v>0</v>
      </c>
      <c r="AH72" s="1">
        <f ca="1">IFERROR(__xludf.DUMMYFUNCTION("IFERROR(GOOGLEFINANCE(TRIM(F72)&amp;"":"" &amp; TRIM(B72),""low52""),AE72)"),639.45)</f>
        <v>639.45000000000005</v>
      </c>
      <c r="AI72" s="1">
        <f ca="1">IFERROR(__xludf.DUMMYFUNCTION("IFERROR(GOOGLEFINANCE(B72,""eps""),0)"),18.72)</f>
        <v>18.72</v>
      </c>
      <c r="AJ72" s="1"/>
      <c r="AK72" s="1" t="s">
        <v>280</v>
      </c>
      <c r="AL72" s="9">
        <f t="shared" ref="AL72:AL75" si="16">IF(AA72&lt;&gt;AB72,1,0)</f>
        <v>1</v>
      </c>
    </row>
    <row r="73" spans="1:38" ht="15" x14ac:dyDescent="0.25">
      <c r="A73" s="1" t="s">
        <v>281</v>
      </c>
      <c r="B73" s="1" t="s">
        <v>282</v>
      </c>
      <c r="C73" s="1" t="s">
        <v>227</v>
      </c>
      <c r="D73" s="1" t="s">
        <v>227</v>
      </c>
      <c r="E73" s="6">
        <v>299717.7</v>
      </c>
      <c r="F73" s="1" t="s">
        <v>40</v>
      </c>
      <c r="G73" s="6">
        <f ca="1">IFERROR(__xludf.DUMMYFUNCTION("iferror(GOOGLEFINANCE(TRIM(F73)&amp;"":"" &amp; TRIM(B73), ""price""),0
)"),1995)</f>
        <v>1995</v>
      </c>
      <c r="H73" s="6">
        <v>2594.85</v>
      </c>
      <c r="I73" s="6">
        <f t="shared" ca="1" si="0"/>
        <v>1995</v>
      </c>
      <c r="J73" s="6">
        <f ca="1">IFERROR(__xludf.DUMMYFUNCTION("IFERROR(GOOGLEFINANCE(B73, ""volume""), 0)"),1229270)</f>
        <v>1229270</v>
      </c>
      <c r="K73" s="6">
        <v>-0.11</v>
      </c>
      <c r="L73" s="6">
        <f ca="1">IFERROR(__xludf.DUMMYFUNCTION("IFERROR(GOOGLEFINANCE(B73,""changepct""),K73)"),2.69)</f>
        <v>2.69</v>
      </c>
      <c r="M73" s="6">
        <f ca="1">IFERROR(__xludf.DUMMYFUNCTION("IFERROR(GOOGLEFINANCE(B73,""change""),0)"),52.2)</f>
        <v>52.2</v>
      </c>
      <c r="N73" s="6">
        <v>2</v>
      </c>
      <c r="O73" s="7">
        <v>45536</v>
      </c>
      <c r="P73" s="6">
        <v>63858.13</v>
      </c>
      <c r="Q73" s="6">
        <v>358927.1</v>
      </c>
      <c r="R73" s="7">
        <v>45536</v>
      </c>
      <c r="S73" s="6">
        <v>105596.9</v>
      </c>
      <c r="T73" s="6">
        <v>5730.28</v>
      </c>
      <c r="U73" s="7">
        <v>45536</v>
      </c>
      <c r="V73" s="6">
        <v>54.15</v>
      </c>
      <c r="W73" s="6">
        <f ca="1">IFERROR(__xludf.DUMMYFUNCTION("IFERROR(GOOGLEFINANCE(B73,""pe""),V73)"),28.14)</f>
        <v>28.14</v>
      </c>
      <c r="X73" s="6">
        <v>1.52</v>
      </c>
      <c r="Y73" s="6">
        <v>6.5</v>
      </c>
      <c r="Z73" s="6">
        <v>2</v>
      </c>
      <c r="AA73" s="8">
        <v>45352</v>
      </c>
      <c r="AB73" s="4">
        <v>1.45</v>
      </c>
      <c r="AC73" s="6">
        <v>9.48</v>
      </c>
      <c r="AD73" s="6">
        <v>11.81</v>
      </c>
      <c r="AE73" s="1">
        <v>0</v>
      </c>
      <c r="AF73" s="1">
        <f ca="1">IFERROR(__xludf.DUMMYFUNCTION("IFERROR(GOOGLEFINANCE(TRIM(F73)&amp;"":"" &amp; TRIM(B73),""high52""),AE73)"),2612.76)</f>
        <v>2612.7600000000002</v>
      </c>
      <c r="AG73" s="1">
        <v>0</v>
      </c>
      <c r="AH73" s="1">
        <f ca="1">IFERROR(__xludf.DUMMYFUNCTION("IFERROR(GOOGLEFINANCE(TRIM(F73)&amp;"":"" &amp; TRIM(B73),""low52""),AE73)"),1848)</f>
        <v>1848</v>
      </c>
      <c r="AI73" s="1">
        <f ca="1">IFERROR(__xludf.DUMMYFUNCTION("IFERROR(GOOGLEFINANCE(B73,""eps""),0)"),70.89)</f>
        <v>70.89</v>
      </c>
      <c r="AJ73" s="1"/>
      <c r="AK73" s="1" t="s">
        <v>283</v>
      </c>
      <c r="AL73" s="9">
        <f t="shared" si="16"/>
        <v>1</v>
      </c>
    </row>
    <row r="74" spans="1:38" ht="15" x14ac:dyDescent="0.25">
      <c r="A74" s="1" t="s">
        <v>284</v>
      </c>
      <c r="B74" s="1" t="s">
        <v>285</v>
      </c>
      <c r="C74" s="1" t="s">
        <v>268</v>
      </c>
      <c r="D74" s="1" t="s">
        <v>268</v>
      </c>
      <c r="E74" s="6">
        <v>165832.4</v>
      </c>
      <c r="F74" s="1" t="s">
        <v>40</v>
      </c>
      <c r="G74" s="6">
        <f ca="1">IFERROR(__xludf.DUMMYFUNCTION("iferror(GOOGLEFINANCE(TRIM(F74)&amp;"":"" &amp; TRIM(B74), ""price""),0
)"),845)</f>
        <v>845</v>
      </c>
      <c r="H74" s="6">
        <v>1052.3</v>
      </c>
      <c r="I74" s="6">
        <f t="shared" ca="1" si="0"/>
        <v>845</v>
      </c>
      <c r="J74" s="6">
        <f ca="1">IFERROR(__xludf.DUMMYFUNCTION("IFERROR(GOOGLEFINANCE(B74, ""volume""), 0)"),3922655)</f>
        <v>3922655</v>
      </c>
      <c r="K74" s="6">
        <v>0.55000000000000004</v>
      </c>
      <c r="L74" s="6">
        <f ca="1">IFERROR(__xludf.DUMMYFUNCTION("IFERROR(GOOGLEFINANCE(B74,""changepct""),K74)"),4.73)</f>
        <v>4.7300000000000004</v>
      </c>
      <c r="M74" s="6">
        <f ca="1">IFERROR(__xludf.DUMMYFUNCTION("IFERROR(GOOGLEFINANCE(B74,""change""),0)"),38.2)</f>
        <v>38.200000000000003</v>
      </c>
      <c r="N74" s="6">
        <v>2</v>
      </c>
      <c r="O74" s="7">
        <v>45536</v>
      </c>
      <c r="P74" s="6">
        <v>65606</v>
      </c>
      <c r="Q74" s="6">
        <v>225566.4</v>
      </c>
      <c r="R74" s="7">
        <v>45536</v>
      </c>
      <c r="S74" s="6">
        <v>10727</v>
      </c>
      <c r="T74" s="6">
        <v>1269</v>
      </c>
      <c r="U74" s="7">
        <v>45536</v>
      </c>
      <c r="V74" s="6">
        <v>147.01</v>
      </c>
      <c r="W74" s="6">
        <f ca="1">IFERROR(__xludf.DUMMYFUNCTION("IFERROR(GOOGLEFINANCE(B74,""pe""),V74)"),98.1)</f>
        <v>98.1</v>
      </c>
      <c r="X74" s="6">
        <v>4.0599999999999996</v>
      </c>
      <c r="Y74" s="6">
        <v>15.68</v>
      </c>
      <c r="Z74" s="6">
        <v>2</v>
      </c>
      <c r="AA74" s="8">
        <v>45352</v>
      </c>
      <c r="AB74" s="4">
        <v>10.62</v>
      </c>
      <c r="AC74" s="6">
        <v>21.08</v>
      </c>
      <c r="AD74" s="6">
        <v>10.039999999999999</v>
      </c>
      <c r="AE74" s="1">
        <v>0</v>
      </c>
      <c r="AF74" s="1">
        <f ca="1">IFERROR(__xludf.DUMMYFUNCTION("IFERROR(GOOGLEFINANCE(TRIM(F74)&amp;"":"" &amp; TRIM(B74),""high52""),AE74)"),1177.55)</f>
        <v>1177.55</v>
      </c>
      <c r="AG74" s="1">
        <v>0</v>
      </c>
      <c r="AH74" s="1">
        <f ca="1">IFERROR(__xludf.DUMMYFUNCTION("IFERROR(GOOGLEFINANCE(TRIM(F74)&amp;"":"" &amp; TRIM(B74),""low52""),AE74)"),758)</f>
        <v>758</v>
      </c>
      <c r="AI74" s="1">
        <f ca="1">IFERROR(__xludf.DUMMYFUNCTION("IFERROR(GOOGLEFINANCE(B74,""eps""),0)"),8.61)</f>
        <v>8.61</v>
      </c>
      <c r="AJ74" s="1"/>
      <c r="AK74" s="9"/>
      <c r="AL74" s="9">
        <f t="shared" si="16"/>
        <v>1</v>
      </c>
    </row>
    <row r="75" spans="1:38" ht="15" x14ac:dyDescent="0.25">
      <c r="A75" s="1" t="s">
        <v>286</v>
      </c>
      <c r="B75" s="1" t="s">
        <v>287</v>
      </c>
      <c r="C75" s="1" t="s">
        <v>288</v>
      </c>
      <c r="D75" s="1" t="s">
        <v>288</v>
      </c>
      <c r="E75" s="6">
        <v>264757.40000000002</v>
      </c>
      <c r="F75" s="1" t="s">
        <v>40</v>
      </c>
      <c r="G75" s="6">
        <f ca="1">IFERROR(__xludf.DUMMYFUNCTION("iferror(GOOGLEFINANCE(TRIM(F75)&amp;"":"" &amp; TRIM(B75), ""price""),0
)"),1402.5)</f>
        <v>1402.5</v>
      </c>
      <c r="H75" s="6">
        <v>1217.8</v>
      </c>
      <c r="I75" s="6">
        <f t="shared" ca="1" si="0"/>
        <v>1402.5</v>
      </c>
      <c r="J75" s="6">
        <f ca="1">IFERROR(__xludf.DUMMYFUNCTION("IFERROR(GOOGLEFINANCE(B75, ""volume""), 0)"),2796673)</f>
        <v>2796673</v>
      </c>
      <c r="K75" s="6">
        <v>-0.67</v>
      </c>
      <c r="L75" s="6">
        <f ca="1">IFERROR(__xludf.DUMMYFUNCTION("IFERROR(GOOGLEFINANCE(B75,""changepct""),K75)"),4.28)</f>
        <v>4.28</v>
      </c>
      <c r="M75" s="6">
        <f ca="1">IFERROR(__xludf.DUMMYFUNCTION("IFERROR(GOOGLEFINANCE(B75,""change""),0)"),57.6)</f>
        <v>57.6</v>
      </c>
      <c r="N75" s="6">
        <v>2</v>
      </c>
      <c r="O75" s="7">
        <v>45536</v>
      </c>
      <c r="P75" s="6">
        <v>44058.59</v>
      </c>
      <c r="Q75" s="6">
        <v>302188.7</v>
      </c>
      <c r="R75" s="7">
        <v>45536</v>
      </c>
      <c r="S75" s="6">
        <v>28443.21</v>
      </c>
      <c r="T75" s="6">
        <v>9953.64</v>
      </c>
      <c r="U75" s="7">
        <v>45536</v>
      </c>
      <c r="V75" s="6">
        <v>27</v>
      </c>
      <c r="W75" s="6">
        <f ca="1">IFERROR(__xludf.DUMMYFUNCTION("IFERROR(GOOGLEFINANCE(B75,""pe""),V75)"),25.34)</f>
        <v>25.34</v>
      </c>
      <c r="X75" s="6">
        <v>1.71</v>
      </c>
      <c r="Y75" s="6">
        <v>4.63</v>
      </c>
      <c r="Z75" s="6">
        <v>2</v>
      </c>
      <c r="AA75" s="8">
        <v>45352</v>
      </c>
      <c r="AB75" s="4">
        <v>0.87</v>
      </c>
      <c r="AC75" s="6">
        <v>16.45</v>
      </c>
      <c r="AD75" s="6">
        <v>13.3</v>
      </c>
      <c r="AE75" s="1">
        <v>0</v>
      </c>
      <c r="AF75" s="1">
        <f ca="1">IFERROR(__xludf.DUMMYFUNCTION("IFERROR(GOOGLEFINANCE(TRIM(F75)&amp;"":"" &amp; TRIM(B75),""high52""),AE75)"),1549)</f>
        <v>1549</v>
      </c>
      <c r="AG75" s="1">
        <v>0</v>
      </c>
      <c r="AH75" s="1">
        <f ca="1">IFERROR(__xludf.DUMMYFUNCTION("IFERROR(GOOGLEFINANCE(TRIM(F75)&amp;"":"" &amp; TRIM(B75),""low52""),AE75)"),1036.5)</f>
        <v>1036.5</v>
      </c>
      <c r="AI75" s="1">
        <f ca="1">IFERROR(__xludf.DUMMYFUNCTION("IFERROR(GOOGLEFINANCE(B75,""eps""),0)"),55.35)</f>
        <v>55.35</v>
      </c>
      <c r="AJ75" s="1"/>
      <c r="AK75" s="1" t="s">
        <v>289</v>
      </c>
      <c r="AL75" s="9">
        <f t="shared" si="16"/>
        <v>1</v>
      </c>
    </row>
    <row r="76" spans="1:38" ht="15" x14ac:dyDescent="0.25">
      <c r="A76" s="1" t="s">
        <v>290</v>
      </c>
      <c r="B76" s="1" t="s">
        <v>291</v>
      </c>
      <c r="C76" s="1" t="s">
        <v>264</v>
      </c>
      <c r="D76" s="1" t="s">
        <v>264</v>
      </c>
      <c r="E76" s="6">
        <v>32.35</v>
      </c>
      <c r="F76" s="1" t="s">
        <v>53</v>
      </c>
      <c r="G76" s="6">
        <f ca="1">IFERROR(__xludf.DUMMYFUNCTION("iferror(GOOGLEFINANCE(TRIM(F76)&amp;"":"" &amp; TRIM(B76), ""price""),0
)"),0)</f>
        <v>0</v>
      </c>
      <c r="H76" s="6">
        <v>825.25</v>
      </c>
      <c r="I76" s="6">
        <f t="shared" ca="1" si="0"/>
        <v>825.25</v>
      </c>
      <c r="J76" s="6">
        <f ca="1">IFERROR(__xludf.DUMMYFUNCTION("IFERROR(GOOGLEFINANCE(B76, ""volume""), 0)"),0)</f>
        <v>0</v>
      </c>
      <c r="K76" s="6">
        <v>0</v>
      </c>
      <c r="L76" s="6">
        <f ca="1">IFERROR(__xludf.DUMMYFUNCTION("IFERROR(GOOGLEFINANCE(B76,""changepct""),K76)"),0)</f>
        <v>0</v>
      </c>
      <c r="M76" s="6">
        <f ca="1">IFERROR(__xludf.DUMMYFUNCTION("IFERROR(GOOGLEFINANCE(B76,""change""),0)"),0)</f>
        <v>0</v>
      </c>
      <c r="N76" s="6">
        <v>1</v>
      </c>
      <c r="O76" s="7">
        <v>45536</v>
      </c>
      <c r="P76" s="9"/>
      <c r="Q76" s="6">
        <v>32.35</v>
      </c>
      <c r="R76" s="7">
        <v>45536</v>
      </c>
      <c r="S76" s="6">
        <v>9.25</v>
      </c>
      <c r="T76" s="6">
        <v>-2.06</v>
      </c>
      <c r="U76" s="7">
        <v>45536</v>
      </c>
      <c r="V76" s="6">
        <v>0</v>
      </c>
      <c r="W76" s="6">
        <f ca="1">IFERROR(__xludf.DUMMYFUNCTION("IFERROR(GOOGLEFINANCE(B76,""pe""),V76)"),0)</f>
        <v>0</v>
      </c>
      <c r="X76" s="6">
        <v>0</v>
      </c>
      <c r="Y76" s="6">
        <v>1.06</v>
      </c>
      <c r="Z76" s="6">
        <v>1</v>
      </c>
      <c r="AA76" s="8">
        <v>45352</v>
      </c>
      <c r="AB76" s="4">
        <v>0.01</v>
      </c>
      <c r="AC76" s="6">
        <v>1.0900000000000001</v>
      </c>
      <c r="AD76" s="6">
        <v>1.79</v>
      </c>
      <c r="AE76" s="1">
        <v>0</v>
      </c>
      <c r="AF76" s="1">
        <f ca="1">IFERROR(__xludf.DUMMYFUNCTION("IFERROR(GOOGLEFINANCE(TRIM(F76)&amp;"":"" &amp; TRIM(B76),""high52""),AE76)"),0)</f>
        <v>0</v>
      </c>
      <c r="AG76" s="1">
        <v>0</v>
      </c>
      <c r="AH76" s="1">
        <f ca="1">IFERROR(__xludf.DUMMYFUNCTION("IFERROR(GOOGLEFINANCE(TRIM(F76)&amp;"":"" &amp; TRIM(B76),""low52""),AE76)"),0)</f>
        <v>0</v>
      </c>
      <c r="AI76" s="1">
        <f ca="1">IFERROR(__xludf.DUMMYFUNCTION("IFERROR(GOOGLEFINANCE(B76,""eps""),0)"),0)</f>
        <v>0</v>
      </c>
      <c r="AJ76" s="1"/>
      <c r="AK76" s="9"/>
      <c r="AL76" s="1" t="b">
        <f>ISBLANK(AB76)</f>
        <v>0</v>
      </c>
    </row>
    <row r="77" spans="1:38" ht="15" x14ac:dyDescent="0.25">
      <c r="A77" s="1" t="s">
        <v>292</v>
      </c>
      <c r="B77" s="1" t="s">
        <v>293</v>
      </c>
      <c r="C77" s="1" t="s">
        <v>264</v>
      </c>
      <c r="D77" s="1" t="s">
        <v>264</v>
      </c>
      <c r="E77" s="6">
        <v>97</v>
      </c>
      <c r="F77" s="1" t="s">
        <v>53</v>
      </c>
      <c r="G77" s="6">
        <f ca="1">IFERROR(__xludf.DUMMYFUNCTION("iferror(GOOGLEFINANCE(TRIM(F77)&amp;"":"" &amp; TRIM(B77), ""price""),0
)"),0)</f>
        <v>0</v>
      </c>
      <c r="H77" s="6">
        <v>246</v>
      </c>
      <c r="I77" s="6">
        <f t="shared" ca="1" si="0"/>
        <v>246</v>
      </c>
      <c r="J77" s="6">
        <f ca="1">IFERROR(__xludf.DUMMYFUNCTION("IFERROR(GOOGLEFINANCE(B77, ""volume""), 0)"),0)</f>
        <v>0</v>
      </c>
      <c r="K77" s="6">
        <v>1.44</v>
      </c>
      <c r="L77" s="6">
        <f ca="1">IFERROR(__xludf.DUMMYFUNCTION("IFERROR(GOOGLEFINANCE(B77,""changepct""),K77)"),1.44)</f>
        <v>1.44</v>
      </c>
      <c r="M77" s="6">
        <f ca="1">IFERROR(__xludf.DUMMYFUNCTION("IFERROR(GOOGLEFINANCE(B77,""change""),0)"),0)</f>
        <v>0</v>
      </c>
      <c r="N77" s="6">
        <v>2</v>
      </c>
      <c r="O77" s="7">
        <v>45536</v>
      </c>
      <c r="P77" s="6">
        <v>32.130000000000003</v>
      </c>
      <c r="Q77" s="6">
        <v>128.1</v>
      </c>
      <c r="R77" s="7">
        <v>45536</v>
      </c>
      <c r="S77" s="6">
        <v>227.11</v>
      </c>
      <c r="T77" s="6">
        <v>7.65</v>
      </c>
      <c r="U77" s="7">
        <v>45536</v>
      </c>
      <c r="V77" s="6">
        <v>12.67</v>
      </c>
      <c r="W77" s="6">
        <f ca="1">IFERROR(__xludf.DUMMYFUNCTION("IFERROR(GOOGLEFINANCE(B77,""pe""),V77)"),12.67)</f>
        <v>12.67</v>
      </c>
      <c r="X77" s="6">
        <v>0.3</v>
      </c>
      <c r="Y77" s="6">
        <v>4.41</v>
      </c>
      <c r="Z77" s="6">
        <v>2</v>
      </c>
      <c r="AA77" s="8">
        <v>45352</v>
      </c>
      <c r="AB77" s="4">
        <v>1.9</v>
      </c>
      <c r="AC77" s="6">
        <v>29.25</v>
      </c>
      <c r="AD77" s="6">
        <v>16.329999999999998</v>
      </c>
      <c r="AE77" s="1">
        <v>0</v>
      </c>
      <c r="AF77" s="1">
        <f ca="1">IFERROR(__xludf.DUMMYFUNCTION("IFERROR(GOOGLEFINANCE(TRIM(F77)&amp;"":"" &amp; TRIM(B77),""high52""),AE77)"),0)</f>
        <v>0</v>
      </c>
      <c r="AG77" s="1">
        <v>0</v>
      </c>
      <c r="AH77" s="1">
        <f ca="1">IFERROR(__xludf.DUMMYFUNCTION("IFERROR(GOOGLEFINANCE(TRIM(F77)&amp;"":"" &amp; TRIM(B77),""low52""),AE77)"),0)</f>
        <v>0</v>
      </c>
      <c r="AI77" s="1">
        <f ca="1">IFERROR(__xludf.DUMMYFUNCTION("IFERROR(GOOGLEFINANCE(B77,""eps""),0)"),0)</f>
        <v>0</v>
      </c>
      <c r="AJ77" s="1"/>
      <c r="AK77" s="1" t="s">
        <v>294</v>
      </c>
      <c r="AL77" s="1" t="b">
        <f t="shared" ref="AL77:AL80" si="17">ISNUMBER(AA77)</f>
        <v>1</v>
      </c>
    </row>
    <row r="78" spans="1:38" ht="15" x14ac:dyDescent="0.25">
      <c r="A78" s="1" t="s">
        <v>295</v>
      </c>
      <c r="B78" s="1" t="s">
        <v>296</v>
      </c>
      <c r="C78" s="1" t="s">
        <v>264</v>
      </c>
      <c r="D78" s="1" t="s">
        <v>264</v>
      </c>
      <c r="E78" s="6">
        <v>272.64</v>
      </c>
      <c r="F78" s="1" t="s">
        <v>53</v>
      </c>
      <c r="G78" s="6">
        <f ca="1">IFERROR(__xludf.DUMMYFUNCTION("iferror(GOOGLEFINANCE(TRIM(F78)&amp;"":"" &amp; TRIM(B78), ""price""),0
)"),0)</f>
        <v>0</v>
      </c>
      <c r="H78" s="6">
        <v>236.35</v>
      </c>
      <c r="I78" s="6">
        <f t="shared" ca="1" si="0"/>
        <v>236.35</v>
      </c>
      <c r="J78" s="6">
        <f ca="1">IFERROR(__xludf.DUMMYFUNCTION("IFERROR(GOOGLEFINANCE(B78, ""volume""), 0)"),0)</f>
        <v>0</v>
      </c>
      <c r="K78" s="6">
        <v>2.25</v>
      </c>
      <c r="L78" s="6">
        <f ca="1">IFERROR(__xludf.DUMMYFUNCTION("IFERROR(GOOGLEFINANCE(B78,""changepct""),K78)"),2.25)</f>
        <v>2.25</v>
      </c>
      <c r="M78" s="6">
        <f ca="1">IFERROR(__xludf.DUMMYFUNCTION("IFERROR(GOOGLEFINANCE(B78,""change""),0)"),0)</f>
        <v>0</v>
      </c>
      <c r="N78" s="6">
        <v>1</v>
      </c>
      <c r="O78" s="7">
        <v>45536</v>
      </c>
      <c r="P78" s="6">
        <v>71.78</v>
      </c>
      <c r="Q78" s="6">
        <v>338.9</v>
      </c>
      <c r="R78" s="7">
        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="6">
        <f ca="1">IFERROR(__xludf.DUMMYFUNCTION("IFERROR(GOOGLEFINANCE(B78,""pe""),V78)"),9.28)</f>
        <v>9.2799999999999994</v>
      </c>
      <c r="X78" s="6">
        <v>9.1</v>
      </c>
      <c r="Y78" s="6">
        <v>0.82</v>
      </c>
      <c r="Z78" s="6">
        <v>1</v>
      </c>
      <c r="AA78" s="8">
        <v>45352</v>
      </c>
      <c r="AB78" s="4">
        <v>0.22</v>
      </c>
      <c r="AC78" s="6">
        <v>5.75</v>
      </c>
      <c r="AD78" s="6">
        <v>6.27</v>
      </c>
      <c r="AE78" s="1">
        <v>0</v>
      </c>
      <c r="AF78" s="1">
        <f ca="1">IFERROR(__xludf.DUMMYFUNCTION("IFERROR(GOOGLEFINANCE(TRIM(F78)&amp;"":"" &amp; TRIM(B78),""high52""),AE78)"),0)</f>
        <v>0</v>
      </c>
      <c r="AG78" s="1">
        <v>0</v>
      </c>
      <c r="AH78" s="1">
        <f ca="1">IFERROR(__xludf.DUMMYFUNCTION("IFERROR(GOOGLEFINANCE(TRIM(F78)&amp;"":"" &amp; TRIM(B78),""low52""),AE78)"),0)</f>
        <v>0</v>
      </c>
      <c r="AI78" s="1">
        <f ca="1">IFERROR(__xludf.DUMMYFUNCTION("IFERROR(GOOGLEFINANCE(B78,""eps""),0)"),0)</f>
        <v>0</v>
      </c>
      <c r="AJ78" s="1"/>
      <c r="AK78" s="1" t="s">
        <v>297</v>
      </c>
      <c r="AL78" s="1" t="b">
        <f t="shared" si="17"/>
        <v>1</v>
      </c>
    </row>
    <row r="79" spans="1:38" ht="15" x14ac:dyDescent="0.25">
      <c r="A79" s="1" t="s">
        <v>298</v>
      </c>
      <c r="B79" s="1" t="s">
        <v>299</v>
      </c>
      <c r="C79" s="1" t="s">
        <v>264</v>
      </c>
      <c r="D79" s="1" t="s">
        <v>264</v>
      </c>
      <c r="E79" s="6">
        <v>76.13</v>
      </c>
      <c r="F79" s="1" t="s">
        <v>53</v>
      </c>
      <c r="G79" s="6">
        <f ca="1">IFERROR(__xludf.DUMMYFUNCTION("iferror(GOOGLEFINANCE(TRIM(F79)&amp;"":"" &amp; TRIM(B79), ""price""),0
)"),0)</f>
        <v>0</v>
      </c>
      <c r="H79" s="6">
        <v>5.79</v>
      </c>
      <c r="I79" s="6">
        <f t="shared" ca="1" si="0"/>
        <v>5.79</v>
      </c>
      <c r="J79" s="6">
        <f ca="1">IFERROR(__xludf.DUMMYFUNCTION("IFERROR(GOOGLEFINANCE(B79, ""volume""), 0)"),0)</f>
        <v>0</v>
      </c>
      <c r="K79" s="6">
        <v>-4.93</v>
      </c>
      <c r="L79" s="6">
        <f ca="1">IFERROR(__xludf.DUMMYFUNCTION("IFERROR(GOOGLEFINANCE(B79,""changepct""),K79)"),-4.93)</f>
        <v>-4.93</v>
      </c>
      <c r="M79" s="6">
        <f ca="1">IFERROR(__xludf.DUMMYFUNCTION("IFERROR(GOOGLEFINANCE(B79,""change""),0)"),0)</f>
        <v>0</v>
      </c>
      <c r="N79" s="6">
        <v>1</v>
      </c>
      <c r="O79" s="7">
        <v>45536</v>
      </c>
      <c r="P79" s="6">
        <v>21.66</v>
      </c>
      <c r="Q79" s="6">
        <v>97.78</v>
      </c>
      <c r="R79" s="7">
        <v>45536</v>
      </c>
      <c r="S79" s="6">
        <v>75.239999999999995</v>
      </c>
      <c r="T79" s="6">
        <v>2.1</v>
      </c>
      <c r="U79" s="7">
        <v>45536</v>
      </c>
      <c r="V79" s="6">
        <v>36.25</v>
      </c>
      <c r="W79" s="6">
        <f ca="1">IFERROR(__xludf.DUMMYFUNCTION("IFERROR(GOOGLEFINANCE(B79,""pe""),V79)"),36.25)</f>
        <v>36.25</v>
      </c>
      <c r="X79" s="6">
        <v>-30.72</v>
      </c>
      <c r="Y79" s="6">
        <v>1.49</v>
      </c>
      <c r="Z79" s="6">
        <v>1</v>
      </c>
      <c r="AA79" s="8">
        <v>45352</v>
      </c>
      <c r="AB79" s="4">
        <v>0.34</v>
      </c>
      <c r="AC79" s="6">
        <v>4.47</v>
      </c>
      <c r="AD79" s="6">
        <v>5.87</v>
      </c>
      <c r="AE79" s="1">
        <v>0</v>
      </c>
      <c r="AF79" s="1">
        <f ca="1">IFERROR(__xludf.DUMMYFUNCTION("IFERROR(GOOGLEFINANCE(TRIM(F79)&amp;"":"" &amp; TRIM(B79),""high52""),AE79)"),0)</f>
        <v>0</v>
      </c>
      <c r="AG79" s="1">
        <v>0</v>
      </c>
      <c r="AH79" s="1">
        <f ca="1">IFERROR(__xludf.DUMMYFUNCTION("IFERROR(GOOGLEFINANCE(TRIM(F79)&amp;"":"" &amp; TRIM(B79),""low52""),AE79)"),0)</f>
        <v>0</v>
      </c>
      <c r="AI79" s="1">
        <f ca="1">IFERROR(__xludf.DUMMYFUNCTION("IFERROR(GOOGLEFINANCE(B79,""eps""),0)"),0)</f>
        <v>0</v>
      </c>
      <c r="AJ79" s="1"/>
      <c r="AK79" s="1" t="s">
        <v>300</v>
      </c>
      <c r="AL79" s="1" t="b">
        <f t="shared" si="17"/>
        <v>1</v>
      </c>
    </row>
    <row r="80" spans="1:38" ht="15" x14ac:dyDescent="0.25">
      <c r="A80" s="1" t="s">
        <v>301</v>
      </c>
      <c r="B80" s="1" t="s">
        <v>302</v>
      </c>
      <c r="C80" s="1" t="s">
        <v>264</v>
      </c>
      <c r="D80" s="1" t="s">
        <v>264</v>
      </c>
      <c r="E80" s="6">
        <v>49.01</v>
      </c>
      <c r="F80" s="1" t="s">
        <v>53</v>
      </c>
      <c r="G80" s="6">
        <f ca="1">IFERROR(__xludf.DUMMYFUNCTION("iferror(GOOGLEFINANCE(TRIM(F80)&amp;"":"" &amp; TRIM(B80), ""price""),0
)"),0)</f>
        <v>0</v>
      </c>
      <c r="H80" s="6">
        <v>58.5</v>
      </c>
      <c r="I80" s="6">
        <f t="shared" ca="1" si="0"/>
        <v>58.5</v>
      </c>
      <c r="J80" s="6">
        <f ca="1">IFERROR(__xludf.DUMMYFUNCTION("IFERROR(GOOGLEFINANCE(B80, ""volume""), 0)"),0)</f>
        <v>0</v>
      </c>
      <c r="K80" s="9"/>
      <c r="L80" s="6" t="str">
        <f ca="1">IFERROR(__xludf.DUMMYFUNCTION("IFERROR(GOOGLEFINANCE(B80,""changepct""),K80)"),"")</f>
        <v/>
      </c>
      <c r="M80" s="6">
        <f ca="1">IFERROR(__xludf.DUMMYFUNCTION("IFERROR(GOOGLEFINANCE(B80,""change""),0)"),0)</f>
        <v>0</v>
      </c>
      <c r="N80" s="6">
        <v>1</v>
      </c>
      <c r="O80" s="7">
        <v>45536</v>
      </c>
      <c r="P80" s="6">
        <v>23.11</v>
      </c>
      <c r="Q80" s="6">
        <v>69.95</v>
      </c>
      <c r="R80" s="7">
        <v>45536</v>
      </c>
      <c r="S80" s="6">
        <v>138.21</v>
      </c>
      <c r="T80" s="6">
        <v>3.39</v>
      </c>
      <c r="U80" s="7">
        <v>45536</v>
      </c>
      <c r="V80" s="6">
        <v>14.44</v>
      </c>
      <c r="W80" s="6">
        <f ca="1">IFERROR(__xludf.DUMMYFUNCTION("IFERROR(GOOGLEFINANCE(B80,""pe""),V80)"),14.44)</f>
        <v>14.44</v>
      </c>
      <c r="X80" s="6">
        <v>1.32</v>
      </c>
      <c r="Y80" s="6">
        <v>2.2599999999999998</v>
      </c>
      <c r="Z80" s="6">
        <v>1</v>
      </c>
      <c r="AA80" s="8">
        <v>45352</v>
      </c>
      <c r="AB80" s="4">
        <v>1.1499999999999999</v>
      </c>
      <c r="AC80" s="6">
        <v>0</v>
      </c>
      <c r="AD80" s="6">
        <v>0</v>
      </c>
      <c r="AE80" s="1">
        <v>0</v>
      </c>
      <c r="AF80" s="1">
        <f ca="1">IFERROR(__xludf.DUMMYFUNCTION("IFERROR(GOOGLEFINANCE(TRIM(F80)&amp;"":"" &amp; TRIM(B80),""high52""),AE80)"),0)</f>
        <v>0</v>
      </c>
      <c r="AG80" s="1">
        <v>0</v>
      </c>
      <c r="AH80" s="1">
        <f ca="1">IFERROR(__xludf.DUMMYFUNCTION("IFERROR(GOOGLEFINANCE(TRIM(F80)&amp;"":"" &amp; TRIM(B80),""low52""),AE80)"),0)</f>
        <v>0</v>
      </c>
      <c r="AI80" s="1">
        <f ca="1">IFERROR(__xludf.DUMMYFUNCTION("IFERROR(GOOGLEFINANCE(B80,""eps""),0)"),0)</f>
        <v>0</v>
      </c>
      <c r="AJ80" s="1"/>
      <c r="AK80" s="1" t="s">
        <v>303</v>
      </c>
      <c r="AL80" s="1" t="b">
        <f t="shared" si="17"/>
        <v>1</v>
      </c>
    </row>
    <row r="81" spans="1:38" ht="15" x14ac:dyDescent="0.25">
      <c r="A81" s="1" t="s">
        <v>304</v>
      </c>
      <c r="B81" s="1" t="s">
        <v>305</v>
      </c>
      <c r="C81" s="1" t="s">
        <v>268</v>
      </c>
      <c r="D81" s="1" t="s">
        <v>268</v>
      </c>
      <c r="E81" s="6">
        <v>201216.5</v>
      </c>
      <c r="F81" s="1" t="s">
        <v>40</v>
      </c>
      <c r="G81" s="6">
        <f ca="1">IFERROR(__xludf.DUMMYFUNCTION("iferror(GOOGLEFINANCE(TRIM(F81)&amp;"":"" &amp; TRIM(B81), ""price""),0
)"),134.7)</f>
        <v>134.69999999999999</v>
      </c>
      <c r="H81" s="6">
        <v>526</v>
      </c>
      <c r="I81" s="6">
        <f t="shared" ca="1" si="0"/>
        <v>134.69999999999999</v>
      </c>
      <c r="J81" s="6">
        <f ca="1">IFERROR(__xludf.DUMMYFUNCTION("IFERROR(GOOGLEFINANCE(B81, ""volume""), 0)"),10586714)</f>
        <v>10586714</v>
      </c>
      <c r="K81" s="6">
        <v>0.8</v>
      </c>
      <c r="L81" s="6">
        <f ca="1">IFERROR(__xludf.DUMMYFUNCTION("IFERROR(GOOGLEFINANCE(B81,""changepct""),K81)"),1.39)</f>
        <v>1.39</v>
      </c>
      <c r="M81" s="6">
        <f ca="1">IFERROR(__xludf.DUMMYFUNCTION("IFERROR(GOOGLEFINANCE(B81,""change""),0)"),1.85)</f>
        <v>1.85</v>
      </c>
      <c r="N81" s="6">
        <v>2</v>
      </c>
      <c r="O81" s="7">
        <v>45536</v>
      </c>
      <c r="P81" s="6">
        <v>37427.300000000003</v>
      </c>
      <c r="Q81" s="6">
        <v>232522.2</v>
      </c>
      <c r="R81" s="7">
        <v>45536</v>
      </c>
      <c r="S81" s="6">
        <v>54649.64</v>
      </c>
      <c r="T81" s="6">
        <v>12685.51</v>
      </c>
      <c r="U81" s="7">
        <v>45536</v>
      </c>
      <c r="V81" s="6">
        <v>15.82</v>
      </c>
      <c r="W81" s="6">
        <f ca="1">IFERROR(__xludf.DUMMYFUNCTION("IFERROR(GOOGLEFINANCE(B81,""pe""),V81)"),22.1)</f>
        <v>22.1</v>
      </c>
      <c r="X81" s="6">
        <v>0.18</v>
      </c>
      <c r="Y81" s="6">
        <v>3.6</v>
      </c>
      <c r="Z81" s="6">
        <v>2</v>
      </c>
      <c r="AA81" s="8">
        <v>45352</v>
      </c>
      <c r="AB81" s="4">
        <v>0.8</v>
      </c>
      <c r="AC81" s="6">
        <v>57.05</v>
      </c>
      <c r="AD81" s="6">
        <v>32.299999999999997</v>
      </c>
      <c r="AE81" s="1">
        <v>0</v>
      </c>
      <c r="AF81" s="1">
        <f ca="1">IFERROR(__xludf.DUMMYFUNCTION("IFERROR(GOOGLEFINANCE(TRIM(F81)&amp;"":"" &amp; TRIM(B81),""high52""),AE81)"),182.7)</f>
        <v>182.7</v>
      </c>
      <c r="AG81" s="1">
        <v>0</v>
      </c>
      <c r="AH81" s="1">
        <f ca="1">IFERROR(__xludf.DUMMYFUNCTION("IFERROR(GOOGLEFINANCE(TRIM(F81)&amp;"":"" &amp; TRIM(B81),""low52""),AE81)"),92.4)</f>
        <v>92.4</v>
      </c>
      <c r="AI81" s="1">
        <f ca="1">IFERROR(__xludf.DUMMYFUNCTION("IFERROR(GOOGLEFINANCE(B81,""eps""),0)"),6.09)</f>
        <v>6.09</v>
      </c>
      <c r="AJ81" s="1"/>
      <c r="AK81" s="1" t="s">
        <v>306</v>
      </c>
      <c r="AL81" s="9">
        <f t="shared" ref="AL81:AL82" si="18">IF(AA81&lt;&gt;AB81,1,0)</f>
        <v>1</v>
      </c>
    </row>
    <row r="82" spans="1:38" ht="15" x14ac:dyDescent="0.25">
      <c r="A82" s="1" t="s">
        <v>307</v>
      </c>
      <c r="B82" s="1" t="s">
        <v>308</v>
      </c>
      <c r="C82" s="1" t="s">
        <v>309</v>
      </c>
      <c r="D82" s="1" t="s">
        <v>309</v>
      </c>
      <c r="E82" s="6">
        <v>80781.05</v>
      </c>
      <c r="F82" s="1" t="s">
        <v>40</v>
      </c>
      <c r="G82" s="6">
        <f ca="1">IFERROR(__xludf.DUMMYFUNCTION("iferror(GOOGLEFINANCE(TRIM(F82)&amp;"":"" &amp; TRIM(B82), ""price""),0
)"),519.9)</f>
        <v>519.9</v>
      </c>
      <c r="H82" s="6">
        <v>739.7</v>
      </c>
      <c r="I82" s="6">
        <f t="shared" ca="1" si="0"/>
        <v>519.9</v>
      </c>
      <c r="J82" s="6">
        <f ca="1">IFERROR(__xludf.DUMMYFUNCTION("IFERROR(GOOGLEFINANCE(B82, ""volume""), 0)"),0)</f>
        <v>0</v>
      </c>
      <c r="K82" s="6">
        <v>0.71</v>
      </c>
      <c r="L82" s="6">
        <f ca="1">IFERROR(__xludf.DUMMYFUNCTION("IFERROR(GOOGLEFINANCE(B82,""changepct""),K82)"),-5.02)</f>
        <v>-5.0199999999999996</v>
      </c>
      <c r="M82" s="6">
        <f ca="1">IFERROR(__xludf.DUMMYFUNCTION("IFERROR(GOOGLEFINANCE(B82,""change""),0)"),-1.1)</f>
        <v>-1.1000000000000001</v>
      </c>
      <c r="N82" s="6">
        <v>2</v>
      </c>
      <c r="O82" s="7">
        <v>45536</v>
      </c>
      <c r="P82" s="6">
        <v>1373.5</v>
      </c>
      <c r="Q82" s="6">
        <v>81937.83</v>
      </c>
      <c r="R82" s="7">
        <v>45536</v>
      </c>
      <c r="S82" s="6">
        <v>5059.8</v>
      </c>
      <c r="T82" s="6">
        <v>684.68</v>
      </c>
      <c r="U82" s="7">
        <v>45536</v>
      </c>
      <c r="V82" s="6">
        <v>115.07</v>
      </c>
      <c r="W82" s="6">
        <f ca="1">IFERROR(__xludf.DUMMYFUNCTION("IFERROR(GOOGLEFINANCE(B82,""pe""),V82)"),115.07)</f>
        <v>115.07</v>
      </c>
      <c r="X82" s="6">
        <v>5.22</v>
      </c>
      <c r="Y82" s="6">
        <v>20.66</v>
      </c>
      <c r="Z82" s="6">
        <v>2</v>
      </c>
      <c r="AA82" s="8">
        <v>45352</v>
      </c>
      <c r="AB82" s="4">
        <v>0.41</v>
      </c>
      <c r="AC82" s="6">
        <v>20.47</v>
      </c>
      <c r="AD82" s="6">
        <v>21.52</v>
      </c>
      <c r="AE82" s="1">
        <v>0</v>
      </c>
      <c r="AF82" s="1">
        <f ca="1">IFERROR(__xludf.DUMMYFUNCTION("IFERROR(GOOGLEFINANCE(TRIM(F82)&amp;"":"" &amp; TRIM(B82),""high52""),AE82)"),798)</f>
        <v>798</v>
      </c>
      <c r="AG82" s="1">
        <v>0</v>
      </c>
      <c r="AH82" s="1">
        <f ca="1">IFERROR(__xludf.DUMMYFUNCTION("IFERROR(GOOGLEFINANCE(TRIM(F82)&amp;"":"" &amp; TRIM(B82),""low52""),AE82)"),507.05)</f>
        <v>507.05</v>
      </c>
      <c r="AI82" s="1">
        <f ca="1">IFERROR(__xludf.DUMMYFUNCTION("IFERROR(GOOGLEFINANCE(B82,""eps""),0)"),-0.05)</f>
        <v>-0.05</v>
      </c>
      <c r="AJ82" s="1"/>
      <c r="AK82" s="1" t="s">
        <v>310</v>
      </c>
      <c r="AL82" s="9">
        <f t="shared" si="18"/>
        <v>1</v>
      </c>
    </row>
    <row r="83" spans="1:38" ht="15" x14ac:dyDescent="0.25">
      <c r="A83" s="1" t="s">
        <v>311</v>
      </c>
      <c r="B83" s="1" t="s">
        <v>312</v>
      </c>
      <c r="C83" s="1" t="s">
        <v>313</v>
      </c>
      <c r="D83" s="1" t="s">
        <v>313</v>
      </c>
      <c r="E83" s="6">
        <v>626.41999999999996</v>
      </c>
      <c r="F83" s="1" t="s">
        <v>53</v>
      </c>
      <c r="G83" s="6">
        <f ca="1">IFERROR(__xludf.DUMMYFUNCTION("iferror(GOOGLEFINANCE(TRIM(F83)&amp;"":"" &amp; TRIM(B83), ""price""),0
)"),0)</f>
        <v>0</v>
      </c>
      <c r="H83" s="6">
        <v>133.19999999999999</v>
      </c>
      <c r="I83" s="6">
        <f t="shared" ca="1" si="0"/>
        <v>133.19999999999999</v>
      </c>
      <c r="J83" s="6">
        <f ca="1">IFERROR(__xludf.DUMMYFUNCTION("IFERROR(GOOGLEFINANCE(B83, ""volume""), 0)"),0)</f>
        <v>0</v>
      </c>
      <c r="K83" s="6">
        <v>-0.49</v>
      </c>
      <c r="L83" s="6">
        <f ca="1">IFERROR(__xludf.DUMMYFUNCTION("IFERROR(GOOGLEFINANCE(B83,""changepct""),K83)"),-0.49)</f>
        <v>-0.49</v>
      </c>
      <c r="M83" s="6">
        <f ca="1">IFERROR(__xludf.DUMMYFUNCTION("IFERROR(GOOGLEFINANCE(B83,""change""),0)"),0)</f>
        <v>0</v>
      </c>
      <c r="N83" s="6">
        <v>2</v>
      </c>
      <c r="O83" s="7">
        <v>45536</v>
      </c>
      <c r="P83" s="9"/>
      <c r="Q83" s="6">
        <v>597.65</v>
      </c>
      <c r="R83" s="7">
        <v>45536</v>
      </c>
      <c r="S83" s="6">
        <v>74.400000000000006</v>
      </c>
      <c r="T83" s="6">
        <v>17.920000000000002</v>
      </c>
      <c r="U83" s="7">
        <v>45536</v>
      </c>
      <c r="V83" s="6">
        <v>26.81</v>
      </c>
      <c r="W83" s="6">
        <f ca="1">IFERROR(__xludf.DUMMYFUNCTION("IFERROR(GOOGLEFINANCE(B83,""pe""),V83)"),26.81)</f>
        <v>26.81</v>
      </c>
      <c r="X83" s="6">
        <v>1.25</v>
      </c>
      <c r="Y83" s="6">
        <v>6.05</v>
      </c>
      <c r="Z83" s="6">
        <v>2</v>
      </c>
      <c r="AA83" s="8">
        <v>45352</v>
      </c>
      <c r="AB83" s="4">
        <v>0</v>
      </c>
      <c r="AC83" s="6">
        <v>29.35</v>
      </c>
      <c r="AD83" s="6">
        <v>40.06</v>
      </c>
      <c r="AE83" s="1">
        <v>0</v>
      </c>
      <c r="AF83" s="1">
        <f ca="1">IFERROR(__xludf.DUMMYFUNCTION("IFERROR(GOOGLEFINANCE(TRIM(F83)&amp;"":"" &amp; TRIM(B83),""high52""),AE83)"),0)</f>
        <v>0</v>
      </c>
      <c r="AG83" s="1">
        <v>0</v>
      </c>
      <c r="AH83" s="1">
        <f ca="1">IFERROR(__xludf.DUMMYFUNCTION("IFERROR(GOOGLEFINANCE(TRIM(F83)&amp;"":"" &amp; TRIM(B83),""low52""),AE83)"),0)</f>
        <v>0</v>
      </c>
      <c r="AI83" s="1">
        <f ca="1">IFERROR(__xludf.DUMMYFUNCTION("IFERROR(GOOGLEFINANCE(B83,""eps""),0)"),0)</f>
        <v>0</v>
      </c>
      <c r="AJ83" s="1"/>
      <c r="AK83" s="1" t="s">
        <v>314</v>
      </c>
      <c r="AL83" s="1" t="b">
        <f>ISNUMBER(AA83)</f>
        <v>1</v>
      </c>
    </row>
    <row r="84" spans="1:38" ht="15" x14ac:dyDescent="0.25">
      <c r="A84" s="1" t="s">
        <v>315</v>
      </c>
      <c r="B84" s="1" t="s">
        <v>316</v>
      </c>
      <c r="C84" s="1" t="s">
        <v>317</v>
      </c>
      <c r="D84" s="1" t="s">
        <v>317</v>
      </c>
      <c r="E84" s="6">
        <v>42941.38</v>
      </c>
      <c r="F84" s="1" t="s">
        <v>40</v>
      </c>
      <c r="G84" s="6">
        <f ca="1">IFERROR(__xludf.DUMMYFUNCTION("iferror(GOOGLEFINANCE(TRIM(F84)&amp;"":"" &amp; TRIM(B84), ""price""),0
)"),211)</f>
        <v>211</v>
      </c>
      <c r="H84" s="6">
        <v>327.60000000000002</v>
      </c>
      <c r="I84" s="6">
        <f t="shared" ca="1" si="0"/>
        <v>211</v>
      </c>
      <c r="J84" s="6">
        <f ca="1">IFERROR(__xludf.DUMMYFUNCTION("IFERROR(GOOGLEFINANCE(B84, ""volume""), 0)"),2429081)</f>
        <v>2429081</v>
      </c>
      <c r="K84" s="6">
        <v>-0.89</v>
      </c>
      <c r="L84" s="6">
        <f ca="1">IFERROR(__xludf.DUMMYFUNCTION("IFERROR(GOOGLEFINANCE(B84,""changepct""),K84)"),1.28)</f>
        <v>1.28</v>
      </c>
      <c r="M84" s="6">
        <f ca="1">IFERROR(__xludf.DUMMYFUNCTION("IFERROR(GOOGLEFINANCE(B84,""change""),0)"),2.67)</f>
        <v>2.67</v>
      </c>
      <c r="N84" s="6">
        <v>2</v>
      </c>
      <c r="O84" s="7">
        <v>45536</v>
      </c>
      <c r="P84" s="6">
        <v>1941.82</v>
      </c>
      <c r="Q84" s="6">
        <v>42061.69</v>
      </c>
      <c r="R84" s="7">
        <v>45536</v>
      </c>
      <c r="S84" s="6">
        <v>54695.43</v>
      </c>
      <c r="T84" s="6">
        <v>954.14</v>
      </c>
      <c r="U84" s="7">
        <v>45536</v>
      </c>
      <c r="V84" s="6">
        <v>43.73</v>
      </c>
      <c r="W84" s="6">
        <f ca="1">IFERROR(__xludf.DUMMYFUNCTION("IFERROR(GOOGLEFINANCE(B84,""pe""),V84)"),25.24)</f>
        <v>25.24</v>
      </c>
      <c r="X84" s="12"/>
      <c r="Y84" s="6">
        <v>4.8</v>
      </c>
      <c r="Z84" s="6">
        <v>2</v>
      </c>
      <c r="AA84" s="8">
        <v>45352</v>
      </c>
      <c r="AB84" s="4">
        <v>0.28999999999999998</v>
      </c>
      <c r="AC84" s="6">
        <v>2.0699999999999998</v>
      </c>
      <c r="AD84" s="6">
        <v>9.58</v>
      </c>
      <c r="AE84" s="1">
        <v>0</v>
      </c>
      <c r="AF84" s="1">
        <f ca="1">IFERROR(__xludf.DUMMYFUNCTION("IFERROR(GOOGLEFINANCE(TRIM(F84)&amp;"":"" &amp; TRIM(B84),""high52""),AE84)"),291.2)</f>
        <v>291.2</v>
      </c>
      <c r="AG84" s="1">
        <v>0</v>
      </c>
      <c r="AH84" s="1">
        <f ca="1">IFERROR(__xludf.DUMMYFUNCTION("IFERROR(GOOGLEFINANCE(TRIM(F84)&amp;"":"" &amp; TRIM(B84),""low52""),AE84)"),204.12)</f>
        <v>204.12</v>
      </c>
      <c r="AI84" s="1">
        <f ca="1">IFERROR(__xludf.DUMMYFUNCTION("IFERROR(GOOGLEFINANCE(B84,""eps""),0)"),8.36)</f>
        <v>8.36</v>
      </c>
      <c r="AJ84" s="1"/>
      <c r="AK84" s="1" t="s">
        <v>318</v>
      </c>
      <c r="AL84" s="9">
        <f t="shared" ref="AL84:AL86" si="19">IF(AA84&lt;&gt;AB84,1,0)</f>
        <v>1</v>
      </c>
    </row>
    <row r="85" spans="1:38" ht="15" x14ac:dyDescent="0.25">
      <c r="A85" s="1" t="s">
        <v>319</v>
      </c>
      <c r="B85" s="1" t="s">
        <v>320</v>
      </c>
      <c r="C85" s="1" t="s">
        <v>321</v>
      </c>
      <c r="D85" s="1" t="s">
        <v>321</v>
      </c>
      <c r="E85" s="6">
        <v>562.89</v>
      </c>
      <c r="F85" s="1" t="s">
        <v>40</v>
      </c>
      <c r="G85" s="6">
        <f ca="1">IFERROR(__xludf.DUMMYFUNCTION("iferror(GOOGLEFINANCE(TRIM(F85)&amp;"":"" &amp; TRIM(B85), ""price""),0
)"),0)</f>
        <v>0</v>
      </c>
      <c r="H85" s="6">
        <v>354.5</v>
      </c>
      <c r="I85" s="6">
        <f t="shared" ca="1" si="0"/>
        <v>354.5</v>
      </c>
      <c r="J85" s="6">
        <f ca="1">IFERROR(__xludf.DUMMYFUNCTION("IFERROR(GOOGLEFINANCE(B85, ""volume""), 0)"),0)</f>
        <v>0</v>
      </c>
      <c r="K85" s="6">
        <v>0.2</v>
      </c>
      <c r="L85" s="6">
        <f ca="1">IFERROR(__xludf.DUMMYFUNCTION("IFERROR(GOOGLEFINANCE(B85,""changepct""),K85)"),0.2)</f>
        <v>0.2</v>
      </c>
      <c r="M85" s="6">
        <f ca="1">IFERROR(__xludf.DUMMYFUNCTION("IFERROR(GOOGLEFINANCE(B85,""change""),0)"),0)</f>
        <v>0</v>
      </c>
      <c r="N85" s="6">
        <v>1</v>
      </c>
      <c r="O85" s="7">
        <v>45536</v>
      </c>
      <c r="P85" s="9"/>
      <c r="Q85" s="6">
        <v>562.89</v>
      </c>
      <c r="R85" s="7">
        <v>45352</v>
      </c>
      <c r="S85" s="6">
        <v>63.96</v>
      </c>
      <c r="T85" s="6">
        <v>6.53</v>
      </c>
      <c r="U85" s="7">
        <v>45352</v>
      </c>
      <c r="V85" s="6">
        <v>86.17</v>
      </c>
      <c r="W85" s="6">
        <f ca="1">IFERROR(__xludf.DUMMYFUNCTION("IFERROR(GOOGLEFINANCE(B85,""pe""),V85)"),86.17)</f>
        <v>86.17</v>
      </c>
      <c r="X85" s="9"/>
      <c r="Y85" s="6">
        <v>8.32</v>
      </c>
      <c r="Z85" s="6">
        <v>2</v>
      </c>
      <c r="AA85" s="8">
        <v>45352</v>
      </c>
      <c r="AB85" s="4">
        <v>0</v>
      </c>
      <c r="AC85" s="6">
        <v>20.51</v>
      </c>
      <c r="AD85" s="6">
        <v>30.17</v>
      </c>
      <c r="AE85" s="1">
        <v>0</v>
      </c>
      <c r="AF85" s="1">
        <f ca="1">IFERROR(__xludf.DUMMYFUNCTION("IFERROR(GOOGLEFINANCE(TRIM(F85)&amp;"":"" &amp; TRIM(B85),""high52""),AE85)"),0)</f>
        <v>0</v>
      </c>
      <c r="AG85" s="1">
        <v>0</v>
      </c>
      <c r="AH85" s="1">
        <f ca="1">IFERROR(__xludf.DUMMYFUNCTION("IFERROR(GOOGLEFINANCE(TRIM(F85)&amp;"":"" &amp; TRIM(B85),""low52""),AE85)"),0)</f>
        <v>0</v>
      </c>
      <c r="AI85" s="1">
        <f ca="1">IFERROR(__xludf.DUMMYFUNCTION("IFERROR(GOOGLEFINANCE(B85,""eps""),0)"),0)</f>
        <v>0</v>
      </c>
      <c r="AJ85" s="1"/>
      <c r="AK85" s="9"/>
      <c r="AL85" s="9">
        <f t="shared" si="19"/>
        <v>1</v>
      </c>
    </row>
    <row r="86" spans="1:38" ht="15" x14ac:dyDescent="0.25">
      <c r="A86" s="1" t="s">
        <v>322</v>
      </c>
      <c r="B86" s="1" t="s">
        <v>323</v>
      </c>
      <c r="C86" s="1" t="s">
        <v>324</v>
      </c>
      <c r="D86" s="1" t="s">
        <v>324</v>
      </c>
      <c r="E86" s="6">
        <v>3211.86</v>
      </c>
      <c r="F86" s="1" t="s">
        <v>40</v>
      </c>
      <c r="G86" s="6">
        <f ca="1">IFERROR(__xludf.DUMMYFUNCTION("iferror(GOOGLEFINANCE(TRIM(F86)&amp;"":"" &amp; TRIM(B86), ""price""),0
)"),174)</f>
        <v>174</v>
      </c>
      <c r="H86" s="6">
        <v>295.25</v>
      </c>
      <c r="I86" s="6">
        <f t="shared" ca="1" si="0"/>
        <v>174</v>
      </c>
      <c r="J86" s="6">
        <f ca="1">IFERROR(__xludf.DUMMYFUNCTION("IFERROR(GOOGLEFINANCE(B86, ""volume""), 0)"),65371)</f>
        <v>65371</v>
      </c>
      <c r="K86" s="6">
        <v>1.03</v>
      </c>
      <c r="L86" s="6">
        <f ca="1">IFERROR(__xludf.DUMMYFUNCTION("IFERROR(GOOGLEFINANCE(B86,""changepct""),K86)"),0.9)</f>
        <v>0.9</v>
      </c>
      <c r="M86" s="6">
        <f ca="1">IFERROR(__xludf.DUMMYFUNCTION("IFERROR(GOOGLEFINANCE(B86,""change""),0)"),1.56)</f>
        <v>1.56</v>
      </c>
      <c r="N86" s="6">
        <v>2</v>
      </c>
      <c r="O86" s="7">
        <v>45536</v>
      </c>
      <c r="P86" s="9"/>
      <c r="Q86" s="6">
        <v>3149.98</v>
      </c>
      <c r="R86" s="7">
        <v>45536</v>
      </c>
      <c r="S86" s="6">
        <v>566.30999999999995</v>
      </c>
      <c r="T86" s="6">
        <v>78.180000000000007</v>
      </c>
      <c r="U86" s="7">
        <v>45536</v>
      </c>
      <c r="V86" s="6">
        <v>40.17</v>
      </c>
      <c r="W86" s="6">
        <f ca="1">IFERROR(__xludf.DUMMYFUNCTION("IFERROR(GOOGLEFINANCE(B86,""pe""),V86)"),24.88)</f>
        <v>24.88</v>
      </c>
      <c r="X86" s="6">
        <v>1.65</v>
      </c>
      <c r="Y86" s="6">
        <v>6.94</v>
      </c>
      <c r="Z86" s="6">
        <v>2</v>
      </c>
      <c r="AA86" s="8">
        <v>45352</v>
      </c>
      <c r="AB86" s="4">
        <v>0</v>
      </c>
      <c r="AC86" s="6">
        <v>17.170000000000002</v>
      </c>
      <c r="AD86" s="6">
        <v>23.34</v>
      </c>
      <c r="AE86" s="1">
        <v>0</v>
      </c>
      <c r="AF86" s="1">
        <f ca="1">IFERROR(__xludf.DUMMYFUNCTION("IFERROR(GOOGLEFINANCE(TRIM(F86)&amp;"":"" &amp; TRIM(B86),""high52""),AE86)"),300.85)</f>
        <v>300.85000000000002</v>
      </c>
      <c r="AG86" s="1">
        <v>0</v>
      </c>
      <c r="AH86" s="1">
        <f ca="1">IFERROR(__xludf.DUMMYFUNCTION("IFERROR(GOOGLEFINANCE(TRIM(F86)&amp;"":"" &amp; TRIM(B86),""low52""),AE86)"),168.2)</f>
        <v>168.2</v>
      </c>
      <c r="AI86" s="1">
        <f ca="1">IFERROR(__xludf.DUMMYFUNCTION("IFERROR(GOOGLEFINANCE(B86,""eps""),0)"),6.99)</f>
        <v>6.99</v>
      </c>
      <c r="AJ86" s="1"/>
      <c r="AK86" s="1" t="s">
        <v>325</v>
      </c>
      <c r="AL86" s="9">
        <f t="shared" si="19"/>
        <v>1</v>
      </c>
    </row>
    <row r="87" spans="1:38" ht="15" x14ac:dyDescent="0.25">
      <c r="A87" s="1" t="s">
        <v>326</v>
      </c>
      <c r="B87" s="1" t="s">
        <v>327</v>
      </c>
      <c r="C87" s="1" t="s">
        <v>328</v>
      </c>
      <c r="D87" s="1" t="s">
        <v>328</v>
      </c>
      <c r="E87" s="6">
        <v>32.43</v>
      </c>
      <c r="F87" s="1" t="s">
        <v>53</v>
      </c>
      <c r="G87" s="6">
        <f ca="1">IFERROR(__xludf.DUMMYFUNCTION("iferror(GOOGLEFINANCE(TRIM(F87)&amp;"":"" &amp; TRIM(B87), ""price""),0
)"),0)</f>
        <v>0</v>
      </c>
      <c r="H87" s="6">
        <v>30.05</v>
      </c>
      <c r="I87" s="6">
        <f t="shared" ca="1" si="0"/>
        <v>30.05</v>
      </c>
      <c r="J87" s="6">
        <f ca="1">IFERROR(__xludf.DUMMYFUNCTION("IFERROR(GOOGLEFINANCE(B87, ""volume""), 0)"),0)</f>
        <v>0</v>
      </c>
      <c r="K87" s="6">
        <v>0</v>
      </c>
      <c r="L87" s="6">
        <f ca="1">IFERROR(__xludf.DUMMYFUNCTION("IFERROR(GOOGLEFINANCE(B87,""changepct""),K87)"),0)</f>
        <v>0</v>
      </c>
      <c r="M87" s="6">
        <f ca="1">IFERROR(__xludf.DUMMYFUNCTION("IFERROR(GOOGLEFINANCE(B87,""change""),0)"),0)</f>
        <v>0</v>
      </c>
      <c r="N87" s="6">
        <v>2</v>
      </c>
      <c r="O87" s="7">
        <v>45536</v>
      </c>
      <c r="P87" s="6">
        <v>3.18</v>
      </c>
      <c r="Q87" s="6">
        <v>35.61</v>
      </c>
      <c r="R87" s="7">
        <v>45536</v>
      </c>
      <c r="S87" s="6">
        <v>6.49</v>
      </c>
      <c r="T87" s="6">
        <v>-0.56999999999999995</v>
      </c>
      <c r="U87" s="7">
        <v>45536</v>
      </c>
      <c r="V87" s="6">
        <v>0</v>
      </c>
      <c r="W87" s="6">
        <f ca="1">IFERROR(__xludf.DUMMYFUNCTION("IFERROR(GOOGLEFINANCE(B87,""pe""),V87)"),0)</f>
        <v>0</v>
      </c>
      <c r="X87" s="6">
        <v>0</v>
      </c>
      <c r="Y87" s="6">
        <v>4.5999999999999996</v>
      </c>
      <c r="Z87" s="6">
        <v>2</v>
      </c>
      <c r="AA87" s="8">
        <v>45352</v>
      </c>
      <c r="AB87" s="4">
        <v>0.14000000000000001</v>
      </c>
      <c r="AC87" s="6">
        <v>5.15</v>
      </c>
      <c r="AD87" s="6">
        <v>5.47</v>
      </c>
      <c r="AE87" s="1">
        <v>0</v>
      </c>
      <c r="AF87" s="1">
        <f ca="1">IFERROR(__xludf.DUMMYFUNCTION("IFERROR(GOOGLEFINANCE(TRIM(F87)&amp;"":"" &amp; TRIM(B87),""high52""),AE87)"),0)</f>
        <v>0</v>
      </c>
      <c r="AG87" s="1">
        <v>0</v>
      </c>
      <c r="AH87" s="1">
        <f ca="1">IFERROR(__xludf.DUMMYFUNCTION("IFERROR(GOOGLEFINANCE(TRIM(F87)&amp;"":"" &amp; TRIM(B87),""low52""),AE87)"),0)</f>
        <v>0</v>
      </c>
      <c r="AI87" s="1">
        <f ca="1">IFERROR(__xludf.DUMMYFUNCTION("IFERROR(GOOGLEFINANCE(B87,""eps""),0)"),0)</f>
        <v>0</v>
      </c>
      <c r="AJ87" s="1"/>
      <c r="AK87" s="1" t="s">
        <v>329</v>
      </c>
      <c r="AL87" s="1" t="b">
        <f t="shared" ref="AL87:AL88" si="20">ISNUMBER(AA87)</f>
        <v>1</v>
      </c>
    </row>
    <row r="88" spans="1:38" ht="15" x14ac:dyDescent="0.25">
      <c r="A88" s="1" t="s">
        <v>330</v>
      </c>
      <c r="B88" s="1" t="s">
        <v>331</v>
      </c>
      <c r="C88" s="1" t="s">
        <v>328</v>
      </c>
      <c r="D88" s="1" t="s">
        <v>328</v>
      </c>
      <c r="E88" s="6">
        <v>314.83999999999997</v>
      </c>
      <c r="F88" s="1" t="s">
        <v>53</v>
      </c>
      <c r="G88" s="6">
        <f ca="1">IFERROR(__xludf.DUMMYFUNCTION("iferror(GOOGLEFINANCE(TRIM(F88)&amp;"":"" &amp; TRIM(B88), ""price""),0
)"),0)</f>
        <v>0</v>
      </c>
      <c r="H88" s="6">
        <v>78.25</v>
      </c>
      <c r="I88" s="6">
        <f t="shared" ca="1" si="0"/>
        <v>78.25</v>
      </c>
      <c r="J88" s="6">
        <f ca="1">IFERROR(__xludf.DUMMYFUNCTION("IFERROR(GOOGLEFINANCE(B88, ""volume""), 0)"),0)</f>
        <v>0</v>
      </c>
      <c r="K88" s="6">
        <v>2.96</v>
      </c>
      <c r="L88" s="6">
        <f ca="1">IFERROR(__xludf.DUMMYFUNCTION("IFERROR(GOOGLEFINANCE(B88,""changepct""),K88)"),2.96)</f>
        <v>2.96</v>
      </c>
      <c r="M88" s="6">
        <f ca="1">IFERROR(__xludf.DUMMYFUNCTION("IFERROR(GOOGLEFINANCE(B88,""change""),0)"),0)</f>
        <v>0</v>
      </c>
      <c r="N88" s="6">
        <v>2</v>
      </c>
      <c r="O88" s="7">
        <v>45536</v>
      </c>
      <c r="P88" s="6">
        <v>9.43</v>
      </c>
      <c r="Q88" s="6">
        <v>317.72000000000003</v>
      </c>
      <c r="R88" s="7">
        <v>45536</v>
      </c>
      <c r="S88" s="6">
        <v>275.8</v>
      </c>
      <c r="T88" s="6">
        <v>-17.75</v>
      </c>
      <c r="U88" s="7">
        <v>45536</v>
      </c>
      <c r="V88" s="6">
        <v>0</v>
      </c>
      <c r="W88" s="6">
        <f ca="1">IFERROR(__xludf.DUMMYFUNCTION("IFERROR(GOOGLEFINANCE(B88,""pe""),V88)"),0)</f>
        <v>0</v>
      </c>
      <c r="X88" s="9"/>
      <c r="Y88" s="6">
        <v>1.92</v>
      </c>
      <c r="Z88" s="6">
        <v>2</v>
      </c>
      <c r="AA88" s="8">
        <v>45352</v>
      </c>
      <c r="AB88" s="4">
        <v>0.15</v>
      </c>
      <c r="AC88" s="6">
        <v>-5.88</v>
      </c>
      <c r="AD88" s="6">
        <v>-4.8899999999999997</v>
      </c>
      <c r="AE88" s="1">
        <v>0</v>
      </c>
      <c r="AF88" s="1">
        <f ca="1">IFERROR(__xludf.DUMMYFUNCTION("IFERROR(GOOGLEFINANCE(TRIM(F88)&amp;"":"" &amp; TRIM(B88),""high52""),AE88)"),0)</f>
        <v>0</v>
      </c>
      <c r="AG88" s="1">
        <v>0</v>
      </c>
      <c r="AH88" s="1">
        <f ca="1">IFERROR(__xludf.DUMMYFUNCTION("IFERROR(GOOGLEFINANCE(TRIM(F88)&amp;"":"" &amp; TRIM(B88),""low52""),AE88)"),0)</f>
        <v>0</v>
      </c>
      <c r="AI88" s="1">
        <f ca="1">IFERROR(__xludf.DUMMYFUNCTION("IFERROR(GOOGLEFINANCE(B88,""eps""),0)"),0)</f>
        <v>0</v>
      </c>
      <c r="AJ88" s="1"/>
      <c r="AK88" s="1" t="s">
        <v>332</v>
      </c>
      <c r="AL88" s="1" t="b">
        <f t="shared" si="20"/>
        <v>1</v>
      </c>
    </row>
    <row r="89" spans="1:38" ht="15" x14ac:dyDescent="0.25">
      <c r="A89" s="1" t="s">
        <v>333</v>
      </c>
      <c r="B89" s="1" t="s">
        <v>334</v>
      </c>
      <c r="C89" s="1" t="s">
        <v>208</v>
      </c>
      <c r="D89" s="1" t="s">
        <v>208</v>
      </c>
      <c r="E89" s="6">
        <v>47959.72</v>
      </c>
      <c r="F89" s="1" t="s">
        <v>40</v>
      </c>
      <c r="G89" s="6">
        <f ca="1">IFERROR(__xludf.DUMMYFUNCTION("iferror(GOOGLEFINANCE(TRIM(F89)&amp;"":"" &amp; TRIM(B89), ""price""),0
)"),337)</f>
        <v>337</v>
      </c>
      <c r="H89" s="6">
        <v>184.62</v>
      </c>
      <c r="I89" s="6">
        <f t="shared" ca="1" si="0"/>
        <v>337</v>
      </c>
      <c r="J89" s="6">
        <f ca="1">IFERROR(__xludf.DUMMYFUNCTION("IFERROR(GOOGLEFINANCE(B89, ""volume""), 0)"),9513611)</f>
        <v>9513611</v>
      </c>
      <c r="K89" s="6">
        <v>0.4</v>
      </c>
      <c r="L89" s="6">
        <f ca="1">IFERROR(__xludf.DUMMYFUNCTION("IFERROR(GOOGLEFINANCE(B89,""changepct""),K89)"),2.37)</f>
        <v>2.37</v>
      </c>
      <c r="M89" s="6">
        <f ca="1">IFERROR(__xludf.DUMMYFUNCTION("IFERROR(GOOGLEFINANCE(B89,""change""),0)"),7.8)</f>
        <v>7.8</v>
      </c>
      <c r="N89" s="6">
        <v>2</v>
      </c>
      <c r="O89" s="7">
        <v>45536</v>
      </c>
      <c r="P89" s="6">
        <v>3494.55</v>
      </c>
      <c r="Q89" s="7">
        <v>45536</v>
      </c>
      <c r="R89" s="6">
        <v>12.82</v>
      </c>
      <c r="S89" s="6">
        <v>0.42</v>
      </c>
      <c r="T89" s="6">
        <v>1.67</v>
      </c>
      <c r="U89" s="6">
        <v>2</v>
      </c>
      <c r="V89" s="7">
        <v>45352</v>
      </c>
      <c r="W89" s="6">
        <f ca="1">IFERROR(__xludf.DUMMYFUNCTION("IFERROR(GOOGLEFINANCE(B89,""pe""),V89)"),27.17)</f>
        <v>27.17</v>
      </c>
      <c r="X89" s="6">
        <v>4.13</v>
      </c>
      <c r="Y89" s="6">
        <v>14.76</v>
      </c>
      <c r="Z89" s="6">
        <v>10.119999999999999</v>
      </c>
      <c r="AA89" s="3" t="s">
        <v>335</v>
      </c>
      <c r="AB89" s="4"/>
      <c r="AC89" s="9"/>
      <c r="AD89" s="9"/>
      <c r="AE89" s="1">
        <v>0</v>
      </c>
      <c r="AF89" s="1">
        <f ca="1">IFERROR(__xludf.DUMMYFUNCTION("IFERROR(GOOGLEFINANCE(TRIM(F89)&amp;"":"" &amp; TRIM(B89),""high52""),AE89)"),369.3)</f>
        <v>369.3</v>
      </c>
      <c r="AG89" s="1">
        <v>0</v>
      </c>
      <c r="AH89" s="1">
        <f ca="1">IFERROR(__xludf.DUMMYFUNCTION("IFERROR(GOOGLEFINANCE(TRIM(F89)&amp;"":"" &amp; TRIM(B89),""low52""),AE89)"),149.01)</f>
        <v>149.01</v>
      </c>
      <c r="AI89" s="1">
        <f ca="1">IFERROR(__xludf.DUMMYFUNCTION("IFERROR(GOOGLEFINANCE(B89,""eps""),0)"),12.41)</f>
        <v>12.41</v>
      </c>
      <c r="AJ89" s="1"/>
      <c r="AK89" s="9"/>
      <c r="AL89" s="9">
        <f>IF(AA89&lt;&gt;AB89,1,0)</f>
        <v>1</v>
      </c>
    </row>
    <row r="90" spans="1:38" ht="15" x14ac:dyDescent="0.25">
      <c r="A90" s="1" t="s">
        <v>336</v>
      </c>
      <c r="B90" s="1" t="s">
        <v>337</v>
      </c>
      <c r="C90" s="1" t="s">
        <v>338</v>
      </c>
      <c r="D90" s="1" t="s">
        <v>338</v>
      </c>
      <c r="E90" s="6">
        <v>22.77</v>
      </c>
      <c r="F90" s="1" t="s">
        <v>53</v>
      </c>
      <c r="G90" s="6">
        <f ca="1">IFERROR(__xludf.DUMMYFUNCTION("iferror(GOOGLEFINANCE(TRIM(F90)&amp;"":"" &amp; TRIM(B90), ""price""),0
)"),0)</f>
        <v>0</v>
      </c>
      <c r="H90" s="6">
        <v>14.51</v>
      </c>
      <c r="I90" s="6">
        <f t="shared" ca="1" si="0"/>
        <v>14.51</v>
      </c>
      <c r="J90" s="6">
        <f ca="1">IFERROR(__xludf.DUMMYFUNCTION("IFERROR(GOOGLEFINANCE(B90, ""volume""), 0)"),18)</f>
        <v>18</v>
      </c>
      <c r="K90" s="6">
        <v>-1.56</v>
      </c>
      <c r="L90" s="6">
        <f ca="1">IFERROR(__xludf.DUMMYFUNCTION("IFERROR(GOOGLEFINANCE(B90,""changepct""),K90)"),-1.65)</f>
        <v>-1.65</v>
      </c>
      <c r="M90" s="6">
        <f ca="1">IFERROR(__xludf.DUMMYFUNCTION("IFERROR(GOOGLEFINANCE(B90,""change""),0)"),-0.5)</f>
        <v>-0.5</v>
      </c>
      <c r="N90" s="6">
        <v>1</v>
      </c>
      <c r="O90" s="7">
        <v>45536</v>
      </c>
      <c r="P90" s="9"/>
      <c r="Q90" s="6">
        <v>22.77</v>
      </c>
      <c r="R90" s="7">
        <v>45536</v>
      </c>
      <c r="S90" s="6">
        <v>0.8</v>
      </c>
      <c r="T90" s="6">
        <v>0.06</v>
      </c>
      <c r="U90" s="7">
        <v>45536</v>
      </c>
      <c r="V90" s="6">
        <v>367.28</v>
      </c>
      <c r="W90" s="6">
        <f ca="1">IFERROR(__xludf.DUMMYFUNCTION("IFERROR(GOOGLEFINANCE(B90,""pe""),V90)"),56.33)</f>
        <v>56.33</v>
      </c>
      <c r="X90" s="6">
        <v>16.11</v>
      </c>
      <c r="Y90" s="6">
        <v>34.06</v>
      </c>
      <c r="Z90" s="6">
        <v>1</v>
      </c>
      <c r="AA90" s="8">
        <v>45352</v>
      </c>
      <c r="AB90" s="4">
        <v>0</v>
      </c>
      <c r="AC90" s="6">
        <v>29.89</v>
      </c>
      <c r="AD90" s="6">
        <v>29.89</v>
      </c>
      <c r="AE90" s="1">
        <v>0</v>
      </c>
      <c r="AF90" s="1">
        <f ca="1">IFERROR(__xludf.DUMMYFUNCTION("IFERROR(GOOGLEFINANCE(TRIM(F90)&amp;"":"" &amp; TRIM(B90),""high52""),AE90)"),0)</f>
        <v>0</v>
      </c>
      <c r="AG90" s="1">
        <v>0</v>
      </c>
      <c r="AH90" s="1">
        <f ca="1">IFERROR(__xludf.DUMMYFUNCTION("IFERROR(GOOGLEFINANCE(TRIM(F90)&amp;"":"" &amp; TRIM(B90),""low52""),AE90)"),0)</f>
        <v>0</v>
      </c>
      <c r="AI90" s="1">
        <f ca="1">IFERROR(__xludf.DUMMYFUNCTION("IFERROR(GOOGLEFINANCE(B90,""eps""),0)"),0.53)</f>
        <v>0.53</v>
      </c>
      <c r="AJ90" s="1"/>
      <c r="AK90" s="1" t="s">
        <v>339</v>
      </c>
      <c r="AL90" s="1" t="b">
        <f t="shared" ref="AL90:AL92" si="21">ISNUMBER(AA90)</f>
        <v>1</v>
      </c>
    </row>
    <row r="91" spans="1:38" ht="15" x14ac:dyDescent="0.25">
      <c r="A91" s="1" t="s">
        <v>340</v>
      </c>
      <c r="B91" s="1" t="s">
        <v>341</v>
      </c>
      <c r="C91" s="1" t="s">
        <v>338</v>
      </c>
      <c r="D91" s="1" t="s">
        <v>338</v>
      </c>
      <c r="E91" s="6">
        <v>8.27</v>
      </c>
      <c r="F91" s="1" t="s">
        <v>53</v>
      </c>
      <c r="G91" s="6">
        <f ca="1">IFERROR(__xludf.DUMMYFUNCTION("iferror(GOOGLEFINANCE(TRIM(F91)&amp;"":"" &amp; TRIM(B91), ""price""),0
)"),0)</f>
        <v>0</v>
      </c>
      <c r="H91" s="6">
        <v>9.26</v>
      </c>
      <c r="I91" s="6">
        <f t="shared" ca="1" si="0"/>
        <v>9.26</v>
      </c>
      <c r="J91" s="6">
        <f ca="1">IFERROR(__xludf.DUMMYFUNCTION("IFERROR(GOOGLEFINANCE(B91, ""volume""), 0)"),0)</f>
        <v>0</v>
      </c>
      <c r="K91" s="6">
        <v>-2.2200000000000002</v>
      </c>
      <c r="L91" s="6">
        <f ca="1">IFERROR(__xludf.DUMMYFUNCTION("IFERROR(GOOGLEFINANCE(B91,""changepct""),K91)"),-2.22)</f>
        <v>-2.2200000000000002</v>
      </c>
      <c r="M91" s="6">
        <f ca="1">IFERROR(__xludf.DUMMYFUNCTION("IFERROR(GOOGLEFINANCE(B91,""change""),0)"),0)</f>
        <v>0</v>
      </c>
      <c r="N91" s="6">
        <v>1</v>
      </c>
      <c r="O91" s="7">
        <v>45536</v>
      </c>
      <c r="P91" s="6">
        <v>37.56</v>
      </c>
      <c r="Q91" s="6">
        <v>45.84</v>
      </c>
      <c r="R91" s="7">
        <v>45536</v>
      </c>
      <c r="S91" s="6">
        <v>156.94</v>
      </c>
      <c r="T91" s="6">
        <v>-1.65</v>
      </c>
      <c r="U91" s="7">
        <v>45536</v>
      </c>
      <c r="V91" s="6">
        <v>0</v>
      </c>
      <c r="W91" s="6">
        <f ca="1">IFERROR(__xludf.DUMMYFUNCTION("IFERROR(GOOGLEFINANCE(B91,""pe""),V91)"),0)</f>
        <v>0</v>
      </c>
      <c r="X91" s="6">
        <v>0</v>
      </c>
      <c r="Y91" s="6">
        <v>2.61</v>
      </c>
      <c r="Z91" s="6">
        <v>1</v>
      </c>
      <c r="AA91" s="8">
        <v>45352</v>
      </c>
      <c r="AB91" s="4">
        <v>0</v>
      </c>
      <c r="AC91" s="6">
        <v>8.49</v>
      </c>
      <c r="AD91" s="6">
        <v>11.54</v>
      </c>
      <c r="AE91" s="1">
        <v>0</v>
      </c>
      <c r="AF91" s="1">
        <f ca="1">IFERROR(__xludf.DUMMYFUNCTION("IFERROR(GOOGLEFINANCE(TRIM(F91)&amp;"":"" &amp; TRIM(B91),""high52""),AE91)"),0)</f>
        <v>0</v>
      </c>
      <c r="AG91" s="1">
        <v>0</v>
      </c>
      <c r="AH91" s="1">
        <f ca="1">IFERROR(__xludf.DUMMYFUNCTION("IFERROR(GOOGLEFINANCE(TRIM(F91)&amp;"":"" &amp; TRIM(B91),""low52""),AE91)"),0)</f>
        <v>0</v>
      </c>
      <c r="AI91" s="1">
        <f ca="1">IFERROR(__xludf.DUMMYFUNCTION("IFERROR(GOOGLEFINANCE(B91,""eps""),0)"),0)</f>
        <v>0</v>
      </c>
      <c r="AJ91" s="1"/>
      <c r="AK91" s="1" t="s">
        <v>342</v>
      </c>
      <c r="AL91" s="1" t="b">
        <f t="shared" si="21"/>
        <v>1</v>
      </c>
    </row>
    <row r="92" spans="1:38" ht="15" x14ac:dyDescent="0.25">
      <c r="A92" s="1" t="s">
        <v>343</v>
      </c>
      <c r="B92" s="1" t="s">
        <v>344</v>
      </c>
      <c r="C92" s="1" t="s">
        <v>338</v>
      </c>
      <c r="D92" s="1" t="s">
        <v>338</v>
      </c>
      <c r="E92" s="6">
        <v>400.79</v>
      </c>
      <c r="F92" s="1" t="s">
        <v>53</v>
      </c>
      <c r="G92" s="6">
        <f ca="1">IFERROR(__xludf.DUMMYFUNCTION("iferror(GOOGLEFINANCE(TRIM(F92)&amp;"":"" &amp; TRIM(B92), ""price""),0
)"),0)</f>
        <v>0</v>
      </c>
      <c r="H92" s="6">
        <v>165.05</v>
      </c>
      <c r="I92" s="6">
        <f t="shared" ca="1" si="0"/>
        <v>165.05</v>
      </c>
      <c r="J92" s="6">
        <f ca="1">IFERROR(__xludf.DUMMYFUNCTION("IFERROR(GOOGLEFINANCE(B92, ""volume""), 0)"),0)</f>
        <v>0</v>
      </c>
      <c r="K92" s="6">
        <v>0.92</v>
      </c>
      <c r="L92" s="6">
        <f ca="1">IFERROR(__xludf.DUMMYFUNCTION("IFERROR(GOOGLEFINANCE(B92,""changepct""),K92)"),0.92)</f>
        <v>0.92</v>
      </c>
      <c r="M92" s="6">
        <f ca="1">IFERROR(__xludf.DUMMYFUNCTION("IFERROR(GOOGLEFINANCE(B92,""change""),0)"),0)</f>
        <v>0</v>
      </c>
      <c r="N92" s="6">
        <v>2</v>
      </c>
      <c r="O92" s="7">
        <v>45536</v>
      </c>
      <c r="P92" s="6">
        <v>50.63</v>
      </c>
      <c r="Q92" s="6">
        <v>451.42</v>
      </c>
      <c r="R92" s="7">
        <v>45536</v>
      </c>
      <c r="S92" s="6">
        <v>106.77</v>
      </c>
      <c r="T92" s="6">
        <v>9.6</v>
      </c>
      <c r="U92" s="7">
        <v>45536</v>
      </c>
      <c r="V92" s="6">
        <v>41.36</v>
      </c>
      <c r="W92" s="6">
        <f ca="1">IFERROR(__xludf.DUMMYFUNCTION("IFERROR(GOOGLEFINANCE(B92,""pe""),V92)"),41.36)</f>
        <v>41.36</v>
      </c>
      <c r="X92" s="9"/>
      <c r="Y92" s="6">
        <v>6.25</v>
      </c>
      <c r="Z92" s="6">
        <v>2</v>
      </c>
      <c r="AA92" s="8">
        <v>45352</v>
      </c>
      <c r="AB92" s="4">
        <v>0.65</v>
      </c>
      <c r="AC92" s="6">
        <v>16.14</v>
      </c>
      <c r="AD92" s="6">
        <v>17.489999999999998</v>
      </c>
      <c r="AE92" s="1">
        <v>0</v>
      </c>
      <c r="AF92" s="1">
        <f ca="1">IFERROR(__xludf.DUMMYFUNCTION("IFERROR(GOOGLEFINANCE(TRIM(F92)&amp;"":"" &amp; TRIM(B92),""high52""),AE92)"),0)</f>
        <v>0</v>
      </c>
      <c r="AG92" s="1">
        <v>0</v>
      </c>
      <c r="AH92" s="1">
        <f ca="1">IFERROR(__xludf.DUMMYFUNCTION("IFERROR(GOOGLEFINANCE(TRIM(F92)&amp;"":"" &amp; TRIM(B92),""low52""),AE92)"),0)</f>
        <v>0</v>
      </c>
      <c r="AI92" s="1">
        <f ca="1">IFERROR(__xludf.DUMMYFUNCTION("IFERROR(GOOGLEFINANCE(B92,""eps""),0)"),0)</f>
        <v>0</v>
      </c>
      <c r="AJ92" s="1"/>
      <c r="AK92" s="1" t="s">
        <v>345</v>
      </c>
      <c r="AL92" s="1" t="b">
        <f t="shared" si="21"/>
        <v>1</v>
      </c>
    </row>
    <row r="93" spans="1:38" ht="15" x14ac:dyDescent="0.25">
      <c r="A93" s="1" t="s">
        <v>346</v>
      </c>
      <c r="B93" s="1" t="s">
        <v>347</v>
      </c>
      <c r="C93" s="1" t="s">
        <v>338</v>
      </c>
      <c r="D93" s="1" t="s">
        <v>338</v>
      </c>
      <c r="E93" s="6">
        <v>13.14</v>
      </c>
      <c r="F93" s="1" t="s">
        <v>53</v>
      </c>
      <c r="G93" s="6">
        <f ca="1">IFERROR(__xludf.DUMMYFUNCTION("iferror(GOOGLEFINANCE(TRIM(F93)&amp;"":"" &amp; TRIM(B93), ""price""),0
)"),0)</f>
        <v>0</v>
      </c>
      <c r="H93" s="6">
        <v>16.96</v>
      </c>
      <c r="I93" s="6">
        <f t="shared" ca="1" si="0"/>
        <v>16.96</v>
      </c>
      <c r="J93" s="6">
        <f ca="1">IFERROR(__xludf.DUMMYFUNCTION("IFERROR(GOOGLEFINANCE(B93, ""volume""), 0)"),0)</f>
        <v>0</v>
      </c>
      <c r="K93" s="9"/>
      <c r="L93" s="6" t="str">
        <f ca="1">IFERROR(__xludf.DUMMYFUNCTION("IFERROR(GOOGLEFINANCE(B93,""changepct""),K93)"),"")</f>
        <v/>
      </c>
      <c r="M93" s="6">
        <f ca="1">IFERROR(__xludf.DUMMYFUNCTION("IFERROR(GOOGLEFINANCE(B93,""change""),0)"),0)</f>
        <v>0</v>
      </c>
      <c r="N93" s="6">
        <v>1</v>
      </c>
      <c r="O93" s="7">
        <v>45536</v>
      </c>
      <c r="P93" s="9"/>
      <c r="Q93" s="6">
        <v>13.14</v>
      </c>
      <c r="R93" s="7">
        <v>45536</v>
      </c>
      <c r="S93" s="6">
        <v>0</v>
      </c>
      <c r="T93" s="6">
        <v>0.33</v>
      </c>
      <c r="U93" s="7">
        <v>45536</v>
      </c>
      <c r="V93" s="6">
        <v>40.200000000000003</v>
      </c>
      <c r="W93" s="6">
        <f ca="1">IFERROR(__xludf.DUMMYFUNCTION("IFERROR(GOOGLEFINANCE(B93,""pe""),V93)"),40.2)</f>
        <v>40.200000000000003</v>
      </c>
      <c r="X93" s="6">
        <v>-1.1499999999999999</v>
      </c>
      <c r="Y93" s="6">
        <v>1.58</v>
      </c>
      <c r="Z93" s="6">
        <v>1</v>
      </c>
      <c r="AA93" s="8">
        <v>45352</v>
      </c>
      <c r="AB93" s="4">
        <v>0</v>
      </c>
      <c r="AC93" s="6">
        <v>5.43</v>
      </c>
      <c r="AD93" s="6">
        <v>7.37</v>
      </c>
      <c r="AE93" s="1">
        <v>0</v>
      </c>
      <c r="AF93" s="1">
        <f ca="1">IFERROR(__xludf.DUMMYFUNCTION("IFERROR(GOOGLEFINANCE(TRIM(F93)&amp;"":"" &amp; TRIM(B93),""high52""),AE93)"),0)</f>
        <v>0</v>
      </c>
      <c r="AG93" s="1">
        <v>0</v>
      </c>
      <c r="AH93" s="1">
        <f ca="1">IFERROR(__xludf.DUMMYFUNCTION("IFERROR(GOOGLEFINANCE(TRIM(F93)&amp;"":"" &amp; TRIM(B93),""low52""),AE93)"),0)</f>
        <v>0</v>
      </c>
      <c r="AI93" s="1">
        <f ca="1">IFERROR(__xludf.DUMMYFUNCTION("IFERROR(GOOGLEFINANCE(B93,""eps""),0)"),0)</f>
        <v>0</v>
      </c>
      <c r="AJ93" s="1"/>
      <c r="AK93" s="9"/>
      <c r="AL93" s="1" t="b">
        <f>ISBLANK(AB93)</f>
        <v>0</v>
      </c>
    </row>
    <row r="94" spans="1:38" ht="15" x14ac:dyDescent="0.25">
      <c r="A94" s="1" t="s">
        <v>348</v>
      </c>
      <c r="B94" s="1" t="s">
        <v>349</v>
      </c>
      <c r="C94" s="1" t="s">
        <v>338</v>
      </c>
      <c r="D94" s="1" t="s">
        <v>338</v>
      </c>
      <c r="E94" s="6">
        <v>71.02</v>
      </c>
      <c r="F94" s="1" t="s">
        <v>53</v>
      </c>
      <c r="G94" s="6">
        <f ca="1">IFERROR(__xludf.DUMMYFUNCTION("iferror(GOOGLEFINANCE(TRIM(F94)&amp;"":"" &amp; TRIM(B94), ""price""),0
)"),0)</f>
        <v>0</v>
      </c>
      <c r="H94" s="6">
        <v>122</v>
      </c>
      <c r="I94" s="6">
        <f t="shared" ca="1" si="0"/>
        <v>122</v>
      </c>
      <c r="J94" s="6">
        <f ca="1">IFERROR(__xludf.DUMMYFUNCTION("IFERROR(GOOGLEFINANCE(B94, ""volume""), 0)"),0)</f>
        <v>0</v>
      </c>
      <c r="K94" s="6">
        <v>-1.05</v>
      </c>
      <c r="L94" s="6">
        <f ca="1">IFERROR(__xludf.DUMMYFUNCTION("IFERROR(GOOGLEFINANCE(B94,""changepct""),K94)"),-1.05)</f>
        <v>-1.05</v>
      </c>
      <c r="M94" s="6">
        <f ca="1">IFERROR(__xludf.DUMMYFUNCTION("IFERROR(GOOGLEFINANCE(B94,""change""),0)"),0)</f>
        <v>0</v>
      </c>
      <c r="N94" s="6">
        <v>1</v>
      </c>
      <c r="O94" s="7">
        <v>45536</v>
      </c>
      <c r="P94" s="6">
        <v>0.8</v>
      </c>
      <c r="Q94" s="6">
        <v>71.819999999999993</v>
      </c>
      <c r="R94" s="7">
        <v>45536</v>
      </c>
      <c r="S94" s="6">
        <v>59.87</v>
      </c>
      <c r="T94" s="6">
        <v>2.29</v>
      </c>
      <c r="U94" s="7">
        <v>45536</v>
      </c>
      <c r="V94" s="6">
        <v>31.01</v>
      </c>
      <c r="W94" s="6">
        <f ca="1">IFERROR(__xludf.DUMMYFUNCTION("IFERROR(GOOGLEFINANCE(B94,""pe""),V94)"),31.01)</f>
        <v>31.01</v>
      </c>
      <c r="X94" s="6">
        <v>0.25</v>
      </c>
      <c r="Y94" s="6">
        <v>1.52</v>
      </c>
      <c r="Z94" s="6">
        <v>1</v>
      </c>
      <c r="AA94" s="8">
        <v>45352</v>
      </c>
      <c r="AB94" s="4">
        <v>0</v>
      </c>
      <c r="AC94" s="6">
        <v>24.86</v>
      </c>
      <c r="AD94" s="6">
        <v>33.29</v>
      </c>
      <c r="AE94" s="1">
        <v>0</v>
      </c>
      <c r="AF94" s="1">
        <f ca="1">IFERROR(__xludf.DUMMYFUNCTION("IFERROR(GOOGLEFINANCE(TRIM(F94)&amp;"":"" &amp; TRIM(B94),""high52""),AE94)"),0)</f>
        <v>0</v>
      </c>
      <c r="AG94" s="1">
        <v>0</v>
      </c>
      <c r="AH94" s="1">
        <f ca="1">IFERROR(__xludf.DUMMYFUNCTION("IFERROR(GOOGLEFINANCE(TRIM(F94)&amp;"":"" &amp; TRIM(B94),""low52""),AE94)"),0)</f>
        <v>0</v>
      </c>
      <c r="AI94" s="1">
        <f ca="1">IFERROR(__xludf.DUMMYFUNCTION("IFERROR(GOOGLEFINANCE(B94,""eps""),0)"),0)</f>
        <v>0</v>
      </c>
      <c r="AJ94" s="1"/>
      <c r="AK94" s="1" t="s">
        <v>350</v>
      </c>
      <c r="AL94" s="1" t="b">
        <f>ISNUMBER(AA94)</f>
        <v>1</v>
      </c>
    </row>
    <row r="95" spans="1:38" ht="15" x14ac:dyDescent="0.25">
      <c r="A95" s="1" t="s">
        <v>351</v>
      </c>
      <c r="B95" s="1" t="s">
        <v>352</v>
      </c>
      <c r="C95" s="1" t="s">
        <v>338</v>
      </c>
      <c r="D95" s="1" t="s">
        <v>338</v>
      </c>
      <c r="E95" s="6">
        <v>169.05</v>
      </c>
      <c r="F95" s="1" t="s">
        <v>53</v>
      </c>
      <c r="G95" s="6">
        <f ca="1">IFERROR(__xludf.DUMMYFUNCTION("iferror(GOOGLEFINANCE(TRIM(F95)&amp;"":"" &amp; TRIM(B95), ""price""),0
)"),0)</f>
        <v>0</v>
      </c>
      <c r="H95" s="6">
        <v>13.44</v>
      </c>
      <c r="I95" s="6">
        <f t="shared" ca="1" si="0"/>
        <v>13.44</v>
      </c>
      <c r="J95" s="6">
        <f ca="1">IFERROR(__xludf.DUMMYFUNCTION("IFERROR(GOOGLEFINANCE(B95, ""volume""), 0)"),70733)</f>
        <v>70733</v>
      </c>
      <c r="K95" s="6">
        <v>0.22</v>
      </c>
      <c r="L95" s="6">
        <f ca="1">IFERROR(__xludf.DUMMYFUNCTION("IFERROR(GOOGLEFINANCE(B95,""changepct""),K95)"),-1.88)</f>
        <v>-1.88</v>
      </c>
      <c r="M95" s="6">
        <f ca="1">IFERROR(__xludf.DUMMYFUNCTION("IFERROR(GOOGLEFINANCE(B95,""change""),0)"),-7.9)</f>
        <v>-7.9</v>
      </c>
      <c r="N95" s="6">
        <v>1</v>
      </c>
      <c r="O95" s="7">
        <v>45536</v>
      </c>
      <c r="P95" s="6">
        <v>199.48</v>
      </c>
      <c r="Q95" s="6">
        <v>368.53</v>
      </c>
      <c r="R95" s="7">
        <v>45536</v>
      </c>
      <c r="S95" s="6">
        <v>440.82</v>
      </c>
      <c r="T95" s="6">
        <v>11.54</v>
      </c>
      <c r="U95" s="7">
        <v>45536</v>
      </c>
      <c r="V95" s="6">
        <v>14.65</v>
      </c>
      <c r="W95" s="6">
        <f ca="1">IFERROR(__xludf.DUMMYFUNCTION("IFERROR(GOOGLEFINANCE(B95,""pe""),V95)"),7.33)</f>
        <v>7.33</v>
      </c>
      <c r="X95" s="6">
        <v>7.44</v>
      </c>
      <c r="Y95" s="6">
        <v>2.06</v>
      </c>
      <c r="Z95" s="6">
        <v>1</v>
      </c>
      <c r="AA95" s="8">
        <v>45352</v>
      </c>
      <c r="AB95" s="4">
        <v>2</v>
      </c>
      <c r="AC95" s="6">
        <v>11.09</v>
      </c>
      <c r="AD95" s="6">
        <v>10.92</v>
      </c>
      <c r="AE95" s="1">
        <v>0</v>
      </c>
      <c r="AF95" s="1">
        <f ca="1">IFERROR(__xludf.DUMMYFUNCTION("IFERROR(GOOGLEFINANCE(TRIM(F95)&amp;"":"" &amp; TRIM(B95),""high52""),AE95)"),0)</f>
        <v>0</v>
      </c>
      <c r="AG95" s="1">
        <v>0</v>
      </c>
      <c r="AH95" s="1">
        <f ca="1">IFERROR(__xludf.DUMMYFUNCTION("IFERROR(GOOGLEFINANCE(TRIM(F95)&amp;"":"" &amp; TRIM(B95),""low52""),AE95)"),0)</f>
        <v>0</v>
      </c>
      <c r="AI95" s="1">
        <f ca="1">IFERROR(__xludf.DUMMYFUNCTION("IFERROR(GOOGLEFINANCE(B95,""eps""),0)"),19.35)</f>
        <v>19.350000000000001</v>
      </c>
      <c r="AJ95" s="1"/>
      <c r="AK95" s="9"/>
      <c r="AL95" s="1" t="b">
        <f>ISBLANK(AB95)</f>
        <v>0</v>
      </c>
    </row>
    <row r="96" spans="1:38" ht="15" x14ac:dyDescent="0.25">
      <c r="A96" s="1" t="s">
        <v>353</v>
      </c>
      <c r="B96" s="1" t="s">
        <v>354</v>
      </c>
      <c r="C96" s="1" t="s">
        <v>355</v>
      </c>
      <c r="D96" s="1" t="s">
        <v>355</v>
      </c>
      <c r="E96" s="6">
        <v>3.04</v>
      </c>
      <c r="F96" s="1" t="s">
        <v>53</v>
      </c>
      <c r="G96" s="6">
        <f ca="1">IFERROR(__xludf.DUMMYFUNCTION("iferror(GOOGLEFINANCE(TRIM(F96)&amp;"":"" &amp; TRIM(B96), ""price""),0
)"),0)</f>
        <v>0</v>
      </c>
      <c r="H96" s="6">
        <v>4.3</v>
      </c>
      <c r="I96" s="6">
        <f t="shared" ca="1" si="0"/>
        <v>4.3</v>
      </c>
      <c r="J96" s="6">
        <f ca="1">IFERROR(__xludf.DUMMYFUNCTION("IFERROR(GOOGLEFINANCE(B96, ""volume""), 0)"),0)</f>
        <v>0</v>
      </c>
      <c r="K96" s="9"/>
      <c r="L96" s="6" t="str">
        <f ca="1">IFERROR(__xludf.DUMMYFUNCTION("IFERROR(GOOGLEFINANCE(B96,""changepct""),K96)"),"")</f>
        <v/>
      </c>
      <c r="M96" s="6">
        <f ca="1">IFERROR(__xludf.DUMMYFUNCTION("IFERROR(GOOGLEFINANCE(B96,""change""),0)"),0)</f>
        <v>0</v>
      </c>
      <c r="N96" s="6">
        <v>1</v>
      </c>
      <c r="O96" s="7">
        <v>45261</v>
      </c>
      <c r="P96" s="6">
        <v>57.25</v>
      </c>
      <c r="Q96" s="6">
        <v>60.29</v>
      </c>
      <c r="R96" s="7">
        <v>45261</v>
      </c>
      <c r="S96" s="6">
        <v>0</v>
      </c>
      <c r="T96" s="6">
        <v>-2.4700000000000002</v>
      </c>
      <c r="U96" s="7">
        <v>45261</v>
      </c>
      <c r="V96" s="6">
        <v>0</v>
      </c>
      <c r="W96" s="6">
        <f ca="1">IFERROR(__xludf.DUMMYFUNCTION("IFERROR(GOOGLEFINANCE(B96,""pe""),V96)"),0)</f>
        <v>0</v>
      </c>
      <c r="X96" s="6">
        <v>0</v>
      </c>
      <c r="Y96" s="6">
        <v>-0.05</v>
      </c>
      <c r="Z96" s="6">
        <v>1</v>
      </c>
      <c r="AA96" s="8">
        <v>44986</v>
      </c>
      <c r="AB96" s="4">
        <v>-0.64</v>
      </c>
      <c r="AC96" s="6">
        <v>0</v>
      </c>
      <c r="AD96" s="6">
        <v>0</v>
      </c>
      <c r="AE96" s="1">
        <v>0</v>
      </c>
      <c r="AF96" s="1">
        <f ca="1">IFERROR(__xludf.DUMMYFUNCTION("IFERROR(GOOGLEFINANCE(TRIM(F96)&amp;"":"" &amp; TRIM(B96),""high52""),AE96)"),0)</f>
        <v>0</v>
      </c>
      <c r="AG96" s="1">
        <v>0</v>
      </c>
      <c r="AH96" s="1">
        <f ca="1">IFERROR(__xludf.DUMMYFUNCTION("IFERROR(GOOGLEFINANCE(TRIM(F96)&amp;"":"" &amp; TRIM(B96),""low52""),AE96)"),0)</f>
        <v>0</v>
      </c>
      <c r="AI96" s="1">
        <f ca="1">IFERROR(__xludf.DUMMYFUNCTION("IFERROR(GOOGLEFINANCE(B96,""eps""),0)"),0)</f>
        <v>0</v>
      </c>
      <c r="AJ96" s="1"/>
      <c r="AK96" s="1" t="s">
        <v>356</v>
      </c>
      <c r="AL96" s="1" t="b">
        <f>ISNUMBER(AA96)</f>
        <v>1</v>
      </c>
    </row>
    <row r="97" spans="1:38" ht="15" x14ac:dyDescent="0.25">
      <c r="A97" s="1" t="s">
        <v>357</v>
      </c>
      <c r="B97" s="1" t="s">
        <v>358</v>
      </c>
      <c r="C97" s="1" t="s">
        <v>359</v>
      </c>
      <c r="D97" s="1" t="s">
        <v>359</v>
      </c>
      <c r="E97" s="6">
        <v>30267.43</v>
      </c>
      <c r="F97" s="1" t="s">
        <v>40</v>
      </c>
      <c r="G97" s="6">
        <f ca="1">IFERROR(__xludf.DUMMYFUNCTION("iferror(GOOGLEFINANCE(TRIM(F97)&amp;"":"" &amp; TRIM(B97), ""price""),0
)"),64)</f>
        <v>64</v>
      </c>
      <c r="H97" s="6">
        <v>285.75</v>
      </c>
      <c r="I97" s="6">
        <f t="shared" ca="1" si="0"/>
        <v>64</v>
      </c>
      <c r="J97" s="6">
        <f ca="1">IFERROR(__xludf.DUMMYFUNCTION("IFERROR(GOOGLEFINANCE(B97, ""volume""), 0)"),2362904)</f>
        <v>2362904</v>
      </c>
      <c r="K97" s="6">
        <v>1.1100000000000001</v>
      </c>
      <c r="L97" s="6">
        <f ca="1">IFERROR(__xludf.DUMMYFUNCTION("IFERROR(GOOGLEFINANCE(B97,""changepct""),K97)"),-1.2)</f>
        <v>-1.2</v>
      </c>
      <c r="M97" s="6">
        <f ca="1">IFERROR(__xludf.DUMMYFUNCTION("IFERROR(GOOGLEFINANCE(B97,""change""),0)"),-0.78)</f>
        <v>-0.78</v>
      </c>
      <c r="N97" s="6">
        <v>2</v>
      </c>
      <c r="O97" s="7">
        <v>45536</v>
      </c>
      <c r="P97" s="6">
        <v>4528.2299999999996</v>
      </c>
      <c r="Q97" s="6">
        <v>34539</v>
      </c>
      <c r="R97" s="7">
        <v>45536</v>
      </c>
      <c r="S97" s="6">
        <v>14645.04</v>
      </c>
      <c r="T97" s="6">
        <v>-812.87</v>
      </c>
      <c r="U97" s="7">
        <v>45536</v>
      </c>
      <c r="V97" s="6">
        <v>0</v>
      </c>
      <c r="W97" s="6">
        <f ca="1">IFERROR(__xludf.DUMMYFUNCTION("IFERROR(GOOGLEFINANCE(B97,""pe""),V97)"),0)</f>
        <v>0</v>
      </c>
      <c r="X97" s="12"/>
      <c r="Y97" s="6">
        <v>7.38</v>
      </c>
      <c r="Z97" s="6">
        <v>2</v>
      </c>
      <c r="AA97" s="8">
        <v>45352</v>
      </c>
      <c r="AB97" s="4">
        <v>1.06</v>
      </c>
      <c r="AC97" s="6">
        <v>-21.79</v>
      </c>
      <c r="AD97" s="6">
        <v>1.62</v>
      </c>
      <c r="AE97" s="1">
        <v>0</v>
      </c>
      <c r="AF97" s="1">
        <f ca="1">IFERROR(__xludf.DUMMYFUNCTION("IFERROR(GOOGLEFINANCE(TRIM(F97)&amp;"":"" &amp; TRIM(B97),""high52""),AE97)"),98.76)</f>
        <v>98.76</v>
      </c>
      <c r="AG97" s="1">
        <v>0</v>
      </c>
      <c r="AH97" s="1">
        <f ca="1">IFERROR(__xludf.DUMMYFUNCTION("IFERROR(GOOGLEFINANCE(TRIM(F97)&amp;"":"" &amp; TRIM(B97),""low52""),AE97)"),59.8)</f>
        <v>59.8</v>
      </c>
      <c r="AI97" s="1">
        <f ca="1">IFERROR(__xludf.DUMMYFUNCTION("IFERROR(GOOGLEFINANCE(B97,""eps""),0)"),-4.54)</f>
        <v>-4.54</v>
      </c>
      <c r="AJ97" s="1"/>
      <c r="AK97" s="1" t="s">
        <v>360</v>
      </c>
      <c r="AL97" s="9">
        <f>IF(AA97&lt;&gt;AB97,1,0)</f>
        <v>1</v>
      </c>
    </row>
    <row r="98" spans="1:38" ht="15" x14ac:dyDescent="0.25">
      <c r="A98" s="1" t="s">
        <v>361</v>
      </c>
      <c r="B98" s="1" t="s">
        <v>362</v>
      </c>
      <c r="C98" s="1" t="s">
        <v>355</v>
      </c>
      <c r="D98" s="1" t="s">
        <v>355</v>
      </c>
      <c r="E98" s="6">
        <v>260.04000000000002</v>
      </c>
      <c r="F98" s="1" t="s">
        <v>53</v>
      </c>
      <c r="G98" s="6">
        <f ca="1">IFERROR(__xludf.DUMMYFUNCTION("iferror(GOOGLEFINANCE(TRIM(F98)&amp;"":"" &amp; TRIM(B98), ""price""),0
)"),0)</f>
        <v>0</v>
      </c>
      <c r="H98" s="6">
        <v>125.2</v>
      </c>
      <c r="I98" s="6">
        <f t="shared" ca="1" si="0"/>
        <v>125.2</v>
      </c>
      <c r="J98" s="6">
        <f ca="1">IFERROR(__xludf.DUMMYFUNCTION("IFERROR(GOOGLEFINANCE(B98, ""volume""), 0)"),0)</f>
        <v>0</v>
      </c>
      <c r="K98" s="6">
        <v>-1.3</v>
      </c>
      <c r="L98" s="6">
        <f ca="1">IFERROR(__xludf.DUMMYFUNCTION("IFERROR(GOOGLEFINANCE(B98,""changepct""),K98)"),-1.3)</f>
        <v>-1.3</v>
      </c>
      <c r="M98" s="6">
        <f ca="1">IFERROR(__xludf.DUMMYFUNCTION("IFERROR(GOOGLEFINANCE(B98,""change""),0)"),0)</f>
        <v>0</v>
      </c>
      <c r="N98" s="6">
        <v>1</v>
      </c>
      <c r="O98" s="7">
        <v>45536</v>
      </c>
      <c r="P98" s="6">
        <v>21.76</v>
      </c>
      <c r="Q98" s="6">
        <v>281.79000000000002</v>
      </c>
      <c r="R98" s="7">
        <v>45352</v>
      </c>
      <c r="S98" s="6">
        <v>81.290000000000006</v>
      </c>
      <c r="T98" s="6">
        <v>8.9499999999999993</v>
      </c>
      <c r="U98" s="7">
        <v>45352</v>
      </c>
      <c r="V98" s="6">
        <v>60.95</v>
      </c>
      <c r="W98" s="6">
        <f ca="1">IFERROR(__xludf.DUMMYFUNCTION("IFERROR(GOOGLEFINANCE(B98,""pe""),V98)"),60.95)</f>
        <v>60.95</v>
      </c>
      <c r="X98" s="9"/>
      <c r="Y98" s="6">
        <v>3.55</v>
      </c>
      <c r="Z98" s="6">
        <v>2</v>
      </c>
      <c r="AA98" s="8">
        <v>45352</v>
      </c>
      <c r="AB98" s="4">
        <v>2.2000000000000002</v>
      </c>
      <c r="AC98" s="6">
        <v>21.22</v>
      </c>
      <c r="AD98" s="6">
        <v>10.86</v>
      </c>
      <c r="AE98" s="1">
        <v>0</v>
      </c>
      <c r="AF98" s="1">
        <f ca="1">IFERROR(__xludf.DUMMYFUNCTION("IFERROR(GOOGLEFINANCE(TRIM(F98)&amp;"":"" &amp; TRIM(B98),""high52""),AE98)"),0)</f>
        <v>0</v>
      </c>
      <c r="AG98" s="1">
        <v>0</v>
      </c>
      <c r="AH98" s="1">
        <f ca="1">IFERROR(__xludf.DUMMYFUNCTION("IFERROR(GOOGLEFINANCE(TRIM(F98)&amp;"":"" &amp; TRIM(B98),""low52""),AE98)"),0)</f>
        <v>0</v>
      </c>
      <c r="AI98" s="1">
        <f ca="1">IFERROR(__xludf.DUMMYFUNCTION("IFERROR(GOOGLEFINANCE(B98,""eps""),0)"),0)</f>
        <v>0</v>
      </c>
      <c r="AJ98" s="1"/>
      <c r="AK98" s="1" t="s">
        <v>363</v>
      </c>
      <c r="AL98" s="1" t="b">
        <f>ISNUMBER(AA98)</f>
        <v>1</v>
      </c>
    </row>
    <row r="99" spans="1:38" ht="15" x14ac:dyDescent="0.25">
      <c r="A99" s="1" t="s">
        <v>364</v>
      </c>
      <c r="B99" s="1" t="s">
        <v>365</v>
      </c>
      <c r="C99" s="1" t="s">
        <v>75</v>
      </c>
      <c r="D99" s="1" t="s">
        <v>75</v>
      </c>
      <c r="E99" s="6">
        <v>1377.69</v>
      </c>
      <c r="F99" s="1" t="s">
        <v>40</v>
      </c>
      <c r="G99" s="6">
        <f ca="1">IFERROR(__xludf.DUMMYFUNCTION("iferror(GOOGLEFINANCE(TRIM(F99)&amp;"":"" &amp; TRIM(B99), ""price""),0
)"),120.8)</f>
        <v>120.8</v>
      </c>
      <c r="H99" s="6">
        <v>250</v>
      </c>
      <c r="I99" s="6">
        <f t="shared" ca="1" si="0"/>
        <v>120.8</v>
      </c>
      <c r="J99" s="6">
        <f ca="1">IFERROR(__xludf.DUMMYFUNCTION("IFERROR(GOOGLEFINANCE(B99, ""volume""), 0)"),45765)</f>
        <v>45765</v>
      </c>
      <c r="K99" s="6">
        <v>2.54</v>
      </c>
      <c r="L99" s="6">
        <f ca="1">IFERROR(__xludf.DUMMYFUNCTION("IFERROR(GOOGLEFINANCE(B99,""changepct""),K99)"),0.2)</f>
        <v>0.2</v>
      </c>
      <c r="M99" s="6">
        <f ca="1">IFERROR(__xludf.DUMMYFUNCTION("IFERROR(GOOGLEFINANCE(B99,""change""),0)"),0.24)</f>
        <v>0.24</v>
      </c>
      <c r="N99" s="6">
        <v>1</v>
      </c>
      <c r="O99" s="7">
        <v>45536</v>
      </c>
      <c r="P99" s="6">
        <v>74.66</v>
      </c>
      <c r="Q99" s="7">
        <v>45536</v>
      </c>
      <c r="R99" s="6">
        <v>18.45</v>
      </c>
      <c r="S99" s="6">
        <v>0.47</v>
      </c>
      <c r="T99" s="6">
        <v>6.69</v>
      </c>
      <c r="U99" s="6">
        <v>1</v>
      </c>
      <c r="V99" s="7">
        <v>45352</v>
      </c>
      <c r="W99" s="6">
        <f ca="1">IFERROR(__xludf.DUMMYFUNCTION("IFERROR(GOOGLEFINANCE(B99,""pe""),V99)"),13.9)</f>
        <v>13.9</v>
      </c>
      <c r="X99" s="6">
        <v>8.4499999999999993</v>
      </c>
      <c r="Y99" s="6">
        <v>38.979999999999997</v>
      </c>
      <c r="Z99" s="6">
        <v>12.84</v>
      </c>
      <c r="AA99" s="3" t="s">
        <v>366</v>
      </c>
      <c r="AB99" s="4"/>
      <c r="AC99" s="9"/>
      <c r="AD99" s="9"/>
      <c r="AE99" s="1">
        <v>0</v>
      </c>
      <c r="AF99" s="1">
        <f ca="1">IFERROR(__xludf.DUMMYFUNCTION("IFERROR(GOOGLEFINANCE(TRIM(F99)&amp;"":"" &amp; TRIM(B99),""high52""),AE99)"),208.71)</f>
        <v>208.71</v>
      </c>
      <c r="AG99" s="1">
        <v>0</v>
      </c>
      <c r="AH99" s="1">
        <f ca="1">IFERROR(__xludf.DUMMYFUNCTION("IFERROR(GOOGLEFINANCE(TRIM(F99)&amp;"":"" &amp; TRIM(B99),""low52""),AE99)"),115.01)</f>
        <v>115.01</v>
      </c>
      <c r="AI99" s="1">
        <f ca="1">IFERROR(__xludf.DUMMYFUNCTION("IFERROR(GOOGLEFINANCE(B99,""eps""),0)"),8.69)</f>
        <v>8.69</v>
      </c>
      <c r="AJ99" s="1"/>
      <c r="AK99" s="1" t="s">
        <v>367</v>
      </c>
      <c r="AL99" s="9">
        <f>IF(AA99&lt;&gt;AB99,1,0)</f>
        <v>1</v>
      </c>
    </row>
    <row r="100" spans="1:38" ht="15" x14ac:dyDescent="0.25">
      <c r="A100" s="1" t="s">
        <v>368</v>
      </c>
      <c r="B100" s="1" t="s">
        <v>369</v>
      </c>
      <c r="C100" s="1" t="s">
        <v>355</v>
      </c>
      <c r="D100" s="1" t="s">
        <v>355</v>
      </c>
      <c r="E100" s="6">
        <v>125.93</v>
      </c>
      <c r="F100" s="1" t="s">
        <v>53</v>
      </c>
      <c r="G100" s="6">
        <f ca="1">IFERROR(__xludf.DUMMYFUNCTION("iferror(GOOGLEFINANCE(TRIM(F100)&amp;"":"" &amp; TRIM(B100), ""price""),0
)"),0)</f>
        <v>0</v>
      </c>
      <c r="H100" s="6">
        <v>68.2</v>
      </c>
      <c r="I100" s="6">
        <f t="shared" ca="1" si="0"/>
        <v>68.2</v>
      </c>
      <c r="J100" s="6">
        <f ca="1">IFERROR(__xludf.DUMMYFUNCTION("IFERROR(GOOGLEFINANCE(B100, ""volume""), 0)"),0)</f>
        <v>0</v>
      </c>
      <c r="K100" s="6">
        <v>2.99</v>
      </c>
      <c r="L100" s="6">
        <f ca="1">IFERROR(__xludf.DUMMYFUNCTION("IFERROR(GOOGLEFINANCE(B100,""changepct""),K100)"),2.99)</f>
        <v>2.99</v>
      </c>
      <c r="M100" s="6">
        <f ca="1">IFERROR(__xludf.DUMMYFUNCTION("IFERROR(GOOGLEFINANCE(B100,""change""),0)"),0)</f>
        <v>0</v>
      </c>
      <c r="N100" s="6">
        <v>1</v>
      </c>
      <c r="O100" s="7">
        <v>45536</v>
      </c>
      <c r="P100" s="6">
        <v>38.229999999999997</v>
      </c>
      <c r="Q100" s="6">
        <v>164.15</v>
      </c>
      <c r="R100" s="7">
        <v>45352</v>
      </c>
      <c r="S100" s="6">
        <v>152.52000000000001</v>
      </c>
      <c r="T100" s="6">
        <v>9.3800000000000008</v>
      </c>
      <c r="U100" s="7">
        <v>45352</v>
      </c>
      <c r="V100" s="6">
        <v>13.42</v>
      </c>
      <c r="W100" s="6">
        <f ca="1">IFERROR(__xludf.DUMMYFUNCTION("IFERROR(GOOGLEFINANCE(B100,""pe""),V100)"),13.42)</f>
        <v>13.42</v>
      </c>
      <c r="X100" s="12"/>
      <c r="Y100" s="6">
        <v>1.84</v>
      </c>
      <c r="Z100" s="6">
        <v>2</v>
      </c>
      <c r="AA100" s="8">
        <v>44986</v>
      </c>
      <c r="AB100" s="4">
        <v>1.31</v>
      </c>
      <c r="AC100" s="6">
        <v>39.9</v>
      </c>
      <c r="AD100" s="6">
        <v>25.28</v>
      </c>
      <c r="AE100" s="1">
        <v>0</v>
      </c>
      <c r="AF100" s="1">
        <f ca="1">IFERROR(__xludf.DUMMYFUNCTION("IFERROR(GOOGLEFINANCE(TRIM(F100)&amp;"":"" &amp; TRIM(B100),""high52""),AE100)"),0)</f>
        <v>0</v>
      </c>
      <c r="AG100" s="1">
        <v>0</v>
      </c>
      <c r="AH100" s="1">
        <f ca="1">IFERROR(__xludf.DUMMYFUNCTION("IFERROR(GOOGLEFINANCE(TRIM(F100)&amp;"":"" &amp; TRIM(B100),""low52""),AE100)"),0)</f>
        <v>0</v>
      </c>
      <c r="AI100" s="1">
        <f ca="1">IFERROR(__xludf.DUMMYFUNCTION("IFERROR(GOOGLEFINANCE(B100,""eps""),0)"),0)</f>
        <v>0</v>
      </c>
      <c r="AJ100" s="1"/>
      <c r="AK100" s="1" t="s">
        <v>370</v>
      </c>
      <c r="AL100" s="1" t="b">
        <f>ISNUMBER(AA100)</f>
        <v>1</v>
      </c>
    </row>
    <row r="101" spans="1:38" ht="15" x14ac:dyDescent="0.25">
      <c r="A101" s="1" t="s">
        <v>371</v>
      </c>
      <c r="B101" s="1" t="s">
        <v>372</v>
      </c>
      <c r="C101" s="1" t="s">
        <v>373</v>
      </c>
      <c r="D101" s="1" t="s">
        <v>373</v>
      </c>
      <c r="E101" s="6">
        <v>27411.8</v>
      </c>
      <c r="F101" s="1" t="s">
        <v>40</v>
      </c>
      <c r="G101" s="6">
        <f ca="1">IFERROR(__xludf.DUMMYFUNCTION("iferror(GOOGLEFINANCE(TRIM(F101)&amp;"":"" &amp; TRIM(B101), ""price""),0
)"),1200)</f>
        <v>1200</v>
      </c>
      <c r="H101" s="6">
        <v>2455.9499999999998</v>
      </c>
      <c r="I101" s="6">
        <f t="shared" ca="1" si="0"/>
        <v>1200</v>
      </c>
      <c r="J101" s="6">
        <f ca="1">IFERROR(__xludf.DUMMYFUNCTION("IFERROR(GOOGLEFINANCE(B101, ""volume""), 0)"),342845)</f>
        <v>342845</v>
      </c>
      <c r="K101" s="6">
        <v>-0.39</v>
      </c>
      <c r="L101" s="6">
        <f ca="1">IFERROR(__xludf.DUMMYFUNCTION("IFERROR(GOOGLEFINANCE(B101,""changepct""),K101)"),-2.75)</f>
        <v>-2.75</v>
      </c>
      <c r="M101" s="6">
        <f ca="1">IFERROR(__xludf.DUMMYFUNCTION("IFERROR(GOOGLEFINANCE(B101,""change""),0)"),-33.9)</f>
        <v>-33.9</v>
      </c>
      <c r="N101" s="6">
        <v>2</v>
      </c>
      <c r="O101" s="7">
        <v>45536</v>
      </c>
      <c r="P101" s="6">
        <v>4733.8500000000004</v>
      </c>
      <c r="Q101" s="6">
        <v>31735.46</v>
      </c>
      <c r="R101" s="7">
        <v>45536</v>
      </c>
      <c r="S101" s="6">
        <v>5234.62</v>
      </c>
      <c r="T101" s="6">
        <v>299.82</v>
      </c>
      <c r="U101" s="7">
        <v>45536</v>
      </c>
      <c r="V101" s="6">
        <v>281.18</v>
      </c>
      <c r="W101" s="6">
        <f ca="1">IFERROR(__xludf.DUMMYFUNCTION("IFERROR(GOOGLEFINANCE(B101,""pe""),V101)"),281.18)</f>
        <v>281.18</v>
      </c>
      <c r="X101" s="6">
        <v>-4.5599999999999996</v>
      </c>
      <c r="Y101" s="6">
        <v>6.77</v>
      </c>
      <c r="Z101" s="6">
        <v>2</v>
      </c>
      <c r="AA101" s="8">
        <v>45352</v>
      </c>
      <c r="AB101" s="4">
        <v>0.63</v>
      </c>
      <c r="AC101" s="6">
        <v>7.76</v>
      </c>
      <c r="AD101" s="6">
        <v>8.5299999999999994</v>
      </c>
      <c r="AE101" s="1">
        <v>0</v>
      </c>
      <c r="AF101" s="1">
        <f ca="1">IFERROR(__xludf.DUMMYFUNCTION("IFERROR(GOOGLEFINANCE(TRIM(F101)&amp;"":"" &amp; TRIM(B101),""high52""),AE101)"),2537.9)</f>
        <v>2537.9</v>
      </c>
      <c r="AG101" s="1">
        <v>0</v>
      </c>
      <c r="AH101" s="1">
        <f ca="1">IFERROR(__xludf.DUMMYFUNCTION("IFERROR(GOOGLEFINANCE(TRIM(F101)&amp;"":"" &amp; TRIM(B101),""low52""),AE101)"),1186)</f>
        <v>1186</v>
      </c>
      <c r="AI101" s="1">
        <f ca="1">IFERROR(__xludf.DUMMYFUNCTION("IFERROR(GOOGLEFINANCE(B101,""eps""),0)"),-22.39)</f>
        <v>-22.39</v>
      </c>
      <c r="AJ101" s="1"/>
      <c r="AK101" s="1" t="s">
        <v>374</v>
      </c>
      <c r="AL101" s="9">
        <f>IF(AA101&lt;&gt;AB101,1,0)</f>
        <v>1</v>
      </c>
    </row>
    <row r="102" spans="1:38" ht="15" x14ac:dyDescent="0.25">
      <c r="A102" s="1" t="s">
        <v>375</v>
      </c>
      <c r="B102" s="1" t="s">
        <v>376</v>
      </c>
      <c r="C102" s="1" t="s">
        <v>355</v>
      </c>
      <c r="D102" s="1" t="s">
        <v>355</v>
      </c>
      <c r="E102" s="6">
        <v>61.24</v>
      </c>
      <c r="F102" s="1" t="s">
        <v>53</v>
      </c>
      <c r="G102" s="6">
        <f ca="1">IFERROR(__xludf.DUMMYFUNCTION("iferror(GOOGLEFINANCE(TRIM(F102)&amp;"":"" &amp; TRIM(B102), ""price""),0
)"),0)</f>
        <v>0</v>
      </c>
      <c r="H102" s="6">
        <v>44.74</v>
      </c>
      <c r="I102" s="6">
        <f t="shared" ca="1" si="0"/>
        <v>44.74</v>
      </c>
      <c r="J102" s="6">
        <f ca="1">IFERROR(__xludf.DUMMYFUNCTION("IFERROR(GOOGLEFINANCE(B102, ""volume""), 0)"),0)</f>
        <v>0</v>
      </c>
      <c r="K102" s="12"/>
      <c r="L102" s="6" t="str">
        <f ca="1">IFERROR(__xludf.DUMMYFUNCTION("IFERROR(GOOGLEFINANCE(B102,""changepct""),K102)"),"")</f>
        <v/>
      </c>
      <c r="M102" s="6">
        <f ca="1">IFERROR(__xludf.DUMMYFUNCTION("IFERROR(GOOGLEFINANCE(B102,""change""),0)"),0)</f>
        <v>0</v>
      </c>
      <c r="N102" s="6">
        <v>1</v>
      </c>
      <c r="O102" s="7">
        <v>45536</v>
      </c>
      <c r="P102" s="6">
        <v>5.2</v>
      </c>
      <c r="Q102" s="6">
        <v>66.44</v>
      </c>
      <c r="R102" s="7">
        <v>45352</v>
      </c>
      <c r="S102" s="6">
        <v>67.56</v>
      </c>
      <c r="T102" s="6">
        <v>3</v>
      </c>
      <c r="U102" s="7">
        <v>45352</v>
      </c>
      <c r="V102" s="6">
        <v>20.39</v>
      </c>
      <c r="W102" s="6">
        <f ca="1">IFERROR(__xludf.DUMMYFUNCTION("IFERROR(GOOGLEFINANCE(B102,""pe""),V102)"),20.39)</f>
        <v>20.39</v>
      </c>
      <c r="X102" s="9"/>
      <c r="Y102" s="6">
        <v>3.48</v>
      </c>
      <c r="Z102" s="6">
        <v>2</v>
      </c>
      <c r="AA102" s="8">
        <v>45352</v>
      </c>
      <c r="AB102" s="4">
        <v>0.28000000000000003</v>
      </c>
      <c r="AC102" s="6">
        <v>15.4</v>
      </c>
      <c r="AD102" s="6">
        <v>23</v>
      </c>
      <c r="AE102" s="1">
        <v>0</v>
      </c>
      <c r="AF102" s="1">
        <f ca="1">IFERROR(__xludf.DUMMYFUNCTION("IFERROR(GOOGLEFINANCE(TRIM(F102)&amp;"":"" &amp; TRIM(B102),""high52""),AE102)"),0)</f>
        <v>0</v>
      </c>
      <c r="AG102" s="1">
        <v>0</v>
      </c>
      <c r="AH102" s="1">
        <f ca="1">IFERROR(__xludf.DUMMYFUNCTION("IFERROR(GOOGLEFINANCE(TRIM(F102)&amp;"":"" &amp; TRIM(B102),""low52""),AE102)"),0)</f>
        <v>0</v>
      </c>
      <c r="AI102" s="1">
        <f ca="1">IFERROR(__xludf.DUMMYFUNCTION("IFERROR(GOOGLEFINANCE(B102,""eps""),0)"),0)</f>
        <v>0</v>
      </c>
      <c r="AJ102" s="1"/>
      <c r="AK102" s="1" t="s">
        <v>377</v>
      </c>
      <c r="AL102" s="1" t="b">
        <f t="shared" ref="AL102:AL104" si="22">ISNUMBER(AA102)</f>
        <v>1</v>
      </c>
    </row>
    <row r="103" spans="1:38" ht="15" x14ac:dyDescent="0.25">
      <c r="A103" s="1" t="s">
        <v>378</v>
      </c>
      <c r="B103" s="1" t="s">
        <v>379</v>
      </c>
      <c r="C103" s="1" t="s">
        <v>355</v>
      </c>
      <c r="D103" s="1" t="s">
        <v>355</v>
      </c>
      <c r="E103" s="6">
        <v>154.59</v>
      </c>
      <c r="F103" s="1" t="s">
        <v>53</v>
      </c>
      <c r="G103" s="6">
        <f ca="1">IFERROR(__xludf.DUMMYFUNCTION("iferror(GOOGLEFINANCE(TRIM(F103)&amp;"":"" &amp; TRIM(B103), ""price""),0
)"),0)</f>
        <v>0</v>
      </c>
      <c r="H103" s="6">
        <v>144.9</v>
      </c>
      <c r="I103" s="6">
        <f t="shared" ca="1" si="0"/>
        <v>144.9</v>
      </c>
      <c r="J103" s="6">
        <f ca="1">IFERROR(__xludf.DUMMYFUNCTION("IFERROR(GOOGLEFINANCE(B103, ""volume""), 0)"),0)</f>
        <v>0</v>
      </c>
      <c r="K103" s="6">
        <v>1.1200000000000001</v>
      </c>
      <c r="L103" s="6">
        <f ca="1">IFERROR(__xludf.DUMMYFUNCTION("IFERROR(GOOGLEFINANCE(B103,""changepct""),K103)"),1.12)</f>
        <v>1.1200000000000001</v>
      </c>
      <c r="M103" s="6">
        <f ca="1">IFERROR(__xludf.DUMMYFUNCTION("IFERROR(GOOGLEFINANCE(B103,""change""),0)"),0)</f>
        <v>0</v>
      </c>
      <c r="N103" s="6">
        <v>1</v>
      </c>
      <c r="O103" s="7">
        <v>45536</v>
      </c>
      <c r="P103" s="6">
        <v>76.010000000000005</v>
      </c>
      <c r="Q103" s="6">
        <v>226.73</v>
      </c>
      <c r="R103" s="7">
        <v>45536</v>
      </c>
      <c r="S103" s="6">
        <v>379.19</v>
      </c>
      <c r="T103" s="6">
        <v>6.26</v>
      </c>
      <c r="U103" s="7">
        <v>45536</v>
      </c>
      <c r="V103" s="6">
        <v>24.7</v>
      </c>
      <c r="W103" s="6">
        <f ca="1">IFERROR(__xludf.DUMMYFUNCTION("IFERROR(GOOGLEFINANCE(B103,""pe""),V103)"),24.7)</f>
        <v>24.7</v>
      </c>
      <c r="X103" s="6">
        <v>-25.2</v>
      </c>
      <c r="Y103" s="6">
        <v>3.23</v>
      </c>
      <c r="Z103" s="6">
        <v>1</v>
      </c>
      <c r="AA103" s="8">
        <v>45352</v>
      </c>
      <c r="AB103" s="4">
        <v>1.87</v>
      </c>
      <c r="AC103" s="6">
        <v>13.07</v>
      </c>
      <c r="AD103" s="6">
        <v>17.329999999999998</v>
      </c>
      <c r="AE103" s="1">
        <v>0</v>
      </c>
      <c r="AF103" s="1">
        <f ca="1">IFERROR(__xludf.DUMMYFUNCTION("IFERROR(GOOGLEFINANCE(TRIM(F103)&amp;"":"" &amp; TRIM(B103),""high52""),AE103)"),0)</f>
        <v>0</v>
      </c>
      <c r="AG103" s="1">
        <v>0</v>
      </c>
      <c r="AH103" s="1">
        <f ca="1">IFERROR(__xludf.DUMMYFUNCTION("IFERROR(GOOGLEFINANCE(TRIM(F103)&amp;"":"" &amp; TRIM(B103),""low52""),AE103)"),0)</f>
        <v>0</v>
      </c>
      <c r="AI103" s="1">
        <f ca="1">IFERROR(__xludf.DUMMYFUNCTION("IFERROR(GOOGLEFINANCE(B103,""eps""),0)"),0)</f>
        <v>0</v>
      </c>
      <c r="AJ103" s="1"/>
      <c r="AK103" s="1" t="s">
        <v>380</v>
      </c>
      <c r="AL103" s="1" t="b">
        <f t="shared" si="22"/>
        <v>1</v>
      </c>
    </row>
    <row r="104" spans="1:38" ht="15" x14ac:dyDescent="0.25">
      <c r="A104" s="1" t="s">
        <v>381</v>
      </c>
      <c r="B104" s="1" t="s">
        <v>382</v>
      </c>
      <c r="C104" s="1" t="s">
        <v>355</v>
      </c>
      <c r="D104" s="1" t="s">
        <v>355</v>
      </c>
      <c r="E104" s="6">
        <v>15.38</v>
      </c>
      <c r="F104" s="1" t="s">
        <v>53</v>
      </c>
      <c r="G104" s="6">
        <f ca="1">IFERROR(__xludf.DUMMYFUNCTION("iferror(GOOGLEFINANCE(TRIM(F104)&amp;"":"" &amp; TRIM(B104), ""price""),0
)"),0)</f>
        <v>0</v>
      </c>
      <c r="H104" s="6">
        <v>10.77</v>
      </c>
      <c r="I104" s="6">
        <f t="shared" ca="1" si="0"/>
        <v>10.77</v>
      </c>
      <c r="J104" s="6">
        <f ca="1">IFERROR(__xludf.DUMMYFUNCTION("IFERROR(GOOGLEFINANCE(B104, ""volume""), 0)"),0)</f>
        <v>0</v>
      </c>
      <c r="K104" s="6">
        <v>0.75</v>
      </c>
      <c r="L104" s="6">
        <f ca="1">IFERROR(__xludf.DUMMYFUNCTION("IFERROR(GOOGLEFINANCE(B104,""changepct""),K104)"),0.75)</f>
        <v>0.75</v>
      </c>
      <c r="M104" s="6">
        <f ca="1">IFERROR(__xludf.DUMMYFUNCTION("IFERROR(GOOGLEFINANCE(B104,""change""),0)"),0)</f>
        <v>0</v>
      </c>
      <c r="N104" s="6">
        <v>1</v>
      </c>
      <c r="O104" s="7">
        <v>45536</v>
      </c>
      <c r="P104" s="6">
        <v>0.71</v>
      </c>
      <c r="Q104" s="6">
        <v>16.09</v>
      </c>
      <c r="R104" s="7">
        <v>45536</v>
      </c>
      <c r="S104" s="6">
        <v>0</v>
      </c>
      <c r="T104" s="6">
        <v>-0.24</v>
      </c>
      <c r="U104" s="7">
        <v>45536</v>
      </c>
      <c r="V104" s="6">
        <v>0</v>
      </c>
      <c r="W104" s="6">
        <f ca="1">IFERROR(__xludf.DUMMYFUNCTION("IFERROR(GOOGLEFINANCE(B104,""pe""),V104)"),0)</f>
        <v>0</v>
      </c>
      <c r="X104" s="6">
        <v>0</v>
      </c>
      <c r="Y104" s="6">
        <v>1.2</v>
      </c>
      <c r="Z104" s="6">
        <v>1</v>
      </c>
      <c r="AA104" s="8">
        <v>45352</v>
      </c>
      <c r="AB104" s="4">
        <v>0.06</v>
      </c>
      <c r="AC104" s="6">
        <v>-2.14</v>
      </c>
      <c r="AD104" s="6">
        <v>2.27</v>
      </c>
      <c r="AE104" s="1">
        <v>0</v>
      </c>
      <c r="AF104" s="1">
        <f ca="1">IFERROR(__xludf.DUMMYFUNCTION("IFERROR(GOOGLEFINANCE(TRIM(F104)&amp;"":"" &amp; TRIM(B104),""high52""),AE104)"),0)</f>
        <v>0</v>
      </c>
      <c r="AG104" s="1">
        <v>0</v>
      </c>
      <c r="AH104" s="1">
        <f ca="1">IFERROR(__xludf.DUMMYFUNCTION("IFERROR(GOOGLEFINANCE(TRIM(F104)&amp;"":"" &amp; TRIM(B104),""low52""),AE104)"),0)</f>
        <v>0</v>
      </c>
      <c r="AI104" s="1">
        <f ca="1">IFERROR(__xludf.DUMMYFUNCTION("IFERROR(GOOGLEFINANCE(B104,""eps""),0)"),0)</f>
        <v>0</v>
      </c>
      <c r="AJ104" s="1"/>
      <c r="AK104" s="1" t="s">
        <v>383</v>
      </c>
      <c r="AL104" s="1" t="b">
        <f t="shared" si="22"/>
        <v>1</v>
      </c>
    </row>
    <row r="105" spans="1:38" ht="15" x14ac:dyDescent="0.25">
      <c r="A105" s="1" t="s">
        <v>384</v>
      </c>
      <c r="B105" s="1" t="s">
        <v>385</v>
      </c>
      <c r="C105" s="1" t="s">
        <v>386</v>
      </c>
      <c r="D105" s="1" t="s">
        <v>386</v>
      </c>
      <c r="E105" s="6">
        <v>23941.08</v>
      </c>
      <c r="F105" s="1" t="s">
        <v>40</v>
      </c>
      <c r="G105" s="6">
        <f ca="1">IFERROR(__xludf.DUMMYFUNCTION("iferror(GOOGLEFINANCE(TRIM(F105)&amp;"":"" &amp; TRIM(B105), ""price""),0
)"),777.3)</f>
        <v>777.3</v>
      </c>
      <c r="H105" s="6">
        <v>837.3</v>
      </c>
      <c r="I105" s="6">
        <f t="shared" ca="1" si="0"/>
        <v>777.3</v>
      </c>
      <c r="J105" s="6">
        <f ca="1">IFERROR(__xludf.DUMMYFUNCTION("IFERROR(GOOGLEFINANCE(B105, ""volume""), 0)"),724300)</f>
        <v>724300</v>
      </c>
      <c r="K105" s="6">
        <v>0.91</v>
      </c>
      <c r="L105" s="6">
        <f ca="1">IFERROR(__xludf.DUMMYFUNCTION("IFERROR(GOOGLEFINANCE(B105,""changepct""),K105)"),2.32)</f>
        <v>2.3199999999999998</v>
      </c>
      <c r="M105" s="6">
        <f ca="1">IFERROR(__xludf.DUMMYFUNCTION("IFERROR(GOOGLEFINANCE(B105,""change""),0)"),17.6)</f>
        <v>17.600000000000001</v>
      </c>
      <c r="N105" s="6">
        <v>2</v>
      </c>
      <c r="O105" s="7">
        <v>45536</v>
      </c>
      <c r="P105" s="6">
        <v>895.77</v>
      </c>
      <c r="Q105" s="7">
        <v>45536</v>
      </c>
      <c r="R105" s="6">
        <v>26.73</v>
      </c>
      <c r="S105" s="9"/>
      <c r="T105" s="6">
        <v>7.32</v>
      </c>
      <c r="U105" s="6">
        <v>2</v>
      </c>
      <c r="V105" s="7">
        <v>45352</v>
      </c>
      <c r="W105" s="6">
        <f ca="1">IFERROR(__xludf.DUMMYFUNCTION("IFERROR(GOOGLEFINANCE(B105,""pe""),V105)"),22.13)</f>
        <v>22.13</v>
      </c>
      <c r="X105" s="6">
        <v>0</v>
      </c>
      <c r="Y105" s="6">
        <v>28.31</v>
      </c>
      <c r="Z105" s="6">
        <v>35.67</v>
      </c>
      <c r="AA105" s="3" t="s">
        <v>387</v>
      </c>
      <c r="AB105" s="4"/>
      <c r="AC105" s="9"/>
      <c r="AD105" s="9"/>
      <c r="AE105" s="1">
        <v>0</v>
      </c>
      <c r="AF105" s="1">
        <f ca="1">IFERROR(__xludf.DUMMYFUNCTION("IFERROR(GOOGLEFINANCE(TRIM(F105)&amp;"":"" &amp; TRIM(B105),""high52""),AE105)"),908)</f>
        <v>908</v>
      </c>
      <c r="AG105" s="1">
        <v>0</v>
      </c>
      <c r="AH105" s="1">
        <f ca="1">IFERROR(__xludf.DUMMYFUNCTION("IFERROR(GOOGLEFINANCE(TRIM(F105)&amp;"":"" &amp; TRIM(B105),""low52""),AE105)"),556.45)</f>
        <v>556.45000000000005</v>
      </c>
      <c r="AI105" s="1">
        <f ca="1">IFERROR(__xludf.DUMMYFUNCTION("IFERROR(GOOGLEFINANCE(B105,""eps""),0)"),35.13)</f>
        <v>35.130000000000003</v>
      </c>
      <c r="AJ105" s="1"/>
      <c r="AK105" s="9"/>
      <c r="AL105" s="9">
        <f t="shared" ref="AL105:AL106" si="23">IF(AA105&lt;&gt;AB105,1,0)</f>
        <v>1</v>
      </c>
    </row>
    <row r="106" spans="1:38" ht="15" x14ac:dyDescent="0.25">
      <c r="A106" s="1" t="s">
        <v>388</v>
      </c>
      <c r="B106" s="1" t="s">
        <v>389</v>
      </c>
      <c r="C106" s="1" t="s">
        <v>219</v>
      </c>
      <c r="D106" s="1" t="s">
        <v>219</v>
      </c>
      <c r="E106" s="6">
        <v>122.44</v>
      </c>
      <c r="F106" s="1" t="s">
        <v>40</v>
      </c>
      <c r="G106" s="6">
        <f ca="1">IFERROR(__xludf.DUMMYFUNCTION("iferror(GOOGLEFINANCE(TRIM(F106)&amp;"":"" &amp; TRIM(B106), ""price""),0
)"),0)</f>
        <v>0</v>
      </c>
      <c r="H106" s="6">
        <v>49.3</v>
      </c>
      <c r="I106" s="6">
        <f t="shared" ca="1" si="0"/>
        <v>49.3</v>
      </c>
      <c r="J106" s="6">
        <f ca="1">IFERROR(__xludf.DUMMYFUNCTION("IFERROR(GOOGLEFINANCE(B106, ""volume""), 0)"),0)</f>
        <v>0</v>
      </c>
      <c r="K106" s="9"/>
      <c r="L106" s="6" t="str">
        <f ca="1">IFERROR(__xludf.DUMMYFUNCTION("IFERROR(GOOGLEFINANCE(B106,""changepct""),K106)"),"")</f>
        <v/>
      </c>
      <c r="M106" s="6">
        <f ca="1">IFERROR(__xludf.DUMMYFUNCTION("IFERROR(GOOGLEFINANCE(B106,""change""),0)"),0)</f>
        <v>0</v>
      </c>
      <c r="N106" s="6">
        <v>1</v>
      </c>
      <c r="O106" s="7">
        <v>45536</v>
      </c>
      <c r="P106" s="6">
        <v>69.7</v>
      </c>
      <c r="Q106" s="6">
        <v>192.14</v>
      </c>
      <c r="R106" s="14"/>
      <c r="S106" s="9"/>
      <c r="T106" s="9"/>
      <c r="U106" s="7">
        <v>45352</v>
      </c>
      <c r="V106" s="6">
        <v>15.45</v>
      </c>
      <c r="W106" s="6">
        <f ca="1">IFERROR(__xludf.DUMMYFUNCTION("IFERROR(GOOGLEFINANCE(B106,""pe""),V106)"),15.45)</f>
        <v>15.45</v>
      </c>
      <c r="X106" s="12"/>
      <c r="Y106" s="6">
        <v>1.44</v>
      </c>
      <c r="Z106" s="6">
        <v>1</v>
      </c>
      <c r="AA106" s="8">
        <v>45352</v>
      </c>
      <c r="AB106" s="4">
        <v>1.44</v>
      </c>
      <c r="AC106" s="6">
        <v>23.92</v>
      </c>
      <c r="AD106" s="6">
        <v>20.149999999999999</v>
      </c>
      <c r="AE106" s="1">
        <v>0</v>
      </c>
      <c r="AF106" s="1">
        <f ca="1">IFERROR(__xludf.DUMMYFUNCTION("IFERROR(GOOGLEFINANCE(TRIM(F106)&amp;"":"" &amp; TRIM(B106),""high52""),AE106)"),0)</f>
        <v>0</v>
      </c>
      <c r="AG106" s="1">
        <v>0</v>
      </c>
      <c r="AH106" s="1">
        <f ca="1">IFERROR(__xludf.DUMMYFUNCTION("IFERROR(GOOGLEFINANCE(TRIM(F106)&amp;"":"" &amp; TRIM(B106),""low52""),AE106)"),0)</f>
        <v>0</v>
      </c>
      <c r="AI106" s="1">
        <f ca="1">IFERROR(__xludf.DUMMYFUNCTION("IFERROR(GOOGLEFINANCE(B106,""eps""),0)"),0)</f>
        <v>0</v>
      </c>
      <c r="AJ106" s="1"/>
      <c r="AK106" s="9"/>
      <c r="AL106" s="9">
        <f t="shared" si="23"/>
        <v>1</v>
      </c>
    </row>
    <row r="107" spans="1:38" ht="15" x14ac:dyDescent="0.25">
      <c r="A107" s="1" t="s">
        <v>390</v>
      </c>
      <c r="B107" s="1" t="s">
        <v>391</v>
      </c>
      <c r="C107" s="1" t="s">
        <v>355</v>
      </c>
      <c r="D107" s="1" t="s">
        <v>355</v>
      </c>
      <c r="E107" s="6">
        <v>1338.58</v>
      </c>
      <c r="F107" s="1" t="s">
        <v>53</v>
      </c>
      <c r="G107" s="6">
        <f ca="1">IFERROR(__xludf.DUMMYFUNCTION("iferror(GOOGLEFINANCE(TRIM(F107)&amp;"":"" &amp; TRIM(B107), ""price""),0
)"),0)</f>
        <v>0</v>
      </c>
      <c r="H107" s="6">
        <v>2219.8000000000002</v>
      </c>
      <c r="I107" s="6">
        <f t="shared" ca="1" si="0"/>
        <v>2219.8000000000002</v>
      </c>
      <c r="J107" s="6">
        <f ca="1">IFERROR(__xludf.DUMMYFUNCTION("IFERROR(GOOGLEFINANCE(B107, ""volume""), 0)"),2243)</f>
        <v>2243</v>
      </c>
      <c r="K107" s="6">
        <v>0.97</v>
      </c>
      <c r="L107" s="6">
        <f ca="1">IFERROR(__xludf.DUMMYFUNCTION("IFERROR(GOOGLEFINANCE(B107,""changepct""),K107)"),0.33)</f>
        <v>0.33</v>
      </c>
      <c r="M107" s="6">
        <f ca="1">IFERROR(__xludf.DUMMYFUNCTION("IFERROR(GOOGLEFINANCE(B107,""change""),0)"),0.32)</f>
        <v>0.32</v>
      </c>
      <c r="N107" s="6">
        <v>1</v>
      </c>
      <c r="O107" s="7">
        <v>45536</v>
      </c>
      <c r="P107" s="6">
        <v>48.08</v>
      </c>
      <c r="Q107" s="6">
        <v>1348.18</v>
      </c>
      <c r="R107" s="7">
        <v>45536</v>
      </c>
      <c r="S107" s="6">
        <v>642.46</v>
      </c>
      <c r="T107" s="6">
        <v>45.95</v>
      </c>
      <c r="U107" s="7">
        <v>45536</v>
      </c>
      <c r="V107" s="6">
        <v>29.13</v>
      </c>
      <c r="W107" s="6">
        <f ca="1">IFERROR(__xludf.DUMMYFUNCTION("IFERROR(GOOGLEFINANCE(B107,""pe""),V107)"),8.99)</f>
        <v>8.99</v>
      </c>
      <c r="X107" s="6">
        <v>2.86</v>
      </c>
      <c r="Y107" s="6">
        <v>5.69</v>
      </c>
      <c r="Z107" s="6">
        <v>1</v>
      </c>
      <c r="AA107" s="8">
        <v>45352</v>
      </c>
      <c r="AB107" s="4">
        <v>0.28000000000000003</v>
      </c>
      <c r="AC107" s="6">
        <v>18.600000000000001</v>
      </c>
      <c r="AD107" s="6">
        <v>18.72</v>
      </c>
      <c r="AE107" s="1">
        <v>0</v>
      </c>
      <c r="AF107" s="1">
        <f ca="1">IFERROR(__xludf.DUMMYFUNCTION("IFERROR(GOOGLEFINANCE(TRIM(F107)&amp;"":"" &amp; TRIM(B107),""high52""),AE107)"),0)</f>
        <v>0</v>
      </c>
      <c r="AG107" s="1">
        <v>0</v>
      </c>
      <c r="AH107" s="1">
        <f ca="1">IFERROR(__xludf.DUMMYFUNCTION("IFERROR(GOOGLEFINANCE(TRIM(F107)&amp;"":"" &amp; TRIM(B107),""low52""),AE107)"),0)</f>
        <v>0</v>
      </c>
      <c r="AI107" s="1">
        <f ca="1">IFERROR(__xludf.DUMMYFUNCTION("IFERROR(GOOGLEFINANCE(B107,""eps""),0)"),10.68)</f>
        <v>10.68</v>
      </c>
      <c r="AJ107" s="1"/>
      <c r="AK107" s="1" t="s">
        <v>392</v>
      </c>
      <c r="AL107" s="1" t="b">
        <f>ISNUMBER(AA107)</f>
        <v>1</v>
      </c>
    </row>
    <row r="108" spans="1:38" ht="15" x14ac:dyDescent="0.25">
      <c r="A108" s="1" t="s">
        <v>393</v>
      </c>
      <c r="B108" s="1" t="s">
        <v>394</v>
      </c>
      <c r="C108" s="1" t="s">
        <v>359</v>
      </c>
      <c r="D108" s="1" t="s">
        <v>359</v>
      </c>
      <c r="E108" s="6">
        <v>6589.48</v>
      </c>
      <c r="F108" s="1" t="s">
        <v>40</v>
      </c>
      <c r="G108" s="6">
        <f ca="1">IFERROR(__xludf.DUMMYFUNCTION("iferror(GOOGLEFINANCE(TRIM(F108)&amp;"":"" &amp; TRIM(B108), ""price""),0
)"),508)</f>
        <v>508</v>
      </c>
      <c r="H108" s="6">
        <v>510.35</v>
      </c>
      <c r="I108" s="6">
        <f t="shared" ca="1" si="0"/>
        <v>508</v>
      </c>
      <c r="J108" s="6">
        <f ca="1">IFERROR(__xludf.DUMMYFUNCTION("IFERROR(GOOGLEFINANCE(B108, ""volume""), 0)"),9640)</f>
        <v>9640</v>
      </c>
      <c r="K108" s="6">
        <v>-0.35</v>
      </c>
      <c r="L108" s="6">
        <f ca="1">IFERROR(__xludf.DUMMYFUNCTION("IFERROR(GOOGLEFINANCE(B108,""changepct""),K108)"),0.47)</f>
        <v>0.47</v>
      </c>
      <c r="M108" s="6">
        <f ca="1">IFERROR(__xludf.DUMMYFUNCTION("IFERROR(GOOGLEFINANCE(B108,""change""),0)"),0.18)</f>
        <v>0.18</v>
      </c>
      <c r="N108" s="6">
        <v>1</v>
      </c>
      <c r="O108" s="7">
        <v>45536</v>
      </c>
      <c r="P108" s="6">
        <v>83.12</v>
      </c>
      <c r="Q108" s="6">
        <v>6559.31</v>
      </c>
      <c r="R108" s="7">
        <v>45536</v>
      </c>
      <c r="S108" s="6">
        <v>2053.56</v>
      </c>
      <c r="T108" s="6">
        <v>95.31</v>
      </c>
      <c r="U108" s="7">
        <v>45536</v>
      </c>
      <c r="V108" s="6">
        <v>69.14</v>
      </c>
      <c r="W108" s="6">
        <f ca="1">IFERROR(__xludf.DUMMYFUNCTION("IFERROR(GOOGLEFINANCE(B108,""pe""),V108)"),69.14)</f>
        <v>69.14</v>
      </c>
      <c r="X108" s="6">
        <v>1.02</v>
      </c>
      <c r="Y108" s="6">
        <v>12.15</v>
      </c>
      <c r="Z108" s="6">
        <v>1</v>
      </c>
      <c r="AA108" s="8">
        <v>45352</v>
      </c>
      <c r="AB108" s="4">
        <v>0.26</v>
      </c>
      <c r="AC108" s="6">
        <v>25.12</v>
      </c>
      <c r="AD108" s="6">
        <v>28.55</v>
      </c>
      <c r="AE108" s="1">
        <v>0</v>
      </c>
      <c r="AF108" s="1">
        <f ca="1">IFERROR(__xludf.DUMMYFUNCTION("IFERROR(GOOGLEFINANCE(TRIM(F108)&amp;"":"" &amp; TRIM(B108),""high52""),AE108)"),598.7)</f>
        <v>598.70000000000005</v>
      </c>
      <c r="AG108" s="1">
        <v>0</v>
      </c>
      <c r="AH108" s="1">
        <f ca="1">IFERROR(__xludf.DUMMYFUNCTION("IFERROR(GOOGLEFINANCE(TRIM(F108)&amp;"":"" &amp; TRIM(B108),""low52""),AE108)"),327.6)</f>
        <v>327.60000000000002</v>
      </c>
      <c r="AI108" s="1">
        <f ca="1">IFERROR(__xludf.DUMMYFUNCTION("IFERROR(GOOGLEFINANCE(B108,""eps""),0)"),0)</f>
        <v>0</v>
      </c>
      <c r="AJ108" s="1"/>
      <c r="AK108" s="1" t="s">
        <v>395</v>
      </c>
      <c r="AL108" s="9">
        <f t="shared" ref="AL108:AL111" si="24">IF(AA108&lt;&gt;AB108,1,0)</f>
        <v>1</v>
      </c>
    </row>
    <row r="109" spans="1:38" ht="15" x14ac:dyDescent="0.25">
      <c r="A109" s="1" t="s">
        <v>396</v>
      </c>
      <c r="B109" s="1" t="s">
        <v>397</v>
      </c>
      <c r="C109" s="1" t="s">
        <v>398</v>
      </c>
      <c r="D109" s="1" t="s">
        <v>398</v>
      </c>
      <c r="E109" s="6">
        <v>1995.75</v>
      </c>
      <c r="F109" s="1" t="s">
        <v>40</v>
      </c>
      <c r="G109" s="6">
        <f ca="1">IFERROR(__xludf.DUMMYFUNCTION("iferror(GOOGLEFINANCE(TRIM(F109)&amp;"":"" &amp; TRIM(B109), ""price""),0
)"),0)</f>
        <v>0</v>
      </c>
      <c r="H109" s="6">
        <v>1143</v>
      </c>
      <c r="I109" s="6">
        <f t="shared" ca="1" si="0"/>
        <v>1143</v>
      </c>
      <c r="J109" s="6">
        <f ca="1">IFERROR(__xludf.DUMMYFUNCTION("IFERROR(GOOGLEFINANCE(B109, ""volume""), 0)"),0)</f>
        <v>0</v>
      </c>
      <c r="K109" s="6">
        <v>-0.41</v>
      </c>
      <c r="L109" s="6">
        <f ca="1">IFERROR(__xludf.DUMMYFUNCTION("IFERROR(GOOGLEFINANCE(B109,""changepct""),K109)"),-0.41)</f>
        <v>-0.41</v>
      </c>
      <c r="M109" s="6">
        <f ca="1">IFERROR(__xludf.DUMMYFUNCTION("IFERROR(GOOGLEFINANCE(B109,""change""),0)"),0)</f>
        <v>0</v>
      </c>
      <c r="N109" s="6">
        <v>2</v>
      </c>
      <c r="O109" s="7">
        <v>45536</v>
      </c>
      <c r="P109" s="6">
        <v>38.549999999999997</v>
      </c>
      <c r="Q109" s="6">
        <v>1989.44</v>
      </c>
      <c r="R109" s="7">
        <v>44896</v>
      </c>
      <c r="S109" s="6">
        <v>741.09</v>
      </c>
      <c r="T109" s="6">
        <v>49.94</v>
      </c>
      <c r="U109" s="7">
        <v>44896</v>
      </c>
      <c r="V109" s="6">
        <v>39.96</v>
      </c>
      <c r="W109" s="6">
        <f ca="1">IFERROR(__xludf.DUMMYFUNCTION("IFERROR(GOOGLEFINANCE(B109,""pe""),V109)"),39.96)</f>
        <v>39.96</v>
      </c>
      <c r="X109" s="6">
        <v>1.86</v>
      </c>
      <c r="Y109" s="9"/>
      <c r="Z109" s="6">
        <v>1</v>
      </c>
      <c r="AA109" s="8">
        <v>45352</v>
      </c>
      <c r="AB109" s="4">
        <v>0.12</v>
      </c>
      <c r="AC109" s="6">
        <v>18.43</v>
      </c>
      <c r="AD109" s="6">
        <v>24.43</v>
      </c>
      <c r="AE109" s="1">
        <v>0</v>
      </c>
      <c r="AF109" s="1">
        <f ca="1">IFERROR(__xludf.DUMMYFUNCTION("IFERROR(GOOGLEFINANCE(TRIM(F109)&amp;"":"" &amp; TRIM(B109),""high52""),AE109)"),0)</f>
        <v>0</v>
      </c>
      <c r="AG109" s="1">
        <v>0</v>
      </c>
      <c r="AH109" s="1">
        <f ca="1">IFERROR(__xludf.DUMMYFUNCTION("IFERROR(GOOGLEFINANCE(TRIM(F109)&amp;"":"" &amp; TRIM(B109),""low52""),AE109)"),0)</f>
        <v>0</v>
      </c>
      <c r="AI109" s="1">
        <f ca="1">IFERROR(__xludf.DUMMYFUNCTION("IFERROR(GOOGLEFINANCE(B109,""eps""),0)"),0)</f>
        <v>0</v>
      </c>
      <c r="AJ109" s="1"/>
      <c r="AK109" s="9"/>
      <c r="AL109" s="9">
        <f t="shared" si="24"/>
        <v>1</v>
      </c>
    </row>
    <row r="110" spans="1:38" ht="15" x14ac:dyDescent="0.25">
      <c r="A110" s="1" t="s">
        <v>399</v>
      </c>
      <c r="B110" s="1" t="s">
        <v>400</v>
      </c>
      <c r="C110" s="1" t="s">
        <v>57</v>
      </c>
      <c r="D110" s="1" t="s">
        <v>57</v>
      </c>
      <c r="E110" s="6">
        <v>115.62</v>
      </c>
      <c r="F110" s="1" t="s">
        <v>40</v>
      </c>
      <c r="G110" s="6">
        <f ca="1">IFERROR(__xludf.DUMMYFUNCTION("iferror(GOOGLEFINANCE(TRIM(F110)&amp;"":"" &amp; TRIM(B110), ""price""),0
)"),9.2)</f>
        <v>9.1999999999999993</v>
      </c>
      <c r="H110" s="6">
        <v>20.2</v>
      </c>
      <c r="I110" s="6">
        <f t="shared" ca="1" si="0"/>
        <v>9.1999999999999993</v>
      </c>
      <c r="J110" s="6">
        <f ca="1">IFERROR(__xludf.DUMMYFUNCTION("IFERROR(GOOGLEFINANCE(B110, ""volume""), 0)"),115092)</f>
        <v>115092</v>
      </c>
      <c r="K110" s="6">
        <v>1.46</v>
      </c>
      <c r="L110" s="6">
        <f ca="1">IFERROR(__xludf.DUMMYFUNCTION("IFERROR(GOOGLEFINANCE(B110,""changepct""),K110)"),-2.75)</f>
        <v>-2.75</v>
      </c>
      <c r="M110" s="6">
        <f ca="1">IFERROR(__xludf.DUMMYFUNCTION("IFERROR(GOOGLEFINANCE(B110,""change""),0)"),-0.26)</f>
        <v>-0.26</v>
      </c>
      <c r="N110" s="6">
        <v>2</v>
      </c>
      <c r="O110" s="7">
        <v>45536</v>
      </c>
      <c r="P110" s="6">
        <v>10.96</v>
      </c>
      <c r="Q110" s="6">
        <v>125.19</v>
      </c>
      <c r="R110" s="7">
        <v>45536</v>
      </c>
      <c r="S110" s="6">
        <v>28.42</v>
      </c>
      <c r="T110" s="6">
        <v>4.33</v>
      </c>
      <c r="U110" s="7">
        <v>45536</v>
      </c>
      <c r="V110" s="6">
        <v>26.7</v>
      </c>
      <c r="W110" s="6">
        <f ca="1">IFERROR(__xludf.DUMMYFUNCTION("IFERROR(GOOGLEFINANCE(B110,""pe""),V110)"),27.46)</f>
        <v>27.46</v>
      </c>
      <c r="X110" s="6">
        <v>0.71</v>
      </c>
      <c r="Y110" s="6">
        <v>1.66</v>
      </c>
      <c r="Z110" s="6">
        <v>2</v>
      </c>
      <c r="AA110" s="8">
        <v>45352</v>
      </c>
      <c r="AB110" s="4">
        <v>0.09</v>
      </c>
      <c r="AC110" s="6">
        <v>12.53</v>
      </c>
      <c r="AD110" s="6">
        <v>13.62</v>
      </c>
      <c r="AE110" s="1">
        <v>0</v>
      </c>
      <c r="AF110" s="1">
        <f ca="1">IFERROR(__xludf.DUMMYFUNCTION("IFERROR(GOOGLEFINANCE(TRIM(F110)&amp;"":"" &amp; TRIM(B110),""high52""),AE110)"),18.95)</f>
        <v>18.95</v>
      </c>
      <c r="AG110" s="1">
        <v>0</v>
      </c>
      <c r="AH110" s="1">
        <f ca="1">IFERROR(__xludf.DUMMYFUNCTION("IFERROR(GOOGLEFINANCE(TRIM(F110)&amp;"":"" &amp; TRIM(B110),""low52""),AE110)"),8.1)</f>
        <v>8.1</v>
      </c>
      <c r="AI110" s="1">
        <f ca="1">IFERROR(__xludf.DUMMYFUNCTION("IFERROR(GOOGLEFINANCE(B110,""eps""),0)"),0.34)</f>
        <v>0.34</v>
      </c>
      <c r="AJ110" s="1"/>
      <c r="AK110" s="1" t="s">
        <v>401</v>
      </c>
      <c r="AL110" s="9">
        <f t="shared" si="24"/>
        <v>1</v>
      </c>
    </row>
    <row r="111" spans="1:38" ht="15" x14ac:dyDescent="0.25">
      <c r="A111" s="1" t="s">
        <v>402</v>
      </c>
      <c r="B111" s="1" t="s">
        <v>403</v>
      </c>
      <c r="C111" s="1" t="s">
        <v>106</v>
      </c>
      <c r="D111" s="1" t="s">
        <v>106</v>
      </c>
      <c r="E111" s="6">
        <v>3962.25</v>
      </c>
      <c r="F111" s="1" t="s">
        <v>40</v>
      </c>
      <c r="G111" s="6">
        <f ca="1">IFERROR(__xludf.DUMMYFUNCTION("iferror(GOOGLEFINANCE(TRIM(F111)&amp;"":"" &amp; TRIM(B111), ""price""),0
)"),266.1)</f>
        <v>266.10000000000002</v>
      </c>
      <c r="H111" s="6">
        <v>356.3</v>
      </c>
      <c r="I111" s="6">
        <f t="shared" ca="1" si="0"/>
        <v>266.10000000000002</v>
      </c>
      <c r="J111" s="6">
        <f ca="1">IFERROR(__xludf.DUMMYFUNCTION("IFERROR(GOOGLEFINANCE(B111, ""volume""), 0)"),210190)</f>
        <v>210190</v>
      </c>
      <c r="K111" s="6">
        <v>0.14000000000000001</v>
      </c>
      <c r="L111" s="6">
        <f ca="1">IFERROR(__xludf.DUMMYFUNCTION("IFERROR(GOOGLEFINANCE(B111,""changepct""),K111)"),-2.17)</f>
        <v>-2.17</v>
      </c>
      <c r="M111" s="6">
        <f ca="1">IFERROR(__xludf.DUMMYFUNCTION("IFERROR(GOOGLEFINANCE(B111,""change""),0)"),-5.9)</f>
        <v>-5.9</v>
      </c>
      <c r="N111" s="6">
        <v>2</v>
      </c>
      <c r="O111" s="7">
        <v>45536</v>
      </c>
      <c r="P111" s="6">
        <v>25.69</v>
      </c>
      <c r="Q111" s="6">
        <v>3876.67</v>
      </c>
      <c r="R111" s="7">
        <v>45536</v>
      </c>
      <c r="S111" s="6">
        <v>619.37</v>
      </c>
      <c r="T111" s="6">
        <v>140.74</v>
      </c>
      <c r="U111" s="7">
        <v>45536</v>
      </c>
      <c r="V111" s="6">
        <v>28.91</v>
      </c>
      <c r="W111" s="6">
        <f ca="1">IFERROR(__xludf.DUMMYFUNCTION("IFERROR(GOOGLEFINANCE(B111,""pe""),V111)"),20.23)</f>
        <v>20.23</v>
      </c>
      <c r="X111" s="6">
        <v>5.37</v>
      </c>
      <c r="Y111" s="6">
        <v>2.95</v>
      </c>
      <c r="Z111" s="6">
        <v>2</v>
      </c>
      <c r="AA111" s="8">
        <v>45352</v>
      </c>
      <c r="AB111" s="4">
        <v>0.02</v>
      </c>
      <c r="AC111" s="6">
        <v>10.72</v>
      </c>
      <c r="AD111" s="6">
        <v>14.78</v>
      </c>
      <c r="AE111" s="1">
        <v>0</v>
      </c>
      <c r="AF111" s="1">
        <f ca="1">IFERROR(__xludf.DUMMYFUNCTION("IFERROR(GOOGLEFINANCE(TRIM(F111)&amp;"":"" &amp; TRIM(B111),""high52""),AE111)"),366.25)</f>
        <v>366.25</v>
      </c>
      <c r="AG111" s="1">
        <v>0</v>
      </c>
      <c r="AH111" s="1">
        <f ca="1">IFERROR(__xludf.DUMMYFUNCTION("IFERROR(GOOGLEFINANCE(TRIM(F111)&amp;"":"" &amp; TRIM(B111),""low52""),AE111)"),257.9)</f>
        <v>257.89999999999998</v>
      </c>
      <c r="AI111" s="1">
        <f ca="1">IFERROR(__xludf.DUMMYFUNCTION("IFERROR(GOOGLEFINANCE(B111,""eps""),0)"),13.16)</f>
        <v>13.16</v>
      </c>
      <c r="AJ111" s="1"/>
      <c r="AK111" s="1" t="s">
        <v>404</v>
      </c>
      <c r="AL111" s="9">
        <f t="shared" si="24"/>
        <v>1</v>
      </c>
    </row>
    <row r="112" spans="1:38" ht="15" x14ac:dyDescent="0.25">
      <c r="A112" s="1" t="s">
        <v>405</v>
      </c>
      <c r="B112" s="1" t="s">
        <v>406</v>
      </c>
      <c r="C112" s="1" t="s">
        <v>355</v>
      </c>
      <c r="D112" s="1" t="s">
        <v>355</v>
      </c>
      <c r="E112" s="6">
        <v>638.92999999999995</v>
      </c>
      <c r="F112" s="1" t="s">
        <v>53</v>
      </c>
      <c r="G112" s="6">
        <f ca="1">IFERROR(__xludf.DUMMYFUNCTION("iferror(GOOGLEFINANCE(TRIM(F112)&amp;"":"" &amp; TRIM(B112), ""price""),0
)"),0)</f>
        <v>0</v>
      </c>
      <c r="H112" s="6">
        <v>101</v>
      </c>
      <c r="I112" s="6">
        <f t="shared" ca="1" si="0"/>
        <v>101</v>
      </c>
      <c r="J112" s="6">
        <f ca="1">IFERROR(__xludf.DUMMYFUNCTION("IFERROR(GOOGLEFINANCE(B112, ""volume""), 0)"),66105)</f>
        <v>66105</v>
      </c>
      <c r="K112" s="6">
        <v>-0.73</v>
      </c>
      <c r="L112" s="6">
        <f ca="1">IFERROR(__xludf.DUMMYFUNCTION("IFERROR(GOOGLEFINANCE(B112,""changepct""),K112)"),2.4)</f>
        <v>2.4</v>
      </c>
      <c r="M112" s="6">
        <f ca="1">IFERROR(__xludf.DUMMYFUNCTION("IFERROR(GOOGLEFINANCE(B112,""change""),0)"),3.4)</f>
        <v>3.4</v>
      </c>
      <c r="N112" s="6">
        <v>1</v>
      </c>
      <c r="O112" s="7">
        <v>45536</v>
      </c>
      <c r="P112" s="6">
        <v>94.52</v>
      </c>
      <c r="Q112" s="6">
        <v>733.15</v>
      </c>
      <c r="R112" s="7">
        <v>45536</v>
      </c>
      <c r="S112" s="6">
        <v>1117.6099999999999</v>
      </c>
      <c r="T112" s="6">
        <v>27.31</v>
      </c>
      <c r="U112" s="7">
        <v>45536</v>
      </c>
      <c r="V112" s="6">
        <v>23.4</v>
      </c>
      <c r="W112" s="6">
        <f ca="1">IFERROR(__xludf.DUMMYFUNCTION("IFERROR(GOOGLEFINANCE(B112,""pe""),V112)"),23.89)</f>
        <v>23.89</v>
      </c>
      <c r="X112" s="6">
        <v>7.36</v>
      </c>
      <c r="Y112" s="6">
        <v>3.52</v>
      </c>
      <c r="Z112" s="6">
        <v>1</v>
      </c>
      <c r="AA112" s="8">
        <v>45352</v>
      </c>
      <c r="AB112" s="4">
        <v>0.53</v>
      </c>
      <c r="AC112" s="6">
        <v>16</v>
      </c>
      <c r="AD112" s="6">
        <v>17.91</v>
      </c>
      <c r="AE112" s="1">
        <v>0</v>
      </c>
      <c r="AF112" s="1">
        <f ca="1">IFERROR(__xludf.DUMMYFUNCTION("IFERROR(GOOGLEFINANCE(TRIM(F112)&amp;"":"" &amp; TRIM(B112),""high52""),AE112)"),0)</f>
        <v>0</v>
      </c>
      <c r="AG112" s="1">
        <v>0</v>
      </c>
      <c r="AH112" s="1">
        <f ca="1">IFERROR(__xludf.DUMMYFUNCTION("IFERROR(GOOGLEFINANCE(TRIM(F112)&amp;"":"" &amp; TRIM(B112),""low52""),AE112)"),0)</f>
        <v>0</v>
      </c>
      <c r="AI112" s="1">
        <f ca="1">IFERROR(__xludf.DUMMYFUNCTION("IFERROR(GOOGLEFINANCE(B112,""eps""),0)"),6.07)</f>
        <v>6.07</v>
      </c>
      <c r="AJ112" s="1"/>
      <c r="AK112" s="1" t="s">
        <v>407</v>
      </c>
      <c r="AL112" s="1" t="b">
        <f>ISNUMBER(AA112)</f>
        <v>1</v>
      </c>
    </row>
    <row r="113" spans="1:38" ht="15" x14ac:dyDescent="0.25">
      <c r="A113" s="1" t="s">
        <v>408</v>
      </c>
      <c r="B113" s="1" t="s">
        <v>409</v>
      </c>
      <c r="C113" s="1" t="s">
        <v>410</v>
      </c>
      <c r="D113" s="1" t="s">
        <v>410</v>
      </c>
      <c r="E113" s="6">
        <v>653.08000000000004</v>
      </c>
      <c r="F113" s="1" t="s">
        <v>40</v>
      </c>
      <c r="G113" s="6">
        <f ca="1">IFERROR(__xludf.DUMMYFUNCTION("iferror(GOOGLEFINANCE(TRIM(F113)&amp;"":"" &amp; TRIM(B113), ""price""),0
)"),54.65)</f>
        <v>54.65</v>
      </c>
      <c r="H113" s="6">
        <v>70.510000000000005</v>
      </c>
      <c r="I113" s="6">
        <f t="shared" ca="1" si="0"/>
        <v>54.65</v>
      </c>
      <c r="J113" s="6">
        <f ca="1">IFERROR(__xludf.DUMMYFUNCTION("IFERROR(GOOGLEFINANCE(B113, ""volume""), 0)"),69090)</f>
        <v>69090</v>
      </c>
      <c r="K113" s="6">
        <v>-0.09</v>
      </c>
      <c r="L113" s="6">
        <f ca="1">IFERROR(__xludf.DUMMYFUNCTION("IFERROR(GOOGLEFINANCE(B113,""changepct""),K113)"),-1.76)</f>
        <v>-1.76</v>
      </c>
      <c r="M113" s="6">
        <f ca="1">IFERROR(__xludf.DUMMYFUNCTION("IFERROR(GOOGLEFINANCE(B113,""change""),0)"),-0.98)</f>
        <v>-0.98</v>
      </c>
      <c r="N113" s="6">
        <v>1</v>
      </c>
      <c r="O113" s="7">
        <v>45536</v>
      </c>
      <c r="P113" s="6">
        <v>0.64</v>
      </c>
      <c r="Q113" s="6">
        <v>625.11</v>
      </c>
      <c r="R113" s="7">
        <v>45536</v>
      </c>
      <c r="S113" s="6">
        <v>103.62</v>
      </c>
      <c r="T113" s="6">
        <v>22.95</v>
      </c>
      <c r="U113" s="7">
        <v>45536</v>
      </c>
      <c r="V113" s="6">
        <v>28.46</v>
      </c>
      <c r="W113" s="6">
        <f ca="1">IFERROR(__xludf.DUMMYFUNCTION("IFERROR(GOOGLEFINANCE(B113,""pe""),V113)"),21.45)</f>
        <v>21.45</v>
      </c>
      <c r="X113" s="6">
        <v>1.67</v>
      </c>
      <c r="Y113" s="6">
        <v>9.68</v>
      </c>
      <c r="Z113" s="6">
        <v>1</v>
      </c>
      <c r="AA113" s="8">
        <v>45352</v>
      </c>
      <c r="AB113" s="4">
        <v>0.01</v>
      </c>
      <c r="AC113" s="6">
        <v>37.08</v>
      </c>
      <c r="AD113" s="6">
        <v>49.31</v>
      </c>
      <c r="AE113" s="1">
        <v>0</v>
      </c>
      <c r="AF113" s="1">
        <f ca="1">IFERROR(__xludf.DUMMYFUNCTION("IFERROR(GOOGLEFINANCE(TRIM(F113)&amp;"":"" &amp; TRIM(B113),""high52""),AE113)"),68.39)</f>
        <v>68.39</v>
      </c>
      <c r="AG113" s="1">
        <v>0</v>
      </c>
      <c r="AH113" s="1">
        <f ca="1">IFERROR(__xludf.DUMMYFUNCTION("IFERROR(GOOGLEFINANCE(TRIM(F113)&amp;"":"" &amp; TRIM(B113),""low52""),AE113)"),52.29)</f>
        <v>52.29</v>
      </c>
      <c r="AI113" s="1">
        <f ca="1">IFERROR(__xludf.DUMMYFUNCTION("IFERROR(GOOGLEFINANCE(B113,""eps""),0)"),2.55)</f>
        <v>2.5499999999999998</v>
      </c>
      <c r="AJ113" s="1"/>
      <c r="AK113" s="9"/>
      <c r="AL113" s="9">
        <f t="shared" ref="AL113:AL115" si="25">IF(AA113&lt;&gt;AB113,1,0)</f>
        <v>1</v>
      </c>
    </row>
    <row r="114" spans="1:38" ht="15" x14ac:dyDescent="0.25">
      <c r="A114" s="1" t="s">
        <v>411</v>
      </c>
      <c r="B114" s="1" t="s">
        <v>412</v>
      </c>
      <c r="C114" s="1" t="s">
        <v>259</v>
      </c>
      <c r="D114" s="1" t="s">
        <v>259</v>
      </c>
      <c r="E114" s="6">
        <v>28797.79</v>
      </c>
      <c r="F114" s="1" t="s">
        <v>40</v>
      </c>
      <c r="G114" s="6">
        <f ca="1">IFERROR(__xludf.DUMMYFUNCTION("iferror(GOOGLEFINANCE(TRIM(F114)&amp;"":"" &amp; TRIM(B114), ""price""),0
)"),702.5)</f>
        <v>702.5</v>
      </c>
      <c r="H114" s="6">
        <v>821.75</v>
      </c>
      <c r="I114" s="6">
        <f t="shared" ca="1" si="0"/>
        <v>702.5</v>
      </c>
      <c r="J114" s="6">
        <f ca="1">IFERROR(__xludf.DUMMYFUNCTION("IFERROR(GOOGLEFINANCE(B114, ""volume""), 0)"),318363)</f>
        <v>318363</v>
      </c>
      <c r="K114" s="6">
        <v>0.17</v>
      </c>
      <c r="L114" s="6">
        <f ca="1">IFERROR(__xludf.DUMMYFUNCTION("IFERROR(GOOGLEFINANCE(B114,""changepct""),K114)"),0.53)</f>
        <v>0.53</v>
      </c>
      <c r="M114" s="6">
        <f ca="1">IFERROR(__xludf.DUMMYFUNCTION("IFERROR(GOOGLEFINANCE(B114,""change""),0)"),3.7)</f>
        <v>3.7</v>
      </c>
      <c r="N114" s="6">
        <v>2</v>
      </c>
      <c r="O114" s="7">
        <v>45536</v>
      </c>
      <c r="P114" s="6">
        <v>2765.99</v>
      </c>
      <c r="Q114" s="6">
        <v>28905.439999999999</v>
      </c>
      <c r="R114" s="7">
        <v>45536</v>
      </c>
      <c r="S114" s="6">
        <v>7062.29</v>
      </c>
      <c r="T114" s="6">
        <v>699.59</v>
      </c>
      <c r="U114" s="7">
        <v>45536</v>
      </c>
      <c r="V114" s="6">
        <v>49.32</v>
      </c>
      <c r="W114" s="6">
        <f ca="1">IFERROR(__xludf.DUMMYFUNCTION("IFERROR(GOOGLEFINANCE(B114,""pe""),V114)"),49.32)</f>
        <v>49.32</v>
      </c>
      <c r="X114" s="6">
        <v>2.37</v>
      </c>
      <c r="Y114" s="6">
        <v>6.99</v>
      </c>
      <c r="Z114" s="6">
        <v>2</v>
      </c>
      <c r="AA114" s="8">
        <v>45352</v>
      </c>
      <c r="AB114" s="4">
        <v>0.43</v>
      </c>
      <c r="AC114" s="6">
        <v>18.100000000000001</v>
      </c>
      <c r="AD114" s="6">
        <v>19.38</v>
      </c>
      <c r="AE114" s="1">
        <v>0</v>
      </c>
      <c r="AF114" s="1">
        <f ca="1">IFERROR(__xludf.DUMMYFUNCTION("IFERROR(GOOGLEFINANCE(TRIM(F114)&amp;"":"" &amp; TRIM(B114),""high52""),AE114)"),946.5)</f>
        <v>946.5</v>
      </c>
      <c r="AG114" s="1">
        <v>0</v>
      </c>
      <c r="AH114" s="1">
        <f ca="1">IFERROR(__xludf.DUMMYFUNCTION("IFERROR(GOOGLEFINANCE(TRIM(F114)&amp;"":"" &amp; TRIM(B114),""low52""),AE114)"),639.1)</f>
        <v>639.1</v>
      </c>
      <c r="AI114" s="1">
        <f ca="1">IFERROR(__xludf.DUMMYFUNCTION("IFERROR(GOOGLEFINANCE(B114,""eps""),0)"),0)</f>
        <v>0</v>
      </c>
      <c r="AJ114" s="1"/>
      <c r="AK114" s="1" t="s">
        <v>413</v>
      </c>
      <c r="AL114" s="9">
        <f t="shared" si="25"/>
        <v>1</v>
      </c>
    </row>
    <row r="115" spans="1:38" ht="15" x14ac:dyDescent="0.25">
      <c r="A115" s="1" t="s">
        <v>414</v>
      </c>
      <c r="B115" s="1" t="s">
        <v>415</v>
      </c>
      <c r="C115" s="1" t="s">
        <v>416</v>
      </c>
      <c r="D115" s="1" t="s">
        <v>416</v>
      </c>
      <c r="E115" s="6">
        <v>2747.41</v>
      </c>
      <c r="F115" s="1" t="s">
        <v>40</v>
      </c>
      <c r="G115" s="6">
        <f ca="1">IFERROR(__xludf.DUMMYFUNCTION("iferror(GOOGLEFINANCE(TRIM(F115)&amp;"":"" &amp; TRIM(B115), ""price""),0
)"),173.35)</f>
        <v>173.35</v>
      </c>
      <c r="H115" s="6">
        <v>211.4</v>
      </c>
      <c r="I115" s="6">
        <f t="shared" ca="1" si="0"/>
        <v>173.35</v>
      </c>
      <c r="J115" s="6">
        <f ca="1">IFERROR(__xludf.DUMMYFUNCTION("IFERROR(GOOGLEFINANCE(B115, ""volume""), 0)"),837831)</f>
        <v>837831</v>
      </c>
      <c r="K115" s="6">
        <v>-0.52</v>
      </c>
      <c r="L115" s="6">
        <f ca="1">IFERROR(__xludf.DUMMYFUNCTION("IFERROR(GOOGLEFINANCE(B115,""changepct""),K115)"),-1.6)</f>
        <v>-1.6</v>
      </c>
      <c r="M115" s="6">
        <f ca="1">IFERROR(__xludf.DUMMYFUNCTION("IFERROR(GOOGLEFINANCE(B115,""change""),0)"),-2.81)</f>
        <v>-2.81</v>
      </c>
      <c r="N115" s="6">
        <v>2</v>
      </c>
      <c r="O115" s="7">
        <v>45536</v>
      </c>
      <c r="P115" s="6">
        <v>0.74</v>
      </c>
      <c r="Q115" s="6">
        <v>2688.24</v>
      </c>
      <c r="R115" s="7">
        <v>45536</v>
      </c>
      <c r="S115" s="6">
        <v>335.64</v>
      </c>
      <c r="T115" s="6">
        <v>45.14</v>
      </c>
      <c r="U115" s="7">
        <v>45536</v>
      </c>
      <c r="V115" s="6">
        <v>60.87</v>
      </c>
      <c r="W115" s="6">
        <f ca="1">IFERROR(__xludf.DUMMYFUNCTION("IFERROR(GOOGLEFINANCE(B115,""pe""),V115)"),45.62)</f>
        <v>45.62</v>
      </c>
      <c r="X115" s="12"/>
      <c r="Y115" s="6">
        <v>8.69</v>
      </c>
      <c r="Z115" s="6">
        <v>2</v>
      </c>
      <c r="AA115" s="8">
        <v>45352</v>
      </c>
      <c r="AB115" s="4">
        <v>0</v>
      </c>
      <c r="AC115" s="6">
        <v>20.51</v>
      </c>
      <c r="AD115" s="6">
        <v>26.5</v>
      </c>
      <c r="AE115" s="1">
        <v>0</v>
      </c>
      <c r="AF115" s="1">
        <f ca="1">IFERROR(__xludf.DUMMYFUNCTION("IFERROR(GOOGLEFINANCE(TRIM(F115)&amp;"":"" &amp; TRIM(B115),""high52""),AE115)"),272)</f>
        <v>272</v>
      </c>
      <c r="AG115" s="1">
        <v>0</v>
      </c>
      <c r="AH115" s="1">
        <f ca="1">IFERROR(__xludf.DUMMYFUNCTION("IFERROR(GOOGLEFINANCE(TRIM(F115)&amp;"":"" &amp; TRIM(B115),""low52""),AE115)"),148.01)</f>
        <v>148.01</v>
      </c>
      <c r="AI115" s="1">
        <f ca="1">IFERROR(__xludf.DUMMYFUNCTION("IFERROR(GOOGLEFINANCE(B115,""eps""),0)"),3.8)</f>
        <v>3.8</v>
      </c>
      <c r="AJ115" s="1"/>
      <c r="AK115" s="1" t="s">
        <v>417</v>
      </c>
      <c r="AL115" s="9">
        <f t="shared" si="25"/>
        <v>1</v>
      </c>
    </row>
    <row r="116" spans="1:38" ht="15" x14ac:dyDescent="0.25">
      <c r="A116" s="1" t="s">
        <v>418</v>
      </c>
      <c r="B116" s="1" t="s">
        <v>419</v>
      </c>
      <c r="C116" s="1" t="s">
        <v>355</v>
      </c>
      <c r="D116" s="1" t="s">
        <v>355</v>
      </c>
      <c r="E116" s="6">
        <v>1212.68</v>
      </c>
      <c r="F116" s="1" t="s">
        <v>53</v>
      </c>
      <c r="G116" s="6">
        <f ca="1">IFERROR(__xludf.DUMMYFUNCTION("iferror(GOOGLEFINANCE(TRIM(F116)&amp;"":"" &amp; TRIM(B116), ""price""),0
)"),0)</f>
        <v>0</v>
      </c>
      <c r="H116" s="6">
        <v>677</v>
      </c>
      <c r="I116" s="6">
        <f t="shared" ca="1" si="0"/>
        <v>677</v>
      </c>
      <c r="J116" s="6">
        <f ca="1">IFERROR(__xludf.DUMMYFUNCTION("IFERROR(GOOGLEFINANCE(B116, ""volume""), 0)"),0)</f>
        <v>0</v>
      </c>
      <c r="K116" s="9"/>
      <c r="L116" s="6" t="str">
        <f ca="1">IFERROR(__xludf.DUMMYFUNCTION("IFERROR(GOOGLEFINANCE(B116,""changepct""),K116)"),"")</f>
        <v/>
      </c>
      <c r="M116" s="6">
        <f ca="1">IFERROR(__xludf.DUMMYFUNCTION("IFERROR(GOOGLEFINANCE(B116,""change""),0)"),0)</f>
        <v>0</v>
      </c>
      <c r="N116" s="6">
        <v>1</v>
      </c>
      <c r="O116" s="7">
        <v>45444</v>
      </c>
      <c r="P116" s="6">
        <v>191.37</v>
      </c>
      <c r="Q116" s="6">
        <v>1363.72</v>
      </c>
      <c r="R116" s="7">
        <v>45536</v>
      </c>
      <c r="S116" s="6">
        <v>859.82</v>
      </c>
      <c r="T116" s="6">
        <v>7.73</v>
      </c>
      <c r="U116" s="7">
        <v>45536</v>
      </c>
      <c r="V116" s="6">
        <v>156.84</v>
      </c>
      <c r="W116" s="6">
        <f ca="1">IFERROR(__xludf.DUMMYFUNCTION("IFERROR(GOOGLEFINANCE(B116,""pe""),V116)"),156.84)</f>
        <v>156.84</v>
      </c>
      <c r="X116" s="6">
        <v>19.95</v>
      </c>
      <c r="Y116" s="6">
        <v>5.08</v>
      </c>
      <c r="Z116" s="6">
        <v>1</v>
      </c>
      <c r="AA116" s="8">
        <v>45261</v>
      </c>
      <c r="AB116" s="4">
        <v>0.71</v>
      </c>
      <c r="AC116" s="6">
        <v>5.15</v>
      </c>
      <c r="AD116" s="6">
        <v>7.01</v>
      </c>
      <c r="AE116" s="1">
        <v>0</v>
      </c>
      <c r="AF116" s="1">
        <f ca="1">IFERROR(__xludf.DUMMYFUNCTION("IFERROR(GOOGLEFINANCE(TRIM(F116)&amp;"":"" &amp; TRIM(B116),""high52""),AE116)"),0)</f>
        <v>0</v>
      </c>
      <c r="AG116" s="1">
        <v>0</v>
      </c>
      <c r="AH116" s="1">
        <f ca="1">IFERROR(__xludf.DUMMYFUNCTION("IFERROR(GOOGLEFINANCE(TRIM(F116)&amp;"":"" &amp; TRIM(B116),""low52""),AE116)"),0)</f>
        <v>0</v>
      </c>
      <c r="AI116" s="1">
        <f ca="1">IFERROR(__xludf.DUMMYFUNCTION("IFERROR(GOOGLEFINANCE(B116,""eps""),0)"),0)</f>
        <v>0</v>
      </c>
      <c r="AJ116" s="1"/>
      <c r="AK116" s="1" t="s">
        <v>420</v>
      </c>
      <c r="AL116" s="1" t="b">
        <f t="shared" ref="AL116:AL117" si="26">ISNUMBER(AA116)</f>
        <v>1</v>
      </c>
    </row>
    <row r="117" spans="1:38" ht="15" x14ac:dyDescent="0.25">
      <c r="A117" s="1" t="s">
        <v>421</v>
      </c>
      <c r="B117" s="1" t="s">
        <v>422</v>
      </c>
      <c r="C117" s="1" t="s">
        <v>355</v>
      </c>
      <c r="D117" s="1" t="s">
        <v>355</v>
      </c>
      <c r="E117" s="6">
        <v>2083.1799999999998</v>
      </c>
      <c r="F117" s="1" t="s">
        <v>53</v>
      </c>
      <c r="G117" s="6">
        <f ca="1">IFERROR(__xludf.DUMMYFUNCTION("iferror(GOOGLEFINANCE(TRIM(F117)&amp;"":"" &amp; TRIM(B117), ""price""),0
)"),0)</f>
        <v>0</v>
      </c>
      <c r="H117" s="6">
        <v>104.55</v>
      </c>
      <c r="I117" s="6">
        <f t="shared" ca="1" si="0"/>
        <v>104.55</v>
      </c>
      <c r="J117" s="6">
        <f ca="1">IFERROR(__xludf.DUMMYFUNCTION("IFERROR(GOOGLEFINANCE(B117, ""volume""), 0)"),0)</f>
        <v>0</v>
      </c>
      <c r="K117" s="6">
        <v>-5</v>
      </c>
      <c r="L117" s="6">
        <f ca="1">IFERROR(__xludf.DUMMYFUNCTION("IFERROR(GOOGLEFINANCE(B117,""changepct""),K117)"),-5)</f>
        <v>-5</v>
      </c>
      <c r="M117" s="6">
        <f ca="1">IFERROR(__xludf.DUMMYFUNCTION("IFERROR(GOOGLEFINANCE(B117,""change""),0)"),0)</f>
        <v>0</v>
      </c>
      <c r="N117" s="6">
        <v>1</v>
      </c>
      <c r="O117" s="7">
        <v>45536</v>
      </c>
      <c r="P117" s="6">
        <v>14.02</v>
      </c>
      <c r="Q117" s="6">
        <v>2097.1999999999998</v>
      </c>
      <c r="R117" s="7">
        <v>45536</v>
      </c>
      <c r="S117" s="6">
        <v>36.76</v>
      </c>
      <c r="T117" s="6">
        <v>1.21</v>
      </c>
      <c r="U117" s="7">
        <v>45536</v>
      </c>
      <c r="V117" s="6">
        <v>0</v>
      </c>
      <c r="W117" s="6">
        <f ca="1">IFERROR(__xludf.DUMMYFUNCTION("IFERROR(GOOGLEFINANCE(B117,""pe""),V117)"),0)</f>
        <v>0</v>
      </c>
      <c r="X117" s="6">
        <v>0</v>
      </c>
      <c r="Y117" s="6">
        <v>2.62</v>
      </c>
      <c r="Z117" s="6">
        <v>1</v>
      </c>
      <c r="AA117" s="8">
        <v>45352</v>
      </c>
      <c r="AB117" s="4">
        <v>0</v>
      </c>
      <c r="AC117" s="6">
        <v>5.34</v>
      </c>
      <c r="AD117" s="6">
        <v>6.89</v>
      </c>
      <c r="AE117" s="1">
        <v>0</v>
      </c>
      <c r="AF117" s="1">
        <f ca="1">IFERROR(__xludf.DUMMYFUNCTION("IFERROR(GOOGLEFINANCE(TRIM(F117)&amp;"":"" &amp; TRIM(B117),""high52""),AE117)"),0)</f>
        <v>0</v>
      </c>
      <c r="AG117" s="1">
        <v>0</v>
      </c>
      <c r="AH117" s="1">
        <f ca="1">IFERROR(__xludf.DUMMYFUNCTION("IFERROR(GOOGLEFINANCE(TRIM(F117)&amp;"":"" &amp; TRIM(B117),""low52""),AE117)"),0)</f>
        <v>0</v>
      </c>
      <c r="AI117" s="1">
        <f ca="1">IFERROR(__xludf.DUMMYFUNCTION("IFERROR(GOOGLEFINANCE(B117,""eps""),0)"),0)</f>
        <v>0</v>
      </c>
      <c r="AJ117" s="1"/>
      <c r="AK117" s="1" t="s">
        <v>423</v>
      </c>
      <c r="AL117" s="1" t="b">
        <f t="shared" si="26"/>
        <v>1</v>
      </c>
    </row>
    <row r="118" spans="1:38" ht="15" x14ac:dyDescent="0.25">
      <c r="A118" s="1" t="s">
        <v>424</v>
      </c>
      <c r="B118" s="1" t="s">
        <v>425</v>
      </c>
      <c r="C118" s="1" t="s">
        <v>82</v>
      </c>
      <c r="D118" s="1" t="s">
        <v>82</v>
      </c>
      <c r="E118" s="6">
        <v>308.83</v>
      </c>
      <c r="F118" s="1" t="s">
        <v>40</v>
      </c>
      <c r="G118" s="6">
        <f ca="1">IFERROR(__xludf.DUMMYFUNCTION("iferror(GOOGLEFINANCE(TRIM(F118)&amp;"":"" &amp; TRIM(B118), ""price""),0
)"),0)</f>
        <v>0</v>
      </c>
      <c r="H118" s="6">
        <v>179.75</v>
      </c>
      <c r="I118" s="6">
        <f t="shared" ca="1" si="0"/>
        <v>179.75</v>
      </c>
      <c r="J118" s="6">
        <f ca="1">IFERROR(__xludf.DUMMYFUNCTION("IFERROR(GOOGLEFINANCE(B118, ""volume""), 0)"),0)</f>
        <v>0</v>
      </c>
      <c r="K118" s="6">
        <v>-0.94</v>
      </c>
      <c r="L118" s="6">
        <f ca="1">IFERROR(__xludf.DUMMYFUNCTION("IFERROR(GOOGLEFINANCE(B118,""changepct""),K118)"),-0.94)</f>
        <v>-0.94</v>
      </c>
      <c r="M118" s="6">
        <f ca="1">IFERROR(__xludf.DUMMYFUNCTION("IFERROR(GOOGLEFINANCE(B118,""change""),0)"),0)</f>
        <v>0</v>
      </c>
      <c r="N118" s="6">
        <v>1</v>
      </c>
      <c r="O118" s="7">
        <v>45536</v>
      </c>
      <c r="P118" s="6">
        <v>33.5</v>
      </c>
      <c r="Q118" s="6">
        <v>342.33</v>
      </c>
      <c r="R118" s="7">
        <v>45352</v>
      </c>
      <c r="S118" s="6">
        <v>199.73</v>
      </c>
      <c r="T118" s="6">
        <v>10.11</v>
      </c>
      <c r="U118" s="7">
        <v>45352</v>
      </c>
      <c r="V118" s="6">
        <v>30.55</v>
      </c>
      <c r="W118" s="6">
        <f ca="1">IFERROR(__xludf.DUMMYFUNCTION("IFERROR(GOOGLEFINANCE(B118,""pe""),V118)"),30.55)</f>
        <v>30.55</v>
      </c>
      <c r="X118" s="9"/>
      <c r="Y118" s="6">
        <v>3.01</v>
      </c>
      <c r="Z118" s="6">
        <v>1</v>
      </c>
      <c r="AA118" s="8">
        <v>45352</v>
      </c>
      <c r="AB118" s="4">
        <v>0.33</v>
      </c>
      <c r="AC118" s="6">
        <v>33.200000000000003</v>
      </c>
      <c r="AD118" s="6">
        <v>36.450000000000003</v>
      </c>
      <c r="AE118" s="1">
        <v>0</v>
      </c>
      <c r="AF118" s="1">
        <f ca="1">IFERROR(__xludf.DUMMYFUNCTION("IFERROR(GOOGLEFINANCE(TRIM(F118)&amp;"":"" &amp; TRIM(B118),""high52""),AE118)"),0)</f>
        <v>0</v>
      </c>
      <c r="AG118" s="1">
        <v>0</v>
      </c>
      <c r="AH118" s="1">
        <f ca="1">IFERROR(__xludf.DUMMYFUNCTION("IFERROR(GOOGLEFINANCE(TRIM(F118)&amp;"":"" &amp; TRIM(B118),""low52""),AE118)"),0)</f>
        <v>0</v>
      </c>
      <c r="AI118" s="1">
        <f ca="1">IFERROR(__xludf.DUMMYFUNCTION("IFERROR(GOOGLEFINANCE(B118,""eps""),0)"),0)</f>
        <v>0</v>
      </c>
      <c r="AJ118" s="1"/>
      <c r="AK118" s="1" t="s">
        <v>426</v>
      </c>
      <c r="AL118" s="9">
        <f t="shared" ref="AL118:AL119" si="27">IF(AA118&lt;&gt;AB118,1,0)</f>
        <v>1</v>
      </c>
    </row>
    <row r="119" spans="1:38" ht="15" x14ac:dyDescent="0.25">
      <c r="A119" s="1" t="s">
        <v>427</v>
      </c>
      <c r="B119" s="1" t="s">
        <v>428</v>
      </c>
      <c r="C119" s="1" t="s">
        <v>112</v>
      </c>
      <c r="D119" s="1" t="s">
        <v>112</v>
      </c>
      <c r="E119" s="6">
        <v>118.82</v>
      </c>
      <c r="F119" s="1" t="s">
        <v>40</v>
      </c>
      <c r="G119" s="6">
        <f ca="1">IFERROR(__xludf.DUMMYFUNCTION("iferror(GOOGLEFINANCE(TRIM(F119)&amp;"":"" &amp; TRIM(B119), ""price""),0
)"),0)</f>
        <v>0</v>
      </c>
      <c r="H119" s="6">
        <v>70</v>
      </c>
      <c r="I119" s="6">
        <f t="shared" ca="1" si="0"/>
        <v>70</v>
      </c>
      <c r="J119" s="6">
        <f ca="1">IFERROR(__xludf.DUMMYFUNCTION("IFERROR(GOOGLEFINANCE(B119, ""volume""), 0)"),0)</f>
        <v>0</v>
      </c>
      <c r="K119" s="6">
        <v>1.45</v>
      </c>
      <c r="L119" s="6">
        <f ca="1">IFERROR(__xludf.DUMMYFUNCTION("IFERROR(GOOGLEFINANCE(B119,""changepct""),K119)"),1.45)</f>
        <v>1.45</v>
      </c>
      <c r="M119" s="6">
        <f ca="1">IFERROR(__xludf.DUMMYFUNCTION("IFERROR(GOOGLEFINANCE(B119,""change""),0)"),0)</f>
        <v>0</v>
      </c>
      <c r="N119" s="6">
        <v>1</v>
      </c>
      <c r="O119" s="7">
        <v>45536</v>
      </c>
      <c r="P119" s="6">
        <v>4.5999999999999996</v>
      </c>
      <c r="Q119" s="6">
        <v>123.42</v>
      </c>
      <c r="R119" s="12"/>
      <c r="S119" s="12"/>
      <c r="T119" s="12"/>
      <c r="U119" s="7">
        <v>45352</v>
      </c>
      <c r="V119" s="6">
        <v>23.62</v>
      </c>
      <c r="W119" s="6">
        <f ca="1">IFERROR(__xludf.DUMMYFUNCTION("IFERROR(GOOGLEFINANCE(B119,""pe""),V119)"),23.62)</f>
        <v>23.62</v>
      </c>
      <c r="X119" s="12"/>
      <c r="Y119" s="6">
        <v>2.86</v>
      </c>
      <c r="Z119" s="6">
        <v>2</v>
      </c>
      <c r="AA119" s="8">
        <v>45352</v>
      </c>
      <c r="AB119" s="4">
        <v>0.56999999999999995</v>
      </c>
      <c r="AC119" s="6">
        <v>40.79</v>
      </c>
      <c r="AD119" s="6">
        <v>37.270000000000003</v>
      </c>
      <c r="AE119" s="1">
        <v>0</v>
      </c>
      <c r="AF119" s="1">
        <f ca="1">IFERROR(__xludf.DUMMYFUNCTION("IFERROR(GOOGLEFINANCE(TRIM(F119)&amp;"":"" &amp; TRIM(B119),""high52""),AE119)"),0)</f>
        <v>0</v>
      </c>
      <c r="AG119" s="1">
        <v>0</v>
      </c>
      <c r="AH119" s="1">
        <f ca="1">IFERROR(__xludf.DUMMYFUNCTION("IFERROR(GOOGLEFINANCE(TRIM(F119)&amp;"":"" &amp; TRIM(B119),""low52""),AE119)"),0)</f>
        <v>0</v>
      </c>
      <c r="AI119" s="1">
        <f ca="1">IFERROR(__xludf.DUMMYFUNCTION("IFERROR(GOOGLEFINANCE(B119,""eps""),0)"),0)</f>
        <v>0</v>
      </c>
      <c r="AJ119" s="1"/>
      <c r="AK119" s="1" t="s">
        <v>429</v>
      </c>
      <c r="AL119" s="9">
        <f t="shared" si="27"/>
        <v>1</v>
      </c>
    </row>
    <row r="120" spans="1:38" ht="15" x14ac:dyDescent="0.25">
      <c r="A120" s="1" t="s">
        <v>430</v>
      </c>
      <c r="B120" s="1" t="s">
        <v>431</v>
      </c>
      <c r="C120" s="1" t="s">
        <v>135</v>
      </c>
      <c r="D120" s="1" t="s">
        <v>135</v>
      </c>
      <c r="E120" s="6">
        <v>11780</v>
      </c>
      <c r="F120" s="1" t="s">
        <v>40</v>
      </c>
      <c r="G120" s="6">
        <f ca="1">IFERROR(__xludf.DUMMYFUNCTION("iferror(GOOGLEFINANCE(TRIM(F120)&amp;"":"" &amp; TRIM(B120), ""price""),0
)"),1039)</f>
        <v>1039</v>
      </c>
      <c r="H120" s="6">
        <v>895.9</v>
      </c>
      <c r="I120" s="6">
        <f t="shared" ca="1" si="0"/>
        <v>1039</v>
      </c>
      <c r="J120" s="6">
        <f ca="1">IFERROR(__xludf.DUMMYFUNCTION("IFERROR(GOOGLEFINANCE(B120, ""volume""), 0)"),780193)</f>
        <v>780193</v>
      </c>
      <c r="K120" s="6">
        <v>0.8</v>
      </c>
      <c r="L120" s="6">
        <f ca="1">IFERROR(__xludf.DUMMYFUNCTION("IFERROR(GOOGLEFINANCE(B120,""changepct""),K120)"),3.33)</f>
        <v>3.33</v>
      </c>
      <c r="M120" s="6">
        <f ca="1">IFERROR(__xludf.DUMMYFUNCTION("IFERROR(GOOGLEFINANCE(B120,""change""),0)"),33.5)</f>
        <v>33.5</v>
      </c>
      <c r="N120" s="6">
        <v>2</v>
      </c>
      <c r="O120" s="7">
        <v>45536</v>
      </c>
      <c r="P120" s="6">
        <v>202.21</v>
      </c>
      <c r="Q120" s="6">
        <v>11474.15</v>
      </c>
      <c r="R120" s="7">
        <v>45536</v>
      </c>
      <c r="S120" s="6">
        <v>651.71</v>
      </c>
      <c r="T120" s="6">
        <v>80.73</v>
      </c>
      <c r="U120" s="7">
        <v>45536</v>
      </c>
      <c r="V120" s="6">
        <v>145.91999999999999</v>
      </c>
      <c r="W120" s="6">
        <f ca="1">IFERROR(__xludf.DUMMYFUNCTION("IFERROR(GOOGLEFINANCE(B120,""pe""),V120)"),70.75)</f>
        <v>70.75</v>
      </c>
      <c r="X120" s="9"/>
      <c r="Y120" s="6">
        <v>5.53</v>
      </c>
      <c r="Z120" s="6">
        <v>2</v>
      </c>
      <c r="AA120" s="8">
        <v>45352</v>
      </c>
      <c r="AB120" s="4">
        <v>0.08</v>
      </c>
      <c r="AC120" s="6">
        <v>5</v>
      </c>
      <c r="AD120" s="6">
        <v>6.79</v>
      </c>
      <c r="AE120" s="1">
        <v>0</v>
      </c>
      <c r="AF120" s="1">
        <f ca="1">IFERROR(__xludf.DUMMYFUNCTION("IFERROR(GOOGLEFINANCE(TRIM(F120)&amp;"":"" &amp; TRIM(B120),""high52""),AE120)"),1049.5)</f>
        <v>1049.5</v>
      </c>
      <c r="AG120" s="1">
        <v>0</v>
      </c>
      <c r="AH120" s="1">
        <f ca="1">IFERROR(__xludf.DUMMYFUNCTION("IFERROR(GOOGLEFINANCE(TRIM(F120)&amp;"":"" &amp; TRIM(B120),""low52""),AE120)"),725)</f>
        <v>725</v>
      </c>
      <c r="AI120" s="1">
        <f ca="1">IFERROR(__xludf.DUMMYFUNCTION("IFERROR(GOOGLEFINANCE(B120,""eps""),0)"),14.69)</f>
        <v>14.69</v>
      </c>
      <c r="AJ120" s="1"/>
      <c r="AK120" s="1" t="s">
        <v>432</v>
      </c>
      <c r="AL120" s="1" t="b">
        <f>ISNUMBER(AA120)</f>
        <v>1</v>
      </c>
    </row>
    <row r="121" spans="1:38" ht="15" x14ac:dyDescent="0.25">
      <c r="A121" s="1" t="s">
        <v>433</v>
      </c>
      <c r="B121" s="1" t="s">
        <v>434</v>
      </c>
      <c r="C121" s="1" t="s">
        <v>86</v>
      </c>
      <c r="D121" s="1" t="s">
        <v>86</v>
      </c>
      <c r="E121" s="6">
        <v>19676.48</v>
      </c>
      <c r="F121" s="1" t="s">
        <v>40</v>
      </c>
      <c r="G121" s="6">
        <f ca="1">IFERROR(__xludf.DUMMYFUNCTION("iferror(GOOGLEFINANCE(TRIM(F121)&amp;"":"" &amp; TRIM(B121), ""price""),0
)"),334.9)</f>
        <v>334.9</v>
      </c>
      <c r="H121" s="6">
        <v>543.5</v>
      </c>
      <c r="I121" s="6">
        <f t="shared" ca="1" si="0"/>
        <v>334.9</v>
      </c>
      <c r="J121" s="6">
        <f ca="1">IFERROR(__xludf.DUMMYFUNCTION("IFERROR(GOOGLEFINANCE(B121, ""volume""), 0)"),233284)</f>
        <v>233284</v>
      </c>
      <c r="K121" s="6">
        <v>1.66</v>
      </c>
      <c r="L121" s="6">
        <f ca="1">IFERROR(__xludf.DUMMYFUNCTION("IFERROR(GOOGLEFINANCE(B121,""changepct""),K121)"),0.51)</f>
        <v>0.51</v>
      </c>
      <c r="M121" s="6">
        <f ca="1">IFERROR(__xludf.DUMMYFUNCTION("IFERROR(GOOGLEFINANCE(B121,""change""),0)"),1.7)</f>
        <v>1.7</v>
      </c>
      <c r="N121" s="6">
        <v>2</v>
      </c>
      <c r="O121" s="7">
        <v>45536</v>
      </c>
      <c r="P121" s="6">
        <v>3402.21</v>
      </c>
      <c r="Q121" s="6">
        <v>22316.53</v>
      </c>
      <c r="R121" s="14"/>
      <c r="S121" s="9"/>
      <c r="T121" s="9"/>
      <c r="U121" s="7">
        <v>45352</v>
      </c>
      <c r="V121" s="6">
        <v>43.75</v>
      </c>
      <c r="W121" s="6">
        <f ca="1">IFERROR(__xludf.DUMMYFUNCTION("IFERROR(GOOGLEFINANCE(B121,""pe""),V121)"),24.52)</f>
        <v>24.52</v>
      </c>
      <c r="X121" s="9"/>
      <c r="Y121" s="6">
        <v>2.15</v>
      </c>
      <c r="Z121" s="6">
        <v>2</v>
      </c>
      <c r="AA121" s="8">
        <v>45352</v>
      </c>
      <c r="AB121" s="4">
        <v>0.68</v>
      </c>
      <c r="AC121" s="6">
        <v>14.23</v>
      </c>
      <c r="AD121" s="6">
        <v>23.17</v>
      </c>
      <c r="AE121" s="1">
        <v>0</v>
      </c>
      <c r="AF121" s="1">
        <f ca="1">IFERROR(__xludf.DUMMYFUNCTION("IFERROR(GOOGLEFINANCE(TRIM(F121)&amp;"":"" &amp; TRIM(B121),""high52""),AE121)"),498.7)</f>
        <v>498.7</v>
      </c>
      <c r="AG121" s="1">
        <v>0</v>
      </c>
      <c r="AH121" s="1">
        <f ca="1">IFERROR(__xludf.DUMMYFUNCTION("IFERROR(GOOGLEFINANCE(TRIM(F121)&amp;"":"" &amp; TRIM(B121),""low52""),AE121)"),319)</f>
        <v>319</v>
      </c>
      <c r="AI121" s="1">
        <f ca="1">IFERROR(__xludf.DUMMYFUNCTION("IFERROR(GOOGLEFINANCE(B121,""eps""),0)"),13.66)</f>
        <v>13.66</v>
      </c>
      <c r="AJ121" s="1"/>
      <c r="AK121" s="1" t="s">
        <v>435</v>
      </c>
      <c r="AL121" s="9">
        <f>IF(AA121&lt;&gt;AB121,1,0)</f>
        <v>1</v>
      </c>
    </row>
    <row r="122" spans="1:38" ht="15" x14ac:dyDescent="0.25">
      <c r="A122" s="1" t="s">
        <v>436</v>
      </c>
      <c r="B122" s="1" t="s">
        <v>437</v>
      </c>
      <c r="C122" s="1" t="s">
        <v>355</v>
      </c>
      <c r="D122" s="1" t="s">
        <v>355</v>
      </c>
      <c r="E122" s="6">
        <v>68.41</v>
      </c>
      <c r="F122" s="1" t="s">
        <v>53</v>
      </c>
      <c r="G122" s="6">
        <f ca="1">IFERROR(__xludf.DUMMYFUNCTION("iferror(GOOGLEFINANCE(TRIM(F122)&amp;"":"" &amp; TRIM(B122), ""price""),0
)"),0)</f>
        <v>0</v>
      </c>
      <c r="H122" s="6">
        <v>46.75</v>
      </c>
      <c r="I122" s="6">
        <f t="shared" ca="1" si="0"/>
        <v>46.75</v>
      </c>
      <c r="J122" s="6">
        <f ca="1">IFERROR(__xludf.DUMMYFUNCTION("IFERROR(GOOGLEFINANCE(B122, ""volume""), 0)"),0)</f>
        <v>0</v>
      </c>
      <c r="K122" s="6">
        <v>-0.81</v>
      </c>
      <c r="L122" s="6">
        <f ca="1">IFERROR(__xludf.DUMMYFUNCTION("IFERROR(GOOGLEFINANCE(B122,""changepct""),K122)"),-0.81)</f>
        <v>-0.81</v>
      </c>
      <c r="M122" s="6">
        <f ca="1">IFERROR(__xludf.DUMMYFUNCTION("IFERROR(GOOGLEFINANCE(B122,""change""),0)"),0)</f>
        <v>0</v>
      </c>
      <c r="N122" s="6">
        <v>1</v>
      </c>
      <c r="O122" s="7">
        <v>45536</v>
      </c>
      <c r="P122" s="6">
        <v>31.73</v>
      </c>
      <c r="Q122" s="6">
        <v>99.12</v>
      </c>
      <c r="R122" s="7">
        <v>45536</v>
      </c>
      <c r="S122" s="6">
        <v>149.57</v>
      </c>
      <c r="T122" s="6">
        <v>1.22</v>
      </c>
      <c r="U122" s="15">
        <v>45536</v>
      </c>
      <c r="V122" s="6">
        <v>55.93</v>
      </c>
      <c r="W122" s="6">
        <f ca="1">IFERROR(__xludf.DUMMYFUNCTION("IFERROR(GOOGLEFINANCE(B122,""pe""),V122)"),55.93)</f>
        <v>55.93</v>
      </c>
      <c r="X122" s="6">
        <v>2.33</v>
      </c>
      <c r="Y122" s="6">
        <v>3.01</v>
      </c>
      <c r="Z122" s="6">
        <v>1</v>
      </c>
      <c r="AA122" s="8">
        <v>45352</v>
      </c>
      <c r="AB122" s="4">
        <v>1.55</v>
      </c>
      <c r="AC122" s="6">
        <v>3.21</v>
      </c>
      <c r="AD122" s="6">
        <v>10.15</v>
      </c>
      <c r="AE122" s="1">
        <v>0</v>
      </c>
      <c r="AF122" s="1">
        <f ca="1">IFERROR(__xludf.DUMMYFUNCTION("IFERROR(GOOGLEFINANCE(TRIM(F122)&amp;"":"" &amp; TRIM(B122),""high52""),AE122)"),0)</f>
        <v>0</v>
      </c>
      <c r="AG122" s="1">
        <v>0</v>
      </c>
      <c r="AH122" s="1">
        <f ca="1">IFERROR(__xludf.DUMMYFUNCTION("IFERROR(GOOGLEFINANCE(TRIM(F122)&amp;"":"" &amp; TRIM(B122),""low52""),AE122)"),0)</f>
        <v>0</v>
      </c>
      <c r="AI122" s="1">
        <f ca="1">IFERROR(__xludf.DUMMYFUNCTION("IFERROR(GOOGLEFINANCE(B122,""eps""),0)"),0)</f>
        <v>0</v>
      </c>
      <c r="AJ122" s="1"/>
      <c r="AK122" s="1" t="s">
        <v>438</v>
      </c>
      <c r="AL122" s="1" t="b">
        <f t="shared" ref="AL122:AL125" si="28">ISNUMBER(AA122)</f>
        <v>1</v>
      </c>
    </row>
    <row r="123" spans="1:38" ht="15" x14ac:dyDescent="0.25">
      <c r="A123" s="1" t="s">
        <v>439</v>
      </c>
      <c r="B123" s="1" t="s">
        <v>440</v>
      </c>
      <c r="C123" s="1" t="s">
        <v>355</v>
      </c>
      <c r="D123" s="1" t="s">
        <v>355</v>
      </c>
      <c r="E123" s="6">
        <v>199.68</v>
      </c>
      <c r="F123" s="1" t="s">
        <v>53</v>
      </c>
      <c r="G123" s="6">
        <f ca="1">IFERROR(__xludf.DUMMYFUNCTION("iferror(GOOGLEFINANCE(TRIM(F123)&amp;"":"" &amp; TRIM(B123), ""price""),0
)"),0)</f>
        <v>0</v>
      </c>
      <c r="H123" s="6">
        <v>235</v>
      </c>
      <c r="I123" s="6">
        <f t="shared" ca="1" si="0"/>
        <v>235</v>
      </c>
      <c r="J123" s="6">
        <f ca="1">IFERROR(__xludf.DUMMYFUNCTION("IFERROR(GOOGLEFINANCE(B123, ""volume""), 0)"),0)</f>
        <v>0</v>
      </c>
      <c r="K123" s="6">
        <v>3.71</v>
      </c>
      <c r="L123" s="6">
        <f ca="1">IFERROR(__xludf.DUMMYFUNCTION("IFERROR(GOOGLEFINANCE(B123,""changepct""),K123)"),3.71)</f>
        <v>3.71</v>
      </c>
      <c r="M123" s="6">
        <f ca="1">IFERROR(__xludf.DUMMYFUNCTION("IFERROR(GOOGLEFINANCE(B123,""change""),0)"),0)</f>
        <v>0</v>
      </c>
      <c r="N123" s="6">
        <v>1</v>
      </c>
      <c r="O123" s="7">
        <v>45536</v>
      </c>
      <c r="P123" s="6">
        <v>156.18</v>
      </c>
      <c r="Q123" s="6">
        <v>353.34</v>
      </c>
      <c r="R123" s="7">
        <v>45536</v>
      </c>
      <c r="S123" s="6">
        <v>388.14</v>
      </c>
      <c r="T123" s="6">
        <v>8.51</v>
      </c>
      <c r="U123" s="7">
        <v>45536</v>
      </c>
      <c r="V123" s="6">
        <v>23.45</v>
      </c>
      <c r="W123" s="6">
        <f ca="1">IFERROR(__xludf.DUMMYFUNCTION("IFERROR(GOOGLEFINANCE(B123,""pe""),V123)"),23.45)</f>
        <v>23.45</v>
      </c>
      <c r="X123" s="6">
        <v>-2.58</v>
      </c>
      <c r="Y123" s="6">
        <v>0.96</v>
      </c>
      <c r="Z123" s="6">
        <v>1</v>
      </c>
      <c r="AA123" s="8">
        <v>45352</v>
      </c>
      <c r="AB123" s="4">
        <v>0.83</v>
      </c>
      <c r="AC123" s="6">
        <v>4.03</v>
      </c>
      <c r="AD123" s="6">
        <v>8.57</v>
      </c>
      <c r="AE123" s="1">
        <v>0</v>
      </c>
      <c r="AF123" s="1">
        <f ca="1">IFERROR(__xludf.DUMMYFUNCTION("IFERROR(GOOGLEFINANCE(TRIM(F123)&amp;"":"" &amp; TRIM(B123),""high52""),AE123)"),0)</f>
        <v>0</v>
      </c>
      <c r="AG123" s="1">
        <v>0</v>
      </c>
      <c r="AH123" s="1">
        <f ca="1">IFERROR(__xludf.DUMMYFUNCTION("IFERROR(GOOGLEFINANCE(TRIM(F123)&amp;"":"" &amp; TRIM(B123),""low52""),AE123)"),0)</f>
        <v>0</v>
      </c>
      <c r="AI123" s="1">
        <f ca="1">IFERROR(__xludf.DUMMYFUNCTION("IFERROR(GOOGLEFINANCE(B123,""eps""),0)"),0)</f>
        <v>0</v>
      </c>
      <c r="AJ123" s="1"/>
      <c r="AK123" s="1" t="s">
        <v>441</v>
      </c>
      <c r="AL123" s="1" t="b">
        <f t="shared" si="28"/>
        <v>1</v>
      </c>
    </row>
    <row r="124" spans="1:38" ht="15" x14ac:dyDescent="0.25">
      <c r="A124" s="1" t="s">
        <v>442</v>
      </c>
      <c r="B124" s="1" t="s">
        <v>443</v>
      </c>
      <c r="C124" s="1" t="s">
        <v>90</v>
      </c>
      <c r="D124" s="1" t="s">
        <v>90</v>
      </c>
      <c r="E124" s="6">
        <v>25021.439999999999</v>
      </c>
      <c r="F124" s="1" t="s">
        <v>40</v>
      </c>
      <c r="G124" s="6">
        <f ca="1">IFERROR(__xludf.DUMMYFUNCTION("iferror(GOOGLEFINANCE(TRIM(F124)&amp;"":"" &amp; TRIM(B124), ""price""),0
)"),1605)</f>
        <v>1605</v>
      </c>
      <c r="H124" s="6">
        <v>1796.25</v>
      </c>
      <c r="I124" s="6">
        <f t="shared" ca="1" si="0"/>
        <v>1605</v>
      </c>
      <c r="J124" s="6">
        <f ca="1">IFERROR(__xludf.DUMMYFUNCTION("IFERROR(GOOGLEFINANCE(B124, ""volume""), 0)"),251302)</f>
        <v>251302</v>
      </c>
      <c r="K124" s="6">
        <v>0.91</v>
      </c>
      <c r="L124" s="6">
        <f ca="1">IFERROR(__xludf.DUMMYFUNCTION("IFERROR(GOOGLEFINANCE(B124,""changepct""),K124)"),0.6)</f>
        <v>0.6</v>
      </c>
      <c r="M124" s="6">
        <f ca="1">IFERROR(__xludf.DUMMYFUNCTION("IFERROR(GOOGLEFINANCE(B124,""change""),0)"),9.6)</f>
        <v>9.6</v>
      </c>
      <c r="N124" s="6">
        <v>2</v>
      </c>
      <c r="O124" s="7">
        <v>45536</v>
      </c>
      <c r="P124" s="6">
        <v>129.68</v>
      </c>
      <c r="Q124" s="6">
        <v>23937.66</v>
      </c>
      <c r="R124" s="7">
        <v>45536</v>
      </c>
      <c r="S124" s="6">
        <v>2067.31</v>
      </c>
      <c r="T124" s="6">
        <v>342.89</v>
      </c>
      <c r="U124" s="7">
        <v>45536</v>
      </c>
      <c r="V124" s="6">
        <v>72.97</v>
      </c>
      <c r="W124" s="6">
        <f ca="1">IFERROR(__xludf.DUMMYFUNCTION("IFERROR(GOOGLEFINANCE(B124,""pe""),V124)"),53.85)</f>
        <v>53.85</v>
      </c>
      <c r="X124" s="6">
        <v>1.68</v>
      </c>
      <c r="Y124" s="6">
        <v>9.2799999999999994</v>
      </c>
      <c r="Z124" s="6">
        <v>2</v>
      </c>
      <c r="AA124" s="8">
        <v>45352</v>
      </c>
      <c r="AB124" s="4">
        <v>7.0000000000000007E-2</v>
      </c>
      <c r="AC124" s="6">
        <v>15.1</v>
      </c>
      <c r="AD124" s="6">
        <v>16.29</v>
      </c>
      <c r="AE124" s="1">
        <v>0</v>
      </c>
      <c r="AF124" s="1">
        <f ca="1">IFERROR(__xludf.DUMMYFUNCTION("IFERROR(GOOGLEFINANCE(TRIM(F124)&amp;"":"" &amp; TRIM(B124),""high52""),AE124)"),2185.9)</f>
        <v>2185.9</v>
      </c>
      <c r="AG124" s="1">
        <v>0</v>
      </c>
      <c r="AH124" s="1">
        <f ca="1">IFERROR(__xludf.DUMMYFUNCTION("IFERROR(GOOGLEFINANCE(TRIM(F124)&amp;"":"" &amp; TRIM(B124),""low52""),AE124)"),1246)</f>
        <v>1246</v>
      </c>
      <c r="AI124" s="1">
        <f ca="1">IFERROR(__xludf.DUMMYFUNCTION("IFERROR(GOOGLEFINANCE(B124,""eps""),0)"),29.81)</f>
        <v>29.81</v>
      </c>
      <c r="AJ124" s="1"/>
      <c r="AK124" s="1" t="s">
        <v>444</v>
      </c>
      <c r="AL124" s="1" t="b">
        <f t="shared" si="28"/>
        <v>1</v>
      </c>
    </row>
    <row r="125" spans="1:38" ht="15" x14ac:dyDescent="0.25">
      <c r="A125" s="1" t="s">
        <v>445</v>
      </c>
      <c r="B125" s="1" t="s">
        <v>446</v>
      </c>
      <c r="C125" s="1" t="s">
        <v>355</v>
      </c>
      <c r="D125" s="1" t="s">
        <v>355</v>
      </c>
      <c r="E125" s="6">
        <v>155.46</v>
      </c>
      <c r="F125" s="1" t="s">
        <v>53</v>
      </c>
      <c r="G125" s="6">
        <f ca="1">IFERROR(__xludf.DUMMYFUNCTION("iferror(GOOGLEFINANCE(TRIM(F125)&amp;"":"" &amp; TRIM(B125), ""price""),0
)"),0)</f>
        <v>0</v>
      </c>
      <c r="H125" s="6">
        <v>1037.45</v>
      </c>
      <c r="I125" s="6">
        <f t="shared" ca="1" si="0"/>
        <v>1037.45</v>
      </c>
      <c r="J125" s="6">
        <f ca="1">IFERROR(__xludf.DUMMYFUNCTION("IFERROR(GOOGLEFINANCE(B125, ""volume""), 0)"),0)</f>
        <v>0</v>
      </c>
      <c r="K125" s="12"/>
      <c r="L125" s="6" t="str">
        <f ca="1">IFERROR(__xludf.DUMMYFUNCTION("IFERROR(GOOGLEFINANCE(B125,""changepct""),K125)"),"")</f>
        <v/>
      </c>
      <c r="M125" s="6">
        <f ca="1">IFERROR(__xludf.DUMMYFUNCTION("IFERROR(GOOGLEFINANCE(B125,""change""),0)"),0)</f>
        <v>0</v>
      </c>
      <c r="N125" s="6">
        <v>1</v>
      </c>
      <c r="O125" s="7">
        <v>45536</v>
      </c>
      <c r="P125" s="6">
        <v>4.3099999999999996</v>
      </c>
      <c r="Q125" s="6">
        <v>155.94999999999999</v>
      </c>
      <c r="R125" s="7">
        <v>45536</v>
      </c>
      <c r="S125" s="6">
        <v>71.36</v>
      </c>
      <c r="T125" s="6">
        <v>5.16</v>
      </c>
      <c r="U125" s="7">
        <v>45536</v>
      </c>
      <c r="V125" s="6">
        <v>30.14</v>
      </c>
      <c r="W125" s="6">
        <f ca="1">IFERROR(__xludf.DUMMYFUNCTION("IFERROR(GOOGLEFINANCE(B125,""pe""),V125)"),30.14)</f>
        <v>30.14</v>
      </c>
      <c r="X125" s="6">
        <v>0.46</v>
      </c>
      <c r="Y125" s="6">
        <v>6.03</v>
      </c>
      <c r="Z125" s="6">
        <v>1</v>
      </c>
      <c r="AA125" s="8">
        <v>45352</v>
      </c>
      <c r="AB125" s="4">
        <v>0.18</v>
      </c>
      <c r="AC125" s="6">
        <v>23.28</v>
      </c>
      <c r="AD125" s="6">
        <v>27.49</v>
      </c>
      <c r="AE125" s="1">
        <v>0</v>
      </c>
      <c r="AF125" s="1">
        <f ca="1">IFERROR(__xludf.DUMMYFUNCTION("IFERROR(GOOGLEFINANCE(TRIM(F125)&amp;"":"" &amp; TRIM(B125),""high52""),AE125)"),0)</f>
        <v>0</v>
      </c>
      <c r="AG125" s="1">
        <v>0</v>
      </c>
      <c r="AH125" s="1">
        <f ca="1">IFERROR(__xludf.DUMMYFUNCTION("IFERROR(GOOGLEFINANCE(TRIM(F125)&amp;"":"" &amp; TRIM(B125),""low52""),AE125)"),0)</f>
        <v>0</v>
      </c>
      <c r="AI125" s="1">
        <f ca="1">IFERROR(__xludf.DUMMYFUNCTION("IFERROR(GOOGLEFINANCE(B125,""eps""),0)"),0)</f>
        <v>0</v>
      </c>
      <c r="AJ125" s="1"/>
      <c r="AK125" s="1" t="s">
        <v>447</v>
      </c>
      <c r="AL125" s="1" t="b">
        <f t="shared" si="28"/>
        <v>1</v>
      </c>
    </row>
    <row r="126" spans="1:38" ht="15" x14ac:dyDescent="0.25">
      <c r="A126" s="1" t="s">
        <v>448</v>
      </c>
      <c r="B126" s="1" t="s">
        <v>449</v>
      </c>
      <c r="C126" s="1" t="s">
        <v>112</v>
      </c>
      <c r="D126" s="1" t="s">
        <v>112</v>
      </c>
      <c r="E126" s="6">
        <v>741.02</v>
      </c>
      <c r="F126" s="1" t="s">
        <v>40</v>
      </c>
      <c r="G126" s="6">
        <f ca="1">IFERROR(__xludf.DUMMYFUNCTION("iferror(GOOGLEFINANCE(TRIM(F126)&amp;"":"" &amp; TRIM(B126), ""price""),0
)"),172.1)</f>
        <v>172.1</v>
      </c>
      <c r="H126" s="6">
        <v>652.9</v>
      </c>
      <c r="I126" s="6">
        <f t="shared" ca="1" si="0"/>
        <v>172.1</v>
      </c>
      <c r="J126" s="6">
        <f ca="1">IFERROR(__xludf.DUMMYFUNCTION("IFERROR(GOOGLEFINANCE(B126, ""volume""), 0)"),23654)</f>
        <v>23654</v>
      </c>
      <c r="K126" s="6">
        <v>-0.63</v>
      </c>
      <c r="L126" s="6">
        <f ca="1">IFERROR(__xludf.DUMMYFUNCTION("IFERROR(GOOGLEFINANCE(B126,""changepct""),K126)"),0.17)</f>
        <v>0.17</v>
      </c>
      <c r="M126" s="6">
        <f ca="1">IFERROR(__xludf.DUMMYFUNCTION("IFERROR(GOOGLEFINANCE(B126,""change""),0)"),0.29)</f>
        <v>0.28999999999999998</v>
      </c>
      <c r="N126" s="6">
        <v>1</v>
      </c>
      <c r="O126" s="7">
        <v>45536</v>
      </c>
      <c r="P126" s="6">
        <v>44.21</v>
      </c>
      <c r="Q126" s="6">
        <v>785.22</v>
      </c>
      <c r="R126" s="7">
        <v>45352</v>
      </c>
      <c r="S126" s="6">
        <v>150.07</v>
      </c>
      <c r="T126" s="6">
        <v>6.07</v>
      </c>
      <c r="U126" s="7">
        <v>45352</v>
      </c>
      <c r="V126" s="6">
        <v>122.04</v>
      </c>
      <c r="W126" s="6">
        <f ca="1">IFERROR(__xludf.DUMMYFUNCTION("IFERROR(GOOGLEFINANCE(B126,""pe""),V126)"),128.07)</f>
        <v>128.07</v>
      </c>
      <c r="X126" s="12"/>
      <c r="Y126" s="6">
        <v>7.02</v>
      </c>
      <c r="Z126" s="6">
        <v>2</v>
      </c>
      <c r="AA126" s="8">
        <v>45352</v>
      </c>
      <c r="AB126" s="4">
        <v>0.41</v>
      </c>
      <c r="AC126" s="6">
        <v>7.47</v>
      </c>
      <c r="AD126" s="6">
        <v>9.94</v>
      </c>
      <c r="AE126" s="1">
        <v>0</v>
      </c>
      <c r="AF126" s="1">
        <f ca="1">IFERROR(__xludf.DUMMYFUNCTION("IFERROR(GOOGLEFINANCE(TRIM(F126)&amp;"":"" &amp; TRIM(B126),""high52""),AE126)"),540.1)</f>
        <v>540.1</v>
      </c>
      <c r="AG126" s="1">
        <v>0</v>
      </c>
      <c r="AH126" s="1">
        <f ca="1">IFERROR(__xludf.DUMMYFUNCTION("IFERROR(GOOGLEFINANCE(TRIM(F126)&amp;"":"" &amp; TRIM(B126),""low52""),AE126)"),157.53)</f>
        <v>157.53</v>
      </c>
      <c r="AI126" s="1">
        <f ca="1">IFERROR(__xludf.DUMMYFUNCTION("IFERROR(GOOGLEFINANCE(B126,""eps""),0)"),1.34)</f>
        <v>1.34</v>
      </c>
      <c r="AJ126" s="1"/>
      <c r="AK126" s="1" t="s">
        <v>450</v>
      </c>
      <c r="AL126" s="9">
        <f>IF(AA126&lt;&gt;AB126,1,0)</f>
        <v>1</v>
      </c>
    </row>
    <row r="127" spans="1:38" ht="15" x14ac:dyDescent="0.25">
      <c r="A127" s="1" t="s">
        <v>451</v>
      </c>
      <c r="B127" s="1" t="s">
        <v>452</v>
      </c>
      <c r="C127" s="1" t="s">
        <v>355</v>
      </c>
      <c r="D127" s="1" t="s">
        <v>355</v>
      </c>
      <c r="E127" s="6">
        <v>251.68</v>
      </c>
      <c r="F127" s="1" t="s">
        <v>53</v>
      </c>
      <c r="G127" s="6">
        <f ca="1">IFERROR(__xludf.DUMMYFUNCTION("iferror(GOOGLEFINANCE(TRIM(F127)&amp;"":"" &amp; TRIM(B127), ""price""),0
)"),0)</f>
        <v>0</v>
      </c>
      <c r="H127" s="6">
        <v>195</v>
      </c>
      <c r="I127" s="6">
        <f t="shared" ca="1" si="0"/>
        <v>195</v>
      </c>
      <c r="J127" s="6">
        <f ca="1">IFERROR(__xludf.DUMMYFUNCTION("IFERROR(GOOGLEFINANCE(B127, ""volume""), 0)"),0)</f>
        <v>0</v>
      </c>
      <c r="K127" s="6">
        <v>-1.79</v>
      </c>
      <c r="L127" s="6">
        <f ca="1">IFERROR(__xludf.DUMMYFUNCTION("IFERROR(GOOGLEFINANCE(B127,""changepct""),K127)"),-1.79)</f>
        <v>-1.79</v>
      </c>
      <c r="M127" s="6">
        <f ca="1">IFERROR(__xludf.DUMMYFUNCTION("IFERROR(GOOGLEFINANCE(B127,""change""),0)"),0)</f>
        <v>0</v>
      </c>
      <c r="N127" s="6">
        <v>1</v>
      </c>
      <c r="O127" s="7">
        <v>45536</v>
      </c>
      <c r="P127" s="6">
        <v>77.78</v>
      </c>
      <c r="Q127" s="6">
        <v>326.14999999999998</v>
      </c>
      <c r="R127" s="7">
        <v>45536</v>
      </c>
      <c r="S127" s="6">
        <v>324.11</v>
      </c>
      <c r="T127" s="6">
        <v>0.03</v>
      </c>
      <c r="U127" s="7">
        <v>45536</v>
      </c>
      <c r="V127" s="6">
        <v>0</v>
      </c>
      <c r="W127" s="6">
        <f ca="1">IFERROR(__xludf.DUMMYFUNCTION("IFERROR(GOOGLEFINANCE(B127,""pe""),V127)"),0)</f>
        <v>0</v>
      </c>
      <c r="X127" s="9"/>
      <c r="Y127" s="6">
        <v>2.38</v>
      </c>
      <c r="Z127" s="6">
        <v>2</v>
      </c>
      <c r="AA127" s="8">
        <v>45352</v>
      </c>
      <c r="AB127" s="4">
        <v>0.79</v>
      </c>
      <c r="AC127" s="6">
        <v>-2.98</v>
      </c>
      <c r="AD127" s="6">
        <v>4.1399999999999997</v>
      </c>
      <c r="AE127" s="1">
        <v>0</v>
      </c>
      <c r="AF127" s="1">
        <f ca="1">IFERROR(__xludf.DUMMYFUNCTION("IFERROR(GOOGLEFINANCE(TRIM(F127)&amp;"":"" &amp; TRIM(B127),""high52""),AE127)"),0)</f>
        <v>0</v>
      </c>
      <c r="AG127" s="1">
        <v>0</v>
      </c>
      <c r="AH127" s="1">
        <f ca="1">IFERROR(__xludf.DUMMYFUNCTION("IFERROR(GOOGLEFINANCE(TRIM(F127)&amp;"":"" &amp; TRIM(B127),""low52""),AE127)"),0)</f>
        <v>0</v>
      </c>
      <c r="AI127" s="1">
        <f ca="1">IFERROR(__xludf.DUMMYFUNCTION("IFERROR(GOOGLEFINANCE(B127,""eps""),0)"),0)</f>
        <v>0</v>
      </c>
      <c r="AJ127" s="1"/>
      <c r="AK127" s="1" t="s">
        <v>453</v>
      </c>
      <c r="AL127" s="1" t="b">
        <f t="shared" ref="AL127:AL129" si="29">ISNUMBER(AA127)</f>
        <v>1</v>
      </c>
    </row>
    <row r="128" spans="1:38" ht="15" x14ac:dyDescent="0.25">
      <c r="A128" s="1" t="s">
        <v>454</v>
      </c>
      <c r="B128" s="1" t="s">
        <v>455</v>
      </c>
      <c r="C128" s="1" t="s">
        <v>355</v>
      </c>
      <c r="D128" s="1" t="s">
        <v>355</v>
      </c>
      <c r="E128" s="6">
        <v>1108.73</v>
      </c>
      <c r="F128" s="1" t="s">
        <v>53</v>
      </c>
      <c r="G128" s="6">
        <f ca="1">IFERROR(__xludf.DUMMYFUNCTION("iferror(GOOGLEFINANCE(TRIM(F128)&amp;"":"" &amp; TRIM(B128), ""price""),0
)"),0)</f>
        <v>0</v>
      </c>
      <c r="H128" s="6">
        <v>950</v>
      </c>
      <c r="I128" s="6">
        <f t="shared" ca="1" si="0"/>
        <v>950</v>
      </c>
      <c r="J128" s="6">
        <f ca="1">IFERROR(__xludf.DUMMYFUNCTION("IFERROR(GOOGLEFINANCE(B128, ""volume""), 0)"),0)</f>
        <v>0</v>
      </c>
      <c r="K128" s="6">
        <v>-0.06</v>
      </c>
      <c r="L128" s="6">
        <f ca="1">IFERROR(__xludf.DUMMYFUNCTION("IFERROR(GOOGLEFINANCE(B128,""changepct""),K128)"),-0.06)</f>
        <v>-0.06</v>
      </c>
      <c r="M128" s="6">
        <f ca="1">IFERROR(__xludf.DUMMYFUNCTION("IFERROR(GOOGLEFINANCE(B128,""change""),0)"),0)</f>
        <v>0</v>
      </c>
      <c r="N128" s="6">
        <v>2</v>
      </c>
      <c r="O128" s="7">
        <v>45536</v>
      </c>
      <c r="P128" s="9"/>
      <c r="Q128" s="6">
        <v>1108.73</v>
      </c>
      <c r="R128" s="7">
        <v>45536</v>
      </c>
      <c r="S128" s="6">
        <v>116.56</v>
      </c>
      <c r="T128" s="6">
        <v>156.28</v>
      </c>
      <c r="U128" s="7">
        <v>45536</v>
      </c>
      <c r="V128" s="6">
        <v>7.07</v>
      </c>
      <c r="W128" s="6">
        <f ca="1">IFERROR(__xludf.DUMMYFUNCTION("IFERROR(GOOGLEFINANCE(B128,""pe""),V128)"),7.07)</f>
        <v>7.07</v>
      </c>
      <c r="X128" s="6">
        <v>1.39</v>
      </c>
      <c r="Y128" s="6">
        <v>0.77</v>
      </c>
      <c r="Z128" s="6">
        <v>2</v>
      </c>
      <c r="AA128" s="8">
        <v>45352</v>
      </c>
      <c r="AB128" s="4">
        <v>0</v>
      </c>
      <c r="AC128" s="6">
        <v>10.41</v>
      </c>
      <c r="AD128" s="6">
        <v>14.2</v>
      </c>
      <c r="AE128" s="1">
        <v>0</v>
      </c>
      <c r="AF128" s="1">
        <f ca="1">IFERROR(__xludf.DUMMYFUNCTION("IFERROR(GOOGLEFINANCE(TRIM(F128)&amp;"":"" &amp; TRIM(B128),""high52""),AE128)"),0)</f>
        <v>0</v>
      </c>
      <c r="AG128" s="1">
        <v>0</v>
      </c>
      <c r="AH128" s="1">
        <f ca="1">IFERROR(__xludf.DUMMYFUNCTION("IFERROR(GOOGLEFINANCE(TRIM(F128)&amp;"":"" &amp; TRIM(B128),""low52""),AE128)"),0)</f>
        <v>0</v>
      </c>
      <c r="AI128" s="1">
        <f ca="1">IFERROR(__xludf.DUMMYFUNCTION("IFERROR(GOOGLEFINANCE(B128,""eps""),0)"),0)</f>
        <v>0</v>
      </c>
      <c r="AJ128" s="1"/>
      <c r="AK128" s="1" t="s">
        <v>456</v>
      </c>
      <c r="AL128" s="1" t="b">
        <f t="shared" si="29"/>
        <v>1</v>
      </c>
    </row>
    <row r="129" spans="1:38" ht="15" x14ac:dyDescent="0.25">
      <c r="A129" s="1" t="s">
        <v>457</v>
      </c>
      <c r="B129" s="1" t="s">
        <v>458</v>
      </c>
      <c r="C129" s="1" t="s">
        <v>355</v>
      </c>
      <c r="D129" s="1" t="s">
        <v>355</v>
      </c>
      <c r="E129" s="6">
        <v>72.09</v>
      </c>
      <c r="F129" s="1" t="s">
        <v>53</v>
      </c>
      <c r="G129" s="6">
        <f ca="1">IFERROR(__xludf.DUMMYFUNCTION("iferror(GOOGLEFINANCE(TRIM(F129)&amp;"":"" &amp; TRIM(B129), ""price""),0
)"),0)</f>
        <v>0</v>
      </c>
      <c r="H129" s="6">
        <v>99.63</v>
      </c>
      <c r="I129" s="6">
        <f t="shared" ca="1" si="0"/>
        <v>99.63</v>
      </c>
      <c r="J129" s="6">
        <f ca="1">IFERROR(__xludf.DUMMYFUNCTION("IFERROR(GOOGLEFINANCE(B129, ""volume""), 0)"),0)</f>
        <v>0</v>
      </c>
      <c r="K129" s="6">
        <v>0.9</v>
      </c>
      <c r="L129" s="6">
        <f ca="1">IFERROR(__xludf.DUMMYFUNCTION("IFERROR(GOOGLEFINANCE(B129,""changepct""),K129)"),0.9)</f>
        <v>0.9</v>
      </c>
      <c r="M129" s="6">
        <f ca="1">IFERROR(__xludf.DUMMYFUNCTION("IFERROR(GOOGLEFINANCE(B129,""change""),0)"),0)</f>
        <v>0</v>
      </c>
      <c r="N129" s="6">
        <v>1</v>
      </c>
      <c r="O129" s="7">
        <v>45536</v>
      </c>
      <c r="P129" s="6">
        <v>10.63</v>
      </c>
      <c r="Q129" s="6">
        <v>81.95</v>
      </c>
      <c r="R129" s="15">
        <v>45536</v>
      </c>
      <c r="S129" s="6">
        <v>51.76</v>
      </c>
      <c r="T129" s="6">
        <v>2.81</v>
      </c>
      <c r="U129" s="15">
        <v>45536</v>
      </c>
      <c r="V129" s="6">
        <v>25.66</v>
      </c>
      <c r="W129" s="6">
        <f ca="1">IFERROR(__xludf.DUMMYFUNCTION("IFERROR(GOOGLEFINANCE(B129,""pe""),V129)"),25.66)</f>
        <v>25.66</v>
      </c>
      <c r="X129" s="6">
        <v>1.03</v>
      </c>
      <c r="Y129" s="6">
        <v>2.2999999999999998</v>
      </c>
      <c r="Z129" s="6">
        <v>1</v>
      </c>
      <c r="AA129" s="8">
        <v>45352</v>
      </c>
      <c r="AB129" s="4">
        <v>0.18</v>
      </c>
      <c r="AC129" s="6">
        <v>10.19</v>
      </c>
      <c r="AD129" s="6">
        <v>12.09</v>
      </c>
      <c r="AE129" s="1">
        <v>0</v>
      </c>
      <c r="AF129" s="1">
        <f ca="1">IFERROR(__xludf.DUMMYFUNCTION("IFERROR(GOOGLEFINANCE(TRIM(F129)&amp;"":"" &amp; TRIM(B129),""high52""),AE129)"),0)</f>
        <v>0</v>
      </c>
      <c r="AG129" s="1">
        <v>0</v>
      </c>
      <c r="AH129" s="1">
        <f ca="1">IFERROR(__xludf.DUMMYFUNCTION("IFERROR(GOOGLEFINANCE(TRIM(F129)&amp;"":"" &amp; TRIM(B129),""low52""),AE129)"),0)</f>
        <v>0</v>
      </c>
      <c r="AI129" s="1">
        <f ca="1">IFERROR(__xludf.DUMMYFUNCTION("IFERROR(GOOGLEFINANCE(B129,""eps""),0)"),0)</f>
        <v>0</v>
      </c>
      <c r="AJ129" s="1"/>
      <c r="AK129" s="1" t="s">
        <v>459</v>
      </c>
      <c r="AL129" s="1" t="b">
        <f t="shared" si="29"/>
        <v>1</v>
      </c>
    </row>
    <row r="130" spans="1:38" ht="15" x14ac:dyDescent="0.25">
      <c r="A130" s="1" t="s">
        <v>460</v>
      </c>
      <c r="B130" s="1" t="s">
        <v>461</v>
      </c>
      <c r="C130" s="1" t="s">
        <v>227</v>
      </c>
      <c r="D130" s="1" t="s">
        <v>227</v>
      </c>
      <c r="E130" s="6">
        <v>27.97</v>
      </c>
      <c r="F130" s="1" t="s">
        <v>40</v>
      </c>
      <c r="G130" s="6">
        <f ca="1">IFERROR(__xludf.DUMMYFUNCTION("iferror(GOOGLEFINANCE(TRIM(F130)&amp;"":"" &amp; TRIM(B130), ""price""),0
)"),0)</f>
        <v>0</v>
      </c>
      <c r="H130" s="6">
        <v>51</v>
      </c>
      <c r="I130" s="6">
        <f t="shared" ca="1" si="0"/>
        <v>51</v>
      </c>
      <c r="J130" s="6">
        <f ca="1">IFERROR(__xludf.DUMMYFUNCTION("IFERROR(GOOGLEFINANCE(B130, ""volume""), 0)"),0)</f>
        <v>0</v>
      </c>
      <c r="K130" s="9"/>
      <c r="L130" s="6" t="str">
        <f ca="1">IFERROR(__xludf.DUMMYFUNCTION("IFERROR(GOOGLEFINANCE(B130,""changepct""),K130)"),"")</f>
        <v/>
      </c>
      <c r="M130" s="6">
        <f ca="1">IFERROR(__xludf.DUMMYFUNCTION("IFERROR(GOOGLEFINANCE(B130,""change""),0)"),0)</f>
        <v>0</v>
      </c>
      <c r="N130" s="6">
        <v>1</v>
      </c>
      <c r="O130" s="7">
        <v>45536</v>
      </c>
      <c r="P130" s="6">
        <v>17.39</v>
      </c>
      <c r="Q130" s="6">
        <v>45.36</v>
      </c>
      <c r="R130" s="7">
        <v>45352</v>
      </c>
      <c r="S130" s="6">
        <v>78.37</v>
      </c>
      <c r="T130" s="6">
        <v>1.92</v>
      </c>
      <c r="U130" s="7">
        <v>45352</v>
      </c>
      <c r="V130" s="6">
        <v>14.57</v>
      </c>
      <c r="W130" s="6">
        <f ca="1">IFERROR(__xludf.DUMMYFUNCTION("IFERROR(GOOGLEFINANCE(B130,""pe""),V130)"),14.57)</f>
        <v>14.57</v>
      </c>
      <c r="X130" s="9"/>
      <c r="Y130" s="6">
        <v>1.61</v>
      </c>
      <c r="Z130" s="6">
        <v>1</v>
      </c>
      <c r="AA130" s="8">
        <v>45352</v>
      </c>
      <c r="AB130" s="4">
        <v>0.89</v>
      </c>
      <c r="AC130" s="6">
        <v>15.87</v>
      </c>
      <c r="AD130" s="6">
        <v>14.5</v>
      </c>
      <c r="AE130" s="1">
        <v>0</v>
      </c>
      <c r="AF130" s="1">
        <f ca="1">IFERROR(__xludf.DUMMYFUNCTION("IFERROR(GOOGLEFINANCE(TRIM(F130)&amp;"":"" &amp; TRIM(B130),""high52""),AE130)"),0)</f>
        <v>0</v>
      </c>
      <c r="AG130" s="1">
        <v>0</v>
      </c>
      <c r="AH130" s="1">
        <f ca="1">IFERROR(__xludf.DUMMYFUNCTION("IFERROR(GOOGLEFINANCE(TRIM(F130)&amp;"":"" &amp; TRIM(B130),""low52""),AE130)"),0)</f>
        <v>0</v>
      </c>
      <c r="AI130" s="1">
        <f ca="1">IFERROR(__xludf.DUMMYFUNCTION("IFERROR(GOOGLEFINANCE(B130,""eps""),0)"),0)</f>
        <v>0</v>
      </c>
      <c r="AJ130" s="1"/>
      <c r="AK130" s="1" t="s">
        <v>462</v>
      </c>
      <c r="AL130" s="9">
        <f t="shared" ref="AL130:AL131" si="30">IF(AA130&lt;&gt;AB130,1,0)</f>
        <v>1</v>
      </c>
    </row>
    <row r="131" spans="1:38" ht="15" x14ac:dyDescent="0.25">
      <c r="A131" s="1" t="s">
        <v>463</v>
      </c>
      <c r="B131" s="1" t="s">
        <v>464</v>
      </c>
      <c r="C131" s="1" t="s">
        <v>227</v>
      </c>
      <c r="D131" s="1" t="s">
        <v>227</v>
      </c>
      <c r="E131" s="6">
        <v>51.43</v>
      </c>
      <c r="F131" s="1" t="s">
        <v>40</v>
      </c>
      <c r="G131" s="6">
        <f ca="1">IFERROR(__xludf.DUMMYFUNCTION("iferror(GOOGLEFINANCE(TRIM(F131)&amp;"":"" &amp; TRIM(B131), ""price""),0
)"),0)</f>
        <v>0</v>
      </c>
      <c r="H131" s="6">
        <v>71</v>
      </c>
      <c r="I131" s="6">
        <f t="shared" ca="1" si="0"/>
        <v>71</v>
      </c>
      <c r="J131" s="6">
        <f ca="1">IFERROR(__xludf.DUMMYFUNCTION("IFERROR(GOOGLEFINANCE(B131, ""volume""), 0)"),0)</f>
        <v>0</v>
      </c>
      <c r="K131" s="9"/>
      <c r="L131" s="6" t="str">
        <f ca="1">IFERROR(__xludf.DUMMYFUNCTION("IFERROR(GOOGLEFINANCE(B131,""changepct""),K131)"),"")</f>
        <v/>
      </c>
      <c r="M131" s="6">
        <f ca="1">IFERROR(__xludf.DUMMYFUNCTION("IFERROR(GOOGLEFINANCE(B131,""change""),0)"),0)</f>
        <v>0</v>
      </c>
      <c r="N131" s="6">
        <v>1</v>
      </c>
      <c r="O131" s="7">
        <v>45536</v>
      </c>
      <c r="P131" s="6">
        <v>15.76</v>
      </c>
      <c r="Q131" s="6">
        <v>67.180000000000007</v>
      </c>
      <c r="R131" s="7">
        <v>45352</v>
      </c>
      <c r="S131" s="6">
        <v>78.91</v>
      </c>
      <c r="T131" s="6">
        <v>0.19</v>
      </c>
      <c r="U131" s="7">
        <v>45352</v>
      </c>
      <c r="V131" s="6">
        <v>265.10000000000002</v>
      </c>
      <c r="W131" s="6">
        <f ca="1">IFERROR(__xludf.DUMMYFUNCTION("IFERROR(GOOGLEFINANCE(B131,""pe""),V131)"),265.1)</f>
        <v>265.10000000000002</v>
      </c>
      <c r="X131" s="12"/>
      <c r="Y131" s="6">
        <v>3.33</v>
      </c>
      <c r="Z131" s="6">
        <v>1</v>
      </c>
      <c r="AA131" s="8">
        <v>45352</v>
      </c>
      <c r="AB131" s="4">
        <v>0.86</v>
      </c>
      <c r="AC131" s="6">
        <v>1.27</v>
      </c>
      <c r="AD131" s="6">
        <v>5.5</v>
      </c>
      <c r="AE131" s="1">
        <v>0</v>
      </c>
      <c r="AF131" s="1">
        <f ca="1">IFERROR(__xludf.DUMMYFUNCTION("IFERROR(GOOGLEFINANCE(TRIM(F131)&amp;"":"" &amp; TRIM(B131),""high52""),AE131)"),0)</f>
        <v>0</v>
      </c>
      <c r="AG131" s="1">
        <v>0</v>
      </c>
      <c r="AH131" s="1">
        <f ca="1">IFERROR(__xludf.DUMMYFUNCTION("IFERROR(GOOGLEFINANCE(TRIM(F131)&amp;"":"" &amp; TRIM(B131),""low52""),AE131)"),0)</f>
        <v>0</v>
      </c>
      <c r="AI131" s="1">
        <f ca="1">IFERROR(__xludf.DUMMYFUNCTION("IFERROR(GOOGLEFINANCE(B131,""eps""),0)"),0)</f>
        <v>0</v>
      </c>
      <c r="AJ131" s="1"/>
      <c r="AK131" s="6">
        <v>33.58</v>
      </c>
      <c r="AL131" s="9">
        <f t="shared" si="30"/>
        <v>1</v>
      </c>
    </row>
    <row r="132" spans="1:38" ht="15" x14ac:dyDescent="0.25">
      <c r="A132" s="1" t="s">
        <v>465</v>
      </c>
      <c r="B132" s="1" t="s">
        <v>466</v>
      </c>
      <c r="C132" s="1" t="s">
        <v>355</v>
      </c>
      <c r="D132" s="1" t="s">
        <v>355</v>
      </c>
      <c r="E132" s="6">
        <v>273.41000000000003</v>
      </c>
      <c r="F132" s="1" t="s">
        <v>53</v>
      </c>
      <c r="G132" s="6">
        <f ca="1">IFERROR(__xludf.DUMMYFUNCTION("iferror(GOOGLEFINANCE(TRIM(F132)&amp;"":"" &amp; TRIM(B132), ""price""),0
)"),0)</f>
        <v>0</v>
      </c>
      <c r="H132" s="6">
        <v>707.5</v>
      </c>
      <c r="I132" s="6">
        <f t="shared" ca="1" si="0"/>
        <v>707.5</v>
      </c>
      <c r="J132" s="6">
        <f ca="1">IFERROR(__xludf.DUMMYFUNCTION("IFERROR(GOOGLEFINANCE(B132, ""volume""), 0)"),0)</f>
        <v>0</v>
      </c>
      <c r="K132" s="12"/>
      <c r="L132" s="6" t="str">
        <f ca="1">IFERROR(__xludf.DUMMYFUNCTION("IFERROR(GOOGLEFINANCE(B132,""changepct""),K132)"),"")</f>
        <v/>
      </c>
      <c r="M132" s="6">
        <f ca="1">IFERROR(__xludf.DUMMYFUNCTION("IFERROR(GOOGLEFINANCE(B132,""change""),0)"),0)</f>
        <v>0</v>
      </c>
      <c r="N132" s="6">
        <v>1</v>
      </c>
      <c r="O132" s="7">
        <v>45536</v>
      </c>
      <c r="P132" s="6">
        <v>124.8</v>
      </c>
      <c r="Q132" s="6">
        <v>397.61</v>
      </c>
      <c r="R132" s="7">
        <v>45536</v>
      </c>
      <c r="S132" s="6">
        <v>770.59</v>
      </c>
      <c r="T132" s="6">
        <v>13.3</v>
      </c>
      <c r="U132" s="7">
        <v>45536</v>
      </c>
      <c r="V132" s="6">
        <v>20.56</v>
      </c>
      <c r="W132" s="6">
        <f ca="1">IFERROR(__xludf.DUMMYFUNCTION("IFERROR(GOOGLEFINANCE(B132,""pe""),V132)"),20.56)</f>
        <v>20.56</v>
      </c>
      <c r="X132" s="6">
        <v>4.7</v>
      </c>
      <c r="Y132" s="6">
        <v>2.4</v>
      </c>
      <c r="Z132" s="6">
        <v>1</v>
      </c>
      <c r="AA132" s="8">
        <v>45352</v>
      </c>
      <c r="AB132" s="4">
        <v>1.22</v>
      </c>
      <c r="AC132" s="6">
        <v>13.9</v>
      </c>
      <c r="AD132" s="6">
        <v>13.91</v>
      </c>
      <c r="AE132" s="1">
        <v>0</v>
      </c>
      <c r="AF132" s="1">
        <f ca="1">IFERROR(__xludf.DUMMYFUNCTION("IFERROR(GOOGLEFINANCE(TRIM(F132)&amp;"":"" &amp; TRIM(B132),""high52""),AE132)"),0)</f>
        <v>0</v>
      </c>
      <c r="AG132" s="1">
        <v>0</v>
      </c>
      <c r="AH132" s="1">
        <f ca="1">IFERROR(__xludf.DUMMYFUNCTION("IFERROR(GOOGLEFINANCE(TRIM(F132)&amp;"":"" &amp; TRIM(B132),""low52""),AE132)"),0)</f>
        <v>0</v>
      </c>
      <c r="AI132" s="1">
        <f ca="1">IFERROR(__xludf.DUMMYFUNCTION("IFERROR(GOOGLEFINANCE(B132,""eps""),0)"),0)</f>
        <v>0</v>
      </c>
      <c r="AJ132" s="1"/>
      <c r="AK132" s="1" t="s">
        <v>467</v>
      </c>
      <c r="AL132" s="1" t="b">
        <f>ISNUMBER(AA132)</f>
        <v>1</v>
      </c>
    </row>
    <row r="133" spans="1:38" ht="15" x14ac:dyDescent="0.25">
      <c r="A133" s="1" t="s">
        <v>468</v>
      </c>
      <c r="B133" s="1" t="s">
        <v>469</v>
      </c>
      <c r="C133" s="1" t="s">
        <v>470</v>
      </c>
      <c r="D133" s="1" t="s">
        <v>470</v>
      </c>
      <c r="E133" s="6">
        <v>1931.05</v>
      </c>
      <c r="F133" s="1" t="s">
        <v>40</v>
      </c>
      <c r="G133" s="6">
        <f ca="1">IFERROR(__xludf.DUMMYFUNCTION("iferror(GOOGLEFINANCE(TRIM(F133)&amp;"":"" &amp; TRIM(B133), ""price""),0
)"),722)</f>
        <v>722</v>
      </c>
      <c r="H133" s="6">
        <v>1275.4000000000001</v>
      </c>
      <c r="I133" s="6">
        <f t="shared" ca="1" si="0"/>
        <v>722</v>
      </c>
      <c r="J133" s="6">
        <f ca="1">IFERROR(__xludf.DUMMYFUNCTION("IFERROR(GOOGLEFINANCE(B133, ""volume""), 0)"),24113)</f>
        <v>24113</v>
      </c>
      <c r="K133" s="6">
        <v>-0.99</v>
      </c>
      <c r="L133" s="6">
        <f ca="1">IFERROR(__xludf.DUMMYFUNCTION("IFERROR(GOOGLEFINANCE(B133,""changepct""),K133)"),0.29)</f>
        <v>0.28999999999999998</v>
      </c>
      <c r="M133" s="6">
        <f ca="1">IFERROR(__xludf.DUMMYFUNCTION("IFERROR(GOOGLEFINANCE(B133,""change""),0)"),2.1)</f>
        <v>2.1</v>
      </c>
      <c r="N133" s="6">
        <v>2</v>
      </c>
      <c r="O133" s="7">
        <v>45536</v>
      </c>
      <c r="P133" s="6">
        <v>284.47000000000003</v>
      </c>
      <c r="Q133" s="6">
        <v>2157.86</v>
      </c>
      <c r="R133" s="7">
        <v>45536</v>
      </c>
      <c r="S133" s="6">
        <v>2298</v>
      </c>
      <c r="T133" s="6">
        <v>123.08</v>
      </c>
      <c r="U133" s="7">
        <v>45536</v>
      </c>
      <c r="V133" s="6">
        <v>15.69</v>
      </c>
      <c r="W133" s="6">
        <f ca="1">IFERROR(__xludf.DUMMYFUNCTION("IFERROR(GOOGLEFINANCE(B133,""pe""),V133)"),12.97)</f>
        <v>12.97</v>
      </c>
      <c r="X133" s="6">
        <v>0.3</v>
      </c>
      <c r="Y133" s="6">
        <v>3.42</v>
      </c>
      <c r="Z133" s="6">
        <v>2</v>
      </c>
      <c r="AA133" s="8">
        <v>45352</v>
      </c>
      <c r="AB133" s="4">
        <v>0.68</v>
      </c>
      <c r="AC133" s="6">
        <v>23.88</v>
      </c>
      <c r="AD133" s="6">
        <v>21.19</v>
      </c>
      <c r="AE133" s="1">
        <v>0</v>
      </c>
      <c r="AF133" s="1">
        <f ca="1">IFERROR(__xludf.DUMMYFUNCTION("IFERROR(GOOGLEFINANCE(TRIM(F133)&amp;"":"" &amp; TRIM(B133),""high52""),AE133)"),1140)</f>
        <v>1140</v>
      </c>
      <c r="AG133" s="1">
        <v>0</v>
      </c>
      <c r="AH133" s="1">
        <f ca="1">IFERROR(__xludf.DUMMYFUNCTION("IFERROR(GOOGLEFINANCE(TRIM(F133)&amp;"":"" &amp; TRIM(B133),""low52""),AE133)"),649)</f>
        <v>649</v>
      </c>
      <c r="AI133" s="1">
        <f ca="1">IFERROR(__xludf.DUMMYFUNCTION("IFERROR(GOOGLEFINANCE(B133,""eps""),0)"),55.66)</f>
        <v>55.66</v>
      </c>
      <c r="AJ133" s="1"/>
      <c r="AK133" s="6">
        <v>40.340000000000003</v>
      </c>
      <c r="AL133" s="9">
        <f t="shared" ref="AL133:AL134" si="31">IF(AA133&lt;&gt;AB133,1,0)</f>
        <v>1</v>
      </c>
    </row>
    <row r="134" spans="1:38" ht="15" x14ac:dyDescent="0.25">
      <c r="A134" s="1" t="s">
        <v>471</v>
      </c>
      <c r="B134" s="1" t="s">
        <v>472</v>
      </c>
      <c r="C134" s="1" t="s">
        <v>473</v>
      </c>
      <c r="D134" s="1" t="s">
        <v>473</v>
      </c>
      <c r="E134" s="6">
        <v>232.16</v>
      </c>
      <c r="F134" s="1" t="s">
        <v>40</v>
      </c>
      <c r="G134" s="6">
        <f ca="1">IFERROR(__xludf.DUMMYFUNCTION("iferror(GOOGLEFINANCE(TRIM(F134)&amp;"":"" &amp; TRIM(B134), ""price""),0
)"),0)</f>
        <v>0</v>
      </c>
      <c r="H134" s="6">
        <v>130</v>
      </c>
      <c r="I134" s="6">
        <f t="shared" ca="1" si="0"/>
        <v>130</v>
      </c>
      <c r="J134" s="6">
        <f ca="1">IFERROR(__xludf.DUMMYFUNCTION("IFERROR(GOOGLEFINANCE(B134, ""volume""), 0)"),0)</f>
        <v>0</v>
      </c>
      <c r="K134" s="6">
        <v>-1.03</v>
      </c>
      <c r="L134" s="6">
        <f ca="1">IFERROR(__xludf.DUMMYFUNCTION("IFERROR(GOOGLEFINANCE(B134,""changepct""),K134)"),-1.03)</f>
        <v>-1.03</v>
      </c>
      <c r="M134" s="6">
        <f ca="1">IFERROR(__xludf.DUMMYFUNCTION("IFERROR(GOOGLEFINANCE(B134,""change""),0)"),0)</f>
        <v>0</v>
      </c>
      <c r="N134" s="6">
        <v>1</v>
      </c>
      <c r="O134" s="7">
        <v>45352</v>
      </c>
      <c r="P134" s="6">
        <v>29.25</v>
      </c>
      <c r="Q134" s="6">
        <v>261.08</v>
      </c>
      <c r="R134" s="14"/>
      <c r="S134" s="9"/>
      <c r="T134" s="9"/>
      <c r="U134" s="7">
        <v>45352</v>
      </c>
      <c r="V134" s="6">
        <v>26.73</v>
      </c>
      <c r="W134" s="6">
        <f ca="1">IFERROR(__xludf.DUMMYFUNCTION("IFERROR(GOOGLEFINANCE(B134,""pe""),V134)"),26.73)</f>
        <v>26.73</v>
      </c>
      <c r="X134" s="9"/>
      <c r="Y134" s="6">
        <v>2.94</v>
      </c>
      <c r="Z134" s="6">
        <v>1</v>
      </c>
      <c r="AA134" s="8">
        <v>45352</v>
      </c>
      <c r="AB134" s="4">
        <v>1.79</v>
      </c>
      <c r="AC134" s="6">
        <v>72.59</v>
      </c>
      <c r="AD134" s="6">
        <v>34.96</v>
      </c>
      <c r="AE134" s="1">
        <v>0</v>
      </c>
      <c r="AF134" s="1">
        <f ca="1">IFERROR(__xludf.DUMMYFUNCTION("IFERROR(GOOGLEFINANCE(TRIM(F134)&amp;"":"" &amp; TRIM(B134),""high52""),AE134)"),0)</f>
        <v>0</v>
      </c>
      <c r="AG134" s="1">
        <v>0</v>
      </c>
      <c r="AH134" s="1">
        <f ca="1">IFERROR(__xludf.DUMMYFUNCTION("IFERROR(GOOGLEFINANCE(TRIM(F134)&amp;"":"" &amp; TRIM(B134),""low52""),AE134)"),0)</f>
        <v>0</v>
      </c>
      <c r="AI134" s="1">
        <f ca="1">IFERROR(__xludf.DUMMYFUNCTION("IFERROR(GOOGLEFINANCE(B134,""eps""),0)"),0)</f>
        <v>0</v>
      </c>
      <c r="AJ134" s="1"/>
      <c r="AK134" s="1" t="s">
        <v>474</v>
      </c>
      <c r="AL134" s="9">
        <f t="shared" si="31"/>
        <v>1</v>
      </c>
    </row>
    <row r="135" spans="1:38" ht="15" x14ac:dyDescent="0.25">
      <c r="A135" s="1" t="s">
        <v>475</v>
      </c>
      <c r="B135" s="1" t="s">
        <v>476</v>
      </c>
      <c r="C135" s="1" t="s">
        <v>355</v>
      </c>
      <c r="D135" s="1" t="s">
        <v>355</v>
      </c>
      <c r="E135" s="6">
        <v>373.64</v>
      </c>
      <c r="F135" s="1" t="s">
        <v>53</v>
      </c>
      <c r="G135" s="6">
        <f ca="1">IFERROR(__xludf.DUMMYFUNCTION("iferror(GOOGLEFINANCE(TRIM(F135)&amp;"":"" &amp; TRIM(B135), ""price""),0
)"),0)</f>
        <v>0</v>
      </c>
      <c r="H135" s="6">
        <v>170.3</v>
      </c>
      <c r="I135" s="6">
        <f t="shared" ca="1" si="0"/>
        <v>170.3</v>
      </c>
      <c r="J135" s="6">
        <f ca="1">IFERROR(__xludf.DUMMYFUNCTION("IFERROR(GOOGLEFINANCE(B135, ""volume""), 0)"),0)</f>
        <v>0</v>
      </c>
      <c r="K135" s="6">
        <v>1.01</v>
      </c>
      <c r="L135" s="6">
        <f ca="1">IFERROR(__xludf.DUMMYFUNCTION("IFERROR(GOOGLEFINANCE(B135,""changepct""),K135)"),1.01)</f>
        <v>1.01</v>
      </c>
      <c r="M135" s="6">
        <f ca="1">IFERROR(__xludf.DUMMYFUNCTION("IFERROR(GOOGLEFINANCE(B135,""change""),0)"),0)</f>
        <v>0</v>
      </c>
      <c r="N135" s="6">
        <v>2</v>
      </c>
      <c r="O135" s="7">
        <v>45536</v>
      </c>
      <c r="P135" s="6">
        <v>31.19</v>
      </c>
      <c r="Q135" s="6">
        <v>402.39</v>
      </c>
      <c r="R135" s="7">
        <v>45536</v>
      </c>
      <c r="S135" s="6">
        <v>150.03</v>
      </c>
      <c r="T135" s="6">
        <v>4.6500000000000004</v>
      </c>
      <c r="U135" s="7">
        <v>45536</v>
      </c>
      <c r="V135" s="6">
        <v>79.72</v>
      </c>
      <c r="W135" s="6">
        <f ca="1">IFERROR(__xludf.DUMMYFUNCTION("IFERROR(GOOGLEFINANCE(B135,""pe""),V135)"),79.72)</f>
        <v>79.72</v>
      </c>
      <c r="X135" s="9"/>
      <c r="Y135" s="6">
        <v>5.98</v>
      </c>
      <c r="Z135" s="6">
        <v>2</v>
      </c>
      <c r="AA135" s="8">
        <v>45352</v>
      </c>
      <c r="AB135" s="4">
        <v>0.63</v>
      </c>
      <c r="AC135" s="6">
        <v>20.64</v>
      </c>
      <c r="AD135" s="6">
        <v>11.43</v>
      </c>
      <c r="AE135" s="1">
        <v>0</v>
      </c>
      <c r="AF135" s="1">
        <f ca="1">IFERROR(__xludf.DUMMYFUNCTION("IFERROR(GOOGLEFINANCE(TRIM(F135)&amp;"":"" &amp; TRIM(B135),""high52""),AE135)"),0)</f>
        <v>0</v>
      </c>
      <c r="AG135" s="1">
        <v>0</v>
      </c>
      <c r="AH135" s="1">
        <f ca="1">IFERROR(__xludf.DUMMYFUNCTION("IFERROR(GOOGLEFINANCE(TRIM(F135)&amp;"":"" &amp; TRIM(B135),""low52""),AE135)"),0)</f>
        <v>0</v>
      </c>
      <c r="AI135" s="1">
        <f ca="1">IFERROR(__xludf.DUMMYFUNCTION("IFERROR(GOOGLEFINANCE(B135,""eps""),0)"),0)</f>
        <v>0</v>
      </c>
      <c r="AJ135" s="1"/>
      <c r="AK135" s="1" t="s">
        <v>477</v>
      </c>
      <c r="AL135" s="1" t="b">
        <f t="shared" ref="AL135:AL136" si="32">ISNUMBER(AA135)</f>
        <v>1</v>
      </c>
    </row>
    <row r="136" spans="1:38" ht="15" x14ac:dyDescent="0.25">
      <c r="A136" s="1" t="s">
        <v>478</v>
      </c>
      <c r="B136" s="1" t="s">
        <v>479</v>
      </c>
      <c r="C136" s="1" t="s">
        <v>355</v>
      </c>
      <c r="D136" s="1" t="s">
        <v>355</v>
      </c>
      <c r="E136" s="6">
        <v>114.16</v>
      </c>
      <c r="F136" s="1" t="s">
        <v>53</v>
      </c>
      <c r="G136" s="6">
        <f ca="1">IFERROR(__xludf.DUMMYFUNCTION("iferror(GOOGLEFINANCE(TRIM(F136)&amp;"":"" &amp; TRIM(B136), ""price""),0
)"),0)</f>
        <v>0</v>
      </c>
      <c r="H136" s="6">
        <v>100.16</v>
      </c>
      <c r="I136" s="6">
        <f t="shared" ca="1" si="0"/>
        <v>100.16</v>
      </c>
      <c r="J136" s="6">
        <f ca="1">IFERROR(__xludf.DUMMYFUNCTION("IFERROR(GOOGLEFINANCE(B136, ""volume""), 0)"),0)</f>
        <v>0</v>
      </c>
      <c r="K136" s="6">
        <v>0.11</v>
      </c>
      <c r="L136" s="6">
        <f ca="1">IFERROR(__xludf.DUMMYFUNCTION("IFERROR(GOOGLEFINANCE(B136,""changepct""),K136)"),0.11)</f>
        <v>0.11</v>
      </c>
      <c r="M136" s="6">
        <f ca="1">IFERROR(__xludf.DUMMYFUNCTION("IFERROR(GOOGLEFINANCE(B136,""change""),0)"),0)</f>
        <v>0</v>
      </c>
      <c r="N136" s="6">
        <v>2</v>
      </c>
      <c r="O136" s="7">
        <v>45536</v>
      </c>
      <c r="P136" s="6">
        <v>43.09</v>
      </c>
      <c r="Q136" s="6">
        <v>157.25</v>
      </c>
      <c r="R136" s="7">
        <v>45536</v>
      </c>
      <c r="S136" s="6">
        <v>82.2</v>
      </c>
      <c r="T136" s="6">
        <v>-2.09</v>
      </c>
      <c r="U136" s="7">
        <v>45536</v>
      </c>
      <c r="V136" s="6">
        <v>0</v>
      </c>
      <c r="W136" s="6">
        <f ca="1">IFERROR(__xludf.DUMMYFUNCTION("IFERROR(GOOGLEFINANCE(B136,""pe""),V136)"),0)</f>
        <v>0</v>
      </c>
      <c r="X136" s="6">
        <v>0</v>
      </c>
      <c r="Y136" s="6">
        <v>3.29</v>
      </c>
      <c r="Z136" s="6">
        <v>2</v>
      </c>
      <c r="AA136" s="8">
        <v>45352</v>
      </c>
      <c r="AB136" s="4">
        <v>1.0900000000000001</v>
      </c>
      <c r="AC136" s="6">
        <v>0.24</v>
      </c>
      <c r="AD136" s="6">
        <v>4.37</v>
      </c>
      <c r="AE136" s="1">
        <v>0</v>
      </c>
      <c r="AF136" s="1">
        <f ca="1">IFERROR(__xludf.DUMMYFUNCTION("IFERROR(GOOGLEFINANCE(TRIM(F136)&amp;"":"" &amp; TRIM(B136),""high52""),AE136)"),0)</f>
        <v>0</v>
      </c>
      <c r="AG136" s="1">
        <v>0</v>
      </c>
      <c r="AH136" s="1">
        <f ca="1">IFERROR(__xludf.DUMMYFUNCTION("IFERROR(GOOGLEFINANCE(TRIM(F136)&amp;"":"" &amp; TRIM(B136),""low52""),AE136)"),0)</f>
        <v>0</v>
      </c>
      <c r="AI136" s="1">
        <f ca="1">IFERROR(__xludf.DUMMYFUNCTION("IFERROR(GOOGLEFINANCE(B136,""eps""),0)"),0)</f>
        <v>0</v>
      </c>
      <c r="AJ136" s="1"/>
      <c r="AK136" s="1" t="s">
        <v>480</v>
      </c>
      <c r="AL136" s="1" t="b">
        <f t="shared" si="32"/>
        <v>1</v>
      </c>
    </row>
    <row r="137" spans="1:38" ht="15" x14ac:dyDescent="0.25">
      <c r="A137" s="1" t="s">
        <v>481</v>
      </c>
      <c r="B137" s="1" t="s">
        <v>482</v>
      </c>
      <c r="C137" s="1" t="s">
        <v>483</v>
      </c>
      <c r="D137" s="1" t="s">
        <v>483</v>
      </c>
      <c r="E137" s="6">
        <v>7175.59</v>
      </c>
      <c r="F137" s="1" t="s">
        <v>40</v>
      </c>
      <c r="G137" s="6">
        <f ca="1">IFERROR(__xludf.DUMMYFUNCTION("iferror(GOOGLEFINANCE(TRIM(F137)&amp;"":"" &amp; TRIM(B137), ""price""),0
)"),627.9)</f>
        <v>627.9</v>
      </c>
      <c r="H137" s="6">
        <v>1083.7</v>
      </c>
      <c r="I137" s="6">
        <f t="shared" ca="1" si="0"/>
        <v>627.9</v>
      </c>
      <c r="J137" s="6">
        <f ca="1">IFERROR(__xludf.DUMMYFUNCTION("IFERROR(GOOGLEFINANCE(B137, ""volume""), 0)"),14585)</f>
        <v>14585</v>
      </c>
      <c r="K137" s="6">
        <v>-2.36</v>
      </c>
      <c r="L137" s="6">
        <f ca="1">IFERROR(__xludf.DUMMYFUNCTION("IFERROR(GOOGLEFINANCE(B137,""changepct""),K137)"),-12.39)</f>
        <v>-12.39</v>
      </c>
      <c r="M137" s="6">
        <f ca="1">IFERROR(__xludf.DUMMYFUNCTION("IFERROR(GOOGLEFINANCE(B137,""change""),0)"),-5.22)</f>
        <v>-5.22</v>
      </c>
      <c r="N137" s="6">
        <v>2</v>
      </c>
      <c r="O137" s="7">
        <v>45536</v>
      </c>
      <c r="P137" s="6">
        <v>601.98</v>
      </c>
      <c r="Q137" s="6">
        <v>7508.99</v>
      </c>
      <c r="R137" s="7">
        <v>43525</v>
      </c>
      <c r="S137" s="6">
        <v>2712.37</v>
      </c>
      <c r="T137" s="6">
        <v>70.02</v>
      </c>
      <c r="U137" s="7">
        <v>43525</v>
      </c>
      <c r="V137" s="6">
        <v>102.44</v>
      </c>
      <c r="W137" s="6">
        <f ca="1">IFERROR(__xludf.DUMMYFUNCTION("IFERROR(GOOGLEFINANCE(B137,""pe""),V137)"),102.44)</f>
        <v>102.44</v>
      </c>
      <c r="X137" s="6">
        <v>1.36</v>
      </c>
      <c r="Y137" s="9"/>
      <c r="Z137" s="6">
        <v>1</v>
      </c>
      <c r="AA137" s="8">
        <v>45352</v>
      </c>
      <c r="AB137" s="4">
        <v>0.34</v>
      </c>
      <c r="AC137" s="6">
        <v>14.69</v>
      </c>
      <c r="AD137" s="6">
        <v>17.91</v>
      </c>
      <c r="AE137" s="1">
        <v>0</v>
      </c>
      <c r="AF137" s="1">
        <f ca="1">IFERROR(__xludf.DUMMYFUNCTION("IFERROR(GOOGLEFINANCE(TRIM(F137)&amp;"":"" &amp; TRIM(B137),""high52""),AE137)"),1009)</f>
        <v>1009</v>
      </c>
      <c r="AG137" s="1">
        <v>0</v>
      </c>
      <c r="AH137" s="1">
        <f ca="1">IFERROR(__xludf.DUMMYFUNCTION("IFERROR(GOOGLEFINANCE(TRIM(F137)&amp;"":"" &amp; TRIM(B137),""low52""),AE137)"),590)</f>
        <v>590</v>
      </c>
      <c r="AI137" s="1">
        <f ca="1">IFERROR(__xludf.DUMMYFUNCTION("IFERROR(GOOGLEFINANCE(B137,""eps""),0)"),0)</f>
        <v>0</v>
      </c>
      <c r="AJ137" s="1"/>
      <c r="AK137" s="1" t="s">
        <v>484</v>
      </c>
      <c r="AL137" s="9">
        <f t="shared" ref="AL137:AL139" si="33">IF(AA137&lt;&gt;AB137,1,0)</f>
        <v>1</v>
      </c>
    </row>
    <row r="138" spans="1:38" ht="15" x14ac:dyDescent="0.25">
      <c r="A138" s="1" t="s">
        <v>485</v>
      </c>
      <c r="B138" s="1" t="s">
        <v>486</v>
      </c>
      <c r="C138" s="1" t="s">
        <v>487</v>
      </c>
      <c r="D138" s="1" t="s">
        <v>487</v>
      </c>
      <c r="E138" s="6">
        <v>2202.4899999999998</v>
      </c>
      <c r="F138" s="1" t="s">
        <v>40</v>
      </c>
      <c r="G138" s="6">
        <f ca="1">IFERROR(__xludf.DUMMYFUNCTION("iferror(GOOGLEFINANCE(TRIM(F138)&amp;"":"" &amp; TRIM(B138), ""price""),0
)"),243)</f>
        <v>243</v>
      </c>
      <c r="H138" s="6">
        <v>1785.65</v>
      </c>
      <c r="I138" s="6">
        <f t="shared" ca="1" si="0"/>
        <v>243</v>
      </c>
      <c r="J138" s="6">
        <f ca="1">IFERROR(__xludf.DUMMYFUNCTION("IFERROR(GOOGLEFINANCE(B138, ""volume""), 0)"),229022)</f>
        <v>229022</v>
      </c>
      <c r="K138" s="6">
        <v>-0.01</v>
      </c>
      <c r="L138" s="6">
        <f ca="1">IFERROR(__xludf.DUMMYFUNCTION("IFERROR(GOOGLEFINANCE(B138,""changepct""),K138)"),-2.45)</f>
        <v>-2.4500000000000002</v>
      </c>
      <c r="M138" s="6">
        <f ca="1">IFERROR(__xludf.DUMMYFUNCTION("IFERROR(GOOGLEFINANCE(B138,""change""),0)"),-6.1)</f>
        <v>-6.1</v>
      </c>
      <c r="N138" s="6">
        <v>2</v>
      </c>
      <c r="O138" s="7">
        <v>45536</v>
      </c>
      <c r="P138" s="6">
        <v>141.91999999999999</v>
      </c>
      <c r="Q138" s="6">
        <v>2249.0700000000002</v>
      </c>
      <c r="R138" s="7">
        <v>45536</v>
      </c>
      <c r="S138" s="6">
        <v>302.8</v>
      </c>
      <c r="T138" s="6">
        <v>56.12</v>
      </c>
      <c r="U138" s="7">
        <v>45536</v>
      </c>
      <c r="V138" s="6">
        <v>39.24</v>
      </c>
      <c r="W138" s="6">
        <f ca="1">IFERROR(__xludf.DUMMYFUNCTION("IFERROR(GOOGLEFINANCE(B138,""pe""),V138)"),38.63)</f>
        <v>38.630000000000003</v>
      </c>
      <c r="X138" s="6">
        <v>0.95</v>
      </c>
      <c r="Y138" s="6">
        <v>8.56</v>
      </c>
      <c r="Z138" s="6">
        <v>2</v>
      </c>
      <c r="AA138" s="8">
        <v>45352</v>
      </c>
      <c r="AB138" s="4">
        <v>0.61</v>
      </c>
      <c r="AC138" s="6">
        <v>26.24</v>
      </c>
      <c r="AD138" s="6">
        <v>25.14</v>
      </c>
      <c r="AE138" s="1">
        <v>0</v>
      </c>
      <c r="AF138" s="1">
        <f ca="1">IFERROR(__xludf.DUMMYFUNCTION("IFERROR(GOOGLEFINANCE(TRIM(F138)&amp;"":"" &amp; TRIM(B138),""high52""),AE138)"),308.8)</f>
        <v>308.8</v>
      </c>
      <c r="AG138" s="1">
        <v>0</v>
      </c>
      <c r="AH138" s="1">
        <f ca="1">IFERROR(__xludf.DUMMYFUNCTION("IFERROR(GOOGLEFINANCE(TRIM(F138)&amp;"":"" &amp; TRIM(B138),""low52""),AE138)"),137)</f>
        <v>137</v>
      </c>
      <c r="AI138" s="1">
        <f ca="1">IFERROR(__xludf.DUMMYFUNCTION("IFERROR(GOOGLEFINANCE(B138,""eps""),0)"),6.29)</f>
        <v>6.29</v>
      </c>
      <c r="AJ138" s="1"/>
      <c r="AK138" s="6">
        <v>50.05</v>
      </c>
      <c r="AL138" s="9">
        <f t="shared" si="33"/>
        <v>1</v>
      </c>
    </row>
    <row r="139" spans="1:38" ht="15" x14ac:dyDescent="0.25">
      <c r="A139" s="1" t="s">
        <v>488</v>
      </c>
      <c r="B139" s="1" t="s">
        <v>489</v>
      </c>
      <c r="C139" s="1" t="s">
        <v>86</v>
      </c>
      <c r="D139" s="1" t="s">
        <v>86</v>
      </c>
      <c r="E139" s="6">
        <v>76.97</v>
      </c>
      <c r="F139" s="1" t="s">
        <v>40</v>
      </c>
      <c r="G139" s="6">
        <f ca="1">IFERROR(__xludf.DUMMYFUNCTION("iferror(GOOGLEFINANCE(TRIM(F139)&amp;"":"" &amp; TRIM(B139), ""price""),0
)"),0)</f>
        <v>0</v>
      </c>
      <c r="H139" s="6">
        <v>39.1</v>
      </c>
      <c r="I139" s="6">
        <f t="shared" ca="1" si="0"/>
        <v>39.1</v>
      </c>
      <c r="J139" s="6">
        <f ca="1">IFERROR(__xludf.DUMMYFUNCTION("IFERROR(GOOGLEFINANCE(B139, ""volume""), 0)"),0)</f>
        <v>0</v>
      </c>
      <c r="K139" s="6">
        <v>-0.76</v>
      </c>
      <c r="L139" s="6">
        <f ca="1">IFERROR(__xludf.DUMMYFUNCTION("IFERROR(GOOGLEFINANCE(B139,""changepct""),K139)"),-0.76)</f>
        <v>-0.76</v>
      </c>
      <c r="M139" s="6">
        <f ca="1">IFERROR(__xludf.DUMMYFUNCTION("IFERROR(GOOGLEFINANCE(B139,""change""),0)"),0)</f>
        <v>0</v>
      </c>
      <c r="N139" s="6">
        <v>1</v>
      </c>
      <c r="O139" s="7">
        <v>45536</v>
      </c>
      <c r="P139" s="6">
        <v>10.029999999999999</v>
      </c>
      <c r="Q139" s="6">
        <v>87</v>
      </c>
      <c r="R139" s="7">
        <v>45352</v>
      </c>
      <c r="S139" s="6">
        <v>35.270000000000003</v>
      </c>
      <c r="T139" s="6">
        <v>0.38</v>
      </c>
      <c r="U139" s="7">
        <v>45352</v>
      </c>
      <c r="V139" s="6">
        <v>200.12</v>
      </c>
      <c r="W139" s="6">
        <f ca="1">IFERROR(__xludf.DUMMYFUNCTION("IFERROR(GOOGLEFINANCE(B139,""pe""),V139)"),200.12)</f>
        <v>200.12</v>
      </c>
      <c r="X139" s="9"/>
      <c r="Y139" s="6">
        <v>2.5</v>
      </c>
      <c r="Z139" s="6">
        <v>1</v>
      </c>
      <c r="AA139" s="8">
        <v>45352</v>
      </c>
      <c r="AB139" s="4">
        <v>0.28999999999999998</v>
      </c>
      <c r="AC139" s="6">
        <v>1.25</v>
      </c>
      <c r="AD139" s="6">
        <v>5.51</v>
      </c>
      <c r="AE139" s="1">
        <v>0</v>
      </c>
      <c r="AF139" s="1">
        <f ca="1">IFERROR(__xludf.DUMMYFUNCTION("IFERROR(GOOGLEFINANCE(TRIM(F139)&amp;"":"" &amp; TRIM(B139),""high52""),AE139)"),0)</f>
        <v>0</v>
      </c>
      <c r="AG139" s="1">
        <v>0</v>
      </c>
      <c r="AH139" s="1">
        <f ca="1">IFERROR(__xludf.DUMMYFUNCTION("IFERROR(GOOGLEFINANCE(TRIM(F139)&amp;"":"" &amp; TRIM(B139),""low52""),AE139)"),0)</f>
        <v>0</v>
      </c>
      <c r="AI139" s="1">
        <f ca="1">IFERROR(__xludf.DUMMYFUNCTION("IFERROR(GOOGLEFINANCE(B139,""eps""),0)"),0)</f>
        <v>0</v>
      </c>
      <c r="AJ139" s="1"/>
      <c r="AK139" s="1" t="s">
        <v>490</v>
      </c>
      <c r="AL139" s="9">
        <f t="shared" si="33"/>
        <v>1</v>
      </c>
    </row>
    <row r="140" spans="1:38" ht="15" x14ac:dyDescent="0.25">
      <c r="A140" s="1" t="s">
        <v>491</v>
      </c>
      <c r="B140" s="1" t="s">
        <v>492</v>
      </c>
      <c r="C140" s="1" t="s">
        <v>355</v>
      </c>
      <c r="D140" s="1" t="s">
        <v>355</v>
      </c>
      <c r="E140" s="6">
        <v>153.66999999999999</v>
      </c>
      <c r="F140" s="1" t="s">
        <v>53</v>
      </c>
      <c r="G140" s="6">
        <f ca="1">IFERROR(__xludf.DUMMYFUNCTION("iferror(GOOGLEFINANCE(TRIM(F140)&amp;"":"" &amp; TRIM(B140), ""price""),0
)"),0)</f>
        <v>0</v>
      </c>
      <c r="H140" s="6">
        <v>257.39999999999998</v>
      </c>
      <c r="I140" s="6">
        <f t="shared" ca="1" si="0"/>
        <v>257.39999999999998</v>
      </c>
      <c r="J140" s="6">
        <f ca="1">IFERROR(__xludf.DUMMYFUNCTION("IFERROR(GOOGLEFINANCE(B140, ""volume""), 0)"),0)</f>
        <v>0</v>
      </c>
      <c r="K140" s="6">
        <v>2.8</v>
      </c>
      <c r="L140" s="6">
        <f ca="1">IFERROR(__xludf.DUMMYFUNCTION("IFERROR(GOOGLEFINANCE(B140,""changepct""),K140)"),2.8)</f>
        <v>2.8</v>
      </c>
      <c r="M140" s="6">
        <f ca="1">IFERROR(__xludf.DUMMYFUNCTION("IFERROR(GOOGLEFINANCE(B140,""change""),0)"),0)</f>
        <v>0</v>
      </c>
      <c r="N140" s="6">
        <v>1</v>
      </c>
      <c r="O140" s="7">
        <v>45536</v>
      </c>
      <c r="P140" s="6">
        <v>141.46</v>
      </c>
      <c r="Q140" s="6">
        <v>294.74</v>
      </c>
      <c r="R140" s="7">
        <v>45536</v>
      </c>
      <c r="S140" s="6">
        <v>353.32</v>
      </c>
      <c r="T140" s="6">
        <v>5.85</v>
      </c>
      <c r="U140" s="7">
        <v>45536</v>
      </c>
      <c r="V140" s="6">
        <v>26.26</v>
      </c>
      <c r="W140" s="6">
        <f ca="1">IFERROR(__xludf.DUMMYFUNCTION("IFERROR(GOOGLEFINANCE(B140,""pe""),V140)"),26.26)</f>
        <v>26.26</v>
      </c>
      <c r="X140" s="6">
        <v>0.47</v>
      </c>
      <c r="Y140" s="6">
        <v>3.18</v>
      </c>
      <c r="Z140" s="6">
        <v>1</v>
      </c>
      <c r="AA140" s="8">
        <v>45352</v>
      </c>
      <c r="AB140" s="4">
        <v>1.97</v>
      </c>
      <c r="AC140" s="6">
        <v>8.6</v>
      </c>
      <c r="AD140" s="6">
        <v>9.11</v>
      </c>
      <c r="AE140" s="1">
        <v>0</v>
      </c>
      <c r="AF140" s="1">
        <f ca="1">IFERROR(__xludf.DUMMYFUNCTION("IFERROR(GOOGLEFINANCE(TRIM(F140)&amp;"":"" &amp; TRIM(B140),""high52""),AE140)"),0)</f>
        <v>0</v>
      </c>
      <c r="AG140" s="1">
        <v>0</v>
      </c>
      <c r="AH140" s="1">
        <f ca="1">IFERROR(__xludf.DUMMYFUNCTION("IFERROR(GOOGLEFINANCE(TRIM(F140)&amp;"":"" &amp; TRIM(B140),""low52""),AE140)"),0)</f>
        <v>0</v>
      </c>
      <c r="AI140" s="1">
        <f ca="1">IFERROR(__xludf.DUMMYFUNCTION("IFERROR(GOOGLEFINANCE(B140,""eps""),0)"),0)</f>
        <v>0</v>
      </c>
      <c r="AJ140" s="1"/>
      <c r="AK140" s="1" t="s">
        <v>493</v>
      </c>
      <c r="AL140" s="1" t="b">
        <f t="shared" ref="AL140:AL142" si="34">ISNUMBER(AA140)</f>
        <v>1</v>
      </c>
    </row>
    <row r="141" spans="1:38" ht="15" x14ac:dyDescent="0.25">
      <c r="A141" s="1" t="s">
        <v>494</v>
      </c>
      <c r="B141" s="1" t="s">
        <v>495</v>
      </c>
      <c r="C141" s="1" t="s">
        <v>99</v>
      </c>
      <c r="D141" s="1" t="s">
        <v>99</v>
      </c>
      <c r="E141" s="6">
        <v>120.2</v>
      </c>
      <c r="F141" s="1" t="s">
        <v>40</v>
      </c>
      <c r="G141" s="6">
        <f ca="1">IFERROR(__xludf.DUMMYFUNCTION("iferror(GOOGLEFINANCE(TRIM(F141)&amp;"":"" &amp; TRIM(B141), ""price""),0
)"),144.8)</f>
        <v>144.80000000000001</v>
      </c>
      <c r="H141" s="6">
        <v>205.03</v>
      </c>
      <c r="I141" s="6">
        <f t="shared" ca="1" si="0"/>
        <v>144.80000000000001</v>
      </c>
      <c r="J141" s="6">
        <f ca="1">IFERROR(__xludf.DUMMYFUNCTION("IFERROR(GOOGLEFINANCE(B141, ""volume""), 0)"),8194)</f>
        <v>8194</v>
      </c>
      <c r="K141" s="6">
        <v>0.51</v>
      </c>
      <c r="L141" s="6">
        <f ca="1">IFERROR(__xludf.DUMMYFUNCTION("IFERROR(GOOGLEFINANCE(B141,""changepct""),K141)"),-0.28)</f>
        <v>-0.28000000000000003</v>
      </c>
      <c r="M141" s="6">
        <f ca="1">IFERROR(__xludf.DUMMYFUNCTION("IFERROR(GOOGLEFINANCE(B141,""change""),0)"),-0.4)</f>
        <v>-0.4</v>
      </c>
      <c r="N141" s="6">
        <v>1</v>
      </c>
      <c r="O141" s="7">
        <v>45536</v>
      </c>
      <c r="P141" s="9"/>
      <c r="Q141" s="6">
        <v>120.2</v>
      </c>
      <c r="R141" s="7">
        <v>45536</v>
      </c>
      <c r="S141" s="6">
        <v>0.09</v>
      </c>
      <c r="T141" s="6">
        <v>9.15</v>
      </c>
      <c r="U141" s="7">
        <v>45536</v>
      </c>
      <c r="V141" s="6">
        <v>13.14</v>
      </c>
      <c r="W141" s="6">
        <f ca="1">IFERROR(__xludf.DUMMYFUNCTION("IFERROR(GOOGLEFINANCE(B141,""pe""),V141)"),13.14)</f>
        <v>13.14</v>
      </c>
      <c r="X141" s="6">
        <v>0.19</v>
      </c>
      <c r="Y141" s="6">
        <v>1.2</v>
      </c>
      <c r="Z141" s="6">
        <v>1</v>
      </c>
      <c r="AA141" s="8">
        <v>45352</v>
      </c>
      <c r="AB141" s="4">
        <v>0</v>
      </c>
      <c r="AC141" s="6">
        <v>10.11</v>
      </c>
      <c r="AD141" s="6">
        <v>9.69</v>
      </c>
      <c r="AE141" s="1">
        <v>0</v>
      </c>
      <c r="AF141" s="1">
        <f ca="1">IFERROR(__xludf.DUMMYFUNCTION("IFERROR(GOOGLEFINANCE(TRIM(F141)&amp;"":"" &amp; TRIM(B141),""high52""),AE141)"),207.8)</f>
        <v>207.8</v>
      </c>
      <c r="AG141" s="1">
        <v>0</v>
      </c>
      <c r="AH141" s="1">
        <f ca="1">IFERROR(__xludf.DUMMYFUNCTION("IFERROR(GOOGLEFINANCE(TRIM(F141)&amp;"":"" &amp; TRIM(B141),""low52""),AE141)"),103.25)</f>
        <v>103.25</v>
      </c>
      <c r="AI141" s="1">
        <f ca="1">IFERROR(__xludf.DUMMYFUNCTION("IFERROR(GOOGLEFINANCE(B141,""eps""),0)"),-0.74)</f>
        <v>-0.74</v>
      </c>
      <c r="AJ141" s="1"/>
      <c r="AK141" s="1" t="s">
        <v>496</v>
      </c>
      <c r="AL141" s="1" t="b">
        <f t="shared" si="34"/>
        <v>1</v>
      </c>
    </row>
    <row r="142" spans="1:38" ht="15" x14ac:dyDescent="0.25">
      <c r="A142" s="1" t="s">
        <v>497</v>
      </c>
      <c r="B142" s="1" t="s">
        <v>498</v>
      </c>
      <c r="C142" s="1" t="s">
        <v>355</v>
      </c>
      <c r="D142" s="1" t="s">
        <v>355</v>
      </c>
      <c r="E142" s="6">
        <v>376.58</v>
      </c>
      <c r="F142" s="1" t="s">
        <v>53</v>
      </c>
      <c r="G142" s="6">
        <f ca="1">IFERROR(__xludf.DUMMYFUNCTION("iferror(GOOGLEFINANCE(TRIM(F142)&amp;"":"" &amp; TRIM(B142), ""price""),0
)"),0)</f>
        <v>0</v>
      </c>
      <c r="H142" s="6">
        <v>74.260000000000005</v>
      </c>
      <c r="I142" s="6">
        <f t="shared" ca="1" si="0"/>
        <v>74.260000000000005</v>
      </c>
      <c r="J142" s="6">
        <f ca="1">IFERROR(__xludf.DUMMYFUNCTION("IFERROR(GOOGLEFINANCE(B142, ""volume""), 0)"),0)</f>
        <v>0</v>
      </c>
      <c r="K142" s="6">
        <v>0.56999999999999995</v>
      </c>
      <c r="L142" s="6">
        <f ca="1">IFERROR(__xludf.DUMMYFUNCTION("IFERROR(GOOGLEFINANCE(B142,""changepct""),K142)"),0.57)</f>
        <v>0.56999999999999995</v>
      </c>
      <c r="M142" s="6">
        <f ca="1">IFERROR(__xludf.DUMMYFUNCTION("IFERROR(GOOGLEFINANCE(B142,""change""),0)"),0)</f>
        <v>0</v>
      </c>
      <c r="N142" s="6">
        <v>2</v>
      </c>
      <c r="O142" s="7">
        <v>45536</v>
      </c>
      <c r="P142" s="6">
        <v>15.72</v>
      </c>
      <c r="Q142" s="6">
        <v>386.25</v>
      </c>
      <c r="R142" s="7">
        <v>45536</v>
      </c>
      <c r="S142" s="6">
        <v>254.13</v>
      </c>
      <c r="T142" s="6">
        <v>25.36</v>
      </c>
      <c r="U142" s="7">
        <v>45536</v>
      </c>
      <c r="V142" s="6">
        <v>14.85</v>
      </c>
      <c r="W142" s="6">
        <f ca="1">IFERROR(__xludf.DUMMYFUNCTION("IFERROR(GOOGLEFINANCE(B142,""pe""),V142)"),14.85)</f>
        <v>14.85</v>
      </c>
      <c r="X142" s="9"/>
      <c r="Y142" s="6">
        <v>2.56</v>
      </c>
      <c r="Z142" s="6">
        <v>2</v>
      </c>
      <c r="AA142" s="8">
        <v>45352</v>
      </c>
      <c r="AB142" s="4">
        <v>0.15</v>
      </c>
      <c r="AC142" s="6">
        <v>20.61</v>
      </c>
      <c r="AD142" s="6">
        <v>25.31</v>
      </c>
      <c r="AE142" s="1">
        <v>0</v>
      </c>
      <c r="AF142" s="1">
        <f ca="1">IFERROR(__xludf.DUMMYFUNCTION("IFERROR(GOOGLEFINANCE(TRIM(F142)&amp;"":"" &amp; TRIM(B142),""high52""),AE142)"),0)</f>
        <v>0</v>
      </c>
      <c r="AG142" s="1">
        <v>0</v>
      </c>
      <c r="AH142" s="1">
        <f ca="1">IFERROR(__xludf.DUMMYFUNCTION("IFERROR(GOOGLEFINANCE(TRIM(F142)&amp;"":"" &amp; TRIM(B142),""low52""),AE142)"),0)</f>
        <v>0</v>
      </c>
      <c r="AI142" s="1">
        <f ca="1">IFERROR(__xludf.DUMMYFUNCTION("IFERROR(GOOGLEFINANCE(B142,""eps""),0)"),0)</f>
        <v>0</v>
      </c>
      <c r="AJ142" s="1"/>
      <c r="AK142" s="1" t="s">
        <v>499</v>
      </c>
      <c r="AL142" s="1" t="b">
        <f t="shared" si="34"/>
        <v>1</v>
      </c>
    </row>
    <row r="143" spans="1:38" ht="15" x14ac:dyDescent="0.25">
      <c r="A143" s="1" t="s">
        <v>500</v>
      </c>
      <c r="B143" s="1" t="s">
        <v>501</v>
      </c>
      <c r="C143" s="1" t="s">
        <v>502</v>
      </c>
      <c r="D143" s="1" t="s">
        <v>502</v>
      </c>
      <c r="E143" s="6">
        <v>82.54</v>
      </c>
      <c r="F143" s="1" t="s">
        <v>40</v>
      </c>
      <c r="G143" s="6">
        <f ca="1">IFERROR(__xludf.DUMMYFUNCTION("iferror(GOOGLEFINANCE(TRIM(F143)&amp;"":"" &amp; TRIM(B143), ""price""),0
)"),35.5)</f>
        <v>35.5</v>
      </c>
      <c r="H143" s="6">
        <v>41.14</v>
      </c>
      <c r="I143" s="6">
        <f t="shared" ca="1" si="0"/>
        <v>35.5</v>
      </c>
      <c r="J143" s="6">
        <f ca="1">IFERROR(__xludf.DUMMYFUNCTION("IFERROR(GOOGLEFINANCE(B143, ""volume""), 0)"),24274)</f>
        <v>24274</v>
      </c>
      <c r="K143" s="6">
        <v>1.06</v>
      </c>
      <c r="L143" s="6">
        <f ca="1">IFERROR(__xludf.DUMMYFUNCTION("IFERROR(GOOGLEFINANCE(B143,""changepct""),K143)"),-4.21)</f>
        <v>-4.21</v>
      </c>
      <c r="M143" s="6">
        <f ca="1">IFERROR(__xludf.DUMMYFUNCTION("IFERROR(GOOGLEFINANCE(B143,""change""),0)"),-1.56)</f>
        <v>-1.56</v>
      </c>
      <c r="N143" s="6">
        <v>2</v>
      </c>
      <c r="O143" s="7">
        <v>45536</v>
      </c>
      <c r="P143" s="6">
        <v>27.81</v>
      </c>
      <c r="Q143" s="6">
        <v>107.53</v>
      </c>
      <c r="R143" s="7">
        <v>45536</v>
      </c>
      <c r="S143" s="6">
        <v>78.44</v>
      </c>
      <c r="T143" s="6">
        <v>-8.25</v>
      </c>
      <c r="U143" s="7">
        <v>45536</v>
      </c>
      <c r="V143" s="6">
        <v>0</v>
      </c>
      <c r="W143" s="6">
        <f ca="1">IFERROR(__xludf.DUMMYFUNCTION("IFERROR(GOOGLEFINANCE(B143,""pe""),V143)"),6.39)</f>
        <v>6.39</v>
      </c>
      <c r="X143" s="9"/>
      <c r="Y143" s="6">
        <v>1.7</v>
      </c>
      <c r="Z143" s="6">
        <v>2</v>
      </c>
      <c r="AA143" s="8">
        <v>45352</v>
      </c>
      <c r="AB143" s="4">
        <v>0.6</v>
      </c>
      <c r="AC143" s="6">
        <v>-10.94</v>
      </c>
      <c r="AD143" s="6">
        <v>-4.93</v>
      </c>
      <c r="AE143" s="1">
        <v>0</v>
      </c>
      <c r="AF143" s="1">
        <f ca="1">IFERROR(__xludf.DUMMYFUNCTION("IFERROR(GOOGLEFINANCE(TRIM(F143)&amp;"":"" &amp; TRIM(B143),""high52""),AE143)"),47.6)</f>
        <v>47.6</v>
      </c>
      <c r="AG143" s="1">
        <v>0</v>
      </c>
      <c r="AH143" s="1">
        <f ca="1">IFERROR(__xludf.DUMMYFUNCTION("IFERROR(GOOGLEFINANCE(TRIM(F143)&amp;"":"" &amp; TRIM(B143),""low52""),AE143)"),27.2)</f>
        <v>27.2</v>
      </c>
      <c r="AI143" s="1">
        <f ca="1">IFERROR(__xludf.DUMMYFUNCTION("IFERROR(GOOGLEFINANCE(B143,""eps""),0)"),5.56)</f>
        <v>5.56</v>
      </c>
      <c r="AJ143" s="1"/>
      <c r="AK143" s="9"/>
      <c r="AL143" s="9">
        <f t="shared" ref="AL143:AL144" si="35">IF(AA143&lt;&gt;AB143,1,0)</f>
        <v>1</v>
      </c>
    </row>
    <row r="144" spans="1:38" ht="15" x14ac:dyDescent="0.25">
      <c r="A144" s="1" t="s">
        <v>503</v>
      </c>
      <c r="B144" s="1" t="s">
        <v>504</v>
      </c>
      <c r="C144" s="1" t="s">
        <v>317</v>
      </c>
      <c r="D144" s="1" t="s">
        <v>317</v>
      </c>
      <c r="E144" s="6">
        <v>2296.56</v>
      </c>
      <c r="F144" s="1" t="s">
        <v>40</v>
      </c>
      <c r="G144" s="6">
        <f ca="1">IFERROR(__xludf.DUMMYFUNCTION("iferror(GOOGLEFINANCE(TRIM(F144)&amp;"":"" &amp; TRIM(B144), ""price""),0
)"),0)</f>
        <v>0</v>
      </c>
      <c r="H144" s="6">
        <v>952.95</v>
      </c>
      <c r="I144" s="6">
        <f t="shared" ca="1" si="0"/>
        <v>952.95</v>
      </c>
      <c r="J144" s="6">
        <f ca="1">IFERROR(__xludf.DUMMYFUNCTION("IFERROR(GOOGLEFINANCE(B144, ""volume""), 0)"),0)</f>
        <v>0</v>
      </c>
      <c r="K144" s="6">
        <v>1.32</v>
      </c>
      <c r="L144" s="6">
        <f ca="1">IFERROR(__xludf.DUMMYFUNCTION("IFERROR(GOOGLEFINANCE(B144,""changepct""),K144)"),1.32)</f>
        <v>1.32</v>
      </c>
      <c r="M144" s="6">
        <f ca="1">IFERROR(__xludf.DUMMYFUNCTION("IFERROR(GOOGLEFINANCE(B144,""change""),0)"),0)</f>
        <v>0</v>
      </c>
      <c r="N144" s="6">
        <v>2</v>
      </c>
      <c r="O144" s="7">
        <v>45536</v>
      </c>
      <c r="P144" s="6">
        <v>5</v>
      </c>
      <c r="Q144" s="6">
        <v>2293.88</v>
      </c>
      <c r="R144" s="7">
        <v>45536</v>
      </c>
      <c r="S144" s="6">
        <v>757.92</v>
      </c>
      <c r="T144" s="6">
        <v>4.25</v>
      </c>
      <c r="U144" s="7">
        <v>45536</v>
      </c>
      <c r="V144" s="6">
        <v>540.37</v>
      </c>
      <c r="W144" s="6">
        <f ca="1">IFERROR(__xludf.DUMMYFUNCTION("IFERROR(GOOGLEFINANCE(B144,""pe""),V144)"),540.37)</f>
        <v>540.37</v>
      </c>
      <c r="X144" s="6">
        <v>-22.15</v>
      </c>
      <c r="Y144" s="6">
        <v>4.67</v>
      </c>
      <c r="Z144" s="6">
        <v>2</v>
      </c>
      <c r="AA144" s="8">
        <v>45352</v>
      </c>
      <c r="AB144" s="4">
        <v>7.0000000000000007E-2</v>
      </c>
      <c r="AC144" s="6">
        <v>2.12</v>
      </c>
      <c r="AD144" s="6">
        <v>3.22</v>
      </c>
      <c r="AE144" s="1">
        <v>0</v>
      </c>
      <c r="AF144" s="1">
        <f ca="1">IFERROR(__xludf.DUMMYFUNCTION("IFERROR(GOOGLEFINANCE(TRIM(F144)&amp;"":"" &amp; TRIM(B144),""high52""),AE144)"),0)</f>
        <v>0</v>
      </c>
      <c r="AG144" s="1">
        <v>0</v>
      </c>
      <c r="AH144" s="1">
        <f ca="1">IFERROR(__xludf.DUMMYFUNCTION("IFERROR(GOOGLEFINANCE(TRIM(F144)&amp;"":"" &amp; TRIM(B144),""low52""),AE144)"),0)</f>
        <v>0</v>
      </c>
      <c r="AI144" s="1">
        <f ca="1">IFERROR(__xludf.DUMMYFUNCTION("IFERROR(GOOGLEFINANCE(B144,""eps""),0)"),0)</f>
        <v>0</v>
      </c>
      <c r="AJ144" s="1"/>
      <c r="AK144" s="1" t="s">
        <v>505</v>
      </c>
      <c r="AL144" s="9">
        <f t="shared" si="35"/>
        <v>1</v>
      </c>
    </row>
    <row r="145" spans="1:38" ht="15" x14ac:dyDescent="0.25">
      <c r="A145" s="1" t="s">
        <v>506</v>
      </c>
      <c r="B145" s="1" t="s">
        <v>507</v>
      </c>
      <c r="C145" s="1" t="s">
        <v>223</v>
      </c>
      <c r="D145" s="1" t="s">
        <v>223</v>
      </c>
      <c r="E145" s="6">
        <v>876.3</v>
      </c>
      <c r="F145" s="1" t="s">
        <v>40</v>
      </c>
      <c r="G145" s="6">
        <f ca="1">IFERROR(__xludf.DUMMYFUNCTION("iferror(GOOGLEFINANCE(TRIM(F145)&amp;"":"" &amp; TRIM(B145), ""price""),0
)"),4.04)</f>
        <v>4.04</v>
      </c>
      <c r="H145" s="6">
        <v>68.680000000000007</v>
      </c>
      <c r="I145" s="6">
        <f t="shared" ca="1" si="0"/>
        <v>4.04</v>
      </c>
      <c r="J145" s="6">
        <f ca="1">IFERROR(__xludf.DUMMYFUNCTION("IFERROR(GOOGLEFINANCE(B145, ""volume""), 0)"),208265)</f>
        <v>208265</v>
      </c>
      <c r="K145" s="6">
        <v>0.62</v>
      </c>
      <c r="L145" s="6">
        <f ca="1">IFERROR(__xludf.DUMMYFUNCTION("IFERROR(GOOGLEFINANCE(B145,""changepct""),K145)"),-1.94)</f>
        <v>-1.94</v>
      </c>
      <c r="M145" s="6">
        <f ca="1">IFERROR(__xludf.DUMMYFUNCTION("IFERROR(GOOGLEFINANCE(B145,""change""),0)"),-0.08)</f>
        <v>-0.08</v>
      </c>
      <c r="N145" s="6">
        <v>2</v>
      </c>
      <c r="O145" s="7">
        <v>45536</v>
      </c>
      <c r="P145" s="6">
        <v>811.09</v>
      </c>
      <c r="Q145" s="6">
        <v>1573.93</v>
      </c>
      <c r="R145" s="7">
        <v>45536</v>
      </c>
      <c r="S145" s="6">
        <v>1414.41</v>
      </c>
      <c r="T145" s="6">
        <v>9.19</v>
      </c>
      <c r="U145" s="7">
        <v>45536</v>
      </c>
      <c r="V145" s="6">
        <v>95.31</v>
      </c>
      <c r="W145" s="6">
        <f ca="1">IFERROR(__xludf.DUMMYFUNCTION("IFERROR(GOOGLEFINANCE(B145,""pe""),V145)"),95.31)</f>
        <v>95.31</v>
      </c>
      <c r="X145" s="12"/>
      <c r="Y145" s="6">
        <v>1.52</v>
      </c>
      <c r="Z145" s="6">
        <v>2</v>
      </c>
      <c r="AA145" s="8">
        <v>45352</v>
      </c>
      <c r="AB145" s="4">
        <v>1.86</v>
      </c>
      <c r="AC145" s="6">
        <v>-16.84</v>
      </c>
      <c r="AD145" s="6">
        <v>1.66</v>
      </c>
      <c r="AE145" s="1">
        <v>0</v>
      </c>
      <c r="AF145" s="1">
        <f ca="1">IFERROR(__xludf.DUMMYFUNCTION("IFERROR(GOOGLEFINANCE(TRIM(F145)&amp;"":"" &amp; TRIM(B145),""high52""),AE145)"),51.5)</f>
        <v>51.5</v>
      </c>
      <c r="AG145" s="1">
        <v>0</v>
      </c>
      <c r="AH145" s="1">
        <f ca="1">IFERROR(__xludf.DUMMYFUNCTION("IFERROR(GOOGLEFINANCE(TRIM(F145)&amp;"":"" &amp; TRIM(B145),""low52""),AE145)"),3.68)</f>
        <v>3.68</v>
      </c>
      <c r="AI145" s="1">
        <f ca="1">IFERROR(__xludf.DUMMYFUNCTION("IFERROR(GOOGLEFINANCE(B145,""eps""),0)"),0)</f>
        <v>0</v>
      </c>
      <c r="AJ145" s="1"/>
      <c r="AK145" s="1" t="s">
        <v>508</v>
      </c>
      <c r="AL145" s="1" t="b">
        <f>ISNUMBER(AA145)</f>
        <v>1</v>
      </c>
    </row>
    <row r="146" spans="1:38" ht="15" x14ac:dyDescent="0.25">
      <c r="A146" s="1" t="s">
        <v>509</v>
      </c>
      <c r="B146" s="1" t="s">
        <v>510</v>
      </c>
      <c r="C146" s="1" t="s">
        <v>82</v>
      </c>
      <c r="D146" s="1" t="s">
        <v>82</v>
      </c>
      <c r="E146" s="6">
        <v>39.28</v>
      </c>
      <c r="F146" s="1" t="s">
        <v>40</v>
      </c>
      <c r="G146" s="6">
        <f ca="1">IFERROR(__xludf.DUMMYFUNCTION("iferror(GOOGLEFINANCE(TRIM(F146)&amp;"":"" &amp; TRIM(B146), ""price""),0
)"),0)</f>
        <v>0</v>
      </c>
      <c r="H146" s="6">
        <v>71.75</v>
      </c>
      <c r="I146" s="6">
        <f t="shared" ca="1" si="0"/>
        <v>71.75</v>
      </c>
      <c r="J146" s="6">
        <f ca="1">IFERROR(__xludf.DUMMYFUNCTION("IFERROR(GOOGLEFINANCE(B146, ""volume""), 0)"),0)</f>
        <v>0</v>
      </c>
      <c r="K146" s="9"/>
      <c r="L146" s="6" t="str">
        <f ca="1">IFERROR(__xludf.DUMMYFUNCTION("IFERROR(GOOGLEFINANCE(B146,""changepct""),K146)"),"")</f>
        <v/>
      </c>
      <c r="M146" s="6">
        <f ca="1">IFERROR(__xludf.DUMMYFUNCTION("IFERROR(GOOGLEFINANCE(B146,""change""),0)"),0)</f>
        <v>0</v>
      </c>
      <c r="N146" s="6">
        <v>1</v>
      </c>
      <c r="O146" s="7">
        <v>45536</v>
      </c>
      <c r="P146" s="6">
        <v>1.44</v>
      </c>
      <c r="Q146" s="6">
        <v>40.72</v>
      </c>
      <c r="R146" s="7">
        <v>45352</v>
      </c>
      <c r="S146" s="6">
        <v>14.55</v>
      </c>
      <c r="T146" s="6">
        <v>-0.93</v>
      </c>
      <c r="U146" s="7">
        <v>45352</v>
      </c>
      <c r="V146" s="6">
        <v>0</v>
      </c>
      <c r="W146" s="6">
        <f ca="1">IFERROR(__xludf.DUMMYFUNCTION("IFERROR(GOOGLEFINANCE(B146,""pe""),V146)"),0)</f>
        <v>0</v>
      </c>
      <c r="X146" s="12"/>
      <c r="Y146" s="6">
        <v>3.08</v>
      </c>
      <c r="Z146" s="6">
        <v>1</v>
      </c>
      <c r="AA146" s="8">
        <v>45352</v>
      </c>
      <c r="AB146" s="4">
        <v>0.17</v>
      </c>
      <c r="AC146" s="6">
        <v>-7.01</v>
      </c>
      <c r="AD146" s="6">
        <v>-4.5599999999999996</v>
      </c>
      <c r="AE146" s="1">
        <v>0</v>
      </c>
      <c r="AF146" s="1">
        <f ca="1">IFERROR(__xludf.DUMMYFUNCTION("IFERROR(GOOGLEFINANCE(TRIM(F146)&amp;"":"" &amp; TRIM(B146),""high52""),AE146)"),0)</f>
        <v>0</v>
      </c>
      <c r="AG146" s="1">
        <v>0</v>
      </c>
      <c r="AH146" s="1">
        <f ca="1">IFERROR(__xludf.DUMMYFUNCTION("IFERROR(GOOGLEFINANCE(TRIM(F146)&amp;"":"" &amp; TRIM(B146),""low52""),AE146)"),0)</f>
        <v>0</v>
      </c>
      <c r="AI146" s="1">
        <f ca="1">IFERROR(__xludf.DUMMYFUNCTION("IFERROR(GOOGLEFINANCE(B146,""eps""),0)"),0)</f>
        <v>0</v>
      </c>
      <c r="AJ146" s="1"/>
      <c r="AK146" s="9"/>
      <c r="AL146" s="9">
        <f t="shared" ref="AL146:AL147" si="36">IF(AA146&lt;&gt;AB146,1,0)</f>
        <v>1</v>
      </c>
    </row>
    <row r="147" spans="1:38" ht="15" x14ac:dyDescent="0.25">
      <c r="A147" s="1" t="s">
        <v>511</v>
      </c>
      <c r="B147" s="1" t="s">
        <v>512</v>
      </c>
      <c r="C147" s="1" t="s">
        <v>112</v>
      </c>
      <c r="D147" s="1" t="s">
        <v>112</v>
      </c>
      <c r="E147" s="6">
        <v>122.75</v>
      </c>
      <c r="F147" s="1" t="s">
        <v>40</v>
      </c>
      <c r="G147" s="6">
        <f ca="1">IFERROR(__xludf.DUMMYFUNCTION("iferror(GOOGLEFINANCE(TRIM(F147)&amp;"":"" &amp; TRIM(B147), ""price""),0
)"),48.1)</f>
        <v>48.1</v>
      </c>
      <c r="H147" s="6">
        <v>94.57</v>
      </c>
      <c r="I147" s="6">
        <f t="shared" ca="1" si="0"/>
        <v>48.1</v>
      </c>
      <c r="J147" s="6">
        <f ca="1">IFERROR(__xludf.DUMMYFUNCTION("IFERROR(GOOGLEFINANCE(B147, ""volume""), 0)"),29828)</f>
        <v>29828</v>
      </c>
      <c r="K147" s="6">
        <v>-0.45</v>
      </c>
      <c r="L147" s="6">
        <f ca="1">IFERROR(__xludf.DUMMYFUNCTION("IFERROR(GOOGLEFINANCE(B147,""changepct""),K147)"),-2.59)</f>
        <v>-2.59</v>
      </c>
      <c r="M147" s="6">
        <f ca="1">IFERROR(__xludf.DUMMYFUNCTION("IFERROR(GOOGLEFINANCE(B147,""change""),0)"),-1.28)</f>
        <v>-1.28</v>
      </c>
      <c r="N147" s="6">
        <v>1</v>
      </c>
      <c r="O147" s="7">
        <v>45536</v>
      </c>
      <c r="P147" s="6">
        <v>40.39</v>
      </c>
      <c r="Q147" s="6">
        <v>163.13999999999999</v>
      </c>
      <c r="R147" s="7">
        <v>45536</v>
      </c>
      <c r="S147" s="6">
        <v>217.13</v>
      </c>
      <c r="T147" s="6">
        <v>11.6</v>
      </c>
      <c r="U147" s="7">
        <v>45536</v>
      </c>
      <c r="V147" s="6">
        <v>10.58</v>
      </c>
      <c r="W147" s="6">
        <f ca="1">IFERROR(__xludf.DUMMYFUNCTION("IFERROR(GOOGLEFINANCE(B147,""pe""),V147)"),26.6)</f>
        <v>26.6</v>
      </c>
      <c r="X147" s="6">
        <v>2.84</v>
      </c>
      <c r="Y147" s="6">
        <v>0.88</v>
      </c>
      <c r="Z147" s="6">
        <v>1</v>
      </c>
      <c r="AA147" s="8">
        <v>45352</v>
      </c>
      <c r="AB147" s="4">
        <v>0.31</v>
      </c>
      <c r="AC147" s="6">
        <v>10.37</v>
      </c>
      <c r="AD147" s="6">
        <v>14.64</v>
      </c>
      <c r="AE147" s="1">
        <v>0</v>
      </c>
      <c r="AF147" s="1">
        <f ca="1">IFERROR(__xludf.DUMMYFUNCTION("IFERROR(GOOGLEFINANCE(TRIM(F147)&amp;"":"" &amp; TRIM(B147),""high52""),AE147)"),89.98)</f>
        <v>89.98</v>
      </c>
      <c r="AG147" s="1">
        <v>0</v>
      </c>
      <c r="AH147" s="1">
        <f ca="1">IFERROR(__xludf.DUMMYFUNCTION("IFERROR(GOOGLEFINANCE(TRIM(F147)&amp;"":"" &amp; TRIM(B147),""low52""),AE147)"),45.85)</f>
        <v>45.85</v>
      </c>
      <c r="AI147" s="1">
        <f ca="1">IFERROR(__xludf.DUMMYFUNCTION("IFERROR(GOOGLEFINANCE(B147,""eps""),0)"),1.81)</f>
        <v>1.81</v>
      </c>
      <c r="AJ147" s="1"/>
      <c r="AK147" s="1" t="s">
        <v>513</v>
      </c>
      <c r="AL147" s="9">
        <f t="shared" si="36"/>
        <v>1</v>
      </c>
    </row>
    <row r="148" spans="1:38" ht="15" x14ac:dyDescent="0.25">
      <c r="A148" s="1" t="s">
        <v>514</v>
      </c>
      <c r="B148" s="1" t="s">
        <v>515</v>
      </c>
      <c r="C148" s="1" t="s">
        <v>355</v>
      </c>
      <c r="D148" s="1" t="s">
        <v>355</v>
      </c>
      <c r="E148" s="6">
        <v>87.79</v>
      </c>
      <c r="F148" s="1" t="s">
        <v>53</v>
      </c>
      <c r="G148" s="6">
        <f ca="1">IFERROR(__xludf.DUMMYFUNCTION("iferror(GOOGLEFINANCE(TRIM(F148)&amp;"":"" &amp; TRIM(B148), ""price""),0
)"),0)</f>
        <v>0</v>
      </c>
      <c r="H148" s="6">
        <v>59.7</v>
      </c>
      <c r="I148" s="6">
        <f t="shared" ca="1" si="0"/>
        <v>59.7</v>
      </c>
      <c r="J148" s="6">
        <f ca="1">IFERROR(__xludf.DUMMYFUNCTION("IFERROR(GOOGLEFINANCE(B148, ""volume""), 0)"),0)</f>
        <v>0</v>
      </c>
      <c r="K148" s="6">
        <v>2.68</v>
      </c>
      <c r="L148" s="6">
        <f ca="1">IFERROR(__xludf.DUMMYFUNCTION("IFERROR(GOOGLEFINANCE(B148,""changepct""),K148)"),2.68)</f>
        <v>2.68</v>
      </c>
      <c r="M148" s="6">
        <f ca="1">IFERROR(__xludf.DUMMYFUNCTION("IFERROR(GOOGLEFINANCE(B148,""change""),0)"),0)</f>
        <v>0</v>
      </c>
      <c r="N148" s="6">
        <v>1</v>
      </c>
      <c r="O148" s="7">
        <v>45536</v>
      </c>
      <c r="P148" s="6">
        <v>4.4800000000000004</v>
      </c>
      <c r="Q148" s="6">
        <v>92.27</v>
      </c>
      <c r="R148" s="7">
        <v>45536</v>
      </c>
      <c r="S148" s="6">
        <v>141.55000000000001</v>
      </c>
      <c r="T148" s="6">
        <v>1.88</v>
      </c>
      <c r="U148" s="7">
        <v>45536</v>
      </c>
      <c r="V148" s="6">
        <v>46.67</v>
      </c>
      <c r="W148" s="6">
        <f ca="1">IFERROR(__xludf.DUMMYFUNCTION("IFERROR(GOOGLEFINANCE(B148,""pe""),V148)"),46.67)</f>
        <v>46.67</v>
      </c>
      <c r="X148" s="6">
        <v>37.64</v>
      </c>
      <c r="Y148" s="6">
        <v>1.43</v>
      </c>
      <c r="Z148" s="6">
        <v>1</v>
      </c>
      <c r="AA148" s="8">
        <v>45352</v>
      </c>
      <c r="AB148" s="4">
        <v>0.09</v>
      </c>
      <c r="AC148" s="6">
        <v>6.34</v>
      </c>
      <c r="AD148" s="6">
        <v>10.44</v>
      </c>
      <c r="AE148" s="1">
        <v>0</v>
      </c>
      <c r="AF148" s="1">
        <f ca="1">IFERROR(__xludf.DUMMYFUNCTION("IFERROR(GOOGLEFINANCE(TRIM(F148)&amp;"":"" &amp; TRIM(B148),""high52""),AE148)"),0)</f>
        <v>0</v>
      </c>
      <c r="AG148" s="1">
        <v>0</v>
      </c>
      <c r="AH148" s="1">
        <f ca="1">IFERROR(__xludf.DUMMYFUNCTION("IFERROR(GOOGLEFINANCE(TRIM(F148)&amp;"":"" &amp; TRIM(B148),""low52""),AE148)"),0)</f>
        <v>0</v>
      </c>
      <c r="AI148" s="1">
        <f ca="1">IFERROR(__xludf.DUMMYFUNCTION("IFERROR(GOOGLEFINANCE(B148,""eps""),0)"),0)</f>
        <v>0</v>
      </c>
      <c r="AJ148" s="1"/>
      <c r="AK148" s="1" t="s">
        <v>516</v>
      </c>
      <c r="AL148" s="1" t="b">
        <f>ISNUMBER(AA148)</f>
        <v>1</v>
      </c>
    </row>
    <row r="149" spans="1:38" ht="15" x14ac:dyDescent="0.25">
      <c r="A149" s="1" t="s">
        <v>517</v>
      </c>
      <c r="B149" s="1" t="s">
        <v>518</v>
      </c>
      <c r="C149" s="1" t="s">
        <v>487</v>
      </c>
      <c r="D149" s="1" t="s">
        <v>487</v>
      </c>
      <c r="E149" s="6">
        <v>6754.69</v>
      </c>
      <c r="F149" s="1" t="s">
        <v>40</v>
      </c>
      <c r="G149" s="6">
        <f ca="1">IFERROR(__xludf.DUMMYFUNCTION("iferror(GOOGLEFINANCE(TRIM(F149)&amp;"":"" &amp; TRIM(B149), ""price""),0
)"),840)</f>
        <v>840</v>
      </c>
      <c r="H149" s="6">
        <v>1000.1</v>
      </c>
      <c r="I149" s="6">
        <f t="shared" ca="1" si="0"/>
        <v>840</v>
      </c>
      <c r="J149" s="6">
        <f ca="1">IFERROR(__xludf.DUMMYFUNCTION("IFERROR(GOOGLEFINANCE(B149, ""volume""), 0)"),94923)</f>
        <v>94923</v>
      </c>
      <c r="K149" s="6">
        <v>-0.6</v>
      </c>
      <c r="L149" s="6">
        <f ca="1">IFERROR(__xludf.DUMMYFUNCTION("IFERROR(GOOGLEFINANCE(B149,""changepct""),K149)"),0.57)</f>
        <v>0.56999999999999995</v>
      </c>
      <c r="M149" s="6">
        <f ca="1">IFERROR(__xludf.DUMMYFUNCTION("IFERROR(GOOGLEFINANCE(B149,""change""),0)"),4.8)</f>
        <v>4.8</v>
      </c>
      <c r="N149" s="6">
        <v>2</v>
      </c>
      <c r="O149" s="7">
        <v>45536</v>
      </c>
      <c r="P149" s="6">
        <v>10.55</v>
      </c>
      <c r="Q149" s="6">
        <v>6002.35</v>
      </c>
      <c r="R149" s="7">
        <v>45536</v>
      </c>
      <c r="S149" s="6">
        <v>4120.96</v>
      </c>
      <c r="T149" s="6">
        <v>339.52</v>
      </c>
      <c r="U149" s="7">
        <v>45536</v>
      </c>
      <c r="V149" s="6">
        <v>19.91</v>
      </c>
      <c r="W149" s="6">
        <f ca="1">IFERROR(__xludf.DUMMYFUNCTION("IFERROR(GOOGLEFINANCE(B149,""pe""),V149)"),21.43)</f>
        <v>21.43</v>
      </c>
      <c r="X149" s="6">
        <v>1.38</v>
      </c>
      <c r="Y149" s="6">
        <v>4.0599999999999996</v>
      </c>
      <c r="Z149" s="6">
        <v>2</v>
      </c>
      <c r="AA149" s="8">
        <v>45352</v>
      </c>
      <c r="AB149" s="4">
        <v>0.03</v>
      </c>
      <c r="AC149" s="6">
        <v>26.51</v>
      </c>
      <c r="AD149" s="6">
        <v>38.43</v>
      </c>
      <c r="AE149" s="1">
        <v>0</v>
      </c>
      <c r="AF149" s="1">
        <f ca="1">IFERROR(__xludf.DUMMYFUNCTION("IFERROR(GOOGLEFINANCE(TRIM(F149)&amp;"":"" &amp; TRIM(B149),""high52""),AE149)"),1125)</f>
        <v>1125</v>
      </c>
      <c r="AG149" s="1">
        <v>0</v>
      </c>
      <c r="AH149" s="1">
        <f ca="1">IFERROR(__xludf.DUMMYFUNCTION("IFERROR(GOOGLEFINANCE(TRIM(F149)&amp;"":"" &amp; TRIM(B149),""low52""),AE149)"),620)</f>
        <v>620</v>
      </c>
      <c r="AI149" s="1">
        <f ca="1">IFERROR(__xludf.DUMMYFUNCTION("IFERROR(GOOGLEFINANCE(B149,""eps""),0)"),39.19)</f>
        <v>39.19</v>
      </c>
      <c r="AJ149" s="1"/>
      <c r="AK149" s="9"/>
      <c r="AL149" s="9">
        <f>IF(AA149&lt;&gt;AB149,1,0)</f>
        <v>1</v>
      </c>
    </row>
    <row r="150" spans="1:38" ht="15" x14ac:dyDescent="0.25">
      <c r="A150" s="1" t="s">
        <v>519</v>
      </c>
      <c r="B150" s="1" t="s">
        <v>520</v>
      </c>
      <c r="C150" s="1" t="s">
        <v>521</v>
      </c>
      <c r="D150" s="1" t="s">
        <v>521</v>
      </c>
      <c r="E150" s="6">
        <v>31744.79</v>
      </c>
      <c r="F150" s="1" t="s">
        <v>40</v>
      </c>
      <c r="G150" s="6">
        <f ca="1">IFERROR(__xludf.DUMMYFUNCTION("iferror(GOOGLEFINANCE(TRIM(F150)&amp;"":"" &amp; TRIM(B150), ""price""),0
)"),4008)</f>
        <v>4008</v>
      </c>
      <c r="H150" s="6">
        <v>3409.35</v>
      </c>
      <c r="I150" s="6">
        <f t="shared" ca="1" si="0"/>
        <v>4008</v>
      </c>
      <c r="J150" s="6">
        <f ca="1">IFERROR(__xludf.DUMMYFUNCTION("IFERROR(GOOGLEFINANCE(B150, ""volume""), 0)"),55944)</f>
        <v>55944</v>
      </c>
      <c r="K150" s="6">
        <v>0.38</v>
      </c>
      <c r="L150" s="6">
        <f ca="1">IFERROR(__xludf.DUMMYFUNCTION("IFERROR(GOOGLEFINANCE(B150,""changepct""),K150)"),0.29)</f>
        <v>0.28999999999999998</v>
      </c>
      <c r="M150" s="6">
        <f ca="1">IFERROR(__xludf.DUMMYFUNCTION("IFERROR(GOOGLEFINANCE(B150,""change""),0)"),11.6)</f>
        <v>11.6</v>
      </c>
      <c r="N150" s="6">
        <v>2</v>
      </c>
      <c r="O150" s="7">
        <v>45536</v>
      </c>
      <c r="P150" s="6">
        <v>120.48</v>
      </c>
      <c r="Q150" s="6">
        <v>31412.97</v>
      </c>
      <c r="R150" s="7">
        <v>45536</v>
      </c>
      <c r="S150" s="6">
        <v>4383.55</v>
      </c>
      <c r="T150" s="6">
        <v>1052.8399999999999</v>
      </c>
      <c r="U150" s="7">
        <v>45536</v>
      </c>
      <c r="V150" s="6">
        <v>30.05</v>
      </c>
      <c r="W150" s="6">
        <f ca="1">IFERROR(__xludf.DUMMYFUNCTION("IFERROR(GOOGLEFINANCE(B150,""pe""),V150)"),32.19)</f>
        <v>32.19</v>
      </c>
      <c r="X150" s="6">
        <v>1.73</v>
      </c>
      <c r="Y150" s="6">
        <v>4.96</v>
      </c>
      <c r="Z150" s="6">
        <v>2</v>
      </c>
      <c r="AA150" s="8">
        <v>45352</v>
      </c>
      <c r="AB150" s="4">
        <v>7.0000000000000007E-2</v>
      </c>
      <c r="AC150" s="6">
        <v>18.41</v>
      </c>
      <c r="AD150" s="6">
        <v>22.88</v>
      </c>
      <c r="AE150" s="1">
        <v>0</v>
      </c>
      <c r="AF150" s="1">
        <f ca="1">IFERROR(__xludf.DUMMYFUNCTION("IFERROR(GOOGLEFINANCE(TRIM(F150)&amp;"":"" &amp; TRIM(B150),""high52""),AE150)"),4168.7)</f>
        <v>4168.7</v>
      </c>
      <c r="AG150" s="1">
        <v>0</v>
      </c>
      <c r="AH150" s="1">
        <f ca="1">IFERROR(__xludf.DUMMYFUNCTION("IFERROR(GOOGLEFINANCE(TRIM(F150)&amp;"":"" &amp; TRIM(B150),""low52""),AE150)"),3001.1)</f>
        <v>3001.1</v>
      </c>
      <c r="AI150" s="1">
        <f ca="1">IFERROR(__xludf.DUMMYFUNCTION("IFERROR(GOOGLEFINANCE(B150,""eps""),0)"),124.53)</f>
        <v>124.53</v>
      </c>
      <c r="AJ150" s="1"/>
      <c r="AK150" s="1" t="s">
        <v>522</v>
      </c>
      <c r="AL150" s="1" t="b">
        <f>ISNUMBER(AA150)</f>
        <v>1</v>
      </c>
    </row>
    <row r="151" spans="1:38" ht="15" x14ac:dyDescent="0.25">
      <c r="A151" s="1" t="s">
        <v>523</v>
      </c>
      <c r="B151" s="1" t="s">
        <v>524</v>
      </c>
      <c r="C151" s="1" t="s">
        <v>525</v>
      </c>
      <c r="D151" s="1" t="s">
        <v>525</v>
      </c>
      <c r="E151" s="6">
        <v>1175.43</v>
      </c>
      <c r="F151" s="1" t="s">
        <v>40</v>
      </c>
      <c r="G151" s="6">
        <f ca="1">IFERROR(__xludf.DUMMYFUNCTION("iferror(GOOGLEFINANCE(TRIM(F151)&amp;"":"" &amp; TRIM(B151), ""price""),0
)"),0)</f>
        <v>0</v>
      </c>
      <c r="H151" s="6">
        <v>587.25</v>
      </c>
      <c r="I151" s="6">
        <f t="shared" ca="1" si="0"/>
        <v>587.25</v>
      </c>
      <c r="J151" s="6">
        <f ca="1">IFERROR(__xludf.DUMMYFUNCTION("IFERROR(GOOGLEFINANCE(B151, ""volume""), 0)"),0)</f>
        <v>0</v>
      </c>
      <c r="K151" s="6">
        <v>1.99</v>
      </c>
      <c r="L151" s="6">
        <f ca="1">IFERROR(__xludf.DUMMYFUNCTION("IFERROR(GOOGLEFINANCE(B151,""changepct""),K151)"),1.99)</f>
        <v>1.99</v>
      </c>
      <c r="M151" s="6">
        <f ca="1">IFERROR(__xludf.DUMMYFUNCTION("IFERROR(GOOGLEFINANCE(B151,""change""),0)"),0)</f>
        <v>0</v>
      </c>
      <c r="N151" s="6">
        <v>1</v>
      </c>
      <c r="O151" s="7">
        <v>45536</v>
      </c>
      <c r="P151" s="6">
        <v>1.74</v>
      </c>
      <c r="Q151" s="6">
        <v>1177.17</v>
      </c>
      <c r="R151" s="7">
        <v>45352</v>
      </c>
      <c r="S151" s="6">
        <v>92.98</v>
      </c>
      <c r="T151" s="6">
        <v>13.6</v>
      </c>
      <c r="U151" s="7">
        <v>45352</v>
      </c>
      <c r="V151" s="6">
        <v>86.43</v>
      </c>
      <c r="W151" s="6">
        <f ca="1">IFERROR(__xludf.DUMMYFUNCTION("IFERROR(GOOGLEFINANCE(B151,""pe""),V151)"),86.43)</f>
        <v>86.43</v>
      </c>
      <c r="X151" s="9"/>
      <c r="Y151" s="6">
        <v>8.07</v>
      </c>
      <c r="Z151" s="6">
        <v>1</v>
      </c>
      <c r="AA151" s="8">
        <v>45352</v>
      </c>
      <c r="AB151" s="4">
        <v>0.28000000000000003</v>
      </c>
      <c r="AC151" s="6">
        <v>31.26</v>
      </c>
      <c r="AD151" s="6">
        <v>34.369999999999997</v>
      </c>
      <c r="AE151" s="1">
        <v>0</v>
      </c>
      <c r="AF151" s="1">
        <f ca="1">IFERROR(__xludf.DUMMYFUNCTION("IFERROR(GOOGLEFINANCE(TRIM(F151)&amp;"":"" &amp; TRIM(B151),""high52""),AE151)"),0)</f>
        <v>0</v>
      </c>
      <c r="AG151" s="1">
        <v>0</v>
      </c>
      <c r="AH151" s="1">
        <f ca="1">IFERROR(__xludf.DUMMYFUNCTION("IFERROR(GOOGLEFINANCE(TRIM(F151)&amp;"":"" &amp; TRIM(B151),""low52""),AE151)"),0)</f>
        <v>0</v>
      </c>
      <c r="AI151" s="1">
        <f ca="1">IFERROR(__xludf.DUMMYFUNCTION("IFERROR(GOOGLEFINANCE(B151,""eps""),0)"),0)</f>
        <v>0</v>
      </c>
      <c r="AJ151" s="1"/>
      <c r="AK151" s="1" t="s">
        <v>526</v>
      </c>
      <c r="AL151" s="9">
        <f t="shared" ref="AL151:AL156" si="37">IF(AA151&lt;&gt;AB151,1,0)</f>
        <v>1</v>
      </c>
    </row>
    <row r="152" spans="1:38" ht="15" x14ac:dyDescent="0.25">
      <c r="A152" s="1" t="s">
        <v>527</v>
      </c>
      <c r="B152" s="1" t="s">
        <v>528</v>
      </c>
      <c r="C152" s="1" t="s">
        <v>57</v>
      </c>
      <c r="D152" s="1" t="s">
        <v>57</v>
      </c>
      <c r="E152" s="6">
        <v>269.74</v>
      </c>
      <c r="F152" s="1" t="s">
        <v>40</v>
      </c>
      <c r="G152" s="6">
        <f ca="1">IFERROR(__xludf.DUMMYFUNCTION("iferror(GOOGLEFINANCE(TRIM(F152)&amp;"":"" &amp; TRIM(B152), ""price""),0
)"),43.61)</f>
        <v>43.61</v>
      </c>
      <c r="H152" s="6">
        <v>78</v>
      </c>
      <c r="I152" s="6">
        <f t="shared" ca="1" si="0"/>
        <v>43.61</v>
      </c>
      <c r="J152" s="6">
        <f ca="1">IFERROR(__xludf.DUMMYFUNCTION("IFERROR(GOOGLEFINANCE(B152, ""volume""), 0)"),21721)</f>
        <v>21721</v>
      </c>
      <c r="K152" s="6">
        <v>0.89</v>
      </c>
      <c r="L152" s="6">
        <f ca="1">IFERROR(__xludf.DUMMYFUNCTION("IFERROR(GOOGLEFINANCE(B152,""changepct""),K152)"),-0.98)</f>
        <v>-0.98</v>
      </c>
      <c r="M152" s="6">
        <f ca="1">IFERROR(__xludf.DUMMYFUNCTION("IFERROR(GOOGLEFINANCE(B152,""change""),0)"),-0.43)</f>
        <v>-0.43</v>
      </c>
      <c r="N152" s="6">
        <v>2</v>
      </c>
      <c r="O152" s="7">
        <v>45536</v>
      </c>
      <c r="P152" s="6">
        <v>6.3</v>
      </c>
      <c r="Q152" s="6">
        <v>238.33</v>
      </c>
      <c r="R152" s="7">
        <v>45536</v>
      </c>
      <c r="S152" s="6">
        <v>87.49</v>
      </c>
      <c r="T152" s="6">
        <v>7.95</v>
      </c>
      <c r="U152" s="7">
        <v>45536</v>
      </c>
      <c r="V152" s="6">
        <v>33.93</v>
      </c>
      <c r="W152" s="6">
        <f ca="1">IFERROR(__xludf.DUMMYFUNCTION("IFERROR(GOOGLEFINANCE(B152,""pe""),V152)"),31.3)</f>
        <v>31.3</v>
      </c>
      <c r="X152" s="9"/>
      <c r="Y152" s="6">
        <v>3.51</v>
      </c>
      <c r="Z152" s="6">
        <v>2</v>
      </c>
      <c r="AA152" s="8">
        <v>45352</v>
      </c>
      <c r="AB152" s="4">
        <v>0.14000000000000001</v>
      </c>
      <c r="AC152" s="6">
        <v>-3.2</v>
      </c>
      <c r="AD152" s="6">
        <v>-0.82</v>
      </c>
      <c r="AE152" s="1">
        <v>0</v>
      </c>
      <c r="AF152" s="1">
        <f ca="1">IFERROR(__xludf.DUMMYFUNCTION("IFERROR(GOOGLEFINANCE(TRIM(F152)&amp;"":"" &amp; TRIM(B152),""high52""),AE152)"),80.44)</f>
        <v>80.44</v>
      </c>
      <c r="AG152" s="1">
        <v>0</v>
      </c>
      <c r="AH152" s="1">
        <f ca="1">IFERROR(__xludf.DUMMYFUNCTION("IFERROR(GOOGLEFINANCE(TRIM(F152)&amp;"":"" &amp; TRIM(B152),""low52""),AE152)"),39.97)</f>
        <v>39.97</v>
      </c>
      <c r="AI152" s="1">
        <f ca="1">IFERROR(__xludf.DUMMYFUNCTION("IFERROR(GOOGLEFINANCE(B152,""eps""),0)"),1.39)</f>
        <v>1.39</v>
      </c>
      <c r="AJ152" s="1"/>
      <c r="AK152" s="1" t="s">
        <v>529</v>
      </c>
      <c r="AL152" s="9">
        <f t="shared" si="37"/>
        <v>1</v>
      </c>
    </row>
    <row r="153" spans="1:38" ht="15" x14ac:dyDescent="0.25">
      <c r="A153" s="1" t="s">
        <v>530</v>
      </c>
      <c r="B153" s="1" t="s">
        <v>531</v>
      </c>
      <c r="C153" s="1" t="s">
        <v>57</v>
      </c>
      <c r="D153" s="1" t="s">
        <v>57</v>
      </c>
      <c r="E153" s="6">
        <v>415.07</v>
      </c>
      <c r="F153" s="1" t="s">
        <v>40</v>
      </c>
      <c r="G153" s="6">
        <f ca="1">IFERROR(__xludf.DUMMYFUNCTION("iferror(GOOGLEFINANCE(TRIM(F153)&amp;"":"" &amp; TRIM(B153), ""price""),0
)"),15.04)</f>
        <v>15.04</v>
      </c>
      <c r="H153" s="6">
        <v>34.54</v>
      </c>
      <c r="I153" s="6">
        <f t="shared" ca="1" si="0"/>
        <v>15.04</v>
      </c>
      <c r="J153" s="6">
        <f ca="1">IFERROR(__xludf.DUMMYFUNCTION("IFERROR(GOOGLEFINANCE(B153, ""volume""), 0)"),60887)</f>
        <v>60887</v>
      </c>
      <c r="K153" s="6">
        <v>4.3499999999999996</v>
      </c>
      <c r="L153" s="6">
        <f ca="1">IFERROR(__xludf.DUMMYFUNCTION("IFERROR(GOOGLEFINANCE(B153,""changepct""),K153)"),0.53)</f>
        <v>0.53</v>
      </c>
      <c r="M153" s="6">
        <f ca="1">IFERROR(__xludf.DUMMYFUNCTION("IFERROR(GOOGLEFINANCE(B153,""change""),0)"),0.08)</f>
        <v>0.08</v>
      </c>
      <c r="N153" s="6">
        <v>2</v>
      </c>
      <c r="O153" s="7">
        <v>45536</v>
      </c>
      <c r="P153" s="6">
        <v>0.79</v>
      </c>
      <c r="Q153" s="6">
        <v>395.74</v>
      </c>
      <c r="R153" s="7">
        <v>45536</v>
      </c>
      <c r="S153" s="6">
        <v>107.38</v>
      </c>
      <c r="T153" s="6">
        <v>28.2</v>
      </c>
      <c r="U153" s="7">
        <v>45536</v>
      </c>
      <c r="V153" s="6">
        <v>14.96</v>
      </c>
      <c r="W153" s="6">
        <f ca="1">IFERROR(__xludf.DUMMYFUNCTION("IFERROR(GOOGLEFINANCE(B153,""pe""),V153)"),91.88)</f>
        <v>91.88</v>
      </c>
      <c r="X153" s="6">
        <v>0.6</v>
      </c>
      <c r="Y153" s="6">
        <v>2.84</v>
      </c>
      <c r="Z153" s="6">
        <v>2</v>
      </c>
      <c r="AA153" s="8">
        <v>45352</v>
      </c>
      <c r="AB153" s="4">
        <v>0.01</v>
      </c>
      <c r="AC153" s="6">
        <v>10.75</v>
      </c>
      <c r="AD153" s="6">
        <v>14.03</v>
      </c>
      <c r="AE153" s="1">
        <v>0</v>
      </c>
      <c r="AF153" s="1">
        <f ca="1">IFERROR(__xludf.DUMMYFUNCTION("IFERROR(GOOGLEFINANCE(TRIM(F153)&amp;"":"" &amp; TRIM(B153),""high52""),AE153)"),33.51)</f>
        <v>33.51</v>
      </c>
      <c r="AG153" s="1">
        <v>0</v>
      </c>
      <c r="AH153" s="1">
        <f ca="1">IFERROR(__xludf.DUMMYFUNCTION("IFERROR(GOOGLEFINANCE(TRIM(F153)&amp;"":"" &amp; TRIM(B153),""low52""),AE153)"),12.66)</f>
        <v>12.66</v>
      </c>
      <c r="AI153" s="1">
        <f ca="1">IFERROR(__xludf.DUMMYFUNCTION("IFERROR(GOOGLEFINANCE(B153,""eps""),0)"),0.16)</f>
        <v>0.16</v>
      </c>
      <c r="AJ153" s="1"/>
      <c r="AK153" s="1" t="s">
        <v>532</v>
      </c>
      <c r="AL153" s="9">
        <f t="shared" si="37"/>
        <v>1</v>
      </c>
    </row>
    <row r="154" spans="1:38" ht="15" x14ac:dyDescent="0.25">
      <c r="A154" s="1" t="s">
        <v>533</v>
      </c>
      <c r="B154" s="1" t="s">
        <v>534</v>
      </c>
      <c r="C154" s="1" t="s">
        <v>535</v>
      </c>
      <c r="D154" s="1" t="s">
        <v>535</v>
      </c>
      <c r="E154" s="6">
        <v>201.42</v>
      </c>
      <c r="F154" s="1" t="s">
        <v>40</v>
      </c>
      <c r="G154" s="6">
        <f ca="1">IFERROR(__xludf.DUMMYFUNCTION("iferror(GOOGLEFINANCE(TRIM(F154)&amp;"":"" &amp; TRIM(B154), ""price""),0
)"),89.5)</f>
        <v>89.5</v>
      </c>
      <c r="H154" s="6">
        <v>131.80000000000001</v>
      </c>
      <c r="I154" s="6">
        <f t="shared" ca="1" si="0"/>
        <v>89.5</v>
      </c>
      <c r="J154" s="6">
        <f ca="1">IFERROR(__xludf.DUMMYFUNCTION("IFERROR(GOOGLEFINANCE(B154, ""volume""), 0)"),1127)</f>
        <v>1127</v>
      </c>
      <c r="K154" s="6">
        <v>-1.83</v>
      </c>
      <c r="L154" s="6">
        <f ca="1">IFERROR(__xludf.DUMMYFUNCTION("IFERROR(GOOGLEFINANCE(B154,""changepct""),K154)"),-5.05)</f>
        <v>-5.05</v>
      </c>
      <c r="M154" s="6">
        <f ca="1">IFERROR(__xludf.DUMMYFUNCTION("IFERROR(GOOGLEFINANCE(B154,""change""),0)"),-4.76)</f>
        <v>-4.76</v>
      </c>
      <c r="N154" s="6">
        <v>2</v>
      </c>
      <c r="O154" s="7">
        <v>45536</v>
      </c>
      <c r="P154" s="6">
        <v>88.52</v>
      </c>
      <c r="Q154" s="6">
        <v>287.51</v>
      </c>
      <c r="R154" s="7">
        <v>45536</v>
      </c>
      <c r="S154" s="6">
        <v>211.85</v>
      </c>
      <c r="T154" s="6">
        <v>2.39</v>
      </c>
      <c r="U154" s="7">
        <v>45536</v>
      </c>
      <c r="V154" s="6">
        <v>84.59</v>
      </c>
      <c r="W154" s="6">
        <f ca="1">IFERROR(__xludf.DUMMYFUNCTION("IFERROR(GOOGLEFINANCE(B154,""pe""),V154)"),17.19)</f>
        <v>17.190000000000001</v>
      </c>
      <c r="X154" s="9"/>
      <c r="Y154" s="6">
        <v>2.91</v>
      </c>
      <c r="Z154" s="6">
        <v>2</v>
      </c>
      <c r="AA154" s="8">
        <v>45352</v>
      </c>
      <c r="AB154" s="4">
        <v>1.1200000000000001</v>
      </c>
      <c r="AC154" s="6">
        <v>11.66</v>
      </c>
      <c r="AD154" s="6">
        <v>12.17</v>
      </c>
      <c r="AE154" s="1">
        <v>0</v>
      </c>
      <c r="AF154" s="1">
        <f ca="1">IFERROR(__xludf.DUMMYFUNCTION("IFERROR(GOOGLEFINANCE(TRIM(F154)&amp;"":"" &amp; TRIM(B154),""high52""),AE154)"),137.04)</f>
        <v>137.04</v>
      </c>
      <c r="AG154" s="1">
        <v>0</v>
      </c>
      <c r="AH154" s="1">
        <f ca="1">IFERROR(__xludf.DUMMYFUNCTION("IFERROR(GOOGLEFINANCE(TRIM(F154)&amp;"":"" &amp; TRIM(B154),""low52""),AE154)"),83.5)</f>
        <v>83.5</v>
      </c>
      <c r="AI154" s="1">
        <f ca="1">IFERROR(__xludf.DUMMYFUNCTION("IFERROR(GOOGLEFINANCE(B154,""eps""),0)"),5.21)</f>
        <v>5.21</v>
      </c>
      <c r="AJ154" s="1"/>
      <c r="AK154" s="9"/>
      <c r="AL154" s="9">
        <f t="shared" si="37"/>
        <v>1</v>
      </c>
    </row>
    <row r="155" spans="1:38" ht="15" x14ac:dyDescent="0.25">
      <c r="A155" s="1" t="s">
        <v>536</v>
      </c>
      <c r="B155" s="1" t="s">
        <v>537</v>
      </c>
      <c r="C155" s="1" t="s">
        <v>106</v>
      </c>
      <c r="D155" s="1" t="s">
        <v>106</v>
      </c>
      <c r="E155" s="6">
        <v>37136.99</v>
      </c>
      <c r="F155" s="1" t="s">
        <v>40</v>
      </c>
      <c r="G155" s="6">
        <f ca="1">IFERROR(__xludf.DUMMYFUNCTION("iferror(GOOGLEFINANCE(TRIM(F155)&amp;"":"" &amp; TRIM(B155), ""price""),0
)"),2780)</f>
        <v>2780</v>
      </c>
      <c r="H155" s="6">
        <v>2912.05</v>
      </c>
      <c r="I155" s="6">
        <f t="shared" ca="1" si="0"/>
        <v>2780</v>
      </c>
      <c r="J155" s="6">
        <f ca="1">IFERROR(__xludf.DUMMYFUNCTION("IFERROR(GOOGLEFINANCE(B155, ""volume""), 0)"),107375)</f>
        <v>107375</v>
      </c>
      <c r="K155" s="6">
        <v>-2.23</v>
      </c>
      <c r="L155" s="6">
        <f ca="1">IFERROR(__xludf.DUMMYFUNCTION("IFERROR(GOOGLEFINANCE(B155,""changepct""),K155)"),-0.96)</f>
        <v>-0.96</v>
      </c>
      <c r="M155" s="6">
        <f ca="1">IFERROR(__xludf.DUMMYFUNCTION("IFERROR(GOOGLEFINANCE(B155,""change""),0)"),-27)</f>
        <v>-27</v>
      </c>
      <c r="N155" s="6">
        <v>2</v>
      </c>
      <c r="O155" s="7">
        <v>45536</v>
      </c>
      <c r="P155" s="6">
        <v>2.42</v>
      </c>
      <c r="Q155" s="6">
        <v>37074.480000000003</v>
      </c>
      <c r="R155" s="7">
        <v>45536</v>
      </c>
      <c r="S155" s="6">
        <v>4490.79</v>
      </c>
      <c r="T155" s="6">
        <v>875</v>
      </c>
      <c r="U155" s="7">
        <v>45536</v>
      </c>
      <c r="V155" s="6">
        <v>42.44</v>
      </c>
      <c r="W155" s="6">
        <f ca="1">IFERROR(__xludf.DUMMYFUNCTION("IFERROR(GOOGLEFINANCE(B155,""pe""),V155)"),34.23)</f>
        <v>34.229999999999997</v>
      </c>
      <c r="X155" s="6">
        <v>2.64</v>
      </c>
      <c r="Y155" s="6">
        <v>10.1</v>
      </c>
      <c r="Z155" s="6">
        <v>2</v>
      </c>
      <c r="AA155" s="8">
        <v>45352</v>
      </c>
      <c r="AB155" s="4">
        <v>0</v>
      </c>
      <c r="AC155" s="6">
        <v>23.49</v>
      </c>
      <c r="AD155" s="6">
        <v>32.22</v>
      </c>
      <c r="AE155" s="1">
        <v>0</v>
      </c>
      <c r="AF155" s="1">
        <f ca="1">IFERROR(__xludf.DUMMYFUNCTION("IFERROR(GOOGLEFINANCE(TRIM(F155)&amp;"":"" &amp; TRIM(B155),""high52""),AE155)"),3079.9)</f>
        <v>3079.9</v>
      </c>
      <c r="AG155" s="1">
        <v>0</v>
      </c>
      <c r="AH155" s="1">
        <f ca="1">IFERROR(__xludf.DUMMYFUNCTION("IFERROR(GOOGLEFINANCE(TRIM(F155)&amp;"":"" &amp; TRIM(B155),""low52""),AE155)"),2327.3)</f>
        <v>2327.3000000000002</v>
      </c>
      <c r="AI155" s="1">
        <f ca="1">IFERROR(__xludf.DUMMYFUNCTION("IFERROR(GOOGLEFINANCE(B155,""eps""),0)"),81.21)</f>
        <v>81.209999999999994</v>
      </c>
      <c r="AJ155" s="1"/>
      <c r="AK155" s="1" t="s">
        <v>538</v>
      </c>
      <c r="AL155" s="9">
        <f t="shared" si="37"/>
        <v>1</v>
      </c>
    </row>
    <row r="156" spans="1:38" ht="15" x14ac:dyDescent="0.25">
      <c r="A156" s="1" t="s">
        <v>539</v>
      </c>
      <c r="B156" s="1" t="s">
        <v>540</v>
      </c>
      <c r="C156" s="1" t="s">
        <v>487</v>
      </c>
      <c r="D156" s="1" t="s">
        <v>487</v>
      </c>
      <c r="E156" s="6">
        <v>4436.76</v>
      </c>
      <c r="F156" s="1" t="s">
        <v>40</v>
      </c>
      <c r="G156" s="6">
        <f ca="1">IFERROR(__xludf.DUMMYFUNCTION("iferror(GOOGLEFINANCE(TRIM(F156)&amp;"":"" &amp; TRIM(B156), ""price""),0
)"),134.56)</f>
        <v>134.56</v>
      </c>
      <c r="H156" s="6">
        <v>1128.8499999999999</v>
      </c>
      <c r="I156" s="6">
        <f t="shared" ca="1" si="0"/>
        <v>134.56</v>
      </c>
      <c r="J156" s="6">
        <f ca="1">IFERROR(__xludf.DUMMYFUNCTION("IFERROR(GOOGLEFINANCE(B156, ""volume""), 0)"),434290)</f>
        <v>434290</v>
      </c>
      <c r="K156" s="6">
        <v>0.08</v>
      </c>
      <c r="L156" s="6">
        <f ca="1">IFERROR(__xludf.DUMMYFUNCTION("IFERROR(GOOGLEFINANCE(B156,""changepct""),K156)"),-2.14)</f>
        <v>-2.14</v>
      </c>
      <c r="M156" s="6">
        <f ca="1">IFERROR(__xludf.DUMMYFUNCTION("IFERROR(GOOGLEFINANCE(B156,""change""),0)"),-2.94)</f>
        <v>-2.94</v>
      </c>
      <c r="N156" s="6">
        <v>2</v>
      </c>
      <c r="O156" s="7">
        <v>45536</v>
      </c>
      <c r="P156" s="6">
        <v>818.66</v>
      </c>
      <c r="Q156" s="6">
        <v>5184.72</v>
      </c>
      <c r="R156" s="7">
        <v>45536</v>
      </c>
      <c r="S156" s="6">
        <v>832.26</v>
      </c>
      <c r="T156" s="6">
        <v>128.46</v>
      </c>
      <c r="U156" s="7">
        <v>45536</v>
      </c>
      <c r="V156" s="6">
        <v>35.200000000000003</v>
      </c>
      <c r="W156" s="6">
        <f ca="1">IFERROR(__xludf.DUMMYFUNCTION("IFERROR(GOOGLEFINANCE(B156,""pe""),V156)"),26.73)</f>
        <v>26.73</v>
      </c>
      <c r="X156" s="6">
        <v>5.46</v>
      </c>
      <c r="Y156" s="6">
        <v>3.88</v>
      </c>
      <c r="Z156" s="6">
        <v>2</v>
      </c>
      <c r="AA156" s="8">
        <v>45352</v>
      </c>
      <c r="AB156" s="4">
        <v>0.93</v>
      </c>
      <c r="AC156" s="6">
        <v>12.68</v>
      </c>
      <c r="AD156" s="6">
        <v>12.6</v>
      </c>
      <c r="AE156" s="1">
        <v>0</v>
      </c>
      <c r="AF156" s="1">
        <f ca="1">IFERROR(__xludf.DUMMYFUNCTION("IFERROR(GOOGLEFINANCE(TRIM(F156)&amp;"":"" &amp; TRIM(B156),""high52""),AE156)"),221.4)</f>
        <v>221.4</v>
      </c>
      <c r="AG156" s="1">
        <v>0</v>
      </c>
      <c r="AH156" s="1">
        <f ca="1">IFERROR(__xludf.DUMMYFUNCTION("IFERROR(GOOGLEFINANCE(TRIM(F156)&amp;"":"" &amp; TRIM(B156),""low52""),AE156)"),130.67)</f>
        <v>130.66999999999999</v>
      </c>
      <c r="AI156" s="1">
        <f ca="1">IFERROR(__xludf.DUMMYFUNCTION("IFERROR(GOOGLEFINANCE(B156,""eps""),0)"),5.03)</f>
        <v>5.03</v>
      </c>
      <c r="AJ156" s="1"/>
      <c r="AK156" s="9"/>
      <c r="AL156" s="9">
        <f t="shared" si="37"/>
        <v>1</v>
      </c>
    </row>
    <row r="157" spans="1:38" ht="15" x14ac:dyDescent="0.25">
      <c r="A157" s="1" t="s">
        <v>541</v>
      </c>
      <c r="B157" s="1" t="s">
        <v>542</v>
      </c>
      <c r="C157" s="1" t="s">
        <v>328</v>
      </c>
      <c r="D157" s="1" t="s">
        <v>328</v>
      </c>
      <c r="E157" s="6">
        <v>142.27000000000001</v>
      </c>
      <c r="F157" s="1" t="s">
        <v>40</v>
      </c>
      <c r="G157" s="6">
        <f ca="1">IFERROR(__xludf.DUMMYFUNCTION("iferror(GOOGLEFINANCE(TRIM(F157)&amp;"":"" &amp; TRIM(B157), ""price""),0
)"),4.27)</f>
        <v>4.2699999999999996</v>
      </c>
      <c r="H157" s="6">
        <v>8.1300000000000008</v>
      </c>
      <c r="I157" s="6">
        <f t="shared" ca="1" si="0"/>
        <v>4.2699999999999996</v>
      </c>
      <c r="J157" s="6">
        <f ca="1">IFERROR(__xludf.DUMMYFUNCTION("IFERROR(GOOGLEFINANCE(B157, ""volume""), 0)"),819246)</f>
        <v>819246</v>
      </c>
      <c r="K157" s="6">
        <v>-1.57</v>
      </c>
      <c r="L157" s="6">
        <f ca="1">IFERROR(__xludf.DUMMYFUNCTION("IFERROR(GOOGLEFINANCE(B157,""changepct""),K157)"),-5.95)</f>
        <v>-5.95</v>
      </c>
      <c r="M157" s="6">
        <f ca="1">IFERROR(__xludf.DUMMYFUNCTION("IFERROR(GOOGLEFINANCE(B157,""change""),0)"),-0.27)</f>
        <v>-0.27</v>
      </c>
      <c r="N157" s="6">
        <v>1</v>
      </c>
      <c r="O157" s="7">
        <v>45536</v>
      </c>
      <c r="P157" s="6">
        <v>2.2000000000000002</v>
      </c>
      <c r="Q157" s="6">
        <v>144.47</v>
      </c>
      <c r="R157" s="7">
        <v>45536</v>
      </c>
      <c r="S157" s="6">
        <v>91.02</v>
      </c>
      <c r="T157" s="6">
        <v>2.44</v>
      </c>
      <c r="U157" s="7">
        <v>45536</v>
      </c>
      <c r="V157" s="6">
        <v>58.38</v>
      </c>
      <c r="W157" s="6">
        <f ca="1">IFERROR(__xludf.DUMMYFUNCTION("IFERROR(GOOGLEFINANCE(B157,""pe""),V157)"),16.59)</f>
        <v>16.59</v>
      </c>
      <c r="X157" s="6">
        <v>1.49</v>
      </c>
      <c r="Y157" s="6">
        <v>1.65</v>
      </c>
      <c r="Z157" s="6">
        <v>1</v>
      </c>
      <c r="AA157" s="8">
        <v>45352</v>
      </c>
      <c r="AB157" s="4">
        <v>0.05</v>
      </c>
      <c r="AC157" s="6">
        <v>5.12</v>
      </c>
      <c r="AD157" s="6">
        <v>7.75</v>
      </c>
      <c r="AE157" s="1">
        <v>0</v>
      </c>
      <c r="AF157" s="1">
        <f ca="1">IFERROR(__xludf.DUMMYFUNCTION("IFERROR(GOOGLEFINANCE(TRIM(F157)&amp;"":"" &amp; TRIM(B157),""high52""),AE157)"),7.9)</f>
        <v>7.9</v>
      </c>
      <c r="AG157" s="1">
        <v>0</v>
      </c>
      <c r="AH157" s="1">
        <f ca="1">IFERROR(__xludf.DUMMYFUNCTION("IFERROR(GOOGLEFINANCE(TRIM(F157)&amp;"":"" &amp; TRIM(B157),""low52""),AE157)"),3.55)</f>
        <v>3.55</v>
      </c>
      <c r="AI157" s="1">
        <f ca="1">IFERROR(__xludf.DUMMYFUNCTION("IFERROR(GOOGLEFINANCE(B157,""eps""),0)"),0.26)</f>
        <v>0.26</v>
      </c>
      <c r="AJ157" s="1"/>
      <c r="AK157" s="1" t="s">
        <v>543</v>
      </c>
      <c r="AL157" s="1" t="b">
        <f t="shared" ref="AL157:AL158" si="38">ISNUMBER(AA157)</f>
        <v>1</v>
      </c>
    </row>
    <row r="158" spans="1:38" ht="15" x14ac:dyDescent="0.25">
      <c r="A158" s="1" t="s">
        <v>544</v>
      </c>
      <c r="B158" s="1" t="s">
        <v>545</v>
      </c>
      <c r="C158" s="1" t="s">
        <v>355</v>
      </c>
      <c r="D158" s="1" t="s">
        <v>355</v>
      </c>
      <c r="E158" s="6">
        <v>71.34</v>
      </c>
      <c r="F158" s="1" t="s">
        <v>53</v>
      </c>
      <c r="G158" s="6">
        <f ca="1">IFERROR(__xludf.DUMMYFUNCTION("iferror(GOOGLEFINANCE(TRIM(F158)&amp;"":"" &amp; TRIM(B158), ""price""),0
)"),0)</f>
        <v>0</v>
      </c>
      <c r="H158" s="6">
        <v>119</v>
      </c>
      <c r="I158" s="6">
        <f t="shared" ca="1" si="0"/>
        <v>119</v>
      </c>
      <c r="J158" s="6">
        <f ca="1">IFERROR(__xludf.DUMMYFUNCTION("IFERROR(GOOGLEFINANCE(B158, ""volume""), 0)"),0)</f>
        <v>0</v>
      </c>
      <c r="K158" s="6">
        <v>-0.34</v>
      </c>
      <c r="L158" s="6">
        <f ca="1">IFERROR(__xludf.DUMMYFUNCTION("IFERROR(GOOGLEFINANCE(B158,""changepct""),K158)"),-0.34)</f>
        <v>-0.34</v>
      </c>
      <c r="M158" s="6">
        <f ca="1">IFERROR(__xludf.DUMMYFUNCTION("IFERROR(GOOGLEFINANCE(B158,""change""),0)"),0)</f>
        <v>0</v>
      </c>
      <c r="N158" s="6">
        <v>1</v>
      </c>
      <c r="O158" s="7">
        <v>45536</v>
      </c>
      <c r="P158" s="6">
        <v>26.97</v>
      </c>
      <c r="Q158" s="6">
        <v>98.02</v>
      </c>
      <c r="R158" s="7">
        <v>45536</v>
      </c>
      <c r="S158" s="6">
        <v>71.010000000000005</v>
      </c>
      <c r="T158" s="6">
        <v>5.0199999999999996</v>
      </c>
      <c r="U158" s="7">
        <v>45536</v>
      </c>
      <c r="V158" s="6">
        <v>14.2</v>
      </c>
      <c r="W158" s="6">
        <f ca="1">IFERROR(__xludf.DUMMYFUNCTION("IFERROR(GOOGLEFINANCE(B158,""pe""),V158)"),14.2)</f>
        <v>14.2</v>
      </c>
      <c r="X158" s="6">
        <v>0.82</v>
      </c>
      <c r="Y158" s="6">
        <v>0.72</v>
      </c>
      <c r="Z158" s="6">
        <v>1</v>
      </c>
      <c r="AA158" s="8">
        <v>45352</v>
      </c>
      <c r="AB158" s="4">
        <v>0.4</v>
      </c>
      <c r="AC158" s="6">
        <v>7.36</v>
      </c>
      <c r="AD158" s="6">
        <v>10.36</v>
      </c>
      <c r="AE158" s="1">
        <v>0</v>
      </c>
      <c r="AF158" s="1">
        <f ca="1">IFERROR(__xludf.DUMMYFUNCTION("IFERROR(GOOGLEFINANCE(TRIM(F158)&amp;"":"" &amp; TRIM(B158),""high52""),AE158)"),0)</f>
        <v>0</v>
      </c>
      <c r="AG158" s="1">
        <v>0</v>
      </c>
      <c r="AH158" s="1">
        <f ca="1">IFERROR(__xludf.DUMMYFUNCTION("IFERROR(GOOGLEFINANCE(TRIM(F158)&amp;"":"" &amp; TRIM(B158),""low52""),AE158)"),0)</f>
        <v>0</v>
      </c>
      <c r="AI158" s="1">
        <f ca="1">IFERROR(__xludf.DUMMYFUNCTION("IFERROR(GOOGLEFINANCE(B158,""eps""),0)"),0)</f>
        <v>0</v>
      </c>
      <c r="AJ158" s="1"/>
      <c r="AK158" s="1" t="s">
        <v>546</v>
      </c>
      <c r="AL158" s="1" t="b">
        <f t="shared" si="38"/>
        <v>1</v>
      </c>
    </row>
    <row r="159" spans="1:38" ht="15" x14ac:dyDescent="0.25">
      <c r="A159" s="1" t="s">
        <v>547</v>
      </c>
      <c r="B159" s="1" t="s">
        <v>548</v>
      </c>
      <c r="C159" s="1" t="s">
        <v>125</v>
      </c>
      <c r="D159" s="1" t="s">
        <v>125</v>
      </c>
      <c r="E159" s="6">
        <v>276.2</v>
      </c>
      <c r="F159" s="1" t="s">
        <v>40</v>
      </c>
      <c r="G159" s="6">
        <f ca="1">IFERROR(__xludf.DUMMYFUNCTION("iferror(GOOGLEFINANCE(TRIM(F159)&amp;"":"" &amp; TRIM(B159), ""price""),0
)"),0)</f>
        <v>0</v>
      </c>
      <c r="H159" s="6">
        <v>147</v>
      </c>
      <c r="I159" s="6">
        <f t="shared" ca="1" si="0"/>
        <v>147</v>
      </c>
      <c r="J159" s="6">
        <f ca="1">IFERROR(__xludf.DUMMYFUNCTION("IFERROR(GOOGLEFINANCE(B159, ""volume""), 0)"),0)</f>
        <v>0</v>
      </c>
      <c r="K159" s="6">
        <v>-1.44</v>
      </c>
      <c r="L159" s="6">
        <f ca="1">IFERROR(__xludf.DUMMYFUNCTION("IFERROR(GOOGLEFINANCE(B159,""changepct""),K159)"),-1.44)</f>
        <v>-1.44</v>
      </c>
      <c r="M159" s="6">
        <f ca="1">IFERROR(__xludf.DUMMYFUNCTION("IFERROR(GOOGLEFINANCE(B159,""change""),0)"),0)</f>
        <v>0</v>
      </c>
      <c r="N159" s="6">
        <v>1</v>
      </c>
      <c r="O159" s="7">
        <v>45536</v>
      </c>
      <c r="P159" s="6">
        <v>20.95</v>
      </c>
      <c r="Q159" s="6">
        <v>297.14999999999998</v>
      </c>
      <c r="R159" s="7">
        <v>45352</v>
      </c>
      <c r="S159" s="6">
        <v>53.26</v>
      </c>
      <c r="T159" s="6">
        <v>2.66</v>
      </c>
      <c r="U159" s="7">
        <v>45352</v>
      </c>
      <c r="V159" s="6">
        <v>103.8</v>
      </c>
      <c r="W159" s="6">
        <f ca="1">IFERROR(__xludf.DUMMYFUNCTION("IFERROR(GOOGLEFINANCE(B159,""pe""),V159)"),103.8)</f>
        <v>103.8</v>
      </c>
      <c r="X159" s="12"/>
      <c r="Y159" s="6">
        <v>6.13</v>
      </c>
      <c r="Z159" s="6">
        <v>2</v>
      </c>
      <c r="AA159" s="8">
        <v>45352</v>
      </c>
      <c r="AB159" s="4">
        <v>0.32</v>
      </c>
      <c r="AC159" s="6">
        <v>9.5399999999999991</v>
      </c>
      <c r="AD159" s="6">
        <v>13.16</v>
      </c>
      <c r="AE159" s="1">
        <v>0</v>
      </c>
      <c r="AF159" s="1">
        <f ca="1">IFERROR(__xludf.DUMMYFUNCTION("IFERROR(GOOGLEFINANCE(TRIM(F159)&amp;"":"" &amp; TRIM(B159),""high52""),AE159)"),0)</f>
        <v>0</v>
      </c>
      <c r="AG159" s="1">
        <v>0</v>
      </c>
      <c r="AH159" s="1">
        <f ca="1">IFERROR(__xludf.DUMMYFUNCTION("IFERROR(GOOGLEFINANCE(TRIM(F159)&amp;"":"" &amp; TRIM(B159),""low52""),AE159)"),0)</f>
        <v>0</v>
      </c>
      <c r="AI159" s="1">
        <f ca="1">IFERROR(__xludf.DUMMYFUNCTION("IFERROR(GOOGLEFINANCE(B159,""eps""),0)"),0)</f>
        <v>0</v>
      </c>
      <c r="AJ159" s="1"/>
      <c r="AK159" s="1" t="s">
        <v>549</v>
      </c>
      <c r="AL159" s="9">
        <f t="shared" ref="AL159:AL160" si="39">IF(AA159&lt;&gt;AB159,1,0)</f>
        <v>1</v>
      </c>
    </row>
    <row r="160" spans="1:38" ht="15" x14ac:dyDescent="0.25">
      <c r="A160" s="1" t="s">
        <v>550</v>
      </c>
      <c r="B160" s="1" t="s">
        <v>551</v>
      </c>
      <c r="C160" s="1" t="s">
        <v>86</v>
      </c>
      <c r="D160" s="1" t="s">
        <v>86</v>
      </c>
      <c r="E160" s="6">
        <v>57.97</v>
      </c>
      <c r="F160" s="1" t="s">
        <v>40</v>
      </c>
      <c r="G160" s="6">
        <f ca="1">IFERROR(__xludf.DUMMYFUNCTION("iferror(GOOGLEFINANCE(TRIM(F160)&amp;"":"" &amp; TRIM(B160), ""price""),0
)"),24.5)</f>
        <v>24.5</v>
      </c>
      <c r="H160" s="6">
        <v>33.83</v>
      </c>
      <c r="I160" s="6">
        <f t="shared" ca="1" si="0"/>
        <v>24.5</v>
      </c>
      <c r="J160" s="6">
        <f ca="1">IFERROR(__xludf.DUMMYFUNCTION("IFERROR(GOOGLEFINANCE(B160, ""volume""), 0)"),6629)</f>
        <v>6629</v>
      </c>
      <c r="K160" s="6">
        <v>-1.6</v>
      </c>
      <c r="L160" s="6">
        <f ca="1">IFERROR(__xludf.DUMMYFUNCTION("IFERROR(GOOGLEFINANCE(B160,""changepct""),K160)"),1.58)</f>
        <v>1.58</v>
      </c>
      <c r="M160" s="6">
        <f ca="1">IFERROR(__xludf.DUMMYFUNCTION("IFERROR(GOOGLEFINANCE(B160,""change""),0)"),0.38)</f>
        <v>0.38</v>
      </c>
      <c r="N160" s="6">
        <v>2</v>
      </c>
      <c r="O160" s="7">
        <v>45536</v>
      </c>
      <c r="P160" s="6">
        <v>84.12</v>
      </c>
      <c r="Q160" s="6">
        <v>135.41999999999999</v>
      </c>
      <c r="R160" s="7">
        <v>45536</v>
      </c>
      <c r="S160" s="6">
        <v>44.4</v>
      </c>
      <c r="T160" s="6">
        <v>-0.59</v>
      </c>
      <c r="U160" s="7">
        <v>45536</v>
      </c>
      <c r="V160" s="6">
        <v>0</v>
      </c>
      <c r="W160" s="6">
        <f ca="1">IFERROR(__xludf.DUMMYFUNCTION("IFERROR(GOOGLEFINANCE(B160,""pe""),V160)"),30.82)</f>
        <v>30.82</v>
      </c>
      <c r="X160" s="6">
        <v>0</v>
      </c>
      <c r="Y160" s="6">
        <v>0.7</v>
      </c>
      <c r="Z160" s="6">
        <v>2</v>
      </c>
      <c r="AA160" s="8">
        <v>45352</v>
      </c>
      <c r="AB160" s="4">
        <v>1.05</v>
      </c>
      <c r="AC160" s="6">
        <v>0.22</v>
      </c>
      <c r="AD160" s="6">
        <v>2.99</v>
      </c>
      <c r="AE160" s="1">
        <v>0</v>
      </c>
      <c r="AF160" s="1">
        <f ca="1">IFERROR(__xludf.DUMMYFUNCTION("IFERROR(GOOGLEFINANCE(TRIM(F160)&amp;"":"" &amp; TRIM(B160),""high52""),AE160)"),36)</f>
        <v>36</v>
      </c>
      <c r="AG160" s="1">
        <v>0</v>
      </c>
      <c r="AH160" s="1">
        <f ca="1">IFERROR(__xludf.DUMMYFUNCTION("IFERROR(GOOGLEFINANCE(TRIM(F160)&amp;"":"" &amp; TRIM(B160),""low52""),AE160)"),23)</f>
        <v>23</v>
      </c>
      <c r="AI160" s="1">
        <f ca="1">IFERROR(__xludf.DUMMYFUNCTION("IFERROR(GOOGLEFINANCE(B160,""eps""),0)"),0.8)</f>
        <v>0.8</v>
      </c>
      <c r="AJ160" s="1"/>
      <c r="AK160" s="1" t="s">
        <v>552</v>
      </c>
      <c r="AL160" s="9">
        <f t="shared" si="39"/>
        <v>1</v>
      </c>
    </row>
    <row r="161" spans="1:38" ht="15" x14ac:dyDescent="0.25">
      <c r="A161" s="1" t="s">
        <v>553</v>
      </c>
      <c r="B161" s="1" t="s">
        <v>554</v>
      </c>
      <c r="C161" s="1" t="s">
        <v>355</v>
      </c>
      <c r="D161" s="1" t="s">
        <v>355</v>
      </c>
      <c r="E161" s="6">
        <v>1211.25</v>
      </c>
      <c r="F161" s="1" t="s">
        <v>53</v>
      </c>
      <c r="G161" s="6">
        <f ca="1">IFERROR(__xludf.DUMMYFUNCTION("iferror(GOOGLEFINANCE(TRIM(F161)&amp;"":"" &amp; TRIM(B161), ""price""),0
)"),0)</f>
        <v>0</v>
      </c>
      <c r="H161" s="6">
        <v>132.69999999999999</v>
      </c>
      <c r="I161" s="6">
        <f t="shared" ca="1" si="0"/>
        <v>132.69999999999999</v>
      </c>
      <c r="J161" s="6">
        <f ca="1">IFERROR(__xludf.DUMMYFUNCTION("IFERROR(GOOGLEFINANCE(B161, ""volume""), 0)"),0)</f>
        <v>0</v>
      </c>
      <c r="K161" s="6">
        <v>-0.19</v>
      </c>
      <c r="L161" s="6">
        <f ca="1">IFERROR(__xludf.DUMMYFUNCTION("IFERROR(GOOGLEFINANCE(B161,""changepct""),K161)"),-0.19)</f>
        <v>-0.19</v>
      </c>
      <c r="M161" s="6">
        <f ca="1">IFERROR(__xludf.DUMMYFUNCTION("IFERROR(GOOGLEFINANCE(B161,""change""),0)"),0)</f>
        <v>0</v>
      </c>
      <c r="N161" s="6">
        <v>1</v>
      </c>
      <c r="O161" s="7">
        <v>45536</v>
      </c>
      <c r="P161" s="9"/>
      <c r="Q161" s="6">
        <v>1204</v>
      </c>
      <c r="R161" s="7">
        <v>45536</v>
      </c>
      <c r="S161" s="6">
        <v>199.93</v>
      </c>
      <c r="T161" s="6">
        <v>31.41</v>
      </c>
      <c r="U161" s="7">
        <v>45536</v>
      </c>
      <c r="V161" s="6">
        <v>38.56</v>
      </c>
      <c r="W161" s="6">
        <f ca="1">IFERROR(__xludf.DUMMYFUNCTION("IFERROR(GOOGLEFINANCE(B161,""pe""),V161)"),38.56)</f>
        <v>38.56</v>
      </c>
      <c r="X161" s="6">
        <v>2.72</v>
      </c>
      <c r="Y161" s="6">
        <v>6.17</v>
      </c>
      <c r="Z161" s="6">
        <v>1</v>
      </c>
      <c r="AA161" s="8">
        <v>45352</v>
      </c>
      <c r="AB161" s="4">
        <v>0</v>
      </c>
      <c r="AC161" s="6">
        <v>16.46</v>
      </c>
      <c r="AD161" s="6">
        <v>22.39</v>
      </c>
      <c r="AE161" s="1">
        <v>0</v>
      </c>
      <c r="AF161" s="1">
        <f ca="1">IFERROR(__xludf.DUMMYFUNCTION("IFERROR(GOOGLEFINANCE(TRIM(F161)&amp;"":"" &amp; TRIM(B161),""high52""),AE161)"),0)</f>
        <v>0</v>
      </c>
      <c r="AG161" s="1">
        <v>0</v>
      </c>
      <c r="AH161" s="1">
        <f ca="1">IFERROR(__xludf.DUMMYFUNCTION("IFERROR(GOOGLEFINANCE(TRIM(F161)&amp;"":"" &amp; TRIM(B161),""low52""),AE161)"),0)</f>
        <v>0</v>
      </c>
      <c r="AI161" s="1">
        <f ca="1">IFERROR(__xludf.DUMMYFUNCTION("IFERROR(GOOGLEFINANCE(B161,""eps""),0)"),0)</f>
        <v>0</v>
      </c>
      <c r="AJ161" s="1"/>
      <c r="AK161" s="1" t="s">
        <v>555</v>
      </c>
      <c r="AL161" s="1" t="b">
        <f t="shared" ref="AL161:AL163" si="40">ISNUMBER(AA161)</f>
        <v>1</v>
      </c>
    </row>
    <row r="162" spans="1:38" ht="15" x14ac:dyDescent="0.25">
      <c r="A162" s="1" t="s">
        <v>556</v>
      </c>
      <c r="B162" s="1" t="s">
        <v>557</v>
      </c>
      <c r="C162" s="1" t="s">
        <v>355</v>
      </c>
      <c r="D162" s="1" t="s">
        <v>355</v>
      </c>
      <c r="E162" s="6">
        <v>128.63</v>
      </c>
      <c r="F162" s="1" t="s">
        <v>53</v>
      </c>
      <c r="G162" s="6">
        <f ca="1">IFERROR(__xludf.DUMMYFUNCTION("iferror(GOOGLEFINANCE(TRIM(F162)&amp;"":"" &amp; TRIM(B162), ""price""),0
)"),0)</f>
        <v>0</v>
      </c>
      <c r="H162" s="6">
        <v>536</v>
      </c>
      <c r="I162" s="6">
        <f t="shared" ca="1" si="0"/>
        <v>536</v>
      </c>
      <c r="J162" s="6">
        <f ca="1">IFERROR(__xludf.DUMMYFUNCTION("IFERROR(GOOGLEFINANCE(B162, ""volume""), 0)"),0)</f>
        <v>0</v>
      </c>
      <c r="K162" s="6">
        <v>-0.08</v>
      </c>
      <c r="L162" s="6">
        <f ca="1">IFERROR(__xludf.DUMMYFUNCTION("IFERROR(GOOGLEFINANCE(B162,""changepct""),K162)"),-0.08)</f>
        <v>-0.08</v>
      </c>
      <c r="M162" s="6">
        <f ca="1">IFERROR(__xludf.DUMMYFUNCTION("IFERROR(GOOGLEFINANCE(B162,""change""),0)"),0)</f>
        <v>0</v>
      </c>
      <c r="N162" s="6">
        <v>1</v>
      </c>
      <c r="O162" s="7">
        <v>45536</v>
      </c>
      <c r="P162" s="6">
        <v>24.71</v>
      </c>
      <c r="Q162" s="6">
        <v>153.34</v>
      </c>
      <c r="R162" s="7">
        <v>45536</v>
      </c>
      <c r="S162" s="6">
        <v>336.94</v>
      </c>
      <c r="T162" s="6">
        <v>4.88</v>
      </c>
      <c r="U162" s="7">
        <v>45536</v>
      </c>
      <c r="V162" s="6">
        <v>26.36</v>
      </c>
      <c r="W162" s="6">
        <f ca="1">IFERROR(__xludf.DUMMYFUNCTION("IFERROR(GOOGLEFINANCE(B162,""pe""),V162)"),26.36)</f>
        <v>26.36</v>
      </c>
      <c r="X162" s="6">
        <v>3.29</v>
      </c>
      <c r="Y162" s="6">
        <v>3.15</v>
      </c>
      <c r="Z162" s="6">
        <v>1</v>
      </c>
      <c r="AA162" s="8">
        <v>45352</v>
      </c>
      <c r="AB162" s="4">
        <v>0.63</v>
      </c>
      <c r="AC162" s="6">
        <v>13.82</v>
      </c>
      <c r="AD162" s="6">
        <v>14.28</v>
      </c>
      <c r="AE162" s="1">
        <v>0</v>
      </c>
      <c r="AF162" s="1">
        <f ca="1">IFERROR(__xludf.DUMMYFUNCTION("IFERROR(GOOGLEFINANCE(TRIM(F162)&amp;"":"" &amp; TRIM(B162),""high52""),AE162)"),0)</f>
        <v>0</v>
      </c>
      <c r="AG162" s="1">
        <v>0</v>
      </c>
      <c r="AH162" s="1">
        <f ca="1">IFERROR(__xludf.DUMMYFUNCTION("IFERROR(GOOGLEFINANCE(TRIM(F162)&amp;"":"" &amp; TRIM(B162),""low52""),AE162)"),0)</f>
        <v>0</v>
      </c>
      <c r="AI162" s="1">
        <f ca="1">IFERROR(__xludf.DUMMYFUNCTION("IFERROR(GOOGLEFINANCE(B162,""eps""),0)"),0)</f>
        <v>0</v>
      </c>
      <c r="AJ162" s="1"/>
      <c r="AK162" s="1" t="s">
        <v>558</v>
      </c>
      <c r="AL162" s="1" t="b">
        <f t="shared" si="40"/>
        <v>1</v>
      </c>
    </row>
    <row r="163" spans="1:38" ht="15" x14ac:dyDescent="0.25">
      <c r="A163" s="1" t="s">
        <v>559</v>
      </c>
      <c r="B163" s="1" t="s">
        <v>560</v>
      </c>
      <c r="C163" s="1" t="s">
        <v>355</v>
      </c>
      <c r="D163" s="1" t="s">
        <v>355</v>
      </c>
      <c r="E163" s="6">
        <v>179.76</v>
      </c>
      <c r="F163" s="1" t="s">
        <v>53</v>
      </c>
      <c r="G163" s="6">
        <f ca="1">IFERROR(__xludf.DUMMYFUNCTION("iferror(GOOGLEFINANCE(TRIM(F163)&amp;"":"" &amp; TRIM(B163), ""price""),0
)"),0)</f>
        <v>0</v>
      </c>
      <c r="H163" s="6">
        <v>183</v>
      </c>
      <c r="I163" s="6">
        <f t="shared" ca="1" si="0"/>
        <v>183</v>
      </c>
      <c r="J163" s="6">
        <f ca="1">IFERROR(__xludf.DUMMYFUNCTION("IFERROR(GOOGLEFINANCE(B163, ""volume""), 0)"),0)</f>
        <v>0</v>
      </c>
      <c r="K163" s="6">
        <v>-0.03</v>
      </c>
      <c r="L163" s="6">
        <f ca="1">IFERROR(__xludf.DUMMYFUNCTION("IFERROR(GOOGLEFINANCE(B163,""changepct""),K163)"),-0.03)</f>
        <v>-0.03</v>
      </c>
      <c r="M163" s="6">
        <f ca="1">IFERROR(__xludf.DUMMYFUNCTION("IFERROR(GOOGLEFINANCE(B163,""change""),0)"),0)</f>
        <v>0</v>
      </c>
      <c r="N163" s="6">
        <v>1</v>
      </c>
      <c r="O163" s="7">
        <v>45536</v>
      </c>
      <c r="P163" s="6">
        <v>24.8</v>
      </c>
      <c r="Q163" s="6">
        <v>204.57</v>
      </c>
      <c r="R163" s="7">
        <v>45536</v>
      </c>
      <c r="S163" s="6">
        <v>245.37</v>
      </c>
      <c r="T163" s="6">
        <v>14.02</v>
      </c>
      <c r="U163" s="7">
        <v>45536</v>
      </c>
      <c r="V163" s="6">
        <v>12.82</v>
      </c>
      <c r="W163" s="6">
        <f ca="1">IFERROR(__xludf.DUMMYFUNCTION("IFERROR(GOOGLEFINANCE(B163,""pe""),V163)"),12.82)</f>
        <v>12.82</v>
      </c>
      <c r="X163" s="6">
        <v>-1.32</v>
      </c>
      <c r="Y163" s="6">
        <v>0.94</v>
      </c>
      <c r="Z163" s="6">
        <v>1</v>
      </c>
      <c r="AA163" s="8">
        <v>45352</v>
      </c>
      <c r="AB163" s="4">
        <v>0.16</v>
      </c>
      <c r="AC163" s="6">
        <v>6.88</v>
      </c>
      <c r="AD163" s="6">
        <v>9.66</v>
      </c>
      <c r="AE163" s="1">
        <v>0</v>
      </c>
      <c r="AF163" s="1">
        <f ca="1">IFERROR(__xludf.DUMMYFUNCTION("IFERROR(GOOGLEFINANCE(TRIM(F163)&amp;"":"" &amp; TRIM(B163),""high52""),AE163)"),0)</f>
        <v>0</v>
      </c>
      <c r="AG163" s="1">
        <v>0</v>
      </c>
      <c r="AH163" s="1">
        <f ca="1">IFERROR(__xludf.DUMMYFUNCTION("IFERROR(GOOGLEFINANCE(TRIM(F163)&amp;"":"" &amp; TRIM(B163),""low52""),AE163)"),0)</f>
        <v>0</v>
      </c>
      <c r="AI163" s="1">
        <f ca="1">IFERROR(__xludf.DUMMYFUNCTION("IFERROR(GOOGLEFINANCE(B163,""eps""),0)"),0)</f>
        <v>0</v>
      </c>
      <c r="AJ163" s="1"/>
      <c r="AK163" s="1" t="s">
        <v>561</v>
      </c>
      <c r="AL163" s="1" t="b">
        <f t="shared" si="40"/>
        <v>1</v>
      </c>
    </row>
    <row r="164" spans="1:38" ht="15" x14ac:dyDescent="0.25">
      <c r="A164" s="1" t="s">
        <v>562</v>
      </c>
      <c r="B164" s="1" t="s">
        <v>563</v>
      </c>
      <c r="C164" s="1" t="s">
        <v>227</v>
      </c>
      <c r="D164" s="1" t="s">
        <v>227</v>
      </c>
      <c r="E164" s="6">
        <v>58.02</v>
      </c>
      <c r="F164" s="1" t="s">
        <v>40</v>
      </c>
      <c r="G164" s="6">
        <f ca="1">IFERROR(__xludf.DUMMYFUNCTION("iferror(GOOGLEFINANCE(TRIM(F164)&amp;"":"" &amp; TRIM(B164), ""price""),0
)"),14)</f>
        <v>14</v>
      </c>
      <c r="H164" s="6">
        <v>18.32</v>
      </c>
      <c r="I164" s="6">
        <f t="shared" ca="1" si="0"/>
        <v>14</v>
      </c>
      <c r="J164" s="6">
        <f ca="1">IFERROR(__xludf.DUMMYFUNCTION("IFERROR(GOOGLEFINANCE(B164, ""volume""), 0)"),2248)</f>
        <v>2248</v>
      </c>
      <c r="K164" s="6">
        <v>0.33</v>
      </c>
      <c r="L164" s="6">
        <f ca="1">IFERROR(__xludf.DUMMYFUNCTION("IFERROR(GOOGLEFINANCE(B164,""changepct""),K164)"),0)</f>
        <v>0</v>
      </c>
      <c r="M164" s="6">
        <f ca="1">IFERROR(__xludf.DUMMYFUNCTION("IFERROR(GOOGLEFINANCE(B164,""change""),0)"),0)</f>
        <v>0</v>
      </c>
      <c r="N164" s="6">
        <v>2</v>
      </c>
      <c r="O164" s="7">
        <v>45536</v>
      </c>
      <c r="P164" s="6">
        <v>14.32</v>
      </c>
      <c r="Q164" s="6">
        <v>72.34</v>
      </c>
      <c r="R164" s="7">
        <v>45536</v>
      </c>
      <c r="S164" s="6">
        <v>165.19</v>
      </c>
      <c r="T164" s="6">
        <v>1.1200000000000001</v>
      </c>
      <c r="U164" s="7">
        <v>45536</v>
      </c>
      <c r="V164" s="6">
        <v>48.76</v>
      </c>
      <c r="W164" s="6">
        <f ca="1">IFERROR(__xludf.DUMMYFUNCTION("IFERROR(GOOGLEFINANCE(B164,""pe""),V164)"),48.76)</f>
        <v>48.76</v>
      </c>
      <c r="X164" s="12"/>
      <c r="Y164" s="6">
        <v>1.1000000000000001</v>
      </c>
      <c r="Z164" s="6">
        <v>2</v>
      </c>
      <c r="AA164" s="8">
        <v>45352</v>
      </c>
      <c r="AB164" s="4">
        <v>0.27</v>
      </c>
      <c r="AC164" s="6">
        <v>2.97</v>
      </c>
      <c r="AD164" s="6">
        <v>5.31</v>
      </c>
      <c r="AE164" s="1">
        <v>0</v>
      </c>
      <c r="AF164" s="1">
        <f ca="1">IFERROR(__xludf.DUMMYFUNCTION("IFERROR(GOOGLEFINANCE(TRIM(F164)&amp;"":"" &amp; TRIM(B164),""high52""),AE164)"),18.23)</f>
        <v>18.23</v>
      </c>
      <c r="AG164" s="1">
        <v>0</v>
      </c>
      <c r="AH164" s="1">
        <f ca="1">IFERROR(__xludf.DUMMYFUNCTION("IFERROR(GOOGLEFINANCE(TRIM(F164)&amp;"":"" &amp; TRIM(B164),""low52""),AE164)"),11.24)</f>
        <v>11.24</v>
      </c>
      <c r="AI164" s="1">
        <f ca="1">IFERROR(__xludf.DUMMYFUNCTION("IFERROR(GOOGLEFINANCE(B164,""eps""),0)"),-0.01)</f>
        <v>-0.01</v>
      </c>
      <c r="AJ164" s="1"/>
      <c r="AK164" s="1" t="s">
        <v>564</v>
      </c>
      <c r="AL164" s="9">
        <f t="shared" ref="AL164:AL165" si="41">IF(AA164&lt;&gt;AB164,1,0)</f>
        <v>1</v>
      </c>
    </row>
    <row r="165" spans="1:38" ht="15" x14ac:dyDescent="0.25">
      <c r="A165" s="1" t="s">
        <v>565</v>
      </c>
      <c r="B165" s="1" t="s">
        <v>566</v>
      </c>
      <c r="C165" s="1" t="s">
        <v>567</v>
      </c>
      <c r="D165" s="1" t="s">
        <v>567</v>
      </c>
      <c r="E165" s="6">
        <v>112.08</v>
      </c>
      <c r="F165" s="1" t="s">
        <v>40</v>
      </c>
      <c r="G165" s="6">
        <f ca="1">IFERROR(__xludf.DUMMYFUNCTION("iferror(GOOGLEFINANCE(TRIM(F165)&amp;"":"" &amp; TRIM(B165), ""price""),0
)"),6.03)</f>
        <v>6.03</v>
      </c>
      <c r="H165" s="6">
        <v>12.4</v>
      </c>
      <c r="I165" s="6">
        <f t="shared" ca="1" si="0"/>
        <v>6.03</v>
      </c>
      <c r="J165" s="6">
        <f ca="1">IFERROR(__xludf.DUMMYFUNCTION("IFERROR(GOOGLEFINANCE(B165, ""volume""), 0)"),66412)</f>
        <v>66412</v>
      </c>
      <c r="K165" s="6">
        <v>-0.88</v>
      </c>
      <c r="L165" s="6">
        <f ca="1">IFERROR(__xludf.DUMMYFUNCTION("IFERROR(GOOGLEFINANCE(B165,""changepct""),K165)"),-2.9)</f>
        <v>-2.9</v>
      </c>
      <c r="M165" s="6">
        <f ca="1">IFERROR(__xludf.DUMMYFUNCTION("IFERROR(GOOGLEFINANCE(B165,""change""),0)"),-0.18)</f>
        <v>-0.18</v>
      </c>
      <c r="N165" s="6">
        <v>2</v>
      </c>
      <c r="O165" s="7">
        <v>45536</v>
      </c>
      <c r="P165" s="6">
        <v>21.65</v>
      </c>
      <c r="Q165" s="6">
        <v>133.72999999999999</v>
      </c>
      <c r="R165" s="7">
        <v>45536</v>
      </c>
      <c r="S165" s="6">
        <v>73.73</v>
      </c>
      <c r="T165" s="6">
        <v>1.64</v>
      </c>
      <c r="U165" s="7">
        <v>45536</v>
      </c>
      <c r="V165" s="6">
        <v>68.22</v>
      </c>
      <c r="W165" s="6">
        <f ca="1">IFERROR(__xludf.DUMMYFUNCTION("IFERROR(GOOGLEFINANCE(B165,""pe""),V165)"),33.5)</f>
        <v>33.5</v>
      </c>
      <c r="X165" s="12"/>
      <c r="Y165" s="6">
        <v>1.75</v>
      </c>
      <c r="Z165" s="6">
        <v>2</v>
      </c>
      <c r="AA165" s="8">
        <v>45352</v>
      </c>
      <c r="AB165" s="4">
        <v>0.43</v>
      </c>
      <c r="AC165" s="6">
        <v>4.17</v>
      </c>
      <c r="AD165" s="6">
        <v>5.92</v>
      </c>
      <c r="AE165" s="1">
        <v>0</v>
      </c>
      <c r="AF165" s="1">
        <f ca="1">IFERROR(__xludf.DUMMYFUNCTION("IFERROR(GOOGLEFINANCE(TRIM(F165)&amp;"":"" &amp; TRIM(B165),""high52""),AE165)"),16.05)</f>
        <v>16.05</v>
      </c>
      <c r="AG165" s="1">
        <v>0</v>
      </c>
      <c r="AH165" s="1">
        <f ca="1">IFERROR(__xludf.DUMMYFUNCTION("IFERROR(GOOGLEFINANCE(TRIM(F165)&amp;"":"" &amp; TRIM(B165),""low52""),AE165)"),5.7)</f>
        <v>5.7</v>
      </c>
      <c r="AI165" s="1">
        <f ca="1">IFERROR(__xludf.DUMMYFUNCTION("IFERROR(GOOGLEFINANCE(B165,""eps""),0)"),0.18)</f>
        <v>0.18</v>
      </c>
      <c r="AJ165" s="1"/>
      <c r="AK165" s="1" t="s">
        <v>568</v>
      </c>
      <c r="AL165" s="9">
        <f t="shared" si="41"/>
        <v>1</v>
      </c>
    </row>
    <row r="166" spans="1:38" ht="15" x14ac:dyDescent="0.25">
      <c r="A166" s="1" t="s">
        <v>569</v>
      </c>
      <c r="B166" s="1" t="s">
        <v>570</v>
      </c>
      <c r="C166" s="1" t="s">
        <v>90</v>
      </c>
      <c r="D166" s="1" t="s">
        <v>90</v>
      </c>
      <c r="E166" s="6">
        <v>82.93</v>
      </c>
      <c r="F166" s="1" t="s">
        <v>40</v>
      </c>
      <c r="G166" s="6">
        <f ca="1">IFERROR(__xludf.DUMMYFUNCTION("iferror(GOOGLEFINANCE(TRIM(F166)&amp;"":"" &amp; TRIM(B166), ""price""),0
)"),0)</f>
        <v>0</v>
      </c>
      <c r="H166" s="6">
        <v>77</v>
      </c>
      <c r="I166" s="6">
        <f t="shared" ca="1" si="0"/>
        <v>77</v>
      </c>
      <c r="J166" s="6">
        <f ca="1">IFERROR(__xludf.DUMMYFUNCTION("IFERROR(GOOGLEFINANCE(B166, ""volume""), 0)"),0)</f>
        <v>0</v>
      </c>
      <c r="K166" s="9"/>
      <c r="L166" s="6" t="str">
        <f ca="1">IFERROR(__xludf.DUMMYFUNCTION("IFERROR(GOOGLEFINANCE(B166,""changepct""),K166)"),"")</f>
        <v/>
      </c>
      <c r="M166" s="6">
        <f ca="1">IFERROR(__xludf.DUMMYFUNCTION("IFERROR(GOOGLEFINANCE(B166,""change""),0)"),0)</f>
        <v>0</v>
      </c>
      <c r="N166" s="6">
        <v>1</v>
      </c>
      <c r="O166" s="7">
        <v>45536</v>
      </c>
      <c r="P166" s="6">
        <v>0</v>
      </c>
      <c r="Q166" s="6">
        <v>82.93</v>
      </c>
      <c r="R166" s="7">
        <v>45352</v>
      </c>
      <c r="S166" s="6">
        <v>32.200000000000003</v>
      </c>
      <c r="T166" s="6">
        <v>3.76</v>
      </c>
      <c r="U166" s="7">
        <v>45352</v>
      </c>
      <c r="V166" s="6">
        <v>22.09</v>
      </c>
      <c r="W166" s="6">
        <f ca="1">IFERROR(__xludf.DUMMYFUNCTION("IFERROR(GOOGLEFINANCE(B166,""pe""),V166)"),22.09)</f>
        <v>22.09</v>
      </c>
      <c r="X166" s="14"/>
      <c r="Y166" s="6">
        <v>2.2000000000000002</v>
      </c>
      <c r="Z166" s="6">
        <v>1</v>
      </c>
      <c r="AA166" s="8">
        <v>45352</v>
      </c>
      <c r="AB166" s="4">
        <v>0.09</v>
      </c>
      <c r="AC166" s="6">
        <v>36.89</v>
      </c>
      <c r="AD166" s="6">
        <v>45.55</v>
      </c>
      <c r="AE166" s="1">
        <v>0</v>
      </c>
      <c r="AF166" s="1">
        <f ca="1">IFERROR(__xludf.DUMMYFUNCTION("IFERROR(GOOGLEFINANCE(TRIM(F166)&amp;"":"" &amp; TRIM(B166),""high52""),AE166)"),0)</f>
        <v>0</v>
      </c>
      <c r="AG166" s="1">
        <v>0</v>
      </c>
      <c r="AH166" s="1">
        <f ca="1">IFERROR(__xludf.DUMMYFUNCTION("IFERROR(GOOGLEFINANCE(TRIM(F166)&amp;"":"" &amp; TRIM(B166),""low52""),AE166)"),0)</f>
        <v>0</v>
      </c>
      <c r="AI166" s="1">
        <f ca="1">IFERROR(__xludf.DUMMYFUNCTION("IFERROR(GOOGLEFINANCE(B166,""eps""),0)"),0)</f>
        <v>0</v>
      </c>
      <c r="AJ166" s="1"/>
      <c r="AK166" s="9"/>
      <c r="AL166" s="1" t="b">
        <f>ISBLANK(AB166)</f>
        <v>0</v>
      </c>
    </row>
    <row r="167" spans="1:38" ht="15" x14ac:dyDescent="0.25">
      <c r="A167" s="1" t="s">
        <v>571</v>
      </c>
      <c r="B167" s="1" t="s">
        <v>572</v>
      </c>
      <c r="C167" s="1" t="s">
        <v>208</v>
      </c>
      <c r="D167" s="1" t="s">
        <v>208</v>
      </c>
      <c r="E167" s="6">
        <v>360.01</v>
      </c>
      <c r="F167" s="1" t="s">
        <v>40</v>
      </c>
      <c r="G167" s="6">
        <f ca="1">IFERROR(__xludf.DUMMYFUNCTION("iferror(GOOGLEFINANCE(TRIM(F167)&amp;"":"" &amp; TRIM(B167), ""price""),0
)"),4.98)</f>
        <v>4.9800000000000004</v>
      </c>
      <c r="H167" s="6">
        <v>85</v>
      </c>
      <c r="I167" s="6">
        <f t="shared" ca="1" si="0"/>
        <v>4.9800000000000004</v>
      </c>
      <c r="J167" s="6">
        <f ca="1">IFERROR(__xludf.DUMMYFUNCTION("IFERROR(GOOGLEFINANCE(B167, ""volume""), 0)"),1714459)</f>
        <v>1714459</v>
      </c>
      <c r="K167" s="6">
        <v>0.83</v>
      </c>
      <c r="L167" s="6">
        <f ca="1">IFERROR(__xludf.DUMMYFUNCTION("IFERROR(GOOGLEFINANCE(B167,""changepct""),K167)"),1.63)</f>
        <v>1.63</v>
      </c>
      <c r="M167" s="6">
        <f ca="1">IFERROR(__xludf.DUMMYFUNCTION("IFERROR(GOOGLEFINANCE(B167,""change""),0)"),0.08)</f>
        <v>0.08</v>
      </c>
      <c r="N167" s="6">
        <v>1</v>
      </c>
      <c r="O167" s="7">
        <v>45352</v>
      </c>
      <c r="P167" s="6">
        <v>18.53</v>
      </c>
      <c r="Q167" s="7">
        <v>45352</v>
      </c>
      <c r="R167" s="6">
        <v>19.43</v>
      </c>
      <c r="S167" s="9"/>
      <c r="T167" s="6">
        <v>1.01</v>
      </c>
      <c r="U167" s="6">
        <v>1</v>
      </c>
      <c r="V167" s="7">
        <v>45352</v>
      </c>
      <c r="W167" s="6">
        <f ca="1">IFERROR(__xludf.DUMMYFUNCTION("IFERROR(GOOGLEFINANCE(B167,""pe""),V167)"),5.86)</f>
        <v>5.86</v>
      </c>
      <c r="X167" s="6">
        <v>0.92</v>
      </c>
      <c r="Y167" s="6">
        <v>8.66</v>
      </c>
      <c r="Z167" s="6">
        <v>12.84</v>
      </c>
      <c r="AA167" s="3" t="s">
        <v>573</v>
      </c>
      <c r="AB167" s="11"/>
      <c r="AC167" s="9"/>
      <c r="AD167" s="9"/>
      <c r="AE167" s="1">
        <v>0</v>
      </c>
      <c r="AF167" s="1">
        <f ca="1">IFERROR(__xludf.DUMMYFUNCTION("IFERROR(GOOGLEFINANCE(TRIM(F167)&amp;"":"" &amp; TRIM(B167),""high52""),AE167)"),10.16)</f>
        <v>10.16</v>
      </c>
      <c r="AG167" s="1">
        <v>0</v>
      </c>
      <c r="AH167" s="1">
        <f ca="1">IFERROR(__xludf.DUMMYFUNCTION("IFERROR(GOOGLEFINANCE(TRIM(F167)&amp;"":"" &amp; TRIM(B167),""low52""),AE167)"),3.92)</f>
        <v>3.92</v>
      </c>
      <c r="AI167" s="1">
        <f ca="1">IFERROR(__xludf.DUMMYFUNCTION("IFERROR(GOOGLEFINANCE(B167,""eps""),0)"),0.85)</f>
        <v>0.85</v>
      </c>
      <c r="AJ167" s="1"/>
      <c r="AK167" s="1" t="s">
        <v>574</v>
      </c>
      <c r="AL167" s="9">
        <f>IF(AA167&lt;&gt;AB167,1,0)</f>
        <v>1</v>
      </c>
    </row>
    <row r="168" spans="1:38" ht="15" x14ac:dyDescent="0.25">
      <c r="A168" s="1" t="s">
        <v>575</v>
      </c>
      <c r="B168" s="1" t="s">
        <v>576</v>
      </c>
      <c r="C168" s="1" t="s">
        <v>577</v>
      </c>
      <c r="D168" s="1" t="s">
        <v>577</v>
      </c>
      <c r="E168" s="6">
        <v>205.49</v>
      </c>
      <c r="F168" s="1" t="s">
        <v>40</v>
      </c>
      <c r="G168" s="6">
        <f ca="1">IFERROR(__xludf.DUMMYFUNCTION("iferror(GOOGLEFINANCE(TRIM(F168)&amp;"":"" &amp; TRIM(B168), ""price""),0
)"),5.29)</f>
        <v>5.29</v>
      </c>
      <c r="H168" s="6">
        <v>12.75</v>
      </c>
      <c r="I168" s="6">
        <f t="shared" ca="1" si="0"/>
        <v>5.29</v>
      </c>
      <c r="J168" s="6">
        <f ca="1">IFERROR(__xludf.DUMMYFUNCTION("IFERROR(GOOGLEFINANCE(B168, ""volume""), 0)"),169352)</f>
        <v>169352</v>
      </c>
      <c r="K168" s="6">
        <v>1.1100000000000001</v>
      </c>
      <c r="L168" s="6">
        <f ca="1">IFERROR(__xludf.DUMMYFUNCTION("IFERROR(GOOGLEFINANCE(B168,""changepct""),K168)"),-0.38)</f>
        <v>-0.38</v>
      </c>
      <c r="M168" s="6">
        <f ca="1">IFERROR(__xludf.DUMMYFUNCTION("IFERROR(GOOGLEFINANCE(B168,""change""),0)"),-0.02)</f>
        <v>-0.02</v>
      </c>
      <c r="N168" s="6">
        <v>2</v>
      </c>
      <c r="O168" s="7">
        <v>45536</v>
      </c>
      <c r="P168" s="6">
        <v>66.44</v>
      </c>
      <c r="Q168" s="6">
        <v>234.01</v>
      </c>
      <c r="R168" s="7">
        <v>45536</v>
      </c>
      <c r="S168" s="6">
        <v>170.08</v>
      </c>
      <c r="T168" s="6">
        <v>-79.150000000000006</v>
      </c>
      <c r="U168" s="7">
        <v>45536</v>
      </c>
      <c r="V168" s="6">
        <v>0</v>
      </c>
      <c r="W168" s="6">
        <f ca="1">IFERROR(__xludf.DUMMYFUNCTION("IFERROR(GOOGLEFINANCE(B168,""pe""),V168)"),0)</f>
        <v>0</v>
      </c>
      <c r="X168" s="9"/>
      <c r="Y168" s="6">
        <v>28.47</v>
      </c>
      <c r="Z168" s="6">
        <v>2</v>
      </c>
      <c r="AA168" s="8">
        <v>45352</v>
      </c>
      <c r="AB168" s="4">
        <v>3.92</v>
      </c>
      <c r="AC168" s="6">
        <v>-146.63</v>
      </c>
      <c r="AD168" s="6">
        <v>-34.71</v>
      </c>
      <c r="AE168" s="1">
        <v>0</v>
      </c>
      <c r="AF168" s="1">
        <f ca="1">IFERROR(__xludf.DUMMYFUNCTION("IFERROR(GOOGLEFINANCE(TRIM(F168)&amp;"":"" &amp; TRIM(B168),""high52""),AE168)"),12.95)</f>
        <v>12.95</v>
      </c>
      <c r="AG168" s="1">
        <v>0</v>
      </c>
      <c r="AH168" s="1">
        <f ca="1">IFERROR(__xludf.DUMMYFUNCTION("IFERROR(GOOGLEFINANCE(TRIM(F168)&amp;"":"" &amp; TRIM(B168),""low52""),AE168)"),4.65)</f>
        <v>4.6500000000000004</v>
      </c>
      <c r="AI168" s="1">
        <f ca="1">IFERROR(__xludf.DUMMYFUNCTION("IFERROR(GOOGLEFINANCE(B168,""eps""),0)"),-1.29)</f>
        <v>-1.29</v>
      </c>
      <c r="AJ168" s="1"/>
      <c r="AK168" s="1" t="s">
        <v>578</v>
      </c>
      <c r="AL168" s="1" t="b">
        <f>ISNUMBER(AA168)</f>
        <v>1</v>
      </c>
    </row>
    <row r="169" spans="1:38" ht="15" x14ac:dyDescent="0.25">
      <c r="A169" s="1" t="s">
        <v>579</v>
      </c>
      <c r="B169" s="1" t="s">
        <v>580</v>
      </c>
      <c r="C169" s="1" t="s">
        <v>186</v>
      </c>
      <c r="D169" s="1" t="s">
        <v>186</v>
      </c>
      <c r="E169" s="6">
        <v>59.06</v>
      </c>
      <c r="F169" s="1" t="s">
        <v>40</v>
      </c>
      <c r="G169" s="6">
        <f ca="1">IFERROR(__xludf.DUMMYFUNCTION("iferror(GOOGLEFINANCE(TRIM(F169)&amp;"":"" &amp; TRIM(B169), ""price""),0
)"),0.48)</f>
        <v>0.48</v>
      </c>
      <c r="H169" s="6">
        <v>0.75</v>
      </c>
      <c r="I169" s="6">
        <f t="shared" ca="1" si="0"/>
        <v>0.48</v>
      </c>
      <c r="J169" s="6">
        <f ca="1">IFERROR(__xludf.DUMMYFUNCTION("IFERROR(GOOGLEFINANCE(B169, ""volume""), 0)"),803727)</f>
        <v>803727</v>
      </c>
      <c r="K169" s="6">
        <v>0</v>
      </c>
      <c r="L169" s="6">
        <f ca="1">IFERROR(__xludf.DUMMYFUNCTION("IFERROR(GOOGLEFINANCE(B169,""changepct""),K169)"),0)</f>
        <v>0</v>
      </c>
      <c r="M169" s="6">
        <f ca="1">IFERROR(__xludf.DUMMYFUNCTION("IFERROR(GOOGLEFINANCE(B169,""change""),0)"),0)</f>
        <v>0</v>
      </c>
      <c r="N169" s="6">
        <v>1</v>
      </c>
      <c r="O169" s="7">
        <v>45536</v>
      </c>
      <c r="P169" s="6">
        <v>17.87</v>
      </c>
      <c r="Q169" s="6">
        <v>76.91</v>
      </c>
      <c r="R169" s="7">
        <v>45536</v>
      </c>
      <c r="S169" s="6">
        <v>153.15</v>
      </c>
      <c r="T169" s="6">
        <v>0.68</v>
      </c>
      <c r="U169" s="7">
        <v>45536</v>
      </c>
      <c r="V169" s="6">
        <v>86.35</v>
      </c>
      <c r="W169" s="6">
        <f ca="1">IFERROR(__xludf.DUMMYFUNCTION("IFERROR(GOOGLEFINANCE(B169,""pe""),V169)"),86.35)</f>
        <v>86.35</v>
      </c>
      <c r="X169" s="6">
        <v>9.56</v>
      </c>
      <c r="Y169" s="6">
        <v>0.64</v>
      </c>
      <c r="Z169" s="6">
        <v>1</v>
      </c>
      <c r="AA169" s="8">
        <v>45352</v>
      </c>
      <c r="AB169" s="4">
        <v>0.43</v>
      </c>
      <c r="AC169" s="6">
        <v>8.18</v>
      </c>
      <c r="AD169" s="6">
        <v>10.52</v>
      </c>
      <c r="AE169" s="1">
        <v>0</v>
      </c>
      <c r="AF169" s="1">
        <f ca="1">IFERROR(__xludf.DUMMYFUNCTION("IFERROR(GOOGLEFINANCE(TRIM(F169)&amp;"":"" &amp; TRIM(B169),""high52""),AE169)"),0.76)</f>
        <v>0.76</v>
      </c>
      <c r="AG169" s="1">
        <v>0</v>
      </c>
      <c r="AH169" s="1">
        <f ca="1">IFERROR(__xludf.DUMMYFUNCTION("IFERROR(GOOGLEFINANCE(TRIM(F169)&amp;"":"" &amp; TRIM(B169),""low52""),AE169)"),0.46)</f>
        <v>0.46</v>
      </c>
      <c r="AI169" s="1">
        <f ca="1">IFERROR(__xludf.DUMMYFUNCTION("IFERROR(GOOGLEFINANCE(B169,""eps""),0)"),-0.1)</f>
        <v>-0.1</v>
      </c>
      <c r="AJ169" s="1"/>
      <c r="AK169" s="1" t="s">
        <v>581</v>
      </c>
      <c r="AL169" s="9">
        <f t="shared" ref="AL169:AL170" si="42">IF(AA169&lt;&gt;AB169,1,0)</f>
        <v>1</v>
      </c>
    </row>
    <row r="170" spans="1:38" ht="15" x14ac:dyDescent="0.25">
      <c r="A170" s="1" t="s">
        <v>582</v>
      </c>
      <c r="B170" s="1" t="s">
        <v>583</v>
      </c>
      <c r="C170" s="1" t="s">
        <v>584</v>
      </c>
      <c r="D170" s="1" t="s">
        <v>584</v>
      </c>
      <c r="E170" s="6">
        <v>247.42</v>
      </c>
      <c r="F170" s="1" t="s">
        <v>40</v>
      </c>
      <c r="G170" s="6">
        <f ca="1">IFERROR(__xludf.DUMMYFUNCTION("iferror(GOOGLEFINANCE(TRIM(F170)&amp;"":"" &amp; TRIM(B170), ""price""),0
)"),220)</f>
        <v>220</v>
      </c>
      <c r="H170" s="6">
        <v>306.55</v>
      </c>
      <c r="I170" s="6">
        <f t="shared" ca="1" si="0"/>
        <v>220</v>
      </c>
      <c r="J170" s="6">
        <f ca="1">IFERROR(__xludf.DUMMYFUNCTION("IFERROR(GOOGLEFINANCE(B170, ""volume""), 0)"),2265)</f>
        <v>2265</v>
      </c>
      <c r="K170" s="6">
        <v>0.03</v>
      </c>
      <c r="L170" s="6">
        <f ca="1">IFERROR(__xludf.DUMMYFUNCTION("IFERROR(GOOGLEFINANCE(B170,""changepct""),K170)"),-2.42)</f>
        <v>-2.42</v>
      </c>
      <c r="M170" s="6">
        <f ca="1">IFERROR(__xludf.DUMMYFUNCTION("IFERROR(GOOGLEFINANCE(B170,""change""),0)"),-5.45)</f>
        <v>-5.45</v>
      </c>
      <c r="N170" s="6">
        <v>1</v>
      </c>
      <c r="O170" s="7">
        <v>45536</v>
      </c>
      <c r="P170" s="6">
        <v>68.239999999999995</v>
      </c>
      <c r="Q170" s="6">
        <v>312.42</v>
      </c>
      <c r="R170" s="7">
        <v>45536</v>
      </c>
      <c r="S170" s="6">
        <v>321.91000000000003</v>
      </c>
      <c r="T170" s="6">
        <v>-3.5</v>
      </c>
      <c r="U170" s="7">
        <v>45536</v>
      </c>
      <c r="V170" s="6">
        <v>0</v>
      </c>
      <c r="W170" s="6">
        <f ca="1">IFERROR(__xludf.DUMMYFUNCTION("IFERROR(GOOGLEFINANCE(B170,""pe""),V170)"),0)</f>
        <v>0</v>
      </c>
      <c r="X170" s="12"/>
      <c r="Y170" s="6">
        <v>0.95</v>
      </c>
      <c r="Z170" s="6">
        <v>1</v>
      </c>
      <c r="AA170" s="8">
        <v>45352</v>
      </c>
      <c r="AB170" s="4">
        <v>0.2</v>
      </c>
      <c r="AC170" s="6">
        <v>-6.95</v>
      </c>
      <c r="AD170" s="6">
        <v>-3.86</v>
      </c>
      <c r="AE170" s="1">
        <v>0</v>
      </c>
      <c r="AF170" s="1">
        <f ca="1">IFERROR(__xludf.DUMMYFUNCTION("IFERROR(GOOGLEFINANCE(TRIM(F170)&amp;"":"" &amp; TRIM(B170),""high52""),AE170)"),330.8)</f>
        <v>330.8</v>
      </c>
      <c r="AG170" s="1">
        <v>0</v>
      </c>
      <c r="AH170" s="1">
        <f ca="1">IFERROR(__xludf.DUMMYFUNCTION("IFERROR(GOOGLEFINANCE(TRIM(F170)&amp;"":"" &amp; TRIM(B170),""low52""),AE170)"),195)</f>
        <v>195</v>
      </c>
      <c r="AI170" s="1">
        <f ca="1">IFERROR(__xludf.DUMMYFUNCTION("IFERROR(GOOGLEFINANCE(B170,""eps""),0)"),-4.83)</f>
        <v>-4.83</v>
      </c>
      <c r="AJ170" s="1"/>
      <c r="AK170" s="9"/>
      <c r="AL170" s="9">
        <f t="shared" si="42"/>
        <v>1</v>
      </c>
    </row>
    <row r="171" spans="1:38" ht="15" x14ac:dyDescent="0.25">
      <c r="A171" s="1" t="s">
        <v>585</v>
      </c>
      <c r="B171" s="1" t="s">
        <v>586</v>
      </c>
      <c r="C171" s="1" t="s">
        <v>355</v>
      </c>
      <c r="D171" s="1" t="s">
        <v>355</v>
      </c>
      <c r="E171" s="6">
        <v>21.76</v>
      </c>
      <c r="F171" s="1" t="s">
        <v>53</v>
      </c>
      <c r="G171" s="6">
        <f ca="1">IFERROR(__xludf.DUMMYFUNCTION("iferror(GOOGLEFINANCE(TRIM(F171)&amp;"":"" &amp; TRIM(B171), ""price""),0
)"),0)</f>
        <v>0</v>
      </c>
      <c r="H171" s="6">
        <v>13.38</v>
      </c>
      <c r="I171" s="6">
        <f t="shared" ca="1" si="0"/>
        <v>13.38</v>
      </c>
      <c r="J171" s="6">
        <f ca="1">IFERROR(__xludf.DUMMYFUNCTION("IFERROR(GOOGLEFINANCE(B171, ""volume""), 0)"),0)</f>
        <v>0</v>
      </c>
      <c r="K171" s="6">
        <v>1.59</v>
      </c>
      <c r="L171" s="6">
        <f ca="1">IFERROR(__xludf.DUMMYFUNCTION("IFERROR(GOOGLEFINANCE(B171,""changepct""),K171)"),1.59)</f>
        <v>1.59</v>
      </c>
      <c r="M171" s="6">
        <f ca="1">IFERROR(__xludf.DUMMYFUNCTION("IFERROR(GOOGLEFINANCE(B171,""change""),0)"),0)</f>
        <v>0</v>
      </c>
      <c r="N171" s="6">
        <v>1</v>
      </c>
      <c r="O171" s="7">
        <v>45536</v>
      </c>
      <c r="P171" s="6">
        <v>1.1000000000000001</v>
      </c>
      <c r="Q171" s="6">
        <v>22.87</v>
      </c>
      <c r="R171" s="7">
        <v>45536</v>
      </c>
      <c r="S171" s="6">
        <v>19.829999999999998</v>
      </c>
      <c r="T171" s="6">
        <v>-1.28</v>
      </c>
      <c r="U171" s="7">
        <v>45536</v>
      </c>
      <c r="V171" s="6">
        <v>0</v>
      </c>
      <c r="W171" s="6">
        <f ca="1">IFERROR(__xludf.DUMMYFUNCTION("IFERROR(GOOGLEFINANCE(B171,""pe""),V171)"),0)</f>
        <v>0</v>
      </c>
      <c r="X171" s="6">
        <v>0</v>
      </c>
      <c r="Y171" s="6">
        <v>2.31</v>
      </c>
      <c r="Z171" s="6">
        <v>1</v>
      </c>
      <c r="AA171" s="8">
        <v>45352</v>
      </c>
      <c r="AB171" s="4">
        <v>0.33</v>
      </c>
      <c r="AC171" s="6">
        <v>-13.37</v>
      </c>
      <c r="AD171" s="6">
        <v>-6.06</v>
      </c>
      <c r="AE171" s="1">
        <v>0</v>
      </c>
      <c r="AF171" s="1">
        <f ca="1">IFERROR(__xludf.DUMMYFUNCTION("IFERROR(GOOGLEFINANCE(TRIM(F171)&amp;"":"" &amp; TRIM(B171),""high52""),AE171)"),0)</f>
        <v>0</v>
      </c>
      <c r="AG171" s="1">
        <v>0</v>
      </c>
      <c r="AH171" s="1">
        <f ca="1">IFERROR(__xludf.DUMMYFUNCTION("IFERROR(GOOGLEFINANCE(TRIM(F171)&amp;"":"" &amp; TRIM(B171),""low52""),AE171)"),0)</f>
        <v>0</v>
      </c>
      <c r="AI171" s="1">
        <f ca="1">IFERROR(__xludf.DUMMYFUNCTION("IFERROR(GOOGLEFINANCE(B171,""eps""),0)"),0)</f>
        <v>0</v>
      </c>
      <c r="AJ171" s="1"/>
      <c r="AK171" s="1" t="s">
        <v>587</v>
      </c>
      <c r="AL171" s="1" t="b">
        <f>ISNUMBER(AA171)</f>
        <v>1</v>
      </c>
    </row>
    <row r="172" spans="1:38" ht="15" x14ac:dyDescent="0.25">
      <c r="A172" s="1" t="s">
        <v>588</v>
      </c>
      <c r="B172" s="1" t="s">
        <v>589</v>
      </c>
      <c r="C172" s="1" t="s">
        <v>106</v>
      </c>
      <c r="D172" s="1" t="s">
        <v>106</v>
      </c>
      <c r="E172" s="6">
        <v>10088.950000000001</v>
      </c>
      <c r="F172" s="1" t="s">
        <v>40</v>
      </c>
      <c r="G172" s="6">
        <f ca="1">IFERROR(__xludf.DUMMYFUNCTION("iferror(GOOGLEFINANCE(TRIM(F172)&amp;"":"" &amp; TRIM(B172), ""price""),0
)"),440)</f>
        <v>440</v>
      </c>
      <c r="H172" s="6">
        <v>637.25</v>
      </c>
      <c r="I172" s="6">
        <f t="shared" ca="1" si="0"/>
        <v>440</v>
      </c>
      <c r="J172" s="6">
        <f ca="1">IFERROR(__xludf.DUMMYFUNCTION("IFERROR(GOOGLEFINANCE(B172, ""volume""), 0)"),152632)</f>
        <v>152632</v>
      </c>
      <c r="K172" s="6">
        <v>-0.62</v>
      </c>
      <c r="L172" s="6">
        <f ca="1">IFERROR(__xludf.DUMMYFUNCTION("IFERROR(GOOGLEFINANCE(B172,""changepct""),K172)"),-1.16)</f>
        <v>-1.1599999999999999</v>
      </c>
      <c r="M172" s="6">
        <f ca="1">IFERROR(__xludf.DUMMYFUNCTION("IFERROR(GOOGLEFINANCE(B172,""change""),0)"),-5.15)</f>
        <v>-5.15</v>
      </c>
      <c r="N172" s="6">
        <v>2</v>
      </c>
      <c r="O172" s="7">
        <v>45536</v>
      </c>
      <c r="P172" s="6">
        <v>459.18</v>
      </c>
      <c r="Q172" s="6">
        <v>9753.16</v>
      </c>
      <c r="R172" s="14"/>
      <c r="S172" s="9"/>
      <c r="T172" s="9"/>
      <c r="U172" s="7">
        <v>45352</v>
      </c>
      <c r="V172" s="6">
        <v>0</v>
      </c>
      <c r="W172" s="6">
        <f ca="1">IFERROR(__xludf.DUMMYFUNCTION("IFERROR(GOOGLEFINANCE(B172,""pe""),V172)"),21.25)</f>
        <v>21.25</v>
      </c>
      <c r="X172" s="12"/>
      <c r="Y172" s="6">
        <v>3.56</v>
      </c>
      <c r="Z172" s="6">
        <v>2</v>
      </c>
      <c r="AA172" s="8">
        <v>45352</v>
      </c>
      <c r="AB172" s="4">
        <v>0.69</v>
      </c>
      <c r="AC172" s="6">
        <v>0.11</v>
      </c>
      <c r="AD172" s="6">
        <v>0.43</v>
      </c>
      <c r="AE172" s="1">
        <v>0</v>
      </c>
      <c r="AF172" s="1">
        <f ca="1">IFERROR(__xludf.DUMMYFUNCTION("IFERROR(GOOGLEFINANCE(TRIM(F172)&amp;"":"" &amp; TRIM(B172),""high52""),AE172)"),622.95)</f>
        <v>622.95000000000005</v>
      </c>
      <c r="AG172" s="1">
        <v>0</v>
      </c>
      <c r="AH172" s="1">
        <f ca="1">IFERROR(__xludf.DUMMYFUNCTION("IFERROR(GOOGLEFINANCE(TRIM(F172)&amp;"":"" &amp; TRIM(B172),""low52""),AE172)"),405)</f>
        <v>405</v>
      </c>
      <c r="AI172" s="1">
        <f ca="1">IFERROR(__xludf.DUMMYFUNCTION("IFERROR(GOOGLEFINANCE(B172,""eps""),0)"),20.71)</f>
        <v>20.71</v>
      </c>
      <c r="AJ172" s="1"/>
      <c r="AK172" s="1" t="s">
        <v>590</v>
      </c>
      <c r="AL172" s="9">
        <f t="shared" ref="AL172:AL177" si="43">IF(AA172&lt;&gt;AB172,1,0)</f>
        <v>1</v>
      </c>
    </row>
    <row r="173" spans="1:38" ht="15" x14ac:dyDescent="0.25">
      <c r="A173" s="1" t="s">
        <v>591</v>
      </c>
      <c r="B173" s="1" t="s">
        <v>592</v>
      </c>
      <c r="C173" s="1" t="s">
        <v>593</v>
      </c>
      <c r="D173" s="1" t="s">
        <v>593</v>
      </c>
      <c r="E173" s="6">
        <v>16181.84</v>
      </c>
      <c r="F173" s="1" t="s">
        <v>40</v>
      </c>
      <c r="G173" s="6">
        <f ca="1">IFERROR(__xludf.DUMMYFUNCTION("iferror(GOOGLEFINANCE(TRIM(F173)&amp;"":"" &amp; TRIM(B173), ""price""),0
)"),2844.8)</f>
        <v>2844.8</v>
      </c>
      <c r="H173" s="6">
        <v>3566.3</v>
      </c>
      <c r="I173" s="6">
        <f t="shared" ca="1" si="0"/>
        <v>2844.8</v>
      </c>
      <c r="J173" s="6">
        <f ca="1">IFERROR(__xludf.DUMMYFUNCTION("IFERROR(GOOGLEFINANCE(B173, ""volume""), 0)"),58325)</f>
        <v>58325</v>
      </c>
      <c r="K173" s="6">
        <v>0.55000000000000004</v>
      </c>
      <c r="L173" s="6">
        <f ca="1">IFERROR(__xludf.DUMMYFUNCTION("IFERROR(GOOGLEFINANCE(B173,""changepct""),K173)"),4.41)</f>
        <v>4.41</v>
      </c>
      <c r="M173" s="6">
        <f ca="1">IFERROR(__xludf.DUMMYFUNCTION("IFERROR(GOOGLEFINANCE(B173,""change""),0)"),120.1)</f>
        <v>120.1</v>
      </c>
      <c r="N173" s="6">
        <v>2</v>
      </c>
      <c r="O173" s="7">
        <v>45536</v>
      </c>
      <c r="P173" s="12"/>
      <c r="Q173" s="6">
        <v>15558.94</v>
      </c>
      <c r="R173" s="7">
        <v>45536</v>
      </c>
      <c r="S173" s="6">
        <v>4024.7</v>
      </c>
      <c r="T173" s="6">
        <v>435</v>
      </c>
      <c r="U173" s="7">
        <v>45536</v>
      </c>
      <c r="V173" s="6">
        <v>37.200000000000003</v>
      </c>
      <c r="W173" s="6">
        <f ca="1">IFERROR(__xludf.DUMMYFUNCTION("IFERROR(GOOGLEFINANCE(B173,""pe""),V173)"),6.51)</f>
        <v>6.51</v>
      </c>
      <c r="X173" s="6">
        <v>2.4500000000000002</v>
      </c>
      <c r="Y173" s="6">
        <v>11.36</v>
      </c>
      <c r="Z173" s="6">
        <v>2</v>
      </c>
      <c r="AA173" s="8">
        <v>45352</v>
      </c>
      <c r="AB173" s="4">
        <v>0</v>
      </c>
      <c r="AC173" s="6">
        <v>32.270000000000003</v>
      </c>
      <c r="AD173" s="6">
        <v>44.29</v>
      </c>
      <c r="AE173" s="1">
        <v>0</v>
      </c>
      <c r="AF173" s="1">
        <f ca="1">IFERROR(__xludf.DUMMYFUNCTION("IFERROR(GOOGLEFINANCE(TRIM(F173)&amp;"":"" &amp; TRIM(B173),""high52""),AE173)"),3915.5)</f>
        <v>3915.5</v>
      </c>
      <c r="AG173" s="1">
        <v>0</v>
      </c>
      <c r="AH173" s="1">
        <f ca="1">IFERROR(__xludf.DUMMYFUNCTION("IFERROR(GOOGLEFINANCE(TRIM(F173)&amp;"":"" &amp; TRIM(B173),""low52""),AE173)"),2658.7)</f>
        <v>2658.7</v>
      </c>
      <c r="AI173" s="1">
        <f ca="1">IFERROR(__xludf.DUMMYFUNCTION("IFERROR(GOOGLEFINANCE(B173,""eps""),0)"),437.15)</f>
        <v>437.15</v>
      </c>
      <c r="AJ173" s="1"/>
      <c r="AK173" s="1" t="s">
        <v>594</v>
      </c>
      <c r="AL173" s="9">
        <f t="shared" si="43"/>
        <v>1</v>
      </c>
    </row>
    <row r="174" spans="1:38" ht="15" x14ac:dyDescent="0.25">
      <c r="A174" s="1" t="s">
        <v>595</v>
      </c>
      <c r="B174" s="1" t="s">
        <v>596</v>
      </c>
      <c r="C174" s="1" t="s">
        <v>75</v>
      </c>
      <c r="D174" s="1" t="s">
        <v>75</v>
      </c>
      <c r="E174" s="6">
        <v>596.54999999999995</v>
      </c>
      <c r="F174" s="1" t="s">
        <v>40</v>
      </c>
      <c r="G174" s="6">
        <f ca="1">IFERROR(__xludf.DUMMYFUNCTION("iferror(GOOGLEFINANCE(TRIM(F174)&amp;"":"" &amp; TRIM(B174), ""price""),0
)"),9.6)</f>
        <v>9.6</v>
      </c>
      <c r="H174" s="6">
        <v>23.01</v>
      </c>
      <c r="I174" s="6">
        <f t="shared" ca="1" si="0"/>
        <v>9.6</v>
      </c>
      <c r="J174" s="6">
        <f ca="1">IFERROR(__xludf.DUMMYFUNCTION("IFERROR(GOOGLEFINANCE(B174, ""volume""), 0)"),207744)</f>
        <v>207744</v>
      </c>
      <c r="K174" s="6">
        <v>4.78</v>
      </c>
      <c r="L174" s="6">
        <f ca="1">IFERROR(__xludf.DUMMYFUNCTION("IFERROR(GOOGLEFINANCE(B174,""changepct""),K174)"),1.59)</f>
        <v>1.59</v>
      </c>
      <c r="M174" s="6">
        <f ca="1">IFERROR(__xludf.DUMMYFUNCTION("IFERROR(GOOGLEFINANCE(B174,""change""),0)"),0.15)</f>
        <v>0.15</v>
      </c>
      <c r="N174" s="6">
        <v>2</v>
      </c>
      <c r="O174" s="7">
        <v>45536</v>
      </c>
      <c r="P174" s="6">
        <v>25.78</v>
      </c>
      <c r="Q174" s="7">
        <v>45536</v>
      </c>
      <c r="R174" s="6">
        <v>23.58</v>
      </c>
      <c r="S174" s="6">
        <v>2.61</v>
      </c>
      <c r="T174" s="6">
        <v>2.08</v>
      </c>
      <c r="U174" s="6">
        <v>2</v>
      </c>
      <c r="V174" s="7">
        <v>45352</v>
      </c>
      <c r="W174" s="6">
        <f ca="1">IFERROR(__xludf.DUMMYFUNCTION("IFERROR(GOOGLEFINANCE(B174,""pe""),V174)"),13.71)</f>
        <v>13.71</v>
      </c>
      <c r="X174" s="6">
        <v>0.16</v>
      </c>
      <c r="Y174" s="6">
        <v>10.050000000000001</v>
      </c>
      <c r="Z174" s="6">
        <v>12.33</v>
      </c>
      <c r="AA174" s="3" t="s">
        <v>597</v>
      </c>
      <c r="AB174" s="11"/>
      <c r="AC174" s="9"/>
      <c r="AD174" s="9"/>
      <c r="AE174" s="1">
        <v>0</v>
      </c>
      <c r="AF174" s="1">
        <f ca="1">IFERROR(__xludf.DUMMYFUNCTION("IFERROR(GOOGLEFINANCE(TRIM(F174)&amp;"":"" &amp; TRIM(B174),""high52""),AE174)"),20)</f>
        <v>20</v>
      </c>
      <c r="AG174" s="1">
        <v>0</v>
      </c>
      <c r="AH174" s="1">
        <f ca="1">IFERROR(__xludf.DUMMYFUNCTION("IFERROR(GOOGLEFINANCE(TRIM(F174)&amp;"":"" &amp; TRIM(B174),""low52""),AE174)"),8.76)</f>
        <v>8.76</v>
      </c>
      <c r="AI174" s="1">
        <f ca="1">IFERROR(__xludf.DUMMYFUNCTION("IFERROR(GOOGLEFINANCE(B174,""eps""),0)"),0.7)</f>
        <v>0.7</v>
      </c>
      <c r="AJ174" s="1"/>
      <c r="AK174" s="1" t="s">
        <v>598</v>
      </c>
      <c r="AL174" s="9">
        <f t="shared" si="43"/>
        <v>1</v>
      </c>
    </row>
    <row r="175" spans="1:38" ht="15" x14ac:dyDescent="0.25">
      <c r="A175" s="1" t="s">
        <v>599</v>
      </c>
      <c r="B175" s="1" t="s">
        <v>600</v>
      </c>
      <c r="C175" s="1" t="s">
        <v>106</v>
      </c>
      <c r="D175" s="1" t="s">
        <v>106</v>
      </c>
      <c r="E175" s="6">
        <v>772.24</v>
      </c>
      <c r="F175" s="1" t="s">
        <v>40</v>
      </c>
      <c r="G175" s="6">
        <f ca="1">IFERROR(__xludf.DUMMYFUNCTION("iferror(GOOGLEFINANCE(TRIM(F175)&amp;"":"" &amp; TRIM(B175), ""price""),0
)"),683)</f>
        <v>683</v>
      </c>
      <c r="H175" s="6">
        <v>1383</v>
      </c>
      <c r="I175" s="6">
        <f t="shared" ca="1" si="0"/>
        <v>683</v>
      </c>
      <c r="J175" s="6">
        <f ca="1">IFERROR(__xludf.DUMMYFUNCTION("IFERROR(GOOGLEFINANCE(B175, ""volume""), 0)"),1077)</f>
        <v>1077</v>
      </c>
      <c r="K175" s="6">
        <v>2.4900000000000002</v>
      </c>
      <c r="L175" s="6">
        <f ca="1">IFERROR(__xludf.DUMMYFUNCTION("IFERROR(GOOGLEFINANCE(B175,""changepct""),K175)"),-1.15)</f>
        <v>-1.1499999999999999</v>
      </c>
      <c r="M175" s="6">
        <f ca="1">IFERROR(__xludf.DUMMYFUNCTION("IFERROR(GOOGLEFINANCE(B175,""change""),0)"),-7.95)</f>
        <v>-7.95</v>
      </c>
      <c r="N175" s="6">
        <v>1</v>
      </c>
      <c r="O175" s="7">
        <v>45536</v>
      </c>
      <c r="P175" s="6">
        <v>2.5</v>
      </c>
      <c r="Q175" s="6">
        <v>735.22</v>
      </c>
      <c r="R175" s="7">
        <v>45536</v>
      </c>
      <c r="S175" s="6">
        <v>365.13</v>
      </c>
      <c r="T175" s="6">
        <v>68.540000000000006</v>
      </c>
      <c r="U175" s="7">
        <v>45536</v>
      </c>
      <c r="V175" s="6">
        <v>11.27</v>
      </c>
      <c r="W175" s="6">
        <f ca="1">IFERROR(__xludf.DUMMYFUNCTION("IFERROR(GOOGLEFINANCE(B175,""pe""),V175)"),11.27)</f>
        <v>11.27</v>
      </c>
      <c r="X175" s="6">
        <v>0.49</v>
      </c>
      <c r="Y175" s="6">
        <v>1.87</v>
      </c>
      <c r="Z175" s="6">
        <v>1</v>
      </c>
      <c r="AA175" s="8">
        <v>45352</v>
      </c>
      <c r="AB175" s="4">
        <v>0.01</v>
      </c>
      <c r="AC175" s="6">
        <v>21.72</v>
      </c>
      <c r="AD175" s="6">
        <v>27.84</v>
      </c>
      <c r="AE175" s="1">
        <v>0</v>
      </c>
      <c r="AF175" s="1">
        <f ca="1">IFERROR(__xludf.DUMMYFUNCTION("IFERROR(GOOGLEFINANCE(TRIM(F175)&amp;"":"" &amp; TRIM(B175),""high52""),AE175)"),1218.85)</f>
        <v>1218.8499999999999</v>
      </c>
      <c r="AG175" s="1">
        <v>0</v>
      </c>
      <c r="AH175" s="1">
        <f ca="1">IFERROR(__xludf.DUMMYFUNCTION("IFERROR(GOOGLEFINANCE(TRIM(F175)&amp;"":"" &amp; TRIM(B175),""low52""),AE175)"),663.35)</f>
        <v>663.35</v>
      </c>
      <c r="AI175" s="1">
        <f ca="1">IFERROR(__xludf.DUMMYFUNCTION("IFERROR(GOOGLEFINANCE(B175,""eps""),0)"),-26.42)</f>
        <v>-26.42</v>
      </c>
      <c r="AJ175" s="1"/>
      <c r="AK175" s="1" t="s">
        <v>601</v>
      </c>
      <c r="AL175" s="9">
        <f t="shared" si="43"/>
        <v>1</v>
      </c>
    </row>
    <row r="176" spans="1:38" ht="15" x14ac:dyDescent="0.25">
      <c r="A176" s="1" t="s">
        <v>602</v>
      </c>
      <c r="B176" s="1" t="s">
        <v>603</v>
      </c>
      <c r="C176" s="1" t="s">
        <v>106</v>
      </c>
      <c r="D176" s="1" t="s">
        <v>106</v>
      </c>
      <c r="E176" s="6">
        <v>3472.97</v>
      </c>
      <c r="F176" s="1" t="s">
        <v>40</v>
      </c>
      <c r="G176" s="6">
        <f ca="1">IFERROR(__xludf.DUMMYFUNCTION("iferror(GOOGLEFINANCE(TRIM(F176)&amp;"":"" &amp; TRIM(B176), ""price""),0
)"),91.4)</f>
        <v>91.4</v>
      </c>
      <c r="H176" s="6">
        <v>134.86000000000001</v>
      </c>
      <c r="I176" s="6">
        <f t="shared" ca="1" si="0"/>
        <v>91.4</v>
      </c>
      <c r="J176" s="6">
        <f ca="1">IFERROR(__xludf.DUMMYFUNCTION("IFERROR(GOOGLEFINANCE(B176, ""volume""), 0)"),168918)</f>
        <v>168918</v>
      </c>
      <c r="K176" s="6">
        <v>-0.3</v>
      </c>
      <c r="L176" s="6">
        <f ca="1">IFERROR(__xludf.DUMMYFUNCTION("IFERROR(GOOGLEFINANCE(B176,""changepct""),K176)"),-0.87)</f>
        <v>-0.87</v>
      </c>
      <c r="M176" s="6">
        <f ca="1">IFERROR(__xludf.DUMMYFUNCTION("IFERROR(GOOGLEFINANCE(B176,""change""),0)"),-0.8)</f>
        <v>-0.8</v>
      </c>
      <c r="N176" s="6">
        <v>2</v>
      </c>
      <c r="O176" s="7">
        <v>45536</v>
      </c>
      <c r="P176" s="6">
        <v>16.21</v>
      </c>
      <c r="Q176" s="6">
        <v>3485.84</v>
      </c>
      <c r="R176" s="7">
        <v>45536</v>
      </c>
      <c r="S176" s="6">
        <v>192.05</v>
      </c>
      <c r="T176" s="6">
        <v>125.94</v>
      </c>
      <c r="U176" s="7">
        <v>45536</v>
      </c>
      <c r="V176" s="6">
        <v>11.19</v>
      </c>
      <c r="W176" s="6">
        <f ca="1">IFERROR(__xludf.DUMMYFUNCTION("IFERROR(GOOGLEFINANCE(B176,""pe""),V176)"),7.24)</f>
        <v>7.24</v>
      </c>
      <c r="X176" s="6">
        <v>3.6</v>
      </c>
      <c r="Y176" s="6">
        <v>1.55</v>
      </c>
      <c r="Z176" s="6">
        <v>2</v>
      </c>
      <c r="AA176" s="8">
        <v>45352</v>
      </c>
      <c r="AB176" s="4">
        <v>0</v>
      </c>
      <c r="AC176" s="6">
        <v>4.3600000000000003</v>
      </c>
      <c r="AD176" s="6">
        <v>4.8600000000000003</v>
      </c>
      <c r="AE176" s="1">
        <v>0</v>
      </c>
      <c r="AF176" s="1">
        <f ca="1">IFERROR(__xludf.DUMMYFUNCTION("IFERROR(GOOGLEFINANCE(TRIM(F176)&amp;"":"" &amp; TRIM(B176),""high52""),AE176)"),125.54)</f>
        <v>125.54</v>
      </c>
      <c r="AG176" s="1">
        <v>0</v>
      </c>
      <c r="AH176" s="1">
        <f ca="1">IFERROR(__xludf.DUMMYFUNCTION("IFERROR(GOOGLEFINANCE(TRIM(F176)&amp;"":"" &amp; TRIM(B176),""low52""),AE176)"),85.46)</f>
        <v>85.46</v>
      </c>
      <c r="AI176" s="1">
        <f ca="1">IFERROR(__xludf.DUMMYFUNCTION("IFERROR(GOOGLEFINANCE(B176,""eps""),0)"),12.62)</f>
        <v>12.62</v>
      </c>
      <c r="AJ176" s="1"/>
      <c r="AK176" s="1" t="s">
        <v>604</v>
      </c>
      <c r="AL176" s="9">
        <f t="shared" si="43"/>
        <v>1</v>
      </c>
    </row>
    <row r="177" spans="1:38" ht="15" x14ac:dyDescent="0.25">
      <c r="A177" s="1" t="s">
        <v>605</v>
      </c>
      <c r="B177" s="1" t="s">
        <v>606</v>
      </c>
      <c r="C177" s="1" t="s">
        <v>106</v>
      </c>
      <c r="D177" s="1" t="s">
        <v>106</v>
      </c>
      <c r="E177" s="6">
        <v>20649.939999999999</v>
      </c>
      <c r="F177" s="1" t="s">
        <v>40</v>
      </c>
      <c r="G177" s="6">
        <f ca="1">IFERROR(__xludf.DUMMYFUNCTION("iferror(GOOGLEFINANCE(TRIM(F177)&amp;"":"" &amp; TRIM(B177), ""price""),0
)"),795)</f>
        <v>795</v>
      </c>
      <c r="H177" s="6">
        <v>1053.95</v>
      </c>
      <c r="I177" s="6">
        <f t="shared" ca="1" si="0"/>
        <v>795</v>
      </c>
      <c r="J177" s="6">
        <f ca="1">IFERROR(__xludf.DUMMYFUNCTION("IFERROR(GOOGLEFINANCE(B177, ""volume""), 0)"),36978)</f>
        <v>36978</v>
      </c>
      <c r="K177" s="6">
        <v>0.31</v>
      </c>
      <c r="L177" s="6">
        <f ca="1">IFERROR(__xludf.DUMMYFUNCTION("IFERROR(GOOGLEFINANCE(B177,""changepct""),K177)"),1.13)</f>
        <v>1.1299999999999999</v>
      </c>
      <c r="M177" s="6">
        <f ca="1">IFERROR(__xludf.DUMMYFUNCTION("IFERROR(GOOGLEFINANCE(B177,""change""),0)"),8.85)</f>
        <v>8.85</v>
      </c>
      <c r="N177" s="6">
        <v>2</v>
      </c>
      <c r="O177" s="7">
        <v>45536</v>
      </c>
      <c r="P177" s="6">
        <v>994.95</v>
      </c>
      <c r="Q177" s="6">
        <v>21515.94</v>
      </c>
      <c r="R177" s="7">
        <v>45536</v>
      </c>
      <c r="S177" s="6">
        <v>6357.26</v>
      </c>
      <c r="T177" s="6">
        <v>645.6</v>
      </c>
      <c r="U177" s="7">
        <v>45536</v>
      </c>
      <c r="V177" s="6">
        <v>31.93</v>
      </c>
      <c r="W177" s="6">
        <f ca="1">IFERROR(__xludf.DUMMYFUNCTION("IFERROR(GOOGLEFINANCE(B177,""pe""),V177)"),24.6)</f>
        <v>24.6</v>
      </c>
      <c r="X177" s="6">
        <v>29.29</v>
      </c>
      <c r="Y177" s="6">
        <v>4.22</v>
      </c>
      <c r="Z177" s="6">
        <v>2</v>
      </c>
      <c r="AA177" s="8">
        <v>45352</v>
      </c>
      <c r="AB177" s="4">
        <v>0.09</v>
      </c>
      <c r="AC177" s="6">
        <v>13.4</v>
      </c>
      <c r="AD177" s="6">
        <v>13.42</v>
      </c>
      <c r="AE177" s="1">
        <v>0</v>
      </c>
      <c r="AF177" s="1">
        <f ca="1">IFERROR(__xludf.DUMMYFUNCTION("IFERROR(GOOGLEFINANCE(TRIM(F177)&amp;"":"" &amp; TRIM(B177),""high52""),AE177)"),1107.9)</f>
        <v>1107.9000000000001</v>
      </c>
      <c r="AG177" s="1">
        <v>0</v>
      </c>
      <c r="AH177" s="1">
        <f ca="1">IFERROR(__xludf.DUMMYFUNCTION("IFERROR(GOOGLEFINANCE(TRIM(F177)&amp;"":"" &amp; TRIM(B177),""low52""),AE177)"),725.2)</f>
        <v>725.2</v>
      </c>
      <c r="AI177" s="1">
        <f ca="1">IFERROR(__xludf.DUMMYFUNCTION("IFERROR(GOOGLEFINANCE(B177,""eps""),0)"),32.31)</f>
        <v>32.31</v>
      </c>
      <c r="AJ177" s="1"/>
      <c r="AK177" s="1" t="s">
        <v>607</v>
      </c>
      <c r="AL177" s="9">
        <f t="shared" si="43"/>
        <v>1</v>
      </c>
    </row>
    <row r="178" spans="1:38" ht="15" x14ac:dyDescent="0.25">
      <c r="A178" s="1" t="s">
        <v>608</v>
      </c>
      <c r="B178" s="1" t="s">
        <v>609</v>
      </c>
      <c r="C178" s="1" t="s">
        <v>521</v>
      </c>
      <c r="D178" s="1" t="s">
        <v>521</v>
      </c>
      <c r="E178" s="6">
        <v>1673.67</v>
      </c>
      <c r="F178" s="1" t="s">
        <v>40</v>
      </c>
      <c r="G178" s="6">
        <f ca="1">IFERROR(__xludf.DUMMYFUNCTION("iferror(GOOGLEFINANCE(TRIM(F178)&amp;"":"" &amp; TRIM(B178), ""price""),0
)"),676.5)</f>
        <v>676.5</v>
      </c>
      <c r="H178" s="6">
        <v>1048.95</v>
      </c>
      <c r="I178" s="6">
        <f t="shared" ca="1" si="0"/>
        <v>676.5</v>
      </c>
      <c r="J178" s="6">
        <f ca="1">IFERROR(__xludf.DUMMYFUNCTION("IFERROR(GOOGLEFINANCE(B178, ""volume""), 0)"),5436)</f>
        <v>5436</v>
      </c>
      <c r="K178" s="6">
        <v>1.88</v>
      </c>
      <c r="L178" s="6">
        <f ca="1">IFERROR(__xludf.DUMMYFUNCTION("IFERROR(GOOGLEFINANCE(B178,""changepct""),K178)"),-1.25)</f>
        <v>-1.25</v>
      </c>
      <c r="M178" s="6">
        <f ca="1">IFERROR(__xludf.DUMMYFUNCTION("IFERROR(GOOGLEFINANCE(B178,""change""),0)"),-8.55)</f>
        <v>-8.5500000000000007</v>
      </c>
      <c r="N178" s="6">
        <v>2</v>
      </c>
      <c r="O178" s="7">
        <v>45536</v>
      </c>
      <c r="P178" s="6">
        <v>334.34</v>
      </c>
      <c r="Q178" s="6">
        <v>2004.08</v>
      </c>
      <c r="R178" s="7">
        <v>45536</v>
      </c>
      <c r="S178" s="6">
        <v>1728</v>
      </c>
      <c r="T178" s="6">
        <v>73.13</v>
      </c>
      <c r="U178" s="7">
        <v>45536</v>
      </c>
      <c r="V178" s="6">
        <v>22.89</v>
      </c>
      <c r="W178" s="6">
        <f ca="1">IFERROR(__xludf.DUMMYFUNCTION("IFERROR(GOOGLEFINANCE(B178,""pe""),V178)"),33.18)</f>
        <v>33.18</v>
      </c>
      <c r="X178" s="6">
        <v>7.71</v>
      </c>
      <c r="Y178" s="6">
        <v>2.83</v>
      </c>
      <c r="Z178" s="6">
        <v>2</v>
      </c>
      <c r="AA178" s="8">
        <v>45352</v>
      </c>
      <c r="AB178" s="4">
        <v>0.56999999999999995</v>
      </c>
      <c r="AC178" s="6">
        <v>11.93</v>
      </c>
      <c r="AD178" s="6">
        <v>14.74</v>
      </c>
      <c r="AE178" s="1">
        <v>0</v>
      </c>
      <c r="AF178" s="1">
        <f ca="1">IFERROR(__xludf.DUMMYFUNCTION("IFERROR(GOOGLEFINANCE(TRIM(F178)&amp;"":"" &amp; TRIM(B178),""high52""),AE178)"),1050)</f>
        <v>1050</v>
      </c>
      <c r="AG178" s="1">
        <v>0</v>
      </c>
      <c r="AH178" s="1">
        <f ca="1">IFERROR(__xludf.DUMMYFUNCTION("IFERROR(GOOGLEFINANCE(TRIM(F178)&amp;"":"" &amp; TRIM(B178),""low52""),AE178)"),597.15)</f>
        <v>597.15</v>
      </c>
      <c r="AI178" s="1">
        <f ca="1">IFERROR(__xludf.DUMMYFUNCTION("IFERROR(GOOGLEFINANCE(B178,""eps""),0)"),20.39)</f>
        <v>20.39</v>
      </c>
      <c r="AJ178" s="1"/>
      <c r="AK178" s="1" t="s">
        <v>610</v>
      </c>
      <c r="AL178" s="1" t="b">
        <f>ISNUMBER(AA178)</f>
        <v>1</v>
      </c>
    </row>
    <row r="179" spans="1:38" ht="15" x14ac:dyDescent="0.25">
      <c r="A179" s="1" t="s">
        <v>611</v>
      </c>
      <c r="B179" s="1" t="s">
        <v>612</v>
      </c>
      <c r="C179" s="1" t="s">
        <v>106</v>
      </c>
      <c r="D179" s="1" t="s">
        <v>106</v>
      </c>
      <c r="E179" s="6">
        <v>12616.6</v>
      </c>
      <c r="F179" s="1" t="s">
        <v>40</v>
      </c>
      <c r="G179" s="6">
        <f ca="1">IFERROR(__xludf.DUMMYFUNCTION("iferror(GOOGLEFINANCE(TRIM(F179)&amp;"":"" &amp; TRIM(B179), ""price""),0
)"),0)</f>
        <v>0</v>
      </c>
      <c r="H179" s="6">
        <v>1023.05</v>
      </c>
      <c r="I179" s="6">
        <f t="shared" ca="1" si="0"/>
        <v>1023.05</v>
      </c>
      <c r="J179" s="6">
        <f ca="1">IFERROR(__xludf.DUMMYFUNCTION("IFERROR(GOOGLEFINANCE(B179, ""volume""), 0)"),0)</f>
        <v>0</v>
      </c>
      <c r="K179" s="6">
        <v>-0.72</v>
      </c>
      <c r="L179" s="6">
        <f ca="1">IFERROR(__xludf.DUMMYFUNCTION("IFERROR(GOOGLEFINANCE(B179,""changepct""),K179)"),-0.72)</f>
        <v>-0.72</v>
      </c>
      <c r="M179" s="6">
        <f ca="1">IFERROR(__xludf.DUMMYFUNCTION("IFERROR(GOOGLEFINANCE(B179,""change""),0)"),0)</f>
        <v>0</v>
      </c>
      <c r="N179" s="6">
        <v>1</v>
      </c>
      <c r="O179" s="7">
        <v>45536</v>
      </c>
      <c r="P179" s="9"/>
      <c r="Q179" s="6">
        <v>12170.3</v>
      </c>
      <c r="R179" s="15">
        <v>45536</v>
      </c>
      <c r="S179" s="6">
        <v>2204.9</v>
      </c>
      <c r="T179" s="6">
        <v>423.5</v>
      </c>
      <c r="U179" s="15">
        <v>45536</v>
      </c>
      <c r="V179" s="6">
        <v>29.79</v>
      </c>
      <c r="W179" s="6">
        <f ca="1">IFERROR(__xludf.DUMMYFUNCTION("IFERROR(GOOGLEFINANCE(B179,""pe""),V179)"),29.79)</f>
        <v>29.79</v>
      </c>
      <c r="X179" s="12"/>
      <c r="Y179" s="6">
        <v>4.97</v>
      </c>
      <c r="Z179" s="6">
        <v>1</v>
      </c>
      <c r="AA179" s="8">
        <v>45352</v>
      </c>
      <c r="AB179" s="4">
        <v>0</v>
      </c>
      <c r="AC179" s="6">
        <v>21.15</v>
      </c>
      <c r="AD179" s="6">
        <v>28.31</v>
      </c>
      <c r="AE179" s="1">
        <v>0</v>
      </c>
      <c r="AF179" s="1">
        <f ca="1">IFERROR(__xludf.DUMMYFUNCTION("IFERROR(GOOGLEFINANCE(TRIM(F179)&amp;"":"" &amp; TRIM(B179),""high52""),AE179)"),0)</f>
        <v>0</v>
      </c>
      <c r="AG179" s="1">
        <v>0</v>
      </c>
      <c r="AH179" s="1">
        <f ca="1">IFERROR(__xludf.DUMMYFUNCTION("IFERROR(GOOGLEFINANCE(TRIM(F179)&amp;"":"" &amp; TRIM(B179),""low52""),AE179)"),0)</f>
        <v>0</v>
      </c>
      <c r="AI179" s="1">
        <f ca="1">IFERROR(__xludf.DUMMYFUNCTION("IFERROR(GOOGLEFINANCE(B179,""eps""),0)"),0)</f>
        <v>0</v>
      </c>
      <c r="AJ179" s="1"/>
      <c r="AK179" s="1" t="s">
        <v>613</v>
      </c>
      <c r="AL179" s="9">
        <f>IF(AA179&lt;&gt;AB179,1,0)</f>
        <v>1</v>
      </c>
    </row>
    <row r="180" spans="1:38" ht="15" x14ac:dyDescent="0.25">
      <c r="A180" s="1" t="s">
        <v>614</v>
      </c>
      <c r="B180" s="1" t="s">
        <v>615</v>
      </c>
      <c r="C180" s="1" t="s">
        <v>135</v>
      </c>
      <c r="D180" s="1" t="s">
        <v>135</v>
      </c>
      <c r="E180" s="6">
        <v>116.08</v>
      </c>
      <c r="F180" s="1" t="s">
        <v>40</v>
      </c>
      <c r="G180" s="6">
        <f ca="1">IFERROR(__xludf.DUMMYFUNCTION("iferror(GOOGLEFINANCE(TRIM(F180)&amp;"":"" &amp; TRIM(B180), ""price""),0
)"),69.8)</f>
        <v>69.8</v>
      </c>
      <c r="H180" s="6">
        <v>114.65</v>
      </c>
      <c r="I180" s="6">
        <f t="shared" ca="1" si="0"/>
        <v>69.8</v>
      </c>
      <c r="J180" s="6">
        <f ca="1">IFERROR(__xludf.DUMMYFUNCTION("IFERROR(GOOGLEFINANCE(B180, ""volume""), 0)"),3141)</f>
        <v>3141</v>
      </c>
      <c r="K180" s="6">
        <v>0.23</v>
      </c>
      <c r="L180" s="6">
        <f ca="1">IFERROR(__xludf.DUMMYFUNCTION("IFERROR(GOOGLEFINANCE(B180,""changepct""),K180)"),-0.03)</f>
        <v>-0.03</v>
      </c>
      <c r="M180" s="6">
        <f ca="1">IFERROR(__xludf.DUMMYFUNCTION("IFERROR(GOOGLEFINANCE(B180,""change""),0)"),-0.02)</f>
        <v>-0.02</v>
      </c>
      <c r="N180" s="6">
        <v>1</v>
      </c>
      <c r="O180" s="7">
        <v>45536</v>
      </c>
      <c r="P180" s="6">
        <v>17.7</v>
      </c>
      <c r="Q180" s="6">
        <v>133.51</v>
      </c>
      <c r="R180" s="7">
        <v>45536</v>
      </c>
      <c r="S180" s="6">
        <v>84.09</v>
      </c>
      <c r="T180" s="6">
        <v>-4.3</v>
      </c>
      <c r="U180" s="7">
        <v>45536</v>
      </c>
      <c r="V180" s="6">
        <v>0</v>
      </c>
      <c r="W180" s="6">
        <f ca="1">IFERROR(__xludf.DUMMYFUNCTION("IFERROR(GOOGLEFINANCE(B180,""pe""),V180)"),0)</f>
        <v>0</v>
      </c>
      <c r="X180" s="6">
        <v>0</v>
      </c>
      <c r="Y180" s="6">
        <v>2.63</v>
      </c>
      <c r="Z180" s="6">
        <v>1</v>
      </c>
      <c r="AA180" s="8">
        <v>45352</v>
      </c>
      <c r="AB180" s="4">
        <v>0.36</v>
      </c>
      <c r="AC180" s="6">
        <v>2.2000000000000002</v>
      </c>
      <c r="AD180" s="6">
        <v>5.9</v>
      </c>
      <c r="AE180" s="1">
        <v>0</v>
      </c>
      <c r="AF180" s="1">
        <f ca="1">IFERROR(__xludf.DUMMYFUNCTION("IFERROR(GOOGLEFINANCE(TRIM(F180)&amp;"":"" &amp; TRIM(B180),""high52""),AE180)"),117.79)</f>
        <v>117.79</v>
      </c>
      <c r="AG180" s="1">
        <v>0</v>
      </c>
      <c r="AH180" s="1">
        <f ca="1">IFERROR(__xludf.DUMMYFUNCTION("IFERROR(GOOGLEFINANCE(TRIM(F180)&amp;"":"" &amp; TRIM(B180),""low52""),AE180)"),66.9)</f>
        <v>66.900000000000006</v>
      </c>
      <c r="AI180" s="1">
        <f ca="1">IFERROR(__xludf.DUMMYFUNCTION("IFERROR(GOOGLEFINANCE(B180,""eps""),0)"),-2.69)</f>
        <v>-2.69</v>
      </c>
      <c r="AJ180" s="1"/>
      <c r="AK180" s="9"/>
      <c r="AL180" s="1" t="b">
        <f>ISBLANK(AB180)</f>
        <v>0</v>
      </c>
    </row>
    <row r="181" spans="1:38" ht="15" x14ac:dyDescent="0.25">
      <c r="A181" s="1" t="s">
        <v>616</v>
      </c>
      <c r="B181" s="1" t="s">
        <v>617</v>
      </c>
      <c r="C181" s="1" t="s">
        <v>106</v>
      </c>
      <c r="D181" s="1" t="s">
        <v>106</v>
      </c>
      <c r="E181" s="6">
        <v>66775.259999999995</v>
      </c>
      <c r="F181" s="1" t="s">
        <v>40</v>
      </c>
      <c r="G181" s="6">
        <f ca="1">IFERROR(__xludf.DUMMYFUNCTION("iferror(GOOGLEFINANCE(TRIM(F181)&amp;"":"" &amp; TRIM(B181), ""price""),0
)"),5515)</f>
        <v>5515</v>
      </c>
      <c r="H181" s="6">
        <v>5530.55</v>
      </c>
      <c r="I181" s="6">
        <f t="shared" ca="1" si="0"/>
        <v>5515</v>
      </c>
      <c r="J181" s="6">
        <f ca="1">IFERROR(__xludf.DUMMYFUNCTION("IFERROR(GOOGLEFINANCE(B181, ""volume""), 0)"),129255)</f>
        <v>129255</v>
      </c>
      <c r="K181" s="6">
        <v>-0.88</v>
      </c>
      <c r="L181" s="6">
        <f ca="1">IFERROR(__xludf.DUMMYFUNCTION("IFERROR(GOOGLEFINANCE(B181,""changepct""),K181)"),-0.9)</f>
        <v>-0.9</v>
      </c>
      <c r="M181" s="6">
        <f ca="1">IFERROR(__xludf.DUMMYFUNCTION("IFERROR(GOOGLEFINANCE(B181,""change""),0)"),-50)</f>
        <v>-50</v>
      </c>
      <c r="N181" s="6">
        <v>2</v>
      </c>
      <c r="O181" s="7">
        <v>45536</v>
      </c>
      <c r="P181" s="6">
        <v>1236.27</v>
      </c>
      <c r="Q181" s="6">
        <v>66059.28</v>
      </c>
      <c r="R181" s="7">
        <v>45536</v>
      </c>
      <c r="S181" s="6">
        <v>12706.18</v>
      </c>
      <c r="T181" s="6">
        <v>2160.96</v>
      </c>
      <c r="U181" s="7">
        <v>45536</v>
      </c>
      <c r="V181" s="6">
        <v>31.46</v>
      </c>
      <c r="W181" s="6">
        <f ca="1">IFERROR(__xludf.DUMMYFUNCTION("IFERROR(GOOGLEFINANCE(B181,""pe""),V181)"),27.93)</f>
        <v>27.93</v>
      </c>
      <c r="X181" s="6">
        <v>1.56</v>
      </c>
      <c r="Y181" s="6">
        <v>5.81</v>
      </c>
      <c r="Z181" s="6">
        <v>2</v>
      </c>
      <c r="AA181" s="8">
        <v>45352</v>
      </c>
      <c r="AB181" s="4">
        <v>0.12</v>
      </c>
      <c r="AC181" s="6">
        <v>18.739999999999998</v>
      </c>
      <c r="AD181" s="6">
        <v>19.52</v>
      </c>
      <c r="AE181" s="1">
        <v>0</v>
      </c>
      <c r="AF181" s="1">
        <f ca="1">IFERROR(__xludf.DUMMYFUNCTION("IFERROR(GOOGLEFINANCE(TRIM(F181)&amp;"":"" &amp; TRIM(B181),""high52""),AE181)"),5933.5)</f>
        <v>5933.5</v>
      </c>
      <c r="AG181" s="1">
        <v>0</v>
      </c>
      <c r="AH181" s="1">
        <f ca="1">IFERROR(__xludf.DUMMYFUNCTION("IFERROR(GOOGLEFINANCE(TRIM(F181)&amp;"":"" &amp; TRIM(B181),""low52""),AE181)"),4491.65)</f>
        <v>4491.6499999999996</v>
      </c>
      <c r="AI181" s="1">
        <f ca="1">IFERROR(__xludf.DUMMYFUNCTION("IFERROR(GOOGLEFINANCE(B181,""eps""),0)"),197.47)</f>
        <v>197.47</v>
      </c>
      <c r="AJ181" s="1"/>
      <c r="AK181" s="1" t="s">
        <v>618</v>
      </c>
      <c r="AL181" s="9">
        <f>IF(AA181&lt;&gt;AB181,1,0)</f>
        <v>1</v>
      </c>
    </row>
    <row r="182" spans="1:38" ht="15" x14ac:dyDescent="0.25">
      <c r="A182" s="1" t="s">
        <v>619</v>
      </c>
      <c r="B182" s="1" t="s">
        <v>620</v>
      </c>
      <c r="C182" s="1" t="s">
        <v>355</v>
      </c>
      <c r="D182" s="1" t="s">
        <v>355</v>
      </c>
      <c r="E182" s="6">
        <v>317.87</v>
      </c>
      <c r="F182" s="1" t="s">
        <v>53</v>
      </c>
      <c r="G182" s="6">
        <f ca="1">IFERROR(__xludf.DUMMYFUNCTION("iferror(GOOGLEFINANCE(TRIM(F182)&amp;"":"" &amp; TRIM(B182), ""price""),0
)"),0)</f>
        <v>0</v>
      </c>
      <c r="H182" s="6">
        <v>639.9</v>
      </c>
      <c r="I182" s="6">
        <f t="shared" ca="1" si="0"/>
        <v>639.9</v>
      </c>
      <c r="J182" s="6">
        <f ca="1">IFERROR(__xludf.DUMMYFUNCTION("IFERROR(GOOGLEFINANCE(B182, ""volume""), 0)"),0)</f>
        <v>0</v>
      </c>
      <c r="K182" s="6">
        <v>2.2000000000000002</v>
      </c>
      <c r="L182" s="6">
        <f ca="1">IFERROR(__xludf.DUMMYFUNCTION("IFERROR(GOOGLEFINANCE(B182,""changepct""),K182)"),2.2)</f>
        <v>2.2000000000000002</v>
      </c>
      <c r="M182" s="6">
        <f ca="1">IFERROR(__xludf.DUMMYFUNCTION("IFERROR(GOOGLEFINANCE(B182,""change""),0)"),0)</f>
        <v>0</v>
      </c>
      <c r="N182" s="6">
        <v>1</v>
      </c>
      <c r="O182" s="7">
        <v>45536</v>
      </c>
      <c r="P182" s="6">
        <v>107.71</v>
      </c>
      <c r="Q182" s="6">
        <v>425.27</v>
      </c>
      <c r="R182" s="7">
        <v>45536</v>
      </c>
      <c r="S182" s="6">
        <v>417.31</v>
      </c>
      <c r="T182" s="6">
        <v>18.36</v>
      </c>
      <c r="U182" s="7">
        <v>45536</v>
      </c>
      <c r="V182" s="6">
        <v>17.32</v>
      </c>
      <c r="W182" s="6">
        <f ca="1">IFERROR(__xludf.DUMMYFUNCTION("IFERROR(GOOGLEFINANCE(B182,""pe""),V182)"),17.32)</f>
        <v>17.32</v>
      </c>
      <c r="X182" s="6">
        <v>0.95</v>
      </c>
      <c r="Y182" s="6">
        <v>2.19</v>
      </c>
      <c r="Z182" s="6">
        <v>1</v>
      </c>
      <c r="AA182" s="8">
        <v>45352</v>
      </c>
      <c r="AB182" s="4">
        <v>0.83</v>
      </c>
      <c r="AC182" s="6">
        <v>13.99</v>
      </c>
      <c r="AD182" s="6">
        <v>14.38</v>
      </c>
      <c r="AE182" s="1">
        <v>0</v>
      </c>
      <c r="AF182" s="1">
        <f ca="1">IFERROR(__xludf.DUMMYFUNCTION("IFERROR(GOOGLEFINANCE(TRIM(F182)&amp;"":"" &amp; TRIM(B182),""high52""),AE182)"),0)</f>
        <v>0</v>
      </c>
      <c r="AG182" s="1">
        <v>0</v>
      </c>
      <c r="AH182" s="1">
        <f ca="1">IFERROR(__xludf.DUMMYFUNCTION("IFERROR(GOOGLEFINANCE(TRIM(F182)&amp;"":"" &amp; TRIM(B182),""low52""),AE182)"),0)</f>
        <v>0</v>
      </c>
      <c r="AI182" s="1">
        <f ca="1">IFERROR(__xludf.DUMMYFUNCTION("IFERROR(GOOGLEFINANCE(B182,""eps""),0)"),0)</f>
        <v>0</v>
      </c>
      <c r="AJ182" s="1"/>
      <c r="AK182" s="1" t="s">
        <v>621</v>
      </c>
      <c r="AL182" s="1" t="b">
        <f t="shared" ref="AL182:AL183" si="44">ISNUMBER(AA182)</f>
        <v>1</v>
      </c>
    </row>
    <row r="183" spans="1:38" ht="15" x14ac:dyDescent="0.25">
      <c r="A183" s="1" t="s">
        <v>622</v>
      </c>
      <c r="B183" s="1" t="s">
        <v>623</v>
      </c>
      <c r="C183" s="1" t="s">
        <v>135</v>
      </c>
      <c r="D183" s="1" t="s">
        <v>135</v>
      </c>
      <c r="E183" s="6">
        <v>9148.24</v>
      </c>
      <c r="F183" s="1" t="s">
        <v>40</v>
      </c>
      <c r="G183" s="6">
        <f ca="1">IFERROR(__xludf.DUMMYFUNCTION("iferror(GOOGLEFINANCE(TRIM(F183)&amp;"":"" &amp; TRIM(B183), ""price""),0
)"),1563)</f>
        <v>1563</v>
      </c>
      <c r="H183" s="6">
        <v>1800.9</v>
      </c>
      <c r="I183" s="6">
        <f t="shared" ca="1" si="0"/>
        <v>1563</v>
      </c>
      <c r="J183" s="6">
        <f ca="1">IFERROR(__xludf.DUMMYFUNCTION("IFERROR(GOOGLEFINANCE(B183, ""volume""), 0)"),35435)</f>
        <v>35435</v>
      </c>
      <c r="K183" s="6">
        <v>0.64</v>
      </c>
      <c r="L183" s="6">
        <f ca="1">IFERROR(__xludf.DUMMYFUNCTION("IFERROR(GOOGLEFINANCE(B183,""changepct""),K183)"),1.14)</f>
        <v>1.1399999999999999</v>
      </c>
      <c r="M183" s="6">
        <f ca="1">IFERROR(__xludf.DUMMYFUNCTION("IFERROR(GOOGLEFINANCE(B183,""change""),0)"),17.6)</f>
        <v>17.600000000000001</v>
      </c>
      <c r="N183" s="6">
        <v>1</v>
      </c>
      <c r="O183" s="7">
        <v>45536</v>
      </c>
      <c r="P183" s="9"/>
      <c r="Q183" s="6">
        <v>9014.1299999999992</v>
      </c>
      <c r="R183" s="7">
        <v>45536</v>
      </c>
      <c r="S183" s="6">
        <v>1493.25</v>
      </c>
      <c r="T183" s="6">
        <v>168.21</v>
      </c>
      <c r="U183" s="7">
        <v>45536</v>
      </c>
      <c r="V183" s="6">
        <v>54.39</v>
      </c>
      <c r="W183" s="6">
        <f ca="1">IFERROR(__xludf.DUMMYFUNCTION("IFERROR(GOOGLEFINANCE(B183,""pe""),V183)"),43.93)</f>
        <v>43.93</v>
      </c>
      <c r="X183" s="6">
        <v>4.46</v>
      </c>
      <c r="Y183" s="6">
        <v>6.97</v>
      </c>
      <c r="Z183" s="6">
        <v>1</v>
      </c>
      <c r="AA183" s="8">
        <v>45352</v>
      </c>
      <c r="AB183" s="4">
        <v>0</v>
      </c>
      <c r="AC183" s="6">
        <v>12.26</v>
      </c>
      <c r="AD183" s="6">
        <v>16.399999999999999</v>
      </c>
      <c r="AE183" s="1">
        <v>0</v>
      </c>
      <c r="AF183" s="1">
        <f ca="1">IFERROR(__xludf.DUMMYFUNCTION("IFERROR(GOOGLEFINANCE(TRIM(F183)&amp;"":"" &amp; TRIM(B183),""high52""),AE183)"),2438.8)</f>
        <v>2438.8000000000002</v>
      </c>
      <c r="AG183" s="1">
        <v>0</v>
      </c>
      <c r="AH183" s="1">
        <f ca="1">IFERROR(__xludf.DUMMYFUNCTION("IFERROR(GOOGLEFINANCE(TRIM(F183)&amp;"":"" &amp; TRIM(B183),""low52""),AE183)"),1506.7)</f>
        <v>1506.7</v>
      </c>
      <c r="AI183" s="1">
        <f ca="1">IFERROR(__xludf.DUMMYFUNCTION("IFERROR(GOOGLEFINANCE(B183,""eps""),0)"),35.58)</f>
        <v>35.58</v>
      </c>
      <c r="AJ183" s="1"/>
      <c r="AK183" s="1" t="s">
        <v>624</v>
      </c>
      <c r="AL183" s="1" t="b">
        <f t="shared" si="44"/>
        <v>1</v>
      </c>
    </row>
    <row r="184" spans="1:38" ht="15" x14ac:dyDescent="0.25">
      <c r="A184" s="1" t="s">
        <v>625</v>
      </c>
      <c r="B184" s="1" t="s">
        <v>626</v>
      </c>
      <c r="C184" s="1" t="s">
        <v>355</v>
      </c>
      <c r="D184" s="1" t="s">
        <v>355</v>
      </c>
      <c r="E184" s="6">
        <v>615.35</v>
      </c>
      <c r="F184" s="1" t="s">
        <v>53</v>
      </c>
      <c r="G184" s="6">
        <f ca="1">IFERROR(__xludf.DUMMYFUNCTION("iferror(GOOGLEFINANCE(TRIM(F184)&amp;"":"" &amp; TRIM(B184), ""price""),0
)"),0)</f>
        <v>0</v>
      </c>
      <c r="H184" s="6">
        <v>5127</v>
      </c>
      <c r="I184" s="6">
        <f t="shared" ca="1" si="0"/>
        <v>5127</v>
      </c>
      <c r="J184" s="6">
        <f ca="1">IFERROR(__xludf.DUMMYFUNCTION("IFERROR(GOOGLEFINANCE(B184, ""volume""), 0)"),0)</f>
        <v>0</v>
      </c>
      <c r="K184" s="6">
        <v>0.03</v>
      </c>
      <c r="L184" s="6">
        <f ca="1">IFERROR(__xludf.DUMMYFUNCTION("IFERROR(GOOGLEFINANCE(B184,""changepct""),K184)"),0.03)</f>
        <v>0.03</v>
      </c>
      <c r="M184" s="6">
        <f ca="1">IFERROR(__xludf.DUMMYFUNCTION("IFERROR(GOOGLEFINANCE(B184,""change""),0)"),0)</f>
        <v>0</v>
      </c>
      <c r="N184" s="6">
        <v>2</v>
      </c>
      <c r="O184" s="7">
        <v>45536</v>
      </c>
      <c r="P184" s="6">
        <v>119.02</v>
      </c>
      <c r="Q184" s="6">
        <v>730.86</v>
      </c>
      <c r="R184" s="7">
        <v>45536</v>
      </c>
      <c r="S184" s="6">
        <v>444.16</v>
      </c>
      <c r="T184" s="6">
        <v>5.18</v>
      </c>
      <c r="U184" s="7">
        <v>45536</v>
      </c>
      <c r="V184" s="6">
        <v>118.84</v>
      </c>
      <c r="W184" s="6">
        <f ca="1">IFERROR(__xludf.DUMMYFUNCTION("IFERROR(GOOGLEFINANCE(B184,""pe""),V184)"),118.84)</f>
        <v>118.84</v>
      </c>
      <c r="X184" s="12"/>
      <c r="Y184" s="6">
        <v>5.84</v>
      </c>
      <c r="Z184" s="6">
        <v>2</v>
      </c>
      <c r="AA184" s="8">
        <v>45352</v>
      </c>
      <c r="AB184" s="4">
        <v>1.21</v>
      </c>
      <c r="AC184" s="6">
        <v>3.31</v>
      </c>
      <c r="AD184" s="6">
        <v>8.5299999999999994</v>
      </c>
      <c r="AE184" s="1">
        <v>0</v>
      </c>
      <c r="AF184" s="1">
        <f ca="1">IFERROR(__xludf.DUMMYFUNCTION("IFERROR(GOOGLEFINANCE(TRIM(F184)&amp;"":"" &amp; TRIM(B184),""high52""),AE184)"),0)</f>
        <v>0</v>
      </c>
      <c r="AG184" s="1">
        <v>0</v>
      </c>
      <c r="AH184" s="1">
        <f ca="1">IFERROR(__xludf.DUMMYFUNCTION("IFERROR(GOOGLEFINANCE(TRIM(F184)&amp;"":"" &amp; TRIM(B184),""low52""),AE184)"),0)</f>
        <v>0</v>
      </c>
      <c r="AI184" s="1">
        <f ca="1">IFERROR(__xludf.DUMMYFUNCTION("IFERROR(GOOGLEFINANCE(B184,""eps""),0)"),0)</f>
        <v>0</v>
      </c>
      <c r="AJ184" s="1"/>
      <c r="AK184" s="9"/>
      <c r="AL184" s="1" t="b">
        <f>ISBLANK(AB184)</f>
        <v>0</v>
      </c>
    </row>
    <row r="185" spans="1:38" ht="15" x14ac:dyDescent="0.25">
      <c r="A185" s="1" t="s">
        <v>627</v>
      </c>
      <c r="B185" s="1" t="s">
        <v>628</v>
      </c>
      <c r="C185" s="1" t="s">
        <v>57</v>
      </c>
      <c r="D185" s="1" t="s">
        <v>57</v>
      </c>
      <c r="E185" s="6">
        <v>1048.08</v>
      </c>
      <c r="F185" s="1" t="s">
        <v>40</v>
      </c>
      <c r="G185" s="6">
        <f ca="1">IFERROR(__xludf.DUMMYFUNCTION("iferror(GOOGLEFINANCE(TRIM(F185)&amp;"":"" &amp; TRIM(B185), ""price""),0
)"),0)</f>
        <v>0</v>
      </c>
      <c r="H185" s="6">
        <v>516</v>
      </c>
      <c r="I185" s="6">
        <f t="shared" ca="1" si="0"/>
        <v>516</v>
      </c>
      <c r="J185" s="6">
        <f ca="1">IFERROR(__xludf.DUMMYFUNCTION("IFERROR(GOOGLEFINANCE(B185, ""volume""), 0)"),0)</f>
        <v>0</v>
      </c>
      <c r="K185" s="6">
        <v>-0.57999999999999996</v>
      </c>
      <c r="L185" s="6">
        <f ca="1">IFERROR(__xludf.DUMMYFUNCTION("IFERROR(GOOGLEFINANCE(B185,""changepct""),K185)"),-0.58)</f>
        <v>-0.57999999999999996</v>
      </c>
      <c r="M185" s="6">
        <f ca="1">IFERROR(__xludf.DUMMYFUNCTION("IFERROR(GOOGLEFINANCE(B185,""change""),0)"),0)</f>
        <v>0</v>
      </c>
      <c r="N185" s="6">
        <v>2</v>
      </c>
      <c r="O185" s="7">
        <v>45536</v>
      </c>
      <c r="P185" s="9"/>
      <c r="Q185" s="6">
        <v>1048.08</v>
      </c>
      <c r="R185" s="7">
        <v>45536</v>
      </c>
      <c r="S185" s="6">
        <v>129.5</v>
      </c>
      <c r="T185" s="6">
        <v>23.74</v>
      </c>
      <c r="U185" s="7">
        <v>45536</v>
      </c>
      <c r="V185" s="6">
        <v>44.22</v>
      </c>
      <c r="W185" s="6">
        <f ca="1">IFERROR(__xludf.DUMMYFUNCTION("IFERROR(GOOGLEFINANCE(B185,""pe""),V185)"),44.22)</f>
        <v>44.22</v>
      </c>
      <c r="X185" s="9"/>
      <c r="Y185" s="6">
        <v>8.32</v>
      </c>
      <c r="Z185" s="6">
        <v>2</v>
      </c>
      <c r="AA185" s="8">
        <v>45352</v>
      </c>
      <c r="AB185" s="4">
        <v>0</v>
      </c>
      <c r="AC185" s="6">
        <v>18.989999999999998</v>
      </c>
      <c r="AD185" s="6">
        <v>24.85</v>
      </c>
      <c r="AE185" s="1">
        <v>0</v>
      </c>
      <c r="AF185" s="1">
        <f ca="1">IFERROR(__xludf.DUMMYFUNCTION("IFERROR(GOOGLEFINANCE(TRIM(F185)&amp;"":"" &amp; TRIM(B185),""high52""),AE185)"),0)</f>
        <v>0</v>
      </c>
      <c r="AG185" s="1">
        <v>0</v>
      </c>
      <c r="AH185" s="1">
        <f ca="1">IFERROR(__xludf.DUMMYFUNCTION("IFERROR(GOOGLEFINANCE(TRIM(F185)&amp;"":"" &amp; TRIM(B185),""low52""),AE185)"),0)</f>
        <v>0</v>
      </c>
      <c r="AI185" s="1">
        <f ca="1">IFERROR(__xludf.DUMMYFUNCTION("IFERROR(GOOGLEFINANCE(B185,""eps""),0)"),0)</f>
        <v>0</v>
      </c>
      <c r="AJ185" s="1"/>
      <c r="AK185" s="1" t="s">
        <v>629</v>
      </c>
      <c r="AL185" s="9">
        <f t="shared" ref="AL185:AL188" si="45">IF(AA185&lt;&gt;AB185,1,0)</f>
        <v>1</v>
      </c>
    </row>
    <row r="186" spans="1:38" ht="15" x14ac:dyDescent="0.25">
      <c r="A186" s="1" t="s">
        <v>630</v>
      </c>
      <c r="B186" s="1" t="s">
        <v>631</v>
      </c>
      <c r="C186" s="1" t="s">
        <v>259</v>
      </c>
      <c r="D186" s="1" t="s">
        <v>259</v>
      </c>
      <c r="E186" s="6">
        <v>1329.14</v>
      </c>
      <c r="F186" s="1" t="s">
        <v>40</v>
      </c>
      <c r="G186" s="6">
        <f ca="1">IFERROR(__xludf.DUMMYFUNCTION("iferror(GOOGLEFINANCE(TRIM(F186)&amp;"":"" &amp; TRIM(B186), ""price""),0
)"),0)</f>
        <v>0</v>
      </c>
      <c r="H186" s="6">
        <v>91.08</v>
      </c>
      <c r="I186" s="6">
        <f t="shared" ca="1" si="0"/>
        <v>91.08</v>
      </c>
      <c r="J186" s="6">
        <f ca="1">IFERROR(__xludf.DUMMYFUNCTION("IFERROR(GOOGLEFINANCE(B186, ""volume""), 0)"),0)</f>
        <v>0</v>
      </c>
      <c r="K186" s="6">
        <v>1.26</v>
      </c>
      <c r="L186" s="6">
        <f ca="1">IFERROR(__xludf.DUMMYFUNCTION("IFERROR(GOOGLEFINANCE(B186,""changepct""),K186)"),1.26)</f>
        <v>1.26</v>
      </c>
      <c r="M186" s="6">
        <f ca="1">IFERROR(__xludf.DUMMYFUNCTION("IFERROR(GOOGLEFINANCE(B186,""change""),0)"),0)</f>
        <v>0</v>
      </c>
      <c r="N186" s="6">
        <v>2</v>
      </c>
      <c r="O186" s="7">
        <v>45536</v>
      </c>
      <c r="P186" s="6">
        <v>16.37</v>
      </c>
      <c r="Q186" s="6">
        <v>1159.02</v>
      </c>
      <c r="R186" s="7">
        <v>45536</v>
      </c>
      <c r="S186" s="6">
        <v>1664.88</v>
      </c>
      <c r="T186" s="6">
        <v>9.19</v>
      </c>
      <c r="U186" s="7">
        <v>45536</v>
      </c>
      <c r="V186" s="6">
        <v>75.31</v>
      </c>
      <c r="W186" s="6">
        <f ca="1">IFERROR(__xludf.DUMMYFUNCTION("IFERROR(GOOGLEFINANCE(B186,""pe""),V186)"),75.31)</f>
        <v>75.31</v>
      </c>
      <c r="X186" s="6">
        <v>1.19</v>
      </c>
      <c r="Y186" s="6">
        <v>1.66</v>
      </c>
      <c r="Z186" s="6">
        <v>2</v>
      </c>
      <c r="AA186" s="8">
        <v>45352</v>
      </c>
      <c r="AB186" s="4">
        <v>0.31</v>
      </c>
      <c r="AC186" s="6">
        <v>1.01</v>
      </c>
      <c r="AD186" s="6">
        <v>3.61</v>
      </c>
      <c r="AE186" s="1">
        <v>0</v>
      </c>
      <c r="AF186" s="1">
        <f ca="1">IFERROR(__xludf.DUMMYFUNCTION("IFERROR(GOOGLEFINANCE(TRIM(F186)&amp;"":"" &amp; TRIM(B186),""high52""),AE186)"),0)</f>
        <v>0</v>
      </c>
      <c r="AG186" s="1">
        <v>0</v>
      </c>
      <c r="AH186" s="1">
        <f ca="1">IFERROR(__xludf.DUMMYFUNCTION("IFERROR(GOOGLEFINANCE(TRIM(F186)&amp;"":"" &amp; TRIM(B186),""low52""),AE186)"),0)</f>
        <v>0</v>
      </c>
      <c r="AI186" s="1">
        <f ca="1">IFERROR(__xludf.DUMMYFUNCTION("IFERROR(GOOGLEFINANCE(B186,""eps""),0)"),0)</f>
        <v>0</v>
      </c>
      <c r="AJ186" s="1"/>
      <c r="AK186" s="1" t="s">
        <v>632</v>
      </c>
      <c r="AL186" s="9">
        <f t="shared" si="45"/>
        <v>1</v>
      </c>
    </row>
    <row r="187" spans="1:38" ht="15" x14ac:dyDescent="0.25">
      <c r="A187" s="1" t="s">
        <v>633</v>
      </c>
      <c r="B187" s="1" t="s">
        <v>634</v>
      </c>
      <c r="C187" s="1" t="s">
        <v>259</v>
      </c>
      <c r="D187" s="1" t="s">
        <v>259</v>
      </c>
      <c r="E187" s="6">
        <v>4932.58</v>
      </c>
      <c r="F187" s="1" t="s">
        <v>40</v>
      </c>
      <c r="G187" s="6">
        <f ca="1">IFERROR(__xludf.DUMMYFUNCTION("iferror(GOOGLEFINANCE(TRIM(F187)&amp;"":"" &amp; TRIM(B187), ""price""),0
)"),10.2)</f>
        <v>10.199999999999999</v>
      </c>
      <c r="H187" s="6">
        <v>50.58</v>
      </c>
      <c r="I187" s="6">
        <f t="shared" ca="1" si="0"/>
        <v>10.199999999999999</v>
      </c>
      <c r="J187" s="6">
        <f ca="1">IFERROR(__xludf.DUMMYFUNCTION("IFERROR(GOOGLEFINANCE(B187, ""volume""), 0)"),4375191)</f>
        <v>4375191</v>
      </c>
      <c r="K187" s="6">
        <v>0.96</v>
      </c>
      <c r="L187" s="6">
        <f ca="1">IFERROR(__xludf.DUMMYFUNCTION("IFERROR(GOOGLEFINANCE(B187,""changepct""),K187)"),-0.87)</f>
        <v>-0.87</v>
      </c>
      <c r="M187" s="6">
        <f ca="1">IFERROR(__xludf.DUMMYFUNCTION("IFERROR(GOOGLEFINANCE(B187,""change""),0)"),-0.09)</f>
        <v>-0.09</v>
      </c>
      <c r="N187" s="6">
        <v>2</v>
      </c>
      <c r="O187" s="7">
        <v>45536</v>
      </c>
      <c r="P187" s="6">
        <v>1362.33</v>
      </c>
      <c r="Q187" s="6">
        <v>5523.21</v>
      </c>
      <c r="R187" s="7">
        <v>45536</v>
      </c>
      <c r="S187" s="6">
        <v>14723.82</v>
      </c>
      <c r="T187" s="6">
        <v>50.2</v>
      </c>
      <c r="U187" s="7">
        <v>45536</v>
      </c>
      <c r="V187" s="6">
        <v>112.67</v>
      </c>
      <c r="W187" s="6">
        <f ca="1">IFERROR(__xludf.DUMMYFUNCTION("IFERROR(GOOGLEFINANCE(B187,""pe""),V187)"),112.67)</f>
        <v>112.67</v>
      </c>
      <c r="X187" s="6">
        <v>-2.67</v>
      </c>
      <c r="Y187" s="6">
        <v>1.93</v>
      </c>
      <c r="Z187" s="6">
        <v>2</v>
      </c>
      <c r="AA187" s="8">
        <v>45352</v>
      </c>
      <c r="AB187" s="4">
        <v>0.39</v>
      </c>
      <c r="AC187" s="6">
        <v>5.28</v>
      </c>
      <c r="AD187" s="6">
        <v>8.67</v>
      </c>
      <c r="AE187" s="1">
        <v>0</v>
      </c>
      <c r="AF187" s="1">
        <f ca="1">IFERROR(__xludf.DUMMYFUNCTION("IFERROR(GOOGLEFINANCE(TRIM(F187)&amp;"":"" &amp; TRIM(B187),""high52""),AE187)"),15.89)</f>
        <v>15.89</v>
      </c>
      <c r="AG187" s="1">
        <v>0</v>
      </c>
      <c r="AH187" s="1">
        <f ca="1">IFERROR(__xludf.DUMMYFUNCTION("IFERROR(GOOGLEFINANCE(TRIM(F187)&amp;"":"" &amp; TRIM(B187),""low52""),AE187)"),8.97)</f>
        <v>8.9700000000000006</v>
      </c>
      <c r="AI187" s="1">
        <f ca="1">IFERROR(__xludf.DUMMYFUNCTION("IFERROR(GOOGLEFINANCE(B187,""eps""),0)"),-1.09)</f>
        <v>-1.0900000000000001</v>
      </c>
      <c r="AJ187" s="1"/>
      <c r="AK187" s="1" t="s">
        <v>635</v>
      </c>
      <c r="AL187" s="9">
        <f t="shared" si="45"/>
        <v>1</v>
      </c>
    </row>
    <row r="188" spans="1:38" ht="15" x14ac:dyDescent="0.25">
      <c r="A188" s="1" t="s">
        <v>636</v>
      </c>
      <c r="B188" s="1" t="s">
        <v>637</v>
      </c>
      <c r="C188" s="1" t="s">
        <v>259</v>
      </c>
      <c r="D188" s="1" t="s">
        <v>259</v>
      </c>
      <c r="E188" s="6">
        <v>944.45</v>
      </c>
      <c r="F188" s="1" t="s">
        <v>40</v>
      </c>
      <c r="G188" s="6">
        <f ca="1">IFERROR(__xludf.DUMMYFUNCTION("iferror(GOOGLEFINANCE(TRIM(F188)&amp;"":"" &amp; TRIM(B188), ""price""),0
)"),23.11)</f>
        <v>23.11</v>
      </c>
      <c r="H188" s="6">
        <v>38.69</v>
      </c>
      <c r="I188" s="6">
        <f t="shared" ca="1" si="0"/>
        <v>23.11</v>
      </c>
      <c r="J188" s="6">
        <f ca="1">IFERROR(__xludf.DUMMYFUNCTION("IFERROR(GOOGLEFINANCE(B188, ""volume""), 0)"),338580)</f>
        <v>338580</v>
      </c>
      <c r="K188" s="6">
        <v>0.55000000000000004</v>
      </c>
      <c r="L188" s="6">
        <f ca="1">IFERROR(__xludf.DUMMYFUNCTION("IFERROR(GOOGLEFINANCE(B188,""changepct""),K188)"),-5.56)</f>
        <v>-5.56</v>
      </c>
      <c r="M188" s="6">
        <f ca="1">IFERROR(__xludf.DUMMYFUNCTION("IFERROR(GOOGLEFINANCE(B188,""change""),0)"),-1.36)</f>
        <v>-1.36</v>
      </c>
      <c r="N188" s="6">
        <v>2</v>
      </c>
      <c r="O188" s="7">
        <v>45536</v>
      </c>
      <c r="P188" s="6">
        <v>27.47</v>
      </c>
      <c r="Q188" s="6">
        <v>971.92</v>
      </c>
      <c r="R188" s="7">
        <v>45536</v>
      </c>
      <c r="S188" s="6">
        <v>751.46</v>
      </c>
      <c r="T188" s="6">
        <v>38.729999999999997</v>
      </c>
      <c r="U188" s="7">
        <v>45536</v>
      </c>
      <c r="V188" s="6">
        <v>21.49</v>
      </c>
      <c r="W188" s="6">
        <f ca="1">IFERROR(__xludf.DUMMYFUNCTION("IFERROR(GOOGLEFINANCE(B188,""pe""),V188)"),20.27)</f>
        <v>20.27</v>
      </c>
      <c r="X188" s="12"/>
      <c r="Y188" s="6">
        <v>3.66</v>
      </c>
      <c r="Z188" s="6">
        <v>2</v>
      </c>
      <c r="AA188" s="8">
        <v>45352</v>
      </c>
      <c r="AB188" s="4">
        <v>0.16</v>
      </c>
      <c r="AC188" s="6">
        <v>22.67</v>
      </c>
      <c r="AD188" s="6">
        <v>31.14</v>
      </c>
      <c r="AE188" s="1">
        <v>0</v>
      </c>
      <c r="AF188" s="1">
        <f ca="1">IFERROR(__xludf.DUMMYFUNCTION("IFERROR(GOOGLEFINANCE(TRIM(F188)&amp;"":"" &amp; TRIM(B188),""high52""),AE188)"),37.97)</f>
        <v>37.97</v>
      </c>
      <c r="AG188" s="1">
        <v>0</v>
      </c>
      <c r="AH188" s="1">
        <f ca="1">IFERROR(__xludf.DUMMYFUNCTION("IFERROR(GOOGLEFINANCE(TRIM(F188)&amp;"":"" &amp; TRIM(B188),""low52""),AE188)"),19.88)</f>
        <v>19.88</v>
      </c>
      <c r="AI188" s="1">
        <f ca="1">IFERROR(__xludf.DUMMYFUNCTION("IFERROR(GOOGLEFINANCE(B188,""eps""),0)"),1.14)</f>
        <v>1.1399999999999999</v>
      </c>
      <c r="AJ188" s="1"/>
      <c r="AK188" s="1" t="s">
        <v>638</v>
      </c>
      <c r="AL188" s="9">
        <f t="shared" si="45"/>
        <v>1</v>
      </c>
    </row>
    <row r="189" spans="1:38" ht="15" x14ac:dyDescent="0.25">
      <c r="A189" s="1" t="s">
        <v>639</v>
      </c>
      <c r="B189" s="1" t="s">
        <v>640</v>
      </c>
      <c r="C189" s="1" t="s">
        <v>90</v>
      </c>
      <c r="D189" s="1" t="s">
        <v>90</v>
      </c>
      <c r="E189" s="6">
        <v>1507.45</v>
      </c>
      <c r="F189" s="1" t="s">
        <v>40</v>
      </c>
      <c r="G189" s="6">
        <f ca="1">IFERROR(__xludf.DUMMYFUNCTION("iferror(GOOGLEFINANCE(TRIM(F189)&amp;"":"" &amp; TRIM(B189), ""price""),0
)"),912)</f>
        <v>912</v>
      </c>
      <c r="H189" s="6">
        <v>988.95</v>
      </c>
      <c r="I189" s="6">
        <f t="shared" ca="1" si="0"/>
        <v>912</v>
      </c>
      <c r="J189" s="6">
        <f ca="1">IFERROR(__xludf.DUMMYFUNCTION("IFERROR(GOOGLEFINANCE(B189, ""volume""), 0)"),12554)</f>
        <v>12554</v>
      </c>
      <c r="K189" s="6">
        <v>-0.43</v>
      </c>
      <c r="L189" s="6">
        <f ca="1">IFERROR(__xludf.DUMMYFUNCTION("IFERROR(GOOGLEFINANCE(B189,""changepct""),K189)"),1.14)</f>
        <v>1.1399999999999999</v>
      </c>
      <c r="M189" s="6">
        <f ca="1">IFERROR(__xludf.DUMMYFUNCTION("IFERROR(GOOGLEFINANCE(B189,""change""),0)"),10.25)</f>
        <v>10.25</v>
      </c>
      <c r="N189" s="6">
        <v>2</v>
      </c>
      <c r="O189" s="7">
        <v>45536</v>
      </c>
      <c r="P189" s="9"/>
      <c r="Q189" s="6">
        <v>1444.83</v>
      </c>
      <c r="R189" s="7">
        <v>45536</v>
      </c>
      <c r="S189" s="6">
        <v>510.25</v>
      </c>
      <c r="T189" s="6">
        <v>76.08</v>
      </c>
      <c r="U189" s="7">
        <v>45536</v>
      </c>
      <c r="V189" s="6">
        <v>19.809999999999999</v>
      </c>
      <c r="W189" s="6">
        <f ca="1">IFERROR(__xludf.DUMMYFUNCTION("IFERROR(GOOGLEFINANCE(B189,""pe""),V189)"),20.53)</f>
        <v>20.53</v>
      </c>
      <c r="X189" s="6">
        <v>0.85</v>
      </c>
      <c r="Y189" s="6">
        <v>5.64</v>
      </c>
      <c r="Z189" s="6">
        <v>2</v>
      </c>
      <c r="AA189" s="8">
        <v>45352</v>
      </c>
      <c r="AB189" s="4">
        <v>0</v>
      </c>
      <c r="AC189" s="6">
        <v>26.94</v>
      </c>
      <c r="AD189" s="6">
        <v>37.53</v>
      </c>
      <c r="AE189" s="1">
        <v>0</v>
      </c>
      <c r="AF189" s="1">
        <f ca="1">IFERROR(__xludf.DUMMYFUNCTION("IFERROR(GOOGLEFINANCE(TRIM(F189)&amp;"":"" &amp; TRIM(B189),""high52""),AE189)"),1084)</f>
        <v>1084</v>
      </c>
      <c r="AG189" s="1">
        <v>0</v>
      </c>
      <c r="AH189" s="1">
        <f ca="1">IFERROR(__xludf.DUMMYFUNCTION("IFERROR(GOOGLEFINANCE(TRIM(F189)&amp;"":"" &amp; TRIM(B189),""low52""),AE189)"),770)</f>
        <v>770</v>
      </c>
      <c r="AI189" s="1">
        <f ca="1">IFERROR(__xludf.DUMMYFUNCTION("IFERROR(GOOGLEFINANCE(B189,""eps""),0)"),52.62)</f>
        <v>52.62</v>
      </c>
      <c r="AJ189" s="1"/>
      <c r="AK189" s="9"/>
      <c r="AL189" s="1" t="b">
        <f>ISBLANK(AB189)</f>
        <v>0</v>
      </c>
    </row>
    <row r="190" spans="1:38" ht="15" x14ac:dyDescent="0.25">
      <c r="A190" s="1" t="s">
        <v>641</v>
      </c>
      <c r="B190" s="1" t="s">
        <v>642</v>
      </c>
      <c r="C190" s="1" t="s">
        <v>643</v>
      </c>
      <c r="D190" s="1" t="s">
        <v>643</v>
      </c>
      <c r="E190" s="6">
        <v>12202.36</v>
      </c>
      <c r="F190" s="1" t="s">
        <v>40</v>
      </c>
      <c r="G190" s="6">
        <f ca="1">IFERROR(__xludf.DUMMYFUNCTION("iferror(GOOGLEFINANCE(TRIM(F190)&amp;"":"" &amp; TRIM(B190), ""price""),0
)"),499)</f>
        <v>499</v>
      </c>
      <c r="H190" s="6">
        <v>439.95</v>
      </c>
      <c r="I190" s="6">
        <f t="shared" ca="1" si="0"/>
        <v>499</v>
      </c>
      <c r="J190" s="6">
        <f ca="1">IFERROR(__xludf.DUMMYFUNCTION("IFERROR(GOOGLEFINANCE(B190, ""volume""), 0)"),612254)</f>
        <v>612254</v>
      </c>
      <c r="K190" s="6">
        <v>0.65</v>
      </c>
      <c r="L190" s="6">
        <f ca="1">IFERROR(__xludf.DUMMYFUNCTION("IFERROR(GOOGLEFINANCE(B190,""changepct""),K190)"),1.57)</f>
        <v>1.57</v>
      </c>
      <c r="M190" s="6">
        <f ca="1">IFERROR(__xludf.DUMMYFUNCTION("IFERROR(GOOGLEFINANCE(B190,""change""),0)"),7.7)</f>
        <v>7.7</v>
      </c>
      <c r="N190" s="6">
        <v>2</v>
      </c>
      <c r="O190" s="7">
        <v>45536</v>
      </c>
      <c r="P190" s="6">
        <v>711.64</v>
      </c>
      <c r="Q190" s="6">
        <v>12808.22</v>
      </c>
      <c r="R190" s="7">
        <v>45352</v>
      </c>
      <c r="S190" s="6">
        <v>7668.57</v>
      </c>
      <c r="T190" s="6">
        <v>1.83</v>
      </c>
      <c r="U190" s="7">
        <v>45352</v>
      </c>
      <c r="V190" s="6">
        <v>0</v>
      </c>
      <c r="W190" s="6">
        <f ca="1">IFERROR(__xludf.DUMMYFUNCTION("IFERROR(GOOGLEFINANCE(B190,""pe""),V190)"),52.83)</f>
        <v>52.83</v>
      </c>
      <c r="X190" s="9"/>
      <c r="Y190" s="6">
        <v>8.66</v>
      </c>
      <c r="Z190" s="6">
        <v>2</v>
      </c>
      <c r="AA190" s="8">
        <v>45352</v>
      </c>
      <c r="AB190" s="4">
        <v>2.0299999999999998</v>
      </c>
      <c r="AC190" s="6">
        <v>0.45</v>
      </c>
      <c r="AD190" s="6">
        <v>15.42</v>
      </c>
      <c r="AE190" s="1">
        <v>0</v>
      </c>
      <c r="AF190" s="1">
        <f ca="1">IFERROR(__xludf.DUMMYFUNCTION("IFERROR(GOOGLEFINANCE(TRIM(F190)&amp;"":"" &amp; TRIM(B190),""high52""),AE190)"),696.8)</f>
        <v>696.8</v>
      </c>
      <c r="AG190" s="1">
        <v>0</v>
      </c>
      <c r="AH190" s="1">
        <f ca="1">IFERROR(__xludf.DUMMYFUNCTION("IFERROR(GOOGLEFINANCE(TRIM(F190)&amp;"":"" &amp; TRIM(B190),""low52""),AE190)"),279)</f>
        <v>279</v>
      </c>
      <c r="AI190" s="1">
        <f ca="1">IFERROR(__xludf.DUMMYFUNCTION("IFERROR(GOOGLEFINANCE(B190,""eps""),0)"),9.45)</f>
        <v>9.4499999999999993</v>
      </c>
      <c r="AJ190" s="1"/>
      <c r="AK190" s="1" t="s">
        <v>644</v>
      </c>
      <c r="AL190" s="1" t="b">
        <f>ISNUMBER(AA190)</f>
        <v>1</v>
      </c>
    </row>
    <row r="191" spans="1:38" ht="15" x14ac:dyDescent="0.25">
      <c r="A191" s="1" t="s">
        <v>645</v>
      </c>
      <c r="B191" s="1" t="s">
        <v>646</v>
      </c>
      <c r="C191" s="1" t="s">
        <v>57</v>
      </c>
      <c r="D191" s="1" t="s">
        <v>57</v>
      </c>
      <c r="E191" s="6">
        <v>1354.74</v>
      </c>
      <c r="F191" s="1" t="s">
        <v>40</v>
      </c>
      <c r="G191" s="6">
        <f ca="1">IFERROR(__xludf.DUMMYFUNCTION("iferror(GOOGLEFINANCE(TRIM(F191)&amp;"":"" &amp; TRIM(B191), ""price""),0
)"),130.25)</f>
        <v>130.25</v>
      </c>
      <c r="H191" s="6">
        <v>241</v>
      </c>
      <c r="I191" s="6">
        <f t="shared" ca="1" si="0"/>
        <v>130.25</v>
      </c>
      <c r="J191" s="6">
        <f ca="1">IFERROR(__xludf.DUMMYFUNCTION("IFERROR(GOOGLEFINANCE(B191, ""volume""), 0)"),1592508)</f>
        <v>1592508</v>
      </c>
      <c r="K191" s="6">
        <v>0</v>
      </c>
      <c r="L191" s="6">
        <f ca="1">IFERROR(__xludf.DUMMYFUNCTION("IFERROR(GOOGLEFINANCE(B191,""changepct""),K191)"),-8.38)</f>
        <v>-8.3800000000000008</v>
      </c>
      <c r="M191" s="6">
        <f ca="1">IFERROR(__xludf.DUMMYFUNCTION("IFERROR(GOOGLEFINANCE(B191,""change""),0)"),-11.92)</f>
        <v>-11.92</v>
      </c>
      <c r="N191" s="6">
        <v>2</v>
      </c>
      <c r="O191" s="7">
        <v>45536</v>
      </c>
      <c r="P191" s="6">
        <v>54.87</v>
      </c>
      <c r="Q191" s="6">
        <v>1239.78</v>
      </c>
      <c r="R191" s="7">
        <v>45536</v>
      </c>
      <c r="S191" s="6">
        <v>729.99</v>
      </c>
      <c r="T191" s="6">
        <v>47.81</v>
      </c>
      <c r="U191" s="7">
        <v>45536</v>
      </c>
      <c r="V191" s="6">
        <v>29.2</v>
      </c>
      <c r="W191" s="6">
        <f ca="1">IFERROR(__xludf.DUMMYFUNCTION("IFERROR(GOOGLEFINANCE(B191,""pe""),V191)"),23.48)</f>
        <v>23.48</v>
      </c>
      <c r="X191" s="6">
        <v>0.78</v>
      </c>
      <c r="Y191" s="6">
        <v>2.29</v>
      </c>
      <c r="Z191" s="6">
        <v>2</v>
      </c>
      <c r="AA191" s="8">
        <v>45352</v>
      </c>
      <c r="AB191" s="4">
        <v>0.1</v>
      </c>
      <c r="AC191" s="6">
        <v>8.3800000000000008</v>
      </c>
      <c r="AD191" s="6">
        <v>11.13</v>
      </c>
      <c r="AE191" s="1">
        <v>0</v>
      </c>
      <c r="AF191" s="1">
        <f ca="1">IFERROR(__xludf.DUMMYFUNCTION("IFERROR(GOOGLEFINANCE(TRIM(F191)&amp;"":"" &amp; TRIM(B191),""high52""),AE191)"),286.74)</f>
        <v>286.74</v>
      </c>
      <c r="AG191" s="1">
        <v>0</v>
      </c>
      <c r="AH191" s="1">
        <f ca="1">IFERROR(__xludf.DUMMYFUNCTION("IFERROR(GOOGLEFINANCE(TRIM(F191)&amp;"":"" &amp; TRIM(B191),""low52""),AE191)"),115.51)</f>
        <v>115.51</v>
      </c>
      <c r="AI191" s="1">
        <f ca="1">IFERROR(__xludf.DUMMYFUNCTION("IFERROR(GOOGLEFINANCE(B191,""eps""),0)"),5.55)</f>
        <v>5.55</v>
      </c>
      <c r="AJ191" s="1"/>
      <c r="AK191" s="1" t="s">
        <v>647</v>
      </c>
      <c r="AL191" s="9">
        <f>IF(AA191&lt;&gt;AB191,1,0)</f>
        <v>1</v>
      </c>
    </row>
    <row r="192" spans="1:38" ht="15" x14ac:dyDescent="0.25">
      <c r="A192" s="1" t="s">
        <v>648</v>
      </c>
      <c r="B192" s="1" t="s">
        <v>649</v>
      </c>
      <c r="C192" s="1" t="s">
        <v>355</v>
      </c>
      <c r="D192" s="1" t="s">
        <v>355</v>
      </c>
      <c r="E192" s="6">
        <v>1380.59</v>
      </c>
      <c r="F192" s="1" t="s">
        <v>53</v>
      </c>
      <c r="G192" s="6">
        <f ca="1">IFERROR(__xludf.DUMMYFUNCTION("iferror(GOOGLEFINANCE(TRIM(F192)&amp;"":"" &amp; TRIM(B192), ""price""),0
)"),0)</f>
        <v>0</v>
      </c>
      <c r="H192" s="6">
        <v>1515</v>
      </c>
      <c r="I192" s="6">
        <f t="shared" ca="1" si="0"/>
        <v>1515</v>
      </c>
      <c r="J192" s="6">
        <f ca="1">IFERROR(__xludf.DUMMYFUNCTION("IFERROR(GOOGLEFINANCE(B192, ""volume""), 0)"),0)</f>
        <v>0</v>
      </c>
      <c r="K192" s="6">
        <v>-0.43</v>
      </c>
      <c r="L192" s="6">
        <f ca="1">IFERROR(__xludf.DUMMYFUNCTION("IFERROR(GOOGLEFINANCE(B192,""changepct""),K192)"),-0.43)</f>
        <v>-0.43</v>
      </c>
      <c r="M192" s="6">
        <f ca="1">IFERROR(__xludf.DUMMYFUNCTION("IFERROR(GOOGLEFINANCE(B192,""change""),0)"),0)</f>
        <v>0</v>
      </c>
      <c r="N192" s="6">
        <v>2</v>
      </c>
      <c r="O192" s="7">
        <v>45536</v>
      </c>
      <c r="P192" s="6">
        <v>89.38</v>
      </c>
      <c r="Q192" s="6">
        <v>1469.49</v>
      </c>
      <c r="R192" s="7">
        <v>45536</v>
      </c>
      <c r="S192" s="6">
        <v>476.9</v>
      </c>
      <c r="T192" s="6">
        <v>31.4</v>
      </c>
      <c r="U192" s="7">
        <v>45536</v>
      </c>
      <c r="V192" s="6">
        <v>43.97</v>
      </c>
      <c r="W192" s="6">
        <f ca="1">IFERROR(__xludf.DUMMYFUNCTION("IFERROR(GOOGLEFINANCE(B192,""pe""),V192)"),43.97)</f>
        <v>43.97</v>
      </c>
      <c r="X192" s="6">
        <v>-549.6</v>
      </c>
      <c r="Y192" s="6">
        <v>2.98</v>
      </c>
      <c r="Z192" s="6">
        <v>2</v>
      </c>
      <c r="AA192" s="8">
        <v>45352</v>
      </c>
      <c r="AB192" s="4">
        <v>0.16</v>
      </c>
      <c r="AC192" s="6">
        <v>9.9600000000000009</v>
      </c>
      <c r="AD192" s="6">
        <v>10.71</v>
      </c>
      <c r="AE192" s="1">
        <v>0</v>
      </c>
      <c r="AF192" s="1">
        <f ca="1">IFERROR(__xludf.DUMMYFUNCTION("IFERROR(GOOGLEFINANCE(TRIM(F192)&amp;"":"" &amp; TRIM(B192),""high52""),AE192)"),0)</f>
        <v>0</v>
      </c>
      <c r="AG192" s="1">
        <v>0</v>
      </c>
      <c r="AH192" s="1">
        <f ca="1">IFERROR(__xludf.DUMMYFUNCTION("IFERROR(GOOGLEFINANCE(TRIM(F192)&amp;"":"" &amp; TRIM(B192),""low52""),AE192)"),0)</f>
        <v>0</v>
      </c>
      <c r="AI192" s="1">
        <f ca="1">IFERROR(__xludf.DUMMYFUNCTION("IFERROR(GOOGLEFINANCE(B192,""eps""),0)"),0)</f>
        <v>0</v>
      </c>
      <c r="AJ192" s="1"/>
      <c r="AK192" s="1" t="s">
        <v>650</v>
      </c>
      <c r="AL192" s="1" t="b">
        <f>ISNUMBER(AA192)</f>
        <v>1</v>
      </c>
    </row>
    <row r="193" spans="1:38" ht="15" x14ac:dyDescent="0.25">
      <c r="A193" s="1" t="s">
        <v>651</v>
      </c>
      <c r="B193" s="1" t="s">
        <v>652</v>
      </c>
      <c r="C193" s="1" t="s">
        <v>75</v>
      </c>
      <c r="D193" s="1" t="s">
        <v>75</v>
      </c>
      <c r="E193" s="6">
        <v>569.98</v>
      </c>
      <c r="F193" s="1" t="s">
        <v>40</v>
      </c>
      <c r="G193" s="6">
        <f ca="1">IFERROR(__xludf.DUMMYFUNCTION("iferror(GOOGLEFINANCE(TRIM(F193)&amp;"":"" &amp; TRIM(B193), ""price""),0
)"),14.42)</f>
        <v>14.42</v>
      </c>
      <c r="H193" s="6">
        <v>33.5</v>
      </c>
      <c r="I193" s="6">
        <f t="shared" ca="1" si="0"/>
        <v>14.42</v>
      </c>
      <c r="J193" s="6">
        <f ca="1">IFERROR(__xludf.DUMMYFUNCTION("IFERROR(GOOGLEFINANCE(B193, ""volume""), 0)"),76165)</f>
        <v>76165</v>
      </c>
      <c r="K193" s="6">
        <v>0</v>
      </c>
      <c r="L193" s="6">
        <f ca="1">IFERROR(__xludf.DUMMYFUNCTION("IFERROR(GOOGLEFINANCE(B193,""changepct""),K193)"),1.69)</f>
        <v>1.69</v>
      </c>
      <c r="M193" s="6">
        <f ca="1">IFERROR(__xludf.DUMMYFUNCTION("IFERROR(GOOGLEFINANCE(B193,""change""),0)"),0.24)</f>
        <v>0.24</v>
      </c>
      <c r="N193" s="6">
        <v>2</v>
      </c>
      <c r="O193" s="7">
        <v>45536</v>
      </c>
      <c r="P193" s="6">
        <v>24.98</v>
      </c>
      <c r="Q193" s="7">
        <v>45536</v>
      </c>
      <c r="R193" s="6">
        <v>16.48</v>
      </c>
      <c r="S193" s="6">
        <v>0.67</v>
      </c>
      <c r="T193" s="6">
        <v>2.46</v>
      </c>
      <c r="U193" s="6">
        <v>2</v>
      </c>
      <c r="V193" s="7">
        <v>45352</v>
      </c>
      <c r="W193" s="6">
        <f ca="1">IFERROR(__xludf.DUMMYFUNCTION("IFERROR(GOOGLEFINANCE(B193,""pe""),V193)"),12.8)</f>
        <v>12.8</v>
      </c>
      <c r="X193" s="6">
        <v>7.0000000000000007E-2</v>
      </c>
      <c r="Y193" s="6">
        <v>16.09</v>
      </c>
      <c r="Z193" s="6">
        <v>17.149999999999999</v>
      </c>
      <c r="AA193" s="3" t="s">
        <v>653</v>
      </c>
      <c r="AB193" s="4"/>
      <c r="AC193" s="9"/>
      <c r="AD193" s="9"/>
      <c r="AE193" s="1">
        <v>0</v>
      </c>
      <c r="AF193" s="1">
        <f ca="1">IFERROR(__xludf.DUMMYFUNCTION("IFERROR(GOOGLEFINANCE(TRIM(F193)&amp;"":"" &amp; TRIM(B193),""high52""),AE193)"),31.7)</f>
        <v>31.7</v>
      </c>
      <c r="AG193" s="1">
        <v>0</v>
      </c>
      <c r="AH193" s="1">
        <f ca="1">IFERROR(__xludf.DUMMYFUNCTION("IFERROR(GOOGLEFINANCE(TRIM(F193)&amp;"":"" &amp; TRIM(B193),""low52""),AE193)"),12.51)</f>
        <v>12.51</v>
      </c>
      <c r="AI193" s="1">
        <f ca="1">IFERROR(__xludf.DUMMYFUNCTION("IFERROR(GOOGLEFINANCE(B193,""eps""),0)"),1.13)</f>
        <v>1.1299999999999999</v>
      </c>
      <c r="AJ193" s="1"/>
      <c r="AK193" s="1" t="s">
        <v>654</v>
      </c>
      <c r="AL193" s="9">
        <f t="shared" ref="AL193:AL197" si="46">IF(AA193&lt;&gt;AB193,1,0)</f>
        <v>1</v>
      </c>
    </row>
    <row r="194" spans="1:38" ht="15" x14ac:dyDescent="0.25">
      <c r="A194" s="1" t="s">
        <v>655</v>
      </c>
      <c r="B194" s="1" t="s">
        <v>656</v>
      </c>
      <c r="C194" s="1" t="s">
        <v>186</v>
      </c>
      <c r="D194" s="1" t="s">
        <v>186</v>
      </c>
      <c r="E194" s="6">
        <v>10516.38</v>
      </c>
      <c r="F194" s="1" t="s">
        <v>40</v>
      </c>
      <c r="G194" s="6">
        <f ca="1">IFERROR(__xludf.DUMMYFUNCTION("iferror(GOOGLEFINANCE(TRIM(F194)&amp;"":"" &amp; TRIM(B194), ""price""),0
)"),15)</f>
        <v>15</v>
      </c>
      <c r="H194" s="6">
        <v>21.39</v>
      </c>
      <c r="I194" s="6">
        <f t="shared" ca="1" si="0"/>
        <v>15</v>
      </c>
      <c r="J194" s="6">
        <f ca="1">IFERROR(__xludf.DUMMYFUNCTION("IFERROR(GOOGLEFINANCE(B194, ""volume""), 0)"),5379995)</f>
        <v>5379995</v>
      </c>
      <c r="K194" s="6">
        <v>0.99</v>
      </c>
      <c r="L194" s="6">
        <f ca="1">IFERROR(__xludf.DUMMYFUNCTION("IFERROR(GOOGLEFINANCE(B194,""changepct""),K194)"),-0.13)</f>
        <v>-0.13</v>
      </c>
      <c r="M194" s="6">
        <f ca="1">IFERROR(__xludf.DUMMYFUNCTION("IFERROR(GOOGLEFINANCE(B194,""change""),0)"),-0.02)</f>
        <v>-0.02</v>
      </c>
      <c r="N194" s="6">
        <v>2</v>
      </c>
      <c r="O194" s="7">
        <v>45536</v>
      </c>
      <c r="P194" s="6">
        <v>25923.77</v>
      </c>
      <c r="Q194" s="6">
        <v>36324.639999999999</v>
      </c>
      <c r="R194" s="7">
        <v>45536</v>
      </c>
      <c r="S194" s="6">
        <v>4614.3</v>
      </c>
      <c r="T194" s="6">
        <v>-913.83</v>
      </c>
      <c r="U194" s="7">
        <v>45536</v>
      </c>
      <c r="V194" s="6">
        <v>0</v>
      </c>
      <c r="W194" s="6">
        <f ca="1">IFERROR(__xludf.DUMMYFUNCTION("IFERROR(GOOGLEFINANCE(B194,""pe""),V194)"),0)</f>
        <v>0</v>
      </c>
      <c r="X194" s="6">
        <v>0</v>
      </c>
      <c r="Y194" s="6">
        <v>-0.52</v>
      </c>
      <c r="Z194" s="6">
        <v>2</v>
      </c>
      <c r="AA194" s="8">
        <v>45352</v>
      </c>
      <c r="AB194" s="4">
        <v>-1.32</v>
      </c>
      <c r="AC194" s="6">
        <v>0</v>
      </c>
      <c r="AD194" s="6">
        <v>-4.42</v>
      </c>
      <c r="AE194" s="1">
        <v>0</v>
      </c>
      <c r="AF194" s="1">
        <f ca="1">IFERROR(__xludf.DUMMYFUNCTION("IFERROR(GOOGLEFINANCE(TRIM(F194)&amp;"":"" &amp; TRIM(B194),""high52""),AE194)"),23.5)</f>
        <v>23.5</v>
      </c>
      <c r="AG194" s="1">
        <v>0</v>
      </c>
      <c r="AH194" s="1">
        <f ca="1">IFERROR(__xludf.DUMMYFUNCTION("IFERROR(GOOGLEFINANCE(TRIM(F194)&amp;"":"" &amp; TRIM(B194),""low52""),AE194)"),14)</f>
        <v>14</v>
      </c>
      <c r="AI194" s="1">
        <f ca="1">IFERROR(__xludf.DUMMYFUNCTION("IFERROR(GOOGLEFINANCE(B194,""eps""),0)"),-1.27)</f>
        <v>-1.27</v>
      </c>
      <c r="AJ194" s="1"/>
      <c r="AK194" s="1" t="s">
        <v>657</v>
      </c>
      <c r="AL194" s="9">
        <f t="shared" si="46"/>
        <v>1</v>
      </c>
    </row>
    <row r="195" spans="1:38" ht="15" x14ac:dyDescent="0.25">
      <c r="A195" s="1" t="s">
        <v>658</v>
      </c>
      <c r="B195" s="1" t="s">
        <v>659</v>
      </c>
      <c r="C195" s="1" t="s">
        <v>106</v>
      </c>
      <c r="D195" s="1" t="s">
        <v>106</v>
      </c>
      <c r="E195" s="6">
        <v>267.22000000000003</v>
      </c>
      <c r="F195" s="1" t="s">
        <v>40</v>
      </c>
      <c r="G195" s="6">
        <f ca="1">IFERROR(__xludf.DUMMYFUNCTION("iferror(GOOGLEFINANCE(TRIM(F195)&amp;"":"" &amp; TRIM(B195), ""price""),0
)"),67.4)</f>
        <v>67.400000000000006</v>
      </c>
      <c r="H195" s="6">
        <v>126.6</v>
      </c>
      <c r="I195" s="6">
        <f t="shared" ca="1" si="0"/>
        <v>67.400000000000006</v>
      </c>
      <c r="J195" s="6">
        <f ca="1">IFERROR(__xludf.DUMMYFUNCTION("IFERROR(GOOGLEFINANCE(B195, ""volume""), 0)"),8899)</f>
        <v>8899</v>
      </c>
      <c r="K195" s="6">
        <v>-0.3</v>
      </c>
      <c r="L195" s="6">
        <f ca="1">IFERROR(__xludf.DUMMYFUNCTION("IFERROR(GOOGLEFINANCE(B195,""changepct""),K195)"),-1.01)</f>
        <v>-1.01</v>
      </c>
      <c r="M195" s="6">
        <f ca="1">IFERROR(__xludf.DUMMYFUNCTION("IFERROR(GOOGLEFINANCE(B195,""change""),0)"),-0.69)</f>
        <v>-0.69</v>
      </c>
      <c r="N195" s="6">
        <v>2</v>
      </c>
      <c r="O195" s="7">
        <v>45536</v>
      </c>
      <c r="P195" s="6">
        <v>2.2599999999999998</v>
      </c>
      <c r="Q195" s="6">
        <v>269.48</v>
      </c>
      <c r="R195" s="7">
        <v>45536</v>
      </c>
      <c r="S195" s="6">
        <v>97.3</v>
      </c>
      <c r="T195" s="6">
        <v>20.85</v>
      </c>
      <c r="U195" s="7">
        <v>45536</v>
      </c>
      <c r="V195" s="6">
        <v>12.82</v>
      </c>
      <c r="W195" s="6">
        <f ca="1">IFERROR(__xludf.DUMMYFUNCTION("IFERROR(GOOGLEFINANCE(B195,""pe""),V195)"),7.63)</f>
        <v>7.63</v>
      </c>
      <c r="X195" s="6">
        <v>0.17</v>
      </c>
      <c r="Y195" s="6">
        <v>1.62</v>
      </c>
      <c r="Z195" s="6">
        <v>2</v>
      </c>
      <c r="AA195" s="8">
        <v>45352</v>
      </c>
      <c r="AB195" s="4">
        <v>0.03</v>
      </c>
      <c r="AC195" s="6">
        <v>11.71</v>
      </c>
      <c r="AD195" s="6">
        <v>14.31</v>
      </c>
      <c r="AE195" s="1">
        <v>0</v>
      </c>
      <c r="AF195" s="1">
        <f ca="1">IFERROR(__xludf.DUMMYFUNCTION("IFERROR(GOOGLEFINANCE(TRIM(F195)&amp;"":"" &amp; TRIM(B195),""high52""),AE195)"),120.5)</f>
        <v>120.5</v>
      </c>
      <c r="AG195" s="1">
        <v>0</v>
      </c>
      <c r="AH195" s="1">
        <f ca="1">IFERROR(__xludf.DUMMYFUNCTION("IFERROR(GOOGLEFINANCE(TRIM(F195)&amp;"":"" &amp; TRIM(B195),""low52""),AE195)"),61)</f>
        <v>61</v>
      </c>
      <c r="AI195" s="1">
        <f ca="1">IFERROR(__xludf.DUMMYFUNCTION("IFERROR(GOOGLEFINANCE(B195,""eps""),0)"),8.84)</f>
        <v>8.84</v>
      </c>
      <c r="AJ195" s="1"/>
      <c r="AK195" s="1" t="s">
        <v>660</v>
      </c>
      <c r="AL195" s="9">
        <f t="shared" si="46"/>
        <v>1</v>
      </c>
    </row>
    <row r="196" spans="1:38" ht="15" x14ac:dyDescent="0.25">
      <c r="A196" s="1" t="s">
        <v>661</v>
      </c>
      <c r="B196" s="1" t="s">
        <v>662</v>
      </c>
      <c r="C196" s="1" t="s">
        <v>125</v>
      </c>
      <c r="D196" s="1" t="s">
        <v>125</v>
      </c>
      <c r="E196" s="6">
        <v>2085.13</v>
      </c>
      <c r="F196" s="1" t="s">
        <v>40</v>
      </c>
      <c r="G196" s="6">
        <f ca="1">IFERROR(__xludf.DUMMYFUNCTION("iferror(GOOGLEFINANCE(TRIM(F196)&amp;"":"" &amp; TRIM(B196), ""price""),0
)"),0)</f>
        <v>0</v>
      </c>
      <c r="H196" s="6">
        <v>848</v>
      </c>
      <c r="I196" s="6">
        <f t="shared" ca="1" si="0"/>
        <v>848</v>
      </c>
      <c r="J196" s="6">
        <f ca="1">IFERROR(__xludf.DUMMYFUNCTION("IFERROR(GOOGLEFINANCE(B196, ""volume""), 0)"),0)</f>
        <v>0</v>
      </c>
      <c r="K196" s="6">
        <v>-0.47</v>
      </c>
      <c r="L196" s="6">
        <f ca="1">IFERROR(__xludf.DUMMYFUNCTION("IFERROR(GOOGLEFINANCE(B196,""changepct""),K196)"),-0.47)</f>
        <v>-0.47</v>
      </c>
      <c r="M196" s="6">
        <f ca="1">IFERROR(__xludf.DUMMYFUNCTION("IFERROR(GOOGLEFINANCE(B196,""change""),0)"),0)</f>
        <v>0</v>
      </c>
      <c r="N196" s="6">
        <v>1</v>
      </c>
      <c r="O196" s="7">
        <v>45536</v>
      </c>
      <c r="P196" s="6">
        <v>33.01</v>
      </c>
      <c r="Q196" s="6">
        <v>2118.14</v>
      </c>
      <c r="R196" s="7">
        <v>45352</v>
      </c>
      <c r="S196" s="6">
        <v>404.43</v>
      </c>
      <c r="T196" s="6">
        <v>29.05</v>
      </c>
      <c r="U196" s="7">
        <v>45352</v>
      </c>
      <c r="V196" s="6">
        <v>71.77</v>
      </c>
      <c r="W196" s="6">
        <f ca="1">IFERROR(__xludf.DUMMYFUNCTION("IFERROR(GOOGLEFINANCE(B196,""pe""),V196)"),71.77)</f>
        <v>71.77</v>
      </c>
      <c r="X196" s="9"/>
      <c r="Y196" s="6">
        <v>15.88</v>
      </c>
      <c r="Z196" s="6">
        <v>2</v>
      </c>
      <c r="AA196" s="8">
        <v>45352</v>
      </c>
      <c r="AB196" s="4">
        <v>0.27</v>
      </c>
      <c r="AC196" s="6">
        <v>30.81</v>
      </c>
      <c r="AD196" s="6">
        <v>31.37</v>
      </c>
      <c r="AE196" s="1">
        <v>0</v>
      </c>
      <c r="AF196" s="1">
        <f ca="1">IFERROR(__xludf.DUMMYFUNCTION("IFERROR(GOOGLEFINANCE(TRIM(F196)&amp;"":"" &amp; TRIM(B196),""high52""),AE196)"),0)</f>
        <v>0</v>
      </c>
      <c r="AG196" s="1">
        <v>0</v>
      </c>
      <c r="AH196" s="1">
        <f ca="1">IFERROR(__xludf.DUMMYFUNCTION("IFERROR(GOOGLEFINANCE(TRIM(F196)&amp;"":"" &amp; TRIM(B196),""low52""),AE196)"),0)</f>
        <v>0</v>
      </c>
      <c r="AI196" s="1">
        <f ca="1">IFERROR(__xludf.DUMMYFUNCTION("IFERROR(GOOGLEFINANCE(B196,""eps""),0)"),0)</f>
        <v>0</v>
      </c>
      <c r="AJ196" s="1"/>
      <c r="AK196" s="1" t="s">
        <v>663</v>
      </c>
      <c r="AL196" s="9">
        <f t="shared" si="46"/>
        <v>1</v>
      </c>
    </row>
    <row r="197" spans="1:38" ht="15" x14ac:dyDescent="0.25">
      <c r="A197" s="1" t="s">
        <v>664</v>
      </c>
      <c r="B197" s="1" t="s">
        <v>665</v>
      </c>
      <c r="C197" s="1" t="s">
        <v>112</v>
      </c>
      <c r="D197" s="1" t="s">
        <v>112</v>
      </c>
      <c r="E197" s="6">
        <v>281.93</v>
      </c>
      <c r="F197" s="1" t="s">
        <v>40</v>
      </c>
      <c r="G197" s="6">
        <f ca="1">IFERROR(__xludf.DUMMYFUNCTION("iferror(GOOGLEFINANCE(TRIM(F197)&amp;"":"" &amp; TRIM(B197), ""price""),0
)"),224.8)</f>
        <v>224.8</v>
      </c>
      <c r="H197" s="6">
        <v>447.9</v>
      </c>
      <c r="I197" s="6">
        <f t="shared" ca="1" si="0"/>
        <v>224.8</v>
      </c>
      <c r="J197" s="6">
        <f ca="1">IFERROR(__xludf.DUMMYFUNCTION("IFERROR(GOOGLEFINANCE(B197, ""volume""), 0)"),3856)</f>
        <v>3856</v>
      </c>
      <c r="K197" s="6">
        <v>1.2</v>
      </c>
      <c r="L197" s="6">
        <f ca="1">IFERROR(__xludf.DUMMYFUNCTION("IFERROR(GOOGLEFINANCE(B197,""changepct""),K197)"),5.87)</f>
        <v>5.87</v>
      </c>
      <c r="M197" s="6">
        <f ca="1">IFERROR(__xludf.DUMMYFUNCTION("IFERROR(GOOGLEFINANCE(B197,""change""),0)"),12.47)</f>
        <v>12.47</v>
      </c>
      <c r="N197" s="6">
        <v>2</v>
      </c>
      <c r="O197" s="7">
        <v>45536</v>
      </c>
      <c r="P197" s="9"/>
      <c r="Q197" s="6">
        <v>173.79</v>
      </c>
      <c r="R197" s="7">
        <v>45536</v>
      </c>
      <c r="S197" s="6">
        <v>135.09</v>
      </c>
      <c r="T197" s="6">
        <v>14.31</v>
      </c>
      <c r="U197" s="7">
        <v>45536</v>
      </c>
      <c r="V197" s="6">
        <v>20.96</v>
      </c>
      <c r="W197" s="6">
        <f ca="1">IFERROR(__xludf.DUMMYFUNCTION("IFERROR(GOOGLEFINANCE(B197,""pe""),V197)"),20.96)</f>
        <v>20.96</v>
      </c>
      <c r="X197" s="6">
        <v>-0.45</v>
      </c>
      <c r="Y197" s="6">
        <v>1.01</v>
      </c>
      <c r="Z197" s="6">
        <v>2</v>
      </c>
      <c r="AA197" s="8">
        <v>45352</v>
      </c>
      <c r="AB197" s="4">
        <v>0</v>
      </c>
      <c r="AC197" s="6">
        <v>0.37</v>
      </c>
      <c r="AD197" s="6">
        <v>1.69</v>
      </c>
      <c r="AE197" s="1">
        <v>0</v>
      </c>
      <c r="AF197" s="1">
        <f ca="1">IFERROR(__xludf.DUMMYFUNCTION("IFERROR(GOOGLEFINANCE(TRIM(F197)&amp;"":"" &amp; TRIM(B197),""high52""),AE197)"),417.4)</f>
        <v>417.4</v>
      </c>
      <c r="AG197" s="1">
        <v>0</v>
      </c>
      <c r="AH197" s="1">
        <f ca="1">IFERROR(__xludf.DUMMYFUNCTION("IFERROR(GOOGLEFINANCE(TRIM(F197)&amp;"":"" &amp; TRIM(B197),""low52""),AE197)"),198)</f>
        <v>198</v>
      </c>
      <c r="AI197" s="1">
        <f ca="1">IFERROR(__xludf.DUMMYFUNCTION("IFERROR(GOOGLEFINANCE(B197,""eps""),0)"),-25.99)</f>
        <v>-25.99</v>
      </c>
      <c r="AJ197" s="1"/>
      <c r="AK197" s="1" t="s">
        <v>666</v>
      </c>
      <c r="AL197" s="9">
        <f t="shared" si="46"/>
        <v>1</v>
      </c>
    </row>
    <row r="198" spans="1:38" ht="15" x14ac:dyDescent="0.25">
      <c r="A198" s="1" t="s">
        <v>667</v>
      </c>
      <c r="B198" s="1" t="s">
        <v>668</v>
      </c>
      <c r="C198" s="1" t="s">
        <v>669</v>
      </c>
      <c r="D198" s="1" t="s">
        <v>669</v>
      </c>
      <c r="E198" s="6">
        <v>74.66</v>
      </c>
      <c r="F198" s="1" t="s">
        <v>53</v>
      </c>
      <c r="G198" s="6">
        <f ca="1">IFERROR(__xludf.DUMMYFUNCTION("iferror(GOOGLEFINANCE(TRIM(F198)&amp;"":"" &amp; TRIM(B198), ""price""),0
)"),0)</f>
        <v>0</v>
      </c>
      <c r="H198" s="6">
        <v>1905</v>
      </c>
      <c r="I198" s="6">
        <f t="shared" ca="1" si="0"/>
        <v>1905</v>
      </c>
      <c r="J198" s="6">
        <f ca="1">IFERROR(__xludf.DUMMYFUNCTION("IFERROR(GOOGLEFINANCE(B198, ""volume""), 0)"),0)</f>
        <v>0</v>
      </c>
      <c r="K198" s="9"/>
      <c r="L198" s="6" t="str">
        <f ca="1">IFERROR(__xludf.DUMMYFUNCTION("IFERROR(GOOGLEFINANCE(B198,""changepct""),K198)"),"")</f>
        <v/>
      </c>
      <c r="M198" s="6">
        <f ca="1">IFERROR(__xludf.DUMMYFUNCTION("IFERROR(GOOGLEFINANCE(B198,""change""),0)"),0)</f>
        <v>0</v>
      </c>
      <c r="N198" s="6">
        <v>2</v>
      </c>
      <c r="O198" s="7">
        <v>45536</v>
      </c>
      <c r="P198" s="6">
        <v>0.57999999999999996</v>
      </c>
      <c r="Q198" s="6">
        <v>75.23</v>
      </c>
      <c r="R198" s="7">
        <v>45536</v>
      </c>
      <c r="S198" s="6">
        <v>10.11</v>
      </c>
      <c r="T198" s="6">
        <v>3.94</v>
      </c>
      <c r="U198" s="7">
        <v>45536</v>
      </c>
      <c r="V198" s="6">
        <v>20.13</v>
      </c>
      <c r="W198" s="6">
        <f ca="1">IFERROR(__xludf.DUMMYFUNCTION("IFERROR(GOOGLEFINANCE(B198,""pe""),V198)"),20.13)</f>
        <v>20.13</v>
      </c>
      <c r="X198" s="9"/>
      <c r="Y198" s="6">
        <v>2.5499999999999998</v>
      </c>
      <c r="Z198" s="6">
        <v>2</v>
      </c>
      <c r="AA198" s="8">
        <v>45352</v>
      </c>
      <c r="AB198" s="4">
        <v>0.02</v>
      </c>
      <c r="AC198" s="6">
        <v>13.16</v>
      </c>
      <c r="AD198" s="6">
        <v>17.23</v>
      </c>
      <c r="AE198" s="1">
        <v>0</v>
      </c>
      <c r="AF198" s="1">
        <f ca="1">IFERROR(__xludf.DUMMYFUNCTION("IFERROR(GOOGLEFINANCE(TRIM(F198)&amp;"":"" &amp; TRIM(B198),""high52""),AE198)"),0)</f>
        <v>0</v>
      </c>
      <c r="AG198" s="1">
        <v>0</v>
      </c>
      <c r="AH198" s="1">
        <f ca="1">IFERROR(__xludf.DUMMYFUNCTION("IFERROR(GOOGLEFINANCE(TRIM(F198)&amp;"":"" &amp; TRIM(B198),""low52""),AE198)"),0)</f>
        <v>0</v>
      </c>
      <c r="AI198" s="1">
        <f ca="1">IFERROR(__xludf.DUMMYFUNCTION("IFERROR(GOOGLEFINANCE(B198,""eps""),0)"),0)</f>
        <v>0</v>
      </c>
      <c r="AJ198" s="1"/>
      <c r="AK198" s="1" t="s">
        <v>670</v>
      </c>
      <c r="AL198" s="1" t="b">
        <f>ISNUMBER(AA198)</f>
        <v>1</v>
      </c>
    </row>
    <row r="199" spans="1:38" ht="15" x14ac:dyDescent="0.25">
      <c r="A199" s="1" t="s">
        <v>671</v>
      </c>
      <c r="B199" s="1" t="s">
        <v>672</v>
      </c>
      <c r="C199" s="1" t="s">
        <v>186</v>
      </c>
      <c r="D199" s="1" t="s">
        <v>186</v>
      </c>
      <c r="E199" s="6">
        <v>11.62</v>
      </c>
      <c r="F199" s="1" t="s">
        <v>40</v>
      </c>
      <c r="G199" s="6">
        <f ca="1">IFERROR(__xludf.DUMMYFUNCTION("iferror(GOOGLEFINANCE(TRIM(F199)&amp;"":"" &amp; TRIM(B199), ""price""),0
)"),0)</f>
        <v>0</v>
      </c>
      <c r="H199" s="6">
        <v>3.02</v>
      </c>
      <c r="I199" s="6">
        <f t="shared" ca="1" si="0"/>
        <v>3.02</v>
      </c>
      <c r="J199" s="6">
        <f ca="1">IFERROR(__xludf.DUMMYFUNCTION("IFERROR(GOOGLEFINANCE(B199, ""volume""), 0)"),0)</f>
        <v>0</v>
      </c>
      <c r="K199" s="6">
        <v>3.07</v>
      </c>
      <c r="L199" s="6">
        <f ca="1">IFERROR(__xludf.DUMMYFUNCTION("IFERROR(GOOGLEFINANCE(B199,""changepct""),K199)"),3.07)</f>
        <v>3.07</v>
      </c>
      <c r="M199" s="6">
        <f ca="1">IFERROR(__xludf.DUMMYFUNCTION("IFERROR(GOOGLEFINANCE(B199,""change""),0)"),0)</f>
        <v>0</v>
      </c>
      <c r="N199" s="6">
        <v>2</v>
      </c>
      <c r="O199" s="7">
        <v>45536</v>
      </c>
      <c r="P199" s="6">
        <v>859.63</v>
      </c>
      <c r="Q199" s="6">
        <v>871.25</v>
      </c>
      <c r="R199" s="7">
        <v>45536</v>
      </c>
      <c r="S199" s="6">
        <v>0</v>
      </c>
      <c r="T199" s="6">
        <v>-60.54</v>
      </c>
      <c r="U199" s="7">
        <v>45536</v>
      </c>
      <c r="V199" s="6">
        <v>0</v>
      </c>
      <c r="W199" s="6">
        <f ca="1">IFERROR(__xludf.DUMMYFUNCTION("IFERROR(GOOGLEFINANCE(B199,""pe""),V199)"),0)</f>
        <v>0</v>
      </c>
      <c r="X199" s="6">
        <v>0</v>
      </c>
      <c r="Y199" s="6">
        <v>-0.01</v>
      </c>
      <c r="Z199" s="6">
        <v>2</v>
      </c>
      <c r="AA199" s="8">
        <v>45352</v>
      </c>
      <c r="AB199" s="4">
        <v>-1</v>
      </c>
      <c r="AC199" s="6">
        <v>0</v>
      </c>
      <c r="AD199" s="6">
        <v>0</v>
      </c>
      <c r="AE199" s="1">
        <v>0</v>
      </c>
      <c r="AF199" s="1">
        <f ca="1">IFERROR(__xludf.DUMMYFUNCTION("IFERROR(GOOGLEFINANCE(TRIM(F199)&amp;"":"" &amp; TRIM(B199),""high52""),AE199)"),0)</f>
        <v>0</v>
      </c>
      <c r="AG199" s="1">
        <v>0</v>
      </c>
      <c r="AH199" s="1">
        <f ca="1">IFERROR(__xludf.DUMMYFUNCTION("IFERROR(GOOGLEFINANCE(TRIM(F199)&amp;"":"" &amp; TRIM(B199),""low52""),AE199)"),0)</f>
        <v>0</v>
      </c>
      <c r="AI199" s="1">
        <f ca="1">IFERROR(__xludf.DUMMYFUNCTION("IFERROR(GOOGLEFINANCE(B199,""eps""),0)"),0)</f>
        <v>0</v>
      </c>
      <c r="AJ199" s="1"/>
      <c r="AK199" s="1" t="s">
        <v>673</v>
      </c>
      <c r="AL199" s="9">
        <f t="shared" ref="AL199:AL200" si="47">IF(AA199&lt;&gt;AB199,1,0)</f>
        <v>1</v>
      </c>
    </row>
    <row r="200" spans="1:38" ht="15" x14ac:dyDescent="0.25">
      <c r="A200" s="1" t="s">
        <v>674</v>
      </c>
      <c r="B200" s="1" t="s">
        <v>675</v>
      </c>
      <c r="C200" s="1" t="s">
        <v>112</v>
      </c>
      <c r="D200" s="1" t="s">
        <v>112</v>
      </c>
      <c r="E200" s="6">
        <v>144.86000000000001</v>
      </c>
      <c r="F200" s="1" t="s">
        <v>40</v>
      </c>
      <c r="G200" s="6">
        <f ca="1">IFERROR(__xludf.DUMMYFUNCTION("iferror(GOOGLEFINANCE(TRIM(F200)&amp;"":"" &amp; TRIM(B200), ""price""),0
)"),0)</f>
        <v>0</v>
      </c>
      <c r="H200" s="6">
        <v>61.2</v>
      </c>
      <c r="I200" s="6">
        <f t="shared" ca="1" si="0"/>
        <v>61.2</v>
      </c>
      <c r="J200" s="6">
        <f ca="1">IFERROR(__xludf.DUMMYFUNCTION("IFERROR(GOOGLEFINANCE(B200, ""volume""), 0)"),0)</f>
        <v>0</v>
      </c>
      <c r="K200" s="6">
        <v>4.97</v>
      </c>
      <c r="L200" s="6">
        <f ca="1">IFERROR(__xludf.DUMMYFUNCTION("IFERROR(GOOGLEFINANCE(B200,""changepct""),K200)"),4.97)</f>
        <v>4.97</v>
      </c>
      <c r="M200" s="6">
        <f ca="1">IFERROR(__xludf.DUMMYFUNCTION("IFERROR(GOOGLEFINANCE(B200,""change""),0)"),0)</f>
        <v>0</v>
      </c>
      <c r="N200" s="6">
        <v>1</v>
      </c>
      <c r="O200" s="7">
        <v>45536</v>
      </c>
      <c r="P200" s="6">
        <v>8.1</v>
      </c>
      <c r="Q200" s="6">
        <v>152.96</v>
      </c>
      <c r="R200" s="7">
        <v>45352</v>
      </c>
      <c r="S200" s="6">
        <v>83.43</v>
      </c>
      <c r="T200" s="6">
        <v>7.54</v>
      </c>
      <c r="U200" s="7">
        <v>45352</v>
      </c>
      <c r="V200" s="6">
        <v>19.2</v>
      </c>
      <c r="W200" s="6">
        <f ca="1">IFERROR(__xludf.DUMMYFUNCTION("IFERROR(GOOGLEFINANCE(B200,""pe""),V200)"),19.2)</f>
        <v>19.2</v>
      </c>
      <c r="X200" s="12"/>
      <c r="Y200" s="6">
        <v>2.67</v>
      </c>
      <c r="Z200" s="6">
        <v>1</v>
      </c>
      <c r="AA200" s="8">
        <v>45352</v>
      </c>
      <c r="AB200" s="4">
        <v>0.51</v>
      </c>
      <c r="AC200" s="6">
        <v>36.28</v>
      </c>
      <c r="AD200" s="6">
        <v>36.08</v>
      </c>
      <c r="AE200" s="1">
        <v>0</v>
      </c>
      <c r="AF200" s="1">
        <f ca="1">IFERROR(__xludf.DUMMYFUNCTION("IFERROR(GOOGLEFINANCE(TRIM(F200)&amp;"":"" &amp; TRIM(B200),""high52""),AE200)"),0)</f>
        <v>0</v>
      </c>
      <c r="AG200" s="1">
        <v>0</v>
      </c>
      <c r="AH200" s="1">
        <f ca="1">IFERROR(__xludf.DUMMYFUNCTION("IFERROR(GOOGLEFINANCE(TRIM(F200)&amp;"":"" &amp; TRIM(B200),""low52""),AE200)"),0)</f>
        <v>0</v>
      </c>
      <c r="AI200" s="1">
        <f ca="1">IFERROR(__xludf.DUMMYFUNCTION("IFERROR(GOOGLEFINANCE(B200,""eps""),0)"),0)</f>
        <v>0</v>
      </c>
      <c r="AJ200" s="1"/>
      <c r="AK200" s="1" t="s">
        <v>676</v>
      </c>
      <c r="AL200" s="9">
        <f t="shared" si="47"/>
        <v>1</v>
      </c>
    </row>
    <row r="201" spans="1:38" ht="15" x14ac:dyDescent="0.25">
      <c r="A201" s="1" t="s">
        <v>677</v>
      </c>
      <c r="B201" s="1" t="s">
        <v>678</v>
      </c>
      <c r="C201" s="1" t="s">
        <v>679</v>
      </c>
      <c r="D201" s="1" t="s">
        <v>679</v>
      </c>
      <c r="E201" s="6">
        <v>21963.96</v>
      </c>
      <c r="F201" s="1" t="s">
        <v>40</v>
      </c>
      <c r="G201" s="6">
        <f ca="1">IFERROR(__xludf.DUMMYFUNCTION("iferror(GOOGLEFINANCE(TRIM(F201)&amp;"":"" &amp; TRIM(B201), ""price""),0
)"),817)</f>
        <v>817</v>
      </c>
      <c r="H201" s="6">
        <v>1199.95</v>
      </c>
      <c r="I201" s="6">
        <f t="shared" ca="1" si="0"/>
        <v>817</v>
      </c>
      <c r="J201" s="6">
        <f ca="1">IFERROR(__xludf.DUMMYFUNCTION("IFERROR(GOOGLEFINANCE(B201, ""volume""), 0)"),390265)</f>
        <v>390265</v>
      </c>
      <c r="K201" s="6">
        <v>-0.02</v>
      </c>
      <c r="L201" s="6">
        <f ca="1">IFERROR(__xludf.DUMMYFUNCTION("IFERROR(GOOGLEFINANCE(B201,""changepct""),K201)"),-1.21)</f>
        <v>-1.21</v>
      </c>
      <c r="M201" s="6">
        <f ca="1">IFERROR(__xludf.DUMMYFUNCTION("IFERROR(GOOGLEFINANCE(B201,""change""),0)"),-10)</f>
        <v>-10</v>
      </c>
      <c r="N201" s="6">
        <v>2</v>
      </c>
      <c r="O201" s="7">
        <v>45536</v>
      </c>
      <c r="P201" s="6">
        <v>216.89</v>
      </c>
      <c r="Q201" s="6">
        <v>21990.32</v>
      </c>
      <c r="R201" s="7">
        <v>45536</v>
      </c>
      <c r="S201" s="6">
        <v>12465.56</v>
      </c>
      <c r="T201" s="6">
        <v>969.26</v>
      </c>
      <c r="U201" s="7">
        <v>45536</v>
      </c>
      <c r="V201" s="6">
        <v>22.66</v>
      </c>
      <c r="W201" s="6">
        <f ca="1">IFERROR(__xludf.DUMMYFUNCTION("IFERROR(GOOGLEFINANCE(B201,""pe""),V201)"),22.66)</f>
        <v>22.66</v>
      </c>
      <c r="X201" s="6">
        <v>1.61</v>
      </c>
      <c r="Y201" s="6">
        <v>3.02</v>
      </c>
      <c r="Z201" s="6">
        <v>2</v>
      </c>
      <c r="AA201" s="8">
        <v>45352</v>
      </c>
      <c r="AB201" s="4">
        <v>0.01</v>
      </c>
      <c r="AC201" s="6">
        <v>15.4</v>
      </c>
      <c r="AD201" s="6">
        <v>19.809999999999999</v>
      </c>
      <c r="AE201" s="1">
        <v>0</v>
      </c>
      <c r="AF201" s="1">
        <f ca="1">IFERROR(__xludf.DUMMYFUNCTION("IFERROR(GOOGLEFINANCE(TRIM(F201)&amp;"":"" &amp; TRIM(B201),""high52""),AE201)"),1109)</f>
        <v>1109</v>
      </c>
      <c r="AG201" s="1">
        <v>0</v>
      </c>
      <c r="AH201" s="1">
        <f ca="1">IFERROR(__xludf.DUMMYFUNCTION("IFERROR(GOOGLEFINANCE(TRIM(F201)&amp;"":"" &amp; TRIM(B201),""low52""),AE201)"),810.1)</f>
        <v>810.1</v>
      </c>
      <c r="AI201" s="1">
        <f ca="1">IFERROR(__xludf.DUMMYFUNCTION("IFERROR(GOOGLEFINANCE(B201,""eps""),0)"),0)</f>
        <v>0</v>
      </c>
      <c r="AJ201" s="1"/>
      <c r="AK201" s="1" t="s">
        <v>680</v>
      </c>
      <c r="AL201" s="1" t="b">
        <f t="shared" ref="AL201:AL205" si="48">ISNUMBER(AA201)</f>
        <v>1</v>
      </c>
    </row>
    <row r="202" spans="1:38" ht="15" x14ac:dyDescent="0.25">
      <c r="A202" s="1" t="s">
        <v>681</v>
      </c>
      <c r="B202" s="1" t="s">
        <v>682</v>
      </c>
      <c r="C202" s="1" t="s">
        <v>669</v>
      </c>
      <c r="D202" s="1" t="s">
        <v>669</v>
      </c>
      <c r="E202" s="6">
        <v>999.24</v>
      </c>
      <c r="F202" s="1" t="s">
        <v>53</v>
      </c>
      <c r="G202" s="6">
        <f ca="1">IFERROR(__xludf.DUMMYFUNCTION("iferror(GOOGLEFINANCE(TRIM(F202)&amp;"":"" &amp; TRIM(B202), ""price""),0
)"),0)</f>
        <v>0</v>
      </c>
      <c r="H202" s="6">
        <v>38.39</v>
      </c>
      <c r="I202" s="6">
        <f t="shared" ca="1" si="0"/>
        <v>38.39</v>
      </c>
      <c r="J202" s="6">
        <f ca="1">IFERROR(__xludf.DUMMYFUNCTION("IFERROR(GOOGLEFINANCE(B202, ""volume""), 0)"),0)</f>
        <v>0</v>
      </c>
      <c r="K202" s="6">
        <v>0.16</v>
      </c>
      <c r="L202" s="6">
        <f ca="1">IFERROR(__xludf.DUMMYFUNCTION("IFERROR(GOOGLEFINANCE(B202,""changepct""),K202)"),0.16)</f>
        <v>0.16</v>
      </c>
      <c r="M202" s="6">
        <f ca="1">IFERROR(__xludf.DUMMYFUNCTION("IFERROR(GOOGLEFINANCE(B202,""change""),0)"),0)</f>
        <v>0</v>
      </c>
      <c r="N202" s="6">
        <v>2</v>
      </c>
      <c r="O202" s="7">
        <v>45536</v>
      </c>
      <c r="P202" s="6">
        <v>175.16</v>
      </c>
      <c r="Q202" s="6">
        <v>1144.8399999999999</v>
      </c>
      <c r="R202" s="7">
        <v>45536</v>
      </c>
      <c r="S202" s="6">
        <v>344</v>
      </c>
      <c r="T202" s="6">
        <v>5.41</v>
      </c>
      <c r="U202" s="7">
        <v>45536</v>
      </c>
      <c r="V202" s="6">
        <v>184.74</v>
      </c>
      <c r="W202" s="6">
        <f ca="1">IFERROR(__xludf.DUMMYFUNCTION("IFERROR(GOOGLEFINANCE(B202,""pe""),V202)"),184.74)</f>
        <v>184.74</v>
      </c>
      <c r="X202" s="6">
        <v>1.31</v>
      </c>
      <c r="Y202" s="6">
        <v>10.27</v>
      </c>
      <c r="Z202" s="6">
        <v>2</v>
      </c>
      <c r="AA202" s="8">
        <v>45352</v>
      </c>
      <c r="AB202" s="4">
        <v>0.82</v>
      </c>
      <c r="AC202" s="6">
        <v>14.18</v>
      </c>
      <c r="AD202" s="6">
        <v>17.7</v>
      </c>
      <c r="AE202" s="1">
        <v>0</v>
      </c>
      <c r="AF202" s="1">
        <f ca="1">IFERROR(__xludf.DUMMYFUNCTION("IFERROR(GOOGLEFINANCE(TRIM(F202)&amp;"":"" &amp; TRIM(B202),""high52""),AE202)"),0)</f>
        <v>0</v>
      </c>
      <c r="AG202" s="1">
        <v>0</v>
      </c>
      <c r="AH202" s="1">
        <f ca="1">IFERROR(__xludf.DUMMYFUNCTION("IFERROR(GOOGLEFINANCE(TRIM(F202)&amp;"":"" &amp; TRIM(B202),""low52""),AE202)"),0)</f>
        <v>0</v>
      </c>
      <c r="AI202" s="1">
        <f ca="1">IFERROR(__xludf.DUMMYFUNCTION("IFERROR(GOOGLEFINANCE(B202,""eps""),0)"),0)</f>
        <v>0</v>
      </c>
      <c r="AJ202" s="1"/>
      <c r="AK202" s="1" t="s">
        <v>683</v>
      </c>
      <c r="AL202" s="1" t="b">
        <f t="shared" si="48"/>
        <v>1</v>
      </c>
    </row>
    <row r="203" spans="1:38" ht="15" x14ac:dyDescent="0.25">
      <c r="A203" s="1" t="s">
        <v>684</v>
      </c>
      <c r="B203" s="1" t="s">
        <v>685</v>
      </c>
      <c r="C203" s="1" t="s">
        <v>135</v>
      </c>
      <c r="D203" s="1" t="s">
        <v>135</v>
      </c>
      <c r="E203" s="6">
        <v>110.28</v>
      </c>
      <c r="F203" s="1" t="s">
        <v>40</v>
      </c>
      <c r="G203" s="6">
        <f ca="1">IFERROR(__xludf.DUMMYFUNCTION("iferror(GOOGLEFINANCE(TRIM(F203)&amp;"":"" &amp; TRIM(B203), ""price""),0
)"),0)</f>
        <v>0</v>
      </c>
      <c r="H203" s="6">
        <v>144</v>
      </c>
      <c r="I203" s="6">
        <f t="shared" ca="1" si="0"/>
        <v>144</v>
      </c>
      <c r="J203" s="6">
        <f ca="1">IFERROR(__xludf.DUMMYFUNCTION("IFERROR(GOOGLEFINANCE(B203, ""volume""), 0)"),0)</f>
        <v>0</v>
      </c>
      <c r="K203" s="9"/>
      <c r="L203" s="6" t="str">
        <f ca="1">IFERROR(__xludf.DUMMYFUNCTION("IFERROR(GOOGLEFINANCE(B203,""changepct""),K203)"),"")</f>
        <v/>
      </c>
      <c r="M203" s="6">
        <f ca="1">IFERROR(__xludf.DUMMYFUNCTION("IFERROR(GOOGLEFINANCE(B203,""change""),0)"),0)</f>
        <v>0</v>
      </c>
      <c r="N203" s="6">
        <v>1</v>
      </c>
      <c r="O203" s="7">
        <v>45536</v>
      </c>
      <c r="P203" s="6">
        <v>66.31</v>
      </c>
      <c r="Q203" s="6">
        <v>176.6</v>
      </c>
      <c r="R203" s="7">
        <v>45352</v>
      </c>
      <c r="S203" s="6">
        <v>136.68</v>
      </c>
      <c r="T203" s="6">
        <v>3</v>
      </c>
      <c r="U203" s="7">
        <v>45352</v>
      </c>
      <c r="V203" s="6">
        <v>36.71</v>
      </c>
      <c r="W203" s="6">
        <f ca="1">IFERROR(__xludf.DUMMYFUNCTION("IFERROR(GOOGLEFINANCE(B203,""pe""),V203)"),36.71)</f>
        <v>36.71</v>
      </c>
      <c r="X203" s="12"/>
      <c r="Y203" s="6">
        <v>2.76</v>
      </c>
      <c r="Z203" s="6">
        <v>2</v>
      </c>
      <c r="AA203" s="8">
        <v>45352</v>
      </c>
      <c r="AB203" s="4">
        <v>1.22</v>
      </c>
      <c r="AC203" s="6">
        <v>8.5399999999999991</v>
      </c>
      <c r="AD203" s="6">
        <v>6.7</v>
      </c>
      <c r="AE203" s="1">
        <v>0</v>
      </c>
      <c r="AF203" s="1">
        <f ca="1">IFERROR(__xludf.DUMMYFUNCTION("IFERROR(GOOGLEFINANCE(TRIM(F203)&amp;"":"" &amp; TRIM(B203),""high52""),AE203)"),0)</f>
        <v>0</v>
      </c>
      <c r="AG203" s="1">
        <v>0</v>
      </c>
      <c r="AH203" s="1">
        <f ca="1">IFERROR(__xludf.DUMMYFUNCTION("IFERROR(GOOGLEFINANCE(TRIM(F203)&amp;"":"" &amp; TRIM(B203),""low52""),AE203)"),0)</f>
        <v>0</v>
      </c>
      <c r="AI203" s="1">
        <f ca="1">IFERROR(__xludf.DUMMYFUNCTION("IFERROR(GOOGLEFINANCE(B203,""eps""),0)"),0)</f>
        <v>0</v>
      </c>
      <c r="AJ203" s="1"/>
      <c r="AK203" s="1" t="s">
        <v>686</v>
      </c>
      <c r="AL203" s="1" t="b">
        <f t="shared" si="48"/>
        <v>1</v>
      </c>
    </row>
    <row r="204" spans="1:38" ht="15" x14ac:dyDescent="0.25">
      <c r="A204" s="1" t="s">
        <v>687</v>
      </c>
      <c r="B204" s="1" t="s">
        <v>688</v>
      </c>
      <c r="C204" s="1" t="s">
        <v>689</v>
      </c>
      <c r="D204" s="1" t="s">
        <v>689</v>
      </c>
      <c r="E204" s="6">
        <v>25505.97</v>
      </c>
      <c r="F204" s="1" t="s">
        <v>40</v>
      </c>
      <c r="G204" s="6">
        <f ca="1">IFERROR(__xludf.DUMMYFUNCTION("iferror(GOOGLEFINANCE(TRIM(F204)&amp;"":"" &amp; TRIM(B204), ""price""),0
)"),6000)</f>
        <v>6000</v>
      </c>
      <c r="H204" s="6">
        <v>7793.05</v>
      </c>
      <c r="I204" s="6">
        <f t="shared" ca="1" si="0"/>
        <v>6000</v>
      </c>
      <c r="J204" s="6">
        <f ca="1">IFERROR(__xludf.DUMMYFUNCTION("IFERROR(GOOGLEFINANCE(B204, ""volume""), 0)"),380630)</f>
        <v>380630</v>
      </c>
      <c r="K204" s="6">
        <v>3.3</v>
      </c>
      <c r="L204" s="6">
        <f ca="1">IFERROR(__xludf.DUMMYFUNCTION("IFERROR(GOOGLEFINANCE(B204,""changepct""),K204)"),0.12)</f>
        <v>0.12</v>
      </c>
      <c r="M204" s="6">
        <f ca="1">IFERROR(__xludf.DUMMYFUNCTION("IFERROR(GOOGLEFINANCE(B204,""change""),0)"),7)</f>
        <v>7</v>
      </c>
      <c r="N204" s="6">
        <v>2</v>
      </c>
      <c r="O204" s="7">
        <v>45536</v>
      </c>
      <c r="P204" s="6">
        <v>1944.06</v>
      </c>
      <c r="Q204" s="6">
        <v>26923.63</v>
      </c>
      <c r="R204" s="7">
        <v>45536</v>
      </c>
      <c r="S204" s="6">
        <v>8186.21</v>
      </c>
      <c r="T204" s="6">
        <v>204.8</v>
      </c>
      <c r="U204" s="7">
        <v>45536</v>
      </c>
      <c r="V204" s="6">
        <v>137.28</v>
      </c>
      <c r="W204" s="6">
        <f ca="1">IFERROR(__xludf.DUMMYFUNCTION("IFERROR(GOOGLEFINANCE(B204,""pe""),V204)"),91)</f>
        <v>91</v>
      </c>
      <c r="X204" s="6">
        <v>18.93</v>
      </c>
      <c r="Y204" s="6">
        <v>12.09</v>
      </c>
      <c r="Z204" s="6">
        <v>2</v>
      </c>
      <c r="AA204" s="8">
        <v>45352</v>
      </c>
      <c r="AB204" s="4">
        <v>0.72</v>
      </c>
      <c r="AC204" s="6">
        <v>7.21</v>
      </c>
      <c r="AD204" s="6">
        <v>10.62</v>
      </c>
      <c r="AE204" s="1">
        <v>0</v>
      </c>
      <c r="AF204" s="1">
        <f ca="1">IFERROR(__xludf.DUMMYFUNCTION("IFERROR(GOOGLEFINANCE(TRIM(F204)&amp;"":"" &amp; TRIM(B204),""high52""),AE204)"),8626)</f>
        <v>8626</v>
      </c>
      <c r="AG204" s="1">
        <v>0</v>
      </c>
      <c r="AH204" s="1">
        <f ca="1">IFERROR(__xludf.DUMMYFUNCTION("IFERROR(GOOGLEFINANCE(TRIM(F204)&amp;"":"" &amp; TRIM(B204),""low52""),AE204)"),5235)</f>
        <v>5235</v>
      </c>
      <c r="AI204" s="1">
        <f ca="1">IFERROR(__xludf.DUMMYFUNCTION("IFERROR(GOOGLEFINANCE(B204,""eps""),0)"),65.93)</f>
        <v>65.930000000000007</v>
      </c>
      <c r="AJ204" s="1"/>
      <c r="AK204" s="1" t="s">
        <v>690</v>
      </c>
      <c r="AL204" s="1" t="b">
        <f t="shared" si="48"/>
        <v>1</v>
      </c>
    </row>
    <row r="205" spans="1:38" ht="15" x14ac:dyDescent="0.25">
      <c r="A205" s="1" t="s">
        <v>691</v>
      </c>
      <c r="B205" s="1" t="s">
        <v>692</v>
      </c>
      <c r="C205" s="1" t="s">
        <v>693</v>
      </c>
      <c r="D205" s="1" t="s">
        <v>693</v>
      </c>
      <c r="E205" s="6">
        <v>326.60000000000002</v>
      </c>
      <c r="F205" s="1" t="s">
        <v>53</v>
      </c>
      <c r="G205" s="6">
        <f ca="1">IFERROR(__xludf.DUMMYFUNCTION("iferror(GOOGLEFINANCE(TRIM(F205)&amp;"":"" &amp; TRIM(B205), ""price""),0
)"),0)</f>
        <v>0</v>
      </c>
      <c r="H205" s="6">
        <v>535</v>
      </c>
      <c r="I205" s="6">
        <f t="shared" ca="1" si="0"/>
        <v>535</v>
      </c>
      <c r="J205" s="6">
        <f ca="1">IFERROR(__xludf.DUMMYFUNCTION("IFERROR(GOOGLEFINANCE(B205, ""volume""), 0)"),0)</f>
        <v>0</v>
      </c>
      <c r="K205" s="6">
        <v>0.68</v>
      </c>
      <c r="L205" s="6">
        <f ca="1">IFERROR(__xludf.DUMMYFUNCTION("IFERROR(GOOGLEFINANCE(B205,""changepct""),K205)"),0.68)</f>
        <v>0.68</v>
      </c>
      <c r="M205" s="6">
        <f ca="1">IFERROR(__xludf.DUMMYFUNCTION("IFERROR(GOOGLEFINANCE(B205,""change""),0)"),0)</f>
        <v>0</v>
      </c>
      <c r="N205" s="6">
        <v>2</v>
      </c>
      <c r="O205" s="7">
        <v>45536</v>
      </c>
      <c r="P205" s="6">
        <v>331.4</v>
      </c>
      <c r="Q205" s="6">
        <v>647.23</v>
      </c>
      <c r="R205" s="7">
        <v>45352</v>
      </c>
      <c r="S205" s="6">
        <v>2117.2800000000002</v>
      </c>
      <c r="T205" s="6">
        <v>27.56</v>
      </c>
      <c r="U205" s="7">
        <v>45352</v>
      </c>
      <c r="V205" s="6">
        <v>11.85</v>
      </c>
      <c r="W205" s="6">
        <f ca="1">IFERROR(__xludf.DUMMYFUNCTION("IFERROR(GOOGLEFINANCE(B205,""pe""),V205)"),11.85)</f>
        <v>11.85</v>
      </c>
      <c r="X205" s="9"/>
      <c r="Y205" s="6">
        <v>0.93</v>
      </c>
      <c r="Z205" s="6">
        <v>2</v>
      </c>
      <c r="AA205" s="8">
        <v>45352</v>
      </c>
      <c r="AB205" s="4">
        <v>0.77</v>
      </c>
      <c r="AC205" s="6">
        <v>8.0500000000000007</v>
      </c>
      <c r="AD205" s="6">
        <v>10.24</v>
      </c>
      <c r="AE205" s="1">
        <v>0</v>
      </c>
      <c r="AF205" s="1">
        <f ca="1">IFERROR(__xludf.DUMMYFUNCTION("IFERROR(GOOGLEFINANCE(TRIM(F205)&amp;"":"" &amp; TRIM(B205),""high52""),AE205)"),0)</f>
        <v>0</v>
      </c>
      <c r="AG205" s="1">
        <v>0</v>
      </c>
      <c r="AH205" s="1">
        <f ca="1">IFERROR(__xludf.DUMMYFUNCTION("IFERROR(GOOGLEFINANCE(TRIM(F205)&amp;"":"" &amp; TRIM(B205),""low52""),AE205)"),0)</f>
        <v>0</v>
      </c>
      <c r="AI205" s="1">
        <f ca="1">IFERROR(__xludf.DUMMYFUNCTION("IFERROR(GOOGLEFINANCE(B205,""eps""),0)"),0)</f>
        <v>0</v>
      </c>
      <c r="AJ205" s="1"/>
      <c r="AK205" s="1" t="s">
        <v>694</v>
      </c>
      <c r="AL205" s="1" t="b">
        <f t="shared" si="48"/>
        <v>1</v>
      </c>
    </row>
    <row r="206" spans="1:38" ht="15" x14ac:dyDescent="0.25">
      <c r="A206" s="1" t="s">
        <v>695</v>
      </c>
      <c r="B206" s="1" t="s">
        <v>696</v>
      </c>
      <c r="C206" s="1" t="s">
        <v>697</v>
      </c>
      <c r="D206" s="1" t="s">
        <v>697</v>
      </c>
      <c r="E206" s="6">
        <v>171.14</v>
      </c>
      <c r="F206" s="1" t="s">
        <v>40</v>
      </c>
      <c r="G206" s="6">
        <f ca="1">IFERROR(__xludf.DUMMYFUNCTION("iferror(GOOGLEFINANCE(TRIM(F206)&amp;"":"" &amp; TRIM(B206), ""price""),0
)"),0)</f>
        <v>0</v>
      </c>
      <c r="H206" s="6">
        <v>68.599999999999994</v>
      </c>
      <c r="I206" s="6">
        <f t="shared" ca="1" si="0"/>
        <v>68.599999999999994</v>
      </c>
      <c r="J206" s="6">
        <f ca="1">IFERROR(__xludf.DUMMYFUNCTION("IFERROR(GOOGLEFINANCE(B206, ""volume""), 0)"),0)</f>
        <v>0</v>
      </c>
      <c r="K206" s="9"/>
      <c r="L206" s="6" t="str">
        <f ca="1">IFERROR(__xludf.DUMMYFUNCTION("IFERROR(GOOGLEFINANCE(B206,""changepct""),K206)"),"")</f>
        <v/>
      </c>
      <c r="M206" s="6">
        <f ca="1">IFERROR(__xludf.DUMMYFUNCTION("IFERROR(GOOGLEFINANCE(B206,""change""),0)"),0)</f>
        <v>0</v>
      </c>
      <c r="N206" s="6">
        <v>1</v>
      </c>
      <c r="O206" s="7">
        <v>45536</v>
      </c>
      <c r="P206" s="6">
        <v>27.99</v>
      </c>
      <c r="Q206" s="6">
        <v>199.13</v>
      </c>
      <c r="R206" s="7">
        <v>45352</v>
      </c>
      <c r="S206" s="6">
        <v>120.47</v>
      </c>
      <c r="T206" s="6">
        <v>7.72</v>
      </c>
      <c r="U206" s="7">
        <v>45352</v>
      </c>
      <c r="V206" s="6">
        <v>22.16</v>
      </c>
      <c r="W206" s="6">
        <f ca="1">IFERROR(__xludf.DUMMYFUNCTION("IFERROR(GOOGLEFINANCE(B206,""pe""),V206)"),22.16)</f>
        <v>22.16</v>
      </c>
      <c r="X206" s="9"/>
      <c r="Y206" s="6">
        <v>2.62</v>
      </c>
      <c r="Z206" s="6">
        <v>1</v>
      </c>
      <c r="AA206" s="8">
        <v>45352</v>
      </c>
      <c r="AB206" s="4">
        <v>1.41</v>
      </c>
      <c r="AC206" s="6">
        <v>52.08</v>
      </c>
      <c r="AD206" s="6">
        <v>21.4</v>
      </c>
      <c r="AE206" s="1">
        <v>0</v>
      </c>
      <c r="AF206" s="1">
        <f ca="1">IFERROR(__xludf.DUMMYFUNCTION("IFERROR(GOOGLEFINANCE(TRIM(F206)&amp;"":"" &amp; TRIM(B206),""high52""),AE206)"),0)</f>
        <v>0</v>
      </c>
      <c r="AG206" s="1">
        <v>0</v>
      </c>
      <c r="AH206" s="1">
        <f ca="1">IFERROR(__xludf.DUMMYFUNCTION("IFERROR(GOOGLEFINANCE(TRIM(F206)&amp;"":"" &amp; TRIM(B206),""low52""),AE206)"),0)</f>
        <v>0</v>
      </c>
      <c r="AI206" s="1">
        <f ca="1">IFERROR(__xludf.DUMMYFUNCTION("IFERROR(GOOGLEFINANCE(B206,""eps""),0)"),0)</f>
        <v>0</v>
      </c>
      <c r="AJ206" s="1"/>
      <c r="AK206" s="1" t="s">
        <v>698</v>
      </c>
      <c r="AL206" s="9">
        <f>IF(AA206&lt;&gt;AB206,1,0)</f>
        <v>1</v>
      </c>
    </row>
    <row r="207" spans="1:38" ht="15" x14ac:dyDescent="0.25">
      <c r="A207" s="1" t="s">
        <v>699</v>
      </c>
      <c r="B207" s="1" t="s">
        <v>700</v>
      </c>
      <c r="C207" s="1" t="s">
        <v>693</v>
      </c>
      <c r="D207" s="1" t="s">
        <v>693</v>
      </c>
      <c r="E207" s="6">
        <v>13.38</v>
      </c>
      <c r="F207" s="1" t="s">
        <v>53</v>
      </c>
      <c r="G207" s="6">
        <f ca="1">IFERROR(__xludf.DUMMYFUNCTION("iferror(GOOGLEFINANCE(TRIM(F207)&amp;"":"" &amp; TRIM(B207), ""price""),0
)"),0)</f>
        <v>0</v>
      </c>
      <c r="H207" s="6">
        <v>12.3</v>
      </c>
      <c r="I207" s="6">
        <f t="shared" ca="1" si="0"/>
        <v>12.3</v>
      </c>
      <c r="J207" s="6">
        <f ca="1">IFERROR(__xludf.DUMMYFUNCTION("IFERROR(GOOGLEFINANCE(B207, ""volume""), 0)"),0)</f>
        <v>0</v>
      </c>
      <c r="K207" s="6">
        <v>-3.3</v>
      </c>
      <c r="L207" s="6">
        <f ca="1">IFERROR(__xludf.DUMMYFUNCTION("IFERROR(GOOGLEFINANCE(B207,""changepct""),K207)"),-3.3)</f>
        <v>-3.3</v>
      </c>
      <c r="M207" s="6">
        <f ca="1">IFERROR(__xludf.DUMMYFUNCTION("IFERROR(GOOGLEFINANCE(B207,""change""),0)"),0)</f>
        <v>0</v>
      </c>
      <c r="N207" s="6">
        <v>1</v>
      </c>
      <c r="O207" s="7">
        <v>45536</v>
      </c>
      <c r="P207" s="6">
        <v>0.13</v>
      </c>
      <c r="Q207" s="6">
        <v>13.51</v>
      </c>
      <c r="R207" s="7">
        <v>45536</v>
      </c>
      <c r="S207" s="6">
        <v>1.45</v>
      </c>
      <c r="T207" s="6">
        <v>0.28000000000000003</v>
      </c>
      <c r="U207" s="7">
        <v>45536</v>
      </c>
      <c r="V207" s="6">
        <v>47.79</v>
      </c>
      <c r="W207" s="6">
        <f ca="1">IFERROR(__xludf.DUMMYFUNCTION("IFERROR(GOOGLEFINANCE(B207,""pe""),V207)"),47.79)</f>
        <v>47.79</v>
      </c>
      <c r="X207" s="12"/>
      <c r="Y207" s="6">
        <v>2.15</v>
      </c>
      <c r="Z207" s="6">
        <v>2</v>
      </c>
      <c r="AA207" s="8">
        <v>44986</v>
      </c>
      <c r="AB207" s="4">
        <v>1</v>
      </c>
      <c r="AC207" s="6">
        <v>-1.75</v>
      </c>
      <c r="AD207" s="6">
        <v>-0.82</v>
      </c>
      <c r="AE207" s="1">
        <v>0</v>
      </c>
      <c r="AF207" s="1">
        <f ca="1">IFERROR(__xludf.DUMMYFUNCTION("IFERROR(GOOGLEFINANCE(TRIM(F207)&amp;"":"" &amp; TRIM(B207),""high52""),AE207)"),0)</f>
        <v>0</v>
      </c>
      <c r="AG207" s="1">
        <v>0</v>
      </c>
      <c r="AH207" s="1">
        <f ca="1">IFERROR(__xludf.DUMMYFUNCTION("IFERROR(GOOGLEFINANCE(TRIM(F207)&amp;"":"" &amp; TRIM(B207),""low52""),AE207)"),0)</f>
        <v>0</v>
      </c>
      <c r="AI207" s="1">
        <f ca="1">IFERROR(__xludf.DUMMYFUNCTION("IFERROR(GOOGLEFINANCE(B207,""eps""),0)"),0)</f>
        <v>0</v>
      </c>
      <c r="AJ207" s="1"/>
      <c r="AK207" s="1" t="s">
        <v>701</v>
      </c>
      <c r="AL207" s="1" t="b">
        <f>ISNUMBER(AA207)</f>
        <v>1</v>
      </c>
    </row>
    <row r="208" spans="1:38" ht="15" x14ac:dyDescent="0.25">
      <c r="A208" s="1" t="s">
        <v>702</v>
      </c>
      <c r="B208" s="1" t="s">
        <v>703</v>
      </c>
      <c r="C208" s="1" t="s">
        <v>151</v>
      </c>
      <c r="D208" s="1" t="s">
        <v>151</v>
      </c>
      <c r="E208" s="6">
        <v>55.74</v>
      </c>
      <c r="F208" s="1" t="s">
        <v>40</v>
      </c>
      <c r="G208" s="6">
        <f ca="1">IFERROR(__xludf.DUMMYFUNCTION("iferror(GOOGLEFINANCE(TRIM(F208)&amp;"":"" &amp; TRIM(B208), ""price""),0
)"),23.23)</f>
        <v>23.23</v>
      </c>
      <c r="H208" s="6">
        <v>31.72</v>
      </c>
      <c r="I208" s="6">
        <f t="shared" ca="1" si="0"/>
        <v>23.23</v>
      </c>
      <c r="J208" s="6">
        <f ca="1">IFERROR(__xludf.DUMMYFUNCTION("IFERROR(GOOGLEFINANCE(B208, ""volume""), 0)"),477)</f>
        <v>477</v>
      </c>
      <c r="K208" s="6">
        <v>-1.7</v>
      </c>
      <c r="L208" s="6">
        <f ca="1">IFERROR(__xludf.DUMMYFUNCTION("IFERROR(GOOGLEFINANCE(B208,""changepct""),K208)"),-1.15)</f>
        <v>-1.1499999999999999</v>
      </c>
      <c r="M208" s="6">
        <f ca="1">IFERROR(__xludf.DUMMYFUNCTION("IFERROR(GOOGLEFINANCE(B208,""change""),0)"),-0.27)</f>
        <v>-0.27</v>
      </c>
      <c r="N208" s="6">
        <v>1</v>
      </c>
      <c r="O208" s="7">
        <v>45536</v>
      </c>
      <c r="P208" s="6">
        <v>82.5</v>
      </c>
      <c r="Q208" s="6">
        <v>138.24</v>
      </c>
      <c r="R208" s="7">
        <v>45536</v>
      </c>
      <c r="S208" s="6">
        <v>108.81</v>
      </c>
      <c r="T208" s="6">
        <v>5.98</v>
      </c>
      <c r="U208" s="7">
        <v>45536</v>
      </c>
      <c r="V208" s="6">
        <v>9.32</v>
      </c>
      <c r="W208" s="6">
        <f ca="1">IFERROR(__xludf.DUMMYFUNCTION("IFERROR(GOOGLEFINANCE(B208,""pe""),V208)"),79.91)</f>
        <v>79.91</v>
      </c>
      <c r="X208" s="14"/>
      <c r="Y208" s="6">
        <v>0.54</v>
      </c>
      <c r="Z208" s="6">
        <v>1</v>
      </c>
      <c r="AA208" s="8">
        <v>45352</v>
      </c>
      <c r="AB208" s="4">
        <v>0.66</v>
      </c>
      <c r="AC208" s="6">
        <v>-3.55</v>
      </c>
      <c r="AD208" s="6">
        <v>5.13</v>
      </c>
      <c r="AE208" s="1">
        <v>0</v>
      </c>
      <c r="AF208" s="1">
        <f ca="1">IFERROR(__xludf.DUMMYFUNCTION("IFERROR(GOOGLEFINANCE(TRIM(F208)&amp;"":"" &amp; TRIM(B208),""high52""),AE208)"),36.95)</f>
        <v>36.950000000000003</v>
      </c>
      <c r="AG208" s="1">
        <v>0</v>
      </c>
      <c r="AH208" s="1">
        <f ca="1">IFERROR(__xludf.DUMMYFUNCTION("IFERROR(GOOGLEFINANCE(TRIM(F208)&amp;"":"" &amp; TRIM(B208),""low52""),AE208)"),22.9)</f>
        <v>22.9</v>
      </c>
      <c r="AI208" s="1">
        <f ca="1">IFERROR(__xludf.DUMMYFUNCTION("IFERROR(GOOGLEFINANCE(B208,""eps""),0)"),0.29)</f>
        <v>0.28999999999999998</v>
      </c>
      <c r="AJ208" s="1"/>
      <c r="AK208" s="9"/>
      <c r="AL208" s="9">
        <f t="shared" ref="AL208:AL209" si="49">IF(AA208&lt;&gt;AB208,1,0)</f>
        <v>1</v>
      </c>
    </row>
    <row r="209" spans="1:38" ht="15" x14ac:dyDescent="0.25">
      <c r="A209" s="1" t="s">
        <v>704</v>
      </c>
      <c r="B209" s="1" t="s">
        <v>705</v>
      </c>
      <c r="C209" s="1" t="s">
        <v>706</v>
      </c>
      <c r="D209" s="1" t="s">
        <v>706</v>
      </c>
      <c r="E209" s="6">
        <v>945.46</v>
      </c>
      <c r="F209" s="1" t="s">
        <v>40</v>
      </c>
      <c r="G209" s="6">
        <f ca="1">IFERROR(__xludf.DUMMYFUNCTION("iferror(GOOGLEFINANCE(TRIM(F209)&amp;"":"" &amp; TRIM(B209), ""price""),0
)"),1262)</f>
        <v>1262</v>
      </c>
      <c r="H209" s="6">
        <v>1743</v>
      </c>
      <c r="I209" s="6">
        <f t="shared" ca="1" si="0"/>
        <v>1262</v>
      </c>
      <c r="J209" s="6">
        <f ca="1">IFERROR(__xludf.DUMMYFUNCTION("IFERROR(GOOGLEFINANCE(B209, ""volume""), 0)"),8317)</f>
        <v>8317</v>
      </c>
      <c r="K209" s="6">
        <v>6.24</v>
      </c>
      <c r="L209" s="6">
        <f ca="1">IFERROR(__xludf.DUMMYFUNCTION("IFERROR(GOOGLEFINANCE(B209,""changepct""),K209)"),2.05)</f>
        <v>2.0499999999999998</v>
      </c>
      <c r="M209" s="6">
        <f ca="1">IFERROR(__xludf.DUMMYFUNCTION("IFERROR(GOOGLEFINANCE(B209,""change""),0)"),25.4)</f>
        <v>25.4</v>
      </c>
      <c r="N209" s="6">
        <v>1</v>
      </c>
      <c r="O209" s="7">
        <v>45536</v>
      </c>
      <c r="P209" s="9"/>
      <c r="Q209" s="6">
        <v>727.72</v>
      </c>
      <c r="R209" s="7">
        <v>45536</v>
      </c>
      <c r="S209" s="6">
        <v>811.6</v>
      </c>
      <c r="T209" s="6">
        <v>64.709999999999994</v>
      </c>
      <c r="U209" s="7">
        <v>45536</v>
      </c>
      <c r="V209" s="6">
        <v>14.61</v>
      </c>
      <c r="W209" s="6">
        <f ca="1">IFERROR(__xludf.DUMMYFUNCTION("IFERROR(GOOGLEFINANCE(B209,""pe""),V209)"),11.65)</f>
        <v>11.65</v>
      </c>
      <c r="X209" s="6">
        <v>-243.51</v>
      </c>
      <c r="Y209" s="6">
        <v>1.06</v>
      </c>
      <c r="Z209" s="6">
        <v>1</v>
      </c>
      <c r="AA209" s="13">
        <v>45352</v>
      </c>
      <c r="AB209" s="4">
        <v>0.1</v>
      </c>
      <c r="AC209" s="6">
        <v>7.52</v>
      </c>
      <c r="AD209" s="6">
        <v>12.02</v>
      </c>
      <c r="AE209" s="1">
        <v>0</v>
      </c>
      <c r="AF209" s="1">
        <f ca="1">IFERROR(__xludf.DUMMYFUNCTION("IFERROR(GOOGLEFINANCE(TRIM(F209)&amp;"":"" &amp; TRIM(B209),""high52""),AE209)"),1700)</f>
        <v>1700</v>
      </c>
      <c r="AG209" s="1">
        <v>0</v>
      </c>
      <c r="AH209" s="1">
        <f ca="1">IFERROR(__xludf.DUMMYFUNCTION("IFERROR(GOOGLEFINANCE(TRIM(F209)&amp;"":"" &amp; TRIM(B209),""low52""),AE209)"),1101)</f>
        <v>1101</v>
      </c>
      <c r="AI209" s="1">
        <f ca="1">IFERROR(__xludf.DUMMYFUNCTION("IFERROR(GOOGLEFINANCE(B209,""eps""),0)"),108.3)</f>
        <v>108.3</v>
      </c>
      <c r="AJ209" s="1"/>
      <c r="AK209" s="1" t="s">
        <v>707</v>
      </c>
      <c r="AL209" s="9">
        <f t="shared" si="49"/>
        <v>1</v>
      </c>
    </row>
    <row r="210" spans="1:38" ht="15" x14ac:dyDescent="0.25">
      <c r="A210" s="1" t="s">
        <v>708</v>
      </c>
      <c r="B210" s="1" t="s">
        <v>709</v>
      </c>
      <c r="C210" s="1" t="s">
        <v>239</v>
      </c>
      <c r="D210" s="1" t="s">
        <v>239</v>
      </c>
      <c r="E210" s="6">
        <v>135434.79999999999</v>
      </c>
      <c r="F210" s="1" t="s">
        <v>40</v>
      </c>
      <c r="G210" s="6">
        <f ca="1">IFERROR(__xludf.DUMMYFUNCTION("iferror(GOOGLEFINANCE(TRIM(F210)&amp;"":"" &amp; TRIM(B210), ""price""),0
)"),510.55)</f>
        <v>510.55</v>
      </c>
      <c r="H210" s="6">
        <v>548.70000000000005</v>
      </c>
      <c r="I210" s="6">
        <f t="shared" ca="1" si="0"/>
        <v>510.55</v>
      </c>
      <c r="J210" s="6">
        <f ca="1">IFERROR(__xludf.DUMMYFUNCTION("IFERROR(GOOGLEFINANCE(B210, ""volume""), 0)"),2967802)</f>
        <v>2967802</v>
      </c>
      <c r="K210" s="6">
        <v>-0.21</v>
      </c>
      <c r="L210" s="6">
        <f ca="1">IFERROR(__xludf.DUMMYFUNCTION("IFERROR(GOOGLEFINANCE(B210,""changepct""),K210)"),2.65)</f>
        <v>2.65</v>
      </c>
      <c r="M210" s="6">
        <f ca="1">IFERROR(__xludf.DUMMYFUNCTION("IFERROR(GOOGLEFINANCE(B210,""change""),0)"),13.2)</f>
        <v>13.2</v>
      </c>
      <c r="N210" s="6">
        <v>2</v>
      </c>
      <c r="O210" s="7">
        <v>45536</v>
      </c>
      <c r="P210" s="6">
        <v>40.520000000000003</v>
      </c>
      <c r="Q210" s="6">
        <v>128808.8</v>
      </c>
      <c r="R210" s="7">
        <v>45536</v>
      </c>
      <c r="S210" s="6">
        <v>32850.379999999997</v>
      </c>
      <c r="T210" s="6">
        <v>3858.6</v>
      </c>
      <c r="U210" s="7">
        <v>45536</v>
      </c>
      <c r="V210" s="6">
        <v>45.44</v>
      </c>
      <c r="W210" s="6">
        <f ca="1">IFERROR(__xludf.DUMMYFUNCTION("IFERROR(GOOGLEFINANCE(B210,""pe""),V210)"),33.93)</f>
        <v>33.93</v>
      </c>
      <c r="X210" s="6">
        <v>5.77</v>
      </c>
      <c r="Y210" s="6">
        <v>2.69</v>
      </c>
      <c r="Z210" s="6">
        <v>2</v>
      </c>
      <c r="AA210" s="8">
        <v>45352</v>
      </c>
      <c r="AB210" s="4">
        <v>0</v>
      </c>
      <c r="AC210" s="6">
        <v>14.5</v>
      </c>
      <c r="AD210" s="6">
        <v>16.87</v>
      </c>
      <c r="AE210" s="1">
        <v>0</v>
      </c>
      <c r="AF210" s="1">
        <f ca="1">IFERROR(__xludf.DUMMYFUNCTION("IFERROR(GOOGLEFINANCE(TRIM(F210)&amp;"":"" &amp; TRIM(B210),""high52""),AE210)"),624.95)</f>
        <v>624.95000000000005</v>
      </c>
      <c r="AG210" s="1">
        <v>0</v>
      </c>
      <c r="AH210" s="1">
        <f ca="1">IFERROR(__xludf.DUMMYFUNCTION("IFERROR(GOOGLEFINANCE(TRIM(F210)&amp;"":"" &amp; TRIM(B210),""low52""),AE210)"),455)</f>
        <v>455</v>
      </c>
      <c r="AI210" s="1">
        <f ca="1">IFERROR(__xludf.DUMMYFUNCTION("IFERROR(GOOGLEFINANCE(B210,""eps""),0)"),15.05)</f>
        <v>15.05</v>
      </c>
      <c r="AJ210" s="1"/>
      <c r="AK210" s="1" t="s">
        <v>710</v>
      </c>
      <c r="AL210" s="1" t="b">
        <f>ISNUMBER(AA210)</f>
        <v>1</v>
      </c>
    </row>
    <row r="211" spans="1:38" ht="15" x14ac:dyDescent="0.25">
      <c r="A211" s="1" t="s">
        <v>711</v>
      </c>
      <c r="B211" s="1" t="s">
        <v>712</v>
      </c>
      <c r="C211" s="1" t="s">
        <v>82</v>
      </c>
      <c r="D211" s="1" t="s">
        <v>82</v>
      </c>
      <c r="E211" s="6">
        <v>116.9</v>
      </c>
      <c r="F211" s="1" t="s">
        <v>40</v>
      </c>
      <c r="G211" s="6">
        <f ca="1">IFERROR(__xludf.DUMMYFUNCTION("iferror(GOOGLEFINANCE(TRIM(F211)&amp;"":"" &amp; TRIM(B211), ""price""),0
)"),42.75)</f>
        <v>42.75</v>
      </c>
      <c r="H211" s="6">
        <v>61.45</v>
      </c>
      <c r="I211" s="6">
        <f t="shared" ca="1" si="0"/>
        <v>42.75</v>
      </c>
      <c r="J211" s="6">
        <f ca="1">IFERROR(__xludf.DUMMYFUNCTION("IFERROR(GOOGLEFINANCE(B211, ""volume""), 0)"),8595)</f>
        <v>8595</v>
      </c>
      <c r="K211" s="6">
        <v>-0.21</v>
      </c>
      <c r="L211" s="6">
        <f ca="1">IFERROR(__xludf.DUMMYFUNCTION("IFERROR(GOOGLEFINANCE(B211,""changepct""),K211)"),-0.63)</f>
        <v>-0.63</v>
      </c>
      <c r="M211" s="6">
        <f ca="1">IFERROR(__xludf.DUMMYFUNCTION("IFERROR(GOOGLEFINANCE(B211,""change""),0)"),-0.27)</f>
        <v>-0.27</v>
      </c>
      <c r="N211" s="6">
        <v>1</v>
      </c>
      <c r="O211" s="7">
        <v>45536</v>
      </c>
      <c r="P211" s="6">
        <v>76.25</v>
      </c>
      <c r="Q211" s="6">
        <v>171.49</v>
      </c>
      <c r="R211" s="7">
        <v>45536</v>
      </c>
      <c r="S211" s="6">
        <v>265.45999999999998</v>
      </c>
      <c r="T211" s="6">
        <v>1.51</v>
      </c>
      <c r="U211" s="7">
        <v>45536</v>
      </c>
      <c r="V211" s="6">
        <v>77.62</v>
      </c>
      <c r="W211" s="6">
        <f ca="1">IFERROR(__xludf.DUMMYFUNCTION("IFERROR(GOOGLEFINANCE(B211,""pe""),V211)"),77.62)</f>
        <v>77.62</v>
      </c>
      <c r="X211" s="12"/>
      <c r="Y211" s="6">
        <v>0.74</v>
      </c>
      <c r="Z211" s="6">
        <v>1</v>
      </c>
      <c r="AA211" s="8">
        <v>45352</v>
      </c>
      <c r="AB211" s="4">
        <v>0.63</v>
      </c>
      <c r="AC211" s="6">
        <v>-1.07</v>
      </c>
      <c r="AD211" s="6">
        <v>3.63</v>
      </c>
      <c r="AE211" s="1">
        <v>0</v>
      </c>
      <c r="AF211" s="1">
        <f ca="1">IFERROR(__xludf.DUMMYFUNCTION("IFERROR(GOOGLEFINANCE(TRIM(F211)&amp;"":"" &amp; TRIM(B211),""high52""),AE211)"),68.07)</f>
        <v>68.069999999999993</v>
      </c>
      <c r="AG211" s="1">
        <v>0</v>
      </c>
      <c r="AH211" s="1">
        <f ca="1">IFERROR(__xludf.DUMMYFUNCTION("IFERROR(GOOGLEFINANCE(TRIM(F211)&amp;"":"" &amp; TRIM(B211),""low52""),AE211)"),39.85)</f>
        <v>39.85</v>
      </c>
      <c r="AI211" s="1">
        <f ca="1">IFERROR(__xludf.DUMMYFUNCTION("IFERROR(GOOGLEFINANCE(B211,""eps""),0)"),-1.61)</f>
        <v>-1.61</v>
      </c>
      <c r="AJ211" s="1"/>
      <c r="AK211" s="1" t="s">
        <v>713</v>
      </c>
      <c r="AL211" s="9">
        <f t="shared" ref="AL211:AL212" si="50">IF(AA211&lt;&gt;AB211,1,0)</f>
        <v>1</v>
      </c>
    </row>
    <row r="212" spans="1:38" ht="15" x14ac:dyDescent="0.25">
      <c r="A212" s="1" t="s">
        <v>714</v>
      </c>
      <c r="B212" s="1" t="s">
        <v>715</v>
      </c>
      <c r="C212" s="1" t="s">
        <v>112</v>
      </c>
      <c r="D212" s="1" t="s">
        <v>112</v>
      </c>
      <c r="E212" s="6">
        <v>88.91</v>
      </c>
      <c r="F212" s="1" t="s">
        <v>40</v>
      </c>
      <c r="G212" s="6">
        <f ca="1">IFERROR(__xludf.DUMMYFUNCTION("iferror(GOOGLEFINANCE(TRIM(F212)&amp;"":"" &amp; TRIM(B212), ""price""),0
)"),0)</f>
        <v>0</v>
      </c>
      <c r="H212" s="6">
        <v>120.9</v>
      </c>
      <c r="I212" s="6">
        <f t="shared" ca="1" si="0"/>
        <v>120.9</v>
      </c>
      <c r="J212" s="6">
        <f ca="1">IFERROR(__xludf.DUMMYFUNCTION("IFERROR(GOOGLEFINANCE(B212, ""volume""), 0)"),0)</f>
        <v>0</v>
      </c>
      <c r="K212" s="6">
        <v>1.98</v>
      </c>
      <c r="L212" s="6">
        <f ca="1">IFERROR(__xludf.DUMMYFUNCTION("IFERROR(GOOGLEFINANCE(B212,""changepct""),K212)"),1.98)</f>
        <v>1.98</v>
      </c>
      <c r="M212" s="6">
        <f ca="1">IFERROR(__xludf.DUMMYFUNCTION("IFERROR(GOOGLEFINANCE(B212,""change""),0)"),0)</f>
        <v>0</v>
      </c>
      <c r="N212" s="6">
        <v>1</v>
      </c>
      <c r="O212" s="7">
        <v>45536</v>
      </c>
      <c r="P212" s="6">
        <v>0.71</v>
      </c>
      <c r="Q212" s="6">
        <v>89.62</v>
      </c>
      <c r="R212" s="7">
        <v>45352</v>
      </c>
      <c r="S212" s="6">
        <v>34.03</v>
      </c>
      <c r="T212" s="6">
        <v>2.96</v>
      </c>
      <c r="U212" s="7">
        <v>45352</v>
      </c>
      <c r="V212" s="6">
        <v>30.02</v>
      </c>
      <c r="W212" s="6">
        <f ca="1">IFERROR(__xludf.DUMMYFUNCTION("IFERROR(GOOGLEFINANCE(B212,""pe""),V212)"),30.02)</f>
        <v>30.02</v>
      </c>
      <c r="X212" s="9"/>
      <c r="Y212" s="6">
        <v>3.87</v>
      </c>
      <c r="Z212" s="6">
        <v>1</v>
      </c>
      <c r="AA212" s="8">
        <v>45352</v>
      </c>
      <c r="AB212" s="4">
        <v>0</v>
      </c>
      <c r="AC212" s="6">
        <v>13.99</v>
      </c>
      <c r="AD212" s="6">
        <v>19.52</v>
      </c>
      <c r="AE212" s="1">
        <v>0</v>
      </c>
      <c r="AF212" s="1">
        <f ca="1">IFERROR(__xludf.DUMMYFUNCTION("IFERROR(GOOGLEFINANCE(TRIM(F212)&amp;"":"" &amp; TRIM(B212),""high52""),AE212)"),0)</f>
        <v>0</v>
      </c>
      <c r="AG212" s="1">
        <v>0</v>
      </c>
      <c r="AH212" s="1">
        <f ca="1">IFERROR(__xludf.DUMMYFUNCTION("IFERROR(GOOGLEFINANCE(TRIM(F212)&amp;"":"" &amp; TRIM(B212),""low52""),AE212)"),0)</f>
        <v>0</v>
      </c>
      <c r="AI212" s="1">
        <f ca="1">IFERROR(__xludf.DUMMYFUNCTION("IFERROR(GOOGLEFINANCE(B212,""eps""),0)"),0)</f>
        <v>0</v>
      </c>
      <c r="AJ212" s="1"/>
      <c r="AK212" s="1" t="s">
        <v>716</v>
      </c>
      <c r="AL212" s="9">
        <f t="shared" si="50"/>
        <v>1</v>
      </c>
    </row>
    <row r="213" spans="1:38" ht="15" x14ac:dyDescent="0.25">
      <c r="A213" s="1" t="s">
        <v>717</v>
      </c>
      <c r="B213" s="1" t="s">
        <v>718</v>
      </c>
      <c r="C213" s="1" t="s">
        <v>719</v>
      </c>
      <c r="D213" s="1" t="s">
        <v>719</v>
      </c>
      <c r="E213" s="6">
        <v>1838.56</v>
      </c>
      <c r="F213" s="1" t="s">
        <v>53</v>
      </c>
      <c r="G213" s="6">
        <f ca="1">IFERROR(__xludf.DUMMYFUNCTION("iferror(GOOGLEFINANCE(TRIM(F213)&amp;"":"" &amp; TRIM(B213), ""price""),0
)"),0)</f>
        <v>0</v>
      </c>
      <c r="H213" s="6">
        <v>96.35</v>
      </c>
      <c r="I213" s="6">
        <f t="shared" ca="1" si="0"/>
        <v>96.35</v>
      </c>
      <c r="J213" s="6">
        <f ca="1">IFERROR(__xludf.DUMMYFUNCTION("IFERROR(GOOGLEFINANCE(B213, ""volume""), 0)"),0)</f>
        <v>0</v>
      </c>
      <c r="K213" s="6">
        <v>-0.44</v>
      </c>
      <c r="L213" s="6">
        <f ca="1">IFERROR(__xludf.DUMMYFUNCTION("IFERROR(GOOGLEFINANCE(B213,""changepct""),K213)"),-0.44)</f>
        <v>-0.44</v>
      </c>
      <c r="M213" s="6">
        <f ca="1">IFERROR(__xludf.DUMMYFUNCTION("IFERROR(GOOGLEFINANCE(B213,""change""),0)"),0)</f>
        <v>0</v>
      </c>
      <c r="N213" s="6">
        <v>2</v>
      </c>
      <c r="O213" s="7">
        <v>45536</v>
      </c>
      <c r="P213" s="6">
        <v>74.55</v>
      </c>
      <c r="Q213" s="6">
        <v>1913.11</v>
      </c>
      <c r="R213" s="7">
        <v>45536</v>
      </c>
      <c r="S213" s="6">
        <v>33.5</v>
      </c>
      <c r="T213" s="6">
        <v>2.85</v>
      </c>
      <c r="U213" s="7">
        <v>45536</v>
      </c>
      <c r="V213" s="6">
        <v>645.11</v>
      </c>
      <c r="W213" s="6">
        <f ca="1">IFERROR(__xludf.DUMMYFUNCTION("IFERROR(GOOGLEFINANCE(B213,""pe""),V213)"),645.11)</f>
        <v>645.11</v>
      </c>
      <c r="X213" s="9"/>
      <c r="Y213" s="6">
        <v>9.7899999999999991</v>
      </c>
      <c r="Z213" s="6">
        <v>2</v>
      </c>
      <c r="AA213" s="8">
        <v>45352</v>
      </c>
      <c r="AB213" s="4">
        <v>0.69</v>
      </c>
      <c r="AC213" s="6">
        <v>3.05</v>
      </c>
      <c r="AD213" s="6">
        <v>2.96</v>
      </c>
      <c r="AE213" s="1">
        <v>0</v>
      </c>
      <c r="AF213" s="1">
        <f ca="1">IFERROR(__xludf.DUMMYFUNCTION("IFERROR(GOOGLEFINANCE(TRIM(F213)&amp;"":"" &amp; TRIM(B213),""high52""),AE213)"),0)</f>
        <v>0</v>
      </c>
      <c r="AG213" s="1">
        <v>0</v>
      </c>
      <c r="AH213" s="1">
        <f ca="1">IFERROR(__xludf.DUMMYFUNCTION("IFERROR(GOOGLEFINANCE(TRIM(F213)&amp;"":"" &amp; TRIM(B213),""low52""),AE213)"),0)</f>
        <v>0</v>
      </c>
      <c r="AI213" s="1">
        <f ca="1">IFERROR(__xludf.DUMMYFUNCTION("IFERROR(GOOGLEFINANCE(B213,""eps""),0)"),0)</f>
        <v>0</v>
      </c>
      <c r="AJ213" s="1"/>
      <c r="AK213" s="1" t="s">
        <v>720</v>
      </c>
      <c r="AL213" s="1" t="b">
        <f>ISNUMBER(AA213)</f>
        <v>1</v>
      </c>
    </row>
    <row r="214" spans="1:38" ht="15" x14ac:dyDescent="0.25">
      <c r="A214" s="1" t="s">
        <v>721</v>
      </c>
      <c r="B214" s="1" t="s">
        <v>722</v>
      </c>
      <c r="C214" s="1" t="s">
        <v>106</v>
      </c>
      <c r="D214" s="1" t="s">
        <v>106</v>
      </c>
      <c r="E214" s="6">
        <v>8597.8700000000008</v>
      </c>
      <c r="F214" s="1" t="s">
        <v>40</v>
      </c>
      <c r="G214" s="6">
        <f ca="1">IFERROR(__xludf.DUMMYFUNCTION("iferror(GOOGLEFINANCE(TRIM(F214)&amp;"":"" &amp; TRIM(B214), ""price""),0
)"),0)</f>
        <v>0</v>
      </c>
      <c r="H214" s="6">
        <v>2118.9499999999998</v>
      </c>
      <c r="I214" s="6">
        <f t="shared" ca="1" si="0"/>
        <v>2118.9499999999998</v>
      </c>
      <c r="J214" s="6">
        <f ca="1">IFERROR(__xludf.DUMMYFUNCTION("IFERROR(GOOGLEFINANCE(B214, ""volume""), 0)"),0)</f>
        <v>0</v>
      </c>
      <c r="K214" s="6">
        <v>0.92</v>
      </c>
      <c r="L214" s="6">
        <f ca="1">IFERROR(__xludf.DUMMYFUNCTION("IFERROR(GOOGLEFINANCE(B214,""changepct""),K214)"),0.92)</f>
        <v>0.92</v>
      </c>
      <c r="M214" s="6">
        <f ca="1">IFERROR(__xludf.DUMMYFUNCTION("IFERROR(GOOGLEFINANCE(B214,""change""),0)"),0)</f>
        <v>0</v>
      </c>
      <c r="N214" s="6">
        <v>2</v>
      </c>
      <c r="O214" s="7">
        <v>45536</v>
      </c>
      <c r="P214" s="6">
        <v>6.17</v>
      </c>
      <c r="Q214" s="6">
        <v>8324.5300000000007</v>
      </c>
      <c r="R214" s="7">
        <v>45536</v>
      </c>
      <c r="S214" s="6">
        <v>814.81</v>
      </c>
      <c r="T214" s="6">
        <v>95.74</v>
      </c>
      <c r="U214" s="7">
        <v>45536</v>
      </c>
      <c r="V214" s="6">
        <v>92.27</v>
      </c>
      <c r="W214" s="6">
        <f ca="1">IFERROR(__xludf.DUMMYFUNCTION("IFERROR(GOOGLEFINANCE(B214,""pe""),V214)"),92.27)</f>
        <v>92.27</v>
      </c>
      <c r="X214" s="9"/>
      <c r="Y214" s="6">
        <v>7.15</v>
      </c>
      <c r="Z214" s="6">
        <v>2</v>
      </c>
      <c r="AA214" s="8">
        <v>45352</v>
      </c>
      <c r="AB214" s="4">
        <v>0.32</v>
      </c>
      <c r="AC214" s="6">
        <v>7.7</v>
      </c>
      <c r="AD214" s="6">
        <v>11.81</v>
      </c>
      <c r="AE214" s="1">
        <v>0</v>
      </c>
      <c r="AF214" s="1">
        <f ca="1">IFERROR(__xludf.DUMMYFUNCTION("IFERROR(GOOGLEFINANCE(TRIM(F214)&amp;"":"" &amp; TRIM(B214),""high52""),AE214)"),0)</f>
        <v>0</v>
      </c>
      <c r="AG214" s="1">
        <v>0</v>
      </c>
      <c r="AH214" s="1">
        <f ca="1">IFERROR(__xludf.DUMMYFUNCTION("IFERROR(GOOGLEFINANCE(TRIM(F214)&amp;"":"" &amp; TRIM(B214),""low52""),AE214)"),0)</f>
        <v>0</v>
      </c>
      <c r="AI214" s="1">
        <f ca="1">IFERROR(__xludf.DUMMYFUNCTION("IFERROR(GOOGLEFINANCE(B214,""eps""),0)"),0)</f>
        <v>0</v>
      </c>
      <c r="AJ214" s="1"/>
      <c r="AK214" s="1" t="s">
        <v>723</v>
      </c>
      <c r="AL214" s="9">
        <f t="shared" ref="AL214:AL215" si="51">IF(AA214&lt;&gt;AB214,1,0)</f>
        <v>1</v>
      </c>
    </row>
    <row r="215" spans="1:38" ht="15" x14ac:dyDescent="0.25">
      <c r="A215" s="1" t="s">
        <v>724</v>
      </c>
      <c r="B215" s="1" t="s">
        <v>725</v>
      </c>
      <c r="C215" s="1" t="s">
        <v>259</v>
      </c>
      <c r="D215" s="1" t="s">
        <v>259</v>
      </c>
      <c r="E215" s="6">
        <v>15.21</v>
      </c>
      <c r="F215" s="1" t="s">
        <v>40</v>
      </c>
      <c r="G215" s="6">
        <f ca="1">IFERROR(__xludf.DUMMYFUNCTION("iferror(GOOGLEFINANCE(TRIM(F215)&amp;"":"" &amp; TRIM(B215), ""price""),0
)"),0)</f>
        <v>0</v>
      </c>
      <c r="H215" s="6">
        <v>87</v>
      </c>
      <c r="I215" s="6">
        <f t="shared" ca="1" si="0"/>
        <v>87</v>
      </c>
      <c r="J215" s="6">
        <f ca="1">IFERROR(__xludf.DUMMYFUNCTION("IFERROR(GOOGLEFINANCE(B215, ""volume""), 0)"),0)</f>
        <v>0</v>
      </c>
      <c r="K215" s="9"/>
      <c r="L215" s="6" t="str">
        <f ca="1">IFERROR(__xludf.DUMMYFUNCTION("IFERROR(GOOGLEFINANCE(B215,""changepct""),K215)"),"")</f>
        <v/>
      </c>
      <c r="M215" s="6">
        <f ca="1">IFERROR(__xludf.DUMMYFUNCTION("IFERROR(GOOGLEFINANCE(B215,""change""),0)"),0)</f>
        <v>0</v>
      </c>
      <c r="N215" s="6">
        <v>1</v>
      </c>
      <c r="O215" s="7">
        <v>45536</v>
      </c>
      <c r="P215" s="6">
        <v>2.87</v>
      </c>
      <c r="Q215" s="6">
        <v>18.079999999999998</v>
      </c>
      <c r="R215" s="7">
        <v>45352</v>
      </c>
      <c r="S215" s="6">
        <v>24.4</v>
      </c>
      <c r="T215" s="6">
        <v>1.34</v>
      </c>
      <c r="U215" s="7">
        <v>45352</v>
      </c>
      <c r="V215" s="6">
        <v>11.35</v>
      </c>
      <c r="W215" s="6">
        <f ca="1">IFERROR(__xludf.DUMMYFUNCTION("IFERROR(GOOGLEFINANCE(B215,""pe""),V215)"),11.35)</f>
        <v>11.35</v>
      </c>
      <c r="X215" s="12"/>
      <c r="Y215" s="6">
        <v>1.85</v>
      </c>
      <c r="Z215" s="6">
        <v>1</v>
      </c>
      <c r="AA215" s="8">
        <v>45352</v>
      </c>
      <c r="AB215" s="4">
        <v>0.25</v>
      </c>
      <c r="AC215" s="6">
        <v>17.73</v>
      </c>
      <c r="AD215" s="6">
        <v>22.22</v>
      </c>
      <c r="AE215" s="1">
        <v>0</v>
      </c>
      <c r="AF215" s="1">
        <f ca="1">IFERROR(__xludf.DUMMYFUNCTION("IFERROR(GOOGLEFINANCE(TRIM(F215)&amp;"":"" &amp; TRIM(B215),""high52""),AE215)"),0)</f>
        <v>0</v>
      </c>
      <c r="AG215" s="1">
        <v>0</v>
      </c>
      <c r="AH215" s="1">
        <f ca="1">IFERROR(__xludf.DUMMYFUNCTION("IFERROR(GOOGLEFINANCE(TRIM(F215)&amp;"":"" &amp; TRIM(B215),""low52""),AE215)"),0)</f>
        <v>0</v>
      </c>
      <c r="AI215" s="1">
        <f ca="1">IFERROR(__xludf.DUMMYFUNCTION("IFERROR(GOOGLEFINANCE(B215,""eps""),0)"),0)</f>
        <v>0</v>
      </c>
      <c r="AJ215" s="1"/>
      <c r="AK215" s="1" t="s">
        <v>726</v>
      </c>
      <c r="AL215" s="9">
        <f t="shared" si="51"/>
        <v>1</v>
      </c>
    </row>
    <row r="216" spans="1:38" ht="15" x14ac:dyDescent="0.25">
      <c r="A216" s="1" t="s">
        <v>727</v>
      </c>
      <c r="B216" s="1" t="s">
        <v>728</v>
      </c>
      <c r="C216" s="1" t="s">
        <v>135</v>
      </c>
      <c r="D216" s="1" t="s">
        <v>135</v>
      </c>
      <c r="E216" s="6">
        <v>1818.41</v>
      </c>
      <c r="F216" s="1" t="s">
        <v>40</v>
      </c>
      <c r="G216" s="6">
        <f ca="1">IFERROR(__xludf.DUMMYFUNCTION("iferror(GOOGLEFINANCE(TRIM(F216)&amp;"":"" &amp; TRIM(B216), ""price""),0
)"),167.29)</f>
        <v>167.29</v>
      </c>
      <c r="H216" s="6">
        <v>319.2</v>
      </c>
      <c r="I216" s="6">
        <f t="shared" ca="1" si="0"/>
        <v>167.29</v>
      </c>
      <c r="J216" s="6">
        <f ca="1">IFERROR(__xludf.DUMMYFUNCTION("IFERROR(GOOGLEFINANCE(B216, ""volume""), 0)"),8609)</f>
        <v>8609</v>
      </c>
      <c r="K216" s="6">
        <v>-3.48</v>
      </c>
      <c r="L216" s="6">
        <f ca="1">IFERROR(__xludf.DUMMYFUNCTION("IFERROR(GOOGLEFINANCE(B216,""changepct""),K216)"),3.64)</f>
        <v>3.64</v>
      </c>
      <c r="M216" s="6">
        <f ca="1">IFERROR(__xludf.DUMMYFUNCTION("IFERROR(GOOGLEFINANCE(B216,""change""),0)"),5.87)</f>
        <v>5.87</v>
      </c>
      <c r="N216" s="6">
        <v>2</v>
      </c>
      <c r="O216" s="7">
        <v>45536</v>
      </c>
      <c r="P216" s="6">
        <v>80.42</v>
      </c>
      <c r="Q216" s="6">
        <v>1861.86</v>
      </c>
      <c r="R216" s="7">
        <v>45536</v>
      </c>
      <c r="S216" s="6">
        <v>656.74</v>
      </c>
      <c r="T216" s="6">
        <v>41.26</v>
      </c>
      <c r="U216" s="7">
        <v>45536</v>
      </c>
      <c r="V216" s="6">
        <v>44.07</v>
      </c>
      <c r="W216" s="6">
        <f ca="1">IFERROR(__xludf.DUMMYFUNCTION("IFERROR(GOOGLEFINANCE(B216,""pe""),V216)"),19.13)</f>
        <v>19.13</v>
      </c>
      <c r="X216" s="6">
        <v>2.2799999999999998</v>
      </c>
      <c r="Y216" s="6">
        <v>7.71</v>
      </c>
      <c r="Z216" s="6">
        <v>2</v>
      </c>
      <c r="AA216" s="8">
        <v>45352</v>
      </c>
      <c r="AB216" s="4">
        <v>0.39</v>
      </c>
      <c r="AC216" s="6">
        <v>19.78</v>
      </c>
      <c r="AD216" s="6">
        <v>23.3</v>
      </c>
      <c r="AE216" s="1">
        <v>0</v>
      </c>
      <c r="AF216" s="1">
        <f ca="1">IFERROR(__xludf.DUMMYFUNCTION("IFERROR(GOOGLEFINANCE(TRIM(F216)&amp;"":"" &amp; TRIM(B216),""high52""),AE216)"),310.05)</f>
        <v>310.05</v>
      </c>
      <c r="AG216" s="1">
        <v>0</v>
      </c>
      <c r="AH216" s="1">
        <f ca="1">IFERROR(__xludf.DUMMYFUNCTION("IFERROR(GOOGLEFINANCE(TRIM(F216)&amp;"":"" &amp; TRIM(B216),""low52""),AE216)"),155)</f>
        <v>155</v>
      </c>
      <c r="AI216" s="1">
        <f ca="1">IFERROR(__xludf.DUMMYFUNCTION("IFERROR(GOOGLEFINANCE(B216,""eps""),0)"),8.74)</f>
        <v>8.74</v>
      </c>
      <c r="AJ216" s="1"/>
      <c r="AK216" s="1" t="s">
        <v>729</v>
      </c>
      <c r="AL216" s="1" t="b">
        <f>ISNUMBER(AA216)</f>
        <v>1</v>
      </c>
    </row>
    <row r="217" spans="1:38" ht="15" x14ac:dyDescent="0.25">
      <c r="A217" s="1" t="s">
        <v>730</v>
      </c>
      <c r="B217" s="1" t="s">
        <v>731</v>
      </c>
      <c r="C217" s="1" t="s">
        <v>487</v>
      </c>
      <c r="D217" s="1" t="s">
        <v>487</v>
      </c>
      <c r="E217" s="6">
        <v>277.57</v>
      </c>
      <c r="F217" s="1" t="s">
        <v>40</v>
      </c>
      <c r="G217" s="6">
        <f ca="1">IFERROR(__xludf.DUMMYFUNCTION("iferror(GOOGLEFINANCE(TRIM(F217)&amp;"":"" &amp; TRIM(B217), ""price""),0
)"),41.9)</f>
        <v>41.9</v>
      </c>
      <c r="H217" s="6">
        <v>67.88</v>
      </c>
      <c r="I217" s="6">
        <f t="shared" ca="1" si="0"/>
        <v>41.9</v>
      </c>
      <c r="J217" s="6">
        <f ca="1">IFERROR(__xludf.DUMMYFUNCTION("IFERROR(GOOGLEFINANCE(B217, ""volume""), 0)"),32811)</f>
        <v>32811</v>
      </c>
      <c r="K217" s="6">
        <v>0.73</v>
      </c>
      <c r="L217" s="6">
        <f ca="1">IFERROR(__xludf.DUMMYFUNCTION("IFERROR(GOOGLEFINANCE(B217,""changepct""),K217)"),1.77)</f>
        <v>1.77</v>
      </c>
      <c r="M217" s="6">
        <f ca="1">IFERROR(__xludf.DUMMYFUNCTION("IFERROR(GOOGLEFINANCE(B217,""change""),0)"),0.73)</f>
        <v>0.73</v>
      </c>
      <c r="N217" s="6">
        <v>2</v>
      </c>
      <c r="O217" s="7">
        <v>45536</v>
      </c>
      <c r="P217" s="6">
        <v>9.4700000000000006</v>
      </c>
      <c r="Q217" s="6">
        <v>276.95</v>
      </c>
      <c r="R217" s="7">
        <v>45536</v>
      </c>
      <c r="S217" s="6">
        <v>65.849999999999994</v>
      </c>
      <c r="T217" s="6">
        <v>12.98</v>
      </c>
      <c r="U217" s="7">
        <v>45536</v>
      </c>
      <c r="V217" s="6">
        <v>21.32</v>
      </c>
      <c r="W217" s="6">
        <f ca="1">IFERROR(__xludf.DUMMYFUNCTION("IFERROR(GOOGLEFINANCE(B217,""pe""),V217)"),8.18)</f>
        <v>8.18</v>
      </c>
      <c r="X217" s="6">
        <v>1.05</v>
      </c>
      <c r="Y217" s="6">
        <v>1.21</v>
      </c>
      <c r="Z217" s="6">
        <v>2</v>
      </c>
      <c r="AA217" s="8">
        <v>45352</v>
      </c>
      <c r="AB217" s="4">
        <v>0.08</v>
      </c>
      <c r="AC217" s="6">
        <v>7.11</v>
      </c>
      <c r="AD217" s="6">
        <v>9.41</v>
      </c>
      <c r="AE217" s="1">
        <v>0</v>
      </c>
      <c r="AF217" s="1">
        <f ca="1">IFERROR(__xludf.DUMMYFUNCTION("IFERROR(GOOGLEFINANCE(TRIM(F217)&amp;"":"" &amp; TRIM(B217),""high52""),AE217)"),68.9)</f>
        <v>68.900000000000006</v>
      </c>
      <c r="AG217" s="1">
        <v>0</v>
      </c>
      <c r="AH217" s="1">
        <f ca="1">IFERROR(__xludf.DUMMYFUNCTION("IFERROR(GOOGLEFINANCE(TRIM(F217)&amp;"":"" &amp; TRIM(B217),""low52""),AE217)"),40.05)</f>
        <v>40.049999999999997</v>
      </c>
      <c r="AI217" s="1">
        <f ca="1">IFERROR(__xludf.DUMMYFUNCTION("IFERROR(GOOGLEFINANCE(B217,""eps""),0)"),5.12)</f>
        <v>5.12</v>
      </c>
      <c r="AJ217" s="1"/>
      <c r="AK217" s="1" t="s">
        <v>732</v>
      </c>
      <c r="AL217" s="9">
        <f t="shared" ref="AL217:AL220" si="52">IF(AA217&lt;&gt;AB217,1,0)</f>
        <v>1</v>
      </c>
    </row>
    <row r="218" spans="1:38" ht="15" x14ac:dyDescent="0.25">
      <c r="A218" s="1" t="s">
        <v>733</v>
      </c>
      <c r="B218" s="1" t="s">
        <v>734</v>
      </c>
      <c r="C218" s="1" t="s">
        <v>106</v>
      </c>
      <c r="D218" s="1" t="s">
        <v>106</v>
      </c>
      <c r="E218" s="6">
        <v>2094.58</v>
      </c>
      <c r="F218" s="1" t="s">
        <v>40</v>
      </c>
      <c r="G218" s="6">
        <f ca="1">IFERROR(__xludf.DUMMYFUNCTION("iferror(GOOGLEFINANCE(TRIM(F218)&amp;"":"" &amp; TRIM(B218), ""price""),0
)"),580)</f>
        <v>580</v>
      </c>
      <c r="H218" s="6">
        <v>730</v>
      </c>
      <c r="I218" s="6">
        <f t="shared" ca="1" si="0"/>
        <v>580</v>
      </c>
      <c r="J218" s="6">
        <f ca="1">IFERROR(__xludf.DUMMYFUNCTION("IFERROR(GOOGLEFINANCE(B218, ""volume""), 0)"),16004)</f>
        <v>16004</v>
      </c>
      <c r="K218" s="6">
        <v>0.61</v>
      </c>
      <c r="L218" s="6">
        <f ca="1">IFERROR(__xludf.DUMMYFUNCTION("IFERROR(GOOGLEFINANCE(B218,""changepct""),K218)"),0.76)</f>
        <v>0.76</v>
      </c>
      <c r="M218" s="6">
        <f ca="1">IFERROR(__xludf.DUMMYFUNCTION("IFERROR(GOOGLEFINANCE(B218,""change""),0)"),4.35)</f>
        <v>4.3499999999999996</v>
      </c>
      <c r="N218" s="6">
        <v>1</v>
      </c>
      <c r="O218" s="7">
        <v>45536</v>
      </c>
      <c r="P218" s="9"/>
      <c r="Q218" s="6">
        <v>2021.1</v>
      </c>
      <c r="R218" s="7">
        <v>45536</v>
      </c>
      <c r="S218" s="6">
        <v>437.71</v>
      </c>
      <c r="T218" s="6">
        <v>47.52</v>
      </c>
      <c r="U218" s="7">
        <v>45536</v>
      </c>
      <c r="V218" s="6">
        <v>44.08</v>
      </c>
      <c r="W218" s="6">
        <f ca="1">IFERROR(__xludf.DUMMYFUNCTION("IFERROR(GOOGLEFINANCE(B218,""pe""),V218)"),29.57)</f>
        <v>29.57</v>
      </c>
      <c r="X218" s="6">
        <v>3.42</v>
      </c>
      <c r="Y218" s="6">
        <v>7.03</v>
      </c>
      <c r="Z218" s="6">
        <v>1</v>
      </c>
      <c r="AA218" s="8">
        <v>45352</v>
      </c>
      <c r="AB218" s="4">
        <v>0</v>
      </c>
      <c r="AC218" s="6">
        <v>15.54</v>
      </c>
      <c r="AD218" s="6">
        <v>21.47</v>
      </c>
      <c r="AE218" s="1">
        <v>0</v>
      </c>
      <c r="AF218" s="1">
        <f ca="1">IFERROR(__xludf.DUMMYFUNCTION("IFERROR(GOOGLEFINANCE(TRIM(F218)&amp;"":"" &amp; TRIM(B218),""high52""),AE218)"),790.95)</f>
        <v>790.95</v>
      </c>
      <c r="AG218" s="1">
        <v>0</v>
      </c>
      <c r="AH218" s="1">
        <f ca="1">IFERROR(__xludf.DUMMYFUNCTION("IFERROR(GOOGLEFINANCE(TRIM(F218)&amp;"":"" &amp; TRIM(B218),""low52""),AE218)"),544.1)</f>
        <v>544.1</v>
      </c>
      <c r="AI218" s="1">
        <f ca="1">IFERROR(__xludf.DUMMYFUNCTION("IFERROR(GOOGLEFINANCE(B218,""eps""),0)"),19.61)</f>
        <v>19.61</v>
      </c>
      <c r="AJ218" s="1"/>
      <c r="AK218" s="1" t="s">
        <v>735</v>
      </c>
      <c r="AL218" s="9">
        <f t="shared" si="52"/>
        <v>1</v>
      </c>
    </row>
    <row r="219" spans="1:38" ht="15" x14ac:dyDescent="0.25">
      <c r="A219" s="1" t="s">
        <v>736</v>
      </c>
      <c r="B219" s="1" t="s">
        <v>737</v>
      </c>
      <c r="C219" s="1" t="s">
        <v>48</v>
      </c>
      <c r="D219" s="1" t="s">
        <v>48</v>
      </c>
      <c r="E219" s="6">
        <v>16356.31</v>
      </c>
      <c r="F219" s="1" t="s">
        <v>40</v>
      </c>
      <c r="G219" s="6">
        <f ca="1">IFERROR(__xludf.DUMMYFUNCTION("iferror(GOOGLEFINANCE(TRIM(F219)&amp;"":"" &amp; TRIM(B219), ""price""),0
)"),2877)</f>
        <v>2877</v>
      </c>
      <c r="H219" s="6">
        <v>3957.45</v>
      </c>
      <c r="I219" s="6">
        <f t="shared" ca="1" si="0"/>
        <v>2877</v>
      </c>
      <c r="J219" s="6">
        <f ca="1">IFERROR(__xludf.DUMMYFUNCTION("IFERROR(GOOGLEFINANCE(B219, ""volume""), 0)"),194360)</f>
        <v>194360</v>
      </c>
      <c r="K219" s="6">
        <v>0.5</v>
      </c>
      <c r="L219" s="6">
        <f ca="1">IFERROR(__xludf.DUMMYFUNCTION("IFERROR(GOOGLEFINANCE(B219,""changepct""),K219)"),-0.71)</f>
        <v>-0.71</v>
      </c>
      <c r="M219" s="6">
        <f ca="1">IFERROR(__xludf.DUMMYFUNCTION("IFERROR(GOOGLEFINANCE(B219,""change""),0)"),-20.5)</f>
        <v>-20.5</v>
      </c>
      <c r="N219" s="6">
        <v>2</v>
      </c>
      <c r="O219" s="7">
        <v>45536</v>
      </c>
      <c r="P219" s="6">
        <v>264.66000000000003</v>
      </c>
      <c r="Q219" s="7">
        <v>45536</v>
      </c>
      <c r="R219" s="6">
        <v>62.01</v>
      </c>
      <c r="S219" s="9"/>
      <c r="T219" s="6">
        <v>29.54</v>
      </c>
      <c r="U219" s="6">
        <v>2</v>
      </c>
      <c r="V219" s="7">
        <v>45352</v>
      </c>
      <c r="W219" s="6">
        <f ca="1">IFERROR(__xludf.DUMMYFUNCTION("IFERROR(GOOGLEFINANCE(B219,""pe""),V219)"),65.03)</f>
        <v>65.03</v>
      </c>
      <c r="X219" s="6">
        <v>0.01</v>
      </c>
      <c r="Y219" s="6">
        <v>40.700000000000003</v>
      </c>
      <c r="Z219" s="6">
        <v>54.64</v>
      </c>
      <c r="AA219" s="3" t="s">
        <v>738</v>
      </c>
      <c r="AB219" s="4"/>
      <c r="AC219" s="9"/>
      <c r="AD219" s="9"/>
      <c r="AE219" s="1">
        <v>0</v>
      </c>
      <c r="AF219" s="1">
        <f ca="1">IFERROR(__xludf.DUMMYFUNCTION("IFERROR(GOOGLEFINANCE(TRIM(F219)&amp;"":"" &amp; TRIM(B219),""high52""),AE219)"),3321.4)</f>
        <v>3321.4</v>
      </c>
      <c r="AG219" s="1">
        <v>0</v>
      </c>
      <c r="AH219" s="1">
        <f ca="1">IFERROR(__xludf.DUMMYFUNCTION("IFERROR(GOOGLEFINANCE(TRIM(F219)&amp;"":"" &amp; TRIM(B219),""low52""),AE219)"),1594)</f>
        <v>1594</v>
      </c>
      <c r="AI219" s="1">
        <f ca="1">IFERROR(__xludf.DUMMYFUNCTION("IFERROR(GOOGLEFINANCE(B219,""eps""),0)"),44.24)</f>
        <v>44.24</v>
      </c>
      <c r="AJ219" s="1"/>
      <c r="AK219" s="1" t="s">
        <v>739</v>
      </c>
      <c r="AL219" s="9">
        <f t="shared" si="52"/>
        <v>1</v>
      </c>
    </row>
    <row r="220" spans="1:38" ht="15" x14ac:dyDescent="0.25">
      <c r="A220" s="1" t="s">
        <v>740</v>
      </c>
      <c r="B220" s="1" t="s">
        <v>741</v>
      </c>
      <c r="C220" s="1" t="s">
        <v>487</v>
      </c>
      <c r="D220" s="1" t="s">
        <v>487</v>
      </c>
      <c r="E220" s="6">
        <v>29761.59</v>
      </c>
      <c r="F220" s="1" t="s">
        <v>40</v>
      </c>
      <c r="G220" s="6">
        <f ca="1">IFERROR(__xludf.DUMMYFUNCTION("iferror(GOOGLEFINANCE(TRIM(F220)&amp;"":"" &amp; TRIM(B220), ""price""),0
)"),559.9)</f>
        <v>559.9</v>
      </c>
      <c r="H220" s="6">
        <v>873.3</v>
      </c>
      <c r="I220" s="6">
        <f t="shared" ca="1" si="0"/>
        <v>559.9</v>
      </c>
      <c r="J220" s="6">
        <f ca="1">IFERROR(__xludf.DUMMYFUNCTION("IFERROR(GOOGLEFINANCE(B220, ""volume""), 0)"),27815781)</f>
        <v>27815781</v>
      </c>
      <c r="K220" s="6">
        <v>0.45</v>
      </c>
      <c r="L220" s="6">
        <f ca="1">IFERROR(__xludf.DUMMYFUNCTION("IFERROR(GOOGLEFINANCE(B220,""changepct""),K220)"),5.43)</f>
        <v>5.43</v>
      </c>
      <c r="M220" s="6">
        <f ca="1">IFERROR(__xludf.DUMMYFUNCTION("IFERROR(GOOGLEFINANCE(B220,""change""),0)"),28.85)</f>
        <v>28.85</v>
      </c>
      <c r="N220" s="6">
        <v>2</v>
      </c>
      <c r="O220" s="7">
        <v>45536</v>
      </c>
      <c r="P220" s="6">
        <v>371.46</v>
      </c>
      <c r="Q220" s="6">
        <v>29883.06</v>
      </c>
      <c r="R220" s="7">
        <v>45536</v>
      </c>
      <c r="S220" s="6">
        <v>1819.54</v>
      </c>
      <c r="T220" s="6">
        <v>351.53</v>
      </c>
      <c r="U220" s="7">
        <v>45536</v>
      </c>
      <c r="V220" s="6">
        <v>85.83</v>
      </c>
      <c r="W220" s="6">
        <f ca="1">IFERROR(__xludf.DUMMYFUNCTION("IFERROR(GOOGLEFINANCE(B220,""pe""),V220)"),36.62)</f>
        <v>36.619999999999997</v>
      </c>
      <c r="X220" s="6">
        <v>1.97</v>
      </c>
      <c r="Y220" s="6">
        <v>7.78</v>
      </c>
      <c r="Z220" s="6">
        <v>2</v>
      </c>
      <c r="AA220" s="8">
        <v>45352</v>
      </c>
      <c r="AB220" s="4">
        <v>0.17</v>
      </c>
      <c r="AC220" s="6">
        <v>8.16</v>
      </c>
      <c r="AD220" s="6">
        <v>8.6300000000000008</v>
      </c>
      <c r="AE220" s="1">
        <v>0</v>
      </c>
      <c r="AF220" s="1">
        <f ca="1">IFERROR(__xludf.DUMMYFUNCTION("IFERROR(GOOGLEFINANCE(TRIM(F220)&amp;"":"" &amp; TRIM(B220),""high52""),AE220)"),743.65)</f>
        <v>743.65</v>
      </c>
      <c r="AG220" s="1">
        <v>0</v>
      </c>
      <c r="AH220" s="1">
        <f ca="1">IFERROR(__xludf.DUMMYFUNCTION("IFERROR(GOOGLEFINANCE(TRIM(F220)&amp;"":"" &amp; TRIM(B220),""low52""),AE220)"),376.15)</f>
        <v>376.15</v>
      </c>
      <c r="AI220" s="1">
        <f ca="1">IFERROR(__xludf.DUMMYFUNCTION("IFERROR(GOOGLEFINANCE(B220,""eps""),0)"),15.29)</f>
        <v>15.29</v>
      </c>
      <c r="AJ220" s="1"/>
      <c r="AK220" s="1" t="s">
        <v>742</v>
      </c>
      <c r="AL220" s="9">
        <f t="shared" si="52"/>
        <v>1</v>
      </c>
    </row>
    <row r="221" spans="1:38" ht="15" x14ac:dyDescent="0.25">
      <c r="A221" s="1" t="s">
        <v>743</v>
      </c>
      <c r="B221" s="1" t="s">
        <v>744</v>
      </c>
      <c r="C221" s="1" t="s">
        <v>239</v>
      </c>
      <c r="D221" s="1" t="s">
        <v>239</v>
      </c>
      <c r="E221" s="6">
        <v>785.86</v>
      </c>
      <c r="F221" s="1" t="s">
        <v>40</v>
      </c>
      <c r="G221" s="6">
        <f ca="1">IFERROR(__xludf.DUMMYFUNCTION("iferror(GOOGLEFINANCE(TRIM(F221)&amp;"":"" &amp; TRIM(B221), ""price""),0
)"),58.62)</f>
        <v>58.62</v>
      </c>
      <c r="H221" s="6">
        <v>85.13</v>
      </c>
      <c r="I221" s="6">
        <f t="shared" ca="1" si="0"/>
        <v>58.62</v>
      </c>
      <c r="J221" s="6">
        <f ca="1">IFERROR(__xludf.DUMMYFUNCTION("IFERROR(GOOGLEFINANCE(B221, ""volume""), 0)"),837679)</f>
        <v>837679</v>
      </c>
      <c r="K221" s="6">
        <v>-0.3</v>
      </c>
      <c r="L221" s="6">
        <f ca="1">IFERROR(__xludf.DUMMYFUNCTION("IFERROR(GOOGLEFINANCE(B221,""changepct""),K221)"),2.2)</f>
        <v>2.2000000000000002</v>
      </c>
      <c r="M221" s="6">
        <f ca="1">IFERROR(__xludf.DUMMYFUNCTION("IFERROR(GOOGLEFINANCE(B221,""change""),0)"),0.06)</f>
        <v>0.06</v>
      </c>
      <c r="N221" s="6">
        <v>1</v>
      </c>
      <c r="O221" s="7">
        <v>45536</v>
      </c>
      <c r="P221" s="6">
        <v>698.4</v>
      </c>
      <c r="Q221" s="6">
        <v>1463.24</v>
      </c>
      <c r="R221" s="7">
        <v>45536</v>
      </c>
      <c r="S221" s="6">
        <v>308.01</v>
      </c>
      <c r="T221" s="6">
        <v>-98.44</v>
      </c>
      <c r="U221" s="7">
        <v>45536</v>
      </c>
      <c r="V221" s="6">
        <v>0</v>
      </c>
      <c r="W221" s="6">
        <f ca="1">IFERROR(__xludf.DUMMYFUNCTION("IFERROR(GOOGLEFINANCE(B221,""pe""),V221)"),16.37)</f>
        <v>16.37</v>
      </c>
      <c r="X221" s="6">
        <v>0</v>
      </c>
      <c r="Y221" s="6">
        <v>3.3</v>
      </c>
      <c r="Z221" s="6">
        <v>1</v>
      </c>
      <c r="AA221" s="8">
        <v>45352</v>
      </c>
      <c r="AB221" s="4">
        <v>2.27</v>
      </c>
      <c r="AC221" s="6">
        <v>-20.12</v>
      </c>
      <c r="AD221" s="6">
        <v>-3.93</v>
      </c>
      <c r="AE221" s="1">
        <v>0</v>
      </c>
      <c r="AF221" s="1">
        <f ca="1">IFERROR(__xludf.DUMMYFUNCTION("IFERROR(GOOGLEFINANCE(TRIM(F221)&amp;"":"" &amp; TRIM(B221),""high52""),AE221)"),109.99)</f>
        <v>109.99</v>
      </c>
      <c r="AG221" s="1">
        <v>0</v>
      </c>
      <c r="AH221" s="1">
        <f ca="1">IFERROR(__xludf.DUMMYFUNCTION("IFERROR(GOOGLEFINANCE(TRIM(F221)&amp;"":"" &amp; TRIM(B221),""low52""),AE221)"),48.15)</f>
        <v>48.15</v>
      </c>
      <c r="AI221" s="1">
        <f ca="1">IFERROR(__xludf.DUMMYFUNCTION("IFERROR(GOOGLEFINANCE(B221,""eps""),0)"),0.17)</f>
        <v>0.17</v>
      </c>
      <c r="AJ221" s="1"/>
      <c r="AK221" s="1" t="s">
        <v>745</v>
      </c>
      <c r="AL221" s="1" t="b">
        <f>ISNUMBER(AA221)</f>
        <v>1</v>
      </c>
    </row>
    <row r="222" spans="1:38" ht="15" x14ac:dyDescent="0.25">
      <c r="A222" s="1" t="s">
        <v>746</v>
      </c>
      <c r="B222" s="1" t="s">
        <v>747</v>
      </c>
      <c r="C222" s="1" t="s">
        <v>373</v>
      </c>
      <c r="D222" s="1" t="s">
        <v>373</v>
      </c>
      <c r="E222" s="6">
        <v>1900.81</v>
      </c>
      <c r="F222" s="1" t="s">
        <v>40</v>
      </c>
      <c r="G222" s="6">
        <f ca="1">IFERROR(__xludf.DUMMYFUNCTION("iferror(GOOGLEFINANCE(TRIM(F222)&amp;"":"" &amp; TRIM(B222), ""price""),0
)"),64.25)</f>
        <v>64.25</v>
      </c>
      <c r="H222" s="6">
        <v>95.47</v>
      </c>
      <c r="I222" s="6">
        <f t="shared" ca="1" si="0"/>
        <v>64.25</v>
      </c>
      <c r="J222" s="6">
        <f ca="1">IFERROR(__xludf.DUMMYFUNCTION("IFERROR(GOOGLEFINANCE(B222, ""volume""), 0)"),70703)</f>
        <v>70703</v>
      </c>
      <c r="K222" s="6">
        <v>0.03</v>
      </c>
      <c r="L222" s="6">
        <f ca="1">IFERROR(__xludf.DUMMYFUNCTION("IFERROR(GOOGLEFINANCE(B222,""changepct""),K222)"),-0.14)</f>
        <v>-0.14000000000000001</v>
      </c>
      <c r="M222" s="6">
        <f ca="1">IFERROR(__xludf.DUMMYFUNCTION("IFERROR(GOOGLEFINANCE(B222,""change""),0)"),-0.09)</f>
        <v>-0.09</v>
      </c>
      <c r="N222" s="6">
        <v>1</v>
      </c>
      <c r="O222" s="7">
        <v>45536</v>
      </c>
      <c r="P222" s="6">
        <v>247.17</v>
      </c>
      <c r="Q222" s="6">
        <v>2124.25</v>
      </c>
      <c r="R222" s="7">
        <v>45536</v>
      </c>
      <c r="S222" s="6">
        <v>1589.13</v>
      </c>
      <c r="T222" s="6">
        <v>190.29</v>
      </c>
      <c r="U222" s="7">
        <v>45536</v>
      </c>
      <c r="V222" s="6">
        <v>9.99</v>
      </c>
      <c r="W222" s="6">
        <f ca="1">IFERROR(__xludf.DUMMYFUNCTION("IFERROR(GOOGLEFINANCE(B222,""pe""),V222)"),62.14)</f>
        <v>62.14</v>
      </c>
      <c r="X222" s="6">
        <v>0.93</v>
      </c>
      <c r="Y222" s="6">
        <v>0.98</v>
      </c>
      <c r="Z222" s="6">
        <v>1</v>
      </c>
      <c r="AA222" s="8">
        <v>45352</v>
      </c>
      <c r="AB222" s="4">
        <v>0.06</v>
      </c>
      <c r="AC222" s="6">
        <v>19.55</v>
      </c>
      <c r="AD222" s="6">
        <v>25.34</v>
      </c>
      <c r="AE222" s="1">
        <v>0</v>
      </c>
      <c r="AF222" s="1">
        <f ca="1">IFERROR(__xludf.DUMMYFUNCTION("IFERROR(GOOGLEFINANCE(TRIM(F222)&amp;"":"" &amp; TRIM(B222),""high52""),AE222)"),90)</f>
        <v>90</v>
      </c>
      <c r="AG222" s="1">
        <v>0</v>
      </c>
      <c r="AH222" s="1">
        <f ca="1">IFERROR(__xludf.DUMMYFUNCTION("IFERROR(GOOGLEFINANCE(TRIM(F222)&amp;"":"" &amp; TRIM(B222),""low52""),AE222)"),61.16)</f>
        <v>61.16</v>
      </c>
      <c r="AI222" s="1">
        <f ca="1">IFERROR(__xludf.DUMMYFUNCTION("IFERROR(GOOGLEFINANCE(B222,""eps""),0)"),1.03)</f>
        <v>1.03</v>
      </c>
      <c r="AJ222" s="1"/>
      <c r="AK222" s="1" t="s">
        <v>748</v>
      </c>
      <c r="AL222" s="9">
        <f t="shared" ref="AL222:AL225" si="53">IF(AA222&lt;&gt;AB222,1,0)</f>
        <v>1</v>
      </c>
    </row>
    <row r="223" spans="1:38" ht="15" x14ac:dyDescent="0.25">
      <c r="A223" s="1" t="s">
        <v>749</v>
      </c>
      <c r="B223" s="1" t="s">
        <v>750</v>
      </c>
      <c r="C223" s="1" t="s">
        <v>75</v>
      </c>
      <c r="D223" s="1" t="s">
        <v>75</v>
      </c>
      <c r="E223" s="6">
        <v>26859.07</v>
      </c>
      <c r="F223" s="1" t="s">
        <v>40</v>
      </c>
      <c r="G223" s="6">
        <f ca="1">IFERROR(__xludf.DUMMYFUNCTION("iferror(GOOGLEFINANCE(TRIM(F223)&amp;"":"" &amp; TRIM(B223), ""price""),0
)"),2400)</f>
        <v>2400</v>
      </c>
      <c r="H223" s="6">
        <v>2932.55</v>
      </c>
      <c r="I223" s="6">
        <f t="shared" ca="1" si="0"/>
        <v>2400</v>
      </c>
      <c r="J223" s="6">
        <f ca="1">IFERROR(__xludf.DUMMYFUNCTION("IFERROR(GOOGLEFINANCE(B223, ""volume""), 0)"),1816812)</f>
        <v>1816812</v>
      </c>
      <c r="K223" s="6">
        <v>-1.47</v>
      </c>
      <c r="L223" s="6">
        <f ca="1">IFERROR(__xludf.DUMMYFUNCTION("IFERROR(GOOGLEFINANCE(B223,""changepct""),K223)"),3.76)</f>
        <v>3.76</v>
      </c>
      <c r="M223" s="6">
        <f ca="1">IFERROR(__xludf.DUMMYFUNCTION("IFERROR(GOOGLEFINANCE(B223,""change""),0)"),87)</f>
        <v>87</v>
      </c>
      <c r="N223" s="6">
        <v>2</v>
      </c>
      <c r="O223" s="7">
        <v>45536</v>
      </c>
      <c r="P223" s="6">
        <v>1316.37</v>
      </c>
      <c r="Q223" s="7">
        <v>45536</v>
      </c>
      <c r="R223" s="6">
        <v>20.399999999999999</v>
      </c>
      <c r="S223" s="9"/>
      <c r="T223" s="6">
        <v>5.09</v>
      </c>
      <c r="U223" s="6">
        <v>2</v>
      </c>
      <c r="V223" s="7">
        <v>45352</v>
      </c>
      <c r="W223" s="6">
        <f ca="1">IFERROR(__xludf.DUMMYFUNCTION("IFERROR(GOOGLEFINANCE(B223,""pe""),V223)"),29.06)</f>
        <v>29.06</v>
      </c>
      <c r="X223" s="6">
        <v>0.86</v>
      </c>
      <c r="Y223" s="6">
        <v>44.49</v>
      </c>
      <c r="Z223" s="6">
        <v>38.76</v>
      </c>
      <c r="AA223" s="3" t="s">
        <v>751</v>
      </c>
      <c r="AB223" s="4"/>
      <c r="AC223" s="9"/>
      <c r="AD223" s="9"/>
      <c r="AE223" s="1">
        <v>0</v>
      </c>
      <c r="AF223" s="1">
        <f ca="1">IFERROR(__xludf.DUMMYFUNCTION("IFERROR(GOOGLEFINANCE(TRIM(F223)&amp;"":"" &amp; TRIM(B223),""high52""),AE223)"),3285)</f>
        <v>3285</v>
      </c>
      <c r="AG223" s="1">
        <v>0</v>
      </c>
      <c r="AH223" s="1">
        <f ca="1">IFERROR(__xludf.DUMMYFUNCTION("IFERROR(GOOGLEFINANCE(TRIM(F223)&amp;"":"" &amp; TRIM(B223),""low52""),AE223)"),1941)</f>
        <v>1941</v>
      </c>
      <c r="AI223" s="1">
        <f ca="1">IFERROR(__xludf.DUMMYFUNCTION("IFERROR(GOOGLEFINANCE(B223,""eps""),0)"),82.58)</f>
        <v>82.58</v>
      </c>
      <c r="AJ223" s="1"/>
      <c r="AK223" s="1" t="s">
        <v>752</v>
      </c>
      <c r="AL223" s="9">
        <f t="shared" si="53"/>
        <v>1</v>
      </c>
    </row>
    <row r="224" spans="1:38" ht="15" x14ac:dyDescent="0.25">
      <c r="A224" s="1" t="s">
        <v>753</v>
      </c>
      <c r="B224" s="1" t="s">
        <v>754</v>
      </c>
      <c r="C224" s="1" t="s">
        <v>112</v>
      </c>
      <c r="D224" s="1" t="s">
        <v>112</v>
      </c>
      <c r="E224" s="6">
        <v>181.01</v>
      </c>
      <c r="F224" s="1" t="s">
        <v>40</v>
      </c>
      <c r="G224" s="6">
        <f ca="1">IFERROR(__xludf.DUMMYFUNCTION("iferror(GOOGLEFINANCE(TRIM(F224)&amp;"":"" &amp; TRIM(B224), ""price""),0
)"),0)</f>
        <v>0</v>
      </c>
      <c r="H224" s="6">
        <v>174.85</v>
      </c>
      <c r="I224" s="6">
        <f t="shared" ca="1" si="0"/>
        <v>174.85</v>
      </c>
      <c r="J224" s="6">
        <f ca="1">IFERROR(__xludf.DUMMYFUNCTION("IFERROR(GOOGLEFINANCE(B224, ""volume""), 0)"),0)</f>
        <v>0</v>
      </c>
      <c r="K224" s="12"/>
      <c r="L224" s="6" t="str">
        <f ca="1">IFERROR(__xludf.DUMMYFUNCTION("IFERROR(GOOGLEFINANCE(B224,""changepct""),K224)"),"")</f>
        <v/>
      </c>
      <c r="M224" s="6">
        <f ca="1">IFERROR(__xludf.DUMMYFUNCTION("IFERROR(GOOGLEFINANCE(B224,""change""),0)"),0)</f>
        <v>0</v>
      </c>
      <c r="N224" s="6">
        <v>2</v>
      </c>
      <c r="O224" s="7">
        <v>45536</v>
      </c>
      <c r="P224" s="6">
        <v>23.71</v>
      </c>
      <c r="Q224" s="6">
        <v>204.71</v>
      </c>
      <c r="R224" s="7">
        <v>45536</v>
      </c>
      <c r="S224" s="6">
        <v>208.66</v>
      </c>
      <c r="T224" s="6">
        <v>7.69</v>
      </c>
      <c r="U224" s="7">
        <v>45536</v>
      </c>
      <c r="V224" s="6">
        <v>23.54</v>
      </c>
      <c r="W224" s="6">
        <f ca="1">IFERROR(__xludf.DUMMYFUNCTION("IFERROR(GOOGLEFINANCE(B224,""pe""),V224)"),23.54)</f>
        <v>23.54</v>
      </c>
      <c r="X224" s="12"/>
      <c r="Y224" s="6">
        <v>2.87</v>
      </c>
      <c r="Z224" s="6">
        <v>2</v>
      </c>
      <c r="AA224" s="8">
        <v>45352</v>
      </c>
      <c r="AB224" s="4">
        <v>0.46</v>
      </c>
      <c r="AC224" s="6">
        <v>11.44</v>
      </c>
      <c r="AD224" s="6">
        <v>13.71</v>
      </c>
      <c r="AE224" s="1">
        <v>0</v>
      </c>
      <c r="AF224" s="1">
        <f ca="1">IFERROR(__xludf.DUMMYFUNCTION("IFERROR(GOOGLEFINANCE(TRIM(F224)&amp;"":"" &amp; TRIM(B224),""high52""),AE224)"),0)</f>
        <v>0</v>
      </c>
      <c r="AG224" s="1">
        <v>0</v>
      </c>
      <c r="AH224" s="1">
        <f ca="1">IFERROR(__xludf.DUMMYFUNCTION("IFERROR(GOOGLEFINANCE(TRIM(F224)&amp;"":"" &amp; TRIM(B224),""low52""),AE224)"),0)</f>
        <v>0</v>
      </c>
      <c r="AI224" s="1">
        <f ca="1">IFERROR(__xludf.DUMMYFUNCTION("IFERROR(GOOGLEFINANCE(B224,""eps""),0)"),0)</f>
        <v>0</v>
      </c>
      <c r="AJ224" s="1"/>
      <c r="AK224" s="1" t="s">
        <v>755</v>
      </c>
      <c r="AL224" s="9">
        <f t="shared" si="53"/>
        <v>1</v>
      </c>
    </row>
    <row r="225" spans="1:38" ht="15" x14ac:dyDescent="0.25">
      <c r="A225" s="1" t="s">
        <v>756</v>
      </c>
      <c r="B225" s="1" t="s">
        <v>757</v>
      </c>
      <c r="C225" s="1" t="s">
        <v>324</v>
      </c>
      <c r="D225" s="1" t="s">
        <v>324</v>
      </c>
      <c r="E225" s="6">
        <v>308.76</v>
      </c>
      <c r="F225" s="1" t="s">
        <v>40</v>
      </c>
      <c r="G225" s="6">
        <f ca="1">IFERROR(__xludf.DUMMYFUNCTION("iferror(GOOGLEFINANCE(TRIM(F225)&amp;"":"" &amp; TRIM(B225), ""price""),0
)"),50.25)</f>
        <v>50.25</v>
      </c>
      <c r="H225" s="6">
        <v>110</v>
      </c>
      <c r="I225" s="6">
        <f t="shared" ca="1" si="0"/>
        <v>50.25</v>
      </c>
      <c r="J225" s="6">
        <f ca="1">IFERROR(__xludf.DUMMYFUNCTION("IFERROR(GOOGLEFINANCE(B225, ""volume""), 0)"),14820)</f>
        <v>14820</v>
      </c>
      <c r="K225" s="6">
        <v>-0.67</v>
      </c>
      <c r="L225" s="6">
        <f ca="1">IFERROR(__xludf.DUMMYFUNCTION("IFERROR(GOOGLEFINANCE(B225,""changepct""),K225)"),4.86)</f>
        <v>4.8600000000000003</v>
      </c>
      <c r="M225" s="6">
        <f ca="1">IFERROR(__xludf.DUMMYFUNCTION("IFERROR(GOOGLEFINANCE(B225,""change""),0)"),2.33)</f>
        <v>2.33</v>
      </c>
      <c r="N225" s="6">
        <v>2</v>
      </c>
      <c r="O225" s="7">
        <v>45536</v>
      </c>
      <c r="P225" s="6">
        <v>5.64</v>
      </c>
      <c r="Q225" s="6">
        <v>312.41000000000003</v>
      </c>
      <c r="R225" s="7">
        <v>45536</v>
      </c>
      <c r="S225" s="6">
        <v>106.08</v>
      </c>
      <c r="T225" s="6">
        <v>-0.84</v>
      </c>
      <c r="U225" s="7">
        <v>45536</v>
      </c>
      <c r="V225" s="6">
        <v>0</v>
      </c>
      <c r="W225" s="6">
        <f ca="1">IFERROR(__xludf.DUMMYFUNCTION("IFERROR(GOOGLEFINANCE(B225,""pe""),V225)"),90.55)</f>
        <v>90.55</v>
      </c>
      <c r="X225" s="6">
        <v>0</v>
      </c>
      <c r="Y225" s="6">
        <v>0.8</v>
      </c>
      <c r="Z225" s="6">
        <v>2</v>
      </c>
      <c r="AA225" s="8">
        <v>45352</v>
      </c>
      <c r="AB225" s="4">
        <v>0.02</v>
      </c>
      <c r="AC225" s="6">
        <v>0.08</v>
      </c>
      <c r="AD225" s="6">
        <v>1.32</v>
      </c>
      <c r="AE225" s="1">
        <v>0</v>
      </c>
      <c r="AF225" s="1">
        <f ca="1">IFERROR(__xludf.DUMMYFUNCTION("IFERROR(GOOGLEFINANCE(TRIM(F225)&amp;"":"" &amp; TRIM(B225),""high52""),AE225)"),133)</f>
        <v>133</v>
      </c>
      <c r="AG225" s="1">
        <v>0</v>
      </c>
      <c r="AH225" s="1">
        <f ca="1">IFERROR(__xludf.DUMMYFUNCTION("IFERROR(GOOGLEFINANCE(TRIM(F225)&amp;"":"" &amp; TRIM(B225),""low52""),AE225)"),42)</f>
        <v>42</v>
      </c>
      <c r="AI225" s="1">
        <f ca="1">IFERROR(__xludf.DUMMYFUNCTION("IFERROR(GOOGLEFINANCE(B225,""eps""),0)"),0.55)</f>
        <v>0.55000000000000004</v>
      </c>
      <c r="AJ225" s="1"/>
      <c r="AK225" s="1" t="s">
        <v>758</v>
      </c>
      <c r="AL225" s="9">
        <f t="shared" si="53"/>
        <v>1</v>
      </c>
    </row>
    <row r="226" spans="1:38" ht="15" x14ac:dyDescent="0.25">
      <c r="A226" s="1" t="s">
        <v>759</v>
      </c>
      <c r="B226" s="1" t="s">
        <v>760</v>
      </c>
      <c r="C226" s="1" t="s">
        <v>239</v>
      </c>
      <c r="D226" s="1" t="s">
        <v>239</v>
      </c>
      <c r="E226" s="6">
        <v>486.01</v>
      </c>
      <c r="F226" s="1" t="s">
        <v>40</v>
      </c>
      <c r="G226" s="6">
        <f ca="1">IFERROR(__xludf.DUMMYFUNCTION("iferror(GOOGLEFINANCE(TRIM(F226)&amp;"":"" &amp; TRIM(B226), ""price""),0
)"),143.5)</f>
        <v>143.5</v>
      </c>
      <c r="H226" s="6">
        <v>165.36</v>
      </c>
      <c r="I226" s="6">
        <f t="shared" ca="1" si="0"/>
        <v>143.5</v>
      </c>
      <c r="J226" s="6">
        <f ca="1">IFERROR(__xludf.DUMMYFUNCTION("IFERROR(GOOGLEFINANCE(B226, ""volume""), 0)"),8999)</f>
        <v>8999</v>
      </c>
      <c r="K226" s="6">
        <v>1.1000000000000001</v>
      </c>
      <c r="L226" s="6">
        <f ca="1">IFERROR(__xludf.DUMMYFUNCTION("IFERROR(GOOGLEFINANCE(B226,""changepct""),K226)"),0.35)</f>
        <v>0.35</v>
      </c>
      <c r="M226" s="6">
        <f ca="1">IFERROR(__xludf.DUMMYFUNCTION("IFERROR(GOOGLEFINANCE(B226,""change""),0)"),0.5)</f>
        <v>0.5</v>
      </c>
      <c r="N226" s="6">
        <v>2</v>
      </c>
      <c r="O226" s="7">
        <v>45536</v>
      </c>
      <c r="P226" s="6">
        <v>450.29</v>
      </c>
      <c r="Q226" s="6">
        <v>935.38</v>
      </c>
      <c r="R226" s="7">
        <v>45536</v>
      </c>
      <c r="S226" s="6">
        <v>510.71</v>
      </c>
      <c r="T226" s="6">
        <v>-57.96</v>
      </c>
      <c r="U226" s="7">
        <v>45536</v>
      </c>
      <c r="V226" s="6">
        <v>0</v>
      </c>
      <c r="W226" s="6">
        <f ca="1">IFERROR(__xludf.DUMMYFUNCTION("IFERROR(GOOGLEFINANCE(B226,""pe""),V226)"),0)</f>
        <v>0</v>
      </c>
      <c r="X226" s="9"/>
      <c r="Y226" s="6">
        <v>1.97</v>
      </c>
      <c r="Z226" s="6">
        <v>2</v>
      </c>
      <c r="AA226" s="8">
        <v>45352</v>
      </c>
      <c r="AB226" s="4">
        <v>1.45</v>
      </c>
      <c r="AC226" s="6">
        <v>-12.52</v>
      </c>
      <c r="AD226" s="6">
        <v>-2.44</v>
      </c>
      <c r="AE226" s="1">
        <v>0</v>
      </c>
      <c r="AF226" s="1">
        <f ca="1">IFERROR(__xludf.DUMMYFUNCTION("IFERROR(GOOGLEFINANCE(TRIM(F226)&amp;"":"" &amp; TRIM(B226),""high52""),AE226)"),170)</f>
        <v>170</v>
      </c>
      <c r="AG226" s="1">
        <v>0</v>
      </c>
      <c r="AH226" s="1">
        <f ca="1">IFERROR(__xludf.DUMMYFUNCTION("IFERROR(GOOGLEFINANCE(TRIM(F226)&amp;"":"" &amp; TRIM(B226),""low52""),AE226)"),96.2)</f>
        <v>96.2</v>
      </c>
      <c r="AI226" s="1">
        <f ca="1">IFERROR(__xludf.DUMMYFUNCTION("IFERROR(GOOGLEFINANCE(B226,""eps""),0)"),0)</f>
        <v>0</v>
      </c>
      <c r="AJ226" s="1"/>
      <c r="AK226" s="1" t="s">
        <v>761</v>
      </c>
      <c r="AL226" s="1" t="b">
        <f>ISNUMBER(AA226)</f>
        <v>1</v>
      </c>
    </row>
    <row r="227" spans="1:38" ht="15" x14ac:dyDescent="0.25">
      <c r="A227" s="1" t="s">
        <v>762</v>
      </c>
      <c r="B227" s="1" t="s">
        <v>763</v>
      </c>
      <c r="C227" s="1" t="s">
        <v>219</v>
      </c>
      <c r="D227" s="1" t="s">
        <v>219</v>
      </c>
      <c r="E227" s="6">
        <v>66.459999999999994</v>
      </c>
      <c r="F227" s="1" t="s">
        <v>40</v>
      </c>
      <c r="G227" s="6">
        <f ca="1">IFERROR(__xludf.DUMMYFUNCTION("iferror(GOOGLEFINANCE(TRIM(F227)&amp;"":"" &amp; TRIM(B227), ""price""),0
)"),1.7)</f>
        <v>1.7</v>
      </c>
      <c r="H227" s="6">
        <v>4.62</v>
      </c>
      <c r="I227" s="6">
        <f t="shared" ca="1" si="0"/>
        <v>1.7</v>
      </c>
      <c r="J227" s="6">
        <f ca="1">IFERROR(__xludf.DUMMYFUNCTION("IFERROR(GOOGLEFINANCE(B227, ""volume""), 0)"),4105)</f>
        <v>4105</v>
      </c>
      <c r="K227" s="9"/>
      <c r="L227" s="6">
        <f ca="1">IFERROR(__xludf.DUMMYFUNCTION("IFERROR(GOOGLEFINANCE(B227,""changepct""),K227)"),-0.58)</f>
        <v>-0.57999999999999996</v>
      </c>
      <c r="M227" s="6">
        <f ca="1">IFERROR(__xludf.DUMMYFUNCTION("IFERROR(GOOGLEFINANCE(B227,""change""),0)"),-0.01)</f>
        <v>-0.01</v>
      </c>
      <c r="N227" s="6">
        <v>1</v>
      </c>
      <c r="O227" s="7">
        <v>45170</v>
      </c>
      <c r="P227" s="6">
        <v>1104.9000000000001</v>
      </c>
      <c r="Q227" s="6">
        <v>1171.3699999999999</v>
      </c>
      <c r="R227" s="15">
        <v>45261</v>
      </c>
      <c r="S227" s="6">
        <v>818</v>
      </c>
      <c r="T227" s="6">
        <v>-256.8</v>
      </c>
      <c r="U227" s="15">
        <v>45261</v>
      </c>
      <c r="V227" s="6">
        <v>0</v>
      </c>
      <c r="W227" s="6">
        <f ca="1">IFERROR(__xludf.DUMMYFUNCTION("IFERROR(GOOGLEFINANCE(B227,""pe""),V227)"),0)</f>
        <v>0</v>
      </c>
      <c r="X227" s="6">
        <v>0</v>
      </c>
      <c r="Y227" s="6">
        <v>-0.06</v>
      </c>
      <c r="Z227" s="6">
        <v>1</v>
      </c>
      <c r="AA227" s="8">
        <v>44986</v>
      </c>
      <c r="AB227" s="4">
        <v>-1.25</v>
      </c>
      <c r="AC227" s="6">
        <v>0</v>
      </c>
      <c r="AD227" s="6">
        <v>-34.200000000000003</v>
      </c>
      <c r="AE227" s="1">
        <v>0</v>
      </c>
      <c r="AF227" s="1">
        <f ca="1">IFERROR(__xludf.DUMMYFUNCTION("IFERROR(GOOGLEFINANCE(TRIM(F227)&amp;"":"" &amp; TRIM(B227),""high52""),AE227)"),3.56)</f>
        <v>3.56</v>
      </c>
      <c r="AG227" s="1">
        <v>0</v>
      </c>
      <c r="AH227" s="1">
        <f ca="1">IFERROR(__xludf.DUMMYFUNCTION("IFERROR(GOOGLEFINANCE(TRIM(F227)&amp;"":"" &amp; TRIM(B227),""low52""),AE227)"),1.55)</f>
        <v>1.55</v>
      </c>
      <c r="AI227" s="1">
        <f ca="1">IFERROR(__xludf.DUMMYFUNCTION("IFERROR(GOOGLEFINANCE(B227,""eps""),0)"),0)</f>
        <v>0</v>
      </c>
      <c r="AJ227" s="1"/>
      <c r="AK227" s="1" t="s">
        <v>764</v>
      </c>
      <c r="AL227" s="9">
        <f t="shared" ref="AL227:AL234" si="54">IF(AA227&lt;&gt;AB227,1,0)</f>
        <v>1</v>
      </c>
    </row>
    <row r="228" spans="1:38" ht="15" x14ac:dyDescent="0.25">
      <c r="A228" s="1" t="s">
        <v>765</v>
      </c>
      <c r="B228" s="1" t="s">
        <v>766</v>
      </c>
      <c r="C228" s="1" t="s">
        <v>112</v>
      </c>
      <c r="D228" s="1" t="s">
        <v>112</v>
      </c>
      <c r="E228" s="6">
        <v>245.21</v>
      </c>
      <c r="F228" s="1" t="s">
        <v>40</v>
      </c>
      <c r="G228" s="6">
        <f ca="1">IFERROR(__xludf.DUMMYFUNCTION("iferror(GOOGLEFINANCE(TRIM(F228)&amp;"":"" &amp; TRIM(B228), ""price""),0
)"),0)</f>
        <v>0</v>
      </c>
      <c r="H228" s="6">
        <v>411.5</v>
      </c>
      <c r="I228" s="6">
        <f t="shared" ca="1" si="0"/>
        <v>411.5</v>
      </c>
      <c r="J228" s="6">
        <f ca="1">IFERROR(__xludf.DUMMYFUNCTION("IFERROR(GOOGLEFINANCE(B228, ""volume""), 0)"),0)</f>
        <v>0</v>
      </c>
      <c r="K228" s="6">
        <v>4.97</v>
      </c>
      <c r="L228" s="6">
        <f ca="1">IFERROR(__xludf.DUMMYFUNCTION("IFERROR(GOOGLEFINANCE(B228,""changepct""),K228)"),4.97)</f>
        <v>4.97</v>
      </c>
      <c r="M228" s="6">
        <f ca="1">IFERROR(__xludf.DUMMYFUNCTION("IFERROR(GOOGLEFINANCE(B228,""change""),0)"),0)</f>
        <v>0</v>
      </c>
      <c r="N228" s="6">
        <v>1</v>
      </c>
      <c r="O228" s="7">
        <v>45536</v>
      </c>
      <c r="P228" s="6">
        <v>3.11</v>
      </c>
      <c r="Q228" s="6">
        <v>248.32</v>
      </c>
      <c r="R228" s="7">
        <v>45352</v>
      </c>
      <c r="S228" s="6">
        <v>35.020000000000003</v>
      </c>
      <c r="T228" s="6">
        <v>4.5199999999999996</v>
      </c>
      <c r="U228" s="7">
        <v>45352</v>
      </c>
      <c r="V228" s="6">
        <v>54.28</v>
      </c>
      <c r="W228" s="6">
        <f ca="1">IFERROR(__xludf.DUMMYFUNCTION("IFERROR(GOOGLEFINANCE(B228,""pe""),V228)"),54.28)</f>
        <v>54.28</v>
      </c>
      <c r="X228" s="12"/>
      <c r="Y228" s="6">
        <v>4.49</v>
      </c>
      <c r="Z228" s="6">
        <v>1</v>
      </c>
      <c r="AA228" s="8">
        <v>45352</v>
      </c>
      <c r="AB228" s="4">
        <v>0.12</v>
      </c>
      <c r="AC228" s="6">
        <v>16.41</v>
      </c>
      <c r="AD228" s="6">
        <v>21.96</v>
      </c>
      <c r="AE228" s="1">
        <v>0</v>
      </c>
      <c r="AF228" s="1">
        <f ca="1">IFERROR(__xludf.DUMMYFUNCTION("IFERROR(GOOGLEFINANCE(TRIM(F228)&amp;"":"" &amp; TRIM(B228),""high52""),AE228)"),0)</f>
        <v>0</v>
      </c>
      <c r="AG228" s="1">
        <v>0</v>
      </c>
      <c r="AH228" s="1">
        <f ca="1">IFERROR(__xludf.DUMMYFUNCTION("IFERROR(GOOGLEFINANCE(TRIM(F228)&amp;"":"" &amp; TRIM(B228),""low52""),AE228)"),0)</f>
        <v>0</v>
      </c>
      <c r="AI228" s="1">
        <f ca="1">IFERROR(__xludf.DUMMYFUNCTION("IFERROR(GOOGLEFINANCE(B228,""eps""),0)"),0)</f>
        <v>0</v>
      </c>
      <c r="AJ228" s="1"/>
      <c r="AK228" s="9"/>
      <c r="AL228" s="9">
        <f t="shared" si="54"/>
        <v>1</v>
      </c>
    </row>
    <row r="229" spans="1:38" ht="15" x14ac:dyDescent="0.25">
      <c r="A229" s="1" t="s">
        <v>767</v>
      </c>
      <c r="B229" s="1" t="s">
        <v>768</v>
      </c>
      <c r="C229" s="1" t="s">
        <v>227</v>
      </c>
      <c r="D229" s="1" t="s">
        <v>227</v>
      </c>
      <c r="E229" s="6">
        <v>151.28</v>
      </c>
      <c r="F229" s="1" t="s">
        <v>40</v>
      </c>
      <c r="G229" s="6">
        <f ca="1">IFERROR(__xludf.DUMMYFUNCTION("iferror(GOOGLEFINANCE(TRIM(F229)&amp;"":"" &amp; TRIM(B229), ""price""),0
)"),11.71)</f>
        <v>11.71</v>
      </c>
      <c r="H229" s="6">
        <v>26.63</v>
      </c>
      <c r="I229" s="6">
        <f t="shared" ca="1" si="0"/>
        <v>11.71</v>
      </c>
      <c r="J229" s="6">
        <f ca="1">IFERROR(__xludf.DUMMYFUNCTION("IFERROR(GOOGLEFINANCE(B229, ""volume""), 0)"),23866)</f>
        <v>23866</v>
      </c>
      <c r="K229" s="6">
        <v>0.56999999999999995</v>
      </c>
      <c r="L229" s="6">
        <f ca="1">IFERROR(__xludf.DUMMYFUNCTION("IFERROR(GOOGLEFINANCE(B229,""changepct""),K229)"),-1.68)</f>
        <v>-1.68</v>
      </c>
      <c r="M229" s="6">
        <f ca="1">IFERROR(__xludf.DUMMYFUNCTION("IFERROR(GOOGLEFINANCE(B229,""change""),0)"),-0.2)</f>
        <v>-0.2</v>
      </c>
      <c r="N229" s="6">
        <v>1</v>
      </c>
      <c r="O229" s="7">
        <v>45536</v>
      </c>
      <c r="P229" s="6">
        <v>166.58</v>
      </c>
      <c r="Q229" s="6">
        <v>317.86</v>
      </c>
      <c r="R229" s="7">
        <v>45536</v>
      </c>
      <c r="S229" s="6">
        <v>1513.6</v>
      </c>
      <c r="T229" s="6">
        <v>13.37</v>
      </c>
      <c r="U229" s="7">
        <v>45536</v>
      </c>
      <c r="V229" s="6">
        <v>11.31</v>
      </c>
      <c r="W229" s="6">
        <f ca="1">IFERROR(__xludf.DUMMYFUNCTION("IFERROR(GOOGLEFINANCE(B229,""pe""),V229)"),8.54)</f>
        <v>8.5399999999999991</v>
      </c>
      <c r="X229" s="6">
        <v>0.27</v>
      </c>
      <c r="Y229" s="6">
        <v>1.44</v>
      </c>
      <c r="Z229" s="6">
        <v>1</v>
      </c>
      <c r="AA229" s="8">
        <v>45352</v>
      </c>
      <c r="AB229" s="4">
        <v>0.85</v>
      </c>
      <c r="AC229" s="6">
        <v>23.62</v>
      </c>
      <c r="AD229" s="6">
        <v>14.92</v>
      </c>
      <c r="AE229" s="1">
        <v>0</v>
      </c>
      <c r="AF229" s="1">
        <f ca="1">IFERROR(__xludf.DUMMYFUNCTION("IFERROR(GOOGLEFINANCE(TRIM(F229)&amp;"":"" &amp; TRIM(B229),""high52""),AE229)"),23.23)</f>
        <v>23.23</v>
      </c>
      <c r="AG229" s="1">
        <v>0</v>
      </c>
      <c r="AH229" s="1">
        <f ca="1">IFERROR(__xludf.DUMMYFUNCTION("IFERROR(GOOGLEFINANCE(TRIM(F229)&amp;"":"" &amp; TRIM(B229),""low52""),AE229)"),11.36)</f>
        <v>11.36</v>
      </c>
      <c r="AI229" s="1">
        <f ca="1">IFERROR(__xludf.DUMMYFUNCTION("IFERROR(GOOGLEFINANCE(B229,""eps""),0)"),1.37)</f>
        <v>1.37</v>
      </c>
      <c r="AJ229" s="1"/>
      <c r="AK229" s="1" t="s">
        <v>769</v>
      </c>
      <c r="AL229" s="9">
        <f t="shared" si="54"/>
        <v>1</v>
      </c>
    </row>
    <row r="230" spans="1:38" ht="15" x14ac:dyDescent="0.25">
      <c r="A230" s="1" t="s">
        <v>770</v>
      </c>
      <c r="B230" s="1" t="s">
        <v>771</v>
      </c>
      <c r="C230" s="1" t="s">
        <v>324</v>
      </c>
      <c r="D230" s="1" t="s">
        <v>324</v>
      </c>
      <c r="E230" s="6">
        <v>920.69</v>
      </c>
      <c r="F230" s="1" t="s">
        <v>40</v>
      </c>
      <c r="G230" s="6">
        <f ca="1">IFERROR(__xludf.DUMMYFUNCTION("iferror(GOOGLEFINANCE(TRIM(F230)&amp;"":"" &amp; TRIM(B230), ""price""),0
)"),0)</f>
        <v>0</v>
      </c>
      <c r="H230" s="6">
        <v>426.95</v>
      </c>
      <c r="I230" s="6">
        <f t="shared" ca="1" si="0"/>
        <v>426.95</v>
      </c>
      <c r="J230" s="6">
        <f ca="1">IFERROR(__xludf.DUMMYFUNCTION("IFERROR(GOOGLEFINANCE(B230, ""volume""), 0)"),0)</f>
        <v>0</v>
      </c>
      <c r="K230" s="6">
        <v>1.18</v>
      </c>
      <c r="L230" s="6">
        <f ca="1">IFERROR(__xludf.DUMMYFUNCTION("IFERROR(GOOGLEFINANCE(B230,""changepct""),K230)"),1.18)</f>
        <v>1.18</v>
      </c>
      <c r="M230" s="6">
        <f ca="1">IFERROR(__xludf.DUMMYFUNCTION("IFERROR(GOOGLEFINANCE(B230,""change""),0)"),0)</f>
        <v>0</v>
      </c>
      <c r="N230" s="6">
        <v>1</v>
      </c>
      <c r="O230" s="7">
        <v>45536</v>
      </c>
      <c r="P230" s="6">
        <v>86.94</v>
      </c>
      <c r="Q230" s="6">
        <v>1007.63</v>
      </c>
      <c r="R230" s="7">
        <v>45352</v>
      </c>
      <c r="S230" s="6">
        <v>264.97000000000003</v>
      </c>
      <c r="T230" s="6">
        <v>14.22</v>
      </c>
      <c r="U230" s="7">
        <v>45352</v>
      </c>
      <c r="V230" s="6">
        <v>64.760000000000005</v>
      </c>
      <c r="W230" s="6">
        <f ca="1">IFERROR(__xludf.DUMMYFUNCTION("IFERROR(GOOGLEFINANCE(B230,""pe""),V230)"),64.76)</f>
        <v>64.760000000000005</v>
      </c>
      <c r="X230" s="9"/>
      <c r="Y230" s="6">
        <v>3.33</v>
      </c>
      <c r="Z230" s="6">
        <v>2</v>
      </c>
      <c r="AA230" s="8">
        <v>45352</v>
      </c>
      <c r="AB230" s="4">
        <v>0.59</v>
      </c>
      <c r="AC230" s="6">
        <v>15.76</v>
      </c>
      <c r="AD230" s="6">
        <v>18.510000000000002</v>
      </c>
      <c r="AE230" s="1">
        <v>0</v>
      </c>
      <c r="AF230" s="1">
        <f ca="1">IFERROR(__xludf.DUMMYFUNCTION("IFERROR(GOOGLEFINANCE(TRIM(F230)&amp;"":"" &amp; TRIM(B230),""high52""),AE230)"),0)</f>
        <v>0</v>
      </c>
      <c r="AG230" s="1">
        <v>0</v>
      </c>
      <c r="AH230" s="1">
        <f ca="1">IFERROR(__xludf.DUMMYFUNCTION("IFERROR(GOOGLEFINANCE(TRIM(F230)&amp;"":"" &amp; TRIM(B230),""low52""),AE230)"),0)</f>
        <v>0</v>
      </c>
      <c r="AI230" s="1">
        <f ca="1">IFERROR(__xludf.DUMMYFUNCTION("IFERROR(GOOGLEFINANCE(B230,""eps""),0)"),0)</f>
        <v>0</v>
      </c>
      <c r="AJ230" s="1"/>
      <c r="AK230" s="1" t="s">
        <v>772</v>
      </c>
      <c r="AL230" s="9">
        <f t="shared" si="54"/>
        <v>1</v>
      </c>
    </row>
    <row r="231" spans="1:38" ht="15" x14ac:dyDescent="0.25">
      <c r="A231" s="1" t="s">
        <v>773</v>
      </c>
      <c r="B231" s="1" t="s">
        <v>774</v>
      </c>
      <c r="C231" s="1" t="s">
        <v>487</v>
      </c>
      <c r="D231" s="1" t="s">
        <v>487</v>
      </c>
      <c r="E231" s="6">
        <v>160.24</v>
      </c>
      <c r="F231" s="1" t="s">
        <v>40</v>
      </c>
      <c r="G231" s="6">
        <f ca="1">IFERROR(__xludf.DUMMYFUNCTION("iferror(GOOGLEFINANCE(TRIM(F231)&amp;"":"" &amp; TRIM(B231), ""price""),0
)"),2.9)</f>
        <v>2.9</v>
      </c>
      <c r="H231" s="6">
        <v>10.93</v>
      </c>
      <c r="I231" s="6">
        <f t="shared" ca="1" si="0"/>
        <v>2.9</v>
      </c>
      <c r="J231" s="6">
        <f ca="1">IFERROR(__xludf.DUMMYFUNCTION("IFERROR(GOOGLEFINANCE(B231, ""volume""), 0)"),12194)</f>
        <v>12194</v>
      </c>
      <c r="K231" s="9"/>
      <c r="L231" s="6">
        <f ca="1">IFERROR(__xludf.DUMMYFUNCTION("IFERROR(GOOGLEFINANCE(B231,""changepct""),K231)"),-0.34)</f>
        <v>-0.34</v>
      </c>
      <c r="M231" s="6">
        <f ca="1">IFERROR(__xludf.DUMMYFUNCTION("IFERROR(GOOGLEFINANCE(B231,""change""),0)"),-0.01)</f>
        <v>-0.01</v>
      </c>
      <c r="N231" s="6">
        <v>2</v>
      </c>
      <c r="O231" s="7">
        <v>45536</v>
      </c>
      <c r="P231" s="6">
        <v>476.4</v>
      </c>
      <c r="Q231" s="6">
        <v>605.86</v>
      </c>
      <c r="R231" s="7">
        <v>45536</v>
      </c>
      <c r="S231" s="6">
        <v>670.21</v>
      </c>
      <c r="T231" s="6">
        <v>-294.88</v>
      </c>
      <c r="U231" s="7">
        <v>45536</v>
      </c>
      <c r="V231" s="6">
        <v>0</v>
      </c>
      <c r="W231" s="6">
        <f ca="1">IFERROR(__xludf.DUMMYFUNCTION("IFERROR(GOOGLEFINANCE(B231,""pe""),V231)"),0)</f>
        <v>0</v>
      </c>
      <c r="X231" s="6">
        <v>0</v>
      </c>
      <c r="Y231" s="6">
        <v>-0.17</v>
      </c>
      <c r="Z231" s="6">
        <v>2</v>
      </c>
      <c r="AA231" s="8">
        <v>45352</v>
      </c>
      <c r="AB231" s="4">
        <v>-0.72</v>
      </c>
      <c r="AC231" s="6">
        <v>0</v>
      </c>
      <c r="AD231" s="6">
        <v>0</v>
      </c>
      <c r="AE231" s="1">
        <v>0</v>
      </c>
      <c r="AF231" s="1">
        <f ca="1">IFERROR(__xludf.DUMMYFUNCTION("IFERROR(GOOGLEFINANCE(TRIM(F231)&amp;"":"" &amp; TRIM(B231),""high52""),AE231)"),9)</f>
        <v>9</v>
      </c>
      <c r="AG231" s="1">
        <v>0</v>
      </c>
      <c r="AH231" s="1">
        <f ca="1">IFERROR(__xludf.DUMMYFUNCTION("IFERROR(GOOGLEFINANCE(TRIM(F231)&amp;"":"" &amp; TRIM(B231),""low52""),AE231)"),2.86)</f>
        <v>2.86</v>
      </c>
      <c r="AI231" s="1">
        <f ca="1">IFERROR(__xludf.DUMMYFUNCTION("IFERROR(GOOGLEFINANCE(B231,""eps""),0)"),0)</f>
        <v>0</v>
      </c>
      <c r="AJ231" s="1"/>
      <c r="AK231" s="1" t="s">
        <v>775</v>
      </c>
      <c r="AL231" s="9">
        <f t="shared" si="54"/>
        <v>1</v>
      </c>
    </row>
    <row r="232" spans="1:38" ht="15" x14ac:dyDescent="0.25">
      <c r="A232" s="1" t="s">
        <v>776</v>
      </c>
      <c r="B232" s="1" t="s">
        <v>777</v>
      </c>
      <c r="C232" s="1" t="s">
        <v>778</v>
      </c>
      <c r="D232" s="1" t="s">
        <v>778</v>
      </c>
      <c r="E232" s="6">
        <v>22.79</v>
      </c>
      <c r="F232" s="1" t="s">
        <v>40</v>
      </c>
      <c r="G232" s="6">
        <f ca="1">IFERROR(__xludf.DUMMYFUNCTION("iferror(GOOGLEFINANCE(TRIM(F232)&amp;"":"" &amp; TRIM(B232), ""price""),0
)"),0.91)</f>
        <v>0.91</v>
      </c>
      <c r="H232" s="6">
        <v>1.48</v>
      </c>
      <c r="I232" s="6">
        <f t="shared" ca="1" si="0"/>
        <v>0.91</v>
      </c>
      <c r="J232" s="6">
        <f ca="1">IFERROR(__xludf.DUMMYFUNCTION("IFERROR(GOOGLEFINANCE(B232, ""volume""), 0)"),231009)</f>
        <v>231009</v>
      </c>
      <c r="K232" s="6">
        <v>0.68</v>
      </c>
      <c r="L232" s="6">
        <f ca="1">IFERROR(__xludf.DUMMYFUNCTION("IFERROR(GOOGLEFINANCE(B232,""changepct""),K232)"),0)</f>
        <v>0</v>
      </c>
      <c r="M232" s="6">
        <f ca="1">IFERROR(__xludf.DUMMYFUNCTION("IFERROR(GOOGLEFINANCE(B232,""change""),0)"),0)</f>
        <v>0</v>
      </c>
      <c r="N232" s="6">
        <v>1</v>
      </c>
      <c r="O232" s="7">
        <v>45536</v>
      </c>
      <c r="P232" s="6">
        <v>2.58</v>
      </c>
      <c r="Q232" s="6">
        <v>25.31</v>
      </c>
      <c r="R232" s="7">
        <v>45536</v>
      </c>
      <c r="S232" s="6">
        <v>0.99</v>
      </c>
      <c r="T232" s="6">
        <v>-0.72</v>
      </c>
      <c r="U232" s="7">
        <v>45536</v>
      </c>
      <c r="V232" s="6">
        <v>0</v>
      </c>
      <c r="W232" s="6">
        <f ca="1">IFERROR(__xludf.DUMMYFUNCTION("IFERROR(GOOGLEFINANCE(B232,""pe""),V232)"),5.73)</f>
        <v>5.73</v>
      </c>
      <c r="X232" s="9"/>
      <c r="Y232" s="6">
        <v>0.4</v>
      </c>
      <c r="Z232" s="6">
        <v>1</v>
      </c>
      <c r="AA232" s="8">
        <v>44621</v>
      </c>
      <c r="AB232" s="4">
        <v>0.23</v>
      </c>
      <c r="AC232" s="6">
        <v>0.12</v>
      </c>
      <c r="AD232" s="6">
        <v>0.09</v>
      </c>
      <c r="AE232" s="1">
        <v>0</v>
      </c>
      <c r="AF232" s="1">
        <f ca="1">IFERROR(__xludf.DUMMYFUNCTION("IFERROR(GOOGLEFINANCE(TRIM(F232)&amp;"":"" &amp; TRIM(B232),""high52""),AE232)"),1.62)</f>
        <v>1.62</v>
      </c>
      <c r="AG232" s="1">
        <v>0</v>
      </c>
      <c r="AH232" s="1">
        <f ca="1">IFERROR(__xludf.DUMMYFUNCTION("IFERROR(GOOGLEFINANCE(TRIM(F232)&amp;"":"" &amp; TRIM(B232),""low52""),AE232)"),0.77)</f>
        <v>0.77</v>
      </c>
      <c r="AI232" s="1">
        <f ca="1">IFERROR(__xludf.DUMMYFUNCTION("IFERROR(GOOGLEFINANCE(B232,""eps""),0)"),0.16)</f>
        <v>0.16</v>
      </c>
      <c r="AJ232" s="1"/>
      <c r="AK232" s="1" t="s">
        <v>779</v>
      </c>
      <c r="AL232" s="9">
        <f t="shared" si="54"/>
        <v>1</v>
      </c>
    </row>
    <row r="233" spans="1:38" ht="15" x14ac:dyDescent="0.25">
      <c r="A233" s="1" t="s">
        <v>780</v>
      </c>
      <c r="B233" s="1" t="s">
        <v>781</v>
      </c>
      <c r="C233" s="1" t="s">
        <v>782</v>
      </c>
      <c r="D233" s="1" t="s">
        <v>782</v>
      </c>
      <c r="E233" s="6">
        <v>1760.4</v>
      </c>
      <c r="F233" s="1" t="s">
        <v>40</v>
      </c>
      <c r="G233" s="6">
        <f ca="1">IFERROR(__xludf.DUMMYFUNCTION("iferror(GOOGLEFINANCE(TRIM(F233)&amp;"":"" &amp; TRIM(B233), ""price""),0
)"),516.9)</f>
        <v>516.9</v>
      </c>
      <c r="H233" s="6">
        <v>633.79999999999995</v>
      </c>
      <c r="I233" s="6">
        <f t="shared" ca="1" si="0"/>
        <v>516.9</v>
      </c>
      <c r="J233" s="6">
        <f ca="1">IFERROR(__xludf.DUMMYFUNCTION("IFERROR(GOOGLEFINANCE(B233, ""volume""), 0)"),346239)</f>
        <v>346239</v>
      </c>
      <c r="K233" s="6">
        <v>2.23</v>
      </c>
      <c r="L233" s="6">
        <f ca="1">IFERROR(__xludf.DUMMYFUNCTION("IFERROR(GOOGLEFINANCE(B233,""changepct""),K233)"),0.19)</f>
        <v>0.19</v>
      </c>
      <c r="M233" s="6">
        <f ca="1">IFERROR(__xludf.DUMMYFUNCTION("IFERROR(GOOGLEFINANCE(B233,""change""),0)"),1)</f>
        <v>1</v>
      </c>
      <c r="N233" s="6">
        <v>2</v>
      </c>
      <c r="O233" s="7">
        <v>45536</v>
      </c>
      <c r="P233" s="6">
        <v>396.87</v>
      </c>
      <c r="Q233" s="6">
        <v>2075.2800000000002</v>
      </c>
      <c r="R233" s="7">
        <v>45536</v>
      </c>
      <c r="S233" s="6">
        <v>875.54</v>
      </c>
      <c r="T233" s="6">
        <v>82.38</v>
      </c>
      <c r="U233" s="7">
        <v>45536</v>
      </c>
      <c r="V233" s="6">
        <v>25.18</v>
      </c>
      <c r="W233" s="6">
        <f ca="1">IFERROR(__xludf.DUMMYFUNCTION("IFERROR(GOOGLEFINANCE(B233,""pe""),V233)"),16.81)</f>
        <v>16.809999999999999</v>
      </c>
      <c r="X233" s="12"/>
      <c r="Y233" s="6">
        <v>2.92</v>
      </c>
      <c r="Z233" s="6">
        <v>2</v>
      </c>
      <c r="AA233" s="8">
        <v>45352</v>
      </c>
      <c r="AB233" s="4">
        <v>0.72</v>
      </c>
      <c r="AC233" s="6">
        <v>18.86</v>
      </c>
      <c r="AD233" s="6">
        <v>16.28</v>
      </c>
      <c r="AE233" s="1">
        <v>0</v>
      </c>
      <c r="AF233" s="1">
        <f ca="1">IFERROR(__xludf.DUMMYFUNCTION("IFERROR(GOOGLEFINANCE(TRIM(F233)&amp;"":"" &amp; TRIM(B233),""high52""),AE233)"),693)</f>
        <v>693</v>
      </c>
      <c r="AG233" s="1">
        <v>0</v>
      </c>
      <c r="AH233" s="1">
        <f ca="1">IFERROR(__xludf.DUMMYFUNCTION("IFERROR(GOOGLEFINANCE(TRIM(F233)&amp;"":"" &amp; TRIM(B233),""low52""),AE233)"),408.05)</f>
        <v>408.05</v>
      </c>
      <c r="AI233" s="1">
        <f ca="1">IFERROR(__xludf.DUMMYFUNCTION("IFERROR(GOOGLEFINANCE(B233,""eps""),0)"),30.75)</f>
        <v>30.75</v>
      </c>
      <c r="AJ233" s="1"/>
      <c r="AK233" s="9"/>
      <c r="AL233" s="9">
        <f t="shared" si="54"/>
        <v>1</v>
      </c>
    </row>
    <row r="234" spans="1:38" ht="15" x14ac:dyDescent="0.25">
      <c r="A234" s="1" t="s">
        <v>783</v>
      </c>
      <c r="B234" s="1" t="s">
        <v>784</v>
      </c>
      <c r="C234" s="1" t="s">
        <v>106</v>
      </c>
      <c r="D234" s="1" t="s">
        <v>106</v>
      </c>
      <c r="E234" s="6">
        <v>1145.56</v>
      </c>
      <c r="F234" s="1" t="s">
        <v>40</v>
      </c>
      <c r="G234" s="6">
        <f ca="1">IFERROR(__xludf.DUMMYFUNCTION("iferror(GOOGLEFINANCE(TRIM(F234)&amp;"":"" &amp; TRIM(B234), ""price""),0
)"),71.85)</f>
        <v>71.849999999999994</v>
      </c>
      <c r="H234" s="6">
        <v>231.22</v>
      </c>
      <c r="I234" s="6">
        <f t="shared" ca="1" si="0"/>
        <v>71.849999999999994</v>
      </c>
      <c r="J234" s="6">
        <f ca="1">IFERROR(__xludf.DUMMYFUNCTION("IFERROR(GOOGLEFINANCE(B234, ""volume""), 0)"),46306)</f>
        <v>46306</v>
      </c>
      <c r="K234" s="6">
        <v>1.28</v>
      </c>
      <c r="L234" s="6">
        <f ca="1">IFERROR(__xludf.DUMMYFUNCTION("IFERROR(GOOGLEFINANCE(B234,""changepct""),K234)"),-3.15)</f>
        <v>-3.15</v>
      </c>
      <c r="M234" s="6">
        <f ca="1">IFERROR(__xludf.DUMMYFUNCTION("IFERROR(GOOGLEFINANCE(B234,""change""),0)"),-2.34)</f>
        <v>-2.34</v>
      </c>
      <c r="N234" s="6">
        <v>1</v>
      </c>
      <c r="O234" s="7">
        <v>45536</v>
      </c>
      <c r="P234" s="6">
        <v>13.57</v>
      </c>
      <c r="Q234" s="6">
        <v>1153.6600000000001</v>
      </c>
      <c r="R234" s="7">
        <v>45536</v>
      </c>
      <c r="S234" s="6">
        <v>639.85</v>
      </c>
      <c r="T234" s="6">
        <v>59.02</v>
      </c>
      <c r="U234" s="7">
        <v>45536</v>
      </c>
      <c r="V234" s="6">
        <v>19.41</v>
      </c>
      <c r="W234" s="6">
        <f ca="1">IFERROR(__xludf.DUMMYFUNCTION("IFERROR(GOOGLEFINANCE(B234,""pe""),V234)"),18.59)</f>
        <v>18.59</v>
      </c>
      <c r="X234" s="6">
        <v>0.93</v>
      </c>
      <c r="Y234" s="6">
        <v>3.78</v>
      </c>
      <c r="Z234" s="6">
        <v>1</v>
      </c>
      <c r="AA234" s="8">
        <v>45352</v>
      </c>
      <c r="AB234" s="4">
        <v>0.01</v>
      </c>
      <c r="AC234" s="6">
        <v>22.56</v>
      </c>
      <c r="AD234" s="6">
        <v>29.66</v>
      </c>
      <c r="AE234" s="1">
        <v>0</v>
      </c>
      <c r="AF234" s="1">
        <f ca="1">IFERROR(__xludf.DUMMYFUNCTION("IFERROR(GOOGLEFINANCE(TRIM(F234)&amp;"":"" &amp; TRIM(B234),""high52""),AE234)"),114.9)</f>
        <v>114.9</v>
      </c>
      <c r="AG234" s="1">
        <v>0</v>
      </c>
      <c r="AH234" s="1">
        <f ca="1">IFERROR(__xludf.DUMMYFUNCTION("IFERROR(GOOGLEFINANCE(TRIM(F234)&amp;"":"" &amp; TRIM(B234),""low52""),AE234)"),69.27)</f>
        <v>69.27</v>
      </c>
      <c r="AI234" s="1">
        <f ca="1">IFERROR(__xludf.DUMMYFUNCTION("IFERROR(GOOGLEFINANCE(B234,""eps""),0)"),3.86)</f>
        <v>3.86</v>
      </c>
      <c r="AJ234" s="1"/>
      <c r="AK234" s="1" t="s">
        <v>785</v>
      </c>
      <c r="AL234" s="9">
        <f t="shared" si="54"/>
        <v>1</v>
      </c>
    </row>
    <row r="235" spans="1:38" ht="15" x14ac:dyDescent="0.25">
      <c r="A235" s="1" t="s">
        <v>786</v>
      </c>
      <c r="B235" s="1" t="s">
        <v>787</v>
      </c>
      <c r="C235" s="1" t="s">
        <v>135</v>
      </c>
      <c r="D235" s="1" t="s">
        <v>135</v>
      </c>
      <c r="E235" s="6">
        <v>8020.04</v>
      </c>
      <c r="F235" s="1" t="s">
        <v>40</v>
      </c>
      <c r="G235" s="6">
        <f ca="1">IFERROR(__xludf.DUMMYFUNCTION("iferror(GOOGLEFINANCE(TRIM(F235)&amp;"":"" &amp; TRIM(B235), ""price""),0
)"),1234)</f>
        <v>1234</v>
      </c>
      <c r="H235" s="6">
        <v>726.9</v>
      </c>
      <c r="I235" s="6">
        <f t="shared" ca="1" si="0"/>
        <v>1234</v>
      </c>
      <c r="J235" s="6">
        <f ca="1">IFERROR(__xludf.DUMMYFUNCTION("IFERROR(GOOGLEFINANCE(B235, ""volume""), 0)"),63953)</f>
        <v>63953</v>
      </c>
      <c r="K235" s="6">
        <v>-0.33</v>
      </c>
      <c r="L235" s="6">
        <f ca="1">IFERROR(__xludf.DUMMYFUNCTION("IFERROR(GOOGLEFINANCE(B235,""changepct""),K235)"),0.86)</f>
        <v>0.86</v>
      </c>
      <c r="M235" s="6">
        <f ca="1">IFERROR(__xludf.DUMMYFUNCTION("IFERROR(GOOGLEFINANCE(B235,""change""),0)"),10.5)</f>
        <v>10.5</v>
      </c>
      <c r="N235" s="6">
        <v>2</v>
      </c>
      <c r="O235" s="7">
        <v>45536</v>
      </c>
      <c r="P235" s="6">
        <v>1277.6400000000001</v>
      </c>
      <c r="Q235" s="6">
        <v>9239.01</v>
      </c>
      <c r="R235" s="7">
        <v>45536</v>
      </c>
      <c r="S235" s="6">
        <v>1244.69</v>
      </c>
      <c r="T235" s="6">
        <v>109.32</v>
      </c>
      <c r="U235" s="7">
        <v>45536</v>
      </c>
      <c r="V235" s="6">
        <v>114.73</v>
      </c>
      <c r="W235" s="6">
        <f ca="1">IFERROR(__xludf.DUMMYFUNCTION("IFERROR(GOOGLEFINANCE(B235,""pe""),V235)"),90.35)</f>
        <v>90.35</v>
      </c>
      <c r="X235" s="9"/>
      <c r="Y235" s="6">
        <v>2.88</v>
      </c>
      <c r="Z235" s="6">
        <v>2</v>
      </c>
      <c r="AA235" s="8">
        <v>45352</v>
      </c>
      <c r="AB235" s="4">
        <v>0.38</v>
      </c>
      <c r="AC235" s="6">
        <v>6.66</v>
      </c>
      <c r="AD235" s="6">
        <v>9.5399999999999991</v>
      </c>
      <c r="AE235" s="1">
        <v>0</v>
      </c>
      <c r="AF235" s="1">
        <f ca="1">IFERROR(__xludf.DUMMYFUNCTION("IFERROR(GOOGLEFINANCE(TRIM(F235)&amp;"":"" &amp; TRIM(B235),""high52""),AE235)"),1374.8)</f>
        <v>1374.8</v>
      </c>
      <c r="AG235" s="1">
        <v>0</v>
      </c>
      <c r="AH235" s="1">
        <f ca="1">IFERROR(__xludf.DUMMYFUNCTION("IFERROR(GOOGLEFINANCE(TRIM(F235)&amp;"":"" &amp; TRIM(B235),""low52""),AE235)"),601)</f>
        <v>601</v>
      </c>
      <c r="AI235" s="1">
        <f ca="1">IFERROR(__xludf.DUMMYFUNCTION("IFERROR(GOOGLEFINANCE(B235,""eps""),0)"),13.66)</f>
        <v>13.66</v>
      </c>
      <c r="AJ235" s="1"/>
      <c r="AK235" s="1" t="s">
        <v>788</v>
      </c>
      <c r="AL235" s="1" t="b">
        <f>ISNUMBER(AA235)</f>
        <v>1</v>
      </c>
    </row>
    <row r="236" spans="1:38" ht="15" x14ac:dyDescent="0.25">
      <c r="A236" s="1" t="s">
        <v>789</v>
      </c>
      <c r="B236" s="1" t="s">
        <v>790</v>
      </c>
      <c r="C236" s="1" t="s">
        <v>502</v>
      </c>
      <c r="D236" s="1" t="s">
        <v>502</v>
      </c>
      <c r="E236" s="6">
        <v>215.4</v>
      </c>
      <c r="F236" s="1" t="s">
        <v>40</v>
      </c>
      <c r="G236" s="6">
        <f ca="1">IFERROR(__xludf.DUMMYFUNCTION("iferror(GOOGLEFINANCE(TRIM(F236)&amp;"":"" &amp; TRIM(B236), ""price""),0
)"),0)</f>
        <v>0</v>
      </c>
      <c r="H236" s="6">
        <v>18.8</v>
      </c>
      <c r="I236" s="6">
        <f t="shared" ca="1" si="0"/>
        <v>18.8</v>
      </c>
      <c r="J236" s="6">
        <f ca="1">IFERROR(__xludf.DUMMYFUNCTION("IFERROR(GOOGLEFINANCE(B236, ""volume""), 0)"),0)</f>
        <v>0</v>
      </c>
      <c r="K236" s="6">
        <v>4.74</v>
      </c>
      <c r="L236" s="6">
        <f ca="1">IFERROR(__xludf.DUMMYFUNCTION("IFERROR(GOOGLEFINANCE(B236,""changepct""),K236)"),4.74)</f>
        <v>4.74</v>
      </c>
      <c r="M236" s="6">
        <f ca="1">IFERROR(__xludf.DUMMYFUNCTION("IFERROR(GOOGLEFINANCE(B236,""change""),0)"),0)</f>
        <v>0</v>
      </c>
      <c r="N236" s="6">
        <v>1</v>
      </c>
      <c r="O236" s="7">
        <v>45352</v>
      </c>
      <c r="P236" s="6">
        <v>49.18</v>
      </c>
      <c r="Q236" s="6">
        <v>262.89</v>
      </c>
      <c r="R236" s="14"/>
      <c r="S236" s="9"/>
      <c r="T236" s="9"/>
      <c r="U236" s="7">
        <v>45352</v>
      </c>
      <c r="V236" s="6">
        <v>28.54</v>
      </c>
      <c r="W236" s="6">
        <f ca="1">IFERROR(__xludf.DUMMYFUNCTION("IFERROR(GOOGLEFINANCE(B236,""pe""),V236)"),28.54)</f>
        <v>28.54</v>
      </c>
      <c r="X236" s="9"/>
      <c r="Y236" s="6">
        <v>2.67</v>
      </c>
      <c r="Z236" s="6">
        <v>2</v>
      </c>
      <c r="AA236" s="8">
        <v>45352</v>
      </c>
      <c r="AB236" s="4">
        <v>1.32</v>
      </c>
      <c r="AC236" s="6">
        <v>30.91</v>
      </c>
      <c r="AD236" s="6">
        <v>19.100000000000001</v>
      </c>
      <c r="AE236" s="1">
        <v>0</v>
      </c>
      <c r="AF236" s="1">
        <f ca="1">IFERROR(__xludf.DUMMYFUNCTION("IFERROR(GOOGLEFINANCE(TRIM(F236)&amp;"":"" &amp; TRIM(B236),""high52""),AE236)"),0)</f>
        <v>0</v>
      </c>
      <c r="AG236" s="1">
        <v>0</v>
      </c>
      <c r="AH236" s="1">
        <f ca="1">IFERROR(__xludf.DUMMYFUNCTION("IFERROR(GOOGLEFINANCE(TRIM(F236)&amp;"":"" &amp; TRIM(B236),""low52""),AE236)"),0)</f>
        <v>0</v>
      </c>
      <c r="AI236" s="1">
        <f ca="1">IFERROR(__xludf.DUMMYFUNCTION("IFERROR(GOOGLEFINANCE(B236,""eps""),0)"),0)</f>
        <v>0</v>
      </c>
      <c r="AJ236" s="1"/>
      <c r="AK236" s="1" t="s">
        <v>791</v>
      </c>
      <c r="AL236" s="9">
        <f t="shared" ref="AL236:AL241" si="55">IF(AA236&lt;&gt;AB236,1,0)</f>
        <v>1</v>
      </c>
    </row>
    <row r="237" spans="1:38" ht="15" x14ac:dyDescent="0.25">
      <c r="A237" s="1" t="s">
        <v>792</v>
      </c>
      <c r="B237" s="1" t="s">
        <v>793</v>
      </c>
      <c r="C237" s="1" t="s">
        <v>43</v>
      </c>
      <c r="D237" s="1" t="s">
        <v>43</v>
      </c>
      <c r="E237" s="6">
        <v>0</v>
      </c>
      <c r="F237" s="1" t="s">
        <v>40</v>
      </c>
      <c r="G237" s="6">
        <f ca="1">IFERROR(__xludf.DUMMYFUNCTION("iferror(GOOGLEFINANCE(TRIM(F237)&amp;"":"" &amp; TRIM(B237), ""price""),0
)"),0)</f>
        <v>0</v>
      </c>
      <c r="H237" s="6">
        <v>101.52</v>
      </c>
      <c r="I237" s="6">
        <f t="shared" ca="1" si="0"/>
        <v>101.52</v>
      </c>
      <c r="J237" s="6">
        <f ca="1">IFERROR(__xludf.DUMMYFUNCTION("IFERROR(GOOGLEFINANCE(B237, ""volume""), 0)"),0)</f>
        <v>0</v>
      </c>
      <c r="K237" s="9"/>
      <c r="L237" s="6" t="str">
        <f ca="1">IFERROR(__xludf.DUMMYFUNCTION("IFERROR(GOOGLEFINANCE(B237,""changepct""),K237)"),"")</f>
        <v/>
      </c>
      <c r="M237" s="6">
        <f ca="1">IFERROR(__xludf.DUMMYFUNCTION("IFERROR(GOOGLEFINANCE(B237,""change""),0)"),0)</f>
        <v>0</v>
      </c>
      <c r="N237" s="6">
        <v>1</v>
      </c>
      <c r="O237" s="12"/>
      <c r="P237" s="12"/>
      <c r="Q237" s="7">
        <v>45352</v>
      </c>
      <c r="R237" s="14"/>
      <c r="S237" s="9"/>
      <c r="T237" s="9"/>
      <c r="U237" s="6">
        <v>2</v>
      </c>
      <c r="V237" s="7">
        <v>45352</v>
      </c>
      <c r="W237" s="10">
        <f ca="1">IFERROR(__xludf.DUMMYFUNCTION("IFERROR(GOOGLEFINANCE(B237,""pe""),V237)"),45352)</f>
        <v>45352</v>
      </c>
      <c r="X237" s="6">
        <v>0.56000000000000005</v>
      </c>
      <c r="Y237" s="6">
        <v>-2.1</v>
      </c>
      <c r="Z237" s="6">
        <v>1.65</v>
      </c>
      <c r="AA237" s="3" t="s">
        <v>794</v>
      </c>
      <c r="AB237" s="16"/>
      <c r="AC237" s="12"/>
      <c r="AD237" s="12"/>
      <c r="AE237" s="1">
        <v>0</v>
      </c>
      <c r="AF237" s="1">
        <f ca="1">IFERROR(__xludf.DUMMYFUNCTION("IFERROR(GOOGLEFINANCE(TRIM(F237)&amp;"":"" &amp; TRIM(B237),""high52""),AE237)"),0)</f>
        <v>0</v>
      </c>
      <c r="AG237" s="1">
        <v>0</v>
      </c>
      <c r="AH237" s="1">
        <f ca="1">IFERROR(__xludf.DUMMYFUNCTION("IFERROR(GOOGLEFINANCE(TRIM(F237)&amp;"":"" &amp; TRIM(B237),""low52""),AE237)"),0)</f>
        <v>0</v>
      </c>
      <c r="AI237" s="1">
        <f ca="1">IFERROR(__xludf.DUMMYFUNCTION("IFERROR(GOOGLEFINANCE(B237,""eps""),0)"),0)</f>
        <v>0</v>
      </c>
      <c r="AJ237" s="1"/>
      <c r="AK237" s="1" t="s">
        <v>795</v>
      </c>
      <c r="AL237" s="9">
        <f t="shared" si="55"/>
        <v>1</v>
      </c>
    </row>
    <row r="238" spans="1:38" ht="15" x14ac:dyDescent="0.25">
      <c r="A238" s="1" t="s">
        <v>796</v>
      </c>
      <c r="B238" s="1" t="s">
        <v>797</v>
      </c>
      <c r="C238" s="1" t="s">
        <v>125</v>
      </c>
      <c r="D238" s="1" t="s">
        <v>125</v>
      </c>
      <c r="E238" s="6">
        <v>42222.720000000001</v>
      </c>
      <c r="F238" s="1" t="s">
        <v>40</v>
      </c>
      <c r="G238" s="6">
        <f ca="1">IFERROR(__xludf.DUMMYFUNCTION("iferror(GOOGLEFINANCE(TRIM(F238)&amp;"":"" &amp; TRIM(B238), ""price""),0
)"),8190)</f>
        <v>8190</v>
      </c>
      <c r="H238" s="6">
        <v>10738.8</v>
      </c>
      <c r="I238" s="6">
        <f t="shared" ca="1" si="0"/>
        <v>8190</v>
      </c>
      <c r="J238" s="6">
        <f ca="1">IFERROR(__xludf.DUMMYFUNCTION("IFERROR(GOOGLEFINANCE(B238, ""volume""), 0)"),78971)</f>
        <v>78971</v>
      </c>
      <c r="K238" s="6">
        <v>2.08</v>
      </c>
      <c r="L238" s="6">
        <f ca="1">IFERROR(__xludf.DUMMYFUNCTION("IFERROR(GOOGLEFINANCE(B238,""changepct""),K238)"),1.61)</f>
        <v>1.61</v>
      </c>
      <c r="M238" s="6">
        <f ca="1">IFERROR(__xludf.DUMMYFUNCTION("IFERROR(GOOGLEFINANCE(B238,""change""),0)"),129.5)</f>
        <v>129.5</v>
      </c>
      <c r="N238" s="6">
        <v>2</v>
      </c>
      <c r="O238" s="7">
        <v>45536</v>
      </c>
      <c r="P238" s="6">
        <v>471.5</v>
      </c>
      <c r="Q238" s="6">
        <v>42257.31</v>
      </c>
      <c r="R238" s="7">
        <v>45536</v>
      </c>
      <c r="S238" s="6">
        <v>17123.3</v>
      </c>
      <c r="T238" s="6">
        <v>850.25</v>
      </c>
      <c r="U238" s="7">
        <v>45536</v>
      </c>
      <c r="V238" s="6">
        <v>49.66</v>
      </c>
      <c r="W238" s="6">
        <f ca="1">IFERROR(__xludf.DUMMYFUNCTION("IFERROR(GOOGLEFINANCE(B238,""pe""),V238)"),33.83)</f>
        <v>33.83</v>
      </c>
      <c r="X238" s="6">
        <v>1.1399999999999999</v>
      </c>
      <c r="Y238" s="6">
        <v>10.28</v>
      </c>
      <c r="Z238" s="6">
        <v>2</v>
      </c>
      <c r="AA238" s="8">
        <v>45352</v>
      </c>
      <c r="AB238" s="4">
        <v>0.1</v>
      </c>
      <c r="AC238" s="6">
        <v>27</v>
      </c>
      <c r="AD238" s="6">
        <v>45.08</v>
      </c>
      <c r="AE238" s="1">
        <v>0</v>
      </c>
      <c r="AF238" s="1">
        <f ca="1">IFERROR(__xludf.DUMMYFUNCTION("IFERROR(GOOGLEFINANCE(TRIM(F238)&amp;"":"" &amp; TRIM(B238),""high52""),AE238)"),9905)</f>
        <v>9905</v>
      </c>
      <c r="AG238" s="1">
        <v>0</v>
      </c>
      <c r="AH238" s="1">
        <f ca="1">IFERROR(__xludf.DUMMYFUNCTION("IFERROR(GOOGLEFINANCE(TRIM(F238)&amp;"":"" &amp; TRIM(B238),""low52""),AE238)"),4308.05)</f>
        <v>4308.05</v>
      </c>
      <c r="AI238" s="1">
        <f ca="1">IFERROR(__xludf.DUMMYFUNCTION("IFERROR(GOOGLEFINANCE(B238,""eps""),0)"),242.08)</f>
        <v>242.08</v>
      </c>
      <c r="AJ238" s="1"/>
      <c r="AK238" s="1" t="s">
        <v>798</v>
      </c>
      <c r="AL238" s="9">
        <f t="shared" si="55"/>
        <v>1</v>
      </c>
    </row>
    <row r="239" spans="1:38" ht="15" x14ac:dyDescent="0.25">
      <c r="A239" s="1" t="s">
        <v>799</v>
      </c>
      <c r="B239" s="1" t="s">
        <v>800</v>
      </c>
      <c r="C239" s="1" t="s">
        <v>801</v>
      </c>
      <c r="D239" s="1" t="s">
        <v>801</v>
      </c>
      <c r="E239" s="6">
        <v>1971.4</v>
      </c>
      <c r="F239" s="1" t="s">
        <v>40</v>
      </c>
      <c r="G239" s="6">
        <f ca="1">IFERROR(__xludf.DUMMYFUNCTION("iferror(GOOGLEFINANCE(TRIM(F239)&amp;"":"" &amp; TRIM(B239), ""price""),0
)"),348.1)</f>
        <v>348.1</v>
      </c>
      <c r="H239" s="6">
        <v>381</v>
      </c>
      <c r="I239" s="6">
        <f t="shared" ca="1" si="0"/>
        <v>348.1</v>
      </c>
      <c r="J239" s="6">
        <f ca="1">IFERROR(__xludf.DUMMYFUNCTION("IFERROR(GOOGLEFINANCE(B239, ""volume""), 0)"),23375)</f>
        <v>23375</v>
      </c>
      <c r="K239" s="6">
        <v>0.04</v>
      </c>
      <c r="L239" s="6">
        <f ca="1">IFERROR(__xludf.DUMMYFUNCTION("IFERROR(GOOGLEFINANCE(B239,""changepct""),K239)"),-4.7)</f>
        <v>-4.7</v>
      </c>
      <c r="M239" s="6">
        <f ca="1">IFERROR(__xludf.DUMMYFUNCTION("IFERROR(GOOGLEFINANCE(B239,""change""),0)"),-17.15)</f>
        <v>-17.149999999999999</v>
      </c>
      <c r="N239" s="6">
        <v>1</v>
      </c>
      <c r="O239" s="7">
        <v>45536</v>
      </c>
      <c r="P239" s="6">
        <v>208.78</v>
      </c>
      <c r="Q239" s="6">
        <v>2152.42</v>
      </c>
      <c r="R239" s="7">
        <v>45536</v>
      </c>
      <c r="S239" s="6">
        <v>1255.27</v>
      </c>
      <c r="T239" s="6">
        <v>52.2</v>
      </c>
      <c r="U239" s="7">
        <v>45536</v>
      </c>
      <c r="V239" s="6">
        <v>37.770000000000003</v>
      </c>
      <c r="W239" s="6">
        <f ca="1">IFERROR(__xludf.DUMMYFUNCTION("IFERROR(GOOGLEFINANCE(B239,""pe""),V239)"),21.64)</f>
        <v>21.64</v>
      </c>
      <c r="X239" s="6">
        <v>12.85</v>
      </c>
      <c r="Y239" s="6">
        <v>3.63</v>
      </c>
      <c r="Z239" s="6">
        <v>1</v>
      </c>
      <c r="AA239" s="8">
        <v>45352</v>
      </c>
      <c r="AB239" s="4">
        <v>0.35</v>
      </c>
      <c r="AC239" s="6">
        <v>10.8</v>
      </c>
      <c r="AD239" s="6">
        <v>13.53</v>
      </c>
      <c r="AE239" s="1">
        <v>0</v>
      </c>
      <c r="AF239" s="1">
        <f ca="1">IFERROR(__xludf.DUMMYFUNCTION("IFERROR(GOOGLEFINANCE(TRIM(F239)&amp;"":"" &amp; TRIM(B239),""high52""),AE239)"),444)</f>
        <v>444</v>
      </c>
      <c r="AG239" s="1">
        <v>0</v>
      </c>
      <c r="AH239" s="1">
        <f ca="1">IFERROR(__xludf.DUMMYFUNCTION("IFERROR(GOOGLEFINANCE(TRIM(F239)&amp;"":"" &amp; TRIM(B239),""low52""),AE239)"),286.95)</f>
        <v>286.95</v>
      </c>
      <c r="AI239" s="1">
        <f ca="1">IFERROR(__xludf.DUMMYFUNCTION("IFERROR(GOOGLEFINANCE(B239,""eps""),0)"),16.09)</f>
        <v>16.09</v>
      </c>
      <c r="AJ239" s="1"/>
      <c r="AK239" s="1" t="s">
        <v>802</v>
      </c>
      <c r="AL239" s="9">
        <f t="shared" si="55"/>
        <v>1</v>
      </c>
    </row>
    <row r="240" spans="1:38" ht="15" x14ac:dyDescent="0.25">
      <c r="A240" s="1" t="s">
        <v>803</v>
      </c>
      <c r="B240" s="1" t="s">
        <v>804</v>
      </c>
      <c r="C240" s="1" t="s">
        <v>410</v>
      </c>
      <c r="D240" s="1" t="s">
        <v>410</v>
      </c>
      <c r="E240" s="6">
        <v>4205.6099999999997</v>
      </c>
      <c r="F240" s="1" t="s">
        <v>40</v>
      </c>
      <c r="G240" s="6">
        <f ca="1">IFERROR(__xludf.DUMMYFUNCTION("iferror(GOOGLEFINANCE(TRIM(F240)&amp;"":"" &amp; TRIM(B240), ""price""),0
)"),123.85)</f>
        <v>123.85</v>
      </c>
      <c r="H240" s="6">
        <v>198</v>
      </c>
      <c r="I240" s="6">
        <f t="shared" ca="1" si="0"/>
        <v>123.85</v>
      </c>
      <c r="J240" s="6">
        <f ca="1">IFERROR(__xludf.DUMMYFUNCTION("IFERROR(GOOGLEFINANCE(B240, ""volume""), 0)"),154683)</f>
        <v>154683</v>
      </c>
      <c r="K240" s="6">
        <v>0.49</v>
      </c>
      <c r="L240" s="6">
        <f ca="1">IFERROR(__xludf.DUMMYFUNCTION("IFERROR(GOOGLEFINANCE(B240,""changepct""),K240)"),-1.46)</f>
        <v>-1.46</v>
      </c>
      <c r="M240" s="6">
        <f ca="1">IFERROR(__xludf.DUMMYFUNCTION("IFERROR(GOOGLEFINANCE(B240,""change""),0)"),-1.83)</f>
        <v>-1.83</v>
      </c>
      <c r="N240" s="6">
        <v>2</v>
      </c>
      <c r="O240" s="7">
        <v>45536</v>
      </c>
      <c r="P240" s="6">
        <v>61.59</v>
      </c>
      <c r="Q240" s="6">
        <v>4233.3</v>
      </c>
      <c r="R240" s="7">
        <v>45536</v>
      </c>
      <c r="S240" s="6">
        <v>591.20000000000005</v>
      </c>
      <c r="T240" s="6">
        <v>70.709999999999994</v>
      </c>
      <c r="U240" s="7">
        <v>45536</v>
      </c>
      <c r="V240" s="6">
        <v>59.45</v>
      </c>
      <c r="W240" s="6">
        <f ca="1">IFERROR(__xludf.DUMMYFUNCTION("IFERROR(GOOGLEFINANCE(B240,""pe""),V240)"),29.86)</f>
        <v>29.86</v>
      </c>
      <c r="X240" s="9"/>
      <c r="Y240" s="6">
        <v>3.43</v>
      </c>
      <c r="Z240" s="6">
        <v>2</v>
      </c>
      <c r="AA240" s="8">
        <v>45352</v>
      </c>
      <c r="AB240" s="4">
        <v>0.03</v>
      </c>
      <c r="AC240" s="6">
        <v>7.86</v>
      </c>
      <c r="AD240" s="6">
        <v>13.15</v>
      </c>
      <c r="AE240" s="1">
        <v>0</v>
      </c>
      <c r="AF240" s="1">
        <f ca="1">IFERROR(__xludf.DUMMYFUNCTION("IFERROR(GOOGLEFINANCE(TRIM(F240)&amp;"":"" &amp; TRIM(B240),""high52""),AE240)"),200.98)</f>
        <v>200.98</v>
      </c>
      <c r="AG240" s="1">
        <v>0</v>
      </c>
      <c r="AH240" s="1">
        <f ca="1">IFERROR(__xludf.DUMMYFUNCTION("IFERROR(GOOGLEFINANCE(TRIM(F240)&amp;"":"" &amp; TRIM(B240),""low52""),AE240)"),116.85)</f>
        <v>116.85</v>
      </c>
      <c r="AI240" s="1">
        <f ca="1">IFERROR(__xludf.DUMMYFUNCTION("IFERROR(GOOGLEFINANCE(B240,""eps""),0)"),4.15)</f>
        <v>4.1500000000000004</v>
      </c>
      <c r="AJ240" s="1"/>
      <c r="AK240" s="1" t="s">
        <v>805</v>
      </c>
      <c r="AL240" s="9">
        <f t="shared" si="55"/>
        <v>1</v>
      </c>
    </row>
    <row r="241" spans="1:38" ht="15" x14ac:dyDescent="0.25">
      <c r="A241" s="1" t="s">
        <v>806</v>
      </c>
      <c r="B241" s="1" t="s">
        <v>807</v>
      </c>
      <c r="C241" s="1" t="s">
        <v>782</v>
      </c>
      <c r="D241" s="1" t="s">
        <v>782</v>
      </c>
      <c r="E241" s="6">
        <v>196.72</v>
      </c>
      <c r="F241" s="1" t="s">
        <v>40</v>
      </c>
      <c r="G241" s="6">
        <f ca="1">IFERROR(__xludf.DUMMYFUNCTION("iferror(GOOGLEFINANCE(TRIM(F241)&amp;"":"" &amp; TRIM(B241), ""price""),0
)"),0)</f>
        <v>0</v>
      </c>
      <c r="H241" s="6">
        <v>146.5</v>
      </c>
      <c r="I241" s="6">
        <f t="shared" ca="1" si="0"/>
        <v>146.5</v>
      </c>
      <c r="J241" s="6">
        <f ca="1">IFERROR(__xludf.DUMMYFUNCTION("IFERROR(GOOGLEFINANCE(B241, ""volume""), 0)"),0)</f>
        <v>0</v>
      </c>
      <c r="K241" s="6">
        <v>-1.81</v>
      </c>
      <c r="L241" s="6">
        <f ca="1">IFERROR(__xludf.DUMMYFUNCTION("IFERROR(GOOGLEFINANCE(B241,""changepct""),K241)"),-1.81)</f>
        <v>-1.81</v>
      </c>
      <c r="M241" s="6">
        <f ca="1">IFERROR(__xludf.DUMMYFUNCTION("IFERROR(GOOGLEFINANCE(B241,""change""),0)"),0)</f>
        <v>0</v>
      </c>
      <c r="N241" s="6">
        <v>1</v>
      </c>
      <c r="O241" s="7">
        <v>45352</v>
      </c>
      <c r="P241" s="6">
        <v>0.42</v>
      </c>
      <c r="Q241" s="6">
        <v>187.02</v>
      </c>
      <c r="R241" s="14"/>
      <c r="S241" s="9"/>
      <c r="T241" s="9"/>
      <c r="U241" s="7">
        <v>45352</v>
      </c>
      <c r="V241" s="6">
        <v>29.67</v>
      </c>
      <c r="W241" s="6">
        <f ca="1">IFERROR(__xludf.DUMMYFUNCTION("IFERROR(GOOGLEFINANCE(B241,""pe""),V241)"),29.67)</f>
        <v>29.67</v>
      </c>
      <c r="X241" s="12"/>
      <c r="Y241" s="6">
        <v>4.01</v>
      </c>
      <c r="Z241" s="6">
        <v>1</v>
      </c>
      <c r="AA241" s="8">
        <v>45352</v>
      </c>
      <c r="AB241" s="4">
        <v>0.03</v>
      </c>
      <c r="AC241" s="6">
        <v>60.38</v>
      </c>
      <c r="AD241" s="6">
        <v>79.08</v>
      </c>
      <c r="AE241" s="1">
        <v>0</v>
      </c>
      <c r="AF241" s="1">
        <f ca="1">IFERROR(__xludf.DUMMYFUNCTION("IFERROR(GOOGLEFINANCE(TRIM(F241)&amp;"":"" &amp; TRIM(B241),""high52""),AE241)"),0)</f>
        <v>0</v>
      </c>
      <c r="AG241" s="1">
        <v>0</v>
      </c>
      <c r="AH241" s="1">
        <f ca="1">IFERROR(__xludf.DUMMYFUNCTION("IFERROR(GOOGLEFINANCE(TRIM(F241)&amp;"":"" &amp; TRIM(B241),""low52""),AE241)"),0)</f>
        <v>0</v>
      </c>
      <c r="AI241" s="1">
        <f ca="1">IFERROR(__xludf.DUMMYFUNCTION("IFERROR(GOOGLEFINANCE(B241,""eps""),0)"),0)</f>
        <v>0</v>
      </c>
      <c r="AJ241" s="1"/>
      <c r="AK241" s="9"/>
      <c r="AL241" s="9">
        <f t="shared" si="55"/>
        <v>1</v>
      </c>
    </row>
    <row r="242" spans="1:38" ht="15" x14ac:dyDescent="0.25">
      <c r="A242" s="1" t="s">
        <v>808</v>
      </c>
      <c r="B242" s="1" t="s">
        <v>809</v>
      </c>
      <c r="C242" s="1" t="s">
        <v>338</v>
      </c>
      <c r="D242" s="1" t="s">
        <v>338</v>
      </c>
      <c r="E242" s="6">
        <v>837.5</v>
      </c>
      <c r="F242" s="1" t="s">
        <v>40</v>
      </c>
      <c r="G242" s="6">
        <f ca="1">IFERROR(__xludf.DUMMYFUNCTION("iferror(GOOGLEFINANCE(TRIM(F242)&amp;"":"" &amp; TRIM(B242), ""price""),0
)"),294)</f>
        <v>294</v>
      </c>
      <c r="H242" s="6">
        <v>267.10000000000002</v>
      </c>
      <c r="I242" s="6">
        <f t="shared" ca="1" si="0"/>
        <v>294</v>
      </c>
      <c r="J242" s="6">
        <f ca="1">IFERROR(__xludf.DUMMYFUNCTION("IFERROR(GOOGLEFINANCE(B242, ""volume""), 0)"),14)</f>
        <v>14</v>
      </c>
      <c r="K242" s="6">
        <v>-0.39</v>
      </c>
      <c r="L242" s="6">
        <f ca="1">IFERROR(__xludf.DUMMYFUNCTION("IFERROR(GOOGLEFINANCE(B242,""changepct""),K242)"),-1.5)</f>
        <v>-1.5</v>
      </c>
      <c r="M242" s="6">
        <f ca="1">IFERROR(__xludf.DUMMYFUNCTION("IFERROR(GOOGLEFINANCE(B242,""change""),0)"),-3)</f>
        <v>-3</v>
      </c>
      <c r="N242" s="6">
        <v>1</v>
      </c>
      <c r="O242" s="7">
        <v>45536</v>
      </c>
      <c r="P242" s="6">
        <v>114.58</v>
      </c>
      <c r="Q242" s="6">
        <v>941.55</v>
      </c>
      <c r="R242" s="7">
        <v>45536</v>
      </c>
      <c r="S242" s="6">
        <v>695.25</v>
      </c>
      <c r="T242" s="6">
        <v>4.74</v>
      </c>
      <c r="U242" s="7">
        <v>45536</v>
      </c>
      <c r="V242" s="6">
        <v>176.5</v>
      </c>
      <c r="W242" s="6">
        <f ca="1">IFERROR(__xludf.DUMMYFUNCTION("IFERROR(GOOGLEFINANCE(B242,""pe""),V242)"),176.5)</f>
        <v>176.5</v>
      </c>
      <c r="X242" s="6">
        <v>-7.11</v>
      </c>
      <c r="Y242" s="6">
        <v>1.7</v>
      </c>
      <c r="Z242" s="6">
        <v>1</v>
      </c>
      <c r="AA242" s="8">
        <v>45352</v>
      </c>
      <c r="AB242" s="4">
        <v>0.22</v>
      </c>
      <c r="AC242" s="6">
        <v>2.96</v>
      </c>
      <c r="AD242" s="6">
        <v>5</v>
      </c>
      <c r="AE242" s="1">
        <v>0</v>
      </c>
      <c r="AF242" s="1">
        <f ca="1">IFERROR(__xludf.DUMMYFUNCTION("IFERROR(GOOGLEFINANCE(TRIM(F242)&amp;"":"" &amp; TRIM(B242),""high52""),AE242)"),350.53)</f>
        <v>350.53</v>
      </c>
      <c r="AG242" s="1">
        <v>0</v>
      </c>
      <c r="AH242" s="1">
        <f ca="1">IFERROR(__xludf.DUMMYFUNCTION("IFERROR(GOOGLEFINANCE(TRIM(F242)&amp;"":"" &amp; TRIM(B242),""low52""),AE242)"),186.55)</f>
        <v>186.55</v>
      </c>
      <c r="AI242" s="1">
        <f ca="1">IFERROR(__xludf.DUMMYFUNCTION("IFERROR(GOOGLEFINANCE(B242,""eps""),0)"),0)</f>
        <v>0</v>
      </c>
      <c r="AJ242" s="1"/>
      <c r="AK242" s="1" t="s">
        <v>810</v>
      </c>
      <c r="AL242" s="1" t="b">
        <f>ISNUMBER(AA242)</f>
        <v>1</v>
      </c>
    </row>
    <row r="243" spans="1:38" ht="15" x14ac:dyDescent="0.25">
      <c r="A243" s="1" t="s">
        <v>811</v>
      </c>
      <c r="B243" s="1" t="s">
        <v>812</v>
      </c>
      <c r="C243" s="1" t="s">
        <v>219</v>
      </c>
      <c r="D243" s="1" t="s">
        <v>219</v>
      </c>
      <c r="E243" s="6">
        <v>44023.72</v>
      </c>
      <c r="F243" s="1" t="s">
        <v>40</v>
      </c>
      <c r="G243" s="6">
        <f ca="1">IFERROR(__xludf.DUMMYFUNCTION("iferror(GOOGLEFINANCE(TRIM(F243)&amp;"":"" &amp; TRIM(B243), ""price""),0
)"),2078.2)</f>
        <v>2078.1999999999998</v>
      </c>
      <c r="H243" s="6">
        <v>1610</v>
      </c>
      <c r="I243" s="6">
        <f t="shared" ca="1" si="0"/>
        <v>2078.1999999999998</v>
      </c>
      <c r="J243" s="6">
        <f ca="1">IFERROR(__xludf.DUMMYFUNCTION("IFERROR(GOOGLEFINANCE(B243, ""volume""), 0)"),629971)</f>
        <v>629971</v>
      </c>
      <c r="K243" s="6">
        <v>1.44</v>
      </c>
      <c r="L243" s="6">
        <f ca="1">IFERROR(__xludf.DUMMYFUNCTION("IFERROR(GOOGLEFINANCE(B243,""changepct""),K243)"),1.43)</f>
        <v>1.43</v>
      </c>
      <c r="M243" s="6">
        <f ca="1">IFERROR(__xludf.DUMMYFUNCTION("IFERROR(GOOGLEFINANCE(B243,""change""),0)"),29.3)</f>
        <v>29.3</v>
      </c>
      <c r="N243" s="6">
        <v>2</v>
      </c>
      <c r="O243" s="7">
        <v>45536</v>
      </c>
      <c r="P243" s="6">
        <v>1002.08</v>
      </c>
      <c r="Q243" s="6">
        <v>44822.48</v>
      </c>
      <c r="R243" s="7">
        <v>45536</v>
      </c>
      <c r="S243" s="6">
        <v>18691.71</v>
      </c>
      <c r="T243" s="6">
        <v>582.92999999999995</v>
      </c>
      <c r="U243" s="7">
        <v>45536</v>
      </c>
      <c r="V243" s="6">
        <v>75.52</v>
      </c>
      <c r="W243" s="6">
        <f ca="1">IFERROR(__xludf.DUMMYFUNCTION("IFERROR(GOOGLEFINANCE(B243,""pe""),V243)"),50.53)</f>
        <v>50.53</v>
      </c>
      <c r="X243" s="6">
        <v>2.0099999999999998</v>
      </c>
      <c r="Y243" s="6">
        <v>11.44</v>
      </c>
      <c r="Z243" s="6">
        <v>2</v>
      </c>
      <c r="AA243" s="8">
        <v>45352</v>
      </c>
      <c r="AB243" s="4">
        <v>0.31</v>
      </c>
      <c r="AC243" s="6">
        <v>22.17</v>
      </c>
      <c r="AD243" s="6">
        <v>25.35</v>
      </c>
      <c r="AE243" s="1">
        <v>0</v>
      </c>
      <c r="AF243" s="1">
        <f ca="1">IFERROR(__xludf.DUMMYFUNCTION("IFERROR(GOOGLEFINANCE(TRIM(F243)&amp;"":"" &amp; TRIM(B243),""high52""),AE243)"),2151.1)</f>
        <v>2151.1</v>
      </c>
      <c r="AG243" s="1">
        <v>0</v>
      </c>
      <c r="AH243" s="1">
        <f ca="1">IFERROR(__xludf.DUMMYFUNCTION("IFERROR(GOOGLEFINANCE(TRIM(F243)&amp;"":"" &amp; TRIM(B243),""low52""),AE243)"),1272.7)</f>
        <v>1272.7</v>
      </c>
      <c r="AI243" s="1">
        <f ca="1">IFERROR(__xludf.DUMMYFUNCTION("IFERROR(GOOGLEFINANCE(B243,""eps""),0)"),41.13)</f>
        <v>41.13</v>
      </c>
      <c r="AJ243" s="1"/>
      <c r="AK243" s="1" t="s">
        <v>813</v>
      </c>
      <c r="AL243" s="9">
        <f t="shared" ref="AL243:AL252" si="56">IF(AA243&lt;&gt;AB243,1,0)</f>
        <v>1</v>
      </c>
    </row>
    <row r="244" spans="1:38" ht="15" x14ac:dyDescent="0.25">
      <c r="A244" s="1" t="s">
        <v>814</v>
      </c>
      <c r="B244" s="1" t="s">
        <v>815</v>
      </c>
      <c r="C244" s="1" t="s">
        <v>163</v>
      </c>
      <c r="D244" s="1" t="s">
        <v>163</v>
      </c>
      <c r="E244" s="6">
        <v>106712.7</v>
      </c>
      <c r="F244" s="1" t="s">
        <v>40</v>
      </c>
      <c r="G244" s="6">
        <f ca="1">IFERROR(__xludf.DUMMYFUNCTION("iferror(GOOGLEFINANCE(TRIM(F244)&amp;"":"" &amp; TRIM(B244), ""price""),0
)"),6922.5)</f>
        <v>6922.5</v>
      </c>
      <c r="H244" s="6">
        <v>7387</v>
      </c>
      <c r="I244" s="6">
        <f t="shared" ca="1" si="0"/>
        <v>6922.5</v>
      </c>
      <c r="J244" s="6">
        <f ca="1">IFERROR(__xludf.DUMMYFUNCTION("IFERROR(GOOGLEFINANCE(B244, ""volume""), 0)"),343776)</f>
        <v>343776</v>
      </c>
      <c r="K244" s="6">
        <v>-0.47</v>
      </c>
      <c r="L244" s="6">
        <f ca="1">IFERROR(__xludf.DUMMYFUNCTION("IFERROR(GOOGLEFINANCE(B244,""changepct""),K244)"),-0.37)</f>
        <v>-0.37</v>
      </c>
      <c r="M244" s="6">
        <f ca="1">IFERROR(__xludf.DUMMYFUNCTION("IFERROR(GOOGLEFINANCE(B244,""change""),0)"),-25.5)</f>
        <v>-25.5</v>
      </c>
      <c r="N244" s="6">
        <v>2</v>
      </c>
      <c r="O244" s="7">
        <v>45536</v>
      </c>
      <c r="P244" s="6">
        <v>4848.5</v>
      </c>
      <c r="Q244" s="6">
        <v>109350.9</v>
      </c>
      <c r="R244" s="7">
        <v>45536</v>
      </c>
      <c r="S244" s="6">
        <v>20469.400000000001</v>
      </c>
      <c r="T244" s="6">
        <v>1196.8</v>
      </c>
      <c r="U244" s="7">
        <v>45536</v>
      </c>
      <c r="V244" s="6">
        <v>90.2</v>
      </c>
      <c r="W244" s="6">
        <f ca="1">IFERROR(__xludf.DUMMYFUNCTION("IFERROR(GOOGLEFINANCE(B244,""pe""),V244)"),59.53)</f>
        <v>59.53</v>
      </c>
      <c r="X244" s="6">
        <v>2.95</v>
      </c>
      <c r="Y244" s="6">
        <v>14.24</v>
      </c>
      <c r="Z244" s="6">
        <v>2</v>
      </c>
      <c r="AA244" s="8">
        <v>45352</v>
      </c>
      <c r="AB244" s="4">
        <v>0.47</v>
      </c>
      <c r="AC244" s="6">
        <v>14.26</v>
      </c>
      <c r="AD244" s="6">
        <v>19.079999999999998</v>
      </c>
      <c r="AE244" s="1">
        <v>0</v>
      </c>
      <c r="AF244" s="1">
        <f ca="1">IFERROR(__xludf.DUMMYFUNCTION("IFERROR(GOOGLEFINANCE(TRIM(F244)&amp;"":"" &amp; TRIM(B244),""high52""),AE244)"),8099.5)</f>
        <v>8099.5</v>
      </c>
      <c r="AG244" s="1">
        <v>0</v>
      </c>
      <c r="AH244" s="1">
        <f ca="1">IFERROR(__xludf.DUMMYFUNCTION("IFERROR(GOOGLEFINANCE(TRIM(F244)&amp;"":"" &amp; TRIM(B244),""low52""),AE244)"),6001)</f>
        <v>6001</v>
      </c>
      <c r="AI244" s="1">
        <f ca="1">IFERROR(__xludf.DUMMYFUNCTION("IFERROR(GOOGLEFINANCE(B244,""eps""),0)"),116.28)</f>
        <v>116.28</v>
      </c>
      <c r="AJ244" s="1"/>
      <c r="AK244" s="1" t="s">
        <v>816</v>
      </c>
      <c r="AL244" s="9">
        <f t="shared" si="56"/>
        <v>1</v>
      </c>
    </row>
    <row r="245" spans="1:38" ht="15" x14ac:dyDescent="0.25">
      <c r="A245" s="1" t="s">
        <v>817</v>
      </c>
      <c r="B245" s="1" t="s">
        <v>818</v>
      </c>
      <c r="C245" s="1" t="s">
        <v>525</v>
      </c>
      <c r="D245" s="1" t="s">
        <v>525</v>
      </c>
      <c r="E245" s="6">
        <v>3795.87</v>
      </c>
      <c r="F245" s="1" t="s">
        <v>40</v>
      </c>
      <c r="G245" s="6">
        <f ca="1">IFERROR(__xludf.DUMMYFUNCTION("iferror(GOOGLEFINANCE(TRIM(F245)&amp;"":"" &amp; TRIM(B245), ""price""),0
)"),247.6)</f>
        <v>247.6</v>
      </c>
      <c r="H245" s="6">
        <v>129.68</v>
      </c>
      <c r="I245" s="6">
        <f t="shared" ca="1" si="0"/>
        <v>247.6</v>
      </c>
      <c r="J245" s="6">
        <f ca="1">IFERROR(__xludf.DUMMYFUNCTION("IFERROR(GOOGLEFINANCE(B245, ""volume""), 0)"),0)</f>
        <v>0</v>
      </c>
      <c r="K245" s="6">
        <v>4.6100000000000003</v>
      </c>
      <c r="L245" s="6">
        <f ca="1">IFERROR(__xludf.DUMMYFUNCTION("IFERROR(GOOGLEFINANCE(B245,""changepct""),K245)"),4.61)</f>
        <v>4.6100000000000003</v>
      </c>
      <c r="M245" s="6">
        <f ca="1">IFERROR(__xludf.DUMMYFUNCTION("IFERROR(GOOGLEFINANCE(B245,""change""),0)"),0)</f>
        <v>0</v>
      </c>
      <c r="N245" s="6">
        <v>2</v>
      </c>
      <c r="O245" s="7">
        <v>45536</v>
      </c>
      <c r="P245" s="6">
        <v>210.31</v>
      </c>
      <c r="Q245" s="6">
        <v>3987.67</v>
      </c>
      <c r="R245" s="7">
        <v>45536</v>
      </c>
      <c r="S245" s="6">
        <v>478.69</v>
      </c>
      <c r="T245" s="6">
        <v>47.05</v>
      </c>
      <c r="U245" s="7">
        <v>45536</v>
      </c>
      <c r="V245" s="6">
        <v>80.7</v>
      </c>
      <c r="W245" s="6">
        <f ca="1">IFERROR(__xludf.DUMMYFUNCTION("IFERROR(GOOGLEFINANCE(B245,""pe""),V245)"),80.7)</f>
        <v>80.7</v>
      </c>
      <c r="X245" s="9"/>
      <c r="Y245" s="6">
        <v>6.6</v>
      </c>
      <c r="Z245" s="6">
        <v>2</v>
      </c>
      <c r="AA245" s="8">
        <v>45352</v>
      </c>
      <c r="AB245" s="4">
        <v>0.41</v>
      </c>
      <c r="AC245" s="6">
        <v>7.36</v>
      </c>
      <c r="AD245" s="6">
        <v>11.9</v>
      </c>
      <c r="AE245" s="1">
        <v>0</v>
      </c>
      <c r="AF245" s="1">
        <f ca="1">IFERROR(__xludf.DUMMYFUNCTION("IFERROR(GOOGLEFINANCE(TRIM(F245)&amp;"":"" &amp; TRIM(B245),""high52""),AE245)"),354.7)</f>
        <v>354.7</v>
      </c>
      <c r="AG245" s="1">
        <v>0</v>
      </c>
      <c r="AH245" s="1">
        <f ca="1">IFERROR(__xludf.DUMMYFUNCTION("IFERROR(GOOGLEFINANCE(TRIM(F245)&amp;"":"" &amp; TRIM(B245),""low52""),AE245)"),103.77)</f>
        <v>103.77</v>
      </c>
      <c r="AI245" s="1">
        <f ca="1">IFERROR(__xludf.DUMMYFUNCTION("IFERROR(GOOGLEFINANCE(B245,""eps""),0)"),0)</f>
        <v>0</v>
      </c>
      <c r="AJ245" s="1"/>
      <c r="AK245" s="1" t="s">
        <v>819</v>
      </c>
      <c r="AL245" s="9">
        <f t="shared" si="56"/>
        <v>1</v>
      </c>
    </row>
    <row r="246" spans="1:38" ht="15" x14ac:dyDescent="0.25">
      <c r="A246" s="1" t="s">
        <v>820</v>
      </c>
      <c r="B246" s="1" t="s">
        <v>821</v>
      </c>
      <c r="C246" s="1" t="s">
        <v>82</v>
      </c>
      <c r="D246" s="1" t="s">
        <v>82</v>
      </c>
      <c r="E246" s="6">
        <v>2040.09</v>
      </c>
      <c r="F246" s="1" t="s">
        <v>40</v>
      </c>
      <c r="G246" s="6">
        <f ca="1">IFERROR(__xludf.DUMMYFUNCTION("iferror(GOOGLEFINANCE(TRIM(F246)&amp;"":"" &amp; TRIM(B246), ""price""),0
)"),259.9)</f>
        <v>259.89999999999998</v>
      </c>
      <c r="H246" s="6">
        <v>464</v>
      </c>
      <c r="I246" s="6">
        <f t="shared" ca="1" si="0"/>
        <v>259.89999999999998</v>
      </c>
      <c r="J246" s="6">
        <f ca="1">IFERROR(__xludf.DUMMYFUNCTION("IFERROR(GOOGLEFINANCE(B246, ""volume""), 0)"),40775)</f>
        <v>40775</v>
      </c>
      <c r="K246" s="6">
        <v>0.15</v>
      </c>
      <c r="L246" s="6">
        <f ca="1">IFERROR(__xludf.DUMMYFUNCTION("IFERROR(GOOGLEFINANCE(B246,""changepct""),K246)"),-0.17)</f>
        <v>-0.17</v>
      </c>
      <c r="M246" s="6">
        <f ca="1">IFERROR(__xludf.DUMMYFUNCTION("IFERROR(GOOGLEFINANCE(B246,""change""),0)"),-0.45)</f>
        <v>-0.45</v>
      </c>
      <c r="N246" s="6">
        <v>2</v>
      </c>
      <c r="O246" s="7">
        <v>45536</v>
      </c>
      <c r="P246" s="6">
        <v>138.32</v>
      </c>
      <c r="Q246" s="6">
        <v>2116.7800000000002</v>
      </c>
      <c r="R246" s="7">
        <v>45352</v>
      </c>
      <c r="S246" s="6">
        <v>986.95</v>
      </c>
      <c r="T246" s="6">
        <v>42.82</v>
      </c>
      <c r="U246" s="7">
        <v>45352</v>
      </c>
      <c r="V246" s="6">
        <v>47.84</v>
      </c>
      <c r="W246" s="6">
        <f ca="1">IFERROR(__xludf.DUMMYFUNCTION("IFERROR(GOOGLEFINANCE(B246,""pe""),V246)"),78.29)</f>
        <v>78.290000000000006</v>
      </c>
      <c r="X246" s="9"/>
      <c r="Y246" s="6">
        <v>2.99</v>
      </c>
      <c r="Z246" s="6">
        <v>2</v>
      </c>
      <c r="AA246" s="8">
        <v>45352</v>
      </c>
      <c r="AB246" s="4">
        <v>0.14000000000000001</v>
      </c>
      <c r="AC246" s="6">
        <v>15.68</v>
      </c>
      <c r="AD246" s="6">
        <v>20.170000000000002</v>
      </c>
      <c r="AE246" s="1">
        <v>0</v>
      </c>
      <c r="AF246" s="1">
        <f ca="1">IFERROR(__xludf.DUMMYFUNCTION("IFERROR(GOOGLEFINANCE(TRIM(F246)&amp;"":"" &amp; TRIM(B246),""high52""),AE246)"),494.95)</f>
        <v>494.95</v>
      </c>
      <c r="AG246" s="1">
        <v>0</v>
      </c>
      <c r="AH246" s="1">
        <f ca="1">IFERROR(__xludf.DUMMYFUNCTION("IFERROR(GOOGLEFINANCE(TRIM(F246)&amp;"":"" &amp; TRIM(B246),""low52""),AE246)"),252.1)</f>
        <v>252.1</v>
      </c>
      <c r="AI246" s="1">
        <f ca="1">IFERROR(__xludf.DUMMYFUNCTION("IFERROR(GOOGLEFINANCE(B246,""eps""),0)"),3.32)</f>
        <v>3.32</v>
      </c>
      <c r="AJ246" s="1"/>
      <c r="AK246" s="1" t="s">
        <v>822</v>
      </c>
      <c r="AL246" s="9">
        <f t="shared" si="56"/>
        <v>1</v>
      </c>
    </row>
    <row r="247" spans="1:38" ht="15" x14ac:dyDescent="0.25">
      <c r="A247" s="1" t="s">
        <v>823</v>
      </c>
      <c r="B247" s="1" t="s">
        <v>824</v>
      </c>
      <c r="C247" s="1" t="s">
        <v>410</v>
      </c>
      <c r="D247" s="1" t="s">
        <v>410</v>
      </c>
      <c r="E247" s="6">
        <v>457.5</v>
      </c>
      <c r="F247" s="1" t="s">
        <v>40</v>
      </c>
      <c r="G247" s="6">
        <f ca="1">IFERROR(__xludf.DUMMYFUNCTION("iferror(GOOGLEFINANCE(TRIM(F247)&amp;"":"" &amp; TRIM(B247), ""price""),0
)"),1315)</f>
        <v>1315</v>
      </c>
      <c r="H247" s="6">
        <v>1783.75</v>
      </c>
      <c r="I247" s="6">
        <f t="shared" ca="1" si="0"/>
        <v>1315</v>
      </c>
      <c r="J247" s="6">
        <f ca="1">IFERROR(__xludf.DUMMYFUNCTION("IFERROR(GOOGLEFINANCE(B247, ""volume""), 0)"),3610)</f>
        <v>3610</v>
      </c>
      <c r="K247" s="6">
        <v>1.39</v>
      </c>
      <c r="L247" s="6">
        <f ca="1">IFERROR(__xludf.DUMMYFUNCTION("IFERROR(GOOGLEFINANCE(B247,""changepct""),K247)"),0.91)</f>
        <v>0.91</v>
      </c>
      <c r="M247" s="6">
        <f ca="1">IFERROR(__xludf.DUMMYFUNCTION("IFERROR(GOOGLEFINANCE(B247,""change""),0)"),11.9)</f>
        <v>11.9</v>
      </c>
      <c r="N247" s="6">
        <v>2</v>
      </c>
      <c r="O247" s="7">
        <v>45536</v>
      </c>
      <c r="P247" s="6">
        <v>61.56</v>
      </c>
      <c r="Q247" s="6">
        <v>420.53</v>
      </c>
      <c r="R247" s="7">
        <v>45536</v>
      </c>
      <c r="S247" s="6">
        <v>533.53</v>
      </c>
      <c r="T247" s="6">
        <v>9.15</v>
      </c>
      <c r="U247" s="7">
        <v>45536</v>
      </c>
      <c r="V247" s="6">
        <v>49.99</v>
      </c>
      <c r="W247" s="6">
        <f ca="1">IFERROR(__xludf.DUMMYFUNCTION("IFERROR(GOOGLEFINANCE(B247,""pe""),V247)"),30.94)</f>
        <v>30.94</v>
      </c>
      <c r="X247" s="6">
        <v>-4.29</v>
      </c>
      <c r="Y247" s="6">
        <v>3.3</v>
      </c>
      <c r="Z247" s="6">
        <v>2</v>
      </c>
      <c r="AA247" s="8">
        <v>45352</v>
      </c>
      <c r="AB247" s="4">
        <v>0.5</v>
      </c>
      <c r="AC247" s="6">
        <v>8.68</v>
      </c>
      <c r="AD247" s="6">
        <v>12.64</v>
      </c>
      <c r="AE247" s="1">
        <v>0</v>
      </c>
      <c r="AF247" s="1">
        <f ca="1">IFERROR(__xludf.DUMMYFUNCTION("IFERROR(GOOGLEFINANCE(TRIM(F247)&amp;"":"" &amp; TRIM(B247),""high52""),AE247)"),1668.95)</f>
        <v>1668.95</v>
      </c>
      <c r="AG247" s="1">
        <v>0</v>
      </c>
      <c r="AH247" s="1">
        <f ca="1">IFERROR(__xludf.DUMMYFUNCTION("IFERROR(GOOGLEFINANCE(TRIM(F247)&amp;"":"" &amp; TRIM(B247),""low52""),AE247)"),1150)</f>
        <v>1150</v>
      </c>
      <c r="AI247" s="1">
        <f ca="1">IFERROR(__xludf.DUMMYFUNCTION("IFERROR(GOOGLEFINANCE(B247,""eps""),0)"),42.51)</f>
        <v>42.51</v>
      </c>
      <c r="AJ247" s="1"/>
      <c r="AK247" s="1" t="s">
        <v>825</v>
      </c>
      <c r="AL247" s="9">
        <f t="shared" si="56"/>
        <v>1</v>
      </c>
    </row>
    <row r="248" spans="1:38" ht="15" x14ac:dyDescent="0.25">
      <c r="A248" s="1" t="s">
        <v>826</v>
      </c>
      <c r="B248" s="1" t="s">
        <v>827</v>
      </c>
      <c r="C248" s="1" t="s">
        <v>828</v>
      </c>
      <c r="D248" s="1" t="s">
        <v>828</v>
      </c>
      <c r="E248" s="6">
        <v>33419.01</v>
      </c>
      <c r="F248" s="1" t="s">
        <v>40</v>
      </c>
      <c r="G248" s="6">
        <f ca="1">IFERROR(__xludf.DUMMYFUNCTION("iferror(GOOGLEFINANCE(TRIM(F248)&amp;"":"" &amp; TRIM(B248), ""price""),0
)"),483.7)</f>
        <v>483.7</v>
      </c>
      <c r="H248" s="6">
        <v>523.20000000000005</v>
      </c>
      <c r="I248" s="6">
        <f t="shared" ca="1" si="0"/>
        <v>483.7</v>
      </c>
      <c r="J248" s="6">
        <f ca="1">IFERROR(__xludf.DUMMYFUNCTION("IFERROR(GOOGLEFINANCE(B248, ""volume""), 0)"),799186)</f>
        <v>799186</v>
      </c>
      <c r="K248" s="6">
        <v>-0.64</v>
      </c>
      <c r="L248" s="6">
        <f ca="1">IFERROR(__xludf.DUMMYFUNCTION("IFERROR(GOOGLEFINANCE(B248,""changepct""),K248)"),-0.77)</f>
        <v>-0.77</v>
      </c>
      <c r="M248" s="6">
        <f ca="1">IFERROR(__xludf.DUMMYFUNCTION("IFERROR(GOOGLEFINANCE(B248,""change""),0)"),-3.75)</f>
        <v>-3.75</v>
      </c>
      <c r="N248" s="6">
        <v>2</v>
      </c>
      <c r="O248" s="7">
        <v>45536</v>
      </c>
      <c r="P248" s="6">
        <v>3861.37</v>
      </c>
      <c r="Q248" s="6">
        <v>36403.129999999997</v>
      </c>
      <c r="R248" s="7">
        <v>45536</v>
      </c>
      <c r="S248" s="6">
        <v>25625.45</v>
      </c>
      <c r="T248" s="6">
        <v>1449.83</v>
      </c>
      <c r="U248" s="7">
        <v>45536</v>
      </c>
      <c r="V248" s="6">
        <v>23.04</v>
      </c>
      <c r="W248" s="6">
        <f ca="1">IFERROR(__xludf.DUMMYFUNCTION("IFERROR(GOOGLEFINANCE(B248,""pe""),V248)"),38.74)</f>
        <v>38.74</v>
      </c>
      <c r="X248" s="6">
        <v>1.41</v>
      </c>
      <c r="Y248" s="6">
        <v>2.34</v>
      </c>
      <c r="Z248" s="6">
        <v>2</v>
      </c>
      <c r="AA248" s="8">
        <v>45352</v>
      </c>
      <c r="AB248" s="4">
        <v>0.28000000000000003</v>
      </c>
      <c r="AC248" s="6">
        <v>13.01</v>
      </c>
      <c r="AD248" s="6">
        <v>17.04</v>
      </c>
      <c r="AE248" s="1">
        <v>0</v>
      </c>
      <c r="AF248" s="1">
        <f ca="1">IFERROR(__xludf.DUMMYFUNCTION("IFERROR(GOOGLEFINANCE(TRIM(F248)&amp;"":"" &amp; TRIM(B248),""high52""),AE248)"),540.5)</f>
        <v>540.5</v>
      </c>
      <c r="AG248" s="1">
        <v>0</v>
      </c>
      <c r="AH248" s="1">
        <f ca="1">IFERROR(__xludf.DUMMYFUNCTION("IFERROR(GOOGLEFINANCE(TRIM(F248)&amp;"":"" &amp; TRIM(B248),""low52""),AE248)"),370.9)</f>
        <v>370.9</v>
      </c>
      <c r="AI248" s="1">
        <f ca="1">IFERROR(__xludf.DUMMYFUNCTION("IFERROR(GOOGLEFINANCE(B248,""eps""),0)"),12.49)</f>
        <v>12.49</v>
      </c>
      <c r="AJ248" s="1"/>
      <c r="AK248" s="1" t="s">
        <v>829</v>
      </c>
      <c r="AL248" s="9">
        <f t="shared" si="56"/>
        <v>1</v>
      </c>
    </row>
    <row r="249" spans="1:38" ht="15" x14ac:dyDescent="0.25">
      <c r="A249" s="1" t="s">
        <v>830</v>
      </c>
      <c r="B249" s="1" t="s">
        <v>831</v>
      </c>
      <c r="C249" s="1" t="s">
        <v>227</v>
      </c>
      <c r="D249" s="1" t="s">
        <v>227</v>
      </c>
      <c r="E249" s="6">
        <v>219.72</v>
      </c>
      <c r="F249" s="1" t="s">
        <v>40</v>
      </c>
      <c r="G249" s="6">
        <f ca="1">IFERROR(__xludf.DUMMYFUNCTION("iferror(GOOGLEFINANCE(TRIM(F249)&amp;"":"" &amp; TRIM(B249), ""price""),0
)"),0)</f>
        <v>0</v>
      </c>
      <c r="H249" s="6">
        <v>118.25</v>
      </c>
      <c r="I249" s="6">
        <f t="shared" ca="1" si="0"/>
        <v>118.25</v>
      </c>
      <c r="J249" s="6">
        <f ca="1">IFERROR(__xludf.DUMMYFUNCTION("IFERROR(GOOGLEFINANCE(B249, ""volume""), 0)"),0)</f>
        <v>0</v>
      </c>
      <c r="K249" s="6">
        <v>2.4700000000000002</v>
      </c>
      <c r="L249" s="6">
        <f ca="1">IFERROR(__xludf.DUMMYFUNCTION("IFERROR(GOOGLEFINANCE(B249,""changepct""),K249)"),2.47)</f>
        <v>2.4700000000000002</v>
      </c>
      <c r="M249" s="6">
        <f ca="1">IFERROR(__xludf.DUMMYFUNCTION("IFERROR(GOOGLEFINANCE(B249,""change""),0)"),0)</f>
        <v>0</v>
      </c>
      <c r="N249" s="6">
        <v>1</v>
      </c>
      <c r="O249" s="7">
        <v>45536</v>
      </c>
      <c r="P249" s="6">
        <v>16.329999999999998</v>
      </c>
      <c r="Q249" s="6">
        <v>210.57</v>
      </c>
      <c r="R249" s="14"/>
      <c r="S249" s="9"/>
      <c r="T249" s="9"/>
      <c r="U249" s="7">
        <v>45352</v>
      </c>
      <c r="V249" s="6">
        <v>63.56</v>
      </c>
      <c r="W249" s="6">
        <f ca="1">IFERROR(__xludf.DUMMYFUNCTION("IFERROR(GOOGLEFINANCE(B249,""pe""),V249)"),63.56)</f>
        <v>63.56</v>
      </c>
      <c r="X249" s="9"/>
      <c r="Y249" s="6">
        <v>4.18</v>
      </c>
      <c r="Z249" s="6">
        <v>1</v>
      </c>
      <c r="AA249" s="8">
        <v>45352</v>
      </c>
      <c r="AB249" s="4">
        <v>1.8</v>
      </c>
      <c r="AC249" s="6">
        <v>15.97</v>
      </c>
      <c r="AD249" s="6">
        <v>11.76</v>
      </c>
      <c r="AE249" s="1">
        <v>0</v>
      </c>
      <c r="AF249" s="1">
        <f ca="1">IFERROR(__xludf.DUMMYFUNCTION("IFERROR(GOOGLEFINANCE(TRIM(F249)&amp;"":"" &amp; TRIM(B249),""high52""),AE249)"),0)</f>
        <v>0</v>
      </c>
      <c r="AG249" s="1">
        <v>0</v>
      </c>
      <c r="AH249" s="1">
        <f ca="1">IFERROR(__xludf.DUMMYFUNCTION("IFERROR(GOOGLEFINANCE(TRIM(F249)&amp;"":"" &amp; TRIM(B249),""low52""),AE249)"),0)</f>
        <v>0</v>
      </c>
      <c r="AI249" s="1">
        <f ca="1">IFERROR(__xludf.DUMMYFUNCTION("IFERROR(GOOGLEFINANCE(B249,""eps""),0)"),0)</f>
        <v>0</v>
      </c>
      <c r="AJ249" s="1"/>
      <c r="AK249" s="1" t="s">
        <v>832</v>
      </c>
      <c r="AL249" s="9">
        <f t="shared" si="56"/>
        <v>1</v>
      </c>
    </row>
    <row r="250" spans="1:38" ht="15" x14ac:dyDescent="0.25">
      <c r="A250" s="1" t="s">
        <v>833</v>
      </c>
      <c r="B250" s="1" t="s">
        <v>834</v>
      </c>
      <c r="C250" s="1" t="s">
        <v>835</v>
      </c>
      <c r="D250" s="1" t="s">
        <v>835</v>
      </c>
      <c r="E250" s="6">
        <v>1064.8800000000001</v>
      </c>
      <c r="F250" s="1" t="s">
        <v>40</v>
      </c>
      <c r="G250" s="6">
        <f ca="1">IFERROR(__xludf.DUMMYFUNCTION("iferror(GOOGLEFINANCE(TRIM(F250)&amp;"":"" &amp; TRIM(B250), ""price""),0
)"),77.4)</f>
        <v>77.400000000000006</v>
      </c>
      <c r="H250" s="6">
        <v>186</v>
      </c>
      <c r="I250" s="6">
        <f t="shared" ca="1" si="0"/>
        <v>77.400000000000006</v>
      </c>
      <c r="J250" s="6">
        <f ca="1">IFERROR(__xludf.DUMMYFUNCTION("IFERROR(GOOGLEFINANCE(B250, ""volume""), 0)"),151121)</f>
        <v>151121</v>
      </c>
      <c r="K250" s="6">
        <v>0.91</v>
      </c>
      <c r="L250" s="6">
        <f ca="1">IFERROR(__xludf.DUMMYFUNCTION("IFERROR(GOOGLEFINANCE(B250,""changepct""),K250)"),-0.53)</f>
        <v>-0.53</v>
      </c>
      <c r="M250" s="6">
        <f ca="1">IFERROR(__xludf.DUMMYFUNCTION("IFERROR(GOOGLEFINANCE(B250,""change""),0)"),-0.41)</f>
        <v>-0.41</v>
      </c>
      <c r="N250" s="6">
        <v>2</v>
      </c>
      <c r="O250" s="7">
        <v>45536</v>
      </c>
      <c r="P250" s="9"/>
      <c r="Q250" s="6">
        <v>1034.0999999999999</v>
      </c>
      <c r="R250" s="7">
        <v>45536</v>
      </c>
      <c r="S250" s="6">
        <v>435.91</v>
      </c>
      <c r="T250" s="6">
        <v>20.05</v>
      </c>
      <c r="U250" s="7">
        <v>45536</v>
      </c>
      <c r="V250" s="6">
        <v>53.1</v>
      </c>
      <c r="W250" s="6">
        <f ca="1">IFERROR(__xludf.DUMMYFUNCTION("IFERROR(GOOGLEFINANCE(B250,""pe""),V250)"),20.7)</f>
        <v>20.7</v>
      </c>
      <c r="X250" s="6">
        <v>3.97</v>
      </c>
      <c r="Y250" s="6">
        <v>4.38</v>
      </c>
      <c r="Z250" s="6">
        <v>2</v>
      </c>
      <c r="AA250" s="8">
        <v>45352</v>
      </c>
      <c r="AB250" s="4">
        <v>0</v>
      </c>
      <c r="AC250" s="6">
        <v>11.3</v>
      </c>
      <c r="AD250" s="6">
        <v>16.41</v>
      </c>
      <c r="AE250" s="1">
        <v>0</v>
      </c>
      <c r="AF250" s="1">
        <f ca="1">IFERROR(__xludf.DUMMYFUNCTION("IFERROR(GOOGLEFINANCE(TRIM(F250)&amp;"":"" &amp; TRIM(B250),""high52""),AE250)"),182.3)</f>
        <v>182.3</v>
      </c>
      <c r="AG250" s="1">
        <v>0</v>
      </c>
      <c r="AH250" s="1">
        <f ca="1">IFERROR(__xludf.DUMMYFUNCTION("IFERROR(GOOGLEFINANCE(TRIM(F250)&amp;"":"" &amp; TRIM(B250),""low52""),AE250)"),76.02)</f>
        <v>76.02</v>
      </c>
      <c r="AI250" s="1">
        <f ca="1">IFERROR(__xludf.DUMMYFUNCTION("IFERROR(GOOGLEFINANCE(B250,""eps""),0)"),3.74)</f>
        <v>3.74</v>
      </c>
      <c r="AJ250" s="1"/>
      <c r="AK250" s="1" t="s">
        <v>836</v>
      </c>
      <c r="AL250" s="9">
        <f t="shared" si="56"/>
        <v>1</v>
      </c>
    </row>
    <row r="251" spans="1:38" ht="15" x14ac:dyDescent="0.25">
      <c r="A251" s="1" t="s">
        <v>837</v>
      </c>
      <c r="B251" s="1" t="s">
        <v>838</v>
      </c>
      <c r="C251" s="1" t="s">
        <v>94</v>
      </c>
      <c r="D251" s="1" t="s">
        <v>94</v>
      </c>
      <c r="E251" s="6">
        <v>14974.43</v>
      </c>
      <c r="F251" s="1" t="s">
        <v>40</v>
      </c>
      <c r="G251" s="6">
        <f ca="1">IFERROR(__xludf.DUMMYFUNCTION("iferror(GOOGLEFINANCE(TRIM(F251)&amp;"":"" &amp; TRIM(B251), ""price""),0
)"),266.75)</f>
        <v>266.75</v>
      </c>
      <c r="H251" s="6">
        <v>297.55</v>
      </c>
      <c r="I251" s="6">
        <f t="shared" ca="1" si="0"/>
        <v>266.75</v>
      </c>
      <c r="J251" s="6">
        <f ca="1">IFERROR(__xludf.DUMMYFUNCTION("IFERROR(GOOGLEFINANCE(B251, ""volume""), 0)"),1002831)</f>
        <v>1002831</v>
      </c>
      <c r="K251" s="6">
        <v>-0.73</v>
      </c>
      <c r="L251" s="6">
        <f ca="1">IFERROR(__xludf.DUMMYFUNCTION("IFERROR(GOOGLEFINANCE(B251,""changepct""),K251)"),-0.54)</f>
        <v>-0.54</v>
      </c>
      <c r="M251" s="6">
        <f ca="1">IFERROR(__xludf.DUMMYFUNCTION("IFERROR(GOOGLEFINANCE(B251,""change""),0)"),-1.45)</f>
        <v>-1.45</v>
      </c>
      <c r="N251" s="6">
        <v>2</v>
      </c>
      <c r="O251" s="7">
        <v>45536</v>
      </c>
      <c r="P251" s="6">
        <v>675.33</v>
      </c>
      <c r="Q251" s="7">
        <v>45536</v>
      </c>
      <c r="R251" s="6">
        <v>22.17</v>
      </c>
      <c r="S251" s="9"/>
      <c r="T251" s="6">
        <v>3.73</v>
      </c>
      <c r="U251" s="6">
        <v>2</v>
      </c>
      <c r="V251" s="7">
        <v>45352</v>
      </c>
      <c r="W251" s="6">
        <f ca="1">IFERROR(__xludf.DUMMYFUNCTION("IFERROR(GOOGLEFINANCE(B251,""pe""),V251)"),15.86)</f>
        <v>15.86</v>
      </c>
      <c r="X251" s="6">
        <v>1.38</v>
      </c>
      <c r="Y251" s="6">
        <v>17.260000000000002</v>
      </c>
      <c r="Z251" s="6">
        <v>14.7</v>
      </c>
      <c r="AA251" s="3" t="s">
        <v>839</v>
      </c>
      <c r="AB251" s="11"/>
      <c r="AC251" s="9"/>
      <c r="AD251" s="9"/>
      <c r="AE251" s="1">
        <v>0</v>
      </c>
      <c r="AF251" s="1">
        <f ca="1">IFERROR(__xludf.DUMMYFUNCTION("IFERROR(GOOGLEFINANCE(TRIM(F251)&amp;"":"" &amp; TRIM(B251),""high52""),AE251)"),364)</f>
        <v>364</v>
      </c>
      <c r="AG251" s="1">
        <v>0</v>
      </c>
      <c r="AH251" s="1">
        <f ca="1">IFERROR(__xludf.DUMMYFUNCTION("IFERROR(GOOGLEFINANCE(TRIM(F251)&amp;"":"" &amp; TRIM(B251),""low52""),AE251)"),257.15)</f>
        <v>257.14999999999998</v>
      </c>
      <c r="AI251" s="1">
        <f ca="1">IFERROR(__xludf.DUMMYFUNCTION("IFERROR(GOOGLEFINANCE(B251,""eps""),0)"),16.82)</f>
        <v>16.82</v>
      </c>
      <c r="AJ251" s="1"/>
      <c r="AK251" s="1" t="s">
        <v>840</v>
      </c>
      <c r="AL251" s="9">
        <f t="shared" si="56"/>
        <v>1</v>
      </c>
    </row>
    <row r="252" spans="1:38" ht="15" x14ac:dyDescent="0.25">
      <c r="A252" s="1" t="s">
        <v>841</v>
      </c>
      <c r="B252" s="1" t="s">
        <v>842</v>
      </c>
      <c r="C252" s="1" t="s">
        <v>843</v>
      </c>
      <c r="D252" s="1" t="s">
        <v>843</v>
      </c>
      <c r="E252" s="6">
        <v>94.38</v>
      </c>
      <c r="F252" s="1" t="s">
        <v>40</v>
      </c>
      <c r="G252" s="6">
        <f ca="1">IFERROR(__xludf.DUMMYFUNCTION("iferror(GOOGLEFINANCE(TRIM(F252)&amp;"":"" &amp; TRIM(B252), ""price""),0
)"),0)</f>
        <v>0</v>
      </c>
      <c r="H252" s="6">
        <v>86.65</v>
      </c>
      <c r="I252" s="6">
        <f t="shared" ca="1" si="0"/>
        <v>86.65</v>
      </c>
      <c r="J252" s="6">
        <f ca="1">IFERROR(__xludf.DUMMYFUNCTION("IFERROR(GOOGLEFINANCE(B252, ""volume""), 0)"),0)</f>
        <v>0</v>
      </c>
      <c r="K252" s="12"/>
      <c r="L252" s="6" t="str">
        <f ca="1">IFERROR(__xludf.DUMMYFUNCTION("IFERROR(GOOGLEFINANCE(B252,""changepct""),K252)"),"")</f>
        <v/>
      </c>
      <c r="M252" s="6">
        <f ca="1">IFERROR(__xludf.DUMMYFUNCTION("IFERROR(GOOGLEFINANCE(B252,""change""),0)"),0)</f>
        <v>0</v>
      </c>
      <c r="N252" s="6">
        <v>1</v>
      </c>
      <c r="O252" s="7">
        <v>45536</v>
      </c>
      <c r="P252" s="6">
        <v>26.76</v>
      </c>
      <c r="Q252" s="6">
        <v>121.14</v>
      </c>
      <c r="R252" s="7">
        <v>45352</v>
      </c>
      <c r="S252" s="6">
        <v>261.85000000000002</v>
      </c>
      <c r="T252" s="6">
        <v>6.8</v>
      </c>
      <c r="U252" s="7">
        <v>45352</v>
      </c>
      <c r="V252" s="6">
        <v>13.87</v>
      </c>
      <c r="W252" s="6">
        <f ca="1">IFERROR(__xludf.DUMMYFUNCTION("IFERROR(GOOGLEFINANCE(B252,""pe""),V252)"),13.87)</f>
        <v>13.87</v>
      </c>
      <c r="X252" s="9"/>
      <c r="Y252" s="6">
        <v>1.92</v>
      </c>
      <c r="Z252" s="6">
        <v>1</v>
      </c>
      <c r="AA252" s="8">
        <v>45352</v>
      </c>
      <c r="AB252" s="4">
        <v>0.72</v>
      </c>
      <c r="AC252" s="6">
        <v>19.14</v>
      </c>
      <c r="AD252" s="6">
        <v>17.149999999999999</v>
      </c>
      <c r="AE252" s="1">
        <v>0</v>
      </c>
      <c r="AF252" s="1">
        <f ca="1">IFERROR(__xludf.DUMMYFUNCTION("IFERROR(GOOGLEFINANCE(TRIM(F252)&amp;"":"" &amp; TRIM(B252),""high52""),AE252)"),0)</f>
        <v>0</v>
      </c>
      <c r="AG252" s="1">
        <v>0</v>
      </c>
      <c r="AH252" s="1">
        <f ca="1">IFERROR(__xludf.DUMMYFUNCTION("IFERROR(GOOGLEFINANCE(TRIM(F252)&amp;"":"" &amp; TRIM(B252),""low52""),AE252)"),0)</f>
        <v>0</v>
      </c>
      <c r="AI252" s="1">
        <f ca="1">IFERROR(__xludf.DUMMYFUNCTION("IFERROR(GOOGLEFINANCE(B252,""eps""),0)"),0)</f>
        <v>0</v>
      </c>
      <c r="AJ252" s="1"/>
      <c r="AK252" s="1" t="s">
        <v>844</v>
      </c>
      <c r="AL252" s="9">
        <f t="shared" si="56"/>
        <v>1</v>
      </c>
    </row>
    <row r="253" spans="1:38" ht="15" x14ac:dyDescent="0.25">
      <c r="A253" s="1" t="s">
        <v>845</v>
      </c>
      <c r="B253" s="1" t="s">
        <v>846</v>
      </c>
      <c r="C253" s="1" t="s">
        <v>135</v>
      </c>
      <c r="D253" s="1" t="s">
        <v>135</v>
      </c>
      <c r="E253" s="6">
        <v>8249.91</v>
      </c>
      <c r="F253" s="1" t="s">
        <v>40</v>
      </c>
      <c r="G253" s="6">
        <f ca="1">IFERROR(__xludf.DUMMYFUNCTION("iferror(GOOGLEFINANCE(TRIM(F253)&amp;"":"" &amp; TRIM(B253), ""price""),0
)"),565.1)</f>
        <v>565.1</v>
      </c>
      <c r="H253" s="6">
        <v>666.3</v>
      </c>
      <c r="I253" s="6">
        <f t="shared" ca="1" si="0"/>
        <v>565.1</v>
      </c>
      <c r="J253" s="6">
        <f ca="1">IFERROR(__xludf.DUMMYFUNCTION("IFERROR(GOOGLEFINANCE(B253, ""volume""), 0)"),40)</f>
        <v>40</v>
      </c>
      <c r="K253" s="6">
        <v>-0.45</v>
      </c>
      <c r="L253" s="6">
        <f ca="1">IFERROR(__xludf.DUMMYFUNCTION("IFERROR(GOOGLEFINANCE(B253,""changepct""),K253)"),0.36)</f>
        <v>0.36</v>
      </c>
      <c r="M253" s="6">
        <f ca="1">IFERROR(__xludf.DUMMYFUNCTION("IFERROR(GOOGLEFINANCE(B253,""change""),0)"),0.06)</f>
        <v>0.06</v>
      </c>
      <c r="N253" s="6">
        <v>2</v>
      </c>
      <c r="O253" s="7">
        <v>45536</v>
      </c>
      <c r="P253" s="6">
        <v>115.97</v>
      </c>
      <c r="Q253" s="6">
        <v>8365.8799999999992</v>
      </c>
      <c r="R253" s="7">
        <v>45536</v>
      </c>
      <c r="S253" s="6">
        <v>1149.68</v>
      </c>
      <c r="T253" s="6">
        <v>219.69</v>
      </c>
      <c r="U253" s="7">
        <v>45536</v>
      </c>
      <c r="V253" s="6">
        <v>37.54</v>
      </c>
      <c r="W253" s="6">
        <f ca="1">IFERROR(__xludf.DUMMYFUNCTION("IFERROR(GOOGLEFINANCE(B253,""pe""),V253)"),37.54)</f>
        <v>37.54</v>
      </c>
      <c r="X253" s="9"/>
      <c r="Y253" s="6">
        <v>4.68</v>
      </c>
      <c r="Z253" s="6">
        <v>2</v>
      </c>
      <c r="AA253" s="8">
        <v>45352</v>
      </c>
      <c r="AB253" s="4">
        <v>0.04</v>
      </c>
      <c r="AC253" s="6">
        <v>20.43</v>
      </c>
      <c r="AD253" s="6">
        <v>27.11</v>
      </c>
      <c r="AE253" s="1">
        <v>0</v>
      </c>
      <c r="AF253" s="1">
        <f ca="1">IFERROR(__xludf.DUMMYFUNCTION("IFERROR(GOOGLEFINANCE(TRIM(F253)&amp;"":"" &amp; TRIM(B253),""high52""),AE253)"),727.6)</f>
        <v>727.6</v>
      </c>
      <c r="AG253" s="1">
        <v>0</v>
      </c>
      <c r="AH253" s="1">
        <f ca="1">IFERROR(__xludf.DUMMYFUNCTION("IFERROR(GOOGLEFINANCE(TRIM(F253)&amp;"":"" &amp; TRIM(B253),""low52""),AE253)"),408.35)</f>
        <v>408.35</v>
      </c>
      <c r="AI253" s="1">
        <f ca="1">IFERROR(__xludf.DUMMYFUNCTION("IFERROR(GOOGLEFINANCE(B253,""eps""),0)"),-2.66)</f>
        <v>-2.66</v>
      </c>
      <c r="AJ253" s="1"/>
      <c r="AK253" s="1" t="s">
        <v>847</v>
      </c>
      <c r="AL253" s="1" t="b">
        <f>ISNUMBER(AA253)</f>
        <v>1</v>
      </c>
    </row>
    <row r="254" spans="1:38" ht="15" x14ac:dyDescent="0.25">
      <c r="A254" s="1" t="s">
        <v>848</v>
      </c>
      <c r="B254" s="1" t="s">
        <v>849</v>
      </c>
      <c r="C254" s="1" t="s">
        <v>850</v>
      </c>
      <c r="D254" s="1" t="s">
        <v>850</v>
      </c>
      <c r="E254" s="6">
        <v>53.62</v>
      </c>
      <c r="F254" s="1" t="s">
        <v>40</v>
      </c>
      <c r="G254" s="6">
        <f ca="1">IFERROR(__xludf.DUMMYFUNCTION("iferror(GOOGLEFINANCE(TRIM(F254)&amp;"":"" &amp; TRIM(B254), ""price""),0
)"),74.85)</f>
        <v>74.849999999999994</v>
      </c>
      <c r="H254" s="6">
        <v>99.7</v>
      </c>
      <c r="I254" s="6">
        <f t="shared" ca="1" si="0"/>
        <v>74.849999999999994</v>
      </c>
      <c r="J254" s="6">
        <f ca="1">IFERROR(__xludf.DUMMYFUNCTION("IFERROR(GOOGLEFINANCE(B254, ""volume""), 0)"),284)</f>
        <v>284</v>
      </c>
      <c r="K254" s="6">
        <v>0.32</v>
      </c>
      <c r="L254" s="6">
        <f ca="1">IFERROR(__xludf.DUMMYFUNCTION("IFERROR(GOOGLEFINANCE(B254,""changepct""),K254)"),0)</f>
        <v>0</v>
      </c>
      <c r="M254" s="6">
        <f ca="1">IFERROR(__xludf.DUMMYFUNCTION("IFERROR(GOOGLEFINANCE(B254,""change""),0)"),0)</f>
        <v>0</v>
      </c>
      <c r="N254" s="6">
        <v>1</v>
      </c>
      <c r="O254" s="7">
        <v>45536</v>
      </c>
      <c r="P254" s="6">
        <v>19.55</v>
      </c>
      <c r="Q254" s="6">
        <v>72.81</v>
      </c>
      <c r="R254" s="7">
        <v>45536</v>
      </c>
      <c r="S254" s="6">
        <v>53.13</v>
      </c>
      <c r="T254" s="6">
        <v>0.31</v>
      </c>
      <c r="U254" s="7">
        <v>45536</v>
      </c>
      <c r="V254" s="6">
        <v>171.31</v>
      </c>
      <c r="W254" s="6">
        <f ca="1">IFERROR(__xludf.DUMMYFUNCTION("IFERROR(GOOGLEFINANCE(B254,""pe""),V254)"),15593.75)</f>
        <v>15593.75</v>
      </c>
      <c r="X254" s="9"/>
      <c r="Y254" s="6">
        <v>1.06</v>
      </c>
      <c r="Z254" s="6">
        <v>1</v>
      </c>
      <c r="AA254" s="8">
        <v>45352</v>
      </c>
      <c r="AB254" s="4">
        <v>0.37</v>
      </c>
      <c r="AC254" s="6">
        <v>0.06</v>
      </c>
      <c r="AD254" s="6">
        <v>4.22</v>
      </c>
      <c r="AE254" s="1">
        <v>0</v>
      </c>
      <c r="AF254" s="1">
        <f ca="1">IFERROR(__xludf.DUMMYFUNCTION("IFERROR(GOOGLEFINANCE(TRIM(F254)&amp;"":"" &amp; TRIM(B254),""high52""),AE254)"),121.77)</f>
        <v>121.77</v>
      </c>
      <c r="AG254" s="1">
        <v>0</v>
      </c>
      <c r="AH254" s="1">
        <f ca="1">IFERROR(__xludf.DUMMYFUNCTION("IFERROR(GOOGLEFINANCE(TRIM(F254)&amp;"":"" &amp; TRIM(B254),""low52""),AE254)"),62)</f>
        <v>62</v>
      </c>
      <c r="AI254" s="1">
        <f ca="1">IFERROR(__xludf.DUMMYFUNCTION("IFERROR(GOOGLEFINANCE(B254,""eps""),0)"),0)</f>
        <v>0</v>
      </c>
      <c r="AJ254" s="1"/>
      <c r="AK254" s="1" t="s">
        <v>851</v>
      </c>
      <c r="AL254" s="9">
        <f t="shared" ref="AL254:AL263" si="57">IF(AA254&lt;&gt;AB254,1,0)</f>
        <v>1</v>
      </c>
    </row>
    <row r="255" spans="1:38" ht="15" x14ac:dyDescent="0.25">
      <c r="A255" s="1" t="s">
        <v>852</v>
      </c>
      <c r="B255" s="1" t="s">
        <v>853</v>
      </c>
      <c r="C255" s="1" t="s">
        <v>850</v>
      </c>
      <c r="D255" s="1" t="s">
        <v>850</v>
      </c>
      <c r="E255" s="6">
        <v>223.78</v>
      </c>
      <c r="F255" s="1" t="s">
        <v>40</v>
      </c>
      <c r="G255" s="6">
        <f ca="1">IFERROR(__xludf.DUMMYFUNCTION("iferror(GOOGLEFINANCE(TRIM(F255)&amp;"":"" &amp; TRIM(B255), ""price""),0
)"),83.02)</f>
        <v>83.02</v>
      </c>
      <c r="H255" s="6">
        <v>113.44</v>
      </c>
      <c r="I255" s="6">
        <f t="shared" ca="1" si="0"/>
        <v>83.02</v>
      </c>
      <c r="J255" s="6">
        <f ca="1">IFERROR(__xludf.DUMMYFUNCTION("IFERROR(GOOGLEFINANCE(B255, ""volume""), 0)"),8170)</f>
        <v>8170</v>
      </c>
      <c r="K255" s="6">
        <v>0.54</v>
      </c>
      <c r="L255" s="6">
        <f ca="1">IFERROR(__xludf.DUMMYFUNCTION("IFERROR(GOOGLEFINANCE(B255,""changepct""),K255)"),-3.04)</f>
        <v>-3.04</v>
      </c>
      <c r="M255" s="6">
        <f ca="1">IFERROR(__xludf.DUMMYFUNCTION("IFERROR(GOOGLEFINANCE(B255,""change""),0)"),-2.6)</f>
        <v>-2.6</v>
      </c>
      <c r="N255" s="6">
        <v>2</v>
      </c>
      <c r="O255" s="7">
        <v>45536</v>
      </c>
      <c r="P255" s="6">
        <v>182.23</v>
      </c>
      <c r="Q255" s="6">
        <v>405.03</v>
      </c>
      <c r="R255" s="7">
        <v>45536</v>
      </c>
      <c r="S255" s="6">
        <v>469.46</v>
      </c>
      <c r="T255" s="6">
        <v>-3.61</v>
      </c>
      <c r="U255" s="7">
        <v>45536</v>
      </c>
      <c r="V255" s="6">
        <v>0</v>
      </c>
      <c r="W255" s="6">
        <f ca="1">IFERROR(__xludf.DUMMYFUNCTION("IFERROR(GOOGLEFINANCE(B255,""pe""),V255)"),120.42)</f>
        <v>120.42</v>
      </c>
      <c r="X255" s="12"/>
      <c r="Y255" s="6">
        <v>2.1</v>
      </c>
      <c r="Z255" s="6">
        <v>2</v>
      </c>
      <c r="AA255" s="8">
        <v>45352</v>
      </c>
      <c r="AB255" s="4">
        <v>1.31</v>
      </c>
      <c r="AC255" s="6">
        <v>6.59</v>
      </c>
      <c r="AD255" s="6">
        <v>8.9</v>
      </c>
      <c r="AE255" s="1">
        <v>0</v>
      </c>
      <c r="AF255" s="1">
        <f ca="1">IFERROR(__xludf.DUMMYFUNCTION("IFERROR(GOOGLEFINANCE(TRIM(F255)&amp;"":"" &amp; TRIM(B255),""high52""),AE255)"),120.4)</f>
        <v>120.4</v>
      </c>
      <c r="AG255" s="1">
        <v>0</v>
      </c>
      <c r="AH255" s="1">
        <f ca="1">IFERROR(__xludf.DUMMYFUNCTION("IFERROR(GOOGLEFINANCE(TRIM(F255)&amp;"":"" &amp; TRIM(B255),""low52""),AE255)"),79.5)</f>
        <v>79.5</v>
      </c>
      <c r="AI255" s="1">
        <f ca="1">IFERROR(__xludf.DUMMYFUNCTION("IFERROR(GOOGLEFINANCE(B255,""eps""),0)"),0.69)</f>
        <v>0.69</v>
      </c>
      <c r="AJ255" s="1"/>
      <c r="AK255" s="1" t="s">
        <v>854</v>
      </c>
      <c r="AL255" s="9">
        <f t="shared" si="57"/>
        <v>1</v>
      </c>
    </row>
    <row r="256" spans="1:38" ht="15" x14ac:dyDescent="0.25">
      <c r="A256" s="1" t="s">
        <v>855</v>
      </c>
      <c r="B256" s="1" t="s">
        <v>856</v>
      </c>
      <c r="C256" s="1" t="s">
        <v>359</v>
      </c>
      <c r="D256" s="1" t="s">
        <v>359</v>
      </c>
      <c r="E256" s="6">
        <v>85.83</v>
      </c>
      <c r="F256" s="1" t="s">
        <v>40</v>
      </c>
      <c r="G256" s="6">
        <f ca="1">IFERROR(__xludf.DUMMYFUNCTION("iferror(GOOGLEFINANCE(TRIM(F256)&amp;"":"" &amp; TRIM(B256), ""price""),0
)"),16.12)</f>
        <v>16.12</v>
      </c>
      <c r="H256" s="6">
        <v>25.02</v>
      </c>
      <c r="I256" s="6">
        <f t="shared" ca="1" si="0"/>
        <v>16.12</v>
      </c>
      <c r="J256" s="6">
        <f ca="1">IFERROR(__xludf.DUMMYFUNCTION("IFERROR(GOOGLEFINANCE(B256, ""volume""), 0)"),7818)</f>
        <v>7818</v>
      </c>
      <c r="K256" s="6">
        <v>-1.18</v>
      </c>
      <c r="L256" s="6">
        <f ca="1">IFERROR(__xludf.DUMMYFUNCTION("IFERROR(GOOGLEFINANCE(B256,""changepct""),K256)"),1.26)</f>
        <v>1.26</v>
      </c>
      <c r="M256" s="6">
        <f ca="1">IFERROR(__xludf.DUMMYFUNCTION("IFERROR(GOOGLEFINANCE(B256,""change""),0)"),0.2)</f>
        <v>0.2</v>
      </c>
      <c r="N256" s="6">
        <v>1</v>
      </c>
      <c r="O256" s="7">
        <v>45536</v>
      </c>
      <c r="P256" s="6">
        <v>30.16</v>
      </c>
      <c r="Q256" s="6">
        <v>115.64</v>
      </c>
      <c r="R256" s="7">
        <v>45536</v>
      </c>
      <c r="S256" s="6">
        <v>76.37</v>
      </c>
      <c r="T256" s="6">
        <v>-8.35</v>
      </c>
      <c r="U256" s="7">
        <v>45536</v>
      </c>
      <c r="V256" s="6">
        <v>0</v>
      </c>
      <c r="W256" s="6">
        <f ca="1">IFERROR(__xludf.DUMMYFUNCTION("IFERROR(GOOGLEFINANCE(B256,""pe""),V256)"),0)</f>
        <v>0</v>
      </c>
      <c r="X256" s="12"/>
      <c r="Y256" s="6">
        <v>0.65</v>
      </c>
      <c r="Z256" s="6">
        <v>1</v>
      </c>
      <c r="AA256" s="8">
        <v>45352</v>
      </c>
      <c r="AB256" s="4">
        <v>0.28000000000000003</v>
      </c>
      <c r="AC256" s="6">
        <v>-7.95</v>
      </c>
      <c r="AD256" s="6">
        <v>-2.83</v>
      </c>
      <c r="AE256" s="1">
        <v>0</v>
      </c>
      <c r="AF256" s="1">
        <f ca="1">IFERROR(__xludf.DUMMYFUNCTION("IFERROR(GOOGLEFINANCE(TRIM(F256)&amp;"":"" &amp; TRIM(B256),""high52""),AE256)"),25.4)</f>
        <v>25.4</v>
      </c>
      <c r="AG256" s="1">
        <v>0</v>
      </c>
      <c r="AH256" s="1">
        <f ca="1">IFERROR(__xludf.DUMMYFUNCTION("IFERROR(GOOGLEFINANCE(TRIM(F256)&amp;"":"" &amp; TRIM(B256),""low52""),AE256)"),14.72)</f>
        <v>14.72</v>
      </c>
      <c r="AI256" s="1">
        <f ca="1">IFERROR(__xludf.DUMMYFUNCTION("IFERROR(GOOGLEFINANCE(B256,""eps""),0)"),-0.27)</f>
        <v>-0.27</v>
      </c>
      <c r="AJ256" s="1"/>
      <c r="AK256" s="1" t="s">
        <v>857</v>
      </c>
      <c r="AL256" s="9">
        <f t="shared" si="57"/>
        <v>1</v>
      </c>
    </row>
    <row r="257" spans="1:38" ht="15" x14ac:dyDescent="0.25">
      <c r="A257" s="1" t="s">
        <v>858</v>
      </c>
      <c r="B257" s="1" t="s">
        <v>859</v>
      </c>
      <c r="C257" s="1" t="s">
        <v>860</v>
      </c>
      <c r="D257" s="1" t="s">
        <v>860</v>
      </c>
      <c r="E257" s="6">
        <v>219.79</v>
      </c>
      <c r="F257" s="1" t="s">
        <v>40</v>
      </c>
      <c r="G257" s="6">
        <f ca="1">IFERROR(__xludf.DUMMYFUNCTION("iferror(GOOGLEFINANCE(TRIM(F257)&amp;"":"" &amp; TRIM(B257), ""price""),0
)"),0)</f>
        <v>0</v>
      </c>
      <c r="H257" s="6">
        <v>134.9</v>
      </c>
      <c r="I257" s="6">
        <f t="shared" ca="1" si="0"/>
        <v>134.9</v>
      </c>
      <c r="J257" s="6">
        <f ca="1">IFERROR(__xludf.DUMMYFUNCTION("IFERROR(GOOGLEFINANCE(B257, ""volume""), 0)"),0)</f>
        <v>0</v>
      </c>
      <c r="K257" s="6">
        <v>3.85</v>
      </c>
      <c r="L257" s="6">
        <f ca="1">IFERROR(__xludf.DUMMYFUNCTION("IFERROR(GOOGLEFINANCE(B257,""changepct""),K257)"),3.85)</f>
        <v>3.85</v>
      </c>
      <c r="M257" s="6">
        <f ca="1">IFERROR(__xludf.DUMMYFUNCTION("IFERROR(GOOGLEFINANCE(B257,""change""),0)"),0)</f>
        <v>0</v>
      </c>
      <c r="N257" s="6">
        <v>1</v>
      </c>
      <c r="O257" s="7">
        <v>45536</v>
      </c>
      <c r="P257" s="6">
        <v>26.11</v>
      </c>
      <c r="Q257" s="6">
        <v>245.86</v>
      </c>
      <c r="R257" s="7">
        <v>45352</v>
      </c>
      <c r="S257" s="6">
        <v>54.69</v>
      </c>
      <c r="T257" s="6">
        <v>4.8600000000000003</v>
      </c>
      <c r="U257" s="7">
        <v>45352</v>
      </c>
      <c r="V257" s="6">
        <v>45.18</v>
      </c>
      <c r="W257" s="6">
        <f ca="1">IFERROR(__xludf.DUMMYFUNCTION("IFERROR(GOOGLEFINANCE(B257,""pe""),V257)"),45.18)</f>
        <v>45.18</v>
      </c>
      <c r="X257" s="14"/>
      <c r="Y257" s="6">
        <v>6.79</v>
      </c>
      <c r="Z257" s="6">
        <v>1</v>
      </c>
      <c r="AA257" s="8">
        <v>45352</v>
      </c>
      <c r="AB257" s="4">
        <v>0.83</v>
      </c>
      <c r="AC257" s="6">
        <v>22.67</v>
      </c>
      <c r="AD257" s="6">
        <v>22.12</v>
      </c>
      <c r="AE257" s="1">
        <v>0</v>
      </c>
      <c r="AF257" s="1">
        <f ca="1">IFERROR(__xludf.DUMMYFUNCTION("IFERROR(GOOGLEFINANCE(TRIM(F257)&amp;"":"" &amp; TRIM(B257),""high52""),AE257)"),0)</f>
        <v>0</v>
      </c>
      <c r="AG257" s="1">
        <v>0</v>
      </c>
      <c r="AH257" s="1">
        <f ca="1">IFERROR(__xludf.DUMMYFUNCTION("IFERROR(GOOGLEFINANCE(TRIM(F257)&amp;"":"" &amp; TRIM(B257),""low52""),AE257)"),0)</f>
        <v>0</v>
      </c>
      <c r="AI257" s="1">
        <f ca="1">IFERROR(__xludf.DUMMYFUNCTION("IFERROR(GOOGLEFINANCE(B257,""eps""),0)"),0)</f>
        <v>0</v>
      </c>
      <c r="AJ257" s="1"/>
      <c r="AK257" s="1" t="s">
        <v>861</v>
      </c>
      <c r="AL257" s="9">
        <f t="shared" si="57"/>
        <v>1</v>
      </c>
    </row>
    <row r="258" spans="1:38" ht="15" x14ac:dyDescent="0.25">
      <c r="A258" s="1" t="s">
        <v>862</v>
      </c>
      <c r="B258" s="1" t="s">
        <v>863</v>
      </c>
      <c r="C258" s="1" t="s">
        <v>502</v>
      </c>
      <c r="D258" s="1" t="s">
        <v>502</v>
      </c>
      <c r="E258" s="6">
        <v>378.82</v>
      </c>
      <c r="F258" s="1" t="s">
        <v>40</v>
      </c>
      <c r="G258" s="6">
        <f ca="1">IFERROR(__xludf.DUMMYFUNCTION("iferror(GOOGLEFINANCE(TRIM(F258)&amp;"":"" &amp; TRIM(B258), ""price""),0
)"),312)</f>
        <v>312</v>
      </c>
      <c r="H258" s="6">
        <v>291.55</v>
      </c>
      <c r="I258" s="6">
        <f t="shared" ca="1" si="0"/>
        <v>312</v>
      </c>
      <c r="J258" s="6">
        <f ca="1">IFERROR(__xludf.DUMMYFUNCTION("IFERROR(GOOGLEFINANCE(B258, ""volume""), 0)"),28725)</f>
        <v>28725</v>
      </c>
      <c r="K258" s="6">
        <v>-0.27</v>
      </c>
      <c r="L258" s="6">
        <f ca="1">IFERROR(__xludf.DUMMYFUNCTION("IFERROR(GOOGLEFINANCE(B258,""changepct""),K258)"),-1.02)</f>
        <v>-1.02</v>
      </c>
      <c r="M258" s="6">
        <f ca="1">IFERROR(__xludf.DUMMYFUNCTION("IFERROR(GOOGLEFINANCE(B258,""change""),0)"),-3.2)</f>
        <v>-3.2</v>
      </c>
      <c r="N258" s="6">
        <v>2</v>
      </c>
      <c r="O258" s="7">
        <v>45536</v>
      </c>
      <c r="P258" s="6">
        <v>34.409999999999997</v>
      </c>
      <c r="Q258" s="6">
        <v>396.92</v>
      </c>
      <c r="R258" s="7">
        <v>45536</v>
      </c>
      <c r="S258" s="6">
        <v>582.99</v>
      </c>
      <c r="T258" s="6">
        <v>27.33</v>
      </c>
      <c r="U258" s="7">
        <v>45536</v>
      </c>
      <c r="V258" s="6">
        <v>13.37</v>
      </c>
      <c r="W258" s="6">
        <f ca="1">IFERROR(__xludf.DUMMYFUNCTION("IFERROR(GOOGLEFINANCE(B258,""pe""),V258)"),10.7)</f>
        <v>10.7</v>
      </c>
      <c r="X258" s="6">
        <v>0.92</v>
      </c>
      <c r="Y258" s="6">
        <v>1.35</v>
      </c>
      <c r="Z258" s="6">
        <v>2</v>
      </c>
      <c r="AA258" s="8">
        <v>45352</v>
      </c>
      <c r="AB258" s="4">
        <v>0.27</v>
      </c>
      <c r="AC258" s="6">
        <v>7.31</v>
      </c>
      <c r="AD258" s="6">
        <v>15.15</v>
      </c>
      <c r="AE258" s="1">
        <v>0</v>
      </c>
      <c r="AF258" s="1">
        <f ca="1">IFERROR(__xludf.DUMMYFUNCTION("IFERROR(GOOGLEFINANCE(TRIM(F258)&amp;"":"" &amp; TRIM(B258),""high52""),AE258)"),459.9)</f>
        <v>459.9</v>
      </c>
      <c r="AG258" s="1">
        <v>0</v>
      </c>
      <c r="AH258" s="1">
        <f ca="1">IFERROR(__xludf.DUMMYFUNCTION("IFERROR(GOOGLEFINANCE(TRIM(F258)&amp;"":"" &amp; TRIM(B258),""low52""),AE258)"),220.11)</f>
        <v>220.11</v>
      </c>
      <c r="AI258" s="1">
        <f ca="1">IFERROR(__xludf.DUMMYFUNCTION("IFERROR(GOOGLEFINANCE(B258,""eps""),0)"),29.17)</f>
        <v>29.17</v>
      </c>
      <c r="AJ258" s="1"/>
      <c r="AK258" s="1" t="s">
        <v>864</v>
      </c>
      <c r="AL258" s="9">
        <f t="shared" si="57"/>
        <v>1</v>
      </c>
    </row>
    <row r="259" spans="1:38" ht="15" x14ac:dyDescent="0.25">
      <c r="A259" s="1" t="s">
        <v>865</v>
      </c>
      <c r="B259" s="1" t="s">
        <v>866</v>
      </c>
      <c r="C259" s="1" t="s">
        <v>321</v>
      </c>
      <c r="D259" s="1" t="s">
        <v>321</v>
      </c>
      <c r="E259" s="6">
        <v>152.83000000000001</v>
      </c>
      <c r="F259" s="1" t="s">
        <v>40</v>
      </c>
      <c r="G259" s="6">
        <f ca="1">IFERROR(__xludf.DUMMYFUNCTION("iferror(GOOGLEFINANCE(TRIM(F259)&amp;"":"" &amp; TRIM(B259), ""price""),0
)"),0)</f>
        <v>0</v>
      </c>
      <c r="H259" s="6">
        <v>247.35</v>
      </c>
      <c r="I259" s="6">
        <f t="shared" ca="1" si="0"/>
        <v>247.35</v>
      </c>
      <c r="J259" s="6">
        <f ca="1">IFERROR(__xludf.DUMMYFUNCTION("IFERROR(GOOGLEFINANCE(B259, ""volume""), 0)"),0)</f>
        <v>0</v>
      </c>
      <c r="K259" s="6">
        <v>-2</v>
      </c>
      <c r="L259" s="6">
        <f ca="1">IFERROR(__xludf.DUMMYFUNCTION("IFERROR(GOOGLEFINANCE(B259,""changepct""),K259)"),-2)</f>
        <v>-2</v>
      </c>
      <c r="M259" s="6">
        <f ca="1">IFERROR(__xludf.DUMMYFUNCTION("IFERROR(GOOGLEFINANCE(B259,""change""),0)"),0)</f>
        <v>0</v>
      </c>
      <c r="N259" s="6">
        <v>1</v>
      </c>
      <c r="O259" s="7">
        <v>45536</v>
      </c>
      <c r="P259" s="12"/>
      <c r="Q259" s="6">
        <v>152.83000000000001</v>
      </c>
      <c r="R259" s="7">
        <v>45352</v>
      </c>
      <c r="S259" s="6">
        <v>30.32</v>
      </c>
      <c r="T259" s="6">
        <v>1.55</v>
      </c>
      <c r="U259" s="7">
        <v>45352</v>
      </c>
      <c r="V259" s="6">
        <v>98.73</v>
      </c>
      <c r="W259" s="6">
        <f ca="1">IFERROR(__xludf.DUMMYFUNCTION("IFERROR(GOOGLEFINANCE(B259,""pe""),V259)"),98.73)</f>
        <v>98.73</v>
      </c>
      <c r="X259" s="9"/>
      <c r="Y259" s="6">
        <v>6.5</v>
      </c>
      <c r="Z259" s="6">
        <v>1</v>
      </c>
      <c r="AA259" s="8">
        <v>45352</v>
      </c>
      <c r="AB259" s="4">
        <v>0</v>
      </c>
      <c r="AC259" s="6">
        <v>7.58</v>
      </c>
      <c r="AD259" s="6">
        <v>8.9700000000000006</v>
      </c>
      <c r="AE259" s="1">
        <v>0</v>
      </c>
      <c r="AF259" s="1">
        <f ca="1">IFERROR(__xludf.DUMMYFUNCTION("IFERROR(GOOGLEFINANCE(TRIM(F259)&amp;"":"" &amp; TRIM(B259),""high52""),AE259)"),0)</f>
        <v>0</v>
      </c>
      <c r="AG259" s="1">
        <v>0</v>
      </c>
      <c r="AH259" s="1">
        <f ca="1">IFERROR(__xludf.DUMMYFUNCTION("IFERROR(GOOGLEFINANCE(TRIM(F259)&amp;"":"" &amp; TRIM(B259),""low52""),AE259)"),0)</f>
        <v>0</v>
      </c>
      <c r="AI259" s="1">
        <f ca="1">IFERROR(__xludf.DUMMYFUNCTION("IFERROR(GOOGLEFINANCE(B259,""eps""),0)"),0)</f>
        <v>0</v>
      </c>
      <c r="AJ259" s="1"/>
      <c r="AK259" s="1" t="s">
        <v>867</v>
      </c>
      <c r="AL259" s="9">
        <f t="shared" si="57"/>
        <v>1</v>
      </c>
    </row>
    <row r="260" spans="1:38" ht="15" x14ac:dyDescent="0.25">
      <c r="A260" s="1" t="s">
        <v>868</v>
      </c>
      <c r="B260" s="1" t="s">
        <v>869</v>
      </c>
      <c r="C260" s="1" t="s">
        <v>75</v>
      </c>
      <c r="D260" s="1" t="s">
        <v>75</v>
      </c>
      <c r="E260" s="6">
        <v>1081.8399999999999</v>
      </c>
      <c r="F260" s="1" t="s">
        <v>40</v>
      </c>
      <c r="G260" s="6">
        <f ca="1">IFERROR(__xludf.DUMMYFUNCTION("iferror(GOOGLEFINANCE(TRIM(F260)&amp;"":"" &amp; TRIM(B260), ""price""),0
)"),79.7)</f>
        <v>79.7</v>
      </c>
      <c r="H260" s="6">
        <v>103.49</v>
      </c>
      <c r="I260" s="6">
        <f t="shared" ca="1" si="0"/>
        <v>79.7</v>
      </c>
      <c r="J260" s="6">
        <f ca="1">IFERROR(__xludf.DUMMYFUNCTION("IFERROR(GOOGLEFINANCE(B260, ""volume""), 0)"),223263)</f>
        <v>223263</v>
      </c>
      <c r="K260" s="6">
        <v>-0.38</v>
      </c>
      <c r="L260" s="6">
        <f ca="1">IFERROR(__xludf.DUMMYFUNCTION("IFERROR(GOOGLEFINANCE(B260,""changepct""),K260)"),1.14)</f>
        <v>1.1399999999999999</v>
      </c>
      <c r="M260" s="6">
        <f ca="1">IFERROR(__xludf.DUMMYFUNCTION("IFERROR(GOOGLEFINANCE(B260,""change""),0)"),0.9)</f>
        <v>0.9</v>
      </c>
      <c r="N260" s="6">
        <v>2</v>
      </c>
      <c r="O260" s="7">
        <v>45536</v>
      </c>
      <c r="P260" s="6">
        <v>79.33</v>
      </c>
      <c r="Q260" s="7">
        <v>45536</v>
      </c>
      <c r="R260" s="6">
        <v>13.04</v>
      </c>
      <c r="S260" s="6">
        <v>0.39</v>
      </c>
      <c r="T260" s="6">
        <v>2.93</v>
      </c>
      <c r="U260" s="6">
        <v>2</v>
      </c>
      <c r="V260" s="7">
        <v>45352</v>
      </c>
      <c r="W260" s="6">
        <f ca="1">IFERROR(__xludf.DUMMYFUNCTION("IFERROR(GOOGLEFINANCE(B260,""pe""),V260)"),18.89)</f>
        <v>18.89</v>
      </c>
      <c r="X260" s="6">
        <v>0.31</v>
      </c>
      <c r="Y260" s="6">
        <v>24.35</v>
      </c>
      <c r="Z260" s="6">
        <v>28.97</v>
      </c>
      <c r="AA260" s="3" t="s">
        <v>870</v>
      </c>
      <c r="AB260" s="4"/>
      <c r="AC260" s="9"/>
      <c r="AD260" s="9"/>
      <c r="AE260" s="1">
        <v>0</v>
      </c>
      <c r="AF260" s="1">
        <f ca="1">IFERROR(__xludf.DUMMYFUNCTION("IFERROR(GOOGLEFINANCE(TRIM(F260)&amp;"":"" &amp; TRIM(B260),""high52""),AE260)"),120)</f>
        <v>120</v>
      </c>
      <c r="AG260" s="1">
        <v>0</v>
      </c>
      <c r="AH260" s="1">
        <f ca="1">IFERROR(__xludf.DUMMYFUNCTION("IFERROR(GOOGLEFINANCE(TRIM(F260)&amp;"":"" &amp; TRIM(B260),""low52""),AE260)"),58.15)</f>
        <v>58.15</v>
      </c>
      <c r="AI260" s="1">
        <f ca="1">IFERROR(__xludf.DUMMYFUNCTION("IFERROR(GOOGLEFINANCE(B260,""eps""),0)"),4.22)</f>
        <v>4.22</v>
      </c>
      <c r="AJ260" s="1"/>
      <c r="AK260" s="1" t="s">
        <v>871</v>
      </c>
      <c r="AL260" s="9">
        <f t="shared" si="57"/>
        <v>1</v>
      </c>
    </row>
    <row r="261" spans="1:38" ht="15" x14ac:dyDescent="0.25">
      <c r="A261" s="1" t="s">
        <v>872</v>
      </c>
      <c r="B261" s="1" t="s">
        <v>873</v>
      </c>
      <c r="C261" s="1" t="s">
        <v>487</v>
      </c>
      <c r="D261" s="1" t="s">
        <v>487</v>
      </c>
      <c r="E261" s="6">
        <v>2099.37</v>
      </c>
      <c r="F261" s="1" t="s">
        <v>40</v>
      </c>
      <c r="G261" s="6">
        <f ca="1">IFERROR(__xludf.DUMMYFUNCTION("iferror(GOOGLEFINANCE(TRIM(F261)&amp;"":"" &amp; TRIM(B261), ""price""),0
)"),268)</f>
        <v>268</v>
      </c>
      <c r="H261" s="6">
        <v>522.45000000000005</v>
      </c>
      <c r="I261" s="6">
        <f t="shared" ca="1" si="0"/>
        <v>268</v>
      </c>
      <c r="J261" s="6">
        <f ca="1">IFERROR(__xludf.DUMMYFUNCTION("IFERROR(GOOGLEFINANCE(B261, ""volume""), 0)"),34994)</f>
        <v>34994</v>
      </c>
      <c r="K261" s="6">
        <v>2.54</v>
      </c>
      <c r="L261" s="6">
        <f ca="1">IFERROR(__xludf.DUMMYFUNCTION("IFERROR(GOOGLEFINANCE(B261,""changepct""),K261)"),0.64)</f>
        <v>0.64</v>
      </c>
      <c r="M261" s="6">
        <f ca="1">IFERROR(__xludf.DUMMYFUNCTION("IFERROR(GOOGLEFINANCE(B261,""change""),0)"),1.7)</f>
        <v>1.7</v>
      </c>
      <c r="N261" s="6">
        <v>2</v>
      </c>
      <c r="O261" s="7">
        <v>45536</v>
      </c>
      <c r="P261" s="6">
        <v>556.07000000000005</v>
      </c>
      <c r="Q261" s="6">
        <v>2655.43</v>
      </c>
      <c r="R261" s="7">
        <v>45536</v>
      </c>
      <c r="S261" s="6">
        <v>470.07</v>
      </c>
      <c r="T261" s="6">
        <v>49.89</v>
      </c>
      <c r="U261" s="7">
        <v>45536</v>
      </c>
      <c r="V261" s="6">
        <v>63.13</v>
      </c>
      <c r="W261" s="6">
        <f ca="1">IFERROR(__xludf.DUMMYFUNCTION("IFERROR(GOOGLEFINANCE(B261,""pe""),V261)"),34.84)</f>
        <v>34.840000000000003</v>
      </c>
      <c r="X261" s="6">
        <v>2.23</v>
      </c>
      <c r="Y261" s="6">
        <v>7.45</v>
      </c>
      <c r="Z261" s="6">
        <v>2</v>
      </c>
      <c r="AA261" s="8">
        <v>45352</v>
      </c>
      <c r="AB261" s="4">
        <v>1.85</v>
      </c>
      <c r="AC261" s="6">
        <v>29.63</v>
      </c>
      <c r="AD261" s="6">
        <v>17.45</v>
      </c>
      <c r="AE261" s="1">
        <v>0</v>
      </c>
      <c r="AF261" s="1">
        <f ca="1">IFERROR(__xludf.DUMMYFUNCTION("IFERROR(GOOGLEFINANCE(TRIM(F261)&amp;"":"" &amp; TRIM(B261),""high52""),AE261)"),528.5)</f>
        <v>528.5</v>
      </c>
      <c r="AG261" s="1">
        <v>0</v>
      </c>
      <c r="AH261" s="1">
        <f ca="1">IFERROR(__xludf.DUMMYFUNCTION("IFERROR(GOOGLEFINANCE(TRIM(F261)&amp;"":"" &amp; TRIM(B261),""low52""),AE261)"),259.25)</f>
        <v>259.25</v>
      </c>
      <c r="AI261" s="1">
        <f ca="1">IFERROR(__xludf.DUMMYFUNCTION("IFERROR(GOOGLEFINANCE(B261,""eps""),0)"),7.69)</f>
        <v>7.69</v>
      </c>
      <c r="AJ261" s="1"/>
      <c r="AK261" s="1" t="s">
        <v>874</v>
      </c>
      <c r="AL261" s="9">
        <f t="shared" si="57"/>
        <v>1</v>
      </c>
    </row>
    <row r="262" spans="1:38" ht="15" x14ac:dyDescent="0.25">
      <c r="A262" s="1" t="s">
        <v>875</v>
      </c>
      <c r="B262" s="1" t="s">
        <v>876</v>
      </c>
      <c r="C262" s="1" t="s">
        <v>697</v>
      </c>
      <c r="D262" s="1" t="s">
        <v>697</v>
      </c>
      <c r="E262" s="6">
        <v>90.54</v>
      </c>
      <c r="F262" s="1" t="s">
        <v>40</v>
      </c>
      <c r="G262" s="6">
        <f ca="1">IFERROR(__xludf.DUMMYFUNCTION("iferror(GOOGLEFINANCE(TRIM(F262)&amp;"":"" &amp; TRIM(B262), ""price""),0
)"),0)</f>
        <v>0</v>
      </c>
      <c r="H262" s="6">
        <v>133</v>
      </c>
      <c r="I262" s="6">
        <f t="shared" ca="1" si="0"/>
        <v>133</v>
      </c>
      <c r="J262" s="6">
        <f ca="1">IFERROR(__xludf.DUMMYFUNCTION("IFERROR(GOOGLEFINANCE(B262, ""volume""), 0)"),0)</f>
        <v>0</v>
      </c>
      <c r="K262" s="9"/>
      <c r="L262" s="6" t="str">
        <f ca="1">IFERROR(__xludf.DUMMYFUNCTION("IFERROR(GOOGLEFINANCE(B262,""changepct""),K262)"),"")</f>
        <v/>
      </c>
      <c r="M262" s="6">
        <f ca="1">IFERROR(__xludf.DUMMYFUNCTION("IFERROR(GOOGLEFINANCE(B262,""change""),0)"),0)</f>
        <v>0</v>
      </c>
      <c r="N262" s="6">
        <v>1</v>
      </c>
      <c r="O262" s="7">
        <v>45536</v>
      </c>
      <c r="P262" s="6">
        <v>20.309999999999999</v>
      </c>
      <c r="Q262" s="6">
        <v>110.86</v>
      </c>
      <c r="R262" s="7">
        <v>45352</v>
      </c>
      <c r="S262" s="6">
        <v>245.15</v>
      </c>
      <c r="T262" s="6">
        <v>3.9</v>
      </c>
      <c r="U262" s="7">
        <v>45352</v>
      </c>
      <c r="V262" s="6">
        <v>23.24</v>
      </c>
      <c r="W262" s="6">
        <f ca="1">IFERROR(__xludf.DUMMYFUNCTION("IFERROR(GOOGLEFINANCE(B262,""pe""),V262)"),23.24)</f>
        <v>23.24</v>
      </c>
      <c r="X262" s="9"/>
      <c r="Y262" s="6">
        <v>2.69</v>
      </c>
      <c r="Z262" s="6">
        <v>1</v>
      </c>
      <c r="AA262" s="8">
        <v>45352</v>
      </c>
      <c r="AB262" s="4">
        <v>0.62</v>
      </c>
      <c r="AC262" s="6">
        <v>12.22</v>
      </c>
      <c r="AD262" s="6">
        <v>13.41</v>
      </c>
      <c r="AE262" s="1">
        <v>0</v>
      </c>
      <c r="AF262" s="1">
        <f ca="1">IFERROR(__xludf.DUMMYFUNCTION("IFERROR(GOOGLEFINANCE(TRIM(F262)&amp;"":"" &amp; TRIM(B262),""high52""),AE262)"),0)</f>
        <v>0</v>
      </c>
      <c r="AG262" s="1">
        <v>0</v>
      </c>
      <c r="AH262" s="1">
        <f ca="1">IFERROR(__xludf.DUMMYFUNCTION("IFERROR(GOOGLEFINANCE(TRIM(F262)&amp;"":"" &amp; TRIM(B262),""low52""),AE262)"),0)</f>
        <v>0</v>
      </c>
      <c r="AI262" s="1">
        <f ca="1">IFERROR(__xludf.DUMMYFUNCTION("IFERROR(GOOGLEFINANCE(B262,""eps""),0)"),0)</f>
        <v>0</v>
      </c>
      <c r="AJ262" s="1"/>
      <c r="AK262" s="1" t="s">
        <v>877</v>
      </c>
      <c r="AL262" s="9">
        <f t="shared" si="57"/>
        <v>1</v>
      </c>
    </row>
    <row r="263" spans="1:38" ht="15" x14ac:dyDescent="0.25">
      <c r="A263" s="1" t="s">
        <v>878</v>
      </c>
      <c r="B263" s="1" t="s">
        <v>879</v>
      </c>
      <c r="C263" s="1" t="s">
        <v>487</v>
      </c>
      <c r="D263" s="1" t="s">
        <v>487</v>
      </c>
      <c r="E263" s="6">
        <v>3337.3</v>
      </c>
      <c r="F263" s="1" t="s">
        <v>40</v>
      </c>
      <c r="G263" s="6">
        <f ca="1">IFERROR(__xludf.DUMMYFUNCTION("iferror(GOOGLEFINANCE(TRIM(F263)&amp;"":"" &amp; TRIM(B263), ""price""),0
)"),117.48)</f>
        <v>117.48</v>
      </c>
      <c r="H263" s="6">
        <v>181.24</v>
      </c>
      <c r="I263" s="6">
        <f t="shared" ca="1" si="0"/>
        <v>117.48</v>
      </c>
      <c r="J263" s="6">
        <f ca="1">IFERROR(__xludf.DUMMYFUNCTION("IFERROR(GOOGLEFINANCE(B263, ""volume""), 0)"),265440)</f>
        <v>265440</v>
      </c>
      <c r="K263" s="6">
        <v>0.61</v>
      </c>
      <c r="L263" s="6">
        <f ca="1">IFERROR(__xludf.DUMMYFUNCTION("IFERROR(GOOGLEFINANCE(B263,""changepct""),K263)"),2.23)</f>
        <v>2.23</v>
      </c>
      <c r="M263" s="6">
        <f ca="1">IFERROR(__xludf.DUMMYFUNCTION("IFERROR(GOOGLEFINANCE(B263,""change""),0)"),2.56)</f>
        <v>2.56</v>
      </c>
      <c r="N263" s="6">
        <v>2</v>
      </c>
      <c r="O263" s="7">
        <v>45536</v>
      </c>
      <c r="P263" s="6">
        <v>74.540000000000006</v>
      </c>
      <c r="Q263" s="6">
        <v>2991.62</v>
      </c>
      <c r="R263" s="12"/>
      <c r="S263" s="12"/>
      <c r="T263" s="12"/>
      <c r="U263" s="7">
        <v>45352</v>
      </c>
      <c r="V263" s="6">
        <v>27.17</v>
      </c>
      <c r="W263" s="6">
        <f ca="1">IFERROR(__xludf.DUMMYFUNCTION("IFERROR(GOOGLEFINANCE(B263,""pe""),V263)"),14.72)</f>
        <v>14.72</v>
      </c>
      <c r="X263" s="12"/>
      <c r="Y263" s="6">
        <v>4.04</v>
      </c>
      <c r="Z263" s="6">
        <v>2</v>
      </c>
      <c r="AA263" s="8">
        <v>45352</v>
      </c>
      <c r="AB263" s="4">
        <v>0.21</v>
      </c>
      <c r="AC263" s="6">
        <v>46.9</v>
      </c>
      <c r="AD263" s="6">
        <v>48.99</v>
      </c>
      <c r="AE263" s="1">
        <v>0</v>
      </c>
      <c r="AF263" s="1">
        <f ca="1">IFERROR(__xludf.DUMMYFUNCTION("IFERROR(GOOGLEFINANCE(TRIM(F263)&amp;"":"" &amp; TRIM(B263),""high52""),AE263)"),213.69)</f>
        <v>213.69</v>
      </c>
      <c r="AG263" s="1">
        <v>0</v>
      </c>
      <c r="AH263" s="1">
        <f ca="1">IFERROR(__xludf.DUMMYFUNCTION("IFERROR(GOOGLEFINANCE(TRIM(F263)&amp;"":"" &amp; TRIM(B263),""low52""),AE263)"),107.96)</f>
        <v>107.96</v>
      </c>
      <c r="AI263" s="1">
        <f ca="1">IFERROR(__xludf.DUMMYFUNCTION("IFERROR(GOOGLEFINANCE(B263,""eps""),0)"),7.98)</f>
        <v>7.98</v>
      </c>
      <c r="AJ263" s="1"/>
      <c r="AK263" s="9"/>
      <c r="AL263" s="9">
        <f t="shared" si="57"/>
        <v>1</v>
      </c>
    </row>
    <row r="264" spans="1:38" ht="15" x14ac:dyDescent="0.25">
      <c r="A264" s="1" t="s">
        <v>880</v>
      </c>
      <c r="B264" s="1" t="s">
        <v>881</v>
      </c>
      <c r="C264" s="1" t="s">
        <v>679</v>
      </c>
      <c r="D264" s="1" t="s">
        <v>679</v>
      </c>
      <c r="E264" s="6">
        <v>532.97</v>
      </c>
      <c r="F264" s="1" t="s">
        <v>53</v>
      </c>
      <c r="G264" s="6">
        <f ca="1">IFERROR(__xludf.DUMMYFUNCTION("iferror(GOOGLEFINANCE(TRIM(F264)&amp;"":"" &amp; TRIM(B264), ""price""),0
)"),0)</f>
        <v>0</v>
      </c>
      <c r="H264" s="6">
        <v>504.5</v>
      </c>
      <c r="I264" s="6">
        <f t="shared" ca="1" si="0"/>
        <v>504.5</v>
      </c>
      <c r="J264" s="6">
        <f ca="1">IFERROR(__xludf.DUMMYFUNCTION("IFERROR(GOOGLEFINANCE(B264, ""volume""), 0)"),0)</f>
        <v>0</v>
      </c>
      <c r="K264" s="6">
        <v>1.93</v>
      </c>
      <c r="L264" s="6">
        <f ca="1">IFERROR(__xludf.DUMMYFUNCTION("IFERROR(GOOGLEFINANCE(B264,""changepct""),K264)"),1.93)</f>
        <v>1.93</v>
      </c>
      <c r="M264" s="6">
        <f ca="1">IFERROR(__xludf.DUMMYFUNCTION("IFERROR(GOOGLEFINANCE(B264,""change""),0)"),0)</f>
        <v>0</v>
      </c>
      <c r="N264" s="6">
        <v>1</v>
      </c>
      <c r="O264" s="7">
        <v>45536</v>
      </c>
      <c r="P264" s="6">
        <v>17.14</v>
      </c>
      <c r="Q264" s="6">
        <v>550.11</v>
      </c>
      <c r="R264" s="7">
        <v>45352</v>
      </c>
      <c r="S264" s="6">
        <v>28.54</v>
      </c>
      <c r="T264" s="6">
        <v>-7.5</v>
      </c>
      <c r="U264" s="7">
        <v>45352</v>
      </c>
      <c r="V264" s="6">
        <v>0</v>
      </c>
      <c r="W264" s="6">
        <f ca="1">IFERROR(__xludf.DUMMYFUNCTION("IFERROR(GOOGLEFINANCE(B264,""pe""),V264)"),0)</f>
        <v>0</v>
      </c>
      <c r="X264" s="12"/>
      <c r="Y264" s="6">
        <v>142.49</v>
      </c>
      <c r="Z264" s="6">
        <v>1</v>
      </c>
      <c r="AA264" s="8">
        <v>45352</v>
      </c>
      <c r="AB264" s="4">
        <v>4.7699999999999996</v>
      </c>
      <c r="AC264" s="6">
        <v>-100.13</v>
      </c>
      <c r="AD264" s="6">
        <v>-53.9</v>
      </c>
      <c r="AE264" s="1">
        <v>0</v>
      </c>
      <c r="AF264" s="1">
        <f ca="1">IFERROR(__xludf.DUMMYFUNCTION("IFERROR(GOOGLEFINANCE(TRIM(F264)&amp;"":"" &amp; TRIM(B264),""high52""),AE264)"),0)</f>
        <v>0</v>
      </c>
      <c r="AG264" s="1">
        <v>0</v>
      </c>
      <c r="AH264" s="1">
        <f ca="1">IFERROR(__xludf.DUMMYFUNCTION("IFERROR(GOOGLEFINANCE(TRIM(F264)&amp;"":"" &amp; TRIM(B264),""low52""),AE264)"),0)</f>
        <v>0</v>
      </c>
      <c r="AI264" s="1">
        <f ca="1">IFERROR(__xludf.DUMMYFUNCTION("IFERROR(GOOGLEFINANCE(B264,""eps""),0)"),0)</f>
        <v>0</v>
      </c>
      <c r="AJ264" s="1"/>
      <c r="AK264" s="1" t="s">
        <v>882</v>
      </c>
      <c r="AL264" s="1" t="b">
        <f>ISNUMBER(AA264)</f>
        <v>1</v>
      </c>
    </row>
    <row r="265" spans="1:38" ht="15" x14ac:dyDescent="0.25">
      <c r="A265" s="1" t="s">
        <v>883</v>
      </c>
      <c r="B265" s="1" t="s">
        <v>884</v>
      </c>
      <c r="C265" s="1" t="s">
        <v>208</v>
      </c>
      <c r="D265" s="1" t="s">
        <v>208</v>
      </c>
      <c r="E265" s="6">
        <v>1353.49</v>
      </c>
      <c r="F265" s="1" t="s">
        <v>40</v>
      </c>
      <c r="G265" s="6">
        <f ca="1">IFERROR(__xludf.DUMMYFUNCTION("iferror(GOOGLEFINANCE(TRIM(F265)&amp;"":"" &amp; TRIM(B265), ""price""),0
)"),1587)</f>
        <v>1587</v>
      </c>
      <c r="H265" s="6">
        <v>1279.95</v>
      </c>
      <c r="I265" s="6">
        <f t="shared" ca="1" si="0"/>
        <v>1587</v>
      </c>
      <c r="J265" s="6">
        <f ca="1">IFERROR(__xludf.DUMMYFUNCTION("IFERROR(GOOGLEFINANCE(B265, ""volume""), 0)"),20403)</f>
        <v>20403</v>
      </c>
      <c r="K265" s="6">
        <v>-0.66</v>
      </c>
      <c r="L265" s="6">
        <f ca="1">IFERROR(__xludf.DUMMYFUNCTION("IFERROR(GOOGLEFINANCE(B265,""changepct""),K265)"),4.57)</f>
        <v>4.57</v>
      </c>
      <c r="M265" s="6">
        <f ca="1">IFERROR(__xludf.DUMMYFUNCTION("IFERROR(GOOGLEFINANCE(B265,""change""),0)"),69.4)</f>
        <v>69.400000000000006</v>
      </c>
      <c r="N265" s="6">
        <v>2</v>
      </c>
      <c r="O265" s="7">
        <v>45536</v>
      </c>
      <c r="P265" s="6">
        <v>139.38999999999999</v>
      </c>
      <c r="Q265" s="7">
        <v>45536</v>
      </c>
      <c r="R265" s="6">
        <v>9.7100000000000009</v>
      </c>
      <c r="S265" s="6">
        <v>0.21</v>
      </c>
      <c r="T265" s="6">
        <v>1.57</v>
      </c>
      <c r="U265" s="6">
        <v>2</v>
      </c>
      <c r="V265" s="7">
        <v>45352</v>
      </c>
      <c r="W265" s="10">
        <f ca="1">IFERROR(__xludf.DUMMYFUNCTION("IFERROR(GOOGLEFINANCE(B265,""pe""),V265)"),45352)</f>
        <v>45352</v>
      </c>
      <c r="X265" s="6">
        <v>2.14</v>
      </c>
      <c r="Y265" s="6">
        <v>29.63</v>
      </c>
      <c r="Z265" s="6">
        <v>21.91</v>
      </c>
      <c r="AA265" s="3" t="s">
        <v>885</v>
      </c>
      <c r="AB265" s="4"/>
      <c r="AC265" s="9"/>
      <c r="AD265" s="9"/>
      <c r="AE265" s="1">
        <v>0</v>
      </c>
      <c r="AF265" s="1">
        <f ca="1">IFERROR(__xludf.DUMMYFUNCTION("IFERROR(GOOGLEFINANCE(TRIM(F265)&amp;"":"" &amp; TRIM(B265),""high52""),AE265)"),1834.6)</f>
        <v>1834.6</v>
      </c>
      <c r="AG265" s="1">
        <v>0</v>
      </c>
      <c r="AH265" s="1">
        <f ca="1">IFERROR(__xludf.DUMMYFUNCTION("IFERROR(GOOGLEFINANCE(TRIM(F265)&amp;"":"" &amp; TRIM(B265),""low52""),AE265)"),1109.95)</f>
        <v>1109.95</v>
      </c>
      <c r="AI265" s="1">
        <f ca="1">IFERROR(__xludf.DUMMYFUNCTION("IFERROR(GOOGLEFINANCE(B265,""eps""),0)"),-1.22)</f>
        <v>-1.22</v>
      </c>
      <c r="AJ265" s="1"/>
      <c r="AK265" s="1" t="s">
        <v>886</v>
      </c>
      <c r="AL265" s="9">
        <f>IF(AA265&lt;&gt;AB265,1,0)</f>
        <v>1</v>
      </c>
    </row>
    <row r="266" spans="1:38" ht="15" x14ac:dyDescent="0.25">
      <c r="A266" s="1" t="s">
        <v>887</v>
      </c>
      <c r="B266" s="1" t="s">
        <v>888</v>
      </c>
      <c r="C266" s="1" t="s">
        <v>889</v>
      </c>
      <c r="D266" s="1" t="s">
        <v>889</v>
      </c>
      <c r="E266" s="6">
        <v>76.010000000000005</v>
      </c>
      <c r="F266" s="1" t="s">
        <v>40</v>
      </c>
      <c r="G266" s="6">
        <f ca="1">IFERROR(__xludf.DUMMYFUNCTION("iferror(GOOGLEFINANCE(TRIM(F266)&amp;"":"" &amp; TRIM(B266), ""price""),0
)"),27.4)</f>
        <v>27.4</v>
      </c>
      <c r="H266" s="6">
        <v>48.87</v>
      </c>
      <c r="I266" s="6">
        <f t="shared" ca="1" si="0"/>
        <v>27.4</v>
      </c>
      <c r="J266" s="6">
        <f ca="1">IFERROR(__xludf.DUMMYFUNCTION("IFERROR(GOOGLEFINANCE(B266, ""volume""), 0)"),17481)</f>
        <v>17481</v>
      </c>
      <c r="K266" s="6">
        <v>-1.47</v>
      </c>
      <c r="L266" s="6">
        <f ca="1">IFERROR(__xludf.DUMMYFUNCTION("IFERROR(GOOGLEFINANCE(B266,""changepct""),K266)"),0.48)</f>
        <v>0.48</v>
      </c>
      <c r="M266" s="6">
        <f ca="1">IFERROR(__xludf.DUMMYFUNCTION("IFERROR(GOOGLEFINANCE(B266,""change""),0)"),0.13)</f>
        <v>0.13</v>
      </c>
      <c r="N266" s="6">
        <v>1</v>
      </c>
      <c r="O266" s="7">
        <v>45536</v>
      </c>
      <c r="P266" s="6">
        <v>180.94</v>
      </c>
      <c r="Q266" s="6">
        <v>248.03</v>
      </c>
      <c r="R266" s="7">
        <v>45536</v>
      </c>
      <c r="S266" s="6">
        <v>132.41</v>
      </c>
      <c r="T266" s="6">
        <v>-6</v>
      </c>
      <c r="U266" s="7">
        <v>45536</v>
      </c>
      <c r="V266" s="6">
        <v>0</v>
      </c>
      <c r="W266" s="6">
        <f ca="1">IFERROR(__xludf.DUMMYFUNCTION("IFERROR(GOOGLEFINANCE(B266,""pe""),V266)"),0)</f>
        <v>0</v>
      </c>
      <c r="X266" s="6">
        <v>0</v>
      </c>
      <c r="Y266" s="6">
        <v>0.41</v>
      </c>
      <c r="Z266" s="6">
        <v>1</v>
      </c>
      <c r="AA266" s="8">
        <v>45352</v>
      </c>
      <c r="AB266" s="4">
        <v>0.98</v>
      </c>
      <c r="AC266" s="6">
        <v>0.69</v>
      </c>
      <c r="AD266" s="6">
        <v>5.03</v>
      </c>
      <c r="AE266" s="1">
        <v>0</v>
      </c>
      <c r="AF266" s="1">
        <f ca="1">IFERROR(__xludf.DUMMYFUNCTION("IFERROR(GOOGLEFINANCE(TRIM(F266)&amp;"":"" &amp; TRIM(B266),""high52""),AE266)"),47.7)</f>
        <v>47.7</v>
      </c>
      <c r="AG266" s="1">
        <v>0</v>
      </c>
      <c r="AH266" s="1">
        <f ca="1">IFERROR(__xludf.DUMMYFUNCTION("IFERROR(GOOGLEFINANCE(TRIM(F266)&amp;"":"" &amp; TRIM(B266),""low52""),AE266)"),26.15)</f>
        <v>26.15</v>
      </c>
      <c r="AI266" s="1">
        <f ca="1">IFERROR(__xludf.DUMMYFUNCTION("IFERROR(GOOGLEFINANCE(B266,""eps""),0)"),-1.61)</f>
        <v>-1.61</v>
      </c>
      <c r="AJ266" s="1"/>
      <c r="AK266" s="1" t="s">
        <v>890</v>
      </c>
      <c r="AL266" s="1" t="b">
        <f>ISNUMBER(AA266)</f>
        <v>1</v>
      </c>
    </row>
    <row r="267" spans="1:38" ht="15" x14ac:dyDescent="0.25">
      <c r="A267" s="1" t="s">
        <v>891</v>
      </c>
      <c r="B267" s="1" t="s">
        <v>892</v>
      </c>
      <c r="C267" s="1" t="s">
        <v>483</v>
      </c>
      <c r="D267" s="1" t="s">
        <v>483</v>
      </c>
      <c r="E267" s="6">
        <v>1224.24</v>
      </c>
      <c r="F267" s="1" t="s">
        <v>40</v>
      </c>
      <c r="G267" s="6">
        <f ca="1">IFERROR(__xludf.DUMMYFUNCTION("iferror(GOOGLEFINANCE(TRIM(F267)&amp;"":"" &amp; TRIM(B267), ""price""),0
)"),444.95)</f>
        <v>444.95</v>
      </c>
      <c r="H267" s="6">
        <v>810.45</v>
      </c>
      <c r="I267" s="6">
        <f t="shared" ca="1" si="0"/>
        <v>444.95</v>
      </c>
      <c r="J267" s="6">
        <f ca="1">IFERROR(__xludf.DUMMYFUNCTION("IFERROR(GOOGLEFINANCE(B267, ""volume""), 0)"),26267)</f>
        <v>26267</v>
      </c>
      <c r="K267" s="6">
        <v>0.02</v>
      </c>
      <c r="L267" s="6">
        <f ca="1">IFERROR(__xludf.DUMMYFUNCTION("IFERROR(GOOGLEFINANCE(B267,""changepct""),K267)"),2.31)</f>
        <v>2.31</v>
      </c>
      <c r="M267" s="6">
        <f ca="1">IFERROR(__xludf.DUMMYFUNCTION("IFERROR(GOOGLEFINANCE(B267,""change""),0)"),10.05)</f>
        <v>10.050000000000001</v>
      </c>
      <c r="N267" s="6">
        <v>2</v>
      </c>
      <c r="O267" s="7">
        <v>45536</v>
      </c>
      <c r="P267" s="6">
        <v>0.24</v>
      </c>
      <c r="Q267" s="6">
        <v>1192.28</v>
      </c>
      <c r="R267" s="7">
        <v>45536</v>
      </c>
      <c r="S267" s="6">
        <v>206.48</v>
      </c>
      <c r="T267" s="6">
        <v>53.68</v>
      </c>
      <c r="U267" s="7">
        <v>45536</v>
      </c>
      <c r="V267" s="6">
        <v>22.74</v>
      </c>
      <c r="W267" s="6">
        <f ca="1">IFERROR(__xludf.DUMMYFUNCTION("IFERROR(GOOGLEFINANCE(B267,""pe""),V267)"),13.19)</f>
        <v>13.19</v>
      </c>
      <c r="X267" s="6">
        <v>0.75</v>
      </c>
      <c r="Y267" s="6">
        <v>7.46</v>
      </c>
      <c r="Z267" s="6">
        <v>2</v>
      </c>
      <c r="AA267" s="8">
        <v>45352</v>
      </c>
      <c r="AB267" s="4">
        <v>0</v>
      </c>
      <c r="AC267" s="6">
        <v>26.07</v>
      </c>
      <c r="AD267" s="6">
        <v>36.26</v>
      </c>
      <c r="AE267" s="1">
        <v>0</v>
      </c>
      <c r="AF267" s="1">
        <f ca="1">IFERROR(__xludf.DUMMYFUNCTION("IFERROR(GOOGLEFINANCE(TRIM(F267)&amp;"":"" &amp; TRIM(B267),""high52""),AE267)"),817.95)</f>
        <v>817.95</v>
      </c>
      <c r="AG267" s="1">
        <v>0</v>
      </c>
      <c r="AH267" s="1">
        <f ca="1">IFERROR(__xludf.DUMMYFUNCTION("IFERROR(GOOGLEFINANCE(TRIM(F267)&amp;"":"" &amp; TRIM(B267),""low52""),AE267)"),411.75)</f>
        <v>411.75</v>
      </c>
      <c r="AI267" s="1">
        <f ca="1">IFERROR(__xludf.DUMMYFUNCTION("IFERROR(GOOGLEFINANCE(B267,""eps""),0)"),33.74)</f>
        <v>33.74</v>
      </c>
      <c r="AJ267" s="1"/>
      <c r="AK267" s="9"/>
      <c r="AL267" s="9">
        <f t="shared" ref="AL267:AL268" si="58">IF(AA267&lt;&gt;AB267,1,0)</f>
        <v>1</v>
      </c>
    </row>
    <row r="268" spans="1:38" ht="15" x14ac:dyDescent="0.25">
      <c r="A268" s="1" t="s">
        <v>893</v>
      </c>
      <c r="B268" s="1" t="s">
        <v>894</v>
      </c>
      <c r="C268" s="1" t="s">
        <v>259</v>
      </c>
      <c r="D268" s="1" t="s">
        <v>259</v>
      </c>
      <c r="E268" s="6">
        <v>88.79</v>
      </c>
      <c r="F268" s="1" t="s">
        <v>40</v>
      </c>
      <c r="G268" s="6">
        <f ca="1">IFERROR(__xludf.DUMMYFUNCTION("iferror(GOOGLEFINANCE(TRIM(F268)&amp;"":"" &amp; TRIM(B268), ""price""),0
)"),1.27)</f>
        <v>1.27</v>
      </c>
      <c r="H268" s="6">
        <v>3.31</v>
      </c>
      <c r="I268" s="6">
        <f t="shared" ca="1" si="0"/>
        <v>1.27</v>
      </c>
      <c r="J268" s="6">
        <f ca="1">IFERROR(__xludf.DUMMYFUNCTION("IFERROR(GOOGLEFINANCE(B268, ""volume""), 0)"),140640)</f>
        <v>140640</v>
      </c>
      <c r="K268" s="6">
        <v>-0.9</v>
      </c>
      <c r="L268" s="6">
        <f ca="1">IFERROR(__xludf.DUMMYFUNCTION("IFERROR(GOOGLEFINANCE(B268,""changepct""),K268)"),1.6)</f>
        <v>1.6</v>
      </c>
      <c r="M268" s="6">
        <f ca="1">IFERROR(__xludf.DUMMYFUNCTION("IFERROR(GOOGLEFINANCE(B268,""change""),0)"),0.02)</f>
        <v>0.02</v>
      </c>
      <c r="N268" s="6">
        <v>1</v>
      </c>
      <c r="O268" s="7">
        <v>45352</v>
      </c>
      <c r="P268" s="6">
        <v>816.49</v>
      </c>
      <c r="Q268" s="6">
        <v>904.91</v>
      </c>
      <c r="R268" s="7">
        <v>45352</v>
      </c>
      <c r="S268" s="6">
        <v>13.77</v>
      </c>
      <c r="T268" s="6">
        <v>-1174.95</v>
      </c>
      <c r="U268" s="7">
        <v>45352</v>
      </c>
      <c r="V268" s="6">
        <v>0</v>
      </c>
      <c r="W268" s="6">
        <f ca="1">IFERROR(__xludf.DUMMYFUNCTION("IFERROR(GOOGLEFINANCE(B268,""pe""),V268)"),0)</f>
        <v>0</v>
      </c>
      <c r="X268" s="6">
        <v>0</v>
      </c>
      <c r="Y268" s="6">
        <v>-0.2</v>
      </c>
      <c r="Z268" s="6">
        <v>2</v>
      </c>
      <c r="AA268" s="8">
        <v>44986</v>
      </c>
      <c r="AB268" s="4">
        <v>5.78</v>
      </c>
      <c r="AC268" s="6">
        <v>-67.510000000000005</v>
      </c>
      <c r="AD268" s="6">
        <v>4.95</v>
      </c>
      <c r="AE268" s="1">
        <v>0</v>
      </c>
      <c r="AF268" s="1">
        <f ca="1">IFERROR(__xludf.DUMMYFUNCTION("IFERROR(GOOGLEFINANCE(TRIM(F268)&amp;"":"" &amp; TRIM(B268),""high52""),AE268)"),3.94)</f>
        <v>3.94</v>
      </c>
      <c r="AG268" s="1">
        <v>0</v>
      </c>
      <c r="AH268" s="1">
        <f ca="1">IFERROR(__xludf.DUMMYFUNCTION("IFERROR(GOOGLEFINANCE(TRIM(F268)&amp;"":"" &amp; TRIM(B268),""low52""),AE268)"),1.14)</f>
        <v>1.1399999999999999</v>
      </c>
      <c r="AI268" s="1">
        <f ca="1">IFERROR(__xludf.DUMMYFUNCTION("IFERROR(GOOGLEFINANCE(B268,""eps""),0)"),0)</f>
        <v>0</v>
      </c>
      <c r="AJ268" s="1"/>
      <c r="AK268" s="1" t="s">
        <v>895</v>
      </c>
      <c r="AL268" s="9">
        <f t="shared" si="58"/>
        <v>1</v>
      </c>
    </row>
    <row r="269" spans="1:38" ht="15" x14ac:dyDescent="0.25">
      <c r="A269" s="1" t="s">
        <v>896</v>
      </c>
      <c r="B269" s="1" t="s">
        <v>897</v>
      </c>
      <c r="C269" s="1" t="s">
        <v>679</v>
      </c>
      <c r="D269" s="1" t="s">
        <v>679</v>
      </c>
      <c r="E269" s="6">
        <v>579.83000000000004</v>
      </c>
      <c r="F269" s="1" t="s">
        <v>53</v>
      </c>
      <c r="G269" s="6">
        <f ca="1">IFERROR(__xludf.DUMMYFUNCTION("iferror(GOOGLEFINANCE(TRIM(F269)&amp;"":"" &amp; TRIM(B269), ""price""),0
)"),0)</f>
        <v>0</v>
      </c>
      <c r="H269" s="6">
        <v>658.95</v>
      </c>
      <c r="I269" s="6">
        <f t="shared" ca="1" si="0"/>
        <v>658.95</v>
      </c>
      <c r="J269" s="6">
        <f ca="1">IFERROR(__xludf.DUMMYFUNCTION("IFERROR(GOOGLEFINANCE(B269, ""volume""), 0)"),0)</f>
        <v>0</v>
      </c>
      <c r="K269" s="6">
        <v>1.87</v>
      </c>
      <c r="L269" s="6">
        <f ca="1">IFERROR(__xludf.DUMMYFUNCTION("IFERROR(GOOGLEFINANCE(B269,""changepct""),K269)"),1.87)</f>
        <v>1.87</v>
      </c>
      <c r="M269" s="6">
        <f ca="1">IFERROR(__xludf.DUMMYFUNCTION("IFERROR(GOOGLEFINANCE(B269,""change""),0)"),0)</f>
        <v>0</v>
      </c>
      <c r="N269" s="6">
        <v>1</v>
      </c>
      <c r="O269" s="7">
        <v>45536</v>
      </c>
      <c r="P269" s="6">
        <v>6.96</v>
      </c>
      <c r="Q269" s="6">
        <v>582.72</v>
      </c>
      <c r="R269" s="7">
        <v>45536</v>
      </c>
      <c r="S269" s="6">
        <v>69.02</v>
      </c>
      <c r="T269" s="6">
        <v>12.63</v>
      </c>
      <c r="U269" s="7">
        <v>45536</v>
      </c>
      <c r="V269" s="6">
        <v>45.92</v>
      </c>
      <c r="W269" s="6">
        <f ca="1">IFERROR(__xludf.DUMMYFUNCTION("IFERROR(GOOGLEFINANCE(B269,""pe""),V269)"),45.92)</f>
        <v>45.92</v>
      </c>
      <c r="X269" s="6">
        <v>0.42</v>
      </c>
      <c r="Y269" s="6">
        <v>6.46</v>
      </c>
      <c r="Z269" s="6">
        <v>1</v>
      </c>
      <c r="AA269" s="8">
        <v>45352</v>
      </c>
      <c r="AB269" s="4">
        <v>0.05</v>
      </c>
      <c r="AC269" s="6">
        <v>21.29</v>
      </c>
      <c r="AD269" s="6">
        <v>26.85</v>
      </c>
      <c r="AE269" s="1">
        <v>0</v>
      </c>
      <c r="AF269" s="1">
        <f ca="1">IFERROR(__xludf.DUMMYFUNCTION("IFERROR(GOOGLEFINANCE(TRIM(F269)&amp;"":"" &amp; TRIM(B269),""high52""),AE269)"),0)</f>
        <v>0</v>
      </c>
      <c r="AG269" s="1">
        <v>0</v>
      </c>
      <c r="AH269" s="1">
        <f ca="1">IFERROR(__xludf.DUMMYFUNCTION("IFERROR(GOOGLEFINANCE(TRIM(F269)&amp;"":"" &amp; TRIM(B269),""low52""),AE269)"),0)</f>
        <v>0</v>
      </c>
      <c r="AI269" s="1">
        <f ca="1">IFERROR(__xludf.DUMMYFUNCTION("IFERROR(GOOGLEFINANCE(B269,""eps""),0)"),0)</f>
        <v>0</v>
      </c>
      <c r="AJ269" s="1"/>
      <c r="AK269" s="1" t="s">
        <v>898</v>
      </c>
      <c r="AL269" s="1" t="b">
        <f>ISNUMBER(AA269)</f>
        <v>1</v>
      </c>
    </row>
    <row r="270" spans="1:38" ht="15" x14ac:dyDescent="0.25">
      <c r="A270" s="1" t="s">
        <v>899</v>
      </c>
      <c r="B270" s="1" t="s">
        <v>900</v>
      </c>
      <c r="C270" s="1" t="s">
        <v>86</v>
      </c>
      <c r="D270" s="1" t="s">
        <v>86</v>
      </c>
      <c r="E270" s="6">
        <v>62.12</v>
      </c>
      <c r="F270" s="1" t="s">
        <v>40</v>
      </c>
      <c r="G270" s="6">
        <f ca="1">IFERROR(__xludf.DUMMYFUNCTION("iferror(GOOGLEFINANCE(TRIM(F270)&amp;"":"" &amp; TRIM(B270), ""price""),0
)"),0)</f>
        <v>0</v>
      </c>
      <c r="H270" s="6">
        <v>28.47</v>
      </c>
      <c r="I270" s="6">
        <f t="shared" ca="1" si="0"/>
        <v>28.47</v>
      </c>
      <c r="J270" s="6">
        <f ca="1">IFERROR(__xludf.DUMMYFUNCTION("IFERROR(GOOGLEFINANCE(B270, ""volume""), 0)"),0)</f>
        <v>0</v>
      </c>
      <c r="K270" s="6">
        <v>4.9800000000000004</v>
      </c>
      <c r="L270" s="6">
        <f ca="1">IFERROR(__xludf.DUMMYFUNCTION("IFERROR(GOOGLEFINANCE(B270,""changepct""),K270)"),4.98)</f>
        <v>4.9800000000000004</v>
      </c>
      <c r="M270" s="6">
        <f ca="1">IFERROR(__xludf.DUMMYFUNCTION("IFERROR(GOOGLEFINANCE(B270,""change""),0)"),0)</f>
        <v>0</v>
      </c>
      <c r="N270" s="6">
        <v>2</v>
      </c>
      <c r="O270" s="7">
        <v>45536</v>
      </c>
      <c r="P270" s="6">
        <v>1628.53</v>
      </c>
      <c r="Q270" s="6">
        <v>1648.38</v>
      </c>
      <c r="R270" s="7">
        <v>45536</v>
      </c>
      <c r="S270" s="6">
        <v>300.52</v>
      </c>
      <c r="T270" s="6">
        <v>-20.13</v>
      </c>
      <c r="U270" s="7">
        <v>45536</v>
      </c>
      <c r="V270" s="6">
        <v>0</v>
      </c>
      <c r="W270" s="6">
        <f ca="1">IFERROR(__xludf.DUMMYFUNCTION("IFERROR(GOOGLEFINANCE(B270,""pe""),V270)"),0)</f>
        <v>0</v>
      </c>
      <c r="X270" s="9"/>
      <c r="Y270" s="6">
        <v>-0.39</v>
      </c>
      <c r="Z270" s="6">
        <v>2</v>
      </c>
      <c r="AA270" s="8">
        <v>45352</v>
      </c>
      <c r="AB270" s="4">
        <v>-10.07</v>
      </c>
      <c r="AC270" s="6">
        <v>0</v>
      </c>
      <c r="AD270" s="6">
        <v>-2.19</v>
      </c>
      <c r="AE270" s="1">
        <v>0</v>
      </c>
      <c r="AF270" s="1">
        <f ca="1">IFERROR(__xludf.DUMMYFUNCTION("IFERROR(GOOGLEFINANCE(TRIM(F270)&amp;"":"" &amp; TRIM(B270),""high52""),AE270)"),0)</f>
        <v>0</v>
      </c>
      <c r="AG270" s="1">
        <v>0</v>
      </c>
      <c r="AH270" s="1">
        <f ca="1">IFERROR(__xludf.DUMMYFUNCTION("IFERROR(GOOGLEFINANCE(TRIM(F270)&amp;"":"" &amp; TRIM(B270),""low52""),AE270)"),0)</f>
        <v>0</v>
      </c>
      <c r="AI270" s="1">
        <f ca="1">IFERROR(__xludf.DUMMYFUNCTION("IFERROR(GOOGLEFINANCE(B270,""eps""),0)"),0)</f>
        <v>0</v>
      </c>
      <c r="AJ270" s="1"/>
      <c r="AK270" s="1" t="s">
        <v>901</v>
      </c>
      <c r="AL270" s="9">
        <f>IF(AA270&lt;&gt;AB270,1,0)</f>
        <v>1</v>
      </c>
    </row>
    <row r="271" spans="1:38" ht="15" x14ac:dyDescent="0.25">
      <c r="A271" s="1" t="s">
        <v>902</v>
      </c>
      <c r="B271" s="1" t="s">
        <v>903</v>
      </c>
      <c r="C271" s="1" t="s">
        <v>679</v>
      </c>
      <c r="D271" s="1" t="s">
        <v>679</v>
      </c>
      <c r="E271" s="6">
        <v>354.64</v>
      </c>
      <c r="F271" s="1" t="s">
        <v>53</v>
      </c>
      <c r="G271" s="6">
        <f ca="1">IFERROR(__xludf.DUMMYFUNCTION("iferror(GOOGLEFINANCE(TRIM(F271)&amp;"":"" &amp; TRIM(B271), ""price""),0
)"),0)</f>
        <v>0</v>
      </c>
      <c r="H271" s="6">
        <v>476</v>
      </c>
      <c r="I271" s="6">
        <f t="shared" ca="1" si="0"/>
        <v>476</v>
      </c>
      <c r="J271" s="6">
        <f ca="1">IFERROR(__xludf.DUMMYFUNCTION("IFERROR(GOOGLEFINANCE(B271, ""volume""), 0)"),0)</f>
        <v>0</v>
      </c>
      <c r="K271" s="6">
        <v>0.67</v>
      </c>
      <c r="L271" s="6">
        <f ca="1">IFERROR(__xludf.DUMMYFUNCTION("IFERROR(GOOGLEFINANCE(B271,""changepct""),K271)"),0.67)</f>
        <v>0.67</v>
      </c>
      <c r="M271" s="6">
        <f ca="1">IFERROR(__xludf.DUMMYFUNCTION("IFERROR(GOOGLEFINANCE(B271,""change""),0)"),0)</f>
        <v>0</v>
      </c>
      <c r="N271" s="6">
        <v>1</v>
      </c>
      <c r="O271" s="7">
        <v>45536</v>
      </c>
      <c r="P271" s="9"/>
      <c r="Q271" s="6">
        <v>341.69</v>
      </c>
      <c r="R271" s="7">
        <v>45536</v>
      </c>
      <c r="S271" s="6">
        <v>278.88</v>
      </c>
      <c r="T271" s="6">
        <v>13.77</v>
      </c>
      <c r="U271" s="7">
        <v>45536</v>
      </c>
      <c r="V271" s="6">
        <v>25.75</v>
      </c>
      <c r="W271" s="6">
        <f ca="1">IFERROR(__xludf.DUMMYFUNCTION("IFERROR(GOOGLEFINANCE(B271,""pe""),V271)"),25.75)</f>
        <v>25.75</v>
      </c>
      <c r="X271" s="6">
        <v>1.27</v>
      </c>
      <c r="Y271" s="6">
        <v>3.41</v>
      </c>
      <c r="Z271" s="6">
        <v>1</v>
      </c>
      <c r="AA271" s="8">
        <v>45352</v>
      </c>
      <c r="AB271" s="4">
        <v>0</v>
      </c>
      <c r="AC271" s="6">
        <v>11.97</v>
      </c>
      <c r="AD271" s="6">
        <v>16.14</v>
      </c>
      <c r="AE271" s="1">
        <v>0</v>
      </c>
      <c r="AF271" s="1">
        <f ca="1">IFERROR(__xludf.DUMMYFUNCTION("IFERROR(GOOGLEFINANCE(TRIM(F271)&amp;"":"" &amp; TRIM(B271),""high52""),AE271)"),0)</f>
        <v>0</v>
      </c>
      <c r="AG271" s="1">
        <v>0</v>
      </c>
      <c r="AH271" s="1">
        <f ca="1">IFERROR(__xludf.DUMMYFUNCTION("IFERROR(GOOGLEFINANCE(TRIM(F271)&amp;"":"" &amp; TRIM(B271),""low52""),AE271)"),0)</f>
        <v>0</v>
      </c>
      <c r="AI271" s="1">
        <f ca="1">IFERROR(__xludf.DUMMYFUNCTION("IFERROR(GOOGLEFINANCE(B271,""eps""),0)"),0)</f>
        <v>0</v>
      </c>
      <c r="AJ271" s="1"/>
      <c r="AK271" s="1" t="s">
        <v>904</v>
      </c>
      <c r="AL271" s="1" t="b">
        <f t="shared" ref="AL271:AL272" si="59">ISNUMBER(AA271)</f>
        <v>1</v>
      </c>
    </row>
    <row r="272" spans="1:38" ht="15" x14ac:dyDescent="0.25">
      <c r="A272" s="1" t="s">
        <v>905</v>
      </c>
      <c r="B272" s="1" t="s">
        <v>906</v>
      </c>
      <c r="C272" s="1" t="s">
        <v>907</v>
      </c>
      <c r="D272" s="1" t="s">
        <v>907</v>
      </c>
      <c r="E272" s="6">
        <v>39.22</v>
      </c>
      <c r="F272" s="1" t="s">
        <v>53</v>
      </c>
      <c r="G272" s="6">
        <f ca="1">IFERROR(__xludf.DUMMYFUNCTION("iferror(GOOGLEFINANCE(TRIM(F272)&amp;"":"" &amp; TRIM(B272), ""price""),0
)"),0)</f>
        <v>0</v>
      </c>
      <c r="H272" s="6">
        <v>23.25</v>
      </c>
      <c r="I272" s="6">
        <f t="shared" ca="1" si="0"/>
        <v>23.25</v>
      </c>
      <c r="J272" s="6">
        <f ca="1">IFERROR(__xludf.DUMMYFUNCTION("IFERROR(GOOGLEFINANCE(B272, ""volume""), 0)"),0)</f>
        <v>0</v>
      </c>
      <c r="K272" s="6">
        <v>4.97</v>
      </c>
      <c r="L272" s="6">
        <f ca="1">IFERROR(__xludf.DUMMYFUNCTION("IFERROR(GOOGLEFINANCE(B272,""changepct""),K272)"),4.97)</f>
        <v>4.97</v>
      </c>
      <c r="M272" s="6">
        <f ca="1">IFERROR(__xludf.DUMMYFUNCTION("IFERROR(GOOGLEFINANCE(B272,""change""),0)"),0)</f>
        <v>0</v>
      </c>
      <c r="N272" s="6">
        <v>1</v>
      </c>
      <c r="O272" s="7">
        <v>45352</v>
      </c>
      <c r="P272" s="6">
        <v>60.02</v>
      </c>
      <c r="Q272" s="6">
        <v>99.24</v>
      </c>
      <c r="R272" s="7">
        <v>45352</v>
      </c>
      <c r="S272" s="6">
        <v>15.05</v>
      </c>
      <c r="T272" s="6">
        <v>-3.13</v>
      </c>
      <c r="U272" s="7">
        <v>45352</v>
      </c>
      <c r="V272" s="6">
        <v>0</v>
      </c>
      <c r="W272" s="6">
        <f ca="1">IFERROR(__xludf.DUMMYFUNCTION("IFERROR(GOOGLEFINANCE(B272,""pe""),V272)"),0)</f>
        <v>0</v>
      </c>
      <c r="X272" s="9"/>
      <c r="Y272" s="6">
        <v>2.0499999999999998</v>
      </c>
      <c r="Z272" s="6">
        <v>2</v>
      </c>
      <c r="AA272" s="8">
        <v>44986</v>
      </c>
      <c r="AB272" s="4">
        <v>2.88</v>
      </c>
      <c r="AC272" s="6">
        <v>-32.97</v>
      </c>
      <c r="AD272" s="6">
        <v>-11.79</v>
      </c>
      <c r="AE272" s="1">
        <v>0</v>
      </c>
      <c r="AF272" s="1">
        <f ca="1">IFERROR(__xludf.DUMMYFUNCTION("IFERROR(GOOGLEFINANCE(TRIM(F272)&amp;"":"" &amp; TRIM(B272),""high52""),AE272)"),0)</f>
        <v>0</v>
      </c>
      <c r="AG272" s="1">
        <v>0</v>
      </c>
      <c r="AH272" s="1">
        <f ca="1">IFERROR(__xludf.DUMMYFUNCTION("IFERROR(GOOGLEFINANCE(TRIM(F272)&amp;"":"" &amp; TRIM(B272),""low52""),AE272)"),0)</f>
        <v>0</v>
      </c>
      <c r="AI272" s="1">
        <f ca="1">IFERROR(__xludf.DUMMYFUNCTION("IFERROR(GOOGLEFINANCE(B272,""eps""),0)"),0)</f>
        <v>0</v>
      </c>
      <c r="AJ272" s="1"/>
      <c r="AK272" s="1" t="s">
        <v>908</v>
      </c>
      <c r="AL272" s="1" t="b">
        <f t="shared" si="59"/>
        <v>1</v>
      </c>
    </row>
    <row r="273" spans="1:38" ht="15" x14ac:dyDescent="0.25">
      <c r="A273" s="1" t="s">
        <v>909</v>
      </c>
      <c r="B273" s="1" t="s">
        <v>910</v>
      </c>
      <c r="C273" s="1" t="s">
        <v>487</v>
      </c>
      <c r="D273" s="1" t="s">
        <v>487</v>
      </c>
      <c r="E273" s="6">
        <v>141.72999999999999</v>
      </c>
      <c r="F273" s="1" t="s">
        <v>40</v>
      </c>
      <c r="G273" s="6">
        <f ca="1">IFERROR(__xludf.DUMMYFUNCTION("iferror(GOOGLEFINANCE(TRIM(F273)&amp;"":"" &amp; TRIM(B273), ""price""),0
)"),40.18)</f>
        <v>40.18</v>
      </c>
      <c r="H273" s="6">
        <v>56.5</v>
      </c>
      <c r="I273" s="6">
        <f t="shared" ca="1" si="0"/>
        <v>40.18</v>
      </c>
      <c r="J273" s="6">
        <f ca="1">IFERROR(__xludf.DUMMYFUNCTION("IFERROR(GOOGLEFINANCE(B273, ""volume""), 0)"),843)</f>
        <v>843</v>
      </c>
      <c r="K273" s="6">
        <v>-0.51</v>
      </c>
      <c r="L273" s="6">
        <f ca="1">IFERROR(__xludf.DUMMYFUNCTION("IFERROR(GOOGLEFINANCE(B273,""changepct""),K273)"),-4.33)</f>
        <v>-4.33</v>
      </c>
      <c r="M273" s="6">
        <f ca="1">IFERROR(__xludf.DUMMYFUNCTION("IFERROR(GOOGLEFINANCE(B273,""change""),0)"),-1.82)</f>
        <v>-1.82</v>
      </c>
      <c r="N273" s="6">
        <v>1</v>
      </c>
      <c r="O273" s="7">
        <v>45536</v>
      </c>
      <c r="P273" s="6">
        <v>8.59</v>
      </c>
      <c r="Q273" s="6">
        <v>145.22999999999999</v>
      </c>
      <c r="R273" s="7">
        <v>45536</v>
      </c>
      <c r="S273" s="6">
        <v>31.09</v>
      </c>
      <c r="T273" s="6">
        <v>1.24</v>
      </c>
      <c r="U273" s="7">
        <v>45536</v>
      </c>
      <c r="V273" s="6">
        <v>114.57</v>
      </c>
      <c r="W273" s="6">
        <f ca="1">IFERROR(__xludf.DUMMYFUNCTION("IFERROR(GOOGLEFINANCE(B273,""pe""),V273)"),73.56)</f>
        <v>73.56</v>
      </c>
      <c r="X273" s="6">
        <v>-52.08</v>
      </c>
      <c r="Y273" s="6">
        <v>3.91</v>
      </c>
      <c r="Z273" s="6">
        <v>1</v>
      </c>
      <c r="AA273" s="8">
        <v>45352</v>
      </c>
      <c r="AB273" s="4">
        <v>0.08</v>
      </c>
      <c r="AC273" s="6">
        <v>3.4</v>
      </c>
      <c r="AD273" s="6">
        <v>4.59</v>
      </c>
      <c r="AE273" s="1">
        <v>0</v>
      </c>
      <c r="AF273" s="1">
        <f ca="1">IFERROR(__xludf.DUMMYFUNCTION("IFERROR(GOOGLEFINANCE(TRIM(F273)&amp;"":"" &amp; TRIM(B273),""high52""),AE273)"),72.5)</f>
        <v>72.5</v>
      </c>
      <c r="AG273" s="1">
        <v>0</v>
      </c>
      <c r="AH273" s="1">
        <f ca="1">IFERROR(__xludf.DUMMYFUNCTION("IFERROR(GOOGLEFINANCE(TRIM(F273)&amp;"":"" &amp; TRIM(B273),""low52""),AE273)"),39.68)</f>
        <v>39.68</v>
      </c>
      <c r="AI273" s="1">
        <f ca="1">IFERROR(__xludf.DUMMYFUNCTION("IFERROR(GOOGLEFINANCE(B273,""eps""),0)"),0.55)</f>
        <v>0.55000000000000004</v>
      </c>
      <c r="AJ273" s="1"/>
      <c r="AK273" s="9"/>
      <c r="AL273" s="9">
        <f>IF(AA273&lt;&gt;AB273,1,0)</f>
        <v>1</v>
      </c>
    </row>
    <row r="274" spans="1:38" ht="15" x14ac:dyDescent="0.25">
      <c r="A274" s="1" t="s">
        <v>911</v>
      </c>
      <c r="B274" s="1" t="s">
        <v>912</v>
      </c>
      <c r="C274" s="1" t="s">
        <v>907</v>
      </c>
      <c r="D274" s="1" t="s">
        <v>907</v>
      </c>
      <c r="E274" s="6">
        <v>66.23</v>
      </c>
      <c r="F274" s="1" t="s">
        <v>53</v>
      </c>
      <c r="G274" s="6">
        <f ca="1">IFERROR(__xludf.DUMMYFUNCTION("iferror(GOOGLEFINANCE(TRIM(F274)&amp;"":"" &amp; TRIM(B274), ""price""),0
)"),0)</f>
        <v>0</v>
      </c>
      <c r="H274" s="6">
        <v>195</v>
      </c>
      <c r="I274" s="6">
        <f t="shared" ca="1" si="0"/>
        <v>195</v>
      </c>
      <c r="J274" s="6">
        <f ca="1">IFERROR(__xludf.DUMMYFUNCTION("IFERROR(GOOGLEFINANCE(B274, ""volume""), 0)"),0)</f>
        <v>0</v>
      </c>
      <c r="K274" s="6">
        <v>2.39</v>
      </c>
      <c r="L274" s="6">
        <f ca="1">IFERROR(__xludf.DUMMYFUNCTION("IFERROR(GOOGLEFINANCE(B274,""changepct""),K274)"),2.39)</f>
        <v>2.39</v>
      </c>
      <c r="M274" s="6">
        <f ca="1">IFERROR(__xludf.DUMMYFUNCTION("IFERROR(GOOGLEFINANCE(B274,""change""),0)"),0)</f>
        <v>0</v>
      </c>
      <c r="N274" s="6">
        <v>2</v>
      </c>
      <c r="O274" s="7">
        <v>45536</v>
      </c>
      <c r="P274" s="12"/>
      <c r="Q274" s="6">
        <v>66.23</v>
      </c>
      <c r="R274" s="7">
        <v>45536</v>
      </c>
      <c r="S274" s="6">
        <v>108.9</v>
      </c>
      <c r="T274" s="6">
        <v>4.26</v>
      </c>
      <c r="U274" s="7">
        <v>45536</v>
      </c>
      <c r="V274" s="6">
        <v>15.56</v>
      </c>
      <c r="W274" s="6">
        <f ca="1">IFERROR(__xludf.DUMMYFUNCTION("IFERROR(GOOGLEFINANCE(B274,""pe""),V274)"),15.56)</f>
        <v>15.56</v>
      </c>
      <c r="X274" s="6">
        <v>1.1599999999999999</v>
      </c>
      <c r="Y274" s="6">
        <v>1.05</v>
      </c>
      <c r="Z274" s="6">
        <v>2</v>
      </c>
      <c r="AA274" s="8">
        <v>45352</v>
      </c>
      <c r="AB274" s="4">
        <v>0.02</v>
      </c>
      <c r="AC274" s="6">
        <v>6.23</v>
      </c>
      <c r="AD274" s="6">
        <v>9.02</v>
      </c>
      <c r="AE274" s="1">
        <v>0</v>
      </c>
      <c r="AF274" s="1">
        <f ca="1">IFERROR(__xludf.DUMMYFUNCTION("IFERROR(GOOGLEFINANCE(TRIM(F274)&amp;"":"" &amp; TRIM(B274),""high52""),AE274)"),0)</f>
        <v>0</v>
      </c>
      <c r="AG274" s="1">
        <v>0</v>
      </c>
      <c r="AH274" s="1">
        <f ca="1">IFERROR(__xludf.DUMMYFUNCTION("IFERROR(GOOGLEFINANCE(TRIM(F274)&amp;"":"" &amp; TRIM(B274),""low52""),AE274)"),0)</f>
        <v>0</v>
      </c>
      <c r="AI274" s="1">
        <f ca="1">IFERROR(__xludf.DUMMYFUNCTION("IFERROR(GOOGLEFINANCE(B274,""eps""),0)"),0)</f>
        <v>0</v>
      </c>
      <c r="AJ274" s="1"/>
      <c r="AK274" s="9"/>
      <c r="AL274" s="1" t="b">
        <f>ISBLANK(AB274)</f>
        <v>0</v>
      </c>
    </row>
    <row r="275" spans="1:38" ht="15" x14ac:dyDescent="0.25">
      <c r="A275" s="1" t="s">
        <v>913</v>
      </c>
      <c r="B275" s="1" t="s">
        <v>914</v>
      </c>
      <c r="C275" s="1" t="s">
        <v>907</v>
      </c>
      <c r="D275" s="1" t="s">
        <v>907</v>
      </c>
      <c r="E275" s="6">
        <v>256.79000000000002</v>
      </c>
      <c r="F275" s="1" t="s">
        <v>53</v>
      </c>
      <c r="G275" s="6">
        <f ca="1">IFERROR(__xludf.DUMMYFUNCTION("iferror(GOOGLEFINANCE(TRIM(F275)&amp;"":"" &amp; TRIM(B275), ""price""),0
)"),0)</f>
        <v>0</v>
      </c>
      <c r="H275" s="6">
        <v>660.05</v>
      </c>
      <c r="I275" s="6">
        <f t="shared" ca="1" si="0"/>
        <v>660.05</v>
      </c>
      <c r="J275" s="6">
        <f ca="1">IFERROR(__xludf.DUMMYFUNCTION("IFERROR(GOOGLEFINANCE(B275, ""volume""), 0)"),0)</f>
        <v>0</v>
      </c>
      <c r="K275" s="6">
        <v>-1.68</v>
      </c>
      <c r="L275" s="6">
        <f ca="1">IFERROR(__xludf.DUMMYFUNCTION("IFERROR(GOOGLEFINANCE(B275,""changepct""),K275)"),-1.68)</f>
        <v>-1.68</v>
      </c>
      <c r="M275" s="6">
        <f ca="1">IFERROR(__xludf.DUMMYFUNCTION("IFERROR(GOOGLEFINANCE(B275,""change""),0)"),0)</f>
        <v>0</v>
      </c>
      <c r="N275" s="6">
        <v>2</v>
      </c>
      <c r="O275" s="7">
        <v>45536</v>
      </c>
      <c r="P275" s="6">
        <v>6.43</v>
      </c>
      <c r="Q275" s="6">
        <v>261.33</v>
      </c>
      <c r="R275" s="7">
        <v>45536</v>
      </c>
      <c r="S275" s="6">
        <v>236.72</v>
      </c>
      <c r="T275" s="6">
        <v>6.85</v>
      </c>
      <c r="U275" s="7">
        <v>45536</v>
      </c>
      <c r="V275" s="6">
        <v>26.78</v>
      </c>
      <c r="W275" s="6">
        <f ca="1">IFERROR(__xludf.DUMMYFUNCTION("IFERROR(GOOGLEFINANCE(B275,""pe""),V275)"),26.78)</f>
        <v>26.78</v>
      </c>
      <c r="X275" s="6">
        <v>-11.8</v>
      </c>
      <c r="Y275" s="6">
        <v>1.1299999999999999</v>
      </c>
      <c r="Z275" s="6">
        <v>2</v>
      </c>
      <c r="AA275" s="8">
        <v>45352</v>
      </c>
      <c r="AB275" s="4">
        <v>0.02</v>
      </c>
      <c r="AC275" s="6">
        <v>4.8099999999999996</v>
      </c>
      <c r="AD275" s="6">
        <v>6.38</v>
      </c>
      <c r="AE275" s="1">
        <v>0</v>
      </c>
      <c r="AF275" s="1">
        <f ca="1">IFERROR(__xludf.DUMMYFUNCTION("IFERROR(GOOGLEFINANCE(TRIM(F275)&amp;"":"" &amp; TRIM(B275),""high52""),AE275)"),0)</f>
        <v>0</v>
      </c>
      <c r="AG275" s="1">
        <v>0</v>
      </c>
      <c r="AH275" s="1">
        <f ca="1">IFERROR(__xludf.DUMMYFUNCTION("IFERROR(GOOGLEFINANCE(TRIM(F275)&amp;"":"" &amp; TRIM(B275),""low52""),AE275)"),0)</f>
        <v>0</v>
      </c>
      <c r="AI275" s="1">
        <f ca="1">IFERROR(__xludf.DUMMYFUNCTION("IFERROR(GOOGLEFINANCE(B275,""eps""),0)"),0)</f>
        <v>0</v>
      </c>
      <c r="AJ275" s="1"/>
      <c r="AK275" s="1" t="s">
        <v>915</v>
      </c>
      <c r="AL275" s="1" t="b">
        <f t="shared" ref="AL275:AL276" si="60">ISNUMBER(AA275)</f>
        <v>1</v>
      </c>
    </row>
    <row r="276" spans="1:38" ht="15" x14ac:dyDescent="0.25">
      <c r="A276" s="1" t="s">
        <v>916</v>
      </c>
      <c r="B276" s="1" t="s">
        <v>917</v>
      </c>
      <c r="C276" s="1" t="s">
        <v>907</v>
      </c>
      <c r="D276" s="1" t="s">
        <v>907</v>
      </c>
      <c r="E276" s="6">
        <v>344.14</v>
      </c>
      <c r="F276" s="1" t="s">
        <v>53</v>
      </c>
      <c r="G276" s="6">
        <f ca="1">IFERROR(__xludf.DUMMYFUNCTION("iferror(GOOGLEFINANCE(TRIM(F276)&amp;"":"" &amp; TRIM(B276), ""price""),0
)"),0)</f>
        <v>0</v>
      </c>
      <c r="H276" s="6">
        <v>1058.05</v>
      </c>
      <c r="I276" s="6">
        <f t="shared" ca="1" si="0"/>
        <v>1058.05</v>
      </c>
      <c r="J276" s="6">
        <f ca="1">IFERROR(__xludf.DUMMYFUNCTION("IFERROR(GOOGLEFINANCE(B276, ""volume""), 0)"),0)</f>
        <v>0</v>
      </c>
      <c r="K276" s="6">
        <v>-2.23</v>
      </c>
      <c r="L276" s="6">
        <f ca="1">IFERROR(__xludf.DUMMYFUNCTION("IFERROR(GOOGLEFINANCE(B276,""changepct""),K276)"),-2.23)</f>
        <v>-2.23</v>
      </c>
      <c r="M276" s="6">
        <f ca="1">IFERROR(__xludf.DUMMYFUNCTION("IFERROR(GOOGLEFINANCE(B276,""change""),0)"),0)</f>
        <v>0</v>
      </c>
      <c r="N276" s="6">
        <v>1</v>
      </c>
      <c r="O276" s="7">
        <v>45536</v>
      </c>
      <c r="P276" s="6">
        <v>14.97</v>
      </c>
      <c r="Q276" s="6">
        <v>359.11</v>
      </c>
      <c r="R276" s="7">
        <v>45536</v>
      </c>
      <c r="S276" s="6">
        <v>123.64</v>
      </c>
      <c r="T276" s="6">
        <v>19.21</v>
      </c>
      <c r="U276" s="7">
        <v>45536</v>
      </c>
      <c r="V276" s="6">
        <v>17.91</v>
      </c>
      <c r="W276" s="6">
        <f ca="1">IFERROR(__xludf.DUMMYFUNCTION("IFERROR(GOOGLEFINANCE(B276,""pe""),V276)"),17.91)</f>
        <v>17.91</v>
      </c>
      <c r="X276" s="6">
        <v>0.77</v>
      </c>
      <c r="Y276" s="6">
        <v>3.4</v>
      </c>
      <c r="Z276" s="6">
        <v>1</v>
      </c>
      <c r="AA276" s="8">
        <v>45352</v>
      </c>
      <c r="AB276" s="4">
        <v>0.17</v>
      </c>
      <c r="AC276" s="6">
        <v>22.48</v>
      </c>
      <c r="AD276" s="6">
        <v>27.91</v>
      </c>
      <c r="AE276" s="1">
        <v>0</v>
      </c>
      <c r="AF276" s="1">
        <f ca="1">IFERROR(__xludf.DUMMYFUNCTION("IFERROR(GOOGLEFINANCE(TRIM(F276)&amp;"":"" &amp; TRIM(B276),""high52""),AE276)"),0)</f>
        <v>0</v>
      </c>
      <c r="AG276" s="1">
        <v>0</v>
      </c>
      <c r="AH276" s="1">
        <f ca="1">IFERROR(__xludf.DUMMYFUNCTION("IFERROR(GOOGLEFINANCE(TRIM(F276)&amp;"":"" &amp; TRIM(B276),""low52""),AE276)"),0)</f>
        <v>0</v>
      </c>
      <c r="AI276" s="1">
        <f ca="1">IFERROR(__xludf.DUMMYFUNCTION("IFERROR(GOOGLEFINANCE(B276,""eps""),0)"),0)</f>
        <v>0</v>
      </c>
      <c r="AJ276" s="1"/>
      <c r="AK276" s="1" t="s">
        <v>918</v>
      </c>
      <c r="AL276" s="1" t="b">
        <f t="shared" si="60"/>
        <v>1</v>
      </c>
    </row>
    <row r="277" spans="1:38" ht="15" x14ac:dyDescent="0.25">
      <c r="A277" s="1" t="s">
        <v>919</v>
      </c>
      <c r="B277" s="1" t="s">
        <v>920</v>
      </c>
      <c r="C277" s="1" t="s">
        <v>163</v>
      </c>
      <c r="D277" s="1" t="s">
        <v>163</v>
      </c>
      <c r="E277" s="6">
        <v>4425.9799999999996</v>
      </c>
      <c r="F277" s="1" t="s">
        <v>40</v>
      </c>
      <c r="G277" s="6">
        <f ca="1">IFERROR(__xludf.DUMMYFUNCTION("iferror(GOOGLEFINANCE(TRIM(F277)&amp;"":"" &amp; TRIM(B277), ""price""),0
)"),240)</f>
        <v>240</v>
      </c>
      <c r="H277" s="6">
        <v>325.3</v>
      </c>
      <c r="I277" s="6">
        <f t="shared" ca="1" si="0"/>
        <v>240</v>
      </c>
      <c r="J277" s="6">
        <f ca="1">IFERROR(__xludf.DUMMYFUNCTION("IFERROR(GOOGLEFINANCE(B277, ""volume""), 0)"),111980)</f>
        <v>111980</v>
      </c>
      <c r="K277" s="6">
        <v>1.36</v>
      </c>
      <c r="L277" s="6">
        <f ca="1">IFERROR(__xludf.DUMMYFUNCTION("IFERROR(GOOGLEFINANCE(B277,""changepct""),K277)"),-2.64)</f>
        <v>-2.64</v>
      </c>
      <c r="M277" s="6">
        <f ca="1">IFERROR(__xludf.DUMMYFUNCTION("IFERROR(GOOGLEFINANCE(B277,""change""),0)"),-6.52)</f>
        <v>-6.52</v>
      </c>
      <c r="N277" s="6">
        <v>2</v>
      </c>
      <c r="O277" s="7">
        <v>45536</v>
      </c>
      <c r="P277" s="6">
        <v>255.84</v>
      </c>
      <c r="Q277" s="6">
        <v>4306.8100000000004</v>
      </c>
      <c r="R277" s="7">
        <v>45536</v>
      </c>
      <c r="S277" s="6">
        <v>908.65</v>
      </c>
      <c r="T277" s="6">
        <v>64.510000000000005</v>
      </c>
      <c r="U277" s="7">
        <v>45536</v>
      </c>
      <c r="V277" s="6">
        <v>68.45</v>
      </c>
      <c r="W277" s="6">
        <f ca="1">IFERROR(__xludf.DUMMYFUNCTION("IFERROR(GOOGLEFINANCE(B277,""pe""),V277)"),39.98)</f>
        <v>39.979999999999997</v>
      </c>
      <c r="X277" s="6">
        <v>3.58</v>
      </c>
      <c r="Y277" s="6">
        <v>6.11</v>
      </c>
      <c r="Z277" s="6">
        <v>2</v>
      </c>
      <c r="AA277" s="8">
        <v>45352</v>
      </c>
      <c r="AB277" s="4">
        <v>0.68</v>
      </c>
      <c r="AC277" s="6">
        <v>14.01</v>
      </c>
      <c r="AD277" s="6">
        <v>16.47</v>
      </c>
      <c r="AE277" s="1">
        <v>0</v>
      </c>
      <c r="AF277" s="1">
        <f ca="1">IFERROR(__xludf.DUMMYFUNCTION("IFERROR(GOOGLEFINANCE(TRIM(F277)&amp;"":"" &amp; TRIM(B277),""high52""),AE277)"),335)</f>
        <v>335</v>
      </c>
      <c r="AG277" s="1">
        <v>0</v>
      </c>
      <c r="AH277" s="1">
        <f ca="1">IFERROR(__xludf.DUMMYFUNCTION("IFERROR(GOOGLEFINANCE(TRIM(F277)&amp;"":"" &amp; TRIM(B277),""low52""),AE277)"),207.71)</f>
        <v>207.71</v>
      </c>
      <c r="AI277" s="1">
        <f ca="1">IFERROR(__xludf.DUMMYFUNCTION("IFERROR(GOOGLEFINANCE(B277,""eps""),0)"),6)</f>
        <v>6</v>
      </c>
      <c r="AJ277" s="1"/>
      <c r="AK277" s="1" t="s">
        <v>921</v>
      </c>
      <c r="AL277" s="9">
        <f>IF(AA277&lt;&gt;AB277,1,0)</f>
        <v>1</v>
      </c>
    </row>
    <row r="278" spans="1:38" ht="15" x14ac:dyDescent="0.25">
      <c r="A278" s="1" t="s">
        <v>922</v>
      </c>
      <c r="B278" s="1" t="s">
        <v>923</v>
      </c>
      <c r="C278" s="1" t="s">
        <v>135</v>
      </c>
      <c r="D278" s="1" t="s">
        <v>135</v>
      </c>
      <c r="E278" s="6">
        <v>192.29</v>
      </c>
      <c r="F278" s="1" t="s">
        <v>40</v>
      </c>
      <c r="G278" s="6">
        <f ca="1">IFERROR(__xludf.DUMMYFUNCTION("iferror(GOOGLEFINANCE(TRIM(F278)&amp;"":"" &amp; TRIM(B278), ""price""),0
)"),155.59)</f>
        <v>155.59</v>
      </c>
      <c r="H278" s="6">
        <v>172.79</v>
      </c>
      <c r="I278" s="6">
        <f t="shared" ca="1" si="0"/>
        <v>155.59</v>
      </c>
      <c r="J278" s="6">
        <f ca="1">IFERROR(__xludf.DUMMYFUNCTION("IFERROR(GOOGLEFINANCE(B278, ""volume""), 0)"),75)</f>
        <v>75</v>
      </c>
      <c r="K278" s="6">
        <v>-0.97</v>
      </c>
      <c r="L278" s="6">
        <f ca="1">IFERROR(__xludf.DUMMYFUNCTION("IFERROR(GOOGLEFINANCE(B278,""changepct""),K278)"),-2.76)</f>
        <v>-2.76</v>
      </c>
      <c r="M278" s="6">
        <f ca="1">IFERROR(__xludf.DUMMYFUNCTION("IFERROR(GOOGLEFINANCE(B278,""change""),0)"),-4.41)</f>
        <v>-4.41</v>
      </c>
      <c r="N278" s="6">
        <v>1</v>
      </c>
      <c r="O278" s="7">
        <v>45536</v>
      </c>
      <c r="P278" s="6">
        <v>1</v>
      </c>
      <c r="Q278" s="6">
        <v>185.1</v>
      </c>
      <c r="R278" s="7">
        <v>45536</v>
      </c>
      <c r="S278" s="6">
        <v>36.97</v>
      </c>
      <c r="T278" s="6">
        <v>2.2799999999999998</v>
      </c>
      <c r="U278" s="7">
        <v>45536</v>
      </c>
      <c r="V278" s="6">
        <v>84.45</v>
      </c>
      <c r="W278" s="6">
        <f ca="1">IFERROR(__xludf.DUMMYFUNCTION("IFERROR(GOOGLEFINANCE(B278,""pe""),V278)"),429.23)</f>
        <v>429.23</v>
      </c>
      <c r="X278" s="6">
        <v>-5.95</v>
      </c>
      <c r="Y278" s="6">
        <v>6.2</v>
      </c>
      <c r="Z278" s="6">
        <v>1</v>
      </c>
      <c r="AA278" s="8">
        <v>45352</v>
      </c>
      <c r="AB278" s="4">
        <v>0.03</v>
      </c>
      <c r="AC278" s="6">
        <v>3.68</v>
      </c>
      <c r="AD278" s="6">
        <v>7.03</v>
      </c>
      <c r="AE278" s="1">
        <v>0</v>
      </c>
      <c r="AF278" s="1">
        <f ca="1">IFERROR(__xludf.DUMMYFUNCTION("IFERROR(GOOGLEFINANCE(TRIM(F278)&amp;"":"" &amp; TRIM(B278),""high52""),AE278)"),290.78)</f>
        <v>290.77999999999997</v>
      </c>
      <c r="AG278" s="1">
        <v>0</v>
      </c>
      <c r="AH278" s="1">
        <f ca="1">IFERROR(__xludf.DUMMYFUNCTION("IFERROR(GOOGLEFINANCE(TRIM(F278)&amp;"":"" &amp; TRIM(B278),""low52""),AE278)"),126.54)</f>
        <v>126.54</v>
      </c>
      <c r="AI278" s="1">
        <f ca="1">IFERROR(__xludf.DUMMYFUNCTION("IFERROR(GOOGLEFINANCE(B278,""eps""),0)"),0.36)</f>
        <v>0.36</v>
      </c>
      <c r="AJ278" s="1"/>
      <c r="AK278" s="1" t="s">
        <v>924</v>
      </c>
      <c r="AL278" s="1" t="b">
        <f>ISNUMBER(AA278)</f>
        <v>1</v>
      </c>
    </row>
    <row r="279" spans="1:38" ht="15" x14ac:dyDescent="0.25">
      <c r="A279" s="1" t="s">
        <v>925</v>
      </c>
      <c r="B279" s="1" t="s">
        <v>926</v>
      </c>
      <c r="C279" s="1" t="s">
        <v>359</v>
      </c>
      <c r="D279" s="1" t="s">
        <v>359</v>
      </c>
      <c r="E279" s="6">
        <v>6998.74</v>
      </c>
      <c r="F279" s="1" t="s">
        <v>40</v>
      </c>
      <c r="G279" s="6">
        <f ca="1">IFERROR(__xludf.DUMMYFUNCTION("iferror(GOOGLEFINANCE(TRIM(F279)&amp;"":"" &amp; TRIM(B279), ""price""),0
)"),472)</f>
        <v>472</v>
      </c>
      <c r="H279" s="6">
        <v>534.4</v>
      </c>
      <c r="I279" s="6">
        <f t="shared" ca="1" si="0"/>
        <v>472</v>
      </c>
      <c r="J279" s="6">
        <f ca="1">IFERROR(__xludf.DUMMYFUNCTION("IFERROR(GOOGLEFINANCE(B279, ""volume""), 0)"),211389)</f>
        <v>211389</v>
      </c>
      <c r="K279" s="6">
        <v>1.76</v>
      </c>
      <c r="L279" s="6">
        <f ca="1">IFERROR(__xludf.DUMMYFUNCTION("IFERROR(GOOGLEFINANCE(B279,""changepct""),K279)"),2.55)</f>
        <v>2.5499999999999998</v>
      </c>
      <c r="M279" s="6">
        <f ca="1">IFERROR(__xludf.DUMMYFUNCTION("IFERROR(GOOGLEFINANCE(B279,""change""),0)"),11.75)</f>
        <v>11.75</v>
      </c>
      <c r="N279" s="6">
        <v>2</v>
      </c>
      <c r="O279" s="7">
        <v>45536</v>
      </c>
      <c r="P279" s="6">
        <v>446.07</v>
      </c>
      <c r="Q279" s="6">
        <v>7293.69</v>
      </c>
      <c r="R279" s="7">
        <v>45536</v>
      </c>
      <c r="S279" s="6">
        <v>4446.92</v>
      </c>
      <c r="T279" s="6">
        <v>129.26</v>
      </c>
      <c r="U279" s="7">
        <v>45536</v>
      </c>
      <c r="V279" s="6">
        <v>65.83</v>
      </c>
      <c r="W279" s="6">
        <f ca="1">IFERROR(__xludf.DUMMYFUNCTION("IFERROR(GOOGLEFINANCE(B279,""pe""),V279)"),65.83)</f>
        <v>65.83</v>
      </c>
      <c r="X279" s="6">
        <v>1.71</v>
      </c>
      <c r="Y279" s="6">
        <v>6.85</v>
      </c>
      <c r="Z279" s="6">
        <v>2</v>
      </c>
      <c r="AA279" s="8">
        <v>45352</v>
      </c>
      <c r="AB279" s="4">
        <v>0.47</v>
      </c>
      <c r="AC279" s="6">
        <v>11.36</v>
      </c>
      <c r="AD279" s="6">
        <v>21.49</v>
      </c>
      <c r="AE279" s="1">
        <v>0</v>
      </c>
      <c r="AF279" s="1">
        <f ca="1">IFERROR(__xludf.DUMMYFUNCTION("IFERROR(GOOGLEFINANCE(TRIM(F279)&amp;"":"" &amp; TRIM(B279),""high52""),AE279)"),579)</f>
        <v>579</v>
      </c>
      <c r="AG279" s="1">
        <v>0</v>
      </c>
      <c r="AH279" s="1">
        <f ca="1">IFERROR(__xludf.DUMMYFUNCTION("IFERROR(GOOGLEFINANCE(TRIM(F279)&amp;"":"" &amp; TRIM(B279),""low52""),AE279)"),320.2)</f>
        <v>320.2</v>
      </c>
      <c r="AI279" s="1">
        <f ca="1">IFERROR(__xludf.DUMMYFUNCTION("IFERROR(GOOGLEFINANCE(B279,""eps""),0)"),-1.34)</f>
        <v>-1.34</v>
      </c>
      <c r="AJ279" s="1"/>
      <c r="AK279" s="1" t="s">
        <v>927</v>
      </c>
      <c r="AL279" s="9">
        <f t="shared" ref="AL279:AL282" si="61">IF(AA279&lt;&gt;AB279,1,0)</f>
        <v>1</v>
      </c>
    </row>
    <row r="280" spans="1:38" ht="15" x14ac:dyDescent="0.25">
      <c r="A280" s="1" t="s">
        <v>928</v>
      </c>
      <c r="B280" s="1" t="s">
        <v>929</v>
      </c>
      <c r="C280" s="1" t="s">
        <v>186</v>
      </c>
      <c r="D280" s="1" t="s">
        <v>186</v>
      </c>
      <c r="E280" s="6">
        <v>10915.72</v>
      </c>
      <c r="F280" s="1" t="s">
        <v>40</v>
      </c>
      <c r="G280" s="6">
        <f ca="1">IFERROR(__xludf.DUMMYFUNCTION("iferror(GOOGLEFINANCE(TRIM(F280)&amp;"":"" &amp; TRIM(B280), ""price""),0
)"),327.9)</f>
        <v>327.9</v>
      </c>
      <c r="H280" s="6">
        <v>414.7</v>
      </c>
      <c r="I280" s="6">
        <f t="shared" ca="1" si="0"/>
        <v>327.9</v>
      </c>
      <c r="J280" s="6">
        <f ca="1">IFERROR(__xludf.DUMMYFUNCTION("IFERROR(GOOGLEFINANCE(B280, ""volume""), 0)"),497796)</f>
        <v>497796</v>
      </c>
      <c r="K280" s="6">
        <v>-0.62</v>
      </c>
      <c r="L280" s="6">
        <f ca="1">IFERROR(__xludf.DUMMYFUNCTION("IFERROR(GOOGLEFINANCE(B280,""changepct""),K280)"),-0.71)</f>
        <v>-0.71</v>
      </c>
      <c r="M280" s="6">
        <f ca="1">IFERROR(__xludf.DUMMYFUNCTION("IFERROR(GOOGLEFINANCE(B280,""change""),0)"),-2.35)</f>
        <v>-2.35</v>
      </c>
      <c r="N280" s="6">
        <v>2</v>
      </c>
      <c r="O280" s="7">
        <v>45536</v>
      </c>
      <c r="P280" s="6">
        <v>1384.51</v>
      </c>
      <c r="Q280" s="6">
        <v>12223.92</v>
      </c>
      <c r="R280" s="7">
        <v>45536</v>
      </c>
      <c r="S280" s="6">
        <v>7981.66</v>
      </c>
      <c r="T280" s="6">
        <v>305.08999999999997</v>
      </c>
      <c r="U280" s="7">
        <v>45536</v>
      </c>
      <c r="V280" s="6">
        <v>37.67</v>
      </c>
      <c r="W280" s="6">
        <f ca="1">IFERROR(__xludf.DUMMYFUNCTION("IFERROR(GOOGLEFINANCE(B280,""pe""),V280)"),20.9)</f>
        <v>20.9</v>
      </c>
      <c r="X280" s="6">
        <v>7.6</v>
      </c>
      <c r="Y280" s="6">
        <v>3.11</v>
      </c>
      <c r="Z280" s="6">
        <v>2</v>
      </c>
      <c r="AA280" s="8">
        <v>45352</v>
      </c>
      <c r="AB280" s="4">
        <v>0.37</v>
      </c>
      <c r="AC280" s="6">
        <v>10.24</v>
      </c>
      <c r="AD280" s="6">
        <v>13.64</v>
      </c>
      <c r="AE280" s="1">
        <v>0</v>
      </c>
      <c r="AF280" s="1">
        <f ca="1">IFERROR(__xludf.DUMMYFUNCTION("IFERROR(GOOGLEFINANCE(TRIM(F280)&amp;"":"" &amp; TRIM(B280),""high52""),AE280)"),404)</f>
        <v>404</v>
      </c>
      <c r="AG280" s="1">
        <v>0</v>
      </c>
      <c r="AH280" s="1">
        <f ca="1">IFERROR(__xludf.DUMMYFUNCTION("IFERROR(GOOGLEFINANCE(TRIM(F280)&amp;"":"" &amp; TRIM(B280),""low52""),AE280)"),274.8)</f>
        <v>274.8</v>
      </c>
      <c r="AI280" s="1">
        <f ca="1">IFERROR(__xludf.DUMMYFUNCTION("IFERROR(GOOGLEFINANCE(B280,""eps""),0)"),15.69)</f>
        <v>15.69</v>
      </c>
      <c r="AJ280" s="1"/>
      <c r="AK280" s="1" t="s">
        <v>930</v>
      </c>
      <c r="AL280" s="9">
        <f t="shared" si="61"/>
        <v>1</v>
      </c>
    </row>
    <row r="281" spans="1:38" ht="15" x14ac:dyDescent="0.25">
      <c r="A281" s="1" t="s">
        <v>931</v>
      </c>
      <c r="B281" s="1" t="s">
        <v>932</v>
      </c>
      <c r="C281" s="1" t="s">
        <v>231</v>
      </c>
      <c r="D281" s="1" t="s">
        <v>231</v>
      </c>
      <c r="E281" s="6">
        <v>150</v>
      </c>
      <c r="F281" s="1" t="s">
        <v>40</v>
      </c>
      <c r="G281" s="6">
        <f ca="1">IFERROR(__xludf.DUMMYFUNCTION("iferror(GOOGLEFINANCE(TRIM(F281)&amp;"":"" &amp; TRIM(B281), ""price""),0
)"),0)</f>
        <v>0</v>
      </c>
      <c r="H281" s="6">
        <v>92</v>
      </c>
      <c r="I281" s="6">
        <f t="shared" ca="1" si="0"/>
        <v>92</v>
      </c>
      <c r="J281" s="6">
        <f ca="1">IFERROR(__xludf.DUMMYFUNCTION("IFERROR(GOOGLEFINANCE(B281, ""volume""), 0)"),0)</f>
        <v>0</v>
      </c>
      <c r="K281" s="6">
        <v>4.66</v>
      </c>
      <c r="L281" s="6">
        <f ca="1">IFERROR(__xludf.DUMMYFUNCTION("IFERROR(GOOGLEFINANCE(B281,""changepct""),K281)"),4.66)</f>
        <v>4.66</v>
      </c>
      <c r="M281" s="6">
        <f ca="1">IFERROR(__xludf.DUMMYFUNCTION("IFERROR(GOOGLEFINANCE(B281,""change""),0)"),0)</f>
        <v>0</v>
      </c>
      <c r="N281" s="6">
        <v>1</v>
      </c>
      <c r="O281" s="7">
        <v>45536</v>
      </c>
      <c r="P281" s="6">
        <v>10.15</v>
      </c>
      <c r="Q281" s="6">
        <v>160.15</v>
      </c>
      <c r="R281" s="7">
        <v>45352</v>
      </c>
      <c r="S281" s="6">
        <v>14.15</v>
      </c>
      <c r="T281" s="6">
        <v>5.27</v>
      </c>
      <c r="U281" s="7">
        <v>45352</v>
      </c>
      <c r="V281" s="6">
        <v>28.49</v>
      </c>
      <c r="W281" s="6">
        <f ca="1">IFERROR(__xludf.DUMMYFUNCTION("IFERROR(GOOGLEFINANCE(B281,""pe""),V281)"),28.49)</f>
        <v>28.49</v>
      </c>
      <c r="X281" s="9"/>
      <c r="Y281" s="6">
        <v>2.4300000000000002</v>
      </c>
      <c r="Z281" s="6">
        <v>1</v>
      </c>
      <c r="AA281" s="8">
        <v>45352</v>
      </c>
      <c r="AB281" s="4">
        <v>0.42</v>
      </c>
      <c r="AC281" s="6">
        <v>28.46</v>
      </c>
      <c r="AD281" s="6">
        <v>23.87</v>
      </c>
      <c r="AE281" s="1">
        <v>0</v>
      </c>
      <c r="AF281" s="1">
        <f ca="1">IFERROR(__xludf.DUMMYFUNCTION("IFERROR(GOOGLEFINANCE(TRIM(F281)&amp;"":"" &amp; TRIM(B281),""high52""),AE281)"),0)</f>
        <v>0</v>
      </c>
      <c r="AG281" s="1">
        <v>0</v>
      </c>
      <c r="AH281" s="1">
        <f ca="1">IFERROR(__xludf.DUMMYFUNCTION("IFERROR(GOOGLEFINANCE(TRIM(F281)&amp;"":"" &amp; TRIM(B281),""low52""),AE281)"),0)</f>
        <v>0</v>
      </c>
      <c r="AI281" s="1">
        <f ca="1">IFERROR(__xludf.DUMMYFUNCTION("IFERROR(GOOGLEFINANCE(B281,""eps""),0)"),0)</f>
        <v>0</v>
      </c>
      <c r="AJ281" s="1"/>
      <c r="AK281" s="1" t="s">
        <v>933</v>
      </c>
      <c r="AL281" s="9">
        <f t="shared" si="61"/>
        <v>1</v>
      </c>
    </row>
    <row r="282" spans="1:38" ht="15" x14ac:dyDescent="0.25">
      <c r="A282" s="1" t="s">
        <v>934</v>
      </c>
      <c r="B282" s="1" t="s">
        <v>935</v>
      </c>
      <c r="C282" s="1" t="s">
        <v>487</v>
      </c>
      <c r="D282" s="1" t="s">
        <v>487</v>
      </c>
      <c r="E282" s="6">
        <v>4156.8500000000004</v>
      </c>
      <c r="F282" s="1" t="s">
        <v>40</v>
      </c>
      <c r="G282" s="6">
        <f ca="1">IFERROR(__xludf.DUMMYFUNCTION("iferror(GOOGLEFINANCE(TRIM(F282)&amp;"":"" &amp; TRIM(B282), ""price""),0
)"),526.2)</f>
        <v>526.20000000000005</v>
      </c>
      <c r="H282" s="6">
        <v>909.55</v>
      </c>
      <c r="I282" s="6">
        <f t="shared" ca="1" si="0"/>
        <v>526.20000000000005</v>
      </c>
      <c r="J282" s="6">
        <f ca="1">IFERROR(__xludf.DUMMYFUNCTION("IFERROR(GOOGLEFINANCE(B282, ""volume""), 0)"),11199)</f>
        <v>11199</v>
      </c>
      <c r="K282" s="6">
        <v>-0.57999999999999996</v>
      </c>
      <c r="L282" s="6">
        <f ca="1">IFERROR(__xludf.DUMMYFUNCTION("IFERROR(GOOGLEFINANCE(B282,""changepct""),K282)"),-1.16)</f>
        <v>-1.1599999999999999</v>
      </c>
      <c r="M282" s="6">
        <f ca="1">IFERROR(__xludf.DUMMYFUNCTION("IFERROR(GOOGLEFINANCE(B282,""change""),0)"),-6.2)</f>
        <v>-6.2</v>
      </c>
      <c r="N282" s="6">
        <v>2</v>
      </c>
      <c r="O282" s="7">
        <v>45536</v>
      </c>
      <c r="P282" s="6">
        <v>142.19</v>
      </c>
      <c r="Q282" s="6">
        <v>4202.7700000000004</v>
      </c>
      <c r="R282" s="7">
        <v>45536</v>
      </c>
      <c r="S282" s="6">
        <v>541.72</v>
      </c>
      <c r="T282" s="6">
        <v>78.38</v>
      </c>
      <c r="U282" s="7">
        <v>45536</v>
      </c>
      <c r="V282" s="6">
        <v>60.68</v>
      </c>
      <c r="W282" s="6">
        <f ca="1">IFERROR(__xludf.DUMMYFUNCTION("IFERROR(GOOGLEFINANCE(B282,""pe""),V282)"),26.28)</f>
        <v>26.28</v>
      </c>
      <c r="X282" s="6">
        <v>9.68</v>
      </c>
      <c r="Y282" s="6">
        <v>7.9</v>
      </c>
      <c r="Z282" s="6">
        <v>2</v>
      </c>
      <c r="AA282" s="8">
        <v>45352</v>
      </c>
      <c r="AB282" s="4">
        <v>0.22</v>
      </c>
      <c r="AC282" s="6">
        <v>10.67</v>
      </c>
      <c r="AD282" s="6">
        <v>19.239999999999998</v>
      </c>
      <c r="AE282" s="1">
        <v>0</v>
      </c>
      <c r="AF282" s="1">
        <f ca="1">IFERROR(__xludf.DUMMYFUNCTION("IFERROR(GOOGLEFINANCE(TRIM(F282)&amp;"":"" &amp; TRIM(B282),""high52""),AE282)"),821.1)</f>
        <v>821.1</v>
      </c>
      <c r="AG282" s="1">
        <v>0</v>
      </c>
      <c r="AH282" s="1">
        <f ca="1">IFERROR(__xludf.DUMMYFUNCTION("IFERROR(GOOGLEFINANCE(TRIM(F282)&amp;"":"" &amp; TRIM(B282),""low52""),AE282)"),504)</f>
        <v>504</v>
      </c>
      <c r="AI282" s="1">
        <f ca="1">IFERROR(__xludf.DUMMYFUNCTION("IFERROR(GOOGLEFINANCE(B282,""eps""),0)"),20.02)</f>
        <v>20.02</v>
      </c>
      <c r="AJ282" s="1"/>
      <c r="AK282" s="1" t="s">
        <v>936</v>
      </c>
      <c r="AL282" s="9">
        <f t="shared" si="61"/>
        <v>1</v>
      </c>
    </row>
    <row r="283" spans="1:38" ht="15" x14ac:dyDescent="0.25">
      <c r="A283" s="1" t="s">
        <v>937</v>
      </c>
      <c r="B283" s="1" t="s">
        <v>938</v>
      </c>
      <c r="C283" s="1" t="s">
        <v>907</v>
      </c>
      <c r="D283" s="1" t="s">
        <v>907</v>
      </c>
      <c r="E283" s="6">
        <v>137.91</v>
      </c>
      <c r="F283" s="1" t="s">
        <v>53</v>
      </c>
      <c r="G283" s="6">
        <f ca="1">IFERROR(__xludf.DUMMYFUNCTION("iferror(GOOGLEFINANCE(TRIM(F283)&amp;"":"" &amp; TRIM(B283), ""price""),0
)"),0)</f>
        <v>0</v>
      </c>
      <c r="H283" s="6">
        <v>382.7</v>
      </c>
      <c r="I283" s="6">
        <f t="shared" ca="1" si="0"/>
        <v>382.7</v>
      </c>
      <c r="J283" s="6">
        <f ca="1">IFERROR(__xludf.DUMMYFUNCTION("IFERROR(GOOGLEFINANCE(B283, ""volume""), 0)"),70739)</f>
        <v>70739</v>
      </c>
      <c r="K283" s="6">
        <v>0.22</v>
      </c>
      <c r="L283" s="6">
        <f ca="1">IFERROR(__xludf.DUMMYFUNCTION("IFERROR(GOOGLEFINANCE(B283,""changepct""),K283)"),-1.89)</f>
        <v>-1.89</v>
      </c>
      <c r="M283" s="6">
        <f ca="1">IFERROR(__xludf.DUMMYFUNCTION("IFERROR(GOOGLEFINANCE(B283,""change""),0)"),-0.7)</f>
        <v>-0.7</v>
      </c>
      <c r="N283" s="6">
        <v>1</v>
      </c>
      <c r="O283" s="7">
        <v>45536</v>
      </c>
      <c r="P283" s="6">
        <v>0.01</v>
      </c>
      <c r="Q283" s="6">
        <v>130.77000000000001</v>
      </c>
      <c r="R283" s="7">
        <v>45536</v>
      </c>
      <c r="S283" s="6">
        <v>47.77</v>
      </c>
      <c r="T283" s="6">
        <v>9.18</v>
      </c>
      <c r="U283" s="7">
        <v>45536</v>
      </c>
      <c r="V283" s="6">
        <v>15.02</v>
      </c>
      <c r="W283" s="6">
        <f ca="1">IFERROR(__xludf.DUMMYFUNCTION("IFERROR(GOOGLEFINANCE(B283,""pe""),V283)"),39.12)</f>
        <v>39.119999999999997</v>
      </c>
      <c r="X283" s="6">
        <v>-18.78</v>
      </c>
      <c r="Y283" s="6">
        <v>2.2200000000000002</v>
      </c>
      <c r="Z283" s="6">
        <v>1</v>
      </c>
      <c r="AA283" s="8">
        <v>45352</v>
      </c>
      <c r="AB283" s="4">
        <v>0</v>
      </c>
      <c r="AC283" s="6">
        <v>13.77</v>
      </c>
      <c r="AD283" s="6">
        <v>18.899999999999999</v>
      </c>
      <c r="AE283" s="1">
        <v>0</v>
      </c>
      <c r="AF283" s="1">
        <f ca="1">IFERROR(__xludf.DUMMYFUNCTION("IFERROR(GOOGLEFINANCE(TRIM(F283)&amp;"":"" &amp; TRIM(B283),""high52""),AE283)"),0)</f>
        <v>0</v>
      </c>
      <c r="AG283" s="1">
        <v>0</v>
      </c>
      <c r="AH283" s="1">
        <f ca="1">IFERROR(__xludf.DUMMYFUNCTION("IFERROR(GOOGLEFINANCE(TRIM(F283)&amp;"":"" &amp; TRIM(B283),""low52""),AE283)"),0)</f>
        <v>0</v>
      </c>
      <c r="AI283" s="1">
        <f ca="1">IFERROR(__xludf.DUMMYFUNCTION("IFERROR(GOOGLEFINANCE(B283,""eps""),0)"),0.93)</f>
        <v>0.93</v>
      </c>
      <c r="AJ283" s="1"/>
      <c r="AK283" s="1" t="s">
        <v>939</v>
      </c>
      <c r="AL283" s="1" t="b">
        <f>ISNUMBER(AA283)</f>
        <v>1</v>
      </c>
    </row>
    <row r="284" spans="1:38" ht="15" x14ac:dyDescent="0.25">
      <c r="A284" s="1" t="s">
        <v>940</v>
      </c>
      <c r="B284" s="1" t="s">
        <v>941</v>
      </c>
      <c r="C284" s="1" t="s">
        <v>473</v>
      </c>
      <c r="D284" s="1" t="s">
        <v>473</v>
      </c>
      <c r="E284" s="6">
        <v>18298.59</v>
      </c>
      <c r="F284" s="1" t="s">
        <v>40</v>
      </c>
      <c r="G284" s="6">
        <f ca="1">IFERROR(__xludf.DUMMYFUNCTION("iferror(GOOGLEFINANCE(TRIM(F284)&amp;"":"" &amp; TRIM(B284), ""price""),0
)"),988.3)</f>
        <v>988.3</v>
      </c>
      <c r="H284" s="6">
        <v>758.25</v>
      </c>
      <c r="I284" s="6">
        <f t="shared" ca="1" si="0"/>
        <v>988.3</v>
      </c>
      <c r="J284" s="6">
        <f ca="1">IFERROR(__xludf.DUMMYFUNCTION("IFERROR(GOOGLEFINANCE(B284, ""volume""), 0)"),95507)</f>
        <v>95507</v>
      </c>
      <c r="K284" s="6">
        <v>0.74</v>
      </c>
      <c r="L284" s="6">
        <f ca="1">IFERROR(__xludf.DUMMYFUNCTION("IFERROR(GOOGLEFINANCE(B284,""changepct""),K284)"),-0.63)</f>
        <v>-0.63</v>
      </c>
      <c r="M284" s="6">
        <f ca="1">IFERROR(__xludf.DUMMYFUNCTION("IFERROR(GOOGLEFINANCE(B284,""change""),0)"),-6.3)</f>
        <v>-6.3</v>
      </c>
      <c r="N284" s="6">
        <v>2</v>
      </c>
      <c r="O284" s="7">
        <v>45536</v>
      </c>
      <c r="P284" s="6">
        <v>2238.48</v>
      </c>
      <c r="Q284" s="6">
        <v>20537.07</v>
      </c>
      <c r="R284" s="7">
        <v>45536</v>
      </c>
      <c r="S284" s="6">
        <v>4438.93</v>
      </c>
      <c r="T284" s="6">
        <v>305.99</v>
      </c>
      <c r="U284" s="7">
        <v>45536</v>
      </c>
      <c r="V284" s="6">
        <v>58.89</v>
      </c>
      <c r="W284" s="6">
        <f ca="1">IFERROR(__xludf.DUMMYFUNCTION("IFERROR(GOOGLEFINANCE(B284,""pe""),V284)"),80.79)</f>
        <v>80.790000000000006</v>
      </c>
      <c r="X284" s="6">
        <v>5.21</v>
      </c>
      <c r="Y284" s="6">
        <v>7.39</v>
      </c>
      <c r="Z284" s="6">
        <v>2</v>
      </c>
      <c r="AA284" s="8">
        <v>45352</v>
      </c>
      <c r="AB284" s="4">
        <v>0.8</v>
      </c>
      <c r="AC284" s="6">
        <v>14.68</v>
      </c>
      <c r="AD284" s="6">
        <v>15.1</v>
      </c>
      <c r="AE284" s="1">
        <v>0</v>
      </c>
      <c r="AF284" s="1">
        <f ca="1">IFERROR(__xludf.DUMMYFUNCTION("IFERROR(GOOGLEFINANCE(TRIM(F284)&amp;"":"" &amp; TRIM(B284),""high52""),AE284)"),1074)</f>
        <v>1074</v>
      </c>
      <c r="AG284" s="1">
        <v>0</v>
      </c>
      <c r="AH284" s="1">
        <f ca="1">IFERROR(__xludf.DUMMYFUNCTION("IFERROR(GOOGLEFINANCE(TRIM(F284)&amp;"":"" &amp; TRIM(B284),""low52""),AE284)"),576.8)</f>
        <v>576.79999999999995</v>
      </c>
      <c r="AI284" s="1">
        <f ca="1">IFERROR(__xludf.DUMMYFUNCTION("IFERROR(GOOGLEFINANCE(B284,""eps""),0)"),12.23)</f>
        <v>12.23</v>
      </c>
      <c r="AJ284" s="1"/>
      <c r="AK284" s="1" t="s">
        <v>942</v>
      </c>
      <c r="AL284" s="9">
        <f>IF(AA284&lt;&gt;AB284,1,0)</f>
        <v>1</v>
      </c>
    </row>
    <row r="285" spans="1:38" ht="15" x14ac:dyDescent="0.25">
      <c r="A285" s="1" t="s">
        <v>943</v>
      </c>
      <c r="B285" s="1" t="s">
        <v>944</v>
      </c>
      <c r="C285" s="1" t="s">
        <v>907</v>
      </c>
      <c r="D285" s="1" t="s">
        <v>907</v>
      </c>
      <c r="E285" s="6">
        <v>140.28</v>
      </c>
      <c r="F285" s="1" t="s">
        <v>53</v>
      </c>
      <c r="G285" s="6">
        <f ca="1">IFERROR(__xludf.DUMMYFUNCTION("iferror(GOOGLEFINANCE(TRIM(F285)&amp;"":"" &amp; TRIM(B285), ""price""),0
)"),0)</f>
        <v>0</v>
      </c>
      <c r="H285" s="6">
        <v>125.5</v>
      </c>
      <c r="I285" s="6">
        <f t="shared" ca="1" si="0"/>
        <v>125.5</v>
      </c>
      <c r="J285" s="6">
        <f ca="1">IFERROR(__xludf.DUMMYFUNCTION("IFERROR(GOOGLEFINANCE(B285, ""volume""), 0)"),0)</f>
        <v>0</v>
      </c>
      <c r="K285" s="6">
        <v>-3.46</v>
      </c>
      <c r="L285" s="6">
        <f ca="1">IFERROR(__xludf.DUMMYFUNCTION("IFERROR(GOOGLEFINANCE(B285,""changepct""),K285)"),-3.46)</f>
        <v>-3.46</v>
      </c>
      <c r="M285" s="6">
        <f ca="1">IFERROR(__xludf.DUMMYFUNCTION("IFERROR(GOOGLEFINANCE(B285,""change""),0)"),0)</f>
        <v>0</v>
      </c>
      <c r="N285" s="6">
        <v>1</v>
      </c>
      <c r="O285" s="7">
        <v>45536</v>
      </c>
      <c r="P285" s="6">
        <v>52</v>
      </c>
      <c r="Q285" s="6">
        <v>190.28</v>
      </c>
      <c r="R285" s="7">
        <v>45536</v>
      </c>
      <c r="S285" s="6">
        <v>87.03</v>
      </c>
      <c r="T285" s="6">
        <v>-0.81</v>
      </c>
      <c r="U285" s="7">
        <v>45536</v>
      </c>
      <c r="V285" s="6">
        <v>0</v>
      </c>
      <c r="W285" s="6">
        <f ca="1">IFERROR(__xludf.DUMMYFUNCTION("IFERROR(GOOGLEFINANCE(B285,""pe""),V285)"),0)</f>
        <v>0</v>
      </c>
      <c r="X285" s="6">
        <v>0</v>
      </c>
      <c r="Y285" s="6">
        <v>3.92</v>
      </c>
      <c r="Z285" s="6">
        <v>1</v>
      </c>
      <c r="AA285" s="8">
        <v>45352</v>
      </c>
      <c r="AB285" s="4">
        <v>1.39</v>
      </c>
      <c r="AC285" s="6">
        <v>3.21</v>
      </c>
      <c r="AD285" s="6">
        <v>6.19</v>
      </c>
      <c r="AE285" s="1">
        <v>0</v>
      </c>
      <c r="AF285" s="1">
        <f ca="1">IFERROR(__xludf.DUMMYFUNCTION("IFERROR(GOOGLEFINANCE(TRIM(F285)&amp;"":"" &amp; TRIM(B285),""high52""),AE285)"),0)</f>
        <v>0</v>
      </c>
      <c r="AG285" s="1">
        <v>0</v>
      </c>
      <c r="AH285" s="1">
        <f ca="1">IFERROR(__xludf.DUMMYFUNCTION("IFERROR(GOOGLEFINANCE(TRIM(F285)&amp;"":"" &amp; TRIM(B285),""low52""),AE285)"),0)</f>
        <v>0</v>
      </c>
      <c r="AI285" s="1">
        <f ca="1">IFERROR(__xludf.DUMMYFUNCTION("IFERROR(GOOGLEFINANCE(B285,""eps""),0)"),0)</f>
        <v>0</v>
      </c>
      <c r="AJ285" s="1"/>
      <c r="AK285" s="1" t="s">
        <v>945</v>
      </c>
      <c r="AL285" s="1" t="b">
        <f>ISNUMBER(AA285)</f>
        <v>1</v>
      </c>
    </row>
    <row r="286" spans="1:38" ht="15" x14ac:dyDescent="0.25">
      <c r="A286" s="1" t="s">
        <v>946</v>
      </c>
      <c r="B286" s="1" t="s">
        <v>947</v>
      </c>
      <c r="C286" s="1" t="s">
        <v>584</v>
      </c>
      <c r="D286" s="1" t="s">
        <v>584</v>
      </c>
      <c r="E286" s="6">
        <v>458.29</v>
      </c>
      <c r="F286" s="1" t="s">
        <v>40</v>
      </c>
      <c r="G286" s="6">
        <f ca="1">IFERROR(__xludf.DUMMYFUNCTION("iferror(GOOGLEFINANCE(TRIM(F286)&amp;"":"" &amp; TRIM(B286), ""price""),0
)"),212.2)</f>
        <v>212.2</v>
      </c>
      <c r="H286" s="6">
        <v>386.7</v>
      </c>
      <c r="I286" s="6">
        <f t="shared" ca="1" si="0"/>
        <v>212.2</v>
      </c>
      <c r="J286" s="6">
        <f ca="1">IFERROR(__xludf.DUMMYFUNCTION("IFERROR(GOOGLEFINANCE(B286, ""volume""), 0)"),9437)</f>
        <v>9437</v>
      </c>
      <c r="K286" s="6">
        <v>-0.73</v>
      </c>
      <c r="L286" s="6">
        <f ca="1">IFERROR(__xludf.DUMMYFUNCTION("IFERROR(GOOGLEFINANCE(B286,""changepct""),K286)"),-3.1)</f>
        <v>-3.1</v>
      </c>
      <c r="M286" s="6">
        <f ca="1">IFERROR(__xludf.DUMMYFUNCTION("IFERROR(GOOGLEFINANCE(B286,""change""),0)"),-6.78)</f>
        <v>-6.78</v>
      </c>
      <c r="N286" s="6">
        <v>2</v>
      </c>
      <c r="O286" s="7">
        <v>45536</v>
      </c>
      <c r="P286" s="6">
        <v>197.5</v>
      </c>
      <c r="Q286" s="6">
        <v>650.44000000000005</v>
      </c>
      <c r="R286" s="7">
        <v>45536</v>
      </c>
      <c r="S286" s="6">
        <v>504</v>
      </c>
      <c r="T286" s="6">
        <v>6.46</v>
      </c>
      <c r="U286" s="7">
        <v>45536</v>
      </c>
      <c r="V286" s="6">
        <v>45.16</v>
      </c>
      <c r="W286" s="6">
        <f ca="1">IFERROR(__xludf.DUMMYFUNCTION("IFERROR(GOOGLEFINANCE(B286,""pe""),V286)"),15.46)</f>
        <v>15.46</v>
      </c>
      <c r="X286" s="9"/>
      <c r="Y286" s="6">
        <v>1.88</v>
      </c>
      <c r="Z286" s="6">
        <v>2</v>
      </c>
      <c r="AA286" s="8">
        <v>45352</v>
      </c>
      <c r="AB286" s="4">
        <v>0.84</v>
      </c>
      <c r="AC286" s="6">
        <v>6.89</v>
      </c>
      <c r="AD286" s="6">
        <v>7.33</v>
      </c>
      <c r="AE286" s="1">
        <v>0</v>
      </c>
      <c r="AF286" s="1">
        <f ca="1">IFERROR(__xludf.DUMMYFUNCTION("IFERROR(GOOGLEFINANCE(TRIM(F286)&amp;"":"" &amp; TRIM(B286),""high52""),AE286)"),491.95)</f>
        <v>491.95</v>
      </c>
      <c r="AG286" s="1">
        <v>0</v>
      </c>
      <c r="AH286" s="1">
        <f ca="1">IFERROR(__xludf.DUMMYFUNCTION("IFERROR(GOOGLEFINANCE(TRIM(F286)&amp;"":"" &amp; TRIM(B286),""low52""),AE286)"),212.2)</f>
        <v>212.2</v>
      </c>
      <c r="AI286" s="1">
        <f ca="1">IFERROR(__xludf.DUMMYFUNCTION("IFERROR(GOOGLEFINANCE(B286,""eps""),0)"),13.72)</f>
        <v>13.72</v>
      </c>
      <c r="AJ286" s="1"/>
      <c r="AK286" s="1" t="s">
        <v>948</v>
      </c>
      <c r="AL286" s="9">
        <f t="shared" ref="AL286:AL291" si="62">IF(AA286&lt;&gt;AB286,1,0)</f>
        <v>1</v>
      </c>
    </row>
    <row r="287" spans="1:38" ht="15" x14ac:dyDescent="0.25">
      <c r="A287" s="1" t="s">
        <v>949</v>
      </c>
      <c r="B287" s="1" t="s">
        <v>950</v>
      </c>
      <c r="C287" s="1" t="s">
        <v>208</v>
      </c>
      <c r="D287" s="1" t="s">
        <v>208</v>
      </c>
      <c r="E287" s="6">
        <v>149.47</v>
      </c>
      <c r="F287" s="1" t="s">
        <v>40</v>
      </c>
      <c r="G287" s="6">
        <f ca="1">IFERROR(__xludf.DUMMYFUNCTION("iferror(GOOGLEFINANCE(TRIM(F287)&amp;"":"" &amp; TRIM(B287), ""price""),0
)"),0)</f>
        <v>0</v>
      </c>
      <c r="H287" s="6">
        <v>127.6</v>
      </c>
      <c r="I287" s="6">
        <f t="shared" ca="1" si="0"/>
        <v>127.6</v>
      </c>
      <c r="J287" s="6">
        <f ca="1">IFERROR(__xludf.DUMMYFUNCTION("IFERROR(GOOGLEFINANCE(B287, ""volume""), 0)"),0)</f>
        <v>0</v>
      </c>
      <c r="K287" s="9"/>
      <c r="L287" s="6" t="str">
        <f ca="1">IFERROR(__xludf.DUMMYFUNCTION("IFERROR(GOOGLEFINANCE(B287,""changepct""),K287)"),"")</f>
        <v/>
      </c>
      <c r="M287" s="6">
        <f ca="1">IFERROR(__xludf.DUMMYFUNCTION("IFERROR(GOOGLEFINANCE(B287,""change""),0)"),0)</f>
        <v>0</v>
      </c>
      <c r="N287" s="6">
        <v>1</v>
      </c>
      <c r="O287" s="7">
        <v>45352</v>
      </c>
      <c r="P287" s="6">
        <v>4.97</v>
      </c>
      <c r="Q287" s="7">
        <v>45352</v>
      </c>
      <c r="R287" s="6">
        <v>30.1</v>
      </c>
      <c r="S287" s="9"/>
      <c r="T287" s="6">
        <v>3.35</v>
      </c>
      <c r="U287" s="6">
        <v>1</v>
      </c>
      <c r="V287" s="7">
        <v>45352</v>
      </c>
      <c r="W287" s="10">
        <f ca="1">IFERROR(__xludf.DUMMYFUNCTION("IFERROR(GOOGLEFINANCE(B287,""pe""),V287)"),45352)</f>
        <v>45352</v>
      </c>
      <c r="X287" s="6">
        <v>0.05</v>
      </c>
      <c r="Y287" s="6">
        <v>11.78</v>
      </c>
      <c r="Z287" s="6">
        <v>15.73</v>
      </c>
      <c r="AA287" s="3" t="s">
        <v>951</v>
      </c>
      <c r="AB287" s="11"/>
      <c r="AC287" s="9"/>
      <c r="AD287" s="9"/>
      <c r="AE287" s="1">
        <v>0</v>
      </c>
      <c r="AF287" s="1">
        <f ca="1">IFERROR(__xludf.DUMMYFUNCTION("IFERROR(GOOGLEFINANCE(TRIM(F287)&amp;"":"" &amp; TRIM(B287),""high52""),AE287)"),0)</f>
        <v>0</v>
      </c>
      <c r="AG287" s="1">
        <v>0</v>
      </c>
      <c r="AH287" s="1">
        <f ca="1">IFERROR(__xludf.DUMMYFUNCTION("IFERROR(GOOGLEFINANCE(TRIM(F287)&amp;"":"" &amp; TRIM(B287),""low52""),AE287)"),0)</f>
        <v>0</v>
      </c>
      <c r="AI287" s="1">
        <f ca="1">IFERROR(__xludf.DUMMYFUNCTION("IFERROR(GOOGLEFINANCE(B287,""eps""),0)"),0)</f>
        <v>0</v>
      </c>
      <c r="AJ287" s="1"/>
      <c r="AK287" s="1" t="s">
        <v>952</v>
      </c>
      <c r="AL287" s="9">
        <f t="shared" si="62"/>
        <v>1</v>
      </c>
    </row>
    <row r="288" spans="1:38" ht="15" x14ac:dyDescent="0.25">
      <c r="A288" s="1" t="s">
        <v>953</v>
      </c>
      <c r="B288" s="1" t="s">
        <v>954</v>
      </c>
      <c r="C288" s="1" t="s">
        <v>259</v>
      </c>
      <c r="D288" s="1" t="s">
        <v>259</v>
      </c>
      <c r="E288" s="6">
        <v>123.43</v>
      </c>
      <c r="F288" s="1" t="s">
        <v>40</v>
      </c>
      <c r="G288" s="6">
        <f ca="1">IFERROR(__xludf.DUMMYFUNCTION("iferror(GOOGLEFINANCE(TRIM(F288)&amp;"":"" &amp; TRIM(B288), ""price""),0
)"),0)</f>
        <v>0</v>
      </c>
      <c r="H288" s="6">
        <v>94.75</v>
      </c>
      <c r="I288" s="6">
        <f t="shared" ca="1" si="0"/>
        <v>94.75</v>
      </c>
      <c r="J288" s="6">
        <f ca="1">IFERROR(__xludf.DUMMYFUNCTION("IFERROR(GOOGLEFINANCE(B288, ""volume""), 0)"),0)</f>
        <v>0</v>
      </c>
      <c r="K288" s="6">
        <v>4.0599999999999996</v>
      </c>
      <c r="L288" s="6">
        <f ca="1">IFERROR(__xludf.DUMMYFUNCTION("IFERROR(GOOGLEFINANCE(B288,""changepct""),K288)"),4.06)</f>
        <v>4.0599999999999996</v>
      </c>
      <c r="M288" s="6">
        <f ca="1">IFERROR(__xludf.DUMMYFUNCTION("IFERROR(GOOGLEFINANCE(B288,""change""),0)"),0)</f>
        <v>0</v>
      </c>
      <c r="N288" s="6">
        <v>1</v>
      </c>
      <c r="O288" s="7">
        <v>45536</v>
      </c>
      <c r="P288" s="6">
        <v>35.11</v>
      </c>
      <c r="Q288" s="6">
        <v>158.54</v>
      </c>
      <c r="R288" s="14"/>
      <c r="S288" s="9"/>
      <c r="T288" s="9"/>
      <c r="U288" s="7">
        <v>45352</v>
      </c>
      <c r="V288" s="6">
        <v>17.5</v>
      </c>
      <c r="W288" s="6">
        <f ca="1">IFERROR(__xludf.DUMMYFUNCTION("IFERROR(GOOGLEFINANCE(B288,""pe""),V288)"),17.5)</f>
        <v>17.5</v>
      </c>
      <c r="X288" s="9"/>
      <c r="Y288" s="6">
        <v>1.18</v>
      </c>
      <c r="Z288" s="6">
        <v>2</v>
      </c>
      <c r="AA288" s="8">
        <v>45352</v>
      </c>
      <c r="AB288" s="4">
        <v>0.63</v>
      </c>
      <c r="AC288" s="6">
        <v>21.81</v>
      </c>
      <c r="AD288" s="6">
        <v>21.33</v>
      </c>
      <c r="AE288" s="1">
        <v>0</v>
      </c>
      <c r="AF288" s="1">
        <f ca="1">IFERROR(__xludf.DUMMYFUNCTION("IFERROR(GOOGLEFINANCE(TRIM(F288)&amp;"":"" &amp; TRIM(B288),""high52""),AE288)"),0)</f>
        <v>0</v>
      </c>
      <c r="AG288" s="1">
        <v>0</v>
      </c>
      <c r="AH288" s="1">
        <f ca="1">IFERROR(__xludf.DUMMYFUNCTION("IFERROR(GOOGLEFINANCE(TRIM(F288)&amp;"":"" &amp; TRIM(B288),""low52""),AE288)"),0)</f>
        <v>0</v>
      </c>
      <c r="AI288" s="1">
        <f ca="1">IFERROR(__xludf.DUMMYFUNCTION("IFERROR(GOOGLEFINANCE(B288,""eps""),0)"),0)</f>
        <v>0</v>
      </c>
      <c r="AJ288" s="1"/>
      <c r="AK288" s="1" t="s">
        <v>955</v>
      </c>
      <c r="AL288" s="9">
        <f t="shared" si="62"/>
        <v>1</v>
      </c>
    </row>
    <row r="289" spans="1:38" ht="15" x14ac:dyDescent="0.25">
      <c r="A289" s="1" t="s">
        <v>956</v>
      </c>
      <c r="B289" s="1" t="s">
        <v>957</v>
      </c>
      <c r="C289" s="1" t="s">
        <v>39</v>
      </c>
      <c r="D289" s="1" t="s">
        <v>39</v>
      </c>
      <c r="E289" s="6">
        <v>3931.85</v>
      </c>
      <c r="F289" s="1" t="s">
        <v>40</v>
      </c>
      <c r="G289" s="6">
        <f ca="1">IFERROR(__xludf.DUMMYFUNCTION("iferror(GOOGLEFINANCE(TRIM(F289)&amp;"":"" &amp; TRIM(B289), ""price""),0
)"),659)</f>
        <v>659</v>
      </c>
      <c r="H289" s="6">
        <v>436.35</v>
      </c>
      <c r="I289" s="6">
        <f t="shared" ca="1" si="0"/>
        <v>659</v>
      </c>
      <c r="J289" s="6">
        <f ca="1">IFERROR(__xludf.DUMMYFUNCTION("IFERROR(GOOGLEFINANCE(B289, ""volume""), 0)"),489998)</f>
        <v>489998</v>
      </c>
      <c r="K289" s="6">
        <v>5.97</v>
      </c>
      <c r="L289" s="6">
        <f ca="1">IFERROR(__xludf.DUMMYFUNCTION("IFERROR(GOOGLEFINANCE(B289,""changepct""),K289)"),-0.91)</f>
        <v>-0.91</v>
      </c>
      <c r="M289" s="6">
        <f ca="1">IFERROR(__xludf.DUMMYFUNCTION("IFERROR(GOOGLEFINANCE(B289,""change""),0)"),-6.05)</f>
        <v>-6.05</v>
      </c>
      <c r="N289" s="6">
        <v>2</v>
      </c>
      <c r="O289" s="7">
        <v>45536</v>
      </c>
      <c r="P289" s="6">
        <v>1165.1500000000001</v>
      </c>
      <c r="Q289" s="6">
        <v>4952.79</v>
      </c>
      <c r="R289" s="7">
        <v>45536</v>
      </c>
      <c r="S289" s="6">
        <v>2471.44</v>
      </c>
      <c r="T289" s="6">
        <v>192.69</v>
      </c>
      <c r="U289" s="7">
        <v>45536</v>
      </c>
      <c r="V289" s="6">
        <v>17.190000000000001</v>
      </c>
      <c r="W289" s="6">
        <f ca="1">IFERROR(__xludf.DUMMYFUNCTION("IFERROR(GOOGLEFINANCE(B289,""pe""),V289)"),15.76)</f>
        <v>15.76</v>
      </c>
      <c r="X289" s="6">
        <v>0.34</v>
      </c>
      <c r="Y289" s="6">
        <v>3.71</v>
      </c>
      <c r="Z289" s="6">
        <v>2</v>
      </c>
      <c r="AA289" s="8">
        <v>45352</v>
      </c>
      <c r="AB289" s="4">
        <v>1.07</v>
      </c>
      <c r="AC289" s="6">
        <v>35.76</v>
      </c>
      <c r="AD289" s="6">
        <v>23.08</v>
      </c>
      <c r="AE289" s="1">
        <v>0</v>
      </c>
      <c r="AF289" s="1">
        <f ca="1">IFERROR(__xludf.DUMMYFUNCTION("IFERROR(GOOGLEFINANCE(TRIM(F289)&amp;"":"" &amp; TRIM(B289),""high52""),AE289)"),924.9)</f>
        <v>924.9</v>
      </c>
      <c r="AG289" s="1">
        <v>0</v>
      </c>
      <c r="AH289" s="1">
        <f ca="1">IFERROR(__xludf.DUMMYFUNCTION("IFERROR(GOOGLEFINANCE(TRIM(F289)&amp;"":"" &amp; TRIM(B289),""low52""),AE289)"),301.6)</f>
        <v>301.60000000000002</v>
      </c>
      <c r="AI289" s="1">
        <f ca="1">IFERROR(__xludf.DUMMYFUNCTION("IFERROR(GOOGLEFINANCE(B289,""eps""),0)"),41.82)</f>
        <v>41.82</v>
      </c>
      <c r="AJ289" s="1"/>
      <c r="AK289" s="1" t="s">
        <v>958</v>
      </c>
      <c r="AL289" s="9">
        <f t="shared" si="62"/>
        <v>1</v>
      </c>
    </row>
    <row r="290" spans="1:38" ht="15" x14ac:dyDescent="0.25">
      <c r="A290" s="1" t="s">
        <v>959</v>
      </c>
      <c r="B290" s="1" t="s">
        <v>960</v>
      </c>
      <c r="C290" s="1" t="s">
        <v>487</v>
      </c>
      <c r="D290" s="1" t="s">
        <v>487</v>
      </c>
      <c r="E290" s="6">
        <v>3483.69</v>
      </c>
      <c r="F290" s="1" t="s">
        <v>40</v>
      </c>
      <c r="G290" s="6">
        <f ca="1">IFERROR(__xludf.DUMMYFUNCTION("iferror(GOOGLEFINANCE(TRIM(F290)&amp;"":"" &amp; TRIM(B290), ""price""),0
)"),290)</f>
        <v>290</v>
      </c>
      <c r="H290" s="6">
        <v>366.05</v>
      </c>
      <c r="I290" s="6">
        <f t="shared" ca="1" si="0"/>
        <v>290</v>
      </c>
      <c r="J290" s="6">
        <f ca="1">IFERROR(__xludf.DUMMYFUNCTION("IFERROR(GOOGLEFINANCE(B290, ""volume""), 0)"),79684)</f>
        <v>79684</v>
      </c>
      <c r="K290" s="6">
        <v>5.54</v>
      </c>
      <c r="L290" s="6">
        <f ca="1">IFERROR(__xludf.DUMMYFUNCTION("IFERROR(GOOGLEFINANCE(B290,""changepct""),K290)"),1.31)</f>
        <v>1.31</v>
      </c>
      <c r="M290" s="6">
        <f ca="1">IFERROR(__xludf.DUMMYFUNCTION("IFERROR(GOOGLEFINANCE(B290,""change""),0)"),3.75)</f>
        <v>3.75</v>
      </c>
      <c r="N290" s="6">
        <v>2</v>
      </c>
      <c r="O290" s="7">
        <v>45536</v>
      </c>
      <c r="P290" s="6">
        <v>266.89999999999998</v>
      </c>
      <c r="Q290" s="6">
        <v>3445.1</v>
      </c>
      <c r="R290" s="7">
        <v>45536</v>
      </c>
      <c r="S290" s="6">
        <v>651.77</v>
      </c>
      <c r="T290" s="6">
        <v>32.18</v>
      </c>
      <c r="U290" s="7">
        <v>45536</v>
      </c>
      <c r="V290" s="6">
        <v>108.26</v>
      </c>
      <c r="W290" s="6">
        <f ca="1">IFERROR(__xludf.DUMMYFUNCTION("IFERROR(GOOGLEFINANCE(B290,""pe""),V290)"),38.28)</f>
        <v>38.28</v>
      </c>
      <c r="X290" s="6">
        <v>2.5</v>
      </c>
      <c r="Y290" s="6">
        <v>4.5999999999999996</v>
      </c>
      <c r="Z290" s="6">
        <v>2</v>
      </c>
      <c r="AA290" s="8">
        <v>45352</v>
      </c>
      <c r="AB290" s="4">
        <v>0.19</v>
      </c>
      <c r="AC290" s="6">
        <v>10.9</v>
      </c>
      <c r="AD290" s="6">
        <v>13.58</v>
      </c>
      <c r="AE290" s="1">
        <v>0</v>
      </c>
      <c r="AF290" s="1">
        <f ca="1">IFERROR(__xludf.DUMMYFUNCTION("IFERROR(GOOGLEFINANCE(TRIM(F290)&amp;"":"" &amp; TRIM(B290),""high52""),AE290)"),376.15)</f>
        <v>376.15</v>
      </c>
      <c r="AG290" s="1">
        <v>0</v>
      </c>
      <c r="AH290" s="1">
        <f ca="1">IFERROR(__xludf.DUMMYFUNCTION("IFERROR(GOOGLEFINANCE(TRIM(F290)&amp;"":"" &amp; TRIM(B290),""low52""),AE290)"),247.8)</f>
        <v>247.8</v>
      </c>
      <c r="AI290" s="1">
        <f ca="1">IFERROR(__xludf.DUMMYFUNCTION("IFERROR(GOOGLEFINANCE(B290,""eps""),0)"),7.58)</f>
        <v>7.58</v>
      </c>
      <c r="AJ290" s="1"/>
      <c r="AK290" s="1" t="s">
        <v>961</v>
      </c>
      <c r="AL290" s="9">
        <f t="shared" si="62"/>
        <v>1</v>
      </c>
    </row>
    <row r="291" spans="1:38" ht="15" x14ac:dyDescent="0.25">
      <c r="A291" s="1" t="s">
        <v>962</v>
      </c>
      <c r="B291" s="1" t="s">
        <v>963</v>
      </c>
      <c r="C291" s="1" t="s">
        <v>186</v>
      </c>
      <c r="D291" s="1" t="s">
        <v>186</v>
      </c>
      <c r="E291" s="6">
        <v>637.08000000000004</v>
      </c>
      <c r="F291" s="1" t="s">
        <v>40</v>
      </c>
      <c r="G291" s="6">
        <f ca="1">IFERROR(__xludf.DUMMYFUNCTION("iferror(GOOGLEFINANCE(TRIM(F291)&amp;"":"" &amp; TRIM(B291), ""price""),0
)"),16.1)</f>
        <v>16.100000000000001</v>
      </c>
      <c r="H291" s="6">
        <v>33.590000000000003</v>
      </c>
      <c r="I291" s="6">
        <f t="shared" ca="1" si="0"/>
        <v>16.100000000000001</v>
      </c>
      <c r="J291" s="6">
        <f ca="1">IFERROR(__xludf.DUMMYFUNCTION("IFERROR(GOOGLEFINANCE(B291, ""volume""), 0)"),46385)</f>
        <v>46385</v>
      </c>
      <c r="K291" s="6">
        <v>1.97</v>
      </c>
      <c r="L291" s="6">
        <f ca="1">IFERROR(__xludf.DUMMYFUNCTION("IFERROR(GOOGLEFINANCE(B291,""changepct""),K291)"),-2.13)</f>
        <v>-2.13</v>
      </c>
      <c r="M291" s="6">
        <f ca="1">IFERROR(__xludf.DUMMYFUNCTION("IFERROR(GOOGLEFINANCE(B291,""change""),0)"),-0.35)</f>
        <v>-0.35</v>
      </c>
      <c r="N291" s="6">
        <v>2</v>
      </c>
      <c r="O291" s="7">
        <v>45536</v>
      </c>
      <c r="P291" s="6">
        <v>123.95</v>
      </c>
      <c r="Q291" s="6">
        <v>696.36</v>
      </c>
      <c r="R291" s="7">
        <v>44621</v>
      </c>
      <c r="S291" s="6">
        <v>208.42</v>
      </c>
      <c r="T291" s="6">
        <v>21.67</v>
      </c>
      <c r="U291" s="7">
        <v>44621</v>
      </c>
      <c r="V291" s="6">
        <v>35.549999999999997</v>
      </c>
      <c r="W291" s="6">
        <f ca="1">IFERROR(__xludf.DUMMYFUNCTION("IFERROR(GOOGLEFINANCE(B291,""pe""),V291)"),35.55)</f>
        <v>35.549999999999997</v>
      </c>
      <c r="X291" s="6">
        <v>0.18</v>
      </c>
      <c r="Y291" s="9"/>
      <c r="Z291" s="6">
        <v>1</v>
      </c>
      <c r="AA291" s="8">
        <v>45352</v>
      </c>
      <c r="AB291" s="4">
        <v>0.39</v>
      </c>
      <c r="AC291" s="6">
        <v>35.89</v>
      </c>
      <c r="AD291" s="6">
        <v>19.190000000000001</v>
      </c>
      <c r="AE291" s="1">
        <v>0</v>
      </c>
      <c r="AF291" s="1">
        <f ca="1">IFERROR(__xludf.DUMMYFUNCTION("IFERROR(GOOGLEFINANCE(TRIM(F291)&amp;"":"" &amp; TRIM(B291),""high52""),AE291)"),35.8)</f>
        <v>35.799999999999997</v>
      </c>
      <c r="AG291" s="1">
        <v>0</v>
      </c>
      <c r="AH291" s="1">
        <f ca="1">IFERROR(__xludf.DUMMYFUNCTION("IFERROR(GOOGLEFINANCE(TRIM(F291)&amp;"":"" &amp; TRIM(B291),""low52""),AE291)"),15.6)</f>
        <v>15.6</v>
      </c>
      <c r="AI291" s="1">
        <f ca="1">IFERROR(__xludf.DUMMYFUNCTION("IFERROR(GOOGLEFINANCE(B291,""eps""),0)"),-0.98)</f>
        <v>-0.98</v>
      </c>
      <c r="AJ291" s="1"/>
      <c r="AK291" s="1" t="s">
        <v>964</v>
      </c>
      <c r="AL291" s="9">
        <f t="shared" si="62"/>
        <v>1</v>
      </c>
    </row>
    <row r="292" spans="1:38" ht="15" x14ac:dyDescent="0.25">
      <c r="A292" s="1" t="s">
        <v>965</v>
      </c>
      <c r="B292" s="1" t="s">
        <v>966</v>
      </c>
      <c r="C292" s="1" t="s">
        <v>90</v>
      </c>
      <c r="D292" s="1" t="s">
        <v>90</v>
      </c>
      <c r="E292" s="6">
        <v>18.45</v>
      </c>
      <c r="F292" s="1" t="s">
        <v>53</v>
      </c>
      <c r="G292" s="6">
        <f ca="1">IFERROR(__xludf.DUMMYFUNCTION("iferror(GOOGLEFINANCE(TRIM(F292)&amp;"":"" &amp; TRIM(B292), ""price""),0
)"),0)</f>
        <v>0</v>
      </c>
      <c r="H292" s="6">
        <v>10.55</v>
      </c>
      <c r="I292" s="6">
        <f t="shared" ca="1" si="0"/>
        <v>10.55</v>
      </c>
      <c r="J292" s="6">
        <f ca="1">IFERROR(__xludf.DUMMYFUNCTION("IFERROR(GOOGLEFINANCE(B292, ""volume""), 0)"),0)</f>
        <v>0</v>
      </c>
      <c r="K292" s="12"/>
      <c r="L292" s="6" t="str">
        <f ca="1">IFERROR(__xludf.DUMMYFUNCTION("IFERROR(GOOGLEFINANCE(B292,""changepct""),K292)"),"")</f>
        <v/>
      </c>
      <c r="M292" s="6">
        <f ca="1">IFERROR(__xludf.DUMMYFUNCTION("IFERROR(GOOGLEFINANCE(B292,""change""),0)"),0)</f>
        <v>0</v>
      </c>
      <c r="N292" s="6">
        <v>1</v>
      </c>
      <c r="O292" s="7">
        <v>45536</v>
      </c>
      <c r="P292" s="6">
        <v>30.06</v>
      </c>
      <c r="Q292" s="6">
        <v>48.51</v>
      </c>
      <c r="R292" s="7">
        <v>45352</v>
      </c>
      <c r="S292" s="6">
        <v>13.05</v>
      </c>
      <c r="T292" s="6">
        <v>0.04</v>
      </c>
      <c r="U292" s="7">
        <v>45352</v>
      </c>
      <c r="V292" s="6">
        <v>512.4</v>
      </c>
      <c r="W292" s="6">
        <f ca="1">IFERROR(__xludf.DUMMYFUNCTION("IFERROR(GOOGLEFINANCE(B292,""pe""),V292)"),512.4)</f>
        <v>512.4</v>
      </c>
      <c r="X292" s="6">
        <v>-7.79</v>
      </c>
      <c r="Y292" s="6">
        <v>0.3</v>
      </c>
      <c r="Z292" s="6">
        <v>1</v>
      </c>
      <c r="AA292" s="8">
        <v>45352</v>
      </c>
      <c r="AB292" s="4">
        <v>0.5</v>
      </c>
      <c r="AC292" s="6">
        <v>0.06</v>
      </c>
      <c r="AD292" s="6">
        <v>0.06</v>
      </c>
      <c r="AE292" s="1">
        <v>0</v>
      </c>
      <c r="AF292" s="1">
        <f ca="1">IFERROR(__xludf.DUMMYFUNCTION("IFERROR(GOOGLEFINANCE(TRIM(F292)&amp;"":"" &amp; TRIM(B292),""high52""),AE292)"),0)</f>
        <v>0</v>
      </c>
      <c r="AG292" s="1">
        <v>0</v>
      </c>
      <c r="AH292" s="1">
        <f ca="1">IFERROR(__xludf.DUMMYFUNCTION("IFERROR(GOOGLEFINANCE(TRIM(F292)&amp;"":"" &amp; TRIM(B292),""low52""),AE292)"),0)</f>
        <v>0</v>
      </c>
      <c r="AI292" s="1">
        <f ca="1">IFERROR(__xludf.DUMMYFUNCTION("IFERROR(GOOGLEFINANCE(B292,""eps""),0)"),0)</f>
        <v>0</v>
      </c>
      <c r="AJ292" s="1"/>
      <c r="AK292" s="1" t="s">
        <v>967</v>
      </c>
      <c r="AL292" s="1" t="b">
        <f>ISNUMBER(AA292)</f>
        <v>1</v>
      </c>
    </row>
    <row r="293" spans="1:38" ht="15" x14ac:dyDescent="0.25">
      <c r="A293" s="1" t="s">
        <v>968</v>
      </c>
      <c r="B293" s="1" t="s">
        <v>969</v>
      </c>
      <c r="C293" s="1" t="s">
        <v>970</v>
      </c>
      <c r="D293" s="1" t="s">
        <v>970</v>
      </c>
      <c r="E293" s="6">
        <v>69272.679999999993</v>
      </c>
      <c r="F293" s="1" t="s">
        <v>40</v>
      </c>
      <c r="G293" s="6">
        <f ca="1">IFERROR(__xludf.DUMMYFUNCTION("iferror(GOOGLEFINANCE(TRIM(F293)&amp;"":"" &amp; TRIM(B293), ""price""),0
)"),194.95)</f>
        <v>194.95</v>
      </c>
      <c r="H293" s="6">
        <v>233.79</v>
      </c>
      <c r="I293" s="6">
        <f t="shared" ca="1" si="0"/>
        <v>194.95</v>
      </c>
      <c r="J293" s="6">
        <f ca="1">IFERROR(__xludf.DUMMYFUNCTION("IFERROR(GOOGLEFINANCE(B293, ""volume""), 0)"),14956648)</f>
        <v>14956648</v>
      </c>
      <c r="K293" s="6">
        <v>-0.97</v>
      </c>
      <c r="L293" s="6">
        <f ca="1">IFERROR(__xludf.DUMMYFUNCTION("IFERROR(GOOGLEFINANCE(B293,""changepct""),K293)"),3.12)</f>
        <v>3.12</v>
      </c>
      <c r="M293" s="6">
        <f ca="1">IFERROR(__xludf.DUMMYFUNCTION("IFERROR(GOOGLEFINANCE(B293,""change""),0)"),5.89)</f>
        <v>5.89</v>
      </c>
      <c r="N293" s="6">
        <v>2</v>
      </c>
      <c r="O293" s="7">
        <v>45536</v>
      </c>
      <c r="P293" s="6">
        <v>44044.09</v>
      </c>
      <c r="Q293" s="6">
        <v>109927.9</v>
      </c>
      <c r="R293" s="7">
        <v>45536</v>
      </c>
      <c r="S293" s="6">
        <v>46542.35</v>
      </c>
      <c r="T293" s="6">
        <v>2835.4</v>
      </c>
      <c r="U293" s="7">
        <v>45536</v>
      </c>
      <c r="V293" s="6">
        <v>26.36</v>
      </c>
      <c r="W293" s="6">
        <f ca="1">IFERROR(__xludf.DUMMYFUNCTION("IFERROR(GOOGLEFINANCE(B293,""pe""),V293)"),35.16)</f>
        <v>35.159999999999997</v>
      </c>
      <c r="X293" s="6">
        <v>6.43</v>
      </c>
      <c r="Y293" s="6">
        <v>6.72</v>
      </c>
      <c r="Z293" s="6">
        <v>2</v>
      </c>
      <c r="AA293" s="8">
        <v>45352</v>
      </c>
      <c r="AB293" s="4">
        <v>4.53</v>
      </c>
      <c r="AC293" s="6">
        <v>30.88</v>
      </c>
      <c r="AD293" s="6">
        <v>15.92</v>
      </c>
      <c r="AE293" s="1">
        <v>0</v>
      </c>
      <c r="AF293" s="1">
        <f ca="1">IFERROR(__xludf.DUMMYFUNCTION("IFERROR(GOOGLEFINANCE(TRIM(F293)&amp;"":"" &amp; TRIM(B293),""high52""),AE293)"),199.21)</f>
        <v>199.21</v>
      </c>
      <c r="AG293" s="1">
        <v>0</v>
      </c>
      <c r="AH293" s="1">
        <f ca="1">IFERROR(__xludf.DUMMYFUNCTION("IFERROR(GOOGLEFINANCE(TRIM(F293)&amp;"":"" &amp; TRIM(B293),""low52""),AE293)"),95.93)</f>
        <v>95.93</v>
      </c>
      <c r="AI293" s="1">
        <f ca="1">IFERROR(__xludf.DUMMYFUNCTION("IFERROR(GOOGLEFINANCE(B293,""eps""),0)"),5.55)</f>
        <v>5.55</v>
      </c>
      <c r="AJ293" s="1"/>
      <c r="AK293" s="9"/>
      <c r="AL293" s="1" t="b">
        <f>ISBLANK(AB293)</f>
        <v>0</v>
      </c>
    </row>
    <row r="294" spans="1:38" ht="15" x14ac:dyDescent="0.25">
      <c r="A294" s="1" t="s">
        <v>971</v>
      </c>
      <c r="B294" s="1" t="s">
        <v>972</v>
      </c>
      <c r="C294" s="1" t="s">
        <v>86</v>
      </c>
      <c r="D294" s="1" t="s">
        <v>86</v>
      </c>
      <c r="E294" s="6">
        <v>8661.7099999999991</v>
      </c>
      <c r="F294" s="1" t="s">
        <v>40</v>
      </c>
      <c r="G294" s="6">
        <f ca="1">IFERROR(__xludf.DUMMYFUNCTION("iferror(GOOGLEFINANCE(TRIM(F294)&amp;"":"" &amp; TRIM(B294), ""price""),0
)"),148.7)</f>
        <v>148.69999999999999</v>
      </c>
      <c r="H294" s="6">
        <v>307.60000000000002</v>
      </c>
      <c r="I294" s="6">
        <f t="shared" ca="1" si="0"/>
        <v>148.69999999999999</v>
      </c>
      <c r="J294" s="6">
        <f ca="1">IFERROR(__xludf.DUMMYFUNCTION("IFERROR(GOOGLEFINANCE(B294, ""volume""), 0)"),674556)</f>
        <v>674556</v>
      </c>
      <c r="K294" s="6">
        <v>-0.32</v>
      </c>
      <c r="L294" s="6">
        <f ca="1">IFERROR(__xludf.DUMMYFUNCTION("IFERROR(GOOGLEFINANCE(B294,""changepct""),K294)"),-0.58)</f>
        <v>-0.57999999999999996</v>
      </c>
      <c r="M294" s="6">
        <f ca="1">IFERROR(__xludf.DUMMYFUNCTION("IFERROR(GOOGLEFINANCE(B294,""change""),0)"),-0.87)</f>
        <v>-0.87</v>
      </c>
      <c r="N294" s="6">
        <v>2</v>
      </c>
      <c r="O294" s="7">
        <v>45536</v>
      </c>
      <c r="P294" s="6">
        <v>5536.32</v>
      </c>
      <c r="Q294" s="6">
        <v>13814.84</v>
      </c>
      <c r="R294" s="7">
        <v>45536</v>
      </c>
      <c r="S294" s="6">
        <v>10663.31</v>
      </c>
      <c r="T294" s="6">
        <v>1002.86</v>
      </c>
      <c r="U294" s="7">
        <v>45536</v>
      </c>
      <c r="V294" s="6">
        <v>8.98</v>
      </c>
      <c r="W294" s="6">
        <f ca="1">IFERROR(__xludf.DUMMYFUNCTION("IFERROR(GOOGLEFINANCE(B294,""pe""),V294)"),2.66)</f>
        <v>2.66</v>
      </c>
      <c r="X294" s="6">
        <v>0.15</v>
      </c>
      <c r="Y294" s="6">
        <v>3.06</v>
      </c>
      <c r="Z294" s="6">
        <v>2</v>
      </c>
      <c r="AA294" s="8">
        <v>45352</v>
      </c>
      <c r="AB294" s="4">
        <v>2.4500000000000002</v>
      </c>
      <c r="AC294" s="6">
        <v>26.76</v>
      </c>
      <c r="AD294" s="6">
        <v>29.37</v>
      </c>
      <c r="AE294" s="1">
        <v>0</v>
      </c>
      <c r="AF294" s="1">
        <f ca="1">IFERROR(__xludf.DUMMYFUNCTION("IFERROR(GOOGLEFINANCE(TRIM(F294)&amp;"":"" &amp; TRIM(B294),""high52""),AE294)"),252.75)</f>
        <v>252.75</v>
      </c>
      <c r="AG294" s="1">
        <v>0</v>
      </c>
      <c r="AH294" s="1">
        <f ca="1">IFERROR(__xludf.DUMMYFUNCTION("IFERROR(GOOGLEFINANCE(TRIM(F294)&amp;"":"" &amp; TRIM(B294),""low52""),AE294)"),139.52)</f>
        <v>139.52000000000001</v>
      </c>
      <c r="AI294" s="1">
        <f ca="1">IFERROR(__xludf.DUMMYFUNCTION("IFERROR(GOOGLEFINANCE(B294,""eps""),0)"),55.94)</f>
        <v>55.94</v>
      </c>
      <c r="AJ294" s="1"/>
      <c r="AK294" s="1" t="s">
        <v>973</v>
      </c>
      <c r="AL294" s="9">
        <f t="shared" ref="AL294:AL296" si="63">IF(AA294&lt;&gt;AB294,1,0)</f>
        <v>1</v>
      </c>
    </row>
    <row r="295" spans="1:38" ht="15" x14ac:dyDescent="0.25">
      <c r="A295" s="1" t="s">
        <v>974</v>
      </c>
      <c r="B295" s="1" t="s">
        <v>975</v>
      </c>
      <c r="C295" s="1" t="s">
        <v>227</v>
      </c>
      <c r="D295" s="1" t="s">
        <v>227</v>
      </c>
      <c r="E295" s="6">
        <v>58.44</v>
      </c>
      <c r="F295" s="1" t="s">
        <v>40</v>
      </c>
      <c r="G295" s="6">
        <f ca="1">IFERROR(__xludf.DUMMYFUNCTION("iferror(GOOGLEFINANCE(TRIM(F295)&amp;"":"" &amp; TRIM(B295), ""price""),0
)"),13.83)</f>
        <v>13.83</v>
      </c>
      <c r="H295" s="6">
        <v>23.78</v>
      </c>
      <c r="I295" s="6">
        <f t="shared" ca="1" si="0"/>
        <v>13.83</v>
      </c>
      <c r="J295" s="6">
        <f ca="1">IFERROR(__xludf.DUMMYFUNCTION("IFERROR(GOOGLEFINANCE(B295, ""volume""), 0)"),11757)</f>
        <v>11757</v>
      </c>
      <c r="K295" s="6">
        <v>0.98</v>
      </c>
      <c r="L295" s="6">
        <f ca="1">IFERROR(__xludf.DUMMYFUNCTION("IFERROR(GOOGLEFINANCE(B295,""changepct""),K295)"),1.54)</f>
        <v>1.54</v>
      </c>
      <c r="M295" s="6">
        <f ca="1">IFERROR(__xludf.DUMMYFUNCTION("IFERROR(GOOGLEFINANCE(B295,""change""),0)"),0.21)</f>
        <v>0.21</v>
      </c>
      <c r="N295" s="6">
        <v>2</v>
      </c>
      <c r="O295" s="7">
        <v>45536</v>
      </c>
      <c r="P295" s="6">
        <v>10.25</v>
      </c>
      <c r="Q295" s="6">
        <v>68.69</v>
      </c>
      <c r="R295" s="7">
        <v>45536</v>
      </c>
      <c r="S295" s="6">
        <v>71.709999999999994</v>
      </c>
      <c r="T295" s="6">
        <v>8.92</v>
      </c>
      <c r="U295" s="7">
        <v>45536</v>
      </c>
      <c r="V295" s="6">
        <v>6.52</v>
      </c>
      <c r="W295" s="6">
        <f ca="1">IFERROR(__xludf.DUMMYFUNCTION("IFERROR(GOOGLEFINANCE(B295,""pe""),V295)"),7.58)</f>
        <v>7.58</v>
      </c>
      <c r="X295" s="6">
        <v>7.0000000000000007E-2</v>
      </c>
      <c r="Y295" s="6">
        <v>0.54</v>
      </c>
      <c r="Z295" s="6">
        <v>2</v>
      </c>
      <c r="AA295" s="8">
        <v>45352</v>
      </c>
      <c r="AB295" s="4">
        <v>0.16</v>
      </c>
      <c r="AC295" s="6">
        <v>4.6900000000000004</v>
      </c>
      <c r="AD295" s="6">
        <v>6.76</v>
      </c>
      <c r="AE295" s="1">
        <v>0</v>
      </c>
      <c r="AF295" s="1">
        <f ca="1">IFERROR(__xludf.DUMMYFUNCTION("IFERROR(GOOGLEFINANCE(TRIM(F295)&amp;"":"" &amp; TRIM(B295),""high52""),AE295)"),23.37)</f>
        <v>23.37</v>
      </c>
      <c r="AG295" s="1">
        <v>0</v>
      </c>
      <c r="AH295" s="1">
        <f ca="1">IFERROR(__xludf.DUMMYFUNCTION("IFERROR(GOOGLEFINANCE(TRIM(F295)&amp;"":"" &amp; TRIM(B295),""low52""),AE295)"),12.6)</f>
        <v>12.6</v>
      </c>
      <c r="AI295" s="1">
        <f ca="1">IFERROR(__xludf.DUMMYFUNCTION("IFERROR(GOOGLEFINANCE(B295,""eps""),0)"),1.82)</f>
        <v>1.82</v>
      </c>
      <c r="AJ295" s="1"/>
      <c r="AK295" s="1" t="s">
        <v>976</v>
      </c>
      <c r="AL295" s="9">
        <f t="shared" si="63"/>
        <v>1</v>
      </c>
    </row>
    <row r="296" spans="1:38" ht="15" x14ac:dyDescent="0.25">
      <c r="A296" s="1" t="s">
        <v>977</v>
      </c>
      <c r="B296" s="1" t="s">
        <v>978</v>
      </c>
      <c r="C296" s="1" t="s">
        <v>103</v>
      </c>
      <c r="D296" s="1" t="s">
        <v>103</v>
      </c>
      <c r="E296" s="6">
        <v>1784.26</v>
      </c>
      <c r="F296" s="1" t="s">
        <v>40</v>
      </c>
      <c r="G296" s="6">
        <f ca="1">IFERROR(__xludf.DUMMYFUNCTION("iferror(GOOGLEFINANCE(TRIM(F296)&amp;"":"" &amp; TRIM(B296), ""price""),0
)"),256.5)</f>
        <v>256.5</v>
      </c>
      <c r="H296" s="6">
        <v>400.7</v>
      </c>
      <c r="I296" s="6">
        <f t="shared" ca="1" si="0"/>
        <v>256.5</v>
      </c>
      <c r="J296" s="6">
        <f ca="1">IFERROR(__xludf.DUMMYFUNCTION("IFERROR(GOOGLEFINANCE(B296, ""volume""), 0)"),56433)</f>
        <v>56433</v>
      </c>
      <c r="K296" s="6">
        <v>0.65</v>
      </c>
      <c r="L296" s="6">
        <f ca="1">IFERROR(__xludf.DUMMYFUNCTION("IFERROR(GOOGLEFINANCE(B296,""changepct""),K296)"),3.07)</f>
        <v>3.07</v>
      </c>
      <c r="M296" s="6">
        <f ca="1">IFERROR(__xludf.DUMMYFUNCTION("IFERROR(GOOGLEFINANCE(B296,""change""),0)"),7.65)</f>
        <v>7.65</v>
      </c>
      <c r="N296" s="6">
        <v>2</v>
      </c>
      <c r="O296" s="7">
        <v>45536</v>
      </c>
      <c r="P296" s="6">
        <v>11.52</v>
      </c>
      <c r="Q296" s="6">
        <v>1721.99</v>
      </c>
      <c r="R296" s="7">
        <v>45536</v>
      </c>
      <c r="S296" s="6">
        <v>371.47</v>
      </c>
      <c r="T296" s="6">
        <v>36.479999999999997</v>
      </c>
      <c r="U296" s="7">
        <v>45536</v>
      </c>
      <c r="V296" s="6">
        <v>44.8</v>
      </c>
      <c r="W296" s="6">
        <f ca="1">IFERROR(__xludf.DUMMYFUNCTION("IFERROR(GOOGLEFINANCE(B296,""pe""),V296)"),35.53)</f>
        <v>35.53</v>
      </c>
      <c r="X296" s="6">
        <v>2.42</v>
      </c>
      <c r="Y296" s="6">
        <v>5.44</v>
      </c>
      <c r="Z296" s="6">
        <v>2</v>
      </c>
      <c r="AA296" s="8">
        <v>45352</v>
      </c>
      <c r="AB296" s="4">
        <v>0.08</v>
      </c>
      <c r="AC296" s="6">
        <v>10.99</v>
      </c>
      <c r="AD296" s="6">
        <v>11.87</v>
      </c>
      <c r="AE296" s="1">
        <v>0</v>
      </c>
      <c r="AF296" s="1">
        <f ca="1">IFERROR(__xludf.DUMMYFUNCTION("IFERROR(GOOGLEFINANCE(TRIM(F296)&amp;"":"" &amp; TRIM(B296),""high52""),AE296)"),391.65)</f>
        <v>391.65</v>
      </c>
      <c r="AG296" s="1">
        <v>0</v>
      </c>
      <c r="AH296" s="1">
        <f ca="1">IFERROR(__xludf.DUMMYFUNCTION("IFERROR(GOOGLEFINANCE(TRIM(F296)&amp;"":"" &amp; TRIM(B296),""low52""),AE296)"),215)</f>
        <v>215</v>
      </c>
      <c r="AI296" s="1">
        <f ca="1">IFERROR(__xludf.DUMMYFUNCTION("IFERROR(GOOGLEFINANCE(B296,""eps""),0)"),7.22)</f>
        <v>7.22</v>
      </c>
      <c r="AJ296" s="1"/>
      <c r="AK296" s="1" t="s">
        <v>979</v>
      </c>
      <c r="AL296" s="9">
        <f t="shared" si="63"/>
        <v>1</v>
      </c>
    </row>
    <row r="297" spans="1:38" ht="15" x14ac:dyDescent="0.25">
      <c r="A297" s="1" t="s">
        <v>980</v>
      </c>
      <c r="B297" s="1" t="s">
        <v>981</v>
      </c>
      <c r="C297" s="1" t="s">
        <v>889</v>
      </c>
      <c r="D297" s="1" t="s">
        <v>889</v>
      </c>
      <c r="E297" s="6">
        <v>1054.46</v>
      </c>
      <c r="F297" s="1" t="s">
        <v>40</v>
      </c>
      <c r="G297" s="6">
        <f ca="1">IFERROR(__xludf.DUMMYFUNCTION("iferror(GOOGLEFINANCE(TRIM(F297)&amp;"":"" &amp; TRIM(B297), ""price""),0
)"),68.9)</f>
        <v>68.900000000000006</v>
      </c>
      <c r="H297" s="6">
        <v>71.36</v>
      </c>
      <c r="I297" s="6">
        <f t="shared" ca="1" si="0"/>
        <v>68.900000000000006</v>
      </c>
      <c r="J297" s="6">
        <f ca="1">IFERROR(__xludf.DUMMYFUNCTION("IFERROR(GOOGLEFINANCE(B297, ""volume""), 0)"),656755)</f>
        <v>656755</v>
      </c>
      <c r="K297" s="6">
        <v>-0.45</v>
      </c>
      <c r="L297" s="6">
        <f ca="1">IFERROR(__xludf.DUMMYFUNCTION("IFERROR(GOOGLEFINANCE(B297,""changepct""),K297)"),0)</f>
        <v>0</v>
      </c>
      <c r="M297" s="6">
        <f ca="1">IFERROR(__xludf.DUMMYFUNCTION("IFERROR(GOOGLEFINANCE(B297,""change""),0)"),0)</f>
        <v>0</v>
      </c>
      <c r="N297" s="6">
        <v>2</v>
      </c>
      <c r="O297" s="7">
        <v>45536</v>
      </c>
      <c r="P297" s="6">
        <v>207.02</v>
      </c>
      <c r="Q297" s="6">
        <v>1221.72</v>
      </c>
      <c r="R297" s="7">
        <v>45536</v>
      </c>
      <c r="S297" s="6">
        <v>1521.74</v>
      </c>
      <c r="T297" s="6">
        <v>-8.44</v>
      </c>
      <c r="U297" s="7">
        <v>45536</v>
      </c>
      <c r="V297" s="6">
        <v>0</v>
      </c>
      <c r="W297" s="6">
        <f ca="1">IFERROR(__xludf.DUMMYFUNCTION("IFERROR(GOOGLEFINANCE(B297,""pe""),V297)"),29.3)</f>
        <v>29.3</v>
      </c>
      <c r="X297" s="9"/>
      <c r="Y297" s="6">
        <v>0.77</v>
      </c>
      <c r="Z297" s="6">
        <v>2</v>
      </c>
      <c r="AA297" s="8">
        <v>45352</v>
      </c>
      <c r="AB297" s="4">
        <v>0.19</v>
      </c>
      <c r="AC297" s="6">
        <v>-1.59</v>
      </c>
      <c r="AD297" s="6">
        <v>1.1000000000000001</v>
      </c>
      <c r="AE297" s="1">
        <v>0</v>
      </c>
      <c r="AF297" s="1">
        <f ca="1">IFERROR(__xludf.DUMMYFUNCTION("IFERROR(GOOGLEFINANCE(TRIM(F297)&amp;"":"" &amp; TRIM(B297),""high52""),AE297)"),78.8)</f>
        <v>78.8</v>
      </c>
      <c r="AG297" s="1">
        <v>0</v>
      </c>
      <c r="AH297" s="1">
        <f ca="1">IFERROR(__xludf.DUMMYFUNCTION("IFERROR(GOOGLEFINANCE(TRIM(F297)&amp;"":"" &amp; TRIM(B297),""low52""),AE297)"),39.15)</f>
        <v>39.15</v>
      </c>
      <c r="AI297" s="1">
        <f ca="1">IFERROR(__xludf.DUMMYFUNCTION("IFERROR(GOOGLEFINANCE(B297,""eps""),0)"),2.35)</f>
        <v>2.35</v>
      </c>
      <c r="AJ297" s="1"/>
      <c r="AK297" s="1" t="s">
        <v>982</v>
      </c>
      <c r="AL297" s="1" t="b">
        <f>ISNUMBER(AA297)</f>
        <v>1</v>
      </c>
    </row>
    <row r="298" spans="1:38" ht="15" x14ac:dyDescent="0.25">
      <c r="A298" s="1" t="s">
        <v>983</v>
      </c>
      <c r="B298" s="1" t="s">
        <v>984</v>
      </c>
      <c r="C298" s="1" t="s">
        <v>410</v>
      </c>
      <c r="D298" s="1" t="s">
        <v>410</v>
      </c>
      <c r="E298" s="6">
        <v>298.2</v>
      </c>
      <c r="F298" s="1" t="s">
        <v>40</v>
      </c>
      <c r="G298" s="6">
        <f ca="1">IFERROR(__xludf.DUMMYFUNCTION("iferror(GOOGLEFINANCE(TRIM(F298)&amp;"":"" &amp; TRIM(B298), ""price""),0
)"),132.25)</f>
        <v>132.25</v>
      </c>
      <c r="H298" s="6">
        <v>172.94</v>
      </c>
      <c r="I298" s="6">
        <f t="shared" ca="1" si="0"/>
        <v>132.25</v>
      </c>
      <c r="J298" s="6">
        <f ca="1">IFERROR(__xludf.DUMMYFUNCTION("IFERROR(GOOGLEFINANCE(B298, ""volume""), 0)"),1551)</f>
        <v>1551</v>
      </c>
      <c r="K298" s="6">
        <v>0.59</v>
      </c>
      <c r="L298" s="6">
        <f ca="1">IFERROR(__xludf.DUMMYFUNCTION("IFERROR(GOOGLEFINANCE(B298,""changepct""),K298)"),-3.28)</f>
        <v>-3.28</v>
      </c>
      <c r="M298" s="6">
        <f ca="1">IFERROR(__xludf.DUMMYFUNCTION("IFERROR(GOOGLEFINANCE(B298,""change""),0)"),-4.49)</f>
        <v>-4.49</v>
      </c>
      <c r="N298" s="6">
        <v>2</v>
      </c>
      <c r="O298" s="7">
        <v>45536</v>
      </c>
      <c r="P298" s="6">
        <v>313.29000000000002</v>
      </c>
      <c r="Q298" s="6">
        <v>607.54999999999995</v>
      </c>
      <c r="R298" s="7">
        <v>45536</v>
      </c>
      <c r="S298" s="6">
        <v>111.3</v>
      </c>
      <c r="T298" s="6">
        <v>23.66</v>
      </c>
      <c r="U298" s="7">
        <v>45536</v>
      </c>
      <c r="V298" s="6">
        <v>12.6</v>
      </c>
      <c r="W298" s="6">
        <f ca="1">IFERROR(__xludf.DUMMYFUNCTION("IFERROR(GOOGLEFINANCE(B298,""pe""),V298)"),166.72)</f>
        <v>166.72</v>
      </c>
      <c r="X298" s="6">
        <v>0.26</v>
      </c>
      <c r="Y298" s="6">
        <v>1.28</v>
      </c>
      <c r="Z298" s="6">
        <v>2</v>
      </c>
      <c r="AA298" s="8">
        <v>45352</v>
      </c>
      <c r="AB298" s="4">
        <v>1.45</v>
      </c>
      <c r="AC298" s="6">
        <v>14.64</v>
      </c>
      <c r="AD298" s="6">
        <v>16.45</v>
      </c>
      <c r="AE298" s="1">
        <v>0</v>
      </c>
      <c r="AF298" s="1">
        <f ca="1">IFERROR(__xludf.DUMMYFUNCTION("IFERROR(GOOGLEFINANCE(TRIM(F298)&amp;"":"" &amp; TRIM(B298),""high52""),AE298)"),168)</f>
        <v>168</v>
      </c>
      <c r="AG298" s="1">
        <v>0</v>
      </c>
      <c r="AH298" s="1">
        <f ca="1">IFERROR(__xludf.DUMMYFUNCTION("IFERROR(GOOGLEFINANCE(TRIM(F298)&amp;"":"" &amp; TRIM(B298),""low52""),AE298)"),122.78)</f>
        <v>122.78</v>
      </c>
      <c r="AI298" s="1">
        <f ca="1">IFERROR(__xludf.DUMMYFUNCTION("IFERROR(GOOGLEFINANCE(B298,""eps""),0)"),0.79)</f>
        <v>0.79</v>
      </c>
      <c r="AJ298" s="1"/>
      <c r="AK298" s="1" t="s">
        <v>985</v>
      </c>
      <c r="AL298" s="9">
        <f>IF(AA298&lt;&gt;AB298,1,0)</f>
        <v>1</v>
      </c>
    </row>
    <row r="299" spans="1:38" ht="15" x14ac:dyDescent="0.25">
      <c r="A299" s="1" t="s">
        <v>986</v>
      </c>
      <c r="B299" s="1" t="s">
        <v>987</v>
      </c>
      <c r="C299" s="1" t="s">
        <v>90</v>
      </c>
      <c r="D299" s="1" t="s">
        <v>90</v>
      </c>
      <c r="E299" s="6">
        <v>804.87</v>
      </c>
      <c r="F299" s="1" t="s">
        <v>53</v>
      </c>
      <c r="G299" s="6">
        <f ca="1">IFERROR(__xludf.DUMMYFUNCTION("iferror(GOOGLEFINANCE(TRIM(F299)&amp;"":"" &amp; TRIM(B299), ""price""),0
)"),0)</f>
        <v>0</v>
      </c>
      <c r="H299" s="6">
        <v>134.94999999999999</v>
      </c>
      <c r="I299" s="6">
        <f t="shared" ca="1" si="0"/>
        <v>134.94999999999999</v>
      </c>
      <c r="J299" s="6">
        <f ca="1">IFERROR(__xludf.DUMMYFUNCTION("IFERROR(GOOGLEFINANCE(B299, ""volume""), 0)"),0)</f>
        <v>0</v>
      </c>
      <c r="K299" s="6">
        <v>4.9800000000000004</v>
      </c>
      <c r="L299" s="6">
        <f ca="1">IFERROR(__xludf.DUMMYFUNCTION("IFERROR(GOOGLEFINANCE(B299,""changepct""),K299)"),4.98)</f>
        <v>4.9800000000000004</v>
      </c>
      <c r="M299" s="6">
        <f ca="1">IFERROR(__xludf.DUMMYFUNCTION("IFERROR(GOOGLEFINANCE(B299,""change""),0)"),0)</f>
        <v>0</v>
      </c>
      <c r="N299" s="6">
        <v>2</v>
      </c>
      <c r="O299" s="7">
        <v>45536</v>
      </c>
      <c r="P299" s="6">
        <v>8.74</v>
      </c>
      <c r="Q299" s="6">
        <v>813.61</v>
      </c>
      <c r="R299" s="7">
        <v>45536</v>
      </c>
      <c r="S299" s="6">
        <v>74.64</v>
      </c>
      <c r="T299" s="6">
        <v>6.2</v>
      </c>
      <c r="U299" s="7">
        <v>45536</v>
      </c>
      <c r="V299" s="6">
        <v>171.65</v>
      </c>
      <c r="W299" s="6">
        <f ca="1">IFERROR(__xludf.DUMMYFUNCTION("IFERROR(GOOGLEFINANCE(B299,""pe""),V299)"),171.65)</f>
        <v>171.65</v>
      </c>
      <c r="X299" s="9"/>
      <c r="Y299" s="6">
        <v>17.98</v>
      </c>
      <c r="Z299" s="6">
        <v>2</v>
      </c>
      <c r="AA299" s="8">
        <v>45352</v>
      </c>
      <c r="AB299" s="4">
        <v>0.13</v>
      </c>
      <c r="AC299" s="6">
        <v>16.18</v>
      </c>
      <c r="AD299" s="6">
        <v>19.309999999999999</v>
      </c>
      <c r="AE299" s="1">
        <v>0</v>
      </c>
      <c r="AF299" s="1">
        <f ca="1">IFERROR(__xludf.DUMMYFUNCTION("IFERROR(GOOGLEFINANCE(TRIM(F299)&amp;"":"" &amp; TRIM(B299),""high52""),AE299)"),0)</f>
        <v>0</v>
      </c>
      <c r="AG299" s="1">
        <v>0</v>
      </c>
      <c r="AH299" s="1">
        <f ca="1">IFERROR(__xludf.DUMMYFUNCTION("IFERROR(GOOGLEFINANCE(TRIM(F299)&amp;"":"" &amp; TRIM(B299),""low52""),AE299)"),0)</f>
        <v>0</v>
      </c>
      <c r="AI299" s="1">
        <f ca="1">IFERROR(__xludf.DUMMYFUNCTION("IFERROR(GOOGLEFINANCE(B299,""eps""),0)"),0)</f>
        <v>0</v>
      </c>
      <c r="AJ299" s="1"/>
      <c r="AK299" s="9"/>
      <c r="AL299" s="1" t="b">
        <f>ISBLANK(AB299)</f>
        <v>0</v>
      </c>
    </row>
    <row r="300" spans="1:38" ht="15" x14ac:dyDescent="0.25">
      <c r="A300" s="1" t="s">
        <v>988</v>
      </c>
      <c r="B300" s="1" t="s">
        <v>989</v>
      </c>
      <c r="C300" s="1" t="s">
        <v>410</v>
      </c>
      <c r="D300" s="1" t="s">
        <v>410</v>
      </c>
      <c r="E300" s="6">
        <v>665.59</v>
      </c>
      <c r="F300" s="1" t="s">
        <v>40</v>
      </c>
      <c r="G300" s="6">
        <f ca="1">IFERROR(__xludf.DUMMYFUNCTION("iferror(GOOGLEFINANCE(TRIM(F300)&amp;"":"" &amp; TRIM(B300), ""price""),0
)"),305.05)</f>
        <v>305.05</v>
      </c>
      <c r="H300" s="6">
        <v>312.25</v>
      </c>
      <c r="I300" s="6">
        <f t="shared" ca="1" si="0"/>
        <v>305.05</v>
      </c>
      <c r="J300" s="6">
        <f ca="1">IFERROR(__xludf.DUMMYFUNCTION("IFERROR(GOOGLEFINANCE(B300, ""volume""), 0)"),15881)</f>
        <v>15881</v>
      </c>
      <c r="K300" s="6">
        <v>-4.99</v>
      </c>
      <c r="L300" s="6">
        <f ca="1">IFERROR(__xludf.DUMMYFUNCTION("IFERROR(GOOGLEFINANCE(B300,""changepct""),K300)"),1.5)</f>
        <v>1.5</v>
      </c>
      <c r="M300" s="6">
        <f ca="1">IFERROR(__xludf.DUMMYFUNCTION("IFERROR(GOOGLEFINANCE(B300,""change""),0)"),4.5)</f>
        <v>4.5</v>
      </c>
      <c r="N300" s="6">
        <v>1</v>
      </c>
      <c r="O300" s="7">
        <v>45536</v>
      </c>
      <c r="P300" s="6">
        <v>1105.4000000000001</v>
      </c>
      <c r="Q300" s="6">
        <v>1692.02</v>
      </c>
      <c r="R300" s="7">
        <v>45536</v>
      </c>
      <c r="S300" s="6">
        <v>300.57</v>
      </c>
      <c r="T300" s="6">
        <v>-121.59</v>
      </c>
      <c r="U300" s="7">
        <v>45536</v>
      </c>
      <c r="V300" s="6">
        <v>0</v>
      </c>
      <c r="W300" s="6">
        <f ca="1">IFERROR(__xludf.DUMMYFUNCTION("IFERROR(GOOGLEFINANCE(B300,""pe""),V300)"),3.16)</f>
        <v>3.16</v>
      </c>
      <c r="X300" s="12"/>
      <c r="Y300" s="6">
        <v>-1.68</v>
      </c>
      <c r="Z300" s="6">
        <v>1</v>
      </c>
      <c r="AA300" s="8">
        <v>45352</v>
      </c>
      <c r="AB300" s="4">
        <v>-3.29</v>
      </c>
      <c r="AC300" s="6">
        <v>0</v>
      </c>
      <c r="AD300" s="6">
        <v>6.68</v>
      </c>
      <c r="AE300" s="1">
        <v>0</v>
      </c>
      <c r="AF300" s="1">
        <f ca="1">IFERROR(__xludf.DUMMYFUNCTION("IFERROR(GOOGLEFINANCE(TRIM(F300)&amp;"":"" &amp; TRIM(B300),""high52""),AE300)"),419.5)</f>
        <v>419.5</v>
      </c>
      <c r="AG300" s="1">
        <v>0</v>
      </c>
      <c r="AH300" s="1">
        <f ca="1">IFERROR(__xludf.DUMMYFUNCTION("IFERROR(GOOGLEFINANCE(TRIM(F300)&amp;"":"" &amp; TRIM(B300),""low52""),AE300)"),267.9)</f>
        <v>267.89999999999998</v>
      </c>
      <c r="AI300" s="1">
        <f ca="1">IFERROR(__xludf.DUMMYFUNCTION("IFERROR(GOOGLEFINANCE(B300,""eps""),0)"),96.45)</f>
        <v>96.45</v>
      </c>
      <c r="AJ300" s="1"/>
      <c r="AK300" s="1" t="s">
        <v>990</v>
      </c>
      <c r="AL300" s="9">
        <f t="shared" ref="AL300:AL301" si="64">IF(AA300&lt;&gt;AB300,1,0)</f>
        <v>1</v>
      </c>
    </row>
    <row r="301" spans="1:38" ht="15" x14ac:dyDescent="0.25">
      <c r="A301" s="1" t="s">
        <v>991</v>
      </c>
      <c r="B301" s="1" t="s">
        <v>992</v>
      </c>
      <c r="C301" s="1" t="s">
        <v>593</v>
      </c>
      <c r="D301" s="1" t="s">
        <v>593</v>
      </c>
      <c r="E301" s="6">
        <v>224740</v>
      </c>
      <c r="F301" s="1" t="s">
        <v>40</v>
      </c>
      <c r="G301" s="6">
        <f ca="1">IFERROR(__xludf.DUMMYFUNCTION("iferror(GOOGLEFINANCE(TRIM(F301)&amp;"":"" &amp; TRIM(B301), ""price""),0
)"),2395)</f>
        <v>2395</v>
      </c>
      <c r="H301" s="6">
        <v>2332.6</v>
      </c>
      <c r="I301" s="6">
        <f t="shared" ca="1" si="0"/>
        <v>2395</v>
      </c>
      <c r="J301" s="6">
        <f ca="1">IFERROR(__xludf.DUMMYFUNCTION("IFERROR(GOOGLEFINANCE(B301, ""volume""), 0)"),1183482)</f>
        <v>1183482</v>
      </c>
      <c r="K301" s="6">
        <v>-0.45</v>
      </c>
      <c r="L301" s="6">
        <f ca="1">IFERROR(__xludf.DUMMYFUNCTION("IFERROR(GOOGLEFINANCE(B301,""changepct""),K301)"),1.61)</f>
        <v>1.61</v>
      </c>
      <c r="M301" s="6">
        <f ca="1">IFERROR(__xludf.DUMMYFUNCTION("IFERROR(GOOGLEFINANCE(B301,""change""),0)"),38)</f>
        <v>38</v>
      </c>
      <c r="N301" s="6">
        <v>2</v>
      </c>
      <c r="O301" s="7">
        <v>45536</v>
      </c>
      <c r="P301" s="6">
        <v>1123.49</v>
      </c>
      <c r="Q301" s="6">
        <v>225063</v>
      </c>
      <c r="R301" s="7">
        <v>45536</v>
      </c>
      <c r="S301" s="6">
        <v>34831.120000000003</v>
      </c>
      <c r="T301" s="6">
        <v>4489.87</v>
      </c>
      <c r="U301" s="7">
        <v>45536</v>
      </c>
      <c r="V301" s="6">
        <v>49.19</v>
      </c>
      <c r="W301" s="6">
        <f ca="1">IFERROR(__xludf.DUMMYFUNCTION("IFERROR(GOOGLEFINANCE(B301,""pe""),V301)"),59.73)</f>
        <v>59.73</v>
      </c>
      <c r="X301" s="6">
        <v>2.41</v>
      </c>
      <c r="Y301" s="6">
        <v>12.47</v>
      </c>
      <c r="Z301" s="6">
        <v>2</v>
      </c>
      <c r="AA301" s="8">
        <v>45352</v>
      </c>
      <c r="AB301" s="4">
        <v>0.06</v>
      </c>
      <c r="AC301" s="6">
        <v>32.08</v>
      </c>
      <c r="AD301" s="6">
        <v>41.05</v>
      </c>
      <c r="AE301" s="1">
        <v>0</v>
      </c>
      <c r="AF301" s="1">
        <f ca="1">IFERROR(__xludf.DUMMYFUNCTION("IFERROR(GOOGLEFINANCE(TRIM(F301)&amp;"":"" &amp; TRIM(B301),""high52""),AE301)"),2985.7)</f>
        <v>2985.7</v>
      </c>
      <c r="AG301" s="1">
        <v>0</v>
      </c>
      <c r="AH301" s="1">
        <f ca="1">IFERROR(__xludf.DUMMYFUNCTION("IFERROR(GOOGLEFINANCE(TRIM(F301)&amp;"":"" &amp; TRIM(B301),""low52""),AE301)"),2124.75)</f>
        <v>2124.75</v>
      </c>
      <c r="AI301" s="1">
        <f ca="1">IFERROR(__xludf.DUMMYFUNCTION("IFERROR(GOOGLEFINANCE(B301,""eps""),0)"),40.1)</f>
        <v>40.1</v>
      </c>
      <c r="AJ301" s="1"/>
      <c r="AK301" s="1" t="s">
        <v>993</v>
      </c>
      <c r="AL301" s="9">
        <f t="shared" si="64"/>
        <v>1</v>
      </c>
    </row>
    <row r="302" spans="1:38" ht="15" x14ac:dyDescent="0.25">
      <c r="A302" s="1" t="s">
        <v>994</v>
      </c>
      <c r="B302" s="1" t="s">
        <v>995</v>
      </c>
      <c r="C302" s="1" t="s">
        <v>355</v>
      </c>
      <c r="D302" s="1" t="s">
        <v>355</v>
      </c>
      <c r="E302" s="6">
        <v>9753.6299999999992</v>
      </c>
      <c r="F302" s="1" t="s">
        <v>40</v>
      </c>
      <c r="G302" s="6">
        <f ca="1">IFERROR(__xludf.DUMMYFUNCTION("iferror(GOOGLEFINANCE(TRIM(F302)&amp;"":"" &amp; TRIM(B302), ""price""),0
)"),445)</f>
        <v>445</v>
      </c>
      <c r="H302" s="6">
        <v>494.45</v>
      </c>
      <c r="I302" s="6">
        <f t="shared" ca="1" si="0"/>
        <v>445</v>
      </c>
      <c r="J302" s="6">
        <f ca="1">IFERROR(__xludf.DUMMYFUNCTION("IFERROR(GOOGLEFINANCE(B302, ""volume""), 0)"),147106)</f>
        <v>147106</v>
      </c>
      <c r="K302" s="6">
        <v>0.05</v>
      </c>
      <c r="L302" s="6">
        <f ca="1">IFERROR(__xludf.DUMMYFUNCTION("IFERROR(GOOGLEFINANCE(B302,""changepct""),K302)"),1.71)</f>
        <v>1.71</v>
      </c>
      <c r="M302" s="6">
        <f ca="1">IFERROR(__xludf.DUMMYFUNCTION("IFERROR(GOOGLEFINANCE(B302,""change""),0)"),7.5)</f>
        <v>7.5</v>
      </c>
      <c r="N302" s="6">
        <v>2</v>
      </c>
      <c r="O302" s="7">
        <v>45536</v>
      </c>
      <c r="P302" s="6">
        <v>382.54</v>
      </c>
      <c r="Q302" s="6">
        <v>10133.219999999999</v>
      </c>
      <c r="R302" s="7">
        <v>45536</v>
      </c>
      <c r="S302" s="6">
        <v>3380.23</v>
      </c>
      <c r="T302" s="6">
        <v>207.93</v>
      </c>
      <c r="U302" s="7">
        <v>45536</v>
      </c>
      <c r="V302" s="6">
        <v>43.97</v>
      </c>
      <c r="W302" s="6">
        <f ca="1">IFERROR(__xludf.DUMMYFUNCTION("IFERROR(GOOGLEFINANCE(B302,""pe""),V302)"),30.97)</f>
        <v>30.97</v>
      </c>
      <c r="X302" s="9"/>
      <c r="Y302" s="6">
        <v>10.59</v>
      </c>
      <c r="Z302" s="6">
        <v>2</v>
      </c>
      <c r="AA302" s="8">
        <v>45352</v>
      </c>
      <c r="AB302" s="4">
        <v>0.42</v>
      </c>
      <c r="AC302" s="6">
        <v>23.8</v>
      </c>
      <c r="AD302" s="6">
        <v>24.37</v>
      </c>
      <c r="AE302" s="1">
        <v>0</v>
      </c>
      <c r="AF302" s="1">
        <f ca="1">IFERROR(__xludf.DUMMYFUNCTION("IFERROR(GOOGLEFINANCE(TRIM(F302)&amp;"":"" &amp; TRIM(B302),""high52""),AE302)"),578.5)</f>
        <v>578.5</v>
      </c>
      <c r="AG302" s="1">
        <v>0</v>
      </c>
      <c r="AH302" s="1">
        <f ca="1">IFERROR(__xludf.DUMMYFUNCTION("IFERROR(GOOGLEFINANCE(TRIM(F302)&amp;"":"" &amp; TRIM(B302),""low52""),AE302)"),333.3)</f>
        <v>333.3</v>
      </c>
      <c r="AI302" s="1">
        <f ca="1">IFERROR(__xludf.DUMMYFUNCTION("IFERROR(GOOGLEFINANCE(B302,""eps""),0)"),14.37)</f>
        <v>14.37</v>
      </c>
      <c r="AJ302" s="1"/>
      <c r="AK302" s="1" t="s">
        <v>996</v>
      </c>
      <c r="AL302" s="1" t="b">
        <f>ISNUMBER(AA302)</f>
        <v>1</v>
      </c>
    </row>
    <row r="303" spans="1:38" ht="15" x14ac:dyDescent="0.25">
      <c r="A303" s="1" t="s">
        <v>997</v>
      </c>
      <c r="B303" s="1" t="s">
        <v>998</v>
      </c>
      <c r="C303" s="1" t="s">
        <v>355</v>
      </c>
      <c r="D303" s="1" t="s">
        <v>355</v>
      </c>
      <c r="E303" s="6">
        <v>37.61</v>
      </c>
      <c r="F303" s="1" t="s">
        <v>40</v>
      </c>
      <c r="G303" s="6">
        <f ca="1">IFERROR(__xludf.DUMMYFUNCTION("iferror(GOOGLEFINANCE(TRIM(F303)&amp;"":"" &amp; TRIM(B303), ""price""),0
)"),0)</f>
        <v>0</v>
      </c>
      <c r="H303" s="6">
        <v>36.1</v>
      </c>
      <c r="I303" s="6">
        <f t="shared" ca="1" si="0"/>
        <v>36.1</v>
      </c>
      <c r="J303" s="6">
        <f ca="1">IFERROR(__xludf.DUMMYFUNCTION("IFERROR(GOOGLEFINANCE(B303, ""volume""), 0)"),0)</f>
        <v>0</v>
      </c>
      <c r="K303" s="9"/>
      <c r="L303" s="6" t="str">
        <f ca="1">IFERROR(__xludf.DUMMYFUNCTION("IFERROR(GOOGLEFINANCE(B303,""changepct""),K303)"),"")</f>
        <v/>
      </c>
      <c r="M303" s="6">
        <f ca="1">IFERROR(__xludf.DUMMYFUNCTION("IFERROR(GOOGLEFINANCE(B303,""change""),0)"),0)</f>
        <v>0</v>
      </c>
      <c r="N303" s="6">
        <v>1</v>
      </c>
      <c r="O303" s="7">
        <v>45536</v>
      </c>
      <c r="P303" s="9"/>
      <c r="Q303" s="6">
        <v>37.61</v>
      </c>
      <c r="R303" s="7">
        <v>45352</v>
      </c>
      <c r="S303" s="6">
        <v>0</v>
      </c>
      <c r="T303" s="6">
        <v>0.36</v>
      </c>
      <c r="U303" s="7">
        <v>45352</v>
      </c>
      <c r="V303" s="6">
        <v>104.69</v>
      </c>
      <c r="W303" s="6">
        <f ca="1">IFERROR(__xludf.DUMMYFUNCTION("IFERROR(GOOGLEFINANCE(B303,""pe""),V303)"),104.69)</f>
        <v>104.69</v>
      </c>
      <c r="X303" s="6">
        <v>6.33</v>
      </c>
      <c r="Y303" s="6">
        <v>1.07</v>
      </c>
      <c r="Z303" s="6">
        <v>1</v>
      </c>
      <c r="AA303" s="8">
        <v>45352</v>
      </c>
      <c r="AB303" s="4">
        <v>0</v>
      </c>
      <c r="AC303" s="6">
        <v>1.03</v>
      </c>
      <c r="AD303" s="6">
        <v>1.92</v>
      </c>
      <c r="AE303" s="1">
        <v>0</v>
      </c>
      <c r="AF303" s="1">
        <f ca="1">IFERROR(__xludf.DUMMYFUNCTION("IFERROR(GOOGLEFINANCE(TRIM(F303)&amp;"":"" &amp; TRIM(B303),""high52""),AE303)"),0)</f>
        <v>0</v>
      </c>
      <c r="AG303" s="1">
        <v>0</v>
      </c>
      <c r="AH303" s="1">
        <f ca="1">IFERROR(__xludf.DUMMYFUNCTION("IFERROR(GOOGLEFINANCE(TRIM(F303)&amp;"":"" &amp; TRIM(B303),""low52""),AE303)"),0)</f>
        <v>0</v>
      </c>
      <c r="AI303" s="1">
        <f ca="1">IFERROR(__xludf.DUMMYFUNCTION("IFERROR(GOOGLEFINANCE(B303,""eps""),0)"),0)</f>
        <v>0</v>
      </c>
      <c r="AJ303" s="1"/>
      <c r="AK303" s="9"/>
      <c r="AL303" s="1" t="b">
        <f>ISBLANK(AB303)</f>
        <v>0</v>
      </c>
    </row>
    <row r="304" spans="1:38" ht="15" x14ac:dyDescent="0.25">
      <c r="A304" s="1" t="s">
        <v>999</v>
      </c>
      <c r="B304" s="1" t="s">
        <v>1000</v>
      </c>
      <c r="C304" s="1" t="s">
        <v>259</v>
      </c>
      <c r="D304" s="1" t="s">
        <v>259</v>
      </c>
      <c r="E304" s="6">
        <v>249.29</v>
      </c>
      <c r="F304" s="1" t="s">
        <v>40</v>
      </c>
      <c r="G304" s="6">
        <f ca="1">IFERROR(__xludf.DUMMYFUNCTION("iferror(GOOGLEFINANCE(TRIM(F304)&amp;"":"" &amp; TRIM(B304), ""price""),0
)"),210.98)</f>
        <v>210.98</v>
      </c>
      <c r="H304" s="6">
        <v>318.5</v>
      </c>
      <c r="I304" s="6">
        <f t="shared" ca="1" si="0"/>
        <v>210.98</v>
      </c>
      <c r="J304" s="6">
        <f ca="1">IFERROR(__xludf.DUMMYFUNCTION("IFERROR(GOOGLEFINANCE(B304, ""volume""), 0)"),1620)</f>
        <v>1620</v>
      </c>
      <c r="K304" s="6">
        <v>-0.11</v>
      </c>
      <c r="L304" s="6">
        <f ca="1">IFERROR(__xludf.DUMMYFUNCTION("IFERROR(GOOGLEFINANCE(B304,""changepct""),K304)"),-0.69)</f>
        <v>-0.69</v>
      </c>
      <c r="M304" s="6">
        <f ca="1">IFERROR(__xludf.DUMMYFUNCTION("IFERROR(GOOGLEFINANCE(B304,""change""),0)"),-1.46)</f>
        <v>-1.46</v>
      </c>
      <c r="N304" s="6">
        <v>2</v>
      </c>
      <c r="O304" s="7">
        <v>45536</v>
      </c>
      <c r="P304" s="6">
        <v>37.36</v>
      </c>
      <c r="Q304" s="6">
        <v>246.7</v>
      </c>
      <c r="R304" s="7">
        <v>45536</v>
      </c>
      <c r="S304" s="6">
        <v>320.95999999999998</v>
      </c>
      <c r="T304" s="6">
        <v>15.72</v>
      </c>
      <c r="U304" s="7">
        <v>45536</v>
      </c>
      <c r="V304" s="6">
        <v>15.86</v>
      </c>
      <c r="W304" s="6">
        <f ca="1">IFERROR(__xludf.DUMMYFUNCTION("IFERROR(GOOGLEFINANCE(B304,""pe""),V304)"),24.96)</f>
        <v>24.96</v>
      </c>
      <c r="X304" s="6">
        <v>1.97</v>
      </c>
      <c r="Y304" s="6">
        <v>1.31</v>
      </c>
      <c r="Z304" s="6">
        <v>2</v>
      </c>
      <c r="AA304" s="8">
        <v>45352</v>
      </c>
      <c r="AB304" s="4">
        <v>0.11</v>
      </c>
      <c r="AC304" s="6">
        <v>5.93</v>
      </c>
      <c r="AD304" s="6">
        <v>6.8</v>
      </c>
      <c r="AE304" s="1">
        <v>0</v>
      </c>
      <c r="AF304" s="1">
        <f ca="1">IFERROR(__xludf.DUMMYFUNCTION("IFERROR(GOOGLEFINANCE(TRIM(F304)&amp;"":"" &amp; TRIM(B304),""high52""),AE304)"),345.9)</f>
        <v>345.9</v>
      </c>
      <c r="AG304" s="1">
        <v>0</v>
      </c>
      <c r="AH304" s="1">
        <f ca="1">IFERROR(__xludf.DUMMYFUNCTION("IFERROR(GOOGLEFINANCE(TRIM(F304)&amp;"":"" &amp; TRIM(B304),""low52""),AE304)"),208)</f>
        <v>208</v>
      </c>
      <c r="AI304" s="1">
        <f ca="1">IFERROR(__xludf.DUMMYFUNCTION("IFERROR(GOOGLEFINANCE(B304,""eps""),0)"),8.45)</f>
        <v>8.4499999999999993</v>
      </c>
      <c r="AJ304" s="1"/>
      <c r="AK304" s="1" t="s">
        <v>1001</v>
      </c>
      <c r="AL304" s="9">
        <f t="shared" ref="AL304:AL305" si="65">IF(AA304&lt;&gt;AB304,1,0)</f>
        <v>1</v>
      </c>
    </row>
    <row r="305" spans="1:38" ht="15" x14ac:dyDescent="0.25">
      <c r="A305" s="1" t="s">
        <v>1002</v>
      </c>
      <c r="B305" s="1" t="s">
        <v>1003</v>
      </c>
      <c r="C305" s="1" t="s">
        <v>227</v>
      </c>
      <c r="D305" s="1" t="s">
        <v>227</v>
      </c>
      <c r="E305" s="6">
        <v>68.599999999999994</v>
      </c>
      <c r="F305" s="1" t="s">
        <v>40</v>
      </c>
      <c r="G305" s="6">
        <f ca="1">IFERROR(__xludf.DUMMYFUNCTION("iferror(GOOGLEFINANCE(TRIM(F305)&amp;"":"" &amp; TRIM(B305), ""price""),0
)"),0)</f>
        <v>0</v>
      </c>
      <c r="H305" s="6">
        <v>45.2</v>
      </c>
      <c r="I305" s="6">
        <f t="shared" ca="1" si="0"/>
        <v>45.2</v>
      </c>
      <c r="J305" s="6">
        <f ca="1">IFERROR(__xludf.DUMMYFUNCTION("IFERROR(GOOGLEFINANCE(B305, ""volume""), 0)"),0)</f>
        <v>0</v>
      </c>
      <c r="K305" s="9"/>
      <c r="L305" s="6" t="str">
        <f ca="1">IFERROR(__xludf.DUMMYFUNCTION("IFERROR(GOOGLEFINANCE(B305,""changepct""),K305)"),"")</f>
        <v/>
      </c>
      <c r="M305" s="6">
        <f ca="1">IFERROR(__xludf.DUMMYFUNCTION("IFERROR(GOOGLEFINANCE(B305,""change""),0)"),0)</f>
        <v>0</v>
      </c>
      <c r="N305" s="6">
        <v>1</v>
      </c>
      <c r="O305" s="7">
        <v>45536</v>
      </c>
      <c r="P305" s="6">
        <v>1.04</v>
      </c>
      <c r="Q305" s="6">
        <v>69.64</v>
      </c>
      <c r="R305" s="7">
        <v>45352</v>
      </c>
      <c r="S305" s="6">
        <v>383.99</v>
      </c>
      <c r="T305" s="6">
        <v>9.31</v>
      </c>
      <c r="U305" s="7">
        <v>45352</v>
      </c>
      <c r="V305" s="6">
        <v>7.37</v>
      </c>
      <c r="W305" s="6">
        <f ca="1">IFERROR(__xludf.DUMMYFUNCTION("IFERROR(GOOGLEFINANCE(B305,""pe""),V305)"),7.37)</f>
        <v>7.37</v>
      </c>
      <c r="X305" s="12"/>
      <c r="Y305" s="6">
        <v>1.47</v>
      </c>
      <c r="Z305" s="6">
        <v>1</v>
      </c>
      <c r="AA305" s="8">
        <v>45352</v>
      </c>
      <c r="AB305" s="4">
        <v>0.53</v>
      </c>
      <c r="AC305" s="6">
        <v>46.17</v>
      </c>
      <c r="AD305" s="6">
        <v>36.57</v>
      </c>
      <c r="AE305" s="1">
        <v>0</v>
      </c>
      <c r="AF305" s="1">
        <f ca="1">IFERROR(__xludf.DUMMYFUNCTION("IFERROR(GOOGLEFINANCE(TRIM(F305)&amp;"":"" &amp; TRIM(B305),""high52""),AE305)"),0)</f>
        <v>0</v>
      </c>
      <c r="AG305" s="1">
        <v>0</v>
      </c>
      <c r="AH305" s="1">
        <f ca="1">IFERROR(__xludf.DUMMYFUNCTION("IFERROR(GOOGLEFINANCE(TRIM(F305)&amp;"":"" &amp; TRIM(B305),""low52""),AE305)"),0)</f>
        <v>0</v>
      </c>
      <c r="AI305" s="1">
        <f ca="1">IFERROR(__xludf.DUMMYFUNCTION("IFERROR(GOOGLEFINANCE(B305,""eps""),0)"),0)</f>
        <v>0</v>
      </c>
      <c r="AJ305" s="1"/>
      <c r="AK305" s="1" t="s">
        <v>1004</v>
      </c>
      <c r="AL305" s="9">
        <f t="shared" si="65"/>
        <v>1</v>
      </c>
    </row>
    <row r="306" spans="1:38" ht="15" x14ac:dyDescent="0.25">
      <c r="A306" s="1" t="s">
        <v>1005</v>
      </c>
      <c r="B306" s="1" t="s">
        <v>1006</v>
      </c>
      <c r="C306" s="1" t="s">
        <v>643</v>
      </c>
      <c r="D306" s="1" t="s">
        <v>643</v>
      </c>
      <c r="E306" s="6">
        <v>1999.29</v>
      </c>
      <c r="F306" s="1" t="s">
        <v>40</v>
      </c>
      <c r="G306" s="6">
        <f ca="1">IFERROR(__xludf.DUMMYFUNCTION("iferror(GOOGLEFINANCE(TRIM(F306)&amp;"":"" &amp; TRIM(B306), ""price""),0
)"),882.75)</f>
        <v>882.75</v>
      </c>
      <c r="H306" s="6">
        <v>1115.3</v>
      </c>
      <c r="I306" s="6">
        <f t="shared" ca="1" si="0"/>
        <v>882.75</v>
      </c>
      <c r="J306" s="6">
        <f ca="1">IFERROR(__xludf.DUMMYFUNCTION("IFERROR(GOOGLEFINANCE(B306, ""volume""), 0)"),205051)</f>
        <v>205051</v>
      </c>
      <c r="K306" s="6">
        <v>0.69</v>
      </c>
      <c r="L306" s="6">
        <f ca="1">IFERROR(__xludf.DUMMYFUNCTION("IFERROR(GOOGLEFINANCE(B306,""changepct""),K306)"),6.33)</f>
        <v>6.33</v>
      </c>
      <c r="M306" s="6">
        <f ca="1">IFERROR(__xludf.DUMMYFUNCTION("IFERROR(GOOGLEFINANCE(B306,""change""),0)"),52.55)</f>
        <v>52.55</v>
      </c>
      <c r="N306" s="6">
        <v>2</v>
      </c>
      <c r="O306" s="7">
        <v>45536</v>
      </c>
      <c r="P306" s="6">
        <v>87.19</v>
      </c>
      <c r="Q306" s="6">
        <v>2052.58</v>
      </c>
      <c r="R306" s="7">
        <v>42156</v>
      </c>
      <c r="S306" s="6">
        <v>292.87</v>
      </c>
      <c r="T306" s="6">
        <v>10.71</v>
      </c>
      <c r="U306" s="7">
        <v>42156</v>
      </c>
      <c r="V306" s="6">
        <v>186.64</v>
      </c>
      <c r="W306" s="6">
        <f ca="1">IFERROR(__xludf.DUMMYFUNCTION("IFERROR(GOOGLEFINANCE(B306,""pe""),V306)"),19.52)</f>
        <v>19.52</v>
      </c>
      <c r="X306" s="6">
        <v>17.22</v>
      </c>
      <c r="Y306" s="9"/>
      <c r="Z306" s="6">
        <v>1</v>
      </c>
      <c r="AA306" s="8">
        <v>45352</v>
      </c>
      <c r="AB306" s="4">
        <v>0.25</v>
      </c>
      <c r="AC306" s="6">
        <v>13.06</v>
      </c>
      <c r="AD306" s="6">
        <v>14.61</v>
      </c>
      <c r="AE306" s="1">
        <v>0</v>
      </c>
      <c r="AF306" s="1">
        <f ca="1">IFERROR(__xludf.DUMMYFUNCTION("IFERROR(GOOGLEFINANCE(TRIM(F306)&amp;"":"" &amp; TRIM(B306),""high52""),AE306)"),1496)</f>
        <v>1496</v>
      </c>
      <c r="AG306" s="1">
        <v>0</v>
      </c>
      <c r="AH306" s="1">
        <f ca="1">IFERROR(__xludf.DUMMYFUNCTION("IFERROR(GOOGLEFINANCE(TRIM(F306)&amp;"":"" &amp; TRIM(B306),""low52""),AE306)"),774.05)</f>
        <v>774.05</v>
      </c>
      <c r="AI306" s="1">
        <f ca="1">IFERROR(__xludf.DUMMYFUNCTION("IFERROR(GOOGLEFINANCE(B306,""eps""),0)"),45.22)</f>
        <v>45.22</v>
      </c>
      <c r="AJ306" s="1"/>
      <c r="AK306" s="1" t="s">
        <v>1007</v>
      </c>
      <c r="AL306" s="1" t="b">
        <f>ISNUMBER(AA306)</f>
        <v>1</v>
      </c>
    </row>
    <row r="307" spans="1:38" ht="15" x14ac:dyDescent="0.25">
      <c r="A307" s="1" t="s">
        <v>1008</v>
      </c>
      <c r="B307" s="1" t="s">
        <v>1009</v>
      </c>
      <c r="C307" s="1" t="s">
        <v>697</v>
      </c>
      <c r="D307" s="1" t="s">
        <v>697</v>
      </c>
      <c r="E307" s="6">
        <v>1903.58</v>
      </c>
      <c r="F307" s="1" t="s">
        <v>40</v>
      </c>
      <c r="G307" s="6">
        <f ca="1">IFERROR(__xludf.DUMMYFUNCTION("iferror(GOOGLEFINANCE(TRIM(F307)&amp;"":"" &amp; TRIM(B307), ""price""),0
)"),587.9)</f>
        <v>587.9</v>
      </c>
      <c r="H307" s="6">
        <v>1089</v>
      </c>
      <c r="I307" s="6">
        <f t="shared" ca="1" si="0"/>
        <v>587.9</v>
      </c>
      <c r="J307" s="6">
        <f ca="1">IFERROR(__xludf.DUMMYFUNCTION("IFERROR(GOOGLEFINANCE(B307, ""volume""), 0)"),74243)</f>
        <v>74243</v>
      </c>
      <c r="K307" s="6">
        <v>12.26</v>
      </c>
      <c r="L307" s="6">
        <f ca="1">IFERROR(__xludf.DUMMYFUNCTION("IFERROR(GOOGLEFINANCE(B307,""changepct""),K307)"),3.23)</f>
        <v>3.23</v>
      </c>
      <c r="M307" s="6">
        <f ca="1">IFERROR(__xludf.DUMMYFUNCTION("IFERROR(GOOGLEFINANCE(B307,""change""),0)"),18.4)</f>
        <v>18.399999999999999</v>
      </c>
      <c r="N307" s="6">
        <v>2</v>
      </c>
      <c r="O307" s="7">
        <v>45536</v>
      </c>
      <c r="P307" s="6">
        <v>500.46</v>
      </c>
      <c r="Q307" s="6">
        <v>2401.9699999999998</v>
      </c>
      <c r="R307" s="7">
        <v>45536</v>
      </c>
      <c r="S307" s="6">
        <v>372.46</v>
      </c>
      <c r="T307" s="6">
        <v>-103.56</v>
      </c>
      <c r="U307" s="7">
        <v>45536</v>
      </c>
      <c r="V307" s="6">
        <v>0</v>
      </c>
      <c r="W307" s="6">
        <f ca="1">IFERROR(__xludf.DUMMYFUNCTION("IFERROR(GOOGLEFINANCE(B307,""pe""),V307)"),0)</f>
        <v>0</v>
      </c>
      <c r="X307" s="9"/>
      <c r="Y307" s="6">
        <v>6.53</v>
      </c>
      <c r="Z307" s="6">
        <v>2</v>
      </c>
      <c r="AA307" s="8">
        <v>45352</v>
      </c>
      <c r="AB307" s="4">
        <v>1.34</v>
      </c>
      <c r="AC307" s="6">
        <v>-11.9</v>
      </c>
      <c r="AD307" s="6">
        <v>-4.5</v>
      </c>
      <c r="AE307" s="1">
        <v>0</v>
      </c>
      <c r="AF307" s="1">
        <f ca="1">IFERROR(__xludf.DUMMYFUNCTION("IFERROR(GOOGLEFINANCE(TRIM(F307)&amp;"":"" &amp; TRIM(B307),""high52""),AE307)"),999.96)</f>
        <v>999.96</v>
      </c>
      <c r="AG307" s="1">
        <v>0</v>
      </c>
      <c r="AH307" s="1">
        <f ca="1">IFERROR(__xludf.DUMMYFUNCTION("IFERROR(GOOGLEFINANCE(TRIM(F307)&amp;"":"" &amp; TRIM(B307),""low52""),AE307)"),554)</f>
        <v>554</v>
      </c>
      <c r="AI307" s="1">
        <f ca="1">IFERROR(__xludf.DUMMYFUNCTION("IFERROR(GOOGLEFINANCE(B307,""eps""),0)"),-56.65)</f>
        <v>-56.65</v>
      </c>
      <c r="AJ307" s="1"/>
      <c r="AK307" s="1" t="s">
        <v>1010</v>
      </c>
      <c r="AL307" s="9">
        <f>IF(AA307&lt;&gt;AB307,1,0)</f>
        <v>1</v>
      </c>
    </row>
    <row r="308" spans="1:38" ht="15" x14ac:dyDescent="0.25">
      <c r="A308" s="1" t="s">
        <v>1011</v>
      </c>
      <c r="B308" s="1" t="s">
        <v>1012</v>
      </c>
      <c r="C308" s="1" t="s">
        <v>90</v>
      </c>
      <c r="D308" s="1" t="s">
        <v>90</v>
      </c>
      <c r="E308" s="6">
        <v>50.51</v>
      </c>
      <c r="F308" s="1" t="s">
        <v>53</v>
      </c>
      <c r="G308" s="6">
        <f ca="1">IFERROR(__xludf.DUMMYFUNCTION("iferror(GOOGLEFINANCE(TRIM(F308)&amp;"":"" &amp; TRIM(B308), ""price""),0
)"),0)</f>
        <v>0</v>
      </c>
      <c r="H308" s="6">
        <v>121</v>
      </c>
      <c r="I308" s="6">
        <f t="shared" ca="1" si="0"/>
        <v>121</v>
      </c>
      <c r="J308" s="6">
        <f ca="1">IFERROR(__xludf.DUMMYFUNCTION("IFERROR(GOOGLEFINANCE(B308, ""volume""), 0)"),0)</f>
        <v>0</v>
      </c>
      <c r="K308" s="6">
        <v>-0.12</v>
      </c>
      <c r="L308" s="6">
        <f ca="1">IFERROR(__xludf.DUMMYFUNCTION("IFERROR(GOOGLEFINANCE(B308,""changepct""),K308)"),-0.12)</f>
        <v>-0.12</v>
      </c>
      <c r="M308" s="6">
        <f ca="1">IFERROR(__xludf.DUMMYFUNCTION("IFERROR(GOOGLEFINANCE(B308,""change""),0)"),0)</f>
        <v>0</v>
      </c>
      <c r="N308" s="6">
        <v>2</v>
      </c>
      <c r="O308" s="7">
        <v>45536</v>
      </c>
      <c r="P308" s="6">
        <v>0.2</v>
      </c>
      <c r="Q308" s="6">
        <v>50.7</v>
      </c>
      <c r="R308" s="7">
        <v>45536</v>
      </c>
      <c r="S308" s="6">
        <v>2.58</v>
      </c>
      <c r="T308" s="6">
        <v>3.91</v>
      </c>
      <c r="U308" s="7">
        <v>45536</v>
      </c>
      <c r="V308" s="6">
        <v>12.78</v>
      </c>
      <c r="W308" s="6">
        <f ca="1">IFERROR(__xludf.DUMMYFUNCTION("IFERROR(GOOGLEFINANCE(B308,""pe""),V308)"),12.78)</f>
        <v>12.78</v>
      </c>
      <c r="X308" s="6">
        <v>0.33</v>
      </c>
      <c r="Y308" s="6">
        <v>2.2599999999999998</v>
      </c>
      <c r="Z308" s="6">
        <v>2</v>
      </c>
      <c r="AA308" s="8">
        <v>45352</v>
      </c>
      <c r="AB308" s="4">
        <v>0.01</v>
      </c>
      <c r="AC308" s="6">
        <v>15.71</v>
      </c>
      <c r="AD308" s="6">
        <v>14.72</v>
      </c>
      <c r="AE308" s="1">
        <v>0</v>
      </c>
      <c r="AF308" s="1">
        <f ca="1">IFERROR(__xludf.DUMMYFUNCTION("IFERROR(GOOGLEFINANCE(TRIM(F308)&amp;"":"" &amp; TRIM(B308),""high52""),AE308)"),0)</f>
        <v>0</v>
      </c>
      <c r="AG308" s="1">
        <v>0</v>
      </c>
      <c r="AH308" s="1">
        <f ca="1">IFERROR(__xludf.DUMMYFUNCTION("IFERROR(GOOGLEFINANCE(TRIM(F308)&amp;"":"" &amp; TRIM(B308),""low52""),AE308)"),0)</f>
        <v>0</v>
      </c>
      <c r="AI308" s="1">
        <f ca="1">IFERROR(__xludf.DUMMYFUNCTION("IFERROR(GOOGLEFINANCE(B308,""eps""),0)"),0)</f>
        <v>0</v>
      </c>
      <c r="AJ308" s="1"/>
      <c r="AK308" s="1" t="s">
        <v>1013</v>
      </c>
      <c r="AL308" s="1" t="b">
        <f>ISNUMBER(AA308)</f>
        <v>1</v>
      </c>
    </row>
    <row r="309" spans="1:38" ht="15" x14ac:dyDescent="0.25">
      <c r="A309" s="1" t="s">
        <v>1014</v>
      </c>
      <c r="B309" s="1" t="s">
        <v>1015</v>
      </c>
      <c r="C309" s="1" t="s">
        <v>163</v>
      </c>
      <c r="D309" s="1" t="s">
        <v>163</v>
      </c>
      <c r="E309" s="6">
        <v>26067.09</v>
      </c>
      <c r="F309" s="1" t="s">
        <v>40</v>
      </c>
      <c r="G309" s="6">
        <f ca="1">IFERROR(__xludf.DUMMYFUNCTION("iferror(GOOGLEFINANCE(TRIM(F309)&amp;"":"" &amp; TRIM(B309), ""price""),0
)"),560)</f>
        <v>560</v>
      </c>
      <c r="H309" s="6">
        <v>524.1</v>
      </c>
      <c r="I309" s="6">
        <f t="shared" ca="1" si="0"/>
        <v>560</v>
      </c>
      <c r="J309" s="6">
        <f ca="1">IFERROR(__xludf.DUMMYFUNCTION("IFERROR(GOOGLEFINANCE(B309, ""volume""), 0)"),1185315)</f>
        <v>1185315</v>
      </c>
      <c r="K309" s="6">
        <v>0.38</v>
      </c>
      <c r="L309" s="6">
        <f ca="1">IFERROR(__xludf.DUMMYFUNCTION("IFERROR(GOOGLEFINANCE(B309,""changepct""),K309)"),-1.82)</f>
        <v>-1.82</v>
      </c>
      <c r="M309" s="6">
        <f ca="1">IFERROR(__xludf.DUMMYFUNCTION("IFERROR(GOOGLEFINANCE(B309,""change""),0)"),-10.4)</f>
        <v>-10.4</v>
      </c>
      <c r="N309" s="6">
        <v>2</v>
      </c>
      <c r="O309" s="7">
        <v>45536</v>
      </c>
      <c r="P309" s="6">
        <v>590.54</v>
      </c>
      <c r="Q309" s="6">
        <v>25080.89</v>
      </c>
      <c r="R309" s="7">
        <v>45536</v>
      </c>
      <c r="S309" s="6">
        <v>6772.51</v>
      </c>
      <c r="T309" s="6">
        <v>454.35</v>
      </c>
      <c r="U309" s="7">
        <v>45536</v>
      </c>
      <c r="V309" s="6">
        <v>4.83</v>
      </c>
      <c r="W309" s="6">
        <f ca="1">IFERROR(__xludf.DUMMYFUNCTION("IFERROR(GOOGLEFINANCE(B309,""pe""),V309)"),85.81)</f>
        <v>85.81</v>
      </c>
      <c r="X309" s="6">
        <v>-0.28000000000000003</v>
      </c>
      <c r="Y309" s="6">
        <v>7.59</v>
      </c>
      <c r="Z309" s="6">
        <v>2</v>
      </c>
      <c r="AA309" s="8">
        <v>45352</v>
      </c>
      <c r="AB309" s="4">
        <v>0.42</v>
      </c>
      <c r="AC309" s="6">
        <v>4.97</v>
      </c>
      <c r="AD309" s="6">
        <v>5.76</v>
      </c>
      <c r="AE309" s="1">
        <v>0</v>
      </c>
      <c r="AF309" s="1">
        <f ca="1">IFERROR(__xludf.DUMMYFUNCTION("IFERROR(GOOGLEFINANCE(TRIM(F309)&amp;"":"" &amp; TRIM(B309),""high52""),AE309)"),732.2)</f>
        <v>732.2</v>
      </c>
      <c r="AG309" s="1">
        <v>0</v>
      </c>
      <c r="AH309" s="1">
        <f ca="1">IFERROR(__xludf.DUMMYFUNCTION("IFERROR(GOOGLEFINANCE(TRIM(F309)&amp;"":"" &amp; TRIM(B309),""low52""),AE309)"),387.1)</f>
        <v>387.1</v>
      </c>
      <c r="AI309" s="1">
        <f ca="1">IFERROR(__xludf.DUMMYFUNCTION("IFERROR(GOOGLEFINANCE(B309,""eps""),0)"),6.53)</f>
        <v>6.53</v>
      </c>
      <c r="AJ309" s="1"/>
      <c r="AK309" s="1" t="s">
        <v>1016</v>
      </c>
      <c r="AL309" s="9">
        <f t="shared" ref="AL309:AL310" si="66">IF(AA309&lt;&gt;AB309,1,0)</f>
        <v>1</v>
      </c>
    </row>
    <row r="310" spans="1:38" ht="15" x14ac:dyDescent="0.25">
      <c r="A310" s="1" t="s">
        <v>1017</v>
      </c>
      <c r="B310" s="1" t="s">
        <v>1018</v>
      </c>
      <c r="C310" s="1" t="s">
        <v>1019</v>
      </c>
      <c r="D310" s="1" t="s">
        <v>1019</v>
      </c>
      <c r="E310" s="6">
        <v>7464.1</v>
      </c>
      <c r="F310" s="1" t="s">
        <v>40</v>
      </c>
      <c r="G310" s="6">
        <f ca="1">IFERROR(__xludf.DUMMYFUNCTION("iferror(GOOGLEFINANCE(TRIM(F310)&amp;"":"" &amp; TRIM(B310), ""price""),0
)"),950)</f>
        <v>950</v>
      </c>
      <c r="H310" s="6">
        <v>790.65</v>
      </c>
      <c r="I310" s="6">
        <f t="shared" ca="1" si="0"/>
        <v>950</v>
      </c>
      <c r="J310" s="6">
        <f ca="1">IFERROR(__xludf.DUMMYFUNCTION("IFERROR(GOOGLEFINANCE(B310, ""volume""), 0)"),192283)</f>
        <v>192283</v>
      </c>
      <c r="K310" s="6">
        <v>0.56999999999999995</v>
      </c>
      <c r="L310" s="6">
        <f ca="1">IFERROR(__xludf.DUMMYFUNCTION("IFERROR(GOOGLEFINANCE(B310,""changepct""),K310)"),-0.35)</f>
        <v>-0.35</v>
      </c>
      <c r="M310" s="6">
        <f ca="1">IFERROR(__xludf.DUMMYFUNCTION("IFERROR(GOOGLEFINANCE(B310,""change""),0)"),-3.3)</f>
        <v>-3.3</v>
      </c>
      <c r="N310" s="6">
        <v>2</v>
      </c>
      <c r="O310" s="7">
        <v>45536</v>
      </c>
      <c r="P310" s="6">
        <v>306.45999999999998</v>
      </c>
      <c r="Q310" s="6">
        <v>7694.93</v>
      </c>
      <c r="R310" s="7">
        <v>45536</v>
      </c>
      <c r="S310" s="6">
        <v>969.76</v>
      </c>
      <c r="T310" s="6">
        <v>121.12</v>
      </c>
      <c r="U310" s="7">
        <v>45536</v>
      </c>
      <c r="V310" s="6">
        <v>57.25</v>
      </c>
      <c r="W310" s="6">
        <f ca="1">IFERROR(__xludf.DUMMYFUNCTION("IFERROR(GOOGLEFINANCE(B310,""pe""),V310)"),56.03)</f>
        <v>56.03</v>
      </c>
      <c r="X310" s="6">
        <v>0.87</v>
      </c>
      <c r="Y310" s="6">
        <v>7.61</v>
      </c>
      <c r="Z310" s="6">
        <v>2</v>
      </c>
      <c r="AA310" s="8">
        <v>45352</v>
      </c>
      <c r="AB310" s="4">
        <v>0.25</v>
      </c>
      <c r="AC310" s="6">
        <v>15.05</v>
      </c>
      <c r="AD310" s="6">
        <v>18.78</v>
      </c>
      <c r="AE310" s="1">
        <v>0</v>
      </c>
      <c r="AF310" s="1">
        <f ca="1">IFERROR(__xludf.DUMMYFUNCTION("IFERROR(GOOGLEFINANCE(TRIM(F310)&amp;"":"" &amp; TRIM(B310),""high52""),AE310)"),1195.9)</f>
        <v>1195.9000000000001</v>
      </c>
      <c r="AG310" s="1">
        <v>0</v>
      </c>
      <c r="AH310" s="1">
        <f ca="1">IFERROR(__xludf.DUMMYFUNCTION("IFERROR(GOOGLEFINANCE(TRIM(F310)&amp;"":"" &amp; TRIM(B310),""low52""),AE310)"),584.2)</f>
        <v>584.20000000000005</v>
      </c>
      <c r="AI310" s="1">
        <f ca="1">IFERROR(__xludf.DUMMYFUNCTION("IFERROR(GOOGLEFINANCE(B310,""eps""),0)"),16.96)</f>
        <v>16.96</v>
      </c>
      <c r="AJ310" s="1"/>
      <c r="AK310" s="1" t="s">
        <v>1020</v>
      </c>
      <c r="AL310" s="9">
        <f t="shared" si="66"/>
        <v>1</v>
      </c>
    </row>
    <row r="311" spans="1:38" ht="15" x14ac:dyDescent="0.25">
      <c r="A311" s="1" t="s">
        <v>1021</v>
      </c>
      <c r="B311" s="1" t="s">
        <v>1022</v>
      </c>
      <c r="C311" s="1" t="s">
        <v>90</v>
      </c>
      <c r="D311" s="1" t="s">
        <v>90</v>
      </c>
      <c r="E311" s="6">
        <v>55.3</v>
      </c>
      <c r="F311" s="1" t="s">
        <v>53</v>
      </c>
      <c r="G311" s="6">
        <f ca="1">IFERROR(__xludf.DUMMYFUNCTION("iferror(GOOGLEFINANCE(TRIM(F311)&amp;"":"" &amp; TRIM(B311), ""price""),0
)"),0)</f>
        <v>0</v>
      </c>
      <c r="H311" s="6">
        <v>53.01</v>
      </c>
      <c r="I311" s="6">
        <f t="shared" ca="1" si="0"/>
        <v>53.01</v>
      </c>
      <c r="J311" s="6">
        <f ca="1">IFERROR(__xludf.DUMMYFUNCTION("IFERROR(GOOGLEFINANCE(B311, ""volume""), 0)"),0)</f>
        <v>0</v>
      </c>
      <c r="K311" s="6">
        <v>-3.95</v>
      </c>
      <c r="L311" s="6">
        <f ca="1">IFERROR(__xludf.DUMMYFUNCTION("IFERROR(GOOGLEFINANCE(B311,""changepct""),K311)"),-3.95)</f>
        <v>-3.95</v>
      </c>
      <c r="M311" s="6">
        <f ca="1">IFERROR(__xludf.DUMMYFUNCTION("IFERROR(GOOGLEFINANCE(B311,""change""),0)"),0)</f>
        <v>0</v>
      </c>
      <c r="N311" s="6">
        <v>2</v>
      </c>
      <c r="O311" s="7">
        <v>45536</v>
      </c>
      <c r="P311" s="12"/>
      <c r="Q311" s="6">
        <v>55.3</v>
      </c>
      <c r="R311" s="7">
        <v>45536</v>
      </c>
      <c r="S311" s="6">
        <v>5.86</v>
      </c>
      <c r="T311" s="6">
        <v>13.57</v>
      </c>
      <c r="U311" s="7">
        <v>45536</v>
      </c>
      <c r="V311" s="6">
        <v>6.98</v>
      </c>
      <c r="W311" s="6">
        <f ca="1">IFERROR(__xludf.DUMMYFUNCTION("IFERROR(GOOGLEFINANCE(B311,""pe""),V311)"),6.98)</f>
        <v>6.98</v>
      </c>
      <c r="X311" s="6">
        <v>0.04</v>
      </c>
      <c r="Y311" s="6">
        <v>1.92</v>
      </c>
      <c r="Z311" s="6">
        <v>2</v>
      </c>
      <c r="AA311" s="8">
        <v>45352</v>
      </c>
      <c r="AB311" s="4">
        <v>0</v>
      </c>
      <c r="AC311" s="6">
        <v>44.72</v>
      </c>
      <c r="AD311" s="6">
        <v>55.28</v>
      </c>
      <c r="AE311" s="1">
        <v>0</v>
      </c>
      <c r="AF311" s="1">
        <f ca="1">IFERROR(__xludf.DUMMYFUNCTION("IFERROR(GOOGLEFINANCE(TRIM(F311)&amp;"":"" &amp; TRIM(B311),""high52""),AE311)"),0)</f>
        <v>0</v>
      </c>
      <c r="AG311" s="1">
        <v>0</v>
      </c>
      <c r="AH311" s="1">
        <f ca="1">IFERROR(__xludf.DUMMYFUNCTION("IFERROR(GOOGLEFINANCE(TRIM(F311)&amp;"":"" &amp; TRIM(B311),""low52""),AE311)"),0)</f>
        <v>0</v>
      </c>
      <c r="AI311" s="1">
        <f ca="1">IFERROR(__xludf.DUMMYFUNCTION("IFERROR(GOOGLEFINANCE(B311,""eps""),0)"),0)</f>
        <v>0</v>
      </c>
      <c r="AJ311" s="1"/>
      <c r="AK311" s="1" t="s">
        <v>1023</v>
      </c>
      <c r="AL311" s="1" t="b">
        <f>ISNUMBER(AA311)</f>
        <v>1</v>
      </c>
    </row>
    <row r="312" spans="1:38" ht="15" x14ac:dyDescent="0.25">
      <c r="A312" s="1" t="s">
        <v>1024</v>
      </c>
      <c r="B312" s="1" t="s">
        <v>1025</v>
      </c>
      <c r="C312" s="1" t="s">
        <v>82</v>
      </c>
      <c r="D312" s="1" t="s">
        <v>82</v>
      </c>
      <c r="E312" s="6">
        <v>44234.74</v>
      </c>
      <c r="F312" s="1" t="s">
        <v>40</v>
      </c>
      <c r="G312" s="6">
        <f ca="1">IFERROR(__xludf.DUMMYFUNCTION("iferror(GOOGLEFINANCE(TRIM(F312)&amp;"":"" &amp; TRIM(B312), ""price""),0
)"),1467)</f>
        <v>1467</v>
      </c>
      <c r="H312" s="6">
        <v>1630.35</v>
      </c>
      <c r="I312" s="6">
        <f t="shared" ca="1" si="0"/>
        <v>1467</v>
      </c>
      <c r="J312" s="6">
        <f ca="1">IFERROR(__xludf.DUMMYFUNCTION("IFERROR(GOOGLEFINANCE(B312, ""volume""), 0)"),243894)</f>
        <v>243894</v>
      </c>
      <c r="K312" s="6">
        <v>-1.03</v>
      </c>
      <c r="L312" s="6">
        <f ca="1">IFERROR(__xludf.DUMMYFUNCTION("IFERROR(GOOGLEFINANCE(B312,""changepct""),K312)"),0.22)</f>
        <v>0.22</v>
      </c>
      <c r="M312" s="6">
        <f ca="1">IFERROR(__xludf.DUMMYFUNCTION("IFERROR(GOOGLEFINANCE(B312,""change""),0)"),3.2)</f>
        <v>3.2</v>
      </c>
      <c r="N312" s="6">
        <v>2</v>
      </c>
      <c r="O312" s="7">
        <v>45536</v>
      </c>
      <c r="P312" s="6">
        <v>106.8</v>
      </c>
      <c r="Q312" s="6">
        <v>43984.639999999999</v>
      </c>
      <c r="R312" s="7">
        <v>45536</v>
      </c>
      <c r="S312" s="6">
        <v>5749.3</v>
      </c>
      <c r="T312" s="6">
        <v>522.9</v>
      </c>
      <c r="U312" s="7">
        <v>45536</v>
      </c>
      <c r="V312" s="6">
        <v>84.18</v>
      </c>
      <c r="W312" s="6">
        <f ca="1">IFERROR(__xludf.DUMMYFUNCTION("IFERROR(GOOGLEFINANCE(B312,""pe""),V312)"),77.34)</f>
        <v>77.34</v>
      </c>
      <c r="X312" s="6">
        <v>3.7</v>
      </c>
      <c r="Y312" s="6">
        <v>13.14</v>
      </c>
      <c r="Z312" s="6">
        <v>2</v>
      </c>
      <c r="AA312" s="8">
        <v>45352</v>
      </c>
      <c r="AB312" s="4">
        <v>0.03</v>
      </c>
      <c r="AC312" s="6">
        <v>18.52</v>
      </c>
      <c r="AD312" s="6">
        <v>25.13</v>
      </c>
      <c r="AE312" s="1">
        <v>0</v>
      </c>
      <c r="AF312" s="1">
        <f ca="1">IFERROR(__xludf.DUMMYFUNCTION("IFERROR(GOOGLEFINANCE(TRIM(F312)&amp;"":"" &amp; TRIM(B312),""high52""),AE312)"),1593.5)</f>
        <v>1593.5</v>
      </c>
      <c r="AG312" s="1">
        <v>0</v>
      </c>
      <c r="AH312" s="1">
        <f ca="1">IFERROR(__xludf.DUMMYFUNCTION("IFERROR(GOOGLEFINANCE(TRIM(F312)&amp;"":"" &amp; TRIM(B312),""low52""),AE312)"),1232.3)</f>
        <v>1232.3</v>
      </c>
      <c r="AI312" s="1">
        <f ca="1">IFERROR(__xludf.DUMMYFUNCTION("IFERROR(GOOGLEFINANCE(B312,""eps""),0)"),18.97)</f>
        <v>18.97</v>
      </c>
      <c r="AJ312" s="1"/>
      <c r="AK312" s="1" t="s">
        <v>1026</v>
      </c>
      <c r="AL312" s="9">
        <f t="shared" ref="AL312:AL314" si="67">IF(AA312&lt;&gt;AB312,1,0)</f>
        <v>1</v>
      </c>
    </row>
    <row r="313" spans="1:38" ht="15" x14ac:dyDescent="0.25">
      <c r="A313" s="1" t="s">
        <v>1027</v>
      </c>
      <c r="B313" s="1" t="s">
        <v>1028</v>
      </c>
      <c r="C313" s="1" t="s">
        <v>106</v>
      </c>
      <c r="D313" s="1" t="s">
        <v>106</v>
      </c>
      <c r="E313" s="6">
        <v>17844.38</v>
      </c>
      <c r="F313" s="1" t="s">
        <v>40</v>
      </c>
      <c r="G313" s="6">
        <f ca="1">IFERROR(__xludf.DUMMYFUNCTION("iferror(GOOGLEFINANCE(TRIM(F313)&amp;"":"" &amp; TRIM(B313), ""price""),0
)"),8611)</f>
        <v>8611</v>
      </c>
      <c r="H313" s="6">
        <v>7094.55</v>
      </c>
      <c r="I313" s="6">
        <f t="shared" ca="1" si="0"/>
        <v>8611</v>
      </c>
      <c r="J313" s="6">
        <f ca="1">IFERROR(__xludf.DUMMYFUNCTION("IFERROR(GOOGLEFINANCE(B313, ""volume""), 0)"),3562)</f>
        <v>3562</v>
      </c>
      <c r="K313" s="6">
        <v>-0.56000000000000005</v>
      </c>
      <c r="L313" s="6">
        <f ca="1">IFERROR(__xludf.DUMMYFUNCTION("IFERROR(GOOGLEFINANCE(B313,""changepct""),K313)"),0.14)</f>
        <v>0.14000000000000001</v>
      </c>
      <c r="M313" s="6">
        <f ca="1">IFERROR(__xludf.DUMMYFUNCTION("IFERROR(GOOGLEFINANCE(B313,""change""),0)"),12)</f>
        <v>12</v>
      </c>
      <c r="N313" s="6">
        <v>1</v>
      </c>
      <c r="O313" s="7">
        <v>45536</v>
      </c>
      <c r="P313" s="9"/>
      <c r="Q313" s="6">
        <v>17347.599999999999</v>
      </c>
      <c r="R313" s="7">
        <v>45536</v>
      </c>
      <c r="S313" s="6">
        <v>1484.51</v>
      </c>
      <c r="T313" s="6">
        <v>81.92</v>
      </c>
      <c r="U313" s="7">
        <v>45536</v>
      </c>
      <c r="V313" s="6">
        <v>217.83</v>
      </c>
      <c r="W313" s="6">
        <f ca="1">IFERROR(__xludf.DUMMYFUNCTION("IFERROR(GOOGLEFINANCE(B313,""pe""),V313)"),108.07)</f>
        <v>108.07</v>
      </c>
      <c r="X313" s="6">
        <v>9.73</v>
      </c>
      <c r="Y313" s="6">
        <v>26.27</v>
      </c>
      <c r="Z313" s="6">
        <v>1</v>
      </c>
      <c r="AA313" s="8">
        <v>45352</v>
      </c>
      <c r="AB313" s="4">
        <v>0</v>
      </c>
      <c r="AC313" s="6">
        <v>24.95</v>
      </c>
      <c r="AD313" s="6">
        <v>33.94</v>
      </c>
      <c r="AE313" s="1">
        <v>0</v>
      </c>
      <c r="AF313" s="1">
        <f ca="1">IFERROR(__xludf.DUMMYFUNCTION("IFERROR(GOOGLEFINANCE(TRIM(F313)&amp;"":"" &amp; TRIM(B313),""high52""),AE313)"),10691)</f>
        <v>10691</v>
      </c>
      <c r="AG313" s="1">
        <v>0</v>
      </c>
      <c r="AH313" s="1">
        <f ca="1">IFERROR(__xludf.DUMMYFUNCTION("IFERROR(GOOGLEFINANCE(TRIM(F313)&amp;"":"" &amp; TRIM(B313),""low52""),AE313)"),6620.1)</f>
        <v>6620.1</v>
      </c>
      <c r="AI313" s="1">
        <f ca="1">IFERROR(__xludf.DUMMYFUNCTION("IFERROR(GOOGLEFINANCE(B313,""eps""),0)"),79.68)</f>
        <v>79.680000000000007</v>
      </c>
      <c r="AJ313" s="1"/>
      <c r="AK313" s="1" t="s">
        <v>1029</v>
      </c>
      <c r="AL313" s="9">
        <f t="shared" si="67"/>
        <v>1</v>
      </c>
    </row>
    <row r="314" spans="1:38" ht="15" x14ac:dyDescent="0.25">
      <c r="A314" s="1" t="s">
        <v>1030</v>
      </c>
      <c r="B314" s="1" t="s">
        <v>1031</v>
      </c>
      <c r="C314" s="1" t="s">
        <v>373</v>
      </c>
      <c r="D314" s="1" t="s">
        <v>373</v>
      </c>
      <c r="E314" s="6">
        <v>103.6</v>
      </c>
      <c r="F314" s="1" t="s">
        <v>40</v>
      </c>
      <c r="G314" s="6">
        <f ca="1">IFERROR(__xludf.DUMMYFUNCTION("iferror(GOOGLEFINANCE(TRIM(F314)&amp;"":"" &amp; TRIM(B314), ""price""),0
)"),4.23)</f>
        <v>4.2300000000000004</v>
      </c>
      <c r="H314" s="6">
        <v>22.57</v>
      </c>
      <c r="I314" s="6">
        <f t="shared" ca="1" si="0"/>
        <v>4.2300000000000004</v>
      </c>
      <c r="J314" s="6">
        <f ca="1">IFERROR(__xludf.DUMMYFUNCTION("IFERROR(GOOGLEFINANCE(B314, ""volume""), 0)"),99442)</f>
        <v>99442</v>
      </c>
      <c r="K314" s="6">
        <v>0.49</v>
      </c>
      <c r="L314" s="6">
        <f ca="1">IFERROR(__xludf.DUMMYFUNCTION("IFERROR(GOOGLEFINANCE(B314,""changepct""),K314)"),-4.94)</f>
        <v>-4.9400000000000004</v>
      </c>
      <c r="M314" s="6">
        <f ca="1">IFERROR(__xludf.DUMMYFUNCTION("IFERROR(GOOGLEFINANCE(B314,""change""),0)"),-0.22)</f>
        <v>-0.22</v>
      </c>
      <c r="N314" s="6">
        <v>2</v>
      </c>
      <c r="O314" s="7">
        <v>45536</v>
      </c>
      <c r="P314" s="6">
        <v>84.34</v>
      </c>
      <c r="Q314" s="6">
        <v>187.94</v>
      </c>
      <c r="R314" s="7">
        <v>45536</v>
      </c>
      <c r="S314" s="6">
        <v>245.71</v>
      </c>
      <c r="T314" s="6">
        <v>-25.1</v>
      </c>
      <c r="U314" s="7">
        <v>45536</v>
      </c>
      <c r="V314" s="6">
        <v>0</v>
      </c>
      <c r="W314" s="6">
        <f ca="1">IFERROR(__xludf.DUMMYFUNCTION("IFERROR(GOOGLEFINANCE(B314,""pe""),V314)"),0)</f>
        <v>0</v>
      </c>
      <c r="X314" s="12"/>
      <c r="Y314" s="6">
        <v>0.79</v>
      </c>
      <c r="Z314" s="6">
        <v>2</v>
      </c>
      <c r="AA314" s="8">
        <v>45352</v>
      </c>
      <c r="AB314" s="4">
        <v>0.56000000000000005</v>
      </c>
      <c r="AC314" s="6">
        <v>-7.3</v>
      </c>
      <c r="AD314" s="6">
        <v>-1.85</v>
      </c>
      <c r="AE314" s="1">
        <v>0</v>
      </c>
      <c r="AF314" s="1">
        <f ca="1">IFERROR(__xludf.DUMMYFUNCTION("IFERROR(GOOGLEFINANCE(TRIM(F314)&amp;"":"" &amp; TRIM(B314),""high52""),AE314)"),20.93)</f>
        <v>20.93</v>
      </c>
      <c r="AG314" s="1">
        <v>0</v>
      </c>
      <c r="AH314" s="1">
        <f ca="1">IFERROR(__xludf.DUMMYFUNCTION("IFERROR(GOOGLEFINANCE(TRIM(F314)&amp;"":"" &amp; TRIM(B314),""low52""),AE314)"),4.23)</f>
        <v>4.2300000000000004</v>
      </c>
      <c r="AI314" s="1">
        <f ca="1">IFERROR(__xludf.DUMMYFUNCTION("IFERROR(GOOGLEFINANCE(B314,""eps""),0)"),-10.61)</f>
        <v>-10.61</v>
      </c>
      <c r="AJ314" s="1"/>
      <c r="AK314" s="1" t="s">
        <v>1032</v>
      </c>
      <c r="AL314" s="9">
        <f t="shared" si="67"/>
        <v>1</v>
      </c>
    </row>
    <row r="315" spans="1:38" ht="15" x14ac:dyDescent="0.25">
      <c r="A315" s="1" t="s">
        <v>1033</v>
      </c>
      <c r="B315" s="1" t="s">
        <v>1034</v>
      </c>
      <c r="C315" s="1" t="s">
        <v>90</v>
      </c>
      <c r="D315" s="1" t="s">
        <v>90</v>
      </c>
      <c r="E315" s="6">
        <v>7836.08</v>
      </c>
      <c r="F315" s="1" t="s">
        <v>53</v>
      </c>
      <c r="G315" s="6">
        <f ca="1">IFERROR(__xludf.DUMMYFUNCTION("iferror(GOOGLEFINANCE(TRIM(F315)&amp;"":"" &amp; TRIM(B315), ""price""),0
)"),0)</f>
        <v>0</v>
      </c>
      <c r="H315" s="6">
        <v>1937.65</v>
      </c>
      <c r="I315" s="6">
        <f t="shared" ca="1" si="0"/>
        <v>1937.65</v>
      </c>
      <c r="J315" s="6">
        <f ca="1">IFERROR(__xludf.DUMMYFUNCTION("IFERROR(GOOGLEFINANCE(B315, ""volume""), 0)"),146138)</f>
        <v>146138</v>
      </c>
      <c r="K315" s="6">
        <v>0.26</v>
      </c>
      <c r="L315" s="6">
        <f ca="1">IFERROR(__xludf.DUMMYFUNCTION("IFERROR(GOOGLEFINANCE(B315,""changepct""),K315)"),0.06)</f>
        <v>0.06</v>
      </c>
      <c r="M315" s="6">
        <f ca="1">IFERROR(__xludf.DUMMYFUNCTION("IFERROR(GOOGLEFINANCE(B315,""change""),0)"),0.35)</f>
        <v>0.35</v>
      </c>
      <c r="N315" s="6">
        <v>2</v>
      </c>
      <c r="O315" s="7">
        <v>45536</v>
      </c>
      <c r="P315" s="9"/>
      <c r="Q315" s="6">
        <v>7670.13</v>
      </c>
      <c r="R315" s="7">
        <v>45536</v>
      </c>
      <c r="S315" s="6">
        <v>842.18</v>
      </c>
      <c r="T315" s="6">
        <v>83.65</v>
      </c>
      <c r="U315" s="7">
        <v>45536</v>
      </c>
      <c r="V315" s="6">
        <v>93.68</v>
      </c>
      <c r="W315" s="6">
        <f ca="1">IFERROR(__xludf.DUMMYFUNCTION("IFERROR(GOOGLEFINANCE(B315,""pe""),V315)"),27.25)</f>
        <v>27.25</v>
      </c>
      <c r="X315" s="9"/>
      <c r="Y315" s="6">
        <v>8.26</v>
      </c>
      <c r="Z315" s="6">
        <v>2</v>
      </c>
      <c r="AA315" s="8">
        <v>45352</v>
      </c>
      <c r="AB315" s="4">
        <v>0</v>
      </c>
      <c r="AC315" s="6">
        <v>11.02</v>
      </c>
      <c r="AD315" s="6">
        <v>14.53</v>
      </c>
      <c r="AE315" s="1">
        <v>0</v>
      </c>
      <c r="AF315" s="1">
        <f ca="1">IFERROR(__xludf.DUMMYFUNCTION("IFERROR(GOOGLEFINANCE(TRIM(F315)&amp;"":"" &amp; TRIM(B315),""high52""),AE315)"),0)</f>
        <v>0</v>
      </c>
      <c r="AG315" s="1">
        <v>0</v>
      </c>
      <c r="AH315" s="1">
        <f ca="1">IFERROR(__xludf.DUMMYFUNCTION("IFERROR(GOOGLEFINANCE(TRIM(F315)&amp;"":"" &amp; TRIM(B315),""low52""),AE315)"),0)</f>
        <v>0</v>
      </c>
      <c r="AI315" s="1">
        <f ca="1">IFERROR(__xludf.DUMMYFUNCTION("IFERROR(GOOGLEFINANCE(B315,""eps""),0)"),22.33)</f>
        <v>22.33</v>
      </c>
      <c r="AJ315" s="1"/>
      <c r="AK315" s="1" t="s">
        <v>1035</v>
      </c>
      <c r="AL315" s="1" t="b">
        <f>ISNUMBER(AA315)</f>
        <v>1</v>
      </c>
    </row>
    <row r="316" spans="1:38" ht="15" x14ac:dyDescent="0.25">
      <c r="A316" s="1" t="s">
        <v>1036</v>
      </c>
      <c r="B316" s="1" t="s">
        <v>1037</v>
      </c>
      <c r="C316" s="1" t="s">
        <v>487</v>
      </c>
      <c r="D316" s="1" t="s">
        <v>487</v>
      </c>
      <c r="E316" s="6">
        <v>157.86000000000001</v>
      </c>
      <c r="F316" s="1" t="s">
        <v>40</v>
      </c>
      <c r="G316" s="6">
        <f ca="1">IFERROR(__xludf.DUMMYFUNCTION("iferror(GOOGLEFINANCE(TRIM(F316)&amp;"":"" &amp; TRIM(B316), ""price""),0
)"),26)</f>
        <v>26</v>
      </c>
      <c r="H316" s="6">
        <v>13.94</v>
      </c>
      <c r="I316" s="6">
        <f t="shared" ca="1" si="0"/>
        <v>26</v>
      </c>
      <c r="J316" s="6">
        <f ca="1">IFERROR(__xludf.DUMMYFUNCTION("IFERROR(GOOGLEFINANCE(B316, ""volume""), 0)"),1442059)</f>
        <v>1442059</v>
      </c>
      <c r="K316" s="6">
        <v>-2.04</v>
      </c>
      <c r="L316" s="6">
        <f ca="1">IFERROR(__xludf.DUMMYFUNCTION("IFERROR(GOOGLEFINANCE(B316,""changepct""),K316)"),-2.4)</f>
        <v>-2.4</v>
      </c>
      <c r="M316" s="6">
        <f ca="1">IFERROR(__xludf.DUMMYFUNCTION("IFERROR(GOOGLEFINANCE(B316,""change""),0)"),-0.64)</f>
        <v>-0.64</v>
      </c>
      <c r="N316" s="6">
        <v>1</v>
      </c>
      <c r="O316" s="7">
        <v>45536</v>
      </c>
      <c r="P316" s="6">
        <v>19.21</v>
      </c>
      <c r="Q316" s="6">
        <v>177.07</v>
      </c>
      <c r="R316" s="7">
        <v>45536</v>
      </c>
      <c r="S316" s="6">
        <v>62.87</v>
      </c>
      <c r="T316" s="6">
        <v>3.57</v>
      </c>
      <c r="U316" s="7">
        <v>45536</v>
      </c>
      <c r="V316" s="6">
        <v>44.17</v>
      </c>
      <c r="W316" s="6">
        <f ca="1">IFERROR(__xludf.DUMMYFUNCTION("IFERROR(GOOGLEFINANCE(B316,""pe""),V316)"),90.78)</f>
        <v>90.78</v>
      </c>
      <c r="X316" s="12"/>
      <c r="Y316" s="6">
        <v>2.41</v>
      </c>
      <c r="Z316" s="6">
        <v>1</v>
      </c>
      <c r="AA316" s="8">
        <v>45352</v>
      </c>
      <c r="AB316" s="4">
        <v>0.24</v>
      </c>
      <c r="AC316" s="6">
        <v>5.86</v>
      </c>
      <c r="AD316" s="6">
        <v>10.42</v>
      </c>
      <c r="AE316" s="1">
        <v>0</v>
      </c>
      <c r="AF316" s="1">
        <f ca="1">IFERROR(__xludf.DUMMYFUNCTION("IFERROR(GOOGLEFINANCE(TRIM(F316)&amp;"":"" &amp; TRIM(B316),""high52""),AE316)"),29.2)</f>
        <v>29.2</v>
      </c>
      <c r="AG316" s="1">
        <v>0</v>
      </c>
      <c r="AH316" s="1">
        <f ca="1">IFERROR(__xludf.DUMMYFUNCTION("IFERROR(GOOGLEFINANCE(TRIM(F316)&amp;"":"" &amp; TRIM(B316),""low52""),AE316)"),11.15)</f>
        <v>11.15</v>
      </c>
      <c r="AI316" s="1">
        <f ca="1">IFERROR(__xludf.DUMMYFUNCTION("IFERROR(GOOGLEFINANCE(B316,""eps""),0)"),0.29)</f>
        <v>0.28999999999999998</v>
      </c>
      <c r="AJ316" s="1"/>
      <c r="AK316" s="1" t="s">
        <v>1038</v>
      </c>
      <c r="AL316" s="9">
        <f>IF(AA316&lt;&gt;AB316,1,0)</f>
        <v>1</v>
      </c>
    </row>
    <row r="317" spans="1:38" ht="15" x14ac:dyDescent="0.25">
      <c r="A317" s="1" t="s">
        <v>1039</v>
      </c>
      <c r="B317" s="1" t="s">
        <v>1040</v>
      </c>
      <c r="C317" s="1" t="s">
        <v>90</v>
      </c>
      <c r="D317" s="1" t="s">
        <v>90</v>
      </c>
      <c r="E317" s="6">
        <v>89.82</v>
      </c>
      <c r="F317" s="1" t="s">
        <v>53</v>
      </c>
      <c r="G317" s="6">
        <f ca="1">IFERROR(__xludf.DUMMYFUNCTION("iferror(GOOGLEFINANCE(TRIM(F317)&amp;"":"" &amp; TRIM(B317), ""price""),0
)"),0)</f>
        <v>0</v>
      </c>
      <c r="H317" s="6">
        <v>74.5</v>
      </c>
      <c r="I317" s="6">
        <f t="shared" ca="1" si="0"/>
        <v>74.5</v>
      </c>
      <c r="J317" s="6">
        <f ca="1">IFERROR(__xludf.DUMMYFUNCTION("IFERROR(GOOGLEFINANCE(B317, ""volume""), 0)"),0)</f>
        <v>0</v>
      </c>
      <c r="K317" s="6">
        <v>-1.57</v>
      </c>
      <c r="L317" s="6">
        <f ca="1">IFERROR(__xludf.DUMMYFUNCTION("IFERROR(GOOGLEFINANCE(B317,""changepct""),K317)"),-1.57)</f>
        <v>-1.57</v>
      </c>
      <c r="M317" s="6">
        <f ca="1">IFERROR(__xludf.DUMMYFUNCTION("IFERROR(GOOGLEFINANCE(B317,""change""),0)"),0)</f>
        <v>0</v>
      </c>
      <c r="N317" s="6">
        <v>1</v>
      </c>
      <c r="O317" s="7">
        <v>45536</v>
      </c>
      <c r="P317" s="6">
        <v>14.72</v>
      </c>
      <c r="Q317" s="6">
        <v>104.54</v>
      </c>
      <c r="R317" s="7">
        <v>45536</v>
      </c>
      <c r="S317" s="6">
        <v>204.64</v>
      </c>
      <c r="T317" s="6">
        <v>5.55</v>
      </c>
      <c r="U317" s="7">
        <v>45536</v>
      </c>
      <c r="V317" s="6">
        <v>16.190000000000001</v>
      </c>
      <c r="W317" s="6">
        <f ca="1">IFERROR(__xludf.DUMMYFUNCTION("IFERROR(GOOGLEFINANCE(B317,""pe""),V317)"),16.19)</f>
        <v>16.190000000000001</v>
      </c>
      <c r="X317" s="6">
        <v>1.0900000000000001</v>
      </c>
      <c r="Y317" s="6">
        <v>1.52</v>
      </c>
      <c r="Z317" s="6">
        <v>1</v>
      </c>
      <c r="AA317" s="8">
        <v>45352</v>
      </c>
      <c r="AB317" s="4">
        <v>0.23</v>
      </c>
      <c r="AC317" s="6">
        <v>10.06</v>
      </c>
      <c r="AD317" s="6">
        <v>23.99</v>
      </c>
      <c r="AE317" s="1">
        <v>0</v>
      </c>
      <c r="AF317" s="1">
        <f ca="1">IFERROR(__xludf.DUMMYFUNCTION("IFERROR(GOOGLEFINANCE(TRIM(F317)&amp;"":"" &amp; TRIM(B317),""high52""),AE317)"),0)</f>
        <v>0</v>
      </c>
      <c r="AG317" s="1">
        <v>0</v>
      </c>
      <c r="AH317" s="1">
        <f ca="1">IFERROR(__xludf.DUMMYFUNCTION("IFERROR(GOOGLEFINANCE(TRIM(F317)&amp;"":"" &amp; TRIM(B317),""low52""),AE317)"),0)</f>
        <v>0</v>
      </c>
      <c r="AI317" s="1">
        <f ca="1">IFERROR(__xludf.DUMMYFUNCTION("IFERROR(GOOGLEFINANCE(B317,""eps""),0)"),0)</f>
        <v>0</v>
      </c>
      <c r="AJ317" s="1"/>
      <c r="AK317" s="1" t="s">
        <v>1041</v>
      </c>
      <c r="AL317" s="1" t="b">
        <f>ISNUMBER(AA317)</f>
        <v>1</v>
      </c>
    </row>
    <row r="318" spans="1:38" ht="15" x14ac:dyDescent="0.25">
      <c r="A318" s="1" t="s">
        <v>1042</v>
      </c>
      <c r="B318" s="1" t="s">
        <v>1043</v>
      </c>
      <c r="C318" s="1" t="s">
        <v>416</v>
      </c>
      <c r="D318" s="1" t="s">
        <v>416</v>
      </c>
      <c r="E318" s="6">
        <v>154.69</v>
      </c>
      <c r="F318" s="1" t="s">
        <v>40</v>
      </c>
      <c r="G318" s="6">
        <f ca="1">IFERROR(__xludf.DUMMYFUNCTION("iferror(GOOGLEFINANCE(TRIM(F318)&amp;"":"" &amp; TRIM(B318), ""price""),0
)"),71.84)</f>
        <v>71.84</v>
      </c>
      <c r="H318" s="6">
        <v>134.63999999999999</v>
      </c>
      <c r="I318" s="6">
        <f t="shared" ca="1" si="0"/>
        <v>71.84</v>
      </c>
      <c r="J318" s="6">
        <f ca="1">IFERROR(__xludf.DUMMYFUNCTION("IFERROR(GOOGLEFINANCE(B318, ""volume""), 0)"),4170)</f>
        <v>4170</v>
      </c>
      <c r="K318" s="6">
        <v>0.31</v>
      </c>
      <c r="L318" s="6">
        <f ca="1">IFERROR(__xludf.DUMMYFUNCTION("IFERROR(GOOGLEFINANCE(B318,""changepct""),K318)"),0.01)</f>
        <v>0.01</v>
      </c>
      <c r="M318" s="6">
        <f ca="1">IFERROR(__xludf.DUMMYFUNCTION("IFERROR(GOOGLEFINANCE(B318,""change""),0)"),0.01)</f>
        <v>0.01</v>
      </c>
      <c r="N318" s="6">
        <v>1</v>
      </c>
      <c r="O318" s="7">
        <v>45536</v>
      </c>
      <c r="P318" s="6">
        <v>7.87</v>
      </c>
      <c r="Q318" s="6">
        <v>162.33000000000001</v>
      </c>
      <c r="R318" s="7">
        <v>45536</v>
      </c>
      <c r="S318" s="6">
        <v>57.84</v>
      </c>
      <c r="T318" s="6">
        <v>6.26</v>
      </c>
      <c r="U318" s="7">
        <v>45536</v>
      </c>
      <c r="V318" s="6">
        <v>24.69</v>
      </c>
      <c r="W318" s="6">
        <f ca="1">IFERROR(__xludf.DUMMYFUNCTION("IFERROR(GOOGLEFINANCE(B318,""pe""),V318)"),14.13)</f>
        <v>14.13</v>
      </c>
      <c r="X318" s="12"/>
      <c r="Y318" s="6">
        <v>4.7300000000000004</v>
      </c>
      <c r="Z318" s="6">
        <v>1</v>
      </c>
      <c r="AA318" s="8">
        <v>45352</v>
      </c>
      <c r="AB318" s="4">
        <v>0.41</v>
      </c>
      <c r="AC318" s="6">
        <v>21.41</v>
      </c>
      <c r="AD318" s="6">
        <v>24.37</v>
      </c>
      <c r="AE318" s="1">
        <v>0</v>
      </c>
      <c r="AF318" s="1">
        <f ca="1">IFERROR(__xludf.DUMMYFUNCTION("IFERROR(GOOGLEFINANCE(TRIM(F318)&amp;"":"" &amp; TRIM(B318),""high52""),AE318)"),128)</f>
        <v>128</v>
      </c>
      <c r="AG318" s="1">
        <v>0</v>
      </c>
      <c r="AH318" s="1">
        <f ca="1">IFERROR(__xludf.DUMMYFUNCTION("IFERROR(GOOGLEFINANCE(TRIM(F318)&amp;"":"" &amp; TRIM(B318),""low52""),AE318)"),70)</f>
        <v>70</v>
      </c>
      <c r="AI318" s="1">
        <f ca="1">IFERROR(__xludf.DUMMYFUNCTION("IFERROR(GOOGLEFINANCE(B318,""eps""),0)"),5.08)</f>
        <v>5.08</v>
      </c>
      <c r="AJ318" s="1"/>
      <c r="AK318" s="1" t="s">
        <v>1044</v>
      </c>
      <c r="AL318" s="9">
        <f t="shared" ref="AL318:AL319" si="68">IF(AA318&lt;&gt;AB318,1,0)</f>
        <v>1</v>
      </c>
    </row>
    <row r="319" spans="1:38" ht="15" x14ac:dyDescent="0.25">
      <c r="A319" s="1" t="s">
        <v>1045</v>
      </c>
      <c r="B319" s="1" t="s">
        <v>1046</v>
      </c>
      <c r="C319" s="1" t="s">
        <v>86</v>
      </c>
      <c r="D319" s="1" t="s">
        <v>86</v>
      </c>
      <c r="E319" s="6">
        <v>395.27</v>
      </c>
      <c r="F319" s="1" t="s">
        <v>40</v>
      </c>
      <c r="G319" s="6">
        <f ca="1">IFERROR(__xludf.DUMMYFUNCTION("iferror(GOOGLEFINANCE(TRIM(F319)&amp;"":"" &amp; TRIM(B319), ""price""),0
)"),43.11)</f>
        <v>43.11</v>
      </c>
      <c r="H319" s="6">
        <v>49.35</v>
      </c>
      <c r="I319" s="6">
        <f t="shared" ca="1" si="0"/>
        <v>43.11</v>
      </c>
      <c r="J319" s="6">
        <f ca="1">IFERROR(__xludf.DUMMYFUNCTION("IFERROR(GOOGLEFINANCE(B319, ""volume""), 0)"),55959)</f>
        <v>55959</v>
      </c>
      <c r="K319" s="6">
        <v>1.44</v>
      </c>
      <c r="L319" s="6">
        <f ca="1">IFERROR(__xludf.DUMMYFUNCTION("IFERROR(GOOGLEFINANCE(B319,""changepct""),K319)"),-0.9)</f>
        <v>-0.9</v>
      </c>
      <c r="M319" s="6">
        <f ca="1">IFERROR(__xludf.DUMMYFUNCTION("IFERROR(GOOGLEFINANCE(B319,""change""),0)"),-0.39)</f>
        <v>-0.39</v>
      </c>
      <c r="N319" s="6">
        <v>2</v>
      </c>
      <c r="O319" s="7">
        <v>45536</v>
      </c>
      <c r="P319" s="6">
        <v>232.9</v>
      </c>
      <c r="Q319" s="6">
        <v>503.78</v>
      </c>
      <c r="R319" s="7">
        <v>45536</v>
      </c>
      <c r="S319" s="6">
        <v>134.79</v>
      </c>
      <c r="T319" s="6">
        <v>237.85</v>
      </c>
      <c r="U319" s="7">
        <v>45536</v>
      </c>
      <c r="V319" s="6">
        <v>1.66</v>
      </c>
      <c r="W319" s="6">
        <f ca="1">IFERROR(__xludf.DUMMYFUNCTION("IFERROR(GOOGLEFINANCE(B319,""pe""),V319)"),1.66)</f>
        <v>1.66</v>
      </c>
      <c r="X319" s="6">
        <v>7.0000000000000007E-2</v>
      </c>
      <c r="Y319" s="6">
        <v>2.2000000000000002</v>
      </c>
      <c r="Z319" s="6">
        <v>2</v>
      </c>
      <c r="AA319" s="8">
        <v>45352</v>
      </c>
      <c r="AB319" s="4">
        <v>1.56</v>
      </c>
      <c r="AC319" s="6">
        <v>0</v>
      </c>
      <c r="AD319" s="6">
        <v>118.96</v>
      </c>
      <c r="AE319" s="1">
        <v>0</v>
      </c>
      <c r="AF319" s="1">
        <f ca="1">IFERROR(__xludf.DUMMYFUNCTION("IFERROR(GOOGLEFINANCE(TRIM(F319)&amp;"":"" &amp; TRIM(B319),""high52""),AE319)"),73.39)</f>
        <v>73.39</v>
      </c>
      <c r="AG319" s="1">
        <v>0</v>
      </c>
      <c r="AH319" s="1">
        <f ca="1">IFERROR(__xludf.DUMMYFUNCTION("IFERROR(GOOGLEFINANCE(TRIM(F319)&amp;"":"" &amp; TRIM(B319),""low52""),AE319)"),27.26)</f>
        <v>27.26</v>
      </c>
      <c r="AI319" s="1">
        <f ca="1">IFERROR(__xludf.DUMMYFUNCTION("IFERROR(GOOGLEFINANCE(B319,""eps""),0)"),-3.5)</f>
        <v>-3.5</v>
      </c>
      <c r="AJ319" s="1"/>
      <c r="AK319" s="1" t="s">
        <v>1047</v>
      </c>
      <c r="AL319" s="9">
        <f t="shared" si="68"/>
        <v>1</v>
      </c>
    </row>
    <row r="320" spans="1:38" ht="15" x14ac:dyDescent="0.25">
      <c r="A320" s="1" t="s">
        <v>1048</v>
      </c>
      <c r="B320" s="1" t="s">
        <v>1049</v>
      </c>
      <c r="C320" s="1" t="s">
        <v>90</v>
      </c>
      <c r="D320" s="1" t="s">
        <v>90</v>
      </c>
      <c r="E320" s="6">
        <v>8.77</v>
      </c>
      <c r="F320" s="1" t="s">
        <v>53</v>
      </c>
      <c r="G320" s="6">
        <f ca="1">IFERROR(__xludf.DUMMYFUNCTION("iferror(GOOGLEFINANCE(TRIM(F320)&amp;"":"" &amp; TRIM(B320), ""price""),0
)"),0)</f>
        <v>0</v>
      </c>
      <c r="H320" s="6">
        <v>8.08</v>
      </c>
      <c r="I320" s="6">
        <f t="shared" ca="1" si="0"/>
        <v>8.08</v>
      </c>
      <c r="J320" s="6">
        <f ca="1">IFERROR(__xludf.DUMMYFUNCTION("IFERROR(GOOGLEFINANCE(B320, ""volume""), 0)"),0)</f>
        <v>0</v>
      </c>
      <c r="K320" s="6">
        <v>4.9400000000000004</v>
      </c>
      <c r="L320" s="6">
        <f ca="1">IFERROR(__xludf.DUMMYFUNCTION("IFERROR(GOOGLEFINANCE(B320,""changepct""),K320)"),4.94)</f>
        <v>4.9400000000000004</v>
      </c>
      <c r="M320" s="6">
        <f ca="1">IFERROR(__xludf.DUMMYFUNCTION("IFERROR(GOOGLEFINANCE(B320,""change""),0)"),0)</f>
        <v>0</v>
      </c>
      <c r="N320" s="6">
        <v>1</v>
      </c>
      <c r="O320" s="7">
        <v>45536</v>
      </c>
      <c r="P320" s="6">
        <v>4.3</v>
      </c>
      <c r="Q320" s="6">
        <v>13.07</v>
      </c>
      <c r="R320" s="7">
        <v>45536</v>
      </c>
      <c r="S320" s="6">
        <v>0</v>
      </c>
      <c r="T320" s="6">
        <v>-0.43</v>
      </c>
      <c r="U320" s="7">
        <v>45536</v>
      </c>
      <c r="V320" s="6">
        <v>0</v>
      </c>
      <c r="W320" s="6">
        <f ca="1">IFERROR(__xludf.DUMMYFUNCTION("IFERROR(GOOGLEFINANCE(B320,""pe""),V320)"),0)</f>
        <v>0</v>
      </c>
      <c r="X320" s="6">
        <v>0</v>
      </c>
      <c r="Y320" s="6">
        <v>-1.5</v>
      </c>
      <c r="Z320" s="6">
        <v>1</v>
      </c>
      <c r="AA320" s="8">
        <v>45352</v>
      </c>
      <c r="AB320" s="4">
        <v>-0.79</v>
      </c>
      <c r="AC320" s="6">
        <v>0</v>
      </c>
      <c r="AD320" s="6">
        <v>0</v>
      </c>
      <c r="AE320" s="1">
        <v>0</v>
      </c>
      <c r="AF320" s="1">
        <f ca="1">IFERROR(__xludf.DUMMYFUNCTION("IFERROR(GOOGLEFINANCE(TRIM(F320)&amp;"":"" &amp; TRIM(B320),""high52""),AE320)"),0)</f>
        <v>0</v>
      </c>
      <c r="AG320" s="1">
        <v>0</v>
      </c>
      <c r="AH320" s="1">
        <f ca="1">IFERROR(__xludf.DUMMYFUNCTION("IFERROR(GOOGLEFINANCE(TRIM(F320)&amp;"":"" &amp; TRIM(B320),""low52""),AE320)"),0)</f>
        <v>0</v>
      </c>
      <c r="AI320" s="1">
        <f ca="1">IFERROR(__xludf.DUMMYFUNCTION("IFERROR(GOOGLEFINANCE(B320,""eps""),0)"),0)</f>
        <v>0</v>
      </c>
      <c r="AJ320" s="1"/>
      <c r="AK320" s="9"/>
      <c r="AL320" s="1" t="b">
        <f t="shared" ref="AL320:AL321" si="69">ISBLANK(AB320)</f>
        <v>0</v>
      </c>
    </row>
    <row r="321" spans="1:38" ht="15" x14ac:dyDescent="0.25">
      <c r="A321" s="1" t="s">
        <v>1050</v>
      </c>
      <c r="B321" s="1" t="s">
        <v>1051</v>
      </c>
      <c r="C321" s="1" t="s">
        <v>90</v>
      </c>
      <c r="D321" s="1" t="s">
        <v>90</v>
      </c>
      <c r="E321" s="6">
        <v>18.64</v>
      </c>
      <c r="F321" s="1" t="s">
        <v>53</v>
      </c>
      <c r="G321" s="6">
        <f ca="1">IFERROR(__xludf.DUMMYFUNCTION("iferror(GOOGLEFINANCE(TRIM(F321)&amp;"":"" &amp; TRIM(B321), ""price""),0
)"),0)</f>
        <v>0</v>
      </c>
      <c r="H321" s="6">
        <v>97</v>
      </c>
      <c r="I321" s="6">
        <f t="shared" ca="1" si="0"/>
        <v>97</v>
      </c>
      <c r="J321" s="6">
        <f ca="1">IFERROR(__xludf.DUMMYFUNCTION("IFERROR(GOOGLEFINANCE(B321, ""volume""), 0)"),0)</f>
        <v>0</v>
      </c>
      <c r="K321" s="6">
        <v>-4.72</v>
      </c>
      <c r="L321" s="6">
        <f ca="1">IFERROR(__xludf.DUMMYFUNCTION("IFERROR(GOOGLEFINANCE(B321,""changepct""),K321)"),-4.72)</f>
        <v>-4.72</v>
      </c>
      <c r="M321" s="6">
        <f ca="1">IFERROR(__xludf.DUMMYFUNCTION("IFERROR(GOOGLEFINANCE(B321,""change""),0)"),0)</f>
        <v>0</v>
      </c>
      <c r="N321" s="6">
        <v>2</v>
      </c>
      <c r="O321" s="7">
        <v>45536</v>
      </c>
      <c r="P321" s="9"/>
      <c r="Q321" s="6">
        <v>-3.08</v>
      </c>
      <c r="R321" s="7">
        <v>45536</v>
      </c>
      <c r="S321" s="6">
        <v>2.84</v>
      </c>
      <c r="T321" s="6">
        <v>1.51</v>
      </c>
      <c r="U321" s="7">
        <v>45536</v>
      </c>
      <c r="V321" s="6">
        <v>27.01</v>
      </c>
      <c r="W321" s="6">
        <f ca="1">IFERROR(__xludf.DUMMYFUNCTION("IFERROR(GOOGLEFINANCE(B321,""pe""),V321)"),27.01)</f>
        <v>27.01</v>
      </c>
      <c r="X321" s="6">
        <v>-2.2799999999999998</v>
      </c>
      <c r="Y321" s="6">
        <v>0.49</v>
      </c>
      <c r="Z321" s="6">
        <v>2</v>
      </c>
      <c r="AA321" s="8">
        <v>45352</v>
      </c>
      <c r="AB321" s="4">
        <v>0</v>
      </c>
      <c r="AC321" s="6">
        <v>2.2400000000000002</v>
      </c>
      <c r="AD321" s="6">
        <v>4.41</v>
      </c>
      <c r="AE321" s="1">
        <v>0</v>
      </c>
      <c r="AF321" s="1">
        <f ca="1">IFERROR(__xludf.DUMMYFUNCTION("IFERROR(GOOGLEFINANCE(TRIM(F321)&amp;"":"" &amp; TRIM(B321),""high52""),AE321)"),0)</f>
        <v>0</v>
      </c>
      <c r="AG321" s="1">
        <v>0</v>
      </c>
      <c r="AH321" s="1">
        <f ca="1">IFERROR(__xludf.DUMMYFUNCTION("IFERROR(GOOGLEFINANCE(TRIM(F321)&amp;"":"" &amp; TRIM(B321),""low52""),AE321)"),0)</f>
        <v>0</v>
      </c>
      <c r="AI321" s="1">
        <f ca="1">IFERROR(__xludf.DUMMYFUNCTION("IFERROR(GOOGLEFINANCE(B321,""eps""),0)"),0)</f>
        <v>0</v>
      </c>
      <c r="AJ321" s="1"/>
      <c r="AK321" s="9"/>
      <c r="AL321" s="1" t="b">
        <f t="shared" si="69"/>
        <v>0</v>
      </c>
    </row>
    <row r="322" spans="1:38" ht="15" x14ac:dyDescent="0.25">
      <c r="A322" s="1" t="s">
        <v>1052</v>
      </c>
      <c r="B322" s="1" t="s">
        <v>1053</v>
      </c>
      <c r="C322" s="1" t="s">
        <v>1054</v>
      </c>
      <c r="D322" s="1" t="s">
        <v>1054</v>
      </c>
      <c r="E322" s="6">
        <v>52.26</v>
      </c>
      <c r="F322" s="1" t="s">
        <v>40</v>
      </c>
      <c r="G322" s="6">
        <f ca="1">IFERROR(__xludf.DUMMYFUNCTION("iferror(GOOGLEFINANCE(TRIM(F322)&amp;"":"" &amp; TRIM(B322), ""price""),0
)"),93.99)</f>
        <v>93.99</v>
      </c>
      <c r="H322" s="6">
        <v>84.39</v>
      </c>
      <c r="I322" s="6">
        <f t="shared" ca="1" si="0"/>
        <v>93.99</v>
      </c>
      <c r="J322" s="6">
        <f ca="1">IFERROR(__xludf.DUMMYFUNCTION("IFERROR(GOOGLEFINANCE(B322, ""volume""), 0)"),4489)</f>
        <v>4489</v>
      </c>
      <c r="K322" s="6">
        <v>4.99</v>
      </c>
      <c r="L322" s="6">
        <f ca="1">IFERROR(__xludf.DUMMYFUNCTION("IFERROR(GOOGLEFINANCE(B322,""changepct""),K322)"),-0.28)</f>
        <v>-0.28000000000000003</v>
      </c>
      <c r="M322" s="6">
        <f ca="1">IFERROR(__xludf.DUMMYFUNCTION("IFERROR(GOOGLEFINANCE(B322,""change""),0)"),-0.26)</f>
        <v>-0.26</v>
      </c>
      <c r="N322" s="6">
        <v>1</v>
      </c>
      <c r="O322" s="7">
        <v>45536</v>
      </c>
      <c r="P322" s="9"/>
      <c r="Q322" s="6">
        <v>51.79</v>
      </c>
      <c r="R322" s="7">
        <v>45536</v>
      </c>
      <c r="S322" s="6">
        <v>10.68</v>
      </c>
      <c r="T322" s="6">
        <v>11.9</v>
      </c>
      <c r="U322" s="7">
        <v>45536</v>
      </c>
      <c r="V322" s="6">
        <v>4.3899999999999997</v>
      </c>
      <c r="W322" s="6">
        <f ca="1">IFERROR(__xludf.DUMMYFUNCTION("IFERROR(GOOGLEFINANCE(B322,""pe""),V322)"),4.39)</f>
        <v>4.3899999999999997</v>
      </c>
      <c r="X322" s="6">
        <v>0.28999999999999998</v>
      </c>
      <c r="Y322" s="6">
        <v>-2.2200000000000002</v>
      </c>
      <c r="Z322" s="6">
        <v>2</v>
      </c>
      <c r="AA322" s="8">
        <v>45352</v>
      </c>
      <c r="AB322" s="4">
        <v>-0.28000000000000003</v>
      </c>
      <c r="AC322" s="6">
        <v>0</v>
      </c>
      <c r="AD322" s="6">
        <v>0</v>
      </c>
      <c r="AE322" s="1">
        <v>0</v>
      </c>
      <c r="AF322" s="1">
        <f ca="1">IFERROR(__xludf.DUMMYFUNCTION("IFERROR(GOOGLEFINANCE(TRIM(F322)&amp;"":"" &amp; TRIM(B322),""high52""),AE322)"),164.37)</f>
        <v>164.37</v>
      </c>
      <c r="AG322" s="1">
        <v>0</v>
      </c>
      <c r="AH322" s="1">
        <f ca="1">IFERROR(__xludf.DUMMYFUNCTION("IFERROR(GOOGLEFINANCE(TRIM(F322)&amp;"":"" &amp; TRIM(B322),""low52""),AE322)"),76.1)</f>
        <v>76.099999999999994</v>
      </c>
      <c r="AI322" s="1">
        <f ca="1">IFERROR(__xludf.DUMMYFUNCTION("IFERROR(GOOGLEFINANCE(B322,""eps""),0)"),-6.9)</f>
        <v>-6.9</v>
      </c>
      <c r="AJ322" s="1"/>
      <c r="AK322" s="1" t="s">
        <v>1055</v>
      </c>
      <c r="AL322" s="9">
        <f t="shared" ref="AL322:AL323" si="70">IF(AA322&lt;&gt;AB322,1,0)</f>
        <v>1</v>
      </c>
    </row>
    <row r="323" spans="1:38" ht="15" x14ac:dyDescent="0.25">
      <c r="A323" s="1" t="s">
        <v>1056</v>
      </c>
      <c r="B323" s="1" t="s">
        <v>1057</v>
      </c>
      <c r="C323" s="1" t="s">
        <v>416</v>
      </c>
      <c r="D323" s="1" t="s">
        <v>416</v>
      </c>
      <c r="E323" s="6">
        <v>716.69</v>
      </c>
      <c r="F323" s="1" t="s">
        <v>40</v>
      </c>
      <c r="G323" s="6">
        <f ca="1">IFERROR(__xludf.DUMMYFUNCTION("iferror(GOOGLEFINANCE(TRIM(F323)&amp;"":"" &amp; TRIM(B323), ""price""),0
)"),0)</f>
        <v>0</v>
      </c>
      <c r="H323" s="6">
        <v>289.75</v>
      </c>
      <c r="I323" s="6">
        <f t="shared" ca="1" si="0"/>
        <v>289.75</v>
      </c>
      <c r="J323" s="6">
        <f ca="1">IFERROR(__xludf.DUMMYFUNCTION("IFERROR(GOOGLEFINANCE(B323, ""volume""), 0)"),0)</f>
        <v>0</v>
      </c>
      <c r="K323" s="6">
        <v>0</v>
      </c>
      <c r="L323" s="6">
        <f ca="1">IFERROR(__xludf.DUMMYFUNCTION("IFERROR(GOOGLEFINANCE(B323,""changepct""),K323)"),0)</f>
        <v>0</v>
      </c>
      <c r="M323" s="6">
        <f ca="1">IFERROR(__xludf.DUMMYFUNCTION("IFERROR(GOOGLEFINANCE(B323,""change""),0)"),0)</f>
        <v>0</v>
      </c>
      <c r="N323" s="6">
        <v>1</v>
      </c>
      <c r="O323" s="7">
        <v>45536</v>
      </c>
      <c r="P323" s="6">
        <v>77.84</v>
      </c>
      <c r="Q323" s="6">
        <v>794.52</v>
      </c>
      <c r="R323" s="7">
        <v>45352</v>
      </c>
      <c r="S323" s="6">
        <v>224.01</v>
      </c>
      <c r="T323" s="6">
        <v>16.71</v>
      </c>
      <c r="U323" s="7">
        <v>45352</v>
      </c>
      <c r="V323" s="6">
        <v>42.9</v>
      </c>
      <c r="W323" s="6">
        <f ca="1">IFERROR(__xludf.DUMMYFUNCTION("IFERROR(GOOGLEFINANCE(B323,""pe""),V323)"),42.9)</f>
        <v>42.9</v>
      </c>
      <c r="X323" s="9"/>
      <c r="Y323" s="6">
        <v>6.62</v>
      </c>
      <c r="Z323" s="6">
        <v>2</v>
      </c>
      <c r="AA323" s="8">
        <v>45352</v>
      </c>
      <c r="AB323" s="4">
        <v>0.66</v>
      </c>
      <c r="AC323" s="6">
        <v>20.25</v>
      </c>
      <c r="AD323" s="6">
        <v>23.25</v>
      </c>
      <c r="AE323" s="1">
        <v>0</v>
      </c>
      <c r="AF323" s="1">
        <f ca="1">IFERROR(__xludf.DUMMYFUNCTION("IFERROR(GOOGLEFINANCE(TRIM(F323)&amp;"":"" &amp; TRIM(B323),""high52""),AE323)"),0)</f>
        <v>0</v>
      </c>
      <c r="AG323" s="1">
        <v>0</v>
      </c>
      <c r="AH323" s="1">
        <f ca="1">IFERROR(__xludf.DUMMYFUNCTION("IFERROR(GOOGLEFINANCE(TRIM(F323)&amp;"":"" &amp; TRIM(B323),""low52""),AE323)"),0)</f>
        <v>0</v>
      </c>
      <c r="AI323" s="1">
        <f ca="1">IFERROR(__xludf.DUMMYFUNCTION("IFERROR(GOOGLEFINANCE(B323,""eps""),0)"),0)</f>
        <v>0</v>
      </c>
      <c r="AJ323" s="1"/>
      <c r="AK323" s="1" t="s">
        <v>1058</v>
      </c>
      <c r="AL323" s="9">
        <f t="shared" si="70"/>
        <v>1</v>
      </c>
    </row>
    <row r="324" spans="1:38" ht="15" x14ac:dyDescent="0.25">
      <c r="A324" s="1" t="s">
        <v>1059</v>
      </c>
      <c r="B324" s="1" t="s">
        <v>1060</v>
      </c>
      <c r="C324" s="1" t="s">
        <v>669</v>
      </c>
      <c r="D324" s="1" t="s">
        <v>669</v>
      </c>
      <c r="E324" s="6">
        <v>1623.59</v>
      </c>
      <c r="F324" s="1" t="s">
        <v>40</v>
      </c>
      <c r="G324" s="6">
        <f ca="1">IFERROR(__xludf.DUMMYFUNCTION("iferror(GOOGLEFINANCE(TRIM(F324)&amp;"":"" &amp; TRIM(B324), ""price""),0
)"),428.1)</f>
        <v>428.1</v>
      </c>
      <c r="H324" s="6">
        <v>572.70000000000005</v>
      </c>
      <c r="I324" s="6">
        <f t="shared" ca="1" si="0"/>
        <v>428.1</v>
      </c>
      <c r="J324" s="6">
        <f ca="1">IFERROR(__xludf.DUMMYFUNCTION("IFERROR(GOOGLEFINANCE(B324, ""volume""), 0)"),3072283)</f>
        <v>3072283</v>
      </c>
      <c r="K324" s="6">
        <v>-1.73</v>
      </c>
      <c r="L324" s="6">
        <f ca="1">IFERROR(__xludf.DUMMYFUNCTION("IFERROR(GOOGLEFINANCE(B324,""changepct""),K324)"),7.92)</f>
        <v>7.92</v>
      </c>
      <c r="M324" s="6">
        <f ca="1">IFERROR(__xludf.DUMMYFUNCTION("IFERROR(GOOGLEFINANCE(B324,""change""),0)"),31.4)</f>
        <v>31.4</v>
      </c>
      <c r="N324" s="6">
        <v>2</v>
      </c>
      <c r="O324" s="7">
        <v>45536</v>
      </c>
      <c r="P324" s="6">
        <v>124.52</v>
      </c>
      <c r="Q324" s="6">
        <v>1732.07</v>
      </c>
      <c r="R324" s="7">
        <v>45536</v>
      </c>
      <c r="S324" s="6">
        <v>631.20000000000005</v>
      </c>
      <c r="T324" s="6">
        <v>14.68</v>
      </c>
      <c r="U324" s="7">
        <v>45536</v>
      </c>
      <c r="V324" s="6">
        <v>94.73</v>
      </c>
      <c r="W324" s="6">
        <f ca="1">IFERROR(__xludf.DUMMYFUNCTION("IFERROR(GOOGLEFINANCE(B324,""pe""),V324)"),35.84)</f>
        <v>35.840000000000003</v>
      </c>
      <c r="X324" s="6">
        <v>-3.11</v>
      </c>
      <c r="Y324" s="6">
        <v>3.81</v>
      </c>
      <c r="Z324" s="6">
        <v>2</v>
      </c>
      <c r="AA324" s="8">
        <v>45352</v>
      </c>
      <c r="AB324" s="4">
        <v>0.34</v>
      </c>
      <c r="AC324" s="6">
        <v>1.84</v>
      </c>
      <c r="AD324" s="6">
        <v>4.43</v>
      </c>
      <c r="AE324" s="1">
        <v>0</v>
      </c>
      <c r="AF324" s="1">
        <f ca="1">IFERROR(__xludf.DUMMYFUNCTION("IFERROR(GOOGLEFINANCE(TRIM(F324)&amp;"":"" &amp; TRIM(B324),""high52""),AE324)"),583.95)</f>
        <v>583.95000000000005</v>
      </c>
      <c r="AG324" s="1">
        <v>0</v>
      </c>
      <c r="AH324" s="1">
        <f ca="1">IFERROR(__xludf.DUMMYFUNCTION("IFERROR(GOOGLEFINANCE(TRIM(F324)&amp;"":"" &amp; TRIM(B324),""low52""),AE324)"),381.15)</f>
        <v>381.15</v>
      </c>
      <c r="AI324" s="1">
        <f ca="1">IFERROR(__xludf.DUMMYFUNCTION("IFERROR(GOOGLEFINANCE(B324,""eps""),0)"),11.95)</f>
        <v>11.95</v>
      </c>
      <c r="AJ324" s="1"/>
      <c r="AK324" s="1" t="s">
        <v>1061</v>
      </c>
      <c r="AL324" s="1" t="b">
        <f t="shared" ref="AL324:AL327" si="71">ISNUMBER(AA324)</f>
        <v>1</v>
      </c>
    </row>
    <row r="325" spans="1:38" ht="15" x14ac:dyDescent="0.25">
      <c r="A325" s="1" t="s">
        <v>1062</v>
      </c>
      <c r="B325" s="1" t="s">
        <v>1063</v>
      </c>
      <c r="C325" s="1" t="s">
        <v>135</v>
      </c>
      <c r="D325" s="1" t="s">
        <v>135</v>
      </c>
      <c r="E325" s="6">
        <v>20554.61</v>
      </c>
      <c r="F325" s="1" t="s">
        <v>40</v>
      </c>
      <c r="G325" s="6">
        <f ca="1">IFERROR(__xludf.DUMMYFUNCTION("iferror(GOOGLEFINANCE(TRIM(F325)&amp;"":"" &amp; TRIM(B325), ""price""),0
)"),5963.5)</f>
        <v>5963.5</v>
      </c>
      <c r="H325" s="6">
        <v>6940.05</v>
      </c>
      <c r="I325" s="6">
        <f t="shared" ca="1" si="0"/>
        <v>5963.5</v>
      </c>
      <c r="J325" s="6">
        <f ca="1">IFERROR(__xludf.DUMMYFUNCTION("IFERROR(GOOGLEFINANCE(B325, ""volume""), 0)"),14561)</f>
        <v>14561</v>
      </c>
      <c r="K325" s="6">
        <v>-0.62</v>
      </c>
      <c r="L325" s="6">
        <f ca="1">IFERROR(__xludf.DUMMYFUNCTION("IFERROR(GOOGLEFINANCE(B325,""changepct""),K325)"),-0.54)</f>
        <v>-0.54</v>
      </c>
      <c r="M325" s="6">
        <f ca="1">IFERROR(__xludf.DUMMYFUNCTION("IFERROR(GOOGLEFINANCE(B325,""change""),0)"),-32.5)</f>
        <v>-32.5</v>
      </c>
      <c r="N325" s="6">
        <v>2</v>
      </c>
      <c r="O325" s="7">
        <v>45536</v>
      </c>
      <c r="P325" s="6">
        <v>212.68</v>
      </c>
      <c r="Q325" s="6">
        <v>20695.259999999998</v>
      </c>
      <c r="R325" s="7">
        <v>45536</v>
      </c>
      <c r="S325" s="6">
        <v>5064.83</v>
      </c>
      <c r="T325" s="6">
        <v>370.51</v>
      </c>
      <c r="U325" s="7">
        <v>45536</v>
      </c>
      <c r="V325" s="6">
        <v>54.37</v>
      </c>
      <c r="W325" s="6">
        <f ca="1">IFERROR(__xludf.DUMMYFUNCTION("IFERROR(GOOGLEFINANCE(B325,""pe""),V325)"),29.54)</f>
        <v>29.54</v>
      </c>
      <c r="X325" s="6">
        <v>-9.61</v>
      </c>
      <c r="Y325" s="6">
        <v>3.66</v>
      </c>
      <c r="Z325" s="6">
        <v>2</v>
      </c>
      <c r="AA325" s="8">
        <v>45352</v>
      </c>
      <c r="AB325" s="4">
        <v>0.05</v>
      </c>
      <c r="AC325" s="6">
        <v>6.62</v>
      </c>
      <c r="AD325" s="6">
        <v>9.17</v>
      </c>
      <c r="AE325" s="1">
        <v>0</v>
      </c>
      <c r="AF325" s="1">
        <f ca="1">IFERROR(__xludf.DUMMYFUNCTION("IFERROR(GOOGLEFINANCE(TRIM(F325)&amp;"":"" &amp; TRIM(B325),""high52""),AE325)"),7788)</f>
        <v>7788</v>
      </c>
      <c r="AG325" s="1">
        <v>0</v>
      </c>
      <c r="AH325" s="1">
        <f ca="1">IFERROR(__xludf.DUMMYFUNCTION("IFERROR(GOOGLEFINANCE(TRIM(F325)&amp;"":"" &amp; TRIM(B325),""low52""),AE325)"),4752)</f>
        <v>4752</v>
      </c>
      <c r="AI325" s="1">
        <f ca="1">IFERROR(__xludf.DUMMYFUNCTION("IFERROR(GOOGLEFINANCE(B325,""eps""),0)"),201.85)</f>
        <v>201.85</v>
      </c>
      <c r="AJ325" s="1"/>
      <c r="AK325" s="1" t="s">
        <v>1064</v>
      </c>
      <c r="AL325" s="9" t="b">
        <f t="shared" si="71"/>
        <v>1</v>
      </c>
    </row>
    <row r="326" spans="1:38" ht="15" x14ac:dyDescent="0.25">
      <c r="A326" s="1" t="s">
        <v>1065</v>
      </c>
      <c r="B326" s="1" t="s">
        <v>1066</v>
      </c>
      <c r="C326" s="1" t="s">
        <v>1067</v>
      </c>
      <c r="D326" s="1" t="s">
        <v>1067</v>
      </c>
      <c r="E326" s="6">
        <v>42458.49</v>
      </c>
      <c r="F326" s="1" t="s">
        <v>40</v>
      </c>
      <c r="G326" s="6">
        <f ca="1">IFERROR(__xludf.DUMMYFUNCTION("iferror(GOOGLEFINANCE(TRIM(F326)&amp;"":"" &amp; TRIM(B326), ""price""),0
)"),967.8)</f>
        <v>967.8</v>
      </c>
      <c r="H326" s="6">
        <v>582.85</v>
      </c>
      <c r="I326" s="6">
        <f t="shared" ca="1" si="0"/>
        <v>967.8</v>
      </c>
      <c r="J326" s="6">
        <f ca="1">IFERROR(__xludf.DUMMYFUNCTION("IFERROR(GOOGLEFINANCE(B326, ""volume""), 0)"),1235711)</f>
        <v>1235711</v>
      </c>
      <c r="K326" s="6">
        <v>2.08</v>
      </c>
      <c r="L326" s="6">
        <f ca="1">IFERROR(__xludf.DUMMYFUNCTION("IFERROR(GOOGLEFINANCE(B326,""changepct""),K326)"),-1.2)</f>
        <v>-1.2</v>
      </c>
      <c r="M326" s="6">
        <f ca="1">IFERROR(__xludf.DUMMYFUNCTION("IFERROR(GOOGLEFINANCE(B326,""change""),0)"),-11.8)</f>
        <v>-11.8</v>
      </c>
      <c r="N326" s="6">
        <v>1</v>
      </c>
      <c r="O326" s="7">
        <v>45536</v>
      </c>
      <c r="P326" s="6">
        <v>13244.97</v>
      </c>
      <c r="Q326" s="6">
        <v>1819.77</v>
      </c>
      <c r="R326" s="7">
        <v>45536</v>
      </c>
      <c r="S326" s="6">
        <v>23.33</v>
      </c>
      <c r="T326" s="6">
        <v>0.71</v>
      </c>
      <c r="U326" s="6">
        <v>2.66</v>
      </c>
      <c r="V326" s="6">
        <v>1</v>
      </c>
      <c r="W326" s="6">
        <f ca="1">IFERROR(__xludf.DUMMYFUNCTION("IFERROR(GOOGLEFINANCE(B326,""pe""),V326)"),31.25)</f>
        <v>31.25</v>
      </c>
      <c r="X326" s="7">
        <v>45352</v>
      </c>
      <c r="Y326" s="6">
        <v>13.1</v>
      </c>
      <c r="Z326" s="6">
        <v>1</v>
      </c>
      <c r="AA326" s="8">
        <v>45352</v>
      </c>
      <c r="AB326" s="4">
        <v>0.55000000000000004</v>
      </c>
      <c r="AC326" s="6">
        <v>4.83</v>
      </c>
      <c r="AD326" s="6">
        <v>14.43</v>
      </c>
      <c r="AE326" s="1">
        <v>0</v>
      </c>
      <c r="AF326" s="1">
        <f ca="1">IFERROR(__xludf.DUMMYFUNCTION("IFERROR(GOOGLEFINANCE(TRIM(F326)&amp;"":"" &amp; TRIM(B326),""high52""),AE326)"),1029.95)</f>
        <v>1029.95</v>
      </c>
      <c r="AG326" s="1">
        <v>0</v>
      </c>
      <c r="AH326" s="1">
        <f ca="1">IFERROR(__xludf.DUMMYFUNCTION("IFERROR(GOOGLEFINANCE(TRIM(F326)&amp;"":"" &amp; TRIM(B326),""low52""),AE326)"),478.35)</f>
        <v>478.35</v>
      </c>
      <c r="AI326" s="1">
        <f ca="1">IFERROR(__xludf.DUMMYFUNCTION("IFERROR(GOOGLEFINANCE(B326,""eps""),0)"),30.97)</f>
        <v>30.97</v>
      </c>
      <c r="AJ326" s="1"/>
      <c r="AK326" s="1" t="s">
        <v>1068</v>
      </c>
      <c r="AL326" s="1" t="b">
        <f t="shared" si="71"/>
        <v>1</v>
      </c>
    </row>
    <row r="327" spans="1:38" ht="15" x14ac:dyDescent="0.25">
      <c r="A327" s="1" t="s">
        <v>1069</v>
      </c>
      <c r="B327" s="1" t="s">
        <v>1070</v>
      </c>
      <c r="C327" s="1" t="s">
        <v>643</v>
      </c>
      <c r="D327" s="1" t="s">
        <v>643</v>
      </c>
      <c r="E327" s="6">
        <v>233.19</v>
      </c>
      <c r="F327" s="1" t="s">
        <v>40</v>
      </c>
      <c r="G327" s="6">
        <f ca="1">IFERROR(__xludf.DUMMYFUNCTION("iferror(GOOGLEFINANCE(TRIM(F327)&amp;"":"" &amp; TRIM(B327), ""price""),0
)"),0)</f>
        <v>0</v>
      </c>
      <c r="H327" s="6">
        <v>227.5</v>
      </c>
      <c r="I327" s="6">
        <f t="shared" ca="1" si="0"/>
        <v>227.5</v>
      </c>
      <c r="J327" s="6">
        <f ca="1">IFERROR(__xludf.DUMMYFUNCTION("IFERROR(GOOGLEFINANCE(B327, ""volume""), 0)"),0)</f>
        <v>0</v>
      </c>
      <c r="K327" s="12"/>
      <c r="L327" s="6" t="str">
        <f ca="1">IFERROR(__xludf.DUMMYFUNCTION("IFERROR(GOOGLEFINANCE(B327,""changepct""),K327)"),"")</f>
        <v/>
      </c>
      <c r="M327" s="6">
        <f ca="1">IFERROR(__xludf.DUMMYFUNCTION("IFERROR(GOOGLEFINANCE(B327,""change""),0)"),0)</f>
        <v>0</v>
      </c>
      <c r="N327" s="6">
        <v>1</v>
      </c>
      <c r="O327" s="7">
        <v>45536</v>
      </c>
      <c r="P327" s="6">
        <v>70.12</v>
      </c>
      <c r="Q327" s="6">
        <v>303.31</v>
      </c>
      <c r="R327" s="7">
        <v>45352</v>
      </c>
      <c r="S327" s="6">
        <v>130.69999999999999</v>
      </c>
      <c r="T327" s="6">
        <v>20.93</v>
      </c>
      <c r="U327" s="7">
        <v>45352</v>
      </c>
      <c r="V327" s="6">
        <v>11.14</v>
      </c>
      <c r="W327" s="6">
        <f ca="1">IFERROR(__xludf.DUMMYFUNCTION("IFERROR(GOOGLEFINANCE(B327,""pe""),V327)"),11.14)</f>
        <v>11.14</v>
      </c>
      <c r="X327" s="6">
        <v>0.42</v>
      </c>
      <c r="Y327" s="6">
        <v>2.61</v>
      </c>
      <c r="Z327" s="6">
        <v>1</v>
      </c>
      <c r="AA327" s="8">
        <v>45352</v>
      </c>
      <c r="AB327" s="4">
        <v>0.71</v>
      </c>
      <c r="AC327" s="6">
        <v>27.2</v>
      </c>
      <c r="AD327" s="6">
        <v>24.92</v>
      </c>
      <c r="AE327" s="1">
        <v>0</v>
      </c>
      <c r="AF327" s="1">
        <f ca="1">IFERROR(__xludf.DUMMYFUNCTION("IFERROR(GOOGLEFINANCE(TRIM(F327)&amp;"":"" &amp; TRIM(B327),""high52""),AE327)"),0)</f>
        <v>0</v>
      </c>
      <c r="AG327" s="1">
        <v>0</v>
      </c>
      <c r="AH327" s="1">
        <f ca="1">IFERROR(__xludf.DUMMYFUNCTION("IFERROR(GOOGLEFINANCE(TRIM(F327)&amp;"":"" &amp; TRIM(B327),""low52""),AE327)"),0)</f>
        <v>0</v>
      </c>
      <c r="AI327" s="1">
        <f ca="1">IFERROR(__xludf.DUMMYFUNCTION("IFERROR(GOOGLEFINANCE(B327,""eps""),0)"),0)</f>
        <v>0</v>
      </c>
      <c r="AJ327" s="1"/>
      <c r="AK327" s="1" t="s">
        <v>1071</v>
      </c>
      <c r="AL327" s="1" t="b">
        <f t="shared" si="71"/>
        <v>1</v>
      </c>
    </row>
    <row r="328" spans="1:38" ht="15" x14ac:dyDescent="0.25">
      <c r="A328" s="1" t="s">
        <v>1072</v>
      </c>
      <c r="B328" s="1" t="s">
        <v>1073</v>
      </c>
      <c r="C328" s="1" t="s">
        <v>57</v>
      </c>
      <c r="D328" s="1" t="s">
        <v>57</v>
      </c>
      <c r="E328" s="6">
        <v>10110.700000000001</v>
      </c>
      <c r="F328" s="1" t="s">
        <v>40</v>
      </c>
      <c r="G328" s="6">
        <f ca="1">IFERROR(__xludf.DUMMYFUNCTION("iferror(GOOGLEFINANCE(TRIM(F328)&amp;"":"" &amp; TRIM(B328), ""price""),0
)"),936)</f>
        <v>936</v>
      </c>
      <c r="H328" s="6">
        <v>1833.45</v>
      </c>
      <c r="I328" s="6">
        <f t="shared" ca="1" si="0"/>
        <v>936</v>
      </c>
      <c r="J328" s="6">
        <f ca="1">IFERROR(__xludf.DUMMYFUNCTION("IFERROR(GOOGLEFINANCE(B328, ""volume""), 0)"),304688)</f>
        <v>304688</v>
      </c>
      <c r="K328" s="6">
        <v>0.1</v>
      </c>
      <c r="L328" s="6">
        <f ca="1">IFERROR(__xludf.DUMMYFUNCTION("IFERROR(GOOGLEFINANCE(B328,""changepct""),K328)"),-2.37)</f>
        <v>-2.37</v>
      </c>
      <c r="M328" s="6">
        <f ca="1">IFERROR(__xludf.DUMMYFUNCTION("IFERROR(GOOGLEFINANCE(B328,""change""),0)"),-22.7)</f>
        <v>-22.7</v>
      </c>
      <c r="N328" s="6">
        <v>2</v>
      </c>
      <c r="O328" s="7">
        <v>45536</v>
      </c>
      <c r="P328" s="6">
        <v>23.34</v>
      </c>
      <c r="Q328" s="6">
        <v>9802.15</v>
      </c>
      <c r="R328" s="7">
        <v>45536</v>
      </c>
      <c r="S328" s="6">
        <v>1017.52</v>
      </c>
      <c r="T328" s="6">
        <v>167.46</v>
      </c>
      <c r="U328" s="7">
        <v>45536</v>
      </c>
      <c r="V328" s="6">
        <v>61.45</v>
      </c>
      <c r="W328" s="6">
        <f ca="1">IFERROR(__xludf.DUMMYFUNCTION("IFERROR(GOOGLEFINANCE(B328,""pe""),V328)"),24.99)</f>
        <v>24.99</v>
      </c>
      <c r="X328" s="6">
        <v>3.09</v>
      </c>
      <c r="Y328" s="6">
        <v>7.39</v>
      </c>
      <c r="Z328" s="6">
        <v>2</v>
      </c>
      <c r="AA328" s="8">
        <v>45352</v>
      </c>
      <c r="AB328" s="4">
        <v>0.08</v>
      </c>
      <c r="AC328" s="6">
        <v>20.18</v>
      </c>
      <c r="AD328" s="6">
        <v>23.14</v>
      </c>
      <c r="AE328" s="1">
        <v>0</v>
      </c>
      <c r="AF328" s="1">
        <f ca="1">IFERROR(__xludf.DUMMYFUNCTION("IFERROR(GOOGLEFINANCE(TRIM(F328)&amp;"":"" &amp; TRIM(B328),""high52""),AE328)"),1665.9)</f>
        <v>1665.9</v>
      </c>
      <c r="AG328" s="1">
        <v>0</v>
      </c>
      <c r="AH328" s="1">
        <f ca="1">IFERROR(__xludf.DUMMYFUNCTION("IFERROR(GOOGLEFINANCE(TRIM(F328)&amp;"":"" &amp; TRIM(B328),""low52""),AE328)"),881.7)</f>
        <v>881.7</v>
      </c>
      <c r="AI328" s="1">
        <f ca="1">IFERROR(__xludf.DUMMYFUNCTION("IFERROR(GOOGLEFINANCE(B328,""eps""),0)"),37.45)</f>
        <v>37.450000000000003</v>
      </c>
      <c r="AJ328" s="1"/>
      <c r="AK328" s="1" t="s">
        <v>1074</v>
      </c>
      <c r="AL328" s="9">
        <f>IF(AA328&lt;&gt;AB328,1,0)</f>
        <v>1</v>
      </c>
    </row>
    <row r="329" spans="1:38" ht="15" x14ac:dyDescent="0.25">
      <c r="A329" s="1" t="s">
        <v>1075</v>
      </c>
      <c r="B329" s="1" t="s">
        <v>1076</v>
      </c>
      <c r="C329" s="1" t="s">
        <v>643</v>
      </c>
      <c r="D329" s="1" t="s">
        <v>643</v>
      </c>
      <c r="E329" s="6">
        <v>1150.1500000000001</v>
      </c>
      <c r="F329" s="1" t="s">
        <v>53</v>
      </c>
      <c r="G329" s="6">
        <f ca="1">IFERROR(__xludf.DUMMYFUNCTION("iferror(GOOGLEFINANCE(TRIM(F329)&amp;"":"" &amp; TRIM(B329), ""price""),0
)"),0)</f>
        <v>0</v>
      </c>
      <c r="H329" s="6">
        <v>247</v>
      </c>
      <c r="I329" s="6">
        <f t="shared" ca="1" si="0"/>
        <v>247</v>
      </c>
      <c r="J329" s="6">
        <f ca="1">IFERROR(__xludf.DUMMYFUNCTION("IFERROR(GOOGLEFINANCE(B329, ""volume""), 0)"),0)</f>
        <v>0</v>
      </c>
      <c r="K329" s="6">
        <v>0.47</v>
      </c>
      <c r="L329" s="6">
        <f ca="1">IFERROR(__xludf.DUMMYFUNCTION("IFERROR(GOOGLEFINANCE(B329,""changepct""),K329)"),0.47)</f>
        <v>0.47</v>
      </c>
      <c r="M329" s="6">
        <f ca="1">IFERROR(__xludf.DUMMYFUNCTION("IFERROR(GOOGLEFINANCE(B329,""change""),0)"),0)</f>
        <v>0</v>
      </c>
      <c r="N329" s="6">
        <v>2</v>
      </c>
      <c r="O329" s="7">
        <v>45536</v>
      </c>
      <c r="P329" s="6">
        <v>372.55</v>
      </c>
      <c r="Q329" s="6">
        <v>1510.66</v>
      </c>
      <c r="R329" s="7">
        <v>45536</v>
      </c>
      <c r="S329" s="6">
        <v>686.62</v>
      </c>
      <c r="T329" s="6">
        <v>-9.5500000000000007</v>
      </c>
      <c r="U329" s="15">
        <v>45536</v>
      </c>
      <c r="V329" s="6">
        <v>0</v>
      </c>
      <c r="W329" s="6">
        <f ca="1">IFERROR(__xludf.DUMMYFUNCTION("IFERROR(GOOGLEFINANCE(B329,""pe""),V329)"),0)</f>
        <v>0</v>
      </c>
      <c r="X329" s="6">
        <v>0</v>
      </c>
      <c r="Y329" s="6">
        <v>17.670000000000002</v>
      </c>
      <c r="Z329" s="6">
        <v>2</v>
      </c>
      <c r="AA329" s="8">
        <v>45352</v>
      </c>
      <c r="AB329" s="4">
        <v>3.69</v>
      </c>
      <c r="AC329" s="6">
        <v>11.58</v>
      </c>
      <c r="AD329" s="6">
        <v>10.67</v>
      </c>
      <c r="AE329" s="1">
        <v>0</v>
      </c>
      <c r="AF329" s="1">
        <f ca="1">IFERROR(__xludf.DUMMYFUNCTION("IFERROR(GOOGLEFINANCE(TRIM(F329)&amp;"":"" &amp; TRIM(B329),""high52""),AE329)"),0)</f>
        <v>0</v>
      </c>
      <c r="AG329" s="1">
        <v>0</v>
      </c>
      <c r="AH329" s="1">
        <f ca="1">IFERROR(__xludf.DUMMYFUNCTION("IFERROR(GOOGLEFINANCE(TRIM(F329)&amp;"":"" &amp; TRIM(B329),""low52""),AE329)"),0)</f>
        <v>0</v>
      </c>
      <c r="AI329" s="1">
        <f ca="1">IFERROR(__xludf.DUMMYFUNCTION("IFERROR(GOOGLEFINANCE(B329,""eps""),0)"),0)</f>
        <v>0</v>
      </c>
      <c r="AJ329" s="1"/>
      <c r="AK329" s="1" t="s">
        <v>1077</v>
      </c>
      <c r="AL329" s="1" t="b">
        <f t="shared" ref="AL329:AL331" si="72">ISNUMBER(AA329)</f>
        <v>1</v>
      </c>
    </row>
    <row r="330" spans="1:38" ht="15" x14ac:dyDescent="0.25">
      <c r="A330" s="1" t="s">
        <v>1078</v>
      </c>
      <c r="B330" s="1" t="s">
        <v>1079</v>
      </c>
      <c r="C330" s="1" t="s">
        <v>643</v>
      </c>
      <c r="D330" s="1" t="s">
        <v>643</v>
      </c>
      <c r="E330" s="6">
        <v>9019.31</v>
      </c>
      <c r="F330" s="1" t="s">
        <v>53</v>
      </c>
      <c r="G330" s="6">
        <f ca="1">IFERROR(__xludf.DUMMYFUNCTION("iferror(GOOGLEFINANCE(TRIM(F330)&amp;"":"" &amp; TRIM(B330), ""price""),0
)"),0)</f>
        <v>0</v>
      </c>
      <c r="H330" s="6">
        <v>963.95</v>
      </c>
      <c r="I330" s="6">
        <f t="shared" ca="1" si="0"/>
        <v>963.95</v>
      </c>
      <c r="J330" s="6">
        <f ca="1">IFERROR(__xludf.DUMMYFUNCTION("IFERROR(GOOGLEFINANCE(B330, ""volume""), 0)"),78793)</f>
        <v>78793</v>
      </c>
      <c r="K330" s="6">
        <v>0.83</v>
      </c>
      <c r="L330" s="6">
        <f ca="1">IFERROR(__xludf.DUMMYFUNCTION("IFERROR(GOOGLEFINANCE(B330,""changepct""),K330)"),0.46)</f>
        <v>0.46</v>
      </c>
      <c r="M330" s="6">
        <f ca="1">IFERROR(__xludf.DUMMYFUNCTION("IFERROR(GOOGLEFINANCE(B330,""change""),0)"),2.65)</f>
        <v>2.65</v>
      </c>
      <c r="N330" s="6">
        <v>2</v>
      </c>
      <c r="O330" s="7">
        <v>45536</v>
      </c>
      <c r="P330" s="6">
        <v>208.58</v>
      </c>
      <c r="Q330" s="6">
        <v>8994.15</v>
      </c>
      <c r="R330" s="7">
        <v>45536</v>
      </c>
      <c r="S330" s="6">
        <v>885.4</v>
      </c>
      <c r="T330" s="6">
        <v>126.32</v>
      </c>
      <c r="U330" s="7">
        <v>45536</v>
      </c>
      <c r="V330" s="6">
        <v>71.92</v>
      </c>
      <c r="W330" s="6">
        <f ca="1">IFERROR(__xludf.DUMMYFUNCTION("IFERROR(GOOGLEFINANCE(B330,""pe""),V330)"),41.94)</f>
        <v>41.94</v>
      </c>
      <c r="X330" s="6">
        <v>0.65</v>
      </c>
      <c r="Y330" s="6">
        <v>14.96</v>
      </c>
      <c r="Z330" s="6">
        <v>2</v>
      </c>
      <c r="AA330" s="8">
        <v>45352</v>
      </c>
      <c r="AB330" s="4">
        <v>0.51</v>
      </c>
      <c r="AC330" s="6">
        <v>38.67</v>
      </c>
      <c r="AD330" s="6">
        <v>36.15</v>
      </c>
      <c r="AE330" s="1">
        <v>0</v>
      </c>
      <c r="AF330" s="1">
        <f ca="1">IFERROR(__xludf.DUMMYFUNCTION("IFERROR(GOOGLEFINANCE(TRIM(F330)&amp;"":"" &amp; TRIM(B330),""high52""),AE330)"),0)</f>
        <v>0</v>
      </c>
      <c r="AG330" s="1">
        <v>0</v>
      </c>
      <c r="AH330" s="1">
        <f ca="1">IFERROR(__xludf.DUMMYFUNCTION("IFERROR(GOOGLEFINANCE(TRIM(F330)&amp;"":"" &amp; TRIM(B330),""low52""),AE330)"),0)</f>
        <v>0</v>
      </c>
      <c r="AI330" s="1">
        <f ca="1">IFERROR(__xludf.DUMMYFUNCTION("IFERROR(GOOGLEFINANCE(B330,""eps""),0)"),13.71)</f>
        <v>13.71</v>
      </c>
      <c r="AJ330" s="1"/>
      <c r="AK330" s="1" t="s">
        <v>1080</v>
      </c>
      <c r="AL330" s="1" t="b">
        <f t="shared" si="72"/>
        <v>1</v>
      </c>
    </row>
    <row r="331" spans="1:38" ht="15" x14ac:dyDescent="0.25">
      <c r="A331" s="1" t="s">
        <v>1081</v>
      </c>
      <c r="B331" s="1" t="s">
        <v>1082</v>
      </c>
      <c r="C331" s="1" t="s">
        <v>135</v>
      </c>
      <c r="D331" s="1" t="s">
        <v>135</v>
      </c>
      <c r="E331" s="6">
        <v>99.62</v>
      </c>
      <c r="F331" s="1" t="s">
        <v>40</v>
      </c>
      <c r="G331" s="6">
        <f ca="1">IFERROR(__xludf.DUMMYFUNCTION("iferror(GOOGLEFINANCE(TRIM(F331)&amp;"":"" &amp; TRIM(B331), ""price""),0
)"),0)</f>
        <v>0</v>
      </c>
      <c r="H331" s="6">
        <v>81.5</v>
      </c>
      <c r="I331" s="6">
        <f t="shared" ca="1" si="0"/>
        <v>81.5</v>
      </c>
      <c r="J331" s="6">
        <f ca="1">IFERROR(__xludf.DUMMYFUNCTION("IFERROR(GOOGLEFINANCE(B331, ""volume""), 0)"),0)</f>
        <v>0</v>
      </c>
      <c r="K331" s="6">
        <v>-0.18</v>
      </c>
      <c r="L331" s="6">
        <f ca="1">IFERROR(__xludf.DUMMYFUNCTION("IFERROR(GOOGLEFINANCE(B331,""changepct""),K331)"),-0.18)</f>
        <v>-0.18</v>
      </c>
      <c r="M331" s="6">
        <f ca="1">IFERROR(__xludf.DUMMYFUNCTION("IFERROR(GOOGLEFINANCE(B331,""change""),0)"),0)</f>
        <v>0</v>
      </c>
      <c r="N331" s="6">
        <v>1</v>
      </c>
      <c r="O331" s="7">
        <v>45536</v>
      </c>
      <c r="P331" s="6">
        <v>42.64</v>
      </c>
      <c r="Q331" s="6">
        <v>142.26</v>
      </c>
      <c r="R331" s="7">
        <v>45352</v>
      </c>
      <c r="S331" s="6">
        <v>243.44</v>
      </c>
      <c r="T331" s="6">
        <v>5.8</v>
      </c>
      <c r="U331" s="7">
        <v>45352</v>
      </c>
      <c r="V331" s="6">
        <v>17.16</v>
      </c>
      <c r="W331" s="6">
        <f ca="1">IFERROR(__xludf.DUMMYFUNCTION("IFERROR(GOOGLEFINANCE(B331,""pe""),V331)"),17.16)</f>
        <v>17.16</v>
      </c>
      <c r="X331" s="9"/>
      <c r="Y331" s="6">
        <v>2.74</v>
      </c>
      <c r="Z331" s="6">
        <v>2</v>
      </c>
      <c r="AA331" s="8">
        <v>45352</v>
      </c>
      <c r="AB331" s="4">
        <v>0.84</v>
      </c>
      <c r="AC331" s="6">
        <v>21.14</v>
      </c>
      <c r="AD331" s="6">
        <v>18.190000000000001</v>
      </c>
      <c r="AE331" s="1">
        <v>0</v>
      </c>
      <c r="AF331" s="1">
        <f ca="1">IFERROR(__xludf.DUMMYFUNCTION("IFERROR(GOOGLEFINANCE(TRIM(F331)&amp;"":"" &amp; TRIM(B331),""high52""),AE331)"),0)</f>
        <v>0</v>
      </c>
      <c r="AG331" s="1">
        <v>0</v>
      </c>
      <c r="AH331" s="1">
        <f ca="1">IFERROR(__xludf.DUMMYFUNCTION("IFERROR(GOOGLEFINANCE(TRIM(F331)&amp;"":"" &amp; TRIM(B331),""low52""),AE331)"),0)</f>
        <v>0</v>
      </c>
      <c r="AI331" s="1">
        <f ca="1">IFERROR(__xludf.DUMMYFUNCTION("IFERROR(GOOGLEFINANCE(B331,""eps""),0)"),0)</f>
        <v>0</v>
      </c>
      <c r="AJ331" s="1"/>
      <c r="AK331" s="1" t="s">
        <v>1083</v>
      </c>
      <c r="AL331" s="1" t="b">
        <f t="shared" si="72"/>
        <v>1</v>
      </c>
    </row>
    <row r="332" spans="1:38" ht="15" x14ac:dyDescent="0.25">
      <c r="A332" s="1" t="s">
        <v>1084</v>
      </c>
      <c r="B332" s="1" t="s">
        <v>1085</v>
      </c>
      <c r="C332" s="1" t="s">
        <v>106</v>
      </c>
      <c r="D332" s="1" t="s">
        <v>106</v>
      </c>
      <c r="E332" s="6">
        <v>78329.81</v>
      </c>
      <c r="F332" s="1" t="s">
        <v>40</v>
      </c>
      <c r="G332" s="6">
        <f ca="1">IFERROR(__xludf.DUMMYFUNCTION("iferror(GOOGLEFINANCE(TRIM(F332)&amp;"":"" &amp; TRIM(B332), ""price""),0
)"),1178)</f>
        <v>1178</v>
      </c>
      <c r="H332" s="6">
        <v>1332.1</v>
      </c>
      <c r="I332" s="6">
        <f t="shared" ca="1" si="0"/>
        <v>1178</v>
      </c>
      <c r="J332" s="6">
        <f ca="1">IFERROR(__xludf.DUMMYFUNCTION("IFERROR(GOOGLEFINANCE(B332, ""volume""), 0)"),768352)</f>
        <v>768352</v>
      </c>
      <c r="K332" s="6">
        <v>-1.24</v>
      </c>
      <c r="L332" s="6">
        <f ca="1">IFERROR(__xludf.DUMMYFUNCTION("IFERROR(GOOGLEFINANCE(B332,""changepct""),K332)"),0.5)</f>
        <v>0.5</v>
      </c>
      <c r="M332" s="6">
        <f ca="1">IFERROR(__xludf.DUMMYFUNCTION("IFERROR(GOOGLEFINANCE(B332,""change""),0)"),5.9)</f>
        <v>5.9</v>
      </c>
      <c r="N332" s="6">
        <v>2</v>
      </c>
      <c r="O332" s="7">
        <v>45536</v>
      </c>
      <c r="P332" s="6">
        <v>8090.87</v>
      </c>
      <c r="Q332" s="6">
        <v>79580.97</v>
      </c>
      <c r="R332" s="7">
        <v>45536</v>
      </c>
      <c r="S332" s="6">
        <v>30295.02</v>
      </c>
      <c r="T332" s="6">
        <v>3598.83</v>
      </c>
      <c r="U332" s="7">
        <v>45536</v>
      </c>
      <c r="V332" s="6">
        <v>21.87</v>
      </c>
      <c r="W332" s="6">
        <f ca="1">IFERROR(__xludf.DUMMYFUNCTION("IFERROR(GOOGLEFINANCE(B332,""pe""),V332)"),19.99)</f>
        <v>19.989999999999998</v>
      </c>
      <c r="X332" s="6">
        <v>3.43</v>
      </c>
      <c r="Y332" s="6">
        <v>2.54</v>
      </c>
      <c r="Z332" s="6">
        <v>2</v>
      </c>
      <c r="AA332" s="8">
        <v>45352</v>
      </c>
      <c r="AB332" s="4">
        <v>0.21</v>
      </c>
      <c r="AC332" s="6">
        <v>11.18</v>
      </c>
      <c r="AD332" s="6">
        <v>13.76</v>
      </c>
      <c r="AE332" s="1">
        <v>0</v>
      </c>
      <c r="AF332" s="1">
        <f ca="1">IFERROR(__xludf.DUMMYFUNCTION("IFERROR(GOOGLEFINANCE(TRIM(F332)&amp;"":"" &amp; TRIM(B332),""high52""),AE332)"),1278.6)</f>
        <v>1278.5999999999999</v>
      </c>
      <c r="AG332" s="1">
        <v>0</v>
      </c>
      <c r="AH332" s="1">
        <f ca="1">IFERROR(__xludf.DUMMYFUNCTION("IFERROR(GOOGLEFINANCE(TRIM(F332)&amp;"":"" &amp; TRIM(B332),""low52""),AE332)"),1010)</f>
        <v>1010</v>
      </c>
      <c r="AI332" s="1">
        <f ca="1">IFERROR(__xludf.DUMMYFUNCTION("IFERROR(GOOGLEFINANCE(B332,""eps""),0)"),58.93)</f>
        <v>58.93</v>
      </c>
      <c r="AJ332" s="1"/>
      <c r="AK332" s="1" t="s">
        <v>1086</v>
      </c>
      <c r="AL332" s="9">
        <f>IF(AA332&lt;&gt;AB332,1,0)</f>
        <v>1</v>
      </c>
    </row>
    <row r="333" spans="1:38" ht="15" x14ac:dyDescent="0.25">
      <c r="A333" s="1" t="s">
        <v>1087</v>
      </c>
      <c r="B333" s="1" t="s">
        <v>1088</v>
      </c>
      <c r="C333" s="1" t="s">
        <v>643</v>
      </c>
      <c r="D333" s="1" t="s">
        <v>643</v>
      </c>
      <c r="E333" s="6">
        <v>140.26</v>
      </c>
      <c r="F333" s="1" t="s">
        <v>53</v>
      </c>
      <c r="G333" s="6">
        <f ca="1">IFERROR(__xludf.DUMMYFUNCTION("iferror(GOOGLEFINANCE(TRIM(F333)&amp;"":"" &amp; TRIM(B333), ""price""),0
)"),0)</f>
        <v>0</v>
      </c>
      <c r="H333" s="6">
        <v>362.65</v>
      </c>
      <c r="I333" s="6">
        <f t="shared" ca="1" si="0"/>
        <v>362.65</v>
      </c>
      <c r="J333" s="6">
        <f ca="1">IFERROR(__xludf.DUMMYFUNCTION("IFERROR(GOOGLEFINANCE(B333, ""volume""), 0)"),0)</f>
        <v>0</v>
      </c>
      <c r="K333" s="6">
        <v>-2</v>
      </c>
      <c r="L333" s="6">
        <f ca="1">IFERROR(__xludf.DUMMYFUNCTION("IFERROR(GOOGLEFINANCE(B333,""changepct""),K333)"),-2)</f>
        <v>-2</v>
      </c>
      <c r="M333" s="6">
        <f ca="1">IFERROR(__xludf.DUMMYFUNCTION("IFERROR(GOOGLEFINANCE(B333,""change""),0)"),0)</f>
        <v>0</v>
      </c>
      <c r="N333" s="6">
        <v>2</v>
      </c>
      <c r="O333" s="7">
        <v>45536</v>
      </c>
      <c r="P333" s="6">
        <v>8.5399999999999991</v>
      </c>
      <c r="Q333" s="6">
        <v>144.63999999999999</v>
      </c>
      <c r="R333" s="7">
        <v>45536</v>
      </c>
      <c r="S333" s="6">
        <v>0.01</v>
      </c>
      <c r="T333" s="6">
        <v>-0.42</v>
      </c>
      <c r="U333" s="7">
        <v>45536</v>
      </c>
      <c r="V333" s="6">
        <v>0</v>
      </c>
      <c r="W333" s="6">
        <f ca="1">IFERROR(__xludf.DUMMYFUNCTION("IFERROR(GOOGLEFINANCE(B333,""pe""),V333)"),0)</f>
        <v>0</v>
      </c>
      <c r="X333" s="6">
        <v>0</v>
      </c>
      <c r="Y333" s="6">
        <v>20.87</v>
      </c>
      <c r="Z333" s="6">
        <v>2</v>
      </c>
      <c r="AA333" s="8">
        <v>45352</v>
      </c>
      <c r="AB333" s="4">
        <v>1.1000000000000001</v>
      </c>
      <c r="AC333" s="6">
        <v>-11.33</v>
      </c>
      <c r="AD333" s="6">
        <v>-0.43</v>
      </c>
      <c r="AE333" s="1">
        <v>0</v>
      </c>
      <c r="AF333" s="1">
        <f ca="1">IFERROR(__xludf.DUMMYFUNCTION("IFERROR(GOOGLEFINANCE(TRIM(F333)&amp;"":"" &amp; TRIM(B333),""high52""),AE333)"),0)</f>
        <v>0</v>
      </c>
      <c r="AG333" s="1">
        <v>0</v>
      </c>
      <c r="AH333" s="1">
        <f ca="1">IFERROR(__xludf.DUMMYFUNCTION("IFERROR(GOOGLEFINANCE(TRIM(F333)&amp;"":"" &amp; TRIM(B333),""low52""),AE333)"),0)</f>
        <v>0</v>
      </c>
      <c r="AI333" s="1">
        <f ca="1">IFERROR(__xludf.DUMMYFUNCTION("IFERROR(GOOGLEFINANCE(B333,""eps""),0)"),0)</f>
        <v>0</v>
      </c>
      <c r="AJ333" s="1"/>
      <c r="AK333" s="9"/>
      <c r="AL333" s="1" t="b">
        <f>ISBLANK(AB333)</f>
        <v>0</v>
      </c>
    </row>
    <row r="334" spans="1:38" ht="15" x14ac:dyDescent="0.25">
      <c r="A334" s="1" t="s">
        <v>1089</v>
      </c>
      <c r="B334" s="1" t="s">
        <v>1090</v>
      </c>
      <c r="C334" s="1" t="s">
        <v>57</v>
      </c>
      <c r="D334" s="1" t="s">
        <v>57</v>
      </c>
      <c r="E334" s="6">
        <v>1876.06</v>
      </c>
      <c r="F334" s="1" t="s">
        <v>40</v>
      </c>
      <c r="G334" s="6">
        <f ca="1">IFERROR(__xludf.DUMMYFUNCTION("iferror(GOOGLEFINANCE(TRIM(F334)&amp;"":"" &amp; TRIM(B334), ""price""),0
)"),175.4)</f>
        <v>175.4</v>
      </c>
      <c r="H334" s="6">
        <v>257</v>
      </c>
      <c r="I334" s="6">
        <f t="shared" ca="1" si="0"/>
        <v>175.4</v>
      </c>
      <c r="J334" s="6">
        <f ca="1">IFERROR(__xludf.DUMMYFUNCTION("IFERROR(GOOGLEFINANCE(B334, ""volume""), 0)"),9888)</f>
        <v>9888</v>
      </c>
      <c r="K334" s="6">
        <v>-1.18</v>
      </c>
      <c r="L334" s="6">
        <f ca="1">IFERROR(__xludf.DUMMYFUNCTION("IFERROR(GOOGLEFINANCE(B334,""changepct""),K334)"),-1.02)</f>
        <v>-1.02</v>
      </c>
      <c r="M334" s="6">
        <f ca="1">IFERROR(__xludf.DUMMYFUNCTION("IFERROR(GOOGLEFINANCE(B334,""change""),0)"),-1.8)</f>
        <v>-1.8</v>
      </c>
      <c r="N334" s="6">
        <v>2</v>
      </c>
      <c r="O334" s="7">
        <v>45536</v>
      </c>
      <c r="P334" s="6">
        <v>65.599999999999994</v>
      </c>
      <c r="Q334" s="6">
        <v>1913.3</v>
      </c>
      <c r="R334" s="7">
        <v>45536</v>
      </c>
      <c r="S334" s="6">
        <v>245.97</v>
      </c>
      <c r="T334" s="6">
        <v>-48.82</v>
      </c>
      <c r="U334" s="7">
        <v>45536</v>
      </c>
      <c r="V334" s="6">
        <v>0</v>
      </c>
      <c r="W334" s="6">
        <f ca="1">IFERROR(__xludf.DUMMYFUNCTION("IFERROR(GOOGLEFINANCE(B334,""pe""),V334)"),0)</f>
        <v>0</v>
      </c>
      <c r="X334" s="9"/>
      <c r="Y334" s="6">
        <v>6.41</v>
      </c>
      <c r="Z334" s="6">
        <v>2</v>
      </c>
      <c r="AA334" s="8">
        <v>45352</v>
      </c>
      <c r="AB334" s="4">
        <v>1.1399999999999999</v>
      </c>
      <c r="AC334" s="6">
        <v>-33.94</v>
      </c>
      <c r="AD334" s="6">
        <v>-17.21</v>
      </c>
      <c r="AE334" s="1">
        <v>0</v>
      </c>
      <c r="AF334" s="1">
        <f ca="1">IFERROR(__xludf.DUMMYFUNCTION("IFERROR(GOOGLEFINANCE(TRIM(F334)&amp;"":"" &amp; TRIM(B334),""high52""),AE334)"),225.7)</f>
        <v>225.7</v>
      </c>
      <c r="AG334" s="1">
        <v>0</v>
      </c>
      <c r="AH334" s="1">
        <f ca="1">IFERROR(__xludf.DUMMYFUNCTION("IFERROR(GOOGLEFINANCE(TRIM(F334)&amp;"":"" &amp; TRIM(B334),""low52""),AE334)"),144.4)</f>
        <v>144.4</v>
      </c>
      <c r="AI334" s="1">
        <f ca="1">IFERROR(__xludf.DUMMYFUNCTION("IFERROR(GOOGLEFINANCE(B334,""eps""),0)"),-3.62)</f>
        <v>-3.62</v>
      </c>
      <c r="AJ334" s="1"/>
      <c r="AK334" s="1" t="s">
        <v>1091</v>
      </c>
      <c r="AL334" s="9">
        <f t="shared" ref="AL334:AL335" si="73">IF(AA334&lt;&gt;AB334,1,0)</f>
        <v>1</v>
      </c>
    </row>
    <row r="335" spans="1:38" ht="15" x14ac:dyDescent="0.25">
      <c r="A335" s="1" t="s">
        <v>1092</v>
      </c>
      <c r="B335" s="1" t="s">
        <v>1093</v>
      </c>
      <c r="C335" s="1" t="s">
        <v>227</v>
      </c>
      <c r="D335" s="1" t="s">
        <v>227</v>
      </c>
      <c r="E335" s="6">
        <v>140.32</v>
      </c>
      <c r="F335" s="1" t="s">
        <v>40</v>
      </c>
      <c r="G335" s="6">
        <f ca="1">IFERROR(__xludf.DUMMYFUNCTION("iferror(GOOGLEFINANCE(TRIM(F335)&amp;"":"" &amp; TRIM(B335), ""price""),0
)"),107.88)</f>
        <v>107.88</v>
      </c>
      <c r="H335" s="6">
        <v>102.89</v>
      </c>
      <c r="I335" s="6">
        <f t="shared" ca="1" si="0"/>
        <v>107.88</v>
      </c>
      <c r="J335" s="6">
        <f ca="1">IFERROR(__xludf.DUMMYFUNCTION("IFERROR(GOOGLEFINANCE(B335, ""volume""), 0)"),21291)</f>
        <v>21291</v>
      </c>
      <c r="K335" s="6">
        <v>1.5</v>
      </c>
      <c r="L335" s="6">
        <f ca="1">IFERROR(__xludf.DUMMYFUNCTION("IFERROR(GOOGLEFINANCE(B335,""changepct""),K335)"),-3.77)</f>
        <v>-3.77</v>
      </c>
      <c r="M335" s="6">
        <f ca="1">IFERROR(__xludf.DUMMYFUNCTION("IFERROR(GOOGLEFINANCE(B335,""change""),0)"),-4.23)</f>
        <v>-4.2300000000000004</v>
      </c>
      <c r="N335" s="6">
        <v>2</v>
      </c>
      <c r="O335" s="7">
        <v>45536</v>
      </c>
      <c r="P335" s="6">
        <v>0.17</v>
      </c>
      <c r="Q335" s="6">
        <v>137.49</v>
      </c>
      <c r="R335" s="7">
        <v>45536</v>
      </c>
      <c r="S335" s="6">
        <v>1768.8</v>
      </c>
      <c r="T335" s="6">
        <v>10.23</v>
      </c>
      <c r="U335" s="7">
        <v>45536</v>
      </c>
      <c r="V335" s="6">
        <v>11.64</v>
      </c>
      <c r="W335" s="6">
        <f ca="1">IFERROR(__xludf.DUMMYFUNCTION("IFERROR(GOOGLEFINANCE(B335,""pe""),V335)"),5.29)</f>
        <v>5.29</v>
      </c>
      <c r="X335" s="6">
        <v>-6.89</v>
      </c>
      <c r="Y335" s="6">
        <v>1.06</v>
      </c>
      <c r="Z335" s="6">
        <v>2</v>
      </c>
      <c r="AA335" s="8">
        <v>45352</v>
      </c>
      <c r="AB335" s="4">
        <v>0.03</v>
      </c>
      <c r="AC335" s="6">
        <v>7.59</v>
      </c>
      <c r="AD335" s="6">
        <v>8.5</v>
      </c>
      <c r="AE335" s="1">
        <v>0</v>
      </c>
      <c r="AF335" s="1">
        <f ca="1">IFERROR(__xludf.DUMMYFUNCTION("IFERROR(GOOGLEFINANCE(TRIM(F335)&amp;"":"" &amp; TRIM(B335),""high52""),AE335)"),178)</f>
        <v>178</v>
      </c>
      <c r="AG335" s="1">
        <v>0</v>
      </c>
      <c r="AH335" s="1">
        <f ca="1">IFERROR(__xludf.DUMMYFUNCTION("IFERROR(GOOGLEFINANCE(TRIM(F335)&amp;"":"" &amp; TRIM(B335),""low52""),AE335)"),72.8)</f>
        <v>72.8</v>
      </c>
      <c r="AI335" s="1">
        <f ca="1">IFERROR(__xludf.DUMMYFUNCTION("IFERROR(GOOGLEFINANCE(B335,""eps""),0)"),20.4)</f>
        <v>20.399999999999999</v>
      </c>
      <c r="AJ335" s="1"/>
      <c r="AK335" s="1" t="s">
        <v>1094</v>
      </c>
      <c r="AL335" s="9">
        <f t="shared" si="73"/>
        <v>1</v>
      </c>
    </row>
    <row r="336" spans="1:38" ht="15" x14ac:dyDescent="0.25">
      <c r="A336" s="1" t="s">
        <v>1095</v>
      </c>
      <c r="B336" s="1" t="s">
        <v>1096</v>
      </c>
      <c r="C336" s="1" t="s">
        <v>643</v>
      </c>
      <c r="D336" s="1" t="s">
        <v>643</v>
      </c>
      <c r="E336" s="6">
        <v>211.85</v>
      </c>
      <c r="F336" s="1" t="s">
        <v>53</v>
      </c>
      <c r="G336" s="6">
        <f ca="1">IFERROR(__xludf.DUMMYFUNCTION("iferror(GOOGLEFINANCE(TRIM(F336)&amp;"":"" &amp; TRIM(B336), ""price""),0
)"),0)</f>
        <v>0</v>
      </c>
      <c r="H336" s="6">
        <v>22.41</v>
      </c>
      <c r="I336" s="6">
        <f t="shared" ca="1" si="0"/>
        <v>22.41</v>
      </c>
      <c r="J336" s="6">
        <f ca="1">IFERROR(__xludf.DUMMYFUNCTION("IFERROR(GOOGLEFINANCE(B336, ""volume""), 0)"),0)</f>
        <v>0</v>
      </c>
      <c r="K336" s="6">
        <v>0.27</v>
      </c>
      <c r="L336" s="6">
        <f ca="1">IFERROR(__xludf.DUMMYFUNCTION("IFERROR(GOOGLEFINANCE(B336,""changepct""),K336)"),0.27)</f>
        <v>0.27</v>
      </c>
      <c r="M336" s="6">
        <f ca="1">IFERROR(__xludf.DUMMYFUNCTION("IFERROR(GOOGLEFINANCE(B336,""change""),0)"),0)</f>
        <v>0</v>
      </c>
      <c r="N336" s="6">
        <v>1</v>
      </c>
      <c r="O336" s="7">
        <v>45536</v>
      </c>
      <c r="P336" s="6">
        <v>19.93</v>
      </c>
      <c r="Q336" s="6">
        <v>231.79</v>
      </c>
      <c r="R336" s="7">
        <v>45536</v>
      </c>
      <c r="S336" s="6">
        <v>9.73</v>
      </c>
      <c r="T336" s="6">
        <v>-0.67</v>
      </c>
      <c r="U336" s="7">
        <v>45536</v>
      </c>
      <c r="V336" s="6">
        <v>0</v>
      </c>
      <c r="W336" s="6">
        <f ca="1">IFERROR(__xludf.DUMMYFUNCTION("IFERROR(GOOGLEFINANCE(B336,""pe""),V336)"),0)</f>
        <v>0</v>
      </c>
      <c r="X336" s="6">
        <v>0</v>
      </c>
      <c r="Y336" s="6">
        <v>2.89</v>
      </c>
      <c r="Z336" s="6">
        <v>1</v>
      </c>
      <c r="AA336" s="8">
        <v>45352</v>
      </c>
      <c r="AB336" s="4">
        <v>0.21</v>
      </c>
      <c r="AC336" s="6">
        <v>0.14000000000000001</v>
      </c>
      <c r="AD336" s="6">
        <v>0.13</v>
      </c>
      <c r="AE336" s="1">
        <v>0</v>
      </c>
      <c r="AF336" s="1">
        <f ca="1">IFERROR(__xludf.DUMMYFUNCTION("IFERROR(GOOGLEFINANCE(TRIM(F336)&amp;"":"" &amp; TRIM(B336),""high52""),AE336)"),0)</f>
        <v>0</v>
      </c>
      <c r="AG336" s="1">
        <v>0</v>
      </c>
      <c r="AH336" s="1">
        <f ca="1">IFERROR(__xludf.DUMMYFUNCTION("IFERROR(GOOGLEFINANCE(TRIM(F336)&amp;"":"" &amp; TRIM(B336),""low52""),AE336)"),0)</f>
        <v>0</v>
      </c>
      <c r="AI336" s="1">
        <f ca="1">IFERROR(__xludf.DUMMYFUNCTION("IFERROR(GOOGLEFINANCE(B336,""eps""),0)"),0)</f>
        <v>0</v>
      </c>
      <c r="AJ336" s="1"/>
      <c r="AK336" s="1" t="s">
        <v>1097</v>
      </c>
      <c r="AL336" s="1" t="b">
        <f>ISNUMBER(AA336)</f>
        <v>1</v>
      </c>
    </row>
    <row r="337" spans="1:38" ht="15" x14ac:dyDescent="0.25">
      <c r="A337" s="1" t="s">
        <v>1098</v>
      </c>
      <c r="B337" s="1" t="s">
        <v>1099</v>
      </c>
      <c r="C337" s="1" t="s">
        <v>525</v>
      </c>
      <c r="D337" s="1" t="s">
        <v>525</v>
      </c>
      <c r="E337" s="6">
        <v>1044.44</v>
      </c>
      <c r="F337" s="1" t="s">
        <v>40</v>
      </c>
      <c r="G337" s="6">
        <f ca="1">IFERROR(__xludf.DUMMYFUNCTION("iferror(GOOGLEFINANCE(TRIM(F337)&amp;"":"" &amp; TRIM(B337), ""price""),0
)"),0)</f>
        <v>0</v>
      </c>
      <c r="H337" s="6">
        <v>532</v>
      </c>
      <c r="I337" s="6">
        <f t="shared" ca="1" si="0"/>
        <v>532</v>
      </c>
      <c r="J337" s="6">
        <f ca="1">IFERROR(__xludf.DUMMYFUNCTION("IFERROR(GOOGLEFINANCE(B337, ""volume""), 0)"),600)</f>
        <v>600</v>
      </c>
      <c r="K337" s="6">
        <v>0.55000000000000004</v>
      </c>
      <c r="L337" s="6">
        <f ca="1">IFERROR(__xludf.DUMMYFUNCTION("IFERROR(GOOGLEFINANCE(B337,""changepct""),K337)"),-1.3)</f>
        <v>-1.3</v>
      </c>
      <c r="M337" s="6">
        <f ca="1">IFERROR(__xludf.DUMMYFUNCTION("IFERROR(GOOGLEFINANCE(B337,""change""),0)"),-0.03)</f>
        <v>-0.03</v>
      </c>
      <c r="N337" s="6">
        <v>1</v>
      </c>
      <c r="O337" s="7">
        <v>45536</v>
      </c>
      <c r="P337" s="6">
        <v>8.7200000000000006</v>
      </c>
      <c r="Q337" s="6">
        <v>1053.17</v>
      </c>
      <c r="R337" s="7">
        <v>45352</v>
      </c>
      <c r="S337" s="6">
        <v>149.66999999999999</v>
      </c>
      <c r="T337" s="6">
        <v>6.15</v>
      </c>
      <c r="U337" s="7">
        <v>45352</v>
      </c>
      <c r="V337" s="6">
        <v>169.75</v>
      </c>
      <c r="W337" s="6">
        <f ca="1">IFERROR(__xludf.DUMMYFUNCTION("IFERROR(GOOGLEFINANCE(B337,""pe""),V337)"),169.75)</f>
        <v>169.75</v>
      </c>
      <c r="X337" s="12"/>
      <c r="Y337" s="6">
        <v>21.72</v>
      </c>
      <c r="Z337" s="6">
        <v>1</v>
      </c>
      <c r="AA337" s="8">
        <v>45352</v>
      </c>
      <c r="AB337" s="4">
        <v>0.2</v>
      </c>
      <c r="AC337" s="6">
        <v>19.63</v>
      </c>
      <c r="AD337" s="6">
        <v>22.88</v>
      </c>
      <c r="AE337" s="1">
        <v>0</v>
      </c>
      <c r="AF337" s="1">
        <f ca="1">IFERROR(__xludf.DUMMYFUNCTION("IFERROR(GOOGLEFINANCE(TRIM(F337)&amp;"":"" &amp; TRIM(B337),""high52""),AE337)"),0)</f>
        <v>0</v>
      </c>
      <c r="AG337" s="1">
        <v>0</v>
      </c>
      <c r="AH337" s="1">
        <f ca="1">IFERROR(__xludf.DUMMYFUNCTION("IFERROR(GOOGLEFINANCE(TRIM(F337)&amp;"":"" &amp; TRIM(B337),""low52""),AE337)"),0)</f>
        <v>0</v>
      </c>
      <c r="AI337" s="1">
        <f ca="1">IFERROR(__xludf.DUMMYFUNCTION("IFERROR(GOOGLEFINANCE(B337,""eps""),0)"),0)</f>
        <v>0</v>
      </c>
      <c r="AJ337" s="1"/>
      <c r="AK337" s="1" t="s">
        <v>1100</v>
      </c>
      <c r="AL337" s="9">
        <f t="shared" ref="AL337:AL338" si="74">IF(AA337&lt;&gt;AB337,1,0)</f>
        <v>1</v>
      </c>
    </row>
    <row r="338" spans="1:38" ht="15" x14ac:dyDescent="0.25">
      <c r="A338" s="1" t="s">
        <v>1101</v>
      </c>
      <c r="B338" s="1" t="s">
        <v>1102</v>
      </c>
      <c r="C338" s="1" t="s">
        <v>43</v>
      </c>
      <c r="D338" s="1" t="s">
        <v>43</v>
      </c>
      <c r="E338" s="6">
        <v>32310.48</v>
      </c>
      <c r="F338" s="1" t="s">
        <v>40</v>
      </c>
      <c r="G338" s="6">
        <f ca="1">IFERROR(__xludf.DUMMYFUNCTION("iferror(GOOGLEFINANCE(TRIM(F338)&amp;"":"" &amp; TRIM(B338), ""price""),0
)"),507)</f>
        <v>507</v>
      </c>
      <c r="H338" s="6">
        <v>1957.2</v>
      </c>
      <c r="I338" s="6">
        <f t="shared" ca="1" si="0"/>
        <v>507</v>
      </c>
      <c r="J338" s="6">
        <f ca="1">IFERROR(__xludf.DUMMYFUNCTION("IFERROR(GOOGLEFINANCE(B338, ""volume""), 0)"),433533)</f>
        <v>433533</v>
      </c>
      <c r="K338" s="6">
        <v>2.91</v>
      </c>
      <c r="L338" s="6">
        <f ca="1">IFERROR(__xludf.DUMMYFUNCTION("IFERROR(GOOGLEFINANCE(B338,""changepct""),K338)"),2.69)</f>
        <v>2.69</v>
      </c>
      <c r="M338" s="6">
        <f ca="1">IFERROR(__xludf.DUMMYFUNCTION("IFERROR(GOOGLEFINANCE(B338,""change""),0)"),13.3)</f>
        <v>13.3</v>
      </c>
      <c r="N338" s="6">
        <v>2</v>
      </c>
      <c r="O338" s="7">
        <v>45536</v>
      </c>
      <c r="P338" s="6">
        <v>4077.88</v>
      </c>
      <c r="Q338" s="7">
        <v>45536</v>
      </c>
      <c r="R338" s="6">
        <v>7.92</v>
      </c>
      <c r="S338" s="9"/>
      <c r="T338" s="6">
        <v>2.5099999999999998</v>
      </c>
      <c r="U338" s="6">
        <v>2</v>
      </c>
      <c r="V338" s="7">
        <v>45352</v>
      </c>
      <c r="W338" s="6">
        <f ca="1">IFERROR(__xludf.DUMMYFUNCTION("IFERROR(GOOGLEFINANCE(B338,""pe""),V338)"),10.73)</f>
        <v>10.73</v>
      </c>
      <c r="X338" s="6">
        <v>0.11</v>
      </c>
      <c r="Y338" s="6">
        <v>62.27</v>
      </c>
      <c r="Z338" s="6">
        <v>51.72</v>
      </c>
      <c r="AA338" s="3" t="s">
        <v>1103</v>
      </c>
      <c r="AB338" s="11"/>
      <c r="AC338" s="9"/>
      <c r="AD338" s="9"/>
      <c r="AE338" s="1">
        <v>0</v>
      </c>
      <c r="AF338" s="1">
        <f ca="1">IFERROR(__xludf.DUMMYFUNCTION("IFERROR(GOOGLEFINANCE(TRIM(F338)&amp;"":"" &amp; TRIM(B338),""high52""),AE338)"),829.68)</f>
        <v>829.68</v>
      </c>
      <c r="AG338" s="1">
        <v>0</v>
      </c>
      <c r="AH338" s="1">
        <f ca="1">IFERROR(__xludf.DUMMYFUNCTION("IFERROR(GOOGLEFINANCE(TRIM(F338)&amp;"":"" &amp; TRIM(B338),""low52""),AE338)"),331.38)</f>
        <v>331.38</v>
      </c>
      <c r="AI338" s="1">
        <f ca="1">IFERROR(__xludf.DUMMYFUNCTION("IFERROR(GOOGLEFINANCE(B338,""eps""),0)"),47.27)</f>
        <v>47.27</v>
      </c>
      <c r="AJ338" s="1"/>
      <c r="AK338" s="1" t="s">
        <v>1104</v>
      </c>
      <c r="AL338" s="9">
        <f t="shared" si="74"/>
        <v>1</v>
      </c>
    </row>
    <row r="339" spans="1:38" ht="15" x14ac:dyDescent="0.25">
      <c r="A339" s="1" t="s">
        <v>1105</v>
      </c>
      <c r="B339" s="1" t="s">
        <v>1106</v>
      </c>
      <c r="C339" s="1" t="s">
        <v>355</v>
      </c>
      <c r="D339" s="1" t="s">
        <v>355</v>
      </c>
      <c r="E339" s="6">
        <v>472.34</v>
      </c>
      <c r="F339" s="1" t="s">
        <v>40</v>
      </c>
      <c r="G339" s="6">
        <f ca="1">IFERROR(__xludf.DUMMYFUNCTION("iferror(GOOGLEFINANCE(TRIM(F339)&amp;"":"" &amp; TRIM(B339), ""price""),0
)"),73.51)</f>
        <v>73.510000000000005</v>
      </c>
      <c r="H339" s="6">
        <v>110.8</v>
      </c>
      <c r="I339" s="6">
        <f t="shared" ca="1" si="0"/>
        <v>73.510000000000005</v>
      </c>
      <c r="J339" s="6">
        <f ca="1">IFERROR(__xludf.DUMMYFUNCTION("IFERROR(GOOGLEFINANCE(B339, ""volume""), 0)"),42636)</f>
        <v>42636</v>
      </c>
      <c r="K339" s="6">
        <v>1.25</v>
      </c>
      <c r="L339" s="6">
        <f ca="1">IFERROR(__xludf.DUMMYFUNCTION("IFERROR(GOOGLEFINANCE(B339,""changepct""),K339)"),-1.99)</f>
        <v>-1.99</v>
      </c>
      <c r="M339" s="6">
        <f ca="1">IFERROR(__xludf.DUMMYFUNCTION("IFERROR(GOOGLEFINANCE(B339,""change""),0)"),-1.49)</f>
        <v>-1.49</v>
      </c>
      <c r="N339" s="6">
        <v>2</v>
      </c>
      <c r="O339" s="7">
        <v>45536</v>
      </c>
      <c r="P339" s="6">
        <v>206.7</v>
      </c>
      <c r="Q339" s="6">
        <v>641.76</v>
      </c>
      <c r="R339" s="7">
        <v>45536</v>
      </c>
      <c r="S339" s="6">
        <v>650.67999999999995</v>
      </c>
      <c r="T339" s="6">
        <v>21.46</v>
      </c>
      <c r="U339" s="7">
        <v>45536</v>
      </c>
      <c r="V339" s="6">
        <v>21.7</v>
      </c>
      <c r="W339" s="6">
        <f ca="1">IFERROR(__xludf.DUMMYFUNCTION("IFERROR(GOOGLEFINANCE(B339,""pe""),V339)"),26.86)</f>
        <v>26.86</v>
      </c>
      <c r="X339" s="6">
        <v>1.17</v>
      </c>
      <c r="Y339" s="6">
        <v>2.52</v>
      </c>
      <c r="Z339" s="6">
        <v>2</v>
      </c>
      <c r="AA339" s="8">
        <v>45352</v>
      </c>
      <c r="AB339" s="4">
        <v>1.49</v>
      </c>
      <c r="AC339" s="6">
        <v>15.6</v>
      </c>
      <c r="AD339" s="6">
        <v>13.76</v>
      </c>
      <c r="AE339" s="1">
        <v>0</v>
      </c>
      <c r="AF339" s="1">
        <f ca="1">IFERROR(__xludf.DUMMYFUNCTION("IFERROR(GOOGLEFINANCE(TRIM(F339)&amp;"":"" &amp; TRIM(B339),""high52""),AE339)"),105.49)</f>
        <v>105.49</v>
      </c>
      <c r="AG339" s="1">
        <v>0</v>
      </c>
      <c r="AH339" s="1">
        <f ca="1">IFERROR(__xludf.DUMMYFUNCTION("IFERROR(GOOGLEFINANCE(TRIM(F339)&amp;"":"" &amp; TRIM(B339),""low52""),AE339)"),62.81)</f>
        <v>62.81</v>
      </c>
      <c r="AI339" s="1">
        <f ca="1">IFERROR(__xludf.DUMMYFUNCTION("IFERROR(GOOGLEFINANCE(B339,""eps""),0)"),2.74)</f>
        <v>2.74</v>
      </c>
      <c r="AJ339" s="1"/>
      <c r="AK339" s="1" t="s">
        <v>1107</v>
      </c>
      <c r="AL339" s="1" t="b">
        <f>ISNUMBER(AA339)</f>
        <v>1</v>
      </c>
    </row>
    <row r="340" spans="1:38" ht="15" x14ac:dyDescent="0.25">
      <c r="A340" s="1" t="s">
        <v>1108</v>
      </c>
      <c r="B340" s="1" t="s">
        <v>1109</v>
      </c>
      <c r="C340" s="1" t="s">
        <v>643</v>
      </c>
      <c r="D340" s="1" t="s">
        <v>643</v>
      </c>
      <c r="E340" s="6">
        <v>123.13</v>
      </c>
      <c r="F340" s="1" t="s">
        <v>53</v>
      </c>
      <c r="G340" s="6">
        <f ca="1">IFERROR(__xludf.DUMMYFUNCTION("iferror(GOOGLEFINANCE(TRIM(F340)&amp;"":"" &amp; TRIM(B340), ""price""),0
)"),0)</f>
        <v>0</v>
      </c>
      <c r="H340" s="6">
        <v>44.84</v>
      </c>
      <c r="I340" s="6">
        <f t="shared" ca="1" si="0"/>
        <v>44.84</v>
      </c>
      <c r="J340" s="6">
        <f ca="1">IFERROR(__xludf.DUMMYFUNCTION("IFERROR(GOOGLEFINANCE(B340, ""volume""), 0)"),0)</f>
        <v>0</v>
      </c>
      <c r="K340" s="6">
        <v>0.76</v>
      </c>
      <c r="L340" s="6">
        <f ca="1">IFERROR(__xludf.DUMMYFUNCTION("IFERROR(GOOGLEFINANCE(B340,""changepct""),K340)"),0.76)</f>
        <v>0.76</v>
      </c>
      <c r="M340" s="6">
        <f ca="1">IFERROR(__xludf.DUMMYFUNCTION("IFERROR(GOOGLEFINANCE(B340,""change""),0)"),0)</f>
        <v>0</v>
      </c>
      <c r="N340" s="6">
        <v>1</v>
      </c>
      <c r="O340" s="7">
        <v>45536</v>
      </c>
      <c r="P340" s="6">
        <v>9.11</v>
      </c>
      <c r="Q340" s="6">
        <v>126.55</v>
      </c>
      <c r="R340" s="7">
        <v>45536</v>
      </c>
      <c r="S340" s="6">
        <v>1.88</v>
      </c>
      <c r="T340" s="6">
        <v>1.02</v>
      </c>
      <c r="U340" s="7">
        <v>45536</v>
      </c>
      <c r="V340" s="6">
        <v>121.07</v>
      </c>
      <c r="W340" s="6">
        <f ca="1">IFERROR(__xludf.DUMMYFUNCTION("IFERROR(GOOGLEFINANCE(B340,""pe""),V340)"),121.07)</f>
        <v>121.07</v>
      </c>
      <c r="X340" s="6">
        <v>5.78</v>
      </c>
      <c r="Y340" s="6">
        <v>3.57</v>
      </c>
      <c r="Z340" s="6">
        <v>1</v>
      </c>
      <c r="AA340" s="8">
        <v>45352</v>
      </c>
      <c r="AB340" s="4">
        <v>0.27</v>
      </c>
      <c r="AC340" s="6">
        <v>1.69</v>
      </c>
      <c r="AD340" s="6">
        <v>1.62</v>
      </c>
      <c r="AE340" s="1">
        <v>0</v>
      </c>
      <c r="AF340" s="1">
        <f ca="1">IFERROR(__xludf.DUMMYFUNCTION("IFERROR(GOOGLEFINANCE(TRIM(F340)&amp;"":"" &amp; TRIM(B340),""high52""),AE340)"),0)</f>
        <v>0</v>
      </c>
      <c r="AG340" s="1">
        <v>0</v>
      </c>
      <c r="AH340" s="1">
        <f ca="1">IFERROR(__xludf.DUMMYFUNCTION("IFERROR(GOOGLEFINANCE(TRIM(F340)&amp;"":"" &amp; TRIM(B340),""low52""),AE340)"),0)</f>
        <v>0</v>
      </c>
      <c r="AI340" s="1">
        <f ca="1">IFERROR(__xludf.DUMMYFUNCTION("IFERROR(GOOGLEFINANCE(B340,""eps""),0)"),0)</f>
        <v>0</v>
      </c>
      <c r="AJ340" s="1"/>
      <c r="AK340" s="9"/>
      <c r="AL340" s="1" t="b">
        <f>ISBLANK(AB340)</f>
        <v>0</v>
      </c>
    </row>
    <row r="341" spans="1:38" ht="15" x14ac:dyDescent="0.25">
      <c r="A341" s="1" t="s">
        <v>1110</v>
      </c>
      <c r="B341" s="1" t="s">
        <v>1111</v>
      </c>
      <c r="C341" s="1" t="s">
        <v>355</v>
      </c>
      <c r="D341" s="1" t="s">
        <v>355</v>
      </c>
      <c r="E341" s="6">
        <v>2734.36</v>
      </c>
      <c r="F341" s="1" t="s">
        <v>40</v>
      </c>
      <c r="G341" s="6">
        <f ca="1">IFERROR(__xludf.DUMMYFUNCTION("iferror(GOOGLEFINANCE(TRIM(F341)&amp;"":"" &amp; TRIM(B341), ""price""),0
)"),1912)</f>
        <v>1912</v>
      </c>
      <c r="H341" s="6">
        <v>1806.25</v>
      </c>
      <c r="I341" s="6">
        <f t="shared" ca="1" si="0"/>
        <v>1912</v>
      </c>
      <c r="J341" s="6">
        <f ca="1">IFERROR(__xludf.DUMMYFUNCTION("IFERROR(GOOGLEFINANCE(B341, ""volume""), 0)"),6947)</f>
        <v>6947</v>
      </c>
      <c r="K341" s="6">
        <v>-0.04</v>
      </c>
      <c r="L341" s="6">
        <f ca="1">IFERROR(__xludf.DUMMYFUNCTION("IFERROR(GOOGLEFINANCE(B341,""changepct""),K341)"),2.71)</f>
        <v>2.71</v>
      </c>
      <c r="M341" s="6">
        <f ca="1">IFERROR(__xludf.DUMMYFUNCTION("IFERROR(GOOGLEFINANCE(B341,""change""),0)"),50.4)</f>
        <v>50.4</v>
      </c>
      <c r="N341" s="6">
        <v>1</v>
      </c>
      <c r="O341" s="7">
        <v>45536</v>
      </c>
      <c r="P341" s="9"/>
      <c r="Q341" s="6">
        <v>2709.22</v>
      </c>
      <c r="R341" s="7">
        <v>45536</v>
      </c>
      <c r="S341" s="6">
        <v>2100</v>
      </c>
      <c r="T341" s="6">
        <v>153.27000000000001</v>
      </c>
      <c r="U341" s="7">
        <v>45536</v>
      </c>
      <c r="V341" s="6">
        <v>17.84</v>
      </c>
      <c r="W341" s="6">
        <f ca="1">IFERROR(__xludf.DUMMYFUNCTION("IFERROR(GOOGLEFINANCE(B341,""pe""),V341)"),18.38)</f>
        <v>18.38</v>
      </c>
      <c r="X341" s="6">
        <v>2.77</v>
      </c>
      <c r="Y341" s="6">
        <v>3.05</v>
      </c>
      <c r="Z341" s="6">
        <v>1</v>
      </c>
      <c r="AA341" s="8">
        <v>45352</v>
      </c>
      <c r="AB341" s="4">
        <v>0.01</v>
      </c>
      <c r="AC341" s="6">
        <v>20.32</v>
      </c>
      <c r="AD341" s="6">
        <v>27.32</v>
      </c>
      <c r="AE341" s="1">
        <v>0</v>
      </c>
      <c r="AF341" s="1">
        <f ca="1">IFERROR(__xludf.DUMMYFUNCTION("IFERROR(GOOGLEFINANCE(TRIM(F341)&amp;"":"" &amp; TRIM(B341),""high52""),AE341)"),2039.7)</f>
        <v>2039.7</v>
      </c>
      <c r="AG341" s="1">
        <v>0</v>
      </c>
      <c r="AH341" s="1">
        <f ca="1">IFERROR(__xludf.DUMMYFUNCTION("IFERROR(GOOGLEFINANCE(TRIM(F341)&amp;"":"" &amp; TRIM(B341),""low52""),AE341)"),1520)</f>
        <v>1520</v>
      </c>
      <c r="AI341" s="1">
        <f ca="1">IFERROR(__xludf.DUMMYFUNCTION("IFERROR(GOOGLEFINANCE(B341,""eps""),0)"),104.02)</f>
        <v>104.02</v>
      </c>
      <c r="AJ341" s="1"/>
      <c r="AK341" s="1" t="s">
        <v>1112</v>
      </c>
      <c r="AL341" s="1" t="b">
        <f t="shared" ref="AL341:AL342" si="75">ISNUMBER(AA341)</f>
        <v>1</v>
      </c>
    </row>
    <row r="342" spans="1:38" ht="15" x14ac:dyDescent="0.25">
      <c r="A342" s="1" t="s">
        <v>1113</v>
      </c>
      <c r="B342" s="1" t="s">
        <v>1114</v>
      </c>
      <c r="C342" s="1" t="s">
        <v>355</v>
      </c>
      <c r="D342" s="1" t="s">
        <v>355</v>
      </c>
      <c r="E342" s="6">
        <v>1061.4100000000001</v>
      </c>
      <c r="F342" s="1" t="s">
        <v>40</v>
      </c>
      <c r="G342" s="6">
        <f ca="1">IFERROR(__xludf.DUMMYFUNCTION("iferror(GOOGLEFINANCE(TRIM(F342)&amp;"":"" &amp; TRIM(B342), ""price""),0
)"),444)</f>
        <v>444</v>
      </c>
      <c r="H342" s="6">
        <v>679.7</v>
      </c>
      <c r="I342" s="6">
        <f t="shared" ca="1" si="0"/>
        <v>444</v>
      </c>
      <c r="J342" s="6">
        <f ca="1">IFERROR(__xludf.DUMMYFUNCTION("IFERROR(GOOGLEFINANCE(B342, ""volume""), 0)"),16351)</f>
        <v>16351</v>
      </c>
      <c r="K342" s="6">
        <v>1.43</v>
      </c>
      <c r="L342" s="6">
        <f ca="1">IFERROR(__xludf.DUMMYFUNCTION("IFERROR(GOOGLEFINANCE(B342,""changepct""),K342)"),-1.93)</f>
        <v>-1.93</v>
      </c>
      <c r="M342" s="6">
        <f ca="1">IFERROR(__xludf.DUMMYFUNCTION("IFERROR(GOOGLEFINANCE(B342,""change""),0)"),-8.75)</f>
        <v>-8.75</v>
      </c>
      <c r="N342" s="6">
        <v>1</v>
      </c>
      <c r="O342" s="7">
        <v>45536</v>
      </c>
      <c r="P342" s="6">
        <v>42.04</v>
      </c>
      <c r="Q342" s="6">
        <v>1103.45</v>
      </c>
      <c r="R342" s="7">
        <v>45536</v>
      </c>
      <c r="S342" s="6">
        <v>837.97</v>
      </c>
      <c r="T342" s="6">
        <v>20.64</v>
      </c>
      <c r="U342" s="7">
        <v>45536</v>
      </c>
      <c r="V342" s="6">
        <v>51.43</v>
      </c>
      <c r="W342" s="6">
        <f ca="1">IFERROR(__xludf.DUMMYFUNCTION("IFERROR(GOOGLEFINANCE(B342,""pe""),V342)"),45.65)</f>
        <v>45.65</v>
      </c>
      <c r="X342" s="6">
        <v>1.76</v>
      </c>
      <c r="Y342" s="6">
        <v>1170.69</v>
      </c>
      <c r="Z342" s="6">
        <v>1</v>
      </c>
      <c r="AA342" s="8">
        <v>45352</v>
      </c>
      <c r="AB342" s="4">
        <v>-6.24</v>
      </c>
      <c r="AC342" s="6">
        <v>0</v>
      </c>
      <c r="AD342" s="6">
        <v>123.58</v>
      </c>
      <c r="AE342" s="1">
        <v>0</v>
      </c>
      <c r="AF342" s="1">
        <f ca="1">IFERROR(__xludf.DUMMYFUNCTION("IFERROR(GOOGLEFINANCE(TRIM(F342)&amp;"":"" &amp; TRIM(B342),""high52""),AE342)"),654.65)</f>
        <v>654.65</v>
      </c>
      <c r="AG342" s="1">
        <v>0</v>
      </c>
      <c r="AH342" s="1">
        <f ca="1">IFERROR(__xludf.DUMMYFUNCTION("IFERROR(GOOGLEFINANCE(TRIM(F342)&amp;"":"" &amp; TRIM(B342),""low52""),AE342)"),393.6)</f>
        <v>393.6</v>
      </c>
      <c r="AI342" s="1">
        <f ca="1">IFERROR(__xludf.DUMMYFUNCTION("IFERROR(GOOGLEFINANCE(B342,""eps""),0)"),9.73)</f>
        <v>9.73</v>
      </c>
      <c r="AJ342" s="1"/>
      <c r="AK342" s="1" t="s">
        <v>1115</v>
      </c>
      <c r="AL342" s="1" t="b">
        <f t="shared" si="75"/>
        <v>1</v>
      </c>
    </row>
    <row r="343" spans="1:38" ht="15" x14ac:dyDescent="0.25">
      <c r="A343" s="1" t="s">
        <v>1116</v>
      </c>
      <c r="B343" s="1" t="s">
        <v>1117</v>
      </c>
      <c r="C343" s="1" t="s">
        <v>1118</v>
      </c>
      <c r="D343" s="1" t="s">
        <v>1118</v>
      </c>
      <c r="E343" s="6">
        <v>1031.25</v>
      </c>
      <c r="F343" s="1" t="s">
        <v>40</v>
      </c>
      <c r="G343" s="6">
        <f ca="1">IFERROR(__xludf.DUMMYFUNCTION("iferror(GOOGLEFINANCE(TRIM(F343)&amp;"":"" &amp; TRIM(B343), ""price""),0
)"),333.6)</f>
        <v>333.6</v>
      </c>
      <c r="H343" s="6">
        <v>518</v>
      </c>
      <c r="I343" s="6">
        <f t="shared" ca="1" si="0"/>
        <v>333.6</v>
      </c>
      <c r="J343" s="6">
        <f ca="1">IFERROR(__xludf.DUMMYFUNCTION("IFERROR(GOOGLEFINANCE(B343, ""volume""), 0)"),34935)</f>
        <v>34935</v>
      </c>
      <c r="K343" s="6">
        <v>0.68</v>
      </c>
      <c r="L343" s="6">
        <f ca="1">IFERROR(__xludf.DUMMYFUNCTION("IFERROR(GOOGLEFINANCE(B343,""changepct""),K343)"),-0.79)</f>
        <v>-0.79</v>
      </c>
      <c r="M343" s="6">
        <f ca="1">IFERROR(__xludf.DUMMYFUNCTION("IFERROR(GOOGLEFINANCE(B343,""change""),0)"),-2.65)</f>
        <v>-2.65</v>
      </c>
      <c r="N343" s="6">
        <v>1</v>
      </c>
      <c r="O343" s="7">
        <v>45536</v>
      </c>
      <c r="P343" s="6">
        <v>723.06</v>
      </c>
      <c r="Q343" s="6">
        <v>1752.09</v>
      </c>
      <c r="R343" s="7">
        <v>45536</v>
      </c>
      <c r="S343" s="6">
        <v>2553.92</v>
      </c>
      <c r="T343" s="6">
        <v>86.59</v>
      </c>
      <c r="U343" s="7">
        <v>45536</v>
      </c>
      <c r="V343" s="6">
        <v>11.91</v>
      </c>
      <c r="W343" s="6">
        <f ca="1">IFERROR(__xludf.DUMMYFUNCTION("IFERROR(GOOGLEFINANCE(B343,""pe""),V343)"),10.52)</f>
        <v>10.52</v>
      </c>
      <c r="X343" s="6">
        <v>8.89</v>
      </c>
      <c r="Y343" s="6">
        <v>0.97</v>
      </c>
      <c r="Z343" s="6">
        <v>1</v>
      </c>
      <c r="AA343" s="8">
        <v>45352</v>
      </c>
      <c r="AB343" s="4">
        <v>1.28</v>
      </c>
      <c r="AC343" s="6">
        <v>13.35</v>
      </c>
      <c r="AD343" s="6">
        <v>12.93</v>
      </c>
      <c r="AE343" s="1">
        <v>0</v>
      </c>
      <c r="AF343" s="1">
        <f ca="1">IFERROR(__xludf.DUMMYFUNCTION("IFERROR(GOOGLEFINANCE(TRIM(F343)&amp;"":"" &amp; TRIM(B343),""high52""),AE343)"),584.25)</f>
        <v>584.25</v>
      </c>
      <c r="AG343" s="1">
        <v>0</v>
      </c>
      <c r="AH343" s="1">
        <f ca="1">IFERROR(__xludf.DUMMYFUNCTION("IFERROR(GOOGLEFINANCE(TRIM(F343)&amp;"":"" &amp; TRIM(B343),""low52""),AE343)"),306.05)</f>
        <v>306.05</v>
      </c>
      <c r="AI343" s="1">
        <f ca="1">IFERROR(__xludf.DUMMYFUNCTION("IFERROR(GOOGLEFINANCE(B343,""eps""),0)"),31.71)</f>
        <v>31.71</v>
      </c>
      <c r="AJ343" s="1"/>
      <c r="AK343" s="1" t="s">
        <v>1119</v>
      </c>
      <c r="AL343" s="9">
        <f>IF(AA343&lt;&gt;AB343,1,0)</f>
        <v>1</v>
      </c>
    </row>
    <row r="344" spans="1:38" ht="15" x14ac:dyDescent="0.25">
      <c r="A344" s="1" t="s">
        <v>1120</v>
      </c>
      <c r="B344" s="1" t="s">
        <v>1121</v>
      </c>
      <c r="C344" s="1" t="s">
        <v>223</v>
      </c>
      <c r="D344" s="1" t="s">
        <v>223</v>
      </c>
      <c r="E344" s="6">
        <v>89.54</v>
      </c>
      <c r="F344" s="1" t="s">
        <v>53</v>
      </c>
      <c r="G344" s="6">
        <f ca="1">IFERROR(__xludf.DUMMYFUNCTION("iferror(GOOGLEFINANCE(TRIM(F344)&amp;"":"" &amp; TRIM(B344), ""price""),0
)"),0)</f>
        <v>0</v>
      </c>
      <c r="H344" s="6">
        <v>163.15</v>
      </c>
      <c r="I344" s="6">
        <f t="shared" ca="1" si="0"/>
        <v>163.15</v>
      </c>
      <c r="J344" s="6">
        <f ca="1">IFERROR(__xludf.DUMMYFUNCTION("IFERROR(GOOGLEFINANCE(B344, ""volume""), 0)"),0)</f>
        <v>0</v>
      </c>
      <c r="K344" s="6">
        <v>0</v>
      </c>
      <c r="L344" s="6">
        <f ca="1">IFERROR(__xludf.DUMMYFUNCTION("IFERROR(GOOGLEFINANCE(B344,""changepct""),K344)"),0)</f>
        <v>0</v>
      </c>
      <c r="M344" s="6">
        <f ca="1">IFERROR(__xludf.DUMMYFUNCTION("IFERROR(GOOGLEFINANCE(B344,""change""),0)"),0)</f>
        <v>0</v>
      </c>
      <c r="N344" s="6">
        <v>1</v>
      </c>
      <c r="O344" s="7">
        <v>45536</v>
      </c>
      <c r="P344" s="9"/>
      <c r="Q344" s="6">
        <v>89.54</v>
      </c>
      <c r="R344" s="7">
        <v>45352</v>
      </c>
      <c r="S344" s="6">
        <v>20.67</v>
      </c>
      <c r="T344" s="6">
        <v>5.07</v>
      </c>
      <c r="U344" s="7">
        <v>45352</v>
      </c>
      <c r="V344" s="6">
        <v>17.66</v>
      </c>
      <c r="W344" s="6">
        <f ca="1">IFERROR(__xludf.DUMMYFUNCTION("IFERROR(GOOGLEFINANCE(B344,""pe""),V344)"),17.66)</f>
        <v>17.66</v>
      </c>
      <c r="X344" s="6">
        <v>0.54</v>
      </c>
      <c r="Y344" s="6">
        <v>4.0199999999999996</v>
      </c>
      <c r="Z344" s="6">
        <v>1</v>
      </c>
      <c r="AA344" s="8">
        <v>45352</v>
      </c>
      <c r="AB344" s="4">
        <v>0.02</v>
      </c>
      <c r="AC344" s="6">
        <v>29.41</v>
      </c>
      <c r="AD344" s="6">
        <v>38.17</v>
      </c>
      <c r="AE344" s="1">
        <v>0</v>
      </c>
      <c r="AF344" s="1">
        <f ca="1">IFERROR(__xludf.DUMMYFUNCTION("IFERROR(GOOGLEFINANCE(TRIM(F344)&amp;"":"" &amp; TRIM(B344),""high52""),AE344)"),0)</f>
        <v>0</v>
      </c>
      <c r="AG344" s="1">
        <v>0</v>
      </c>
      <c r="AH344" s="1">
        <f ca="1">IFERROR(__xludf.DUMMYFUNCTION("IFERROR(GOOGLEFINANCE(TRIM(F344)&amp;"":"" &amp; TRIM(B344),""low52""),AE344)"),0)</f>
        <v>0</v>
      </c>
      <c r="AI344" s="1">
        <f ca="1">IFERROR(__xludf.DUMMYFUNCTION("IFERROR(GOOGLEFINANCE(B344,""eps""),0)"),0)</f>
        <v>0</v>
      </c>
      <c r="AJ344" s="1"/>
      <c r="AK344" s="1" t="s">
        <v>1122</v>
      </c>
      <c r="AL344" s="1" t="b">
        <f>ISNUMBER(AA344)</f>
        <v>1</v>
      </c>
    </row>
    <row r="345" spans="1:38" ht="15" x14ac:dyDescent="0.25">
      <c r="A345" s="1" t="s">
        <v>1123</v>
      </c>
      <c r="B345" s="1" t="s">
        <v>1124</v>
      </c>
      <c r="C345" s="1" t="s">
        <v>525</v>
      </c>
      <c r="D345" s="1" t="s">
        <v>525</v>
      </c>
      <c r="E345" s="6">
        <v>6460.04</v>
      </c>
      <c r="F345" s="1" t="s">
        <v>40</v>
      </c>
      <c r="G345" s="6">
        <f ca="1">IFERROR(__xludf.DUMMYFUNCTION("iferror(GOOGLEFINANCE(TRIM(F345)&amp;"":"" &amp; TRIM(B345), ""price""),0
)"),854.25)</f>
        <v>854.25</v>
      </c>
      <c r="H345" s="6">
        <v>976.05</v>
      </c>
      <c r="I345" s="6">
        <f t="shared" ca="1" si="0"/>
        <v>854.25</v>
      </c>
      <c r="J345" s="6">
        <f ca="1">IFERROR(__xludf.DUMMYFUNCTION("IFERROR(GOOGLEFINANCE(B345, ""volume""), 0)"),129136)</f>
        <v>129136</v>
      </c>
      <c r="K345" s="6">
        <v>-0.01</v>
      </c>
      <c r="L345" s="6">
        <f ca="1">IFERROR(__xludf.DUMMYFUNCTION("IFERROR(GOOGLEFINANCE(B345,""changepct""),K345)"),-1.96)</f>
        <v>-1.96</v>
      </c>
      <c r="M345" s="6">
        <f ca="1">IFERROR(__xludf.DUMMYFUNCTION("IFERROR(GOOGLEFINANCE(B345,""change""),0)"),-17.05)</f>
        <v>-17.05</v>
      </c>
      <c r="N345" s="6">
        <v>2</v>
      </c>
      <c r="O345" s="7">
        <v>45536</v>
      </c>
      <c r="P345" s="6">
        <v>158.84</v>
      </c>
      <c r="Q345" s="6">
        <v>6482.57</v>
      </c>
      <c r="R345" s="7">
        <v>45536</v>
      </c>
      <c r="S345" s="6">
        <v>905.57</v>
      </c>
      <c r="T345" s="6">
        <v>28.81</v>
      </c>
      <c r="U345" s="7">
        <v>45536</v>
      </c>
      <c r="V345" s="6">
        <v>224.21</v>
      </c>
      <c r="W345" s="6">
        <f ca="1">IFERROR(__xludf.DUMMYFUNCTION("IFERROR(GOOGLEFINANCE(B345,""pe""),V345)"),65.42)</f>
        <v>65.42</v>
      </c>
      <c r="X345" s="12"/>
      <c r="Y345" s="6">
        <v>11.49</v>
      </c>
      <c r="Z345" s="6">
        <v>2</v>
      </c>
      <c r="AA345" s="8">
        <v>45352</v>
      </c>
      <c r="AB345" s="4">
        <v>0.3</v>
      </c>
      <c r="AC345" s="6">
        <v>7.33</v>
      </c>
      <c r="AD345" s="6">
        <v>7</v>
      </c>
      <c r="AE345" s="1">
        <v>0</v>
      </c>
      <c r="AF345" s="1">
        <f ca="1">IFERROR(__xludf.DUMMYFUNCTION("IFERROR(GOOGLEFINANCE(TRIM(F345)&amp;"":"" &amp; TRIM(B345),""high52""),AE345)"),1318)</f>
        <v>1318</v>
      </c>
      <c r="AG345" s="1">
        <v>0</v>
      </c>
      <c r="AH345" s="1">
        <f ca="1">IFERROR(__xludf.DUMMYFUNCTION("IFERROR(GOOGLEFINANCE(TRIM(F345)&amp;"":"" &amp; TRIM(B345),""low52""),AE345)"),603)</f>
        <v>603</v>
      </c>
      <c r="AI345" s="1">
        <f ca="1">IFERROR(__xludf.DUMMYFUNCTION("IFERROR(GOOGLEFINANCE(B345,""eps""),0)"),13.06)</f>
        <v>13.06</v>
      </c>
      <c r="AJ345" s="1"/>
      <c r="AK345" s="9"/>
      <c r="AL345" s="9">
        <f>IF(AA345&lt;&gt;AB345,1,0)</f>
        <v>1</v>
      </c>
    </row>
    <row r="346" spans="1:38" ht="15" x14ac:dyDescent="0.25">
      <c r="A346" s="1" t="s">
        <v>1125</v>
      </c>
      <c r="B346" s="1" t="s">
        <v>1126</v>
      </c>
      <c r="C346" s="1" t="s">
        <v>223</v>
      </c>
      <c r="D346" s="1" t="s">
        <v>223</v>
      </c>
      <c r="E346" s="6">
        <v>269.13</v>
      </c>
      <c r="F346" s="1" t="s">
        <v>53</v>
      </c>
      <c r="G346" s="6">
        <f ca="1">IFERROR(__xludf.DUMMYFUNCTION("iferror(GOOGLEFINANCE(TRIM(F346)&amp;"":"" &amp; TRIM(B346), ""price""),0
)"),0)</f>
        <v>0</v>
      </c>
      <c r="H346" s="6">
        <v>276</v>
      </c>
      <c r="I346" s="6">
        <f t="shared" ca="1" si="0"/>
        <v>276</v>
      </c>
      <c r="J346" s="6">
        <f ca="1">IFERROR(__xludf.DUMMYFUNCTION("IFERROR(GOOGLEFINANCE(B346, ""volume""), 0)"),0)</f>
        <v>0</v>
      </c>
      <c r="K346" s="6">
        <v>5.34</v>
      </c>
      <c r="L346" s="6">
        <f ca="1">IFERROR(__xludf.DUMMYFUNCTION("IFERROR(GOOGLEFINANCE(B346,""changepct""),K346)"),5.34)</f>
        <v>5.34</v>
      </c>
      <c r="M346" s="6">
        <f ca="1">IFERROR(__xludf.DUMMYFUNCTION("IFERROR(GOOGLEFINANCE(B346,""change""),0)"),0)</f>
        <v>0</v>
      </c>
      <c r="N346" s="6">
        <v>1</v>
      </c>
      <c r="O346" s="7">
        <v>45536</v>
      </c>
      <c r="P346" s="6">
        <v>13.92</v>
      </c>
      <c r="Q346" s="6">
        <v>283.05</v>
      </c>
      <c r="R346" s="7">
        <v>45352</v>
      </c>
      <c r="S346" s="6">
        <v>63.25</v>
      </c>
      <c r="T346" s="6">
        <v>12.9</v>
      </c>
      <c r="U346" s="7">
        <v>45352</v>
      </c>
      <c r="V346" s="6">
        <v>20.86</v>
      </c>
      <c r="W346" s="6">
        <f ca="1">IFERROR(__xludf.DUMMYFUNCTION("IFERROR(GOOGLEFINANCE(B346,""pe""),V346)"),20.86)</f>
        <v>20.86</v>
      </c>
      <c r="X346" s="9"/>
      <c r="Y346" s="6">
        <v>4.28</v>
      </c>
      <c r="Z346" s="6">
        <v>1</v>
      </c>
      <c r="AA346" s="8">
        <v>45352</v>
      </c>
      <c r="AB346" s="4">
        <v>0.09</v>
      </c>
      <c r="AC346" s="6">
        <v>22.68</v>
      </c>
      <c r="AD346" s="6">
        <v>29.28</v>
      </c>
      <c r="AE346" s="1">
        <v>0</v>
      </c>
      <c r="AF346" s="1">
        <f ca="1">IFERROR(__xludf.DUMMYFUNCTION("IFERROR(GOOGLEFINANCE(TRIM(F346)&amp;"":"" &amp; TRIM(B346),""high52""),AE346)"),0)</f>
        <v>0</v>
      </c>
      <c r="AG346" s="1">
        <v>0</v>
      </c>
      <c r="AH346" s="1">
        <f ca="1">IFERROR(__xludf.DUMMYFUNCTION("IFERROR(GOOGLEFINANCE(TRIM(F346)&amp;"":"" &amp; TRIM(B346),""low52""),AE346)"),0)</f>
        <v>0</v>
      </c>
      <c r="AI346" s="1">
        <f ca="1">IFERROR(__xludf.DUMMYFUNCTION("IFERROR(GOOGLEFINANCE(B346,""eps""),0)"),0)</f>
        <v>0</v>
      </c>
      <c r="AJ346" s="1"/>
      <c r="AK346" s="9"/>
      <c r="AL346" s="1" t="b">
        <f>ISBLANK(AB346)</f>
        <v>0</v>
      </c>
    </row>
    <row r="347" spans="1:38" ht="15" x14ac:dyDescent="0.25">
      <c r="A347" s="1" t="s">
        <v>1127</v>
      </c>
      <c r="B347" s="1" t="s">
        <v>1128</v>
      </c>
      <c r="C347" s="1" t="s">
        <v>1129</v>
      </c>
      <c r="D347" s="1" t="s">
        <v>1129</v>
      </c>
      <c r="E347" s="6">
        <v>3870.87</v>
      </c>
      <c r="F347" s="1" t="s">
        <v>40</v>
      </c>
      <c r="G347" s="6">
        <f ca="1">IFERROR(__xludf.DUMMYFUNCTION("iferror(GOOGLEFINANCE(TRIM(F347)&amp;"":"" &amp; TRIM(B347), ""price""),0
)"),155.9)</f>
        <v>155.9</v>
      </c>
      <c r="H347" s="6">
        <v>158.52000000000001</v>
      </c>
      <c r="I347" s="6">
        <f t="shared" ca="1" si="0"/>
        <v>155.9</v>
      </c>
      <c r="J347" s="6">
        <f ca="1">IFERROR(__xludf.DUMMYFUNCTION("IFERROR(GOOGLEFINANCE(B347, ""volume""), 0)"),3314686)</f>
        <v>3314686</v>
      </c>
      <c r="K347" s="6">
        <v>0.15</v>
      </c>
      <c r="L347" s="6">
        <f ca="1">IFERROR(__xludf.DUMMYFUNCTION("IFERROR(GOOGLEFINANCE(B347,""changepct""),K347)"),6.23)</f>
        <v>6.23</v>
      </c>
      <c r="M347" s="6">
        <f ca="1">IFERROR(__xludf.DUMMYFUNCTION("IFERROR(GOOGLEFINANCE(B347,""change""),0)"),9.14)</f>
        <v>9.14</v>
      </c>
      <c r="N347" s="6">
        <v>2</v>
      </c>
      <c r="O347" s="7">
        <v>45536</v>
      </c>
      <c r="P347" s="6">
        <v>11.65</v>
      </c>
      <c r="Q347" s="6">
        <v>3873.98</v>
      </c>
      <c r="R347" s="7">
        <v>45536</v>
      </c>
      <c r="S347" s="6">
        <v>230.27</v>
      </c>
      <c r="T347" s="6">
        <v>58.75</v>
      </c>
      <c r="U347" s="7">
        <v>45536</v>
      </c>
      <c r="V347" s="6">
        <v>65.88</v>
      </c>
      <c r="W347" s="6">
        <f ca="1">IFERROR(__xludf.DUMMYFUNCTION("IFERROR(GOOGLEFINANCE(B347,""pe""),V347)"),257.98)</f>
        <v>257.98</v>
      </c>
      <c r="X347" s="12"/>
      <c r="Y347" s="6">
        <v>18.98</v>
      </c>
      <c r="Z347" s="6">
        <v>2</v>
      </c>
      <c r="AA347" s="8">
        <v>45352</v>
      </c>
      <c r="AB347" s="4">
        <v>7.0000000000000007E-2</v>
      </c>
      <c r="AC347" s="6">
        <v>39.590000000000003</v>
      </c>
      <c r="AD347" s="6">
        <v>48.69</v>
      </c>
      <c r="AE347" s="1">
        <v>0</v>
      </c>
      <c r="AF347" s="1">
        <f ca="1">IFERROR(__xludf.DUMMYFUNCTION("IFERROR(GOOGLEFINANCE(TRIM(F347)&amp;"":"" &amp; TRIM(B347),""high52""),AE347)"),215)</f>
        <v>215</v>
      </c>
      <c r="AG347" s="1">
        <v>0</v>
      </c>
      <c r="AH347" s="1">
        <f ca="1">IFERROR(__xludf.DUMMYFUNCTION("IFERROR(GOOGLEFINANCE(TRIM(F347)&amp;"":"" &amp; TRIM(B347),""low52""),AE347)"),95.12)</f>
        <v>95.12</v>
      </c>
      <c r="AI347" s="1">
        <f ca="1">IFERROR(__xludf.DUMMYFUNCTION("IFERROR(GOOGLEFINANCE(B347,""eps""),0)"),0.6)</f>
        <v>0.6</v>
      </c>
      <c r="AJ347" s="1"/>
      <c r="AK347" s="1" t="s">
        <v>1130</v>
      </c>
      <c r="AL347" s="9">
        <f>IF(AA347&lt;&gt;AB347,1,0)</f>
        <v>1</v>
      </c>
    </row>
    <row r="348" spans="1:38" ht="15" x14ac:dyDescent="0.25">
      <c r="A348" s="1" t="s">
        <v>1131</v>
      </c>
      <c r="B348" s="1" t="s">
        <v>1132</v>
      </c>
      <c r="C348" s="1" t="s">
        <v>223</v>
      </c>
      <c r="D348" s="1" t="s">
        <v>223</v>
      </c>
      <c r="E348" s="6">
        <v>172.83</v>
      </c>
      <c r="F348" s="1" t="s">
        <v>53</v>
      </c>
      <c r="G348" s="6">
        <f ca="1">IFERROR(__xludf.DUMMYFUNCTION("iferror(GOOGLEFINANCE(TRIM(F348)&amp;"":"" &amp; TRIM(B348), ""price""),0
)"),0)</f>
        <v>0</v>
      </c>
      <c r="H348" s="6">
        <v>235.25</v>
      </c>
      <c r="I348" s="6">
        <f t="shared" ca="1" si="0"/>
        <v>235.25</v>
      </c>
      <c r="J348" s="6">
        <f ca="1">IFERROR(__xludf.DUMMYFUNCTION("IFERROR(GOOGLEFINANCE(B348, ""volume""), 0)"),0)</f>
        <v>0</v>
      </c>
      <c r="K348" s="6">
        <v>0.49</v>
      </c>
      <c r="L348" s="6">
        <f ca="1">IFERROR(__xludf.DUMMYFUNCTION("IFERROR(GOOGLEFINANCE(B348,""changepct""),K348)"),0.49)</f>
        <v>0.49</v>
      </c>
      <c r="M348" s="6">
        <f ca="1">IFERROR(__xludf.DUMMYFUNCTION("IFERROR(GOOGLEFINANCE(B348,""change""),0)"),0)</f>
        <v>0</v>
      </c>
      <c r="N348" s="6">
        <v>1</v>
      </c>
      <c r="O348" s="7">
        <v>45536</v>
      </c>
      <c r="P348" s="12"/>
      <c r="Q348" s="6">
        <v>172.83</v>
      </c>
      <c r="R348" s="7">
        <v>45352</v>
      </c>
      <c r="S348" s="6">
        <v>23.45</v>
      </c>
      <c r="T348" s="6">
        <v>6.11</v>
      </c>
      <c r="U348" s="7">
        <v>45352</v>
      </c>
      <c r="V348" s="6">
        <v>28.25</v>
      </c>
      <c r="W348" s="6">
        <f ca="1">IFERROR(__xludf.DUMMYFUNCTION("IFERROR(GOOGLEFINANCE(B348,""pe""),V348)"),28.25)</f>
        <v>28.25</v>
      </c>
      <c r="X348" s="12"/>
      <c r="Y348" s="6">
        <v>6.23</v>
      </c>
      <c r="Z348" s="6">
        <v>1</v>
      </c>
      <c r="AA348" s="8">
        <v>45352</v>
      </c>
      <c r="AB348" s="4">
        <v>0</v>
      </c>
      <c r="AC348" s="6">
        <v>36.78</v>
      </c>
      <c r="AD348" s="6">
        <v>49.38</v>
      </c>
      <c r="AE348" s="1">
        <v>0</v>
      </c>
      <c r="AF348" s="1">
        <f ca="1">IFERROR(__xludf.DUMMYFUNCTION("IFERROR(GOOGLEFINANCE(TRIM(F348)&amp;"":"" &amp; TRIM(B348),""high52""),AE348)"),0)</f>
        <v>0</v>
      </c>
      <c r="AG348" s="1">
        <v>0</v>
      </c>
      <c r="AH348" s="1">
        <f ca="1">IFERROR(__xludf.DUMMYFUNCTION("IFERROR(GOOGLEFINANCE(TRIM(F348)&amp;"":"" &amp; TRIM(B348),""low52""),AE348)"),0)</f>
        <v>0</v>
      </c>
      <c r="AI348" s="1">
        <f ca="1">IFERROR(__xludf.DUMMYFUNCTION("IFERROR(GOOGLEFINANCE(B348,""eps""),0)"),0)</f>
        <v>0</v>
      </c>
      <c r="AJ348" s="1"/>
      <c r="AK348" s="1" t="s">
        <v>1133</v>
      </c>
      <c r="AL348" s="1" t="b">
        <f t="shared" ref="AL348:AL349" si="76">ISNUMBER(AA348)</f>
        <v>1</v>
      </c>
    </row>
    <row r="349" spans="1:38" ht="15" x14ac:dyDescent="0.25">
      <c r="A349" s="1" t="s">
        <v>1134</v>
      </c>
      <c r="B349" s="1" t="s">
        <v>1135</v>
      </c>
      <c r="C349" s="1" t="s">
        <v>223</v>
      </c>
      <c r="D349" s="1" t="s">
        <v>223</v>
      </c>
      <c r="E349" s="6">
        <v>26.65</v>
      </c>
      <c r="F349" s="1" t="s">
        <v>53</v>
      </c>
      <c r="G349" s="6">
        <f ca="1">IFERROR(__xludf.DUMMYFUNCTION("iferror(GOOGLEFINANCE(TRIM(F349)&amp;"":"" &amp; TRIM(B349), ""price""),0
)"),0)</f>
        <v>0</v>
      </c>
      <c r="H349" s="6">
        <v>42.22</v>
      </c>
      <c r="I349" s="6">
        <f t="shared" ca="1" si="0"/>
        <v>42.22</v>
      </c>
      <c r="J349" s="6">
        <f ca="1">IFERROR(__xludf.DUMMYFUNCTION("IFERROR(GOOGLEFINANCE(B349, ""volume""), 0)"),0)</f>
        <v>0</v>
      </c>
      <c r="K349" s="9"/>
      <c r="L349" s="6" t="str">
        <f ca="1">IFERROR(__xludf.DUMMYFUNCTION("IFERROR(GOOGLEFINANCE(B349,""changepct""),K349)"),"")</f>
        <v/>
      </c>
      <c r="M349" s="6">
        <f ca="1">IFERROR(__xludf.DUMMYFUNCTION("IFERROR(GOOGLEFINANCE(B349,""change""),0)"),0)</f>
        <v>0</v>
      </c>
      <c r="N349" s="6">
        <v>1</v>
      </c>
      <c r="O349" s="7">
        <v>45536</v>
      </c>
      <c r="P349" s="6">
        <v>27.46</v>
      </c>
      <c r="Q349" s="6">
        <v>54.11</v>
      </c>
      <c r="R349" s="7">
        <v>45352</v>
      </c>
      <c r="S349" s="6">
        <v>8.56</v>
      </c>
      <c r="T349" s="6">
        <v>0.05</v>
      </c>
      <c r="U349" s="7">
        <v>45352</v>
      </c>
      <c r="V349" s="6">
        <v>522.53</v>
      </c>
      <c r="W349" s="6">
        <f ca="1">IFERROR(__xludf.DUMMYFUNCTION("IFERROR(GOOGLEFINANCE(B349,""pe""),V349)"),522.53)</f>
        <v>522.53</v>
      </c>
      <c r="X349" s="9"/>
      <c r="Y349" s="6">
        <v>1.35</v>
      </c>
      <c r="Z349" s="6">
        <v>2</v>
      </c>
      <c r="AA349" s="8">
        <v>45352</v>
      </c>
      <c r="AB349" s="4">
        <v>4.0199999999999996</v>
      </c>
      <c r="AC349" s="6">
        <v>-52.62</v>
      </c>
      <c r="AD349" s="6">
        <v>-4.08</v>
      </c>
      <c r="AE349" s="1">
        <v>0</v>
      </c>
      <c r="AF349" s="1">
        <f ca="1">IFERROR(__xludf.DUMMYFUNCTION("IFERROR(GOOGLEFINANCE(TRIM(F349)&amp;"":"" &amp; TRIM(B349),""high52""),AE349)"),0)</f>
        <v>0</v>
      </c>
      <c r="AG349" s="1">
        <v>0</v>
      </c>
      <c r="AH349" s="1">
        <f ca="1">IFERROR(__xludf.DUMMYFUNCTION("IFERROR(GOOGLEFINANCE(TRIM(F349)&amp;"":"" &amp; TRIM(B349),""low52""),AE349)"),0)</f>
        <v>0</v>
      </c>
      <c r="AI349" s="1">
        <f ca="1">IFERROR(__xludf.DUMMYFUNCTION("IFERROR(GOOGLEFINANCE(B349,""eps""),0)"),0)</f>
        <v>0</v>
      </c>
      <c r="AJ349" s="1"/>
      <c r="AK349" s="1" t="s">
        <v>1136</v>
      </c>
      <c r="AL349" s="1" t="b">
        <f t="shared" si="76"/>
        <v>1</v>
      </c>
    </row>
    <row r="350" spans="1:38" ht="15" x14ac:dyDescent="0.25">
      <c r="A350" s="1" t="s">
        <v>1137</v>
      </c>
      <c r="B350" s="1" t="s">
        <v>1138</v>
      </c>
      <c r="C350" s="1" t="s">
        <v>324</v>
      </c>
      <c r="D350" s="1" t="s">
        <v>324</v>
      </c>
      <c r="E350" s="6">
        <v>9256.5300000000007</v>
      </c>
      <c r="F350" s="1" t="s">
        <v>40</v>
      </c>
      <c r="G350" s="6">
        <f ca="1">IFERROR(__xludf.DUMMYFUNCTION("iferror(GOOGLEFINANCE(TRIM(F350)&amp;"":"" &amp; TRIM(B350), ""price""),0
)"),798.4)</f>
        <v>798.4</v>
      </c>
      <c r="H350" s="6">
        <v>680</v>
      </c>
      <c r="I350" s="6">
        <f t="shared" ca="1" si="0"/>
        <v>798.4</v>
      </c>
      <c r="J350" s="6">
        <f ca="1">IFERROR(__xludf.DUMMYFUNCTION("IFERROR(GOOGLEFINANCE(B350, ""volume""), 0)"),291250)</f>
        <v>291250</v>
      </c>
      <c r="K350" s="6">
        <v>0.06</v>
      </c>
      <c r="L350" s="6">
        <f ca="1">IFERROR(__xludf.DUMMYFUNCTION("IFERROR(GOOGLEFINANCE(B350,""changepct""),K350)"),2.35)</f>
        <v>2.35</v>
      </c>
      <c r="M350" s="6">
        <f ca="1">IFERROR(__xludf.DUMMYFUNCTION("IFERROR(GOOGLEFINANCE(B350,""change""),0)"),18.35)</f>
        <v>18.350000000000001</v>
      </c>
      <c r="N350" s="6">
        <v>2</v>
      </c>
      <c r="O350" s="7">
        <v>45536</v>
      </c>
      <c r="P350" s="6">
        <v>13.94</v>
      </c>
      <c r="Q350" s="6">
        <v>8581.7099999999991</v>
      </c>
      <c r="R350" s="7">
        <v>45536</v>
      </c>
      <c r="S350" s="6">
        <v>5398.1</v>
      </c>
      <c r="T350" s="6">
        <v>455.05</v>
      </c>
      <c r="U350" s="7">
        <v>45536</v>
      </c>
      <c r="V350" s="6">
        <v>22.12</v>
      </c>
      <c r="W350" s="6">
        <f ca="1">IFERROR(__xludf.DUMMYFUNCTION("IFERROR(GOOGLEFINANCE(B350,""pe""),V350)"),17.58)</f>
        <v>17.579999999999998</v>
      </c>
      <c r="X350" s="6">
        <v>3.84</v>
      </c>
      <c r="Y350" s="6">
        <v>3.68</v>
      </c>
      <c r="Z350" s="6">
        <v>2</v>
      </c>
      <c r="AA350" s="8">
        <v>45352</v>
      </c>
      <c r="AB350" s="4">
        <v>0.01</v>
      </c>
      <c r="AC350" s="6">
        <v>17.66</v>
      </c>
      <c r="AD350" s="6">
        <v>24.12</v>
      </c>
      <c r="AE350" s="1">
        <v>0</v>
      </c>
      <c r="AF350" s="1">
        <f ca="1">IFERROR(__xludf.DUMMYFUNCTION("IFERROR(GOOGLEFINANCE(TRIM(F350)&amp;"":"" &amp; TRIM(B350),""high52""),AE350)"),964.2)</f>
        <v>964.2</v>
      </c>
      <c r="AG350" s="1">
        <v>0</v>
      </c>
      <c r="AH350" s="1">
        <f ca="1">IFERROR(__xludf.DUMMYFUNCTION("IFERROR(GOOGLEFINANCE(TRIM(F350)&amp;"":"" &amp; TRIM(B350),""low52""),AE350)"),601.55)</f>
        <v>601.54999999999995</v>
      </c>
      <c r="AI350" s="1">
        <f ca="1">IFERROR(__xludf.DUMMYFUNCTION("IFERROR(GOOGLEFINANCE(B350,""eps""),0)"),45.4)</f>
        <v>45.4</v>
      </c>
      <c r="AJ350" s="1"/>
      <c r="AK350" s="1" t="s">
        <v>1139</v>
      </c>
      <c r="AL350" s="9">
        <f t="shared" ref="AL350:AL351" si="77">IF(AA350&lt;&gt;AB350,1,0)</f>
        <v>1</v>
      </c>
    </row>
    <row r="351" spans="1:38" ht="15" x14ac:dyDescent="0.25">
      <c r="A351" s="1" t="s">
        <v>1140</v>
      </c>
      <c r="B351" s="1" t="s">
        <v>1141</v>
      </c>
      <c r="C351" s="1" t="s">
        <v>359</v>
      </c>
      <c r="D351" s="1" t="s">
        <v>359</v>
      </c>
      <c r="E351" s="6">
        <v>235419</v>
      </c>
      <c r="F351" s="1" t="s">
        <v>40</v>
      </c>
      <c r="G351" s="6">
        <f ca="1">IFERROR(__xludf.DUMMYFUNCTION("iferror(GOOGLEFINANCE(TRIM(F351)&amp;"":"" &amp; TRIM(B351), ""price""),0
)"),3665.5)</f>
        <v>3665.5</v>
      </c>
      <c r="H351" s="6">
        <v>4119.2</v>
      </c>
      <c r="I351" s="6">
        <f t="shared" ca="1" si="0"/>
        <v>3665.5</v>
      </c>
      <c r="J351" s="6">
        <f ca="1">IFERROR(__xludf.DUMMYFUNCTION("IFERROR(GOOGLEFINANCE(B351, ""volume""), 0)"),212416)</f>
        <v>212416</v>
      </c>
      <c r="K351" s="6">
        <v>14.07</v>
      </c>
      <c r="L351" s="6">
        <f ca="1">IFERROR(__xludf.DUMMYFUNCTION("IFERROR(GOOGLEFINANCE(B351,""changepct""),K351)"),1.43)</f>
        <v>1.43</v>
      </c>
      <c r="M351" s="6">
        <f ca="1">IFERROR(__xludf.DUMMYFUNCTION("IFERROR(GOOGLEFINANCE(B351,""change""),0)"),51.8)</f>
        <v>51.8</v>
      </c>
      <c r="N351" s="6">
        <v>2</v>
      </c>
      <c r="O351" s="7">
        <v>45536</v>
      </c>
      <c r="P351" s="9"/>
      <c r="Q351" s="6">
        <v>235114</v>
      </c>
      <c r="R351" s="7">
        <v>45536</v>
      </c>
      <c r="S351" s="6">
        <v>54812.66</v>
      </c>
      <c r="T351" s="6">
        <v>2686.67</v>
      </c>
      <c r="U351" s="7">
        <v>45536</v>
      </c>
      <c r="V351" s="6">
        <v>87.61</v>
      </c>
      <c r="W351" s="6">
        <f ca="1">IFERROR(__xludf.DUMMYFUNCTION("IFERROR(GOOGLEFINANCE(B351,""pe""),V351)"),83.47)</f>
        <v>83.47</v>
      </c>
      <c r="X351" s="6">
        <v>3.82</v>
      </c>
      <c r="Y351" s="6">
        <v>11.69</v>
      </c>
      <c r="Z351" s="6">
        <v>2</v>
      </c>
      <c r="AA351" s="8">
        <v>45352</v>
      </c>
      <c r="AB351" s="4">
        <v>0</v>
      </c>
      <c r="AC351" s="6">
        <v>14.62</v>
      </c>
      <c r="AD351" s="6">
        <v>20.239999999999998</v>
      </c>
      <c r="AE351" s="1">
        <v>0</v>
      </c>
      <c r="AF351" s="1">
        <f ca="1">IFERROR(__xludf.DUMMYFUNCTION("IFERROR(GOOGLEFINANCE(TRIM(F351)&amp;"":"" &amp; TRIM(B351),""high52""),AE351)"),4949.5)</f>
        <v>4949.5</v>
      </c>
      <c r="AG351" s="1">
        <v>0</v>
      </c>
      <c r="AH351" s="1">
        <f ca="1">IFERROR(__xludf.DUMMYFUNCTION("IFERROR(GOOGLEFINANCE(TRIM(F351)&amp;"":"" &amp; TRIM(B351),""low52""),AE351)"),3340)</f>
        <v>3340</v>
      </c>
      <c r="AI351" s="1">
        <f ca="1">IFERROR(__xludf.DUMMYFUNCTION("IFERROR(GOOGLEFINANCE(B351,""eps""),0)"),43.91)</f>
        <v>43.91</v>
      </c>
      <c r="AJ351" s="1"/>
      <c r="AK351" s="1" t="s">
        <v>1142</v>
      </c>
      <c r="AL351" s="9">
        <f t="shared" si="77"/>
        <v>1</v>
      </c>
    </row>
    <row r="352" spans="1:38" ht="15" x14ac:dyDescent="0.25">
      <c r="A352" s="1" t="s">
        <v>1143</v>
      </c>
      <c r="B352" s="1" t="s">
        <v>1144</v>
      </c>
      <c r="C352" s="1" t="s">
        <v>223</v>
      </c>
      <c r="D352" s="1" t="s">
        <v>223</v>
      </c>
      <c r="E352" s="6">
        <v>140.93</v>
      </c>
      <c r="F352" s="1" t="s">
        <v>53</v>
      </c>
      <c r="G352" s="6">
        <f ca="1">IFERROR(__xludf.DUMMYFUNCTION("iferror(GOOGLEFINANCE(TRIM(F352)&amp;"":"" &amp; TRIM(B352), ""price""),0
)"),0)</f>
        <v>0</v>
      </c>
      <c r="H352" s="6">
        <v>367</v>
      </c>
      <c r="I352" s="6">
        <f t="shared" ca="1" si="0"/>
        <v>367</v>
      </c>
      <c r="J352" s="6">
        <f ca="1">IFERROR(__xludf.DUMMYFUNCTION("IFERROR(GOOGLEFINANCE(B352, ""volume""), 0)"),0)</f>
        <v>0</v>
      </c>
      <c r="K352" s="9"/>
      <c r="L352" s="6" t="str">
        <f ca="1">IFERROR(__xludf.DUMMYFUNCTION("IFERROR(GOOGLEFINANCE(B352,""changepct""),K352)"),"")</f>
        <v/>
      </c>
      <c r="M352" s="6">
        <f ca="1">IFERROR(__xludf.DUMMYFUNCTION("IFERROR(GOOGLEFINANCE(B352,""change""),0)"),0)</f>
        <v>0</v>
      </c>
      <c r="N352" s="6">
        <v>2</v>
      </c>
      <c r="O352" s="7">
        <v>45536</v>
      </c>
      <c r="P352" s="6">
        <v>23.19</v>
      </c>
      <c r="Q352" s="6">
        <v>146.26</v>
      </c>
      <c r="R352" s="7">
        <v>45536</v>
      </c>
      <c r="S352" s="6">
        <v>12.59</v>
      </c>
      <c r="T352" s="6">
        <v>6.02</v>
      </c>
      <c r="U352" s="7">
        <v>45536</v>
      </c>
      <c r="V352" s="6">
        <v>23.18</v>
      </c>
      <c r="W352" s="6">
        <f ca="1">IFERROR(__xludf.DUMMYFUNCTION("IFERROR(GOOGLEFINANCE(B352,""pe""),V352)"),23.18)</f>
        <v>23.18</v>
      </c>
      <c r="X352" s="9"/>
      <c r="Y352" s="6">
        <v>6.74</v>
      </c>
      <c r="Z352" s="6">
        <v>2</v>
      </c>
      <c r="AA352" s="8">
        <v>45352</v>
      </c>
      <c r="AB352" s="4">
        <v>1.34</v>
      </c>
      <c r="AC352" s="6">
        <v>43.56</v>
      </c>
      <c r="AD352" s="6">
        <v>35.86</v>
      </c>
      <c r="AE352" s="1">
        <v>0</v>
      </c>
      <c r="AF352" s="1">
        <f ca="1">IFERROR(__xludf.DUMMYFUNCTION("IFERROR(GOOGLEFINANCE(TRIM(F352)&amp;"":"" &amp; TRIM(B352),""high52""),AE352)"),0)</f>
        <v>0</v>
      </c>
      <c r="AG352" s="1">
        <v>0</v>
      </c>
      <c r="AH352" s="1">
        <f ca="1">IFERROR(__xludf.DUMMYFUNCTION("IFERROR(GOOGLEFINANCE(TRIM(F352)&amp;"":"" &amp; TRIM(B352),""low52""),AE352)"),0)</f>
        <v>0</v>
      </c>
      <c r="AI352" s="1">
        <f ca="1">IFERROR(__xludf.DUMMYFUNCTION("IFERROR(GOOGLEFINANCE(B352,""eps""),0)"),0)</f>
        <v>0</v>
      </c>
      <c r="AJ352" s="1"/>
      <c r="AK352" s="1" t="s">
        <v>1145</v>
      </c>
      <c r="AL352" s="1" t="b">
        <f>ISNUMBER(AA352)</f>
        <v>1</v>
      </c>
    </row>
    <row r="353" spans="1:38" ht="15" x14ac:dyDescent="0.25">
      <c r="A353" s="1" t="s">
        <v>1146</v>
      </c>
      <c r="B353" s="1" t="s">
        <v>1147</v>
      </c>
      <c r="C353" s="1" t="s">
        <v>223</v>
      </c>
      <c r="D353" s="1" t="s">
        <v>223</v>
      </c>
      <c r="E353" s="6">
        <v>3144.89</v>
      </c>
      <c r="F353" s="1" t="s">
        <v>53</v>
      </c>
      <c r="G353" s="6">
        <f ca="1">IFERROR(__xludf.DUMMYFUNCTION("iferror(GOOGLEFINANCE(TRIM(F353)&amp;"":"" &amp; TRIM(B353), ""price""),0
)"),0)</f>
        <v>0</v>
      </c>
      <c r="H353" s="6">
        <v>641.1</v>
      </c>
      <c r="I353" s="6">
        <f t="shared" ca="1" si="0"/>
        <v>641.1</v>
      </c>
      <c r="J353" s="6">
        <f ca="1">IFERROR(__xludf.DUMMYFUNCTION("IFERROR(GOOGLEFINANCE(B353, ""volume""), 0)"),166576)</f>
        <v>166576</v>
      </c>
      <c r="K353" s="6">
        <v>1.47</v>
      </c>
      <c r="L353" s="6">
        <f ca="1">IFERROR(__xludf.DUMMYFUNCTION("IFERROR(GOOGLEFINANCE(B353,""changepct""),K353)"),-2.1)</f>
        <v>-2.1</v>
      </c>
      <c r="M353" s="6">
        <f ca="1">IFERROR(__xludf.DUMMYFUNCTION("IFERROR(GOOGLEFINANCE(B353,""change""),0)"),-5.35)</f>
        <v>-5.35</v>
      </c>
      <c r="N353" s="6">
        <v>2</v>
      </c>
      <c r="O353" s="7">
        <v>45536</v>
      </c>
      <c r="P353" s="6">
        <v>182.41</v>
      </c>
      <c r="Q353" s="6">
        <v>3123.7</v>
      </c>
      <c r="R353" s="7">
        <v>45536</v>
      </c>
      <c r="S353" s="6">
        <v>533.77</v>
      </c>
      <c r="T353" s="6">
        <v>101.39</v>
      </c>
      <c r="U353" s="7">
        <v>45536</v>
      </c>
      <c r="V353" s="6">
        <v>35.520000000000003</v>
      </c>
      <c r="W353" s="6">
        <f ca="1">IFERROR(__xludf.DUMMYFUNCTION("IFERROR(GOOGLEFINANCE(B353,""pe""),V353)"),14.24)</f>
        <v>14.24</v>
      </c>
      <c r="X353" s="12"/>
      <c r="Y353" s="6">
        <v>6.57</v>
      </c>
      <c r="Z353" s="6">
        <v>2</v>
      </c>
      <c r="AA353" s="8">
        <v>45352</v>
      </c>
      <c r="AB353" s="4">
        <v>0.27</v>
      </c>
      <c r="AC353" s="6">
        <v>25.47</v>
      </c>
      <c r="AD353" s="6">
        <v>34.57</v>
      </c>
      <c r="AE353" s="1">
        <v>0</v>
      </c>
      <c r="AF353" s="1">
        <f ca="1">IFERROR(__xludf.DUMMYFUNCTION("IFERROR(GOOGLEFINANCE(TRIM(F353)&amp;"":"" &amp; TRIM(B353),""high52""),AE353)"),0)</f>
        <v>0</v>
      </c>
      <c r="AG353" s="1">
        <v>0</v>
      </c>
      <c r="AH353" s="1">
        <f ca="1">IFERROR(__xludf.DUMMYFUNCTION("IFERROR(GOOGLEFINANCE(TRIM(F353)&amp;"":"" &amp; TRIM(B353),""low52""),AE353)"),0)</f>
        <v>0</v>
      </c>
      <c r="AI353" s="1">
        <f ca="1">IFERROR(__xludf.DUMMYFUNCTION("IFERROR(GOOGLEFINANCE(B353,""eps""),0)"),17.55)</f>
        <v>17.55</v>
      </c>
      <c r="AJ353" s="1"/>
      <c r="AK353" s="9"/>
      <c r="AL353" s="1" t="b">
        <f>ISBLANK(AB353)</f>
        <v>0</v>
      </c>
    </row>
    <row r="354" spans="1:38" ht="15" x14ac:dyDescent="0.25">
      <c r="A354" s="1" t="s">
        <v>1148</v>
      </c>
      <c r="B354" s="1" t="s">
        <v>1149</v>
      </c>
      <c r="C354" s="1" t="s">
        <v>223</v>
      </c>
      <c r="D354" s="1" t="s">
        <v>223</v>
      </c>
      <c r="E354" s="6">
        <v>777.73</v>
      </c>
      <c r="F354" s="1" t="s">
        <v>53</v>
      </c>
      <c r="G354" s="6">
        <f ca="1">IFERROR(__xludf.DUMMYFUNCTION("iferror(GOOGLEFINANCE(TRIM(F354)&amp;"":"" &amp; TRIM(B354), ""price""),0
)"),0)</f>
        <v>0</v>
      </c>
      <c r="H354" s="6">
        <v>283.05</v>
      </c>
      <c r="I354" s="6">
        <f t="shared" ca="1" si="0"/>
        <v>283.05</v>
      </c>
      <c r="J354" s="6">
        <f ca="1">IFERROR(__xludf.DUMMYFUNCTION("IFERROR(GOOGLEFINANCE(B354, ""volume""), 0)"),102958)</f>
        <v>102958</v>
      </c>
      <c r="K354" s="6">
        <v>0.46</v>
      </c>
      <c r="L354" s="6">
        <f ca="1">IFERROR(__xludf.DUMMYFUNCTION("IFERROR(GOOGLEFINANCE(B354,""changepct""),K354)"),-4.3)</f>
        <v>-4.3</v>
      </c>
      <c r="M354" s="6">
        <f ca="1">IFERROR(__xludf.DUMMYFUNCTION("IFERROR(GOOGLEFINANCE(B354,""change""),0)"),-0.1)</f>
        <v>-0.1</v>
      </c>
      <c r="N354" s="6">
        <v>2</v>
      </c>
      <c r="O354" s="7">
        <v>45536</v>
      </c>
      <c r="P354" s="6">
        <v>1.97</v>
      </c>
      <c r="Q354" s="6">
        <v>625.28</v>
      </c>
      <c r="R354" s="7">
        <v>45536</v>
      </c>
      <c r="S354" s="6">
        <v>442.73</v>
      </c>
      <c r="T354" s="6">
        <v>-48.18</v>
      </c>
      <c r="U354" s="7">
        <v>45536</v>
      </c>
      <c r="V354" s="6">
        <v>0</v>
      </c>
      <c r="W354" s="6">
        <f ca="1">IFERROR(__xludf.DUMMYFUNCTION("IFERROR(GOOGLEFINANCE(B354,""pe""),V354)"),0)</f>
        <v>0</v>
      </c>
      <c r="X354" s="12"/>
      <c r="Y354" s="6">
        <v>1.96</v>
      </c>
      <c r="Z354" s="6">
        <v>2</v>
      </c>
      <c r="AA354" s="8">
        <v>45352</v>
      </c>
      <c r="AB354" s="4">
        <v>0.01</v>
      </c>
      <c r="AC354" s="6">
        <v>-28.59</v>
      </c>
      <c r="AD354" s="6">
        <v>-25.57</v>
      </c>
      <c r="AE354" s="1">
        <v>0</v>
      </c>
      <c r="AF354" s="1">
        <f ca="1">IFERROR(__xludf.DUMMYFUNCTION("IFERROR(GOOGLEFINANCE(TRIM(F354)&amp;"":"" &amp; TRIM(B354),""high52""),AE354)"),0)</f>
        <v>0</v>
      </c>
      <c r="AG354" s="1">
        <v>0</v>
      </c>
      <c r="AH354" s="1">
        <f ca="1">IFERROR(__xludf.DUMMYFUNCTION("IFERROR(GOOGLEFINANCE(TRIM(F354)&amp;"":"" &amp; TRIM(B354),""low52""),AE354)"),0)</f>
        <v>0</v>
      </c>
      <c r="AI354" s="1">
        <f ca="1">IFERROR(__xludf.DUMMYFUNCTION("IFERROR(GOOGLEFINANCE(B354,""eps""),0)"),-0.33)</f>
        <v>-0.33</v>
      </c>
      <c r="AJ354" s="1"/>
      <c r="AK354" s="1" t="s">
        <v>1150</v>
      </c>
      <c r="AL354" s="1" t="b">
        <f>ISNUMBER(AA354)</f>
        <v>1</v>
      </c>
    </row>
    <row r="355" spans="1:38" ht="15" x14ac:dyDescent="0.25">
      <c r="A355" s="1" t="s">
        <v>1151</v>
      </c>
      <c r="B355" s="1" t="s">
        <v>1152</v>
      </c>
      <c r="C355" s="1" t="s">
        <v>259</v>
      </c>
      <c r="D355" s="1" t="s">
        <v>259</v>
      </c>
      <c r="E355" s="6">
        <v>565.53</v>
      </c>
      <c r="F355" s="1" t="s">
        <v>40</v>
      </c>
      <c r="G355" s="6">
        <f ca="1">IFERROR(__xludf.DUMMYFUNCTION("iferror(GOOGLEFINANCE(TRIM(F355)&amp;"":"" &amp; TRIM(B355), ""price""),0
)"),145)</f>
        <v>145</v>
      </c>
      <c r="H355" s="6">
        <v>380.6</v>
      </c>
      <c r="I355" s="6">
        <f t="shared" ca="1" si="0"/>
        <v>145</v>
      </c>
      <c r="J355" s="6">
        <f ca="1">IFERROR(__xludf.DUMMYFUNCTION("IFERROR(GOOGLEFINANCE(B355, ""volume""), 0)"),18308)</f>
        <v>18308</v>
      </c>
      <c r="K355" s="6">
        <v>0.26</v>
      </c>
      <c r="L355" s="6">
        <f ca="1">IFERROR(__xludf.DUMMYFUNCTION("IFERROR(GOOGLEFINANCE(B355,""changepct""),K355)"),-3.85)</f>
        <v>-3.85</v>
      </c>
      <c r="M355" s="6">
        <f ca="1">IFERROR(__xludf.DUMMYFUNCTION("IFERROR(GOOGLEFINANCE(B355,""change""),0)"),0)</f>
        <v>0</v>
      </c>
      <c r="N355" s="6">
        <v>2</v>
      </c>
      <c r="O355" s="7">
        <v>45536</v>
      </c>
      <c r="P355" s="6">
        <v>94.19</v>
      </c>
      <c r="Q355" s="6">
        <v>651.53</v>
      </c>
      <c r="R355" s="7">
        <v>45536</v>
      </c>
      <c r="S355" s="6">
        <v>523.09</v>
      </c>
      <c r="T355" s="6">
        <v>37.85</v>
      </c>
      <c r="U355" s="7">
        <v>45536</v>
      </c>
      <c r="V355" s="6">
        <v>14.78</v>
      </c>
      <c r="W355" s="6">
        <f ca="1">IFERROR(__xludf.DUMMYFUNCTION("IFERROR(GOOGLEFINANCE(B355,""pe""),V355)"),3.15)</f>
        <v>3.15</v>
      </c>
      <c r="X355" s="6">
        <v>0.92</v>
      </c>
      <c r="Y355" s="6">
        <v>2.54</v>
      </c>
      <c r="Z355" s="6">
        <v>2</v>
      </c>
      <c r="AA355" s="8">
        <v>45352</v>
      </c>
      <c r="AB355" s="4">
        <v>0.48</v>
      </c>
      <c r="AC355" s="6">
        <v>23.39</v>
      </c>
      <c r="AD355" s="6">
        <v>29.14</v>
      </c>
      <c r="AE355" s="1">
        <v>0</v>
      </c>
      <c r="AF355" s="1">
        <f ca="1">IFERROR(__xludf.DUMMYFUNCTION("IFERROR(GOOGLEFINANCE(TRIM(F355)&amp;"":"" &amp; TRIM(B355),""high52""),AE355)"),339.9)</f>
        <v>339.9</v>
      </c>
      <c r="AG355" s="1">
        <v>0</v>
      </c>
      <c r="AH355" s="1">
        <f ca="1">IFERROR(__xludf.DUMMYFUNCTION("IFERROR(GOOGLEFINANCE(TRIM(F355)&amp;"":"" &amp; TRIM(B355),""low52""),AE355)"),133.05)</f>
        <v>133.05000000000001</v>
      </c>
      <c r="AI355" s="1">
        <f ca="1">IFERROR(__xludf.DUMMYFUNCTION("IFERROR(GOOGLEFINANCE(B355,""eps""),0)"),0.04)</f>
        <v>0.04</v>
      </c>
      <c r="AJ355" s="1"/>
      <c r="AK355" s="1" t="s">
        <v>1153</v>
      </c>
      <c r="AL355" s="9">
        <f>IF(AA355&lt;&gt;AB355,1,0)</f>
        <v>1</v>
      </c>
    </row>
    <row r="356" spans="1:38" ht="15" x14ac:dyDescent="0.25">
      <c r="A356" s="1" t="s">
        <v>1154</v>
      </c>
      <c r="B356" s="1" t="s">
        <v>1155</v>
      </c>
      <c r="C356" s="1" t="s">
        <v>223</v>
      </c>
      <c r="D356" s="1" t="s">
        <v>223</v>
      </c>
      <c r="E356" s="6">
        <v>1462.61</v>
      </c>
      <c r="F356" s="1" t="s">
        <v>53</v>
      </c>
      <c r="G356" s="6">
        <f ca="1">IFERROR(__xludf.DUMMYFUNCTION("iferror(GOOGLEFINANCE(TRIM(F356)&amp;"":"" &amp; TRIM(B356), ""price""),0
)"),0)</f>
        <v>0</v>
      </c>
      <c r="H356" s="6">
        <v>123.95</v>
      </c>
      <c r="I356" s="6">
        <f t="shared" ca="1" si="0"/>
        <v>123.95</v>
      </c>
      <c r="J356" s="6">
        <f ca="1">IFERROR(__xludf.DUMMYFUNCTION("IFERROR(GOOGLEFINANCE(B356, ""volume""), 0)"),94513)</f>
        <v>94513</v>
      </c>
      <c r="K356" s="6">
        <v>-0.92</v>
      </c>
      <c r="L356" s="6">
        <f ca="1">IFERROR(__xludf.DUMMYFUNCTION("IFERROR(GOOGLEFINANCE(B356,""changepct""),K356)"),1.49)</f>
        <v>1.49</v>
      </c>
      <c r="M356" s="6">
        <f ca="1">IFERROR(__xludf.DUMMYFUNCTION("IFERROR(GOOGLEFINANCE(B356,""change""),0)"),2.38)</f>
        <v>2.38</v>
      </c>
      <c r="N356" s="6">
        <v>2</v>
      </c>
      <c r="O356" s="7">
        <v>45536</v>
      </c>
      <c r="P356" s="6">
        <v>38.450000000000003</v>
      </c>
      <c r="Q356" s="6">
        <v>1383.73</v>
      </c>
      <c r="R356" s="15">
        <v>45536</v>
      </c>
      <c r="S356" s="6">
        <v>85.52</v>
      </c>
      <c r="T356" s="6">
        <v>11.63</v>
      </c>
      <c r="U356" s="15">
        <v>45536</v>
      </c>
      <c r="V356" s="6">
        <v>136.97</v>
      </c>
      <c r="W356" s="6">
        <f ca="1">IFERROR(__xludf.DUMMYFUNCTION("IFERROR(GOOGLEFINANCE(B356,""pe""),V356)"),56.41)</f>
        <v>56.41</v>
      </c>
      <c r="X356" s="6">
        <v>4.96</v>
      </c>
      <c r="Y356" s="6">
        <v>4.5599999999999996</v>
      </c>
      <c r="Z356" s="6">
        <v>2</v>
      </c>
      <c r="AA356" s="8">
        <v>45352</v>
      </c>
      <c r="AB356" s="4">
        <v>0.33</v>
      </c>
      <c r="AC356" s="6">
        <v>6.09</v>
      </c>
      <c r="AD356" s="6">
        <v>7.15</v>
      </c>
      <c r="AE356" s="1">
        <v>0</v>
      </c>
      <c r="AF356" s="1">
        <f ca="1">IFERROR(__xludf.DUMMYFUNCTION("IFERROR(GOOGLEFINANCE(TRIM(F356)&amp;"":"" &amp; TRIM(B356),""high52""),AE356)"),0)</f>
        <v>0</v>
      </c>
      <c r="AG356" s="1">
        <v>0</v>
      </c>
      <c r="AH356" s="1">
        <f ca="1">IFERROR(__xludf.DUMMYFUNCTION("IFERROR(GOOGLEFINANCE(TRIM(F356)&amp;"":"" &amp; TRIM(B356),""low52""),AE356)"),0)</f>
        <v>0</v>
      </c>
      <c r="AI356" s="1">
        <f ca="1">IFERROR(__xludf.DUMMYFUNCTION("IFERROR(GOOGLEFINANCE(B356,""eps""),0)"),2.87)</f>
        <v>2.87</v>
      </c>
      <c r="AJ356" s="1"/>
      <c r="AK356" s="1" t="s">
        <v>1156</v>
      </c>
      <c r="AL356" s="1" t="b">
        <f>ISNUMBER(AA356)</f>
        <v>1</v>
      </c>
    </row>
    <row r="357" spans="1:38" ht="15" x14ac:dyDescent="0.25">
      <c r="A357" s="1" t="s">
        <v>1157</v>
      </c>
      <c r="B357" s="1" t="s">
        <v>1158</v>
      </c>
      <c r="C357" s="1" t="s">
        <v>186</v>
      </c>
      <c r="D357" s="1" t="s">
        <v>186</v>
      </c>
      <c r="E357" s="6">
        <v>153.05000000000001</v>
      </c>
      <c r="F357" s="1" t="s">
        <v>40</v>
      </c>
      <c r="G357" s="6">
        <f ca="1">IFERROR(__xludf.DUMMYFUNCTION("iferror(GOOGLEFINANCE(TRIM(F357)&amp;"":"" &amp; TRIM(B357), ""price""),0
)"),0)</f>
        <v>0</v>
      </c>
      <c r="H357" s="6">
        <v>110.25</v>
      </c>
      <c r="I357" s="6">
        <f t="shared" ca="1" si="0"/>
        <v>110.25</v>
      </c>
      <c r="J357" s="6">
        <f ca="1">IFERROR(__xludf.DUMMYFUNCTION("IFERROR(GOOGLEFINANCE(B357, ""volume""), 0)"),0)</f>
        <v>0</v>
      </c>
      <c r="K357" s="6">
        <v>0.68</v>
      </c>
      <c r="L357" s="6">
        <f ca="1">IFERROR(__xludf.DUMMYFUNCTION("IFERROR(GOOGLEFINANCE(B357,""changepct""),K357)"),0.68)</f>
        <v>0.68</v>
      </c>
      <c r="M357" s="6">
        <f ca="1">IFERROR(__xludf.DUMMYFUNCTION("IFERROR(GOOGLEFINANCE(B357,""change""),0)"),0)</f>
        <v>0</v>
      </c>
      <c r="N357" s="6">
        <v>1</v>
      </c>
      <c r="O357" s="7">
        <v>45536</v>
      </c>
      <c r="P357" s="6">
        <v>37.06</v>
      </c>
      <c r="Q357" s="6">
        <v>190.1</v>
      </c>
      <c r="R357" s="14"/>
      <c r="S357" s="9"/>
      <c r="T357" s="9"/>
      <c r="U357" s="7">
        <v>45352</v>
      </c>
      <c r="V357" s="6">
        <v>46.19</v>
      </c>
      <c r="W357" s="6">
        <f ca="1">IFERROR(__xludf.DUMMYFUNCTION("IFERROR(GOOGLEFINANCE(B357,""pe""),V357)"),46.19)</f>
        <v>46.19</v>
      </c>
      <c r="X357" s="12"/>
      <c r="Y357" s="6">
        <v>3.66</v>
      </c>
      <c r="Z357" s="6">
        <v>1</v>
      </c>
      <c r="AA357" s="8">
        <v>45352</v>
      </c>
      <c r="AB357" s="4">
        <v>2.82</v>
      </c>
      <c r="AC357" s="6">
        <v>23.3</v>
      </c>
      <c r="AD357" s="6">
        <v>12.75</v>
      </c>
      <c r="AE357" s="1">
        <v>0</v>
      </c>
      <c r="AF357" s="1">
        <f ca="1">IFERROR(__xludf.DUMMYFUNCTION("IFERROR(GOOGLEFINANCE(TRIM(F357)&amp;"":"" &amp; TRIM(B357),""high52""),AE357)"),0)</f>
        <v>0</v>
      </c>
      <c r="AG357" s="1">
        <v>0</v>
      </c>
      <c r="AH357" s="1">
        <f ca="1">IFERROR(__xludf.DUMMYFUNCTION("IFERROR(GOOGLEFINANCE(TRIM(F357)&amp;"":"" &amp; TRIM(B357),""low52""),AE357)"),0)</f>
        <v>0</v>
      </c>
      <c r="AI357" s="1">
        <f ca="1">IFERROR(__xludf.DUMMYFUNCTION("IFERROR(GOOGLEFINANCE(B357,""eps""),0)"),0)</f>
        <v>0</v>
      </c>
      <c r="AJ357" s="1"/>
      <c r="AK357" s="1" t="s">
        <v>1159</v>
      </c>
      <c r="AL357" s="9">
        <f t="shared" ref="AL357:AL358" si="78">IF(AA357&lt;&gt;AB357,1,0)</f>
        <v>1</v>
      </c>
    </row>
    <row r="358" spans="1:38" ht="15" x14ac:dyDescent="0.25">
      <c r="A358" s="1" t="s">
        <v>1160</v>
      </c>
      <c r="B358" s="1" t="s">
        <v>1161</v>
      </c>
      <c r="C358" s="1" t="s">
        <v>43</v>
      </c>
      <c r="D358" s="1" t="s">
        <v>43</v>
      </c>
      <c r="E358" s="6">
        <v>551.66999999999996</v>
      </c>
      <c r="F358" s="1" t="s">
        <v>40</v>
      </c>
      <c r="G358" s="6">
        <f ca="1">IFERROR(__xludf.DUMMYFUNCTION("iferror(GOOGLEFINANCE(TRIM(F358)&amp;"":"" &amp; TRIM(B358), ""price""),0
)"),14.9)</f>
        <v>14.9</v>
      </c>
      <c r="H358" s="6">
        <v>23.42</v>
      </c>
      <c r="I358" s="6">
        <f t="shared" ca="1" si="0"/>
        <v>14.9</v>
      </c>
      <c r="J358" s="6">
        <f ca="1">IFERROR(__xludf.DUMMYFUNCTION("IFERROR(GOOGLEFINANCE(B358, ""volume""), 0)"),94896)</f>
        <v>94896</v>
      </c>
      <c r="K358" s="6">
        <v>19.98</v>
      </c>
      <c r="L358" s="6">
        <f ca="1">IFERROR(__xludf.DUMMYFUNCTION("IFERROR(GOOGLEFINANCE(B358,""changepct""),K358)"),0.07)</f>
        <v>7.0000000000000007E-2</v>
      </c>
      <c r="M358" s="6">
        <f ca="1">IFERROR(__xludf.DUMMYFUNCTION("IFERROR(GOOGLEFINANCE(B358,""change""),0)"),0.01)</f>
        <v>0.01</v>
      </c>
      <c r="N358" s="6">
        <v>2</v>
      </c>
      <c r="O358" s="7">
        <v>45536</v>
      </c>
      <c r="P358" s="6">
        <v>28.76</v>
      </c>
      <c r="Q358" s="7">
        <v>45536</v>
      </c>
      <c r="R358" s="6">
        <v>19.39</v>
      </c>
      <c r="S358" s="9"/>
      <c r="T358" s="6">
        <v>1.5</v>
      </c>
      <c r="U358" s="6">
        <v>2</v>
      </c>
      <c r="V358" s="7">
        <v>45352</v>
      </c>
      <c r="W358" s="10">
        <f ca="1">IFERROR(__xludf.DUMMYFUNCTION("IFERROR(GOOGLEFINANCE(B358,""pe""),V358)"),45352)</f>
        <v>45352</v>
      </c>
      <c r="X358" s="6">
        <v>0.05</v>
      </c>
      <c r="Y358" s="6">
        <v>7.02</v>
      </c>
      <c r="Z358" s="6">
        <v>8.2899999999999991</v>
      </c>
      <c r="AA358" s="3" t="s">
        <v>1162</v>
      </c>
      <c r="AB358" s="4"/>
      <c r="AC358" s="9"/>
      <c r="AD358" s="9"/>
      <c r="AE358" s="1">
        <v>0</v>
      </c>
      <c r="AF358" s="1">
        <f ca="1">IFERROR(__xludf.DUMMYFUNCTION("IFERROR(GOOGLEFINANCE(TRIM(F358)&amp;"":"" &amp; TRIM(B358),""high52""),AE358)"),26.5)</f>
        <v>26.5</v>
      </c>
      <c r="AG358" s="1">
        <v>0</v>
      </c>
      <c r="AH358" s="1">
        <f ca="1">IFERROR(__xludf.DUMMYFUNCTION("IFERROR(GOOGLEFINANCE(TRIM(F358)&amp;"":"" &amp; TRIM(B358),""low52""),AE358)"),14.31)</f>
        <v>14.31</v>
      </c>
      <c r="AI358" s="1">
        <f ca="1">IFERROR(__xludf.DUMMYFUNCTION("IFERROR(GOOGLEFINANCE(B358,""eps""),0)"),0)</f>
        <v>0</v>
      </c>
      <c r="AJ358" s="1"/>
      <c r="AK358" s="1" t="s">
        <v>1163</v>
      </c>
      <c r="AL358" s="9">
        <f t="shared" si="78"/>
        <v>1</v>
      </c>
    </row>
    <row r="359" spans="1:38" ht="15" x14ac:dyDescent="0.25">
      <c r="A359" s="1" t="s">
        <v>1164</v>
      </c>
      <c r="B359" s="1" t="s">
        <v>1165</v>
      </c>
      <c r="C359" s="1" t="s">
        <v>223</v>
      </c>
      <c r="D359" s="1" t="s">
        <v>223</v>
      </c>
      <c r="E359" s="6">
        <v>445.32</v>
      </c>
      <c r="F359" s="1" t="s">
        <v>53</v>
      </c>
      <c r="G359" s="6">
        <f ca="1">IFERROR(__xludf.DUMMYFUNCTION("iferror(GOOGLEFINANCE(TRIM(F359)&amp;"":"" &amp; TRIM(B359), ""price""),0
)"),0)</f>
        <v>0</v>
      </c>
      <c r="H359" s="6">
        <v>427</v>
      </c>
      <c r="I359" s="6">
        <f t="shared" ca="1" si="0"/>
        <v>427</v>
      </c>
      <c r="J359" s="6">
        <f ca="1">IFERROR(__xludf.DUMMYFUNCTION("IFERROR(GOOGLEFINANCE(B359, ""volume""), 0)"),0)</f>
        <v>0</v>
      </c>
      <c r="K359" s="6">
        <v>-0.3</v>
      </c>
      <c r="L359" s="6">
        <f ca="1">IFERROR(__xludf.DUMMYFUNCTION("IFERROR(GOOGLEFINANCE(B359,""changepct""),K359)"),-0.3)</f>
        <v>-0.3</v>
      </c>
      <c r="M359" s="6">
        <f ca="1">IFERROR(__xludf.DUMMYFUNCTION("IFERROR(GOOGLEFINANCE(B359,""change""),0)"),0)</f>
        <v>0</v>
      </c>
      <c r="N359" s="6">
        <v>2</v>
      </c>
      <c r="O359" s="7">
        <v>45536</v>
      </c>
      <c r="P359" s="6">
        <v>131.54</v>
      </c>
      <c r="Q359" s="6">
        <v>575.08000000000004</v>
      </c>
      <c r="R359" s="7">
        <v>45536</v>
      </c>
      <c r="S359" s="6">
        <v>62.7</v>
      </c>
      <c r="T359" s="6">
        <v>25.68</v>
      </c>
      <c r="U359" s="7">
        <v>45536</v>
      </c>
      <c r="V359" s="6">
        <v>18.350000000000001</v>
      </c>
      <c r="W359" s="6">
        <f ca="1">IFERROR(__xludf.DUMMYFUNCTION("IFERROR(GOOGLEFINANCE(B359,""pe""),V359)"),18.35)</f>
        <v>18.350000000000001</v>
      </c>
      <c r="X359" s="6">
        <v>-3.06</v>
      </c>
      <c r="Y359" s="6">
        <v>0.7</v>
      </c>
      <c r="Z359" s="6">
        <v>2</v>
      </c>
      <c r="AA359" s="8">
        <v>45352</v>
      </c>
      <c r="AB359" s="4">
        <v>0.23</v>
      </c>
      <c r="AC359" s="6">
        <v>6.41</v>
      </c>
      <c r="AD359" s="6">
        <v>12.03</v>
      </c>
      <c r="AE359" s="1">
        <v>0</v>
      </c>
      <c r="AF359" s="1">
        <f ca="1">IFERROR(__xludf.DUMMYFUNCTION("IFERROR(GOOGLEFINANCE(TRIM(F359)&amp;"":"" &amp; TRIM(B359),""high52""),AE359)"),0)</f>
        <v>0</v>
      </c>
      <c r="AG359" s="1">
        <v>0</v>
      </c>
      <c r="AH359" s="1">
        <f ca="1">IFERROR(__xludf.DUMMYFUNCTION("IFERROR(GOOGLEFINANCE(TRIM(F359)&amp;"":"" &amp; TRIM(B359),""low52""),AE359)"),0)</f>
        <v>0</v>
      </c>
      <c r="AI359" s="1">
        <f ca="1">IFERROR(__xludf.DUMMYFUNCTION("IFERROR(GOOGLEFINANCE(B359,""eps""),0)"),0)</f>
        <v>0</v>
      </c>
      <c r="AJ359" s="1"/>
      <c r="AK359" s="1" t="s">
        <v>1166</v>
      </c>
      <c r="AL359" s="1" t="b">
        <f>ISNUMBER(AA359)</f>
        <v>1</v>
      </c>
    </row>
    <row r="360" spans="1:38" ht="15" x14ac:dyDescent="0.25">
      <c r="A360" s="1" t="s">
        <v>1167</v>
      </c>
      <c r="B360" s="1" t="s">
        <v>1168</v>
      </c>
      <c r="C360" s="1" t="s">
        <v>86</v>
      </c>
      <c r="D360" s="1" t="s">
        <v>86</v>
      </c>
      <c r="E360" s="6">
        <v>572.02</v>
      </c>
      <c r="F360" s="1" t="s">
        <v>40</v>
      </c>
      <c r="G360" s="6">
        <f ca="1">IFERROR(__xludf.DUMMYFUNCTION("iferror(GOOGLEFINANCE(TRIM(F360)&amp;"":"" &amp; TRIM(B360), ""price""),0
)"),0)</f>
        <v>0</v>
      </c>
      <c r="H360" s="6">
        <v>229</v>
      </c>
      <c r="I360" s="6">
        <f t="shared" ca="1" si="0"/>
        <v>229</v>
      </c>
      <c r="J360" s="6">
        <f ca="1">IFERROR(__xludf.DUMMYFUNCTION("IFERROR(GOOGLEFINANCE(B360, ""volume""), 0)"),0)</f>
        <v>0</v>
      </c>
      <c r="K360" s="6">
        <v>0</v>
      </c>
      <c r="L360" s="6">
        <f ca="1">IFERROR(__xludf.DUMMYFUNCTION("IFERROR(GOOGLEFINANCE(B360,""changepct""),K360)"),0)</f>
        <v>0</v>
      </c>
      <c r="M360" s="6">
        <f ca="1">IFERROR(__xludf.DUMMYFUNCTION("IFERROR(GOOGLEFINANCE(B360,""change""),0)"),0)</f>
        <v>0</v>
      </c>
      <c r="N360" s="6">
        <v>1</v>
      </c>
      <c r="O360" s="7">
        <v>45536</v>
      </c>
      <c r="P360" s="6">
        <v>108.62</v>
      </c>
      <c r="Q360" s="6">
        <v>680.65</v>
      </c>
      <c r="R360" s="7">
        <v>45352</v>
      </c>
      <c r="S360" s="6">
        <v>151</v>
      </c>
      <c r="T360" s="6">
        <v>18.29</v>
      </c>
      <c r="U360" s="7">
        <v>45352</v>
      </c>
      <c r="V360" s="6">
        <v>31.27</v>
      </c>
      <c r="W360" s="6">
        <f ca="1">IFERROR(__xludf.DUMMYFUNCTION("IFERROR(GOOGLEFINANCE(B360,""pe""),V360)"),31.27)</f>
        <v>31.27</v>
      </c>
      <c r="X360" s="9"/>
      <c r="Y360" s="6">
        <v>6.15</v>
      </c>
      <c r="Z360" s="6">
        <v>2</v>
      </c>
      <c r="AA360" s="8">
        <v>45352</v>
      </c>
      <c r="AB360" s="4">
        <v>0.69</v>
      </c>
      <c r="AC360" s="6">
        <v>31.66</v>
      </c>
      <c r="AD360" s="6">
        <v>25.97</v>
      </c>
      <c r="AE360" s="1">
        <v>0</v>
      </c>
      <c r="AF360" s="1">
        <f ca="1">IFERROR(__xludf.DUMMYFUNCTION("IFERROR(GOOGLEFINANCE(TRIM(F360)&amp;"":"" &amp; TRIM(B360),""high52""),AE360)"),0)</f>
        <v>0</v>
      </c>
      <c r="AG360" s="1">
        <v>0</v>
      </c>
      <c r="AH360" s="1">
        <f ca="1">IFERROR(__xludf.DUMMYFUNCTION("IFERROR(GOOGLEFINANCE(TRIM(F360)&amp;"":"" &amp; TRIM(B360),""low52""),AE360)"),0)</f>
        <v>0</v>
      </c>
      <c r="AI360" s="1">
        <f ca="1">IFERROR(__xludf.DUMMYFUNCTION("IFERROR(GOOGLEFINANCE(B360,""eps""),0)"),0)</f>
        <v>0</v>
      </c>
      <c r="AJ360" s="1"/>
      <c r="AK360" s="1" t="s">
        <v>1169</v>
      </c>
      <c r="AL360" s="9">
        <f t="shared" ref="AL360:AL361" si="79">IF(AA360&lt;&gt;AB360,1,0)</f>
        <v>1</v>
      </c>
    </row>
    <row r="361" spans="1:38" ht="15" x14ac:dyDescent="0.25">
      <c r="A361" s="1" t="s">
        <v>1170</v>
      </c>
      <c r="B361" s="1" t="s">
        <v>1171</v>
      </c>
      <c r="C361" s="1" t="s">
        <v>82</v>
      </c>
      <c r="D361" s="1" t="s">
        <v>82</v>
      </c>
      <c r="E361" s="6">
        <v>229.96</v>
      </c>
      <c r="F361" s="1" t="s">
        <v>40</v>
      </c>
      <c r="G361" s="6">
        <f ca="1">IFERROR(__xludf.DUMMYFUNCTION("iferror(GOOGLEFINANCE(TRIM(F361)&amp;"":"" &amp; TRIM(B361), ""price""),0
)"),126.7)</f>
        <v>126.7</v>
      </c>
      <c r="H361" s="6">
        <v>218.11</v>
      </c>
      <c r="I361" s="6">
        <f t="shared" ca="1" si="0"/>
        <v>126.7</v>
      </c>
      <c r="J361" s="6">
        <f ca="1">IFERROR(__xludf.DUMMYFUNCTION("IFERROR(GOOGLEFINANCE(B361, ""volume""), 0)"),1655)</f>
        <v>1655</v>
      </c>
      <c r="K361" s="6">
        <v>2</v>
      </c>
      <c r="L361" s="6">
        <f ca="1">IFERROR(__xludf.DUMMYFUNCTION("IFERROR(GOOGLEFINANCE(B361,""changepct""),K361)"),1.35)</f>
        <v>1.35</v>
      </c>
      <c r="M361" s="6">
        <f ca="1">IFERROR(__xludf.DUMMYFUNCTION("IFERROR(GOOGLEFINANCE(B361,""change""),0)"),1.69)</f>
        <v>1.69</v>
      </c>
      <c r="N361" s="6">
        <v>1</v>
      </c>
      <c r="O361" s="7">
        <v>45536</v>
      </c>
      <c r="P361" s="6">
        <v>21.93</v>
      </c>
      <c r="Q361" s="6">
        <v>251.89</v>
      </c>
      <c r="R361" s="7">
        <v>45536</v>
      </c>
      <c r="S361" s="6">
        <v>86.46</v>
      </c>
      <c r="T361" s="6">
        <v>3.49</v>
      </c>
      <c r="U361" s="7">
        <v>45536</v>
      </c>
      <c r="V361" s="6">
        <v>65.83</v>
      </c>
      <c r="W361" s="6">
        <f ca="1">IFERROR(__xludf.DUMMYFUNCTION("IFERROR(GOOGLEFINANCE(B361,""pe""),V361)"),42.57)</f>
        <v>42.57</v>
      </c>
      <c r="X361" s="6">
        <v>2.2200000000000002</v>
      </c>
      <c r="Y361" s="6">
        <v>7.12</v>
      </c>
      <c r="Z361" s="6">
        <v>1</v>
      </c>
      <c r="AA361" s="8">
        <v>45352</v>
      </c>
      <c r="AB361" s="4">
        <v>0.69</v>
      </c>
      <c r="AC361" s="6">
        <v>19.54</v>
      </c>
      <c r="AD361" s="6">
        <v>20.57</v>
      </c>
      <c r="AE361" s="1">
        <v>0</v>
      </c>
      <c r="AF361" s="1">
        <f ca="1">IFERROR(__xludf.DUMMYFUNCTION("IFERROR(GOOGLEFINANCE(TRIM(F361)&amp;"":"" &amp; TRIM(B361),""high52""),AE361)"),222.9)</f>
        <v>222.9</v>
      </c>
      <c r="AG361" s="1">
        <v>0</v>
      </c>
      <c r="AH361" s="1">
        <f ca="1">IFERROR(__xludf.DUMMYFUNCTION("IFERROR(GOOGLEFINANCE(TRIM(F361)&amp;"":"" &amp; TRIM(B361),""low52""),AE361)"),101.35)</f>
        <v>101.35</v>
      </c>
      <c r="AI361" s="1">
        <f ca="1">IFERROR(__xludf.DUMMYFUNCTION("IFERROR(GOOGLEFINANCE(B361,""eps""),0)"),2.98)</f>
        <v>2.98</v>
      </c>
      <c r="AJ361" s="1"/>
      <c r="AK361" s="1" t="s">
        <v>1172</v>
      </c>
      <c r="AL361" s="9">
        <f t="shared" si="79"/>
        <v>1</v>
      </c>
    </row>
    <row r="362" spans="1:38" ht="15" x14ac:dyDescent="0.25">
      <c r="A362" s="1" t="s">
        <v>1173</v>
      </c>
      <c r="B362" s="1" t="s">
        <v>1174</v>
      </c>
      <c r="C362" s="1" t="s">
        <v>135</v>
      </c>
      <c r="D362" s="1" t="s">
        <v>135</v>
      </c>
      <c r="E362" s="6">
        <v>80.5</v>
      </c>
      <c r="F362" s="1" t="s">
        <v>40</v>
      </c>
      <c r="G362" s="6">
        <f ca="1">IFERROR(__xludf.DUMMYFUNCTION("iferror(GOOGLEFINANCE(TRIM(F362)&amp;"":"" &amp; TRIM(B362), ""price""),0
)"),0)</f>
        <v>0</v>
      </c>
      <c r="H362" s="6">
        <v>151</v>
      </c>
      <c r="I362" s="6">
        <f t="shared" ca="1" si="0"/>
        <v>151</v>
      </c>
      <c r="J362" s="6">
        <f ca="1">IFERROR(__xludf.DUMMYFUNCTION("IFERROR(GOOGLEFINANCE(B362, ""volume""), 0)"),0)</f>
        <v>0</v>
      </c>
      <c r="K362" s="9"/>
      <c r="L362" s="6" t="str">
        <f ca="1">IFERROR(__xludf.DUMMYFUNCTION("IFERROR(GOOGLEFINANCE(B362,""changepct""),K362)"),"")</f>
        <v/>
      </c>
      <c r="M362" s="6">
        <f ca="1">IFERROR(__xludf.DUMMYFUNCTION("IFERROR(GOOGLEFINANCE(B362,""change""),0)"),0)</f>
        <v>0</v>
      </c>
      <c r="N362" s="6">
        <v>1</v>
      </c>
      <c r="O362" s="7">
        <v>45536</v>
      </c>
      <c r="P362" s="6">
        <v>38.409999999999997</v>
      </c>
      <c r="Q362" s="6">
        <v>118.91</v>
      </c>
      <c r="R362" s="7">
        <v>45352</v>
      </c>
      <c r="S362" s="6">
        <v>137.35</v>
      </c>
      <c r="T362" s="6">
        <v>2.2400000000000002</v>
      </c>
      <c r="U362" s="7">
        <v>45352</v>
      </c>
      <c r="V362" s="6">
        <v>35.880000000000003</v>
      </c>
      <c r="W362" s="6">
        <f ca="1">IFERROR(__xludf.DUMMYFUNCTION("IFERROR(GOOGLEFINANCE(B362,""pe""),V362)"),35.88)</f>
        <v>35.880000000000003</v>
      </c>
      <c r="X362" s="6">
        <v>33.54</v>
      </c>
      <c r="Y362" s="6">
        <v>2.2799999999999998</v>
      </c>
      <c r="Z362" s="6">
        <v>1</v>
      </c>
      <c r="AA362" s="8">
        <v>45352</v>
      </c>
      <c r="AB362" s="4">
        <v>1</v>
      </c>
      <c r="AC362" s="6">
        <v>6.56</v>
      </c>
      <c r="AD362" s="6">
        <v>8.6999999999999993</v>
      </c>
      <c r="AE362" s="1">
        <v>0</v>
      </c>
      <c r="AF362" s="1">
        <f ca="1">IFERROR(__xludf.DUMMYFUNCTION("IFERROR(GOOGLEFINANCE(TRIM(F362)&amp;"":"" &amp; TRIM(B362),""high52""),AE362)"),0)</f>
        <v>0</v>
      </c>
      <c r="AG362" s="1">
        <v>0</v>
      </c>
      <c r="AH362" s="1">
        <f ca="1">IFERROR(__xludf.DUMMYFUNCTION("IFERROR(GOOGLEFINANCE(TRIM(F362)&amp;"":"" &amp; TRIM(B362),""low52""),AE362)"),0)</f>
        <v>0</v>
      </c>
      <c r="AI362" s="1">
        <f ca="1">IFERROR(__xludf.DUMMYFUNCTION("IFERROR(GOOGLEFINANCE(B362,""eps""),0)"),0)</f>
        <v>0</v>
      </c>
      <c r="AJ362" s="1"/>
      <c r="AK362" s="1" t="s">
        <v>1175</v>
      </c>
      <c r="AL362" s="1" t="b">
        <f t="shared" ref="AL362:AL363" si="80">ISNUMBER(AA362)</f>
        <v>1</v>
      </c>
    </row>
    <row r="363" spans="1:38" ht="15" x14ac:dyDescent="0.25">
      <c r="A363" s="1" t="s">
        <v>1176</v>
      </c>
      <c r="B363" s="1" t="s">
        <v>1177</v>
      </c>
      <c r="C363" s="1" t="s">
        <v>223</v>
      </c>
      <c r="D363" s="1" t="s">
        <v>223</v>
      </c>
      <c r="E363" s="6">
        <v>373.84</v>
      </c>
      <c r="F363" s="1" t="s">
        <v>53</v>
      </c>
      <c r="G363" s="6">
        <f ca="1">IFERROR(__xludf.DUMMYFUNCTION("iferror(GOOGLEFINANCE(TRIM(F363)&amp;"":"" &amp; TRIM(B363), ""price""),0
)"),0)</f>
        <v>0</v>
      </c>
      <c r="H363" s="6">
        <v>81.900000000000006</v>
      </c>
      <c r="I363" s="6">
        <f t="shared" ca="1" si="0"/>
        <v>81.900000000000006</v>
      </c>
      <c r="J363" s="6">
        <f ca="1">IFERROR(__xludf.DUMMYFUNCTION("IFERROR(GOOGLEFINANCE(B363, ""volume""), 0)"),0)</f>
        <v>0</v>
      </c>
      <c r="K363" s="6">
        <v>3.29</v>
      </c>
      <c r="L363" s="6">
        <f ca="1">IFERROR(__xludf.DUMMYFUNCTION("IFERROR(GOOGLEFINANCE(B363,""changepct""),K363)"),3.29)</f>
        <v>3.29</v>
      </c>
      <c r="M363" s="6">
        <f ca="1">IFERROR(__xludf.DUMMYFUNCTION("IFERROR(GOOGLEFINANCE(B363,""change""),0)"),0)</f>
        <v>0</v>
      </c>
      <c r="N363" s="6">
        <v>2</v>
      </c>
      <c r="O363" s="7">
        <v>45536</v>
      </c>
      <c r="P363" s="6">
        <v>200.63</v>
      </c>
      <c r="Q363" s="6">
        <v>572.33000000000004</v>
      </c>
      <c r="R363" s="7">
        <v>45536</v>
      </c>
      <c r="S363" s="6">
        <v>48.06</v>
      </c>
      <c r="T363" s="6">
        <v>46.02</v>
      </c>
      <c r="U363" s="7">
        <v>45536</v>
      </c>
      <c r="V363" s="6">
        <v>6.64</v>
      </c>
      <c r="W363" s="6">
        <f ca="1">IFERROR(__xludf.DUMMYFUNCTION("IFERROR(GOOGLEFINANCE(B363,""pe""),V363)"),6.64)</f>
        <v>6.64</v>
      </c>
      <c r="X363" s="9"/>
      <c r="Y363" s="6">
        <v>2</v>
      </c>
      <c r="Z363" s="6">
        <v>2</v>
      </c>
      <c r="AA363" s="8">
        <v>45352</v>
      </c>
      <c r="AB363" s="4">
        <v>0.88</v>
      </c>
      <c r="AC363" s="6">
        <v>25.4</v>
      </c>
      <c r="AD363" s="6">
        <v>21.67</v>
      </c>
      <c r="AE363" s="1">
        <v>0</v>
      </c>
      <c r="AF363" s="1">
        <f ca="1">IFERROR(__xludf.DUMMYFUNCTION("IFERROR(GOOGLEFINANCE(TRIM(F363)&amp;"":"" &amp; TRIM(B363),""high52""),AE363)"),0)</f>
        <v>0</v>
      </c>
      <c r="AG363" s="1">
        <v>0</v>
      </c>
      <c r="AH363" s="1">
        <f ca="1">IFERROR(__xludf.DUMMYFUNCTION("IFERROR(GOOGLEFINANCE(TRIM(F363)&amp;"":"" &amp; TRIM(B363),""low52""),AE363)"),0)</f>
        <v>0</v>
      </c>
      <c r="AI363" s="1">
        <f ca="1">IFERROR(__xludf.DUMMYFUNCTION("IFERROR(GOOGLEFINANCE(B363,""eps""),0)"),0)</f>
        <v>0</v>
      </c>
      <c r="AJ363" s="1"/>
      <c r="AK363" s="1" t="s">
        <v>1178</v>
      </c>
      <c r="AL363" s="1" t="b">
        <f t="shared" si="80"/>
        <v>1</v>
      </c>
    </row>
    <row r="364" spans="1:38" ht="15" x14ac:dyDescent="0.25">
      <c r="A364" s="1" t="s">
        <v>1179</v>
      </c>
      <c r="B364" s="1" t="s">
        <v>1180</v>
      </c>
      <c r="C364" s="1" t="s">
        <v>324</v>
      </c>
      <c r="D364" s="1" t="s">
        <v>324</v>
      </c>
      <c r="E364" s="6">
        <v>1180.6600000000001</v>
      </c>
      <c r="F364" s="1" t="s">
        <v>40</v>
      </c>
      <c r="G364" s="6">
        <f ca="1">IFERROR(__xludf.DUMMYFUNCTION("iferror(GOOGLEFINANCE(TRIM(F364)&amp;"":"" &amp; TRIM(B364), ""price""),0
)"),66.99)</f>
        <v>66.989999999999995</v>
      </c>
      <c r="H364" s="6">
        <v>77.34</v>
      </c>
      <c r="I364" s="6">
        <f t="shared" ca="1" si="0"/>
        <v>66.989999999999995</v>
      </c>
      <c r="J364" s="6">
        <f ca="1">IFERROR(__xludf.DUMMYFUNCTION("IFERROR(GOOGLEFINANCE(B364, ""volume""), 0)"),39214)</f>
        <v>39214</v>
      </c>
      <c r="K364" s="6">
        <v>-0.53</v>
      </c>
      <c r="L364" s="6">
        <f ca="1">IFERROR(__xludf.DUMMYFUNCTION("IFERROR(GOOGLEFINANCE(B364,""changepct""),K364)"),2.18)</f>
        <v>2.1800000000000002</v>
      </c>
      <c r="M364" s="6">
        <f ca="1">IFERROR(__xludf.DUMMYFUNCTION("IFERROR(GOOGLEFINANCE(B364,""change""),0)"),1.43)</f>
        <v>1.43</v>
      </c>
      <c r="N364" s="6">
        <v>2</v>
      </c>
      <c r="O364" s="7">
        <v>45536</v>
      </c>
      <c r="P364" s="6">
        <v>92.08</v>
      </c>
      <c r="Q364" s="6">
        <v>1244.44</v>
      </c>
      <c r="R364" s="7">
        <v>45536</v>
      </c>
      <c r="S364" s="6">
        <v>505.57</v>
      </c>
      <c r="T364" s="6">
        <v>45.64</v>
      </c>
      <c r="U364" s="7">
        <v>45536</v>
      </c>
      <c r="V364" s="6">
        <v>25.87</v>
      </c>
      <c r="W364" s="6">
        <f ca="1">IFERROR(__xludf.DUMMYFUNCTION("IFERROR(GOOGLEFINANCE(B364,""pe""),V364)"),16.59)</f>
        <v>16.59</v>
      </c>
      <c r="X364" s="6">
        <v>1.25</v>
      </c>
      <c r="Y364" s="6">
        <v>2.4900000000000002</v>
      </c>
      <c r="Z364" s="6">
        <v>2</v>
      </c>
      <c r="AA364" s="8">
        <v>45352</v>
      </c>
      <c r="AB364" s="4">
        <v>0.08</v>
      </c>
      <c r="AC364" s="6">
        <v>11.84</v>
      </c>
      <c r="AD364" s="6">
        <v>16.07</v>
      </c>
      <c r="AE364" s="1">
        <v>0</v>
      </c>
      <c r="AF364" s="1">
        <f ca="1">IFERROR(__xludf.DUMMYFUNCTION("IFERROR(GOOGLEFINANCE(TRIM(F364)&amp;"":"" &amp; TRIM(B364),""high52""),AE364)"),83.8)</f>
        <v>83.8</v>
      </c>
      <c r="AG364" s="1">
        <v>0</v>
      </c>
      <c r="AH364" s="1">
        <f ca="1">IFERROR(__xludf.DUMMYFUNCTION("IFERROR(GOOGLEFINANCE(TRIM(F364)&amp;"":"" &amp; TRIM(B364),""low52""),AE364)"),51.41)</f>
        <v>51.41</v>
      </c>
      <c r="AI364" s="1">
        <f ca="1">IFERROR(__xludf.DUMMYFUNCTION("IFERROR(GOOGLEFINANCE(B364,""eps""),0)"),4.04)</f>
        <v>4.04</v>
      </c>
      <c r="AJ364" s="1"/>
      <c r="AK364" s="1" t="s">
        <v>1181</v>
      </c>
      <c r="AL364" s="9">
        <f>IF(AA364&lt;&gt;AB364,1,0)</f>
        <v>1</v>
      </c>
    </row>
    <row r="365" spans="1:38" ht="15" x14ac:dyDescent="0.25">
      <c r="A365" s="1" t="s">
        <v>1182</v>
      </c>
      <c r="B365" s="1" t="s">
        <v>1183</v>
      </c>
      <c r="C365" s="1" t="s">
        <v>223</v>
      </c>
      <c r="D365" s="1" t="s">
        <v>223</v>
      </c>
      <c r="E365" s="6">
        <v>45.63</v>
      </c>
      <c r="F365" s="1" t="s">
        <v>53</v>
      </c>
      <c r="G365" s="6">
        <f ca="1">IFERROR(__xludf.DUMMYFUNCTION("iferror(GOOGLEFINANCE(TRIM(F365)&amp;"":"" &amp; TRIM(B365), ""price""),0
)"),0)</f>
        <v>0</v>
      </c>
      <c r="H365" s="6">
        <v>4.43</v>
      </c>
      <c r="I365" s="6">
        <f t="shared" ca="1" si="0"/>
        <v>4.43</v>
      </c>
      <c r="J365" s="6">
        <f ca="1">IFERROR(__xludf.DUMMYFUNCTION("IFERROR(GOOGLEFINANCE(B365, ""volume""), 0)"),0)</f>
        <v>0</v>
      </c>
      <c r="K365" s="6">
        <v>-4.9400000000000004</v>
      </c>
      <c r="L365" s="6">
        <f ca="1">IFERROR(__xludf.DUMMYFUNCTION("IFERROR(GOOGLEFINANCE(B365,""changepct""),K365)"),-4.94)</f>
        <v>-4.9400000000000004</v>
      </c>
      <c r="M365" s="6">
        <f ca="1">IFERROR(__xludf.DUMMYFUNCTION("IFERROR(GOOGLEFINANCE(B365,""change""),0)"),0)</f>
        <v>0</v>
      </c>
      <c r="N365" s="6">
        <v>1</v>
      </c>
      <c r="O365" s="7">
        <v>45536</v>
      </c>
      <c r="P365" s="6">
        <v>9.23</v>
      </c>
      <c r="Q365" s="6">
        <v>54.87</v>
      </c>
      <c r="R365" s="7">
        <v>45536</v>
      </c>
      <c r="S365" s="6">
        <v>16.059999999999999</v>
      </c>
      <c r="T365" s="6">
        <v>1.54</v>
      </c>
      <c r="U365" s="7">
        <v>45536</v>
      </c>
      <c r="V365" s="6">
        <v>29.71</v>
      </c>
      <c r="W365" s="6">
        <f ca="1">IFERROR(__xludf.DUMMYFUNCTION("IFERROR(GOOGLEFINANCE(B365,""pe""),V365)"),29.71)</f>
        <v>29.71</v>
      </c>
      <c r="X365" s="6">
        <v>1.02</v>
      </c>
      <c r="Y365" s="6">
        <v>0.79</v>
      </c>
      <c r="Z365" s="6">
        <v>1</v>
      </c>
      <c r="AA365" s="8">
        <v>45352</v>
      </c>
      <c r="AB365" s="4">
        <v>1.1499999999999999</v>
      </c>
      <c r="AC365" s="6">
        <v>10.76</v>
      </c>
      <c r="AD365" s="6">
        <v>6.9</v>
      </c>
      <c r="AE365" s="1">
        <v>0</v>
      </c>
      <c r="AF365" s="1">
        <f ca="1">IFERROR(__xludf.DUMMYFUNCTION("IFERROR(GOOGLEFINANCE(TRIM(F365)&amp;"":"" &amp; TRIM(B365),""high52""),AE365)"),0)</f>
        <v>0</v>
      </c>
      <c r="AG365" s="1">
        <v>0</v>
      </c>
      <c r="AH365" s="1">
        <f ca="1">IFERROR(__xludf.DUMMYFUNCTION("IFERROR(GOOGLEFINANCE(TRIM(F365)&amp;"":"" &amp; TRIM(B365),""low52""),AE365)"),0)</f>
        <v>0</v>
      </c>
      <c r="AI365" s="1">
        <f ca="1">IFERROR(__xludf.DUMMYFUNCTION("IFERROR(GOOGLEFINANCE(B365,""eps""),0)"),0)</f>
        <v>0</v>
      </c>
      <c r="AJ365" s="1"/>
      <c r="AK365" s="1" t="s">
        <v>1184</v>
      </c>
      <c r="AL365" s="1" t="b">
        <f t="shared" ref="AL365:AL374" si="81">ISNUMBER(AA365)</f>
        <v>1</v>
      </c>
    </row>
    <row r="366" spans="1:38" ht="15" x14ac:dyDescent="0.25">
      <c r="A366" s="1" t="s">
        <v>1185</v>
      </c>
      <c r="B366" s="1" t="s">
        <v>1186</v>
      </c>
      <c r="C366" s="1" t="s">
        <v>223</v>
      </c>
      <c r="D366" s="1" t="s">
        <v>223</v>
      </c>
      <c r="E366" s="6">
        <v>4.7300000000000004</v>
      </c>
      <c r="F366" s="1" t="s">
        <v>53</v>
      </c>
      <c r="G366" s="6">
        <f ca="1">IFERROR(__xludf.DUMMYFUNCTION("iferror(GOOGLEFINANCE(TRIM(F366)&amp;"":"" &amp; TRIM(B366), ""price""),0
)"),0)</f>
        <v>0</v>
      </c>
      <c r="H366" s="6">
        <v>4.47</v>
      </c>
      <c r="I366" s="6">
        <f t="shared" ca="1" si="0"/>
        <v>4.47</v>
      </c>
      <c r="J366" s="6">
        <f ca="1">IFERROR(__xludf.DUMMYFUNCTION("IFERROR(GOOGLEFINANCE(B366, ""volume""), 0)"),0)</f>
        <v>0</v>
      </c>
      <c r="K366" s="6">
        <v>-4.8899999999999997</v>
      </c>
      <c r="L366" s="6">
        <f ca="1">IFERROR(__xludf.DUMMYFUNCTION("IFERROR(GOOGLEFINANCE(B366,""changepct""),K366)"),-4.89)</f>
        <v>-4.8899999999999997</v>
      </c>
      <c r="M366" s="6">
        <f ca="1">IFERROR(__xludf.DUMMYFUNCTION("IFERROR(GOOGLEFINANCE(B366,""change""),0)"),0)</f>
        <v>0</v>
      </c>
      <c r="N366" s="6">
        <v>1</v>
      </c>
      <c r="O366" s="7">
        <v>45536</v>
      </c>
      <c r="P366" s="9"/>
      <c r="Q366" s="6">
        <v>4.7</v>
      </c>
      <c r="R366" s="15">
        <v>45536</v>
      </c>
      <c r="S366" s="6">
        <v>0.23</v>
      </c>
      <c r="T366" s="6">
        <v>0.12</v>
      </c>
      <c r="U366" s="7">
        <v>45536</v>
      </c>
      <c r="V366" s="6">
        <v>41.13</v>
      </c>
      <c r="W366" s="6">
        <f ca="1">IFERROR(__xludf.DUMMYFUNCTION("IFERROR(GOOGLEFINANCE(B366,""pe""),V366)"),41.13)</f>
        <v>41.13</v>
      </c>
      <c r="X366" s="9"/>
      <c r="Y366" s="6">
        <v>0.47</v>
      </c>
      <c r="Z366" s="6">
        <v>1</v>
      </c>
      <c r="AA366" s="8">
        <v>45352</v>
      </c>
      <c r="AB366" s="4">
        <v>0</v>
      </c>
      <c r="AC366" s="6">
        <v>1.1100000000000001</v>
      </c>
      <c r="AD366" s="6">
        <v>1.29</v>
      </c>
      <c r="AE366" s="1">
        <v>0</v>
      </c>
      <c r="AF366" s="1">
        <f ca="1">IFERROR(__xludf.DUMMYFUNCTION("IFERROR(GOOGLEFINANCE(TRIM(F366)&amp;"":"" &amp; TRIM(B366),""high52""),AE366)"),0)</f>
        <v>0</v>
      </c>
      <c r="AG366" s="1">
        <v>0</v>
      </c>
      <c r="AH366" s="1">
        <f ca="1">IFERROR(__xludf.DUMMYFUNCTION("IFERROR(GOOGLEFINANCE(TRIM(F366)&amp;"":"" &amp; TRIM(B366),""low52""),AE366)"),0)</f>
        <v>0</v>
      </c>
      <c r="AI366" s="1">
        <f ca="1">IFERROR(__xludf.DUMMYFUNCTION("IFERROR(GOOGLEFINANCE(B366,""eps""),0)"),0)</f>
        <v>0</v>
      </c>
      <c r="AJ366" s="1"/>
      <c r="AK366" s="1" t="s">
        <v>1187</v>
      </c>
      <c r="AL366" s="1" t="b">
        <f t="shared" si="81"/>
        <v>1</v>
      </c>
    </row>
    <row r="367" spans="1:38" ht="15" x14ac:dyDescent="0.25">
      <c r="A367" s="1" t="s">
        <v>1188</v>
      </c>
      <c r="B367" s="1" t="s">
        <v>1189</v>
      </c>
      <c r="C367" s="1" t="s">
        <v>223</v>
      </c>
      <c r="D367" s="1" t="s">
        <v>223</v>
      </c>
      <c r="E367" s="6">
        <v>58.12</v>
      </c>
      <c r="F367" s="1" t="s">
        <v>53</v>
      </c>
      <c r="G367" s="6">
        <f ca="1">IFERROR(__xludf.DUMMYFUNCTION("iferror(GOOGLEFINANCE(TRIM(F367)&amp;"":"" &amp; TRIM(B367), ""price""),0
)"),0)</f>
        <v>0</v>
      </c>
      <c r="H367" s="6">
        <v>46.68</v>
      </c>
      <c r="I367" s="6">
        <f t="shared" ca="1" si="0"/>
        <v>46.68</v>
      </c>
      <c r="J367" s="6">
        <f ca="1">IFERROR(__xludf.DUMMYFUNCTION("IFERROR(GOOGLEFINANCE(B367, ""volume""), 0)"),0)</f>
        <v>0</v>
      </c>
      <c r="K367" s="6">
        <v>-3.89</v>
      </c>
      <c r="L367" s="6">
        <f ca="1">IFERROR(__xludf.DUMMYFUNCTION("IFERROR(GOOGLEFINANCE(B367,""changepct""),K367)"),-3.89)</f>
        <v>-3.89</v>
      </c>
      <c r="M367" s="6">
        <f ca="1">IFERROR(__xludf.DUMMYFUNCTION("IFERROR(GOOGLEFINANCE(B367,""change""),0)"),0)</f>
        <v>0</v>
      </c>
      <c r="N367" s="6">
        <v>2</v>
      </c>
      <c r="O367" s="7">
        <v>45536</v>
      </c>
      <c r="P367" s="6">
        <v>7.27</v>
      </c>
      <c r="Q367" s="6">
        <v>64.290000000000006</v>
      </c>
      <c r="R367" s="7">
        <v>45536</v>
      </c>
      <c r="S367" s="6">
        <v>11.68</v>
      </c>
      <c r="T367" s="6">
        <v>25.56</v>
      </c>
      <c r="U367" s="7">
        <v>45536</v>
      </c>
      <c r="V367" s="6">
        <v>2.27</v>
      </c>
      <c r="W367" s="6">
        <f ca="1">IFERROR(__xludf.DUMMYFUNCTION("IFERROR(GOOGLEFINANCE(B367,""pe""),V367)"),2.27)</f>
        <v>2.27</v>
      </c>
      <c r="X367" s="6">
        <v>0.16</v>
      </c>
      <c r="Y367" s="6">
        <v>0.99</v>
      </c>
      <c r="Z367" s="6">
        <v>2</v>
      </c>
      <c r="AA367" s="8">
        <v>45352</v>
      </c>
      <c r="AB367" s="4">
        <v>0.34</v>
      </c>
      <c r="AC367" s="6">
        <v>-21.13</v>
      </c>
      <c r="AD367" s="6">
        <v>3.02</v>
      </c>
      <c r="AE367" s="1">
        <v>0</v>
      </c>
      <c r="AF367" s="1">
        <f ca="1">IFERROR(__xludf.DUMMYFUNCTION("IFERROR(GOOGLEFINANCE(TRIM(F367)&amp;"":"" &amp; TRIM(B367),""high52""),AE367)"),0)</f>
        <v>0</v>
      </c>
      <c r="AG367" s="1">
        <v>0</v>
      </c>
      <c r="AH367" s="1">
        <f ca="1">IFERROR(__xludf.DUMMYFUNCTION("IFERROR(GOOGLEFINANCE(TRIM(F367)&amp;"":"" &amp; TRIM(B367),""low52""),AE367)"),0)</f>
        <v>0</v>
      </c>
      <c r="AI367" s="1">
        <f ca="1">IFERROR(__xludf.DUMMYFUNCTION("IFERROR(GOOGLEFINANCE(B367,""eps""),0)"),0)</f>
        <v>0</v>
      </c>
      <c r="AJ367" s="1"/>
      <c r="AK367" s="1" t="s">
        <v>1190</v>
      </c>
      <c r="AL367" s="1" t="b">
        <f t="shared" si="81"/>
        <v>1</v>
      </c>
    </row>
    <row r="368" spans="1:38" ht="15" x14ac:dyDescent="0.25">
      <c r="A368" s="1" t="s">
        <v>1191</v>
      </c>
      <c r="B368" s="1" t="s">
        <v>1192</v>
      </c>
      <c r="C368" s="1" t="s">
        <v>223</v>
      </c>
      <c r="D368" s="1" t="s">
        <v>223</v>
      </c>
      <c r="E368" s="6">
        <v>389.53</v>
      </c>
      <c r="F368" s="1" t="s">
        <v>53</v>
      </c>
      <c r="G368" s="6">
        <f ca="1">IFERROR(__xludf.DUMMYFUNCTION("iferror(GOOGLEFINANCE(TRIM(F368)&amp;"":"" &amp; TRIM(B368), ""price""),0
)"),0)</f>
        <v>0</v>
      </c>
      <c r="H368" s="6">
        <v>102.87</v>
      </c>
      <c r="I368" s="6">
        <f t="shared" ca="1" si="0"/>
        <v>102.87</v>
      </c>
      <c r="J368" s="6">
        <f ca="1">IFERROR(__xludf.DUMMYFUNCTION("IFERROR(GOOGLEFINANCE(B368, ""volume""), 0)"),0)</f>
        <v>0</v>
      </c>
      <c r="K368" s="6">
        <v>2.99</v>
      </c>
      <c r="L368" s="6">
        <f ca="1">IFERROR(__xludf.DUMMYFUNCTION("IFERROR(GOOGLEFINANCE(B368,""changepct""),K368)"),2.99)</f>
        <v>2.99</v>
      </c>
      <c r="M368" s="6">
        <f ca="1">IFERROR(__xludf.DUMMYFUNCTION("IFERROR(GOOGLEFINANCE(B368,""change""),0)"),0)</f>
        <v>0</v>
      </c>
      <c r="N368" s="6">
        <v>1</v>
      </c>
      <c r="O368" s="7">
        <v>45536</v>
      </c>
      <c r="P368" s="9"/>
      <c r="Q368" s="6">
        <v>357.85</v>
      </c>
      <c r="R368" s="7">
        <v>45536</v>
      </c>
      <c r="S368" s="6">
        <v>54.55</v>
      </c>
      <c r="T368" s="6">
        <v>47.54</v>
      </c>
      <c r="U368" s="7">
        <v>45536</v>
      </c>
      <c r="V368" s="6">
        <v>8.19</v>
      </c>
      <c r="W368" s="6">
        <f ca="1">IFERROR(__xludf.DUMMYFUNCTION("IFERROR(GOOGLEFINANCE(B368,""pe""),V368)"),8.19)</f>
        <v>8.19</v>
      </c>
      <c r="X368" s="6">
        <v>0.14000000000000001</v>
      </c>
      <c r="Y368" s="6">
        <v>3.53</v>
      </c>
      <c r="Z368" s="6">
        <v>1</v>
      </c>
      <c r="AA368" s="8">
        <v>45352</v>
      </c>
      <c r="AB368" s="4">
        <v>0</v>
      </c>
      <c r="AC368" s="6">
        <v>122.08</v>
      </c>
      <c r="AD368" s="6">
        <v>146.6</v>
      </c>
      <c r="AE368" s="1">
        <v>0</v>
      </c>
      <c r="AF368" s="1">
        <f ca="1">IFERROR(__xludf.DUMMYFUNCTION("IFERROR(GOOGLEFINANCE(TRIM(F368)&amp;"":"" &amp; TRIM(B368),""high52""),AE368)"),0)</f>
        <v>0</v>
      </c>
      <c r="AG368" s="1">
        <v>0</v>
      </c>
      <c r="AH368" s="1">
        <f ca="1">IFERROR(__xludf.DUMMYFUNCTION("IFERROR(GOOGLEFINANCE(TRIM(F368)&amp;"":"" &amp; TRIM(B368),""low52""),AE368)"),0)</f>
        <v>0</v>
      </c>
      <c r="AI368" s="1">
        <f ca="1">IFERROR(__xludf.DUMMYFUNCTION("IFERROR(GOOGLEFINANCE(B368,""eps""),0)"),0)</f>
        <v>0</v>
      </c>
      <c r="AJ368" s="1"/>
      <c r="AK368" s="1" t="s">
        <v>1193</v>
      </c>
      <c r="AL368" s="1" t="b">
        <f t="shared" si="81"/>
        <v>1</v>
      </c>
    </row>
    <row r="369" spans="1:38" ht="15" x14ac:dyDescent="0.25">
      <c r="A369" s="1" t="s">
        <v>1194</v>
      </c>
      <c r="B369" s="1" t="s">
        <v>1195</v>
      </c>
      <c r="C369" s="1" t="s">
        <v>223</v>
      </c>
      <c r="D369" s="1" t="s">
        <v>223</v>
      </c>
      <c r="E369" s="6">
        <v>8.5399999999999991</v>
      </c>
      <c r="F369" s="1" t="s">
        <v>53</v>
      </c>
      <c r="G369" s="6">
        <f ca="1">IFERROR(__xludf.DUMMYFUNCTION("iferror(GOOGLEFINANCE(TRIM(F369)&amp;"":"" &amp; TRIM(B369), ""price""),0
)"),0)</f>
        <v>0</v>
      </c>
      <c r="H369" s="6">
        <v>75.28</v>
      </c>
      <c r="I369" s="6">
        <f t="shared" ca="1" si="0"/>
        <v>75.28</v>
      </c>
      <c r="J369" s="6">
        <f ca="1">IFERROR(__xludf.DUMMYFUNCTION("IFERROR(GOOGLEFINANCE(B369, ""volume""), 0)"),0)</f>
        <v>0</v>
      </c>
      <c r="K369" s="6">
        <v>4.99</v>
      </c>
      <c r="L369" s="6">
        <f ca="1">IFERROR(__xludf.DUMMYFUNCTION("IFERROR(GOOGLEFINANCE(B369,""changepct""),K369)"),4.99)</f>
        <v>4.99</v>
      </c>
      <c r="M369" s="6">
        <f ca="1">IFERROR(__xludf.DUMMYFUNCTION("IFERROR(GOOGLEFINANCE(B369,""change""),0)"),0)</f>
        <v>0</v>
      </c>
      <c r="N369" s="6">
        <v>1</v>
      </c>
      <c r="O369" s="7">
        <v>45536</v>
      </c>
      <c r="P369" s="9"/>
      <c r="Q369" s="6">
        <v>8.5399999999999991</v>
      </c>
      <c r="R369" s="7">
        <v>45536</v>
      </c>
      <c r="S369" s="6">
        <v>0.27</v>
      </c>
      <c r="T369" s="6">
        <v>7.0000000000000007E-2</v>
      </c>
      <c r="U369" s="7">
        <v>45536</v>
      </c>
      <c r="V369" s="6">
        <v>120.22</v>
      </c>
      <c r="W369" s="6">
        <f ca="1">IFERROR(__xludf.DUMMYFUNCTION("IFERROR(GOOGLEFINANCE(B369,""pe""),V369)"),120.22)</f>
        <v>120.22</v>
      </c>
      <c r="X369" s="6">
        <v>1.71</v>
      </c>
      <c r="Y369" s="6">
        <v>1.86</v>
      </c>
      <c r="Z369" s="6">
        <v>1</v>
      </c>
      <c r="AA369" s="8">
        <v>45352</v>
      </c>
      <c r="AB369" s="4">
        <v>0</v>
      </c>
      <c r="AC369" s="6">
        <v>2.54</v>
      </c>
      <c r="AD369" s="6">
        <v>3.41</v>
      </c>
      <c r="AE369" s="1">
        <v>0</v>
      </c>
      <c r="AF369" s="1">
        <f ca="1">IFERROR(__xludf.DUMMYFUNCTION("IFERROR(GOOGLEFINANCE(TRIM(F369)&amp;"":"" &amp; TRIM(B369),""high52""),AE369)"),0)</f>
        <v>0</v>
      </c>
      <c r="AG369" s="1">
        <v>0</v>
      </c>
      <c r="AH369" s="1">
        <f ca="1">IFERROR(__xludf.DUMMYFUNCTION("IFERROR(GOOGLEFINANCE(TRIM(F369)&amp;"":"" &amp; TRIM(B369),""low52""),AE369)"),0)</f>
        <v>0</v>
      </c>
      <c r="AI369" s="1">
        <f ca="1">IFERROR(__xludf.DUMMYFUNCTION("IFERROR(GOOGLEFINANCE(B369,""eps""),0)"),0)</f>
        <v>0</v>
      </c>
      <c r="AJ369" s="1"/>
      <c r="AK369" s="1" t="s">
        <v>1196</v>
      </c>
      <c r="AL369" s="1" t="b">
        <f t="shared" si="81"/>
        <v>1</v>
      </c>
    </row>
    <row r="370" spans="1:38" ht="15" x14ac:dyDescent="0.25">
      <c r="A370" s="1" t="s">
        <v>1197</v>
      </c>
      <c r="B370" s="1" t="s">
        <v>1198</v>
      </c>
      <c r="C370" s="1" t="s">
        <v>223</v>
      </c>
      <c r="D370" s="1" t="s">
        <v>223</v>
      </c>
      <c r="E370" s="6">
        <v>42.12</v>
      </c>
      <c r="F370" s="1" t="s">
        <v>53</v>
      </c>
      <c r="G370" s="6">
        <f ca="1">IFERROR(__xludf.DUMMYFUNCTION("iferror(GOOGLEFINANCE(TRIM(F370)&amp;"":"" &amp; TRIM(B370), ""price""),0
)"),0)</f>
        <v>0</v>
      </c>
      <c r="H370" s="6">
        <v>4.72</v>
      </c>
      <c r="I370" s="6">
        <f t="shared" ca="1" si="0"/>
        <v>4.72</v>
      </c>
      <c r="J370" s="6">
        <f ca="1">IFERROR(__xludf.DUMMYFUNCTION("IFERROR(GOOGLEFINANCE(B370, ""volume""), 0)"),0)</f>
        <v>0</v>
      </c>
      <c r="K370" s="6">
        <v>0.85</v>
      </c>
      <c r="L370" s="6">
        <f ca="1">IFERROR(__xludf.DUMMYFUNCTION("IFERROR(GOOGLEFINANCE(B370,""changepct""),K370)"),0.85)</f>
        <v>0.85</v>
      </c>
      <c r="M370" s="6">
        <f ca="1">IFERROR(__xludf.DUMMYFUNCTION("IFERROR(GOOGLEFINANCE(B370,""change""),0)"),0)</f>
        <v>0</v>
      </c>
      <c r="N370" s="6">
        <v>1</v>
      </c>
      <c r="O370" s="7">
        <v>45536</v>
      </c>
      <c r="P370" s="6">
        <v>17.21</v>
      </c>
      <c r="Q370" s="6">
        <v>59.29</v>
      </c>
      <c r="R370" s="7">
        <v>45536</v>
      </c>
      <c r="S370" s="6">
        <v>18.46</v>
      </c>
      <c r="T370" s="6">
        <v>1.61</v>
      </c>
      <c r="U370" s="7">
        <v>45536</v>
      </c>
      <c r="V370" s="6">
        <v>26.16</v>
      </c>
      <c r="W370" s="6">
        <f ca="1">IFERROR(__xludf.DUMMYFUNCTION("IFERROR(GOOGLEFINANCE(B370,""pe""),V370)"),26.16)</f>
        <v>26.16</v>
      </c>
      <c r="X370" s="6">
        <v>4.13</v>
      </c>
      <c r="Y370" s="6">
        <v>1.67</v>
      </c>
      <c r="Z370" s="6">
        <v>1</v>
      </c>
      <c r="AA370" s="8">
        <v>45352</v>
      </c>
      <c r="AB370" s="4">
        <v>0.61</v>
      </c>
      <c r="AC370" s="6">
        <v>9.27</v>
      </c>
      <c r="AD370" s="6">
        <v>12.47</v>
      </c>
      <c r="AE370" s="1">
        <v>0</v>
      </c>
      <c r="AF370" s="1">
        <f ca="1">IFERROR(__xludf.DUMMYFUNCTION("IFERROR(GOOGLEFINANCE(TRIM(F370)&amp;"":"" &amp; TRIM(B370),""high52""),AE370)"),0)</f>
        <v>0</v>
      </c>
      <c r="AG370" s="1">
        <v>0</v>
      </c>
      <c r="AH370" s="1">
        <f ca="1">IFERROR(__xludf.DUMMYFUNCTION("IFERROR(GOOGLEFINANCE(TRIM(F370)&amp;"":"" &amp; TRIM(B370),""low52""),AE370)"),0)</f>
        <v>0</v>
      </c>
      <c r="AI370" s="1">
        <f ca="1">IFERROR(__xludf.DUMMYFUNCTION("IFERROR(GOOGLEFINANCE(B370,""eps""),0)"),0)</f>
        <v>0</v>
      </c>
      <c r="AJ370" s="1"/>
      <c r="AK370" s="1" t="s">
        <v>1199</v>
      </c>
      <c r="AL370" s="1" t="b">
        <f t="shared" si="81"/>
        <v>1</v>
      </c>
    </row>
    <row r="371" spans="1:38" ht="15" x14ac:dyDescent="0.25">
      <c r="A371" s="1" t="s">
        <v>1200</v>
      </c>
      <c r="B371" s="1" t="s">
        <v>1201</v>
      </c>
      <c r="C371" s="1" t="s">
        <v>223</v>
      </c>
      <c r="D371" s="1" t="s">
        <v>223</v>
      </c>
      <c r="E371" s="6">
        <v>295.83</v>
      </c>
      <c r="F371" s="1" t="s">
        <v>53</v>
      </c>
      <c r="G371" s="6">
        <f ca="1">IFERROR(__xludf.DUMMYFUNCTION("iferror(GOOGLEFINANCE(TRIM(F371)&amp;"":"" &amp; TRIM(B371), ""price""),0
)"),0)</f>
        <v>0</v>
      </c>
      <c r="H371" s="6">
        <v>184.75</v>
      </c>
      <c r="I371" s="6">
        <f t="shared" ca="1" si="0"/>
        <v>184.75</v>
      </c>
      <c r="J371" s="6">
        <f ca="1">IFERROR(__xludf.DUMMYFUNCTION("IFERROR(GOOGLEFINANCE(B371, ""volume""), 0)"),0)</f>
        <v>0</v>
      </c>
      <c r="K371" s="6">
        <v>1.99</v>
      </c>
      <c r="L371" s="6">
        <f ca="1">IFERROR(__xludf.DUMMYFUNCTION("IFERROR(GOOGLEFINANCE(B371,""changepct""),K371)"),1.99)</f>
        <v>1.99</v>
      </c>
      <c r="M371" s="6">
        <f ca="1">IFERROR(__xludf.DUMMYFUNCTION("IFERROR(GOOGLEFINANCE(B371,""change""),0)"),0)</f>
        <v>0</v>
      </c>
      <c r="N371" s="6">
        <v>1</v>
      </c>
      <c r="O371" s="7">
        <v>45536</v>
      </c>
      <c r="P371" s="6">
        <v>16.03</v>
      </c>
      <c r="Q371" s="6">
        <v>311.86</v>
      </c>
      <c r="R371" s="7">
        <v>45536</v>
      </c>
      <c r="S371" s="6">
        <v>77.08</v>
      </c>
      <c r="T371" s="6">
        <v>1.88</v>
      </c>
      <c r="U371" s="7">
        <v>45536</v>
      </c>
      <c r="V371" s="6">
        <v>157.1</v>
      </c>
      <c r="W371" s="6">
        <f ca="1">IFERROR(__xludf.DUMMYFUNCTION("IFERROR(GOOGLEFINANCE(B371,""pe""),V371)"),157.1)</f>
        <v>157.1</v>
      </c>
      <c r="X371" s="6">
        <v>4.46</v>
      </c>
      <c r="Y371" s="6">
        <v>11.76</v>
      </c>
      <c r="Z371" s="6">
        <v>1</v>
      </c>
      <c r="AA371" s="8">
        <v>45352</v>
      </c>
      <c r="AB371" s="4">
        <v>0.27</v>
      </c>
      <c r="AC371" s="6">
        <v>4.79</v>
      </c>
      <c r="AD371" s="6">
        <v>7.68</v>
      </c>
      <c r="AE371" s="1">
        <v>0</v>
      </c>
      <c r="AF371" s="1">
        <f ca="1">IFERROR(__xludf.DUMMYFUNCTION("IFERROR(GOOGLEFINANCE(TRIM(F371)&amp;"":"" &amp; TRIM(B371),""high52""),AE371)"),0)</f>
        <v>0</v>
      </c>
      <c r="AG371" s="1">
        <v>0</v>
      </c>
      <c r="AH371" s="1">
        <f ca="1">IFERROR(__xludf.DUMMYFUNCTION("IFERROR(GOOGLEFINANCE(TRIM(F371)&amp;"":"" &amp; TRIM(B371),""low52""),AE371)"),0)</f>
        <v>0</v>
      </c>
      <c r="AI371" s="1">
        <f ca="1">IFERROR(__xludf.DUMMYFUNCTION("IFERROR(GOOGLEFINANCE(B371,""eps""),0)"),0)</f>
        <v>0</v>
      </c>
      <c r="AJ371" s="1"/>
      <c r="AK371" s="1" t="s">
        <v>1202</v>
      </c>
      <c r="AL371" s="1" t="b">
        <f t="shared" si="81"/>
        <v>1</v>
      </c>
    </row>
    <row r="372" spans="1:38" ht="15" x14ac:dyDescent="0.25">
      <c r="A372" s="1" t="s">
        <v>1203</v>
      </c>
      <c r="B372" s="1" t="s">
        <v>1204</v>
      </c>
      <c r="C372" s="1" t="s">
        <v>223</v>
      </c>
      <c r="D372" s="1" t="s">
        <v>223</v>
      </c>
      <c r="E372" s="6">
        <v>26.18</v>
      </c>
      <c r="F372" s="1" t="s">
        <v>53</v>
      </c>
      <c r="G372" s="6">
        <f ca="1">IFERROR(__xludf.DUMMYFUNCTION("iferror(GOOGLEFINANCE(TRIM(F372)&amp;"":"" &amp; TRIM(B372), ""price""),0
)"),0)</f>
        <v>0</v>
      </c>
      <c r="H372" s="6">
        <v>38.950000000000003</v>
      </c>
      <c r="I372" s="6">
        <f t="shared" ca="1" si="0"/>
        <v>38.950000000000003</v>
      </c>
      <c r="J372" s="6">
        <f ca="1">IFERROR(__xludf.DUMMYFUNCTION("IFERROR(GOOGLEFINANCE(B372, ""volume""), 0)"),0)</f>
        <v>0</v>
      </c>
      <c r="K372" s="6">
        <v>0</v>
      </c>
      <c r="L372" s="6">
        <f ca="1">IFERROR(__xludf.DUMMYFUNCTION("IFERROR(GOOGLEFINANCE(B372,""changepct""),K372)"),0)</f>
        <v>0</v>
      </c>
      <c r="M372" s="6">
        <f ca="1">IFERROR(__xludf.DUMMYFUNCTION("IFERROR(GOOGLEFINANCE(B372,""change""),0)"),0)</f>
        <v>0</v>
      </c>
      <c r="N372" s="6">
        <v>1</v>
      </c>
      <c r="O372" s="7">
        <v>45536</v>
      </c>
      <c r="P372" s="6">
        <v>10.29</v>
      </c>
      <c r="Q372" s="6">
        <v>36.47</v>
      </c>
      <c r="R372" s="7">
        <v>45536</v>
      </c>
      <c r="S372" s="6">
        <v>0</v>
      </c>
      <c r="T372" s="6">
        <v>-1.07</v>
      </c>
      <c r="U372" s="7">
        <v>45536</v>
      </c>
      <c r="V372" s="6">
        <v>0</v>
      </c>
      <c r="W372" s="6">
        <f ca="1">IFERROR(__xludf.DUMMYFUNCTION("IFERROR(GOOGLEFINANCE(B372,""pe""),V372)"),0)</f>
        <v>0</v>
      </c>
      <c r="X372" s="6">
        <v>0</v>
      </c>
      <c r="Y372" s="6">
        <v>1.98</v>
      </c>
      <c r="Z372" s="6">
        <v>1</v>
      </c>
      <c r="AA372" s="8">
        <v>45352</v>
      </c>
      <c r="AB372" s="4">
        <v>0.33</v>
      </c>
      <c r="AC372" s="6">
        <v>5.61</v>
      </c>
      <c r="AD372" s="6">
        <v>2.09</v>
      </c>
      <c r="AE372" s="1">
        <v>0</v>
      </c>
      <c r="AF372" s="1">
        <f ca="1">IFERROR(__xludf.DUMMYFUNCTION("IFERROR(GOOGLEFINANCE(TRIM(F372)&amp;"":"" &amp; TRIM(B372),""high52""),AE372)"),0)</f>
        <v>0</v>
      </c>
      <c r="AG372" s="1">
        <v>0</v>
      </c>
      <c r="AH372" s="1">
        <f ca="1">IFERROR(__xludf.DUMMYFUNCTION("IFERROR(GOOGLEFINANCE(TRIM(F372)&amp;"":"" &amp; TRIM(B372),""low52""),AE372)"),0)</f>
        <v>0</v>
      </c>
      <c r="AI372" s="1">
        <f ca="1">IFERROR(__xludf.DUMMYFUNCTION("IFERROR(GOOGLEFINANCE(B372,""eps""),0)"),0)</f>
        <v>0</v>
      </c>
      <c r="AJ372" s="1"/>
      <c r="AK372" s="1" t="s">
        <v>1205</v>
      </c>
      <c r="AL372" s="1" t="b">
        <f t="shared" si="81"/>
        <v>1</v>
      </c>
    </row>
    <row r="373" spans="1:38" ht="15" x14ac:dyDescent="0.25">
      <c r="A373" s="1" t="s">
        <v>1206</v>
      </c>
      <c r="B373" s="1" t="s">
        <v>1207</v>
      </c>
      <c r="C373" s="1" t="s">
        <v>223</v>
      </c>
      <c r="D373" s="1" t="s">
        <v>223</v>
      </c>
      <c r="E373" s="6">
        <v>5363.1</v>
      </c>
      <c r="F373" s="1" t="s">
        <v>40</v>
      </c>
      <c r="G373" s="6">
        <f ca="1">IFERROR(__xludf.DUMMYFUNCTION("iferror(GOOGLEFINANCE(TRIM(F373)&amp;"":"" &amp; TRIM(B373), ""price""),0
)"),385.95)</f>
        <v>385.95</v>
      </c>
      <c r="H373" s="6">
        <v>770</v>
      </c>
      <c r="I373" s="6">
        <f t="shared" ca="1" si="0"/>
        <v>385.95</v>
      </c>
      <c r="J373" s="6">
        <f ca="1">IFERROR(__xludf.DUMMYFUNCTION("IFERROR(GOOGLEFINANCE(B373, ""volume""), 0)"),509195)</f>
        <v>509195</v>
      </c>
      <c r="K373" s="6">
        <v>1.65</v>
      </c>
      <c r="L373" s="6">
        <f ca="1">IFERROR(__xludf.DUMMYFUNCTION("IFERROR(GOOGLEFINANCE(B373,""changepct""),K373)"),-0.96)</f>
        <v>-0.96</v>
      </c>
      <c r="M373" s="6">
        <f ca="1">IFERROR(__xludf.DUMMYFUNCTION("IFERROR(GOOGLEFINANCE(B373,""change""),0)"),-3.75)</f>
        <v>-3.75</v>
      </c>
      <c r="N373" s="6">
        <v>2</v>
      </c>
      <c r="O373" s="7">
        <v>45536</v>
      </c>
      <c r="P373" s="6">
        <v>27.88</v>
      </c>
      <c r="Q373" s="6">
        <v>5187.93</v>
      </c>
      <c r="R373" s="7">
        <v>45352</v>
      </c>
      <c r="S373" s="6">
        <v>848.82</v>
      </c>
      <c r="T373" s="6">
        <v>-17.57</v>
      </c>
      <c r="U373" s="7">
        <v>45352</v>
      </c>
      <c r="V373" s="6">
        <v>0</v>
      </c>
      <c r="W373" s="6">
        <f ca="1">IFERROR(__xludf.DUMMYFUNCTION("IFERROR(GOOGLEFINANCE(B373,""pe""),V373)"),52.72)</f>
        <v>52.72</v>
      </c>
      <c r="X373" s="9"/>
      <c r="Y373" s="6">
        <v>12.62</v>
      </c>
      <c r="Z373" s="6">
        <v>2</v>
      </c>
      <c r="AA373" s="8">
        <v>45352</v>
      </c>
      <c r="AB373" s="4">
        <v>0.14000000000000001</v>
      </c>
      <c r="AC373" s="6">
        <v>0</v>
      </c>
      <c r="AD373" s="6">
        <v>32.51</v>
      </c>
      <c r="AE373" s="1">
        <v>0</v>
      </c>
      <c r="AF373" s="1">
        <f ca="1">IFERROR(__xludf.DUMMYFUNCTION("IFERROR(GOOGLEFINANCE(TRIM(F373)&amp;"":"" &amp; TRIM(B373),""high52""),AE373)"),718.95)</f>
        <v>718.95</v>
      </c>
      <c r="AG373" s="1">
        <v>0</v>
      </c>
      <c r="AH373" s="1">
        <f ca="1">IFERROR(__xludf.DUMMYFUNCTION("IFERROR(GOOGLEFINANCE(TRIM(F373)&amp;"":"" &amp; TRIM(B373),""low52""),AE373)"),377.2)</f>
        <v>377.2</v>
      </c>
      <c r="AI373" s="1">
        <f ca="1">IFERROR(__xludf.DUMMYFUNCTION("IFERROR(GOOGLEFINANCE(B373,""eps""),0)"),7.32)</f>
        <v>7.32</v>
      </c>
      <c r="AJ373" s="1"/>
      <c r="AK373" s="1" t="s">
        <v>1208</v>
      </c>
      <c r="AL373" s="1" t="b">
        <f t="shared" si="81"/>
        <v>1</v>
      </c>
    </row>
    <row r="374" spans="1:38" ht="15" x14ac:dyDescent="0.25">
      <c r="A374" s="1" t="s">
        <v>1209</v>
      </c>
      <c r="B374" s="1" t="s">
        <v>1210</v>
      </c>
      <c r="C374" s="1" t="s">
        <v>1067</v>
      </c>
      <c r="D374" s="1" t="s">
        <v>1067</v>
      </c>
      <c r="E374" s="6">
        <v>336182.1</v>
      </c>
      <c r="F374" s="1" t="s">
        <v>40</v>
      </c>
      <c r="G374" s="6">
        <f ca="1">IFERROR(__xludf.DUMMYFUNCTION("iferror(GOOGLEFINANCE(TRIM(F374)&amp;"":"" &amp; TRIM(B374), ""price""),0
)"),1309.2)</f>
        <v>1309.2</v>
      </c>
      <c r="H374" s="6">
        <v>1088.3</v>
      </c>
      <c r="I374" s="6">
        <f t="shared" ca="1" si="0"/>
        <v>1309.2</v>
      </c>
      <c r="J374" s="6">
        <f ca="1">IFERROR(__xludf.DUMMYFUNCTION("IFERROR(GOOGLEFINANCE(B374, ""volume""), 0)"),8647298)</f>
        <v>8647298</v>
      </c>
      <c r="K374" s="6">
        <v>0.16</v>
      </c>
      <c r="L374" s="6">
        <f ca="1">IFERROR(__xludf.DUMMYFUNCTION("IFERROR(GOOGLEFINANCE(B374,""changepct""),K374)"),-2.33)</f>
        <v>-2.33</v>
      </c>
      <c r="M374" s="6">
        <f ca="1">IFERROR(__xludf.DUMMYFUNCTION("IFERROR(GOOGLEFINANCE(B374,""change""),0)"),-31.2)</f>
        <v>-31.2</v>
      </c>
      <c r="N374" s="6">
        <v>2</v>
      </c>
      <c r="O374" s="7">
        <v>45536</v>
      </c>
      <c r="P374" s="6">
        <v>121855.4</v>
      </c>
      <c r="Q374" s="6">
        <v>27965.84</v>
      </c>
      <c r="R374" s="7">
        <v>45536</v>
      </c>
      <c r="S374" s="6">
        <v>12.04</v>
      </c>
      <c r="T374" s="6">
        <v>0.31</v>
      </c>
      <c r="U374" s="6">
        <v>1.96</v>
      </c>
      <c r="V374" s="6">
        <v>2</v>
      </c>
      <c r="W374" s="6">
        <f ca="1">IFERROR(__xludf.DUMMYFUNCTION("IFERROR(GOOGLEFINANCE(B374,""pe""),V374)"),15.53)</f>
        <v>15.53</v>
      </c>
      <c r="X374" s="7">
        <v>45352</v>
      </c>
      <c r="Y374" s="6">
        <v>18.510000000000002</v>
      </c>
      <c r="Z374" s="6">
        <v>1</v>
      </c>
      <c r="AA374" s="8">
        <v>45352</v>
      </c>
      <c r="AB374" s="4">
        <v>0.34</v>
      </c>
      <c r="AC374" s="6">
        <v>3.54</v>
      </c>
      <c r="AD374" s="6">
        <v>11.33</v>
      </c>
      <c r="AE374" s="1">
        <v>0</v>
      </c>
      <c r="AF374" s="1">
        <f ca="1">IFERROR(__xludf.DUMMYFUNCTION("IFERROR(GOOGLEFINANCE(TRIM(F374)&amp;"":"" &amp; TRIM(B374),""high52""),AE374)"),1384.9)</f>
        <v>1384.9</v>
      </c>
      <c r="AG374" s="1">
        <v>0</v>
      </c>
      <c r="AH374" s="1">
        <f ca="1">IFERROR(__xludf.DUMMYFUNCTION("IFERROR(GOOGLEFINANCE(TRIM(F374)&amp;"":"" &amp; TRIM(B374),""low52""),AE374)"),978.05)</f>
        <v>978.05</v>
      </c>
      <c r="AI374" s="1">
        <f ca="1">IFERROR(__xludf.DUMMYFUNCTION("IFERROR(GOOGLEFINANCE(B374,""eps""),0)"),84.29)</f>
        <v>84.29</v>
      </c>
      <c r="AJ374" s="1"/>
      <c r="AK374" s="1" t="s">
        <v>1211</v>
      </c>
      <c r="AL374" s="1" t="b">
        <f t="shared" si="81"/>
        <v>1</v>
      </c>
    </row>
    <row r="375" spans="1:38" ht="15" x14ac:dyDescent="0.25">
      <c r="A375" s="1" t="s">
        <v>1212</v>
      </c>
      <c r="B375" s="1" t="s">
        <v>1213</v>
      </c>
      <c r="C375" s="1" t="s">
        <v>57</v>
      </c>
      <c r="D375" s="1" t="s">
        <v>57</v>
      </c>
      <c r="E375" s="6">
        <v>2930.18</v>
      </c>
      <c r="F375" s="1" t="s">
        <v>40</v>
      </c>
      <c r="G375" s="6">
        <f ca="1">IFERROR(__xludf.DUMMYFUNCTION("iferror(GOOGLEFINANCE(TRIM(F375)&amp;"":"" &amp; TRIM(B375), ""price""),0
)"),1114.7)</f>
        <v>1114.7</v>
      </c>
      <c r="H375" s="6">
        <v>733.75</v>
      </c>
      <c r="I375" s="6">
        <f t="shared" ca="1" si="0"/>
        <v>1114.7</v>
      </c>
      <c r="J375" s="6">
        <f ca="1">IFERROR(__xludf.DUMMYFUNCTION("IFERROR(GOOGLEFINANCE(B375, ""volume""), 0)"),61547)</f>
        <v>61547</v>
      </c>
      <c r="K375" s="6">
        <v>4.99</v>
      </c>
      <c r="L375" s="6">
        <f ca="1">IFERROR(__xludf.DUMMYFUNCTION("IFERROR(GOOGLEFINANCE(B375,""changepct""),K375)"),-4.99)</f>
        <v>-4.99</v>
      </c>
      <c r="M375" s="6">
        <f ca="1">IFERROR(__xludf.DUMMYFUNCTION("IFERROR(GOOGLEFINANCE(B375,""change""),0)"),-58.6)</f>
        <v>-58.6</v>
      </c>
      <c r="N375" s="6">
        <v>2</v>
      </c>
      <c r="O375" s="7">
        <v>45536</v>
      </c>
      <c r="P375" s="6">
        <v>180.05</v>
      </c>
      <c r="Q375" s="6">
        <v>3020.92</v>
      </c>
      <c r="R375" s="7">
        <v>45536</v>
      </c>
      <c r="S375" s="6">
        <v>976.26</v>
      </c>
      <c r="T375" s="6">
        <v>45.57</v>
      </c>
      <c r="U375" s="7">
        <v>45536</v>
      </c>
      <c r="V375" s="6">
        <v>64.39</v>
      </c>
      <c r="W375" s="6">
        <f ca="1">IFERROR(__xludf.DUMMYFUNCTION("IFERROR(GOOGLEFINANCE(B375,""pe""),V375)"),55.48)</f>
        <v>55.48</v>
      </c>
      <c r="X375" s="6">
        <v>2.2400000000000002</v>
      </c>
      <c r="Y375" s="6">
        <v>4.82</v>
      </c>
      <c r="Z375" s="6">
        <v>2</v>
      </c>
      <c r="AA375" s="8">
        <v>45352</v>
      </c>
      <c r="AB375" s="4">
        <v>0.42</v>
      </c>
      <c r="AC375" s="6">
        <v>7.49</v>
      </c>
      <c r="AD375" s="6">
        <v>15.01</v>
      </c>
      <c r="AE375" s="1">
        <v>0</v>
      </c>
      <c r="AF375" s="1">
        <f ca="1">IFERROR(__xludf.DUMMYFUNCTION("IFERROR(GOOGLEFINANCE(TRIM(F375)&amp;"":"" &amp; TRIM(B375),""high52""),AE375)"),1779.2)</f>
        <v>1779.2</v>
      </c>
      <c r="AG375" s="1">
        <v>0</v>
      </c>
      <c r="AH375" s="1">
        <f ca="1">IFERROR(__xludf.DUMMYFUNCTION("IFERROR(GOOGLEFINANCE(TRIM(F375)&amp;"":"" &amp; TRIM(B375),""low52""),AE375)"),661.9)</f>
        <v>661.9</v>
      </c>
      <c r="AI375" s="1">
        <f ca="1">IFERROR(__xludf.DUMMYFUNCTION("IFERROR(GOOGLEFINANCE(B375,""eps""),0)"),20.09)</f>
        <v>20.09</v>
      </c>
      <c r="AJ375" s="1"/>
      <c r="AK375" s="1" t="s">
        <v>1214</v>
      </c>
      <c r="AL375" s="9">
        <f>IF(AA375&lt;&gt;AB375,1,0)</f>
        <v>1</v>
      </c>
    </row>
    <row r="376" spans="1:38" ht="15" x14ac:dyDescent="0.25">
      <c r="A376" s="1" t="s">
        <v>1215</v>
      </c>
      <c r="B376" s="1" t="s">
        <v>1216</v>
      </c>
      <c r="C376" s="1" t="s">
        <v>223</v>
      </c>
      <c r="D376" s="1" t="s">
        <v>223</v>
      </c>
      <c r="E376" s="6">
        <v>122.91</v>
      </c>
      <c r="F376" s="1" t="s">
        <v>53</v>
      </c>
      <c r="G376" s="6">
        <f ca="1">IFERROR(__xludf.DUMMYFUNCTION("iferror(GOOGLEFINANCE(TRIM(F376)&amp;"":"" &amp; TRIM(B376), ""price""),0
)"),0)</f>
        <v>0</v>
      </c>
      <c r="H376" s="6">
        <v>702</v>
      </c>
      <c r="I376" s="6">
        <f t="shared" ca="1" si="0"/>
        <v>702</v>
      </c>
      <c r="J376" s="6">
        <f ca="1">IFERROR(__xludf.DUMMYFUNCTION("IFERROR(GOOGLEFINANCE(B376, ""volume""), 0)"),0)</f>
        <v>0</v>
      </c>
      <c r="K376" s="6">
        <v>7.95</v>
      </c>
      <c r="L376" s="6">
        <f ca="1">IFERROR(__xludf.DUMMYFUNCTION("IFERROR(GOOGLEFINANCE(B376,""changepct""),K376)"),-0.25)</f>
        <v>-0.25</v>
      </c>
      <c r="M376" s="6">
        <f ca="1">IFERROR(__xludf.DUMMYFUNCTION("IFERROR(GOOGLEFINANCE(B376,""change""),0)"),-0.23)</f>
        <v>-0.23</v>
      </c>
      <c r="N376" s="6">
        <v>1</v>
      </c>
      <c r="O376" s="7">
        <v>45352</v>
      </c>
      <c r="P376" s="6">
        <v>0</v>
      </c>
      <c r="Q376" s="6">
        <v>119.68</v>
      </c>
      <c r="R376" s="14"/>
      <c r="S376" s="9"/>
      <c r="T376" s="9"/>
      <c r="U376" s="7">
        <v>45352</v>
      </c>
      <c r="V376" s="6">
        <v>111.89</v>
      </c>
      <c r="W376" s="6">
        <f ca="1">IFERROR(__xludf.DUMMYFUNCTION("IFERROR(GOOGLEFINANCE(B376,""pe""),V376)"),28.89)</f>
        <v>28.89</v>
      </c>
      <c r="X376" s="12"/>
      <c r="Y376" s="6">
        <v>8.25</v>
      </c>
      <c r="Z376" s="6">
        <v>1</v>
      </c>
      <c r="AA376" s="8">
        <v>45352</v>
      </c>
      <c r="AB376" s="4">
        <v>0</v>
      </c>
      <c r="AC376" s="6">
        <v>27.22</v>
      </c>
      <c r="AD376" s="6">
        <v>36.54</v>
      </c>
      <c r="AE376" s="1">
        <v>0</v>
      </c>
      <c r="AF376" s="1">
        <f ca="1">IFERROR(__xludf.DUMMYFUNCTION("IFERROR(GOOGLEFINANCE(TRIM(F376)&amp;"":"" &amp; TRIM(B376),""high52""),AE376)"),0)</f>
        <v>0</v>
      </c>
      <c r="AG376" s="1">
        <v>0</v>
      </c>
      <c r="AH376" s="1">
        <f ca="1">IFERROR(__xludf.DUMMYFUNCTION("IFERROR(GOOGLEFINANCE(TRIM(F376)&amp;"":"" &amp; TRIM(B376),""low52""),AE376)"),0)</f>
        <v>0</v>
      </c>
      <c r="AI376" s="1">
        <f ca="1">IFERROR(__xludf.DUMMYFUNCTION("IFERROR(GOOGLEFINANCE(B376,""eps""),0)"),3.17)</f>
        <v>3.17</v>
      </c>
      <c r="AJ376" s="1"/>
      <c r="AK376" s="1" t="s">
        <v>1217</v>
      </c>
      <c r="AL376" s="1" t="b">
        <f>ISNUMBER(AA376)</f>
        <v>1</v>
      </c>
    </row>
    <row r="377" spans="1:38" ht="15" x14ac:dyDescent="0.25">
      <c r="A377" s="1" t="s">
        <v>1218</v>
      </c>
      <c r="B377" s="1" t="s">
        <v>1219</v>
      </c>
      <c r="C377" s="1" t="s">
        <v>186</v>
      </c>
      <c r="D377" s="1" t="s">
        <v>186</v>
      </c>
      <c r="E377" s="6">
        <v>390.55</v>
      </c>
      <c r="F377" s="1" t="s">
        <v>40</v>
      </c>
      <c r="G377" s="6">
        <f ca="1">IFERROR(__xludf.DUMMYFUNCTION("iferror(GOOGLEFINANCE(TRIM(F377)&amp;"":"" &amp; TRIM(B377), ""price""),0
)"),9.8)</f>
        <v>9.8000000000000007</v>
      </c>
      <c r="H377" s="6">
        <v>11.13</v>
      </c>
      <c r="I377" s="6">
        <f t="shared" ca="1" si="0"/>
        <v>9.8000000000000007</v>
      </c>
      <c r="J377" s="6">
        <f ca="1">IFERROR(__xludf.DUMMYFUNCTION("IFERROR(GOOGLEFINANCE(B377, ""volume""), 0)"),231833)</f>
        <v>231833</v>
      </c>
      <c r="K377" s="6">
        <v>-0.8</v>
      </c>
      <c r="L377" s="6">
        <f ca="1">IFERROR(__xludf.DUMMYFUNCTION("IFERROR(GOOGLEFINANCE(B377,""changepct""),K377)"),3.16)</f>
        <v>3.16</v>
      </c>
      <c r="M377" s="6">
        <f ca="1">IFERROR(__xludf.DUMMYFUNCTION("IFERROR(GOOGLEFINANCE(B377,""change""),0)"),0.3)</f>
        <v>0.3</v>
      </c>
      <c r="N377" s="6">
        <v>1</v>
      </c>
      <c r="O377" s="7">
        <v>45536</v>
      </c>
      <c r="P377" s="9"/>
      <c r="Q377" s="6">
        <v>390.55</v>
      </c>
      <c r="R377" s="7">
        <v>45536</v>
      </c>
      <c r="S377" s="6">
        <v>771.93</v>
      </c>
      <c r="T377" s="6">
        <v>12.26</v>
      </c>
      <c r="U377" s="7">
        <v>45536</v>
      </c>
      <c r="V377" s="6">
        <v>31.87</v>
      </c>
      <c r="W377" s="6">
        <f ca="1">IFERROR(__xludf.DUMMYFUNCTION("IFERROR(GOOGLEFINANCE(B377,""pe""),V377)"),149.21)</f>
        <v>149.21</v>
      </c>
      <c r="X377" s="6">
        <v>0.28000000000000003</v>
      </c>
      <c r="Y377" s="6">
        <v>5.69</v>
      </c>
      <c r="Z377" s="6">
        <v>1</v>
      </c>
      <c r="AA377" s="8">
        <v>45352</v>
      </c>
      <c r="AB377" s="4">
        <v>0.31</v>
      </c>
      <c r="AC377" s="6">
        <v>34.78</v>
      </c>
      <c r="AD377" s="6">
        <v>41.15</v>
      </c>
      <c r="AE377" s="1">
        <v>0</v>
      </c>
      <c r="AF377" s="1">
        <f ca="1">IFERROR(__xludf.DUMMYFUNCTION("IFERROR(GOOGLEFINANCE(TRIM(F377)&amp;"":"" &amp; TRIM(B377),""high52""),AE377)"),13.42)</f>
        <v>13.42</v>
      </c>
      <c r="AG377" s="1">
        <v>0</v>
      </c>
      <c r="AH377" s="1">
        <f ca="1">IFERROR(__xludf.DUMMYFUNCTION("IFERROR(GOOGLEFINANCE(TRIM(F377)&amp;"":"" &amp; TRIM(B377),""low52""),AE377)"),7.99)</f>
        <v>7.99</v>
      </c>
      <c r="AI377" s="1">
        <f ca="1">IFERROR(__xludf.DUMMYFUNCTION("IFERROR(GOOGLEFINANCE(B377,""eps""),0)"),0.07)</f>
        <v>7.0000000000000007E-2</v>
      </c>
      <c r="AJ377" s="1"/>
      <c r="AK377" s="1" t="s">
        <v>1220</v>
      </c>
      <c r="AL377" s="9">
        <f t="shared" ref="AL377:AL384" si="82">IF(AA377&lt;&gt;AB377,1,0)</f>
        <v>1</v>
      </c>
    </row>
    <row r="378" spans="1:38" ht="15" x14ac:dyDescent="0.25">
      <c r="A378" s="1" t="s">
        <v>1221</v>
      </c>
      <c r="B378" s="1" t="s">
        <v>1222</v>
      </c>
      <c r="C378" s="1" t="s">
        <v>186</v>
      </c>
      <c r="D378" s="1" t="s">
        <v>186</v>
      </c>
      <c r="E378" s="6">
        <v>1485.88</v>
      </c>
      <c r="F378" s="1" t="s">
        <v>40</v>
      </c>
      <c r="G378" s="6">
        <f ca="1">IFERROR(__xludf.DUMMYFUNCTION("iferror(GOOGLEFINANCE(TRIM(F378)&amp;"":"" &amp; TRIM(B378), ""price""),0
)"),160)</f>
        <v>160</v>
      </c>
      <c r="H378" s="6">
        <v>268.3</v>
      </c>
      <c r="I378" s="6">
        <f t="shared" ca="1" si="0"/>
        <v>160</v>
      </c>
      <c r="J378" s="6">
        <f ca="1">IFERROR(__xludf.DUMMYFUNCTION("IFERROR(GOOGLEFINANCE(B378, ""volume""), 0)"),5581)</f>
        <v>5581</v>
      </c>
      <c r="K378" s="6">
        <v>4.95</v>
      </c>
      <c r="L378" s="6">
        <f ca="1">IFERROR(__xludf.DUMMYFUNCTION("IFERROR(GOOGLEFINANCE(B378,""changepct""),K378)"),3.13)</f>
        <v>3.13</v>
      </c>
      <c r="M378" s="6">
        <f ca="1">IFERROR(__xludf.DUMMYFUNCTION("IFERROR(GOOGLEFINANCE(B378,""change""),0)"),4.86)</f>
        <v>4.8600000000000003</v>
      </c>
      <c r="N378" s="6">
        <v>2</v>
      </c>
      <c r="O378" s="7">
        <v>45536</v>
      </c>
      <c r="P378" s="6">
        <v>301.14999999999998</v>
      </c>
      <c r="Q378" s="6">
        <v>1773.19</v>
      </c>
      <c r="R378" s="7">
        <v>45536</v>
      </c>
      <c r="S378" s="6">
        <v>1455.99</v>
      </c>
      <c r="T378" s="6">
        <v>24.64</v>
      </c>
      <c r="U378" s="7">
        <v>45536</v>
      </c>
      <c r="V378" s="6">
        <v>60.3</v>
      </c>
      <c r="W378" s="6">
        <f ca="1">IFERROR(__xludf.DUMMYFUNCTION("IFERROR(GOOGLEFINANCE(B378,""pe""),V378)"),520.87)</f>
        <v>520.87</v>
      </c>
      <c r="X378" s="12"/>
      <c r="Y378" s="6">
        <v>2.6</v>
      </c>
      <c r="Z378" s="6">
        <v>2</v>
      </c>
      <c r="AA378" s="8">
        <v>45352</v>
      </c>
      <c r="AB378" s="4">
        <v>0.73</v>
      </c>
      <c r="AC378" s="6">
        <v>0.49</v>
      </c>
      <c r="AD378" s="6">
        <v>6.11</v>
      </c>
      <c r="AE378" s="1">
        <v>0</v>
      </c>
      <c r="AF378" s="1">
        <f ca="1">IFERROR(__xludf.DUMMYFUNCTION("IFERROR(GOOGLEFINANCE(TRIM(F378)&amp;"":"" &amp; TRIM(B378),""high52""),AE378)"),279.33)</f>
        <v>279.33</v>
      </c>
      <c r="AG378" s="1">
        <v>0</v>
      </c>
      <c r="AH378" s="1">
        <f ca="1">IFERROR(__xludf.DUMMYFUNCTION("IFERROR(GOOGLEFINANCE(TRIM(F378)&amp;"":"" &amp; TRIM(B378),""low52""),AE378)"),141.53)</f>
        <v>141.53</v>
      </c>
      <c r="AI378" s="1">
        <f ca="1">IFERROR(__xludf.DUMMYFUNCTION("IFERROR(GOOGLEFINANCE(B378,""eps""),0)"),0.31)</f>
        <v>0.31</v>
      </c>
      <c r="AJ378" s="1"/>
      <c r="AK378" s="1" t="s">
        <v>1223</v>
      </c>
      <c r="AL378" s="9">
        <f t="shared" si="82"/>
        <v>1</v>
      </c>
    </row>
    <row r="379" spans="1:38" ht="15" x14ac:dyDescent="0.25">
      <c r="A379" s="1" t="s">
        <v>1224</v>
      </c>
      <c r="B379" s="1" t="s">
        <v>1225</v>
      </c>
      <c r="C379" s="1" t="s">
        <v>416</v>
      </c>
      <c r="D379" s="1" t="s">
        <v>416</v>
      </c>
      <c r="E379" s="6">
        <v>10940.04</v>
      </c>
      <c r="F379" s="1" t="s">
        <v>40</v>
      </c>
      <c r="G379" s="6">
        <f ca="1">IFERROR(__xludf.DUMMYFUNCTION("iferror(GOOGLEFINANCE(TRIM(F379)&amp;"":"" &amp; TRIM(B379), ""price""),0
)"),1445)</f>
        <v>1445</v>
      </c>
      <c r="H379" s="6">
        <v>1854.9</v>
      </c>
      <c r="I379" s="6">
        <f t="shared" ca="1" si="0"/>
        <v>1445</v>
      </c>
      <c r="J379" s="6">
        <f ca="1">IFERROR(__xludf.DUMMYFUNCTION("IFERROR(GOOGLEFINANCE(B379, ""volume""), 0)"),114342)</f>
        <v>114342</v>
      </c>
      <c r="K379" s="6">
        <v>0.33</v>
      </c>
      <c r="L379" s="6">
        <f ca="1">IFERROR(__xludf.DUMMYFUNCTION("IFERROR(GOOGLEFINANCE(B379,""changepct""),K379)"),-0.78)</f>
        <v>-0.78</v>
      </c>
      <c r="M379" s="6">
        <f ca="1">IFERROR(__xludf.DUMMYFUNCTION("IFERROR(GOOGLEFINANCE(B379,""change""),0)"),-11.4)</f>
        <v>-11.4</v>
      </c>
      <c r="N379" s="6">
        <v>2</v>
      </c>
      <c r="O379" s="7">
        <v>45536</v>
      </c>
      <c r="P379" s="6">
        <v>148.31</v>
      </c>
      <c r="Q379" s="6">
        <v>11052.27</v>
      </c>
      <c r="R379" s="7">
        <v>45536</v>
      </c>
      <c r="S379" s="6">
        <v>391.97</v>
      </c>
      <c r="T379" s="6">
        <v>69.739999999999995</v>
      </c>
      <c r="U379" s="7">
        <v>45536</v>
      </c>
      <c r="V379" s="6">
        <v>156.59</v>
      </c>
      <c r="W379" s="6">
        <f ca="1">IFERROR(__xludf.DUMMYFUNCTION("IFERROR(GOOGLEFINANCE(B379,""pe""),V379)"),81.14)</f>
        <v>81.14</v>
      </c>
      <c r="X379" s="12"/>
      <c r="Y379" s="6">
        <v>16.02</v>
      </c>
      <c r="Z379" s="6">
        <v>2</v>
      </c>
      <c r="AA379" s="8">
        <v>45352</v>
      </c>
      <c r="AB379" s="4">
        <v>0.06</v>
      </c>
      <c r="AC379" s="6">
        <v>13.8</v>
      </c>
      <c r="AD379" s="6">
        <v>21.58</v>
      </c>
      <c r="AE379" s="1">
        <v>0</v>
      </c>
      <c r="AF379" s="1">
        <f ca="1">IFERROR(__xludf.DUMMYFUNCTION("IFERROR(GOOGLEFINANCE(TRIM(F379)&amp;"":"" &amp; TRIM(B379),""high52""),AE379)"),1899)</f>
        <v>1899</v>
      </c>
      <c r="AG379" s="1">
        <v>0</v>
      </c>
      <c r="AH379" s="1">
        <f ca="1">IFERROR(__xludf.DUMMYFUNCTION("IFERROR(GOOGLEFINANCE(TRIM(F379)&amp;"":"" &amp; TRIM(B379),""low52""),AE379)"),1159.45)</f>
        <v>1159.45</v>
      </c>
      <c r="AI379" s="1">
        <f ca="1">IFERROR(__xludf.DUMMYFUNCTION("IFERROR(GOOGLEFINANCE(B379,""eps""),0)"),17.81)</f>
        <v>17.809999999999999</v>
      </c>
      <c r="AJ379" s="1"/>
      <c r="AK379" s="1" t="s">
        <v>1226</v>
      </c>
      <c r="AL379" s="9">
        <f t="shared" si="82"/>
        <v>1</v>
      </c>
    </row>
    <row r="380" spans="1:38" ht="15" x14ac:dyDescent="0.25">
      <c r="A380" s="1" t="s">
        <v>1227</v>
      </c>
      <c r="B380" s="1" t="s">
        <v>1228</v>
      </c>
      <c r="C380" s="1" t="s">
        <v>1229</v>
      </c>
      <c r="D380" s="1" t="s">
        <v>1229</v>
      </c>
      <c r="E380" s="6">
        <v>200.69</v>
      </c>
      <c r="F380" s="1" t="s">
        <v>40</v>
      </c>
      <c r="G380" s="6">
        <f ca="1">IFERROR(__xludf.DUMMYFUNCTION("iferror(GOOGLEFINANCE(TRIM(F380)&amp;"":"" &amp; TRIM(B380), ""price""),0
)"),5.33)</f>
        <v>5.33</v>
      </c>
      <c r="H380" s="6">
        <v>10.27</v>
      </c>
      <c r="I380" s="6">
        <f t="shared" ca="1" si="0"/>
        <v>5.33</v>
      </c>
      <c r="J380" s="6">
        <f ca="1">IFERROR(__xludf.DUMMYFUNCTION("IFERROR(GOOGLEFINANCE(B380, ""volume""), 0)"),129921)</f>
        <v>129921</v>
      </c>
      <c r="K380" s="6">
        <v>1.58</v>
      </c>
      <c r="L380" s="6">
        <f ca="1">IFERROR(__xludf.DUMMYFUNCTION("IFERROR(GOOGLEFINANCE(B380,""changepct""),K380)"),-3.44)</f>
        <v>-3.44</v>
      </c>
      <c r="M380" s="6">
        <f ca="1">IFERROR(__xludf.DUMMYFUNCTION("IFERROR(GOOGLEFINANCE(B380,""change""),0)"),-0.19)</f>
        <v>-0.19</v>
      </c>
      <c r="N380" s="6">
        <v>2</v>
      </c>
      <c r="O380" s="7">
        <v>45536</v>
      </c>
      <c r="P380" s="9"/>
      <c r="Q380" s="6">
        <v>200.69</v>
      </c>
      <c r="R380" s="7">
        <v>45536</v>
      </c>
      <c r="S380" s="6">
        <v>126.49</v>
      </c>
      <c r="T380" s="6">
        <v>0.66</v>
      </c>
      <c r="U380" s="7">
        <v>45536</v>
      </c>
      <c r="V380" s="6">
        <v>108.01</v>
      </c>
      <c r="W380" s="6">
        <f ca="1">IFERROR(__xludf.DUMMYFUNCTION("IFERROR(GOOGLEFINANCE(B380,""pe""),V380)"),12.4)</f>
        <v>12.4</v>
      </c>
      <c r="X380" s="6">
        <v>34.18</v>
      </c>
      <c r="Y380" s="6">
        <v>1.31</v>
      </c>
      <c r="Z380" s="6">
        <v>2</v>
      </c>
      <c r="AA380" s="8">
        <v>45352</v>
      </c>
      <c r="AB380" s="4">
        <v>0.71</v>
      </c>
      <c r="AC380" s="6">
        <v>4.63</v>
      </c>
      <c r="AD380" s="6">
        <v>7.03</v>
      </c>
      <c r="AE380" s="1">
        <v>0</v>
      </c>
      <c r="AF380" s="1">
        <f ca="1">IFERROR(__xludf.DUMMYFUNCTION("IFERROR(GOOGLEFINANCE(TRIM(F380)&amp;"":"" &amp; TRIM(B380),""high52""),AE380)"),8.68)</f>
        <v>8.68</v>
      </c>
      <c r="AG380" s="1">
        <v>0</v>
      </c>
      <c r="AH380" s="1">
        <f ca="1">IFERROR(__xludf.DUMMYFUNCTION("IFERROR(GOOGLEFINANCE(TRIM(F380)&amp;"":"" &amp; TRIM(B380),""low52""),AE380)"),5.2)</f>
        <v>5.2</v>
      </c>
      <c r="AI380" s="1">
        <f ca="1">IFERROR(__xludf.DUMMYFUNCTION("IFERROR(GOOGLEFINANCE(B380,""eps""),0)"),0.43)</f>
        <v>0.43</v>
      </c>
      <c r="AJ380" s="1"/>
      <c r="AK380" s="9"/>
      <c r="AL380" s="9">
        <f t="shared" si="82"/>
        <v>1</v>
      </c>
    </row>
    <row r="381" spans="1:38" ht="15" x14ac:dyDescent="0.25">
      <c r="A381" s="1" t="s">
        <v>1230</v>
      </c>
      <c r="B381" s="1" t="s">
        <v>1231</v>
      </c>
      <c r="C381" s="1" t="s">
        <v>487</v>
      </c>
      <c r="D381" s="1" t="s">
        <v>487</v>
      </c>
      <c r="E381" s="6">
        <v>1869.57</v>
      </c>
      <c r="F381" s="1" t="s">
        <v>40</v>
      </c>
      <c r="G381" s="6">
        <f ca="1">IFERROR(__xludf.DUMMYFUNCTION("iferror(GOOGLEFINANCE(TRIM(F381)&amp;"":"" &amp; TRIM(B381), ""price""),0
)"),48.74)</f>
        <v>48.74</v>
      </c>
      <c r="H381" s="6">
        <v>82.5</v>
      </c>
      <c r="I381" s="6">
        <f t="shared" ca="1" si="0"/>
        <v>48.74</v>
      </c>
      <c r="J381" s="6">
        <f ca="1">IFERROR(__xludf.DUMMYFUNCTION("IFERROR(GOOGLEFINANCE(B381, ""volume""), 0)"),335711)</f>
        <v>335711</v>
      </c>
      <c r="K381" s="6">
        <v>-0.08</v>
      </c>
      <c r="L381" s="6">
        <f ca="1">IFERROR(__xludf.DUMMYFUNCTION("IFERROR(GOOGLEFINANCE(B381,""changepct""),K381)"),4.5)</f>
        <v>4.5</v>
      </c>
      <c r="M381" s="6">
        <f ca="1">IFERROR(__xludf.DUMMYFUNCTION("IFERROR(GOOGLEFINANCE(B381,""change""),0)"),2.1)</f>
        <v>2.1</v>
      </c>
      <c r="N381" s="6">
        <v>2</v>
      </c>
      <c r="O381" s="7">
        <v>45536</v>
      </c>
      <c r="P381" s="6">
        <v>281.82</v>
      </c>
      <c r="Q381" s="6">
        <v>2092.31</v>
      </c>
      <c r="R381" s="7">
        <v>45536</v>
      </c>
      <c r="S381" s="6">
        <v>1282.76</v>
      </c>
      <c r="T381" s="6">
        <v>60.2</v>
      </c>
      <c r="U381" s="7">
        <v>45536</v>
      </c>
      <c r="V381" s="6">
        <v>31.05</v>
      </c>
      <c r="W381" s="6">
        <f ca="1">IFERROR(__xludf.DUMMYFUNCTION("IFERROR(GOOGLEFINANCE(B381,""pe""),V381)"),11946.08)</f>
        <v>11946.08</v>
      </c>
      <c r="X381" s="6">
        <v>0.43</v>
      </c>
      <c r="Y381" s="6">
        <v>3.56</v>
      </c>
      <c r="Z381" s="6">
        <v>2</v>
      </c>
      <c r="AA381" s="8">
        <v>45352</v>
      </c>
      <c r="AB381" s="4">
        <v>0.62</v>
      </c>
      <c r="AC381" s="6">
        <v>11.16</v>
      </c>
      <c r="AD381" s="6">
        <v>14.28</v>
      </c>
      <c r="AE381" s="1">
        <v>0</v>
      </c>
      <c r="AF381" s="1">
        <f ca="1">IFERROR(__xludf.DUMMYFUNCTION("IFERROR(GOOGLEFINANCE(TRIM(F381)&amp;"":"" &amp; TRIM(B381),""high52""),AE381)"),80.01)</f>
        <v>80.010000000000005</v>
      </c>
      <c r="AG381" s="1">
        <v>0</v>
      </c>
      <c r="AH381" s="1">
        <f ca="1">IFERROR(__xludf.DUMMYFUNCTION("IFERROR(GOOGLEFINANCE(TRIM(F381)&amp;"":"" &amp; TRIM(B381),""low52""),AE381)"),45)</f>
        <v>45</v>
      </c>
      <c r="AI381" s="1">
        <f ca="1">IFERROR(__xludf.DUMMYFUNCTION("IFERROR(GOOGLEFINANCE(B381,""eps""),0)"),0)</f>
        <v>0</v>
      </c>
      <c r="AJ381" s="1"/>
      <c r="AK381" s="9"/>
      <c r="AL381" s="9">
        <f t="shared" si="82"/>
        <v>1</v>
      </c>
    </row>
    <row r="382" spans="1:38" ht="15" x14ac:dyDescent="0.25">
      <c r="A382" s="1" t="s">
        <v>1232</v>
      </c>
      <c r="B382" s="1" t="s">
        <v>1233</v>
      </c>
      <c r="C382" s="1" t="s">
        <v>373</v>
      </c>
      <c r="D382" s="1" t="s">
        <v>373</v>
      </c>
      <c r="E382" s="6">
        <v>419.76</v>
      </c>
      <c r="F382" s="1" t="s">
        <v>40</v>
      </c>
      <c r="G382" s="6">
        <f ca="1">IFERROR(__xludf.DUMMYFUNCTION("iferror(GOOGLEFINANCE(TRIM(F382)&amp;"":"" &amp; TRIM(B382), ""price""),0
)"),186.1)</f>
        <v>186.1</v>
      </c>
      <c r="H382" s="6">
        <v>201.5</v>
      </c>
      <c r="I382" s="6">
        <f t="shared" ca="1" si="0"/>
        <v>186.1</v>
      </c>
      <c r="J382" s="6">
        <f ca="1">IFERROR(__xludf.DUMMYFUNCTION("IFERROR(GOOGLEFINANCE(B382, ""volume""), 0)"),2229)</f>
        <v>2229</v>
      </c>
      <c r="K382" s="6">
        <v>-1.06</v>
      </c>
      <c r="L382" s="6">
        <f ca="1">IFERROR(__xludf.DUMMYFUNCTION("IFERROR(GOOGLEFINANCE(B382,""changepct""),K382)"),-0.89)</f>
        <v>-0.89</v>
      </c>
      <c r="M382" s="6">
        <f ca="1">IFERROR(__xludf.DUMMYFUNCTION("IFERROR(GOOGLEFINANCE(B382,""change""),0)"),-1.67)</f>
        <v>-1.67</v>
      </c>
      <c r="N382" s="6">
        <v>2</v>
      </c>
      <c r="O382" s="7">
        <v>45536</v>
      </c>
      <c r="P382" s="6">
        <v>221.38</v>
      </c>
      <c r="Q382" s="6">
        <v>640.13</v>
      </c>
      <c r="R382" s="7">
        <v>45536</v>
      </c>
      <c r="S382" s="6">
        <v>421.18</v>
      </c>
      <c r="T382" s="6">
        <v>9.9499999999999993</v>
      </c>
      <c r="U382" s="7">
        <v>45536</v>
      </c>
      <c r="V382" s="6">
        <v>39.979999999999997</v>
      </c>
      <c r="W382" s="6">
        <f ca="1">IFERROR(__xludf.DUMMYFUNCTION("IFERROR(GOOGLEFINANCE(B382,""pe""),V382)"),39.98)</f>
        <v>39.979999999999997</v>
      </c>
      <c r="X382" s="12"/>
      <c r="Y382" s="6">
        <v>3.48</v>
      </c>
      <c r="Z382" s="6">
        <v>2</v>
      </c>
      <c r="AA382" s="8">
        <v>45352</v>
      </c>
      <c r="AB382" s="4">
        <v>1.57</v>
      </c>
      <c r="AC382" s="6">
        <v>15.1</v>
      </c>
      <c r="AD382" s="6">
        <v>11</v>
      </c>
      <c r="AE382" s="1">
        <v>0</v>
      </c>
      <c r="AF382" s="1">
        <f ca="1">IFERROR(__xludf.DUMMYFUNCTION("IFERROR(GOOGLEFINANCE(TRIM(F382)&amp;"":"" &amp; TRIM(B382),""high52""),AE382)"),229.35)</f>
        <v>229.35</v>
      </c>
      <c r="AG382" s="1">
        <v>0</v>
      </c>
      <c r="AH382" s="1">
        <f ca="1">IFERROR(__xludf.DUMMYFUNCTION("IFERROR(GOOGLEFINANCE(TRIM(F382)&amp;"":"" &amp; TRIM(B382),""low52""),AE382)"),120.6)</f>
        <v>120.6</v>
      </c>
      <c r="AI382" s="1">
        <f ca="1">IFERROR(__xludf.DUMMYFUNCTION("IFERROR(GOOGLEFINANCE(B382,""eps""),0)"),-10.35)</f>
        <v>-10.35</v>
      </c>
      <c r="AJ382" s="1"/>
      <c r="AK382" s="1" t="s">
        <v>1234</v>
      </c>
      <c r="AL382" s="9">
        <f t="shared" si="82"/>
        <v>1</v>
      </c>
    </row>
    <row r="383" spans="1:38" ht="15" x14ac:dyDescent="0.25">
      <c r="A383" s="1" t="s">
        <v>1235</v>
      </c>
      <c r="B383" s="1" t="s">
        <v>1236</v>
      </c>
      <c r="C383" s="1" t="s">
        <v>359</v>
      </c>
      <c r="D383" s="1" t="s">
        <v>359</v>
      </c>
      <c r="E383" s="6">
        <v>2384.4</v>
      </c>
      <c r="F383" s="1" t="s">
        <v>40</v>
      </c>
      <c r="G383" s="6">
        <f ca="1">IFERROR(__xludf.DUMMYFUNCTION("iferror(GOOGLEFINANCE(TRIM(F383)&amp;"":"" &amp; TRIM(B383), ""price""),0
)"),314.3)</f>
        <v>314.3</v>
      </c>
      <c r="H383" s="6">
        <v>345.05</v>
      </c>
      <c r="I383" s="6">
        <f t="shared" ca="1" si="0"/>
        <v>314.3</v>
      </c>
      <c r="J383" s="6">
        <f ca="1">IFERROR(__xludf.DUMMYFUNCTION("IFERROR(GOOGLEFINANCE(B383, ""volume""), 0)"),150193)</f>
        <v>150193</v>
      </c>
      <c r="K383" s="6">
        <v>8.2799999999999994</v>
      </c>
      <c r="L383" s="6">
        <f ca="1">IFERROR(__xludf.DUMMYFUNCTION("IFERROR(GOOGLEFINANCE(B383,""changepct""),K383)"),-0.71)</f>
        <v>-0.71</v>
      </c>
      <c r="M383" s="6">
        <f ca="1">IFERROR(__xludf.DUMMYFUNCTION("IFERROR(GOOGLEFINANCE(B383,""change""),0)"),-2.25)</f>
        <v>-2.25</v>
      </c>
      <c r="N383" s="6">
        <v>2</v>
      </c>
      <c r="O383" s="7">
        <v>45536</v>
      </c>
      <c r="P383" s="6">
        <v>66.78</v>
      </c>
      <c r="Q383" s="6">
        <v>2392.66</v>
      </c>
      <c r="R383" s="14"/>
      <c r="S383" s="9"/>
      <c r="T383" s="9"/>
      <c r="U383" s="7">
        <v>45352</v>
      </c>
      <c r="V383" s="6">
        <v>108.67</v>
      </c>
      <c r="W383" s="6">
        <f ca="1">IFERROR(__xludf.DUMMYFUNCTION("IFERROR(GOOGLEFINANCE(B383,""pe""),V383)"),30.22)</f>
        <v>30.22</v>
      </c>
      <c r="X383" s="9"/>
      <c r="Y383" s="6">
        <v>6.28</v>
      </c>
      <c r="Z383" s="6">
        <v>2</v>
      </c>
      <c r="AA383" s="8">
        <v>45352</v>
      </c>
      <c r="AB383" s="4">
        <v>0.83</v>
      </c>
      <c r="AC383" s="6">
        <v>10.74</v>
      </c>
      <c r="AD383" s="6">
        <v>22.4</v>
      </c>
      <c r="AE383" s="1">
        <v>0</v>
      </c>
      <c r="AF383" s="1">
        <f ca="1">IFERROR(__xludf.DUMMYFUNCTION("IFERROR(GOOGLEFINANCE(TRIM(F383)&amp;"":"" &amp; TRIM(B383),""high52""),AE383)"),392)</f>
        <v>392</v>
      </c>
      <c r="AG383" s="1">
        <v>0</v>
      </c>
      <c r="AH383" s="1">
        <f ca="1">IFERROR(__xludf.DUMMYFUNCTION("IFERROR(GOOGLEFINANCE(TRIM(F383)&amp;"":"" &amp; TRIM(B383),""low52""),AE383)"),181)</f>
        <v>181</v>
      </c>
      <c r="AI383" s="1">
        <f ca="1">IFERROR(__xludf.DUMMYFUNCTION("IFERROR(GOOGLEFINANCE(B383,""eps""),0)"),10.4)</f>
        <v>10.4</v>
      </c>
      <c r="AJ383" s="1"/>
      <c r="AK383" s="1" t="s">
        <v>1237</v>
      </c>
      <c r="AL383" s="9">
        <f t="shared" si="82"/>
        <v>1</v>
      </c>
    </row>
    <row r="384" spans="1:38" ht="15" x14ac:dyDescent="0.25">
      <c r="A384" s="1" t="s">
        <v>1238</v>
      </c>
      <c r="B384" s="1" t="s">
        <v>1239</v>
      </c>
      <c r="C384" s="1" t="s">
        <v>324</v>
      </c>
      <c r="D384" s="1" t="s">
        <v>324</v>
      </c>
      <c r="E384" s="6">
        <v>97.22</v>
      </c>
      <c r="F384" s="1" t="s">
        <v>40</v>
      </c>
      <c r="G384" s="6">
        <f ca="1">IFERROR(__xludf.DUMMYFUNCTION("iferror(GOOGLEFINANCE(TRIM(F384)&amp;"":"" &amp; TRIM(B384), ""price""),0
)"),0)</f>
        <v>0</v>
      </c>
      <c r="H384" s="6">
        <v>60.7</v>
      </c>
      <c r="I384" s="6">
        <f t="shared" ca="1" si="0"/>
        <v>60.7</v>
      </c>
      <c r="J384" s="6">
        <f ca="1">IFERROR(__xludf.DUMMYFUNCTION("IFERROR(GOOGLEFINANCE(B384, ""volume""), 0)"),0)</f>
        <v>0</v>
      </c>
      <c r="K384" s="6">
        <v>1.93</v>
      </c>
      <c r="L384" s="6">
        <f ca="1">IFERROR(__xludf.DUMMYFUNCTION("IFERROR(GOOGLEFINANCE(B384,""changepct""),K384)"),1.93)</f>
        <v>1.93</v>
      </c>
      <c r="M384" s="6">
        <f ca="1">IFERROR(__xludf.DUMMYFUNCTION("IFERROR(GOOGLEFINANCE(B384,""change""),0)"),0)</f>
        <v>0</v>
      </c>
      <c r="N384" s="6">
        <v>1</v>
      </c>
      <c r="O384" s="7">
        <v>45536</v>
      </c>
      <c r="P384" s="6">
        <v>17.309999999999999</v>
      </c>
      <c r="Q384" s="6">
        <v>114.53</v>
      </c>
      <c r="R384" s="7">
        <v>45352</v>
      </c>
      <c r="S384" s="6">
        <v>184.2</v>
      </c>
      <c r="T384" s="6">
        <v>6.14</v>
      </c>
      <c r="U384" s="7">
        <v>45352</v>
      </c>
      <c r="V384" s="6">
        <v>15.84</v>
      </c>
      <c r="W384" s="6">
        <f ca="1">IFERROR(__xludf.DUMMYFUNCTION("IFERROR(GOOGLEFINANCE(B384,""pe""),V384)"),15.84)</f>
        <v>15.84</v>
      </c>
      <c r="X384" s="12"/>
      <c r="Y384" s="6">
        <v>1.65</v>
      </c>
      <c r="Z384" s="6">
        <v>2</v>
      </c>
      <c r="AA384" s="8">
        <v>45352</v>
      </c>
      <c r="AB384" s="4">
        <v>0.45</v>
      </c>
      <c r="AC384" s="6">
        <v>14.8</v>
      </c>
      <c r="AD384" s="6">
        <v>14.85</v>
      </c>
      <c r="AE384" s="1">
        <v>0</v>
      </c>
      <c r="AF384" s="1">
        <f ca="1">IFERROR(__xludf.DUMMYFUNCTION("IFERROR(GOOGLEFINANCE(TRIM(F384)&amp;"":"" &amp; TRIM(B384),""high52""),AE384)"),0)</f>
        <v>0</v>
      </c>
      <c r="AG384" s="1">
        <v>0</v>
      </c>
      <c r="AH384" s="1">
        <f ca="1">IFERROR(__xludf.DUMMYFUNCTION("IFERROR(GOOGLEFINANCE(TRIM(F384)&amp;"":"" &amp; TRIM(B384),""low52""),AE384)"),0)</f>
        <v>0</v>
      </c>
      <c r="AI384" s="1">
        <f ca="1">IFERROR(__xludf.DUMMYFUNCTION("IFERROR(GOOGLEFINANCE(B384,""eps""),0)"),0)</f>
        <v>0</v>
      </c>
      <c r="AJ384" s="1"/>
      <c r="AK384" s="1" t="s">
        <v>1240</v>
      </c>
      <c r="AL384" s="9">
        <f t="shared" si="82"/>
        <v>1</v>
      </c>
    </row>
    <row r="385" spans="1:38" ht="15" x14ac:dyDescent="0.25">
      <c r="A385" s="1" t="s">
        <v>1241</v>
      </c>
      <c r="B385" s="1" t="s">
        <v>1242</v>
      </c>
      <c r="C385" s="1" t="s">
        <v>577</v>
      </c>
      <c r="D385" s="1" t="s">
        <v>577</v>
      </c>
      <c r="E385" s="6">
        <v>41.4</v>
      </c>
      <c r="F385" s="1" t="s">
        <v>53</v>
      </c>
      <c r="G385" s="6">
        <f ca="1">IFERROR(__xludf.DUMMYFUNCTION("iferror(GOOGLEFINANCE(TRIM(F385)&amp;"":"" &amp; TRIM(B385), ""price""),0
)"),0)</f>
        <v>0</v>
      </c>
      <c r="H385" s="6">
        <v>39.08</v>
      </c>
      <c r="I385" s="6">
        <f t="shared" ca="1" si="0"/>
        <v>39.08</v>
      </c>
      <c r="J385" s="6">
        <f ca="1">IFERROR(__xludf.DUMMYFUNCTION("IFERROR(GOOGLEFINANCE(B385, ""volume""), 0)"),0)</f>
        <v>0</v>
      </c>
      <c r="K385" s="6">
        <v>0.96</v>
      </c>
      <c r="L385" s="6">
        <f ca="1">IFERROR(__xludf.DUMMYFUNCTION("IFERROR(GOOGLEFINANCE(B385,""changepct""),K385)"),0.96)</f>
        <v>0.96</v>
      </c>
      <c r="M385" s="6">
        <f ca="1">IFERROR(__xludf.DUMMYFUNCTION("IFERROR(GOOGLEFINANCE(B385,""change""),0)"),0)</f>
        <v>0</v>
      </c>
      <c r="N385" s="6">
        <v>1</v>
      </c>
      <c r="O385" s="7">
        <v>45536</v>
      </c>
      <c r="P385" s="6">
        <v>20.51</v>
      </c>
      <c r="Q385" s="6">
        <v>61.91</v>
      </c>
      <c r="R385" s="7">
        <v>45536</v>
      </c>
      <c r="S385" s="6">
        <v>24.76</v>
      </c>
      <c r="T385" s="6">
        <v>-9.52</v>
      </c>
      <c r="U385" s="7">
        <v>45536</v>
      </c>
      <c r="V385" s="6">
        <v>0</v>
      </c>
      <c r="W385" s="6">
        <f ca="1">IFERROR(__xludf.DUMMYFUNCTION("IFERROR(GOOGLEFINANCE(B385,""pe""),V385)"),0)</f>
        <v>0</v>
      </c>
      <c r="X385" s="12"/>
      <c r="Y385" s="6">
        <v>2.35</v>
      </c>
      <c r="Z385" s="6">
        <v>1</v>
      </c>
      <c r="AA385" s="8">
        <v>45352</v>
      </c>
      <c r="AB385" s="4">
        <v>0.68</v>
      </c>
      <c r="AC385" s="6">
        <v>0.18</v>
      </c>
      <c r="AD385" s="6">
        <v>2.2999999999999998</v>
      </c>
      <c r="AE385" s="1">
        <v>0</v>
      </c>
      <c r="AF385" s="1">
        <f ca="1">IFERROR(__xludf.DUMMYFUNCTION("IFERROR(GOOGLEFINANCE(TRIM(F385)&amp;"":"" &amp; TRIM(B385),""high52""),AE385)"),0)</f>
        <v>0</v>
      </c>
      <c r="AG385" s="1">
        <v>0</v>
      </c>
      <c r="AH385" s="1">
        <f ca="1">IFERROR(__xludf.DUMMYFUNCTION("IFERROR(GOOGLEFINANCE(TRIM(F385)&amp;"":"" &amp; TRIM(B385),""low52""),AE385)"),0)</f>
        <v>0</v>
      </c>
      <c r="AI385" s="1">
        <f ca="1">IFERROR(__xludf.DUMMYFUNCTION("IFERROR(GOOGLEFINANCE(B385,""eps""),0)"),0)</f>
        <v>0</v>
      </c>
      <c r="AJ385" s="1"/>
      <c r="AK385" s="1" t="s">
        <v>1243</v>
      </c>
      <c r="AL385" s="1" t="b">
        <f t="shared" ref="AL385:AL386" si="83">ISNUMBER(AA385)</f>
        <v>1</v>
      </c>
    </row>
    <row r="386" spans="1:38" ht="15" x14ac:dyDescent="0.25">
      <c r="A386" s="1" t="s">
        <v>1244</v>
      </c>
      <c r="B386" s="1" t="s">
        <v>1245</v>
      </c>
      <c r="C386" s="1" t="s">
        <v>577</v>
      </c>
      <c r="D386" s="1" t="s">
        <v>577</v>
      </c>
      <c r="E386" s="6">
        <v>914.8</v>
      </c>
      <c r="F386" s="1" t="s">
        <v>53</v>
      </c>
      <c r="G386" s="6">
        <f ca="1">IFERROR(__xludf.DUMMYFUNCTION("iferror(GOOGLEFINANCE(TRIM(F386)&amp;"":"" &amp; TRIM(B386), ""price""),0
)"),0)</f>
        <v>0</v>
      </c>
      <c r="H386" s="6">
        <v>1111.7</v>
      </c>
      <c r="I386" s="6">
        <f t="shared" ca="1" si="0"/>
        <v>1111.7</v>
      </c>
      <c r="J386" s="6">
        <f ca="1">IFERROR(__xludf.DUMMYFUNCTION("IFERROR(GOOGLEFINANCE(B386, ""volume""), 0)"),0)</f>
        <v>0</v>
      </c>
      <c r="K386" s="6">
        <v>5</v>
      </c>
      <c r="L386" s="6">
        <f ca="1">IFERROR(__xludf.DUMMYFUNCTION("IFERROR(GOOGLEFINANCE(B386,""changepct""),K386)"),5)</f>
        <v>5</v>
      </c>
      <c r="M386" s="6">
        <f ca="1">IFERROR(__xludf.DUMMYFUNCTION("IFERROR(GOOGLEFINANCE(B386,""change""),0)"),0)</f>
        <v>0</v>
      </c>
      <c r="N386" s="6">
        <v>1</v>
      </c>
      <c r="O386" s="7">
        <v>45536</v>
      </c>
      <c r="P386" s="6">
        <v>135.31</v>
      </c>
      <c r="Q386" s="6">
        <v>1037.9100000000001</v>
      </c>
      <c r="R386" s="7">
        <v>45536</v>
      </c>
      <c r="S386" s="6">
        <v>559.85</v>
      </c>
      <c r="T386" s="6">
        <v>21.56</v>
      </c>
      <c r="U386" s="7">
        <v>45536</v>
      </c>
      <c r="V386" s="6">
        <v>42.44</v>
      </c>
      <c r="W386" s="6">
        <f ca="1">IFERROR(__xludf.DUMMYFUNCTION("IFERROR(GOOGLEFINANCE(B386,""pe""),V386)"),42.44)</f>
        <v>42.44</v>
      </c>
      <c r="X386" s="6">
        <v>1.81</v>
      </c>
      <c r="Y386" s="6">
        <v>11.04</v>
      </c>
      <c r="Z386" s="6">
        <v>1</v>
      </c>
      <c r="AA386" s="8">
        <v>45352</v>
      </c>
      <c r="AB386" s="4">
        <v>1.59</v>
      </c>
      <c r="AC386" s="6">
        <v>22.89</v>
      </c>
      <c r="AD386" s="6">
        <v>22.49</v>
      </c>
      <c r="AE386" s="1">
        <v>0</v>
      </c>
      <c r="AF386" s="1">
        <f ca="1">IFERROR(__xludf.DUMMYFUNCTION("IFERROR(GOOGLEFINANCE(TRIM(F386)&amp;"":"" &amp; TRIM(B386),""high52""),AE386)"),0)</f>
        <v>0</v>
      </c>
      <c r="AG386" s="1">
        <v>0</v>
      </c>
      <c r="AH386" s="1">
        <f ca="1">IFERROR(__xludf.DUMMYFUNCTION("IFERROR(GOOGLEFINANCE(TRIM(F386)&amp;"":"" &amp; TRIM(B386),""low52""),AE386)"),0)</f>
        <v>0</v>
      </c>
      <c r="AI386" s="1">
        <f ca="1">IFERROR(__xludf.DUMMYFUNCTION("IFERROR(GOOGLEFINANCE(B386,""eps""),0)"),0)</f>
        <v>0</v>
      </c>
      <c r="AJ386" s="1"/>
      <c r="AK386" s="1" t="s">
        <v>1246</v>
      </c>
      <c r="AL386" s="1" t="b">
        <f t="shared" si="83"/>
        <v>1</v>
      </c>
    </row>
    <row r="387" spans="1:38" ht="15" x14ac:dyDescent="0.25">
      <c r="A387" s="1" t="s">
        <v>1247</v>
      </c>
      <c r="B387" s="1" t="s">
        <v>1248</v>
      </c>
      <c r="C387" s="1" t="s">
        <v>106</v>
      </c>
      <c r="D387" s="1" t="s">
        <v>106</v>
      </c>
      <c r="E387" s="6">
        <v>198.59</v>
      </c>
      <c r="F387" s="1" t="s">
        <v>40</v>
      </c>
      <c r="G387" s="6">
        <f ca="1">IFERROR(__xludf.DUMMYFUNCTION("iferror(GOOGLEFINANCE(TRIM(F387)&amp;"":"" &amp; TRIM(B387), ""price""),0
)"),120)</f>
        <v>120</v>
      </c>
      <c r="H387" s="6">
        <v>82.18</v>
      </c>
      <c r="I387" s="6">
        <f t="shared" ca="1" si="0"/>
        <v>120</v>
      </c>
      <c r="J387" s="6">
        <f ca="1">IFERROR(__xludf.DUMMYFUNCTION("IFERROR(GOOGLEFINANCE(B387, ""volume""), 0)"),663)</f>
        <v>663</v>
      </c>
      <c r="K387" s="6">
        <v>-0.5</v>
      </c>
      <c r="L387" s="6">
        <f ca="1">IFERROR(__xludf.DUMMYFUNCTION("IFERROR(GOOGLEFINANCE(B387,""changepct""),K387)"),2.65)</f>
        <v>2.65</v>
      </c>
      <c r="M387" s="6">
        <f ca="1">IFERROR(__xludf.DUMMYFUNCTION("IFERROR(GOOGLEFINANCE(B387,""change""),0)"),3.1)</f>
        <v>3.1</v>
      </c>
      <c r="N387" s="6">
        <v>1</v>
      </c>
      <c r="O387" s="7">
        <v>45536</v>
      </c>
      <c r="P387" s="6">
        <v>18.82</v>
      </c>
      <c r="Q387" s="6">
        <v>217.42</v>
      </c>
      <c r="R387" s="7">
        <v>45536</v>
      </c>
      <c r="S387" s="6">
        <v>143.44999999999999</v>
      </c>
      <c r="T387" s="6">
        <v>0.41</v>
      </c>
      <c r="U387" s="7">
        <v>45536</v>
      </c>
      <c r="V387" s="6">
        <v>489.15</v>
      </c>
      <c r="W387" s="6">
        <f ca="1">IFERROR(__xludf.DUMMYFUNCTION("IFERROR(GOOGLEFINANCE(B387,""pe""),V387)"),32.38)</f>
        <v>32.380000000000003</v>
      </c>
      <c r="X387" s="6">
        <v>25.94</v>
      </c>
      <c r="Y387" s="6">
        <v>2.4</v>
      </c>
      <c r="Z387" s="6">
        <v>1</v>
      </c>
      <c r="AA387" s="8">
        <v>45352</v>
      </c>
      <c r="AB387" s="4">
        <v>0.3</v>
      </c>
      <c r="AC387" s="6">
        <v>9.52</v>
      </c>
      <c r="AD387" s="6">
        <v>9.56</v>
      </c>
      <c r="AE387" s="1">
        <v>0</v>
      </c>
      <c r="AF387" s="1">
        <f ca="1">IFERROR(__xludf.DUMMYFUNCTION("IFERROR(GOOGLEFINANCE(TRIM(F387)&amp;"":"" &amp; TRIM(B387),""high52""),AE387)"),202.06)</f>
        <v>202.06</v>
      </c>
      <c r="AG387" s="1">
        <v>0</v>
      </c>
      <c r="AH387" s="1">
        <f ca="1">IFERROR(__xludf.DUMMYFUNCTION("IFERROR(GOOGLEFINANCE(TRIM(F387)&amp;"":"" &amp; TRIM(B387),""low52""),AE387)"),69)</f>
        <v>69</v>
      </c>
      <c r="AI387" s="1">
        <f ca="1">IFERROR(__xludf.DUMMYFUNCTION("IFERROR(GOOGLEFINANCE(B387,""eps""),0)"),3.71)</f>
        <v>3.71</v>
      </c>
      <c r="AJ387" s="1"/>
      <c r="AK387" s="1" t="s">
        <v>1249</v>
      </c>
      <c r="AL387" s="9">
        <f>IF(AA387&lt;&gt;AB387,1,0)</f>
        <v>1</v>
      </c>
    </row>
    <row r="388" spans="1:38" ht="15" x14ac:dyDescent="0.25">
      <c r="A388" s="1" t="s">
        <v>1250</v>
      </c>
      <c r="B388" s="1" t="s">
        <v>1251</v>
      </c>
      <c r="C388" s="1" t="s">
        <v>264</v>
      </c>
      <c r="D388" s="1" t="s">
        <v>264</v>
      </c>
      <c r="E388" s="6">
        <v>416.81</v>
      </c>
      <c r="F388" s="1" t="s">
        <v>40</v>
      </c>
      <c r="G388" s="6">
        <f ca="1">IFERROR(__xludf.DUMMYFUNCTION("iferror(GOOGLEFINANCE(TRIM(F388)&amp;"":"" &amp; TRIM(B388), ""price""),0
)"),0)</f>
        <v>0</v>
      </c>
      <c r="H388" s="6">
        <v>395</v>
      </c>
      <c r="I388" s="6">
        <f t="shared" ca="1" si="0"/>
        <v>395</v>
      </c>
      <c r="J388" s="6">
        <f ca="1">IFERROR(__xludf.DUMMYFUNCTION("IFERROR(GOOGLEFINANCE(B388, ""volume""), 0)"),0)</f>
        <v>0</v>
      </c>
      <c r="K388" s="6">
        <v>-1.74</v>
      </c>
      <c r="L388" s="6">
        <f ca="1">IFERROR(__xludf.DUMMYFUNCTION("IFERROR(GOOGLEFINANCE(B388,""changepct""),K388)"),-1.74)</f>
        <v>-1.74</v>
      </c>
      <c r="M388" s="6">
        <f ca="1">IFERROR(__xludf.DUMMYFUNCTION("IFERROR(GOOGLEFINANCE(B388,""change""),0)"),0)</f>
        <v>0</v>
      </c>
      <c r="N388" s="6">
        <v>1</v>
      </c>
      <c r="O388" s="7">
        <v>45536</v>
      </c>
      <c r="P388" s="6">
        <v>146.97</v>
      </c>
      <c r="Q388" s="6">
        <v>563.78</v>
      </c>
      <c r="R388" s="7">
        <v>45352</v>
      </c>
      <c r="S388" s="6">
        <v>429.34</v>
      </c>
      <c r="T388" s="6">
        <v>7.2</v>
      </c>
      <c r="U388" s="7">
        <v>45352</v>
      </c>
      <c r="V388" s="6">
        <v>57.89</v>
      </c>
      <c r="W388" s="6">
        <f ca="1">IFERROR(__xludf.DUMMYFUNCTION("IFERROR(GOOGLEFINANCE(B388,""pe""),V388)"),57.89)</f>
        <v>57.89</v>
      </c>
      <c r="X388" s="9"/>
      <c r="Y388" s="6">
        <v>10.01</v>
      </c>
      <c r="Z388" s="6">
        <v>1</v>
      </c>
      <c r="AA388" s="8">
        <v>45352</v>
      </c>
      <c r="AB388" s="4">
        <v>2.44</v>
      </c>
      <c r="AC388" s="6">
        <v>18.93</v>
      </c>
      <c r="AD388" s="6">
        <v>15.6</v>
      </c>
      <c r="AE388" s="1">
        <v>0</v>
      </c>
      <c r="AF388" s="1">
        <f ca="1">IFERROR(__xludf.DUMMYFUNCTION("IFERROR(GOOGLEFINANCE(TRIM(F388)&amp;"":"" &amp; TRIM(B388),""high52""),AE388)"),0)</f>
        <v>0</v>
      </c>
      <c r="AG388" s="1">
        <v>0</v>
      </c>
      <c r="AH388" s="1">
        <f ca="1">IFERROR(__xludf.DUMMYFUNCTION("IFERROR(GOOGLEFINANCE(TRIM(F388)&amp;"":"" &amp; TRIM(B388),""low52""),AE388)"),0)</f>
        <v>0</v>
      </c>
      <c r="AI388" s="1">
        <f ca="1">IFERROR(__xludf.DUMMYFUNCTION("IFERROR(GOOGLEFINANCE(B388,""eps""),0)"),0)</f>
        <v>0</v>
      </c>
      <c r="AJ388" s="1"/>
      <c r="AK388" s="1" t="s">
        <v>1252</v>
      </c>
      <c r="AL388" s="1" t="b">
        <f>ISNUMBER(AA388)</f>
        <v>1</v>
      </c>
    </row>
    <row r="389" spans="1:38" ht="15" x14ac:dyDescent="0.25">
      <c r="A389" s="1" t="s">
        <v>1253</v>
      </c>
      <c r="B389" s="1" t="s">
        <v>1254</v>
      </c>
      <c r="C389" s="1" t="s">
        <v>208</v>
      </c>
      <c r="D389" s="1" t="s">
        <v>208</v>
      </c>
      <c r="E389" s="6">
        <v>180.82</v>
      </c>
      <c r="F389" s="1" t="s">
        <v>40</v>
      </c>
      <c r="G389" s="6">
        <f ca="1">IFERROR(__xludf.DUMMYFUNCTION("iferror(GOOGLEFINANCE(TRIM(F389)&amp;"":"" &amp; TRIM(B389), ""price""),0
)"),11.75)</f>
        <v>11.75</v>
      </c>
      <c r="H389" s="6">
        <v>14.75</v>
      </c>
      <c r="I389" s="6">
        <f t="shared" ca="1" si="0"/>
        <v>11.75</v>
      </c>
      <c r="J389" s="6">
        <f ca="1">IFERROR(__xludf.DUMMYFUNCTION("IFERROR(GOOGLEFINANCE(B389, ""volume""), 0)"),296476)</f>
        <v>296476</v>
      </c>
      <c r="K389" s="6">
        <v>-1.99</v>
      </c>
      <c r="L389" s="6">
        <f ca="1">IFERROR(__xludf.DUMMYFUNCTION("IFERROR(GOOGLEFINANCE(B389,""changepct""),K389)"),4.17)</f>
        <v>4.17</v>
      </c>
      <c r="M389" s="6">
        <f ca="1">IFERROR(__xludf.DUMMYFUNCTION("IFERROR(GOOGLEFINANCE(B389,""change""),0)"),0.47)</f>
        <v>0.47</v>
      </c>
      <c r="N389" s="6">
        <v>1</v>
      </c>
      <c r="O389" s="7">
        <v>45536</v>
      </c>
      <c r="P389" s="6">
        <v>9.77</v>
      </c>
      <c r="Q389" s="7">
        <v>45536</v>
      </c>
      <c r="R389" s="6">
        <v>18.52</v>
      </c>
      <c r="S389" s="6">
        <v>3.19</v>
      </c>
      <c r="T389" s="6">
        <v>1.06</v>
      </c>
      <c r="U389" s="6">
        <v>1</v>
      </c>
      <c r="V389" s="7">
        <v>45352</v>
      </c>
      <c r="W389" s="6">
        <f ca="1">IFERROR(__xludf.DUMMYFUNCTION("IFERROR(GOOGLEFINANCE(B389,""pe""),V389)"),8.51)</f>
        <v>8.51</v>
      </c>
      <c r="X389" s="6">
        <v>1.45</v>
      </c>
      <c r="Y389" s="6">
        <v>8.0299999999999994</v>
      </c>
      <c r="Z389" s="6">
        <v>11.21</v>
      </c>
      <c r="AA389" s="3" t="s">
        <v>1255</v>
      </c>
      <c r="AB389" s="11"/>
      <c r="AC389" s="9"/>
      <c r="AD389" s="9"/>
      <c r="AE389" s="1">
        <v>0</v>
      </c>
      <c r="AF389" s="1">
        <f ca="1">IFERROR(__xludf.DUMMYFUNCTION("IFERROR(GOOGLEFINANCE(TRIM(F389)&amp;"":"" &amp; TRIM(B389),""high52""),AE389)"),13.91)</f>
        <v>13.91</v>
      </c>
      <c r="AG389" s="1">
        <v>0</v>
      </c>
      <c r="AH389" s="1">
        <f ca="1">IFERROR(__xludf.DUMMYFUNCTION("IFERROR(GOOGLEFINANCE(TRIM(F389)&amp;"":"" &amp; TRIM(B389),""low52""),AE389)"),8.97)</f>
        <v>8.9700000000000006</v>
      </c>
      <c r="AI389" s="1">
        <f ca="1">IFERROR(__xludf.DUMMYFUNCTION("IFERROR(GOOGLEFINANCE(B389,""eps""),0)"),1.38)</f>
        <v>1.38</v>
      </c>
      <c r="AJ389" s="1"/>
      <c r="AK389" s="1" t="s">
        <v>1256</v>
      </c>
      <c r="AL389" s="9">
        <f>IF(AA389&lt;&gt;AB389,1,0)</f>
        <v>1</v>
      </c>
    </row>
    <row r="390" spans="1:38" ht="15" x14ac:dyDescent="0.25">
      <c r="A390" s="1" t="s">
        <v>1257</v>
      </c>
      <c r="B390" s="1" t="s">
        <v>1258</v>
      </c>
      <c r="C390" s="1" t="s">
        <v>669</v>
      </c>
      <c r="D390" s="1" t="s">
        <v>669</v>
      </c>
      <c r="E390" s="6">
        <v>253356.5</v>
      </c>
      <c r="F390" s="1" t="s">
        <v>40</v>
      </c>
      <c r="G390" s="6">
        <f ca="1">IFERROR(__xludf.DUMMYFUNCTION("iferror(GOOGLEFINANCE(TRIM(F390)&amp;"":"" &amp; TRIM(B390), ""price""),0
)"),9474)</f>
        <v>9474</v>
      </c>
      <c r="H390" s="6">
        <v>8999.9</v>
      </c>
      <c r="I390" s="6">
        <f t="shared" ca="1" si="0"/>
        <v>9474</v>
      </c>
      <c r="J390" s="6">
        <f ca="1">IFERROR(__xludf.DUMMYFUNCTION("IFERROR(GOOGLEFINANCE(B390, ""volume""), 0)"),327240)</f>
        <v>327240</v>
      </c>
      <c r="K390" s="6">
        <v>-0.88</v>
      </c>
      <c r="L390" s="6">
        <f ca="1">IFERROR(__xludf.DUMMYFUNCTION("IFERROR(GOOGLEFINANCE(B390,""changepct""),K390)"),-0.27)</f>
        <v>-0.27</v>
      </c>
      <c r="M390" s="6">
        <f ca="1">IFERROR(__xludf.DUMMYFUNCTION("IFERROR(GOOGLEFINANCE(B390,""change""),0)"),-25.5)</f>
        <v>-25.5</v>
      </c>
      <c r="N390" s="6">
        <v>2</v>
      </c>
      <c r="O390" s="7">
        <v>45536</v>
      </c>
      <c r="P390" s="6">
        <v>5118.55</v>
      </c>
      <c r="Q390" s="6">
        <v>256921.8</v>
      </c>
      <c r="R390" s="7">
        <v>45536</v>
      </c>
      <c r="S390" s="6">
        <v>48899.63</v>
      </c>
      <c r="T390" s="6">
        <v>7867.64</v>
      </c>
      <c r="U390" s="7">
        <v>45536</v>
      </c>
      <c r="V390" s="6">
        <v>34.369999999999997</v>
      </c>
      <c r="W390" s="6">
        <f ca="1">IFERROR(__xludf.DUMMYFUNCTION("IFERROR(GOOGLEFINANCE(B390,""pe""),V390)"),31.82)</f>
        <v>31.82</v>
      </c>
      <c r="X390" s="6">
        <v>3.29</v>
      </c>
      <c r="Y390" s="6">
        <v>8.18</v>
      </c>
      <c r="Z390" s="6">
        <v>2</v>
      </c>
      <c r="AA390" s="8">
        <v>45352</v>
      </c>
      <c r="AB390" s="4">
        <v>7.0000000000000007E-2</v>
      </c>
      <c r="AC390" s="6">
        <v>26.51</v>
      </c>
      <c r="AD390" s="6">
        <v>33.47</v>
      </c>
      <c r="AE390" s="1">
        <v>0</v>
      </c>
      <c r="AF390" s="1">
        <f ca="1">IFERROR(__xludf.DUMMYFUNCTION("IFERROR(GOOGLEFINANCE(TRIM(F390)&amp;"":"" &amp; TRIM(B390),""high52""),AE390)"),9888)</f>
        <v>9888</v>
      </c>
      <c r="AG390" s="1">
        <v>0</v>
      </c>
      <c r="AH390" s="1">
        <f ca="1">IFERROR(__xludf.DUMMYFUNCTION("IFERROR(GOOGLEFINANCE(TRIM(F390)&amp;"":"" &amp; TRIM(B390),""low52""),AE390)"),7089.35)</f>
        <v>7089.35</v>
      </c>
      <c r="AI390" s="1">
        <f ca="1">IFERROR(__xludf.DUMMYFUNCTION("IFERROR(GOOGLEFINANCE(B390,""eps""),0)"),297.77)</f>
        <v>297.77</v>
      </c>
      <c r="AJ390" s="1"/>
      <c r="AK390" s="1" t="s">
        <v>1259</v>
      </c>
      <c r="AL390" s="1" t="b">
        <f>ISNUMBER(AA390)</f>
        <v>1</v>
      </c>
    </row>
    <row r="391" spans="1:38" ht="15" x14ac:dyDescent="0.25">
      <c r="A391" s="1" t="s">
        <v>1260</v>
      </c>
      <c r="B391" s="1" t="s">
        <v>1261</v>
      </c>
      <c r="C391" s="1" t="s">
        <v>151</v>
      </c>
      <c r="D391" s="1" t="s">
        <v>151</v>
      </c>
      <c r="E391" s="6">
        <v>2788.34</v>
      </c>
      <c r="F391" s="1" t="s">
        <v>40</v>
      </c>
      <c r="G391" s="6">
        <f ca="1">IFERROR(__xludf.DUMMYFUNCTION("iferror(GOOGLEFINANCE(TRIM(F391)&amp;"":"" &amp; TRIM(B391), ""price""),0
)"),350.7)</f>
        <v>350.7</v>
      </c>
      <c r="H391" s="6">
        <v>204.3</v>
      </c>
      <c r="I391" s="6">
        <f t="shared" ca="1" si="0"/>
        <v>350.7</v>
      </c>
      <c r="J391" s="6">
        <f ca="1">IFERROR(__xludf.DUMMYFUNCTION("IFERROR(GOOGLEFINANCE(B391, ""volume""), 0)"),5061624)</f>
        <v>5061624</v>
      </c>
      <c r="K391" s="6">
        <v>0.41</v>
      </c>
      <c r="L391" s="6">
        <f ca="1">IFERROR(__xludf.DUMMYFUNCTION("IFERROR(GOOGLEFINANCE(B391,""changepct""),K391)"),11.79)</f>
        <v>11.79</v>
      </c>
      <c r="M391" s="6">
        <f ca="1">IFERROR(__xludf.DUMMYFUNCTION("IFERROR(GOOGLEFINANCE(B391,""change""),0)"),37)</f>
        <v>37</v>
      </c>
      <c r="N391" s="6">
        <v>2</v>
      </c>
      <c r="O391" s="7">
        <v>45536</v>
      </c>
      <c r="P391" s="9"/>
      <c r="Q391" s="6">
        <v>2752.77</v>
      </c>
      <c r="R391" s="7">
        <v>45536</v>
      </c>
      <c r="S391" s="6">
        <v>959.02</v>
      </c>
      <c r="T391" s="6">
        <v>140.9</v>
      </c>
      <c r="U391" s="7">
        <v>45536</v>
      </c>
      <c r="V391" s="6">
        <v>19.79</v>
      </c>
      <c r="W391" s="6">
        <f ca="1">IFERROR(__xludf.DUMMYFUNCTION("IFERROR(GOOGLEFINANCE(B391,""pe""),V391)"),30.35)</f>
        <v>30.35</v>
      </c>
      <c r="X391" s="6">
        <v>-2.89</v>
      </c>
      <c r="Y391" s="6">
        <v>4.0199999999999996</v>
      </c>
      <c r="Z391" s="6">
        <v>2</v>
      </c>
      <c r="AA391" s="8">
        <v>45352</v>
      </c>
      <c r="AB391" s="4">
        <v>0</v>
      </c>
      <c r="AC391" s="6">
        <v>19.22</v>
      </c>
      <c r="AD391" s="6">
        <v>23.46</v>
      </c>
      <c r="AE391" s="1">
        <v>0</v>
      </c>
      <c r="AF391" s="1">
        <f ca="1">IFERROR(__xludf.DUMMYFUNCTION("IFERROR(GOOGLEFINANCE(TRIM(F391)&amp;"":"" &amp; TRIM(B391),""high52""),AE391)"),351.5)</f>
        <v>351.5</v>
      </c>
      <c r="AG391" s="1">
        <v>0</v>
      </c>
      <c r="AH391" s="1">
        <f ca="1">IFERROR(__xludf.DUMMYFUNCTION("IFERROR(GOOGLEFINANCE(TRIM(F391)&amp;"":"" &amp; TRIM(B391),""low52""),AE391)"),151)</f>
        <v>151</v>
      </c>
      <c r="AI391" s="1">
        <f ca="1">IFERROR(__xludf.DUMMYFUNCTION("IFERROR(GOOGLEFINANCE(B391,""eps""),0)"),11.56)</f>
        <v>11.56</v>
      </c>
      <c r="AJ391" s="1"/>
      <c r="AK391" s="1" t="s">
        <v>1262</v>
      </c>
      <c r="AL391" s="9">
        <f t="shared" ref="AL391:AL393" si="84">IF(AA391&lt;&gt;AB391,1,0)</f>
        <v>1</v>
      </c>
    </row>
    <row r="392" spans="1:38" ht="15" x14ac:dyDescent="0.25">
      <c r="A392" s="1" t="s">
        <v>1263</v>
      </c>
      <c r="B392" s="1" t="s">
        <v>1264</v>
      </c>
      <c r="C392" s="1" t="s">
        <v>1265</v>
      </c>
      <c r="D392" s="1" t="s">
        <v>1265</v>
      </c>
      <c r="E392" s="6">
        <v>9021.4699999999993</v>
      </c>
      <c r="F392" s="1" t="s">
        <v>40</v>
      </c>
      <c r="G392" s="6">
        <f ca="1">IFERROR(__xludf.DUMMYFUNCTION("iferror(GOOGLEFINANCE(TRIM(F392)&amp;"":"" &amp; TRIM(B392), ""price""),0
)"),396)</f>
        <v>396</v>
      </c>
      <c r="H392" s="6">
        <v>792.75</v>
      </c>
      <c r="I392" s="6">
        <f t="shared" ca="1" si="0"/>
        <v>396</v>
      </c>
      <c r="J392" s="6">
        <f ca="1">IFERROR(__xludf.DUMMYFUNCTION("IFERROR(GOOGLEFINANCE(B392, ""volume""), 0)"),95165)</f>
        <v>95165</v>
      </c>
      <c r="K392" s="6">
        <v>1.17</v>
      </c>
      <c r="L392" s="6">
        <f ca="1">IFERROR(__xludf.DUMMYFUNCTION("IFERROR(GOOGLEFINANCE(B392,""changepct""),K392)"),-2.02)</f>
        <v>-2.02</v>
      </c>
      <c r="M392" s="6">
        <f ca="1">IFERROR(__xludf.DUMMYFUNCTION("IFERROR(GOOGLEFINANCE(B392,""change""),0)"),-8.15)</f>
        <v>-8.15</v>
      </c>
      <c r="N392" s="6">
        <v>2</v>
      </c>
      <c r="O392" s="7">
        <v>45536</v>
      </c>
      <c r="P392" s="9"/>
      <c r="Q392" s="6">
        <v>8985.27</v>
      </c>
      <c r="R392" s="7">
        <v>45536</v>
      </c>
      <c r="S392" s="6">
        <v>4689.5600000000004</v>
      </c>
      <c r="T392" s="6">
        <v>107.68</v>
      </c>
      <c r="U392" s="7">
        <v>45536</v>
      </c>
      <c r="V392" s="6">
        <v>83.78</v>
      </c>
      <c r="W392" s="6">
        <f ca="1">IFERROR(__xludf.DUMMYFUNCTION("IFERROR(GOOGLEFINANCE(B392,""pe""),V392)"),44.3)</f>
        <v>44.3</v>
      </c>
      <c r="X392" s="6">
        <v>-24.14</v>
      </c>
      <c r="Y392" s="6">
        <v>6.17</v>
      </c>
      <c r="Z392" s="6">
        <v>2</v>
      </c>
      <c r="AA392" s="8">
        <v>45352</v>
      </c>
      <c r="AB392" s="4">
        <v>0</v>
      </c>
      <c r="AC392" s="6">
        <v>8.23</v>
      </c>
      <c r="AD392" s="6">
        <v>14.13</v>
      </c>
      <c r="AE392" s="1">
        <v>0</v>
      </c>
      <c r="AF392" s="1">
        <f ca="1">IFERROR(__xludf.DUMMYFUNCTION("IFERROR(GOOGLEFINANCE(TRIM(F392)&amp;"":"" &amp; TRIM(B392),""high52""),AE392)"),749)</f>
        <v>749</v>
      </c>
      <c r="AG392" s="1">
        <v>0</v>
      </c>
      <c r="AH392" s="1">
        <f ca="1">IFERROR(__xludf.DUMMYFUNCTION("IFERROR(GOOGLEFINANCE(TRIM(F392)&amp;"":"" &amp; TRIM(B392),""low52""),AE392)"),382.9)</f>
        <v>382.9</v>
      </c>
      <c r="AI392" s="1">
        <f ca="1">IFERROR(__xludf.DUMMYFUNCTION("IFERROR(GOOGLEFINANCE(B392,""eps""),0)"),8.94)</f>
        <v>8.94</v>
      </c>
      <c r="AJ392" s="1"/>
      <c r="AK392" s="1" t="s">
        <v>1266</v>
      </c>
      <c r="AL392" s="9">
        <f t="shared" si="84"/>
        <v>1</v>
      </c>
    </row>
    <row r="393" spans="1:38" ht="15" x14ac:dyDescent="0.25">
      <c r="A393" s="1" t="s">
        <v>1267</v>
      </c>
      <c r="B393" s="1" t="s">
        <v>1268</v>
      </c>
      <c r="C393" s="1" t="s">
        <v>208</v>
      </c>
      <c r="D393" s="1" t="s">
        <v>208</v>
      </c>
      <c r="E393" s="6">
        <v>458014.9</v>
      </c>
      <c r="F393" s="1" t="s">
        <v>40</v>
      </c>
      <c r="G393" s="6">
        <f ca="1">IFERROR(__xludf.DUMMYFUNCTION("iferror(GOOGLEFINANCE(TRIM(F393)&amp;"":"" &amp; TRIM(B393), ""price""),0
)"),908)</f>
        <v>908</v>
      </c>
      <c r="H393" s="6">
        <v>7396.05</v>
      </c>
      <c r="I393" s="6">
        <f t="shared" ca="1" si="0"/>
        <v>908</v>
      </c>
      <c r="J393" s="6">
        <f ca="1">IFERROR(__xludf.DUMMYFUNCTION("IFERROR(GOOGLEFINANCE(B393, ""volume""), 0)"),11874989)</f>
        <v>11874989</v>
      </c>
      <c r="K393" s="6">
        <v>0.09</v>
      </c>
      <c r="L393" s="6">
        <f ca="1">IFERROR(__xludf.DUMMYFUNCTION("IFERROR(GOOGLEFINANCE(B393,""changepct""),K393)"),0.63)</f>
        <v>0.63</v>
      </c>
      <c r="M393" s="6">
        <f ca="1">IFERROR(__xludf.DUMMYFUNCTION("IFERROR(GOOGLEFINANCE(B393,""change""),0)"),5.65)</f>
        <v>5.65</v>
      </c>
      <c r="N393" s="6">
        <v>2</v>
      </c>
      <c r="O393" s="7">
        <v>45536</v>
      </c>
      <c r="P393" s="6">
        <v>15378.57</v>
      </c>
      <c r="Q393" s="7">
        <v>45536</v>
      </c>
      <c r="R393" s="6">
        <v>29.79</v>
      </c>
      <c r="S393" s="6">
        <v>1.02</v>
      </c>
      <c r="T393" s="6">
        <v>5.28</v>
      </c>
      <c r="U393" s="6">
        <v>2</v>
      </c>
      <c r="V393" s="7">
        <v>45352</v>
      </c>
      <c r="W393" s="6">
        <f ca="1">IFERROR(__xludf.DUMMYFUNCTION("IFERROR(GOOGLEFINANCE(B393,""pe""),V393)"),30.84)</f>
        <v>30.84</v>
      </c>
      <c r="X393" s="6">
        <v>3.88</v>
      </c>
      <c r="Y393" s="6">
        <v>22.32</v>
      </c>
      <c r="Z393" s="6">
        <v>11.92</v>
      </c>
      <c r="AA393" s="3" t="s">
        <v>1269</v>
      </c>
      <c r="AB393" s="4"/>
      <c r="AC393" s="9"/>
      <c r="AD393" s="9"/>
      <c r="AE393" s="1">
        <v>0</v>
      </c>
      <c r="AF393" s="1">
        <f ca="1">IFERROR(__xludf.DUMMYFUNCTION("IFERROR(GOOGLEFINANCE(TRIM(F393)&amp;"":"" &amp; TRIM(B393),""high52""),AE393)"),1102.5)</f>
        <v>1102.5</v>
      </c>
      <c r="AG393" s="1">
        <v>0</v>
      </c>
      <c r="AH393" s="1">
        <f ca="1">IFERROR(__xludf.DUMMYFUNCTION("IFERROR(GOOGLEFINANCE(TRIM(F393)&amp;"":"" &amp; TRIM(B393),""low52""),AE393)"),792.11)</f>
        <v>792.11</v>
      </c>
      <c r="AI393" s="1">
        <f ca="1">IFERROR(__xludf.DUMMYFUNCTION("IFERROR(GOOGLEFINANCE(B393,""eps""),0)"),29.44)</f>
        <v>29.44</v>
      </c>
      <c r="AJ393" s="1"/>
      <c r="AK393" s="1" t="s">
        <v>1270</v>
      </c>
      <c r="AL393" s="9">
        <f t="shared" si="84"/>
        <v>1</v>
      </c>
    </row>
    <row r="394" spans="1:38" ht="15" x14ac:dyDescent="0.25">
      <c r="A394" s="1" t="s">
        <v>1271</v>
      </c>
      <c r="B394" s="1" t="s">
        <v>1272</v>
      </c>
      <c r="C394" s="1" t="s">
        <v>577</v>
      </c>
      <c r="D394" s="1" t="s">
        <v>577</v>
      </c>
      <c r="E394" s="6">
        <v>93.94</v>
      </c>
      <c r="F394" s="1" t="s">
        <v>53</v>
      </c>
      <c r="G394" s="6">
        <f ca="1">IFERROR(__xludf.DUMMYFUNCTION("iferror(GOOGLEFINANCE(TRIM(F394)&amp;"":"" &amp; TRIM(B394), ""price""),0
)"),0)</f>
        <v>0</v>
      </c>
      <c r="H394" s="6">
        <v>93</v>
      </c>
      <c r="I394" s="6">
        <f t="shared" ca="1" si="0"/>
        <v>93</v>
      </c>
      <c r="J394" s="6">
        <f ca="1">IFERROR(__xludf.DUMMYFUNCTION("IFERROR(GOOGLEFINANCE(B394, ""volume""), 0)"),0)</f>
        <v>0</v>
      </c>
      <c r="K394" s="6">
        <v>-0.06</v>
      </c>
      <c r="L394" s="6">
        <f ca="1">IFERROR(__xludf.DUMMYFUNCTION("IFERROR(GOOGLEFINANCE(B394,""changepct""),K394)"),-0.06)</f>
        <v>-0.06</v>
      </c>
      <c r="M394" s="6">
        <f ca="1">IFERROR(__xludf.DUMMYFUNCTION("IFERROR(GOOGLEFINANCE(B394,""change""),0)"),0)</f>
        <v>0</v>
      </c>
      <c r="N394" s="6">
        <v>1</v>
      </c>
      <c r="O394" s="7">
        <v>45536</v>
      </c>
      <c r="P394" s="6">
        <v>10.46</v>
      </c>
      <c r="Q394" s="6">
        <v>104.4</v>
      </c>
      <c r="R394" s="7">
        <v>45536</v>
      </c>
      <c r="S394" s="6">
        <v>38.83</v>
      </c>
      <c r="T394" s="6">
        <v>2.31</v>
      </c>
      <c r="U394" s="7">
        <v>45536</v>
      </c>
      <c r="V394" s="6">
        <v>40.72</v>
      </c>
      <c r="W394" s="6">
        <f ca="1">IFERROR(__xludf.DUMMYFUNCTION("IFERROR(GOOGLEFINANCE(B394,""pe""),V394)"),40.72)</f>
        <v>40.72</v>
      </c>
      <c r="X394" s="6">
        <v>5.88</v>
      </c>
      <c r="Y394" s="6">
        <v>7.18</v>
      </c>
      <c r="Z394" s="6">
        <v>1</v>
      </c>
      <c r="AA394" s="8">
        <v>45352</v>
      </c>
      <c r="AB394" s="4">
        <v>0.92</v>
      </c>
      <c r="AC394" s="6">
        <v>13.52</v>
      </c>
      <c r="AD394" s="6">
        <v>20.32</v>
      </c>
      <c r="AE394" s="1">
        <v>0</v>
      </c>
      <c r="AF394" s="1">
        <f ca="1">IFERROR(__xludf.DUMMYFUNCTION("IFERROR(GOOGLEFINANCE(TRIM(F394)&amp;"":"" &amp; TRIM(B394),""high52""),AE394)"),0)</f>
        <v>0</v>
      </c>
      <c r="AG394" s="1">
        <v>0</v>
      </c>
      <c r="AH394" s="1">
        <f ca="1">IFERROR(__xludf.DUMMYFUNCTION("IFERROR(GOOGLEFINANCE(TRIM(F394)&amp;"":"" &amp; TRIM(B394),""low52""),AE394)"),0)</f>
        <v>0</v>
      </c>
      <c r="AI394" s="1">
        <f ca="1">IFERROR(__xludf.DUMMYFUNCTION("IFERROR(GOOGLEFINANCE(B394,""eps""),0)"),0)</f>
        <v>0</v>
      </c>
      <c r="AJ394" s="1"/>
      <c r="AK394" s="1" t="s">
        <v>1273</v>
      </c>
      <c r="AL394" s="1" t="b">
        <f>ISNUMBER(AA394)</f>
        <v>1</v>
      </c>
    </row>
    <row r="395" spans="1:38" ht="15" x14ac:dyDescent="0.25">
      <c r="A395" s="1" t="s">
        <v>1274</v>
      </c>
      <c r="B395" s="1" t="s">
        <v>1275</v>
      </c>
      <c r="C395" s="1" t="s">
        <v>43</v>
      </c>
      <c r="D395" s="1" t="s">
        <v>43</v>
      </c>
      <c r="E395" s="6">
        <v>271528.40000000002</v>
      </c>
      <c r="F395" s="1" t="s">
        <v>40</v>
      </c>
      <c r="G395" s="6">
        <f ca="1">IFERROR(__xludf.DUMMYFUNCTION("iferror(GOOGLEFINANCE(TRIM(F395)&amp;"":"" &amp; TRIM(B395), ""price""),0
)"),1934)</f>
        <v>1934</v>
      </c>
      <c r="H395" s="6">
        <v>1698</v>
      </c>
      <c r="I395" s="6">
        <f t="shared" ca="1" si="0"/>
        <v>1934</v>
      </c>
      <c r="J395" s="6">
        <f ca="1">IFERROR(__xludf.DUMMYFUNCTION("IFERROR(GOOGLEFINANCE(B395, ""volume""), 0)"),1183196)</f>
        <v>1183196</v>
      </c>
      <c r="K395" s="6">
        <v>-0.16</v>
      </c>
      <c r="L395" s="6">
        <f ca="1">IFERROR(__xludf.DUMMYFUNCTION("IFERROR(GOOGLEFINANCE(B395,""changepct""),K395)"),1.32)</f>
        <v>1.32</v>
      </c>
      <c r="M395" s="6">
        <f ca="1">IFERROR(__xludf.DUMMYFUNCTION("IFERROR(GOOGLEFINANCE(B395,""change""),0)"),25.2)</f>
        <v>25.2</v>
      </c>
      <c r="N395" s="6">
        <v>2</v>
      </c>
      <c r="O395" s="7">
        <v>45536</v>
      </c>
      <c r="P395" s="6">
        <v>16508.71</v>
      </c>
      <c r="Q395" s="7">
        <v>45536</v>
      </c>
      <c r="R395" s="6">
        <v>31.94</v>
      </c>
      <c r="S395" s="6">
        <v>1.56</v>
      </c>
      <c r="T395" s="6">
        <v>3.97</v>
      </c>
      <c r="U395" s="6">
        <v>2</v>
      </c>
      <c r="V395" s="7">
        <v>45352</v>
      </c>
      <c r="W395" s="6">
        <f ca="1">IFERROR(__xludf.DUMMYFUNCTION("IFERROR(GOOGLEFINANCE(B395,""pe""),V395)"),32.21)</f>
        <v>32.21</v>
      </c>
      <c r="X395" s="6">
        <v>4.82</v>
      </c>
      <c r="Y395" s="6">
        <v>29.52</v>
      </c>
      <c r="Z395" s="6">
        <v>13.2</v>
      </c>
      <c r="AA395" s="3" t="s">
        <v>1276</v>
      </c>
      <c r="AB395" s="4"/>
      <c r="AC395" s="9"/>
      <c r="AD395" s="9"/>
      <c r="AE395" s="1">
        <v>0</v>
      </c>
      <c r="AF395" s="1">
        <f ca="1">IFERROR(__xludf.DUMMYFUNCTION("IFERROR(GOOGLEFINANCE(TRIM(F395)&amp;"":"" &amp; TRIM(B395),""high52""),AE395)"),2195)</f>
        <v>2195</v>
      </c>
      <c r="AG395" s="1">
        <v>0</v>
      </c>
      <c r="AH395" s="1">
        <f ca="1">IFERROR(__xludf.DUMMYFUNCTION("IFERROR(GOOGLEFINANCE(TRIM(F395)&amp;"":"" &amp; TRIM(B395),""low52""),AE395)"),1727.25)</f>
        <v>1727.25</v>
      </c>
      <c r="AI395" s="1">
        <f ca="1">IFERROR(__xludf.DUMMYFUNCTION("IFERROR(GOOGLEFINANCE(B395,""eps""),0)"),60.05)</f>
        <v>60.05</v>
      </c>
      <c r="AJ395" s="1"/>
      <c r="AK395" s="1" t="s">
        <v>1277</v>
      </c>
      <c r="AL395" s="9">
        <f>IF(AA395&lt;&gt;AB395,1,0)</f>
        <v>1</v>
      </c>
    </row>
    <row r="396" spans="1:38" ht="15" x14ac:dyDescent="0.25">
      <c r="A396" s="1" t="s">
        <v>1278</v>
      </c>
      <c r="B396" s="1" t="s">
        <v>1279</v>
      </c>
      <c r="C396" s="1" t="s">
        <v>577</v>
      </c>
      <c r="D396" s="1" t="s">
        <v>577</v>
      </c>
      <c r="E396" s="6">
        <v>6.55</v>
      </c>
      <c r="F396" s="1" t="s">
        <v>53</v>
      </c>
      <c r="G396" s="6">
        <f ca="1">IFERROR(__xludf.DUMMYFUNCTION("iferror(GOOGLEFINANCE(TRIM(F396)&amp;"":"" &amp; TRIM(B396), ""price""),0
)"),0)</f>
        <v>0</v>
      </c>
      <c r="H396" s="6">
        <v>0.85</v>
      </c>
      <c r="I396" s="6">
        <f t="shared" ca="1" si="0"/>
        <v>0.85</v>
      </c>
      <c r="J396" s="6">
        <f ca="1">IFERROR(__xludf.DUMMYFUNCTION("IFERROR(GOOGLEFINANCE(B396, ""volume""), 0)"),0)</f>
        <v>0</v>
      </c>
      <c r="K396" s="6">
        <v>4.9400000000000004</v>
      </c>
      <c r="L396" s="6">
        <f ca="1">IFERROR(__xludf.DUMMYFUNCTION("IFERROR(GOOGLEFINANCE(B396,""changepct""),K396)"),4.94)</f>
        <v>4.9400000000000004</v>
      </c>
      <c r="M396" s="6">
        <f ca="1">IFERROR(__xludf.DUMMYFUNCTION("IFERROR(GOOGLEFINANCE(B396,""change""),0)"),0)</f>
        <v>0</v>
      </c>
      <c r="N396" s="6">
        <v>1</v>
      </c>
      <c r="O396" s="7">
        <v>45536</v>
      </c>
      <c r="P396" s="9"/>
      <c r="Q396" s="6">
        <v>6.55</v>
      </c>
      <c r="R396" s="7">
        <v>45536</v>
      </c>
      <c r="S396" s="6">
        <v>0</v>
      </c>
      <c r="T396" s="6">
        <v>-0.2</v>
      </c>
      <c r="U396" s="7">
        <v>45536</v>
      </c>
      <c r="V396" s="6">
        <v>0</v>
      </c>
      <c r="W396" s="6">
        <f ca="1">IFERROR(__xludf.DUMMYFUNCTION("IFERROR(GOOGLEFINANCE(B396,""pe""),V396)"),0)</f>
        <v>0</v>
      </c>
      <c r="X396" s="6">
        <v>0</v>
      </c>
      <c r="Y396" s="6">
        <v>18.16</v>
      </c>
      <c r="Z396" s="6">
        <v>1</v>
      </c>
      <c r="AA396" s="8">
        <v>45352</v>
      </c>
      <c r="AB396" s="4">
        <v>0</v>
      </c>
      <c r="AC396" s="6">
        <v>-75.959999999999994</v>
      </c>
      <c r="AD396" s="6">
        <v>-74.599999999999994</v>
      </c>
      <c r="AE396" s="1">
        <v>0</v>
      </c>
      <c r="AF396" s="1">
        <f ca="1">IFERROR(__xludf.DUMMYFUNCTION("IFERROR(GOOGLEFINANCE(TRIM(F396)&amp;"":"" &amp; TRIM(B396),""high52""),AE396)"),0)</f>
        <v>0</v>
      </c>
      <c r="AG396" s="1">
        <v>0</v>
      </c>
      <c r="AH396" s="1">
        <f ca="1">IFERROR(__xludf.DUMMYFUNCTION("IFERROR(GOOGLEFINANCE(TRIM(F396)&amp;"":"" &amp; TRIM(B396),""low52""),AE396)"),0)</f>
        <v>0</v>
      </c>
      <c r="AI396" s="1">
        <f ca="1">IFERROR(__xludf.DUMMYFUNCTION("IFERROR(GOOGLEFINANCE(B396,""eps""),0)"),0)</f>
        <v>0</v>
      </c>
      <c r="AJ396" s="1"/>
      <c r="AK396" s="9"/>
      <c r="AL396" s="1" t="b">
        <f>ISBLANK(AB396)</f>
        <v>0</v>
      </c>
    </row>
    <row r="397" spans="1:38" ht="15" x14ac:dyDescent="0.25">
      <c r="A397" s="1" t="s">
        <v>1280</v>
      </c>
      <c r="B397" s="1" t="s">
        <v>1281</v>
      </c>
      <c r="C397" s="1" t="s">
        <v>106</v>
      </c>
      <c r="D397" s="1" t="s">
        <v>106</v>
      </c>
      <c r="E397" s="6">
        <v>1928.32</v>
      </c>
      <c r="F397" s="1" t="s">
        <v>40</v>
      </c>
      <c r="G397" s="6">
        <f ca="1">IFERROR(__xludf.DUMMYFUNCTION("iferror(GOOGLEFINANCE(TRIM(F397)&amp;"":"" &amp; TRIM(B397), ""price""),0
)"),341)</f>
        <v>341</v>
      </c>
      <c r="H397" s="6">
        <v>617.15</v>
      </c>
      <c r="I397" s="6">
        <f t="shared" ca="1" si="0"/>
        <v>341</v>
      </c>
      <c r="J397" s="6">
        <f ca="1">IFERROR(__xludf.DUMMYFUNCTION("IFERROR(GOOGLEFINANCE(B397, ""volume""), 0)"),83061)</f>
        <v>83061</v>
      </c>
      <c r="K397" s="6">
        <v>1.28</v>
      </c>
      <c r="L397" s="6">
        <f ca="1">IFERROR(__xludf.DUMMYFUNCTION("IFERROR(GOOGLEFINANCE(B397,""changepct""),K397)"),-0.42)</f>
        <v>-0.42</v>
      </c>
      <c r="M397" s="6">
        <f ca="1">IFERROR(__xludf.DUMMYFUNCTION("IFERROR(GOOGLEFINANCE(B397,""change""),0)"),-1.45)</f>
        <v>-1.45</v>
      </c>
      <c r="N397" s="6">
        <v>1</v>
      </c>
      <c r="O397" s="7">
        <v>45536</v>
      </c>
      <c r="P397" s="6">
        <v>205.07</v>
      </c>
      <c r="Q397" s="6">
        <v>2110.5500000000002</v>
      </c>
      <c r="R397" s="7">
        <v>45536</v>
      </c>
      <c r="S397" s="6">
        <v>507.81</v>
      </c>
      <c r="T397" s="6">
        <v>-10.11</v>
      </c>
      <c r="U397" s="7">
        <v>45536</v>
      </c>
      <c r="V397" s="6">
        <v>0</v>
      </c>
      <c r="W397" s="6">
        <f ca="1">IFERROR(__xludf.DUMMYFUNCTION("IFERROR(GOOGLEFINANCE(B397,""pe""),V397)"),22.19)</f>
        <v>22.19</v>
      </c>
      <c r="X397" s="9"/>
      <c r="Y397" s="6">
        <v>4.33</v>
      </c>
      <c r="Z397" s="6">
        <v>1</v>
      </c>
      <c r="AA397" s="8">
        <v>45352</v>
      </c>
      <c r="AB397" s="4">
        <v>1.19</v>
      </c>
      <c r="AC397" s="6">
        <v>-4.4400000000000004</v>
      </c>
      <c r="AD397" s="6">
        <v>1.88</v>
      </c>
      <c r="AE397" s="1">
        <v>0</v>
      </c>
      <c r="AF397" s="1">
        <f ca="1">IFERROR(__xludf.DUMMYFUNCTION("IFERROR(GOOGLEFINANCE(TRIM(F397)&amp;"":"" &amp; TRIM(B397),""high52""),AE397)"),745)</f>
        <v>745</v>
      </c>
      <c r="AG397" s="1">
        <v>0</v>
      </c>
      <c r="AH397" s="1">
        <f ca="1">IFERROR(__xludf.DUMMYFUNCTION("IFERROR(GOOGLEFINANCE(TRIM(F397)&amp;"":"" &amp; TRIM(B397),""low52""),AE397)"),329.4)</f>
        <v>329.4</v>
      </c>
      <c r="AI397" s="1">
        <f ca="1">IFERROR(__xludf.DUMMYFUNCTION("IFERROR(GOOGLEFINANCE(B397,""eps""),0)"),15.36)</f>
        <v>15.36</v>
      </c>
      <c r="AJ397" s="1"/>
      <c r="AK397" s="1" t="s">
        <v>1282</v>
      </c>
      <c r="AL397" s="9">
        <f t="shared" ref="AL397:AL398" si="85">IF(AA397&lt;&gt;AB397,1,0)</f>
        <v>1</v>
      </c>
    </row>
    <row r="398" spans="1:38" ht="15" x14ac:dyDescent="0.25">
      <c r="A398" s="1" t="s">
        <v>1283</v>
      </c>
      <c r="B398" s="1" t="s">
        <v>1284</v>
      </c>
      <c r="C398" s="1" t="s">
        <v>1118</v>
      </c>
      <c r="D398" s="1" t="s">
        <v>1118</v>
      </c>
      <c r="E398" s="6">
        <v>3949.6</v>
      </c>
      <c r="F398" s="1" t="s">
        <v>40</v>
      </c>
      <c r="G398" s="6">
        <f ca="1">IFERROR(__xludf.DUMMYFUNCTION("iferror(GOOGLEFINANCE(TRIM(F398)&amp;"":"" &amp; TRIM(B398), ""price""),0
)"),16.11)</f>
        <v>16.11</v>
      </c>
      <c r="H398" s="6">
        <v>31.07</v>
      </c>
      <c r="I398" s="6">
        <f t="shared" ca="1" si="0"/>
        <v>16.11</v>
      </c>
      <c r="J398" s="6">
        <f ca="1">IFERROR(__xludf.DUMMYFUNCTION("IFERROR(GOOGLEFINANCE(B398, ""volume""), 0)"),4913637)</f>
        <v>4913637</v>
      </c>
      <c r="K398" s="6">
        <v>0.55000000000000004</v>
      </c>
      <c r="L398" s="6">
        <f ca="1">IFERROR(__xludf.DUMMYFUNCTION("IFERROR(GOOGLEFINANCE(B398,""changepct""),K398)"),-0.31)</f>
        <v>-0.31</v>
      </c>
      <c r="M398" s="6">
        <f ca="1">IFERROR(__xludf.DUMMYFUNCTION("IFERROR(GOOGLEFINANCE(B398,""change""),0)"),-0.05)</f>
        <v>-0.05</v>
      </c>
      <c r="N398" s="6">
        <v>2</v>
      </c>
      <c r="O398" s="7">
        <v>45536</v>
      </c>
      <c r="P398" s="6">
        <v>3570.22</v>
      </c>
      <c r="Q398" s="6">
        <v>7457.66</v>
      </c>
      <c r="R398" s="7">
        <v>45536</v>
      </c>
      <c r="S398" s="6">
        <v>6156.25</v>
      </c>
      <c r="T398" s="6">
        <v>-21.01</v>
      </c>
      <c r="U398" s="7">
        <v>45536</v>
      </c>
      <c r="V398" s="6">
        <v>0</v>
      </c>
      <c r="W398" s="6">
        <f ca="1">IFERROR(__xludf.DUMMYFUNCTION("IFERROR(GOOGLEFINANCE(B398,""pe""),V398)"),0)</f>
        <v>0</v>
      </c>
      <c r="X398" s="6">
        <v>0</v>
      </c>
      <c r="Y398" s="6">
        <v>0.91</v>
      </c>
      <c r="Z398" s="6">
        <v>2</v>
      </c>
      <c r="AA398" s="8">
        <v>45352</v>
      </c>
      <c r="AB398" s="4">
        <v>0.86</v>
      </c>
      <c r="AC398" s="6">
        <v>-1.95</v>
      </c>
      <c r="AD398" s="6">
        <v>0.78</v>
      </c>
      <c r="AE398" s="1">
        <v>0</v>
      </c>
      <c r="AF398" s="1">
        <f ca="1">IFERROR(__xludf.DUMMYFUNCTION("IFERROR(GOOGLEFINANCE(TRIM(F398)&amp;"":"" &amp; TRIM(B398),""high52""),AE398)"),29.64)</f>
        <v>29.64</v>
      </c>
      <c r="AG398" s="1">
        <v>0</v>
      </c>
      <c r="AH398" s="1">
        <f ca="1">IFERROR(__xludf.DUMMYFUNCTION("IFERROR(GOOGLEFINANCE(TRIM(F398)&amp;"":"" &amp; TRIM(B398),""low52""),AE398)"),15.56)</f>
        <v>15.56</v>
      </c>
      <c r="AI398" s="1">
        <f ca="1">IFERROR(__xludf.DUMMYFUNCTION("IFERROR(GOOGLEFINANCE(B398,""eps""),0)"),-1.28)</f>
        <v>-1.28</v>
      </c>
      <c r="AJ398" s="1"/>
      <c r="AK398" s="9"/>
      <c r="AL398" s="9">
        <f t="shared" si="85"/>
        <v>1</v>
      </c>
    </row>
    <row r="399" spans="1:38" ht="15" x14ac:dyDescent="0.25">
      <c r="A399" s="1" t="s">
        <v>1285</v>
      </c>
      <c r="B399" s="1" t="s">
        <v>1286</v>
      </c>
      <c r="C399" s="1" t="s">
        <v>577</v>
      </c>
      <c r="D399" s="1" t="s">
        <v>577</v>
      </c>
      <c r="E399" s="6">
        <v>158.97</v>
      </c>
      <c r="F399" s="1" t="s">
        <v>53</v>
      </c>
      <c r="G399" s="6">
        <f ca="1">IFERROR(__xludf.DUMMYFUNCTION("iferror(GOOGLEFINANCE(TRIM(F399)&amp;"":"" &amp; TRIM(B399), ""price""),0
)"),0)</f>
        <v>0</v>
      </c>
      <c r="H399" s="6">
        <v>16.600000000000001</v>
      </c>
      <c r="I399" s="6">
        <f t="shared" ca="1" si="0"/>
        <v>16.600000000000001</v>
      </c>
      <c r="J399" s="6">
        <f ca="1">IFERROR(__xludf.DUMMYFUNCTION("IFERROR(GOOGLEFINANCE(B399, ""volume""), 0)"),0)</f>
        <v>0</v>
      </c>
      <c r="K399" s="6">
        <v>-0.36</v>
      </c>
      <c r="L399" s="6">
        <f ca="1">IFERROR(__xludf.DUMMYFUNCTION("IFERROR(GOOGLEFINANCE(B399,""changepct""),K399)"),-0.36)</f>
        <v>-0.36</v>
      </c>
      <c r="M399" s="6">
        <f ca="1">IFERROR(__xludf.DUMMYFUNCTION("IFERROR(GOOGLEFINANCE(B399,""change""),0)"),0)</f>
        <v>0</v>
      </c>
      <c r="N399" s="6">
        <v>1</v>
      </c>
      <c r="O399" s="7">
        <v>45536</v>
      </c>
      <c r="P399" s="6">
        <v>54.09</v>
      </c>
      <c r="Q399" s="6">
        <v>213.07</v>
      </c>
      <c r="R399" s="7">
        <v>45536</v>
      </c>
      <c r="S399" s="6">
        <v>175.85</v>
      </c>
      <c r="T399" s="6">
        <v>8.0500000000000007</v>
      </c>
      <c r="U399" s="7">
        <v>45536</v>
      </c>
      <c r="V399" s="6">
        <v>19.760000000000002</v>
      </c>
      <c r="W399" s="6">
        <f ca="1">IFERROR(__xludf.DUMMYFUNCTION("IFERROR(GOOGLEFINANCE(B399,""pe""),V399)"),19.76)</f>
        <v>19.760000000000002</v>
      </c>
      <c r="X399" s="6">
        <v>0.51</v>
      </c>
      <c r="Y399" s="6">
        <v>3.73</v>
      </c>
      <c r="Z399" s="6">
        <v>1</v>
      </c>
      <c r="AA399" s="8">
        <v>45352</v>
      </c>
      <c r="AB399" s="4">
        <v>1.38</v>
      </c>
      <c r="AC399" s="6">
        <v>17.09</v>
      </c>
      <c r="AD399" s="6">
        <v>15.8</v>
      </c>
      <c r="AE399" s="1">
        <v>0</v>
      </c>
      <c r="AF399" s="1">
        <f ca="1">IFERROR(__xludf.DUMMYFUNCTION("IFERROR(GOOGLEFINANCE(TRIM(F399)&amp;"":"" &amp; TRIM(B399),""high52""),AE399)"),0)</f>
        <v>0</v>
      </c>
      <c r="AG399" s="1">
        <v>0</v>
      </c>
      <c r="AH399" s="1">
        <f ca="1">IFERROR(__xludf.DUMMYFUNCTION("IFERROR(GOOGLEFINANCE(TRIM(F399)&amp;"":"" &amp; TRIM(B399),""low52""),AE399)"),0)</f>
        <v>0</v>
      </c>
      <c r="AI399" s="1">
        <f ca="1">IFERROR(__xludf.DUMMYFUNCTION("IFERROR(GOOGLEFINANCE(B399,""eps""),0)"),0)</f>
        <v>0</v>
      </c>
      <c r="AJ399" s="1"/>
      <c r="AK399" s="1" t="s">
        <v>1287</v>
      </c>
      <c r="AL399" s="1" t="b">
        <f>ISNUMBER(AA399)</f>
        <v>1</v>
      </c>
    </row>
    <row r="400" spans="1:38" ht="15" x14ac:dyDescent="0.25">
      <c r="A400" s="1" t="s">
        <v>1288</v>
      </c>
      <c r="B400" s="1" t="s">
        <v>1289</v>
      </c>
      <c r="C400" s="1" t="s">
        <v>208</v>
      </c>
      <c r="D400" s="1" t="s">
        <v>208</v>
      </c>
      <c r="E400" s="6">
        <v>132294.6</v>
      </c>
      <c r="F400" s="1" t="s">
        <v>40</v>
      </c>
      <c r="G400" s="6">
        <f ca="1">IFERROR(__xludf.DUMMYFUNCTION("iferror(GOOGLEFINANCE(TRIM(F400)&amp;"":"" &amp; TRIM(B400), ""price""),0
)"),10640)</f>
        <v>10640</v>
      </c>
      <c r="H400" s="6">
        <v>11929.1</v>
      </c>
      <c r="I400" s="6">
        <f t="shared" ca="1" si="0"/>
        <v>10640</v>
      </c>
      <c r="J400" s="6">
        <f ca="1">IFERROR(__xludf.DUMMYFUNCTION("IFERROR(GOOGLEFINANCE(B400, ""volume""), 0)"),46807)</f>
        <v>46807</v>
      </c>
      <c r="K400" s="6">
        <v>0.09</v>
      </c>
      <c r="L400" s="6">
        <f ca="1">IFERROR(__xludf.DUMMYFUNCTION("IFERROR(GOOGLEFINANCE(B400,""changepct""),K400)"),1.13)</f>
        <v>1.1299999999999999</v>
      </c>
      <c r="M400" s="6">
        <f ca="1">IFERROR(__xludf.DUMMYFUNCTION("IFERROR(GOOGLEFINANCE(B400,""change""),0)"),119)</f>
        <v>119</v>
      </c>
      <c r="N400" s="6">
        <v>2</v>
      </c>
      <c r="O400" s="7">
        <v>45536</v>
      </c>
      <c r="P400" s="6">
        <v>1493.1</v>
      </c>
      <c r="Q400" s="7">
        <v>45536</v>
      </c>
      <c r="R400" s="6">
        <v>17.86</v>
      </c>
      <c r="S400" s="6">
        <v>0.94</v>
      </c>
      <c r="T400" s="6">
        <v>2.21</v>
      </c>
      <c r="U400" s="6">
        <v>2</v>
      </c>
      <c r="V400" s="7">
        <v>45352</v>
      </c>
      <c r="W400" s="6">
        <f ca="1">IFERROR(__xludf.DUMMYFUNCTION("IFERROR(GOOGLEFINANCE(B400,""pe""),V400)"),13.9)</f>
        <v>13.9</v>
      </c>
      <c r="X400" s="6">
        <v>0</v>
      </c>
      <c r="Y400" s="6">
        <v>14.96</v>
      </c>
      <c r="Z400" s="6">
        <v>15.23</v>
      </c>
      <c r="AA400" s="3" t="s">
        <v>1290</v>
      </c>
      <c r="AB400" s="4"/>
      <c r="AC400" s="9"/>
      <c r="AD400" s="9"/>
      <c r="AE400" s="1">
        <v>0</v>
      </c>
      <c r="AF400" s="1">
        <f ca="1">IFERROR(__xludf.DUMMYFUNCTION("IFERROR(GOOGLEFINANCE(TRIM(F400)&amp;"":"" &amp; TRIM(B400),""high52""),AE400)"),14763)</f>
        <v>14763</v>
      </c>
      <c r="AG400" s="1">
        <v>0</v>
      </c>
      <c r="AH400" s="1">
        <f ca="1">IFERROR(__xludf.DUMMYFUNCTION("IFERROR(GOOGLEFINANCE(TRIM(F400)&amp;"":"" &amp; TRIM(B400),""low52""),AE400)"),10400)</f>
        <v>10400</v>
      </c>
      <c r="AI400" s="1">
        <f ca="1">IFERROR(__xludf.DUMMYFUNCTION("IFERROR(GOOGLEFINANCE(B400,""eps""),0)"),765.41)</f>
        <v>765.41</v>
      </c>
      <c r="AJ400" s="1"/>
      <c r="AK400" s="1" t="s">
        <v>1291</v>
      </c>
      <c r="AL400" s="9">
        <f t="shared" ref="AL400:AL403" si="86">IF(AA400&lt;&gt;AB400,1,0)</f>
        <v>1</v>
      </c>
    </row>
    <row r="401" spans="1:38" ht="15" x14ac:dyDescent="0.25">
      <c r="A401" s="1" t="s">
        <v>1292</v>
      </c>
      <c r="B401" s="1" t="s">
        <v>1293</v>
      </c>
      <c r="C401" s="1" t="s">
        <v>94</v>
      </c>
      <c r="D401" s="1" t="s">
        <v>94</v>
      </c>
      <c r="E401" s="6">
        <v>105309.4</v>
      </c>
      <c r="F401" s="1" t="s">
        <v>40</v>
      </c>
      <c r="G401" s="6">
        <f ca="1">IFERROR(__xludf.DUMMYFUNCTION("iferror(GOOGLEFINANCE(TRIM(F401)&amp;"":"" &amp; TRIM(B401), ""price""),0
)"),89.8)</f>
        <v>89.8</v>
      </c>
      <c r="H401" s="6">
        <v>126.78</v>
      </c>
      <c r="I401" s="6">
        <f t="shared" ca="1" si="0"/>
        <v>89.8</v>
      </c>
      <c r="J401" s="6">
        <f ca="1">IFERROR(__xludf.DUMMYFUNCTION("IFERROR(GOOGLEFINANCE(B401, ""volume""), 0)"),6346190)</f>
        <v>6346190</v>
      </c>
      <c r="K401" s="6">
        <v>0.32</v>
      </c>
      <c r="L401" s="6">
        <f ca="1">IFERROR(__xludf.DUMMYFUNCTION("IFERROR(GOOGLEFINANCE(B401,""changepct""),K401)"),0.08)</f>
        <v>0.08</v>
      </c>
      <c r="M401" s="6">
        <f ca="1">IFERROR(__xludf.DUMMYFUNCTION("IFERROR(GOOGLEFINANCE(B401,""change""),0)"),0.07)</f>
        <v>7.0000000000000007E-2</v>
      </c>
      <c r="N401" s="6">
        <v>1</v>
      </c>
      <c r="O401" s="14"/>
      <c r="P401" s="9"/>
      <c r="Q401" s="7">
        <v>45352</v>
      </c>
      <c r="R401" s="6">
        <v>60.83</v>
      </c>
      <c r="S401" s="9"/>
      <c r="T401" s="6">
        <v>5.61</v>
      </c>
      <c r="U401" s="6">
        <v>1</v>
      </c>
      <c r="V401" s="7">
        <v>45352</v>
      </c>
      <c r="W401" s="6">
        <f ca="1">IFERROR(__xludf.DUMMYFUNCTION("IFERROR(GOOGLEFINANCE(B401,""pe""),V401)"),31.74)</f>
        <v>31.74</v>
      </c>
      <c r="X401" s="6">
        <v>5.65</v>
      </c>
      <c r="Y401" s="6">
        <v>15.23</v>
      </c>
      <c r="Z401" s="6">
        <v>9.42</v>
      </c>
      <c r="AA401" s="3" t="s">
        <v>1294</v>
      </c>
      <c r="AB401" s="4"/>
      <c r="AC401" s="9"/>
      <c r="AD401" s="9"/>
      <c r="AE401" s="1">
        <v>0</v>
      </c>
      <c r="AF401" s="1">
        <f ca="1">IFERROR(__xludf.DUMMYFUNCTION("IFERROR(GOOGLEFINANCE(TRIM(F401)&amp;"":"" &amp; TRIM(B401),""high52""),AE401)"),136.96)</f>
        <v>136.96</v>
      </c>
      <c r="AG401" s="1">
        <v>0</v>
      </c>
      <c r="AH401" s="1">
        <f ca="1">IFERROR(__xludf.DUMMYFUNCTION("IFERROR(GOOGLEFINANCE(TRIM(F401)&amp;"":"" &amp; TRIM(B401),""low52""),AE401)"),87.11)</f>
        <v>87.11</v>
      </c>
      <c r="AI401" s="1">
        <f ca="1">IFERROR(__xludf.DUMMYFUNCTION("IFERROR(GOOGLEFINANCE(B401,""eps""),0)"),2.83)</f>
        <v>2.83</v>
      </c>
      <c r="AJ401" s="1"/>
      <c r="AK401" s="1" t="s">
        <v>1295</v>
      </c>
      <c r="AL401" s="9">
        <f t="shared" si="86"/>
        <v>1</v>
      </c>
    </row>
    <row r="402" spans="1:38" ht="15" x14ac:dyDescent="0.25">
      <c r="A402" s="1" t="s">
        <v>1296</v>
      </c>
      <c r="B402" s="1" t="s">
        <v>1297</v>
      </c>
      <c r="C402" s="1" t="s">
        <v>86</v>
      </c>
      <c r="D402" s="1" t="s">
        <v>86</v>
      </c>
      <c r="E402" s="6">
        <v>3207.95</v>
      </c>
      <c r="F402" s="1" t="s">
        <v>40</v>
      </c>
      <c r="G402" s="6">
        <f ca="1">IFERROR(__xludf.DUMMYFUNCTION("iferror(GOOGLEFINANCE(TRIM(F402)&amp;"":"" &amp; TRIM(B402), ""price""),0
)"),157.95)</f>
        <v>157.94999999999999</v>
      </c>
      <c r="H402" s="6">
        <v>274.55</v>
      </c>
      <c r="I402" s="6">
        <f t="shared" ca="1" si="0"/>
        <v>157.94999999999999</v>
      </c>
      <c r="J402" s="6">
        <f ca="1">IFERROR(__xludf.DUMMYFUNCTION("IFERROR(GOOGLEFINANCE(B402, ""volume""), 0)"),77209)</f>
        <v>77209</v>
      </c>
      <c r="K402" s="6">
        <v>-1.06</v>
      </c>
      <c r="L402" s="6">
        <f ca="1">IFERROR(__xludf.DUMMYFUNCTION("IFERROR(GOOGLEFINANCE(B402,""changepct""),K402)"),1.03)</f>
        <v>1.03</v>
      </c>
      <c r="M402" s="6">
        <f ca="1">IFERROR(__xludf.DUMMYFUNCTION("IFERROR(GOOGLEFINANCE(B402,""change""),0)"),1.61)</f>
        <v>1.61</v>
      </c>
      <c r="N402" s="6">
        <v>1</v>
      </c>
      <c r="O402" s="7">
        <v>45536</v>
      </c>
      <c r="P402" s="6">
        <v>171.09</v>
      </c>
      <c r="Q402" s="6">
        <v>3182.31</v>
      </c>
      <c r="R402" s="7">
        <v>45536</v>
      </c>
      <c r="S402" s="6">
        <v>1938.67</v>
      </c>
      <c r="T402" s="6">
        <v>19.62</v>
      </c>
      <c r="U402" s="7">
        <v>45536</v>
      </c>
      <c r="V402" s="6">
        <v>163.55000000000001</v>
      </c>
      <c r="W402" s="6">
        <f ca="1">IFERROR(__xludf.DUMMYFUNCTION("IFERROR(GOOGLEFINANCE(B402,""pe""),V402)"),143.95)</f>
        <v>143.94999999999999</v>
      </c>
      <c r="X402" s="9"/>
      <c r="Y402" s="6">
        <v>5.5</v>
      </c>
      <c r="Z402" s="6">
        <v>1</v>
      </c>
      <c r="AA402" s="8">
        <v>45352</v>
      </c>
      <c r="AB402" s="4">
        <v>0.24</v>
      </c>
      <c r="AC402" s="6">
        <v>1.52</v>
      </c>
      <c r="AD402" s="6">
        <v>8.3699999999999992</v>
      </c>
      <c r="AE402" s="1">
        <v>0</v>
      </c>
      <c r="AF402" s="1">
        <f ca="1">IFERROR(__xludf.DUMMYFUNCTION("IFERROR(GOOGLEFINANCE(TRIM(F402)&amp;"":"" &amp; TRIM(B402),""high52""),AE402)"),263.9)</f>
        <v>263.89999999999998</v>
      </c>
      <c r="AG402" s="1">
        <v>0</v>
      </c>
      <c r="AH402" s="1">
        <f ca="1">IFERROR(__xludf.DUMMYFUNCTION("IFERROR(GOOGLEFINANCE(TRIM(F402)&amp;"":"" &amp; TRIM(B402),""low52""),AE402)"),142.34)</f>
        <v>142.34</v>
      </c>
      <c r="AI402" s="1">
        <f ca="1">IFERROR(__xludf.DUMMYFUNCTION("IFERROR(GOOGLEFINANCE(B402,""eps""),0)"),1.1)</f>
        <v>1.1000000000000001</v>
      </c>
      <c r="AJ402" s="1"/>
      <c r="AK402" s="1" t="s">
        <v>1298</v>
      </c>
      <c r="AL402" s="9">
        <f t="shared" si="86"/>
        <v>1</v>
      </c>
    </row>
    <row r="403" spans="1:38" ht="15" x14ac:dyDescent="0.25">
      <c r="A403" s="1" t="s">
        <v>1299</v>
      </c>
      <c r="B403" s="1" t="s">
        <v>1300</v>
      </c>
      <c r="C403" s="1" t="s">
        <v>106</v>
      </c>
      <c r="D403" s="1" t="s">
        <v>106</v>
      </c>
      <c r="E403" s="6">
        <v>202.25</v>
      </c>
      <c r="F403" s="1" t="s">
        <v>40</v>
      </c>
      <c r="G403" s="6">
        <f ca="1">IFERROR(__xludf.DUMMYFUNCTION("iferror(GOOGLEFINANCE(TRIM(F403)&amp;"":"" &amp; TRIM(B403), ""price""),0
)"),66.74)</f>
        <v>66.739999999999995</v>
      </c>
      <c r="H403" s="6">
        <v>127</v>
      </c>
      <c r="I403" s="6">
        <f t="shared" ca="1" si="0"/>
        <v>66.739999999999995</v>
      </c>
      <c r="J403" s="6">
        <f ca="1">IFERROR(__xludf.DUMMYFUNCTION("IFERROR(GOOGLEFINANCE(B403, ""volume""), 0)"),9000)</f>
        <v>9000</v>
      </c>
      <c r="K403" s="6">
        <v>0.83</v>
      </c>
      <c r="L403" s="6">
        <f ca="1">IFERROR(__xludf.DUMMYFUNCTION("IFERROR(GOOGLEFINANCE(B403,""changepct""),K403)"),-5.02)</f>
        <v>-5.0199999999999996</v>
      </c>
      <c r="M403" s="6">
        <f ca="1">IFERROR(__xludf.DUMMYFUNCTION("IFERROR(GOOGLEFINANCE(B403,""change""),0)"),-3.53)</f>
        <v>-3.53</v>
      </c>
      <c r="N403" s="6">
        <v>2</v>
      </c>
      <c r="O403" s="7">
        <v>45536</v>
      </c>
      <c r="P403" s="6">
        <v>154.94999999999999</v>
      </c>
      <c r="Q403" s="6">
        <v>343.48</v>
      </c>
      <c r="R403" s="7">
        <v>45536</v>
      </c>
      <c r="S403" s="6">
        <v>324.33999999999997</v>
      </c>
      <c r="T403" s="6">
        <v>7.68</v>
      </c>
      <c r="U403" s="7">
        <v>45536</v>
      </c>
      <c r="V403" s="6">
        <v>26.39</v>
      </c>
      <c r="W403" s="6">
        <f ca="1">IFERROR(__xludf.DUMMYFUNCTION("IFERROR(GOOGLEFINANCE(B403,""pe""),V403)"),15.89)</f>
        <v>15.89</v>
      </c>
      <c r="X403" s="6">
        <v>0.94</v>
      </c>
      <c r="Y403" s="6">
        <v>2.94</v>
      </c>
      <c r="Z403" s="6">
        <v>2</v>
      </c>
      <c r="AA403" s="8">
        <v>45352</v>
      </c>
      <c r="AB403" s="4">
        <v>2.0099999999999998</v>
      </c>
      <c r="AC403" s="6">
        <v>11.19</v>
      </c>
      <c r="AD403" s="6">
        <v>12.13</v>
      </c>
      <c r="AE403" s="1">
        <v>0</v>
      </c>
      <c r="AF403" s="1">
        <f ca="1">IFERROR(__xludf.DUMMYFUNCTION("IFERROR(GOOGLEFINANCE(TRIM(F403)&amp;"":"" &amp; TRIM(B403),""high52""),AE403)"),128.74)</f>
        <v>128.74</v>
      </c>
      <c r="AG403" s="1">
        <v>0</v>
      </c>
      <c r="AH403" s="1">
        <f ca="1">IFERROR(__xludf.DUMMYFUNCTION("IFERROR(GOOGLEFINANCE(TRIM(F403)&amp;"":"" &amp; TRIM(B403),""low52""),AE403)"),65.7)</f>
        <v>65.7</v>
      </c>
      <c r="AI403" s="1">
        <f ca="1">IFERROR(__xludf.DUMMYFUNCTION("IFERROR(GOOGLEFINANCE(B403,""eps""),0)"),4.2)</f>
        <v>4.2</v>
      </c>
      <c r="AJ403" s="1"/>
      <c r="AK403" s="1" t="s">
        <v>1301</v>
      </c>
      <c r="AL403" s="9">
        <f t="shared" si="86"/>
        <v>1</v>
      </c>
    </row>
    <row r="404" spans="1:38" ht="15" x14ac:dyDescent="0.25">
      <c r="A404" s="1" t="s">
        <v>1302</v>
      </c>
      <c r="B404" s="1" t="s">
        <v>1303</v>
      </c>
      <c r="C404" s="1" t="s">
        <v>521</v>
      </c>
      <c r="D404" s="1" t="s">
        <v>521</v>
      </c>
      <c r="E404" s="6">
        <v>550.32000000000005</v>
      </c>
      <c r="F404" s="1" t="s">
        <v>53</v>
      </c>
      <c r="G404" s="6">
        <f ca="1">IFERROR(__xludf.DUMMYFUNCTION("iferror(GOOGLEFINANCE(TRIM(F404)&amp;"":"" &amp; TRIM(B404), ""price""),0
)"),0)</f>
        <v>0</v>
      </c>
      <c r="H404" s="6">
        <v>539</v>
      </c>
      <c r="I404" s="6">
        <f t="shared" ca="1" si="0"/>
        <v>539</v>
      </c>
      <c r="J404" s="6">
        <f ca="1">IFERROR(__xludf.DUMMYFUNCTION("IFERROR(GOOGLEFINANCE(B404, ""volume""), 0)"),0)</f>
        <v>0</v>
      </c>
      <c r="K404" s="9"/>
      <c r="L404" s="6" t="str">
        <f ca="1">IFERROR(__xludf.DUMMYFUNCTION("IFERROR(GOOGLEFINANCE(B404,""changepct""),K404)"),"")</f>
        <v/>
      </c>
      <c r="M404" s="6">
        <f ca="1">IFERROR(__xludf.DUMMYFUNCTION("IFERROR(GOOGLEFINANCE(B404,""change""),0)"),0)</f>
        <v>0</v>
      </c>
      <c r="N404" s="6">
        <v>1</v>
      </c>
      <c r="O404" s="7">
        <v>45536</v>
      </c>
      <c r="P404" s="6">
        <v>7.88</v>
      </c>
      <c r="Q404" s="6">
        <v>558.20000000000005</v>
      </c>
      <c r="R404" s="7">
        <v>45352</v>
      </c>
      <c r="S404" s="6">
        <v>62.67</v>
      </c>
      <c r="T404" s="6">
        <v>3.7</v>
      </c>
      <c r="U404" s="7">
        <v>45352</v>
      </c>
      <c r="V404" s="6">
        <v>148.61000000000001</v>
      </c>
      <c r="W404" s="6">
        <f ca="1">IFERROR(__xludf.DUMMYFUNCTION("IFERROR(GOOGLEFINANCE(B404,""pe""),V404)"),148.61)</f>
        <v>148.61000000000001</v>
      </c>
      <c r="X404" s="9"/>
      <c r="Y404" s="6">
        <v>23.12</v>
      </c>
      <c r="Z404" s="6">
        <v>2</v>
      </c>
      <c r="AA404" s="8">
        <v>45352</v>
      </c>
      <c r="AB404" s="4">
        <v>0.36</v>
      </c>
      <c r="AC404" s="6">
        <v>16.95</v>
      </c>
      <c r="AD404" s="6">
        <v>19.48</v>
      </c>
      <c r="AE404" s="1">
        <v>0</v>
      </c>
      <c r="AF404" s="1">
        <f ca="1">IFERROR(__xludf.DUMMYFUNCTION("IFERROR(GOOGLEFINANCE(TRIM(F404)&amp;"":"" &amp; TRIM(B404),""high52""),AE404)"),0)</f>
        <v>0</v>
      </c>
      <c r="AG404" s="1">
        <v>0</v>
      </c>
      <c r="AH404" s="1">
        <f ca="1">IFERROR(__xludf.DUMMYFUNCTION("IFERROR(GOOGLEFINANCE(TRIM(F404)&amp;"":"" &amp; TRIM(B404),""low52""),AE404)"),0)</f>
        <v>0</v>
      </c>
      <c r="AI404" s="1">
        <f ca="1">IFERROR(__xludf.DUMMYFUNCTION("IFERROR(GOOGLEFINANCE(B404,""eps""),0)"),0)</f>
        <v>0</v>
      </c>
      <c r="AJ404" s="1"/>
      <c r="AK404" s="1" t="s">
        <v>1304</v>
      </c>
      <c r="AL404" s="1" t="b">
        <f t="shared" ref="AL404:AL405" si="87">ISNUMBER(AA404)</f>
        <v>1</v>
      </c>
    </row>
    <row r="405" spans="1:38" ht="15" x14ac:dyDescent="0.25">
      <c r="A405" s="1" t="s">
        <v>1305</v>
      </c>
      <c r="B405" s="1" t="s">
        <v>1306</v>
      </c>
      <c r="C405" s="1" t="s">
        <v>521</v>
      </c>
      <c r="D405" s="1" t="s">
        <v>521</v>
      </c>
      <c r="E405" s="6">
        <v>359.02</v>
      </c>
      <c r="F405" s="1" t="s">
        <v>53</v>
      </c>
      <c r="G405" s="6">
        <f ca="1">IFERROR(__xludf.DUMMYFUNCTION("iferror(GOOGLEFINANCE(TRIM(F405)&amp;"":"" &amp; TRIM(B405), ""price""),0
)"),0)</f>
        <v>0</v>
      </c>
      <c r="H405" s="6">
        <v>525</v>
      </c>
      <c r="I405" s="6">
        <f t="shared" ca="1" si="0"/>
        <v>525</v>
      </c>
      <c r="J405" s="6">
        <f ca="1">IFERROR(__xludf.DUMMYFUNCTION("IFERROR(GOOGLEFINANCE(B405, ""volume""), 0)"),0)</f>
        <v>0</v>
      </c>
      <c r="K405" s="6">
        <v>5</v>
      </c>
      <c r="L405" s="6">
        <f ca="1">IFERROR(__xludf.DUMMYFUNCTION("IFERROR(GOOGLEFINANCE(B405,""changepct""),K405)"),0)</f>
        <v>0</v>
      </c>
      <c r="M405" s="6">
        <f ca="1">IFERROR(__xludf.DUMMYFUNCTION("IFERROR(GOOGLEFINANCE(B405,""change""),0)"),0)</f>
        <v>0</v>
      </c>
      <c r="N405" s="6">
        <v>1</v>
      </c>
      <c r="O405" s="7">
        <v>45536</v>
      </c>
      <c r="P405" s="6">
        <v>6.88</v>
      </c>
      <c r="Q405" s="6">
        <v>365.9</v>
      </c>
      <c r="R405" s="7">
        <v>45352</v>
      </c>
      <c r="S405" s="6">
        <v>94.48</v>
      </c>
      <c r="T405" s="6">
        <v>9.6</v>
      </c>
      <c r="U405" s="7">
        <v>45352</v>
      </c>
      <c r="V405" s="6">
        <v>37.39</v>
      </c>
      <c r="W405" s="6">
        <f ca="1">IFERROR(__xludf.DUMMYFUNCTION("IFERROR(GOOGLEFINANCE(B405,""pe""),V405)"),7.47)</f>
        <v>7.47</v>
      </c>
      <c r="X405" s="12"/>
      <c r="Y405" s="6">
        <v>7.13</v>
      </c>
      <c r="Z405" s="6">
        <v>2</v>
      </c>
      <c r="AA405" s="8">
        <v>45352</v>
      </c>
      <c r="AB405" s="4">
        <v>0.15</v>
      </c>
      <c r="AC405" s="6">
        <v>29.66</v>
      </c>
      <c r="AD405" s="6">
        <v>35.29</v>
      </c>
      <c r="AE405" s="1">
        <v>0</v>
      </c>
      <c r="AF405" s="1">
        <f ca="1">IFERROR(__xludf.DUMMYFUNCTION("IFERROR(GOOGLEFINANCE(TRIM(F405)&amp;"":"" &amp; TRIM(B405),""high52""),AE405)"),0)</f>
        <v>0</v>
      </c>
      <c r="AG405" s="1">
        <v>0</v>
      </c>
      <c r="AH405" s="1">
        <f ca="1">IFERROR(__xludf.DUMMYFUNCTION("IFERROR(GOOGLEFINANCE(TRIM(F405)&amp;"":"" &amp; TRIM(B405),""low52""),AE405)"),0)</f>
        <v>0</v>
      </c>
      <c r="AI405" s="1">
        <f ca="1">IFERROR(__xludf.DUMMYFUNCTION("IFERROR(GOOGLEFINANCE(B405,""eps""),0)"),18.49)</f>
        <v>18.489999999999998</v>
      </c>
      <c r="AJ405" s="1"/>
      <c r="AK405" s="1" t="s">
        <v>1307</v>
      </c>
      <c r="AL405" s="1" t="b">
        <f t="shared" si="87"/>
        <v>1</v>
      </c>
    </row>
    <row r="406" spans="1:38" ht="15" x14ac:dyDescent="0.25">
      <c r="A406" s="1" t="s">
        <v>1308</v>
      </c>
      <c r="B406" s="1" t="s">
        <v>1309</v>
      </c>
      <c r="C406" s="1" t="s">
        <v>135</v>
      </c>
      <c r="D406" s="1" t="s">
        <v>135</v>
      </c>
      <c r="E406" s="6">
        <v>5772.56</v>
      </c>
      <c r="F406" s="1" t="s">
        <v>40</v>
      </c>
      <c r="G406" s="6">
        <f ca="1">IFERROR(__xludf.DUMMYFUNCTION("iferror(GOOGLEFINANCE(TRIM(F406)&amp;"":"" &amp; TRIM(B406), ""price""),0
)"),1101)</f>
        <v>1101</v>
      </c>
      <c r="H406" s="6">
        <v>1802.55</v>
      </c>
      <c r="I406" s="6">
        <f t="shared" ca="1" si="0"/>
        <v>1101</v>
      </c>
      <c r="J406" s="6">
        <f ca="1">IFERROR(__xludf.DUMMYFUNCTION("IFERROR(GOOGLEFINANCE(B406, ""volume""), 0)"),185304)</f>
        <v>185304</v>
      </c>
      <c r="K406" s="6">
        <v>1.18</v>
      </c>
      <c r="L406" s="6">
        <f ca="1">IFERROR(__xludf.DUMMYFUNCTION("IFERROR(GOOGLEFINANCE(B406,""changepct""),K406)"),-2.2)</f>
        <v>-2.2000000000000002</v>
      </c>
      <c r="M406" s="6">
        <f ca="1">IFERROR(__xludf.DUMMYFUNCTION("IFERROR(GOOGLEFINANCE(B406,""change""),0)"),-24.8)</f>
        <v>-24.8</v>
      </c>
      <c r="N406" s="6">
        <v>2</v>
      </c>
      <c r="O406" s="7">
        <v>45536</v>
      </c>
      <c r="P406" s="6">
        <v>15.15</v>
      </c>
      <c r="Q406" s="6">
        <v>5470.68</v>
      </c>
      <c r="R406" s="7">
        <v>45536</v>
      </c>
      <c r="S406" s="6">
        <v>1528.92</v>
      </c>
      <c r="T406" s="6">
        <v>215.27</v>
      </c>
      <c r="U406" s="7">
        <v>45536</v>
      </c>
      <c r="V406" s="6">
        <v>28.62</v>
      </c>
      <c r="W406" s="6">
        <f ca="1">IFERROR(__xludf.DUMMYFUNCTION("IFERROR(GOOGLEFINANCE(B406,""pe""),V406)"),24.88)</f>
        <v>24.88</v>
      </c>
      <c r="X406" s="6">
        <v>2.44</v>
      </c>
      <c r="Y406" s="6">
        <v>3.26</v>
      </c>
      <c r="Z406" s="6">
        <v>2</v>
      </c>
      <c r="AA406" s="8">
        <v>45352</v>
      </c>
      <c r="AB406" s="4">
        <v>0.01</v>
      </c>
      <c r="AC406" s="6">
        <v>14.18</v>
      </c>
      <c r="AD406" s="6">
        <v>18.37</v>
      </c>
      <c r="AE406" s="1">
        <v>0</v>
      </c>
      <c r="AF406" s="1">
        <f ca="1">IFERROR(__xludf.DUMMYFUNCTION("IFERROR(GOOGLEFINANCE(TRIM(F406)&amp;"":"" &amp; TRIM(B406),""high52""),AE406)"),1945)</f>
        <v>1945</v>
      </c>
      <c r="AG406" s="1">
        <v>0</v>
      </c>
      <c r="AH406" s="1">
        <f ca="1">IFERROR(__xludf.DUMMYFUNCTION("IFERROR(GOOGLEFINANCE(TRIM(F406)&amp;"":"" &amp; TRIM(B406),""low52""),AE406)"),1060.1)</f>
        <v>1060.0999999999999</v>
      </c>
      <c r="AI406" s="1">
        <f ca="1">IFERROR(__xludf.DUMMYFUNCTION("IFERROR(GOOGLEFINANCE(B406,""eps""),0)"),44.26)</f>
        <v>44.26</v>
      </c>
      <c r="AJ406" s="1"/>
      <c r="AK406" s="9"/>
      <c r="AL406" s="1" t="b">
        <f>ISBLANK(AB406)</f>
        <v>0</v>
      </c>
    </row>
    <row r="407" spans="1:38" ht="15" x14ac:dyDescent="0.25">
      <c r="A407" s="1" t="s">
        <v>1310</v>
      </c>
      <c r="B407" s="1" t="s">
        <v>1311</v>
      </c>
      <c r="C407" s="1" t="s">
        <v>1229</v>
      </c>
      <c r="D407" s="1" t="s">
        <v>1229</v>
      </c>
      <c r="E407" s="6">
        <v>784.53</v>
      </c>
      <c r="F407" s="1" t="s">
        <v>40</v>
      </c>
      <c r="G407" s="6">
        <f ca="1">IFERROR(__xludf.DUMMYFUNCTION("iferror(GOOGLEFINANCE(TRIM(F407)&amp;"":"" &amp; TRIM(B407), ""price""),0
)"),83.49)</f>
        <v>83.49</v>
      </c>
      <c r="H407" s="6">
        <v>80.7</v>
      </c>
      <c r="I407" s="6">
        <f t="shared" ca="1" si="0"/>
        <v>83.49</v>
      </c>
      <c r="J407" s="6">
        <f ca="1">IFERROR(__xludf.DUMMYFUNCTION("IFERROR(GOOGLEFINANCE(B407, ""volume""), 0)"),537396)</f>
        <v>537396</v>
      </c>
      <c r="K407" s="6">
        <v>5</v>
      </c>
      <c r="L407" s="6">
        <f ca="1">IFERROR(__xludf.DUMMYFUNCTION("IFERROR(GOOGLEFINANCE(B407,""changepct""),K407)"),7)</f>
        <v>7</v>
      </c>
      <c r="M407" s="6">
        <f ca="1">IFERROR(__xludf.DUMMYFUNCTION("IFERROR(GOOGLEFINANCE(B407,""change""),0)"),5.46)</f>
        <v>5.46</v>
      </c>
      <c r="N407" s="6">
        <v>2</v>
      </c>
      <c r="O407" s="7">
        <v>45536</v>
      </c>
      <c r="P407" s="6">
        <v>33.61</v>
      </c>
      <c r="Q407" s="6">
        <v>803.4</v>
      </c>
      <c r="R407" s="7">
        <v>45536</v>
      </c>
      <c r="S407" s="6">
        <v>567.03</v>
      </c>
      <c r="T407" s="6">
        <v>-0.41</v>
      </c>
      <c r="U407" s="7">
        <v>45536</v>
      </c>
      <c r="V407" s="6">
        <v>332.15</v>
      </c>
      <c r="W407" s="6">
        <f ca="1">IFERROR(__xludf.DUMMYFUNCTION("IFERROR(GOOGLEFINANCE(B407,""pe""),V407)"),13.28)</f>
        <v>13.28</v>
      </c>
      <c r="X407" s="6">
        <v>19.399999999999999</v>
      </c>
      <c r="Y407" s="6">
        <v>1.78</v>
      </c>
      <c r="Z407" s="6">
        <v>2</v>
      </c>
      <c r="AA407" s="8">
        <v>45352</v>
      </c>
      <c r="AB407" s="4">
        <v>0.18</v>
      </c>
      <c r="AC407" s="6">
        <v>4.74</v>
      </c>
      <c r="AD407" s="6">
        <v>8.64</v>
      </c>
      <c r="AE407" s="1">
        <v>0</v>
      </c>
      <c r="AF407" s="1">
        <f ca="1">IFERROR(__xludf.DUMMYFUNCTION("IFERROR(GOOGLEFINANCE(TRIM(F407)&amp;"":"" &amp; TRIM(B407),""high52""),AE407)"),141.32)</f>
        <v>141.32</v>
      </c>
      <c r="AG407" s="1">
        <v>0</v>
      </c>
      <c r="AH407" s="1">
        <f ca="1">IFERROR(__xludf.DUMMYFUNCTION("IFERROR(GOOGLEFINANCE(TRIM(F407)&amp;"":"" &amp; TRIM(B407),""low52""),AE407)"),49.02)</f>
        <v>49.02</v>
      </c>
      <c r="AI407" s="1">
        <f ca="1">IFERROR(__xludf.DUMMYFUNCTION("IFERROR(GOOGLEFINANCE(B407,""eps""),0)"),6.29)</f>
        <v>6.29</v>
      </c>
      <c r="AJ407" s="1"/>
      <c r="AK407" s="9"/>
      <c r="AL407" s="9">
        <f t="shared" ref="AL407:AL408" si="88">IF(AA407&lt;&gt;AB407,1,0)</f>
        <v>1</v>
      </c>
    </row>
    <row r="408" spans="1:38" ht="15" x14ac:dyDescent="0.25">
      <c r="A408" s="1" t="s">
        <v>1312</v>
      </c>
      <c r="B408" s="1" t="s">
        <v>1313</v>
      </c>
      <c r="C408" s="1" t="s">
        <v>106</v>
      </c>
      <c r="D408" s="1" t="s">
        <v>106</v>
      </c>
      <c r="E408" s="6">
        <v>406.55</v>
      </c>
      <c r="F408" s="1" t="s">
        <v>40</v>
      </c>
      <c r="G408" s="6">
        <f ca="1">IFERROR(__xludf.DUMMYFUNCTION("iferror(GOOGLEFINANCE(TRIM(F408)&amp;"":"" &amp; TRIM(B408), ""price""),0
)"),24)</f>
        <v>24</v>
      </c>
      <c r="H408" s="6">
        <v>73.989999999999995</v>
      </c>
      <c r="I408" s="6">
        <f t="shared" ca="1" si="0"/>
        <v>24</v>
      </c>
      <c r="J408" s="6">
        <f ca="1">IFERROR(__xludf.DUMMYFUNCTION("IFERROR(GOOGLEFINANCE(B408, ""volume""), 0)"),33258)</f>
        <v>33258</v>
      </c>
      <c r="K408" s="6">
        <v>0.48</v>
      </c>
      <c r="L408" s="6">
        <f ca="1">IFERROR(__xludf.DUMMYFUNCTION("IFERROR(GOOGLEFINANCE(B408,""changepct""),K408)"),-1.72)</f>
        <v>-1.72</v>
      </c>
      <c r="M408" s="6">
        <f ca="1">IFERROR(__xludf.DUMMYFUNCTION("IFERROR(GOOGLEFINANCE(B408,""change""),0)"),-0.42)</f>
        <v>-0.42</v>
      </c>
      <c r="N408" s="6">
        <v>2</v>
      </c>
      <c r="O408" s="7">
        <v>45536</v>
      </c>
      <c r="P408" s="6">
        <v>30.33</v>
      </c>
      <c r="Q408" s="6">
        <v>436.88</v>
      </c>
      <c r="R408" s="7">
        <v>45536</v>
      </c>
      <c r="S408" s="6">
        <v>263.62</v>
      </c>
      <c r="T408" s="6">
        <v>35.6</v>
      </c>
      <c r="U408" s="7">
        <v>45536</v>
      </c>
      <c r="V408" s="6">
        <v>11.42</v>
      </c>
      <c r="W408" s="6">
        <f ca="1">IFERROR(__xludf.DUMMYFUNCTION("IFERROR(GOOGLEFINANCE(B408,""pe""),V408)"),9.15)</f>
        <v>9.15</v>
      </c>
      <c r="X408" s="9"/>
      <c r="Y408" s="6">
        <v>1.89</v>
      </c>
      <c r="Z408" s="6">
        <v>2</v>
      </c>
      <c r="AA408" s="8">
        <v>45352</v>
      </c>
      <c r="AB408" s="4">
        <v>0.09</v>
      </c>
      <c r="AC408" s="6">
        <v>-1.29</v>
      </c>
      <c r="AD408" s="6">
        <v>2.31</v>
      </c>
      <c r="AE408" s="1">
        <v>0</v>
      </c>
      <c r="AF408" s="1">
        <f ca="1">IFERROR(__xludf.DUMMYFUNCTION("IFERROR(GOOGLEFINANCE(TRIM(F408)&amp;"":"" &amp; TRIM(B408),""high52""),AE408)"),76.1)</f>
        <v>76.099999999999994</v>
      </c>
      <c r="AG408" s="1">
        <v>0</v>
      </c>
      <c r="AH408" s="1">
        <f ca="1">IFERROR(__xludf.DUMMYFUNCTION("IFERROR(GOOGLEFINANCE(TRIM(F408)&amp;"":"" &amp; TRIM(B408),""low52""),AE408)"),23.01)</f>
        <v>23.01</v>
      </c>
      <c r="AI408" s="1">
        <f ca="1">IFERROR(__xludf.DUMMYFUNCTION("IFERROR(GOOGLEFINANCE(B408,""eps""),0)"),2.62)</f>
        <v>2.62</v>
      </c>
      <c r="AJ408" s="1"/>
      <c r="AK408" s="1" t="s">
        <v>1314</v>
      </c>
      <c r="AL408" s="9">
        <f t="shared" si="88"/>
        <v>1</v>
      </c>
    </row>
    <row r="409" spans="1:38" ht="15" x14ac:dyDescent="0.25">
      <c r="A409" s="1" t="s">
        <v>1315</v>
      </c>
      <c r="B409" s="1" t="s">
        <v>1316</v>
      </c>
      <c r="C409" s="1" t="s">
        <v>521</v>
      </c>
      <c r="D409" s="1" t="s">
        <v>521</v>
      </c>
      <c r="E409" s="6">
        <v>125.89</v>
      </c>
      <c r="F409" s="1" t="s">
        <v>53</v>
      </c>
      <c r="G409" s="6">
        <f ca="1">IFERROR(__xludf.DUMMYFUNCTION("iferror(GOOGLEFINANCE(TRIM(F409)&amp;"":"" &amp; TRIM(B409), ""price""),0
)"),0)</f>
        <v>0</v>
      </c>
      <c r="H409" s="6">
        <v>443</v>
      </c>
      <c r="I409" s="6">
        <f t="shared" ca="1" si="0"/>
        <v>443</v>
      </c>
      <c r="J409" s="6">
        <f ca="1">IFERROR(__xludf.DUMMYFUNCTION("IFERROR(GOOGLEFINANCE(B409, ""volume""), 0)"),0)</f>
        <v>0</v>
      </c>
      <c r="K409" s="6">
        <v>1.37</v>
      </c>
      <c r="L409" s="6">
        <f ca="1">IFERROR(__xludf.DUMMYFUNCTION("IFERROR(GOOGLEFINANCE(B409,""changepct""),K409)"),1.37)</f>
        <v>1.37</v>
      </c>
      <c r="M409" s="6">
        <f ca="1">IFERROR(__xludf.DUMMYFUNCTION("IFERROR(GOOGLEFINANCE(B409,""change""),0)"),0)</f>
        <v>0</v>
      </c>
      <c r="N409" s="6">
        <v>1</v>
      </c>
      <c r="O409" s="7">
        <v>45536</v>
      </c>
      <c r="P409" s="6">
        <v>11.78</v>
      </c>
      <c r="Q409" s="6">
        <v>133.35</v>
      </c>
      <c r="R409" s="7">
        <v>45536</v>
      </c>
      <c r="S409" s="6">
        <v>126.3</v>
      </c>
      <c r="T409" s="6">
        <v>6.09</v>
      </c>
      <c r="U409" s="7">
        <v>45536</v>
      </c>
      <c r="V409" s="6">
        <v>20.67</v>
      </c>
      <c r="W409" s="6">
        <f ca="1">IFERROR(__xludf.DUMMYFUNCTION("IFERROR(GOOGLEFINANCE(B409,""pe""),V409)"),20.67)</f>
        <v>20.67</v>
      </c>
      <c r="X409" s="6">
        <v>1.54</v>
      </c>
      <c r="Y409" s="6">
        <v>2.97</v>
      </c>
      <c r="Z409" s="6">
        <v>1</v>
      </c>
      <c r="AA409" s="8">
        <v>45352</v>
      </c>
      <c r="AB409" s="4">
        <v>0.21</v>
      </c>
      <c r="AC409" s="6">
        <v>18.41</v>
      </c>
      <c r="AD409" s="6">
        <v>22.56</v>
      </c>
      <c r="AE409" s="1">
        <v>0</v>
      </c>
      <c r="AF409" s="1">
        <f ca="1">IFERROR(__xludf.DUMMYFUNCTION("IFERROR(GOOGLEFINANCE(TRIM(F409)&amp;"":"" &amp; TRIM(B409),""high52""),AE409)"),0)</f>
        <v>0</v>
      </c>
      <c r="AG409" s="1">
        <v>0</v>
      </c>
      <c r="AH409" s="1">
        <f ca="1">IFERROR(__xludf.DUMMYFUNCTION("IFERROR(GOOGLEFINANCE(TRIM(F409)&amp;"":"" &amp; TRIM(B409),""low52""),AE409)"),0)</f>
        <v>0</v>
      </c>
      <c r="AI409" s="1">
        <f ca="1">IFERROR(__xludf.DUMMYFUNCTION("IFERROR(GOOGLEFINANCE(B409,""eps""),0)"),0)</f>
        <v>0</v>
      </c>
      <c r="AJ409" s="1"/>
      <c r="AK409" s="1" t="s">
        <v>1317</v>
      </c>
      <c r="AL409" s="1" t="b">
        <f t="shared" ref="AL409:AL410" si="89">ISNUMBER(AA409)</f>
        <v>1</v>
      </c>
    </row>
    <row r="410" spans="1:38" ht="15" x14ac:dyDescent="0.25">
      <c r="A410" s="1" t="s">
        <v>1318</v>
      </c>
      <c r="B410" s="1" t="s">
        <v>1319</v>
      </c>
      <c r="C410" s="1" t="s">
        <v>521</v>
      </c>
      <c r="D410" s="1" t="s">
        <v>521</v>
      </c>
      <c r="E410" s="6">
        <v>93.42</v>
      </c>
      <c r="F410" s="1" t="s">
        <v>53</v>
      </c>
      <c r="G410" s="6">
        <f ca="1">IFERROR(__xludf.DUMMYFUNCTION("iferror(GOOGLEFINANCE(TRIM(F410)&amp;"":"" &amp; TRIM(B410), ""price""),0
)"),0)</f>
        <v>0</v>
      </c>
      <c r="H410" s="6">
        <v>727</v>
      </c>
      <c r="I410" s="6">
        <f t="shared" ca="1" si="0"/>
        <v>727</v>
      </c>
      <c r="J410" s="6">
        <f ca="1">IFERROR(__xludf.DUMMYFUNCTION("IFERROR(GOOGLEFINANCE(B410, ""volume""), 0)"),0)</f>
        <v>0</v>
      </c>
      <c r="K410" s="6">
        <v>1.17</v>
      </c>
      <c r="L410" s="6">
        <f ca="1">IFERROR(__xludf.DUMMYFUNCTION("IFERROR(GOOGLEFINANCE(B410,""changepct""),K410)"),1.17)</f>
        <v>1.17</v>
      </c>
      <c r="M410" s="6">
        <f ca="1">IFERROR(__xludf.DUMMYFUNCTION("IFERROR(GOOGLEFINANCE(B410,""change""),0)"),0)</f>
        <v>0</v>
      </c>
      <c r="N410" s="6">
        <v>1</v>
      </c>
      <c r="O410" s="7">
        <v>45536</v>
      </c>
      <c r="P410" s="6">
        <v>0.02</v>
      </c>
      <c r="Q410" s="6">
        <v>93.44</v>
      </c>
      <c r="R410" s="7">
        <v>45536</v>
      </c>
      <c r="S410" s="6">
        <v>52.18</v>
      </c>
      <c r="T410" s="6">
        <v>4.8600000000000003</v>
      </c>
      <c r="U410" s="7">
        <v>45536</v>
      </c>
      <c r="V410" s="6">
        <v>19.21</v>
      </c>
      <c r="W410" s="6">
        <f ca="1">IFERROR(__xludf.DUMMYFUNCTION("IFERROR(GOOGLEFINANCE(B410,""pe""),V410)"),19.21)</f>
        <v>19.21</v>
      </c>
      <c r="X410" s="6">
        <v>2.4300000000000002</v>
      </c>
      <c r="Y410" s="6">
        <v>2.34</v>
      </c>
      <c r="Z410" s="6">
        <v>1</v>
      </c>
      <c r="AA410" s="8">
        <v>45352</v>
      </c>
      <c r="AB410" s="4">
        <v>0</v>
      </c>
      <c r="AC410" s="6">
        <v>13.73</v>
      </c>
      <c r="AD410" s="6">
        <v>17.96</v>
      </c>
      <c r="AE410" s="1">
        <v>0</v>
      </c>
      <c r="AF410" s="1">
        <f ca="1">IFERROR(__xludf.DUMMYFUNCTION("IFERROR(GOOGLEFINANCE(TRIM(F410)&amp;"":"" &amp; TRIM(B410),""high52""),AE410)"),0)</f>
        <v>0</v>
      </c>
      <c r="AG410" s="1">
        <v>0</v>
      </c>
      <c r="AH410" s="1">
        <f ca="1">IFERROR(__xludf.DUMMYFUNCTION("IFERROR(GOOGLEFINANCE(TRIM(F410)&amp;"":"" &amp; TRIM(B410),""low52""),AE410)"),0)</f>
        <v>0</v>
      </c>
      <c r="AI410" s="1">
        <f ca="1">IFERROR(__xludf.DUMMYFUNCTION("IFERROR(GOOGLEFINANCE(B410,""eps""),0)"),0)</f>
        <v>0</v>
      </c>
      <c r="AJ410" s="1"/>
      <c r="AK410" s="1" t="s">
        <v>1320</v>
      </c>
      <c r="AL410" s="1" t="b">
        <f t="shared" si="89"/>
        <v>1</v>
      </c>
    </row>
    <row r="411" spans="1:38" ht="15" x14ac:dyDescent="0.25">
      <c r="A411" s="1" t="s">
        <v>1321</v>
      </c>
      <c r="B411" s="1" t="s">
        <v>1322</v>
      </c>
      <c r="C411" s="1" t="s">
        <v>828</v>
      </c>
      <c r="D411" s="1" t="s">
        <v>828</v>
      </c>
      <c r="E411" s="6">
        <v>55945.03</v>
      </c>
      <c r="F411" s="1" t="s">
        <v>40</v>
      </c>
      <c r="G411" s="6">
        <f ca="1">IFERROR(__xludf.DUMMYFUNCTION("iferror(GOOGLEFINANCE(TRIM(F411)&amp;"":"" &amp; TRIM(B411), ""price""),0
)"),2291.1)</f>
        <v>2291.1</v>
      </c>
      <c r="H411" s="6">
        <v>2851.25</v>
      </c>
      <c r="I411" s="6">
        <f t="shared" ca="1" si="0"/>
        <v>2291.1</v>
      </c>
      <c r="J411" s="6">
        <f ca="1">IFERROR(__xludf.DUMMYFUNCTION("IFERROR(GOOGLEFINANCE(B411, ""volume""), 0)"),173624)</f>
        <v>173624</v>
      </c>
      <c r="K411" s="6">
        <v>-1.4</v>
      </c>
      <c r="L411" s="6">
        <f ca="1">IFERROR(__xludf.DUMMYFUNCTION("IFERROR(GOOGLEFINANCE(B411,""changepct""),K411)"),-0.31)</f>
        <v>-0.31</v>
      </c>
      <c r="M411" s="6">
        <f ca="1">IFERROR(__xludf.DUMMYFUNCTION("IFERROR(GOOGLEFINANCE(B411,""change""),0)"),-7.1)</f>
        <v>-7.1</v>
      </c>
      <c r="N411" s="6">
        <v>2</v>
      </c>
      <c r="O411" s="7">
        <v>45536</v>
      </c>
      <c r="P411" s="6">
        <v>3118.04</v>
      </c>
      <c r="Q411" s="6">
        <v>58925.96</v>
      </c>
      <c r="R411" s="7">
        <v>45536</v>
      </c>
      <c r="S411" s="6">
        <v>10090.57</v>
      </c>
      <c r="T411" s="6">
        <v>1629.1</v>
      </c>
      <c r="U411" s="7">
        <v>45536</v>
      </c>
      <c r="V411" s="6">
        <v>34.340000000000003</v>
      </c>
      <c r="W411" s="6">
        <f ca="1">IFERROR(__xludf.DUMMYFUNCTION("IFERROR(GOOGLEFINANCE(B411,""pe""),V411)"),33.75)</f>
        <v>33.75</v>
      </c>
      <c r="X411" s="6">
        <v>2.5</v>
      </c>
      <c r="Y411" s="6">
        <v>5.95</v>
      </c>
      <c r="Z411" s="6">
        <v>2</v>
      </c>
      <c r="AA411" s="8">
        <v>45352</v>
      </c>
      <c r="AB411" s="4">
        <v>0.35</v>
      </c>
      <c r="AC411" s="6">
        <v>17.93</v>
      </c>
      <c r="AD411" s="6">
        <v>17.98</v>
      </c>
      <c r="AE411" s="1">
        <v>0</v>
      </c>
      <c r="AF411" s="1">
        <f ca="1">IFERROR(__xludf.DUMMYFUNCTION("IFERROR(GOOGLEFINANCE(TRIM(F411)&amp;"":"" &amp; TRIM(B411),""high52""),AE411)"),2839.95)</f>
        <v>2839.95</v>
      </c>
      <c r="AG411" s="1">
        <v>0</v>
      </c>
      <c r="AH411" s="1">
        <f ca="1">IFERROR(__xludf.DUMMYFUNCTION("IFERROR(GOOGLEFINANCE(TRIM(F411)&amp;"":"" &amp; TRIM(B411),""low52""),AE411)"),2152.05)</f>
        <v>2152.0500000000002</v>
      </c>
      <c r="AI411" s="1">
        <f ca="1">IFERROR(__xludf.DUMMYFUNCTION("IFERROR(GOOGLEFINANCE(B411,""eps""),0)"),67.88)</f>
        <v>67.88</v>
      </c>
      <c r="AJ411" s="1"/>
      <c r="AK411" s="1" t="s">
        <v>1323</v>
      </c>
      <c r="AL411" s="9">
        <f>IF(AA411&lt;&gt;AB411,1,0)</f>
        <v>1</v>
      </c>
    </row>
    <row r="412" spans="1:38" ht="15" x14ac:dyDescent="0.25">
      <c r="A412" s="1" t="s">
        <v>1324</v>
      </c>
      <c r="B412" s="1" t="s">
        <v>1325</v>
      </c>
      <c r="C412" s="1" t="s">
        <v>521</v>
      </c>
      <c r="D412" s="1" t="s">
        <v>521</v>
      </c>
      <c r="E412" s="6">
        <v>154.93</v>
      </c>
      <c r="F412" s="1" t="s">
        <v>53</v>
      </c>
      <c r="G412" s="6">
        <f ca="1">IFERROR(__xludf.DUMMYFUNCTION("iferror(GOOGLEFINANCE(TRIM(F412)&amp;"":"" &amp; TRIM(B412), ""price""),0
)"),0)</f>
        <v>0</v>
      </c>
      <c r="H412" s="6">
        <v>458</v>
      </c>
      <c r="I412" s="6">
        <f t="shared" ca="1" si="0"/>
        <v>458</v>
      </c>
      <c r="J412" s="6">
        <f ca="1">IFERROR(__xludf.DUMMYFUNCTION("IFERROR(GOOGLEFINANCE(B412, ""volume""), 0)"),0)</f>
        <v>0</v>
      </c>
      <c r="K412" s="6">
        <v>1.55</v>
      </c>
      <c r="L412" s="6">
        <f ca="1">IFERROR(__xludf.DUMMYFUNCTION("IFERROR(GOOGLEFINANCE(B412,""changepct""),K412)"),1.55)</f>
        <v>1.55</v>
      </c>
      <c r="M412" s="6">
        <f ca="1">IFERROR(__xludf.DUMMYFUNCTION("IFERROR(GOOGLEFINANCE(B412,""change""),0)"),0)</f>
        <v>0</v>
      </c>
      <c r="N412" s="6">
        <v>1</v>
      </c>
      <c r="O412" s="7">
        <v>45536</v>
      </c>
      <c r="P412" s="9"/>
      <c r="Q412" s="6">
        <v>132.15</v>
      </c>
      <c r="R412" s="7">
        <v>45536</v>
      </c>
      <c r="S412" s="6">
        <v>60.95</v>
      </c>
      <c r="T412" s="6">
        <v>8.84</v>
      </c>
      <c r="U412" s="7">
        <v>45536</v>
      </c>
      <c r="V412" s="6">
        <v>17.53</v>
      </c>
      <c r="W412" s="6">
        <f ca="1">IFERROR(__xludf.DUMMYFUNCTION("IFERROR(GOOGLEFINANCE(B412,""pe""),V412)"),17.53)</f>
        <v>17.53</v>
      </c>
      <c r="X412" s="6">
        <v>1.6</v>
      </c>
      <c r="Y412" s="6">
        <v>2.52</v>
      </c>
      <c r="Z412" s="6">
        <v>1</v>
      </c>
      <c r="AA412" s="8">
        <v>45352</v>
      </c>
      <c r="AB412" s="4">
        <v>0</v>
      </c>
      <c r="AC412" s="6">
        <v>12.35</v>
      </c>
      <c r="AD412" s="6">
        <v>16.98</v>
      </c>
      <c r="AE412" s="1">
        <v>0</v>
      </c>
      <c r="AF412" s="1">
        <f ca="1">IFERROR(__xludf.DUMMYFUNCTION("IFERROR(GOOGLEFINANCE(TRIM(F412)&amp;"":"" &amp; TRIM(B412),""high52""),AE412)"),0)</f>
        <v>0</v>
      </c>
      <c r="AG412" s="1">
        <v>0</v>
      </c>
      <c r="AH412" s="1">
        <f ca="1">IFERROR(__xludf.DUMMYFUNCTION("IFERROR(GOOGLEFINANCE(TRIM(F412)&amp;"":"" &amp; TRIM(B412),""low52""),AE412)"),0)</f>
        <v>0</v>
      </c>
      <c r="AI412" s="1">
        <f ca="1">IFERROR(__xludf.DUMMYFUNCTION("IFERROR(GOOGLEFINANCE(B412,""eps""),0)"),0)</f>
        <v>0</v>
      </c>
      <c r="AJ412" s="1"/>
      <c r="AK412" s="1" t="s">
        <v>1326</v>
      </c>
      <c r="AL412" s="1" t="b">
        <f t="shared" ref="AL412:AL415" si="90">ISNUMBER(AA412)</f>
        <v>1</v>
      </c>
    </row>
    <row r="413" spans="1:38" ht="15" x14ac:dyDescent="0.25">
      <c r="A413" s="1" t="s">
        <v>1327</v>
      </c>
      <c r="B413" s="1" t="s">
        <v>1328</v>
      </c>
      <c r="C413" s="1" t="s">
        <v>521</v>
      </c>
      <c r="D413" s="1" t="s">
        <v>521</v>
      </c>
      <c r="E413" s="6">
        <v>478.48</v>
      </c>
      <c r="F413" s="1" t="s">
        <v>53</v>
      </c>
      <c r="G413" s="6">
        <f ca="1">IFERROR(__xludf.DUMMYFUNCTION("iferror(GOOGLEFINANCE(TRIM(F413)&amp;"":"" &amp; TRIM(B413), ""price""),0
)"),0)</f>
        <v>0</v>
      </c>
      <c r="H413" s="6">
        <v>957</v>
      </c>
      <c r="I413" s="6">
        <f t="shared" ca="1" si="0"/>
        <v>957</v>
      </c>
      <c r="J413" s="6">
        <f ca="1">IFERROR(__xludf.DUMMYFUNCTION("IFERROR(GOOGLEFINANCE(B413, ""volume""), 0)"),0)</f>
        <v>0</v>
      </c>
      <c r="K413" s="9"/>
      <c r="L413" s="6" t="str">
        <f ca="1">IFERROR(__xludf.DUMMYFUNCTION("IFERROR(GOOGLEFINANCE(B413,""changepct""),K413)"),"")</f>
        <v/>
      </c>
      <c r="M413" s="6">
        <f ca="1">IFERROR(__xludf.DUMMYFUNCTION("IFERROR(GOOGLEFINANCE(B413,""change""),0)"),0)</f>
        <v>0</v>
      </c>
      <c r="N413" s="6">
        <v>2</v>
      </c>
      <c r="O413" s="7">
        <v>45536</v>
      </c>
      <c r="P413" s="6">
        <v>71.39</v>
      </c>
      <c r="Q413" s="6">
        <v>545.45000000000005</v>
      </c>
      <c r="R413" s="7">
        <v>45536</v>
      </c>
      <c r="S413" s="6">
        <v>162.83000000000001</v>
      </c>
      <c r="T413" s="6">
        <v>5.8</v>
      </c>
      <c r="U413" s="7">
        <v>45536</v>
      </c>
      <c r="V413" s="6">
        <v>82.54</v>
      </c>
      <c r="W413" s="6">
        <f ca="1">IFERROR(__xludf.DUMMYFUNCTION("IFERROR(GOOGLEFINANCE(B413,""pe""),V413)"),82.54)</f>
        <v>82.54</v>
      </c>
      <c r="X413" s="6">
        <v>-17.41</v>
      </c>
      <c r="Y413" s="6">
        <v>5.38</v>
      </c>
      <c r="Z413" s="6">
        <v>2</v>
      </c>
      <c r="AA413" s="8">
        <v>45352</v>
      </c>
      <c r="AB413" s="4">
        <v>0.87</v>
      </c>
      <c r="AC413" s="6">
        <v>9.5</v>
      </c>
      <c r="AD413" s="6">
        <v>12.38</v>
      </c>
      <c r="AE413" s="1">
        <v>0</v>
      </c>
      <c r="AF413" s="1">
        <f ca="1">IFERROR(__xludf.DUMMYFUNCTION("IFERROR(GOOGLEFINANCE(TRIM(F413)&amp;"":"" &amp; TRIM(B413),""high52""),AE413)"),0)</f>
        <v>0</v>
      </c>
      <c r="AG413" s="1">
        <v>0</v>
      </c>
      <c r="AH413" s="1">
        <f ca="1">IFERROR(__xludf.DUMMYFUNCTION("IFERROR(GOOGLEFINANCE(TRIM(F413)&amp;"":"" &amp; TRIM(B413),""low52""),AE413)"),0)</f>
        <v>0</v>
      </c>
      <c r="AI413" s="1">
        <f ca="1">IFERROR(__xludf.DUMMYFUNCTION("IFERROR(GOOGLEFINANCE(B413,""eps""),0)"),0)</f>
        <v>0</v>
      </c>
      <c r="AJ413" s="1"/>
      <c r="AK413" s="1" t="s">
        <v>1329</v>
      </c>
      <c r="AL413" s="1" t="b">
        <f t="shared" si="90"/>
        <v>1</v>
      </c>
    </row>
    <row r="414" spans="1:38" ht="15" x14ac:dyDescent="0.25">
      <c r="A414" s="1" t="s">
        <v>1330</v>
      </c>
      <c r="B414" s="1" t="s">
        <v>1331</v>
      </c>
      <c r="C414" s="1" t="s">
        <v>521</v>
      </c>
      <c r="D414" s="1" t="s">
        <v>521</v>
      </c>
      <c r="E414" s="6">
        <v>10757.07</v>
      </c>
      <c r="F414" s="1" t="s">
        <v>53</v>
      </c>
      <c r="G414" s="6">
        <f ca="1">IFERROR(__xludf.DUMMYFUNCTION("iferror(GOOGLEFINANCE(TRIM(F414)&amp;"":"" &amp; TRIM(B414), ""price""),0
)"),0)</f>
        <v>0</v>
      </c>
      <c r="H414" s="6">
        <v>650</v>
      </c>
      <c r="I414" s="6">
        <f t="shared" ca="1" si="0"/>
        <v>650</v>
      </c>
      <c r="J414" s="6">
        <f ca="1">IFERROR(__xludf.DUMMYFUNCTION("IFERROR(GOOGLEFINANCE(B414, ""volume""), 0)"),0)</f>
        <v>0</v>
      </c>
      <c r="K414" s="6">
        <v>-0.55000000000000004</v>
      </c>
      <c r="L414" s="6">
        <f ca="1">IFERROR(__xludf.DUMMYFUNCTION("IFERROR(GOOGLEFINANCE(B414,""changepct""),K414)"),-0.55)</f>
        <v>-0.55000000000000004</v>
      </c>
      <c r="M414" s="6">
        <f ca="1">IFERROR(__xludf.DUMMYFUNCTION("IFERROR(GOOGLEFINANCE(B414,""change""),0)"),0)</f>
        <v>0</v>
      </c>
      <c r="N414" s="6">
        <v>2</v>
      </c>
      <c r="O414" s="7">
        <v>45536</v>
      </c>
      <c r="P414" s="6">
        <v>1340.94</v>
      </c>
      <c r="Q414" s="6">
        <v>12018.41</v>
      </c>
      <c r="R414" s="7">
        <v>45536</v>
      </c>
      <c r="S414" s="6">
        <v>6303.81</v>
      </c>
      <c r="T414" s="6">
        <v>270.45</v>
      </c>
      <c r="U414" s="7">
        <v>45536</v>
      </c>
      <c r="V414" s="6">
        <v>44.23</v>
      </c>
      <c r="W414" s="6">
        <f ca="1">IFERROR(__xludf.DUMMYFUNCTION("IFERROR(GOOGLEFINANCE(B414,""pe""),V414)"),44.23)</f>
        <v>44.23</v>
      </c>
      <c r="X414" s="9"/>
      <c r="Y414" s="6">
        <v>3.22</v>
      </c>
      <c r="Z414" s="6">
        <v>2</v>
      </c>
      <c r="AA414" s="8">
        <v>45352</v>
      </c>
      <c r="AB414" s="4">
        <v>0.38</v>
      </c>
      <c r="AC414" s="6">
        <v>9.58</v>
      </c>
      <c r="AD414" s="6">
        <v>13.62</v>
      </c>
      <c r="AE414" s="1">
        <v>0</v>
      </c>
      <c r="AF414" s="1">
        <f ca="1">IFERROR(__xludf.DUMMYFUNCTION("IFERROR(GOOGLEFINANCE(TRIM(F414)&amp;"":"" &amp; TRIM(B414),""high52""),AE414)"),0)</f>
        <v>0</v>
      </c>
      <c r="AG414" s="1">
        <v>0</v>
      </c>
      <c r="AH414" s="1">
        <f ca="1">IFERROR(__xludf.DUMMYFUNCTION("IFERROR(GOOGLEFINANCE(TRIM(F414)&amp;"":"" &amp; TRIM(B414),""low52""),AE414)"),0)</f>
        <v>0</v>
      </c>
      <c r="AI414" s="1">
        <f ca="1">IFERROR(__xludf.DUMMYFUNCTION("IFERROR(GOOGLEFINANCE(B414,""eps""),0)"),0)</f>
        <v>0</v>
      </c>
      <c r="AJ414" s="1"/>
      <c r="AK414" s="1" t="s">
        <v>1332</v>
      </c>
      <c r="AL414" s="1" t="b">
        <f t="shared" si="90"/>
        <v>1</v>
      </c>
    </row>
    <row r="415" spans="1:38" ht="15" x14ac:dyDescent="0.25">
      <c r="A415" s="1" t="s">
        <v>1333</v>
      </c>
      <c r="B415" s="1" t="s">
        <v>1334</v>
      </c>
      <c r="C415" s="1" t="s">
        <v>521</v>
      </c>
      <c r="D415" s="1" t="s">
        <v>521</v>
      </c>
      <c r="E415" s="6">
        <v>426.05</v>
      </c>
      <c r="F415" s="1" t="s">
        <v>53</v>
      </c>
      <c r="G415" s="6">
        <f ca="1">IFERROR(__xludf.DUMMYFUNCTION("iferror(GOOGLEFINANCE(TRIM(F415)&amp;"":"" &amp; TRIM(B415), ""price""),0
)"),0)</f>
        <v>0</v>
      </c>
      <c r="H415" s="6">
        <v>990</v>
      </c>
      <c r="I415" s="6">
        <f t="shared" ca="1" si="0"/>
        <v>990</v>
      </c>
      <c r="J415" s="6">
        <f ca="1">IFERROR(__xludf.DUMMYFUNCTION("IFERROR(GOOGLEFINANCE(B415, ""volume""), 0)"),0)</f>
        <v>0</v>
      </c>
      <c r="K415" s="6">
        <v>-1.66</v>
      </c>
      <c r="L415" s="6">
        <f ca="1">IFERROR(__xludf.DUMMYFUNCTION("IFERROR(GOOGLEFINANCE(B415,""changepct""),K415)"),-1.66)</f>
        <v>-1.66</v>
      </c>
      <c r="M415" s="6">
        <f ca="1">IFERROR(__xludf.DUMMYFUNCTION("IFERROR(GOOGLEFINANCE(B415,""change""),0)"),0)</f>
        <v>0</v>
      </c>
      <c r="N415" s="6">
        <v>1</v>
      </c>
      <c r="O415" s="7">
        <v>45536</v>
      </c>
      <c r="P415" s="9"/>
      <c r="Q415" s="6">
        <v>404.09</v>
      </c>
      <c r="R415" s="7">
        <v>45536</v>
      </c>
      <c r="S415" s="6">
        <v>159.29</v>
      </c>
      <c r="T415" s="6">
        <v>21.05</v>
      </c>
      <c r="U415" s="7">
        <v>45536</v>
      </c>
      <c r="V415" s="6">
        <v>20.239999999999998</v>
      </c>
      <c r="W415" s="6">
        <f ca="1">IFERROR(__xludf.DUMMYFUNCTION("IFERROR(GOOGLEFINANCE(B415,""pe""),V415)"),20.24)</f>
        <v>20.239999999999998</v>
      </c>
      <c r="X415" s="6">
        <v>3.49</v>
      </c>
      <c r="Y415" s="6">
        <v>3.56</v>
      </c>
      <c r="Z415" s="6">
        <v>1</v>
      </c>
      <c r="AA415" s="8">
        <v>45352</v>
      </c>
      <c r="AB415" s="4">
        <v>0</v>
      </c>
      <c r="AC415" s="6">
        <v>14.91</v>
      </c>
      <c r="AD415" s="6">
        <v>20.329999999999998</v>
      </c>
      <c r="AE415" s="1">
        <v>0</v>
      </c>
      <c r="AF415" s="1">
        <f ca="1">IFERROR(__xludf.DUMMYFUNCTION("IFERROR(GOOGLEFINANCE(TRIM(F415)&amp;"":"" &amp; TRIM(B415),""high52""),AE415)"),0)</f>
        <v>0</v>
      </c>
      <c r="AG415" s="1">
        <v>0</v>
      </c>
      <c r="AH415" s="1">
        <f ca="1">IFERROR(__xludf.DUMMYFUNCTION("IFERROR(GOOGLEFINANCE(TRIM(F415)&amp;"":"" &amp; TRIM(B415),""low52""),AE415)"),0)</f>
        <v>0</v>
      </c>
      <c r="AI415" s="1">
        <f ca="1">IFERROR(__xludf.DUMMYFUNCTION("IFERROR(GOOGLEFINANCE(B415,""eps""),0)"),0)</f>
        <v>0</v>
      </c>
      <c r="AJ415" s="1"/>
      <c r="AK415" s="1" t="s">
        <v>1335</v>
      </c>
      <c r="AL415" s="1" t="b">
        <f t="shared" si="90"/>
        <v>1</v>
      </c>
    </row>
    <row r="416" spans="1:38" ht="15" x14ac:dyDescent="0.25">
      <c r="A416" s="1" t="s">
        <v>1336</v>
      </c>
      <c r="B416" s="1" t="s">
        <v>1337</v>
      </c>
      <c r="C416" s="1" t="s">
        <v>521</v>
      </c>
      <c r="D416" s="1" t="s">
        <v>521</v>
      </c>
      <c r="E416" s="6">
        <v>124.71</v>
      </c>
      <c r="F416" s="1" t="s">
        <v>53</v>
      </c>
      <c r="G416" s="6">
        <f ca="1">IFERROR(__xludf.DUMMYFUNCTION("iferror(GOOGLEFINANCE(TRIM(F416)&amp;"":"" &amp; TRIM(B416), ""price""),0
)"),0)</f>
        <v>0</v>
      </c>
      <c r="H416" s="6">
        <v>135.15</v>
      </c>
      <c r="I416" s="6">
        <f t="shared" ca="1" si="0"/>
        <v>135.15</v>
      </c>
      <c r="J416" s="6">
        <f ca="1">IFERROR(__xludf.DUMMYFUNCTION("IFERROR(GOOGLEFINANCE(B416, ""volume""), 0)"),0)</f>
        <v>0</v>
      </c>
      <c r="K416" s="6">
        <v>-1.57</v>
      </c>
      <c r="L416" s="6">
        <f ca="1">IFERROR(__xludf.DUMMYFUNCTION("IFERROR(GOOGLEFINANCE(B416,""changepct""),K416)"),-1.57)</f>
        <v>-1.57</v>
      </c>
      <c r="M416" s="6">
        <f ca="1">IFERROR(__xludf.DUMMYFUNCTION("IFERROR(GOOGLEFINANCE(B416,""change""),0)"),0)</f>
        <v>0</v>
      </c>
      <c r="N416" s="6">
        <v>1</v>
      </c>
      <c r="O416" s="7">
        <v>45536</v>
      </c>
      <c r="P416" s="6">
        <v>9.18</v>
      </c>
      <c r="Q416" s="6">
        <v>133.88999999999999</v>
      </c>
      <c r="R416" s="7">
        <v>45536</v>
      </c>
      <c r="S416" s="6">
        <v>72.040000000000006</v>
      </c>
      <c r="T416" s="6">
        <v>10.88</v>
      </c>
      <c r="U416" s="7">
        <v>45536</v>
      </c>
      <c r="V416" s="6">
        <v>11.46</v>
      </c>
      <c r="W416" s="6">
        <f ca="1">IFERROR(__xludf.DUMMYFUNCTION("IFERROR(GOOGLEFINANCE(B416,""pe""),V416)"),11.46)</f>
        <v>11.46</v>
      </c>
      <c r="X416" s="6">
        <v>0.8</v>
      </c>
      <c r="Y416" s="6">
        <v>1.9</v>
      </c>
      <c r="Z416" s="6">
        <v>1</v>
      </c>
      <c r="AA416" s="8">
        <v>45352</v>
      </c>
      <c r="AB416" s="4">
        <v>0.26</v>
      </c>
      <c r="AC416" s="6">
        <v>10.220000000000001</v>
      </c>
      <c r="AD416" s="6">
        <v>12.39</v>
      </c>
      <c r="AE416" s="1">
        <v>0</v>
      </c>
      <c r="AF416" s="1">
        <f ca="1">IFERROR(__xludf.DUMMYFUNCTION("IFERROR(GOOGLEFINANCE(TRIM(F416)&amp;"":"" &amp; TRIM(B416),""high52""),AE416)"),0)</f>
        <v>0</v>
      </c>
      <c r="AG416" s="1">
        <v>0</v>
      </c>
      <c r="AH416" s="1">
        <f ca="1">IFERROR(__xludf.DUMMYFUNCTION("IFERROR(GOOGLEFINANCE(TRIM(F416)&amp;"":"" &amp; TRIM(B416),""low52""),AE416)"),0)</f>
        <v>0</v>
      </c>
      <c r="AI416" s="1">
        <f ca="1">IFERROR(__xludf.DUMMYFUNCTION("IFERROR(GOOGLEFINANCE(B416,""eps""),0)"),0)</f>
        <v>0</v>
      </c>
      <c r="AJ416" s="1"/>
      <c r="AK416" s="9"/>
      <c r="AL416" s="1" t="b">
        <f>ISBLANK(AB416)</f>
        <v>0</v>
      </c>
    </row>
    <row r="417" spans="1:38" ht="15" x14ac:dyDescent="0.25">
      <c r="A417" s="1" t="s">
        <v>1338</v>
      </c>
      <c r="B417" s="1" t="s">
        <v>1339</v>
      </c>
      <c r="C417" s="1" t="s">
        <v>373</v>
      </c>
      <c r="D417" s="1" t="s">
        <v>373</v>
      </c>
      <c r="E417" s="6">
        <v>81.58</v>
      </c>
      <c r="F417" s="1" t="s">
        <v>40</v>
      </c>
      <c r="G417" s="6">
        <f ca="1">IFERROR(__xludf.DUMMYFUNCTION("iferror(GOOGLEFINANCE(TRIM(F417)&amp;"":"" &amp; TRIM(B417), ""price""),0
)"),16.25)</f>
        <v>16.25</v>
      </c>
      <c r="H417" s="6">
        <v>25.57</v>
      </c>
      <c r="I417" s="6">
        <f t="shared" ca="1" si="0"/>
        <v>16.25</v>
      </c>
      <c r="J417" s="6">
        <f ca="1">IFERROR(__xludf.DUMMYFUNCTION("IFERROR(GOOGLEFINANCE(B417, ""volume""), 0)"),9860)</f>
        <v>9860</v>
      </c>
      <c r="K417" s="6">
        <v>0.16</v>
      </c>
      <c r="L417" s="6">
        <f ca="1">IFERROR(__xludf.DUMMYFUNCTION("IFERROR(GOOGLEFINANCE(B417,""changepct""),K417)"),-3.5)</f>
        <v>-3.5</v>
      </c>
      <c r="M417" s="6">
        <f ca="1">IFERROR(__xludf.DUMMYFUNCTION("IFERROR(GOOGLEFINANCE(B417,""change""),0)"),-0.59)</f>
        <v>-0.59</v>
      </c>
      <c r="N417" s="6">
        <v>1</v>
      </c>
      <c r="O417" s="7">
        <v>45536</v>
      </c>
      <c r="P417" s="6">
        <v>159.75</v>
      </c>
      <c r="Q417" s="6">
        <v>240.58</v>
      </c>
      <c r="R417" s="7">
        <v>45536</v>
      </c>
      <c r="S417" s="6">
        <v>3.72</v>
      </c>
      <c r="T417" s="6">
        <v>-28.68</v>
      </c>
      <c r="U417" s="7">
        <v>45536</v>
      </c>
      <c r="V417" s="6">
        <v>0</v>
      </c>
      <c r="W417" s="6">
        <f ca="1">IFERROR(__xludf.DUMMYFUNCTION("IFERROR(GOOGLEFINANCE(B417,""pe""),V417)"),35.74)</f>
        <v>35.74</v>
      </c>
      <c r="X417" s="6">
        <v>0</v>
      </c>
      <c r="Y417" s="6">
        <v>-0.42</v>
      </c>
      <c r="Z417" s="6">
        <v>1</v>
      </c>
      <c r="AA417" s="8">
        <v>45352</v>
      </c>
      <c r="AB417" s="4">
        <v>-0.97</v>
      </c>
      <c r="AC417" s="6">
        <v>0</v>
      </c>
      <c r="AD417" s="6">
        <v>-243.9</v>
      </c>
      <c r="AE417" s="1">
        <v>0</v>
      </c>
      <c r="AF417" s="1">
        <f ca="1">IFERROR(__xludf.DUMMYFUNCTION("IFERROR(GOOGLEFINANCE(TRIM(F417)&amp;"":"" &amp; TRIM(B417),""high52""),AE417)"),25.97)</f>
        <v>25.97</v>
      </c>
      <c r="AG417" s="1">
        <v>0</v>
      </c>
      <c r="AH417" s="1">
        <f ca="1">IFERROR(__xludf.DUMMYFUNCTION("IFERROR(GOOGLEFINANCE(TRIM(F417)&amp;"":"" &amp; TRIM(B417),""low52""),AE417)"),15.67)</f>
        <v>15.67</v>
      </c>
      <c r="AI417" s="1">
        <f ca="1">IFERROR(__xludf.DUMMYFUNCTION("IFERROR(GOOGLEFINANCE(B417,""eps""),0)"),0.45)</f>
        <v>0.45</v>
      </c>
      <c r="AJ417" s="1"/>
      <c r="AK417" s="1" t="s">
        <v>1340</v>
      </c>
      <c r="AL417" s="9">
        <f>IF(AA417&lt;&gt;AB417,1,0)</f>
        <v>1</v>
      </c>
    </row>
    <row r="418" spans="1:38" ht="15" x14ac:dyDescent="0.25">
      <c r="A418" s="1" t="s">
        <v>1341</v>
      </c>
      <c r="B418" s="1" t="s">
        <v>1342</v>
      </c>
      <c r="C418" s="1" t="s">
        <v>521</v>
      </c>
      <c r="D418" s="1" t="s">
        <v>521</v>
      </c>
      <c r="E418" s="6">
        <v>347.55</v>
      </c>
      <c r="F418" s="1" t="s">
        <v>53</v>
      </c>
      <c r="G418" s="6">
        <f ca="1">IFERROR(__xludf.DUMMYFUNCTION("iferror(GOOGLEFINANCE(TRIM(F418)&amp;"":"" &amp; TRIM(B418), ""price""),0
)"),0)</f>
        <v>0</v>
      </c>
      <c r="H418" s="6">
        <v>676</v>
      </c>
      <c r="I418" s="6">
        <f t="shared" ca="1" si="0"/>
        <v>676</v>
      </c>
      <c r="J418" s="6">
        <f ca="1">IFERROR(__xludf.DUMMYFUNCTION("IFERROR(GOOGLEFINANCE(B418, ""volume""), 0)"),0)</f>
        <v>0</v>
      </c>
      <c r="K418" s="9"/>
      <c r="L418" s="6" t="str">
        <f ca="1">IFERROR(__xludf.DUMMYFUNCTION("IFERROR(GOOGLEFINANCE(B418,""changepct""),K418)"),"")</f>
        <v/>
      </c>
      <c r="M418" s="6">
        <f ca="1">IFERROR(__xludf.DUMMYFUNCTION("IFERROR(GOOGLEFINANCE(B418,""change""),0)"),0)</f>
        <v>0</v>
      </c>
      <c r="N418" s="6">
        <v>1</v>
      </c>
      <c r="O418" s="7">
        <v>45536</v>
      </c>
      <c r="P418" s="6">
        <v>5.6</v>
      </c>
      <c r="Q418" s="6">
        <v>347.6</v>
      </c>
      <c r="R418" s="7">
        <v>45536</v>
      </c>
      <c r="S418" s="6">
        <v>151.06</v>
      </c>
      <c r="T418" s="6">
        <v>13.47</v>
      </c>
      <c r="U418" s="7">
        <v>45536</v>
      </c>
      <c r="V418" s="6">
        <v>25.79</v>
      </c>
      <c r="W418" s="6">
        <f ca="1">IFERROR(__xludf.DUMMYFUNCTION("IFERROR(GOOGLEFINANCE(B418,""pe""),V418)"),25.79)</f>
        <v>25.79</v>
      </c>
      <c r="X418" s="6">
        <v>0.72</v>
      </c>
      <c r="Y418" s="6">
        <v>4.4400000000000004</v>
      </c>
      <c r="Z418" s="6">
        <v>1</v>
      </c>
      <c r="AA418" s="8">
        <v>45352</v>
      </c>
      <c r="AB418" s="4">
        <v>7.0000000000000007E-2</v>
      </c>
      <c r="AC418" s="6">
        <v>18.43</v>
      </c>
      <c r="AD418" s="6">
        <v>21.42</v>
      </c>
      <c r="AE418" s="1">
        <v>0</v>
      </c>
      <c r="AF418" s="1">
        <f ca="1">IFERROR(__xludf.DUMMYFUNCTION("IFERROR(GOOGLEFINANCE(TRIM(F418)&amp;"":"" &amp; TRIM(B418),""high52""),AE418)"),0)</f>
        <v>0</v>
      </c>
      <c r="AG418" s="1">
        <v>0</v>
      </c>
      <c r="AH418" s="1">
        <f ca="1">IFERROR(__xludf.DUMMYFUNCTION("IFERROR(GOOGLEFINANCE(TRIM(F418)&amp;"":"" &amp; TRIM(B418),""low52""),AE418)"),0)</f>
        <v>0</v>
      </c>
      <c r="AI418" s="1">
        <f ca="1">IFERROR(__xludf.DUMMYFUNCTION("IFERROR(GOOGLEFINANCE(B418,""eps""),0)"),0)</f>
        <v>0</v>
      </c>
      <c r="AJ418" s="1"/>
      <c r="AK418" s="1" t="s">
        <v>1343</v>
      </c>
      <c r="AL418" s="1" t="b">
        <f>ISNUMBER(AA418)</f>
        <v>1</v>
      </c>
    </row>
    <row r="419" spans="1:38" ht="15" x14ac:dyDescent="0.25">
      <c r="A419" s="1" t="s">
        <v>1344</v>
      </c>
      <c r="B419" s="1" t="s">
        <v>1345</v>
      </c>
      <c r="C419" s="1" t="s">
        <v>64</v>
      </c>
      <c r="D419" s="1" t="s">
        <v>64</v>
      </c>
      <c r="E419" s="6">
        <v>3803.13</v>
      </c>
      <c r="F419" s="1" t="s">
        <v>40</v>
      </c>
      <c r="G419" s="6">
        <f ca="1">IFERROR(__xludf.DUMMYFUNCTION("iferror(GOOGLEFINANCE(TRIM(F419)&amp;"":"" &amp; TRIM(B419), ""price""),0
)"),175.5)</f>
        <v>175.5</v>
      </c>
      <c r="H419" s="6">
        <v>223.28</v>
      </c>
      <c r="I419" s="6">
        <f t="shared" ca="1" si="0"/>
        <v>175.5</v>
      </c>
      <c r="J419" s="6">
        <f ca="1">IFERROR(__xludf.DUMMYFUNCTION("IFERROR(GOOGLEFINANCE(B419, ""volume""), 0)"),111895)</f>
        <v>111895</v>
      </c>
      <c r="K419" s="6">
        <v>0.38</v>
      </c>
      <c r="L419" s="6">
        <f ca="1">IFERROR(__xludf.DUMMYFUNCTION("IFERROR(GOOGLEFINANCE(B419,""changepct""),K419)"),0.23)</f>
        <v>0.23</v>
      </c>
      <c r="M419" s="6">
        <f ca="1">IFERROR(__xludf.DUMMYFUNCTION("IFERROR(GOOGLEFINANCE(B419,""change""),0)"),0.4)</f>
        <v>0.4</v>
      </c>
      <c r="N419" s="6">
        <v>2</v>
      </c>
      <c r="O419" s="7">
        <v>45536</v>
      </c>
      <c r="P419" s="6">
        <v>92.74</v>
      </c>
      <c r="Q419" s="6">
        <v>3562.32</v>
      </c>
      <c r="R419" s="7">
        <v>45536</v>
      </c>
      <c r="S419" s="6">
        <v>2438.39</v>
      </c>
      <c r="T419" s="6">
        <v>198</v>
      </c>
      <c r="U419" s="7">
        <v>45536</v>
      </c>
      <c r="V419" s="6">
        <v>14.26</v>
      </c>
      <c r="W419" s="6">
        <f ca="1">IFERROR(__xludf.DUMMYFUNCTION("IFERROR(GOOGLEFINANCE(B419,""pe""),V419)"),11.32)</f>
        <v>11.32</v>
      </c>
      <c r="X419" s="6">
        <v>2.5499999999999998</v>
      </c>
      <c r="Y419" s="6">
        <v>2.13</v>
      </c>
      <c r="Z419" s="6">
        <v>2</v>
      </c>
      <c r="AA419" s="8">
        <v>45352</v>
      </c>
      <c r="AB419" s="4">
        <v>0.04</v>
      </c>
      <c r="AC419" s="6">
        <v>11.38</v>
      </c>
      <c r="AD419" s="6">
        <v>16.170000000000002</v>
      </c>
      <c r="AE419" s="1">
        <v>0</v>
      </c>
      <c r="AF419" s="1">
        <f ca="1">IFERROR(__xludf.DUMMYFUNCTION("IFERROR(GOOGLEFINANCE(TRIM(F419)&amp;"":"" &amp; TRIM(B419),""high52""),AE419)"),238.2)</f>
        <v>238.2</v>
      </c>
      <c r="AG419" s="1">
        <v>0</v>
      </c>
      <c r="AH419" s="1">
        <f ca="1">IFERROR(__xludf.DUMMYFUNCTION("IFERROR(GOOGLEFINANCE(TRIM(F419)&amp;"":"" &amp; TRIM(B419),""low52""),AE419)"),146.6)</f>
        <v>146.6</v>
      </c>
      <c r="AI419" s="1">
        <f ca="1">IFERROR(__xludf.DUMMYFUNCTION("IFERROR(GOOGLEFINANCE(B419,""eps""),0)"),15.5)</f>
        <v>15.5</v>
      </c>
      <c r="AJ419" s="1"/>
      <c r="AK419" s="1" t="s">
        <v>1346</v>
      </c>
      <c r="AL419" s="9">
        <f>IF(AA419&lt;&gt;AB419,1,0)</f>
        <v>1</v>
      </c>
    </row>
    <row r="420" spans="1:38" ht="15" x14ac:dyDescent="0.25">
      <c r="A420" s="1" t="s">
        <v>1347</v>
      </c>
      <c r="B420" s="1" t="s">
        <v>1348</v>
      </c>
      <c r="C420" s="1" t="s">
        <v>521</v>
      </c>
      <c r="D420" s="1" t="s">
        <v>521</v>
      </c>
      <c r="E420" s="6">
        <v>223.32</v>
      </c>
      <c r="F420" s="1" t="s">
        <v>53</v>
      </c>
      <c r="G420" s="6">
        <f ca="1">IFERROR(__xludf.DUMMYFUNCTION("iferror(GOOGLEFINANCE(TRIM(F420)&amp;"":"" &amp; TRIM(B420), ""price""),0
)"),0)</f>
        <v>0</v>
      </c>
      <c r="H420" s="6">
        <v>306</v>
      </c>
      <c r="I420" s="6">
        <f t="shared" ca="1" si="0"/>
        <v>306</v>
      </c>
      <c r="J420" s="6">
        <f ca="1">IFERROR(__xludf.DUMMYFUNCTION("IFERROR(GOOGLEFINANCE(B420, ""volume""), 0)"),0)</f>
        <v>0</v>
      </c>
      <c r="K420" s="6">
        <v>-2.86</v>
      </c>
      <c r="L420" s="6">
        <f ca="1">IFERROR(__xludf.DUMMYFUNCTION("IFERROR(GOOGLEFINANCE(B420,""changepct""),K420)"),-2.86)</f>
        <v>-2.86</v>
      </c>
      <c r="M420" s="6">
        <f ca="1">IFERROR(__xludf.DUMMYFUNCTION("IFERROR(GOOGLEFINANCE(B420,""change""),0)"),0)</f>
        <v>0</v>
      </c>
      <c r="N420" s="6">
        <v>1</v>
      </c>
      <c r="O420" s="7">
        <v>45536</v>
      </c>
      <c r="P420" s="6">
        <v>69.86</v>
      </c>
      <c r="Q420" s="6">
        <v>290.32</v>
      </c>
      <c r="R420" s="7">
        <v>45536</v>
      </c>
      <c r="S420" s="6">
        <v>117.82</v>
      </c>
      <c r="T420" s="6">
        <v>6.99</v>
      </c>
      <c r="U420" s="7">
        <v>45536</v>
      </c>
      <c r="V420" s="6">
        <v>31.94</v>
      </c>
      <c r="W420" s="6">
        <f ca="1">IFERROR(__xludf.DUMMYFUNCTION("IFERROR(GOOGLEFINANCE(B420,""pe""),V420)"),31.94)</f>
        <v>31.94</v>
      </c>
      <c r="X420" s="6">
        <v>2.0099999999999998</v>
      </c>
      <c r="Y420" s="6">
        <v>4.82</v>
      </c>
      <c r="Z420" s="6">
        <v>1</v>
      </c>
      <c r="AA420" s="8">
        <v>45352</v>
      </c>
      <c r="AB420" s="4">
        <v>2.16</v>
      </c>
      <c r="AC420" s="6">
        <v>7.52</v>
      </c>
      <c r="AD420" s="6">
        <v>11.67</v>
      </c>
      <c r="AE420" s="1">
        <v>0</v>
      </c>
      <c r="AF420" s="1">
        <f ca="1">IFERROR(__xludf.DUMMYFUNCTION("IFERROR(GOOGLEFINANCE(TRIM(F420)&amp;"":"" &amp; TRIM(B420),""high52""),AE420)"),0)</f>
        <v>0</v>
      </c>
      <c r="AG420" s="1">
        <v>0</v>
      </c>
      <c r="AH420" s="1">
        <f ca="1">IFERROR(__xludf.DUMMYFUNCTION("IFERROR(GOOGLEFINANCE(TRIM(F420)&amp;"":"" &amp; TRIM(B420),""low52""),AE420)"),0)</f>
        <v>0</v>
      </c>
      <c r="AI420" s="1">
        <f ca="1">IFERROR(__xludf.DUMMYFUNCTION("IFERROR(GOOGLEFINANCE(B420,""eps""),0)"),0)</f>
        <v>0</v>
      </c>
      <c r="AJ420" s="1"/>
      <c r="AK420" s="1" t="s">
        <v>1349</v>
      </c>
      <c r="AL420" s="1" t="b">
        <f>ISNUMBER(AA420)</f>
        <v>1</v>
      </c>
    </row>
    <row r="421" spans="1:38" ht="15" x14ac:dyDescent="0.25">
      <c r="A421" s="1" t="s">
        <v>1350</v>
      </c>
      <c r="B421" s="1" t="s">
        <v>1351</v>
      </c>
      <c r="C421" s="1" t="s">
        <v>1118</v>
      </c>
      <c r="D421" s="1" t="s">
        <v>1118</v>
      </c>
      <c r="E421" s="6">
        <v>10640.25</v>
      </c>
      <c r="F421" s="1" t="s">
        <v>40</v>
      </c>
      <c r="G421" s="6">
        <f ca="1">IFERROR(__xludf.DUMMYFUNCTION("iferror(GOOGLEFINANCE(TRIM(F421)&amp;"":"" &amp; TRIM(B421), ""price""),0
)"),419.05)</f>
        <v>419.05</v>
      </c>
      <c r="H421" s="6">
        <v>526.1</v>
      </c>
      <c r="I421" s="6">
        <f t="shared" ca="1" si="0"/>
        <v>419.05</v>
      </c>
      <c r="J421" s="6">
        <f ca="1">IFERROR(__xludf.DUMMYFUNCTION("IFERROR(GOOGLEFINANCE(B421, ""volume""), 0)"),332951)</f>
        <v>332951</v>
      </c>
      <c r="K421" s="6">
        <v>-0.17</v>
      </c>
      <c r="L421" s="6">
        <f ca="1">IFERROR(__xludf.DUMMYFUNCTION("IFERROR(GOOGLEFINANCE(B421,""changepct""),K421)"),-0.9)</f>
        <v>-0.9</v>
      </c>
      <c r="M421" s="6">
        <f ca="1">IFERROR(__xludf.DUMMYFUNCTION("IFERROR(GOOGLEFINANCE(B421,""change""),0)"),-3.8)</f>
        <v>-3.8</v>
      </c>
      <c r="N421" s="6">
        <v>2</v>
      </c>
      <c r="O421" s="7">
        <v>45536</v>
      </c>
      <c r="P421" s="6">
        <v>603.35</v>
      </c>
      <c r="Q421" s="6">
        <v>11207.88</v>
      </c>
      <c r="R421" s="7">
        <v>45536</v>
      </c>
      <c r="S421" s="6">
        <v>5384.19</v>
      </c>
      <c r="T421" s="6">
        <v>402.72</v>
      </c>
      <c r="U421" s="7">
        <v>45536</v>
      </c>
      <c r="V421" s="6">
        <v>24.63</v>
      </c>
      <c r="W421" s="6">
        <f ca="1">IFERROR(__xludf.DUMMYFUNCTION("IFERROR(GOOGLEFINANCE(B421,""pe""),V421)"),20.99)</f>
        <v>20.99</v>
      </c>
      <c r="X421" s="6">
        <v>-16.64</v>
      </c>
      <c r="Y421" s="6">
        <v>3</v>
      </c>
      <c r="Z421" s="6">
        <v>2</v>
      </c>
      <c r="AA421" s="8">
        <v>45352</v>
      </c>
      <c r="AB421" s="4">
        <v>0.59</v>
      </c>
      <c r="AC421" s="6">
        <v>17.04</v>
      </c>
      <c r="AD421" s="6">
        <v>16.22</v>
      </c>
      <c r="AE421" s="1">
        <v>0</v>
      </c>
      <c r="AF421" s="1">
        <f ca="1">IFERROR(__xludf.DUMMYFUNCTION("IFERROR(GOOGLEFINANCE(TRIM(F421)&amp;"":"" &amp; TRIM(B421),""high52""),AE421)"),627.8)</f>
        <v>627.79999999999995</v>
      </c>
      <c r="AG421" s="1">
        <v>0</v>
      </c>
      <c r="AH421" s="1">
        <f ca="1">IFERROR(__xludf.DUMMYFUNCTION("IFERROR(GOOGLEFINANCE(TRIM(F421)&amp;"":"" &amp; TRIM(B421),""low52""),AE421)"),393.55)</f>
        <v>393.55</v>
      </c>
      <c r="AI421" s="1">
        <f ca="1">IFERROR(__xludf.DUMMYFUNCTION("IFERROR(GOOGLEFINANCE(B421,""eps""),0)"),19.96)</f>
        <v>19.96</v>
      </c>
      <c r="AJ421" s="1"/>
      <c r="AK421" s="1" t="s">
        <v>1352</v>
      </c>
      <c r="AL421" s="9">
        <f t="shared" ref="AL421:AL422" si="91">IF(AA421&lt;&gt;AB421,1,0)</f>
        <v>1</v>
      </c>
    </row>
    <row r="422" spans="1:38" ht="15" x14ac:dyDescent="0.25">
      <c r="A422" s="1" t="s">
        <v>1353</v>
      </c>
      <c r="B422" s="1" t="s">
        <v>1354</v>
      </c>
      <c r="C422" s="1" t="s">
        <v>416</v>
      </c>
      <c r="D422" s="1" t="s">
        <v>416</v>
      </c>
      <c r="E422" s="6">
        <v>8644.27</v>
      </c>
      <c r="F422" s="1" t="s">
        <v>40</v>
      </c>
      <c r="G422" s="6">
        <f ca="1">IFERROR(__xludf.DUMMYFUNCTION("iferror(GOOGLEFINANCE(TRIM(F422)&amp;"":"" &amp; TRIM(B422), ""price""),0
)"),414.3)</f>
        <v>414.3</v>
      </c>
      <c r="H422" s="6">
        <v>787.1</v>
      </c>
      <c r="I422" s="6">
        <f t="shared" ca="1" si="0"/>
        <v>414.3</v>
      </c>
      <c r="J422" s="6">
        <f ca="1">IFERROR(__xludf.DUMMYFUNCTION("IFERROR(GOOGLEFINANCE(B422, ""volume""), 0)"),1042881)</f>
        <v>1042881</v>
      </c>
      <c r="K422" s="6">
        <v>-0.44</v>
      </c>
      <c r="L422" s="6">
        <f ca="1">IFERROR(__xludf.DUMMYFUNCTION("IFERROR(GOOGLEFINANCE(B422,""changepct""),K422)"),-1.43)</f>
        <v>-1.43</v>
      </c>
      <c r="M422" s="6">
        <f ca="1">IFERROR(__xludf.DUMMYFUNCTION("IFERROR(GOOGLEFINANCE(B422,""change""),0)"),-6)</f>
        <v>-6</v>
      </c>
      <c r="N422" s="6">
        <v>2</v>
      </c>
      <c r="O422" s="7">
        <v>45536</v>
      </c>
      <c r="P422" s="6">
        <v>54.93</v>
      </c>
      <c r="Q422" s="6">
        <v>8464.8799999999992</v>
      </c>
      <c r="R422" s="7">
        <v>45536</v>
      </c>
      <c r="S422" s="6">
        <v>706.43</v>
      </c>
      <c r="T422" s="6">
        <v>136.04</v>
      </c>
      <c r="U422" s="7">
        <v>45536</v>
      </c>
      <c r="V422" s="6">
        <v>63.54</v>
      </c>
      <c r="W422" s="6">
        <f ca="1">IFERROR(__xludf.DUMMYFUNCTION("IFERROR(GOOGLEFINANCE(B422,""pe""),V422)"),19.24)</f>
        <v>19.239999999999998</v>
      </c>
      <c r="X422" s="9"/>
      <c r="Y422" s="6">
        <v>9.4700000000000006</v>
      </c>
      <c r="Z422" s="6">
        <v>2</v>
      </c>
      <c r="AA422" s="8">
        <v>45352</v>
      </c>
      <c r="AB422" s="4">
        <v>0.09</v>
      </c>
      <c r="AC422" s="6">
        <v>25.75</v>
      </c>
      <c r="AD422" s="6">
        <v>29.97</v>
      </c>
      <c r="AE422" s="1">
        <v>0</v>
      </c>
      <c r="AF422" s="1">
        <f ca="1">IFERROR(__xludf.DUMMYFUNCTION("IFERROR(GOOGLEFINANCE(TRIM(F422)&amp;"":"" &amp; TRIM(B422),""high52""),AE422)"),784)</f>
        <v>784</v>
      </c>
      <c r="AG422" s="1">
        <v>0</v>
      </c>
      <c r="AH422" s="1">
        <f ca="1">IFERROR(__xludf.DUMMYFUNCTION("IFERROR(GOOGLEFINANCE(TRIM(F422)&amp;"":"" &amp; TRIM(B422),""low52""),AE422)"),341.05)</f>
        <v>341.05</v>
      </c>
      <c r="AI422" s="1">
        <f ca="1">IFERROR(__xludf.DUMMYFUNCTION("IFERROR(GOOGLEFINANCE(B422,""eps""),0)"),21.53)</f>
        <v>21.53</v>
      </c>
      <c r="AJ422" s="1"/>
      <c r="AK422" s="1" t="s">
        <v>1355</v>
      </c>
      <c r="AL422" s="9">
        <f t="shared" si="91"/>
        <v>1</v>
      </c>
    </row>
    <row r="423" spans="1:38" ht="15" x14ac:dyDescent="0.25">
      <c r="A423" s="1" t="s">
        <v>1356</v>
      </c>
      <c r="B423" s="1" t="s">
        <v>1357</v>
      </c>
      <c r="C423" s="1" t="s">
        <v>521</v>
      </c>
      <c r="D423" s="1" t="s">
        <v>521</v>
      </c>
      <c r="E423" s="6">
        <v>545.5</v>
      </c>
      <c r="F423" s="1" t="s">
        <v>53</v>
      </c>
      <c r="G423" s="6">
        <f ca="1">IFERROR(__xludf.DUMMYFUNCTION("iferror(GOOGLEFINANCE(TRIM(F423)&amp;"":"" &amp; TRIM(B423), ""price""),0
)"),0)</f>
        <v>0</v>
      </c>
      <c r="H423" s="6">
        <v>2770.95</v>
      </c>
      <c r="I423" s="6">
        <f t="shared" ca="1" si="0"/>
        <v>2770.95</v>
      </c>
      <c r="J423" s="6">
        <f ca="1">IFERROR(__xludf.DUMMYFUNCTION("IFERROR(GOOGLEFINANCE(B423, ""volume""), 0)"),0)</f>
        <v>0</v>
      </c>
      <c r="K423" s="6">
        <v>0.32</v>
      </c>
      <c r="L423" s="6">
        <f ca="1">IFERROR(__xludf.DUMMYFUNCTION("IFERROR(GOOGLEFINANCE(B423,""changepct""),K423)"),0.32)</f>
        <v>0.32</v>
      </c>
      <c r="M423" s="6">
        <f ca="1">IFERROR(__xludf.DUMMYFUNCTION("IFERROR(GOOGLEFINANCE(B423,""change""),0)"),0)</f>
        <v>0</v>
      </c>
      <c r="N423" s="6">
        <v>1</v>
      </c>
      <c r="O423" s="7">
        <v>45536</v>
      </c>
      <c r="P423" s="6">
        <v>10.5</v>
      </c>
      <c r="Q423" s="6">
        <v>542.51</v>
      </c>
      <c r="R423" s="7">
        <v>45536</v>
      </c>
      <c r="S423" s="6">
        <v>169.27</v>
      </c>
      <c r="T423" s="6">
        <v>29.54</v>
      </c>
      <c r="U423" s="7">
        <v>45536</v>
      </c>
      <c r="V423" s="6">
        <v>18.47</v>
      </c>
      <c r="W423" s="6">
        <f ca="1">IFERROR(__xludf.DUMMYFUNCTION("IFERROR(GOOGLEFINANCE(B423,""pe""),V423)"),18.47)</f>
        <v>18.47</v>
      </c>
      <c r="X423" s="6">
        <v>0.61</v>
      </c>
      <c r="Y423" s="6">
        <v>4.4000000000000004</v>
      </c>
      <c r="Z423" s="6">
        <v>1</v>
      </c>
      <c r="AA423" s="8">
        <v>45352</v>
      </c>
      <c r="AB423" s="4">
        <v>0.15</v>
      </c>
      <c r="AC423" s="6">
        <v>36.409999999999997</v>
      </c>
      <c r="AD423" s="6">
        <v>43.78</v>
      </c>
      <c r="AE423" s="1">
        <v>0</v>
      </c>
      <c r="AF423" s="1">
        <f ca="1">IFERROR(__xludf.DUMMYFUNCTION("IFERROR(GOOGLEFINANCE(TRIM(F423)&amp;"":"" &amp; TRIM(B423),""high52""),AE423)"),0)</f>
        <v>0</v>
      </c>
      <c r="AG423" s="1">
        <v>0</v>
      </c>
      <c r="AH423" s="1">
        <f ca="1">IFERROR(__xludf.DUMMYFUNCTION("IFERROR(GOOGLEFINANCE(TRIM(F423)&amp;"":"" &amp; TRIM(B423),""low52""),AE423)"),0)</f>
        <v>0</v>
      </c>
      <c r="AI423" s="1">
        <f ca="1">IFERROR(__xludf.DUMMYFUNCTION("IFERROR(GOOGLEFINANCE(B423,""eps""),0)"),0)</f>
        <v>0</v>
      </c>
      <c r="AJ423" s="1"/>
      <c r="AK423" s="1" t="s">
        <v>1358</v>
      </c>
      <c r="AL423" s="1" t="b">
        <f t="shared" ref="AL423:AL425" si="92">ISNUMBER(AA423)</f>
        <v>1</v>
      </c>
    </row>
    <row r="424" spans="1:38" ht="15" x14ac:dyDescent="0.25">
      <c r="A424" s="1" t="s">
        <v>1359</v>
      </c>
      <c r="B424" s="1" t="s">
        <v>1360</v>
      </c>
      <c r="C424" s="1" t="s">
        <v>521</v>
      </c>
      <c r="D424" s="1" t="s">
        <v>521</v>
      </c>
      <c r="E424" s="6">
        <v>119.41</v>
      </c>
      <c r="F424" s="1" t="s">
        <v>53</v>
      </c>
      <c r="G424" s="6">
        <f ca="1">IFERROR(__xludf.DUMMYFUNCTION("iferror(GOOGLEFINANCE(TRIM(F424)&amp;"":"" &amp; TRIM(B424), ""price""),0
)"),0)</f>
        <v>0</v>
      </c>
      <c r="H424" s="6">
        <v>97.34</v>
      </c>
      <c r="I424" s="6">
        <f t="shared" ca="1" si="0"/>
        <v>97.34</v>
      </c>
      <c r="J424" s="6">
        <f ca="1">IFERROR(__xludf.DUMMYFUNCTION("IFERROR(GOOGLEFINANCE(B424, ""volume""), 0)"),0)</f>
        <v>0</v>
      </c>
      <c r="K424" s="6">
        <v>1.36</v>
      </c>
      <c r="L424" s="6">
        <f ca="1">IFERROR(__xludf.DUMMYFUNCTION("IFERROR(GOOGLEFINANCE(B424,""changepct""),K424)"),1.36)</f>
        <v>1.36</v>
      </c>
      <c r="M424" s="6">
        <f ca="1">IFERROR(__xludf.DUMMYFUNCTION("IFERROR(GOOGLEFINANCE(B424,""change""),0)"),0)</f>
        <v>0</v>
      </c>
      <c r="N424" s="6">
        <v>1</v>
      </c>
      <c r="O424" s="7">
        <v>45536</v>
      </c>
      <c r="P424" s="6">
        <v>43.19</v>
      </c>
      <c r="Q424" s="6">
        <v>162.6</v>
      </c>
      <c r="R424" s="7">
        <v>45536</v>
      </c>
      <c r="S424" s="6">
        <v>188.06</v>
      </c>
      <c r="T424" s="6">
        <v>2.21</v>
      </c>
      <c r="U424" s="7">
        <v>45536</v>
      </c>
      <c r="V424" s="6">
        <v>54.03</v>
      </c>
      <c r="W424" s="6">
        <f ca="1">IFERROR(__xludf.DUMMYFUNCTION("IFERROR(GOOGLEFINANCE(B424,""pe""),V424)"),54.03)</f>
        <v>54.03</v>
      </c>
      <c r="X424" s="6">
        <v>-6.28</v>
      </c>
      <c r="Y424" s="6">
        <v>1.7</v>
      </c>
      <c r="Z424" s="6">
        <v>1</v>
      </c>
      <c r="AA424" s="8">
        <v>45352</v>
      </c>
      <c r="AB424" s="4">
        <v>0.54</v>
      </c>
      <c r="AC424" s="6">
        <v>7.76</v>
      </c>
      <c r="AD424" s="6">
        <v>8.56</v>
      </c>
      <c r="AE424" s="1">
        <v>0</v>
      </c>
      <c r="AF424" s="1">
        <f ca="1">IFERROR(__xludf.DUMMYFUNCTION("IFERROR(GOOGLEFINANCE(TRIM(F424)&amp;"":"" &amp; TRIM(B424),""high52""),AE424)"),0)</f>
        <v>0</v>
      </c>
      <c r="AG424" s="1">
        <v>0</v>
      </c>
      <c r="AH424" s="1">
        <f ca="1">IFERROR(__xludf.DUMMYFUNCTION("IFERROR(GOOGLEFINANCE(TRIM(F424)&amp;"":"" &amp; TRIM(B424),""low52""),AE424)"),0)</f>
        <v>0</v>
      </c>
      <c r="AI424" s="1">
        <f ca="1">IFERROR(__xludf.DUMMYFUNCTION("IFERROR(GOOGLEFINANCE(B424,""eps""),0)"),0)</f>
        <v>0</v>
      </c>
      <c r="AJ424" s="1"/>
      <c r="AK424" s="1" t="s">
        <v>1361</v>
      </c>
      <c r="AL424" s="1" t="b">
        <f t="shared" si="92"/>
        <v>1</v>
      </c>
    </row>
    <row r="425" spans="1:38" ht="15" x14ac:dyDescent="0.25">
      <c r="A425" s="1" t="s">
        <v>1362</v>
      </c>
      <c r="B425" s="1" t="s">
        <v>1363</v>
      </c>
      <c r="C425" s="1" t="s">
        <v>521</v>
      </c>
      <c r="D425" s="1" t="s">
        <v>521</v>
      </c>
      <c r="E425" s="6">
        <v>84.36</v>
      </c>
      <c r="F425" s="1" t="s">
        <v>53</v>
      </c>
      <c r="G425" s="6">
        <f ca="1">IFERROR(__xludf.DUMMYFUNCTION("iferror(GOOGLEFINANCE(TRIM(F425)&amp;"":"" &amp; TRIM(B425), ""price""),0
)"),0)</f>
        <v>0</v>
      </c>
      <c r="H425" s="6">
        <v>1369.9</v>
      </c>
      <c r="I425" s="6">
        <f t="shared" ca="1" si="0"/>
        <v>1369.9</v>
      </c>
      <c r="J425" s="6">
        <f ca="1">IFERROR(__xludf.DUMMYFUNCTION("IFERROR(GOOGLEFINANCE(B425, ""volume""), 0)"),0)</f>
        <v>0</v>
      </c>
      <c r="K425" s="6">
        <v>3.62</v>
      </c>
      <c r="L425" s="6">
        <f ca="1">IFERROR(__xludf.DUMMYFUNCTION("IFERROR(GOOGLEFINANCE(B425,""changepct""),K425)"),3.62)</f>
        <v>3.62</v>
      </c>
      <c r="M425" s="6">
        <f ca="1">IFERROR(__xludf.DUMMYFUNCTION("IFERROR(GOOGLEFINANCE(B425,""change""),0)"),0)</f>
        <v>0</v>
      </c>
      <c r="N425" s="6">
        <v>1</v>
      </c>
      <c r="O425" s="7">
        <v>45536</v>
      </c>
      <c r="P425" s="9"/>
      <c r="Q425" s="6">
        <v>84</v>
      </c>
      <c r="R425" s="7">
        <v>45536</v>
      </c>
      <c r="S425" s="6">
        <v>86.41</v>
      </c>
      <c r="T425" s="6">
        <v>1.93</v>
      </c>
      <c r="U425" s="7">
        <v>45536</v>
      </c>
      <c r="V425" s="6">
        <v>43.74</v>
      </c>
      <c r="W425" s="6">
        <f ca="1">IFERROR(__xludf.DUMMYFUNCTION("IFERROR(GOOGLEFINANCE(B425,""pe""),V425)"),43.74)</f>
        <v>43.74</v>
      </c>
      <c r="X425" s="6">
        <v>4.12</v>
      </c>
      <c r="Y425" s="6">
        <v>2.14</v>
      </c>
      <c r="Z425" s="6">
        <v>1</v>
      </c>
      <c r="AA425" s="8">
        <v>45352</v>
      </c>
      <c r="AB425" s="4">
        <v>0</v>
      </c>
      <c r="AC425" s="6">
        <v>13.88</v>
      </c>
      <c r="AD425" s="6">
        <v>19.34</v>
      </c>
      <c r="AE425" s="1">
        <v>0</v>
      </c>
      <c r="AF425" s="1">
        <f ca="1">IFERROR(__xludf.DUMMYFUNCTION("IFERROR(GOOGLEFINANCE(TRIM(F425)&amp;"":"" &amp; TRIM(B425),""high52""),AE425)"),0)</f>
        <v>0</v>
      </c>
      <c r="AG425" s="1">
        <v>0</v>
      </c>
      <c r="AH425" s="1">
        <f ca="1">IFERROR(__xludf.DUMMYFUNCTION("IFERROR(GOOGLEFINANCE(TRIM(F425)&amp;"":"" &amp; TRIM(B425),""low52""),AE425)"),0)</f>
        <v>0</v>
      </c>
      <c r="AI425" s="1">
        <f ca="1">IFERROR(__xludf.DUMMYFUNCTION("IFERROR(GOOGLEFINANCE(B425,""eps""),0)"),0)</f>
        <v>0</v>
      </c>
      <c r="AJ425" s="1"/>
      <c r="AK425" s="1" t="s">
        <v>1364</v>
      </c>
      <c r="AL425" s="1" t="b">
        <f t="shared" si="92"/>
        <v>1</v>
      </c>
    </row>
    <row r="426" spans="1:38" ht="15" x14ac:dyDescent="0.25">
      <c r="A426" s="1" t="s">
        <v>1365</v>
      </c>
      <c r="B426" s="1" t="s">
        <v>1366</v>
      </c>
      <c r="C426" s="1" t="s">
        <v>473</v>
      </c>
      <c r="D426" s="1" t="s">
        <v>473</v>
      </c>
      <c r="E426" s="6">
        <v>85.08</v>
      </c>
      <c r="F426" s="1" t="s">
        <v>40</v>
      </c>
      <c r="G426" s="6">
        <f ca="1">IFERROR(__xludf.DUMMYFUNCTION("iferror(GOOGLEFINANCE(TRIM(F426)&amp;"":"" &amp; TRIM(B426), ""price""),0
)"),111.16)</f>
        <v>111.16</v>
      </c>
      <c r="H426" s="6">
        <v>128</v>
      </c>
      <c r="I426" s="6">
        <f t="shared" ca="1" si="0"/>
        <v>111.16</v>
      </c>
      <c r="J426" s="6">
        <f ca="1">IFERROR(__xludf.DUMMYFUNCTION("IFERROR(GOOGLEFINANCE(B426, ""volume""), 0)"),1270)</f>
        <v>1270</v>
      </c>
      <c r="K426" s="6">
        <v>0.26</v>
      </c>
      <c r="L426" s="6">
        <f ca="1">IFERROR(__xludf.DUMMYFUNCTION("IFERROR(GOOGLEFINANCE(B426,""changepct""),K426)"),-0.96)</f>
        <v>-0.96</v>
      </c>
      <c r="M426" s="6">
        <f ca="1">IFERROR(__xludf.DUMMYFUNCTION("IFERROR(GOOGLEFINANCE(B426,""change""),0)"),-1.08)</f>
        <v>-1.08</v>
      </c>
      <c r="N426" s="6">
        <v>1</v>
      </c>
      <c r="O426" s="7">
        <v>45536</v>
      </c>
      <c r="P426" s="6">
        <v>15.88</v>
      </c>
      <c r="Q426" s="6">
        <v>90.77</v>
      </c>
      <c r="R426" s="7">
        <v>45536</v>
      </c>
      <c r="S426" s="6">
        <v>31.12</v>
      </c>
      <c r="T426" s="6">
        <v>3.15</v>
      </c>
      <c r="U426" s="7">
        <v>45536</v>
      </c>
      <c r="V426" s="6">
        <v>27.03</v>
      </c>
      <c r="W426" s="6">
        <f ca="1">IFERROR(__xludf.DUMMYFUNCTION("IFERROR(GOOGLEFINANCE(B426,""pe""),V426)"),41.01)</f>
        <v>41.01</v>
      </c>
      <c r="X426" s="6">
        <v>1.43</v>
      </c>
      <c r="Y426" s="6">
        <v>1.51</v>
      </c>
      <c r="Z426" s="6">
        <v>1</v>
      </c>
      <c r="AA426" s="8">
        <v>45352</v>
      </c>
      <c r="AB426" s="4">
        <v>0.06</v>
      </c>
      <c r="AC426" s="6">
        <v>5.14</v>
      </c>
      <c r="AD426" s="6">
        <v>7.14</v>
      </c>
      <c r="AE426" s="1">
        <v>0</v>
      </c>
      <c r="AF426" s="1">
        <f ca="1">IFERROR(__xludf.DUMMYFUNCTION("IFERROR(GOOGLEFINANCE(TRIM(F426)&amp;"":"" &amp; TRIM(B426),""high52""),AE426)"),164.7)</f>
        <v>164.7</v>
      </c>
      <c r="AG426" s="1">
        <v>0</v>
      </c>
      <c r="AH426" s="1">
        <f ca="1">IFERROR(__xludf.DUMMYFUNCTION("IFERROR(GOOGLEFINANCE(TRIM(F426)&amp;"":"" &amp; TRIM(B426),""low52""),AE426)"),97)</f>
        <v>97</v>
      </c>
      <c r="AI426" s="1">
        <f ca="1">IFERROR(__xludf.DUMMYFUNCTION("IFERROR(GOOGLEFINANCE(B426,""eps""),0)"),2.71)</f>
        <v>2.71</v>
      </c>
      <c r="AJ426" s="1"/>
      <c r="AK426" s="1" t="s">
        <v>1367</v>
      </c>
      <c r="AL426" s="9">
        <f>IF(AA426&lt;&gt;AB426,1,0)</f>
        <v>1</v>
      </c>
    </row>
    <row r="427" spans="1:38" ht="15" x14ac:dyDescent="0.25">
      <c r="A427" s="1" t="s">
        <v>1368</v>
      </c>
      <c r="B427" s="1" t="s">
        <v>1369</v>
      </c>
      <c r="C427" s="1" t="s">
        <v>355</v>
      </c>
      <c r="D427" s="1" t="s">
        <v>355</v>
      </c>
      <c r="E427" s="6">
        <v>7074.62</v>
      </c>
      <c r="F427" s="1" t="s">
        <v>40</v>
      </c>
      <c r="G427" s="6">
        <f ca="1">IFERROR(__xludf.DUMMYFUNCTION("iferror(GOOGLEFINANCE(TRIM(F427)&amp;"":"" &amp; TRIM(B427), ""price""),0
)"),591.1)</f>
        <v>591.1</v>
      </c>
      <c r="H427" s="6">
        <v>486.15</v>
      </c>
      <c r="I427" s="6">
        <f t="shared" ca="1" si="0"/>
        <v>591.1</v>
      </c>
      <c r="J427" s="6">
        <f ca="1">IFERROR(__xludf.DUMMYFUNCTION("IFERROR(GOOGLEFINANCE(B427, ""volume""), 0)"),258540)</f>
        <v>258540</v>
      </c>
      <c r="K427" s="6">
        <v>-1.7</v>
      </c>
      <c r="L427" s="6">
        <f ca="1">IFERROR(__xludf.DUMMYFUNCTION("IFERROR(GOOGLEFINANCE(B427,""changepct""),K427)"),-0.77)</f>
        <v>-0.77</v>
      </c>
      <c r="M427" s="6">
        <f ca="1">IFERROR(__xludf.DUMMYFUNCTION("IFERROR(GOOGLEFINANCE(B427,""change""),0)"),-4.6)</f>
        <v>-4.5999999999999996</v>
      </c>
      <c r="N427" s="6">
        <v>2</v>
      </c>
      <c r="O427" s="7">
        <v>45536</v>
      </c>
      <c r="P427" s="6">
        <v>233.98</v>
      </c>
      <c r="Q427" s="6">
        <v>7259.51</v>
      </c>
      <c r="R427" s="7">
        <v>45536</v>
      </c>
      <c r="S427" s="6">
        <v>2993.32</v>
      </c>
      <c r="T427" s="6">
        <v>343.85</v>
      </c>
      <c r="U427" s="7">
        <v>45536</v>
      </c>
      <c r="V427" s="6">
        <v>20.57</v>
      </c>
      <c r="W427" s="6">
        <f ca="1">IFERROR(__xludf.DUMMYFUNCTION("IFERROR(GOOGLEFINANCE(B427,""pe""),V427)"),19.53)</f>
        <v>19.53</v>
      </c>
      <c r="X427" s="6">
        <v>0.65</v>
      </c>
      <c r="Y427" s="6">
        <v>5.49</v>
      </c>
      <c r="Z427" s="6">
        <v>2</v>
      </c>
      <c r="AA427" s="8">
        <v>45352</v>
      </c>
      <c r="AB427" s="4">
        <v>0.21</v>
      </c>
      <c r="AC427" s="6">
        <v>26.45</v>
      </c>
      <c r="AD427" s="6">
        <v>29.95</v>
      </c>
      <c r="AE427" s="1">
        <v>0</v>
      </c>
      <c r="AF427" s="1">
        <f ca="1">IFERROR(__xludf.DUMMYFUNCTION("IFERROR(GOOGLEFINANCE(TRIM(F427)&amp;"":"" &amp; TRIM(B427),""high52""),AE427)"),879.8)</f>
        <v>879.8</v>
      </c>
      <c r="AG427" s="1">
        <v>0</v>
      </c>
      <c r="AH427" s="1">
        <f ca="1">IFERROR(__xludf.DUMMYFUNCTION("IFERROR(GOOGLEFINANCE(TRIM(F427)&amp;"":"" &amp; TRIM(B427),""low52""),AE427)"),297.5)</f>
        <v>297.5</v>
      </c>
      <c r="AI427" s="1">
        <f ca="1">IFERROR(__xludf.DUMMYFUNCTION("IFERROR(GOOGLEFINANCE(B427,""eps""),0)"),30.26)</f>
        <v>30.26</v>
      </c>
      <c r="AJ427" s="1"/>
      <c r="AK427" s="1" t="s">
        <v>1370</v>
      </c>
      <c r="AL427" s="1" t="b">
        <f t="shared" ref="AL427:AL428" si="93">ISNUMBER(AA427)</f>
        <v>1</v>
      </c>
    </row>
    <row r="428" spans="1:38" ht="15" x14ac:dyDescent="0.25">
      <c r="A428" s="1" t="s">
        <v>1371</v>
      </c>
      <c r="B428" s="1" t="s">
        <v>1372</v>
      </c>
      <c r="C428" s="1" t="s">
        <v>1067</v>
      </c>
      <c r="D428" s="1" t="s">
        <v>1067</v>
      </c>
      <c r="E428" s="6">
        <v>25920.53</v>
      </c>
      <c r="F428" s="1" t="s">
        <v>40</v>
      </c>
      <c r="G428" s="6">
        <f ca="1">IFERROR(__xludf.DUMMYFUNCTION("iferror(GOOGLEFINANCE(TRIM(F428)&amp;"":"" &amp; TRIM(B428), ""price""),0
)"),148.71)</f>
        <v>148.71</v>
      </c>
      <c r="H428" s="6">
        <v>159.9</v>
      </c>
      <c r="I428" s="6">
        <f t="shared" ca="1" si="0"/>
        <v>148.71</v>
      </c>
      <c r="J428" s="6">
        <f ca="1">IFERROR(__xludf.DUMMYFUNCTION("IFERROR(GOOGLEFINANCE(B428, ""volume""), 0)"),4616823)</f>
        <v>4616823</v>
      </c>
      <c r="K428" s="6">
        <v>-0.64</v>
      </c>
      <c r="L428" s="6">
        <f ca="1">IFERROR(__xludf.DUMMYFUNCTION("IFERROR(GOOGLEFINANCE(B428,""changepct""),K428)"),0.1)</f>
        <v>0.1</v>
      </c>
      <c r="M428" s="6">
        <f ca="1">IFERROR(__xludf.DUMMYFUNCTION("IFERROR(GOOGLEFINANCE(B428,""change""),0)"),0.15)</f>
        <v>0.15</v>
      </c>
      <c r="N428" s="6">
        <v>1</v>
      </c>
      <c r="O428" s="7">
        <v>45536</v>
      </c>
      <c r="P428" s="6">
        <v>20890.41</v>
      </c>
      <c r="Q428" s="6">
        <v>2788.25</v>
      </c>
      <c r="R428" s="7">
        <v>45536</v>
      </c>
      <c r="S428" s="6">
        <v>9.3000000000000007</v>
      </c>
      <c r="T428" s="6">
        <v>3.44</v>
      </c>
      <c r="U428" s="6">
        <v>1.1000000000000001</v>
      </c>
      <c r="V428" s="6">
        <v>1</v>
      </c>
      <c r="W428" s="6">
        <f ca="1">IFERROR(__xludf.DUMMYFUNCTION("IFERROR(GOOGLEFINANCE(B428,""pe""),V428)"),23.78)</f>
        <v>23.78</v>
      </c>
      <c r="X428" s="7">
        <v>45352</v>
      </c>
      <c r="Y428" s="6">
        <v>10.84</v>
      </c>
      <c r="Z428" s="6">
        <v>1</v>
      </c>
      <c r="AA428" s="8">
        <v>45352</v>
      </c>
      <c r="AB428" s="4">
        <v>1.1100000000000001</v>
      </c>
      <c r="AC428" s="6">
        <v>6.2</v>
      </c>
      <c r="AD428" s="6">
        <v>15.58</v>
      </c>
      <c r="AE428" s="1">
        <v>0</v>
      </c>
      <c r="AF428" s="1">
        <f ca="1">IFERROR(__xludf.DUMMYFUNCTION("IFERROR(GOOGLEFINANCE(TRIM(F428)&amp;"":"" &amp; TRIM(B428),""high52""),AE428)"),192.48)</f>
        <v>192.48</v>
      </c>
      <c r="AG428" s="1">
        <v>0</v>
      </c>
      <c r="AH428" s="1">
        <f ca="1">IFERROR(__xludf.DUMMYFUNCTION("IFERROR(GOOGLEFINANCE(TRIM(F428)&amp;"":"" &amp; TRIM(B428),""low52""),AE428)"),128.16)</f>
        <v>128.16</v>
      </c>
      <c r="AI428" s="1">
        <f ca="1">IFERROR(__xludf.DUMMYFUNCTION("IFERROR(GOOGLEFINANCE(B428,""eps""),0)"),6.25)</f>
        <v>6.25</v>
      </c>
      <c r="AJ428" s="1"/>
      <c r="AK428" s="1" t="s">
        <v>1373</v>
      </c>
      <c r="AL428" s="1" t="b">
        <f t="shared" si="93"/>
        <v>1</v>
      </c>
    </row>
    <row r="429" spans="1:38" ht="15" x14ac:dyDescent="0.25">
      <c r="A429" s="1" t="s">
        <v>1374</v>
      </c>
      <c r="B429" s="1" t="s">
        <v>1375</v>
      </c>
      <c r="C429" s="1" t="s">
        <v>186</v>
      </c>
      <c r="D429" s="1" t="s">
        <v>186</v>
      </c>
      <c r="E429" s="6">
        <v>104.32</v>
      </c>
      <c r="F429" s="1" t="s">
        <v>40</v>
      </c>
      <c r="G429" s="6">
        <f ca="1">IFERROR(__xludf.DUMMYFUNCTION("iferror(GOOGLEFINANCE(TRIM(F429)&amp;"":"" &amp; TRIM(B429), ""price""),0
)"),43.75)</f>
        <v>43.75</v>
      </c>
      <c r="H429" s="6">
        <v>76.03</v>
      </c>
      <c r="I429" s="6">
        <f t="shared" ca="1" si="0"/>
        <v>43.75</v>
      </c>
      <c r="J429" s="6">
        <f ca="1">IFERROR(__xludf.DUMMYFUNCTION("IFERROR(GOOGLEFINANCE(B429, ""volume""), 0)"),3755)</f>
        <v>3755</v>
      </c>
      <c r="K429" s="6">
        <v>0.05</v>
      </c>
      <c r="L429" s="6">
        <f ca="1">IFERROR(__xludf.DUMMYFUNCTION("IFERROR(GOOGLEFINANCE(B429,""changepct""),K429)"),1.74)</f>
        <v>1.74</v>
      </c>
      <c r="M429" s="6">
        <f ca="1">IFERROR(__xludf.DUMMYFUNCTION("IFERROR(GOOGLEFINANCE(B429,""change""),0)"),0.75)</f>
        <v>0.75</v>
      </c>
      <c r="N429" s="6">
        <v>2</v>
      </c>
      <c r="O429" s="7">
        <v>45536</v>
      </c>
      <c r="P429" s="6">
        <v>31.49</v>
      </c>
      <c r="Q429" s="6">
        <v>132.38999999999999</v>
      </c>
      <c r="R429" s="7">
        <v>45536</v>
      </c>
      <c r="S429" s="6">
        <v>164</v>
      </c>
      <c r="T429" s="6">
        <v>-7.96</v>
      </c>
      <c r="U429" s="7">
        <v>45536</v>
      </c>
      <c r="V429" s="6">
        <v>0</v>
      </c>
      <c r="W429" s="6">
        <f ca="1">IFERROR(__xludf.DUMMYFUNCTION("IFERROR(GOOGLEFINANCE(B429,""pe""),V429)"),11.05)</f>
        <v>11.05</v>
      </c>
      <c r="X429" s="9"/>
      <c r="Y429" s="6">
        <v>1.23</v>
      </c>
      <c r="Z429" s="6">
        <v>2</v>
      </c>
      <c r="AA429" s="8">
        <v>45352</v>
      </c>
      <c r="AB429" s="4">
        <v>0.3</v>
      </c>
      <c r="AC429" s="6">
        <v>-8.9600000000000009</v>
      </c>
      <c r="AD429" s="6">
        <v>-5.62</v>
      </c>
      <c r="AE429" s="1">
        <v>0</v>
      </c>
      <c r="AF429" s="1">
        <f ca="1">IFERROR(__xludf.DUMMYFUNCTION("IFERROR(GOOGLEFINANCE(TRIM(F429)&amp;"":"" &amp; TRIM(B429),""high52""),AE429)"),64.01)</f>
        <v>64.010000000000005</v>
      </c>
      <c r="AG429" s="1">
        <v>0</v>
      </c>
      <c r="AH429" s="1">
        <f ca="1">IFERROR(__xludf.DUMMYFUNCTION("IFERROR(GOOGLEFINANCE(TRIM(F429)&amp;"":"" &amp; TRIM(B429),""low52""),AE429)"),42.16)</f>
        <v>42.16</v>
      </c>
      <c r="AI429" s="1">
        <f ca="1">IFERROR(__xludf.DUMMYFUNCTION("IFERROR(GOOGLEFINANCE(B429,""eps""),0)"),3.96)</f>
        <v>3.96</v>
      </c>
      <c r="AJ429" s="1"/>
      <c r="AK429" s="1" t="s">
        <v>1376</v>
      </c>
      <c r="AL429" s="9">
        <f>IF(AA429&lt;&gt;AB429,1,0)</f>
        <v>1</v>
      </c>
    </row>
    <row r="430" spans="1:38" ht="15" x14ac:dyDescent="0.25">
      <c r="A430" s="1" t="s">
        <v>1377</v>
      </c>
      <c r="B430" s="1" t="s">
        <v>1378</v>
      </c>
      <c r="C430" s="1" t="s">
        <v>1379</v>
      </c>
      <c r="D430" s="1" t="s">
        <v>1379</v>
      </c>
      <c r="E430" s="6">
        <v>124733.3</v>
      </c>
      <c r="F430" s="1" t="s">
        <v>40</v>
      </c>
      <c r="G430" s="6">
        <f ca="1">IFERROR(__xludf.DUMMYFUNCTION("iferror(GOOGLEFINANCE(TRIM(F430)&amp;"":"" &amp; TRIM(B430), ""price""),0
)"),278.35)</f>
        <v>278.35000000000002</v>
      </c>
      <c r="H430" s="6">
        <v>242.81</v>
      </c>
      <c r="I430" s="6">
        <f t="shared" ca="1" si="0"/>
        <v>278.35000000000002</v>
      </c>
      <c r="J430" s="6">
        <f ca="1">IFERROR(__xludf.DUMMYFUNCTION("IFERROR(GOOGLEFINANCE(B430, ""volume""), 0)"),16234606)</f>
        <v>16234606</v>
      </c>
      <c r="K430" s="6">
        <v>0.7</v>
      </c>
      <c r="L430" s="6">
        <f ca="1">IFERROR(__xludf.DUMMYFUNCTION("IFERROR(GOOGLEFINANCE(B430,""changepct""),K430)"),-0.48)</f>
        <v>-0.48</v>
      </c>
      <c r="M430" s="6">
        <f ca="1">IFERROR(__xludf.DUMMYFUNCTION("IFERROR(GOOGLEFINANCE(B430,""change""),0)"),-1.35)</f>
        <v>-1.35</v>
      </c>
      <c r="N430" s="6">
        <v>2</v>
      </c>
      <c r="O430" s="7">
        <v>45536</v>
      </c>
      <c r="P430" s="6">
        <v>124143.9</v>
      </c>
      <c r="Q430" s="6">
        <v>19799.810000000001</v>
      </c>
      <c r="R430" s="7">
        <v>45536</v>
      </c>
      <c r="S430" s="6">
        <v>6.24</v>
      </c>
      <c r="T430" s="6">
        <v>0.08</v>
      </c>
      <c r="U430" s="6">
        <v>0.92</v>
      </c>
      <c r="V430" s="6">
        <v>2</v>
      </c>
      <c r="W430" s="6">
        <f ca="1">IFERROR(__xludf.DUMMYFUNCTION("IFERROR(GOOGLEFINANCE(B430,""pe""),V430)"),7.48)</f>
        <v>7.48</v>
      </c>
      <c r="X430" s="7">
        <v>45352</v>
      </c>
      <c r="Y430" s="6">
        <v>16.38</v>
      </c>
      <c r="Z430" s="6">
        <v>1</v>
      </c>
      <c r="AA430" s="8">
        <v>45352</v>
      </c>
      <c r="AB430" s="4">
        <v>0.68</v>
      </c>
      <c r="AC430" s="6">
        <v>2.92</v>
      </c>
      <c r="AD430" s="6">
        <v>10.57</v>
      </c>
      <c r="AE430" s="1">
        <v>0</v>
      </c>
      <c r="AF430" s="1">
        <f ca="1">IFERROR(__xludf.DUMMYFUNCTION("IFERROR(GOOGLEFINANCE(TRIM(F430)&amp;"":"" &amp; TRIM(B430),""high52""),AE430)"),313.35)</f>
        <v>313.35000000000002</v>
      </c>
      <c r="AG430" s="1">
        <v>0</v>
      </c>
      <c r="AH430" s="1">
        <f ca="1">IFERROR(__xludf.DUMMYFUNCTION("IFERROR(GOOGLEFINANCE(TRIM(F430)&amp;"":"" &amp; TRIM(B430),""low52""),AE430)"),190.7)</f>
        <v>190.7</v>
      </c>
      <c r="AI430" s="1">
        <f ca="1">IFERROR(__xludf.DUMMYFUNCTION("IFERROR(GOOGLEFINANCE(B430,""eps""),0)"),37.2)</f>
        <v>37.200000000000003</v>
      </c>
      <c r="AJ430" s="1"/>
      <c r="AK430" s="1" t="s">
        <v>1380</v>
      </c>
      <c r="AL430" s="1" t="b">
        <f t="shared" ref="AL430:AL431" si="94">ISNUMBER(AA430)</f>
        <v>1</v>
      </c>
    </row>
    <row r="431" spans="1:38" ht="15" x14ac:dyDescent="0.25">
      <c r="A431" s="1" t="s">
        <v>1381</v>
      </c>
      <c r="B431" s="1" t="s">
        <v>1382</v>
      </c>
      <c r="C431" s="1" t="s">
        <v>1379</v>
      </c>
      <c r="D431" s="1" t="s">
        <v>1379</v>
      </c>
      <c r="E431" s="6">
        <v>47256.69</v>
      </c>
      <c r="F431" s="1" t="s">
        <v>40</v>
      </c>
      <c r="G431" s="6">
        <f ca="1">IFERROR(__xludf.DUMMYFUNCTION("iferror(GOOGLEFINANCE(TRIM(F431)&amp;"":"" &amp; TRIM(B431), ""price""),0
)"),151.8)</f>
        <v>151.80000000000001</v>
      </c>
      <c r="H431" s="6">
        <v>106.01</v>
      </c>
      <c r="I431" s="6">
        <f t="shared" ca="1" si="0"/>
        <v>151.80000000000001</v>
      </c>
      <c r="J431" s="6">
        <f ca="1">IFERROR(__xludf.DUMMYFUNCTION("IFERROR(GOOGLEFINANCE(B431, ""volume""), 0)"),17969570)</f>
        <v>17969570</v>
      </c>
      <c r="K431" s="6">
        <v>2.15</v>
      </c>
      <c r="L431" s="6">
        <f ca="1">IFERROR(__xludf.DUMMYFUNCTION("IFERROR(GOOGLEFINANCE(B431,""changepct""),K431)"),0.9)</f>
        <v>0.9</v>
      </c>
      <c r="M431" s="6">
        <f ca="1">IFERROR(__xludf.DUMMYFUNCTION("IFERROR(GOOGLEFINANCE(B431,""change""),0)"),1.36)</f>
        <v>1.36</v>
      </c>
      <c r="N431" s="6">
        <v>2</v>
      </c>
      <c r="O431" s="7">
        <v>45536</v>
      </c>
      <c r="P431" s="6">
        <v>66080.649999999994</v>
      </c>
      <c r="Q431" s="6">
        <v>7527.51</v>
      </c>
      <c r="R431" s="7">
        <v>45536</v>
      </c>
      <c r="S431" s="6">
        <v>6.05</v>
      </c>
      <c r="T431" s="6">
        <v>0.23</v>
      </c>
      <c r="U431" s="6">
        <v>0.71</v>
      </c>
      <c r="V431" s="6">
        <v>2</v>
      </c>
      <c r="W431" s="6">
        <f ca="1">IFERROR(__xludf.DUMMYFUNCTION("IFERROR(GOOGLEFINANCE(B431,""pe""),V431)"),7.04)</f>
        <v>7.04</v>
      </c>
      <c r="X431" s="7">
        <v>45352</v>
      </c>
      <c r="Y431" s="6">
        <v>10.9</v>
      </c>
      <c r="Z431" s="6">
        <v>1</v>
      </c>
      <c r="AA431" s="8">
        <v>45352</v>
      </c>
      <c r="AB431" s="4">
        <v>1.22</v>
      </c>
      <c r="AC431" s="6">
        <v>2.64</v>
      </c>
      <c r="AD431" s="6">
        <v>10.78</v>
      </c>
      <c r="AE431" s="1">
        <v>0</v>
      </c>
      <c r="AF431" s="1">
        <f ca="1">IFERROR(__xludf.DUMMYFUNCTION("IFERROR(GOOGLEFINANCE(TRIM(F431)&amp;"":"" &amp; TRIM(B431),""high52""),AE431)"),169.9)</f>
        <v>169.9</v>
      </c>
      <c r="AG431" s="1">
        <v>0</v>
      </c>
      <c r="AH431" s="1">
        <f ca="1">IFERROR(__xludf.DUMMYFUNCTION("IFERROR(GOOGLEFINANCE(TRIM(F431)&amp;"":"" &amp; TRIM(B431),""low52""),AE431)"),92.66)</f>
        <v>92.66</v>
      </c>
      <c r="AI431" s="1">
        <f ca="1">IFERROR(__xludf.DUMMYFUNCTION("IFERROR(GOOGLEFINANCE(B431,""eps""),0)"),21.57)</f>
        <v>21.57</v>
      </c>
      <c r="AJ431" s="1"/>
      <c r="AK431" s="1" t="s">
        <v>1383</v>
      </c>
      <c r="AL431" s="1" t="b">
        <f t="shared" si="94"/>
        <v>1</v>
      </c>
    </row>
    <row r="432" spans="1:38" ht="15" x14ac:dyDescent="0.25">
      <c r="A432" s="1" t="s">
        <v>1384</v>
      </c>
      <c r="B432" s="1" t="s">
        <v>1385</v>
      </c>
      <c r="C432" s="1" t="s">
        <v>1379</v>
      </c>
      <c r="D432" s="1" t="s">
        <v>1379</v>
      </c>
      <c r="E432" s="6">
        <v>40588.339999999997</v>
      </c>
      <c r="F432" s="1" t="s">
        <v>40</v>
      </c>
      <c r="G432" s="6">
        <f ca="1">IFERROR(__xludf.DUMMYFUNCTION("iferror(GOOGLEFINANCE(TRIM(F432)&amp;"":"" &amp; TRIM(B432), ""price""),0
)"),61.6)</f>
        <v>61.6</v>
      </c>
      <c r="H432" s="6">
        <v>54.73</v>
      </c>
      <c r="I432" s="6">
        <f t="shared" ca="1" si="0"/>
        <v>61.6</v>
      </c>
      <c r="J432" s="6">
        <f ca="1">IFERROR(__xludf.DUMMYFUNCTION("IFERROR(GOOGLEFINANCE(B432, ""volume""), 0)"),22016296)</f>
        <v>22016296</v>
      </c>
      <c r="K432" s="6">
        <v>3.73</v>
      </c>
      <c r="L432" s="6">
        <f ca="1">IFERROR(__xludf.DUMMYFUNCTION("IFERROR(GOOGLEFINANCE(B432,""changepct""),K432)"),1.94)</f>
        <v>1.94</v>
      </c>
      <c r="M432" s="6">
        <f ca="1">IFERROR(__xludf.DUMMYFUNCTION("IFERROR(GOOGLEFINANCE(B432,""change""),0)"),1.17)</f>
        <v>1.17</v>
      </c>
      <c r="N432" s="6">
        <v>2</v>
      </c>
      <c r="O432" s="7">
        <v>45536</v>
      </c>
      <c r="P432" s="6">
        <v>22530.32</v>
      </c>
      <c r="Q432" s="6">
        <v>4874.3599999999997</v>
      </c>
      <c r="R432" s="7">
        <v>45536</v>
      </c>
      <c r="S432" s="6">
        <v>8.2899999999999991</v>
      </c>
      <c r="T432" s="6">
        <v>0.36</v>
      </c>
      <c r="U432" s="6">
        <v>1.63</v>
      </c>
      <c r="V432" s="6">
        <v>2</v>
      </c>
      <c r="W432" s="6">
        <f ca="1">IFERROR(__xludf.DUMMYFUNCTION("IFERROR(GOOGLEFINANCE(B432,""pe""),V432)"),7.31)</f>
        <v>7.31</v>
      </c>
      <c r="X432" s="7">
        <v>45352</v>
      </c>
      <c r="Y432" s="6">
        <v>24.77</v>
      </c>
      <c r="Z432" s="6">
        <v>1</v>
      </c>
      <c r="AA432" s="8">
        <v>45352</v>
      </c>
      <c r="AB432" s="4">
        <v>0.2</v>
      </c>
      <c r="AC432" s="6">
        <v>3.29</v>
      </c>
      <c r="AD432" s="6">
        <v>10.24</v>
      </c>
      <c r="AE432" s="1">
        <v>0</v>
      </c>
      <c r="AF432" s="1">
        <f ca="1">IFERROR(__xludf.DUMMYFUNCTION("IFERROR(GOOGLEFINANCE(TRIM(F432)&amp;"":"" &amp; TRIM(B432),""high52""),AE432)"),67.74)</f>
        <v>67.739999999999995</v>
      </c>
      <c r="AG432" s="1">
        <v>0</v>
      </c>
      <c r="AH432" s="1">
        <f ca="1">IFERROR(__xludf.DUMMYFUNCTION("IFERROR(GOOGLEFINANCE(TRIM(F432)&amp;"":"" &amp; TRIM(B432),""low52""),AE432)"),42)</f>
        <v>42</v>
      </c>
      <c r="AI432" s="1">
        <f ca="1">IFERROR(__xludf.DUMMYFUNCTION("IFERROR(GOOGLEFINANCE(B432,""eps""),0)"),8.43)</f>
        <v>8.43</v>
      </c>
      <c r="AJ432" s="1"/>
      <c r="AK432" s="9"/>
      <c r="AL432" s="1" t="b">
        <f>ISBLANK(AB432)</f>
        <v>0</v>
      </c>
    </row>
    <row r="433" spans="1:38" ht="15" x14ac:dyDescent="0.25">
      <c r="A433" s="1" t="s">
        <v>1386</v>
      </c>
      <c r="B433" s="1" t="s">
        <v>1387</v>
      </c>
      <c r="C433" s="1" t="s">
        <v>86</v>
      </c>
      <c r="D433" s="1" t="s">
        <v>86</v>
      </c>
      <c r="E433" s="6">
        <v>108.34</v>
      </c>
      <c r="F433" s="1" t="s">
        <v>40</v>
      </c>
      <c r="G433" s="6">
        <f ca="1">IFERROR(__xludf.DUMMYFUNCTION("iferror(GOOGLEFINANCE(TRIM(F433)&amp;"":"" &amp; TRIM(B433), ""price""),0
)"),60.7)</f>
        <v>60.7</v>
      </c>
      <c r="H433" s="6">
        <v>101.17</v>
      </c>
      <c r="I433" s="6">
        <f t="shared" ca="1" si="0"/>
        <v>60.7</v>
      </c>
      <c r="J433" s="6">
        <f ca="1">IFERROR(__xludf.DUMMYFUNCTION("IFERROR(GOOGLEFINANCE(B433, ""volume""), 0)"),8043)</f>
        <v>8043</v>
      </c>
      <c r="K433" s="6">
        <v>1.29</v>
      </c>
      <c r="L433" s="6">
        <f ca="1">IFERROR(__xludf.DUMMYFUNCTION("IFERROR(GOOGLEFINANCE(B433,""changepct""),K433)"),-1.97)</f>
        <v>-1.97</v>
      </c>
      <c r="M433" s="6">
        <f ca="1">IFERROR(__xludf.DUMMYFUNCTION("IFERROR(GOOGLEFINANCE(B433,""change""),0)"),-1.22)</f>
        <v>-1.22</v>
      </c>
      <c r="N433" s="6">
        <v>2</v>
      </c>
      <c r="O433" s="7">
        <v>45536</v>
      </c>
      <c r="P433" s="6">
        <v>31.57</v>
      </c>
      <c r="Q433" s="6">
        <v>134.71</v>
      </c>
      <c r="R433" s="7">
        <v>45536</v>
      </c>
      <c r="S433" s="6">
        <v>55.57</v>
      </c>
      <c r="T433" s="6">
        <v>-5.37</v>
      </c>
      <c r="U433" s="7">
        <v>45536</v>
      </c>
      <c r="V433" s="6">
        <v>0</v>
      </c>
      <c r="W433" s="6">
        <f ca="1">IFERROR(__xludf.DUMMYFUNCTION("IFERROR(GOOGLEFINANCE(B433,""pe""),V433)"),0)</f>
        <v>0</v>
      </c>
      <c r="X433" s="9"/>
      <c r="Y433" s="6">
        <v>3.21</v>
      </c>
      <c r="Z433" s="6">
        <v>2</v>
      </c>
      <c r="AA433" s="8">
        <v>45352</v>
      </c>
      <c r="AB433" s="4">
        <v>0.63</v>
      </c>
      <c r="AC433" s="6">
        <v>-1.68</v>
      </c>
      <c r="AD433" s="6">
        <v>3.3</v>
      </c>
      <c r="AE433" s="1">
        <v>0</v>
      </c>
      <c r="AF433" s="1">
        <f ca="1">IFERROR(__xludf.DUMMYFUNCTION("IFERROR(GOOGLEFINANCE(TRIM(F433)&amp;"":"" &amp; TRIM(B433),""high52""),AE433)"),97.88)</f>
        <v>97.88</v>
      </c>
      <c r="AG433" s="1">
        <v>0</v>
      </c>
      <c r="AH433" s="1">
        <f ca="1">IFERROR(__xludf.DUMMYFUNCTION("IFERROR(GOOGLEFINANCE(TRIM(F433)&amp;"":"" &amp; TRIM(B433),""low52""),AE433)"),56.99)</f>
        <v>56.99</v>
      </c>
      <c r="AI433" s="1">
        <f ca="1">IFERROR(__xludf.DUMMYFUNCTION("IFERROR(GOOGLEFINANCE(B433,""eps""),0)"),-3.83)</f>
        <v>-3.83</v>
      </c>
      <c r="AJ433" s="1"/>
      <c r="AK433" s="1" t="s">
        <v>1388</v>
      </c>
      <c r="AL433" s="9">
        <f t="shared" ref="AL433:AL437" si="95">IF(AA433&lt;&gt;AB433,1,0)</f>
        <v>1</v>
      </c>
    </row>
    <row r="434" spans="1:38" ht="15" x14ac:dyDescent="0.25">
      <c r="A434" s="1" t="s">
        <v>1389</v>
      </c>
      <c r="B434" s="1" t="s">
        <v>1390</v>
      </c>
      <c r="C434" s="1" t="s">
        <v>706</v>
      </c>
      <c r="D434" s="1" t="s">
        <v>706</v>
      </c>
      <c r="E434" s="6">
        <v>341.65</v>
      </c>
      <c r="F434" s="1" t="s">
        <v>40</v>
      </c>
      <c r="G434" s="6">
        <f ca="1">IFERROR(__xludf.DUMMYFUNCTION("iferror(GOOGLEFINANCE(TRIM(F434)&amp;"":"" &amp; TRIM(B434), ""price""),0
)"),23.4)</f>
        <v>23.4</v>
      </c>
      <c r="H434" s="6">
        <v>57.63</v>
      </c>
      <c r="I434" s="6">
        <f t="shared" ca="1" si="0"/>
        <v>23.4</v>
      </c>
      <c r="J434" s="6">
        <f ca="1">IFERROR(__xludf.DUMMYFUNCTION("IFERROR(GOOGLEFINANCE(B434, ""volume""), 0)"),94688)</f>
        <v>94688</v>
      </c>
      <c r="K434" s="6">
        <v>9.44</v>
      </c>
      <c r="L434" s="6">
        <f ca="1">IFERROR(__xludf.DUMMYFUNCTION("IFERROR(GOOGLEFINANCE(B434,""changepct""),K434)"),-1.72)</f>
        <v>-1.72</v>
      </c>
      <c r="M434" s="6">
        <f ca="1">IFERROR(__xludf.DUMMYFUNCTION("IFERROR(GOOGLEFINANCE(B434,""change""),0)"),-0.41)</f>
        <v>-0.41</v>
      </c>
      <c r="N434" s="6">
        <v>2</v>
      </c>
      <c r="O434" s="7">
        <v>45536</v>
      </c>
      <c r="P434" s="6">
        <v>466.58</v>
      </c>
      <c r="Q434" s="6">
        <v>788.12</v>
      </c>
      <c r="R434" s="7">
        <v>45536</v>
      </c>
      <c r="S434" s="6">
        <v>966.45</v>
      </c>
      <c r="T434" s="6">
        <v>-16.72</v>
      </c>
      <c r="U434" s="7">
        <v>45536</v>
      </c>
      <c r="V434" s="6">
        <v>0</v>
      </c>
      <c r="W434" s="6">
        <f ca="1">IFERROR(__xludf.DUMMYFUNCTION("IFERROR(GOOGLEFINANCE(B434,""pe""),V434)"),12.93)</f>
        <v>12.93</v>
      </c>
      <c r="X434" s="12"/>
      <c r="Y434" s="6">
        <v>0.84</v>
      </c>
      <c r="Z434" s="6">
        <v>2</v>
      </c>
      <c r="AA434" s="8">
        <v>45352</v>
      </c>
      <c r="AB434" s="4">
        <v>1.27</v>
      </c>
      <c r="AC434" s="6">
        <v>-5.4</v>
      </c>
      <c r="AD434" s="6">
        <v>2.04</v>
      </c>
      <c r="AE434" s="1">
        <v>0</v>
      </c>
      <c r="AF434" s="1">
        <f ca="1">IFERROR(__xludf.DUMMYFUNCTION("IFERROR(GOOGLEFINANCE(TRIM(F434)&amp;"":"" &amp; TRIM(B434),""high52""),AE434)"),45.93)</f>
        <v>45.93</v>
      </c>
      <c r="AG434" s="1">
        <v>0</v>
      </c>
      <c r="AH434" s="1">
        <f ca="1">IFERROR(__xludf.DUMMYFUNCTION("IFERROR(GOOGLEFINANCE(TRIM(F434)&amp;"":"" &amp; TRIM(B434),""low52""),AE434)"),19.81)</f>
        <v>19.809999999999999</v>
      </c>
      <c r="AI434" s="1">
        <f ca="1">IFERROR(__xludf.DUMMYFUNCTION("IFERROR(GOOGLEFINANCE(B434,""eps""),0)"),1.81)</f>
        <v>1.81</v>
      </c>
      <c r="AJ434" s="1"/>
      <c r="AK434" s="1" t="s">
        <v>1391</v>
      </c>
      <c r="AL434" s="9">
        <f t="shared" si="95"/>
        <v>1</v>
      </c>
    </row>
    <row r="435" spans="1:38" ht="15" x14ac:dyDescent="0.25">
      <c r="A435" s="1" t="s">
        <v>1392</v>
      </c>
      <c r="B435" s="1" t="s">
        <v>1393</v>
      </c>
      <c r="C435" s="1" t="s">
        <v>1118</v>
      </c>
      <c r="D435" s="1" t="s">
        <v>1118</v>
      </c>
      <c r="E435" s="6">
        <v>4606.1499999999996</v>
      </c>
      <c r="F435" s="1" t="s">
        <v>40</v>
      </c>
      <c r="G435" s="6">
        <f ca="1">IFERROR(__xludf.DUMMYFUNCTION("iferror(GOOGLEFINANCE(TRIM(F435)&amp;"":"" &amp; TRIM(B435), ""price""),0
)"),3600)</f>
        <v>3600</v>
      </c>
      <c r="H435" s="6">
        <v>3700.7</v>
      </c>
      <c r="I435" s="6">
        <f t="shared" ca="1" si="0"/>
        <v>3600</v>
      </c>
      <c r="J435" s="6">
        <f ca="1">IFERROR(__xludf.DUMMYFUNCTION("IFERROR(GOOGLEFINANCE(B435, ""volume""), 0)"),282)</f>
        <v>282</v>
      </c>
      <c r="K435" s="6">
        <v>0.64</v>
      </c>
      <c r="L435" s="6">
        <f ca="1">IFERROR(__xludf.DUMMYFUNCTION("IFERROR(GOOGLEFINANCE(B435,""changepct""),K435)"),0.53)</f>
        <v>0.53</v>
      </c>
      <c r="M435" s="6">
        <f ca="1">IFERROR(__xludf.DUMMYFUNCTION("IFERROR(GOOGLEFINANCE(B435,""change""),0)"),19.1)</f>
        <v>19.100000000000001</v>
      </c>
      <c r="N435" s="6">
        <v>1</v>
      </c>
      <c r="O435" s="7">
        <v>45536</v>
      </c>
      <c r="P435" s="6">
        <v>161.49</v>
      </c>
      <c r="Q435" s="6">
        <v>4748.32</v>
      </c>
      <c r="R435" s="7">
        <v>45536</v>
      </c>
      <c r="S435" s="6">
        <v>2067.0100000000002</v>
      </c>
      <c r="T435" s="6">
        <v>130.6</v>
      </c>
      <c r="U435" s="7">
        <v>45536</v>
      </c>
      <c r="V435" s="6">
        <v>35.270000000000003</v>
      </c>
      <c r="W435" s="6">
        <f ca="1">IFERROR(__xludf.DUMMYFUNCTION("IFERROR(GOOGLEFINANCE(B435,""pe""),V435)"),37.03)</f>
        <v>37.03</v>
      </c>
      <c r="X435" s="6">
        <v>2.36</v>
      </c>
      <c r="Y435" s="6">
        <v>2.66</v>
      </c>
      <c r="Z435" s="6">
        <v>1</v>
      </c>
      <c r="AA435" s="8">
        <v>45352</v>
      </c>
      <c r="AB435" s="4">
        <v>0.28999999999999998</v>
      </c>
      <c r="AC435" s="6">
        <v>9.4</v>
      </c>
      <c r="AD435" s="6">
        <v>11.87</v>
      </c>
      <c r="AE435" s="1">
        <v>0</v>
      </c>
      <c r="AF435" s="1">
        <f ca="1">IFERROR(__xludf.DUMMYFUNCTION("IFERROR(GOOGLEFINANCE(TRIM(F435)&amp;"":"" &amp; TRIM(B435),""high52""),AE435)"),4444)</f>
        <v>4444</v>
      </c>
      <c r="AG435" s="1">
        <v>0</v>
      </c>
      <c r="AH435" s="1">
        <f ca="1">IFERROR(__xludf.DUMMYFUNCTION("IFERROR(GOOGLEFINANCE(TRIM(F435)&amp;"":"" &amp; TRIM(B435),""low52""),AE435)"),3000.3)</f>
        <v>3000.3</v>
      </c>
      <c r="AI435" s="1">
        <f ca="1">IFERROR(__xludf.DUMMYFUNCTION("IFERROR(GOOGLEFINANCE(B435,""eps""),0)"),97.23)</f>
        <v>97.23</v>
      </c>
      <c r="AJ435" s="1"/>
      <c r="AK435" s="1" t="s">
        <v>1394</v>
      </c>
      <c r="AL435" s="9">
        <f t="shared" si="95"/>
        <v>1</v>
      </c>
    </row>
    <row r="436" spans="1:38" ht="15" x14ac:dyDescent="0.25">
      <c r="A436" s="1" t="s">
        <v>1395</v>
      </c>
      <c r="B436" s="1" t="s">
        <v>1396</v>
      </c>
      <c r="C436" s="1" t="s">
        <v>219</v>
      </c>
      <c r="D436" s="1" t="s">
        <v>219</v>
      </c>
      <c r="E436" s="6">
        <v>7138.95</v>
      </c>
      <c r="F436" s="1" t="s">
        <v>40</v>
      </c>
      <c r="G436" s="6">
        <f ca="1">IFERROR(__xludf.DUMMYFUNCTION("iferror(GOOGLEFINANCE(TRIM(F436)&amp;"":"" &amp; TRIM(B436), ""price""),0
)"),267.35)</f>
        <v>267.35000000000002</v>
      </c>
      <c r="H436" s="6">
        <v>456.2</v>
      </c>
      <c r="I436" s="6">
        <f t="shared" ca="1" si="0"/>
        <v>267.35000000000002</v>
      </c>
      <c r="J436" s="6">
        <f ca="1">IFERROR(__xludf.DUMMYFUNCTION("IFERROR(GOOGLEFINANCE(B436, ""volume""), 0)"),52753)</f>
        <v>52753</v>
      </c>
      <c r="K436" s="6">
        <v>0.14000000000000001</v>
      </c>
      <c r="L436" s="6">
        <f ca="1">IFERROR(__xludf.DUMMYFUNCTION("IFERROR(GOOGLEFINANCE(B436,""changepct""),K436)"),0.26)</f>
        <v>0.26</v>
      </c>
      <c r="M436" s="6">
        <f ca="1">IFERROR(__xludf.DUMMYFUNCTION("IFERROR(GOOGLEFINANCE(B436,""change""),0)"),0.7)</f>
        <v>0.7</v>
      </c>
      <c r="N436" s="6">
        <v>2</v>
      </c>
      <c r="O436" s="7">
        <v>45536</v>
      </c>
      <c r="P436" s="6">
        <v>251.03</v>
      </c>
      <c r="Q436" s="6">
        <v>7371.02</v>
      </c>
      <c r="R436" s="14"/>
      <c r="S436" s="9"/>
      <c r="T436" s="9"/>
      <c r="U436" s="7">
        <v>45352</v>
      </c>
      <c r="V436" s="6">
        <v>92.51</v>
      </c>
      <c r="W436" s="6">
        <f ca="1">IFERROR(__xludf.DUMMYFUNCTION("IFERROR(GOOGLEFINANCE(B436,""pe""),V436)"),27.17)</f>
        <v>27.17</v>
      </c>
      <c r="X436" s="9"/>
      <c r="Y436" s="6">
        <v>6</v>
      </c>
      <c r="Z436" s="6">
        <v>2</v>
      </c>
      <c r="AA436" s="8">
        <v>45352</v>
      </c>
      <c r="AB436" s="4">
        <v>1.61</v>
      </c>
      <c r="AC436" s="6">
        <v>18.66</v>
      </c>
      <c r="AD436" s="6">
        <v>12.6</v>
      </c>
      <c r="AE436" s="1">
        <v>0</v>
      </c>
      <c r="AF436" s="1">
        <f ca="1">IFERROR(__xludf.DUMMYFUNCTION("IFERROR(GOOGLEFINANCE(TRIM(F436)&amp;"":"" &amp; TRIM(B436),""high52""),AE436)"),434.3)</f>
        <v>434.3</v>
      </c>
      <c r="AG436" s="1">
        <v>0</v>
      </c>
      <c r="AH436" s="1">
        <f ca="1">IFERROR(__xludf.DUMMYFUNCTION("IFERROR(GOOGLEFINANCE(TRIM(F436)&amp;"":"" &amp; TRIM(B436),""low52""),AE436)"),252.3)</f>
        <v>252.3</v>
      </c>
      <c r="AI436" s="1">
        <f ca="1">IFERROR(__xludf.DUMMYFUNCTION("IFERROR(GOOGLEFINANCE(B436,""eps""),0)"),9.84)</f>
        <v>9.84</v>
      </c>
      <c r="AJ436" s="1"/>
      <c r="AK436" s="1" t="s">
        <v>1397</v>
      </c>
      <c r="AL436" s="9">
        <f t="shared" si="95"/>
        <v>1</v>
      </c>
    </row>
    <row r="437" spans="1:38" ht="15" x14ac:dyDescent="0.25">
      <c r="A437" s="1" t="s">
        <v>1398</v>
      </c>
      <c r="B437" s="1" t="s">
        <v>1399</v>
      </c>
      <c r="C437" s="1" t="s">
        <v>1400</v>
      </c>
      <c r="D437" s="1" t="s">
        <v>1400</v>
      </c>
      <c r="E437" s="6">
        <v>497.56</v>
      </c>
      <c r="F437" s="1" t="s">
        <v>40</v>
      </c>
      <c r="G437" s="6">
        <f ca="1">IFERROR(__xludf.DUMMYFUNCTION("iferror(GOOGLEFINANCE(TRIM(F437)&amp;"":"" &amp; TRIM(B437), ""price""),0
)"),107)</f>
        <v>107</v>
      </c>
      <c r="H437" s="6">
        <v>146.49</v>
      </c>
      <c r="I437" s="6">
        <f t="shared" ca="1" si="0"/>
        <v>107</v>
      </c>
      <c r="J437" s="6">
        <f ca="1">IFERROR(__xludf.DUMMYFUNCTION("IFERROR(GOOGLEFINANCE(B437, ""volume""), 0)"),59117)</f>
        <v>59117</v>
      </c>
      <c r="K437" s="6">
        <v>0.53</v>
      </c>
      <c r="L437" s="6">
        <f ca="1">IFERROR(__xludf.DUMMYFUNCTION("IFERROR(GOOGLEFINANCE(B437,""changepct""),K437)"),4.75)</f>
        <v>4.75</v>
      </c>
      <c r="M437" s="6">
        <f ca="1">IFERROR(__xludf.DUMMYFUNCTION("IFERROR(GOOGLEFINANCE(B437,""change""),0)"),4.85)</f>
        <v>4.8499999999999996</v>
      </c>
      <c r="N437" s="6">
        <v>2</v>
      </c>
      <c r="O437" s="7">
        <v>45536</v>
      </c>
      <c r="P437" s="6">
        <v>455.64</v>
      </c>
      <c r="Q437" s="6">
        <v>922.46</v>
      </c>
      <c r="R437" s="7">
        <v>45536</v>
      </c>
      <c r="S437" s="6">
        <v>1259.29</v>
      </c>
      <c r="T437" s="6">
        <v>21.27</v>
      </c>
      <c r="U437" s="7">
        <v>45536</v>
      </c>
      <c r="V437" s="6">
        <v>21.65</v>
      </c>
      <c r="W437" s="6">
        <f ca="1">IFERROR(__xludf.DUMMYFUNCTION("IFERROR(GOOGLEFINANCE(B437,""pe""),V437)"),16.87)</f>
        <v>16.87</v>
      </c>
      <c r="X437" s="6">
        <v>4.47</v>
      </c>
      <c r="Y437" s="6">
        <v>0.92</v>
      </c>
      <c r="Z437" s="6">
        <v>2</v>
      </c>
      <c r="AA437" s="8">
        <v>45352</v>
      </c>
      <c r="AB437" s="4">
        <v>0.66</v>
      </c>
      <c r="AC437" s="6">
        <v>6.81</v>
      </c>
      <c r="AD437" s="6">
        <v>8.7100000000000009</v>
      </c>
      <c r="AE437" s="1">
        <v>0</v>
      </c>
      <c r="AF437" s="1">
        <f ca="1">IFERROR(__xludf.DUMMYFUNCTION("IFERROR(GOOGLEFINANCE(TRIM(F437)&amp;"":"" &amp; TRIM(B437),""high52""),AE437)"),165.49)</f>
        <v>165.49</v>
      </c>
      <c r="AG437" s="1">
        <v>0</v>
      </c>
      <c r="AH437" s="1">
        <f ca="1">IFERROR(__xludf.DUMMYFUNCTION("IFERROR(GOOGLEFINANCE(TRIM(F437)&amp;"":"" &amp; TRIM(B437),""low52""),AE437)"),98)</f>
        <v>98</v>
      </c>
      <c r="AI437" s="1">
        <f ca="1">IFERROR(__xludf.DUMMYFUNCTION("IFERROR(GOOGLEFINANCE(B437,""eps""),0)"),6.34)</f>
        <v>6.34</v>
      </c>
      <c r="AJ437" s="1"/>
      <c r="AK437" s="1" t="s">
        <v>1401</v>
      </c>
      <c r="AL437" s="9">
        <f t="shared" si="95"/>
        <v>1</v>
      </c>
    </row>
    <row r="438" spans="1:38" ht="15" x14ac:dyDescent="0.25">
      <c r="A438" s="1" t="s">
        <v>1402</v>
      </c>
      <c r="B438" s="1" t="s">
        <v>1403</v>
      </c>
      <c r="C438" s="1" t="s">
        <v>239</v>
      </c>
      <c r="D438" s="1" t="s">
        <v>239</v>
      </c>
      <c r="E438" s="6">
        <v>106.9</v>
      </c>
      <c r="F438" s="1" t="s">
        <v>40</v>
      </c>
      <c r="G438" s="6">
        <f ca="1">IFERROR(__xludf.DUMMYFUNCTION("iferror(GOOGLEFINANCE(TRIM(F438)&amp;"":"" &amp; TRIM(B438), ""price""),0
)"),44)</f>
        <v>44</v>
      </c>
      <c r="H438" s="6">
        <v>49.38</v>
      </c>
      <c r="I438" s="6">
        <f t="shared" ca="1" si="0"/>
        <v>44</v>
      </c>
      <c r="J438" s="6">
        <f ca="1">IFERROR(__xludf.DUMMYFUNCTION("IFERROR(GOOGLEFINANCE(B438, ""volume""), 0)"),16088)</f>
        <v>16088</v>
      </c>
      <c r="K438" s="6">
        <v>2.4900000000000002</v>
      </c>
      <c r="L438" s="6">
        <f ca="1">IFERROR(__xludf.DUMMYFUNCTION("IFERROR(GOOGLEFINANCE(B438,""changepct""),K438)"),-1.63)</f>
        <v>-1.63</v>
      </c>
      <c r="M438" s="6">
        <f ca="1">IFERROR(__xludf.DUMMYFUNCTION("IFERROR(GOOGLEFINANCE(B438,""change""),0)"),-0.73)</f>
        <v>-0.73</v>
      </c>
      <c r="N438" s="6">
        <v>2</v>
      </c>
      <c r="O438" s="7">
        <v>45536</v>
      </c>
      <c r="P438" s="6">
        <v>44.99</v>
      </c>
      <c r="Q438" s="6">
        <v>148.93</v>
      </c>
      <c r="R438" s="7">
        <v>45536</v>
      </c>
      <c r="S438" s="6">
        <v>222.93</v>
      </c>
      <c r="T438" s="6">
        <v>3.86</v>
      </c>
      <c r="U438" s="7">
        <v>45536</v>
      </c>
      <c r="V438" s="6">
        <v>27.69</v>
      </c>
      <c r="W438" s="6">
        <f ca="1">IFERROR(__xludf.DUMMYFUNCTION("IFERROR(GOOGLEFINANCE(B438,""pe""),V438)"),26.5)</f>
        <v>26.5</v>
      </c>
      <c r="X438" s="6">
        <v>0.33</v>
      </c>
      <c r="Y438" s="6">
        <v>0.87</v>
      </c>
      <c r="Z438" s="6">
        <v>2</v>
      </c>
      <c r="AA438" s="8">
        <v>45352</v>
      </c>
      <c r="AB438" s="4">
        <v>0.4</v>
      </c>
      <c r="AC438" s="6">
        <v>6.22</v>
      </c>
      <c r="AD438" s="6">
        <v>11.8</v>
      </c>
      <c r="AE438" s="1">
        <v>0</v>
      </c>
      <c r="AF438" s="1">
        <f ca="1">IFERROR(__xludf.DUMMYFUNCTION("IFERROR(GOOGLEFINANCE(TRIM(F438)&amp;"":"" &amp; TRIM(B438),""high52""),AE438)"),69.99)</f>
        <v>69.989999999999995</v>
      </c>
      <c r="AG438" s="1">
        <v>0</v>
      </c>
      <c r="AH438" s="1">
        <f ca="1">IFERROR(__xludf.DUMMYFUNCTION("IFERROR(GOOGLEFINANCE(TRIM(F438)&amp;"":"" &amp; TRIM(B438),""low52""),AE438)"),34.06)</f>
        <v>34.06</v>
      </c>
      <c r="AI438" s="1">
        <f ca="1">IFERROR(__xludf.DUMMYFUNCTION("IFERROR(GOOGLEFINANCE(B438,""eps""),0)"),1.66)</f>
        <v>1.66</v>
      </c>
      <c r="AJ438" s="1"/>
      <c r="AK438" s="1" t="s">
        <v>1404</v>
      </c>
      <c r="AL438" s="1" t="b">
        <f t="shared" ref="AL438:AL439" si="96">ISNUMBER(AA438)</f>
        <v>1</v>
      </c>
    </row>
    <row r="439" spans="1:38" ht="15" x14ac:dyDescent="0.25">
      <c r="A439" s="1" t="s">
        <v>1405</v>
      </c>
      <c r="B439" s="1" t="s">
        <v>1406</v>
      </c>
      <c r="C439" s="1" t="s">
        <v>239</v>
      </c>
      <c r="D439" s="1" t="s">
        <v>239</v>
      </c>
      <c r="E439" s="6">
        <v>53.12</v>
      </c>
      <c r="F439" s="1" t="s">
        <v>53</v>
      </c>
      <c r="G439" s="6">
        <f ca="1">IFERROR(__xludf.DUMMYFUNCTION("iferror(GOOGLEFINANCE(TRIM(F439)&amp;"":"" &amp; TRIM(B439), ""price""),0
)"),0)</f>
        <v>0</v>
      </c>
      <c r="H439" s="6">
        <v>79.989999999999995</v>
      </c>
      <c r="I439" s="6">
        <f t="shared" ca="1" si="0"/>
        <v>79.989999999999995</v>
      </c>
      <c r="J439" s="6">
        <f ca="1">IFERROR(__xludf.DUMMYFUNCTION("IFERROR(GOOGLEFINANCE(B439, ""volume""), 0)"),0)</f>
        <v>0</v>
      </c>
      <c r="K439" s="6">
        <v>0.44</v>
      </c>
      <c r="L439" s="6">
        <f ca="1">IFERROR(__xludf.DUMMYFUNCTION("IFERROR(GOOGLEFINANCE(B439,""changepct""),K439)"),0.44)</f>
        <v>0.44</v>
      </c>
      <c r="M439" s="6">
        <f ca="1">IFERROR(__xludf.DUMMYFUNCTION("IFERROR(GOOGLEFINANCE(B439,""change""),0)"),0)</f>
        <v>0</v>
      </c>
      <c r="N439" s="6">
        <v>1</v>
      </c>
      <c r="O439" s="7">
        <v>45536</v>
      </c>
      <c r="P439" s="6">
        <v>13.25</v>
      </c>
      <c r="Q439" s="6">
        <v>65.459999999999994</v>
      </c>
      <c r="R439" s="7">
        <v>45536</v>
      </c>
      <c r="S439" s="6">
        <v>37.29</v>
      </c>
      <c r="T439" s="6">
        <v>-16.100000000000001</v>
      </c>
      <c r="U439" s="7">
        <v>45536</v>
      </c>
      <c r="V439" s="6">
        <v>0</v>
      </c>
      <c r="W439" s="6">
        <f ca="1">IFERROR(__xludf.DUMMYFUNCTION("IFERROR(GOOGLEFINANCE(B439,""pe""),V439)"),0)</f>
        <v>0</v>
      </c>
      <c r="X439" s="9"/>
      <c r="Y439" s="6">
        <v>5.41</v>
      </c>
      <c r="Z439" s="6">
        <v>1</v>
      </c>
      <c r="AA439" s="8">
        <v>45352</v>
      </c>
      <c r="AB439" s="4">
        <v>0.49</v>
      </c>
      <c r="AC439" s="6">
        <v>-38.19</v>
      </c>
      <c r="AD439" s="6">
        <v>-28.49</v>
      </c>
      <c r="AE439" s="1">
        <v>0</v>
      </c>
      <c r="AF439" s="1">
        <f ca="1">IFERROR(__xludf.DUMMYFUNCTION("IFERROR(GOOGLEFINANCE(TRIM(F439)&amp;"":"" &amp; TRIM(B439),""high52""),AE439)"),0)</f>
        <v>0</v>
      </c>
      <c r="AG439" s="1">
        <v>0</v>
      </c>
      <c r="AH439" s="1">
        <f ca="1">IFERROR(__xludf.DUMMYFUNCTION("IFERROR(GOOGLEFINANCE(TRIM(F439)&amp;"":"" &amp; TRIM(B439),""low52""),AE439)"),0)</f>
        <v>0</v>
      </c>
      <c r="AI439" s="1">
        <f ca="1">IFERROR(__xludf.DUMMYFUNCTION("IFERROR(GOOGLEFINANCE(B439,""eps""),0)"),0)</f>
        <v>0</v>
      </c>
      <c r="AJ439" s="1"/>
      <c r="AK439" s="1" t="s">
        <v>1407</v>
      </c>
      <c r="AL439" s="1" t="b">
        <f t="shared" si="96"/>
        <v>1</v>
      </c>
    </row>
    <row r="440" spans="1:38" ht="15" x14ac:dyDescent="0.25">
      <c r="A440" s="1" t="s">
        <v>1408</v>
      </c>
      <c r="B440" s="1" t="s">
        <v>1409</v>
      </c>
      <c r="C440" s="1" t="s">
        <v>1410</v>
      </c>
      <c r="D440" s="1" t="s">
        <v>1410</v>
      </c>
      <c r="E440" s="6">
        <v>1717.63</v>
      </c>
      <c r="F440" s="1" t="s">
        <v>40</v>
      </c>
      <c r="G440" s="6">
        <f ca="1">IFERROR(__xludf.DUMMYFUNCTION("iferror(GOOGLEFINANCE(TRIM(F440)&amp;"":"" &amp; TRIM(B440), ""price""),0
)"),0)</f>
        <v>0</v>
      </c>
      <c r="H440" s="6">
        <v>440.6</v>
      </c>
      <c r="I440" s="6">
        <f t="shared" ca="1" si="0"/>
        <v>440.6</v>
      </c>
      <c r="J440" s="6">
        <f ca="1">IFERROR(__xludf.DUMMYFUNCTION("IFERROR(GOOGLEFINANCE(B440, ""volume""), 0)"),0)</f>
        <v>0</v>
      </c>
      <c r="K440" s="6">
        <v>0.23</v>
      </c>
      <c r="L440" s="6">
        <f ca="1">IFERROR(__xludf.DUMMYFUNCTION("IFERROR(GOOGLEFINANCE(B440,""changepct""),K440)"),0.23)</f>
        <v>0.23</v>
      </c>
      <c r="M440" s="6">
        <f ca="1">IFERROR(__xludf.DUMMYFUNCTION("IFERROR(GOOGLEFINANCE(B440,""change""),0)"),0)</f>
        <v>0</v>
      </c>
      <c r="N440" s="6">
        <v>2</v>
      </c>
      <c r="O440" s="7">
        <v>45536</v>
      </c>
      <c r="P440" s="6">
        <v>52.39</v>
      </c>
      <c r="Q440" s="6">
        <v>1770.01</v>
      </c>
      <c r="R440" s="7">
        <v>45536</v>
      </c>
      <c r="S440" s="6">
        <v>1240.31</v>
      </c>
      <c r="T440" s="6">
        <v>-6.67</v>
      </c>
      <c r="U440" s="7">
        <v>45536</v>
      </c>
      <c r="V440" s="6">
        <v>0</v>
      </c>
      <c r="W440" s="6">
        <f ca="1">IFERROR(__xludf.DUMMYFUNCTION("IFERROR(GOOGLEFINANCE(B440,""pe""),V440)"),0)</f>
        <v>0</v>
      </c>
      <c r="X440" s="12"/>
      <c r="Y440" s="6">
        <v>4.54</v>
      </c>
      <c r="Z440" s="6">
        <v>2</v>
      </c>
      <c r="AA440" s="8">
        <v>45352</v>
      </c>
      <c r="AB440" s="4">
        <v>0.11</v>
      </c>
      <c r="AC440" s="6">
        <v>-2.95</v>
      </c>
      <c r="AD440" s="6">
        <v>14.49</v>
      </c>
      <c r="AE440" s="1">
        <v>0</v>
      </c>
      <c r="AF440" s="1">
        <f ca="1">IFERROR(__xludf.DUMMYFUNCTION("IFERROR(GOOGLEFINANCE(TRIM(F440)&amp;"":"" &amp; TRIM(B440),""high52""),AE440)"),0)</f>
        <v>0</v>
      </c>
      <c r="AG440" s="1">
        <v>0</v>
      </c>
      <c r="AH440" s="1">
        <f ca="1">IFERROR(__xludf.DUMMYFUNCTION("IFERROR(GOOGLEFINANCE(TRIM(F440)&amp;"":"" &amp; TRIM(B440),""low52""),AE440)"),0)</f>
        <v>0</v>
      </c>
      <c r="AI440" s="1">
        <f ca="1">IFERROR(__xludf.DUMMYFUNCTION("IFERROR(GOOGLEFINANCE(B440,""eps""),0)"),0)</f>
        <v>0</v>
      </c>
      <c r="AJ440" s="1"/>
      <c r="AK440" s="1" t="s">
        <v>1411</v>
      </c>
      <c r="AL440" s="9">
        <f t="shared" ref="AL440:AL443" si="97">IF(AA440&lt;&gt;AB440,1,0)</f>
        <v>1</v>
      </c>
    </row>
    <row r="441" spans="1:38" ht="15" x14ac:dyDescent="0.25">
      <c r="A441" s="1" t="s">
        <v>1412</v>
      </c>
      <c r="B441" s="1" t="s">
        <v>1413</v>
      </c>
      <c r="C441" s="1" t="s">
        <v>57</v>
      </c>
      <c r="D441" s="1" t="s">
        <v>57</v>
      </c>
      <c r="E441" s="6">
        <v>558.9</v>
      </c>
      <c r="F441" s="1" t="s">
        <v>40</v>
      </c>
      <c r="G441" s="6">
        <f ca="1">IFERROR(__xludf.DUMMYFUNCTION("iferror(GOOGLEFINANCE(TRIM(F441)&amp;"":"" &amp; TRIM(B441), ""price""),0
)"),10.65)</f>
        <v>10.65</v>
      </c>
      <c r="H441" s="6">
        <v>20.11</v>
      </c>
      <c r="I441" s="6">
        <f t="shared" ca="1" si="0"/>
        <v>10.65</v>
      </c>
      <c r="J441" s="6">
        <f ca="1">IFERROR(__xludf.DUMMYFUNCTION("IFERROR(GOOGLEFINANCE(B441, ""volume""), 0)"),1789618)</f>
        <v>1789618</v>
      </c>
      <c r="K441" s="6">
        <v>9.9499999999999993</v>
      </c>
      <c r="L441" s="6">
        <f ca="1">IFERROR(__xludf.DUMMYFUNCTION("IFERROR(GOOGLEFINANCE(B441,""changepct""),K441)"),-0.93)</f>
        <v>-0.93</v>
      </c>
      <c r="M441" s="6">
        <f ca="1">IFERROR(__xludf.DUMMYFUNCTION("IFERROR(GOOGLEFINANCE(B441,""change""),0)"),-0.1)</f>
        <v>-0.1</v>
      </c>
      <c r="N441" s="6">
        <v>1</v>
      </c>
      <c r="O441" s="7">
        <v>45536</v>
      </c>
      <c r="P441" s="6">
        <v>0.2</v>
      </c>
      <c r="Q441" s="6">
        <v>556.79999999999995</v>
      </c>
      <c r="R441" s="7">
        <v>45536</v>
      </c>
      <c r="S441" s="6">
        <v>46.76</v>
      </c>
      <c r="T441" s="6">
        <v>3.06</v>
      </c>
      <c r="U441" s="7">
        <v>45536</v>
      </c>
      <c r="V441" s="6">
        <v>182.89</v>
      </c>
      <c r="W441" s="6">
        <f ca="1">IFERROR(__xludf.DUMMYFUNCTION("IFERROR(GOOGLEFINANCE(B441,""pe""),V441)"),187.9)</f>
        <v>187.9</v>
      </c>
      <c r="X441" s="6">
        <v>28.49</v>
      </c>
      <c r="Y441" s="6">
        <v>20.22</v>
      </c>
      <c r="Z441" s="6">
        <v>2</v>
      </c>
      <c r="AA441" s="8">
        <v>44986</v>
      </c>
      <c r="AB441" s="4">
        <v>0</v>
      </c>
      <c r="AC441" s="6">
        <v>138.69</v>
      </c>
      <c r="AD441" s="6">
        <v>52.39</v>
      </c>
      <c r="AE441" s="1">
        <v>0</v>
      </c>
      <c r="AF441" s="1">
        <f ca="1">IFERROR(__xludf.DUMMYFUNCTION("IFERROR(GOOGLEFINANCE(TRIM(F441)&amp;"":"" &amp; TRIM(B441),""high52""),AE441)"),19.74)</f>
        <v>19.739999999999998</v>
      </c>
      <c r="AG441" s="1">
        <v>0</v>
      </c>
      <c r="AH441" s="1">
        <f ca="1">IFERROR(__xludf.DUMMYFUNCTION("IFERROR(GOOGLEFINANCE(TRIM(F441)&amp;"":"" &amp; TRIM(B441),""low52""),AE441)"),10.25)</f>
        <v>10.25</v>
      </c>
      <c r="AI441" s="1">
        <f ca="1">IFERROR(__xludf.DUMMYFUNCTION("IFERROR(GOOGLEFINANCE(B441,""eps""),0)"),0.06)</f>
        <v>0.06</v>
      </c>
      <c r="AJ441" s="1"/>
      <c r="AK441" s="1" t="s">
        <v>1414</v>
      </c>
      <c r="AL441" s="9">
        <f t="shared" si="97"/>
        <v>1</v>
      </c>
    </row>
    <row r="442" spans="1:38" ht="15" x14ac:dyDescent="0.25">
      <c r="A442" s="1" t="s">
        <v>1415</v>
      </c>
      <c r="B442" s="1" t="s">
        <v>1416</v>
      </c>
      <c r="C442" s="1" t="s">
        <v>697</v>
      </c>
      <c r="D442" s="1" t="s">
        <v>697</v>
      </c>
      <c r="E442" s="6">
        <v>23868.57</v>
      </c>
      <c r="F442" s="1" t="s">
        <v>40</v>
      </c>
      <c r="G442" s="6">
        <f ca="1">IFERROR(__xludf.DUMMYFUNCTION("iferror(GOOGLEFINANCE(TRIM(F442)&amp;"":"" &amp; TRIM(B442), ""price""),0
)"),3617)</f>
        <v>3617</v>
      </c>
      <c r="H442" s="6">
        <v>5485</v>
      </c>
      <c r="I442" s="6">
        <f t="shared" ca="1" si="0"/>
        <v>3617</v>
      </c>
      <c r="J442" s="6">
        <f ca="1">IFERROR(__xludf.DUMMYFUNCTION("IFERROR(GOOGLEFINANCE(B442, ""volume""), 0)"),9675)</f>
        <v>9675</v>
      </c>
      <c r="K442" s="6">
        <v>-0.56000000000000005</v>
      </c>
      <c r="L442" s="6">
        <f ca="1">IFERROR(__xludf.DUMMYFUNCTION("IFERROR(GOOGLEFINANCE(B442,""changepct""),K442)"),-0.9)</f>
        <v>-0.9</v>
      </c>
      <c r="M442" s="6">
        <f ca="1">IFERROR(__xludf.DUMMYFUNCTION("IFERROR(GOOGLEFINANCE(B442,""change""),0)"),-32.7)</f>
        <v>-32.700000000000003</v>
      </c>
      <c r="N442" s="6">
        <v>2</v>
      </c>
      <c r="O442" s="7">
        <v>45536</v>
      </c>
      <c r="P442" s="9"/>
      <c r="Q442" s="6">
        <v>23354.26</v>
      </c>
      <c r="R442" s="7">
        <v>45536</v>
      </c>
      <c r="S442" s="6">
        <v>14900.85</v>
      </c>
      <c r="T442" s="6">
        <v>649.99</v>
      </c>
      <c r="U442" s="7">
        <v>45536</v>
      </c>
      <c r="V442" s="6">
        <v>36.72</v>
      </c>
      <c r="W442" s="6">
        <f ca="1">IFERROR(__xludf.DUMMYFUNCTION("IFERROR(GOOGLEFINANCE(B442,""pe""),V442)"),41.75)</f>
        <v>41.75</v>
      </c>
      <c r="X442" s="12"/>
      <c r="Y442" s="6">
        <v>6.8</v>
      </c>
      <c r="Z442" s="6">
        <v>2</v>
      </c>
      <c r="AA442" s="8">
        <v>45352</v>
      </c>
      <c r="AB442" s="4">
        <v>0</v>
      </c>
      <c r="AC442" s="6">
        <v>27.73</v>
      </c>
      <c r="AD442" s="6">
        <v>38.090000000000003</v>
      </c>
      <c r="AE442" s="1">
        <v>0</v>
      </c>
      <c r="AF442" s="1">
        <f ca="1">IFERROR(__xludf.DUMMYFUNCTION("IFERROR(GOOGLEFINANCE(TRIM(F442)&amp;"":"" &amp; TRIM(B442),""high52""),AE442)"),5424)</f>
        <v>5424</v>
      </c>
      <c r="AG442" s="1">
        <v>0</v>
      </c>
      <c r="AH442" s="1">
        <f ca="1">IFERROR(__xludf.DUMMYFUNCTION("IFERROR(GOOGLEFINANCE(TRIM(F442)&amp;"":"" &amp; TRIM(B442),""low52""),AE442)"),3524.9)</f>
        <v>3524.9</v>
      </c>
      <c r="AI442" s="1">
        <f ca="1">IFERROR(__xludf.DUMMYFUNCTION("IFERROR(GOOGLEFINANCE(B442,""eps""),0)"),86.64)</f>
        <v>86.64</v>
      </c>
      <c r="AJ442" s="1"/>
      <c r="AK442" s="9"/>
      <c r="AL442" s="9">
        <f t="shared" si="97"/>
        <v>1</v>
      </c>
    </row>
    <row r="443" spans="1:38" ht="15" x14ac:dyDescent="0.25">
      <c r="A443" s="1" t="s">
        <v>1417</v>
      </c>
      <c r="B443" s="1" t="s">
        <v>1418</v>
      </c>
      <c r="C443" s="1" t="s">
        <v>1229</v>
      </c>
      <c r="D443" s="1" t="s">
        <v>1229</v>
      </c>
      <c r="E443" s="6">
        <v>785.51</v>
      </c>
      <c r="F443" s="1" t="s">
        <v>40</v>
      </c>
      <c r="G443" s="6">
        <f ca="1">IFERROR(__xludf.DUMMYFUNCTION("iferror(GOOGLEFINANCE(TRIM(F443)&amp;"":"" &amp; TRIM(B443), ""price""),0
)"),0)</f>
        <v>0</v>
      </c>
      <c r="H443" s="6">
        <v>338</v>
      </c>
      <c r="I443" s="6">
        <f t="shared" ca="1" si="0"/>
        <v>338</v>
      </c>
      <c r="J443" s="6">
        <f ca="1">IFERROR(__xludf.DUMMYFUNCTION("IFERROR(GOOGLEFINANCE(B443, ""volume""), 0)"),0)</f>
        <v>0</v>
      </c>
      <c r="K443" s="6">
        <v>0</v>
      </c>
      <c r="L443" s="6">
        <f ca="1">IFERROR(__xludf.DUMMYFUNCTION("IFERROR(GOOGLEFINANCE(B443,""changepct""),K443)"),0)</f>
        <v>0</v>
      </c>
      <c r="M443" s="6">
        <f ca="1">IFERROR(__xludf.DUMMYFUNCTION("IFERROR(GOOGLEFINANCE(B443,""change""),0)"),0)</f>
        <v>0</v>
      </c>
      <c r="N443" s="6">
        <v>1</v>
      </c>
      <c r="O443" s="7">
        <v>45536</v>
      </c>
      <c r="P443" s="6">
        <v>33.61</v>
      </c>
      <c r="Q443" s="6">
        <v>819.12</v>
      </c>
      <c r="R443" s="7">
        <v>45352</v>
      </c>
      <c r="S443" s="6">
        <v>100.3</v>
      </c>
      <c r="T443" s="6">
        <v>36.200000000000003</v>
      </c>
      <c r="U443" s="7">
        <v>45352</v>
      </c>
      <c r="V443" s="6">
        <v>21.7</v>
      </c>
      <c r="W443" s="6">
        <f ca="1">IFERROR(__xludf.DUMMYFUNCTION("IFERROR(GOOGLEFINANCE(B443,""pe""),V443)"),21.7)</f>
        <v>21.7</v>
      </c>
      <c r="X443" s="9"/>
      <c r="Y443" s="6">
        <v>6.47</v>
      </c>
      <c r="Z443" s="6">
        <v>2</v>
      </c>
      <c r="AA443" s="8">
        <v>45352</v>
      </c>
      <c r="AB443" s="4">
        <v>0.02</v>
      </c>
      <c r="AC443" s="6">
        <v>47.2</v>
      </c>
      <c r="AD443" s="6">
        <v>63.32</v>
      </c>
      <c r="AE443" s="1">
        <v>0</v>
      </c>
      <c r="AF443" s="1">
        <f ca="1">IFERROR(__xludf.DUMMYFUNCTION("IFERROR(GOOGLEFINANCE(TRIM(F443)&amp;"":"" &amp; TRIM(B443),""high52""),AE443)"),0)</f>
        <v>0</v>
      </c>
      <c r="AG443" s="1">
        <v>0</v>
      </c>
      <c r="AH443" s="1">
        <f ca="1">IFERROR(__xludf.DUMMYFUNCTION("IFERROR(GOOGLEFINANCE(TRIM(F443)&amp;"":"" &amp; TRIM(B443),""low52""),AE443)"),0)</f>
        <v>0</v>
      </c>
      <c r="AI443" s="1">
        <f ca="1">IFERROR(__xludf.DUMMYFUNCTION("IFERROR(GOOGLEFINANCE(B443,""eps""),0)"),0)</f>
        <v>0</v>
      </c>
      <c r="AJ443" s="1"/>
      <c r="AK443" s="1" t="s">
        <v>1419</v>
      </c>
      <c r="AL443" s="9">
        <f t="shared" si="97"/>
        <v>1</v>
      </c>
    </row>
    <row r="444" spans="1:38" ht="15" x14ac:dyDescent="0.25">
      <c r="A444" s="1" t="s">
        <v>1420</v>
      </c>
      <c r="B444" s="1" t="s">
        <v>1421</v>
      </c>
      <c r="C444" s="1" t="s">
        <v>239</v>
      </c>
      <c r="D444" s="1" t="s">
        <v>239</v>
      </c>
      <c r="E444" s="6">
        <v>293.06</v>
      </c>
      <c r="F444" s="1" t="s">
        <v>53</v>
      </c>
      <c r="G444" s="6">
        <f ca="1">IFERROR(__xludf.DUMMYFUNCTION("iferror(GOOGLEFINANCE(TRIM(F444)&amp;"":"" &amp; TRIM(B444), ""price""),0
)"),0)</f>
        <v>0</v>
      </c>
      <c r="H444" s="6">
        <v>34.29</v>
      </c>
      <c r="I444" s="6">
        <f t="shared" ca="1" si="0"/>
        <v>34.29</v>
      </c>
      <c r="J444" s="6">
        <f ca="1">IFERROR(__xludf.DUMMYFUNCTION("IFERROR(GOOGLEFINANCE(B444, ""volume""), 0)"),0)</f>
        <v>0</v>
      </c>
      <c r="K444" s="6">
        <v>-0.2</v>
      </c>
      <c r="L444" s="6">
        <f ca="1">IFERROR(__xludf.DUMMYFUNCTION("IFERROR(GOOGLEFINANCE(B444,""changepct""),K444)"),-0.2)</f>
        <v>-0.2</v>
      </c>
      <c r="M444" s="6">
        <f ca="1">IFERROR(__xludf.DUMMYFUNCTION("IFERROR(GOOGLEFINANCE(B444,""change""),0)"),0)</f>
        <v>0</v>
      </c>
      <c r="N444" s="6">
        <v>1</v>
      </c>
      <c r="O444" s="7">
        <v>45536</v>
      </c>
      <c r="P444" s="6">
        <v>115.3</v>
      </c>
      <c r="Q444" s="6">
        <v>395.74</v>
      </c>
      <c r="R444" s="7">
        <v>45536</v>
      </c>
      <c r="S444" s="6">
        <v>323.2</v>
      </c>
      <c r="T444" s="6">
        <v>5.31</v>
      </c>
      <c r="U444" s="7">
        <v>45536</v>
      </c>
      <c r="V444" s="6">
        <v>55.18</v>
      </c>
      <c r="W444" s="6">
        <f ca="1">IFERROR(__xludf.DUMMYFUNCTION("IFERROR(GOOGLEFINANCE(B444,""pe""),V444)"),55.18)</f>
        <v>55.18</v>
      </c>
      <c r="X444" s="6">
        <v>-39.700000000000003</v>
      </c>
      <c r="Y444" s="6">
        <v>3.13</v>
      </c>
      <c r="Z444" s="6">
        <v>1</v>
      </c>
      <c r="AA444" s="8">
        <v>45352</v>
      </c>
      <c r="AB444" s="4">
        <v>1.35</v>
      </c>
      <c r="AC444" s="6">
        <v>9.25</v>
      </c>
      <c r="AD444" s="6">
        <v>11.66</v>
      </c>
      <c r="AE444" s="1">
        <v>0</v>
      </c>
      <c r="AF444" s="1">
        <f ca="1">IFERROR(__xludf.DUMMYFUNCTION("IFERROR(GOOGLEFINANCE(TRIM(F444)&amp;"":"" &amp; TRIM(B444),""high52""),AE444)"),0)</f>
        <v>0</v>
      </c>
      <c r="AG444" s="1">
        <v>0</v>
      </c>
      <c r="AH444" s="1">
        <f ca="1">IFERROR(__xludf.DUMMYFUNCTION("IFERROR(GOOGLEFINANCE(TRIM(F444)&amp;"":"" &amp; TRIM(B444),""low52""),AE444)"),0)</f>
        <v>0</v>
      </c>
      <c r="AI444" s="1">
        <f ca="1">IFERROR(__xludf.DUMMYFUNCTION("IFERROR(GOOGLEFINANCE(B444,""eps""),0)"),0)</f>
        <v>0</v>
      </c>
      <c r="AJ444" s="1"/>
      <c r="AK444" s="1" t="s">
        <v>1422</v>
      </c>
      <c r="AL444" s="1" t="b">
        <f>ISNUMBER(AA444)</f>
        <v>1</v>
      </c>
    </row>
    <row r="445" spans="1:38" ht="15" x14ac:dyDescent="0.25">
      <c r="A445" s="1" t="s">
        <v>1423</v>
      </c>
      <c r="B445" s="1" t="s">
        <v>1424</v>
      </c>
      <c r="C445" s="1" t="s">
        <v>1425</v>
      </c>
      <c r="D445" s="1" t="s">
        <v>1425</v>
      </c>
      <c r="E445" s="6">
        <v>18262.48</v>
      </c>
      <c r="F445" s="1" t="s">
        <v>40</v>
      </c>
      <c r="G445" s="6">
        <f ca="1">IFERROR(__xludf.DUMMYFUNCTION("iferror(GOOGLEFINANCE(TRIM(F445)&amp;"":"" &amp; TRIM(B445), ""price""),0
)"),866)</f>
        <v>866</v>
      </c>
      <c r="H445" s="6">
        <v>1432</v>
      </c>
      <c r="I445" s="6">
        <f t="shared" ca="1" si="0"/>
        <v>866</v>
      </c>
      <c r="J445" s="6">
        <f ca="1">IFERROR(__xludf.DUMMYFUNCTION("IFERROR(GOOGLEFINANCE(B445, ""volume""), 0)"),72659)</f>
        <v>72659</v>
      </c>
      <c r="K445" s="6">
        <v>0.73</v>
      </c>
      <c r="L445" s="6">
        <f ca="1">IFERROR(__xludf.DUMMYFUNCTION("IFERROR(GOOGLEFINANCE(B445,""changepct""),K445)"),0.1)</f>
        <v>0.1</v>
      </c>
      <c r="M445" s="6">
        <f ca="1">IFERROR(__xludf.DUMMYFUNCTION("IFERROR(GOOGLEFINANCE(B445,""change""),0)"),0.9)</f>
        <v>0.9</v>
      </c>
      <c r="N445" s="6">
        <v>2</v>
      </c>
      <c r="O445" s="7">
        <v>45536</v>
      </c>
      <c r="P445" s="9"/>
      <c r="Q445" s="6">
        <v>17789.03</v>
      </c>
      <c r="R445" s="7">
        <v>45536</v>
      </c>
      <c r="S445" s="6">
        <v>3483.12</v>
      </c>
      <c r="T445" s="6">
        <v>347.67</v>
      </c>
      <c r="U445" s="7">
        <v>45536</v>
      </c>
      <c r="V445" s="6">
        <v>52.53</v>
      </c>
      <c r="W445" s="6">
        <f ca="1">IFERROR(__xludf.DUMMYFUNCTION("IFERROR(GOOGLEFINANCE(B445,""pe""),V445)"),65.24)</f>
        <v>65.239999999999995</v>
      </c>
      <c r="X445" s="6">
        <v>-23.04</v>
      </c>
      <c r="Y445" s="6">
        <v>12.43</v>
      </c>
      <c r="Z445" s="6">
        <v>2</v>
      </c>
      <c r="AA445" s="8">
        <v>45352</v>
      </c>
      <c r="AB445" s="4">
        <v>0</v>
      </c>
      <c r="AC445" s="6">
        <v>17.71</v>
      </c>
      <c r="AD445" s="6">
        <v>32.159999999999997</v>
      </c>
      <c r="AE445" s="1">
        <v>0</v>
      </c>
      <c r="AF445" s="1">
        <f ca="1">IFERROR(__xludf.DUMMYFUNCTION("IFERROR(GOOGLEFINANCE(TRIM(F445)&amp;"":"" &amp; TRIM(B445),""high52""),AE445)"),1424.6)</f>
        <v>1424.6</v>
      </c>
      <c r="AG445" s="1">
        <v>0</v>
      </c>
      <c r="AH445" s="1">
        <f ca="1">IFERROR(__xludf.DUMMYFUNCTION("IFERROR(GOOGLEFINANCE(TRIM(F445)&amp;"":"" &amp; TRIM(B445),""low52""),AE445)"),838.95)</f>
        <v>838.95</v>
      </c>
      <c r="AI445" s="1">
        <f ca="1">IFERROR(__xludf.DUMMYFUNCTION("IFERROR(GOOGLEFINANCE(B445,""eps""),0)"),13.27)</f>
        <v>13.27</v>
      </c>
      <c r="AJ445" s="1"/>
      <c r="AK445" s="1" t="s">
        <v>1426</v>
      </c>
      <c r="AL445" s="9">
        <f>IF(AA445&lt;&gt;AB445,1,0)</f>
        <v>1</v>
      </c>
    </row>
    <row r="446" spans="1:38" ht="15" x14ac:dyDescent="0.25">
      <c r="A446" s="1" t="s">
        <v>1427</v>
      </c>
      <c r="B446" s="1" t="s">
        <v>1428</v>
      </c>
      <c r="C446" s="1" t="s">
        <v>239</v>
      </c>
      <c r="D446" s="1" t="s">
        <v>239</v>
      </c>
      <c r="E446" s="6">
        <v>74.11</v>
      </c>
      <c r="F446" s="1" t="s">
        <v>53</v>
      </c>
      <c r="G446" s="6">
        <f ca="1">IFERROR(__xludf.DUMMYFUNCTION("iferror(GOOGLEFINANCE(TRIM(F446)&amp;"":"" &amp; TRIM(B446), ""price""),0
)"),0)</f>
        <v>0</v>
      </c>
      <c r="H446" s="6">
        <v>92.45</v>
      </c>
      <c r="I446" s="6">
        <f t="shared" ca="1" si="0"/>
        <v>92.45</v>
      </c>
      <c r="J446" s="6">
        <f ca="1">IFERROR(__xludf.DUMMYFUNCTION("IFERROR(GOOGLEFINANCE(B446, ""volume""), 0)"),0)</f>
        <v>0</v>
      </c>
      <c r="K446" s="9"/>
      <c r="L446" s="6" t="str">
        <f ca="1">IFERROR(__xludf.DUMMYFUNCTION("IFERROR(GOOGLEFINANCE(B446,""changepct""),K446)"),"")</f>
        <v/>
      </c>
      <c r="M446" s="6">
        <f ca="1">IFERROR(__xludf.DUMMYFUNCTION("IFERROR(GOOGLEFINANCE(B446,""change""),0)"),0)</f>
        <v>0</v>
      </c>
      <c r="N446" s="6">
        <v>1</v>
      </c>
      <c r="O446" s="7">
        <v>45536</v>
      </c>
      <c r="P446" s="6">
        <v>59.3</v>
      </c>
      <c r="Q446" s="6">
        <v>132.12</v>
      </c>
      <c r="R446" s="7">
        <v>45536</v>
      </c>
      <c r="S446" s="6">
        <v>172.58</v>
      </c>
      <c r="T446" s="6">
        <v>-15.53</v>
      </c>
      <c r="U446" s="7">
        <v>45536</v>
      </c>
      <c r="V446" s="6">
        <v>0</v>
      </c>
      <c r="W446" s="6">
        <f ca="1">IFERROR(__xludf.DUMMYFUNCTION("IFERROR(GOOGLEFINANCE(B446,""pe""),V446)"),0)</f>
        <v>0</v>
      </c>
      <c r="X446" s="9"/>
      <c r="Y446" s="6">
        <v>1.38</v>
      </c>
      <c r="Z446" s="6">
        <v>1</v>
      </c>
      <c r="AA446" s="8">
        <v>45352</v>
      </c>
      <c r="AB446" s="4">
        <v>0.95</v>
      </c>
      <c r="AC446" s="6">
        <v>-21.92</v>
      </c>
      <c r="AD446" s="6">
        <v>-10.92</v>
      </c>
      <c r="AE446" s="1">
        <v>0</v>
      </c>
      <c r="AF446" s="1">
        <f ca="1">IFERROR(__xludf.DUMMYFUNCTION("IFERROR(GOOGLEFINANCE(TRIM(F446)&amp;"":"" &amp; TRIM(B446),""high52""),AE446)"),0)</f>
        <v>0</v>
      </c>
      <c r="AG446" s="1">
        <v>0</v>
      </c>
      <c r="AH446" s="1">
        <f ca="1">IFERROR(__xludf.DUMMYFUNCTION("IFERROR(GOOGLEFINANCE(TRIM(F446)&amp;"":"" &amp; TRIM(B446),""low52""),AE446)"),0)</f>
        <v>0</v>
      </c>
      <c r="AI446" s="1">
        <f ca="1">IFERROR(__xludf.DUMMYFUNCTION("IFERROR(GOOGLEFINANCE(B446,""eps""),0)"),0)</f>
        <v>0</v>
      </c>
      <c r="AJ446" s="1"/>
      <c r="AK446" s="1" t="s">
        <v>1429</v>
      </c>
      <c r="AL446" s="1" t="b">
        <f>ISNUMBER(AA446)</f>
        <v>1</v>
      </c>
    </row>
    <row r="447" spans="1:38" ht="15" x14ac:dyDescent="0.25">
      <c r="A447" s="1" t="s">
        <v>1430</v>
      </c>
      <c r="B447" s="1" t="s">
        <v>1431</v>
      </c>
      <c r="C447" s="1" t="s">
        <v>1229</v>
      </c>
      <c r="D447" s="1" t="s">
        <v>1229</v>
      </c>
      <c r="E447" s="6">
        <v>130.09</v>
      </c>
      <c r="F447" s="1" t="s">
        <v>40</v>
      </c>
      <c r="G447" s="6">
        <f ca="1">IFERROR(__xludf.DUMMYFUNCTION("iferror(GOOGLEFINANCE(TRIM(F447)&amp;"":"" &amp; TRIM(B447), ""price""),0
)"),0)</f>
        <v>0</v>
      </c>
      <c r="H447" s="6">
        <v>70.95</v>
      </c>
      <c r="I447" s="6">
        <f t="shared" ca="1" si="0"/>
        <v>70.95</v>
      </c>
      <c r="J447" s="6">
        <f ca="1">IFERROR(__xludf.DUMMYFUNCTION("IFERROR(GOOGLEFINANCE(B447, ""volume""), 0)"),0)</f>
        <v>0</v>
      </c>
      <c r="K447" s="6">
        <v>0.5</v>
      </c>
      <c r="L447" s="6">
        <f ca="1">IFERROR(__xludf.DUMMYFUNCTION("IFERROR(GOOGLEFINANCE(B447,""changepct""),K447)"),0.5)</f>
        <v>0.5</v>
      </c>
      <c r="M447" s="6">
        <f ca="1">IFERROR(__xludf.DUMMYFUNCTION("IFERROR(GOOGLEFINANCE(B447,""change""),0)"),0)</f>
        <v>0</v>
      </c>
      <c r="N447" s="6">
        <v>1</v>
      </c>
      <c r="O447" s="7">
        <v>45536</v>
      </c>
      <c r="P447" s="6">
        <v>18.98</v>
      </c>
      <c r="Q447" s="6">
        <v>149.08000000000001</v>
      </c>
      <c r="R447" s="7">
        <v>45352</v>
      </c>
      <c r="S447" s="6">
        <v>64.3</v>
      </c>
      <c r="T447" s="6">
        <v>8.2200000000000006</v>
      </c>
      <c r="U447" s="7">
        <v>45352</v>
      </c>
      <c r="V447" s="6">
        <v>15.82</v>
      </c>
      <c r="W447" s="6">
        <f ca="1">IFERROR(__xludf.DUMMYFUNCTION("IFERROR(GOOGLEFINANCE(B447,""pe""),V447)"),15.82)</f>
        <v>15.82</v>
      </c>
      <c r="X447" s="12"/>
      <c r="Y447" s="6">
        <v>1.36</v>
      </c>
      <c r="Z447" s="6">
        <v>1</v>
      </c>
      <c r="AA447" s="8">
        <v>45352</v>
      </c>
      <c r="AB447" s="4">
        <v>0.04</v>
      </c>
      <c r="AC447" s="6">
        <v>14.23</v>
      </c>
      <c r="AD447" s="6">
        <v>19</v>
      </c>
      <c r="AE447" s="1">
        <v>0</v>
      </c>
      <c r="AF447" s="1">
        <f ca="1">IFERROR(__xludf.DUMMYFUNCTION("IFERROR(GOOGLEFINANCE(TRIM(F447)&amp;"":"" &amp; TRIM(B447),""high52""),AE447)"),0)</f>
        <v>0</v>
      </c>
      <c r="AG447" s="1">
        <v>0</v>
      </c>
      <c r="AH447" s="1">
        <f ca="1">IFERROR(__xludf.DUMMYFUNCTION("IFERROR(GOOGLEFINANCE(TRIM(F447)&amp;"":"" &amp; TRIM(B447),""low52""),AE447)"),0)</f>
        <v>0</v>
      </c>
      <c r="AI447" s="1">
        <f ca="1">IFERROR(__xludf.DUMMYFUNCTION("IFERROR(GOOGLEFINANCE(B447,""eps""),0)"),0)</f>
        <v>0</v>
      </c>
      <c r="AJ447" s="1"/>
      <c r="AK447" s="1" t="s">
        <v>1432</v>
      </c>
      <c r="AL447" s="9">
        <f t="shared" ref="AL447:AL448" si="98">IF(AA447&lt;&gt;AB447,1,0)</f>
        <v>1</v>
      </c>
    </row>
    <row r="448" spans="1:38" ht="15" x14ac:dyDescent="0.25">
      <c r="A448" s="1" t="s">
        <v>1433</v>
      </c>
      <c r="B448" s="1" t="s">
        <v>1434</v>
      </c>
      <c r="C448" s="1" t="s">
        <v>697</v>
      </c>
      <c r="D448" s="1" t="s">
        <v>697</v>
      </c>
      <c r="E448" s="6">
        <v>25245.32</v>
      </c>
      <c r="F448" s="1" t="s">
        <v>40</v>
      </c>
      <c r="G448" s="6">
        <f ca="1">IFERROR(__xludf.DUMMYFUNCTION("iferror(GOOGLEFINANCE(TRIM(F448)&amp;"":"" &amp; TRIM(B448), ""price""),0
)"),4440)</f>
        <v>4440</v>
      </c>
      <c r="H448" s="6">
        <v>5600.05</v>
      </c>
      <c r="I448" s="6">
        <f t="shared" ca="1" si="0"/>
        <v>4440</v>
      </c>
      <c r="J448" s="6">
        <f ca="1">IFERROR(__xludf.DUMMYFUNCTION("IFERROR(GOOGLEFINANCE(B448, ""volume""), 0)"),20619)</f>
        <v>20619</v>
      </c>
      <c r="K448" s="6">
        <v>-0.56000000000000005</v>
      </c>
      <c r="L448" s="6">
        <f ca="1">IFERROR(__xludf.DUMMYFUNCTION("IFERROR(GOOGLEFINANCE(B448,""changepct""),K448)"),0.96)</f>
        <v>0.96</v>
      </c>
      <c r="M448" s="6">
        <f ca="1">IFERROR(__xludf.DUMMYFUNCTION("IFERROR(GOOGLEFINANCE(B448,""change""),0)"),42.4)</f>
        <v>42.4</v>
      </c>
      <c r="N448" s="6">
        <v>1</v>
      </c>
      <c r="O448" s="7">
        <v>45536</v>
      </c>
      <c r="P448" s="9"/>
      <c r="Q448" s="6">
        <v>24328.02</v>
      </c>
      <c r="R448" s="7">
        <v>45536</v>
      </c>
      <c r="S448" s="6">
        <v>5115.2</v>
      </c>
      <c r="T448" s="6">
        <v>579.6</v>
      </c>
      <c r="U448" s="7">
        <v>45536</v>
      </c>
      <c r="V448" s="6">
        <v>43.56</v>
      </c>
      <c r="W448" s="6">
        <f ca="1">IFERROR(__xludf.DUMMYFUNCTION("IFERROR(GOOGLEFINANCE(B448,""pe""),V448)"),32.77)</f>
        <v>32.770000000000003</v>
      </c>
      <c r="X448" s="6">
        <v>2.5499999999999998</v>
      </c>
      <c r="Y448" s="6">
        <v>8.19</v>
      </c>
      <c r="Z448" s="6">
        <v>1</v>
      </c>
      <c r="AA448" s="8">
        <v>45352</v>
      </c>
      <c r="AB448" s="4">
        <v>0</v>
      </c>
      <c r="AC448" s="6">
        <v>26.63</v>
      </c>
      <c r="AD448" s="6">
        <v>34.56</v>
      </c>
      <c r="AE448" s="1">
        <v>0</v>
      </c>
      <c r="AF448" s="1">
        <f ca="1">IFERROR(__xludf.DUMMYFUNCTION("IFERROR(GOOGLEFINANCE(TRIM(F448)&amp;"":"" &amp; TRIM(B448),""high52""),AE448)"),6511)</f>
        <v>6511</v>
      </c>
      <c r="AG448" s="1">
        <v>0</v>
      </c>
      <c r="AH448" s="1">
        <f ca="1">IFERROR(__xludf.DUMMYFUNCTION("IFERROR(GOOGLEFINANCE(TRIM(F448)&amp;"":"" &amp; TRIM(B448),""low52""),AE448)"),4217.45)</f>
        <v>4217.45</v>
      </c>
      <c r="AI448" s="1">
        <f ca="1">IFERROR(__xludf.DUMMYFUNCTION("IFERROR(GOOGLEFINANCE(B448,""eps""),0)"),135.48)</f>
        <v>135.47999999999999</v>
      </c>
      <c r="AJ448" s="1"/>
      <c r="AK448" s="9"/>
      <c r="AL448" s="9">
        <f t="shared" si="98"/>
        <v>1</v>
      </c>
    </row>
    <row r="449" spans="1:38" ht="15" x14ac:dyDescent="0.25">
      <c r="A449" s="1" t="s">
        <v>1435</v>
      </c>
      <c r="B449" s="1" t="s">
        <v>1436</v>
      </c>
      <c r="C449" s="1" t="s">
        <v>239</v>
      </c>
      <c r="D449" s="1" t="s">
        <v>239</v>
      </c>
      <c r="E449" s="6">
        <v>17.02</v>
      </c>
      <c r="F449" s="1" t="s">
        <v>53</v>
      </c>
      <c r="G449" s="6">
        <f ca="1">IFERROR(__xludf.DUMMYFUNCTION("iferror(GOOGLEFINANCE(TRIM(F449)&amp;"":"" &amp; TRIM(B449), ""price""),0
)"),0)</f>
        <v>0</v>
      </c>
      <c r="H449" s="6">
        <v>33.92</v>
      </c>
      <c r="I449" s="6">
        <f t="shared" ca="1" si="0"/>
        <v>33.92</v>
      </c>
      <c r="J449" s="6">
        <f ca="1">IFERROR(__xludf.DUMMYFUNCTION("IFERROR(GOOGLEFINANCE(B449, ""volume""), 0)"),0)</f>
        <v>0</v>
      </c>
      <c r="K449" s="9"/>
      <c r="L449" s="6" t="str">
        <f ca="1">IFERROR(__xludf.DUMMYFUNCTION("IFERROR(GOOGLEFINANCE(B449,""changepct""),K449)"),"")</f>
        <v/>
      </c>
      <c r="M449" s="6">
        <f ca="1">IFERROR(__xludf.DUMMYFUNCTION("IFERROR(GOOGLEFINANCE(B449,""change""),0)"),0)</f>
        <v>0</v>
      </c>
      <c r="N449" s="6">
        <v>2</v>
      </c>
      <c r="O449" s="7">
        <v>45536</v>
      </c>
      <c r="P449" s="9"/>
      <c r="Q449" s="6">
        <v>17.02</v>
      </c>
      <c r="R449" s="7">
        <v>45536</v>
      </c>
      <c r="S449" s="6">
        <v>15.14</v>
      </c>
      <c r="T449" s="6">
        <v>0.43</v>
      </c>
      <c r="U449" s="7">
        <v>45536</v>
      </c>
      <c r="V449" s="6">
        <v>39.86</v>
      </c>
      <c r="W449" s="6">
        <f ca="1">IFERROR(__xludf.DUMMYFUNCTION("IFERROR(GOOGLEFINANCE(B449,""pe""),V449)"),39.86)</f>
        <v>39.86</v>
      </c>
      <c r="X449" s="6">
        <v>1.45</v>
      </c>
      <c r="Y449" s="6">
        <v>1.79</v>
      </c>
      <c r="Z449" s="6">
        <v>2</v>
      </c>
      <c r="AA449" s="8">
        <v>45352</v>
      </c>
      <c r="AB449" s="4">
        <v>0</v>
      </c>
      <c r="AC449" s="6">
        <v>8.1999999999999993</v>
      </c>
      <c r="AD449" s="6">
        <v>10.83</v>
      </c>
      <c r="AE449" s="1">
        <v>0</v>
      </c>
      <c r="AF449" s="1">
        <f ca="1">IFERROR(__xludf.DUMMYFUNCTION("IFERROR(GOOGLEFINANCE(TRIM(F449)&amp;"":"" &amp; TRIM(B449),""high52""),AE449)"),0)</f>
        <v>0</v>
      </c>
      <c r="AG449" s="1">
        <v>0</v>
      </c>
      <c r="AH449" s="1">
        <f ca="1">IFERROR(__xludf.DUMMYFUNCTION("IFERROR(GOOGLEFINANCE(TRIM(F449)&amp;"":"" &amp; TRIM(B449),""low52""),AE449)"),0)</f>
        <v>0</v>
      </c>
      <c r="AI449" s="1">
        <f ca="1">IFERROR(__xludf.DUMMYFUNCTION("IFERROR(GOOGLEFINANCE(B449,""eps""),0)"),0)</f>
        <v>0</v>
      </c>
      <c r="AJ449" s="1"/>
      <c r="AK449" s="1" t="s">
        <v>1437</v>
      </c>
      <c r="AL449" s="1" t="b">
        <f>ISNUMBER(AA449)</f>
        <v>1</v>
      </c>
    </row>
    <row r="450" spans="1:38" ht="15" x14ac:dyDescent="0.25">
      <c r="A450" s="1" t="s">
        <v>1438</v>
      </c>
      <c r="B450" s="1" t="s">
        <v>1439</v>
      </c>
      <c r="C450" s="1" t="s">
        <v>317</v>
      </c>
      <c r="D450" s="1" t="s">
        <v>317</v>
      </c>
      <c r="E450" s="6">
        <v>1494.41</v>
      </c>
      <c r="F450" s="1" t="s">
        <v>40</v>
      </c>
      <c r="G450" s="6">
        <f ca="1">IFERROR(__xludf.DUMMYFUNCTION("iferror(GOOGLEFINANCE(TRIM(F450)&amp;"":"" &amp; TRIM(B450), ""price""),0
)"),27.4)</f>
        <v>27.4</v>
      </c>
      <c r="H450" s="6">
        <v>50.96</v>
      </c>
      <c r="I450" s="6">
        <f t="shared" ca="1" si="0"/>
        <v>27.4</v>
      </c>
      <c r="J450" s="6">
        <f ca="1">IFERROR(__xludf.DUMMYFUNCTION("IFERROR(GOOGLEFINANCE(B450, ""volume""), 0)"),572415)</f>
        <v>572415</v>
      </c>
      <c r="K450" s="6">
        <v>0.73</v>
      </c>
      <c r="L450" s="6">
        <f ca="1">IFERROR(__xludf.DUMMYFUNCTION("IFERROR(GOOGLEFINANCE(B450,""changepct""),K450)"),-0.4)</f>
        <v>-0.4</v>
      </c>
      <c r="M450" s="6">
        <f ca="1">IFERROR(__xludf.DUMMYFUNCTION("IFERROR(GOOGLEFINANCE(B450,""change""),0)"),-0.11)</f>
        <v>-0.11</v>
      </c>
      <c r="N450" s="6">
        <v>2</v>
      </c>
      <c r="O450" s="7">
        <v>45536</v>
      </c>
      <c r="P450" s="6">
        <v>376.11</v>
      </c>
      <c r="Q450" s="6">
        <v>1852.11</v>
      </c>
      <c r="R450" s="7">
        <v>45536</v>
      </c>
      <c r="S450" s="6">
        <v>2662.48</v>
      </c>
      <c r="T450" s="6">
        <v>110.87</v>
      </c>
      <c r="U450" s="7">
        <v>45536</v>
      </c>
      <c r="V450" s="6">
        <v>14.37</v>
      </c>
      <c r="W450" s="6">
        <f ca="1">IFERROR(__xludf.DUMMYFUNCTION("IFERROR(GOOGLEFINANCE(B450,""pe""),V450)"),7.75)</f>
        <v>7.75</v>
      </c>
      <c r="X450" s="6">
        <v>0.85</v>
      </c>
      <c r="Y450" s="6">
        <v>1.98</v>
      </c>
      <c r="Z450" s="6">
        <v>2</v>
      </c>
      <c r="AA450" s="8">
        <v>45352</v>
      </c>
      <c r="AB450" s="4">
        <v>0.76</v>
      </c>
      <c r="AC450" s="6">
        <v>18.09</v>
      </c>
      <c r="AD450" s="6">
        <v>15.92</v>
      </c>
      <c r="AE450" s="1">
        <v>0</v>
      </c>
      <c r="AF450" s="1">
        <f ca="1">IFERROR(__xludf.DUMMYFUNCTION("IFERROR(GOOGLEFINANCE(TRIM(F450)&amp;"":"" &amp; TRIM(B450),""high52""),AE450)"),49.3)</f>
        <v>49.3</v>
      </c>
      <c r="AG450" s="1">
        <v>0</v>
      </c>
      <c r="AH450" s="1">
        <f ca="1">IFERROR(__xludf.DUMMYFUNCTION("IFERROR(GOOGLEFINANCE(TRIM(F450)&amp;"":"" &amp; TRIM(B450),""low52""),AE450)"),26.07)</f>
        <v>26.07</v>
      </c>
      <c r="AI450" s="1">
        <f ca="1">IFERROR(__xludf.DUMMYFUNCTION("IFERROR(GOOGLEFINANCE(B450,""eps""),0)"),3.53)</f>
        <v>3.53</v>
      </c>
      <c r="AJ450" s="1"/>
      <c r="AK450" s="1" t="s">
        <v>1440</v>
      </c>
      <c r="AL450" s="9">
        <f t="shared" ref="AL450:AL451" si="99">IF(AA450&lt;&gt;AB450,1,0)</f>
        <v>1</v>
      </c>
    </row>
    <row r="451" spans="1:38" ht="15" x14ac:dyDescent="0.25">
      <c r="A451" s="1" t="s">
        <v>1441</v>
      </c>
      <c r="B451" s="1" t="s">
        <v>1442</v>
      </c>
      <c r="C451" s="1" t="s">
        <v>43</v>
      </c>
      <c r="D451" s="1" t="s">
        <v>43</v>
      </c>
      <c r="E451" s="6">
        <v>181.01</v>
      </c>
      <c r="F451" s="1" t="s">
        <v>40</v>
      </c>
      <c r="G451" s="6">
        <f ca="1">IFERROR(__xludf.DUMMYFUNCTION("iferror(GOOGLEFINANCE(TRIM(F451)&amp;"":"" &amp; TRIM(B451), ""price""),0
)"),0)</f>
        <v>0</v>
      </c>
      <c r="H451" s="6">
        <v>102.95</v>
      </c>
      <c r="I451" s="6">
        <f t="shared" ca="1" si="0"/>
        <v>102.95</v>
      </c>
      <c r="J451" s="6">
        <f ca="1">IFERROR(__xludf.DUMMYFUNCTION("IFERROR(GOOGLEFINANCE(B451, ""volume""), 0)"),0)</f>
        <v>0</v>
      </c>
      <c r="K451" s="6">
        <v>2.74</v>
      </c>
      <c r="L451" s="6">
        <f ca="1">IFERROR(__xludf.DUMMYFUNCTION("IFERROR(GOOGLEFINANCE(B451,""changepct""),K451)"),2.74)</f>
        <v>2.74</v>
      </c>
      <c r="M451" s="6">
        <f ca="1">IFERROR(__xludf.DUMMYFUNCTION("IFERROR(GOOGLEFINANCE(B451,""change""),0)"),0)</f>
        <v>0</v>
      </c>
      <c r="N451" s="6">
        <v>1</v>
      </c>
      <c r="O451" s="14"/>
      <c r="P451" s="9"/>
      <c r="Q451" s="7">
        <v>45352</v>
      </c>
      <c r="R451" s="6">
        <v>35.049999999999997</v>
      </c>
      <c r="S451" s="9"/>
      <c r="T451" s="6">
        <v>3.6</v>
      </c>
      <c r="U451" s="6">
        <v>2</v>
      </c>
      <c r="V451" s="7">
        <v>45352</v>
      </c>
      <c r="W451" s="10">
        <f ca="1">IFERROR(__xludf.DUMMYFUNCTION("IFERROR(GOOGLEFINANCE(B451,""pe""),V451)"),45352)</f>
        <v>45352</v>
      </c>
      <c r="X451" s="6">
        <v>0</v>
      </c>
      <c r="Y451" s="6">
        <v>30.91</v>
      </c>
      <c r="Z451" s="6">
        <v>42.56</v>
      </c>
      <c r="AA451" s="3" t="s">
        <v>1443</v>
      </c>
      <c r="AB451" s="11"/>
      <c r="AC451" s="9"/>
      <c r="AD451" s="9"/>
      <c r="AE451" s="1">
        <v>0</v>
      </c>
      <c r="AF451" s="1">
        <f ca="1">IFERROR(__xludf.DUMMYFUNCTION("IFERROR(GOOGLEFINANCE(TRIM(F451)&amp;"":"" &amp; TRIM(B451),""high52""),AE451)"),0)</f>
        <v>0</v>
      </c>
      <c r="AG451" s="1">
        <v>0</v>
      </c>
      <c r="AH451" s="1">
        <f ca="1">IFERROR(__xludf.DUMMYFUNCTION("IFERROR(GOOGLEFINANCE(TRIM(F451)&amp;"":"" &amp; TRIM(B451),""low52""),AE451)"),0)</f>
        <v>0</v>
      </c>
      <c r="AI451" s="1">
        <f ca="1">IFERROR(__xludf.DUMMYFUNCTION("IFERROR(GOOGLEFINANCE(B451,""eps""),0)"),0)</f>
        <v>0</v>
      </c>
      <c r="AJ451" s="1"/>
      <c r="AK451" s="1" t="s">
        <v>1444</v>
      </c>
      <c r="AL451" s="9">
        <f t="shared" si="99"/>
        <v>1</v>
      </c>
    </row>
    <row r="452" spans="1:38" ht="15" x14ac:dyDescent="0.25">
      <c r="A452" s="1" t="s">
        <v>1445</v>
      </c>
      <c r="B452" s="1" t="s">
        <v>1446</v>
      </c>
      <c r="C452" s="1" t="s">
        <v>135</v>
      </c>
      <c r="D452" s="1" t="s">
        <v>135</v>
      </c>
      <c r="E452" s="6">
        <v>163.35</v>
      </c>
      <c r="F452" s="1" t="s">
        <v>40</v>
      </c>
      <c r="G452" s="6">
        <f ca="1">IFERROR(__xludf.DUMMYFUNCTION("iferror(GOOGLEFINANCE(TRIM(F452)&amp;"":"" &amp; TRIM(B452), ""price""),0
)"),26.5)</f>
        <v>26.5</v>
      </c>
      <c r="H452" s="6">
        <v>42.02</v>
      </c>
      <c r="I452" s="6">
        <f t="shared" ca="1" si="0"/>
        <v>26.5</v>
      </c>
      <c r="J452" s="6">
        <f ca="1">IFERROR(__xludf.DUMMYFUNCTION("IFERROR(GOOGLEFINANCE(B452, ""volume""), 0)"),12207)</f>
        <v>12207</v>
      </c>
      <c r="K452" s="6">
        <v>1.45</v>
      </c>
      <c r="L452" s="6">
        <f ca="1">IFERROR(__xludf.DUMMYFUNCTION("IFERROR(GOOGLEFINANCE(B452,""changepct""),K452)"),-1.85)</f>
        <v>-1.85</v>
      </c>
      <c r="M452" s="6">
        <f ca="1">IFERROR(__xludf.DUMMYFUNCTION("IFERROR(GOOGLEFINANCE(B452,""change""),0)"),-0.5)</f>
        <v>-0.5</v>
      </c>
      <c r="N452" s="6">
        <v>2</v>
      </c>
      <c r="O452" s="7">
        <v>45536</v>
      </c>
      <c r="P452" s="6">
        <v>29.14</v>
      </c>
      <c r="Q452" s="6">
        <v>192.49</v>
      </c>
      <c r="R452" s="7">
        <v>45536</v>
      </c>
      <c r="S452" s="6">
        <v>255.77</v>
      </c>
      <c r="T452" s="6">
        <v>8.19</v>
      </c>
      <c r="U452" s="7">
        <v>45536</v>
      </c>
      <c r="V452" s="6">
        <v>19.940000000000001</v>
      </c>
      <c r="W452" s="6">
        <f ca="1">IFERROR(__xludf.DUMMYFUNCTION("IFERROR(GOOGLEFINANCE(B452,""pe""),V452)"),11.21)</f>
        <v>11.21</v>
      </c>
      <c r="X452" s="6">
        <v>0.3</v>
      </c>
      <c r="Y452" s="6">
        <v>2.23</v>
      </c>
      <c r="Z452" s="6">
        <v>2</v>
      </c>
      <c r="AA452" s="8">
        <v>45352</v>
      </c>
      <c r="AB452" s="4">
        <v>0.44</v>
      </c>
      <c r="AC452" s="6">
        <v>12.68</v>
      </c>
      <c r="AD452" s="6">
        <v>17.850000000000001</v>
      </c>
      <c r="AE452" s="1">
        <v>0</v>
      </c>
      <c r="AF452" s="1">
        <f ca="1">IFERROR(__xludf.DUMMYFUNCTION("IFERROR(GOOGLEFINANCE(TRIM(F452)&amp;"":"" &amp; TRIM(B452),""high52""),AE452)"),38.79)</f>
        <v>38.79</v>
      </c>
      <c r="AG452" s="1">
        <v>0</v>
      </c>
      <c r="AH452" s="1">
        <f ca="1">IFERROR(__xludf.DUMMYFUNCTION("IFERROR(GOOGLEFINANCE(TRIM(F452)&amp;"":"" &amp; TRIM(B452),""low52""),AE452)"),23)</f>
        <v>23</v>
      </c>
      <c r="AI452" s="1">
        <f ca="1">IFERROR(__xludf.DUMMYFUNCTION("IFERROR(GOOGLEFINANCE(B452,""eps""),0)"),2.36)</f>
        <v>2.36</v>
      </c>
      <c r="AJ452" s="1"/>
      <c r="AK452" s="1" t="s">
        <v>1447</v>
      </c>
      <c r="AL452" s="9" t="b">
        <f t="shared" ref="AL452:AL453" si="100">ISNUMBER(AA452)</f>
        <v>1</v>
      </c>
    </row>
    <row r="453" spans="1:38" ht="15" x14ac:dyDescent="0.25">
      <c r="A453" s="1" t="s">
        <v>1448</v>
      </c>
      <c r="B453" s="1" t="s">
        <v>1449</v>
      </c>
      <c r="C453" s="1" t="s">
        <v>239</v>
      </c>
      <c r="D453" s="1" t="s">
        <v>239</v>
      </c>
      <c r="E453" s="6">
        <v>150.52000000000001</v>
      </c>
      <c r="F453" s="1" t="s">
        <v>53</v>
      </c>
      <c r="G453" s="6">
        <f ca="1">IFERROR(__xludf.DUMMYFUNCTION("iferror(GOOGLEFINANCE(TRIM(F453)&amp;"":"" &amp; TRIM(B453), ""price""),0
)"),0)</f>
        <v>0</v>
      </c>
      <c r="H453" s="6">
        <v>185.5</v>
      </c>
      <c r="I453" s="6">
        <f t="shared" ca="1" si="0"/>
        <v>185.5</v>
      </c>
      <c r="J453" s="6">
        <f ca="1">IFERROR(__xludf.DUMMYFUNCTION("IFERROR(GOOGLEFINANCE(B453, ""volume""), 0)"),0)</f>
        <v>0</v>
      </c>
      <c r="K453" s="6">
        <v>-1.1499999999999999</v>
      </c>
      <c r="L453" s="6">
        <f ca="1">IFERROR(__xludf.DUMMYFUNCTION("IFERROR(GOOGLEFINANCE(B453,""changepct""),K453)"),-1.15)</f>
        <v>-1.1499999999999999</v>
      </c>
      <c r="M453" s="6">
        <f ca="1">IFERROR(__xludf.DUMMYFUNCTION("IFERROR(GOOGLEFINANCE(B453,""change""),0)"),0)</f>
        <v>0</v>
      </c>
      <c r="N453" s="6">
        <v>1</v>
      </c>
      <c r="O453" s="7">
        <v>45536</v>
      </c>
      <c r="P453" s="6">
        <v>363.21</v>
      </c>
      <c r="Q453" s="6">
        <v>513.73</v>
      </c>
      <c r="R453" s="7">
        <v>45536</v>
      </c>
      <c r="S453" s="6">
        <v>147.78</v>
      </c>
      <c r="T453" s="6">
        <v>-68.900000000000006</v>
      </c>
      <c r="U453" s="7">
        <v>45536</v>
      </c>
      <c r="V453" s="6">
        <v>0</v>
      </c>
      <c r="W453" s="6">
        <f ca="1">IFERROR(__xludf.DUMMYFUNCTION("IFERROR(GOOGLEFINANCE(B453,""pe""),V453)"),0)</f>
        <v>0</v>
      </c>
      <c r="X453" s="6">
        <v>0</v>
      </c>
      <c r="Y453" s="6">
        <v>-0.73</v>
      </c>
      <c r="Z453" s="6">
        <v>1</v>
      </c>
      <c r="AA453" s="8">
        <v>45352</v>
      </c>
      <c r="AB453" s="4">
        <v>-2.06</v>
      </c>
      <c r="AC453" s="6">
        <v>0</v>
      </c>
      <c r="AD453" s="6">
        <v>-22.71</v>
      </c>
      <c r="AE453" s="1">
        <v>0</v>
      </c>
      <c r="AF453" s="1">
        <f ca="1">IFERROR(__xludf.DUMMYFUNCTION("IFERROR(GOOGLEFINANCE(TRIM(F453)&amp;"":"" &amp; TRIM(B453),""high52""),AE453)"),0)</f>
        <v>0</v>
      </c>
      <c r="AG453" s="1">
        <v>0</v>
      </c>
      <c r="AH453" s="1">
        <f ca="1">IFERROR(__xludf.DUMMYFUNCTION("IFERROR(GOOGLEFINANCE(TRIM(F453)&amp;"":"" &amp; TRIM(B453),""low52""),AE453)"),0)</f>
        <v>0</v>
      </c>
      <c r="AI453" s="1">
        <f ca="1">IFERROR(__xludf.DUMMYFUNCTION("IFERROR(GOOGLEFINANCE(B453,""eps""),0)"),0)</f>
        <v>0</v>
      </c>
      <c r="AJ453" s="1"/>
      <c r="AK453" s="1" t="s">
        <v>1450</v>
      </c>
      <c r="AL453" s="1" t="b">
        <f t="shared" si="100"/>
        <v>1</v>
      </c>
    </row>
    <row r="454" spans="1:38" ht="15" x14ac:dyDescent="0.25">
      <c r="A454" s="1" t="s">
        <v>1451</v>
      </c>
      <c r="B454" s="1" t="s">
        <v>1452</v>
      </c>
      <c r="C454" s="1" t="s">
        <v>219</v>
      </c>
      <c r="D454" s="1" t="s">
        <v>219</v>
      </c>
      <c r="E454" s="6">
        <v>641.57000000000005</v>
      </c>
      <c r="F454" s="1" t="s">
        <v>40</v>
      </c>
      <c r="G454" s="6">
        <f ca="1">IFERROR(__xludf.DUMMYFUNCTION("iferror(GOOGLEFINANCE(TRIM(F454)&amp;"":"" &amp; TRIM(B454), ""price""),0
)"),126.3)</f>
        <v>126.3</v>
      </c>
      <c r="H454" s="6">
        <v>199</v>
      </c>
      <c r="I454" s="6">
        <f t="shared" ca="1" si="0"/>
        <v>126.3</v>
      </c>
      <c r="J454" s="6">
        <f ca="1">IFERROR(__xludf.DUMMYFUNCTION("IFERROR(GOOGLEFINANCE(B454, ""volume""), 0)"),7379)</f>
        <v>7379</v>
      </c>
      <c r="K454" s="6">
        <v>-1.51</v>
      </c>
      <c r="L454" s="6">
        <f ca="1">IFERROR(__xludf.DUMMYFUNCTION("IFERROR(GOOGLEFINANCE(B454,""changepct""),K454)"),2.33)</f>
        <v>2.33</v>
      </c>
      <c r="M454" s="6">
        <f ca="1">IFERROR(__xludf.DUMMYFUNCTION("IFERROR(GOOGLEFINANCE(B454,""change""),0)"),2.87)</f>
        <v>2.87</v>
      </c>
      <c r="N454" s="6">
        <v>2</v>
      </c>
      <c r="O454" s="7">
        <v>45536</v>
      </c>
      <c r="P454" s="6">
        <v>236.58</v>
      </c>
      <c r="Q454" s="6">
        <v>864.43</v>
      </c>
      <c r="R454" s="7">
        <v>45536</v>
      </c>
      <c r="S454" s="6">
        <v>915.12</v>
      </c>
      <c r="T454" s="6">
        <v>33.72</v>
      </c>
      <c r="U454" s="7">
        <v>45536</v>
      </c>
      <c r="V454" s="6">
        <v>18.93</v>
      </c>
      <c r="W454" s="6">
        <f ca="1">IFERROR(__xludf.DUMMYFUNCTION("IFERROR(GOOGLEFINANCE(B454,""pe""),V454)"),18.93)</f>
        <v>18.93</v>
      </c>
      <c r="X454" s="6">
        <v>1.05</v>
      </c>
      <c r="Y454" s="6">
        <v>4.55</v>
      </c>
      <c r="Z454" s="6">
        <v>2</v>
      </c>
      <c r="AA454" s="8">
        <v>45352</v>
      </c>
      <c r="AB454" s="4">
        <v>1.95</v>
      </c>
      <c r="AC454" s="6">
        <v>19.04</v>
      </c>
      <c r="AD454" s="6">
        <v>16.010000000000002</v>
      </c>
      <c r="AE454" s="1">
        <v>0</v>
      </c>
      <c r="AF454" s="1">
        <f ca="1">IFERROR(__xludf.DUMMYFUNCTION("IFERROR(GOOGLEFINANCE(TRIM(F454)&amp;"":"" &amp; TRIM(B454),""high52""),AE454)"),199.58)</f>
        <v>199.58</v>
      </c>
      <c r="AG454" s="1">
        <v>0</v>
      </c>
      <c r="AH454" s="1">
        <f ca="1">IFERROR(__xludf.DUMMYFUNCTION("IFERROR(GOOGLEFINANCE(TRIM(F454)&amp;"":"" &amp; TRIM(B454),""low52""),AE454)"),95)</f>
        <v>95</v>
      </c>
      <c r="AI454" s="1">
        <f ca="1">IFERROR(__xludf.DUMMYFUNCTION("IFERROR(GOOGLEFINANCE(B454,""eps""),0)"),-0.02)</f>
        <v>-0.02</v>
      </c>
      <c r="AJ454" s="1"/>
      <c r="AK454" s="1" t="s">
        <v>1453</v>
      </c>
      <c r="AL454" s="9">
        <f t="shared" ref="AL454:AL459" si="101">IF(AA454&lt;&gt;AB454,1,0)</f>
        <v>1</v>
      </c>
    </row>
    <row r="455" spans="1:38" ht="15" x14ac:dyDescent="0.25">
      <c r="A455" s="1" t="s">
        <v>1454</v>
      </c>
      <c r="B455" s="1" t="s">
        <v>1455</v>
      </c>
      <c r="C455" s="1" t="s">
        <v>487</v>
      </c>
      <c r="D455" s="1" t="s">
        <v>487</v>
      </c>
      <c r="E455" s="6">
        <v>1005.51</v>
      </c>
      <c r="F455" s="1" t="s">
        <v>40</v>
      </c>
      <c r="G455" s="6">
        <f ca="1">IFERROR(__xludf.DUMMYFUNCTION("iferror(GOOGLEFINANCE(TRIM(F455)&amp;"":"" &amp; TRIM(B455), ""price""),0
)"),190)</f>
        <v>190</v>
      </c>
      <c r="H455" s="6">
        <v>240.39</v>
      </c>
      <c r="I455" s="6">
        <f t="shared" ca="1" si="0"/>
        <v>190</v>
      </c>
      <c r="J455" s="6">
        <f ca="1">IFERROR(__xludf.DUMMYFUNCTION("IFERROR(GOOGLEFINANCE(B455, ""volume""), 0)"),34762)</f>
        <v>34762</v>
      </c>
      <c r="K455" s="6">
        <v>-0.51</v>
      </c>
      <c r="L455" s="6">
        <f ca="1">IFERROR(__xludf.DUMMYFUNCTION("IFERROR(GOOGLEFINANCE(B455,""changepct""),K455)"),2.29)</f>
        <v>2.29</v>
      </c>
      <c r="M455" s="6">
        <f ca="1">IFERROR(__xludf.DUMMYFUNCTION("IFERROR(GOOGLEFINANCE(B455,""change""),0)"),4.25)</f>
        <v>4.25</v>
      </c>
      <c r="N455" s="6">
        <v>1</v>
      </c>
      <c r="O455" s="7">
        <v>45536</v>
      </c>
      <c r="P455" s="12"/>
      <c r="Q455" s="6">
        <v>1005.51</v>
      </c>
      <c r="R455" s="7">
        <v>45536</v>
      </c>
      <c r="S455" s="6">
        <v>0</v>
      </c>
      <c r="T455" s="6">
        <v>-4.1100000000000003</v>
      </c>
      <c r="U455" s="7">
        <v>45536</v>
      </c>
      <c r="V455" s="6">
        <v>0</v>
      </c>
      <c r="W455" s="6">
        <f ca="1">IFERROR(__xludf.DUMMYFUNCTION("IFERROR(GOOGLEFINANCE(B455,""pe""),V455)"),0)</f>
        <v>0</v>
      </c>
      <c r="X455" s="12"/>
      <c r="Y455" s="6">
        <v>510.68</v>
      </c>
      <c r="Z455" s="6">
        <v>1</v>
      </c>
      <c r="AA455" s="8">
        <v>45352</v>
      </c>
      <c r="AB455" s="4">
        <v>0</v>
      </c>
      <c r="AC455" s="6">
        <v>-55.41</v>
      </c>
      <c r="AD455" s="6">
        <v>-46.97</v>
      </c>
      <c r="AE455" s="1">
        <v>0</v>
      </c>
      <c r="AF455" s="1">
        <f ca="1">IFERROR(__xludf.DUMMYFUNCTION("IFERROR(GOOGLEFINANCE(TRIM(F455)&amp;"":"" &amp; TRIM(B455),""high52""),AE455)"),248)</f>
        <v>248</v>
      </c>
      <c r="AG455" s="1">
        <v>0</v>
      </c>
      <c r="AH455" s="1">
        <f ca="1">IFERROR(__xludf.DUMMYFUNCTION("IFERROR(GOOGLEFINANCE(TRIM(F455)&amp;"":"" &amp; TRIM(B455),""low52""),AE455)"),180.5)</f>
        <v>180.5</v>
      </c>
      <c r="AI455" s="1">
        <f ca="1">IFERROR(__xludf.DUMMYFUNCTION("IFERROR(GOOGLEFINANCE(B455,""eps""),0)"),-1)</f>
        <v>-1</v>
      </c>
      <c r="AJ455" s="1"/>
      <c r="AK455" s="1" t="s">
        <v>1456</v>
      </c>
      <c r="AL455" s="9">
        <f t="shared" si="101"/>
        <v>1</v>
      </c>
    </row>
    <row r="456" spans="1:38" ht="15" x14ac:dyDescent="0.25">
      <c r="A456" s="1" t="s">
        <v>1457</v>
      </c>
      <c r="B456" s="1" t="s">
        <v>1458</v>
      </c>
      <c r="C456" s="1" t="s">
        <v>275</v>
      </c>
      <c r="D456" s="1" t="s">
        <v>275</v>
      </c>
      <c r="E456" s="6">
        <v>17444.669999999998</v>
      </c>
      <c r="F456" s="1" t="s">
        <v>40</v>
      </c>
      <c r="G456" s="6">
        <f ca="1">IFERROR(__xludf.DUMMYFUNCTION("iferror(GOOGLEFINANCE(TRIM(F456)&amp;"":"" &amp; TRIM(B456), ""price""),0
)"),1744)</f>
        <v>1744</v>
      </c>
      <c r="H456" s="6">
        <v>4193.55</v>
      </c>
      <c r="I456" s="6">
        <f t="shared" ca="1" si="0"/>
        <v>1744</v>
      </c>
      <c r="J456" s="6">
        <f ca="1">IFERROR(__xludf.DUMMYFUNCTION("IFERROR(GOOGLEFINANCE(B456, ""volume""), 0)"),343828)</f>
        <v>343828</v>
      </c>
      <c r="K456" s="6">
        <v>0.02</v>
      </c>
      <c r="L456" s="6">
        <f ca="1">IFERROR(__xludf.DUMMYFUNCTION("IFERROR(GOOGLEFINANCE(B456,""changepct""),K456)"),3.34)</f>
        <v>3.34</v>
      </c>
      <c r="M456" s="6">
        <f ca="1">IFERROR(__xludf.DUMMYFUNCTION("IFERROR(GOOGLEFINANCE(B456,""change""),0)"),56.4)</f>
        <v>56.4</v>
      </c>
      <c r="N456" s="6">
        <v>2</v>
      </c>
      <c r="O456" s="7">
        <v>45536</v>
      </c>
      <c r="P456" s="6">
        <v>638.13</v>
      </c>
      <c r="Q456" s="6">
        <v>18009.28</v>
      </c>
      <c r="R456" s="7">
        <v>45536</v>
      </c>
      <c r="S456" s="6">
        <v>4054.54</v>
      </c>
      <c r="T456" s="6">
        <v>285.56</v>
      </c>
      <c r="U456" s="7">
        <v>45536</v>
      </c>
      <c r="V456" s="6">
        <v>61.09</v>
      </c>
      <c r="W456" s="6">
        <f ca="1">IFERROR(__xludf.DUMMYFUNCTION("IFERROR(GOOGLEFINANCE(B456,""pe""),V456)"),48.68)</f>
        <v>48.68</v>
      </c>
      <c r="X456" s="6">
        <v>1.75</v>
      </c>
      <c r="Y456" s="6">
        <v>6.46</v>
      </c>
      <c r="Z456" s="6">
        <v>2</v>
      </c>
      <c r="AA456" s="8">
        <v>45352</v>
      </c>
      <c r="AB456" s="4">
        <v>0.02</v>
      </c>
      <c r="AC456" s="6">
        <v>11.07</v>
      </c>
      <c r="AD456" s="6">
        <v>15.65</v>
      </c>
      <c r="AE456" s="1">
        <v>0</v>
      </c>
      <c r="AF456" s="1">
        <f ca="1">IFERROR(__xludf.DUMMYFUNCTION("IFERROR(GOOGLEFINANCE(TRIM(F456)&amp;"":"" &amp; TRIM(B456),""high52""),AE456)"),2437.4)</f>
        <v>2437.4</v>
      </c>
      <c r="AG456" s="1">
        <v>0</v>
      </c>
      <c r="AH456" s="1">
        <f ca="1">IFERROR(__xludf.DUMMYFUNCTION("IFERROR(GOOGLEFINANCE(TRIM(F456)&amp;"":"" &amp; TRIM(B456),""low52""),AE456)"),1175)</f>
        <v>1175</v>
      </c>
      <c r="AI456" s="1">
        <f ca="1">IFERROR(__xludf.DUMMYFUNCTION("IFERROR(GOOGLEFINANCE(B456,""eps""),0)"),35.83)</f>
        <v>35.83</v>
      </c>
      <c r="AJ456" s="1"/>
      <c r="AK456" s="1" t="s">
        <v>1459</v>
      </c>
      <c r="AL456" s="9">
        <f t="shared" si="101"/>
        <v>1</v>
      </c>
    </row>
    <row r="457" spans="1:38" ht="15" x14ac:dyDescent="0.25">
      <c r="A457" s="1" t="s">
        <v>1460</v>
      </c>
      <c r="B457" s="1" t="s">
        <v>1461</v>
      </c>
      <c r="C457" s="1" t="s">
        <v>593</v>
      </c>
      <c r="D457" s="1" t="s">
        <v>593</v>
      </c>
      <c r="E457" s="6">
        <v>53330.95</v>
      </c>
      <c r="F457" s="1" t="s">
        <v>40</v>
      </c>
      <c r="G457" s="6">
        <f ca="1">IFERROR(__xludf.DUMMYFUNCTION("iferror(GOOGLEFINANCE(TRIM(F457)&amp;"":"" &amp; TRIM(B457), ""price""),0
)"),470.25)</f>
        <v>470.25</v>
      </c>
      <c r="H457" s="6">
        <v>458.6</v>
      </c>
      <c r="I457" s="6">
        <f t="shared" ca="1" si="0"/>
        <v>470.25</v>
      </c>
      <c r="J457" s="6">
        <f ca="1">IFERROR(__xludf.DUMMYFUNCTION("IFERROR(GOOGLEFINANCE(B457, ""volume""), 0)"),225137)</f>
        <v>225137</v>
      </c>
      <c r="K457" s="6">
        <v>0.26</v>
      </c>
      <c r="L457" s="6">
        <f ca="1">IFERROR(__xludf.DUMMYFUNCTION("IFERROR(GOOGLEFINANCE(B457,""changepct""),K457)"),1.6)</f>
        <v>1.6</v>
      </c>
      <c r="M457" s="6">
        <f ca="1">IFERROR(__xludf.DUMMYFUNCTION("IFERROR(GOOGLEFINANCE(B457,""change""),0)"),7.4)</f>
        <v>7.4</v>
      </c>
      <c r="N457" s="6">
        <v>2</v>
      </c>
      <c r="O457" s="7">
        <v>45536</v>
      </c>
      <c r="P457" s="6">
        <v>251.17</v>
      </c>
      <c r="Q457" s="6">
        <v>53125.35</v>
      </c>
      <c r="R457" s="7">
        <v>45536</v>
      </c>
      <c r="S457" s="6">
        <v>11267.73</v>
      </c>
      <c r="T457" s="6">
        <v>1094.81</v>
      </c>
      <c r="U457" s="7">
        <v>45536</v>
      </c>
      <c r="V457" s="6">
        <v>46.58</v>
      </c>
      <c r="W457" s="6">
        <f ca="1">IFERROR(__xludf.DUMMYFUNCTION("IFERROR(GOOGLEFINANCE(B457,""pe""),V457)"),50.89)</f>
        <v>50.89</v>
      </c>
      <c r="X457" s="6">
        <v>2.48</v>
      </c>
      <c r="Y457" s="6">
        <v>9.5399999999999991</v>
      </c>
      <c r="Z457" s="6">
        <v>2</v>
      </c>
      <c r="AA457" s="8">
        <v>45352</v>
      </c>
      <c r="AB457" s="4">
        <v>0.04</v>
      </c>
      <c r="AC457" s="6">
        <v>23.72</v>
      </c>
      <c r="AD457" s="6">
        <v>30.15</v>
      </c>
      <c r="AE457" s="1">
        <v>0</v>
      </c>
      <c r="AF457" s="1">
        <f ca="1">IFERROR(__xludf.DUMMYFUNCTION("IFERROR(GOOGLEFINANCE(TRIM(F457)&amp;"":"" &amp; TRIM(B457),""high52""),AE457)"),605)</f>
        <v>605</v>
      </c>
      <c r="AG457" s="1">
        <v>0</v>
      </c>
      <c r="AH457" s="1">
        <f ca="1">IFERROR(__xludf.DUMMYFUNCTION("IFERROR(GOOGLEFINANCE(TRIM(F457)&amp;"":"" &amp; TRIM(B457),""low52""),AE457)"),452.85)</f>
        <v>452.85</v>
      </c>
      <c r="AI457" s="1">
        <f ca="1">IFERROR(__xludf.DUMMYFUNCTION("IFERROR(GOOGLEFINANCE(B457,""eps""),0)"),9.24)</f>
        <v>9.24</v>
      </c>
      <c r="AJ457" s="1"/>
      <c r="AK457" s="1" t="s">
        <v>1462</v>
      </c>
      <c r="AL457" s="9">
        <f t="shared" si="101"/>
        <v>1</v>
      </c>
    </row>
    <row r="458" spans="1:38" ht="15" x14ac:dyDescent="0.25">
      <c r="A458" s="1" t="s">
        <v>1463</v>
      </c>
      <c r="B458" s="1" t="s">
        <v>1464</v>
      </c>
      <c r="C458" s="1" t="s">
        <v>697</v>
      </c>
      <c r="D458" s="1" t="s">
        <v>697</v>
      </c>
      <c r="E458" s="6">
        <v>1452.26</v>
      </c>
      <c r="F458" s="1" t="s">
        <v>40</v>
      </c>
      <c r="G458" s="6">
        <f ca="1">IFERROR(__xludf.DUMMYFUNCTION("iferror(GOOGLEFINANCE(TRIM(F458)&amp;"":"" &amp; TRIM(B458), ""price""),0
)"),19.99)</f>
        <v>19.989999999999998</v>
      </c>
      <c r="H458" s="6">
        <v>619.35</v>
      </c>
      <c r="I458" s="6">
        <f t="shared" ca="1" si="0"/>
        <v>19.989999999999998</v>
      </c>
      <c r="J458" s="6">
        <f ca="1">IFERROR(__xludf.DUMMYFUNCTION("IFERROR(GOOGLEFINANCE(B458, ""volume""), 0)"),371360)</f>
        <v>371360</v>
      </c>
      <c r="K458" s="6">
        <v>0.95</v>
      </c>
      <c r="L458" s="6">
        <f ca="1">IFERROR(__xludf.DUMMYFUNCTION("IFERROR(GOOGLEFINANCE(B458,""changepct""),K458)"),1.47)</f>
        <v>1.47</v>
      </c>
      <c r="M458" s="6">
        <f ca="1">IFERROR(__xludf.DUMMYFUNCTION("IFERROR(GOOGLEFINANCE(B458,""change""),0)"),0.29)</f>
        <v>0.28999999999999998</v>
      </c>
      <c r="N458" s="6">
        <v>2</v>
      </c>
      <c r="O458" s="7">
        <v>45536</v>
      </c>
      <c r="P458" s="6">
        <v>570.05999999999995</v>
      </c>
      <c r="Q458" s="6">
        <v>1903.83</v>
      </c>
      <c r="R458" s="7">
        <v>45536</v>
      </c>
      <c r="S458" s="6">
        <v>1715.76</v>
      </c>
      <c r="T458" s="6">
        <v>36.83</v>
      </c>
      <c r="U458" s="7">
        <v>45536</v>
      </c>
      <c r="V458" s="6">
        <v>39.44</v>
      </c>
      <c r="W458" s="6">
        <f ca="1">IFERROR(__xludf.DUMMYFUNCTION("IFERROR(GOOGLEFINANCE(B458,""pe""),V458)"),55.42)</f>
        <v>55.42</v>
      </c>
      <c r="X458" s="9"/>
      <c r="Y458" s="6">
        <v>2.0099999999999998</v>
      </c>
      <c r="Z458" s="6">
        <v>2</v>
      </c>
      <c r="AA458" s="8">
        <v>45352</v>
      </c>
      <c r="AB458" s="4">
        <v>1.02</v>
      </c>
      <c r="AC458" s="6">
        <v>18.829999999999998</v>
      </c>
      <c r="AD458" s="6">
        <v>16.95</v>
      </c>
      <c r="AE458" s="1">
        <v>0</v>
      </c>
      <c r="AF458" s="1">
        <f ca="1">IFERROR(__xludf.DUMMYFUNCTION("IFERROR(GOOGLEFINANCE(TRIM(F458)&amp;"":"" &amp; TRIM(B458),""high52""),AE458)"),35.58)</f>
        <v>35.58</v>
      </c>
      <c r="AG458" s="1">
        <v>0</v>
      </c>
      <c r="AH458" s="1">
        <f ca="1">IFERROR(__xludf.DUMMYFUNCTION("IFERROR(GOOGLEFINANCE(TRIM(F458)&amp;"":"" &amp; TRIM(B458),""low52""),AE458)"),16.28)</f>
        <v>16.28</v>
      </c>
      <c r="AI458" s="1">
        <f ca="1">IFERROR(__xludf.DUMMYFUNCTION("IFERROR(GOOGLEFINANCE(B458,""eps""),0)"),0.36)</f>
        <v>0.36</v>
      </c>
      <c r="AJ458" s="1"/>
      <c r="AK458" s="1" t="s">
        <v>1465</v>
      </c>
      <c r="AL458" s="9">
        <f t="shared" si="101"/>
        <v>1</v>
      </c>
    </row>
    <row r="459" spans="1:38" ht="15" x14ac:dyDescent="0.25">
      <c r="A459" s="1" t="s">
        <v>1466</v>
      </c>
      <c r="B459" s="1" t="s">
        <v>1467</v>
      </c>
      <c r="C459" s="1" t="s">
        <v>106</v>
      </c>
      <c r="D459" s="1" t="s">
        <v>106</v>
      </c>
      <c r="E459" s="6">
        <v>1889.12</v>
      </c>
      <c r="F459" s="1" t="s">
        <v>40</v>
      </c>
      <c r="G459" s="6">
        <f ca="1">IFERROR(__xludf.DUMMYFUNCTION("iferror(GOOGLEFINANCE(TRIM(F459)&amp;"":"" &amp; TRIM(B459), ""price""),0
)"),1424.4)</f>
        <v>1424.4</v>
      </c>
      <c r="H459" s="6">
        <v>1983.9</v>
      </c>
      <c r="I459" s="6">
        <f t="shared" ca="1" si="0"/>
        <v>1424.4</v>
      </c>
      <c r="J459" s="6">
        <f ca="1">IFERROR(__xludf.DUMMYFUNCTION("IFERROR(GOOGLEFINANCE(B459, ""volume""), 0)"),500)</f>
        <v>500</v>
      </c>
      <c r="K459" s="6">
        <v>0.96</v>
      </c>
      <c r="L459" s="6">
        <f ca="1">IFERROR(__xludf.DUMMYFUNCTION("IFERROR(GOOGLEFINANCE(B459,""changepct""),K459)"),-6.52)</f>
        <v>-6.52</v>
      </c>
      <c r="M459" s="6">
        <f ca="1">IFERROR(__xludf.DUMMYFUNCTION("IFERROR(GOOGLEFINANCE(B459,""change""),0)"),-1.5)</f>
        <v>-1.5</v>
      </c>
      <c r="N459" s="6">
        <v>1</v>
      </c>
      <c r="O459" s="7">
        <v>45536</v>
      </c>
      <c r="P459" s="6">
        <v>8.36</v>
      </c>
      <c r="Q459" s="6">
        <v>1897.48</v>
      </c>
      <c r="R459" s="7">
        <v>45352</v>
      </c>
      <c r="S459" s="6">
        <v>197.62</v>
      </c>
      <c r="T459" s="6">
        <v>21.94</v>
      </c>
      <c r="U459" s="7">
        <v>45352</v>
      </c>
      <c r="V459" s="6">
        <v>86.12</v>
      </c>
      <c r="W459" s="6">
        <f ca="1">IFERROR(__xludf.DUMMYFUNCTION("IFERROR(GOOGLEFINANCE(B459,""pe""),V459)"),86.12)</f>
        <v>86.12</v>
      </c>
      <c r="X459" s="6">
        <v>2.44</v>
      </c>
      <c r="Y459" s="6">
        <v>16.28</v>
      </c>
      <c r="Z459" s="6">
        <v>2</v>
      </c>
      <c r="AA459" s="8">
        <v>45352</v>
      </c>
      <c r="AB459" s="4">
        <v>0.09</v>
      </c>
      <c r="AC459" s="6">
        <v>26.03</v>
      </c>
      <c r="AD459" s="6">
        <v>32.74</v>
      </c>
      <c r="AE459" s="1">
        <v>0</v>
      </c>
      <c r="AF459" s="1">
        <f ca="1">IFERROR(__xludf.DUMMYFUNCTION("IFERROR(GOOGLEFINANCE(TRIM(F459)&amp;"":"" &amp; TRIM(B459),""high52""),AE459)"),1768.9)</f>
        <v>1768.9</v>
      </c>
      <c r="AG459" s="1">
        <v>0</v>
      </c>
      <c r="AH459" s="1">
        <f ca="1">IFERROR(__xludf.DUMMYFUNCTION("IFERROR(GOOGLEFINANCE(TRIM(F459)&amp;"":"" &amp; TRIM(B459),""low52""),AE459)"),1384.9)</f>
        <v>1384.9</v>
      </c>
      <c r="AI459" s="1">
        <f ca="1">IFERROR(__xludf.DUMMYFUNCTION("IFERROR(GOOGLEFINANCE(B459,""eps""),0)"),0)</f>
        <v>0</v>
      </c>
      <c r="AJ459" s="1"/>
      <c r="AK459" s="9"/>
      <c r="AL459" s="9">
        <f t="shared" si="101"/>
        <v>1</v>
      </c>
    </row>
    <row r="460" spans="1:38" ht="15" x14ac:dyDescent="0.25">
      <c r="A460" s="1" t="s">
        <v>1468</v>
      </c>
      <c r="B460" s="1" t="s">
        <v>1469</v>
      </c>
      <c r="C460" s="1" t="s">
        <v>239</v>
      </c>
      <c r="D460" s="1" t="s">
        <v>239</v>
      </c>
      <c r="E460" s="6">
        <v>1197.4000000000001</v>
      </c>
      <c r="F460" s="1" t="s">
        <v>53</v>
      </c>
      <c r="G460" s="6">
        <f ca="1">IFERROR(__xludf.DUMMYFUNCTION("iferror(GOOGLEFINANCE(TRIM(F460)&amp;"":"" &amp; TRIM(B460), ""price""),0
)"),0)</f>
        <v>0</v>
      </c>
      <c r="H460" s="6">
        <v>40.65</v>
      </c>
      <c r="I460" s="6">
        <f t="shared" ca="1" si="0"/>
        <v>40.65</v>
      </c>
      <c r="J460" s="6">
        <f ca="1">IFERROR(__xludf.DUMMYFUNCTION("IFERROR(GOOGLEFINANCE(B460, ""volume""), 0)"),0)</f>
        <v>0</v>
      </c>
      <c r="K460" s="6">
        <v>0.15</v>
      </c>
      <c r="L460" s="6">
        <f ca="1">IFERROR(__xludf.DUMMYFUNCTION("IFERROR(GOOGLEFINANCE(B460,""changepct""),K460)"),0.15)</f>
        <v>0.15</v>
      </c>
      <c r="M460" s="6">
        <f ca="1">IFERROR(__xludf.DUMMYFUNCTION("IFERROR(GOOGLEFINANCE(B460,""change""),0)"),0)</f>
        <v>0</v>
      </c>
      <c r="N460" s="6">
        <v>1</v>
      </c>
      <c r="O460" s="7">
        <v>45536</v>
      </c>
      <c r="P460" s="6">
        <v>1259.06</v>
      </c>
      <c r="Q460" s="6">
        <v>2374.75</v>
      </c>
      <c r="R460" s="7">
        <v>45536</v>
      </c>
      <c r="S460" s="6">
        <v>389.44</v>
      </c>
      <c r="T460" s="6">
        <v>-99.5</v>
      </c>
      <c r="U460" s="7">
        <v>45536</v>
      </c>
      <c r="V460" s="6">
        <v>0</v>
      </c>
      <c r="W460" s="6">
        <f ca="1">IFERROR(__xludf.DUMMYFUNCTION("IFERROR(GOOGLEFINANCE(B460,""pe""),V460)"),0)</f>
        <v>0</v>
      </c>
      <c r="X460" s="9"/>
      <c r="Y460" s="6">
        <v>6.26</v>
      </c>
      <c r="Z460" s="6">
        <v>1</v>
      </c>
      <c r="AA460" s="8">
        <v>45352</v>
      </c>
      <c r="AB460" s="4">
        <v>-9.6999999999999993</v>
      </c>
      <c r="AC460" s="6">
        <v>0</v>
      </c>
      <c r="AD460" s="6">
        <v>0.79</v>
      </c>
      <c r="AE460" s="1">
        <v>0</v>
      </c>
      <c r="AF460" s="1">
        <f ca="1">IFERROR(__xludf.DUMMYFUNCTION("IFERROR(GOOGLEFINANCE(TRIM(F460)&amp;"":"" &amp; TRIM(B460),""high52""),AE460)"),0)</f>
        <v>0</v>
      </c>
      <c r="AG460" s="1">
        <v>0</v>
      </c>
      <c r="AH460" s="1">
        <f ca="1">IFERROR(__xludf.DUMMYFUNCTION("IFERROR(GOOGLEFINANCE(TRIM(F460)&amp;"":"" &amp; TRIM(B460),""low52""),AE460)"),0)</f>
        <v>0</v>
      </c>
      <c r="AI460" s="1">
        <f ca="1">IFERROR(__xludf.DUMMYFUNCTION("IFERROR(GOOGLEFINANCE(B460,""eps""),0)"),0)</f>
        <v>0</v>
      </c>
      <c r="AJ460" s="1"/>
      <c r="AK460" s="1" t="s">
        <v>1470</v>
      </c>
      <c r="AL460" s="1" t="b">
        <f>ISNUMBER(AA460)</f>
        <v>1</v>
      </c>
    </row>
    <row r="461" spans="1:38" ht="15" x14ac:dyDescent="0.25">
      <c r="A461" s="1" t="s">
        <v>1471</v>
      </c>
      <c r="B461" s="1" t="s">
        <v>1472</v>
      </c>
      <c r="C461" s="1" t="s">
        <v>112</v>
      </c>
      <c r="D461" s="1" t="s">
        <v>112</v>
      </c>
      <c r="E461" s="6">
        <v>337.55</v>
      </c>
      <c r="F461" s="1" t="s">
        <v>40</v>
      </c>
      <c r="G461" s="6">
        <f ca="1">IFERROR(__xludf.DUMMYFUNCTION("iferror(GOOGLEFINANCE(TRIM(F461)&amp;"":"" &amp; TRIM(B461), ""price""),0
)"),0)</f>
        <v>0</v>
      </c>
      <c r="H461" s="6">
        <v>257.45</v>
      </c>
      <c r="I461" s="6">
        <f t="shared" ca="1" si="0"/>
        <v>257.45</v>
      </c>
      <c r="J461" s="6">
        <f ca="1">IFERROR(__xludf.DUMMYFUNCTION("IFERROR(GOOGLEFINANCE(B461, ""volume""), 0)"),0)</f>
        <v>0</v>
      </c>
      <c r="K461" s="6">
        <v>-0.28999999999999998</v>
      </c>
      <c r="L461" s="6">
        <f ca="1">IFERROR(__xludf.DUMMYFUNCTION("IFERROR(GOOGLEFINANCE(B461,""changepct""),K461)"),-0.29)</f>
        <v>-0.28999999999999998</v>
      </c>
      <c r="M461" s="6">
        <f ca="1">IFERROR(__xludf.DUMMYFUNCTION("IFERROR(GOOGLEFINANCE(B461,""change""),0)"),0)</f>
        <v>0</v>
      </c>
      <c r="N461" s="6">
        <v>1</v>
      </c>
      <c r="O461" s="7">
        <v>45536</v>
      </c>
      <c r="P461" s="6">
        <v>48.45</v>
      </c>
      <c r="Q461" s="6">
        <v>386.01</v>
      </c>
      <c r="R461" s="7">
        <v>45352</v>
      </c>
      <c r="S461" s="6">
        <v>120.76</v>
      </c>
      <c r="T461" s="6">
        <v>13.56</v>
      </c>
      <c r="U461" s="7">
        <v>45352</v>
      </c>
      <c r="V461" s="6">
        <v>24.89</v>
      </c>
      <c r="W461" s="6">
        <f ca="1">IFERROR(__xludf.DUMMYFUNCTION("IFERROR(GOOGLEFINANCE(B461,""pe""),V461)"),24.89)</f>
        <v>24.89</v>
      </c>
      <c r="X461" s="12"/>
      <c r="Y461" s="6">
        <v>2.56</v>
      </c>
      <c r="Z461" s="6">
        <v>1</v>
      </c>
      <c r="AA461" s="8">
        <v>45352</v>
      </c>
      <c r="AB461" s="4">
        <v>0.98</v>
      </c>
      <c r="AC461" s="6">
        <v>28.89</v>
      </c>
      <c r="AD461" s="6">
        <v>22.83</v>
      </c>
      <c r="AE461" s="1">
        <v>0</v>
      </c>
      <c r="AF461" s="1">
        <f ca="1">IFERROR(__xludf.DUMMYFUNCTION("IFERROR(GOOGLEFINANCE(TRIM(F461)&amp;"":"" &amp; TRIM(B461),""high52""),AE461)"),0)</f>
        <v>0</v>
      </c>
      <c r="AG461" s="1">
        <v>0</v>
      </c>
      <c r="AH461" s="1">
        <f ca="1">IFERROR(__xludf.DUMMYFUNCTION("IFERROR(GOOGLEFINANCE(TRIM(F461)&amp;"":"" &amp; TRIM(B461),""low52""),AE461)"),0)</f>
        <v>0</v>
      </c>
      <c r="AI461" s="1">
        <f ca="1">IFERROR(__xludf.DUMMYFUNCTION("IFERROR(GOOGLEFINANCE(B461,""eps""),0)"),0)</f>
        <v>0</v>
      </c>
      <c r="AJ461" s="1"/>
      <c r="AK461" s="1" t="s">
        <v>1473</v>
      </c>
      <c r="AL461" s="9">
        <f t="shared" ref="AL461:AL462" si="102">IF(AA461&lt;&gt;AB461,1,0)</f>
        <v>1</v>
      </c>
    </row>
    <row r="462" spans="1:38" ht="15" x14ac:dyDescent="0.25">
      <c r="A462" s="1" t="s">
        <v>1474</v>
      </c>
      <c r="B462" s="1" t="s">
        <v>1475</v>
      </c>
      <c r="C462" s="1" t="s">
        <v>43</v>
      </c>
      <c r="D462" s="1" t="s">
        <v>43</v>
      </c>
      <c r="E462" s="6">
        <v>2581.5500000000002</v>
      </c>
      <c r="F462" s="1" t="s">
        <v>40</v>
      </c>
      <c r="G462" s="6">
        <f ca="1">IFERROR(__xludf.DUMMYFUNCTION("iferror(GOOGLEFINANCE(TRIM(F462)&amp;"":"" &amp; TRIM(B462), ""price""),0
)"),374)</f>
        <v>374</v>
      </c>
      <c r="H462" s="6">
        <v>695.8</v>
      </c>
      <c r="I462" s="6">
        <f t="shared" ca="1" si="0"/>
        <v>374</v>
      </c>
      <c r="J462" s="6">
        <f ca="1">IFERROR(__xludf.DUMMYFUNCTION("IFERROR(GOOGLEFINANCE(B462, ""volume""), 0)"),7007)</f>
        <v>7007</v>
      </c>
      <c r="K462" s="6">
        <v>1.49</v>
      </c>
      <c r="L462" s="6">
        <f ca="1">IFERROR(__xludf.DUMMYFUNCTION("IFERROR(GOOGLEFINANCE(B462,""changepct""),K462)"),-0.01)</f>
        <v>-0.01</v>
      </c>
      <c r="M462" s="6">
        <f ca="1">IFERROR(__xludf.DUMMYFUNCTION("IFERROR(GOOGLEFINANCE(B462,""change""),0)"),-0.05)</f>
        <v>-0.05</v>
      </c>
      <c r="N462" s="6">
        <v>2</v>
      </c>
      <c r="O462" s="7">
        <v>45536</v>
      </c>
      <c r="P462" s="6">
        <v>-139.84</v>
      </c>
      <c r="Q462" s="7">
        <v>45536</v>
      </c>
      <c r="R462" s="6">
        <v>4.9000000000000004</v>
      </c>
      <c r="S462" s="6">
        <v>0.18</v>
      </c>
      <c r="T462" s="6">
        <v>0.32</v>
      </c>
      <c r="U462" s="6">
        <v>2</v>
      </c>
      <c r="V462" s="7">
        <v>45352</v>
      </c>
      <c r="W462" s="6">
        <f ca="1">IFERROR(__xludf.DUMMYFUNCTION("IFERROR(GOOGLEFINANCE(B462,""pe""),V462)"),17.17)</f>
        <v>17.170000000000002</v>
      </c>
      <c r="X462" s="6">
        <v>0</v>
      </c>
      <c r="Y462" s="6">
        <v>7.96</v>
      </c>
      <c r="Z462" s="6">
        <v>10.63</v>
      </c>
      <c r="AA462" s="3" t="s">
        <v>1476</v>
      </c>
      <c r="AB462" s="4"/>
      <c r="AC462" s="9"/>
      <c r="AD462" s="9"/>
      <c r="AE462" s="1">
        <v>0</v>
      </c>
      <c r="AF462" s="1">
        <f ca="1">IFERROR(__xludf.DUMMYFUNCTION("IFERROR(GOOGLEFINANCE(TRIM(F462)&amp;"":"" &amp; TRIM(B462),""high52""),AE462)"),591.95)</f>
        <v>591.95000000000005</v>
      </c>
      <c r="AG462" s="1">
        <v>0</v>
      </c>
      <c r="AH462" s="1">
        <f ca="1">IFERROR(__xludf.DUMMYFUNCTION("IFERROR(GOOGLEFINANCE(TRIM(F462)&amp;"":"" &amp; TRIM(B462),""low52""),AE462)"),360.5)</f>
        <v>360.5</v>
      </c>
      <c r="AI462" s="1">
        <f ca="1">IFERROR(__xludf.DUMMYFUNCTION("IFERROR(GOOGLEFINANCE(B462,""eps""),0)"),21.79)</f>
        <v>21.79</v>
      </c>
      <c r="AJ462" s="1"/>
      <c r="AK462" s="9"/>
      <c r="AL462" s="9">
        <f t="shared" si="102"/>
        <v>1</v>
      </c>
    </row>
    <row r="463" spans="1:38" ht="15" x14ac:dyDescent="0.25">
      <c r="A463" s="1" t="s">
        <v>1477</v>
      </c>
      <c r="B463" s="1" t="s">
        <v>1478</v>
      </c>
      <c r="C463" s="1" t="s">
        <v>239</v>
      </c>
      <c r="D463" s="1" t="s">
        <v>239</v>
      </c>
      <c r="E463" s="6">
        <v>346.84</v>
      </c>
      <c r="F463" s="1" t="s">
        <v>53</v>
      </c>
      <c r="G463" s="6">
        <f ca="1">IFERROR(__xludf.DUMMYFUNCTION("iferror(GOOGLEFINANCE(TRIM(F463)&amp;"":"" &amp; TRIM(B463), ""price""),0
)"),0)</f>
        <v>0</v>
      </c>
      <c r="H463" s="6">
        <v>204</v>
      </c>
      <c r="I463" s="6">
        <f t="shared" ca="1" si="0"/>
        <v>204</v>
      </c>
      <c r="J463" s="6">
        <f ca="1">IFERROR(__xludf.DUMMYFUNCTION("IFERROR(GOOGLEFINANCE(B463, ""volume""), 0)"),0)</f>
        <v>0</v>
      </c>
      <c r="K463" s="6">
        <v>3</v>
      </c>
      <c r="L463" s="6">
        <f ca="1">IFERROR(__xludf.DUMMYFUNCTION("IFERROR(GOOGLEFINANCE(B463,""changepct""),K463)"),3)</f>
        <v>3</v>
      </c>
      <c r="M463" s="6">
        <f ca="1">IFERROR(__xludf.DUMMYFUNCTION("IFERROR(GOOGLEFINANCE(B463,""change""),0)"),0)</f>
        <v>0</v>
      </c>
      <c r="N463" s="6">
        <v>1</v>
      </c>
      <c r="O463" s="7">
        <v>45536</v>
      </c>
      <c r="P463" s="6">
        <v>235.94</v>
      </c>
      <c r="Q463" s="6">
        <v>562.12</v>
      </c>
      <c r="R463" s="7">
        <v>45536</v>
      </c>
      <c r="S463" s="6">
        <v>124.95</v>
      </c>
      <c r="T463" s="6">
        <v>3.98</v>
      </c>
      <c r="U463" s="7">
        <v>45536</v>
      </c>
      <c r="V463" s="6">
        <v>87.17</v>
      </c>
      <c r="W463" s="6">
        <f ca="1">IFERROR(__xludf.DUMMYFUNCTION("IFERROR(GOOGLEFINANCE(B463,""pe""),V463)"),87.17)</f>
        <v>87.17</v>
      </c>
      <c r="X463" s="6">
        <v>4.22</v>
      </c>
      <c r="Y463" s="6">
        <v>3.47</v>
      </c>
      <c r="Z463" s="6">
        <v>1</v>
      </c>
      <c r="AA463" s="8">
        <v>45352</v>
      </c>
      <c r="AB463" s="4">
        <v>1.88</v>
      </c>
      <c r="AC463" s="6">
        <v>12.08</v>
      </c>
      <c r="AD463" s="6">
        <v>10.33</v>
      </c>
      <c r="AE463" s="1">
        <v>0</v>
      </c>
      <c r="AF463" s="1">
        <f ca="1">IFERROR(__xludf.DUMMYFUNCTION("IFERROR(GOOGLEFINANCE(TRIM(F463)&amp;"":"" &amp; TRIM(B463),""high52""),AE463)"),0)</f>
        <v>0</v>
      </c>
      <c r="AG463" s="1">
        <v>0</v>
      </c>
      <c r="AH463" s="1">
        <f ca="1">IFERROR(__xludf.DUMMYFUNCTION("IFERROR(GOOGLEFINANCE(TRIM(F463)&amp;"":"" &amp; TRIM(B463),""low52""),AE463)"),0)</f>
        <v>0</v>
      </c>
      <c r="AI463" s="1">
        <f ca="1">IFERROR(__xludf.DUMMYFUNCTION("IFERROR(GOOGLEFINANCE(B463,""eps""),0)"),0)</f>
        <v>0</v>
      </c>
      <c r="AJ463" s="1"/>
      <c r="AK463" s="1" t="s">
        <v>1479</v>
      </c>
      <c r="AL463" s="1" t="b">
        <f t="shared" ref="AL463:AL464" si="103">ISNUMBER(AA463)</f>
        <v>1</v>
      </c>
    </row>
    <row r="464" spans="1:38" ht="15" x14ac:dyDescent="0.25">
      <c r="A464" s="1" t="s">
        <v>1480</v>
      </c>
      <c r="B464" s="1" t="s">
        <v>1481</v>
      </c>
      <c r="C464" s="1" t="s">
        <v>239</v>
      </c>
      <c r="D464" s="1" t="s">
        <v>239</v>
      </c>
      <c r="E464" s="6">
        <v>3.11</v>
      </c>
      <c r="F464" s="1" t="s">
        <v>53</v>
      </c>
      <c r="G464" s="6">
        <f ca="1">IFERROR(__xludf.DUMMYFUNCTION("iferror(GOOGLEFINANCE(TRIM(F464)&amp;"":"" &amp; TRIM(B464), ""price""),0
)"),0)</f>
        <v>0</v>
      </c>
      <c r="H464" s="6">
        <v>3.46</v>
      </c>
      <c r="I464" s="6">
        <f t="shared" ca="1" si="0"/>
        <v>3.46</v>
      </c>
      <c r="J464" s="6">
        <f ca="1">IFERROR(__xludf.DUMMYFUNCTION("IFERROR(GOOGLEFINANCE(B464, ""volume""), 0)"),0)</f>
        <v>0</v>
      </c>
      <c r="K464" s="12"/>
      <c r="L464" s="6" t="str">
        <f ca="1">IFERROR(__xludf.DUMMYFUNCTION("IFERROR(GOOGLEFINANCE(B464,""changepct""),K464)"),"")</f>
        <v/>
      </c>
      <c r="M464" s="6">
        <f ca="1">IFERROR(__xludf.DUMMYFUNCTION("IFERROR(GOOGLEFINANCE(B464,""change""),0)"),0)</f>
        <v>0</v>
      </c>
      <c r="N464" s="6">
        <v>1</v>
      </c>
      <c r="O464" s="7">
        <v>45536</v>
      </c>
      <c r="P464" s="6">
        <v>55.26</v>
      </c>
      <c r="Q464" s="6">
        <v>56.49</v>
      </c>
      <c r="R464" s="7">
        <v>45536</v>
      </c>
      <c r="S464" s="6">
        <v>163.28</v>
      </c>
      <c r="T464" s="6">
        <v>-38.22</v>
      </c>
      <c r="U464" s="7">
        <v>45536</v>
      </c>
      <c r="V464" s="6">
        <v>0</v>
      </c>
      <c r="W464" s="6">
        <f ca="1">IFERROR(__xludf.DUMMYFUNCTION("IFERROR(GOOGLEFINANCE(B464,""pe""),V464)"),0)</f>
        <v>0</v>
      </c>
      <c r="X464" s="6">
        <v>0</v>
      </c>
      <c r="Y464" s="6">
        <v>0.15</v>
      </c>
      <c r="Z464" s="6">
        <v>1</v>
      </c>
      <c r="AA464" s="8">
        <v>45352</v>
      </c>
      <c r="AB464" s="4">
        <v>0.52</v>
      </c>
      <c r="AC464" s="6">
        <v>-20.96</v>
      </c>
      <c r="AD464" s="6">
        <v>-6.81</v>
      </c>
      <c r="AE464" s="1">
        <v>0</v>
      </c>
      <c r="AF464" s="1">
        <f ca="1">IFERROR(__xludf.DUMMYFUNCTION("IFERROR(GOOGLEFINANCE(TRIM(F464)&amp;"":"" &amp; TRIM(B464),""high52""),AE464)"),0)</f>
        <v>0</v>
      </c>
      <c r="AG464" s="1">
        <v>0</v>
      </c>
      <c r="AH464" s="1">
        <f ca="1">IFERROR(__xludf.DUMMYFUNCTION("IFERROR(GOOGLEFINANCE(TRIM(F464)&amp;"":"" &amp; TRIM(B464),""low52""),AE464)"),0)</f>
        <v>0</v>
      </c>
      <c r="AI464" s="1">
        <f ca="1">IFERROR(__xludf.DUMMYFUNCTION("IFERROR(GOOGLEFINANCE(B464,""eps""),0)"),0)</f>
        <v>0</v>
      </c>
      <c r="AJ464" s="1"/>
      <c r="AK464" s="1" t="s">
        <v>1482</v>
      </c>
      <c r="AL464" s="1" t="b">
        <f t="shared" si="103"/>
        <v>1</v>
      </c>
    </row>
    <row r="465" spans="1:38" ht="15" x14ac:dyDescent="0.25">
      <c r="A465" s="1" t="s">
        <v>1483</v>
      </c>
      <c r="B465" s="1" t="s">
        <v>1484</v>
      </c>
      <c r="C465" s="1" t="s">
        <v>268</v>
      </c>
      <c r="D465" s="1" t="s">
        <v>268</v>
      </c>
      <c r="E465" s="6">
        <v>3645.66</v>
      </c>
      <c r="F465" s="1" t="s">
        <v>40</v>
      </c>
      <c r="G465" s="6">
        <f ca="1">IFERROR(__xludf.DUMMYFUNCTION("iferror(GOOGLEFINANCE(TRIM(F465)&amp;"":"" &amp; TRIM(B465), ""price""),0
)"),517.5)</f>
        <v>517.5</v>
      </c>
      <c r="H465" s="6">
        <v>995.2</v>
      </c>
      <c r="I465" s="6">
        <f t="shared" ca="1" si="0"/>
        <v>517.5</v>
      </c>
      <c r="J465" s="6">
        <f ca="1">IFERROR(__xludf.DUMMYFUNCTION("IFERROR(GOOGLEFINANCE(B465, ""volume""), 0)"),10621)</f>
        <v>10621</v>
      </c>
      <c r="K465" s="6">
        <v>2.5099999999999998</v>
      </c>
      <c r="L465" s="6">
        <f ca="1">IFERROR(__xludf.DUMMYFUNCTION("IFERROR(GOOGLEFINANCE(B465,""changepct""),K465)"),-0.77)</f>
        <v>-0.77</v>
      </c>
      <c r="M465" s="6">
        <f ca="1">IFERROR(__xludf.DUMMYFUNCTION("IFERROR(GOOGLEFINANCE(B465,""change""),0)"),-4)</f>
        <v>-4</v>
      </c>
      <c r="N465" s="6">
        <v>2</v>
      </c>
      <c r="O465" s="7">
        <v>45536</v>
      </c>
      <c r="P465" s="6">
        <v>1115</v>
      </c>
      <c r="Q465" s="6">
        <v>4553.3900000000003</v>
      </c>
      <c r="R465" s="7">
        <v>45536</v>
      </c>
      <c r="S465" s="6">
        <v>906.52</v>
      </c>
      <c r="T465" s="6">
        <v>326.2</v>
      </c>
      <c r="U465" s="7">
        <v>45536</v>
      </c>
      <c r="V465" s="6">
        <v>24.18</v>
      </c>
      <c r="W465" s="6">
        <f ca="1">IFERROR(__xludf.DUMMYFUNCTION("IFERROR(GOOGLEFINANCE(B465,""pe""),V465)"),13.18)</f>
        <v>13.18</v>
      </c>
      <c r="X465" s="6">
        <v>1.05</v>
      </c>
      <c r="Y465" s="6">
        <v>27.7</v>
      </c>
      <c r="Z465" s="6">
        <v>2</v>
      </c>
      <c r="AA465" s="8">
        <v>45352</v>
      </c>
      <c r="AB465" s="4">
        <v>23.42</v>
      </c>
      <c r="AC465" s="6">
        <v>0</v>
      </c>
      <c r="AD465" s="6">
        <v>38.96</v>
      </c>
      <c r="AE465" s="1">
        <v>0</v>
      </c>
      <c r="AF465" s="1">
        <f ca="1">IFERROR(__xludf.DUMMYFUNCTION("IFERROR(GOOGLEFINANCE(TRIM(F465)&amp;"":"" &amp; TRIM(B465),""high52""),AE465)"),898.7)</f>
        <v>898.7</v>
      </c>
      <c r="AG465" s="1">
        <v>0</v>
      </c>
      <c r="AH465" s="1">
        <f ca="1">IFERROR(__xludf.DUMMYFUNCTION("IFERROR(GOOGLEFINANCE(TRIM(F465)&amp;"":"" &amp; TRIM(B465),""low52""),AE465)"),506.4)</f>
        <v>506.4</v>
      </c>
      <c r="AI465" s="1">
        <f ca="1">IFERROR(__xludf.DUMMYFUNCTION("IFERROR(GOOGLEFINANCE(B465,""eps""),0)"),39.26)</f>
        <v>39.26</v>
      </c>
      <c r="AJ465" s="1"/>
      <c r="AK465" s="1" t="s">
        <v>1485</v>
      </c>
      <c r="AL465" s="9">
        <f t="shared" ref="AL465:AL471" si="104">IF(AA465&lt;&gt;AB465,1,0)</f>
        <v>1</v>
      </c>
    </row>
    <row r="466" spans="1:38" ht="15" x14ac:dyDescent="0.25">
      <c r="A466" s="1" t="s">
        <v>1486</v>
      </c>
      <c r="B466" s="1" t="s">
        <v>1487</v>
      </c>
      <c r="C466" s="1" t="s">
        <v>86</v>
      </c>
      <c r="D466" s="1" t="s">
        <v>86</v>
      </c>
      <c r="E466" s="6">
        <v>763.47</v>
      </c>
      <c r="F466" s="1" t="s">
        <v>40</v>
      </c>
      <c r="G466" s="6">
        <f ca="1">IFERROR(__xludf.DUMMYFUNCTION("iferror(GOOGLEFINANCE(TRIM(F466)&amp;"":"" &amp; TRIM(B466), ""price""),0
)"),319.95)</f>
        <v>319.95</v>
      </c>
      <c r="H466" s="6">
        <v>107.81</v>
      </c>
      <c r="I466" s="6">
        <f t="shared" ca="1" si="0"/>
        <v>319.95</v>
      </c>
      <c r="J466" s="6">
        <f ca="1">IFERROR(__xludf.DUMMYFUNCTION("IFERROR(GOOGLEFINANCE(B466, ""volume""), 0)"),113776)</f>
        <v>113776</v>
      </c>
      <c r="K466" s="6">
        <v>2</v>
      </c>
      <c r="L466" s="6">
        <f ca="1">IFERROR(__xludf.DUMMYFUNCTION("IFERROR(GOOGLEFINANCE(B466,""changepct""),K466)"),-3.67)</f>
        <v>-3.67</v>
      </c>
      <c r="M466" s="6">
        <f ca="1">IFERROR(__xludf.DUMMYFUNCTION("IFERROR(GOOGLEFINANCE(B466,""change""),0)"),-12.2)</f>
        <v>-12.2</v>
      </c>
      <c r="N466" s="6">
        <v>2</v>
      </c>
      <c r="O466" s="7">
        <v>45536</v>
      </c>
      <c r="P466" s="6">
        <v>3234.89</v>
      </c>
      <c r="Q466" s="6">
        <v>3935.8</v>
      </c>
      <c r="R466" s="7">
        <v>45536</v>
      </c>
      <c r="S466" s="6">
        <v>888.53</v>
      </c>
      <c r="T466" s="6">
        <v>-866.41</v>
      </c>
      <c r="U466" s="7">
        <v>45536</v>
      </c>
      <c r="V466" s="6">
        <v>0</v>
      </c>
      <c r="W466" s="6">
        <f ca="1">IFERROR(__xludf.DUMMYFUNCTION("IFERROR(GOOGLEFINANCE(B466,""pe""),V466)"),0)</f>
        <v>0</v>
      </c>
      <c r="X466" s="12"/>
      <c r="Y466" s="6">
        <v>-0.79</v>
      </c>
      <c r="Z466" s="6">
        <v>2</v>
      </c>
      <c r="AA466" s="8">
        <v>45352</v>
      </c>
      <c r="AB466" s="4">
        <v>-2.77</v>
      </c>
      <c r="AC466" s="6">
        <v>0</v>
      </c>
      <c r="AD466" s="6">
        <v>-15.49</v>
      </c>
      <c r="AE466" s="1">
        <v>0</v>
      </c>
      <c r="AF466" s="1">
        <f ca="1">IFERROR(__xludf.DUMMYFUNCTION("IFERROR(GOOGLEFINANCE(TRIM(F466)&amp;"":"" &amp; TRIM(B466),""high52""),AE466)"),490.8)</f>
        <v>490.8</v>
      </c>
      <c r="AG466" s="1">
        <v>0</v>
      </c>
      <c r="AH466" s="1">
        <f ca="1">IFERROR(__xludf.DUMMYFUNCTION("IFERROR(GOOGLEFINANCE(TRIM(F466)&amp;"":"" &amp; TRIM(B466),""low52""),AE466)"),69.05)</f>
        <v>69.05</v>
      </c>
      <c r="AI466" s="1">
        <f ca="1">IFERROR(__xludf.DUMMYFUNCTION("IFERROR(GOOGLEFINANCE(B466,""eps""),0)"),-137.66)</f>
        <v>-137.66</v>
      </c>
      <c r="AJ466" s="1"/>
      <c r="AK466" s="1" t="s">
        <v>1488</v>
      </c>
      <c r="AL466" s="9">
        <f t="shared" si="104"/>
        <v>1</v>
      </c>
    </row>
    <row r="467" spans="1:38" ht="15" x14ac:dyDescent="0.25">
      <c r="A467" s="1" t="s">
        <v>1489</v>
      </c>
      <c r="B467" s="1" t="s">
        <v>1490</v>
      </c>
      <c r="C467" s="1" t="s">
        <v>584</v>
      </c>
      <c r="D467" s="1" t="s">
        <v>584</v>
      </c>
      <c r="E467" s="6">
        <v>892.74</v>
      </c>
      <c r="F467" s="1" t="s">
        <v>40</v>
      </c>
      <c r="G467" s="6">
        <f ca="1">IFERROR(__xludf.DUMMYFUNCTION("iferror(GOOGLEFINANCE(TRIM(F467)&amp;"":"" &amp; TRIM(B467), ""price""),0
)"),172.8)</f>
        <v>172.8</v>
      </c>
      <c r="H467" s="6">
        <v>209</v>
      </c>
      <c r="I467" s="6">
        <f t="shared" ca="1" si="0"/>
        <v>172.8</v>
      </c>
      <c r="J467" s="6">
        <f ca="1">IFERROR(__xludf.DUMMYFUNCTION("IFERROR(GOOGLEFINANCE(B467, ""volume""), 0)"),109343)</f>
        <v>109343</v>
      </c>
      <c r="K467" s="6">
        <v>2.2400000000000002</v>
      </c>
      <c r="L467" s="6">
        <f ca="1">IFERROR(__xludf.DUMMYFUNCTION("IFERROR(GOOGLEFINANCE(B467,""changepct""),K467)"),-5.47)</f>
        <v>-5.47</v>
      </c>
      <c r="M467" s="6">
        <f ca="1">IFERROR(__xludf.DUMMYFUNCTION("IFERROR(GOOGLEFINANCE(B467,""change""),0)"),-10)</f>
        <v>-10</v>
      </c>
      <c r="N467" s="6">
        <v>2</v>
      </c>
      <c r="O467" s="7">
        <v>45536</v>
      </c>
      <c r="P467" s="6">
        <v>25.7</v>
      </c>
      <c r="Q467" s="6">
        <v>900.92</v>
      </c>
      <c r="R467" s="7">
        <v>45536</v>
      </c>
      <c r="S467" s="6">
        <v>535.91</v>
      </c>
      <c r="T467" s="6">
        <v>26.79</v>
      </c>
      <c r="U467" s="7">
        <v>45536</v>
      </c>
      <c r="V467" s="6">
        <v>32.42</v>
      </c>
      <c r="W467" s="6">
        <f ca="1">IFERROR(__xludf.DUMMYFUNCTION("IFERROR(GOOGLEFINANCE(B467,""pe""),V467)"),14.81)</f>
        <v>14.81</v>
      </c>
      <c r="X467" s="9"/>
      <c r="Y467" s="6">
        <v>1.68</v>
      </c>
      <c r="Z467" s="6">
        <v>2</v>
      </c>
      <c r="AA467" s="8">
        <v>45352</v>
      </c>
      <c r="AB467" s="4">
        <v>0.09</v>
      </c>
      <c r="AC467" s="6">
        <v>3.6</v>
      </c>
      <c r="AD467" s="6">
        <v>5.05</v>
      </c>
      <c r="AE467" s="1">
        <v>0</v>
      </c>
      <c r="AF467" s="1">
        <f ca="1">IFERROR(__xludf.DUMMYFUNCTION("IFERROR(GOOGLEFINANCE(TRIM(F467)&amp;"":"" &amp; TRIM(B467),""high52""),AE467)"),244.6)</f>
        <v>244.6</v>
      </c>
      <c r="AG467" s="1">
        <v>0</v>
      </c>
      <c r="AH467" s="1">
        <f ca="1">IFERROR(__xludf.DUMMYFUNCTION("IFERROR(GOOGLEFINANCE(TRIM(F467)&amp;"":"" &amp; TRIM(B467),""low52""),AE467)"),132)</f>
        <v>132</v>
      </c>
      <c r="AI467" s="1">
        <f ca="1">IFERROR(__xludf.DUMMYFUNCTION("IFERROR(GOOGLEFINANCE(B467,""eps""),0)"),11.66)</f>
        <v>11.66</v>
      </c>
      <c r="AJ467" s="1"/>
      <c r="AK467" s="1" t="s">
        <v>1491</v>
      </c>
      <c r="AL467" s="9">
        <f t="shared" si="104"/>
        <v>1</v>
      </c>
    </row>
    <row r="468" spans="1:38" ht="15" x14ac:dyDescent="0.25">
      <c r="A468" s="1" t="s">
        <v>1492</v>
      </c>
      <c r="B468" s="1" t="s">
        <v>1493</v>
      </c>
      <c r="C468" s="1" t="s">
        <v>697</v>
      </c>
      <c r="D468" s="1" t="s">
        <v>697</v>
      </c>
      <c r="E468" s="6">
        <v>3698.83</v>
      </c>
      <c r="F468" s="1" t="s">
        <v>40</v>
      </c>
      <c r="G468" s="6">
        <f ca="1">IFERROR(__xludf.DUMMYFUNCTION("iferror(GOOGLEFINANCE(TRIM(F468)&amp;"":"" &amp; TRIM(B468), ""price""),0
)"),214.8)</f>
        <v>214.8</v>
      </c>
      <c r="H468" s="6">
        <v>302.3</v>
      </c>
      <c r="I468" s="6">
        <f t="shared" ca="1" si="0"/>
        <v>214.8</v>
      </c>
      <c r="J468" s="6">
        <f ca="1">IFERROR(__xludf.DUMMYFUNCTION("IFERROR(GOOGLEFINANCE(B468, ""volume""), 0)"),79026)</f>
        <v>79026</v>
      </c>
      <c r="K468" s="6">
        <v>1.53</v>
      </c>
      <c r="L468" s="6">
        <f ca="1">IFERROR(__xludf.DUMMYFUNCTION("IFERROR(GOOGLEFINANCE(B468,""changepct""),K468)"),-0.95)</f>
        <v>-0.95</v>
      </c>
      <c r="M468" s="6">
        <f ca="1">IFERROR(__xludf.DUMMYFUNCTION("IFERROR(GOOGLEFINANCE(B468,""change""),0)"),-2.06)</f>
        <v>-2.06</v>
      </c>
      <c r="N468" s="6">
        <v>2</v>
      </c>
      <c r="O468" s="7">
        <v>45536</v>
      </c>
      <c r="P468" s="6">
        <v>87.43</v>
      </c>
      <c r="Q468" s="6">
        <v>3726.73</v>
      </c>
      <c r="R468" s="7">
        <v>45536</v>
      </c>
      <c r="S468" s="6">
        <v>400.74</v>
      </c>
      <c r="T468" s="6">
        <v>21.68</v>
      </c>
      <c r="U468" s="7">
        <v>45536</v>
      </c>
      <c r="V468" s="6">
        <v>170.61</v>
      </c>
      <c r="W468" s="6">
        <f ca="1">IFERROR(__xludf.DUMMYFUNCTION("IFERROR(GOOGLEFINANCE(B468,""pe""),V468)"),236.04)</f>
        <v>236.04</v>
      </c>
      <c r="X468" s="12"/>
      <c r="Y468" s="6">
        <v>5.9</v>
      </c>
      <c r="Z468" s="6">
        <v>2</v>
      </c>
      <c r="AA468" s="8">
        <v>45352</v>
      </c>
      <c r="AB468" s="4">
        <v>0.19</v>
      </c>
      <c r="AC468" s="6">
        <v>5.68</v>
      </c>
      <c r="AD468" s="6">
        <v>8.26</v>
      </c>
      <c r="AE468" s="1">
        <v>0</v>
      </c>
      <c r="AF468" s="1">
        <f ca="1">IFERROR(__xludf.DUMMYFUNCTION("IFERROR(GOOGLEFINANCE(TRIM(F468)&amp;"":"" &amp; TRIM(B468),""high52""),AE468)"),331)</f>
        <v>331</v>
      </c>
      <c r="AG468" s="1">
        <v>0</v>
      </c>
      <c r="AH468" s="1">
        <f ca="1">IFERROR(__xludf.DUMMYFUNCTION("IFERROR(GOOGLEFINANCE(TRIM(F468)&amp;"":"" &amp; TRIM(B468),""low52""),AE468)"),198.02)</f>
        <v>198.02</v>
      </c>
      <c r="AI468" s="1">
        <f ca="1">IFERROR(__xludf.DUMMYFUNCTION("IFERROR(GOOGLEFINANCE(B468,""eps""),0)"),0.91)</f>
        <v>0.91</v>
      </c>
      <c r="AJ468" s="1"/>
      <c r="AK468" s="1" t="s">
        <v>1494</v>
      </c>
      <c r="AL468" s="9">
        <f t="shared" si="104"/>
        <v>1</v>
      </c>
    </row>
    <row r="469" spans="1:38" ht="15" x14ac:dyDescent="0.25">
      <c r="A469" s="1" t="s">
        <v>1495</v>
      </c>
      <c r="B469" s="1" t="s">
        <v>1496</v>
      </c>
      <c r="C469" s="1" t="s">
        <v>1497</v>
      </c>
      <c r="D469" s="1" t="s">
        <v>1497</v>
      </c>
      <c r="E469" s="6">
        <v>309.83999999999997</v>
      </c>
      <c r="F469" s="1" t="s">
        <v>40</v>
      </c>
      <c r="G469" s="6">
        <f ca="1">IFERROR(__xludf.DUMMYFUNCTION("iferror(GOOGLEFINANCE(TRIM(F469)&amp;"":"" &amp; TRIM(B469), ""price""),0
)"),169)</f>
        <v>169</v>
      </c>
      <c r="H469" s="6">
        <v>98.2</v>
      </c>
      <c r="I469" s="6">
        <f t="shared" ca="1" si="0"/>
        <v>169</v>
      </c>
      <c r="J469" s="6">
        <f ca="1">IFERROR(__xludf.DUMMYFUNCTION("IFERROR(GOOGLEFINANCE(B469, ""volume""), 0)"),165638)</f>
        <v>165638</v>
      </c>
      <c r="K469" s="6">
        <v>0.97</v>
      </c>
      <c r="L469" s="6">
        <f ca="1">IFERROR(__xludf.DUMMYFUNCTION("IFERROR(GOOGLEFINANCE(B469,""changepct""),K469)"),1.07)</f>
        <v>1.07</v>
      </c>
      <c r="M469" s="6">
        <f ca="1">IFERROR(__xludf.DUMMYFUNCTION("IFERROR(GOOGLEFINANCE(B469,""change""),0)"),1.79)</f>
        <v>1.79</v>
      </c>
      <c r="N469" s="6">
        <v>2</v>
      </c>
      <c r="O469" s="7">
        <v>45536</v>
      </c>
      <c r="P469" s="6">
        <v>238.78</v>
      </c>
      <c r="Q469" s="6">
        <v>544.05999999999995</v>
      </c>
      <c r="R469" s="7">
        <v>45536</v>
      </c>
      <c r="S469" s="6">
        <v>1521.89</v>
      </c>
      <c r="T469" s="6">
        <v>10.66</v>
      </c>
      <c r="U469" s="7">
        <v>45536</v>
      </c>
      <c r="V469" s="6">
        <v>29.07</v>
      </c>
      <c r="W469" s="6">
        <f ca="1">IFERROR(__xludf.DUMMYFUNCTION("IFERROR(GOOGLEFINANCE(B469,""pe""),V469)"),19.69)</f>
        <v>19.690000000000001</v>
      </c>
      <c r="X469" s="6">
        <v>0.6</v>
      </c>
      <c r="Y469" s="6">
        <v>1.56</v>
      </c>
      <c r="Z469" s="6">
        <v>2</v>
      </c>
      <c r="AA469" s="8">
        <v>45352</v>
      </c>
      <c r="AB469" s="4">
        <v>0.52</v>
      </c>
      <c r="AC469" s="6">
        <v>26.82</v>
      </c>
      <c r="AD469" s="6">
        <v>20.94</v>
      </c>
      <c r="AE469" s="1">
        <v>0</v>
      </c>
      <c r="AF469" s="1">
        <f ca="1">IFERROR(__xludf.DUMMYFUNCTION("IFERROR(GOOGLEFINANCE(TRIM(F469)&amp;"":"" &amp; TRIM(B469),""high52""),AE469)"),193)</f>
        <v>193</v>
      </c>
      <c r="AG469" s="1">
        <v>0</v>
      </c>
      <c r="AH469" s="1">
        <f ca="1">IFERROR(__xludf.DUMMYFUNCTION("IFERROR(GOOGLEFINANCE(TRIM(F469)&amp;"":"" &amp; TRIM(B469),""low52""),AE469)"),65)</f>
        <v>65</v>
      </c>
      <c r="AI469" s="1">
        <f ca="1">IFERROR(__xludf.DUMMYFUNCTION("IFERROR(GOOGLEFINANCE(B469,""eps""),0)"),8.58)</f>
        <v>8.58</v>
      </c>
      <c r="AJ469" s="1"/>
      <c r="AK469" s="1" t="s">
        <v>1498</v>
      </c>
      <c r="AL469" s="9">
        <f t="shared" si="104"/>
        <v>1</v>
      </c>
    </row>
    <row r="470" spans="1:38" ht="15" x14ac:dyDescent="0.25">
      <c r="A470" s="1" t="s">
        <v>1499</v>
      </c>
      <c r="B470" s="1" t="s">
        <v>1500</v>
      </c>
      <c r="C470" s="1" t="s">
        <v>186</v>
      </c>
      <c r="D470" s="1" t="s">
        <v>186</v>
      </c>
      <c r="E470" s="6">
        <v>169.72</v>
      </c>
      <c r="F470" s="1" t="s">
        <v>40</v>
      </c>
      <c r="G470" s="6">
        <f ca="1">IFERROR(__xludf.DUMMYFUNCTION("iferror(GOOGLEFINANCE(TRIM(F470)&amp;"":"" &amp; TRIM(B470), ""price""),0
)"),3.91)</f>
        <v>3.91</v>
      </c>
      <c r="H470" s="6">
        <v>7.08</v>
      </c>
      <c r="I470" s="6">
        <f t="shared" ca="1" si="0"/>
        <v>3.91</v>
      </c>
      <c r="J470" s="6">
        <f ca="1">IFERROR(__xludf.DUMMYFUNCTION("IFERROR(GOOGLEFINANCE(B470, ""volume""), 0)"),141083)</f>
        <v>141083</v>
      </c>
      <c r="K470" s="6">
        <v>0.14000000000000001</v>
      </c>
      <c r="L470" s="6">
        <f ca="1">IFERROR(__xludf.DUMMYFUNCTION("IFERROR(GOOGLEFINANCE(B470,""changepct""),K470)"),-1.76)</f>
        <v>-1.76</v>
      </c>
      <c r="M470" s="6">
        <f ca="1">IFERROR(__xludf.DUMMYFUNCTION("IFERROR(GOOGLEFINANCE(B470,""change""),0)"),-0.07)</f>
        <v>-7.0000000000000007E-2</v>
      </c>
      <c r="N470" s="6">
        <v>1</v>
      </c>
      <c r="O470" s="7">
        <v>45536</v>
      </c>
      <c r="P470" s="6">
        <v>86.66</v>
      </c>
      <c r="Q470" s="6">
        <v>256.37</v>
      </c>
      <c r="R470" s="7">
        <v>45536</v>
      </c>
      <c r="S470" s="6">
        <v>275.42</v>
      </c>
      <c r="T470" s="6">
        <v>6.51</v>
      </c>
      <c r="U470" s="7">
        <v>45536</v>
      </c>
      <c r="V470" s="6">
        <v>26.08</v>
      </c>
      <c r="W470" s="6">
        <f ca="1">IFERROR(__xludf.DUMMYFUNCTION("IFERROR(GOOGLEFINANCE(B470,""pe""),V470)"),11.07)</f>
        <v>11.07</v>
      </c>
      <c r="X470" s="6">
        <v>6.42</v>
      </c>
      <c r="Y470" s="6">
        <v>1.1299999999999999</v>
      </c>
      <c r="Z470" s="6">
        <v>1</v>
      </c>
      <c r="AA470" s="8">
        <v>45352</v>
      </c>
      <c r="AB470" s="4">
        <v>1.17</v>
      </c>
      <c r="AC470" s="6">
        <v>7</v>
      </c>
      <c r="AD470" s="6">
        <v>9.7799999999999994</v>
      </c>
      <c r="AE470" s="1">
        <v>0</v>
      </c>
      <c r="AF470" s="1">
        <f ca="1">IFERROR(__xludf.DUMMYFUNCTION("IFERROR(GOOGLEFINANCE(TRIM(F470)&amp;"":"" &amp; TRIM(B470),""high52""),AE470)"),6.63)</f>
        <v>6.63</v>
      </c>
      <c r="AG470" s="1">
        <v>0</v>
      </c>
      <c r="AH470" s="1">
        <f ca="1">IFERROR(__xludf.DUMMYFUNCTION("IFERROR(GOOGLEFINANCE(TRIM(F470)&amp;"":"" &amp; TRIM(B470),""low52""),AE470)"),3.61)</f>
        <v>3.61</v>
      </c>
      <c r="AI470" s="1">
        <f ca="1">IFERROR(__xludf.DUMMYFUNCTION("IFERROR(GOOGLEFINANCE(B470,""eps""),0)"),0.35)</f>
        <v>0.35</v>
      </c>
      <c r="AJ470" s="1"/>
      <c r="AK470" s="1" t="s">
        <v>1501</v>
      </c>
      <c r="AL470" s="9">
        <f t="shared" si="104"/>
        <v>1</v>
      </c>
    </row>
    <row r="471" spans="1:38" ht="15" x14ac:dyDescent="0.25">
      <c r="A471" s="1" t="s">
        <v>1502</v>
      </c>
      <c r="B471" s="1" t="s">
        <v>1503</v>
      </c>
      <c r="C471" s="1" t="s">
        <v>135</v>
      </c>
      <c r="D471" s="1" t="s">
        <v>135</v>
      </c>
      <c r="E471" s="6">
        <v>3426.78</v>
      </c>
      <c r="F471" s="1" t="s">
        <v>40</v>
      </c>
      <c r="G471" s="6">
        <f ca="1">IFERROR(__xludf.DUMMYFUNCTION("iferror(GOOGLEFINANCE(TRIM(F471)&amp;"":"" &amp; TRIM(B471), ""price""),0
)"),82)</f>
        <v>82</v>
      </c>
      <c r="H471" s="6">
        <v>135.19</v>
      </c>
      <c r="I471" s="6">
        <f t="shared" ca="1" si="0"/>
        <v>82</v>
      </c>
      <c r="J471" s="6">
        <f ca="1">IFERROR(__xludf.DUMMYFUNCTION("IFERROR(GOOGLEFINANCE(B471, ""volume""), 0)"),304900)</f>
        <v>304900</v>
      </c>
      <c r="K471" s="6">
        <v>-1.79</v>
      </c>
      <c r="L471" s="6">
        <f ca="1">IFERROR(__xludf.DUMMYFUNCTION("IFERROR(GOOGLEFINANCE(B471,""changepct""),K471)"),-0.57)</f>
        <v>-0.56999999999999995</v>
      </c>
      <c r="M471" s="6">
        <f ca="1">IFERROR(__xludf.DUMMYFUNCTION("IFERROR(GOOGLEFINANCE(B471,""change""),0)"),-0.47)</f>
        <v>-0.47</v>
      </c>
      <c r="N471" s="6">
        <v>2</v>
      </c>
      <c r="O471" s="7">
        <v>45536</v>
      </c>
      <c r="P471" s="9"/>
      <c r="Q471" s="6">
        <v>2966.76</v>
      </c>
      <c r="R471" s="7">
        <v>45536</v>
      </c>
      <c r="S471" s="6">
        <v>1319.98</v>
      </c>
      <c r="T471" s="6">
        <v>179.42</v>
      </c>
      <c r="U471" s="7">
        <v>45536</v>
      </c>
      <c r="V471" s="6">
        <v>19</v>
      </c>
      <c r="W471" s="6">
        <f ca="1">IFERROR(__xludf.DUMMYFUNCTION("IFERROR(GOOGLEFINANCE(B471,""pe""),V471)"),12.25)</f>
        <v>12.25</v>
      </c>
      <c r="X471" s="6">
        <v>0.62</v>
      </c>
      <c r="Y471" s="6">
        <v>3.52</v>
      </c>
      <c r="Z471" s="6">
        <v>2</v>
      </c>
      <c r="AA471" s="8">
        <v>45352</v>
      </c>
      <c r="AB471" s="4">
        <v>0</v>
      </c>
      <c r="AC471" s="6">
        <v>18.02</v>
      </c>
      <c r="AD471" s="6">
        <v>24.37</v>
      </c>
      <c r="AE471" s="1">
        <v>0</v>
      </c>
      <c r="AF471" s="1">
        <f ca="1">IFERROR(__xludf.DUMMYFUNCTION("IFERROR(GOOGLEFINANCE(TRIM(F471)&amp;"":"" &amp; TRIM(B471),""high52""),AE471)"),123.8)</f>
        <v>123.8</v>
      </c>
      <c r="AG471" s="1">
        <v>0</v>
      </c>
      <c r="AH471" s="1">
        <f ca="1">IFERROR(__xludf.DUMMYFUNCTION("IFERROR(GOOGLEFINANCE(TRIM(F471)&amp;"":"" &amp; TRIM(B471),""low52""),AE471)"),80)</f>
        <v>80</v>
      </c>
      <c r="AI471" s="1">
        <f ca="1">IFERROR(__xludf.DUMMYFUNCTION("IFERROR(GOOGLEFINANCE(B471,""eps""),0)"),6.69)</f>
        <v>6.69</v>
      </c>
      <c r="AJ471" s="1"/>
      <c r="AK471" s="1" t="s">
        <v>1504</v>
      </c>
      <c r="AL471" s="9">
        <f t="shared" si="104"/>
        <v>1</v>
      </c>
    </row>
    <row r="472" spans="1:38" ht="15" x14ac:dyDescent="0.25">
      <c r="A472" s="1" t="s">
        <v>1505</v>
      </c>
      <c r="B472" s="1" t="s">
        <v>1506</v>
      </c>
      <c r="C472" s="1" t="s">
        <v>889</v>
      </c>
      <c r="D472" s="1" t="s">
        <v>889</v>
      </c>
      <c r="E472" s="6">
        <v>25.66</v>
      </c>
      <c r="F472" s="1" t="s">
        <v>53</v>
      </c>
      <c r="G472" s="6">
        <f ca="1">IFERROR(__xludf.DUMMYFUNCTION("iferror(GOOGLEFINANCE(TRIM(F472)&amp;"":"" &amp; TRIM(B472), ""price""),0
)"),0)</f>
        <v>0</v>
      </c>
      <c r="H472" s="6">
        <v>19.22</v>
      </c>
      <c r="I472" s="6">
        <f t="shared" ca="1" si="0"/>
        <v>19.22</v>
      </c>
      <c r="J472" s="6">
        <f ca="1">IFERROR(__xludf.DUMMYFUNCTION("IFERROR(GOOGLEFINANCE(B472, ""volume""), 0)"),0)</f>
        <v>0</v>
      </c>
      <c r="K472" s="9"/>
      <c r="L472" s="6" t="str">
        <f ca="1">IFERROR(__xludf.DUMMYFUNCTION("IFERROR(GOOGLEFINANCE(B472,""changepct""),K472)"),"")</f>
        <v/>
      </c>
      <c r="M472" s="6">
        <f ca="1">IFERROR(__xludf.DUMMYFUNCTION("IFERROR(GOOGLEFINANCE(B472,""change""),0)"),0)</f>
        <v>0</v>
      </c>
      <c r="N472" s="6">
        <v>1</v>
      </c>
      <c r="O472" s="7">
        <v>45536</v>
      </c>
      <c r="P472" s="6">
        <v>5.5</v>
      </c>
      <c r="Q472" s="6">
        <v>31.16</v>
      </c>
      <c r="R472" s="7">
        <v>45352</v>
      </c>
      <c r="S472" s="6">
        <v>5.44</v>
      </c>
      <c r="T472" s="6">
        <v>0.83</v>
      </c>
      <c r="U472" s="7">
        <v>45352</v>
      </c>
      <c r="V472" s="6">
        <v>30.86</v>
      </c>
      <c r="W472" s="6">
        <f ca="1">IFERROR(__xludf.DUMMYFUNCTION("IFERROR(GOOGLEFINANCE(B472,""pe""),V472)"),30.86)</f>
        <v>30.86</v>
      </c>
      <c r="X472" s="6">
        <v>1.26</v>
      </c>
      <c r="Y472" s="6">
        <v>1.71</v>
      </c>
      <c r="Z472" s="6">
        <v>1</v>
      </c>
      <c r="AA472" s="8">
        <v>45352</v>
      </c>
      <c r="AB472" s="4">
        <v>0.36</v>
      </c>
      <c r="AC472" s="6">
        <v>7.68</v>
      </c>
      <c r="AD472" s="6">
        <v>9.48</v>
      </c>
      <c r="AE472" s="1">
        <v>0</v>
      </c>
      <c r="AF472" s="1">
        <f ca="1">IFERROR(__xludf.DUMMYFUNCTION("IFERROR(GOOGLEFINANCE(TRIM(F472)&amp;"":"" &amp; TRIM(B472),""high52""),AE472)"),0)</f>
        <v>0</v>
      </c>
      <c r="AG472" s="1">
        <v>0</v>
      </c>
      <c r="AH472" s="1">
        <f ca="1">IFERROR(__xludf.DUMMYFUNCTION("IFERROR(GOOGLEFINANCE(TRIM(F472)&amp;"":"" &amp; TRIM(B472),""low52""),AE472)"),0)</f>
        <v>0</v>
      </c>
      <c r="AI472" s="1">
        <f ca="1">IFERROR(__xludf.DUMMYFUNCTION("IFERROR(GOOGLEFINANCE(B472,""eps""),0)"),0)</f>
        <v>0</v>
      </c>
      <c r="AJ472" s="1"/>
      <c r="AK472" s="1" t="s">
        <v>1507</v>
      </c>
      <c r="AL472" s="1" t="b">
        <f>ISNUMBER(AA472)</f>
        <v>1</v>
      </c>
    </row>
    <row r="473" spans="1:38" ht="15" x14ac:dyDescent="0.25">
      <c r="A473" s="1" t="s">
        <v>1508</v>
      </c>
      <c r="B473" s="1" t="s">
        <v>1509</v>
      </c>
      <c r="C473" s="1" t="s">
        <v>125</v>
      </c>
      <c r="D473" s="1" t="s">
        <v>125</v>
      </c>
      <c r="E473" s="6">
        <v>4322.88</v>
      </c>
      <c r="F473" s="1" t="s">
        <v>40</v>
      </c>
      <c r="G473" s="6">
        <f ca="1">IFERROR(__xludf.DUMMYFUNCTION("iferror(GOOGLEFINANCE(TRIM(F473)&amp;"":"" &amp; TRIM(B473), ""price""),0
)"),2725)</f>
        <v>2725</v>
      </c>
      <c r="H473" s="6">
        <v>3853.95</v>
      </c>
      <c r="I473" s="6">
        <f t="shared" ca="1" si="0"/>
        <v>2725</v>
      </c>
      <c r="J473" s="6">
        <f ca="1">IFERROR(__xludf.DUMMYFUNCTION("IFERROR(GOOGLEFINANCE(B473, ""volume""), 0)"),1562)</f>
        <v>1562</v>
      </c>
      <c r="K473" s="6">
        <v>0.73</v>
      </c>
      <c r="L473" s="6">
        <f ca="1">IFERROR(__xludf.DUMMYFUNCTION("IFERROR(GOOGLEFINANCE(B473,""changepct""),K473)"),1.9)</f>
        <v>1.9</v>
      </c>
      <c r="M473" s="6">
        <f ca="1">IFERROR(__xludf.DUMMYFUNCTION("IFERROR(GOOGLEFINANCE(B473,""change""),0)"),0.03)</f>
        <v>0.03</v>
      </c>
      <c r="N473" s="6">
        <v>1</v>
      </c>
      <c r="O473" s="7">
        <v>45536</v>
      </c>
      <c r="P473" s="6">
        <v>135</v>
      </c>
      <c r="Q473" s="6">
        <v>4100.38</v>
      </c>
      <c r="R473" s="7">
        <v>45536</v>
      </c>
      <c r="S473" s="6">
        <v>1780.05</v>
      </c>
      <c r="T473" s="6">
        <v>120.94</v>
      </c>
      <c r="U473" s="7">
        <v>45536</v>
      </c>
      <c r="V473" s="6">
        <v>35.74</v>
      </c>
      <c r="W473" s="6">
        <f ca="1">IFERROR(__xludf.DUMMYFUNCTION("IFERROR(GOOGLEFINANCE(B473,""pe""),V473)"),21.04)</f>
        <v>21.04</v>
      </c>
      <c r="X473" s="6">
        <v>1.38</v>
      </c>
      <c r="Y473" s="6">
        <v>1.96</v>
      </c>
      <c r="Z473" s="6">
        <v>1</v>
      </c>
      <c r="AA473" s="8">
        <v>45352</v>
      </c>
      <c r="AB473" s="4">
        <v>0.08</v>
      </c>
      <c r="AC473" s="6">
        <v>8.11</v>
      </c>
      <c r="AD473" s="6">
        <v>10.73</v>
      </c>
      <c r="AE473" s="1">
        <v>0</v>
      </c>
      <c r="AF473" s="1">
        <f ca="1">IFERROR(__xludf.DUMMYFUNCTION("IFERROR(GOOGLEFINANCE(TRIM(F473)&amp;"":"" &amp; TRIM(B473),""high52""),AE473)"),3700)</f>
        <v>3700</v>
      </c>
      <c r="AG473" s="1">
        <v>0</v>
      </c>
      <c r="AH473" s="1">
        <f ca="1">IFERROR(__xludf.DUMMYFUNCTION("IFERROR(GOOGLEFINANCE(TRIM(F473)&amp;"":"" &amp; TRIM(B473),""low52""),AE473)"),2350)</f>
        <v>2350</v>
      </c>
      <c r="AI473" s="1">
        <f ca="1">IFERROR(__xludf.DUMMYFUNCTION("IFERROR(GOOGLEFINANCE(B473,""eps""),0)"),0.08)</f>
        <v>0.08</v>
      </c>
      <c r="AJ473" s="1"/>
      <c r="AK473" s="1" t="s">
        <v>1510</v>
      </c>
      <c r="AL473" s="9">
        <f>IF(AA473&lt;&gt;AB473,1,0)</f>
        <v>1</v>
      </c>
    </row>
    <row r="474" spans="1:38" ht="15" x14ac:dyDescent="0.25">
      <c r="A474" s="1" t="s">
        <v>1511</v>
      </c>
      <c r="B474" s="1" t="s">
        <v>1512</v>
      </c>
      <c r="C474" s="1" t="s">
        <v>889</v>
      </c>
      <c r="D474" s="1" t="s">
        <v>889</v>
      </c>
      <c r="E474" s="6">
        <v>442.27</v>
      </c>
      <c r="F474" s="1" t="s">
        <v>53</v>
      </c>
      <c r="G474" s="6">
        <f ca="1">IFERROR(__xludf.DUMMYFUNCTION("iferror(GOOGLEFINANCE(TRIM(F474)&amp;"":"" &amp; TRIM(B474), ""price""),0
)"),0)</f>
        <v>0</v>
      </c>
      <c r="H474" s="6">
        <v>49.8</v>
      </c>
      <c r="I474" s="6">
        <f t="shared" ca="1" si="0"/>
        <v>49.8</v>
      </c>
      <c r="J474" s="6">
        <f ca="1">IFERROR(__xludf.DUMMYFUNCTION("IFERROR(GOOGLEFINANCE(B474, ""volume""), 0)"),0)</f>
        <v>0</v>
      </c>
      <c r="K474" s="6">
        <v>1.43</v>
      </c>
      <c r="L474" s="6">
        <f ca="1">IFERROR(__xludf.DUMMYFUNCTION("IFERROR(GOOGLEFINANCE(B474,""changepct""),K474)"),1.43)</f>
        <v>1.43</v>
      </c>
      <c r="M474" s="6">
        <f ca="1">IFERROR(__xludf.DUMMYFUNCTION("IFERROR(GOOGLEFINANCE(B474,""change""),0)"),0)</f>
        <v>0</v>
      </c>
      <c r="N474" s="6">
        <v>1</v>
      </c>
      <c r="O474" s="7">
        <v>45536</v>
      </c>
      <c r="P474" s="6">
        <v>5.3</v>
      </c>
      <c r="Q474" s="6">
        <v>419.07</v>
      </c>
      <c r="R474" s="7">
        <v>45536</v>
      </c>
      <c r="S474" s="6">
        <v>148.97</v>
      </c>
      <c r="T474" s="6">
        <v>26.9</v>
      </c>
      <c r="U474" s="7">
        <v>45536</v>
      </c>
      <c r="V474" s="6">
        <v>16.440000000000001</v>
      </c>
      <c r="W474" s="6">
        <f ca="1">IFERROR(__xludf.DUMMYFUNCTION("IFERROR(GOOGLEFINANCE(B474,""pe""),V474)"),16.44)</f>
        <v>16.440000000000001</v>
      </c>
      <c r="X474" s="6">
        <v>2.91</v>
      </c>
      <c r="Y474" s="6">
        <v>1.85</v>
      </c>
      <c r="Z474" s="6">
        <v>1</v>
      </c>
      <c r="AA474" s="8">
        <v>45352</v>
      </c>
      <c r="AB474" s="4">
        <v>0.12</v>
      </c>
      <c r="AC474" s="6">
        <v>10.92</v>
      </c>
      <c r="AD474" s="6">
        <v>14.31</v>
      </c>
      <c r="AE474" s="1">
        <v>0</v>
      </c>
      <c r="AF474" s="1">
        <f ca="1">IFERROR(__xludf.DUMMYFUNCTION("IFERROR(GOOGLEFINANCE(TRIM(F474)&amp;"":"" &amp; TRIM(B474),""high52""),AE474)"),0)</f>
        <v>0</v>
      </c>
      <c r="AG474" s="1">
        <v>0</v>
      </c>
      <c r="AH474" s="1">
        <f ca="1">IFERROR(__xludf.DUMMYFUNCTION("IFERROR(GOOGLEFINANCE(TRIM(F474)&amp;"":"" &amp; TRIM(B474),""low52""),AE474)"),0)</f>
        <v>0</v>
      </c>
      <c r="AI474" s="1">
        <f ca="1">IFERROR(__xludf.DUMMYFUNCTION("IFERROR(GOOGLEFINANCE(B474,""eps""),0)"),0)</f>
        <v>0</v>
      </c>
      <c r="AJ474" s="1"/>
      <c r="AK474" s="1" t="s">
        <v>1513</v>
      </c>
      <c r="AL474" s="1" t="b">
        <f>ISNUMBER(AA474)</f>
        <v>1</v>
      </c>
    </row>
    <row r="475" spans="1:38" ht="15" x14ac:dyDescent="0.25">
      <c r="A475" s="1" t="s">
        <v>1514</v>
      </c>
      <c r="B475" s="1" t="s">
        <v>1515</v>
      </c>
      <c r="C475" s="1" t="s">
        <v>1019</v>
      </c>
      <c r="D475" s="1" t="s">
        <v>1019</v>
      </c>
      <c r="E475" s="6">
        <v>41265.769999999997</v>
      </c>
      <c r="F475" s="1" t="s">
        <v>40</v>
      </c>
      <c r="G475" s="6">
        <f ca="1">IFERROR(__xludf.DUMMYFUNCTION("iferror(GOOGLEFINANCE(TRIM(F475)&amp;"":"" &amp; TRIM(B475), ""price""),0
)"),1329)</f>
        <v>1329</v>
      </c>
      <c r="H475" s="6">
        <v>1152.1500000000001</v>
      </c>
      <c r="I475" s="6">
        <f t="shared" ca="1" si="0"/>
        <v>1329</v>
      </c>
      <c r="J475" s="6">
        <f ca="1">IFERROR(__xludf.DUMMYFUNCTION("IFERROR(GOOGLEFINANCE(B475, ""volume""), 0)"),0)</f>
        <v>0</v>
      </c>
      <c r="K475" s="6">
        <v>2.37</v>
      </c>
      <c r="L475" s="6">
        <f ca="1">IFERROR(__xludf.DUMMYFUNCTION("IFERROR(GOOGLEFINANCE(B475,""changepct""),K475)"),0)</f>
        <v>0</v>
      </c>
      <c r="M475" s="6">
        <f ca="1">IFERROR(__xludf.DUMMYFUNCTION("IFERROR(GOOGLEFINANCE(B475,""change""),0)"),0)</f>
        <v>0</v>
      </c>
      <c r="N475" s="6">
        <v>1</v>
      </c>
      <c r="O475" s="7">
        <v>45536</v>
      </c>
      <c r="P475" s="9"/>
      <c r="Q475" s="6">
        <v>37792.36</v>
      </c>
      <c r="R475" s="7">
        <v>45536</v>
      </c>
      <c r="S475" s="6">
        <v>2191.6799999999998</v>
      </c>
      <c r="T475" s="6">
        <v>553.55999999999995</v>
      </c>
      <c r="U475" s="7">
        <v>45536</v>
      </c>
      <c r="V475" s="6">
        <v>74.55</v>
      </c>
      <c r="W475" s="6">
        <f ca="1">IFERROR(__xludf.DUMMYFUNCTION("IFERROR(GOOGLEFINANCE(B475,""pe""),V475)"),11.74)</f>
        <v>11.74</v>
      </c>
      <c r="X475" s="6">
        <v>9.67</v>
      </c>
      <c r="Y475" s="6">
        <v>11.11</v>
      </c>
      <c r="Z475" s="6">
        <v>1</v>
      </c>
      <c r="AA475" s="8">
        <v>45352</v>
      </c>
      <c r="AB475" s="4">
        <v>0</v>
      </c>
      <c r="AC475" s="6">
        <v>17.989999999999998</v>
      </c>
      <c r="AD475" s="6">
        <v>24.39</v>
      </c>
      <c r="AE475" s="1">
        <v>0</v>
      </c>
      <c r="AF475" s="1">
        <f ca="1">IFERROR(__xludf.DUMMYFUNCTION("IFERROR(GOOGLEFINANCE(TRIM(F475)&amp;"":"" &amp; TRIM(B475),""high52""),AE475)"),2096.6)</f>
        <v>2096.6</v>
      </c>
      <c r="AG475" s="1">
        <v>0</v>
      </c>
      <c r="AH475" s="1">
        <f ca="1">IFERROR(__xludf.DUMMYFUNCTION("IFERROR(GOOGLEFINANCE(TRIM(F475)&amp;"":"" &amp; TRIM(B475),""low52""),AE475)"),907)</f>
        <v>907</v>
      </c>
      <c r="AI475" s="1">
        <f ca="1">IFERROR(__xludf.DUMMYFUNCTION("IFERROR(GOOGLEFINANCE(B475,""eps""),0)"),2.71)</f>
        <v>2.71</v>
      </c>
      <c r="AJ475" s="1"/>
      <c r="AK475" s="1" t="s">
        <v>1516</v>
      </c>
      <c r="AL475" s="9">
        <f t="shared" ref="AL475:AL476" si="105">IF(AA475&lt;&gt;AB475,1,0)</f>
        <v>1</v>
      </c>
    </row>
    <row r="476" spans="1:38" ht="15" x14ac:dyDescent="0.25">
      <c r="A476" s="1" t="s">
        <v>1517</v>
      </c>
      <c r="B476" s="1" t="s">
        <v>1518</v>
      </c>
      <c r="C476" s="1" t="s">
        <v>416</v>
      </c>
      <c r="D476" s="1" t="s">
        <v>416</v>
      </c>
      <c r="E476" s="6">
        <v>216844.6</v>
      </c>
      <c r="F476" s="1" t="s">
        <v>40</v>
      </c>
      <c r="G476" s="6">
        <f ca="1">IFERROR(__xludf.DUMMYFUNCTION("iferror(GOOGLEFINANCE(TRIM(F476)&amp;"":"" &amp; TRIM(B476), ""price""),0
)"),440.8)</f>
        <v>440.8</v>
      </c>
      <c r="H476" s="6">
        <v>296.10000000000002</v>
      </c>
      <c r="I476" s="6">
        <f t="shared" ca="1" si="0"/>
        <v>440.8</v>
      </c>
      <c r="J476" s="6">
        <f ca="1">IFERROR(__xludf.DUMMYFUNCTION("IFERROR(GOOGLEFINANCE(B476, ""volume""), 0)"),0)</f>
        <v>0</v>
      </c>
      <c r="K476" s="6">
        <v>-0.24</v>
      </c>
      <c r="L476" s="6">
        <f ca="1">IFERROR(__xludf.DUMMYFUNCTION("IFERROR(GOOGLEFINANCE(B476,""changepct""),K476)"),0)</f>
        <v>0</v>
      </c>
      <c r="M476" s="6">
        <f ca="1">IFERROR(__xludf.DUMMYFUNCTION("IFERROR(GOOGLEFINANCE(B476,""change""),0)"),0)</f>
        <v>0</v>
      </c>
      <c r="N476" s="6">
        <v>2</v>
      </c>
      <c r="O476" s="7">
        <v>45536</v>
      </c>
      <c r="P476" s="12"/>
      <c r="Q476" s="6">
        <v>208528.4</v>
      </c>
      <c r="R476" s="7">
        <v>45536</v>
      </c>
      <c r="S476" s="6">
        <v>21574.71</v>
      </c>
      <c r="T476" s="6">
        <v>4498.6499999999996</v>
      </c>
      <c r="U476" s="7">
        <v>45536</v>
      </c>
      <c r="V476" s="6">
        <v>47.76</v>
      </c>
      <c r="W476" s="6">
        <f ca="1">IFERROR(__xludf.DUMMYFUNCTION("IFERROR(GOOGLEFINANCE(B476,""pe""),V476)"),47.76)</f>
        <v>47.76</v>
      </c>
      <c r="X476" s="6">
        <v>2.96</v>
      </c>
      <c r="Y476" s="6">
        <v>12.28</v>
      </c>
      <c r="Z476" s="6">
        <v>2</v>
      </c>
      <c r="AA476" s="8">
        <v>45352</v>
      </c>
      <c r="AB476" s="4">
        <v>0</v>
      </c>
      <c r="AC476" s="6">
        <v>26.12</v>
      </c>
      <c r="AD476" s="6">
        <v>34.97</v>
      </c>
      <c r="AE476" s="1">
        <v>0</v>
      </c>
      <c r="AF476" s="1">
        <f ca="1">IFERROR(__xludf.DUMMYFUNCTION("IFERROR(GOOGLEFINANCE(TRIM(F476)&amp;"":"" &amp; TRIM(B476),""high52""),AE476)"),461.65)</f>
        <v>461.65</v>
      </c>
      <c r="AG476" s="1">
        <v>0</v>
      </c>
      <c r="AH476" s="1">
        <f ca="1">IFERROR(__xludf.DUMMYFUNCTION("IFERROR(GOOGLEFINANCE(TRIM(F476)&amp;"":"" &amp; TRIM(B476),""low52""),AE476)"),240.25)</f>
        <v>240.25</v>
      </c>
      <c r="AI476" s="1">
        <f ca="1">IFERROR(__xludf.DUMMYFUNCTION("IFERROR(GOOGLEFINANCE(B476,""eps""),0)"),-0.01)</f>
        <v>-0.01</v>
      </c>
      <c r="AJ476" s="1"/>
      <c r="AK476" s="1" t="s">
        <v>1519</v>
      </c>
      <c r="AL476" s="9">
        <f t="shared" si="105"/>
        <v>1</v>
      </c>
    </row>
    <row r="477" spans="1:38" ht="15" x14ac:dyDescent="0.25">
      <c r="A477" s="1" t="s">
        <v>1520</v>
      </c>
      <c r="B477" s="1" t="s">
        <v>1521</v>
      </c>
      <c r="C477" s="1" t="s">
        <v>889</v>
      </c>
      <c r="D477" s="1" t="s">
        <v>889</v>
      </c>
      <c r="E477" s="6">
        <v>76.260000000000005</v>
      </c>
      <c r="F477" s="1" t="s">
        <v>53</v>
      </c>
      <c r="G477" s="6">
        <f ca="1">IFERROR(__xludf.DUMMYFUNCTION("iferror(GOOGLEFINANCE(TRIM(F477)&amp;"":"" &amp; TRIM(B477), ""price""),0
)"),0)</f>
        <v>0</v>
      </c>
      <c r="H477" s="6">
        <v>73</v>
      </c>
      <c r="I477" s="6">
        <f t="shared" ca="1" si="0"/>
        <v>73</v>
      </c>
      <c r="J477" s="6">
        <f ca="1">IFERROR(__xludf.DUMMYFUNCTION("IFERROR(GOOGLEFINANCE(B477, ""volume""), 0)"),0)</f>
        <v>0</v>
      </c>
      <c r="K477" s="6">
        <v>-1.7</v>
      </c>
      <c r="L477" s="6">
        <f ca="1">IFERROR(__xludf.DUMMYFUNCTION("IFERROR(GOOGLEFINANCE(B477,""changepct""),K477)"),-1.7)</f>
        <v>-1.7</v>
      </c>
      <c r="M477" s="6">
        <f ca="1">IFERROR(__xludf.DUMMYFUNCTION("IFERROR(GOOGLEFINANCE(B477,""change""),0)"),0)</f>
        <v>0</v>
      </c>
      <c r="N477" s="6">
        <v>1</v>
      </c>
      <c r="O477" s="7">
        <v>45444</v>
      </c>
      <c r="P477" s="6">
        <v>0.11</v>
      </c>
      <c r="Q477" s="6">
        <v>68.3</v>
      </c>
      <c r="R477" s="7">
        <v>45536</v>
      </c>
      <c r="S477" s="6">
        <v>61.3</v>
      </c>
      <c r="T477" s="6">
        <v>1.75</v>
      </c>
      <c r="U477" s="7">
        <v>45536</v>
      </c>
      <c r="V477" s="6">
        <v>43.68</v>
      </c>
      <c r="W477" s="6">
        <f ca="1">IFERROR(__xludf.DUMMYFUNCTION("IFERROR(GOOGLEFINANCE(B477,""pe""),V477)"),43.68)</f>
        <v>43.68</v>
      </c>
      <c r="X477" s="6">
        <v>-2.96</v>
      </c>
      <c r="Y477" s="6">
        <v>0.61</v>
      </c>
      <c r="Z477" s="6">
        <v>1</v>
      </c>
      <c r="AA477" s="8">
        <v>45352</v>
      </c>
      <c r="AB477" s="4">
        <v>0.03</v>
      </c>
      <c r="AC477" s="6">
        <v>1.88</v>
      </c>
      <c r="AD477" s="6">
        <v>2.69</v>
      </c>
      <c r="AE477" s="1">
        <v>0</v>
      </c>
      <c r="AF477" s="1">
        <f ca="1">IFERROR(__xludf.DUMMYFUNCTION("IFERROR(GOOGLEFINANCE(TRIM(F477)&amp;"":"" &amp; TRIM(B477),""high52""),AE477)"),0)</f>
        <v>0</v>
      </c>
      <c r="AG477" s="1">
        <v>0</v>
      </c>
      <c r="AH477" s="1">
        <f ca="1">IFERROR(__xludf.DUMMYFUNCTION("IFERROR(GOOGLEFINANCE(TRIM(F477)&amp;"":"" &amp; TRIM(B477),""low52""),AE477)"),0)</f>
        <v>0</v>
      </c>
      <c r="AI477" s="1">
        <f ca="1">IFERROR(__xludf.DUMMYFUNCTION("IFERROR(GOOGLEFINANCE(B477,""eps""),0)"),0)</f>
        <v>0</v>
      </c>
      <c r="AJ477" s="1"/>
      <c r="AK477" s="1" t="s">
        <v>1522</v>
      </c>
      <c r="AL477" s="1" t="b">
        <f t="shared" ref="AL477:AL478" si="106">ISNUMBER(AA477)</f>
        <v>1</v>
      </c>
    </row>
    <row r="478" spans="1:38" ht="15" x14ac:dyDescent="0.25">
      <c r="A478" s="1" t="s">
        <v>1523</v>
      </c>
      <c r="B478" s="1" t="s">
        <v>1524</v>
      </c>
      <c r="C478" s="1" t="s">
        <v>889</v>
      </c>
      <c r="D478" s="1" t="s">
        <v>889</v>
      </c>
      <c r="E478" s="6">
        <v>79.87</v>
      </c>
      <c r="F478" s="1" t="s">
        <v>53</v>
      </c>
      <c r="G478" s="6">
        <f ca="1">IFERROR(__xludf.DUMMYFUNCTION("iferror(GOOGLEFINANCE(TRIM(F478)&amp;"":"" &amp; TRIM(B478), ""price""),0
)"),0)</f>
        <v>0</v>
      </c>
      <c r="H478" s="6">
        <v>276.8</v>
      </c>
      <c r="I478" s="6">
        <f t="shared" ca="1" si="0"/>
        <v>276.8</v>
      </c>
      <c r="J478" s="6">
        <f ca="1">IFERROR(__xludf.DUMMYFUNCTION("IFERROR(GOOGLEFINANCE(B478, ""volume""), 0)"),0)</f>
        <v>0</v>
      </c>
      <c r="K478" s="6">
        <v>2.69</v>
      </c>
      <c r="L478" s="6">
        <f ca="1">IFERROR(__xludf.DUMMYFUNCTION("IFERROR(GOOGLEFINANCE(B478,""changepct""),K478)"),2.69)</f>
        <v>2.69</v>
      </c>
      <c r="M478" s="6">
        <f ca="1">IFERROR(__xludf.DUMMYFUNCTION("IFERROR(GOOGLEFINANCE(B478,""change""),0)"),0)</f>
        <v>0</v>
      </c>
      <c r="N478" s="6">
        <v>1</v>
      </c>
      <c r="O478" s="7">
        <v>45536</v>
      </c>
      <c r="P478" s="9"/>
      <c r="Q478" s="6">
        <v>74.709999999999994</v>
      </c>
      <c r="R478" s="7">
        <v>45536</v>
      </c>
      <c r="S478" s="6">
        <v>34.9</v>
      </c>
      <c r="T478" s="6">
        <v>5.18</v>
      </c>
      <c r="U478" s="7">
        <v>45536</v>
      </c>
      <c r="V478" s="6">
        <v>15.43</v>
      </c>
      <c r="W478" s="6">
        <f ca="1">IFERROR(__xludf.DUMMYFUNCTION("IFERROR(GOOGLEFINANCE(B478,""pe""),V478)"),15.43)</f>
        <v>15.43</v>
      </c>
      <c r="X478" s="6">
        <v>2</v>
      </c>
      <c r="Y478" s="6">
        <v>0.5</v>
      </c>
      <c r="Z478" s="6">
        <v>1</v>
      </c>
      <c r="AA478" s="8">
        <v>45352</v>
      </c>
      <c r="AB478" s="4">
        <v>0</v>
      </c>
      <c r="AC478" s="6">
        <v>3.44</v>
      </c>
      <c r="AD478" s="6">
        <v>4.6399999999999997</v>
      </c>
      <c r="AE478" s="1">
        <v>0</v>
      </c>
      <c r="AF478" s="1">
        <f ca="1">IFERROR(__xludf.DUMMYFUNCTION("IFERROR(GOOGLEFINANCE(TRIM(F478)&amp;"":"" &amp; TRIM(B478),""high52""),AE478)"),0)</f>
        <v>0</v>
      </c>
      <c r="AG478" s="1">
        <v>0</v>
      </c>
      <c r="AH478" s="1">
        <f ca="1">IFERROR(__xludf.DUMMYFUNCTION("IFERROR(GOOGLEFINANCE(TRIM(F478)&amp;"":"" &amp; TRIM(B478),""low52""),AE478)"),0)</f>
        <v>0</v>
      </c>
      <c r="AI478" s="1">
        <f ca="1">IFERROR(__xludf.DUMMYFUNCTION("IFERROR(GOOGLEFINANCE(B478,""eps""),0)"),0)</f>
        <v>0</v>
      </c>
      <c r="AJ478" s="1"/>
      <c r="AK478" s="1" t="s">
        <v>1525</v>
      </c>
      <c r="AL478" s="1" t="b">
        <f t="shared" si="106"/>
        <v>1</v>
      </c>
    </row>
    <row r="479" spans="1:38" ht="15" x14ac:dyDescent="0.25">
      <c r="A479" s="1" t="s">
        <v>1526</v>
      </c>
      <c r="B479" s="1" t="s">
        <v>1527</v>
      </c>
      <c r="C479" s="1" t="s">
        <v>1528</v>
      </c>
      <c r="D479" s="1" t="s">
        <v>1528</v>
      </c>
      <c r="E479" s="6">
        <v>63035.99</v>
      </c>
      <c r="F479" s="1" t="s">
        <v>40</v>
      </c>
      <c r="G479" s="6">
        <f ca="1">IFERROR(__xludf.DUMMYFUNCTION("iferror(GOOGLEFINANCE(TRIM(F479)&amp;"":"" &amp; TRIM(B479), ""price""),0
)"),1441.6)</f>
        <v>1441.6</v>
      </c>
      <c r="H479" s="6">
        <v>1310.6500000000001</v>
      </c>
      <c r="I479" s="6">
        <f t="shared" ca="1" si="0"/>
        <v>1441.6</v>
      </c>
      <c r="J479" s="6">
        <f ca="1">IFERROR(__xludf.DUMMYFUNCTION("IFERROR(GOOGLEFINANCE(B479, ""volume""), 0)"),638162)</f>
        <v>638162</v>
      </c>
      <c r="K479" s="6">
        <v>-0.38</v>
      </c>
      <c r="L479" s="6">
        <f ca="1">IFERROR(__xludf.DUMMYFUNCTION("IFERROR(GOOGLEFINANCE(B479,""changepct""),K479)"),4.65)</f>
        <v>4.6500000000000004</v>
      </c>
      <c r="M479" s="6">
        <f ca="1">IFERROR(__xludf.DUMMYFUNCTION("IFERROR(GOOGLEFINANCE(B479,""change""),0)"),64)</f>
        <v>64</v>
      </c>
      <c r="N479" s="6">
        <v>2</v>
      </c>
      <c r="O479" s="7">
        <v>45536</v>
      </c>
      <c r="P479" s="6">
        <v>7312.13</v>
      </c>
      <c r="Q479" s="6">
        <v>69190.38</v>
      </c>
      <c r="R479" s="7">
        <v>45536</v>
      </c>
      <c r="S479" s="6">
        <v>15825.27</v>
      </c>
      <c r="T479" s="6">
        <v>897.07</v>
      </c>
      <c r="U479" s="7">
        <v>45536</v>
      </c>
      <c r="V479" s="6">
        <v>66.569999999999993</v>
      </c>
      <c r="W479" s="6">
        <f ca="1">IFERROR(__xludf.DUMMYFUNCTION("IFERROR(GOOGLEFINANCE(B479,""pe""),V479)"),63.72)</f>
        <v>63.72</v>
      </c>
      <c r="X479" s="6">
        <v>-45.6</v>
      </c>
      <c r="Y479" s="6">
        <v>7.06</v>
      </c>
      <c r="Z479" s="6">
        <v>2</v>
      </c>
      <c r="AA479" s="8">
        <v>45352</v>
      </c>
      <c r="AB479" s="4">
        <v>1.04</v>
      </c>
      <c r="AC479" s="6">
        <v>13.13</v>
      </c>
      <c r="AD479" s="6">
        <v>13.75</v>
      </c>
      <c r="AE479" s="1">
        <v>0</v>
      </c>
      <c r="AF479" s="1">
        <f ca="1">IFERROR(__xludf.DUMMYFUNCTION("IFERROR(GOOGLEFINANCE(TRIM(F479)&amp;"":"" &amp; TRIM(B479),""high52""),AE479)"),1506.5)</f>
        <v>1506.5</v>
      </c>
      <c r="AG479" s="1">
        <v>0</v>
      </c>
      <c r="AH479" s="1">
        <f ca="1">IFERROR(__xludf.DUMMYFUNCTION("IFERROR(GOOGLEFINANCE(TRIM(F479)&amp;"":"" &amp; TRIM(B479),""low52""),AE479)"),919.1)</f>
        <v>919.1</v>
      </c>
      <c r="AI479" s="1">
        <f ca="1">IFERROR(__xludf.DUMMYFUNCTION("IFERROR(GOOGLEFINANCE(B479,""eps""),0)"),22.63)</f>
        <v>22.63</v>
      </c>
      <c r="AJ479" s="1"/>
      <c r="AK479" s="9"/>
      <c r="AL479" s="9">
        <f>IF(AA479&lt;&gt;AB479,1,0)</f>
        <v>1</v>
      </c>
    </row>
    <row r="480" spans="1:38" ht="15" x14ac:dyDescent="0.25">
      <c r="A480" s="1" t="s">
        <v>1529</v>
      </c>
      <c r="B480" s="1" t="s">
        <v>1530</v>
      </c>
      <c r="C480" s="1" t="s">
        <v>889</v>
      </c>
      <c r="D480" s="1" t="s">
        <v>889</v>
      </c>
      <c r="E480" s="6">
        <v>11.08</v>
      </c>
      <c r="F480" s="1" t="s">
        <v>53</v>
      </c>
      <c r="G480" s="6">
        <f ca="1">IFERROR(__xludf.DUMMYFUNCTION("iferror(GOOGLEFINANCE(TRIM(F480)&amp;"":"" &amp; TRIM(B480), ""price""),0
)"),0)</f>
        <v>0</v>
      </c>
      <c r="H480" s="6">
        <v>4.4800000000000004</v>
      </c>
      <c r="I480" s="6">
        <f t="shared" ca="1" si="0"/>
        <v>4.4800000000000004</v>
      </c>
      <c r="J480" s="6">
        <f ca="1">IFERROR(__xludf.DUMMYFUNCTION("IFERROR(GOOGLEFINANCE(B480, ""volume""), 0)"),0)</f>
        <v>0</v>
      </c>
      <c r="K480" s="6">
        <v>4.92</v>
      </c>
      <c r="L480" s="6">
        <f ca="1">IFERROR(__xludf.DUMMYFUNCTION("IFERROR(GOOGLEFINANCE(B480,""changepct""),K480)"),4.92)</f>
        <v>4.92</v>
      </c>
      <c r="M480" s="6">
        <f ca="1">IFERROR(__xludf.DUMMYFUNCTION("IFERROR(GOOGLEFINANCE(B480,""change""),0)"),0)</f>
        <v>0</v>
      </c>
      <c r="N480" s="6">
        <v>1</v>
      </c>
      <c r="O480" s="7">
        <v>45536</v>
      </c>
      <c r="P480" s="6">
        <v>18.54</v>
      </c>
      <c r="Q480" s="6">
        <v>29.62</v>
      </c>
      <c r="R480" s="7">
        <v>45536</v>
      </c>
      <c r="S480" s="6">
        <v>3.88</v>
      </c>
      <c r="T480" s="6">
        <v>-20.22</v>
      </c>
      <c r="U480" s="7">
        <v>45536</v>
      </c>
      <c r="V480" s="6">
        <v>0</v>
      </c>
      <c r="W480" s="6">
        <f ca="1">IFERROR(__xludf.DUMMYFUNCTION("IFERROR(GOOGLEFINANCE(B480,""pe""),V480)"),0)</f>
        <v>0</v>
      </c>
      <c r="X480" s="9"/>
      <c r="Y480" s="6">
        <v>-1</v>
      </c>
      <c r="Z480" s="6">
        <v>1</v>
      </c>
      <c r="AA480" s="8">
        <v>45352</v>
      </c>
      <c r="AB480" s="4">
        <v>4.09</v>
      </c>
      <c r="AC480" s="6">
        <v>-79.819999999999993</v>
      </c>
      <c r="AD480" s="6">
        <v>-15.21</v>
      </c>
      <c r="AE480" s="1">
        <v>0</v>
      </c>
      <c r="AF480" s="1">
        <f ca="1">IFERROR(__xludf.DUMMYFUNCTION("IFERROR(GOOGLEFINANCE(TRIM(F480)&amp;"":"" &amp; TRIM(B480),""high52""),AE480)"),0)</f>
        <v>0</v>
      </c>
      <c r="AG480" s="1">
        <v>0</v>
      </c>
      <c r="AH480" s="1">
        <f ca="1">IFERROR(__xludf.DUMMYFUNCTION("IFERROR(GOOGLEFINANCE(TRIM(F480)&amp;"":"" &amp; TRIM(B480),""low52""),AE480)"),0)</f>
        <v>0</v>
      </c>
      <c r="AI480" s="1">
        <f ca="1">IFERROR(__xludf.DUMMYFUNCTION("IFERROR(GOOGLEFINANCE(B480,""eps""),0)"),0)</f>
        <v>0</v>
      </c>
      <c r="AJ480" s="1"/>
      <c r="AK480" s="1" t="s">
        <v>1531</v>
      </c>
      <c r="AL480" s="1" t="b">
        <f t="shared" ref="AL480:AL481" si="107">ISNUMBER(AA480)</f>
        <v>1</v>
      </c>
    </row>
    <row r="481" spans="1:38" ht="15" x14ac:dyDescent="0.25">
      <c r="A481" s="1" t="s">
        <v>1532</v>
      </c>
      <c r="B481" s="1" t="s">
        <v>1533</v>
      </c>
      <c r="C481" s="1" t="s">
        <v>355</v>
      </c>
      <c r="D481" s="1" t="s">
        <v>355</v>
      </c>
      <c r="E481" s="6">
        <v>154.29</v>
      </c>
      <c r="F481" s="1" t="s">
        <v>40</v>
      </c>
      <c r="G481" s="6">
        <f ca="1">IFERROR(__xludf.DUMMYFUNCTION("iferror(GOOGLEFINANCE(TRIM(F481)&amp;"":"" &amp; TRIM(B481), ""price""),0
)"),110)</f>
        <v>110</v>
      </c>
      <c r="H481" s="6">
        <v>101.39</v>
      </c>
      <c r="I481" s="6">
        <f t="shared" ca="1" si="0"/>
        <v>110</v>
      </c>
      <c r="J481" s="6">
        <f ca="1">IFERROR(__xludf.DUMMYFUNCTION("IFERROR(GOOGLEFINANCE(B481, ""volume""), 0)"),17281)</f>
        <v>17281</v>
      </c>
      <c r="K481" s="6">
        <v>0.52</v>
      </c>
      <c r="L481" s="6">
        <f ca="1">IFERROR(__xludf.DUMMYFUNCTION("IFERROR(GOOGLEFINANCE(B481,""changepct""),K481)"),0.08)</f>
        <v>0.08</v>
      </c>
      <c r="M481" s="6">
        <f ca="1">IFERROR(__xludf.DUMMYFUNCTION("IFERROR(GOOGLEFINANCE(B481,""change""),0)"),0.09)</f>
        <v>0.09</v>
      </c>
      <c r="N481" s="6">
        <v>1</v>
      </c>
      <c r="O481" s="7">
        <v>45536</v>
      </c>
      <c r="P481" s="6">
        <v>86.87</v>
      </c>
      <c r="Q481" s="6">
        <v>228.86</v>
      </c>
      <c r="R481" s="7">
        <v>45536</v>
      </c>
      <c r="S481" s="6">
        <v>644.14</v>
      </c>
      <c r="T481" s="6">
        <v>4.5199999999999996</v>
      </c>
      <c r="U481" s="7">
        <v>45536</v>
      </c>
      <c r="V481" s="6">
        <v>34.130000000000003</v>
      </c>
      <c r="W481" s="6">
        <f ca="1">IFERROR(__xludf.DUMMYFUNCTION("IFERROR(GOOGLEFINANCE(B481,""pe""),V481)"),561.34)</f>
        <v>561.34</v>
      </c>
      <c r="X481" s="9"/>
      <c r="Y481" s="6">
        <v>1.26</v>
      </c>
      <c r="Z481" s="6">
        <v>1</v>
      </c>
      <c r="AA481" s="8">
        <v>45352</v>
      </c>
      <c r="AB481" s="4">
        <v>0.84</v>
      </c>
      <c r="AC481" s="6">
        <v>-8.43</v>
      </c>
      <c r="AD481" s="6">
        <v>2.16</v>
      </c>
      <c r="AE481" s="1">
        <v>0</v>
      </c>
      <c r="AF481" s="1">
        <f ca="1">IFERROR(__xludf.DUMMYFUNCTION("IFERROR(GOOGLEFINANCE(TRIM(F481)&amp;"":"" &amp; TRIM(B481),""high52""),AE481)"),154.2)</f>
        <v>154.19999999999999</v>
      </c>
      <c r="AG481" s="1">
        <v>0</v>
      </c>
      <c r="AH481" s="1">
        <f ca="1">IFERROR(__xludf.DUMMYFUNCTION("IFERROR(GOOGLEFINANCE(TRIM(F481)&amp;"":"" &amp; TRIM(B481),""low52""),AE481)"),64.8)</f>
        <v>64.8</v>
      </c>
      <c r="AI481" s="1">
        <f ca="1">IFERROR(__xludf.DUMMYFUNCTION("IFERROR(GOOGLEFINANCE(B481,""eps""),0)"),0.2)</f>
        <v>0.2</v>
      </c>
      <c r="AJ481" s="1"/>
      <c r="AK481" s="1" t="s">
        <v>1534</v>
      </c>
      <c r="AL481" s="1" t="b">
        <f t="shared" si="107"/>
        <v>1</v>
      </c>
    </row>
    <row r="482" spans="1:38" ht="15" x14ac:dyDescent="0.25">
      <c r="A482" s="1" t="s">
        <v>1535</v>
      </c>
      <c r="B482" s="1" t="s">
        <v>1536</v>
      </c>
      <c r="C482" s="1" t="s">
        <v>889</v>
      </c>
      <c r="D482" s="1" t="s">
        <v>889</v>
      </c>
      <c r="E482" s="6">
        <v>47.62</v>
      </c>
      <c r="F482" s="1" t="s">
        <v>53</v>
      </c>
      <c r="G482" s="6">
        <f ca="1">IFERROR(__xludf.DUMMYFUNCTION("iferror(GOOGLEFINANCE(TRIM(F482)&amp;"":"" &amp; TRIM(B482), ""price""),0
)"),0)</f>
        <v>0</v>
      </c>
      <c r="H482" s="6">
        <v>25.26</v>
      </c>
      <c r="I482" s="6">
        <f t="shared" ca="1" si="0"/>
        <v>25.26</v>
      </c>
      <c r="J482" s="6">
        <f ca="1">IFERROR(__xludf.DUMMYFUNCTION("IFERROR(GOOGLEFINANCE(B482, ""volume""), 0)"),0)</f>
        <v>0</v>
      </c>
      <c r="K482" s="6">
        <v>-1.33</v>
      </c>
      <c r="L482" s="6">
        <f ca="1">IFERROR(__xludf.DUMMYFUNCTION("IFERROR(GOOGLEFINANCE(B482,""changepct""),K482)"),-1.33)</f>
        <v>-1.33</v>
      </c>
      <c r="M482" s="6">
        <f ca="1">IFERROR(__xludf.DUMMYFUNCTION("IFERROR(GOOGLEFINANCE(B482,""change""),0)"),0)</f>
        <v>0</v>
      </c>
      <c r="N482" s="6">
        <v>1</v>
      </c>
      <c r="O482" s="7">
        <v>45536</v>
      </c>
      <c r="P482" s="6">
        <v>22.66</v>
      </c>
      <c r="Q482" s="6">
        <v>70.09</v>
      </c>
      <c r="R482" s="7">
        <v>45536</v>
      </c>
      <c r="S482" s="6">
        <v>53.25</v>
      </c>
      <c r="T482" s="6">
        <v>4.08</v>
      </c>
      <c r="U482" s="7">
        <v>45536</v>
      </c>
      <c r="V482" s="6">
        <v>11.67</v>
      </c>
      <c r="W482" s="6">
        <f ca="1">IFERROR(__xludf.DUMMYFUNCTION("IFERROR(GOOGLEFINANCE(B482,""pe""),V482)"),11.67)</f>
        <v>11.67</v>
      </c>
      <c r="X482" s="6">
        <v>0.9</v>
      </c>
      <c r="Y482" s="6">
        <v>0.87</v>
      </c>
      <c r="Z482" s="6">
        <v>1</v>
      </c>
      <c r="AA482" s="8">
        <v>45352</v>
      </c>
      <c r="AB482" s="4">
        <v>0.44</v>
      </c>
      <c r="AC482" s="6">
        <v>3</v>
      </c>
      <c r="AD482" s="6">
        <v>5.68</v>
      </c>
      <c r="AE482" s="1">
        <v>0</v>
      </c>
      <c r="AF482" s="1">
        <f ca="1">IFERROR(__xludf.DUMMYFUNCTION("IFERROR(GOOGLEFINANCE(TRIM(F482)&amp;"":"" &amp; TRIM(B482),""high52""),AE482)"),0)</f>
        <v>0</v>
      </c>
      <c r="AG482" s="1">
        <v>0</v>
      </c>
      <c r="AH482" s="1">
        <f ca="1">IFERROR(__xludf.DUMMYFUNCTION("IFERROR(GOOGLEFINANCE(TRIM(F482)&amp;"":"" &amp; TRIM(B482),""low52""),AE482)"),0)</f>
        <v>0</v>
      </c>
      <c r="AI482" s="1">
        <f ca="1">IFERROR(__xludf.DUMMYFUNCTION("IFERROR(GOOGLEFINANCE(B482,""eps""),0)"),0)</f>
        <v>0</v>
      </c>
      <c r="AJ482" s="1"/>
      <c r="AK482" s="9"/>
      <c r="AL482" s="1" t="b">
        <f>ISBLANK(AB482)</f>
        <v>0</v>
      </c>
    </row>
    <row r="483" spans="1:38" ht="15" x14ac:dyDescent="0.25">
      <c r="A483" s="1" t="s">
        <v>1537</v>
      </c>
      <c r="B483" s="1" t="s">
        <v>1538</v>
      </c>
      <c r="C483" s="1" t="s">
        <v>416</v>
      </c>
      <c r="D483" s="1" t="s">
        <v>416</v>
      </c>
      <c r="E483" s="6">
        <v>81027.61</v>
      </c>
      <c r="F483" s="1" t="s">
        <v>40</v>
      </c>
      <c r="G483" s="6">
        <f ca="1">IFERROR(__xludf.DUMMYFUNCTION("iferror(GOOGLEFINANCE(TRIM(F483)&amp;"":"" &amp; TRIM(B483), ""price""),0
)"),259)</f>
        <v>259</v>
      </c>
      <c r="H483" s="6">
        <v>234.49</v>
      </c>
      <c r="I483" s="6">
        <f t="shared" ca="1" si="0"/>
        <v>259</v>
      </c>
      <c r="J483" s="6">
        <f ca="1">IFERROR(__xludf.DUMMYFUNCTION("IFERROR(GOOGLEFINANCE(B483, ""volume""), 0)"),5287190)</f>
        <v>5287190</v>
      </c>
      <c r="K483" s="6">
        <v>0.75</v>
      </c>
      <c r="L483" s="6">
        <f ca="1">IFERROR(__xludf.DUMMYFUNCTION("IFERROR(GOOGLEFINANCE(B483,""changepct""),K483)"),2.74)</f>
        <v>2.74</v>
      </c>
      <c r="M483" s="6">
        <f ca="1">IFERROR(__xludf.DUMMYFUNCTION("IFERROR(GOOGLEFINANCE(B483,""change""),0)"),6.9)</f>
        <v>6.9</v>
      </c>
      <c r="N483" s="6">
        <v>2</v>
      </c>
      <c r="O483" s="7">
        <v>45536</v>
      </c>
      <c r="P483" s="6">
        <v>9064.65</v>
      </c>
      <c r="Q483" s="6">
        <v>84987.5</v>
      </c>
      <c r="R483" s="7">
        <v>45536</v>
      </c>
      <c r="S483" s="6">
        <v>25833.08</v>
      </c>
      <c r="T483" s="6">
        <v>168.85</v>
      </c>
      <c r="U483" s="7">
        <v>45536</v>
      </c>
      <c r="V483" s="6">
        <v>343.92</v>
      </c>
      <c r="W483" s="6">
        <f ca="1">IFERROR(__xludf.DUMMYFUNCTION("IFERROR(GOOGLEFINANCE(B483,""pe""),V483)"),98.15)</f>
        <v>98.15</v>
      </c>
      <c r="X483" s="6">
        <v>-15.33</v>
      </c>
      <c r="Y483" s="6">
        <v>3.35</v>
      </c>
      <c r="Z483" s="6">
        <v>2</v>
      </c>
      <c r="AA483" s="8">
        <v>45352</v>
      </c>
      <c r="AB483" s="4">
        <v>0.36</v>
      </c>
      <c r="AC483" s="6">
        <v>1.1599999999999999</v>
      </c>
      <c r="AD483" s="6">
        <v>3.4</v>
      </c>
      <c r="AE483" s="1">
        <v>0</v>
      </c>
      <c r="AF483" s="1">
        <f ca="1">IFERROR(__xludf.DUMMYFUNCTION("IFERROR(GOOGLEFINANCE(TRIM(F483)&amp;"":"" &amp; TRIM(B483),""high52""),AE483)"),305.9)</f>
        <v>305.89999999999998</v>
      </c>
      <c r="AG483" s="1">
        <v>0</v>
      </c>
      <c r="AH483" s="1">
        <f ca="1">IFERROR(__xludf.DUMMYFUNCTION("IFERROR(GOOGLEFINANCE(TRIM(F483)&amp;"":"" &amp; TRIM(B483),""low52""),AE483)"),176)</f>
        <v>176</v>
      </c>
      <c r="AI483" s="1">
        <f ca="1">IFERROR(__xludf.DUMMYFUNCTION("IFERROR(GOOGLEFINANCE(B483,""eps""),0)"),2.64)</f>
        <v>2.64</v>
      </c>
      <c r="AJ483" s="1"/>
      <c r="AK483" s="1" t="s">
        <v>1539</v>
      </c>
      <c r="AL483" s="9">
        <f t="shared" ref="AL483:AL485" si="108">IF(AA483&lt;&gt;AB483,1,0)</f>
        <v>1</v>
      </c>
    </row>
    <row r="484" spans="1:38" ht="15" x14ac:dyDescent="0.25">
      <c r="A484" s="1" t="s">
        <v>1540</v>
      </c>
      <c r="B484" s="1" t="s">
        <v>1541</v>
      </c>
      <c r="C484" s="1" t="s">
        <v>43</v>
      </c>
      <c r="D484" s="1" t="s">
        <v>43</v>
      </c>
      <c r="E484" s="6">
        <v>0</v>
      </c>
      <c r="F484" s="1" t="s">
        <v>40</v>
      </c>
      <c r="G484" s="6">
        <f ca="1">IFERROR(__xludf.DUMMYFUNCTION("iferror(GOOGLEFINANCE(TRIM(F484)&amp;"":"" &amp; TRIM(B484), ""price""),0
)"),0)</f>
        <v>0</v>
      </c>
      <c r="H484" s="6">
        <v>112.7</v>
      </c>
      <c r="I484" s="6">
        <f t="shared" ca="1" si="0"/>
        <v>112.7</v>
      </c>
      <c r="J484" s="6">
        <f ca="1">IFERROR(__xludf.DUMMYFUNCTION("IFERROR(GOOGLEFINANCE(B484, ""volume""), 0)"),0)</f>
        <v>0</v>
      </c>
      <c r="K484" s="6">
        <v>0.31</v>
      </c>
      <c r="L484" s="6">
        <f ca="1">IFERROR(__xludf.DUMMYFUNCTION("IFERROR(GOOGLEFINANCE(B484,""changepct""),K484)"),0.31)</f>
        <v>0.31</v>
      </c>
      <c r="M484" s="6">
        <f ca="1">IFERROR(__xludf.DUMMYFUNCTION("IFERROR(GOOGLEFINANCE(B484,""change""),0)"),0)</f>
        <v>0</v>
      </c>
      <c r="N484" s="6">
        <v>1</v>
      </c>
      <c r="O484" s="14"/>
      <c r="P484" s="9"/>
      <c r="Q484" s="6">
        <v>0</v>
      </c>
      <c r="R484" s="14"/>
      <c r="S484" s="9"/>
      <c r="T484" s="9"/>
      <c r="U484" s="6">
        <v>1</v>
      </c>
      <c r="V484" s="6">
        <v>0</v>
      </c>
      <c r="W484" s="6">
        <f ca="1">IFERROR(__xludf.DUMMYFUNCTION("IFERROR(GOOGLEFINANCE(B484,""pe""),V484)"),0)</f>
        <v>0</v>
      </c>
      <c r="X484" s="9"/>
      <c r="Y484" s="9"/>
      <c r="Z484" s="9"/>
      <c r="AA484" s="3" t="s">
        <v>1542</v>
      </c>
      <c r="AB484" s="11"/>
      <c r="AC484" s="9"/>
      <c r="AD484" s="9"/>
      <c r="AE484" s="1">
        <v>0</v>
      </c>
      <c r="AF484" s="1">
        <f ca="1">IFERROR(__xludf.DUMMYFUNCTION("IFERROR(GOOGLEFINANCE(TRIM(F484)&amp;"":"" &amp; TRIM(B484),""high52""),AE484)"),0)</f>
        <v>0</v>
      </c>
      <c r="AG484" s="1">
        <v>0</v>
      </c>
      <c r="AH484" s="1">
        <f ca="1">IFERROR(__xludf.DUMMYFUNCTION("IFERROR(GOOGLEFINANCE(TRIM(F484)&amp;"":"" &amp; TRIM(B484),""low52""),AE484)"),0)</f>
        <v>0</v>
      </c>
      <c r="AI484" s="1">
        <f ca="1">IFERROR(__xludf.DUMMYFUNCTION("IFERROR(GOOGLEFINANCE(B484,""eps""),0)"),0)</f>
        <v>0</v>
      </c>
      <c r="AJ484" s="1"/>
      <c r="AK484" s="1" t="s">
        <v>1543</v>
      </c>
      <c r="AL484" s="9">
        <f t="shared" si="108"/>
        <v>1</v>
      </c>
    </row>
    <row r="485" spans="1:38" ht="15" x14ac:dyDescent="0.25">
      <c r="A485" s="1" t="s">
        <v>1544</v>
      </c>
      <c r="B485" s="1" t="s">
        <v>1545</v>
      </c>
      <c r="C485" s="1" t="s">
        <v>1546</v>
      </c>
      <c r="D485" s="1" t="s">
        <v>1546</v>
      </c>
      <c r="E485" s="6">
        <v>128809.2</v>
      </c>
      <c r="F485" s="1" t="s">
        <v>40</v>
      </c>
      <c r="G485" s="6">
        <f ca="1">IFERROR(__xludf.DUMMYFUNCTION("iferror(GOOGLEFINANCE(TRIM(F485)&amp;"":"" &amp; TRIM(B485), ""price""),0
)"),367.15)</f>
        <v>367.15</v>
      </c>
      <c r="H485" s="6">
        <v>295.3</v>
      </c>
      <c r="I485" s="6">
        <f t="shared" ca="1" si="0"/>
        <v>367.15</v>
      </c>
      <c r="J485" s="6">
        <f ca="1">IFERROR(__xludf.DUMMYFUNCTION("IFERROR(GOOGLEFINANCE(B485, ""volume""), 0)"),12038292)</f>
        <v>12038292</v>
      </c>
      <c r="K485" s="6">
        <v>-0.54</v>
      </c>
      <c r="L485" s="6">
        <f ca="1">IFERROR(__xludf.DUMMYFUNCTION("IFERROR(GOOGLEFINANCE(B485,""changepct""),K485)"),2.14)</f>
        <v>2.14</v>
      </c>
      <c r="M485" s="6">
        <f ca="1">IFERROR(__xludf.DUMMYFUNCTION("IFERROR(GOOGLEFINANCE(B485,""change""),0)"),7.7)</f>
        <v>7.7</v>
      </c>
      <c r="N485" s="6">
        <v>2</v>
      </c>
      <c r="O485" s="7">
        <v>45536</v>
      </c>
      <c r="P485" s="6">
        <v>49186.92</v>
      </c>
      <c r="Q485" s="6">
        <v>167600.20000000001</v>
      </c>
      <c r="R485" s="7">
        <v>45536</v>
      </c>
      <c r="S485" s="6">
        <v>508126.8</v>
      </c>
      <c r="T485" s="6">
        <v>11785.8</v>
      </c>
      <c r="U485" s="7">
        <v>45536</v>
      </c>
      <c r="V485" s="6">
        <v>9.83</v>
      </c>
      <c r="W485" s="6">
        <f ca="1">IFERROR(__xludf.DUMMYFUNCTION("IFERROR(GOOGLEFINANCE(B485,""pe""),V485)"),6.38)</f>
        <v>6.38</v>
      </c>
      <c r="X485" s="6">
        <v>0.35</v>
      </c>
      <c r="Y485" s="6">
        <v>1.67</v>
      </c>
      <c r="Z485" s="6">
        <v>2</v>
      </c>
      <c r="AA485" s="8">
        <v>45352</v>
      </c>
      <c r="AB485" s="4">
        <v>0.61</v>
      </c>
      <c r="AC485" s="6">
        <v>41.59</v>
      </c>
      <c r="AD485" s="6">
        <v>34.15</v>
      </c>
      <c r="AE485" s="1">
        <v>0</v>
      </c>
      <c r="AF485" s="1">
        <f ca="1">IFERROR(__xludf.DUMMYFUNCTION("IFERROR(GOOGLEFINANCE(TRIM(F485)&amp;"":"" &amp; TRIM(B485),""high52""),AE485)"),388.15)</f>
        <v>388.15</v>
      </c>
      <c r="AG485" s="1">
        <v>0</v>
      </c>
      <c r="AH485" s="1">
        <f ca="1">IFERROR(__xludf.DUMMYFUNCTION("IFERROR(GOOGLEFINANCE(TRIM(F485)&amp;"":"" &amp; TRIM(B485),""low52""),AE485)"),234.01)</f>
        <v>234.01</v>
      </c>
      <c r="AI485" s="1">
        <f ca="1">IFERROR(__xludf.DUMMYFUNCTION("IFERROR(GOOGLEFINANCE(B485,""eps""),0)"),57.59)</f>
        <v>57.59</v>
      </c>
      <c r="AJ485" s="1"/>
      <c r="AK485" s="9"/>
      <c r="AL485" s="9">
        <f t="shared" si="108"/>
        <v>1</v>
      </c>
    </row>
    <row r="486" spans="1:38" ht="15" x14ac:dyDescent="0.25">
      <c r="A486" s="1" t="s">
        <v>1547</v>
      </c>
      <c r="B486" s="1" t="s">
        <v>1548</v>
      </c>
      <c r="C486" s="1" t="s">
        <v>889</v>
      </c>
      <c r="D486" s="1" t="s">
        <v>889</v>
      </c>
      <c r="E486" s="6">
        <v>379.36</v>
      </c>
      <c r="F486" s="1" t="s">
        <v>53</v>
      </c>
      <c r="G486" s="6">
        <f ca="1">IFERROR(__xludf.DUMMYFUNCTION("iferror(GOOGLEFINANCE(TRIM(F486)&amp;"":"" &amp; TRIM(B486), ""price""),0
)"),0)</f>
        <v>0</v>
      </c>
      <c r="H486" s="6">
        <v>169</v>
      </c>
      <c r="I486" s="6">
        <f t="shared" ca="1" si="0"/>
        <v>169</v>
      </c>
      <c r="J486" s="6">
        <f ca="1">IFERROR(__xludf.DUMMYFUNCTION("IFERROR(GOOGLEFINANCE(B486, ""volume""), 0)"),0)</f>
        <v>0</v>
      </c>
      <c r="K486" s="12"/>
      <c r="L486" s="6" t="str">
        <f ca="1">IFERROR(__xludf.DUMMYFUNCTION("IFERROR(GOOGLEFINANCE(B486,""changepct""),K486)"),"")</f>
        <v/>
      </c>
      <c r="M486" s="6">
        <f ca="1">IFERROR(__xludf.DUMMYFUNCTION("IFERROR(GOOGLEFINANCE(B486,""change""),0)"),0)</f>
        <v>0</v>
      </c>
      <c r="N486" s="6">
        <v>1</v>
      </c>
      <c r="O486" s="7">
        <v>45536</v>
      </c>
      <c r="P486" s="6">
        <v>89.45</v>
      </c>
      <c r="Q486" s="6">
        <v>468.81</v>
      </c>
      <c r="R486" s="7">
        <v>45536</v>
      </c>
      <c r="S486" s="6">
        <v>28.27</v>
      </c>
      <c r="T486" s="6">
        <v>-4.63</v>
      </c>
      <c r="U486" s="7">
        <v>45536</v>
      </c>
      <c r="V486" s="6">
        <v>0</v>
      </c>
      <c r="W486" s="6">
        <f ca="1">IFERROR(__xludf.DUMMYFUNCTION("IFERROR(GOOGLEFINANCE(B486,""pe""),V486)"),0)</f>
        <v>0</v>
      </c>
      <c r="X486" s="9"/>
      <c r="Y486" s="6">
        <v>8.65</v>
      </c>
      <c r="Z486" s="6">
        <v>1</v>
      </c>
      <c r="AA486" s="8">
        <v>45352</v>
      </c>
      <c r="AB486" s="4">
        <v>3.35</v>
      </c>
      <c r="AC486" s="6">
        <v>-6.83</v>
      </c>
      <c r="AD486" s="6">
        <v>6.32</v>
      </c>
      <c r="AE486" s="1">
        <v>0</v>
      </c>
      <c r="AF486" s="1">
        <f ca="1">IFERROR(__xludf.DUMMYFUNCTION("IFERROR(GOOGLEFINANCE(TRIM(F486)&amp;"":"" &amp; TRIM(B486),""high52""),AE486)"),0)</f>
        <v>0</v>
      </c>
      <c r="AG486" s="1">
        <v>0</v>
      </c>
      <c r="AH486" s="1">
        <f ca="1">IFERROR(__xludf.DUMMYFUNCTION("IFERROR(GOOGLEFINANCE(TRIM(F486)&amp;"":"" &amp; TRIM(B486),""low52""),AE486)"),0)</f>
        <v>0</v>
      </c>
      <c r="AI486" s="1">
        <f ca="1">IFERROR(__xludf.DUMMYFUNCTION("IFERROR(GOOGLEFINANCE(B486,""eps""),0)"),0)</f>
        <v>0</v>
      </c>
      <c r="AJ486" s="1"/>
      <c r="AK486" s="1" t="s">
        <v>1549</v>
      </c>
      <c r="AL486" s="1" t="b">
        <f>ISNUMBER(AA486)</f>
        <v>1</v>
      </c>
    </row>
    <row r="487" spans="1:38" ht="15" x14ac:dyDescent="0.25">
      <c r="A487" s="1" t="s">
        <v>1550</v>
      </c>
      <c r="B487" s="1" t="s">
        <v>1551</v>
      </c>
      <c r="C487" s="1" t="s">
        <v>889</v>
      </c>
      <c r="D487" s="1" t="s">
        <v>889</v>
      </c>
      <c r="E487" s="6">
        <v>38.29</v>
      </c>
      <c r="F487" s="1" t="s">
        <v>53</v>
      </c>
      <c r="G487" s="6">
        <f ca="1">IFERROR(__xludf.DUMMYFUNCTION("iferror(GOOGLEFINANCE(TRIM(F487)&amp;"":"" &amp; TRIM(B487), ""price""),0
)"),0)</f>
        <v>0</v>
      </c>
      <c r="H487" s="6">
        <v>117.1</v>
      </c>
      <c r="I487" s="6">
        <f t="shared" ca="1" si="0"/>
        <v>117.1</v>
      </c>
      <c r="J487" s="6">
        <f ca="1">IFERROR(__xludf.DUMMYFUNCTION("IFERROR(GOOGLEFINANCE(B487, ""volume""), 0)"),0)</f>
        <v>0</v>
      </c>
      <c r="K487" s="12"/>
      <c r="L487" s="6" t="str">
        <f ca="1">IFERROR(__xludf.DUMMYFUNCTION("IFERROR(GOOGLEFINANCE(B487,""changepct""),K487)"),"")</f>
        <v/>
      </c>
      <c r="M487" s="6">
        <f ca="1">IFERROR(__xludf.DUMMYFUNCTION("IFERROR(GOOGLEFINANCE(B487,""change""),0)"),0)</f>
        <v>0</v>
      </c>
      <c r="N487" s="6">
        <v>1</v>
      </c>
      <c r="O487" s="7">
        <v>45536</v>
      </c>
      <c r="P487" s="6">
        <v>27.38</v>
      </c>
      <c r="Q487" s="6">
        <v>65.67</v>
      </c>
      <c r="R487" s="7">
        <v>45536</v>
      </c>
      <c r="S487" s="6">
        <v>0.74</v>
      </c>
      <c r="T487" s="6">
        <v>-2.0699999999999998</v>
      </c>
      <c r="U487" s="7">
        <v>45536</v>
      </c>
      <c r="V487" s="6">
        <v>0</v>
      </c>
      <c r="W487" s="6">
        <f ca="1">IFERROR(__xludf.DUMMYFUNCTION("IFERROR(GOOGLEFINANCE(B487,""pe""),V487)"),0)</f>
        <v>0</v>
      </c>
      <c r="X487" s="9"/>
      <c r="Y487" s="6">
        <v>-1.59</v>
      </c>
      <c r="Z487" s="6">
        <v>1</v>
      </c>
      <c r="AA487" s="8">
        <v>45352</v>
      </c>
      <c r="AB487" s="4">
        <v>-1.1599999999999999</v>
      </c>
      <c r="AC487" s="6">
        <v>0</v>
      </c>
      <c r="AD487" s="6">
        <v>-27.38</v>
      </c>
      <c r="AE487" s="1">
        <v>0</v>
      </c>
      <c r="AF487" s="1">
        <f ca="1">IFERROR(__xludf.DUMMYFUNCTION("IFERROR(GOOGLEFINANCE(TRIM(F487)&amp;"":"" &amp; TRIM(B487),""high52""),AE487)"),0)</f>
        <v>0</v>
      </c>
      <c r="AG487" s="1">
        <v>0</v>
      </c>
      <c r="AH487" s="1">
        <f ca="1">IFERROR(__xludf.DUMMYFUNCTION("IFERROR(GOOGLEFINANCE(TRIM(F487)&amp;"":"" &amp; TRIM(B487),""low52""),AE487)"),0)</f>
        <v>0</v>
      </c>
      <c r="AI487" s="1">
        <f ca="1">IFERROR(__xludf.DUMMYFUNCTION("IFERROR(GOOGLEFINANCE(B487,""eps""),0)"),0)</f>
        <v>0</v>
      </c>
      <c r="AJ487" s="1"/>
      <c r="AK487" s="9"/>
      <c r="AL487" s="1" t="b">
        <f>ISBLANK(AB487)</f>
        <v>0</v>
      </c>
    </row>
    <row r="488" spans="1:38" ht="15" x14ac:dyDescent="0.25">
      <c r="A488" s="1" t="s">
        <v>1552</v>
      </c>
      <c r="B488" s="1" t="s">
        <v>1553</v>
      </c>
      <c r="C488" s="1" t="s">
        <v>697</v>
      </c>
      <c r="D488" s="1" t="s">
        <v>697</v>
      </c>
      <c r="E488" s="6">
        <v>4198.17</v>
      </c>
      <c r="F488" s="1" t="s">
        <v>40</v>
      </c>
      <c r="G488" s="6">
        <f ca="1">IFERROR(__xludf.DUMMYFUNCTION("iferror(GOOGLEFINANCE(TRIM(F488)&amp;"":"" &amp; TRIM(B488), ""price""),0
)"),1898.7)</f>
        <v>1898.7</v>
      </c>
      <c r="H488" s="6">
        <v>10139.9</v>
      </c>
      <c r="I488" s="6">
        <f t="shared" ca="1" si="0"/>
        <v>1898.7</v>
      </c>
      <c r="J488" s="6">
        <f ca="1">IFERROR(__xludf.DUMMYFUNCTION("IFERROR(GOOGLEFINANCE(B488, ""volume""), 0)"),16132)</f>
        <v>16132</v>
      </c>
      <c r="K488" s="6">
        <v>0.38</v>
      </c>
      <c r="L488" s="6">
        <f ca="1">IFERROR(__xludf.DUMMYFUNCTION("IFERROR(GOOGLEFINANCE(B488,""changepct""),K488)"),3.75)</f>
        <v>3.75</v>
      </c>
      <c r="M488" s="6">
        <f ca="1">IFERROR(__xludf.DUMMYFUNCTION("IFERROR(GOOGLEFINANCE(B488,""change""),0)"),68.6)</f>
        <v>68.599999999999994</v>
      </c>
      <c r="N488" s="6">
        <v>2</v>
      </c>
      <c r="O488" s="7">
        <v>45536</v>
      </c>
      <c r="P488" s="6">
        <v>63.06</v>
      </c>
      <c r="Q488" s="6">
        <v>4220.3900000000003</v>
      </c>
      <c r="R488" s="7">
        <v>45536</v>
      </c>
      <c r="S488" s="6">
        <v>1152.6300000000001</v>
      </c>
      <c r="T488" s="6">
        <v>140.13999999999999</v>
      </c>
      <c r="U488" s="7">
        <v>45536</v>
      </c>
      <c r="V488" s="6">
        <v>26.62</v>
      </c>
      <c r="W488" s="6">
        <f ca="1">IFERROR(__xludf.DUMMYFUNCTION("IFERROR(GOOGLEFINANCE(B488,""pe""),V488)"),23.69)</f>
        <v>23.69</v>
      </c>
      <c r="X488" s="6">
        <v>-8.14</v>
      </c>
      <c r="Y488" s="6">
        <v>3.95</v>
      </c>
      <c r="Z488" s="6">
        <v>2</v>
      </c>
      <c r="AA488" s="8">
        <v>45352</v>
      </c>
      <c r="AB488" s="4">
        <v>0.08</v>
      </c>
      <c r="AC488" s="6">
        <v>10.15</v>
      </c>
      <c r="AD488" s="6">
        <v>12.74</v>
      </c>
      <c r="AE488" s="1">
        <v>0</v>
      </c>
      <c r="AF488" s="1">
        <f ca="1">IFERROR(__xludf.DUMMYFUNCTION("IFERROR(GOOGLEFINANCE(TRIM(F488)&amp;"":"" &amp; TRIM(B488),""high52""),AE488)"),3000)</f>
        <v>3000</v>
      </c>
      <c r="AG488" s="1">
        <v>0</v>
      </c>
      <c r="AH488" s="1">
        <f ca="1">IFERROR(__xludf.DUMMYFUNCTION("IFERROR(GOOGLEFINANCE(TRIM(F488)&amp;"":"" &amp; TRIM(B488),""low52""),AE488)"),1530.7)</f>
        <v>1530.7</v>
      </c>
      <c r="AI488" s="1">
        <f ca="1">IFERROR(__xludf.DUMMYFUNCTION("IFERROR(GOOGLEFINANCE(B488,""eps""),0)"),80.15)</f>
        <v>80.150000000000006</v>
      </c>
      <c r="AJ488" s="1"/>
      <c r="AK488" s="1" t="s">
        <v>1554</v>
      </c>
      <c r="AL488" s="9">
        <f t="shared" ref="AL488:AL491" si="109">IF(AA488&lt;&gt;AB488,1,0)</f>
        <v>1</v>
      </c>
    </row>
    <row r="489" spans="1:38" ht="15" x14ac:dyDescent="0.25">
      <c r="A489" s="1" t="s">
        <v>1555</v>
      </c>
      <c r="B489" s="1" t="s">
        <v>1556</v>
      </c>
      <c r="C489" s="1" t="s">
        <v>86</v>
      </c>
      <c r="D489" s="1" t="s">
        <v>86</v>
      </c>
      <c r="E489" s="6">
        <v>386.17</v>
      </c>
      <c r="F489" s="1" t="s">
        <v>40</v>
      </c>
      <c r="G489" s="6">
        <f ca="1">IFERROR(__xludf.DUMMYFUNCTION("iferror(GOOGLEFINANCE(TRIM(F489)&amp;"":"" &amp; TRIM(B489), ""price""),0
)"),20.8)</f>
        <v>20.8</v>
      </c>
      <c r="H489" s="6">
        <v>45.58</v>
      </c>
      <c r="I489" s="6">
        <f t="shared" ca="1" si="0"/>
        <v>20.8</v>
      </c>
      <c r="J489" s="6">
        <f ca="1">IFERROR(__xludf.DUMMYFUNCTION("IFERROR(GOOGLEFINANCE(B489, ""volume""), 0)"),27113)</f>
        <v>27113</v>
      </c>
      <c r="K489" s="6">
        <v>-0.68</v>
      </c>
      <c r="L489" s="6">
        <f ca="1">IFERROR(__xludf.DUMMYFUNCTION("IFERROR(GOOGLEFINANCE(B489,""changepct""),K489)"),0.27)</f>
        <v>0.27</v>
      </c>
      <c r="M489" s="6">
        <f ca="1">IFERROR(__xludf.DUMMYFUNCTION("IFERROR(GOOGLEFINANCE(B489,""change""),0)"),0.02)</f>
        <v>0.02</v>
      </c>
      <c r="N489" s="6">
        <v>2</v>
      </c>
      <c r="O489" s="7">
        <v>45536</v>
      </c>
      <c r="P489" s="6">
        <v>1309.51</v>
      </c>
      <c r="Q489" s="6">
        <v>1484.15</v>
      </c>
      <c r="R489" s="7">
        <v>45536</v>
      </c>
      <c r="S489" s="6">
        <v>369.42</v>
      </c>
      <c r="T489" s="6">
        <v>-61</v>
      </c>
      <c r="U489" s="7">
        <v>45536</v>
      </c>
      <c r="V489" s="6">
        <v>0</v>
      </c>
      <c r="W489" s="6">
        <f ca="1">IFERROR(__xludf.DUMMYFUNCTION("IFERROR(GOOGLEFINANCE(B489,""pe""),V489)"),24.88)</f>
        <v>24.88</v>
      </c>
      <c r="X489" s="12"/>
      <c r="Y489" s="6">
        <v>2.31</v>
      </c>
      <c r="Z489" s="6">
        <v>2</v>
      </c>
      <c r="AA489" s="8">
        <v>45352</v>
      </c>
      <c r="AB489" s="4">
        <v>6.99</v>
      </c>
      <c r="AC489" s="6">
        <v>-45.98</v>
      </c>
      <c r="AD489" s="6">
        <v>4.1500000000000004</v>
      </c>
      <c r="AE489" s="1">
        <v>0</v>
      </c>
      <c r="AF489" s="1">
        <f ca="1">IFERROR(__xludf.DUMMYFUNCTION("IFERROR(GOOGLEFINANCE(TRIM(F489)&amp;"":"" &amp; TRIM(B489),""high52""),AE489)"),45.29)</f>
        <v>45.29</v>
      </c>
      <c r="AG489" s="1">
        <v>0</v>
      </c>
      <c r="AH489" s="1">
        <f ca="1">IFERROR(__xludf.DUMMYFUNCTION("IFERROR(GOOGLEFINANCE(TRIM(F489)&amp;"":"" &amp; TRIM(B489),""low52""),AE489)"),17.4)</f>
        <v>17.399999999999999</v>
      </c>
      <c r="AI489" s="1">
        <f ca="1">IFERROR(__xludf.DUMMYFUNCTION("IFERROR(GOOGLEFINANCE(B489,""eps""),0)"),0.3)</f>
        <v>0.3</v>
      </c>
      <c r="AJ489" s="1"/>
      <c r="AK489" s="1" t="s">
        <v>1557</v>
      </c>
      <c r="AL489" s="9">
        <f t="shared" si="109"/>
        <v>1</v>
      </c>
    </row>
    <row r="490" spans="1:38" ht="15" x14ac:dyDescent="0.25">
      <c r="A490" s="1" t="s">
        <v>1558</v>
      </c>
      <c r="B490" s="1" t="s">
        <v>1559</v>
      </c>
      <c r="C490" s="1" t="s">
        <v>1497</v>
      </c>
      <c r="D490" s="1" t="s">
        <v>1497</v>
      </c>
      <c r="E490" s="6">
        <v>1491.5</v>
      </c>
      <c r="F490" s="1" t="s">
        <v>40</v>
      </c>
      <c r="G490" s="6">
        <f ca="1">IFERROR(__xludf.DUMMYFUNCTION("iferror(GOOGLEFINANCE(TRIM(F490)&amp;"":"" &amp; TRIM(B490), ""price""),0
)"),161.89)</f>
        <v>161.88999999999999</v>
      </c>
      <c r="H490" s="6">
        <v>221.9</v>
      </c>
      <c r="I490" s="6">
        <f t="shared" ca="1" si="0"/>
        <v>161.88999999999999</v>
      </c>
      <c r="J490" s="6">
        <f ca="1">IFERROR(__xludf.DUMMYFUNCTION("IFERROR(GOOGLEFINANCE(B490, ""volume""), 0)"),572816)</f>
        <v>572816</v>
      </c>
      <c r="K490" s="6">
        <v>2.06</v>
      </c>
      <c r="L490" s="6">
        <f ca="1">IFERROR(__xludf.DUMMYFUNCTION("IFERROR(GOOGLEFINANCE(B490,""changepct""),K490)"),-2.36)</f>
        <v>-2.36</v>
      </c>
      <c r="M490" s="6">
        <f ca="1">IFERROR(__xludf.DUMMYFUNCTION("IFERROR(GOOGLEFINANCE(B490,""change""),0)"),-3.91)</f>
        <v>-3.91</v>
      </c>
      <c r="N490" s="6">
        <v>1</v>
      </c>
      <c r="O490" s="7">
        <v>45536</v>
      </c>
      <c r="P490" s="6">
        <v>124.63</v>
      </c>
      <c r="Q490" s="6">
        <v>1608.25</v>
      </c>
      <c r="R490" s="7">
        <v>45536</v>
      </c>
      <c r="S490" s="6">
        <v>590.02</v>
      </c>
      <c r="T490" s="6">
        <v>85.08</v>
      </c>
      <c r="U490" s="7">
        <v>45536</v>
      </c>
      <c r="V490" s="6">
        <v>17.53</v>
      </c>
      <c r="W490" s="6">
        <f ca="1">IFERROR(__xludf.DUMMYFUNCTION("IFERROR(GOOGLEFINANCE(B490,""pe""),V490)"),15.14)</f>
        <v>15.14</v>
      </c>
      <c r="X490" s="9"/>
      <c r="Y490" s="6">
        <v>2.13</v>
      </c>
      <c r="Z490" s="6">
        <v>2</v>
      </c>
      <c r="AA490" s="8">
        <v>45352</v>
      </c>
      <c r="AB490" s="4">
        <v>0.2</v>
      </c>
      <c r="AC490" s="6">
        <v>15.81</v>
      </c>
      <c r="AD490" s="6">
        <v>18.71</v>
      </c>
      <c r="AE490" s="1">
        <v>0</v>
      </c>
      <c r="AF490" s="1">
        <f ca="1">IFERROR(__xludf.DUMMYFUNCTION("IFERROR(GOOGLEFINANCE(TRIM(F490)&amp;"":"" &amp; TRIM(B490),""high52""),AE490)"),248.7)</f>
        <v>248.7</v>
      </c>
      <c r="AG490" s="1">
        <v>0</v>
      </c>
      <c r="AH490" s="1">
        <f ca="1">IFERROR(__xludf.DUMMYFUNCTION("IFERROR(GOOGLEFINANCE(TRIM(F490)&amp;"":"" &amp; TRIM(B490),""low52""),AE490)"),122.23)</f>
        <v>122.23</v>
      </c>
      <c r="AI490" s="1">
        <f ca="1">IFERROR(__xludf.DUMMYFUNCTION("IFERROR(GOOGLEFINANCE(B490,""eps""),0)"),10.69)</f>
        <v>10.69</v>
      </c>
      <c r="AJ490" s="1"/>
      <c r="AK490" s="1" t="s">
        <v>1560</v>
      </c>
      <c r="AL490" s="9">
        <f t="shared" si="109"/>
        <v>1</v>
      </c>
    </row>
    <row r="491" spans="1:38" ht="15" x14ac:dyDescent="0.25">
      <c r="A491" s="1" t="s">
        <v>1561</v>
      </c>
      <c r="B491" s="1" t="s">
        <v>1562</v>
      </c>
      <c r="C491" s="1" t="s">
        <v>57</v>
      </c>
      <c r="D491" s="1" t="s">
        <v>57</v>
      </c>
      <c r="E491" s="6">
        <v>7.16</v>
      </c>
      <c r="F491" s="1" t="s">
        <v>40</v>
      </c>
      <c r="G491" s="6">
        <f ca="1">IFERROR(__xludf.DUMMYFUNCTION("iferror(GOOGLEFINANCE(TRIM(F491)&amp;"":"" &amp; TRIM(B491), ""price""),0
)"),2.92)</f>
        <v>2.92</v>
      </c>
      <c r="H491" s="6">
        <v>4.71</v>
      </c>
      <c r="I491" s="6">
        <f t="shared" ca="1" si="0"/>
        <v>2.92</v>
      </c>
      <c r="J491" s="6">
        <f ca="1">IFERROR(__xludf.DUMMYFUNCTION("IFERROR(GOOGLEFINANCE(B491, ""volume""), 0)"),13444)</f>
        <v>13444</v>
      </c>
      <c r="K491" s="12"/>
      <c r="L491" s="6">
        <f ca="1">IFERROR(__xludf.DUMMYFUNCTION("IFERROR(GOOGLEFINANCE(B491,""changepct""),K491)"),-4.89)</f>
        <v>-4.8899999999999997</v>
      </c>
      <c r="M491" s="6">
        <f ca="1">IFERROR(__xludf.DUMMYFUNCTION("IFERROR(GOOGLEFINANCE(B491,""change""),0)"),-0.15)</f>
        <v>-0.15</v>
      </c>
      <c r="N491" s="6">
        <v>2</v>
      </c>
      <c r="O491" s="7">
        <v>45536</v>
      </c>
      <c r="P491" s="6">
        <v>4.09</v>
      </c>
      <c r="Q491" s="6">
        <v>10.62</v>
      </c>
      <c r="R491" s="7">
        <v>45536</v>
      </c>
      <c r="S491" s="6">
        <v>0.03</v>
      </c>
      <c r="T491" s="6">
        <v>-1.96</v>
      </c>
      <c r="U491" s="7">
        <v>45536</v>
      </c>
      <c r="V491" s="6">
        <v>0</v>
      </c>
      <c r="W491" s="6">
        <f ca="1">IFERROR(__xludf.DUMMYFUNCTION("IFERROR(GOOGLEFINANCE(B491,""pe""),V491)"),0)</f>
        <v>0</v>
      </c>
      <c r="X491" s="12"/>
      <c r="Y491" s="6">
        <v>0.08</v>
      </c>
      <c r="Z491" s="6">
        <v>2</v>
      </c>
      <c r="AA491" s="8">
        <v>45352</v>
      </c>
      <c r="AB491" s="4">
        <v>0.03</v>
      </c>
      <c r="AC491" s="6">
        <v>-2.93</v>
      </c>
      <c r="AD491" s="6">
        <v>-2.44</v>
      </c>
      <c r="AE491" s="1">
        <v>0</v>
      </c>
      <c r="AF491" s="1">
        <f ca="1">IFERROR(__xludf.DUMMYFUNCTION("IFERROR(GOOGLEFINANCE(TRIM(F491)&amp;"":"" &amp; TRIM(B491),""high52""),AE491)"),4.6)</f>
        <v>4.5999999999999996</v>
      </c>
      <c r="AG491" s="1">
        <v>0</v>
      </c>
      <c r="AH491" s="1">
        <f ca="1">IFERROR(__xludf.DUMMYFUNCTION("IFERROR(GOOGLEFINANCE(TRIM(F491)&amp;"":"" &amp; TRIM(B491),""low52""),AE491)"),2.81)</f>
        <v>2.81</v>
      </c>
      <c r="AI491" s="1">
        <f ca="1">IFERROR(__xludf.DUMMYFUNCTION("IFERROR(GOOGLEFINANCE(B491,""eps""),0)"),-1.91)</f>
        <v>-1.91</v>
      </c>
      <c r="AJ491" s="1"/>
      <c r="AK491" s="9"/>
      <c r="AL491" s="9">
        <f t="shared" si="109"/>
        <v>1</v>
      </c>
    </row>
    <row r="492" spans="1:38" ht="15" x14ac:dyDescent="0.25">
      <c r="A492" s="1" t="s">
        <v>1563</v>
      </c>
      <c r="B492" s="1" t="s">
        <v>1564</v>
      </c>
      <c r="C492" s="1" t="s">
        <v>889</v>
      </c>
      <c r="D492" s="1" t="s">
        <v>889</v>
      </c>
      <c r="E492" s="6">
        <v>209.78</v>
      </c>
      <c r="F492" s="1" t="s">
        <v>53</v>
      </c>
      <c r="G492" s="6">
        <f ca="1">IFERROR(__xludf.DUMMYFUNCTION("iferror(GOOGLEFINANCE(TRIM(F492)&amp;"":"" &amp; TRIM(B492), ""price""),0
)"),0)</f>
        <v>0</v>
      </c>
      <c r="H492" s="6">
        <v>303</v>
      </c>
      <c r="I492" s="6">
        <f t="shared" ca="1" si="0"/>
        <v>303</v>
      </c>
      <c r="J492" s="6">
        <f ca="1">IFERROR(__xludf.DUMMYFUNCTION("IFERROR(GOOGLEFINANCE(B492, ""volume""), 0)"),0)</f>
        <v>0</v>
      </c>
      <c r="K492" s="9"/>
      <c r="L492" s="6" t="str">
        <f ca="1">IFERROR(__xludf.DUMMYFUNCTION("IFERROR(GOOGLEFINANCE(B492,""changepct""),K492)"),"")</f>
        <v/>
      </c>
      <c r="M492" s="6">
        <f ca="1">IFERROR(__xludf.DUMMYFUNCTION("IFERROR(GOOGLEFINANCE(B492,""change""),0)"),0)</f>
        <v>0</v>
      </c>
      <c r="N492" s="6">
        <v>2</v>
      </c>
      <c r="O492" s="7">
        <v>45536</v>
      </c>
      <c r="P492" s="6">
        <v>79.72</v>
      </c>
      <c r="Q492" s="6">
        <v>244.3</v>
      </c>
      <c r="R492" s="7">
        <v>45536</v>
      </c>
      <c r="S492" s="6">
        <v>226.06</v>
      </c>
      <c r="T492" s="6">
        <v>11.77</v>
      </c>
      <c r="U492" s="7">
        <v>45536</v>
      </c>
      <c r="V492" s="6">
        <v>17.829999999999998</v>
      </c>
      <c r="W492" s="6">
        <f ca="1">IFERROR(__xludf.DUMMYFUNCTION("IFERROR(GOOGLEFINANCE(B492,""pe""),V492)"),17.83)</f>
        <v>17.829999999999998</v>
      </c>
      <c r="X492" s="6">
        <v>0.12</v>
      </c>
      <c r="Y492" s="6">
        <v>0.48</v>
      </c>
      <c r="Z492" s="6">
        <v>2</v>
      </c>
      <c r="AA492" s="8">
        <v>45352</v>
      </c>
      <c r="AB492" s="4">
        <v>0.12</v>
      </c>
      <c r="AC492" s="6">
        <v>2.78</v>
      </c>
      <c r="AD492" s="6">
        <v>3.46</v>
      </c>
      <c r="AE492" s="1">
        <v>0</v>
      </c>
      <c r="AF492" s="1">
        <f ca="1">IFERROR(__xludf.DUMMYFUNCTION("IFERROR(GOOGLEFINANCE(TRIM(F492)&amp;"":"" &amp; TRIM(B492),""high52""),AE492)"),0)</f>
        <v>0</v>
      </c>
      <c r="AG492" s="1">
        <v>0</v>
      </c>
      <c r="AH492" s="1">
        <f ca="1">IFERROR(__xludf.DUMMYFUNCTION("IFERROR(GOOGLEFINANCE(TRIM(F492)&amp;"":"" &amp; TRIM(B492),""low52""),AE492)"),0)</f>
        <v>0</v>
      </c>
      <c r="AI492" s="1">
        <f ca="1">IFERROR(__xludf.DUMMYFUNCTION("IFERROR(GOOGLEFINANCE(B492,""eps""),0)"),0)</f>
        <v>0</v>
      </c>
      <c r="AJ492" s="1"/>
      <c r="AK492" s="6">
        <v>37.090000000000003</v>
      </c>
      <c r="AL492" s="1" t="b">
        <f>ISNUMBER(AA492)</f>
        <v>1</v>
      </c>
    </row>
    <row r="493" spans="1:38" ht="15" x14ac:dyDescent="0.25">
      <c r="A493" s="1" t="s">
        <v>1565</v>
      </c>
      <c r="B493" s="1" t="s">
        <v>1566</v>
      </c>
      <c r="C493" s="1" t="s">
        <v>255</v>
      </c>
      <c r="D493" s="1" t="s">
        <v>255</v>
      </c>
      <c r="E493" s="6">
        <v>980035.2</v>
      </c>
      <c r="F493" s="1" t="s">
        <v>40</v>
      </c>
      <c r="G493" s="6">
        <f ca="1">IFERROR(__xludf.DUMMYFUNCTION("iferror(GOOGLEFINANCE(TRIM(F493)&amp;"":"" &amp; TRIM(B493), ""price""),0
)"),1966.4)</f>
        <v>1966.4</v>
      </c>
      <c r="H493" s="6">
        <v>1602.85</v>
      </c>
      <c r="I493" s="6">
        <f t="shared" ca="1" si="0"/>
        <v>1966.4</v>
      </c>
      <c r="J493" s="6">
        <f ca="1">IFERROR(__xludf.DUMMYFUNCTION("IFERROR(GOOGLEFINANCE(B493, ""volume""), 0)"),5326225)</f>
        <v>5326225</v>
      </c>
      <c r="K493" s="6">
        <v>-0.43</v>
      </c>
      <c r="L493" s="6">
        <f ca="1">IFERROR(__xludf.DUMMYFUNCTION("IFERROR(GOOGLEFINANCE(B493,""changepct""),K493)"),0.89)</f>
        <v>0.89</v>
      </c>
      <c r="M493" s="6">
        <f ca="1">IFERROR(__xludf.DUMMYFUNCTION("IFERROR(GOOGLEFINANCE(B493,""change""),0)"),17.4)</f>
        <v>17.399999999999999</v>
      </c>
      <c r="N493" s="6">
        <v>2</v>
      </c>
      <c r="O493" s="7">
        <v>45536</v>
      </c>
      <c r="P493" s="6">
        <v>146340.4</v>
      </c>
      <c r="Q493" s="6">
        <v>1114137</v>
      </c>
      <c r="R493" s="7">
        <v>45536</v>
      </c>
      <c r="S493" s="6">
        <v>155478.29999999999</v>
      </c>
      <c r="T493" s="6">
        <v>10296.4</v>
      </c>
      <c r="U493" s="7">
        <v>45536</v>
      </c>
      <c r="V493" s="6">
        <v>79.89</v>
      </c>
      <c r="W493" s="6">
        <f ca="1">IFERROR(__xludf.DUMMYFUNCTION("IFERROR(GOOGLEFINANCE(B493,""pe""),V493)"),30.64)</f>
        <v>30.64</v>
      </c>
      <c r="X493" s="6">
        <v>2.04</v>
      </c>
      <c r="Y493" s="6">
        <v>11.22</v>
      </c>
      <c r="Z493" s="6">
        <v>2</v>
      </c>
      <c r="AA493" s="8">
        <v>45352</v>
      </c>
      <c r="AB493" s="4">
        <v>1.86</v>
      </c>
      <c r="AC493" s="6">
        <v>10.75</v>
      </c>
      <c r="AD493" s="6">
        <v>14.81</v>
      </c>
      <c r="AE493" s="1">
        <v>0</v>
      </c>
      <c r="AF493" s="1">
        <f ca="1">IFERROR(__xludf.DUMMYFUNCTION("IFERROR(GOOGLEFINANCE(TRIM(F493)&amp;"":"" &amp; TRIM(B493),""high52""),AE493)"),2174.5)</f>
        <v>2174.5</v>
      </c>
      <c r="AG493" s="1">
        <v>0</v>
      </c>
      <c r="AH493" s="1">
        <f ca="1">IFERROR(__xludf.DUMMYFUNCTION("IFERROR(GOOGLEFINANCE(TRIM(F493)&amp;"":"" &amp; TRIM(B493),""low52""),AE493)"),1559.5)</f>
        <v>1559.5</v>
      </c>
      <c r="AI493" s="1">
        <f ca="1">IFERROR(__xludf.DUMMYFUNCTION("IFERROR(GOOGLEFINANCE(B493,""eps""),0)"),64.17)</f>
        <v>64.17</v>
      </c>
      <c r="AJ493" s="1"/>
      <c r="AK493" s="9"/>
      <c r="AL493" s="9">
        <f>IF(AA493&lt;&gt;AB493,1,0)</f>
        <v>1</v>
      </c>
    </row>
    <row r="494" spans="1:38" ht="15" x14ac:dyDescent="0.25">
      <c r="A494" s="1" t="s">
        <v>1567</v>
      </c>
      <c r="B494" s="1" t="s">
        <v>1568</v>
      </c>
      <c r="C494" s="1" t="s">
        <v>889</v>
      </c>
      <c r="D494" s="1" t="s">
        <v>889</v>
      </c>
      <c r="E494" s="6">
        <v>44.24</v>
      </c>
      <c r="F494" s="1" t="s">
        <v>53</v>
      </c>
      <c r="G494" s="6">
        <f ca="1">IFERROR(__xludf.DUMMYFUNCTION("iferror(GOOGLEFINANCE(TRIM(F494)&amp;"":"" &amp; TRIM(B494), ""price""),0
)"),0)</f>
        <v>0</v>
      </c>
      <c r="H494" s="6">
        <v>41.97</v>
      </c>
      <c r="I494" s="6">
        <f t="shared" ca="1" si="0"/>
        <v>41.97</v>
      </c>
      <c r="J494" s="6">
        <f ca="1">IFERROR(__xludf.DUMMYFUNCTION("IFERROR(GOOGLEFINANCE(B494, ""volume""), 0)"),0)</f>
        <v>0</v>
      </c>
      <c r="K494" s="6">
        <v>0.43</v>
      </c>
      <c r="L494" s="6">
        <f ca="1">IFERROR(__xludf.DUMMYFUNCTION("IFERROR(GOOGLEFINANCE(B494,""changepct""),K494)"),0.43)</f>
        <v>0.43</v>
      </c>
      <c r="M494" s="6">
        <f ca="1">IFERROR(__xludf.DUMMYFUNCTION("IFERROR(GOOGLEFINANCE(B494,""change""),0)"),0)</f>
        <v>0</v>
      </c>
      <c r="N494" s="6">
        <v>1</v>
      </c>
      <c r="O494" s="7">
        <v>45536</v>
      </c>
      <c r="P494" s="6">
        <v>46.8</v>
      </c>
      <c r="Q494" s="6">
        <v>88.87</v>
      </c>
      <c r="R494" s="7">
        <v>45536</v>
      </c>
      <c r="S494" s="6">
        <v>28.82</v>
      </c>
      <c r="T494" s="6">
        <v>-2.38</v>
      </c>
      <c r="U494" s="7">
        <v>45536</v>
      </c>
      <c r="V494" s="6">
        <v>0</v>
      </c>
      <c r="W494" s="6">
        <f ca="1">IFERROR(__xludf.DUMMYFUNCTION("IFERROR(GOOGLEFINANCE(B494,""pe""),V494)"),0)</f>
        <v>0</v>
      </c>
      <c r="X494" s="9"/>
      <c r="Y494" s="6">
        <v>3.16</v>
      </c>
      <c r="Z494" s="6">
        <v>1</v>
      </c>
      <c r="AA494" s="8">
        <v>45352</v>
      </c>
      <c r="AB494" s="4">
        <v>2.86</v>
      </c>
      <c r="AC494" s="6">
        <v>-3.83</v>
      </c>
      <c r="AD494" s="6">
        <v>6.71</v>
      </c>
      <c r="AE494" s="1">
        <v>0</v>
      </c>
      <c r="AF494" s="1">
        <f ca="1">IFERROR(__xludf.DUMMYFUNCTION("IFERROR(GOOGLEFINANCE(TRIM(F494)&amp;"":"" &amp; TRIM(B494),""high52""),AE494)"),0)</f>
        <v>0</v>
      </c>
      <c r="AG494" s="1">
        <v>0</v>
      </c>
      <c r="AH494" s="1">
        <f ca="1">IFERROR(__xludf.DUMMYFUNCTION("IFERROR(GOOGLEFINANCE(TRIM(F494)&amp;"":"" &amp; TRIM(B494),""low52""),AE494)"),0)</f>
        <v>0</v>
      </c>
      <c r="AI494" s="1">
        <f ca="1">IFERROR(__xludf.DUMMYFUNCTION("IFERROR(GOOGLEFINANCE(B494,""eps""),0)"),0)</f>
        <v>0</v>
      </c>
      <c r="AJ494" s="1"/>
      <c r="AK494" s="1" t="s">
        <v>1569</v>
      </c>
      <c r="AL494" s="1" t="b">
        <f>ISNUMBER(AA494)</f>
        <v>1</v>
      </c>
    </row>
    <row r="495" spans="1:38" ht="15" x14ac:dyDescent="0.25">
      <c r="A495" s="1" t="s">
        <v>1570</v>
      </c>
      <c r="B495" s="1" t="s">
        <v>1571</v>
      </c>
      <c r="C495" s="1" t="s">
        <v>255</v>
      </c>
      <c r="D495" s="1" t="s">
        <v>255</v>
      </c>
      <c r="E495" s="6">
        <v>73892.5</v>
      </c>
      <c r="F495" s="1" t="s">
        <v>40</v>
      </c>
      <c r="G495" s="6">
        <f ca="1">IFERROR(__xludf.DUMMYFUNCTION("iferror(GOOGLEFINANCE(TRIM(F495)&amp;"":"" &amp; TRIM(B495), ""price""),0
)"),1585)</f>
        <v>1585</v>
      </c>
      <c r="H495" s="6">
        <v>1494.6</v>
      </c>
      <c r="I495" s="6">
        <f t="shared" ca="1" si="0"/>
        <v>1585</v>
      </c>
      <c r="J495" s="6">
        <f ca="1">IFERROR(__xludf.DUMMYFUNCTION("IFERROR(GOOGLEFINANCE(B495, ""volume""), 0)"),119649)</f>
        <v>119649</v>
      </c>
      <c r="K495" s="6">
        <v>1.1399999999999999</v>
      </c>
      <c r="L495" s="6">
        <f ca="1">IFERROR(__xludf.DUMMYFUNCTION("IFERROR(GOOGLEFINANCE(B495,""changepct""),K495)"),-0.8)</f>
        <v>-0.8</v>
      </c>
      <c r="M495" s="6">
        <f ca="1">IFERROR(__xludf.DUMMYFUNCTION("IFERROR(GOOGLEFINANCE(B495,""change""),0)"),-12.8)</f>
        <v>-12.8</v>
      </c>
      <c r="N495" s="6">
        <v>1</v>
      </c>
      <c r="O495" s="7">
        <v>45536</v>
      </c>
      <c r="P495" s="6">
        <v>4890</v>
      </c>
      <c r="Q495" s="6">
        <v>78724.800000000003</v>
      </c>
      <c r="R495" s="7">
        <v>45352</v>
      </c>
      <c r="S495" s="6">
        <v>7088.8</v>
      </c>
      <c r="T495" s="6">
        <v>504.4</v>
      </c>
      <c r="U495" s="7">
        <v>45352</v>
      </c>
      <c r="V495" s="6">
        <v>146.5</v>
      </c>
      <c r="W495" s="6">
        <f ca="1">IFERROR(__xludf.DUMMYFUNCTION("IFERROR(GOOGLEFINANCE(B495,""pe""),V495)"),51.39)</f>
        <v>51.39</v>
      </c>
      <c r="X495" s="12"/>
      <c r="Y495" s="6">
        <v>14.2</v>
      </c>
      <c r="Z495" s="6">
        <v>1</v>
      </c>
      <c r="AA495" s="8">
        <v>45352</v>
      </c>
      <c r="AB495" s="4">
        <v>1.04</v>
      </c>
      <c r="AC495" s="6">
        <v>11.4</v>
      </c>
      <c r="AD495" s="6">
        <v>15.72</v>
      </c>
      <c r="AE495" s="1">
        <v>0</v>
      </c>
      <c r="AF495" s="1">
        <f ca="1">IFERROR(__xludf.DUMMYFUNCTION("IFERROR(GOOGLEFINANCE(TRIM(F495)&amp;"":"" &amp; TRIM(B495),""high52""),AE495)"),2052.9)</f>
        <v>2052.9</v>
      </c>
      <c r="AG495" s="1">
        <v>0</v>
      </c>
      <c r="AH495" s="1">
        <f ca="1">IFERROR(__xludf.DUMMYFUNCTION("IFERROR(GOOGLEFINANCE(TRIM(F495)&amp;"":"" &amp; TRIM(B495),""low52""),AE495)"),1234)</f>
        <v>1234</v>
      </c>
      <c r="AI495" s="1">
        <f ca="1">IFERROR(__xludf.DUMMYFUNCTION("IFERROR(GOOGLEFINANCE(B495,""eps""),0)"),30.84)</f>
        <v>30.84</v>
      </c>
      <c r="AJ495" s="1"/>
      <c r="AK495" s="1" t="s">
        <v>1572</v>
      </c>
      <c r="AL495" s="9">
        <f>IF(AA495&lt;&gt;AB495,1,0)</f>
        <v>1</v>
      </c>
    </row>
    <row r="496" spans="1:38" ht="15" x14ac:dyDescent="0.25">
      <c r="A496" s="1" t="s">
        <v>1573</v>
      </c>
      <c r="B496" s="1" t="s">
        <v>1574</v>
      </c>
      <c r="C496" s="1" t="s">
        <v>889</v>
      </c>
      <c r="D496" s="1" t="s">
        <v>889</v>
      </c>
      <c r="E496" s="6">
        <v>70.959999999999994</v>
      </c>
      <c r="F496" s="1" t="s">
        <v>53</v>
      </c>
      <c r="G496" s="6">
        <f ca="1">IFERROR(__xludf.DUMMYFUNCTION("iferror(GOOGLEFINANCE(TRIM(F496)&amp;"":"" &amp; TRIM(B496), ""price""),0
)"),0)</f>
        <v>0</v>
      </c>
      <c r="H496" s="6">
        <v>7.22</v>
      </c>
      <c r="I496" s="6">
        <f t="shared" ca="1" si="0"/>
        <v>7.22</v>
      </c>
      <c r="J496" s="6">
        <f ca="1">IFERROR(__xludf.DUMMYFUNCTION("IFERROR(GOOGLEFINANCE(B496, ""volume""), 0)"),0)</f>
        <v>0</v>
      </c>
      <c r="K496" s="6">
        <v>0</v>
      </c>
      <c r="L496" s="6">
        <f ca="1">IFERROR(__xludf.DUMMYFUNCTION("IFERROR(GOOGLEFINANCE(B496,""changepct""),K496)"),0)</f>
        <v>0</v>
      </c>
      <c r="M496" s="6">
        <f ca="1">IFERROR(__xludf.DUMMYFUNCTION("IFERROR(GOOGLEFINANCE(B496,""change""),0)"),0)</f>
        <v>0</v>
      </c>
      <c r="N496" s="6">
        <v>1</v>
      </c>
      <c r="O496" s="7">
        <v>45536</v>
      </c>
      <c r="P496" s="6">
        <v>38.53</v>
      </c>
      <c r="Q496" s="6">
        <v>109.49</v>
      </c>
      <c r="R496" s="7">
        <v>45536</v>
      </c>
      <c r="S496" s="6">
        <v>1.21</v>
      </c>
      <c r="T496" s="6">
        <v>-0.89</v>
      </c>
      <c r="U496" s="7">
        <v>45536</v>
      </c>
      <c r="V496" s="6">
        <v>0</v>
      </c>
      <c r="W496" s="6">
        <f ca="1">IFERROR(__xludf.DUMMYFUNCTION("IFERROR(GOOGLEFINANCE(B496,""pe""),V496)"),0)</f>
        <v>0</v>
      </c>
      <c r="X496" s="6">
        <v>0</v>
      </c>
      <c r="Y496" s="6">
        <v>-2.27</v>
      </c>
      <c r="Z496" s="6">
        <v>1</v>
      </c>
      <c r="AA496" s="8">
        <v>45352</v>
      </c>
      <c r="AB496" s="4">
        <v>-1.27</v>
      </c>
      <c r="AC496" s="6">
        <v>0</v>
      </c>
      <c r="AD496" s="6">
        <v>-10.24</v>
      </c>
      <c r="AE496" s="1">
        <v>0</v>
      </c>
      <c r="AF496" s="1">
        <f ca="1">IFERROR(__xludf.DUMMYFUNCTION("IFERROR(GOOGLEFINANCE(TRIM(F496)&amp;"":"" &amp; TRIM(B496),""high52""),AE496)"),0)</f>
        <v>0</v>
      </c>
      <c r="AG496" s="1">
        <v>0</v>
      </c>
      <c r="AH496" s="1">
        <f ca="1">IFERROR(__xludf.DUMMYFUNCTION("IFERROR(GOOGLEFINANCE(TRIM(F496)&amp;"":"" &amp; TRIM(B496),""low52""),AE496)"),0)</f>
        <v>0</v>
      </c>
      <c r="AI496" s="1">
        <f ca="1">IFERROR(__xludf.DUMMYFUNCTION("IFERROR(GOOGLEFINANCE(B496,""eps""),0)"),0)</f>
        <v>0</v>
      </c>
      <c r="AJ496" s="1"/>
      <c r="AK496" s="6">
        <v>37.18</v>
      </c>
      <c r="AL496" s="1" t="b">
        <f t="shared" ref="AL496:AL497" si="110">ISNUMBER(AA496)</f>
        <v>1</v>
      </c>
    </row>
    <row r="497" spans="1:38" ht="15" x14ac:dyDescent="0.25">
      <c r="A497" s="1" t="s">
        <v>1575</v>
      </c>
      <c r="B497" s="1" t="s">
        <v>1576</v>
      </c>
      <c r="C497" s="1" t="s">
        <v>889</v>
      </c>
      <c r="D497" s="1" t="s">
        <v>889</v>
      </c>
      <c r="E497" s="6">
        <v>19.5</v>
      </c>
      <c r="F497" s="1" t="s">
        <v>53</v>
      </c>
      <c r="G497" s="6">
        <f ca="1">IFERROR(__xludf.DUMMYFUNCTION("iferror(GOOGLEFINANCE(TRIM(F497)&amp;"":"" &amp; TRIM(B497), ""price""),0
)"),0)</f>
        <v>0</v>
      </c>
      <c r="H497" s="6">
        <v>35.409999999999997</v>
      </c>
      <c r="I497" s="6">
        <f t="shared" ca="1" si="0"/>
        <v>35.409999999999997</v>
      </c>
      <c r="J497" s="6">
        <f ca="1">IFERROR(__xludf.DUMMYFUNCTION("IFERROR(GOOGLEFINANCE(B497, ""volume""), 0)"),0)</f>
        <v>0</v>
      </c>
      <c r="K497" s="6">
        <v>-2.29</v>
      </c>
      <c r="L497" s="6">
        <f ca="1">IFERROR(__xludf.DUMMYFUNCTION("IFERROR(GOOGLEFINANCE(B497,""changepct""),K497)"),-2.29)</f>
        <v>-2.29</v>
      </c>
      <c r="M497" s="6">
        <f ca="1">IFERROR(__xludf.DUMMYFUNCTION("IFERROR(GOOGLEFINANCE(B497,""change""),0)"),0)</f>
        <v>0</v>
      </c>
      <c r="N497" s="6">
        <v>2</v>
      </c>
      <c r="O497" s="7">
        <v>45536</v>
      </c>
      <c r="P497" s="6">
        <v>16.920000000000002</v>
      </c>
      <c r="Q497" s="6">
        <v>36.42</v>
      </c>
      <c r="R497" s="7">
        <v>45536</v>
      </c>
      <c r="S497" s="6">
        <v>23.71</v>
      </c>
      <c r="T497" s="6">
        <v>0.83</v>
      </c>
      <c r="U497" s="7">
        <v>45536</v>
      </c>
      <c r="V497" s="6">
        <v>23.49</v>
      </c>
      <c r="W497" s="6">
        <f ca="1">IFERROR(__xludf.DUMMYFUNCTION("IFERROR(GOOGLEFINANCE(B497,""pe""),V497)"),23.49)</f>
        <v>23.49</v>
      </c>
      <c r="X497" s="6">
        <v>4.2300000000000004</v>
      </c>
      <c r="Y497" s="6">
        <v>0.89</v>
      </c>
      <c r="Z497" s="6">
        <v>2</v>
      </c>
      <c r="AA497" s="8">
        <v>45352</v>
      </c>
      <c r="AB497" s="4">
        <v>0.83</v>
      </c>
      <c r="AC497" s="6">
        <v>4.01</v>
      </c>
      <c r="AD497" s="6">
        <v>8.36</v>
      </c>
      <c r="AE497" s="1">
        <v>0</v>
      </c>
      <c r="AF497" s="1">
        <f ca="1">IFERROR(__xludf.DUMMYFUNCTION("IFERROR(GOOGLEFINANCE(TRIM(F497)&amp;"":"" &amp; TRIM(B497),""high52""),AE497)"),0)</f>
        <v>0</v>
      </c>
      <c r="AG497" s="1">
        <v>0</v>
      </c>
      <c r="AH497" s="1">
        <f ca="1">IFERROR(__xludf.DUMMYFUNCTION("IFERROR(GOOGLEFINANCE(TRIM(F497)&amp;"":"" &amp; TRIM(B497),""low52""),AE497)"),0)</f>
        <v>0</v>
      </c>
      <c r="AI497" s="1">
        <f ca="1">IFERROR(__xludf.DUMMYFUNCTION("IFERROR(GOOGLEFINANCE(B497,""eps""),0)"),0)</f>
        <v>0</v>
      </c>
      <c r="AJ497" s="1"/>
      <c r="AK497" s="6">
        <v>52.73</v>
      </c>
      <c r="AL497" s="1" t="b">
        <f t="shared" si="110"/>
        <v>1</v>
      </c>
    </row>
    <row r="498" spans="1:38" ht="15" x14ac:dyDescent="0.25">
      <c r="A498" s="1" t="s">
        <v>1577</v>
      </c>
      <c r="B498" s="1" t="s">
        <v>1578</v>
      </c>
      <c r="C498" s="1" t="s">
        <v>567</v>
      </c>
      <c r="D498" s="1" t="s">
        <v>567</v>
      </c>
      <c r="E498" s="6">
        <v>1024.3699999999999</v>
      </c>
      <c r="F498" s="1" t="s">
        <v>40</v>
      </c>
      <c r="G498" s="6">
        <f ca="1">IFERROR(__xludf.DUMMYFUNCTION("iferror(GOOGLEFINANCE(TRIM(F498)&amp;"":"" &amp; TRIM(B498), ""price""),0
)"),859.9)</f>
        <v>859.9</v>
      </c>
      <c r="H498" s="6">
        <v>840</v>
      </c>
      <c r="I498" s="6">
        <f t="shared" ca="1" si="0"/>
        <v>859.9</v>
      </c>
      <c r="J498" s="6">
        <f ca="1">IFERROR(__xludf.DUMMYFUNCTION("IFERROR(GOOGLEFINANCE(B498, ""volume""), 0)"),61560)</f>
        <v>61560</v>
      </c>
      <c r="K498" s="6">
        <v>1.52</v>
      </c>
      <c r="L498" s="6">
        <f ca="1">IFERROR(__xludf.DUMMYFUNCTION("IFERROR(GOOGLEFINANCE(B498,""changepct""),K498)"),0.02)</f>
        <v>0.02</v>
      </c>
      <c r="M498" s="6">
        <f ca="1">IFERROR(__xludf.DUMMYFUNCTION("IFERROR(GOOGLEFINANCE(B498,""change""),0)"),0.02)</f>
        <v>0.02</v>
      </c>
      <c r="N498" s="6">
        <v>2</v>
      </c>
      <c r="O498" s="7">
        <v>45536</v>
      </c>
      <c r="P498" s="6">
        <v>509.8</v>
      </c>
      <c r="Q498" s="6">
        <v>1456.4</v>
      </c>
      <c r="R498" s="7">
        <v>45536</v>
      </c>
      <c r="S498" s="6">
        <v>903.16</v>
      </c>
      <c r="T498" s="6">
        <v>14.74</v>
      </c>
      <c r="U498" s="7">
        <v>45536</v>
      </c>
      <c r="V498" s="6">
        <v>0</v>
      </c>
      <c r="W498" s="6">
        <f ca="1">IFERROR(__xludf.DUMMYFUNCTION("IFERROR(GOOGLEFINANCE(B498,""pe""),V498)"),0)</f>
        <v>0</v>
      </c>
      <c r="X498" s="6">
        <v>0</v>
      </c>
      <c r="Y498" s="6">
        <v>2.5099999999999998</v>
      </c>
      <c r="Z498" s="6">
        <v>2</v>
      </c>
      <c r="AA498" s="8">
        <v>45352</v>
      </c>
      <c r="AB498" s="4">
        <v>1.35</v>
      </c>
      <c r="AC498" s="6">
        <v>0.05</v>
      </c>
      <c r="AD498" s="6">
        <v>6.67</v>
      </c>
      <c r="AE498" s="1">
        <v>0</v>
      </c>
      <c r="AF498" s="1">
        <f ca="1">IFERROR(__xludf.DUMMYFUNCTION("IFERROR(GOOGLEFINANCE(TRIM(F498)&amp;"":"" &amp; TRIM(B498),""high52""),AE498)"),984.75)</f>
        <v>984.75</v>
      </c>
      <c r="AG498" s="1">
        <v>0</v>
      </c>
      <c r="AH498" s="1">
        <f ca="1">IFERROR(__xludf.DUMMYFUNCTION("IFERROR(GOOGLEFINANCE(TRIM(F498)&amp;"":"" &amp; TRIM(B498),""low52""),AE498)"),444)</f>
        <v>444</v>
      </c>
      <c r="AI498" s="1">
        <f ca="1">IFERROR(__xludf.DUMMYFUNCTION("IFERROR(GOOGLEFINANCE(B498,""eps""),0)"),0)</f>
        <v>0</v>
      </c>
      <c r="AJ498" s="1"/>
      <c r="AK498" s="1" t="s">
        <v>1579</v>
      </c>
      <c r="AL498" s="9">
        <f t="shared" ref="AL498:AL500" si="111">IF(AA498&lt;&gt;AB498,1,0)</f>
        <v>1</v>
      </c>
    </row>
    <row r="499" spans="1:38" ht="15" x14ac:dyDescent="0.25">
      <c r="A499" s="1" t="s">
        <v>1580</v>
      </c>
      <c r="B499" s="1" t="s">
        <v>1581</v>
      </c>
      <c r="C499" s="1" t="s">
        <v>487</v>
      </c>
      <c r="D499" s="1" t="s">
        <v>487</v>
      </c>
      <c r="E499" s="6">
        <v>1479.47</v>
      </c>
      <c r="F499" s="1" t="s">
        <v>40</v>
      </c>
      <c r="G499" s="6">
        <f ca="1">IFERROR(__xludf.DUMMYFUNCTION("iferror(GOOGLEFINANCE(TRIM(F499)&amp;"":"" &amp; TRIM(B499), ""price""),0
)"),56.9)</f>
        <v>56.9</v>
      </c>
      <c r="H499" s="6">
        <v>104.91</v>
      </c>
      <c r="I499" s="6">
        <f t="shared" ca="1" si="0"/>
        <v>56.9</v>
      </c>
      <c r="J499" s="6">
        <f ca="1">IFERROR(__xludf.DUMMYFUNCTION("IFERROR(GOOGLEFINANCE(B499, ""volume""), 0)"),288603)</f>
        <v>288603</v>
      </c>
      <c r="K499" s="6">
        <v>0.63</v>
      </c>
      <c r="L499" s="6">
        <f ca="1">IFERROR(__xludf.DUMMYFUNCTION("IFERROR(GOOGLEFINANCE(B499,""changepct""),K499)"),-2.08)</f>
        <v>-2.08</v>
      </c>
      <c r="M499" s="6">
        <f ca="1">IFERROR(__xludf.DUMMYFUNCTION("IFERROR(GOOGLEFINANCE(B499,""change""),0)"),-1.21)</f>
        <v>-1.21</v>
      </c>
      <c r="N499" s="6">
        <v>2</v>
      </c>
      <c r="O499" s="7">
        <v>45536</v>
      </c>
      <c r="P499" s="6">
        <v>169.9</v>
      </c>
      <c r="Q499" s="6">
        <v>1636.4</v>
      </c>
      <c r="R499" s="7">
        <v>45536</v>
      </c>
      <c r="S499" s="6">
        <v>232.68</v>
      </c>
      <c r="T499" s="6">
        <v>20.49</v>
      </c>
      <c r="U499" s="7">
        <v>45536</v>
      </c>
      <c r="V499" s="6">
        <v>62.05</v>
      </c>
      <c r="W499" s="6">
        <f ca="1">IFERROR(__xludf.DUMMYFUNCTION("IFERROR(GOOGLEFINANCE(B499,""pe""),V499)"),62.05)</f>
        <v>62.05</v>
      </c>
      <c r="X499" s="6">
        <v>0.7</v>
      </c>
      <c r="Y499" s="6">
        <v>11.18</v>
      </c>
      <c r="Z499" s="6">
        <v>2</v>
      </c>
      <c r="AA499" s="8">
        <v>45352</v>
      </c>
      <c r="AB499" s="4">
        <v>1.37</v>
      </c>
      <c r="AC499" s="6">
        <v>34.22</v>
      </c>
      <c r="AD499" s="6">
        <v>24.43</v>
      </c>
      <c r="AE499" s="1">
        <v>0</v>
      </c>
      <c r="AF499" s="1">
        <f ca="1">IFERROR(__xludf.DUMMYFUNCTION("IFERROR(GOOGLEFINANCE(TRIM(F499)&amp;"":"" &amp; TRIM(B499),""high52""),AE499)"),83.99)</f>
        <v>83.99</v>
      </c>
      <c r="AG499" s="1">
        <v>0</v>
      </c>
      <c r="AH499" s="1">
        <f ca="1">IFERROR(__xludf.DUMMYFUNCTION("IFERROR(GOOGLEFINANCE(TRIM(F499)&amp;"":"" &amp; TRIM(B499),""low52""),AE499)"),48.25)</f>
        <v>48.25</v>
      </c>
      <c r="AI499" s="1">
        <f ca="1">IFERROR(__xludf.DUMMYFUNCTION("IFERROR(GOOGLEFINANCE(B499,""eps""),0)"),-0.11)</f>
        <v>-0.11</v>
      </c>
      <c r="AJ499" s="1"/>
      <c r="AK499" s="1" t="s">
        <v>1582</v>
      </c>
      <c r="AL499" s="9">
        <f t="shared" si="111"/>
        <v>1</v>
      </c>
    </row>
    <row r="500" spans="1:38" ht="15" x14ac:dyDescent="0.25">
      <c r="A500" s="1" t="s">
        <v>1583</v>
      </c>
      <c r="B500" s="1" t="s">
        <v>1584</v>
      </c>
      <c r="C500" s="1" t="s">
        <v>324</v>
      </c>
      <c r="D500" s="1" t="s">
        <v>324</v>
      </c>
      <c r="E500" s="6">
        <v>18708.560000000001</v>
      </c>
      <c r="F500" s="1" t="s">
        <v>40</v>
      </c>
      <c r="G500" s="6">
        <f ca="1">IFERROR(__xludf.DUMMYFUNCTION("iferror(GOOGLEFINANCE(TRIM(F500)&amp;"":"" &amp; TRIM(B500), ""price""),0
)"),655)</f>
        <v>655</v>
      </c>
      <c r="H500" s="6">
        <v>749.65</v>
      </c>
      <c r="I500" s="6">
        <f t="shared" ca="1" si="0"/>
        <v>655</v>
      </c>
      <c r="J500" s="6">
        <f ca="1">IFERROR(__xludf.DUMMYFUNCTION("IFERROR(GOOGLEFINANCE(B500, ""volume""), 0)"),93311)</f>
        <v>93311</v>
      </c>
      <c r="K500" s="6">
        <v>0.27</v>
      </c>
      <c r="L500" s="6">
        <f ca="1">IFERROR(__xludf.DUMMYFUNCTION("IFERROR(GOOGLEFINANCE(B500,""changepct""),K500)"),-1)</f>
        <v>-1</v>
      </c>
      <c r="M500" s="6">
        <f ca="1">IFERROR(__xludf.DUMMYFUNCTION("IFERROR(GOOGLEFINANCE(B500,""change""),0)"),-6.6)</f>
        <v>-6.6</v>
      </c>
      <c r="N500" s="6">
        <v>2</v>
      </c>
      <c r="O500" s="7">
        <v>45536</v>
      </c>
      <c r="P500" s="6">
        <v>169.4</v>
      </c>
      <c r="Q500" s="6">
        <v>18739.3</v>
      </c>
      <c r="R500" s="7">
        <v>45536</v>
      </c>
      <c r="S500" s="6">
        <v>2531.9299999999998</v>
      </c>
      <c r="T500" s="6">
        <v>288.91000000000003</v>
      </c>
      <c r="U500" s="7">
        <v>45536</v>
      </c>
      <c r="V500" s="6">
        <v>64.38</v>
      </c>
      <c r="W500" s="6">
        <f ca="1">IFERROR(__xludf.DUMMYFUNCTION("IFERROR(GOOGLEFINANCE(B500,""pe""),V500)"),66.65)</f>
        <v>66.650000000000006</v>
      </c>
      <c r="X500" s="9"/>
      <c r="Y500" s="6">
        <v>14.12</v>
      </c>
      <c r="Z500" s="6">
        <v>2</v>
      </c>
      <c r="AA500" s="8">
        <v>45352</v>
      </c>
      <c r="AB500" s="4">
        <v>0.1</v>
      </c>
      <c r="AC500" s="6">
        <v>24.41</v>
      </c>
      <c r="AD500" s="6">
        <v>29.49</v>
      </c>
      <c r="AE500" s="1">
        <v>0</v>
      </c>
      <c r="AF500" s="1">
        <f ca="1">IFERROR(__xludf.DUMMYFUNCTION("IFERROR(GOOGLEFINANCE(TRIM(F500)&amp;"":"" &amp; TRIM(B500),""high52""),AE500)"),818.7)</f>
        <v>818.7</v>
      </c>
      <c r="AG500" s="1">
        <v>0</v>
      </c>
      <c r="AH500" s="1">
        <f ca="1">IFERROR(__xludf.DUMMYFUNCTION("IFERROR(GOOGLEFINANCE(TRIM(F500)&amp;"":"" &amp; TRIM(B500),""low52""),AE500)"),558.8)</f>
        <v>558.79999999999995</v>
      </c>
      <c r="AI500" s="1">
        <f ca="1">IFERROR(__xludf.DUMMYFUNCTION("IFERROR(GOOGLEFINANCE(B500,""eps""),0)"),9.83)</f>
        <v>9.83</v>
      </c>
      <c r="AJ500" s="1"/>
      <c r="AK500" s="1" t="s">
        <v>1585</v>
      </c>
      <c r="AL500" s="9">
        <f t="shared" si="111"/>
        <v>1</v>
      </c>
    </row>
    <row r="501" spans="1:38" ht="15" x14ac:dyDescent="0.25">
      <c r="A501" s="1" t="s">
        <v>1586</v>
      </c>
      <c r="B501" s="1" t="s">
        <v>1587</v>
      </c>
      <c r="C501" s="1" t="s">
        <v>693</v>
      </c>
      <c r="D501" s="1" t="s">
        <v>693</v>
      </c>
      <c r="E501" s="6">
        <v>39.33</v>
      </c>
      <c r="F501" s="1" t="s">
        <v>40</v>
      </c>
      <c r="G501" s="6">
        <f ca="1">IFERROR(__xludf.DUMMYFUNCTION("iferror(GOOGLEFINANCE(TRIM(F501)&amp;"":"" &amp; TRIM(B501), ""price""),0
)"),0)</f>
        <v>0</v>
      </c>
      <c r="H501" s="6">
        <v>30.15</v>
      </c>
      <c r="I501" s="6">
        <f t="shared" ca="1" si="0"/>
        <v>30.15</v>
      </c>
      <c r="J501" s="6">
        <f ca="1">IFERROR(__xludf.DUMMYFUNCTION("IFERROR(GOOGLEFINANCE(B501, ""volume""), 0)"),0)</f>
        <v>0</v>
      </c>
      <c r="K501" s="6">
        <v>0</v>
      </c>
      <c r="L501" s="6">
        <f ca="1">IFERROR(__xludf.DUMMYFUNCTION("IFERROR(GOOGLEFINANCE(B501,""changepct""),K501)"),0)</f>
        <v>0</v>
      </c>
      <c r="M501" s="6">
        <f ca="1">IFERROR(__xludf.DUMMYFUNCTION("IFERROR(GOOGLEFINANCE(B501,""change""),0)"),0)</f>
        <v>0</v>
      </c>
      <c r="N501" s="6">
        <v>1</v>
      </c>
      <c r="O501" s="7">
        <v>45536</v>
      </c>
      <c r="P501" s="6">
        <v>7.52</v>
      </c>
      <c r="Q501" s="6">
        <v>46.85</v>
      </c>
      <c r="R501" s="14"/>
      <c r="S501" s="9"/>
      <c r="T501" s="9"/>
      <c r="U501" s="7">
        <v>45352</v>
      </c>
      <c r="V501" s="6">
        <v>23.52</v>
      </c>
      <c r="W501" s="6">
        <f ca="1">IFERROR(__xludf.DUMMYFUNCTION("IFERROR(GOOGLEFINANCE(B501,""pe""),V501)"),23.52)</f>
        <v>23.52</v>
      </c>
      <c r="X501" s="12"/>
      <c r="Y501" s="6">
        <v>0.96</v>
      </c>
      <c r="Z501" s="6">
        <v>1</v>
      </c>
      <c r="AA501" s="8">
        <v>45352</v>
      </c>
      <c r="AB501" s="4">
        <v>0.45</v>
      </c>
      <c r="AC501" s="6">
        <v>13.94</v>
      </c>
      <c r="AD501" s="6">
        <v>13.58</v>
      </c>
      <c r="AE501" s="1">
        <v>0</v>
      </c>
      <c r="AF501" s="1">
        <f ca="1">IFERROR(__xludf.DUMMYFUNCTION("IFERROR(GOOGLEFINANCE(TRIM(F501)&amp;"":"" &amp; TRIM(B501),""high52""),AE501)"),0)</f>
        <v>0</v>
      </c>
      <c r="AG501" s="1">
        <v>0</v>
      </c>
      <c r="AH501" s="1">
        <f ca="1">IFERROR(__xludf.DUMMYFUNCTION("IFERROR(GOOGLEFINANCE(TRIM(F501)&amp;"":"" &amp; TRIM(B501),""low52""),AE501)"),0)</f>
        <v>0</v>
      </c>
      <c r="AI501" s="1">
        <f ca="1">IFERROR(__xludf.DUMMYFUNCTION("IFERROR(GOOGLEFINANCE(B501,""eps""),0)"),0)</f>
        <v>0</v>
      </c>
      <c r="AJ501" s="1"/>
      <c r="AK501" s="1" t="s">
        <v>1588</v>
      </c>
      <c r="AL501" s="1" t="b">
        <f t="shared" ref="AL501:AL503" si="112">ISNUMBER(AA501)</f>
        <v>1</v>
      </c>
    </row>
    <row r="502" spans="1:38" ht="15" x14ac:dyDescent="0.25">
      <c r="A502" s="1" t="s">
        <v>1589</v>
      </c>
      <c r="B502" s="1" t="s">
        <v>1590</v>
      </c>
      <c r="C502" s="1" t="s">
        <v>135</v>
      </c>
      <c r="D502" s="1" t="s">
        <v>135</v>
      </c>
      <c r="E502" s="6">
        <v>86.35</v>
      </c>
      <c r="F502" s="1" t="s">
        <v>53</v>
      </c>
      <c r="G502" s="6">
        <f ca="1">IFERROR(__xludf.DUMMYFUNCTION("iferror(GOOGLEFINANCE(TRIM(F502)&amp;"":"" &amp; TRIM(B502), ""price""),0
)"),0)</f>
        <v>0</v>
      </c>
      <c r="H502" s="6">
        <v>62.25</v>
      </c>
      <c r="I502" s="6">
        <f t="shared" ca="1" si="0"/>
        <v>62.25</v>
      </c>
      <c r="J502" s="6">
        <f ca="1">IFERROR(__xludf.DUMMYFUNCTION("IFERROR(GOOGLEFINANCE(B502, ""volume""), 0)"),0)</f>
        <v>0</v>
      </c>
      <c r="K502" s="6">
        <v>-0.08</v>
      </c>
      <c r="L502" s="6">
        <f ca="1">IFERROR(__xludf.DUMMYFUNCTION("IFERROR(GOOGLEFINANCE(B502,""changepct""),K502)"),-0.08)</f>
        <v>-0.08</v>
      </c>
      <c r="M502" s="6">
        <f ca="1">IFERROR(__xludf.DUMMYFUNCTION("IFERROR(GOOGLEFINANCE(B502,""change""),0)"),0)</f>
        <v>0</v>
      </c>
      <c r="N502" s="6">
        <v>2</v>
      </c>
      <c r="O502" s="7">
        <v>45536</v>
      </c>
      <c r="P502" s="6">
        <v>0.43</v>
      </c>
      <c r="Q502" s="6">
        <v>86.78</v>
      </c>
      <c r="R502" s="7">
        <v>44075</v>
      </c>
      <c r="S502" s="6">
        <v>5.22</v>
      </c>
      <c r="T502" s="6">
        <v>-1.85</v>
      </c>
      <c r="U502" s="7">
        <v>44075</v>
      </c>
      <c r="V502" s="6">
        <v>0</v>
      </c>
      <c r="W502" s="6">
        <f ca="1">IFERROR(__xludf.DUMMYFUNCTION("IFERROR(GOOGLEFINANCE(B502,""pe""),V502)"),0)</f>
        <v>0</v>
      </c>
      <c r="X502" s="6">
        <v>0</v>
      </c>
      <c r="Y502" s="9"/>
      <c r="Z502" s="6">
        <v>1</v>
      </c>
      <c r="AA502" s="8">
        <v>45352</v>
      </c>
      <c r="AB502" s="4">
        <v>0</v>
      </c>
      <c r="AC502" s="6">
        <v>1.88</v>
      </c>
      <c r="AD502" s="6">
        <v>2.82</v>
      </c>
      <c r="AE502" s="1">
        <v>0</v>
      </c>
      <c r="AF502" s="1">
        <f ca="1">IFERROR(__xludf.DUMMYFUNCTION("IFERROR(GOOGLEFINANCE(TRIM(F502)&amp;"":"" &amp; TRIM(B502),""high52""),AE502)"),0)</f>
        <v>0</v>
      </c>
      <c r="AG502" s="1">
        <v>0</v>
      </c>
      <c r="AH502" s="1">
        <f ca="1">IFERROR(__xludf.DUMMYFUNCTION("IFERROR(GOOGLEFINANCE(TRIM(F502)&amp;"":"" &amp; TRIM(B502),""low52""),AE502)"),0)</f>
        <v>0</v>
      </c>
      <c r="AI502" s="1">
        <f ca="1">IFERROR(__xludf.DUMMYFUNCTION("IFERROR(GOOGLEFINANCE(B502,""eps""),0)"),0)</f>
        <v>0</v>
      </c>
      <c r="AJ502" s="1"/>
      <c r="AK502" s="1" t="s">
        <v>1591</v>
      </c>
      <c r="AL502" s="1" t="b">
        <f t="shared" si="112"/>
        <v>1</v>
      </c>
    </row>
    <row r="503" spans="1:38" ht="15" x14ac:dyDescent="0.25">
      <c r="A503" s="1" t="s">
        <v>1592</v>
      </c>
      <c r="B503" s="1" t="s">
        <v>1593</v>
      </c>
      <c r="C503" s="1" t="s">
        <v>135</v>
      </c>
      <c r="D503" s="1" t="s">
        <v>135</v>
      </c>
      <c r="E503" s="6">
        <v>25.73</v>
      </c>
      <c r="F503" s="1" t="s">
        <v>53</v>
      </c>
      <c r="G503" s="6">
        <f ca="1">IFERROR(__xludf.DUMMYFUNCTION("iferror(GOOGLEFINANCE(TRIM(F503)&amp;"":"" &amp; TRIM(B503), ""price""),0
)"),0)</f>
        <v>0</v>
      </c>
      <c r="H503" s="6">
        <v>0.5</v>
      </c>
      <c r="I503" s="6">
        <f t="shared" ca="1" si="0"/>
        <v>0.5</v>
      </c>
      <c r="J503" s="6">
        <f ca="1">IFERROR(__xludf.DUMMYFUNCTION("IFERROR(GOOGLEFINANCE(B503, ""volume""), 0)"),0)</f>
        <v>0</v>
      </c>
      <c r="K503" s="6">
        <v>0</v>
      </c>
      <c r="L503" s="6">
        <f ca="1">IFERROR(__xludf.DUMMYFUNCTION("IFERROR(GOOGLEFINANCE(B503,""changepct""),K503)"),0)</f>
        <v>0</v>
      </c>
      <c r="M503" s="6">
        <f ca="1">IFERROR(__xludf.DUMMYFUNCTION("IFERROR(GOOGLEFINANCE(B503,""change""),0)"),0)</f>
        <v>0</v>
      </c>
      <c r="N503" s="6">
        <v>1</v>
      </c>
      <c r="O503" s="7">
        <v>44440</v>
      </c>
      <c r="P503" s="6">
        <v>48.59</v>
      </c>
      <c r="Q503" s="6">
        <v>74.319999999999993</v>
      </c>
      <c r="R503" s="15">
        <v>44531</v>
      </c>
      <c r="S503" s="6">
        <v>1.55</v>
      </c>
      <c r="T503" s="6">
        <v>-14.56</v>
      </c>
      <c r="U503" s="15">
        <v>44531</v>
      </c>
      <c r="V503" s="6">
        <v>0</v>
      </c>
      <c r="W503" s="6">
        <f ca="1">IFERROR(__xludf.DUMMYFUNCTION("IFERROR(GOOGLEFINANCE(B503,""pe""),V503)"),0)</f>
        <v>0</v>
      </c>
      <c r="X503" s="6">
        <v>0</v>
      </c>
      <c r="Y503" s="9"/>
      <c r="Z503" s="6">
        <v>1</v>
      </c>
      <c r="AA503" s="8">
        <v>44256</v>
      </c>
      <c r="AB503" s="4">
        <v>0.26</v>
      </c>
      <c r="AC503" s="6">
        <v>-5.9</v>
      </c>
      <c r="AD503" s="6">
        <v>-4.63</v>
      </c>
      <c r="AE503" s="1">
        <v>0</v>
      </c>
      <c r="AF503" s="1">
        <f ca="1">IFERROR(__xludf.DUMMYFUNCTION("IFERROR(GOOGLEFINANCE(TRIM(F503)&amp;"":"" &amp; TRIM(B503),""high52""),AE503)"),0)</f>
        <v>0</v>
      </c>
      <c r="AG503" s="1">
        <v>0</v>
      </c>
      <c r="AH503" s="1">
        <f ca="1">IFERROR(__xludf.DUMMYFUNCTION("IFERROR(GOOGLEFINANCE(TRIM(F503)&amp;"":"" &amp; TRIM(B503),""low52""),AE503)"),0)</f>
        <v>0</v>
      </c>
      <c r="AI503" s="1">
        <f ca="1">IFERROR(__xludf.DUMMYFUNCTION("IFERROR(GOOGLEFINANCE(B503,""eps""),0)"),0)</f>
        <v>0</v>
      </c>
      <c r="AJ503" s="1"/>
      <c r="AK503" s="1" t="s">
        <v>1594</v>
      </c>
      <c r="AL503" s="1" t="b">
        <f t="shared" si="112"/>
        <v>1</v>
      </c>
    </row>
    <row r="504" spans="1:38" ht="15" x14ac:dyDescent="0.25">
      <c r="A504" s="1" t="s">
        <v>1595</v>
      </c>
      <c r="B504" s="1" t="s">
        <v>1596</v>
      </c>
      <c r="C504" s="1" t="s">
        <v>64</v>
      </c>
      <c r="D504" s="1" t="s">
        <v>64</v>
      </c>
      <c r="E504" s="6">
        <v>47.33</v>
      </c>
      <c r="F504" s="1" t="s">
        <v>40</v>
      </c>
      <c r="G504" s="6">
        <f ca="1">IFERROR(__xludf.DUMMYFUNCTION("iferror(GOOGLEFINANCE(TRIM(F504)&amp;"":"" &amp; TRIM(B504), ""price""),0
)"),0)</f>
        <v>0</v>
      </c>
      <c r="H504" s="6">
        <v>15.01</v>
      </c>
      <c r="I504" s="6">
        <f t="shared" ca="1" si="0"/>
        <v>15.01</v>
      </c>
      <c r="J504" s="6">
        <f ca="1">IFERROR(__xludf.DUMMYFUNCTION("IFERROR(GOOGLEFINANCE(B504, ""volume""), 0)"),0)</f>
        <v>0</v>
      </c>
      <c r="K504" s="6">
        <v>7.0000000000000007E-2</v>
      </c>
      <c r="L504" s="6">
        <f ca="1">IFERROR(__xludf.DUMMYFUNCTION("IFERROR(GOOGLEFINANCE(B504,""changepct""),K504)"),0.07)</f>
        <v>7.0000000000000007E-2</v>
      </c>
      <c r="M504" s="6">
        <f ca="1">IFERROR(__xludf.DUMMYFUNCTION("IFERROR(GOOGLEFINANCE(B504,""change""),0)"),0)</f>
        <v>0</v>
      </c>
      <c r="N504" s="6">
        <v>2</v>
      </c>
      <c r="O504" s="7">
        <v>45536</v>
      </c>
      <c r="P504" s="6">
        <v>172.98</v>
      </c>
      <c r="Q504" s="6">
        <v>220.31</v>
      </c>
      <c r="R504" s="7">
        <v>45536</v>
      </c>
      <c r="S504" s="6">
        <v>0</v>
      </c>
      <c r="T504" s="6">
        <v>1.63</v>
      </c>
      <c r="U504" s="7">
        <v>45536</v>
      </c>
      <c r="V504" s="6">
        <v>29.04</v>
      </c>
      <c r="W504" s="6">
        <f ca="1">IFERROR(__xludf.DUMMYFUNCTION("IFERROR(GOOGLEFINANCE(B504,""pe""),V504)"),29.04)</f>
        <v>29.04</v>
      </c>
      <c r="X504" s="6">
        <v>2.0699999999999998</v>
      </c>
      <c r="Y504" s="6">
        <v>-0.26</v>
      </c>
      <c r="Z504" s="6">
        <v>2</v>
      </c>
      <c r="AA504" s="8">
        <v>45352</v>
      </c>
      <c r="AB504" s="4">
        <v>-0.89</v>
      </c>
      <c r="AC504" s="6">
        <v>0</v>
      </c>
      <c r="AD504" s="6">
        <v>0</v>
      </c>
      <c r="AE504" s="1">
        <v>0</v>
      </c>
      <c r="AF504" s="1">
        <f ca="1">IFERROR(__xludf.DUMMYFUNCTION("IFERROR(GOOGLEFINANCE(TRIM(F504)&amp;"":"" &amp; TRIM(B504),""high52""),AE504)"),0)</f>
        <v>0</v>
      </c>
      <c r="AG504" s="1">
        <v>0</v>
      </c>
      <c r="AH504" s="1">
        <f ca="1">IFERROR(__xludf.DUMMYFUNCTION("IFERROR(GOOGLEFINANCE(TRIM(F504)&amp;"":"" &amp; TRIM(B504),""low52""),AE504)"),0)</f>
        <v>0</v>
      </c>
      <c r="AI504" s="1">
        <f ca="1">IFERROR(__xludf.DUMMYFUNCTION("IFERROR(GOOGLEFINANCE(B504,""eps""),0)"),0)</f>
        <v>0</v>
      </c>
      <c r="AJ504" s="1"/>
      <c r="AK504" s="1" t="s">
        <v>1597</v>
      </c>
      <c r="AL504" s="9">
        <f>IF(AA504&lt;&gt;AB504,1,0)</f>
        <v>1</v>
      </c>
    </row>
    <row r="505" spans="1:38" ht="15" x14ac:dyDescent="0.25">
      <c r="A505" s="1" t="s">
        <v>1598</v>
      </c>
      <c r="B505" s="1" t="s">
        <v>1599</v>
      </c>
      <c r="C505" s="1" t="s">
        <v>135</v>
      </c>
      <c r="D505" s="1" t="s">
        <v>135</v>
      </c>
      <c r="E505" s="6">
        <v>27.83</v>
      </c>
      <c r="F505" s="1" t="s">
        <v>53</v>
      </c>
      <c r="G505" s="6">
        <f ca="1">IFERROR(__xludf.DUMMYFUNCTION("iferror(GOOGLEFINANCE(TRIM(F505)&amp;"":"" &amp; TRIM(B505), ""price""),0
)"),0)</f>
        <v>0</v>
      </c>
      <c r="H505" s="6">
        <v>9.85</v>
      </c>
      <c r="I505" s="6">
        <f t="shared" ca="1" si="0"/>
        <v>9.85</v>
      </c>
      <c r="J505" s="6">
        <f ca="1">IFERROR(__xludf.DUMMYFUNCTION("IFERROR(GOOGLEFINANCE(B505, ""volume""), 0)"),0)</f>
        <v>0</v>
      </c>
      <c r="K505" s="6">
        <v>3.79</v>
      </c>
      <c r="L505" s="6">
        <f ca="1">IFERROR(__xludf.DUMMYFUNCTION("IFERROR(GOOGLEFINANCE(B505,""changepct""),K505)"),3.79)</f>
        <v>3.79</v>
      </c>
      <c r="M505" s="6">
        <f ca="1">IFERROR(__xludf.DUMMYFUNCTION("IFERROR(GOOGLEFINANCE(B505,""change""),0)"),0)</f>
        <v>0</v>
      </c>
      <c r="N505" s="6">
        <v>1</v>
      </c>
      <c r="O505" s="7">
        <v>45536</v>
      </c>
      <c r="P505" s="6">
        <v>1.04</v>
      </c>
      <c r="Q505" s="6">
        <v>20.99</v>
      </c>
      <c r="R505" s="15">
        <v>45261</v>
      </c>
      <c r="S505" s="6">
        <v>12.21</v>
      </c>
      <c r="T505" s="6">
        <v>0.08</v>
      </c>
      <c r="U505" s="7">
        <v>45352</v>
      </c>
      <c r="V505" s="6">
        <v>0</v>
      </c>
      <c r="W505" s="6">
        <f ca="1">IFERROR(__xludf.DUMMYFUNCTION("IFERROR(GOOGLEFINANCE(B505,""pe""),V505)"),0)</f>
        <v>0</v>
      </c>
      <c r="X505" s="6">
        <v>0</v>
      </c>
      <c r="Y505" s="6">
        <v>2.68</v>
      </c>
      <c r="Z505" s="6">
        <v>2</v>
      </c>
      <c r="AA505" s="8">
        <v>44986</v>
      </c>
      <c r="AB505" s="4">
        <v>0.28999999999999998</v>
      </c>
      <c r="AC505" s="6">
        <v>-1.36</v>
      </c>
      <c r="AD505" s="6">
        <v>-1.17</v>
      </c>
      <c r="AE505" s="1">
        <v>0</v>
      </c>
      <c r="AF505" s="1">
        <f ca="1">IFERROR(__xludf.DUMMYFUNCTION("IFERROR(GOOGLEFINANCE(TRIM(F505)&amp;"":"" &amp; TRIM(B505),""high52""),AE505)"),0)</f>
        <v>0</v>
      </c>
      <c r="AG505" s="1">
        <v>0</v>
      </c>
      <c r="AH505" s="1">
        <f ca="1">IFERROR(__xludf.DUMMYFUNCTION("IFERROR(GOOGLEFINANCE(TRIM(F505)&amp;"":"" &amp; TRIM(B505),""low52""),AE505)"),0)</f>
        <v>0</v>
      </c>
      <c r="AI505" s="1">
        <f ca="1">IFERROR(__xludf.DUMMYFUNCTION("IFERROR(GOOGLEFINANCE(B505,""eps""),0)"),0)</f>
        <v>0</v>
      </c>
      <c r="AJ505" s="1"/>
      <c r="AK505" s="1" t="s">
        <v>1600</v>
      </c>
      <c r="AL505" s="1" t="b">
        <f>ISNUMBER(AA505)</f>
        <v>1</v>
      </c>
    </row>
    <row r="506" spans="1:38" ht="15" x14ac:dyDescent="0.25">
      <c r="A506" s="1" t="s">
        <v>1601</v>
      </c>
      <c r="B506" s="1" t="s">
        <v>1602</v>
      </c>
      <c r="C506" s="1" t="s">
        <v>106</v>
      </c>
      <c r="D506" s="1" t="s">
        <v>106</v>
      </c>
      <c r="E506" s="6">
        <v>44776.38</v>
      </c>
      <c r="F506" s="1" t="s">
        <v>40</v>
      </c>
      <c r="G506" s="6">
        <f ca="1">IFERROR(__xludf.DUMMYFUNCTION("iferror(GOOGLEFINANCE(TRIM(F506)&amp;"":"" &amp; TRIM(B506), ""price""),0
)"),371)</f>
        <v>371</v>
      </c>
      <c r="H506" s="6">
        <v>371.6</v>
      </c>
      <c r="I506" s="6">
        <f t="shared" ca="1" si="0"/>
        <v>371</v>
      </c>
      <c r="J506" s="6">
        <f ca="1">IFERROR(__xludf.DUMMYFUNCTION("IFERROR(GOOGLEFINANCE(B506, ""volume""), 0)"),4695435)</f>
        <v>4695435</v>
      </c>
      <c r="K506" s="6">
        <v>-0.44</v>
      </c>
      <c r="L506" s="6">
        <f ca="1">IFERROR(__xludf.DUMMYFUNCTION("IFERROR(GOOGLEFINANCE(B506,""changepct""),K506)"),0.76)</f>
        <v>0.76</v>
      </c>
      <c r="M506" s="6">
        <f ca="1">IFERROR(__xludf.DUMMYFUNCTION("IFERROR(GOOGLEFINANCE(B506,""change""),0)"),2.8)</f>
        <v>2.8</v>
      </c>
      <c r="N506" s="6">
        <v>2</v>
      </c>
      <c r="O506" s="7">
        <v>45536</v>
      </c>
      <c r="P506" s="6">
        <v>16149.8</v>
      </c>
      <c r="Q506" s="6">
        <v>58831.78</v>
      </c>
      <c r="R506" s="7">
        <v>45536</v>
      </c>
      <c r="S506" s="6">
        <v>14894.1</v>
      </c>
      <c r="T506" s="6">
        <v>1891.9</v>
      </c>
      <c r="U506" s="7">
        <v>45536</v>
      </c>
      <c r="V506" s="6">
        <v>31.11</v>
      </c>
      <c r="W506" s="6">
        <f ca="1">IFERROR(__xludf.DUMMYFUNCTION("IFERROR(GOOGLEFINANCE(B506,""pe""),V506)"),92.98)</f>
        <v>92.98</v>
      </c>
      <c r="X506" s="6">
        <v>4.6100000000000003</v>
      </c>
      <c r="Y506" s="6">
        <v>2.13</v>
      </c>
      <c r="Z506" s="6">
        <v>2</v>
      </c>
      <c r="AA506" s="8">
        <v>45352</v>
      </c>
      <c r="AB506" s="4">
        <v>0.81</v>
      </c>
      <c r="AC506" s="6">
        <v>7</v>
      </c>
      <c r="AD506" s="6">
        <v>7.03</v>
      </c>
      <c r="AE506" s="1">
        <v>0</v>
      </c>
      <c r="AF506" s="1">
        <f ca="1">IFERROR(__xludf.DUMMYFUNCTION("IFERROR(GOOGLEFINANCE(TRIM(F506)&amp;"":"" &amp; TRIM(B506),""high52""),AE506)"),424.95)</f>
        <v>424.95</v>
      </c>
      <c r="AG506" s="1">
        <v>0</v>
      </c>
      <c r="AH506" s="1">
        <f ca="1">IFERROR(__xludf.DUMMYFUNCTION("IFERROR(GOOGLEFINANCE(TRIM(F506)&amp;"":"" &amp; TRIM(B506),""low52""),AE506)"),291)</f>
        <v>291</v>
      </c>
      <c r="AI506" s="1">
        <f ca="1">IFERROR(__xludf.DUMMYFUNCTION("IFERROR(GOOGLEFINANCE(B506,""eps""),0)"),3.99)</f>
        <v>3.99</v>
      </c>
      <c r="AJ506" s="1"/>
      <c r="AK506" s="1" t="s">
        <v>1603</v>
      </c>
      <c r="AL506" s="9">
        <f t="shared" ref="AL506:AL507" si="113">IF(AA506&lt;&gt;AB506,1,0)</f>
        <v>1</v>
      </c>
    </row>
    <row r="507" spans="1:38" ht="15" x14ac:dyDescent="0.25">
      <c r="A507" s="1" t="s">
        <v>1604</v>
      </c>
      <c r="B507" s="1" t="s">
        <v>1605</v>
      </c>
      <c r="C507" s="1" t="s">
        <v>106</v>
      </c>
      <c r="D507" s="1" t="s">
        <v>106</v>
      </c>
      <c r="E507" s="6">
        <v>101.43</v>
      </c>
      <c r="F507" s="1" t="s">
        <v>40</v>
      </c>
      <c r="G507" s="6">
        <f ca="1">IFERROR(__xludf.DUMMYFUNCTION("iferror(GOOGLEFINANCE(TRIM(F507)&amp;"":"" &amp; TRIM(B507), ""price""),0
)"),42.13)</f>
        <v>42.13</v>
      </c>
      <c r="H507" s="6">
        <v>61.29</v>
      </c>
      <c r="I507" s="6">
        <f t="shared" ca="1" si="0"/>
        <v>42.13</v>
      </c>
      <c r="J507" s="6">
        <f ca="1">IFERROR(__xludf.DUMMYFUNCTION("IFERROR(GOOGLEFINANCE(B507, ""volume""), 0)"),887177)</f>
        <v>887177</v>
      </c>
      <c r="K507" s="6">
        <v>-1.61</v>
      </c>
      <c r="L507" s="6">
        <f ca="1">IFERROR(__xludf.DUMMYFUNCTION("IFERROR(GOOGLEFINANCE(B507,""changepct""),K507)"),19.99)</f>
        <v>19.989999999999998</v>
      </c>
      <c r="M507" s="6">
        <f ca="1">IFERROR(__xludf.DUMMYFUNCTION("IFERROR(GOOGLEFINANCE(B507,""change""),0)"),7.02)</f>
        <v>7.02</v>
      </c>
      <c r="N507" s="6">
        <v>1</v>
      </c>
      <c r="O507" s="7">
        <v>45536</v>
      </c>
      <c r="P507" s="6">
        <v>0.45</v>
      </c>
      <c r="Q507" s="6">
        <v>101.67</v>
      </c>
      <c r="R507" s="7">
        <v>45536</v>
      </c>
      <c r="S507" s="6">
        <v>31.09</v>
      </c>
      <c r="T507" s="6">
        <v>0.53</v>
      </c>
      <c r="U507" s="7">
        <v>45536</v>
      </c>
      <c r="V507" s="6">
        <v>189.95</v>
      </c>
      <c r="W507" s="6">
        <f ca="1">IFERROR(__xludf.DUMMYFUNCTION("IFERROR(GOOGLEFINANCE(B507,""pe""),V507)"),24.04)</f>
        <v>24.04</v>
      </c>
      <c r="X507" s="6">
        <v>23.95</v>
      </c>
      <c r="Y507" s="6">
        <v>5.51</v>
      </c>
      <c r="Z507" s="6">
        <v>1</v>
      </c>
      <c r="AA507" s="8">
        <v>45352</v>
      </c>
      <c r="AB507" s="4">
        <v>0.02</v>
      </c>
      <c r="AC507" s="6">
        <v>4</v>
      </c>
      <c r="AD507" s="6">
        <v>4.97</v>
      </c>
      <c r="AE507" s="1">
        <v>0</v>
      </c>
      <c r="AF507" s="1">
        <f ca="1">IFERROR(__xludf.DUMMYFUNCTION("IFERROR(GOOGLEFINANCE(TRIM(F507)&amp;"":"" &amp; TRIM(B507),""high52""),AE507)"),57.19)</f>
        <v>57.19</v>
      </c>
      <c r="AG507" s="1">
        <v>0</v>
      </c>
      <c r="AH507" s="1">
        <f ca="1">IFERROR(__xludf.DUMMYFUNCTION("IFERROR(GOOGLEFINANCE(TRIM(F507)&amp;"":"" &amp; TRIM(B507),""low52""),AE507)"),28.5)</f>
        <v>28.5</v>
      </c>
      <c r="AI507" s="1">
        <f ca="1">IFERROR(__xludf.DUMMYFUNCTION("IFERROR(GOOGLEFINANCE(B507,""eps""),0)"),1.75)</f>
        <v>1.75</v>
      </c>
      <c r="AJ507" s="1"/>
      <c r="AK507" s="1" t="s">
        <v>1606</v>
      </c>
      <c r="AL507" s="9">
        <f t="shared" si="113"/>
        <v>1</v>
      </c>
    </row>
    <row r="508" spans="1:38" ht="15" x14ac:dyDescent="0.25">
      <c r="A508" s="1" t="s">
        <v>1607</v>
      </c>
      <c r="B508" s="1" t="s">
        <v>1608</v>
      </c>
      <c r="C508" s="1" t="s">
        <v>577</v>
      </c>
      <c r="D508" s="1" t="s">
        <v>577</v>
      </c>
      <c r="E508" s="6">
        <v>641.4</v>
      </c>
      <c r="F508" s="1" t="s">
        <v>40</v>
      </c>
      <c r="G508" s="6">
        <f ca="1">IFERROR(__xludf.DUMMYFUNCTION("iferror(GOOGLEFINANCE(TRIM(F508)&amp;"":"" &amp; TRIM(B508), ""price""),0
)"),131)</f>
        <v>131</v>
      </c>
      <c r="H508" s="6">
        <v>214.93</v>
      </c>
      <c r="I508" s="6">
        <f t="shared" ca="1" si="0"/>
        <v>131</v>
      </c>
      <c r="J508" s="6">
        <f ca="1">IFERROR(__xludf.DUMMYFUNCTION("IFERROR(GOOGLEFINANCE(B508, ""volume""), 0)"),23348)</f>
        <v>23348</v>
      </c>
      <c r="K508" s="6">
        <v>0.44</v>
      </c>
      <c r="L508" s="6">
        <f ca="1">IFERROR(__xludf.DUMMYFUNCTION("IFERROR(GOOGLEFINANCE(B508,""changepct""),K508)"),-1.75)</f>
        <v>-1.75</v>
      </c>
      <c r="M508" s="6">
        <f ca="1">IFERROR(__xludf.DUMMYFUNCTION("IFERROR(GOOGLEFINANCE(B508,""change""),0)"),-2.34)</f>
        <v>-2.34</v>
      </c>
      <c r="N508" s="6">
        <v>2</v>
      </c>
      <c r="O508" s="7">
        <v>45536</v>
      </c>
      <c r="P508" s="6">
        <v>146.65</v>
      </c>
      <c r="Q508" s="6">
        <v>774.39</v>
      </c>
      <c r="R508" s="7">
        <v>45536</v>
      </c>
      <c r="S508" s="6">
        <v>684.31</v>
      </c>
      <c r="T508" s="6">
        <v>7.36</v>
      </c>
      <c r="U508" s="7">
        <v>45536</v>
      </c>
      <c r="V508" s="6">
        <v>87.23</v>
      </c>
      <c r="W508" s="6">
        <f ca="1">IFERROR(__xludf.DUMMYFUNCTION("IFERROR(GOOGLEFINANCE(B508,""pe""),V508)"),78.95)</f>
        <v>78.95</v>
      </c>
      <c r="X508" s="12"/>
      <c r="Y508" s="6">
        <v>2.4500000000000002</v>
      </c>
      <c r="Z508" s="6">
        <v>2</v>
      </c>
      <c r="AA508" s="8">
        <v>45352</v>
      </c>
      <c r="AB508" s="4">
        <v>0.66</v>
      </c>
      <c r="AC508" s="6">
        <v>9.2200000000000006</v>
      </c>
      <c r="AD508" s="6">
        <v>11.54</v>
      </c>
      <c r="AE508" s="1">
        <v>0</v>
      </c>
      <c r="AF508" s="1">
        <f ca="1">IFERROR(__xludf.DUMMYFUNCTION("IFERROR(GOOGLEFINANCE(TRIM(F508)&amp;"":"" &amp; TRIM(B508),""high52""),AE508)"),215.2)</f>
        <v>215.2</v>
      </c>
      <c r="AG508" s="1">
        <v>0</v>
      </c>
      <c r="AH508" s="1">
        <f ca="1">IFERROR(__xludf.DUMMYFUNCTION("IFERROR(GOOGLEFINANCE(TRIM(F508)&amp;"":"" &amp; TRIM(B508),""low52""),AE508)"),123)</f>
        <v>123</v>
      </c>
      <c r="AI508" s="1">
        <f ca="1">IFERROR(__xludf.DUMMYFUNCTION("IFERROR(GOOGLEFINANCE(B508,""eps""),0)"),1.66)</f>
        <v>1.66</v>
      </c>
      <c r="AJ508" s="1"/>
      <c r="AK508" s="9"/>
      <c r="AL508" s="1" t="b">
        <f>ISBLANK(AB508)</f>
        <v>0</v>
      </c>
    </row>
    <row r="509" spans="1:38" ht="15" x14ac:dyDescent="0.25">
      <c r="A509" s="1" t="s">
        <v>1609</v>
      </c>
      <c r="B509" s="1" t="s">
        <v>1610</v>
      </c>
      <c r="C509" s="1" t="s">
        <v>135</v>
      </c>
      <c r="D509" s="1" t="s">
        <v>135</v>
      </c>
      <c r="E509" s="6">
        <v>290.06</v>
      </c>
      <c r="F509" s="1" t="s">
        <v>53</v>
      </c>
      <c r="G509" s="6">
        <f ca="1">IFERROR(__xludf.DUMMYFUNCTION("iferror(GOOGLEFINANCE(TRIM(F509)&amp;"":"" &amp; TRIM(B509), ""price""),0
)"),0)</f>
        <v>0</v>
      </c>
      <c r="H509" s="6">
        <v>241.35</v>
      </c>
      <c r="I509" s="6">
        <f t="shared" ca="1" si="0"/>
        <v>241.35</v>
      </c>
      <c r="J509" s="6">
        <f ca="1">IFERROR(__xludf.DUMMYFUNCTION("IFERROR(GOOGLEFINANCE(B509, ""volume""), 0)"),0)</f>
        <v>0</v>
      </c>
      <c r="K509" s="6">
        <v>1.79</v>
      </c>
      <c r="L509" s="6">
        <f ca="1">IFERROR(__xludf.DUMMYFUNCTION("IFERROR(GOOGLEFINANCE(B509,""changepct""),K509)"),1.79)</f>
        <v>1.79</v>
      </c>
      <c r="M509" s="6">
        <f ca="1">IFERROR(__xludf.DUMMYFUNCTION("IFERROR(GOOGLEFINANCE(B509,""change""),0)"),0)</f>
        <v>0</v>
      </c>
      <c r="N509" s="6">
        <v>1</v>
      </c>
      <c r="O509" s="7">
        <v>45536</v>
      </c>
      <c r="P509" s="6">
        <v>7.68</v>
      </c>
      <c r="Q509" s="6">
        <v>297.75</v>
      </c>
      <c r="R509" s="7">
        <v>45352</v>
      </c>
      <c r="S509" s="6">
        <v>114.48</v>
      </c>
      <c r="T509" s="6">
        <v>3.45</v>
      </c>
      <c r="U509" s="7">
        <v>45352</v>
      </c>
      <c r="V509" s="6">
        <v>84.05</v>
      </c>
      <c r="W509" s="6">
        <f ca="1">IFERROR(__xludf.DUMMYFUNCTION("IFERROR(GOOGLEFINANCE(B509,""pe""),V509)"),84.05)</f>
        <v>84.05</v>
      </c>
      <c r="X509" s="9"/>
      <c r="Y509" s="6">
        <v>4.6399999999999997</v>
      </c>
      <c r="Z509" s="6">
        <v>1</v>
      </c>
      <c r="AA509" s="8">
        <v>45352</v>
      </c>
      <c r="AB509" s="4">
        <v>0.32</v>
      </c>
      <c r="AC509" s="6">
        <v>5.68</v>
      </c>
      <c r="AD509" s="6">
        <v>8.1999999999999993</v>
      </c>
      <c r="AE509" s="1">
        <v>0</v>
      </c>
      <c r="AF509" s="1">
        <f ca="1">IFERROR(__xludf.DUMMYFUNCTION("IFERROR(GOOGLEFINANCE(TRIM(F509)&amp;"":"" &amp; TRIM(B509),""high52""),AE509)"),0)</f>
        <v>0</v>
      </c>
      <c r="AG509" s="1">
        <v>0</v>
      </c>
      <c r="AH509" s="1">
        <f ca="1">IFERROR(__xludf.DUMMYFUNCTION("IFERROR(GOOGLEFINANCE(TRIM(F509)&amp;"":"" &amp; TRIM(B509),""low52""),AE509)"),0)</f>
        <v>0</v>
      </c>
      <c r="AI509" s="1">
        <f ca="1">IFERROR(__xludf.DUMMYFUNCTION("IFERROR(GOOGLEFINANCE(B509,""eps""),0)"),0)</f>
        <v>0</v>
      </c>
      <c r="AJ509" s="1"/>
      <c r="AK509" s="1" t="s">
        <v>1611</v>
      </c>
      <c r="AL509" s="1" t="b">
        <f t="shared" ref="AL509:AL513" si="114">ISNUMBER(AA509)</f>
        <v>1</v>
      </c>
    </row>
    <row r="510" spans="1:38" ht="15" x14ac:dyDescent="0.25">
      <c r="A510" s="1" t="s">
        <v>1612</v>
      </c>
      <c r="B510" s="1" t="s">
        <v>1613</v>
      </c>
      <c r="C510" s="1" t="s">
        <v>135</v>
      </c>
      <c r="D510" s="1" t="s">
        <v>135</v>
      </c>
      <c r="E510" s="6">
        <v>250.94</v>
      </c>
      <c r="F510" s="1" t="s">
        <v>53</v>
      </c>
      <c r="G510" s="6">
        <f ca="1">IFERROR(__xludf.DUMMYFUNCTION("iferror(GOOGLEFINANCE(TRIM(F510)&amp;"":"" &amp; TRIM(B510), ""price""),0
)"),0)</f>
        <v>0</v>
      </c>
      <c r="H510" s="6">
        <v>168.8</v>
      </c>
      <c r="I510" s="6">
        <f t="shared" ca="1" si="0"/>
        <v>168.8</v>
      </c>
      <c r="J510" s="6">
        <f ca="1">IFERROR(__xludf.DUMMYFUNCTION("IFERROR(GOOGLEFINANCE(B510, ""volume""), 0)"),0)</f>
        <v>0</v>
      </c>
      <c r="K510" s="6">
        <v>-0.38</v>
      </c>
      <c r="L510" s="6">
        <f ca="1">IFERROR(__xludf.DUMMYFUNCTION("IFERROR(GOOGLEFINANCE(B510,""changepct""),K510)"),-0.38)</f>
        <v>-0.38</v>
      </c>
      <c r="M510" s="6">
        <f ca="1">IFERROR(__xludf.DUMMYFUNCTION("IFERROR(GOOGLEFINANCE(B510,""change""),0)"),0)</f>
        <v>0</v>
      </c>
      <c r="N510" s="6">
        <v>2</v>
      </c>
      <c r="O510" s="7">
        <v>45536</v>
      </c>
      <c r="P510" s="6">
        <v>27.87</v>
      </c>
      <c r="Q510" s="6">
        <v>275.31</v>
      </c>
      <c r="R510" s="7">
        <v>45352</v>
      </c>
      <c r="S510" s="6">
        <v>78.459999999999994</v>
      </c>
      <c r="T510" s="6">
        <v>8.4499999999999993</v>
      </c>
      <c r="U510" s="7">
        <v>45352</v>
      </c>
      <c r="V510" s="6">
        <v>29.72</v>
      </c>
      <c r="W510" s="6">
        <f ca="1">IFERROR(__xludf.DUMMYFUNCTION("IFERROR(GOOGLEFINANCE(B510,""pe""),V510)"),29.72)</f>
        <v>29.72</v>
      </c>
      <c r="X510" s="12"/>
      <c r="Y510" s="6">
        <v>3.4</v>
      </c>
      <c r="Z510" s="6">
        <v>2</v>
      </c>
      <c r="AA510" s="8">
        <v>45352</v>
      </c>
      <c r="AB510" s="4">
        <v>0.35</v>
      </c>
      <c r="AC510" s="6">
        <v>12.18</v>
      </c>
      <c r="AD510" s="6">
        <v>13.81</v>
      </c>
      <c r="AE510" s="1">
        <v>0</v>
      </c>
      <c r="AF510" s="1">
        <f ca="1">IFERROR(__xludf.DUMMYFUNCTION("IFERROR(GOOGLEFINANCE(TRIM(F510)&amp;"":"" &amp; TRIM(B510),""high52""),AE510)"),0)</f>
        <v>0</v>
      </c>
      <c r="AG510" s="1">
        <v>0</v>
      </c>
      <c r="AH510" s="1">
        <f ca="1">IFERROR(__xludf.DUMMYFUNCTION("IFERROR(GOOGLEFINANCE(TRIM(F510)&amp;"":"" &amp; TRIM(B510),""low52""),AE510)"),0)</f>
        <v>0</v>
      </c>
      <c r="AI510" s="1">
        <f ca="1">IFERROR(__xludf.DUMMYFUNCTION("IFERROR(GOOGLEFINANCE(B510,""eps""),0)"),0)</f>
        <v>0</v>
      </c>
      <c r="AJ510" s="1"/>
      <c r="AK510" s="1" t="s">
        <v>1614</v>
      </c>
      <c r="AL510" s="1" t="b">
        <f t="shared" si="114"/>
        <v>1</v>
      </c>
    </row>
    <row r="511" spans="1:38" ht="15" x14ac:dyDescent="0.25">
      <c r="A511" s="1" t="s">
        <v>1615</v>
      </c>
      <c r="B511" s="1" t="s">
        <v>1616</v>
      </c>
      <c r="C511" s="1" t="s">
        <v>135</v>
      </c>
      <c r="D511" s="1" t="s">
        <v>135</v>
      </c>
      <c r="E511" s="6">
        <v>155.84</v>
      </c>
      <c r="F511" s="1" t="s">
        <v>53</v>
      </c>
      <c r="G511" s="6">
        <f ca="1">IFERROR(__xludf.DUMMYFUNCTION("iferror(GOOGLEFINANCE(TRIM(F511)&amp;"":"" &amp; TRIM(B511), ""price""),0
)"),0)</f>
        <v>0</v>
      </c>
      <c r="H511" s="6">
        <v>151.94999999999999</v>
      </c>
      <c r="I511" s="6">
        <f t="shared" ca="1" si="0"/>
        <v>151.94999999999999</v>
      </c>
      <c r="J511" s="6">
        <f ca="1">IFERROR(__xludf.DUMMYFUNCTION("IFERROR(GOOGLEFINANCE(B511, ""volume""), 0)"),0)</f>
        <v>0</v>
      </c>
      <c r="K511" s="6">
        <v>5.93</v>
      </c>
      <c r="L511" s="6">
        <f ca="1">IFERROR(__xludf.DUMMYFUNCTION("IFERROR(GOOGLEFINANCE(B511,""changepct""),K511)"),5.93)</f>
        <v>5.93</v>
      </c>
      <c r="M511" s="6">
        <f ca="1">IFERROR(__xludf.DUMMYFUNCTION("IFERROR(GOOGLEFINANCE(B511,""change""),0)"),0)</f>
        <v>0</v>
      </c>
      <c r="N511" s="6">
        <v>1</v>
      </c>
      <c r="O511" s="7">
        <v>45536</v>
      </c>
      <c r="P511" s="6">
        <v>2.5099999999999998</v>
      </c>
      <c r="Q511" s="6">
        <v>158.35</v>
      </c>
      <c r="R511" s="7">
        <v>45352</v>
      </c>
      <c r="S511" s="6">
        <v>50.4</v>
      </c>
      <c r="T511" s="6">
        <v>6.63</v>
      </c>
      <c r="U511" s="7">
        <v>45352</v>
      </c>
      <c r="V511" s="6">
        <v>23.49</v>
      </c>
      <c r="W511" s="6">
        <f ca="1">IFERROR(__xludf.DUMMYFUNCTION("IFERROR(GOOGLEFINANCE(B511,""pe""),V511)"),23.49)</f>
        <v>23.49</v>
      </c>
      <c r="X511" s="9"/>
      <c r="Y511" s="6">
        <v>3.65</v>
      </c>
      <c r="Z511" s="6">
        <v>2</v>
      </c>
      <c r="AA511" s="8">
        <v>45352</v>
      </c>
      <c r="AB511" s="4">
        <v>0.04</v>
      </c>
      <c r="AC511" s="6">
        <v>20.72</v>
      </c>
      <c r="AD511" s="6">
        <v>27.65</v>
      </c>
      <c r="AE511" s="1">
        <v>0</v>
      </c>
      <c r="AF511" s="1">
        <f ca="1">IFERROR(__xludf.DUMMYFUNCTION("IFERROR(GOOGLEFINANCE(TRIM(F511)&amp;"":"" &amp; TRIM(B511),""high52""),AE511)"),0)</f>
        <v>0</v>
      </c>
      <c r="AG511" s="1">
        <v>0</v>
      </c>
      <c r="AH511" s="1">
        <f ca="1">IFERROR(__xludf.DUMMYFUNCTION("IFERROR(GOOGLEFINANCE(TRIM(F511)&amp;"":"" &amp; TRIM(B511),""low52""),AE511)"),0)</f>
        <v>0</v>
      </c>
      <c r="AI511" s="1">
        <f ca="1">IFERROR(__xludf.DUMMYFUNCTION("IFERROR(GOOGLEFINANCE(B511,""eps""),0)"),0)</f>
        <v>0</v>
      </c>
      <c r="AJ511" s="1"/>
      <c r="AK511" s="1" t="s">
        <v>1617</v>
      </c>
      <c r="AL511" s="1" t="b">
        <f t="shared" si="114"/>
        <v>1</v>
      </c>
    </row>
    <row r="512" spans="1:38" ht="15" x14ac:dyDescent="0.25">
      <c r="A512" s="1" t="s">
        <v>1618</v>
      </c>
      <c r="B512" s="1" t="s">
        <v>1619</v>
      </c>
      <c r="C512" s="1" t="s">
        <v>135</v>
      </c>
      <c r="D512" s="1" t="s">
        <v>135</v>
      </c>
      <c r="E512" s="6">
        <v>3735.37</v>
      </c>
      <c r="F512" s="1" t="s">
        <v>53</v>
      </c>
      <c r="G512" s="6">
        <f ca="1">IFERROR(__xludf.DUMMYFUNCTION("iferror(GOOGLEFINANCE(TRIM(F512)&amp;"":"" &amp; TRIM(B512), ""price""),0
)"),0)</f>
        <v>0</v>
      </c>
      <c r="H512" s="6">
        <v>699</v>
      </c>
      <c r="I512" s="6">
        <f t="shared" ca="1" si="0"/>
        <v>699</v>
      </c>
      <c r="J512" s="6">
        <f ca="1">IFERROR(__xludf.DUMMYFUNCTION("IFERROR(GOOGLEFINANCE(B512, ""volume""), 0)"),1460382)</f>
        <v>1460382</v>
      </c>
      <c r="K512" s="6">
        <v>0.11</v>
      </c>
      <c r="L512" s="6">
        <f ca="1">IFERROR(__xludf.DUMMYFUNCTION("IFERROR(GOOGLEFINANCE(B512,""changepct""),K512)"),-2.9)</f>
        <v>-2.9</v>
      </c>
      <c r="M512" s="6">
        <f ca="1">IFERROR(__xludf.DUMMYFUNCTION("IFERROR(GOOGLEFINANCE(B512,""change""),0)"),-1.09)</f>
        <v>-1.0900000000000001</v>
      </c>
      <c r="N512" s="6">
        <v>2</v>
      </c>
      <c r="O512" s="7">
        <v>45536</v>
      </c>
      <c r="P512" s="9"/>
      <c r="Q512" s="6">
        <v>3729.9</v>
      </c>
      <c r="R512" s="7">
        <v>45352</v>
      </c>
      <c r="S512" s="6">
        <v>20.98</v>
      </c>
      <c r="T512" s="6">
        <v>1.86</v>
      </c>
      <c r="U512" s="7">
        <v>45352</v>
      </c>
      <c r="V512" s="6">
        <v>0</v>
      </c>
      <c r="W512" s="6">
        <f ca="1">IFERROR(__xludf.DUMMYFUNCTION("IFERROR(GOOGLEFINANCE(B512,""pe""),V512)"),152.57)</f>
        <v>152.57</v>
      </c>
      <c r="X512" s="9"/>
      <c r="Y512" s="6">
        <v>46.36</v>
      </c>
      <c r="Z512" s="6">
        <v>2</v>
      </c>
      <c r="AA512" s="8">
        <v>45352</v>
      </c>
      <c r="AB512" s="4">
        <v>0</v>
      </c>
      <c r="AC512" s="6">
        <v>4.5999999999999996</v>
      </c>
      <c r="AD512" s="6">
        <v>5.35</v>
      </c>
      <c r="AE512" s="1">
        <v>0</v>
      </c>
      <c r="AF512" s="1">
        <f ca="1">IFERROR(__xludf.DUMMYFUNCTION("IFERROR(GOOGLEFINANCE(TRIM(F512)&amp;"":"" &amp; TRIM(B512),""high52""),AE512)"),0)</f>
        <v>0</v>
      </c>
      <c r="AG512" s="1">
        <v>0</v>
      </c>
      <c r="AH512" s="1">
        <f ca="1">IFERROR(__xludf.DUMMYFUNCTION("IFERROR(GOOGLEFINANCE(TRIM(F512)&amp;"":"" &amp; TRIM(B512),""low52""),AE512)"),0)</f>
        <v>0</v>
      </c>
      <c r="AI512" s="1">
        <f ca="1">IFERROR(__xludf.DUMMYFUNCTION("IFERROR(GOOGLEFINANCE(B512,""eps""),0)"),0.24)</f>
        <v>0.24</v>
      </c>
      <c r="AJ512" s="1"/>
      <c r="AK512" s="1" t="s">
        <v>1620</v>
      </c>
      <c r="AL512" s="1" t="b">
        <f t="shared" si="114"/>
        <v>1</v>
      </c>
    </row>
    <row r="513" spans="1:38" ht="15" x14ac:dyDescent="0.25">
      <c r="A513" s="1" t="s">
        <v>1621</v>
      </c>
      <c r="B513" s="1" t="s">
        <v>1622</v>
      </c>
      <c r="C513" s="1" t="s">
        <v>239</v>
      </c>
      <c r="D513" s="1" t="s">
        <v>239</v>
      </c>
      <c r="E513" s="6">
        <v>9591.4</v>
      </c>
      <c r="F513" s="1" t="s">
        <v>40</v>
      </c>
      <c r="G513" s="6">
        <f ca="1">IFERROR(__xludf.DUMMYFUNCTION("iferror(GOOGLEFINANCE(TRIM(F513)&amp;"":"" &amp; TRIM(B513), ""price""),0
)"),1055)</f>
        <v>1055</v>
      </c>
      <c r="H513" s="6">
        <v>1242.75</v>
      </c>
      <c r="I513" s="6">
        <f t="shared" ca="1" si="0"/>
        <v>1055</v>
      </c>
      <c r="J513" s="6">
        <f ca="1">IFERROR(__xludf.DUMMYFUNCTION("IFERROR(GOOGLEFINANCE(B513, ""volume""), 0)"),58464)</f>
        <v>58464</v>
      </c>
      <c r="K513" s="6">
        <v>-0.16</v>
      </c>
      <c r="L513" s="6">
        <f ca="1">IFERROR(__xludf.DUMMYFUNCTION("IFERROR(GOOGLEFINANCE(B513,""changepct""),K513)"),2.91)</f>
        <v>2.91</v>
      </c>
      <c r="M513" s="6">
        <f ca="1">IFERROR(__xludf.DUMMYFUNCTION("IFERROR(GOOGLEFINANCE(B513,""change""),0)"),29.8)</f>
        <v>29.8</v>
      </c>
      <c r="N513" s="6">
        <v>2</v>
      </c>
      <c r="O513" s="7">
        <v>45536</v>
      </c>
      <c r="P513" s="6">
        <v>3847.16</v>
      </c>
      <c r="Q513" s="6">
        <v>13138.33</v>
      </c>
      <c r="R513" s="7">
        <v>45536</v>
      </c>
      <c r="S513" s="6">
        <v>9111.36</v>
      </c>
      <c r="T513" s="6">
        <v>309.91000000000003</v>
      </c>
      <c r="U513" s="7">
        <v>45536</v>
      </c>
      <c r="V513" s="6">
        <v>30.95</v>
      </c>
      <c r="W513" s="6">
        <f ca="1">IFERROR(__xludf.DUMMYFUNCTION("IFERROR(GOOGLEFINANCE(B513,""pe""),V513)"),16.34)</f>
        <v>16.34</v>
      </c>
      <c r="X513" s="6">
        <v>3.03</v>
      </c>
      <c r="Y513" s="6">
        <v>1.6</v>
      </c>
      <c r="Z513" s="6">
        <v>2</v>
      </c>
      <c r="AA513" s="8">
        <v>45352</v>
      </c>
      <c r="AB513" s="4">
        <v>0.66</v>
      </c>
      <c r="AC513" s="6">
        <v>7.79</v>
      </c>
      <c r="AD513" s="6">
        <v>10.06</v>
      </c>
      <c r="AE513" s="1">
        <v>0</v>
      </c>
      <c r="AF513" s="1">
        <f ca="1">IFERROR(__xludf.DUMMYFUNCTION("IFERROR(GOOGLEFINANCE(TRIM(F513)&amp;"":"" &amp; TRIM(B513),""high52""),AE513)"),1535.3)</f>
        <v>1535.3</v>
      </c>
      <c r="AG513" s="1">
        <v>0</v>
      </c>
      <c r="AH513" s="1">
        <f ca="1">IFERROR(__xludf.DUMMYFUNCTION("IFERROR(GOOGLEFINANCE(TRIM(F513)&amp;"":"" &amp; TRIM(B513),""low52""),AE513)"),910.25)</f>
        <v>910.25</v>
      </c>
      <c r="AI513" s="1">
        <f ca="1">IFERROR(__xludf.DUMMYFUNCTION("IFERROR(GOOGLEFINANCE(B513,""eps""),0)"),64.57)</f>
        <v>64.569999999999993</v>
      </c>
      <c r="AJ513" s="1"/>
      <c r="AK513" s="1" t="s">
        <v>1623</v>
      </c>
      <c r="AL513" s="1" t="b">
        <f t="shared" si="114"/>
        <v>1</v>
      </c>
    </row>
    <row r="514" spans="1:38" ht="15" x14ac:dyDescent="0.25">
      <c r="A514" s="1" t="s">
        <v>1624</v>
      </c>
      <c r="B514" s="1" t="s">
        <v>1625</v>
      </c>
      <c r="C514" s="1" t="s">
        <v>57</v>
      </c>
      <c r="D514" s="1" t="s">
        <v>57</v>
      </c>
      <c r="E514" s="6">
        <v>15621.03</v>
      </c>
      <c r="F514" s="1" t="s">
        <v>40</v>
      </c>
      <c r="G514" s="6">
        <f ca="1">IFERROR(__xludf.DUMMYFUNCTION("iferror(GOOGLEFINANCE(TRIM(F514)&amp;"":"" &amp; TRIM(B514), ""price""),0
)"),424)</f>
        <v>424</v>
      </c>
      <c r="H514" s="6">
        <v>556.85</v>
      </c>
      <c r="I514" s="6">
        <f t="shared" ca="1" si="0"/>
        <v>424</v>
      </c>
      <c r="J514" s="6">
        <f ca="1">IFERROR(__xludf.DUMMYFUNCTION("IFERROR(GOOGLEFINANCE(B514, ""volume""), 0)"),1271616)</f>
        <v>1271616</v>
      </c>
      <c r="K514" s="6">
        <v>-1.33</v>
      </c>
      <c r="L514" s="6">
        <f ca="1">IFERROR(__xludf.DUMMYFUNCTION("IFERROR(GOOGLEFINANCE(B514,""changepct""),K514)"),-0.18)</f>
        <v>-0.18</v>
      </c>
      <c r="M514" s="6">
        <f ca="1">IFERROR(__xludf.DUMMYFUNCTION("IFERROR(GOOGLEFINANCE(B514,""change""),0)"),-0.75)</f>
        <v>-0.75</v>
      </c>
      <c r="N514" s="6">
        <v>2</v>
      </c>
      <c r="O514" s="7">
        <v>45536</v>
      </c>
      <c r="P514" s="6">
        <v>9.8699999999999992</v>
      </c>
      <c r="Q514" s="6">
        <v>15213.98</v>
      </c>
      <c r="R514" s="7">
        <v>45536</v>
      </c>
      <c r="S514" s="6">
        <v>5401.15</v>
      </c>
      <c r="T514" s="6">
        <v>618.85</v>
      </c>
      <c r="U514" s="7">
        <v>45536</v>
      </c>
      <c r="V514" s="6">
        <v>25.24</v>
      </c>
      <c r="W514" s="6">
        <f ca="1">IFERROR(__xludf.DUMMYFUNCTION("IFERROR(GOOGLEFINANCE(B514,""pe""),V514)"),7.19)</f>
        <v>7.19</v>
      </c>
      <c r="X514" s="6">
        <v>1.42</v>
      </c>
      <c r="Y514" s="6">
        <v>4.8099999999999996</v>
      </c>
      <c r="Z514" s="6">
        <v>2</v>
      </c>
      <c r="AA514" s="8">
        <v>45352</v>
      </c>
      <c r="AB514" s="4">
        <v>0</v>
      </c>
      <c r="AC514" s="6">
        <v>23.27</v>
      </c>
      <c r="AD514" s="6">
        <v>31.12</v>
      </c>
      <c r="AE514" s="1">
        <v>0</v>
      </c>
      <c r="AF514" s="1">
        <f ca="1">IFERROR(__xludf.DUMMYFUNCTION("IFERROR(GOOGLEFINANCE(TRIM(F514)&amp;"":"" &amp; TRIM(B514),""high52""),AE514)"),541.4)</f>
        <v>541.4</v>
      </c>
      <c r="AG514" s="1">
        <v>0</v>
      </c>
      <c r="AH514" s="1">
        <f ca="1">IFERROR(__xludf.DUMMYFUNCTION("IFERROR(GOOGLEFINANCE(TRIM(F514)&amp;"":"" &amp; TRIM(B514),""low52""),AE514)"),331)</f>
        <v>331</v>
      </c>
      <c r="AI514" s="1">
        <f ca="1">IFERROR(__xludf.DUMMYFUNCTION("IFERROR(GOOGLEFINANCE(B514,""eps""),0)"),15.01)</f>
        <v>15.01</v>
      </c>
      <c r="AJ514" s="1"/>
      <c r="AK514" s="9"/>
      <c r="AL514" s="9">
        <f t="shared" ref="AL514:AL521" si="115">IF(AA514&lt;&gt;AB514,1,0)</f>
        <v>1</v>
      </c>
    </row>
    <row r="515" spans="1:38" ht="15" x14ac:dyDescent="0.25">
      <c r="A515" s="1" t="s">
        <v>1626</v>
      </c>
      <c r="B515" s="1" t="s">
        <v>1627</v>
      </c>
      <c r="C515" s="1" t="s">
        <v>416</v>
      </c>
      <c r="D515" s="1" t="s">
        <v>416</v>
      </c>
      <c r="E515" s="6">
        <v>11.93</v>
      </c>
      <c r="F515" s="1" t="s">
        <v>40</v>
      </c>
      <c r="G515" s="6">
        <f ca="1">IFERROR(__xludf.DUMMYFUNCTION("iferror(GOOGLEFINANCE(TRIM(F515)&amp;"":"" &amp; TRIM(B515), ""price""),0
)"),0)</f>
        <v>0</v>
      </c>
      <c r="H515" s="6">
        <v>1.8</v>
      </c>
      <c r="I515" s="6">
        <f t="shared" ca="1" si="0"/>
        <v>1.8</v>
      </c>
      <c r="J515" s="6">
        <f ca="1">IFERROR(__xludf.DUMMYFUNCTION("IFERROR(GOOGLEFINANCE(B515, ""volume""), 0)"),0)</f>
        <v>0</v>
      </c>
      <c r="K515" s="9"/>
      <c r="L515" s="6" t="str">
        <f ca="1">IFERROR(__xludf.DUMMYFUNCTION("IFERROR(GOOGLEFINANCE(B515,""changepct""),K515)"),"")</f>
        <v/>
      </c>
      <c r="M515" s="6">
        <f ca="1">IFERROR(__xludf.DUMMYFUNCTION("IFERROR(GOOGLEFINANCE(B515,""change""),0)"),0)</f>
        <v>0</v>
      </c>
      <c r="N515" s="6">
        <v>2</v>
      </c>
      <c r="O515" s="7">
        <v>45536</v>
      </c>
      <c r="P515" s="9"/>
      <c r="Q515" s="6">
        <v>11.93</v>
      </c>
      <c r="R515" s="7">
        <v>45536</v>
      </c>
      <c r="S515" s="6">
        <v>0.99</v>
      </c>
      <c r="T515" s="6">
        <v>-7.25</v>
      </c>
      <c r="U515" s="7">
        <v>45536</v>
      </c>
      <c r="V515" s="6">
        <v>0</v>
      </c>
      <c r="W515" s="6">
        <f ca="1">IFERROR(__xludf.DUMMYFUNCTION("IFERROR(GOOGLEFINANCE(B515,""pe""),V515)"),0)</f>
        <v>0</v>
      </c>
      <c r="X515" s="6">
        <v>0</v>
      </c>
      <c r="Y515" s="6">
        <v>0.11</v>
      </c>
      <c r="Z515" s="6">
        <v>1</v>
      </c>
      <c r="AA515" s="8">
        <v>43891</v>
      </c>
      <c r="AB515" s="4">
        <v>5.07</v>
      </c>
      <c r="AC515" s="6">
        <v>-71.489999999999995</v>
      </c>
      <c r="AD515" s="6">
        <v>-16.309999999999999</v>
      </c>
      <c r="AE515" s="1">
        <v>0</v>
      </c>
      <c r="AF515" s="1">
        <f ca="1">IFERROR(__xludf.DUMMYFUNCTION("IFERROR(GOOGLEFINANCE(TRIM(F515)&amp;"":"" &amp; TRIM(B515),""high52""),AE515)"),0)</f>
        <v>0</v>
      </c>
      <c r="AG515" s="1">
        <v>0</v>
      </c>
      <c r="AH515" s="1">
        <f ca="1">IFERROR(__xludf.DUMMYFUNCTION("IFERROR(GOOGLEFINANCE(TRIM(F515)&amp;"":"" &amp; TRIM(B515),""low52""),AE515)"),0)</f>
        <v>0</v>
      </c>
      <c r="AI515" s="1">
        <f ca="1">IFERROR(__xludf.DUMMYFUNCTION("IFERROR(GOOGLEFINANCE(B515,""eps""),0)"),0)</f>
        <v>0</v>
      </c>
      <c r="AJ515" s="1"/>
      <c r="AK515" s="1" t="s">
        <v>1628</v>
      </c>
      <c r="AL515" s="9">
        <f t="shared" si="115"/>
        <v>1</v>
      </c>
    </row>
    <row r="516" spans="1:38" ht="15" x14ac:dyDescent="0.25">
      <c r="A516" s="1" t="s">
        <v>1629</v>
      </c>
      <c r="B516" s="1" t="s">
        <v>1630</v>
      </c>
      <c r="C516" s="1" t="s">
        <v>1129</v>
      </c>
      <c r="D516" s="1" t="s">
        <v>1129</v>
      </c>
      <c r="E516" s="6">
        <v>11418.93</v>
      </c>
      <c r="F516" s="1" t="s">
        <v>40</v>
      </c>
      <c r="G516" s="6">
        <f ca="1">IFERROR(__xludf.DUMMYFUNCTION("iferror(GOOGLEFINANCE(TRIM(F516)&amp;"":"" &amp; TRIM(B516), ""price""),0
)"),522)</f>
        <v>522</v>
      </c>
      <c r="H516" s="6">
        <v>667.5</v>
      </c>
      <c r="I516" s="6">
        <f t="shared" ca="1" si="0"/>
        <v>522</v>
      </c>
      <c r="J516" s="6">
        <f ca="1">IFERROR(__xludf.DUMMYFUNCTION("IFERROR(GOOGLEFINANCE(B516, ""volume""), 0)"),551149)</f>
        <v>551149</v>
      </c>
      <c r="K516" s="6">
        <v>-1.1499999999999999</v>
      </c>
      <c r="L516" s="6">
        <f ca="1">IFERROR(__xludf.DUMMYFUNCTION("IFERROR(GOOGLEFINANCE(B516,""changepct""),K516)"),-0.3)</f>
        <v>-0.3</v>
      </c>
      <c r="M516" s="6">
        <f ca="1">IFERROR(__xludf.DUMMYFUNCTION("IFERROR(GOOGLEFINANCE(B516,""change""),0)"),-0.5)</f>
        <v>-0.5</v>
      </c>
      <c r="N516" s="6">
        <v>2</v>
      </c>
      <c r="O516" s="7">
        <v>45536</v>
      </c>
      <c r="P516" s="6">
        <v>414.6</v>
      </c>
      <c r="Q516" s="6">
        <v>11542.72</v>
      </c>
      <c r="R516" s="7">
        <v>45536</v>
      </c>
      <c r="S516" s="6">
        <v>6056.43</v>
      </c>
      <c r="T516" s="6">
        <v>169.11</v>
      </c>
      <c r="U516" s="7">
        <v>45536</v>
      </c>
      <c r="V516" s="6">
        <v>67.17</v>
      </c>
      <c r="W516" s="6">
        <f ca="1">IFERROR(__xludf.DUMMYFUNCTION("IFERROR(GOOGLEFINANCE(B516,""pe""),V516)"),9.62)</f>
        <v>9.6199999999999992</v>
      </c>
      <c r="X516" s="6">
        <v>0.69</v>
      </c>
      <c r="Y516" s="6">
        <v>16.73</v>
      </c>
      <c r="Z516" s="6">
        <v>2</v>
      </c>
      <c r="AA516" s="8">
        <v>45352</v>
      </c>
      <c r="AB516" s="4">
        <v>0.83</v>
      </c>
      <c r="AC516" s="6">
        <v>35.549999999999997</v>
      </c>
      <c r="AD516" s="6">
        <v>39</v>
      </c>
      <c r="AE516" s="1">
        <v>0</v>
      </c>
      <c r="AF516" s="1">
        <f ca="1">IFERROR(__xludf.DUMMYFUNCTION("IFERROR(GOOGLEFINANCE(TRIM(F516)&amp;"":"" &amp; TRIM(B516),""high52""),AE516)"),613.8)</f>
        <v>613.79999999999995</v>
      </c>
      <c r="AG516" s="1">
        <v>0</v>
      </c>
      <c r="AH516" s="1">
        <f ca="1">IFERROR(__xludf.DUMMYFUNCTION("IFERROR(GOOGLEFINANCE(TRIM(F516)&amp;"":"" &amp; TRIM(B516),""low52""),AE516)"),320.85)</f>
        <v>320.85000000000002</v>
      </c>
      <c r="AI516" s="1">
        <f ca="1">IFERROR(__xludf.DUMMYFUNCTION("IFERROR(GOOGLEFINANCE(B516,""eps""),0)"),0.17)</f>
        <v>0.17</v>
      </c>
      <c r="AJ516" s="1"/>
      <c r="AK516" s="1" t="s">
        <v>1631</v>
      </c>
      <c r="AL516" s="9">
        <f t="shared" si="115"/>
        <v>1</v>
      </c>
    </row>
    <row r="517" spans="1:38" ht="15" x14ac:dyDescent="0.25">
      <c r="A517" s="1" t="s">
        <v>1632</v>
      </c>
      <c r="B517" s="1" t="s">
        <v>1633</v>
      </c>
      <c r="C517" s="1" t="s">
        <v>75</v>
      </c>
      <c r="D517" s="1" t="s">
        <v>75</v>
      </c>
      <c r="E517" s="6">
        <v>103.72</v>
      </c>
      <c r="F517" s="1" t="s">
        <v>40</v>
      </c>
      <c r="G517" s="6">
        <f ca="1">IFERROR(__xludf.DUMMYFUNCTION("iferror(GOOGLEFINANCE(TRIM(F517)&amp;"":"" &amp; TRIM(B517), ""price""),0
)"),14.22)</f>
        <v>14.22</v>
      </c>
      <c r="H517" s="6">
        <v>19.61</v>
      </c>
      <c r="I517" s="6">
        <f t="shared" ca="1" si="0"/>
        <v>14.22</v>
      </c>
      <c r="J517" s="6">
        <f ca="1">IFERROR(__xludf.DUMMYFUNCTION("IFERROR(GOOGLEFINANCE(B517, ""volume""), 0)"),203359)</f>
        <v>203359</v>
      </c>
      <c r="K517" s="6">
        <v>-0.05</v>
      </c>
      <c r="L517" s="6">
        <f ca="1">IFERROR(__xludf.DUMMYFUNCTION("IFERROR(GOOGLEFINANCE(B517,""changepct""),K517)"),0.78)</f>
        <v>0.78</v>
      </c>
      <c r="M517" s="6">
        <f ca="1">IFERROR(__xludf.DUMMYFUNCTION("IFERROR(GOOGLEFINANCE(B517,""change""),0)"),0.11)</f>
        <v>0.11</v>
      </c>
      <c r="N517" s="6">
        <v>1</v>
      </c>
      <c r="O517" s="7">
        <v>45536</v>
      </c>
      <c r="P517" s="6">
        <v>10.9</v>
      </c>
      <c r="Q517" s="7">
        <v>45536</v>
      </c>
      <c r="R517" s="6">
        <v>9.52</v>
      </c>
      <c r="S517" s="6">
        <v>0.44</v>
      </c>
      <c r="T517" s="6">
        <v>0.96</v>
      </c>
      <c r="U517" s="6">
        <v>1</v>
      </c>
      <c r="V517" s="7">
        <v>45352</v>
      </c>
      <c r="W517" s="6">
        <f ca="1">IFERROR(__xludf.DUMMYFUNCTION("IFERROR(GOOGLEFINANCE(B517,""pe""),V517)"),2.9)</f>
        <v>2.9</v>
      </c>
      <c r="X517" s="6">
        <v>0</v>
      </c>
      <c r="Y517" s="6">
        <v>2.75</v>
      </c>
      <c r="Z517" s="6">
        <v>4.87</v>
      </c>
      <c r="AA517" s="3" t="s">
        <v>1634</v>
      </c>
      <c r="AB517" s="3"/>
      <c r="AC517" s="9"/>
      <c r="AD517" s="9"/>
      <c r="AE517" s="1">
        <v>0</v>
      </c>
      <c r="AF517" s="1">
        <f ca="1">IFERROR(__xludf.DUMMYFUNCTION("IFERROR(GOOGLEFINANCE(TRIM(F517)&amp;"":"" &amp; TRIM(B517),""high52""),AE517)"),20.64)</f>
        <v>20.64</v>
      </c>
      <c r="AG517" s="1">
        <v>0</v>
      </c>
      <c r="AH517" s="1">
        <f ca="1">IFERROR(__xludf.DUMMYFUNCTION("IFERROR(GOOGLEFINANCE(TRIM(F517)&amp;"":"" &amp; TRIM(B517),""low52""),AE517)"),12)</f>
        <v>12</v>
      </c>
      <c r="AI517" s="1">
        <f ca="1">IFERROR(__xludf.DUMMYFUNCTION("IFERROR(GOOGLEFINANCE(B517,""eps""),0)"),4.91)</f>
        <v>4.91</v>
      </c>
      <c r="AJ517" s="1"/>
      <c r="AK517" s="1" t="s">
        <v>1635</v>
      </c>
      <c r="AL517" s="9">
        <f t="shared" si="115"/>
        <v>1</v>
      </c>
    </row>
    <row r="518" spans="1:38" ht="15" x14ac:dyDescent="0.25">
      <c r="A518" s="1" t="s">
        <v>1636</v>
      </c>
      <c r="B518" s="1" t="s">
        <v>1637</v>
      </c>
      <c r="C518" s="1" t="s">
        <v>106</v>
      </c>
      <c r="D518" s="1" t="s">
        <v>106</v>
      </c>
      <c r="E518" s="6">
        <v>1840.22</v>
      </c>
      <c r="F518" s="1" t="s">
        <v>40</v>
      </c>
      <c r="G518" s="6">
        <f ca="1">IFERROR(__xludf.DUMMYFUNCTION("iferror(GOOGLEFINANCE(TRIM(F518)&amp;"":"" &amp; TRIM(B518), ""price""),0
)"),171.9)</f>
        <v>171.9</v>
      </c>
      <c r="H518" s="6">
        <v>181.35</v>
      </c>
      <c r="I518" s="6">
        <f t="shared" ca="1" si="0"/>
        <v>171.9</v>
      </c>
      <c r="J518" s="6">
        <f ca="1">IFERROR(__xludf.DUMMYFUNCTION("IFERROR(GOOGLEFINANCE(B518, ""volume""), 0)"),900462)</f>
        <v>900462</v>
      </c>
      <c r="K518" s="6">
        <v>3.39</v>
      </c>
      <c r="L518" s="6">
        <f ca="1">IFERROR(__xludf.DUMMYFUNCTION("IFERROR(GOOGLEFINANCE(B518,""changepct""),K518)"),0.82)</f>
        <v>0.82</v>
      </c>
      <c r="M518" s="6">
        <f ca="1">IFERROR(__xludf.DUMMYFUNCTION("IFERROR(GOOGLEFINANCE(B518,""change""),0)"),1.4)</f>
        <v>1.4</v>
      </c>
      <c r="N518" s="6">
        <v>2</v>
      </c>
      <c r="O518" s="7">
        <v>45536</v>
      </c>
      <c r="P518" s="6">
        <v>83.29</v>
      </c>
      <c r="Q518" s="6">
        <v>1703.67</v>
      </c>
      <c r="R518" s="7">
        <v>45536</v>
      </c>
      <c r="S518" s="6">
        <v>800.17</v>
      </c>
      <c r="T518" s="6">
        <v>71.959999999999994</v>
      </c>
      <c r="U518" s="7">
        <v>45536</v>
      </c>
      <c r="V518" s="6">
        <v>29.02</v>
      </c>
      <c r="W518" s="6">
        <f ca="1">IFERROR(__xludf.DUMMYFUNCTION("IFERROR(GOOGLEFINANCE(B518,""pe""),V518)"),16.67)</f>
        <v>16.670000000000002</v>
      </c>
      <c r="X518" s="6">
        <v>-5.83</v>
      </c>
      <c r="Y518" s="6">
        <v>1.82</v>
      </c>
      <c r="Z518" s="6">
        <v>2</v>
      </c>
      <c r="AA518" s="8">
        <v>45352</v>
      </c>
      <c r="AB518" s="4">
        <v>0.09</v>
      </c>
      <c r="AC518" s="6">
        <v>8.89</v>
      </c>
      <c r="AD518" s="6">
        <v>12.15</v>
      </c>
      <c r="AE518" s="1">
        <v>0</v>
      </c>
      <c r="AF518" s="1">
        <f ca="1">IFERROR(__xludf.DUMMYFUNCTION("IFERROR(GOOGLEFINANCE(TRIM(F518)&amp;"":"" &amp; TRIM(B518),""high52""),AE518)"),195.8)</f>
        <v>195.8</v>
      </c>
      <c r="AG518" s="1">
        <v>0</v>
      </c>
      <c r="AH518" s="1">
        <f ca="1">IFERROR(__xludf.DUMMYFUNCTION("IFERROR(GOOGLEFINANCE(TRIM(F518)&amp;"":"" &amp; TRIM(B518),""low52""),AE518)"),108.12)</f>
        <v>108.12</v>
      </c>
      <c r="AI518" s="1">
        <f ca="1">IFERROR(__xludf.DUMMYFUNCTION("IFERROR(GOOGLEFINANCE(B518,""eps""),0)"),10.31)</f>
        <v>10.31</v>
      </c>
      <c r="AJ518" s="1"/>
      <c r="AK518" s="1" t="s">
        <v>1638</v>
      </c>
      <c r="AL518" s="9">
        <f t="shared" si="115"/>
        <v>1</v>
      </c>
    </row>
    <row r="519" spans="1:38" ht="15" x14ac:dyDescent="0.25">
      <c r="A519" s="1" t="s">
        <v>1639</v>
      </c>
      <c r="B519" s="1" t="s">
        <v>1640</v>
      </c>
      <c r="C519" s="1" t="s">
        <v>159</v>
      </c>
      <c r="D519" s="1" t="s">
        <v>159</v>
      </c>
      <c r="E519" s="6">
        <v>1889.36</v>
      </c>
      <c r="F519" s="1" t="s">
        <v>40</v>
      </c>
      <c r="G519" s="6">
        <f ca="1">IFERROR(__xludf.DUMMYFUNCTION("iferror(GOOGLEFINANCE(TRIM(F519)&amp;"":"" &amp; TRIM(B519), ""price""),0
)"),162)</f>
        <v>162</v>
      </c>
      <c r="H519" s="6">
        <v>210.01</v>
      </c>
      <c r="I519" s="6">
        <f t="shared" ca="1" si="0"/>
        <v>162</v>
      </c>
      <c r="J519" s="6">
        <f ca="1">IFERROR(__xludf.DUMMYFUNCTION("IFERROR(GOOGLEFINANCE(B519, ""volume""), 0)"),136334)</f>
        <v>136334</v>
      </c>
      <c r="K519" s="6">
        <v>0.89</v>
      </c>
      <c r="L519" s="6">
        <f ca="1">IFERROR(__xludf.DUMMYFUNCTION("IFERROR(GOOGLEFINANCE(B519,""changepct""),K519)"),1.44)</f>
        <v>1.44</v>
      </c>
      <c r="M519" s="6">
        <f ca="1">IFERROR(__xludf.DUMMYFUNCTION("IFERROR(GOOGLEFINANCE(B519,""change""),0)"),2.3)</f>
        <v>2.2999999999999998</v>
      </c>
      <c r="N519" s="6">
        <v>2</v>
      </c>
      <c r="O519" s="7">
        <v>45536</v>
      </c>
      <c r="P519" s="9"/>
      <c r="Q519" s="6">
        <v>1555.53</v>
      </c>
      <c r="R519" s="7">
        <v>45536</v>
      </c>
      <c r="S519" s="6">
        <v>297.81</v>
      </c>
      <c r="T519" s="6">
        <v>46.35</v>
      </c>
      <c r="U519" s="7">
        <v>45536</v>
      </c>
      <c r="V519" s="6">
        <v>42.87</v>
      </c>
      <c r="W519" s="6">
        <f ca="1">IFERROR(__xludf.DUMMYFUNCTION("IFERROR(GOOGLEFINANCE(B519,""pe""),V519)"),26.06)</f>
        <v>26.06</v>
      </c>
      <c r="X519" s="9"/>
      <c r="Y519" s="6">
        <v>4.13</v>
      </c>
      <c r="Z519" s="6">
        <v>2</v>
      </c>
      <c r="AA519" s="8">
        <v>45352</v>
      </c>
      <c r="AB519" s="4">
        <v>0</v>
      </c>
      <c r="AC519" s="6">
        <v>12.47</v>
      </c>
      <c r="AD519" s="6">
        <v>17.329999999999998</v>
      </c>
      <c r="AE519" s="1">
        <v>0</v>
      </c>
      <c r="AF519" s="1">
        <f ca="1">IFERROR(__xludf.DUMMYFUNCTION("IFERROR(GOOGLEFINANCE(TRIM(F519)&amp;"":"" &amp; TRIM(B519),""high52""),AE519)"),232.5)</f>
        <v>232.5</v>
      </c>
      <c r="AG519" s="1">
        <v>0</v>
      </c>
      <c r="AH519" s="1">
        <f ca="1">IFERROR(__xludf.DUMMYFUNCTION("IFERROR(GOOGLEFINANCE(TRIM(F519)&amp;"":"" &amp; TRIM(B519),""low52""),AE519)"),131.31)</f>
        <v>131.31</v>
      </c>
      <c r="AI519" s="1">
        <f ca="1">IFERROR(__xludf.DUMMYFUNCTION("IFERROR(GOOGLEFINANCE(B519,""eps""),0)"),6.22)</f>
        <v>6.22</v>
      </c>
      <c r="AJ519" s="1"/>
      <c r="AK519" s="1" t="s">
        <v>1641</v>
      </c>
      <c r="AL519" s="9">
        <f t="shared" si="115"/>
        <v>1</v>
      </c>
    </row>
    <row r="520" spans="1:38" ht="15" x14ac:dyDescent="0.25">
      <c r="A520" s="1" t="s">
        <v>1642</v>
      </c>
      <c r="B520" s="1" t="s">
        <v>1643</v>
      </c>
      <c r="C520" s="1" t="s">
        <v>1644</v>
      </c>
      <c r="D520" s="1" t="s">
        <v>1644</v>
      </c>
      <c r="E520" s="6">
        <v>20523.23</v>
      </c>
      <c r="F520" s="1" t="s">
        <v>40</v>
      </c>
      <c r="G520" s="6">
        <f ca="1">IFERROR(__xludf.DUMMYFUNCTION("iferror(GOOGLEFINANCE(TRIM(F520)&amp;"":"" &amp; TRIM(B520), ""price""),0
)"),255.35)</f>
        <v>255.35</v>
      </c>
      <c r="H520" s="6">
        <v>502.2</v>
      </c>
      <c r="I520" s="6">
        <f t="shared" ca="1" si="0"/>
        <v>255.35</v>
      </c>
      <c r="J520" s="6">
        <f ca="1">IFERROR(__xludf.DUMMYFUNCTION("IFERROR(GOOGLEFINANCE(B520, ""volume""), 0)"),1199385)</f>
        <v>1199385</v>
      </c>
      <c r="K520" s="6">
        <v>0.72</v>
      </c>
      <c r="L520" s="6">
        <f ca="1">IFERROR(__xludf.DUMMYFUNCTION("IFERROR(GOOGLEFINANCE(B520,""changepct""),K520)"),-2.74)</f>
        <v>-2.74</v>
      </c>
      <c r="M520" s="6">
        <f ca="1">IFERROR(__xludf.DUMMYFUNCTION("IFERROR(GOOGLEFINANCE(B520,""change""),0)"),-7.2)</f>
        <v>-7.2</v>
      </c>
      <c r="N520" s="6">
        <v>2</v>
      </c>
      <c r="O520" s="7">
        <v>45536</v>
      </c>
      <c r="P520" s="6">
        <v>254.94</v>
      </c>
      <c r="Q520" s="6">
        <v>19766.09</v>
      </c>
      <c r="R520" s="7">
        <v>45536</v>
      </c>
      <c r="S520" s="6">
        <v>1873.27</v>
      </c>
      <c r="T520" s="6">
        <v>439.15</v>
      </c>
      <c r="U520" s="7">
        <v>45536</v>
      </c>
      <c r="V520" s="6">
        <v>49.13</v>
      </c>
      <c r="W520" s="6">
        <f ca="1">IFERROR(__xludf.DUMMYFUNCTION("IFERROR(GOOGLEFINANCE(B520,""pe""),V520)"),17.47)</f>
        <v>17.47</v>
      </c>
      <c r="X520" s="6">
        <v>2.02</v>
      </c>
      <c r="Y520" s="6">
        <v>14.37</v>
      </c>
      <c r="Z520" s="6">
        <v>2</v>
      </c>
      <c r="AA520" s="8">
        <v>45352</v>
      </c>
      <c r="AB520" s="4">
        <v>0</v>
      </c>
      <c r="AC520" s="6">
        <v>32.44</v>
      </c>
      <c r="AD520" s="6">
        <v>35.78</v>
      </c>
      <c r="AE520" s="1">
        <v>0</v>
      </c>
      <c r="AF520" s="1">
        <f ca="1">IFERROR(__xludf.DUMMYFUNCTION("IFERROR(GOOGLEFINANCE(TRIM(F520)&amp;"":"" &amp; TRIM(B520),""high52""),AE520)"),457.95)</f>
        <v>457.95</v>
      </c>
      <c r="AG520" s="1">
        <v>0</v>
      </c>
      <c r="AH520" s="1">
        <f ca="1">IFERROR(__xludf.DUMMYFUNCTION("IFERROR(GOOGLEFINANCE(TRIM(F520)&amp;"":"" &amp; TRIM(B520),""low52""),AE520)"),245.95)</f>
        <v>245.95</v>
      </c>
      <c r="AI520" s="1">
        <f ca="1">IFERROR(__xludf.DUMMYFUNCTION("IFERROR(GOOGLEFINANCE(B520,""eps""),0)"),14.61)</f>
        <v>14.61</v>
      </c>
      <c r="AJ520" s="1"/>
      <c r="AK520" s="1" t="s">
        <v>1645</v>
      </c>
      <c r="AL520" s="9">
        <f t="shared" si="115"/>
        <v>1</v>
      </c>
    </row>
    <row r="521" spans="1:38" ht="15" x14ac:dyDescent="0.25">
      <c r="A521" s="1" t="s">
        <v>1646</v>
      </c>
      <c r="B521" s="1" t="s">
        <v>1647</v>
      </c>
      <c r="C521" s="1" t="s">
        <v>43</v>
      </c>
      <c r="D521" s="1" t="s">
        <v>43</v>
      </c>
      <c r="E521" s="6">
        <v>51.1</v>
      </c>
      <c r="F521" s="1" t="s">
        <v>40</v>
      </c>
      <c r="G521" s="6">
        <f ca="1">IFERROR(__xludf.DUMMYFUNCTION("iferror(GOOGLEFINANCE(TRIM(F521)&amp;"":"" &amp; TRIM(B521), ""price""),0
)"),2.31)</f>
        <v>2.31</v>
      </c>
      <c r="H521" s="6">
        <v>9.52</v>
      </c>
      <c r="I521" s="6">
        <f t="shared" ca="1" si="0"/>
        <v>2.31</v>
      </c>
      <c r="J521" s="6">
        <f ca="1">IFERROR(__xludf.DUMMYFUNCTION("IFERROR(GOOGLEFINANCE(B521, ""volume""), 0)"),6704)</f>
        <v>6704</v>
      </c>
      <c r="K521" s="6">
        <v>1.93</v>
      </c>
      <c r="L521" s="6">
        <f ca="1">IFERROR(__xludf.DUMMYFUNCTION("IFERROR(GOOGLEFINANCE(B521,""changepct""),K521)"),-1.7)</f>
        <v>-1.7</v>
      </c>
      <c r="M521" s="6">
        <f ca="1">IFERROR(__xludf.DUMMYFUNCTION("IFERROR(GOOGLEFINANCE(B521,""change""),0)"),-0.04)</f>
        <v>-0.04</v>
      </c>
      <c r="N521" s="6">
        <v>1</v>
      </c>
      <c r="O521" s="7">
        <v>45536</v>
      </c>
      <c r="P521" s="6">
        <v>-0.04</v>
      </c>
      <c r="Q521" s="7">
        <v>45536</v>
      </c>
      <c r="R521" s="6">
        <v>0</v>
      </c>
      <c r="S521" s="6">
        <v>0</v>
      </c>
      <c r="T521" s="6">
        <v>25.93</v>
      </c>
      <c r="U521" s="6">
        <v>1</v>
      </c>
      <c r="V521" s="7">
        <v>45352</v>
      </c>
      <c r="W521" s="10">
        <f ca="1">IFERROR(__xludf.DUMMYFUNCTION("IFERROR(GOOGLEFINANCE(B521,""pe""),V521)"),45352)</f>
        <v>45352</v>
      </c>
      <c r="X521" s="6">
        <v>0</v>
      </c>
      <c r="Y521" s="6">
        <v>-86.14</v>
      </c>
      <c r="Z521" s="6">
        <v>-86.11</v>
      </c>
      <c r="AA521" s="3" t="s">
        <v>1648</v>
      </c>
      <c r="AB521" s="3"/>
      <c r="AC521" s="9"/>
      <c r="AD521" s="9"/>
      <c r="AE521" s="1">
        <v>0</v>
      </c>
      <c r="AF521" s="1">
        <f ca="1">IFERROR(__xludf.DUMMYFUNCTION("IFERROR(GOOGLEFINANCE(TRIM(F521)&amp;"":"" &amp; TRIM(B521),""high52""),AE521)"),8.45)</f>
        <v>8.4499999999999993</v>
      </c>
      <c r="AG521" s="1">
        <v>0</v>
      </c>
      <c r="AH521" s="1">
        <f ca="1">IFERROR(__xludf.DUMMYFUNCTION("IFERROR(GOOGLEFINANCE(TRIM(F521)&amp;"":"" &amp; TRIM(B521),""low52""),AE521)"),2.31)</f>
        <v>2.31</v>
      </c>
      <c r="AI521" s="1">
        <f ca="1">IFERROR(__xludf.DUMMYFUNCTION("IFERROR(GOOGLEFINANCE(B521,""eps""),0)"),-0.51)</f>
        <v>-0.51</v>
      </c>
      <c r="AJ521" s="1"/>
      <c r="AK521" s="1" t="s">
        <v>1649</v>
      </c>
      <c r="AL521" s="9">
        <f t="shared" si="115"/>
        <v>1</v>
      </c>
    </row>
    <row r="522" spans="1:38" ht="15" x14ac:dyDescent="0.25">
      <c r="A522" s="1" t="s">
        <v>1650</v>
      </c>
      <c r="B522" s="1" t="s">
        <v>1651</v>
      </c>
      <c r="C522" s="1" t="s">
        <v>135</v>
      </c>
      <c r="D522" s="1" t="s">
        <v>135</v>
      </c>
      <c r="E522" s="6">
        <v>86.57</v>
      </c>
      <c r="F522" s="1" t="s">
        <v>53</v>
      </c>
      <c r="G522" s="6">
        <f ca="1">IFERROR(__xludf.DUMMYFUNCTION("iferror(GOOGLEFINANCE(TRIM(F522)&amp;"":"" &amp; TRIM(B522), ""price""),0
)"),0)</f>
        <v>0</v>
      </c>
      <c r="H522" s="6">
        <v>50.99</v>
      </c>
      <c r="I522" s="6">
        <f t="shared" ca="1" si="0"/>
        <v>50.99</v>
      </c>
      <c r="J522" s="6">
        <f ca="1">IFERROR(__xludf.DUMMYFUNCTION("IFERROR(GOOGLEFINANCE(B522, ""volume""), 0)"),0)</f>
        <v>0</v>
      </c>
      <c r="K522" s="9"/>
      <c r="L522" s="6" t="str">
        <f ca="1">IFERROR(__xludf.DUMMYFUNCTION("IFERROR(GOOGLEFINANCE(B522,""changepct""),K522)"),"")</f>
        <v/>
      </c>
      <c r="M522" s="6">
        <f ca="1">IFERROR(__xludf.DUMMYFUNCTION("IFERROR(GOOGLEFINANCE(B522,""change""),0)"),0)</f>
        <v>0</v>
      </c>
      <c r="N522" s="6">
        <v>1</v>
      </c>
      <c r="O522" s="7">
        <v>45536</v>
      </c>
      <c r="P522" s="6">
        <v>13.75</v>
      </c>
      <c r="Q522" s="6">
        <v>100.31</v>
      </c>
      <c r="R522" s="7">
        <v>45352</v>
      </c>
      <c r="S522" s="6">
        <v>136.34</v>
      </c>
      <c r="T522" s="6">
        <v>2</v>
      </c>
      <c r="U522" s="7">
        <v>45352</v>
      </c>
      <c r="V522" s="6">
        <v>43.14</v>
      </c>
      <c r="W522" s="6">
        <f ca="1">IFERROR(__xludf.DUMMYFUNCTION("IFERROR(GOOGLEFINANCE(B522,""pe""),V522)"),43.14)</f>
        <v>43.14</v>
      </c>
      <c r="X522" s="9"/>
      <c r="Y522" s="6">
        <v>2.4</v>
      </c>
      <c r="Z522" s="6">
        <v>2</v>
      </c>
      <c r="AA522" s="8">
        <v>45352</v>
      </c>
      <c r="AB522" s="4">
        <v>1.1299999999999999</v>
      </c>
      <c r="AC522" s="6">
        <v>8.34</v>
      </c>
      <c r="AD522" s="6">
        <v>9.44</v>
      </c>
      <c r="AE522" s="1">
        <v>0</v>
      </c>
      <c r="AF522" s="1">
        <f ca="1">IFERROR(__xludf.DUMMYFUNCTION("IFERROR(GOOGLEFINANCE(TRIM(F522)&amp;"":"" &amp; TRIM(B522),""high52""),AE522)"),0)</f>
        <v>0</v>
      </c>
      <c r="AG522" s="1">
        <v>0</v>
      </c>
      <c r="AH522" s="1">
        <f ca="1">IFERROR(__xludf.DUMMYFUNCTION("IFERROR(GOOGLEFINANCE(TRIM(F522)&amp;"":"" &amp; TRIM(B522),""low52""),AE522)"),0)</f>
        <v>0</v>
      </c>
      <c r="AI522" s="1">
        <f ca="1">IFERROR(__xludf.DUMMYFUNCTION("IFERROR(GOOGLEFINANCE(B522,""eps""),0)"),0)</f>
        <v>0</v>
      </c>
      <c r="AJ522" s="1"/>
      <c r="AK522" s="9"/>
      <c r="AL522" s="1" t="b">
        <f>ISBLANK(AB522)</f>
        <v>0</v>
      </c>
    </row>
    <row r="523" spans="1:38" ht="15" x14ac:dyDescent="0.25">
      <c r="A523" s="1" t="s">
        <v>1652</v>
      </c>
      <c r="B523" s="1" t="s">
        <v>1653</v>
      </c>
      <c r="C523" s="1" t="s">
        <v>410</v>
      </c>
      <c r="D523" s="1" t="s">
        <v>410</v>
      </c>
      <c r="E523" s="6">
        <v>35.880000000000003</v>
      </c>
      <c r="F523" s="1" t="s">
        <v>40</v>
      </c>
      <c r="G523" s="6">
        <f ca="1">IFERROR(__xludf.DUMMYFUNCTION("iferror(GOOGLEFINANCE(TRIM(F523)&amp;"":"" &amp; TRIM(B523), ""price""),0
)"),26.95)</f>
        <v>26.95</v>
      </c>
      <c r="H523" s="6">
        <v>19.05</v>
      </c>
      <c r="I523" s="6">
        <f t="shared" ca="1" si="0"/>
        <v>26.95</v>
      </c>
      <c r="J523" s="6">
        <f ca="1">IFERROR(__xludf.DUMMYFUNCTION("IFERROR(GOOGLEFINANCE(B523, ""volume""), 0)"),3430)</f>
        <v>3430</v>
      </c>
      <c r="K523" s="6">
        <v>4.96</v>
      </c>
      <c r="L523" s="6">
        <f ca="1">IFERROR(__xludf.DUMMYFUNCTION("IFERROR(GOOGLEFINANCE(B523,""changepct""),K523)"),3.65)</f>
        <v>3.65</v>
      </c>
      <c r="M523" s="6">
        <f ca="1">IFERROR(__xludf.DUMMYFUNCTION("IFERROR(GOOGLEFINANCE(B523,""change""),0)"),0.95)</f>
        <v>0.95</v>
      </c>
      <c r="N523" s="6">
        <v>2</v>
      </c>
      <c r="O523" s="7">
        <v>45536</v>
      </c>
      <c r="P523" s="6">
        <v>41.5</v>
      </c>
      <c r="Q523" s="6">
        <v>76.86</v>
      </c>
      <c r="R523" s="7">
        <v>45536</v>
      </c>
      <c r="S523" s="6">
        <v>0</v>
      </c>
      <c r="T523" s="6">
        <v>78.58</v>
      </c>
      <c r="U523" s="7">
        <v>45536</v>
      </c>
      <c r="V523" s="6">
        <v>0.46</v>
      </c>
      <c r="W523" s="6">
        <f ca="1">IFERROR(__xludf.DUMMYFUNCTION("IFERROR(GOOGLEFINANCE(B523,""pe""),V523)"),0.46)</f>
        <v>0.46</v>
      </c>
      <c r="X523" s="6">
        <v>0.03</v>
      </c>
      <c r="Y523" s="6">
        <v>-0.88</v>
      </c>
      <c r="Z523" s="6">
        <v>2</v>
      </c>
      <c r="AA523" s="8">
        <v>45352</v>
      </c>
      <c r="AB523" s="4">
        <v>-0.33</v>
      </c>
      <c r="AC523" s="6">
        <v>0</v>
      </c>
      <c r="AD523" s="6">
        <v>0</v>
      </c>
      <c r="AE523" s="1">
        <v>0</v>
      </c>
      <c r="AF523" s="1">
        <f ca="1">IFERROR(__xludf.DUMMYFUNCTION("IFERROR(GOOGLEFINANCE(TRIM(F523)&amp;"":"" &amp; TRIM(B523),""high52""),AE523)"),86.31)</f>
        <v>86.31</v>
      </c>
      <c r="AG523" s="1">
        <v>0</v>
      </c>
      <c r="AH523" s="1">
        <f ca="1">IFERROR(__xludf.DUMMYFUNCTION("IFERROR(GOOGLEFINANCE(TRIM(F523)&amp;"":"" &amp; TRIM(B523),""low52""),AE523)"),23.53)</f>
        <v>23.53</v>
      </c>
      <c r="AI523" s="1">
        <f ca="1">IFERROR(__xludf.DUMMYFUNCTION("IFERROR(GOOGLEFINANCE(B523,""eps""),0)"),-4.55)</f>
        <v>-4.55</v>
      </c>
      <c r="AJ523" s="1"/>
      <c r="AK523" s="9"/>
      <c r="AL523" s="9">
        <f t="shared" ref="AL523:AL526" si="116">IF(AA523&lt;&gt;AB523,1,0)</f>
        <v>1</v>
      </c>
    </row>
    <row r="524" spans="1:38" ht="15" x14ac:dyDescent="0.25">
      <c r="A524" s="1" t="s">
        <v>1654</v>
      </c>
      <c r="B524" s="1" t="s">
        <v>1655</v>
      </c>
      <c r="C524" s="1" t="s">
        <v>1656</v>
      </c>
      <c r="D524" s="1" t="s">
        <v>1656</v>
      </c>
      <c r="E524" s="6">
        <v>16340.6</v>
      </c>
      <c r="F524" s="1" t="s">
        <v>40</v>
      </c>
      <c r="G524" s="6">
        <f ca="1">IFERROR(__xludf.DUMMYFUNCTION("iferror(GOOGLEFINANCE(TRIM(F524)&amp;"":"" &amp; TRIM(B524), ""price""),0
)"),5491.5)</f>
        <v>5491.5</v>
      </c>
      <c r="H524" s="6">
        <v>6914.85</v>
      </c>
      <c r="I524" s="6">
        <f t="shared" ca="1" si="0"/>
        <v>5491.5</v>
      </c>
      <c r="J524" s="6">
        <f ca="1">IFERROR(__xludf.DUMMYFUNCTION("IFERROR(GOOGLEFINANCE(B524, ""volume""), 0)"),12455)</f>
        <v>12455</v>
      </c>
      <c r="K524" s="6">
        <v>0.44</v>
      </c>
      <c r="L524" s="6">
        <f ca="1">IFERROR(__xludf.DUMMYFUNCTION("IFERROR(GOOGLEFINANCE(B524,""changepct""),K524)"),-0.73)</f>
        <v>-0.73</v>
      </c>
      <c r="M524" s="6">
        <f ca="1">IFERROR(__xludf.DUMMYFUNCTION("IFERROR(GOOGLEFINANCE(B524,""change""),0)"),-40.5)</f>
        <v>-40.5</v>
      </c>
      <c r="N524" s="6">
        <v>2</v>
      </c>
      <c r="O524" s="7">
        <v>45536</v>
      </c>
      <c r="P524" s="6">
        <v>250</v>
      </c>
      <c r="Q524" s="6">
        <v>16462.7</v>
      </c>
      <c r="R524" s="7">
        <v>45536</v>
      </c>
      <c r="S524" s="6">
        <v>5496.97</v>
      </c>
      <c r="T524" s="6">
        <v>282.93</v>
      </c>
      <c r="U524" s="7">
        <v>45536</v>
      </c>
      <c r="V524" s="6">
        <v>57.75</v>
      </c>
      <c r="W524" s="6">
        <f ca="1">IFERROR(__xludf.DUMMYFUNCTION("IFERROR(GOOGLEFINANCE(B524,""pe""),V524)"),51.37)</f>
        <v>51.37</v>
      </c>
      <c r="X524" s="6">
        <v>2.11</v>
      </c>
      <c r="Y524" s="6">
        <v>11.47</v>
      </c>
      <c r="Z524" s="6">
        <v>2</v>
      </c>
      <c r="AA524" s="8">
        <v>45352</v>
      </c>
      <c r="AB524" s="4">
        <v>0.19</v>
      </c>
      <c r="AC524" s="6">
        <v>23.67</v>
      </c>
      <c r="AD524" s="6">
        <v>30.85</v>
      </c>
      <c r="AE524" s="1">
        <v>0</v>
      </c>
      <c r="AF524" s="1">
        <f ca="1">IFERROR(__xludf.DUMMYFUNCTION("IFERROR(GOOGLEFINANCE(TRIM(F524)&amp;"":"" &amp; TRIM(B524),""high52""),AE524)"),7225)</f>
        <v>7225</v>
      </c>
      <c r="AG524" s="1">
        <v>0</v>
      </c>
      <c r="AH524" s="1">
        <f ca="1">IFERROR(__xludf.DUMMYFUNCTION("IFERROR(GOOGLEFINANCE(TRIM(F524)&amp;"":"" &amp; TRIM(B524),""low52""),AE524)"),5190.5)</f>
        <v>5190.5</v>
      </c>
      <c r="AI524" s="1">
        <f ca="1">IFERROR(__xludf.DUMMYFUNCTION("IFERROR(GOOGLEFINANCE(B524,""eps""),0)"),106.91)</f>
        <v>106.91</v>
      </c>
      <c r="AJ524" s="1"/>
      <c r="AK524" s="1" t="s">
        <v>1657</v>
      </c>
      <c r="AL524" s="9">
        <f t="shared" si="116"/>
        <v>1</v>
      </c>
    </row>
    <row r="525" spans="1:38" ht="15" x14ac:dyDescent="0.25">
      <c r="A525" s="1" t="s">
        <v>1658</v>
      </c>
      <c r="B525" s="1" t="s">
        <v>1659</v>
      </c>
      <c r="C525" s="1" t="s">
        <v>106</v>
      </c>
      <c r="D525" s="1" t="s">
        <v>106</v>
      </c>
      <c r="E525" s="6">
        <v>10160.74</v>
      </c>
      <c r="F525" s="1" t="s">
        <v>40</v>
      </c>
      <c r="G525" s="6">
        <f ca="1">IFERROR(__xludf.DUMMYFUNCTION("iferror(GOOGLEFINANCE(TRIM(F525)&amp;"":"" &amp; TRIM(B525), ""price""),0
)"),408.2)</f>
        <v>408.2</v>
      </c>
      <c r="H525" s="6">
        <v>580</v>
      </c>
      <c r="I525" s="6">
        <f t="shared" ca="1" si="0"/>
        <v>408.2</v>
      </c>
      <c r="J525" s="6">
        <f ca="1">IFERROR(__xludf.DUMMYFUNCTION("IFERROR(GOOGLEFINANCE(B525, ""volume""), 0)"),285609)</f>
        <v>285609</v>
      </c>
      <c r="K525" s="6">
        <v>-1.1000000000000001</v>
      </c>
      <c r="L525" s="6">
        <f ca="1">IFERROR(__xludf.DUMMYFUNCTION("IFERROR(GOOGLEFINANCE(B525,""changepct""),K525)"),-0.45)</f>
        <v>-0.45</v>
      </c>
      <c r="M525" s="6">
        <f ca="1">IFERROR(__xludf.DUMMYFUNCTION("IFERROR(GOOGLEFINANCE(B525,""change""),0)"),-1.85)</f>
        <v>-1.85</v>
      </c>
      <c r="N525" s="6">
        <v>1</v>
      </c>
      <c r="O525" s="7">
        <v>45536</v>
      </c>
      <c r="P525" s="9"/>
      <c r="Q525" s="6">
        <v>10074.75</v>
      </c>
      <c r="R525" s="7">
        <v>45536</v>
      </c>
      <c r="S525" s="6">
        <v>721.86</v>
      </c>
      <c r="T525" s="6">
        <v>167.89</v>
      </c>
      <c r="U525" s="7">
        <v>45536</v>
      </c>
      <c r="V525" s="6">
        <v>60.52</v>
      </c>
      <c r="W525" s="6">
        <f ca="1">IFERROR(__xludf.DUMMYFUNCTION("IFERROR(GOOGLEFINANCE(B525,""pe""),V525)"),20.09)</f>
        <v>20.09</v>
      </c>
      <c r="X525" s="9"/>
      <c r="Y525" s="6">
        <v>11</v>
      </c>
      <c r="Z525" s="6">
        <v>1</v>
      </c>
      <c r="AA525" s="8">
        <v>45352</v>
      </c>
      <c r="AB525" s="4">
        <v>0</v>
      </c>
      <c r="AC525" s="6">
        <v>21.45</v>
      </c>
      <c r="AD525" s="6">
        <v>28.85</v>
      </c>
      <c r="AE525" s="1">
        <v>0</v>
      </c>
      <c r="AF525" s="1">
        <f ca="1">IFERROR(__xludf.DUMMYFUNCTION("IFERROR(GOOGLEFINANCE(TRIM(F525)&amp;"":"" &amp; TRIM(B525),""high52""),AE525)"),1027.8)</f>
        <v>1027.8</v>
      </c>
      <c r="AG525" s="1">
        <v>0</v>
      </c>
      <c r="AH525" s="1">
        <f ca="1">IFERROR(__xludf.DUMMYFUNCTION("IFERROR(GOOGLEFINANCE(TRIM(F525)&amp;"":"" &amp; TRIM(B525),""low52""),AE525)"),392)</f>
        <v>392</v>
      </c>
      <c r="AI525" s="1">
        <f ca="1">IFERROR(__xludf.DUMMYFUNCTION("IFERROR(GOOGLEFINANCE(B525,""eps""),0)"),20.32)</f>
        <v>20.32</v>
      </c>
      <c r="AJ525" s="1"/>
      <c r="AK525" s="1" t="s">
        <v>1660</v>
      </c>
      <c r="AL525" s="9">
        <f t="shared" si="116"/>
        <v>1</v>
      </c>
    </row>
    <row r="526" spans="1:38" ht="15" x14ac:dyDescent="0.25">
      <c r="A526" s="1" t="s">
        <v>1661</v>
      </c>
      <c r="B526" s="1" t="s">
        <v>1662</v>
      </c>
      <c r="C526" s="1" t="s">
        <v>1663</v>
      </c>
      <c r="D526" s="1" t="s">
        <v>1663</v>
      </c>
      <c r="E526" s="6">
        <v>138.74</v>
      </c>
      <c r="F526" s="1" t="s">
        <v>40</v>
      </c>
      <c r="G526" s="6">
        <f ca="1">IFERROR(__xludf.DUMMYFUNCTION("iferror(GOOGLEFINANCE(TRIM(F526)&amp;"":"" &amp; TRIM(B526), ""price""),0
)"),0)</f>
        <v>0</v>
      </c>
      <c r="H526" s="6">
        <v>336.95</v>
      </c>
      <c r="I526" s="6">
        <f t="shared" ca="1" si="0"/>
        <v>336.95</v>
      </c>
      <c r="J526" s="6">
        <f ca="1">IFERROR(__xludf.DUMMYFUNCTION("IFERROR(GOOGLEFINANCE(B526, ""volume""), 0)"),0)</f>
        <v>0</v>
      </c>
      <c r="K526" s="6">
        <v>-0.91</v>
      </c>
      <c r="L526" s="6">
        <f ca="1">IFERROR(__xludf.DUMMYFUNCTION("IFERROR(GOOGLEFINANCE(B526,""changepct""),K526)"),-0.91)</f>
        <v>-0.91</v>
      </c>
      <c r="M526" s="6">
        <f ca="1">IFERROR(__xludf.DUMMYFUNCTION("IFERROR(GOOGLEFINANCE(B526,""change""),0)"),0)</f>
        <v>0</v>
      </c>
      <c r="N526" s="6">
        <v>1</v>
      </c>
      <c r="O526" s="7">
        <v>45536</v>
      </c>
      <c r="P526" s="9"/>
      <c r="Q526" s="6">
        <v>138.74</v>
      </c>
      <c r="R526" s="7">
        <v>45352</v>
      </c>
      <c r="S526" s="6">
        <v>22.06</v>
      </c>
      <c r="T526" s="6">
        <v>3.75</v>
      </c>
      <c r="U526" s="7">
        <v>45352</v>
      </c>
      <c r="V526" s="6">
        <v>37.03</v>
      </c>
      <c r="W526" s="6">
        <f ca="1">IFERROR(__xludf.DUMMYFUNCTION("IFERROR(GOOGLEFINANCE(B526,""pe""),V526)"),37.03)</f>
        <v>37.03</v>
      </c>
      <c r="X526" s="9"/>
      <c r="Y526" s="6">
        <v>5.54</v>
      </c>
      <c r="Z526" s="6">
        <v>1</v>
      </c>
      <c r="AA526" s="8">
        <v>45352</v>
      </c>
      <c r="AB526" s="4">
        <v>0</v>
      </c>
      <c r="AC526" s="6">
        <v>74.8</v>
      </c>
      <c r="AD526" s="6">
        <v>97.37</v>
      </c>
      <c r="AE526" s="1">
        <v>0</v>
      </c>
      <c r="AF526" s="1">
        <f ca="1">IFERROR(__xludf.DUMMYFUNCTION("IFERROR(GOOGLEFINANCE(TRIM(F526)&amp;"":"" &amp; TRIM(B526),""high52""),AE526)"),0)</f>
        <v>0</v>
      </c>
      <c r="AG526" s="1">
        <v>0</v>
      </c>
      <c r="AH526" s="1">
        <f ca="1">IFERROR(__xludf.DUMMYFUNCTION("IFERROR(GOOGLEFINANCE(TRIM(F526)&amp;"":"" &amp; TRIM(B526),""low52""),AE526)"),0)</f>
        <v>0</v>
      </c>
      <c r="AI526" s="1">
        <f ca="1">IFERROR(__xludf.DUMMYFUNCTION("IFERROR(GOOGLEFINANCE(B526,""eps""),0)"),0)</f>
        <v>0</v>
      </c>
      <c r="AJ526" s="1"/>
      <c r="AK526" s="9"/>
      <c r="AL526" s="9">
        <f t="shared" si="116"/>
        <v>1</v>
      </c>
    </row>
    <row r="527" spans="1:38" ht="15" x14ac:dyDescent="0.25">
      <c r="A527" s="1" t="s">
        <v>1664</v>
      </c>
      <c r="B527" s="1" t="s">
        <v>1665</v>
      </c>
      <c r="C527" s="1" t="s">
        <v>135</v>
      </c>
      <c r="D527" s="1" t="s">
        <v>135</v>
      </c>
      <c r="E527" s="6">
        <v>9.4</v>
      </c>
      <c r="F527" s="1" t="s">
        <v>53</v>
      </c>
      <c r="G527" s="6">
        <f ca="1">IFERROR(__xludf.DUMMYFUNCTION("iferror(GOOGLEFINANCE(TRIM(F527)&amp;"":"" &amp; TRIM(B527), ""price""),0
)"),0)</f>
        <v>0</v>
      </c>
      <c r="H527" s="6">
        <v>13.21</v>
      </c>
      <c r="I527" s="6">
        <f t="shared" ca="1" si="0"/>
        <v>13.21</v>
      </c>
      <c r="J527" s="6">
        <f ca="1">IFERROR(__xludf.DUMMYFUNCTION("IFERROR(GOOGLEFINANCE(B527, ""volume""), 0)"),0)</f>
        <v>0</v>
      </c>
      <c r="K527" s="12"/>
      <c r="L527" s="6" t="str">
        <f ca="1">IFERROR(__xludf.DUMMYFUNCTION("IFERROR(GOOGLEFINANCE(B527,""changepct""),K527)"),"")</f>
        <v/>
      </c>
      <c r="M527" s="6">
        <f ca="1">IFERROR(__xludf.DUMMYFUNCTION("IFERROR(GOOGLEFINANCE(B527,""change""),0)"),0)</f>
        <v>0</v>
      </c>
      <c r="N527" s="6">
        <v>1</v>
      </c>
      <c r="O527" s="7">
        <v>45536</v>
      </c>
      <c r="P527" s="9"/>
      <c r="Q527" s="6">
        <v>9.4</v>
      </c>
      <c r="R527" s="7">
        <v>45352</v>
      </c>
      <c r="S527" s="6">
        <v>0.24</v>
      </c>
      <c r="T527" s="6">
        <v>0.28000000000000003</v>
      </c>
      <c r="U527" s="7">
        <v>45352</v>
      </c>
      <c r="V527" s="6">
        <v>33.880000000000003</v>
      </c>
      <c r="W527" s="6">
        <f ca="1">IFERROR(__xludf.DUMMYFUNCTION("IFERROR(GOOGLEFINANCE(B527,""pe""),V527)"),33.88)</f>
        <v>33.880000000000003</v>
      </c>
      <c r="X527" s="6">
        <v>1.28</v>
      </c>
      <c r="Y527" s="6">
        <v>1.07</v>
      </c>
      <c r="Z527" s="6">
        <v>2</v>
      </c>
      <c r="AA527" s="8">
        <v>45352</v>
      </c>
      <c r="AB527" s="4">
        <v>0</v>
      </c>
      <c r="AC527" s="6">
        <v>3.23</v>
      </c>
      <c r="AD527" s="6">
        <v>3.23</v>
      </c>
      <c r="AE527" s="1">
        <v>0</v>
      </c>
      <c r="AF527" s="1">
        <f ca="1">IFERROR(__xludf.DUMMYFUNCTION("IFERROR(GOOGLEFINANCE(TRIM(F527)&amp;"":"" &amp; TRIM(B527),""high52""),AE527)"),0)</f>
        <v>0</v>
      </c>
      <c r="AG527" s="1">
        <v>0</v>
      </c>
      <c r="AH527" s="1">
        <f ca="1">IFERROR(__xludf.DUMMYFUNCTION("IFERROR(GOOGLEFINANCE(TRIM(F527)&amp;"":"" &amp; TRIM(B527),""low52""),AE527)"),0)</f>
        <v>0</v>
      </c>
      <c r="AI527" s="1">
        <f ca="1">IFERROR(__xludf.DUMMYFUNCTION("IFERROR(GOOGLEFINANCE(B527,""eps""),0)"),0)</f>
        <v>0</v>
      </c>
      <c r="AJ527" s="1"/>
      <c r="AK527" s="9"/>
      <c r="AL527" s="1" t="b">
        <f t="shared" ref="AL527:AL528" si="117">ISBLANK(AB527)</f>
        <v>0</v>
      </c>
    </row>
    <row r="528" spans="1:38" ht="15" x14ac:dyDescent="0.25">
      <c r="A528" s="1" t="s">
        <v>1666</v>
      </c>
      <c r="B528" s="1" t="s">
        <v>1667</v>
      </c>
      <c r="C528" s="1" t="s">
        <v>689</v>
      </c>
      <c r="D528" s="1" t="s">
        <v>689</v>
      </c>
      <c r="E528" s="6">
        <v>47149.53</v>
      </c>
      <c r="F528" s="1" t="s">
        <v>40</v>
      </c>
      <c r="G528" s="6">
        <f ca="1">IFERROR(__xludf.DUMMYFUNCTION("iferror(GOOGLEFINANCE(TRIM(F528)&amp;"":"" &amp; TRIM(B528), ""price""),0
)"),1838)</f>
        <v>1838</v>
      </c>
      <c r="H528" s="6">
        <v>2341.9499999999998</v>
      </c>
      <c r="I528" s="6">
        <f t="shared" ca="1" si="0"/>
        <v>1838</v>
      </c>
      <c r="J528" s="6">
        <f ca="1">IFERROR(__xludf.DUMMYFUNCTION("IFERROR(GOOGLEFINANCE(B528, ""volume""), 0)"),433710)</f>
        <v>433710</v>
      </c>
      <c r="K528" s="6">
        <v>2.15</v>
      </c>
      <c r="L528" s="6">
        <f ca="1">IFERROR(__xludf.DUMMYFUNCTION("IFERROR(GOOGLEFINANCE(B528,""changepct""),K528)"),2.49)</f>
        <v>2.4900000000000002</v>
      </c>
      <c r="M528" s="6">
        <f ca="1">IFERROR(__xludf.DUMMYFUNCTION("IFERROR(GOOGLEFINANCE(B528,""change""),0)"),44.6)</f>
        <v>44.6</v>
      </c>
      <c r="N528" s="6">
        <v>2</v>
      </c>
      <c r="O528" s="7">
        <v>45536</v>
      </c>
      <c r="P528" s="6">
        <v>246.97</v>
      </c>
      <c r="Q528" s="6">
        <v>47182.12</v>
      </c>
      <c r="R528" s="7">
        <v>45536</v>
      </c>
      <c r="S528" s="6">
        <v>10710.29</v>
      </c>
      <c r="T528" s="6">
        <v>524.75</v>
      </c>
      <c r="U528" s="7">
        <v>45536</v>
      </c>
      <c r="V528" s="6">
        <v>89.64</v>
      </c>
      <c r="W528" s="6">
        <f ca="1">IFERROR(__xludf.DUMMYFUNCTION("IFERROR(GOOGLEFINANCE(B528,""pe""),V528)"),76.45)</f>
        <v>76.45</v>
      </c>
      <c r="X528" s="6">
        <v>5.25</v>
      </c>
      <c r="Y528" s="6">
        <v>17.25</v>
      </c>
      <c r="Z528" s="6">
        <v>2</v>
      </c>
      <c r="AA528" s="8">
        <v>45352</v>
      </c>
      <c r="AB528" s="4">
        <v>0.06</v>
      </c>
      <c r="AC528" s="6">
        <v>21.03</v>
      </c>
      <c r="AD528" s="6">
        <v>26.26</v>
      </c>
      <c r="AE528" s="1">
        <v>0</v>
      </c>
      <c r="AF528" s="1">
        <f ca="1">IFERROR(__xludf.DUMMYFUNCTION("IFERROR(GOOGLEFINANCE(TRIM(F528)&amp;"":"" &amp; TRIM(B528),""high52""),AE528)"),2269.8)</f>
        <v>2269.8000000000002</v>
      </c>
      <c r="AG528" s="1">
        <v>0</v>
      </c>
      <c r="AH528" s="1">
        <f ca="1">IFERROR(__xludf.DUMMYFUNCTION("IFERROR(GOOGLEFINANCE(TRIM(F528)&amp;"":"" &amp; TRIM(B528),""low52""),AE528)"),1521)</f>
        <v>1521</v>
      </c>
      <c r="AI528" s="1">
        <f ca="1">IFERROR(__xludf.DUMMYFUNCTION("IFERROR(GOOGLEFINANCE(B528,""eps""),0)"),24.04)</f>
        <v>24.04</v>
      </c>
      <c r="AJ528" s="1"/>
      <c r="AK528" s="9"/>
      <c r="AL528" s="1" t="b">
        <f t="shared" si="117"/>
        <v>0</v>
      </c>
    </row>
    <row r="529" spans="1:38" ht="15" x14ac:dyDescent="0.25">
      <c r="A529" s="1" t="s">
        <v>1668</v>
      </c>
      <c r="B529" s="1" t="s">
        <v>1669</v>
      </c>
      <c r="C529" s="1" t="s">
        <v>135</v>
      </c>
      <c r="D529" s="1" t="s">
        <v>135</v>
      </c>
      <c r="E529" s="6">
        <v>103.95</v>
      </c>
      <c r="F529" s="1" t="s">
        <v>53</v>
      </c>
      <c r="G529" s="6">
        <f ca="1">IFERROR(__xludf.DUMMYFUNCTION("iferror(GOOGLEFINANCE(TRIM(F529)&amp;"":"" &amp; TRIM(B529), ""price""),0
)"),0)</f>
        <v>0</v>
      </c>
      <c r="H529" s="6">
        <v>158.80000000000001</v>
      </c>
      <c r="I529" s="6">
        <f t="shared" ca="1" si="0"/>
        <v>158.80000000000001</v>
      </c>
      <c r="J529" s="6">
        <f ca="1">IFERROR(__xludf.DUMMYFUNCTION("IFERROR(GOOGLEFINANCE(B529, ""volume""), 0)"),0)</f>
        <v>0</v>
      </c>
      <c r="K529" s="6">
        <v>0.56999999999999995</v>
      </c>
      <c r="L529" s="6">
        <f ca="1">IFERROR(__xludf.DUMMYFUNCTION("IFERROR(GOOGLEFINANCE(B529,""changepct""),K529)"),0.57)</f>
        <v>0.56999999999999995</v>
      </c>
      <c r="M529" s="6">
        <f ca="1">IFERROR(__xludf.DUMMYFUNCTION("IFERROR(GOOGLEFINANCE(B529,""change""),0)"),0)</f>
        <v>0</v>
      </c>
      <c r="N529" s="6">
        <v>1</v>
      </c>
      <c r="O529" s="7">
        <v>45352</v>
      </c>
      <c r="P529" s="6">
        <v>0.51</v>
      </c>
      <c r="Q529" s="6">
        <v>98.15</v>
      </c>
      <c r="R529" s="7">
        <v>45444</v>
      </c>
      <c r="S529" s="6">
        <v>36.29</v>
      </c>
      <c r="T529" s="6">
        <v>16.5</v>
      </c>
      <c r="U529" s="7">
        <v>45444</v>
      </c>
      <c r="V529" s="6">
        <v>6.3</v>
      </c>
      <c r="W529" s="6">
        <f ca="1">IFERROR(__xludf.DUMMYFUNCTION("IFERROR(GOOGLEFINANCE(B529,""pe""),V529)"),6.3)</f>
        <v>6.3</v>
      </c>
      <c r="X529" s="6">
        <v>-0.4</v>
      </c>
      <c r="Y529" s="6">
        <v>0.91</v>
      </c>
      <c r="Z529" s="6">
        <v>2</v>
      </c>
      <c r="AA529" s="8">
        <v>45352</v>
      </c>
      <c r="AB529" s="4">
        <v>0</v>
      </c>
      <c r="AC529" s="6">
        <v>3.16</v>
      </c>
      <c r="AD529" s="6">
        <v>4.43</v>
      </c>
      <c r="AE529" s="1">
        <v>0</v>
      </c>
      <c r="AF529" s="1">
        <f ca="1">IFERROR(__xludf.DUMMYFUNCTION("IFERROR(GOOGLEFINANCE(TRIM(F529)&amp;"":"" &amp; TRIM(B529),""high52""),AE529)"),0)</f>
        <v>0</v>
      </c>
      <c r="AG529" s="1">
        <v>0</v>
      </c>
      <c r="AH529" s="1">
        <f ca="1">IFERROR(__xludf.DUMMYFUNCTION("IFERROR(GOOGLEFINANCE(TRIM(F529)&amp;"":"" &amp; TRIM(B529),""low52""),AE529)"),0)</f>
        <v>0</v>
      </c>
      <c r="AI529" s="1">
        <f ca="1">IFERROR(__xludf.DUMMYFUNCTION("IFERROR(GOOGLEFINANCE(B529,""eps""),0)"),0)</f>
        <v>0</v>
      </c>
      <c r="AJ529" s="1"/>
      <c r="AK529" s="1" t="s">
        <v>1670</v>
      </c>
      <c r="AL529" s="1" t="b">
        <f t="shared" ref="AL529:AL530" si="118">ISNUMBER(AA529)</f>
        <v>1</v>
      </c>
    </row>
    <row r="530" spans="1:38" ht="15" x14ac:dyDescent="0.25">
      <c r="A530" s="1" t="s">
        <v>1671</v>
      </c>
      <c r="B530" s="1" t="s">
        <v>1672</v>
      </c>
      <c r="C530" s="1" t="s">
        <v>135</v>
      </c>
      <c r="D530" s="1" t="s">
        <v>135</v>
      </c>
      <c r="E530" s="6">
        <v>33.729999999999997</v>
      </c>
      <c r="F530" s="1" t="s">
        <v>53</v>
      </c>
      <c r="G530" s="6">
        <f ca="1">IFERROR(__xludf.DUMMYFUNCTION("iferror(GOOGLEFINANCE(TRIM(F530)&amp;"":"" &amp; TRIM(B530), ""price""),0
)"),0)</f>
        <v>0</v>
      </c>
      <c r="H530" s="6">
        <v>1.73</v>
      </c>
      <c r="I530" s="6">
        <f t="shared" ca="1" si="0"/>
        <v>1.73</v>
      </c>
      <c r="J530" s="6">
        <f ca="1">IFERROR(__xludf.DUMMYFUNCTION("IFERROR(GOOGLEFINANCE(B530, ""volume""), 0)"),0)</f>
        <v>0</v>
      </c>
      <c r="K530" s="6">
        <v>4.8499999999999996</v>
      </c>
      <c r="L530" s="6">
        <f ca="1">IFERROR(__xludf.DUMMYFUNCTION("IFERROR(GOOGLEFINANCE(B530,""changepct""),K530)"),4.85)</f>
        <v>4.8499999999999996</v>
      </c>
      <c r="M530" s="6">
        <f ca="1">IFERROR(__xludf.DUMMYFUNCTION("IFERROR(GOOGLEFINANCE(B530,""change""),0)"),0)</f>
        <v>0</v>
      </c>
      <c r="N530" s="6">
        <v>1</v>
      </c>
      <c r="O530" s="7">
        <v>45352</v>
      </c>
      <c r="P530" s="6">
        <v>306.67</v>
      </c>
      <c r="Q530" s="6">
        <v>334.87</v>
      </c>
      <c r="R530" s="7">
        <v>45444</v>
      </c>
      <c r="S530" s="6">
        <v>0</v>
      </c>
      <c r="T530" s="6">
        <v>-26.66</v>
      </c>
      <c r="U530" s="7">
        <v>45444</v>
      </c>
      <c r="V530" s="6">
        <v>0</v>
      </c>
      <c r="W530" s="6">
        <f ca="1">IFERROR(__xludf.DUMMYFUNCTION("IFERROR(GOOGLEFINANCE(B530,""pe""),V530)"),0)</f>
        <v>0</v>
      </c>
      <c r="X530" s="9"/>
      <c r="Y530" s="6">
        <v>0.04</v>
      </c>
      <c r="Z530" s="6">
        <v>1</v>
      </c>
      <c r="AA530" s="8">
        <v>44986</v>
      </c>
      <c r="AB530" s="4">
        <v>0.36</v>
      </c>
      <c r="AC530" s="6">
        <v>-3.82</v>
      </c>
      <c r="AD530" s="6">
        <v>-3.09</v>
      </c>
      <c r="AE530" s="1">
        <v>0</v>
      </c>
      <c r="AF530" s="1">
        <f ca="1">IFERROR(__xludf.DUMMYFUNCTION("IFERROR(GOOGLEFINANCE(TRIM(F530)&amp;"":"" &amp; TRIM(B530),""high52""),AE530)"),0)</f>
        <v>0</v>
      </c>
      <c r="AG530" s="1">
        <v>0</v>
      </c>
      <c r="AH530" s="1">
        <f ca="1">IFERROR(__xludf.DUMMYFUNCTION("IFERROR(GOOGLEFINANCE(TRIM(F530)&amp;"":"" &amp; TRIM(B530),""low52""),AE530)"),0)</f>
        <v>0</v>
      </c>
      <c r="AI530" s="1">
        <f ca="1">IFERROR(__xludf.DUMMYFUNCTION("IFERROR(GOOGLEFINANCE(B530,""eps""),0)"),0)</f>
        <v>0</v>
      </c>
      <c r="AJ530" s="1"/>
      <c r="AK530" s="1" t="s">
        <v>1673</v>
      </c>
      <c r="AL530" s="1" t="b">
        <f t="shared" si="118"/>
        <v>1</v>
      </c>
    </row>
    <row r="531" spans="1:38" ht="15" x14ac:dyDescent="0.25">
      <c r="A531" s="1" t="s">
        <v>1674</v>
      </c>
      <c r="B531" s="1" t="s">
        <v>1675</v>
      </c>
      <c r="C531" s="1" t="s">
        <v>584</v>
      </c>
      <c r="D531" s="1" t="s">
        <v>584</v>
      </c>
      <c r="E531" s="6">
        <v>878.59</v>
      </c>
      <c r="F531" s="1" t="s">
        <v>40</v>
      </c>
      <c r="G531" s="6">
        <f ca="1">IFERROR(__xludf.DUMMYFUNCTION("iferror(GOOGLEFINANCE(TRIM(F531)&amp;"":"" &amp; TRIM(B531), ""price""),0
)"),48.65)</f>
        <v>48.65</v>
      </c>
      <c r="H531" s="6">
        <v>70.22</v>
      </c>
      <c r="I531" s="6">
        <f t="shared" ca="1" si="0"/>
        <v>48.65</v>
      </c>
      <c r="J531" s="6">
        <f ca="1">IFERROR(__xludf.DUMMYFUNCTION("IFERROR(GOOGLEFINANCE(B531, ""volume""), 0)"),75965)</f>
        <v>75965</v>
      </c>
      <c r="K531" s="6">
        <v>0.85</v>
      </c>
      <c r="L531" s="6">
        <f ca="1">IFERROR(__xludf.DUMMYFUNCTION("IFERROR(GOOGLEFINANCE(B531,""changepct""),K531)"),3.03)</f>
        <v>3.03</v>
      </c>
      <c r="M531" s="6">
        <f ca="1">IFERROR(__xludf.DUMMYFUNCTION("IFERROR(GOOGLEFINANCE(B531,""change""),0)"),1.43)</f>
        <v>1.43</v>
      </c>
      <c r="N531" s="6">
        <v>2</v>
      </c>
      <c r="O531" s="7">
        <v>45536</v>
      </c>
      <c r="P531" s="6">
        <v>830.96</v>
      </c>
      <c r="Q531" s="6">
        <v>1686.66</v>
      </c>
      <c r="R531" s="7">
        <v>45536</v>
      </c>
      <c r="S531" s="6">
        <v>1582.73</v>
      </c>
      <c r="T531" s="6">
        <v>1.6</v>
      </c>
      <c r="U531" s="7">
        <v>45536</v>
      </c>
      <c r="V531" s="6">
        <v>549.46</v>
      </c>
      <c r="W531" s="6">
        <f ca="1">IFERROR(__xludf.DUMMYFUNCTION("IFERROR(GOOGLEFINANCE(B531,""pe""),V531)"),17.46)</f>
        <v>17.46</v>
      </c>
      <c r="X531" s="6">
        <v>-11.9</v>
      </c>
      <c r="Y531" s="6">
        <v>0.81</v>
      </c>
      <c r="Z531" s="6">
        <v>2</v>
      </c>
      <c r="AA531" s="8">
        <v>45352</v>
      </c>
      <c r="AB531" s="4">
        <v>0.83</v>
      </c>
      <c r="AC531" s="6">
        <v>0.6</v>
      </c>
      <c r="AD531" s="6">
        <v>3.09</v>
      </c>
      <c r="AE531" s="1">
        <v>0</v>
      </c>
      <c r="AF531" s="1">
        <f ca="1">IFERROR(__xludf.DUMMYFUNCTION("IFERROR(GOOGLEFINANCE(TRIM(F531)&amp;"":"" &amp; TRIM(B531),""high52""),AE531)"),81.49)</f>
        <v>81.489999999999995</v>
      </c>
      <c r="AG531" s="1">
        <v>0</v>
      </c>
      <c r="AH531" s="1">
        <f ca="1">IFERROR(__xludf.DUMMYFUNCTION("IFERROR(GOOGLEFINANCE(TRIM(F531)&amp;"":"" &amp; TRIM(B531),""low52""),AE531)"),46)</f>
        <v>46</v>
      </c>
      <c r="AI531" s="1">
        <f ca="1">IFERROR(__xludf.DUMMYFUNCTION("IFERROR(GOOGLEFINANCE(B531,""eps""),0)"),2.79)</f>
        <v>2.79</v>
      </c>
      <c r="AJ531" s="1"/>
      <c r="AK531" s="1" t="s">
        <v>1676</v>
      </c>
      <c r="AL531" s="9">
        <f>IF(AA531&lt;&gt;AB531,1,0)</f>
        <v>1</v>
      </c>
    </row>
    <row r="532" spans="1:38" ht="15" x14ac:dyDescent="0.25">
      <c r="A532" s="1" t="s">
        <v>1677</v>
      </c>
      <c r="B532" s="1" t="s">
        <v>1678</v>
      </c>
      <c r="C532" s="1" t="s">
        <v>135</v>
      </c>
      <c r="D532" s="1" t="s">
        <v>135</v>
      </c>
      <c r="E532" s="6">
        <v>18.55</v>
      </c>
      <c r="F532" s="1" t="s">
        <v>53</v>
      </c>
      <c r="G532" s="6">
        <f ca="1">IFERROR(__xludf.DUMMYFUNCTION("iferror(GOOGLEFINANCE(TRIM(F532)&amp;"":"" &amp; TRIM(B532), ""price""),0
)"),0)</f>
        <v>0</v>
      </c>
      <c r="H532" s="6">
        <v>206.1</v>
      </c>
      <c r="I532" s="6">
        <f t="shared" ca="1" si="0"/>
        <v>206.1</v>
      </c>
      <c r="J532" s="6">
        <f ca="1">IFERROR(__xludf.DUMMYFUNCTION("IFERROR(GOOGLEFINANCE(B532, ""volume""), 0)"),0)</f>
        <v>0</v>
      </c>
      <c r="K532" s="9"/>
      <c r="L532" s="6" t="str">
        <f ca="1">IFERROR(__xludf.DUMMYFUNCTION("IFERROR(GOOGLEFINANCE(B532,""changepct""),K532)"),"")</f>
        <v/>
      </c>
      <c r="M532" s="6">
        <f ca="1">IFERROR(__xludf.DUMMYFUNCTION("IFERROR(GOOGLEFINANCE(B532,""change""),0)"),0)</f>
        <v>0</v>
      </c>
      <c r="N532" s="6">
        <v>1</v>
      </c>
      <c r="O532" s="7">
        <v>45536</v>
      </c>
      <c r="P532" s="6">
        <v>10.58</v>
      </c>
      <c r="Q532" s="6">
        <v>29.13</v>
      </c>
      <c r="R532" s="7">
        <v>45536</v>
      </c>
      <c r="S532" s="6">
        <v>40.840000000000003</v>
      </c>
      <c r="T532" s="6">
        <v>0.21</v>
      </c>
      <c r="U532" s="7">
        <v>45536</v>
      </c>
      <c r="V532" s="6">
        <v>87.91</v>
      </c>
      <c r="W532" s="6">
        <f ca="1">IFERROR(__xludf.DUMMYFUNCTION("IFERROR(GOOGLEFINANCE(B532,""pe""),V532)"),87.91)</f>
        <v>87.91</v>
      </c>
      <c r="X532" s="6">
        <v>5.91</v>
      </c>
      <c r="Y532" s="6">
        <v>5.0599999999999996</v>
      </c>
      <c r="Z532" s="6">
        <v>1</v>
      </c>
      <c r="AA532" s="8">
        <v>45352</v>
      </c>
      <c r="AB532" s="4">
        <v>2.4700000000000002</v>
      </c>
      <c r="AC532" s="6">
        <v>6.12</v>
      </c>
      <c r="AD532" s="6">
        <v>10.27</v>
      </c>
      <c r="AE532" s="1">
        <v>0</v>
      </c>
      <c r="AF532" s="1">
        <f ca="1">IFERROR(__xludf.DUMMYFUNCTION("IFERROR(GOOGLEFINANCE(TRIM(F532)&amp;"":"" &amp; TRIM(B532),""high52""),AE532)"),0)</f>
        <v>0</v>
      </c>
      <c r="AG532" s="1">
        <v>0</v>
      </c>
      <c r="AH532" s="1">
        <f ca="1">IFERROR(__xludf.DUMMYFUNCTION("IFERROR(GOOGLEFINANCE(TRIM(F532)&amp;"":"" &amp; TRIM(B532),""low52""),AE532)"),0)</f>
        <v>0</v>
      </c>
      <c r="AI532" s="1">
        <f ca="1">IFERROR(__xludf.DUMMYFUNCTION("IFERROR(GOOGLEFINANCE(B532,""eps""),0)"),0)</f>
        <v>0</v>
      </c>
      <c r="AJ532" s="1"/>
      <c r="AK532" s="1" t="s">
        <v>1679</v>
      </c>
      <c r="AL532" s="1" t="b">
        <f>ISNUMBER(AA532)</f>
        <v>1</v>
      </c>
    </row>
    <row r="533" spans="1:38" ht="15" x14ac:dyDescent="0.25">
      <c r="A533" s="1" t="s">
        <v>1680</v>
      </c>
      <c r="B533" s="1" t="s">
        <v>1681</v>
      </c>
      <c r="C533" s="1" t="s">
        <v>1682</v>
      </c>
      <c r="D533" s="1" t="s">
        <v>1682</v>
      </c>
      <c r="E533" s="6">
        <v>128.83000000000001</v>
      </c>
      <c r="F533" s="1" t="s">
        <v>40</v>
      </c>
      <c r="G533" s="6">
        <f ca="1">IFERROR(__xludf.DUMMYFUNCTION("iferror(GOOGLEFINANCE(TRIM(F533)&amp;"":"" &amp; TRIM(B533), ""price""),0
)"),7.63)</f>
        <v>7.63</v>
      </c>
      <c r="H533" s="6">
        <v>10.31</v>
      </c>
      <c r="I533" s="6">
        <f t="shared" ca="1" si="0"/>
        <v>7.63</v>
      </c>
      <c r="J533" s="6">
        <f ca="1">IFERROR(__xludf.DUMMYFUNCTION("IFERROR(GOOGLEFINANCE(B533, ""volume""), 0)"),426089)</f>
        <v>426089</v>
      </c>
      <c r="K533" s="6">
        <v>-0.1</v>
      </c>
      <c r="L533" s="6">
        <f ca="1">IFERROR(__xludf.DUMMYFUNCTION("IFERROR(GOOGLEFINANCE(B533,""changepct""),K533)"),-4.62)</f>
        <v>-4.62</v>
      </c>
      <c r="M533" s="6">
        <f ca="1">IFERROR(__xludf.DUMMYFUNCTION("IFERROR(GOOGLEFINANCE(B533,""change""),0)"),-0.37)</f>
        <v>-0.37</v>
      </c>
      <c r="N533" s="6">
        <v>2</v>
      </c>
      <c r="O533" s="7">
        <v>45536</v>
      </c>
      <c r="P533" s="6">
        <v>24.09</v>
      </c>
      <c r="Q533" s="6">
        <v>152.91999999999999</v>
      </c>
      <c r="R533" s="7">
        <v>45536</v>
      </c>
      <c r="S533" s="6">
        <v>66.790000000000006</v>
      </c>
      <c r="T533" s="6">
        <v>2.58</v>
      </c>
      <c r="U533" s="7">
        <v>45536</v>
      </c>
      <c r="V533" s="6">
        <v>58.61</v>
      </c>
      <c r="W533" s="6">
        <f ca="1">IFERROR(__xludf.DUMMYFUNCTION("IFERROR(GOOGLEFINANCE(B533,""pe""),V533)"),14.89)</f>
        <v>14.89</v>
      </c>
      <c r="X533" s="12"/>
      <c r="Y533" s="6">
        <v>4.55</v>
      </c>
      <c r="Z533" s="6">
        <v>2</v>
      </c>
      <c r="AA533" s="8">
        <v>45352</v>
      </c>
      <c r="AB533" s="4">
        <v>0.19</v>
      </c>
      <c r="AC533" s="6">
        <v>13.68</v>
      </c>
      <c r="AD533" s="6">
        <v>18.89</v>
      </c>
      <c r="AE533" s="1">
        <v>0</v>
      </c>
      <c r="AF533" s="1">
        <f ca="1">IFERROR(__xludf.DUMMYFUNCTION("IFERROR(GOOGLEFINANCE(TRIM(F533)&amp;"":"" &amp; TRIM(B533),""high52""),AE533)"),10.68)</f>
        <v>10.68</v>
      </c>
      <c r="AG533" s="1">
        <v>0</v>
      </c>
      <c r="AH533" s="1">
        <f ca="1">IFERROR(__xludf.DUMMYFUNCTION("IFERROR(GOOGLEFINANCE(TRIM(F533)&amp;"":"" &amp; TRIM(B533),""low52""),AE533)"),7.11)</f>
        <v>7.11</v>
      </c>
      <c r="AI533" s="1">
        <f ca="1">IFERROR(__xludf.DUMMYFUNCTION("IFERROR(GOOGLEFINANCE(B533,""eps""),0)"),0.51)</f>
        <v>0.51</v>
      </c>
      <c r="AJ533" s="1"/>
      <c r="AK533" s="9"/>
      <c r="AL533" s="9">
        <f t="shared" ref="AL533:AL534" si="119">IF(AA533&lt;&gt;AB533,1,0)</f>
        <v>1</v>
      </c>
    </row>
    <row r="534" spans="1:38" ht="15" x14ac:dyDescent="0.25">
      <c r="A534" s="1" t="s">
        <v>1683</v>
      </c>
      <c r="B534" s="1" t="s">
        <v>1684</v>
      </c>
      <c r="C534" s="1" t="s">
        <v>502</v>
      </c>
      <c r="D534" s="1" t="s">
        <v>502</v>
      </c>
      <c r="E534" s="6">
        <v>24.45</v>
      </c>
      <c r="F534" s="1" t="s">
        <v>40</v>
      </c>
      <c r="G534" s="6">
        <f ca="1">IFERROR(__xludf.DUMMYFUNCTION("iferror(GOOGLEFINANCE(TRIM(F534)&amp;"":"" &amp; TRIM(B534), ""price""),0
)"),20.35)</f>
        <v>20.350000000000001</v>
      </c>
      <c r="H534" s="6">
        <v>17.100000000000001</v>
      </c>
      <c r="I534" s="6">
        <f t="shared" ca="1" si="0"/>
        <v>20.350000000000001</v>
      </c>
      <c r="J534" s="6">
        <f ca="1">IFERROR(__xludf.DUMMYFUNCTION("IFERROR(GOOGLEFINANCE(B534, ""volume""), 0)"),32547)</f>
        <v>32547</v>
      </c>
      <c r="K534" s="9"/>
      <c r="L534" s="6">
        <f ca="1">IFERROR(__xludf.DUMMYFUNCTION("IFERROR(GOOGLEFINANCE(B534,""changepct""),K534)"),2.99)</f>
        <v>2.99</v>
      </c>
      <c r="M534" s="6">
        <f ca="1">IFERROR(__xludf.DUMMYFUNCTION("IFERROR(GOOGLEFINANCE(B534,""change""),0)"),0.59)</f>
        <v>0.59</v>
      </c>
      <c r="N534" s="6">
        <v>1</v>
      </c>
      <c r="O534" s="7">
        <v>45536</v>
      </c>
      <c r="P534" s="6">
        <v>0.48</v>
      </c>
      <c r="Q534" s="6">
        <v>24.93</v>
      </c>
      <c r="R534" s="7">
        <v>45536</v>
      </c>
      <c r="S534" s="6">
        <v>0</v>
      </c>
      <c r="T534" s="6">
        <v>-2.67</v>
      </c>
      <c r="U534" s="7">
        <v>45536</v>
      </c>
      <c r="V534" s="6">
        <v>0</v>
      </c>
      <c r="W534" s="6">
        <f ca="1">IFERROR(__xludf.DUMMYFUNCTION("IFERROR(GOOGLEFINANCE(B534,""pe""),V534)"),0)</f>
        <v>0</v>
      </c>
      <c r="X534" s="6">
        <v>0</v>
      </c>
      <c r="Y534" s="6">
        <v>0.47</v>
      </c>
      <c r="Z534" s="6">
        <v>1</v>
      </c>
      <c r="AA534" s="8">
        <v>44621</v>
      </c>
      <c r="AB534" s="4">
        <v>0.38</v>
      </c>
      <c r="AC534" s="6">
        <v>-18.63</v>
      </c>
      <c r="AD534" s="6">
        <v>-3.96</v>
      </c>
      <c r="AE534" s="1">
        <v>0</v>
      </c>
      <c r="AF534" s="1">
        <f ca="1">IFERROR(__xludf.DUMMYFUNCTION("IFERROR(GOOGLEFINANCE(TRIM(F534)&amp;"":"" &amp; TRIM(B534),""high52""),AE534)"),39.29)</f>
        <v>39.29</v>
      </c>
      <c r="AG534" s="1">
        <v>0</v>
      </c>
      <c r="AH534" s="1">
        <f ca="1">IFERROR(__xludf.DUMMYFUNCTION("IFERROR(GOOGLEFINANCE(TRIM(F534)&amp;"":"" &amp; TRIM(B534),""low52""),AE534)"),14.52)</f>
        <v>14.52</v>
      </c>
      <c r="AI534" s="1">
        <f ca="1">IFERROR(__xludf.DUMMYFUNCTION("IFERROR(GOOGLEFINANCE(B534,""eps""),0)"),-2.31)</f>
        <v>-2.31</v>
      </c>
      <c r="AJ534" s="1"/>
      <c r="AK534" s="1" t="s">
        <v>1685</v>
      </c>
      <c r="AL534" s="9">
        <f t="shared" si="119"/>
        <v>1</v>
      </c>
    </row>
    <row r="535" spans="1:38" ht="15" x14ac:dyDescent="0.25">
      <c r="A535" s="1" t="s">
        <v>1686</v>
      </c>
      <c r="B535" s="1" t="s">
        <v>1687</v>
      </c>
      <c r="C535" s="1" t="s">
        <v>99</v>
      </c>
      <c r="D535" s="1" t="s">
        <v>99</v>
      </c>
      <c r="E535" s="6">
        <v>15579.02</v>
      </c>
      <c r="F535" s="1" t="s">
        <v>40</v>
      </c>
      <c r="G535" s="6">
        <f ca="1">IFERROR(__xludf.DUMMYFUNCTION("iferror(GOOGLEFINANCE(TRIM(F535)&amp;"":"" &amp; TRIM(B535), ""price""),0
)"),1702.5)</f>
        <v>1702.5</v>
      </c>
      <c r="H535" s="6">
        <v>2217.3000000000002</v>
      </c>
      <c r="I535" s="6">
        <f t="shared" ca="1" si="0"/>
        <v>1702.5</v>
      </c>
      <c r="J535" s="6">
        <f ca="1">IFERROR(__xludf.DUMMYFUNCTION("IFERROR(GOOGLEFINANCE(B535, ""volume""), 0)"),31258)</f>
        <v>31258</v>
      </c>
      <c r="K535" s="6">
        <v>-0.76</v>
      </c>
      <c r="L535" s="6">
        <f ca="1">IFERROR(__xludf.DUMMYFUNCTION("IFERROR(GOOGLEFINANCE(B535,""changepct""),K535)"),1.51)</f>
        <v>1.51</v>
      </c>
      <c r="M535" s="6">
        <f ca="1">IFERROR(__xludf.DUMMYFUNCTION("IFERROR(GOOGLEFINANCE(B535,""change""),0)"),25.4)</f>
        <v>25.4</v>
      </c>
      <c r="N535" s="6">
        <v>2</v>
      </c>
      <c r="O535" s="7">
        <v>45536</v>
      </c>
      <c r="P535" s="6">
        <v>2928.16</v>
      </c>
      <c r="Q535" s="6">
        <v>17264.75</v>
      </c>
      <c r="R535" s="7">
        <v>45536</v>
      </c>
      <c r="S535" s="6">
        <v>17592.7</v>
      </c>
      <c r="T535" s="6">
        <v>1899.67</v>
      </c>
      <c r="U535" s="7">
        <v>45536</v>
      </c>
      <c r="V535" s="6">
        <v>13.05</v>
      </c>
      <c r="W535" s="6">
        <f ca="1">IFERROR(__xludf.DUMMYFUNCTION("IFERROR(GOOGLEFINANCE(B535,""pe""),V535)"),10.51)</f>
        <v>10.51</v>
      </c>
      <c r="X535" s="6">
        <v>3.18</v>
      </c>
      <c r="Y535" s="6">
        <v>3.05</v>
      </c>
      <c r="Z535" s="6">
        <v>2</v>
      </c>
      <c r="AA535" s="8">
        <v>45352</v>
      </c>
      <c r="AB535" s="4">
        <v>0.46</v>
      </c>
      <c r="AC535" s="6">
        <v>39.950000000000003</v>
      </c>
      <c r="AD535" s="6">
        <v>33.32</v>
      </c>
      <c r="AE535" s="1">
        <v>0</v>
      </c>
      <c r="AF535" s="1">
        <f ca="1">IFERROR(__xludf.DUMMYFUNCTION("IFERROR(GOOGLEFINANCE(TRIM(F535)&amp;"":"" &amp; TRIM(B535),""high52""),AE535)"),2224.95)</f>
        <v>2224.9499999999998</v>
      </c>
      <c r="AG535" s="1">
        <v>0</v>
      </c>
      <c r="AH535" s="1">
        <f ca="1">IFERROR(__xludf.DUMMYFUNCTION("IFERROR(GOOGLEFINANCE(TRIM(F535)&amp;"":"" &amp; TRIM(B535),""low52""),AE535)"),1607.05)</f>
        <v>1607.05</v>
      </c>
      <c r="AI535" s="1">
        <f ca="1">IFERROR(__xludf.DUMMYFUNCTION("IFERROR(GOOGLEFINANCE(B535,""eps""),0)"),161.96)</f>
        <v>161.96</v>
      </c>
      <c r="AJ535" s="1"/>
      <c r="AK535" s="1" t="s">
        <v>1688</v>
      </c>
      <c r="AL535" s="1" t="b">
        <f t="shared" ref="AL535:AL536" si="120">ISNUMBER(AA535)</f>
        <v>1</v>
      </c>
    </row>
    <row r="536" spans="1:38" ht="15" x14ac:dyDescent="0.25">
      <c r="A536" s="1" t="s">
        <v>1689</v>
      </c>
      <c r="B536" s="1" t="s">
        <v>1690</v>
      </c>
      <c r="C536" s="1" t="s">
        <v>135</v>
      </c>
      <c r="D536" s="1" t="s">
        <v>135</v>
      </c>
      <c r="E536" s="6">
        <v>389.42</v>
      </c>
      <c r="F536" s="1" t="s">
        <v>53</v>
      </c>
      <c r="G536" s="6">
        <f ca="1">IFERROR(__xludf.DUMMYFUNCTION("iferror(GOOGLEFINANCE(TRIM(F536)&amp;"":"" &amp; TRIM(B536), ""price""),0
)"),0)</f>
        <v>0</v>
      </c>
      <c r="H536" s="6">
        <v>512</v>
      </c>
      <c r="I536" s="6">
        <f t="shared" ca="1" si="0"/>
        <v>512</v>
      </c>
      <c r="J536" s="6">
        <f ca="1">IFERROR(__xludf.DUMMYFUNCTION("IFERROR(GOOGLEFINANCE(B536, ""volume""), 0)"),0)</f>
        <v>0</v>
      </c>
      <c r="K536" s="6">
        <v>2.82</v>
      </c>
      <c r="L536" s="6">
        <f ca="1">IFERROR(__xludf.DUMMYFUNCTION("IFERROR(GOOGLEFINANCE(B536,""changepct""),K536)"),2.82)</f>
        <v>2.82</v>
      </c>
      <c r="M536" s="6">
        <f ca="1">IFERROR(__xludf.DUMMYFUNCTION("IFERROR(GOOGLEFINANCE(B536,""change""),0)"),0)</f>
        <v>0</v>
      </c>
      <c r="N536" s="6">
        <v>2</v>
      </c>
      <c r="O536" s="7">
        <v>45536</v>
      </c>
      <c r="P536" s="6">
        <v>12.3</v>
      </c>
      <c r="Q536" s="6">
        <v>396.77</v>
      </c>
      <c r="R536" s="7">
        <v>45536</v>
      </c>
      <c r="S536" s="6">
        <v>170.26</v>
      </c>
      <c r="T536" s="6">
        <v>19.28</v>
      </c>
      <c r="U536" s="7">
        <v>45536</v>
      </c>
      <c r="V536" s="6">
        <v>20.32</v>
      </c>
      <c r="W536" s="6">
        <f ca="1">IFERROR(__xludf.DUMMYFUNCTION("IFERROR(GOOGLEFINANCE(B536,""pe""),V536)"),20.32)</f>
        <v>20.32</v>
      </c>
      <c r="X536" s="9"/>
      <c r="Y536" s="6">
        <v>4.13</v>
      </c>
      <c r="Z536" s="6">
        <v>2</v>
      </c>
      <c r="AA536" s="8">
        <v>45352</v>
      </c>
      <c r="AB536" s="4">
        <v>0.19</v>
      </c>
      <c r="AC536" s="6">
        <v>22.97</v>
      </c>
      <c r="AD536" s="6">
        <v>28.15</v>
      </c>
      <c r="AE536" s="1">
        <v>0</v>
      </c>
      <c r="AF536" s="1">
        <f ca="1">IFERROR(__xludf.DUMMYFUNCTION("IFERROR(GOOGLEFINANCE(TRIM(F536)&amp;"":"" &amp; TRIM(B536),""high52""),AE536)"),0)</f>
        <v>0</v>
      </c>
      <c r="AG536" s="1">
        <v>0</v>
      </c>
      <c r="AH536" s="1">
        <f ca="1">IFERROR(__xludf.DUMMYFUNCTION("IFERROR(GOOGLEFINANCE(TRIM(F536)&amp;"":"" &amp; TRIM(B536),""low52""),AE536)"),0)</f>
        <v>0</v>
      </c>
      <c r="AI536" s="1">
        <f ca="1">IFERROR(__xludf.DUMMYFUNCTION("IFERROR(GOOGLEFINANCE(B536,""eps""),0)"),0)</f>
        <v>0</v>
      </c>
      <c r="AJ536" s="1"/>
      <c r="AK536" s="1" t="s">
        <v>1691</v>
      </c>
      <c r="AL536" s="1" t="b">
        <f t="shared" si="120"/>
        <v>1</v>
      </c>
    </row>
    <row r="537" spans="1:38" ht="15" x14ac:dyDescent="0.25">
      <c r="A537" s="1" t="s">
        <v>1692</v>
      </c>
      <c r="B537" s="1" t="s">
        <v>1693</v>
      </c>
      <c r="C537" s="1" t="s">
        <v>135</v>
      </c>
      <c r="D537" s="1" t="s">
        <v>135</v>
      </c>
      <c r="E537" s="6">
        <v>560.52</v>
      </c>
      <c r="F537" s="1" t="s">
        <v>53</v>
      </c>
      <c r="G537" s="6">
        <f ca="1">IFERROR(__xludf.DUMMYFUNCTION("iferror(GOOGLEFINANCE(TRIM(F537)&amp;"":"" &amp; TRIM(B537), ""price""),0
)"),0)</f>
        <v>0</v>
      </c>
      <c r="H537" s="6">
        <v>459.55</v>
      </c>
      <c r="I537" s="6">
        <f t="shared" ca="1" si="0"/>
        <v>459.55</v>
      </c>
      <c r="J537" s="6">
        <f ca="1">IFERROR(__xludf.DUMMYFUNCTION("IFERROR(GOOGLEFINANCE(B537, ""volume""), 0)"),0)</f>
        <v>0</v>
      </c>
      <c r="K537" s="6">
        <v>1.36</v>
      </c>
      <c r="L537" s="6">
        <f ca="1">IFERROR(__xludf.DUMMYFUNCTION("IFERROR(GOOGLEFINANCE(B537,""changepct""),K537)"),-0.56)</f>
        <v>-0.56000000000000005</v>
      </c>
      <c r="M537" s="6">
        <f ca="1">IFERROR(__xludf.DUMMYFUNCTION("IFERROR(GOOGLEFINANCE(B537,""change""),0)"),-0.22)</f>
        <v>-0.22</v>
      </c>
      <c r="N537" s="6">
        <v>2</v>
      </c>
      <c r="O537" s="7">
        <v>45536</v>
      </c>
      <c r="P537" s="6">
        <v>8</v>
      </c>
      <c r="Q537" s="6">
        <v>568.52</v>
      </c>
      <c r="R537" s="7">
        <v>45536</v>
      </c>
      <c r="S537" s="6">
        <v>97.65</v>
      </c>
      <c r="T537" s="6">
        <v>8.61</v>
      </c>
      <c r="U537" s="7">
        <v>45536</v>
      </c>
      <c r="V537" s="6">
        <v>65.069999999999993</v>
      </c>
      <c r="W537" s="6">
        <f ca="1">IFERROR(__xludf.DUMMYFUNCTION("IFERROR(GOOGLEFINANCE(B537,""pe""),V537)"),11.39)</f>
        <v>11.39</v>
      </c>
      <c r="X537" s="9"/>
      <c r="Y537" s="6">
        <v>7.39</v>
      </c>
      <c r="Z537" s="6">
        <v>2</v>
      </c>
      <c r="AA537" s="8">
        <v>45352</v>
      </c>
      <c r="AB537" s="4">
        <v>0.34</v>
      </c>
      <c r="AC537" s="6">
        <v>2.4700000000000002</v>
      </c>
      <c r="AD537" s="6">
        <v>6.61</v>
      </c>
      <c r="AE537" s="1">
        <v>0</v>
      </c>
      <c r="AF537" s="1">
        <f ca="1">IFERROR(__xludf.DUMMYFUNCTION("IFERROR(GOOGLEFINANCE(TRIM(F537)&amp;"":"" &amp; TRIM(B537),""high52""),AE537)"),0)</f>
        <v>0</v>
      </c>
      <c r="AG537" s="1">
        <v>0</v>
      </c>
      <c r="AH537" s="1">
        <f ca="1">IFERROR(__xludf.DUMMYFUNCTION("IFERROR(GOOGLEFINANCE(TRIM(F537)&amp;"":"" &amp; TRIM(B537),""low52""),AE537)"),0)</f>
        <v>0</v>
      </c>
      <c r="AI537" s="1">
        <f ca="1">IFERROR(__xludf.DUMMYFUNCTION("IFERROR(GOOGLEFINANCE(B537,""eps""),0)"),3.41)</f>
        <v>3.41</v>
      </c>
      <c r="AJ537" s="1"/>
      <c r="AK537" s="9"/>
      <c r="AL537" s="1" t="b">
        <f>ISBLANK(AB537)</f>
        <v>0</v>
      </c>
    </row>
    <row r="538" spans="1:38" ht="15" x14ac:dyDescent="0.25">
      <c r="A538" s="1" t="s">
        <v>1694</v>
      </c>
      <c r="B538" s="1" t="s">
        <v>1695</v>
      </c>
      <c r="C538" s="1" t="s">
        <v>186</v>
      </c>
      <c r="D538" s="1" t="s">
        <v>186</v>
      </c>
      <c r="E538" s="6">
        <v>4046.02</v>
      </c>
      <c r="F538" s="1" t="s">
        <v>40</v>
      </c>
      <c r="G538" s="6">
        <f ca="1">IFERROR(__xludf.DUMMYFUNCTION("iferror(GOOGLEFINANCE(TRIM(F538)&amp;"":"" &amp; TRIM(B538), ""price""),0
)"),112.3)</f>
        <v>112.3</v>
      </c>
      <c r="H538" s="6">
        <v>196.42</v>
      </c>
      <c r="I538" s="6">
        <f t="shared" ca="1" si="0"/>
        <v>112.3</v>
      </c>
      <c r="J538" s="6">
        <f ca="1">IFERROR(__xludf.DUMMYFUNCTION("IFERROR(GOOGLEFINANCE(B538, ""volume""), 0)"),703846)</f>
        <v>703846</v>
      </c>
      <c r="K538" s="6">
        <v>0.27</v>
      </c>
      <c r="L538" s="6">
        <f ca="1">IFERROR(__xludf.DUMMYFUNCTION("IFERROR(GOOGLEFINANCE(B538,""changepct""),K538)"),-0.26)</f>
        <v>-0.26</v>
      </c>
      <c r="M538" s="6">
        <f ca="1">IFERROR(__xludf.DUMMYFUNCTION("IFERROR(GOOGLEFINANCE(B538,""change""),0)"),-0.29)</f>
        <v>-0.28999999999999998</v>
      </c>
      <c r="N538" s="6">
        <v>2</v>
      </c>
      <c r="O538" s="7">
        <v>45536</v>
      </c>
      <c r="P538" s="6">
        <v>2.85</v>
      </c>
      <c r="Q538" s="6">
        <v>3913.53</v>
      </c>
      <c r="R538" s="7">
        <v>45536</v>
      </c>
      <c r="S538" s="6">
        <v>1581.47</v>
      </c>
      <c r="T538" s="6">
        <v>3528.66</v>
      </c>
      <c r="U538" s="7">
        <v>45536</v>
      </c>
      <c r="V538" s="6">
        <v>1.1499999999999999</v>
      </c>
      <c r="W538" s="6">
        <f ca="1">IFERROR(__xludf.DUMMYFUNCTION("IFERROR(GOOGLEFINANCE(B538,""pe""),V538)"),23.85)</f>
        <v>23.85</v>
      </c>
      <c r="X538" s="12"/>
      <c r="Y538" s="6">
        <v>1.61</v>
      </c>
      <c r="Z538" s="6">
        <v>2</v>
      </c>
      <c r="AA538" s="8">
        <v>45352</v>
      </c>
      <c r="AB538" s="4">
        <v>0</v>
      </c>
      <c r="AC538" s="6">
        <v>939.18</v>
      </c>
      <c r="AD538" s="6">
        <v>186.13</v>
      </c>
      <c r="AE538" s="1">
        <v>0</v>
      </c>
      <c r="AF538" s="1">
        <f ca="1">IFERROR(__xludf.DUMMYFUNCTION("IFERROR(GOOGLEFINANCE(TRIM(F538)&amp;"":"" &amp; TRIM(B538),""high52""),AE538)"),196.75)</f>
        <v>196.75</v>
      </c>
      <c r="AG538" s="1">
        <v>0</v>
      </c>
      <c r="AH538" s="1">
        <f ca="1">IFERROR(__xludf.DUMMYFUNCTION("IFERROR(GOOGLEFINANCE(TRIM(F538)&amp;"":"" &amp; TRIM(B538),""low52""),AE538)"),108.29)</f>
        <v>108.29</v>
      </c>
      <c r="AI538" s="1">
        <f ca="1">IFERROR(__xludf.DUMMYFUNCTION("IFERROR(GOOGLEFINANCE(B538,""eps""),0)"),4.71)</f>
        <v>4.71</v>
      </c>
      <c r="AJ538" s="1"/>
      <c r="AK538" s="9"/>
      <c r="AL538" s="9">
        <f>IF(AA538&lt;&gt;AB538,1,0)</f>
        <v>1</v>
      </c>
    </row>
    <row r="539" spans="1:38" ht="15" x14ac:dyDescent="0.25">
      <c r="A539" s="1" t="s">
        <v>1696</v>
      </c>
      <c r="B539" s="1" t="s">
        <v>1697</v>
      </c>
      <c r="C539" s="1" t="s">
        <v>135</v>
      </c>
      <c r="D539" s="1" t="s">
        <v>135</v>
      </c>
      <c r="E539" s="6">
        <v>644.41999999999996</v>
      </c>
      <c r="F539" s="1" t="s">
        <v>53</v>
      </c>
      <c r="G539" s="6">
        <f ca="1">IFERROR(__xludf.DUMMYFUNCTION("iferror(GOOGLEFINANCE(TRIM(F539)&amp;"":"" &amp; TRIM(B539), ""price""),0
)"),0)</f>
        <v>0</v>
      </c>
      <c r="H539" s="6">
        <v>75.89</v>
      </c>
      <c r="I539" s="6">
        <f t="shared" ca="1" si="0"/>
        <v>75.89</v>
      </c>
      <c r="J539" s="6">
        <f ca="1">IFERROR(__xludf.DUMMYFUNCTION("IFERROR(GOOGLEFINANCE(B539, ""volume""), 0)"),0)</f>
        <v>0</v>
      </c>
      <c r="K539" s="6">
        <v>7.0000000000000007E-2</v>
      </c>
      <c r="L539" s="6">
        <f ca="1">IFERROR(__xludf.DUMMYFUNCTION("IFERROR(GOOGLEFINANCE(B539,""changepct""),K539)"),0.07)</f>
        <v>7.0000000000000007E-2</v>
      </c>
      <c r="M539" s="6">
        <f ca="1">IFERROR(__xludf.DUMMYFUNCTION("IFERROR(GOOGLEFINANCE(B539,""change""),0)"),0)</f>
        <v>0</v>
      </c>
      <c r="N539" s="6">
        <v>1</v>
      </c>
      <c r="O539" s="7">
        <v>45536</v>
      </c>
      <c r="P539" s="9"/>
      <c r="Q539" s="6">
        <v>325.68</v>
      </c>
      <c r="R539" s="7">
        <v>45536</v>
      </c>
      <c r="S539" s="6">
        <v>651.27</v>
      </c>
      <c r="T539" s="6">
        <v>66.03</v>
      </c>
      <c r="U539" s="7">
        <v>45536</v>
      </c>
      <c r="V539" s="6">
        <v>9.76</v>
      </c>
      <c r="W539" s="6">
        <f ca="1">IFERROR(__xludf.DUMMYFUNCTION("IFERROR(GOOGLEFINANCE(B539,""pe""),V539)"),9.76)</f>
        <v>9.76</v>
      </c>
      <c r="X539" s="6">
        <v>-5.1100000000000003</v>
      </c>
      <c r="Y539" s="6">
        <v>1.17</v>
      </c>
      <c r="Z539" s="6">
        <v>1</v>
      </c>
      <c r="AA539" s="8">
        <v>45352</v>
      </c>
      <c r="AB539" s="4">
        <v>0</v>
      </c>
      <c r="AC539" s="6">
        <v>11.95</v>
      </c>
      <c r="AD539" s="6">
        <v>17.690000000000001</v>
      </c>
      <c r="AE539" s="1">
        <v>0</v>
      </c>
      <c r="AF539" s="1">
        <f ca="1">IFERROR(__xludf.DUMMYFUNCTION("IFERROR(GOOGLEFINANCE(TRIM(F539)&amp;"":"" &amp; TRIM(B539),""high52""),AE539)"),0)</f>
        <v>0</v>
      </c>
      <c r="AG539" s="1">
        <v>0</v>
      </c>
      <c r="AH539" s="1">
        <f ca="1">IFERROR(__xludf.DUMMYFUNCTION("IFERROR(GOOGLEFINANCE(TRIM(F539)&amp;"":"" &amp; TRIM(B539),""low52""),AE539)"),0)</f>
        <v>0</v>
      </c>
      <c r="AI539" s="1">
        <f ca="1">IFERROR(__xludf.DUMMYFUNCTION("IFERROR(GOOGLEFINANCE(B539,""eps""),0)"),0)</f>
        <v>0</v>
      </c>
      <c r="AJ539" s="1"/>
      <c r="AK539" s="9"/>
      <c r="AL539" s="1" t="b">
        <f>ISBLANK(AB539)</f>
        <v>0</v>
      </c>
    </row>
    <row r="540" spans="1:38" ht="15" x14ac:dyDescent="0.25">
      <c r="A540" s="1" t="s">
        <v>1698</v>
      </c>
      <c r="B540" s="1" t="s">
        <v>1699</v>
      </c>
      <c r="C540" s="1" t="s">
        <v>359</v>
      </c>
      <c r="D540" s="1" t="s">
        <v>359</v>
      </c>
      <c r="E540" s="6">
        <v>72.59</v>
      </c>
      <c r="F540" s="1" t="s">
        <v>40</v>
      </c>
      <c r="G540" s="6">
        <f ca="1">IFERROR(__xludf.DUMMYFUNCTION("iferror(GOOGLEFINANCE(TRIM(F540)&amp;"":"" &amp; TRIM(B540), ""price""),0
)"),0)</f>
        <v>0</v>
      </c>
      <c r="H540" s="6">
        <v>59.05</v>
      </c>
      <c r="I540" s="6">
        <f t="shared" ca="1" si="0"/>
        <v>59.05</v>
      </c>
      <c r="J540" s="6">
        <f ca="1">IFERROR(__xludf.DUMMYFUNCTION("IFERROR(GOOGLEFINANCE(B540, ""volume""), 0)"),0)</f>
        <v>0</v>
      </c>
      <c r="K540" s="6">
        <v>0.17</v>
      </c>
      <c r="L540" s="6">
        <f ca="1">IFERROR(__xludf.DUMMYFUNCTION("IFERROR(GOOGLEFINANCE(B540,""changepct""),K540)"),0.17)</f>
        <v>0.17</v>
      </c>
      <c r="M540" s="6">
        <f ca="1">IFERROR(__xludf.DUMMYFUNCTION("IFERROR(GOOGLEFINANCE(B540,""change""),0)"),0)</f>
        <v>0</v>
      </c>
      <c r="N540" s="6">
        <v>1</v>
      </c>
      <c r="O540" s="7">
        <v>45536</v>
      </c>
      <c r="P540" s="6">
        <v>8.9700000000000006</v>
      </c>
      <c r="Q540" s="6">
        <v>80.97</v>
      </c>
      <c r="R540" s="7">
        <v>45352</v>
      </c>
      <c r="S540" s="6">
        <v>85.68</v>
      </c>
      <c r="T540" s="6">
        <v>3.39</v>
      </c>
      <c r="U540" s="7">
        <v>45352</v>
      </c>
      <c r="V540" s="6">
        <v>21.43</v>
      </c>
      <c r="W540" s="6">
        <f ca="1">IFERROR(__xludf.DUMMYFUNCTION("IFERROR(GOOGLEFINANCE(B540,""pe""),V540)"),21.43)</f>
        <v>21.43</v>
      </c>
      <c r="X540" s="9"/>
      <c r="Y540" s="6">
        <v>3.43</v>
      </c>
      <c r="Z540" s="6">
        <v>2</v>
      </c>
      <c r="AA540" s="8">
        <v>45352</v>
      </c>
      <c r="AB540" s="4">
        <v>0.21</v>
      </c>
      <c r="AC540" s="6">
        <v>22.35</v>
      </c>
      <c r="AD540" s="6">
        <v>26.74</v>
      </c>
      <c r="AE540" s="1">
        <v>0</v>
      </c>
      <c r="AF540" s="1">
        <f ca="1">IFERROR(__xludf.DUMMYFUNCTION("IFERROR(GOOGLEFINANCE(TRIM(F540)&amp;"":"" &amp; TRIM(B540),""high52""),AE540)"),0)</f>
        <v>0</v>
      </c>
      <c r="AG540" s="1">
        <v>0</v>
      </c>
      <c r="AH540" s="1">
        <f ca="1">IFERROR(__xludf.DUMMYFUNCTION("IFERROR(GOOGLEFINANCE(TRIM(F540)&amp;"":"" &amp; TRIM(B540),""low52""),AE540)"),0)</f>
        <v>0</v>
      </c>
      <c r="AI540" s="1">
        <f ca="1">IFERROR(__xludf.DUMMYFUNCTION("IFERROR(GOOGLEFINANCE(B540,""eps""),0)"),0)</f>
        <v>0</v>
      </c>
      <c r="AJ540" s="1"/>
      <c r="AK540" s="1" t="s">
        <v>1700</v>
      </c>
      <c r="AL540" s="9">
        <f>IF(AA540&lt;&gt;AB540,1,0)</f>
        <v>1</v>
      </c>
    </row>
    <row r="541" spans="1:38" ht="15" x14ac:dyDescent="0.25">
      <c r="A541" s="1" t="s">
        <v>1701</v>
      </c>
      <c r="B541" s="1" t="s">
        <v>1702</v>
      </c>
      <c r="C541" s="1" t="s">
        <v>99</v>
      </c>
      <c r="D541" s="1" t="s">
        <v>99</v>
      </c>
      <c r="E541" s="6">
        <v>1576.89</v>
      </c>
      <c r="F541" s="1" t="s">
        <v>40</v>
      </c>
      <c r="G541" s="6">
        <f ca="1">IFERROR(__xludf.DUMMYFUNCTION("iferror(GOOGLEFINANCE(TRIM(F541)&amp;"":"" &amp; TRIM(B541), ""price""),0
)"),89)</f>
        <v>89</v>
      </c>
      <c r="H541" s="6">
        <v>151.83000000000001</v>
      </c>
      <c r="I541" s="6">
        <f t="shared" ca="1" si="0"/>
        <v>89</v>
      </c>
      <c r="J541" s="6">
        <f ca="1">IFERROR(__xludf.DUMMYFUNCTION("IFERROR(GOOGLEFINANCE(B541, ""volume""), 0)"),14767)</f>
        <v>14767</v>
      </c>
      <c r="K541" s="6">
        <v>1.04</v>
      </c>
      <c r="L541" s="6">
        <f ca="1">IFERROR(__xludf.DUMMYFUNCTION("IFERROR(GOOGLEFINANCE(B541,""changepct""),K541)"),0.34)</f>
        <v>0.34</v>
      </c>
      <c r="M541" s="6">
        <f ca="1">IFERROR(__xludf.DUMMYFUNCTION("IFERROR(GOOGLEFINANCE(B541,""change""),0)"),0.3)</f>
        <v>0.3</v>
      </c>
      <c r="N541" s="6">
        <v>1</v>
      </c>
      <c r="O541" s="7">
        <v>45536</v>
      </c>
      <c r="P541" s="6">
        <v>37.4</v>
      </c>
      <c r="Q541" s="6">
        <v>1614.29</v>
      </c>
      <c r="R541" s="7">
        <v>45536</v>
      </c>
      <c r="S541" s="6">
        <v>291.44</v>
      </c>
      <c r="T541" s="6">
        <v>23.2</v>
      </c>
      <c r="U541" s="7">
        <v>45536</v>
      </c>
      <c r="V541" s="6">
        <v>67.97</v>
      </c>
      <c r="W541" s="6">
        <f ca="1">IFERROR(__xludf.DUMMYFUNCTION("IFERROR(GOOGLEFINANCE(B541,""pe""),V541)"),33.33)</f>
        <v>33.33</v>
      </c>
      <c r="X541" s="6">
        <v>1.1200000000000001</v>
      </c>
      <c r="Y541" s="6">
        <v>17.239999999999998</v>
      </c>
      <c r="Z541" s="6">
        <v>1</v>
      </c>
      <c r="AA541" s="8">
        <v>45352</v>
      </c>
      <c r="AB541" s="4">
        <v>0.61</v>
      </c>
      <c r="AC541" s="6">
        <v>33.01</v>
      </c>
      <c r="AD541" s="6">
        <v>23.88</v>
      </c>
      <c r="AE541" s="1">
        <v>0</v>
      </c>
      <c r="AF541" s="1">
        <f ca="1">IFERROR(__xludf.DUMMYFUNCTION("IFERROR(GOOGLEFINANCE(TRIM(F541)&amp;"":"" &amp; TRIM(B541),""high52""),AE541)"),179.99)</f>
        <v>179.99</v>
      </c>
      <c r="AG541" s="1">
        <v>0</v>
      </c>
      <c r="AH541" s="1">
        <f ca="1">IFERROR(__xludf.DUMMYFUNCTION("IFERROR(GOOGLEFINANCE(TRIM(F541)&amp;"":"" &amp; TRIM(B541),""low52""),AE541)"),87.1)</f>
        <v>87.1</v>
      </c>
      <c r="AI541" s="1">
        <f ca="1">IFERROR(__xludf.DUMMYFUNCTION("IFERROR(GOOGLEFINANCE(B541,""eps""),0)"),2.67)</f>
        <v>2.67</v>
      </c>
      <c r="AJ541" s="1"/>
      <c r="AK541" s="1" t="s">
        <v>1703</v>
      </c>
      <c r="AL541" s="1" t="b">
        <f t="shared" ref="AL541:AL543" si="121">ISNUMBER(AA541)</f>
        <v>1</v>
      </c>
    </row>
    <row r="542" spans="1:38" ht="15" x14ac:dyDescent="0.25">
      <c r="A542" s="1" t="s">
        <v>1704</v>
      </c>
      <c r="B542" s="1" t="s">
        <v>1705</v>
      </c>
      <c r="C542" s="1" t="s">
        <v>135</v>
      </c>
      <c r="D542" s="1" t="s">
        <v>135</v>
      </c>
      <c r="E542" s="6">
        <v>99.14</v>
      </c>
      <c r="F542" s="1" t="s">
        <v>53</v>
      </c>
      <c r="G542" s="6">
        <f ca="1">IFERROR(__xludf.DUMMYFUNCTION("iferror(GOOGLEFINANCE(TRIM(F542)&amp;"":"" &amp; TRIM(B542), ""price""),0
)"),0)</f>
        <v>0</v>
      </c>
      <c r="H542" s="6">
        <v>48</v>
      </c>
      <c r="I542" s="6">
        <f t="shared" ca="1" si="0"/>
        <v>48</v>
      </c>
      <c r="J542" s="6">
        <f ca="1">IFERROR(__xludf.DUMMYFUNCTION("IFERROR(GOOGLEFINANCE(B542, ""volume""), 0)"),0)</f>
        <v>0</v>
      </c>
      <c r="K542" s="6">
        <v>-0.64</v>
      </c>
      <c r="L542" s="6">
        <f ca="1">IFERROR(__xludf.DUMMYFUNCTION("IFERROR(GOOGLEFINANCE(B542,""changepct""),K542)"),-0.64)</f>
        <v>-0.64</v>
      </c>
      <c r="M542" s="6">
        <f ca="1">IFERROR(__xludf.DUMMYFUNCTION("IFERROR(GOOGLEFINANCE(B542,""change""),0)"),0)</f>
        <v>0</v>
      </c>
      <c r="N542" s="6">
        <v>1</v>
      </c>
      <c r="O542" s="7">
        <v>45536</v>
      </c>
      <c r="P542" s="6">
        <v>30.17</v>
      </c>
      <c r="Q542" s="6">
        <v>128.94999999999999</v>
      </c>
      <c r="R542" s="7">
        <v>45536</v>
      </c>
      <c r="S542" s="6">
        <v>112.35</v>
      </c>
      <c r="T542" s="6">
        <v>3.36</v>
      </c>
      <c r="U542" s="7">
        <v>45536</v>
      </c>
      <c r="V542" s="6">
        <v>29.55</v>
      </c>
      <c r="W542" s="6">
        <f ca="1">IFERROR(__xludf.DUMMYFUNCTION("IFERROR(GOOGLEFINANCE(B542,""pe""),V542)"),29.55)</f>
        <v>29.55</v>
      </c>
      <c r="X542" s="9"/>
      <c r="Y542" s="6">
        <v>1.5</v>
      </c>
      <c r="Z542" s="6">
        <v>2</v>
      </c>
      <c r="AA542" s="8">
        <v>45352</v>
      </c>
      <c r="AB542" s="4">
        <v>0.4</v>
      </c>
      <c r="AC542" s="6">
        <v>5.2</v>
      </c>
      <c r="AD542" s="6">
        <v>7.56</v>
      </c>
      <c r="AE542" s="1">
        <v>0</v>
      </c>
      <c r="AF542" s="1">
        <f ca="1">IFERROR(__xludf.DUMMYFUNCTION("IFERROR(GOOGLEFINANCE(TRIM(F542)&amp;"":"" &amp; TRIM(B542),""high52""),AE542)"),0)</f>
        <v>0</v>
      </c>
      <c r="AG542" s="1">
        <v>0</v>
      </c>
      <c r="AH542" s="1">
        <f ca="1">IFERROR(__xludf.DUMMYFUNCTION("IFERROR(GOOGLEFINANCE(TRIM(F542)&amp;"":"" &amp; TRIM(B542),""low52""),AE542)"),0)</f>
        <v>0</v>
      </c>
      <c r="AI542" s="1">
        <f ca="1">IFERROR(__xludf.DUMMYFUNCTION("IFERROR(GOOGLEFINANCE(B542,""eps""),0)"),0)</f>
        <v>0</v>
      </c>
      <c r="AJ542" s="1"/>
      <c r="AK542" s="1" t="s">
        <v>1706</v>
      </c>
      <c r="AL542" s="1" t="b">
        <f t="shared" si="121"/>
        <v>1</v>
      </c>
    </row>
    <row r="543" spans="1:38" ht="15" x14ac:dyDescent="0.25">
      <c r="A543" s="1" t="s">
        <v>1707</v>
      </c>
      <c r="B543" s="1" t="s">
        <v>1708</v>
      </c>
      <c r="C543" s="1" t="s">
        <v>135</v>
      </c>
      <c r="D543" s="1" t="s">
        <v>135</v>
      </c>
      <c r="E543" s="6">
        <v>222</v>
      </c>
      <c r="F543" s="1" t="s">
        <v>53</v>
      </c>
      <c r="G543" s="6">
        <f ca="1">IFERROR(__xludf.DUMMYFUNCTION("iferror(GOOGLEFINANCE(TRIM(F543)&amp;"":"" &amp; TRIM(B543), ""price""),0
)"),0)</f>
        <v>0</v>
      </c>
      <c r="H543" s="6">
        <v>283.05</v>
      </c>
      <c r="I543" s="6">
        <f t="shared" ca="1" si="0"/>
        <v>283.05</v>
      </c>
      <c r="J543" s="6">
        <f ca="1">IFERROR(__xludf.DUMMYFUNCTION("IFERROR(GOOGLEFINANCE(B543, ""volume""), 0)"),0)</f>
        <v>0</v>
      </c>
      <c r="K543" s="6">
        <v>2</v>
      </c>
      <c r="L543" s="6">
        <f ca="1">IFERROR(__xludf.DUMMYFUNCTION("IFERROR(GOOGLEFINANCE(B543,""changepct""),K543)"),2)</f>
        <v>2</v>
      </c>
      <c r="M543" s="6">
        <f ca="1">IFERROR(__xludf.DUMMYFUNCTION("IFERROR(GOOGLEFINANCE(B543,""change""),0)"),0)</f>
        <v>0</v>
      </c>
      <c r="N543" s="6">
        <v>2</v>
      </c>
      <c r="O543" s="7">
        <v>45536</v>
      </c>
      <c r="P543" s="6">
        <v>25.46</v>
      </c>
      <c r="Q543" s="6">
        <v>238.15</v>
      </c>
      <c r="R543" s="7">
        <v>45536</v>
      </c>
      <c r="S543" s="6">
        <v>222.28</v>
      </c>
      <c r="T543" s="6">
        <v>13.78</v>
      </c>
      <c r="U543" s="7">
        <v>45536</v>
      </c>
      <c r="V543" s="6">
        <v>16.11</v>
      </c>
      <c r="W543" s="6">
        <f ca="1">IFERROR(__xludf.DUMMYFUNCTION("IFERROR(GOOGLEFINANCE(B543,""pe""),V543)"),16.11)</f>
        <v>16.11</v>
      </c>
      <c r="X543" s="9"/>
      <c r="Y543" s="6">
        <v>3.15</v>
      </c>
      <c r="Z543" s="6">
        <v>2</v>
      </c>
      <c r="AA543" s="8">
        <v>45352</v>
      </c>
      <c r="AB543" s="4">
        <v>0.44</v>
      </c>
      <c r="AC543" s="6">
        <v>18.87</v>
      </c>
      <c r="AD543" s="6">
        <v>21</v>
      </c>
      <c r="AE543" s="1">
        <v>0</v>
      </c>
      <c r="AF543" s="1">
        <f ca="1">IFERROR(__xludf.DUMMYFUNCTION("IFERROR(GOOGLEFINANCE(TRIM(F543)&amp;"":"" &amp; TRIM(B543),""high52""),AE543)"),0)</f>
        <v>0</v>
      </c>
      <c r="AG543" s="1">
        <v>0</v>
      </c>
      <c r="AH543" s="1">
        <f ca="1">IFERROR(__xludf.DUMMYFUNCTION("IFERROR(GOOGLEFINANCE(TRIM(F543)&amp;"":"" &amp; TRIM(B543),""low52""),AE543)"),0)</f>
        <v>0</v>
      </c>
      <c r="AI543" s="1">
        <f ca="1">IFERROR(__xludf.DUMMYFUNCTION("IFERROR(GOOGLEFINANCE(B543,""eps""),0)"),0)</f>
        <v>0</v>
      </c>
      <c r="AJ543" s="1"/>
      <c r="AK543" s="1" t="s">
        <v>1709</v>
      </c>
      <c r="AL543" s="1" t="b">
        <f t="shared" si="121"/>
        <v>1</v>
      </c>
    </row>
    <row r="544" spans="1:38" ht="15" x14ac:dyDescent="0.25">
      <c r="A544" s="1" t="s">
        <v>1710</v>
      </c>
      <c r="B544" s="1" t="s">
        <v>1711</v>
      </c>
      <c r="C544" s="1" t="s">
        <v>1265</v>
      </c>
      <c r="D544" s="1" t="s">
        <v>1265</v>
      </c>
      <c r="E544" s="6">
        <v>4886.47</v>
      </c>
      <c r="F544" s="1" t="s">
        <v>40</v>
      </c>
      <c r="G544" s="6">
        <f ca="1">IFERROR(__xludf.DUMMYFUNCTION("iferror(GOOGLEFINANCE(TRIM(F544)&amp;"":"" &amp; TRIM(B544), ""price""),0
)"),252.75)</f>
        <v>252.75</v>
      </c>
      <c r="H544" s="6">
        <v>412.7</v>
      </c>
      <c r="I544" s="6">
        <f t="shared" ca="1" si="0"/>
        <v>252.75</v>
      </c>
      <c r="J544" s="6">
        <f ca="1">IFERROR(__xludf.DUMMYFUNCTION("IFERROR(GOOGLEFINANCE(B544, ""volume""), 0)"),49912)</f>
        <v>49912</v>
      </c>
      <c r="K544" s="6">
        <v>0.74</v>
      </c>
      <c r="L544" s="6">
        <f ca="1">IFERROR(__xludf.DUMMYFUNCTION("IFERROR(GOOGLEFINANCE(B544,""changepct""),K544)"),-0.69)</f>
        <v>-0.69</v>
      </c>
      <c r="M544" s="6">
        <f ca="1">IFERROR(__xludf.DUMMYFUNCTION("IFERROR(GOOGLEFINANCE(B544,""change""),0)"),-1.75)</f>
        <v>-1.75</v>
      </c>
      <c r="N544" s="6">
        <v>2</v>
      </c>
      <c r="O544" s="7">
        <v>45536</v>
      </c>
      <c r="P544" s="6">
        <v>80.91</v>
      </c>
      <c r="Q544" s="6">
        <v>4960.5200000000004</v>
      </c>
      <c r="R544" s="7">
        <v>45536</v>
      </c>
      <c r="S544" s="6">
        <v>1022.03</v>
      </c>
      <c r="T544" s="6">
        <v>69.989999999999995</v>
      </c>
      <c r="U544" s="7">
        <v>45536</v>
      </c>
      <c r="V544" s="6">
        <v>69.819999999999993</v>
      </c>
      <c r="W544" s="6">
        <f ca="1">IFERROR(__xludf.DUMMYFUNCTION("IFERROR(GOOGLEFINANCE(B544,""pe""),V544)"),34.84)</f>
        <v>34.840000000000003</v>
      </c>
      <c r="X544" s="9"/>
      <c r="Y544" s="6">
        <v>6.45</v>
      </c>
      <c r="Z544" s="6">
        <v>2</v>
      </c>
      <c r="AA544" s="8">
        <v>45352</v>
      </c>
      <c r="AB544" s="4">
        <v>0.27</v>
      </c>
      <c r="AC544" s="6">
        <v>12.2</v>
      </c>
      <c r="AD544" s="6">
        <v>14.5</v>
      </c>
      <c r="AE544" s="1">
        <v>0</v>
      </c>
      <c r="AF544" s="1">
        <f ca="1">IFERROR(__xludf.DUMMYFUNCTION("IFERROR(GOOGLEFINANCE(TRIM(F544)&amp;"":"" &amp; TRIM(B544),""high52""),AE544)"),407)</f>
        <v>407</v>
      </c>
      <c r="AG544" s="1">
        <v>0</v>
      </c>
      <c r="AH544" s="1">
        <f ca="1">IFERROR(__xludf.DUMMYFUNCTION("IFERROR(GOOGLEFINANCE(TRIM(F544)&amp;"":"" &amp; TRIM(B544),""low52""),AE544)"),240.1)</f>
        <v>240.1</v>
      </c>
      <c r="AI544" s="1">
        <f ca="1">IFERROR(__xludf.DUMMYFUNCTION("IFERROR(GOOGLEFINANCE(B544,""eps""),0)"),7.26)</f>
        <v>7.26</v>
      </c>
      <c r="AJ544" s="1"/>
      <c r="AK544" s="1" t="s">
        <v>1712</v>
      </c>
      <c r="AL544" s="9">
        <f>IF(AA544&lt;&gt;AB544,1,0)</f>
        <v>1</v>
      </c>
    </row>
    <row r="545" spans="1:38" ht="15" x14ac:dyDescent="0.25">
      <c r="A545" s="1" t="s">
        <v>1713</v>
      </c>
      <c r="B545" s="1" t="s">
        <v>1714</v>
      </c>
      <c r="C545" s="1" t="s">
        <v>135</v>
      </c>
      <c r="D545" s="1" t="s">
        <v>135</v>
      </c>
      <c r="E545" s="6">
        <v>30.03</v>
      </c>
      <c r="F545" s="1" t="s">
        <v>53</v>
      </c>
      <c r="G545" s="6">
        <f ca="1">IFERROR(__xludf.DUMMYFUNCTION("iferror(GOOGLEFINANCE(TRIM(F545)&amp;"":"" &amp; TRIM(B545), ""price""),0
)"),0)</f>
        <v>0</v>
      </c>
      <c r="H545" s="6">
        <v>11.62</v>
      </c>
      <c r="I545" s="6">
        <f t="shared" ca="1" si="0"/>
        <v>11.62</v>
      </c>
      <c r="J545" s="6">
        <f ca="1">IFERROR(__xludf.DUMMYFUNCTION("IFERROR(GOOGLEFINANCE(B545, ""volume""), 0)"),0)</f>
        <v>0</v>
      </c>
      <c r="K545" s="6">
        <v>-4.99</v>
      </c>
      <c r="L545" s="6">
        <f ca="1">IFERROR(__xludf.DUMMYFUNCTION("IFERROR(GOOGLEFINANCE(B545,""changepct""),K545)"),-4.99)</f>
        <v>-4.99</v>
      </c>
      <c r="M545" s="6">
        <f ca="1">IFERROR(__xludf.DUMMYFUNCTION("IFERROR(GOOGLEFINANCE(B545,""change""),0)"),0)</f>
        <v>0</v>
      </c>
      <c r="N545" s="6">
        <v>1</v>
      </c>
      <c r="O545" s="7">
        <v>45536</v>
      </c>
      <c r="P545" s="6">
        <v>5.67</v>
      </c>
      <c r="Q545" s="6">
        <v>35.71</v>
      </c>
      <c r="R545" s="7">
        <v>45536</v>
      </c>
      <c r="S545" s="6">
        <v>0</v>
      </c>
      <c r="T545" s="6">
        <v>-1.44</v>
      </c>
      <c r="U545" s="7">
        <v>45536</v>
      </c>
      <c r="V545" s="6">
        <v>0</v>
      </c>
      <c r="W545" s="6">
        <f ca="1">IFERROR(__xludf.DUMMYFUNCTION("IFERROR(GOOGLEFINANCE(B545,""pe""),V545)"),0)</f>
        <v>0</v>
      </c>
      <c r="X545" s="9"/>
      <c r="Y545" s="6">
        <v>2.46</v>
      </c>
      <c r="Z545" s="6">
        <v>1</v>
      </c>
      <c r="AA545" s="8">
        <v>45352</v>
      </c>
      <c r="AB545" s="4">
        <v>-1.26</v>
      </c>
      <c r="AC545" s="6">
        <v>0</v>
      </c>
      <c r="AD545" s="6">
        <v>-167.36</v>
      </c>
      <c r="AE545" s="1">
        <v>0</v>
      </c>
      <c r="AF545" s="1">
        <f ca="1">IFERROR(__xludf.DUMMYFUNCTION("IFERROR(GOOGLEFINANCE(TRIM(F545)&amp;"":"" &amp; TRIM(B545),""high52""),AE545)"),0)</f>
        <v>0</v>
      </c>
      <c r="AG545" s="1">
        <v>0</v>
      </c>
      <c r="AH545" s="1">
        <f ca="1">IFERROR(__xludf.DUMMYFUNCTION("IFERROR(GOOGLEFINANCE(TRIM(F545)&amp;"":"" &amp; TRIM(B545),""low52""),AE545)"),0)</f>
        <v>0</v>
      </c>
      <c r="AI545" s="1">
        <f ca="1">IFERROR(__xludf.DUMMYFUNCTION("IFERROR(GOOGLEFINANCE(B545,""eps""),0)"),0)</f>
        <v>0</v>
      </c>
      <c r="AJ545" s="1"/>
      <c r="AK545" s="9"/>
      <c r="AL545" s="1" t="b">
        <f>ISBLANK(AB545)</f>
        <v>0</v>
      </c>
    </row>
    <row r="546" spans="1:38" ht="15" x14ac:dyDescent="0.25">
      <c r="A546" s="1" t="s">
        <v>1715</v>
      </c>
      <c r="B546" s="1" t="s">
        <v>1716</v>
      </c>
      <c r="C546" s="1" t="s">
        <v>473</v>
      </c>
      <c r="D546" s="1" t="s">
        <v>473</v>
      </c>
      <c r="E546" s="6">
        <v>7142.07</v>
      </c>
      <c r="F546" s="1" t="s">
        <v>40</v>
      </c>
      <c r="G546" s="6">
        <f ca="1">IFERROR(__xludf.DUMMYFUNCTION("iferror(GOOGLEFINANCE(TRIM(F546)&amp;"":"" &amp; TRIM(B546), ""price""),0
)"),481.9)</f>
        <v>481.9</v>
      </c>
      <c r="H546" s="6">
        <v>552.75</v>
      </c>
      <c r="I546" s="6">
        <f t="shared" ca="1" si="0"/>
        <v>481.9</v>
      </c>
      <c r="J546" s="6">
        <f ca="1">IFERROR(__xludf.DUMMYFUNCTION("IFERROR(GOOGLEFINANCE(B546, ""volume""), 0)"),359042)</f>
        <v>359042</v>
      </c>
      <c r="K546" s="6">
        <v>0.97</v>
      </c>
      <c r="L546" s="6">
        <f ca="1">IFERROR(__xludf.DUMMYFUNCTION("IFERROR(GOOGLEFINANCE(B546,""changepct""),K546)"),-0.37)</f>
        <v>-0.37</v>
      </c>
      <c r="M546" s="6">
        <f ca="1">IFERROR(__xludf.DUMMYFUNCTION("IFERROR(GOOGLEFINANCE(B546,""change""),0)"),-1.8)</f>
        <v>-1.8</v>
      </c>
      <c r="N546" s="6">
        <v>2</v>
      </c>
      <c r="O546" s="7">
        <v>45536</v>
      </c>
      <c r="P546" s="6">
        <v>553.09</v>
      </c>
      <c r="Q546" s="6">
        <v>7598.26</v>
      </c>
      <c r="R546" s="7">
        <v>45536</v>
      </c>
      <c r="S546" s="6">
        <v>1356.34</v>
      </c>
      <c r="T546" s="6">
        <v>-96.63</v>
      </c>
      <c r="U546" s="7">
        <v>45536</v>
      </c>
      <c r="V546" s="6">
        <v>0</v>
      </c>
      <c r="W546" s="6">
        <f ca="1">IFERROR(__xludf.DUMMYFUNCTION("IFERROR(GOOGLEFINANCE(B546,""pe""),V546)"),39.51)</f>
        <v>39.51</v>
      </c>
      <c r="X546" s="9"/>
      <c r="Y546" s="6">
        <v>8.3699999999999992</v>
      </c>
      <c r="Z546" s="6">
        <v>2</v>
      </c>
      <c r="AA546" s="8">
        <v>45352</v>
      </c>
      <c r="AB546" s="4">
        <v>0.66</v>
      </c>
      <c r="AC546" s="6">
        <v>-5.62</v>
      </c>
      <c r="AD546" s="6">
        <v>-1.69</v>
      </c>
      <c r="AE546" s="1">
        <v>0</v>
      </c>
      <c r="AF546" s="1">
        <f ca="1">IFERROR(__xludf.DUMMYFUNCTION("IFERROR(GOOGLEFINANCE(TRIM(F546)&amp;"":"" &amp; TRIM(B546),""high52""),AE546)"),721)</f>
        <v>721</v>
      </c>
      <c r="AG546" s="1">
        <v>0</v>
      </c>
      <c r="AH546" s="1">
        <f ca="1">IFERROR(__xludf.DUMMYFUNCTION("IFERROR(GOOGLEFINANCE(TRIM(F546)&amp;"":"" &amp; TRIM(B546),""low52""),AE546)"),441.45)</f>
        <v>441.45</v>
      </c>
      <c r="AI546" s="1">
        <f ca="1">IFERROR(__xludf.DUMMYFUNCTION("IFERROR(GOOGLEFINANCE(B546,""eps""),0)"),5.57)</f>
        <v>5.57</v>
      </c>
      <c r="AJ546" s="1"/>
      <c r="AK546" s="9"/>
      <c r="AL546" s="9">
        <f t="shared" ref="AL546:AL547" si="122">IF(AA546&lt;&gt;AB546,1,0)</f>
        <v>1</v>
      </c>
    </row>
    <row r="547" spans="1:38" ht="15" x14ac:dyDescent="0.25">
      <c r="A547" s="1" t="s">
        <v>1717</v>
      </c>
      <c r="B547" s="1" t="s">
        <v>1718</v>
      </c>
      <c r="C547" s="1" t="s">
        <v>483</v>
      </c>
      <c r="D547" s="1" t="s">
        <v>483</v>
      </c>
      <c r="E547" s="6">
        <v>1533.12</v>
      </c>
      <c r="F547" s="1" t="s">
        <v>40</v>
      </c>
      <c r="G547" s="6">
        <f ca="1">IFERROR(__xludf.DUMMYFUNCTION("iferror(GOOGLEFINANCE(TRIM(F547)&amp;"":"" &amp; TRIM(B547), ""price""),0
)"),107.19)</f>
        <v>107.19</v>
      </c>
      <c r="H547" s="6">
        <v>174.19</v>
      </c>
      <c r="I547" s="6">
        <f t="shared" ca="1" si="0"/>
        <v>107.19</v>
      </c>
      <c r="J547" s="6">
        <f ca="1">IFERROR(__xludf.DUMMYFUNCTION("IFERROR(GOOGLEFINANCE(B547, ""volume""), 0)"),34402)</f>
        <v>34402</v>
      </c>
      <c r="K547" s="6">
        <v>1.1499999999999999</v>
      </c>
      <c r="L547" s="6">
        <f ca="1">IFERROR(__xludf.DUMMYFUNCTION("IFERROR(GOOGLEFINANCE(B547,""changepct""),K547)"),-2.55)</f>
        <v>-2.5499999999999998</v>
      </c>
      <c r="M547" s="6">
        <f ca="1">IFERROR(__xludf.DUMMYFUNCTION("IFERROR(GOOGLEFINANCE(B547,""change""),0)"),-2.8)</f>
        <v>-2.8</v>
      </c>
      <c r="N547" s="6">
        <v>2</v>
      </c>
      <c r="O547" s="7">
        <v>45536</v>
      </c>
      <c r="P547" s="6">
        <v>16.760000000000002</v>
      </c>
      <c r="Q547" s="6">
        <v>1542.75</v>
      </c>
      <c r="R547" s="7">
        <v>45352</v>
      </c>
      <c r="S547" s="6">
        <v>394.58</v>
      </c>
      <c r="T547" s="6">
        <v>23.48</v>
      </c>
      <c r="U547" s="7">
        <v>45352</v>
      </c>
      <c r="V547" s="6">
        <v>65.08</v>
      </c>
      <c r="W547" s="6">
        <f ca="1">IFERROR(__xludf.DUMMYFUNCTION("IFERROR(GOOGLEFINANCE(B547,""pe""),V547)"),82.01)</f>
        <v>82.01</v>
      </c>
      <c r="X547" s="12"/>
      <c r="Y547" s="6">
        <v>4.04</v>
      </c>
      <c r="Z547" s="6">
        <v>2</v>
      </c>
      <c r="AA547" s="8">
        <v>45352</v>
      </c>
      <c r="AB547" s="4">
        <v>0.05</v>
      </c>
      <c r="AC547" s="6">
        <v>6.43</v>
      </c>
      <c r="AD547" s="6">
        <v>8.98</v>
      </c>
      <c r="AE547" s="1">
        <v>0</v>
      </c>
      <c r="AF547" s="1">
        <f ca="1">IFERROR(__xludf.DUMMYFUNCTION("IFERROR(GOOGLEFINANCE(TRIM(F547)&amp;"":"" &amp; TRIM(B547),""high52""),AE547)"),190.79)</f>
        <v>190.79</v>
      </c>
      <c r="AG547" s="1">
        <v>0</v>
      </c>
      <c r="AH547" s="1">
        <f ca="1">IFERROR(__xludf.DUMMYFUNCTION("IFERROR(GOOGLEFINANCE(TRIM(F547)&amp;"":"" &amp; TRIM(B547),""low52""),AE547)"),99.53)</f>
        <v>99.53</v>
      </c>
      <c r="AI547" s="1">
        <f ca="1">IFERROR(__xludf.DUMMYFUNCTION("IFERROR(GOOGLEFINANCE(B547,""eps""),0)"),1.31)</f>
        <v>1.31</v>
      </c>
      <c r="AJ547" s="1"/>
      <c r="AK547" s="1" t="s">
        <v>1719</v>
      </c>
      <c r="AL547" s="9">
        <f t="shared" si="122"/>
        <v>1</v>
      </c>
    </row>
    <row r="548" spans="1:38" ht="15" x14ac:dyDescent="0.25">
      <c r="A548" s="1" t="s">
        <v>1720</v>
      </c>
      <c r="B548" s="1" t="s">
        <v>1721</v>
      </c>
      <c r="C548" s="1" t="s">
        <v>355</v>
      </c>
      <c r="D548" s="1" t="s">
        <v>355</v>
      </c>
      <c r="E548" s="6">
        <v>101613.9</v>
      </c>
      <c r="F548" s="1" t="s">
        <v>40</v>
      </c>
      <c r="G548" s="6">
        <f ca="1">IFERROR(__xludf.DUMMYFUNCTION("iferror(GOOGLEFINANCE(TRIM(F548)&amp;"":"" &amp; TRIM(B548), ""price""),0
)"),36480)</f>
        <v>36480</v>
      </c>
      <c r="H548" s="6">
        <v>34809.449999999997</v>
      </c>
      <c r="I548" s="6">
        <f t="shared" ca="1" si="0"/>
        <v>36480</v>
      </c>
      <c r="J548" s="6">
        <f ca="1">IFERROR(__xludf.DUMMYFUNCTION("IFERROR(GOOGLEFINANCE(B548, ""volume""), 0)"),11666)</f>
        <v>11666</v>
      </c>
      <c r="K548" s="6">
        <v>1.1100000000000001</v>
      </c>
      <c r="L548" s="6">
        <f ca="1">IFERROR(__xludf.DUMMYFUNCTION("IFERROR(GOOGLEFINANCE(B548,""changepct""),K548)"),0.97)</f>
        <v>0.97</v>
      </c>
      <c r="M548" s="6">
        <f ca="1">IFERROR(__xludf.DUMMYFUNCTION("IFERROR(GOOGLEFINANCE(B548,""change""),0)"),350)</f>
        <v>350</v>
      </c>
      <c r="N548" s="6">
        <v>2</v>
      </c>
      <c r="O548" s="7">
        <v>45536</v>
      </c>
      <c r="P548" s="9"/>
      <c r="Q548" s="6">
        <v>98457.85</v>
      </c>
      <c r="R548" s="7">
        <v>45536</v>
      </c>
      <c r="S548" s="6">
        <v>17149.7</v>
      </c>
      <c r="T548" s="6">
        <v>2083.6999999999998</v>
      </c>
      <c r="U548" s="7">
        <v>45536</v>
      </c>
      <c r="V548" s="6">
        <v>48.73</v>
      </c>
      <c r="W548" s="6">
        <f ca="1">IFERROR(__xludf.DUMMYFUNCTION("IFERROR(GOOGLEFINANCE(B548,""pe""),V548)"),40.1)</f>
        <v>40.1</v>
      </c>
      <c r="X548" s="6">
        <v>17.72</v>
      </c>
      <c r="Y548" s="6">
        <v>7.98</v>
      </c>
      <c r="Z548" s="6">
        <v>2</v>
      </c>
      <c r="AA548" s="8">
        <v>45352</v>
      </c>
      <c r="AB548" s="4">
        <v>0</v>
      </c>
      <c r="AC548" s="6">
        <v>21.6</v>
      </c>
      <c r="AD548" s="6">
        <v>28.02</v>
      </c>
      <c r="AE548" s="1">
        <v>0</v>
      </c>
      <c r="AF548" s="1">
        <f ca="1">IFERROR(__xludf.DUMMYFUNCTION("IFERROR(GOOGLEFINANCE(TRIM(F548)&amp;"":"" &amp; TRIM(B548),""high52""),AE548)"),41945)</f>
        <v>41945</v>
      </c>
      <c r="AG548" s="1">
        <v>0</v>
      </c>
      <c r="AH548" s="1">
        <f ca="1">IFERROR(__xludf.DUMMYFUNCTION("IFERROR(GOOGLEFINANCE(TRIM(F548)&amp;"":"" &amp; TRIM(B548),""low52""),AE548)"),25921.6)</f>
        <v>25921.599999999999</v>
      </c>
      <c r="AI548" s="1">
        <f ca="1">IFERROR(__xludf.DUMMYFUNCTION("IFERROR(GOOGLEFINANCE(B548,""eps""),0)"),909.62)</f>
        <v>909.62</v>
      </c>
      <c r="AJ548" s="1"/>
      <c r="AK548" s="1" t="s">
        <v>1722</v>
      </c>
      <c r="AL548" s="1" t="b">
        <f>ISNUMBER(AA548)</f>
        <v>1</v>
      </c>
    </row>
    <row r="549" spans="1:38" ht="15" x14ac:dyDescent="0.25">
      <c r="A549" s="1" t="s">
        <v>1723</v>
      </c>
      <c r="B549" s="1" t="s">
        <v>1724</v>
      </c>
      <c r="C549" s="1" t="s">
        <v>483</v>
      </c>
      <c r="D549" s="1" t="s">
        <v>483</v>
      </c>
      <c r="E549" s="6">
        <v>22.14</v>
      </c>
      <c r="F549" s="1" t="s">
        <v>40</v>
      </c>
      <c r="G549" s="6">
        <f ca="1">IFERROR(__xludf.DUMMYFUNCTION("iferror(GOOGLEFINANCE(TRIM(F549)&amp;"":"" &amp; TRIM(B549), ""price""),0
)"),0)</f>
        <v>0</v>
      </c>
      <c r="H549" s="6">
        <v>49.8</v>
      </c>
      <c r="I549" s="6">
        <f t="shared" ca="1" si="0"/>
        <v>49.8</v>
      </c>
      <c r="J549" s="6">
        <f ca="1">IFERROR(__xludf.DUMMYFUNCTION("IFERROR(GOOGLEFINANCE(B549, ""volume""), 0)"),16630)</f>
        <v>16630</v>
      </c>
      <c r="K549" s="9"/>
      <c r="L549" s="6">
        <f ca="1">IFERROR(__xludf.DUMMYFUNCTION("IFERROR(GOOGLEFINANCE(B549,""changepct""),K549)"),0.6)</f>
        <v>0.6</v>
      </c>
      <c r="M549" s="6">
        <f ca="1">IFERROR(__xludf.DUMMYFUNCTION("IFERROR(GOOGLEFINANCE(B549,""change""),0)"),0.21)</f>
        <v>0.21</v>
      </c>
      <c r="N549" s="6">
        <v>1</v>
      </c>
      <c r="O549" s="7">
        <v>45536</v>
      </c>
      <c r="P549" s="6">
        <v>0.43</v>
      </c>
      <c r="Q549" s="6">
        <v>22.58</v>
      </c>
      <c r="R549" s="14"/>
      <c r="S549" s="9"/>
      <c r="T549" s="9"/>
      <c r="U549" s="7">
        <v>45352</v>
      </c>
      <c r="V549" s="6">
        <v>21.91</v>
      </c>
      <c r="W549" s="6">
        <f ca="1">IFERROR(__xludf.DUMMYFUNCTION("IFERROR(GOOGLEFINANCE(B549,""pe""),V549)"),10.81)</f>
        <v>10.81</v>
      </c>
      <c r="X549" s="9"/>
      <c r="Y549" s="6">
        <v>1.71</v>
      </c>
      <c r="Z549" s="6">
        <v>1</v>
      </c>
      <c r="AA549" s="8">
        <v>45352</v>
      </c>
      <c r="AB549" s="4">
        <v>0.14000000000000001</v>
      </c>
      <c r="AC549" s="6">
        <v>30.85</v>
      </c>
      <c r="AD549" s="6">
        <v>41.51</v>
      </c>
      <c r="AE549" s="1">
        <v>0</v>
      </c>
      <c r="AF549" s="1">
        <f ca="1">IFERROR(__xludf.DUMMYFUNCTION("IFERROR(GOOGLEFINANCE(TRIM(F549)&amp;"":"" &amp; TRIM(B549),""high52""),AE549)"),0)</f>
        <v>0</v>
      </c>
      <c r="AG549" s="1">
        <v>0</v>
      </c>
      <c r="AH549" s="1">
        <f ca="1">IFERROR(__xludf.DUMMYFUNCTION("IFERROR(GOOGLEFINANCE(TRIM(F549)&amp;"":"" &amp; TRIM(B549),""low52""),AE549)"),0)</f>
        <v>0</v>
      </c>
      <c r="AI549" s="1">
        <f ca="1">IFERROR(__xludf.DUMMYFUNCTION("IFERROR(GOOGLEFINANCE(B549,""eps""),0)"),3.26)</f>
        <v>3.26</v>
      </c>
      <c r="AJ549" s="1"/>
      <c r="AK549" s="12"/>
      <c r="AL549" s="9">
        <f t="shared" ref="AL549:AL571" si="123">IF(AA549&lt;&gt;AB549,1,0)</f>
        <v>1</v>
      </c>
    </row>
    <row r="550" spans="1:38" ht="15" x14ac:dyDescent="0.25">
      <c r="A550" s="1" t="s">
        <v>1725</v>
      </c>
      <c r="B550" s="1" t="s">
        <v>1726</v>
      </c>
      <c r="C550" s="1" t="s">
        <v>135</v>
      </c>
      <c r="D550" s="1" t="s">
        <v>135</v>
      </c>
      <c r="E550" s="6">
        <v>632.14</v>
      </c>
      <c r="F550" s="1" t="s">
        <v>53</v>
      </c>
      <c r="G550" s="6">
        <f ca="1">IFERROR(__xludf.DUMMYFUNCTION("iferror(GOOGLEFINANCE(TRIM(F550)&amp;"":"" &amp; TRIM(B550), ""price""),0
)"),0)</f>
        <v>0</v>
      </c>
      <c r="H550" s="6">
        <v>125.75</v>
      </c>
      <c r="I550" s="6">
        <f t="shared" ca="1" si="0"/>
        <v>125.75</v>
      </c>
      <c r="J550" s="6">
        <f ca="1">IFERROR(__xludf.DUMMYFUNCTION("IFERROR(GOOGLEFINANCE(B550, ""volume""), 0)"),0)</f>
        <v>0</v>
      </c>
      <c r="K550" s="6">
        <v>1.45</v>
      </c>
      <c r="L550" s="6">
        <f ca="1">IFERROR(__xludf.DUMMYFUNCTION("IFERROR(GOOGLEFINANCE(B550,""changepct""),K550)"),1.45)</f>
        <v>1.45</v>
      </c>
      <c r="M550" s="6">
        <f ca="1">IFERROR(__xludf.DUMMYFUNCTION("IFERROR(GOOGLEFINANCE(B550,""change""),0)"),0)</f>
        <v>0</v>
      </c>
      <c r="N550" s="6">
        <v>2</v>
      </c>
      <c r="O550" s="7">
        <v>45536</v>
      </c>
      <c r="P550" s="6">
        <v>16.809999999999999</v>
      </c>
      <c r="Q550" s="6">
        <v>635.59</v>
      </c>
      <c r="R550" s="15">
        <v>45536</v>
      </c>
      <c r="S550" s="6">
        <v>430.58</v>
      </c>
      <c r="T550" s="6">
        <v>20.56</v>
      </c>
      <c r="U550" s="7">
        <v>45536</v>
      </c>
      <c r="V550" s="6">
        <v>30.74</v>
      </c>
      <c r="W550" s="6">
        <f ca="1">IFERROR(__xludf.DUMMYFUNCTION("IFERROR(GOOGLEFINANCE(B550,""pe""),V550)"),30.74)</f>
        <v>30.74</v>
      </c>
      <c r="X550" s="6">
        <v>3.47</v>
      </c>
      <c r="Y550" s="6">
        <v>4.47</v>
      </c>
      <c r="Z550" s="6">
        <v>2</v>
      </c>
      <c r="AA550" s="8">
        <v>45352</v>
      </c>
      <c r="AB550" s="4">
        <v>0.03</v>
      </c>
      <c r="AC550" s="6">
        <v>15.68</v>
      </c>
      <c r="AD550" s="6">
        <v>21.2</v>
      </c>
      <c r="AE550" s="1">
        <v>0</v>
      </c>
      <c r="AF550" s="1">
        <f ca="1">IFERROR(__xludf.DUMMYFUNCTION("IFERROR(GOOGLEFINANCE(TRIM(F550)&amp;"":"" &amp; TRIM(B550),""high52""),AE550)"),0)</f>
        <v>0</v>
      </c>
      <c r="AG550" s="1">
        <v>0</v>
      </c>
      <c r="AH550" s="1">
        <f ca="1">IFERROR(__xludf.DUMMYFUNCTION("IFERROR(GOOGLEFINANCE(TRIM(F550)&amp;"":"" &amp; TRIM(B550),""low52""),AE550)"),0)</f>
        <v>0</v>
      </c>
      <c r="AI550" s="1">
        <f ca="1">IFERROR(__xludf.DUMMYFUNCTION("IFERROR(GOOGLEFINANCE(B550,""eps""),0)"),0)</f>
        <v>0</v>
      </c>
      <c r="AJ550" s="1"/>
      <c r="AK550" s="1" t="s">
        <v>1727</v>
      </c>
      <c r="AL550" s="9">
        <f t="shared" si="123"/>
        <v>1</v>
      </c>
    </row>
    <row r="551" spans="1:38" ht="15" x14ac:dyDescent="0.25">
      <c r="A551" s="1" t="s">
        <v>1728</v>
      </c>
      <c r="B551" s="1" t="s">
        <v>1729</v>
      </c>
      <c r="C551" s="1" t="s">
        <v>525</v>
      </c>
      <c r="D551" s="1" t="s">
        <v>525</v>
      </c>
      <c r="E551" s="6">
        <v>531.63</v>
      </c>
      <c r="F551" s="1" t="s">
        <v>40</v>
      </c>
      <c r="G551" s="6">
        <f ca="1">IFERROR(__xludf.DUMMYFUNCTION("iferror(GOOGLEFINANCE(TRIM(F551)&amp;"":"" &amp; TRIM(B551), ""price""),0
)"),57.4)</f>
        <v>57.4</v>
      </c>
      <c r="H551" s="6">
        <v>107.49</v>
      </c>
      <c r="I551" s="6">
        <f t="shared" ca="1" si="0"/>
        <v>57.4</v>
      </c>
      <c r="J551" s="6">
        <f ca="1">IFERROR(__xludf.DUMMYFUNCTION("IFERROR(GOOGLEFINANCE(B551, ""volume""), 0)"),44690)</f>
        <v>44690</v>
      </c>
      <c r="K551" s="6">
        <v>-1.02</v>
      </c>
      <c r="L551" s="6">
        <f ca="1">IFERROR(__xludf.DUMMYFUNCTION("IFERROR(GOOGLEFINANCE(B551,""changepct""),K551)"),-0.17)</f>
        <v>-0.17</v>
      </c>
      <c r="M551" s="6">
        <f ca="1">IFERROR(__xludf.DUMMYFUNCTION("IFERROR(GOOGLEFINANCE(B551,""change""),0)"),-0.1)</f>
        <v>-0.1</v>
      </c>
      <c r="N551" s="6">
        <v>2</v>
      </c>
      <c r="O551" s="7">
        <v>45536</v>
      </c>
      <c r="P551" s="6">
        <v>29.74</v>
      </c>
      <c r="Q551" s="6">
        <v>555.16</v>
      </c>
      <c r="R551" s="7">
        <v>45536</v>
      </c>
      <c r="S551" s="6">
        <v>70.900000000000006</v>
      </c>
      <c r="T551" s="6">
        <v>19.21</v>
      </c>
      <c r="U551" s="7">
        <v>45536</v>
      </c>
      <c r="V551" s="6">
        <v>27.67</v>
      </c>
      <c r="W551" s="6">
        <f ca="1">IFERROR(__xludf.DUMMYFUNCTION("IFERROR(GOOGLEFINANCE(B551,""pe""),V551)"),27.67)</f>
        <v>27.67</v>
      </c>
      <c r="X551" s="9"/>
      <c r="Y551" s="6">
        <v>1.99</v>
      </c>
      <c r="Z551" s="6">
        <v>2</v>
      </c>
      <c r="AA551" s="8">
        <v>45352</v>
      </c>
      <c r="AB551" s="4">
        <v>0.12</v>
      </c>
      <c r="AC551" s="6">
        <v>5.52</v>
      </c>
      <c r="AD551" s="6">
        <v>6.56</v>
      </c>
      <c r="AE551" s="1">
        <v>0</v>
      </c>
      <c r="AF551" s="1">
        <f ca="1">IFERROR(__xludf.DUMMYFUNCTION("IFERROR(GOOGLEFINANCE(TRIM(F551)&amp;"":"" &amp; TRIM(B551),""high52""),AE551)"),100.3)</f>
        <v>100.3</v>
      </c>
      <c r="AG551" s="1">
        <v>0</v>
      </c>
      <c r="AH551" s="1">
        <f ca="1">IFERROR(__xludf.DUMMYFUNCTION("IFERROR(GOOGLEFINANCE(TRIM(F551)&amp;"":"" &amp; TRIM(B551),""low52""),AE551)"),50)</f>
        <v>50</v>
      </c>
      <c r="AI551" s="1">
        <f ca="1">IFERROR(__xludf.DUMMYFUNCTION("IFERROR(GOOGLEFINANCE(B551,""eps""),0)"),-2.99)</f>
        <v>-2.99</v>
      </c>
      <c r="AJ551" s="1"/>
      <c r="AK551" s="1" t="s">
        <v>1730</v>
      </c>
      <c r="AL551" s="9">
        <f t="shared" si="123"/>
        <v>1</v>
      </c>
    </row>
    <row r="552" spans="1:38" ht="15" x14ac:dyDescent="0.25">
      <c r="A552" s="1" t="s">
        <v>1731</v>
      </c>
      <c r="B552" s="1" t="s">
        <v>1732</v>
      </c>
      <c r="C552" s="1" t="s">
        <v>135</v>
      </c>
      <c r="D552" s="1" t="s">
        <v>135</v>
      </c>
      <c r="E552" s="6">
        <v>24.86</v>
      </c>
      <c r="F552" s="1" t="s">
        <v>53</v>
      </c>
      <c r="G552" s="6">
        <f ca="1">IFERROR(__xludf.DUMMYFUNCTION("iferror(GOOGLEFINANCE(TRIM(F552)&amp;"":"" &amp; TRIM(B552), ""price""),0
)"),0)</f>
        <v>0</v>
      </c>
      <c r="H552" s="6">
        <v>52.9</v>
      </c>
      <c r="I552" s="6">
        <f t="shared" ca="1" si="0"/>
        <v>52.9</v>
      </c>
      <c r="J552" s="6">
        <f ca="1">IFERROR(__xludf.DUMMYFUNCTION("IFERROR(GOOGLEFINANCE(B552, ""volume""), 0)"),0)</f>
        <v>0</v>
      </c>
      <c r="K552" s="6">
        <v>-2.11</v>
      </c>
      <c r="L552" s="6">
        <f ca="1">IFERROR(__xludf.DUMMYFUNCTION("IFERROR(GOOGLEFINANCE(B552,""changepct""),K552)"),-2.11)</f>
        <v>-2.11</v>
      </c>
      <c r="M552" s="6">
        <f ca="1">IFERROR(__xludf.DUMMYFUNCTION("IFERROR(GOOGLEFINANCE(B552,""change""),0)"),0)</f>
        <v>0</v>
      </c>
      <c r="N552" s="6">
        <v>1</v>
      </c>
      <c r="O552" s="7">
        <v>45536</v>
      </c>
      <c r="P552" s="6">
        <v>7.15</v>
      </c>
      <c r="Q552" s="6">
        <v>32.01</v>
      </c>
      <c r="R552" s="7">
        <v>45536</v>
      </c>
      <c r="S552" s="6">
        <v>5.76</v>
      </c>
      <c r="T552" s="6">
        <v>-0.27</v>
      </c>
      <c r="U552" s="7">
        <v>45536</v>
      </c>
      <c r="V552" s="6">
        <v>0</v>
      </c>
      <c r="W552" s="6">
        <f ca="1">IFERROR(__xludf.DUMMYFUNCTION("IFERROR(GOOGLEFINANCE(B552,""pe""),V552)"),0)</f>
        <v>0</v>
      </c>
      <c r="X552" s="6">
        <v>0</v>
      </c>
      <c r="Y552" s="6">
        <v>4.67</v>
      </c>
      <c r="Z552" s="6">
        <v>1</v>
      </c>
      <c r="AA552" s="8">
        <v>45352</v>
      </c>
      <c r="AB552" s="4">
        <v>1.06</v>
      </c>
      <c r="AC552" s="6">
        <v>3.63</v>
      </c>
      <c r="AD552" s="6">
        <v>6.87</v>
      </c>
      <c r="AE552" s="1">
        <v>0</v>
      </c>
      <c r="AF552" s="1">
        <f ca="1">IFERROR(__xludf.DUMMYFUNCTION("IFERROR(GOOGLEFINANCE(TRIM(F552)&amp;"":"" &amp; TRIM(B552),""high52""),AE552)"),0)</f>
        <v>0</v>
      </c>
      <c r="AG552" s="1">
        <v>0</v>
      </c>
      <c r="AH552" s="1">
        <f ca="1">IFERROR(__xludf.DUMMYFUNCTION("IFERROR(GOOGLEFINANCE(TRIM(F552)&amp;"":"" &amp; TRIM(B552),""low52""),AE552)"),0)</f>
        <v>0</v>
      </c>
      <c r="AI552" s="1">
        <f ca="1">IFERROR(__xludf.DUMMYFUNCTION("IFERROR(GOOGLEFINANCE(B552,""eps""),0)"),0)</f>
        <v>0</v>
      </c>
      <c r="AJ552" s="1"/>
      <c r="AK552" s="1" t="s">
        <v>1733</v>
      </c>
      <c r="AL552" s="9">
        <f t="shared" si="123"/>
        <v>1</v>
      </c>
    </row>
    <row r="553" spans="1:38" ht="15" x14ac:dyDescent="0.25">
      <c r="A553" s="1" t="s">
        <v>1734</v>
      </c>
      <c r="B553" s="1" t="s">
        <v>1735</v>
      </c>
      <c r="C553" s="1" t="s">
        <v>259</v>
      </c>
      <c r="D553" s="1" t="s">
        <v>259</v>
      </c>
      <c r="E553" s="6">
        <v>113.75</v>
      </c>
      <c r="F553" s="1" t="s">
        <v>40</v>
      </c>
      <c r="G553" s="6">
        <f ca="1">IFERROR(__xludf.DUMMYFUNCTION("iferror(GOOGLEFINANCE(TRIM(F553)&amp;"":"" &amp; TRIM(B553), ""price""),0
)"),0)</f>
        <v>0</v>
      </c>
      <c r="H553" s="6">
        <v>101.05</v>
      </c>
      <c r="I553" s="6">
        <f t="shared" ca="1" si="0"/>
        <v>101.05</v>
      </c>
      <c r="J553" s="6">
        <f ca="1">IFERROR(__xludf.DUMMYFUNCTION("IFERROR(GOOGLEFINANCE(B553, ""volume""), 0)"),0)</f>
        <v>0</v>
      </c>
      <c r="K553" s="6">
        <v>0.4</v>
      </c>
      <c r="L553" s="6">
        <f ca="1">IFERROR(__xludf.DUMMYFUNCTION("IFERROR(GOOGLEFINANCE(B553,""changepct""),K553)"),0.4)</f>
        <v>0.4</v>
      </c>
      <c r="M553" s="6">
        <f ca="1">IFERROR(__xludf.DUMMYFUNCTION("IFERROR(GOOGLEFINANCE(B553,""change""),0)"),0)</f>
        <v>0</v>
      </c>
      <c r="N553" s="6">
        <v>1</v>
      </c>
      <c r="O553" s="7">
        <v>45536</v>
      </c>
      <c r="P553" s="6">
        <v>0.44</v>
      </c>
      <c r="Q553" s="6">
        <v>114.18</v>
      </c>
      <c r="R553" s="14"/>
      <c r="S553" s="9"/>
      <c r="T553" s="9"/>
      <c r="U553" s="7">
        <v>45352</v>
      </c>
      <c r="V553" s="6">
        <v>23.25</v>
      </c>
      <c r="W553" s="6">
        <f ca="1">IFERROR(__xludf.DUMMYFUNCTION("IFERROR(GOOGLEFINANCE(B553,""pe""),V553)"),23.25)</f>
        <v>23.25</v>
      </c>
      <c r="X553" s="9"/>
      <c r="Y553" s="6">
        <v>2.98</v>
      </c>
      <c r="Z553" s="6">
        <v>1</v>
      </c>
      <c r="AA553" s="8">
        <v>45352</v>
      </c>
      <c r="AB553" s="4">
        <v>0.04</v>
      </c>
      <c r="AC553" s="6">
        <v>43.19</v>
      </c>
      <c r="AD553" s="6">
        <v>56.79</v>
      </c>
      <c r="AE553" s="1">
        <v>0</v>
      </c>
      <c r="AF553" s="1">
        <f ca="1">IFERROR(__xludf.DUMMYFUNCTION("IFERROR(GOOGLEFINANCE(TRIM(F553)&amp;"":"" &amp; TRIM(B553),""high52""),AE553)"),0)</f>
        <v>0</v>
      </c>
      <c r="AG553" s="1">
        <v>0</v>
      </c>
      <c r="AH553" s="1">
        <f ca="1">IFERROR(__xludf.DUMMYFUNCTION("IFERROR(GOOGLEFINANCE(TRIM(F553)&amp;"":"" &amp; TRIM(B553),""low52""),AE553)"),0)</f>
        <v>0</v>
      </c>
      <c r="AI553" s="1">
        <f ca="1">IFERROR(__xludf.DUMMYFUNCTION("IFERROR(GOOGLEFINANCE(B553,""eps""),0)"),0)</f>
        <v>0</v>
      </c>
      <c r="AJ553" s="1"/>
      <c r="AK553" s="1" t="s">
        <v>1736</v>
      </c>
      <c r="AL553" s="9">
        <f t="shared" si="123"/>
        <v>1</v>
      </c>
    </row>
    <row r="554" spans="1:38" ht="15" x14ac:dyDescent="0.25">
      <c r="A554" s="1" t="s">
        <v>1737</v>
      </c>
      <c r="B554" s="1" t="s">
        <v>1738</v>
      </c>
      <c r="C554" s="1" t="s">
        <v>1739</v>
      </c>
      <c r="D554" s="1" t="s">
        <v>1739</v>
      </c>
      <c r="E554" s="6">
        <v>33902.730000000003</v>
      </c>
      <c r="F554" s="1" t="s">
        <v>40</v>
      </c>
      <c r="G554" s="6">
        <f ca="1">IFERROR(__xludf.DUMMYFUNCTION("iferror(GOOGLEFINANCE(TRIM(F554)&amp;"":"" &amp; TRIM(B554), ""price""),0
)"),270.2)</f>
        <v>270.2</v>
      </c>
      <c r="H554" s="6">
        <v>650.54999999999995</v>
      </c>
      <c r="I554" s="6">
        <f t="shared" ca="1" si="0"/>
        <v>270.2</v>
      </c>
      <c r="J554" s="6">
        <f ca="1">IFERROR(__xludf.DUMMYFUNCTION("IFERROR(GOOGLEFINANCE(B554, ""volume""), 0)"),732197)</f>
        <v>732197</v>
      </c>
      <c r="K554" s="6">
        <v>-0.44</v>
      </c>
      <c r="L554" s="6">
        <f ca="1">IFERROR(__xludf.DUMMYFUNCTION("IFERROR(GOOGLEFINANCE(B554,""changepct""),K554)"),2.56)</f>
        <v>2.56</v>
      </c>
      <c r="M554" s="6">
        <f ca="1">IFERROR(__xludf.DUMMYFUNCTION("IFERROR(GOOGLEFINANCE(B554,""change""),0)"),6.75)</f>
        <v>6.75</v>
      </c>
      <c r="N554" s="6">
        <v>2</v>
      </c>
      <c r="O554" s="7">
        <v>45536</v>
      </c>
      <c r="P554" s="6">
        <v>563.78</v>
      </c>
      <c r="Q554" s="6">
        <v>33095.42</v>
      </c>
      <c r="R554" s="14"/>
      <c r="S554" s="9"/>
      <c r="T554" s="9"/>
      <c r="U554" s="7">
        <v>45352</v>
      </c>
      <c r="V554" s="6">
        <v>0</v>
      </c>
      <c r="W554" s="6">
        <f ca="1">IFERROR(__xludf.DUMMYFUNCTION("IFERROR(GOOGLEFINANCE(B554,""pe""),V554)"),0)</f>
        <v>0</v>
      </c>
      <c r="X554" s="9"/>
      <c r="Y554" s="6">
        <v>7.16</v>
      </c>
      <c r="Z554" s="6">
        <v>2</v>
      </c>
      <c r="AA554" s="8">
        <v>45352</v>
      </c>
      <c r="AB554" s="4">
        <v>0.18</v>
      </c>
      <c r="AC554" s="6">
        <v>-11.68</v>
      </c>
      <c r="AD554" s="6">
        <v>-5.67</v>
      </c>
      <c r="AE554" s="1">
        <v>0</v>
      </c>
      <c r="AF554" s="1">
        <f ca="1">IFERROR(__xludf.DUMMYFUNCTION("IFERROR(GOOGLEFINANCE(TRIM(F554)&amp;"":"" &amp; TRIM(B554),""high52""),AE554)"),498.95)</f>
        <v>498.95</v>
      </c>
      <c r="AG554" s="1">
        <v>0</v>
      </c>
      <c r="AH554" s="1">
        <f ca="1">IFERROR(__xludf.DUMMYFUNCTION("IFERROR(GOOGLEFINANCE(TRIM(F554)&amp;"":"" &amp; TRIM(B554),""low52""),AE554)"),254.5)</f>
        <v>254.5</v>
      </c>
      <c r="AI554" s="1">
        <f ca="1">IFERROR(__xludf.DUMMYFUNCTION("IFERROR(GOOGLEFINANCE(B554,""eps""),0)"),-3.44)</f>
        <v>-3.44</v>
      </c>
      <c r="AJ554" s="1"/>
      <c r="AK554" s="1" t="s">
        <v>1740</v>
      </c>
      <c r="AL554" s="9">
        <f t="shared" si="123"/>
        <v>1</v>
      </c>
    </row>
    <row r="555" spans="1:38" ht="15" x14ac:dyDescent="0.25">
      <c r="A555" s="1" t="s">
        <v>1741</v>
      </c>
      <c r="B555" s="1" t="s">
        <v>1742</v>
      </c>
      <c r="C555" s="1" t="s">
        <v>359</v>
      </c>
      <c r="D555" s="1" t="s">
        <v>359</v>
      </c>
      <c r="E555" s="6">
        <v>543.66999999999996</v>
      </c>
      <c r="F555" s="1" t="s">
        <v>40</v>
      </c>
      <c r="G555" s="6">
        <f ca="1">IFERROR(__xludf.DUMMYFUNCTION("iferror(GOOGLEFINANCE(TRIM(F555)&amp;"":"" &amp; TRIM(B555), ""price""),0
)"),284.2)</f>
        <v>284.2</v>
      </c>
      <c r="H555" s="6">
        <v>487.9</v>
      </c>
      <c r="I555" s="6">
        <f t="shared" ca="1" si="0"/>
        <v>284.2</v>
      </c>
      <c r="J555" s="6">
        <f ca="1">IFERROR(__xludf.DUMMYFUNCTION("IFERROR(GOOGLEFINANCE(B555, ""volume""), 0)"),5489)</f>
        <v>5489</v>
      </c>
      <c r="K555" s="6">
        <v>0.98</v>
      </c>
      <c r="L555" s="6">
        <f ca="1">IFERROR(__xludf.DUMMYFUNCTION("IFERROR(GOOGLEFINANCE(B555,""changepct""),K555)"),1.52)</f>
        <v>1.52</v>
      </c>
      <c r="M555" s="6">
        <f ca="1">IFERROR(__xludf.DUMMYFUNCTION("IFERROR(GOOGLEFINANCE(B555,""change""),0)"),4.25)</f>
        <v>4.25</v>
      </c>
      <c r="N555" s="6">
        <v>2</v>
      </c>
      <c r="O555" s="7">
        <v>45536</v>
      </c>
      <c r="P555" s="6">
        <v>50.68</v>
      </c>
      <c r="Q555" s="6">
        <v>589.11</v>
      </c>
      <c r="R555" s="7">
        <v>45536</v>
      </c>
      <c r="S555" s="6">
        <v>263.51</v>
      </c>
      <c r="T555" s="6">
        <v>7.63</v>
      </c>
      <c r="U555" s="7">
        <v>45536</v>
      </c>
      <c r="V555" s="6">
        <v>71</v>
      </c>
      <c r="W555" s="6">
        <f ca="1">IFERROR(__xludf.DUMMYFUNCTION("IFERROR(GOOGLEFINANCE(B555,""pe""),V555)"),233.54)</f>
        <v>233.54</v>
      </c>
      <c r="X555" s="12"/>
      <c r="Y555" s="6">
        <v>8.98</v>
      </c>
      <c r="Z555" s="6">
        <v>2</v>
      </c>
      <c r="AA555" s="8">
        <v>45352</v>
      </c>
      <c r="AB555" s="4">
        <v>0.79</v>
      </c>
      <c r="AC555" s="6">
        <v>27.01</v>
      </c>
      <c r="AD555" s="6">
        <v>30.3</v>
      </c>
      <c r="AE555" s="1">
        <v>0</v>
      </c>
      <c r="AF555" s="1">
        <f ca="1">IFERROR(__xludf.DUMMYFUNCTION("IFERROR(GOOGLEFINANCE(TRIM(F555)&amp;"":"" &amp; TRIM(B555),""high52""),AE555)"),449)</f>
        <v>449</v>
      </c>
      <c r="AG555" s="1">
        <v>0</v>
      </c>
      <c r="AH555" s="1">
        <f ca="1">IFERROR(__xludf.DUMMYFUNCTION("IFERROR(GOOGLEFINANCE(TRIM(F555)&amp;"":"" &amp; TRIM(B555),""low52""),AE555)"),252.1)</f>
        <v>252.1</v>
      </c>
      <c r="AI555" s="1">
        <f ca="1">IFERROR(__xludf.DUMMYFUNCTION("IFERROR(GOOGLEFINANCE(B555,""eps""),0)"),1.22)</f>
        <v>1.22</v>
      </c>
      <c r="AJ555" s="1"/>
      <c r="AK555" s="1" t="s">
        <v>1743</v>
      </c>
      <c r="AL555" s="9">
        <f t="shared" si="123"/>
        <v>1</v>
      </c>
    </row>
    <row r="556" spans="1:38" ht="15" x14ac:dyDescent="0.25">
      <c r="A556" s="1" t="s">
        <v>1744</v>
      </c>
      <c r="B556" s="1" t="s">
        <v>1745</v>
      </c>
      <c r="C556" s="1" t="s">
        <v>487</v>
      </c>
      <c r="D556" s="1" t="s">
        <v>487</v>
      </c>
      <c r="E556" s="6">
        <v>31189.78</v>
      </c>
      <c r="F556" s="1" t="s">
        <v>40</v>
      </c>
      <c r="G556" s="6">
        <f ca="1">IFERROR(__xludf.DUMMYFUNCTION("iferror(GOOGLEFINANCE(TRIM(F556)&amp;"":"" &amp; TRIM(B556), ""price""),0
)"),738.4)</f>
        <v>738.4</v>
      </c>
      <c r="H556" s="6">
        <v>1293.2</v>
      </c>
      <c r="I556" s="6">
        <f t="shared" ca="1" si="0"/>
        <v>738.4</v>
      </c>
      <c r="J556" s="6">
        <f ca="1">IFERROR(__xludf.DUMMYFUNCTION("IFERROR(GOOGLEFINANCE(B556, ""volume""), 0)"),484561)</f>
        <v>484561</v>
      </c>
      <c r="K556" s="6">
        <v>1.26</v>
      </c>
      <c r="L556" s="6">
        <f ca="1">IFERROR(__xludf.DUMMYFUNCTION("IFERROR(GOOGLEFINANCE(B556,""changepct""),K556)"),-0.14)</f>
        <v>-0.14000000000000001</v>
      </c>
      <c r="M556" s="6">
        <f ca="1">IFERROR(__xludf.DUMMYFUNCTION("IFERROR(GOOGLEFINANCE(B556,""change""),0)"),-1)</f>
        <v>-1</v>
      </c>
      <c r="N556" s="6">
        <v>2</v>
      </c>
      <c r="O556" s="7">
        <v>45536</v>
      </c>
      <c r="P556" s="6">
        <v>5215.57</v>
      </c>
      <c r="Q556" s="6">
        <v>32792.92</v>
      </c>
      <c r="R556" s="7">
        <v>45536</v>
      </c>
      <c r="S556" s="6">
        <v>5026.0200000000004</v>
      </c>
      <c r="T556" s="6">
        <v>462.26</v>
      </c>
      <c r="U556" s="7">
        <v>45536</v>
      </c>
      <c r="V556" s="6">
        <v>64.67</v>
      </c>
      <c r="W556" s="6">
        <f ca="1">IFERROR(__xludf.DUMMYFUNCTION("IFERROR(GOOGLEFINANCE(B556,""pe""),V556)"),24.22)</f>
        <v>24.22</v>
      </c>
      <c r="X556" s="6">
        <v>4.79</v>
      </c>
      <c r="Y556" s="6">
        <v>6.02</v>
      </c>
      <c r="Z556" s="6">
        <v>2</v>
      </c>
      <c r="AA556" s="8">
        <v>45352</v>
      </c>
      <c r="AB556" s="4">
        <v>1.47</v>
      </c>
      <c r="AC556" s="6">
        <v>11.7</v>
      </c>
      <c r="AD556" s="6">
        <v>12.64</v>
      </c>
      <c r="AE556" s="1">
        <v>0</v>
      </c>
      <c r="AF556" s="1">
        <f ca="1">IFERROR(__xludf.DUMMYFUNCTION("IFERROR(GOOGLEFINANCE(TRIM(F556)&amp;"":"" &amp; TRIM(B556),""high52""),AE556)"),1332)</f>
        <v>1332</v>
      </c>
      <c r="AG556" s="1">
        <v>0</v>
      </c>
      <c r="AH556" s="1">
        <f ca="1">IFERROR(__xludf.DUMMYFUNCTION("IFERROR(GOOGLEFINANCE(TRIM(F556)&amp;"":"" &amp; TRIM(B556),""low52""),AE556)"),717.75)</f>
        <v>717.75</v>
      </c>
      <c r="AI556" s="1">
        <f ca="1">IFERROR(__xludf.DUMMYFUNCTION("IFERROR(GOOGLEFINANCE(B556,""eps""),0)"),30.49)</f>
        <v>30.49</v>
      </c>
      <c r="AJ556" s="1"/>
      <c r="AK556" s="1" t="s">
        <v>1746</v>
      </c>
      <c r="AL556" s="9">
        <f t="shared" si="123"/>
        <v>1</v>
      </c>
    </row>
    <row r="557" spans="1:38" ht="15" x14ac:dyDescent="0.25">
      <c r="A557" s="1" t="s">
        <v>1747</v>
      </c>
      <c r="B557" s="1" t="s">
        <v>1748</v>
      </c>
      <c r="C557" s="1" t="s">
        <v>135</v>
      </c>
      <c r="D557" s="1" t="s">
        <v>135</v>
      </c>
      <c r="E557" s="6">
        <v>11.72</v>
      </c>
      <c r="F557" s="1" t="s">
        <v>53</v>
      </c>
      <c r="G557" s="6">
        <f ca="1">IFERROR(__xludf.DUMMYFUNCTION("iferror(GOOGLEFINANCE(TRIM(F557)&amp;"":"" &amp; TRIM(B557), ""price""),0
)"),0)</f>
        <v>0</v>
      </c>
      <c r="H557" s="6">
        <v>24.2</v>
      </c>
      <c r="I557" s="6">
        <f t="shared" ca="1" si="0"/>
        <v>24.2</v>
      </c>
      <c r="J557" s="6">
        <f ca="1">IFERROR(__xludf.DUMMYFUNCTION("IFERROR(GOOGLEFINANCE(B557, ""volume""), 0)"),0)</f>
        <v>0</v>
      </c>
      <c r="K557" s="6">
        <v>-0.57999999999999996</v>
      </c>
      <c r="L557" s="6">
        <f ca="1">IFERROR(__xludf.DUMMYFUNCTION("IFERROR(GOOGLEFINANCE(B557,""changepct""),K557)"),-0.58)</f>
        <v>-0.57999999999999996</v>
      </c>
      <c r="M557" s="6">
        <f ca="1">IFERROR(__xludf.DUMMYFUNCTION("IFERROR(GOOGLEFINANCE(B557,""change""),0)"),0)</f>
        <v>0</v>
      </c>
      <c r="N557" s="6">
        <v>1</v>
      </c>
      <c r="O557" s="7">
        <v>45536</v>
      </c>
      <c r="P557" s="6">
        <v>19.91</v>
      </c>
      <c r="Q557" s="6">
        <v>31.62</v>
      </c>
      <c r="R557" s="7">
        <v>45536</v>
      </c>
      <c r="S557" s="6">
        <v>39.75</v>
      </c>
      <c r="T557" s="6">
        <v>-0.7</v>
      </c>
      <c r="U557" s="7">
        <v>45536</v>
      </c>
      <c r="V557" s="6">
        <v>0</v>
      </c>
      <c r="W557" s="6">
        <f ca="1">IFERROR(__xludf.DUMMYFUNCTION("IFERROR(GOOGLEFINANCE(B557,""pe""),V557)"),0)</f>
        <v>0</v>
      </c>
      <c r="X557" s="6">
        <v>0</v>
      </c>
      <c r="Y557" s="6">
        <v>5.77</v>
      </c>
      <c r="Z557" s="6">
        <v>1</v>
      </c>
      <c r="AA557" s="8">
        <v>45352</v>
      </c>
      <c r="AB557" s="4">
        <v>8.81</v>
      </c>
      <c r="AC557" s="6">
        <v>-60.94</v>
      </c>
      <c r="AD557" s="6">
        <v>-5.27</v>
      </c>
      <c r="AE557" s="1">
        <v>0</v>
      </c>
      <c r="AF557" s="1">
        <f ca="1">IFERROR(__xludf.DUMMYFUNCTION("IFERROR(GOOGLEFINANCE(TRIM(F557)&amp;"":"" &amp; TRIM(B557),""high52""),AE557)"),0)</f>
        <v>0</v>
      </c>
      <c r="AG557" s="1">
        <v>0</v>
      </c>
      <c r="AH557" s="1">
        <f ca="1">IFERROR(__xludf.DUMMYFUNCTION("IFERROR(GOOGLEFINANCE(TRIM(F557)&amp;"":"" &amp; TRIM(B557),""low52""),AE557)"),0)</f>
        <v>0</v>
      </c>
      <c r="AI557" s="1">
        <f ca="1">IFERROR(__xludf.DUMMYFUNCTION("IFERROR(GOOGLEFINANCE(B557,""eps""),0)"),0)</f>
        <v>0</v>
      </c>
      <c r="AJ557" s="1"/>
      <c r="AK557" s="1" t="s">
        <v>1749</v>
      </c>
      <c r="AL557" s="9">
        <f t="shared" si="123"/>
        <v>1</v>
      </c>
    </row>
    <row r="558" spans="1:38" ht="15" x14ac:dyDescent="0.25">
      <c r="A558" s="1" t="s">
        <v>1750</v>
      </c>
      <c r="B558" s="1" t="s">
        <v>51</v>
      </c>
      <c r="C558" s="1" t="s">
        <v>1751</v>
      </c>
      <c r="D558" s="1" t="s">
        <v>1751</v>
      </c>
      <c r="E558" s="6">
        <v>20.87</v>
      </c>
      <c r="F558" s="1" t="s">
        <v>40</v>
      </c>
      <c r="G558" s="6">
        <f ca="1">IFERROR(__xludf.DUMMYFUNCTION("iferror(GOOGLEFINANCE(TRIM(F558)&amp;"":"" &amp; TRIM(B558), ""price""),0
)"),0)</f>
        <v>0</v>
      </c>
      <c r="H558" s="6">
        <v>8.35</v>
      </c>
      <c r="I558" s="6">
        <f t="shared" ca="1" si="0"/>
        <v>8.35</v>
      </c>
      <c r="J558" s="6">
        <f ca="1">IFERROR(__xludf.DUMMYFUNCTION("IFERROR(GOOGLEFINANCE(B558, ""volume""), 0)"),0)</f>
        <v>0</v>
      </c>
      <c r="K558" s="9"/>
      <c r="L558" s="6" t="str">
        <f ca="1">IFERROR(__xludf.DUMMYFUNCTION("IFERROR(GOOGLEFINANCE(B558,""changepct""),K558)"),"")</f>
        <v/>
      </c>
      <c r="M558" s="6">
        <f ca="1">IFERROR(__xludf.DUMMYFUNCTION("IFERROR(GOOGLEFINANCE(B558,""change""),0)"),0)</f>
        <v>0</v>
      </c>
      <c r="N558" s="6">
        <v>1</v>
      </c>
      <c r="O558" s="7">
        <v>45352</v>
      </c>
      <c r="P558" s="6">
        <v>0.63</v>
      </c>
      <c r="Q558" s="6">
        <v>17.84</v>
      </c>
      <c r="R558" s="7">
        <v>45352</v>
      </c>
      <c r="S558" s="6">
        <v>9.5399999999999991</v>
      </c>
      <c r="T558" s="6">
        <v>-6</v>
      </c>
      <c r="U558" s="7">
        <v>45352</v>
      </c>
      <c r="V558" s="6">
        <v>0</v>
      </c>
      <c r="W558" s="6">
        <f ca="1">IFERROR(__xludf.DUMMYFUNCTION("IFERROR(GOOGLEFINANCE(B558,""pe""),V558)"),0)</f>
        <v>0</v>
      </c>
      <c r="X558" s="12"/>
      <c r="Y558" s="6">
        <v>0.59</v>
      </c>
      <c r="Z558" s="6">
        <v>1</v>
      </c>
      <c r="AA558" s="8">
        <v>45352</v>
      </c>
      <c r="AB558" s="4">
        <v>0.02</v>
      </c>
      <c r="AC558" s="6">
        <v>-19.91</v>
      </c>
      <c r="AD558" s="6">
        <v>-19.03</v>
      </c>
      <c r="AE558" s="1">
        <v>0</v>
      </c>
      <c r="AF558" s="1">
        <f ca="1">IFERROR(__xludf.DUMMYFUNCTION("IFERROR(GOOGLEFINANCE(TRIM(F558)&amp;"":"" &amp; TRIM(B558),""high52""),AE558)"),0)</f>
        <v>0</v>
      </c>
      <c r="AG558" s="1">
        <v>0</v>
      </c>
      <c r="AH558" s="1">
        <f ca="1">IFERROR(__xludf.DUMMYFUNCTION("IFERROR(GOOGLEFINANCE(TRIM(F558)&amp;"":"" &amp; TRIM(B558),""low52""),AE558)"),0)</f>
        <v>0</v>
      </c>
      <c r="AI558" s="1">
        <f ca="1">IFERROR(__xludf.DUMMYFUNCTION("IFERROR(GOOGLEFINANCE(B558,""eps""),0)"),0)</f>
        <v>0</v>
      </c>
      <c r="AJ558" s="1"/>
      <c r="AK558" s="1" t="s">
        <v>1752</v>
      </c>
      <c r="AL558" s="9">
        <f t="shared" si="123"/>
        <v>1</v>
      </c>
    </row>
    <row r="559" spans="1:38" ht="15" x14ac:dyDescent="0.25">
      <c r="A559" s="1" t="s">
        <v>1753</v>
      </c>
      <c r="B559" s="1" t="s">
        <v>1754</v>
      </c>
      <c r="C559" s="1" t="s">
        <v>135</v>
      </c>
      <c r="D559" s="1" t="s">
        <v>135</v>
      </c>
      <c r="E559" s="6">
        <v>221.82</v>
      </c>
      <c r="F559" s="1" t="s">
        <v>53</v>
      </c>
      <c r="G559" s="6">
        <f ca="1">IFERROR(__xludf.DUMMYFUNCTION("iferror(GOOGLEFINANCE(TRIM(F559)&amp;"":"" &amp; TRIM(B559), ""price""),0
)"),0)</f>
        <v>0</v>
      </c>
      <c r="H559" s="6">
        <v>281.60000000000002</v>
      </c>
      <c r="I559" s="6">
        <f t="shared" ca="1" si="0"/>
        <v>281.60000000000002</v>
      </c>
      <c r="J559" s="6">
        <f ca="1">IFERROR(__xludf.DUMMYFUNCTION("IFERROR(GOOGLEFINANCE(B559, ""volume""), 0)"),0)</f>
        <v>0</v>
      </c>
      <c r="K559" s="6">
        <v>-0.6</v>
      </c>
      <c r="L559" s="6">
        <f ca="1">IFERROR(__xludf.DUMMYFUNCTION("IFERROR(GOOGLEFINANCE(B559,""changepct""),K559)"),-0.6)</f>
        <v>-0.6</v>
      </c>
      <c r="M559" s="6">
        <f ca="1">IFERROR(__xludf.DUMMYFUNCTION("IFERROR(GOOGLEFINANCE(B559,""change""),0)"),0)</f>
        <v>0</v>
      </c>
      <c r="N559" s="6">
        <v>1</v>
      </c>
      <c r="O559" s="7">
        <v>45536</v>
      </c>
      <c r="P559" s="6">
        <v>0.28000000000000003</v>
      </c>
      <c r="Q559" s="6">
        <v>190.85</v>
      </c>
      <c r="R559" s="7">
        <v>45536</v>
      </c>
      <c r="S559" s="6">
        <v>361.05</v>
      </c>
      <c r="T559" s="6">
        <v>16.18</v>
      </c>
      <c r="U559" s="7">
        <v>45536</v>
      </c>
      <c r="V559" s="6">
        <v>13.71</v>
      </c>
      <c r="W559" s="6">
        <f ca="1">IFERROR(__xludf.DUMMYFUNCTION("IFERROR(GOOGLEFINANCE(B559,""pe""),V559)"),13.71)</f>
        <v>13.71</v>
      </c>
      <c r="X559" s="6">
        <v>1.45</v>
      </c>
      <c r="Y559" s="6">
        <v>1.43</v>
      </c>
      <c r="Z559" s="6">
        <v>1</v>
      </c>
      <c r="AA559" s="8">
        <v>45352</v>
      </c>
      <c r="AB559" s="4">
        <v>0.04</v>
      </c>
      <c r="AC559" s="6">
        <v>5.83</v>
      </c>
      <c r="AD559" s="6">
        <v>26.62</v>
      </c>
      <c r="AE559" s="1">
        <v>0</v>
      </c>
      <c r="AF559" s="1">
        <f ca="1">IFERROR(__xludf.DUMMYFUNCTION("IFERROR(GOOGLEFINANCE(TRIM(F559)&amp;"":"" &amp; TRIM(B559),""high52""),AE559)"),0)</f>
        <v>0</v>
      </c>
      <c r="AG559" s="1">
        <v>0</v>
      </c>
      <c r="AH559" s="1">
        <f ca="1">IFERROR(__xludf.DUMMYFUNCTION("IFERROR(GOOGLEFINANCE(TRIM(F559)&amp;"":"" &amp; TRIM(B559),""low52""),AE559)"),0)</f>
        <v>0</v>
      </c>
      <c r="AI559" s="1">
        <f ca="1">IFERROR(__xludf.DUMMYFUNCTION("IFERROR(GOOGLEFINANCE(B559,""eps""),0)"),0)</f>
        <v>0</v>
      </c>
      <c r="AJ559" s="1"/>
      <c r="AK559" s="9"/>
      <c r="AL559" s="9">
        <f t="shared" si="123"/>
        <v>1</v>
      </c>
    </row>
    <row r="560" spans="1:38" ht="15" x14ac:dyDescent="0.25">
      <c r="A560" s="1" t="s">
        <v>1755</v>
      </c>
      <c r="B560" s="1" t="s">
        <v>1756</v>
      </c>
      <c r="C560" s="1" t="s">
        <v>135</v>
      </c>
      <c r="D560" s="1" t="s">
        <v>135</v>
      </c>
      <c r="E560" s="6">
        <v>92.63</v>
      </c>
      <c r="F560" s="1" t="s">
        <v>53</v>
      </c>
      <c r="G560" s="6">
        <f ca="1">IFERROR(__xludf.DUMMYFUNCTION("iferror(GOOGLEFINANCE(TRIM(F560)&amp;"":"" &amp; TRIM(B560), ""price""),0
)"),0)</f>
        <v>0</v>
      </c>
      <c r="H560" s="6">
        <v>304.95</v>
      </c>
      <c r="I560" s="6">
        <f t="shared" ca="1" si="0"/>
        <v>304.95</v>
      </c>
      <c r="J560" s="6">
        <f ca="1">IFERROR(__xludf.DUMMYFUNCTION("IFERROR(GOOGLEFINANCE(B560, ""volume""), 0)"),0)</f>
        <v>0</v>
      </c>
      <c r="K560" s="6">
        <v>-1.23</v>
      </c>
      <c r="L560" s="6">
        <f ca="1">IFERROR(__xludf.DUMMYFUNCTION("IFERROR(GOOGLEFINANCE(B560,""changepct""),K560)"),-1.23)</f>
        <v>-1.23</v>
      </c>
      <c r="M560" s="6">
        <f ca="1">IFERROR(__xludf.DUMMYFUNCTION("IFERROR(GOOGLEFINANCE(B560,""change""),0)"),0)</f>
        <v>0</v>
      </c>
      <c r="N560" s="6">
        <v>1</v>
      </c>
      <c r="O560" s="7">
        <v>45536</v>
      </c>
      <c r="P560" s="6">
        <v>0.6</v>
      </c>
      <c r="Q560" s="6">
        <v>93.23</v>
      </c>
      <c r="R560" s="7">
        <v>45536</v>
      </c>
      <c r="S560" s="6">
        <v>26.04</v>
      </c>
      <c r="T560" s="6">
        <v>3.17</v>
      </c>
      <c r="U560" s="7">
        <v>45536</v>
      </c>
      <c r="V560" s="6">
        <v>29.26</v>
      </c>
      <c r="W560" s="6">
        <f ca="1">IFERROR(__xludf.DUMMYFUNCTION("IFERROR(GOOGLEFINANCE(B560,""pe""),V560)"),29.26)</f>
        <v>29.26</v>
      </c>
      <c r="X560" s="6">
        <v>0.41</v>
      </c>
      <c r="Y560" s="6">
        <v>14.6</v>
      </c>
      <c r="Z560" s="6">
        <v>1</v>
      </c>
      <c r="AA560" s="8">
        <v>45352</v>
      </c>
      <c r="AB560" s="4">
        <v>0</v>
      </c>
      <c r="AC560" s="6">
        <v>56.09</v>
      </c>
      <c r="AD560" s="6">
        <v>78.069999999999993</v>
      </c>
      <c r="AE560" s="1">
        <v>0</v>
      </c>
      <c r="AF560" s="1">
        <f ca="1">IFERROR(__xludf.DUMMYFUNCTION("IFERROR(GOOGLEFINANCE(TRIM(F560)&amp;"":"" &amp; TRIM(B560),""high52""),AE560)"),0)</f>
        <v>0</v>
      </c>
      <c r="AG560" s="1">
        <v>0</v>
      </c>
      <c r="AH560" s="1">
        <f ca="1">IFERROR(__xludf.DUMMYFUNCTION("IFERROR(GOOGLEFINANCE(TRIM(F560)&amp;"":"" &amp; TRIM(B560),""low52""),AE560)"),0)</f>
        <v>0</v>
      </c>
      <c r="AI560" s="1">
        <f ca="1">IFERROR(__xludf.DUMMYFUNCTION("IFERROR(GOOGLEFINANCE(B560,""eps""),0)"),0)</f>
        <v>0</v>
      </c>
      <c r="AJ560" s="1"/>
      <c r="AK560" s="1" t="s">
        <v>1757</v>
      </c>
      <c r="AL560" s="9">
        <f t="shared" si="123"/>
        <v>1</v>
      </c>
    </row>
    <row r="561" spans="1:38" ht="15" x14ac:dyDescent="0.25">
      <c r="A561" s="1" t="s">
        <v>1758</v>
      </c>
      <c r="B561" s="1" t="s">
        <v>1759</v>
      </c>
      <c r="C561" s="1" t="s">
        <v>135</v>
      </c>
      <c r="D561" s="1" t="s">
        <v>135</v>
      </c>
      <c r="E561" s="6">
        <v>294.14</v>
      </c>
      <c r="F561" s="1" t="s">
        <v>53</v>
      </c>
      <c r="G561" s="6">
        <f ca="1">IFERROR(__xludf.DUMMYFUNCTION("iferror(GOOGLEFINANCE(TRIM(F561)&amp;"":"" &amp; TRIM(B561), ""price""),0
)"),0)</f>
        <v>0</v>
      </c>
      <c r="H561" s="6">
        <v>406.65</v>
      </c>
      <c r="I561" s="6">
        <f t="shared" ca="1" si="0"/>
        <v>406.65</v>
      </c>
      <c r="J561" s="6">
        <f ca="1">IFERROR(__xludf.DUMMYFUNCTION("IFERROR(GOOGLEFINANCE(B561, ""volume""), 0)"),0)</f>
        <v>0</v>
      </c>
      <c r="K561" s="6">
        <v>3.01</v>
      </c>
      <c r="L561" s="6">
        <f ca="1">IFERROR(__xludf.DUMMYFUNCTION("IFERROR(GOOGLEFINANCE(B561,""changepct""),K561)"),3.01)</f>
        <v>3.01</v>
      </c>
      <c r="M561" s="6">
        <f ca="1">IFERROR(__xludf.DUMMYFUNCTION("IFERROR(GOOGLEFINANCE(B561,""change""),0)"),0)</f>
        <v>0</v>
      </c>
      <c r="N561" s="6">
        <v>2</v>
      </c>
      <c r="O561" s="7">
        <v>45536</v>
      </c>
      <c r="P561" s="6">
        <v>18.84</v>
      </c>
      <c r="Q561" s="6">
        <v>305.85000000000002</v>
      </c>
      <c r="R561" s="7">
        <v>45536</v>
      </c>
      <c r="S561" s="6">
        <v>139.28</v>
      </c>
      <c r="T561" s="6">
        <v>0.95</v>
      </c>
      <c r="U561" s="7">
        <v>45536</v>
      </c>
      <c r="V561" s="6">
        <v>122.56</v>
      </c>
      <c r="W561" s="6">
        <f ca="1">IFERROR(__xludf.DUMMYFUNCTION("IFERROR(GOOGLEFINANCE(B561,""pe""),V561)"),122.56)</f>
        <v>122.56</v>
      </c>
      <c r="X561" s="6">
        <v>8.9700000000000006</v>
      </c>
      <c r="Y561" s="6">
        <v>1.64</v>
      </c>
      <c r="Z561" s="6">
        <v>2</v>
      </c>
      <c r="AA561" s="8">
        <v>45352</v>
      </c>
      <c r="AB561" s="4">
        <v>0.1</v>
      </c>
      <c r="AC561" s="6">
        <v>7.69</v>
      </c>
      <c r="AD561" s="6">
        <v>10.51</v>
      </c>
      <c r="AE561" s="1">
        <v>0</v>
      </c>
      <c r="AF561" s="1">
        <f ca="1">IFERROR(__xludf.DUMMYFUNCTION("IFERROR(GOOGLEFINANCE(TRIM(F561)&amp;"":"" &amp; TRIM(B561),""high52""),AE561)"),0)</f>
        <v>0</v>
      </c>
      <c r="AG561" s="1">
        <v>0</v>
      </c>
      <c r="AH561" s="1">
        <f ca="1">IFERROR(__xludf.DUMMYFUNCTION("IFERROR(GOOGLEFINANCE(TRIM(F561)&amp;"":"" &amp; TRIM(B561),""low52""),AE561)"),0)</f>
        <v>0</v>
      </c>
      <c r="AI561" s="1">
        <f ca="1">IFERROR(__xludf.DUMMYFUNCTION("IFERROR(GOOGLEFINANCE(B561,""eps""),0)"),0)</f>
        <v>0</v>
      </c>
      <c r="AJ561" s="1"/>
      <c r="AK561" s="1" t="s">
        <v>1760</v>
      </c>
      <c r="AL561" s="9">
        <f t="shared" si="123"/>
        <v>1</v>
      </c>
    </row>
    <row r="562" spans="1:38" ht="15" x14ac:dyDescent="0.25">
      <c r="A562" s="1" t="s">
        <v>1761</v>
      </c>
      <c r="B562" s="1" t="s">
        <v>1762</v>
      </c>
      <c r="C562" s="1" t="s">
        <v>135</v>
      </c>
      <c r="D562" s="1" t="s">
        <v>135</v>
      </c>
      <c r="E562" s="6">
        <v>156.06</v>
      </c>
      <c r="F562" s="1" t="s">
        <v>53</v>
      </c>
      <c r="G562" s="6">
        <f ca="1">IFERROR(__xludf.DUMMYFUNCTION("iferror(GOOGLEFINANCE(TRIM(F562)&amp;"":"" &amp; TRIM(B562), ""price""),0
)"),0)</f>
        <v>0</v>
      </c>
      <c r="H562" s="6">
        <v>265.3</v>
      </c>
      <c r="I562" s="6">
        <f t="shared" ca="1" si="0"/>
        <v>265.3</v>
      </c>
      <c r="J562" s="6">
        <f ca="1">IFERROR(__xludf.DUMMYFUNCTION("IFERROR(GOOGLEFINANCE(B562, ""volume""), 0)"),0)</f>
        <v>0</v>
      </c>
      <c r="K562" s="6">
        <v>2</v>
      </c>
      <c r="L562" s="6">
        <f ca="1">IFERROR(__xludf.DUMMYFUNCTION("IFERROR(GOOGLEFINANCE(B562,""changepct""),K562)"),2)</f>
        <v>2</v>
      </c>
      <c r="M562" s="6">
        <f ca="1">IFERROR(__xludf.DUMMYFUNCTION("IFERROR(GOOGLEFINANCE(B562,""change""),0)"),0)</f>
        <v>0</v>
      </c>
      <c r="N562" s="6">
        <v>1</v>
      </c>
      <c r="O562" s="7">
        <v>45536</v>
      </c>
      <c r="P562" s="12"/>
      <c r="Q562" s="6">
        <v>149.38</v>
      </c>
      <c r="R562" s="7">
        <v>45536</v>
      </c>
      <c r="S562" s="6">
        <v>0</v>
      </c>
      <c r="T562" s="6">
        <v>-2.11</v>
      </c>
      <c r="U562" s="7">
        <v>45536</v>
      </c>
      <c r="V562" s="6">
        <v>0</v>
      </c>
      <c r="W562" s="6">
        <f ca="1">IFERROR(__xludf.DUMMYFUNCTION("IFERROR(GOOGLEFINANCE(B562,""pe""),V562)"),0)</f>
        <v>0</v>
      </c>
      <c r="X562" s="9"/>
      <c r="Y562" s="6">
        <v>16.170000000000002</v>
      </c>
      <c r="Z562" s="6">
        <v>1</v>
      </c>
      <c r="AA562" s="8">
        <v>45352</v>
      </c>
      <c r="AB562" s="4">
        <v>0</v>
      </c>
      <c r="AC562" s="6">
        <v>-16.559999999999999</v>
      </c>
      <c r="AD562" s="6">
        <v>-16.43</v>
      </c>
      <c r="AE562" s="1">
        <v>0</v>
      </c>
      <c r="AF562" s="1">
        <f ca="1">IFERROR(__xludf.DUMMYFUNCTION("IFERROR(GOOGLEFINANCE(TRIM(F562)&amp;"":"" &amp; TRIM(B562),""high52""),AE562)"),0)</f>
        <v>0</v>
      </c>
      <c r="AG562" s="1">
        <v>0</v>
      </c>
      <c r="AH562" s="1">
        <f ca="1">IFERROR(__xludf.DUMMYFUNCTION("IFERROR(GOOGLEFINANCE(TRIM(F562)&amp;"":"" &amp; TRIM(B562),""low52""),AE562)"),0)</f>
        <v>0</v>
      </c>
      <c r="AI562" s="1">
        <f ca="1">IFERROR(__xludf.DUMMYFUNCTION("IFERROR(GOOGLEFINANCE(B562,""eps""),0)"),0)</f>
        <v>0</v>
      </c>
      <c r="AJ562" s="1"/>
      <c r="AK562" s="1" t="s">
        <v>1763</v>
      </c>
      <c r="AL562" s="9">
        <f t="shared" si="123"/>
        <v>1</v>
      </c>
    </row>
    <row r="563" spans="1:38" ht="15" x14ac:dyDescent="0.25">
      <c r="A563" s="1" t="s">
        <v>1764</v>
      </c>
      <c r="B563" s="1" t="s">
        <v>1765</v>
      </c>
      <c r="C563" s="1" t="s">
        <v>57</v>
      </c>
      <c r="D563" s="1" t="s">
        <v>57</v>
      </c>
      <c r="E563" s="6">
        <v>2075.04</v>
      </c>
      <c r="F563" s="1" t="s">
        <v>40</v>
      </c>
      <c r="G563" s="6">
        <f ca="1">IFERROR(__xludf.DUMMYFUNCTION("iferror(GOOGLEFINANCE(TRIM(F563)&amp;"":"" &amp; TRIM(B563), ""price""),0
)"),10.22)</f>
        <v>10.220000000000001</v>
      </c>
      <c r="H563" s="6">
        <v>10.25</v>
      </c>
      <c r="I563" s="6">
        <f t="shared" ca="1" si="0"/>
        <v>10.220000000000001</v>
      </c>
      <c r="J563" s="6">
        <f ca="1">IFERROR(__xludf.DUMMYFUNCTION("IFERROR(GOOGLEFINANCE(B563, ""volume""), 0)"),0)</f>
        <v>0</v>
      </c>
      <c r="K563" s="9"/>
      <c r="L563" s="6">
        <f ca="1">IFERROR(__xludf.DUMMYFUNCTION("IFERROR(GOOGLEFINANCE(B563,""changepct""),K563)"),-1)</f>
        <v>-1</v>
      </c>
      <c r="M563" s="6">
        <f ca="1">IFERROR(__xludf.DUMMYFUNCTION("IFERROR(GOOGLEFINANCE(B563,""change""),0)"),-0.02)</f>
        <v>-0.02</v>
      </c>
      <c r="N563" s="6">
        <v>2</v>
      </c>
      <c r="O563" s="7">
        <v>45536</v>
      </c>
      <c r="P563" s="12"/>
      <c r="Q563" s="6">
        <v>952.48</v>
      </c>
      <c r="R563" s="7">
        <v>45536</v>
      </c>
      <c r="S563" s="6">
        <v>3643</v>
      </c>
      <c r="T563" s="6">
        <v>359.06</v>
      </c>
      <c r="U563" s="7">
        <v>45536</v>
      </c>
      <c r="V563" s="6">
        <v>5.78</v>
      </c>
      <c r="W563" s="6">
        <f ca="1">IFERROR(__xludf.DUMMYFUNCTION("IFERROR(GOOGLEFINANCE(B563,""pe""),V563)"),36.68)</f>
        <v>36.68</v>
      </c>
      <c r="X563" s="6">
        <v>0.63</v>
      </c>
      <c r="Y563" s="6">
        <v>0.25</v>
      </c>
      <c r="Z563" s="6">
        <v>2</v>
      </c>
      <c r="AA563" s="8">
        <v>44986</v>
      </c>
      <c r="AB563" s="4">
        <v>0</v>
      </c>
      <c r="AC563" s="6">
        <v>22.3</v>
      </c>
      <c r="AD563" s="6">
        <v>30.91</v>
      </c>
      <c r="AE563" s="1">
        <v>0</v>
      </c>
      <c r="AF563" s="1">
        <f ca="1">IFERROR(__xludf.DUMMYFUNCTION("IFERROR(GOOGLEFINANCE(TRIM(F563)&amp;"":"" &amp; TRIM(B563),""high52""),AE563)"),22)</f>
        <v>22</v>
      </c>
      <c r="AG563" s="1">
        <v>0</v>
      </c>
      <c r="AH563" s="1">
        <f ca="1">IFERROR(__xludf.DUMMYFUNCTION("IFERROR(GOOGLEFINANCE(TRIM(F563)&amp;"":"" &amp; TRIM(B563),""low52""),AE563)"),8.61)</f>
        <v>8.61</v>
      </c>
      <c r="AI563" s="1">
        <f ca="1">IFERROR(__xludf.DUMMYFUNCTION("IFERROR(GOOGLEFINANCE(B563,""eps""),0)"),0.06)</f>
        <v>0.06</v>
      </c>
      <c r="AJ563" s="1"/>
      <c r="AK563" s="1" t="s">
        <v>1766</v>
      </c>
      <c r="AL563" s="9">
        <f t="shared" si="123"/>
        <v>1</v>
      </c>
    </row>
    <row r="564" spans="1:38" ht="15" x14ac:dyDescent="0.25">
      <c r="A564" s="1" t="s">
        <v>1767</v>
      </c>
      <c r="B564" s="1" t="s">
        <v>1768</v>
      </c>
      <c r="C564" s="1" t="s">
        <v>135</v>
      </c>
      <c r="D564" s="1" t="s">
        <v>135</v>
      </c>
      <c r="E564" s="6">
        <v>175.28</v>
      </c>
      <c r="F564" s="1" t="s">
        <v>53</v>
      </c>
      <c r="G564" s="6">
        <f ca="1">IFERROR(__xludf.DUMMYFUNCTION("iferror(GOOGLEFINANCE(TRIM(F564)&amp;"":"" &amp; TRIM(B564), ""price""),0
)"),0)</f>
        <v>0</v>
      </c>
      <c r="H564" s="6">
        <v>72.38</v>
      </c>
      <c r="I564" s="6">
        <f t="shared" ca="1" si="0"/>
        <v>72.38</v>
      </c>
      <c r="J564" s="6">
        <f ca="1">IFERROR(__xludf.DUMMYFUNCTION("IFERROR(GOOGLEFINANCE(B564, ""volume""), 0)"),0)</f>
        <v>0</v>
      </c>
      <c r="K564" s="6">
        <v>-0.15</v>
      </c>
      <c r="L564" s="6">
        <f ca="1">IFERROR(__xludf.DUMMYFUNCTION("IFERROR(GOOGLEFINANCE(B564,""changepct""),K564)"),0.42)</f>
        <v>0.42</v>
      </c>
      <c r="M564" s="6">
        <f ca="1">IFERROR(__xludf.DUMMYFUNCTION("IFERROR(GOOGLEFINANCE(B564,""change""),0)"),0.16)</f>
        <v>0.16</v>
      </c>
      <c r="N564" s="6">
        <v>2</v>
      </c>
      <c r="O564" s="7">
        <v>45536</v>
      </c>
      <c r="P564" s="6">
        <v>33.11</v>
      </c>
      <c r="Q564" s="6">
        <v>208.39</v>
      </c>
      <c r="R564" s="7">
        <v>45536</v>
      </c>
      <c r="S564" s="6">
        <v>102.02</v>
      </c>
      <c r="T564" s="6">
        <v>7.39</v>
      </c>
      <c r="U564" s="7">
        <v>45536</v>
      </c>
      <c r="V564" s="6">
        <v>23.65</v>
      </c>
      <c r="W564" s="6">
        <f ca="1">IFERROR(__xludf.DUMMYFUNCTION("IFERROR(GOOGLEFINANCE(B564,""pe""),V564)"),23.65)</f>
        <v>23.65</v>
      </c>
      <c r="X564" s="6">
        <v>1.56</v>
      </c>
      <c r="Y564" s="6">
        <v>1.98</v>
      </c>
      <c r="Z564" s="6">
        <v>2</v>
      </c>
      <c r="AA564" s="8">
        <v>45352</v>
      </c>
      <c r="AB564" s="4">
        <v>0.42</v>
      </c>
      <c r="AC564" s="6">
        <v>9.3699999999999992</v>
      </c>
      <c r="AD564" s="6">
        <v>9.2799999999999994</v>
      </c>
      <c r="AE564" s="1">
        <v>0</v>
      </c>
      <c r="AF564" s="1">
        <f ca="1">IFERROR(__xludf.DUMMYFUNCTION("IFERROR(GOOGLEFINANCE(TRIM(F564)&amp;"":"" &amp; TRIM(B564),""high52""),AE564)"),0)</f>
        <v>0</v>
      </c>
      <c r="AG564" s="1">
        <v>0</v>
      </c>
      <c r="AH564" s="1">
        <f ca="1">IFERROR(__xludf.DUMMYFUNCTION("IFERROR(GOOGLEFINANCE(TRIM(F564)&amp;"":"" &amp; TRIM(B564),""low52""),AE564)"),0)</f>
        <v>0</v>
      </c>
      <c r="AI564" s="1">
        <f ca="1">IFERROR(__xludf.DUMMYFUNCTION("IFERROR(GOOGLEFINANCE(B564,""eps""),0)"),0)</f>
        <v>0</v>
      </c>
      <c r="AJ564" s="1"/>
      <c r="AK564" s="1" t="s">
        <v>1769</v>
      </c>
      <c r="AL564" s="9">
        <f t="shared" si="123"/>
        <v>1</v>
      </c>
    </row>
    <row r="565" spans="1:38" ht="15" x14ac:dyDescent="0.25">
      <c r="A565" s="1" t="s">
        <v>1770</v>
      </c>
      <c r="B565" s="1" t="s">
        <v>1771</v>
      </c>
      <c r="C565" s="1" t="s">
        <v>324</v>
      </c>
      <c r="D565" s="1" t="s">
        <v>324</v>
      </c>
      <c r="E565" s="6">
        <v>115336.2</v>
      </c>
      <c r="F565" s="1" t="s">
        <v>40</v>
      </c>
      <c r="G565" s="6">
        <f ca="1">IFERROR(__xludf.DUMMYFUNCTION("iferror(GOOGLEFINANCE(TRIM(F565)&amp;"":"" &amp; TRIM(B565), ""price""),0
)"),5898)</f>
        <v>5898</v>
      </c>
      <c r="H565" s="6">
        <v>4814.1499999999996</v>
      </c>
      <c r="I565" s="6">
        <f t="shared" ca="1" si="0"/>
        <v>5898</v>
      </c>
      <c r="J565" s="6">
        <f ca="1">IFERROR(__xludf.DUMMYFUNCTION("IFERROR(GOOGLEFINANCE(B565, ""volume""), 0)"),279213)</f>
        <v>279213</v>
      </c>
      <c r="K565" s="6">
        <v>0.55000000000000004</v>
      </c>
      <c r="L565" s="6">
        <f ca="1">IFERROR(__xludf.DUMMYFUNCTION("IFERROR(GOOGLEFINANCE(B565,""changepct""),K565)"),2.44)</f>
        <v>2.44</v>
      </c>
      <c r="M565" s="6">
        <f ca="1">IFERROR(__xludf.DUMMYFUNCTION("IFERROR(GOOGLEFINANCE(B565,""change""),0)"),140.5)</f>
        <v>140.5</v>
      </c>
      <c r="N565" s="6">
        <v>2</v>
      </c>
      <c r="O565" s="7">
        <v>45536</v>
      </c>
      <c r="P565" s="6">
        <v>2731.28</v>
      </c>
      <c r="Q565" s="6">
        <v>117817.1</v>
      </c>
      <c r="R565" s="7">
        <v>45536</v>
      </c>
      <c r="S565" s="6">
        <v>17243.55</v>
      </c>
      <c r="T565" s="6">
        <v>2137.89</v>
      </c>
      <c r="U565" s="7">
        <v>45536</v>
      </c>
      <c r="V565" s="6">
        <v>54.1</v>
      </c>
      <c r="W565" s="6">
        <f ca="1">IFERROR(__xludf.DUMMYFUNCTION("IFERROR(GOOGLEFINANCE(B565,""pe""),V565)"),61.32)</f>
        <v>61.32</v>
      </c>
      <c r="X565" s="6">
        <v>4.1399999999999997</v>
      </c>
      <c r="Y565" s="6">
        <v>35.93</v>
      </c>
      <c r="Z565" s="6">
        <v>2</v>
      </c>
      <c r="AA565" s="8">
        <v>45352</v>
      </c>
      <c r="AB565" s="4">
        <v>0.52</v>
      </c>
      <c r="AC565" s="6">
        <v>57.1</v>
      </c>
      <c r="AD565" s="6">
        <v>49.25</v>
      </c>
      <c r="AE565" s="1">
        <v>0</v>
      </c>
      <c r="AF565" s="1">
        <f ca="1">IFERROR(__xludf.DUMMYFUNCTION("IFERROR(GOOGLEFINANCE(TRIM(F565)&amp;"":"" &amp; TRIM(B565),""high52""),AE565)"),6336)</f>
        <v>6336</v>
      </c>
      <c r="AG565" s="1">
        <v>0</v>
      </c>
      <c r="AH565" s="1">
        <f ca="1">IFERROR(__xludf.DUMMYFUNCTION("IFERROR(GOOGLEFINANCE(TRIM(F565)&amp;"":"" &amp; TRIM(B565),""low52""),AE565)"),4506)</f>
        <v>4506</v>
      </c>
      <c r="AI565" s="1">
        <f ca="1">IFERROR(__xludf.DUMMYFUNCTION("IFERROR(GOOGLEFINANCE(B565,""eps""),0)"),96.18)</f>
        <v>96.18</v>
      </c>
      <c r="AJ565" s="1"/>
      <c r="AK565" s="9"/>
      <c r="AL565" s="9">
        <f t="shared" si="123"/>
        <v>1</v>
      </c>
    </row>
    <row r="566" spans="1:38" ht="15" x14ac:dyDescent="0.25">
      <c r="A566" s="1" t="s">
        <v>1772</v>
      </c>
      <c r="B566" s="1" t="s">
        <v>1773</v>
      </c>
      <c r="C566" s="1" t="s">
        <v>43</v>
      </c>
      <c r="D566" s="1" t="s">
        <v>43</v>
      </c>
      <c r="E566" s="6">
        <v>0</v>
      </c>
      <c r="F566" s="1" t="s">
        <v>40</v>
      </c>
      <c r="G566" s="6">
        <f ca="1">IFERROR(__xludf.DUMMYFUNCTION("iferror(GOOGLEFINANCE(TRIM(F566)&amp;"":"" &amp; TRIM(B566), ""price""),0
)"),0)</f>
        <v>0</v>
      </c>
      <c r="H566" s="6">
        <v>277.31</v>
      </c>
      <c r="I566" s="6">
        <f t="shared" ca="1" si="0"/>
        <v>277.31</v>
      </c>
      <c r="J566" s="6">
        <f ca="1">IFERROR(__xludf.DUMMYFUNCTION("IFERROR(GOOGLEFINANCE(B566, ""volume""), 0)"),0)</f>
        <v>0</v>
      </c>
      <c r="K566" s="6">
        <v>0.12</v>
      </c>
      <c r="L566" s="6">
        <f ca="1">IFERROR(__xludf.DUMMYFUNCTION("IFERROR(GOOGLEFINANCE(B566,""changepct""),K566)"),0.12)</f>
        <v>0.12</v>
      </c>
      <c r="M566" s="6">
        <f ca="1">IFERROR(__xludf.DUMMYFUNCTION("IFERROR(GOOGLEFINANCE(B566,""change""),0)"),0)</f>
        <v>0</v>
      </c>
      <c r="N566" s="6">
        <v>1</v>
      </c>
      <c r="O566" s="14"/>
      <c r="P566" s="12"/>
      <c r="Q566" s="7">
        <v>45352</v>
      </c>
      <c r="R566" s="14"/>
      <c r="S566" s="9"/>
      <c r="T566" s="9"/>
      <c r="U566" s="6">
        <v>2</v>
      </c>
      <c r="V566" s="7">
        <v>45352</v>
      </c>
      <c r="W566" s="10">
        <f ca="1">IFERROR(__xludf.DUMMYFUNCTION("IFERROR(GOOGLEFINANCE(B566,""pe""),V566)"),45352)</f>
        <v>45352</v>
      </c>
      <c r="X566" s="6">
        <v>1.17</v>
      </c>
      <c r="Y566" s="6">
        <v>-0.04</v>
      </c>
      <c r="Z566" s="6">
        <v>5.08</v>
      </c>
      <c r="AA566" s="3" t="s">
        <v>1774</v>
      </c>
      <c r="AB566" s="11"/>
      <c r="AC566" s="9"/>
      <c r="AD566" s="9"/>
      <c r="AE566" s="1">
        <v>0</v>
      </c>
      <c r="AF566" s="1">
        <f ca="1">IFERROR(__xludf.DUMMYFUNCTION("IFERROR(GOOGLEFINANCE(TRIM(F566)&amp;"":"" &amp; TRIM(B566),""high52""),AE566)"),0)</f>
        <v>0</v>
      </c>
      <c r="AG566" s="1">
        <v>0</v>
      </c>
      <c r="AH566" s="1">
        <f ca="1">IFERROR(__xludf.DUMMYFUNCTION("IFERROR(GOOGLEFINANCE(TRIM(F566)&amp;"":"" &amp; TRIM(B566),""low52""),AE566)"),0)</f>
        <v>0</v>
      </c>
      <c r="AI566" s="1">
        <f ca="1">IFERROR(__xludf.DUMMYFUNCTION("IFERROR(GOOGLEFINANCE(B566,""eps""),0)"),0)</f>
        <v>0</v>
      </c>
      <c r="AJ566" s="1"/>
      <c r="AK566" s="1" t="s">
        <v>1775</v>
      </c>
      <c r="AL566" s="9">
        <f t="shared" si="123"/>
        <v>1</v>
      </c>
    </row>
    <row r="567" spans="1:38" ht="15" x14ac:dyDescent="0.25">
      <c r="A567" s="1" t="s">
        <v>1776</v>
      </c>
      <c r="B567" s="1" t="s">
        <v>1777</v>
      </c>
      <c r="C567" s="1" t="s">
        <v>106</v>
      </c>
      <c r="D567" s="1" t="s">
        <v>106</v>
      </c>
      <c r="E567" s="6">
        <v>504.86</v>
      </c>
      <c r="F567" s="1" t="s">
        <v>40</v>
      </c>
      <c r="G567" s="6">
        <f ca="1">IFERROR(__xludf.DUMMYFUNCTION("iferror(GOOGLEFINANCE(TRIM(F567)&amp;"":"" &amp; TRIM(B567), ""price""),0
)"),60.96)</f>
        <v>60.96</v>
      </c>
      <c r="H567" s="6">
        <v>191.15</v>
      </c>
      <c r="I567" s="6">
        <f t="shared" ca="1" si="0"/>
        <v>60.96</v>
      </c>
      <c r="J567" s="6">
        <f ca="1">IFERROR(__xludf.DUMMYFUNCTION("IFERROR(GOOGLEFINANCE(B567, ""volume""), 0)"),45862)</f>
        <v>45862</v>
      </c>
      <c r="K567" s="6">
        <v>2</v>
      </c>
      <c r="L567" s="6">
        <f ca="1">IFERROR(__xludf.DUMMYFUNCTION("IFERROR(GOOGLEFINANCE(B567,""changepct""),K567)"),-2.03)</f>
        <v>-2.0299999999999998</v>
      </c>
      <c r="M567" s="6">
        <f ca="1">IFERROR(__xludf.DUMMYFUNCTION("IFERROR(GOOGLEFINANCE(B567,""change""),0)"),-1.26)</f>
        <v>-1.26</v>
      </c>
      <c r="N567" s="6">
        <v>2</v>
      </c>
      <c r="O567" s="7">
        <v>45536</v>
      </c>
      <c r="P567" s="6">
        <v>7.18</v>
      </c>
      <c r="Q567" s="6">
        <v>511.23</v>
      </c>
      <c r="R567" s="7">
        <v>45536</v>
      </c>
      <c r="S567" s="6">
        <v>78.19</v>
      </c>
      <c r="T567" s="6">
        <v>1.62</v>
      </c>
      <c r="U567" s="7">
        <v>45536</v>
      </c>
      <c r="V567" s="6">
        <v>0</v>
      </c>
      <c r="W567" s="6">
        <f ca="1">IFERROR(__xludf.DUMMYFUNCTION("IFERROR(GOOGLEFINANCE(B567,""pe""),V567)"),16.49)</f>
        <v>16.489999999999998</v>
      </c>
      <c r="X567" s="9"/>
      <c r="Y567" s="6">
        <v>8.5299999999999994</v>
      </c>
      <c r="Z567" s="6">
        <v>2</v>
      </c>
      <c r="AA567" s="8">
        <v>45352</v>
      </c>
      <c r="AB567" s="4">
        <v>0.08</v>
      </c>
      <c r="AC567" s="6">
        <v>-28.08</v>
      </c>
      <c r="AD567" s="6">
        <v>-24.92</v>
      </c>
      <c r="AE567" s="1">
        <v>0</v>
      </c>
      <c r="AF567" s="1">
        <f ca="1">IFERROR(__xludf.DUMMYFUNCTION("IFERROR(GOOGLEFINANCE(TRIM(F567)&amp;"":"" &amp; TRIM(B567),""high52""),AE567)"),164.02)</f>
        <v>164.02</v>
      </c>
      <c r="AG567" s="1">
        <v>0</v>
      </c>
      <c r="AH567" s="1">
        <f ca="1">IFERROR(__xludf.DUMMYFUNCTION("IFERROR(GOOGLEFINANCE(TRIM(F567)&amp;"":"" &amp; TRIM(B567),""low52""),AE567)"),58.35)</f>
        <v>58.35</v>
      </c>
      <c r="AI567" s="1">
        <f ca="1">IFERROR(__xludf.DUMMYFUNCTION("IFERROR(GOOGLEFINANCE(B567,""eps""),0)"),3.7)</f>
        <v>3.7</v>
      </c>
      <c r="AJ567" s="1"/>
      <c r="AK567" s="1" t="s">
        <v>1778</v>
      </c>
      <c r="AL567" s="9">
        <f t="shared" si="123"/>
        <v>1</v>
      </c>
    </row>
    <row r="568" spans="1:38" ht="15" x14ac:dyDescent="0.25">
      <c r="A568" s="1" t="s">
        <v>1779</v>
      </c>
      <c r="B568" s="1" t="s">
        <v>53</v>
      </c>
      <c r="C568" s="1" t="s">
        <v>48</v>
      </c>
      <c r="D568" s="1" t="s">
        <v>48</v>
      </c>
      <c r="E568" s="6">
        <v>73999.429999999993</v>
      </c>
      <c r="F568" s="1" t="s">
        <v>40</v>
      </c>
      <c r="G568" s="6">
        <f ca="1">IFERROR(__xludf.DUMMYFUNCTION("iferror(GOOGLEFINANCE(TRIM(F568)&amp;"":"" &amp; TRIM(B568), ""price""),0
)"),2709.8)</f>
        <v>2709.8</v>
      </c>
      <c r="H568" s="6">
        <v>5526.9</v>
      </c>
      <c r="I568" s="6">
        <f t="shared" ca="1" si="0"/>
        <v>2709.8</v>
      </c>
      <c r="J568" s="6">
        <f ca="1">IFERROR(__xludf.DUMMYFUNCTION("IFERROR(GOOGLEFINANCE(B568, ""volume""), 0)"),7053162)</f>
        <v>7053162</v>
      </c>
      <c r="K568" s="6">
        <v>1.1100000000000001</v>
      </c>
      <c r="L568" s="6">
        <f ca="1">IFERROR(__xludf.DUMMYFUNCTION("IFERROR(GOOGLEFINANCE(B568,""changepct""),K568)"),5.11)</f>
        <v>5.1100000000000003</v>
      </c>
      <c r="M568" s="6">
        <f ca="1">IFERROR(__xludf.DUMMYFUNCTION("IFERROR(GOOGLEFINANCE(B568,""change""),0)"),131.7)</f>
        <v>131.69999999999999</v>
      </c>
      <c r="N568" s="6">
        <v>2</v>
      </c>
      <c r="O568" s="7">
        <v>45536</v>
      </c>
      <c r="P568" s="6">
        <v>735.18</v>
      </c>
      <c r="Q568" s="7">
        <v>45536</v>
      </c>
      <c r="R568" s="6">
        <v>89.48</v>
      </c>
      <c r="S568" s="6">
        <v>5.15</v>
      </c>
      <c r="T568" s="6">
        <v>15.35</v>
      </c>
      <c r="U568" s="6">
        <v>2</v>
      </c>
      <c r="V568" s="7">
        <v>45352</v>
      </c>
      <c r="W568" s="6">
        <f ca="1">IFERROR(__xludf.DUMMYFUNCTION("IFERROR(GOOGLEFINANCE(B568,""pe""),V568)"),62.02)</f>
        <v>62.02</v>
      </c>
      <c r="X568" s="6">
        <v>0</v>
      </c>
      <c r="Y568" s="6">
        <v>20</v>
      </c>
      <c r="Z568" s="6">
        <v>26.81</v>
      </c>
      <c r="AA568" s="3" t="s">
        <v>1780</v>
      </c>
      <c r="AB568" s="11"/>
      <c r="AC568" s="9"/>
      <c r="AD568" s="9"/>
      <c r="AE568" s="1">
        <v>0</v>
      </c>
      <c r="AF568" s="1">
        <f ca="1">IFERROR(__xludf.DUMMYFUNCTION("IFERROR(GOOGLEFINANCE(TRIM(F568)&amp;"":"" &amp; TRIM(B568),""high52""),AE568)"),3030)</f>
        <v>3030</v>
      </c>
      <c r="AG568" s="1">
        <v>0</v>
      </c>
      <c r="AH568" s="1">
        <f ca="1">IFERROR(__xludf.DUMMYFUNCTION("IFERROR(GOOGLEFINANCE(TRIM(F568)&amp;"":"" &amp; TRIM(B568),""low52""),AE568)"),1227.33)</f>
        <v>1227.33</v>
      </c>
      <c r="AI568" s="1">
        <f ca="1">IFERROR(__xludf.DUMMYFUNCTION("IFERROR(GOOGLEFINANCE(B568,""eps""),0)"),43.69)</f>
        <v>43.69</v>
      </c>
      <c r="AJ568" s="1"/>
      <c r="AK568" s="1" t="s">
        <v>1781</v>
      </c>
      <c r="AL568" s="9">
        <f t="shared" si="123"/>
        <v>1</v>
      </c>
    </row>
    <row r="569" spans="1:38" ht="15" x14ac:dyDescent="0.25">
      <c r="A569" s="1" t="s">
        <v>1782</v>
      </c>
      <c r="B569" s="1" t="s">
        <v>1783</v>
      </c>
      <c r="C569" s="1" t="s">
        <v>154</v>
      </c>
      <c r="D569" s="1" t="s">
        <v>154</v>
      </c>
      <c r="E569" s="6">
        <v>286.12</v>
      </c>
      <c r="F569" s="1" t="s">
        <v>40</v>
      </c>
      <c r="G569" s="6">
        <f ca="1">IFERROR(__xludf.DUMMYFUNCTION("iferror(GOOGLEFINANCE(TRIM(F569)&amp;"":"" &amp; TRIM(B569), ""price""),0
)"),137.3)</f>
        <v>137.30000000000001</v>
      </c>
      <c r="H569" s="6">
        <v>277.7</v>
      </c>
      <c r="I569" s="6">
        <f t="shared" ca="1" si="0"/>
        <v>137.30000000000001</v>
      </c>
      <c r="J569" s="6">
        <f ca="1">IFERROR(__xludf.DUMMYFUNCTION("IFERROR(GOOGLEFINANCE(B569, ""volume""), 0)"),0)</f>
        <v>0</v>
      </c>
      <c r="K569" s="6">
        <v>-0.02</v>
      </c>
      <c r="L569" s="6">
        <f ca="1">IFERROR(__xludf.DUMMYFUNCTION("IFERROR(GOOGLEFINANCE(B569,""changepct""),K569)"),-0.56)</f>
        <v>-0.56000000000000005</v>
      </c>
      <c r="M569" s="6">
        <f ca="1">IFERROR(__xludf.DUMMYFUNCTION("IFERROR(GOOGLEFINANCE(B569,""change""),0)"),-0.07)</f>
        <v>-7.0000000000000007E-2</v>
      </c>
      <c r="N569" s="6">
        <v>1</v>
      </c>
      <c r="O569" s="7">
        <v>45536</v>
      </c>
      <c r="P569" s="6">
        <v>414.64</v>
      </c>
      <c r="Q569" s="6">
        <v>700.08</v>
      </c>
      <c r="R569" s="7">
        <v>45536</v>
      </c>
      <c r="S569" s="6">
        <v>669.12</v>
      </c>
      <c r="T569" s="6">
        <v>11.27</v>
      </c>
      <c r="U569" s="7">
        <v>45536</v>
      </c>
      <c r="V569" s="6">
        <v>25.39</v>
      </c>
      <c r="W569" s="6">
        <f ca="1">IFERROR(__xludf.DUMMYFUNCTION("IFERROR(GOOGLEFINANCE(B569,""pe""),V569)"),25.39)</f>
        <v>25.39</v>
      </c>
      <c r="X569" s="6">
        <v>0.38</v>
      </c>
      <c r="Y569" s="6">
        <v>2.46</v>
      </c>
      <c r="Z569" s="6">
        <v>1</v>
      </c>
      <c r="AA569" s="8">
        <v>45352</v>
      </c>
      <c r="AB569" s="4">
        <v>3.88</v>
      </c>
      <c r="AC569" s="6">
        <v>10.36</v>
      </c>
      <c r="AD569" s="6">
        <v>9.5399999999999991</v>
      </c>
      <c r="AE569" s="1">
        <v>0</v>
      </c>
      <c r="AF569" s="1">
        <f ca="1">IFERROR(__xludf.DUMMYFUNCTION("IFERROR(GOOGLEFINANCE(TRIM(F569)&amp;"":"" &amp; TRIM(B569),""high52""),AE569)"),212)</f>
        <v>212</v>
      </c>
      <c r="AG569" s="1">
        <v>0</v>
      </c>
      <c r="AH569" s="1">
        <f ca="1">IFERROR(__xludf.DUMMYFUNCTION("IFERROR(GOOGLEFINANCE(TRIM(F569)&amp;"":"" &amp; TRIM(B569),""low52""),AE569)"),127.3)</f>
        <v>127.3</v>
      </c>
      <c r="AI569" s="1">
        <f ca="1">IFERROR(__xludf.DUMMYFUNCTION("IFERROR(GOOGLEFINANCE(B569,""eps""),0)"),0)</f>
        <v>0</v>
      </c>
      <c r="AJ569" s="1"/>
      <c r="AK569" s="1" t="s">
        <v>1784</v>
      </c>
      <c r="AL569" s="9">
        <f t="shared" si="123"/>
        <v>1</v>
      </c>
    </row>
    <row r="570" spans="1:38" ht="15" x14ac:dyDescent="0.25">
      <c r="A570" s="1" t="s">
        <v>1785</v>
      </c>
      <c r="B570" s="1" t="s">
        <v>1786</v>
      </c>
      <c r="C570" s="1" t="s">
        <v>135</v>
      </c>
      <c r="D570" s="1" t="s">
        <v>135</v>
      </c>
      <c r="E570" s="6">
        <v>10024.43</v>
      </c>
      <c r="F570" s="1" t="s">
        <v>53</v>
      </c>
      <c r="G570" s="6">
        <f ca="1">IFERROR(__xludf.DUMMYFUNCTION("iferror(GOOGLEFINANCE(TRIM(F570)&amp;"":"" &amp; TRIM(B570), ""price""),0
)"),0)</f>
        <v>0</v>
      </c>
      <c r="H570" s="6">
        <v>12681</v>
      </c>
      <c r="I570" s="6">
        <f t="shared" ca="1" si="0"/>
        <v>12681</v>
      </c>
      <c r="J570" s="6">
        <f ca="1">IFERROR(__xludf.DUMMYFUNCTION("IFERROR(GOOGLEFINANCE(B570, ""volume""), 0)"),0)</f>
        <v>0</v>
      </c>
      <c r="K570" s="6">
        <v>0.28999999999999998</v>
      </c>
      <c r="L570" s="6">
        <f ca="1">IFERROR(__xludf.DUMMYFUNCTION("IFERROR(GOOGLEFINANCE(B570,""changepct""),K570)"),0.29)</f>
        <v>0.28999999999999998</v>
      </c>
      <c r="M570" s="6">
        <f ca="1">IFERROR(__xludf.DUMMYFUNCTION("IFERROR(GOOGLEFINANCE(B570,""change""),0)"),0)</f>
        <v>0</v>
      </c>
      <c r="N570" s="6">
        <v>1</v>
      </c>
      <c r="O570" s="7">
        <v>45444</v>
      </c>
      <c r="P570" s="12"/>
      <c r="Q570" s="6">
        <v>9676.39</v>
      </c>
      <c r="R570" s="7">
        <v>45536</v>
      </c>
      <c r="S570" s="6">
        <v>725.37</v>
      </c>
      <c r="T570" s="6">
        <v>146.82</v>
      </c>
      <c r="U570" s="7">
        <v>45536</v>
      </c>
      <c r="V570" s="6">
        <v>68.28</v>
      </c>
      <c r="W570" s="6">
        <f ca="1">IFERROR(__xludf.DUMMYFUNCTION("IFERROR(GOOGLEFINANCE(B570,""pe""),V570)"),68.28)</f>
        <v>68.28</v>
      </c>
      <c r="X570" s="6">
        <v>3.16</v>
      </c>
      <c r="Y570" s="6">
        <v>11.97</v>
      </c>
      <c r="Z570" s="6">
        <v>1</v>
      </c>
      <c r="AA570" s="8">
        <v>45261</v>
      </c>
      <c r="AB570" s="4">
        <v>0</v>
      </c>
      <c r="AC570" s="6">
        <v>20.64</v>
      </c>
      <c r="AD570" s="6">
        <v>27.69</v>
      </c>
      <c r="AE570" s="1">
        <v>0</v>
      </c>
      <c r="AF570" s="1">
        <f ca="1">IFERROR(__xludf.DUMMYFUNCTION("IFERROR(GOOGLEFINANCE(TRIM(F570)&amp;"":"" &amp; TRIM(B570),""high52""),AE570)"),0)</f>
        <v>0</v>
      </c>
      <c r="AG570" s="1">
        <v>0</v>
      </c>
      <c r="AH570" s="1">
        <f ca="1">IFERROR(__xludf.DUMMYFUNCTION("IFERROR(GOOGLEFINANCE(TRIM(F570)&amp;"":"" &amp; TRIM(B570),""low52""),AE570)"),0)</f>
        <v>0</v>
      </c>
      <c r="AI570" s="1">
        <f ca="1">IFERROR(__xludf.DUMMYFUNCTION("IFERROR(GOOGLEFINANCE(B570,""eps""),0)"),0)</f>
        <v>0</v>
      </c>
      <c r="AJ570" s="1"/>
      <c r="AK570" s="1" t="s">
        <v>1787</v>
      </c>
      <c r="AL570" s="9">
        <f t="shared" si="123"/>
        <v>1</v>
      </c>
    </row>
    <row r="571" spans="1:38" ht="15" x14ac:dyDescent="0.25">
      <c r="A571" s="1" t="s">
        <v>1788</v>
      </c>
      <c r="B571" s="1" t="s">
        <v>1789</v>
      </c>
      <c r="C571" s="1" t="s">
        <v>82</v>
      </c>
      <c r="D571" s="1" t="s">
        <v>82</v>
      </c>
      <c r="E571" s="6">
        <v>75.14</v>
      </c>
      <c r="F571" s="1" t="s">
        <v>40</v>
      </c>
      <c r="G571" s="6">
        <f ca="1">IFERROR(__xludf.DUMMYFUNCTION("iferror(GOOGLEFINANCE(TRIM(F571)&amp;"":"" &amp; TRIM(B571), ""price""),0
)"),0)</f>
        <v>0</v>
      </c>
      <c r="H571" s="6">
        <v>102.95</v>
      </c>
      <c r="I571" s="6">
        <f t="shared" ca="1" si="0"/>
        <v>102.95</v>
      </c>
      <c r="J571" s="6">
        <f ca="1">IFERROR(__xludf.DUMMYFUNCTION("IFERROR(GOOGLEFINANCE(B571, ""volume""), 0)"),0)</f>
        <v>0</v>
      </c>
      <c r="K571" s="6">
        <v>2.95</v>
      </c>
      <c r="L571" s="6">
        <f ca="1">IFERROR(__xludf.DUMMYFUNCTION("IFERROR(GOOGLEFINANCE(B571,""changepct""),K571)"),2.95)</f>
        <v>2.95</v>
      </c>
      <c r="M571" s="6">
        <f ca="1">IFERROR(__xludf.DUMMYFUNCTION("IFERROR(GOOGLEFINANCE(B571,""change""),0)"),0)</f>
        <v>0</v>
      </c>
      <c r="N571" s="6">
        <v>1</v>
      </c>
      <c r="O571" s="7">
        <v>45536</v>
      </c>
      <c r="P571" s="6">
        <v>5.39</v>
      </c>
      <c r="Q571" s="6">
        <v>80.53</v>
      </c>
      <c r="R571" s="14"/>
      <c r="S571" s="9"/>
      <c r="T571" s="9"/>
      <c r="U571" s="7">
        <v>45352</v>
      </c>
      <c r="V571" s="6">
        <v>21.11</v>
      </c>
      <c r="W571" s="6">
        <f ca="1">IFERROR(__xludf.DUMMYFUNCTION("IFERROR(GOOGLEFINANCE(B571,""pe""),V571)"),21.11)</f>
        <v>21.11</v>
      </c>
      <c r="X571" s="9"/>
      <c r="Y571" s="6">
        <v>2.4900000000000002</v>
      </c>
      <c r="Z571" s="6">
        <v>1</v>
      </c>
      <c r="AA571" s="8">
        <v>45352</v>
      </c>
      <c r="AB571" s="4">
        <v>0.68</v>
      </c>
      <c r="AC571" s="6">
        <v>50.4</v>
      </c>
      <c r="AD571" s="6">
        <v>41.55</v>
      </c>
      <c r="AE571" s="1">
        <v>0</v>
      </c>
      <c r="AF571" s="1">
        <f ca="1">IFERROR(__xludf.DUMMYFUNCTION("IFERROR(GOOGLEFINANCE(TRIM(F571)&amp;"":"" &amp; TRIM(B571),""high52""),AE571)"),0)</f>
        <v>0</v>
      </c>
      <c r="AG571" s="1">
        <v>0</v>
      </c>
      <c r="AH571" s="1">
        <f ca="1">IFERROR(__xludf.DUMMYFUNCTION("IFERROR(GOOGLEFINANCE(TRIM(F571)&amp;"":"" &amp; TRIM(B571),""low52""),AE571)"),0)</f>
        <v>0</v>
      </c>
      <c r="AI571" s="1">
        <f ca="1">IFERROR(__xludf.DUMMYFUNCTION("IFERROR(GOOGLEFINANCE(B571,""eps""),0)"),0)</f>
        <v>0</v>
      </c>
      <c r="AJ571" s="1"/>
      <c r="AK571" s="1" t="s">
        <v>1790</v>
      </c>
      <c r="AL571" s="9">
        <f t="shared" si="123"/>
        <v>1</v>
      </c>
    </row>
    <row r="572" spans="1:38" ht="15" x14ac:dyDescent="0.25">
      <c r="A572" s="1" t="s">
        <v>1791</v>
      </c>
      <c r="B572" s="1" t="s">
        <v>1792</v>
      </c>
      <c r="C572" s="1" t="s">
        <v>239</v>
      </c>
      <c r="D572" s="1" t="s">
        <v>239</v>
      </c>
      <c r="E572" s="6">
        <v>59.68</v>
      </c>
      <c r="F572" s="1" t="s">
        <v>40</v>
      </c>
      <c r="G572" s="6">
        <f ca="1">IFERROR(__xludf.DUMMYFUNCTION("iferror(GOOGLEFINANCE(TRIM(F572)&amp;"":"" &amp; TRIM(B572), ""price""),0
)"),0)</f>
        <v>0</v>
      </c>
      <c r="H572" s="6">
        <v>6.97</v>
      </c>
      <c r="I572" s="6">
        <f t="shared" ca="1" si="0"/>
        <v>6.97</v>
      </c>
      <c r="J572" s="6">
        <f ca="1">IFERROR(__xludf.DUMMYFUNCTION("IFERROR(GOOGLEFINANCE(B572, ""volume""), 0)"),0)</f>
        <v>0</v>
      </c>
      <c r="K572" s="6">
        <v>0.43</v>
      </c>
      <c r="L572" s="6">
        <f ca="1">IFERROR(__xludf.DUMMYFUNCTION("IFERROR(GOOGLEFINANCE(B572,""changepct""),K572)"),0.43)</f>
        <v>0.43</v>
      </c>
      <c r="M572" s="6">
        <f ca="1">IFERROR(__xludf.DUMMYFUNCTION("IFERROR(GOOGLEFINANCE(B572,""change""),0)"),0)</f>
        <v>0</v>
      </c>
      <c r="N572" s="6">
        <v>1</v>
      </c>
      <c r="O572" s="7">
        <v>45536</v>
      </c>
      <c r="P572" s="6">
        <v>448.28</v>
      </c>
      <c r="Q572" s="6">
        <v>507.18</v>
      </c>
      <c r="R572" s="7">
        <v>45536</v>
      </c>
      <c r="S572" s="6">
        <v>41.25</v>
      </c>
      <c r="T572" s="6">
        <v>-94.35</v>
      </c>
      <c r="U572" s="7">
        <v>45536</v>
      </c>
      <c r="V572" s="6">
        <v>0</v>
      </c>
      <c r="W572" s="6">
        <f ca="1">IFERROR(__xludf.DUMMYFUNCTION("IFERROR(GOOGLEFINANCE(B572,""pe""),V572)"),0)</f>
        <v>0</v>
      </c>
      <c r="X572" s="9"/>
      <c r="Y572" s="6">
        <v>-0.12</v>
      </c>
      <c r="Z572" s="6">
        <v>1</v>
      </c>
      <c r="AA572" s="8">
        <v>45352</v>
      </c>
      <c r="AB572" s="4">
        <v>-0.91</v>
      </c>
      <c r="AC572" s="6">
        <v>0</v>
      </c>
      <c r="AD572" s="6">
        <v>-47.41</v>
      </c>
      <c r="AE572" s="1">
        <v>0</v>
      </c>
      <c r="AF572" s="1">
        <f ca="1">IFERROR(__xludf.DUMMYFUNCTION("IFERROR(GOOGLEFINANCE(TRIM(F572)&amp;"":"" &amp; TRIM(B572),""high52""),AE572)"),0)</f>
        <v>0</v>
      </c>
      <c r="AG572" s="1">
        <v>0</v>
      </c>
      <c r="AH572" s="1">
        <f ca="1">IFERROR(__xludf.DUMMYFUNCTION("IFERROR(GOOGLEFINANCE(TRIM(F572)&amp;"":"" &amp; TRIM(B572),""low52""),AE572)"),0)</f>
        <v>0</v>
      </c>
      <c r="AI572" s="1">
        <f ca="1">IFERROR(__xludf.DUMMYFUNCTION("IFERROR(GOOGLEFINANCE(B572,""eps""),0)"),0)</f>
        <v>0</v>
      </c>
      <c r="AJ572" s="1"/>
      <c r="AK572" s="9"/>
      <c r="AL572" s="1" t="b">
        <f>ISBLANK(AB572)</f>
        <v>0</v>
      </c>
    </row>
    <row r="573" spans="1:38" ht="15" x14ac:dyDescent="0.25">
      <c r="A573" s="1" t="s">
        <v>1793</v>
      </c>
      <c r="B573" s="1" t="s">
        <v>1794</v>
      </c>
      <c r="C573" s="1" t="s">
        <v>1265</v>
      </c>
      <c r="D573" s="1" t="s">
        <v>1265</v>
      </c>
      <c r="E573" s="6">
        <v>1417.22</v>
      </c>
      <c r="F573" s="1" t="s">
        <v>40</v>
      </c>
      <c r="G573" s="6">
        <f ca="1">IFERROR(__xludf.DUMMYFUNCTION("iferror(GOOGLEFINANCE(TRIM(F573)&amp;"":"" &amp; TRIM(B573), ""price""),0
)"),591.4)</f>
        <v>591.4</v>
      </c>
      <c r="H573" s="6">
        <v>793.1</v>
      </c>
      <c r="I573" s="6">
        <f t="shared" ca="1" si="0"/>
        <v>591.4</v>
      </c>
      <c r="J573" s="6">
        <f ca="1">IFERROR(__xludf.DUMMYFUNCTION("IFERROR(GOOGLEFINANCE(B573, ""volume""), 0)"),2280)</f>
        <v>2280</v>
      </c>
      <c r="K573" s="6">
        <v>0</v>
      </c>
      <c r="L573" s="6">
        <f ca="1">IFERROR(__xludf.DUMMYFUNCTION("IFERROR(GOOGLEFINANCE(B573,""changepct""),K573)"),-0.23)</f>
        <v>-0.23</v>
      </c>
      <c r="M573" s="6">
        <f ca="1">IFERROR(__xludf.DUMMYFUNCTION("IFERROR(GOOGLEFINANCE(B573,""change""),0)"),-1.35)</f>
        <v>-1.35</v>
      </c>
      <c r="N573" s="6">
        <v>1</v>
      </c>
      <c r="O573" s="7">
        <v>45536</v>
      </c>
      <c r="P573" s="9"/>
      <c r="Q573" s="6">
        <v>1408.09</v>
      </c>
      <c r="R573" s="7">
        <v>45536</v>
      </c>
      <c r="S573" s="6">
        <v>843.73</v>
      </c>
      <c r="T573" s="6">
        <v>-6.73</v>
      </c>
      <c r="U573" s="7">
        <v>45536</v>
      </c>
      <c r="V573" s="6">
        <v>0</v>
      </c>
      <c r="W573" s="6">
        <f ca="1">IFERROR(__xludf.DUMMYFUNCTION("IFERROR(GOOGLEFINANCE(B573,""pe""),V573)"),25.92)</f>
        <v>25.92</v>
      </c>
      <c r="X573" s="6">
        <v>0</v>
      </c>
      <c r="Y573" s="6">
        <v>4.63</v>
      </c>
      <c r="Z573" s="6">
        <v>1</v>
      </c>
      <c r="AA573" s="8">
        <v>45352</v>
      </c>
      <c r="AB573" s="4">
        <v>0</v>
      </c>
      <c r="AC573" s="6">
        <v>2.56</v>
      </c>
      <c r="AD573" s="6">
        <v>4.3499999999999996</v>
      </c>
      <c r="AE573" s="1">
        <v>0</v>
      </c>
      <c r="AF573" s="1">
        <f ca="1">IFERROR(__xludf.DUMMYFUNCTION("IFERROR(GOOGLEFINANCE(TRIM(F573)&amp;"":"" &amp; TRIM(B573),""high52""),AE573)"),829.9)</f>
        <v>829.9</v>
      </c>
      <c r="AG573" s="1">
        <v>0</v>
      </c>
      <c r="AH573" s="1">
        <f ca="1">IFERROR(__xludf.DUMMYFUNCTION("IFERROR(GOOGLEFINANCE(TRIM(F573)&amp;"":"" &amp; TRIM(B573),""low52""),AE573)"),550.7)</f>
        <v>550.70000000000005</v>
      </c>
      <c r="AI573" s="1">
        <f ca="1">IFERROR(__xludf.DUMMYFUNCTION("IFERROR(GOOGLEFINANCE(B573,""eps""),0)"),22.82)</f>
        <v>22.82</v>
      </c>
      <c r="AJ573" s="1"/>
      <c r="AK573" s="6">
        <v>27.2</v>
      </c>
      <c r="AL573" s="9">
        <f t="shared" ref="AL573:AL574" si="124">IF(AA573&lt;&gt;AB573,1,0)</f>
        <v>1</v>
      </c>
    </row>
    <row r="574" spans="1:38" ht="15" x14ac:dyDescent="0.25">
      <c r="A574" s="1" t="s">
        <v>1795</v>
      </c>
      <c r="B574" s="1" t="s">
        <v>1796</v>
      </c>
      <c r="C574" s="1" t="s">
        <v>1019</v>
      </c>
      <c r="D574" s="1" t="s">
        <v>1019</v>
      </c>
      <c r="E574" s="6">
        <v>1494.71</v>
      </c>
      <c r="F574" s="1" t="s">
        <v>40</v>
      </c>
      <c r="G574" s="6">
        <f ca="1">IFERROR(__xludf.DUMMYFUNCTION("iferror(GOOGLEFINANCE(TRIM(F574)&amp;"":"" &amp; TRIM(B574), ""price""),0
)"),0)</f>
        <v>0</v>
      </c>
      <c r="H574" s="6">
        <v>872.7</v>
      </c>
      <c r="I574" s="6">
        <f t="shared" ca="1" si="0"/>
        <v>872.7</v>
      </c>
      <c r="J574" s="6">
        <f ca="1">IFERROR(__xludf.DUMMYFUNCTION("IFERROR(GOOGLEFINANCE(B574, ""volume""), 0)"),0)</f>
        <v>0</v>
      </c>
      <c r="K574" s="6">
        <v>-2.84</v>
      </c>
      <c r="L574" s="6">
        <f ca="1">IFERROR(__xludf.DUMMYFUNCTION("IFERROR(GOOGLEFINANCE(B574,""changepct""),K574)"),-100)</f>
        <v>-100</v>
      </c>
      <c r="M574" s="6">
        <f ca="1">IFERROR(__xludf.DUMMYFUNCTION("IFERROR(GOOGLEFINANCE(B574,""change""),0)"),-6.25)</f>
        <v>-6.25</v>
      </c>
      <c r="N574" s="6">
        <v>1</v>
      </c>
      <c r="O574" s="7">
        <v>45352</v>
      </c>
      <c r="P574" s="6">
        <v>0</v>
      </c>
      <c r="Q574" s="6">
        <v>1479.3</v>
      </c>
      <c r="R574" s="14"/>
      <c r="S574" s="9"/>
      <c r="T574" s="9"/>
      <c r="U574" s="7">
        <v>45352</v>
      </c>
      <c r="V574" s="6">
        <v>121.75</v>
      </c>
      <c r="W574" s="6">
        <f ca="1">IFERROR(__xludf.DUMMYFUNCTION("IFERROR(GOOGLEFINANCE(B574,""pe""),V574)"),121.75)</f>
        <v>121.75</v>
      </c>
      <c r="X574" s="12"/>
      <c r="Y574" s="6">
        <v>8.52</v>
      </c>
      <c r="Z574" s="6">
        <v>1</v>
      </c>
      <c r="AA574" s="8">
        <v>45352</v>
      </c>
      <c r="AB574" s="4">
        <v>0</v>
      </c>
      <c r="AC574" s="6">
        <v>31.09</v>
      </c>
      <c r="AD574" s="6">
        <v>39.35</v>
      </c>
      <c r="AE574" s="1">
        <v>0</v>
      </c>
      <c r="AF574" s="1">
        <f ca="1">IFERROR(__xludf.DUMMYFUNCTION("IFERROR(GOOGLEFINANCE(TRIM(F574)&amp;"":"" &amp; TRIM(B574),""high52""),AE574)"),0)</f>
        <v>0</v>
      </c>
      <c r="AG574" s="1">
        <v>0</v>
      </c>
      <c r="AH574" s="1">
        <f ca="1">IFERROR(__xludf.DUMMYFUNCTION("IFERROR(GOOGLEFINANCE(TRIM(F574)&amp;"":"" &amp; TRIM(B574),""low52""),AE574)"),0)</f>
        <v>0</v>
      </c>
      <c r="AI574" s="1">
        <f ca="1">IFERROR(__xludf.DUMMYFUNCTION("IFERROR(GOOGLEFINANCE(B574,""eps""),0)"),0)</f>
        <v>0</v>
      </c>
      <c r="AJ574" s="1"/>
      <c r="AK574" s="1" t="s">
        <v>1797</v>
      </c>
      <c r="AL574" s="9">
        <f t="shared" si="124"/>
        <v>1</v>
      </c>
    </row>
    <row r="575" spans="1:38" ht="15" x14ac:dyDescent="0.25">
      <c r="A575" s="1" t="s">
        <v>1798</v>
      </c>
      <c r="B575" s="1" t="s">
        <v>1799</v>
      </c>
      <c r="C575" s="1" t="s">
        <v>90</v>
      </c>
      <c r="D575" s="1" t="s">
        <v>90</v>
      </c>
      <c r="E575" s="6">
        <v>108.98</v>
      </c>
      <c r="F575" s="1" t="s">
        <v>40</v>
      </c>
      <c r="G575" s="6">
        <f ca="1">IFERROR(__xludf.DUMMYFUNCTION("iferror(GOOGLEFINANCE(TRIM(F575)&amp;"":"" &amp; TRIM(B575), ""price""),0
)"),0)</f>
        <v>0</v>
      </c>
      <c r="H575" s="6">
        <v>114</v>
      </c>
      <c r="I575" s="6">
        <f t="shared" ca="1" si="0"/>
        <v>114</v>
      </c>
      <c r="J575" s="6">
        <f ca="1">IFERROR(__xludf.DUMMYFUNCTION("IFERROR(GOOGLEFINANCE(B575, ""volume""), 0)"),0)</f>
        <v>0</v>
      </c>
      <c r="K575" s="6">
        <v>4.6399999999999997</v>
      </c>
      <c r="L575" s="6">
        <f ca="1">IFERROR(__xludf.DUMMYFUNCTION("IFERROR(GOOGLEFINANCE(B575,""changepct""),K575)"),4.64)</f>
        <v>4.6399999999999997</v>
      </c>
      <c r="M575" s="6">
        <f ca="1">IFERROR(__xludf.DUMMYFUNCTION("IFERROR(GOOGLEFINANCE(B575,""change""),0)"),0)</f>
        <v>0</v>
      </c>
      <c r="N575" s="6">
        <v>1</v>
      </c>
      <c r="O575" s="7">
        <v>45536</v>
      </c>
      <c r="P575" s="6">
        <v>9.68</v>
      </c>
      <c r="Q575" s="6">
        <v>118.66</v>
      </c>
      <c r="R575" s="7">
        <v>45352</v>
      </c>
      <c r="S575" s="6">
        <v>27.2</v>
      </c>
      <c r="T575" s="6">
        <v>2.2400000000000002</v>
      </c>
      <c r="U575" s="7">
        <v>45352</v>
      </c>
      <c r="V575" s="6">
        <v>48.66</v>
      </c>
      <c r="W575" s="6">
        <f ca="1">IFERROR(__xludf.DUMMYFUNCTION("IFERROR(GOOGLEFINANCE(B575,""pe""),V575)"),48.66)</f>
        <v>48.66</v>
      </c>
      <c r="X575" s="6">
        <v>-5.45</v>
      </c>
      <c r="Y575" s="6">
        <v>2.3199999999999998</v>
      </c>
      <c r="Z575" s="6">
        <v>2</v>
      </c>
      <c r="AA575" s="8">
        <v>45352</v>
      </c>
      <c r="AB575" s="4">
        <v>1.58</v>
      </c>
      <c r="AC575" s="6">
        <v>28.36</v>
      </c>
      <c r="AD575" s="6">
        <v>16.53</v>
      </c>
      <c r="AE575" s="1">
        <v>0</v>
      </c>
      <c r="AF575" s="1">
        <f ca="1">IFERROR(__xludf.DUMMYFUNCTION("IFERROR(GOOGLEFINANCE(TRIM(F575)&amp;"":"" &amp; TRIM(B575),""high52""),AE575)"),0)</f>
        <v>0</v>
      </c>
      <c r="AG575" s="1">
        <v>0</v>
      </c>
      <c r="AH575" s="1">
        <f ca="1">IFERROR(__xludf.DUMMYFUNCTION("IFERROR(GOOGLEFINANCE(TRIM(F575)&amp;"":"" &amp; TRIM(B575),""low52""),AE575)"),0)</f>
        <v>0</v>
      </c>
      <c r="AI575" s="1">
        <f ca="1">IFERROR(__xludf.DUMMYFUNCTION("IFERROR(GOOGLEFINANCE(B575,""eps""),0)"),0)</f>
        <v>0</v>
      </c>
      <c r="AJ575" s="1"/>
      <c r="AK575" s="1" t="s">
        <v>1800</v>
      </c>
      <c r="AL575" s="1" t="b">
        <f>ISNUMBER(AA575)</f>
        <v>1</v>
      </c>
    </row>
    <row r="576" spans="1:38" ht="15" x14ac:dyDescent="0.25">
      <c r="A576" s="1" t="s">
        <v>1801</v>
      </c>
      <c r="B576" s="1" t="s">
        <v>1802</v>
      </c>
      <c r="C576" s="1" t="s">
        <v>57</v>
      </c>
      <c r="D576" s="1" t="s">
        <v>57</v>
      </c>
      <c r="E576" s="6">
        <v>26.42</v>
      </c>
      <c r="F576" s="1" t="s">
        <v>40</v>
      </c>
      <c r="G576" s="6">
        <f ca="1">IFERROR(__xludf.DUMMYFUNCTION("iferror(GOOGLEFINANCE(TRIM(F576)&amp;"":"" &amp; TRIM(B576), ""price""),0
)"),13.51)</f>
        <v>13.51</v>
      </c>
      <c r="H576" s="6">
        <v>17.86</v>
      </c>
      <c r="I576" s="6">
        <f t="shared" ca="1" si="0"/>
        <v>13.51</v>
      </c>
      <c r="J576" s="6">
        <f ca="1">IFERROR(__xludf.DUMMYFUNCTION("IFERROR(GOOGLEFINANCE(B576, ""volume""), 0)"),29921)</f>
        <v>29921</v>
      </c>
      <c r="K576" s="6">
        <v>5</v>
      </c>
      <c r="L576" s="6">
        <f ca="1">IFERROR(__xludf.DUMMYFUNCTION("IFERROR(GOOGLEFINANCE(B576,""changepct""),K576)"),-3.77)</f>
        <v>-3.77</v>
      </c>
      <c r="M576" s="6">
        <f ca="1">IFERROR(__xludf.DUMMYFUNCTION("IFERROR(GOOGLEFINANCE(B576,""change""),0)"),-0.53)</f>
        <v>-0.53</v>
      </c>
      <c r="N576" s="6">
        <v>2</v>
      </c>
      <c r="O576" s="7">
        <v>45536</v>
      </c>
      <c r="P576" s="6">
        <v>9.24</v>
      </c>
      <c r="Q576" s="6">
        <v>35.65</v>
      </c>
      <c r="R576" s="7">
        <v>45536</v>
      </c>
      <c r="S576" s="6">
        <v>4.41</v>
      </c>
      <c r="T576" s="6">
        <v>0.62</v>
      </c>
      <c r="U576" s="7">
        <v>45536</v>
      </c>
      <c r="V576" s="6">
        <v>42.4</v>
      </c>
      <c r="W576" s="6">
        <f ca="1">IFERROR(__xludf.DUMMYFUNCTION("IFERROR(GOOGLEFINANCE(B576,""pe""),V576)"),83.46)</f>
        <v>83.46</v>
      </c>
      <c r="X576" s="6">
        <v>-0.87</v>
      </c>
      <c r="Y576" s="6">
        <v>2.19</v>
      </c>
      <c r="Z576" s="6">
        <v>2</v>
      </c>
      <c r="AA576" s="8">
        <v>45352</v>
      </c>
      <c r="AB576" s="4">
        <v>0.68</v>
      </c>
      <c r="AC576" s="6">
        <v>5.43</v>
      </c>
      <c r="AD576" s="6">
        <v>4.42</v>
      </c>
      <c r="AE576" s="1">
        <v>0</v>
      </c>
      <c r="AF576" s="1">
        <f ca="1">IFERROR(__xludf.DUMMYFUNCTION("IFERROR(GOOGLEFINANCE(TRIM(F576)&amp;"":"" &amp; TRIM(B576),""high52""),AE576)"),21.42)</f>
        <v>21.42</v>
      </c>
      <c r="AG576" s="1">
        <v>0</v>
      </c>
      <c r="AH576" s="1">
        <f ca="1">IFERROR(__xludf.DUMMYFUNCTION("IFERROR(GOOGLEFINANCE(TRIM(F576)&amp;"":"" &amp; TRIM(B576),""low52""),AE576)"),9.96)</f>
        <v>9.9600000000000009</v>
      </c>
      <c r="AI576" s="1">
        <f ca="1">IFERROR(__xludf.DUMMYFUNCTION("IFERROR(GOOGLEFINANCE(B576,""eps""),0)"),0.16)</f>
        <v>0.16</v>
      </c>
      <c r="AJ576" s="1"/>
      <c r="AK576" s="1" t="s">
        <v>1803</v>
      </c>
      <c r="AL576" s="9">
        <f t="shared" ref="AL576:AL582" si="125">IF(AA576&lt;&gt;AB576,1,0)</f>
        <v>1</v>
      </c>
    </row>
    <row r="577" spans="1:38" ht="15" x14ac:dyDescent="0.25">
      <c r="A577" s="1" t="s">
        <v>1804</v>
      </c>
      <c r="B577" s="1" t="s">
        <v>1805</v>
      </c>
      <c r="C577" s="1" t="s">
        <v>135</v>
      </c>
      <c r="D577" s="1" t="s">
        <v>135</v>
      </c>
      <c r="E577" s="6">
        <v>5.75</v>
      </c>
      <c r="F577" s="1" t="s">
        <v>53</v>
      </c>
      <c r="G577" s="6">
        <f ca="1">IFERROR(__xludf.DUMMYFUNCTION("iferror(GOOGLEFINANCE(TRIM(F577)&amp;"":"" &amp; TRIM(B577), ""price""),0
)"),0)</f>
        <v>0</v>
      </c>
      <c r="H577" s="6">
        <v>7.99</v>
      </c>
      <c r="I577" s="6">
        <f t="shared" ca="1" si="0"/>
        <v>7.99</v>
      </c>
      <c r="J577" s="6">
        <f ca="1">IFERROR(__xludf.DUMMYFUNCTION("IFERROR(GOOGLEFINANCE(B577, ""volume""), 0)"),0)</f>
        <v>0</v>
      </c>
      <c r="K577" s="9"/>
      <c r="L577" s="6" t="str">
        <f ca="1">IFERROR(__xludf.DUMMYFUNCTION("IFERROR(GOOGLEFINANCE(B577,""changepct""),K577)"),"")</f>
        <v/>
      </c>
      <c r="M577" s="6">
        <f ca="1">IFERROR(__xludf.DUMMYFUNCTION("IFERROR(GOOGLEFINANCE(B577,""change""),0)"),0)</f>
        <v>0</v>
      </c>
      <c r="N577" s="6">
        <v>1</v>
      </c>
      <c r="O577" s="7">
        <v>45536</v>
      </c>
      <c r="P577" s="6">
        <v>4.57</v>
      </c>
      <c r="Q577" s="6">
        <v>10.32</v>
      </c>
      <c r="R577" s="7">
        <v>45536</v>
      </c>
      <c r="S577" s="6">
        <v>0</v>
      </c>
      <c r="T577" s="6">
        <v>-0.1</v>
      </c>
      <c r="U577" s="7">
        <v>45536</v>
      </c>
      <c r="V577" s="6">
        <v>0</v>
      </c>
      <c r="W577" s="6">
        <f ca="1">IFERROR(__xludf.DUMMYFUNCTION("IFERROR(GOOGLEFINANCE(B577,""pe""),V577)"),0)</f>
        <v>0</v>
      </c>
      <c r="X577" s="6">
        <v>0</v>
      </c>
      <c r="Y577" s="6">
        <v>-1.27</v>
      </c>
      <c r="Z577" s="6">
        <v>1</v>
      </c>
      <c r="AA577" s="8">
        <v>45352</v>
      </c>
      <c r="AB577" s="4">
        <v>-1</v>
      </c>
      <c r="AC577" s="6">
        <v>0</v>
      </c>
      <c r="AD577" s="6">
        <v>0</v>
      </c>
      <c r="AE577" s="1">
        <v>0</v>
      </c>
      <c r="AF577" s="1">
        <f ca="1">IFERROR(__xludf.DUMMYFUNCTION("IFERROR(GOOGLEFINANCE(TRIM(F577)&amp;"":"" &amp; TRIM(B577),""high52""),AE577)"),0)</f>
        <v>0</v>
      </c>
      <c r="AG577" s="1">
        <v>0</v>
      </c>
      <c r="AH577" s="1">
        <f ca="1">IFERROR(__xludf.DUMMYFUNCTION("IFERROR(GOOGLEFINANCE(TRIM(F577)&amp;"":"" &amp; TRIM(B577),""low52""),AE577)"),0)</f>
        <v>0</v>
      </c>
      <c r="AI577" s="1">
        <f ca="1">IFERROR(__xludf.DUMMYFUNCTION("IFERROR(GOOGLEFINANCE(B577,""eps""),0)"),0)</f>
        <v>0</v>
      </c>
      <c r="AJ577" s="1"/>
      <c r="AK577" s="1" t="s">
        <v>1806</v>
      </c>
      <c r="AL577" s="9">
        <f t="shared" si="125"/>
        <v>1</v>
      </c>
    </row>
    <row r="578" spans="1:38" ht="15" x14ac:dyDescent="0.25">
      <c r="A578" s="1" t="s">
        <v>1807</v>
      </c>
      <c r="B578" s="1" t="s">
        <v>1808</v>
      </c>
      <c r="C578" s="1" t="s">
        <v>57</v>
      </c>
      <c r="D578" s="1" t="s">
        <v>57</v>
      </c>
      <c r="E578" s="6">
        <v>221.34</v>
      </c>
      <c r="F578" s="1" t="s">
        <v>40</v>
      </c>
      <c r="G578" s="6">
        <f ca="1">IFERROR(__xludf.DUMMYFUNCTION("iferror(GOOGLEFINANCE(TRIM(F578)&amp;"":"" &amp; TRIM(B578), ""price""),0
)"),34.8)</f>
        <v>34.799999999999997</v>
      </c>
      <c r="H578" s="6">
        <v>112.75</v>
      </c>
      <c r="I578" s="6">
        <f t="shared" ca="1" si="0"/>
        <v>34.799999999999997</v>
      </c>
      <c r="J578" s="6">
        <f ca="1">IFERROR(__xludf.DUMMYFUNCTION("IFERROR(GOOGLEFINANCE(B578, ""volume""), 0)"),0)</f>
        <v>0</v>
      </c>
      <c r="K578" s="6">
        <v>-0.27</v>
      </c>
      <c r="L578" s="6">
        <f ca="1">IFERROR(__xludf.DUMMYFUNCTION("IFERROR(GOOGLEFINANCE(B578,""changepct""),K578)"),0)</f>
        <v>0</v>
      </c>
      <c r="M578" s="6">
        <f ca="1">IFERROR(__xludf.DUMMYFUNCTION("IFERROR(GOOGLEFINANCE(B578,""change""),0)"),0)</f>
        <v>0</v>
      </c>
      <c r="N578" s="6">
        <v>2</v>
      </c>
      <c r="O578" s="7">
        <v>45536</v>
      </c>
      <c r="P578" s="6">
        <v>123.68</v>
      </c>
      <c r="Q578" s="6">
        <v>308.5</v>
      </c>
      <c r="R578" s="7">
        <v>45536</v>
      </c>
      <c r="S578" s="6">
        <v>206.77</v>
      </c>
      <c r="T578" s="6">
        <v>-23.98</v>
      </c>
      <c r="U578" s="7">
        <v>45536</v>
      </c>
      <c r="V578" s="6">
        <v>0</v>
      </c>
      <c r="W578" s="6">
        <f ca="1">IFERROR(__xludf.DUMMYFUNCTION("IFERROR(GOOGLEFINANCE(B578,""pe""),V578)"),28.03)</f>
        <v>28.03</v>
      </c>
      <c r="X578" s="6">
        <v>0</v>
      </c>
      <c r="Y578" s="6">
        <v>2.92</v>
      </c>
      <c r="Z578" s="6">
        <v>2</v>
      </c>
      <c r="AA578" s="8">
        <v>45352</v>
      </c>
      <c r="AB578" s="4">
        <v>1.04</v>
      </c>
      <c r="AC578" s="6">
        <v>5.29</v>
      </c>
      <c r="AD578" s="6">
        <v>8.77</v>
      </c>
      <c r="AE578" s="1">
        <v>0</v>
      </c>
      <c r="AF578" s="1">
        <f ca="1">IFERROR(__xludf.DUMMYFUNCTION("IFERROR(GOOGLEFINANCE(TRIM(F578)&amp;"":"" &amp; TRIM(B578),""high52""),AE578)"),85.55)</f>
        <v>85.55</v>
      </c>
      <c r="AG578" s="1">
        <v>0</v>
      </c>
      <c r="AH578" s="1">
        <f ca="1">IFERROR(__xludf.DUMMYFUNCTION("IFERROR(GOOGLEFINANCE(TRIM(F578)&amp;"":"" &amp; TRIM(B578),""low52""),AE578)"),31.76)</f>
        <v>31.76</v>
      </c>
      <c r="AI578" s="1">
        <f ca="1">IFERROR(__xludf.DUMMYFUNCTION("IFERROR(GOOGLEFINANCE(B578,""eps""),0)"),0.04)</f>
        <v>0.04</v>
      </c>
      <c r="AJ578" s="1"/>
      <c r="AK578" s="1" t="s">
        <v>1809</v>
      </c>
      <c r="AL578" s="9">
        <f t="shared" si="125"/>
        <v>1</v>
      </c>
    </row>
    <row r="579" spans="1:38" ht="15" x14ac:dyDescent="0.25">
      <c r="A579" s="1" t="s">
        <v>1810</v>
      </c>
      <c r="B579" s="1" t="s">
        <v>1811</v>
      </c>
      <c r="C579" s="1" t="s">
        <v>135</v>
      </c>
      <c r="D579" s="1" t="s">
        <v>135</v>
      </c>
      <c r="E579" s="6">
        <v>2318.13</v>
      </c>
      <c r="F579" s="1" t="s">
        <v>40</v>
      </c>
      <c r="G579" s="6">
        <f ca="1">IFERROR(__xludf.DUMMYFUNCTION("iferror(GOOGLEFINANCE(TRIM(F579)&amp;"":"" &amp; TRIM(B579), ""price""),0
)"),141)</f>
        <v>141</v>
      </c>
      <c r="H579" s="6">
        <v>132.15</v>
      </c>
      <c r="I579" s="6">
        <f t="shared" ca="1" si="0"/>
        <v>141</v>
      </c>
      <c r="J579" s="6">
        <f ca="1">IFERROR(__xludf.DUMMYFUNCTION("IFERROR(GOOGLEFINANCE(B579, ""volume""), 0)"),157317)</f>
        <v>157317</v>
      </c>
      <c r="K579" s="6">
        <v>-4.49</v>
      </c>
      <c r="L579" s="6">
        <f ca="1">IFERROR(__xludf.DUMMYFUNCTION("IFERROR(GOOGLEFINANCE(B579,""changepct""),K579)"),-0.37)</f>
        <v>-0.37</v>
      </c>
      <c r="M579" s="6">
        <f ca="1">IFERROR(__xludf.DUMMYFUNCTION("IFERROR(GOOGLEFINANCE(B579,""change""),0)"),-0.53)</f>
        <v>-0.53</v>
      </c>
      <c r="N579" s="6">
        <v>2</v>
      </c>
      <c r="O579" s="7">
        <v>45536</v>
      </c>
      <c r="P579" s="6">
        <v>739.49</v>
      </c>
      <c r="Q579" s="6">
        <v>2967.03</v>
      </c>
      <c r="R579" s="7">
        <v>45536</v>
      </c>
      <c r="S579" s="6">
        <v>1606.4</v>
      </c>
      <c r="T579" s="6">
        <v>-247.33</v>
      </c>
      <c r="U579" s="7">
        <v>45536</v>
      </c>
      <c r="V579" s="6">
        <v>0</v>
      </c>
      <c r="W579" s="6">
        <f ca="1">IFERROR(__xludf.DUMMYFUNCTION("IFERROR(GOOGLEFINANCE(B579,""pe""),V579)"),0)</f>
        <v>0</v>
      </c>
      <c r="X579" s="12"/>
      <c r="Y579" s="6">
        <v>3.59</v>
      </c>
      <c r="Z579" s="6">
        <v>2</v>
      </c>
      <c r="AA579" s="8">
        <v>45352</v>
      </c>
      <c r="AB579" s="4">
        <v>0.82</v>
      </c>
      <c r="AC579" s="6">
        <v>-13.56</v>
      </c>
      <c r="AD579" s="6">
        <v>-1.94</v>
      </c>
      <c r="AE579" s="1">
        <v>0</v>
      </c>
      <c r="AF579" s="1">
        <f ca="1">IFERROR(__xludf.DUMMYFUNCTION("IFERROR(GOOGLEFINANCE(TRIM(F579)&amp;"":"" &amp; TRIM(B579),""high52""),AE579)"),333.3)</f>
        <v>333.3</v>
      </c>
      <c r="AG579" s="1">
        <v>0</v>
      </c>
      <c r="AH579" s="1">
        <f ca="1">IFERROR(__xludf.DUMMYFUNCTION("IFERROR(GOOGLEFINANCE(TRIM(F579)&amp;"":"" &amp; TRIM(B579),""low52""),AE579)"),121.51)</f>
        <v>121.51</v>
      </c>
      <c r="AI579" s="1">
        <f ca="1">IFERROR(__xludf.DUMMYFUNCTION("IFERROR(GOOGLEFINANCE(B579,""eps""),0)"),-1.58)</f>
        <v>-1.58</v>
      </c>
      <c r="AJ579" s="1"/>
      <c r="AK579" s="1" t="s">
        <v>1812</v>
      </c>
      <c r="AL579" s="9">
        <f t="shared" si="125"/>
        <v>1</v>
      </c>
    </row>
    <row r="580" spans="1:38" ht="15" x14ac:dyDescent="0.25">
      <c r="A580" s="1" t="s">
        <v>1813</v>
      </c>
      <c r="B580" s="1" t="s">
        <v>1814</v>
      </c>
      <c r="C580" s="1" t="s">
        <v>1425</v>
      </c>
      <c r="D580" s="1" t="s">
        <v>1425</v>
      </c>
      <c r="E580" s="6">
        <v>9528.43</v>
      </c>
      <c r="F580" s="1" t="s">
        <v>40</v>
      </c>
      <c r="G580" s="6">
        <f ca="1">IFERROR(__xludf.DUMMYFUNCTION("iferror(GOOGLEFINANCE(TRIM(F580)&amp;"":"" &amp; TRIM(B580), ""price""),0
)"),269)</f>
        <v>269</v>
      </c>
      <c r="H580" s="6">
        <v>310.89999999999998</v>
      </c>
      <c r="I580" s="6">
        <f t="shared" ca="1" si="0"/>
        <v>269</v>
      </c>
      <c r="J580" s="6">
        <f ca="1">IFERROR(__xludf.DUMMYFUNCTION("IFERROR(GOOGLEFINANCE(B580, ""volume""), 0)"),4356795)</f>
        <v>4356795</v>
      </c>
      <c r="K580" s="6">
        <v>-0.42</v>
      </c>
      <c r="L580" s="6">
        <f ca="1">IFERROR(__xludf.DUMMYFUNCTION("IFERROR(GOOGLEFINANCE(B580,""changepct""),K580)"),5.43)</f>
        <v>5.43</v>
      </c>
      <c r="M580" s="6">
        <f ca="1">IFERROR(__xludf.DUMMYFUNCTION("IFERROR(GOOGLEFINANCE(B580,""change""),0)"),13.85)</f>
        <v>13.85</v>
      </c>
      <c r="N580" s="6">
        <v>1</v>
      </c>
      <c r="O580" s="7">
        <v>45536</v>
      </c>
      <c r="P580" s="6">
        <v>49.6</v>
      </c>
      <c r="Q580" s="6">
        <v>9578.0300000000007</v>
      </c>
      <c r="R580" s="7">
        <v>45536</v>
      </c>
      <c r="S580" s="6">
        <v>1508.32</v>
      </c>
      <c r="T580" s="6">
        <v>97.32</v>
      </c>
      <c r="U580" s="7">
        <v>45536</v>
      </c>
      <c r="V580" s="6">
        <v>97.91</v>
      </c>
      <c r="W580" s="6">
        <f ca="1">IFERROR(__xludf.DUMMYFUNCTION("IFERROR(GOOGLEFINANCE(B580,""pe""),V580)"),66.46)</f>
        <v>66.459999999999994</v>
      </c>
      <c r="X580" s="12"/>
      <c r="Y580" s="6">
        <v>13.75</v>
      </c>
      <c r="Z580" s="6">
        <v>1</v>
      </c>
      <c r="AA580" s="8">
        <v>45352</v>
      </c>
      <c r="AB580" s="4">
        <v>0.04</v>
      </c>
      <c r="AC580" s="6">
        <v>14.97</v>
      </c>
      <c r="AD580" s="6">
        <v>20.329999999999998</v>
      </c>
      <c r="AE580" s="1">
        <v>0</v>
      </c>
      <c r="AF580" s="1">
        <f ca="1">IFERROR(__xludf.DUMMYFUNCTION("IFERROR(GOOGLEFINANCE(TRIM(F580)&amp;"":"" &amp; TRIM(B580),""high52""),AE580)"),304.4)</f>
        <v>304.39999999999998</v>
      </c>
      <c r="AG580" s="1">
        <v>0</v>
      </c>
      <c r="AH580" s="1">
        <f ca="1">IFERROR(__xludf.DUMMYFUNCTION("IFERROR(GOOGLEFINANCE(TRIM(F580)&amp;"":"" &amp; TRIM(B580),""low52""),AE580)"),210)</f>
        <v>210</v>
      </c>
      <c r="AI580" s="1">
        <f ca="1">IFERROR(__xludf.DUMMYFUNCTION("IFERROR(GOOGLEFINANCE(B580,""eps""),0)"),4.05)</f>
        <v>4.05</v>
      </c>
      <c r="AJ580" s="1"/>
      <c r="AK580" s="1" t="s">
        <v>1815</v>
      </c>
      <c r="AL580" s="9">
        <f t="shared" si="125"/>
        <v>1</v>
      </c>
    </row>
    <row r="581" spans="1:38" ht="15" x14ac:dyDescent="0.25">
      <c r="A581" s="1" t="s">
        <v>1816</v>
      </c>
      <c r="B581" s="1" t="s">
        <v>1817</v>
      </c>
      <c r="C581" s="1" t="s">
        <v>135</v>
      </c>
      <c r="D581" s="1" t="s">
        <v>135</v>
      </c>
      <c r="E581" s="6">
        <v>4720.01</v>
      </c>
      <c r="F581" s="1" t="s">
        <v>53</v>
      </c>
      <c r="G581" s="6">
        <f ca="1">IFERROR(__xludf.DUMMYFUNCTION("iferror(GOOGLEFINANCE(TRIM(F581)&amp;"":"" &amp; TRIM(B581), ""price""),0
)"),0)</f>
        <v>0</v>
      </c>
      <c r="H581" s="6">
        <v>104.75</v>
      </c>
      <c r="I581" s="6">
        <f t="shared" ca="1" si="0"/>
        <v>104.75</v>
      </c>
      <c r="J581" s="6">
        <f ca="1">IFERROR(__xludf.DUMMYFUNCTION("IFERROR(GOOGLEFINANCE(B581, ""volume""), 0)"),0)</f>
        <v>0</v>
      </c>
      <c r="K581" s="6">
        <v>0.62</v>
      </c>
      <c r="L581" s="6">
        <f ca="1">IFERROR(__xludf.DUMMYFUNCTION("IFERROR(GOOGLEFINANCE(B581,""changepct""),K581)"),0.62)</f>
        <v>0.62</v>
      </c>
      <c r="M581" s="6">
        <f ca="1">IFERROR(__xludf.DUMMYFUNCTION("IFERROR(GOOGLEFINANCE(B581,""change""),0)"),0)</f>
        <v>0</v>
      </c>
      <c r="N581" s="6">
        <v>2</v>
      </c>
      <c r="O581" s="7">
        <v>45536</v>
      </c>
      <c r="P581" s="6">
        <v>8.93</v>
      </c>
      <c r="Q581" s="6">
        <v>4270.13</v>
      </c>
      <c r="R581" s="7">
        <v>45536</v>
      </c>
      <c r="S581" s="6">
        <v>1136.93</v>
      </c>
      <c r="T581" s="6">
        <v>160.24</v>
      </c>
      <c r="U581" s="7">
        <v>45536</v>
      </c>
      <c r="V581" s="6">
        <v>29.46</v>
      </c>
      <c r="W581" s="6">
        <f ca="1">IFERROR(__xludf.DUMMYFUNCTION("IFERROR(GOOGLEFINANCE(B581,""pe""),V581)"),29.46)</f>
        <v>29.46</v>
      </c>
      <c r="X581" s="6">
        <v>1.78</v>
      </c>
      <c r="Y581" s="6">
        <v>5.43</v>
      </c>
      <c r="Z581" s="6">
        <v>2</v>
      </c>
      <c r="AA581" s="8">
        <v>45352</v>
      </c>
      <c r="AB581" s="4">
        <v>0.03</v>
      </c>
      <c r="AC581" s="6">
        <v>19.71</v>
      </c>
      <c r="AD581" s="6">
        <v>26.33</v>
      </c>
      <c r="AE581" s="1">
        <v>0</v>
      </c>
      <c r="AF581" s="1">
        <f ca="1">IFERROR(__xludf.DUMMYFUNCTION("IFERROR(GOOGLEFINANCE(TRIM(F581)&amp;"":"" &amp; TRIM(B581),""high52""),AE581)"),0)</f>
        <v>0</v>
      </c>
      <c r="AG581" s="1">
        <v>0</v>
      </c>
      <c r="AH581" s="1">
        <f ca="1">IFERROR(__xludf.DUMMYFUNCTION("IFERROR(GOOGLEFINANCE(TRIM(F581)&amp;"":"" &amp; TRIM(B581),""low52""),AE581)"),0)</f>
        <v>0</v>
      </c>
      <c r="AI581" s="1">
        <f ca="1">IFERROR(__xludf.DUMMYFUNCTION("IFERROR(GOOGLEFINANCE(B581,""eps""),0)"),0)</f>
        <v>0</v>
      </c>
      <c r="AJ581" s="1"/>
      <c r="AK581" s="1" t="s">
        <v>1818</v>
      </c>
      <c r="AL581" s="9">
        <f t="shared" si="125"/>
        <v>1</v>
      </c>
    </row>
    <row r="582" spans="1:38" ht="15" x14ac:dyDescent="0.25">
      <c r="A582" s="1" t="s">
        <v>1819</v>
      </c>
      <c r="B582" s="1" t="s">
        <v>1820</v>
      </c>
      <c r="C582" s="1" t="s">
        <v>94</v>
      </c>
      <c r="D582" s="1" t="s">
        <v>94</v>
      </c>
      <c r="E582" s="6">
        <v>9717.59</v>
      </c>
      <c r="F582" s="1" t="s">
        <v>40</v>
      </c>
      <c r="G582" s="6">
        <f ca="1">IFERROR(__xludf.DUMMYFUNCTION("iferror(GOOGLEFINANCE(TRIM(F582)&amp;"":"" &amp; TRIM(B582), ""price""),0
)"),925)</f>
        <v>925</v>
      </c>
      <c r="H582" s="6">
        <v>719.75</v>
      </c>
      <c r="I582" s="6">
        <f t="shared" ca="1" si="0"/>
        <v>925</v>
      </c>
      <c r="J582" s="6">
        <f ca="1">IFERROR(__xludf.DUMMYFUNCTION("IFERROR(GOOGLEFINANCE(B582, ""volume""), 0)"),1019196)</f>
        <v>1019196</v>
      </c>
      <c r="K582" s="6">
        <v>-1.33</v>
      </c>
      <c r="L582" s="6">
        <f ca="1">IFERROR(__xludf.DUMMYFUNCTION("IFERROR(GOOGLEFINANCE(B582,""changepct""),K582)"),2.98)</f>
        <v>2.98</v>
      </c>
      <c r="M582" s="6">
        <f ca="1">IFERROR(__xludf.DUMMYFUNCTION("IFERROR(GOOGLEFINANCE(B582,""change""),0)"),26.75)</f>
        <v>26.75</v>
      </c>
      <c r="N582" s="6">
        <v>1</v>
      </c>
      <c r="O582" s="7">
        <v>45536</v>
      </c>
      <c r="P582" s="6">
        <v>820.3</v>
      </c>
      <c r="Q582" s="7">
        <v>45536</v>
      </c>
      <c r="R582" s="6">
        <v>11.85</v>
      </c>
      <c r="S582" s="6">
        <v>0.57999999999999996</v>
      </c>
      <c r="T582" s="6">
        <v>2.0699999999999998</v>
      </c>
      <c r="U582" s="6">
        <v>1</v>
      </c>
      <c r="V582" s="7">
        <v>45352</v>
      </c>
      <c r="W582" s="6">
        <f ca="1">IFERROR(__xludf.DUMMYFUNCTION("IFERROR(GOOGLEFINANCE(B582,""pe""),V582)"),12.65)</f>
        <v>12.65</v>
      </c>
      <c r="X582" s="6">
        <v>7.34</v>
      </c>
      <c r="Y582" s="6">
        <v>18.79</v>
      </c>
      <c r="Z582" s="6">
        <v>9.26</v>
      </c>
      <c r="AA582" s="3" t="s">
        <v>1821</v>
      </c>
      <c r="AB582" s="3"/>
      <c r="AC582" s="9"/>
      <c r="AD582" s="9"/>
      <c r="AE582" s="1">
        <v>0</v>
      </c>
      <c r="AF582" s="1">
        <f ca="1">IFERROR(__xludf.DUMMYFUNCTION("IFERROR(GOOGLEFINANCE(TRIM(F582)&amp;"":"" &amp; TRIM(B582),""high52""),AE582)"),971.5)</f>
        <v>971.5</v>
      </c>
      <c r="AG582" s="1">
        <v>0</v>
      </c>
      <c r="AH582" s="1">
        <f ca="1">IFERROR(__xludf.DUMMYFUNCTION("IFERROR(GOOGLEFINANCE(TRIM(F582)&amp;"":"" &amp; TRIM(B582),""low52""),AE582)"),558.5)</f>
        <v>558.5</v>
      </c>
      <c r="AI582" s="1">
        <f ca="1">IFERROR(__xludf.DUMMYFUNCTION("IFERROR(GOOGLEFINANCE(B582,""eps""),0)"),73.14)</f>
        <v>73.14</v>
      </c>
      <c r="AJ582" s="1"/>
      <c r="AK582" s="6">
        <v>37.909999999999997</v>
      </c>
      <c r="AL582" s="9">
        <f t="shared" si="125"/>
        <v>1</v>
      </c>
    </row>
    <row r="583" spans="1:38" ht="15" x14ac:dyDescent="0.25">
      <c r="A583" s="1" t="s">
        <v>1822</v>
      </c>
      <c r="B583" s="1" t="s">
        <v>1823</v>
      </c>
      <c r="C583" s="1" t="s">
        <v>1379</v>
      </c>
      <c r="D583" s="1" t="s">
        <v>1379</v>
      </c>
      <c r="E583" s="6">
        <v>91658.93</v>
      </c>
      <c r="F583" s="1" t="s">
        <v>40</v>
      </c>
      <c r="G583" s="6">
        <f ca="1">IFERROR(__xludf.DUMMYFUNCTION("iferror(GOOGLEFINANCE(TRIM(F583)&amp;"":"" &amp; TRIM(B583), ""price""),0
)"),146.5)</f>
        <v>146.5</v>
      </c>
      <c r="H583" s="6">
        <v>102.24</v>
      </c>
      <c r="I583" s="6">
        <f t="shared" ca="1" si="0"/>
        <v>146.5</v>
      </c>
      <c r="J583" s="6">
        <f ca="1">IFERROR(__xludf.DUMMYFUNCTION("IFERROR(GOOGLEFINANCE(B583, ""volume""), 0)"),32606697)</f>
        <v>32606697</v>
      </c>
      <c r="K583" s="6">
        <v>1.1299999999999999</v>
      </c>
      <c r="L583" s="6">
        <f ca="1">IFERROR(__xludf.DUMMYFUNCTION("IFERROR(GOOGLEFINANCE(B583,""changepct""),K583)"),3.86)</f>
        <v>3.86</v>
      </c>
      <c r="M583" s="6">
        <f ca="1">IFERROR(__xludf.DUMMYFUNCTION("IFERROR(GOOGLEFINANCE(B583,""change""),0)"),5.45)</f>
        <v>5.45</v>
      </c>
      <c r="N583" s="6">
        <v>2</v>
      </c>
      <c r="O583" s="7">
        <v>45536</v>
      </c>
      <c r="P583" s="6">
        <v>117133.2</v>
      </c>
      <c r="Q583" s="6">
        <v>15609.01</v>
      </c>
      <c r="R583" s="7">
        <v>45536</v>
      </c>
      <c r="S583" s="6">
        <v>5.73</v>
      </c>
      <c r="T583" s="6">
        <v>0.06</v>
      </c>
      <c r="U583" s="6">
        <v>0.98</v>
      </c>
      <c r="V583" s="6">
        <v>2</v>
      </c>
      <c r="W583" s="6">
        <f ca="1">IFERROR(__xludf.DUMMYFUNCTION("IFERROR(GOOGLEFINANCE(B583,""pe""),V583)"),7.24)</f>
        <v>7.24</v>
      </c>
      <c r="X583" s="7">
        <v>45352</v>
      </c>
      <c r="Y583" s="6">
        <v>19.25</v>
      </c>
      <c r="Z583" s="6">
        <v>1</v>
      </c>
      <c r="AA583" s="8">
        <v>45352</v>
      </c>
      <c r="AB583" s="4">
        <v>1.27</v>
      </c>
      <c r="AC583" s="6">
        <v>2.54</v>
      </c>
      <c r="AD583" s="6">
        <v>11.67</v>
      </c>
      <c r="AE583" s="1">
        <v>0</v>
      </c>
      <c r="AF583" s="1">
        <f ca="1">IFERROR(__xludf.DUMMYFUNCTION("IFERROR(GOOGLEFINANCE(TRIM(F583)&amp;"":"" &amp; TRIM(B583),""high52""),AE583)"),160.79)</f>
        <v>160.79</v>
      </c>
      <c r="AG583" s="1">
        <v>0</v>
      </c>
      <c r="AH583" s="1">
        <f ca="1">IFERROR(__xludf.DUMMYFUNCTION("IFERROR(GOOGLEFINANCE(TRIM(F583)&amp;"":"" &amp; TRIM(B583),""low52""),AE583)"),78.6)</f>
        <v>78.599999999999994</v>
      </c>
      <c r="AI583" s="1">
        <f ca="1">IFERROR(__xludf.DUMMYFUNCTION("IFERROR(GOOGLEFINANCE(B583,""eps""),0)"),20.25)</f>
        <v>20.25</v>
      </c>
      <c r="AJ583" s="1"/>
      <c r="AK583" s="1" t="s">
        <v>1824</v>
      </c>
      <c r="AL583" s="1" t="b">
        <f>ISNUMBER(AA583)</f>
        <v>1</v>
      </c>
    </row>
    <row r="584" spans="1:38" ht="15" x14ac:dyDescent="0.25">
      <c r="A584" s="1" t="s">
        <v>1825</v>
      </c>
      <c r="B584" s="1" t="s">
        <v>1826</v>
      </c>
      <c r="C584" s="1" t="s">
        <v>135</v>
      </c>
      <c r="D584" s="1" t="s">
        <v>135</v>
      </c>
      <c r="E584" s="6">
        <v>154.16999999999999</v>
      </c>
      <c r="F584" s="1" t="s">
        <v>53</v>
      </c>
      <c r="G584" s="6">
        <f ca="1">IFERROR(__xludf.DUMMYFUNCTION("iferror(GOOGLEFINANCE(TRIM(F584)&amp;"":"" &amp; TRIM(B584), ""price""),0
)"),0)</f>
        <v>0</v>
      </c>
      <c r="H584" s="6">
        <v>440</v>
      </c>
      <c r="I584" s="6">
        <f t="shared" ca="1" si="0"/>
        <v>440</v>
      </c>
      <c r="J584" s="6">
        <f ca="1">IFERROR(__xludf.DUMMYFUNCTION("IFERROR(GOOGLEFINANCE(B584, ""volume""), 0)"),0)</f>
        <v>0</v>
      </c>
      <c r="K584" s="6">
        <v>1.85</v>
      </c>
      <c r="L584" s="6">
        <f ca="1">IFERROR(__xludf.DUMMYFUNCTION("IFERROR(GOOGLEFINANCE(B584,""changepct""),K584)"),1.85)</f>
        <v>1.85</v>
      </c>
      <c r="M584" s="6">
        <f ca="1">IFERROR(__xludf.DUMMYFUNCTION("IFERROR(GOOGLEFINANCE(B584,""change""),0)"),0)</f>
        <v>0</v>
      </c>
      <c r="N584" s="6">
        <v>1</v>
      </c>
      <c r="O584" s="7">
        <v>45536</v>
      </c>
      <c r="P584" s="6">
        <v>33.53</v>
      </c>
      <c r="Q584" s="6">
        <v>187.71</v>
      </c>
      <c r="R584" s="7">
        <v>45536</v>
      </c>
      <c r="S584" s="6">
        <v>3.07</v>
      </c>
      <c r="T584" s="6">
        <v>0.38</v>
      </c>
      <c r="U584" s="7">
        <v>45536</v>
      </c>
      <c r="V584" s="6">
        <v>402.54</v>
      </c>
      <c r="W584" s="6">
        <f ca="1">IFERROR(__xludf.DUMMYFUNCTION("IFERROR(GOOGLEFINANCE(B584,""pe""),V584)"),402.54)</f>
        <v>402.54</v>
      </c>
      <c r="X584" s="6">
        <v>19.739999999999998</v>
      </c>
      <c r="Y584" s="6">
        <v>1.1100000000000001</v>
      </c>
      <c r="Z584" s="6">
        <v>1</v>
      </c>
      <c r="AA584" s="8">
        <v>45352</v>
      </c>
      <c r="AB584" s="4">
        <v>1.31</v>
      </c>
      <c r="AC584" s="6">
        <v>3.67</v>
      </c>
      <c r="AD584" s="6">
        <v>2.08</v>
      </c>
      <c r="AE584" s="1">
        <v>0</v>
      </c>
      <c r="AF584" s="1">
        <f ca="1">IFERROR(__xludf.DUMMYFUNCTION("IFERROR(GOOGLEFINANCE(TRIM(F584)&amp;"":"" &amp; TRIM(B584),""high52""),AE584)"),0)</f>
        <v>0</v>
      </c>
      <c r="AG584" s="1">
        <v>0</v>
      </c>
      <c r="AH584" s="1">
        <f ca="1">IFERROR(__xludf.DUMMYFUNCTION("IFERROR(GOOGLEFINANCE(TRIM(F584)&amp;"":"" &amp; TRIM(B584),""low52""),AE584)"),0)</f>
        <v>0</v>
      </c>
      <c r="AI584" s="1">
        <f ca="1">IFERROR(__xludf.DUMMYFUNCTION("IFERROR(GOOGLEFINANCE(B584,""eps""),0)"),0)</f>
        <v>0</v>
      </c>
      <c r="AJ584" s="1"/>
      <c r="AK584" s="1" t="s">
        <v>1827</v>
      </c>
      <c r="AL584" s="9">
        <f t="shared" ref="AL584:AL590" si="126">IF(AA584&lt;&gt;AB584,1,0)</f>
        <v>1</v>
      </c>
    </row>
    <row r="585" spans="1:38" ht="15" x14ac:dyDescent="0.25">
      <c r="A585" s="1" t="s">
        <v>1828</v>
      </c>
      <c r="B585" s="1" t="s">
        <v>1829</v>
      </c>
      <c r="C585" s="1" t="s">
        <v>135</v>
      </c>
      <c r="D585" s="1" t="s">
        <v>135</v>
      </c>
      <c r="E585" s="6">
        <v>59.42</v>
      </c>
      <c r="F585" s="1" t="s">
        <v>53</v>
      </c>
      <c r="G585" s="6">
        <f ca="1">IFERROR(__xludf.DUMMYFUNCTION("iferror(GOOGLEFINANCE(TRIM(F585)&amp;"":"" &amp; TRIM(B585), ""price""),0
)"),0)</f>
        <v>0</v>
      </c>
      <c r="H585" s="6">
        <v>899.95</v>
      </c>
      <c r="I585" s="6">
        <f t="shared" ca="1" si="0"/>
        <v>899.95</v>
      </c>
      <c r="J585" s="6">
        <f ca="1">IFERROR(__xludf.DUMMYFUNCTION("IFERROR(GOOGLEFINANCE(B585, ""volume""), 0)"),0)</f>
        <v>0</v>
      </c>
      <c r="K585" s="6">
        <v>2.9</v>
      </c>
      <c r="L585" s="6">
        <f ca="1">IFERROR(__xludf.DUMMYFUNCTION("IFERROR(GOOGLEFINANCE(B585,""changepct""),K585)"),2.9)</f>
        <v>2.9</v>
      </c>
      <c r="M585" s="6">
        <f ca="1">IFERROR(__xludf.DUMMYFUNCTION("IFERROR(GOOGLEFINANCE(B585,""change""),0)"),0)</f>
        <v>0</v>
      </c>
      <c r="N585" s="6">
        <v>1</v>
      </c>
      <c r="O585" s="7">
        <v>45536</v>
      </c>
      <c r="P585" s="9"/>
      <c r="Q585" s="6">
        <v>59.13</v>
      </c>
      <c r="R585" s="7">
        <v>45536</v>
      </c>
      <c r="S585" s="6">
        <v>5.63</v>
      </c>
      <c r="T585" s="6">
        <v>1.9</v>
      </c>
      <c r="U585" s="7">
        <v>45536</v>
      </c>
      <c r="V585" s="6">
        <v>31.23</v>
      </c>
      <c r="W585" s="6">
        <f ca="1">IFERROR(__xludf.DUMMYFUNCTION("IFERROR(GOOGLEFINANCE(B585,""pe""),V585)"),31.23)</f>
        <v>31.23</v>
      </c>
      <c r="X585" s="6">
        <v>0.37</v>
      </c>
      <c r="Y585" s="6">
        <v>1.32</v>
      </c>
      <c r="Z585" s="6">
        <v>1</v>
      </c>
      <c r="AA585" s="8">
        <v>45352</v>
      </c>
      <c r="AB585" s="4">
        <v>0</v>
      </c>
      <c r="AC585" s="6">
        <v>5.98</v>
      </c>
      <c r="AD585" s="6">
        <v>7</v>
      </c>
      <c r="AE585" s="1">
        <v>0</v>
      </c>
      <c r="AF585" s="1">
        <f ca="1">IFERROR(__xludf.DUMMYFUNCTION("IFERROR(GOOGLEFINANCE(TRIM(F585)&amp;"":"" &amp; TRIM(B585),""high52""),AE585)"),0)</f>
        <v>0</v>
      </c>
      <c r="AG585" s="1">
        <v>0</v>
      </c>
      <c r="AH585" s="1">
        <f ca="1">IFERROR(__xludf.DUMMYFUNCTION("IFERROR(GOOGLEFINANCE(TRIM(F585)&amp;"":"" &amp; TRIM(B585),""low52""),AE585)"),0)</f>
        <v>0</v>
      </c>
      <c r="AI585" s="1">
        <f ca="1">IFERROR(__xludf.DUMMYFUNCTION("IFERROR(GOOGLEFINANCE(B585,""eps""),0)"),0)</f>
        <v>0</v>
      </c>
      <c r="AJ585" s="1"/>
      <c r="AK585" s="1" t="s">
        <v>1830</v>
      </c>
      <c r="AL585" s="9">
        <f t="shared" si="126"/>
        <v>1</v>
      </c>
    </row>
    <row r="586" spans="1:38" ht="15" x14ac:dyDescent="0.25">
      <c r="A586" s="1" t="s">
        <v>1831</v>
      </c>
      <c r="B586" s="1" t="s">
        <v>1832</v>
      </c>
      <c r="C586" s="1" t="s">
        <v>135</v>
      </c>
      <c r="D586" s="1" t="s">
        <v>135</v>
      </c>
      <c r="E586" s="6">
        <v>41.72</v>
      </c>
      <c r="F586" s="1" t="s">
        <v>53</v>
      </c>
      <c r="G586" s="6">
        <f ca="1">IFERROR(__xludf.DUMMYFUNCTION("iferror(GOOGLEFINANCE(TRIM(F586)&amp;"":"" &amp; TRIM(B586), ""price""),0
)"),0)</f>
        <v>0</v>
      </c>
      <c r="H586" s="6">
        <v>85</v>
      </c>
      <c r="I586" s="6">
        <f t="shared" ca="1" si="0"/>
        <v>85</v>
      </c>
      <c r="J586" s="6">
        <f ca="1">IFERROR(__xludf.DUMMYFUNCTION("IFERROR(GOOGLEFINANCE(B586, ""volume""), 0)"),0)</f>
        <v>0</v>
      </c>
      <c r="K586" s="6">
        <v>0</v>
      </c>
      <c r="L586" s="6">
        <f ca="1">IFERROR(__xludf.DUMMYFUNCTION("IFERROR(GOOGLEFINANCE(B586,""changepct""),K586)"),0)</f>
        <v>0</v>
      </c>
      <c r="M586" s="6">
        <f ca="1">IFERROR(__xludf.DUMMYFUNCTION("IFERROR(GOOGLEFINANCE(B586,""change""),0)"),0)</f>
        <v>0</v>
      </c>
      <c r="N586" s="6">
        <v>1</v>
      </c>
      <c r="O586" s="7">
        <v>45536</v>
      </c>
      <c r="P586" s="6">
        <v>0.1</v>
      </c>
      <c r="Q586" s="6">
        <v>33.200000000000003</v>
      </c>
      <c r="R586" s="7">
        <v>45536</v>
      </c>
      <c r="S586" s="6">
        <v>47.16</v>
      </c>
      <c r="T586" s="6">
        <v>4.18</v>
      </c>
      <c r="U586" s="7">
        <v>45536</v>
      </c>
      <c r="V586" s="6">
        <v>9.98</v>
      </c>
      <c r="W586" s="6">
        <f ca="1">IFERROR(__xludf.DUMMYFUNCTION("IFERROR(GOOGLEFINANCE(B586,""pe""),V586)"),9.98)</f>
        <v>9.98</v>
      </c>
      <c r="X586" s="6">
        <v>0.41</v>
      </c>
      <c r="Y586" s="6">
        <v>0.97</v>
      </c>
      <c r="Z586" s="6">
        <v>1</v>
      </c>
      <c r="AA586" s="8">
        <v>45352</v>
      </c>
      <c r="AB586" s="4">
        <v>0.01</v>
      </c>
      <c r="AC586" s="6">
        <v>11.83</v>
      </c>
      <c r="AD586" s="6">
        <v>14.43</v>
      </c>
      <c r="AE586" s="1">
        <v>0</v>
      </c>
      <c r="AF586" s="1">
        <f ca="1">IFERROR(__xludf.DUMMYFUNCTION("IFERROR(GOOGLEFINANCE(TRIM(F586)&amp;"":"" &amp; TRIM(B586),""high52""),AE586)"),0)</f>
        <v>0</v>
      </c>
      <c r="AG586" s="1">
        <v>0</v>
      </c>
      <c r="AH586" s="1">
        <f ca="1">IFERROR(__xludf.DUMMYFUNCTION("IFERROR(GOOGLEFINANCE(TRIM(F586)&amp;"":"" &amp; TRIM(B586),""low52""),AE586)"),0)</f>
        <v>0</v>
      </c>
      <c r="AI586" s="1">
        <f ca="1">IFERROR(__xludf.DUMMYFUNCTION("IFERROR(GOOGLEFINANCE(B586,""eps""),0)"),0)</f>
        <v>0</v>
      </c>
      <c r="AJ586" s="1"/>
      <c r="AK586" s="1" t="s">
        <v>1833</v>
      </c>
      <c r="AL586" s="9">
        <f t="shared" si="126"/>
        <v>1</v>
      </c>
    </row>
    <row r="587" spans="1:38" ht="15" x14ac:dyDescent="0.25">
      <c r="A587" s="1" t="s">
        <v>1834</v>
      </c>
      <c r="B587" s="1" t="s">
        <v>1835</v>
      </c>
      <c r="C587" s="1" t="s">
        <v>57</v>
      </c>
      <c r="D587" s="1" t="s">
        <v>57</v>
      </c>
      <c r="E587" s="6">
        <v>218.84</v>
      </c>
      <c r="F587" s="1" t="s">
        <v>40</v>
      </c>
      <c r="G587" s="6">
        <f ca="1">IFERROR(__xludf.DUMMYFUNCTION("iferror(GOOGLEFINANCE(TRIM(F587)&amp;"":"" &amp; TRIM(B587), ""price""),0
)"),0)</f>
        <v>0</v>
      </c>
      <c r="H587" s="6">
        <v>38.950000000000003</v>
      </c>
      <c r="I587" s="6">
        <f t="shared" ca="1" si="0"/>
        <v>38.950000000000003</v>
      </c>
      <c r="J587" s="6">
        <f ca="1">IFERROR(__xludf.DUMMYFUNCTION("IFERROR(GOOGLEFINANCE(B587, ""volume""), 0)"),0)</f>
        <v>0</v>
      </c>
      <c r="K587" s="12"/>
      <c r="L587" s="6" t="str">
        <f ca="1">IFERROR(__xludf.DUMMYFUNCTION("IFERROR(GOOGLEFINANCE(B587,""changepct""),K587)"),"")</f>
        <v/>
      </c>
      <c r="M587" s="6">
        <f ca="1">IFERROR(__xludf.DUMMYFUNCTION("IFERROR(GOOGLEFINANCE(B587,""change""),0)"),0)</f>
        <v>0</v>
      </c>
      <c r="N587" s="6">
        <v>1</v>
      </c>
      <c r="O587" s="7">
        <v>45536</v>
      </c>
      <c r="P587" s="6">
        <v>4.6900000000000004</v>
      </c>
      <c r="Q587" s="6">
        <v>223.53</v>
      </c>
      <c r="R587" s="7">
        <v>45352</v>
      </c>
      <c r="S587" s="6">
        <v>74.489999999999995</v>
      </c>
      <c r="T587" s="6">
        <v>8.77</v>
      </c>
      <c r="U587" s="7">
        <v>45352</v>
      </c>
      <c r="V587" s="6">
        <v>24.96</v>
      </c>
      <c r="W587" s="6">
        <f ca="1">IFERROR(__xludf.DUMMYFUNCTION("IFERROR(GOOGLEFINANCE(B587,""pe""),V587)"),24.96)</f>
        <v>24.96</v>
      </c>
      <c r="X587" s="12"/>
      <c r="Y587" s="6">
        <v>3.13</v>
      </c>
      <c r="Z587" s="6">
        <v>2</v>
      </c>
      <c r="AA587" s="8">
        <v>45352</v>
      </c>
      <c r="AB587" s="4">
        <v>0.11</v>
      </c>
      <c r="AC587" s="6">
        <v>17.78</v>
      </c>
      <c r="AD587" s="6">
        <v>19.760000000000002</v>
      </c>
      <c r="AE587" s="1">
        <v>0</v>
      </c>
      <c r="AF587" s="1">
        <f ca="1">IFERROR(__xludf.DUMMYFUNCTION("IFERROR(GOOGLEFINANCE(TRIM(F587)&amp;"":"" &amp; TRIM(B587),""high52""),AE587)"),0)</f>
        <v>0</v>
      </c>
      <c r="AG587" s="1">
        <v>0</v>
      </c>
      <c r="AH587" s="1">
        <f ca="1">IFERROR(__xludf.DUMMYFUNCTION("IFERROR(GOOGLEFINANCE(TRIM(F587)&amp;"":"" &amp; TRIM(B587),""low52""),AE587)"),0)</f>
        <v>0</v>
      </c>
      <c r="AI587" s="1">
        <f ca="1">IFERROR(__xludf.DUMMYFUNCTION("IFERROR(GOOGLEFINANCE(B587,""eps""),0)"),0)</f>
        <v>0</v>
      </c>
      <c r="AJ587" s="1"/>
      <c r="AK587" s="1" t="s">
        <v>1836</v>
      </c>
      <c r="AL587" s="9">
        <f t="shared" si="126"/>
        <v>1</v>
      </c>
    </row>
    <row r="588" spans="1:38" ht="15" x14ac:dyDescent="0.25">
      <c r="A588" s="1" t="s">
        <v>1837</v>
      </c>
      <c r="B588" s="1" t="s">
        <v>1838</v>
      </c>
      <c r="C588" s="1" t="s">
        <v>186</v>
      </c>
      <c r="D588" s="1" t="s">
        <v>186</v>
      </c>
      <c r="E588" s="6">
        <v>2405.0100000000002</v>
      </c>
      <c r="F588" s="1" t="s">
        <v>40</v>
      </c>
      <c r="G588" s="6">
        <f ca="1">IFERROR(__xludf.DUMMYFUNCTION("iferror(GOOGLEFINANCE(TRIM(F588)&amp;"":"" &amp; TRIM(B588), ""price""),0
)"),293.1)</f>
        <v>293.10000000000002</v>
      </c>
      <c r="H588" s="6">
        <v>298.75</v>
      </c>
      <c r="I588" s="6">
        <f t="shared" ca="1" si="0"/>
        <v>293.10000000000002</v>
      </c>
      <c r="J588" s="6">
        <f ca="1">IFERROR(__xludf.DUMMYFUNCTION("IFERROR(GOOGLEFINANCE(B588, ""volume""), 0)"),194755)</f>
        <v>194755</v>
      </c>
      <c r="K588" s="6">
        <v>3.91</v>
      </c>
      <c r="L588" s="6">
        <f ca="1">IFERROR(__xludf.DUMMYFUNCTION("IFERROR(GOOGLEFINANCE(B588,""changepct""),K588)"),2.46)</f>
        <v>2.46</v>
      </c>
      <c r="M588" s="6">
        <f ca="1">IFERROR(__xludf.DUMMYFUNCTION("IFERROR(GOOGLEFINANCE(B588,""change""),0)"),7.05)</f>
        <v>7.05</v>
      </c>
      <c r="N588" s="6">
        <v>1</v>
      </c>
      <c r="O588" s="7">
        <v>45536</v>
      </c>
      <c r="P588" s="6">
        <v>15.69</v>
      </c>
      <c r="Q588" s="6">
        <v>2413.2399999999998</v>
      </c>
      <c r="R588" s="7">
        <v>45536</v>
      </c>
      <c r="S588" s="6">
        <v>647.69000000000005</v>
      </c>
      <c r="T588" s="6">
        <v>60.41</v>
      </c>
      <c r="U588" s="7">
        <v>45536</v>
      </c>
      <c r="V588" s="6">
        <v>39.81</v>
      </c>
      <c r="W588" s="6">
        <f ca="1">IFERROR(__xludf.DUMMYFUNCTION("IFERROR(GOOGLEFINANCE(B588,""pe""),V588)"),31.31)</f>
        <v>31.31</v>
      </c>
      <c r="X588" s="6">
        <v>1.07</v>
      </c>
      <c r="Y588" s="6">
        <v>7.07</v>
      </c>
      <c r="Z588" s="6">
        <v>1</v>
      </c>
      <c r="AA588" s="8">
        <v>45352</v>
      </c>
      <c r="AB588" s="4">
        <v>0.03</v>
      </c>
      <c r="AC588" s="6">
        <v>22.72</v>
      </c>
      <c r="AD588" s="6">
        <v>37.270000000000003</v>
      </c>
      <c r="AE588" s="1">
        <v>0</v>
      </c>
      <c r="AF588" s="1">
        <f ca="1">IFERROR(__xludf.DUMMYFUNCTION("IFERROR(GOOGLEFINANCE(TRIM(F588)&amp;"":"" &amp; TRIM(B588),""high52""),AE588)"),334)</f>
        <v>334</v>
      </c>
      <c r="AG588" s="1">
        <v>0</v>
      </c>
      <c r="AH588" s="1">
        <f ca="1">IFERROR(__xludf.DUMMYFUNCTION("IFERROR(GOOGLEFINANCE(TRIM(F588)&amp;"":"" &amp; TRIM(B588),""low52""),AE588)"),213.41)</f>
        <v>213.41</v>
      </c>
      <c r="AI588" s="1">
        <f ca="1">IFERROR(__xludf.DUMMYFUNCTION("IFERROR(GOOGLEFINANCE(B588,""eps""),0)"),9.36)</f>
        <v>9.36</v>
      </c>
      <c r="AJ588" s="1"/>
      <c r="AK588" s="1" t="s">
        <v>1839</v>
      </c>
      <c r="AL588" s="9">
        <f t="shared" si="126"/>
        <v>1</v>
      </c>
    </row>
    <row r="589" spans="1:38" ht="15" x14ac:dyDescent="0.25">
      <c r="A589" s="1" t="s">
        <v>1840</v>
      </c>
      <c r="B589" s="1" t="s">
        <v>1841</v>
      </c>
      <c r="C589" s="1" t="s">
        <v>487</v>
      </c>
      <c r="D589" s="1" t="s">
        <v>487</v>
      </c>
      <c r="E589" s="6">
        <v>3791.53</v>
      </c>
      <c r="F589" s="1" t="s">
        <v>40</v>
      </c>
      <c r="G589" s="6">
        <f ca="1">IFERROR(__xludf.DUMMYFUNCTION("iferror(GOOGLEFINANCE(TRIM(F589)&amp;"":"" &amp; TRIM(B589), ""price""),0
)"),215)</f>
        <v>215</v>
      </c>
      <c r="H589" s="6">
        <v>438.55</v>
      </c>
      <c r="I589" s="6">
        <f t="shared" ca="1" si="0"/>
        <v>215</v>
      </c>
      <c r="J589" s="6">
        <f ca="1">IFERROR(__xludf.DUMMYFUNCTION("IFERROR(GOOGLEFINANCE(B589, ""volume""), 0)"),179384)</f>
        <v>179384</v>
      </c>
      <c r="K589" s="6">
        <v>-2.21</v>
      </c>
      <c r="L589" s="6">
        <f ca="1">IFERROR(__xludf.DUMMYFUNCTION("IFERROR(GOOGLEFINANCE(B589,""changepct""),K589)"),1.43)</f>
        <v>1.43</v>
      </c>
      <c r="M589" s="6">
        <f ca="1">IFERROR(__xludf.DUMMYFUNCTION("IFERROR(GOOGLEFINANCE(B589,""change""),0)"),3.04)</f>
        <v>3.04</v>
      </c>
      <c r="N589" s="6">
        <v>2</v>
      </c>
      <c r="O589" s="7">
        <v>45536</v>
      </c>
      <c r="P589" s="6">
        <v>342.74</v>
      </c>
      <c r="Q589" s="6">
        <v>3981.06</v>
      </c>
      <c r="R589" s="7">
        <v>45536</v>
      </c>
      <c r="S589" s="6">
        <v>2167.3000000000002</v>
      </c>
      <c r="T589" s="6">
        <v>177.58</v>
      </c>
      <c r="U589" s="7">
        <v>45536</v>
      </c>
      <c r="V589" s="6">
        <v>21.15</v>
      </c>
      <c r="W589" s="6">
        <f ca="1">IFERROR(__xludf.DUMMYFUNCTION("IFERROR(GOOGLEFINANCE(B589,""pe""),V589)"),9)</f>
        <v>9</v>
      </c>
      <c r="X589" s="6">
        <v>4.87</v>
      </c>
      <c r="Y589" s="6">
        <v>2.35</v>
      </c>
      <c r="Z589" s="6">
        <v>2</v>
      </c>
      <c r="AA589" s="8">
        <v>45352</v>
      </c>
      <c r="AB589" s="4">
        <v>0.21</v>
      </c>
      <c r="AC589" s="6">
        <v>9.34</v>
      </c>
      <c r="AD589" s="6">
        <v>16.03</v>
      </c>
      <c r="AE589" s="1">
        <v>0</v>
      </c>
      <c r="AF589" s="1">
        <f ca="1">IFERROR(__xludf.DUMMYFUNCTION("IFERROR(GOOGLEFINANCE(TRIM(F589)&amp;"":"" &amp; TRIM(B589),""high52""),AE589)"),396.45)</f>
        <v>396.45</v>
      </c>
      <c r="AG589" s="1">
        <v>0</v>
      </c>
      <c r="AH589" s="1">
        <f ca="1">IFERROR(__xludf.DUMMYFUNCTION("IFERROR(GOOGLEFINANCE(TRIM(F589)&amp;"":"" &amp; TRIM(B589),""low52""),AE589)"),207.01)</f>
        <v>207.01</v>
      </c>
      <c r="AI589" s="1">
        <f ca="1">IFERROR(__xludf.DUMMYFUNCTION("IFERROR(GOOGLEFINANCE(B589,""eps""),0)"),23.9)</f>
        <v>23.9</v>
      </c>
      <c r="AJ589" s="1"/>
      <c r="AK589" s="1" t="s">
        <v>1842</v>
      </c>
      <c r="AL589" s="9">
        <f t="shared" si="126"/>
        <v>1</v>
      </c>
    </row>
    <row r="590" spans="1:38" ht="15" x14ac:dyDescent="0.25">
      <c r="A590" s="1" t="s">
        <v>1843</v>
      </c>
      <c r="B590" s="1" t="s">
        <v>1844</v>
      </c>
      <c r="C590" s="1" t="s">
        <v>135</v>
      </c>
      <c r="D590" s="1" t="s">
        <v>135</v>
      </c>
      <c r="E590" s="6">
        <v>277.29000000000002</v>
      </c>
      <c r="F590" s="1" t="s">
        <v>53</v>
      </c>
      <c r="G590" s="6">
        <f ca="1">IFERROR(__xludf.DUMMYFUNCTION("iferror(GOOGLEFINANCE(TRIM(F590)&amp;"":"" &amp; TRIM(B590), ""price""),0
)"),0)</f>
        <v>0</v>
      </c>
      <c r="H590" s="6">
        <v>41.61</v>
      </c>
      <c r="I590" s="6">
        <f t="shared" ca="1" si="0"/>
        <v>41.61</v>
      </c>
      <c r="J590" s="6">
        <f ca="1">IFERROR(__xludf.DUMMYFUNCTION("IFERROR(GOOGLEFINANCE(B590, ""volume""), 0)"),0)</f>
        <v>0</v>
      </c>
      <c r="K590" s="6">
        <v>0.8</v>
      </c>
      <c r="L590" s="6">
        <f ca="1">IFERROR(__xludf.DUMMYFUNCTION("IFERROR(GOOGLEFINANCE(B590,""changepct""),K590)"),0.8)</f>
        <v>0.8</v>
      </c>
      <c r="M590" s="6">
        <f ca="1">IFERROR(__xludf.DUMMYFUNCTION("IFERROR(GOOGLEFINANCE(B590,""change""),0)"),0)</f>
        <v>0</v>
      </c>
      <c r="N590" s="6">
        <v>2</v>
      </c>
      <c r="O590" s="7">
        <v>45536</v>
      </c>
      <c r="P590" s="6">
        <v>868.78</v>
      </c>
      <c r="Q590" s="6">
        <v>894.59</v>
      </c>
      <c r="R590" s="7">
        <v>45536</v>
      </c>
      <c r="S590" s="6">
        <v>603.78</v>
      </c>
      <c r="T590" s="6">
        <v>-79.180000000000007</v>
      </c>
      <c r="U590" s="7">
        <v>45536</v>
      </c>
      <c r="V590" s="6">
        <v>0</v>
      </c>
      <c r="W590" s="6">
        <f ca="1">IFERROR(__xludf.DUMMYFUNCTION("IFERROR(GOOGLEFINANCE(B590,""pe""),V590)"),0)</f>
        <v>0</v>
      </c>
      <c r="X590" s="9"/>
      <c r="Y590" s="6">
        <v>-0.26</v>
      </c>
      <c r="Z590" s="6">
        <v>2</v>
      </c>
      <c r="AA590" s="8">
        <v>45352</v>
      </c>
      <c r="AB590" s="4">
        <v>-0.81</v>
      </c>
      <c r="AC590" s="6">
        <v>0</v>
      </c>
      <c r="AD590" s="6">
        <v>0</v>
      </c>
      <c r="AE590" s="1">
        <v>0</v>
      </c>
      <c r="AF590" s="1">
        <f ca="1">IFERROR(__xludf.DUMMYFUNCTION("IFERROR(GOOGLEFINANCE(TRIM(F590)&amp;"":"" &amp; TRIM(B590),""high52""),AE590)"),0)</f>
        <v>0</v>
      </c>
      <c r="AG590" s="1">
        <v>0</v>
      </c>
      <c r="AH590" s="1">
        <f ca="1">IFERROR(__xludf.DUMMYFUNCTION("IFERROR(GOOGLEFINANCE(TRIM(F590)&amp;"":"" &amp; TRIM(B590),""low52""),AE590)"),0)</f>
        <v>0</v>
      </c>
      <c r="AI590" s="1">
        <f ca="1">IFERROR(__xludf.DUMMYFUNCTION("IFERROR(GOOGLEFINANCE(B590,""eps""),0)"),0)</f>
        <v>0</v>
      </c>
      <c r="AJ590" s="1"/>
      <c r="AK590" s="1" t="s">
        <v>1845</v>
      </c>
      <c r="AL590" s="9">
        <f t="shared" si="126"/>
        <v>1</v>
      </c>
    </row>
    <row r="591" spans="1:38" ht="15" x14ac:dyDescent="0.25">
      <c r="A591" s="1" t="s">
        <v>1846</v>
      </c>
      <c r="B591" s="1" t="s">
        <v>1847</v>
      </c>
      <c r="C591" s="1" t="s">
        <v>1067</v>
      </c>
      <c r="D591" s="1" t="s">
        <v>1067</v>
      </c>
      <c r="E591" s="6">
        <v>1329.81</v>
      </c>
      <c r="F591" s="1" t="s">
        <v>40</v>
      </c>
      <c r="G591" s="6">
        <f ca="1">IFERROR(__xludf.DUMMYFUNCTION("iferror(GOOGLEFINANCE(TRIM(F591)&amp;"":"" &amp; TRIM(B591), ""price""),0
)"),256.55)</f>
        <v>256.55</v>
      </c>
      <c r="H591" s="6">
        <v>294.5</v>
      </c>
      <c r="I591" s="6">
        <f t="shared" ca="1" si="0"/>
        <v>256.55</v>
      </c>
      <c r="J591" s="6">
        <f ca="1">IFERROR(__xludf.DUMMYFUNCTION("IFERROR(GOOGLEFINANCE(B591, ""volume""), 0)"),22766)</f>
        <v>22766</v>
      </c>
      <c r="K591" s="6">
        <v>0.24</v>
      </c>
      <c r="L591" s="6">
        <f ca="1">IFERROR(__xludf.DUMMYFUNCTION("IFERROR(GOOGLEFINANCE(B591,""changepct""),K591)"),0.29)</f>
        <v>0.28999999999999998</v>
      </c>
      <c r="M591" s="6">
        <f ca="1">IFERROR(__xludf.DUMMYFUNCTION("IFERROR(GOOGLEFINANCE(B591,""change""),0)"),0.75)</f>
        <v>0.75</v>
      </c>
      <c r="N591" s="6">
        <v>1</v>
      </c>
      <c r="O591" s="7">
        <v>45536</v>
      </c>
      <c r="P591" s="6">
        <v>850.42</v>
      </c>
      <c r="Q591" s="6">
        <v>120.5</v>
      </c>
      <c r="R591" s="7">
        <v>45536</v>
      </c>
      <c r="S591" s="6">
        <v>11.04</v>
      </c>
      <c r="T591" s="9"/>
      <c r="U591" s="6">
        <v>1.05</v>
      </c>
      <c r="V591" s="6">
        <v>1</v>
      </c>
      <c r="W591" s="6">
        <f ca="1">IFERROR(__xludf.DUMMYFUNCTION("IFERROR(GOOGLEFINANCE(B591,""pe""),V591)"),8.61)</f>
        <v>8.61</v>
      </c>
      <c r="X591" s="7">
        <v>45352</v>
      </c>
      <c r="Y591" s="6">
        <v>12.34</v>
      </c>
      <c r="Z591" s="6">
        <v>1</v>
      </c>
      <c r="AA591" s="8">
        <v>45352</v>
      </c>
      <c r="AB591" s="4">
        <v>1.4</v>
      </c>
      <c r="AC591" s="6">
        <v>3.79</v>
      </c>
      <c r="AD591" s="6">
        <v>13.08</v>
      </c>
      <c r="AE591" s="1">
        <v>0</v>
      </c>
      <c r="AF591" s="1">
        <f ca="1">IFERROR(__xludf.DUMMYFUNCTION("IFERROR(GOOGLEFINANCE(TRIM(F591)&amp;"":"" &amp; TRIM(B591),""high52""),AE591)"),330.65)</f>
        <v>330.65</v>
      </c>
      <c r="AG591" s="1">
        <v>0</v>
      </c>
      <c r="AH591" s="1">
        <f ca="1">IFERROR(__xludf.DUMMYFUNCTION("IFERROR(GOOGLEFINANCE(TRIM(F591)&amp;"":"" &amp; TRIM(B591),""low52""),AE591)"),250)</f>
        <v>250</v>
      </c>
      <c r="AI591" s="1">
        <f ca="1">IFERROR(__xludf.DUMMYFUNCTION("IFERROR(GOOGLEFINANCE(B591,""eps""),0)"),29.79)</f>
        <v>29.79</v>
      </c>
      <c r="AJ591" s="1"/>
      <c r="AK591" s="1" t="s">
        <v>1848</v>
      </c>
      <c r="AL591" s="1" t="b">
        <f>ISNUMBER(AA591)</f>
        <v>1</v>
      </c>
    </row>
    <row r="592" spans="1:38" ht="15" x14ac:dyDescent="0.25">
      <c r="A592" s="1" t="s">
        <v>1849</v>
      </c>
      <c r="B592" s="1" t="s">
        <v>1850</v>
      </c>
      <c r="C592" s="1" t="s">
        <v>208</v>
      </c>
      <c r="D592" s="1" t="s">
        <v>208</v>
      </c>
      <c r="E592" s="6">
        <v>173.92</v>
      </c>
      <c r="F592" s="1" t="s">
        <v>40</v>
      </c>
      <c r="G592" s="6">
        <f ca="1">IFERROR(__xludf.DUMMYFUNCTION("iferror(GOOGLEFINANCE(TRIM(F592)&amp;"":"" &amp; TRIM(B592), ""price""),0
)"),14.5)</f>
        <v>14.5</v>
      </c>
      <c r="H592" s="6">
        <v>103</v>
      </c>
      <c r="I592" s="6">
        <f t="shared" ca="1" si="0"/>
        <v>14.5</v>
      </c>
      <c r="J592" s="6">
        <f ca="1">IFERROR(__xludf.DUMMYFUNCTION("IFERROR(GOOGLEFINANCE(B592, ""volume""), 0)"),89047)</f>
        <v>89047</v>
      </c>
      <c r="K592" s="6">
        <v>-0.16</v>
      </c>
      <c r="L592" s="6">
        <f ca="1">IFERROR(__xludf.DUMMYFUNCTION("IFERROR(GOOGLEFINANCE(B592,""changepct""),K592)"),1.61)</f>
        <v>1.61</v>
      </c>
      <c r="M592" s="6">
        <f ca="1">IFERROR(__xludf.DUMMYFUNCTION("IFERROR(GOOGLEFINANCE(B592,""change""),0)"),0.23)</f>
        <v>0.23</v>
      </c>
      <c r="N592" s="6">
        <v>1</v>
      </c>
      <c r="O592" s="7">
        <v>45536</v>
      </c>
      <c r="P592" s="6">
        <v>2.12</v>
      </c>
      <c r="Q592" s="7">
        <v>45536</v>
      </c>
      <c r="R592" s="6">
        <v>82.16</v>
      </c>
      <c r="S592" s="6">
        <v>-1.89</v>
      </c>
      <c r="T592" s="6">
        <v>2.02</v>
      </c>
      <c r="U592" s="6">
        <v>1</v>
      </c>
      <c r="V592" s="7">
        <v>45352</v>
      </c>
      <c r="W592" s="10">
        <f ca="1">IFERROR(__xludf.DUMMYFUNCTION("IFERROR(GOOGLEFINANCE(B592,""pe""),V592)"),45352)</f>
        <v>45352</v>
      </c>
      <c r="X592" s="6">
        <v>1.04</v>
      </c>
      <c r="Y592" s="6">
        <v>2.84</v>
      </c>
      <c r="Z592" s="6">
        <v>8.15</v>
      </c>
      <c r="AA592" s="3" t="s">
        <v>1851</v>
      </c>
      <c r="AB592" s="3"/>
      <c r="AC592" s="9"/>
      <c r="AD592" s="9"/>
      <c r="AE592" s="1">
        <v>0</v>
      </c>
      <c r="AF592" s="1">
        <f ca="1">IFERROR(__xludf.DUMMYFUNCTION("IFERROR(GOOGLEFINANCE(TRIM(F592)&amp;"":"" &amp; TRIM(B592),""high52""),AE592)"),75.7)</f>
        <v>75.7</v>
      </c>
      <c r="AG592" s="1">
        <v>0</v>
      </c>
      <c r="AH592" s="1">
        <f ca="1">IFERROR(__xludf.DUMMYFUNCTION("IFERROR(GOOGLEFINANCE(TRIM(F592)&amp;"":"" &amp; TRIM(B592),""low52""),AE592)"),11.08)</f>
        <v>11.08</v>
      </c>
      <c r="AI592" s="1">
        <f ca="1">IFERROR(__xludf.DUMMYFUNCTION("IFERROR(GOOGLEFINANCE(B592,""eps""),0)"),-9.97)</f>
        <v>-9.9700000000000006</v>
      </c>
      <c r="AJ592" s="1"/>
      <c r="AK592" s="1" t="s">
        <v>1852</v>
      </c>
      <c r="AL592" s="9">
        <f t="shared" ref="AL592:AL596" si="127">IF(AA592&lt;&gt;AB592,1,0)</f>
        <v>1</v>
      </c>
    </row>
    <row r="593" spans="1:38" ht="15" x14ac:dyDescent="0.25">
      <c r="A593" s="1" t="s">
        <v>1853</v>
      </c>
      <c r="B593" s="1" t="s">
        <v>1854</v>
      </c>
      <c r="C593" s="1" t="s">
        <v>135</v>
      </c>
      <c r="D593" s="1" t="s">
        <v>135</v>
      </c>
      <c r="E593" s="6">
        <v>281.07</v>
      </c>
      <c r="F593" s="1" t="s">
        <v>53</v>
      </c>
      <c r="G593" s="6">
        <f ca="1">IFERROR(__xludf.DUMMYFUNCTION("iferror(GOOGLEFINANCE(TRIM(F593)&amp;"":"" &amp; TRIM(B593), ""price""),0
)"),0)</f>
        <v>0</v>
      </c>
      <c r="H593" s="6">
        <v>393.35</v>
      </c>
      <c r="I593" s="6">
        <f t="shared" ca="1" si="0"/>
        <v>393.35</v>
      </c>
      <c r="J593" s="6">
        <f ca="1">IFERROR(__xludf.DUMMYFUNCTION("IFERROR(GOOGLEFINANCE(B593, ""volume""), 0)"),0)</f>
        <v>0</v>
      </c>
      <c r="K593" s="6">
        <v>-0.74</v>
      </c>
      <c r="L593" s="6">
        <f ca="1">IFERROR(__xludf.DUMMYFUNCTION("IFERROR(GOOGLEFINANCE(B593,""changepct""),K593)"),-0.74)</f>
        <v>-0.74</v>
      </c>
      <c r="M593" s="6">
        <f ca="1">IFERROR(__xludf.DUMMYFUNCTION("IFERROR(GOOGLEFINANCE(B593,""change""),0)"),0)</f>
        <v>0</v>
      </c>
      <c r="N593" s="6">
        <v>1</v>
      </c>
      <c r="O593" s="7">
        <v>45536</v>
      </c>
      <c r="P593" s="6">
        <v>7.05</v>
      </c>
      <c r="Q593" s="6">
        <v>283.47000000000003</v>
      </c>
      <c r="R593" s="7">
        <v>45536</v>
      </c>
      <c r="S593" s="6">
        <v>191.87</v>
      </c>
      <c r="T593" s="6">
        <v>20.96</v>
      </c>
      <c r="U593" s="7">
        <v>45536</v>
      </c>
      <c r="V593" s="6">
        <v>13.41</v>
      </c>
      <c r="W593" s="6">
        <f ca="1">IFERROR(__xludf.DUMMYFUNCTION("IFERROR(GOOGLEFINANCE(B593,""pe""),V593)"),13.41)</f>
        <v>13.41</v>
      </c>
      <c r="X593" s="6">
        <v>0.36</v>
      </c>
      <c r="Y593" s="6">
        <v>1.74</v>
      </c>
      <c r="Z593" s="6">
        <v>1</v>
      </c>
      <c r="AA593" s="8">
        <v>45352</v>
      </c>
      <c r="AB593" s="4">
        <v>0.05</v>
      </c>
      <c r="AC593" s="6">
        <v>19.55</v>
      </c>
      <c r="AD593" s="6">
        <v>24.64</v>
      </c>
      <c r="AE593" s="1">
        <v>0</v>
      </c>
      <c r="AF593" s="1">
        <f ca="1">IFERROR(__xludf.DUMMYFUNCTION("IFERROR(GOOGLEFINANCE(TRIM(F593)&amp;"":"" &amp; TRIM(B593),""high52""),AE593)"),0)</f>
        <v>0</v>
      </c>
      <c r="AG593" s="1">
        <v>0</v>
      </c>
      <c r="AH593" s="1">
        <f ca="1">IFERROR(__xludf.DUMMYFUNCTION("IFERROR(GOOGLEFINANCE(TRIM(F593)&amp;"":"" &amp; TRIM(B593),""low52""),AE593)"),0)</f>
        <v>0</v>
      </c>
      <c r="AI593" s="1">
        <f ca="1">IFERROR(__xludf.DUMMYFUNCTION("IFERROR(GOOGLEFINANCE(B593,""eps""),0)"),0)</f>
        <v>0</v>
      </c>
      <c r="AJ593" s="1"/>
      <c r="AK593" s="1" t="s">
        <v>1855</v>
      </c>
      <c r="AL593" s="9">
        <f t="shared" si="127"/>
        <v>1</v>
      </c>
    </row>
    <row r="594" spans="1:38" ht="15" x14ac:dyDescent="0.25">
      <c r="A594" s="1" t="s">
        <v>1856</v>
      </c>
      <c r="B594" s="1" t="s">
        <v>1857</v>
      </c>
      <c r="C594" s="1" t="s">
        <v>106</v>
      </c>
      <c r="D594" s="1" t="s">
        <v>106</v>
      </c>
      <c r="E594" s="6">
        <v>19459.37</v>
      </c>
      <c r="F594" s="1" t="s">
        <v>40</v>
      </c>
      <c r="G594" s="6">
        <f ca="1">IFERROR(__xludf.DUMMYFUNCTION("iferror(GOOGLEFINANCE(TRIM(F594)&amp;"":"" &amp; TRIM(B594), ""price""),0
)"),1807.3)</f>
        <v>1807.3</v>
      </c>
      <c r="H594" s="6">
        <v>2573.35</v>
      </c>
      <c r="I594" s="6">
        <f t="shared" ca="1" si="0"/>
        <v>1807.3</v>
      </c>
      <c r="J594" s="6">
        <f ca="1">IFERROR(__xludf.DUMMYFUNCTION("IFERROR(GOOGLEFINANCE(B594, ""volume""), 0)"),33192)</f>
        <v>33192</v>
      </c>
      <c r="K594" s="6">
        <v>0.53</v>
      </c>
      <c r="L594" s="6">
        <f ca="1">IFERROR(__xludf.DUMMYFUNCTION("IFERROR(GOOGLEFINANCE(B594,""changepct""),K594)"),-0.14)</f>
        <v>-0.14000000000000001</v>
      </c>
      <c r="M594" s="6">
        <f ca="1">IFERROR(__xludf.DUMMYFUNCTION("IFERROR(GOOGLEFINANCE(B594,""change""),0)"),-2.6)</f>
        <v>-2.6</v>
      </c>
      <c r="N594" s="6">
        <v>2</v>
      </c>
      <c r="O594" s="7">
        <v>45536</v>
      </c>
      <c r="P594" s="6">
        <v>0.63</v>
      </c>
      <c r="Q594" s="6">
        <v>18925.79</v>
      </c>
      <c r="R594" s="7">
        <v>45536</v>
      </c>
      <c r="S594" s="6">
        <v>1830.78</v>
      </c>
      <c r="T594" s="6">
        <v>496.78</v>
      </c>
      <c r="U594" s="7">
        <v>45536</v>
      </c>
      <c r="V594" s="6">
        <v>39.43</v>
      </c>
      <c r="W594" s="6">
        <f ca="1">IFERROR(__xludf.DUMMYFUNCTION("IFERROR(GOOGLEFINANCE(B594,""pe""),V594)"),23.42)</f>
        <v>23.42</v>
      </c>
      <c r="X594" s="6">
        <v>1.88</v>
      </c>
      <c r="Y594" s="6">
        <v>7.65</v>
      </c>
      <c r="Z594" s="6">
        <v>2</v>
      </c>
      <c r="AA594" s="8">
        <v>45352</v>
      </c>
      <c r="AB594" s="4">
        <v>0</v>
      </c>
      <c r="AC594" s="6">
        <v>22.97</v>
      </c>
      <c r="AD594" s="6">
        <v>26.92</v>
      </c>
      <c r="AE594" s="1">
        <v>0</v>
      </c>
      <c r="AF594" s="1">
        <f ca="1">IFERROR(__xludf.DUMMYFUNCTION("IFERROR(GOOGLEFINANCE(TRIM(F594)&amp;"":"" &amp; TRIM(B594),""high52""),AE594)"),2395)</f>
        <v>2395</v>
      </c>
      <c r="AG594" s="1">
        <v>0</v>
      </c>
      <c r="AH594" s="1">
        <f ca="1">IFERROR(__xludf.DUMMYFUNCTION("IFERROR(GOOGLEFINANCE(TRIM(F594)&amp;"":"" &amp; TRIM(B594),""low52""),AE594)"),1599)</f>
        <v>1599</v>
      </c>
      <c r="AI594" s="1">
        <f ca="1">IFERROR(__xludf.DUMMYFUNCTION("IFERROR(GOOGLEFINANCE(B594,""eps""),0)"),77.17)</f>
        <v>77.17</v>
      </c>
      <c r="AJ594" s="1"/>
      <c r="AK594" s="1" t="s">
        <v>1858</v>
      </c>
      <c r="AL594" s="9">
        <f t="shared" si="127"/>
        <v>1</v>
      </c>
    </row>
    <row r="595" spans="1:38" ht="15" x14ac:dyDescent="0.25">
      <c r="A595" s="1" t="s">
        <v>1859</v>
      </c>
      <c r="B595" s="1" t="s">
        <v>1860</v>
      </c>
      <c r="C595" s="1" t="s">
        <v>135</v>
      </c>
      <c r="D595" s="1" t="s">
        <v>135</v>
      </c>
      <c r="E595" s="6">
        <v>307.60000000000002</v>
      </c>
      <c r="F595" s="1" t="s">
        <v>53</v>
      </c>
      <c r="G595" s="6">
        <f ca="1">IFERROR(__xludf.DUMMYFUNCTION("iferror(GOOGLEFINANCE(TRIM(F595)&amp;"":"" &amp; TRIM(B595), ""price""),0
)"),0)</f>
        <v>0</v>
      </c>
      <c r="H595" s="6">
        <v>300</v>
      </c>
      <c r="I595" s="6">
        <f t="shared" ca="1" si="0"/>
        <v>300</v>
      </c>
      <c r="J595" s="6">
        <f ca="1">IFERROR(__xludf.DUMMYFUNCTION("IFERROR(GOOGLEFINANCE(B595, ""volume""), 0)"),0)</f>
        <v>0</v>
      </c>
      <c r="K595" s="6">
        <v>1.35</v>
      </c>
      <c r="L595" s="6">
        <f ca="1">IFERROR(__xludf.DUMMYFUNCTION("IFERROR(GOOGLEFINANCE(B595,""changepct""),K595)"),1.35)</f>
        <v>1.35</v>
      </c>
      <c r="M595" s="6">
        <f ca="1">IFERROR(__xludf.DUMMYFUNCTION("IFERROR(GOOGLEFINANCE(B595,""change""),0)"),0)</f>
        <v>0</v>
      </c>
      <c r="N595" s="6">
        <v>1</v>
      </c>
      <c r="O595" s="7">
        <v>45536</v>
      </c>
      <c r="P595" s="12"/>
      <c r="Q595" s="6">
        <v>279.13</v>
      </c>
      <c r="R595" s="7">
        <v>45536</v>
      </c>
      <c r="S595" s="6">
        <v>152.87</v>
      </c>
      <c r="T595" s="6">
        <v>23.58</v>
      </c>
      <c r="U595" s="7">
        <v>45536</v>
      </c>
      <c r="V595" s="6">
        <v>13.04</v>
      </c>
      <c r="W595" s="6">
        <f ca="1">IFERROR(__xludf.DUMMYFUNCTION("IFERROR(GOOGLEFINANCE(B595,""pe""),V595)"),13.04)</f>
        <v>13.04</v>
      </c>
      <c r="X595" s="6">
        <v>2.71</v>
      </c>
      <c r="Y595" s="6">
        <v>1.59</v>
      </c>
      <c r="Z595" s="6">
        <v>1</v>
      </c>
      <c r="AA595" s="8">
        <v>45352</v>
      </c>
      <c r="AB595" s="4">
        <v>0</v>
      </c>
      <c r="AC595" s="6">
        <v>13.14</v>
      </c>
      <c r="AD595" s="6">
        <v>17.36</v>
      </c>
      <c r="AE595" s="1">
        <v>0</v>
      </c>
      <c r="AF595" s="1">
        <f ca="1">IFERROR(__xludf.DUMMYFUNCTION("IFERROR(GOOGLEFINANCE(TRIM(F595)&amp;"":"" &amp; TRIM(B595),""high52""),AE595)"),0)</f>
        <v>0</v>
      </c>
      <c r="AG595" s="1">
        <v>0</v>
      </c>
      <c r="AH595" s="1">
        <f ca="1">IFERROR(__xludf.DUMMYFUNCTION("IFERROR(GOOGLEFINANCE(TRIM(F595)&amp;"":"" &amp; TRIM(B595),""low52""),AE595)"),0)</f>
        <v>0</v>
      </c>
      <c r="AI595" s="1">
        <f ca="1">IFERROR(__xludf.DUMMYFUNCTION("IFERROR(GOOGLEFINANCE(B595,""eps""),0)"),0)</f>
        <v>0</v>
      </c>
      <c r="AJ595" s="1"/>
      <c r="AK595" s="9"/>
      <c r="AL595" s="9">
        <f t="shared" si="127"/>
        <v>1</v>
      </c>
    </row>
    <row r="596" spans="1:38" ht="15" x14ac:dyDescent="0.25">
      <c r="A596" s="1" t="s">
        <v>1861</v>
      </c>
      <c r="B596" s="1" t="s">
        <v>1862</v>
      </c>
      <c r="C596" s="1" t="s">
        <v>43</v>
      </c>
      <c r="D596" s="1" t="s">
        <v>43</v>
      </c>
      <c r="E596" s="6">
        <v>15809.23</v>
      </c>
      <c r="F596" s="1" t="s">
        <v>40</v>
      </c>
      <c r="G596" s="6">
        <f ca="1">IFERROR(__xludf.DUMMYFUNCTION("iferror(GOOGLEFINANCE(TRIM(F596)&amp;"":"" &amp; TRIM(B596), ""price""),0
)"),169.48)</f>
        <v>169.48</v>
      </c>
      <c r="H596" s="6">
        <v>192.61</v>
      </c>
      <c r="I596" s="6">
        <f t="shared" ca="1" si="0"/>
        <v>169.48</v>
      </c>
      <c r="J596" s="6">
        <f ca="1">IFERROR(__xludf.DUMMYFUNCTION("IFERROR(GOOGLEFINANCE(B596, ""volume""), 0)"),611124)</f>
        <v>611124</v>
      </c>
      <c r="K596" s="6">
        <v>0.65</v>
      </c>
      <c r="L596" s="6">
        <f ca="1">IFERROR(__xludf.DUMMYFUNCTION("IFERROR(GOOGLEFINANCE(B596,""changepct""),K596)"),1.85)</f>
        <v>1.85</v>
      </c>
      <c r="M596" s="6">
        <f ca="1">IFERROR(__xludf.DUMMYFUNCTION("IFERROR(GOOGLEFINANCE(B596,""change""),0)"),3.08)</f>
        <v>3.08</v>
      </c>
      <c r="N596" s="6">
        <v>2</v>
      </c>
      <c r="O596" s="7">
        <v>45536</v>
      </c>
      <c r="P596" s="6">
        <v>323.27</v>
      </c>
      <c r="Q596" s="7">
        <v>45536</v>
      </c>
      <c r="R596" s="6">
        <v>48.9</v>
      </c>
      <c r="S596" s="6">
        <v>3.14</v>
      </c>
      <c r="T596" s="6">
        <v>3.94</v>
      </c>
      <c r="U596" s="6">
        <v>2</v>
      </c>
      <c r="V596" s="7">
        <v>45352</v>
      </c>
      <c r="W596" s="6">
        <f ca="1">IFERROR(__xludf.DUMMYFUNCTION("IFERROR(GOOGLEFINANCE(B596,""pe""),V596)"),18.27)</f>
        <v>18.27</v>
      </c>
      <c r="X596" s="6">
        <v>2.74</v>
      </c>
      <c r="Y596" s="6">
        <v>7.61</v>
      </c>
      <c r="Z596" s="6">
        <v>9.5</v>
      </c>
      <c r="AA596" s="3" t="s">
        <v>1863</v>
      </c>
      <c r="AB596" s="11"/>
      <c r="AC596" s="9"/>
      <c r="AD596" s="9"/>
      <c r="AE596" s="1">
        <v>0</v>
      </c>
      <c r="AF596" s="1">
        <f ca="1">IFERROR(__xludf.DUMMYFUNCTION("IFERROR(GOOGLEFINANCE(TRIM(F596)&amp;"":"" &amp; TRIM(B596),""high52""),AE596)"),231.35)</f>
        <v>231.35</v>
      </c>
      <c r="AG596" s="1">
        <v>0</v>
      </c>
      <c r="AH596" s="1">
        <f ca="1">IFERROR(__xludf.DUMMYFUNCTION("IFERROR(GOOGLEFINANCE(TRIM(F596)&amp;"":"" &amp; TRIM(B596),""low52""),AE596)"),150.51)</f>
        <v>150.51</v>
      </c>
      <c r="AI596" s="1">
        <f ca="1">IFERROR(__xludf.DUMMYFUNCTION("IFERROR(GOOGLEFINANCE(B596,""eps""),0)"),9.28)</f>
        <v>9.2799999999999994</v>
      </c>
      <c r="AJ596" s="1"/>
      <c r="AK596" s="9"/>
      <c r="AL596" s="9">
        <f t="shared" si="127"/>
        <v>1</v>
      </c>
    </row>
    <row r="597" spans="1:38" ht="15" x14ac:dyDescent="0.25">
      <c r="A597" s="1" t="s">
        <v>1864</v>
      </c>
      <c r="B597" s="1" t="s">
        <v>1865</v>
      </c>
      <c r="C597" s="1" t="s">
        <v>1866</v>
      </c>
      <c r="D597" s="1" t="s">
        <v>1866</v>
      </c>
      <c r="E597" s="6">
        <v>24862.45</v>
      </c>
      <c r="F597" s="1" t="s">
        <v>40</v>
      </c>
      <c r="G597" s="6">
        <f ca="1">IFERROR(__xludf.DUMMYFUNCTION("iferror(GOOGLEFINANCE(TRIM(F597)&amp;"":"" &amp; TRIM(B597), ""price""),0
)"),756.1)</f>
        <v>756.1</v>
      </c>
      <c r="H597" s="6">
        <v>1314.95</v>
      </c>
      <c r="I597" s="6">
        <f t="shared" ca="1" si="0"/>
        <v>756.1</v>
      </c>
      <c r="J597" s="6">
        <f ca="1">IFERROR(__xludf.DUMMYFUNCTION("IFERROR(GOOGLEFINANCE(B597, ""volume""), 0)"),479512)</f>
        <v>479512</v>
      </c>
      <c r="K597" s="6">
        <v>0.86</v>
      </c>
      <c r="L597" s="6">
        <f ca="1">IFERROR(__xludf.DUMMYFUNCTION("IFERROR(GOOGLEFINANCE(B597,""changepct""),K597)"),-3.37)</f>
        <v>-3.37</v>
      </c>
      <c r="M597" s="6">
        <f ca="1">IFERROR(__xludf.DUMMYFUNCTION("IFERROR(GOOGLEFINANCE(B597,""change""),0)"),-26.4)</f>
        <v>-26.4</v>
      </c>
      <c r="N597" s="6">
        <v>2</v>
      </c>
      <c r="O597" s="7">
        <v>45536</v>
      </c>
      <c r="P597" s="6">
        <v>102.94</v>
      </c>
      <c r="Q597" s="6">
        <v>24575.09</v>
      </c>
      <c r="R597" s="7">
        <v>45536</v>
      </c>
      <c r="S597" s="6">
        <v>4774.29</v>
      </c>
      <c r="T597" s="6">
        <v>439.77</v>
      </c>
      <c r="U597" s="7">
        <v>45536</v>
      </c>
      <c r="V597" s="6">
        <v>52.35</v>
      </c>
      <c r="W597" s="6">
        <f ca="1">IFERROR(__xludf.DUMMYFUNCTION("IFERROR(GOOGLEFINANCE(B597,""pe""),V597)"),58.92)</f>
        <v>58.92</v>
      </c>
      <c r="X597" s="6">
        <v>3.95</v>
      </c>
      <c r="Y597" s="6">
        <v>7.46</v>
      </c>
      <c r="Z597" s="6">
        <v>2</v>
      </c>
      <c r="AA597" s="8">
        <v>45352</v>
      </c>
      <c r="AB597" s="4">
        <v>0.04</v>
      </c>
      <c r="AC597" s="6">
        <v>16.14</v>
      </c>
      <c r="AD597" s="6">
        <v>21.28</v>
      </c>
      <c r="AE597" s="1">
        <v>0</v>
      </c>
      <c r="AF597" s="1">
        <f ca="1">IFERROR(__xludf.DUMMYFUNCTION("IFERROR(GOOGLEFINANCE(TRIM(F597)&amp;"":"" &amp; TRIM(B597),""high52""),AE597)"),1185.1)</f>
        <v>1185.0999999999999</v>
      </c>
      <c r="AG597" s="1">
        <v>0</v>
      </c>
      <c r="AH597" s="1">
        <f ca="1">IFERROR(__xludf.DUMMYFUNCTION("IFERROR(GOOGLEFINANCE(TRIM(F597)&amp;"":"" &amp; TRIM(B597),""low52""),AE597)"),748.5)</f>
        <v>748.5</v>
      </c>
      <c r="AI597" s="1">
        <f ca="1">IFERROR(__xludf.DUMMYFUNCTION("IFERROR(GOOGLEFINANCE(B597,""eps""),0)"),12.83)</f>
        <v>12.83</v>
      </c>
      <c r="AJ597" s="1"/>
      <c r="AK597" s="1" t="s">
        <v>1867</v>
      </c>
      <c r="AL597" s="1" t="b">
        <f>ISNUMBER(AA597)</f>
        <v>1</v>
      </c>
    </row>
    <row r="598" spans="1:38" ht="15" x14ac:dyDescent="0.25">
      <c r="A598" s="1" t="s">
        <v>1868</v>
      </c>
      <c r="B598" s="1" t="s">
        <v>1869</v>
      </c>
      <c r="C598" s="1" t="s">
        <v>135</v>
      </c>
      <c r="D598" s="1" t="s">
        <v>135</v>
      </c>
      <c r="E598" s="6">
        <v>14.35</v>
      </c>
      <c r="F598" s="1" t="s">
        <v>53</v>
      </c>
      <c r="G598" s="6">
        <f ca="1">IFERROR(__xludf.DUMMYFUNCTION("iferror(GOOGLEFINANCE(TRIM(F598)&amp;"":"" &amp; TRIM(B598), ""price""),0
)"),0)</f>
        <v>0</v>
      </c>
      <c r="H598" s="6">
        <v>16.350000000000001</v>
      </c>
      <c r="I598" s="6">
        <f t="shared" ca="1" si="0"/>
        <v>16.350000000000001</v>
      </c>
      <c r="J598" s="6">
        <f ca="1">IFERROR(__xludf.DUMMYFUNCTION("IFERROR(GOOGLEFINANCE(B598, ""volume""), 0)"),0)</f>
        <v>0</v>
      </c>
      <c r="K598" s="6">
        <v>3.15</v>
      </c>
      <c r="L598" s="6">
        <f ca="1">IFERROR(__xludf.DUMMYFUNCTION("IFERROR(GOOGLEFINANCE(B598,""changepct""),K598)"),3.15)</f>
        <v>3.15</v>
      </c>
      <c r="M598" s="6">
        <f ca="1">IFERROR(__xludf.DUMMYFUNCTION("IFERROR(GOOGLEFINANCE(B598,""change""),0)"),0)</f>
        <v>0</v>
      </c>
      <c r="N598" s="6">
        <v>1</v>
      </c>
      <c r="O598" s="7">
        <v>45536</v>
      </c>
      <c r="P598" s="9"/>
      <c r="Q598" s="6">
        <v>14.35</v>
      </c>
      <c r="R598" s="7">
        <v>45536</v>
      </c>
      <c r="S598" s="6">
        <v>9.33</v>
      </c>
      <c r="T598" s="6">
        <v>0.04</v>
      </c>
      <c r="U598" s="7">
        <v>45536</v>
      </c>
      <c r="V598" s="6">
        <v>398.65</v>
      </c>
      <c r="W598" s="6">
        <f ca="1">IFERROR(__xludf.DUMMYFUNCTION("IFERROR(GOOGLEFINANCE(B598,""pe""),V598)"),398.65)</f>
        <v>398.65</v>
      </c>
      <c r="X598" s="6">
        <v>-155.12</v>
      </c>
      <c r="Y598" s="6">
        <v>1.31</v>
      </c>
      <c r="Z598" s="6">
        <v>1</v>
      </c>
      <c r="AA598" s="8">
        <v>45352</v>
      </c>
      <c r="AB598" s="4">
        <v>0</v>
      </c>
      <c r="AC598" s="6">
        <v>0.35</v>
      </c>
      <c r="AD598" s="6">
        <v>1.85</v>
      </c>
      <c r="AE598" s="1">
        <v>0</v>
      </c>
      <c r="AF598" s="1">
        <f ca="1">IFERROR(__xludf.DUMMYFUNCTION("IFERROR(GOOGLEFINANCE(TRIM(F598)&amp;"":"" &amp; TRIM(B598),""high52""),AE598)"),0)</f>
        <v>0</v>
      </c>
      <c r="AG598" s="1">
        <v>0</v>
      </c>
      <c r="AH598" s="1">
        <f ca="1">IFERROR(__xludf.DUMMYFUNCTION("IFERROR(GOOGLEFINANCE(TRIM(F598)&amp;"":"" &amp; TRIM(B598),""low52""),AE598)"),0)</f>
        <v>0</v>
      </c>
      <c r="AI598" s="1">
        <f ca="1">IFERROR(__xludf.DUMMYFUNCTION("IFERROR(GOOGLEFINANCE(B598,""eps""),0)"),0)</f>
        <v>0</v>
      </c>
      <c r="AJ598" s="1"/>
      <c r="AK598" s="1" t="s">
        <v>1870</v>
      </c>
      <c r="AL598" s="9">
        <f t="shared" ref="AL598:AL601" si="128">IF(AA598&lt;&gt;AB598,1,0)</f>
        <v>1</v>
      </c>
    </row>
    <row r="599" spans="1:38" ht="15" x14ac:dyDescent="0.25">
      <c r="A599" s="1" t="s">
        <v>1871</v>
      </c>
      <c r="B599" s="1" t="s">
        <v>1872</v>
      </c>
      <c r="C599" s="1" t="s">
        <v>135</v>
      </c>
      <c r="D599" s="1" t="s">
        <v>135</v>
      </c>
      <c r="E599" s="6">
        <v>281.89</v>
      </c>
      <c r="F599" s="1" t="s">
        <v>53</v>
      </c>
      <c r="G599" s="6">
        <f ca="1">IFERROR(__xludf.DUMMYFUNCTION("iferror(GOOGLEFINANCE(TRIM(F599)&amp;"":"" &amp; TRIM(B599), ""price""),0
)"),0)</f>
        <v>0</v>
      </c>
      <c r="H599" s="6">
        <v>98.2</v>
      </c>
      <c r="I599" s="6">
        <f t="shared" ca="1" si="0"/>
        <v>98.2</v>
      </c>
      <c r="J599" s="6">
        <f ca="1">IFERROR(__xludf.DUMMYFUNCTION("IFERROR(GOOGLEFINANCE(B599, ""volume""), 0)"),0)</f>
        <v>0</v>
      </c>
      <c r="K599" s="6">
        <v>-2.85</v>
      </c>
      <c r="L599" s="6">
        <f ca="1">IFERROR(__xludf.DUMMYFUNCTION("IFERROR(GOOGLEFINANCE(B599,""changepct""),K599)"),-2.85)</f>
        <v>-2.85</v>
      </c>
      <c r="M599" s="6">
        <f ca="1">IFERROR(__xludf.DUMMYFUNCTION("IFERROR(GOOGLEFINANCE(B599,""change""),0)"),0)</f>
        <v>0</v>
      </c>
      <c r="N599" s="6">
        <v>2</v>
      </c>
      <c r="O599" s="7">
        <v>45536</v>
      </c>
      <c r="P599" s="6">
        <v>22.8</v>
      </c>
      <c r="Q599" s="6">
        <v>301.51</v>
      </c>
      <c r="R599" s="7">
        <v>45536</v>
      </c>
      <c r="S599" s="6">
        <v>160.57</v>
      </c>
      <c r="T599" s="6">
        <v>-2.5499999999999998</v>
      </c>
      <c r="U599" s="7">
        <v>45536</v>
      </c>
      <c r="V599" s="6">
        <v>0</v>
      </c>
      <c r="W599" s="6">
        <f ca="1">IFERROR(__xludf.DUMMYFUNCTION("IFERROR(GOOGLEFINANCE(B599,""pe""),V599)"),0)</f>
        <v>0</v>
      </c>
      <c r="X599" s="9"/>
      <c r="Y599" s="6">
        <v>7.61</v>
      </c>
      <c r="Z599" s="6">
        <v>2</v>
      </c>
      <c r="AA599" s="8">
        <v>45352</v>
      </c>
      <c r="AB599" s="4">
        <v>0.57999999999999996</v>
      </c>
      <c r="AC599" s="6">
        <v>-15.59</v>
      </c>
      <c r="AD599" s="6">
        <v>-4.8499999999999996</v>
      </c>
      <c r="AE599" s="1">
        <v>0</v>
      </c>
      <c r="AF599" s="1">
        <f ca="1">IFERROR(__xludf.DUMMYFUNCTION("IFERROR(GOOGLEFINANCE(TRIM(F599)&amp;"":"" &amp; TRIM(B599),""high52""),AE599)"),0)</f>
        <v>0</v>
      </c>
      <c r="AG599" s="1">
        <v>0</v>
      </c>
      <c r="AH599" s="1">
        <f ca="1">IFERROR(__xludf.DUMMYFUNCTION("IFERROR(GOOGLEFINANCE(TRIM(F599)&amp;"":"" &amp; TRIM(B599),""low52""),AE599)"),0)</f>
        <v>0</v>
      </c>
      <c r="AI599" s="1">
        <f ca="1">IFERROR(__xludf.DUMMYFUNCTION("IFERROR(GOOGLEFINANCE(B599,""eps""),0)"),0)</f>
        <v>0</v>
      </c>
      <c r="AJ599" s="1"/>
      <c r="AK599" s="1" t="s">
        <v>1873</v>
      </c>
      <c r="AL599" s="9">
        <f t="shared" si="128"/>
        <v>1</v>
      </c>
    </row>
    <row r="600" spans="1:38" ht="15" x14ac:dyDescent="0.25">
      <c r="A600" s="1" t="s">
        <v>1874</v>
      </c>
      <c r="B600" s="1" t="s">
        <v>1875</v>
      </c>
      <c r="C600" s="1" t="s">
        <v>1876</v>
      </c>
      <c r="D600" s="1" t="s">
        <v>1876</v>
      </c>
      <c r="E600" s="6">
        <v>4215.83</v>
      </c>
      <c r="F600" s="1" t="s">
        <v>40</v>
      </c>
      <c r="G600" s="6">
        <f ca="1">IFERROR(__xludf.DUMMYFUNCTION("iferror(GOOGLEFINANCE(TRIM(F600)&amp;"":"" &amp; TRIM(B600), ""price""),0
)"),1556)</f>
        <v>1556</v>
      </c>
      <c r="H600" s="6">
        <v>1436.9</v>
      </c>
      <c r="I600" s="6">
        <f t="shared" ca="1" si="0"/>
        <v>1556</v>
      </c>
      <c r="J600" s="6">
        <f ca="1">IFERROR(__xludf.DUMMYFUNCTION("IFERROR(GOOGLEFINANCE(B600, ""volume""), 0)"),37748)</f>
        <v>37748</v>
      </c>
      <c r="K600" s="6">
        <v>1.7</v>
      </c>
      <c r="L600" s="6">
        <f ca="1">IFERROR(__xludf.DUMMYFUNCTION("IFERROR(GOOGLEFINANCE(B600,""changepct""),K600)"),-3.11)</f>
        <v>-3.11</v>
      </c>
      <c r="M600" s="6">
        <f ca="1">IFERROR(__xludf.DUMMYFUNCTION("IFERROR(GOOGLEFINANCE(B600,""change""),0)"),-50)</f>
        <v>-50</v>
      </c>
      <c r="N600" s="6">
        <v>2</v>
      </c>
      <c r="O600" s="7">
        <v>45536</v>
      </c>
      <c r="P600" s="9"/>
      <c r="Q600" s="6">
        <v>4128.88</v>
      </c>
      <c r="R600" s="7">
        <v>45536</v>
      </c>
      <c r="S600" s="6">
        <v>365.11</v>
      </c>
      <c r="T600" s="6">
        <v>116.73</v>
      </c>
      <c r="U600" s="7">
        <v>45536</v>
      </c>
      <c r="V600" s="6">
        <v>36.86</v>
      </c>
      <c r="W600" s="6">
        <f ca="1">IFERROR(__xludf.DUMMYFUNCTION("IFERROR(GOOGLEFINANCE(B600,""pe""),V600)"),30.64)</f>
        <v>30.64</v>
      </c>
      <c r="X600" s="6">
        <v>-6.07</v>
      </c>
      <c r="Y600" s="6">
        <v>5.6</v>
      </c>
      <c r="Z600" s="6">
        <v>2</v>
      </c>
      <c r="AA600" s="8">
        <v>45352</v>
      </c>
      <c r="AB600" s="4">
        <v>0</v>
      </c>
      <c r="AC600" s="6">
        <v>14.89</v>
      </c>
      <c r="AD600" s="6">
        <v>21.35</v>
      </c>
      <c r="AE600" s="1">
        <v>0</v>
      </c>
      <c r="AF600" s="1">
        <f ca="1">IFERROR(__xludf.DUMMYFUNCTION("IFERROR(GOOGLEFINANCE(TRIM(F600)&amp;"":"" &amp; TRIM(B600),""high52""),AE600)"),1964)</f>
        <v>1964</v>
      </c>
      <c r="AG600" s="1">
        <v>0</v>
      </c>
      <c r="AH600" s="1">
        <f ca="1">IFERROR(__xludf.DUMMYFUNCTION("IFERROR(GOOGLEFINANCE(TRIM(F600)&amp;"":"" &amp; TRIM(B600),""low52""),AE600)"),1052)</f>
        <v>1052</v>
      </c>
      <c r="AI600" s="1">
        <f ca="1">IFERROR(__xludf.DUMMYFUNCTION("IFERROR(GOOGLEFINANCE(B600,""eps""),0)"),50.78)</f>
        <v>50.78</v>
      </c>
      <c r="AJ600" s="1"/>
      <c r="AK600" s="1" t="s">
        <v>1877</v>
      </c>
      <c r="AL600" s="9">
        <f t="shared" si="128"/>
        <v>1</v>
      </c>
    </row>
    <row r="601" spans="1:38" ht="15" x14ac:dyDescent="0.25">
      <c r="A601" s="1" t="s">
        <v>1878</v>
      </c>
      <c r="B601" s="1" t="s">
        <v>1879</v>
      </c>
      <c r="C601" s="1" t="s">
        <v>321</v>
      </c>
      <c r="D601" s="1" t="s">
        <v>321</v>
      </c>
      <c r="E601" s="6">
        <v>749.64</v>
      </c>
      <c r="F601" s="1" t="s">
        <v>40</v>
      </c>
      <c r="G601" s="6">
        <f ca="1">IFERROR(__xludf.DUMMYFUNCTION("iferror(GOOGLEFINANCE(TRIM(F601)&amp;"":"" &amp; TRIM(B601), ""price""),0
)"),0)</f>
        <v>0</v>
      </c>
      <c r="H601" s="6">
        <v>409.55</v>
      </c>
      <c r="I601" s="6">
        <f t="shared" ca="1" si="0"/>
        <v>409.55</v>
      </c>
      <c r="J601" s="6">
        <f ca="1">IFERROR(__xludf.DUMMYFUNCTION("IFERROR(GOOGLEFINANCE(B601, ""volume""), 0)"),0)</f>
        <v>0</v>
      </c>
      <c r="K601" s="6">
        <v>-0.39</v>
      </c>
      <c r="L601" s="6">
        <f ca="1">IFERROR(__xludf.DUMMYFUNCTION("IFERROR(GOOGLEFINANCE(B601,""changepct""),K601)"),-0.39)</f>
        <v>-0.39</v>
      </c>
      <c r="M601" s="6">
        <f ca="1">IFERROR(__xludf.DUMMYFUNCTION("IFERROR(GOOGLEFINANCE(B601,""change""),0)"),0)</f>
        <v>0</v>
      </c>
      <c r="N601" s="6">
        <v>2</v>
      </c>
      <c r="O601" s="7">
        <v>45536</v>
      </c>
      <c r="P601" s="6">
        <v>18.63</v>
      </c>
      <c r="Q601" s="6">
        <v>763.29</v>
      </c>
      <c r="R601" s="7">
        <v>45536</v>
      </c>
      <c r="S601" s="6">
        <v>108.66</v>
      </c>
      <c r="T601" s="6">
        <v>62.04</v>
      </c>
      <c r="U601" s="7">
        <v>45536</v>
      </c>
      <c r="V601" s="6">
        <v>12.08</v>
      </c>
      <c r="W601" s="6">
        <f ca="1">IFERROR(__xludf.DUMMYFUNCTION("IFERROR(GOOGLEFINANCE(B601,""pe""),V601)"),12.08)</f>
        <v>12.08</v>
      </c>
      <c r="X601" s="6">
        <v>0.64</v>
      </c>
      <c r="Y601" s="6">
        <v>1.34</v>
      </c>
      <c r="Z601" s="6">
        <v>2</v>
      </c>
      <c r="AA601" s="8">
        <v>45352</v>
      </c>
      <c r="AB601" s="4">
        <v>7.0000000000000007E-2</v>
      </c>
      <c r="AC601" s="6">
        <v>11.3</v>
      </c>
      <c r="AD601" s="6">
        <v>14.03</v>
      </c>
      <c r="AE601" s="1">
        <v>0</v>
      </c>
      <c r="AF601" s="1">
        <f ca="1">IFERROR(__xludf.DUMMYFUNCTION("IFERROR(GOOGLEFINANCE(TRIM(F601)&amp;"":"" &amp; TRIM(B601),""high52""),AE601)"),0)</f>
        <v>0</v>
      </c>
      <c r="AG601" s="1">
        <v>0</v>
      </c>
      <c r="AH601" s="1">
        <f ca="1">IFERROR(__xludf.DUMMYFUNCTION("IFERROR(GOOGLEFINANCE(TRIM(F601)&amp;"":"" &amp; TRIM(B601),""low52""),AE601)"),0)</f>
        <v>0</v>
      </c>
      <c r="AI601" s="1">
        <f ca="1">IFERROR(__xludf.DUMMYFUNCTION("IFERROR(GOOGLEFINANCE(B601,""eps""),0)"),0)</f>
        <v>0</v>
      </c>
      <c r="AJ601" s="1"/>
      <c r="AK601" s="1" t="s">
        <v>1880</v>
      </c>
      <c r="AL601" s="9">
        <f t="shared" si="128"/>
        <v>1</v>
      </c>
    </row>
    <row r="602" spans="1:38" ht="15" x14ac:dyDescent="0.25">
      <c r="A602" s="1" t="s">
        <v>1881</v>
      </c>
      <c r="B602" s="1" t="s">
        <v>1882</v>
      </c>
      <c r="C602" s="1" t="s">
        <v>355</v>
      </c>
      <c r="D602" s="1" t="s">
        <v>355</v>
      </c>
      <c r="E602" s="6">
        <v>3688.81</v>
      </c>
      <c r="F602" s="1" t="s">
        <v>40</v>
      </c>
      <c r="G602" s="6">
        <f ca="1">IFERROR(__xludf.DUMMYFUNCTION("iferror(GOOGLEFINANCE(TRIM(F602)&amp;"":"" &amp; TRIM(B602), ""price""),0
)"),496)</f>
        <v>496</v>
      </c>
      <c r="H602" s="6">
        <v>661.7</v>
      </c>
      <c r="I602" s="6">
        <f t="shared" ca="1" si="0"/>
        <v>496</v>
      </c>
      <c r="J602" s="6">
        <f ca="1">IFERROR(__xludf.DUMMYFUNCTION("IFERROR(GOOGLEFINANCE(B602, ""volume""), 0)"),29243)</f>
        <v>29243</v>
      </c>
      <c r="K602" s="6">
        <v>1.96</v>
      </c>
      <c r="L602" s="6">
        <f ca="1">IFERROR(__xludf.DUMMYFUNCTION("IFERROR(GOOGLEFINANCE(B602,""changepct""),K602)"),0.77)</f>
        <v>0.77</v>
      </c>
      <c r="M602" s="6">
        <f ca="1">IFERROR(__xludf.DUMMYFUNCTION("IFERROR(GOOGLEFINANCE(B602,""change""),0)"),3.8)</f>
        <v>3.8</v>
      </c>
      <c r="N602" s="6">
        <v>1</v>
      </c>
      <c r="O602" s="7">
        <v>45352</v>
      </c>
      <c r="P602" s="6">
        <v>212.55</v>
      </c>
      <c r="Q602" s="6">
        <v>3800.93</v>
      </c>
      <c r="R602" s="14"/>
      <c r="S602" s="9"/>
      <c r="T602" s="9"/>
      <c r="U602" s="7">
        <v>45352</v>
      </c>
      <c r="V602" s="6">
        <v>60.89</v>
      </c>
      <c r="W602" s="6">
        <f ca="1">IFERROR(__xludf.DUMMYFUNCTION("IFERROR(GOOGLEFINANCE(B602,""pe""),V602)"),28.43)</f>
        <v>28.43</v>
      </c>
      <c r="X602" s="9"/>
      <c r="Y602" s="6">
        <v>2.2799999999999998</v>
      </c>
      <c r="Z602" s="6">
        <v>1</v>
      </c>
      <c r="AA602" s="8">
        <v>45352</v>
      </c>
      <c r="AB602" s="4">
        <v>0.55000000000000004</v>
      </c>
      <c r="AC602" s="6">
        <v>16.57</v>
      </c>
      <c r="AD602" s="6">
        <v>18.37</v>
      </c>
      <c r="AE602" s="1">
        <v>0</v>
      </c>
      <c r="AF602" s="1">
        <f ca="1">IFERROR(__xludf.DUMMYFUNCTION("IFERROR(GOOGLEFINANCE(TRIM(F602)&amp;"":"" &amp; TRIM(B602),""high52""),AE602)"),573.7)</f>
        <v>573.70000000000005</v>
      </c>
      <c r="AG602" s="1">
        <v>0</v>
      </c>
      <c r="AH602" s="1">
        <f ca="1">IFERROR(__xludf.DUMMYFUNCTION("IFERROR(GOOGLEFINANCE(TRIM(F602)&amp;"":"" &amp; TRIM(B602),""low52""),AE602)"),253.15)</f>
        <v>253.15</v>
      </c>
      <c r="AI602" s="1">
        <f ca="1">IFERROR(__xludf.DUMMYFUNCTION("IFERROR(GOOGLEFINANCE(B602,""eps""),0)"),17.45)</f>
        <v>17.45</v>
      </c>
      <c r="AJ602" s="1"/>
      <c r="AK602" s="1" t="s">
        <v>1883</v>
      </c>
      <c r="AL602" s="1" t="b">
        <f>ISNUMBER(AA602)</f>
        <v>1</v>
      </c>
    </row>
    <row r="603" spans="1:38" ht="15" x14ac:dyDescent="0.25">
      <c r="A603" s="1" t="s">
        <v>1884</v>
      </c>
      <c r="B603" s="1" t="s">
        <v>1885</v>
      </c>
      <c r="C603" s="1" t="s">
        <v>1739</v>
      </c>
      <c r="D603" s="1" t="s">
        <v>1739</v>
      </c>
      <c r="E603" s="6">
        <v>7587.02</v>
      </c>
      <c r="F603" s="1" t="s">
        <v>40</v>
      </c>
      <c r="G603" s="6">
        <f ca="1">IFERROR(__xludf.DUMMYFUNCTION("iferror(GOOGLEFINANCE(TRIM(F603)&amp;"":"" &amp; TRIM(B603), ""price""),0
)"),2495.5)</f>
        <v>2495.5</v>
      </c>
      <c r="H603" s="6">
        <v>1632.9</v>
      </c>
      <c r="I603" s="6">
        <f t="shared" ca="1" si="0"/>
        <v>2495.5</v>
      </c>
      <c r="J603" s="6">
        <f ca="1">IFERROR(__xludf.DUMMYFUNCTION("IFERROR(GOOGLEFINANCE(B603, ""volume""), 0)"),333243)</f>
        <v>333243</v>
      </c>
      <c r="K603" s="6">
        <v>2.2200000000000002</v>
      </c>
      <c r="L603" s="6">
        <f ca="1">IFERROR(__xludf.DUMMYFUNCTION("IFERROR(GOOGLEFINANCE(B603,""changepct""),K603)"),-3.48)</f>
        <v>-3.48</v>
      </c>
      <c r="M603" s="6">
        <f ca="1">IFERROR(__xludf.DUMMYFUNCTION("IFERROR(GOOGLEFINANCE(B603,""change""),0)"),-89.9)</f>
        <v>-89.9</v>
      </c>
      <c r="N603" s="6">
        <v>2</v>
      </c>
      <c r="O603" s="7">
        <v>45536</v>
      </c>
      <c r="P603" s="12"/>
      <c r="Q603" s="6">
        <v>7464.97</v>
      </c>
      <c r="R603" s="7">
        <v>45536</v>
      </c>
      <c r="S603" s="6">
        <v>579.25</v>
      </c>
      <c r="T603" s="6">
        <v>98.65</v>
      </c>
      <c r="U603" s="7">
        <v>45536</v>
      </c>
      <c r="V603" s="6">
        <v>156.66999999999999</v>
      </c>
      <c r="W603" s="6">
        <f ca="1">IFERROR(__xludf.DUMMYFUNCTION("IFERROR(GOOGLEFINANCE(B603,""pe""),V603)"),62.83)</f>
        <v>62.83</v>
      </c>
      <c r="X603" s="12"/>
      <c r="Y603" s="6">
        <v>3.56</v>
      </c>
      <c r="Z603" s="6">
        <v>2</v>
      </c>
      <c r="AA603" s="8">
        <v>45352</v>
      </c>
      <c r="AB603" s="4">
        <v>0</v>
      </c>
      <c r="AC603" s="6">
        <v>4.5199999999999996</v>
      </c>
      <c r="AD603" s="6">
        <v>5.26</v>
      </c>
      <c r="AE603" s="1">
        <v>0</v>
      </c>
      <c r="AF603" s="1">
        <f ca="1">IFERROR(__xludf.DUMMYFUNCTION("IFERROR(GOOGLEFINANCE(TRIM(F603)&amp;"":"" &amp; TRIM(B603),""high52""),AE603)"),3290.5)</f>
        <v>3290.5</v>
      </c>
      <c r="AG603" s="1">
        <v>0</v>
      </c>
      <c r="AH603" s="1">
        <f ca="1">IFERROR(__xludf.DUMMYFUNCTION("IFERROR(GOOGLEFINANCE(TRIM(F603)&amp;"":"" &amp; TRIM(B603),""low52""),AE603)"),1362.5)</f>
        <v>1362.5</v>
      </c>
      <c r="AI603" s="1">
        <f ca="1">IFERROR(__xludf.DUMMYFUNCTION("IFERROR(GOOGLEFINANCE(B603,""eps""),0)"),39.72)</f>
        <v>39.72</v>
      </c>
      <c r="AJ603" s="1"/>
      <c r="AK603" s="1" t="s">
        <v>1886</v>
      </c>
      <c r="AL603" s="9">
        <f t="shared" ref="AL603:AL624" si="129">IF(AA603&lt;&gt;AB603,1,0)</f>
        <v>1</v>
      </c>
    </row>
    <row r="604" spans="1:38" ht="15" x14ac:dyDescent="0.25">
      <c r="A604" s="1" t="s">
        <v>1887</v>
      </c>
      <c r="B604" s="1" t="s">
        <v>1888</v>
      </c>
      <c r="C604" s="1" t="s">
        <v>135</v>
      </c>
      <c r="D604" s="1" t="s">
        <v>135</v>
      </c>
      <c r="E604" s="6">
        <v>1596.06</v>
      </c>
      <c r="F604" s="1" t="s">
        <v>53</v>
      </c>
      <c r="G604" s="6">
        <f ca="1">IFERROR(__xludf.DUMMYFUNCTION("iferror(GOOGLEFINANCE(TRIM(F604)&amp;"":"" &amp; TRIM(B604), ""price""),0
)"),0)</f>
        <v>0</v>
      </c>
      <c r="H604" s="6">
        <v>1336.55</v>
      </c>
      <c r="I604" s="6">
        <f t="shared" ca="1" si="0"/>
        <v>1336.55</v>
      </c>
      <c r="J604" s="6">
        <f ca="1">IFERROR(__xludf.DUMMYFUNCTION("IFERROR(GOOGLEFINANCE(B604, ""volume""), 0)"),0)</f>
        <v>0</v>
      </c>
      <c r="K604" s="6">
        <v>0.49</v>
      </c>
      <c r="L604" s="6">
        <f ca="1">IFERROR(__xludf.DUMMYFUNCTION("IFERROR(GOOGLEFINANCE(B604,""changepct""),K604)"),0.49)</f>
        <v>0.49</v>
      </c>
      <c r="M604" s="6">
        <f ca="1">IFERROR(__xludf.DUMMYFUNCTION("IFERROR(GOOGLEFINANCE(B604,""change""),0)"),0)</f>
        <v>0</v>
      </c>
      <c r="N604" s="6">
        <v>1</v>
      </c>
      <c r="O604" s="7">
        <v>45536</v>
      </c>
      <c r="P604" s="9"/>
      <c r="Q604" s="6">
        <v>1462.16</v>
      </c>
      <c r="R604" s="7">
        <v>45536</v>
      </c>
      <c r="S604" s="6">
        <v>267.58999999999997</v>
      </c>
      <c r="T604" s="6">
        <v>70.260000000000005</v>
      </c>
      <c r="U604" s="7">
        <v>45536</v>
      </c>
      <c r="V604" s="6">
        <v>22.72</v>
      </c>
      <c r="W604" s="6">
        <f ca="1">IFERROR(__xludf.DUMMYFUNCTION("IFERROR(GOOGLEFINANCE(B604,""pe""),V604)"),22.72)</f>
        <v>22.72</v>
      </c>
      <c r="X604" s="6">
        <v>0.23</v>
      </c>
      <c r="Y604" s="6">
        <v>9.18</v>
      </c>
      <c r="Z604" s="6">
        <v>1</v>
      </c>
      <c r="AA604" s="8">
        <v>45352</v>
      </c>
      <c r="AB604" s="4">
        <v>0</v>
      </c>
      <c r="AC604" s="6">
        <v>56.26</v>
      </c>
      <c r="AD604" s="6">
        <v>75.16</v>
      </c>
      <c r="AE604" s="1">
        <v>0</v>
      </c>
      <c r="AF604" s="1">
        <f ca="1">IFERROR(__xludf.DUMMYFUNCTION("IFERROR(GOOGLEFINANCE(TRIM(F604)&amp;"":"" &amp; TRIM(B604),""high52""),AE604)"),0)</f>
        <v>0</v>
      </c>
      <c r="AG604" s="1">
        <v>0</v>
      </c>
      <c r="AH604" s="1">
        <f ca="1">IFERROR(__xludf.DUMMYFUNCTION("IFERROR(GOOGLEFINANCE(TRIM(F604)&amp;"":"" &amp; TRIM(B604),""low52""),AE604)"),0)</f>
        <v>0</v>
      </c>
      <c r="AI604" s="1">
        <f ca="1">IFERROR(__xludf.DUMMYFUNCTION("IFERROR(GOOGLEFINANCE(B604,""eps""),0)"),0)</f>
        <v>0</v>
      </c>
      <c r="AJ604" s="1"/>
      <c r="AK604" s="1" t="s">
        <v>1889</v>
      </c>
      <c r="AL604" s="9">
        <f t="shared" si="129"/>
        <v>1</v>
      </c>
    </row>
    <row r="605" spans="1:38" ht="15" x14ac:dyDescent="0.25">
      <c r="A605" s="1" t="s">
        <v>1890</v>
      </c>
      <c r="B605" s="1" t="s">
        <v>1891</v>
      </c>
      <c r="C605" s="1" t="s">
        <v>135</v>
      </c>
      <c r="D605" s="1" t="s">
        <v>135</v>
      </c>
      <c r="E605" s="6">
        <v>235.27</v>
      </c>
      <c r="F605" s="1" t="s">
        <v>53</v>
      </c>
      <c r="G605" s="6">
        <f ca="1">IFERROR(__xludf.DUMMYFUNCTION("iferror(GOOGLEFINANCE(TRIM(F605)&amp;"":"" &amp; TRIM(B605), ""price""),0
)"),0)</f>
        <v>0</v>
      </c>
      <c r="H605" s="6">
        <v>550</v>
      </c>
      <c r="I605" s="6">
        <f t="shared" ca="1" si="0"/>
        <v>550</v>
      </c>
      <c r="J605" s="6">
        <f ca="1">IFERROR(__xludf.DUMMYFUNCTION("IFERROR(GOOGLEFINANCE(B605, ""volume""), 0)"),0)</f>
        <v>0</v>
      </c>
      <c r="K605" s="6">
        <v>1.55</v>
      </c>
      <c r="L605" s="6">
        <f ca="1">IFERROR(__xludf.DUMMYFUNCTION("IFERROR(GOOGLEFINANCE(B605,""changepct""),K605)"),1.55)</f>
        <v>1.55</v>
      </c>
      <c r="M605" s="6">
        <f ca="1">IFERROR(__xludf.DUMMYFUNCTION("IFERROR(GOOGLEFINANCE(B605,""change""),0)"),0)</f>
        <v>0</v>
      </c>
      <c r="N605" s="6">
        <v>2</v>
      </c>
      <c r="O605" s="7">
        <v>45536</v>
      </c>
      <c r="P605" s="9"/>
      <c r="Q605" s="6">
        <v>191.8</v>
      </c>
      <c r="R605" s="7">
        <v>45536</v>
      </c>
      <c r="S605" s="6">
        <v>161.22999999999999</v>
      </c>
      <c r="T605" s="6">
        <v>16.27</v>
      </c>
      <c r="U605" s="7">
        <v>45536</v>
      </c>
      <c r="V605" s="6">
        <v>13.88</v>
      </c>
      <c r="W605" s="6">
        <f ca="1">IFERROR(__xludf.DUMMYFUNCTION("IFERROR(GOOGLEFINANCE(B605,""pe""),V605)"),13.88)</f>
        <v>13.88</v>
      </c>
      <c r="X605" s="9"/>
      <c r="Y605" s="6">
        <v>1.1200000000000001</v>
      </c>
      <c r="Z605" s="6">
        <v>2</v>
      </c>
      <c r="AA605" s="8">
        <v>45352</v>
      </c>
      <c r="AB605" s="4">
        <v>0</v>
      </c>
      <c r="AC605" s="6">
        <v>-0.11</v>
      </c>
      <c r="AD605" s="6">
        <v>0.38</v>
      </c>
      <c r="AE605" s="1">
        <v>0</v>
      </c>
      <c r="AF605" s="1">
        <f ca="1">IFERROR(__xludf.DUMMYFUNCTION("IFERROR(GOOGLEFINANCE(TRIM(F605)&amp;"":"" &amp; TRIM(B605),""high52""),AE605)"),0)</f>
        <v>0</v>
      </c>
      <c r="AG605" s="1">
        <v>0</v>
      </c>
      <c r="AH605" s="1">
        <f ca="1">IFERROR(__xludf.DUMMYFUNCTION("IFERROR(GOOGLEFINANCE(TRIM(F605)&amp;"":"" &amp; TRIM(B605),""low52""),AE605)"),0)</f>
        <v>0</v>
      </c>
      <c r="AI605" s="1">
        <f ca="1">IFERROR(__xludf.DUMMYFUNCTION("IFERROR(GOOGLEFINANCE(B605,""eps""),0)"),0)</f>
        <v>0</v>
      </c>
      <c r="AJ605" s="1"/>
      <c r="AK605" s="1" t="s">
        <v>1892</v>
      </c>
      <c r="AL605" s="9">
        <f t="shared" si="129"/>
        <v>1</v>
      </c>
    </row>
    <row r="606" spans="1:38" ht="15" x14ac:dyDescent="0.25">
      <c r="A606" s="1" t="s">
        <v>1893</v>
      </c>
      <c r="B606" s="1" t="s">
        <v>1894</v>
      </c>
      <c r="C606" s="1" t="s">
        <v>151</v>
      </c>
      <c r="D606" s="1" t="s">
        <v>151</v>
      </c>
      <c r="E606" s="6">
        <v>2138.98</v>
      </c>
      <c r="F606" s="1" t="s">
        <v>40</v>
      </c>
      <c r="G606" s="6">
        <f ca="1">IFERROR(__xludf.DUMMYFUNCTION("iferror(GOOGLEFINANCE(TRIM(F606)&amp;"":"" &amp; TRIM(B606), ""price""),0
)"),814.5)</f>
        <v>814.5</v>
      </c>
      <c r="H606" s="6">
        <v>761.95</v>
      </c>
      <c r="I606" s="6">
        <f t="shared" ca="1" si="0"/>
        <v>814.5</v>
      </c>
      <c r="J606" s="6">
        <f ca="1">IFERROR(__xludf.DUMMYFUNCTION("IFERROR(GOOGLEFINANCE(B606, ""volume""), 0)"),96089)</f>
        <v>96089</v>
      </c>
      <c r="K606" s="6">
        <v>1.2</v>
      </c>
      <c r="L606" s="6">
        <f ca="1">IFERROR(__xludf.DUMMYFUNCTION("IFERROR(GOOGLEFINANCE(B606,""changepct""),K606)"),2.36)</f>
        <v>2.36</v>
      </c>
      <c r="M606" s="6">
        <f ca="1">IFERROR(__xludf.DUMMYFUNCTION("IFERROR(GOOGLEFINANCE(B606,""change""),0)"),18.75)</f>
        <v>18.75</v>
      </c>
      <c r="N606" s="6">
        <v>2</v>
      </c>
      <c r="O606" s="7">
        <v>45536</v>
      </c>
      <c r="P606" s="6">
        <v>255.8</v>
      </c>
      <c r="Q606" s="6">
        <v>2292</v>
      </c>
      <c r="R606" s="7">
        <v>45536</v>
      </c>
      <c r="S606" s="6">
        <v>786.76</v>
      </c>
      <c r="T606" s="6">
        <v>64.069999999999993</v>
      </c>
      <c r="U606" s="7">
        <v>45536</v>
      </c>
      <c r="V606" s="6">
        <v>33.67</v>
      </c>
      <c r="W606" s="6">
        <f ca="1">IFERROR(__xludf.DUMMYFUNCTION("IFERROR(GOOGLEFINANCE(B606,""pe""),V606)"),28.59)</f>
        <v>28.59</v>
      </c>
      <c r="X606" s="6">
        <v>1.23</v>
      </c>
      <c r="Y606" s="6">
        <v>4.32</v>
      </c>
      <c r="Z606" s="6">
        <v>2</v>
      </c>
      <c r="AA606" s="8">
        <v>45352</v>
      </c>
      <c r="AB606" s="4">
        <v>0.85</v>
      </c>
      <c r="AC606" s="6">
        <v>17.87</v>
      </c>
      <c r="AD606" s="6">
        <v>17.63</v>
      </c>
      <c r="AE606" s="1">
        <v>0</v>
      </c>
      <c r="AF606" s="1">
        <f ca="1">IFERROR(__xludf.DUMMYFUNCTION("IFERROR(GOOGLEFINANCE(TRIM(F606)&amp;"":"" &amp; TRIM(B606),""high52""),AE606)"),1071.9)</f>
        <v>1071.9000000000001</v>
      </c>
      <c r="AG606" s="1">
        <v>0</v>
      </c>
      <c r="AH606" s="1">
        <f ca="1">IFERROR(__xludf.DUMMYFUNCTION("IFERROR(GOOGLEFINANCE(TRIM(F606)&amp;"":"" &amp; TRIM(B606),""low52""),AE606)"),482.3)</f>
        <v>482.3</v>
      </c>
      <c r="AI606" s="1">
        <f ca="1">IFERROR(__xludf.DUMMYFUNCTION("IFERROR(GOOGLEFINANCE(B606,""eps""),0)"),28.49)</f>
        <v>28.49</v>
      </c>
      <c r="AJ606" s="1"/>
      <c r="AK606" s="1" t="s">
        <v>1895</v>
      </c>
      <c r="AL606" s="9">
        <f t="shared" si="129"/>
        <v>1</v>
      </c>
    </row>
    <row r="607" spans="1:38" ht="15" x14ac:dyDescent="0.25">
      <c r="A607" s="1" t="s">
        <v>1896</v>
      </c>
      <c r="B607" s="1" t="s">
        <v>1897</v>
      </c>
      <c r="C607" s="1" t="s">
        <v>135</v>
      </c>
      <c r="D607" s="1" t="s">
        <v>135</v>
      </c>
      <c r="E607" s="6">
        <v>348.72</v>
      </c>
      <c r="F607" s="1" t="s">
        <v>53</v>
      </c>
      <c r="G607" s="6">
        <f ca="1">IFERROR(__xludf.DUMMYFUNCTION("iferror(GOOGLEFINANCE(TRIM(F607)&amp;"":"" &amp; TRIM(B607), ""price""),0
)"),0)</f>
        <v>0</v>
      </c>
      <c r="H607" s="6">
        <v>3469.85</v>
      </c>
      <c r="I607" s="6">
        <f t="shared" ca="1" si="0"/>
        <v>3469.85</v>
      </c>
      <c r="J607" s="6">
        <f ca="1">IFERROR(__xludf.DUMMYFUNCTION("IFERROR(GOOGLEFINANCE(B607, ""volume""), 0)"),0)</f>
        <v>0</v>
      </c>
      <c r="K607" s="6">
        <v>-0.5</v>
      </c>
      <c r="L607" s="6">
        <f ca="1">IFERROR(__xludf.DUMMYFUNCTION("IFERROR(GOOGLEFINANCE(B607,""changepct""),K607)"),-0.5)</f>
        <v>-0.5</v>
      </c>
      <c r="M607" s="6">
        <f ca="1">IFERROR(__xludf.DUMMYFUNCTION("IFERROR(GOOGLEFINANCE(B607,""change""),0)"),0)</f>
        <v>0</v>
      </c>
      <c r="N607" s="6">
        <v>1</v>
      </c>
      <c r="O607" s="7">
        <v>45536</v>
      </c>
      <c r="P607" s="6">
        <v>30.89</v>
      </c>
      <c r="Q607" s="6">
        <v>343.87</v>
      </c>
      <c r="R607" s="7">
        <v>45536</v>
      </c>
      <c r="S607" s="6">
        <v>447.31</v>
      </c>
      <c r="T607" s="6">
        <v>22.89</v>
      </c>
      <c r="U607" s="7">
        <v>45536</v>
      </c>
      <c r="V607" s="6">
        <v>15.23</v>
      </c>
      <c r="W607" s="6">
        <f ca="1">IFERROR(__xludf.DUMMYFUNCTION("IFERROR(GOOGLEFINANCE(B607,""pe""),V607)"),15.23)</f>
        <v>15.23</v>
      </c>
      <c r="X607" s="6">
        <v>0.57999999999999996</v>
      </c>
      <c r="Y607" s="6">
        <v>3.13</v>
      </c>
      <c r="Z607" s="6">
        <v>1</v>
      </c>
      <c r="AA607" s="17">
        <v>45352</v>
      </c>
      <c r="AB607" s="18">
        <v>0.24</v>
      </c>
      <c r="AC607" s="6">
        <v>21.48</v>
      </c>
      <c r="AD607" s="6">
        <v>25.93</v>
      </c>
      <c r="AE607" s="1">
        <v>0</v>
      </c>
      <c r="AF607" s="1">
        <f ca="1">IFERROR(__xludf.DUMMYFUNCTION("IFERROR(GOOGLEFINANCE(TRIM(F607)&amp;"":"" &amp; TRIM(B607),""high52""),AE607)"),0)</f>
        <v>0</v>
      </c>
      <c r="AG607" s="1">
        <v>0</v>
      </c>
      <c r="AH607" s="1">
        <f ca="1">IFERROR(__xludf.DUMMYFUNCTION("IFERROR(GOOGLEFINANCE(TRIM(F607)&amp;"":"" &amp; TRIM(B607),""low52""),AE607)"),0)</f>
        <v>0</v>
      </c>
      <c r="AI607" s="1">
        <f ca="1">IFERROR(__xludf.DUMMYFUNCTION("IFERROR(GOOGLEFINANCE(B607,""eps""),0)"),0)</f>
        <v>0</v>
      </c>
      <c r="AJ607" s="1"/>
      <c r="AK607" s="1" t="s">
        <v>1898</v>
      </c>
      <c r="AL607" s="9">
        <f t="shared" si="129"/>
        <v>1</v>
      </c>
    </row>
    <row r="608" spans="1:38" ht="15" x14ac:dyDescent="0.25">
      <c r="A608" s="1" t="s">
        <v>1899</v>
      </c>
      <c r="B608" s="1" t="s">
        <v>1900</v>
      </c>
      <c r="C608" s="1" t="s">
        <v>135</v>
      </c>
      <c r="D608" s="1" t="s">
        <v>135</v>
      </c>
      <c r="E608" s="6">
        <v>99.22</v>
      </c>
      <c r="F608" s="1" t="s">
        <v>53</v>
      </c>
      <c r="G608" s="6">
        <f ca="1">IFERROR(__xludf.DUMMYFUNCTION("iferror(GOOGLEFINANCE(TRIM(F608)&amp;"":"" &amp; TRIM(B608), ""price""),0
)"),0)</f>
        <v>0</v>
      </c>
      <c r="H608" s="6">
        <v>96.11</v>
      </c>
      <c r="I608" s="6">
        <f t="shared" ca="1" si="0"/>
        <v>96.11</v>
      </c>
      <c r="J608" s="6">
        <f ca="1">IFERROR(__xludf.DUMMYFUNCTION("IFERROR(GOOGLEFINANCE(B608, ""volume""), 0)"),0)</f>
        <v>0</v>
      </c>
      <c r="K608" s="6">
        <v>4.22</v>
      </c>
      <c r="L608" s="6">
        <f ca="1">IFERROR(__xludf.DUMMYFUNCTION("IFERROR(GOOGLEFINANCE(B608,""changepct""),K608)"),4.22)</f>
        <v>4.22</v>
      </c>
      <c r="M608" s="6">
        <f ca="1">IFERROR(__xludf.DUMMYFUNCTION("IFERROR(GOOGLEFINANCE(B608,""change""),0)"),0)</f>
        <v>0</v>
      </c>
      <c r="N608" s="6">
        <v>2</v>
      </c>
      <c r="O608" s="7">
        <v>45536</v>
      </c>
      <c r="P608" s="6">
        <v>8.3800000000000008</v>
      </c>
      <c r="Q608" s="6">
        <v>107.6</v>
      </c>
      <c r="R608" s="7">
        <v>45536</v>
      </c>
      <c r="S608" s="6">
        <v>13.3</v>
      </c>
      <c r="T608" s="6">
        <v>0.59</v>
      </c>
      <c r="U608" s="7">
        <v>45536</v>
      </c>
      <c r="V608" s="6">
        <v>169.03</v>
      </c>
      <c r="W608" s="6">
        <f ca="1">IFERROR(__xludf.DUMMYFUNCTION("IFERROR(GOOGLEFINANCE(B608,""pe""),V608)"),169.03)</f>
        <v>169.03</v>
      </c>
      <c r="X608" s="6">
        <v>11.8</v>
      </c>
      <c r="Y608" s="6">
        <v>5.59</v>
      </c>
      <c r="Z608" s="6">
        <v>2</v>
      </c>
      <c r="AA608" s="8">
        <v>45352</v>
      </c>
      <c r="AB608" s="4">
        <v>0.39</v>
      </c>
      <c r="AC608" s="6">
        <v>3.04</v>
      </c>
      <c r="AD608" s="6">
        <v>5.01</v>
      </c>
      <c r="AE608" s="1">
        <v>0</v>
      </c>
      <c r="AF608" s="1">
        <f ca="1">IFERROR(__xludf.DUMMYFUNCTION("IFERROR(GOOGLEFINANCE(TRIM(F608)&amp;"":"" &amp; TRIM(B608),""high52""),AE608)"),0)</f>
        <v>0</v>
      </c>
      <c r="AG608" s="1">
        <v>0</v>
      </c>
      <c r="AH608" s="1">
        <f ca="1">IFERROR(__xludf.DUMMYFUNCTION("IFERROR(GOOGLEFINANCE(TRIM(F608)&amp;"":"" &amp; TRIM(B608),""low52""),AE608)"),0)</f>
        <v>0</v>
      </c>
      <c r="AI608" s="1">
        <f ca="1">IFERROR(__xludf.DUMMYFUNCTION("IFERROR(GOOGLEFINANCE(B608,""eps""),0)"),0)</f>
        <v>0</v>
      </c>
      <c r="AJ608" s="1"/>
      <c r="AK608" s="1" t="s">
        <v>1901</v>
      </c>
      <c r="AL608" s="9">
        <f t="shared" si="129"/>
        <v>1</v>
      </c>
    </row>
    <row r="609" spans="1:38" ht="15" x14ac:dyDescent="0.25">
      <c r="A609" s="1" t="s">
        <v>1902</v>
      </c>
      <c r="B609" s="1" t="s">
        <v>1903</v>
      </c>
      <c r="C609" s="1" t="s">
        <v>135</v>
      </c>
      <c r="D609" s="1" t="s">
        <v>135</v>
      </c>
      <c r="E609" s="6">
        <v>278.02999999999997</v>
      </c>
      <c r="F609" s="1" t="s">
        <v>53</v>
      </c>
      <c r="G609" s="6">
        <f ca="1">IFERROR(__xludf.DUMMYFUNCTION("iferror(GOOGLEFINANCE(TRIM(F609)&amp;"":"" &amp; TRIM(B609), ""price""),0
)"),0)</f>
        <v>0</v>
      </c>
      <c r="H609" s="6">
        <v>29.45</v>
      </c>
      <c r="I609" s="6">
        <f t="shared" ca="1" si="0"/>
        <v>29.45</v>
      </c>
      <c r="J609" s="6">
        <f ca="1">IFERROR(__xludf.DUMMYFUNCTION("IFERROR(GOOGLEFINANCE(B609, ""volume""), 0)"),0)</f>
        <v>0</v>
      </c>
      <c r="K609" s="6">
        <v>2.4</v>
      </c>
      <c r="L609" s="6">
        <f ca="1">IFERROR(__xludf.DUMMYFUNCTION("IFERROR(GOOGLEFINANCE(B609,""changepct""),K609)"),2.4)</f>
        <v>2.4</v>
      </c>
      <c r="M609" s="6">
        <f ca="1">IFERROR(__xludf.DUMMYFUNCTION("IFERROR(GOOGLEFINANCE(B609,""change""),0)"),0)</f>
        <v>0</v>
      </c>
      <c r="N609" s="6">
        <v>1</v>
      </c>
      <c r="O609" s="7">
        <v>45536</v>
      </c>
      <c r="P609" s="6">
        <v>65.900000000000006</v>
      </c>
      <c r="Q609" s="6">
        <v>328.64</v>
      </c>
      <c r="R609" s="7">
        <v>45536</v>
      </c>
      <c r="S609" s="6">
        <v>179.89</v>
      </c>
      <c r="T609" s="6">
        <v>9.56</v>
      </c>
      <c r="U609" s="7">
        <v>45536</v>
      </c>
      <c r="V609" s="6">
        <v>29.08</v>
      </c>
      <c r="W609" s="6">
        <f ca="1">IFERROR(__xludf.DUMMYFUNCTION("IFERROR(GOOGLEFINANCE(B609,""pe""),V609)"),29.08)</f>
        <v>29.08</v>
      </c>
      <c r="X609" s="6">
        <v>0.4</v>
      </c>
      <c r="Y609" s="6">
        <v>2.1</v>
      </c>
      <c r="Z609" s="6">
        <v>1</v>
      </c>
      <c r="AA609" s="8">
        <v>45352</v>
      </c>
      <c r="AB609" s="4">
        <v>0.5</v>
      </c>
      <c r="AC609" s="6">
        <v>4.08</v>
      </c>
      <c r="AD609" s="6">
        <v>3.55</v>
      </c>
      <c r="AE609" s="1">
        <v>0</v>
      </c>
      <c r="AF609" s="1">
        <f ca="1">IFERROR(__xludf.DUMMYFUNCTION("IFERROR(GOOGLEFINANCE(TRIM(F609)&amp;"":"" &amp; TRIM(B609),""high52""),AE609)"),0)</f>
        <v>0</v>
      </c>
      <c r="AG609" s="1">
        <v>0</v>
      </c>
      <c r="AH609" s="1">
        <f ca="1">IFERROR(__xludf.DUMMYFUNCTION("IFERROR(GOOGLEFINANCE(TRIM(F609)&amp;"":"" &amp; TRIM(B609),""low52""),AE609)"),0)</f>
        <v>0</v>
      </c>
      <c r="AI609" s="1">
        <f ca="1">IFERROR(__xludf.DUMMYFUNCTION("IFERROR(GOOGLEFINANCE(B609,""eps""),0)"),0)</f>
        <v>0</v>
      </c>
      <c r="AJ609" s="1"/>
      <c r="AK609" s="1" t="s">
        <v>1904</v>
      </c>
      <c r="AL609" s="9">
        <f t="shared" si="129"/>
        <v>1</v>
      </c>
    </row>
    <row r="610" spans="1:38" ht="15" x14ac:dyDescent="0.25">
      <c r="A610" s="1" t="s">
        <v>1905</v>
      </c>
      <c r="B610" s="1" t="s">
        <v>1906</v>
      </c>
      <c r="C610" s="1" t="s">
        <v>843</v>
      </c>
      <c r="D610" s="1" t="s">
        <v>843</v>
      </c>
      <c r="E610" s="6">
        <v>20094.02</v>
      </c>
      <c r="F610" s="1" t="s">
        <v>40</v>
      </c>
      <c r="G610" s="6">
        <f ca="1">IFERROR(__xludf.DUMMYFUNCTION("iferror(GOOGLEFINANCE(TRIM(F610)&amp;"":"" &amp; TRIM(B610), ""price""),0
)"),184.5)</f>
        <v>184.5</v>
      </c>
      <c r="H610" s="6">
        <v>204.9</v>
      </c>
      <c r="I610" s="6">
        <f t="shared" ca="1" si="0"/>
        <v>184.5</v>
      </c>
      <c r="J610" s="6">
        <f ca="1">IFERROR(__xludf.DUMMYFUNCTION("IFERROR(GOOGLEFINANCE(B610, ""volume""), 0)"),1553763)</f>
        <v>1553763</v>
      </c>
      <c r="K610" s="6">
        <v>0.81</v>
      </c>
      <c r="L610" s="6">
        <f ca="1">IFERROR(__xludf.DUMMYFUNCTION("IFERROR(GOOGLEFINANCE(B610,""changepct""),K610)"),0.92)</f>
        <v>0.92</v>
      </c>
      <c r="M610" s="6">
        <f ca="1">IFERROR(__xludf.DUMMYFUNCTION("IFERROR(GOOGLEFINANCE(B610,""change""),0)"),1.69)</f>
        <v>1.69</v>
      </c>
      <c r="N610" s="6">
        <v>1</v>
      </c>
      <c r="O610" s="7">
        <v>45444</v>
      </c>
      <c r="P610" s="9"/>
      <c r="Q610" s="6">
        <v>18830.88</v>
      </c>
      <c r="R610" s="7">
        <v>45536</v>
      </c>
      <c r="S610" s="6">
        <v>5275</v>
      </c>
      <c r="T610" s="6">
        <v>897.78</v>
      </c>
      <c r="U610" s="7">
        <v>45536</v>
      </c>
      <c r="V610" s="6">
        <v>22.38</v>
      </c>
      <c r="W610" s="6">
        <f ca="1">IFERROR(__xludf.DUMMYFUNCTION("IFERROR(GOOGLEFINANCE(B610,""pe""),V610)"),18.68)</f>
        <v>18.68</v>
      </c>
      <c r="X610" s="6">
        <v>5.51</v>
      </c>
      <c r="Y610" s="6">
        <v>8.58</v>
      </c>
      <c r="Z610" s="6">
        <v>1</v>
      </c>
      <c r="AA610" s="8">
        <v>45261</v>
      </c>
      <c r="AB610" s="4">
        <v>0</v>
      </c>
      <c r="AC610" s="6">
        <v>44.69</v>
      </c>
      <c r="AD610" s="6">
        <v>59.32</v>
      </c>
      <c r="AE610" s="1">
        <v>0</v>
      </c>
      <c r="AF610" s="1">
        <f ca="1">IFERROR(__xludf.DUMMYFUNCTION("IFERROR(GOOGLEFINANCE(TRIM(F610)&amp;"":"" &amp; TRIM(B610),""high52""),AE610)"),251.95)</f>
        <v>251.95</v>
      </c>
      <c r="AG610" s="1">
        <v>0</v>
      </c>
      <c r="AH610" s="1">
        <f ca="1">IFERROR(__xludf.DUMMYFUNCTION("IFERROR(GOOGLEFINANCE(TRIM(F610)&amp;"":"" &amp; TRIM(B610),""low52""),AE610)"),172.73)</f>
        <v>172.73</v>
      </c>
      <c r="AI610" s="1">
        <f ca="1">IFERROR(__xludf.DUMMYFUNCTION("IFERROR(GOOGLEFINANCE(B610,""eps""),0)"),9.87)</f>
        <v>9.8699999999999992</v>
      </c>
      <c r="AJ610" s="1"/>
      <c r="AK610" s="1" t="s">
        <v>1907</v>
      </c>
      <c r="AL610" s="9">
        <f t="shared" si="129"/>
        <v>1</v>
      </c>
    </row>
    <row r="611" spans="1:38" ht="15" x14ac:dyDescent="0.25">
      <c r="A611" s="1" t="s">
        <v>1908</v>
      </c>
      <c r="B611" s="1" t="s">
        <v>1909</v>
      </c>
      <c r="C611" s="1" t="s">
        <v>135</v>
      </c>
      <c r="D611" s="1" t="s">
        <v>135</v>
      </c>
      <c r="E611" s="6">
        <v>15.68</v>
      </c>
      <c r="F611" s="1" t="s">
        <v>53</v>
      </c>
      <c r="G611" s="6">
        <f ca="1">IFERROR(__xludf.DUMMYFUNCTION("iferror(GOOGLEFINANCE(TRIM(F611)&amp;"":"" &amp; TRIM(B611), ""price""),0
)"),0)</f>
        <v>0</v>
      </c>
      <c r="H611" s="6">
        <v>24.2</v>
      </c>
      <c r="I611" s="6">
        <f t="shared" ca="1" si="0"/>
        <v>24.2</v>
      </c>
      <c r="J611" s="6">
        <f ca="1">IFERROR(__xludf.DUMMYFUNCTION("IFERROR(GOOGLEFINANCE(B611, ""volume""), 0)"),0)</f>
        <v>0</v>
      </c>
      <c r="K611" s="6">
        <v>0.41</v>
      </c>
      <c r="L611" s="6">
        <f ca="1">IFERROR(__xludf.DUMMYFUNCTION("IFERROR(GOOGLEFINANCE(B611,""changepct""),K611)"),0.41)</f>
        <v>0.41</v>
      </c>
      <c r="M611" s="6">
        <f ca="1">IFERROR(__xludf.DUMMYFUNCTION("IFERROR(GOOGLEFINANCE(B611,""change""),0)"),0)</f>
        <v>0</v>
      </c>
      <c r="N611" s="6">
        <v>1</v>
      </c>
      <c r="O611" s="7">
        <v>45536</v>
      </c>
      <c r="P611" s="6">
        <v>5.01</v>
      </c>
      <c r="Q611" s="6">
        <v>20.69</v>
      </c>
      <c r="R611" s="7">
        <v>45536</v>
      </c>
      <c r="S611" s="6">
        <v>10.38</v>
      </c>
      <c r="T611" s="6">
        <v>-7.0000000000000007E-2</v>
      </c>
      <c r="U611" s="7">
        <v>45536</v>
      </c>
      <c r="V611" s="6">
        <v>0</v>
      </c>
      <c r="W611" s="6">
        <f ca="1">IFERROR(__xludf.DUMMYFUNCTION("IFERROR(GOOGLEFINANCE(B611,""pe""),V611)"),0)</f>
        <v>0</v>
      </c>
      <c r="X611" s="9"/>
      <c r="Y611" s="6">
        <v>8.52</v>
      </c>
      <c r="Z611" s="6">
        <v>1</v>
      </c>
      <c r="AA611" s="8">
        <v>45352</v>
      </c>
      <c r="AB611" s="4">
        <v>2.89</v>
      </c>
      <c r="AC611" s="6">
        <v>-25.17</v>
      </c>
      <c r="AD611" s="6">
        <v>-6.11</v>
      </c>
      <c r="AE611" s="1">
        <v>0</v>
      </c>
      <c r="AF611" s="1">
        <f ca="1">IFERROR(__xludf.DUMMYFUNCTION("IFERROR(GOOGLEFINANCE(TRIM(F611)&amp;"":"" &amp; TRIM(B611),""high52""),AE611)"),0)</f>
        <v>0</v>
      </c>
      <c r="AG611" s="1">
        <v>0</v>
      </c>
      <c r="AH611" s="1">
        <f ca="1">IFERROR(__xludf.DUMMYFUNCTION("IFERROR(GOOGLEFINANCE(TRIM(F611)&amp;"":"" &amp; TRIM(B611),""low52""),AE611)"),0)</f>
        <v>0</v>
      </c>
      <c r="AI611" s="1">
        <f ca="1">IFERROR(__xludf.DUMMYFUNCTION("IFERROR(GOOGLEFINANCE(B611,""eps""),0)"),0)</f>
        <v>0</v>
      </c>
      <c r="AJ611" s="1"/>
      <c r="AK611" s="1" t="s">
        <v>1910</v>
      </c>
      <c r="AL611" s="9">
        <f t="shared" si="129"/>
        <v>1</v>
      </c>
    </row>
    <row r="612" spans="1:38" ht="15" x14ac:dyDescent="0.25">
      <c r="A612" s="1" t="s">
        <v>1911</v>
      </c>
      <c r="B612" s="1" t="s">
        <v>1912</v>
      </c>
      <c r="C612" s="1" t="s">
        <v>1913</v>
      </c>
      <c r="D612" s="1" t="s">
        <v>1913</v>
      </c>
      <c r="E612" s="6">
        <v>9768.94</v>
      </c>
      <c r="F612" s="1" t="s">
        <v>40</v>
      </c>
      <c r="G612" s="6">
        <f ca="1">IFERROR(__xludf.DUMMYFUNCTION("iferror(GOOGLEFINANCE(TRIM(F612)&amp;"":"" &amp; TRIM(B612), ""price""),0
)"),964)</f>
        <v>964</v>
      </c>
      <c r="H612" s="6">
        <v>729.35</v>
      </c>
      <c r="I612" s="6">
        <f t="shared" ca="1" si="0"/>
        <v>964</v>
      </c>
      <c r="J612" s="6">
        <f ca="1">IFERROR(__xludf.DUMMYFUNCTION("IFERROR(GOOGLEFINANCE(B612, ""volume""), 0)"),4128)</f>
        <v>4128</v>
      </c>
      <c r="K612" s="6">
        <v>-0.17</v>
      </c>
      <c r="L612" s="6">
        <f ca="1">IFERROR(__xludf.DUMMYFUNCTION("IFERROR(GOOGLEFINANCE(B612,""changepct""),K612)"),-3.63)</f>
        <v>-3.63</v>
      </c>
      <c r="M612" s="6">
        <f ca="1">IFERROR(__xludf.DUMMYFUNCTION("IFERROR(GOOGLEFINANCE(B612,""change""),0)"),-1.13)</f>
        <v>-1.1299999999999999</v>
      </c>
      <c r="N612" s="6">
        <v>2</v>
      </c>
      <c r="O612" s="7">
        <v>45536</v>
      </c>
      <c r="P612" s="6">
        <v>1973.68</v>
      </c>
      <c r="Q612" s="6">
        <v>11596.46</v>
      </c>
      <c r="R612" s="7">
        <v>45536</v>
      </c>
      <c r="S612" s="6">
        <v>2902.69</v>
      </c>
      <c r="T612" s="6">
        <v>273.93</v>
      </c>
      <c r="U612" s="7">
        <v>45536</v>
      </c>
      <c r="V612" s="6">
        <v>35.659999999999997</v>
      </c>
      <c r="W612" s="6">
        <f ca="1">IFERROR(__xludf.DUMMYFUNCTION("IFERROR(GOOGLEFINANCE(B612,""pe""),V612)"),14.87)</f>
        <v>14.87</v>
      </c>
      <c r="X612" s="6">
        <v>3.55</v>
      </c>
      <c r="Y612" s="6">
        <v>5.4</v>
      </c>
      <c r="Z612" s="6">
        <v>2</v>
      </c>
      <c r="AA612" s="8">
        <v>45352</v>
      </c>
      <c r="AB612" s="4">
        <v>0.98</v>
      </c>
      <c r="AC612" s="6">
        <v>15.91</v>
      </c>
      <c r="AD612" s="6">
        <v>12.4</v>
      </c>
      <c r="AE612" s="1">
        <v>0</v>
      </c>
      <c r="AF612" s="1">
        <f ca="1">IFERROR(__xludf.DUMMYFUNCTION("IFERROR(GOOGLEFINANCE(TRIM(F612)&amp;"":"" &amp; TRIM(B612),""high52""),AE612)"),1074.4)</f>
        <v>1074.4000000000001</v>
      </c>
      <c r="AG612" s="1">
        <v>0</v>
      </c>
      <c r="AH612" s="1">
        <f ca="1">IFERROR(__xludf.DUMMYFUNCTION("IFERROR(GOOGLEFINANCE(TRIM(F612)&amp;"":"" &amp; TRIM(B612),""low52""),AE612)"),525)</f>
        <v>525</v>
      </c>
      <c r="AI612" s="1">
        <f ca="1">IFERROR(__xludf.DUMMYFUNCTION("IFERROR(GOOGLEFINANCE(B612,""eps""),0)"),2.02)</f>
        <v>2.02</v>
      </c>
      <c r="AJ612" s="1"/>
      <c r="AK612" s="1" t="s">
        <v>1914</v>
      </c>
      <c r="AL612" s="9">
        <f t="shared" si="129"/>
        <v>1</v>
      </c>
    </row>
    <row r="613" spans="1:38" ht="15" x14ac:dyDescent="0.25">
      <c r="A613" s="1" t="s">
        <v>1915</v>
      </c>
      <c r="B613" s="1" t="s">
        <v>1916</v>
      </c>
      <c r="C613" s="1" t="s">
        <v>57</v>
      </c>
      <c r="D613" s="1" t="s">
        <v>57</v>
      </c>
      <c r="E613" s="6">
        <v>8908.84</v>
      </c>
      <c r="F613" s="1" t="s">
        <v>40</v>
      </c>
      <c r="G613" s="6">
        <f ca="1">IFERROR(__xludf.DUMMYFUNCTION("iferror(GOOGLEFINANCE(TRIM(F613)&amp;"":"" &amp; TRIM(B613), ""price""),0
)"),1244.2)</f>
        <v>1244.2</v>
      </c>
      <c r="H613" s="6">
        <v>1636.75</v>
      </c>
      <c r="I613" s="6">
        <f t="shared" ca="1" si="0"/>
        <v>1244.2</v>
      </c>
      <c r="J613" s="6">
        <f ca="1">IFERROR(__xludf.DUMMYFUNCTION("IFERROR(GOOGLEFINANCE(B613, ""volume""), 0)"),173876)</f>
        <v>173876</v>
      </c>
      <c r="K613" s="6">
        <v>-0.2</v>
      </c>
      <c r="L613" s="6">
        <f ca="1">IFERROR(__xludf.DUMMYFUNCTION("IFERROR(GOOGLEFINANCE(B613,""changepct""),K613)"),-2.5)</f>
        <v>-2.5</v>
      </c>
      <c r="M613" s="6">
        <f ca="1">IFERROR(__xludf.DUMMYFUNCTION("IFERROR(GOOGLEFINANCE(B613,""change""),0)"),-31.9)</f>
        <v>-31.9</v>
      </c>
      <c r="N613" s="6">
        <v>2</v>
      </c>
      <c r="O613" s="7">
        <v>45536</v>
      </c>
      <c r="P613" s="6">
        <v>29.92</v>
      </c>
      <c r="Q613" s="6">
        <v>8844.82</v>
      </c>
      <c r="R613" s="7">
        <v>45536</v>
      </c>
      <c r="S613" s="6">
        <v>404.08</v>
      </c>
      <c r="T613" s="6">
        <v>137.35</v>
      </c>
      <c r="U613" s="7">
        <v>45536</v>
      </c>
      <c r="V613" s="6">
        <v>66.069999999999993</v>
      </c>
      <c r="W613" s="6">
        <f ca="1">IFERROR(__xludf.DUMMYFUNCTION("IFERROR(GOOGLEFINANCE(B613,""pe""),V613)"),47.11)</f>
        <v>47.11</v>
      </c>
      <c r="X613" s="9"/>
      <c r="Y613" s="6">
        <v>12.25</v>
      </c>
      <c r="Z613" s="6">
        <v>2</v>
      </c>
      <c r="AA613" s="17">
        <v>45352</v>
      </c>
      <c r="AB613" s="18">
        <v>0.03</v>
      </c>
      <c r="AC613" s="6">
        <v>23</v>
      </c>
      <c r="AD613" s="6">
        <v>28.78</v>
      </c>
      <c r="AE613" s="1">
        <v>0</v>
      </c>
      <c r="AF613" s="1">
        <f ca="1">IFERROR(__xludf.DUMMYFUNCTION("IFERROR(GOOGLEFINANCE(TRIM(F613)&amp;"":"" &amp; TRIM(B613),""high52""),AE613)"),2166.7)</f>
        <v>2166.6999999999998</v>
      </c>
      <c r="AG613" s="1">
        <v>0</v>
      </c>
      <c r="AH613" s="1">
        <f ca="1">IFERROR(__xludf.DUMMYFUNCTION("IFERROR(GOOGLEFINANCE(TRIM(F613)&amp;"":"" &amp; TRIM(B613),""low52""),AE613)"),1229.6)</f>
        <v>1229.5999999999999</v>
      </c>
      <c r="AI613" s="1">
        <f ca="1">IFERROR(__xludf.DUMMYFUNCTION("IFERROR(GOOGLEFINANCE(B613,""eps""),0)"),26.41)</f>
        <v>26.41</v>
      </c>
      <c r="AJ613" s="1"/>
      <c r="AK613" s="1" t="s">
        <v>1917</v>
      </c>
      <c r="AL613" s="9">
        <f t="shared" si="129"/>
        <v>1</v>
      </c>
    </row>
    <row r="614" spans="1:38" ht="15" x14ac:dyDescent="0.25">
      <c r="A614" s="1" t="s">
        <v>1918</v>
      </c>
      <c r="B614" s="1" t="s">
        <v>1919</v>
      </c>
      <c r="C614" s="1" t="s">
        <v>828</v>
      </c>
      <c r="D614" s="1" t="s">
        <v>828</v>
      </c>
      <c r="E614" s="6">
        <v>12881.53</v>
      </c>
      <c r="F614" s="1" t="s">
        <v>40</v>
      </c>
      <c r="G614" s="6">
        <f ca="1">IFERROR(__xludf.DUMMYFUNCTION("iferror(GOOGLEFINANCE(TRIM(F614)&amp;"":"" &amp; TRIM(B614), ""price""),0
)"),3737.4)</f>
        <v>3737.4</v>
      </c>
      <c r="H614" s="6">
        <v>3161.65</v>
      </c>
      <c r="I614" s="6">
        <f t="shared" ca="1" si="0"/>
        <v>3737.4</v>
      </c>
      <c r="J614" s="6">
        <f ca="1">IFERROR(__xludf.DUMMYFUNCTION("IFERROR(GOOGLEFINANCE(B614, ""volume""), 0)"),61431)</f>
        <v>61431</v>
      </c>
      <c r="K614" s="6">
        <v>-0.77</v>
      </c>
      <c r="L614" s="6">
        <f ca="1">IFERROR(__xludf.DUMMYFUNCTION("IFERROR(GOOGLEFINANCE(B614,""changepct""),K614)"),0.29)</f>
        <v>0.28999999999999998</v>
      </c>
      <c r="M614" s="6">
        <f ca="1">IFERROR(__xludf.DUMMYFUNCTION("IFERROR(GOOGLEFINANCE(B614,""change""),0)"),10.9)</f>
        <v>10.9</v>
      </c>
      <c r="N614" s="6">
        <v>2</v>
      </c>
      <c r="O614" s="7">
        <v>45536</v>
      </c>
      <c r="P614" s="6">
        <v>1884.93</v>
      </c>
      <c r="Q614" s="6">
        <v>14721.03</v>
      </c>
      <c r="R614" s="7">
        <v>45536</v>
      </c>
      <c r="S614" s="6">
        <v>12452.34</v>
      </c>
      <c r="T614" s="6">
        <v>530.70000000000005</v>
      </c>
      <c r="U614" s="7">
        <v>45536</v>
      </c>
      <c r="V614" s="6">
        <v>22.76</v>
      </c>
      <c r="W614" s="6">
        <f ca="1">IFERROR(__xludf.DUMMYFUNCTION("IFERROR(GOOGLEFINANCE(B614,""pe""),V614)"),27.29)</f>
        <v>27.29</v>
      </c>
      <c r="X614" s="6">
        <v>1.17</v>
      </c>
      <c r="Y614" s="6">
        <v>3.07</v>
      </c>
      <c r="Z614" s="6">
        <v>2</v>
      </c>
      <c r="AA614" s="8">
        <v>45352</v>
      </c>
      <c r="AB614" s="4">
        <v>0.4</v>
      </c>
      <c r="AC614" s="6">
        <v>16.98</v>
      </c>
      <c r="AD614" s="6">
        <v>20.100000000000001</v>
      </c>
      <c r="AE614" s="1">
        <v>0</v>
      </c>
      <c r="AF614" s="1">
        <f ca="1">IFERROR(__xludf.DUMMYFUNCTION("IFERROR(GOOGLEFINANCE(TRIM(F614)&amp;"":"" &amp; TRIM(B614),""high52""),AE614)"),4438)</f>
        <v>4438</v>
      </c>
      <c r="AG614" s="1">
        <v>0</v>
      </c>
      <c r="AH614" s="1">
        <f ca="1">IFERROR(__xludf.DUMMYFUNCTION("IFERROR(GOOGLEFINANCE(TRIM(F614)&amp;"":"" &amp; TRIM(B614),""low52""),AE614)"),2343.05)</f>
        <v>2343.0500000000002</v>
      </c>
      <c r="AI614" s="1">
        <f ca="1">IFERROR(__xludf.DUMMYFUNCTION("IFERROR(GOOGLEFINANCE(B614,""eps""),0)"),136.97)</f>
        <v>136.97</v>
      </c>
      <c r="AJ614" s="1"/>
      <c r="AK614" s="1" t="s">
        <v>1920</v>
      </c>
      <c r="AL614" s="9">
        <f t="shared" si="129"/>
        <v>1</v>
      </c>
    </row>
    <row r="615" spans="1:38" ht="15" x14ac:dyDescent="0.25">
      <c r="A615" s="1" t="s">
        <v>1921</v>
      </c>
      <c r="B615" s="1" t="s">
        <v>1922</v>
      </c>
      <c r="C615" s="1" t="s">
        <v>135</v>
      </c>
      <c r="D615" s="1" t="s">
        <v>135</v>
      </c>
      <c r="E615" s="6">
        <v>61.19</v>
      </c>
      <c r="F615" s="1" t="s">
        <v>53</v>
      </c>
      <c r="G615" s="6">
        <f ca="1">IFERROR(__xludf.DUMMYFUNCTION("iferror(GOOGLEFINANCE(TRIM(F615)&amp;"":"" &amp; TRIM(B615), ""price""),0
)"),0)</f>
        <v>0</v>
      </c>
      <c r="H615" s="6">
        <v>48.27</v>
      </c>
      <c r="I615" s="6">
        <f t="shared" ca="1" si="0"/>
        <v>48.27</v>
      </c>
      <c r="J615" s="6">
        <f ca="1">IFERROR(__xludf.DUMMYFUNCTION("IFERROR(GOOGLEFINANCE(B615, ""volume""), 0)"),0)</f>
        <v>0</v>
      </c>
      <c r="K615" s="6">
        <v>-1.63</v>
      </c>
      <c r="L615" s="6">
        <f ca="1">IFERROR(__xludf.DUMMYFUNCTION("IFERROR(GOOGLEFINANCE(B615,""changepct""),K615)"),-1.63)</f>
        <v>-1.63</v>
      </c>
      <c r="M615" s="6">
        <f ca="1">IFERROR(__xludf.DUMMYFUNCTION("IFERROR(GOOGLEFINANCE(B615,""change""),0)"),0)</f>
        <v>0</v>
      </c>
      <c r="N615" s="6">
        <v>2</v>
      </c>
      <c r="O615" s="7">
        <v>45536</v>
      </c>
      <c r="P615" s="9"/>
      <c r="Q615" s="6">
        <v>61.19</v>
      </c>
      <c r="R615" s="7">
        <v>45536</v>
      </c>
      <c r="S615" s="6">
        <v>29.43</v>
      </c>
      <c r="T615" s="6">
        <v>-1.49</v>
      </c>
      <c r="U615" s="7">
        <v>45536</v>
      </c>
      <c r="V615" s="6">
        <v>0</v>
      </c>
      <c r="W615" s="6">
        <f ca="1">IFERROR(__xludf.DUMMYFUNCTION("IFERROR(GOOGLEFINANCE(B615,""pe""),V615)"),0)</f>
        <v>0</v>
      </c>
      <c r="X615" s="9"/>
      <c r="Y615" s="6">
        <v>0.49</v>
      </c>
      <c r="Z615" s="6">
        <v>2</v>
      </c>
      <c r="AA615" s="8">
        <v>45352</v>
      </c>
      <c r="AB615" s="4">
        <v>0</v>
      </c>
      <c r="AC615" s="6">
        <v>-1.87</v>
      </c>
      <c r="AD615" s="6">
        <v>-1.01</v>
      </c>
      <c r="AE615" s="1">
        <v>0</v>
      </c>
      <c r="AF615" s="1">
        <f ca="1">IFERROR(__xludf.DUMMYFUNCTION("IFERROR(GOOGLEFINANCE(TRIM(F615)&amp;"":"" &amp; TRIM(B615),""high52""),AE615)"),0)</f>
        <v>0</v>
      </c>
      <c r="AG615" s="1">
        <v>0</v>
      </c>
      <c r="AH615" s="1">
        <f ca="1">IFERROR(__xludf.DUMMYFUNCTION("IFERROR(GOOGLEFINANCE(TRIM(F615)&amp;"":"" &amp; TRIM(B615),""low52""),AE615)"),0)</f>
        <v>0</v>
      </c>
      <c r="AI615" s="1">
        <f ca="1">IFERROR(__xludf.DUMMYFUNCTION("IFERROR(GOOGLEFINANCE(B615,""eps""),0)"),0)</f>
        <v>0</v>
      </c>
      <c r="AJ615" s="1"/>
      <c r="AK615" s="1" t="s">
        <v>1923</v>
      </c>
      <c r="AL615" s="9">
        <f t="shared" si="129"/>
        <v>1</v>
      </c>
    </row>
    <row r="616" spans="1:38" ht="15" x14ac:dyDescent="0.25">
      <c r="A616" s="1" t="s">
        <v>1924</v>
      </c>
      <c r="B616" s="1" t="s">
        <v>1925</v>
      </c>
      <c r="C616" s="1" t="s">
        <v>86</v>
      </c>
      <c r="D616" s="1" t="s">
        <v>86</v>
      </c>
      <c r="E616" s="6">
        <v>5981.32</v>
      </c>
      <c r="F616" s="1" t="s">
        <v>40</v>
      </c>
      <c r="G616" s="6">
        <f ca="1">IFERROR(__xludf.DUMMYFUNCTION("iferror(GOOGLEFINANCE(TRIM(F616)&amp;"":"" &amp; TRIM(B616), ""price""),0
)"),270.55)</f>
        <v>270.55</v>
      </c>
      <c r="H616" s="6">
        <v>345.5</v>
      </c>
      <c r="I616" s="6">
        <f t="shared" ca="1" si="0"/>
        <v>270.55</v>
      </c>
      <c r="J616" s="6">
        <f ca="1">IFERROR(__xludf.DUMMYFUNCTION("IFERROR(GOOGLEFINANCE(B616, ""volume""), 0)"),182109)</f>
        <v>182109</v>
      </c>
      <c r="K616" s="6">
        <v>0.55000000000000004</v>
      </c>
      <c r="L616" s="6">
        <f ca="1">IFERROR(__xludf.DUMMYFUNCTION("IFERROR(GOOGLEFINANCE(B616,""changepct""),K616)"),-2.01)</f>
        <v>-2.0099999999999998</v>
      </c>
      <c r="M616" s="6">
        <f ca="1">IFERROR(__xludf.DUMMYFUNCTION("IFERROR(GOOGLEFINANCE(B616,""change""),0)"),-5.55)</f>
        <v>-5.55</v>
      </c>
      <c r="N616" s="6">
        <v>2</v>
      </c>
      <c r="O616" s="7">
        <v>45536</v>
      </c>
      <c r="P616" s="6">
        <v>994.17</v>
      </c>
      <c r="Q616" s="6">
        <v>6410.84</v>
      </c>
      <c r="R616" s="14"/>
      <c r="S616" s="9"/>
      <c r="T616" s="9"/>
      <c r="U616" s="7">
        <v>45352</v>
      </c>
      <c r="V616" s="6">
        <v>19.54</v>
      </c>
      <c r="W616" s="6">
        <f ca="1">IFERROR(__xludf.DUMMYFUNCTION("IFERROR(GOOGLEFINANCE(B616,""pe""),V616)"),18.15)</f>
        <v>18.149999999999999</v>
      </c>
      <c r="X616" s="9"/>
      <c r="Y616" s="6">
        <v>3.55</v>
      </c>
      <c r="Z616" s="6">
        <v>2</v>
      </c>
      <c r="AA616" s="8">
        <v>45352</v>
      </c>
      <c r="AB616" s="4">
        <v>1.2</v>
      </c>
      <c r="AC616" s="6">
        <v>41.1</v>
      </c>
      <c r="AD616" s="6">
        <v>30.81</v>
      </c>
      <c r="AE616" s="1">
        <v>0</v>
      </c>
      <c r="AF616" s="1">
        <f ca="1">IFERROR(__xludf.DUMMYFUNCTION("IFERROR(GOOGLEFINANCE(TRIM(F616)&amp;"":"" &amp; TRIM(B616),""high52""),AE616)"),302.95)</f>
        <v>302.95</v>
      </c>
      <c r="AG616" s="1">
        <v>0</v>
      </c>
      <c r="AH616" s="1">
        <f ca="1">IFERROR(__xludf.DUMMYFUNCTION("IFERROR(GOOGLEFINANCE(TRIM(F616)&amp;"":"" &amp; TRIM(B616),""low52""),AE616)"),222.61)</f>
        <v>222.61</v>
      </c>
      <c r="AI616" s="1">
        <f ca="1">IFERROR(__xludf.DUMMYFUNCTION("IFERROR(GOOGLEFINANCE(B616,""eps""),0)"),14.9)</f>
        <v>14.9</v>
      </c>
      <c r="AJ616" s="1"/>
      <c r="AK616" s="9"/>
      <c r="AL616" s="9">
        <f t="shared" si="129"/>
        <v>1</v>
      </c>
    </row>
    <row r="617" spans="1:38" ht="15" x14ac:dyDescent="0.25">
      <c r="A617" s="1" t="s">
        <v>1926</v>
      </c>
      <c r="B617" s="1" t="s">
        <v>1927</v>
      </c>
      <c r="C617" s="1" t="s">
        <v>135</v>
      </c>
      <c r="D617" s="1" t="s">
        <v>135</v>
      </c>
      <c r="E617" s="6">
        <v>708.92</v>
      </c>
      <c r="F617" s="1" t="s">
        <v>53</v>
      </c>
      <c r="G617" s="6">
        <f ca="1">IFERROR(__xludf.DUMMYFUNCTION("iferror(GOOGLEFINANCE(TRIM(F617)&amp;"":"" &amp; TRIM(B617), ""price""),0
)"),0)</f>
        <v>0</v>
      </c>
      <c r="H617" s="6">
        <v>1220</v>
      </c>
      <c r="I617" s="6">
        <f t="shared" ca="1" si="0"/>
        <v>1220</v>
      </c>
      <c r="J617" s="6">
        <f ca="1">IFERROR(__xludf.DUMMYFUNCTION("IFERROR(GOOGLEFINANCE(B617, ""volume""), 0)"),0)</f>
        <v>0</v>
      </c>
      <c r="K617" s="6">
        <v>-1.1000000000000001</v>
      </c>
      <c r="L617" s="6">
        <f ca="1">IFERROR(__xludf.DUMMYFUNCTION("IFERROR(GOOGLEFINANCE(B617,""changepct""),K617)"),-1.1)</f>
        <v>-1.1000000000000001</v>
      </c>
      <c r="M617" s="6">
        <f ca="1">IFERROR(__xludf.DUMMYFUNCTION("IFERROR(GOOGLEFINANCE(B617,""change""),0)"),0)</f>
        <v>0</v>
      </c>
      <c r="N617" s="6">
        <v>1</v>
      </c>
      <c r="O617" s="7">
        <v>45536</v>
      </c>
      <c r="P617" s="9"/>
      <c r="Q617" s="6">
        <v>707.92</v>
      </c>
      <c r="R617" s="7">
        <v>45536</v>
      </c>
      <c r="S617" s="6">
        <v>3.37</v>
      </c>
      <c r="T617" s="6">
        <v>0.98</v>
      </c>
      <c r="U617" s="7">
        <v>45536</v>
      </c>
      <c r="V617" s="6">
        <v>720.45</v>
      </c>
      <c r="W617" s="6">
        <f ca="1">IFERROR(__xludf.DUMMYFUNCTION("IFERROR(GOOGLEFINANCE(B617,""pe""),V617)"),720.45)</f>
        <v>720.45</v>
      </c>
      <c r="X617" s="9"/>
      <c r="Y617" s="6">
        <v>0.39</v>
      </c>
      <c r="Z617" s="6">
        <v>1</v>
      </c>
      <c r="AA617" s="8">
        <v>45352</v>
      </c>
      <c r="AB617" s="4">
        <v>0</v>
      </c>
      <c r="AC617" s="6">
        <v>-0.05</v>
      </c>
      <c r="AD617" s="6">
        <v>-0.08</v>
      </c>
      <c r="AE617" s="1">
        <v>0</v>
      </c>
      <c r="AF617" s="1">
        <f ca="1">IFERROR(__xludf.DUMMYFUNCTION("IFERROR(GOOGLEFINANCE(TRIM(F617)&amp;"":"" &amp; TRIM(B617),""high52""),AE617)"),0)</f>
        <v>0</v>
      </c>
      <c r="AG617" s="1">
        <v>0</v>
      </c>
      <c r="AH617" s="1">
        <f ca="1">IFERROR(__xludf.DUMMYFUNCTION("IFERROR(GOOGLEFINANCE(TRIM(F617)&amp;"":"" &amp; TRIM(B617),""low52""),AE617)"),0)</f>
        <v>0</v>
      </c>
      <c r="AI617" s="1">
        <f ca="1">IFERROR(__xludf.DUMMYFUNCTION("IFERROR(GOOGLEFINANCE(B617,""eps""),0)"),0)</f>
        <v>0</v>
      </c>
      <c r="AJ617" s="1"/>
      <c r="AK617" s="1" t="s">
        <v>1928</v>
      </c>
      <c r="AL617" s="9">
        <f t="shared" si="129"/>
        <v>1</v>
      </c>
    </row>
    <row r="618" spans="1:38" ht="15" x14ac:dyDescent="0.25">
      <c r="A618" s="1" t="s">
        <v>1929</v>
      </c>
      <c r="B618" s="1" t="s">
        <v>1930</v>
      </c>
      <c r="C618" s="1" t="s">
        <v>135</v>
      </c>
      <c r="D618" s="1" t="s">
        <v>135</v>
      </c>
      <c r="E618" s="6">
        <v>236.02</v>
      </c>
      <c r="F618" s="1" t="s">
        <v>53</v>
      </c>
      <c r="G618" s="6">
        <f ca="1">IFERROR(__xludf.DUMMYFUNCTION("iferror(GOOGLEFINANCE(TRIM(F618)&amp;"":"" &amp; TRIM(B618), ""price""),0
)"),0)</f>
        <v>0</v>
      </c>
      <c r="H618" s="6">
        <v>391.45</v>
      </c>
      <c r="I618" s="6">
        <f t="shared" ca="1" si="0"/>
        <v>391.45</v>
      </c>
      <c r="J618" s="6">
        <f ca="1">IFERROR(__xludf.DUMMYFUNCTION("IFERROR(GOOGLEFINANCE(B618, ""volume""), 0)"),0)</f>
        <v>0</v>
      </c>
      <c r="K618" s="6">
        <v>0.33</v>
      </c>
      <c r="L618" s="6">
        <f ca="1">IFERROR(__xludf.DUMMYFUNCTION("IFERROR(GOOGLEFINANCE(B618,""changepct""),K618)"),0.33)</f>
        <v>0.33</v>
      </c>
      <c r="M618" s="6">
        <f ca="1">IFERROR(__xludf.DUMMYFUNCTION("IFERROR(GOOGLEFINANCE(B618,""change""),0)"),0)</f>
        <v>0</v>
      </c>
      <c r="N618" s="6">
        <v>1</v>
      </c>
      <c r="O618" s="7">
        <v>45536</v>
      </c>
      <c r="P618" s="6">
        <v>21.41</v>
      </c>
      <c r="Q618" s="6">
        <v>233.05</v>
      </c>
      <c r="R618" s="7">
        <v>45536</v>
      </c>
      <c r="S618" s="6">
        <v>187.68</v>
      </c>
      <c r="T618" s="6">
        <v>16.16</v>
      </c>
      <c r="U618" s="7">
        <v>45536</v>
      </c>
      <c r="V618" s="6">
        <v>14.61</v>
      </c>
      <c r="W618" s="6">
        <f ca="1">IFERROR(__xludf.DUMMYFUNCTION("IFERROR(GOOGLEFINANCE(B618,""pe""),V618)"),14.61)</f>
        <v>14.61</v>
      </c>
      <c r="X618" s="6">
        <v>1.66</v>
      </c>
      <c r="Y618" s="6">
        <v>2.13</v>
      </c>
      <c r="Z618" s="6">
        <v>1</v>
      </c>
      <c r="AA618" s="8">
        <v>45352</v>
      </c>
      <c r="AB618" s="4">
        <v>0</v>
      </c>
      <c r="AC618" s="6">
        <v>15.12</v>
      </c>
      <c r="AD618" s="6">
        <v>20.55</v>
      </c>
      <c r="AE618" s="1">
        <v>0</v>
      </c>
      <c r="AF618" s="1">
        <f ca="1">IFERROR(__xludf.DUMMYFUNCTION("IFERROR(GOOGLEFINANCE(TRIM(F618)&amp;"":"" &amp; TRIM(B618),""high52""),AE618)"),0)</f>
        <v>0</v>
      </c>
      <c r="AG618" s="1">
        <v>0</v>
      </c>
      <c r="AH618" s="1">
        <f ca="1">IFERROR(__xludf.DUMMYFUNCTION("IFERROR(GOOGLEFINANCE(TRIM(F618)&amp;"":"" &amp; TRIM(B618),""low52""),AE618)"),0)</f>
        <v>0</v>
      </c>
      <c r="AI618" s="1">
        <f ca="1">IFERROR(__xludf.DUMMYFUNCTION("IFERROR(GOOGLEFINANCE(B618,""eps""),0)"),0)</f>
        <v>0</v>
      </c>
      <c r="AJ618" s="1"/>
      <c r="AK618" s="1" t="s">
        <v>1931</v>
      </c>
      <c r="AL618" s="9">
        <f t="shared" si="129"/>
        <v>1</v>
      </c>
    </row>
    <row r="619" spans="1:38" ht="15" x14ac:dyDescent="0.25">
      <c r="A619" s="1" t="s">
        <v>1932</v>
      </c>
      <c r="B619" s="1" t="s">
        <v>1933</v>
      </c>
      <c r="C619" s="1" t="s">
        <v>186</v>
      </c>
      <c r="D619" s="1" t="s">
        <v>186</v>
      </c>
      <c r="E619" s="6">
        <v>91.16</v>
      </c>
      <c r="F619" s="1" t="s">
        <v>40</v>
      </c>
      <c r="G619" s="6">
        <f ca="1">IFERROR(__xludf.DUMMYFUNCTION("iferror(GOOGLEFINANCE(TRIM(F619)&amp;"":"" &amp; TRIM(B619), ""price""),0
)"),8.3)</f>
        <v>8.3000000000000007</v>
      </c>
      <c r="H619" s="6">
        <v>16.59</v>
      </c>
      <c r="I619" s="6">
        <f t="shared" ca="1" si="0"/>
        <v>8.3000000000000007</v>
      </c>
      <c r="J619" s="6">
        <f ca="1">IFERROR(__xludf.DUMMYFUNCTION("IFERROR(GOOGLEFINANCE(B619, ""volume""), 0)"),14489)</f>
        <v>14489</v>
      </c>
      <c r="K619" s="6">
        <v>2.85</v>
      </c>
      <c r="L619" s="6">
        <f ca="1">IFERROR(__xludf.DUMMYFUNCTION("IFERROR(GOOGLEFINANCE(B619,""changepct""),K619)"),1.22)</f>
        <v>1.22</v>
      </c>
      <c r="M619" s="6">
        <f ca="1">IFERROR(__xludf.DUMMYFUNCTION("IFERROR(GOOGLEFINANCE(B619,""change""),0)"),0.1)</f>
        <v>0.1</v>
      </c>
      <c r="N619" s="6">
        <v>1</v>
      </c>
      <c r="O619" s="7">
        <v>45536</v>
      </c>
      <c r="P619" s="6">
        <v>42.88</v>
      </c>
      <c r="Q619" s="6">
        <v>125.93</v>
      </c>
      <c r="R619" s="7">
        <v>45536</v>
      </c>
      <c r="S619" s="6">
        <v>241.95</v>
      </c>
      <c r="T619" s="6">
        <v>-13.35</v>
      </c>
      <c r="U619" s="7">
        <v>45536</v>
      </c>
      <c r="V619" s="6">
        <v>0</v>
      </c>
      <c r="W619" s="6">
        <f ca="1">IFERROR(__xludf.DUMMYFUNCTION("IFERROR(GOOGLEFINANCE(B619,""pe""),V619)"),0)</f>
        <v>0</v>
      </c>
      <c r="X619" s="6">
        <v>0</v>
      </c>
      <c r="Y619" s="6">
        <v>4.29</v>
      </c>
      <c r="Z619" s="6">
        <v>1</v>
      </c>
      <c r="AA619" s="8">
        <v>45352</v>
      </c>
      <c r="AB619" s="4">
        <v>1.58</v>
      </c>
      <c r="AC619" s="6">
        <v>6.07</v>
      </c>
      <c r="AD619" s="6">
        <v>11.87</v>
      </c>
      <c r="AE619" s="1">
        <v>0</v>
      </c>
      <c r="AF619" s="1">
        <f ca="1">IFERROR(__xludf.DUMMYFUNCTION("IFERROR(GOOGLEFINANCE(TRIM(F619)&amp;"":"" &amp; TRIM(B619),""high52""),AE619)"),15.47)</f>
        <v>15.47</v>
      </c>
      <c r="AG619" s="1">
        <v>0</v>
      </c>
      <c r="AH619" s="1">
        <f ca="1">IFERROR(__xludf.DUMMYFUNCTION("IFERROR(GOOGLEFINANCE(TRIM(F619)&amp;"":"" &amp; TRIM(B619),""low52""),AE619)"),6.74)</f>
        <v>6.74</v>
      </c>
      <c r="AI619" s="1">
        <f ca="1">IFERROR(__xludf.DUMMYFUNCTION("IFERROR(GOOGLEFINANCE(B619,""eps""),0)"),-2.77)</f>
        <v>-2.77</v>
      </c>
      <c r="AJ619" s="1"/>
      <c r="AK619" s="1" t="s">
        <v>1934</v>
      </c>
      <c r="AL619" s="9">
        <f t="shared" si="129"/>
        <v>1</v>
      </c>
    </row>
    <row r="620" spans="1:38" ht="15" x14ac:dyDescent="0.25">
      <c r="A620" s="1" t="s">
        <v>1935</v>
      </c>
      <c r="B620" s="1" t="s">
        <v>1936</v>
      </c>
      <c r="C620" s="1" t="s">
        <v>227</v>
      </c>
      <c r="D620" s="1" t="s">
        <v>227</v>
      </c>
      <c r="E620" s="6">
        <v>52.13</v>
      </c>
      <c r="F620" s="1" t="s">
        <v>40</v>
      </c>
      <c r="G620" s="6">
        <f ca="1">IFERROR(__xludf.DUMMYFUNCTION("iferror(GOOGLEFINANCE(TRIM(F620)&amp;"":"" &amp; TRIM(B620), ""price""),0
)"),0)</f>
        <v>0</v>
      </c>
      <c r="H620" s="6">
        <v>27.9</v>
      </c>
      <c r="I620" s="6">
        <f t="shared" ca="1" si="0"/>
        <v>27.9</v>
      </c>
      <c r="J620" s="6">
        <f ca="1">IFERROR(__xludf.DUMMYFUNCTION("IFERROR(GOOGLEFINANCE(B620, ""volume""), 0)"),0)</f>
        <v>0</v>
      </c>
      <c r="K620" s="12"/>
      <c r="L620" s="6" t="str">
        <f ca="1">IFERROR(__xludf.DUMMYFUNCTION("IFERROR(GOOGLEFINANCE(B620,""changepct""),K620)"),"")</f>
        <v/>
      </c>
      <c r="M620" s="6">
        <f ca="1">IFERROR(__xludf.DUMMYFUNCTION("IFERROR(GOOGLEFINANCE(B620,""change""),0)"),0)</f>
        <v>0</v>
      </c>
      <c r="N620" s="6">
        <v>1</v>
      </c>
      <c r="O620" s="7">
        <v>45536</v>
      </c>
      <c r="P620" s="6">
        <v>52.92</v>
      </c>
      <c r="Q620" s="6">
        <v>105.05</v>
      </c>
      <c r="R620" s="7">
        <v>45352</v>
      </c>
      <c r="S620" s="6">
        <v>321.23</v>
      </c>
      <c r="T620" s="6">
        <v>1.69</v>
      </c>
      <c r="U620" s="7">
        <v>45352</v>
      </c>
      <c r="V620" s="6">
        <v>30.79</v>
      </c>
      <c r="W620" s="6">
        <f ca="1">IFERROR(__xludf.DUMMYFUNCTION("IFERROR(GOOGLEFINANCE(B620,""pe""),V620)"),30.79)</f>
        <v>30.79</v>
      </c>
      <c r="X620" s="12"/>
      <c r="Y620" s="6">
        <v>0.72</v>
      </c>
      <c r="Z620" s="6">
        <v>1</v>
      </c>
      <c r="AA620" s="8">
        <v>45352</v>
      </c>
      <c r="AB620" s="4">
        <v>0.68</v>
      </c>
      <c r="AC620" s="6">
        <v>3.67</v>
      </c>
      <c r="AD620" s="6">
        <v>8.61</v>
      </c>
      <c r="AE620" s="1">
        <v>0</v>
      </c>
      <c r="AF620" s="1">
        <f ca="1">IFERROR(__xludf.DUMMYFUNCTION("IFERROR(GOOGLEFINANCE(TRIM(F620)&amp;"":"" &amp; TRIM(B620),""high52""),AE620)"),0)</f>
        <v>0</v>
      </c>
      <c r="AG620" s="1">
        <v>0</v>
      </c>
      <c r="AH620" s="1">
        <f ca="1">IFERROR(__xludf.DUMMYFUNCTION("IFERROR(GOOGLEFINANCE(TRIM(F620)&amp;"":"" &amp; TRIM(B620),""low52""),AE620)"),0)</f>
        <v>0</v>
      </c>
      <c r="AI620" s="1">
        <f ca="1">IFERROR(__xludf.DUMMYFUNCTION("IFERROR(GOOGLEFINANCE(B620,""eps""),0)"),0)</f>
        <v>0</v>
      </c>
      <c r="AJ620" s="1"/>
      <c r="AK620" s="1" t="s">
        <v>1937</v>
      </c>
      <c r="AL620" s="9">
        <f t="shared" si="129"/>
        <v>1</v>
      </c>
    </row>
    <row r="621" spans="1:38" ht="15" x14ac:dyDescent="0.25">
      <c r="A621" s="1" t="s">
        <v>1938</v>
      </c>
      <c r="B621" s="1" t="s">
        <v>1939</v>
      </c>
      <c r="C621" s="1" t="s">
        <v>135</v>
      </c>
      <c r="D621" s="1" t="s">
        <v>135</v>
      </c>
      <c r="E621" s="6">
        <v>566.71</v>
      </c>
      <c r="F621" s="1" t="s">
        <v>53</v>
      </c>
      <c r="G621" s="6">
        <f ca="1">IFERROR(__xludf.DUMMYFUNCTION("iferror(GOOGLEFINANCE(TRIM(F621)&amp;"":"" &amp; TRIM(B621), ""price""),0
)"),0)</f>
        <v>0</v>
      </c>
      <c r="H621" s="6">
        <v>123.2</v>
      </c>
      <c r="I621" s="6">
        <f t="shared" ca="1" si="0"/>
        <v>123.2</v>
      </c>
      <c r="J621" s="6">
        <f ca="1">IFERROR(__xludf.DUMMYFUNCTION("IFERROR(GOOGLEFINANCE(B621, ""volume""), 0)"),0)</f>
        <v>0</v>
      </c>
      <c r="K621" s="6">
        <v>-0.12</v>
      </c>
      <c r="L621" s="6">
        <f ca="1">IFERROR(__xludf.DUMMYFUNCTION("IFERROR(GOOGLEFINANCE(B621,""changepct""),K621)"),-0.12)</f>
        <v>-0.12</v>
      </c>
      <c r="M621" s="6">
        <f ca="1">IFERROR(__xludf.DUMMYFUNCTION("IFERROR(GOOGLEFINANCE(B621,""change""),0)"),0)</f>
        <v>0</v>
      </c>
      <c r="N621" s="6">
        <v>1</v>
      </c>
      <c r="O621" s="7">
        <v>45536</v>
      </c>
      <c r="P621" s="6">
        <v>67.64</v>
      </c>
      <c r="Q621" s="6">
        <v>631.75</v>
      </c>
      <c r="R621" s="7">
        <v>45536</v>
      </c>
      <c r="S621" s="6">
        <v>587.16</v>
      </c>
      <c r="T621" s="6">
        <v>15.86</v>
      </c>
      <c r="U621" s="7">
        <v>45536</v>
      </c>
      <c r="V621" s="6">
        <v>35.729999999999997</v>
      </c>
      <c r="W621" s="6">
        <f ca="1">IFERROR(__xludf.DUMMYFUNCTION("IFERROR(GOOGLEFINANCE(B621,""pe""),V621)"),35.73)</f>
        <v>35.729999999999997</v>
      </c>
      <c r="X621" s="6">
        <v>1.74</v>
      </c>
      <c r="Y621" s="6">
        <v>4.5999999999999996</v>
      </c>
      <c r="Z621" s="6">
        <v>1</v>
      </c>
      <c r="AA621" s="8">
        <v>45352</v>
      </c>
      <c r="AB621" s="4">
        <v>0.44</v>
      </c>
      <c r="AC621" s="6">
        <v>12.29</v>
      </c>
      <c r="AD621" s="6">
        <v>16.7</v>
      </c>
      <c r="AE621" s="1">
        <v>0</v>
      </c>
      <c r="AF621" s="1">
        <f ca="1">IFERROR(__xludf.DUMMYFUNCTION("IFERROR(GOOGLEFINANCE(TRIM(F621)&amp;"":"" &amp; TRIM(B621),""high52""),AE621)"),0)</f>
        <v>0</v>
      </c>
      <c r="AG621" s="1">
        <v>0</v>
      </c>
      <c r="AH621" s="1">
        <f ca="1">IFERROR(__xludf.DUMMYFUNCTION("IFERROR(GOOGLEFINANCE(TRIM(F621)&amp;"":"" &amp; TRIM(B621),""low52""),AE621)"),0)</f>
        <v>0</v>
      </c>
      <c r="AI621" s="1">
        <f ca="1">IFERROR(__xludf.DUMMYFUNCTION("IFERROR(GOOGLEFINANCE(B621,""eps""),0)"),0)</f>
        <v>0</v>
      </c>
      <c r="AJ621" s="1"/>
      <c r="AK621" s="1" t="s">
        <v>1940</v>
      </c>
      <c r="AL621" s="9">
        <f t="shared" si="129"/>
        <v>1</v>
      </c>
    </row>
    <row r="622" spans="1:38" ht="15" x14ac:dyDescent="0.25">
      <c r="A622" s="1" t="s">
        <v>1941</v>
      </c>
      <c r="B622" s="1" t="s">
        <v>1942</v>
      </c>
      <c r="C622" s="1" t="s">
        <v>135</v>
      </c>
      <c r="D622" s="1" t="s">
        <v>135</v>
      </c>
      <c r="E622" s="6">
        <v>699.87</v>
      </c>
      <c r="F622" s="1" t="s">
        <v>53</v>
      </c>
      <c r="G622" s="6">
        <f ca="1">IFERROR(__xludf.DUMMYFUNCTION("iferror(GOOGLEFINANCE(TRIM(F622)&amp;"":"" &amp; TRIM(B622), ""price""),0
)"),0)</f>
        <v>0</v>
      </c>
      <c r="H622" s="6">
        <v>780</v>
      </c>
      <c r="I622" s="6">
        <f t="shared" ca="1" si="0"/>
        <v>780</v>
      </c>
      <c r="J622" s="6">
        <f ca="1">IFERROR(__xludf.DUMMYFUNCTION("IFERROR(GOOGLEFINANCE(B622, ""volume""), 0)"),0)</f>
        <v>0</v>
      </c>
      <c r="K622" s="6">
        <v>1.19</v>
      </c>
      <c r="L622" s="6">
        <f ca="1">IFERROR(__xludf.DUMMYFUNCTION("IFERROR(GOOGLEFINANCE(B622,""changepct""),K622)"),1.19)</f>
        <v>1.19</v>
      </c>
      <c r="M622" s="6">
        <f ca="1">IFERROR(__xludf.DUMMYFUNCTION("IFERROR(GOOGLEFINANCE(B622,""change""),0)"),0)</f>
        <v>0</v>
      </c>
      <c r="N622" s="6">
        <v>2</v>
      </c>
      <c r="O622" s="7">
        <v>45536</v>
      </c>
      <c r="P622" s="6">
        <v>17.899999999999999</v>
      </c>
      <c r="Q622" s="6">
        <v>621.45000000000005</v>
      </c>
      <c r="R622" s="7">
        <v>45536</v>
      </c>
      <c r="S622" s="6">
        <v>533.57000000000005</v>
      </c>
      <c r="T622" s="6">
        <v>73.86</v>
      </c>
      <c r="U622" s="7">
        <v>45536</v>
      </c>
      <c r="V622" s="6">
        <v>9.5</v>
      </c>
      <c r="W622" s="6">
        <f ca="1">IFERROR(__xludf.DUMMYFUNCTION("IFERROR(GOOGLEFINANCE(B622,""pe""),V622)"),9.5)</f>
        <v>9.5</v>
      </c>
      <c r="X622" s="6">
        <v>0.11</v>
      </c>
      <c r="Y622" s="6">
        <v>1.85</v>
      </c>
      <c r="Z622" s="6">
        <v>2</v>
      </c>
      <c r="AA622" s="8">
        <v>45352</v>
      </c>
      <c r="AB622" s="4">
        <v>0.04</v>
      </c>
      <c r="AC622" s="6">
        <v>27.53</v>
      </c>
      <c r="AD622" s="6">
        <v>35.93</v>
      </c>
      <c r="AE622" s="1">
        <v>0</v>
      </c>
      <c r="AF622" s="1">
        <f ca="1">IFERROR(__xludf.DUMMYFUNCTION("IFERROR(GOOGLEFINANCE(TRIM(F622)&amp;"":"" &amp; TRIM(B622),""high52""),AE622)"),0)</f>
        <v>0</v>
      </c>
      <c r="AG622" s="1">
        <v>0</v>
      </c>
      <c r="AH622" s="1">
        <f ca="1">IFERROR(__xludf.DUMMYFUNCTION("IFERROR(GOOGLEFINANCE(TRIM(F622)&amp;"":"" &amp; TRIM(B622),""low52""),AE622)"),0)</f>
        <v>0</v>
      </c>
      <c r="AI622" s="1">
        <f ca="1">IFERROR(__xludf.DUMMYFUNCTION("IFERROR(GOOGLEFINANCE(B622,""eps""),0)"),0)</f>
        <v>0</v>
      </c>
      <c r="AJ622" s="1"/>
      <c r="AK622" s="9"/>
      <c r="AL622" s="9">
        <f t="shared" si="129"/>
        <v>1</v>
      </c>
    </row>
    <row r="623" spans="1:38" ht="15" x14ac:dyDescent="0.25">
      <c r="A623" s="1" t="s">
        <v>1943</v>
      </c>
      <c r="B623" s="1" t="s">
        <v>1944</v>
      </c>
      <c r="C623" s="1" t="s">
        <v>227</v>
      </c>
      <c r="D623" s="1" t="s">
        <v>227</v>
      </c>
      <c r="E623" s="6">
        <v>1442.58</v>
      </c>
      <c r="F623" s="1" t="s">
        <v>40</v>
      </c>
      <c r="G623" s="6">
        <f ca="1">IFERROR(__xludf.DUMMYFUNCTION("iferror(GOOGLEFINANCE(TRIM(F623)&amp;"":"" &amp; TRIM(B623), ""price""),0
)"),0)</f>
        <v>0</v>
      </c>
      <c r="H623" s="6">
        <v>70</v>
      </c>
      <c r="I623" s="6">
        <f t="shared" ca="1" si="0"/>
        <v>70</v>
      </c>
      <c r="J623" s="6">
        <f ca="1">IFERROR(__xludf.DUMMYFUNCTION("IFERROR(GOOGLEFINANCE(B623, ""volume""), 0)"),0)</f>
        <v>0</v>
      </c>
      <c r="K623" s="6">
        <v>1.74</v>
      </c>
      <c r="L623" s="6">
        <f ca="1">IFERROR(__xludf.DUMMYFUNCTION("IFERROR(GOOGLEFINANCE(B623,""changepct""),K623)"),1.74)</f>
        <v>1.74</v>
      </c>
      <c r="M623" s="6">
        <f ca="1">IFERROR(__xludf.DUMMYFUNCTION("IFERROR(GOOGLEFINANCE(B623,""change""),0)"),0)</f>
        <v>0</v>
      </c>
      <c r="N623" s="6">
        <v>1</v>
      </c>
      <c r="O623" s="7">
        <v>45536</v>
      </c>
      <c r="P623" s="6">
        <v>76.08</v>
      </c>
      <c r="Q623" s="6">
        <v>1518.66</v>
      </c>
      <c r="R623" s="7">
        <v>45352</v>
      </c>
      <c r="S623" s="6">
        <v>500.45</v>
      </c>
      <c r="T623" s="6">
        <v>16.100000000000001</v>
      </c>
      <c r="U623" s="7">
        <v>45352</v>
      </c>
      <c r="V623" s="6">
        <v>89.63</v>
      </c>
      <c r="W623" s="6">
        <f ca="1">IFERROR(__xludf.DUMMYFUNCTION("IFERROR(GOOGLEFINANCE(B623,""pe""),V623)"),89.63)</f>
        <v>89.63</v>
      </c>
      <c r="X623" s="12"/>
      <c r="Y623" s="6">
        <v>16.04</v>
      </c>
      <c r="Z623" s="6">
        <v>1</v>
      </c>
      <c r="AA623" s="8">
        <v>45352</v>
      </c>
      <c r="AB623" s="4">
        <v>0.83</v>
      </c>
      <c r="AC623" s="6">
        <v>31.03</v>
      </c>
      <c r="AD623" s="6">
        <v>29.21</v>
      </c>
      <c r="AE623" s="1">
        <v>0</v>
      </c>
      <c r="AF623" s="1">
        <f ca="1">IFERROR(__xludf.DUMMYFUNCTION("IFERROR(GOOGLEFINANCE(TRIM(F623)&amp;"":"" &amp; TRIM(B623),""high52""),AE623)"),0)</f>
        <v>0</v>
      </c>
      <c r="AG623" s="1">
        <v>0</v>
      </c>
      <c r="AH623" s="1">
        <f ca="1">IFERROR(__xludf.DUMMYFUNCTION("IFERROR(GOOGLEFINANCE(TRIM(F623)&amp;"":"" &amp; TRIM(B623),""low52""),AE623)"),0)</f>
        <v>0</v>
      </c>
      <c r="AI623" s="1">
        <f ca="1">IFERROR(__xludf.DUMMYFUNCTION("IFERROR(GOOGLEFINANCE(B623,""eps""),0)"),0)</f>
        <v>0</v>
      </c>
      <c r="AJ623" s="1"/>
      <c r="AK623" s="1" t="s">
        <v>1945</v>
      </c>
      <c r="AL623" s="9">
        <f t="shared" si="129"/>
        <v>1</v>
      </c>
    </row>
    <row r="624" spans="1:38" ht="15" x14ac:dyDescent="0.25">
      <c r="A624" s="1" t="s">
        <v>1946</v>
      </c>
      <c r="B624" s="1" t="s">
        <v>1947</v>
      </c>
      <c r="C624" s="1" t="s">
        <v>151</v>
      </c>
      <c r="D624" s="1" t="s">
        <v>151</v>
      </c>
      <c r="E624" s="6">
        <v>16894.39</v>
      </c>
      <c r="F624" s="1" t="s">
        <v>40</v>
      </c>
      <c r="G624" s="6">
        <f ca="1">IFERROR(__xludf.DUMMYFUNCTION("iferror(GOOGLEFINANCE(TRIM(F624)&amp;"":"" &amp; TRIM(B624), ""price""),0
)"),496)</f>
        <v>496</v>
      </c>
      <c r="H624" s="6">
        <v>771.9</v>
      </c>
      <c r="I624" s="6">
        <f t="shared" ca="1" si="0"/>
        <v>496</v>
      </c>
      <c r="J624" s="6">
        <f ca="1">IFERROR(__xludf.DUMMYFUNCTION("IFERROR(GOOGLEFINANCE(B624, ""volume""), 0)"),45315)</f>
        <v>45315</v>
      </c>
      <c r="K624" s="6">
        <v>0.95</v>
      </c>
      <c r="L624" s="6">
        <f ca="1">IFERROR(__xludf.DUMMYFUNCTION("IFERROR(GOOGLEFINANCE(B624,""changepct""),K624)"),0.34)</f>
        <v>0.34</v>
      </c>
      <c r="M624" s="6">
        <f ca="1">IFERROR(__xludf.DUMMYFUNCTION("IFERROR(GOOGLEFINANCE(B624,""change""),0)"),1.7)</f>
        <v>1.7</v>
      </c>
      <c r="N624" s="6">
        <v>2</v>
      </c>
      <c r="O624" s="7">
        <v>45536</v>
      </c>
      <c r="P624" s="6">
        <v>48.63</v>
      </c>
      <c r="Q624" s="6">
        <v>16865.259999999998</v>
      </c>
      <c r="R624" s="7">
        <v>45536</v>
      </c>
      <c r="S624" s="6">
        <v>2030.24</v>
      </c>
      <c r="T624" s="6">
        <v>363.42</v>
      </c>
      <c r="U624" s="7">
        <v>45536</v>
      </c>
      <c r="V624" s="6">
        <v>50</v>
      </c>
      <c r="W624" s="6">
        <f ca="1">IFERROR(__xludf.DUMMYFUNCTION("IFERROR(GOOGLEFINANCE(B624,""pe""),V624)"),32.87)</f>
        <v>32.869999999999997</v>
      </c>
      <c r="X624" s="9"/>
      <c r="Y624" s="6">
        <v>8.4700000000000006</v>
      </c>
      <c r="Z624" s="6">
        <v>2</v>
      </c>
      <c r="AA624" s="8">
        <v>45352</v>
      </c>
      <c r="AB624" s="4">
        <v>0.32</v>
      </c>
      <c r="AC624" s="6">
        <v>47.95</v>
      </c>
      <c r="AD624" s="6">
        <v>43.92</v>
      </c>
      <c r="AE624" s="1">
        <v>0</v>
      </c>
      <c r="AF624" s="1">
        <f ca="1">IFERROR(__xludf.DUMMYFUNCTION("IFERROR(GOOGLEFINANCE(TRIM(F624)&amp;"":"" &amp; TRIM(B624),""high52""),AE624)"),675)</f>
        <v>675</v>
      </c>
      <c r="AG624" s="1">
        <v>0</v>
      </c>
      <c r="AH624" s="1">
        <f ca="1">IFERROR(__xludf.DUMMYFUNCTION("IFERROR(GOOGLEFINANCE(TRIM(F624)&amp;"":"" &amp; TRIM(B624),""low52""),AE624)"),490)</f>
        <v>490</v>
      </c>
      <c r="AI624" s="1">
        <f ca="1">IFERROR(__xludf.DUMMYFUNCTION("IFERROR(GOOGLEFINANCE(B624,""eps""),0)"),15.09)</f>
        <v>15.09</v>
      </c>
      <c r="AJ624" s="1"/>
      <c r="AK624" s="1" t="s">
        <v>1948</v>
      </c>
      <c r="AL624" s="9">
        <f t="shared" si="129"/>
        <v>1</v>
      </c>
    </row>
    <row r="625" spans="1:38" ht="15" x14ac:dyDescent="0.25">
      <c r="A625" s="1" t="s">
        <v>1949</v>
      </c>
      <c r="B625" s="1" t="s">
        <v>1950</v>
      </c>
      <c r="C625" s="1" t="s">
        <v>1379</v>
      </c>
      <c r="D625" s="1" t="s">
        <v>1379</v>
      </c>
      <c r="E625" s="6">
        <v>46842.35</v>
      </c>
      <c r="F625" s="1" t="s">
        <v>40</v>
      </c>
      <c r="G625" s="6">
        <f ca="1">IFERROR(__xludf.DUMMYFUNCTION("iferror(GOOGLEFINANCE(TRIM(F625)&amp;"":"" &amp; TRIM(B625), ""price""),0
)"),36.43)</f>
        <v>36.43</v>
      </c>
      <c r="H625" s="6">
        <v>55.34</v>
      </c>
      <c r="I625" s="6">
        <f t="shared" ca="1" si="0"/>
        <v>36.43</v>
      </c>
      <c r="J625" s="6">
        <f ca="1">IFERROR(__xludf.DUMMYFUNCTION("IFERROR(GOOGLEFINANCE(B625, ""volume""), 0)"),5593767)</f>
        <v>5593767</v>
      </c>
      <c r="K625" s="6">
        <v>2.56</v>
      </c>
      <c r="L625" s="6">
        <f ca="1">IFERROR(__xludf.DUMMYFUNCTION("IFERROR(GOOGLEFINANCE(B625,""changepct""),K625)"),0.41)</f>
        <v>0.41</v>
      </c>
      <c r="M625" s="6">
        <f ca="1">IFERROR(__xludf.DUMMYFUNCTION("IFERROR(GOOGLEFINANCE(B625,""change""),0)"),0.15)</f>
        <v>0.15</v>
      </c>
      <c r="N625" s="6">
        <v>2</v>
      </c>
      <c r="O625" s="7">
        <v>45536</v>
      </c>
      <c r="P625" s="6">
        <v>32815.49</v>
      </c>
      <c r="Q625" s="6">
        <v>3346.95</v>
      </c>
      <c r="R625" s="7">
        <v>45536</v>
      </c>
      <c r="S625" s="6">
        <v>13.71</v>
      </c>
      <c r="T625" s="6">
        <v>0.69</v>
      </c>
      <c r="U625" s="6">
        <v>1.59</v>
      </c>
      <c r="V625" s="6">
        <v>2</v>
      </c>
      <c r="W625" s="6">
        <f ca="1">IFERROR(__xludf.DUMMYFUNCTION("IFERROR(GOOGLEFINANCE(B625,""pe""),V625)"),6.68)</f>
        <v>6.68</v>
      </c>
      <c r="X625" s="7">
        <v>45352</v>
      </c>
      <c r="Y625" s="6">
        <v>9.57</v>
      </c>
      <c r="Z625" s="6">
        <v>1</v>
      </c>
      <c r="AA625" s="8">
        <v>45352</v>
      </c>
      <c r="AB625" s="4">
        <v>1.23</v>
      </c>
      <c r="AC625" s="6">
        <v>3.03</v>
      </c>
      <c r="AD625" s="6">
        <v>12.62</v>
      </c>
      <c r="AE625" s="1">
        <v>0</v>
      </c>
      <c r="AF625" s="1">
        <f ca="1">IFERROR(__xludf.DUMMYFUNCTION("IFERROR(GOOGLEFINANCE(TRIM(F625)&amp;"":"" &amp; TRIM(B625),""high52""),AE625)"),52.81)</f>
        <v>52.81</v>
      </c>
      <c r="AG625" s="1">
        <v>0</v>
      </c>
      <c r="AH625" s="1">
        <f ca="1">IFERROR(__xludf.DUMMYFUNCTION("IFERROR(GOOGLEFINANCE(TRIM(F625)&amp;"":"" &amp; TRIM(B625),""low52""),AE625)"),32.75)</f>
        <v>32.75</v>
      </c>
      <c r="AI625" s="1">
        <f ca="1">IFERROR(__xludf.DUMMYFUNCTION("IFERROR(GOOGLEFINANCE(B625,""eps""),0)"),5.45)</f>
        <v>5.45</v>
      </c>
      <c r="AJ625" s="1"/>
      <c r="AK625" s="1" t="s">
        <v>1951</v>
      </c>
      <c r="AL625" s="1" t="b">
        <f>ISNUMBER(AA625)</f>
        <v>1</v>
      </c>
    </row>
    <row r="626" spans="1:38" ht="15" x14ac:dyDescent="0.25">
      <c r="A626" s="1" t="s">
        <v>1952</v>
      </c>
      <c r="B626" s="1" t="s">
        <v>1953</v>
      </c>
      <c r="C626" s="1" t="s">
        <v>1954</v>
      </c>
      <c r="D626" s="1" t="s">
        <v>1954</v>
      </c>
      <c r="E626" s="6">
        <v>37721.360000000001</v>
      </c>
      <c r="F626" s="1" t="s">
        <v>40</v>
      </c>
      <c r="G626" s="6">
        <f ca="1">IFERROR(__xludf.DUMMYFUNCTION("iferror(GOOGLEFINANCE(TRIM(F626)&amp;"":"" &amp; TRIM(B626), ""price""),0
)"),1240.1)</f>
        <v>1240.0999999999999</v>
      </c>
      <c r="H626" s="6">
        <v>1818.8</v>
      </c>
      <c r="I626" s="6">
        <f t="shared" ca="1" si="0"/>
        <v>1240.0999999999999</v>
      </c>
      <c r="J626" s="6">
        <f ca="1">IFERROR(__xludf.DUMMYFUNCTION("IFERROR(GOOGLEFINANCE(B626, ""volume""), 0)"),3307440)</f>
        <v>3307440</v>
      </c>
      <c r="K626" s="6">
        <v>0.77</v>
      </c>
      <c r="L626" s="6">
        <f ca="1">IFERROR(__xludf.DUMMYFUNCTION("IFERROR(GOOGLEFINANCE(B626,""changepct""),K626)"),0.8)</f>
        <v>0.8</v>
      </c>
      <c r="M626" s="6">
        <f ca="1">IFERROR(__xludf.DUMMYFUNCTION("IFERROR(GOOGLEFINANCE(B626,""change""),0)"),9.8)</f>
        <v>9.8000000000000007</v>
      </c>
      <c r="N626" s="6">
        <v>2</v>
      </c>
      <c r="O626" s="7">
        <v>45536</v>
      </c>
      <c r="P626" s="6">
        <v>530.99</v>
      </c>
      <c r="Q626" s="7">
        <v>45536</v>
      </c>
      <c r="R626" s="6">
        <v>70.78</v>
      </c>
      <c r="S626" s="6">
        <v>2.37</v>
      </c>
      <c r="T626" s="6">
        <v>20.25</v>
      </c>
      <c r="U626" s="6">
        <v>2</v>
      </c>
      <c r="V626" s="7">
        <v>45352</v>
      </c>
      <c r="W626" s="6">
        <f ca="1">IFERROR(__xludf.DUMMYFUNCTION("IFERROR(GOOGLEFINANCE(B626,""pe""),V626)"),54.78)</f>
        <v>54.78</v>
      </c>
      <c r="X626" s="6">
        <v>0</v>
      </c>
      <c r="Y626" s="6">
        <v>31.34</v>
      </c>
      <c r="Z626" s="6">
        <v>41.55</v>
      </c>
      <c r="AA626" s="3" t="s">
        <v>1955</v>
      </c>
      <c r="AB626" s="11"/>
      <c r="AC626" s="9"/>
      <c r="AD626" s="9"/>
      <c r="AE626" s="1">
        <v>0</v>
      </c>
      <c r="AF626" s="1">
        <f ca="1">IFERROR(__xludf.DUMMYFUNCTION("IFERROR(GOOGLEFINANCE(TRIM(F626)&amp;"":"" &amp; TRIM(B626),""high52""),AE626)"),1828.9)</f>
        <v>1828.9</v>
      </c>
      <c r="AG626" s="1">
        <v>0</v>
      </c>
      <c r="AH626" s="1">
        <f ca="1">IFERROR(__xludf.DUMMYFUNCTION("IFERROR(GOOGLEFINANCE(TRIM(F626)&amp;"":"" &amp; TRIM(B626),""low52""),AE626)"),1047.45)</f>
        <v>1047.45</v>
      </c>
      <c r="AI626" s="1">
        <f ca="1">IFERROR(__xludf.DUMMYFUNCTION("IFERROR(GOOGLEFINANCE(B626,""eps""),0)"),22.64)</f>
        <v>22.64</v>
      </c>
      <c r="AJ626" s="1"/>
      <c r="AK626" s="1" t="s">
        <v>1956</v>
      </c>
      <c r="AL626" s="9">
        <f t="shared" ref="AL626:AL634" si="130">IF(AA626&lt;&gt;AB626,1,0)</f>
        <v>1</v>
      </c>
    </row>
    <row r="627" spans="1:38" ht="15" x14ac:dyDescent="0.25">
      <c r="A627" s="1" t="s">
        <v>1957</v>
      </c>
      <c r="B627" s="1" t="s">
        <v>1958</v>
      </c>
      <c r="C627" s="1" t="s">
        <v>135</v>
      </c>
      <c r="D627" s="1" t="s">
        <v>135</v>
      </c>
      <c r="E627" s="6">
        <v>1518.8</v>
      </c>
      <c r="F627" s="1" t="s">
        <v>53</v>
      </c>
      <c r="G627" s="6">
        <f ca="1">IFERROR(__xludf.DUMMYFUNCTION("iferror(GOOGLEFINANCE(TRIM(F627)&amp;"":"" &amp; TRIM(B627), ""price""),0
)"),0)</f>
        <v>0</v>
      </c>
      <c r="H627" s="6">
        <v>5028</v>
      </c>
      <c r="I627" s="6">
        <f t="shared" ca="1" si="0"/>
        <v>5028</v>
      </c>
      <c r="J627" s="6">
        <f ca="1">IFERROR(__xludf.DUMMYFUNCTION("IFERROR(GOOGLEFINANCE(B627, ""volume""), 0)"),22326)</f>
        <v>22326</v>
      </c>
      <c r="K627" s="6">
        <v>2.0299999999999998</v>
      </c>
      <c r="L627" s="6">
        <f ca="1">IFERROR(__xludf.DUMMYFUNCTION("IFERROR(GOOGLEFINANCE(B627,""changepct""),K627)"),-2.48)</f>
        <v>-2.48</v>
      </c>
      <c r="M627" s="6">
        <f ca="1">IFERROR(__xludf.DUMMYFUNCTION("IFERROR(GOOGLEFINANCE(B627,""change""),0)"),-12.15)</f>
        <v>-12.15</v>
      </c>
      <c r="N627" s="6">
        <v>1</v>
      </c>
      <c r="O627" s="7">
        <v>45536</v>
      </c>
      <c r="P627" s="12"/>
      <c r="Q627" s="6">
        <v>1517.98</v>
      </c>
      <c r="R627" s="7">
        <v>45536</v>
      </c>
      <c r="S627" s="6">
        <v>214.96</v>
      </c>
      <c r="T627" s="6">
        <v>56.4</v>
      </c>
      <c r="U627" s="7">
        <v>45536</v>
      </c>
      <c r="V627" s="6">
        <v>26.93</v>
      </c>
      <c r="W627" s="6">
        <f ca="1">IFERROR(__xludf.DUMMYFUNCTION("IFERROR(GOOGLEFINANCE(B627,""pe""),V627)"),32.37)</f>
        <v>32.369999999999997</v>
      </c>
      <c r="X627" s="6">
        <v>2.25</v>
      </c>
      <c r="Y627" s="6">
        <v>3.48</v>
      </c>
      <c r="Z627" s="6">
        <v>1</v>
      </c>
      <c r="AA627" s="8">
        <v>45352</v>
      </c>
      <c r="AB627" s="4">
        <v>0</v>
      </c>
      <c r="AC627" s="6">
        <v>14.27</v>
      </c>
      <c r="AD627" s="6">
        <v>18.68</v>
      </c>
      <c r="AE627" s="1">
        <v>0</v>
      </c>
      <c r="AF627" s="1">
        <f ca="1">IFERROR(__xludf.DUMMYFUNCTION("IFERROR(GOOGLEFINANCE(TRIM(F627)&amp;"":"" &amp; TRIM(B627),""high52""),AE627)"),0)</f>
        <v>0</v>
      </c>
      <c r="AG627" s="1">
        <v>0</v>
      </c>
      <c r="AH627" s="1">
        <f ca="1">IFERROR(__xludf.DUMMYFUNCTION("IFERROR(GOOGLEFINANCE(TRIM(F627)&amp;"":"" &amp; TRIM(B627),""low52""),AE627)"),0)</f>
        <v>0</v>
      </c>
      <c r="AI627" s="1">
        <f ca="1">IFERROR(__xludf.DUMMYFUNCTION("IFERROR(GOOGLEFINANCE(B627,""eps""),0)"),14.77)</f>
        <v>14.77</v>
      </c>
      <c r="AJ627" s="1"/>
      <c r="AK627" s="1" t="s">
        <v>1959</v>
      </c>
      <c r="AL627" s="9">
        <f t="shared" si="130"/>
        <v>1</v>
      </c>
    </row>
    <row r="628" spans="1:38" ht="15" x14ac:dyDescent="0.25">
      <c r="A628" s="1" t="s">
        <v>1960</v>
      </c>
      <c r="B628" s="1" t="s">
        <v>1961</v>
      </c>
      <c r="C628" s="1" t="s">
        <v>135</v>
      </c>
      <c r="D628" s="1" t="s">
        <v>135</v>
      </c>
      <c r="E628" s="6">
        <v>30.67</v>
      </c>
      <c r="F628" s="1" t="s">
        <v>53</v>
      </c>
      <c r="G628" s="6">
        <f ca="1">IFERROR(__xludf.DUMMYFUNCTION("iferror(GOOGLEFINANCE(TRIM(F628)&amp;"":"" &amp; TRIM(B628), ""price""),0
)"),0)</f>
        <v>0</v>
      </c>
      <c r="H628" s="6">
        <v>48</v>
      </c>
      <c r="I628" s="6">
        <f t="shared" ca="1" si="0"/>
        <v>48</v>
      </c>
      <c r="J628" s="6">
        <f ca="1">IFERROR(__xludf.DUMMYFUNCTION("IFERROR(GOOGLEFINANCE(B628, ""volume""), 0)"),0)</f>
        <v>0</v>
      </c>
      <c r="K628" s="6">
        <v>-1.82</v>
      </c>
      <c r="L628" s="6">
        <f ca="1">IFERROR(__xludf.DUMMYFUNCTION("IFERROR(GOOGLEFINANCE(B628,""changepct""),K628)"),-1.82)</f>
        <v>-1.82</v>
      </c>
      <c r="M628" s="6">
        <f ca="1">IFERROR(__xludf.DUMMYFUNCTION("IFERROR(GOOGLEFINANCE(B628,""change""),0)"),0)</f>
        <v>0</v>
      </c>
      <c r="N628" s="6">
        <v>1</v>
      </c>
      <c r="O628" s="7">
        <v>45536</v>
      </c>
      <c r="P628" s="9"/>
      <c r="Q628" s="6">
        <v>25.94</v>
      </c>
      <c r="R628" s="7">
        <v>45536</v>
      </c>
      <c r="S628" s="6">
        <v>0.25</v>
      </c>
      <c r="T628" s="6">
        <v>0.24</v>
      </c>
      <c r="U628" s="7">
        <v>45536</v>
      </c>
      <c r="V628" s="6">
        <v>128.85</v>
      </c>
      <c r="W628" s="6">
        <f ca="1">IFERROR(__xludf.DUMMYFUNCTION("IFERROR(GOOGLEFINANCE(B628,""pe""),V628)"),128.85)</f>
        <v>128.85</v>
      </c>
      <c r="X628" s="6">
        <v>4.78</v>
      </c>
      <c r="Y628" s="6">
        <v>3.26</v>
      </c>
      <c r="Z628" s="6">
        <v>1</v>
      </c>
      <c r="AA628" s="8">
        <v>45352</v>
      </c>
      <c r="AB628" s="4">
        <v>0</v>
      </c>
      <c r="AC628" s="6">
        <v>9.89</v>
      </c>
      <c r="AD628" s="6">
        <v>9.9700000000000006</v>
      </c>
      <c r="AE628" s="1">
        <v>0</v>
      </c>
      <c r="AF628" s="1">
        <f ca="1">IFERROR(__xludf.DUMMYFUNCTION("IFERROR(GOOGLEFINANCE(TRIM(F628)&amp;"":"" &amp; TRIM(B628),""high52""),AE628)"),0)</f>
        <v>0</v>
      </c>
      <c r="AG628" s="1">
        <v>0</v>
      </c>
      <c r="AH628" s="1">
        <f ca="1">IFERROR(__xludf.DUMMYFUNCTION("IFERROR(GOOGLEFINANCE(TRIM(F628)&amp;"":"" &amp; TRIM(B628),""low52""),AE628)"),0)</f>
        <v>0</v>
      </c>
      <c r="AI628" s="1">
        <f ca="1">IFERROR(__xludf.DUMMYFUNCTION("IFERROR(GOOGLEFINANCE(B628,""eps""),0)"),0)</f>
        <v>0</v>
      </c>
      <c r="AJ628" s="1"/>
      <c r="AK628" s="1" t="s">
        <v>1962</v>
      </c>
      <c r="AL628" s="9">
        <f t="shared" si="130"/>
        <v>1</v>
      </c>
    </row>
    <row r="629" spans="1:38" ht="15" x14ac:dyDescent="0.25">
      <c r="A629" s="1" t="s">
        <v>1963</v>
      </c>
      <c r="B629" s="1" t="s">
        <v>1964</v>
      </c>
      <c r="C629" s="1" t="s">
        <v>43</v>
      </c>
      <c r="D629" s="1" t="s">
        <v>43</v>
      </c>
      <c r="E629" s="6">
        <v>1423.25</v>
      </c>
      <c r="F629" s="1" t="s">
        <v>40</v>
      </c>
      <c r="G629" s="6">
        <f ca="1">IFERROR(__xludf.DUMMYFUNCTION("iferror(GOOGLEFINANCE(TRIM(F629)&amp;"":"" &amp; TRIM(B629), ""price""),0
)"),23.97)</f>
        <v>23.97</v>
      </c>
      <c r="H629" s="6">
        <v>34.31</v>
      </c>
      <c r="I629" s="6">
        <f t="shared" ca="1" si="0"/>
        <v>23.97</v>
      </c>
      <c r="J629" s="6">
        <f ca="1">IFERROR(__xludf.DUMMYFUNCTION("IFERROR(GOOGLEFINANCE(B629, ""volume""), 0)"),461011)</f>
        <v>461011</v>
      </c>
      <c r="K629" s="6">
        <v>0.53</v>
      </c>
      <c r="L629" s="6">
        <f ca="1">IFERROR(__xludf.DUMMYFUNCTION("IFERROR(GOOGLEFINANCE(B629,""changepct""),K629)"),-3.31)</f>
        <v>-3.31</v>
      </c>
      <c r="M629" s="6">
        <f ca="1">IFERROR(__xludf.DUMMYFUNCTION("IFERROR(GOOGLEFINANCE(B629,""change""),0)"),-0.82)</f>
        <v>-0.82</v>
      </c>
      <c r="N629" s="6">
        <v>2</v>
      </c>
      <c r="O629" s="7">
        <v>45536</v>
      </c>
      <c r="P629" s="6">
        <v>-92.69</v>
      </c>
      <c r="Q629" s="7">
        <v>45536</v>
      </c>
      <c r="R629" s="6">
        <v>0</v>
      </c>
      <c r="S629" s="6">
        <v>0</v>
      </c>
      <c r="T629" s="6">
        <v>4.09</v>
      </c>
      <c r="U629" s="6">
        <v>2</v>
      </c>
      <c r="V629" s="7">
        <v>45352</v>
      </c>
      <c r="W629" s="10">
        <f ca="1">IFERROR(__xludf.DUMMYFUNCTION("IFERROR(GOOGLEFINANCE(B629,""pe""),V629)"),45352)</f>
        <v>45352</v>
      </c>
      <c r="X629" s="6">
        <v>26.57</v>
      </c>
      <c r="Y629" s="6">
        <v>-14.98</v>
      </c>
      <c r="Z629" s="6">
        <v>10.94</v>
      </c>
      <c r="AA629" s="3" t="s">
        <v>1965</v>
      </c>
      <c r="AB629" s="3"/>
      <c r="AC629" s="9"/>
      <c r="AD629" s="9"/>
      <c r="AE629" s="1">
        <v>0</v>
      </c>
      <c r="AF629" s="1">
        <f ca="1">IFERROR(__xludf.DUMMYFUNCTION("IFERROR(GOOGLEFINANCE(TRIM(F629)&amp;"":"" &amp; TRIM(B629),""high52""),AE629)"),41.9)</f>
        <v>41.9</v>
      </c>
      <c r="AG629" s="1">
        <v>0</v>
      </c>
      <c r="AH629" s="1">
        <f ca="1">IFERROR(__xludf.DUMMYFUNCTION("IFERROR(GOOGLEFINANCE(TRIM(F629)&amp;"":"" &amp; TRIM(B629),""low52""),AE629)"),22.4)</f>
        <v>22.4</v>
      </c>
      <c r="AI629" s="1">
        <f ca="1">IFERROR(__xludf.DUMMYFUNCTION("IFERROR(GOOGLEFINANCE(B629,""eps""),0)"),-3.04)</f>
        <v>-3.04</v>
      </c>
      <c r="AJ629" s="1"/>
      <c r="AK629" s="9"/>
      <c r="AL629" s="9">
        <f t="shared" si="130"/>
        <v>1</v>
      </c>
    </row>
    <row r="630" spans="1:38" ht="15" x14ac:dyDescent="0.25">
      <c r="A630" s="1" t="s">
        <v>1966</v>
      </c>
      <c r="B630" s="1" t="s">
        <v>1967</v>
      </c>
      <c r="C630" s="1" t="s">
        <v>525</v>
      </c>
      <c r="D630" s="1" t="s">
        <v>525</v>
      </c>
      <c r="E630" s="6">
        <v>2806.22</v>
      </c>
      <c r="F630" s="1" t="s">
        <v>40</v>
      </c>
      <c r="G630" s="6">
        <f ca="1">IFERROR(__xludf.DUMMYFUNCTION("iferror(GOOGLEFINANCE(TRIM(F630)&amp;"":"" &amp; TRIM(B630), ""price""),0
)"),2311)</f>
        <v>2311</v>
      </c>
      <c r="H630" s="6">
        <v>2132.65</v>
      </c>
      <c r="I630" s="6">
        <f t="shared" ca="1" si="0"/>
        <v>2311</v>
      </c>
      <c r="J630" s="6">
        <f ca="1">IFERROR(__xludf.DUMMYFUNCTION("IFERROR(GOOGLEFINANCE(B630, ""volume""), 0)"),22440)</f>
        <v>22440</v>
      </c>
      <c r="K630" s="6">
        <v>-2.12</v>
      </c>
      <c r="L630" s="6">
        <f ca="1">IFERROR(__xludf.DUMMYFUNCTION("IFERROR(GOOGLEFINANCE(B630,""changepct""),K630)"),0.72)</f>
        <v>0.72</v>
      </c>
      <c r="M630" s="6">
        <f ca="1">IFERROR(__xludf.DUMMYFUNCTION("IFERROR(GOOGLEFINANCE(B630,""change""),0)"),16.6)</f>
        <v>16.600000000000001</v>
      </c>
      <c r="N630" s="6">
        <v>2</v>
      </c>
      <c r="O630" s="7">
        <v>45536</v>
      </c>
      <c r="P630" s="6">
        <v>209.79</v>
      </c>
      <c r="Q630" s="6">
        <v>2958.72</v>
      </c>
      <c r="R630" s="7">
        <v>45536</v>
      </c>
      <c r="S630" s="6">
        <v>1100.77</v>
      </c>
      <c r="T630" s="6">
        <v>-3.8</v>
      </c>
      <c r="U630" s="7">
        <v>45536</v>
      </c>
      <c r="V630" s="6">
        <v>0</v>
      </c>
      <c r="W630" s="6">
        <f ca="1">IFERROR(__xludf.DUMMYFUNCTION("IFERROR(GOOGLEFINANCE(B630,""pe""),V630)"),74.35)</f>
        <v>74.349999999999994</v>
      </c>
      <c r="X630" s="9"/>
      <c r="Y630" s="6">
        <v>14.3</v>
      </c>
      <c r="Z630" s="6">
        <v>2</v>
      </c>
      <c r="AA630" s="8">
        <v>45352</v>
      </c>
      <c r="AB630" s="4">
        <v>0.87</v>
      </c>
      <c r="AC630" s="6">
        <v>-1.35</v>
      </c>
      <c r="AD630" s="6">
        <v>10</v>
      </c>
      <c r="AE630" s="1">
        <v>0</v>
      </c>
      <c r="AF630" s="1">
        <f ca="1">IFERROR(__xludf.DUMMYFUNCTION("IFERROR(GOOGLEFINANCE(TRIM(F630)&amp;"":"" &amp; TRIM(B630),""high52""),AE630)"),3044)</f>
        <v>3044</v>
      </c>
      <c r="AG630" s="1">
        <v>0</v>
      </c>
      <c r="AH630" s="1">
        <f ca="1">IFERROR(__xludf.DUMMYFUNCTION("IFERROR(GOOGLEFINANCE(TRIM(F630)&amp;"":"" &amp; TRIM(B630),""low52""),AE630)"),1140.3)</f>
        <v>1140.3</v>
      </c>
      <c r="AI630" s="1">
        <f ca="1">IFERROR(__xludf.DUMMYFUNCTION("IFERROR(GOOGLEFINANCE(B630,""eps""),0)"),31.08)</f>
        <v>31.08</v>
      </c>
      <c r="AJ630" s="1"/>
      <c r="AK630" s="1" t="s">
        <v>1968</v>
      </c>
      <c r="AL630" s="9">
        <f t="shared" si="130"/>
        <v>1</v>
      </c>
    </row>
    <row r="631" spans="1:38" ht="15" x14ac:dyDescent="0.25">
      <c r="A631" s="1" t="s">
        <v>1969</v>
      </c>
      <c r="B631" s="1" t="s">
        <v>1970</v>
      </c>
      <c r="C631" s="1" t="s">
        <v>186</v>
      </c>
      <c r="D631" s="1" t="s">
        <v>186</v>
      </c>
      <c r="E631" s="6">
        <v>1410.35</v>
      </c>
      <c r="F631" s="1" t="s">
        <v>40</v>
      </c>
      <c r="G631" s="6">
        <f ca="1">IFERROR(__xludf.DUMMYFUNCTION("iferror(GOOGLEFINANCE(TRIM(F631)&amp;"":"" &amp; TRIM(B631), ""price""),0
)"),435.05)</f>
        <v>435.05</v>
      </c>
      <c r="H631" s="6">
        <v>640.75</v>
      </c>
      <c r="I631" s="6">
        <f t="shared" ca="1" si="0"/>
        <v>435.05</v>
      </c>
      <c r="J631" s="6">
        <f ca="1">IFERROR(__xludf.DUMMYFUNCTION("IFERROR(GOOGLEFINANCE(B631, ""volume""), 0)"),9722)</f>
        <v>9722</v>
      </c>
      <c r="K631" s="6">
        <v>-0.11</v>
      </c>
      <c r="L631" s="6">
        <f ca="1">IFERROR(__xludf.DUMMYFUNCTION("IFERROR(GOOGLEFINANCE(B631,""changepct""),K631)"),0.06)</f>
        <v>0.06</v>
      </c>
      <c r="M631" s="6">
        <f ca="1">IFERROR(__xludf.DUMMYFUNCTION("IFERROR(GOOGLEFINANCE(B631,""change""),0)"),0.25)</f>
        <v>0.25</v>
      </c>
      <c r="N631" s="6">
        <v>2</v>
      </c>
      <c r="O631" s="7">
        <v>45536</v>
      </c>
      <c r="P631" s="6">
        <v>48.7</v>
      </c>
      <c r="Q631" s="6">
        <v>1451.6</v>
      </c>
      <c r="R631" s="7">
        <v>45536</v>
      </c>
      <c r="S631" s="6">
        <v>1983.54</v>
      </c>
      <c r="T631" s="6">
        <v>73.53</v>
      </c>
      <c r="U631" s="7">
        <v>45536</v>
      </c>
      <c r="V631" s="6">
        <v>19.96</v>
      </c>
      <c r="W631" s="6">
        <f ca="1">IFERROR(__xludf.DUMMYFUNCTION("IFERROR(GOOGLEFINANCE(B631,""pe""),V631)"),16.26)</f>
        <v>16.260000000000002</v>
      </c>
      <c r="X631" s="9"/>
      <c r="Y631" s="6">
        <v>1.01</v>
      </c>
      <c r="Z631" s="6">
        <v>2</v>
      </c>
      <c r="AA631" s="8">
        <v>45352</v>
      </c>
      <c r="AB631" s="4">
        <v>0.04</v>
      </c>
      <c r="AC631" s="6">
        <v>3.18</v>
      </c>
      <c r="AD631" s="6">
        <v>4.49</v>
      </c>
      <c r="AE631" s="1">
        <v>0</v>
      </c>
      <c r="AF631" s="1">
        <f ca="1">IFERROR(__xludf.DUMMYFUNCTION("IFERROR(GOOGLEFINANCE(TRIM(F631)&amp;"":"" &amp; TRIM(B631),""high52""),AE631)"),617.95)</f>
        <v>617.95000000000005</v>
      </c>
      <c r="AG631" s="1">
        <v>0</v>
      </c>
      <c r="AH631" s="1">
        <f ca="1">IFERROR(__xludf.DUMMYFUNCTION("IFERROR(GOOGLEFINANCE(TRIM(F631)&amp;"":"" &amp; TRIM(B631),""low52""),AE631)"),409.5)</f>
        <v>409.5</v>
      </c>
      <c r="AI631" s="1">
        <f ca="1">IFERROR(__xludf.DUMMYFUNCTION("IFERROR(GOOGLEFINANCE(B631,""eps""),0)"),26.75)</f>
        <v>26.75</v>
      </c>
      <c r="AJ631" s="1"/>
      <c r="AK631" s="1" t="s">
        <v>1971</v>
      </c>
      <c r="AL631" s="9">
        <f t="shared" si="130"/>
        <v>1</v>
      </c>
    </row>
    <row r="632" spans="1:38" ht="15" x14ac:dyDescent="0.25">
      <c r="A632" s="1" t="s">
        <v>1972</v>
      </c>
      <c r="B632" s="1" t="s">
        <v>1973</v>
      </c>
      <c r="C632" s="1" t="s">
        <v>135</v>
      </c>
      <c r="D632" s="1" t="s">
        <v>135</v>
      </c>
      <c r="E632" s="6">
        <v>164.4</v>
      </c>
      <c r="F632" s="1" t="s">
        <v>53</v>
      </c>
      <c r="G632" s="6">
        <f ca="1">IFERROR(__xludf.DUMMYFUNCTION("iferror(GOOGLEFINANCE(TRIM(F632)&amp;"":"" &amp; TRIM(B632), ""price""),0
)"),0)</f>
        <v>0</v>
      </c>
      <c r="H632" s="6">
        <v>13700</v>
      </c>
      <c r="I632" s="6">
        <f t="shared" ca="1" si="0"/>
        <v>13700</v>
      </c>
      <c r="J632" s="6">
        <f ca="1">IFERROR(__xludf.DUMMYFUNCTION("IFERROR(GOOGLEFINANCE(B632, ""volume""), 0)"),0)</f>
        <v>0</v>
      </c>
      <c r="K632" s="9"/>
      <c r="L632" s="6" t="str">
        <f ca="1">IFERROR(__xludf.DUMMYFUNCTION("IFERROR(GOOGLEFINANCE(B632,""changepct""),K632)"),"")</f>
        <v/>
      </c>
      <c r="M632" s="6">
        <f ca="1">IFERROR(__xludf.DUMMYFUNCTION("IFERROR(GOOGLEFINANCE(B632,""change""),0)"),0)</f>
        <v>0</v>
      </c>
      <c r="N632" s="6">
        <v>1</v>
      </c>
      <c r="O632" s="7">
        <v>45536</v>
      </c>
      <c r="P632" s="6">
        <v>40.4</v>
      </c>
      <c r="Q632" s="6">
        <v>204.07</v>
      </c>
      <c r="R632" s="7">
        <v>45536</v>
      </c>
      <c r="S632" s="6">
        <v>90.33</v>
      </c>
      <c r="T632" s="6">
        <v>4.53</v>
      </c>
      <c r="U632" s="7">
        <v>45536</v>
      </c>
      <c r="V632" s="6">
        <v>36.33</v>
      </c>
      <c r="W632" s="6">
        <f ca="1">IFERROR(__xludf.DUMMYFUNCTION("IFERROR(GOOGLEFINANCE(B632,""pe""),V632)"),36.33)</f>
        <v>36.33</v>
      </c>
      <c r="X632" s="6">
        <v>-2.99</v>
      </c>
      <c r="Y632" s="6">
        <v>1.33</v>
      </c>
      <c r="Z632" s="6">
        <v>1</v>
      </c>
      <c r="AA632" s="8">
        <v>45352</v>
      </c>
      <c r="AB632" s="4">
        <v>0.31</v>
      </c>
      <c r="AC632" s="6">
        <v>4.3899999999999997</v>
      </c>
      <c r="AD632" s="6">
        <v>7.03</v>
      </c>
      <c r="AE632" s="1">
        <v>0</v>
      </c>
      <c r="AF632" s="1">
        <f ca="1">IFERROR(__xludf.DUMMYFUNCTION("IFERROR(GOOGLEFINANCE(TRIM(F632)&amp;"":"" &amp; TRIM(B632),""high52""),AE632)"),0)</f>
        <v>0</v>
      </c>
      <c r="AG632" s="1">
        <v>0</v>
      </c>
      <c r="AH632" s="1">
        <f ca="1">IFERROR(__xludf.DUMMYFUNCTION("IFERROR(GOOGLEFINANCE(TRIM(F632)&amp;"":"" &amp; TRIM(B632),""low52""),AE632)"),0)</f>
        <v>0</v>
      </c>
      <c r="AI632" s="1">
        <f ca="1">IFERROR(__xludf.DUMMYFUNCTION("IFERROR(GOOGLEFINANCE(B632,""eps""),0)"),0)</f>
        <v>0</v>
      </c>
      <c r="AJ632" s="1"/>
      <c r="AK632" s="1" t="s">
        <v>1974</v>
      </c>
      <c r="AL632" s="9">
        <f t="shared" si="130"/>
        <v>1</v>
      </c>
    </row>
    <row r="633" spans="1:38" ht="15" x14ac:dyDescent="0.25">
      <c r="A633" s="1" t="s">
        <v>1975</v>
      </c>
      <c r="B633" s="1" t="s">
        <v>1976</v>
      </c>
      <c r="C633" s="1" t="s">
        <v>135</v>
      </c>
      <c r="D633" s="1" t="s">
        <v>135</v>
      </c>
      <c r="E633" s="6">
        <v>108.28</v>
      </c>
      <c r="F633" s="1" t="s">
        <v>53</v>
      </c>
      <c r="G633" s="6">
        <f ca="1">IFERROR(__xludf.DUMMYFUNCTION("iferror(GOOGLEFINANCE(TRIM(F633)&amp;"":"" &amp; TRIM(B633), ""price""),0
)"),0)</f>
        <v>0</v>
      </c>
      <c r="H633" s="6">
        <v>2679.95</v>
      </c>
      <c r="I633" s="6">
        <f t="shared" ca="1" si="0"/>
        <v>2679.95</v>
      </c>
      <c r="J633" s="6">
        <f ca="1">IFERROR(__xludf.DUMMYFUNCTION("IFERROR(GOOGLEFINANCE(B633, ""volume""), 0)"),0)</f>
        <v>0</v>
      </c>
      <c r="K633" s="6">
        <v>0</v>
      </c>
      <c r="L633" s="6">
        <f ca="1">IFERROR(__xludf.DUMMYFUNCTION("IFERROR(GOOGLEFINANCE(B633,""changepct""),K633)"),0)</f>
        <v>0</v>
      </c>
      <c r="M633" s="6">
        <f ca="1">IFERROR(__xludf.DUMMYFUNCTION("IFERROR(GOOGLEFINANCE(B633,""change""),0)"),0)</f>
        <v>0</v>
      </c>
      <c r="N633" s="6">
        <v>2</v>
      </c>
      <c r="O633" s="7">
        <v>45536</v>
      </c>
      <c r="P633" s="9"/>
      <c r="Q633" s="6">
        <v>100.85</v>
      </c>
      <c r="R633" s="7">
        <v>45536</v>
      </c>
      <c r="S633" s="6">
        <v>48.71</v>
      </c>
      <c r="T633" s="6">
        <v>6.15</v>
      </c>
      <c r="U633" s="7">
        <v>45536</v>
      </c>
      <c r="V633" s="6">
        <v>21.05</v>
      </c>
      <c r="W633" s="6">
        <f ca="1">IFERROR(__xludf.DUMMYFUNCTION("IFERROR(GOOGLEFINANCE(B633,""pe""),V633)"),21.05)</f>
        <v>21.05</v>
      </c>
      <c r="X633" s="6">
        <v>1.43</v>
      </c>
      <c r="Y633" s="6">
        <v>2.5499999999999998</v>
      </c>
      <c r="Z633" s="6">
        <v>2</v>
      </c>
      <c r="AA633" s="8">
        <v>45352</v>
      </c>
      <c r="AB633" s="4">
        <v>0</v>
      </c>
      <c r="AC633" s="6">
        <v>21.54</v>
      </c>
      <c r="AD633" s="6">
        <v>25.54</v>
      </c>
      <c r="AE633" s="1">
        <v>0</v>
      </c>
      <c r="AF633" s="1">
        <f ca="1">IFERROR(__xludf.DUMMYFUNCTION("IFERROR(GOOGLEFINANCE(TRIM(F633)&amp;"":"" &amp; TRIM(B633),""high52""),AE633)"),0)</f>
        <v>0</v>
      </c>
      <c r="AG633" s="1">
        <v>0</v>
      </c>
      <c r="AH633" s="1">
        <f ca="1">IFERROR(__xludf.DUMMYFUNCTION("IFERROR(GOOGLEFINANCE(TRIM(F633)&amp;"":"" &amp; TRIM(B633),""low52""),AE633)"),0)</f>
        <v>0</v>
      </c>
      <c r="AI633" s="1">
        <f ca="1">IFERROR(__xludf.DUMMYFUNCTION("IFERROR(GOOGLEFINANCE(B633,""eps""),0)"),0)</f>
        <v>0</v>
      </c>
      <c r="AJ633" s="1"/>
      <c r="AK633" s="1" t="s">
        <v>1977</v>
      </c>
      <c r="AL633" s="9">
        <f t="shared" si="130"/>
        <v>1</v>
      </c>
    </row>
    <row r="634" spans="1:38" ht="15" x14ac:dyDescent="0.25">
      <c r="A634" s="1" t="s">
        <v>1978</v>
      </c>
      <c r="B634" s="1" t="s">
        <v>1979</v>
      </c>
      <c r="C634" s="1" t="s">
        <v>135</v>
      </c>
      <c r="D634" s="1" t="s">
        <v>135</v>
      </c>
      <c r="E634" s="6">
        <v>64.010000000000005</v>
      </c>
      <c r="F634" s="1" t="s">
        <v>53</v>
      </c>
      <c r="G634" s="6">
        <f ca="1">IFERROR(__xludf.DUMMYFUNCTION("iferror(GOOGLEFINANCE(TRIM(F634)&amp;"":"" &amp; TRIM(B634), ""price""),0
)"),0)</f>
        <v>0</v>
      </c>
      <c r="H634" s="6">
        <v>29</v>
      </c>
      <c r="I634" s="6">
        <f t="shared" ca="1" si="0"/>
        <v>29</v>
      </c>
      <c r="J634" s="6">
        <f ca="1">IFERROR(__xludf.DUMMYFUNCTION("IFERROR(GOOGLEFINANCE(B634, ""volume""), 0)"),0)</f>
        <v>0</v>
      </c>
      <c r="K634" s="6">
        <v>0.17</v>
      </c>
      <c r="L634" s="6">
        <f ca="1">IFERROR(__xludf.DUMMYFUNCTION("IFERROR(GOOGLEFINANCE(B634,""changepct""),K634)"),0.17)</f>
        <v>0.17</v>
      </c>
      <c r="M634" s="6">
        <f ca="1">IFERROR(__xludf.DUMMYFUNCTION("IFERROR(GOOGLEFINANCE(B634,""change""),0)"),0)</f>
        <v>0</v>
      </c>
      <c r="N634" s="6">
        <v>1</v>
      </c>
      <c r="O634" s="7">
        <v>45536</v>
      </c>
      <c r="P634" s="6">
        <v>2.77</v>
      </c>
      <c r="Q634" s="6">
        <v>66.739999999999995</v>
      </c>
      <c r="R634" s="7">
        <v>45536</v>
      </c>
      <c r="S634" s="6">
        <v>86.03</v>
      </c>
      <c r="T634" s="6">
        <v>2.5299999999999998</v>
      </c>
      <c r="U634" s="7">
        <v>45536</v>
      </c>
      <c r="V634" s="6">
        <v>25.3</v>
      </c>
      <c r="W634" s="6">
        <f ca="1">IFERROR(__xludf.DUMMYFUNCTION("IFERROR(GOOGLEFINANCE(B634,""pe""),V634)"),25.3)</f>
        <v>25.3</v>
      </c>
      <c r="X634" s="6">
        <v>2.74</v>
      </c>
      <c r="Y634" s="6">
        <v>2.2000000000000002</v>
      </c>
      <c r="Z634" s="6">
        <v>1</v>
      </c>
      <c r="AA634" s="8">
        <v>45352</v>
      </c>
      <c r="AB634" s="4">
        <v>0.06</v>
      </c>
      <c r="AC634" s="6">
        <v>6.43</v>
      </c>
      <c r="AD634" s="6">
        <v>9.24</v>
      </c>
      <c r="AE634" s="1">
        <v>0</v>
      </c>
      <c r="AF634" s="1">
        <f ca="1">IFERROR(__xludf.DUMMYFUNCTION("IFERROR(GOOGLEFINANCE(TRIM(F634)&amp;"":"" &amp; TRIM(B634),""high52""),AE634)"),0)</f>
        <v>0</v>
      </c>
      <c r="AG634" s="1">
        <v>0</v>
      </c>
      <c r="AH634" s="1">
        <f ca="1">IFERROR(__xludf.DUMMYFUNCTION("IFERROR(GOOGLEFINANCE(TRIM(F634)&amp;"":"" &amp; TRIM(B634),""low52""),AE634)"),0)</f>
        <v>0</v>
      </c>
      <c r="AI634" s="1">
        <f ca="1">IFERROR(__xludf.DUMMYFUNCTION("IFERROR(GOOGLEFINANCE(B634,""eps""),0)"),0)</f>
        <v>0</v>
      </c>
      <c r="AJ634" s="1"/>
      <c r="AK634" s="1" t="s">
        <v>1980</v>
      </c>
      <c r="AL634" s="9">
        <f t="shared" si="130"/>
        <v>1</v>
      </c>
    </row>
    <row r="635" spans="1:38" ht="15" x14ac:dyDescent="0.25">
      <c r="A635" s="1" t="s">
        <v>1981</v>
      </c>
      <c r="B635" s="1" t="s">
        <v>1982</v>
      </c>
      <c r="C635" s="1" t="s">
        <v>264</v>
      </c>
      <c r="D635" s="1" t="s">
        <v>264</v>
      </c>
      <c r="E635" s="6">
        <v>194.16</v>
      </c>
      <c r="F635" s="1" t="s">
        <v>40</v>
      </c>
      <c r="G635" s="6">
        <f ca="1">IFERROR(__xludf.DUMMYFUNCTION("iferror(GOOGLEFINANCE(TRIM(F635)&amp;"":"" &amp; TRIM(B635), ""price""),0
)"),21.45)</f>
        <v>21.45</v>
      </c>
      <c r="H635" s="6">
        <v>24.41</v>
      </c>
      <c r="I635" s="6">
        <f t="shared" ca="1" si="0"/>
        <v>21.45</v>
      </c>
      <c r="J635" s="6">
        <f ca="1">IFERROR(__xludf.DUMMYFUNCTION("IFERROR(GOOGLEFINANCE(B635, ""volume""), 0)"),78202)</f>
        <v>78202</v>
      </c>
      <c r="K635" s="6">
        <v>0.57999999999999996</v>
      </c>
      <c r="L635" s="6">
        <f ca="1">IFERROR(__xludf.DUMMYFUNCTION("IFERROR(GOOGLEFINANCE(B635,""changepct""),K635)"),0.37)</f>
        <v>0.37</v>
      </c>
      <c r="M635" s="6">
        <f ca="1">IFERROR(__xludf.DUMMYFUNCTION("IFERROR(GOOGLEFINANCE(B635,""change""),0)"),0.08)</f>
        <v>0.08</v>
      </c>
      <c r="N635" s="6">
        <v>1</v>
      </c>
      <c r="O635" s="7">
        <v>45536</v>
      </c>
      <c r="P635" s="6">
        <v>45.66</v>
      </c>
      <c r="Q635" s="6">
        <v>223.25</v>
      </c>
      <c r="R635" s="7">
        <v>45536</v>
      </c>
      <c r="S635" s="6">
        <v>395.66</v>
      </c>
      <c r="T635" s="6">
        <v>7.9</v>
      </c>
      <c r="U635" s="7">
        <v>45536</v>
      </c>
      <c r="V635" s="6">
        <v>24.58</v>
      </c>
      <c r="W635" s="6">
        <f ca="1">IFERROR(__xludf.DUMMYFUNCTION("IFERROR(GOOGLEFINANCE(B635,""pe""),V635)"),16.6)</f>
        <v>16.600000000000001</v>
      </c>
      <c r="X635" s="6">
        <v>2.0099999999999998</v>
      </c>
      <c r="Y635" s="6">
        <v>2.4900000000000002</v>
      </c>
      <c r="Z635" s="6">
        <v>1</v>
      </c>
      <c r="AA635" s="8">
        <v>45352</v>
      </c>
      <c r="AB635" s="4">
        <v>0.66</v>
      </c>
      <c r="AC635" s="6">
        <v>10.78</v>
      </c>
      <c r="AD635" s="6">
        <v>17.39</v>
      </c>
      <c r="AE635" s="1">
        <v>0</v>
      </c>
      <c r="AF635" s="1">
        <f ca="1">IFERROR(__xludf.DUMMYFUNCTION("IFERROR(GOOGLEFINANCE(TRIM(F635)&amp;"":"" &amp; TRIM(B635),""high52""),AE635)"),34.75)</f>
        <v>34.75</v>
      </c>
      <c r="AG635" s="1">
        <v>0</v>
      </c>
      <c r="AH635" s="1">
        <f ca="1">IFERROR(__xludf.DUMMYFUNCTION("IFERROR(GOOGLEFINANCE(TRIM(F635)&amp;"":"" &amp; TRIM(B635),""low52""),AE635)"),15.67)</f>
        <v>15.67</v>
      </c>
      <c r="AI635" s="1">
        <f ca="1">IFERROR(__xludf.DUMMYFUNCTION("IFERROR(GOOGLEFINANCE(B635,""eps""),0)"),1.29)</f>
        <v>1.29</v>
      </c>
      <c r="AJ635" s="1"/>
      <c r="AK635" s="1" t="s">
        <v>1983</v>
      </c>
      <c r="AL635" s="1" t="b">
        <f>ISNUMBER(AA635)</f>
        <v>1</v>
      </c>
    </row>
    <row r="636" spans="1:38" ht="15" x14ac:dyDescent="0.25">
      <c r="A636" s="1" t="s">
        <v>1984</v>
      </c>
      <c r="B636" s="1" t="s">
        <v>1985</v>
      </c>
      <c r="C636" s="1" t="s">
        <v>135</v>
      </c>
      <c r="D636" s="1" t="s">
        <v>135</v>
      </c>
      <c r="E636" s="6">
        <v>954.83</v>
      </c>
      <c r="F636" s="1" t="s">
        <v>53</v>
      </c>
      <c r="G636" s="6">
        <f ca="1">IFERROR(__xludf.DUMMYFUNCTION("iferror(GOOGLEFINANCE(TRIM(F636)&amp;"":"" &amp; TRIM(B636), ""price""),0
)"),0)</f>
        <v>0</v>
      </c>
      <c r="H636" s="6">
        <v>39.5</v>
      </c>
      <c r="I636" s="6">
        <f t="shared" ca="1" si="0"/>
        <v>39.5</v>
      </c>
      <c r="J636" s="6">
        <f ca="1">IFERROR(__xludf.DUMMYFUNCTION("IFERROR(GOOGLEFINANCE(B636, ""volume""), 0)"),36448)</f>
        <v>36448</v>
      </c>
      <c r="K636" s="6">
        <v>0.25</v>
      </c>
      <c r="L636" s="6">
        <f ca="1">IFERROR(__xludf.DUMMYFUNCTION("IFERROR(GOOGLEFINANCE(B636,""changepct""),K636)"),1.16)</f>
        <v>1.1599999999999999</v>
      </c>
      <c r="M636" s="6">
        <f ca="1">IFERROR(__xludf.DUMMYFUNCTION("IFERROR(GOOGLEFINANCE(B636,""change""),0)"),0.23)</f>
        <v>0.23</v>
      </c>
      <c r="N636" s="6">
        <v>2</v>
      </c>
      <c r="O636" s="7">
        <v>45536</v>
      </c>
      <c r="P636" s="6">
        <v>169.32</v>
      </c>
      <c r="Q636" s="6">
        <v>1116.75</v>
      </c>
      <c r="R636" s="7">
        <v>45536</v>
      </c>
      <c r="S636" s="6">
        <v>450.19</v>
      </c>
      <c r="T636" s="6">
        <v>-7.01</v>
      </c>
      <c r="U636" s="7">
        <v>45536</v>
      </c>
      <c r="V636" s="6">
        <v>0</v>
      </c>
      <c r="W636" s="6">
        <f ca="1">IFERROR(__xludf.DUMMYFUNCTION("IFERROR(GOOGLEFINANCE(B636,""pe""),V636)"),48.57)</f>
        <v>48.57</v>
      </c>
      <c r="X636" s="9"/>
      <c r="Y636" s="6">
        <v>2.74</v>
      </c>
      <c r="Z636" s="6">
        <v>2</v>
      </c>
      <c r="AA636" s="8">
        <v>45352</v>
      </c>
      <c r="AB636" s="4">
        <v>0.51</v>
      </c>
      <c r="AC636" s="6">
        <v>-7.23</v>
      </c>
      <c r="AD636" s="6">
        <v>-2.5499999999999998</v>
      </c>
      <c r="AE636" s="1">
        <v>0</v>
      </c>
      <c r="AF636" s="1">
        <f ca="1">IFERROR(__xludf.DUMMYFUNCTION("IFERROR(GOOGLEFINANCE(TRIM(F636)&amp;"":"" &amp; TRIM(B636),""high52""),AE636)"),0)</f>
        <v>0</v>
      </c>
      <c r="AG636" s="1">
        <v>0</v>
      </c>
      <c r="AH636" s="1">
        <f ca="1">IFERROR(__xludf.DUMMYFUNCTION("IFERROR(GOOGLEFINANCE(TRIM(F636)&amp;"":"" &amp; TRIM(B636),""low52""),AE636)"),0)</f>
        <v>0</v>
      </c>
      <c r="AI636" s="1">
        <f ca="1">IFERROR(__xludf.DUMMYFUNCTION("IFERROR(GOOGLEFINANCE(B636,""eps""),0)"),0.41)</f>
        <v>0.41</v>
      </c>
      <c r="AJ636" s="1"/>
      <c r="AK636" s="1" t="s">
        <v>1986</v>
      </c>
      <c r="AL636" s="9">
        <f t="shared" ref="AL636:AL638" si="131">IF(AA636&lt;&gt;AB636,1,0)</f>
        <v>1</v>
      </c>
    </row>
    <row r="637" spans="1:38" ht="15" x14ac:dyDescent="0.25">
      <c r="A637" s="1" t="s">
        <v>1987</v>
      </c>
      <c r="B637" s="1" t="s">
        <v>1988</v>
      </c>
      <c r="C637" s="1" t="s">
        <v>850</v>
      </c>
      <c r="D637" s="1" t="s">
        <v>850</v>
      </c>
      <c r="E637" s="6">
        <v>18913.59</v>
      </c>
      <c r="F637" s="1" t="s">
        <v>40</v>
      </c>
      <c r="G637" s="6">
        <f ca="1">IFERROR(__xludf.DUMMYFUNCTION("iferror(GOOGLEFINANCE(TRIM(F637)&amp;"":"" &amp; TRIM(B637), ""price""),0
)"),822)</f>
        <v>822</v>
      </c>
      <c r="H637" s="6">
        <v>847.35</v>
      </c>
      <c r="I637" s="6">
        <f t="shared" ca="1" si="0"/>
        <v>822</v>
      </c>
      <c r="J637" s="6">
        <f ca="1">IFERROR(__xludf.DUMMYFUNCTION("IFERROR(GOOGLEFINANCE(B637, ""volume""), 0)"),205271)</f>
        <v>205271</v>
      </c>
      <c r="K637" s="6">
        <v>-0.77</v>
      </c>
      <c r="L637" s="6">
        <f ca="1">IFERROR(__xludf.DUMMYFUNCTION("IFERROR(GOOGLEFINANCE(B637,""changepct""),K637)"),7.82)</f>
        <v>7.82</v>
      </c>
      <c r="M637" s="6">
        <f ca="1">IFERROR(__xludf.DUMMYFUNCTION("IFERROR(GOOGLEFINANCE(B637,""change""),0)"),59.65)</f>
        <v>59.65</v>
      </c>
      <c r="N637" s="6">
        <v>2</v>
      </c>
      <c r="O637" s="7">
        <v>45536</v>
      </c>
      <c r="P637" s="6">
        <v>1151.81</v>
      </c>
      <c r="Q637" s="6">
        <v>20028.47</v>
      </c>
      <c r="R637" s="7">
        <v>45536</v>
      </c>
      <c r="S637" s="6">
        <v>4187.12</v>
      </c>
      <c r="T637" s="6">
        <v>215.18</v>
      </c>
      <c r="U637" s="7">
        <v>45536</v>
      </c>
      <c r="V637" s="6">
        <v>87.16</v>
      </c>
      <c r="W637" s="6">
        <f ca="1">IFERROR(__xludf.DUMMYFUNCTION("IFERROR(GOOGLEFINANCE(B637,""pe""),V637)"),78.88)</f>
        <v>78.88</v>
      </c>
      <c r="X637" s="6">
        <v>5.1100000000000003</v>
      </c>
      <c r="Y637" s="6">
        <v>8.3800000000000008</v>
      </c>
      <c r="Z637" s="6">
        <v>2</v>
      </c>
      <c r="AA637" s="8">
        <v>45352</v>
      </c>
      <c r="AB637" s="4">
        <v>0.32</v>
      </c>
      <c r="AC637" s="6">
        <v>15.8</v>
      </c>
      <c r="AD637" s="6">
        <v>18.239999999999998</v>
      </c>
      <c r="AE637" s="1">
        <v>0</v>
      </c>
      <c r="AF637" s="1">
        <f ca="1">IFERROR(__xludf.DUMMYFUNCTION("IFERROR(GOOGLEFINANCE(TRIM(F637)&amp;"":"" &amp; TRIM(B637),""high52""),AE637)"),897.1)</f>
        <v>897.1</v>
      </c>
      <c r="AG637" s="1">
        <v>0</v>
      </c>
      <c r="AH637" s="1">
        <f ca="1">IFERROR(__xludf.DUMMYFUNCTION("IFERROR(GOOGLEFINANCE(TRIM(F637)&amp;"":"" &amp; TRIM(B637),""low52""),AE637)"),650)</f>
        <v>650</v>
      </c>
      <c r="AI637" s="1">
        <f ca="1">IFERROR(__xludf.DUMMYFUNCTION("IFERROR(GOOGLEFINANCE(B637,""eps""),0)"),10.42)</f>
        <v>10.42</v>
      </c>
      <c r="AJ637" s="1"/>
      <c r="AK637" s="9"/>
      <c r="AL637" s="9">
        <f t="shared" si="131"/>
        <v>1</v>
      </c>
    </row>
    <row r="638" spans="1:38" ht="15" x14ac:dyDescent="0.25">
      <c r="A638" s="1" t="s">
        <v>1989</v>
      </c>
      <c r="B638" s="1" t="s">
        <v>1990</v>
      </c>
      <c r="C638" s="1" t="s">
        <v>135</v>
      </c>
      <c r="D638" s="1" t="s">
        <v>135</v>
      </c>
      <c r="E638" s="6">
        <v>113.44</v>
      </c>
      <c r="F638" s="1" t="s">
        <v>53</v>
      </c>
      <c r="G638" s="6">
        <f ca="1">IFERROR(__xludf.DUMMYFUNCTION("iferror(GOOGLEFINANCE(TRIM(F638)&amp;"":"" &amp; TRIM(B638), ""price""),0
)"),0)</f>
        <v>0</v>
      </c>
      <c r="H638" s="6">
        <v>100.49</v>
      </c>
      <c r="I638" s="6">
        <f t="shared" ca="1" si="0"/>
        <v>100.49</v>
      </c>
      <c r="J638" s="6">
        <f ca="1">IFERROR(__xludf.DUMMYFUNCTION("IFERROR(GOOGLEFINANCE(B638, ""volume""), 0)"),0)</f>
        <v>0</v>
      </c>
      <c r="K638" s="6">
        <v>2.2599999999999998</v>
      </c>
      <c r="L638" s="6">
        <f ca="1">IFERROR(__xludf.DUMMYFUNCTION("IFERROR(GOOGLEFINANCE(B638,""changepct""),K638)"),2.26)</f>
        <v>2.2599999999999998</v>
      </c>
      <c r="M638" s="6">
        <f ca="1">IFERROR(__xludf.DUMMYFUNCTION("IFERROR(GOOGLEFINANCE(B638,""change""),0)"),0)</f>
        <v>0</v>
      </c>
      <c r="N638" s="6">
        <v>1</v>
      </c>
      <c r="O638" s="7">
        <v>45536</v>
      </c>
      <c r="P638" s="6">
        <v>3.6</v>
      </c>
      <c r="Q638" s="6">
        <v>115.37</v>
      </c>
      <c r="R638" s="7">
        <v>45536</v>
      </c>
      <c r="S638" s="6">
        <v>67.06</v>
      </c>
      <c r="T638" s="6">
        <v>4.03</v>
      </c>
      <c r="U638" s="7">
        <v>45536</v>
      </c>
      <c r="V638" s="6">
        <v>28.17</v>
      </c>
      <c r="W638" s="6">
        <f ca="1">IFERROR(__xludf.DUMMYFUNCTION("IFERROR(GOOGLEFINANCE(B638,""pe""),V638)"),28.17)</f>
        <v>28.17</v>
      </c>
      <c r="X638" s="6">
        <v>-14.98</v>
      </c>
      <c r="Y638" s="6">
        <v>2.02</v>
      </c>
      <c r="Z638" s="6">
        <v>1</v>
      </c>
      <c r="AA638" s="8">
        <v>45352</v>
      </c>
      <c r="AB638" s="4">
        <v>0.08</v>
      </c>
      <c r="AC638" s="6">
        <v>5.71</v>
      </c>
      <c r="AD638" s="6">
        <v>7.9</v>
      </c>
      <c r="AE638" s="1">
        <v>0</v>
      </c>
      <c r="AF638" s="1">
        <f ca="1">IFERROR(__xludf.DUMMYFUNCTION("IFERROR(GOOGLEFINANCE(TRIM(F638)&amp;"":"" &amp; TRIM(B638),""high52""),AE638)"),0)</f>
        <v>0</v>
      </c>
      <c r="AG638" s="1">
        <v>0</v>
      </c>
      <c r="AH638" s="1">
        <f ca="1">IFERROR(__xludf.DUMMYFUNCTION("IFERROR(GOOGLEFINANCE(TRIM(F638)&amp;"":"" &amp; TRIM(B638),""low52""),AE638)"),0)</f>
        <v>0</v>
      </c>
      <c r="AI638" s="1">
        <f ca="1">IFERROR(__xludf.DUMMYFUNCTION("IFERROR(GOOGLEFINANCE(B638,""eps""),0)"),0)</f>
        <v>0</v>
      </c>
      <c r="AJ638" s="1"/>
      <c r="AK638" s="1" t="s">
        <v>1991</v>
      </c>
      <c r="AL638" s="9">
        <f t="shared" si="131"/>
        <v>1</v>
      </c>
    </row>
    <row r="639" spans="1:38" ht="15" x14ac:dyDescent="0.25">
      <c r="A639" s="1" t="s">
        <v>1992</v>
      </c>
      <c r="B639" s="1" t="s">
        <v>1993</v>
      </c>
      <c r="C639" s="1" t="s">
        <v>889</v>
      </c>
      <c r="D639" s="1" t="s">
        <v>889</v>
      </c>
      <c r="E639" s="6">
        <v>9913.24</v>
      </c>
      <c r="F639" s="1" t="s">
        <v>40</v>
      </c>
      <c r="G639" s="6">
        <f ca="1">IFERROR(__xludf.DUMMYFUNCTION("iferror(GOOGLEFINANCE(TRIM(F639)&amp;"":"" &amp; TRIM(B639), ""price""),0
)"),5029.7)</f>
        <v>5029.7</v>
      </c>
      <c r="H639" s="6">
        <v>7585.9</v>
      </c>
      <c r="I639" s="6">
        <f t="shared" ca="1" si="0"/>
        <v>5029.7</v>
      </c>
      <c r="J639" s="6">
        <f ca="1">IFERROR(__xludf.DUMMYFUNCTION("IFERROR(GOOGLEFINANCE(B639, ""volume""), 0)"),9408)</f>
        <v>9408</v>
      </c>
      <c r="K639" s="6">
        <v>-1.3</v>
      </c>
      <c r="L639" s="6">
        <f ca="1">IFERROR(__xludf.DUMMYFUNCTION("IFERROR(GOOGLEFINANCE(B639,""changepct""),K639)"),-0.28)</f>
        <v>-0.28000000000000003</v>
      </c>
      <c r="M639" s="6">
        <f ca="1">IFERROR(__xludf.DUMMYFUNCTION("IFERROR(GOOGLEFINANCE(B639,""change""),0)"),-14)</f>
        <v>-14</v>
      </c>
      <c r="N639" s="6">
        <v>2</v>
      </c>
      <c r="O639" s="7">
        <v>45536</v>
      </c>
      <c r="P639" s="6">
        <v>14.48</v>
      </c>
      <c r="Q639" s="6">
        <v>9896.67</v>
      </c>
      <c r="R639" s="7">
        <v>45536</v>
      </c>
      <c r="S639" s="6">
        <v>1880.99</v>
      </c>
      <c r="T639" s="6">
        <v>243.29</v>
      </c>
      <c r="U639" s="7">
        <v>45536</v>
      </c>
      <c r="V639" s="6">
        <v>41.16</v>
      </c>
      <c r="W639" s="6">
        <f ca="1">IFERROR(__xludf.DUMMYFUNCTION("IFERROR(GOOGLEFINANCE(B639,""pe""),V639)"),27.65)</f>
        <v>27.65</v>
      </c>
      <c r="X639" s="6">
        <v>2.6</v>
      </c>
      <c r="Y639" s="6">
        <v>8.11</v>
      </c>
      <c r="Z639" s="6">
        <v>2</v>
      </c>
      <c r="AA639" s="8">
        <v>45352</v>
      </c>
      <c r="AB639" s="4">
        <v>0.02</v>
      </c>
      <c r="AC639" s="6">
        <v>19.16</v>
      </c>
      <c r="AD639" s="6">
        <v>25.32</v>
      </c>
      <c r="AE639" s="1">
        <v>0</v>
      </c>
      <c r="AF639" s="1">
        <f ca="1">IFERROR(__xludf.DUMMYFUNCTION("IFERROR(GOOGLEFINANCE(TRIM(F639)&amp;"":"" &amp; TRIM(B639),""high52""),AE639)"),7275)</f>
        <v>7275</v>
      </c>
      <c r="AG639" s="1">
        <v>0</v>
      </c>
      <c r="AH639" s="1">
        <f ca="1">IFERROR(__xludf.DUMMYFUNCTION("IFERROR(GOOGLEFINANCE(TRIM(F639)&amp;"":"" &amp; TRIM(B639),""low52""),AE639)"),4796.5)</f>
        <v>4796.5</v>
      </c>
      <c r="AI639" s="1">
        <f ca="1">IFERROR(__xludf.DUMMYFUNCTION("IFERROR(GOOGLEFINANCE(B639,""eps""),0)"),181.93)</f>
        <v>181.93</v>
      </c>
      <c r="AJ639" s="1"/>
      <c r="AK639" s="1" t="s">
        <v>1994</v>
      </c>
      <c r="AL639" s="1" t="b">
        <f>ISNUMBER(AA639)</f>
        <v>1</v>
      </c>
    </row>
    <row r="640" spans="1:38" ht="15" x14ac:dyDescent="0.25">
      <c r="A640" s="1" t="s">
        <v>1995</v>
      </c>
      <c r="B640" s="1" t="s">
        <v>1996</v>
      </c>
      <c r="C640" s="1" t="s">
        <v>227</v>
      </c>
      <c r="D640" s="1" t="s">
        <v>227</v>
      </c>
      <c r="E640" s="6">
        <v>113.67</v>
      </c>
      <c r="F640" s="1" t="s">
        <v>40</v>
      </c>
      <c r="G640" s="6">
        <f ca="1">IFERROR(__xludf.DUMMYFUNCTION("iferror(GOOGLEFINANCE(TRIM(F640)&amp;"":"" &amp; TRIM(B640), ""price""),0
)"),6.08)</f>
        <v>6.08</v>
      </c>
      <c r="H640" s="6">
        <v>10.27</v>
      </c>
      <c r="I640" s="6">
        <f t="shared" ca="1" si="0"/>
        <v>6.08</v>
      </c>
      <c r="J640" s="6">
        <f ca="1">IFERROR(__xludf.DUMMYFUNCTION("IFERROR(GOOGLEFINANCE(B640, ""volume""), 0)"),57335)</f>
        <v>57335</v>
      </c>
      <c r="K640" s="6">
        <v>1.78</v>
      </c>
      <c r="L640" s="6">
        <f ca="1">IFERROR(__xludf.DUMMYFUNCTION("IFERROR(GOOGLEFINANCE(B640,""changepct""),K640)"),4.11)</f>
        <v>4.1100000000000003</v>
      </c>
      <c r="M640" s="6">
        <f ca="1">IFERROR(__xludf.DUMMYFUNCTION("IFERROR(GOOGLEFINANCE(B640,""change""),0)"),0.24)</f>
        <v>0.24</v>
      </c>
      <c r="N640" s="6">
        <v>2</v>
      </c>
      <c r="O640" s="7">
        <v>45536</v>
      </c>
      <c r="P640" s="6">
        <v>40.1</v>
      </c>
      <c r="Q640" s="6">
        <v>152.81</v>
      </c>
      <c r="R640" s="7">
        <v>45536</v>
      </c>
      <c r="S640" s="6">
        <v>49.55</v>
      </c>
      <c r="T640" s="6">
        <v>-56.62</v>
      </c>
      <c r="U640" s="7">
        <v>45536</v>
      </c>
      <c r="V640" s="6">
        <v>0</v>
      </c>
      <c r="W640" s="6">
        <f ca="1">IFERROR(__xludf.DUMMYFUNCTION("IFERROR(GOOGLEFINANCE(B640,""pe""),V640)"),0)</f>
        <v>0</v>
      </c>
      <c r="X640" s="12"/>
      <c r="Y640" s="6">
        <v>0.63</v>
      </c>
      <c r="Z640" s="6">
        <v>2</v>
      </c>
      <c r="AA640" s="8">
        <v>45352</v>
      </c>
      <c r="AB640" s="4">
        <v>0.18</v>
      </c>
      <c r="AC640" s="6">
        <v>-20.46</v>
      </c>
      <c r="AD640" s="6">
        <v>-17.97</v>
      </c>
      <c r="AE640" s="1">
        <v>0</v>
      </c>
      <c r="AF640" s="1">
        <f ca="1">IFERROR(__xludf.DUMMYFUNCTION("IFERROR(GOOGLEFINANCE(TRIM(F640)&amp;"":"" &amp; TRIM(B640),""high52""),AE640)"),10.08)</f>
        <v>10.08</v>
      </c>
      <c r="AG640" s="1">
        <v>0</v>
      </c>
      <c r="AH640" s="1">
        <f ca="1">IFERROR(__xludf.DUMMYFUNCTION("IFERROR(GOOGLEFINANCE(TRIM(F640)&amp;"":"" &amp; TRIM(B640),""low52""),AE640)"),3.99)</f>
        <v>3.99</v>
      </c>
      <c r="AI640" s="1">
        <f ca="1">IFERROR(__xludf.DUMMYFUNCTION("IFERROR(GOOGLEFINANCE(B640,""eps""),0)"),-3.55)</f>
        <v>-3.55</v>
      </c>
      <c r="AJ640" s="1"/>
      <c r="AK640" s="1" t="s">
        <v>1997</v>
      </c>
      <c r="AL640" s="9">
        <f t="shared" ref="AL640:AL683" si="132">IF(AA640&lt;&gt;AB640,1,0)</f>
        <v>1</v>
      </c>
    </row>
    <row r="641" spans="1:38" ht="15" x14ac:dyDescent="0.25">
      <c r="A641" s="1" t="s">
        <v>1998</v>
      </c>
      <c r="B641" s="1" t="s">
        <v>1999</v>
      </c>
      <c r="C641" s="1" t="s">
        <v>135</v>
      </c>
      <c r="D641" s="1" t="s">
        <v>135</v>
      </c>
      <c r="E641" s="6">
        <v>9.32</v>
      </c>
      <c r="F641" s="1" t="s">
        <v>53</v>
      </c>
      <c r="G641" s="6">
        <f ca="1">IFERROR(__xludf.DUMMYFUNCTION("iferror(GOOGLEFINANCE(TRIM(F641)&amp;"":"" &amp; TRIM(B641), ""price""),0
)"),0)</f>
        <v>0</v>
      </c>
      <c r="H641" s="6">
        <v>0.41</v>
      </c>
      <c r="I641" s="6">
        <f t="shared" ca="1" si="0"/>
        <v>0.41</v>
      </c>
      <c r="J641" s="6">
        <f ca="1">IFERROR(__xludf.DUMMYFUNCTION("IFERROR(GOOGLEFINANCE(B641, ""volume""), 0)"),0)</f>
        <v>0</v>
      </c>
      <c r="K641" s="6">
        <v>0</v>
      </c>
      <c r="L641" s="6">
        <f ca="1">IFERROR(__xludf.DUMMYFUNCTION("IFERROR(GOOGLEFINANCE(B641,""changepct""),K641)"),0)</f>
        <v>0</v>
      </c>
      <c r="M641" s="6">
        <f ca="1">IFERROR(__xludf.DUMMYFUNCTION("IFERROR(GOOGLEFINANCE(B641,""change""),0)"),0)</f>
        <v>0</v>
      </c>
      <c r="N641" s="6">
        <v>1</v>
      </c>
      <c r="O641" s="7">
        <v>45536</v>
      </c>
      <c r="P641" s="9"/>
      <c r="Q641" s="6">
        <v>9.23</v>
      </c>
      <c r="R641" s="7">
        <v>45536</v>
      </c>
      <c r="S641" s="6">
        <v>4.51</v>
      </c>
      <c r="T641" s="6">
        <v>0.6</v>
      </c>
      <c r="U641" s="7">
        <v>45536</v>
      </c>
      <c r="V641" s="6">
        <v>15.66</v>
      </c>
      <c r="W641" s="6">
        <f ca="1">IFERROR(__xludf.DUMMYFUNCTION("IFERROR(GOOGLEFINANCE(B641,""pe""),V641)"),15.66)</f>
        <v>15.66</v>
      </c>
      <c r="X641" s="6">
        <v>0.9</v>
      </c>
      <c r="Y641" s="6">
        <v>0.23</v>
      </c>
      <c r="Z641" s="6">
        <v>1</v>
      </c>
      <c r="AA641" s="8">
        <v>45352</v>
      </c>
      <c r="AB641" s="4">
        <v>0</v>
      </c>
      <c r="AC641" s="6">
        <v>1.93</v>
      </c>
      <c r="AD641" s="6">
        <v>2.0699999999999998</v>
      </c>
      <c r="AE641" s="1">
        <v>0</v>
      </c>
      <c r="AF641" s="1">
        <f ca="1">IFERROR(__xludf.DUMMYFUNCTION("IFERROR(GOOGLEFINANCE(TRIM(F641)&amp;"":"" &amp; TRIM(B641),""high52""),AE641)"),0)</f>
        <v>0</v>
      </c>
      <c r="AG641" s="1">
        <v>0</v>
      </c>
      <c r="AH641" s="1">
        <f ca="1">IFERROR(__xludf.DUMMYFUNCTION("IFERROR(GOOGLEFINANCE(TRIM(F641)&amp;"":"" &amp; TRIM(B641),""low52""),AE641)"),0)</f>
        <v>0</v>
      </c>
      <c r="AI641" s="1">
        <f ca="1">IFERROR(__xludf.DUMMYFUNCTION("IFERROR(GOOGLEFINANCE(B641,""eps""),0)"),0)</f>
        <v>0</v>
      </c>
      <c r="AJ641" s="1"/>
      <c r="AK641" s="1" t="s">
        <v>2000</v>
      </c>
      <c r="AL641" s="9">
        <f t="shared" si="132"/>
        <v>1</v>
      </c>
    </row>
    <row r="642" spans="1:38" ht="15" x14ac:dyDescent="0.25">
      <c r="A642" s="1" t="s">
        <v>2001</v>
      </c>
      <c r="B642" s="1" t="s">
        <v>2002</v>
      </c>
      <c r="C642" s="1" t="s">
        <v>268</v>
      </c>
      <c r="D642" s="1" t="s">
        <v>268</v>
      </c>
      <c r="E642" s="6">
        <v>25066.54</v>
      </c>
      <c r="F642" s="1" t="s">
        <v>40</v>
      </c>
      <c r="G642" s="6">
        <f ca="1">IFERROR(__xludf.DUMMYFUNCTION("iferror(GOOGLEFINANCE(TRIM(F642)&amp;"":"" &amp; TRIM(B642), ""price""),0
)"),143.06)</f>
        <v>143.06</v>
      </c>
      <c r="H642" s="6">
        <v>188.05</v>
      </c>
      <c r="I642" s="6">
        <f t="shared" ca="1" si="0"/>
        <v>143.06</v>
      </c>
      <c r="J642" s="6">
        <f ca="1">IFERROR(__xludf.DUMMYFUNCTION("IFERROR(GOOGLEFINANCE(B642, ""volume""), 0)"),2759062)</f>
        <v>2759062</v>
      </c>
      <c r="K642" s="6">
        <v>-0.67</v>
      </c>
      <c r="L642" s="6">
        <f ca="1">IFERROR(__xludf.DUMMYFUNCTION("IFERROR(GOOGLEFINANCE(B642,""changepct""),K642)"),-1.6)</f>
        <v>-1.6</v>
      </c>
      <c r="M642" s="6">
        <f ca="1">IFERROR(__xludf.DUMMYFUNCTION("IFERROR(GOOGLEFINANCE(B642,""change""),0)"),-2.33)</f>
        <v>-2.33</v>
      </c>
      <c r="N642" s="6">
        <v>2</v>
      </c>
      <c r="O642" s="7">
        <v>45536</v>
      </c>
      <c r="P642" s="6">
        <v>15376</v>
      </c>
      <c r="Q642" s="6">
        <v>37362.54</v>
      </c>
      <c r="R642" s="7">
        <v>45536</v>
      </c>
      <c r="S642" s="6">
        <v>16194</v>
      </c>
      <c r="T642" s="6">
        <v>1477</v>
      </c>
      <c r="U642" s="7">
        <v>45536</v>
      </c>
      <c r="V642" s="6">
        <v>17.75</v>
      </c>
      <c r="W642" s="6">
        <f ca="1">IFERROR(__xludf.DUMMYFUNCTION("IFERROR(GOOGLEFINANCE(B642,""pe""),V642)"),13.08)</f>
        <v>13.08</v>
      </c>
      <c r="X642" s="6">
        <v>5.82</v>
      </c>
      <c r="Y642" s="6">
        <v>2.0699999999999998</v>
      </c>
      <c r="Z642" s="6">
        <v>2</v>
      </c>
      <c r="AA642" s="8">
        <v>45352</v>
      </c>
      <c r="AB642" s="4">
        <v>1.25</v>
      </c>
      <c r="AC642" s="6">
        <v>12.95</v>
      </c>
      <c r="AD642" s="6">
        <v>12.05</v>
      </c>
      <c r="AE642" s="1">
        <v>0</v>
      </c>
      <c r="AF642" s="1">
        <f ca="1">IFERROR(__xludf.DUMMYFUNCTION("IFERROR(GOOGLEFINANCE(TRIM(F642)&amp;"":"" &amp; TRIM(B642),""high52""),AE642)"),185.26)</f>
        <v>185.26</v>
      </c>
      <c r="AG642" s="1">
        <v>0</v>
      </c>
      <c r="AH642" s="1">
        <f ca="1">IFERROR(__xludf.DUMMYFUNCTION("IFERROR(GOOGLEFINANCE(TRIM(F642)&amp;"":"" &amp; TRIM(B642),""low52""),AE642)"),119)</f>
        <v>119</v>
      </c>
      <c r="AI642" s="1">
        <f ca="1">IFERROR(__xludf.DUMMYFUNCTION("IFERROR(GOOGLEFINANCE(B642,""eps""),0)"),10.94)</f>
        <v>10.94</v>
      </c>
      <c r="AJ642" s="1"/>
      <c r="AK642" s="1" t="s">
        <v>2003</v>
      </c>
      <c r="AL642" s="9">
        <f t="shared" si="132"/>
        <v>1</v>
      </c>
    </row>
    <row r="643" spans="1:38" ht="15" x14ac:dyDescent="0.25">
      <c r="A643" s="1" t="s">
        <v>2004</v>
      </c>
      <c r="B643" s="1" t="s">
        <v>2005</v>
      </c>
      <c r="C643" s="1" t="s">
        <v>125</v>
      </c>
      <c r="D643" s="1" t="s">
        <v>125</v>
      </c>
      <c r="E643" s="6">
        <v>114358.7</v>
      </c>
      <c r="F643" s="1" t="s">
        <v>40</v>
      </c>
      <c r="G643" s="6">
        <f ca="1">IFERROR(__xludf.DUMMYFUNCTION("iferror(GOOGLEFINANCE(TRIM(F643)&amp;"":"" &amp; TRIM(B643), ""price""),0
)"),607.9)</f>
        <v>607.9</v>
      </c>
      <c r="H643" s="6">
        <v>745.1</v>
      </c>
      <c r="I643" s="6">
        <f t="shared" ca="1" si="0"/>
        <v>607.9</v>
      </c>
      <c r="J643" s="6">
        <f ca="1">IFERROR(__xludf.DUMMYFUNCTION("IFERROR(GOOGLEFINANCE(B643, ""volume""), 0)"),3460394)</f>
        <v>3460394</v>
      </c>
      <c r="K643" s="6">
        <v>-0.39</v>
      </c>
      <c r="L643" s="6">
        <f ca="1">IFERROR(__xludf.DUMMYFUNCTION("IFERROR(GOOGLEFINANCE(B643,""changepct""),K643)"),1.84)</f>
        <v>1.84</v>
      </c>
      <c r="M643" s="6">
        <f ca="1">IFERROR(__xludf.DUMMYFUNCTION("IFERROR(GOOGLEFINANCE(B643,""change""),0)"),11)</f>
        <v>11</v>
      </c>
      <c r="N643" s="6">
        <v>2</v>
      </c>
      <c r="O643" s="7">
        <v>45536</v>
      </c>
      <c r="P643" s="6">
        <v>0.39</v>
      </c>
      <c r="Q643" s="6">
        <v>113487.9</v>
      </c>
      <c r="R643" s="7">
        <v>45536</v>
      </c>
      <c r="S643" s="6">
        <v>8810.68</v>
      </c>
      <c r="T643" s="6">
        <v>891.28</v>
      </c>
      <c r="U643" s="7">
        <v>45536</v>
      </c>
      <c r="V643" s="6">
        <v>79.239999999999995</v>
      </c>
      <c r="W643" s="6">
        <f ca="1">IFERROR(__xludf.DUMMYFUNCTION("IFERROR(GOOGLEFINANCE(B643,""pe""),V643)"),84.75)</f>
        <v>84.75</v>
      </c>
      <c r="X643" s="6">
        <v>1.78</v>
      </c>
      <c r="Y643" s="6">
        <v>32.46</v>
      </c>
      <c r="Z643" s="6">
        <v>2</v>
      </c>
      <c r="AA643" s="8">
        <v>45352</v>
      </c>
      <c r="AB643" s="4">
        <v>0</v>
      </c>
      <c r="AC643" s="6">
        <v>36.44</v>
      </c>
      <c r="AD643" s="6">
        <v>48.88</v>
      </c>
      <c r="AE643" s="1">
        <v>0</v>
      </c>
      <c r="AF643" s="1">
        <f ca="1">IFERROR(__xludf.DUMMYFUNCTION("IFERROR(GOOGLEFINANCE(TRIM(F643)&amp;"":"" &amp; TRIM(B643),""high52""),AE643)"),797.55)</f>
        <v>797.55</v>
      </c>
      <c r="AG643" s="1">
        <v>0</v>
      </c>
      <c r="AH643" s="1">
        <f ca="1">IFERROR(__xludf.DUMMYFUNCTION("IFERROR(GOOGLEFINANCE(TRIM(F643)&amp;"":"" &amp; TRIM(B643),""low52""),AE643)"),517.7)</f>
        <v>517.70000000000005</v>
      </c>
      <c r="AI643" s="1">
        <f ca="1">IFERROR(__xludf.DUMMYFUNCTION("IFERROR(GOOGLEFINANCE(B643,""eps""),0)"),7.17)</f>
        <v>7.17</v>
      </c>
      <c r="AJ643" s="1"/>
      <c r="AK643" s="1" t="s">
        <v>2006</v>
      </c>
      <c r="AL643" s="9">
        <f t="shared" si="132"/>
        <v>1</v>
      </c>
    </row>
    <row r="644" spans="1:38" ht="15" x14ac:dyDescent="0.25">
      <c r="A644" s="1" t="s">
        <v>2007</v>
      </c>
      <c r="B644" s="1" t="s">
        <v>2008</v>
      </c>
      <c r="C644" s="1" t="s">
        <v>410</v>
      </c>
      <c r="D644" s="1" t="s">
        <v>410</v>
      </c>
      <c r="E644" s="6">
        <v>22038.27</v>
      </c>
      <c r="F644" s="1" t="s">
        <v>40</v>
      </c>
      <c r="G644" s="6">
        <f ca="1">IFERROR(__xludf.DUMMYFUNCTION("iferror(GOOGLEFINANCE(TRIM(F644)&amp;"":"" &amp; TRIM(B644), ""price""),0
)"),859.95)</f>
        <v>859.95</v>
      </c>
      <c r="H644" s="6">
        <v>995.25</v>
      </c>
      <c r="I644" s="6">
        <f t="shared" ca="1" si="0"/>
        <v>859.95</v>
      </c>
      <c r="J644" s="6">
        <f ca="1">IFERROR(__xludf.DUMMYFUNCTION("IFERROR(GOOGLEFINANCE(B644, ""volume""), 0)"),102871)</f>
        <v>102871</v>
      </c>
      <c r="K644" s="6">
        <v>-1.41</v>
      </c>
      <c r="L644" s="6">
        <f ca="1">IFERROR(__xludf.DUMMYFUNCTION("IFERROR(GOOGLEFINANCE(B644,""changepct""),K644)"),0.44)</f>
        <v>0.44</v>
      </c>
      <c r="M644" s="6">
        <f ca="1">IFERROR(__xludf.DUMMYFUNCTION("IFERROR(GOOGLEFINANCE(B644,""change""),0)"),3.75)</f>
        <v>3.75</v>
      </c>
      <c r="N644" s="6">
        <v>2</v>
      </c>
      <c r="O644" s="7">
        <v>45536</v>
      </c>
      <c r="P644" s="6">
        <v>2021.54</v>
      </c>
      <c r="Q644" s="6">
        <v>23972.37</v>
      </c>
      <c r="R644" s="7">
        <v>45536</v>
      </c>
      <c r="S644" s="6">
        <v>1529.99</v>
      </c>
      <c r="T644" s="6">
        <v>75.22</v>
      </c>
      <c r="U644" s="7">
        <v>45536</v>
      </c>
      <c r="V644" s="6">
        <v>292.93</v>
      </c>
      <c r="W644" s="6">
        <f ca="1">IFERROR(__xludf.DUMMYFUNCTION("IFERROR(GOOGLEFINANCE(B644,""pe""),V644)"),32.58)</f>
        <v>32.58</v>
      </c>
      <c r="X644" s="6">
        <v>2.4900000000000002</v>
      </c>
      <c r="Y644" s="6">
        <v>7.81</v>
      </c>
      <c r="Z644" s="6">
        <v>2</v>
      </c>
      <c r="AA644" s="8">
        <v>45352</v>
      </c>
      <c r="AB644" s="4">
        <v>1.61</v>
      </c>
      <c r="AC644" s="6">
        <v>16.510000000000002</v>
      </c>
      <c r="AD644" s="6">
        <v>10.199999999999999</v>
      </c>
      <c r="AE644" s="1">
        <v>0</v>
      </c>
      <c r="AF644" s="1">
        <f ca="1">IFERROR(__xludf.DUMMYFUNCTION("IFERROR(GOOGLEFINANCE(TRIM(F644)&amp;"":"" &amp; TRIM(B644),""high52""),AE644)"),1082)</f>
        <v>1082</v>
      </c>
      <c r="AG644" s="1">
        <v>0</v>
      </c>
      <c r="AH644" s="1">
        <f ca="1">IFERROR(__xludf.DUMMYFUNCTION("IFERROR(GOOGLEFINANCE(TRIM(F644)&amp;"":"" &amp; TRIM(B644),""low52""),AE644)"),634.05)</f>
        <v>634.04999999999995</v>
      </c>
      <c r="AI644" s="1">
        <f ca="1">IFERROR(__xludf.DUMMYFUNCTION("IFERROR(GOOGLEFINANCE(B644,""eps""),0)"),26.39)</f>
        <v>26.39</v>
      </c>
      <c r="AJ644" s="1"/>
      <c r="AK644" s="1" t="s">
        <v>2009</v>
      </c>
      <c r="AL644" s="9">
        <f t="shared" si="132"/>
        <v>1</v>
      </c>
    </row>
    <row r="645" spans="1:38" ht="15" x14ac:dyDescent="0.25">
      <c r="A645" s="1" t="s">
        <v>2010</v>
      </c>
      <c r="B645" s="1" t="s">
        <v>2011</v>
      </c>
      <c r="C645" s="1" t="s">
        <v>135</v>
      </c>
      <c r="D645" s="1" t="s">
        <v>135</v>
      </c>
      <c r="E645" s="6">
        <v>60.09</v>
      </c>
      <c r="F645" s="1" t="s">
        <v>53</v>
      </c>
      <c r="G645" s="6">
        <f ca="1">IFERROR(__xludf.DUMMYFUNCTION("iferror(GOOGLEFINANCE(TRIM(F645)&amp;"":"" &amp; TRIM(B645), ""price""),0
)"),0)</f>
        <v>0</v>
      </c>
      <c r="H645" s="6">
        <v>135.35</v>
      </c>
      <c r="I645" s="6">
        <f t="shared" ca="1" si="0"/>
        <v>135.35</v>
      </c>
      <c r="J645" s="6">
        <f ca="1">IFERROR(__xludf.DUMMYFUNCTION("IFERROR(GOOGLEFINANCE(B645, ""volume""), 0)"),0)</f>
        <v>0</v>
      </c>
      <c r="K645" s="6">
        <v>0.15</v>
      </c>
      <c r="L645" s="6">
        <f ca="1">IFERROR(__xludf.DUMMYFUNCTION("IFERROR(GOOGLEFINANCE(B645,""changepct""),K645)"),0.15)</f>
        <v>0.15</v>
      </c>
      <c r="M645" s="6">
        <f ca="1">IFERROR(__xludf.DUMMYFUNCTION("IFERROR(GOOGLEFINANCE(B645,""change""),0)"),0)</f>
        <v>0</v>
      </c>
      <c r="N645" s="6">
        <v>1</v>
      </c>
      <c r="O645" s="7">
        <v>45536</v>
      </c>
      <c r="P645" s="6">
        <v>25.74</v>
      </c>
      <c r="Q645" s="6">
        <v>82.45</v>
      </c>
      <c r="R645" s="7">
        <v>45536</v>
      </c>
      <c r="S645" s="6">
        <v>136.62</v>
      </c>
      <c r="T645" s="6">
        <v>3.76</v>
      </c>
      <c r="U645" s="7">
        <v>45536</v>
      </c>
      <c r="V645" s="6">
        <v>15.96</v>
      </c>
      <c r="W645" s="6">
        <f ca="1">IFERROR(__xludf.DUMMYFUNCTION("IFERROR(GOOGLEFINANCE(B645,""pe""),V645)"),15.96)</f>
        <v>15.96</v>
      </c>
      <c r="X645" s="6">
        <v>0.74</v>
      </c>
      <c r="Y645" s="6">
        <v>2.64</v>
      </c>
      <c r="Z645" s="6">
        <v>1</v>
      </c>
      <c r="AA645" s="8">
        <v>45352</v>
      </c>
      <c r="AB645" s="4">
        <v>1.32</v>
      </c>
      <c r="AC645" s="6">
        <v>12</v>
      </c>
      <c r="AD645" s="6">
        <v>12.41</v>
      </c>
      <c r="AE645" s="1">
        <v>0</v>
      </c>
      <c r="AF645" s="1">
        <f ca="1">IFERROR(__xludf.DUMMYFUNCTION("IFERROR(GOOGLEFINANCE(TRIM(F645)&amp;"":"" &amp; TRIM(B645),""high52""),AE645)"),0)</f>
        <v>0</v>
      </c>
      <c r="AG645" s="1">
        <v>0</v>
      </c>
      <c r="AH645" s="1">
        <f ca="1">IFERROR(__xludf.DUMMYFUNCTION("IFERROR(GOOGLEFINANCE(TRIM(F645)&amp;"":"" &amp; TRIM(B645),""low52""),AE645)"),0)</f>
        <v>0</v>
      </c>
      <c r="AI645" s="1">
        <f ca="1">IFERROR(__xludf.DUMMYFUNCTION("IFERROR(GOOGLEFINANCE(B645,""eps""),0)"),0)</f>
        <v>0</v>
      </c>
      <c r="AJ645" s="1"/>
      <c r="AK645" s="1" t="s">
        <v>2012</v>
      </c>
      <c r="AL645" s="9">
        <f t="shared" si="132"/>
        <v>1</v>
      </c>
    </row>
    <row r="646" spans="1:38" ht="15" x14ac:dyDescent="0.25">
      <c r="A646" s="1" t="s">
        <v>2013</v>
      </c>
      <c r="B646" s="1" t="s">
        <v>2014</v>
      </c>
      <c r="C646" s="1" t="s">
        <v>324</v>
      </c>
      <c r="D646" s="1" t="s">
        <v>324</v>
      </c>
      <c r="E646" s="6">
        <v>2101.16</v>
      </c>
      <c r="F646" s="1" t="s">
        <v>40</v>
      </c>
      <c r="G646" s="6">
        <f ca="1">IFERROR(__xludf.DUMMYFUNCTION("iferror(GOOGLEFINANCE(TRIM(F646)&amp;"":"" &amp; TRIM(B646), ""price""),0
)"),238)</f>
        <v>238</v>
      </c>
      <c r="H646" s="6">
        <v>420</v>
      </c>
      <c r="I646" s="6">
        <f t="shared" ca="1" si="0"/>
        <v>238</v>
      </c>
      <c r="J646" s="6">
        <f ca="1">IFERROR(__xludf.DUMMYFUNCTION("IFERROR(GOOGLEFINANCE(B646, ""volume""), 0)"),27770)</f>
        <v>27770</v>
      </c>
      <c r="K646" s="6">
        <v>-0.53</v>
      </c>
      <c r="L646" s="6">
        <f ca="1">IFERROR(__xludf.DUMMYFUNCTION("IFERROR(GOOGLEFINANCE(B646,""changepct""),K646)"),-0.81)</f>
        <v>-0.81</v>
      </c>
      <c r="M646" s="6">
        <f ca="1">IFERROR(__xludf.DUMMYFUNCTION("IFERROR(GOOGLEFINANCE(B646,""change""),0)"),-1.95)</f>
        <v>-1.95</v>
      </c>
      <c r="N646" s="6">
        <v>1</v>
      </c>
      <c r="O646" s="7">
        <v>45536</v>
      </c>
      <c r="P646" s="6">
        <v>47.55</v>
      </c>
      <c r="Q646" s="6">
        <v>1949.04</v>
      </c>
      <c r="R646" s="7">
        <v>45536</v>
      </c>
      <c r="S646" s="6">
        <v>1515.87</v>
      </c>
      <c r="T646" s="6">
        <v>111.26</v>
      </c>
      <c r="U646" s="7">
        <v>45536</v>
      </c>
      <c r="V646" s="6">
        <v>18.89</v>
      </c>
      <c r="W646" s="6">
        <f ca="1">IFERROR(__xludf.DUMMYFUNCTION("IFERROR(GOOGLEFINANCE(B646,""pe""),V646)"),13.01)</f>
        <v>13.01</v>
      </c>
      <c r="X646" s="6">
        <v>0.69</v>
      </c>
      <c r="Y646" s="6">
        <v>3.53</v>
      </c>
      <c r="Z646" s="6">
        <v>1</v>
      </c>
      <c r="AA646" s="8">
        <v>45352</v>
      </c>
      <c r="AB646" s="4">
        <v>0.28000000000000003</v>
      </c>
      <c r="AC646" s="6">
        <v>19.89</v>
      </c>
      <c r="AD646" s="6">
        <v>22.54</v>
      </c>
      <c r="AE646" s="1">
        <v>0</v>
      </c>
      <c r="AF646" s="1">
        <f ca="1">IFERROR(__xludf.DUMMYFUNCTION("IFERROR(GOOGLEFINANCE(TRIM(F646)&amp;"":"" &amp; TRIM(B646),""high52""),AE646)"),395.75)</f>
        <v>395.75</v>
      </c>
      <c r="AG646" s="1">
        <v>0</v>
      </c>
      <c r="AH646" s="1">
        <f ca="1">IFERROR(__xludf.DUMMYFUNCTION("IFERROR(GOOGLEFINANCE(TRIM(F646)&amp;"":"" &amp; TRIM(B646),""low52""),AE646)"),228.8)</f>
        <v>228.8</v>
      </c>
      <c r="AI646" s="1">
        <f ca="1">IFERROR(__xludf.DUMMYFUNCTION("IFERROR(GOOGLEFINANCE(B646,""eps""),0)"),18.29)</f>
        <v>18.29</v>
      </c>
      <c r="AJ646" s="1"/>
      <c r="AK646" s="1" t="s">
        <v>2015</v>
      </c>
      <c r="AL646" s="9">
        <f t="shared" si="132"/>
        <v>1</v>
      </c>
    </row>
    <row r="647" spans="1:38" ht="15" x14ac:dyDescent="0.25">
      <c r="A647" s="1" t="s">
        <v>2016</v>
      </c>
      <c r="B647" s="1" t="s">
        <v>2017</v>
      </c>
      <c r="C647" s="1" t="s">
        <v>2018</v>
      </c>
      <c r="D647" s="1" t="s">
        <v>2018</v>
      </c>
      <c r="E647" s="6">
        <v>339.82</v>
      </c>
      <c r="F647" s="1" t="s">
        <v>40</v>
      </c>
      <c r="G647" s="6">
        <f ca="1">IFERROR(__xludf.DUMMYFUNCTION("iferror(GOOGLEFINANCE(TRIM(F647)&amp;"":"" &amp; TRIM(B647), ""price""),0
)"),0)</f>
        <v>0</v>
      </c>
      <c r="H647" s="6">
        <v>143.6</v>
      </c>
      <c r="I647" s="6">
        <f t="shared" ca="1" si="0"/>
        <v>143.6</v>
      </c>
      <c r="J647" s="6">
        <f ca="1">IFERROR(__xludf.DUMMYFUNCTION("IFERROR(GOOGLEFINANCE(B647, ""volume""), 0)"),0)</f>
        <v>0</v>
      </c>
      <c r="K647" s="6">
        <v>1.99</v>
      </c>
      <c r="L647" s="6">
        <f ca="1">IFERROR(__xludf.DUMMYFUNCTION("IFERROR(GOOGLEFINANCE(B647,""changepct""),K647)"),1.99)</f>
        <v>1.99</v>
      </c>
      <c r="M647" s="6">
        <f ca="1">IFERROR(__xludf.DUMMYFUNCTION("IFERROR(GOOGLEFINANCE(B647,""change""),0)"),0)</f>
        <v>0</v>
      </c>
      <c r="N647" s="6">
        <v>1</v>
      </c>
      <c r="O647" s="7">
        <v>45536</v>
      </c>
      <c r="P647" s="6">
        <v>195.61</v>
      </c>
      <c r="Q647" s="6">
        <v>535.41999999999996</v>
      </c>
      <c r="R647" s="7">
        <v>45352</v>
      </c>
      <c r="S647" s="6">
        <v>188.87</v>
      </c>
      <c r="T647" s="6">
        <v>12.52</v>
      </c>
      <c r="U647" s="7">
        <v>45352</v>
      </c>
      <c r="V647" s="6">
        <v>27.13</v>
      </c>
      <c r="W647" s="6">
        <f ca="1">IFERROR(__xludf.DUMMYFUNCTION("IFERROR(GOOGLEFINANCE(B647,""pe""),V647)"),27.13)</f>
        <v>27.13</v>
      </c>
      <c r="X647" s="12"/>
      <c r="Y647" s="6">
        <v>3.79</v>
      </c>
      <c r="Z647" s="6">
        <v>1</v>
      </c>
      <c r="AA647" s="8">
        <v>45352</v>
      </c>
      <c r="AB647" s="4">
        <v>1.44</v>
      </c>
      <c r="AC647" s="6">
        <v>15.04</v>
      </c>
      <c r="AD647" s="6">
        <v>11.36</v>
      </c>
      <c r="AE647" s="1">
        <v>0</v>
      </c>
      <c r="AF647" s="1">
        <f ca="1">IFERROR(__xludf.DUMMYFUNCTION("IFERROR(GOOGLEFINANCE(TRIM(F647)&amp;"":"" &amp; TRIM(B647),""high52""),AE647)"),0)</f>
        <v>0</v>
      </c>
      <c r="AG647" s="1">
        <v>0</v>
      </c>
      <c r="AH647" s="1">
        <f ca="1">IFERROR(__xludf.DUMMYFUNCTION("IFERROR(GOOGLEFINANCE(TRIM(F647)&amp;"":"" &amp; TRIM(B647),""low52""),AE647)"),0)</f>
        <v>0</v>
      </c>
      <c r="AI647" s="1">
        <f ca="1">IFERROR(__xludf.DUMMYFUNCTION("IFERROR(GOOGLEFINANCE(B647,""eps""),0)"),0)</f>
        <v>0</v>
      </c>
      <c r="AJ647" s="1"/>
      <c r="AK647" s="1" t="s">
        <v>2019</v>
      </c>
      <c r="AL647" s="9">
        <f t="shared" si="132"/>
        <v>1</v>
      </c>
    </row>
    <row r="648" spans="1:38" ht="15" x14ac:dyDescent="0.25">
      <c r="A648" s="1" t="s">
        <v>2020</v>
      </c>
      <c r="B648" s="1" t="s">
        <v>2021</v>
      </c>
      <c r="C648" s="1" t="s">
        <v>135</v>
      </c>
      <c r="D648" s="1" t="s">
        <v>135</v>
      </c>
      <c r="E648" s="6">
        <v>20.97</v>
      </c>
      <c r="F648" s="1" t="s">
        <v>53</v>
      </c>
      <c r="G648" s="6">
        <f ca="1">IFERROR(__xludf.DUMMYFUNCTION("iferror(GOOGLEFINANCE(TRIM(F648)&amp;"":"" &amp; TRIM(B648), ""price""),0
)"),0)</f>
        <v>0</v>
      </c>
      <c r="H648" s="6">
        <v>38.39</v>
      </c>
      <c r="I648" s="6">
        <f t="shared" ca="1" si="0"/>
        <v>38.39</v>
      </c>
      <c r="J648" s="6">
        <f ca="1">IFERROR(__xludf.DUMMYFUNCTION("IFERROR(GOOGLEFINANCE(B648, ""volume""), 0)"),10735)</f>
        <v>10735</v>
      </c>
      <c r="K648" s="9"/>
      <c r="L648" s="6">
        <f ca="1">IFERROR(__xludf.DUMMYFUNCTION("IFERROR(GOOGLEFINANCE(B648,""changepct""),K648)"),-26.53)</f>
        <v>-26.53</v>
      </c>
      <c r="M648" s="6">
        <f ca="1">IFERROR(__xludf.DUMMYFUNCTION("IFERROR(GOOGLEFINANCE(B648,""change""),0)"),-650)</f>
        <v>-650</v>
      </c>
      <c r="N648" s="6">
        <v>2</v>
      </c>
      <c r="O648" s="7">
        <v>45352</v>
      </c>
      <c r="P648" s="6">
        <v>8.59</v>
      </c>
      <c r="Q648" s="6">
        <v>28.63</v>
      </c>
      <c r="R648" s="7">
        <v>45536</v>
      </c>
      <c r="S648" s="6">
        <v>12.56</v>
      </c>
      <c r="T648" s="6">
        <v>0.91</v>
      </c>
      <c r="U648" s="7">
        <v>45536</v>
      </c>
      <c r="V648" s="6">
        <v>18.010000000000002</v>
      </c>
      <c r="W648" s="6">
        <f ca="1">IFERROR(__xludf.DUMMYFUNCTION("IFERROR(GOOGLEFINANCE(B648,""pe""),V648)"),18.01)</f>
        <v>18.010000000000002</v>
      </c>
      <c r="X648" s="6">
        <v>1.1399999999999999</v>
      </c>
      <c r="Y648" s="6">
        <v>-10.88</v>
      </c>
      <c r="Z648" s="6">
        <v>2</v>
      </c>
      <c r="AA648" s="8">
        <v>45352</v>
      </c>
      <c r="AB648" s="4">
        <v>-4.55</v>
      </c>
      <c r="AC648" s="6">
        <v>0</v>
      </c>
      <c r="AD648" s="6">
        <v>22.04</v>
      </c>
      <c r="AE648" s="1">
        <v>0</v>
      </c>
      <c r="AF648" s="1">
        <f ca="1">IFERROR(__xludf.DUMMYFUNCTION("IFERROR(GOOGLEFINANCE(TRIM(F648)&amp;"":"" &amp; TRIM(B648),""high52""),AE648)"),0)</f>
        <v>0</v>
      </c>
      <c r="AG648" s="1">
        <v>0</v>
      </c>
      <c r="AH648" s="1">
        <f ca="1">IFERROR(__xludf.DUMMYFUNCTION("IFERROR(GOOGLEFINANCE(TRIM(F648)&amp;"":"" &amp; TRIM(B648),""low52""),AE648)"),0)</f>
        <v>0</v>
      </c>
      <c r="AI648" s="1">
        <f ca="1">IFERROR(__xludf.DUMMYFUNCTION("IFERROR(GOOGLEFINANCE(B648,""eps""),0)"),0)</f>
        <v>0</v>
      </c>
      <c r="AJ648" s="1"/>
      <c r="AK648" s="1" t="s">
        <v>2022</v>
      </c>
      <c r="AL648" s="9">
        <f t="shared" si="132"/>
        <v>1</v>
      </c>
    </row>
    <row r="649" spans="1:38" ht="15" x14ac:dyDescent="0.25">
      <c r="A649" s="1" t="s">
        <v>2023</v>
      </c>
      <c r="B649" s="1" t="s">
        <v>2024</v>
      </c>
      <c r="C649" s="1" t="s">
        <v>502</v>
      </c>
      <c r="D649" s="1" t="s">
        <v>502</v>
      </c>
      <c r="E649" s="6">
        <v>20285.03</v>
      </c>
      <c r="F649" s="1" t="s">
        <v>40</v>
      </c>
      <c r="G649" s="6">
        <f ca="1">IFERROR(__xludf.DUMMYFUNCTION("iferror(GOOGLEFINANCE(TRIM(F649)&amp;"":"" &amp; TRIM(B649), ""price""),0
)"),431.9)</f>
        <v>431.9</v>
      </c>
      <c r="H649" s="6">
        <v>502.1</v>
      </c>
      <c r="I649" s="6">
        <f t="shared" ca="1" si="0"/>
        <v>431.9</v>
      </c>
      <c r="J649" s="6">
        <f ca="1">IFERROR(__xludf.DUMMYFUNCTION("IFERROR(GOOGLEFINANCE(B649, ""volume""), 0)"),920367)</f>
        <v>920367</v>
      </c>
      <c r="K649" s="6">
        <v>-0.83</v>
      </c>
      <c r="L649" s="6">
        <f ca="1">IFERROR(__xludf.DUMMYFUNCTION("IFERROR(GOOGLEFINANCE(B649,""changepct""),K649)"),0.12)</f>
        <v>0.12</v>
      </c>
      <c r="M649" s="6">
        <f ca="1">IFERROR(__xludf.DUMMYFUNCTION("IFERROR(GOOGLEFINANCE(B649,""change""),0)"),0.5)</f>
        <v>0.5</v>
      </c>
      <c r="N649" s="6">
        <v>2</v>
      </c>
      <c r="O649" s="7">
        <v>45536</v>
      </c>
      <c r="P649" s="6">
        <v>80.709999999999994</v>
      </c>
      <c r="Q649" s="6">
        <v>20299.11</v>
      </c>
      <c r="R649" s="7">
        <v>45536</v>
      </c>
      <c r="S649" s="6">
        <v>16271.02</v>
      </c>
      <c r="T649" s="6">
        <v>1403.49</v>
      </c>
      <c r="U649" s="7">
        <v>45536</v>
      </c>
      <c r="V649" s="6">
        <v>13.16</v>
      </c>
      <c r="W649" s="6">
        <f ca="1">IFERROR(__xludf.DUMMYFUNCTION("IFERROR(GOOGLEFINANCE(B649,""pe""),V649)"),9.29)</f>
        <v>9.2899999999999991</v>
      </c>
      <c r="X649" s="6">
        <v>1.0900000000000001</v>
      </c>
      <c r="Y649" s="6">
        <v>2.4700000000000002</v>
      </c>
      <c r="Z649" s="6">
        <v>2</v>
      </c>
      <c r="AA649" s="8">
        <v>45352</v>
      </c>
      <c r="AB649" s="4">
        <v>0.25</v>
      </c>
      <c r="AC649" s="6">
        <v>17.79</v>
      </c>
      <c r="AD649" s="6">
        <v>21.18</v>
      </c>
      <c r="AE649" s="1">
        <v>0</v>
      </c>
      <c r="AF649" s="1">
        <f ca="1">IFERROR(__xludf.DUMMYFUNCTION("IFERROR(GOOGLEFINANCE(TRIM(F649)&amp;"":"" &amp; TRIM(B649),""high52""),AE649)"),742.2)</f>
        <v>742.2</v>
      </c>
      <c r="AG649" s="1">
        <v>0</v>
      </c>
      <c r="AH649" s="1">
        <f ca="1">IFERROR(__xludf.DUMMYFUNCTION("IFERROR(GOOGLEFINANCE(TRIM(F649)&amp;"":"" &amp; TRIM(B649),""low52""),AE649)"),410.2)</f>
        <v>410.2</v>
      </c>
      <c r="AI649" s="1">
        <f ca="1">IFERROR(__xludf.DUMMYFUNCTION("IFERROR(GOOGLEFINANCE(B649,""eps""),0)"),46.48)</f>
        <v>46.48</v>
      </c>
      <c r="AJ649" s="1"/>
      <c r="AK649" s="1" t="s">
        <v>2025</v>
      </c>
      <c r="AL649" s="9">
        <f t="shared" si="132"/>
        <v>1</v>
      </c>
    </row>
    <row r="650" spans="1:38" ht="15" x14ac:dyDescent="0.25">
      <c r="A650" s="1" t="s">
        <v>2026</v>
      </c>
      <c r="B650" s="1" t="s">
        <v>2027</v>
      </c>
      <c r="C650" s="1" t="s">
        <v>135</v>
      </c>
      <c r="D650" s="1" t="s">
        <v>135</v>
      </c>
      <c r="E650" s="6">
        <v>21.84</v>
      </c>
      <c r="F650" s="1" t="s">
        <v>53</v>
      </c>
      <c r="G650" s="6">
        <f ca="1">IFERROR(__xludf.DUMMYFUNCTION("iferror(GOOGLEFINANCE(TRIM(F650)&amp;"":"" &amp; TRIM(B650), ""price""),0
)"),0)</f>
        <v>0</v>
      </c>
      <c r="H650" s="6">
        <v>52</v>
      </c>
      <c r="I650" s="6">
        <f t="shared" ca="1" si="0"/>
        <v>52</v>
      </c>
      <c r="J650" s="6">
        <f ca="1">IFERROR(__xludf.DUMMYFUNCTION("IFERROR(GOOGLEFINANCE(B650, ""volume""), 0)"),0)</f>
        <v>0</v>
      </c>
      <c r="K650" s="9"/>
      <c r="L650" s="6" t="str">
        <f ca="1">IFERROR(__xludf.DUMMYFUNCTION("IFERROR(GOOGLEFINANCE(B650,""changepct""),K650)"),"")</f>
        <v/>
      </c>
      <c r="M650" s="6">
        <f ca="1">IFERROR(__xludf.DUMMYFUNCTION("IFERROR(GOOGLEFINANCE(B650,""change""),0)"),0)</f>
        <v>0</v>
      </c>
      <c r="N650" s="6">
        <v>1</v>
      </c>
      <c r="O650" s="7">
        <v>45536</v>
      </c>
      <c r="P650" s="6">
        <v>1.76</v>
      </c>
      <c r="Q650" s="6">
        <v>23.6</v>
      </c>
      <c r="R650" s="7">
        <v>45536</v>
      </c>
      <c r="S650" s="6">
        <v>54.62</v>
      </c>
      <c r="T650" s="6">
        <v>2.5099999999999998</v>
      </c>
      <c r="U650" s="7">
        <v>45536</v>
      </c>
      <c r="V650" s="6">
        <v>8.69</v>
      </c>
      <c r="W650" s="6">
        <f ca="1">IFERROR(__xludf.DUMMYFUNCTION("IFERROR(GOOGLEFINANCE(B650,""pe""),V650)"),8.69)</f>
        <v>8.69</v>
      </c>
      <c r="X650" s="6">
        <v>0.1</v>
      </c>
      <c r="Y650" s="6">
        <v>1.54</v>
      </c>
      <c r="Z650" s="6">
        <v>1</v>
      </c>
      <c r="AA650" s="8">
        <v>45352</v>
      </c>
      <c r="AB650" s="4">
        <v>0.28000000000000003</v>
      </c>
      <c r="AC650" s="6">
        <v>18.64</v>
      </c>
      <c r="AD650" s="6">
        <v>22.22</v>
      </c>
      <c r="AE650" s="1">
        <v>0</v>
      </c>
      <c r="AF650" s="1">
        <f ca="1">IFERROR(__xludf.DUMMYFUNCTION("IFERROR(GOOGLEFINANCE(TRIM(F650)&amp;"":"" &amp; TRIM(B650),""high52""),AE650)"),0)</f>
        <v>0</v>
      </c>
      <c r="AG650" s="1">
        <v>0</v>
      </c>
      <c r="AH650" s="1">
        <f ca="1">IFERROR(__xludf.DUMMYFUNCTION("IFERROR(GOOGLEFINANCE(TRIM(F650)&amp;"":"" &amp; TRIM(B650),""low52""),AE650)"),0)</f>
        <v>0</v>
      </c>
      <c r="AI650" s="1">
        <f ca="1">IFERROR(__xludf.DUMMYFUNCTION("IFERROR(GOOGLEFINANCE(B650,""eps""),0)"),0)</f>
        <v>0</v>
      </c>
      <c r="AJ650" s="1"/>
      <c r="AK650" s="1" t="s">
        <v>2028</v>
      </c>
      <c r="AL650" s="9">
        <f t="shared" si="132"/>
        <v>1</v>
      </c>
    </row>
    <row r="651" spans="1:38" ht="15" x14ac:dyDescent="0.25">
      <c r="A651" s="1" t="s">
        <v>2029</v>
      </c>
      <c r="B651" s="1" t="s">
        <v>2030</v>
      </c>
      <c r="C651" s="1" t="s">
        <v>487</v>
      </c>
      <c r="D651" s="1" t="s">
        <v>487</v>
      </c>
      <c r="E651" s="6">
        <v>408.55</v>
      </c>
      <c r="F651" s="1" t="s">
        <v>40</v>
      </c>
      <c r="G651" s="6">
        <f ca="1">IFERROR(__xludf.DUMMYFUNCTION("iferror(GOOGLEFINANCE(TRIM(F651)&amp;"":"" &amp; TRIM(B651), ""price""),0
)"),0)</f>
        <v>0</v>
      </c>
      <c r="H651" s="6">
        <v>163.85</v>
      </c>
      <c r="I651" s="6">
        <f t="shared" ca="1" si="0"/>
        <v>163.85</v>
      </c>
      <c r="J651" s="6">
        <f ca="1">IFERROR(__xludf.DUMMYFUNCTION("IFERROR(GOOGLEFINANCE(B651, ""volume""), 0)"),0)</f>
        <v>0</v>
      </c>
      <c r="K651" s="6">
        <v>-1.1200000000000001</v>
      </c>
      <c r="L651" s="6">
        <f ca="1">IFERROR(__xludf.DUMMYFUNCTION("IFERROR(GOOGLEFINANCE(B651,""changepct""),K651)"),-1.12)</f>
        <v>-1.1200000000000001</v>
      </c>
      <c r="M651" s="6">
        <f ca="1">IFERROR(__xludf.DUMMYFUNCTION("IFERROR(GOOGLEFINANCE(B651,""change""),0)"),0)</f>
        <v>0</v>
      </c>
      <c r="N651" s="6">
        <v>1</v>
      </c>
      <c r="O651" s="7">
        <v>45536</v>
      </c>
      <c r="P651" s="6">
        <v>99.31</v>
      </c>
      <c r="Q651" s="6">
        <v>507.86</v>
      </c>
      <c r="R651" s="7">
        <v>45352</v>
      </c>
      <c r="S651" s="6">
        <v>241.66</v>
      </c>
      <c r="T651" s="6">
        <v>18.760000000000002</v>
      </c>
      <c r="U651" s="7">
        <v>45352</v>
      </c>
      <c r="V651" s="6">
        <v>21.78</v>
      </c>
      <c r="W651" s="6">
        <f ca="1">IFERROR(__xludf.DUMMYFUNCTION("IFERROR(GOOGLEFINANCE(B651,""pe""),V651)"),21.78)</f>
        <v>21.78</v>
      </c>
      <c r="X651" s="9"/>
      <c r="Y651" s="6">
        <v>4.42</v>
      </c>
      <c r="Z651" s="6">
        <v>1</v>
      </c>
      <c r="AA651" s="8">
        <v>45352</v>
      </c>
      <c r="AB651" s="4">
        <v>0.94</v>
      </c>
      <c r="AC651" s="6">
        <v>30.54</v>
      </c>
      <c r="AD651" s="6">
        <v>24.54</v>
      </c>
      <c r="AE651" s="1">
        <v>0</v>
      </c>
      <c r="AF651" s="1">
        <f ca="1">IFERROR(__xludf.DUMMYFUNCTION("IFERROR(GOOGLEFINANCE(TRIM(F651)&amp;"":"" &amp; TRIM(B651),""high52""),AE651)"),0)</f>
        <v>0</v>
      </c>
      <c r="AG651" s="1">
        <v>0</v>
      </c>
      <c r="AH651" s="1">
        <f ca="1">IFERROR(__xludf.DUMMYFUNCTION("IFERROR(GOOGLEFINANCE(TRIM(F651)&amp;"":"" &amp; TRIM(B651),""low52""),AE651)"),0)</f>
        <v>0</v>
      </c>
      <c r="AI651" s="1">
        <f ca="1">IFERROR(__xludf.DUMMYFUNCTION("IFERROR(GOOGLEFINANCE(B651,""eps""),0)"),0)</f>
        <v>0</v>
      </c>
      <c r="AJ651" s="1"/>
      <c r="AK651" s="1" t="s">
        <v>2031</v>
      </c>
      <c r="AL651" s="9">
        <f t="shared" si="132"/>
        <v>1</v>
      </c>
    </row>
    <row r="652" spans="1:38" ht="15" x14ac:dyDescent="0.25">
      <c r="A652" s="1" t="s">
        <v>2032</v>
      </c>
      <c r="B652" s="1" t="s">
        <v>2033</v>
      </c>
      <c r="C652" s="1" t="s">
        <v>135</v>
      </c>
      <c r="D652" s="1" t="s">
        <v>135</v>
      </c>
      <c r="E652" s="6">
        <v>82.84</v>
      </c>
      <c r="F652" s="1" t="s">
        <v>53</v>
      </c>
      <c r="G652" s="6">
        <f ca="1">IFERROR(__xludf.DUMMYFUNCTION("iferror(GOOGLEFINANCE(TRIM(F652)&amp;"":"" &amp; TRIM(B652), ""price""),0
)"),0)</f>
        <v>0</v>
      </c>
      <c r="H652" s="6">
        <v>83.9</v>
      </c>
      <c r="I652" s="6">
        <f t="shared" ca="1" si="0"/>
        <v>83.9</v>
      </c>
      <c r="J652" s="6">
        <f ca="1">IFERROR(__xludf.DUMMYFUNCTION("IFERROR(GOOGLEFINANCE(B652, ""volume""), 0)"),0)</f>
        <v>0</v>
      </c>
      <c r="K652" s="6">
        <v>3.86</v>
      </c>
      <c r="L652" s="6">
        <f ca="1">IFERROR(__xludf.DUMMYFUNCTION("IFERROR(GOOGLEFINANCE(B652,""changepct""),K652)"),3.86)</f>
        <v>3.86</v>
      </c>
      <c r="M652" s="6">
        <f ca="1">IFERROR(__xludf.DUMMYFUNCTION("IFERROR(GOOGLEFINANCE(B652,""change""),0)"),0)</f>
        <v>0</v>
      </c>
      <c r="N652" s="6">
        <v>2</v>
      </c>
      <c r="O652" s="7">
        <v>45352</v>
      </c>
      <c r="P652" s="6">
        <v>66.150000000000006</v>
      </c>
      <c r="Q652" s="6">
        <v>145.38</v>
      </c>
      <c r="R652" s="7">
        <v>45536</v>
      </c>
      <c r="S652" s="6">
        <v>85.73</v>
      </c>
      <c r="T652" s="6">
        <v>-1.29</v>
      </c>
      <c r="U652" s="7">
        <v>45536</v>
      </c>
      <c r="V652" s="6">
        <v>0</v>
      </c>
      <c r="W652" s="6">
        <f ca="1">IFERROR(__xludf.DUMMYFUNCTION("IFERROR(GOOGLEFINANCE(B652,""pe""),V652)"),0)</f>
        <v>0</v>
      </c>
      <c r="X652" s="9"/>
      <c r="Y652" s="6">
        <v>1.67</v>
      </c>
      <c r="Z652" s="6">
        <v>2</v>
      </c>
      <c r="AA652" s="8">
        <v>45352</v>
      </c>
      <c r="AB652" s="4">
        <v>1.3</v>
      </c>
      <c r="AC652" s="6">
        <v>-3.44</v>
      </c>
      <c r="AD652" s="6">
        <v>3.14</v>
      </c>
      <c r="AE652" s="1">
        <v>0</v>
      </c>
      <c r="AF652" s="1">
        <f ca="1">IFERROR(__xludf.DUMMYFUNCTION("IFERROR(GOOGLEFINANCE(TRIM(F652)&amp;"":"" &amp; TRIM(B652),""high52""),AE652)"),0)</f>
        <v>0</v>
      </c>
      <c r="AG652" s="1">
        <v>0</v>
      </c>
      <c r="AH652" s="1">
        <f ca="1">IFERROR(__xludf.DUMMYFUNCTION("IFERROR(GOOGLEFINANCE(TRIM(F652)&amp;"":"" &amp; TRIM(B652),""low52""),AE652)"),0)</f>
        <v>0</v>
      </c>
      <c r="AI652" s="1">
        <f ca="1">IFERROR(__xludf.DUMMYFUNCTION("IFERROR(GOOGLEFINANCE(B652,""eps""),0)"),0)</f>
        <v>0</v>
      </c>
      <c r="AJ652" s="1"/>
      <c r="AK652" s="1" t="s">
        <v>2034</v>
      </c>
      <c r="AL652" s="9">
        <f t="shared" si="132"/>
        <v>1</v>
      </c>
    </row>
    <row r="653" spans="1:38" ht="15" x14ac:dyDescent="0.25">
      <c r="A653" s="1" t="s">
        <v>2035</v>
      </c>
      <c r="B653" s="1" t="s">
        <v>2036</v>
      </c>
      <c r="C653" s="1" t="s">
        <v>135</v>
      </c>
      <c r="D653" s="1" t="s">
        <v>135</v>
      </c>
      <c r="E653" s="6">
        <v>649.57000000000005</v>
      </c>
      <c r="F653" s="1" t="s">
        <v>53</v>
      </c>
      <c r="G653" s="6">
        <f ca="1">IFERROR(__xludf.DUMMYFUNCTION("iferror(GOOGLEFINANCE(TRIM(F653)&amp;"":"" &amp; TRIM(B653), ""price""),0
)"),0)</f>
        <v>0</v>
      </c>
      <c r="H653" s="6">
        <v>878.85</v>
      </c>
      <c r="I653" s="6">
        <f t="shared" ca="1" si="0"/>
        <v>878.85</v>
      </c>
      <c r="J653" s="6">
        <f ca="1">IFERROR(__xludf.DUMMYFUNCTION("IFERROR(GOOGLEFINANCE(B653, ""volume""), 0)"),0)</f>
        <v>0</v>
      </c>
      <c r="K653" s="6">
        <v>-0.52</v>
      </c>
      <c r="L653" s="6">
        <f ca="1">IFERROR(__xludf.DUMMYFUNCTION("IFERROR(GOOGLEFINANCE(B653,""changepct""),K653)"),-0.52)</f>
        <v>-0.52</v>
      </c>
      <c r="M653" s="6">
        <f ca="1">IFERROR(__xludf.DUMMYFUNCTION("IFERROR(GOOGLEFINANCE(B653,""change""),0)"),0)</f>
        <v>0</v>
      </c>
      <c r="N653" s="6">
        <v>1</v>
      </c>
      <c r="O653" s="7">
        <v>45536</v>
      </c>
      <c r="P653" s="6">
        <v>101.73</v>
      </c>
      <c r="Q653" s="6">
        <v>744.87</v>
      </c>
      <c r="R653" s="7">
        <v>45536</v>
      </c>
      <c r="S653" s="6">
        <v>321.58999999999997</v>
      </c>
      <c r="T653" s="6">
        <v>18.32</v>
      </c>
      <c r="U653" s="7">
        <v>45536</v>
      </c>
      <c r="V653" s="6">
        <v>35.46</v>
      </c>
      <c r="W653" s="6">
        <f ca="1">IFERROR(__xludf.DUMMYFUNCTION("IFERROR(GOOGLEFINANCE(B653,""pe""),V653)"),35.46)</f>
        <v>35.46</v>
      </c>
      <c r="X653" s="6">
        <v>0.62</v>
      </c>
      <c r="Y653" s="6">
        <v>7.35</v>
      </c>
      <c r="Z653" s="6">
        <v>1</v>
      </c>
      <c r="AA653" s="8">
        <v>45352</v>
      </c>
      <c r="AB653" s="4">
        <v>1.04</v>
      </c>
      <c r="AC653" s="6">
        <v>25.44</v>
      </c>
      <c r="AD653" s="6">
        <v>22.22</v>
      </c>
      <c r="AE653" s="1">
        <v>0</v>
      </c>
      <c r="AF653" s="1">
        <f ca="1">IFERROR(__xludf.DUMMYFUNCTION("IFERROR(GOOGLEFINANCE(TRIM(F653)&amp;"":"" &amp; TRIM(B653),""high52""),AE653)"),0)</f>
        <v>0</v>
      </c>
      <c r="AG653" s="1">
        <v>0</v>
      </c>
      <c r="AH653" s="1">
        <f ca="1">IFERROR(__xludf.DUMMYFUNCTION("IFERROR(GOOGLEFINANCE(TRIM(F653)&amp;"":"" &amp; TRIM(B653),""low52""),AE653)"),0)</f>
        <v>0</v>
      </c>
      <c r="AI653" s="1">
        <f ca="1">IFERROR(__xludf.DUMMYFUNCTION("IFERROR(GOOGLEFINANCE(B653,""eps""),0)"),0)</f>
        <v>0</v>
      </c>
      <c r="AJ653" s="1"/>
      <c r="AK653" s="1" t="s">
        <v>2037</v>
      </c>
      <c r="AL653" s="9">
        <f t="shared" si="132"/>
        <v>1</v>
      </c>
    </row>
    <row r="654" spans="1:38" ht="15" x14ac:dyDescent="0.25">
      <c r="A654" s="1" t="s">
        <v>2038</v>
      </c>
      <c r="B654" s="1" t="s">
        <v>2039</v>
      </c>
      <c r="C654" s="1" t="s">
        <v>135</v>
      </c>
      <c r="D654" s="1" t="s">
        <v>135</v>
      </c>
      <c r="E654" s="6">
        <v>824.31</v>
      </c>
      <c r="F654" s="1" t="s">
        <v>40</v>
      </c>
      <c r="G654" s="6">
        <f ca="1">IFERROR(__xludf.DUMMYFUNCTION("iferror(GOOGLEFINANCE(TRIM(F654)&amp;"":"" &amp; TRIM(B654), ""price""),0
)"),142.61)</f>
        <v>142.61000000000001</v>
      </c>
      <c r="H654" s="6">
        <v>605.95000000000005</v>
      </c>
      <c r="I654" s="6">
        <f t="shared" ca="1" si="0"/>
        <v>142.61000000000001</v>
      </c>
      <c r="J654" s="6">
        <f ca="1">IFERROR(__xludf.DUMMYFUNCTION("IFERROR(GOOGLEFINANCE(B654, ""volume""), 0)"),5817)</f>
        <v>5817</v>
      </c>
      <c r="K654" s="6">
        <v>-1.05</v>
      </c>
      <c r="L654" s="6">
        <f ca="1">IFERROR(__xludf.DUMMYFUNCTION("IFERROR(GOOGLEFINANCE(B654,""changepct""),K654)"),-3.56)</f>
        <v>-3.56</v>
      </c>
      <c r="M654" s="6">
        <f ca="1">IFERROR(__xludf.DUMMYFUNCTION("IFERROR(GOOGLEFINANCE(B654,""change""),0)"),-5.26)</f>
        <v>-5.26</v>
      </c>
      <c r="N654" s="6">
        <v>2</v>
      </c>
      <c r="O654" s="7">
        <v>45536</v>
      </c>
      <c r="P654" s="6">
        <v>8.64</v>
      </c>
      <c r="Q654" s="6">
        <v>797.67</v>
      </c>
      <c r="R654" s="7">
        <v>45536</v>
      </c>
      <c r="S654" s="6">
        <v>468.91</v>
      </c>
      <c r="T654" s="6">
        <v>41.98</v>
      </c>
      <c r="U654" s="7">
        <v>45536</v>
      </c>
      <c r="V654" s="6">
        <v>19.61</v>
      </c>
      <c r="W654" s="6">
        <f ca="1">IFERROR(__xludf.DUMMYFUNCTION("IFERROR(GOOGLEFINANCE(B654,""pe""),V654)"),19.61)</f>
        <v>19.61</v>
      </c>
      <c r="X654" s="6">
        <v>0.95</v>
      </c>
      <c r="Y654" s="6">
        <v>2.17</v>
      </c>
      <c r="Z654" s="6">
        <v>2</v>
      </c>
      <c r="AA654" s="8">
        <v>45352</v>
      </c>
      <c r="AB654" s="4">
        <v>0.02</v>
      </c>
      <c r="AC654" s="6">
        <v>12.98</v>
      </c>
      <c r="AD654" s="6">
        <v>17.53</v>
      </c>
      <c r="AE654" s="1">
        <v>0</v>
      </c>
      <c r="AF654" s="1">
        <f ca="1">IFERROR(__xludf.DUMMYFUNCTION("IFERROR(GOOGLEFINANCE(TRIM(F654)&amp;"":"" &amp; TRIM(B654),""high52""),AE654)"),379.45)</f>
        <v>379.45</v>
      </c>
      <c r="AG654" s="1">
        <v>0</v>
      </c>
      <c r="AH654" s="1">
        <f ca="1">IFERROR(__xludf.DUMMYFUNCTION("IFERROR(GOOGLEFINANCE(TRIM(F654)&amp;"":"" &amp; TRIM(B654),""low52""),AE654)"),136.21)</f>
        <v>136.21</v>
      </c>
      <c r="AI654" s="1">
        <f ca="1">IFERROR(__xludf.DUMMYFUNCTION("IFERROR(GOOGLEFINANCE(B654,""eps""),0)"),-4.89)</f>
        <v>-4.8899999999999997</v>
      </c>
      <c r="AJ654" s="1"/>
      <c r="AK654" s="1" t="s">
        <v>2040</v>
      </c>
      <c r="AL654" s="9">
        <f t="shared" si="132"/>
        <v>1</v>
      </c>
    </row>
    <row r="655" spans="1:38" ht="15" x14ac:dyDescent="0.25">
      <c r="A655" s="1" t="s">
        <v>2041</v>
      </c>
      <c r="B655" s="1" t="s">
        <v>2042</v>
      </c>
      <c r="C655" s="1" t="s">
        <v>135</v>
      </c>
      <c r="D655" s="1" t="s">
        <v>135</v>
      </c>
      <c r="E655" s="6">
        <v>3094.39</v>
      </c>
      <c r="F655" s="1" t="s">
        <v>53</v>
      </c>
      <c r="G655" s="6">
        <f ca="1">IFERROR(__xludf.DUMMYFUNCTION("iferror(GOOGLEFINANCE(TRIM(F655)&amp;"":"" &amp; TRIM(B655), ""price""),0
)"),0)</f>
        <v>0</v>
      </c>
      <c r="H655" s="6">
        <v>3019.85</v>
      </c>
      <c r="I655" s="6">
        <f t="shared" ca="1" si="0"/>
        <v>3019.85</v>
      </c>
      <c r="J655" s="6">
        <f ca="1">IFERROR(__xludf.DUMMYFUNCTION("IFERROR(GOOGLEFINANCE(B655, ""volume""), 0)"),0)</f>
        <v>0</v>
      </c>
      <c r="K655" s="6">
        <v>-2.65</v>
      </c>
      <c r="L655" s="6">
        <f ca="1">IFERROR(__xludf.DUMMYFUNCTION("IFERROR(GOOGLEFINANCE(B655,""changepct""),K655)"),-2.65)</f>
        <v>-2.65</v>
      </c>
      <c r="M655" s="6">
        <f ca="1">IFERROR(__xludf.DUMMYFUNCTION("IFERROR(GOOGLEFINANCE(B655,""change""),0)"),0)</f>
        <v>0</v>
      </c>
      <c r="N655" s="6">
        <v>1</v>
      </c>
      <c r="O655" s="7">
        <v>45536</v>
      </c>
      <c r="P655" s="6">
        <v>34.43</v>
      </c>
      <c r="Q655" s="6">
        <v>3110.52</v>
      </c>
      <c r="R655" s="7">
        <v>45536</v>
      </c>
      <c r="S655" s="6">
        <v>397.44</v>
      </c>
      <c r="T655" s="6">
        <v>53.36</v>
      </c>
      <c r="U655" s="7">
        <v>45536</v>
      </c>
      <c r="V655" s="6">
        <v>58</v>
      </c>
      <c r="W655" s="6">
        <f ca="1">IFERROR(__xludf.DUMMYFUNCTION("IFERROR(GOOGLEFINANCE(B655,""pe""),V655)"),58)</f>
        <v>58</v>
      </c>
      <c r="X655" s="6">
        <v>7.39</v>
      </c>
      <c r="Y655" s="6">
        <v>11.83</v>
      </c>
      <c r="Z655" s="6">
        <v>1</v>
      </c>
      <c r="AA655" s="8">
        <v>45352</v>
      </c>
      <c r="AB655" s="4">
        <v>0</v>
      </c>
      <c r="AC655" s="6">
        <v>25.31</v>
      </c>
      <c r="AD655" s="6">
        <v>34.69</v>
      </c>
      <c r="AE655" s="1">
        <v>0</v>
      </c>
      <c r="AF655" s="1">
        <f ca="1">IFERROR(__xludf.DUMMYFUNCTION("IFERROR(GOOGLEFINANCE(TRIM(F655)&amp;"":"" &amp; TRIM(B655),""high52""),AE655)"),0)</f>
        <v>0</v>
      </c>
      <c r="AG655" s="1">
        <v>0</v>
      </c>
      <c r="AH655" s="1">
        <f ca="1">IFERROR(__xludf.DUMMYFUNCTION("IFERROR(GOOGLEFINANCE(TRIM(F655)&amp;"":"" &amp; TRIM(B655),""low52""),AE655)"),0)</f>
        <v>0</v>
      </c>
      <c r="AI655" s="1">
        <f ca="1">IFERROR(__xludf.DUMMYFUNCTION("IFERROR(GOOGLEFINANCE(B655,""eps""),0)"),0)</f>
        <v>0</v>
      </c>
      <c r="AJ655" s="1"/>
      <c r="AK655" s="9"/>
      <c r="AL655" s="9">
        <f t="shared" si="132"/>
        <v>1</v>
      </c>
    </row>
    <row r="656" spans="1:38" ht="15" x14ac:dyDescent="0.25">
      <c r="A656" s="1" t="s">
        <v>2043</v>
      </c>
      <c r="B656" s="1" t="s">
        <v>2044</v>
      </c>
      <c r="C656" s="1" t="s">
        <v>135</v>
      </c>
      <c r="D656" s="1" t="s">
        <v>135</v>
      </c>
      <c r="E656" s="6">
        <v>847.45</v>
      </c>
      <c r="F656" s="1" t="s">
        <v>40</v>
      </c>
      <c r="G656" s="6">
        <f ca="1">IFERROR(__xludf.DUMMYFUNCTION("iferror(GOOGLEFINANCE(TRIM(F656)&amp;"":"" &amp; TRIM(B656), ""price""),0
)"),176.5)</f>
        <v>176.5</v>
      </c>
      <c r="H656" s="6">
        <v>233</v>
      </c>
      <c r="I656" s="6">
        <f t="shared" ca="1" si="0"/>
        <v>176.5</v>
      </c>
      <c r="J656" s="6">
        <f ca="1">IFERROR(__xludf.DUMMYFUNCTION("IFERROR(GOOGLEFINANCE(B656, ""volume""), 0)"),26100)</f>
        <v>26100</v>
      </c>
      <c r="K656" s="6">
        <v>0.89</v>
      </c>
      <c r="L656" s="6">
        <f ca="1">IFERROR(__xludf.DUMMYFUNCTION("IFERROR(GOOGLEFINANCE(B656,""changepct""),K656)"),-1.05)</f>
        <v>-1.05</v>
      </c>
      <c r="M656" s="6">
        <f ca="1">IFERROR(__xludf.DUMMYFUNCTION("IFERROR(GOOGLEFINANCE(B656,""change""),0)"),-1.87)</f>
        <v>-1.87</v>
      </c>
      <c r="N656" s="6">
        <v>1</v>
      </c>
      <c r="O656" s="7">
        <v>45536</v>
      </c>
      <c r="P656" s="6">
        <v>43.25</v>
      </c>
      <c r="Q656" s="6">
        <v>709.64</v>
      </c>
      <c r="R656" s="7">
        <v>45536</v>
      </c>
      <c r="S656" s="6">
        <v>210.69</v>
      </c>
      <c r="T656" s="6">
        <v>19.04</v>
      </c>
      <c r="U656" s="7">
        <v>45536</v>
      </c>
      <c r="V656" s="6">
        <v>44.5</v>
      </c>
      <c r="W656" s="6">
        <f ca="1">IFERROR(__xludf.DUMMYFUNCTION("IFERROR(GOOGLEFINANCE(B656,""pe""),V656)"),26.01)</f>
        <v>26.01</v>
      </c>
      <c r="X656" s="9"/>
      <c r="Y656" s="6">
        <v>1.74</v>
      </c>
      <c r="Z656" s="6">
        <v>1</v>
      </c>
      <c r="AA656" s="8">
        <v>45352</v>
      </c>
      <c r="AB656" s="4">
        <v>0.09</v>
      </c>
      <c r="AC656" s="6">
        <v>4.1100000000000003</v>
      </c>
      <c r="AD656" s="6">
        <v>5.72</v>
      </c>
      <c r="AE656" s="1">
        <v>0</v>
      </c>
      <c r="AF656" s="1">
        <f ca="1">IFERROR(__xludf.DUMMYFUNCTION("IFERROR(GOOGLEFINANCE(TRIM(F656)&amp;"":"" &amp; TRIM(B656),""high52""),AE656)"),295)</f>
        <v>295</v>
      </c>
      <c r="AG656" s="1">
        <v>0</v>
      </c>
      <c r="AH656" s="1">
        <f ca="1">IFERROR(__xludf.DUMMYFUNCTION("IFERROR(GOOGLEFINANCE(TRIM(F656)&amp;"":"" &amp; TRIM(B656),""low52""),AE656)"),160)</f>
        <v>160</v>
      </c>
      <c r="AI656" s="1">
        <f ca="1">IFERROR(__xludf.DUMMYFUNCTION("IFERROR(GOOGLEFINANCE(B656,""eps""),0)"),6.79)</f>
        <v>6.79</v>
      </c>
      <c r="AJ656" s="1"/>
      <c r="AK656" s="1" t="s">
        <v>2045</v>
      </c>
      <c r="AL656" s="9">
        <f t="shared" si="132"/>
        <v>1</v>
      </c>
    </row>
    <row r="657" spans="1:38" ht="15" x14ac:dyDescent="0.25">
      <c r="A657" s="1" t="s">
        <v>2046</v>
      </c>
      <c r="B657" s="1" t="s">
        <v>2047</v>
      </c>
      <c r="C657" s="1" t="s">
        <v>135</v>
      </c>
      <c r="D657" s="1" t="s">
        <v>135</v>
      </c>
      <c r="E657" s="6">
        <v>1489.52</v>
      </c>
      <c r="F657" s="1" t="s">
        <v>40</v>
      </c>
      <c r="G657" s="6">
        <f ca="1">IFERROR(__xludf.DUMMYFUNCTION("iferror(GOOGLEFINANCE(TRIM(F657)&amp;"":"" &amp; TRIM(B657), ""price""),0
)"),410)</f>
        <v>410</v>
      </c>
      <c r="H657" s="6">
        <v>1047.05</v>
      </c>
      <c r="I657" s="6">
        <f t="shared" ca="1" si="0"/>
        <v>410</v>
      </c>
      <c r="J657" s="6">
        <f ca="1">IFERROR(__xludf.DUMMYFUNCTION("IFERROR(GOOGLEFINANCE(B657, ""volume""), 0)"),10329)</f>
        <v>10329</v>
      </c>
      <c r="K657" s="6">
        <v>0.93</v>
      </c>
      <c r="L657" s="6">
        <f ca="1">IFERROR(__xludf.DUMMYFUNCTION("IFERROR(GOOGLEFINANCE(B657,""changepct""),K657)"),2.58)</f>
        <v>2.58</v>
      </c>
      <c r="M657" s="6">
        <f ca="1">IFERROR(__xludf.DUMMYFUNCTION("IFERROR(GOOGLEFINANCE(B657,""change""),0)"),10.3)</f>
        <v>10.3</v>
      </c>
      <c r="N657" s="6">
        <v>2</v>
      </c>
      <c r="O657" s="7">
        <v>45536</v>
      </c>
      <c r="P657" s="6">
        <v>79.23</v>
      </c>
      <c r="Q657" s="6">
        <v>1565.96</v>
      </c>
      <c r="R657" s="7">
        <v>45536</v>
      </c>
      <c r="S657" s="6">
        <v>327.06</v>
      </c>
      <c r="T657" s="6">
        <v>12.87</v>
      </c>
      <c r="U657" s="7">
        <v>45536</v>
      </c>
      <c r="V657" s="6">
        <v>115.71</v>
      </c>
      <c r="W657" s="6">
        <f ca="1">IFERROR(__xludf.DUMMYFUNCTION("IFERROR(GOOGLEFINANCE(B657,""pe""),V657)"),115.71)</f>
        <v>115.71</v>
      </c>
      <c r="X657" s="9"/>
      <c r="Y657" s="6">
        <v>3.85</v>
      </c>
      <c r="Z657" s="6">
        <v>2</v>
      </c>
      <c r="AA657" s="8">
        <v>45352</v>
      </c>
      <c r="AB657" s="4">
        <v>0.05</v>
      </c>
      <c r="AC657" s="6">
        <v>7.06</v>
      </c>
      <c r="AD657" s="6">
        <v>10.67</v>
      </c>
      <c r="AE657" s="1">
        <v>0</v>
      </c>
      <c r="AF657" s="1">
        <f ca="1">IFERROR(__xludf.DUMMYFUNCTION("IFERROR(GOOGLEFINANCE(TRIM(F657)&amp;"":"" &amp; TRIM(B657),""high52""),AE657)"),999)</f>
        <v>999</v>
      </c>
      <c r="AG657" s="1">
        <v>0</v>
      </c>
      <c r="AH657" s="1">
        <f ca="1">IFERROR(__xludf.DUMMYFUNCTION("IFERROR(GOOGLEFINANCE(TRIM(F657)&amp;"":"" &amp; TRIM(B657),""low52""),AE657)"),371.55)</f>
        <v>371.55</v>
      </c>
      <c r="AI657" s="1">
        <f ca="1">IFERROR(__xludf.DUMMYFUNCTION("IFERROR(GOOGLEFINANCE(B657,""eps""),0)"),-4.76)</f>
        <v>-4.76</v>
      </c>
      <c r="AJ657" s="1"/>
      <c r="AK657" s="1" t="s">
        <v>2048</v>
      </c>
      <c r="AL657" s="9">
        <f t="shared" si="132"/>
        <v>1</v>
      </c>
    </row>
    <row r="658" spans="1:38" ht="15" x14ac:dyDescent="0.25">
      <c r="A658" s="1" t="s">
        <v>2049</v>
      </c>
      <c r="B658" s="1" t="s">
        <v>2050</v>
      </c>
      <c r="C658" s="1" t="s">
        <v>135</v>
      </c>
      <c r="D658" s="1" t="s">
        <v>135</v>
      </c>
      <c r="E658" s="6">
        <v>36.69</v>
      </c>
      <c r="F658" s="1" t="s">
        <v>53</v>
      </c>
      <c r="G658" s="6">
        <f ca="1">IFERROR(__xludf.DUMMYFUNCTION("iferror(GOOGLEFINANCE(TRIM(F658)&amp;"":"" &amp; TRIM(B658), ""price""),0
)"),0)</f>
        <v>0</v>
      </c>
      <c r="H658" s="6">
        <v>49</v>
      </c>
      <c r="I658" s="6">
        <f t="shared" ca="1" si="0"/>
        <v>49</v>
      </c>
      <c r="J658" s="6">
        <f ca="1">IFERROR(__xludf.DUMMYFUNCTION("IFERROR(GOOGLEFINANCE(B658, ""volume""), 0)"),0)</f>
        <v>0</v>
      </c>
      <c r="K658" s="6">
        <v>-0.14000000000000001</v>
      </c>
      <c r="L658" s="6">
        <f ca="1">IFERROR(__xludf.DUMMYFUNCTION("IFERROR(GOOGLEFINANCE(B658,""changepct""),K658)"),-0.14)</f>
        <v>-0.14000000000000001</v>
      </c>
      <c r="M658" s="6">
        <f ca="1">IFERROR(__xludf.DUMMYFUNCTION("IFERROR(GOOGLEFINANCE(B658,""change""),0)"),0)</f>
        <v>0</v>
      </c>
      <c r="N658" s="6">
        <v>2</v>
      </c>
      <c r="O658" s="7">
        <v>45536</v>
      </c>
      <c r="P658" s="6">
        <v>0.15</v>
      </c>
      <c r="Q658" s="6">
        <v>35.83</v>
      </c>
      <c r="R658" s="7">
        <v>45536</v>
      </c>
      <c r="S658" s="6">
        <v>32.07</v>
      </c>
      <c r="T658" s="6">
        <v>-1.5</v>
      </c>
      <c r="U658" s="7">
        <v>45536</v>
      </c>
      <c r="V658" s="6">
        <v>0</v>
      </c>
      <c r="W658" s="6">
        <f ca="1">IFERROR(__xludf.DUMMYFUNCTION("IFERROR(GOOGLEFINANCE(B658,""pe""),V658)"),0)</f>
        <v>0</v>
      </c>
      <c r="X658" s="9"/>
      <c r="Y658" s="6">
        <v>1.35</v>
      </c>
      <c r="Z658" s="6">
        <v>2</v>
      </c>
      <c r="AA658" s="8">
        <v>45352</v>
      </c>
      <c r="AB658" s="4">
        <v>0.01</v>
      </c>
      <c r="AC658" s="6">
        <v>-7.69</v>
      </c>
      <c r="AD658" s="6">
        <v>-6.84</v>
      </c>
      <c r="AE658" s="1">
        <v>0</v>
      </c>
      <c r="AF658" s="1">
        <f ca="1">IFERROR(__xludf.DUMMYFUNCTION("IFERROR(GOOGLEFINANCE(TRIM(F658)&amp;"":"" &amp; TRIM(B658),""high52""),AE658)"),0)</f>
        <v>0</v>
      </c>
      <c r="AG658" s="1">
        <v>0</v>
      </c>
      <c r="AH658" s="1">
        <f ca="1">IFERROR(__xludf.DUMMYFUNCTION("IFERROR(GOOGLEFINANCE(TRIM(F658)&amp;"":"" &amp; TRIM(B658),""low52""),AE658)"),0)</f>
        <v>0</v>
      </c>
      <c r="AI658" s="1">
        <f ca="1">IFERROR(__xludf.DUMMYFUNCTION("IFERROR(GOOGLEFINANCE(B658,""eps""),0)"),0)</f>
        <v>0</v>
      </c>
      <c r="AJ658" s="1"/>
      <c r="AK658" s="1" t="s">
        <v>2051</v>
      </c>
      <c r="AL658" s="9">
        <f t="shared" si="132"/>
        <v>1</v>
      </c>
    </row>
    <row r="659" spans="1:38" ht="15" x14ac:dyDescent="0.25">
      <c r="A659" s="1" t="s">
        <v>2052</v>
      </c>
      <c r="B659" s="1" t="s">
        <v>2053</v>
      </c>
      <c r="C659" s="1" t="s">
        <v>135</v>
      </c>
      <c r="D659" s="1" t="s">
        <v>135</v>
      </c>
      <c r="E659" s="6">
        <v>7939.47</v>
      </c>
      <c r="F659" s="1" t="s">
        <v>40</v>
      </c>
      <c r="G659" s="6">
        <f ca="1">IFERROR(__xludf.DUMMYFUNCTION("iferror(GOOGLEFINANCE(TRIM(F659)&amp;"":"" &amp; TRIM(B659), ""price""),0
)"),258.85)</f>
        <v>258.85000000000002</v>
      </c>
      <c r="H659" s="6">
        <v>503.1</v>
      </c>
      <c r="I659" s="6">
        <f t="shared" ca="1" si="0"/>
        <v>258.85000000000002</v>
      </c>
      <c r="J659" s="6">
        <f ca="1">IFERROR(__xludf.DUMMYFUNCTION("IFERROR(GOOGLEFINANCE(B659, ""volume""), 0)"),58283)</f>
        <v>58283</v>
      </c>
      <c r="K659" s="6">
        <v>0.41</v>
      </c>
      <c r="L659" s="6">
        <f ca="1">IFERROR(__xludf.DUMMYFUNCTION("IFERROR(GOOGLEFINANCE(B659,""changepct""),K659)"),3.13)</f>
        <v>3.13</v>
      </c>
      <c r="M659" s="6">
        <f ca="1">IFERROR(__xludf.DUMMYFUNCTION("IFERROR(GOOGLEFINANCE(B659,""change""),0)"),7.85)</f>
        <v>7.85</v>
      </c>
      <c r="N659" s="6">
        <v>2</v>
      </c>
      <c r="O659" s="7">
        <v>45536</v>
      </c>
      <c r="P659" s="6">
        <v>1521.76</v>
      </c>
      <c r="Q659" s="6">
        <v>8790.32</v>
      </c>
      <c r="R659" s="7">
        <v>45536</v>
      </c>
      <c r="S659" s="6">
        <v>4076.46</v>
      </c>
      <c r="T659" s="6">
        <v>-127.88</v>
      </c>
      <c r="U659" s="7">
        <v>45536</v>
      </c>
      <c r="V659" s="6">
        <v>0</v>
      </c>
      <c r="W659" s="6">
        <f ca="1">IFERROR(__xludf.DUMMYFUNCTION("IFERROR(GOOGLEFINANCE(B659,""pe""),V659)"),0)</f>
        <v>0</v>
      </c>
      <c r="X659" s="9"/>
      <c r="Y659" s="6">
        <v>34.81</v>
      </c>
      <c r="Z659" s="6">
        <v>2</v>
      </c>
      <c r="AA659" s="8">
        <v>45352</v>
      </c>
      <c r="AB659" s="4">
        <v>10.14</v>
      </c>
      <c r="AC659" s="6">
        <v>-74.760000000000005</v>
      </c>
      <c r="AD659" s="6">
        <v>-2.96</v>
      </c>
      <c r="AE659" s="1">
        <v>0</v>
      </c>
      <c r="AF659" s="1">
        <f ca="1">IFERROR(__xludf.DUMMYFUNCTION("IFERROR(GOOGLEFINANCE(TRIM(F659)&amp;"":"" &amp; TRIM(B659),""high52""),AE659)"),491.9)</f>
        <v>491.9</v>
      </c>
      <c r="AG659" s="1">
        <v>0</v>
      </c>
      <c r="AH659" s="1">
        <f ca="1">IFERROR(__xludf.DUMMYFUNCTION("IFERROR(GOOGLEFINANCE(TRIM(F659)&amp;"":"" &amp; TRIM(B659),""low52""),AE659)"),231.05)</f>
        <v>231.05</v>
      </c>
      <c r="AI659" s="1">
        <f ca="1">IFERROR(__xludf.DUMMYFUNCTION("IFERROR(GOOGLEFINANCE(B659,""eps""),0)"),-13.79)</f>
        <v>-13.79</v>
      </c>
      <c r="AJ659" s="1"/>
      <c r="AK659" s="1" t="s">
        <v>2054</v>
      </c>
      <c r="AL659" s="9">
        <f t="shared" si="132"/>
        <v>1</v>
      </c>
    </row>
    <row r="660" spans="1:38" ht="15" x14ac:dyDescent="0.25">
      <c r="A660" s="1" t="s">
        <v>2055</v>
      </c>
      <c r="B660" s="1" t="s">
        <v>2056</v>
      </c>
      <c r="C660" s="1" t="s">
        <v>135</v>
      </c>
      <c r="D660" s="1" t="s">
        <v>135</v>
      </c>
      <c r="E660" s="6">
        <v>1164.07</v>
      </c>
      <c r="F660" s="1" t="s">
        <v>53</v>
      </c>
      <c r="G660" s="6">
        <f ca="1">IFERROR(__xludf.DUMMYFUNCTION("iferror(GOOGLEFINANCE(TRIM(F660)&amp;"":"" &amp; TRIM(B660), ""price""),0
)"),0)</f>
        <v>0</v>
      </c>
      <c r="H660" s="6">
        <v>110</v>
      </c>
      <c r="I660" s="6">
        <f t="shared" ca="1" si="0"/>
        <v>110</v>
      </c>
      <c r="J660" s="6">
        <f ca="1">IFERROR(__xludf.DUMMYFUNCTION("IFERROR(GOOGLEFINANCE(B660, ""volume""), 0)"),0)</f>
        <v>0</v>
      </c>
      <c r="K660" s="6">
        <v>1.2</v>
      </c>
      <c r="L660" s="6">
        <f ca="1">IFERROR(__xludf.DUMMYFUNCTION("IFERROR(GOOGLEFINANCE(B660,""changepct""),K660)"),1.2)</f>
        <v>1.2</v>
      </c>
      <c r="M660" s="6">
        <f ca="1">IFERROR(__xludf.DUMMYFUNCTION("IFERROR(GOOGLEFINANCE(B660,""change""),0)"),0)</f>
        <v>0</v>
      </c>
      <c r="N660" s="6">
        <v>1</v>
      </c>
      <c r="O660" s="7">
        <v>45536</v>
      </c>
      <c r="P660" s="6">
        <v>359.46</v>
      </c>
      <c r="Q660" s="6">
        <v>1447.49</v>
      </c>
      <c r="R660" s="7">
        <v>45536</v>
      </c>
      <c r="S660" s="6">
        <v>1577.34</v>
      </c>
      <c r="T660" s="6">
        <v>69.25</v>
      </c>
      <c r="U660" s="7">
        <v>45536</v>
      </c>
      <c r="V660" s="6">
        <v>16.809999999999999</v>
      </c>
      <c r="W660" s="6">
        <f ca="1">IFERROR(__xludf.DUMMYFUNCTION("IFERROR(GOOGLEFINANCE(B660,""pe""),V660)"),16.81)</f>
        <v>16.809999999999999</v>
      </c>
      <c r="X660" s="6">
        <v>-1.03</v>
      </c>
      <c r="Y660" s="6">
        <v>1.02</v>
      </c>
      <c r="Z660" s="6">
        <v>1</v>
      </c>
      <c r="AA660" s="8">
        <v>45352</v>
      </c>
      <c r="AB660" s="4">
        <v>0.28000000000000003</v>
      </c>
      <c r="AC660" s="6">
        <v>5.69</v>
      </c>
      <c r="AD660" s="6">
        <v>8.1999999999999993</v>
      </c>
      <c r="AE660" s="1">
        <v>0</v>
      </c>
      <c r="AF660" s="1">
        <f ca="1">IFERROR(__xludf.DUMMYFUNCTION("IFERROR(GOOGLEFINANCE(TRIM(F660)&amp;"":"" &amp; TRIM(B660),""high52""),AE660)"),0)</f>
        <v>0</v>
      </c>
      <c r="AG660" s="1">
        <v>0</v>
      </c>
      <c r="AH660" s="1">
        <f ca="1">IFERROR(__xludf.DUMMYFUNCTION("IFERROR(GOOGLEFINANCE(TRIM(F660)&amp;"":"" &amp; TRIM(B660),""low52""),AE660)"),0)</f>
        <v>0</v>
      </c>
      <c r="AI660" s="1">
        <f ca="1">IFERROR(__xludf.DUMMYFUNCTION("IFERROR(GOOGLEFINANCE(B660,""eps""),0)"),0)</f>
        <v>0</v>
      </c>
      <c r="AJ660" s="1"/>
      <c r="AK660" s="1" t="s">
        <v>2057</v>
      </c>
      <c r="AL660" s="9">
        <f t="shared" si="132"/>
        <v>1</v>
      </c>
    </row>
    <row r="661" spans="1:38" ht="15" x14ac:dyDescent="0.25">
      <c r="A661" s="1" t="s">
        <v>2058</v>
      </c>
      <c r="B661" s="1" t="s">
        <v>2059</v>
      </c>
      <c r="C661" s="1" t="s">
        <v>1546</v>
      </c>
      <c r="D661" s="1" t="s">
        <v>1546</v>
      </c>
      <c r="E661" s="6">
        <v>9443.2199999999993</v>
      </c>
      <c r="F661" s="1" t="s">
        <v>40</v>
      </c>
      <c r="G661" s="6">
        <f ca="1">IFERROR(__xludf.DUMMYFUNCTION("iferror(GOOGLEFINANCE(TRIM(F661)&amp;"":"" &amp; TRIM(B661), ""price""),0
)"),868.9)</f>
        <v>868.9</v>
      </c>
      <c r="H661" s="6">
        <v>639.54999999999995</v>
      </c>
      <c r="I661" s="6">
        <f t="shared" ca="1" si="0"/>
        <v>868.9</v>
      </c>
      <c r="J661" s="6">
        <f ca="1">IFERROR(__xludf.DUMMYFUNCTION("IFERROR(GOOGLEFINANCE(B661, ""volume""), 0)"),1095105)</f>
        <v>1095105</v>
      </c>
      <c r="K661" s="6">
        <v>0.83</v>
      </c>
      <c r="L661" s="6">
        <f ca="1">IFERROR(__xludf.DUMMYFUNCTION("IFERROR(GOOGLEFINANCE(B661,""changepct""),K661)"),4.35)</f>
        <v>4.3499999999999996</v>
      </c>
      <c r="M661" s="6">
        <f ca="1">IFERROR(__xludf.DUMMYFUNCTION("IFERROR(GOOGLEFINANCE(B661,""change""),0)"),36.2)</f>
        <v>36.200000000000003</v>
      </c>
      <c r="N661" s="6">
        <v>2</v>
      </c>
      <c r="O661" s="7">
        <v>45536</v>
      </c>
      <c r="P661" s="6">
        <v>6086.51</v>
      </c>
      <c r="Q661" s="6">
        <v>15336.19</v>
      </c>
      <c r="R661" s="7">
        <v>45536</v>
      </c>
      <c r="S661" s="6">
        <v>76062.78</v>
      </c>
      <c r="T661" s="6">
        <v>667.16</v>
      </c>
      <c r="U661" s="7">
        <v>45536</v>
      </c>
      <c r="V661" s="6">
        <v>13.18</v>
      </c>
      <c r="W661" s="6">
        <f ca="1">IFERROR(__xludf.DUMMYFUNCTION("IFERROR(GOOGLEFINANCE(B661,""pe""),V661)"),6.02)</f>
        <v>6.02</v>
      </c>
      <c r="X661" s="6">
        <v>0.18</v>
      </c>
      <c r="Y661" s="6">
        <v>1.22</v>
      </c>
      <c r="Z661" s="6">
        <v>2</v>
      </c>
      <c r="AA661" s="8">
        <v>45352</v>
      </c>
      <c r="AB661" s="4">
        <v>0.31</v>
      </c>
      <c r="AC661" s="6">
        <v>35.89</v>
      </c>
      <c r="AD661" s="6">
        <v>35.15</v>
      </c>
      <c r="AE661" s="1">
        <v>0</v>
      </c>
      <c r="AF661" s="1">
        <f ca="1">IFERROR(__xludf.DUMMYFUNCTION("IFERROR(GOOGLEFINANCE(TRIM(F661)&amp;"":"" &amp; TRIM(B661),""high52""),AE661)"),1103)</f>
        <v>1103</v>
      </c>
      <c r="AG661" s="1">
        <v>0</v>
      </c>
      <c r="AH661" s="1">
        <f ca="1">IFERROR(__xludf.DUMMYFUNCTION("IFERROR(GOOGLEFINANCE(TRIM(F661)&amp;"":"" &amp; TRIM(B661),""low52""),AE661)"),433.1)</f>
        <v>433.1</v>
      </c>
      <c r="AI661" s="1">
        <f ca="1">IFERROR(__xludf.DUMMYFUNCTION("IFERROR(GOOGLEFINANCE(B661,""eps""),0)"),144.43)</f>
        <v>144.43</v>
      </c>
      <c r="AJ661" s="1"/>
      <c r="AK661" s="1" t="s">
        <v>2060</v>
      </c>
      <c r="AL661" s="9">
        <f t="shared" si="132"/>
        <v>1</v>
      </c>
    </row>
    <row r="662" spans="1:38" ht="15" x14ac:dyDescent="0.25">
      <c r="A662" s="1" t="s">
        <v>2061</v>
      </c>
      <c r="B662" s="1" t="s">
        <v>2062</v>
      </c>
      <c r="C662" s="1" t="s">
        <v>778</v>
      </c>
      <c r="D662" s="1" t="s">
        <v>778</v>
      </c>
      <c r="E662" s="6">
        <v>200.84</v>
      </c>
      <c r="F662" s="1" t="s">
        <v>40</v>
      </c>
      <c r="G662" s="6">
        <f ca="1">IFERROR(__xludf.DUMMYFUNCTION("iferror(GOOGLEFINANCE(TRIM(F662)&amp;"":"" &amp; TRIM(B662), ""price""),0
)"),0)</f>
        <v>0</v>
      </c>
      <c r="H662" s="6">
        <v>97.25</v>
      </c>
      <c r="I662" s="6">
        <f t="shared" ca="1" si="0"/>
        <v>97.25</v>
      </c>
      <c r="J662" s="6">
        <f ca="1">IFERROR(__xludf.DUMMYFUNCTION("IFERROR(GOOGLEFINANCE(B662, ""volume""), 0)"),0)</f>
        <v>0</v>
      </c>
      <c r="K662" s="6">
        <v>-1.22</v>
      </c>
      <c r="L662" s="6">
        <f ca="1">IFERROR(__xludf.DUMMYFUNCTION("IFERROR(GOOGLEFINANCE(B662,""changepct""),K662)"),-1.22)</f>
        <v>-1.22</v>
      </c>
      <c r="M662" s="6">
        <f ca="1">IFERROR(__xludf.DUMMYFUNCTION("IFERROR(GOOGLEFINANCE(B662,""change""),0)"),0)</f>
        <v>0</v>
      </c>
      <c r="N662" s="6">
        <v>1</v>
      </c>
      <c r="O662" s="7">
        <v>45536</v>
      </c>
      <c r="P662" s="6">
        <v>2.06</v>
      </c>
      <c r="Q662" s="6">
        <v>202.9</v>
      </c>
      <c r="R662" s="14"/>
      <c r="S662" s="9"/>
      <c r="T662" s="9"/>
      <c r="U662" s="6">
        <v>0</v>
      </c>
      <c r="V662" s="9"/>
      <c r="W662" s="6" t="str">
        <f ca="1">IFERROR(__xludf.DUMMYFUNCTION("IFERROR(GOOGLEFINANCE(B662,""pe""),V662)"),"")</f>
        <v/>
      </c>
      <c r="X662" s="12"/>
      <c r="Y662" s="6">
        <v>2.82</v>
      </c>
      <c r="Z662" s="6">
        <v>1</v>
      </c>
      <c r="AA662" s="8">
        <v>45352</v>
      </c>
      <c r="AB662" s="4">
        <v>2.0299999999999998</v>
      </c>
      <c r="AC662" s="6">
        <v>47.67</v>
      </c>
      <c r="AD662" s="6">
        <v>26.96</v>
      </c>
      <c r="AE662" s="1">
        <v>0</v>
      </c>
      <c r="AF662" s="1">
        <f ca="1">IFERROR(__xludf.DUMMYFUNCTION("IFERROR(GOOGLEFINANCE(TRIM(F662)&amp;"":"" &amp; TRIM(B662),""high52""),AE662)"),0)</f>
        <v>0</v>
      </c>
      <c r="AG662" s="1">
        <v>0</v>
      </c>
      <c r="AH662" s="1">
        <f ca="1">IFERROR(__xludf.DUMMYFUNCTION("IFERROR(GOOGLEFINANCE(TRIM(F662)&amp;"":"" &amp; TRIM(B662),""low52""),AE662)"),0)</f>
        <v>0</v>
      </c>
      <c r="AI662" s="1">
        <f ca="1">IFERROR(__xludf.DUMMYFUNCTION("IFERROR(GOOGLEFINANCE(B662,""eps""),0)"),0)</f>
        <v>0</v>
      </c>
      <c r="AJ662" s="1"/>
      <c r="AK662" s="1" t="s">
        <v>2063</v>
      </c>
      <c r="AL662" s="9">
        <f t="shared" si="132"/>
        <v>1</v>
      </c>
    </row>
    <row r="663" spans="1:38" ht="15" x14ac:dyDescent="0.25">
      <c r="A663" s="1" t="s">
        <v>2064</v>
      </c>
      <c r="B663" s="1" t="s">
        <v>2065</v>
      </c>
      <c r="C663" s="1" t="s">
        <v>135</v>
      </c>
      <c r="D663" s="1" t="s">
        <v>135</v>
      </c>
      <c r="E663" s="6">
        <v>2456.0300000000002</v>
      </c>
      <c r="F663" s="1" t="s">
        <v>53</v>
      </c>
      <c r="G663" s="6">
        <f ca="1">IFERROR(__xludf.DUMMYFUNCTION("iferror(GOOGLEFINANCE(TRIM(F663)&amp;"":"" &amp; TRIM(B663), ""price""),0
)"),0)</f>
        <v>0</v>
      </c>
      <c r="H663" s="6">
        <v>1461.9</v>
      </c>
      <c r="I663" s="6">
        <f t="shared" ca="1" si="0"/>
        <v>1461.9</v>
      </c>
      <c r="J663" s="6">
        <f ca="1">IFERROR(__xludf.DUMMYFUNCTION("IFERROR(GOOGLEFINANCE(B663, ""volume""), 0)"),15139)</f>
        <v>15139</v>
      </c>
      <c r="K663" s="6">
        <v>1.96</v>
      </c>
      <c r="L663" s="6">
        <f ca="1">IFERROR(__xludf.DUMMYFUNCTION("IFERROR(GOOGLEFINANCE(B663,""changepct""),K663)"),2.56)</f>
        <v>2.56</v>
      </c>
      <c r="M663" s="6">
        <f ca="1">IFERROR(__xludf.DUMMYFUNCTION("IFERROR(GOOGLEFINANCE(B663,""change""),0)"),15.8)</f>
        <v>15.8</v>
      </c>
      <c r="N663" s="6">
        <v>2</v>
      </c>
      <c r="O663" s="7">
        <v>45536</v>
      </c>
      <c r="P663" s="6">
        <v>115.12</v>
      </c>
      <c r="Q663" s="6">
        <v>2568.73</v>
      </c>
      <c r="R663" s="7">
        <v>45536</v>
      </c>
      <c r="S663" s="6">
        <v>456.74</v>
      </c>
      <c r="T663" s="6">
        <v>50.67</v>
      </c>
      <c r="U663" s="7">
        <v>45536</v>
      </c>
      <c r="V663" s="6">
        <v>45.37</v>
      </c>
      <c r="W663" s="6">
        <f ca="1">IFERROR(__xludf.DUMMYFUNCTION("IFERROR(GOOGLEFINANCE(B663,""pe""),V663)"),25.06)</f>
        <v>25.06</v>
      </c>
      <c r="X663" s="6">
        <v>0.15</v>
      </c>
      <c r="Y663" s="6">
        <v>15.99</v>
      </c>
      <c r="Z663" s="6">
        <v>2</v>
      </c>
      <c r="AA663" s="8">
        <v>45352</v>
      </c>
      <c r="AB663" s="4">
        <v>0.66</v>
      </c>
      <c r="AC663" s="6">
        <v>36.020000000000003</v>
      </c>
      <c r="AD663" s="6">
        <v>32.83</v>
      </c>
      <c r="AE663" s="1">
        <v>0</v>
      </c>
      <c r="AF663" s="1">
        <f ca="1">IFERROR(__xludf.DUMMYFUNCTION("IFERROR(GOOGLEFINANCE(TRIM(F663)&amp;"":"" &amp; TRIM(B663),""high52""),AE663)"),0)</f>
        <v>0</v>
      </c>
      <c r="AG663" s="1">
        <v>0</v>
      </c>
      <c r="AH663" s="1">
        <f ca="1">IFERROR(__xludf.DUMMYFUNCTION("IFERROR(GOOGLEFINANCE(TRIM(F663)&amp;"":"" &amp; TRIM(B663),""low52""),AE663)"),0)</f>
        <v>0</v>
      </c>
      <c r="AI663" s="1">
        <f ca="1">IFERROR(__xludf.DUMMYFUNCTION("IFERROR(GOOGLEFINANCE(B663,""eps""),0)"),25.25)</f>
        <v>25.25</v>
      </c>
      <c r="AJ663" s="1"/>
      <c r="AK663" s="1" t="s">
        <v>2066</v>
      </c>
      <c r="AL663" s="9">
        <f t="shared" si="132"/>
        <v>1</v>
      </c>
    </row>
    <row r="664" spans="1:38" ht="15" x14ac:dyDescent="0.25">
      <c r="A664" s="1" t="s">
        <v>2067</v>
      </c>
      <c r="B664" s="1" t="s">
        <v>2068</v>
      </c>
      <c r="C664" s="1" t="s">
        <v>135</v>
      </c>
      <c r="D664" s="1" t="s">
        <v>135</v>
      </c>
      <c r="E664" s="6">
        <v>627.41999999999996</v>
      </c>
      <c r="F664" s="1" t="s">
        <v>53</v>
      </c>
      <c r="G664" s="6">
        <f ca="1">IFERROR(__xludf.DUMMYFUNCTION("iferror(GOOGLEFINANCE(TRIM(F664)&amp;"":"" &amp; TRIM(B664), ""price""),0
)"),0)</f>
        <v>0</v>
      </c>
      <c r="H664" s="6">
        <v>785</v>
      </c>
      <c r="I664" s="6">
        <f t="shared" ca="1" si="0"/>
        <v>785</v>
      </c>
      <c r="J664" s="6">
        <f ca="1">IFERROR(__xludf.DUMMYFUNCTION("IFERROR(GOOGLEFINANCE(B664, ""volume""), 0)"),0)</f>
        <v>0</v>
      </c>
      <c r="K664" s="6">
        <v>3.39</v>
      </c>
      <c r="L664" s="6">
        <f ca="1">IFERROR(__xludf.DUMMYFUNCTION("IFERROR(GOOGLEFINANCE(B664,""changepct""),K664)"),3.39)</f>
        <v>3.39</v>
      </c>
      <c r="M664" s="6">
        <f ca="1">IFERROR(__xludf.DUMMYFUNCTION("IFERROR(GOOGLEFINANCE(B664,""change""),0)"),0)</f>
        <v>0</v>
      </c>
      <c r="N664" s="6">
        <v>2</v>
      </c>
      <c r="O664" s="7">
        <v>45536</v>
      </c>
      <c r="P664" s="6">
        <v>0.8</v>
      </c>
      <c r="Q664" s="6">
        <v>618.19000000000005</v>
      </c>
      <c r="R664" s="7">
        <v>45536</v>
      </c>
      <c r="S664" s="6">
        <v>168.9</v>
      </c>
      <c r="T664" s="6">
        <v>22.93</v>
      </c>
      <c r="U664" s="7">
        <v>45536</v>
      </c>
      <c r="V664" s="6">
        <v>24.83</v>
      </c>
      <c r="W664" s="6">
        <f ca="1">IFERROR(__xludf.DUMMYFUNCTION("IFERROR(GOOGLEFINANCE(B664,""pe""),V664)"),24.83)</f>
        <v>24.83</v>
      </c>
      <c r="X664" s="6">
        <v>0.52</v>
      </c>
      <c r="Y664" s="6">
        <v>4.33</v>
      </c>
      <c r="Z664" s="6">
        <v>2</v>
      </c>
      <c r="AA664" s="8">
        <v>45352</v>
      </c>
      <c r="AB664" s="4">
        <v>0.05</v>
      </c>
      <c r="AC664" s="6">
        <v>19.45</v>
      </c>
      <c r="AD664" s="6">
        <v>25.39</v>
      </c>
      <c r="AE664" s="1">
        <v>0</v>
      </c>
      <c r="AF664" s="1">
        <f ca="1">IFERROR(__xludf.DUMMYFUNCTION("IFERROR(GOOGLEFINANCE(TRIM(F664)&amp;"":"" &amp; TRIM(B664),""high52""),AE664)"),0)</f>
        <v>0</v>
      </c>
      <c r="AG664" s="1">
        <v>0</v>
      </c>
      <c r="AH664" s="1">
        <f ca="1">IFERROR(__xludf.DUMMYFUNCTION("IFERROR(GOOGLEFINANCE(TRIM(F664)&amp;"":"" &amp; TRIM(B664),""low52""),AE664)"),0)</f>
        <v>0</v>
      </c>
      <c r="AI664" s="1">
        <f ca="1">IFERROR(__xludf.DUMMYFUNCTION("IFERROR(GOOGLEFINANCE(B664,""eps""),0)"),0)</f>
        <v>0</v>
      </c>
      <c r="AJ664" s="1"/>
      <c r="AK664" s="1" t="s">
        <v>2069</v>
      </c>
      <c r="AL664" s="9">
        <f t="shared" si="132"/>
        <v>1</v>
      </c>
    </row>
    <row r="665" spans="1:38" ht="15" x14ac:dyDescent="0.25">
      <c r="A665" s="1" t="s">
        <v>2070</v>
      </c>
      <c r="B665" s="1" t="s">
        <v>2071</v>
      </c>
      <c r="C665" s="1" t="s">
        <v>135</v>
      </c>
      <c r="D665" s="1" t="s">
        <v>135</v>
      </c>
      <c r="E665" s="6">
        <v>1205.44</v>
      </c>
      <c r="F665" s="1" t="s">
        <v>53</v>
      </c>
      <c r="G665" s="6">
        <f ca="1">IFERROR(__xludf.DUMMYFUNCTION("iferror(GOOGLEFINANCE(TRIM(F665)&amp;"":"" &amp; TRIM(B665), ""price""),0
)"),0)</f>
        <v>0</v>
      </c>
      <c r="H665" s="6">
        <v>100.13</v>
      </c>
      <c r="I665" s="6">
        <f t="shared" ca="1" si="0"/>
        <v>100.13</v>
      </c>
      <c r="J665" s="6">
        <f ca="1">IFERROR(__xludf.DUMMYFUNCTION("IFERROR(GOOGLEFINANCE(B665, ""volume""), 0)"),0)</f>
        <v>0</v>
      </c>
      <c r="K665" s="6">
        <v>1.2</v>
      </c>
      <c r="L665" s="6">
        <f ca="1">IFERROR(__xludf.DUMMYFUNCTION("IFERROR(GOOGLEFINANCE(B665,""changepct""),K665)"),1.2)</f>
        <v>1.2</v>
      </c>
      <c r="M665" s="6">
        <f ca="1">IFERROR(__xludf.DUMMYFUNCTION("IFERROR(GOOGLEFINANCE(B665,""change""),0)"),0)</f>
        <v>0</v>
      </c>
      <c r="N665" s="6">
        <v>1</v>
      </c>
      <c r="O665" s="7">
        <v>45536</v>
      </c>
      <c r="P665" s="6">
        <v>66.75</v>
      </c>
      <c r="Q665" s="6">
        <v>1272.19</v>
      </c>
      <c r="R665" s="7">
        <v>45536</v>
      </c>
      <c r="S665" s="6">
        <v>278.91000000000003</v>
      </c>
      <c r="T665" s="6">
        <v>81.19</v>
      </c>
      <c r="U665" s="7">
        <v>45536</v>
      </c>
      <c r="V665" s="6">
        <v>14.85</v>
      </c>
      <c r="W665" s="6">
        <f ca="1">IFERROR(__xludf.DUMMYFUNCTION("IFERROR(GOOGLEFINANCE(B665,""pe""),V665)"),14.85)</f>
        <v>14.85</v>
      </c>
      <c r="X665" s="6">
        <v>0.47</v>
      </c>
      <c r="Y665" s="6">
        <v>-17.239999999999998</v>
      </c>
      <c r="Z665" s="6">
        <v>1</v>
      </c>
      <c r="AA665" s="8">
        <v>45352</v>
      </c>
      <c r="AB665" s="4">
        <v>-7.0000000000000007E-2</v>
      </c>
      <c r="AC665" s="6">
        <v>0</v>
      </c>
      <c r="AD665" s="6">
        <v>0</v>
      </c>
      <c r="AE665" s="1">
        <v>0</v>
      </c>
      <c r="AF665" s="1">
        <f ca="1">IFERROR(__xludf.DUMMYFUNCTION("IFERROR(GOOGLEFINANCE(TRIM(F665)&amp;"":"" &amp; TRIM(B665),""high52""),AE665)"),0)</f>
        <v>0</v>
      </c>
      <c r="AG665" s="1">
        <v>0</v>
      </c>
      <c r="AH665" s="1">
        <f ca="1">IFERROR(__xludf.DUMMYFUNCTION("IFERROR(GOOGLEFINANCE(TRIM(F665)&amp;"":"" &amp; TRIM(B665),""low52""),AE665)"),0)</f>
        <v>0</v>
      </c>
      <c r="AI665" s="1">
        <f ca="1">IFERROR(__xludf.DUMMYFUNCTION("IFERROR(GOOGLEFINANCE(B665,""eps""),0)"),0)</f>
        <v>0</v>
      </c>
      <c r="AJ665" s="1"/>
      <c r="AK665" s="1" t="s">
        <v>2072</v>
      </c>
      <c r="AL665" s="9">
        <f t="shared" si="132"/>
        <v>1</v>
      </c>
    </row>
    <row r="666" spans="1:38" ht="15" x14ac:dyDescent="0.25">
      <c r="A666" s="1" t="s">
        <v>2073</v>
      </c>
      <c r="B666" s="1" t="s">
        <v>2074</v>
      </c>
      <c r="C666" s="1" t="s">
        <v>135</v>
      </c>
      <c r="D666" s="1" t="s">
        <v>135</v>
      </c>
      <c r="E666" s="6">
        <v>1601.04</v>
      </c>
      <c r="F666" s="1" t="s">
        <v>53</v>
      </c>
      <c r="G666" s="6">
        <f ca="1">IFERROR(__xludf.DUMMYFUNCTION("iferror(GOOGLEFINANCE(TRIM(F666)&amp;"":"" &amp; TRIM(B666), ""price""),0
)"),0)</f>
        <v>0</v>
      </c>
      <c r="H666" s="6">
        <v>548.9</v>
      </c>
      <c r="I666" s="6">
        <f t="shared" ca="1" si="0"/>
        <v>548.9</v>
      </c>
      <c r="J666" s="6">
        <f ca="1">IFERROR(__xludf.DUMMYFUNCTION("IFERROR(GOOGLEFINANCE(B666, ""volume""), 0)"),0)</f>
        <v>0</v>
      </c>
      <c r="K666" s="6">
        <v>0.11</v>
      </c>
      <c r="L666" s="6">
        <f ca="1">IFERROR(__xludf.DUMMYFUNCTION("IFERROR(GOOGLEFINANCE(B666,""changepct""),K666)"),0.11)</f>
        <v>0.11</v>
      </c>
      <c r="M666" s="6">
        <f ca="1">IFERROR(__xludf.DUMMYFUNCTION("IFERROR(GOOGLEFINANCE(B666,""change""),0)"),0)</f>
        <v>0</v>
      </c>
      <c r="N666" s="6">
        <v>2</v>
      </c>
      <c r="O666" s="7">
        <v>45536</v>
      </c>
      <c r="P666" s="6">
        <v>83.3</v>
      </c>
      <c r="Q666" s="6">
        <v>1635.63</v>
      </c>
      <c r="R666" s="7">
        <v>45536</v>
      </c>
      <c r="S666" s="6">
        <v>605.27</v>
      </c>
      <c r="T666" s="6">
        <v>58.98</v>
      </c>
      <c r="U666" s="7">
        <v>45536</v>
      </c>
      <c r="V666" s="6">
        <v>27.15</v>
      </c>
      <c r="W666" s="6">
        <f ca="1">IFERROR(__xludf.DUMMYFUNCTION("IFERROR(GOOGLEFINANCE(B666,""pe""),V666)"),27.15)</f>
        <v>27.15</v>
      </c>
      <c r="X666" s="12"/>
      <c r="Y666" s="6">
        <v>1.48</v>
      </c>
      <c r="Z666" s="6">
        <v>2</v>
      </c>
      <c r="AA666" s="8">
        <v>45352</v>
      </c>
      <c r="AB666" s="4">
        <v>0.08</v>
      </c>
      <c r="AC666" s="6">
        <v>7.04</v>
      </c>
      <c r="AD666" s="6">
        <v>9.35</v>
      </c>
      <c r="AE666" s="1">
        <v>0</v>
      </c>
      <c r="AF666" s="1">
        <f ca="1">IFERROR(__xludf.DUMMYFUNCTION("IFERROR(GOOGLEFINANCE(TRIM(F666)&amp;"":"" &amp; TRIM(B666),""high52""),AE666)"),0)</f>
        <v>0</v>
      </c>
      <c r="AG666" s="1">
        <v>0</v>
      </c>
      <c r="AH666" s="1">
        <f ca="1">IFERROR(__xludf.DUMMYFUNCTION("IFERROR(GOOGLEFINANCE(TRIM(F666)&amp;"":"" &amp; TRIM(B666),""low52""),AE666)"),0)</f>
        <v>0</v>
      </c>
      <c r="AI666" s="1">
        <f ca="1">IFERROR(__xludf.DUMMYFUNCTION("IFERROR(GOOGLEFINANCE(B666,""eps""),0)"),0)</f>
        <v>0</v>
      </c>
      <c r="AJ666" s="1"/>
      <c r="AK666" s="1" t="s">
        <v>2075</v>
      </c>
      <c r="AL666" s="9">
        <f t="shared" si="132"/>
        <v>1</v>
      </c>
    </row>
    <row r="667" spans="1:38" ht="15" x14ac:dyDescent="0.25">
      <c r="A667" s="1" t="s">
        <v>2076</v>
      </c>
      <c r="B667" s="1" t="s">
        <v>2077</v>
      </c>
      <c r="C667" s="1" t="s">
        <v>186</v>
      </c>
      <c r="D667" s="1" t="s">
        <v>186</v>
      </c>
      <c r="E667" s="6">
        <v>762.36</v>
      </c>
      <c r="F667" s="1" t="s">
        <v>40</v>
      </c>
      <c r="G667" s="6">
        <f ca="1">IFERROR(__xludf.DUMMYFUNCTION("iferror(GOOGLEFINANCE(TRIM(F667)&amp;"":"" &amp; TRIM(B667), ""price""),0
)"),1005.8)</f>
        <v>1005.8</v>
      </c>
      <c r="H667" s="6">
        <v>1310.4000000000001</v>
      </c>
      <c r="I667" s="6">
        <f t="shared" ca="1" si="0"/>
        <v>1005.8</v>
      </c>
      <c r="J667" s="6">
        <f ca="1">IFERROR(__xludf.DUMMYFUNCTION("IFERROR(GOOGLEFINANCE(B667, ""volume""), 0)"),498)</f>
        <v>498</v>
      </c>
      <c r="K667" s="6">
        <v>0.73</v>
      </c>
      <c r="L667" s="6">
        <f ca="1">IFERROR(__xludf.DUMMYFUNCTION("IFERROR(GOOGLEFINANCE(B667,""changepct""),K667)"),-0.34)</f>
        <v>-0.34</v>
      </c>
      <c r="M667" s="6">
        <f ca="1">IFERROR(__xludf.DUMMYFUNCTION("IFERROR(GOOGLEFINANCE(B667,""change""),0)"),-3.4)</f>
        <v>-3.4</v>
      </c>
      <c r="N667" s="6">
        <v>1</v>
      </c>
      <c r="O667" s="7">
        <v>45536</v>
      </c>
      <c r="P667" s="6">
        <v>6.7</v>
      </c>
      <c r="Q667" s="6">
        <v>755.62</v>
      </c>
      <c r="R667" s="7">
        <v>45536</v>
      </c>
      <c r="S667" s="6">
        <v>418.82</v>
      </c>
      <c r="T667" s="6">
        <v>77.84</v>
      </c>
      <c r="U667" s="7">
        <v>45536</v>
      </c>
      <c r="V667" s="6">
        <v>9.7899999999999991</v>
      </c>
      <c r="W667" s="6">
        <f ca="1">IFERROR(__xludf.DUMMYFUNCTION("IFERROR(GOOGLEFINANCE(B667,""pe""),V667)"),10.46)</f>
        <v>10.46</v>
      </c>
      <c r="X667" s="6">
        <v>1.46</v>
      </c>
      <c r="Y667" s="6">
        <v>1.48</v>
      </c>
      <c r="Z667" s="6">
        <v>1</v>
      </c>
      <c r="AA667" s="8">
        <v>45352</v>
      </c>
      <c r="AB667" s="4">
        <v>0.02</v>
      </c>
      <c r="AC667" s="6">
        <v>14.09</v>
      </c>
      <c r="AD667" s="6">
        <v>17.059999999999999</v>
      </c>
      <c r="AE667" s="1">
        <v>0</v>
      </c>
      <c r="AF667" s="1">
        <f ca="1">IFERROR(__xludf.DUMMYFUNCTION("IFERROR(GOOGLEFINANCE(TRIM(F667)&amp;"":"" &amp; TRIM(B667),""high52""),AE667)"),1300)</f>
        <v>1300</v>
      </c>
      <c r="AG667" s="1">
        <v>0</v>
      </c>
      <c r="AH667" s="1">
        <f ca="1">IFERROR(__xludf.DUMMYFUNCTION("IFERROR(GOOGLEFINANCE(TRIM(F667)&amp;"":"" &amp; TRIM(B667),""low52""),AE667)"),974.75)</f>
        <v>974.75</v>
      </c>
      <c r="AI667" s="1">
        <f ca="1">IFERROR(__xludf.DUMMYFUNCTION("IFERROR(GOOGLEFINANCE(B667,""eps""),0)"),96.2)</f>
        <v>96.2</v>
      </c>
      <c r="AJ667" s="1"/>
      <c r="AK667" s="1" t="s">
        <v>2078</v>
      </c>
      <c r="AL667" s="9">
        <f t="shared" si="132"/>
        <v>1</v>
      </c>
    </row>
    <row r="668" spans="1:38" ht="15" x14ac:dyDescent="0.25">
      <c r="A668" s="1" t="s">
        <v>2079</v>
      </c>
      <c r="B668" s="1" t="s">
        <v>2080</v>
      </c>
      <c r="C668" s="1" t="s">
        <v>135</v>
      </c>
      <c r="D668" s="1" t="s">
        <v>135</v>
      </c>
      <c r="E668" s="6">
        <v>92.12</v>
      </c>
      <c r="F668" s="1" t="s">
        <v>53</v>
      </c>
      <c r="G668" s="6">
        <f ca="1">IFERROR(__xludf.DUMMYFUNCTION("iferror(GOOGLEFINANCE(TRIM(F668)&amp;"":"" &amp; TRIM(B668), ""price""),0
)"),0)</f>
        <v>0</v>
      </c>
      <c r="H668" s="6">
        <v>281.3</v>
      </c>
      <c r="I668" s="6">
        <f t="shared" ca="1" si="0"/>
        <v>281.3</v>
      </c>
      <c r="J668" s="6">
        <f ca="1">IFERROR(__xludf.DUMMYFUNCTION("IFERROR(GOOGLEFINANCE(B668, ""volume""), 0)"),0)</f>
        <v>0</v>
      </c>
      <c r="K668" s="6">
        <v>-2.95</v>
      </c>
      <c r="L668" s="6">
        <f ca="1">IFERROR(__xludf.DUMMYFUNCTION("IFERROR(GOOGLEFINANCE(B668,""changepct""),K668)"),0)</f>
        <v>0</v>
      </c>
      <c r="M668" s="6">
        <f ca="1">IFERROR(__xludf.DUMMYFUNCTION("IFERROR(GOOGLEFINANCE(B668,""change""),0)"),0)</f>
        <v>0</v>
      </c>
      <c r="N668" s="6">
        <v>1</v>
      </c>
      <c r="O668" s="7">
        <v>45536</v>
      </c>
      <c r="P668" s="6">
        <v>0.93</v>
      </c>
      <c r="Q668" s="6">
        <v>93.05</v>
      </c>
      <c r="R668" s="7">
        <v>45536</v>
      </c>
      <c r="S668" s="6">
        <v>36.78</v>
      </c>
      <c r="T668" s="6">
        <v>5.84</v>
      </c>
      <c r="U668" s="7">
        <v>45536</v>
      </c>
      <c r="V668" s="6">
        <v>15.77</v>
      </c>
      <c r="W668" s="6">
        <f ca="1">IFERROR(__xludf.DUMMYFUNCTION("IFERROR(GOOGLEFINANCE(B668,""pe""),V668)"),15.77)</f>
        <v>15.77</v>
      </c>
      <c r="X668" s="6">
        <v>0.49</v>
      </c>
      <c r="Y668" s="6">
        <v>2.4900000000000002</v>
      </c>
      <c r="Z668" s="6">
        <v>1</v>
      </c>
      <c r="AA668" s="8">
        <v>45352</v>
      </c>
      <c r="AB668" s="4">
        <v>0.06</v>
      </c>
      <c r="AC668" s="6">
        <v>19.940000000000001</v>
      </c>
      <c r="AD668" s="6">
        <v>25.06</v>
      </c>
      <c r="AE668" s="1">
        <v>0</v>
      </c>
      <c r="AF668" s="1">
        <f ca="1">IFERROR(__xludf.DUMMYFUNCTION("IFERROR(GOOGLEFINANCE(TRIM(F668)&amp;"":"" &amp; TRIM(B668),""high52""),AE668)"),0)</f>
        <v>0</v>
      </c>
      <c r="AG668" s="1">
        <v>0</v>
      </c>
      <c r="AH668" s="1">
        <f ca="1">IFERROR(__xludf.DUMMYFUNCTION("IFERROR(GOOGLEFINANCE(TRIM(F668)&amp;"":"" &amp; TRIM(B668),""low52""),AE668)"),0)</f>
        <v>0</v>
      </c>
      <c r="AI668" s="1">
        <f ca="1">IFERROR(__xludf.DUMMYFUNCTION("IFERROR(GOOGLEFINANCE(B668,""eps""),0)"),-0.01)</f>
        <v>-0.01</v>
      </c>
      <c r="AJ668" s="1"/>
      <c r="AK668" s="1" t="s">
        <v>2081</v>
      </c>
      <c r="AL668" s="9">
        <f t="shared" si="132"/>
        <v>1</v>
      </c>
    </row>
    <row r="669" spans="1:38" ht="15" x14ac:dyDescent="0.25">
      <c r="A669" s="1" t="s">
        <v>2082</v>
      </c>
      <c r="B669" s="1" t="s">
        <v>2083</v>
      </c>
      <c r="C669" s="1" t="s">
        <v>135</v>
      </c>
      <c r="D669" s="1" t="s">
        <v>135</v>
      </c>
      <c r="E669" s="6">
        <v>41.11</v>
      </c>
      <c r="F669" s="1" t="s">
        <v>53</v>
      </c>
      <c r="G669" s="6">
        <f ca="1">IFERROR(__xludf.DUMMYFUNCTION("iferror(GOOGLEFINANCE(TRIM(F669)&amp;"":"" &amp; TRIM(B669), ""price""),0
)"),0)</f>
        <v>0</v>
      </c>
      <c r="H669" s="6">
        <v>8.1199999999999992</v>
      </c>
      <c r="I669" s="6">
        <f t="shared" ca="1" si="0"/>
        <v>8.1199999999999992</v>
      </c>
      <c r="J669" s="6">
        <f ca="1">IFERROR(__xludf.DUMMYFUNCTION("IFERROR(GOOGLEFINANCE(B669, ""volume""), 0)"),0)</f>
        <v>0</v>
      </c>
      <c r="K669" s="6">
        <v>3.18</v>
      </c>
      <c r="L669" s="6">
        <f ca="1">IFERROR(__xludf.DUMMYFUNCTION("IFERROR(GOOGLEFINANCE(B669,""changepct""),K669)"),3.18)</f>
        <v>3.18</v>
      </c>
      <c r="M669" s="6">
        <f ca="1">IFERROR(__xludf.DUMMYFUNCTION("IFERROR(GOOGLEFINANCE(B669,""change""),0)"),0)</f>
        <v>0</v>
      </c>
      <c r="N669" s="6">
        <v>1</v>
      </c>
      <c r="O669" s="7">
        <v>45536</v>
      </c>
      <c r="P669" s="6">
        <v>124.03</v>
      </c>
      <c r="Q669" s="6">
        <v>161</v>
      </c>
      <c r="R669" s="7">
        <v>45536</v>
      </c>
      <c r="S669" s="6">
        <v>9.4499999999999993</v>
      </c>
      <c r="T669" s="6">
        <v>-1.9</v>
      </c>
      <c r="U669" s="7">
        <v>45536</v>
      </c>
      <c r="V669" s="6">
        <v>0</v>
      </c>
      <c r="W669" s="6">
        <f ca="1">IFERROR(__xludf.DUMMYFUNCTION("IFERROR(GOOGLEFINANCE(B669,""pe""),V669)"),0)</f>
        <v>0</v>
      </c>
      <c r="X669" s="6">
        <v>0</v>
      </c>
      <c r="Y669" s="6">
        <v>-0.38</v>
      </c>
      <c r="Z669" s="6">
        <v>1</v>
      </c>
      <c r="AA669" s="8">
        <v>45352</v>
      </c>
      <c r="AB669" s="4">
        <v>-1.1000000000000001</v>
      </c>
      <c r="AC669" s="6">
        <v>0</v>
      </c>
      <c r="AD669" s="6">
        <v>-9.2799999999999994</v>
      </c>
      <c r="AE669" s="1">
        <v>0</v>
      </c>
      <c r="AF669" s="1">
        <f ca="1">IFERROR(__xludf.DUMMYFUNCTION("IFERROR(GOOGLEFINANCE(TRIM(F669)&amp;"":"" &amp; TRIM(B669),""high52""),AE669)"),0)</f>
        <v>0</v>
      </c>
      <c r="AG669" s="1">
        <v>0</v>
      </c>
      <c r="AH669" s="1">
        <f ca="1">IFERROR(__xludf.DUMMYFUNCTION("IFERROR(GOOGLEFINANCE(TRIM(F669)&amp;"":"" &amp; TRIM(B669),""low52""),AE669)"),0)</f>
        <v>0</v>
      </c>
      <c r="AI669" s="1">
        <f ca="1">IFERROR(__xludf.DUMMYFUNCTION("IFERROR(GOOGLEFINANCE(B669,""eps""),0)"),0)</f>
        <v>0</v>
      </c>
      <c r="AJ669" s="1"/>
      <c r="AK669" s="1" t="s">
        <v>2084</v>
      </c>
      <c r="AL669" s="9">
        <f t="shared" si="132"/>
        <v>1</v>
      </c>
    </row>
    <row r="670" spans="1:38" ht="15" x14ac:dyDescent="0.25">
      <c r="A670" s="1" t="s">
        <v>2085</v>
      </c>
      <c r="B670" s="1" t="s">
        <v>2086</v>
      </c>
      <c r="C670" s="1" t="s">
        <v>135</v>
      </c>
      <c r="D670" s="1" t="s">
        <v>135</v>
      </c>
      <c r="E670" s="6">
        <v>602.42999999999995</v>
      </c>
      <c r="F670" s="1" t="s">
        <v>53</v>
      </c>
      <c r="G670" s="6">
        <f ca="1">IFERROR(__xludf.DUMMYFUNCTION("iferror(GOOGLEFINANCE(TRIM(F670)&amp;"":"" &amp; TRIM(B670), ""price""),0
)"),0)</f>
        <v>0</v>
      </c>
      <c r="H670" s="6">
        <v>173.2</v>
      </c>
      <c r="I670" s="6">
        <f t="shared" ca="1" si="0"/>
        <v>173.2</v>
      </c>
      <c r="J670" s="6">
        <f ca="1">IFERROR(__xludf.DUMMYFUNCTION("IFERROR(GOOGLEFINANCE(B670, ""volume""), 0)"),0)</f>
        <v>0</v>
      </c>
      <c r="K670" s="6">
        <v>-0.83</v>
      </c>
      <c r="L670" s="6">
        <f ca="1">IFERROR(__xludf.DUMMYFUNCTION("IFERROR(GOOGLEFINANCE(B670,""changepct""),K670)"),-0.83)</f>
        <v>-0.83</v>
      </c>
      <c r="M670" s="6">
        <f ca="1">IFERROR(__xludf.DUMMYFUNCTION("IFERROR(GOOGLEFINANCE(B670,""change""),0)"),0)</f>
        <v>0</v>
      </c>
      <c r="N670" s="6">
        <v>1</v>
      </c>
      <c r="O670" s="7">
        <v>45536</v>
      </c>
      <c r="P670" s="6">
        <v>5.91</v>
      </c>
      <c r="Q670" s="6">
        <v>606.57000000000005</v>
      </c>
      <c r="R670" s="7">
        <v>45536</v>
      </c>
      <c r="S670" s="6">
        <v>127.81</v>
      </c>
      <c r="T670" s="6">
        <v>5.64</v>
      </c>
      <c r="U670" s="7">
        <v>45536</v>
      </c>
      <c r="V670" s="6">
        <v>106.74</v>
      </c>
      <c r="W670" s="6">
        <f ca="1">IFERROR(__xludf.DUMMYFUNCTION("IFERROR(GOOGLEFINANCE(B670,""pe""),V670)"),106.74)</f>
        <v>106.74</v>
      </c>
      <c r="X670" s="6">
        <v>2.5499999999999998</v>
      </c>
      <c r="Y670" s="6">
        <v>5.56</v>
      </c>
      <c r="Z670" s="6">
        <v>1</v>
      </c>
      <c r="AA670" s="8">
        <v>45352</v>
      </c>
      <c r="AB670" s="4">
        <v>0.06</v>
      </c>
      <c r="AC670" s="6">
        <v>24.98</v>
      </c>
      <c r="AD670" s="6">
        <v>30.78</v>
      </c>
      <c r="AE670" s="1">
        <v>0</v>
      </c>
      <c r="AF670" s="1">
        <f ca="1">IFERROR(__xludf.DUMMYFUNCTION("IFERROR(GOOGLEFINANCE(TRIM(F670)&amp;"":"" &amp; TRIM(B670),""high52""),AE670)"),0)</f>
        <v>0</v>
      </c>
      <c r="AG670" s="1">
        <v>0</v>
      </c>
      <c r="AH670" s="1">
        <f ca="1">IFERROR(__xludf.DUMMYFUNCTION("IFERROR(GOOGLEFINANCE(TRIM(F670)&amp;"":"" &amp; TRIM(B670),""low52""),AE670)"),0)</f>
        <v>0</v>
      </c>
      <c r="AI670" s="1">
        <f ca="1">IFERROR(__xludf.DUMMYFUNCTION("IFERROR(GOOGLEFINANCE(B670,""eps""),0)"),0)</f>
        <v>0</v>
      </c>
      <c r="AJ670" s="1"/>
      <c r="AK670" s="1" t="s">
        <v>2087</v>
      </c>
      <c r="AL670" s="9">
        <f t="shared" si="132"/>
        <v>1</v>
      </c>
    </row>
    <row r="671" spans="1:38" ht="15" x14ac:dyDescent="0.25">
      <c r="A671" s="1" t="s">
        <v>2088</v>
      </c>
      <c r="B671" s="1" t="s">
        <v>2089</v>
      </c>
      <c r="C671" s="1" t="s">
        <v>75</v>
      </c>
      <c r="D671" s="1" t="s">
        <v>75</v>
      </c>
      <c r="E671" s="6">
        <v>11091.45</v>
      </c>
      <c r="F671" s="1" t="s">
        <v>40</v>
      </c>
      <c r="G671" s="6">
        <f ca="1">IFERROR(__xludf.DUMMYFUNCTION("iferror(GOOGLEFINANCE(TRIM(F671)&amp;"":"" &amp; TRIM(B671), ""price""),0
)"),748)</f>
        <v>748</v>
      </c>
      <c r="H671" s="6">
        <v>553.70000000000005</v>
      </c>
      <c r="I671" s="6">
        <f t="shared" ca="1" si="0"/>
        <v>748</v>
      </c>
      <c r="J671" s="6">
        <f ca="1">IFERROR(__xludf.DUMMYFUNCTION("IFERROR(GOOGLEFINANCE(B671, ""volume""), 0)"),231383)</f>
        <v>231383</v>
      </c>
      <c r="K671" s="6">
        <v>-0.71</v>
      </c>
      <c r="L671" s="6">
        <f ca="1">IFERROR(__xludf.DUMMYFUNCTION("IFERROR(GOOGLEFINANCE(B671,""changepct""),K671)"),-0.89)</f>
        <v>-0.89</v>
      </c>
      <c r="M671" s="6">
        <f ca="1">IFERROR(__xludf.DUMMYFUNCTION("IFERROR(GOOGLEFINANCE(B671,""change""),0)"),-6.7)</f>
        <v>-6.7</v>
      </c>
      <c r="N671" s="6">
        <v>2</v>
      </c>
      <c r="O671" s="7">
        <v>45536</v>
      </c>
      <c r="P671" s="6">
        <v>158.13999999999999</v>
      </c>
      <c r="Q671" s="7">
        <v>45536</v>
      </c>
      <c r="R671" s="6">
        <v>70.14</v>
      </c>
      <c r="S671" s="6">
        <v>0.82</v>
      </c>
      <c r="T671" s="6">
        <v>13.08</v>
      </c>
      <c r="U671" s="6">
        <v>2</v>
      </c>
      <c r="V671" s="7">
        <v>45352</v>
      </c>
      <c r="W671" s="6">
        <f ca="1">IFERROR(__xludf.DUMMYFUNCTION("IFERROR(GOOGLEFINANCE(B671,""pe""),V671)"),81.46)</f>
        <v>81.459999999999994</v>
      </c>
      <c r="X671" s="6">
        <v>0.8</v>
      </c>
      <c r="Y671" s="6">
        <v>26.32</v>
      </c>
      <c r="Z671" s="6">
        <v>26.29</v>
      </c>
      <c r="AA671" s="3" t="s">
        <v>2090</v>
      </c>
      <c r="AB671" s="3"/>
      <c r="AC671" s="9"/>
      <c r="AD671" s="9"/>
      <c r="AE671" s="1">
        <v>0</v>
      </c>
      <c r="AF671" s="1">
        <f ca="1">IFERROR(__xludf.DUMMYFUNCTION("IFERROR(GOOGLEFINANCE(TRIM(F671)&amp;"":"" &amp; TRIM(B671),""high52""),AE671)"),860.5)</f>
        <v>860.5</v>
      </c>
      <c r="AG671" s="1">
        <v>0</v>
      </c>
      <c r="AH671" s="1">
        <f ca="1">IFERROR(__xludf.DUMMYFUNCTION("IFERROR(GOOGLEFINANCE(TRIM(F671)&amp;"":"" &amp; TRIM(B671),""low52""),AE671)"),438.45)</f>
        <v>438.45</v>
      </c>
      <c r="AI671" s="1">
        <f ca="1">IFERROR(__xludf.DUMMYFUNCTION("IFERROR(GOOGLEFINANCE(B671,""eps""),0)"),9.18)</f>
        <v>9.18</v>
      </c>
      <c r="AJ671" s="1"/>
      <c r="AK671" s="1" t="s">
        <v>2091</v>
      </c>
      <c r="AL671" s="9">
        <f t="shared" si="132"/>
        <v>1</v>
      </c>
    </row>
    <row r="672" spans="1:38" ht="15" x14ac:dyDescent="0.25">
      <c r="A672" s="1" t="s">
        <v>2092</v>
      </c>
      <c r="B672" s="1" t="s">
        <v>2093</v>
      </c>
      <c r="C672" s="1" t="s">
        <v>43</v>
      </c>
      <c r="D672" s="1" t="s">
        <v>43</v>
      </c>
      <c r="E672" s="6">
        <v>28268.02</v>
      </c>
      <c r="F672" s="1" t="s">
        <v>40</v>
      </c>
      <c r="G672" s="6">
        <f ca="1">IFERROR(__xludf.DUMMYFUNCTION("iferror(GOOGLEFINANCE(TRIM(F672)&amp;"":"" &amp; TRIM(B672), ""price""),0
)"),1625.3)</f>
        <v>1625.3</v>
      </c>
      <c r="H672" s="6">
        <v>1550.05</v>
      </c>
      <c r="I672" s="6">
        <f t="shared" ca="1" si="0"/>
        <v>1625.3</v>
      </c>
      <c r="J672" s="6">
        <f ca="1">IFERROR(__xludf.DUMMYFUNCTION("IFERROR(GOOGLEFINANCE(B672, ""volume""), 0)"),455326)</f>
        <v>455326</v>
      </c>
      <c r="K672" s="6">
        <v>3.01</v>
      </c>
      <c r="L672" s="6">
        <f ca="1">IFERROR(__xludf.DUMMYFUNCTION("IFERROR(GOOGLEFINANCE(B672,""changepct""),K672)"),-5)</f>
        <v>-5</v>
      </c>
      <c r="M672" s="6">
        <f ca="1">IFERROR(__xludf.DUMMYFUNCTION("IFERROR(GOOGLEFINANCE(B672,""change""),0)"),-85.5)</f>
        <v>-85.5</v>
      </c>
      <c r="N672" s="6">
        <v>2</v>
      </c>
      <c r="O672" s="7">
        <v>45536</v>
      </c>
      <c r="P672" s="6">
        <v>4435.28</v>
      </c>
      <c r="Q672" s="7">
        <v>45536</v>
      </c>
      <c r="R672" s="6">
        <v>13.76</v>
      </c>
      <c r="S672" s="6">
        <v>0.67</v>
      </c>
      <c r="T672" s="6">
        <v>2.4900000000000002</v>
      </c>
      <c r="U672" s="6">
        <v>2</v>
      </c>
      <c r="V672" s="7">
        <v>45352</v>
      </c>
      <c r="W672" s="6">
        <f ca="1">IFERROR(__xludf.DUMMYFUNCTION("IFERROR(GOOGLEFINANCE(B672,""pe""),V672)"),13.7)</f>
        <v>13.7</v>
      </c>
      <c r="X672" s="6">
        <v>13.26</v>
      </c>
      <c r="Y672" s="6">
        <v>43.42</v>
      </c>
      <c r="Z672" s="6">
        <v>11.6</v>
      </c>
      <c r="AA672" s="3" t="s">
        <v>2094</v>
      </c>
      <c r="AB672" s="3"/>
      <c r="AC672" s="12"/>
      <c r="AD672" s="12"/>
      <c r="AE672" s="1">
        <v>0</v>
      </c>
      <c r="AF672" s="1">
        <f ca="1">IFERROR(__xludf.DUMMYFUNCTION("IFERROR(GOOGLEFINANCE(TRIM(F672)&amp;"":"" &amp; TRIM(B672),""high52""),AE672)"),2231.6)</f>
        <v>2231.6</v>
      </c>
      <c r="AG672" s="1">
        <v>0</v>
      </c>
      <c r="AH672" s="1">
        <f ca="1">IFERROR(__xludf.DUMMYFUNCTION("IFERROR(GOOGLEFINANCE(TRIM(F672)&amp;"":"" &amp; TRIM(B672),""low52""),AE672)"),1357.35)</f>
        <v>1357.35</v>
      </c>
      <c r="AI672" s="1">
        <f ca="1">IFERROR(__xludf.DUMMYFUNCTION("IFERROR(GOOGLEFINANCE(B672,""eps""),0)"),118.66)</f>
        <v>118.66</v>
      </c>
      <c r="AJ672" s="1"/>
      <c r="AK672" s="1" t="s">
        <v>2095</v>
      </c>
      <c r="AL672" s="9">
        <f t="shared" si="132"/>
        <v>1</v>
      </c>
    </row>
    <row r="673" spans="1:38" ht="15" x14ac:dyDescent="0.25">
      <c r="A673" s="1" t="s">
        <v>2096</v>
      </c>
      <c r="B673" s="1" t="s">
        <v>2097</v>
      </c>
      <c r="C673" s="1" t="s">
        <v>135</v>
      </c>
      <c r="D673" s="1" t="s">
        <v>135</v>
      </c>
      <c r="E673" s="6">
        <v>18.29</v>
      </c>
      <c r="F673" s="1" t="s">
        <v>53</v>
      </c>
      <c r="G673" s="6">
        <f ca="1">IFERROR(__xludf.DUMMYFUNCTION("iferror(GOOGLEFINANCE(TRIM(F673)&amp;"":"" &amp; TRIM(B673), ""price""),0
)"),0)</f>
        <v>0</v>
      </c>
      <c r="H673" s="6">
        <v>20.3</v>
      </c>
      <c r="I673" s="6">
        <f t="shared" ca="1" si="0"/>
        <v>20.3</v>
      </c>
      <c r="J673" s="6">
        <f ca="1">IFERROR(__xludf.DUMMYFUNCTION("IFERROR(GOOGLEFINANCE(B673, ""volume""), 0)"),0)</f>
        <v>0</v>
      </c>
      <c r="K673" s="6">
        <v>1.3</v>
      </c>
      <c r="L673" s="6">
        <f ca="1">IFERROR(__xludf.DUMMYFUNCTION("IFERROR(GOOGLEFINANCE(B673,""changepct""),K673)"),1.3)</f>
        <v>1.3</v>
      </c>
      <c r="M673" s="6">
        <f ca="1">IFERROR(__xludf.DUMMYFUNCTION("IFERROR(GOOGLEFINANCE(B673,""change""),0)"),0)</f>
        <v>0</v>
      </c>
      <c r="N673" s="6">
        <v>1</v>
      </c>
      <c r="O673" s="7">
        <v>45536</v>
      </c>
      <c r="P673" s="6">
        <v>0.92</v>
      </c>
      <c r="Q673" s="6">
        <v>16.059999999999999</v>
      </c>
      <c r="R673" s="7">
        <v>45536</v>
      </c>
      <c r="S673" s="6">
        <v>39.24</v>
      </c>
      <c r="T673" s="6">
        <v>0.3</v>
      </c>
      <c r="U673" s="7">
        <v>45536</v>
      </c>
      <c r="V673" s="6">
        <v>60.98</v>
      </c>
      <c r="W673" s="6">
        <f ca="1">IFERROR(__xludf.DUMMYFUNCTION("IFERROR(GOOGLEFINANCE(B673,""pe""),V673)"),60.98)</f>
        <v>60.98</v>
      </c>
      <c r="X673" s="6">
        <v>-1.38</v>
      </c>
      <c r="Y673" s="6">
        <v>1.3</v>
      </c>
      <c r="Z673" s="6">
        <v>1</v>
      </c>
      <c r="AA673" s="8">
        <v>45352</v>
      </c>
      <c r="AB673" s="4">
        <v>0.28000000000000003</v>
      </c>
      <c r="AC673" s="6">
        <v>1.32</v>
      </c>
      <c r="AD673" s="6">
        <v>4.75</v>
      </c>
      <c r="AE673" s="1">
        <v>0</v>
      </c>
      <c r="AF673" s="1">
        <f ca="1">IFERROR(__xludf.DUMMYFUNCTION("IFERROR(GOOGLEFINANCE(TRIM(F673)&amp;"":"" &amp; TRIM(B673),""high52""),AE673)"),0)</f>
        <v>0</v>
      </c>
      <c r="AG673" s="1">
        <v>0</v>
      </c>
      <c r="AH673" s="1">
        <f ca="1">IFERROR(__xludf.DUMMYFUNCTION("IFERROR(GOOGLEFINANCE(TRIM(F673)&amp;"":"" &amp; TRIM(B673),""low52""),AE673)"),0)</f>
        <v>0</v>
      </c>
      <c r="AI673" s="1">
        <f ca="1">IFERROR(__xludf.DUMMYFUNCTION("IFERROR(GOOGLEFINANCE(B673,""eps""),0)"),0)</f>
        <v>0</v>
      </c>
      <c r="AJ673" s="1"/>
      <c r="AK673" s="1" t="s">
        <v>2098</v>
      </c>
      <c r="AL673" s="9">
        <f t="shared" si="132"/>
        <v>1</v>
      </c>
    </row>
    <row r="674" spans="1:38" ht="15" x14ac:dyDescent="0.25">
      <c r="A674" s="1" t="s">
        <v>2099</v>
      </c>
      <c r="B674" s="1" t="s">
        <v>2100</v>
      </c>
      <c r="C674" s="1" t="s">
        <v>208</v>
      </c>
      <c r="D674" s="1" t="s">
        <v>208</v>
      </c>
      <c r="E674" s="6">
        <v>106867.5</v>
      </c>
      <c r="F674" s="1" t="s">
        <v>40</v>
      </c>
      <c r="G674" s="6">
        <f ca="1">IFERROR(__xludf.DUMMYFUNCTION("iferror(GOOGLEFINANCE(TRIM(F674)&amp;"":"" &amp; TRIM(B674), ""price""),0
)"),1594)</f>
        <v>1594</v>
      </c>
      <c r="H674" s="6">
        <v>1301.6500000000001</v>
      </c>
      <c r="I674" s="6">
        <f t="shared" ca="1" si="0"/>
        <v>1594</v>
      </c>
      <c r="J674" s="6">
        <f ca="1">IFERROR(__xludf.DUMMYFUNCTION("IFERROR(GOOGLEFINANCE(B674, ""volume""), 0)"),2789681)</f>
        <v>2789681</v>
      </c>
      <c r="K674" s="6">
        <v>2.37</v>
      </c>
      <c r="L674" s="6">
        <f ca="1">IFERROR(__xludf.DUMMYFUNCTION("IFERROR(GOOGLEFINANCE(B674,""changepct""),K674)"),0.92)</f>
        <v>0.92</v>
      </c>
      <c r="M674" s="6">
        <f ca="1">IFERROR(__xludf.DUMMYFUNCTION("IFERROR(GOOGLEFINANCE(B674,""change""),0)"),14.5)</f>
        <v>14.5</v>
      </c>
      <c r="N674" s="6">
        <v>2</v>
      </c>
      <c r="O674" s="7">
        <v>45536</v>
      </c>
      <c r="P674" s="6">
        <v>3834.9</v>
      </c>
      <c r="Q674" s="7">
        <v>45536</v>
      </c>
      <c r="R674" s="6">
        <v>27.74</v>
      </c>
      <c r="S674" s="6">
        <v>1.19</v>
      </c>
      <c r="T674" s="6">
        <v>4.99</v>
      </c>
      <c r="U674" s="6">
        <v>2</v>
      </c>
      <c r="V674" s="7">
        <v>45352</v>
      </c>
      <c r="W674" s="6">
        <f ca="1">IFERROR(__xludf.DUMMYFUNCTION("IFERROR(GOOGLEFINANCE(B674,""pe""),V674)"),28.92)</f>
        <v>28.92</v>
      </c>
      <c r="X674" s="6">
        <v>6.91</v>
      </c>
      <c r="Y674" s="6">
        <v>20.23</v>
      </c>
      <c r="Z674" s="6">
        <v>10.41</v>
      </c>
      <c r="AA674" s="3" t="s">
        <v>2101</v>
      </c>
      <c r="AB674" s="3"/>
      <c r="AC674" s="9"/>
      <c r="AD674" s="9"/>
      <c r="AE674" s="1">
        <v>0</v>
      </c>
      <c r="AF674" s="1">
        <f ca="1">IFERROR(__xludf.DUMMYFUNCTION("IFERROR(GOOGLEFINANCE(TRIM(F674)&amp;"":"" &amp; TRIM(B674),""high52""),AE674)"),1831.5)</f>
        <v>1831.5</v>
      </c>
      <c r="AG674" s="1">
        <v>0</v>
      </c>
      <c r="AH674" s="1">
        <f ca="1">IFERROR(__xludf.DUMMYFUNCTION("IFERROR(GOOGLEFINANCE(TRIM(F674)&amp;"":"" &amp; TRIM(B674),""low52""),AE674)"),1239.1)</f>
        <v>1239.0999999999999</v>
      </c>
      <c r="AI674" s="1">
        <f ca="1">IFERROR(__xludf.DUMMYFUNCTION("IFERROR(GOOGLEFINANCE(B674,""eps""),0)"),55.11)</f>
        <v>55.11</v>
      </c>
      <c r="AJ674" s="1"/>
      <c r="AK674" s="1" t="s">
        <v>2102</v>
      </c>
      <c r="AL674" s="9">
        <f t="shared" si="132"/>
        <v>1</v>
      </c>
    </row>
    <row r="675" spans="1:38" ht="15" x14ac:dyDescent="0.25">
      <c r="A675" s="1" t="s">
        <v>2103</v>
      </c>
      <c r="B675" s="1" t="s">
        <v>2104</v>
      </c>
      <c r="C675" s="1" t="s">
        <v>135</v>
      </c>
      <c r="D675" s="1" t="s">
        <v>135</v>
      </c>
      <c r="E675" s="6">
        <v>24.64</v>
      </c>
      <c r="F675" s="1" t="s">
        <v>53</v>
      </c>
      <c r="G675" s="6">
        <f ca="1">IFERROR(__xludf.DUMMYFUNCTION("iferror(GOOGLEFINANCE(TRIM(F675)&amp;"":"" &amp; TRIM(B675), ""price""),0
)"),0)</f>
        <v>0</v>
      </c>
      <c r="H675" s="6">
        <v>332.65</v>
      </c>
      <c r="I675" s="6">
        <f t="shared" ca="1" si="0"/>
        <v>332.65</v>
      </c>
      <c r="J675" s="6">
        <f ca="1">IFERROR(__xludf.DUMMYFUNCTION("IFERROR(GOOGLEFINANCE(B675, ""volume""), 0)"),0)</f>
        <v>0</v>
      </c>
      <c r="K675" s="9"/>
      <c r="L675" s="6" t="str">
        <f ca="1">IFERROR(__xludf.DUMMYFUNCTION("IFERROR(GOOGLEFINANCE(B675,""changepct""),K675)"),"")</f>
        <v/>
      </c>
      <c r="M675" s="6">
        <f ca="1">IFERROR(__xludf.DUMMYFUNCTION("IFERROR(GOOGLEFINANCE(B675,""change""),0)"),0)</f>
        <v>0</v>
      </c>
      <c r="N675" s="6">
        <v>2</v>
      </c>
      <c r="O675" s="7">
        <v>45536</v>
      </c>
      <c r="P675" s="6">
        <v>1.46</v>
      </c>
      <c r="Q675" s="6">
        <v>26.1</v>
      </c>
      <c r="R675" s="14"/>
      <c r="S675" s="9"/>
      <c r="T675" s="9"/>
      <c r="U675" s="7">
        <v>45352</v>
      </c>
      <c r="V675" s="6">
        <v>42.65</v>
      </c>
      <c r="W675" s="6">
        <f ca="1">IFERROR(__xludf.DUMMYFUNCTION("IFERROR(GOOGLEFINANCE(B675,""pe""),V675)"),42.65)</f>
        <v>42.65</v>
      </c>
      <c r="X675" s="9"/>
      <c r="Y675" s="6">
        <v>2.0299999999999998</v>
      </c>
      <c r="Z675" s="6">
        <v>2</v>
      </c>
      <c r="AA675" s="8">
        <v>45352</v>
      </c>
      <c r="AB675" s="4">
        <v>0.09</v>
      </c>
      <c r="AC675" s="6">
        <v>4.92</v>
      </c>
      <c r="AD675" s="6">
        <v>7.3</v>
      </c>
      <c r="AE675" s="1">
        <v>0</v>
      </c>
      <c r="AF675" s="1">
        <f ca="1">IFERROR(__xludf.DUMMYFUNCTION("IFERROR(GOOGLEFINANCE(TRIM(F675)&amp;"":"" &amp; TRIM(B675),""high52""),AE675)"),0)</f>
        <v>0</v>
      </c>
      <c r="AG675" s="1">
        <v>0</v>
      </c>
      <c r="AH675" s="1">
        <f ca="1">IFERROR(__xludf.DUMMYFUNCTION("IFERROR(GOOGLEFINANCE(TRIM(F675)&amp;"":"" &amp; TRIM(B675),""low52""),AE675)"),0)</f>
        <v>0</v>
      </c>
      <c r="AI675" s="1">
        <f ca="1">IFERROR(__xludf.DUMMYFUNCTION("IFERROR(GOOGLEFINANCE(B675,""eps""),0)"),0)</f>
        <v>0</v>
      </c>
      <c r="AJ675" s="1"/>
      <c r="AK675" s="9"/>
      <c r="AL675" s="9">
        <f t="shared" si="132"/>
        <v>1</v>
      </c>
    </row>
    <row r="676" spans="1:38" ht="15" x14ac:dyDescent="0.25">
      <c r="A676" s="1" t="s">
        <v>2105</v>
      </c>
      <c r="B676" s="1" t="s">
        <v>2106</v>
      </c>
      <c r="C676" s="1" t="s">
        <v>135</v>
      </c>
      <c r="D676" s="1" t="s">
        <v>135</v>
      </c>
      <c r="E676" s="6">
        <v>481.74</v>
      </c>
      <c r="F676" s="1" t="s">
        <v>53</v>
      </c>
      <c r="G676" s="6">
        <f ca="1">IFERROR(__xludf.DUMMYFUNCTION("iferror(GOOGLEFINANCE(TRIM(F676)&amp;"":"" &amp; TRIM(B676), ""price""),0
)"),0)</f>
        <v>0</v>
      </c>
      <c r="H676" s="6">
        <v>831.1</v>
      </c>
      <c r="I676" s="6">
        <f t="shared" ca="1" si="0"/>
        <v>831.1</v>
      </c>
      <c r="J676" s="6">
        <f ca="1">IFERROR(__xludf.DUMMYFUNCTION("IFERROR(GOOGLEFINANCE(B676, ""volume""), 0)"),0)</f>
        <v>0</v>
      </c>
      <c r="K676" s="6">
        <v>-0.85</v>
      </c>
      <c r="L676" s="6">
        <f ca="1">IFERROR(__xludf.DUMMYFUNCTION("IFERROR(GOOGLEFINANCE(B676,""changepct""),K676)"),-0.85)</f>
        <v>-0.85</v>
      </c>
      <c r="M676" s="6">
        <f ca="1">IFERROR(__xludf.DUMMYFUNCTION("IFERROR(GOOGLEFINANCE(B676,""change""),0)"),0)</f>
        <v>0</v>
      </c>
      <c r="N676" s="6">
        <v>1</v>
      </c>
      <c r="O676" s="7">
        <v>45536</v>
      </c>
      <c r="P676" s="6">
        <v>8.74</v>
      </c>
      <c r="Q676" s="6">
        <v>471.14</v>
      </c>
      <c r="R676" s="9"/>
      <c r="S676" s="12"/>
      <c r="T676" s="9"/>
      <c r="U676" s="7">
        <v>45352</v>
      </c>
      <c r="V676" s="6">
        <v>28.69</v>
      </c>
      <c r="W676" s="6">
        <f ca="1">IFERROR(__xludf.DUMMYFUNCTION("IFERROR(GOOGLEFINANCE(B676,""pe""),V676)"),28.69)</f>
        <v>28.69</v>
      </c>
      <c r="X676" s="9"/>
      <c r="Y676" s="6">
        <v>1.35</v>
      </c>
      <c r="Z676" s="6">
        <v>1</v>
      </c>
      <c r="AA676" s="17">
        <v>45352</v>
      </c>
      <c r="AB676" s="18">
        <v>0.03</v>
      </c>
      <c r="AC676" s="6">
        <v>4.76</v>
      </c>
      <c r="AD676" s="6">
        <v>6.39</v>
      </c>
      <c r="AE676" s="1">
        <v>0</v>
      </c>
      <c r="AF676" s="1">
        <f ca="1">IFERROR(__xludf.DUMMYFUNCTION("IFERROR(GOOGLEFINANCE(TRIM(F676)&amp;"":"" &amp; TRIM(B676),""high52""),AE676)"),0)</f>
        <v>0</v>
      </c>
      <c r="AG676" s="1">
        <v>0</v>
      </c>
      <c r="AH676" s="1">
        <f ca="1">IFERROR(__xludf.DUMMYFUNCTION("IFERROR(GOOGLEFINANCE(TRIM(F676)&amp;"":"" &amp; TRIM(B676),""low52""),AE676)"),0)</f>
        <v>0</v>
      </c>
      <c r="AI676" s="1">
        <f ca="1">IFERROR(__xludf.DUMMYFUNCTION("IFERROR(GOOGLEFINANCE(B676,""eps""),0)"),0)</f>
        <v>0</v>
      </c>
      <c r="AJ676" s="1"/>
      <c r="AK676" s="6">
        <v>29.9</v>
      </c>
      <c r="AL676" s="9">
        <f t="shared" si="132"/>
        <v>1</v>
      </c>
    </row>
    <row r="677" spans="1:38" ht="15" x14ac:dyDescent="0.25">
      <c r="A677" s="1" t="s">
        <v>2107</v>
      </c>
      <c r="B677" s="1" t="s">
        <v>2108</v>
      </c>
      <c r="C677" s="1" t="s">
        <v>1528</v>
      </c>
      <c r="D677" s="1" t="s">
        <v>1528</v>
      </c>
      <c r="E677" s="6">
        <v>18330.79</v>
      </c>
      <c r="F677" s="1" t="s">
        <v>40</v>
      </c>
      <c r="G677" s="6">
        <f ca="1">IFERROR(__xludf.DUMMYFUNCTION("iferror(GOOGLEFINANCE(TRIM(F677)&amp;"":"" &amp; TRIM(B677), ""price""),0
)"),420.65)</f>
        <v>420.65</v>
      </c>
      <c r="H677" s="6">
        <v>489</v>
      </c>
      <c r="I677" s="6">
        <f t="shared" ca="1" si="0"/>
        <v>420.65</v>
      </c>
      <c r="J677" s="6">
        <f ca="1">IFERROR(__xludf.DUMMYFUNCTION("IFERROR(GOOGLEFINANCE(B677, ""volume""), 0)"),124830)</f>
        <v>124830</v>
      </c>
      <c r="K677" s="6">
        <v>0.92</v>
      </c>
      <c r="L677" s="6">
        <f ca="1">IFERROR(__xludf.DUMMYFUNCTION("IFERROR(GOOGLEFINANCE(B677,""changepct""),K677)"),2.79)</f>
        <v>2.79</v>
      </c>
      <c r="M677" s="6">
        <f ca="1">IFERROR(__xludf.DUMMYFUNCTION("IFERROR(GOOGLEFINANCE(B677,""change""),0)"),11.4)</f>
        <v>11.4</v>
      </c>
      <c r="N677" s="6">
        <v>2</v>
      </c>
      <c r="O677" s="7">
        <v>45444</v>
      </c>
      <c r="P677" s="6">
        <v>425.77</v>
      </c>
      <c r="Q677" s="6">
        <v>18592.3</v>
      </c>
      <c r="R677" s="7">
        <v>45536</v>
      </c>
      <c r="S677" s="6">
        <v>9094.51</v>
      </c>
      <c r="T677" s="6">
        <v>815.73</v>
      </c>
      <c r="U677" s="7">
        <v>45536</v>
      </c>
      <c r="V677" s="6">
        <v>22.59</v>
      </c>
      <c r="W677" s="6">
        <f ca="1">IFERROR(__xludf.DUMMYFUNCTION("IFERROR(GOOGLEFINANCE(B677,""pe""),V677)"),19.74)</f>
        <v>19.739999999999998</v>
      </c>
      <c r="X677" s="6">
        <v>1.28</v>
      </c>
      <c r="Y677" s="6">
        <v>2.87</v>
      </c>
      <c r="Z677" s="6">
        <v>2</v>
      </c>
      <c r="AA677" s="8">
        <v>45261</v>
      </c>
      <c r="AB677" s="4">
        <v>0.13</v>
      </c>
      <c r="AC677" s="6">
        <v>14.39</v>
      </c>
      <c r="AD677" s="6">
        <v>18.47</v>
      </c>
      <c r="AE677" s="1">
        <v>0</v>
      </c>
      <c r="AF677" s="1">
        <f ca="1">IFERROR(__xludf.DUMMYFUNCTION("IFERROR(GOOGLEFINANCE(TRIM(F677)&amp;"":"" &amp; TRIM(B677),""high52""),AE677)"),487)</f>
        <v>487</v>
      </c>
      <c r="AG677" s="1">
        <v>0</v>
      </c>
      <c r="AH677" s="1">
        <f ca="1">IFERROR(__xludf.DUMMYFUNCTION("IFERROR(GOOGLEFINANCE(TRIM(F677)&amp;"":"" &amp; TRIM(B677),""low52""),AE677)"),356.75)</f>
        <v>356.75</v>
      </c>
      <c r="AI677" s="1">
        <f ca="1">IFERROR(__xludf.DUMMYFUNCTION("IFERROR(GOOGLEFINANCE(B677,""eps""),0)"),21.31)</f>
        <v>21.31</v>
      </c>
      <c r="AJ677" s="1"/>
      <c r="AK677" s="1" t="s">
        <v>2109</v>
      </c>
      <c r="AL677" s="9">
        <f t="shared" si="132"/>
        <v>1</v>
      </c>
    </row>
    <row r="678" spans="1:38" ht="15" x14ac:dyDescent="0.25">
      <c r="A678" s="1" t="s">
        <v>2110</v>
      </c>
      <c r="B678" s="1" t="s">
        <v>2111</v>
      </c>
      <c r="C678" s="1" t="s">
        <v>57</v>
      </c>
      <c r="D678" s="1" t="s">
        <v>57</v>
      </c>
      <c r="E678" s="6">
        <v>4806.45</v>
      </c>
      <c r="F678" s="1" t="s">
        <v>40</v>
      </c>
      <c r="G678" s="6">
        <f ca="1">IFERROR(__xludf.DUMMYFUNCTION("iferror(GOOGLEFINANCE(TRIM(F678)&amp;"":"" &amp; TRIM(B678), ""price""),0
)"),1616.2)</f>
        <v>1616.2</v>
      </c>
      <c r="H678" s="6">
        <v>1752.65</v>
      </c>
      <c r="I678" s="6">
        <f t="shared" ca="1" si="0"/>
        <v>1616.2</v>
      </c>
      <c r="J678" s="6">
        <f ca="1">IFERROR(__xludf.DUMMYFUNCTION("IFERROR(GOOGLEFINANCE(B678, ""volume""), 0)"),51819)</f>
        <v>51819</v>
      </c>
      <c r="K678" s="6">
        <v>-0.46</v>
      </c>
      <c r="L678" s="6">
        <f ca="1">IFERROR(__xludf.DUMMYFUNCTION("IFERROR(GOOGLEFINANCE(B678,""changepct""),K678)"),-0.11)</f>
        <v>-0.11</v>
      </c>
      <c r="M678" s="6">
        <f ca="1">IFERROR(__xludf.DUMMYFUNCTION("IFERROR(GOOGLEFINANCE(B678,""change""),0)"),-1.8)</f>
        <v>-1.8</v>
      </c>
      <c r="N678" s="6">
        <v>2</v>
      </c>
      <c r="O678" s="7">
        <v>45536</v>
      </c>
      <c r="P678" s="12"/>
      <c r="Q678" s="6">
        <v>4618.59</v>
      </c>
      <c r="R678" s="7">
        <v>45536</v>
      </c>
      <c r="S678" s="6">
        <v>1891.32</v>
      </c>
      <c r="T678" s="6">
        <v>138.63</v>
      </c>
      <c r="U678" s="7">
        <v>45536</v>
      </c>
      <c r="V678" s="6">
        <v>34.67</v>
      </c>
      <c r="W678" s="6">
        <f ca="1">IFERROR(__xludf.DUMMYFUNCTION("IFERROR(GOOGLEFINANCE(B678,""pe""),V678)"),14.82)</f>
        <v>14.82</v>
      </c>
      <c r="X678" s="6">
        <v>14.69</v>
      </c>
      <c r="Y678" s="6">
        <v>5.93</v>
      </c>
      <c r="Z678" s="6">
        <v>2</v>
      </c>
      <c r="AA678" s="8">
        <v>45352</v>
      </c>
      <c r="AB678" s="4">
        <v>0.05</v>
      </c>
      <c r="AC678" s="6">
        <v>25.12</v>
      </c>
      <c r="AD678" s="6">
        <v>32.24</v>
      </c>
      <c r="AE678" s="1">
        <v>0</v>
      </c>
      <c r="AF678" s="1">
        <f ca="1">IFERROR(__xludf.DUMMYFUNCTION("IFERROR(GOOGLEFINANCE(TRIM(F678)&amp;"":"" &amp; TRIM(B678),""high52""),AE678)"),1929.5)</f>
        <v>1929.5</v>
      </c>
      <c r="AG678" s="1">
        <v>0</v>
      </c>
      <c r="AH678" s="1">
        <f ca="1">IFERROR(__xludf.DUMMYFUNCTION("IFERROR(GOOGLEFINANCE(TRIM(F678)&amp;"":"" &amp; TRIM(B678),""low52""),AE678)"),1033.25)</f>
        <v>1033.25</v>
      </c>
      <c r="AI678" s="1">
        <f ca="1">IFERROR(__xludf.DUMMYFUNCTION("IFERROR(GOOGLEFINANCE(B678,""eps""),0)"),109.08)</f>
        <v>109.08</v>
      </c>
      <c r="AJ678" s="1"/>
      <c r="AK678" s="1" t="s">
        <v>2112</v>
      </c>
      <c r="AL678" s="9">
        <f t="shared" si="132"/>
        <v>1</v>
      </c>
    </row>
    <row r="679" spans="1:38" ht="15" x14ac:dyDescent="0.25">
      <c r="A679" s="1" t="s">
        <v>2113</v>
      </c>
      <c r="B679" s="1" t="s">
        <v>2114</v>
      </c>
      <c r="C679" s="1" t="s">
        <v>1229</v>
      </c>
      <c r="D679" s="1" t="s">
        <v>1229</v>
      </c>
      <c r="E679" s="6">
        <v>435.53</v>
      </c>
      <c r="F679" s="1" t="s">
        <v>40</v>
      </c>
      <c r="G679" s="6">
        <f ca="1">IFERROR(__xludf.DUMMYFUNCTION("iferror(GOOGLEFINANCE(TRIM(F679)&amp;"":"" &amp; TRIM(B679), ""price""),0
)"),83.51)</f>
        <v>83.51</v>
      </c>
      <c r="H679" s="6">
        <v>129</v>
      </c>
      <c r="I679" s="6">
        <f t="shared" ca="1" si="0"/>
        <v>83.51</v>
      </c>
      <c r="J679" s="6">
        <f ca="1">IFERROR(__xludf.DUMMYFUNCTION("IFERROR(GOOGLEFINANCE(B679, ""volume""), 0)"),2144)</f>
        <v>2144</v>
      </c>
      <c r="K679" s="6">
        <v>-0.78</v>
      </c>
      <c r="L679" s="6">
        <f ca="1">IFERROR(__xludf.DUMMYFUNCTION("IFERROR(GOOGLEFINANCE(B679,""changepct""),K679)"),-0.22)</f>
        <v>-0.22</v>
      </c>
      <c r="M679" s="6">
        <f ca="1">IFERROR(__xludf.DUMMYFUNCTION("IFERROR(GOOGLEFINANCE(B679,""change""),0)"),-0.18)</f>
        <v>-0.18</v>
      </c>
      <c r="N679" s="6">
        <v>2</v>
      </c>
      <c r="O679" s="7">
        <v>45536</v>
      </c>
      <c r="P679" s="6">
        <v>121.29</v>
      </c>
      <c r="Q679" s="6">
        <v>550.27</v>
      </c>
      <c r="R679" s="7">
        <v>45536</v>
      </c>
      <c r="S679" s="6">
        <v>214.86</v>
      </c>
      <c r="T679" s="6">
        <v>-11.01</v>
      </c>
      <c r="U679" s="7">
        <v>45536</v>
      </c>
      <c r="V679" s="6">
        <v>0</v>
      </c>
      <c r="W679" s="6">
        <f ca="1">IFERROR(__xludf.DUMMYFUNCTION("IFERROR(GOOGLEFINANCE(B679,""pe""),V679)"),0)</f>
        <v>0</v>
      </c>
      <c r="X679" s="9"/>
      <c r="Y679" s="6">
        <v>3.16</v>
      </c>
      <c r="Z679" s="6">
        <v>2</v>
      </c>
      <c r="AA679" s="8">
        <v>45352</v>
      </c>
      <c r="AB679" s="4">
        <v>1.56</v>
      </c>
      <c r="AC679" s="6">
        <v>-3.44</v>
      </c>
      <c r="AD679" s="6">
        <v>9.9700000000000006</v>
      </c>
      <c r="AE679" s="1">
        <v>0</v>
      </c>
      <c r="AF679" s="1">
        <f ca="1">IFERROR(__xludf.DUMMYFUNCTION("IFERROR(GOOGLEFINANCE(TRIM(F679)&amp;"":"" &amp; TRIM(B679),""high52""),AE679)"),106.31)</f>
        <v>106.31</v>
      </c>
      <c r="AG679" s="1">
        <v>0</v>
      </c>
      <c r="AH679" s="1">
        <f ca="1">IFERROR(__xludf.DUMMYFUNCTION("IFERROR(GOOGLEFINANCE(TRIM(F679)&amp;"":"" &amp; TRIM(B679),""low52""),AE679)"),73.64)</f>
        <v>73.64</v>
      </c>
      <c r="AI679" s="1">
        <f ca="1">IFERROR(__xludf.DUMMYFUNCTION("IFERROR(GOOGLEFINANCE(B679,""eps""),0)"),-1.72)</f>
        <v>-1.72</v>
      </c>
      <c r="AJ679" s="1"/>
      <c r="AK679" s="1" t="s">
        <v>2115</v>
      </c>
      <c r="AL679" s="9">
        <f t="shared" si="132"/>
        <v>1</v>
      </c>
    </row>
    <row r="680" spans="1:38" ht="15" x14ac:dyDescent="0.25">
      <c r="A680" s="1" t="s">
        <v>2116</v>
      </c>
      <c r="B680" s="1" t="s">
        <v>2117</v>
      </c>
      <c r="C680" s="1" t="s">
        <v>1229</v>
      </c>
      <c r="D680" s="1" t="s">
        <v>1229</v>
      </c>
      <c r="E680" s="6">
        <v>109.47</v>
      </c>
      <c r="F680" s="1" t="s">
        <v>40</v>
      </c>
      <c r="G680" s="6">
        <f ca="1">IFERROR(__xludf.DUMMYFUNCTION("iferror(GOOGLEFINANCE(TRIM(F680)&amp;"":"" &amp; TRIM(B680), ""price""),0
)"),15.72)</f>
        <v>15.72</v>
      </c>
      <c r="H680" s="6">
        <v>19.59</v>
      </c>
      <c r="I680" s="6">
        <f t="shared" ca="1" si="0"/>
        <v>15.72</v>
      </c>
      <c r="J680" s="6">
        <f ca="1">IFERROR(__xludf.DUMMYFUNCTION("IFERROR(GOOGLEFINANCE(B680, ""volume""), 0)"),11783)</f>
        <v>11783</v>
      </c>
      <c r="K680" s="6">
        <v>1.87</v>
      </c>
      <c r="L680" s="6">
        <f ca="1">IFERROR(__xludf.DUMMYFUNCTION("IFERROR(GOOGLEFINANCE(B680,""changepct""),K680)"),0.51)</f>
        <v>0.51</v>
      </c>
      <c r="M680" s="6">
        <f ca="1">IFERROR(__xludf.DUMMYFUNCTION("IFERROR(GOOGLEFINANCE(B680,""change""),0)"),0.08)</f>
        <v>0.08</v>
      </c>
      <c r="N680" s="6">
        <v>2</v>
      </c>
      <c r="O680" s="7">
        <v>45536</v>
      </c>
      <c r="P680" s="6">
        <v>27.48</v>
      </c>
      <c r="Q680" s="6">
        <v>136.86000000000001</v>
      </c>
      <c r="R680" s="7">
        <v>45536</v>
      </c>
      <c r="S680" s="6">
        <v>0.05</v>
      </c>
      <c r="T680" s="6">
        <v>-7.17</v>
      </c>
      <c r="U680" s="7">
        <v>45536</v>
      </c>
      <c r="V680" s="6">
        <v>0</v>
      </c>
      <c r="W680" s="6">
        <f ca="1">IFERROR(__xludf.DUMMYFUNCTION("IFERROR(GOOGLEFINANCE(B680,""pe""),V680)"),0)</f>
        <v>0</v>
      </c>
      <c r="X680" s="9"/>
      <c r="Y680" s="6">
        <v>-7.06</v>
      </c>
      <c r="Z680" s="6">
        <v>2</v>
      </c>
      <c r="AA680" s="8">
        <v>45352</v>
      </c>
      <c r="AB680" s="4">
        <v>-2.06</v>
      </c>
      <c r="AC680" s="6">
        <v>0</v>
      </c>
      <c r="AD680" s="6">
        <v>-8.2100000000000009</v>
      </c>
      <c r="AE680" s="1">
        <v>0</v>
      </c>
      <c r="AF680" s="1">
        <f ca="1">IFERROR(__xludf.DUMMYFUNCTION("IFERROR(GOOGLEFINANCE(TRIM(F680)&amp;"":"" &amp; TRIM(B680),""high52""),AE680)"),24.88)</f>
        <v>24.88</v>
      </c>
      <c r="AG680" s="1">
        <v>0</v>
      </c>
      <c r="AH680" s="1">
        <f ca="1">IFERROR(__xludf.DUMMYFUNCTION("IFERROR(GOOGLEFINANCE(TRIM(F680)&amp;"":"" &amp; TRIM(B680),""low52""),AE680)"),13.21)</f>
        <v>13.21</v>
      </c>
      <c r="AI680" s="1">
        <f ca="1">IFERROR(__xludf.DUMMYFUNCTION("IFERROR(GOOGLEFINANCE(B680,""eps""),0)"),-4.59)</f>
        <v>-4.59</v>
      </c>
      <c r="AJ680" s="1"/>
      <c r="AK680" s="1" t="s">
        <v>2118</v>
      </c>
      <c r="AL680" s="9">
        <f t="shared" si="132"/>
        <v>1</v>
      </c>
    </row>
    <row r="681" spans="1:38" ht="15" x14ac:dyDescent="0.25">
      <c r="A681" s="1" t="s">
        <v>2119</v>
      </c>
      <c r="B681" s="1" t="s">
        <v>2120</v>
      </c>
      <c r="C681" s="1" t="s">
        <v>106</v>
      </c>
      <c r="D681" s="1" t="s">
        <v>106</v>
      </c>
      <c r="E681" s="6">
        <v>124174.7</v>
      </c>
      <c r="F681" s="1" t="s">
        <v>40</v>
      </c>
      <c r="G681" s="6">
        <f ca="1">IFERROR(__xludf.DUMMYFUNCTION("iferror(GOOGLEFINANCE(TRIM(F681)&amp;"":"" &amp; TRIM(B681), ""price""),0
)"),1314.5)</f>
        <v>1314.5</v>
      </c>
      <c r="H681" s="6">
        <v>1522.5</v>
      </c>
      <c r="I681" s="6">
        <f t="shared" ca="1" si="0"/>
        <v>1314.5</v>
      </c>
      <c r="J681" s="6">
        <f ca="1">IFERROR(__xludf.DUMMYFUNCTION("IFERROR(GOOGLEFINANCE(B681, ""volume""), 0)"),1832963)</f>
        <v>1832963</v>
      </c>
      <c r="K681" s="6">
        <v>-1</v>
      </c>
      <c r="L681" s="6">
        <f ca="1">IFERROR(__xludf.DUMMYFUNCTION("IFERROR(GOOGLEFINANCE(B681,""changepct""),K681)"),-1.08)</f>
        <v>-1.08</v>
      </c>
      <c r="M681" s="6">
        <f ca="1">IFERROR(__xludf.DUMMYFUNCTION("IFERROR(GOOGLEFINANCE(B681,""change""),0)"),-14.4)</f>
        <v>-14.4</v>
      </c>
      <c r="N681" s="6">
        <v>2</v>
      </c>
      <c r="O681" s="7">
        <v>45536</v>
      </c>
      <c r="P681" s="6">
        <v>162.19</v>
      </c>
      <c r="Q681" s="6">
        <v>123415.5</v>
      </c>
      <c r="R681" s="7">
        <v>45536</v>
      </c>
      <c r="S681" s="6">
        <v>26512.01</v>
      </c>
      <c r="T681" s="6">
        <v>4485.22</v>
      </c>
      <c r="U681" s="7">
        <v>45536</v>
      </c>
      <c r="V681" s="6">
        <v>27.75</v>
      </c>
      <c r="W681" s="6">
        <f ca="1">IFERROR(__xludf.DUMMYFUNCTION("IFERROR(GOOGLEFINANCE(B681,""pe""),V681)"),23.37)</f>
        <v>23.37</v>
      </c>
      <c r="X681" s="6">
        <v>1.22</v>
      </c>
      <c r="Y681" s="6">
        <v>4.38</v>
      </c>
      <c r="Z681" s="6">
        <v>2</v>
      </c>
      <c r="AA681" s="8">
        <v>45352</v>
      </c>
      <c r="AB681" s="4">
        <v>0.01</v>
      </c>
      <c r="AC681" s="6">
        <v>16.63</v>
      </c>
      <c r="AD681" s="6">
        <v>22.77</v>
      </c>
      <c r="AE681" s="1">
        <v>0</v>
      </c>
      <c r="AF681" s="1">
        <f ca="1">IFERROR(__xludf.DUMMYFUNCTION("IFERROR(GOOGLEFINANCE(TRIM(F681)&amp;"":"" &amp; TRIM(B681),""high52""),AE681)"),1673)</f>
        <v>1673</v>
      </c>
      <c r="AG681" s="1">
        <v>0</v>
      </c>
      <c r="AH681" s="1">
        <f ca="1">IFERROR(__xludf.DUMMYFUNCTION("IFERROR(GOOGLEFINANCE(TRIM(F681)&amp;"":"" &amp; TRIM(B681),""low52""),AE681)"),1281.7)</f>
        <v>1281.7</v>
      </c>
      <c r="AI681" s="1">
        <f ca="1">IFERROR(__xludf.DUMMYFUNCTION("IFERROR(GOOGLEFINANCE(B681,""eps""),0)"),56.26)</f>
        <v>56.26</v>
      </c>
      <c r="AJ681" s="1"/>
      <c r="AK681" s="1" t="s">
        <v>2121</v>
      </c>
      <c r="AL681" s="9">
        <f t="shared" si="132"/>
        <v>1</v>
      </c>
    </row>
    <row r="682" spans="1:38" ht="15" x14ac:dyDescent="0.25">
      <c r="A682" s="1" t="s">
        <v>2122</v>
      </c>
      <c r="B682" s="1" t="s">
        <v>2123</v>
      </c>
      <c r="C682" s="1" t="s">
        <v>2124</v>
      </c>
      <c r="D682" s="1" t="s">
        <v>2124</v>
      </c>
      <c r="E682" s="6">
        <v>330.41</v>
      </c>
      <c r="F682" s="1" t="s">
        <v>53</v>
      </c>
      <c r="G682" s="6">
        <f ca="1">IFERROR(__xludf.DUMMYFUNCTION("iferror(GOOGLEFINANCE(TRIM(F682)&amp;"":"" &amp; TRIM(B682), ""price""),0
)"),0)</f>
        <v>0</v>
      </c>
      <c r="H682" s="6">
        <v>231.05</v>
      </c>
      <c r="I682" s="6">
        <f t="shared" ca="1" si="0"/>
        <v>231.05</v>
      </c>
      <c r="J682" s="6">
        <f ca="1">IFERROR(__xludf.DUMMYFUNCTION("IFERROR(GOOGLEFINANCE(B682, ""volume""), 0)"),0)</f>
        <v>0</v>
      </c>
      <c r="K682" s="6">
        <v>0.13</v>
      </c>
      <c r="L682" s="6">
        <f ca="1">IFERROR(__xludf.DUMMYFUNCTION("IFERROR(GOOGLEFINANCE(B682,""changepct""),K682)"),0.13)</f>
        <v>0.13</v>
      </c>
      <c r="M682" s="6">
        <f ca="1">IFERROR(__xludf.DUMMYFUNCTION("IFERROR(GOOGLEFINANCE(B682,""change""),0)"),0)</f>
        <v>0</v>
      </c>
      <c r="N682" s="6">
        <v>2</v>
      </c>
      <c r="O682" s="7">
        <v>45536</v>
      </c>
      <c r="P682" s="6">
        <v>78.31</v>
      </c>
      <c r="Q682" s="6">
        <v>398.43</v>
      </c>
      <c r="R682" s="7">
        <v>45536</v>
      </c>
      <c r="S682" s="6">
        <v>46.31</v>
      </c>
      <c r="T682" s="6">
        <v>2.13</v>
      </c>
      <c r="U682" s="7">
        <v>45536</v>
      </c>
      <c r="V682" s="6">
        <v>155.34</v>
      </c>
      <c r="W682" s="6">
        <f ca="1">IFERROR(__xludf.DUMMYFUNCTION("IFERROR(GOOGLEFINANCE(B682,""pe""),V682)"),155.34)</f>
        <v>155.34</v>
      </c>
      <c r="X682" s="6">
        <v>-43.15</v>
      </c>
      <c r="Y682" s="6">
        <v>1.97</v>
      </c>
      <c r="Z682" s="6">
        <v>2</v>
      </c>
      <c r="AA682" s="8">
        <v>45352</v>
      </c>
      <c r="AB682" s="4">
        <v>0.45</v>
      </c>
      <c r="AC682" s="6">
        <v>5.29</v>
      </c>
      <c r="AD682" s="6">
        <v>5.87</v>
      </c>
      <c r="AE682" s="1">
        <v>0</v>
      </c>
      <c r="AF682" s="1">
        <f ca="1">IFERROR(__xludf.DUMMYFUNCTION("IFERROR(GOOGLEFINANCE(TRIM(F682)&amp;"":"" &amp; TRIM(B682),""high52""),AE682)"),0)</f>
        <v>0</v>
      </c>
      <c r="AG682" s="1">
        <v>0</v>
      </c>
      <c r="AH682" s="1">
        <f ca="1">IFERROR(__xludf.DUMMYFUNCTION("IFERROR(GOOGLEFINANCE(TRIM(F682)&amp;"":"" &amp; TRIM(B682),""low52""),AE682)"),0)</f>
        <v>0</v>
      </c>
      <c r="AI682" s="1">
        <f ca="1">IFERROR(__xludf.DUMMYFUNCTION("IFERROR(GOOGLEFINANCE(B682,""eps""),0)"),0)</f>
        <v>0</v>
      </c>
      <c r="AJ682" s="1"/>
      <c r="AK682" s="6">
        <v>38.299999999999997</v>
      </c>
      <c r="AL682" s="9">
        <f t="shared" si="132"/>
        <v>1</v>
      </c>
    </row>
    <row r="683" spans="1:38" ht="15" x14ac:dyDescent="0.25">
      <c r="A683" s="1" t="s">
        <v>2125</v>
      </c>
      <c r="B683" s="1" t="s">
        <v>2126</v>
      </c>
      <c r="C683" s="1" t="s">
        <v>2124</v>
      </c>
      <c r="D683" s="1" t="s">
        <v>2124</v>
      </c>
      <c r="E683" s="6">
        <v>314.68</v>
      </c>
      <c r="F683" s="1" t="s">
        <v>53</v>
      </c>
      <c r="G683" s="6">
        <f ca="1">IFERROR(__xludf.DUMMYFUNCTION("iferror(GOOGLEFINANCE(TRIM(F683)&amp;"":"" &amp; TRIM(B683), ""price""),0
)"),0)</f>
        <v>0</v>
      </c>
      <c r="H683" s="6">
        <v>51.6</v>
      </c>
      <c r="I683" s="6">
        <f t="shared" ca="1" si="0"/>
        <v>51.6</v>
      </c>
      <c r="J683" s="6">
        <f ca="1">IFERROR(__xludf.DUMMYFUNCTION("IFERROR(GOOGLEFINANCE(B683, ""volume""), 0)"),0)</f>
        <v>0</v>
      </c>
      <c r="K683" s="6">
        <v>4.9000000000000004</v>
      </c>
      <c r="L683" s="6">
        <f ca="1">IFERROR(__xludf.DUMMYFUNCTION("IFERROR(GOOGLEFINANCE(B683,""changepct""),K683)"),-1.76)</f>
        <v>-1.76</v>
      </c>
      <c r="M683" s="6">
        <f ca="1">IFERROR(__xludf.DUMMYFUNCTION("IFERROR(GOOGLEFINANCE(B683,""change""),0)"),-2.43)</f>
        <v>-2.4300000000000002</v>
      </c>
      <c r="N683" s="6">
        <v>2</v>
      </c>
      <c r="O683" s="7">
        <v>45536</v>
      </c>
      <c r="P683" s="6">
        <v>77.22</v>
      </c>
      <c r="Q683" s="6">
        <v>388.56</v>
      </c>
      <c r="R683" s="7">
        <v>45536</v>
      </c>
      <c r="S683" s="6">
        <v>209.44</v>
      </c>
      <c r="T683" s="6">
        <v>3.67</v>
      </c>
      <c r="U683" s="7">
        <v>45536</v>
      </c>
      <c r="V683" s="6">
        <v>60.09</v>
      </c>
      <c r="W683" s="6">
        <f ca="1">IFERROR(__xludf.DUMMYFUNCTION("IFERROR(GOOGLEFINANCE(B683,""pe""),V683)"),60.09)</f>
        <v>60.09</v>
      </c>
      <c r="X683" s="6">
        <v>-2.2799999999999998</v>
      </c>
      <c r="Y683" s="6">
        <v>0.88</v>
      </c>
      <c r="Z683" s="6">
        <v>2</v>
      </c>
      <c r="AA683" s="8">
        <v>45352</v>
      </c>
      <c r="AB683" s="4">
        <v>0.21</v>
      </c>
      <c r="AC683" s="6">
        <v>1.03</v>
      </c>
      <c r="AD683" s="6">
        <v>2.96</v>
      </c>
      <c r="AE683" s="1">
        <v>0</v>
      </c>
      <c r="AF683" s="1">
        <f ca="1">IFERROR(__xludf.DUMMYFUNCTION("IFERROR(GOOGLEFINANCE(TRIM(F683)&amp;"":"" &amp; TRIM(B683),""high52""),AE683)"),0)</f>
        <v>0</v>
      </c>
      <c r="AG683" s="1">
        <v>0</v>
      </c>
      <c r="AH683" s="1">
        <f ca="1">IFERROR(__xludf.DUMMYFUNCTION("IFERROR(GOOGLEFINANCE(TRIM(F683)&amp;"":"" &amp; TRIM(B683),""low52""),AE683)"),0)</f>
        <v>0</v>
      </c>
      <c r="AI683" s="1">
        <f ca="1">IFERROR(__xludf.DUMMYFUNCTION("IFERROR(GOOGLEFINANCE(B683,""eps""),0)"),0)</f>
        <v>0</v>
      </c>
      <c r="AJ683" s="1"/>
      <c r="AK683" s="9"/>
      <c r="AL683" s="9">
        <f t="shared" si="132"/>
        <v>1</v>
      </c>
    </row>
    <row r="684" spans="1:38" ht="15" x14ac:dyDescent="0.25">
      <c r="A684" s="1" t="s">
        <v>2127</v>
      </c>
      <c r="B684" s="1" t="s">
        <v>2128</v>
      </c>
      <c r="C684" s="1" t="s">
        <v>1067</v>
      </c>
      <c r="D684" s="1" t="s">
        <v>1067</v>
      </c>
      <c r="E684" s="6">
        <v>13052.46</v>
      </c>
      <c r="F684" s="1" t="s">
        <v>40</v>
      </c>
      <c r="G684" s="6">
        <f ca="1">IFERROR(__xludf.DUMMYFUNCTION("iferror(GOOGLEFINANCE(TRIM(F684)&amp;"":"" &amp; TRIM(B684), ""price""),0
)"),286.7)</f>
        <v>286.7</v>
      </c>
      <c r="H684" s="6">
        <v>176.21</v>
      </c>
      <c r="I684" s="6">
        <f t="shared" ca="1" si="0"/>
        <v>286.7</v>
      </c>
      <c r="J684" s="6">
        <f ca="1">IFERROR(__xludf.DUMMYFUNCTION("IFERROR(GOOGLEFINANCE(B684, ""volume""), 0)"),0)</f>
        <v>0</v>
      </c>
      <c r="K684" s="6">
        <v>0.02</v>
      </c>
      <c r="L684" s="6">
        <f ca="1">IFERROR(__xludf.DUMMYFUNCTION("IFERROR(GOOGLEFINANCE(B684,""changepct""),K684)"),0)</f>
        <v>0</v>
      </c>
      <c r="M684" s="6">
        <f ca="1">IFERROR(__xludf.DUMMYFUNCTION("IFERROR(GOOGLEFINANCE(B684,""change""),0)"),0)</f>
        <v>0</v>
      </c>
      <c r="N684" s="6">
        <v>1</v>
      </c>
      <c r="O684" s="7">
        <v>45536</v>
      </c>
      <c r="P684" s="6">
        <v>5522.94</v>
      </c>
      <c r="Q684" s="6">
        <v>1057.52</v>
      </c>
      <c r="R684" s="7">
        <v>45536</v>
      </c>
      <c r="S684" s="6">
        <v>12.34</v>
      </c>
      <c r="T684" s="6">
        <v>1.49</v>
      </c>
      <c r="U684" s="6">
        <v>1.47</v>
      </c>
      <c r="V684" s="6">
        <v>1</v>
      </c>
      <c r="W684" s="6">
        <f ca="1">IFERROR(__xludf.DUMMYFUNCTION("IFERROR(GOOGLEFINANCE(B684,""pe""),V684)"),35.25)</f>
        <v>35.25</v>
      </c>
      <c r="X684" s="7">
        <v>45352</v>
      </c>
      <c r="Y684" s="6">
        <v>12.81</v>
      </c>
      <c r="Z684" s="6">
        <v>1</v>
      </c>
      <c r="AA684" s="8">
        <v>45352</v>
      </c>
      <c r="AB684" s="4">
        <v>1.97</v>
      </c>
      <c r="AC684" s="6">
        <v>3.12</v>
      </c>
      <c r="AD684" s="6">
        <v>11.58</v>
      </c>
      <c r="AE684" s="1">
        <v>0</v>
      </c>
      <c r="AF684" s="1">
        <f ca="1">IFERROR(__xludf.DUMMYFUNCTION("IFERROR(GOOGLEFINANCE(TRIM(F684)&amp;"":"" &amp; TRIM(B684),""high52""),AE684)"),304.7)</f>
        <v>304.7</v>
      </c>
      <c r="AG684" s="1">
        <v>0</v>
      </c>
      <c r="AH684" s="1">
        <f ca="1">IFERROR(__xludf.DUMMYFUNCTION("IFERROR(GOOGLEFINANCE(TRIM(F684)&amp;"":"" &amp; TRIM(B684),""low52""),AE684)"),142.91)</f>
        <v>142.91</v>
      </c>
      <c r="AI684" s="1">
        <f ca="1">IFERROR(__xludf.DUMMYFUNCTION("IFERROR(GOOGLEFINANCE(B684,""eps""),0)"),0.3)</f>
        <v>0.3</v>
      </c>
      <c r="AJ684" s="1"/>
      <c r="AK684" s="1" t="s">
        <v>2129</v>
      </c>
      <c r="AL684" s="1" t="b">
        <f>ISNUMBER(AA684)</f>
        <v>1</v>
      </c>
    </row>
    <row r="685" spans="1:38" ht="15" x14ac:dyDescent="0.25">
      <c r="A685" s="1" t="s">
        <v>2130</v>
      </c>
      <c r="B685" s="1" t="s">
        <v>2131</v>
      </c>
      <c r="C685" s="1" t="s">
        <v>321</v>
      </c>
      <c r="D685" s="1" t="s">
        <v>321</v>
      </c>
      <c r="E685" s="6">
        <v>644.58000000000004</v>
      </c>
      <c r="F685" s="1" t="s">
        <v>40</v>
      </c>
      <c r="G685" s="6">
        <f ca="1">IFERROR(__xludf.DUMMYFUNCTION("iferror(GOOGLEFINANCE(TRIM(F685)&amp;"":"" &amp; TRIM(B685), ""price""),0
)"),71.99)</f>
        <v>71.989999999999995</v>
      </c>
      <c r="H685" s="6">
        <v>117.88</v>
      </c>
      <c r="I685" s="6">
        <f t="shared" ca="1" si="0"/>
        <v>71.989999999999995</v>
      </c>
      <c r="J685" s="6">
        <f ca="1">IFERROR(__xludf.DUMMYFUNCTION("IFERROR(GOOGLEFINANCE(B685, ""volume""), 0)"),25747)</f>
        <v>25747</v>
      </c>
      <c r="K685" s="6">
        <v>-1.1299999999999999</v>
      </c>
      <c r="L685" s="6">
        <f ca="1">IFERROR(__xludf.DUMMYFUNCTION("IFERROR(GOOGLEFINANCE(B685,""changepct""),K685)"),-2.31)</f>
        <v>-2.31</v>
      </c>
      <c r="M685" s="6">
        <f ca="1">IFERROR(__xludf.DUMMYFUNCTION("IFERROR(GOOGLEFINANCE(B685,""change""),0)"),-1.7)</f>
        <v>-1.7</v>
      </c>
      <c r="N685" s="6">
        <v>2</v>
      </c>
      <c r="O685" s="7">
        <v>45536</v>
      </c>
      <c r="P685" s="6">
        <v>24.81</v>
      </c>
      <c r="Q685" s="6">
        <v>571.80999999999995</v>
      </c>
      <c r="R685" s="7">
        <v>45536</v>
      </c>
      <c r="S685" s="6">
        <v>332.16</v>
      </c>
      <c r="T685" s="6">
        <v>13.12</v>
      </c>
      <c r="U685" s="7">
        <v>45536</v>
      </c>
      <c r="V685" s="6">
        <v>54.38</v>
      </c>
      <c r="W685" s="6">
        <f ca="1">IFERROR(__xludf.DUMMYFUNCTION("IFERROR(GOOGLEFINANCE(B685,""pe""),V685)"),54.38)</f>
        <v>54.38</v>
      </c>
      <c r="X685" s="6">
        <v>-8.09</v>
      </c>
      <c r="Y685" s="6">
        <v>2.2200000000000002</v>
      </c>
      <c r="Z685" s="6">
        <v>2</v>
      </c>
      <c r="AA685" s="17">
        <v>45352</v>
      </c>
      <c r="AB685" s="18">
        <v>0.08</v>
      </c>
      <c r="AC685" s="6">
        <v>5.72</v>
      </c>
      <c r="AD685" s="6">
        <v>8.2799999999999994</v>
      </c>
      <c r="AE685" s="1">
        <v>0</v>
      </c>
      <c r="AF685" s="1">
        <f ca="1">IFERROR(__xludf.DUMMYFUNCTION("IFERROR(GOOGLEFINANCE(TRIM(F685)&amp;"":"" &amp; TRIM(B685),""high52""),AE685)"),134.4)</f>
        <v>134.4</v>
      </c>
      <c r="AG685" s="1">
        <v>0</v>
      </c>
      <c r="AH685" s="1">
        <f ca="1">IFERROR(__xludf.DUMMYFUNCTION("IFERROR(GOOGLEFINANCE(TRIM(F685)&amp;"":"" &amp; TRIM(B685),""low52""),AE685)"),67.5)</f>
        <v>67.5</v>
      </c>
      <c r="AI685" s="1">
        <f ca="1">IFERROR(__xludf.DUMMYFUNCTION("IFERROR(GOOGLEFINANCE(B685,""eps""),0)"),-6.31)</f>
        <v>-6.31</v>
      </c>
      <c r="AJ685" s="1"/>
      <c r="AK685" s="9"/>
      <c r="AL685" s="9">
        <f t="shared" ref="AL685:AL686" si="133">IF(AA685&lt;&gt;AB685,1,0)</f>
        <v>1</v>
      </c>
    </row>
    <row r="686" spans="1:38" ht="15" x14ac:dyDescent="0.25">
      <c r="A686" s="1" t="s">
        <v>2132</v>
      </c>
      <c r="B686" s="1" t="s">
        <v>2133</v>
      </c>
      <c r="C686" s="1" t="s">
        <v>135</v>
      </c>
      <c r="D686" s="1" t="s">
        <v>135</v>
      </c>
      <c r="E686" s="6">
        <v>16091.37</v>
      </c>
      <c r="F686" s="1" t="s">
        <v>40</v>
      </c>
      <c r="G686" s="6">
        <f ca="1">IFERROR(__xludf.DUMMYFUNCTION("iferror(GOOGLEFINANCE(TRIM(F686)&amp;"":"" &amp; TRIM(B686), ""price""),0
)"),798.4)</f>
        <v>798.4</v>
      </c>
      <c r="H686" s="6">
        <v>1515.65</v>
      </c>
      <c r="I686" s="6">
        <f t="shared" ca="1" si="0"/>
        <v>798.4</v>
      </c>
      <c r="J686" s="6">
        <f ca="1">IFERROR(__xludf.DUMMYFUNCTION("IFERROR(GOOGLEFINANCE(B686, ""volume""), 0)"),0)</f>
        <v>0</v>
      </c>
      <c r="K686" s="6">
        <v>0.11</v>
      </c>
      <c r="L686" s="6">
        <f ca="1">IFERROR(__xludf.DUMMYFUNCTION("IFERROR(GOOGLEFINANCE(B686,""changepct""),K686)"),-0.73)</f>
        <v>-0.73</v>
      </c>
      <c r="M686" s="6">
        <f ca="1">IFERROR(__xludf.DUMMYFUNCTION("IFERROR(GOOGLEFINANCE(B686,""change""),0)"),-17.75)</f>
        <v>-17.75</v>
      </c>
      <c r="N686" s="6">
        <v>2</v>
      </c>
      <c r="O686" s="7">
        <v>45536</v>
      </c>
      <c r="P686" s="9"/>
      <c r="Q686" s="6">
        <v>16079.77</v>
      </c>
      <c r="R686" s="7">
        <v>45536</v>
      </c>
      <c r="S686" s="6">
        <v>884.4</v>
      </c>
      <c r="T686" s="6">
        <v>257.58</v>
      </c>
      <c r="U686" s="7">
        <v>45536</v>
      </c>
      <c r="V686" s="6">
        <v>62.47</v>
      </c>
      <c r="W686" s="6">
        <f ca="1">IFERROR(__xludf.DUMMYFUNCTION("IFERROR(GOOGLEFINANCE(B686,""pe""),V686)"),62.47)</f>
        <v>62.47</v>
      </c>
      <c r="X686" s="9"/>
      <c r="Y686" s="6">
        <v>12.4</v>
      </c>
      <c r="Z686" s="6">
        <v>2</v>
      </c>
      <c r="AA686" s="8">
        <v>45352</v>
      </c>
      <c r="AB686" s="4">
        <v>0</v>
      </c>
      <c r="AC686" s="6">
        <v>22.09</v>
      </c>
      <c r="AD686" s="6">
        <v>29.62</v>
      </c>
      <c r="AE686" s="1">
        <v>0</v>
      </c>
      <c r="AF686" s="1">
        <f ca="1">IFERROR(__xludf.DUMMYFUNCTION("IFERROR(GOOGLEFINANCE(TRIM(F686)&amp;"":"" &amp; TRIM(B686),""high52""),AE686)"),1600)</f>
        <v>1600</v>
      </c>
      <c r="AG686" s="1">
        <v>0</v>
      </c>
      <c r="AH686" s="1">
        <f ca="1">IFERROR(__xludf.DUMMYFUNCTION("IFERROR(GOOGLEFINANCE(TRIM(F686)&amp;"":"" &amp; TRIM(B686),""low52""),AE686)"),769.55)</f>
        <v>769.55</v>
      </c>
      <c r="AI686" s="1">
        <f ca="1">IFERROR(__xludf.DUMMYFUNCTION("IFERROR(GOOGLEFINANCE(B686,""eps""),0)"),0)</f>
        <v>0</v>
      </c>
      <c r="AJ686" s="1"/>
      <c r="AK686" s="1" t="s">
        <v>2134</v>
      </c>
      <c r="AL686" s="9">
        <f t="shared" si="133"/>
        <v>1</v>
      </c>
    </row>
    <row r="687" spans="1:38" ht="15" x14ac:dyDescent="0.25">
      <c r="A687" s="1" t="s">
        <v>2135</v>
      </c>
      <c r="B687" s="1" t="s">
        <v>2136</v>
      </c>
      <c r="C687" s="1" t="s">
        <v>577</v>
      </c>
      <c r="D687" s="1" t="s">
        <v>577</v>
      </c>
      <c r="E687" s="6">
        <v>7.93</v>
      </c>
      <c r="F687" s="1" t="s">
        <v>40</v>
      </c>
      <c r="G687" s="6">
        <f ca="1">IFERROR(__xludf.DUMMYFUNCTION("iferror(GOOGLEFINANCE(TRIM(F687)&amp;"":"" &amp; TRIM(B687), ""price""),0
)"),5.01)</f>
        <v>5.01</v>
      </c>
      <c r="H687" s="6">
        <v>4.5999999999999996</v>
      </c>
      <c r="I687" s="6">
        <f t="shared" ca="1" si="0"/>
        <v>5.01</v>
      </c>
      <c r="J687" s="6">
        <f ca="1">IFERROR(__xludf.DUMMYFUNCTION("IFERROR(GOOGLEFINANCE(B687, ""volume""), 0)"),3657)</f>
        <v>3657</v>
      </c>
      <c r="K687" s="9"/>
      <c r="L687" s="6">
        <f ca="1">IFERROR(__xludf.DUMMYFUNCTION("IFERROR(GOOGLEFINANCE(B687,""changepct""),K687)"),-0.79)</f>
        <v>-0.79</v>
      </c>
      <c r="M687" s="6">
        <f ca="1">IFERROR(__xludf.DUMMYFUNCTION("IFERROR(GOOGLEFINANCE(B687,""change""),0)"),-0.04)</f>
        <v>-0.04</v>
      </c>
      <c r="N687" s="6">
        <v>1</v>
      </c>
      <c r="O687" s="7">
        <v>45352</v>
      </c>
      <c r="P687" s="6">
        <v>381.02</v>
      </c>
      <c r="Q687" s="6">
        <v>382.63</v>
      </c>
      <c r="R687" s="7">
        <v>45352</v>
      </c>
      <c r="S687" s="6">
        <v>29.08</v>
      </c>
      <c r="T687" s="6">
        <v>-8.32</v>
      </c>
      <c r="U687" s="7">
        <v>45352</v>
      </c>
      <c r="V687" s="6">
        <v>0</v>
      </c>
      <c r="W687" s="6">
        <f ca="1">IFERROR(__xludf.DUMMYFUNCTION("IFERROR(GOOGLEFINANCE(B687,""pe""),V687)"),0)</f>
        <v>0</v>
      </c>
      <c r="X687" s="9"/>
      <c r="Y687" s="6">
        <v>-0.06</v>
      </c>
      <c r="Z687" s="6">
        <v>1</v>
      </c>
      <c r="AA687" s="8">
        <v>45352</v>
      </c>
      <c r="AB687" s="4">
        <v>-2.81</v>
      </c>
      <c r="AC687" s="6">
        <v>0</v>
      </c>
      <c r="AD687" s="6">
        <v>-3.69</v>
      </c>
      <c r="AE687" s="1">
        <v>0</v>
      </c>
      <c r="AF687" s="1">
        <f ca="1">IFERROR(__xludf.DUMMYFUNCTION("IFERROR(GOOGLEFINANCE(TRIM(F687)&amp;"":"" &amp; TRIM(B687),""high52""),AE687)"),6.02)</f>
        <v>6.02</v>
      </c>
      <c r="AG687" s="1">
        <v>0</v>
      </c>
      <c r="AH687" s="1">
        <f ca="1">IFERROR(__xludf.DUMMYFUNCTION("IFERROR(GOOGLEFINANCE(TRIM(F687)&amp;"":"" &amp; TRIM(B687),""low52""),AE687)"),2.85)</f>
        <v>2.85</v>
      </c>
      <c r="AI687" s="1">
        <f ca="1">IFERROR(__xludf.DUMMYFUNCTION("IFERROR(GOOGLEFINANCE(B687,""eps""),0)"),-6.88)</f>
        <v>-6.88</v>
      </c>
      <c r="AJ687" s="1"/>
      <c r="AK687" s="1" t="s">
        <v>2137</v>
      </c>
      <c r="AL687" s="1" t="b">
        <f>ISNUMBER(AA687)</f>
        <v>1</v>
      </c>
    </row>
    <row r="688" spans="1:38" ht="15" x14ac:dyDescent="0.25">
      <c r="A688" s="1" t="s">
        <v>2138</v>
      </c>
      <c r="B688" s="1" t="s">
        <v>2139</v>
      </c>
      <c r="C688" s="1" t="s">
        <v>487</v>
      </c>
      <c r="D688" s="1" t="s">
        <v>487</v>
      </c>
      <c r="E688" s="6">
        <v>4.55</v>
      </c>
      <c r="F688" s="1" t="s">
        <v>40</v>
      </c>
      <c r="G688" s="6">
        <f ca="1">IFERROR(__xludf.DUMMYFUNCTION("iferror(GOOGLEFINANCE(TRIM(F688)&amp;"":"" &amp; TRIM(B688), ""price""),0
)"),0)</f>
        <v>0</v>
      </c>
      <c r="H688" s="6">
        <v>2.8</v>
      </c>
      <c r="I688" s="6">
        <f t="shared" ca="1" si="0"/>
        <v>2.8</v>
      </c>
      <c r="J688" s="6">
        <f ca="1">IFERROR(__xludf.DUMMYFUNCTION("IFERROR(GOOGLEFINANCE(B688, ""volume""), 0)"),0)</f>
        <v>0</v>
      </c>
      <c r="K688" s="6">
        <v>-3.45</v>
      </c>
      <c r="L688" s="6">
        <f ca="1">IFERROR(__xludf.DUMMYFUNCTION("IFERROR(GOOGLEFINANCE(B688,""changepct""),K688)"),-3.45)</f>
        <v>-3.45</v>
      </c>
      <c r="M688" s="6">
        <f ca="1">IFERROR(__xludf.DUMMYFUNCTION("IFERROR(GOOGLEFINANCE(B688,""change""),0)"),0)</f>
        <v>0</v>
      </c>
      <c r="N688" s="6">
        <v>1</v>
      </c>
      <c r="O688" s="7">
        <v>45536</v>
      </c>
      <c r="P688" s="6">
        <v>72.38</v>
      </c>
      <c r="Q688" s="6">
        <v>76.930000000000007</v>
      </c>
      <c r="R688" s="7">
        <v>45352</v>
      </c>
      <c r="S688" s="6">
        <v>133.19</v>
      </c>
      <c r="T688" s="6">
        <v>0.21</v>
      </c>
      <c r="U688" s="7">
        <v>45352</v>
      </c>
      <c r="V688" s="6">
        <v>21.44</v>
      </c>
      <c r="W688" s="6">
        <f ca="1">IFERROR(__xludf.DUMMYFUNCTION("IFERROR(GOOGLEFINANCE(B688,""pe""),V688)"),21.44)</f>
        <v>21.44</v>
      </c>
      <c r="X688" s="6">
        <v>-0.93</v>
      </c>
      <c r="Y688" s="6">
        <v>0.16</v>
      </c>
      <c r="Z688" s="6">
        <v>1</v>
      </c>
      <c r="AA688" s="8">
        <v>44621</v>
      </c>
      <c r="AB688" s="4">
        <v>0.72</v>
      </c>
      <c r="AC688" s="6">
        <v>0.91</v>
      </c>
      <c r="AD688" s="6">
        <v>6.7</v>
      </c>
      <c r="AE688" s="1">
        <v>0</v>
      </c>
      <c r="AF688" s="1">
        <f ca="1">IFERROR(__xludf.DUMMYFUNCTION("IFERROR(GOOGLEFINANCE(TRIM(F688)&amp;"":"" &amp; TRIM(B688),""high52""),AE688)"),0)</f>
        <v>0</v>
      </c>
      <c r="AG688" s="1">
        <v>0</v>
      </c>
      <c r="AH688" s="1">
        <f ca="1">IFERROR(__xludf.DUMMYFUNCTION("IFERROR(GOOGLEFINANCE(TRIM(F688)&amp;"":"" &amp; TRIM(B688),""low52""),AE688)"),0)</f>
        <v>0</v>
      </c>
      <c r="AI688" s="1">
        <f ca="1">IFERROR(__xludf.DUMMYFUNCTION("IFERROR(GOOGLEFINANCE(B688,""eps""),0)"),0)</f>
        <v>0</v>
      </c>
      <c r="AJ688" s="1"/>
      <c r="AK688" s="1" t="s">
        <v>2140</v>
      </c>
      <c r="AL688" s="9">
        <f>IF(AA688&lt;&gt;AB688,1,0)</f>
        <v>1</v>
      </c>
    </row>
    <row r="689" spans="1:38" ht="15" x14ac:dyDescent="0.25">
      <c r="A689" s="1" t="s">
        <v>2141</v>
      </c>
      <c r="B689" s="1" t="s">
        <v>2142</v>
      </c>
      <c r="C689" s="1" t="s">
        <v>90</v>
      </c>
      <c r="D689" s="1" t="s">
        <v>90</v>
      </c>
      <c r="E689" s="6">
        <v>8237.15</v>
      </c>
      <c r="F689" s="1" t="s">
        <v>40</v>
      </c>
      <c r="G689" s="6">
        <f ca="1">IFERROR(__xludf.DUMMYFUNCTION("iferror(GOOGLEFINANCE(TRIM(F689)&amp;"":"" &amp; TRIM(B689), ""price""),0
)"),320.65)</f>
        <v>320.64999999999998</v>
      </c>
      <c r="H689" s="6">
        <v>505.7</v>
      </c>
      <c r="I689" s="6">
        <f t="shared" ca="1" si="0"/>
        <v>320.64999999999998</v>
      </c>
      <c r="J689" s="6">
        <f ca="1">IFERROR(__xludf.DUMMYFUNCTION("IFERROR(GOOGLEFINANCE(B689, ""volume""), 0)"),201671)</f>
        <v>201671</v>
      </c>
      <c r="K689" s="6">
        <v>0.72</v>
      </c>
      <c r="L689" s="6">
        <f ca="1">IFERROR(__xludf.DUMMYFUNCTION("IFERROR(GOOGLEFINANCE(B689,""changepct""),K689)"),1.12)</f>
        <v>1.1200000000000001</v>
      </c>
      <c r="M689" s="6">
        <f ca="1">IFERROR(__xludf.DUMMYFUNCTION("IFERROR(GOOGLEFINANCE(B689,""change""),0)"),3.55)</f>
        <v>3.55</v>
      </c>
      <c r="N689" s="6">
        <v>2</v>
      </c>
      <c r="O689" s="7">
        <v>45536</v>
      </c>
      <c r="P689" s="9"/>
      <c r="Q689" s="6">
        <v>7993.29</v>
      </c>
      <c r="R689" s="7">
        <v>45536</v>
      </c>
      <c r="S689" s="6">
        <v>2433.35</v>
      </c>
      <c r="T689" s="6">
        <v>360.21</v>
      </c>
      <c r="U689" s="7">
        <v>45536</v>
      </c>
      <c r="V689" s="6">
        <v>22.87</v>
      </c>
      <c r="W689" s="6">
        <f ca="1">IFERROR(__xludf.DUMMYFUNCTION("IFERROR(GOOGLEFINANCE(B689,""pe""),V689)"),14.97)</f>
        <v>14.97</v>
      </c>
      <c r="X689" s="9"/>
      <c r="Y689" s="6">
        <v>3.92</v>
      </c>
      <c r="Z689" s="6">
        <v>2</v>
      </c>
      <c r="AA689" s="8">
        <v>45352</v>
      </c>
      <c r="AB689" s="4">
        <v>0</v>
      </c>
      <c r="AC689" s="6">
        <v>20.3</v>
      </c>
      <c r="AD689" s="6">
        <v>27.54</v>
      </c>
      <c r="AE689" s="1">
        <v>0</v>
      </c>
      <c r="AF689" s="1">
        <f ca="1">IFERROR(__xludf.DUMMYFUNCTION("IFERROR(GOOGLEFINANCE(TRIM(F689)&amp;"":"" &amp; TRIM(B689),""high52""),AE689)"),541.15)</f>
        <v>541.15</v>
      </c>
      <c r="AG689" s="1">
        <v>0</v>
      </c>
      <c r="AH689" s="1">
        <f ca="1">IFERROR(__xludf.DUMMYFUNCTION("IFERROR(GOOGLEFINANCE(TRIM(F689)&amp;"":"" &amp; TRIM(B689),""low52""),AE689)"),311.7)</f>
        <v>311.7</v>
      </c>
      <c r="AI689" s="1">
        <f ca="1">IFERROR(__xludf.DUMMYFUNCTION("IFERROR(GOOGLEFINANCE(B689,""eps""),0)"),21.42)</f>
        <v>21.42</v>
      </c>
      <c r="AJ689" s="1"/>
      <c r="AK689" s="1" t="s">
        <v>2143</v>
      </c>
      <c r="AL689" s="1" t="b">
        <f>ISNUMBER(AA689)</f>
        <v>1</v>
      </c>
    </row>
    <row r="690" spans="1:38" ht="15" x14ac:dyDescent="0.25">
      <c r="A690" s="1" t="s">
        <v>2144</v>
      </c>
      <c r="B690" s="1" t="s">
        <v>2145</v>
      </c>
      <c r="C690" s="1" t="s">
        <v>39</v>
      </c>
      <c r="D690" s="1" t="s">
        <v>39</v>
      </c>
      <c r="E690" s="6">
        <v>242164.4</v>
      </c>
      <c r="F690" s="1" t="s">
        <v>40</v>
      </c>
      <c r="G690" s="6">
        <f ca="1">IFERROR(__xludf.DUMMYFUNCTION("iferror(GOOGLEFINANCE(TRIM(F690)&amp;"":"" &amp; TRIM(B690), ""price""),0
)"),421.35)</f>
        <v>421.35</v>
      </c>
      <c r="H690" s="6">
        <v>390.3</v>
      </c>
      <c r="I690" s="6">
        <f t="shared" ca="1" si="0"/>
        <v>421.35</v>
      </c>
      <c r="J690" s="6">
        <f ca="1">IFERROR(__xludf.DUMMYFUNCTION("IFERROR(GOOGLEFINANCE(B690, ""volume""), 0)"),9618062)</f>
        <v>9618062</v>
      </c>
      <c r="K690" s="6">
        <v>-0.67</v>
      </c>
      <c r="L690" s="6">
        <f ca="1">IFERROR(__xludf.DUMMYFUNCTION("IFERROR(GOOGLEFINANCE(B690,""changepct""),K690)"),0.43)</f>
        <v>0.43</v>
      </c>
      <c r="M690" s="6">
        <f ca="1">IFERROR(__xludf.DUMMYFUNCTION("IFERROR(GOOGLEFINANCE(B690,""change""),0)"),1.8)</f>
        <v>1.8</v>
      </c>
      <c r="N690" s="6">
        <v>2</v>
      </c>
      <c r="O690" s="7">
        <v>45536</v>
      </c>
      <c r="P690" s="6">
        <v>7552.94</v>
      </c>
      <c r="Q690" s="6">
        <v>217568.4</v>
      </c>
      <c r="R690" s="7">
        <v>45536</v>
      </c>
      <c r="S690" s="6">
        <v>140701.9</v>
      </c>
      <c r="T690" s="6">
        <v>34369.86</v>
      </c>
      <c r="U690" s="7">
        <v>45536</v>
      </c>
      <c r="V690" s="6">
        <v>6.92</v>
      </c>
      <c r="W690" s="6">
        <f ca="1">IFERROR(__xludf.DUMMYFUNCTION("IFERROR(GOOGLEFINANCE(B690,""pe""),V690)"),8.32)</f>
        <v>8.32</v>
      </c>
      <c r="X690" s="6">
        <v>0.42</v>
      </c>
      <c r="Y690" s="6">
        <v>2.52</v>
      </c>
      <c r="Z690" s="6">
        <v>2</v>
      </c>
      <c r="AA690" s="8">
        <v>45352</v>
      </c>
      <c r="AB690" s="4">
        <v>0.08</v>
      </c>
      <c r="AC690" s="6">
        <v>52.06</v>
      </c>
      <c r="AD690" s="6">
        <v>64.47</v>
      </c>
      <c r="AE690" s="1">
        <v>0</v>
      </c>
      <c r="AF690" s="1">
        <f ca="1">IFERROR(__xludf.DUMMYFUNCTION("IFERROR(GOOGLEFINANCE(TRIM(F690)&amp;"":"" &amp; TRIM(B690),""high52""),AE690)"),461.55)</f>
        <v>461.55</v>
      </c>
      <c r="AG690" s="1">
        <v>0</v>
      </c>
      <c r="AH690" s="1">
        <f ca="1">IFERROR(__xludf.DUMMYFUNCTION("IFERROR(GOOGLEFINANCE(TRIM(F690)&amp;"":"" &amp; TRIM(B690),""low52""),AE690)"),349.25)</f>
        <v>349.25</v>
      </c>
      <c r="AI690" s="1">
        <f ca="1">IFERROR(__xludf.DUMMYFUNCTION("IFERROR(GOOGLEFINANCE(B690,""eps""),0)"),50.64)</f>
        <v>50.64</v>
      </c>
      <c r="AJ690" s="1"/>
      <c r="AK690" s="1" t="s">
        <v>2146</v>
      </c>
      <c r="AL690" s="9">
        <f t="shared" ref="AL690:AL720" si="134">IF(AA690&lt;&gt;AB690,1,0)</f>
        <v>1</v>
      </c>
    </row>
    <row r="691" spans="1:38" ht="15" x14ac:dyDescent="0.25">
      <c r="A691" s="1" t="s">
        <v>2147</v>
      </c>
      <c r="B691" s="1" t="s">
        <v>2148</v>
      </c>
      <c r="C691" s="1" t="s">
        <v>324</v>
      </c>
      <c r="D691" s="1" t="s">
        <v>324</v>
      </c>
      <c r="E691" s="6">
        <v>358.53</v>
      </c>
      <c r="F691" s="1" t="s">
        <v>40</v>
      </c>
      <c r="G691" s="6">
        <f ca="1">IFERROR(__xludf.DUMMYFUNCTION("iferror(GOOGLEFINANCE(TRIM(F691)&amp;"":"" &amp; TRIM(B691), ""price""),0
)"),45.55)</f>
        <v>45.55</v>
      </c>
      <c r="H691" s="6">
        <v>272.3</v>
      </c>
      <c r="I691" s="6">
        <f t="shared" ca="1" si="0"/>
        <v>45.55</v>
      </c>
      <c r="J691" s="6">
        <f ca="1">IFERROR(__xludf.DUMMYFUNCTION("IFERROR(GOOGLEFINANCE(B691, ""volume""), 0)"),27756)</f>
        <v>27756</v>
      </c>
      <c r="K691" s="6">
        <v>1.78</v>
      </c>
      <c r="L691" s="6">
        <f ca="1">IFERROR(__xludf.DUMMYFUNCTION("IFERROR(GOOGLEFINANCE(B691,""changepct""),K691)"),0.46)</f>
        <v>0.46</v>
      </c>
      <c r="M691" s="6">
        <f ca="1">IFERROR(__xludf.DUMMYFUNCTION("IFERROR(GOOGLEFINANCE(B691,""change""),0)"),0.21)</f>
        <v>0.21</v>
      </c>
      <c r="N691" s="6">
        <v>2</v>
      </c>
      <c r="O691" s="7">
        <v>45536</v>
      </c>
      <c r="P691" s="6">
        <v>449.68</v>
      </c>
      <c r="Q691" s="6">
        <v>724.71</v>
      </c>
      <c r="R691" s="7">
        <v>45536</v>
      </c>
      <c r="S691" s="6">
        <v>511.2</v>
      </c>
      <c r="T691" s="6">
        <v>0.32</v>
      </c>
      <c r="U691" s="7">
        <v>45536</v>
      </c>
      <c r="V691" s="6">
        <v>0</v>
      </c>
      <c r="W691" s="6">
        <f ca="1">IFERROR(__xludf.DUMMYFUNCTION("IFERROR(GOOGLEFINANCE(B691,""pe""),V691)"),29.4)</f>
        <v>29.4</v>
      </c>
      <c r="X691" s="6">
        <v>0</v>
      </c>
      <c r="Y691" s="6">
        <v>1.36</v>
      </c>
      <c r="Z691" s="6">
        <v>2</v>
      </c>
      <c r="AA691" s="8">
        <v>45352</v>
      </c>
      <c r="AB691" s="4">
        <v>1.28</v>
      </c>
      <c r="AC691" s="6">
        <v>1.79</v>
      </c>
      <c r="AD691" s="6">
        <v>4.5999999999999996</v>
      </c>
      <c r="AE691" s="1">
        <v>0</v>
      </c>
      <c r="AF691" s="1">
        <f ca="1">IFERROR(__xludf.DUMMYFUNCTION("IFERROR(GOOGLEFINANCE(TRIM(F691)&amp;"":"" &amp; TRIM(B691),""high52""),AE691)"),49.38)</f>
        <v>49.38</v>
      </c>
      <c r="AG691" s="1">
        <v>0</v>
      </c>
      <c r="AH691" s="1">
        <f ca="1">IFERROR(__xludf.DUMMYFUNCTION("IFERROR(GOOGLEFINANCE(TRIM(F691)&amp;"":"" &amp; TRIM(B691),""low52""),AE691)"),30.01)</f>
        <v>30.01</v>
      </c>
      <c r="AI691" s="1">
        <f ca="1">IFERROR(__xludf.DUMMYFUNCTION("IFERROR(GOOGLEFINANCE(B691,""eps""),0)"),1.55)</f>
        <v>1.55</v>
      </c>
      <c r="AJ691" s="1"/>
      <c r="AK691" s="1" t="s">
        <v>2149</v>
      </c>
      <c r="AL691" s="9">
        <f t="shared" si="134"/>
        <v>1</v>
      </c>
    </row>
    <row r="692" spans="1:38" ht="15" x14ac:dyDescent="0.25">
      <c r="A692" s="1" t="s">
        <v>2150</v>
      </c>
      <c r="B692" s="1" t="s">
        <v>2151</v>
      </c>
      <c r="C692" s="1" t="s">
        <v>2152</v>
      </c>
      <c r="D692" s="1" t="s">
        <v>2152</v>
      </c>
      <c r="E692" s="6">
        <v>41948.23</v>
      </c>
      <c r="F692" s="1" t="s">
        <v>40</v>
      </c>
      <c r="G692" s="6">
        <f ca="1">IFERROR(__xludf.DUMMYFUNCTION("iferror(GOOGLEFINANCE(TRIM(F692)&amp;"":"" &amp; TRIM(B692), ""price""),0
)"),1519.6)</f>
        <v>1519.6</v>
      </c>
      <c r="H692" s="6">
        <v>1603.15</v>
      </c>
      <c r="I692" s="6">
        <f t="shared" ca="1" si="0"/>
        <v>1519.6</v>
      </c>
      <c r="J692" s="6">
        <f ca="1">IFERROR(__xludf.DUMMYFUNCTION("IFERROR(GOOGLEFINANCE(B692, ""volume""), 0)"),1535114)</f>
        <v>1535114</v>
      </c>
      <c r="K692" s="6">
        <v>0.52</v>
      </c>
      <c r="L692" s="6">
        <f ca="1">IFERROR(__xludf.DUMMYFUNCTION("IFERROR(GOOGLEFINANCE(B692,""changepct""),K692)"),-2.25)</f>
        <v>-2.25</v>
      </c>
      <c r="M692" s="6">
        <f ca="1">IFERROR(__xludf.DUMMYFUNCTION("IFERROR(GOOGLEFINANCE(B692,""change""),0)"),-35)</f>
        <v>-35</v>
      </c>
      <c r="N692" s="6">
        <v>2</v>
      </c>
      <c r="O692" s="7">
        <v>45536</v>
      </c>
      <c r="P692" s="6">
        <v>24.03</v>
      </c>
      <c r="Q692" s="6">
        <v>38863.21</v>
      </c>
      <c r="R692" s="7">
        <v>45536</v>
      </c>
      <c r="S692" s="6">
        <v>4257.12</v>
      </c>
      <c r="T692" s="6">
        <v>866.42</v>
      </c>
      <c r="U692" s="7">
        <v>45536</v>
      </c>
      <c r="V692" s="6">
        <v>48.42</v>
      </c>
      <c r="W692" s="6">
        <f ca="1">IFERROR(__xludf.DUMMYFUNCTION("IFERROR(GOOGLEFINANCE(B692,""pe""),V692)"),54.95)</f>
        <v>54.95</v>
      </c>
      <c r="X692" s="6">
        <v>4.66</v>
      </c>
      <c r="Y692" s="6">
        <v>7.95</v>
      </c>
      <c r="Z692" s="6">
        <v>2</v>
      </c>
      <c r="AA692" s="8">
        <v>45352</v>
      </c>
      <c r="AB692" s="4">
        <v>0</v>
      </c>
      <c r="AC692" s="6">
        <v>16.61</v>
      </c>
      <c r="AD692" s="6">
        <v>23.31</v>
      </c>
      <c r="AE692" s="1">
        <v>0</v>
      </c>
      <c r="AF692" s="1">
        <f ca="1">IFERROR(__xludf.DUMMYFUNCTION("IFERROR(GOOGLEFINANCE(TRIM(F692)&amp;"":"" &amp; TRIM(B692),""high52""),AE692)"),2545)</f>
        <v>2545</v>
      </c>
      <c r="AG692" s="1">
        <v>0</v>
      </c>
      <c r="AH692" s="1">
        <f ca="1">IFERROR(__xludf.DUMMYFUNCTION("IFERROR(GOOGLEFINANCE(TRIM(F692)&amp;"":"" &amp; TRIM(B692),""low52""),AE692)"),1180.2)</f>
        <v>1180.2</v>
      </c>
      <c r="AI692" s="1">
        <f ca="1">IFERROR(__xludf.DUMMYFUNCTION("IFERROR(GOOGLEFINANCE(B692,""eps""),0)"),27.65)</f>
        <v>27.65</v>
      </c>
      <c r="AJ692" s="1"/>
      <c r="AK692" s="1" t="s">
        <v>2153</v>
      </c>
      <c r="AL692" s="9">
        <f t="shared" si="134"/>
        <v>1</v>
      </c>
    </row>
    <row r="693" spans="1:38" ht="15" x14ac:dyDescent="0.25">
      <c r="A693" s="1" t="s">
        <v>2154</v>
      </c>
      <c r="B693" s="1" t="s">
        <v>2155</v>
      </c>
      <c r="C693" s="1" t="s">
        <v>1410</v>
      </c>
      <c r="D693" s="1" t="s">
        <v>1410</v>
      </c>
      <c r="E693" s="6">
        <v>528.76</v>
      </c>
      <c r="F693" s="1" t="s">
        <v>40</v>
      </c>
      <c r="G693" s="6">
        <f ca="1">IFERROR(__xludf.DUMMYFUNCTION("iferror(GOOGLEFINANCE(TRIM(F693)&amp;"":"" &amp; TRIM(B693), ""price""),0
)"),30.01)</f>
        <v>30.01</v>
      </c>
      <c r="H693" s="6">
        <v>26.17</v>
      </c>
      <c r="I693" s="6">
        <f t="shared" ca="1" si="0"/>
        <v>30.01</v>
      </c>
      <c r="J693" s="6">
        <f ca="1">IFERROR(__xludf.DUMMYFUNCTION("IFERROR(GOOGLEFINANCE(B693, ""volume""), 0)"),541317)</f>
        <v>541317</v>
      </c>
      <c r="K693" s="6">
        <v>4.97</v>
      </c>
      <c r="L693" s="6">
        <f ca="1">IFERROR(__xludf.DUMMYFUNCTION("IFERROR(GOOGLEFINANCE(B693,""changepct""),K693)"),-2.75)</f>
        <v>-2.75</v>
      </c>
      <c r="M693" s="6">
        <f ca="1">IFERROR(__xludf.DUMMYFUNCTION("IFERROR(GOOGLEFINANCE(B693,""change""),0)"),-0.85)</f>
        <v>-0.85</v>
      </c>
      <c r="N693" s="6">
        <v>2</v>
      </c>
      <c r="O693" s="7">
        <v>45536</v>
      </c>
      <c r="P693" s="6">
        <v>1154.0899999999999</v>
      </c>
      <c r="Q693" s="6">
        <v>1421.92</v>
      </c>
      <c r="R693" s="7">
        <v>45536</v>
      </c>
      <c r="S693" s="6">
        <v>1036.97</v>
      </c>
      <c r="T693" s="6">
        <v>-236.6</v>
      </c>
      <c r="U693" s="7">
        <v>45536</v>
      </c>
      <c r="V693" s="6">
        <v>0</v>
      </c>
      <c r="W693" s="6">
        <f ca="1">IFERROR(__xludf.DUMMYFUNCTION("IFERROR(GOOGLEFINANCE(B693,""pe""),V693)"),0)</f>
        <v>0</v>
      </c>
      <c r="X693" s="6">
        <v>0</v>
      </c>
      <c r="Y693" s="6">
        <v>0.19</v>
      </c>
      <c r="Z693" s="6">
        <v>2</v>
      </c>
      <c r="AA693" s="8">
        <v>45352</v>
      </c>
      <c r="AB693" s="4">
        <v>0.41</v>
      </c>
      <c r="AC693" s="6">
        <v>-10.119999999999999</v>
      </c>
      <c r="AD693" s="6">
        <v>-7.68</v>
      </c>
      <c r="AE693" s="1">
        <v>0</v>
      </c>
      <c r="AF693" s="1">
        <f ca="1">IFERROR(__xludf.DUMMYFUNCTION("IFERROR(GOOGLEFINANCE(TRIM(F693)&amp;"":"" &amp; TRIM(B693),""high52""),AE693)"),51.46)</f>
        <v>51.46</v>
      </c>
      <c r="AG693" s="1">
        <v>0</v>
      </c>
      <c r="AH693" s="1">
        <f ca="1">IFERROR(__xludf.DUMMYFUNCTION("IFERROR(GOOGLEFINANCE(TRIM(F693)&amp;"":"" &amp; TRIM(B693),""low52""),AE693)"),21.28)</f>
        <v>21.28</v>
      </c>
      <c r="AI693" s="1">
        <f ca="1">IFERROR(__xludf.DUMMYFUNCTION("IFERROR(GOOGLEFINANCE(B693,""eps""),0)"),-1.33)</f>
        <v>-1.33</v>
      </c>
      <c r="AJ693" s="1"/>
      <c r="AK693" s="1" t="s">
        <v>2156</v>
      </c>
      <c r="AL693" s="9">
        <f t="shared" si="134"/>
        <v>1</v>
      </c>
    </row>
    <row r="694" spans="1:38" ht="15" x14ac:dyDescent="0.25">
      <c r="A694" s="1" t="s">
        <v>2157</v>
      </c>
      <c r="B694" s="1" t="s">
        <v>2158</v>
      </c>
      <c r="C694" s="1" t="s">
        <v>1751</v>
      </c>
      <c r="D694" s="1" t="s">
        <v>1751</v>
      </c>
      <c r="E694" s="6">
        <v>576.07000000000005</v>
      </c>
      <c r="F694" s="1" t="s">
        <v>53</v>
      </c>
      <c r="G694" s="6">
        <f ca="1">IFERROR(__xludf.DUMMYFUNCTION("iferror(GOOGLEFINANCE(TRIM(F694)&amp;"":"" &amp; TRIM(B694), ""price""),0
)"),0)</f>
        <v>0</v>
      </c>
      <c r="H694" s="6">
        <v>1278</v>
      </c>
      <c r="I694" s="6">
        <f t="shared" ca="1" si="0"/>
        <v>1278</v>
      </c>
      <c r="J694" s="6">
        <f ca="1">IFERROR(__xludf.DUMMYFUNCTION("IFERROR(GOOGLEFINANCE(B694, ""volume""), 0)"),0)</f>
        <v>0</v>
      </c>
      <c r="K694" s="6">
        <v>-0.17</v>
      </c>
      <c r="L694" s="6">
        <f ca="1">IFERROR(__xludf.DUMMYFUNCTION("IFERROR(GOOGLEFINANCE(B694,""changepct""),K694)"),-0.17)</f>
        <v>-0.17</v>
      </c>
      <c r="M694" s="6">
        <f ca="1">IFERROR(__xludf.DUMMYFUNCTION("IFERROR(GOOGLEFINANCE(B694,""change""),0)"),0)</f>
        <v>0</v>
      </c>
      <c r="N694" s="6">
        <v>2</v>
      </c>
      <c r="O694" s="7">
        <v>45352</v>
      </c>
      <c r="P694" s="6">
        <v>6.94</v>
      </c>
      <c r="Q694" s="6">
        <v>543.21</v>
      </c>
      <c r="R694" s="7">
        <v>45536</v>
      </c>
      <c r="S694" s="6">
        <v>146</v>
      </c>
      <c r="T694" s="6">
        <v>22.47</v>
      </c>
      <c r="U694" s="7">
        <v>45536</v>
      </c>
      <c r="V694" s="6">
        <v>25.65</v>
      </c>
      <c r="W694" s="6">
        <f ca="1">IFERROR(__xludf.DUMMYFUNCTION("IFERROR(GOOGLEFINANCE(B694,""pe""),V694)"),25.65)</f>
        <v>25.65</v>
      </c>
      <c r="X694" s="9"/>
      <c r="Y694" s="6">
        <v>2.64</v>
      </c>
      <c r="Z694" s="6">
        <v>2</v>
      </c>
      <c r="AA694" s="8">
        <v>45352</v>
      </c>
      <c r="AB694" s="4">
        <v>0.03</v>
      </c>
      <c r="AC694" s="6">
        <v>11.32</v>
      </c>
      <c r="AD694" s="6">
        <v>15.06</v>
      </c>
      <c r="AE694" s="1">
        <v>0</v>
      </c>
      <c r="AF694" s="1">
        <f ca="1">IFERROR(__xludf.DUMMYFUNCTION("IFERROR(GOOGLEFINANCE(TRIM(F694)&amp;"":"" &amp; TRIM(B694),""high52""),AE694)"),0)</f>
        <v>0</v>
      </c>
      <c r="AG694" s="1">
        <v>0</v>
      </c>
      <c r="AH694" s="1">
        <f ca="1">IFERROR(__xludf.DUMMYFUNCTION("IFERROR(GOOGLEFINANCE(TRIM(F694)&amp;"":"" &amp; TRIM(B694),""low52""),AE694)"),0)</f>
        <v>0</v>
      </c>
      <c r="AI694" s="1">
        <f ca="1">IFERROR(__xludf.DUMMYFUNCTION("IFERROR(GOOGLEFINANCE(B694,""eps""),0)"),0)</f>
        <v>0</v>
      </c>
      <c r="AJ694" s="1"/>
      <c r="AK694" s="1" t="s">
        <v>2159</v>
      </c>
      <c r="AL694" s="9">
        <f t="shared" si="134"/>
        <v>1</v>
      </c>
    </row>
    <row r="695" spans="1:38" ht="15" x14ac:dyDescent="0.25">
      <c r="A695" s="1" t="s">
        <v>2160</v>
      </c>
      <c r="B695" s="1" t="s">
        <v>2161</v>
      </c>
      <c r="C695" s="1" t="s">
        <v>1751</v>
      </c>
      <c r="D695" s="1" t="s">
        <v>1751</v>
      </c>
      <c r="E695" s="6">
        <v>7107.02</v>
      </c>
      <c r="F695" s="1" t="s">
        <v>53</v>
      </c>
      <c r="G695" s="6">
        <f ca="1">IFERROR(__xludf.DUMMYFUNCTION("iferror(GOOGLEFINANCE(TRIM(F695)&amp;"":"" &amp; TRIM(B695), ""price""),0
)"),0)</f>
        <v>0</v>
      </c>
      <c r="H695" s="6">
        <v>724.75</v>
      </c>
      <c r="I695" s="6">
        <f t="shared" ca="1" si="0"/>
        <v>724.75</v>
      </c>
      <c r="J695" s="6">
        <f ca="1">IFERROR(__xludf.DUMMYFUNCTION("IFERROR(GOOGLEFINANCE(B695, ""volume""), 0)"),0)</f>
        <v>0</v>
      </c>
      <c r="K695" s="6">
        <v>-0.4</v>
      </c>
      <c r="L695" s="6">
        <f ca="1">IFERROR(__xludf.DUMMYFUNCTION("IFERROR(GOOGLEFINANCE(B695,""changepct""),K695)"),-0.4)</f>
        <v>-0.4</v>
      </c>
      <c r="M695" s="6">
        <f ca="1">IFERROR(__xludf.DUMMYFUNCTION("IFERROR(GOOGLEFINANCE(B695,""change""),0)"),0)</f>
        <v>0</v>
      </c>
      <c r="N695" s="6">
        <v>2</v>
      </c>
      <c r="O695" s="7">
        <v>45536</v>
      </c>
      <c r="P695" s="6">
        <v>375.71</v>
      </c>
      <c r="Q695" s="6">
        <v>6908.41</v>
      </c>
      <c r="R695" s="7">
        <v>45536</v>
      </c>
      <c r="S695" s="6">
        <v>1875.5</v>
      </c>
      <c r="T695" s="6">
        <v>221.48</v>
      </c>
      <c r="U695" s="7">
        <v>45536</v>
      </c>
      <c r="V695" s="6">
        <v>14</v>
      </c>
      <c r="W695" s="6">
        <f ca="1">IFERROR(__xludf.DUMMYFUNCTION("IFERROR(GOOGLEFINANCE(B695,""pe""),V695)"),14)</f>
        <v>14</v>
      </c>
      <c r="X695" s="6">
        <v>0.46</v>
      </c>
      <c r="Y695" s="6">
        <v>5.26</v>
      </c>
      <c r="Z695" s="6">
        <v>2</v>
      </c>
      <c r="AA695" s="8">
        <v>45352</v>
      </c>
      <c r="AB695" s="4">
        <v>0.17</v>
      </c>
      <c r="AC695" s="6">
        <v>18.78</v>
      </c>
      <c r="AD695" s="6">
        <v>24.25</v>
      </c>
      <c r="AE695" s="1">
        <v>0</v>
      </c>
      <c r="AF695" s="1">
        <f ca="1">IFERROR(__xludf.DUMMYFUNCTION("IFERROR(GOOGLEFINANCE(TRIM(F695)&amp;"":"" &amp; TRIM(B695),""high52""),AE695)"),0)</f>
        <v>0</v>
      </c>
      <c r="AG695" s="1">
        <v>0</v>
      </c>
      <c r="AH695" s="1">
        <f ca="1">IFERROR(__xludf.DUMMYFUNCTION("IFERROR(GOOGLEFINANCE(TRIM(F695)&amp;"":"" &amp; TRIM(B695),""low52""),AE695)"),0)</f>
        <v>0</v>
      </c>
      <c r="AI695" s="1">
        <f ca="1">IFERROR(__xludf.DUMMYFUNCTION("IFERROR(GOOGLEFINANCE(B695,""eps""),0)"),0)</f>
        <v>0</v>
      </c>
      <c r="AJ695" s="1"/>
      <c r="AK695" s="1" t="s">
        <v>2162</v>
      </c>
      <c r="AL695" s="9">
        <f t="shared" si="134"/>
        <v>1</v>
      </c>
    </row>
    <row r="696" spans="1:38" ht="15" x14ac:dyDescent="0.25">
      <c r="A696" s="1" t="s">
        <v>2163</v>
      </c>
      <c r="B696" s="1" t="s">
        <v>2164</v>
      </c>
      <c r="C696" s="1" t="s">
        <v>487</v>
      </c>
      <c r="D696" s="1" t="s">
        <v>487</v>
      </c>
      <c r="E696" s="6">
        <v>2492.7199999999998</v>
      </c>
      <c r="F696" s="1" t="s">
        <v>53</v>
      </c>
      <c r="G696" s="6">
        <f ca="1">IFERROR(__xludf.DUMMYFUNCTION("iferror(GOOGLEFINANCE(TRIM(F696)&amp;"":"" &amp; TRIM(B696), ""price""),0
)"),0)</f>
        <v>0</v>
      </c>
      <c r="H696" s="6">
        <v>50.44</v>
      </c>
      <c r="I696" s="6">
        <f t="shared" ca="1" si="0"/>
        <v>50.44</v>
      </c>
      <c r="J696" s="6">
        <f ca="1">IFERROR(__xludf.DUMMYFUNCTION("IFERROR(GOOGLEFINANCE(B696, ""volume""), 0)"),0)</f>
        <v>0</v>
      </c>
      <c r="K696" s="6">
        <v>5</v>
      </c>
      <c r="L696" s="6">
        <f ca="1">IFERROR(__xludf.DUMMYFUNCTION("IFERROR(GOOGLEFINANCE(B696,""changepct""),K696)"),5)</f>
        <v>5</v>
      </c>
      <c r="M696" s="6">
        <f ca="1">IFERROR(__xludf.DUMMYFUNCTION("IFERROR(GOOGLEFINANCE(B696,""change""),0)"),0)</f>
        <v>0</v>
      </c>
      <c r="N696" s="6">
        <v>2</v>
      </c>
      <c r="O696" s="7">
        <v>45536</v>
      </c>
      <c r="P696" s="6">
        <v>1000</v>
      </c>
      <c r="Q696" s="6">
        <v>3492.69</v>
      </c>
      <c r="R696" s="7">
        <v>43800</v>
      </c>
      <c r="S696" s="6">
        <v>5.82</v>
      </c>
      <c r="T696" s="6">
        <v>0.13</v>
      </c>
      <c r="U696" s="7">
        <v>43800</v>
      </c>
      <c r="V696" s="6">
        <v>0</v>
      </c>
      <c r="W696" s="6">
        <f ca="1">IFERROR(__xludf.DUMMYFUNCTION("IFERROR(GOOGLEFINANCE(B696,""pe""),V696)"),0)</f>
        <v>0</v>
      </c>
      <c r="X696" s="6">
        <v>0</v>
      </c>
      <c r="Y696" s="9"/>
      <c r="Z696" s="6">
        <v>1</v>
      </c>
      <c r="AA696" s="8">
        <v>45352</v>
      </c>
      <c r="AB696" s="4">
        <v>220.63</v>
      </c>
      <c r="AC696" s="6">
        <v>0.11</v>
      </c>
      <c r="AD696" s="6">
        <v>0.09</v>
      </c>
      <c r="AE696" s="1">
        <v>0</v>
      </c>
      <c r="AF696" s="1">
        <f ca="1">IFERROR(__xludf.DUMMYFUNCTION("IFERROR(GOOGLEFINANCE(TRIM(F696)&amp;"":"" &amp; TRIM(B696),""high52""),AE696)"),0)</f>
        <v>0</v>
      </c>
      <c r="AG696" s="1">
        <v>0</v>
      </c>
      <c r="AH696" s="1">
        <f ca="1">IFERROR(__xludf.DUMMYFUNCTION("IFERROR(GOOGLEFINANCE(TRIM(F696)&amp;"":"" &amp; TRIM(B696),""low52""),AE696)"),0)</f>
        <v>0</v>
      </c>
      <c r="AI696" s="1">
        <f ca="1">IFERROR(__xludf.DUMMYFUNCTION("IFERROR(GOOGLEFINANCE(B696,""eps""),0)"),0)</f>
        <v>0</v>
      </c>
      <c r="AJ696" s="1"/>
      <c r="AK696" s="1" t="s">
        <v>2165</v>
      </c>
      <c r="AL696" s="9">
        <f t="shared" si="134"/>
        <v>1</v>
      </c>
    </row>
    <row r="697" spans="1:38" ht="15" x14ac:dyDescent="0.25">
      <c r="A697" s="1" t="s">
        <v>2166</v>
      </c>
      <c r="B697" s="1" t="s">
        <v>2167</v>
      </c>
      <c r="C697" s="1" t="s">
        <v>57</v>
      </c>
      <c r="D697" s="1" t="s">
        <v>57</v>
      </c>
      <c r="E697" s="6">
        <v>64853.599999999999</v>
      </c>
      <c r="F697" s="1" t="s">
        <v>40</v>
      </c>
      <c r="G697" s="6">
        <f ca="1">IFERROR(__xludf.DUMMYFUNCTION("iferror(GOOGLEFINANCE(TRIM(F697)&amp;"":"" &amp; TRIM(B697), ""price""),0
)"),1668)</f>
        <v>1668</v>
      </c>
      <c r="H697" s="6">
        <v>9652</v>
      </c>
      <c r="I697" s="6">
        <f t="shared" ca="1" si="0"/>
        <v>1668</v>
      </c>
      <c r="J697" s="6">
        <f ca="1">IFERROR(__xludf.DUMMYFUNCTION("IFERROR(GOOGLEFINANCE(B697, ""volume""), 0)"),790021)</f>
        <v>790021</v>
      </c>
      <c r="K697" s="6">
        <v>-0.46</v>
      </c>
      <c r="L697" s="6">
        <f ca="1">IFERROR(__xludf.DUMMYFUNCTION("IFERROR(GOOGLEFINANCE(B697,""changepct""),K697)"),0.76)</f>
        <v>0.76</v>
      </c>
      <c r="M697" s="6">
        <f ca="1">IFERROR(__xludf.DUMMYFUNCTION("IFERROR(GOOGLEFINANCE(B697,""change""),0)"),12.6)</f>
        <v>12.6</v>
      </c>
      <c r="N697" s="6">
        <v>2</v>
      </c>
      <c r="O697" s="7">
        <v>45536</v>
      </c>
      <c r="P697" s="6">
        <v>718.4</v>
      </c>
      <c r="Q697" s="6">
        <v>64031.4</v>
      </c>
      <c r="R697" s="7">
        <v>45536</v>
      </c>
      <c r="S697" s="6">
        <v>10144.9</v>
      </c>
      <c r="T697" s="6">
        <v>844.9</v>
      </c>
      <c r="U697" s="7">
        <v>45536</v>
      </c>
      <c r="V697" s="6">
        <v>81.36</v>
      </c>
      <c r="W697" s="6">
        <f ca="1">IFERROR(__xludf.DUMMYFUNCTION("IFERROR(GOOGLEFINANCE(B697,""pe""),V697)"),46.91)</f>
        <v>46.91</v>
      </c>
      <c r="X697" s="6">
        <v>5.65</v>
      </c>
      <c r="Y697" s="6">
        <v>10.85</v>
      </c>
      <c r="Z697" s="6">
        <v>2</v>
      </c>
      <c r="AA697" s="8">
        <v>45352</v>
      </c>
      <c r="AB697" s="4">
        <v>0.12</v>
      </c>
      <c r="AC697" s="6">
        <v>25.4</v>
      </c>
      <c r="AD697" s="6">
        <v>31.28</v>
      </c>
      <c r="AE697" s="1">
        <v>0</v>
      </c>
      <c r="AF697" s="1">
        <f ca="1">IFERROR(__xludf.DUMMYFUNCTION("IFERROR(GOOGLEFINANCE(TRIM(F697)&amp;"":"" &amp; TRIM(B697),""high52""),AE697)"),1994)</f>
        <v>1994</v>
      </c>
      <c r="AG697" s="1">
        <v>0</v>
      </c>
      <c r="AH697" s="1">
        <f ca="1">IFERROR(__xludf.DUMMYFUNCTION("IFERROR(GOOGLEFINANCE(TRIM(F697)&amp;"":"" &amp; TRIM(B697),""low52""),AE697)"),1194.01)</f>
        <v>1194.01</v>
      </c>
      <c r="AI697" s="1">
        <f ca="1">IFERROR(__xludf.DUMMYFUNCTION("IFERROR(GOOGLEFINANCE(B697,""eps""),0)"),35.56)</f>
        <v>35.56</v>
      </c>
      <c r="AJ697" s="1"/>
      <c r="AK697" s="1" t="s">
        <v>2168</v>
      </c>
      <c r="AL697" s="9">
        <f t="shared" si="134"/>
        <v>1</v>
      </c>
    </row>
    <row r="698" spans="1:38" ht="15" x14ac:dyDescent="0.25">
      <c r="A698" s="1" t="s">
        <v>2169</v>
      </c>
      <c r="B698" s="1" t="s">
        <v>2170</v>
      </c>
      <c r="C698" s="1" t="s">
        <v>151</v>
      </c>
      <c r="D698" s="1" t="s">
        <v>151</v>
      </c>
      <c r="E698" s="6">
        <v>75598.41</v>
      </c>
      <c r="F698" s="1" t="s">
        <v>40</v>
      </c>
      <c r="G698" s="6">
        <f ca="1">IFERROR(__xludf.DUMMYFUNCTION("iferror(GOOGLEFINANCE(TRIM(F698)&amp;"":"" &amp; TRIM(B698), ""price""),0
)"),2132)</f>
        <v>2132</v>
      </c>
      <c r="H698" s="6">
        <v>2803.05</v>
      </c>
      <c r="I698" s="6">
        <f t="shared" ca="1" si="0"/>
        <v>2132</v>
      </c>
      <c r="J698" s="6">
        <f ca="1">IFERROR(__xludf.DUMMYFUNCTION("IFERROR(GOOGLEFINANCE(B698, ""volume""), 0)"),244044)</f>
        <v>244044</v>
      </c>
      <c r="K698" s="6">
        <v>0.81</v>
      </c>
      <c r="L698" s="6">
        <f ca="1">IFERROR(__xludf.DUMMYFUNCTION("IFERROR(GOOGLEFINANCE(B698,""changepct""),K698)"),1.08)</f>
        <v>1.08</v>
      </c>
      <c r="M698" s="6">
        <f ca="1">IFERROR(__xludf.DUMMYFUNCTION("IFERROR(GOOGLEFINANCE(B698,""change""),0)"),22.8)</f>
        <v>22.8</v>
      </c>
      <c r="N698" s="6">
        <v>1</v>
      </c>
      <c r="O698" s="7">
        <v>45536</v>
      </c>
      <c r="P698" s="9"/>
      <c r="Q698" s="6">
        <v>74260.179999999993</v>
      </c>
      <c r="R698" s="7">
        <v>45536</v>
      </c>
      <c r="S698" s="6">
        <v>6001.48</v>
      </c>
      <c r="T698" s="6">
        <v>1468.96</v>
      </c>
      <c r="U698" s="7">
        <v>45536</v>
      </c>
      <c r="V698" s="6">
        <v>51.46</v>
      </c>
      <c r="W698" s="6">
        <f ca="1">IFERROR(__xludf.DUMMYFUNCTION("IFERROR(GOOGLEFINANCE(B698,""pe""),V698)"),43.69)</f>
        <v>43.69</v>
      </c>
      <c r="X698" s="6">
        <v>4.24</v>
      </c>
      <c r="Y698" s="6">
        <v>45.74</v>
      </c>
      <c r="Z698" s="6">
        <v>1</v>
      </c>
      <c r="AA698" s="8">
        <v>45352</v>
      </c>
      <c r="AB698" s="4">
        <v>0</v>
      </c>
      <c r="AC698" s="6">
        <v>73.59</v>
      </c>
      <c r="AD698" s="6">
        <v>99.5</v>
      </c>
      <c r="AE698" s="1">
        <v>0</v>
      </c>
      <c r="AF698" s="1">
        <f ca="1">IFERROR(__xludf.DUMMYFUNCTION("IFERROR(GOOGLEFINANCE(TRIM(F698)&amp;"":"" &amp; TRIM(B698),""high52""),AE698)"),2899.95)</f>
        <v>2899.95</v>
      </c>
      <c r="AG698" s="1">
        <v>0</v>
      </c>
      <c r="AH698" s="1">
        <f ca="1">IFERROR(__xludf.DUMMYFUNCTION("IFERROR(GOOGLEFINANCE(TRIM(F698)&amp;"":"" &amp; TRIM(B698),""low52""),AE698)"),2029.4)</f>
        <v>2029.4</v>
      </c>
      <c r="AI698" s="1">
        <f ca="1">IFERROR(__xludf.DUMMYFUNCTION("IFERROR(GOOGLEFINANCE(B698,""eps""),0)"),48.8)</f>
        <v>48.8</v>
      </c>
      <c r="AJ698" s="1"/>
      <c r="AK698" s="1" t="s">
        <v>2171</v>
      </c>
      <c r="AL698" s="9">
        <f t="shared" si="134"/>
        <v>1</v>
      </c>
    </row>
    <row r="699" spans="1:38" ht="15" x14ac:dyDescent="0.25">
      <c r="A699" s="1" t="s">
        <v>2172</v>
      </c>
      <c r="B699" s="1" t="s">
        <v>2173</v>
      </c>
      <c r="C699" s="1" t="s">
        <v>487</v>
      </c>
      <c r="D699" s="1" t="s">
        <v>487</v>
      </c>
      <c r="E699" s="6">
        <v>6.26</v>
      </c>
      <c r="F699" s="1" t="s">
        <v>53</v>
      </c>
      <c r="G699" s="6">
        <f ca="1">IFERROR(__xludf.DUMMYFUNCTION("iferror(GOOGLEFINANCE(TRIM(F699)&amp;"":"" &amp; TRIM(B699), ""price""),0
)"),0)</f>
        <v>0</v>
      </c>
      <c r="H699" s="6">
        <v>8.35</v>
      </c>
      <c r="I699" s="6">
        <f t="shared" ca="1" si="0"/>
        <v>8.35</v>
      </c>
      <c r="J699" s="6">
        <f ca="1">IFERROR(__xludf.DUMMYFUNCTION("IFERROR(GOOGLEFINANCE(B699, ""volume""), 0)"),0)</f>
        <v>0</v>
      </c>
      <c r="K699" s="9"/>
      <c r="L699" s="6" t="str">
        <f ca="1">IFERROR(__xludf.DUMMYFUNCTION("IFERROR(GOOGLEFINANCE(B699,""changepct""),K699)"),"")</f>
        <v/>
      </c>
      <c r="M699" s="6">
        <f ca="1">IFERROR(__xludf.DUMMYFUNCTION("IFERROR(GOOGLEFINANCE(B699,""change""),0)"),0)</f>
        <v>0</v>
      </c>
      <c r="N699" s="6">
        <v>1</v>
      </c>
      <c r="O699" s="7">
        <v>45536</v>
      </c>
      <c r="P699" s="6">
        <v>4.8099999999999996</v>
      </c>
      <c r="Q699" s="6">
        <v>11.07</v>
      </c>
      <c r="R699" s="7">
        <v>45352</v>
      </c>
      <c r="S699" s="6">
        <v>0.75</v>
      </c>
      <c r="T699" s="6">
        <v>-0.17</v>
      </c>
      <c r="U699" s="7">
        <v>45352</v>
      </c>
      <c r="V699" s="6">
        <v>0</v>
      </c>
      <c r="W699" s="6">
        <f ca="1">IFERROR(__xludf.DUMMYFUNCTION("IFERROR(GOOGLEFINANCE(B699,""pe""),V699)"),0)</f>
        <v>0</v>
      </c>
      <c r="X699" s="6">
        <v>0</v>
      </c>
      <c r="Y699" s="6">
        <v>0.86</v>
      </c>
      <c r="Z699" s="6">
        <v>1</v>
      </c>
      <c r="AA699" s="8">
        <v>45352</v>
      </c>
      <c r="AB699" s="4">
        <v>0.47</v>
      </c>
      <c r="AC699" s="6">
        <v>-2.0699999999999998</v>
      </c>
      <c r="AD699" s="6">
        <v>2.12</v>
      </c>
      <c r="AE699" s="1">
        <v>0</v>
      </c>
      <c r="AF699" s="1">
        <f ca="1">IFERROR(__xludf.DUMMYFUNCTION("IFERROR(GOOGLEFINANCE(TRIM(F699)&amp;"":"" &amp; TRIM(B699),""high52""),AE699)"),0)</f>
        <v>0</v>
      </c>
      <c r="AG699" s="1">
        <v>0</v>
      </c>
      <c r="AH699" s="1">
        <f ca="1">IFERROR(__xludf.DUMMYFUNCTION("IFERROR(GOOGLEFINANCE(TRIM(F699)&amp;"":"" &amp; TRIM(B699),""low52""),AE699)"),0)</f>
        <v>0</v>
      </c>
      <c r="AI699" s="1">
        <f ca="1">IFERROR(__xludf.DUMMYFUNCTION("IFERROR(GOOGLEFINANCE(B699,""eps""),0)"),0)</f>
        <v>0</v>
      </c>
      <c r="AJ699" s="1"/>
      <c r="AK699" s="9"/>
      <c r="AL699" s="9">
        <f t="shared" si="134"/>
        <v>1</v>
      </c>
    </row>
    <row r="700" spans="1:38" ht="15" x14ac:dyDescent="0.25">
      <c r="A700" s="1" t="s">
        <v>2174</v>
      </c>
      <c r="B700" s="1" t="s">
        <v>2175</v>
      </c>
      <c r="C700" s="1" t="s">
        <v>487</v>
      </c>
      <c r="D700" s="1" t="s">
        <v>487</v>
      </c>
      <c r="E700" s="6">
        <v>448.37</v>
      </c>
      <c r="F700" s="1" t="s">
        <v>53</v>
      </c>
      <c r="G700" s="6">
        <f ca="1">IFERROR(__xludf.DUMMYFUNCTION("iferror(GOOGLEFINANCE(TRIM(F700)&amp;"":"" &amp; TRIM(B700), ""price""),0
)"),0)</f>
        <v>0</v>
      </c>
      <c r="H700" s="6">
        <v>434</v>
      </c>
      <c r="I700" s="6">
        <f t="shared" ca="1" si="0"/>
        <v>434</v>
      </c>
      <c r="J700" s="6">
        <f ca="1">IFERROR(__xludf.DUMMYFUNCTION("IFERROR(GOOGLEFINANCE(B700, ""volume""), 0)"),0)</f>
        <v>0</v>
      </c>
      <c r="K700" s="9"/>
      <c r="L700" s="6" t="str">
        <f ca="1">IFERROR(__xludf.DUMMYFUNCTION("IFERROR(GOOGLEFINANCE(B700,""changepct""),K700)"),"")</f>
        <v/>
      </c>
      <c r="M700" s="6">
        <f ca="1">IFERROR(__xludf.DUMMYFUNCTION("IFERROR(GOOGLEFINANCE(B700,""change""),0)"),0)</f>
        <v>0</v>
      </c>
      <c r="N700" s="6">
        <v>1</v>
      </c>
      <c r="O700" s="7">
        <v>45536</v>
      </c>
      <c r="P700" s="6">
        <v>12.77</v>
      </c>
      <c r="Q700" s="6">
        <v>461.15</v>
      </c>
      <c r="R700" s="7">
        <v>45352</v>
      </c>
      <c r="S700" s="6">
        <v>5.26</v>
      </c>
      <c r="T700" s="6">
        <v>2.41</v>
      </c>
      <c r="U700" s="7">
        <v>45352</v>
      </c>
      <c r="V700" s="6">
        <v>186.16</v>
      </c>
      <c r="W700" s="6">
        <f ca="1">IFERROR(__xludf.DUMMYFUNCTION("IFERROR(GOOGLEFINANCE(B700,""pe""),V700)"),186.16)</f>
        <v>186.16</v>
      </c>
      <c r="X700" s="9"/>
      <c r="Y700" s="6">
        <v>3.21</v>
      </c>
      <c r="Z700" s="6">
        <v>2</v>
      </c>
      <c r="AA700" s="8">
        <v>45352</v>
      </c>
      <c r="AB700" s="4">
        <v>1.1000000000000001</v>
      </c>
      <c r="AC700" s="6">
        <v>3.85</v>
      </c>
      <c r="AD700" s="6">
        <v>4.22</v>
      </c>
      <c r="AE700" s="1">
        <v>0</v>
      </c>
      <c r="AF700" s="1">
        <f ca="1">IFERROR(__xludf.DUMMYFUNCTION("IFERROR(GOOGLEFINANCE(TRIM(F700)&amp;"":"" &amp; TRIM(B700),""high52""),AE700)"),0)</f>
        <v>0</v>
      </c>
      <c r="AG700" s="1">
        <v>0</v>
      </c>
      <c r="AH700" s="1">
        <f ca="1">IFERROR(__xludf.DUMMYFUNCTION("IFERROR(GOOGLEFINANCE(TRIM(F700)&amp;"":"" &amp; TRIM(B700),""low52""),AE700)"),0)</f>
        <v>0</v>
      </c>
      <c r="AI700" s="1">
        <f ca="1">IFERROR(__xludf.DUMMYFUNCTION("IFERROR(GOOGLEFINANCE(B700,""eps""),0)"),0)</f>
        <v>0</v>
      </c>
      <c r="AJ700" s="1"/>
      <c r="AK700" s="1" t="s">
        <v>2176</v>
      </c>
      <c r="AL700" s="9">
        <f t="shared" si="134"/>
        <v>1</v>
      </c>
    </row>
    <row r="701" spans="1:38" ht="15" x14ac:dyDescent="0.25">
      <c r="A701" s="1" t="s">
        <v>2177</v>
      </c>
      <c r="B701" s="1" t="s">
        <v>2178</v>
      </c>
      <c r="C701" s="1" t="s">
        <v>82</v>
      </c>
      <c r="D701" s="1" t="s">
        <v>82</v>
      </c>
      <c r="E701" s="6">
        <v>313.62</v>
      </c>
      <c r="F701" s="1" t="s">
        <v>40</v>
      </c>
      <c r="G701" s="6">
        <f ca="1">IFERROR(__xludf.DUMMYFUNCTION("iferror(GOOGLEFINANCE(TRIM(F701)&amp;"":"" &amp; TRIM(B701), ""price""),0
)"),165.5)</f>
        <v>165.5</v>
      </c>
      <c r="H701" s="6">
        <v>80.989999999999995</v>
      </c>
      <c r="I701" s="6">
        <f t="shared" ca="1" si="0"/>
        <v>165.5</v>
      </c>
      <c r="J701" s="6">
        <f ca="1">IFERROR(__xludf.DUMMYFUNCTION("IFERROR(GOOGLEFINANCE(B701, ""volume""), 0)"),22668)</f>
        <v>22668</v>
      </c>
      <c r="K701" s="6">
        <v>2.09</v>
      </c>
      <c r="L701" s="6">
        <f ca="1">IFERROR(__xludf.DUMMYFUNCTION("IFERROR(GOOGLEFINANCE(B701,""changepct""),K701)"),0.28)</f>
        <v>0.28000000000000003</v>
      </c>
      <c r="M701" s="6">
        <f ca="1">IFERROR(__xludf.DUMMYFUNCTION("IFERROR(GOOGLEFINANCE(B701,""change""),0)"),0.47)</f>
        <v>0.47</v>
      </c>
      <c r="N701" s="6">
        <v>2</v>
      </c>
      <c r="O701" s="7">
        <v>45536</v>
      </c>
      <c r="P701" s="6">
        <v>116.4</v>
      </c>
      <c r="Q701" s="6">
        <v>425.11</v>
      </c>
      <c r="R701" s="7">
        <v>45536</v>
      </c>
      <c r="S701" s="6">
        <v>304.24</v>
      </c>
      <c r="T701" s="6">
        <v>8.5</v>
      </c>
      <c r="U701" s="7">
        <v>45536</v>
      </c>
      <c r="V701" s="6">
        <v>36.909999999999997</v>
      </c>
      <c r="W701" s="6">
        <f ca="1">IFERROR(__xludf.DUMMYFUNCTION("IFERROR(GOOGLEFINANCE(B701,""pe""),V701)"),26.62)</f>
        <v>26.62</v>
      </c>
      <c r="X701" s="12"/>
      <c r="Y701" s="6">
        <v>2.34</v>
      </c>
      <c r="Z701" s="6">
        <v>2</v>
      </c>
      <c r="AA701" s="8">
        <v>45352</v>
      </c>
      <c r="AB701" s="4">
        <v>0.78</v>
      </c>
      <c r="AC701" s="6">
        <v>6.3</v>
      </c>
      <c r="AD701" s="6">
        <v>9.16</v>
      </c>
      <c r="AE701" s="1">
        <v>0</v>
      </c>
      <c r="AF701" s="1">
        <f ca="1">IFERROR(__xludf.DUMMYFUNCTION("IFERROR(GOOGLEFINANCE(TRIM(F701)&amp;"":"" &amp; TRIM(B701),""high52""),AE701)"),167)</f>
        <v>167</v>
      </c>
      <c r="AG701" s="1">
        <v>0</v>
      </c>
      <c r="AH701" s="1">
        <f ca="1">IFERROR(__xludf.DUMMYFUNCTION("IFERROR(GOOGLEFINANCE(TRIM(F701)&amp;"":"" &amp; TRIM(B701),""low52""),AE701)"),65)</f>
        <v>65</v>
      </c>
      <c r="AI701" s="1">
        <f ca="1">IFERROR(__xludf.DUMMYFUNCTION("IFERROR(GOOGLEFINANCE(B701,""eps""),0)"),6.22)</f>
        <v>6.22</v>
      </c>
      <c r="AJ701" s="1"/>
      <c r="AK701" s="1" t="s">
        <v>2179</v>
      </c>
      <c r="AL701" s="9">
        <f t="shared" si="134"/>
        <v>1</v>
      </c>
    </row>
    <row r="702" spans="1:38" ht="15" x14ac:dyDescent="0.25">
      <c r="A702" s="1" t="s">
        <v>2180</v>
      </c>
      <c r="B702" s="1" t="s">
        <v>2181</v>
      </c>
      <c r="C702" s="1" t="s">
        <v>259</v>
      </c>
      <c r="D702" s="1" t="s">
        <v>259</v>
      </c>
      <c r="E702" s="6">
        <v>152.69</v>
      </c>
      <c r="F702" s="1" t="s">
        <v>40</v>
      </c>
      <c r="G702" s="6">
        <f ca="1">IFERROR(__xludf.DUMMYFUNCTION("iferror(GOOGLEFINANCE(TRIM(F702)&amp;"":"" &amp; TRIM(B702), ""price""),0
)"),0)</f>
        <v>0</v>
      </c>
      <c r="H702" s="6">
        <v>144.05000000000001</v>
      </c>
      <c r="I702" s="6">
        <f t="shared" ca="1" si="0"/>
        <v>144.05000000000001</v>
      </c>
      <c r="J702" s="6">
        <f ca="1">IFERROR(__xludf.DUMMYFUNCTION("IFERROR(GOOGLEFINANCE(B702, ""volume""), 0)"),0)</f>
        <v>0</v>
      </c>
      <c r="K702" s="6">
        <v>1.98</v>
      </c>
      <c r="L702" s="6">
        <f ca="1">IFERROR(__xludf.DUMMYFUNCTION("IFERROR(GOOGLEFINANCE(B702,""changepct""),K702)"),1.98)</f>
        <v>1.98</v>
      </c>
      <c r="M702" s="6">
        <f ca="1">IFERROR(__xludf.DUMMYFUNCTION("IFERROR(GOOGLEFINANCE(B702,""change""),0)"),0)</f>
        <v>0</v>
      </c>
      <c r="N702" s="6">
        <v>1</v>
      </c>
      <c r="O702" s="7">
        <v>45536</v>
      </c>
      <c r="P702" s="6">
        <v>0.08</v>
      </c>
      <c r="Q702" s="6">
        <v>152.77000000000001</v>
      </c>
      <c r="R702" s="7">
        <v>45352</v>
      </c>
      <c r="S702" s="6">
        <v>142.6</v>
      </c>
      <c r="T702" s="6">
        <v>4.12</v>
      </c>
      <c r="U702" s="7">
        <v>45352</v>
      </c>
      <c r="V702" s="6">
        <v>37.08</v>
      </c>
      <c r="W702" s="6">
        <f ca="1">IFERROR(__xludf.DUMMYFUNCTION("IFERROR(GOOGLEFINANCE(B702,""pe""),V702)"),37.08)</f>
        <v>37.08</v>
      </c>
      <c r="X702" s="9"/>
      <c r="Y702" s="6">
        <v>2.64</v>
      </c>
      <c r="Z702" s="6">
        <v>1</v>
      </c>
      <c r="AA702" s="8">
        <v>45352</v>
      </c>
      <c r="AB702" s="4">
        <v>0</v>
      </c>
      <c r="AC702" s="6">
        <v>9.49</v>
      </c>
      <c r="AD702" s="6">
        <v>13.17</v>
      </c>
      <c r="AE702" s="1">
        <v>0</v>
      </c>
      <c r="AF702" s="1">
        <f ca="1">IFERROR(__xludf.DUMMYFUNCTION("IFERROR(GOOGLEFINANCE(TRIM(F702)&amp;"":"" &amp; TRIM(B702),""high52""),AE702)"),0)</f>
        <v>0</v>
      </c>
      <c r="AG702" s="1">
        <v>0</v>
      </c>
      <c r="AH702" s="1">
        <f ca="1">IFERROR(__xludf.DUMMYFUNCTION("IFERROR(GOOGLEFINANCE(TRIM(F702)&amp;"":"" &amp; TRIM(B702),""low52""),AE702)"),0)</f>
        <v>0</v>
      </c>
      <c r="AI702" s="1">
        <f ca="1">IFERROR(__xludf.DUMMYFUNCTION("IFERROR(GOOGLEFINANCE(B702,""eps""),0)"),0)</f>
        <v>0</v>
      </c>
      <c r="AJ702" s="1"/>
      <c r="AK702" s="1" t="s">
        <v>2182</v>
      </c>
      <c r="AL702" s="9">
        <f t="shared" si="134"/>
        <v>1</v>
      </c>
    </row>
    <row r="703" spans="1:38" ht="15" x14ac:dyDescent="0.25">
      <c r="A703" s="1" t="s">
        <v>2183</v>
      </c>
      <c r="B703" s="1" t="s">
        <v>2184</v>
      </c>
      <c r="C703" s="1" t="s">
        <v>2185</v>
      </c>
      <c r="D703" s="1" t="s">
        <v>2185</v>
      </c>
      <c r="E703" s="6">
        <v>24.87</v>
      </c>
      <c r="F703" s="1" t="s">
        <v>40</v>
      </c>
      <c r="G703" s="6">
        <f ca="1">IFERROR(__xludf.DUMMYFUNCTION("iferror(GOOGLEFINANCE(TRIM(F703)&amp;"":"" &amp; TRIM(B703), ""price""),0
)"),1.34)</f>
        <v>1.34</v>
      </c>
      <c r="H703" s="6">
        <v>3.02</v>
      </c>
      <c r="I703" s="6">
        <f t="shared" ca="1" si="0"/>
        <v>1.34</v>
      </c>
      <c r="J703" s="6">
        <f ca="1">IFERROR(__xludf.DUMMYFUNCTION("IFERROR(GOOGLEFINANCE(B703, ""volume""), 0)"),53576)</f>
        <v>53576</v>
      </c>
      <c r="K703" s="9"/>
      <c r="L703" s="6">
        <f ca="1">IFERROR(__xludf.DUMMYFUNCTION("IFERROR(GOOGLEFINANCE(B703,""changepct""),K703)"),-4.96)</f>
        <v>-4.96</v>
      </c>
      <c r="M703" s="6">
        <f ca="1">IFERROR(__xludf.DUMMYFUNCTION("IFERROR(GOOGLEFINANCE(B703,""change""),0)"),-0.07)</f>
        <v>-7.0000000000000007E-2</v>
      </c>
      <c r="N703" s="6">
        <v>1</v>
      </c>
      <c r="O703" s="7">
        <v>44986</v>
      </c>
      <c r="P703" s="6">
        <v>470.37</v>
      </c>
      <c r="Q703" s="6">
        <v>410.7</v>
      </c>
      <c r="R703" s="7">
        <v>44986</v>
      </c>
      <c r="S703" s="6">
        <v>3739.44</v>
      </c>
      <c r="T703" s="6">
        <v>-114.37</v>
      </c>
      <c r="U703" s="7">
        <v>44986</v>
      </c>
      <c r="V703" s="6">
        <v>0</v>
      </c>
      <c r="W703" s="6">
        <f ca="1">IFERROR(__xludf.DUMMYFUNCTION("IFERROR(GOOGLEFINANCE(B703,""pe""),V703)"),0)</f>
        <v>0</v>
      </c>
      <c r="X703" s="14"/>
      <c r="Y703" s="9"/>
      <c r="Z703" s="6">
        <v>1</v>
      </c>
      <c r="AA703" s="8">
        <v>44621</v>
      </c>
      <c r="AB703" s="4">
        <v>2.2200000000000002</v>
      </c>
      <c r="AC703" s="6">
        <v>11.41</v>
      </c>
      <c r="AD703" s="6">
        <v>13.69</v>
      </c>
      <c r="AE703" s="1">
        <v>0</v>
      </c>
      <c r="AF703" s="1">
        <f ca="1">IFERROR(__xludf.DUMMYFUNCTION("IFERROR(GOOGLEFINANCE(TRIM(F703)&amp;"":"" &amp; TRIM(B703),""high52""),AE703)"),2.96)</f>
        <v>2.96</v>
      </c>
      <c r="AG703" s="1">
        <v>0</v>
      </c>
      <c r="AH703" s="1">
        <f ca="1">IFERROR(__xludf.DUMMYFUNCTION("IFERROR(GOOGLEFINANCE(TRIM(F703)&amp;"":"" &amp; TRIM(B703),""low52""),AE703)"),1.26)</f>
        <v>1.26</v>
      </c>
      <c r="AI703" s="1">
        <f ca="1">IFERROR(__xludf.DUMMYFUNCTION("IFERROR(GOOGLEFINANCE(B703,""eps""),0)"),0)</f>
        <v>0</v>
      </c>
      <c r="AJ703" s="1"/>
      <c r="AK703" s="1" t="s">
        <v>2186</v>
      </c>
      <c r="AL703" s="9">
        <f t="shared" si="134"/>
        <v>1</v>
      </c>
    </row>
    <row r="704" spans="1:38" ht="15" x14ac:dyDescent="0.25">
      <c r="A704" s="1" t="s">
        <v>2187</v>
      </c>
      <c r="B704" s="1" t="s">
        <v>2188</v>
      </c>
      <c r="C704" s="1" t="s">
        <v>835</v>
      </c>
      <c r="D704" s="1" t="s">
        <v>835</v>
      </c>
      <c r="E704" s="6">
        <v>228.75</v>
      </c>
      <c r="F704" s="1" t="s">
        <v>40</v>
      </c>
      <c r="G704" s="6">
        <f ca="1">IFERROR(__xludf.DUMMYFUNCTION("iferror(GOOGLEFINANCE(TRIM(F704)&amp;"":"" &amp; TRIM(B704), ""price""),0
)"),14.1)</f>
        <v>14.1</v>
      </c>
      <c r="H704" s="6">
        <v>28.35</v>
      </c>
      <c r="I704" s="6">
        <f t="shared" ca="1" si="0"/>
        <v>14.1</v>
      </c>
      <c r="J704" s="6">
        <f ca="1">IFERROR(__xludf.DUMMYFUNCTION("IFERROR(GOOGLEFINANCE(B704, ""volume""), 0)"),8704)</f>
        <v>8704</v>
      </c>
      <c r="K704" s="6">
        <v>-1.22</v>
      </c>
      <c r="L704" s="6">
        <f ca="1">IFERROR(__xludf.DUMMYFUNCTION("IFERROR(GOOGLEFINANCE(B704,""changepct""),K704)"),-2.35)</f>
        <v>-2.35</v>
      </c>
      <c r="M704" s="6">
        <f ca="1">IFERROR(__xludf.DUMMYFUNCTION("IFERROR(GOOGLEFINANCE(B704,""change""),0)"),-0.34)</f>
        <v>-0.34</v>
      </c>
      <c r="N704" s="6">
        <v>2</v>
      </c>
      <c r="O704" s="7">
        <v>45536</v>
      </c>
      <c r="P704" s="6">
        <v>59.4</v>
      </c>
      <c r="Q704" s="6">
        <v>233.23</v>
      </c>
      <c r="R704" s="7">
        <v>45536</v>
      </c>
      <c r="S704" s="6">
        <v>47.09</v>
      </c>
      <c r="T704" s="6">
        <v>1.56</v>
      </c>
      <c r="U704" s="7">
        <v>45536</v>
      </c>
      <c r="V704" s="6">
        <v>153.83000000000001</v>
      </c>
      <c r="W704" s="6">
        <f ca="1">IFERROR(__xludf.DUMMYFUNCTION("IFERROR(GOOGLEFINANCE(B704,""pe""),V704)"),34.75)</f>
        <v>34.75</v>
      </c>
      <c r="X704" s="6">
        <v>19.059999999999999</v>
      </c>
      <c r="Y704" s="6">
        <v>1.64</v>
      </c>
      <c r="Z704" s="6">
        <v>2</v>
      </c>
      <c r="AA704" s="8">
        <v>45352</v>
      </c>
      <c r="AB704" s="4">
        <v>0.27</v>
      </c>
      <c r="AC704" s="6">
        <v>3.97</v>
      </c>
      <c r="AD704" s="6">
        <v>6.07</v>
      </c>
      <c r="AE704" s="1">
        <v>0</v>
      </c>
      <c r="AF704" s="1">
        <f ca="1">IFERROR(__xludf.DUMMYFUNCTION("IFERROR(GOOGLEFINANCE(TRIM(F704)&amp;"":"" &amp; TRIM(B704),""high52""),AE704)"),24.88)</f>
        <v>24.88</v>
      </c>
      <c r="AG704" s="1">
        <v>0</v>
      </c>
      <c r="AH704" s="1">
        <f ca="1">IFERROR(__xludf.DUMMYFUNCTION("IFERROR(GOOGLEFINANCE(TRIM(F704)&amp;"":"" &amp; TRIM(B704),""low52""),AE704)"),13.2)</f>
        <v>13.2</v>
      </c>
      <c r="AI704" s="1">
        <f ca="1">IFERROR(__xludf.DUMMYFUNCTION("IFERROR(GOOGLEFINANCE(B704,""eps""),0)"),0.41)</f>
        <v>0.41</v>
      </c>
      <c r="AJ704" s="1"/>
      <c r="AK704" s="1" t="s">
        <v>2189</v>
      </c>
      <c r="AL704" s="9">
        <f t="shared" si="134"/>
        <v>1</v>
      </c>
    </row>
    <row r="705" spans="1:38" ht="15" x14ac:dyDescent="0.25">
      <c r="A705" s="1" t="s">
        <v>2190</v>
      </c>
      <c r="B705" s="1" t="s">
        <v>2191</v>
      </c>
      <c r="C705" s="1" t="s">
        <v>487</v>
      </c>
      <c r="D705" s="1" t="s">
        <v>487</v>
      </c>
      <c r="E705" s="6">
        <v>36</v>
      </c>
      <c r="F705" s="1" t="s">
        <v>53</v>
      </c>
      <c r="G705" s="6">
        <f ca="1">IFERROR(__xludf.DUMMYFUNCTION("iferror(GOOGLEFINANCE(TRIM(F705)&amp;"":"" &amp; TRIM(B705), ""price""),0
)"),0)</f>
        <v>0</v>
      </c>
      <c r="H705" s="6">
        <v>37.6</v>
      </c>
      <c r="I705" s="6">
        <f t="shared" ca="1" si="0"/>
        <v>37.6</v>
      </c>
      <c r="J705" s="6">
        <f ca="1">IFERROR(__xludf.DUMMYFUNCTION("IFERROR(GOOGLEFINANCE(B705, ""volume""), 0)"),0)</f>
        <v>0</v>
      </c>
      <c r="K705" s="6">
        <v>5</v>
      </c>
      <c r="L705" s="6">
        <f ca="1">IFERROR(__xludf.DUMMYFUNCTION("IFERROR(GOOGLEFINANCE(B705,""changepct""),K705)"),5)</f>
        <v>5</v>
      </c>
      <c r="M705" s="6">
        <f ca="1">IFERROR(__xludf.DUMMYFUNCTION("IFERROR(GOOGLEFINANCE(B705,""change""),0)"),0)</f>
        <v>0</v>
      </c>
      <c r="N705" s="6">
        <v>1</v>
      </c>
      <c r="O705" s="7">
        <v>45536</v>
      </c>
      <c r="P705" s="6">
        <v>0.35</v>
      </c>
      <c r="Q705" s="6">
        <v>36.33</v>
      </c>
      <c r="R705" s="7">
        <v>45352</v>
      </c>
      <c r="S705" s="6">
        <v>0.35</v>
      </c>
      <c r="T705" s="6">
        <v>0.06</v>
      </c>
      <c r="U705" s="7">
        <v>45352</v>
      </c>
      <c r="V705" s="6">
        <v>605.28</v>
      </c>
      <c r="W705" s="6">
        <f ca="1">IFERROR(__xludf.DUMMYFUNCTION("IFERROR(GOOGLEFINANCE(B705,""pe""),V705)"),605.28)</f>
        <v>605.28</v>
      </c>
      <c r="X705" s="6">
        <v>-196.52</v>
      </c>
      <c r="Y705" s="6">
        <v>2.13</v>
      </c>
      <c r="Z705" s="6">
        <v>1</v>
      </c>
      <c r="AA705" s="8">
        <v>45352</v>
      </c>
      <c r="AB705" s="4">
        <v>0.08</v>
      </c>
      <c r="AC705" s="6">
        <v>1.06</v>
      </c>
      <c r="AD705" s="6">
        <v>1.42</v>
      </c>
      <c r="AE705" s="1">
        <v>0</v>
      </c>
      <c r="AF705" s="1">
        <f ca="1">IFERROR(__xludf.DUMMYFUNCTION("IFERROR(GOOGLEFINANCE(TRIM(F705)&amp;"":"" &amp; TRIM(B705),""high52""),AE705)"),0)</f>
        <v>0</v>
      </c>
      <c r="AG705" s="1">
        <v>0</v>
      </c>
      <c r="AH705" s="1">
        <f ca="1">IFERROR(__xludf.DUMMYFUNCTION("IFERROR(GOOGLEFINANCE(TRIM(F705)&amp;"":"" &amp; TRIM(B705),""low52""),AE705)"),0)</f>
        <v>0</v>
      </c>
      <c r="AI705" s="1">
        <f ca="1">IFERROR(__xludf.DUMMYFUNCTION("IFERROR(GOOGLEFINANCE(B705,""eps""),0)"),0)</f>
        <v>0</v>
      </c>
      <c r="AJ705" s="1"/>
      <c r="AK705" s="1" t="s">
        <v>2192</v>
      </c>
      <c r="AL705" s="9">
        <f t="shared" si="134"/>
        <v>1</v>
      </c>
    </row>
    <row r="706" spans="1:38" ht="15" x14ac:dyDescent="0.25">
      <c r="A706" s="1" t="s">
        <v>2193</v>
      </c>
      <c r="B706" s="1" t="s">
        <v>2194</v>
      </c>
      <c r="C706" s="1" t="s">
        <v>1954</v>
      </c>
      <c r="D706" s="1" t="s">
        <v>1954</v>
      </c>
      <c r="E706" s="6">
        <v>25670.44</v>
      </c>
      <c r="F706" s="1" t="s">
        <v>40</v>
      </c>
      <c r="G706" s="6">
        <f ca="1">IFERROR(__xludf.DUMMYFUNCTION("iferror(GOOGLEFINANCE(TRIM(F706)&amp;"":"" &amp; TRIM(B706), ""price""),0
)"),693)</f>
        <v>693</v>
      </c>
      <c r="H706" s="6">
        <v>5257.6</v>
      </c>
      <c r="I706" s="6">
        <f t="shared" ca="1" si="0"/>
        <v>693</v>
      </c>
      <c r="J706" s="6">
        <f ca="1">IFERROR(__xludf.DUMMYFUNCTION("IFERROR(GOOGLEFINANCE(B706, ""volume""), 0)"),976799)</f>
        <v>976799</v>
      </c>
      <c r="K706" s="6">
        <v>1.04</v>
      </c>
      <c r="L706" s="6">
        <f ca="1">IFERROR(__xludf.DUMMYFUNCTION("IFERROR(GOOGLEFINANCE(B706,""changepct""),K706)"),2.5)</f>
        <v>2.5</v>
      </c>
      <c r="M706" s="6">
        <f ca="1">IFERROR(__xludf.DUMMYFUNCTION("IFERROR(GOOGLEFINANCE(B706,""change""),0)"),16.9)</f>
        <v>16.899999999999999</v>
      </c>
      <c r="N706" s="6">
        <v>2</v>
      </c>
      <c r="O706" s="7">
        <v>45536</v>
      </c>
      <c r="P706" s="6">
        <v>419.3</v>
      </c>
      <c r="Q706" s="7">
        <v>45536</v>
      </c>
      <c r="R706" s="6">
        <v>60.62</v>
      </c>
      <c r="S706" s="9"/>
      <c r="T706" s="6">
        <v>24.92</v>
      </c>
      <c r="U706" s="6">
        <v>2</v>
      </c>
      <c r="V706" s="7">
        <v>45352</v>
      </c>
      <c r="W706" s="6">
        <f ca="1">IFERROR(__xludf.DUMMYFUNCTION("IFERROR(GOOGLEFINANCE(B706,""pe""),V706)"),37.15)</f>
        <v>37.15</v>
      </c>
      <c r="X706" s="6">
        <v>0</v>
      </c>
      <c r="Y706" s="6">
        <v>44.15</v>
      </c>
      <c r="Z706" s="6">
        <v>56.01</v>
      </c>
      <c r="AA706" s="3" t="s">
        <v>2195</v>
      </c>
      <c r="AB706" s="11"/>
      <c r="AC706" s="9"/>
      <c r="AD706" s="9"/>
      <c r="AE706" s="1">
        <v>0</v>
      </c>
      <c r="AF706" s="1">
        <f ca="1">IFERROR(__xludf.DUMMYFUNCTION("IFERROR(GOOGLEFINANCE(TRIM(F706)&amp;"":"" &amp; TRIM(B706),""high52""),AE706)"),875)</f>
        <v>875</v>
      </c>
      <c r="AG706" s="1">
        <v>0</v>
      </c>
      <c r="AH706" s="1">
        <f ca="1">IFERROR(__xludf.DUMMYFUNCTION("IFERROR(GOOGLEFINANCE(TRIM(F706)&amp;"":"" &amp; TRIM(B706),""low52""),AE706)"),606.21)</f>
        <v>606.21</v>
      </c>
      <c r="AI706" s="1">
        <f ca="1">IFERROR(__xludf.DUMMYFUNCTION("IFERROR(GOOGLEFINANCE(B706,""eps""),0)"),18.65)</f>
        <v>18.649999999999999</v>
      </c>
      <c r="AJ706" s="1"/>
      <c r="AK706" s="1" t="s">
        <v>2196</v>
      </c>
      <c r="AL706" s="9">
        <f t="shared" si="134"/>
        <v>1</v>
      </c>
    </row>
    <row r="707" spans="1:38" ht="15" x14ac:dyDescent="0.25">
      <c r="A707" s="1" t="s">
        <v>2197</v>
      </c>
      <c r="B707" s="1" t="s">
        <v>2198</v>
      </c>
      <c r="C707" s="1" t="s">
        <v>487</v>
      </c>
      <c r="D707" s="1" t="s">
        <v>487</v>
      </c>
      <c r="E707" s="6">
        <v>504.47</v>
      </c>
      <c r="F707" s="1" t="s">
        <v>53</v>
      </c>
      <c r="G707" s="6">
        <f ca="1">IFERROR(__xludf.DUMMYFUNCTION("iferror(GOOGLEFINANCE(TRIM(F707)&amp;"":"" &amp; TRIM(B707), ""price""),0
)"),0)</f>
        <v>0</v>
      </c>
      <c r="H707" s="6">
        <v>259.95</v>
      </c>
      <c r="I707" s="6">
        <f t="shared" ca="1" si="0"/>
        <v>259.95</v>
      </c>
      <c r="J707" s="6">
        <f ca="1">IFERROR(__xludf.DUMMYFUNCTION("IFERROR(GOOGLEFINANCE(B707, ""volume""), 0)"),4273)</f>
        <v>4273</v>
      </c>
      <c r="K707" s="6">
        <v>0.95</v>
      </c>
      <c r="L707" s="6">
        <f ca="1">IFERROR(__xludf.DUMMYFUNCTION("IFERROR(GOOGLEFINANCE(B707,""changepct""),K707)"),-1.46)</f>
        <v>-1.46</v>
      </c>
      <c r="M707" s="6">
        <f ca="1">IFERROR(__xludf.DUMMYFUNCTION("IFERROR(GOOGLEFINANCE(B707,""change""),0)"),-4.7)</f>
        <v>-4.7</v>
      </c>
      <c r="N707" s="6">
        <v>1</v>
      </c>
      <c r="O707" s="7">
        <v>45536</v>
      </c>
      <c r="P707" s="6">
        <v>6.08</v>
      </c>
      <c r="Q707" s="6">
        <v>510.55</v>
      </c>
      <c r="R707" s="7">
        <v>45352</v>
      </c>
      <c r="S707" s="6">
        <v>20.89</v>
      </c>
      <c r="T707" s="6">
        <v>2.57</v>
      </c>
      <c r="U707" s="7">
        <v>45352</v>
      </c>
      <c r="V707" s="6">
        <v>196.06</v>
      </c>
      <c r="W707" s="6">
        <f ca="1">IFERROR(__xludf.DUMMYFUNCTION("IFERROR(GOOGLEFINANCE(B707,""pe""),V707)"),31.91)</f>
        <v>31.91</v>
      </c>
      <c r="X707" s="9"/>
      <c r="Y707" s="6">
        <v>6.09</v>
      </c>
      <c r="Z707" s="6">
        <v>2</v>
      </c>
      <c r="AA707" s="8">
        <v>45352</v>
      </c>
      <c r="AB707" s="4">
        <v>7.0000000000000007E-2</v>
      </c>
      <c r="AC707" s="6">
        <v>11.38</v>
      </c>
      <c r="AD707" s="6">
        <v>13.9</v>
      </c>
      <c r="AE707" s="1">
        <v>0</v>
      </c>
      <c r="AF707" s="1">
        <f ca="1">IFERROR(__xludf.DUMMYFUNCTION("IFERROR(GOOGLEFINANCE(TRIM(F707)&amp;"":"" &amp; TRIM(B707),""high52""),AE707)"),0)</f>
        <v>0</v>
      </c>
      <c r="AG707" s="1">
        <v>0</v>
      </c>
      <c r="AH707" s="1">
        <f ca="1">IFERROR(__xludf.DUMMYFUNCTION("IFERROR(GOOGLEFINANCE(TRIM(F707)&amp;"":"" &amp; TRIM(B707),""low52""),AE707)"),0)</f>
        <v>0</v>
      </c>
      <c r="AI707" s="1">
        <f ca="1">IFERROR(__xludf.DUMMYFUNCTION("IFERROR(GOOGLEFINANCE(B707,""eps""),0)"),9.97)</f>
        <v>9.9700000000000006</v>
      </c>
      <c r="AJ707" s="1"/>
      <c r="AK707" s="9"/>
      <c r="AL707" s="9">
        <f t="shared" si="134"/>
        <v>1</v>
      </c>
    </row>
    <row r="708" spans="1:38" ht="15" x14ac:dyDescent="0.25">
      <c r="A708" s="1" t="s">
        <v>2199</v>
      </c>
      <c r="B708" s="1" t="s">
        <v>2200</v>
      </c>
      <c r="C708" s="1" t="s">
        <v>487</v>
      </c>
      <c r="D708" s="1" t="s">
        <v>487</v>
      </c>
      <c r="E708" s="6">
        <v>3.01</v>
      </c>
      <c r="F708" s="1" t="s">
        <v>53</v>
      </c>
      <c r="G708" s="6">
        <f ca="1">IFERROR(__xludf.DUMMYFUNCTION("iferror(GOOGLEFINANCE(TRIM(F708)&amp;"":"" &amp; TRIM(B708), ""price""),0
)"),0)</f>
        <v>0</v>
      </c>
      <c r="H708" s="6">
        <v>5.5</v>
      </c>
      <c r="I708" s="6">
        <f t="shared" ca="1" si="0"/>
        <v>5.5</v>
      </c>
      <c r="J708" s="6">
        <f ca="1">IFERROR(__xludf.DUMMYFUNCTION("IFERROR(GOOGLEFINANCE(B708, ""volume""), 0)"),0)</f>
        <v>0</v>
      </c>
      <c r="K708" s="6">
        <v>0.92</v>
      </c>
      <c r="L708" s="6">
        <f ca="1">IFERROR(__xludf.DUMMYFUNCTION("IFERROR(GOOGLEFINANCE(B708,""changepct""),K708)"),0.92)</f>
        <v>0.92</v>
      </c>
      <c r="M708" s="6">
        <f ca="1">IFERROR(__xludf.DUMMYFUNCTION("IFERROR(GOOGLEFINANCE(B708,""change""),0)"),0)</f>
        <v>0</v>
      </c>
      <c r="N708" s="6">
        <v>1</v>
      </c>
      <c r="O708" s="7">
        <v>45352</v>
      </c>
      <c r="P708" s="9"/>
      <c r="Q708" s="6">
        <v>3.01</v>
      </c>
      <c r="R708" s="7">
        <v>45352</v>
      </c>
      <c r="S708" s="6">
        <v>0</v>
      </c>
      <c r="T708" s="6">
        <v>-0.22</v>
      </c>
      <c r="U708" s="7">
        <v>45352</v>
      </c>
      <c r="V708" s="6">
        <v>0</v>
      </c>
      <c r="W708" s="6">
        <f ca="1">IFERROR(__xludf.DUMMYFUNCTION("IFERROR(GOOGLEFINANCE(B708,""pe""),V708)"),0)</f>
        <v>0</v>
      </c>
      <c r="X708" s="6">
        <v>0</v>
      </c>
      <c r="Y708" s="6">
        <v>0.53</v>
      </c>
      <c r="Z708" s="6">
        <v>1</v>
      </c>
      <c r="AA708" s="8">
        <v>44621</v>
      </c>
      <c r="AB708" s="4">
        <v>32.6</v>
      </c>
      <c r="AC708" s="6">
        <v>-20.2</v>
      </c>
      <c r="AD708" s="6">
        <v>0.44</v>
      </c>
      <c r="AE708" s="1">
        <v>0</v>
      </c>
      <c r="AF708" s="1">
        <f ca="1">IFERROR(__xludf.DUMMYFUNCTION("IFERROR(GOOGLEFINANCE(TRIM(F708)&amp;"":"" &amp; TRIM(B708),""high52""),AE708)"),0)</f>
        <v>0</v>
      </c>
      <c r="AG708" s="1">
        <v>0</v>
      </c>
      <c r="AH708" s="1">
        <f ca="1">IFERROR(__xludf.DUMMYFUNCTION("IFERROR(GOOGLEFINANCE(TRIM(F708)&amp;"":"" &amp; TRIM(B708),""low52""),AE708)"),0)</f>
        <v>0</v>
      </c>
      <c r="AI708" s="1">
        <f ca="1">IFERROR(__xludf.DUMMYFUNCTION("IFERROR(GOOGLEFINANCE(B708,""eps""),0)"),0)</f>
        <v>0</v>
      </c>
      <c r="AJ708" s="1"/>
      <c r="AK708" s="1" t="s">
        <v>2201</v>
      </c>
      <c r="AL708" s="9">
        <f t="shared" si="134"/>
        <v>1</v>
      </c>
    </row>
    <row r="709" spans="1:38" ht="15" x14ac:dyDescent="0.25">
      <c r="A709" s="1" t="s">
        <v>2202</v>
      </c>
      <c r="B709" s="1" t="s">
        <v>2203</v>
      </c>
      <c r="C709" s="1" t="s">
        <v>487</v>
      </c>
      <c r="D709" s="1" t="s">
        <v>487</v>
      </c>
      <c r="E709" s="6">
        <v>4.09</v>
      </c>
      <c r="F709" s="1" t="s">
        <v>53</v>
      </c>
      <c r="G709" s="6">
        <f ca="1">IFERROR(__xludf.DUMMYFUNCTION("iferror(GOOGLEFINANCE(TRIM(F709)&amp;"":"" &amp; TRIM(B709), ""price""),0
)"),0)</f>
        <v>0</v>
      </c>
      <c r="H709" s="6">
        <v>52</v>
      </c>
      <c r="I709" s="6">
        <f t="shared" ca="1" si="0"/>
        <v>52</v>
      </c>
      <c r="J709" s="6">
        <f ca="1">IFERROR(__xludf.DUMMYFUNCTION("IFERROR(GOOGLEFINANCE(B709, ""volume""), 0)"),0)</f>
        <v>0</v>
      </c>
      <c r="K709" s="6">
        <v>3.2</v>
      </c>
      <c r="L709" s="6">
        <f ca="1">IFERROR(__xludf.DUMMYFUNCTION("IFERROR(GOOGLEFINANCE(B709,""changepct""),K709)"),3.2)</f>
        <v>3.2</v>
      </c>
      <c r="M709" s="6">
        <f ca="1">IFERROR(__xludf.DUMMYFUNCTION("IFERROR(GOOGLEFINANCE(B709,""change""),0)"),0)</f>
        <v>0</v>
      </c>
      <c r="N709" s="6">
        <v>1</v>
      </c>
      <c r="O709" s="7">
        <v>45536</v>
      </c>
      <c r="P709" s="6">
        <v>0.18</v>
      </c>
      <c r="Q709" s="6">
        <v>4.26</v>
      </c>
      <c r="R709" s="7">
        <v>45352</v>
      </c>
      <c r="S709" s="6">
        <v>0.34</v>
      </c>
      <c r="T709" s="6">
        <v>0.11</v>
      </c>
      <c r="U709" s="7">
        <v>45352</v>
      </c>
      <c r="V709" s="6">
        <v>39.11</v>
      </c>
      <c r="W709" s="6">
        <f ca="1">IFERROR(__xludf.DUMMYFUNCTION("IFERROR(GOOGLEFINANCE(B709,""pe""),V709)"),39.11)</f>
        <v>39.11</v>
      </c>
      <c r="X709" s="9"/>
      <c r="Y709" s="6">
        <v>1.21</v>
      </c>
      <c r="Z709" s="6">
        <v>1</v>
      </c>
      <c r="AA709" s="8">
        <v>45352</v>
      </c>
      <c r="AB709" s="4">
        <v>0.05</v>
      </c>
      <c r="AC709" s="6">
        <v>3.2</v>
      </c>
      <c r="AD709" s="6">
        <v>3.18</v>
      </c>
      <c r="AE709" s="1">
        <v>0</v>
      </c>
      <c r="AF709" s="1">
        <f ca="1">IFERROR(__xludf.DUMMYFUNCTION("IFERROR(GOOGLEFINANCE(TRIM(F709)&amp;"":"" &amp; TRIM(B709),""high52""),AE709)"),0)</f>
        <v>0</v>
      </c>
      <c r="AG709" s="1">
        <v>0</v>
      </c>
      <c r="AH709" s="1">
        <f ca="1">IFERROR(__xludf.DUMMYFUNCTION("IFERROR(GOOGLEFINANCE(TRIM(F709)&amp;"":"" &amp; TRIM(B709),""low52""),AE709)"),0)</f>
        <v>0</v>
      </c>
      <c r="AI709" s="1">
        <f ca="1">IFERROR(__xludf.DUMMYFUNCTION("IFERROR(GOOGLEFINANCE(B709,""eps""),0)"),0)</f>
        <v>0</v>
      </c>
      <c r="AJ709" s="1"/>
      <c r="AK709" s="1" t="s">
        <v>2204</v>
      </c>
      <c r="AL709" s="9">
        <f t="shared" si="134"/>
        <v>1</v>
      </c>
    </row>
    <row r="710" spans="1:38" ht="15" x14ac:dyDescent="0.25">
      <c r="A710" s="1" t="s">
        <v>2205</v>
      </c>
      <c r="B710" s="1" t="s">
        <v>2206</v>
      </c>
      <c r="C710" s="1" t="s">
        <v>106</v>
      </c>
      <c r="D710" s="1" t="s">
        <v>106</v>
      </c>
      <c r="E710" s="6">
        <v>22190.67</v>
      </c>
      <c r="F710" s="1" t="s">
        <v>40</v>
      </c>
      <c r="G710" s="6">
        <f ca="1">IFERROR(__xludf.DUMMYFUNCTION("iferror(GOOGLEFINANCE(TRIM(F710)&amp;"":"" &amp; TRIM(B710), ""price""),0
)"),1112.7)</f>
        <v>1112.7</v>
      </c>
      <c r="H710" s="6">
        <v>2121.4</v>
      </c>
      <c r="I710" s="6">
        <f t="shared" ca="1" si="0"/>
        <v>1112.7</v>
      </c>
      <c r="J710" s="6">
        <f ca="1">IFERROR(__xludf.DUMMYFUNCTION("IFERROR(GOOGLEFINANCE(B710, ""volume""), 0)"),64935)</f>
        <v>64935</v>
      </c>
      <c r="K710" s="6">
        <v>-0.02</v>
      </c>
      <c r="L710" s="6">
        <f ca="1">IFERROR(__xludf.DUMMYFUNCTION("IFERROR(GOOGLEFINANCE(B710,""changepct""),K710)"),-2.35)</f>
        <v>-2.35</v>
      </c>
      <c r="M710" s="6">
        <f ca="1">IFERROR(__xludf.DUMMYFUNCTION("IFERROR(GOOGLEFINANCE(B710,""change""),0)"),-26.8)</f>
        <v>-26.8</v>
      </c>
      <c r="N710" s="6">
        <v>2</v>
      </c>
      <c r="O710" s="7">
        <v>45536</v>
      </c>
      <c r="P710" s="9"/>
      <c r="Q710" s="6">
        <v>22182.21</v>
      </c>
      <c r="R710" s="7">
        <v>45536</v>
      </c>
      <c r="S710" s="6">
        <v>1085.75</v>
      </c>
      <c r="T710" s="6">
        <v>328.71</v>
      </c>
      <c r="U710" s="7">
        <v>45536</v>
      </c>
      <c r="V710" s="6">
        <v>67.67</v>
      </c>
      <c r="W710" s="6">
        <f ca="1">IFERROR(__xludf.DUMMYFUNCTION("IFERROR(GOOGLEFINANCE(B710,""pe""),V710)"),36.02)</f>
        <v>36.020000000000003</v>
      </c>
      <c r="X710" s="12"/>
      <c r="Y710" s="6">
        <v>13.95</v>
      </c>
      <c r="Z710" s="6">
        <v>2</v>
      </c>
      <c r="AA710" s="8">
        <v>45352</v>
      </c>
      <c r="AB710" s="4">
        <v>0</v>
      </c>
      <c r="AC710" s="6">
        <v>21.88</v>
      </c>
      <c r="AD710" s="6">
        <v>29.13</v>
      </c>
      <c r="AE710" s="1">
        <v>0</v>
      </c>
      <c r="AF710" s="1">
        <f ca="1">IFERROR(__xludf.DUMMYFUNCTION("IFERROR(GOOGLEFINANCE(TRIM(F710)&amp;"":"" &amp; TRIM(B710),""high52""),AE710)"),2451.7)</f>
        <v>2451.6999999999998</v>
      </c>
      <c r="AG710" s="1">
        <v>0</v>
      </c>
      <c r="AH710" s="1">
        <f ca="1">IFERROR(__xludf.DUMMYFUNCTION("IFERROR(GOOGLEFINANCE(TRIM(F710)&amp;"":"" &amp; TRIM(B710),""low52""),AE710)"),1100)</f>
        <v>1100</v>
      </c>
      <c r="AI710" s="1">
        <f ca="1">IFERROR(__xludf.DUMMYFUNCTION("IFERROR(GOOGLEFINANCE(B710,""eps""),0)"),30.89)</f>
        <v>30.89</v>
      </c>
      <c r="AJ710" s="1"/>
      <c r="AK710" s="1" t="s">
        <v>2207</v>
      </c>
      <c r="AL710" s="9">
        <f t="shared" si="134"/>
        <v>1</v>
      </c>
    </row>
    <row r="711" spans="1:38" ht="15" x14ac:dyDescent="0.25">
      <c r="A711" s="1" t="s">
        <v>2208</v>
      </c>
      <c r="B711" s="1" t="s">
        <v>2209</v>
      </c>
      <c r="C711" s="1" t="s">
        <v>487</v>
      </c>
      <c r="D711" s="1" t="s">
        <v>487</v>
      </c>
      <c r="E711" s="6">
        <v>24.92</v>
      </c>
      <c r="F711" s="1" t="s">
        <v>53</v>
      </c>
      <c r="G711" s="6">
        <f ca="1">IFERROR(__xludf.DUMMYFUNCTION("iferror(GOOGLEFINANCE(TRIM(F711)&amp;"":"" &amp; TRIM(B711), ""price""),0
)"),0)</f>
        <v>0</v>
      </c>
      <c r="H711" s="6">
        <v>11.67</v>
      </c>
      <c r="I711" s="6">
        <f t="shared" ca="1" si="0"/>
        <v>11.67</v>
      </c>
      <c r="J711" s="6">
        <f ca="1">IFERROR(__xludf.DUMMYFUNCTION("IFERROR(GOOGLEFINANCE(B711, ""volume""), 0)"),64657)</f>
        <v>64657</v>
      </c>
      <c r="K711" s="12"/>
      <c r="L711" s="6">
        <f ca="1">IFERROR(__xludf.DUMMYFUNCTION("IFERROR(GOOGLEFINANCE(B711,""changepct""),K711)"),-0.56)</f>
        <v>-0.56000000000000005</v>
      </c>
      <c r="M711" s="6">
        <f ca="1">IFERROR(__xludf.DUMMYFUNCTION("IFERROR(GOOGLEFINANCE(B711,""change""),0)"),-6)</f>
        <v>-6</v>
      </c>
      <c r="N711" s="6">
        <v>1</v>
      </c>
      <c r="O711" s="7">
        <v>45536</v>
      </c>
      <c r="P711" s="6">
        <v>0.01</v>
      </c>
      <c r="Q711" s="6">
        <v>24.92</v>
      </c>
      <c r="R711" s="7">
        <v>45352</v>
      </c>
      <c r="S711" s="6">
        <v>1.43</v>
      </c>
      <c r="T711" s="6">
        <v>0.08</v>
      </c>
      <c r="U711" s="7">
        <v>45352</v>
      </c>
      <c r="V711" s="6">
        <v>299.45999999999998</v>
      </c>
      <c r="W711" s="6">
        <f ca="1">IFERROR(__xludf.DUMMYFUNCTION("IFERROR(GOOGLEFINANCE(B711,""pe""),V711)"),28.46)</f>
        <v>28.46</v>
      </c>
      <c r="X711" s="9"/>
      <c r="Y711" s="6">
        <v>0.75</v>
      </c>
      <c r="Z711" s="6">
        <v>1</v>
      </c>
      <c r="AA711" s="8">
        <v>45352</v>
      </c>
      <c r="AB711" s="4">
        <v>0</v>
      </c>
      <c r="AC711" s="6">
        <v>0.25</v>
      </c>
      <c r="AD711" s="6">
        <v>0.38</v>
      </c>
      <c r="AE711" s="1">
        <v>0</v>
      </c>
      <c r="AF711" s="1">
        <f ca="1">IFERROR(__xludf.DUMMYFUNCTION("IFERROR(GOOGLEFINANCE(TRIM(F711)&amp;"":"" &amp; TRIM(B711),""high52""),AE711)"),0)</f>
        <v>0</v>
      </c>
      <c r="AG711" s="1">
        <v>0</v>
      </c>
      <c r="AH711" s="1">
        <f ca="1">IFERROR(__xludf.DUMMYFUNCTION("IFERROR(GOOGLEFINANCE(TRIM(F711)&amp;"":"" &amp; TRIM(B711),""low52""),AE711)"),0)</f>
        <v>0</v>
      </c>
      <c r="AI711" s="1">
        <f ca="1">IFERROR(__xludf.DUMMYFUNCTION("IFERROR(GOOGLEFINANCE(B711,""eps""),0)"),0.38)</f>
        <v>0.38</v>
      </c>
      <c r="AJ711" s="1"/>
      <c r="AK711" s="1" t="s">
        <v>2210</v>
      </c>
      <c r="AL711" s="9">
        <f t="shared" si="134"/>
        <v>1</v>
      </c>
    </row>
    <row r="712" spans="1:38" ht="15" x14ac:dyDescent="0.25">
      <c r="A712" s="1" t="s">
        <v>2211</v>
      </c>
      <c r="B712" s="1" t="s">
        <v>2212</v>
      </c>
      <c r="C712" s="1" t="s">
        <v>487</v>
      </c>
      <c r="D712" s="1" t="s">
        <v>487</v>
      </c>
      <c r="E712" s="6">
        <v>6.92</v>
      </c>
      <c r="F712" s="1" t="s">
        <v>53</v>
      </c>
      <c r="G712" s="6">
        <f ca="1">IFERROR(__xludf.DUMMYFUNCTION("iferror(GOOGLEFINANCE(TRIM(F712)&amp;"":"" &amp; TRIM(B712), ""price""),0
)"),0)</f>
        <v>0</v>
      </c>
      <c r="H712" s="6">
        <v>2.84</v>
      </c>
      <c r="I712" s="6">
        <f t="shared" ca="1" si="0"/>
        <v>2.84</v>
      </c>
      <c r="J712" s="6">
        <f ca="1">IFERROR(__xludf.DUMMYFUNCTION("IFERROR(GOOGLEFINANCE(B712, ""volume""), 0)"),0)</f>
        <v>0</v>
      </c>
      <c r="K712" s="9"/>
      <c r="L712" s="6" t="str">
        <f ca="1">IFERROR(__xludf.DUMMYFUNCTION("IFERROR(GOOGLEFINANCE(B712,""changepct""),K712)"),"")</f>
        <v/>
      </c>
      <c r="M712" s="6">
        <f ca="1">IFERROR(__xludf.DUMMYFUNCTION("IFERROR(GOOGLEFINANCE(B712,""change""),0)"),0)</f>
        <v>0</v>
      </c>
      <c r="N712" s="6">
        <v>1</v>
      </c>
      <c r="O712" s="7">
        <v>45536</v>
      </c>
      <c r="P712" s="6">
        <v>0.73</v>
      </c>
      <c r="Q712" s="6">
        <v>7.65</v>
      </c>
      <c r="R712" s="7">
        <v>45352</v>
      </c>
      <c r="S712" s="6">
        <v>4.25</v>
      </c>
      <c r="T712" s="6">
        <v>0.48</v>
      </c>
      <c r="U712" s="7">
        <v>45352</v>
      </c>
      <c r="V712" s="6">
        <v>14.29</v>
      </c>
      <c r="W712" s="6">
        <f ca="1">IFERROR(__xludf.DUMMYFUNCTION("IFERROR(GOOGLEFINANCE(B712,""pe""),V712)"),14.29)</f>
        <v>14.29</v>
      </c>
      <c r="X712" s="6">
        <v>0.36</v>
      </c>
      <c r="Y712" s="6">
        <v>0.33</v>
      </c>
      <c r="Z712" s="6">
        <v>1</v>
      </c>
      <c r="AA712" s="8">
        <v>45352</v>
      </c>
      <c r="AB712" s="4">
        <v>0.03</v>
      </c>
      <c r="AC712" s="6">
        <v>2.31</v>
      </c>
      <c r="AD712" s="6">
        <v>3.31</v>
      </c>
      <c r="AE712" s="1">
        <v>0</v>
      </c>
      <c r="AF712" s="1">
        <f ca="1">IFERROR(__xludf.DUMMYFUNCTION("IFERROR(GOOGLEFINANCE(TRIM(F712)&amp;"":"" &amp; TRIM(B712),""high52""),AE712)"),0)</f>
        <v>0</v>
      </c>
      <c r="AG712" s="1">
        <v>0</v>
      </c>
      <c r="AH712" s="1">
        <f ca="1">IFERROR(__xludf.DUMMYFUNCTION("IFERROR(GOOGLEFINANCE(TRIM(F712)&amp;"":"" &amp; TRIM(B712),""low52""),AE712)"),0)</f>
        <v>0</v>
      </c>
      <c r="AI712" s="1">
        <f ca="1">IFERROR(__xludf.DUMMYFUNCTION("IFERROR(GOOGLEFINANCE(B712,""eps""),0)"),0)</f>
        <v>0</v>
      </c>
      <c r="AJ712" s="1"/>
      <c r="AK712" s="1" t="s">
        <v>2213</v>
      </c>
      <c r="AL712" s="9">
        <f t="shared" si="134"/>
        <v>1</v>
      </c>
    </row>
    <row r="713" spans="1:38" ht="15" x14ac:dyDescent="0.25">
      <c r="A713" s="1" t="s">
        <v>2214</v>
      </c>
      <c r="B713" s="1" t="s">
        <v>2215</v>
      </c>
      <c r="C713" s="1" t="s">
        <v>487</v>
      </c>
      <c r="D713" s="1" t="s">
        <v>487</v>
      </c>
      <c r="E713" s="6">
        <v>272.89</v>
      </c>
      <c r="F713" s="1" t="s">
        <v>53</v>
      </c>
      <c r="G713" s="6">
        <f ca="1">IFERROR(__xludf.DUMMYFUNCTION("iferror(GOOGLEFINANCE(TRIM(F713)&amp;"":"" &amp; TRIM(B713), ""price""),0
)"),0)</f>
        <v>0</v>
      </c>
      <c r="H713" s="6">
        <v>168</v>
      </c>
      <c r="I713" s="6">
        <f t="shared" ca="1" si="0"/>
        <v>168</v>
      </c>
      <c r="J713" s="6">
        <f ca="1">IFERROR(__xludf.DUMMYFUNCTION("IFERROR(GOOGLEFINANCE(B713, ""volume""), 0)"),0)</f>
        <v>0</v>
      </c>
      <c r="K713" s="12"/>
      <c r="L713" s="6" t="str">
        <f ca="1">IFERROR(__xludf.DUMMYFUNCTION("IFERROR(GOOGLEFINANCE(B713,""changepct""),K713)"),"")</f>
        <v/>
      </c>
      <c r="M713" s="6">
        <f ca="1">IFERROR(__xludf.DUMMYFUNCTION("IFERROR(GOOGLEFINANCE(B713,""change""),0)"),0)</f>
        <v>0</v>
      </c>
      <c r="N713" s="6">
        <v>1</v>
      </c>
      <c r="O713" s="7">
        <v>45536</v>
      </c>
      <c r="P713" s="6">
        <v>14.02</v>
      </c>
      <c r="Q713" s="6">
        <v>286.91000000000003</v>
      </c>
      <c r="R713" s="7">
        <v>45352</v>
      </c>
      <c r="S713" s="6">
        <v>15.41</v>
      </c>
      <c r="T713" s="6">
        <v>1.46</v>
      </c>
      <c r="U713" s="7">
        <v>45352</v>
      </c>
      <c r="V713" s="6">
        <v>186.4</v>
      </c>
      <c r="W713" s="6">
        <f ca="1">IFERROR(__xludf.DUMMYFUNCTION("IFERROR(GOOGLEFINANCE(B713,""pe""),V713)"),186.4)</f>
        <v>186.4</v>
      </c>
      <c r="X713" s="9"/>
      <c r="Y713" s="6">
        <v>7.88</v>
      </c>
      <c r="Z713" s="6">
        <v>1</v>
      </c>
      <c r="AA713" s="8">
        <v>45352</v>
      </c>
      <c r="AB713" s="4">
        <v>0.28999999999999998</v>
      </c>
      <c r="AC713" s="6">
        <v>4.59</v>
      </c>
      <c r="AD713" s="6">
        <v>5.6</v>
      </c>
      <c r="AE713" s="1">
        <v>0</v>
      </c>
      <c r="AF713" s="1">
        <f ca="1">IFERROR(__xludf.DUMMYFUNCTION("IFERROR(GOOGLEFINANCE(TRIM(F713)&amp;"":"" &amp; TRIM(B713),""high52""),AE713)"),0)</f>
        <v>0</v>
      </c>
      <c r="AG713" s="1">
        <v>0</v>
      </c>
      <c r="AH713" s="1">
        <f ca="1">IFERROR(__xludf.DUMMYFUNCTION("IFERROR(GOOGLEFINANCE(TRIM(F713)&amp;"":"" &amp; TRIM(B713),""low52""),AE713)"),0)</f>
        <v>0</v>
      </c>
      <c r="AI713" s="1">
        <f ca="1">IFERROR(__xludf.DUMMYFUNCTION("IFERROR(GOOGLEFINANCE(B713,""eps""),0)"),0)</f>
        <v>0</v>
      </c>
      <c r="AJ713" s="1"/>
      <c r="AK713" s="1" t="s">
        <v>2216</v>
      </c>
      <c r="AL713" s="9">
        <f t="shared" si="134"/>
        <v>1</v>
      </c>
    </row>
    <row r="714" spans="1:38" ht="15" x14ac:dyDescent="0.25">
      <c r="A714" s="1" t="s">
        <v>2217</v>
      </c>
      <c r="B714" s="1" t="s">
        <v>2218</v>
      </c>
      <c r="C714" s="1" t="s">
        <v>416</v>
      </c>
      <c r="D714" s="1" t="s">
        <v>416</v>
      </c>
      <c r="E714" s="6">
        <v>1681.36</v>
      </c>
      <c r="F714" s="1" t="s">
        <v>40</v>
      </c>
      <c r="G714" s="6">
        <f ca="1">IFERROR(__xludf.DUMMYFUNCTION("iferror(GOOGLEFINANCE(TRIM(F714)&amp;"":"" &amp; TRIM(B714), ""price""),0
)"),400)</f>
        <v>400</v>
      </c>
      <c r="H714" s="6">
        <v>802.8</v>
      </c>
      <c r="I714" s="6">
        <f t="shared" ca="1" si="0"/>
        <v>400</v>
      </c>
      <c r="J714" s="6">
        <f ca="1">IFERROR(__xludf.DUMMYFUNCTION("IFERROR(GOOGLEFINANCE(B714, ""volume""), 0)"),14010)</f>
        <v>14010</v>
      </c>
      <c r="K714" s="6">
        <v>-1.26</v>
      </c>
      <c r="L714" s="6">
        <f ca="1">IFERROR(__xludf.DUMMYFUNCTION("IFERROR(GOOGLEFINANCE(B714,""changepct""),K714)"),-1.76)</f>
        <v>-1.76</v>
      </c>
      <c r="M714" s="6">
        <f ca="1">IFERROR(__xludf.DUMMYFUNCTION("IFERROR(GOOGLEFINANCE(B714,""change""),0)"),-7.15)</f>
        <v>-7.15</v>
      </c>
      <c r="N714" s="6">
        <v>1</v>
      </c>
      <c r="O714" s="7">
        <v>45352</v>
      </c>
      <c r="P714" s="6">
        <v>153.19</v>
      </c>
      <c r="Q714" s="6">
        <v>1802.91</v>
      </c>
      <c r="R714" s="14"/>
      <c r="S714" s="9"/>
      <c r="T714" s="9"/>
      <c r="U714" s="7">
        <v>44256</v>
      </c>
      <c r="V714" s="6">
        <v>0</v>
      </c>
      <c r="W714" s="6">
        <f ca="1">IFERROR(__xludf.DUMMYFUNCTION("IFERROR(GOOGLEFINANCE(B714,""pe""),V714)"),11.41)</f>
        <v>11.41</v>
      </c>
      <c r="X714" s="12"/>
      <c r="Y714" s="9"/>
      <c r="Z714" s="6">
        <v>2</v>
      </c>
      <c r="AA714" s="8">
        <v>45352</v>
      </c>
      <c r="AB714" s="4">
        <v>0.47</v>
      </c>
      <c r="AC714" s="6">
        <v>13.73</v>
      </c>
      <c r="AD714" s="6">
        <v>14.25</v>
      </c>
      <c r="AE714" s="1">
        <v>0</v>
      </c>
      <c r="AF714" s="1">
        <f ca="1">IFERROR(__xludf.DUMMYFUNCTION("IFERROR(GOOGLEFINANCE(TRIM(F714)&amp;"":"" &amp; TRIM(B714),""high52""),AE714)"),703.45)</f>
        <v>703.45</v>
      </c>
      <c r="AG714" s="1">
        <v>0</v>
      </c>
      <c r="AH714" s="1">
        <f ca="1">IFERROR(__xludf.DUMMYFUNCTION("IFERROR(GOOGLEFINANCE(TRIM(F714)&amp;"":"" &amp; TRIM(B714),""low52""),AE714)"),349.65)</f>
        <v>349.65</v>
      </c>
      <c r="AI714" s="1">
        <f ca="1">IFERROR(__xludf.DUMMYFUNCTION("IFERROR(GOOGLEFINANCE(B714,""eps""),0)"),35.05)</f>
        <v>35.049999999999997</v>
      </c>
      <c r="AJ714" s="1"/>
      <c r="AK714" s="1" t="s">
        <v>2219</v>
      </c>
      <c r="AL714" s="9">
        <f t="shared" si="134"/>
        <v>1</v>
      </c>
    </row>
    <row r="715" spans="1:38" ht="15" x14ac:dyDescent="0.25">
      <c r="A715" s="1" t="s">
        <v>2220</v>
      </c>
      <c r="B715" s="1" t="s">
        <v>2221</v>
      </c>
      <c r="C715" s="1" t="s">
        <v>2222</v>
      </c>
      <c r="D715" s="1" t="s">
        <v>2222</v>
      </c>
      <c r="E715" s="6">
        <v>2546.63</v>
      </c>
      <c r="F715" s="1" t="s">
        <v>40</v>
      </c>
      <c r="G715" s="6">
        <f ca="1">IFERROR(__xludf.DUMMYFUNCTION("iferror(GOOGLEFINANCE(TRIM(F715)&amp;"":"" &amp; TRIM(B715), ""price""),0
)"),30.92)</f>
        <v>30.92</v>
      </c>
      <c r="H715" s="6">
        <v>75.75</v>
      </c>
      <c r="I715" s="6">
        <f t="shared" ca="1" si="0"/>
        <v>30.92</v>
      </c>
      <c r="J715" s="6">
        <f ca="1">IFERROR(__xludf.DUMMYFUNCTION("IFERROR(GOOGLEFINANCE(B715, ""volume""), 0)"),858194)</f>
        <v>858194</v>
      </c>
      <c r="K715" s="6">
        <v>-1.1399999999999999</v>
      </c>
      <c r="L715" s="6">
        <f ca="1">IFERROR(__xludf.DUMMYFUNCTION("IFERROR(GOOGLEFINANCE(B715,""changepct""),K715)"),-2.09)</f>
        <v>-2.09</v>
      </c>
      <c r="M715" s="6">
        <f ca="1">IFERROR(__xludf.DUMMYFUNCTION("IFERROR(GOOGLEFINANCE(B715,""change""),0)"),-0.66)</f>
        <v>-0.66</v>
      </c>
      <c r="N715" s="6">
        <v>2</v>
      </c>
      <c r="O715" s="7">
        <v>45536</v>
      </c>
      <c r="P715" s="6">
        <v>528.17999999999995</v>
      </c>
      <c r="Q715" s="6">
        <v>2888.34</v>
      </c>
      <c r="R715" s="7">
        <v>45536</v>
      </c>
      <c r="S715" s="6">
        <v>2708.52</v>
      </c>
      <c r="T715" s="6">
        <v>74.760000000000005</v>
      </c>
      <c r="U715" s="7">
        <v>45536</v>
      </c>
      <c r="V715" s="6">
        <v>36.51</v>
      </c>
      <c r="W715" s="6">
        <f ca="1">IFERROR(__xludf.DUMMYFUNCTION("IFERROR(GOOGLEFINANCE(B715,""pe""),V715)"),10.89)</f>
        <v>10.89</v>
      </c>
      <c r="X715" s="6">
        <v>4.2</v>
      </c>
      <c r="Y715" s="6">
        <v>1.99</v>
      </c>
      <c r="Z715" s="6">
        <v>2</v>
      </c>
      <c r="AA715" s="8">
        <v>45352</v>
      </c>
      <c r="AB715" s="4">
        <v>0.37</v>
      </c>
      <c r="AC715" s="6">
        <v>11.01</v>
      </c>
      <c r="AD715" s="6">
        <v>15.46</v>
      </c>
      <c r="AE715" s="1">
        <v>0</v>
      </c>
      <c r="AF715" s="1">
        <f ca="1">IFERROR(__xludf.DUMMYFUNCTION("IFERROR(GOOGLEFINANCE(TRIM(F715)&amp;"":"" &amp; TRIM(B715),""high52""),AE715)"),68.99)</f>
        <v>68.989999999999995</v>
      </c>
      <c r="AG715" s="1">
        <v>0</v>
      </c>
      <c r="AH715" s="1">
        <f ca="1">IFERROR(__xludf.DUMMYFUNCTION("IFERROR(GOOGLEFINANCE(TRIM(F715)&amp;"":"" &amp; TRIM(B715),""low52""),AE715)"),29.11)</f>
        <v>29.11</v>
      </c>
      <c r="AI715" s="1">
        <f ca="1">IFERROR(__xludf.DUMMYFUNCTION("IFERROR(GOOGLEFINANCE(B715,""eps""),0)"),2.84)</f>
        <v>2.84</v>
      </c>
      <c r="AJ715" s="1"/>
      <c r="AK715" s="1" t="s">
        <v>2223</v>
      </c>
      <c r="AL715" s="9">
        <f t="shared" si="134"/>
        <v>1</v>
      </c>
    </row>
    <row r="716" spans="1:38" ht="15" x14ac:dyDescent="0.25">
      <c r="A716" s="1" t="s">
        <v>2224</v>
      </c>
      <c r="B716" s="1" t="s">
        <v>2225</v>
      </c>
      <c r="C716" s="1" t="s">
        <v>487</v>
      </c>
      <c r="D716" s="1" t="s">
        <v>487</v>
      </c>
      <c r="E716" s="6">
        <v>191.06</v>
      </c>
      <c r="F716" s="1" t="s">
        <v>53</v>
      </c>
      <c r="G716" s="6">
        <f ca="1">IFERROR(__xludf.DUMMYFUNCTION("iferror(GOOGLEFINANCE(TRIM(F716)&amp;"":"" &amp; TRIM(B716), ""price""),0
)"),0)</f>
        <v>0</v>
      </c>
      <c r="H716" s="6">
        <v>114.85</v>
      </c>
      <c r="I716" s="6">
        <f t="shared" ca="1" si="0"/>
        <v>114.85</v>
      </c>
      <c r="J716" s="6">
        <f ca="1">IFERROR(__xludf.DUMMYFUNCTION("IFERROR(GOOGLEFINANCE(B716, ""volume""), 0)"),0)</f>
        <v>0</v>
      </c>
      <c r="K716" s="6">
        <v>4.13</v>
      </c>
      <c r="L716" s="6">
        <f ca="1">IFERROR(__xludf.DUMMYFUNCTION("IFERROR(GOOGLEFINANCE(B716,""changepct""),K716)"),4.13)</f>
        <v>4.13</v>
      </c>
      <c r="M716" s="6">
        <f ca="1">IFERROR(__xludf.DUMMYFUNCTION("IFERROR(GOOGLEFINANCE(B716,""change""),0)"),0)</f>
        <v>0</v>
      </c>
      <c r="N716" s="6">
        <v>1</v>
      </c>
      <c r="O716" s="7">
        <v>45352</v>
      </c>
      <c r="P716" s="6">
        <v>16.920000000000002</v>
      </c>
      <c r="Q716" s="6">
        <v>205.05</v>
      </c>
      <c r="R716" s="7">
        <v>45444</v>
      </c>
      <c r="S716" s="6">
        <v>52.68</v>
      </c>
      <c r="T716" s="6">
        <v>3.3</v>
      </c>
      <c r="U716" s="7">
        <v>45444</v>
      </c>
      <c r="V716" s="6">
        <v>57.93</v>
      </c>
      <c r="W716" s="6">
        <f ca="1">IFERROR(__xludf.DUMMYFUNCTION("IFERROR(GOOGLEFINANCE(B716,""pe""),V716)"),57.93)</f>
        <v>57.93</v>
      </c>
      <c r="X716" s="6">
        <v>18.57</v>
      </c>
      <c r="Y716" s="6">
        <v>2.39</v>
      </c>
      <c r="Z716" s="6">
        <v>1</v>
      </c>
      <c r="AA716" s="8">
        <v>45352</v>
      </c>
      <c r="AB716" s="4">
        <v>0.21</v>
      </c>
      <c r="AC716" s="6">
        <v>4.42</v>
      </c>
      <c r="AD716" s="6">
        <v>6.37</v>
      </c>
      <c r="AE716" s="1">
        <v>0</v>
      </c>
      <c r="AF716" s="1">
        <f ca="1">IFERROR(__xludf.DUMMYFUNCTION("IFERROR(GOOGLEFINANCE(TRIM(F716)&amp;"":"" &amp; TRIM(B716),""high52""),AE716)"),0)</f>
        <v>0</v>
      </c>
      <c r="AG716" s="1">
        <v>0</v>
      </c>
      <c r="AH716" s="1">
        <f ca="1">IFERROR(__xludf.DUMMYFUNCTION("IFERROR(GOOGLEFINANCE(TRIM(F716)&amp;"":"" &amp; TRIM(B716),""low52""),AE716)"),0)</f>
        <v>0</v>
      </c>
      <c r="AI716" s="1">
        <f ca="1">IFERROR(__xludf.DUMMYFUNCTION("IFERROR(GOOGLEFINANCE(B716,""eps""),0)"),0)</f>
        <v>0</v>
      </c>
      <c r="AJ716" s="1"/>
      <c r="AK716" s="1" t="s">
        <v>2226</v>
      </c>
      <c r="AL716" s="9">
        <f t="shared" si="134"/>
        <v>1</v>
      </c>
    </row>
    <row r="717" spans="1:38" ht="15" x14ac:dyDescent="0.25">
      <c r="A717" s="1" t="s">
        <v>2227</v>
      </c>
      <c r="B717" s="1" t="s">
        <v>2228</v>
      </c>
      <c r="C717" s="1" t="s">
        <v>487</v>
      </c>
      <c r="D717" s="1" t="s">
        <v>487</v>
      </c>
      <c r="E717" s="6">
        <v>3.77</v>
      </c>
      <c r="F717" s="1" t="s">
        <v>53</v>
      </c>
      <c r="G717" s="6">
        <f ca="1">IFERROR(__xludf.DUMMYFUNCTION("iferror(GOOGLEFINANCE(TRIM(F717)&amp;"":"" &amp; TRIM(B717), ""price""),0
)"),0)</f>
        <v>0</v>
      </c>
      <c r="H717" s="6">
        <v>7.47</v>
      </c>
      <c r="I717" s="6">
        <f t="shared" ca="1" si="0"/>
        <v>7.47</v>
      </c>
      <c r="J717" s="6">
        <f ca="1">IFERROR(__xludf.DUMMYFUNCTION("IFERROR(GOOGLEFINANCE(B717, ""volume""), 0)"),0)</f>
        <v>0</v>
      </c>
      <c r="K717" s="9"/>
      <c r="L717" s="6" t="str">
        <f ca="1">IFERROR(__xludf.DUMMYFUNCTION("IFERROR(GOOGLEFINANCE(B717,""changepct""),K717)"),"")</f>
        <v/>
      </c>
      <c r="M717" s="6">
        <f ca="1">IFERROR(__xludf.DUMMYFUNCTION("IFERROR(GOOGLEFINANCE(B717,""change""),0)"),0)</f>
        <v>0</v>
      </c>
      <c r="N717" s="6">
        <v>2</v>
      </c>
      <c r="O717" s="7">
        <v>45536</v>
      </c>
      <c r="P717" s="6">
        <v>1.23</v>
      </c>
      <c r="Q717" s="6">
        <v>5</v>
      </c>
      <c r="R717" s="7">
        <v>45536</v>
      </c>
      <c r="S717" s="6">
        <v>0</v>
      </c>
      <c r="T717" s="6">
        <v>-0.24</v>
      </c>
      <c r="U717" s="7">
        <v>45536</v>
      </c>
      <c r="V717" s="6">
        <v>0</v>
      </c>
      <c r="W717" s="6">
        <f ca="1">IFERROR(__xludf.DUMMYFUNCTION("IFERROR(GOOGLEFINANCE(B717,""pe""),V717)"),0)</f>
        <v>0</v>
      </c>
      <c r="X717" s="9"/>
      <c r="Y717" s="6">
        <v>1.04</v>
      </c>
      <c r="Z717" s="6">
        <v>2</v>
      </c>
      <c r="AA717" s="8">
        <v>45352</v>
      </c>
      <c r="AB717" s="4">
        <v>0.32</v>
      </c>
      <c r="AC717" s="6">
        <v>-6.69</v>
      </c>
      <c r="AD717" s="6">
        <v>-5.15</v>
      </c>
      <c r="AE717" s="1">
        <v>0</v>
      </c>
      <c r="AF717" s="1">
        <f ca="1">IFERROR(__xludf.DUMMYFUNCTION("IFERROR(GOOGLEFINANCE(TRIM(F717)&amp;"":"" &amp; TRIM(B717),""high52""),AE717)"),0)</f>
        <v>0</v>
      </c>
      <c r="AG717" s="1">
        <v>0</v>
      </c>
      <c r="AH717" s="1">
        <f ca="1">IFERROR(__xludf.DUMMYFUNCTION("IFERROR(GOOGLEFINANCE(TRIM(F717)&amp;"":"" &amp; TRIM(B717),""low52""),AE717)"),0)</f>
        <v>0</v>
      </c>
      <c r="AI717" s="1">
        <f ca="1">IFERROR(__xludf.DUMMYFUNCTION("IFERROR(GOOGLEFINANCE(B717,""eps""),0)"),0)</f>
        <v>0</v>
      </c>
      <c r="AJ717" s="1"/>
      <c r="AK717" s="1" t="s">
        <v>2229</v>
      </c>
      <c r="AL717" s="9">
        <f t="shared" si="134"/>
        <v>1</v>
      </c>
    </row>
    <row r="718" spans="1:38" ht="15" x14ac:dyDescent="0.25">
      <c r="A718" s="1" t="s">
        <v>2230</v>
      </c>
      <c r="B718" s="1" t="s">
        <v>2231</v>
      </c>
      <c r="C718" s="1" t="s">
        <v>86</v>
      </c>
      <c r="D718" s="1" t="s">
        <v>86</v>
      </c>
      <c r="E718" s="6">
        <v>654.46</v>
      </c>
      <c r="F718" s="1" t="s">
        <v>40</v>
      </c>
      <c r="G718" s="6">
        <f ca="1">IFERROR(__xludf.DUMMYFUNCTION("iferror(GOOGLEFINANCE(TRIM(F718)&amp;"":"" &amp; TRIM(B718), ""price""),0
)"),17.67)</f>
        <v>17.670000000000002</v>
      </c>
      <c r="H718" s="6">
        <v>15.89</v>
      </c>
      <c r="I718" s="6">
        <f t="shared" ca="1" si="0"/>
        <v>17.670000000000002</v>
      </c>
      <c r="J718" s="6">
        <f ca="1">IFERROR(__xludf.DUMMYFUNCTION("IFERROR(GOOGLEFINANCE(B718, ""volume""), 0)"),150797)</f>
        <v>150797</v>
      </c>
      <c r="K718" s="6">
        <v>1.99</v>
      </c>
      <c r="L718" s="6">
        <f ca="1">IFERROR(__xludf.DUMMYFUNCTION("IFERROR(GOOGLEFINANCE(B718,""changepct""),K718)"),4.99)</f>
        <v>4.99</v>
      </c>
      <c r="M718" s="6">
        <f ca="1">IFERROR(__xludf.DUMMYFUNCTION("IFERROR(GOOGLEFINANCE(B718,""change""),0)"),0.84)</f>
        <v>0.84</v>
      </c>
      <c r="N718" s="6">
        <v>2</v>
      </c>
      <c r="O718" s="7">
        <v>45536</v>
      </c>
      <c r="P718" s="6">
        <v>145.97999999999999</v>
      </c>
      <c r="Q718" s="6">
        <v>786.41</v>
      </c>
      <c r="R718" s="7">
        <v>45536</v>
      </c>
      <c r="S718" s="6">
        <v>158.35</v>
      </c>
      <c r="T718" s="6">
        <v>760.12</v>
      </c>
      <c r="U718" s="7">
        <v>45536</v>
      </c>
      <c r="V718" s="6">
        <v>0.86</v>
      </c>
      <c r="W718" s="6">
        <f ca="1">IFERROR(__xludf.DUMMYFUNCTION("IFERROR(GOOGLEFINANCE(B718,""pe""),V718)"),6.37)</f>
        <v>6.37</v>
      </c>
      <c r="X718" s="9"/>
      <c r="Y718" s="6">
        <v>6.06</v>
      </c>
      <c r="Z718" s="6">
        <v>2</v>
      </c>
      <c r="AA718" s="8">
        <v>45352</v>
      </c>
      <c r="AB718" s="4">
        <v>5.0999999999999996</v>
      </c>
      <c r="AC718" s="6">
        <v>0</v>
      </c>
      <c r="AD718" s="6">
        <v>128.30000000000001</v>
      </c>
      <c r="AE718" s="1">
        <v>0</v>
      </c>
      <c r="AF718" s="1">
        <f ca="1">IFERROR(__xludf.DUMMYFUNCTION("IFERROR(GOOGLEFINANCE(TRIM(F718)&amp;"":"" &amp; TRIM(B718),""high52""),AE718)"),28.87)</f>
        <v>28.87</v>
      </c>
      <c r="AG718" s="1">
        <v>0</v>
      </c>
      <c r="AH718" s="1">
        <f ca="1">IFERROR(__xludf.DUMMYFUNCTION("IFERROR(GOOGLEFINANCE(TRIM(F718)&amp;"":"" &amp; TRIM(B718),""low52""),AE718)"),10.84)</f>
        <v>10.84</v>
      </c>
      <c r="AI718" s="1">
        <f ca="1">IFERROR(__xludf.DUMMYFUNCTION("IFERROR(GOOGLEFINANCE(B718,""eps""),0)"),2.77)</f>
        <v>2.77</v>
      </c>
      <c r="AJ718" s="1"/>
      <c r="AK718" s="1" t="s">
        <v>2232</v>
      </c>
      <c r="AL718" s="9">
        <f t="shared" si="134"/>
        <v>1</v>
      </c>
    </row>
    <row r="719" spans="1:38" ht="15" x14ac:dyDescent="0.25">
      <c r="A719" s="1" t="s">
        <v>2233</v>
      </c>
      <c r="B719" s="1" t="s">
        <v>2234</v>
      </c>
      <c r="C719" s="1" t="s">
        <v>208</v>
      </c>
      <c r="D719" s="1" t="s">
        <v>208</v>
      </c>
      <c r="E719" s="6">
        <v>686.06</v>
      </c>
      <c r="F719" s="1" t="s">
        <v>40</v>
      </c>
      <c r="G719" s="6">
        <f ca="1">IFERROR(__xludf.DUMMYFUNCTION("iferror(GOOGLEFINANCE(TRIM(F719)&amp;"":"" &amp; TRIM(B719), ""price""),0
)"),196.12)</f>
        <v>196.12</v>
      </c>
      <c r="H719" s="6">
        <v>212.85</v>
      </c>
      <c r="I719" s="6">
        <f t="shared" ca="1" si="0"/>
        <v>196.12</v>
      </c>
      <c r="J719" s="6">
        <f ca="1">IFERROR(__xludf.DUMMYFUNCTION("IFERROR(GOOGLEFINANCE(B719, ""volume""), 0)"),369111)</f>
        <v>369111</v>
      </c>
      <c r="K719" s="6">
        <v>0.28999999999999998</v>
      </c>
      <c r="L719" s="6">
        <f ca="1">IFERROR(__xludf.DUMMYFUNCTION("IFERROR(GOOGLEFINANCE(B719,""changepct""),K719)"),20)</f>
        <v>20</v>
      </c>
      <c r="M719" s="6">
        <f ca="1">IFERROR(__xludf.DUMMYFUNCTION("IFERROR(GOOGLEFINANCE(B719,""change""),0)"),32.68)</f>
        <v>32.68</v>
      </c>
      <c r="N719" s="6">
        <v>1</v>
      </c>
      <c r="O719" s="7">
        <v>45536</v>
      </c>
      <c r="P719" s="6">
        <v>96.31</v>
      </c>
      <c r="Q719" s="7">
        <v>45536</v>
      </c>
      <c r="R719" s="6">
        <v>7.12</v>
      </c>
      <c r="S719" s="6">
        <v>0.1</v>
      </c>
      <c r="T719" s="6">
        <v>2.0699999999999998</v>
      </c>
      <c r="U719" s="6">
        <v>1</v>
      </c>
      <c r="V719" s="7">
        <v>45352</v>
      </c>
      <c r="W719" s="6">
        <f ca="1">IFERROR(__xludf.DUMMYFUNCTION("IFERROR(GOOGLEFINANCE(B719,""pe""),V719)"),9.53)</f>
        <v>9.5299999999999994</v>
      </c>
      <c r="X719" s="6">
        <v>0</v>
      </c>
      <c r="Y719" s="6">
        <v>5.99</v>
      </c>
      <c r="Z719" s="6">
        <v>6.56</v>
      </c>
      <c r="AA719" s="3" t="s">
        <v>2235</v>
      </c>
      <c r="AB719" s="3"/>
      <c r="AC719" s="9"/>
      <c r="AD719" s="9"/>
      <c r="AE719" s="1">
        <v>0</v>
      </c>
      <c r="AF719" s="1">
        <f ca="1">IFERROR(__xludf.DUMMYFUNCTION("IFERROR(GOOGLEFINANCE(TRIM(F719)&amp;"":"" &amp; TRIM(B719),""high52""),AE719)"),218.2)</f>
        <v>218.2</v>
      </c>
      <c r="AG719" s="1">
        <v>0</v>
      </c>
      <c r="AH719" s="1">
        <f ca="1">IFERROR(__xludf.DUMMYFUNCTION("IFERROR(GOOGLEFINANCE(TRIM(F719)&amp;"":"" &amp; TRIM(B719),""low52""),AE719)"),152)</f>
        <v>152</v>
      </c>
      <c r="AI719" s="1">
        <f ca="1">IFERROR(__xludf.DUMMYFUNCTION("IFERROR(GOOGLEFINANCE(B719,""eps""),0)"),20.58)</f>
        <v>20.58</v>
      </c>
      <c r="AJ719" s="1"/>
      <c r="AK719" s="1" t="s">
        <v>2236</v>
      </c>
      <c r="AL719" s="9">
        <f t="shared" si="134"/>
        <v>1</v>
      </c>
    </row>
    <row r="720" spans="1:38" ht="15" x14ac:dyDescent="0.25">
      <c r="A720" s="1" t="s">
        <v>2237</v>
      </c>
      <c r="B720" s="1" t="s">
        <v>2238</v>
      </c>
      <c r="C720" s="1" t="s">
        <v>259</v>
      </c>
      <c r="D720" s="1" t="s">
        <v>259</v>
      </c>
      <c r="E720" s="6">
        <v>48106.84</v>
      </c>
      <c r="F720" s="1" t="s">
        <v>40</v>
      </c>
      <c r="G720" s="6">
        <f ca="1">IFERROR(__xludf.DUMMYFUNCTION("iferror(GOOGLEFINANCE(TRIM(F720)&amp;"":"" &amp; TRIM(B720), ""price""),0
)"),508)</f>
        <v>508</v>
      </c>
      <c r="H720" s="6">
        <v>787.95</v>
      </c>
      <c r="I720" s="6">
        <f t="shared" ca="1" si="0"/>
        <v>508</v>
      </c>
      <c r="J720" s="6">
        <f ca="1">IFERROR(__xludf.DUMMYFUNCTION("IFERROR(GOOGLEFINANCE(B720, ""volume""), 0)"),1356715)</f>
        <v>1356715</v>
      </c>
      <c r="K720" s="6">
        <v>-0.22</v>
      </c>
      <c r="L720" s="6">
        <f ca="1">IFERROR(__xludf.DUMMYFUNCTION("IFERROR(GOOGLEFINANCE(B720,""changepct""),K720)"),0.52)</f>
        <v>0.52</v>
      </c>
      <c r="M720" s="6">
        <f ca="1">IFERROR(__xludf.DUMMYFUNCTION("IFERROR(GOOGLEFINANCE(B720,""change""),0)"),2.65)</f>
        <v>2.65</v>
      </c>
      <c r="N720" s="6">
        <v>2</v>
      </c>
      <c r="O720" s="7">
        <v>45536</v>
      </c>
      <c r="P720" s="6">
        <v>24.24</v>
      </c>
      <c r="Q720" s="6">
        <v>44353.27</v>
      </c>
      <c r="R720" s="7">
        <v>45536</v>
      </c>
      <c r="S720" s="6">
        <v>8926.58</v>
      </c>
      <c r="T720" s="6">
        <v>1258.55</v>
      </c>
      <c r="U720" s="7">
        <v>45536</v>
      </c>
      <c r="V720" s="6">
        <v>37.840000000000003</v>
      </c>
      <c r="W720" s="6">
        <f ca="1">IFERROR(__xludf.DUMMYFUNCTION("IFERROR(GOOGLEFINANCE(B720,""pe""),V720)"),31.59)</f>
        <v>31.59</v>
      </c>
      <c r="X720" s="6">
        <v>75.680000000000007</v>
      </c>
      <c r="Y720" s="6">
        <v>3.95</v>
      </c>
      <c r="Z720" s="6">
        <v>2</v>
      </c>
      <c r="AA720" s="8">
        <v>45352</v>
      </c>
      <c r="AB720" s="4">
        <v>0</v>
      </c>
      <c r="AC720" s="6">
        <v>10.95</v>
      </c>
      <c r="AD720" s="6">
        <v>15.05</v>
      </c>
      <c r="AE720" s="1">
        <v>0</v>
      </c>
      <c r="AF720" s="1">
        <f ca="1">IFERROR(__xludf.DUMMYFUNCTION("IFERROR(GOOGLEFINANCE(TRIM(F720)&amp;"":"" &amp; TRIM(B720),""high52""),AE720)"),652.04)</f>
        <v>652.04</v>
      </c>
      <c r="AG720" s="1">
        <v>0</v>
      </c>
      <c r="AH720" s="1">
        <f ca="1">IFERROR(__xludf.DUMMYFUNCTION("IFERROR(GOOGLEFINANCE(TRIM(F720)&amp;"":"" &amp; TRIM(B720),""low52""),AE720)"),472.75)</f>
        <v>472.75</v>
      </c>
      <c r="AI720" s="1">
        <f ca="1">IFERROR(__xludf.DUMMYFUNCTION("IFERROR(GOOGLEFINANCE(B720,""eps""),0)"),16.08)</f>
        <v>16.079999999999998</v>
      </c>
      <c r="AJ720" s="1"/>
      <c r="AK720" s="1" t="s">
        <v>2239</v>
      </c>
      <c r="AL720" s="9">
        <f t="shared" si="134"/>
        <v>1</v>
      </c>
    </row>
    <row r="721" spans="1:38" ht="15" x14ac:dyDescent="0.25">
      <c r="A721" s="1" t="s">
        <v>2240</v>
      </c>
      <c r="B721" s="1" t="s">
        <v>2241</v>
      </c>
      <c r="C721" s="1" t="s">
        <v>99</v>
      </c>
      <c r="D721" s="1" t="s">
        <v>99</v>
      </c>
      <c r="E721" s="6">
        <v>42.86</v>
      </c>
      <c r="F721" s="1" t="s">
        <v>40</v>
      </c>
      <c r="G721" s="6">
        <f ca="1">IFERROR(__xludf.DUMMYFUNCTION("iferror(GOOGLEFINANCE(TRIM(F721)&amp;"":"" &amp; TRIM(B721), ""price""),0
)"),0)</f>
        <v>0</v>
      </c>
      <c r="H721" s="6">
        <v>37</v>
      </c>
      <c r="I721" s="6">
        <f t="shared" ca="1" si="0"/>
        <v>37</v>
      </c>
      <c r="J721" s="6">
        <f ca="1">IFERROR(__xludf.DUMMYFUNCTION("IFERROR(GOOGLEFINANCE(B721, ""volume""), 0)"),0)</f>
        <v>0</v>
      </c>
      <c r="K721" s="6">
        <v>-5.01</v>
      </c>
      <c r="L721" s="6">
        <f ca="1">IFERROR(__xludf.DUMMYFUNCTION("IFERROR(GOOGLEFINANCE(B721,""changepct""),K721)"),-5.01)</f>
        <v>-5.01</v>
      </c>
      <c r="M721" s="6">
        <f ca="1">IFERROR(__xludf.DUMMYFUNCTION("IFERROR(GOOGLEFINANCE(B721,""change""),0)"),0)</f>
        <v>0</v>
      </c>
      <c r="N721" s="6">
        <v>1</v>
      </c>
      <c r="O721" s="7">
        <v>45536</v>
      </c>
      <c r="P721" s="6">
        <v>0.08</v>
      </c>
      <c r="Q721" s="6">
        <v>42.94</v>
      </c>
      <c r="R721" s="7">
        <v>45352</v>
      </c>
      <c r="S721" s="6">
        <v>97.68</v>
      </c>
      <c r="T721" s="6">
        <v>0.66</v>
      </c>
      <c r="U721" s="7">
        <v>45352</v>
      </c>
      <c r="V721" s="6">
        <v>64.34</v>
      </c>
      <c r="W721" s="6">
        <f ca="1">IFERROR(__xludf.DUMMYFUNCTION("IFERROR(GOOGLEFINANCE(B721,""pe""),V721)"),64.34)</f>
        <v>64.34</v>
      </c>
      <c r="X721" s="9"/>
      <c r="Y721" s="6">
        <v>2.75</v>
      </c>
      <c r="Z721" s="6">
        <v>1</v>
      </c>
      <c r="AA721" s="17">
        <v>45352</v>
      </c>
      <c r="AB721" s="18">
        <v>0.43</v>
      </c>
      <c r="AC721" s="6">
        <v>5.33</v>
      </c>
      <c r="AD721" s="6">
        <v>7.3</v>
      </c>
      <c r="AE721" s="1">
        <v>0</v>
      </c>
      <c r="AF721" s="1">
        <f ca="1">IFERROR(__xludf.DUMMYFUNCTION("IFERROR(GOOGLEFINANCE(TRIM(F721)&amp;"":"" &amp; TRIM(B721),""high52""),AE721)"),0)</f>
        <v>0</v>
      </c>
      <c r="AG721" s="1">
        <v>0</v>
      </c>
      <c r="AH721" s="1">
        <f ca="1">IFERROR(__xludf.DUMMYFUNCTION("IFERROR(GOOGLEFINANCE(TRIM(F721)&amp;"":"" &amp; TRIM(B721),""low52""),AE721)"),0)</f>
        <v>0</v>
      </c>
      <c r="AI721" s="1">
        <f ca="1">IFERROR(__xludf.DUMMYFUNCTION("IFERROR(GOOGLEFINANCE(B721,""eps""),0)"),0)</f>
        <v>0</v>
      </c>
      <c r="AJ721" s="1"/>
      <c r="AK721" s="9"/>
      <c r="AL721" s="1" t="b">
        <f>ISBLANK(AB721)</f>
        <v>0</v>
      </c>
    </row>
    <row r="722" spans="1:38" ht="15" x14ac:dyDescent="0.25">
      <c r="A722" s="1" t="s">
        <v>2242</v>
      </c>
      <c r="B722" s="1" t="s">
        <v>2243</v>
      </c>
      <c r="C722" s="1" t="s">
        <v>2185</v>
      </c>
      <c r="D722" s="1" t="s">
        <v>2185</v>
      </c>
      <c r="E722" s="6">
        <v>1170.8599999999999</v>
      </c>
      <c r="F722" s="1" t="s">
        <v>40</v>
      </c>
      <c r="G722" s="6">
        <f ca="1">IFERROR(__xludf.DUMMYFUNCTION("iferror(GOOGLEFINANCE(TRIM(F722)&amp;"":"" &amp; TRIM(B722), ""price""),0
)"),637.8)</f>
        <v>637.79999999999995</v>
      </c>
      <c r="H722" s="6">
        <v>740</v>
      </c>
      <c r="I722" s="6">
        <f t="shared" ca="1" si="0"/>
        <v>637.79999999999995</v>
      </c>
      <c r="J722" s="6">
        <f ca="1">IFERROR(__xludf.DUMMYFUNCTION("IFERROR(GOOGLEFINANCE(B722, ""volume""), 0)"),18248)</f>
        <v>18248</v>
      </c>
      <c r="K722" s="6">
        <v>1.21</v>
      </c>
      <c r="L722" s="6">
        <f ca="1">IFERROR(__xludf.DUMMYFUNCTION("IFERROR(GOOGLEFINANCE(B722,""changepct""),K722)"),0.6)</f>
        <v>0.6</v>
      </c>
      <c r="M722" s="6">
        <f ca="1">IFERROR(__xludf.DUMMYFUNCTION("IFERROR(GOOGLEFINANCE(B722,""change""),0)"),3.8)</f>
        <v>3.8</v>
      </c>
      <c r="N722" s="6">
        <v>2</v>
      </c>
      <c r="O722" s="7">
        <v>45536</v>
      </c>
      <c r="P722" s="6">
        <v>1.26</v>
      </c>
      <c r="Q722" s="6">
        <v>1152.25</v>
      </c>
      <c r="R722" s="7">
        <v>45536</v>
      </c>
      <c r="S722" s="6">
        <v>388.86</v>
      </c>
      <c r="T722" s="6">
        <v>51.05</v>
      </c>
      <c r="U722" s="7">
        <v>45536</v>
      </c>
      <c r="V722" s="6">
        <v>22.93</v>
      </c>
      <c r="W722" s="6">
        <f ca="1">IFERROR(__xludf.DUMMYFUNCTION("IFERROR(GOOGLEFINANCE(B722,""pe""),V722)"),10.3)</f>
        <v>10.3</v>
      </c>
      <c r="X722" s="6">
        <v>1.45</v>
      </c>
      <c r="Y722" s="6">
        <v>3.41</v>
      </c>
      <c r="Z722" s="6">
        <v>2</v>
      </c>
      <c r="AA722" s="8">
        <v>45352</v>
      </c>
      <c r="AB722" s="4">
        <v>0</v>
      </c>
      <c r="AC722" s="6">
        <v>18.05</v>
      </c>
      <c r="AD722" s="6">
        <v>25.02</v>
      </c>
      <c r="AE722" s="1">
        <v>0</v>
      </c>
      <c r="AF722" s="1">
        <f ca="1">IFERROR(__xludf.DUMMYFUNCTION("IFERROR(GOOGLEFINANCE(TRIM(F722)&amp;"":"" &amp; TRIM(B722),""high52""),AE722)"),917.5)</f>
        <v>917.5</v>
      </c>
      <c r="AG722" s="1">
        <v>0</v>
      </c>
      <c r="AH722" s="1">
        <f ca="1">IFERROR(__xludf.DUMMYFUNCTION("IFERROR(GOOGLEFINANCE(TRIM(F722)&amp;"":"" &amp; TRIM(B722),""low52""),AE722)"),547)</f>
        <v>547</v>
      </c>
      <c r="AI722" s="1">
        <f ca="1">IFERROR(__xludf.DUMMYFUNCTION("IFERROR(GOOGLEFINANCE(B722,""eps""),0)"),61.94)</f>
        <v>61.94</v>
      </c>
      <c r="AJ722" s="1"/>
      <c r="AK722" s="1" t="s">
        <v>2244</v>
      </c>
      <c r="AL722" s="9">
        <f t="shared" ref="AL722:AL728" si="135">IF(AA722&lt;&gt;AB722,1,0)</f>
        <v>1</v>
      </c>
    </row>
    <row r="723" spans="1:38" ht="15" x14ac:dyDescent="0.25">
      <c r="A723" s="1" t="s">
        <v>2245</v>
      </c>
      <c r="B723" s="1" t="s">
        <v>2246</v>
      </c>
      <c r="C723" s="1" t="s">
        <v>487</v>
      </c>
      <c r="D723" s="1" t="s">
        <v>487</v>
      </c>
      <c r="E723" s="6">
        <v>11.85</v>
      </c>
      <c r="F723" s="1" t="s">
        <v>53</v>
      </c>
      <c r="G723" s="6">
        <f ca="1">IFERROR(__xludf.DUMMYFUNCTION("iferror(GOOGLEFINANCE(TRIM(F723)&amp;"":"" &amp; TRIM(B723), ""price""),0
)"),0)</f>
        <v>0</v>
      </c>
      <c r="H723" s="6">
        <v>31.18</v>
      </c>
      <c r="I723" s="6">
        <f t="shared" ca="1" si="0"/>
        <v>31.18</v>
      </c>
      <c r="J723" s="6">
        <f ca="1">IFERROR(__xludf.DUMMYFUNCTION("IFERROR(GOOGLEFINANCE(B723, ""volume""), 0)"),0)</f>
        <v>0</v>
      </c>
      <c r="K723" s="6">
        <v>0</v>
      </c>
      <c r="L723" s="6">
        <f ca="1">IFERROR(__xludf.DUMMYFUNCTION("IFERROR(GOOGLEFINANCE(B723,""changepct""),K723)"),0)</f>
        <v>0</v>
      </c>
      <c r="M723" s="6">
        <f ca="1">IFERROR(__xludf.DUMMYFUNCTION("IFERROR(GOOGLEFINANCE(B723,""change""),0)"),0)</f>
        <v>0</v>
      </c>
      <c r="N723" s="6">
        <v>1</v>
      </c>
      <c r="O723" s="7">
        <v>45536</v>
      </c>
      <c r="P723" s="9"/>
      <c r="Q723" s="6">
        <v>11.64</v>
      </c>
      <c r="R723" s="7">
        <v>45536</v>
      </c>
      <c r="S723" s="6">
        <v>0.7</v>
      </c>
      <c r="T723" s="6">
        <v>0.1</v>
      </c>
      <c r="U723" s="7">
        <v>45536</v>
      </c>
      <c r="V723" s="6">
        <v>124.72</v>
      </c>
      <c r="W723" s="6">
        <f ca="1">IFERROR(__xludf.DUMMYFUNCTION("IFERROR(GOOGLEFINANCE(B723,""pe""),V723)"),124.72)</f>
        <v>124.72</v>
      </c>
      <c r="X723" s="6">
        <v>6.83</v>
      </c>
      <c r="Y723" s="6">
        <v>1.1599999999999999</v>
      </c>
      <c r="Z723" s="6">
        <v>1</v>
      </c>
      <c r="AA723" s="8">
        <v>45352</v>
      </c>
      <c r="AB723" s="4">
        <v>0</v>
      </c>
      <c r="AC723" s="6">
        <v>6.04</v>
      </c>
      <c r="AD723" s="6">
        <v>8.01</v>
      </c>
      <c r="AE723" s="1">
        <v>0</v>
      </c>
      <c r="AF723" s="1">
        <f ca="1">IFERROR(__xludf.DUMMYFUNCTION("IFERROR(GOOGLEFINANCE(TRIM(F723)&amp;"":"" &amp; TRIM(B723),""high52""),AE723)"),0)</f>
        <v>0</v>
      </c>
      <c r="AG723" s="1">
        <v>0</v>
      </c>
      <c r="AH723" s="1">
        <f ca="1">IFERROR(__xludf.DUMMYFUNCTION("IFERROR(GOOGLEFINANCE(TRIM(F723)&amp;"":"" &amp; TRIM(B723),""low52""),AE723)"),0)</f>
        <v>0</v>
      </c>
      <c r="AI723" s="1">
        <f ca="1">IFERROR(__xludf.DUMMYFUNCTION("IFERROR(GOOGLEFINANCE(B723,""eps""),0)"),0)</f>
        <v>0</v>
      </c>
      <c r="AJ723" s="1"/>
      <c r="AK723" s="1" t="s">
        <v>2247</v>
      </c>
      <c r="AL723" s="9">
        <f t="shared" si="135"/>
        <v>1</v>
      </c>
    </row>
    <row r="724" spans="1:38" ht="15" x14ac:dyDescent="0.25">
      <c r="A724" s="1" t="s">
        <v>2248</v>
      </c>
      <c r="B724" s="1" t="s">
        <v>2249</v>
      </c>
      <c r="C724" s="1" t="s">
        <v>487</v>
      </c>
      <c r="D724" s="1" t="s">
        <v>487</v>
      </c>
      <c r="E724" s="6">
        <v>114.63</v>
      </c>
      <c r="F724" s="1" t="s">
        <v>53</v>
      </c>
      <c r="G724" s="6">
        <f ca="1">IFERROR(__xludf.DUMMYFUNCTION("iferror(GOOGLEFINANCE(TRIM(F724)&amp;"":"" &amp; TRIM(B724), ""price""),0
)"),0)</f>
        <v>0</v>
      </c>
      <c r="H724" s="6">
        <v>159.15</v>
      </c>
      <c r="I724" s="6">
        <f t="shared" ca="1" si="0"/>
        <v>159.15</v>
      </c>
      <c r="J724" s="6">
        <f ca="1">IFERROR(__xludf.DUMMYFUNCTION("IFERROR(GOOGLEFINANCE(B724, ""volume""), 0)"),0)</f>
        <v>0</v>
      </c>
      <c r="K724" s="6">
        <v>2.5099999999999998</v>
      </c>
      <c r="L724" s="6">
        <f ca="1">IFERROR(__xludf.DUMMYFUNCTION("IFERROR(GOOGLEFINANCE(B724,""changepct""),K724)"),2.51)</f>
        <v>2.5099999999999998</v>
      </c>
      <c r="M724" s="6">
        <f ca="1">IFERROR(__xludf.DUMMYFUNCTION("IFERROR(GOOGLEFINANCE(B724,""change""),0)"),0)</f>
        <v>0</v>
      </c>
      <c r="N724" s="6">
        <v>2</v>
      </c>
      <c r="O724" s="7">
        <v>45536</v>
      </c>
      <c r="P724" s="6">
        <v>34.1</v>
      </c>
      <c r="Q724" s="6">
        <v>126.22</v>
      </c>
      <c r="R724" s="7">
        <v>45536</v>
      </c>
      <c r="S724" s="6">
        <v>52.13</v>
      </c>
      <c r="T724" s="6">
        <v>12.2</v>
      </c>
      <c r="U724" s="7">
        <v>45536</v>
      </c>
      <c r="V724" s="6">
        <v>8.08</v>
      </c>
      <c r="W724" s="6">
        <f ca="1">IFERROR(__xludf.DUMMYFUNCTION("IFERROR(GOOGLEFINANCE(B724,""pe""),V724)"),8.08)</f>
        <v>8.08</v>
      </c>
      <c r="X724" s="6">
        <v>0.27</v>
      </c>
      <c r="Y724" s="6">
        <v>0.91</v>
      </c>
      <c r="Z724" s="6">
        <v>2</v>
      </c>
      <c r="AA724" s="8">
        <v>45352</v>
      </c>
      <c r="AB724" s="4">
        <v>0.26</v>
      </c>
      <c r="AC724" s="6">
        <v>8.32</v>
      </c>
      <c r="AD724" s="6">
        <v>14.19</v>
      </c>
      <c r="AE724" s="1">
        <v>0</v>
      </c>
      <c r="AF724" s="1">
        <f ca="1">IFERROR(__xludf.DUMMYFUNCTION("IFERROR(GOOGLEFINANCE(TRIM(F724)&amp;"":"" &amp; TRIM(B724),""high52""),AE724)"),0)</f>
        <v>0</v>
      </c>
      <c r="AG724" s="1">
        <v>0</v>
      </c>
      <c r="AH724" s="1">
        <f ca="1">IFERROR(__xludf.DUMMYFUNCTION("IFERROR(GOOGLEFINANCE(TRIM(F724)&amp;"":"" &amp; TRIM(B724),""low52""),AE724)"),0)</f>
        <v>0</v>
      </c>
      <c r="AI724" s="1">
        <f ca="1">IFERROR(__xludf.DUMMYFUNCTION("IFERROR(GOOGLEFINANCE(B724,""eps""),0)"),0)</f>
        <v>0</v>
      </c>
      <c r="AJ724" s="1"/>
      <c r="AK724" s="1" t="s">
        <v>2250</v>
      </c>
      <c r="AL724" s="9">
        <f t="shared" si="135"/>
        <v>1</v>
      </c>
    </row>
    <row r="725" spans="1:38" ht="15" x14ac:dyDescent="0.25">
      <c r="A725" s="1" t="s">
        <v>2251</v>
      </c>
      <c r="B725" s="1" t="s">
        <v>2252</v>
      </c>
      <c r="C725" s="1" t="s">
        <v>487</v>
      </c>
      <c r="D725" s="1" t="s">
        <v>487</v>
      </c>
      <c r="E725" s="6">
        <v>122.63</v>
      </c>
      <c r="F725" s="1" t="s">
        <v>53</v>
      </c>
      <c r="G725" s="6">
        <f ca="1">IFERROR(__xludf.DUMMYFUNCTION("iferror(GOOGLEFINANCE(TRIM(F725)&amp;"":"" &amp; TRIM(B725), ""price""),0
)"),0)</f>
        <v>0</v>
      </c>
      <c r="H725" s="6">
        <v>17.8</v>
      </c>
      <c r="I725" s="6">
        <f t="shared" ca="1" si="0"/>
        <v>17.8</v>
      </c>
      <c r="J725" s="6">
        <f ca="1">IFERROR(__xludf.DUMMYFUNCTION("IFERROR(GOOGLEFINANCE(B725, ""volume""), 0)"),0)</f>
        <v>0</v>
      </c>
      <c r="K725" s="6">
        <v>1.08</v>
      </c>
      <c r="L725" s="6">
        <f ca="1">IFERROR(__xludf.DUMMYFUNCTION("IFERROR(GOOGLEFINANCE(B725,""changepct""),K725)"),1.08)</f>
        <v>1.08</v>
      </c>
      <c r="M725" s="6">
        <f ca="1">IFERROR(__xludf.DUMMYFUNCTION("IFERROR(GOOGLEFINANCE(B725,""change""),0)"),0)</f>
        <v>0</v>
      </c>
      <c r="N725" s="6">
        <v>2</v>
      </c>
      <c r="O725" s="7">
        <v>45536</v>
      </c>
      <c r="P725" s="6">
        <v>412.55</v>
      </c>
      <c r="Q725" s="6">
        <v>509.77</v>
      </c>
      <c r="R725" s="7">
        <v>45536</v>
      </c>
      <c r="S725" s="6">
        <v>499.59</v>
      </c>
      <c r="T725" s="6">
        <v>47.93</v>
      </c>
      <c r="U725" s="7">
        <v>45536</v>
      </c>
      <c r="V725" s="6">
        <v>2.56</v>
      </c>
      <c r="W725" s="6">
        <f ca="1">IFERROR(__xludf.DUMMYFUNCTION("IFERROR(GOOGLEFINANCE(B725,""pe""),V725)"),2.56)</f>
        <v>2.56</v>
      </c>
      <c r="X725" s="6">
        <v>0.11</v>
      </c>
      <c r="Y725" s="6">
        <v>0.79</v>
      </c>
      <c r="Z725" s="6">
        <v>2</v>
      </c>
      <c r="AA725" s="8">
        <v>45352</v>
      </c>
      <c r="AB725" s="4">
        <v>3.68</v>
      </c>
      <c r="AC725" s="6">
        <v>6.73</v>
      </c>
      <c r="AD725" s="6">
        <v>13.62</v>
      </c>
      <c r="AE725" s="1">
        <v>0</v>
      </c>
      <c r="AF725" s="1">
        <f ca="1">IFERROR(__xludf.DUMMYFUNCTION("IFERROR(GOOGLEFINANCE(TRIM(F725)&amp;"":"" &amp; TRIM(B725),""high52""),AE725)"),0)</f>
        <v>0</v>
      </c>
      <c r="AG725" s="1">
        <v>0</v>
      </c>
      <c r="AH725" s="1">
        <f ca="1">IFERROR(__xludf.DUMMYFUNCTION("IFERROR(GOOGLEFINANCE(TRIM(F725)&amp;"":"" &amp; TRIM(B725),""low52""),AE725)"),0)</f>
        <v>0</v>
      </c>
      <c r="AI725" s="1">
        <f ca="1">IFERROR(__xludf.DUMMYFUNCTION("IFERROR(GOOGLEFINANCE(B725,""eps""),0)"),0)</f>
        <v>0</v>
      </c>
      <c r="AJ725" s="1"/>
      <c r="AK725" s="1" t="s">
        <v>2253</v>
      </c>
      <c r="AL725" s="9">
        <f t="shared" si="135"/>
        <v>1</v>
      </c>
    </row>
    <row r="726" spans="1:38" ht="15" x14ac:dyDescent="0.25">
      <c r="A726" s="1" t="s">
        <v>2254</v>
      </c>
      <c r="B726" s="1" t="s">
        <v>2255</v>
      </c>
      <c r="C726" s="1" t="s">
        <v>82</v>
      </c>
      <c r="D726" s="1" t="s">
        <v>82</v>
      </c>
      <c r="E726" s="6">
        <v>974.28</v>
      </c>
      <c r="F726" s="1" t="s">
        <v>40</v>
      </c>
      <c r="G726" s="6">
        <f ca="1">IFERROR(__xludf.DUMMYFUNCTION("iferror(GOOGLEFINANCE(TRIM(F726)&amp;"":"" &amp; TRIM(B726), ""price""),0
)"),0)</f>
        <v>0</v>
      </c>
      <c r="H726" s="6">
        <v>849</v>
      </c>
      <c r="I726" s="6">
        <f t="shared" ca="1" si="0"/>
        <v>849</v>
      </c>
      <c r="J726" s="6">
        <f ca="1">IFERROR(__xludf.DUMMYFUNCTION("IFERROR(GOOGLEFINANCE(B726, ""volume""), 0)"),0)</f>
        <v>0</v>
      </c>
      <c r="K726" s="6">
        <v>0.74</v>
      </c>
      <c r="L726" s="6">
        <f ca="1">IFERROR(__xludf.DUMMYFUNCTION("IFERROR(GOOGLEFINANCE(B726,""changepct""),K726)"),0.74)</f>
        <v>0.74</v>
      </c>
      <c r="M726" s="6">
        <f ca="1">IFERROR(__xludf.DUMMYFUNCTION("IFERROR(GOOGLEFINANCE(B726,""change""),0)"),0)</f>
        <v>0</v>
      </c>
      <c r="N726" s="6">
        <v>1</v>
      </c>
      <c r="O726" s="7">
        <v>45536</v>
      </c>
      <c r="P726" s="6">
        <v>76.8</v>
      </c>
      <c r="Q726" s="6">
        <v>1051.08</v>
      </c>
      <c r="R726" s="7">
        <v>45352</v>
      </c>
      <c r="S726" s="6">
        <v>99.75</v>
      </c>
      <c r="T726" s="6">
        <v>4.68</v>
      </c>
      <c r="U726" s="7">
        <v>45352</v>
      </c>
      <c r="V726" s="6">
        <v>208.3</v>
      </c>
      <c r="W726" s="6">
        <f ca="1">IFERROR(__xludf.DUMMYFUNCTION("IFERROR(GOOGLEFINANCE(B726,""pe""),V726)"),208.3)</f>
        <v>208.3</v>
      </c>
      <c r="X726" s="9"/>
      <c r="Y726" s="6">
        <v>23.05</v>
      </c>
      <c r="Z726" s="6">
        <v>2</v>
      </c>
      <c r="AA726" s="8">
        <v>45352</v>
      </c>
      <c r="AB726" s="4">
        <v>2.61</v>
      </c>
      <c r="AC726" s="6">
        <v>9.9700000000000006</v>
      </c>
      <c r="AD726" s="6">
        <v>9.07</v>
      </c>
      <c r="AE726" s="1">
        <v>0</v>
      </c>
      <c r="AF726" s="1">
        <f ca="1">IFERROR(__xludf.DUMMYFUNCTION("IFERROR(GOOGLEFINANCE(TRIM(F726)&amp;"":"" &amp; TRIM(B726),""high52""),AE726)"),0)</f>
        <v>0</v>
      </c>
      <c r="AG726" s="1">
        <v>0</v>
      </c>
      <c r="AH726" s="1">
        <f ca="1">IFERROR(__xludf.DUMMYFUNCTION("IFERROR(GOOGLEFINANCE(TRIM(F726)&amp;"":"" &amp; TRIM(B726),""low52""),AE726)"),0)</f>
        <v>0</v>
      </c>
      <c r="AI726" s="1">
        <f ca="1">IFERROR(__xludf.DUMMYFUNCTION("IFERROR(GOOGLEFINANCE(B726,""eps""),0)"),0)</f>
        <v>0</v>
      </c>
      <c r="AJ726" s="1"/>
      <c r="AK726" s="1" t="s">
        <v>2256</v>
      </c>
      <c r="AL726" s="9">
        <f t="shared" si="135"/>
        <v>1</v>
      </c>
    </row>
    <row r="727" spans="1:38" ht="15" x14ac:dyDescent="0.25">
      <c r="A727" s="1" t="s">
        <v>2257</v>
      </c>
      <c r="B727" s="1" t="s">
        <v>2258</v>
      </c>
      <c r="C727" s="1" t="s">
        <v>487</v>
      </c>
      <c r="D727" s="1" t="s">
        <v>487</v>
      </c>
      <c r="E727" s="6">
        <v>876.08</v>
      </c>
      <c r="F727" s="1" t="s">
        <v>53</v>
      </c>
      <c r="G727" s="6">
        <f ca="1">IFERROR(__xludf.DUMMYFUNCTION("iferror(GOOGLEFINANCE(TRIM(F727)&amp;"":"" &amp; TRIM(B727), ""price""),0
)"),0)</f>
        <v>0</v>
      </c>
      <c r="H727" s="6">
        <v>879.1</v>
      </c>
      <c r="I727" s="6">
        <f t="shared" ca="1" si="0"/>
        <v>879.1</v>
      </c>
      <c r="J727" s="6">
        <f ca="1">IFERROR(__xludf.DUMMYFUNCTION("IFERROR(GOOGLEFINANCE(B727, ""volume""), 0)"),0)</f>
        <v>0</v>
      </c>
      <c r="K727" s="6">
        <v>0</v>
      </c>
      <c r="L727" s="6">
        <f ca="1">IFERROR(__xludf.DUMMYFUNCTION("IFERROR(GOOGLEFINANCE(B727,""changepct""),K727)"),0)</f>
        <v>0</v>
      </c>
      <c r="M727" s="6">
        <f ca="1">IFERROR(__xludf.DUMMYFUNCTION("IFERROR(GOOGLEFINANCE(B727,""change""),0)"),0)</f>
        <v>0</v>
      </c>
      <c r="N727" s="6">
        <v>2</v>
      </c>
      <c r="O727" s="7">
        <v>45536</v>
      </c>
      <c r="P727" s="6">
        <v>113.61</v>
      </c>
      <c r="Q727" s="6">
        <v>974.86</v>
      </c>
      <c r="R727" s="7">
        <v>45536</v>
      </c>
      <c r="S727" s="6">
        <v>164.94</v>
      </c>
      <c r="T727" s="6">
        <v>29.24</v>
      </c>
      <c r="U727" s="7">
        <v>45536</v>
      </c>
      <c r="V727" s="6">
        <v>29.16</v>
      </c>
      <c r="W727" s="6">
        <f ca="1">IFERROR(__xludf.DUMMYFUNCTION("IFERROR(GOOGLEFINANCE(B727,""pe""),V727)"),29.16)</f>
        <v>29.16</v>
      </c>
      <c r="X727" s="6">
        <v>0.59</v>
      </c>
      <c r="Y727" s="6">
        <v>3.17</v>
      </c>
      <c r="Z727" s="6">
        <v>2</v>
      </c>
      <c r="AA727" s="8">
        <v>45352</v>
      </c>
      <c r="AB727" s="4">
        <v>0.74</v>
      </c>
      <c r="AC727" s="6">
        <v>7.31</v>
      </c>
      <c r="AD727" s="6">
        <v>14.16</v>
      </c>
      <c r="AE727" s="1">
        <v>0</v>
      </c>
      <c r="AF727" s="1">
        <f ca="1">IFERROR(__xludf.DUMMYFUNCTION("IFERROR(GOOGLEFINANCE(TRIM(F727)&amp;"":"" &amp; TRIM(B727),""high52""),AE727)"),0)</f>
        <v>0</v>
      </c>
      <c r="AG727" s="1">
        <v>0</v>
      </c>
      <c r="AH727" s="1">
        <f ca="1">IFERROR(__xludf.DUMMYFUNCTION("IFERROR(GOOGLEFINANCE(TRIM(F727)&amp;"":"" &amp; TRIM(B727),""low52""),AE727)"),0)</f>
        <v>0</v>
      </c>
      <c r="AI727" s="1">
        <f ca="1">IFERROR(__xludf.DUMMYFUNCTION("IFERROR(GOOGLEFINANCE(B727,""eps""),0)"),0)</f>
        <v>0</v>
      </c>
      <c r="AJ727" s="1"/>
      <c r="AK727" s="1" t="s">
        <v>2259</v>
      </c>
      <c r="AL727" s="9">
        <f t="shared" si="135"/>
        <v>1</v>
      </c>
    </row>
    <row r="728" spans="1:38" ht="15" x14ac:dyDescent="0.25">
      <c r="A728" s="1" t="s">
        <v>2260</v>
      </c>
      <c r="B728" s="1" t="s">
        <v>2261</v>
      </c>
      <c r="C728" s="1" t="s">
        <v>208</v>
      </c>
      <c r="D728" s="1" t="s">
        <v>208</v>
      </c>
      <c r="E728" s="6">
        <v>219.37</v>
      </c>
      <c r="F728" s="1" t="s">
        <v>40</v>
      </c>
      <c r="G728" s="6">
        <f ca="1">IFERROR(__xludf.DUMMYFUNCTION("iferror(GOOGLEFINANCE(TRIM(F728)&amp;"":"" &amp; TRIM(B728), ""price""),0
)"),35.02)</f>
        <v>35.020000000000003</v>
      </c>
      <c r="H728" s="6">
        <v>57</v>
      </c>
      <c r="I728" s="6">
        <f t="shared" ca="1" si="0"/>
        <v>35.020000000000003</v>
      </c>
      <c r="J728" s="6">
        <f ca="1">IFERROR(__xludf.DUMMYFUNCTION("IFERROR(GOOGLEFINANCE(B728, ""volume""), 0)"),11439)</f>
        <v>11439</v>
      </c>
      <c r="K728" s="6">
        <v>4.84</v>
      </c>
      <c r="L728" s="6">
        <f ca="1">IFERROR(__xludf.DUMMYFUNCTION("IFERROR(GOOGLEFINANCE(B728,""changepct""),K728)"),-1.13)</f>
        <v>-1.1299999999999999</v>
      </c>
      <c r="M728" s="6">
        <f ca="1">IFERROR(__xludf.DUMMYFUNCTION("IFERROR(GOOGLEFINANCE(B728,""change""),0)"),-0.4)</f>
        <v>-0.4</v>
      </c>
      <c r="N728" s="6">
        <v>1</v>
      </c>
      <c r="O728" s="7">
        <v>45536</v>
      </c>
      <c r="P728" s="6">
        <v>22.82</v>
      </c>
      <c r="Q728" s="7">
        <v>45536</v>
      </c>
      <c r="R728" s="6">
        <v>9.61</v>
      </c>
      <c r="S728" s="6">
        <v>0.47</v>
      </c>
      <c r="T728" s="6">
        <v>0.94</v>
      </c>
      <c r="U728" s="6">
        <v>1</v>
      </c>
      <c r="V728" s="7">
        <v>45352</v>
      </c>
      <c r="W728" s="6">
        <f ca="1">IFERROR(__xludf.DUMMYFUNCTION("IFERROR(GOOGLEFINANCE(B728,""pe""),V728)"),10.84)</f>
        <v>10.84</v>
      </c>
      <c r="X728" s="6">
        <v>0</v>
      </c>
      <c r="Y728" s="6">
        <v>12.47</v>
      </c>
      <c r="Z728" s="6">
        <v>14.16</v>
      </c>
      <c r="AA728" s="3" t="s">
        <v>2262</v>
      </c>
      <c r="AB728" s="3"/>
      <c r="AC728" s="9"/>
      <c r="AD728" s="9"/>
      <c r="AE728" s="1">
        <v>0</v>
      </c>
      <c r="AF728" s="1">
        <f ca="1">IFERROR(__xludf.DUMMYFUNCTION("IFERROR(GOOGLEFINANCE(TRIM(F728)&amp;"":"" &amp; TRIM(B728),""high52""),AE728)"),52.49)</f>
        <v>52.49</v>
      </c>
      <c r="AG728" s="1">
        <v>0</v>
      </c>
      <c r="AH728" s="1">
        <f ca="1">IFERROR(__xludf.DUMMYFUNCTION("IFERROR(GOOGLEFINANCE(TRIM(F728)&amp;"":"" &amp; TRIM(B728),""low52""),AE728)"),33.7)</f>
        <v>33.700000000000003</v>
      </c>
      <c r="AI728" s="1">
        <f ca="1">IFERROR(__xludf.DUMMYFUNCTION("IFERROR(GOOGLEFINANCE(B728,""eps""),0)"),3.23)</f>
        <v>3.23</v>
      </c>
      <c r="AJ728" s="1"/>
      <c r="AK728" s="9"/>
      <c r="AL728" s="9">
        <f t="shared" si="135"/>
        <v>1</v>
      </c>
    </row>
    <row r="729" spans="1:38" ht="15" x14ac:dyDescent="0.25">
      <c r="A729" s="1" t="s">
        <v>2263</v>
      </c>
      <c r="B729" s="1" t="s">
        <v>2264</v>
      </c>
      <c r="C729" s="1" t="s">
        <v>577</v>
      </c>
      <c r="D729" s="1" t="s">
        <v>577</v>
      </c>
      <c r="E729" s="6">
        <v>273.81</v>
      </c>
      <c r="F729" s="1" t="s">
        <v>40</v>
      </c>
      <c r="G729" s="6">
        <f ca="1">IFERROR(__xludf.DUMMYFUNCTION("iferror(GOOGLEFINANCE(TRIM(F729)&amp;"":"" &amp; TRIM(B729), ""price""),0
)"),164)</f>
        <v>164</v>
      </c>
      <c r="H729" s="6">
        <v>211.56</v>
      </c>
      <c r="I729" s="6">
        <f t="shared" ca="1" si="0"/>
        <v>164</v>
      </c>
      <c r="J729" s="6">
        <f ca="1">IFERROR(__xludf.DUMMYFUNCTION("IFERROR(GOOGLEFINANCE(B729, ""volume""), 0)"),32092)</f>
        <v>32092</v>
      </c>
      <c r="K729" s="6">
        <v>0.1</v>
      </c>
      <c r="L729" s="6">
        <f ca="1">IFERROR(__xludf.DUMMYFUNCTION("IFERROR(GOOGLEFINANCE(B729,""changepct""),K729)"),1.35)</f>
        <v>1.35</v>
      </c>
      <c r="M729" s="6">
        <f ca="1">IFERROR(__xludf.DUMMYFUNCTION("IFERROR(GOOGLEFINANCE(B729,""change""),0)"),2.18)</f>
        <v>2.1800000000000002</v>
      </c>
      <c r="N729" s="6">
        <v>1</v>
      </c>
      <c r="O729" s="7">
        <v>45536</v>
      </c>
      <c r="P729" s="6">
        <v>74.849999999999994</v>
      </c>
      <c r="Q729" s="6">
        <v>321.48</v>
      </c>
      <c r="R729" s="7">
        <v>45536</v>
      </c>
      <c r="S729" s="6">
        <v>703.07</v>
      </c>
      <c r="T729" s="6">
        <v>11.68</v>
      </c>
      <c r="U729" s="7">
        <v>45536</v>
      </c>
      <c r="V729" s="6">
        <v>23.43</v>
      </c>
      <c r="W729" s="6">
        <f ca="1">IFERROR(__xludf.DUMMYFUNCTION("IFERROR(GOOGLEFINANCE(B729,""pe""),V729)"),12.77)</f>
        <v>12.77</v>
      </c>
      <c r="X729" s="6">
        <v>3.61</v>
      </c>
      <c r="Y729" s="6">
        <v>1.57</v>
      </c>
      <c r="Z729" s="6">
        <v>1</v>
      </c>
      <c r="AA729" s="8">
        <v>45352</v>
      </c>
      <c r="AB729" s="4">
        <v>0.5</v>
      </c>
      <c r="AC729" s="6">
        <v>6.13</v>
      </c>
      <c r="AD729" s="6">
        <v>15.49</v>
      </c>
      <c r="AE729" s="1">
        <v>0</v>
      </c>
      <c r="AF729" s="1">
        <f ca="1">IFERROR(__xludf.DUMMYFUNCTION("IFERROR(GOOGLEFINANCE(TRIM(F729)&amp;"":"" &amp; TRIM(B729),""high52""),AE729)"),222)</f>
        <v>222</v>
      </c>
      <c r="AG729" s="1">
        <v>0</v>
      </c>
      <c r="AH729" s="1">
        <f ca="1">IFERROR(__xludf.DUMMYFUNCTION("IFERROR(GOOGLEFINANCE(TRIM(F729)&amp;"":"" &amp; TRIM(B729),""low52""),AE729)"),147.71)</f>
        <v>147.71</v>
      </c>
      <c r="AI729" s="1">
        <f ca="1">IFERROR(__xludf.DUMMYFUNCTION("IFERROR(GOOGLEFINANCE(B729,""eps""),0)"),12.84)</f>
        <v>12.84</v>
      </c>
      <c r="AJ729" s="1"/>
      <c r="AK729" s="1" t="s">
        <v>2265</v>
      </c>
      <c r="AL729" s="1" t="b">
        <f>ISNUMBER(AA729)</f>
        <v>1</v>
      </c>
    </row>
    <row r="730" spans="1:38" ht="15" x14ac:dyDescent="0.25">
      <c r="A730" s="1" t="s">
        <v>2266</v>
      </c>
      <c r="B730" s="1" t="s">
        <v>2267</v>
      </c>
      <c r="C730" s="1" t="s">
        <v>502</v>
      </c>
      <c r="D730" s="1" t="s">
        <v>502</v>
      </c>
      <c r="E730" s="6">
        <v>57614.81</v>
      </c>
      <c r="F730" s="1" t="s">
        <v>40</v>
      </c>
      <c r="G730" s="6">
        <f ca="1">IFERROR(__xludf.DUMMYFUNCTION("iferror(GOOGLEFINANCE(TRIM(F730)&amp;"":"" &amp; TRIM(B730), ""price""),0
)"),2235)</f>
        <v>2235</v>
      </c>
      <c r="H730" s="6">
        <v>1945.45</v>
      </c>
      <c r="I730" s="6">
        <f t="shared" ca="1" si="0"/>
        <v>2235</v>
      </c>
      <c r="J730" s="6">
        <f ca="1">IFERROR(__xludf.DUMMYFUNCTION("IFERROR(GOOGLEFINANCE(B730, ""volume""), 0)"),160095)</f>
        <v>160095</v>
      </c>
      <c r="K730" s="6">
        <v>-0.54</v>
      </c>
      <c r="L730" s="6">
        <f ca="1">IFERROR(__xludf.DUMMYFUNCTION("IFERROR(GOOGLEFINANCE(B730,""changepct""),K730)"),0.77)</f>
        <v>0.77</v>
      </c>
      <c r="M730" s="6">
        <f ca="1">IFERROR(__xludf.DUMMYFUNCTION("IFERROR(GOOGLEFINANCE(B730,""change""),0)"),17)</f>
        <v>17</v>
      </c>
      <c r="N730" s="6">
        <v>2</v>
      </c>
      <c r="O730" s="7">
        <v>45536</v>
      </c>
      <c r="P730" s="6">
        <v>74.209999999999994</v>
      </c>
      <c r="Q730" s="6">
        <v>54702.16</v>
      </c>
      <c r="R730" s="7">
        <v>45536</v>
      </c>
      <c r="S730" s="6">
        <v>21538.53</v>
      </c>
      <c r="T730" s="6">
        <v>1407.82</v>
      </c>
      <c r="U730" s="7">
        <v>45536</v>
      </c>
      <c r="V730" s="6">
        <v>42.17</v>
      </c>
      <c r="W730" s="6">
        <f ca="1">IFERROR(__xludf.DUMMYFUNCTION("IFERROR(GOOGLEFINANCE(B730,""pe""),V730)"),27.51)</f>
        <v>27.51</v>
      </c>
      <c r="X730" s="6">
        <v>2.42</v>
      </c>
      <c r="Y730" s="6">
        <v>5.67</v>
      </c>
      <c r="Z730" s="6">
        <v>2</v>
      </c>
      <c r="AA730" s="8">
        <v>45352</v>
      </c>
      <c r="AB730" s="4">
        <v>0.01</v>
      </c>
      <c r="AC730" s="6">
        <v>18.96</v>
      </c>
      <c r="AD730" s="6">
        <v>27.32</v>
      </c>
      <c r="AE730" s="1">
        <v>0</v>
      </c>
      <c r="AF730" s="1">
        <f ca="1">IFERROR(__xludf.DUMMYFUNCTION("IFERROR(GOOGLEFINANCE(TRIM(F730)&amp;"":"" &amp; TRIM(B730),""high52""),AE730)"),2718.9)</f>
        <v>2718.9</v>
      </c>
      <c r="AG730" s="1">
        <v>0</v>
      </c>
      <c r="AH730" s="1">
        <f ca="1">IFERROR(__xludf.DUMMYFUNCTION("IFERROR(GOOGLEFINANCE(TRIM(F730)&amp;"":"" &amp; TRIM(B730),""low52""),AE730)"),1596)</f>
        <v>1596</v>
      </c>
      <c r="AI730" s="1">
        <f ca="1">IFERROR(__xludf.DUMMYFUNCTION("IFERROR(GOOGLEFINANCE(B730,""eps""),0)"),81.23)</f>
        <v>81.23</v>
      </c>
      <c r="AJ730" s="1"/>
      <c r="AK730" s="6">
        <v>47.25</v>
      </c>
      <c r="AL730" s="9">
        <f t="shared" ref="AL730:AL734" si="136">IF(AA730&lt;&gt;AB730,1,0)</f>
        <v>1</v>
      </c>
    </row>
    <row r="731" spans="1:38" ht="15" x14ac:dyDescent="0.25">
      <c r="A731" s="1" t="s">
        <v>2268</v>
      </c>
      <c r="B731" s="1" t="s">
        <v>2269</v>
      </c>
      <c r="C731" s="1" t="s">
        <v>82</v>
      </c>
      <c r="D731" s="1" t="s">
        <v>82</v>
      </c>
      <c r="E731" s="6">
        <v>2521.02</v>
      </c>
      <c r="F731" s="1" t="s">
        <v>40</v>
      </c>
      <c r="G731" s="6">
        <f ca="1">IFERROR(__xludf.DUMMYFUNCTION("iferror(GOOGLEFINANCE(TRIM(F731)&amp;"":"" &amp; TRIM(B731), ""price""),0
)"),585)</f>
        <v>585</v>
      </c>
      <c r="H731" s="6">
        <v>961.3</v>
      </c>
      <c r="I731" s="6">
        <f t="shared" ca="1" si="0"/>
        <v>585</v>
      </c>
      <c r="J731" s="6">
        <f ca="1">IFERROR(__xludf.DUMMYFUNCTION("IFERROR(GOOGLEFINANCE(B731, ""volume""), 0)"),62291)</f>
        <v>62291</v>
      </c>
      <c r="K731" s="6">
        <v>0.08</v>
      </c>
      <c r="L731" s="6">
        <f ca="1">IFERROR(__xludf.DUMMYFUNCTION("IFERROR(GOOGLEFINANCE(B731,""changepct""),K731)"),1.41)</f>
        <v>1.41</v>
      </c>
      <c r="M731" s="6">
        <f ca="1">IFERROR(__xludf.DUMMYFUNCTION("IFERROR(GOOGLEFINANCE(B731,""change""),0)"),8.15)</f>
        <v>8.15</v>
      </c>
      <c r="N731" s="6">
        <v>2</v>
      </c>
      <c r="O731" s="7">
        <v>45536</v>
      </c>
      <c r="P731" s="6">
        <v>1114.18</v>
      </c>
      <c r="Q731" s="6">
        <v>3585.99</v>
      </c>
      <c r="R731" s="7">
        <v>45536</v>
      </c>
      <c r="S731" s="6">
        <v>2714.69</v>
      </c>
      <c r="T731" s="6">
        <v>103.44</v>
      </c>
      <c r="U731" s="7">
        <v>45536</v>
      </c>
      <c r="V731" s="6">
        <v>24.37</v>
      </c>
      <c r="W731" s="6">
        <f ca="1">IFERROR(__xludf.DUMMYFUNCTION("IFERROR(GOOGLEFINANCE(B731,""pe""),V731)"),6.67)</f>
        <v>6.67</v>
      </c>
      <c r="X731" s="6">
        <v>69.63</v>
      </c>
      <c r="Y731" s="6">
        <v>1.77</v>
      </c>
      <c r="Z731" s="6">
        <v>2</v>
      </c>
      <c r="AA731" s="8">
        <v>45352</v>
      </c>
      <c r="AB731" s="4">
        <v>0.74</v>
      </c>
      <c r="AC731" s="6">
        <v>4.75</v>
      </c>
      <c r="AD731" s="6">
        <v>7.17</v>
      </c>
      <c r="AE731" s="1">
        <v>0</v>
      </c>
      <c r="AF731" s="1">
        <f ca="1">IFERROR(__xludf.DUMMYFUNCTION("IFERROR(GOOGLEFINANCE(TRIM(F731)&amp;"":"" &amp; TRIM(B731),""high52""),AE731)"),1307.2)</f>
        <v>1307.2</v>
      </c>
      <c r="AG731" s="1">
        <v>0</v>
      </c>
      <c r="AH731" s="1">
        <f ca="1">IFERROR(__xludf.DUMMYFUNCTION("IFERROR(GOOGLEFINANCE(TRIM(F731)&amp;"":"" &amp; TRIM(B731),""low52""),AE731)"),525.7)</f>
        <v>525.70000000000005</v>
      </c>
      <c r="AI731" s="1">
        <f ca="1">IFERROR(__xludf.DUMMYFUNCTION("IFERROR(GOOGLEFINANCE(B731,""eps""),0)"),146.6)</f>
        <v>146.6</v>
      </c>
      <c r="AJ731" s="1"/>
      <c r="AK731" s="1" t="s">
        <v>2270</v>
      </c>
      <c r="AL731" s="9">
        <f t="shared" si="136"/>
        <v>1</v>
      </c>
    </row>
    <row r="732" spans="1:38" ht="15" x14ac:dyDescent="0.25">
      <c r="A732" s="1" t="s">
        <v>2271</v>
      </c>
      <c r="B732" s="1" t="s">
        <v>2272</v>
      </c>
      <c r="C732" s="1" t="s">
        <v>410</v>
      </c>
      <c r="D732" s="1" t="s">
        <v>410</v>
      </c>
      <c r="E732" s="6">
        <v>335.27</v>
      </c>
      <c r="F732" s="1" t="s">
        <v>40</v>
      </c>
      <c r="G732" s="6">
        <f ca="1">IFERROR(__xludf.DUMMYFUNCTION("iferror(GOOGLEFINANCE(TRIM(F732)&amp;"":"" &amp; TRIM(B732), ""price""),0
)"),12.85)</f>
        <v>12.85</v>
      </c>
      <c r="H732" s="6">
        <v>20.18</v>
      </c>
      <c r="I732" s="6">
        <f t="shared" ca="1" si="0"/>
        <v>12.85</v>
      </c>
      <c r="J732" s="6">
        <f ca="1">IFERROR(__xludf.DUMMYFUNCTION("IFERROR(GOOGLEFINANCE(B732, ""volume""), 0)"),13924)</f>
        <v>13924</v>
      </c>
      <c r="K732" s="6">
        <v>-1.61</v>
      </c>
      <c r="L732" s="6">
        <f ca="1">IFERROR(__xludf.DUMMYFUNCTION("IFERROR(GOOGLEFINANCE(B732,""changepct""),K732)"),0.71)</f>
        <v>0.71</v>
      </c>
      <c r="M732" s="6">
        <f ca="1">IFERROR(__xludf.DUMMYFUNCTION("IFERROR(GOOGLEFINANCE(B732,""change""),0)"),0.09)</f>
        <v>0.09</v>
      </c>
      <c r="N732" s="6">
        <v>2</v>
      </c>
      <c r="O732" s="7">
        <v>45536</v>
      </c>
      <c r="P732" s="6">
        <v>46.83</v>
      </c>
      <c r="Q732" s="6">
        <v>382.1</v>
      </c>
      <c r="R732" s="7">
        <v>45536</v>
      </c>
      <c r="S732" s="6">
        <v>47.09</v>
      </c>
      <c r="T732" s="6">
        <v>-0.73</v>
      </c>
      <c r="U732" s="7">
        <v>45536</v>
      </c>
      <c r="V732" s="6">
        <v>0</v>
      </c>
      <c r="W732" s="6">
        <f ca="1">IFERROR(__xludf.DUMMYFUNCTION("IFERROR(GOOGLEFINANCE(B732,""pe""),V732)"),24.74)</f>
        <v>24.74</v>
      </c>
      <c r="X732" s="6">
        <v>0</v>
      </c>
      <c r="Y732" s="6">
        <v>1.1000000000000001</v>
      </c>
      <c r="Z732" s="6">
        <v>2</v>
      </c>
      <c r="AA732" s="8">
        <v>45352</v>
      </c>
      <c r="AB732" s="4">
        <v>0.22</v>
      </c>
      <c r="AC732" s="6">
        <v>-1.57</v>
      </c>
      <c r="AD732" s="6">
        <v>1.1399999999999999</v>
      </c>
      <c r="AE732" s="1">
        <v>0</v>
      </c>
      <c r="AF732" s="1">
        <f ca="1">IFERROR(__xludf.DUMMYFUNCTION("IFERROR(GOOGLEFINANCE(TRIM(F732)&amp;"":"" &amp; TRIM(B732),""high52""),AE732)"),20.99)</f>
        <v>20.99</v>
      </c>
      <c r="AG732" s="1">
        <v>0</v>
      </c>
      <c r="AH732" s="1">
        <f ca="1">IFERROR(__xludf.DUMMYFUNCTION("IFERROR(GOOGLEFINANCE(TRIM(F732)&amp;"":"" &amp; TRIM(B732),""low52""),AE732)"),12.58)</f>
        <v>12.58</v>
      </c>
      <c r="AI732" s="1">
        <f ca="1">IFERROR(__xludf.DUMMYFUNCTION("IFERROR(GOOGLEFINANCE(B732,""eps""),0)"),0.52)</f>
        <v>0.52</v>
      </c>
      <c r="AJ732" s="1"/>
      <c r="AK732" s="1" t="s">
        <v>2273</v>
      </c>
      <c r="AL732" s="9">
        <f t="shared" si="136"/>
        <v>1</v>
      </c>
    </row>
    <row r="733" spans="1:38" ht="15" x14ac:dyDescent="0.25">
      <c r="A733" s="1" t="s">
        <v>2274</v>
      </c>
      <c r="B733" s="1" t="s">
        <v>2275</v>
      </c>
      <c r="C733" s="1" t="s">
        <v>487</v>
      </c>
      <c r="D733" s="1" t="s">
        <v>487</v>
      </c>
      <c r="E733" s="6">
        <v>52.61</v>
      </c>
      <c r="F733" s="1" t="s">
        <v>40</v>
      </c>
      <c r="G733" s="6">
        <f ca="1">IFERROR(__xludf.DUMMYFUNCTION("iferror(GOOGLEFINANCE(TRIM(F733)&amp;"":"" &amp; TRIM(B733), ""price""),0
)"),5.22)</f>
        <v>5.22</v>
      </c>
      <c r="H733" s="6">
        <v>6.76</v>
      </c>
      <c r="I733" s="6">
        <f t="shared" ca="1" si="0"/>
        <v>5.22</v>
      </c>
      <c r="J733" s="6">
        <f ca="1">IFERROR(__xludf.DUMMYFUNCTION("IFERROR(GOOGLEFINANCE(B733, ""volume""), 0)"),24519)</f>
        <v>24519</v>
      </c>
      <c r="K733" s="6">
        <v>0.15</v>
      </c>
      <c r="L733" s="6">
        <f ca="1">IFERROR(__xludf.DUMMYFUNCTION("IFERROR(GOOGLEFINANCE(B733,""changepct""),K733)"),0)</f>
        <v>0</v>
      </c>
      <c r="M733" s="6">
        <f ca="1">IFERROR(__xludf.DUMMYFUNCTION("IFERROR(GOOGLEFINANCE(B733,""change""),0)"),0)</f>
        <v>0</v>
      </c>
      <c r="N733" s="6">
        <v>1</v>
      </c>
      <c r="O733" s="7">
        <v>45536</v>
      </c>
      <c r="P733" s="6">
        <v>1.52</v>
      </c>
      <c r="Q733" s="6">
        <v>50.18</v>
      </c>
      <c r="R733" s="7">
        <v>45536</v>
      </c>
      <c r="S733" s="6">
        <v>21.25</v>
      </c>
      <c r="T733" s="6">
        <v>0.68</v>
      </c>
      <c r="U733" s="7">
        <v>45536</v>
      </c>
      <c r="V733" s="6">
        <v>77.599999999999994</v>
      </c>
      <c r="W733" s="6">
        <f ca="1">IFERROR(__xludf.DUMMYFUNCTION("IFERROR(GOOGLEFINANCE(B733,""pe""),V733)"),58.25)</f>
        <v>58.25</v>
      </c>
      <c r="X733" s="6">
        <v>3.08</v>
      </c>
      <c r="Y733" s="6">
        <v>2.12</v>
      </c>
      <c r="Z733" s="6">
        <v>1</v>
      </c>
      <c r="AA733" s="8">
        <v>45352</v>
      </c>
      <c r="AB733" s="4">
        <v>0.08</v>
      </c>
      <c r="AC733" s="6">
        <v>6.81</v>
      </c>
      <c r="AD733" s="6">
        <v>9.11</v>
      </c>
      <c r="AE733" s="1">
        <v>0</v>
      </c>
      <c r="AF733" s="1">
        <f ca="1">IFERROR(__xludf.DUMMYFUNCTION("IFERROR(GOOGLEFINANCE(TRIM(F733)&amp;"":"" &amp; TRIM(B733),""high52""),AE733)"),11.92)</f>
        <v>11.92</v>
      </c>
      <c r="AG733" s="1">
        <v>0</v>
      </c>
      <c r="AH733" s="1">
        <f ca="1">IFERROR(__xludf.DUMMYFUNCTION("IFERROR(GOOGLEFINANCE(TRIM(F733)&amp;"":"" &amp; TRIM(B733),""low52""),AE733)"),4.84)</f>
        <v>4.84</v>
      </c>
      <c r="AI733" s="1">
        <f ca="1">IFERROR(__xludf.DUMMYFUNCTION("IFERROR(GOOGLEFINANCE(B733,""eps""),0)"),0.09)</f>
        <v>0.09</v>
      </c>
      <c r="AJ733" s="1"/>
      <c r="AK733" s="9"/>
      <c r="AL733" s="9">
        <f t="shared" si="136"/>
        <v>1</v>
      </c>
    </row>
    <row r="734" spans="1:38" ht="15" x14ac:dyDescent="0.25">
      <c r="A734" s="1" t="s">
        <v>2276</v>
      </c>
      <c r="B734" s="1" t="s">
        <v>2277</v>
      </c>
      <c r="C734" s="1" t="s">
        <v>186</v>
      </c>
      <c r="D734" s="1" t="s">
        <v>186</v>
      </c>
      <c r="E734" s="6">
        <v>135.4</v>
      </c>
      <c r="F734" s="1" t="s">
        <v>40</v>
      </c>
      <c r="G734" s="6">
        <f ca="1">IFERROR(__xludf.DUMMYFUNCTION("iferror(GOOGLEFINANCE(TRIM(F734)&amp;"":"" &amp; TRIM(B734), ""price""),0
)"),0)</f>
        <v>0</v>
      </c>
      <c r="H734" s="6">
        <v>644.75</v>
      </c>
      <c r="I734" s="6">
        <f t="shared" ca="1" si="0"/>
        <v>644.75</v>
      </c>
      <c r="J734" s="6">
        <f ca="1">IFERROR(__xludf.DUMMYFUNCTION("IFERROR(GOOGLEFINANCE(B734, ""volume""), 0)"),0)</f>
        <v>0</v>
      </c>
      <c r="K734" s="9"/>
      <c r="L734" s="6">
        <f ca="1">IFERROR(__xludf.DUMMYFUNCTION("IFERROR(GOOGLEFINANCE(B734,""changepct""),K734)"),-3.48)</f>
        <v>-3.48</v>
      </c>
      <c r="M734" s="6">
        <f ca="1">IFERROR(__xludf.DUMMYFUNCTION("IFERROR(GOOGLEFINANCE(B734,""change""),0)"),-1.13)</f>
        <v>-1.1299999999999999</v>
      </c>
      <c r="N734" s="6">
        <v>1</v>
      </c>
      <c r="O734" s="7">
        <v>45536</v>
      </c>
      <c r="P734" s="6">
        <v>10.4</v>
      </c>
      <c r="Q734" s="6">
        <v>145.80000000000001</v>
      </c>
      <c r="R734" s="7">
        <v>45352</v>
      </c>
      <c r="S734" s="6">
        <v>36.020000000000003</v>
      </c>
      <c r="T734" s="6">
        <v>0.74</v>
      </c>
      <c r="U734" s="7">
        <v>45352</v>
      </c>
      <c r="V734" s="6">
        <v>183.24</v>
      </c>
      <c r="W734" s="6">
        <f ca="1">IFERROR(__xludf.DUMMYFUNCTION("IFERROR(GOOGLEFINANCE(B734,""pe""),V734)"),16.82)</f>
        <v>16.82</v>
      </c>
      <c r="X734" s="9"/>
      <c r="Y734" s="6">
        <v>11.29</v>
      </c>
      <c r="Z734" s="6">
        <v>1</v>
      </c>
      <c r="AA734" s="8">
        <v>45352</v>
      </c>
      <c r="AB734" s="4">
        <v>0.77</v>
      </c>
      <c r="AC734" s="6">
        <v>10.76</v>
      </c>
      <c r="AD734" s="6">
        <v>15.83</v>
      </c>
      <c r="AE734" s="1">
        <v>0</v>
      </c>
      <c r="AF734" s="1">
        <f ca="1">IFERROR(__xludf.DUMMYFUNCTION("IFERROR(GOOGLEFINANCE(TRIM(F734)&amp;"":"" &amp; TRIM(B734),""high52""),AE734)"),0)</f>
        <v>0</v>
      </c>
      <c r="AG734" s="1">
        <v>0</v>
      </c>
      <c r="AH734" s="1">
        <f ca="1">IFERROR(__xludf.DUMMYFUNCTION("IFERROR(GOOGLEFINANCE(TRIM(F734)&amp;"":"" &amp; TRIM(B734),""low52""),AE734)"),0)</f>
        <v>0</v>
      </c>
      <c r="AI734" s="1">
        <f ca="1">IFERROR(__xludf.DUMMYFUNCTION("IFERROR(GOOGLEFINANCE(B734,""eps""),0)"),1.86)</f>
        <v>1.86</v>
      </c>
      <c r="AJ734" s="1"/>
      <c r="AK734" s="1" t="s">
        <v>2278</v>
      </c>
      <c r="AL734" s="9">
        <f t="shared" si="136"/>
        <v>1</v>
      </c>
    </row>
    <row r="735" spans="1:38" ht="15" x14ac:dyDescent="0.25">
      <c r="A735" s="1" t="s">
        <v>2279</v>
      </c>
      <c r="B735" s="1" t="s">
        <v>2280</v>
      </c>
      <c r="C735" s="1" t="s">
        <v>355</v>
      </c>
      <c r="D735" s="1" t="s">
        <v>355</v>
      </c>
      <c r="E735" s="6">
        <v>12729.94</v>
      </c>
      <c r="F735" s="1" t="s">
        <v>40</v>
      </c>
      <c r="G735" s="6">
        <f ca="1">IFERROR(__xludf.DUMMYFUNCTION("iferror(GOOGLEFINANCE(TRIM(F735)&amp;"":"" &amp; TRIM(B735), ""price""),0
)"),7507.5)</f>
        <v>7507.5</v>
      </c>
      <c r="H735" s="6">
        <v>5330.85</v>
      </c>
      <c r="I735" s="6">
        <f t="shared" ca="1" si="0"/>
        <v>7507.5</v>
      </c>
      <c r="J735" s="6">
        <f ca="1">IFERROR(__xludf.DUMMYFUNCTION("IFERROR(GOOGLEFINANCE(B735, ""volume""), 0)"),71401)</f>
        <v>71401</v>
      </c>
      <c r="K735" s="6">
        <v>-0.11</v>
      </c>
      <c r="L735" s="6">
        <f ca="1">IFERROR(__xludf.DUMMYFUNCTION("IFERROR(GOOGLEFINANCE(B735,""changepct""),K735)"),1.49)</f>
        <v>1.49</v>
      </c>
      <c r="M735" s="6">
        <f ca="1">IFERROR(__xludf.DUMMYFUNCTION("IFERROR(GOOGLEFINANCE(B735,""change""),0)"),110)</f>
        <v>110</v>
      </c>
      <c r="N735" s="6">
        <v>2</v>
      </c>
      <c r="O735" s="7">
        <v>45536</v>
      </c>
      <c r="P735" s="6">
        <v>1732.09</v>
      </c>
      <c r="Q735" s="6">
        <v>13923.21</v>
      </c>
      <c r="R735" s="7">
        <v>45536</v>
      </c>
      <c r="S735" s="6">
        <v>4600.18</v>
      </c>
      <c r="T735" s="6">
        <v>272.18</v>
      </c>
      <c r="U735" s="7">
        <v>45536</v>
      </c>
      <c r="V735" s="6">
        <v>50.85</v>
      </c>
      <c r="W735" s="6">
        <f ca="1">IFERROR(__xludf.DUMMYFUNCTION("IFERROR(GOOGLEFINANCE(B735,""pe""),V735)"),50.27)</f>
        <v>50.27</v>
      </c>
      <c r="X735" s="9"/>
      <c r="Y735" s="6">
        <v>4.57</v>
      </c>
      <c r="Z735" s="6">
        <v>2</v>
      </c>
      <c r="AA735" s="8">
        <v>45352</v>
      </c>
      <c r="AB735" s="4">
        <v>0.93</v>
      </c>
      <c r="AC735" s="6">
        <v>22.23</v>
      </c>
      <c r="AD735" s="6">
        <v>21.6</v>
      </c>
      <c r="AE735" s="1">
        <v>0</v>
      </c>
      <c r="AF735" s="1">
        <f ca="1">IFERROR(__xludf.DUMMYFUNCTION("IFERROR(GOOGLEFINANCE(TRIM(F735)&amp;"":"" &amp; TRIM(B735),""high52""),AE735)"),8069)</f>
        <v>8069</v>
      </c>
      <c r="AG735" s="1">
        <v>0</v>
      </c>
      <c r="AH735" s="1">
        <f ca="1">IFERROR(__xludf.DUMMYFUNCTION("IFERROR(GOOGLEFINANCE(TRIM(F735)&amp;"":"" &amp; TRIM(B735),""low52""),AE735)"),3700)</f>
        <v>3700</v>
      </c>
      <c r="AI735" s="1">
        <f ca="1">IFERROR(__xludf.DUMMYFUNCTION("IFERROR(GOOGLEFINANCE(B735,""eps""),0)"),149.33)</f>
        <v>149.33000000000001</v>
      </c>
      <c r="AJ735" s="1"/>
      <c r="AK735" s="1" t="s">
        <v>2281</v>
      </c>
      <c r="AL735" s="1" t="b">
        <f t="shared" ref="AL735:AL736" si="137">ISNUMBER(AA735)</f>
        <v>1</v>
      </c>
    </row>
    <row r="736" spans="1:38" ht="15" x14ac:dyDescent="0.25">
      <c r="A736" s="1" t="s">
        <v>2282</v>
      </c>
      <c r="B736" s="1" t="s">
        <v>2283</v>
      </c>
      <c r="C736" s="1" t="s">
        <v>52</v>
      </c>
      <c r="D736" s="1" t="s">
        <v>52</v>
      </c>
      <c r="E736" s="6">
        <v>234.53</v>
      </c>
      <c r="F736" s="1" t="s">
        <v>40</v>
      </c>
      <c r="G736" s="6">
        <f ca="1">IFERROR(__xludf.DUMMYFUNCTION("iferror(GOOGLEFINANCE(TRIM(F736)&amp;"":"" &amp; TRIM(B736), ""price""),0
)"),0)</f>
        <v>0</v>
      </c>
      <c r="H736" s="6">
        <v>96.05</v>
      </c>
      <c r="I736" s="6">
        <f t="shared" ca="1" si="0"/>
        <v>96.05</v>
      </c>
      <c r="J736" s="6">
        <f ca="1">IFERROR(__xludf.DUMMYFUNCTION("IFERROR(GOOGLEFINANCE(B736, ""volume""), 0)"),0)</f>
        <v>0</v>
      </c>
      <c r="K736" s="6">
        <v>0.05</v>
      </c>
      <c r="L736" s="6">
        <f ca="1">IFERROR(__xludf.DUMMYFUNCTION("IFERROR(GOOGLEFINANCE(B736,""changepct""),K736)"),0.05)</f>
        <v>0.05</v>
      </c>
      <c r="M736" s="6">
        <f ca="1">IFERROR(__xludf.DUMMYFUNCTION("IFERROR(GOOGLEFINANCE(B736,""change""),0)"),0)</f>
        <v>0</v>
      </c>
      <c r="N736" s="6">
        <v>1</v>
      </c>
      <c r="O736" s="7">
        <v>45536</v>
      </c>
      <c r="P736" s="6">
        <v>11.99</v>
      </c>
      <c r="Q736" s="6">
        <v>246.51</v>
      </c>
      <c r="R736" s="7">
        <v>45352</v>
      </c>
      <c r="S736" s="6">
        <v>201.55</v>
      </c>
      <c r="T736" s="6">
        <v>16.899999999999999</v>
      </c>
      <c r="U736" s="7">
        <v>45352</v>
      </c>
      <c r="V736" s="6">
        <v>13.88</v>
      </c>
      <c r="W736" s="6">
        <f ca="1">IFERROR(__xludf.DUMMYFUNCTION("IFERROR(GOOGLEFINANCE(B736,""pe""),V736)"),13.88)</f>
        <v>13.88</v>
      </c>
      <c r="X736" s="9"/>
      <c r="Y736" s="6">
        <v>2.2599999999999998</v>
      </c>
      <c r="Z736" s="6">
        <v>2</v>
      </c>
      <c r="AA736" s="8">
        <v>45352</v>
      </c>
      <c r="AB736" s="4">
        <v>0.05</v>
      </c>
      <c r="AC736" s="6">
        <v>25.19</v>
      </c>
      <c r="AD736" s="6">
        <v>30.34</v>
      </c>
      <c r="AE736" s="1">
        <v>0</v>
      </c>
      <c r="AF736" s="1">
        <f ca="1">IFERROR(__xludf.DUMMYFUNCTION("IFERROR(GOOGLEFINANCE(TRIM(F736)&amp;"":"" &amp; TRIM(B736),""high52""),AE736)"),0)</f>
        <v>0</v>
      </c>
      <c r="AG736" s="1">
        <v>0</v>
      </c>
      <c r="AH736" s="1">
        <f ca="1">IFERROR(__xludf.DUMMYFUNCTION("IFERROR(GOOGLEFINANCE(TRIM(F736)&amp;"":"" &amp; TRIM(B736),""low52""),AE736)"),0)</f>
        <v>0</v>
      </c>
      <c r="AI736" s="1">
        <f ca="1">IFERROR(__xludf.DUMMYFUNCTION("IFERROR(GOOGLEFINANCE(B736,""eps""),0)"),0)</f>
        <v>0</v>
      </c>
      <c r="AJ736" s="1"/>
      <c r="AK736" s="1" t="s">
        <v>2284</v>
      </c>
      <c r="AL736" s="1" t="b">
        <f t="shared" si="137"/>
        <v>1</v>
      </c>
    </row>
    <row r="737" spans="1:38" ht="15" x14ac:dyDescent="0.25">
      <c r="A737" s="1" t="s">
        <v>2285</v>
      </c>
      <c r="B737" s="1" t="s">
        <v>2286</v>
      </c>
      <c r="C737" s="1" t="s">
        <v>487</v>
      </c>
      <c r="D737" s="1" t="s">
        <v>487</v>
      </c>
      <c r="E737" s="6">
        <v>104.63</v>
      </c>
      <c r="F737" s="1" t="s">
        <v>53</v>
      </c>
      <c r="G737" s="6">
        <f ca="1">IFERROR(__xludf.DUMMYFUNCTION("iferror(GOOGLEFINANCE(TRIM(F737)&amp;"":"" &amp; TRIM(B737), ""price""),0
)"),0)</f>
        <v>0</v>
      </c>
      <c r="H737" s="6">
        <v>12.28</v>
      </c>
      <c r="I737" s="6">
        <f t="shared" ca="1" si="0"/>
        <v>12.28</v>
      </c>
      <c r="J737" s="6">
        <f ca="1">IFERROR(__xludf.DUMMYFUNCTION("IFERROR(GOOGLEFINANCE(B737, ""volume""), 0)"),0)</f>
        <v>0</v>
      </c>
      <c r="K737" s="6">
        <v>1.66</v>
      </c>
      <c r="L737" s="6">
        <f ca="1">IFERROR(__xludf.DUMMYFUNCTION("IFERROR(GOOGLEFINANCE(B737,""changepct""),K737)"),1.66)</f>
        <v>1.66</v>
      </c>
      <c r="M737" s="6">
        <f ca="1">IFERROR(__xludf.DUMMYFUNCTION("IFERROR(GOOGLEFINANCE(B737,""change""),0)"),0)</f>
        <v>0</v>
      </c>
      <c r="N737" s="6">
        <v>2</v>
      </c>
      <c r="O737" s="7">
        <v>45536</v>
      </c>
      <c r="P737" s="9"/>
      <c r="Q737" s="6">
        <v>104.63</v>
      </c>
      <c r="R737" s="7">
        <v>45536</v>
      </c>
      <c r="S737" s="6">
        <v>32.96</v>
      </c>
      <c r="T737" s="6">
        <v>29.3</v>
      </c>
      <c r="U737" s="7">
        <v>45536</v>
      </c>
      <c r="V737" s="6">
        <v>3.57</v>
      </c>
      <c r="W737" s="6">
        <f ca="1">IFERROR(__xludf.DUMMYFUNCTION("IFERROR(GOOGLEFINANCE(B737,""pe""),V737)"),3.57)</f>
        <v>3.57</v>
      </c>
      <c r="X737" s="6">
        <v>0.13</v>
      </c>
      <c r="Y737" s="6">
        <v>0.22</v>
      </c>
      <c r="Z737" s="6">
        <v>2</v>
      </c>
      <c r="AA737" s="8">
        <v>45352</v>
      </c>
      <c r="AB737" s="4">
        <v>0</v>
      </c>
      <c r="AC737" s="6">
        <v>5.61</v>
      </c>
      <c r="AD737" s="6">
        <v>6.36</v>
      </c>
      <c r="AE737" s="1">
        <v>0</v>
      </c>
      <c r="AF737" s="1">
        <f ca="1">IFERROR(__xludf.DUMMYFUNCTION("IFERROR(GOOGLEFINANCE(TRIM(F737)&amp;"":"" &amp; TRIM(B737),""high52""),AE737)"),0)</f>
        <v>0</v>
      </c>
      <c r="AG737" s="1">
        <v>0</v>
      </c>
      <c r="AH737" s="1">
        <f ca="1">IFERROR(__xludf.DUMMYFUNCTION("IFERROR(GOOGLEFINANCE(TRIM(F737)&amp;"":"" &amp; TRIM(B737),""low52""),AE737)"),0)</f>
        <v>0</v>
      </c>
      <c r="AI737" s="1">
        <f ca="1">IFERROR(__xludf.DUMMYFUNCTION("IFERROR(GOOGLEFINANCE(B737,""eps""),0)"),0)</f>
        <v>0</v>
      </c>
      <c r="AJ737" s="1"/>
      <c r="AK737" s="1" t="s">
        <v>2287</v>
      </c>
      <c r="AL737" s="9">
        <f t="shared" ref="AL737:AL742" si="138">IF(AA737&lt;&gt;AB737,1,0)</f>
        <v>1</v>
      </c>
    </row>
    <row r="738" spans="1:38" ht="15" x14ac:dyDescent="0.25">
      <c r="A738" s="1" t="s">
        <v>2288</v>
      </c>
      <c r="B738" s="1" t="s">
        <v>2289</v>
      </c>
      <c r="C738" s="1" t="s">
        <v>1682</v>
      </c>
      <c r="D738" s="1" t="s">
        <v>1682</v>
      </c>
      <c r="E738" s="6">
        <v>15.44</v>
      </c>
      <c r="F738" s="1" t="s">
        <v>40</v>
      </c>
      <c r="G738" s="6">
        <f ca="1">IFERROR(__xludf.DUMMYFUNCTION("iferror(GOOGLEFINANCE(TRIM(F738)&amp;"":"" &amp; TRIM(B738), ""price""),0
)"),6.48)</f>
        <v>6.48</v>
      </c>
      <c r="H738" s="6">
        <v>7.66</v>
      </c>
      <c r="I738" s="6">
        <f t="shared" ca="1" si="0"/>
        <v>6.48</v>
      </c>
      <c r="J738" s="6">
        <f ca="1">IFERROR(__xludf.DUMMYFUNCTION("IFERROR(GOOGLEFINANCE(B738, ""volume""), 0)"),12180)</f>
        <v>12180</v>
      </c>
      <c r="K738" s="6">
        <v>0</v>
      </c>
      <c r="L738" s="6">
        <f ca="1">IFERROR(__xludf.DUMMYFUNCTION("IFERROR(GOOGLEFINANCE(B738,""changepct""),K738)"),-5.4)</f>
        <v>-5.4</v>
      </c>
      <c r="M738" s="6">
        <f ca="1">IFERROR(__xludf.DUMMYFUNCTION("IFERROR(GOOGLEFINANCE(B738,""change""),0)"),-0.37)</f>
        <v>-0.37</v>
      </c>
      <c r="N738" s="6">
        <v>1</v>
      </c>
      <c r="O738" s="7">
        <v>45536</v>
      </c>
      <c r="P738" s="6">
        <v>6.05</v>
      </c>
      <c r="Q738" s="6">
        <v>11.93</v>
      </c>
      <c r="R738" s="7">
        <v>45536</v>
      </c>
      <c r="S738" s="6">
        <v>1.57</v>
      </c>
      <c r="T738" s="6">
        <v>-1.34</v>
      </c>
      <c r="U738" s="7">
        <v>45536</v>
      </c>
      <c r="V738" s="6">
        <v>0</v>
      </c>
      <c r="W738" s="6">
        <f ca="1">IFERROR(__xludf.DUMMYFUNCTION("IFERROR(GOOGLEFINANCE(B738,""pe""),V738)"),0)</f>
        <v>0</v>
      </c>
      <c r="X738" s="6">
        <v>0</v>
      </c>
      <c r="Y738" s="6">
        <v>0.75</v>
      </c>
      <c r="Z738" s="6">
        <v>1</v>
      </c>
      <c r="AA738" s="8">
        <v>45352</v>
      </c>
      <c r="AB738" s="4">
        <v>0.31</v>
      </c>
      <c r="AC738" s="6">
        <v>-11.95</v>
      </c>
      <c r="AD738" s="6">
        <v>-6.27</v>
      </c>
      <c r="AE738" s="1">
        <v>0</v>
      </c>
      <c r="AF738" s="1">
        <f ca="1">IFERROR(__xludf.DUMMYFUNCTION("IFERROR(GOOGLEFINANCE(TRIM(F738)&amp;"":"" &amp; TRIM(B738),""high52""),AE738)"),12.19)</f>
        <v>12.19</v>
      </c>
      <c r="AG738" s="1">
        <v>0</v>
      </c>
      <c r="AH738" s="1">
        <f ca="1">IFERROR(__xludf.DUMMYFUNCTION("IFERROR(GOOGLEFINANCE(TRIM(F738)&amp;"":"" &amp; TRIM(B738),""low52""),AE738)"),5.27)</f>
        <v>5.27</v>
      </c>
      <c r="AI738" s="1">
        <f ca="1">IFERROR(__xludf.DUMMYFUNCTION("IFERROR(GOOGLEFINANCE(B738,""eps""),0)"),-0.41)</f>
        <v>-0.41</v>
      </c>
      <c r="AJ738" s="1"/>
      <c r="AK738" s="1" t="s">
        <v>2290</v>
      </c>
      <c r="AL738" s="9">
        <f t="shared" si="138"/>
        <v>1</v>
      </c>
    </row>
    <row r="739" spans="1:38" ht="15" x14ac:dyDescent="0.25">
      <c r="A739" s="1" t="s">
        <v>2291</v>
      </c>
      <c r="B739" s="1" t="s">
        <v>2292</v>
      </c>
      <c r="C739" s="1" t="s">
        <v>487</v>
      </c>
      <c r="D739" s="1" t="s">
        <v>487</v>
      </c>
      <c r="E739" s="6">
        <v>54.97</v>
      </c>
      <c r="F739" s="1" t="s">
        <v>53</v>
      </c>
      <c r="G739" s="6">
        <f ca="1">IFERROR(__xludf.DUMMYFUNCTION("iferror(GOOGLEFINANCE(TRIM(F739)&amp;"":"" &amp; TRIM(B739), ""price""),0
)"),0)</f>
        <v>0</v>
      </c>
      <c r="H739" s="6">
        <v>70.989999999999995</v>
      </c>
      <c r="I739" s="6">
        <f t="shared" ca="1" si="0"/>
        <v>70.989999999999995</v>
      </c>
      <c r="J739" s="6">
        <f ca="1">IFERROR(__xludf.DUMMYFUNCTION("IFERROR(GOOGLEFINANCE(B739, ""volume""), 0)"),0)</f>
        <v>0</v>
      </c>
      <c r="K739" s="6">
        <v>1.92</v>
      </c>
      <c r="L739" s="6">
        <f ca="1">IFERROR(__xludf.DUMMYFUNCTION("IFERROR(GOOGLEFINANCE(B739,""changepct""),K739)"),1.92)</f>
        <v>1.92</v>
      </c>
      <c r="M739" s="6">
        <f ca="1">IFERROR(__xludf.DUMMYFUNCTION("IFERROR(GOOGLEFINANCE(B739,""change""),0)"),0)</f>
        <v>0</v>
      </c>
      <c r="N739" s="6">
        <v>2</v>
      </c>
      <c r="O739" s="7">
        <v>45536</v>
      </c>
      <c r="P739" s="6">
        <v>17.149999999999999</v>
      </c>
      <c r="Q739" s="6">
        <v>72.05</v>
      </c>
      <c r="R739" s="7">
        <v>45536</v>
      </c>
      <c r="S739" s="6">
        <v>3.36</v>
      </c>
      <c r="T739" s="6">
        <v>1.1200000000000001</v>
      </c>
      <c r="U739" s="7">
        <v>45536</v>
      </c>
      <c r="V739" s="6">
        <v>48.43</v>
      </c>
      <c r="W739" s="6">
        <f ca="1">IFERROR(__xludf.DUMMYFUNCTION("IFERROR(GOOGLEFINANCE(B739,""pe""),V739)"),48.43)</f>
        <v>48.43</v>
      </c>
      <c r="X739" s="6">
        <v>1.41</v>
      </c>
      <c r="Y739" s="6">
        <v>4.32</v>
      </c>
      <c r="Z739" s="6">
        <v>2</v>
      </c>
      <c r="AA739" s="8">
        <v>45352</v>
      </c>
      <c r="AB739" s="4">
        <v>1.31</v>
      </c>
      <c r="AC739" s="6">
        <v>9.73</v>
      </c>
      <c r="AD739" s="6">
        <v>11.03</v>
      </c>
      <c r="AE739" s="1">
        <v>0</v>
      </c>
      <c r="AF739" s="1">
        <f ca="1">IFERROR(__xludf.DUMMYFUNCTION("IFERROR(GOOGLEFINANCE(TRIM(F739)&amp;"":"" &amp; TRIM(B739),""high52""),AE739)"),0)</f>
        <v>0</v>
      </c>
      <c r="AG739" s="1">
        <v>0</v>
      </c>
      <c r="AH739" s="1">
        <f ca="1">IFERROR(__xludf.DUMMYFUNCTION("IFERROR(GOOGLEFINANCE(TRIM(F739)&amp;"":"" &amp; TRIM(B739),""low52""),AE739)"),0)</f>
        <v>0</v>
      </c>
      <c r="AI739" s="1">
        <f ca="1">IFERROR(__xludf.DUMMYFUNCTION("IFERROR(GOOGLEFINANCE(B739,""eps""),0)"),0)</f>
        <v>0</v>
      </c>
      <c r="AJ739" s="1"/>
      <c r="AK739" s="1" t="s">
        <v>2293</v>
      </c>
      <c r="AL739" s="9">
        <f t="shared" si="138"/>
        <v>1</v>
      </c>
    </row>
    <row r="740" spans="1:38" ht="15" x14ac:dyDescent="0.25">
      <c r="A740" s="1" t="s">
        <v>2294</v>
      </c>
      <c r="B740" s="1" t="s">
        <v>2295</v>
      </c>
      <c r="C740" s="1" t="s">
        <v>483</v>
      </c>
      <c r="D740" s="1" t="s">
        <v>483</v>
      </c>
      <c r="E740" s="6">
        <v>532.96</v>
      </c>
      <c r="F740" s="1" t="s">
        <v>40</v>
      </c>
      <c r="G740" s="6">
        <f ca="1">IFERROR(__xludf.DUMMYFUNCTION("iferror(GOOGLEFINANCE(TRIM(F740)&amp;"":"" &amp; TRIM(B740), ""price""),0
)"),0)</f>
        <v>0</v>
      </c>
      <c r="H740" s="6">
        <v>218.5</v>
      </c>
      <c r="I740" s="6">
        <f t="shared" ca="1" si="0"/>
        <v>218.5</v>
      </c>
      <c r="J740" s="6">
        <f ca="1">IFERROR(__xludf.DUMMYFUNCTION("IFERROR(GOOGLEFINANCE(B740, ""volume""), 0)"),0)</f>
        <v>0</v>
      </c>
      <c r="K740" s="6">
        <v>-0.43</v>
      </c>
      <c r="L740" s="6">
        <f ca="1">IFERROR(__xludf.DUMMYFUNCTION("IFERROR(GOOGLEFINANCE(B740,""changepct""),K740)"),-0.43)</f>
        <v>-0.43</v>
      </c>
      <c r="M740" s="6">
        <f ca="1">IFERROR(__xludf.DUMMYFUNCTION("IFERROR(GOOGLEFINANCE(B740,""change""),0)"),0)</f>
        <v>0</v>
      </c>
      <c r="N740" s="6">
        <v>1</v>
      </c>
      <c r="O740" s="7">
        <v>45536</v>
      </c>
      <c r="P740" s="6">
        <v>15.71</v>
      </c>
      <c r="Q740" s="6">
        <v>548.66999999999996</v>
      </c>
      <c r="R740" s="7">
        <v>45352</v>
      </c>
      <c r="S740" s="6">
        <v>92.21</v>
      </c>
      <c r="T740" s="6">
        <v>10.53</v>
      </c>
      <c r="U740" s="7">
        <v>45352</v>
      </c>
      <c r="V740" s="6">
        <v>50.61</v>
      </c>
      <c r="W740" s="6">
        <f ca="1">IFERROR(__xludf.DUMMYFUNCTION("IFERROR(GOOGLEFINANCE(B740,""pe""),V740)"),50.61)</f>
        <v>50.61</v>
      </c>
      <c r="X740" s="9"/>
      <c r="Y740" s="6">
        <v>5.9</v>
      </c>
      <c r="Z740" s="6">
        <v>2</v>
      </c>
      <c r="AA740" s="8">
        <v>45352</v>
      </c>
      <c r="AB740" s="4">
        <v>1.37</v>
      </c>
      <c r="AC740" s="6">
        <v>39.58</v>
      </c>
      <c r="AD740" s="6">
        <v>28.75</v>
      </c>
      <c r="AE740" s="1">
        <v>0</v>
      </c>
      <c r="AF740" s="1">
        <f ca="1">IFERROR(__xludf.DUMMYFUNCTION("IFERROR(GOOGLEFINANCE(TRIM(F740)&amp;"":"" &amp; TRIM(B740),""high52""),AE740)"),0)</f>
        <v>0</v>
      </c>
      <c r="AG740" s="1">
        <v>0</v>
      </c>
      <c r="AH740" s="1">
        <f ca="1">IFERROR(__xludf.DUMMYFUNCTION("IFERROR(GOOGLEFINANCE(TRIM(F740)&amp;"":"" &amp; TRIM(B740),""low52""),AE740)"),0)</f>
        <v>0</v>
      </c>
      <c r="AI740" s="1">
        <f ca="1">IFERROR(__xludf.DUMMYFUNCTION("IFERROR(GOOGLEFINANCE(B740,""eps""),0)"),0)</f>
        <v>0</v>
      </c>
      <c r="AJ740" s="1"/>
      <c r="AK740" s="1" t="s">
        <v>2296</v>
      </c>
      <c r="AL740" s="9">
        <f t="shared" si="138"/>
        <v>1</v>
      </c>
    </row>
    <row r="741" spans="1:38" ht="15" x14ac:dyDescent="0.25">
      <c r="A741" s="1" t="s">
        <v>2297</v>
      </c>
      <c r="B741" s="1" t="s">
        <v>2298</v>
      </c>
      <c r="C741" s="1" t="s">
        <v>487</v>
      </c>
      <c r="D741" s="1" t="s">
        <v>487</v>
      </c>
      <c r="E741" s="6">
        <v>25.16</v>
      </c>
      <c r="F741" s="1" t="s">
        <v>53</v>
      </c>
      <c r="G741" s="6">
        <f ca="1">IFERROR(__xludf.DUMMYFUNCTION("iferror(GOOGLEFINANCE(TRIM(F741)&amp;"":"" &amp; TRIM(B741), ""price""),0
)"),0)</f>
        <v>0</v>
      </c>
      <c r="H741" s="6">
        <v>3.71</v>
      </c>
      <c r="I741" s="6">
        <f t="shared" ca="1" si="0"/>
        <v>3.71</v>
      </c>
      <c r="J741" s="6">
        <f ca="1">IFERROR(__xludf.DUMMYFUNCTION("IFERROR(GOOGLEFINANCE(B741, ""volume""), 0)"),0)</f>
        <v>0</v>
      </c>
      <c r="K741" s="6">
        <v>1.0900000000000001</v>
      </c>
      <c r="L741" s="6">
        <f ca="1">IFERROR(__xludf.DUMMYFUNCTION("IFERROR(GOOGLEFINANCE(B741,""changepct""),K741)"),1.09)</f>
        <v>1.0900000000000001</v>
      </c>
      <c r="M741" s="6">
        <f ca="1">IFERROR(__xludf.DUMMYFUNCTION("IFERROR(GOOGLEFINANCE(B741,""change""),0)"),0)</f>
        <v>0</v>
      </c>
      <c r="N741" s="6">
        <v>2</v>
      </c>
      <c r="O741" s="7">
        <v>45536</v>
      </c>
      <c r="P741" s="6">
        <v>0.03</v>
      </c>
      <c r="Q741" s="6">
        <v>25.19</v>
      </c>
      <c r="R741" s="7">
        <v>45536</v>
      </c>
      <c r="S741" s="6">
        <v>0.06</v>
      </c>
      <c r="T741" s="6">
        <v>-0.19</v>
      </c>
      <c r="U741" s="7">
        <v>45536</v>
      </c>
      <c r="V741" s="6">
        <v>0</v>
      </c>
      <c r="W741" s="6">
        <f ca="1">IFERROR(__xludf.DUMMYFUNCTION("IFERROR(GOOGLEFINANCE(B741,""pe""),V741)"),0)</f>
        <v>0</v>
      </c>
      <c r="X741" s="9"/>
      <c r="Y741" s="6">
        <v>3.28</v>
      </c>
      <c r="Z741" s="6">
        <v>2</v>
      </c>
      <c r="AA741" s="8">
        <v>45352</v>
      </c>
      <c r="AB741" s="4">
        <v>0</v>
      </c>
      <c r="AC741" s="6">
        <v>0.88</v>
      </c>
      <c r="AD741" s="6">
        <v>1.1399999999999999</v>
      </c>
      <c r="AE741" s="1">
        <v>0</v>
      </c>
      <c r="AF741" s="1">
        <f ca="1">IFERROR(__xludf.DUMMYFUNCTION("IFERROR(GOOGLEFINANCE(TRIM(F741)&amp;"":"" &amp; TRIM(B741),""high52""),AE741)"),0)</f>
        <v>0</v>
      </c>
      <c r="AG741" s="1">
        <v>0</v>
      </c>
      <c r="AH741" s="1">
        <f ca="1">IFERROR(__xludf.DUMMYFUNCTION("IFERROR(GOOGLEFINANCE(TRIM(F741)&amp;"":"" &amp; TRIM(B741),""low52""),AE741)"),0)</f>
        <v>0</v>
      </c>
      <c r="AI741" s="1">
        <f ca="1">IFERROR(__xludf.DUMMYFUNCTION("IFERROR(GOOGLEFINANCE(B741,""eps""),0)"),0)</f>
        <v>0</v>
      </c>
      <c r="AJ741" s="1"/>
      <c r="AK741" s="1" t="s">
        <v>2299</v>
      </c>
      <c r="AL741" s="9">
        <f t="shared" si="138"/>
        <v>1</v>
      </c>
    </row>
    <row r="742" spans="1:38" ht="15" x14ac:dyDescent="0.25">
      <c r="A742" s="1" t="s">
        <v>2300</v>
      </c>
      <c r="B742" s="1" t="s">
        <v>2301</v>
      </c>
      <c r="C742" s="1" t="s">
        <v>487</v>
      </c>
      <c r="D742" s="1" t="s">
        <v>487</v>
      </c>
      <c r="E742" s="6">
        <v>4.4000000000000004</v>
      </c>
      <c r="F742" s="1" t="s">
        <v>53</v>
      </c>
      <c r="G742" s="6">
        <f ca="1">IFERROR(__xludf.DUMMYFUNCTION("iferror(GOOGLEFINANCE(TRIM(F742)&amp;"":"" &amp; TRIM(B742), ""price""),0
)"),0)</f>
        <v>0</v>
      </c>
      <c r="H742" s="6">
        <v>12.99</v>
      </c>
      <c r="I742" s="6">
        <f t="shared" ca="1" si="0"/>
        <v>12.99</v>
      </c>
      <c r="J742" s="6">
        <f ca="1">IFERROR(__xludf.DUMMYFUNCTION("IFERROR(GOOGLEFINANCE(B742, ""volume""), 0)"),0)</f>
        <v>0</v>
      </c>
      <c r="K742" s="6">
        <v>1.88</v>
      </c>
      <c r="L742" s="6">
        <f ca="1">IFERROR(__xludf.DUMMYFUNCTION("IFERROR(GOOGLEFINANCE(B742,""changepct""),K742)"),1.88)</f>
        <v>1.88</v>
      </c>
      <c r="M742" s="6">
        <f ca="1">IFERROR(__xludf.DUMMYFUNCTION("IFERROR(GOOGLEFINANCE(B742,""change""),0)"),0)</f>
        <v>0</v>
      </c>
      <c r="N742" s="6">
        <v>1</v>
      </c>
      <c r="O742" s="7">
        <v>45536</v>
      </c>
      <c r="P742" s="9"/>
      <c r="Q742" s="6">
        <v>4.4000000000000004</v>
      </c>
      <c r="R742" s="7">
        <v>45536</v>
      </c>
      <c r="S742" s="6">
        <v>0.28000000000000003</v>
      </c>
      <c r="T742" s="6">
        <v>0.09</v>
      </c>
      <c r="U742" s="7">
        <v>45536</v>
      </c>
      <c r="V742" s="6">
        <v>46.8</v>
      </c>
      <c r="W742" s="6">
        <f ca="1">IFERROR(__xludf.DUMMYFUNCTION("IFERROR(GOOGLEFINANCE(B742,""pe""),V742)"),46.8)</f>
        <v>46.8</v>
      </c>
      <c r="X742" s="6">
        <v>0.49</v>
      </c>
      <c r="Y742" s="6">
        <v>1.1599999999999999</v>
      </c>
      <c r="Z742" s="6">
        <v>1</v>
      </c>
      <c r="AA742" s="8">
        <v>45352</v>
      </c>
      <c r="AB742" s="4">
        <v>0</v>
      </c>
      <c r="AC742" s="6">
        <v>3.89</v>
      </c>
      <c r="AD742" s="6">
        <v>5.22</v>
      </c>
      <c r="AE742" s="1">
        <v>0</v>
      </c>
      <c r="AF742" s="1">
        <f ca="1">IFERROR(__xludf.DUMMYFUNCTION("IFERROR(GOOGLEFINANCE(TRIM(F742)&amp;"":"" &amp; TRIM(B742),""high52""),AE742)"),0)</f>
        <v>0</v>
      </c>
      <c r="AG742" s="1">
        <v>0</v>
      </c>
      <c r="AH742" s="1">
        <f ca="1">IFERROR(__xludf.DUMMYFUNCTION("IFERROR(GOOGLEFINANCE(TRIM(F742)&amp;"":"" &amp; TRIM(B742),""low52""),AE742)"),0)</f>
        <v>0</v>
      </c>
      <c r="AI742" s="1">
        <f ca="1">IFERROR(__xludf.DUMMYFUNCTION("IFERROR(GOOGLEFINANCE(B742,""eps""),0)"),0)</f>
        <v>0</v>
      </c>
      <c r="AJ742" s="1"/>
      <c r="AK742" s="1" t="s">
        <v>2302</v>
      </c>
      <c r="AL742" s="9">
        <f t="shared" si="138"/>
        <v>1</v>
      </c>
    </row>
    <row r="743" spans="1:38" ht="15" x14ac:dyDescent="0.25">
      <c r="A743" s="1" t="s">
        <v>2303</v>
      </c>
      <c r="B743" s="1" t="s">
        <v>1319</v>
      </c>
      <c r="C743" s="1" t="s">
        <v>90</v>
      </c>
      <c r="D743" s="1" t="s">
        <v>90</v>
      </c>
      <c r="E743" s="6">
        <v>1345.34</v>
      </c>
      <c r="F743" s="1" t="s">
        <v>40</v>
      </c>
      <c r="G743" s="6">
        <f ca="1">IFERROR(__xludf.DUMMYFUNCTION("iferror(GOOGLEFINANCE(TRIM(F743)&amp;"":"" &amp; TRIM(B743), ""price""),0
)"),0)</f>
        <v>0</v>
      </c>
      <c r="H743" s="6">
        <v>945.7</v>
      </c>
      <c r="I743" s="6">
        <f t="shared" ca="1" si="0"/>
        <v>945.7</v>
      </c>
      <c r="J743" s="6">
        <f ca="1">IFERROR(__xludf.DUMMYFUNCTION("IFERROR(GOOGLEFINANCE(B743, ""volume""), 0)"),0)</f>
        <v>0</v>
      </c>
      <c r="K743" s="6">
        <v>0.11</v>
      </c>
      <c r="L743" s="6">
        <f ca="1">IFERROR(__xludf.DUMMYFUNCTION("IFERROR(GOOGLEFINANCE(B743,""changepct""),K743)"),0.11)</f>
        <v>0.11</v>
      </c>
      <c r="M743" s="6">
        <f ca="1">IFERROR(__xludf.DUMMYFUNCTION("IFERROR(GOOGLEFINANCE(B743,""change""),0)"),0)</f>
        <v>0</v>
      </c>
      <c r="N743" s="6">
        <v>2</v>
      </c>
      <c r="O743" s="7">
        <v>45536</v>
      </c>
      <c r="P743" s="6">
        <v>74.650000000000006</v>
      </c>
      <c r="Q743" s="6">
        <v>1402.42</v>
      </c>
      <c r="R743" s="7">
        <v>45536</v>
      </c>
      <c r="S743" s="6">
        <v>1529.25</v>
      </c>
      <c r="T743" s="6">
        <v>54.22</v>
      </c>
      <c r="U743" s="7">
        <v>45536</v>
      </c>
      <c r="V743" s="6">
        <v>25.29</v>
      </c>
      <c r="W743" s="6">
        <f ca="1">IFERROR(__xludf.DUMMYFUNCTION("IFERROR(GOOGLEFINANCE(B743,""pe""),V743)"),25.29)</f>
        <v>25.29</v>
      </c>
      <c r="X743" s="6">
        <v>0.48</v>
      </c>
      <c r="Y743" s="6">
        <v>5.76</v>
      </c>
      <c r="Z743" s="6">
        <v>2</v>
      </c>
      <c r="AA743" s="8">
        <v>45352</v>
      </c>
      <c r="AB743" s="4">
        <v>0.36</v>
      </c>
      <c r="AC743" s="6">
        <v>29.88</v>
      </c>
      <c r="AD743" s="6">
        <v>27.4</v>
      </c>
      <c r="AE743" s="1">
        <v>0</v>
      </c>
      <c r="AF743" s="1">
        <f ca="1">IFERROR(__xludf.DUMMYFUNCTION("IFERROR(GOOGLEFINANCE(TRIM(F743)&amp;"":"" &amp; TRIM(B743),""high52""),AE743)"),0)</f>
        <v>0</v>
      </c>
      <c r="AG743" s="1">
        <v>0</v>
      </c>
      <c r="AH743" s="1">
        <f ca="1">IFERROR(__xludf.DUMMYFUNCTION("IFERROR(GOOGLEFINANCE(TRIM(F743)&amp;"":"" &amp; TRIM(B743),""low52""),AE743)"),0)</f>
        <v>0</v>
      </c>
      <c r="AI743" s="1">
        <f ca="1">IFERROR(__xludf.DUMMYFUNCTION("IFERROR(GOOGLEFINANCE(B743,""eps""),0)"),0)</f>
        <v>0</v>
      </c>
      <c r="AJ743" s="1"/>
      <c r="AK743" s="1" t="s">
        <v>2304</v>
      </c>
      <c r="AL743" s="1" t="b">
        <f>ISNUMBER(AA743)</f>
        <v>1</v>
      </c>
    </row>
    <row r="744" spans="1:38" ht="15" x14ac:dyDescent="0.25">
      <c r="A744" s="1" t="s">
        <v>2305</v>
      </c>
      <c r="B744" s="1" t="s">
        <v>2306</v>
      </c>
      <c r="C744" s="1" t="s">
        <v>487</v>
      </c>
      <c r="D744" s="1" t="s">
        <v>487</v>
      </c>
      <c r="E744" s="6">
        <v>36.89</v>
      </c>
      <c r="F744" s="1" t="s">
        <v>53</v>
      </c>
      <c r="G744" s="6">
        <f ca="1">IFERROR(__xludf.DUMMYFUNCTION("iferror(GOOGLEFINANCE(TRIM(F744)&amp;"":"" &amp; TRIM(B744), ""price""),0
)"),0)</f>
        <v>0</v>
      </c>
      <c r="H744" s="6">
        <v>200.45</v>
      </c>
      <c r="I744" s="6">
        <f t="shared" ca="1" si="0"/>
        <v>200.45</v>
      </c>
      <c r="J744" s="6">
        <f ca="1">IFERROR(__xludf.DUMMYFUNCTION("IFERROR(GOOGLEFINANCE(B744, ""volume""), 0)"),0)</f>
        <v>0</v>
      </c>
      <c r="K744" s="6">
        <v>1.98</v>
      </c>
      <c r="L744" s="6">
        <f ca="1">IFERROR(__xludf.DUMMYFUNCTION("IFERROR(GOOGLEFINANCE(B744,""changepct""),K744)"),1.98)</f>
        <v>1.98</v>
      </c>
      <c r="M744" s="6">
        <f ca="1">IFERROR(__xludf.DUMMYFUNCTION("IFERROR(GOOGLEFINANCE(B744,""change""),0)"),0)</f>
        <v>0</v>
      </c>
      <c r="N744" s="6">
        <v>1</v>
      </c>
      <c r="O744" s="7">
        <v>45536</v>
      </c>
      <c r="P744" s="9"/>
      <c r="Q744" s="6">
        <v>36.74</v>
      </c>
      <c r="R744" s="7">
        <v>45536</v>
      </c>
      <c r="S744" s="6">
        <v>1.24</v>
      </c>
      <c r="T744" s="6">
        <v>0.68</v>
      </c>
      <c r="U744" s="7">
        <v>45536</v>
      </c>
      <c r="V744" s="6">
        <v>53.93</v>
      </c>
      <c r="W744" s="6">
        <f ca="1">IFERROR(__xludf.DUMMYFUNCTION("IFERROR(GOOGLEFINANCE(B744,""pe""),V744)"),53.93)</f>
        <v>53.93</v>
      </c>
      <c r="X744" s="6">
        <v>3.53</v>
      </c>
      <c r="Y744" s="6">
        <v>5.28</v>
      </c>
      <c r="Z744" s="6">
        <v>1</v>
      </c>
      <c r="AA744" s="8">
        <v>45352</v>
      </c>
      <c r="AB744" s="4">
        <v>0.1</v>
      </c>
      <c r="AC744" s="6">
        <v>0.04</v>
      </c>
      <c r="AD744" s="6">
        <v>1.02</v>
      </c>
      <c r="AE744" s="1">
        <v>0</v>
      </c>
      <c r="AF744" s="1">
        <f ca="1">IFERROR(__xludf.DUMMYFUNCTION("IFERROR(GOOGLEFINANCE(TRIM(F744)&amp;"":"" &amp; TRIM(B744),""high52""),AE744)"),0)</f>
        <v>0</v>
      </c>
      <c r="AG744" s="1">
        <v>0</v>
      </c>
      <c r="AH744" s="1">
        <f ca="1">IFERROR(__xludf.DUMMYFUNCTION("IFERROR(GOOGLEFINANCE(TRIM(F744)&amp;"":"" &amp; TRIM(B744),""low52""),AE744)"),0)</f>
        <v>0</v>
      </c>
      <c r="AI744" s="1">
        <f ca="1">IFERROR(__xludf.DUMMYFUNCTION("IFERROR(GOOGLEFINANCE(B744,""eps""),0)"),0)</f>
        <v>0</v>
      </c>
      <c r="AJ744" s="1"/>
      <c r="AK744" s="1" t="s">
        <v>2307</v>
      </c>
      <c r="AL744" s="9">
        <f t="shared" ref="AL744:AL761" si="139">IF(AA744&lt;&gt;AB744,1,0)</f>
        <v>1</v>
      </c>
    </row>
    <row r="745" spans="1:38" ht="15" x14ac:dyDescent="0.25">
      <c r="A745" s="1" t="s">
        <v>2308</v>
      </c>
      <c r="B745" s="1" t="s">
        <v>2309</v>
      </c>
      <c r="C745" s="1" t="s">
        <v>208</v>
      </c>
      <c r="D745" s="1" t="s">
        <v>208</v>
      </c>
      <c r="E745" s="6">
        <v>15224.74</v>
      </c>
      <c r="F745" s="1" t="s">
        <v>40</v>
      </c>
      <c r="G745" s="6">
        <f ca="1">IFERROR(__xludf.DUMMYFUNCTION("iferror(GOOGLEFINANCE(TRIM(F745)&amp;"":"" &amp; TRIM(B745), ""price""),0
)"),1253.3)</f>
        <v>1253.3</v>
      </c>
      <c r="H745" s="6">
        <v>941.8</v>
      </c>
      <c r="I745" s="6">
        <f t="shared" ca="1" si="0"/>
        <v>1253.3</v>
      </c>
      <c r="J745" s="6">
        <f ca="1">IFERROR(__xludf.DUMMYFUNCTION("IFERROR(GOOGLEFINANCE(B745, ""volume""), 0)"),403927)</f>
        <v>403927</v>
      </c>
      <c r="K745" s="6">
        <v>-1.35</v>
      </c>
      <c r="L745" s="6">
        <f ca="1">IFERROR(__xludf.DUMMYFUNCTION("IFERROR(GOOGLEFINANCE(B745,""changepct""),K745)"),-1.57)</f>
        <v>-1.57</v>
      </c>
      <c r="M745" s="6">
        <f ca="1">IFERROR(__xludf.DUMMYFUNCTION("IFERROR(GOOGLEFINANCE(B745,""change""),0)"),-20)</f>
        <v>-20</v>
      </c>
      <c r="N745" s="6">
        <v>2</v>
      </c>
      <c r="O745" s="7">
        <v>45536</v>
      </c>
      <c r="P745" s="6">
        <v>1334.14</v>
      </c>
      <c r="Q745" s="7">
        <v>45536</v>
      </c>
      <c r="R745" s="6">
        <v>11.41</v>
      </c>
      <c r="S745" s="6">
        <v>0.33</v>
      </c>
      <c r="T745" s="6">
        <v>2.1800000000000002</v>
      </c>
      <c r="U745" s="6">
        <v>2</v>
      </c>
      <c r="V745" s="7">
        <v>45352</v>
      </c>
      <c r="W745" s="6">
        <f ca="1">IFERROR(__xludf.DUMMYFUNCTION("IFERROR(GOOGLEFINANCE(B745,""pe""),V745)"),41.46)</f>
        <v>41.46</v>
      </c>
      <c r="X745" s="6">
        <v>3.34</v>
      </c>
      <c r="Y745" s="6">
        <v>24.87</v>
      </c>
      <c r="Z745" s="6">
        <v>14.76</v>
      </c>
      <c r="AA745" s="3" t="s">
        <v>2310</v>
      </c>
      <c r="AB745" s="3"/>
      <c r="AC745" s="9"/>
      <c r="AD745" s="9"/>
      <c r="AE745" s="1">
        <v>0</v>
      </c>
      <c r="AF745" s="1">
        <f ca="1">IFERROR(__xludf.DUMMYFUNCTION("IFERROR(GOOGLEFINANCE(TRIM(F745)&amp;"":"" &amp; TRIM(B745),""high52""),AE745)"),1496.7)</f>
        <v>1496.7</v>
      </c>
      <c r="AG745" s="1">
        <v>0</v>
      </c>
      <c r="AH745" s="1">
        <f ca="1">IFERROR(__xludf.DUMMYFUNCTION("IFERROR(GOOGLEFINANCE(TRIM(F745)&amp;"":"" &amp; TRIM(B745),""low52""),AE745)"),847.8)</f>
        <v>847.8</v>
      </c>
      <c r="AI745" s="1">
        <f ca="1">IFERROR(__xludf.DUMMYFUNCTION("IFERROR(GOOGLEFINANCE(B745,""eps""),0)"),30.23)</f>
        <v>30.23</v>
      </c>
      <c r="AJ745" s="1"/>
      <c r="AK745" s="9"/>
      <c r="AL745" s="9">
        <f t="shared" si="139"/>
        <v>1</v>
      </c>
    </row>
    <row r="746" spans="1:38" ht="15" x14ac:dyDescent="0.25">
      <c r="A746" s="1" t="s">
        <v>2311</v>
      </c>
      <c r="B746" s="1" t="s">
        <v>2312</v>
      </c>
      <c r="C746" s="1" t="s">
        <v>487</v>
      </c>
      <c r="D746" s="1" t="s">
        <v>487</v>
      </c>
      <c r="E746" s="6">
        <v>2032.05</v>
      </c>
      <c r="F746" s="1" t="s">
        <v>53</v>
      </c>
      <c r="G746" s="6">
        <f ca="1">IFERROR(__xludf.DUMMYFUNCTION("iferror(GOOGLEFINANCE(TRIM(F746)&amp;"":"" &amp; TRIM(B746), ""price""),0
)"),0)</f>
        <v>0</v>
      </c>
      <c r="H746" s="6">
        <v>120.75</v>
      </c>
      <c r="I746" s="6">
        <f t="shared" ca="1" si="0"/>
        <v>120.75</v>
      </c>
      <c r="J746" s="6">
        <f ca="1">IFERROR(__xludf.DUMMYFUNCTION("IFERROR(GOOGLEFINANCE(B746, ""volume""), 0)"),0)</f>
        <v>0</v>
      </c>
      <c r="K746" s="6">
        <v>0.71</v>
      </c>
      <c r="L746" s="6">
        <f ca="1">IFERROR(__xludf.DUMMYFUNCTION("IFERROR(GOOGLEFINANCE(B746,""changepct""),K746)"),0.71)</f>
        <v>0.71</v>
      </c>
      <c r="M746" s="6">
        <f ca="1">IFERROR(__xludf.DUMMYFUNCTION("IFERROR(GOOGLEFINANCE(B746,""change""),0)"),0)</f>
        <v>0</v>
      </c>
      <c r="N746" s="6">
        <v>2</v>
      </c>
      <c r="O746" s="7">
        <v>45536</v>
      </c>
      <c r="P746" s="6">
        <v>678</v>
      </c>
      <c r="Q746" s="6">
        <v>2706.93</v>
      </c>
      <c r="R746" s="7">
        <v>45536</v>
      </c>
      <c r="S746" s="6">
        <v>516.5</v>
      </c>
      <c r="T746" s="6">
        <v>127.22</v>
      </c>
      <c r="U746" s="7">
        <v>45536</v>
      </c>
      <c r="V746" s="6">
        <v>15.93</v>
      </c>
      <c r="W746" s="6">
        <f ca="1">IFERROR(__xludf.DUMMYFUNCTION("IFERROR(GOOGLEFINANCE(B746,""pe""),V746)"),15.93)</f>
        <v>15.93</v>
      </c>
      <c r="X746" s="6">
        <v>-5.19</v>
      </c>
      <c r="Y746" s="6">
        <v>1</v>
      </c>
      <c r="Z746" s="6">
        <v>2</v>
      </c>
      <c r="AA746" s="8">
        <v>45352</v>
      </c>
      <c r="AB746" s="4">
        <v>0.23</v>
      </c>
      <c r="AC746" s="6">
        <v>5.96</v>
      </c>
      <c r="AD746" s="6">
        <v>7.86</v>
      </c>
      <c r="AE746" s="1">
        <v>0</v>
      </c>
      <c r="AF746" s="1">
        <f ca="1">IFERROR(__xludf.DUMMYFUNCTION("IFERROR(GOOGLEFINANCE(TRIM(F746)&amp;"":"" &amp; TRIM(B746),""high52""),AE746)"),0)</f>
        <v>0</v>
      </c>
      <c r="AG746" s="1">
        <v>0</v>
      </c>
      <c r="AH746" s="1">
        <f ca="1">IFERROR(__xludf.DUMMYFUNCTION("IFERROR(GOOGLEFINANCE(TRIM(F746)&amp;"":"" &amp; TRIM(B746),""low52""),AE746)"),0)</f>
        <v>0</v>
      </c>
      <c r="AI746" s="1">
        <f ca="1">IFERROR(__xludf.DUMMYFUNCTION("IFERROR(GOOGLEFINANCE(B746,""eps""),0)"),0)</f>
        <v>0</v>
      </c>
      <c r="AJ746" s="1"/>
      <c r="AK746" s="1" t="s">
        <v>2313</v>
      </c>
      <c r="AL746" s="9">
        <f t="shared" si="139"/>
        <v>1</v>
      </c>
    </row>
    <row r="747" spans="1:38" ht="15" x14ac:dyDescent="0.25">
      <c r="A747" s="1" t="s">
        <v>2314</v>
      </c>
      <c r="B747" s="1" t="s">
        <v>2315</v>
      </c>
      <c r="C747" s="1" t="s">
        <v>227</v>
      </c>
      <c r="D747" s="1" t="s">
        <v>227</v>
      </c>
      <c r="E747" s="6">
        <v>1184.19</v>
      </c>
      <c r="F747" s="1" t="s">
        <v>40</v>
      </c>
      <c r="G747" s="6">
        <f ca="1">IFERROR(__xludf.DUMMYFUNCTION("iferror(GOOGLEFINANCE(TRIM(F747)&amp;"":"" &amp; TRIM(B747), ""price""),0
)"),90)</f>
        <v>90</v>
      </c>
      <c r="H747" s="6">
        <v>181.59</v>
      </c>
      <c r="I747" s="6">
        <f t="shared" ca="1" si="0"/>
        <v>90</v>
      </c>
      <c r="J747" s="6">
        <f ca="1">IFERROR(__xludf.DUMMYFUNCTION("IFERROR(GOOGLEFINANCE(B747, ""volume""), 0)"),102750)</f>
        <v>102750</v>
      </c>
      <c r="K747" s="6">
        <v>-0.1</v>
      </c>
      <c r="L747" s="6">
        <f ca="1">IFERROR(__xludf.DUMMYFUNCTION("IFERROR(GOOGLEFINANCE(B747,""changepct""),K747)"),-0.04)</f>
        <v>-0.04</v>
      </c>
      <c r="M747" s="6">
        <f ca="1">IFERROR(__xludf.DUMMYFUNCTION("IFERROR(GOOGLEFINANCE(B747,""change""),0)"),-0.04)</f>
        <v>-0.04</v>
      </c>
      <c r="N747" s="6">
        <v>2</v>
      </c>
      <c r="O747" s="7">
        <v>45536</v>
      </c>
      <c r="P747" s="6">
        <v>19.32</v>
      </c>
      <c r="Q747" s="6">
        <v>1201.72</v>
      </c>
      <c r="R747" s="7">
        <v>45536</v>
      </c>
      <c r="S747" s="6">
        <v>592.67999999999995</v>
      </c>
      <c r="T747" s="6">
        <v>58.89</v>
      </c>
      <c r="U747" s="7">
        <v>45536</v>
      </c>
      <c r="V747" s="6">
        <v>20.11</v>
      </c>
      <c r="W747" s="6">
        <f ca="1">IFERROR(__xludf.DUMMYFUNCTION("IFERROR(GOOGLEFINANCE(B747,""pe""),V747)"),10.2)</f>
        <v>10.199999999999999</v>
      </c>
      <c r="X747" s="9"/>
      <c r="Y747" s="6">
        <v>3.14</v>
      </c>
      <c r="Z747" s="6">
        <v>2</v>
      </c>
      <c r="AA747" s="8">
        <v>45352</v>
      </c>
      <c r="AB747" s="4">
        <v>0.11</v>
      </c>
      <c r="AC747" s="6">
        <v>19.07</v>
      </c>
      <c r="AD747" s="6">
        <v>30.7</v>
      </c>
      <c r="AE747" s="1">
        <v>0</v>
      </c>
      <c r="AF747" s="1">
        <f ca="1">IFERROR(__xludf.DUMMYFUNCTION("IFERROR(GOOGLEFINANCE(TRIM(F747)&amp;"":"" &amp; TRIM(B747),""high52""),AE747)"),189)</f>
        <v>189</v>
      </c>
      <c r="AG747" s="1">
        <v>0</v>
      </c>
      <c r="AH747" s="1">
        <f ca="1">IFERROR(__xludf.DUMMYFUNCTION("IFERROR(GOOGLEFINANCE(TRIM(F747)&amp;"":"" &amp; TRIM(B747),""low52""),AE747)"),85.31)</f>
        <v>85.31</v>
      </c>
      <c r="AI747" s="1">
        <f ca="1">IFERROR(__xludf.DUMMYFUNCTION("IFERROR(GOOGLEFINANCE(B747,""eps""),0)"),8.82)</f>
        <v>8.82</v>
      </c>
      <c r="AJ747" s="1"/>
      <c r="AK747" s="1" t="s">
        <v>2316</v>
      </c>
      <c r="AL747" s="9">
        <f t="shared" si="139"/>
        <v>1</v>
      </c>
    </row>
    <row r="748" spans="1:38" ht="15" x14ac:dyDescent="0.25">
      <c r="A748" s="1" t="s">
        <v>2317</v>
      </c>
      <c r="B748" s="1" t="s">
        <v>2318</v>
      </c>
      <c r="C748" s="1" t="s">
        <v>487</v>
      </c>
      <c r="D748" s="1" t="s">
        <v>487</v>
      </c>
      <c r="E748" s="6">
        <v>6.28</v>
      </c>
      <c r="F748" s="1" t="s">
        <v>53</v>
      </c>
      <c r="G748" s="6">
        <f ca="1">IFERROR(__xludf.DUMMYFUNCTION("iferror(GOOGLEFINANCE(TRIM(F748)&amp;"":"" &amp; TRIM(B748), ""price""),0
)"),0)</f>
        <v>0</v>
      </c>
      <c r="H748" s="6">
        <v>8.41</v>
      </c>
      <c r="I748" s="6">
        <f t="shared" ca="1" si="0"/>
        <v>8.41</v>
      </c>
      <c r="J748" s="6">
        <f ca="1">IFERROR(__xludf.DUMMYFUNCTION("IFERROR(GOOGLEFINANCE(B748, ""volume""), 0)"),0)</f>
        <v>0</v>
      </c>
      <c r="K748" s="6">
        <v>-0.12</v>
      </c>
      <c r="L748" s="6">
        <f ca="1">IFERROR(__xludf.DUMMYFUNCTION("IFERROR(GOOGLEFINANCE(B748,""changepct""),K748)"),-0.12)</f>
        <v>-0.12</v>
      </c>
      <c r="M748" s="6">
        <f ca="1">IFERROR(__xludf.DUMMYFUNCTION("IFERROR(GOOGLEFINANCE(B748,""change""),0)"),0)</f>
        <v>0</v>
      </c>
      <c r="N748" s="6">
        <v>1</v>
      </c>
      <c r="O748" s="7">
        <v>45536</v>
      </c>
      <c r="P748" s="6">
        <v>1.52</v>
      </c>
      <c r="Q748" s="6">
        <v>7.79</v>
      </c>
      <c r="R748" s="7">
        <v>45536</v>
      </c>
      <c r="S748" s="6">
        <v>0</v>
      </c>
      <c r="T748" s="6">
        <v>-0.35</v>
      </c>
      <c r="U748" s="7">
        <v>45536</v>
      </c>
      <c r="V748" s="6">
        <v>0</v>
      </c>
      <c r="W748" s="6">
        <f ca="1">IFERROR(__xludf.DUMMYFUNCTION("IFERROR(GOOGLEFINANCE(B748,""pe""),V748)"),0)</f>
        <v>0</v>
      </c>
      <c r="X748" s="12"/>
      <c r="Y748" s="6">
        <v>-4.3899999999999997</v>
      </c>
      <c r="Z748" s="6">
        <v>1</v>
      </c>
      <c r="AA748" s="8">
        <v>45352</v>
      </c>
      <c r="AB748" s="4">
        <v>-1.06</v>
      </c>
      <c r="AC748" s="6">
        <v>0</v>
      </c>
      <c r="AD748" s="6">
        <v>-483.62</v>
      </c>
      <c r="AE748" s="1">
        <v>0</v>
      </c>
      <c r="AF748" s="1">
        <f ca="1">IFERROR(__xludf.DUMMYFUNCTION("IFERROR(GOOGLEFINANCE(TRIM(F748)&amp;"":"" &amp; TRIM(B748),""high52""),AE748)"),0)</f>
        <v>0</v>
      </c>
      <c r="AG748" s="1">
        <v>0</v>
      </c>
      <c r="AH748" s="1">
        <f ca="1">IFERROR(__xludf.DUMMYFUNCTION("IFERROR(GOOGLEFINANCE(TRIM(F748)&amp;"":"" &amp; TRIM(B748),""low52""),AE748)"),0)</f>
        <v>0</v>
      </c>
      <c r="AI748" s="1">
        <f ca="1">IFERROR(__xludf.DUMMYFUNCTION("IFERROR(GOOGLEFINANCE(B748,""eps""),0)"),0)</f>
        <v>0</v>
      </c>
      <c r="AJ748" s="1"/>
      <c r="AK748" s="1" t="s">
        <v>2319</v>
      </c>
      <c r="AL748" s="9">
        <f t="shared" si="139"/>
        <v>1</v>
      </c>
    </row>
    <row r="749" spans="1:38" ht="15" x14ac:dyDescent="0.25">
      <c r="A749" s="1" t="s">
        <v>2320</v>
      </c>
      <c r="B749" s="1" t="s">
        <v>2321</v>
      </c>
      <c r="C749" s="1" t="s">
        <v>208</v>
      </c>
      <c r="D749" s="1" t="s">
        <v>208</v>
      </c>
      <c r="E749" s="6">
        <v>1238.99</v>
      </c>
      <c r="F749" s="1" t="s">
        <v>40</v>
      </c>
      <c r="G749" s="6">
        <f ca="1">IFERROR(__xludf.DUMMYFUNCTION("iferror(GOOGLEFINANCE(TRIM(F749)&amp;"":"" &amp; TRIM(B749), ""price""),0
)"),356.95)</f>
        <v>356.95</v>
      </c>
      <c r="H749" s="6">
        <v>434.6</v>
      </c>
      <c r="I749" s="6">
        <f t="shared" ca="1" si="0"/>
        <v>356.95</v>
      </c>
      <c r="J749" s="6">
        <f ca="1">IFERROR(__xludf.DUMMYFUNCTION("IFERROR(GOOGLEFINANCE(B749, ""volume""), 0)"),0)</f>
        <v>0</v>
      </c>
      <c r="K749" s="6">
        <v>-0.89</v>
      </c>
      <c r="L749" s="6">
        <f ca="1">IFERROR(__xludf.DUMMYFUNCTION("IFERROR(GOOGLEFINANCE(B749,""changepct""),K749)"),-0.89)</f>
        <v>-0.89</v>
      </c>
      <c r="M749" s="6">
        <f ca="1">IFERROR(__xludf.DUMMYFUNCTION("IFERROR(GOOGLEFINANCE(B749,""change""),0)"),0)</f>
        <v>0</v>
      </c>
      <c r="N749" s="6">
        <v>2</v>
      </c>
      <c r="O749" s="7">
        <v>45536</v>
      </c>
      <c r="P749" s="6">
        <v>89.66</v>
      </c>
      <c r="Q749" s="7">
        <v>45536</v>
      </c>
      <c r="R749" s="6">
        <v>14</v>
      </c>
      <c r="S749" s="6">
        <v>2.99</v>
      </c>
      <c r="T749" s="6">
        <v>1.05</v>
      </c>
      <c r="U749" s="6">
        <v>2</v>
      </c>
      <c r="V749" s="7">
        <v>45352</v>
      </c>
      <c r="W749" s="10">
        <f ca="1">IFERROR(__xludf.DUMMYFUNCTION("IFERROR(GOOGLEFINANCE(B749,""pe""),V749)"),45352)</f>
        <v>45352</v>
      </c>
      <c r="X749" s="6">
        <v>0.18</v>
      </c>
      <c r="Y749" s="6">
        <v>5.96</v>
      </c>
      <c r="Z749" s="6">
        <v>8.6300000000000008</v>
      </c>
      <c r="AA749" s="3" t="s">
        <v>2322</v>
      </c>
      <c r="AB749" s="11"/>
      <c r="AC749" s="9"/>
      <c r="AD749" s="9"/>
      <c r="AE749" s="1">
        <v>0</v>
      </c>
      <c r="AF749" s="1">
        <f ca="1">IFERROR(__xludf.DUMMYFUNCTION("IFERROR(GOOGLEFINANCE(TRIM(F749)&amp;"":"" &amp; TRIM(B749),""high52""),AE749)"),430.1)</f>
        <v>430.1</v>
      </c>
      <c r="AG749" s="1">
        <v>0</v>
      </c>
      <c r="AH749" s="1">
        <f ca="1">IFERROR(__xludf.DUMMYFUNCTION("IFERROR(GOOGLEFINANCE(TRIM(F749)&amp;"":"" &amp; TRIM(B749),""low52""),AE749)"),319.1)</f>
        <v>319.10000000000002</v>
      </c>
      <c r="AI749" s="1">
        <f ca="1">IFERROR(__xludf.DUMMYFUNCTION("IFERROR(GOOGLEFINANCE(B749,""eps""),0)"),0)</f>
        <v>0</v>
      </c>
      <c r="AJ749" s="1"/>
      <c r="AK749" s="9"/>
      <c r="AL749" s="9">
        <f t="shared" si="139"/>
        <v>1</v>
      </c>
    </row>
    <row r="750" spans="1:38" ht="15" x14ac:dyDescent="0.25">
      <c r="A750" s="1" t="s">
        <v>2323</v>
      </c>
      <c r="B750" s="1" t="s">
        <v>2324</v>
      </c>
      <c r="C750" s="1" t="s">
        <v>487</v>
      </c>
      <c r="D750" s="1" t="s">
        <v>487</v>
      </c>
      <c r="E750" s="6">
        <v>466.91</v>
      </c>
      <c r="F750" s="1" t="s">
        <v>53</v>
      </c>
      <c r="G750" s="6">
        <f ca="1">IFERROR(__xludf.DUMMYFUNCTION("iferror(GOOGLEFINANCE(TRIM(F750)&amp;"":"" &amp; TRIM(B750), ""price""),0
)"),0)</f>
        <v>0</v>
      </c>
      <c r="H750" s="6">
        <v>345.85</v>
      </c>
      <c r="I750" s="6">
        <f t="shared" ca="1" si="0"/>
        <v>345.85</v>
      </c>
      <c r="J750" s="6">
        <f ca="1">IFERROR(__xludf.DUMMYFUNCTION("IFERROR(GOOGLEFINANCE(B750, ""volume""), 0)"),0)</f>
        <v>0</v>
      </c>
      <c r="K750" s="9"/>
      <c r="L750" s="6" t="str">
        <f ca="1">IFERROR(__xludf.DUMMYFUNCTION("IFERROR(GOOGLEFINANCE(B750,""changepct""),K750)"),"")</f>
        <v/>
      </c>
      <c r="M750" s="6">
        <f ca="1">IFERROR(__xludf.DUMMYFUNCTION("IFERROR(GOOGLEFINANCE(B750,""change""),0)"),0)</f>
        <v>0</v>
      </c>
      <c r="N750" s="6">
        <v>1</v>
      </c>
      <c r="O750" s="7">
        <v>45536</v>
      </c>
      <c r="P750" s="6">
        <v>70.52</v>
      </c>
      <c r="Q750" s="6">
        <v>535.44000000000005</v>
      </c>
      <c r="R750" s="7">
        <v>45536</v>
      </c>
      <c r="S750" s="6">
        <v>58.29</v>
      </c>
      <c r="T750" s="6">
        <v>2.64</v>
      </c>
      <c r="U750" s="7">
        <v>45536</v>
      </c>
      <c r="V750" s="6">
        <v>176.66</v>
      </c>
      <c r="W750" s="6">
        <f ca="1">IFERROR(__xludf.DUMMYFUNCTION("IFERROR(GOOGLEFINANCE(B750,""pe""),V750)"),176.66)</f>
        <v>176.66</v>
      </c>
      <c r="X750" s="6">
        <v>1.65</v>
      </c>
      <c r="Y750" s="6">
        <v>108.57</v>
      </c>
      <c r="Z750" s="6">
        <v>1</v>
      </c>
      <c r="AA750" s="8">
        <v>45352</v>
      </c>
      <c r="AB750" s="4">
        <v>13.99</v>
      </c>
      <c r="AC750" s="6">
        <v>125.68</v>
      </c>
      <c r="AD750" s="6">
        <v>13.22</v>
      </c>
      <c r="AE750" s="1">
        <v>0</v>
      </c>
      <c r="AF750" s="1">
        <f ca="1">IFERROR(__xludf.DUMMYFUNCTION("IFERROR(GOOGLEFINANCE(TRIM(F750)&amp;"":"" &amp; TRIM(B750),""high52""),AE750)"),0)</f>
        <v>0</v>
      </c>
      <c r="AG750" s="1">
        <v>0</v>
      </c>
      <c r="AH750" s="1">
        <f ca="1">IFERROR(__xludf.DUMMYFUNCTION("IFERROR(GOOGLEFINANCE(TRIM(F750)&amp;"":"" &amp; TRIM(B750),""low52""),AE750)"),0)</f>
        <v>0</v>
      </c>
      <c r="AI750" s="1">
        <f ca="1">IFERROR(__xludf.DUMMYFUNCTION("IFERROR(GOOGLEFINANCE(B750,""eps""),0)"),0)</f>
        <v>0</v>
      </c>
      <c r="AJ750" s="1"/>
      <c r="AK750" s="1" t="s">
        <v>2325</v>
      </c>
      <c r="AL750" s="9">
        <f t="shared" si="139"/>
        <v>1</v>
      </c>
    </row>
    <row r="751" spans="1:38" ht="15" x14ac:dyDescent="0.25">
      <c r="A751" s="1" t="s">
        <v>2326</v>
      </c>
      <c r="B751" s="1" t="s">
        <v>2327</v>
      </c>
      <c r="C751" s="1" t="s">
        <v>487</v>
      </c>
      <c r="D751" s="1" t="s">
        <v>487</v>
      </c>
      <c r="E751" s="6">
        <v>17.649999999999999</v>
      </c>
      <c r="F751" s="1" t="s">
        <v>53</v>
      </c>
      <c r="G751" s="6">
        <f ca="1">IFERROR(__xludf.DUMMYFUNCTION("iferror(GOOGLEFINANCE(TRIM(F751)&amp;"":"" &amp; TRIM(B751), ""price""),0
)"),0)</f>
        <v>0</v>
      </c>
      <c r="H751" s="6">
        <v>17.05</v>
      </c>
      <c r="I751" s="6">
        <f t="shared" ca="1" si="0"/>
        <v>17.05</v>
      </c>
      <c r="J751" s="6">
        <f ca="1">IFERROR(__xludf.DUMMYFUNCTION("IFERROR(GOOGLEFINANCE(B751, ""volume""), 0)"),0)</f>
        <v>0</v>
      </c>
      <c r="K751" s="6">
        <v>0.18</v>
      </c>
      <c r="L751" s="6">
        <f ca="1">IFERROR(__xludf.DUMMYFUNCTION("IFERROR(GOOGLEFINANCE(B751,""changepct""),K751)"),0.18)</f>
        <v>0.18</v>
      </c>
      <c r="M751" s="6">
        <f ca="1">IFERROR(__xludf.DUMMYFUNCTION("IFERROR(GOOGLEFINANCE(B751,""change""),0)"),0)</f>
        <v>0</v>
      </c>
      <c r="N751" s="6">
        <v>1</v>
      </c>
      <c r="O751" s="7">
        <v>45536</v>
      </c>
      <c r="P751" s="9"/>
      <c r="Q751" s="6">
        <v>17.649999999999999</v>
      </c>
      <c r="R751" s="7">
        <v>45536</v>
      </c>
      <c r="S751" s="6">
        <v>0</v>
      </c>
      <c r="T751" s="6">
        <v>2.0299999999999998</v>
      </c>
      <c r="U751" s="7">
        <v>45536</v>
      </c>
      <c r="V751" s="6">
        <v>8.69</v>
      </c>
      <c r="W751" s="6">
        <f ca="1">IFERROR(__xludf.DUMMYFUNCTION("IFERROR(GOOGLEFINANCE(B751,""pe""),V751)"),8.69)</f>
        <v>8.69</v>
      </c>
      <c r="X751" s="6">
        <v>0.43</v>
      </c>
      <c r="Y751" s="6">
        <v>0.47</v>
      </c>
      <c r="Z751" s="6">
        <v>1</v>
      </c>
      <c r="AA751" s="8">
        <v>45352</v>
      </c>
      <c r="AB751" s="4">
        <v>0</v>
      </c>
      <c r="AC751" s="6">
        <v>4.92</v>
      </c>
      <c r="AD751" s="6">
        <v>6.69</v>
      </c>
      <c r="AE751" s="1">
        <v>0</v>
      </c>
      <c r="AF751" s="1">
        <f ca="1">IFERROR(__xludf.DUMMYFUNCTION("IFERROR(GOOGLEFINANCE(TRIM(F751)&amp;"":"" &amp; TRIM(B751),""high52""),AE751)"),0)</f>
        <v>0</v>
      </c>
      <c r="AG751" s="1">
        <v>0</v>
      </c>
      <c r="AH751" s="1">
        <f ca="1">IFERROR(__xludf.DUMMYFUNCTION("IFERROR(GOOGLEFINANCE(TRIM(F751)&amp;"":"" &amp; TRIM(B751),""low52""),AE751)"),0)</f>
        <v>0</v>
      </c>
      <c r="AI751" s="1">
        <f ca="1">IFERROR(__xludf.DUMMYFUNCTION("IFERROR(GOOGLEFINANCE(B751,""eps""),0)"),0)</f>
        <v>0</v>
      </c>
      <c r="AJ751" s="1"/>
      <c r="AK751" s="1" t="s">
        <v>2328</v>
      </c>
      <c r="AL751" s="9">
        <f t="shared" si="139"/>
        <v>1</v>
      </c>
    </row>
    <row r="752" spans="1:38" ht="15" x14ac:dyDescent="0.25">
      <c r="A752" s="1" t="s">
        <v>2329</v>
      </c>
      <c r="B752" s="1" t="s">
        <v>2330</v>
      </c>
      <c r="C752" s="1" t="s">
        <v>1876</v>
      </c>
      <c r="D752" s="1" t="s">
        <v>1876</v>
      </c>
      <c r="E752" s="6">
        <v>45154.35</v>
      </c>
      <c r="F752" s="1" t="s">
        <v>40</v>
      </c>
      <c r="G752" s="6">
        <f ca="1">IFERROR(__xludf.DUMMYFUNCTION("iferror(GOOGLEFINANCE(TRIM(F752)&amp;"":"" &amp; TRIM(B752), ""price""),0
)"),4779.8)</f>
        <v>4779.8</v>
      </c>
      <c r="H752" s="6">
        <v>6228.5</v>
      </c>
      <c r="I752" s="6">
        <f t="shared" ca="1" si="0"/>
        <v>4779.8</v>
      </c>
      <c r="J752" s="6">
        <f ca="1">IFERROR(__xludf.DUMMYFUNCTION("IFERROR(GOOGLEFINANCE(B752, ""volume""), 0)"),71940)</f>
        <v>71940</v>
      </c>
      <c r="K752" s="6">
        <v>0.68</v>
      </c>
      <c r="L752" s="6">
        <f ca="1">IFERROR(__xludf.DUMMYFUNCTION("IFERROR(GOOGLEFINANCE(B752,""changepct""),K752)"),2.4)</f>
        <v>2.4</v>
      </c>
      <c r="M752" s="6">
        <f ca="1">IFERROR(__xludf.DUMMYFUNCTION("IFERROR(GOOGLEFINANCE(B752,""change""),0)"),111.9)</f>
        <v>111.9</v>
      </c>
      <c r="N752" s="6">
        <v>2</v>
      </c>
      <c r="O752" s="7">
        <v>45444</v>
      </c>
      <c r="P752" s="9"/>
      <c r="Q752" s="6">
        <v>44849.33</v>
      </c>
      <c r="R752" s="7">
        <v>45536</v>
      </c>
      <c r="S752" s="6">
        <v>3264.61</v>
      </c>
      <c r="T752" s="6">
        <v>669.5</v>
      </c>
      <c r="U752" s="7">
        <v>45536</v>
      </c>
      <c r="V752" s="6">
        <v>67.44</v>
      </c>
      <c r="W752" s="6">
        <f ca="1">IFERROR(__xludf.DUMMYFUNCTION("IFERROR(GOOGLEFINANCE(B752,""pe""),V752)"),46.65)</f>
        <v>46.65</v>
      </c>
      <c r="X752" s="6">
        <v>5.34</v>
      </c>
      <c r="Y752" s="6">
        <v>18.670000000000002</v>
      </c>
      <c r="Z752" s="6">
        <v>2</v>
      </c>
      <c r="AA752" s="8">
        <v>45261</v>
      </c>
      <c r="AB752" s="4">
        <v>0</v>
      </c>
      <c r="AC752" s="6">
        <v>33.61</v>
      </c>
      <c r="AD752" s="6">
        <v>43.77</v>
      </c>
      <c r="AE752" s="1">
        <v>0</v>
      </c>
      <c r="AF752" s="1">
        <f ca="1">IFERROR(__xludf.DUMMYFUNCTION("IFERROR(GOOGLEFINANCE(TRIM(F752)&amp;"":"" &amp; TRIM(B752),""high52""),AE752)"),6139)</f>
        <v>6139</v>
      </c>
      <c r="AG752" s="1">
        <v>0</v>
      </c>
      <c r="AH752" s="1">
        <f ca="1">IFERROR(__xludf.DUMMYFUNCTION("IFERROR(GOOGLEFINANCE(TRIM(F752)&amp;"":"" &amp; TRIM(B752),""low52""),AE752)"),3973.6)</f>
        <v>3973.6</v>
      </c>
      <c r="AI752" s="1">
        <f ca="1">IFERROR(__xludf.DUMMYFUNCTION("IFERROR(GOOGLEFINANCE(B752,""eps""),0)"),102.46)</f>
        <v>102.46</v>
      </c>
      <c r="AJ752" s="1"/>
      <c r="AK752" s="1" t="s">
        <v>2331</v>
      </c>
      <c r="AL752" s="9">
        <f t="shared" si="139"/>
        <v>1</v>
      </c>
    </row>
    <row r="753" spans="1:38" ht="15" x14ac:dyDescent="0.25">
      <c r="A753" s="1" t="s">
        <v>2332</v>
      </c>
      <c r="B753" s="1" t="s">
        <v>2333</v>
      </c>
      <c r="C753" s="1" t="s">
        <v>487</v>
      </c>
      <c r="D753" s="1" t="s">
        <v>487</v>
      </c>
      <c r="E753" s="6">
        <v>46.78</v>
      </c>
      <c r="F753" s="1" t="s">
        <v>53</v>
      </c>
      <c r="G753" s="6">
        <f ca="1">IFERROR(__xludf.DUMMYFUNCTION("iferror(GOOGLEFINANCE(TRIM(F753)&amp;"":"" &amp; TRIM(B753), ""price""),0
)"),0)</f>
        <v>0</v>
      </c>
      <c r="H753" s="6">
        <v>33.549999999999997</v>
      </c>
      <c r="I753" s="6">
        <f t="shared" ca="1" si="0"/>
        <v>33.549999999999997</v>
      </c>
      <c r="J753" s="6">
        <f ca="1">IFERROR(__xludf.DUMMYFUNCTION("IFERROR(GOOGLEFINANCE(B753, ""volume""), 0)"),0)</f>
        <v>0</v>
      </c>
      <c r="K753" s="6">
        <v>-0.3</v>
      </c>
      <c r="L753" s="6">
        <f ca="1">IFERROR(__xludf.DUMMYFUNCTION("IFERROR(GOOGLEFINANCE(B753,""changepct""),K753)"),-0.3)</f>
        <v>-0.3</v>
      </c>
      <c r="M753" s="6">
        <f ca="1">IFERROR(__xludf.DUMMYFUNCTION("IFERROR(GOOGLEFINANCE(B753,""change""),0)"),0)</f>
        <v>0</v>
      </c>
      <c r="N753" s="6">
        <v>1</v>
      </c>
      <c r="O753" s="7">
        <v>45536</v>
      </c>
      <c r="P753" s="6">
        <v>6.4</v>
      </c>
      <c r="Q753" s="6">
        <v>53.18</v>
      </c>
      <c r="R753" s="7">
        <v>45536</v>
      </c>
      <c r="S753" s="6">
        <v>25.61</v>
      </c>
      <c r="T753" s="6">
        <v>6.64</v>
      </c>
      <c r="U753" s="7">
        <v>45536</v>
      </c>
      <c r="V753" s="6">
        <v>7.04</v>
      </c>
      <c r="W753" s="6">
        <f ca="1">IFERROR(__xludf.DUMMYFUNCTION("IFERROR(GOOGLEFINANCE(B753,""pe""),V753)"),7.04)</f>
        <v>7.04</v>
      </c>
      <c r="X753" s="6">
        <v>0.24</v>
      </c>
      <c r="Y753" s="6">
        <v>0.46</v>
      </c>
      <c r="Z753" s="6">
        <v>1</v>
      </c>
      <c r="AA753" s="8">
        <v>45352</v>
      </c>
      <c r="AB753" s="4">
        <v>0.11</v>
      </c>
      <c r="AC753" s="6">
        <v>3.13</v>
      </c>
      <c r="AD753" s="6">
        <v>4.51</v>
      </c>
      <c r="AE753" s="1">
        <v>0</v>
      </c>
      <c r="AF753" s="1">
        <f ca="1">IFERROR(__xludf.DUMMYFUNCTION("IFERROR(GOOGLEFINANCE(TRIM(F753)&amp;"":"" &amp; TRIM(B753),""high52""),AE753)"),0)</f>
        <v>0</v>
      </c>
      <c r="AG753" s="1">
        <v>0</v>
      </c>
      <c r="AH753" s="1">
        <f ca="1">IFERROR(__xludf.DUMMYFUNCTION("IFERROR(GOOGLEFINANCE(TRIM(F753)&amp;"":"" &amp; TRIM(B753),""low52""),AE753)"),0)</f>
        <v>0</v>
      </c>
      <c r="AI753" s="1">
        <f ca="1">IFERROR(__xludf.DUMMYFUNCTION("IFERROR(GOOGLEFINANCE(B753,""eps""),0)"),0)</f>
        <v>0</v>
      </c>
      <c r="AJ753" s="1"/>
      <c r="AK753" s="1" t="s">
        <v>2334</v>
      </c>
      <c r="AL753" s="9">
        <f t="shared" si="139"/>
        <v>1</v>
      </c>
    </row>
    <row r="754" spans="1:38" ht="15" x14ac:dyDescent="0.25">
      <c r="A754" s="1" t="s">
        <v>2335</v>
      </c>
      <c r="B754" s="1" t="s">
        <v>2336</v>
      </c>
      <c r="C754" s="1" t="s">
        <v>1265</v>
      </c>
      <c r="D754" s="1" t="s">
        <v>1265</v>
      </c>
      <c r="E754" s="6">
        <v>23953.9</v>
      </c>
      <c r="F754" s="1" t="s">
        <v>40</v>
      </c>
      <c r="G754" s="6">
        <f ca="1">IFERROR(__xludf.DUMMYFUNCTION("iferror(GOOGLEFINANCE(TRIM(F754)&amp;"":"" &amp; TRIM(B754), ""price""),0
)"),226.53)</f>
        <v>226.53</v>
      </c>
      <c r="H754" s="6">
        <v>369</v>
      </c>
      <c r="I754" s="6">
        <f t="shared" ca="1" si="0"/>
        <v>226.53</v>
      </c>
      <c r="J754" s="6">
        <f ca="1">IFERROR(__xludf.DUMMYFUNCTION("IFERROR(GOOGLEFINANCE(B754, ""volume""), 0)"),3743357)</f>
        <v>3743357</v>
      </c>
      <c r="K754" s="6">
        <v>-0.82</v>
      </c>
      <c r="L754" s="6">
        <f ca="1">IFERROR(__xludf.DUMMYFUNCTION("IFERROR(GOOGLEFINANCE(B754,""changepct""),K754)"),0.28)</f>
        <v>0.28000000000000003</v>
      </c>
      <c r="M754" s="6">
        <f ca="1">IFERROR(__xludf.DUMMYFUNCTION("IFERROR(GOOGLEFINANCE(B754,""change""),0)"),0.63)</f>
        <v>0.63</v>
      </c>
      <c r="N754" s="6">
        <v>2</v>
      </c>
      <c r="O754" s="7">
        <v>45536</v>
      </c>
      <c r="P754" s="6">
        <v>299.51</v>
      </c>
      <c r="Q754" s="6">
        <v>24204.47</v>
      </c>
      <c r="R754" s="7">
        <v>45536</v>
      </c>
      <c r="S754" s="6">
        <v>7687.39</v>
      </c>
      <c r="T754" s="6">
        <v>499.3</v>
      </c>
      <c r="U754" s="7">
        <v>45536</v>
      </c>
      <c r="V754" s="6">
        <v>47.82</v>
      </c>
      <c r="W754" s="6">
        <f ca="1">IFERROR(__xludf.DUMMYFUNCTION("IFERROR(GOOGLEFINANCE(B754,""pe""),V754)"),30.83)</f>
        <v>30.83</v>
      </c>
      <c r="X754" s="6">
        <v>25.85</v>
      </c>
      <c r="Y754" s="6">
        <v>7.71</v>
      </c>
      <c r="Z754" s="6">
        <v>2</v>
      </c>
      <c r="AA754" s="8">
        <v>45352</v>
      </c>
      <c r="AB754" s="4">
        <v>0.2</v>
      </c>
      <c r="AC754" s="6">
        <v>16.23</v>
      </c>
      <c r="AD754" s="6">
        <v>18.170000000000002</v>
      </c>
      <c r="AE754" s="1">
        <v>0</v>
      </c>
      <c r="AF754" s="1">
        <f ca="1">IFERROR(__xludf.DUMMYFUNCTION("IFERROR(GOOGLEFINANCE(TRIM(F754)&amp;"":"" &amp; TRIM(B754),""high52""),AE754)"),372.75)</f>
        <v>372.75</v>
      </c>
      <c r="AG754" s="1">
        <v>0</v>
      </c>
      <c r="AH754" s="1">
        <f ca="1">IFERROR(__xludf.DUMMYFUNCTION("IFERROR(GOOGLEFINANCE(TRIM(F754)&amp;"":"" &amp; TRIM(B754),""low52""),AE754)"),217.4)</f>
        <v>217.4</v>
      </c>
      <c r="AI754" s="1">
        <f ca="1">IFERROR(__xludf.DUMMYFUNCTION("IFERROR(GOOGLEFINANCE(B754,""eps""),0)"),7.35)</f>
        <v>7.35</v>
      </c>
      <c r="AJ754" s="1"/>
      <c r="AK754" s="9"/>
      <c r="AL754" s="9">
        <f t="shared" si="139"/>
        <v>1</v>
      </c>
    </row>
    <row r="755" spans="1:38" ht="15" x14ac:dyDescent="0.25">
      <c r="A755" s="1" t="s">
        <v>2337</v>
      </c>
      <c r="B755" s="1" t="s">
        <v>2338</v>
      </c>
      <c r="C755" s="1" t="s">
        <v>697</v>
      </c>
      <c r="D755" s="1" t="s">
        <v>697</v>
      </c>
      <c r="E755" s="6">
        <v>85.01</v>
      </c>
      <c r="F755" s="1" t="s">
        <v>40</v>
      </c>
      <c r="G755" s="6">
        <f ca="1">IFERROR(__xludf.DUMMYFUNCTION("iferror(GOOGLEFINANCE(TRIM(F755)&amp;"":"" &amp; TRIM(B755), ""price""),0
)"),0)</f>
        <v>0</v>
      </c>
      <c r="H755" s="6">
        <v>49.6</v>
      </c>
      <c r="I755" s="6">
        <f t="shared" ca="1" si="0"/>
        <v>49.6</v>
      </c>
      <c r="J755" s="6">
        <f ca="1">IFERROR(__xludf.DUMMYFUNCTION("IFERROR(GOOGLEFINANCE(B755, ""volume""), 0)"),0)</f>
        <v>0</v>
      </c>
      <c r="K755" s="9"/>
      <c r="L755" s="6" t="str">
        <f ca="1">IFERROR(__xludf.DUMMYFUNCTION("IFERROR(GOOGLEFINANCE(B755,""changepct""),K755)"),"")</f>
        <v/>
      </c>
      <c r="M755" s="6">
        <f ca="1">IFERROR(__xludf.DUMMYFUNCTION("IFERROR(GOOGLEFINANCE(B755,""change""),0)"),0)</f>
        <v>0</v>
      </c>
      <c r="N755" s="6">
        <v>1</v>
      </c>
      <c r="O755" s="7">
        <v>45536</v>
      </c>
      <c r="P755" s="6">
        <v>39.83</v>
      </c>
      <c r="Q755" s="6">
        <v>124.84</v>
      </c>
      <c r="R755" s="7">
        <v>45352</v>
      </c>
      <c r="S755" s="6">
        <v>198.61</v>
      </c>
      <c r="T755" s="6">
        <v>6.04</v>
      </c>
      <c r="U755" s="7">
        <v>45352</v>
      </c>
      <c r="V755" s="6">
        <v>14.07</v>
      </c>
      <c r="W755" s="6">
        <f ca="1">IFERROR(__xludf.DUMMYFUNCTION("IFERROR(GOOGLEFINANCE(B755,""pe""),V755)"),14.07)</f>
        <v>14.07</v>
      </c>
      <c r="X755" s="12"/>
      <c r="Y755" s="6">
        <v>1.18</v>
      </c>
      <c r="Z755" s="6">
        <v>2</v>
      </c>
      <c r="AA755" s="8">
        <v>45352</v>
      </c>
      <c r="AB755" s="4">
        <v>0.44</v>
      </c>
      <c r="AC755" s="6">
        <v>10.72</v>
      </c>
      <c r="AD755" s="6">
        <v>13.56</v>
      </c>
      <c r="AE755" s="1">
        <v>0</v>
      </c>
      <c r="AF755" s="1">
        <f ca="1">IFERROR(__xludf.DUMMYFUNCTION("IFERROR(GOOGLEFINANCE(TRIM(F755)&amp;"":"" &amp; TRIM(B755),""high52""),AE755)"),0)</f>
        <v>0</v>
      </c>
      <c r="AG755" s="1">
        <v>0</v>
      </c>
      <c r="AH755" s="1">
        <f ca="1">IFERROR(__xludf.DUMMYFUNCTION("IFERROR(GOOGLEFINANCE(TRIM(F755)&amp;"":"" &amp; TRIM(B755),""low52""),AE755)"),0)</f>
        <v>0</v>
      </c>
      <c r="AI755" s="1">
        <f ca="1">IFERROR(__xludf.DUMMYFUNCTION("IFERROR(GOOGLEFINANCE(B755,""eps""),0)"),0)</f>
        <v>0</v>
      </c>
      <c r="AJ755" s="1"/>
      <c r="AK755" s="1" t="s">
        <v>2339</v>
      </c>
      <c r="AL755" s="9">
        <f t="shared" si="139"/>
        <v>1</v>
      </c>
    </row>
    <row r="756" spans="1:38" ht="15" x14ac:dyDescent="0.25">
      <c r="A756" s="1" t="s">
        <v>2340</v>
      </c>
      <c r="B756" s="1" t="s">
        <v>2341</v>
      </c>
      <c r="C756" s="1" t="s">
        <v>487</v>
      </c>
      <c r="D756" s="1" t="s">
        <v>487</v>
      </c>
      <c r="E756" s="6">
        <v>42.18</v>
      </c>
      <c r="F756" s="1" t="s">
        <v>53</v>
      </c>
      <c r="G756" s="6">
        <f ca="1">IFERROR(__xludf.DUMMYFUNCTION("iferror(GOOGLEFINANCE(TRIM(F756)&amp;"":"" &amp; TRIM(B756), ""price""),0
)"),0)</f>
        <v>0</v>
      </c>
      <c r="H756" s="6">
        <v>42.75</v>
      </c>
      <c r="I756" s="6">
        <f t="shared" ca="1" si="0"/>
        <v>42.75</v>
      </c>
      <c r="J756" s="6">
        <f ca="1">IFERROR(__xludf.DUMMYFUNCTION("IFERROR(GOOGLEFINANCE(B756, ""volume""), 0)"),0)</f>
        <v>0</v>
      </c>
      <c r="K756" s="6">
        <v>3.39</v>
      </c>
      <c r="L756" s="6">
        <f ca="1">IFERROR(__xludf.DUMMYFUNCTION("IFERROR(GOOGLEFINANCE(B756,""changepct""),K756)"),3.39)</f>
        <v>3.39</v>
      </c>
      <c r="M756" s="6">
        <f ca="1">IFERROR(__xludf.DUMMYFUNCTION("IFERROR(GOOGLEFINANCE(B756,""change""),0)"),0)</f>
        <v>0</v>
      </c>
      <c r="N756" s="6">
        <v>1</v>
      </c>
      <c r="O756" s="7">
        <v>45536</v>
      </c>
      <c r="P756" s="6">
        <v>0.08</v>
      </c>
      <c r="Q756" s="6">
        <v>41.42</v>
      </c>
      <c r="R756" s="7">
        <v>45536</v>
      </c>
      <c r="S756" s="6">
        <v>4.3499999999999996</v>
      </c>
      <c r="T756" s="6">
        <v>1.31</v>
      </c>
      <c r="U756" s="7">
        <v>45536</v>
      </c>
      <c r="V756" s="6">
        <v>32.17</v>
      </c>
      <c r="W756" s="6">
        <f ca="1">IFERROR(__xludf.DUMMYFUNCTION("IFERROR(GOOGLEFINANCE(B756,""pe""),V756)"),32.17)</f>
        <v>32.17</v>
      </c>
      <c r="X756" s="6">
        <v>-4.79</v>
      </c>
      <c r="Y756" s="6">
        <v>3.34</v>
      </c>
      <c r="Z756" s="6">
        <v>1</v>
      </c>
      <c r="AA756" s="8">
        <v>45352</v>
      </c>
      <c r="AB756" s="4">
        <v>0.01</v>
      </c>
      <c r="AC756" s="6">
        <v>12.96</v>
      </c>
      <c r="AD756" s="6">
        <v>17.78</v>
      </c>
      <c r="AE756" s="1">
        <v>0</v>
      </c>
      <c r="AF756" s="1">
        <f ca="1">IFERROR(__xludf.DUMMYFUNCTION("IFERROR(GOOGLEFINANCE(TRIM(F756)&amp;"":"" &amp; TRIM(B756),""high52""),AE756)"),0)</f>
        <v>0</v>
      </c>
      <c r="AG756" s="1">
        <v>0</v>
      </c>
      <c r="AH756" s="1">
        <f ca="1">IFERROR(__xludf.DUMMYFUNCTION("IFERROR(GOOGLEFINANCE(TRIM(F756)&amp;"":"" &amp; TRIM(B756),""low52""),AE756)"),0)</f>
        <v>0</v>
      </c>
      <c r="AI756" s="1">
        <f ca="1">IFERROR(__xludf.DUMMYFUNCTION("IFERROR(GOOGLEFINANCE(B756,""eps""),0)"),0)</f>
        <v>0</v>
      </c>
      <c r="AJ756" s="1"/>
      <c r="AK756" s="1" t="s">
        <v>2342</v>
      </c>
      <c r="AL756" s="9">
        <f t="shared" si="139"/>
        <v>1</v>
      </c>
    </row>
    <row r="757" spans="1:38" ht="15" x14ac:dyDescent="0.25">
      <c r="A757" s="1" t="s">
        <v>2343</v>
      </c>
      <c r="B757" s="1" t="s">
        <v>2344</v>
      </c>
      <c r="C757" s="1" t="s">
        <v>487</v>
      </c>
      <c r="D757" s="1" t="s">
        <v>487</v>
      </c>
      <c r="E757" s="6">
        <v>64.72</v>
      </c>
      <c r="F757" s="1" t="s">
        <v>53</v>
      </c>
      <c r="G757" s="6">
        <f ca="1">IFERROR(__xludf.DUMMYFUNCTION("iferror(GOOGLEFINANCE(TRIM(F757)&amp;"":"" &amp; TRIM(B757), ""price""),0
)"),0)</f>
        <v>0</v>
      </c>
      <c r="H757" s="6">
        <v>47.56</v>
      </c>
      <c r="I757" s="6">
        <f t="shared" ca="1" si="0"/>
        <v>47.56</v>
      </c>
      <c r="J757" s="6">
        <f ca="1">IFERROR(__xludf.DUMMYFUNCTION("IFERROR(GOOGLEFINANCE(B757, ""volume""), 0)"),0)</f>
        <v>0</v>
      </c>
      <c r="K757" s="6">
        <v>-2</v>
      </c>
      <c r="L757" s="6">
        <f ca="1">IFERROR(__xludf.DUMMYFUNCTION("IFERROR(GOOGLEFINANCE(B757,""changepct""),K757)"),-2)</f>
        <v>-2</v>
      </c>
      <c r="M757" s="6">
        <f ca="1">IFERROR(__xludf.DUMMYFUNCTION("IFERROR(GOOGLEFINANCE(B757,""change""),0)"),0)</f>
        <v>0</v>
      </c>
      <c r="N757" s="6">
        <v>1</v>
      </c>
      <c r="O757" s="7">
        <v>45536</v>
      </c>
      <c r="P757" s="6">
        <v>15.64</v>
      </c>
      <c r="Q757" s="6">
        <v>80.36</v>
      </c>
      <c r="R757" s="7">
        <v>45536</v>
      </c>
      <c r="S757" s="6">
        <v>11.82</v>
      </c>
      <c r="T757" s="6">
        <v>-0.02</v>
      </c>
      <c r="U757" s="7">
        <v>45536</v>
      </c>
      <c r="V757" s="6">
        <v>0</v>
      </c>
      <c r="W757" s="6">
        <f ca="1">IFERROR(__xludf.DUMMYFUNCTION("IFERROR(GOOGLEFINANCE(B757,""pe""),V757)"),0)</f>
        <v>0</v>
      </c>
      <c r="X757" s="6">
        <v>0</v>
      </c>
      <c r="Y757" s="6">
        <v>2.2599999999999998</v>
      </c>
      <c r="Z757" s="6">
        <v>1</v>
      </c>
      <c r="AA757" s="8">
        <v>45352</v>
      </c>
      <c r="AB757" s="4">
        <v>0.6</v>
      </c>
      <c r="AC757" s="6">
        <v>5.5</v>
      </c>
      <c r="AD757" s="6">
        <v>5.96</v>
      </c>
      <c r="AE757" s="1">
        <v>0</v>
      </c>
      <c r="AF757" s="1">
        <f ca="1">IFERROR(__xludf.DUMMYFUNCTION("IFERROR(GOOGLEFINANCE(TRIM(F757)&amp;"":"" &amp; TRIM(B757),""high52""),AE757)"),0)</f>
        <v>0</v>
      </c>
      <c r="AG757" s="1">
        <v>0</v>
      </c>
      <c r="AH757" s="1">
        <f ca="1">IFERROR(__xludf.DUMMYFUNCTION("IFERROR(GOOGLEFINANCE(TRIM(F757)&amp;"":"" &amp; TRIM(B757),""low52""),AE757)"),0)</f>
        <v>0</v>
      </c>
      <c r="AI757" s="1">
        <f ca="1">IFERROR(__xludf.DUMMYFUNCTION("IFERROR(GOOGLEFINANCE(B757,""eps""),0)"),0)</f>
        <v>0</v>
      </c>
      <c r="AJ757" s="1"/>
      <c r="AK757" s="1" t="s">
        <v>2345</v>
      </c>
      <c r="AL757" s="9">
        <f t="shared" si="139"/>
        <v>1</v>
      </c>
    </row>
    <row r="758" spans="1:38" ht="15" x14ac:dyDescent="0.25">
      <c r="A758" s="1" t="s">
        <v>2346</v>
      </c>
      <c r="B758" s="1" t="s">
        <v>2347</v>
      </c>
      <c r="C758" s="1" t="s">
        <v>487</v>
      </c>
      <c r="D758" s="1" t="s">
        <v>487</v>
      </c>
      <c r="E758" s="6">
        <v>9.43</v>
      </c>
      <c r="F758" s="1" t="s">
        <v>53</v>
      </c>
      <c r="G758" s="6">
        <f ca="1">IFERROR(__xludf.DUMMYFUNCTION("iferror(GOOGLEFINANCE(TRIM(F758)&amp;"":"" &amp; TRIM(B758), ""price""),0
)"),0)</f>
        <v>0</v>
      </c>
      <c r="H758" s="6">
        <v>31.44</v>
      </c>
      <c r="I758" s="6">
        <f t="shared" ca="1" si="0"/>
        <v>31.44</v>
      </c>
      <c r="J758" s="6">
        <f ca="1">IFERROR(__xludf.DUMMYFUNCTION("IFERROR(GOOGLEFINANCE(B758, ""volume""), 0)"),0)</f>
        <v>0</v>
      </c>
      <c r="K758" s="9"/>
      <c r="L758" s="6" t="str">
        <f ca="1">IFERROR(__xludf.DUMMYFUNCTION("IFERROR(GOOGLEFINANCE(B758,""changepct""),K758)"),"")</f>
        <v/>
      </c>
      <c r="M758" s="6">
        <f ca="1">IFERROR(__xludf.DUMMYFUNCTION("IFERROR(GOOGLEFINANCE(B758,""change""),0)"),0)</f>
        <v>0</v>
      </c>
      <c r="N758" s="6">
        <v>1</v>
      </c>
      <c r="O758" s="7">
        <v>45536</v>
      </c>
      <c r="P758" s="12"/>
      <c r="Q758" s="6">
        <v>9.43</v>
      </c>
      <c r="R758" s="7">
        <v>45536</v>
      </c>
      <c r="S758" s="6">
        <v>0</v>
      </c>
      <c r="T758" s="6">
        <v>-0.05</v>
      </c>
      <c r="U758" s="7">
        <v>45536</v>
      </c>
      <c r="V758" s="6">
        <v>0</v>
      </c>
      <c r="W758" s="6">
        <f ca="1">IFERROR(__xludf.DUMMYFUNCTION("IFERROR(GOOGLEFINANCE(B758,""pe""),V758)"),0)</f>
        <v>0</v>
      </c>
      <c r="X758" s="6">
        <v>0</v>
      </c>
      <c r="Y758" s="6">
        <v>2.48</v>
      </c>
      <c r="Z758" s="6">
        <v>1</v>
      </c>
      <c r="AA758" s="8">
        <v>45352</v>
      </c>
      <c r="AB758" s="4">
        <v>0</v>
      </c>
      <c r="AC758" s="6">
        <v>3.8</v>
      </c>
      <c r="AD758" s="6">
        <v>3.85</v>
      </c>
      <c r="AE758" s="1">
        <v>0</v>
      </c>
      <c r="AF758" s="1">
        <f ca="1">IFERROR(__xludf.DUMMYFUNCTION("IFERROR(GOOGLEFINANCE(TRIM(F758)&amp;"":"" &amp; TRIM(B758),""high52""),AE758)"),0)</f>
        <v>0</v>
      </c>
      <c r="AG758" s="1">
        <v>0</v>
      </c>
      <c r="AH758" s="1">
        <f ca="1">IFERROR(__xludf.DUMMYFUNCTION("IFERROR(GOOGLEFINANCE(TRIM(F758)&amp;"":"" &amp; TRIM(B758),""low52""),AE758)"),0)</f>
        <v>0</v>
      </c>
      <c r="AI758" s="1">
        <f ca="1">IFERROR(__xludf.DUMMYFUNCTION("IFERROR(GOOGLEFINANCE(B758,""eps""),0)"),0)</f>
        <v>0</v>
      </c>
      <c r="AJ758" s="1"/>
      <c r="AK758" s="9"/>
      <c r="AL758" s="9">
        <f t="shared" si="139"/>
        <v>1</v>
      </c>
    </row>
    <row r="759" spans="1:38" ht="15" x14ac:dyDescent="0.25">
      <c r="A759" s="1" t="s">
        <v>2348</v>
      </c>
      <c r="B759" s="1" t="s">
        <v>2349</v>
      </c>
      <c r="C759" s="1" t="s">
        <v>487</v>
      </c>
      <c r="D759" s="1" t="s">
        <v>487</v>
      </c>
      <c r="E759" s="6">
        <v>859.02</v>
      </c>
      <c r="F759" s="1" t="s">
        <v>53</v>
      </c>
      <c r="G759" s="6">
        <f ca="1">IFERROR(__xludf.DUMMYFUNCTION("iferror(GOOGLEFINANCE(TRIM(F759)&amp;"":"" &amp; TRIM(B759), ""price""),0
)"),0)</f>
        <v>0</v>
      </c>
      <c r="H759" s="6">
        <v>31.56</v>
      </c>
      <c r="I759" s="6">
        <f t="shared" ca="1" si="0"/>
        <v>31.56</v>
      </c>
      <c r="J759" s="6">
        <f ca="1">IFERROR(__xludf.DUMMYFUNCTION("IFERROR(GOOGLEFINANCE(B759, ""volume""), 0)"),0)</f>
        <v>0</v>
      </c>
      <c r="K759" s="6">
        <v>0.13</v>
      </c>
      <c r="L759" s="6">
        <f ca="1">IFERROR(__xludf.DUMMYFUNCTION("IFERROR(GOOGLEFINANCE(B759,""changepct""),K759)"),0.13)</f>
        <v>0.13</v>
      </c>
      <c r="M759" s="6">
        <f ca="1">IFERROR(__xludf.DUMMYFUNCTION("IFERROR(GOOGLEFINANCE(B759,""change""),0)"),0)</f>
        <v>0</v>
      </c>
      <c r="N759" s="6">
        <v>2</v>
      </c>
      <c r="O759" s="7">
        <v>45536</v>
      </c>
      <c r="P759" s="6">
        <v>73.28</v>
      </c>
      <c r="Q759" s="6">
        <v>929.84</v>
      </c>
      <c r="R759" s="7">
        <v>45536</v>
      </c>
      <c r="S759" s="6">
        <v>184.68</v>
      </c>
      <c r="T759" s="6">
        <v>52.06</v>
      </c>
      <c r="U759" s="7">
        <v>45536</v>
      </c>
      <c r="V759" s="6">
        <v>33.409999999999997</v>
      </c>
      <c r="W759" s="6">
        <f ca="1">IFERROR(__xludf.DUMMYFUNCTION("IFERROR(GOOGLEFINANCE(B759,""pe""),V759)"),33.41)</f>
        <v>33.409999999999997</v>
      </c>
      <c r="X759" s="9"/>
      <c r="Y759" s="6">
        <v>5.5</v>
      </c>
      <c r="Z759" s="6">
        <v>2</v>
      </c>
      <c r="AA759" s="17">
        <v>45352</v>
      </c>
      <c r="AB759" s="18">
        <v>0.42</v>
      </c>
      <c r="AC759" s="6">
        <v>22.8</v>
      </c>
      <c r="AD759" s="6">
        <v>21.57</v>
      </c>
      <c r="AE759" s="1">
        <v>0</v>
      </c>
      <c r="AF759" s="1">
        <f ca="1">IFERROR(__xludf.DUMMYFUNCTION("IFERROR(GOOGLEFINANCE(TRIM(F759)&amp;"":"" &amp; TRIM(B759),""high52""),AE759)"),0)</f>
        <v>0</v>
      </c>
      <c r="AG759" s="1">
        <v>0</v>
      </c>
      <c r="AH759" s="1">
        <f ca="1">IFERROR(__xludf.DUMMYFUNCTION("IFERROR(GOOGLEFINANCE(TRIM(F759)&amp;"":"" &amp; TRIM(B759),""low52""),AE759)"),0)</f>
        <v>0</v>
      </c>
      <c r="AI759" s="1">
        <f ca="1">IFERROR(__xludf.DUMMYFUNCTION("IFERROR(GOOGLEFINANCE(B759,""eps""),0)"),0)</f>
        <v>0</v>
      </c>
      <c r="AJ759" s="1"/>
      <c r="AK759" s="1" t="s">
        <v>2350</v>
      </c>
      <c r="AL759" s="9">
        <f t="shared" si="139"/>
        <v>1</v>
      </c>
    </row>
    <row r="760" spans="1:38" ht="15" x14ac:dyDescent="0.25">
      <c r="A760" s="1" t="s">
        <v>2351</v>
      </c>
      <c r="B760" s="1" t="s">
        <v>2352</v>
      </c>
      <c r="C760" s="1" t="s">
        <v>487</v>
      </c>
      <c r="D760" s="1" t="s">
        <v>487</v>
      </c>
      <c r="E760" s="6">
        <v>1171</v>
      </c>
      <c r="F760" s="1" t="s">
        <v>53</v>
      </c>
      <c r="G760" s="6">
        <f ca="1">IFERROR(__xludf.DUMMYFUNCTION("iferror(GOOGLEFINANCE(TRIM(F760)&amp;"":"" &amp; TRIM(B760), ""price""),0
)"),0)</f>
        <v>0</v>
      </c>
      <c r="H760" s="6">
        <v>55.43</v>
      </c>
      <c r="I760" s="6">
        <f t="shared" ca="1" si="0"/>
        <v>55.43</v>
      </c>
      <c r="J760" s="6">
        <f ca="1">IFERROR(__xludf.DUMMYFUNCTION("IFERROR(GOOGLEFINANCE(B760, ""volume""), 0)"),0)</f>
        <v>0</v>
      </c>
      <c r="K760" s="6">
        <v>-0.14000000000000001</v>
      </c>
      <c r="L760" s="6">
        <f ca="1">IFERROR(__xludf.DUMMYFUNCTION("IFERROR(GOOGLEFINANCE(B760,""changepct""),K760)"),-0.14)</f>
        <v>-0.14000000000000001</v>
      </c>
      <c r="M760" s="6">
        <f ca="1">IFERROR(__xludf.DUMMYFUNCTION("IFERROR(GOOGLEFINANCE(B760,""change""),0)"),0)</f>
        <v>0</v>
      </c>
      <c r="N760" s="6">
        <v>2</v>
      </c>
      <c r="O760" s="7">
        <v>45536</v>
      </c>
      <c r="P760" s="6">
        <v>138.91999999999999</v>
      </c>
      <c r="Q760" s="6">
        <v>1309.9100000000001</v>
      </c>
      <c r="R760" s="7">
        <v>45536</v>
      </c>
      <c r="S760" s="6">
        <v>767.89</v>
      </c>
      <c r="T760" s="6">
        <v>84.25</v>
      </c>
      <c r="U760" s="7">
        <v>45536</v>
      </c>
      <c r="V760" s="6">
        <v>13.9</v>
      </c>
      <c r="W760" s="6">
        <f ca="1">IFERROR(__xludf.DUMMYFUNCTION("IFERROR(GOOGLEFINANCE(B760,""pe""),V760)"),13.9)</f>
        <v>13.9</v>
      </c>
      <c r="X760" s="9"/>
      <c r="Y760" s="6">
        <v>2.8</v>
      </c>
      <c r="Z760" s="6">
        <v>2</v>
      </c>
      <c r="AA760" s="8">
        <v>45352</v>
      </c>
      <c r="AB760" s="4">
        <v>0.47</v>
      </c>
      <c r="AC760" s="6">
        <v>49.91</v>
      </c>
      <c r="AD760" s="6">
        <v>48.17</v>
      </c>
      <c r="AE760" s="1">
        <v>0</v>
      </c>
      <c r="AF760" s="1">
        <f ca="1">IFERROR(__xludf.DUMMYFUNCTION("IFERROR(GOOGLEFINANCE(TRIM(F760)&amp;"":"" &amp; TRIM(B760),""high52""),AE760)"),0)</f>
        <v>0</v>
      </c>
      <c r="AG760" s="1">
        <v>0</v>
      </c>
      <c r="AH760" s="1">
        <f ca="1">IFERROR(__xludf.DUMMYFUNCTION("IFERROR(GOOGLEFINANCE(TRIM(F760)&amp;"":"" &amp; TRIM(B760),""low52""),AE760)"),0)</f>
        <v>0</v>
      </c>
      <c r="AI760" s="1">
        <f ca="1">IFERROR(__xludf.DUMMYFUNCTION("IFERROR(GOOGLEFINANCE(B760,""eps""),0)"),0)</f>
        <v>0</v>
      </c>
      <c r="AJ760" s="1"/>
      <c r="AK760" s="1" t="s">
        <v>2353</v>
      </c>
      <c r="AL760" s="9">
        <f t="shared" si="139"/>
        <v>1</v>
      </c>
    </row>
    <row r="761" spans="1:38" ht="15" x14ac:dyDescent="0.25">
      <c r="A761" s="1" t="s">
        <v>2354</v>
      </c>
      <c r="B761" s="1" t="s">
        <v>2355</v>
      </c>
      <c r="C761" s="1" t="s">
        <v>487</v>
      </c>
      <c r="D761" s="1" t="s">
        <v>487</v>
      </c>
      <c r="E761" s="6">
        <v>198.16</v>
      </c>
      <c r="F761" s="1" t="s">
        <v>53</v>
      </c>
      <c r="G761" s="6">
        <f ca="1">IFERROR(__xludf.DUMMYFUNCTION("iferror(GOOGLEFINANCE(TRIM(F761)&amp;"":"" &amp; TRIM(B761), ""price""),0
)"),0)</f>
        <v>0</v>
      </c>
      <c r="H761" s="6">
        <v>102</v>
      </c>
      <c r="I761" s="6">
        <f t="shared" ca="1" si="0"/>
        <v>102</v>
      </c>
      <c r="J761" s="6">
        <f ca="1">IFERROR(__xludf.DUMMYFUNCTION("IFERROR(GOOGLEFINANCE(B761, ""volume""), 0)"),0)</f>
        <v>0</v>
      </c>
      <c r="K761" s="6">
        <v>0.17</v>
      </c>
      <c r="L761" s="6">
        <f ca="1">IFERROR(__xludf.DUMMYFUNCTION("IFERROR(GOOGLEFINANCE(B761,""changepct""),K761)"),0.17)</f>
        <v>0.17</v>
      </c>
      <c r="M761" s="6">
        <f ca="1">IFERROR(__xludf.DUMMYFUNCTION("IFERROR(GOOGLEFINANCE(B761,""change""),0)"),0)</f>
        <v>0</v>
      </c>
      <c r="N761" s="6">
        <v>2</v>
      </c>
      <c r="O761" s="7">
        <v>45536</v>
      </c>
      <c r="P761" s="6">
        <v>296.68</v>
      </c>
      <c r="Q761" s="6">
        <v>486.46</v>
      </c>
      <c r="R761" s="7">
        <v>45536</v>
      </c>
      <c r="S761" s="6">
        <v>114.14</v>
      </c>
      <c r="T761" s="6">
        <v>7.42</v>
      </c>
      <c r="U761" s="7">
        <v>45536</v>
      </c>
      <c r="V761" s="6">
        <v>26.69</v>
      </c>
      <c r="W761" s="6">
        <f ca="1">IFERROR(__xludf.DUMMYFUNCTION("IFERROR(GOOGLEFINANCE(B761,""pe""),V761)"),26.69)</f>
        <v>26.69</v>
      </c>
      <c r="X761" s="6">
        <v>1.41</v>
      </c>
      <c r="Y761" s="6">
        <v>1.27</v>
      </c>
      <c r="Z761" s="6">
        <v>2</v>
      </c>
      <c r="AA761" s="8">
        <v>45352</v>
      </c>
      <c r="AB761" s="4">
        <v>2.09</v>
      </c>
      <c r="AC761" s="6">
        <v>2.65</v>
      </c>
      <c r="AD761" s="6">
        <v>7.14</v>
      </c>
      <c r="AE761" s="1">
        <v>0</v>
      </c>
      <c r="AF761" s="1">
        <f ca="1">IFERROR(__xludf.DUMMYFUNCTION("IFERROR(GOOGLEFINANCE(TRIM(F761)&amp;"":"" &amp; TRIM(B761),""high52""),AE761)"),0)</f>
        <v>0</v>
      </c>
      <c r="AG761" s="1">
        <v>0</v>
      </c>
      <c r="AH761" s="1">
        <f ca="1">IFERROR(__xludf.DUMMYFUNCTION("IFERROR(GOOGLEFINANCE(TRIM(F761)&amp;"":"" &amp; TRIM(B761),""low52""),AE761)"),0)</f>
        <v>0</v>
      </c>
      <c r="AI761" s="1">
        <f ca="1">IFERROR(__xludf.DUMMYFUNCTION("IFERROR(GOOGLEFINANCE(B761,""eps""),0)"),0)</f>
        <v>0</v>
      </c>
      <c r="AJ761" s="1"/>
      <c r="AK761" s="12"/>
      <c r="AL761" s="9">
        <f t="shared" si="139"/>
        <v>1</v>
      </c>
    </row>
    <row r="762" spans="1:38" ht="15" x14ac:dyDescent="0.25">
      <c r="A762" s="1" t="s">
        <v>2356</v>
      </c>
      <c r="B762" s="1" t="s">
        <v>2357</v>
      </c>
      <c r="C762" s="1" t="s">
        <v>223</v>
      </c>
      <c r="D762" s="1" t="s">
        <v>223</v>
      </c>
      <c r="E762" s="6">
        <v>252.19</v>
      </c>
      <c r="F762" s="1" t="s">
        <v>40</v>
      </c>
      <c r="G762" s="6">
        <f ca="1">IFERROR(__xludf.DUMMYFUNCTION("iferror(GOOGLEFINANCE(TRIM(F762)&amp;"":"" &amp; TRIM(B762), ""price""),0
)"),114.87)</f>
        <v>114.87</v>
      </c>
      <c r="H762" s="6">
        <v>212.33</v>
      </c>
      <c r="I762" s="6">
        <f t="shared" ca="1" si="0"/>
        <v>114.87</v>
      </c>
      <c r="J762" s="6">
        <f ca="1">IFERROR(__xludf.DUMMYFUNCTION("IFERROR(GOOGLEFINANCE(B762, ""volume""), 0)"),35370)</f>
        <v>35370</v>
      </c>
      <c r="K762" s="6">
        <v>1.88</v>
      </c>
      <c r="L762" s="6">
        <f ca="1">IFERROR(__xludf.DUMMYFUNCTION("IFERROR(GOOGLEFINANCE(B762,""changepct""),K762)"),3.67)</f>
        <v>3.67</v>
      </c>
      <c r="M762" s="6">
        <f ca="1">IFERROR(__xludf.DUMMYFUNCTION("IFERROR(GOOGLEFINANCE(B762,""change""),0)"),4.07)</f>
        <v>4.07</v>
      </c>
      <c r="N762" s="6">
        <v>1</v>
      </c>
      <c r="O762" s="7">
        <v>45536</v>
      </c>
      <c r="P762" s="6">
        <v>40.630000000000003</v>
      </c>
      <c r="Q762" s="6">
        <v>292.82</v>
      </c>
      <c r="R762" s="7">
        <v>45536</v>
      </c>
      <c r="S762" s="6">
        <v>32.979999999999997</v>
      </c>
      <c r="T762" s="6">
        <v>16.37</v>
      </c>
      <c r="U762" s="7">
        <v>45536</v>
      </c>
      <c r="V762" s="6">
        <v>15.41</v>
      </c>
      <c r="W762" s="6">
        <f ca="1">IFERROR(__xludf.DUMMYFUNCTION("IFERROR(GOOGLEFINANCE(B762,""pe""),V762)"),12.35)</f>
        <v>12.35</v>
      </c>
      <c r="X762" s="6">
        <v>0.48</v>
      </c>
      <c r="Y762" s="6">
        <v>3.47</v>
      </c>
      <c r="Z762" s="6">
        <v>1</v>
      </c>
      <c r="AA762" s="17">
        <v>45352</v>
      </c>
      <c r="AB762" s="18">
        <v>0.8</v>
      </c>
      <c r="AC762" s="6">
        <v>19.260000000000002</v>
      </c>
      <c r="AD762" s="6">
        <v>18.38</v>
      </c>
      <c r="AE762" s="1">
        <v>0</v>
      </c>
      <c r="AF762" s="1">
        <f ca="1">IFERROR(__xludf.DUMMYFUNCTION("IFERROR(GOOGLEFINANCE(TRIM(F762)&amp;"":"" &amp; TRIM(B762),""high52""),AE762)"),221.8)</f>
        <v>221.8</v>
      </c>
      <c r="AG762" s="1">
        <v>0</v>
      </c>
      <c r="AH762" s="1">
        <f ca="1">IFERROR(__xludf.DUMMYFUNCTION("IFERROR(GOOGLEFINANCE(TRIM(F762)&amp;"":"" &amp; TRIM(B762),""low52""),AE762)"),108.45)</f>
        <v>108.45</v>
      </c>
      <c r="AI762" s="1">
        <f ca="1">IFERROR(__xludf.DUMMYFUNCTION("IFERROR(GOOGLEFINANCE(B762,""eps""),0)"),9.3)</f>
        <v>9.3000000000000007</v>
      </c>
      <c r="AJ762" s="1"/>
      <c r="AK762" s="1" t="s">
        <v>2358</v>
      </c>
      <c r="AL762" s="1" t="b">
        <f t="shared" ref="AL762:AL763" si="140">ISNUMBER(AA762)</f>
        <v>1</v>
      </c>
    </row>
    <row r="763" spans="1:38" ht="15" x14ac:dyDescent="0.25">
      <c r="A763" s="1" t="s">
        <v>2359</v>
      </c>
      <c r="B763" s="1" t="s">
        <v>2360</v>
      </c>
      <c r="C763" s="1" t="s">
        <v>1067</v>
      </c>
      <c r="D763" s="1" t="s">
        <v>1067</v>
      </c>
      <c r="E763" s="6">
        <v>5560.22</v>
      </c>
      <c r="F763" s="1" t="s">
        <v>40</v>
      </c>
      <c r="G763" s="6">
        <f ca="1">IFERROR(__xludf.DUMMYFUNCTION("iferror(GOOGLEFINANCE(TRIM(F763)&amp;"":"" &amp; TRIM(B763), ""price""),0
)"),412.5)</f>
        <v>412.5</v>
      </c>
      <c r="H763" s="6">
        <v>321.75</v>
      </c>
      <c r="I763" s="6">
        <f t="shared" ca="1" si="0"/>
        <v>412.5</v>
      </c>
      <c r="J763" s="6">
        <f ca="1">IFERROR(__xludf.DUMMYFUNCTION("IFERROR(GOOGLEFINANCE(B763, ""volume""), 0)"),1112816)</f>
        <v>1112816</v>
      </c>
      <c r="K763" s="6">
        <v>0.44</v>
      </c>
      <c r="L763" s="6">
        <f ca="1">IFERROR(__xludf.DUMMYFUNCTION("IFERROR(GOOGLEFINANCE(B763,""changepct""),K763)"),-1.37)</f>
        <v>-1.37</v>
      </c>
      <c r="M763" s="6">
        <f ca="1">IFERROR(__xludf.DUMMYFUNCTION("IFERROR(GOOGLEFINANCE(B763,""change""),0)"),-5.75)</f>
        <v>-5.75</v>
      </c>
      <c r="N763" s="6">
        <v>1</v>
      </c>
      <c r="O763" s="7">
        <v>45536</v>
      </c>
      <c r="P763" s="6">
        <v>3253.57</v>
      </c>
      <c r="Q763" s="6">
        <v>553.16</v>
      </c>
      <c r="R763" s="7">
        <v>45536</v>
      </c>
      <c r="S763" s="6">
        <v>10.050000000000001</v>
      </c>
      <c r="T763" s="6">
        <v>0.27</v>
      </c>
      <c r="U763" s="6">
        <v>1.4</v>
      </c>
      <c r="V763" s="6">
        <v>1</v>
      </c>
      <c r="W763" s="6">
        <f ca="1">IFERROR(__xludf.DUMMYFUNCTION("IFERROR(GOOGLEFINANCE(B763,""pe""),V763)"),11.5)</f>
        <v>11.5</v>
      </c>
      <c r="X763" s="7">
        <v>45352</v>
      </c>
      <c r="Y763" s="6">
        <v>17.059999999999999</v>
      </c>
      <c r="Z763" s="6">
        <v>1</v>
      </c>
      <c r="AA763" s="17">
        <v>45352</v>
      </c>
      <c r="AB763" s="18">
        <v>0.51</v>
      </c>
      <c r="AC763" s="6">
        <v>4.21</v>
      </c>
      <c r="AD763" s="6">
        <v>12.03</v>
      </c>
      <c r="AE763" s="1">
        <v>0</v>
      </c>
      <c r="AF763" s="1">
        <f ca="1">IFERROR(__xludf.DUMMYFUNCTION("IFERROR(GOOGLEFINANCE(TRIM(F763)&amp;"":"" &amp; TRIM(B763),""high52""),AE763)"),574.4)</f>
        <v>574.4</v>
      </c>
      <c r="AG763" s="1">
        <v>0</v>
      </c>
      <c r="AH763" s="1">
        <f ca="1">IFERROR(__xludf.DUMMYFUNCTION("IFERROR(GOOGLEFINANCE(TRIM(F763)&amp;"":"" &amp; TRIM(B763),""low52""),AE763)"),272.75)</f>
        <v>272.75</v>
      </c>
      <c r="AI763" s="1">
        <f ca="1">IFERROR(__xludf.DUMMYFUNCTION("IFERROR(GOOGLEFINANCE(B763,""eps""),0)"),35.86)</f>
        <v>35.86</v>
      </c>
      <c r="AJ763" s="1"/>
      <c r="AK763" s="1" t="s">
        <v>2361</v>
      </c>
      <c r="AL763" s="1" t="b">
        <f t="shared" si="140"/>
        <v>1</v>
      </c>
    </row>
    <row r="764" spans="1:38" ht="15" x14ac:dyDescent="0.25">
      <c r="A764" s="1" t="s">
        <v>2362</v>
      </c>
      <c r="B764" s="1" t="s">
        <v>2363</v>
      </c>
      <c r="C764" s="1" t="s">
        <v>208</v>
      </c>
      <c r="D764" s="1" t="s">
        <v>208</v>
      </c>
      <c r="E764" s="6">
        <v>743.06</v>
      </c>
      <c r="F764" s="1" t="s">
        <v>40</v>
      </c>
      <c r="G764" s="6">
        <f ca="1">IFERROR(__xludf.DUMMYFUNCTION("iferror(GOOGLEFINANCE(TRIM(F764)&amp;"":"" &amp; TRIM(B764), ""price""),0
)"),266.9)</f>
        <v>266.89999999999998</v>
      </c>
      <c r="H764" s="6">
        <v>329</v>
      </c>
      <c r="I764" s="6">
        <f t="shared" ca="1" si="0"/>
        <v>266.89999999999998</v>
      </c>
      <c r="J764" s="6">
        <f ca="1">IFERROR(__xludf.DUMMYFUNCTION("IFERROR(GOOGLEFINANCE(B764, ""volume""), 0)"),10917)</f>
        <v>10917</v>
      </c>
      <c r="K764" s="6">
        <v>0.61</v>
      </c>
      <c r="L764" s="6">
        <f ca="1">IFERROR(__xludf.DUMMYFUNCTION("IFERROR(GOOGLEFINANCE(B764,""changepct""),K764)"),1.5)</f>
        <v>1.5</v>
      </c>
      <c r="M764" s="6">
        <f ca="1">IFERROR(__xludf.DUMMYFUNCTION("IFERROR(GOOGLEFINANCE(B764,""change""),0)"),3.95)</f>
        <v>3.95</v>
      </c>
      <c r="N764" s="6">
        <v>1</v>
      </c>
      <c r="O764" s="7">
        <v>45536</v>
      </c>
      <c r="P764" s="6">
        <v>71.64</v>
      </c>
      <c r="Q764" s="7">
        <v>45536</v>
      </c>
      <c r="R764" s="6">
        <v>10.37</v>
      </c>
      <c r="S764" s="6">
        <v>0.48</v>
      </c>
      <c r="T764" s="6">
        <v>1.47</v>
      </c>
      <c r="U764" s="6">
        <v>1</v>
      </c>
      <c r="V764" s="7">
        <v>45352</v>
      </c>
      <c r="W764" s="6">
        <f ca="1">IFERROR(__xludf.DUMMYFUNCTION("IFERROR(GOOGLEFINANCE(B764,""pe""),V764)"),7.52)</f>
        <v>7.52</v>
      </c>
      <c r="X764" s="6">
        <v>1.06</v>
      </c>
      <c r="Y764" s="6">
        <v>15.2</v>
      </c>
      <c r="Z764" s="6">
        <v>14.71</v>
      </c>
      <c r="AA764" s="3" t="s">
        <v>2364</v>
      </c>
      <c r="AB764" s="3"/>
      <c r="AC764" s="9"/>
      <c r="AD764" s="9"/>
      <c r="AE764" s="1">
        <v>0</v>
      </c>
      <c r="AF764" s="1">
        <f ca="1">IFERROR(__xludf.DUMMYFUNCTION("IFERROR(GOOGLEFINANCE(TRIM(F764)&amp;"":"" &amp; TRIM(B764),""high52""),AE764)"),380.2)</f>
        <v>380.2</v>
      </c>
      <c r="AG764" s="1">
        <v>0</v>
      </c>
      <c r="AH764" s="1">
        <f ca="1">IFERROR(__xludf.DUMMYFUNCTION("IFERROR(GOOGLEFINANCE(TRIM(F764)&amp;"":"" &amp; TRIM(B764),""low52""),AE764)"),227.45)</f>
        <v>227.45</v>
      </c>
      <c r="AI764" s="1">
        <f ca="1">IFERROR(__xludf.DUMMYFUNCTION("IFERROR(GOOGLEFINANCE(B764,""eps""),0)"),35.47)</f>
        <v>35.47</v>
      </c>
      <c r="AJ764" s="1"/>
      <c r="AK764" s="1" t="s">
        <v>2365</v>
      </c>
      <c r="AL764" s="9">
        <f t="shared" ref="AL764:AL790" si="141">IF(AA764&lt;&gt;AB764,1,0)</f>
        <v>1</v>
      </c>
    </row>
    <row r="765" spans="1:38" ht="15" x14ac:dyDescent="0.25">
      <c r="A765" s="1" t="s">
        <v>2366</v>
      </c>
      <c r="B765" s="1" t="s">
        <v>2367</v>
      </c>
      <c r="C765" s="1" t="s">
        <v>487</v>
      </c>
      <c r="D765" s="1" t="s">
        <v>487</v>
      </c>
      <c r="E765" s="6">
        <v>32.6</v>
      </c>
      <c r="F765" s="1" t="s">
        <v>53</v>
      </c>
      <c r="G765" s="6">
        <f ca="1">IFERROR(__xludf.DUMMYFUNCTION("iferror(GOOGLEFINANCE(TRIM(F765)&amp;"":"" &amp; TRIM(B765), ""price""),0
)"),0)</f>
        <v>0</v>
      </c>
      <c r="H765" s="6">
        <v>64.010000000000005</v>
      </c>
      <c r="I765" s="6">
        <f t="shared" ca="1" si="0"/>
        <v>64.010000000000005</v>
      </c>
      <c r="J765" s="6">
        <f ca="1">IFERROR(__xludf.DUMMYFUNCTION("IFERROR(GOOGLEFINANCE(B765, ""volume""), 0)"),0)</f>
        <v>0</v>
      </c>
      <c r="K765" s="6">
        <v>-1.99</v>
      </c>
      <c r="L765" s="6">
        <f ca="1">IFERROR(__xludf.DUMMYFUNCTION("IFERROR(GOOGLEFINANCE(B765,""changepct""),K765)"),-1.99)</f>
        <v>-1.99</v>
      </c>
      <c r="M765" s="6">
        <f ca="1">IFERROR(__xludf.DUMMYFUNCTION("IFERROR(GOOGLEFINANCE(B765,""change""),0)"),0)</f>
        <v>0</v>
      </c>
      <c r="N765" s="6">
        <v>2</v>
      </c>
      <c r="O765" s="7">
        <v>45536</v>
      </c>
      <c r="P765" s="12"/>
      <c r="Q765" s="6">
        <v>5.4</v>
      </c>
      <c r="R765" s="7">
        <v>45536</v>
      </c>
      <c r="S765" s="6">
        <v>1.9</v>
      </c>
      <c r="T765" s="6">
        <v>21.08</v>
      </c>
      <c r="U765" s="7">
        <v>45536</v>
      </c>
      <c r="V765" s="6">
        <v>1.38</v>
      </c>
      <c r="W765" s="6">
        <f ca="1">IFERROR(__xludf.DUMMYFUNCTION("IFERROR(GOOGLEFINANCE(B765,""pe""),V765)"),1.38)</f>
        <v>1.38</v>
      </c>
      <c r="X765" s="6">
        <v>0.08</v>
      </c>
      <c r="Y765" s="6">
        <v>-0.92</v>
      </c>
      <c r="Z765" s="6">
        <v>2</v>
      </c>
      <c r="AA765" s="8">
        <v>45352</v>
      </c>
      <c r="AB765" s="4">
        <v>0</v>
      </c>
      <c r="AC765" s="6">
        <v>0</v>
      </c>
      <c r="AD765" s="6">
        <v>0</v>
      </c>
      <c r="AE765" s="1">
        <v>0</v>
      </c>
      <c r="AF765" s="1">
        <f ca="1">IFERROR(__xludf.DUMMYFUNCTION("IFERROR(GOOGLEFINANCE(TRIM(F765)&amp;"":"" &amp; TRIM(B765),""high52""),AE765)"),0)</f>
        <v>0</v>
      </c>
      <c r="AG765" s="1">
        <v>0</v>
      </c>
      <c r="AH765" s="1">
        <f ca="1">IFERROR(__xludf.DUMMYFUNCTION("IFERROR(GOOGLEFINANCE(TRIM(F765)&amp;"":"" &amp; TRIM(B765),""low52""),AE765)"),0)</f>
        <v>0</v>
      </c>
      <c r="AI765" s="1">
        <f ca="1">IFERROR(__xludf.DUMMYFUNCTION("IFERROR(GOOGLEFINANCE(B765,""eps""),0)"),0)</f>
        <v>0</v>
      </c>
      <c r="AJ765" s="1"/>
      <c r="AK765" s="1" t="s">
        <v>2368</v>
      </c>
      <c r="AL765" s="9">
        <f t="shared" si="141"/>
        <v>1</v>
      </c>
    </row>
    <row r="766" spans="1:38" ht="15" x14ac:dyDescent="0.25">
      <c r="A766" s="1" t="s">
        <v>2369</v>
      </c>
      <c r="B766" s="1" t="s">
        <v>2370</v>
      </c>
      <c r="C766" s="1" t="s">
        <v>487</v>
      </c>
      <c r="D766" s="1" t="s">
        <v>487</v>
      </c>
      <c r="E766" s="6">
        <v>6.25</v>
      </c>
      <c r="F766" s="1" t="s">
        <v>53</v>
      </c>
      <c r="G766" s="6">
        <f ca="1">IFERROR(__xludf.DUMMYFUNCTION("iferror(GOOGLEFINANCE(TRIM(F766)&amp;"":"" &amp; TRIM(B766), ""price""),0
)"),0)</f>
        <v>0</v>
      </c>
      <c r="H766" s="6">
        <v>9.49</v>
      </c>
      <c r="I766" s="6">
        <f t="shared" ca="1" si="0"/>
        <v>9.49</v>
      </c>
      <c r="J766" s="6">
        <f ca="1">IFERROR(__xludf.DUMMYFUNCTION("IFERROR(GOOGLEFINANCE(B766, ""volume""), 0)"),0)</f>
        <v>0</v>
      </c>
      <c r="K766" s="6">
        <v>-1.76</v>
      </c>
      <c r="L766" s="6">
        <f ca="1">IFERROR(__xludf.DUMMYFUNCTION("IFERROR(GOOGLEFINANCE(B766,""changepct""),K766)"),-1.76)</f>
        <v>-1.76</v>
      </c>
      <c r="M766" s="6">
        <f ca="1">IFERROR(__xludf.DUMMYFUNCTION("IFERROR(GOOGLEFINANCE(B766,""change""),0)"),0)</f>
        <v>0</v>
      </c>
      <c r="N766" s="6">
        <v>1</v>
      </c>
      <c r="O766" s="7">
        <v>45536</v>
      </c>
      <c r="P766" s="9"/>
      <c r="Q766" s="6">
        <v>6.25</v>
      </c>
      <c r="R766" s="7">
        <v>45536</v>
      </c>
      <c r="S766" s="6">
        <v>0</v>
      </c>
      <c r="T766" s="6">
        <v>-0.14000000000000001</v>
      </c>
      <c r="U766" s="7">
        <v>45536</v>
      </c>
      <c r="V766" s="6">
        <v>0</v>
      </c>
      <c r="W766" s="6">
        <f ca="1">IFERROR(__xludf.DUMMYFUNCTION("IFERROR(GOOGLEFINANCE(B766,""pe""),V766)"),0)</f>
        <v>0</v>
      </c>
      <c r="X766" s="9"/>
      <c r="Y766" s="6">
        <v>0.94</v>
      </c>
      <c r="Z766" s="6">
        <v>1</v>
      </c>
      <c r="AA766" s="8">
        <v>45352</v>
      </c>
      <c r="AB766" s="4">
        <v>0.02</v>
      </c>
      <c r="AC766" s="6">
        <v>-1.28</v>
      </c>
      <c r="AD766" s="6">
        <v>-1.26</v>
      </c>
      <c r="AE766" s="1">
        <v>0</v>
      </c>
      <c r="AF766" s="1">
        <f ca="1">IFERROR(__xludf.DUMMYFUNCTION("IFERROR(GOOGLEFINANCE(TRIM(F766)&amp;"":"" &amp; TRIM(B766),""high52""),AE766)"),0)</f>
        <v>0</v>
      </c>
      <c r="AG766" s="1">
        <v>0</v>
      </c>
      <c r="AH766" s="1">
        <f ca="1">IFERROR(__xludf.DUMMYFUNCTION("IFERROR(GOOGLEFINANCE(TRIM(F766)&amp;"":"" &amp; TRIM(B766),""low52""),AE766)"),0)</f>
        <v>0</v>
      </c>
      <c r="AI766" s="1">
        <f ca="1">IFERROR(__xludf.DUMMYFUNCTION("IFERROR(GOOGLEFINANCE(B766,""eps""),0)"),0)</f>
        <v>0</v>
      </c>
      <c r="AJ766" s="1"/>
      <c r="AK766" s="1" t="s">
        <v>2371</v>
      </c>
      <c r="AL766" s="9">
        <f t="shared" si="141"/>
        <v>1</v>
      </c>
    </row>
    <row r="767" spans="1:38" ht="15" x14ac:dyDescent="0.25">
      <c r="A767" s="1" t="s">
        <v>2372</v>
      </c>
      <c r="B767" s="1" t="s">
        <v>2373</v>
      </c>
      <c r="C767" s="1" t="s">
        <v>487</v>
      </c>
      <c r="D767" s="1" t="s">
        <v>487</v>
      </c>
      <c r="E767" s="6">
        <v>5.38</v>
      </c>
      <c r="F767" s="1" t="s">
        <v>53</v>
      </c>
      <c r="G767" s="6">
        <f ca="1">IFERROR(__xludf.DUMMYFUNCTION("iferror(GOOGLEFINANCE(TRIM(F767)&amp;"":"" &amp; TRIM(B767), ""price""),0
)"),0)</f>
        <v>0</v>
      </c>
      <c r="H767" s="6">
        <v>5.68</v>
      </c>
      <c r="I767" s="6">
        <f t="shared" ca="1" si="0"/>
        <v>5.68</v>
      </c>
      <c r="J767" s="6">
        <f ca="1">IFERROR(__xludf.DUMMYFUNCTION("IFERROR(GOOGLEFINANCE(B767, ""volume""), 0)"),0)</f>
        <v>0</v>
      </c>
      <c r="K767" s="6">
        <v>5.58</v>
      </c>
      <c r="L767" s="6">
        <f ca="1">IFERROR(__xludf.DUMMYFUNCTION("IFERROR(GOOGLEFINANCE(B767,""changepct""),K767)"),5.58)</f>
        <v>5.58</v>
      </c>
      <c r="M767" s="6">
        <f ca="1">IFERROR(__xludf.DUMMYFUNCTION("IFERROR(GOOGLEFINANCE(B767,""change""),0)"),0)</f>
        <v>0</v>
      </c>
      <c r="N767" s="6">
        <v>1</v>
      </c>
      <c r="O767" s="7">
        <v>45536</v>
      </c>
      <c r="P767" s="6">
        <v>4.93</v>
      </c>
      <c r="Q767" s="6">
        <v>10.28</v>
      </c>
      <c r="R767" s="7">
        <v>45536</v>
      </c>
      <c r="S767" s="6">
        <v>0.22</v>
      </c>
      <c r="T767" s="6">
        <v>-0.01</v>
      </c>
      <c r="U767" s="7">
        <v>45536</v>
      </c>
      <c r="V767" s="6">
        <v>0</v>
      </c>
      <c r="W767" s="6">
        <f ca="1">IFERROR(__xludf.DUMMYFUNCTION("IFERROR(GOOGLEFINANCE(B767,""pe""),V767)"),0)</f>
        <v>0</v>
      </c>
      <c r="X767" s="9"/>
      <c r="Y767" s="6">
        <v>0.51</v>
      </c>
      <c r="Z767" s="6">
        <v>1</v>
      </c>
      <c r="AA767" s="8">
        <v>45352</v>
      </c>
      <c r="AB767" s="4">
        <v>0.62</v>
      </c>
      <c r="AC767" s="6">
        <v>0.01</v>
      </c>
      <c r="AD767" s="6">
        <v>0.02</v>
      </c>
      <c r="AE767" s="1">
        <v>0</v>
      </c>
      <c r="AF767" s="1">
        <f ca="1">IFERROR(__xludf.DUMMYFUNCTION("IFERROR(GOOGLEFINANCE(TRIM(F767)&amp;"":"" &amp; TRIM(B767),""high52""),AE767)"),0)</f>
        <v>0</v>
      </c>
      <c r="AG767" s="1">
        <v>0</v>
      </c>
      <c r="AH767" s="1">
        <f ca="1">IFERROR(__xludf.DUMMYFUNCTION("IFERROR(GOOGLEFINANCE(TRIM(F767)&amp;"":"" &amp; TRIM(B767),""low52""),AE767)"),0)</f>
        <v>0</v>
      </c>
      <c r="AI767" s="1">
        <f ca="1">IFERROR(__xludf.DUMMYFUNCTION("IFERROR(GOOGLEFINANCE(B767,""eps""),0)"),0)</f>
        <v>0</v>
      </c>
      <c r="AJ767" s="1"/>
      <c r="AK767" s="1" t="s">
        <v>2374</v>
      </c>
      <c r="AL767" s="9">
        <f t="shared" si="141"/>
        <v>1</v>
      </c>
    </row>
    <row r="768" spans="1:38" ht="15" x14ac:dyDescent="0.25">
      <c r="A768" s="1" t="s">
        <v>2375</v>
      </c>
      <c r="B768" s="1" t="s">
        <v>2376</v>
      </c>
      <c r="C768" s="1" t="s">
        <v>487</v>
      </c>
      <c r="D768" s="1" t="s">
        <v>487</v>
      </c>
      <c r="E768" s="6">
        <v>25.27</v>
      </c>
      <c r="F768" s="1" t="s">
        <v>53</v>
      </c>
      <c r="G768" s="6">
        <f ca="1">IFERROR(__xludf.DUMMYFUNCTION("iferror(GOOGLEFINANCE(TRIM(F768)&amp;"":"" &amp; TRIM(B768), ""price""),0
)"),0)</f>
        <v>0</v>
      </c>
      <c r="H768" s="6">
        <v>17.899999999999999</v>
      </c>
      <c r="I768" s="6">
        <f t="shared" ca="1" si="0"/>
        <v>17.899999999999999</v>
      </c>
      <c r="J768" s="6">
        <f ca="1">IFERROR(__xludf.DUMMYFUNCTION("IFERROR(GOOGLEFINANCE(B768, ""volume""), 0)"),0)</f>
        <v>0</v>
      </c>
      <c r="K768" s="6">
        <v>-0.17</v>
      </c>
      <c r="L768" s="6">
        <f ca="1">IFERROR(__xludf.DUMMYFUNCTION("IFERROR(GOOGLEFINANCE(B768,""changepct""),K768)"),-0.17)</f>
        <v>-0.17</v>
      </c>
      <c r="M768" s="6">
        <f ca="1">IFERROR(__xludf.DUMMYFUNCTION("IFERROR(GOOGLEFINANCE(B768,""change""),0)"),0)</f>
        <v>0</v>
      </c>
      <c r="N768" s="6">
        <v>2</v>
      </c>
      <c r="O768" s="7">
        <v>45536</v>
      </c>
      <c r="P768" s="6">
        <v>1.66</v>
      </c>
      <c r="Q768" s="6">
        <v>26.93</v>
      </c>
      <c r="R768" s="7">
        <v>45536</v>
      </c>
      <c r="S768" s="6">
        <v>0.67</v>
      </c>
      <c r="T768" s="6">
        <v>-2.5</v>
      </c>
      <c r="U768" s="7">
        <v>45536</v>
      </c>
      <c r="V768" s="6">
        <v>0</v>
      </c>
      <c r="W768" s="6">
        <f ca="1">IFERROR(__xludf.DUMMYFUNCTION("IFERROR(GOOGLEFINANCE(B768,""pe""),V768)"),0)</f>
        <v>0</v>
      </c>
      <c r="X768" s="9"/>
      <c r="Y768" s="6">
        <v>0.36</v>
      </c>
      <c r="Z768" s="6">
        <v>2</v>
      </c>
      <c r="AA768" s="8">
        <v>45352</v>
      </c>
      <c r="AB768" s="4">
        <v>0.02</v>
      </c>
      <c r="AC768" s="6">
        <v>-3.26</v>
      </c>
      <c r="AD768" s="6">
        <v>-3.18</v>
      </c>
      <c r="AE768" s="1">
        <v>0</v>
      </c>
      <c r="AF768" s="1">
        <f ca="1">IFERROR(__xludf.DUMMYFUNCTION("IFERROR(GOOGLEFINANCE(TRIM(F768)&amp;"":"" &amp; TRIM(B768),""high52""),AE768)"),0)</f>
        <v>0</v>
      </c>
      <c r="AG768" s="1">
        <v>0</v>
      </c>
      <c r="AH768" s="1">
        <f ca="1">IFERROR(__xludf.DUMMYFUNCTION("IFERROR(GOOGLEFINANCE(TRIM(F768)&amp;"":"" &amp; TRIM(B768),""low52""),AE768)"),0)</f>
        <v>0</v>
      </c>
      <c r="AI768" s="1">
        <f ca="1">IFERROR(__xludf.DUMMYFUNCTION("IFERROR(GOOGLEFINANCE(B768,""eps""),0)"),0)</f>
        <v>0</v>
      </c>
      <c r="AJ768" s="1"/>
      <c r="AK768" s="1" t="s">
        <v>2377</v>
      </c>
      <c r="AL768" s="9">
        <f t="shared" si="141"/>
        <v>1</v>
      </c>
    </row>
    <row r="769" spans="1:38" ht="15" x14ac:dyDescent="0.25">
      <c r="A769" s="1" t="s">
        <v>2378</v>
      </c>
      <c r="B769" s="1" t="s">
        <v>2379</v>
      </c>
      <c r="C769" s="1" t="s">
        <v>1497</v>
      </c>
      <c r="D769" s="1" t="s">
        <v>1497</v>
      </c>
      <c r="E769" s="6">
        <v>123.23</v>
      </c>
      <c r="F769" s="1" t="s">
        <v>40</v>
      </c>
      <c r="G769" s="6">
        <f ca="1">IFERROR(__xludf.DUMMYFUNCTION("iferror(GOOGLEFINANCE(TRIM(F769)&amp;"":"" &amp; TRIM(B769), ""price""),0
)"),122.5)</f>
        <v>122.5</v>
      </c>
      <c r="H769" s="6">
        <v>87.83</v>
      </c>
      <c r="I769" s="6">
        <f t="shared" ca="1" si="0"/>
        <v>122.5</v>
      </c>
      <c r="J769" s="6">
        <f ca="1">IFERROR(__xludf.DUMMYFUNCTION("IFERROR(GOOGLEFINANCE(B769, ""volume""), 0)"),673224)</f>
        <v>673224</v>
      </c>
      <c r="K769" s="6">
        <v>1.62</v>
      </c>
      <c r="L769" s="6">
        <f ca="1">IFERROR(__xludf.DUMMYFUNCTION("IFERROR(GOOGLEFINANCE(B769,""changepct""),K769)"),3.18)</f>
        <v>3.18</v>
      </c>
      <c r="M769" s="6">
        <f ca="1">IFERROR(__xludf.DUMMYFUNCTION("IFERROR(GOOGLEFINANCE(B769,""change""),0)"),3.77)</f>
        <v>3.77</v>
      </c>
      <c r="N769" s="6">
        <v>1</v>
      </c>
      <c r="O769" s="7">
        <v>45536</v>
      </c>
      <c r="P769" s="6">
        <v>28.3</v>
      </c>
      <c r="Q769" s="6">
        <v>151.53</v>
      </c>
      <c r="R769" s="7">
        <v>45536</v>
      </c>
      <c r="S769" s="6">
        <v>218</v>
      </c>
      <c r="T769" s="6">
        <v>4.24</v>
      </c>
      <c r="U769" s="7">
        <v>45536</v>
      </c>
      <c r="V769" s="6">
        <v>29.08</v>
      </c>
      <c r="W769" s="6">
        <f ca="1">IFERROR(__xludf.DUMMYFUNCTION("IFERROR(GOOGLEFINANCE(B769,""pe""),V769)"),23.6)</f>
        <v>23.6</v>
      </c>
      <c r="X769" s="6">
        <v>0.67</v>
      </c>
      <c r="Y769" s="6">
        <v>1.72</v>
      </c>
      <c r="Z769" s="6">
        <v>1</v>
      </c>
      <c r="AA769" s="8">
        <v>45352</v>
      </c>
      <c r="AB769" s="4">
        <v>0.22</v>
      </c>
      <c r="AC769" s="6">
        <v>5.96</v>
      </c>
      <c r="AD769" s="6">
        <v>8.9700000000000006</v>
      </c>
      <c r="AE769" s="1">
        <v>0</v>
      </c>
      <c r="AF769" s="1">
        <f ca="1">IFERROR(__xludf.DUMMYFUNCTION("IFERROR(GOOGLEFINANCE(TRIM(F769)&amp;"":"" &amp; TRIM(B769),""high52""),AE769)"),143.69)</f>
        <v>143.69</v>
      </c>
      <c r="AG769" s="1">
        <v>0</v>
      </c>
      <c r="AH769" s="1">
        <f ca="1">IFERROR(__xludf.DUMMYFUNCTION("IFERROR(GOOGLEFINANCE(TRIM(F769)&amp;"":"" &amp; TRIM(B769),""low52""),AE769)"),67.11)</f>
        <v>67.11</v>
      </c>
      <c r="AI769" s="1">
        <f ca="1">IFERROR(__xludf.DUMMYFUNCTION("IFERROR(GOOGLEFINANCE(B769,""eps""),0)"),5.19)</f>
        <v>5.19</v>
      </c>
      <c r="AJ769" s="1"/>
      <c r="AK769" s="1" t="s">
        <v>2380</v>
      </c>
      <c r="AL769" s="9">
        <f t="shared" si="141"/>
        <v>1</v>
      </c>
    </row>
    <row r="770" spans="1:38" ht="15" x14ac:dyDescent="0.25">
      <c r="A770" s="1" t="s">
        <v>2381</v>
      </c>
      <c r="B770" s="1" t="s">
        <v>2382</v>
      </c>
      <c r="C770" s="1" t="s">
        <v>487</v>
      </c>
      <c r="D770" s="1" t="s">
        <v>487</v>
      </c>
      <c r="E770" s="6">
        <v>28.38</v>
      </c>
      <c r="F770" s="1" t="s">
        <v>53</v>
      </c>
      <c r="G770" s="6">
        <f ca="1">IFERROR(__xludf.DUMMYFUNCTION("iferror(GOOGLEFINANCE(TRIM(F770)&amp;"":"" &amp; TRIM(B770), ""price""),0
)"),0)</f>
        <v>0</v>
      </c>
      <c r="H770" s="6">
        <v>1.74</v>
      </c>
      <c r="I770" s="6">
        <f t="shared" ca="1" si="0"/>
        <v>1.74</v>
      </c>
      <c r="J770" s="6">
        <f ca="1">IFERROR(__xludf.DUMMYFUNCTION("IFERROR(GOOGLEFINANCE(B770, ""volume""), 0)"),0)</f>
        <v>0</v>
      </c>
      <c r="K770" s="6">
        <v>3.57</v>
      </c>
      <c r="L770" s="6">
        <f ca="1">IFERROR(__xludf.DUMMYFUNCTION("IFERROR(GOOGLEFINANCE(B770,""changepct""),K770)"),3.57)</f>
        <v>3.57</v>
      </c>
      <c r="M770" s="6">
        <f ca="1">IFERROR(__xludf.DUMMYFUNCTION("IFERROR(GOOGLEFINANCE(B770,""change""),0)"),0)</f>
        <v>0</v>
      </c>
      <c r="N770" s="6">
        <v>1</v>
      </c>
      <c r="O770" s="7">
        <v>45536</v>
      </c>
      <c r="P770" s="6">
        <v>3.9</v>
      </c>
      <c r="Q770" s="6">
        <v>32.270000000000003</v>
      </c>
      <c r="R770" s="7">
        <v>45536</v>
      </c>
      <c r="S770" s="6">
        <v>6.08</v>
      </c>
      <c r="T770" s="6">
        <v>0.22</v>
      </c>
      <c r="U770" s="7">
        <v>45536</v>
      </c>
      <c r="V770" s="6">
        <v>126.68</v>
      </c>
      <c r="W770" s="6">
        <f ca="1">IFERROR(__xludf.DUMMYFUNCTION("IFERROR(GOOGLEFINANCE(B770,""pe""),V770)"),126.68)</f>
        <v>126.68</v>
      </c>
      <c r="X770" s="6">
        <v>5.16</v>
      </c>
      <c r="Y770" s="6">
        <v>0.52</v>
      </c>
      <c r="Z770" s="6">
        <v>1</v>
      </c>
      <c r="AA770" s="8">
        <v>45352</v>
      </c>
      <c r="AB770" s="4">
        <v>7.0000000000000007E-2</v>
      </c>
      <c r="AC770" s="6">
        <v>1.84</v>
      </c>
      <c r="AD770" s="6">
        <v>3.53</v>
      </c>
      <c r="AE770" s="1">
        <v>0</v>
      </c>
      <c r="AF770" s="1">
        <f ca="1">IFERROR(__xludf.DUMMYFUNCTION("IFERROR(GOOGLEFINANCE(TRIM(F770)&amp;"":"" &amp; TRIM(B770),""high52""),AE770)"),0)</f>
        <v>0</v>
      </c>
      <c r="AG770" s="1">
        <v>0</v>
      </c>
      <c r="AH770" s="1">
        <f ca="1">IFERROR(__xludf.DUMMYFUNCTION("IFERROR(GOOGLEFINANCE(TRIM(F770)&amp;"":"" &amp; TRIM(B770),""low52""),AE770)"),0)</f>
        <v>0</v>
      </c>
      <c r="AI770" s="1">
        <f ca="1">IFERROR(__xludf.DUMMYFUNCTION("IFERROR(GOOGLEFINANCE(B770,""eps""),0)"),0)</f>
        <v>0</v>
      </c>
      <c r="AJ770" s="1"/>
      <c r="AK770" s="1" t="s">
        <v>2383</v>
      </c>
      <c r="AL770" s="9">
        <f t="shared" si="141"/>
        <v>1</v>
      </c>
    </row>
    <row r="771" spans="1:38" ht="15" x14ac:dyDescent="0.25">
      <c r="A771" s="1" t="s">
        <v>2384</v>
      </c>
      <c r="B771" s="1" t="s">
        <v>2385</v>
      </c>
      <c r="C771" s="1" t="s">
        <v>2386</v>
      </c>
      <c r="D771" s="1" t="s">
        <v>2386</v>
      </c>
      <c r="E771" s="6">
        <v>90214.74</v>
      </c>
      <c r="F771" s="1" t="s">
        <v>40</v>
      </c>
      <c r="G771" s="6">
        <f ca="1">IFERROR(__xludf.DUMMYFUNCTION("iferror(GOOGLEFINANCE(TRIM(F771)&amp;"":"" &amp; TRIM(B771), ""price""),0
)"),4082.8)</f>
        <v>4082.8</v>
      </c>
      <c r="H771" s="6">
        <v>3254</v>
      </c>
      <c r="I771" s="6">
        <f t="shared" ca="1" si="0"/>
        <v>4082.8</v>
      </c>
      <c r="J771" s="6">
        <f ca="1">IFERROR(__xludf.DUMMYFUNCTION("IFERROR(GOOGLEFINANCE(B771, ""volume""), 0)"),498551)</f>
        <v>498551</v>
      </c>
      <c r="K771" s="6">
        <v>-0.11</v>
      </c>
      <c r="L771" s="6">
        <f ca="1">IFERROR(__xludf.DUMMYFUNCTION("IFERROR(GOOGLEFINANCE(B771,""changepct""),K771)"),1.54)</f>
        <v>1.54</v>
      </c>
      <c r="M771" s="6">
        <f ca="1">IFERROR(__xludf.DUMMYFUNCTION("IFERROR(GOOGLEFINANCE(B771,""change""),0)"),61.9)</f>
        <v>61.9</v>
      </c>
      <c r="N771" s="6">
        <v>2</v>
      </c>
      <c r="O771" s="7">
        <v>45536</v>
      </c>
      <c r="P771" s="6">
        <v>1.49</v>
      </c>
      <c r="Q771" s="6">
        <v>88580.12</v>
      </c>
      <c r="R771" s="7">
        <v>45536</v>
      </c>
      <c r="S771" s="6">
        <v>9684.56</v>
      </c>
      <c r="T771" s="6">
        <v>1688.45</v>
      </c>
      <c r="U771" s="7">
        <v>45536</v>
      </c>
      <c r="V771" s="6">
        <v>46.27</v>
      </c>
      <c r="W771" s="6">
        <f ca="1">IFERROR(__xludf.DUMMYFUNCTION("IFERROR(GOOGLEFINANCE(B771,""pe""),V771)"),48.9)</f>
        <v>48.9</v>
      </c>
      <c r="X771" s="6">
        <v>2.5299999999999998</v>
      </c>
      <c r="Y771" s="6">
        <v>12.95</v>
      </c>
      <c r="Z771" s="6">
        <v>2</v>
      </c>
      <c r="AA771" s="8">
        <v>45352</v>
      </c>
      <c r="AB771" s="4">
        <v>0.02</v>
      </c>
      <c r="AC771" s="6">
        <v>27.82</v>
      </c>
      <c r="AD771" s="6">
        <v>34.82</v>
      </c>
      <c r="AE771" s="1">
        <v>0</v>
      </c>
      <c r="AF771" s="1">
        <f ca="1">IFERROR(__xludf.DUMMYFUNCTION("IFERROR(GOOGLEFINANCE(TRIM(F771)&amp;"":"" &amp; TRIM(B771),""high52""),AE771)"),4615)</f>
        <v>4615</v>
      </c>
      <c r="AG771" s="1">
        <v>0</v>
      </c>
      <c r="AH771" s="1">
        <f ca="1">IFERROR(__xludf.DUMMYFUNCTION("IFERROR(GOOGLEFINANCE(TRIM(F771)&amp;"":"" &amp; TRIM(B771),""low52""),AE771)"),2580)</f>
        <v>2580</v>
      </c>
      <c r="AI771" s="1">
        <f ca="1">IFERROR(__xludf.DUMMYFUNCTION("IFERROR(GOOGLEFINANCE(B771,""eps""),0)"),83.49)</f>
        <v>83.49</v>
      </c>
      <c r="AJ771" s="1"/>
      <c r="AK771" s="9"/>
      <c r="AL771" s="9">
        <f t="shared" si="141"/>
        <v>1</v>
      </c>
    </row>
    <row r="772" spans="1:38" ht="15" x14ac:dyDescent="0.25">
      <c r="A772" s="1" t="s">
        <v>2387</v>
      </c>
      <c r="B772" s="1" t="s">
        <v>2388</v>
      </c>
      <c r="C772" s="1" t="s">
        <v>487</v>
      </c>
      <c r="D772" s="1" t="s">
        <v>487</v>
      </c>
      <c r="E772" s="6">
        <v>13.11</v>
      </c>
      <c r="F772" s="1" t="s">
        <v>53</v>
      </c>
      <c r="G772" s="6">
        <f ca="1">IFERROR(__xludf.DUMMYFUNCTION("iferror(GOOGLEFINANCE(TRIM(F772)&amp;"":"" &amp; TRIM(B772), ""price""),0
)"),0)</f>
        <v>0</v>
      </c>
      <c r="H772" s="6">
        <v>11.29</v>
      </c>
      <c r="I772" s="6">
        <f t="shared" ca="1" si="0"/>
        <v>11.29</v>
      </c>
      <c r="J772" s="6">
        <f ca="1">IFERROR(__xludf.DUMMYFUNCTION("IFERROR(GOOGLEFINANCE(B772, ""volume""), 0)"),0)</f>
        <v>0</v>
      </c>
      <c r="K772" s="6">
        <v>4.93</v>
      </c>
      <c r="L772" s="6">
        <f ca="1">IFERROR(__xludf.DUMMYFUNCTION("IFERROR(GOOGLEFINANCE(B772,""changepct""),K772)"),4.93)</f>
        <v>4.93</v>
      </c>
      <c r="M772" s="6">
        <f ca="1">IFERROR(__xludf.DUMMYFUNCTION("IFERROR(GOOGLEFINANCE(B772,""change""),0)"),0)</f>
        <v>0</v>
      </c>
      <c r="N772" s="6">
        <v>1</v>
      </c>
      <c r="O772" s="7">
        <v>45536</v>
      </c>
      <c r="P772" s="6">
        <v>0.31</v>
      </c>
      <c r="Q772" s="6">
        <v>10.83</v>
      </c>
      <c r="R772" s="15">
        <v>45536</v>
      </c>
      <c r="S772" s="6">
        <v>8.5500000000000007</v>
      </c>
      <c r="T772" s="6">
        <v>7.81</v>
      </c>
      <c r="U772" s="15">
        <v>45536</v>
      </c>
      <c r="V772" s="6">
        <v>1.68</v>
      </c>
      <c r="W772" s="6">
        <f ca="1">IFERROR(__xludf.DUMMYFUNCTION("IFERROR(GOOGLEFINANCE(B772,""pe""),V772)"),1.68)</f>
        <v>1.68</v>
      </c>
      <c r="X772" s="6">
        <v>0.12</v>
      </c>
      <c r="Y772" s="6">
        <v>1.08</v>
      </c>
      <c r="Z772" s="6">
        <v>1</v>
      </c>
      <c r="AA772" s="8">
        <v>45352</v>
      </c>
      <c r="AB772" s="4">
        <v>0.02</v>
      </c>
      <c r="AC772" s="6">
        <v>3.85</v>
      </c>
      <c r="AD772" s="6">
        <v>5.38</v>
      </c>
      <c r="AE772" s="1">
        <v>0</v>
      </c>
      <c r="AF772" s="1">
        <f ca="1">IFERROR(__xludf.DUMMYFUNCTION("IFERROR(GOOGLEFINANCE(TRIM(F772)&amp;"":"" &amp; TRIM(B772),""high52""),AE772)"),0)</f>
        <v>0</v>
      </c>
      <c r="AG772" s="1">
        <v>0</v>
      </c>
      <c r="AH772" s="1">
        <f ca="1">IFERROR(__xludf.DUMMYFUNCTION("IFERROR(GOOGLEFINANCE(TRIM(F772)&amp;"":"" &amp; TRIM(B772),""low52""),AE772)"),0)</f>
        <v>0</v>
      </c>
      <c r="AI772" s="1">
        <f ca="1">IFERROR(__xludf.DUMMYFUNCTION("IFERROR(GOOGLEFINANCE(B772,""eps""),0)"),0)</f>
        <v>0</v>
      </c>
      <c r="AJ772" s="1"/>
      <c r="AK772" s="1" t="s">
        <v>2389</v>
      </c>
      <c r="AL772" s="9">
        <f t="shared" si="141"/>
        <v>1</v>
      </c>
    </row>
    <row r="773" spans="1:38" ht="15" x14ac:dyDescent="0.25">
      <c r="A773" s="1" t="s">
        <v>2390</v>
      </c>
      <c r="B773" s="1" t="s">
        <v>2391</v>
      </c>
      <c r="C773" s="1" t="s">
        <v>151</v>
      </c>
      <c r="D773" s="1" t="s">
        <v>151</v>
      </c>
      <c r="E773" s="6">
        <v>2032.83</v>
      </c>
      <c r="F773" s="1" t="s">
        <v>40</v>
      </c>
      <c r="G773" s="6">
        <f ca="1">IFERROR(__xludf.DUMMYFUNCTION("iferror(GOOGLEFINANCE(TRIM(F773)&amp;"":"" &amp; TRIM(B773), ""price""),0
)"),411.95)</f>
        <v>411.95</v>
      </c>
      <c r="H773" s="6">
        <v>79.959999999999994</v>
      </c>
      <c r="I773" s="6">
        <f t="shared" ca="1" si="0"/>
        <v>411.95</v>
      </c>
      <c r="J773" s="6">
        <f ca="1">IFERROR(__xludf.DUMMYFUNCTION("IFERROR(GOOGLEFINANCE(B773, ""volume""), 0)"),10323154)</f>
        <v>10323154</v>
      </c>
      <c r="K773" s="6">
        <v>5.57</v>
      </c>
      <c r="L773" s="6">
        <f ca="1">IFERROR(__xludf.DUMMYFUNCTION("IFERROR(GOOGLEFINANCE(B773,""changepct""),K773)"),1.35)</f>
        <v>1.35</v>
      </c>
      <c r="M773" s="6">
        <f ca="1">IFERROR(__xludf.DUMMYFUNCTION("IFERROR(GOOGLEFINANCE(B773,""change""),0)"),5.5)</f>
        <v>5.5</v>
      </c>
      <c r="N773" s="6">
        <v>1</v>
      </c>
      <c r="O773" s="7">
        <v>45536</v>
      </c>
      <c r="P773" s="6">
        <v>9.0399999999999991</v>
      </c>
      <c r="Q773" s="6">
        <v>1977.1</v>
      </c>
      <c r="R773" s="7">
        <v>45536</v>
      </c>
      <c r="S773" s="6">
        <v>188.53</v>
      </c>
      <c r="T773" s="6">
        <v>50.87</v>
      </c>
      <c r="U773" s="7">
        <v>45536</v>
      </c>
      <c r="V773" s="6">
        <v>39.96</v>
      </c>
      <c r="W773" s="6">
        <f ca="1">IFERROR(__xludf.DUMMYFUNCTION("IFERROR(GOOGLEFINANCE(B773,""pe""),V773)"),181.48)</f>
        <v>181.48</v>
      </c>
      <c r="X773" s="6">
        <v>1.88</v>
      </c>
      <c r="Y773" s="6">
        <v>9.06</v>
      </c>
      <c r="Z773" s="6">
        <v>1</v>
      </c>
      <c r="AA773" s="8">
        <v>45352</v>
      </c>
      <c r="AB773" s="4">
        <v>0.06</v>
      </c>
      <c r="AC773" s="6">
        <v>21.51</v>
      </c>
      <c r="AD773" s="6">
        <v>22.36</v>
      </c>
      <c r="AE773" s="1">
        <v>0</v>
      </c>
      <c r="AF773" s="1">
        <f ca="1">IFERROR(__xludf.DUMMYFUNCTION("IFERROR(GOOGLEFINANCE(TRIM(F773)&amp;"":"" &amp; TRIM(B773),""high52""),AE773)"),526.95)</f>
        <v>526.95000000000005</v>
      </c>
      <c r="AG773" s="1">
        <v>0</v>
      </c>
      <c r="AH773" s="1">
        <f ca="1">IFERROR(__xludf.DUMMYFUNCTION("IFERROR(GOOGLEFINANCE(TRIM(F773)&amp;"":"" &amp; TRIM(B773),""low52""),AE773)"),55.75)</f>
        <v>55.75</v>
      </c>
      <c r="AI773" s="1">
        <f ca="1">IFERROR(__xludf.DUMMYFUNCTION("IFERROR(GOOGLEFINANCE(B773,""eps""),0)"),2.27)</f>
        <v>2.27</v>
      </c>
      <c r="AJ773" s="1"/>
      <c r="AK773" s="1" t="s">
        <v>2392</v>
      </c>
      <c r="AL773" s="9">
        <f t="shared" si="141"/>
        <v>1</v>
      </c>
    </row>
    <row r="774" spans="1:38" ht="15" x14ac:dyDescent="0.25">
      <c r="A774" s="1" t="s">
        <v>2393</v>
      </c>
      <c r="B774" s="1" t="s">
        <v>2394</v>
      </c>
      <c r="C774" s="1" t="s">
        <v>778</v>
      </c>
      <c r="D774" s="1" t="s">
        <v>778</v>
      </c>
      <c r="E774" s="6">
        <v>39.78</v>
      </c>
      <c r="F774" s="1" t="s">
        <v>40</v>
      </c>
      <c r="G774" s="6">
        <f ca="1">IFERROR(__xludf.DUMMYFUNCTION("iferror(GOOGLEFINANCE(TRIM(F774)&amp;"":"" &amp; TRIM(B774), ""price""),0
)"),15.83)</f>
        <v>15.83</v>
      </c>
      <c r="H774" s="6">
        <v>25.73</v>
      </c>
      <c r="I774" s="6">
        <f t="shared" ca="1" si="0"/>
        <v>15.83</v>
      </c>
      <c r="J774" s="6">
        <f ca="1">IFERROR(__xludf.DUMMYFUNCTION("IFERROR(GOOGLEFINANCE(B774, ""volume""), 0)"),17634)</f>
        <v>17634</v>
      </c>
      <c r="K774" s="6">
        <v>-0.04</v>
      </c>
      <c r="L774" s="6">
        <f ca="1">IFERROR(__xludf.DUMMYFUNCTION("IFERROR(GOOGLEFINANCE(B774,""changepct""),K774)"),-4.92)</f>
        <v>-4.92</v>
      </c>
      <c r="M774" s="6">
        <f ca="1">IFERROR(__xludf.DUMMYFUNCTION("IFERROR(GOOGLEFINANCE(B774,""change""),0)"),-0.82)</f>
        <v>-0.82</v>
      </c>
      <c r="N774" s="6">
        <v>2</v>
      </c>
      <c r="O774" s="7">
        <v>45536</v>
      </c>
      <c r="P774" s="6">
        <v>9.19</v>
      </c>
      <c r="Q774" s="6">
        <v>45.03</v>
      </c>
      <c r="R774" s="7">
        <v>45536</v>
      </c>
      <c r="S774" s="6">
        <v>91.86</v>
      </c>
      <c r="T774" s="6">
        <v>1.85</v>
      </c>
      <c r="U774" s="7">
        <v>45536</v>
      </c>
      <c r="V774" s="6">
        <v>21.49</v>
      </c>
      <c r="W774" s="6">
        <f ca="1">IFERROR(__xludf.DUMMYFUNCTION("IFERROR(GOOGLEFINANCE(B774,""pe""),V774)"),21.49)</f>
        <v>21.49</v>
      </c>
      <c r="X774" s="6">
        <v>0.75</v>
      </c>
      <c r="Y774" s="6">
        <v>-8.43</v>
      </c>
      <c r="Z774" s="6">
        <v>2</v>
      </c>
      <c r="AA774" s="8">
        <v>45352</v>
      </c>
      <c r="AB774" s="4">
        <v>-2.25</v>
      </c>
      <c r="AC774" s="6">
        <v>0</v>
      </c>
      <c r="AD774" s="6">
        <v>111.1</v>
      </c>
      <c r="AE774" s="1">
        <v>0</v>
      </c>
      <c r="AF774" s="1">
        <f ca="1">IFERROR(__xludf.DUMMYFUNCTION("IFERROR(GOOGLEFINANCE(TRIM(F774)&amp;"":"" &amp; TRIM(B774),""high52""),AE774)"),23.59)</f>
        <v>23.59</v>
      </c>
      <c r="AG774" s="1">
        <v>0</v>
      </c>
      <c r="AH774" s="1">
        <f ca="1">IFERROR(__xludf.DUMMYFUNCTION("IFERROR(GOOGLEFINANCE(TRIM(F774)&amp;"":"" &amp; TRIM(B774),""low52""),AE774)"),11.01)</f>
        <v>11.01</v>
      </c>
      <c r="AI774" s="1">
        <f ca="1">IFERROR(__xludf.DUMMYFUNCTION("IFERROR(GOOGLEFINANCE(B774,""eps""),0)"),-0.09)</f>
        <v>-0.09</v>
      </c>
      <c r="AJ774" s="1"/>
      <c r="AK774" s="1" t="s">
        <v>2395</v>
      </c>
      <c r="AL774" s="9">
        <f t="shared" si="141"/>
        <v>1</v>
      </c>
    </row>
    <row r="775" spans="1:38" ht="15" x14ac:dyDescent="0.25">
      <c r="A775" s="1" t="s">
        <v>2396</v>
      </c>
      <c r="B775" s="1" t="s">
        <v>2397</v>
      </c>
      <c r="C775" s="1" t="s">
        <v>778</v>
      </c>
      <c r="D775" s="1" t="s">
        <v>778</v>
      </c>
      <c r="E775" s="6">
        <v>31.11</v>
      </c>
      <c r="F775" s="1" t="s">
        <v>40</v>
      </c>
      <c r="G775" s="6">
        <f ca="1">IFERROR(__xludf.DUMMYFUNCTION("iferror(GOOGLEFINANCE(TRIM(F775)&amp;"":"" &amp; TRIM(B775), ""price""),0
)"),0)</f>
        <v>0</v>
      </c>
      <c r="H775" s="6">
        <v>106.25</v>
      </c>
      <c r="I775" s="6">
        <f t="shared" ca="1" si="0"/>
        <v>106.25</v>
      </c>
      <c r="J775" s="6">
        <f ca="1">IFERROR(__xludf.DUMMYFUNCTION("IFERROR(GOOGLEFINANCE(B775, ""volume""), 0)"),0)</f>
        <v>0</v>
      </c>
      <c r="K775" s="9"/>
      <c r="L775" s="6" t="str">
        <f ca="1">IFERROR(__xludf.DUMMYFUNCTION("IFERROR(GOOGLEFINANCE(B775,""changepct""),K775)"),"")</f>
        <v/>
      </c>
      <c r="M775" s="6">
        <f ca="1">IFERROR(__xludf.DUMMYFUNCTION("IFERROR(GOOGLEFINANCE(B775,""change""),0)"),0)</f>
        <v>0</v>
      </c>
      <c r="N775" s="6">
        <v>2</v>
      </c>
      <c r="O775" s="7">
        <v>45536</v>
      </c>
      <c r="P775" s="6">
        <v>7.4</v>
      </c>
      <c r="Q775" s="6">
        <v>38.51</v>
      </c>
      <c r="R775" s="7">
        <v>45536</v>
      </c>
      <c r="S775" s="6">
        <v>79.69</v>
      </c>
      <c r="T775" s="6">
        <v>3.39</v>
      </c>
      <c r="U775" s="7">
        <v>45536</v>
      </c>
      <c r="V775" s="6">
        <v>9.16</v>
      </c>
      <c r="W775" s="6">
        <f ca="1">IFERROR(__xludf.DUMMYFUNCTION("IFERROR(GOOGLEFINANCE(B775,""pe""),V775)"),9.16)</f>
        <v>9.16</v>
      </c>
      <c r="X775" s="9"/>
      <c r="Y775" s="6">
        <v>1.86</v>
      </c>
      <c r="Z775" s="6">
        <v>2</v>
      </c>
      <c r="AA775" s="8">
        <v>45352</v>
      </c>
      <c r="AB775" s="4">
        <v>0.55000000000000004</v>
      </c>
      <c r="AC775" s="6">
        <v>25.55</v>
      </c>
      <c r="AD775" s="6">
        <v>26.68</v>
      </c>
      <c r="AE775" s="1">
        <v>0</v>
      </c>
      <c r="AF775" s="1">
        <f ca="1">IFERROR(__xludf.DUMMYFUNCTION("IFERROR(GOOGLEFINANCE(TRIM(F775)&amp;"":"" &amp; TRIM(B775),""high52""),AE775)"),0)</f>
        <v>0</v>
      </c>
      <c r="AG775" s="1">
        <v>0</v>
      </c>
      <c r="AH775" s="1">
        <f ca="1">IFERROR(__xludf.DUMMYFUNCTION("IFERROR(GOOGLEFINANCE(TRIM(F775)&amp;"":"" &amp; TRIM(B775),""low52""),AE775)"),0)</f>
        <v>0</v>
      </c>
      <c r="AI775" s="1">
        <f ca="1">IFERROR(__xludf.DUMMYFUNCTION("IFERROR(GOOGLEFINANCE(B775,""eps""),0)"),0)</f>
        <v>0</v>
      </c>
      <c r="AJ775" s="1"/>
      <c r="AK775" s="1" t="s">
        <v>2398</v>
      </c>
      <c r="AL775" s="9">
        <f t="shared" si="141"/>
        <v>1</v>
      </c>
    </row>
    <row r="776" spans="1:38" ht="15" x14ac:dyDescent="0.25">
      <c r="A776" s="1" t="s">
        <v>2399</v>
      </c>
      <c r="B776" s="1" t="s">
        <v>2400</v>
      </c>
      <c r="C776" s="1" t="s">
        <v>57</v>
      </c>
      <c r="D776" s="1" t="s">
        <v>57</v>
      </c>
      <c r="E776" s="6">
        <v>697.17</v>
      </c>
      <c r="F776" s="1" t="s">
        <v>40</v>
      </c>
      <c r="G776" s="6">
        <f ca="1">IFERROR(__xludf.DUMMYFUNCTION("iferror(GOOGLEFINANCE(TRIM(F776)&amp;"":"" &amp; TRIM(B776), ""price""),0
)"),128.51)</f>
        <v>128.51</v>
      </c>
      <c r="H776" s="6">
        <v>227</v>
      </c>
      <c r="I776" s="6">
        <f t="shared" ca="1" si="0"/>
        <v>128.51</v>
      </c>
      <c r="J776" s="6">
        <f ca="1">IFERROR(__xludf.DUMMYFUNCTION("IFERROR(GOOGLEFINANCE(B776, ""volume""), 0)"),22585)</f>
        <v>22585</v>
      </c>
      <c r="K776" s="6">
        <v>1.79</v>
      </c>
      <c r="L776" s="6">
        <f ca="1">IFERROR(__xludf.DUMMYFUNCTION("IFERROR(GOOGLEFINANCE(B776,""changepct""),K776)"),-2.3)</f>
        <v>-2.2999999999999998</v>
      </c>
      <c r="M776" s="6">
        <f ca="1">IFERROR(__xludf.DUMMYFUNCTION("IFERROR(GOOGLEFINANCE(B776,""change""),0)"),-3.03)</f>
        <v>-3.03</v>
      </c>
      <c r="N776" s="6">
        <v>2</v>
      </c>
      <c r="O776" s="7">
        <v>45536</v>
      </c>
      <c r="P776" s="6">
        <v>3.5</v>
      </c>
      <c r="Q776" s="6">
        <v>620.34</v>
      </c>
      <c r="R776" s="7">
        <v>45536</v>
      </c>
      <c r="S776" s="6">
        <v>226.96</v>
      </c>
      <c r="T776" s="6">
        <v>28.86</v>
      </c>
      <c r="U776" s="7">
        <v>45536</v>
      </c>
      <c r="V776" s="6">
        <v>24.16</v>
      </c>
      <c r="W776" s="6">
        <f ca="1">IFERROR(__xludf.DUMMYFUNCTION("IFERROR(GOOGLEFINANCE(B776,""pe""),V776)"),11.31)</f>
        <v>11.31</v>
      </c>
      <c r="X776" s="6">
        <v>1.39</v>
      </c>
      <c r="Y776" s="6">
        <v>3.06</v>
      </c>
      <c r="Z776" s="6">
        <v>2</v>
      </c>
      <c r="AA776" s="8">
        <v>45352</v>
      </c>
      <c r="AB776" s="4">
        <v>0.02</v>
      </c>
      <c r="AC776" s="6">
        <v>12.03</v>
      </c>
      <c r="AD776" s="6">
        <v>16.82</v>
      </c>
      <c r="AE776" s="1">
        <v>0</v>
      </c>
      <c r="AF776" s="1">
        <f ca="1">IFERROR(__xludf.DUMMYFUNCTION("IFERROR(GOOGLEFINANCE(TRIM(F776)&amp;"":"" &amp; TRIM(B776),""high52""),AE776)"),274.8)</f>
        <v>274.8</v>
      </c>
      <c r="AG776" s="1">
        <v>0</v>
      </c>
      <c r="AH776" s="1">
        <f ca="1">IFERROR(__xludf.DUMMYFUNCTION("IFERROR(GOOGLEFINANCE(TRIM(F776)&amp;"":"" &amp; TRIM(B776),""low52""),AE776)"),124.5)</f>
        <v>124.5</v>
      </c>
      <c r="AI776" s="1">
        <f ca="1">IFERROR(__xludf.DUMMYFUNCTION("IFERROR(GOOGLEFINANCE(B776,""eps""),0)"),11.37)</f>
        <v>11.37</v>
      </c>
      <c r="AJ776" s="1"/>
      <c r="AK776" s="1" t="s">
        <v>2401</v>
      </c>
      <c r="AL776" s="9">
        <f t="shared" si="141"/>
        <v>1</v>
      </c>
    </row>
    <row r="777" spans="1:38" ht="15" x14ac:dyDescent="0.25">
      <c r="A777" s="1" t="s">
        <v>2402</v>
      </c>
      <c r="B777" s="1" t="s">
        <v>2403</v>
      </c>
      <c r="C777" s="1" t="s">
        <v>125</v>
      </c>
      <c r="D777" s="1" t="s">
        <v>125</v>
      </c>
      <c r="E777" s="6">
        <v>5320.25</v>
      </c>
      <c r="F777" s="1" t="s">
        <v>40</v>
      </c>
      <c r="G777" s="6">
        <f ca="1">IFERROR(__xludf.DUMMYFUNCTION("iferror(GOOGLEFINANCE(TRIM(F777)&amp;"":"" &amp; TRIM(B777), ""price""),0
)"),362.25)</f>
        <v>362.25</v>
      </c>
      <c r="H777" s="6">
        <v>671.35</v>
      </c>
      <c r="I777" s="6">
        <f t="shared" ca="1" si="0"/>
        <v>362.25</v>
      </c>
      <c r="J777" s="6">
        <f ca="1">IFERROR(__xludf.DUMMYFUNCTION("IFERROR(GOOGLEFINANCE(B777, ""volume""), 0)"),115344)</f>
        <v>115344</v>
      </c>
      <c r="K777" s="6">
        <v>0.12</v>
      </c>
      <c r="L777" s="6">
        <f ca="1">IFERROR(__xludf.DUMMYFUNCTION("IFERROR(GOOGLEFINANCE(B777,""changepct""),K777)"),-1.96)</f>
        <v>-1.96</v>
      </c>
      <c r="M777" s="6">
        <f ca="1">IFERROR(__xludf.DUMMYFUNCTION("IFERROR(GOOGLEFINANCE(B777,""change""),0)"),-7.25)</f>
        <v>-7.25</v>
      </c>
      <c r="N777" s="6">
        <v>2</v>
      </c>
      <c r="O777" s="7">
        <v>45536</v>
      </c>
      <c r="P777" s="6">
        <v>288.82</v>
      </c>
      <c r="Q777" s="6">
        <v>5149.71</v>
      </c>
      <c r="R777" s="7">
        <v>45352</v>
      </c>
      <c r="S777" s="6">
        <v>1191.8699999999999</v>
      </c>
      <c r="T777" s="6">
        <v>61.2</v>
      </c>
      <c r="U777" s="7">
        <v>45352</v>
      </c>
      <c r="V777" s="6">
        <v>86.94</v>
      </c>
      <c r="W777" s="6">
        <f ca="1">IFERROR(__xludf.DUMMYFUNCTION("IFERROR(GOOGLEFINANCE(B777,""pe""),V777)"),35.18)</f>
        <v>35.18</v>
      </c>
      <c r="X777" s="12"/>
      <c r="Y777" s="6">
        <v>5.68</v>
      </c>
      <c r="Z777" s="6">
        <v>2</v>
      </c>
      <c r="AA777" s="8">
        <v>45352</v>
      </c>
      <c r="AB777" s="4">
        <v>0.15</v>
      </c>
      <c r="AC777" s="6">
        <v>11.11</v>
      </c>
      <c r="AD777" s="6">
        <v>14.99</v>
      </c>
      <c r="AE777" s="1">
        <v>0</v>
      </c>
      <c r="AF777" s="1">
        <f ca="1">IFERROR(__xludf.DUMMYFUNCTION("IFERROR(GOOGLEFINANCE(TRIM(F777)&amp;"":"" &amp; TRIM(B777),""high52""),AE777)"),540)</f>
        <v>540</v>
      </c>
      <c r="AG777" s="1">
        <v>0</v>
      </c>
      <c r="AH777" s="1">
        <f ca="1">IFERROR(__xludf.DUMMYFUNCTION("IFERROR(GOOGLEFINANCE(TRIM(F777)&amp;"":"" &amp; TRIM(B777),""low52""),AE777)"),345.8)</f>
        <v>345.8</v>
      </c>
      <c r="AI777" s="1">
        <f ca="1">IFERROR(__xludf.DUMMYFUNCTION("IFERROR(GOOGLEFINANCE(B777,""eps""),0)"),10.3)</f>
        <v>10.3</v>
      </c>
      <c r="AJ777" s="1"/>
      <c r="AK777" s="1" t="s">
        <v>2404</v>
      </c>
      <c r="AL777" s="9">
        <f t="shared" si="141"/>
        <v>1</v>
      </c>
    </row>
    <row r="778" spans="1:38" ht="15" x14ac:dyDescent="0.25">
      <c r="A778" s="1" t="s">
        <v>2405</v>
      </c>
      <c r="B778" s="1" t="s">
        <v>2406</v>
      </c>
      <c r="C778" s="1" t="s">
        <v>487</v>
      </c>
      <c r="D778" s="1" t="s">
        <v>487</v>
      </c>
      <c r="E778" s="6">
        <v>41.96</v>
      </c>
      <c r="F778" s="1" t="s">
        <v>53</v>
      </c>
      <c r="G778" s="6">
        <f ca="1">IFERROR(__xludf.DUMMYFUNCTION("iferror(GOOGLEFINANCE(TRIM(F778)&amp;"":"" &amp; TRIM(B778), ""price""),0
)"),0)</f>
        <v>0</v>
      </c>
      <c r="H778" s="6">
        <v>81.25</v>
      </c>
      <c r="I778" s="6">
        <f t="shared" ca="1" si="0"/>
        <v>81.25</v>
      </c>
      <c r="J778" s="6">
        <f ca="1">IFERROR(__xludf.DUMMYFUNCTION("IFERROR(GOOGLEFINANCE(B778, ""volume""), 0)"),0)</f>
        <v>0</v>
      </c>
      <c r="K778" s="9"/>
      <c r="L778" s="6" t="str">
        <f ca="1">IFERROR(__xludf.DUMMYFUNCTION("IFERROR(GOOGLEFINANCE(B778,""changepct""),K778)"),"")</f>
        <v/>
      </c>
      <c r="M778" s="6">
        <f ca="1">IFERROR(__xludf.DUMMYFUNCTION("IFERROR(GOOGLEFINANCE(B778,""change""),0)"),0)</f>
        <v>0</v>
      </c>
      <c r="N778" s="6">
        <v>1</v>
      </c>
      <c r="O778" s="7">
        <v>45536</v>
      </c>
      <c r="P778" s="6">
        <v>9.73</v>
      </c>
      <c r="Q778" s="6">
        <v>51.69</v>
      </c>
      <c r="R778" s="7">
        <v>45536</v>
      </c>
      <c r="S778" s="6">
        <v>1.88</v>
      </c>
      <c r="T778" s="6">
        <v>1.49</v>
      </c>
      <c r="U778" s="7">
        <v>45536</v>
      </c>
      <c r="V778" s="6">
        <v>28.13</v>
      </c>
      <c r="W778" s="6">
        <f ca="1">IFERROR(__xludf.DUMMYFUNCTION("IFERROR(GOOGLEFINANCE(B778,""pe""),V778)"),28.13)</f>
        <v>28.13</v>
      </c>
      <c r="X778" s="6">
        <v>-7</v>
      </c>
      <c r="Y778" s="6">
        <v>0.98</v>
      </c>
      <c r="Z778" s="6">
        <v>1</v>
      </c>
      <c r="AA778" s="8">
        <v>45352</v>
      </c>
      <c r="AB778" s="4">
        <v>0.24</v>
      </c>
      <c r="AC778" s="6">
        <v>2.87</v>
      </c>
      <c r="AD778" s="6">
        <v>4.58</v>
      </c>
      <c r="AE778" s="1">
        <v>0</v>
      </c>
      <c r="AF778" s="1">
        <f ca="1">IFERROR(__xludf.DUMMYFUNCTION("IFERROR(GOOGLEFINANCE(TRIM(F778)&amp;"":"" &amp; TRIM(B778),""high52""),AE778)"),0)</f>
        <v>0</v>
      </c>
      <c r="AG778" s="1">
        <v>0</v>
      </c>
      <c r="AH778" s="1">
        <f ca="1">IFERROR(__xludf.DUMMYFUNCTION("IFERROR(GOOGLEFINANCE(TRIM(F778)&amp;"":"" &amp; TRIM(B778),""low52""),AE778)"),0)</f>
        <v>0</v>
      </c>
      <c r="AI778" s="1">
        <f ca="1">IFERROR(__xludf.DUMMYFUNCTION("IFERROR(GOOGLEFINANCE(B778,""eps""),0)"),0)</f>
        <v>0</v>
      </c>
      <c r="AJ778" s="1"/>
      <c r="AK778" s="6">
        <v>30.63</v>
      </c>
      <c r="AL778" s="9">
        <f t="shared" si="141"/>
        <v>1</v>
      </c>
    </row>
    <row r="779" spans="1:38" ht="15" x14ac:dyDescent="0.25">
      <c r="A779" s="1" t="s">
        <v>2407</v>
      </c>
      <c r="B779" s="1" t="s">
        <v>2408</v>
      </c>
      <c r="C779" s="1" t="s">
        <v>487</v>
      </c>
      <c r="D779" s="1" t="s">
        <v>487</v>
      </c>
      <c r="E779" s="6">
        <v>180</v>
      </c>
      <c r="F779" s="1" t="s">
        <v>53</v>
      </c>
      <c r="G779" s="6">
        <f ca="1">IFERROR(__xludf.DUMMYFUNCTION("iferror(GOOGLEFINANCE(TRIM(F779)&amp;"":"" &amp; TRIM(B779), ""price""),0
)"),0)</f>
        <v>0</v>
      </c>
      <c r="H779" s="6">
        <v>18.5</v>
      </c>
      <c r="I779" s="6">
        <f t="shared" ca="1" si="0"/>
        <v>18.5</v>
      </c>
      <c r="J779" s="6">
        <f ca="1">IFERROR(__xludf.DUMMYFUNCTION("IFERROR(GOOGLEFINANCE(B779, ""volume""), 0)"),0)</f>
        <v>0</v>
      </c>
      <c r="K779" s="6">
        <v>-3.65</v>
      </c>
      <c r="L779" s="6">
        <f ca="1">IFERROR(__xludf.DUMMYFUNCTION("IFERROR(GOOGLEFINANCE(B779,""changepct""),K779)"),-3.65)</f>
        <v>-3.65</v>
      </c>
      <c r="M779" s="6">
        <f ca="1">IFERROR(__xludf.DUMMYFUNCTION("IFERROR(GOOGLEFINANCE(B779,""change""),0)"),0)</f>
        <v>0</v>
      </c>
      <c r="N779" s="6">
        <v>2</v>
      </c>
      <c r="O779" s="7">
        <v>45352</v>
      </c>
      <c r="P779" s="6">
        <v>42.2</v>
      </c>
      <c r="Q779" s="6">
        <v>221.03</v>
      </c>
      <c r="R779" s="7">
        <v>45536</v>
      </c>
      <c r="S779" s="6">
        <v>37.18</v>
      </c>
      <c r="T779" s="6">
        <v>-0.86</v>
      </c>
      <c r="U779" s="7">
        <v>45536</v>
      </c>
      <c r="V779" s="6">
        <v>0</v>
      </c>
      <c r="W779" s="6">
        <f ca="1">IFERROR(__xludf.DUMMYFUNCTION("IFERROR(GOOGLEFINANCE(B779,""pe""),V779)"),0)</f>
        <v>0</v>
      </c>
      <c r="X779" s="9"/>
      <c r="Y779" s="6">
        <v>5.81</v>
      </c>
      <c r="Z779" s="6">
        <v>2</v>
      </c>
      <c r="AA779" s="8">
        <v>45352</v>
      </c>
      <c r="AB779" s="4">
        <v>1.66</v>
      </c>
      <c r="AC779" s="6">
        <v>4.9800000000000004</v>
      </c>
      <c r="AD779" s="6">
        <v>5.83</v>
      </c>
      <c r="AE779" s="1">
        <v>0</v>
      </c>
      <c r="AF779" s="1">
        <f ca="1">IFERROR(__xludf.DUMMYFUNCTION("IFERROR(GOOGLEFINANCE(TRIM(F779)&amp;"":"" &amp; TRIM(B779),""high52""),AE779)"),0)</f>
        <v>0</v>
      </c>
      <c r="AG779" s="1">
        <v>0</v>
      </c>
      <c r="AH779" s="1">
        <f ca="1">IFERROR(__xludf.DUMMYFUNCTION("IFERROR(GOOGLEFINANCE(TRIM(F779)&amp;"":"" &amp; TRIM(B779),""low52""),AE779)"),0)</f>
        <v>0</v>
      </c>
      <c r="AI779" s="1">
        <f ca="1">IFERROR(__xludf.DUMMYFUNCTION("IFERROR(GOOGLEFINANCE(B779,""eps""),0)"),0)</f>
        <v>0</v>
      </c>
      <c r="AJ779" s="1"/>
      <c r="AK779" s="1" t="s">
        <v>2409</v>
      </c>
      <c r="AL779" s="9">
        <f t="shared" si="141"/>
        <v>1</v>
      </c>
    </row>
    <row r="780" spans="1:38" ht="15" x14ac:dyDescent="0.25">
      <c r="A780" s="1" t="s">
        <v>2410</v>
      </c>
      <c r="B780" s="1" t="s">
        <v>2411</v>
      </c>
      <c r="C780" s="1" t="s">
        <v>57</v>
      </c>
      <c r="D780" s="1" t="s">
        <v>57</v>
      </c>
      <c r="E780" s="6">
        <v>19966.43</v>
      </c>
      <c r="F780" s="1" t="s">
        <v>40</v>
      </c>
      <c r="G780" s="6">
        <f ca="1">IFERROR(__xludf.DUMMYFUNCTION("iferror(GOOGLEFINANCE(TRIM(F780)&amp;"":"" &amp; TRIM(B780), ""price""),0
)"),1136.5)</f>
        <v>1136.5</v>
      </c>
      <c r="H780" s="6">
        <v>1793</v>
      </c>
      <c r="I780" s="6">
        <f t="shared" ca="1" si="0"/>
        <v>1136.5</v>
      </c>
      <c r="J780" s="6">
        <f ca="1">IFERROR(__xludf.DUMMYFUNCTION("IFERROR(GOOGLEFINANCE(B780, ""volume""), 0)"),223192)</f>
        <v>223192</v>
      </c>
      <c r="K780" s="6">
        <v>-0.28000000000000003</v>
      </c>
      <c r="L780" s="6">
        <f ca="1">IFERROR(__xludf.DUMMYFUNCTION("IFERROR(GOOGLEFINANCE(B780,""changepct""),K780)"),-0.68)</f>
        <v>-0.68</v>
      </c>
      <c r="M780" s="6">
        <f ca="1">IFERROR(__xludf.DUMMYFUNCTION("IFERROR(GOOGLEFINANCE(B780,""change""),0)"),-7.8)</f>
        <v>-7.8</v>
      </c>
      <c r="N780" s="6">
        <v>2</v>
      </c>
      <c r="O780" s="7">
        <v>45536</v>
      </c>
      <c r="P780" s="6">
        <v>276</v>
      </c>
      <c r="Q780" s="6">
        <v>18859.93</v>
      </c>
      <c r="R780" s="7">
        <v>45536</v>
      </c>
      <c r="S780" s="6">
        <v>7207</v>
      </c>
      <c r="T780" s="6">
        <v>684.3</v>
      </c>
      <c r="U780" s="7">
        <v>45536</v>
      </c>
      <c r="V780" s="6">
        <v>30.28</v>
      </c>
      <c r="W780" s="6">
        <f ca="1">IFERROR(__xludf.DUMMYFUNCTION("IFERROR(GOOGLEFINANCE(B780,""pe""),V780)"),23.21)</f>
        <v>23.21</v>
      </c>
      <c r="X780" s="6">
        <v>3.43</v>
      </c>
      <c r="Y780" s="6">
        <v>3.88</v>
      </c>
      <c r="Z780" s="6">
        <v>2</v>
      </c>
      <c r="AA780" s="8">
        <v>45352</v>
      </c>
      <c r="AB780" s="4">
        <v>0.11</v>
      </c>
      <c r="AC780" s="6">
        <v>18.45</v>
      </c>
      <c r="AD780" s="6">
        <v>22.71</v>
      </c>
      <c r="AE780" s="1">
        <v>0</v>
      </c>
      <c r="AF780" s="1">
        <f ca="1">IFERROR(__xludf.DUMMYFUNCTION("IFERROR(GOOGLEFINANCE(TRIM(F780)&amp;"":"" &amp; TRIM(B780),""high52""),AE780)"),1537.05)</f>
        <v>1537.05</v>
      </c>
      <c r="AG780" s="1">
        <v>0</v>
      </c>
      <c r="AH780" s="1">
        <f ca="1">IFERROR(__xludf.DUMMYFUNCTION("IFERROR(GOOGLEFINANCE(TRIM(F780)&amp;"":"" &amp; TRIM(B780),""low52""),AE780)"),1068.9)</f>
        <v>1068.9000000000001</v>
      </c>
      <c r="AI780" s="1">
        <f ca="1">IFERROR(__xludf.DUMMYFUNCTION("IFERROR(GOOGLEFINANCE(B780,""eps""),0)"),48.97)</f>
        <v>48.97</v>
      </c>
      <c r="AJ780" s="1"/>
      <c r="AK780" s="1" t="s">
        <v>2412</v>
      </c>
      <c r="AL780" s="9">
        <f t="shared" si="141"/>
        <v>1</v>
      </c>
    </row>
    <row r="781" spans="1:38" ht="15" x14ac:dyDescent="0.25">
      <c r="A781" s="1" t="s">
        <v>2413</v>
      </c>
      <c r="B781" s="1" t="s">
        <v>2414</v>
      </c>
      <c r="C781" s="1" t="s">
        <v>487</v>
      </c>
      <c r="D781" s="1" t="s">
        <v>487</v>
      </c>
      <c r="E781" s="6">
        <v>46.83</v>
      </c>
      <c r="F781" s="1" t="s">
        <v>53</v>
      </c>
      <c r="G781" s="6">
        <f ca="1">IFERROR(__xludf.DUMMYFUNCTION("iferror(GOOGLEFINANCE(TRIM(F781)&amp;"":"" &amp; TRIM(B781), ""price""),0
)"),0)</f>
        <v>0</v>
      </c>
      <c r="H781" s="6">
        <v>30</v>
      </c>
      <c r="I781" s="6">
        <f t="shared" ca="1" si="0"/>
        <v>30</v>
      </c>
      <c r="J781" s="6">
        <f ca="1">IFERROR(__xludf.DUMMYFUNCTION("IFERROR(GOOGLEFINANCE(B781, ""volume""), 0)"),0)</f>
        <v>0</v>
      </c>
      <c r="K781" s="6">
        <v>0</v>
      </c>
      <c r="L781" s="6">
        <f ca="1">IFERROR(__xludf.DUMMYFUNCTION("IFERROR(GOOGLEFINANCE(B781,""changepct""),K781)"),0)</f>
        <v>0</v>
      </c>
      <c r="M781" s="6">
        <f ca="1">IFERROR(__xludf.DUMMYFUNCTION("IFERROR(GOOGLEFINANCE(B781,""change""),0)"),0)</f>
        <v>0</v>
      </c>
      <c r="N781" s="6">
        <v>1</v>
      </c>
      <c r="O781" s="7">
        <v>45536</v>
      </c>
      <c r="P781" s="6">
        <v>2.25</v>
      </c>
      <c r="Q781" s="6">
        <v>49.08</v>
      </c>
      <c r="R781" s="7">
        <v>45536</v>
      </c>
      <c r="S781" s="6">
        <v>11.48</v>
      </c>
      <c r="T781" s="6">
        <v>0.25</v>
      </c>
      <c r="U781" s="7">
        <v>45536</v>
      </c>
      <c r="V781" s="6">
        <v>185.82</v>
      </c>
      <c r="W781" s="6">
        <f ca="1">IFERROR(__xludf.DUMMYFUNCTION("IFERROR(GOOGLEFINANCE(B781,""pe""),V781)"),185.82)</f>
        <v>185.82</v>
      </c>
      <c r="X781" s="6">
        <v>-13.62</v>
      </c>
      <c r="Y781" s="6">
        <v>1.42</v>
      </c>
      <c r="Z781" s="6">
        <v>2</v>
      </c>
      <c r="AA781" s="8">
        <v>45352</v>
      </c>
      <c r="AB781" s="4">
        <v>2.38</v>
      </c>
      <c r="AC781" s="6">
        <v>1.44</v>
      </c>
      <c r="AD781" s="6">
        <v>0.87</v>
      </c>
      <c r="AE781" s="1">
        <v>0</v>
      </c>
      <c r="AF781" s="1">
        <f ca="1">IFERROR(__xludf.DUMMYFUNCTION("IFERROR(GOOGLEFINANCE(TRIM(F781)&amp;"":"" &amp; TRIM(B781),""high52""),AE781)"),0)</f>
        <v>0</v>
      </c>
      <c r="AG781" s="1">
        <v>0</v>
      </c>
      <c r="AH781" s="1">
        <f ca="1">IFERROR(__xludf.DUMMYFUNCTION("IFERROR(GOOGLEFINANCE(TRIM(F781)&amp;"":"" &amp; TRIM(B781),""low52""),AE781)"),0)</f>
        <v>0</v>
      </c>
      <c r="AI781" s="1">
        <f ca="1">IFERROR(__xludf.DUMMYFUNCTION("IFERROR(GOOGLEFINANCE(B781,""eps""),0)"),0)</f>
        <v>0</v>
      </c>
      <c r="AJ781" s="1"/>
      <c r="AK781" s="1" t="s">
        <v>2415</v>
      </c>
      <c r="AL781" s="9">
        <f t="shared" si="141"/>
        <v>1</v>
      </c>
    </row>
    <row r="782" spans="1:38" ht="15" x14ac:dyDescent="0.25">
      <c r="A782" s="1" t="s">
        <v>2416</v>
      </c>
      <c r="B782" s="1" t="s">
        <v>2417</v>
      </c>
      <c r="C782" s="1" t="s">
        <v>487</v>
      </c>
      <c r="D782" s="1" t="s">
        <v>487</v>
      </c>
      <c r="E782" s="6">
        <v>6.76</v>
      </c>
      <c r="F782" s="1" t="s">
        <v>53</v>
      </c>
      <c r="G782" s="6">
        <f ca="1">IFERROR(__xludf.DUMMYFUNCTION("iferror(GOOGLEFINANCE(TRIM(F782)&amp;"":"" &amp; TRIM(B782), ""price""),0
)"),0)</f>
        <v>0</v>
      </c>
      <c r="H782" s="6">
        <v>19.29</v>
      </c>
      <c r="I782" s="6">
        <f t="shared" ca="1" si="0"/>
        <v>19.29</v>
      </c>
      <c r="J782" s="6">
        <f ca="1">IFERROR(__xludf.DUMMYFUNCTION("IFERROR(GOOGLEFINANCE(B782, ""volume""), 0)"),0)</f>
        <v>0</v>
      </c>
      <c r="K782" s="6">
        <v>-4.5</v>
      </c>
      <c r="L782" s="6">
        <f ca="1">IFERROR(__xludf.DUMMYFUNCTION("IFERROR(GOOGLEFINANCE(B782,""changepct""),K782)"),-4.5)</f>
        <v>-4.5</v>
      </c>
      <c r="M782" s="6">
        <f ca="1">IFERROR(__xludf.DUMMYFUNCTION("IFERROR(GOOGLEFINANCE(B782,""change""),0)"),0)</f>
        <v>0</v>
      </c>
      <c r="N782" s="6">
        <v>1</v>
      </c>
      <c r="O782" s="7">
        <v>45536</v>
      </c>
      <c r="P782" s="9"/>
      <c r="Q782" s="6">
        <v>6.76</v>
      </c>
      <c r="R782" s="7">
        <v>45536</v>
      </c>
      <c r="S782" s="6">
        <v>0</v>
      </c>
      <c r="T782" s="6">
        <v>-0.45</v>
      </c>
      <c r="U782" s="7">
        <v>45536</v>
      </c>
      <c r="V782" s="6">
        <v>0</v>
      </c>
      <c r="W782" s="6">
        <f ca="1">IFERROR(__xludf.DUMMYFUNCTION("IFERROR(GOOGLEFINANCE(B782,""pe""),V782)"),0)</f>
        <v>0</v>
      </c>
      <c r="X782" s="12"/>
      <c r="Y782" s="6">
        <v>1.56</v>
      </c>
      <c r="Z782" s="6">
        <v>1</v>
      </c>
      <c r="AA782" s="8">
        <v>45352</v>
      </c>
      <c r="AB782" s="4">
        <v>0</v>
      </c>
      <c r="AC782" s="6">
        <v>-11.41</v>
      </c>
      <c r="AD782" s="6">
        <v>-5.93</v>
      </c>
      <c r="AE782" s="1">
        <v>0</v>
      </c>
      <c r="AF782" s="1">
        <f ca="1">IFERROR(__xludf.DUMMYFUNCTION("IFERROR(GOOGLEFINANCE(TRIM(F782)&amp;"":"" &amp; TRIM(B782),""high52""),AE782)"),0)</f>
        <v>0</v>
      </c>
      <c r="AG782" s="1">
        <v>0</v>
      </c>
      <c r="AH782" s="1">
        <f ca="1">IFERROR(__xludf.DUMMYFUNCTION("IFERROR(GOOGLEFINANCE(TRIM(F782)&amp;"":"" &amp; TRIM(B782),""low52""),AE782)"),0)</f>
        <v>0</v>
      </c>
      <c r="AI782" s="1">
        <f ca="1">IFERROR(__xludf.DUMMYFUNCTION("IFERROR(GOOGLEFINANCE(B782,""eps""),0)"),0)</f>
        <v>0</v>
      </c>
      <c r="AJ782" s="1"/>
      <c r="AK782" s="1" t="s">
        <v>2418</v>
      </c>
      <c r="AL782" s="9">
        <f t="shared" si="141"/>
        <v>1</v>
      </c>
    </row>
    <row r="783" spans="1:38" ht="15" x14ac:dyDescent="0.25">
      <c r="A783" s="1" t="s">
        <v>2419</v>
      </c>
      <c r="B783" s="1" t="s">
        <v>2420</v>
      </c>
      <c r="C783" s="1" t="s">
        <v>487</v>
      </c>
      <c r="D783" s="1" t="s">
        <v>487</v>
      </c>
      <c r="E783" s="6">
        <v>28.7</v>
      </c>
      <c r="F783" s="1" t="s">
        <v>53</v>
      </c>
      <c r="G783" s="6">
        <f ca="1">IFERROR(__xludf.DUMMYFUNCTION("iferror(GOOGLEFINANCE(TRIM(F783)&amp;"":"" &amp; TRIM(B783), ""price""),0
)"),0)</f>
        <v>0</v>
      </c>
      <c r="H783" s="6">
        <v>40.39</v>
      </c>
      <c r="I783" s="6">
        <f t="shared" ca="1" si="0"/>
        <v>40.39</v>
      </c>
      <c r="J783" s="6">
        <f ca="1">IFERROR(__xludf.DUMMYFUNCTION("IFERROR(GOOGLEFINANCE(B783, ""volume""), 0)"),0)</f>
        <v>0</v>
      </c>
      <c r="K783" s="9"/>
      <c r="L783" s="6" t="str">
        <f ca="1">IFERROR(__xludf.DUMMYFUNCTION("IFERROR(GOOGLEFINANCE(B783,""changepct""),K783)"),"")</f>
        <v/>
      </c>
      <c r="M783" s="6">
        <f ca="1">IFERROR(__xludf.DUMMYFUNCTION("IFERROR(GOOGLEFINANCE(B783,""change""),0)"),0)</f>
        <v>0</v>
      </c>
      <c r="N783" s="6">
        <v>1</v>
      </c>
      <c r="O783" s="7">
        <v>45536</v>
      </c>
      <c r="P783" s="9"/>
      <c r="Q783" s="6">
        <v>25.63</v>
      </c>
      <c r="R783" s="7">
        <v>45536</v>
      </c>
      <c r="S783" s="6">
        <v>12.94</v>
      </c>
      <c r="T783" s="6">
        <v>-3.78</v>
      </c>
      <c r="U783" s="7">
        <v>45536</v>
      </c>
      <c r="V783" s="6">
        <v>0</v>
      </c>
      <c r="W783" s="6">
        <f ca="1">IFERROR(__xludf.DUMMYFUNCTION("IFERROR(GOOGLEFINANCE(B783,""pe""),V783)"),0)</f>
        <v>0</v>
      </c>
      <c r="X783" s="6">
        <v>0</v>
      </c>
      <c r="Y783" s="6">
        <v>0.76</v>
      </c>
      <c r="Z783" s="6">
        <v>1</v>
      </c>
      <c r="AA783" s="8">
        <v>45352</v>
      </c>
      <c r="AB783" s="4">
        <v>0</v>
      </c>
      <c r="AC783" s="6">
        <v>6.14</v>
      </c>
      <c r="AD783" s="6">
        <v>8.2799999999999994</v>
      </c>
      <c r="AE783" s="1">
        <v>0</v>
      </c>
      <c r="AF783" s="1">
        <f ca="1">IFERROR(__xludf.DUMMYFUNCTION("IFERROR(GOOGLEFINANCE(TRIM(F783)&amp;"":"" &amp; TRIM(B783),""high52""),AE783)"),0)</f>
        <v>0</v>
      </c>
      <c r="AG783" s="1">
        <v>0</v>
      </c>
      <c r="AH783" s="1">
        <f ca="1">IFERROR(__xludf.DUMMYFUNCTION("IFERROR(GOOGLEFINANCE(TRIM(F783)&amp;"":"" &amp; TRIM(B783),""low52""),AE783)"),0)</f>
        <v>0</v>
      </c>
      <c r="AI783" s="1">
        <f ca="1">IFERROR(__xludf.DUMMYFUNCTION("IFERROR(GOOGLEFINANCE(B783,""eps""),0)"),0)</f>
        <v>0</v>
      </c>
      <c r="AJ783" s="1"/>
      <c r="AK783" s="9"/>
      <c r="AL783" s="9">
        <f t="shared" si="141"/>
        <v>1</v>
      </c>
    </row>
    <row r="784" spans="1:38" ht="15" x14ac:dyDescent="0.25">
      <c r="A784" s="1" t="s">
        <v>2421</v>
      </c>
      <c r="B784" s="1" t="s">
        <v>2422</v>
      </c>
      <c r="C784" s="1" t="s">
        <v>487</v>
      </c>
      <c r="D784" s="1" t="s">
        <v>487</v>
      </c>
      <c r="E784" s="6">
        <v>258.98</v>
      </c>
      <c r="F784" s="1" t="s">
        <v>53</v>
      </c>
      <c r="G784" s="6">
        <f ca="1">IFERROR(__xludf.DUMMYFUNCTION("iferror(GOOGLEFINANCE(TRIM(F784)&amp;"":"" &amp; TRIM(B784), ""price""),0
)"),0)</f>
        <v>0</v>
      </c>
      <c r="H784" s="6">
        <v>11.71</v>
      </c>
      <c r="I784" s="6">
        <f t="shared" ca="1" si="0"/>
        <v>11.71</v>
      </c>
      <c r="J784" s="6">
        <f ca="1">IFERROR(__xludf.DUMMYFUNCTION("IFERROR(GOOGLEFINANCE(B784, ""volume""), 0)"),0)</f>
        <v>0</v>
      </c>
      <c r="K784" s="6">
        <v>1.47</v>
      </c>
      <c r="L784" s="6">
        <f ca="1">IFERROR(__xludf.DUMMYFUNCTION("IFERROR(GOOGLEFINANCE(B784,""changepct""),K784)"),1.47)</f>
        <v>1.47</v>
      </c>
      <c r="M784" s="6">
        <f ca="1">IFERROR(__xludf.DUMMYFUNCTION("IFERROR(GOOGLEFINANCE(B784,""change""),0)"),0)</f>
        <v>0</v>
      </c>
      <c r="N784" s="6">
        <v>1</v>
      </c>
      <c r="O784" s="7">
        <v>45536</v>
      </c>
      <c r="P784" s="6">
        <v>6.95</v>
      </c>
      <c r="Q784" s="6">
        <v>265.93</v>
      </c>
      <c r="R784" s="7">
        <v>45536</v>
      </c>
      <c r="S784" s="6">
        <v>9.94</v>
      </c>
      <c r="T784" s="6">
        <v>2.02</v>
      </c>
      <c r="U784" s="7">
        <v>45536</v>
      </c>
      <c r="V784" s="6">
        <v>128.4</v>
      </c>
      <c r="W784" s="6">
        <f ca="1">IFERROR(__xludf.DUMMYFUNCTION("IFERROR(GOOGLEFINANCE(B784,""pe""),V784)"),128.4)</f>
        <v>128.4</v>
      </c>
      <c r="X784" s="6">
        <v>-4.47</v>
      </c>
      <c r="Y784" s="6">
        <v>2.11</v>
      </c>
      <c r="Z784" s="6">
        <v>1</v>
      </c>
      <c r="AA784" s="8">
        <v>45352</v>
      </c>
      <c r="AB784" s="4">
        <v>0.11</v>
      </c>
      <c r="AC784" s="6">
        <v>0.85</v>
      </c>
      <c r="AD784" s="6">
        <v>1.32</v>
      </c>
      <c r="AE784" s="1">
        <v>0</v>
      </c>
      <c r="AF784" s="1">
        <f ca="1">IFERROR(__xludf.DUMMYFUNCTION("IFERROR(GOOGLEFINANCE(TRIM(F784)&amp;"":"" &amp; TRIM(B784),""high52""),AE784)"),0)</f>
        <v>0</v>
      </c>
      <c r="AG784" s="1">
        <v>0</v>
      </c>
      <c r="AH784" s="1">
        <f ca="1">IFERROR(__xludf.DUMMYFUNCTION("IFERROR(GOOGLEFINANCE(TRIM(F784)&amp;"":"" &amp; TRIM(B784),""low52""),AE784)"),0)</f>
        <v>0</v>
      </c>
      <c r="AI784" s="1">
        <f ca="1">IFERROR(__xludf.DUMMYFUNCTION("IFERROR(GOOGLEFINANCE(B784,""eps""),0)"),0)</f>
        <v>0</v>
      </c>
      <c r="AJ784" s="1"/>
      <c r="AK784" s="1" t="s">
        <v>2423</v>
      </c>
      <c r="AL784" s="9">
        <f t="shared" si="141"/>
        <v>1</v>
      </c>
    </row>
    <row r="785" spans="1:38" ht="15" x14ac:dyDescent="0.25">
      <c r="A785" s="1" t="s">
        <v>2424</v>
      </c>
      <c r="B785" s="1" t="s">
        <v>2425</v>
      </c>
      <c r="C785" s="1" t="s">
        <v>2426</v>
      </c>
      <c r="D785" s="1" t="s">
        <v>2426</v>
      </c>
      <c r="E785" s="6">
        <v>2027.86</v>
      </c>
      <c r="F785" s="1" t="s">
        <v>40</v>
      </c>
      <c r="G785" s="6">
        <f ca="1">IFERROR(__xludf.DUMMYFUNCTION("iferror(GOOGLEFINANCE(TRIM(F785)&amp;"":"" &amp; TRIM(B785), ""price""),0
)"),419.8)</f>
        <v>419.8</v>
      </c>
      <c r="H785" s="6">
        <v>574.1</v>
      </c>
      <c r="I785" s="6">
        <f t="shared" ca="1" si="0"/>
        <v>419.8</v>
      </c>
      <c r="J785" s="6">
        <f ca="1">IFERROR(__xludf.DUMMYFUNCTION("IFERROR(GOOGLEFINANCE(B785, ""volume""), 0)"),3620875)</f>
        <v>3620875</v>
      </c>
      <c r="K785" s="6">
        <v>0.48</v>
      </c>
      <c r="L785" s="6">
        <f ca="1">IFERROR(__xludf.DUMMYFUNCTION("IFERROR(GOOGLEFINANCE(B785,""changepct""),K785)"),4.14)</f>
        <v>4.1399999999999997</v>
      </c>
      <c r="M785" s="6">
        <f ca="1">IFERROR(__xludf.DUMMYFUNCTION("IFERROR(GOOGLEFINANCE(B785,""change""),0)"),16.7)</f>
        <v>16.7</v>
      </c>
      <c r="N785" s="6">
        <v>2</v>
      </c>
      <c r="O785" s="7">
        <v>45536</v>
      </c>
      <c r="P785" s="12"/>
      <c r="Q785" s="6">
        <v>1973.16</v>
      </c>
      <c r="R785" s="7">
        <v>45536</v>
      </c>
      <c r="S785" s="6">
        <v>1310.6099999999999</v>
      </c>
      <c r="T785" s="6">
        <v>98.38</v>
      </c>
      <c r="U785" s="7">
        <v>45536</v>
      </c>
      <c r="V785" s="6">
        <v>20.61</v>
      </c>
      <c r="W785" s="6">
        <f ca="1">IFERROR(__xludf.DUMMYFUNCTION("IFERROR(GOOGLEFINANCE(B785,""pe""),V785)"),14.37)</f>
        <v>14.37</v>
      </c>
      <c r="X785" s="6">
        <v>0.81</v>
      </c>
      <c r="Y785" s="6">
        <v>4.6100000000000003</v>
      </c>
      <c r="Z785" s="6">
        <v>2</v>
      </c>
      <c r="AA785" s="8">
        <v>45352</v>
      </c>
      <c r="AB785" s="4">
        <v>0</v>
      </c>
      <c r="AC785" s="6">
        <v>22.77</v>
      </c>
      <c r="AD785" s="6">
        <v>30.77</v>
      </c>
      <c r="AE785" s="1">
        <v>0</v>
      </c>
      <c r="AF785" s="1">
        <f ca="1">IFERROR(__xludf.DUMMYFUNCTION("IFERROR(GOOGLEFINANCE(TRIM(F785)&amp;"":"" &amp; TRIM(B785),""high52""),AE785)"),589.55)</f>
        <v>589.54999999999995</v>
      </c>
      <c r="AG785" s="1">
        <v>0</v>
      </c>
      <c r="AH785" s="1">
        <f ca="1">IFERROR(__xludf.DUMMYFUNCTION("IFERROR(GOOGLEFINANCE(TRIM(F785)&amp;"":"" &amp; TRIM(B785),""low52""),AE785)"),349.45)</f>
        <v>349.45</v>
      </c>
      <c r="AI785" s="1">
        <f ca="1">IFERROR(__xludf.DUMMYFUNCTION("IFERROR(GOOGLEFINANCE(B785,""eps""),0)"),29.22)</f>
        <v>29.22</v>
      </c>
      <c r="AJ785" s="1"/>
      <c r="AK785" s="9"/>
      <c r="AL785" s="9">
        <f t="shared" si="141"/>
        <v>1</v>
      </c>
    </row>
    <row r="786" spans="1:38" ht="15" x14ac:dyDescent="0.25">
      <c r="A786" s="1" t="s">
        <v>2427</v>
      </c>
      <c r="B786" s="1" t="s">
        <v>2428</v>
      </c>
      <c r="C786" s="1" t="s">
        <v>778</v>
      </c>
      <c r="D786" s="1" t="s">
        <v>778</v>
      </c>
      <c r="E786" s="6">
        <v>5484.32</v>
      </c>
      <c r="F786" s="1" t="s">
        <v>40</v>
      </c>
      <c r="G786" s="6">
        <f ca="1">IFERROR(__xludf.DUMMYFUNCTION("iferror(GOOGLEFINANCE(TRIM(F786)&amp;"":"" &amp; TRIM(B786), ""price""),0
)"),239.1)</f>
        <v>239.1</v>
      </c>
      <c r="H786" s="6">
        <v>309</v>
      </c>
      <c r="I786" s="6">
        <f t="shared" ca="1" si="0"/>
        <v>239.1</v>
      </c>
      <c r="J786" s="6">
        <f ca="1">IFERROR(__xludf.DUMMYFUNCTION("IFERROR(GOOGLEFINANCE(B786, ""volume""), 0)"),38569)</f>
        <v>38569</v>
      </c>
      <c r="K786" s="6">
        <v>0.24</v>
      </c>
      <c r="L786" s="6">
        <f ca="1">IFERROR(__xludf.DUMMYFUNCTION("IFERROR(GOOGLEFINANCE(B786,""changepct""),K786)"),-0.24)</f>
        <v>-0.24</v>
      </c>
      <c r="M786" s="6">
        <f ca="1">IFERROR(__xludf.DUMMYFUNCTION("IFERROR(GOOGLEFINANCE(B786,""change""),0)"),-0.58)</f>
        <v>-0.57999999999999996</v>
      </c>
      <c r="N786" s="6">
        <v>2</v>
      </c>
      <c r="O786" s="7">
        <v>45536</v>
      </c>
      <c r="P786" s="6">
        <v>40.24</v>
      </c>
      <c r="Q786" s="6">
        <v>4768.3500000000004</v>
      </c>
      <c r="R786" s="7">
        <v>45536</v>
      </c>
      <c r="S786" s="6">
        <v>2410.65</v>
      </c>
      <c r="T786" s="6">
        <v>446.95</v>
      </c>
      <c r="U786" s="7">
        <v>45536</v>
      </c>
      <c r="V786" s="6">
        <v>12.27</v>
      </c>
      <c r="W786" s="6">
        <f ca="1">IFERROR(__xludf.DUMMYFUNCTION("IFERROR(GOOGLEFINANCE(B786,""pe""),V786)"),13.24)</f>
        <v>13.24</v>
      </c>
      <c r="X786" s="6">
        <v>1.33</v>
      </c>
      <c r="Y786" s="6">
        <v>2.56</v>
      </c>
      <c r="Z786" s="6">
        <v>2</v>
      </c>
      <c r="AA786" s="8">
        <v>45352</v>
      </c>
      <c r="AB786" s="4">
        <v>0.01</v>
      </c>
      <c r="AC786" s="6">
        <v>20.440000000000001</v>
      </c>
      <c r="AD786" s="6">
        <v>27.9</v>
      </c>
      <c r="AE786" s="1">
        <v>0</v>
      </c>
      <c r="AF786" s="1">
        <f ca="1">IFERROR(__xludf.DUMMYFUNCTION("IFERROR(GOOGLEFINANCE(TRIM(F786)&amp;"":"" &amp; TRIM(B786),""high52""),AE786)"),291.85)</f>
        <v>291.85000000000002</v>
      </c>
      <c r="AG786" s="1">
        <v>0</v>
      </c>
      <c r="AH786" s="1">
        <f ca="1">IFERROR(__xludf.DUMMYFUNCTION("IFERROR(GOOGLEFINANCE(TRIM(F786)&amp;"":"" &amp; TRIM(B786),""low52""),AE786)"),189.05)</f>
        <v>189.05</v>
      </c>
      <c r="AI786" s="1">
        <f ca="1">IFERROR(__xludf.DUMMYFUNCTION("IFERROR(GOOGLEFINANCE(B786,""eps""),0)"),18.06)</f>
        <v>18.059999999999999</v>
      </c>
      <c r="AJ786" s="1"/>
      <c r="AK786" s="1" t="s">
        <v>2429</v>
      </c>
      <c r="AL786" s="9">
        <f t="shared" si="141"/>
        <v>1</v>
      </c>
    </row>
    <row r="787" spans="1:38" ht="15" x14ac:dyDescent="0.25">
      <c r="A787" s="1" t="s">
        <v>2430</v>
      </c>
      <c r="B787" s="1" t="s">
        <v>2431</v>
      </c>
      <c r="C787" s="1" t="s">
        <v>2432</v>
      </c>
      <c r="D787" s="1" t="s">
        <v>2432</v>
      </c>
      <c r="E787" s="6">
        <v>3218.55</v>
      </c>
      <c r="F787" s="1" t="s">
        <v>40</v>
      </c>
      <c r="G787" s="6">
        <f ca="1">IFERROR(__xludf.DUMMYFUNCTION("iferror(GOOGLEFINANCE(TRIM(F787)&amp;"":"" &amp; TRIM(B787), ""price""),0
)"),1249.8)</f>
        <v>1249.8</v>
      </c>
      <c r="H787" s="6">
        <v>1419.95</v>
      </c>
      <c r="I787" s="6">
        <f t="shared" ca="1" si="0"/>
        <v>1249.8</v>
      </c>
      <c r="J787" s="6">
        <f ca="1">IFERROR(__xludf.DUMMYFUNCTION("IFERROR(GOOGLEFINANCE(B787, ""volume""), 0)"),9684)</f>
        <v>9684</v>
      </c>
      <c r="K787" s="6">
        <v>-0.48</v>
      </c>
      <c r="L787" s="6">
        <f ca="1">IFERROR(__xludf.DUMMYFUNCTION("IFERROR(GOOGLEFINANCE(B787,""changepct""),K787)"),0.43)</f>
        <v>0.43</v>
      </c>
      <c r="M787" s="6">
        <f ca="1">IFERROR(__xludf.DUMMYFUNCTION("IFERROR(GOOGLEFINANCE(B787,""change""),0)"),5.3)</f>
        <v>5.3</v>
      </c>
      <c r="N787" s="6">
        <v>1</v>
      </c>
      <c r="O787" s="7">
        <v>45536</v>
      </c>
      <c r="P787" s="6">
        <v>181.87</v>
      </c>
      <c r="Q787" s="6">
        <v>3400.42</v>
      </c>
      <c r="R787" s="7">
        <v>45536</v>
      </c>
      <c r="S787" s="6">
        <v>2831.66</v>
      </c>
      <c r="T787" s="6">
        <v>83.12</v>
      </c>
      <c r="U787" s="7">
        <v>45536</v>
      </c>
      <c r="V787" s="6">
        <v>38.72</v>
      </c>
      <c r="W787" s="6">
        <f ca="1">IFERROR(__xludf.DUMMYFUNCTION("IFERROR(GOOGLEFINANCE(B787,""pe""),V787)"),15.27)</f>
        <v>15.27</v>
      </c>
      <c r="X787" s="6">
        <v>0.99</v>
      </c>
      <c r="Y787" s="6">
        <v>9.5399999999999991</v>
      </c>
      <c r="Z787" s="6">
        <v>1</v>
      </c>
      <c r="AA787" s="8">
        <v>45352</v>
      </c>
      <c r="AB787" s="4">
        <v>0.67</v>
      </c>
      <c r="AC787" s="6">
        <v>29.47</v>
      </c>
      <c r="AD787" s="6">
        <v>27.51</v>
      </c>
      <c r="AE787" s="1">
        <v>0</v>
      </c>
      <c r="AF787" s="1">
        <f ca="1">IFERROR(__xludf.DUMMYFUNCTION("IFERROR(GOOGLEFINANCE(TRIM(F787)&amp;"":"" &amp; TRIM(B787),""high52""),AE787)"),1895)</f>
        <v>1895</v>
      </c>
      <c r="AG787" s="1">
        <v>0</v>
      </c>
      <c r="AH787" s="1">
        <f ca="1">IFERROR(__xludf.DUMMYFUNCTION("IFERROR(GOOGLEFINANCE(TRIM(F787)&amp;"":"" &amp; TRIM(B787),""low52""),AE787)"),1172)</f>
        <v>1172</v>
      </c>
      <c r="AI787" s="1">
        <f ca="1">IFERROR(__xludf.DUMMYFUNCTION("IFERROR(GOOGLEFINANCE(B787,""eps""),0)"),81.82)</f>
        <v>81.819999999999993</v>
      </c>
      <c r="AJ787" s="1"/>
      <c r="AK787" s="1" t="s">
        <v>2433</v>
      </c>
      <c r="AL787" s="9">
        <f t="shared" si="141"/>
        <v>1</v>
      </c>
    </row>
    <row r="788" spans="1:38" ht="15" x14ac:dyDescent="0.25">
      <c r="A788" s="1" t="s">
        <v>2434</v>
      </c>
      <c r="B788" s="1" t="s">
        <v>2435</v>
      </c>
      <c r="C788" s="1" t="s">
        <v>487</v>
      </c>
      <c r="D788" s="1" t="s">
        <v>487</v>
      </c>
      <c r="E788" s="6">
        <v>229.33</v>
      </c>
      <c r="F788" s="1" t="s">
        <v>53</v>
      </c>
      <c r="G788" s="6">
        <f ca="1">IFERROR(__xludf.DUMMYFUNCTION("iferror(GOOGLEFINANCE(TRIM(F788)&amp;"":"" &amp; TRIM(B788), ""price""),0
)"),0)</f>
        <v>0</v>
      </c>
      <c r="H788" s="6">
        <v>207.4</v>
      </c>
      <c r="I788" s="6">
        <f t="shared" ca="1" si="0"/>
        <v>207.4</v>
      </c>
      <c r="J788" s="6">
        <f ca="1">IFERROR(__xludf.DUMMYFUNCTION("IFERROR(GOOGLEFINANCE(B788, ""volume""), 0)"),0)</f>
        <v>0</v>
      </c>
      <c r="K788" s="6">
        <v>-1.98</v>
      </c>
      <c r="L788" s="6">
        <f ca="1">IFERROR(__xludf.DUMMYFUNCTION("IFERROR(GOOGLEFINANCE(B788,""changepct""),K788)"),-1.98)</f>
        <v>-1.98</v>
      </c>
      <c r="M788" s="6">
        <f ca="1">IFERROR(__xludf.DUMMYFUNCTION("IFERROR(GOOGLEFINANCE(B788,""change""),0)"),0)</f>
        <v>0</v>
      </c>
      <c r="N788" s="6">
        <v>2</v>
      </c>
      <c r="O788" s="7">
        <v>45352</v>
      </c>
      <c r="P788" s="6">
        <v>6.86</v>
      </c>
      <c r="Q788" s="6">
        <v>235.68</v>
      </c>
      <c r="R788" s="7">
        <v>45536</v>
      </c>
      <c r="S788" s="6">
        <v>5.85</v>
      </c>
      <c r="T788" s="6">
        <v>13.32</v>
      </c>
      <c r="U788" s="7">
        <v>45536</v>
      </c>
      <c r="V788" s="6">
        <v>17.23</v>
      </c>
      <c r="W788" s="6">
        <f ca="1">IFERROR(__xludf.DUMMYFUNCTION("IFERROR(GOOGLEFINANCE(B788,""pe""),V788)"),17.23)</f>
        <v>17.23</v>
      </c>
      <c r="X788" s="6">
        <v>1.1599999999999999</v>
      </c>
      <c r="Y788" s="6">
        <v>-53.74</v>
      </c>
      <c r="Z788" s="6">
        <v>2</v>
      </c>
      <c r="AA788" s="8">
        <v>45352</v>
      </c>
      <c r="AB788" s="4">
        <v>-0.44</v>
      </c>
      <c r="AC788" s="6">
        <v>0</v>
      </c>
      <c r="AD788" s="6">
        <v>0</v>
      </c>
      <c r="AE788" s="1">
        <v>0</v>
      </c>
      <c r="AF788" s="1">
        <f ca="1">IFERROR(__xludf.DUMMYFUNCTION("IFERROR(GOOGLEFINANCE(TRIM(F788)&amp;"":"" &amp; TRIM(B788),""high52""),AE788)"),0)</f>
        <v>0</v>
      </c>
      <c r="AG788" s="1">
        <v>0</v>
      </c>
      <c r="AH788" s="1">
        <f ca="1">IFERROR(__xludf.DUMMYFUNCTION("IFERROR(GOOGLEFINANCE(TRIM(F788)&amp;"":"" &amp; TRIM(B788),""low52""),AE788)"),0)</f>
        <v>0</v>
      </c>
      <c r="AI788" s="1">
        <f ca="1">IFERROR(__xludf.DUMMYFUNCTION("IFERROR(GOOGLEFINANCE(B788,""eps""),0)"),0)</f>
        <v>0</v>
      </c>
      <c r="AJ788" s="1"/>
      <c r="AK788" s="1" t="s">
        <v>2436</v>
      </c>
      <c r="AL788" s="9">
        <f t="shared" si="141"/>
        <v>1</v>
      </c>
    </row>
    <row r="789" spans="1:38" ht="15" x14ac:dyDescent="0.25">
      <c r="A789" s="1" t="s">
        <v>2437</v>
      </c>
      <c r="B789" s="1" t="s">
        <v>2438</v>
      </c>
      <c r="C789" s="1" t="s">
        <v>219</v>
      </c>
      <c r="D789" s="1" t="s">
        <v>219</v>
      </c>
      <c r="E789" s="6">
        <v>527.02</v>
      </c>
      <c r="F789" s="1" t="s">
        <v>40</v>
      </c>
      <c r="G789" s="6">
        <f ca="1">IFERROR(__xludf.DUMMYFUNCTION("iferror(GOOGLEFINANCE(TRIM(F789)&amp;"":"" &amp; TRIM(B789), ""price""),0
)"),164.67)</f>
        <v>164.67</v>
      </c>
      <c r="H789" s="6">
        <v>341.5</v>
      </c>
      <c r="I789" s="6">
        <f t="shared" ca="1" si="0"/>
        <v>164.67</v>
      </c>
      <c r="J789" s="6">
        <f ca="1">IFERROR(__xludf.DUMMYFUNCTION("IFERROR(GOOGLEFINANCE(B789, ""volume""), 0)"),10986)</f>
        <v>10986</v>
      </c>
      <c r="K789" s="6">
        <v>0.77</v>
      </c>
      <c r="L789" s="6">
        <f ca="1">IFERROR(__xludf.DUMMYFUNCTION("IFERROR(GOOGLEFINANCE(B789,""changepct""),K789)"),-3.25)</f>
        <v>-3.25</v>
      </c>
      <c r="M789" s="6">
        <f ca="1">IFERROR(__xludf.DUMMYFUNCTION("IFERROR(GOOGLEFINANCE(B789,""change""),0)"),-5.53)</f>
        <v>-5.53</v>
      </c>
      <c r="N789" s="6">
        <v>1</v>
      </c>
      <c r="O789" s="7">
        <v>45536</v>
      </c>
      <c r="P789" s="6">
        <v>0.67</v>
      </c>
      <c r="Q789" s="6">
        <v>517.49</v>
      </c>
      <c r="R789" s="7">
        <v>45536</v>
      </c>
      <c r="S789" s="6">
        <v>788.78</v>
      </c>
      <c r="T789" s="6">
        <v>29.36</v>
      </c>
      <c r="U789" s="7">
        <v>45536</v>
      </c>
      <c r="V789" s="6">
        <v>17.95</v>
      </c>
      <c r="W789" s="6">
        <f ca="1">IFERROR(__xludf.DUMMYFUNCTION("IFERROR(GOOGLEFINANCE(B789,""pe""),V789)"),18.51)</f>
        <v>18.510000000000002</v>
      </c>
      <c r="X789" s="6">
        <v>1.1299999999999999</v>
      </c>
      <c r="Y789" s="6">
        <v>2.2000000000000002</v>
      </c>
      <c r="Z789" s="6">
        <v>1</v>
      </c>
      <c r="AA789" s="8">
        <v>45352</v>
      </c>
      <c r="AB789" s="4">
        <v>0</v>
      </c>
      <c r="AC789" s="6">
        <v>17.39</v>
      </c>
      <c r="AD789" s="6">
        <v>24.6</v>
      </c>
      <c r="AE789" s="1">
        <v>0</v>
      </c>
      <c r="AF789" s="1">
        <f ca="1">IFERROR(__xludf.DUMMYFUNCTION("IFERROR(GOOGLEFINANCE(TRIM(F789)&amp;"":"" &amp; TRIM(B789),""high52""),AE789)"),314.95)</f>
        <v>314.95</v>
      </c>
      <c r="AG789" s="1">
        <v>0</v>
      </c>
      <c r="AH789" s="1">
        <f ca="1">IFERROR(__xludf.DUMMYFUNCTION("IFERROR(GOOGLEFINANCE(TRIM(F789)&amp;"":"" &amp; TRIM(B789),""low52""),AE789)"),161.02)</f>
        <v>161.02000000000001</v>
      </c>
      <c r="AI789" s="1">
        <f ca="1">IFERROR(__xludf.DUMMYFUNCTION("IFERROR(GOOGLEFINANCE(B789,""eps""),0)"),8.9)</f>
        <v>8.9</v>
      </c>
      <c r="AJ789" s="1"/>
      <c r="AK789" s="1" t="s">
        <v>2439</v>
      </c>
      <c r="AL789" s="9">
        <f t="shared" si="141"/>
        <v>1</v>
      </c>
    </row>
    <row r="790" spans="1:38" ht="15" x14ac:dyDescent="0.25">
      <c r="A790" s="1" t="s">
        <v>2440</v>
      </c>
      <c r="B790" s="1" t="s">
        <v>2441</v>
      </c>
      <c r="C790" s="1" t="s">
        <v>151</v>
      </c>
      <c r="D790" s="1" t="s">
        <v>151</v>
      </c>
      <c r="E790" s="6">
        <v>90972.93</v>
      </c>
      <c r="F790" s="1" t="s">
        <v>40</v>
      </c>
      <c r="G790" s="6">
        <f ca="1">IFERROR(__xludf.DUMMYFUNCTION("iferror(GOOGLEFINANCE(TRIM(F790)&amp;"":"" &amp; TRIM(B790), ""price""),0
)"),498.25)</f>
        <v>498.25</v>
      </c>
      <c r="H790" s="6">
        <v>515.70000000000005</v>
      </c>
      <c r="I790" s="6">
        <f t="shared" ca="1" si="0"/>
        <v>498.25</v>
      </c>
      <c r="J790" s="6">
        <f ca="1">IFERROR(__xludf.DUMMYFUNCTION("IFERROR(GOOGLEFINANCE(B790, ""volume""), 0)"),2469560)</f>
        <v>2469560</v>
      </c>
      <c r="K790" s="6">
        <v>0.46</v>
      </c>
      <c r="L790" s="6">
        <f ca="1">IFERROR(__xludf.DUMMYFUNCTION("IFERROR(GOOGLEFINANCE(B790,""changepct""),K790)"),-0.77)</f>
        <v>-0.77</v>
      </c>
      <c r="M790" s="6">
        <f ca="1">IFERROR(__xludf.DUMMYFUNCTION("IFERROR(GOOGLEFINANCE(B790,""change""),0)"),-3.85)</f>
        <v>-3.85</v>
      </c>
      <c r="N790" s="6">
        <v>2</v>
      </c>
      <c r="O790" s="7">
        <v>45536</v>
      </c>
      <c r="P790" s="6">
        <v>1544.13</v>
      </c>
      <c r="Q790" s="6">
        <v>91834.54</v>
      </c>
      <c r="R790" s="7">
        <v>45536</v>
      </c>
      <c r="S790" s="6">
        <v>12447.4</v>
      </c>
      <c r="T790" s="6">
        <v>1760.29</v>
      </c>
      <c r="U790" s="7">
        <v>45536</v>
      </c>
      <c r="V790" s="6">
        <v>50.86</v>
      </c>
      <c r="W790" s="6">
        <f ca="1">IFERROR(__xludf.DUMMYFUNCTION("IFERROR(GOOGLEFINANCE(B790,""pe""),V790)"),47.94)</f>
        <v>47.94</v>
      </c>
      <c r="X790" s="6">
        <v>12.34</v>
      </c>
      <c r="Y790" s="6">
        <v>8.7799999999999994</v>
      </c>
      <c r="Z790" s="6">
        <v>2</v>
      </c>
      <c r="AA790" s="8">
        <v>45352</v>
      </c>
      <c r="AB790" s="4">
        <v>0.12</v>
      </c>
      <c r="AC790" s="6">
        <v>19.39</v>
      </c>
      <c r="AD790" s="6">
        <v>23.65</v>
      </c>
      <c r="AE790" s="1">
        <v>0</v>
      </c>
      <c r="AF790" s="1">
        <f ca="1">IFERROR(__xludf.DUMMYFUNCTION("IFERROR(GOOGLEFINANCE(TRIM(F790)&amp;"":"" &amp; TRIM(B790),""high52""),AE790)"),577)</f>
        <v>577</v>
      </c>
      <c r="AG790" s="1">
        <v>0</v>
      </c>
      <c r="AH790" s="1">
        <f ca="1">IFERROR(__xludf.DUMMYFUNCTION("IFERROR(GOOGLEFINANCE(TRIM(F790)&amp;"":"" &amp; TRIM(B790),""low52""),AE790)"),433.3)</f>
        <v>433.3</v>
      </c>
      <c r="AI790" s="1">
        <f ca="1">IFERROR(__xludf.DUMMYFUNCTION("IFERROR(GOOGLEFINANCE(B790,""eps""),0)"),10.39)</f>
        <v>10.39</v>
      </c>
      <c r="AJ790" s="1"/>
      <c r="AK790" s="1" t="s">
        <v>2442</v>
      </c>
      <c r="AL790" s="9">
        <f t="shared" si="141"/>
        <v>1</v>
      </c>
    </row>
    <row r="791" spans="1:38" ht="15" x14ac:dyDescent="0.25">
      <c r="A791" s="1" t="s">
        <v>2443</v>
      </c>
      <c r="B791" s="1" t="s">
        <v>2444</v>
      </c>
      <c r="C791" s="1" t="s">
        <v>239</v>
      </c>
      <c r="D791" s="1" t="s">
        <v>239</v>
      </c>
      <c r="E791" s="6">
        <v>34066.519999999997</v>
      </c>
      <c r="F791" s="1" t="s">
        <v>40</v>
      </c>
      <c r="G791" s="6">
        <f ca="1">IFERROR(__xludf.DUMMYFUNCTION("iferror(GOOGLEFINANCE(TRIM(F791)&amp;"":"" &amp; TRIM(B791), ""price""),0
)"),2059.1)</f>
        <v>2059.1</v>
      </c>
      <c r="H791" s="6">
        <v>1822.85</v>
      </c>
      <c r="I791" s="6">
        <f t="shared" ca="1" si="0"/>
        <v>2059.1</v>
      </c>
      <c r="J791" s="6">
        <f ca="1">IFERROR(__xludf.DUMMYFUNCTION("IFERROR(GOOGLEFINANCE(B791, ""volume""), 0)"),489646)</f>
        <v>489646</v>
      </c>
      <c r="K791" s="6">
        <v>0.37</v>
      </c>
      <c r="L791" s="6">
        <f ca="1">IFERROR(__xludf.DUMMYFUNCTION("IFERROR(GOOGLEFINANCE(B791,""changepct""),K791)"),2.92)</f>
        <v>2.92</v>
      </c>
      <c r="M791" s="6">
        <f ca="1">IFERROR(__xludf.DUMMYFUNCTION("IFERROR(GOOGLEFINANCE(B791,""change""),0)"),58.4)</f>
        <v>58.4</v>
      </c>
      <c r="N791" s="6">
        <v>2</v>
      </c>
      <c r="O791" s="7">
        <v>45536</v>
      </c>
      <c r="P791" s="6">
        <v>4763</v>
      </c>
      <c r="Q791" s="6">
        <v>38691.519999999997</v>
      </c>
      <c r="R791" s="7">
        <v>45536</v>
      </c>
      <c r="S791" s="6">
        <v>14615</v>
      </c>
      <c r="T791" s="6">
        <v>780</v>
      </c>
      <c r="U791" s="7">
        <v>45536</v>
      </c>
      <c r="V791" s="6">
        <v>44.53</v>
      </c>
      <c r="W791" s="6">
        <f ca="1">IFERROR(__xludf.DUMMYFUNCTION("IFERROR(GOOGLEFINANCE(B791,""pe""),V791)"),32.56)</f>
        <v>32.56</v>
      </c>
      <c r="X791" s="6">
        <v>2.04</v>
      </c>
      <c r="Y791" s="6">
        <v>1.94</v>
      </c>
      <c r="Z791" s="6">
        <v>2</v>
      </c>
      <c r="AA791" s="8">
        <v>45352</v>
      </c>
      <c r="AB791" s="4">
        <v>0.28000000000000003</v>
      </c>
      <c r="AC791" s="6">
        <v>5.34</v>
      </c>
      <c r="AD791" s="6">
        <v>7.21</v>
      </c>
      <c r="AE791" s="1">
        <v>0</v>
      </c>
      <c r="AF791" s="1">
        <f ca="1">IFERROR(__xludf.DUMMYFUNCTION("IFERROR(GOOGLEFINANCE(TRIM(F791)&amp;"":"" &amp; TRIM(B791),""high52""),AE791)"),2496.3)</f>
        <v>2496.3000000000002</v>
      </c>
      <c r="AG791" s="1">
        <v>0</v>
      </c>
      <c r="AH791" s="1">
        <f ca="1">IFERROR(__xludf.DUMMYFUNCTION("IFERROR(GOOGLEFINANCE(TRIM(F791)&amp;"":"" &amp; TRIM(B791),""low52""),AE791)"),1601)</f>
        <v>1601</v>
      </c>
      <c r="AI791" s="1">
        <f ca="1">IFERROR(__xludf.DUMMYFUNCTION("IFERROR(GOOGLEFINANCE(B791,""eps""),0)"),63.24)</f>
        <v>63.24</v>
      </c>
      <c r="AJ791" s="1"/>
      <c r="AK791" s="1" t="s">
        <v>2445</v>
      </c>
      <c r="AL791" s="1" t="b">
        <f>ISNUMBER(AA791)</f>
        <v>1</v>
      </c>
    </row>
    <row r="792" spans="1:38" ht="15" x14ac:dyDescent="0.25">
      <c r="A792" s="1" t="s">
        <v>2446</v>
      </c>
      <c r="B792" s="1" t="s">
        <v>2447</v>
      </c>
      <c r="C792" s="1" t="s">
        <v>1118</v>
      </c>
      <c r="D792" s="1" t="s">
        <v>1118</v>
      </c>
      <c r="E792" s="6">
        <v>3020.65</v>
      </c>
      <c r="F792" s="1" t="s">
        <v>40</v>
      </c>
      <c r="G792" s="6">
        <f ca="1">IFERROR(__xludf.DUMMYFUNCTION("iferror(GOOGLEFINANCE(TRIM(F792)&amp;"":"" &amp; TRIM(B792), ""price""),0
)"),278)</f>
        <v>278</v>
      </c>
      <c r="H792" s="6">
        <v>375.4</v>
      </c>
      <c r="I792" s="6">
        <f t="shared" ca="1" si="0"/>
        <v>278</v>
      </c>
      <c r="J792" s="6">
        <f ca="1">IFERROR(__xludf.DUMMYFUNCTION("IFERROR(GOOGLEFINANCE(B792, ""volume""), 0)"),33786)</f>
        <v>33786</v>
      </c>
      <c r="K792" s="6">
        <v>0.71</v>
      </c>
      <c r="L792" s="6">
        <f ca="1">IFERROR(__xludf.DUMMYFUNCTION("IFERROR(GOOGLEFINANCE(B792,""changepct""),K792)"),1.42)</f>
        <v>1.42</v>
      </c>
      <c r="M792" s="6">
        <f ca="1">IFERROR(__xludf.DUMMYFUNCTION("IFERROR(GOOGLEFINANCE(B792,""change""),0)"),3.9)</f>
        <v>3.9</v>
      </c>
      <c r="N792" s="6">
        <v>2</v>
      </c>
      <c r="O792" s="7">
        <v>45536</v>
      </c>
      <c r="P792" s="6">
        <v>363.23</v>
      </c>
      <c r="Q792" s="6">
        <v>3042.83</v>
      </c>
      <c r="R792" s="7">
        <v>45536</v>
      </c>
      <c r="S792" s="6">
        <v>3220.28</v>
      </c>
      <c r="T792" s="6">
        <v>277.14999999999998</v>
      </c>
      <c r="U792" s="7">
        <v>45536</v>
      </c>
      <c r="V792" s="6">
        <v>10.9</v>
      </c>
      <c r="W792" s="6">
        <f ca="1">IFERROR(__xludf.DUMMYFUNCTION("IFERROR(GOOGLEFINANCE(B792,""pe""),V792)"),6.87)</f>
        <v>6.87</v>
      </c>
      <c r="X792" s="6">
        <v>1.18</v>
      </c>
      <c r="Y792" s="6">
        <v>1</v>
      </c>
      <c r="Z792" s="6">
        <v>2</v>
      </c>
      <c r="AA792" s="8">
        <v>45352</v>
      </c>
      <c r="AB792" s="4">
        <v>0.49</v>
      </c>
      <c r="AC792" s="6">
        <v>9.67</v>
      </c>
      <c r="AD792" s="6">
        <v>11</v>
      </c>
      <c r="AE792" s="1">
        <v>0</v>
      </c>
      <c r="AF792" s="1">
        <f ca="1">IFERROR(__xludf.DUMMYFUNCTION("IFERROR(GOOGLEFINANCE(TRIM(F792)&amp;"":"" &amp; TRIM(B792),""high52""),AE792)"),464.9)</f>
        <v>464.9</v>
      </c>
      <c r="AG792" s="1">
        <v>0</v>
      </c>
      <c r="AH792" s="1">
        <f ca="1">IFERROR(__xludf.DUMMYFUNCTION("IFERROR(GOOGLEFINANCE(TRIM(F792)&amp;"":"" &amp; TRIM(B792),""low52""),AE792)"),261.4)</f>
        <v>261.39999999999998</v>
      </c>
      <c r="AI792" s="1">
        <f ca="1">IFERROR(__xludf.DUMMYFUNCTION("IFERROR(GOOGLEFINANCE(B792,""eps""),0)"),40.47)</f>
        <v>40.47</v>
      </c>
      <c r="AJ792" s="1"/>
      <c r="AK792" s="12"/>
      <c r="AL792" s="9">
        <f t="shared" ref="AL792:AL825" si="142">IF(AA792&lt;&gt;AB792,1,0)</f>
        <v>1</v>
      </c>
    </row>
    <row r="793" spans="1:38" ht="15" x14ac:dyDescent="0.25">
      <c r="A793" s="1" t="s">
        <v>2448</v>
      </c>
      <c r="B793" s="1" t="s">
        <v>2449</v>
      </c>
      <c r="C793" s="1" t="s">
        <v>487</v>
      </c>
      <c r="D793" s="1" t="s">
        <v>487</v>
      </c>
      <c r="E793" s="6">
        <v>5.25</v>
      </c>
      <c r="F793" s="1" t="s">
        <v>53</v>
      </c>
      <c r="G793" s="6">
        <f ca="1">IFERROR(__xludf.DUMMYFUNCTION("iferror(GOOGLEFINANCE(TRIM(F793)&amp;"":"" &amp; TRIM(B793), ""price""),0
)"),0)</f>
        <v>0</v>
      </c>
      <c r="H793" s="6">
        <v>10.01</v>
      </c>
      <c r="I793" s="6">
        <f t="shared" ca="1" si="0"/>
        <v>10.01</v>
      </c>
      <c r="J793" s="6">
        <f ca="1">IFERROR(__xludf.DUMMYFUNCTION("IFERROR(GOOGLEFINANCE(B793, ""volume""), 0)"),0)</f>
        <v>0</v>
      </c>
      <c r="K793" s="6">
        <v>4.82</v>
      </c>
      <c r="L793" s="6">
        <f ca="1">IFERROR(__xludf.DUMMYFUNCTION("IFERROR(GOOGLEFINANCE(B793,""changepct""),K793)"),4.82)</f>
        <v>4.82</v>
      </c>
      <c r="M793" s="6">
        <f ca="1">IFERROR(__xludf.DUMMYFUNCTION("IFERROR(GOOGLEFINANCE(B793,""change""),0)"),0)</f>
        <v>0</v>
      </c>
      <c r="N793" s="6">
        <v>1</v>
      </c>
      <c r="O793" s="7">
        <v>45536</v>
      </c>
      <c r="P793" s="6">
        <v>2.59</v>
      </c>
      <c r="Q793" s="6">
        <v>7.79</v>
      </c>
      <c r="R793" s="7">
        <v>45536</v>
      </c>
      <c r="S793" s="6">
        <v>0.33</v>
      </c>
      <c r="T793" s="6">
        <v>-0.23</v>
      </c>
      <c r="U793" s="7">
        <v>45536</v>
      </c>
      <c r="V793" s="6">
        <v>0</v>
      </c>
      <c r="W793" s="6">
        <f ca="1">IFERROR(__xludf.DUMMYFUNCTION("IFERROR(GOOGLEFINANCE(B793,""pe""),V793)"),0)</f>
        <v>0</v>
      </c>
      <c r="X793" s="12"/>
      <c r="Y793" s="6">
        <v>0.78</v>
      </c>
      <c r="Z793" s="6">
        <v>1</v>
      </c>
      <c r="AA793" s="8">
        <v>45352</v>
      </c>
      <c r="AB793" s="4">
        <v>0.37</v>
      </c>
      <c r="AC793" s="6">
        <v>-1.38</v>
      </c>
      <c r="AD793" s="6">
        <v>1.49</v>
      </c>
      <c r="AE793" s="1">
        <v>0</v>
      </c>
      <c r="AF793" s="1">
        <f ca="1">IFERROR(__xludf.DUMMYFUNCTION("IFERROR(GOOGLEFINANCE(TRIM(F793)&amp;"":"" &amp; TRIM(B793),""high52""),AE793)"),0)</f>
        <v>0</v>
      </c>
      <c r="AG793" s="1">
        <v>0</v>
      </c>
      <c r="AH793" s="1">
        <f ca="1">IFERROR(__xludf.DUMMYFUNCTION("IFERROR(GOOGLEFINANCE(TRIM(F793)&amp;"":"" &amp; TRIM(B793),""low52""),AE793)"),0)</f>
        <v>0</v>
      </c>
      <c r="AI793" s="1">
        <f ca="1">IFERROR(__xludf.DUMMYFUNCTION("IFERROR(GOOGLEFINANCE(B793,""eps""),0)"),0)</f>
        <v>0</v>
      </c>
      <c r="AJ793" s="1"/>
      <c r="AK793" s="1" t="s">
        <v>2450</v>
      </c>
      <c r="AL793" s="9">
        <f t="shared" si="142"/>
        <v>1</v>
      </c>
    </row>
    <row r="794" spans="1:38" ht="15" x14ac:dyDescent="0.25">
      <c r="A794" s="1" t="s">
        <v>2451</v>
      </c>
      <c r="B794" s="1" t="s">
        <v>2452</v>
      </c>
      <c r="C794" s="1" t="s">
        <v>43</v>
      </c>
      <c r="D794" s="1" t="s">
        <v>43</v>
      </c>
      <c r="E794" s="6">
        <v>2803.41</v>
      </c>
      <c r="F794" s="1" t="s">
        <v>40</v>
      </c>
      <c r="G794" s="6">
        <f ca="1">IFERROR(__xludf.DUMMYFUNCTION("iferror(GOOGLEFINANCE(TRIM(F794)&amp;"":"" &amp; TRIM(B794), ""price""),0
)"),171.95)</f>
        <v>171.95</v>
      </c>
      <c r="H794" s="6">
        <v>408.75</v>
      </c>
      <c r="I794" s="6">
        <f t="shared" ca="1" si="0"/>
        <v>171.95</v>
      </c>
      <c r="J794" s="6">
        <f ca="1">IFERROR(__xludf.DUMMYFUNCTION("IFERROR(GOOGLEFINANCE(B794, ""volume""), 0)"),389149)</f>
        <v>389149</v>
      </c>
      <c r="K794" s="6">
        <v>3.06</v>
      </c>
      <c r="L794" s="6">
        <f ca="1">IFERROR(__xludf.DUMMYFUNCTION("IFERROR(GOOGLEFINANCE(B794,""changepct""),K794)"),-1.52)</f>
        <v>-1.52</v>
      </c>
      <c r="M794" s="6">
        <f ca="1">IFERROR(__xludf.DUMMYFUNCTION("IFERROR(GOOGLEFINANCE(B794,""change""),0)"),-2.65)</f>
        <v>-2.65</v>
      </c>
      <c r="N794" s="6">
        <v>1</v>
      </c>
      <c r="O794" s="14"/>
      <c r="P794" s="9"/>
      <c r="Q794" s="7">
        <v>44621</v>
      </c>
      <c r="R794" s="6">
        <v>128.4</v>
      </c>
      <c r="S794" s="9"/>
      <c r="T794" s="9"/>
      <c r="U794" s="6">
        <v>2</v>
      </c>
      <c r="V794" s="7">
        <v>45352</v>
      </c>
      <c r="W794" s="6">
        <f ca="1">IFERROR(__xludf.DUMMYFUNCTION("IFERROR(GOOGLEFINANCE(B794,""pe""),V794)"),10.81)</f>
        <v>10.81</v>
      </c>
      <c r="X794" s="6">
        <v>0.03</v>
      </c>
      <c r="Y794" s="6">
        <v>54.72</v>
      </c>
      <c r="Z794" s="6">
        <v>72.7</v>
      </c>
      <c r="AA794" s="3" t="s">
        <v>2453</v>
      </c>
      <c r="AB794" s="3"/>
      <c r="AC794" s="9"/>
      <c r="AD794" s="9"/>
      <c r="AE794" s="1">
        <v>0</v>
      </c>
      <c r="AF794" s="1">
        <f ca="1">IFERROR(__xludf.DUMMYFUNCTION("IFERROR(GOOGLEFINANCE(TRIM(F794)&amp;"":"" &amp; TRIM(B794),""high52""),AE794)"),311.3)</f>
        <v>311.3</v>
      </c>
      <c r="AG794" s="1">
        <v>0</v>
      </c>
      <c r="AH794" s="1">
        <f ca="1">IFERROR(__xludf.DUMMYFUNCTION("IFERROR(GOOGLEFINANCE(TRIM(F794)&amp;"":"" &amp; TRIM(B794),""low52""),AE794)"),167.07)</f>
        <v>167.07</v>
      </c>
      <c r="AI794" s="1">
        <f ca="1">IFERROR(__xludf.DUMMYFUNCTION("IFERROR(GOOGLEFINANCE(B794,""eps""),0)"),15.9)</f>
        <v>15.9</v>
      </c>
      <c r="AJ794" s="1"/>
      <c r="AK794" s="1" t="s">
        <v>2454</v>
      </c>
      <c r="AL794" s="9">
        <f t="shared" si="142"/>
        <v>1</v>
      </c>
    </row>
    <row r="795" spans="1:38" ht="15" x14ac:dyDescent="0.25">
      <c r="A795" s="1" t="s">
        <v>2455</v>
      </c>
      <c r="B795" s="1" t="s">
        <v>2456</v>
      </c>
      <c r="C795" s="1" t="s">
        <v>706</v>
      </c>
      <c r="D795" s="1" t="s">
        <v>706</v>
      </c>
      <c r="E795" s="6">
        <v>106.29</v>
      </c>
      <c r="F795" s="1" t="s">
        <v>40</v>
      </c>
      <c r="G795" s="6">
        <f ca="1">IFERROR(__xludf.DUMMYFUNCTION("iferror(GOOGLEFINANCE(TRIM(F795)&amp;"":"" &amp; TRIM(B795), ""price""),0
)"),25.25)</f>
        <v>25.25</v>
      </c>
      <c r="H795" s="6">
        <v>45.87</v>
      </c>
      <c r="I795" s="6">
        <f t="shared" ca="1" si="0"/>
        <v>25.25</v>
      </c>
      <c r="J795" s="6">
        <f ca="1">IFERROR(__xludf.DUMMYFUNCTION("IFERROR(GOOGLEFINANCE(B795, ""volume""), 0)"),9135)</f>
        <v>9135</v>
      </c>
      <c r="K795" s="6">
        <v>1.28</v>
      </c>
      <c r="L795" s="6">
        <f ca="1">IFERROR(__xludf.DUMMYFUNCTION("IFERROR(GOOGLEFINANCE(B795,""changepct""),K795)"),0.84)</f>
        <v>0.84</v>
      </c>
      <c r="M795" s="6">
        <f ca="1">IFERROR(__xludf.DUMMYFUNCTION("IFERROR(GOOGLEFINANCE(B795,""change""),0)"),0.21)</f>
        <v>0.21</v>
      </c>
      <c r="N795" s="6">
        <v>1</v>
      </c>
      <c r="O795" s="7">
        <v>45536</v>
      </c>
      <c r="P795" s="6">
        <v>213.14</v>
      </c>
      <c r="Q795" s="6">
        <v>318.76</v>
      </c>
      <c r="R795" s="7">
        <v>45536</v>
      </c>
      <c r="S795" s="6">
        <v>538.23</v>
      </c>
      <c r="T795" s="6">
        <v>2.2999999999999998</v>
      </c>
      <c r="U795" s="7">
        <v>45536</v>
      </c>
      <c r="V795" s="6">
        <v>46.2</v>
      </c>
      <c r="W795" s="6">
        <f ca="1">IFERROR(__xludf.DUMMYFUNCTION("IFERROR(GOOGLEFINANCE(B795,""pe""),V795)"),6.53)</f>
        <v>6.53</v>
      </c>
      <c r="X795" s="6">
        <v>-5.13</v>
      </c>
      <c r="Y795" s="6">
        <v>0.77</v>
      </c>
      <c r="Z795" s="6">
        <v>1</v>
      </c>
      <c r="AA795" s="8">
        <v>45352</v>
      </c>
      <c r="AB795" s="4">
        <v>2.2200000000000002</v>
      </c>
      <c r="AC795" s="6">
        <v>4.45</v>
      </c>
      <c r="AD795" s="6">
        <v>8.9700000000000006</v>
      </c>
      <c r="AE795" s="1">
        <v>0</v>
      </c>
      <c r="AF795" s="1">
        <f ca="1">IFERROR(__xludf.DUMMYFUNCTION("IFERROR(GOOGLEFINANCE(TRIM(F795)&amp;"":"" &amp; TRIM(B795),""high52""),AE795)"),41.49)</f>
        <v>41.49</v>
      </c>
      <c r="AG795" s="1">
        <v>0</v>
      </c>
      <c r="AH795" s="1">
        <f ca="1">IFERROR(__xludf.DUMMYFUNCTION("IFERROR(GOOGLEFINANCE(TRIM(F795)&amp;"":"" &amp; TRIM(B795),""low52""),AE795)"),25)</f>
        <v>25</v>
      </c>
      <c r="AI795" s="1">
        <f ca="1">IFERROR(__xludf.DUMMYFUNCTION("IFERROR(GOOGLEFINANCE(B795,""eps""),0)"),3.87)</f>
        <v>3.87</v>
      </c>
      <c r="AJ795" s="1"/>
      <c r="AK795" s="1" t="s">
        <v>2457</v>
      </c>
      <c r="AL795" s="9">
        <f t="shared" si="142"/>
        <v>1</v>
      </c>
    </row>
    <row r="796" spans="1:38" ht="15" x14ac:dyDescent="0.25">
      <c r="A796" s="1" t="s">
        <v>2458</v>
      </c>
      <c r="B796" s="1" t="s">
        <v>2459</v>
      </c>
      <c r="C796" s="1" t="s">
        <v>487</v>
      </c>
      <c r="D796" s="1" t="s">
        <v>487</v>
      </c>
      <c r="E796" s="6">
        <v>93.33</v>
      </c>
      <c r="F796" s="1" t="s">
        <v>53</v>
      </c>
      <c r="G796" s="6">
        <f ca="1">IFERROR(__xludf.DUMMYFUNCTION("iferror(GOOGLEFINANCE(TRIM(F796)&amp;"":"" &amp; TRIM(B796), ""price""),0
)"),0)</f>
        <v>0</v>
      </c>
      <c r="H796" s="6">
        <v>23.02</v>
      </c>
      <c r="I796" s="6">
        <f t="shared" ca="1" si="0"/>
        <v>23.02</v>
      </c>
      <c r="J796" s="6">
        <f ca="1">IFERROR(__xludf.DUMMYFUNCTION("IFERROR(GOOGLEFINANCE(B796, ""volume""), 0)"),0)</f>
        <v>0</v>
      </c>
      <c r="K796" s="6">
        <v>1.99</v>
      </c>
      <c r="L796" s="6">
        <f ca="1">IFERROR(__xludf.DUMMYFUNCTION("IFERROR(GOOGLEFINANCE(B796,""changepct""),K796)"),1.99)</f>
        <v>1.99</v>
      </c>
      <c r="M796" s="6">
        <f ca="1">IFERROR(__xludf.DUMMYFUNCTION("IFERROR(GOOGLEFINANCE(B796,""change""),0)"),0)</f>
        <v>0</v>
      </c>
      <c r="N796" s="6">
        <v>2</v>
      </c>
      <c r="O796" s="7">
        <v>45536</v>
      </c>
      <c r="P796" s="6">
        <v>28.4</v>
      </c>
      <c r="Q796" s="6">
        <v>121.73</v>
      </c>
      <c r="R796" s="7">
        <v>45536</v>
      </c>
      <c r="S796" s="6">
        <v>0</v>
      </c>
      <c r="T796" s="6">
        <v>-1.68</v>
      </c>
      <c r="U796" s="7">
        <v>45536</v>
      </c>
      <c r="V796" s="6">
        <v>0</v>
      </c>
      <c r="W796" s="6">
        <f ca="1">IFERROR(__xludf.DUMMYFUNCTION("IFERROR(GOOGLEFINANCE(B796,""pe""),V796)"),0)</f>
        <v>0</v>
      </c>
      <c r="X796" s="9"/>
      <c r="Y796" s="6">
        <v>2.5499999999999998</v>
      </c>
      <c r="Z796" s="6">
        <v>2</v>
      </c>
      <c r="AA796" s="8">
        <v>45352</v>
      </c>
      <c r="AB796" s="4">
        <v>0.74</v>
      </c>
      <c r="AC796" s="6">
        <v>-1.06</v>
      </c>
      <c r="AD796" s="6">
        <v>1.35</v>
      </c>
      <c r="AE796" s="1">
        <v>0</v>
      </c>
      <c r="AF796" s="1">
        <f ca="1">IFERROR(__xludf.DUMMYFUNCTION("IFERROR(GOOGLEFINANCE(TRIM(F796)&amp;"":"" &amp; TRIM(B796),""high52""),AE796)"),0)</f>
        <v>0</v>
      </c>
      <c r="AG796" s="1">
        <v>0</v>
      </c>
      <c r="AH796" s="1">
        <f ca="1">IFERROR(__xludf.DUMMYFUNCTION("IFERROR(GOOGLEFINANCE(TRIM(F796)&amp;"":"" &amp; TRIM(B796),""low52""),AE796)"),0)</f>
        <v>0</v>
      </c>
      <c r="AI796" s="1">
        <f ca="1">IFERROR(__xludf.DUMMYFUNCTION("IFERROR(GOOGLEFINANCE(B796,""eps""),0)"),0)</f>
        <v>0</v>
      </c>
      <c r="AJ796" s="1"/>
      <c r="AK796" s="1" t="s">
        <v>2460</v>
      </c>
      <c r="AL796" s="9">
        <f t="shared" si="142"/>
        <v>1</v>
      </c>
    </row>
    <row r="797" spans="1:38" ht="15" x14ac:dyDescent="0.25">
      <c r="A797" s="1" t="s">
        <v>2461</v>
      </c>
      <c r="B797" s="1" t="s">
        <v>2462</v>
      </c>
      <c r="C797" s="1" t="s">
        <v>487</v>
      </c>
      <c r="D797" s="1" t="s">
        <v>487</v>
      </c>
      <c r="E797" s="6">
        <v>120.49</v>
      </c>
      <c r="F797" s="1" t="s">
        <v>53</v>
      </c>
      <c r="G797" s="6">
        <f ca="1">IFERROR(__xludf.DUMMYFUNCTION("iferror(GOOGLEFINANCE(TRIM(F797)&amp;"":"" &amp; TRIM(B797), ""price""),0
)"),0)</f>
        <v>0</v>
      </c>
      <c r="H797" s="6">
        <v>34.11</v>
      </c>
      <c r="I797" s="6">
        <f t="shared" ca="1" si="0"/>
        <v>34.11</v>
      </c>
      <c r="J797" s="6">
        <f ca="1">IFERROR(__xludf.DUMMYFUNCTION("IFERROR(GOOGLEFINANCE(B797, ""volume""), 0)"),0)</f>
        <v>0</v>
      </c>
      <c r="K797" s="6">
        <v>2.2799999999999998</v>
      </c>
      <c r="L797" s="6">
        <f ca="1">IFERROR(__xludf.DUMMYFUNCTION("IFERROR(GOOGLEFINANCE(B797,""changepct""),K797)"),2.28)</f>
        <v>2.2799999999999998</v>
      </c>
      <c r="M797" s="6">
        <f ca="1">IFERROR(__xludf.DUMMYFUNCTION("IFERROR(GOOGLEFINANCE(B797,""change""),0)"),0)</f>
        <v>0</v>
      </c>
      <c r="N797" s="6">
        <v>2</v>
      </c>
      <c r="O797" s="7">
        <v>45536</v>
      </c>
      <c r="P797" s="6">
        <v>24.89</v>
      </c>
      <c r="Q797" s="6">
        <v>142.65</v>
      </c>
      <c r="R797" s="7">
        <v>45536</v>
      </c>
      <c r="S797" s="6">
        <v>33.299999999999997</v>
      </c>
      <c r="T797" s="6">
        <v>4.2</v>
      </c>
      <c r="U797" s="7">
        <v>45536</v>
      </c>
      <c r="V797" s="6">
        <v>29.54</v>
      </c>
      <c r="W797" s="6">
        <f ca="1">IFERROR(__xludf.DUMMYFUNCTION("IFERROR(GOOGLEFINANCE(B797,""pe""),V797)"),29.54)</f>
        <v>29.54</v>
      </c>
      <c r="X797" s="6">
        <v>0.48</v>
      </c>
      <c r="Y797" s="6">
        <v>1.17</v>
      </c>
      <c r="Z797" s="6">
        <v>2</v>
      </c>
      <c r="AA797" s="8">
        <v>45352</v>
      </c>
      <c r="AB797" s="4">
        <v>0.34</v>
      </c>
      <c r="AC797" s="6">
        <v>7.23</v>
      </c>
      <c r="AD797" s="6">
        <v>7.89</v>
      </c>
      <c r="AE797" s="1">
        <v>0</v>
      </c>
      <c r="AF797" s="1">
        <f ca="1">IFERROR(__xludf.DUMMYFUNCTION("IFERROR(GOOGLEFINANCE(TRIM(F797)&amp;"":"" &amp; TRIM(B797),""high52""),AE797)"),0)</f>
        <v>0</v>
      </c>
      <c r="AG797" s="1">
        <v>0</v>
      </c>
      <c r="AH797" s="1">
        <f ca="1">IFERROR(__xludf.DUMMYFUNCTION("IFERROR(GOOGLEFINANCE(TRIM(F797)&amp;"":"" &amp; TRIM(B797),""low52""),AE797)"),0)</f>
        <v>0</v>
      </c>
      <c r="AI797" s="1">
        <f ca="1">IFERROR(__xludf.DUMMYFUNCTION("IFERROR(GOOGLEFINANCE(B797,""eps""),0)"),0)</f>
        <v>0</v>
      </c>
      <c r="AJ797" s="1"/>
      <c r="AK797" s="1" t="s">
        <v>2463</v>
      </c>
      <c r="AL797" s="9">
        <f t="shared" si="142"/>
        <v>1</v>
      </c>
    </row>
    <row r="798" spans="1:38" ht="15" x14ac:dyDescent="0.25">
      <c r="A798" s="1" t="s">
        <v>2464</v>
      </c>
      <c r="B798" s="1" t="s">
        <v>2465</v>
      </c>
      <c r="C798" s="1" t="s">
        <v>324</v>
      </c>
      <c r="D798" s="1" t="s">
        <v>324</v>
      </c>
      <c r="E798" s="6">
        <v>112.4</v>
      </c>
      <c r="F798" s="1" t="s">
        <v>40</v>
      </c>
      <c r="G798" s="6">
        <f ca="1">IFERROR(__xludf.DUMMYFUNCTION("iferror(GOOGLEFINANCE(TRIM(F798)&amp;"":"" &amp; TRIM(B798), ""price""),0
)"),3.01)</f>
        <v>3.01</v>
      </c>
      <c r="H798" s="6">
        <v>7.22</v>
      </c>
      <c r="I798" s="6">
        <f t="shared" ca="1" si="0"/>
        <v>3.01</v>
      </c>
      <c r="J798" s="6">
        <f ca="1">IFERROR(__xludf.DUMMYFUNCTION("IFERROR(GOOGLEFINANCE(B798, ""volume""), 0)"),74933)</f>
        <v>74933</v>
      </c>
      <c r="K798" s="6">
        <v>-1.1000000000000001</v>
      </c>
      <c r="L798" s="6">
        <f ca="1">IFERROR(__xludf.DUMMYFUNCTION("IFERROR(GOOGLEFINANCE(B798,""changepct""),K798)"),-3.53)</f>
        <v>-3.53</v>
      </c>
      <c r="M798" s="6">
        <f ca="1">IFERROR(__xludf.DUMMYFUNCTION("IFERROR(GOOGLEFINANCE(B798,""change""),0)"),-0.11)</f>
        <v>-0.11</v>
      </c>
      <c r="N798" s="6">
        <v>1</v>
      </c>
      <c r="O798" s="7">
        <v>45536</v>
      </c>
      <c r="P798" s="6">
        <v>2.7</v>
      </c>
      <c r="Q798" s="6">
        <v>114.81</v>
      </c>
      <c r="R798" s="7">
        <v>45536</v>
      </c>
      <c r="S798" s="6">
        <v>25.64</v>
      </c>
      <c r="T798" s="6">
        <v>-1.41</v>
      </c>
      <c r="U798" s="7">
        <v>45536</v>
      </c>
      <c r="V798" s="6">
        <v>0</v>
      </c>
      <c r="W798" s="6">
        <f ca="1">IFERROR(__xludf.DUMMYFUNCTION("IFERROR(GOOGLEFINANCE(B798,""pe""),V798)"),0)</f>
        <v>0</v>
      </c>
      <c r="X798" s="9"/>
      <c r="Y798" s="6">
        <v>7.12</v>
      </c>
      <c r="Z798" s="6">
        <v>1</v>
      </c>
      <c r="AA798" s="8">
        <v>45352</v>
      </c>
      <c r="AB798" s="4">
        <v>0.51</v>
      </c>
      <c r="AC798" s="6">
        <v>-5.26</v>
      </c>
      <c r="AD798" s="6">
        <v>4.8</v>
      </c>
      <c r="AE798" s="1">
        <v>0</v>
      </c>
      <c r="AF798" s="1">
        <f ca="1">IFERROR(__xludf.DUMMYFUNCTION("IFERROR(GOOGLEFINANCE(TRIM(F798)&amp;"":"" &amp; TRIM(B798),""high52""),AE798)"),6.95)</f>
        <v>6.95</v>
      </c>
      <c r="AG798" s="1">
        <v>0</v>
      </c>
      <c r="AH798" s="1">
        <f ca="1">IFERROR(__xludf.DUMMYFUNCTION("IFERROR(GOOGLEFINANCE(TRIM(F798)&amp;"":"" &amp; TRIM(B798),""low52""),AE798)"),2.53)</f>
        <v>2.5299999999999998</v>
      </c>
      <c r="AI798" s="1">
        <f ca="1">IFERROR(__xludf.DUMMYFUNCTION("IFERROR(GOOGLEFINANCE(B798,""eps""),0)"),-0.04)</f>
        <v>-0.04</v>
      </c>
      <c r="AJ798" s="1"/>
      <c r="AK798" s="1" t="s">
        <v>2466</v>
      </c>
      <c r="AL798" s="9">
        <f t="shared" si="142"/>
        <v>1</v>
      </c>
    </row>
    <row r="799" spans="1:38" ht="15" x14ac:dyDescent="0.25">
      <c r="A799" s="1" t="s">
        <v>2467</v>
      </c>
      <c r="B799" s="1" t="s">
        <v>2468</v>
      </c>
      <c r="C799" s="1" t="s">
        <v>487</v>
      </c>
      <c r="D799" s="1" t="s">
        <v>487</v>
      </c>
      <c r="E799" s="6">
        <v>67.459999999999994</v>
      </c>
      <c r="F799" s="1" t="s">
        <v>53</v>
      </c>
      <c r="G799" s="6">
        <f ca="1">IFERROR(__xludf.DUMMYFUNCTION("iferror(GOOGLEFINANCE(TRIM(F799)&amp;"":"" &amp; TRIM(B799), ""price""),0
)"),0)</f>
        <v>0</v>
      </c>
      <c r="H799" s="6">
        <v>40</v>
      </c>
      <c r="I799" s="6">
        <f t="shared" ca="1" si="0"/>
        <v>40</v>
      </c>
      <c r="J799" s="6">
        <f ca="1">IFERROR(__xludf.DUMMYFUNCTION("IFERROR(GOOGLEFINANCE(B799, ""volume""), 0)"),0)</f>
        <v>0</v>
      </c>
      <c r="K799" s="6">
        <v>0.63</v>
      </c>
      <c r="L799" s="6">
        <f ca="1">IFERROR(__xludf.DUMMYFUNCTION("IFERROR(GOOGLEFINANCE(B799,""changepct""),K799)"),0.63)</f>
        <v>0.63</v>
      </c>
      <c r="M799" s="6">
        <f ca="1">IFERROR(__xludf.DUMMYFUNCTION("IFERROR(GOOGLEFINANCE(B799,""change""),0)"),0)</f>
        <v>0</v>
      </c>
      <c r="N799" s="6">
        <v>2</v>
      </c>
      <c r="O799" s="7">
        <v>45536</v>
      </c>
      <c r="P799" s="6">
        <v>1.97</v>
      </c>
      <c r="Q799" s="6">
        <v>69.430000000000007</v>
      </c>
      <c r="R799" s="7">
        <v>45536</v>
      </c>
      <c r="S799" s="6">
        <v>29.36</v>
      </c>
      <c r="T799" s="6">
        <v>2.81</v>
      </c>
      <c r="U799" s="7">
        <v>45536</v>
      </c>
      <c r="V799" s="6">
        <v>23.96</v>
      </c>
      <c r="W799" s="6">
        <f ca="1">IFERROR(__xludf.DUMMYFUNCTION("IFERROR(GOOGLEFINANCE(B799,""pe""),V799)"),23.96)</f>
        <v>23.96</v>
      </c>
      <c r="X799" s="6">
        <v>1.35</v>
      </c>
      <c r="Y799" s="6">
        <v>0.87</v>
      </c>
      <c r="Z799" s="6">
        <v>2</v>
      </c>
      <c r="AA799" s="8">
        <v>45352</v>
      </c>
      <c r="AB799" s="4">
        <v>0.01</v>
      </c>
      <c r="AC799" s="6">
        <v>8.74</v>
      </c>
      <c r="AD799" s="6">
        <v>11.91</v>
      </c>
      <c r="AE799" s="1">
        <v>0</v>
      </c>
      <c r="AF799" s="1">
        <f ca="1">IFERROR(__xludf.DUMMYFUNCTION("IFERROR(GOOGLEFINANCE(TRIM(F799)&amp;"":"" &amp; TRIM(B799),""high52""),AE799)"),0)</f>
        <v>0</v>
      </c>
      <c r="AG799" s="1">
        <v>0</v>
      </c>
      <c r="AH799" s="1">
        <f ca="1">IFERROR(__xludf.DUMMYFUNCTION("IFERROR(GOOGLEFINANCE(TRIM(F799)&amp;"":"" &amp; TRIM(B799),""low52""),AE799)"),0)</f>
        <v>0</v>
      </c>
      <c r="AI799" s="1">
        <f ca="1">IFERROR(__xludf.DUMMYFUNCTION("IFERROR(GOOGLEFINANCE(B799,""eps""),0)"),0)</f>
        <v>0</v>
      </c>
      <c r="AJ799" s="1"/>
      <c r="AK799" s="9"/>
      <c r="AL799" s="9">
        <f t="shared" si="142"/>
        <v>1</v>
      </c>
    </row>
    <row r="800" spans="1:38" ht="15" x14ac:dyDescent="0.25">
      <c r="A800" s="1" t="s">
        <v>2469</v>
      </c>
      <c r="B800" s="1" t="s">
        <v>2470</v>
      </c>
      <c r="C800" s="1" t="s">
        <v>125</v>
      </c>
      <c r="D800" s="1" t="s">
        <v>125</v>
      </c>
      <c r="E800" s="6">
        <v>2185.5700000000002</v>
      </c>
      <c r="F800" s="1" t="s">
        <v>40</v>
      </c>
      <c r="G800" s="6">
        <f ca="1">IFERROR(__xludf.DUMMYFUNCTION("iferror(GOOGLEFINANCE(TRIM(F800)&amp;"":"" &amp; TRIM(B800), ""price""),0
)"),0)</f>
        <v>0</v>
      </c>
      <c r="H800" s="6">
        <v>1127</v>
      </c>
      <c r="I800" s="6">
        <f t="shared" ca="1" si="0"/>
        <v>1127</v>
      </c>
      <c r="J800" s="6">
        <f ca="1">IFERROR(__xludf.DUMMYFUNCTION("IFERROR(GOOGLEFINANCE(B800, ""volume""), 0)"),0)</f>
        <v>0</v>
      </c>
      <c r="K800" s="6">
        <v>1.54</v>
      </c>
      <c r="L800" s="6">
        <f ca="1">IFERROR(__xludf.DUMMYFUNCTION("IFERROR(GOOGLEFINANCE(B800,""changepct""),K800)"),1.54)</f>
        <v>1.54</v>
      </c>
      <c r="M800" s="6">
        <f ca="1">IFERROR(__xludf.DUMMYFUNCTION("IFERROR(GOOGLEFINANCE(B800,""change""),0)"),0)</f>
        <v>0</v>
      </c>
      <c r="N800" s="6">
        <v>1</v>
      </c>
      <c r="O800" s="7">
        <v>45536</v>
      </c>
      <c r="P800" s="6">
        <v>35.33</v>
      </c>
      <c r="Q800" s="6">
        <v>2220.9</v>
      </c>
      <c r="R800" s="14"/>
      <c r="S800" s="9"/>
      <c r="T800" s="9"/>
      <c r="U800" s="7">
        <v>45352</v>
      </c>
      <c r="V800" s="6">
        <v>57.4</v>
      </c>
      <c r="W800" s="6">
        <f ca="1">IFERROR(__xludf.DUMMYFUNCTION("IFERROR(GOOGLEFINANCE(B800,""pe""),V800)"),57.4)</f>
        <v>57.4</v>
      </c>
      <c r="X800" s="12"/>
      <c r="Y800" s="6">
        <v>7.46</v>
      </c>
      <c r="Z800" s="6">
        <v>2</v>
      </c>
      <c r="AA800" s="8">
        <v>45352</v>
      </c>
      <c r="AB800" s="4">
        <v>0.12</v>
      </c>
      <c r="AC800" s="6">
        <v>46.36</v>
      </c>
      <c r="AD800" s="6">
        <v>59.27</v>
      </c>
      <c r="AE800" s="1">
        <v>0</v>
      </c>
      <c r="AF800" s="1">
        <f ca="1">IFERROR(__xludf.DUMMYFUNCTION("IFERROR(GOOGLEFINANCE(TRIM(F800)&amp;"":"" &amp; TRIM(B800),""high52""),AE800)"),0)</f>
        <v>0</v>
      </c>
      <c r="AG800" s="1">
        <v>0</v>
      </c>
      <c r="AH800" s="1">
        <f ca="1">IFERROR(__xludf.DUMMYFUNCTION("IFERROR(GOOGLEFINANCE(TRIM(F800)&amp;"":"" &amp; TRIM(B800),""low52""),AE800)"),0)</f>
        <v>0</v>
      </c>
      <c r="AI800" s="1">
        <f ca="1">IFERROR(__xludf.DUMMYFUNCTION("IFERROR(GOOGLEFINANCE(B800,""eps""),0)"),0)</f>
        <v>0</v>
      </c>
      <c r="AJ800" s="1"/>
      <c r="AK800" s="1" t="s">
        <v>2471</v>
      </c>
      <c r="AL800" s="9">
        <f t="shared" si="142"/>
        <v>1</v>
      </c>
    </row>
    <row r="801" spans="1:38" ht="15" x14ac:dyDescent="0.25">
      <c r="A801" s="1" t="s">
        <v>2472</v>
      </c>
      <c r="B801" s="1" t="s">
        <v>2473</v>
      </c>
      <c r="C801" s="1" t="s">
        <v>1019</v>
      </c>
      <c r="D801" s="1" t="s">
        <v>1019</v>
      </c>
      <c r="E801" s="6">
        <v>13955.68</v>
      </c>
      <c r="F801" s="1" t="s">
        <v>40</v>
      </c>
      <c r="G801" s="6">
        <f ca="1">IFERROR(__xludf.DUMMYFUNCTION("iferror(GOOGLEFINANCE(TRIM(F801)&amp;"":"" &amp; TRIM(B801), ""price""),0
)"),2570)</f>
        <v>2570</v>
      </c>
      <c r="H801" s="6">
        <v>2518.85</v>
      </c>
      <c r="I801" s="6">
        <f t="shared" ca="1" si="0"/>
        <v>2570</v>
      </c>
      <c r="J801" s="6">
        <f ca="1">IFERROR(__xludf.DUMMYFUNCTION("IFERROR(GOOGLEFINANCE(B801, ""volume""), 0)"),1233071)</f>
        <v>1233071</v>
      </c>
      <c r="K801" s="6">
        <v>1.1299999999999999</v>
      </c>
      <c r="L801" s="6">
        <f ca="1">IFERROR(__xludf.DUMMYFUNCTION("IFERROR(GOOGLEFINANCE(B801,""changepct""),K801)"),4.01)</f>
        <v>4.01</v>
      </c>
      <c r="M801" s="6">
        <f ca="1">IFERROR(__xludf.DUMMYFUNCTION("IFERROR(GOOGLEFINANCE(B801,""change""),0)"),99.1)</f>
        <v>99.1</v>
      </c>
      <c r="N801" s="6">
        <v>1</v>
      </c>
      <c r="O801" s="7">
        <v>45536</v>
      </c>
      <c r="P801" s="9"/>
      <c r="Q801" s="6">
        <v>13762.5</v>
      </c>
      <c r="R801" s="7">
        <v>45536</v>
      </c>
      <c r="S801" s="6">
        <v>516.9</v>
      </c>
      <c r="T801" s="6">
        <v>185.14</v>
      </c>
      <c r="U801" s="7">
        <v>45536</v>
      </c>
      <c r="V801" s="6">
        <v>75.38</v>
      </c>
      <c r="W801" s="6">
        <f ca="1">IFERROR(__xludf.DUMMYFUNCTION("IFERROR(GOOGLEFINANCE(B801,""pe""),V801)"),61.9)</f>
        <v>61.9</v>
      </c>
      <c r="X801" s="12"/>
      <c r="Y801" s="6">
        <v>10.34</v>
      </c>
      <c r="Z801" s="6">
        <v>1</v>
      </c>
      <c r="AA801" s="8">
        <v>45352</v>
      </c>
      <c r="AB801" s="4">
        <v>0</v>
      </c>
      <c r="AC801" s="6">
        <v>14.59</v>
      </c>
      <c r="AD801" s="6">
        <v>20.190000000000001</v>
      </c>
      <c r="AE801" s="1">
        <v>0</v>
      </c>
      <c r="AF801" s="1">
        <f ca="1">IFERROR(__xludf.DUMMYFUNCTION("IFERROR(GOOGLEFINANCE(TRIM(F801)&amp;"":"" &amp; TRIM(B801),""high52""),AE801)"),3268.8)</f>
        <v>3268.8</v>
      </c>
      <c r="AG801" s="1">
        <v>0</v>
      </c>
      <c r="AH801" s="1">
        <f ca="1">IFERROR(__xludf.DUMMYFUNCTION("IFERROR(GOOGLEFINANCE(TRIM(F801)&amp;"":"" &amp; TRIM(B801),""low52""),AE801)"),1351.15)</f>
        <v>1351.15</v>
      </c>
      <c r="AI801" s="1">
        <f ca="1">IFERROR(__xludf.DUMMYFUNCTION("IFERROR(GOOGLEFINANCE(B801,""eps""),0)"),41.52)</f>
        <v>41.52</v>
      </c>
      <c r="AJ801" s="1"/>
      <c r="AK801" s="1" t="s">
        <v>2474</v>
      </c>
      <c r="AL801" s="9">
        <f t="shared" si="142"/>
        <v>1</v>
      </c>
    </row>
    <row r="802" spans="1:38" ht="15" x14ac:dyDescent="0.25">
      <c r="A802" s="1" t="s">
        <v>2475</v>
      </c>
      <c r="B802" s="1" t="s">
        <v>2476</v>
      </c>
      <c r="C802" s="1" t="s">
        <v>57</v>
      </c>
      <c r="D802" s="1" t="s">
        <v>57</v>
      </c>
      <c r="E802" s="6">
        <v>3979.64</v>
      </c>
      <c r="F802" s="1" t="s">
        <v>40</v>
      </c>
      <c r="G802" s="6">
        <f ca="1">IFERROR(__xludf.DUMMYFUNCTION("iferror(GOOGLEFINANCE(TRIM(F802)&amp;"":"" &amp; TRIM(B802), ""price""),0
)"),696)</f>
        <v>696</v>
      </c>
      <c r="H802" s="6">
        <v>690</v>
      </c>
      <c r="I802" s="6">
        <f t="shared" ca="1" si="0"/>
        <v>696</v>
      </c>
      <c r="J802" s="6">
        <f ca="1">IFERROR(__xludf.DUMMYFUNCTION("IFERROR(GOOGLEFINANCE(B802, ""volume""), 0)"),43922)</f>
        <v>43922</v>
      </c>
      <c r="K802" s="6">
        <v>2.2999999999999998</v>
      </c>
      <c r="L802" s="6">
        <f ca="1">IFERROR(__xludf.DUMMYFUNCTION("IFERROR(GOOGLEFINANCE(B802,""changepct""),K802)"),-1.7)</f>
        <v>-1.7</v>
      </c>
      <c r="M802" s="6">
        <f ca="1">IFERROR(__xludf.DUMMYFUNCTION("IFERROR(GOOGLEFINANCE(B802,""change""),0)"),-12.05)</f>
        <v>-12.05</v>
      </c>
      <c r="N802" s="6">
        <v>2</v>
      </c>
      <c r="O802" s="7">
        <v>45536</v>
      </c>
      <c r="P802" s="6">
        <v>14.31</v>
      </c>
      <c r="Q802" s="6">
        <v>3858.96</v>
      </c>
      <c r="R802" s="7">
        <v>45536</v>
      </c>
      <c r="S802" s="6">
        <v>1582.75</v>
      </c>
      <c r="T802" s="6">
        <v>179.53</v>
      </c>
      <c r="U802" s="7">
        <v>45536</v>
      </c>
      <c r="V802" s="6">
        <v>22.15</v>
      </c>
      <c r="W802" s="6">
        <f ca="1">IFERROR(__xludf.DUMMYFUNCTION("IFERROR(GOOGLEFINANCE(B802,""pe""),V802)"),17.67)</f>
        <v>17.670000000000002</v>
      </c>
      <c r="X802" s="6">
        <v>1.02</v>
      </c>
      <c r="Y802" s="6">
        <v>3.08</v>
      </c>
      <c r="Z802" s="6">
        <v>2</v>
      </c>
      <c r="AA802" s="8">
        <v>45352</v>
      </c>
      <c r="AB802" s="4">
        <v>0</v>
      </c>
      <c r="AC802" s="6">
        <v>17.37</v>
      </c>
      <c r="AD802" s="6">
        <v>22.34</v>
      </c>
      <c r="AE802" s="1">
        <v>0</v>
      </c>
      <c r="AF802" s="1">
        <f ca="1">IFERROR(__xludf.DUMMYFUNCTION("IFERROR(GOOGLEFINANCE(TRIM(F802)&amp;"":"" &amp; TRIM(B802),""high52""),AE802)"),1120)</f>
        <v>1120</v>
      </c>
      <c r="AG802" s="1">
        <v>0</v>
      </c>
      <c r="AH802" s="1">
        <f ca="1">IFERROR(__xludf.DUMMYFUNCTION("IFERROR(GOOGLEFINANCE(TRIM(F802)&amp;"":"" &amp; TRIM(B802),""low52""),AE802)"),522)</f>
        <v>522</v>
      </c>
      <c r="AI802" s="1">
        <f ca="1">IFERROR(__xludf.DUMMYFUNCTION("IFERROR(GOOGLEFINANCE(B802,""eps""),0)"),39.4)</f>
        <v>39.4</v>
      </c>
      <c r="AJ802" s="1"/>
      <c r="AK802" s="1" t="s">
        <v>2477</v>
      </c>
      <c r="AL802" s="9">
        <f t="shared" si="142"/>
        <v>1</v>
      </c>
    </row>
    <row r="803" spans="1:38" ht="15" x14ac:dyDescent="0.25">
      <c r="A803" s="1" t="s">
        <v>2478</v>
      </c>
      <c r="B803" s="1" t="s">
        <v>2479</v>
      </c>
      <c r="C803" s="1" t="s">
        <v>1118</v>
      </c>
      <c r="D803" s="1" t="s">
        <v>1118</v>
      </c>
      <c r="E803" s="6">
        <v>548.51</v>
      </c>
      <c r="F803" s="1" t="s">
        <v>40</v>
      </c>
      <c r="G803" s="6">
        <f ca="1">IFERROR(__xludf.DUMMYFUNCTION("iferror(GOOGLEFINANCE(TRIM(F803)&amp;"":"" &amp; TRIM(B803), ""price""),0
)"),4.07)</f>
        <v>4.07</v>
      </c>
      <c r="H803" s="6">
        <v>5.8</v>
      </c>
      <c r="I803" s="6">
        <f t="shared" ca="1" si="0"/>
        <v>4.07</v>
      </c>
      <c r="J803" s="6">
        <f ca="1">IFERROR(__xludf.DUMMYFUNCTION("IFERROR(GOOGLEFINANCE(B803, ""volume""), 0)"),3692878)</f>
        <v>3692878</v>
      </c>
      <c r="K803" s="6">
        <v>-0.51</v>
      </c>
      <c r="L803" s="6">
        <f ca="1">IFERROR(__xludf.DUMMYFUNCTION("IFERROR(GOOGLEFINANCE(B803,""changepct""),K803)"),-2.4)</f>
        <v>-2.4</v>
      </c>
      <c r="M803" s="6">
        <f ca="1">IFERROR(__xludf.DUMMYFUNCTION("IFERROR(GOOGLEFINANCE(B803,""change""),0)"),-0.1)</f>
        <v>-0.1</v>
      </c>
      <c r="N803" s="6">
        <v>1</v>
      </c>
      <c r="O803" s="7">
        <v>45536</v>
      </c>
      <c r="P803" s="6">
        <v>281.94</v>
      </c>
      <c r="Q803" s="6">
        <v>830.46</v>
      </c>
      <c r="R803" s="7">
        <v>45536</v>
      </c>
      <c r="S803" s="6">
        <v>226.78</v>
      </c>
      <c r="T803" s="6">
        <v>12.39</v>
      </c>
      <c r="U803" s="7">
        <v>45536</v>
      </c>
      <c r="V803" s="6">
        <v>44.27</v>
      </c>
      <c r="W803" s="6">
        <f ca="1">IFERROR(__xludf.DUMMYFUNCTION("IFERROR(GOOGLEFINANCE(B803,""pe""),V803)"),10.51)</f>
        <v>10.51</v>
      </c>
      <c r="X803" s="9"/>
      <c r="Y803" s="6">
        <v>2.93</v>
      </c>
      <c r="Z803" s="6">
        <v>1</v>
      </c>
      <c r="AA803" s="8">
        <v>45352</v>
      </c>
      <c r="AB803" s="4">
        <v>1.43</v>
      </c>
      <c r="AC803" s="6">
        <v>7.15</v>
      </c>
      <c r="AD803" s="6">
        <v>9.35</v>
      </c>
      <c r="AE803" s="1">
        <v>0</v>
      </c>
      <c r="AF803" s="1">
        <f ca="1">IFERROR(__xludf.DUMMYFUNCTION("IFERROR(GOOGLEFINANCE(TRIM(F803)&amp;"":"" &amp; TRIM(B803),""high52""),AE803)"),5.8)</f>
        <v>5.8</v>
      </c>
      <c r="AG803" s="1">
        <v>0</v>
      </c>
      <c r="AH803" s="1">
        <f ca="1">IFERROR(__xludf.DUMMYFUNCTION("IFERROR(GOOGLEFINANCE(TRIM(F803)&amp;"":"" &amp; TRIM(B803),""low52""),AE803)"),3.03)</f>
        <v>3.03</v>
      </c>
      <c r="AI803" s="1">
        <f ca="1">IFERROR(__xludf.DUMMYFUNCTION("IFERROR(GOOGLEFINANCE(B803,""eps""),0)"),0.39)</f>
        <v>0.39</v>
      </c>
      <c r="AJ803" s="1"/>
      <c r="AK803" s="9"/>
      <c r="AL803" s="9">
        <f t="shared" si="142"/>
        <v>1</v>
      </c>
    </row>
    <row r="804" spans="1:38" ht="15" x14ac:dyDescent="0.25">
      <c r="A804" s="1" t="s">
        <v>2480</v>
      </c>
      <c r="B804" s="1" t="s">
        <v>2481</v>
      </c>
      <c r="C804" s="1" t="s">
        <v>487</v>
      </c>
      <c r="D804" s="1" t="s">
        <v>487</v>
      </c>
      <c r="E804" s="6">
        <v>39.54</v>
      </c>
      <c r="F804" s="1" t="s">
        <v>53</v>
      </c>
      <c r="G804" s="6">
        <f ca="1">IFERROR(__xludf.DUMMYFUNCTION("iferror(GOOGLEFINANCE(TRIM(F804)&amp;"":"" &amp; TRIM(B804), ""price""),0
)"),0)</f>
        <v>0</v>
      </c>
      <c r="H804" s="6">
        <v>7.09</v>
      </c>
      <c r="I804" s="6">
        <f t="shared" ca="1" si="0"/>
        <v>7.09</v>
      </c>
      <c r="J804" s="6">
        <f ca="1">IFERROR(__xludf.DUMMYFUNCTION("IFERROR(GOOGLEFINANCE(B804, ""volume""), 0)"),0)</f>
        <v>0</v>
      </c>
      <c r="K804" s="6">
        <v>3.2</v>
      </c>
      <c r="L804" s="6">
        <f ca="1">IFERROR(__xludf.DUMMYFUNCTION("IFERROR(GOOGLEFINANCE(B804,""changepct""),K804)"),3.2)</f>
        <v>3.2</v>
      </c>
      <c r="M804" s="6">
        <f ca="1">IFERROR(__xludf.DUMMYFUNCTION("IFERROR(GOOGLEFINANCE(B804,""change""),0)"),0)</f>
        <v>0</v>
      </c>
      <c r="N804" s="6">
        <v>1</v>
      </c>
      <c r="O804" s="7">
        <v>45536</v>
      </c>
      <c r="P804" s="6">
        <v>3.29</v>
      </c>
      <c r="Q804" s="6">
        <v>42.83</v>
      </c>
      <c r="R804" s="7">
        <v>45536</v>
      </c>
      <c r="S804" s="6">
        <v>55.6</v>
      </c>
      <c r="T804" s="6">
        <v>7.59</v>
      </c>
      <c r="U804" s="7">
        <v>45536</v>
      </c>
      <c r="V804" s="6">
        <v>5.21</v>
      </c>
      <c r="W804" s="6">
        <f ca="1">IFERROR(__xludf.DUMMYFUNCTION("IFERROR(GOOGLEFINANCE(B804,""pe""),V804)"),5.21)</f>
        <v>5.21</v>
      </c>
      <c r="X804" s="6">
        <v>-8.41</v>
      </c>
      <c r="Y804" s="6">
        <v>0.69</v>
      </c>
      <c r="Z804" s="6">
        <v>1</v>
      </c>
      <c r="AA804" s="8">
        <v>45352</v>
      </c>
      <c r="AB804" s="4">
        <v>0.05</v>
      </c>
      <c r="AC804" s="6">
        <v>9.51</v>
      </c>
      <c r="AD804" s="6">
        <v>9.26</v>
      </c>
      <c r="AE804" s="1">
        <v>0</v>
      </c>
      <c r="AF804" s="1">
        <f ca="1">IFERROR(__xludf.DUMMYFUNCTION("IFERROR(GOOGLEFINANCE(TRIM(F804)&amp;"":"" &amp; TRIM(B804),""high52""),AE804)"),0)</f>
        <v>0</v>
      </c>
      <c r="AG804" s="1">
        <v>0</v>
      </c>
      <c r="AH804" s="1">
        <f ca="1">IFERROR(__xludf.DUMMYFUNCTION("IFERROR(GOOGLEFINANCE(TRIM(F804)&amp;"":"" &amp; TRIM(B804),""low52""),AE804)"),0)</f>
        <v>0</v>
      </c>
      <c r="AI804" s="1">
        <f ca="1">IFERROR(__xludf.DUMMYFUNCTION("IFERROR(GOOGLEFINANCE(B804,""eps""),0)"),0)</f>
        <v>0</v>
      </c>
      <c r="AJ804" s="1"/>
      <c r="AK804" s="9"/>
      <c r="AL804" s="9">
        <f t="shared" si="142"/>
        <v>1</v>
      </c>
    </row>
    <row r="805" spans="1:38" ht="15" x14ac:dyDescent="0.25">
      <c r="A805" s="1" t="s">
        <v>2482</v>
      </c>
      <c r="B805" s="1" t="s">
        <v>2483</v>
      </c>
      <c r="C805" s="1" t="s">
        <v>487</v>
      </c>
      <c r="D805" s="1" t="s">
        <v>487</v>
      </c>
      <c r="E805" s="6">
        <v>23.81</v>
      </c>
      <c r="F805" s="1" t="s">
        <v>53</v>
      </c>
      <c r="G805" s="6">
        <f ca="1">IFERROR(__xludf.DUMMYFUNCTION("iferror(GOOGLEFINANCE(TRIM(F805)&amp;"":"" &amp; TRIM(B805), ""price""),0
)"),0)</f>
        <v>0</v>
      </c>
      <c r="H805" s="6">
        <v>9.31</v>
      </c>
      <c r="I805" s="6">
        <f t="shared" ca="1" si="0"/>
        <v>9.31</v>
      </c>
      <c r="J805" s="6">
        <f ca="1">IFERROR(__xludf.DUMMYFUNCTION("IFERROR(GOOGLEFINANCE(B805, ""volume""), 0)"),0)</f>
        <v>0</v>
      </c>
      <c r="K805" s="6">
        <v>-2</v>
      </c>
      <c r="L805" s="6">
        <f ca="1">IFERROR(__xludf.DUMMYFUNCTION("IFERROR(GOOGLEFINANCE(B805,""changepct""),K805)"),-2)</f>
        <v>-2</v>
      </c>
      <c r="M805" s="6">
        <f ca="1">IFERROR(__xludf.DUMMYFUNCTION("IFERROR(GOOGLEFINANCE(B805,""change""),0)"),0)</f>
        <v>0</v>
      </c>
      <c r="N805" s="6">
        <v>1</v>
      </c>
      <c r="O805" s="7">
        <v>45536</v>
      </c>
      <c r="P805" s="6">
        <v>2.11</v>
      </c>
      <c r="Q805" s="6">
        <v>25.93</v>
      </c>
      <c r="R805" s="7">
        <v>45536</v>
      </c>
      <c r="S805" s="6">
        <v>0</v>
      </c>
      <c r="T805" s="6">
        <v>-0.31</v>
      </c>
      <c r="U805" s="7">
        <v>45536</v>
      </c>
      <c r="V805" s="6">
        <v>0</v>
      </c>
      <c r="W805" s="6">
        <f ca="1">IFERROR(__xludf.DUMMYFUNCTION("IFERROR(GOOGLEFINANCE(B805,""pe""),V805)"),0)</f>
        <v>0</v>
      </c>
      <c r="X805" s="6">
        <v>0</v>
      </c>
      <c r="Y805" s="6">
        <v>8.5</v>
      </c>
      <c r="Z805" s="6">
        <v>1</v>
      </c>
      <c r="AA805" s="8">
        <v>45352</v>
      </c>
      <c r="AB805" s="4">
        <v>0.61</v>
      </c>
      <c r="AC805" s="6">
        <v>-9.56</v>
      </c>
      <c r="AD805" s="6">
        <v>-6.19</v>
      </c>
      <c r="AE805" s="1">
        <v>0</v>
      </c>
      <c r="AF805" s="1">
        <f ca="1">IFERROR(__xludf.DUMMYFUNCTION("IFERROR(GOOGLEFINANCE(TRIM(F805)&amp;"":"" &amp; TRIM(B805),""high52""),AE805)"),0)</f>
        <v>0</v>
      </c>
      <c r="AG805" s="1">
        <v>0</v>
      </c>
      <c r="AH805" s="1">
        <f ca="1">IFERROR(__xludf.DUMMYFUNCTION("IFERROR(GOOGLEFINANCE(TRIM(F805)&amp;"":"" &amp; TRIM(B805),""low52""),AE805)"),0)</f>
        <v>0</v>
      </c>
      <c r="AI805" s="1">
        <f ca="1">IFERROR(__xludf.DUMMYFUNCTION("IFERROR(GOOGLEFINANCE(B805,""eps""),0)"),0)</f>
        <v>0</v>
      </c>
      <c r="AJ805" s="1"/>
      <c r="AK805" s="9"/>
      <c r="AL805" s="9">
        <f t="shared" si="142"/>
        <v>1</v>
      </c>
    </row>
    <row r="806" spans="1:38" ht="15" x14ac:dyDescent="0.25">
      <c r="A806" s="1" t="s">
        <v>2484</v>
      </c>
      <c r="B806" s="1" t="s">
        <v>2485</v>
      </c>
      <c r="C806" s="1" t="s">
        <v>75</v>
      </c>
      <c r="D806" s="1" t="s">
        <v>75</v>
      </c>
      <c r="E806" s="6">
        <v>168.25</v>
      </c>
      <c r="F806" s="1" t="s">
        <v>40</v>
      </c>
      <c r="G806" s="6">
        <f ca="1">IFERROR(__xludf.DUMMYFUNCTION("iferror(GOOGLEFINANCE(TRIM(F806)&amp;"":"" &amp; TRIM(B806), ""price""),0
)"),24.94)</f>
        <v>24.94</v>
      </c>
      <c r="H806" s="6">
        <v>48.14</v>
      </c>
      <c r="I806" s="6">
        <f t="shared" ca="1" si="0"/>
        <v>24.94</v>
      </c>
      <c r="J806" s="6">
        <f ca="1">IFERROR(__xludf.DUMMYFUNCTION("IFERROR(GOOGLEFINANCE(B806, ""volume""), 0)"),4456)</f>
        <v>4456</v>
      </c>
      <c r="K806" s="6">
        <v>1.01</v>
      </c>
      <c r="L806" s="6">
        <f ca="1">IFERROR(__xludf.DUMMYFUNCTION("IFERROR(GOOGLEFINANCE(B806,""changepct""),K806)"),-0.04)</f>
        <v>-0.04</v>
      </c>
      <c r="M806" s="6">
        <f ca="1">IFERROR(__xludf.DUMMYFUNCTION("IFERROR(GOOGLEFINANCE(B806,""change""),0)"),-0.01)</f>
        <v>-0.01</v>
      </c>
      <c r="N806" s="6">
        <v>2</v>
      </c>
      <c r="O806" s="7">
        <v>45536</v>
      </c>
      <c r="P806" s="6">
        <v>8.67</v>
      </c>
      <c r="Q806" s="7">
        <v>45536</v>
      </c>
      <c r="R806" s="6">
        <v>19.41</v>
      </c>
      <c r="S806" s="6">
        <v>0.45</v>
      </c>
      <c r="T806" s="6">
        <v>2.41</v>
      </c>
      <c r="U806" s="6">
        <v>2</v>
      </c>
      <c r="V806" s="7">
        <v>45352</v>
      </c>
      <c r="W806" s="6">
        <f ca="1">IFERROR(__xludf.DUMMYFUNCTION("IFERROR(GOOGLEFINANCE(B806,""pe""),V806)"),20.72)</f>
        <v>20.72</v>
      </c>
      <c r="X806" s="6">
        <v>0.03</v>
      </c>
      <c r="Y806" s="6">
        <v>14.65</v>
      </c>
      <c r="Z806" s="6">
        <v>21.38</v>
      </c>
      <c r="AA806" s="3" t="s">
        <v>2486</v>
      </c>
      <c r="AB806" s="3"/>
      <c r="AC806" s="9"/>
      <c r="AD806" s="9"/>
      <c r="AE806" s="1">
        <v>0</v>
      </c>
      <c r="AF806" s="1">
        <f ca="1">IFERROR(__xludf.DUMMYFUNCTION("IFERROR(GOOGLEFINANCE(TRIM(F806)&amp;"":"" &amp; TRIM(B806),""high52""),AE806)"),43.88)</f>
        <v>43.88</v>
      </c>
      <c r="AG806" s="1">
        <v>0</v>
      </c>
      <c r="AH806" s="1">
        <f ca="1">IFERROR(__xludf.DUMMYFUNCTION("IFERROR(GOOGLEFINANCE(TRIM(F806)&amp;"":"" &amp; TRIM(B806),""low52""),AE806)"),23.5)</f>
        <v>23.5</v>
      </c>
      <c r="AI806" s="1">
        <f ca="1">IFERROR(__xludf.DUMMYFUNCTION("IFERROR(GOOGLEFINANCE(B806,""eps""),0)"),1.2)</f>
        <v>1.2</v>
      </c>
      <c r="AJ806" s="1"/>
      <c r="AK806" s="1" t="s">
        <v>2487</v>
      </c>
      <c r="AL806" s="9">
        <f t="shared" si="142"/>
        <v>1</v>
      </c>
    </row>
    <row r="807" spans="1:38" ht="15" x14ac:dyDescent="0.25">
      <c r="A807" s="1" t="s">
        <v>2488</v>
      </c>
      <c r="B807" s="1" t="s">
        <v>2489</v>
      </c>
      <c r="C807" s="1" t="s">
        <v>487</v>
      </c>
      <c r="D807" s="1" t="s">
        <v>487</v>
      </c>
      <c r="E807" s="6">
        <v>160.27000000000001</v>
      </c>
      <c r="F807" s="1" t="s">
        <v>53</v>
      </c>
      <c r="G807" s="6">
        <f ca="1">IFERROR(__xludf.DUMMYFUNCTION("iferror(GOOGLEFINANCE(TRIM(F807)&amp;"":"" &amp; TRIM(B807), ""price""),0
)"),0)</f>
        <v>0</v>
      </c>
      <c r="H807" s="6">
        <v>3.08</v>
      </c>
      <c r="I807" s="6">
        <f t="shared" ca="1" si="0"/>
        <v>3.08</v>
      </c>
      <c r="J807" s="6">
        <f ca="1">IFERROR(__xludf.DUMMYFUNCTION("IFERROR(GOOGLEFINANCE(B807, ""volume""), 0)"),0)</f>
        <v>0</v>
      </c>
      <c r="K807" s="6">
        <v>0.65</v>
      </c>
      <c r="L807" s="6">
        <f ca="1">IFERROR(__xludf.DUMMYFUNCTION("IFERROR(GOOGLEFINANCE(B807,""changepct""),K807)"),0.65)</f>
        <v>0.65</v>
      </c>
      <c r="M807" s="6">
        <f ca="1">IFERROR(__xludf.DUMMYFUNCTION("IFERROR(GOOGLEFINANCE(B807,""change""),0)"),0)</f>
        <v>0</v>
      </c>
      <c r="N807" s="6">
        <v>1</v>
      </c>
      <c r="O807" s="7">
        <v>45536</v>
      </c>
      <c r="P807" s="6">
        <v>35.44</v>
      </c>
      <c r="Q807" s="6">
        <v>194.51</v>
      </c>
      <c r="R807" s="7">
        <v>45536</v>
      </c>
      <c r="S807" s="6">
        <v>8.99</v>
      </c>
      <c r="T807" s="6">
        <v>-2.2400000000000002</v>
      </c>
      <c r="U807" s="7">
        <v>45536</v>
      </c>
      <c r="V807" s="6">
        <v>0</v>
      </c>
      <c r="W807" s="6">
        <f ca="1">IFERROR(__xludf.DUMMYFUNCTION("IFERROR(GOOGLEFINANCE(B807,""pe""),V807)"),0)</f>
        <v>0</v>
      </c>
      <c r="X807" s="9"/>
      <c r="Y807" s="6">
        <v>2.69</v>
      </c>
      <c r="Z807" s="6">
        <v>1</v>
      </c>
      <c r="AA807" s="8">
        <v>45352</v>
      </c>
      <c r="AB807" s="4">
        <v>0.84</v>
      </c>
      <c r="AC807" s="6">
        <v>-8.75</v>
      </c>
      <c r="AD807" s="6">
        <v>-4.53</v>
      </c>
      <c r="AE807" s="1">
        <v>0</v>
      </c>
      <c r="AF807" s="1">
        <f ca="1">IFERROR(__xludf.DUMMYFUNCTION("IFERROR(GOOGLEFINANCE(TRIM(F807)&amp;"":"" &amp; TRIM(B807),""high52""),AE807)"),0)</f>
        <v>0</v>
      </c>
      <c r="AG807" s="1">
        <v>0</v>
      </c>
      <c r="AH807" s="1">
        <f ca="1">IFERROR(__xludf.DUMMYFUNCTION("IFERROR(GOOGLEFINANCE(TRIM(F807)&amp;"":"" &amp; TRIM(B807),""low52""),AE807)"),0)</f>
        <v>0</v>
      </c>
      <c r="AI807" s="1">
        <f ca="1">IFERROR(__xludf.DUMMYFUNCTION("IFERROR(GOOGLEFINANCE(B807,""eps""),0)"),0)</f>
        <v>0</v>
      </c>
      <c r="AJ807" s="1"/>
      <c r="AK807" s="1" t="s">
        <v>2490</v>
      </c>
      <c r="AL807" s="9">
        <f t="shared" si="142"/>
        <v>1</v>
      </c>
    </row>
    <row r="808" spans="1:38" ht="15" x14ac:dyDescent="0.25">
      <c r="A808" s="1" t="s">
        <v>2491</v>
      </c>
      <c r="B808" s="1" t="s">
        <v>2492</v>
      </c>
      <c r="C808" s="1" t="s">
        <v>487</v>
      </c>
      <c r="D808" s="1" t="s">
        <v>487</v>
      </c>
      <c r="E808" s="6">
        <v>8.65</v>
      </c>
      <c r="F808" s="1" t="s">
        <v>53</v>
      </c>
      <c r="G808" s="6">
        <f ca="1">IFERROR(__xludf.DUMMYFUNCTION("iferror(GOOGLEFINANCE(TRIM(F808)&amp;"":"" &amp; TRIM(B808), ""price""),0
)"),0)</f>
        <v>0</v>
      </c>
      <c r="H808" s="6">
        <v>17.940000000000001</v>
      </c>
      <c r="I808" s="6">
        <f t="shared" ca="1" si="0"/>
        <v>17.940000000000001</v>
      </c>
      <c r="J808" s="6">
        <f ca="1">IFERROR(__xludf.DUMMYFUNCTION("IFERROR(GOOGLEFINANCE(B808, ""volume""), 0)"),0)</f>
        <v>0</v>
      </c>
      <c r="K808" s="6">
        <v>3.76</v>
      </c>
      <c r="L808" s="6">
        <f ca="1">IFERROR(__xludf.DUMMYFUNCTION("IFERROR(GOOGLEFINANCE(B808,""changepct""),K808)"),3.76)</f>
        <v>3.76</v>
      </c>
      <c r="M808" s="6">
        <f ca="1">IFERROR(__xludf.DUMMYFUNCTION("IFERROR(GOOGLEFINANCE(B808,""change""),0)"),0)</f>
        <v>0</v>
      </c>
      <c r="N808" s="6">
        <v>2</v>
      </c>
      <c r="O808" s="7">
        <v>45536</v>
      </c>
      <c r="P808" s="9"/>
      <c r="Q808" s="6">
        <v>8.44</v>
      </c>
      <c r="R808" s="7">
        <v>45536</v>
      </c>
      <c r="S808" s="6">
        <v>-0.25</v>
      </c>
      <c r="T808" s="6">
        <v>2.23</v>
      </c>
      <c r="U808" s="7">
        <v>45536</v>
      </c>
      <c r="V808" s="6">
        <v>3.88</v>
      </c>
      <c r="W808" s="6">
        <f ca="1">IFERROR(__xludf.DUMMYFUNCTION("IFERROR(GOOGLEFINANCE(B808,""pe""),V808)"),3.88)</f>
        <v>3.88</v>
      </c>
      <c r="X808" s="6">
        <v>-0.15</v>
      </c>
      <c r="Y808" s="6">
        <v>0.55000000000000004</v>
      </c>
      <c r="Z808" s="6">
        <v>2</v>
      </c>
      <c r="AA808" s="8">
        <v>45352</v>
      </c>
      <c r="AB808" s="4">
        <v>0</v>
      </c>
      <c r="AC808" s="6">
        <v>1.07</v>
      </c>
      <c r="AD808" s="6">
        <v>1.72</v>
      </c>
      <c r="AE808" s="1">
        <v>0</v>
      </c>
      <c r="AF808" s="1">
        <f ca="1">IFERROR(__xludf.DUMMYFUNCTION("IFERROR(GOOGLEFINANCE(TRIM(F808)&amp;"":"" &amp; TRIM(B808),""high52""),AE808)"),0)</f>
        <v>0</v>
      </c>
      <c r="AG808" s="1">
        <v>0</v>
      </c>
      <c r="AH808" s="1">
        <f ca="1">IFERROR(__xludf.DUMMYFUNCTION("IFERROR(GOOGLEFINANCE(TRIM(F808)&amp;"":"" &amp; TRIM(B808),""low52""),AE808)"),0)</f>
        <v>0</v>
      </c>
      <c r="AI808" s="1">
        <f ca="1">IFERROR(__xludf.DUMMYFUNCTION("IFERROR(GOOGLEFINANCE(B808,""eps""),0)"),0)</f>
        <v>0</v>
      </c>
      <c r="AJ808" s="1"/>
      <c r="AK808" s="1" t="s">
        <v>2493</v>
      </c>
      <c r="AL808" s="9">
        <f t="shared" si="142"/>
        <v>1</v>
      </c>
    </row>
    <row r="809" spans="1:38" ht="15" x14ac:dyDescent="0.25">
      <c r="A809" s="1" t="s">
        <v>2494</v>
      </c>
      <c r="B809" s="1" t="s">
        <v>2495</v>
      </c>
      <c r="C809" s="1" t="s">
        <v>487</v>
      </c>
      <c r="D809" s="1" t="s">
        <v>487</v>
      </c>
      <c r="E809" s="6">
        <v>179.22</v>
      </c>
      <c r="F809" s="1" t="s">
        <v>53</v>
      </c>
      <c r="G809" s="6">
        <f ca="1">IFERROR(__xludf.DUMMYFUNCTION("iferror(GOOGLEFINANCE(TRIM(F809)&amp;"":"" &amp; TRIM(B809), ""price""),0
)"),0)</f>
        <v>0</v>
      </c>
      <c r="H809" s="6">
        <v>37.92</v>
      </c>
      <c r="I809" s="6">
        <f t="shared" ca="1" si="0"/>
        <v>37.92</v>
      </c>
      <c r="J809" s="6">
        <f ca="1">IFERROR(__xludf.DUMMYFUNCTION("IFERROR(GOOGLEFINANCE(B809, ""volume""), 0)"),0)</f>
        <v>0</v>
      </c>
      <c r="K809" s="6">
        <v>4.9800000000000004</v>
      </c>
      <c r="L809" s="6">
        <f ca="1">IFERROR(__xludf.DUMMYFUNCTION("IFERROR(GOOGLEFINANCE(B809,""changepct""),K809)"),4.98)</f>
        <v>4.9800000000000004</v>
      </c>
      <c r="M809" s="6">
        <f ca="1">IFERROR(__xludf.DUMMYFUNCTION("IFERROR(GOOGLEFINANCE(B809,""change""),0)"),0)</f>
        <v>0</v>
      </c>
      <c r="N809" s="6">
        <v>1</v>
      </c>
      <c r="O809" s="7">
        <v>45536</v>
      </c>
      <c r="P809" s="6">
        <v>455.25</v>
      </c>
      <c r="Q809" s="6">
        <v>634.47</v>
      </c>
      <c r="R809" s="7">
        <v>45536</v>
      </c>
      <c r="S809" s="6">
        <v>120.88</v>
      </c>
      <c r="T809" s="6">
        <v>6.04</v>
      </c>
      <c r="U809" s="7">
        <v>45536</v>
      </c>
      <c r="V809" s="6">
        <v>29.67</v>
      </c>
      <c r="W809" s="6">
        <f ca="1">IFERROR(__xludf.DUMMYFUNCTION("IFERROR(GOOGLEFINANCE(B809,""pe""),V809)"),29.67)</f>
        <v>29.67</v>
      </c>
      <c r="X809" s="6">
        <v>0.69</v>
      </c>
      <c r="Y809" s="6">
        <v>2.39</v>
      </c>
      <c r="Z809" s="6">
        <v>1</v>
      </c>
      <c r="AA809" s="8">
        <v>45352</v>
      </c>
      <c r="AB809" s="4">
        <v>6.52</v>
      </c>
      <c r="AC809" s="6">
        <v>4.5199999999999996</v>
      </c>
      <c r="AD809" s="6">
        <v>5.33</v>
      </c>
      <c r="AE809" s="1">
        <v>0</v>
      </c>
      <c r="AF809" s="1">
        <f ca="1">IFERROR(__xludf.DUMMYFUNCTION("IFERROR(GOOGLEFINANCE(TRIM(F809)&amp;"":"" &amp; TRIM(B809),""high52""),AE809)"),0)</f>
        <v>0</v>
      </c>
      <c r="AG809" s="1">
        <v>0</v>
      </c>
      <c r="AH809" s="1">
        <f ca="1">IFERROR(__xludf.DUMMYFUNCTION("IFERROR(GOOGLEFINANCE(TRIM(F809)&amp;"":"" &amp; TRIM(B809),""low52""),AE809)"),0)</f>
        <v>0</v>
      </c>
      <c r="AI809" s="1">
        <f ca="1">IFERROR(__xludf.DUMMYFUNCTION("IFERROR(GOOGLEFINANCE(B809,""eps""),0)"),0)</f>
        <v>0</v>
      </c>
      <c r="AJ809" s="1"/>
      <c r="AK809" s="1" t="s">
        <v>2496</v>
      </c>
      <c r="AL809" s="9">
        <f t="shared" si="142"/>
        <v>1</v>
      </c>
    </row>
    <row r="810" spans="1:38" ht="15" x14ac:dyDescent="0.25">
      <c r="A810" s="1" t="s">
        <v>2497</v>
      </c>
      <c r="B810" s="1" t="s">
        <v>2498</v>
      </c>
      <c r="C810" s="1" t="s">
        <v>487</v>
      </c>
      <c r="D810" s="1" t="s">
        <v>487</v>
      </c>
      <c r="E810" s="6">
        <v>15.25</v>
      </c>
      <c r="F810" s="1" t="s">
        <v>53</v>
      </c>
      <c r="G810" s="6">
        <f ca="1">IFERROR(__xludf.DUMMYFUNCTION("iferror(GOOGLEFINANCE(TRIM(F810)&amp;"":"" &amp; TRIM(B810), ""price""),0
)"),0)</f>
        <v>0</v>
      </c>
      <c r="H810" s="6">
        <v>12.6</v>
      </c>
      <c r="I810" s="6">
        <f t="shared" ca="1" si="0"/>
        <v>12.6</v>
      </c>
      <c r="J810" s="6">
        <f ca="1">IFERROR(__xludf.DUMMYFUNCTION("IFERROR(GOOGLEFINANCE(B810, ""volume""), 0)"),0)</f>
        <v>0</v>
      </c>
      <c r="K810" s="6">
        <v>1.94</v>
      </c>
      <c r="L810" s="6">
        <f ca="1">IFERROR(__xludf.DUMMYFUNCTION("IFERROR(GOOGLEFINANCE(B810,""changepct""),K810)"),1.94)</f>
        <v>1.94</v>
      </c>
      <c r="M810" s="6">
        <f ca="1">IFERROR(__xludf.DUMMYFUNCTION("IFERROR(GOOGLEFINANCE(B810,""change""),0)"),0)</f>
        <v>0</v>
      </c>
      <c r="N810" s="6">
        <v>1</v>
      </c>
      <c r="O810" s="7">
        <v>45536</v>
      </c>
      <c r="P810" s="9"/>
      <c r="Q810" s="6">
        <v>15.25</v>
      </c>
      <c r="R810" s="7">
        <v>45536</v>
      </c>
      <c r="S810" s="6">
        <v>2.61</v>
      </c>
      <c r="T810" s="6">
        <v>1.32</v>
      </c>
      <c r="U810" s="7">
        <v>45536</v>
      </c>
      <c r="V810" s="6">
        <v>11.54</v>
      </c>
      <c r="W810" s="6">
        <f ca="1">IFERROR(__xludf.DUMMYFUNCTION("IFERROR(GOOGLEFINANCE(B810,""pe""),V810)"),11.54)</f>
        <v>11.54</v>
      </c>
      <c r="X810" s="6">
        <v>0.15</v>
      </c>
      <c r="Y810" s="6">
        <v>0.66</v>
      </c>
      <c r="Z810" s="6">
        <v>1</v>
      </c>
      <c r="AA810" s="8">
        <v>45352</v>
      </c>
      <c r="AB810" s="4">
        <v>0.01</v>
      </c>
      <c r="AC810" s="6">
        <v>8.42</v>
      </c>
      <c r="AD810" s="6">
        <v>11.03</v>
      </c>
      <c r="AE810" s="1">
        <v>0</v>
      </c>
      <c r="AF810" s="1">
        <f ca="1">IFERROR(__xludf.DUMMYFUNCTION("IFERROR(GOOGLEFINANCE(TRIM(F810)&amp;"":"" &amp; TRIM(B810),""high52""),AE810)"),0)</f>
        <v>0</v>
      </c>
      <c r="AG810" s="1">
        <v>0</v>
      </c>
      <c r="AH810" s="1">
        <f ca="1">IFERROR(__xludf.DUMMYFUNCTION("IFERROR(GOOGLEFINANCE(TRIM(F810)&amp;"":"" &amp; TRIM(B810),""low52""),AE810)"),0)</f>
        <v>0</v>
      </c>
      <c r="AI810" s="1">
        <f ca="1">IFERROR(__xludf.DUMMYFUNCTION("IFERROR(GOOGLEFINANCE(B810,""eps""),0)"),0)</f>
        <v>0</v>
      </c>
      <c r="AJ810" s="1"/>
      <c r="AK810" s="1" t="s">
        <v>2499</v>
      </c>
      <c r="AL810" s="9">
        <f t="shared" si="142"/>
        <v>1</v>
      </c>
    </row>
    <row r="811" spans="1:38" ht="15" x14ac:dyDescent="0.25">
      <c r="A811" s="1" t="s">
        <v>2500</v>
      </c>
      <c r="B811" s="1" t="s">
        <v>2501</v>
      </c>
      <c r="C811" s="1" t="s">
        <v>487</v>
      </c>
      <c r="D811" s="1" t="s">
        <v>487</v>
      </c>
      <c r="E811" s="6">
        <v>21.74</v>
      </c>
      <c r="F811" s="1" t="s">
        <v>53</v>
      </c>
      <c r="G811" s="6">
        <f ca="1">IFERROR(__xludf.DUMMYFUNCTION("iferror(GOOGLEFINANCE(TRIM(F811)&amp;"":"" &amp; TRIM(B811), ""price""),0
)"),0)</f>
        <v>0</v>
      </c>
      <c r="H811" s="6">
        <v>36.229999999999997</v>
      </c>
      <c r="I811" s="6">
        <f t="shared" ca="1" si="0"/>
        <v>36.229999999999997</v>
      </c>
      <c r="J811" s="6">
        <f ca="1">IFERROR(__xludf.DUMMYFUNCTION("IFERROR(GOOGLEFINANCE(B811, ""volume""), 0)"),3534237)</f>
        <v>3534237</v>
      </c>
      <c r="K811" s="6">
        <v>-1.98</v>
      </c>
      <c r="L811" s="6">
        <f ca="1">IFERROR(__xludf.DUMMYFUNCTION("IFERROR(GOOGLEFINANCE(B811,""changepct""),K811)"),-8.06)</f>
        <v>-8.06</v>
      </c>
      <c r="M811" s="6">
        <f ca="1">IFERROR(__xludf.DUMMYFUNCTION("IFERROR(GOOGLEFINANCE(B811,""change""),0)"),0)</f>
        <v>0</v>
      </c>
      <c r="N811" s="6">
        <v>1</v>
      </c>
      <c r="O811" s="7">
        <v>45536</v>
      </c>
      <c r="P811" s="6">
        <v>0</v>
      </c>
      <c r="Q811" s="6">
        <v>21.74</v>
      </c>
      <c r="R811" s="7">
        <v>45536</v>
      </c>
      <c r="S811" s="6">
        <v>0</v>
      </c>
      <c r="T811" s="6">
        <v>61.18</v>
      </c>
      <c r="U811" s="7">
        <v>45536</v>
      </c>
      <c r="V811" s="6">
        <v>0.36</v>
      </c>
      <c r="W811" s="6">
        <f ca="1">IFERROR(__xludf.DUMMYFUNCTION("IFERROR(GOOGLEFINANCE(B811,""pe""),V811)"),0.36)</f>
        <v>0.36</v>
      </c>
      <c r="X811" s="12"/>
      <c r="Y811" s="6">
        <v>0.31</v>
      </c>
      <c r="Z811" s="6">
        <v>1</v>
      </c>
      <c r="AA811" s="8">
        <v>45352</v>
      </c>
      <c r="AB811" s="4">
        <v>0.43</v>
      </c>
      <c r="AC811" s="6">
        <v>-9.36</v>
      </c>
      <c r="AD811" s="6">
        <v>-9.1199999999999992</v>
      </c>
      <c r="AE811" s="1">
        <v>0</v>
      </c>
      <c r="AF811" s="1">
        <f ca="1">IFERROR(__xludf.DUMMYFUNCTION("IFERROR(GOOGLEFINANCE(TRIM(F811)&amp;"":"" &amp; TRIM(B811),""high52""),AE811)"),0)</f>
        <v>0</v>
      </c>
      <c r="AG811" s="1">
        <v>0</v>
      </c>
      <c r="AH811" s="1">
        <f ca="1">IFERROR(__xludf.DUMMYFUNCTION("IFERROR(GOOGLEFINANCE(TRIM(F811)&amp;"":"" &amp; TRIM(B811),""low52""),AE811)"),0)</f>
        <v>0</v>
      </c>
      <c r="AI811" s="1">
        <f ca="1">IFERROR(__xludf.DUMMYFUNCTION("IFERROR(GOOGLEFINANCE(B811,""eps""),0)"),-0.01)</f>
        <v>-0.01</v>
      </c>
      <c r="AJ811" s="1"/>
      <c r="AK811" s="9"/>
      <c r="AL811" s="9">
        <f t="shared" si="142"/>
        <v>1</v>
      </c>
    </row>
    <row r="812" spans="1:38" ht="15" x14ac:dyDescent="0.25">
      <c r="A812" s="1" t="s">
        <v>2502</v>
      </c>
      <c r="B812" s="1" t="s">
        <v>2503</v>
      </c>
      <c r="C812" s="1" t="s">
        <v>487</v>
      </c>
      <c r="D812" s="1" t="s">
        <v>487</v>
      </c>
      <c r="E812" s="6">
        <v>174.68</v>
      </c>
      <c r="F812" s="1" t="s">
        <v>53</v>
      </c>
      <c r="G812" s="6">
        <f ca="1">IFERROR(__xludf.DUMMYFUNCTION("iferror(GOOGLEFINANCE(TRIM(F812)&amp;"":"" &amp; TRIM(B812), ""price""),0
)"),0)</f>
        <v>0</v>
      </c>
      <c r="H812" s="6">
        <v>127</v>
      </c>
      <c r="I812" s="6">
        <f t="shared" ca="1" si="0"/>
        <v>127</v>
      </c>
      <c r="J812" s="6">
        <f ca="1">IFERROR(__xludf.DUMMYFUNCTION("IFERROR(GOOGLEFINANCE(B812, ""volume""), 0)"),0)</f>
        <v>0</v>
      </c>
      <c r="K812" s="12"/>
      <c r="L812" s="6" t="str">
        <f ca="1">IFERROR(__xludf.DUMMYFUNCTION("IFERROR(GOOGLEFINANCE(B812,""changepct""),K812)"),"")</f>
        <v/>
      </c>
      <c r="M812" s="6">
        <f ca="1">IFERROR(__xludf.DUMMYFUNCTION("IFERROR(GOOGLEFINANCE(B812,""change""),0)"),0)</f>
        <v>0</v>
      </c>
      <c r="N812" s="6">
        <v>2</v>
      </c>
      <c r="O812" s="7">
        <v>45536</v>
      </c>
      <c r="P812" s="6">
        <v>137.99</v>
      </c>
      <c r="Q812" s="6">
        <v>308.86</v>
      </c>
      <c r="R812" s="7">
        <v>45536</v>
      </c>
      <c r="S812" s="6">
        <v>132.72999999999999</v>
      </c>
      <c r="T812" s="6">
        <v>1.08</v>
      </c>
      <c r="U812" s="7">
        <v>45536</v>
      </c>
      <c r="V812" s="6">
        <v>64.27</v>
      </c>
      <c r="W812" s="6">
        <f ca="1">IFERROR(__xludf.DUMMYFUNCTION("IFERROR(GOOGLEFINANCE(B812,""pe""),V812)"),64.27)</f>
        <v>64.27</v>
      </c>
      <c r="X812" s="9"/>
      <c r="Y812" s="6">
        <v>4.6399999999999997</v>
      </c>
      <c r="Z812" s="6">
        <v>2</v>
      </c>
      <c r="AA812" s="8">
        <v>45352</v>
      </c>
      <c r="AB812" s="4">
        <v>5.44</v>
      </c>
      <c r="AC812" s="6">
        <v>0.11</v>
      </c>
      <c r="AD812" s="6">
        <v>8.41</v>
      </c>
      <c r="AE812" s="1">
        <v>0</v>
      </c>
      <c r="AF812" s="1">
        <f ca="1">IFERROR(__xludf.DUMMYFUNCTION("IFERROR(GOOGLEFINANCE(TRIM(F812)&amp;"":"" &amp; TRIM(B812),""high52""),AE812)"),0)</f>
        <v>0</v>
      </c>
      <c r="AG812" s="1">
        <v>0</v>
      </c>
      <c r="AH812" s="1">
        <f ca="1">IFERROR(__xludf.DUMMYFUNCTION("IFERROR(GOOGLEFINANCE(TRIM(F812)&amp;"":"" &amp; TRIM(B812),""low52""),AE812)"),0)</f>
        <v>0</v>
      </c>
      <c r="AI812" s="1">
        <f ca="1">IFERROR(__xludf.DUMMYFUNCTION("IFERROR(GOOGLEFINANCE(B812,""eps""),0)"),0)</f>
        <v>0</v>
      </c>
      <c r="AJ812" s="1"/>
      <c r="AK812" s="1" t="s">
        <v>2504</v>
      </c>
      <c r="AL812" s="9">
        <f t="shared" si="142"/>
        <v>1</v>
      </c>
    </row>
    <row r="813" spans="1:38" ht="15" x14ac:dyDescent="0.25">
      <c r="A813" s="1" t="s">
        <v>2505</v>
      </c>
      <c r="B813" s="1" t="s">
        <v>2506</v>
      </c>
      <c r="C813" s="1" t="s">
        <v>2185</v>
      </c>
      <c r="D813" s="1" t="s">
        <v>2185</v>
      </c>
      <c r="E813" s="6">
        <v>568.01</v>
      </c>
      <c r="F813" s="1" t="s">
        <v>40</v>
      </c>
      <c r="G813" s="6">
        <f ca="1">IFERROR(__xludf.DUMMYFUNCTION("iferror(GOOGLEFINANCE(TRIM(F813)&amp;"":"" &amp; TRIM(B813), ""price""),0
)"),227.92)</f>
        <v>227.92</v>
      </c>
      <c r="H813" s="6">
        <v>413.6</v>
      </c>
      <c r="I813" s="6">
        <f t="shared" ca="1" si="0"/>
        <v>227.92</v>
      </c>
      <c r="J813" s="6">
        <f ca="1">IFERROR(__xludf.DUMMYFUNCTION("IFERROR(GOOGLEFINANCE(B813, ""volume""), 0)"),0)</f>
        <v>0</v>
      </c>
      <c r="K813" s="6">
        <v>-1.7</v>
      </c>
      <c r="L813" s="6">
        <f ca="1">IFERROR(__xludf.DUMMYFUNCTION("IFERROR(GOOGLEFINANCE(B813,""changepct""),K813)"),-1.27)</f>
        <v>-1.27</v>
      </c>
      <c r="M813" s="6">
        <f ca="1">IFERROR(__xludf.DUMMYFUNCTION("IFERROR(GOOGLEFINANCE(B813,""change""),0)"),-1.31)</f>
        <v>-1.31</v>
      </c>
      <c r="N813" s="6">
        <v>1</v>
      </c>
      <c r="O813" s="7">
        <v>45536</v>
      </c>
      <c r="P813" s="6">
        <v>62.83</v>
      </c>
      <c r="Q813" s="6">
        <v>609.19000000000005</v>
      </c>
      <c r="R813" s="7">
        <v>45536</v>
      </c>
      <c r="S813" s="6">
        <v>505.36</v>
      </c>
      <c r="T813" s="6">
        <v>13.12</v>
      </c>
      <c r="U813" s="7">
        <v>45536</v>
      </c>
      <c r="V813" s="6">
        <v>43.29</v>
      </c>
      <c r="W813" s="6">
        <f ca="1">IFERROR(__xludf.DUMMYFUNCTION("IFERROR(GOOGLEFINANCE(B813,""pe""),V813)"),31.8)</f>
        <v>31.8</v>
      </c>
      <c r="X813" s="9"/>
      <c r="Y813" s="6">
        <v>9.2100000000000009</v>
      </c>
      <c r="Z813" s="6">
        <v>1</v>
      </c>
      <c r="AA813" s="8">
        <v>45352</v>
      </c>
      <c r="AB813" s="4">
        <v>0.81</v>
      </c>
      <c r="AC813" s="6">
        <v>30.53</v>
      </c>
      <c r="AD813" s="6">
        <v>28.53</v>
      </c>
      <c r="AE813" s="1">
        <v>0</v>
      </c>
      <c r="AF813" s="1">
        <f ca="1">IFERROR(__xludf.DUMMYFUNCTION("IFERROR(GOOGLEFINANCE(TRIM(F813)&amp;"":"" &amp; TRIM(B813),""high52""),AE813)"),339)</f>
        <v>339</v>
      </c>
      <c r="AG813" s="1">
        <v>0</v>
      </c>
      <c r="AH813" s="1">
        <f ca="1">IFERROR(__xludf.DUMMYFUNCTION("IFERROR(GOOGLEFINANCE(TRIM(F813)&amp;"":"" &amp; TRIM(B813),""low52""),AE813)"),201.35)</f>
        <v>201.35</v>
      </c>
      <c r="AI813" s="1">
        <f ca="1">IFERROR(__xludf.DUMMYFUNCTION("IFERROR(GOOGLEFINANCE(B813,""eps""),0)"),3.21)</f>
        <v>3.21</v>
      </c>
      <c r="AJ813" s="1"/>
      <c r="AK813" s="9"/>
      <c r="AL813" s="9">
        <f t="shared" si="142"/>
        <v>1</v>
      </c>
    </row>
    <row r="814" spans="1:38" ht="15" x14ac:dyDescent="0.25">
      <c r="A814" s="1" t="s">
        <v>2507</v>
      </c>
      <c r="B814" s="1" t="s">
        <v>2508</v>
      </c>
      <c r="C814" s="1" t="s">
        <v>487</v>
      </c>
      <c r="D814" s="1" t="s">
        <v>487</v>
      </c>
      <c r="E814" s="6">
        <v>913.34</v>
      </c>
      <c r="F814" s="1" t="s">
        <v>53</v>
      </c>
      <c r="G814" s="6">
        <f ca="1">IFERROR(__xludf.DUMMYFUNCTION("iferror(GOOGLEFINANCE(TRIM(F814)&amp;"":"" &amp; TRIM(B814), ""price""),0
)"),0)</f>
        <v>0</v>
      </c>
      <c r="H814" s="6">
        <v>522</v>
      </c>
      <c r="I814" s="6">
        <f t="shared" ca="1" si="0"/>
        <v>522</v>
      </c>
      <c r="J814" s="6">
        <f ca="1">IFERROR(__xludf.DUMMYFUNCTION("IFERROR(GOOGLEFINANCE(B814, ""volume""), 0)"),0)</f>
        <v>0</v>
      </c>
      <c r="K814" s="6">
        <v>-1.22</v>
      </c>
      <c r="L814" s="6">
        <f ca="1">IFERROR(__xludf.DUMMYFUNCTION("IFERROR(GOOGLEFINANCE(B814,""changepct""),K814)"),-1.22)</f>
        <v>-1.22</v>
      </c>
      <c r="M814" s="6">
        <f ca="1">IFERROR(__xludf.DUMMYFUNCTION("IFERROR(GOOGLEFINANCE(B814,""change""),0)"),0)</f>
        <v>0</v>
      </c>
      <c r="N814" s="6">
        <v>1</v>
      </c>
      <c r="O814" s="7">
        <v>45536</v>
      </c>
      <c r="P814" s="6">
        <v>102.92</v>
      </c>
      <c r="Q814" s="6">
        <v>1003.44</v>
      </c>
      <c r="R814" s="7">
        <v>45536</v>
      </c>
      <c r="S814" s="6">
        <v>112.22</v>
      </c>
      <c r="T814" s="6">
        <v>3.56</v>
      </c>
      <c r="U814" s="7">
        <v>45536</v>
      </c>
      <c r="V814" s="6">
        <v>256.7</v>
      </c>
      <c r="W814" s="6">
        <f ca="1">IFERROR(__xludf.DUMMYFUNCTION("IFERROR(GOOGLEFINANCE(B814,""pe""),V814)"),256.7)</f>
        <v>256.7</v>
      </c>
      <c r="X814" s="6">
        <v>5.88</v>
      </c>
      <c r="Y814" s="6">
        <v>22.79</v>
      </c>
      <c r="Z814" s="6">
        <v>2</v>
      </c>
      <c r="AA814" s="8">
        <v>44986</v>
      </c>
      <c r="AB814" s="4">
        <v>2.94</v>
      </c>
      <c r="AC814" s="6">
        <v>10.54</v>
      </c>
      <c r="AD814" s="6">
        <v>9.11</v>
      </c>
      <c r="AE814" s="1">
        <v>0</v>
      </c>
      <c r="AF814" s="1">
        <f ca="1">IFERROR(__xludf.DUMMYFUNCTION("IFERROR(GOOGLEFINANCE(TRIM(F814)&amp;"":"" &amp; TRIM(B814),""high52""),AE814)"),0)</f>
        <v>0</v>
      </c>
      <c r="AG814" s="1">
        <v>0</v>
      </c>
      <c r="AH814" s="1">
        <f ca="1">IFERROR(__xludf.DUMMYFUNCTION("IFERROR(GOOGLEFINANCE(TRIM(F814)&amp;"":"" &amp; TRIM(B814),""low52""),AE814)"),0)</f>
        <v>0</v>
      </c>
      <c r="AI814" s="1">
        <f ca="1">IFERROR(__xludf.DUMMYFUNCTION("IFERROR(GOOGLEFINANCE(B814,""eps""),0)"),0)</f>
        <v>0</v>
      </c>
      <c r="AJ814" s="1"/>
      <c r="AK814" s="1" t="s">
        <v>2509</v>
      </c>
      <c r="AL814" s="9">
        <f t="shared" si="142"/>
        <v>1</v>
      </c>
    </row>
    <row r="815" spans="1:38" ht="15" x14ac:dyDescent="0.25">
      <c r="A815" s="1" t="s">
        <v>2510</v>
      </c>
      <c r="B815" s="1" t="s">
        <v>2511</v>
      </c>
      <c r="C815" s="1" t="s">
        <v>487</v>
      </c>
      <c r="D815" s="1" t="s">
        <v>487</v>
      </c>
      <c r="E815" s="6">
        <v>79.599999999999994</v>
      </c>
      <c r="F815" s="1" t="s">
        <v>53</v>
      </c>
      <c r="G815" s="6">
        <f ca="1">IFERROR(__xludf.DUMMYFUNCTION("iferror(GOOGLEFINANCE(TRIM(F815)&amp;"":"" &amp; TRIM(B815), ""price""),0
)"),0)</f>
        <v>0</v>
      </c>
      <c r="H815" s="6">
        <v>7.99</v>
      </c>
      <c r="I815" s="6">
        <f t="shared" ca="1" si="0"/>
        <v>7.99</v>
      </c>
      <c r="J815" s="6">
        <f ca="1">IFERROR(__xludf.DUMMYFUNCTION("IFERROR(GOOGLEFINANCE(B815, ""volume""), 0)"),0)</f>
        <v>0</v>
      </c>
      <c r="K815" s="6">
        <v>0.38</v>
      </c>
      <c r="L815" s="6">
        <f ca="1">IFERROR(__xludf.DUMMYFUNCTION("IFERROR(GOOGLEFINANCE(B815,""changepct""),K815)"),0.38)</f>
        <v>0.38</v>
      </c>
      <c r="M815" s="6">
        <f ca="1">IFERROR(__xludf.DUMMYFUNCTION("IFERROR(GOOGLEFINANCE(B815,""change""),0)"),0)</f>
        <v>0</v>
      </c>
      <c r="N815" s="6">
        <v>1</v>
      </c>
      <c r="O815" s="7">
        <v>45536</v>
      </c>
      <c r="P815" s="6">
        <v>4.8499999999999996</v>
      </c>
      <c r="Q815" s="6">
        <v>84.45</v>
      </c>
      <c r="R815" s="7">
        <v>45536</v>
      </c>
      <c r="S815" s="6">
        <v>0</v>
      </c>
      <c r="T815" s="6">
        <v>0.18</v>
      </c>
      <c r="U815" s="7">
        <v>45536</v>
      </c>
      <c r="V815" s="6">
        <v>447.19</v>
      </c>
      <c r="W815" s="6">
        <f ca="1">IFERROR(__xludf.DUMMYFUNCTION("IFERROR(GOOGLEFINANCE(B815,""pe""),V815)"),447.19)</f>
        <v>447.19</v>
      </c>
      <c r="X815" s="6">
        <v>27.54</v>
      </c>
      <c r="Y815" s="6">
        <v>13.99</v>
      </c>
      <c r="Z815" s="6">
        <v>1</v>
      </c>
      <c r="AA815" s="8">
        <v>45352</v>
      </c>
      <c r="AB815" s="4">
        <v>0.84</v>
      </c>
      <c r="AC815" s="6">
        <v>3.28</v>
      </c>
      <c r="AD815" s="6">
        <v>1.84</v>
      </c>
      <c r="AE815" s="1">
        <v>0</v>
      </c>
      <c r="AF815" s="1">
        <f ca="1">IFERROR(__xludf.DUMMYFUNCTION("IFERROR(GOOGLEFINANCE(TRIM(F815)&amp;"":"" &amp; TRIM(B815),""high52""),AE815)"),0)</f>
        <v>0</v>
      </c>
      <c r="AG815" s="1">
        <v>0</v>
      </c>
      <c r="AH815" s="1">
        <f ca="1">IFERROR(__xludf.DUMMYFUNCTION("IFERROR(GOOGLEFINANCE(TRIM(F815)&amp;"":"" &amp; TRIM(B815),""low52""),AE815)"),0)</f>
        <v>0</v>
      </c>
      <c r="AI815" s="1">
        <f ca="1">IFERROR(__xludf.DUMMYFUNCTION("IFERROR(GOOGLEFINANCE(B815,""eps""),0)"),0)</f>
        <v>0</v>
      </c>
      <c r="AJ815" s="1"/>
      <c r="AK815" s="1" t="s">
        <v>2512</v>
      </c>
      <c r="AL815" s="9">
        <f t="shared" si="142"/>
        <v>1</v>
      </c>
    </row>
    <row r="816" spans="1:38" ht="15" x14ac:dyDescent="0.25">
      <c r="A816" s="1" t="s">
        <v>2513</v>
      </c>
      <c r="B816" s="1" t="s">
        <v>2514</v>
      </c>
      <c r="C816" s="1" t="s">
        <v>487</v>
      </c>
      <c r="D816" s="1" t="s">
        <v>487</v>
      </c>
      <c r="E816" s="6">
        <v>49.97</v>
      </c>
      <c r="F816" s="1" t="s">
        <v>53</v>
      </c>
      <c r="G816" s="6">
        <f ca="1">IFERROR(__xludf.DUMMYFUNCTION("iferror(GOOGLEFINANCE(TRIM(F816)&amp;"":"" &amp; TRIM(B816), ""price""),0
)"),0)</f>
        <v>0</v>
      </c>
      <c r="H816" s="6">
        <v>147.05000000000001</v>
      </c>
      <c r="I816" s="6">
        <f t="shared" ca="1" si="0"/>
        <v>147.05000000000001</v>
      </c>
      <c r="J816" s="6">
        <f ca="1">IFERROR(__xludf.DUMMYFUNCTION("IFERROR(GOOGLEFINANCE(B816, ""volume""), 0)"),0)</f>
        <v>0</v>
      </c>
      <c r="K816" s="6">
        <v>-4.42</v>
      </c>
      <c r="L816" s="6">
        <f ca="1">IFERROR(__xludf.DUMMYFUNCTION("IFERROR(GOOGLEFINANCE(B816,""changepct""),K816)"),-4.42)</f>
        <v>-4.42</v>
      </c>
      <c r="M816" s="6">
        <f ca="1">IFERROR(__xludf.DUMMYFUNCTION("IFERROR(GOOGLEFINANCE(B816,""change""),0)"),0)</f>
        <v>0</v>
      </c>
      <c r="N816" s="6">
        <v>2</v>
      </c>
      <c r="O816" s="7">
        <v>45536</v>
      </c>
      <c r="P816" s="6">
        <v>98.43</v>
      </c>
      <c r="Q816" s="6">
        <v>146.09</v>
      </c>
      <c r="R816" s="7">
        <v>45536</v>
      </c>
      <c r="S816" s="6">
        <v>55.75</v>
      </c>
      <c r="T816" s="6">
        <v>1.1200000000000001</v>
      </c>
      <c r="U816" s="7">
        <v>45536</v>
      </c>
      <c r="V816" s="6">
        <v>44.62</v>
      </c>
      <c r="W816" s="6">
        <f ca="1">IFERROR(__xludf.DUMMYFUNCTION("IFERROR(GOOGLEFINANCE(B816,""pe""),V816)"),44.62)</f>
        <v>44.62</v>
      </c>
      <c r="X816" s="6">
        <v>-4.7300000000000004</v>
      </c>
      <c r="Y816" s="6">
        <v>4.1399999999999997</v>
      </c>
      <c r="Z816" s="6">
        <v>2</v>
      </c>
      <c r="AA816" s="8">
        <v>45352</v>
      </c>
      <c r="AB816" s="4">
        <v>6.94</v>
      </c>
      <c r="AC816" s="6">
        <v>9.68</v>
      </c>
      <c r="AD816" s="6">
        <v>5.2</v>
      </c>
      <c r="AE816" s="1">
        <v>0</v>
      </c>
      <c r="AF816" s="1">
        <f ca="1">IFERROR(__xludf.DUMMYFUNCTION("IFERROR(GOOGLEFINANCE(TRIM(F816)&amp;"":"" &amp; TRIM(B816),""high52""),AE816)"),0)</f>
        <v>0</v>
      </c>
      <c r="AG816" s="1">
        <v>0</v>
      </c>
      <c r="AH816" s="1">
        <f ca="1">IFERROR(__xludf.DUMMYFUNCTION("IFERROR(GOOGLEFINANCE(TRIM(F816)&amp;"":"" &amp; TRIM(B816),""low52""),AE816)"),0)</f>
        <v>0</v>
      </c>
      <c r="AI816" s="1">
        <f ca="1">IFERROR(__xludf.DUMMYFUNCTION("IFERROR(GOOGLEFINANCE(B816,""eps""),0)"),0)</f>
        <v>0</v>
      </c>
      <c r="AJ816" s="1"/>
      <c r="AK816" s="1" t="s">
        <v>2515</v>
      </c>
      <c r="AL816" s="9">
        <f t="shared" si="142"/>
        <v>1</v>
      </c>
    </row>
    <row r="817" spans="1:38" ht="15" x14ac:dyDescent="0.25">
      <c r="A817" s="1" t="s">
        <v>2516</v>
      </c>
      <c r="B817" s="1" t="s">
        <v>2517</v>
      </c>
      <c r="C817" s="1" t="s">
        <v>487</v>
      </c>
      <c r="D817" s="1" t="s">
        <v>487</v>
      </c>
      <c r="E817" s="6">
        <v>27.06</v>
      </c>
      <c r="F817" s="1" t="s">
        <v>53</v>
      </c>
      <c r="G817" s="6">
        <f ca="1">IFERROR(__xludf.DUMMYFUNCTION("iferror(GOOGLEFINANCE(TRIM(F817)&amp;"":"" &amp; TRIM(B817), ""price""),0
)"),0)</f>
        <v>0</v>
      </c>
      <c r="H817" s="6">
        <v>23.67</v>
      </c>
      <c r="I817" s="6">
        <f t="shared" ca="1" si="0"/>
        <v>23.67</v>
      </c>
      <c r="J817" s="6">
        <f ca="1">IFERROR(__xludf.DUMMYFUNCTION("IFERROR(GOOGLEFINANCE(B817, ""volume""), 0)"),0)</f>
        <v>0</v>
      </c>
      <c r="K817" s="6">
        <v>4.97</v>
      </c>
      <c r="L817" s="6">
        <f ca="1">IFERROR(__xludf.DUMMYFUNCTION("IFERROR(GOOGLEFINANCE(B817,""changepct""),K817)"),4.97)</f>
        <v>4.97</v>
      </c>
      <c r="M817" s="6">
        <f ca="1">IFERROR(__xludf.DUMMYFUNCTION("IFERROR(GOOGLEFINANCE(B817,""change""),0)"),0)</f>
        <v>0</v>
      </c>
      <c r="N817" s="6">
        <v>2</v>
      </c>
      <c r="O817" s="7">
        <v>45536</v>
      </c>
      <c r="P817" s="6">
        <v>2.25</v>
      </c>
      <c r="Q817" s="6">
        <v>29.31</v>
      </c>
      <c r="R817" s="7">
        <v>45536</v>
      </c>
      <c r="S817" s="6">
        <v>3.86</v>
      </c>
      <c r="T817" s="6">
        <v>2.02</v>
      </c>
      <c r="U817" s="7">
        <v>45536</v>
      </c>
      <c r="V817" s="6">
        <v>11.43</v>
      </c>
      <c r="W817" s="6">
        <f ca="1">IFERROR(__xludf.DUMMYFUNCTION("IFERROR(GOOGLEFINANCE(B817,""pe""),V817)"),11.43)</f>
        <v>11.43</v>
      </c>
      <c r="X817" s="6">
        <v>0.3</v>
      </c>
      <c r="Y817" s="6">
        <v>0.63</v>
      </c>
      <c r="Z817" s="6">
        <v>2</v>
      </c>
      <c r="AA817" s="8">
        <v>45352</v>
      </c>
      <c r="AB817" s="4">
        <v>0.05</v>
      </c>
      <c r="AC817" s="6">
        <v>4.34</v>
      </c>
      <c r="AD817" s="6">
        <v>6.7</v>
      </c>
      <c r="AE817" s="1">
        <v>0</v>
      </c>
      <c r="AF817" s="1">
        <f ca="1">IFERROR(__xludf.DUMMYFUNCTION("IFERROR(GOOGLEFINANCE(TRIM(F817)&amp;"":"" &amp; TRIM(B817),""high52""),AE817)"),0)</f>
        <v>0</v>
      </c>
      <c r="AG817" s="1">
        <v>0</v>
      </c>
      <c r="AH817" s="1">
        <f ca="1">IFERROR(__xludf.DUMMYFUNCTION("IFERROR(GOOGLEFINANCE(TRIM(F817)&amp;"":"" &amp; TRIM(B817),""low52""),AE817)"),0)</f>
        <v>0</v>
      </c>
      <c r="AI817" s="1">
        <f ca="1">IFERROR(__xludf.DUMMYFUNCTION("IFERROR(GOOGLEFINANCE(B817,""eps""),0)"),0)</f>
        <v>0</v>
      </c>
      <c r="AJ817" s="1"/>
      <c r="AK817" s="1" t="s">
        <v>2518</v>
      </c>
      <c r="AL817" s="9">
        <f t="shared" si="142"/>
        <v>1</v>
      </c>
    </row>
    <row r="818" spans="1:38" ht="15" x14ac:dyDescent="0.25">
      <c r="A818" s="1" t="s">
        <v>2519</v>
      </c>
      <c r="B818" s="1" t="s">
        <v>2520</v>
      </c>
      <c r="C818" s="1" t="s">
        <v>487</v>
      </c>
      <c r="D818" s="1" t="s">
        <v>487</v>
      </c>
      <c r="E818" s="6">
        <v>30.49</v>
      </c>
      <c r="F818" s="1" t="s">
        <v>53</v>
      </c>
      <c r="G818" s="6">
        <f ca="1">IFERROR(__xludf.DUMMYFUNCTION("iferror(GOOGLEFINANCE(TRIM(F818)&amp;"":"" &amp; TRIM(B818), ""price""),0
)"),0)</f>
        <v>0</v>
      </c>
      <c r="H818" s="6">
        <v>9.77</v>
      </c>
      <c r="I818" s="6">
        <f t="shared" ca="1" si="0"/>
        <v>9.77</v>
      </c>
      <c r="J818" s="6">
        <f ca="1">IFERROR(__xludf.DUMMYFUNCTION("IFERROR(GOOGLEFINANCE(B818, ""volume""), 0)"),0)</f>
        <v>0</v>
      </c>
      <c r="K818" s="6">
        <v>1.98</v>
      </c>
      <c r="L818" s="6">
        <f ca="1">IFERROR(__xludf.DUMMYFUNCTION("IFERROR(GOOGLEFINANCE(B818,""changepct""),K818)"),1.98)</f>
        <v>1.98</v>
      </c>
      <c r="M818" s="6">
        <f ca="1">IFERROR(__xludf.DUMMYFUNCTION("IFERROR(GOOGLEFINANCE(B818,""change""),0)"),0)</f>
        <v>0</v>
      </c>
      <c r="N818" s="6">
        <v>2</v>
      </c>
      <c r="O818" s="7">
        <v>45536</v>
      </c>
      <c r="P818" s="9"/>
      <c r="Q818" s="6">
        <v>30.49</v>
      </c>
      <c r="R818" s="7">
        <v>45536</v>
      </c>
      <c r="S818" s="6">
        <v>0.17</v>
      </c>
      <c r="T818" s="6">
        <v>0.38</v>
      </c>
      <c r="U818" s="7">
        <v>45536</v>
      </c>
      <c r="V818" s="6">
        <v>81.540000000000006</v>
      </c>
      <c r="W818" s="6">
        <f ca="1">IFERROR(__xludf.DUMMYFUNCTION("IFERROR(GOOGLEFINANCE(B818,""pe""),V818)"),81.54)</f>
        <v>81.540000000000006</v>
      </c>
      <c r="X818" s="12"/>
      <c r="Y818" s="6">
        <v>2.2799999999999998</v>
      </c>
      <c r="Z818" s="6">
        <v>2</v>
      </c>
      <c r="AA818" s="8">
        <v>45352</v>
      </c>
      <c r="AB818" s="4">
        <v>0.25</v>
      </c>
      <c r="AC818" s="6">
        <v>-1.17</v>
      </c>
      <c r="AD818" s="6">
        <v>-0.99</v>
      </c>
      <c r="AE818" s="1">
        <v>0</v>
      </c>
      <c r="AF818" s="1">
        <f ca="1">IFERROR(__xludf.DUMMYFUNCTION("IFERROR(GOOGLEFINANCE(TRIM(F818)&amp;"":"" &amp; TRIM(B818),""high52""),AE818)"),0)</f>
        <v>0</v>
      </c>
      <c r="AG818" s="1">
        <v>0</v>
      </c>
      <c r="AH818" s="1">
        <f ca="1">IFERROR(__xludf.DUMMYFUNCTION("IFERROR(GOOGLEFINANCE(TRIM(F818)&amp;"":"" &amp; TRIM(B818),""low52""),AE818)"),0)</f>
        <v>0</v>
      </c>
      <c r="AI818" s="1">
        <f ca="1">IFERROR(__xludf.DUMMYFUNCTION("IFERROR(GOOGLEFINANCE(B818,""eps""),0)"),0)</f>
        <v>0</v>
      </c>
      <c r="AJ818" s="1"/>
      <c r="AK818" s="1" t="s">
        <v>2521</v>
      </c>
      <c r="AL818" s="9">
        <f t="shared" si="142"/>
        <v>1</v>
      </c>
    </row>
    <row r="819" spans="1:38" ht="15" x14ac:dyDescent="0.25">
      <c r="A819" s="1" t="s">
        <v>2522</v>
      </c>
      <c r="B819" s="1" t="s">
        <v>2523</v>
      </c>
      <c r="C819" s="1" t="s">
        <v>487</v>
      </c>
      <c r="D819" s="1" t="s">
        <v>487</v>
      </c>
      <c r="E819" s="6">
        <v>297.13</v>
      </c>
      <c r="F819" s="1" t="s">
        <v>53</v>
      </c>
      <c r="G819" s="6">
        <f ca="1">IFERROR(__xludf.DUMMYFUNCTION("iferror(GOOGLEFINANCE(TRIM(F819)&amp;"":"" &amp; TRIM(B819), ""price""),0
)"),0)</f>
        <v>0</v>
      </c>
      <c r="H819" s="6">
        <v>190</v>
      </c>
      <c r="I819" s="6">
        <f t="shared" ca="1" si="0"/>
        <v>190</v>
      </c>
      <c r="J819" s="6">
        <f ca="1">IFERROR(__xludf.DUMMYFUNCTION("IFERROR(GOOGLEFINANCE(B819, ""volume""), 0)"),2128)</f>
        <v>2128</v>
      </c>
      <c r="K819" s="6">
        <v>-2.74</v>
      </c>
      <c r="L819" s="6">
        <f ca="1">IFERROR(__xludf.DUMMYFUNCTION("IFERROR(GOOGLEFINANCE(B819,""changepct""),K819)"),-1.09)</f>
        <v>-1.0900000000000001</v>
      </c>
      <c r="M819" s="6">
        <f ca="1">IFERROR(__xludf.DUMMYFUNCTION("IFERROR(GOOGLEFINANCE(B819,""change""),0)"),-0.15)</f>
        <v>-0.15</v>
      </c>
      <c r="N819" s="6">
        <v>1</v>
      </c>
      <c r="O819" s="7">
        <v>45536</v>
      </c>
      <c r="P819" s="6">
        <v>87.29</v>
      </c>
      <c r="Q819" s="6">
        <v>384.42</v>
      </c>
      <c r="R819" s="7">
        <v>45536</v>
      </c>
      <c r="S819" s="6">
        <v>48.14</v>
      </c>
      <c r="T819" s="6">
        <v>0.44</v>
      </c>
      <c r="U819" s="7">
        <v>45536</v>
      </c>
      <c r="V819" s="6">
        <v>670.72</v>
      </c>
      <c r="W819" s="6">
        <f ca="1">IFERROR(__xludf.DUMMYFUNCTION("IFERROR(GOOGLEFINANCE(B819,""pe""),V819)"),35.69)</f>
        <v>35.69</v>
      </c>
      <c r="X819" s="6">
        <v>-191.63</v>
      </c>
      <c r="Y819" s="6">
        <v>1.02</v>
      </c>
      <c r="Z819" s="6">
        <v>1</v>
      </c>
      <c r="AA819" s="8">
        <v>45352</v>
      </c>
      <c r="AB819" s="4">
        <v>0.28000000000000003</v>
      </c>
      <c r="AC819" s="6">
        <v>0.33</v>
      </c>
      <c r="AD819" s="6">
        <v>1.91</v>
      </c>
      <c r="AE819" s="1">
        <v>0</v>
      </c>
      <c r="AF819" s="1">
        <f ca="1">IFERROR(__xludf.DUMMYFUNCTION("IFERROR(GOOGLEFINANCE(TRIM(F819)&amp;"":"" &amp; TRIM(B819),""high52""),AE819)"),0)</f>
        <v>0</v>
      </c>
      <c r="AG819" s="1">
        <v>0</v>
      </c>
      <c r="AH819" s="1">
        <f ca="1">IFERROR(__xludf.DUMMYFUNCTION("IFERROR(GOOGLEFINANCE(TRIM(F819)&amp;"":"" &amp; TRIM(B819),""low52""),AE819)"),0)</f>
        <v>0</v>
      </c>
      <c r="AI819" s="1">
        <f ca="1">IFERROR(__xludf.DUMMYFUNCTION("IFERROR(GOOGLEFINANCE(B819,""eps""),0)"),0.38)</f>
        <v>0.38</v>
      </c>
      <c r="AJ819" s="1"/>
      <c r="AK819" s="1" t="s">
        <v>2524</v>
      </c>
      <c r="AL819" s="9">
        <f t="shared" si="142"/>
        <v>1</v>
      </c>
    </row>
    <row r="820" spans="1:38" ht="15" x14ac:dyDescent="0.25">
      <c r="A820" s="1" t="s">
        <v>2525</v>
      </c>
      <c r="B820" s="1" t="s">
        <v>2526</v>
      </c>
      <c r="C820" s="1" t="s">
        <v>487</v>
      </c>
      <c r="D820" s="1" t="s">
        <v>487</v>
      </c>
      <c r="E820" s="6">
        <v>148.84</v>
      </c>
      <c r="F820" s="1" t="s">
        <v>53</v>
      </c>
      <c r="G820" s="6">
        <f ca="1">IFERROR(__xludf.DUMMYFUNCTION("iferror(GOOGLEFINANCE(TRIM(F820)&amp;"":"" &amp; TRIM(B820), ""price""),0
)"),0)</f>
        <v>0</v>
      </c>
      <c r="H820" s="6">
        <v>72.680000000000007</v>
      </c>
      <c r="I820" s="6">
        <f t="shared" ca="1" si="0"/>
        <v>72.680000000000007</v>
      </c>
      <c r="J820" s="6">
        <f ca="1">IFERROR(__xludf.DUMMYFUNCTION("IFERROR(GOOGLEFINANCE(B820, ""volume""), 0)"),0)</f>
        <v>0</v>
      </c>
      <c r="K820" s="6">
        <v>4.9800000000000004</v>
      </c>
      <c r="L820" s="6">
        <f ca="1">IFERROR(__xludf.DUMMYFUNCTION("IFERROR(GOOGLEFINANCE(B820,""changepct""),K820)"),4.98)</f>
        <v>4.9800000000000004</v>
      </c>
      <c r="M820" s="6">
        <f ca="1">IFERROR(__xludf.DUMMYFUNCTION("IFERROR(GOOGLEFINANCE(B820,""change""),0)"),0)</f>
        <v>0</v>
      </c>
      <c r="N820" s="6">
        <v>1</v>
      </c>
      <c r="O820" s="7">
        <v>45536</v>
      </c>
      <c r="P820" s="6">
        <v>37.86</v>
      </c>
      <c r="Q820" s="6">
        <v>186.71</v>
      </c>
      <c r="R820" s="7">
        <v>45536</v>
      </c>
      <c r="S820" s="6">
        <v>0</v>
      </c>
      <c r="T820" s="6">
        <v>-0.15</v>
      </c>
      <c r="U820" s="7">
        <v>45536</v>
      </c>
      <c r="V820" s="6">
        <v>0</v>
      </c>
      <c r="W820" s="6">
        <f ca="1">IFERROR(__xludf.DUMMYFUNCTION("IFERROR(GOOGLEFINANCE(B820,""pe""),V820)"),0)</f>
        <v>0</v>
      </c>
      <c r="X820" s="9"/>
      <c r="Y820" s="6">
        <v>2.89</v>
      </c>
      <c r="Z820" s="6">
        <v>1</v>
      </c>
      <c r="AA820" s="8">
        <v>45352</v>
      </c>
      <c r="AB820" s="4">
        <v>0.5</v>
      </c>
      <c r="AC820" s="6">
        <v>-0.79</v>
      </c>
      <c r="AD820" s="6">
        <v>1.5</v>
      </c>
      <c r="AE820" s="1">
        <v>0</v>
      </c>
      <c r="AF820" s="1">
        <f ca="1">IFERROR(__xludf.DUMMYFUNCTION("IFERROR(GOOGLEFINANCE(TRIM(F820)&amp;"":"" &amp; TRIM(B820),""high52""),AE820)"),0)</f>
        <v>0</v>
      </c>
      <c r="AG820" s="1">
        <v>0</v>
      </c>
      <c r="AH820" s="1">
        <f ca="1">IFERROR(__xludf.DUMMYFUNCTION("IFERROR(GOOGLEFINANCE(TRIM(F820)&amp;"":"" &amp; TRIM(B820),""low52""),AE820)"),0)</f>
        <v>0</v>
      </c>
      <c r="AI820" s="1">
        <f ca="1">IFERROR(__xludf.DUMMYFUNCTION("IFERROR(GOOGLEFINANCE(B820,""eps""),0)"),0)</f>
        <v>0</v>
      </c>
      <c r="AJ820" s="1"/>
      <c r="AK820" s="1" t="s">
        <v>2527</v>
      </c>
      <c r="AL820" s="9">
        <f t="shared" si="142"/>
        <v>1</v>
      </c>
    </row>
    <row r="821" spans="1:38" ht="15" x14ac:dyDescent="0.25">
      <c r="A821" s="1" t="s">
        <v>2528</v>
      </c>
      <c r="B821" s="1" t="s">
        <v>2529</v>
      </c>
      <c r="C821" s="1" t="s">
        <v>487</v>
      </c>
      <c r="D821" s="1" t="s">
        <v>487</v>
      </c>
      <c r="E821" s="6">
        <v>13.27</v>
      </c>
      <c r="F821" s="1" t="s">
        <v>53</v>
      </c>
      <c r="G821" s="6">
        <f ca="1">IFERROR(__xludf.DUMMYFUNCTION("iferror(GOOGLEFINANCE(TRIM(F821)&amp;"":"" &amp; TRIM(B821), ""price""),0
)"),0)</f>
        <v>0</v>
      </c>
      <c r="H821" s="6">
        <v>43.99</v>
      </c>
      <c r="I821" s="6">
        <f t="shared" ca="1" si="0"/>
        <v>43.99</v>
      </c>
      <c r="J821" s="6">
        <f ca="1">IFERROR(__xludf.DUMMYFUNCTION("IFERROR(GOOGLEFINANCE(B821, ""volume""), 0)"),6170)</f>
        <v>6170</v>
      </c>
      <c r="K821" s="6">
        <v>4.3899999999999997</v>
      </c>
      <c r="L821" s="6">
        <f ca="1">IFERROR(__xludf.DUMMYFUNCTION("IFERROR(GOOGLEFINANCE(B821,""changepct""),K821)"),0.12)</f>
        <v>0.12</v>
      </c>
      <c r="M821" s="6">
        <f ca="1">IFERROR(__xludf.DUMMYFUNCTION("IFERROR(GOOGLEFINANCE(B821,""change""),0)"),0.02)</f>
        <v>0.02</v>
      </c>
      <c r="N821" s="6">
        <v>1</v>
      </c>
      <c r="O821" s="7">
        <v>45536</v>
      </c>
      <c r="P821" s="6">
        <v>14.17</v>
      </c>
      <c r="Q821" s="6">
        <v>27.44</v>
      </c>
      <c r="R821" s="7">
        <v>45536</v>
      </c>
      <c r="S821" s="6">
        <v>3.81</v>
      </c>
      <c r="T821" s="6">
        <v>-0.77</v>
      </c>
      <c r="U821" s="7">
        <v>45536</v>
      </c>
      <c r="V821" s="6">
        <v>0</v>
      </c>
      <c r="W821" s="6">
        <f ca="1">IFERROR(__xludf.DUMMYFUNCTION("IFERROR(GOOGLEFINANCE(B821,""pe""),V821)"),0)</f>
        <v>0</v>
      </c>
      <c r="X821" s="6">
        <v>0</v>
      </c>
      <c r="Y821" s="6">
        <v>-1.04</v>
      </c>
      <c r="Z821" s="6">
        <v>1</v>
      </c>
      <c r="AA821" s="8">
        <v>45352</v>
      </c>
      <c r="AB821" s="4">
        <v>-1.65</v>
      </c>
      <c r="AC821" s="6">
        <v>0</v>
      </c>
      <c r="AD821" s="6">
        <v>65.430000000000007</v>
      </c>
      <c r="AE821" s="1">
        <v>0</v>
      </c>
      <c r="AF821" s="1">
        <f ca="1">IFERROR(__xludf.DUMMYFUNCTION("IFERROR(GOOGLEFINANCE(TRIM(F821)&amp;"":"" &amp; TRIM(B821),""high52""),AE821)"),0)</f>
        <v>0</v>
      </c>
      <c r="AG821" s="1">
        <v>0</v>
      </c>
      <c r="AH821" s="1">
        <f ca="1">IFERROR(__xludf.DUMMYFUNCTION("IFERROR(GOOGLEFINANCE(TRIM(F821)&amp;"":"" &amp; TRIM(B821),""low52""),AE821)"),0)</f>
        <v>0</v>
      </c>
      <c r="AI821" s="1">
        <f ca="1">IFERROR(__xludf.DUMMYFUNCTION("IFERROR(GOOGLEFINANCE(B821,""eps""),0)"),0)</f>
        <v>0</v>
      </c>
      <c r="AJ821" s="1"/>
      <c r="AK821" s="9"/>
      <c r="AL821" s="9">
        <f t="shared" si="142"/>
        <v>1</v>
      </c>
    </row>
    <row r="822" spans="1:38" ht="15" x14ac:dyDescent="0.25">
      <c r="A822" s="1" t="s">
        <v>2530</v>
      </c>
      <c r="B822" s="1" t="s">
        <v>2531</v>
      </c>
      <c r="C822" s="1" t="s">
        <v>487</v>
      </c>
      <c r="D822" s="1" t="s">
        <v>487</v>
      </c>
      <c r="E822" s="6">
        <v>209.2</v>
      </c>
      <c r="F822" s="1" t="s">
        <v>53</v>
      </c>
      <c r="G822" s="6">
        <f ca="1">IFERROR(__xludf.DUMMYFUNCTION("iferror(GOOGLEFINANCE(TRIM(F822)&amp;"":"" &amp; TRIM(B822), ""price""),0
)"),0)</f>
        <v>0</v>
      </c>
      <c r="H822" s="6">
        <v>13.33</v>
      </c>
      <c r="I822" s="6">
        <f t="shared" ca="1" si="0"/>
        <v>13.33</v>
      </c>
      <c r="J822" s="6">
        <f ca="1">IFERROR(__xludf.DUMMYFUNCTION("IFERROR(GOOGLEFINANCE(B822, ""volume""), 0)"),0)</f>
        <v>0</v>
      </c>
      <c r="K822" s="6">
        <v>0.68</v>
      </c>
      <c r="L822" s="6">
        <f ca="1">IFERROR(__xludf.DUMMYFUNCTION("IFERROR(GOOGLEFINANCE(B822,""changepct""),K822)"),0.68)</f>
        <v>0.68</v>
      </c>
      <c r="M822" s="6">
        <f ca="1">IFERROR(__xludf.DUMMYFUNCTION("IFERROR(GOOGLEFINANCE(B822,""change""),0)"),0)</f>
        <v>0</v>
      </c>
      <c r="N822" s="6">
        <v>1</v>
      </c>
      <c r="O822" s="7">
        <v>45536</v>
      </c>
      <c r="P822" s="6">
        <v>10.65</v>
      </c>
      <c r="Q822" s="6">
        <v>219.61</v>
      </c>
      <c r="R822" s="7">
        <v>45536</v>
      </c>
      <c r="S822" s="6">
        <v>108.4</v>
      </c>
      <c r="T822" s="6">
        <v>2.5299999999999998</v>
      </c>
      <c r="U822" s="7">
        <v>45536</v>
      </c>
      <c r="V822" s="6">
        <v>82.62</v>
      </c>
      <c r="W822" s="6">
        <f ca="1">IFERROR(__xludf.DUMMYFUNCTION("IFERROR(GOOGLEFINANCE(B822,""pe""),V822)"),82.62)</f>
        <v>82.62</v>
      </c>
      <c r="X822" s="6">
        <v>1.79</v>
      </c>
      <c r="Y822" s="6">
        <v>6.02</v>
      </c>
      <c r="Z822" s="6">
        <v>1</v>
      </c>
      <c r="AA822" s="8">
        <v>45352</v>
      </c>
      <c r="AB822" s="4">
        <v>0.25</v>
      </c>
      <c r="AC822" s="6">
        <v>13.25</v>
      </c>
      <c r="AD822" s="6">
        <v>16.98</v>
      </c>
      <c r="AE822" s="1">
        <v>0</v>
      </c>
      <c r="AF822" s="1">
        <f ca="1">IFERROR(__xludf.DUMMYFUNCTION("IFERROR(GOOGLEFINANCE(TRIM(F822)&amp;"":"" &amp; TRIM(B822),""high52""),AE822)"),0)</f>
        <v>0</v>
      </c>
      <c r="AG822" s="1">
        <v>0</v>
      </c>
      <c r="AH822" s="1">
        <f ca="1">IFERROR(__xludf.DUMMYFUNCTION("IFERROR(GOOGLEFINANCE(TRIM(F822)&amp;"":"" &amp; TRIM(B822),""low52""),AE822)"),0)</f>
        <v>0</v>
      </c>
      <c r="AI822" s="1">
        <f ca="1">IFERROR(__xludf.DUMMYFUNCTION("IFERROR(GOOGLEFINANCE(B822,""eps""),0)"),0)</f>
        <v>0</v>
      </c>
      <c r="AJ822" s="1"/>
      <c r="AK822" s="1" t="s">
        <v>2532</v>
      </c>
      <c r="AL822" s="9">
        <f t="shared" si="142"/>
        <v>1</v>
      </c>
    </row>
    <row r="823" spans="1:38" ht="15" x14ac:dyDescent="0.25">
      <c r="A823" s="1" t="s">
        <v>2533</v>
      </c>
      <c r="B823" s="1" t="s">
        <v>2534</v>
      </c>
      <c r="C823" s="1" t="s">
        <v>487</v>
      </c>
      <c r="D823" s="1" t="s">
        <v>487</v>
      </c>
      <c r="E823" s="6">
        <v>61.98</v>
      </c>
      <c r="F823" s="1" t="s">
        <v>53</v>
      </c>
      <c r="G823" s="6">
        <f ca="1">IFERROR(__xludf.DUMMYFUNCTION("iferror(GOOGLEFINANCE(TRIM(F823)&amp;"":"" &amp; TRIM(B823), ""price""),0
)"),0)</f>
        <v>0</v>
      </c>
      <c r="H823" s="6">
        <v>4.3499999999999996</v>
      </c>
      <c r="I823" s="6">
        <f t="shared" ca="1" si="0"/>
        <v>4.3499999999999996</v>
      </c>
      <c r="J823" s="6">
        <f ca="1">IFERROR(__xludf.DUMMYFUNCTION("IFERROR(GOOGLEFINANCE(B823, ""volume""), 0)"),0)</f>
        <v>0</v>
      </c>
      <c r="K823" s="6">
        <v>2.35</v>
      </c>
      <c r="L823" s="6">
        <f ca="1">IFERROR(__xludf.DUMMYFUNCTION("IFERROR(GOOGLEFINANCE(B823,""changepct""),K823)"),2.35)</f>
        <v>2.35</v>
      </c>
      <c r="M823" s="6">
        <f ca="1">IFERROR(__xludf.DUMMYFUNCTION("IFERROR(GOOGLEFINANCE(B823,""change""),0)"),0)</f>
        <v>0</v>
      </c>
      <c r="N823" s="6">
        <v>2</v>
      </c>
      <c r="O823" s="7">
        <v>45536</v>
      </c>
      <c r="P823" s="6">
        <v>133.86000000000001</v>
      </c>
      <c r="Q823" s="6">
        <v>195.29</v>
      </c>
      <c r="R823" s="7">
        <v>45536</v>
      </c>
      <c r="S823" s="6">
        <v>20.39</v>
      </c>
      <c r="T823" s="6">
        <v>14.71</v>
      </c>
      <c r="U823" s="7">
        <v>45536</v>
      </c>
      <c r="V823" s="6">
        <v>4.21</v>
      </c>
      <c r="W823" s="6">
        <f ca="1">IFERROR(__xludf.DUMMYFUNCTION("IFERROR(GOOGLEFINANCE(B823,""pe""),V823)"),4.21)</f>
        <v>4.21</v>
      </c>
      <c r="X823" s="6">
        <v>0.26</v>
      </c>
      <c r="Y823" s="6">
        <v>-0.06</v>
      </c>
      <c r="Z823" s="6">
        <v>2</v>
      </c>
      <c r="AA823" s="8">
        <v>45352</v>
      </c>
      <c r="AB823" s="4">
        <v>-0.12</v>
      </c>
      <c r="AC823" s="6">
        <v>0</v>
      </c>
      <c r="AD823" s="6">
        <v>0</v>
      </c>
      <c r="AE823" s="1">
        <v>0</v>
      </c>
      <c r="AF823" s="1">
        <f ca="1">IFERROR(__xludf.DUMMYFUNCTION("IFERROR(GOOGLEFINANCE(TRIM(F823)&amp;"":"" &amp; TRIM(B823),""high52""),AE823)"),0)</f>
        <v>0</v>
      </c>
      <c r="AG823" s="1">
        <v>0</v>
      </c>
      <c r="AH823" s="1">
        <f ca="1">IFERROR(__xludf.DUMMYFUNCTION("IFERROR(GOOGLEFINANCE(TRIM(F823)&amp;"":"" &amp; TRIM(B823),""low52""),AE823)"),0)</f>
        <v>0</v>
      </c>
      <c r="AI823" s="1">
        <f ca="1">IFERROR(__xludf.DUMMYFUNCTION("IFERROR(GOOGLEFINANCE(B823,""eps""),0)"),0)</f>
        <v>0</v>
      </c>
      <c r="AJ823" s="1"/>
      <c r="AK823" s="9"/>
      <c r="AL823" s="9">
        <f t="shared" si="142"/>
        <v>1</v>
      </c>
    </row>
    <row r="824" spans="1:38" ht="15" x14ac:dyDescent="0.25">
      <c r="A824" s="1" t="s">
        <v>2535</v>
      </c>
      <c r="B824" s="1" t="s">
        <v>2536</v>
      </c>
      <c r="C824" s="1" t="s">
        <v>487</v>
      </c>
      <c r="D824" s="1" t="s">
        <v>487</v>
      </c>
      <c r="E824" s="6">
        <v>16.91</v>
      </c>
      <c r="F824" s="1" t="s">
        <v>53</v>
      </c>
      <c r="G824" s="6">
        <f ca="1">IFERROR(__xludf.DUMMYFUNCTION("iferror(GOOGLEFINANCE(TRIM(F824)&amp;"":"" &amp; TRIM(B824), ""price""),0
)"),0)</f>
        <v>0</v>
      </c>
      <c r="H824" s="6">
        <v>3.33</v>
      </c>
      <c r="I824" s="6">
        <f t="shared" ca="1" si="0"/>
        <v>3.33</v>
      </c>
      <c r="J824" s="6">
        <f ca="1">IFERROR(__xludf.DUMMYFUNCTION("IFERROR(GOOGLEFINANCE(B824, ""volume""), 0)"),0)</f>
        <v>0</v>
      </c>
      <c r="K824" s="6">
        <v>1.83</v>
      </c>
      <c r="L824" s="6">
        <f ca="1">IFERROR(__xludf.DUMMYFUNCTION("IFERROR(GOOGLEFINANCE(B824,""changepct""),K824)"),1.83)</f>
        <v>1.83</v>
      </c>
      <c r="M824" s="6">
        <f ca="1">IFERROR(__xludf.DUMMYFUNCTION("IFERROR(GOOGLEFINANCE(B824,""change""),0)"),0)</f>
        <v>0</v>
      </c>
      <c r="N824" s="6">
        <v>1</v>
      </c>
      <c r="O824" s="7">
        <v>45536</v>
      </c>
      <c r="P824" s="6">
        <v>10.74</v>
      </c>
      <c r="Q824" s="6">
        <v>27.55</v>
      </c>
      <c r="R824" s="7">
        <v>45536</v>
      </c>
      <c r="S824" s="6">
        <v>25.41</v>
      </c>
      <c r="T824" s="6">
        <v>-0.39</v>
      </c>
      <c r="U824" s="7">
        <v>45536</v>
      </c>
      <c r="V824" s="6">
        <v>0</v>
      </c>
      <c r="W824" s="6">
        <f ca="1">IFERROR(__xludf.DUMMYFUNCTION("IFERROR(GOOGLEFINANCE(B824,""pe""),V824)"),0)</f>
        <v>0</v>
      </c>
      <c r="X824" s="9"/>
      <c r="Y824" s="6">
        <v>1.56</v>
      </c>
      <c r="Z824" s="6">
        <v>1</v>
      </c>
      <c r="AA824" s="17">
        <v>45352</v>
      </c>
      <c r="AB824" s="18">
        <v>1.01</v>
      </c>
      <c r="AC824" s="6">
        <v>2.85</v>
      </c>
      <c r="AD824" s="6">
        <v>6.21</v>
      </c>
      <c r="AE824" s="1">
        <v>0</v>
      </c>
      <c r="AF824" s="1">
        <f ca="1">IFERROR(__xludf.DUMMYFUNCTION("IFERROR(GOOGLEFINANCE(TRIM(F824)&amp;"":"" &amp; TRIM(B824),""high52""),AE824)"),0)</f>
        <v>0</v>
      </c>
      <c r="AG824" s="1">
        <v>0</v>
      </c>
      <c r="AH824" s="1">
        <f ca="1">IFERROR(__xludf.DUMMYFUNCTION("IFERROR(GOOGLEFINANCE(TRIM(F824)&amp;"":"" &amp; TRIM(B824),""low52""),AE824)"),0)</f>
        <v>0</v>
      </c>
      <c r="AI824" s="1">
        <f ca="1">IFERROR(__xludf.DUMMYFUNCTION("IFERROR(GOOGLEFINANCE(B824,""eps""),0)"),0)</f>
        <v>0</v>
      </c>
      <c r="AJ824" s="1"/>
      <c r="AK824" s="1" t="s">
        <v>2537</v>
      </c>
      <c r="AL824" s="9">
        <f t="shared" si="142"/>
        <v>1</v>
      </c>
    </row>
    <row r="825" spans="1:38" ht="15" x14ac:dyDescent="0.25">
      <c r="A825" s="1" t="s">
        <v>2538</v>
      </c>
      <c r="B825" s="1" t="s">
        <v>2539</v>
      </c>
      <c r="C825" s="1" t="s">
        <v>487</v>
      </c>
      <c r="D825" s="1" t="s">
        <v>487</v>
      </c>
      <c r="E825" s="6">
        <v>126.99</v>
      </c>
      <c r="F825" s="1" t="s">
        <v>53</v>
      </c>
      <c r="G825" s="6">
        <f ca="1">IFERROR(__xludf.DUMMYFUNCTION("iferror(GOOGLEFINANCE(TRIM(F825)&amp;"":"" &amp; TRIM(B825), ""price""),0
)"),0)</f>
        <v>0</v>
      </c>
      <c r="H825" s="6">
        <v>519.75</v>
      </c>
      <c r="I825" s="6">
        <f t="shared" ca="1" si="0"/>
        <v>519.75</v>
      </c>
      <c r="J825" s="6">
        <f ca="1">IFERROR(__xludf.DUMMYFUNCTION("IFERROR(GOOGLEFINANCE(B825, ""volume""), 0)"),0)</f>
        <v>0</v>
      </c>
      <c r="K825" s="6">
        <v>5.31</v>
      </c>
      <c r="L825" s="6">
        <f ca="1">IFERROR(__xludf.DUMMYFUNCTION("IFERROR(GOOGLEFINANCE(B825,""changepct""),K825)"),5.31)</f>
        <v>5.31</v>
      </c>
      <c r="M825" s="6">
        <f ca="1">IFERROR(__xludf.DUMMYFUNCTION("IFERROR(GOOGLEFINANCE(B825,""change""),0)"),0)</f>
        <v>0</v>
      </c>
      <c r="N825" s="6">
        <v>2</v>
      </c>
      <c r="O825" s="7">
        <v>45536</v>
      </c>
      <c r="P825" s="6">
        <v>37.229999999999997</v>
      </c>
      <c r="Q825" s="6">
        <v>133.02000000000001</v>
      </c>
      <c r="R825" s="7">
        <v>45536</v>
      </c>
      <c r="S825" s="6">
        <v>69.02</v>
      </c>
      <c r="T825" s="6">
        <v>3.77</v>
      </c>
      <c r="U825" s="7">
        <v>45536</v>
      </c>
      <c r="V825" s="6">
        <v>34.229999999999997</v>
      </c>
      <c r="W825" s="6">
        <f ca="1">IFERROR(__xludf.DUMMYFUNCTION("IFERROR(GOOGLEFINANCE(B825,""pe""),V825)"),34.23)</f>
        <v>34.229999999999997</v>
      </c>
      <c r="X825" s="6">
        <v>-10.039999999999999</v>
      </c>
      <c r="Y825" s="6">
        <v>1.18</v>
      </c>
      <c r="Z825" s="6">
        <v>2</v>
      </c>
      <c r="AA825" s="8">
        <v>45352</v>
      </c>
      <c r="AB825" s="4">
        <v>0.28000000000000003</v>
      </c>
      <c r="AC825" s="6">
        <v>30.23</v>
      </c>
      <c r="AD825" s="6">
        <v>28.57</v>
      </c>
      <c r="AE825" s="1">
        <v>0</v>
      </c>
      <c r="AF825" s="1">
        <f ca="1">IFERROR(__xludf.DUMMYFUNCTION("IFERROR(GOOGLEFINANCE(TRIM(F825)&amp;"":"" &amp; TRIM(B825),""high52""),AE825)"),0)</f>
        <v>0</v>
      </c>
      <c r="AG825" s="1">
        <v>0</v>
      </c>
      <c r="AH825" s="1">
        <f ca="1">IFERROR(__xludf.DUMMYFUNCTION("IFERROR(GOOGLEFINANCE(TRIM(F825)&amp;"":"" &amp; TRIM(B825),""low52""),AE825)"),0)</f>
        <v>0</v>
      </c>
      <c r="AI825" s="1">
        <f ca="1">IFERROR(__xludf.DUMMYFUNCTION("IFERROR(GOOGLEFINANCE(B825,""eps""),0)"),0)</f>
        <v>0</v>
      </c>
      <c r="AJ825" s="1"/>
      <c r="AK825" s="1" t="s">
        <v>2540</v>
      </c>
      <c r="AL825" s="9">
        <f t="shared" si="142"/>
        <v>1</v>
      </c>
    </row>
    <row r="826" spans="1:38" ht="15" x14ac:dyDescent="0.25">
      <c r="A826" s="1" t="s">
        <v>2541</v>
      </c>
      <c r="B826" s="1" t="s">
        <v>2542</v>
      </c>
      <c r="C826" s="1" t="s">
        <v>1067</v>
      </c>
      <c r="D826" s="1" t="s">
        <v>1067</v>
      </c>
      <c r="E826" s="6">
        <v>3803.48</v>
      </c>
      <c r="F826" s="1" t="s">
        <v>40</v>
      </c>
      <c r="G826" s="6">
        <f ca="1">IFERROR(__xludf.DUMMYFUNCTION("iferror(GOOGLEFINANCE(TRIM(F826)&amp;"":"" &amp; TRIM(B826), ""price""),0
)"),189)</f>
        <v>189</v>
      </c>
      <c r="H826" s="6">
        <v>122.22</v>
      </c>
      <c r="I826" s="6">
        <f t="shared" ca="1" si="0"/>
        <v>189</v>
      </c>
      <c r="J826" s="6">
        <f ca="1">IFERROR(__xludf.DUMMYFUNCTION("IFERROR(GOOGLEFINANCE(B826, ""volume""), 0)"),3833102)</f>
        <v>3833102</v>
      </c>
      <c r="K826" s="6">
        <v>0.86</v>
      </c>
      <c r="L826" s="6">
        <f ca="1">IFERROR(__xludf.DUMMYFUNCTION("IFERROR(GOOGLEFINANCE(B826,""changepct""),K826)"),4.44)</f>
        <v>4.4400000000000004</v>
      </c>
      <c r="M826" s="6">
        <f ca="1">IFERROR(__xludf.DUMMYFUNCTION("IFERROR(GOOGLEFINANCE(B826,""change""),0)"),8.03)</f>
        <v>8.0299999999999994</v>
      </c>
      <c r="N826" s="6">
        <v>1</v>
      </c>
      <c r="O826" s="7">
        <v>45536</v>
      </c>
      <c r="P826" s="6">
        <v>5876.35</v>
      </c>
      <c r="Q826" s="6">
        <v>569.09</v>
      </c>
      <c r="R826" s="7">
        <v>45536</v>
      </c>
      <c r="S826" s="6">
        <v>6.68</v>
      </c>
      <c r="T826" s="6">
        <v>0.64</v>
      </c>
      <c r="U826" s="6">
        <v>0.75</v>
      </c>
      <c r="V826" s="6">
        <v>1</v>
      </c>
      <c r="W826" s="6">
        <f ca="1">IFERROR(__xludf.DUMMYFUNCTION("IFERROR(GOOGLEFINANCE(B826,""pe""),V826)"),8.55)</f>
        <v>8.5500000000000007</v>
      </c>
      <c r="X826" s="7">
        <v>45352</v>
      </c>
      <c r="Y826" s="6">
        <v>11.85</v>
      </c>
      <c r="Z826" s="6">
        <v>1</v>
      </c>
      <c r="AA826" s="8">
        <v>45352</v>
      </c>
      <c r="AB826" s="4">
        <v>1.1100000000000001</v>
      </c>
      <c r="AC826" s="6">
        <v>3.2</v>
      </c>
      <c r="AD826" s="6">
        <v>13.1</v>
      </c>
      <c r="AE826" s="1">
        <v>0</v>
      </c>
      <c r="AF826" s="1">
        <f ca="1">IFERROR(__xludf.DUMMYFUNCTION("IFERROR(GOOGLEFINANCE(TRIM(F826)&amp;"":"" &amp; TRIM(B826),""high52""),AE826)"),203.7)</f>
        <v>203.7</v>
      </c>
      <c r="AG826" s="1">
        <v>0</v>
      </c>
      <c r="AH826" s="1">
        <f ca="1">IFERROR(__xludf.DUMMYFUNCTION("IFERROR(GOOGLEFINANCE(TRIM(F826)&amp;"":"" &amp; TRIM(B826),""low52""),AE826)"),101.41)</f>
        <v>101.41</v>
      </c>
      <c r="AI826" s="1">
        <f ca="1">IFERROR(__xludf.DUMMYFUNCTION("IFERROR(GOOGLEFINANCE(B826,""eps""),0)"),22.11)</f>
        <v>22.11</v>
      </c>
      <c r="AJ826" s="1"/>
      <c r="AK826" s="1" t="s">
        <v>2543</v>
      </c>
      <c r="AL826" s="1" t="b">
        <f>ISNUMBER(AA826)</f>
        <v>1</v>
      </c>
    </row>
    <row r="827" spans="1:38" ht="15" x14ac:dyDescent="0.25">
      <c r="A827" s="1" t="s">
        <v>2544</v>
      </c>
      <c r="B827" s="1" t="s">
        <v>2545</v>
      </c>
      <c r="C827" s="1" t="s">
        <v>487</v>
      </c>
      <c r="D827" s="1" t="s">
        <v>487</v>
      </c>
      <c r="E827" s="6">
        <v>107.27</v>
      </c>
      <c r="F827" s="1" t="s">
        <v>53</v>
      </c>
      <c r="G827" s="6">
        <f ca="1">IFERROR(__xludf.DUMMYFUNCTION("iferror(GOOGLEFINANCE(TRIM(F827)&amp;"":"" &amp; TRIM(B827), ""price""),0
)"),0)</f>
        <v>0</v>
      </c>
      <c r="H827" s="6">
        <v>38.51</v>
      </c>
      <c r="I827" s="6">
        <f t="shared" ca="1" si="0"/>
        <v>38.51</v>
      </c>
      <c r="J827" s="6">
        <f ca="1">IFERROR(__xludf.DUMMYFUNCTION("IFERROR(GOOGLEFINANCE(B827, ""volume""), 0)"),0)</f>
        <v>0</v>
      </c>
      <c r="K827" s="6">
        <v>0.52</v>
      </c>
      <c r="L827" s="6">
        <f ca="1">IFERROR(__xludf.DUMMYFUNCTION("IFERROR(GOOGLEFINANCE(B827,""changepct""),K827)"),0.52)</f>
        <v>0.52</v>
      </c>
      <c r="M827" s="6">
        <f ca="1">IFERROR(__xludf.DUMMYFUNCTION("IFERROR(GOOGLEFINANCE(B827,""change""),0)"),0)</f>
        <v>0</v>
      </c>
      <c r="N827" s="6">
        <v>2</v>
      </c>
      <c r="O827" s="7">
        <v>45536</v>
      </c>
      <c r="P827" s="6">
        <v>50.12</v>
      </c>
      <c r="Q827" s="6">
        <v>157.38</v>
      </c>
      <c r="R827" s="7">
        <v>45536</v>
      </c>
      <c r="S827" s="6">
        <v>21.2</v>
      </c>
      <c r="T827" s="6">
        <v>2.46</v>
      </c>
      <c r="U827" s="7">
        <v>45536</v>
      </c>
      <c r="V827" s="6">
        <v>43.55</v>
      </c>
      <c r="W827" s="6">
        <f ca="1">IFERROR(__xludf.DUMMYFUNCTION("IFERROR(GOOGLEFINANCE(B827,""pe""),V827)"),43.55)</f>
        <v>43.55</v>
      </c>
      <c r="X827" s="6">
        <v>2.38</v>
      </c>
      <c r="Y827" s="6">
        <v>1.29</v>
      </c>
      <c r="Z827" s="6">
        <v>2</v>
      </c>
      <c r="AA827" s="8">
        <v>45352</v>
      </c>
      <c r="AB827" s="4">
        <v>0.64</v>
      </c>
      <c r="AC827" s="6">
        <v>5.6</v>
      </c>
      <c r="AD827" s="6">
        <v>7.24</v>
      </c>
      <c r="AE827" s="1">
        <v>0</v>
      </c>
      <c r="AF827" s="1">
        <f ca="1">IFERROR(__xludf.DUMMYFUNCTION("IFERROR(GOOGLEFINANCE(TRIM(F827)&amp;"":"" &amp; TRIM(B827),""high52""),AE827)"),0)</f>
        <v>0</v>
      </c>
      <c r="AG827" s="1">
        <v>0</v>
      </c>
      <c r="AH827" s="1">
        <f ca="1">IFERROR(__xludf.DUMMYFUNCTION("IFERROR(GOOGLEFINANCE(TRIM(F827)&amp;"":"" &amp; TRIM(B827),""low52""),AE827)"),0)</f>
        <v>0</v>
      </c>
      <c r="AI827" s="1">
        <f ca="1">IFERROR(__xludf.DUMMYFUNCTION("IFERROR(GOOGLEFINANCE(B827,""eps""),0)"),0)</f>
        <v>0</v>
      </c>
      <c r="AJ827" s="1"/>
      <c r="AK827" s="1" t="s">
        <v>2546</v>
      </c>
      <c r="AL827" s="9">
        <f>IF(AA827&lt;&gt;AB827,1,0)</f>
        <v>1</v>
      </c>
    </row>
    <row r="828" spans="1:38" ht="15" x14ac:dyDescent="0.25">
      <c r="A828" s="1" t="s">
        <v>2547</v>
      </c>
      <c r="B828" s="1" t="s">
        <v>2548</v>
      </c>
      <c r="C828" s="1" t="s">
        <v>577</v>
      </c>
      <c r="D828" s="1" t="s">
        <v>577</v>
      </c>
      <c r="E828" s="6">
        <v>211.9</v>
      </c>
      <c r="F828" s="1" t="s">
        <v>40</v>
      </c>
      <c r="G828" s="6">
        <f ca="1">IFERROR(__xludf.DUMMYFUNCTION("iferror(GOOGLEFINANCE(TRIM(F828)&amp;"":"" &amp; TRIM(B828), ""price""),0
)"),0)</f>
        <v>0</v>
      </c>
      <c r="H828" s="6">
        <v>117</v>
      </c>
      <c r="I828" s="6">
        <f t="shared" ca="1" si="0"/>
        <v>117</v>
      </c>
      <c r="J828" s="6">
        <f ca="1">IFERROR(__xludf.DUMMYFUNCTION("IFERROR(GOOGLEFINANCE(B828, ""volume""), 0)"),931)</f>
        <v>931</v>
      </c>
      <c r="K828" s="6">
        <v>0.21</v>
      </c>
      <c r="L828" s="6">
        <f ca="1">IFERROR(__xludf.DUMMYFUNCTION("IFERROR(GOOGLEFINANCE(B828,""changepct""),K828)"),0)</f>
        <v>0</v>
      </c>
      <c r="M828" s="6">
        <f ca="1">IFERROR(__xludf.DUMMYFUNCTION("IFERROR(GOOGLEFINANCE(B828,""change""),0)"),0)</f>
        <v>0</v>
      </c>
      <c r="N828" s="6">
        <v>2</v>
      </c>
      <c r="O828" s="7">
        <v>45536</v>
      </c>
      <c r="P828" s="6">
        <v>23.88</v>
      </c>
      <c r="Q828" s="6">
        <v>235.78</v>
      </c>
      <c r="R828" s="7">
        <v>45352</v>
      </c>
      <c r="S828" s="6">
        <v>101.1</v>
      </c>
      <c r="T828" s="6">
        <v>8.85</v>
      </c>
      <c r="U828" s="7">
        <v>45352</v>
      </c>
      <c r="V828" s="6">
        <v>23.94</v>
      </c>
      <c r="W828" s="6">
        <f ca="1">IFERROR(__xludf.DUMMYFUNCTION("IFERROR(GOOGLEFINANCE(B828,""pe""),V828)"),23.94)</f>
        <v>23.94</v>
      </c>
      <c r="X828" s="12"/>
      <c r="Y828" s="6">
        <v>2.74</v>
      </c>
      <c r="Z828" s="6">
        <v>2</v>
      </c>
      <c r="AA828" s="8">
        <v>45352</v>
      </c>
      <c r="AB828" s="4">
        <v>1.0900000000000001</v>
      </c>
      <c r="AC828" s="6">
        <v>45.38</v>
      </c>
      <c r="AD828" s="6">
        <v>36.090000000000003</v>
      </c>
      <c r="AE828" s="1">
        <v>0</v>
      </c>
      <c r="AF828" s="1">
        <f ca="1">IFERROR(__xludf.DUMMYFUNCTION("IFERROR(GOOGLEFINANCE(TRIM(F828)&amp;"":"" &amp; TRIM(B828),""high52""),AE828)"),0)</f>
        <v>0</v>
      </c>
      <c r="AG828" s="1">
        <v>0</v>
      </c>
      <c r="AH828" s="1">
        <f ca="1">IFERROR(__xludf.DUMMYFUNCTION("IFERROR(GOOGLEFINANCE(TRIM(F828)&amp;"":"" &amp; TRIM(B828),""low52""),AE828)"),0)</f>
        <v>0</v>
      </c>
      <c r="AI828" s="1">
        <f ca="1">IFERROR(__xludf.DUMMYFUNCTION("IFERROR(GOOGLEFINANCE(B828,""eps""),0)"),0)</f>
        <v>0</v>
      </c>
      <c r="AJ828" s="1"/>
      <c r="AK828" s="1" t="s">
        <v>2549</v>
      </c>
      <c r="AL828" s="1" t="b">
        <f>ISNUMBER(AA828)</f>
        <v>1</v>
      </c>
    </row>
    <row r="829" spans="1:38" ht="15" x14ac:dyDescent="0.25">
      <c r="A829" s="1" t="s">
        <v>2550</v>
      </c>
      <c r="B829" s="1" t="s">
        <v>2551</v>
      </c>
      <c r="C829" s="1" t="s">
        <v>487</v>
      </c>
      <c r="D829" s="1" t="s">
        <v>487</v>
      </c>
      <c r="E829" s="6">
        <v>99.79</v>
      </c>
      <c r="F829" s="1" t="s">
        <v>53</v>
      </c>
      <c r="G829" s="6">
        <f ca="1">IFERROR(__xludf.DUMMYFUNCTION("iferror(GOOGLEFINANCE(TRIM(F829)&amp;"":"" &amp; TRIM(B829), ""price""),0
)"),0)</f>
        <v>0</v>
      </c>
      <c r="H829" s="6">
        <v>44.45</v>
      </c>
      <c r="I829" s="6">
        <f t="shared" ca="1" si="0"/>
        <v>44.45</v>
      </c>
      <c r="J829" s="6">
        <f ca="1">IFERROR(__xludf.DUMMYFUNCTION("IFERROR(GOOGLEFINANCE(B829, ""volume""), 0)"),0)</f>
        <v>0</v>
      </c>
      <c r="K829" s="9"/>
      <c r="L829" s="6" t="str">
        <f ca="1">IFERROR(__xludf.DUMMYFUNCTION("IFERROR(GOOGLEFINANCE(B829,""changepct""),K829)"),"")</f>
        <v/>
      </c>
      <c r="M829" s="6">
        <f ca="1">IFERROR(__xludf.DUMMYFUNCTION("IFERROR(GOOGLEFINANCE(B829,""change""),0)"),0)</f>
        <v>0</v>
      </c>
      <c r="N829" s="6">
        <v>2</v>
      </c>
      <c r="O829" s="7">
        <v>45536</v>
      </c>
      <c r="P829" s="6">
        <v>403.46</v>
      </c>
      <c r="Q829" s="6">
        <v>499.62</v>
      </c>
      <c r="R829" s="7">
        <v>45536</v>
      </c>
      <c r="S829" s="6">
        <v>56.64</v>
      </c>
      <c r="T829" s="6">
        <v>1.19</v>
      </c>
      <c r="U829" s="7">
        <v>45536</v>
      </c>
      <c r="V829" s="6">
        <v>0</v>
      </c>
      <c r="W829" s="6">
        <f ca="1">IFERROR(__xludf.DUMMYFUNCTION("IFERROR(GOOGLEFINANCE(B829,""pe""),V829)"),0)</f>
        <v>0</v>
      </c>
      <c r="X829" s="12"/>
      <c r="Y829" s="6">
        <v>-0.82</v>
      </c>
      <c r="Z829" s="6">
        <v>2</v>
      </c>
      <c r="AA829" s="8">
        <v>45352</v>
      </c>
      <c r="AB829" s="4">
        <v>-3.65</v>
      </c>
      <c r="AC829" s="6">
        <v>0</v>
      </c>
      <c r="AD829" s="6">
        <v>-1.3</v>
      </c>
      <c r="AE829" s="1">
        <v>0</v>
      </c>
      <c r="AF829" s="1">
        <f ca="1">IFERROR(__xludf.DUMMYFUNCTION("IFERROR(GOOGLEFINANCE(TRIM(F829)&amp;"":"" &amp; TRIM(B829),""high52""),AE829)"),0)</f>
        <v>0</v>
      </c>
      <c r="AG829" s="1">
        <v>0</v>
      </c>
      <c r="AH829" s="1">
        <f ca="1">IFERROR(__xludf.DUMMYFUNCTION("IFERROR(GOOGLEFINANCE(TRIM(F829)&amp;"":"" &amp; TRIM(B829),""low52""),AE829)"),0)</f>
        <v>0</v>
      </c>
      <c r="AI829" s="1">
        <f ca="1">IFERROR(__xludf.DUMMYFUNCTION("IFERROR(GOOGLEFINANCE(B829,""eps""),0)"),0)</f>
        <v>0</v>
      </c>
      <c r="AJ829" s="1"/>
      <c r="AK829" s="1" t="s">
        <v>2552</v>
      </c>
      <c r="AL829" s="9">
        <f t="shared" ref="AL829:AL849" si="143">IF(AA829&lt;&gt;AB829,1,0)</f>
        <v>1</v>
      </c>
    </row>
    <row r="830" spans="1:38" ht="15" x14ac:dyDescent="0.25">
      <c r="A830" s="1" t="s">
        <v>2553</v>
      </c>
      <c r="B830" s="1" t="s">
        <v>2554</v>
      </c>
      <c r="C830" s="1" t="s">
        <v>208</v>
      </c>
      <c r="D830" s="1" t="s">
        <v>208</v>
      </c>
      <c r="E830" s="6">
        <v>17.3</v>
      </c>
      <c r="F830" s="1" t="s">
        <v>40</v>
      </c>
      <c r="G830" s="6">
        <f ca="1">IFERROR(__xludf.DUMMYFUNCTION("iferror(GOOGLEFINANCE(TRIM(F830)&amp;"":"" &amp; TRIM(B830), ""price""),0
)"),4.13)</f>
        <v>4.13</v>
      </c>
      <c r="H830" s="6">
        <v>7.54</v>
      </c>
      <c r="I830" s="6">
        <f t="shared" ca="1" si="0"/>
        <v>4.13</v>
      </c>
      <c r="J830" s="6">
        <f ca="1">IFERROR(__xludf.DUMMYFUNCTION("IFERROR(GOOGLEFINANCE(B830, ""volume""), 0)"),27557)</f>
        <v>27557</v>
      </c>
      <c r="K830" s="6">
        <v>-2.08</v>
      </c>
      <c r="L830" s="6">
        <f ca="1">IFERROR(__xludf.DUMMYFUNCTION("IFERROR(GOOGLEFINANCE(B830,""changepct""),K830)"),3.77)</f>
        <v>3.77</v>
      </c>
      <c r="M830" s="6">
        <f ca="1">IFERROR(__xludf.DUMMYFUNCTION("IFERROR(GOOGLEFINANCE(B830,""change""),0)"),0.15)</f>
        <v>0.15</v>
      </c>
      <c r="N830" s="6">
        <v>2</v>
      </c>
      <c r="O830" s="7">
        <v>45536</v>
      </c>
      <c r="P830" s="6">
        <v>-0.7</v>
      </c>
      <c r="Q830" s="7">
        <v>45536</v>
      </c>
      <c r="R830" s="6">
        <v>0</v>
      </c>
      <c r="S830" s="6">
        <v>0</v>
      </c>
      <c r="T830" s="6">
        <v>-0.35</v>
      </c>
      <c r="U830" s="6">
        <v>2</v>
      </c>
      <c r="V830" s="7">
        <v>45352</v>
      </c>
      <c r="W830" s="10">
        <f ca="1">IFERROR(__xludf.DUMMYFUNCTION("IFERROR(GOOGLEFINANCE(B830,""pe""),V830)"),45352)</f>
        <v>45352</v>
      </c>
      <c r="X830" s="6">
        <v>-1.43</v>
      </c>
      <c r="Y830" s="6">
        <v>0</v>
      </c>
      <c r="Z830" s="6">
        <v>-4.08</v>
      </c>
      <c r="AA830" s="3" t="s">
        <v>2555</v>
      </c>
      <c r="AB830" s="3"/>
      <c r="AC830" s="9"/>
      <c r="AD830" s="9"/>
      <c r="AE830" s="1">
        <v>0</v>
      </c>
      <c r="AF830" s="1">
        <f ca="1">IFERROR(__xludf.DUMMYFUNCTION("IFERROR(GOOGLEFINANCE(TRIM(F830)&amp;"":"" &amp; TRIM(B830),""high52""),AE830)"),9.21)</f>
        <v>9.2100000000000009</v>
      </c>
      <c r="AG830" s="1">
        <v>0</v>
      </c>
      <c r="AH830" s="1">
        <f ca="1">IFERROR(__xludf.DUMMYFUNCTION("IFERROR(GOOGLEFINANCE(TRIM(F830)&amp;"":"" &amp; TRIM(B830),""low52""),AE830)"),3.76)</f>
        <v>3.76</v>
      </c>
      <c r="AI830" s="1">
        <f ca="1">IFERROR(__xludf.DUMMYFUNCTION("IFERROR(GOOGLEFINANCE(B830,""eps""),0)"),-0.75)</f>
        <v>-0.75</v>
      </c>
      <c r="AJ830" s="1"/>
      <c r="AK830" s="1" t="s">
        <v>2556</v>
      </c>
      <c r="AL830" s="9">
        <f t="shared" si="143"/>
        <v>1</v>
      </c>
    </row>
    <row r="831" spans="1:38" ht="15" x14ac:dyDescent="0.25">
      <c r="A831" s="1" t="s">
        <v>2557</v>
      </c>
      <c r="B831" s="1" t="s">
        <v>2558</v>
      </c>
      <c r="C831" s="1" t="s">
        <v>487</v>
      </c>
      <c r="D831" s="1" t="s">
        <v>487</v>
      </c>
      <c r="E831" s="6">
        <v>5.88</v>
      </c>
      <c r="F831" s="1" t="s">
        <v>53</v>
      </c>
      <c r="G831" s="6">
        <f ca="1">IFERROR(__xludf.DUMMYFUNCTION("iferror(GOOGLEFINANCE(TRIM(F831)&amp;"":"" &amp; TRIM(B831), ""price""),0
)"),0)</f>
        <v>0</v>
      </c>
      <c r="H831" s="6">
        <v>1.42</v>
      </c>
      <c r="I831" s="6">
        <f t="shared" ca="1" si="0"/>
        <v>1.42</v>
      </c>
      <c r="J831" s="6">
        <f ca="1">IFERROR(__xludf.DUMMYFUNCTION("IFERROR(GOOGLEFINANCE(B831, ""volume""), 0)"),0)</f>
        <v>0</v>
      </c>
      <c r="K831" s="6">
        <v>7.58</v>
      </c>
      <c r="L831" s="6">
        <f ca="1">IFERROR(__xludf.DUMMYFUNCTION("IFERROR(GOOGLEFINANCE(B831,""changepct""),K831)"),7.58)</f>
        <v>7.58</v>
      </c>
      <c r="M831" s="6">
        <f ca="1">IFERROR(__xludf.DUMMYFUNCTION("IFERROR(GOOGLEFINANCE(B831,""change""),0)"),0)</f>
        <v>0</v>
      </c>
      <c r="N831" s="6">
        <v>1</v>
      </c>
      <c r="O831" s="7">
        <v>45536</v>
      </c>
      <c r="P831" s="6">
        <v>0.26</v>
      </c>
      <c r="Q831" s="6">
        <v>6.15</v>
      </c>
      <c r="R831" s="7">
        <v>45536</v>
      </c>
      <c r="S831" s="6">
        <v>0</v>
      </c>
      <c r="T831" s="6">
        <v>-0.12</v>
      </c>
      <c r="U831" s="7">
        <v>45536</v>
      </c>
      <c r="V831" s="6">
        <v>0</v>
      </c>
      <c r="W831" s="6">
        <f ca="1">IFERROR(__xludf.DUMMYFUNCTION("IFERROR(GOOGLEFINANCE(B831,""pe""),V831)"),0)</f>
        <v>0</v>
      </c>
      <c r="X831" s="6">
        <v>0</v>
      </c>
      <c r="Y831" s="6">
        <v>31.13</v>
      </c>
      <c r="Z831" s="6">
        <v>1</v>
      </c>
      <c r="AA831" s="8">
        <v>45352</v>
      </c>
      <c r="AB831" s="4">
        <v>0.55000000000000004</v>
      </c>
      <c r="AC831" s="6">
        <v>-46.54</v>
      </c>
      <c r="AD831" s="6">
        <v>-36.58</v>
      </c>
      <c r="AE831" s="1">
        <v>0</v>
      </c>
      <c r="AF831" s="1">
        <f ca="1">IFERROR(__xludf.DUMMYFUNCTION("IFERROR(GOOGLEFINANCE(TRIM(F831)&amp;"":"" &amp; TRIM(B831),""high52""),AE831)"),0)</f>
        <v>0</v>
      </c>
      <c r="AG831" s="1">
        <v>0</v>
      </c>
      <c r="AH831" s="1">
        <f ca="1">IFERROR(__xludf.DUMMYFUNCTION("IFERROR(GOOGLEFINANCE(TRIM(F831)&amp;"":"" &amp; TRIM(B831),""low52""),AE831)"),0)</f>
        <v>0</v>
      </c>
      <c r="AI831" s="1">
        <f ca="1">IFERROR(__xludf.DUMMYFUNCTION("IFERROR(GOOGLEFINANCE(B831,""eps""),0)"),0)</f>
        <v>0</v>
      </c>
      <c r="AJ831" s="1"/>
      <c r="AK831" s="9"/>
      <c r="AL831" s="9">
        <f t="shared" si="143"/>
        <v>1</v>
      </c>
    </row>
    <row r="832" spans="1:38" ht="15" x14ac:dyDescent="0.25">
      <c r="A832" s="1" t="s">
        <v>2559</v>
      </c>
      <c r="B832" s="1" t="s">
        <v>2560</v>
      </c>
      <c r="C832" s="1" t="s">
        <v>487</v>
      </c>
      <c r="D832" s="1" t="s">
        <v>487</v>
      </c>
      <c r="E832" s="6">
        <v>78.680000000000007</v>
      </c>
      <c r="F832" s="1" t="s">
        <v>53</v>
      </c>
      <c r="G832" s="6">
        <f ca="1">IFERROR(__xludf.DUMMYFUNCTION("iferror(GOOGLEFINANCE(TRIM(F832)&amp;"":"" &amp; TRIM(B832), ""price""),0
)"),0)</f>
        <v>0</v>
      </c>
      <c r="H832" s="6">
        <v>19.3</v>
      </c>
      <c r="I832" s="6">
        <f t="shared" ca="1" si="0"/>
        <v>19.3</v>
      </c>
      <c r="J832" s="6">
        <f ca="1">IFERROR(__xludf.DUMMYFUNCTION("IFERROR(GOOGLEFINANCE(B832, ""volume""), 0)"),0)</f>
        <v>0</v>
      </c>
      <c r="K832" s="6">
        <v>-1.33</v>
      </c>
      <c r="L832" s="6">
        <f ca="1">IFERROR(__xludf.DUMMYFUNCTION("IFERROR(GOOGLEFINANCE(B832,""changepct""),K832)"),-1.33)</f>
        <v>-1.33</v>
      </c>
      <c r="M832" s="6">
        <f ca="1">IFERROR(__xludf.DUMMYFUNCTION("IFERROR(GOOGLEFINANCE(B832,""change""),0)"),0)</f>
        <v>0</v>
      </c>
      <c r="N832" s="6">
        <v>1</v>
      </c>
      <c r="O832" s="7">
        <v>45536</v>
      </c>
      <c r="P832" s="9"/>
      <c r="Q832" s="6">
        <v>73.099999999999994</v>
      </c>
      <c r="R832" s="7">
        <v>45536</v>
      </c>
      <c r="S832" s="6">
        <v>0</v>
      </c>
      <c r="T832" s="6">
        <v>-0.71</v>
      </c>
      <c r="U832" s="7">
        <v>45536</v>
      </c>
      <c r="V832" s="6">
        <v>0</v>
      </c>
      <c r="W832" s="6">
        <f ca="1">IFERROR(__xludf.DUMMYFUNCTION("IFERROR(GOOGLEFINANCE(B832,""pe""),V832)"),0)</f>
        <v>0</v>
      </c>
      <c r="X832" s="12"/>
      <c r="Y832" s="6">
        <v>3.22</v>
      </c>
      <c r="Z832" s="6">
        <v>1</v>
      </c>
      <c r="AA832" s="8">
        <v>45352</v>
      </c>
      <c r="AB832" s="4">
        <v>0</v>
      </c>
      <c r="AC832" s="6">
        <v>-3.76</v>
      </c>
      <c r="AD832" s="6">
        <v>-3.76</v>
      </c>
      <c r="AE832" s="1">
        <v>0</v>
      </c>
      <c r="AF832" s="1">
        <f ca="1">IFERROR(__xludf.DUMMYFUNCTION("IFERROR(GOOGLEFINANCE(TRIM(F832)&amp;"":"" &amp; TRIM(B832),""high52""),AE832)"),0)</f>
        <v>0</v>
      </c>
      <c r="AG832" s="1">
        <v>0</v>
      </c>
      <c r="AH832" s="1">
        <f ca="1">IFERROR(__xludf.DUMMYFUNCTION("IFERROR(GOOGLEFINANCE(TRIM(F832)&amp;"":"" &amp; TRIM(B832),""low52""),AE832)"),0)</f>
        <v>0</v>
      </c>
      <c r="AI832" s="1">
        <f ca="1">IFERROR(__xludf.DUMMYFUNCTION("IFERROR(GOOGLEFINANCE(B832,""eps""),0)"),0)</f>
        <v>0</v>
      </c>
      <c r="AJ832" s="1"/>
      <c r="AK832" s="1" t="s">
        <v>2561</v>
      </c>
      <c r="AL832" s="9">
        <f t="shared" si="143"/>
        <v>1</v>
      </c>
    </row>
    <row r="833" spans="1:38" ht="15" x14ac:dyDescent="0.25">
      <c r="A833" s="1" t="s">
        <v>2562</v>
      </c>
      <c r="B833" s="1" t="s">
        <v>2563</v>
      </c>
      <c r="C833" s="1" t="s">
        <v>487</v>
      </c>
      <c r="D833" s="1" t="s">
        <v>487</v>
      </c>
      <c r="E833" s="6">
        <v>10.92</v>
      </c>
      <c r="F833" s="1" t="s">
        <v>53</v>
      </c>
      <c r="G833" s="6">
        <f ca="1">IFERROR(__xludf.DUMMYFUNCTION("iferror(GOOGLEFINANCE(TRIM(F833)&amp;"":"" &amp; TRIM(B833), ""price""),0
)"),0)</f>
        <v>0</v>
      </c>
      <c r="H833" s="6">
        <v>28.91</v>
      </c>
      <c r="I833" s="6">
        <f t="shared" ca="1" si="0"/>
        <v>28.91</v>
      </c>
      <c r="J833" s="6">
        <f ca="1">IFERROR(__xludf.DUMMYFUNCTION("IFERROR(GOOGLEFINANCE(B833, ""volume""), 0)"),0)</f>
        <v>0</v>
      </c>
      <c r="K833" s="6">
        <v>4.97</v>
      </c>
      <c r="L833" s="6">
        <f ca="1">IFERROR(__xludf.DUMMYFUNCTION("IFERROR(GOOGLEFINANCE(B833,""changepct""),K833)"),4.97)</f>
        <v>4.97</v>
      </c>
      <c r="M833" s="6">
        <f ca="1">IFERROR(__xludf.DUMMYFUNCTION("IFERROR(GOOGLEFINANCE(B833,""change""),0)"),0)</f>
        <v>0</v>
      </c>
      <c r="N833" s="6">
        <v>1</v>
      </c>
      <c r="O833" s="7">
        <v>45536</v>
      </c>
      <c r="P833" s="6">
        <v>1.1499999999999999</v>
      </c>
      <c r="Q833" s="6">
        <v>12.07</v>
      </c>
      <c r="R833" s="7">
        <v>45536</v>
      </c>
      <c r="S833" s="6">
        <v>0</v>
      </c>
      <c r="T833" s="6">
        <v>-0.66</v>
      </c>
      <c r="U833" s="7">
        <v>45536</v>
      </c>
      <c r="V833" s="6">
        <v>0</v>
      </c>
      <c r="W833" s="6">
        <f ca="1">IFERROR(__xludf.DUMMYFUNCTION("IFERROR(GOOGLEFINANCE(B833,""pe""),V833)"),0)</f>
        <v>0</v>
      </c>
      <c r="X833" s="6">
        <v>0</v>
      </c>
      <c r="Y833" s="6">
        <v>2.78</v>
      </c>
      <c r="Z833" s="6">
        <v>1</v>
      </c>
      <c r="AA833" s="8">
        <v>45352</v>
      </c>
      <c r="AB833" s="4">
        <v>0.27</v>
      </c>
      <c r="AC833" s="6">
        <v>-14.4</v>
      </c>
      <c r="AD833" s="6">
        <v>-12.15</v>
      </c>
      <c r="AE833" s="1">
        <v>0</v>
      </c>
      <c r="AF833" s="1">
        <f ca="1">IFERROR(__xludf.DUMMYFUNCTION("IFERROR(GOOGLEFINANCE(TRIM(F833)&amp;"":"" &amp; TRIM(B833),""high52""),AE833)"),0)</f>
        <v>0</v>
      </c>
      <c r="AG833" s="1">
        <v>0</v>
      </c>
      <c r="AH833" s="1">
        <f ca="1">IFERROR(__xludf.DUMMYFUNCTION("IFERROR(GOOGLEFINANCE(TRIM(F833)&amp;"":"" &amp; TRIM(B833),""low52""),AE833)"),0)</f>
        <v>0</v>
      </c>
      <c r="AI833" s="1">
        <f ca="1">IFERROR(__xludf.DUMMYFUNCTION("IFERROR(GOOGLEFINANCE(B833,""eps""),0)"),0)</f>
        <v>0</v>
      </c>
      <c r="AJ833" s="1"/>
      <c r="AK833" s="1" t="s">
        <v>2564</v>
      </c>
      <c r="AL833" s="9">
        <f t="shared" si="143"/>
        <v>1</v>
      </c>
    </row>
    <row r="834" spans="1:38" ht="15" x14ac:dyDescent="0.25">
      <c r="A834" s="1" t="s">
        <v>2565</v>
      </c>
      <c r="B834" s="1" t="s">
        <v>2566</v>
      </c>
      <c r="C834" s="1" t="s">
        <v>706</v>
      </c>
      <c r="D834" s="1" t="s">
        <v>706</v>
      </c>
      <c r="E834" s="6">
        <v>196.49</v>
      </c>
      <c r="F834" s="1" t="s">
        <v>40</v>
      </c>
      <c r="G834" s="6">
        <f ca="1">IFERROR(__xludf.DUMMYFUNCTION("iferror(GOOGLEFINANCE(TRIM(F834)&amp;"":"" &amp; TRIM(B834), ""price""),0
)"),85.37)</f>
        <v>85.37</v>
      </c>
      <c r="H834" s="6">
        <v>105.44</v>
      </c>
      <c r="I834" s="6">
        <f t="shared" ca="1" si="0"/>
        <v>85.37</v>
      </c>
      <c r="J834" s="6">
        <f ca="1">IFERROR(__xludf.DUMMYFUNCTION("IFERROR(GOOGLEFINANCE(B834, ""volume""), 0)"),34044)</f>
        <v>34044</v>
      </c>
      <c r="K834" s="6">
        <v>0.22</v>
      </c>
      <c r="L834" s="6">
        <f ca="1">IFERROR(__xludf.DUMMYFUNCTION("IFERROR(GOOGLEFINANCE(B834,""changepct""),K834)"),-5.42)</f>
        <v>-5.42</v>
      </c>
      <c r="M834" s="6">
        <f ca="1">IFERROR(__xludf.DUMMYFUNCTION("IFERROR(GOOGLEFINANCE(B834,""change""),0)"),-0.09)</f>
        <v>-0.09</v>
      </c>
      <c r="N834" s="6">
        <v>2</v>
      </c>
      <c r="O834" s="7">
        <v>45536</v>
      </c>
      <c r="P834" s="9"/>
      <c r="Q834" s="6">
        <v>178.22</v>
      </c>
      <c r="R834" s="7">
        <v>45536</v>
      </c>
      <c r="S834" s="6">
        <v>70.22</v>
      </c>
      <c r="T834" s="6">
        <v>5.15</v>
      </c>
      <c r="U834" s="7">
        <v>45536</v>
      </c>
      <c r="V834" s="6">
        <v>28.39</v>
      </c>
      <c r="W834" s="6">
        <f ca="1">IFERROR(__xludf.DUMMYFUNCTION("IFERROR(GOOGLEFINANCE(B834,""pe""),V834)"),8.49)</f>
        <v>8.49</v>
      </c>
      <c r="X834" s="6">
        <v>0.33</v>
      </c>
      <c r="Y834" s="6">
        <v>9.14</v>
      </c>
      <c r="Z834" s="6">
        <v>2</v>
      </c>
      <c r="AA834" s="8">
        <v>45352</v>
      </c>
      <c r="AB834" s="4">
        <v>0</v>
      </c>
      <c r="AC834" s="6">
        <v>29.14</v>
      </c>
      <c r="AD834" s="6">
        <v>54.04</v>
      </c>
      <c r="AE834" s="1">
        <v>0</v>
      </c>
      <c r="AF834" s="1">
        <f ca="1">IFERROR(__xludf.DUMMYFUNCTION("IFERROR(GOOGLEFINANCE(TRIM(F834)&amp;"":"" &amp; TRIM(B834),""high52""),AE834)"),136)</f>
        <v>136</v>
      </c>
      <c r="AG834" s="1">
        <v>0</v>
      </c>
      <c r="AH834" s="1">
        <f ca="1">IFERROR(__xludf.DUMMYFUNCTION("IFERROR(GOOGLEFINANCE(TRIM(F834)&amp;"":"" &amp; TRIM(B834),""low52""),AE834)"),82.32)</f>
        <v>82.32</v>
      </c>
      <c r="AI834" s="1">
        <f ca="1">IFERROR(__xludf.DUMMYFUNCTION("IFERROR(GOOGLEFINANCE(B834,""eps""),0)"),0.18)</f>
        <v>0.18</v>
      </c>
      <c r="AJ834" s="1"/>
      <c r="AK834" s="1" t="s">
        <v>2567</v>
      </c>
      <c r="AL834" s="9">
        <f t="shared" si="143"/>
        <v>1</v>
      </c>
    </row>
    <row r="835" spans="1:38" ht="15" x14ac:dyDescent="0.25">
      <c r="A835" s="1" t="s">
        <v>2568</v>
      </c>
      <c r="B835" s="1" t="s">
        <v>2569</v>
      </c>
      <c r="C835" s="1" t="s">
        <v>487</v>
      </c>
      <c r="D835" s="1" t="s">
        <v>487</v>
      </c>
      <c r="E835" s="6">
        <v>29.16</v>
      </c>
      <c r="F835" s="1" t="s">
        <v>53</v>
      </c>
      <c r="G835" s="6">
        <f ca="1">IFERROR(__xludf.DUMMYFUNCTION("iferror(GOOGLEFINANCE(TRIM(F835)&amp;"":"" &amp; TRIM(B835), ""price""),0
)"),0)</f>
        <v>0</v>
      </c>
      <c r="H835" s="6">
        <v>22.55</v>
      </c>
      <c r="I835" s="6">
        <f t="shared" ca="1" si="0"/>
        <v>22.55</v>
      </c>
      <c r="J835" s="6">
        <f ca="1">IFERROR(__xludf.DUMMYFUNCTION("IFERROR(GOOGLEFINANCE(B835, ""volume""), 0)"),0)</f>
        <v>0</v>
      </c>
      <c r="K835" s="9"/>
      <c r="L835" s="6" t="str">
        <f ca="1">IFERROR(__xludf.DUMMYFUNCTION("IFERROR(GOOGLEFINANCE(B835,""changepct""),K835)"),"")</f>
        <v/>
      </c>
      <c r="M835" s="6">
        <f ca="1">IFERROR(__xludf.DUMMYFUNCTION("IFERROR(GOOGLEFINANCE(B835,""change""),0)"),0)</f>
        <v>0</v>
      </c>
      <c r="N835" s="6">
        <v>2</v>
      </c>
      <c r="O835" s="7">
        <v>45536</v>
      </c>
      <c r="P835" s="6">
        <v>42.92</v>
      </c>
      <c r="Q835" s="6">
        <v>72.08</v>
      </c>
      <c r="R835" s="7">
        <v>45536</v>
      </c>
      <c r="S835" s="6">
        <v>4.8600000000000003</v>
      </c>
      <c r="T835" s="6">
        <v>-1.67</v>
      </c>
      <c r="U835" s="7">
        <v>45536</v>
      </c>
      <c r="V835" s="6">
        <v>0</v>
      </c>
      <c r="W835" s="6">
        <f ca="1">IFERROR(__xludf.DUMMYFUNCTION("IFERROR(GOOGLEFINANCE(B835,""pe""),V835)"),0)</f>
        <v>0</v>
      </c>
      <c r="X835" s="6">
        <v>0</v>
      </c>
      <c r="Y835" s="6">
        <v>13.9</v>
      </c>
      <c r="Z835" s="6">
        <v>2</v>
      </c>
      <c r="AA835" s="8">
        <v>45352</v>
      </c>
      <c r="AB835" s="4">
        <v>11.48</v>
      </c>
      <c r="AC835" s="6">
        <v>-52.67</v>
      </c>
      <c r="AD835" s="6">
        <v>-1.96</v>
      </c>
      <c r="AE835" s="1">
        <v>0</v>
      </c>
      <c r="AF835" s="1">
        <f ca="1">IFERROR(__xludf.DUMMYFUNCTION("IFERROR(GOOGLEFINANCE(TRIM(F835)&amp;"":"" &amp; TRIM(B835),""high52""),AE835)"),0)</f>
        <v>0</v>
      </c>
      <c r="AG835" s="1">
        <v>0</v>
      </c>
      <c r="AH835" s="1">
        <f ca="1">IFERROR(__xludf.DUMMYFUNCTION("IFERROR(GOOGLEFINANCE(TRIM(F835)&amp;"":"" &amp; TRIM(B835),""low52""),AE835)"),0)</f>
        <v>0</v>
      </c>
      <c r="AI835" s="1">
        <f ca="1">IFERROR(__xludf.DUMMYFUNCTION("IFERROR(GOOGLEFINANCE(B835,""eps""),0)"),0)</f>
        <v>0</v>
      </c>
      <c r="AJ835" s="1"/>
      <c r="AK835" s="9"/>
      <c r="AL835" s="9">
        <f t="shared" si="143"/>
        <v>1</v>
      </c>
    </row>
    <row r="836" spans="1:38" ht="15" x14ac:dyDescent="0.25">
      <c r="A836" s="1" t="s">
        <v>2570</v>
      </c>
      <c r="B836" s="1" t="s">
        <v>2571</v>
      </c>
      <c r="C836" s="1" t="s">
        <v>487</v>
      </c>
      <c r="D836" s="1" t="s">
        <v>487</v>
      </c>
      <c r="E836" s="6">
        <v>29.38</v>
      </c>
      <c r="F836" s="1" t="s">
        <v>53</v>
      </c>
      <c r="G836" s="6">
        <f ca="1">IFERROR(__xludf.DUMMYFUNCTION("iferror(GOOGLEFINANCE(TRIM(F836)&amp;"":"" &amp; TRIM(B836), ""price""),0
)"),0)</f>
        <v>0</v>
      </c>
      <c r="H836" s="6">
        <v>34.049999999999997</v>
      </c>
      <c r="I836" s="6">
        <f t="shared" ca="1" si="0"/>
        <v>34.049999999999997</v>
      </c>
      <c r="J836" s="6">
        <f ca="1">IFERROR(__xludf.DUMMYFUNCTION("IFERROR(GOOGLEFINANCE(B836, ""volume""), 0)"),0)</f>
        <v>0</v>
      </c>
      <c r="K836" s="6">
        <v>0.18</v>
      </c>
      <c r="L836" s="6">
        <f ca="1">IFERROR(__xludf.DUMMYFUNCTION("IFERROR(GOOGLEFINANCE(B836,""changepct""),K836)"),0.18)</f>
        <v>0.18</v>
      </c>
      <c r="M836" s="6">
        <f ca="1">IFERROR(__xludf.DUMMYFUNCTION("IFERROR(GOOGLEFINANCE(B836,""change""),0)"),0)</f>
        <v>0</v>
      </c>
      <c r="N836" s="6">
        <v>1</v>
      </c>
      <c r="O836" s="7">
        <v>45536</v>
      </c>
      <c r="P836" s="6">
        <v>0</v>
      </c>
      <c r="Q836" s="6">
        <v>29.38</v>
      </c>
      <c r="R836" s="7">
        <v>45536</v>
      </c>
      <c r="S836" s="6">
        <v>1.27</v>
      </c>
      <c r="T836" s="6">
        <v>-1.19</v>
      </c>
      <c r="U836" s="7">
        <v>45536</v>
      </c>
      <c r="V836" s="6">
        <v>0</v>
      </c>
      <c r="W836" s="6">
        <f ca="1">IFERROR(__xludf.DUMMYFUNCTION("IFERROR(GOOGLEFINANCE(B836,""pe""),V836)"),0)</f>
        <v>0</v>
      </c>
      <c r="X836" s="6">
        <v>0</v>
      </c>
      <c r="Y836" s="6">
        <v>20.07</v>
      </c>
      <c r="Z836" s="6">
        <v>1</v>
      </c>
      <c r="AA836" s="17">
        <v>45352</v>
      </c>
      <c r="AB836" s="18">
        <v>0.99</v>
      </c>
      <c r="AC836" s="6">
        <v>-60.22</v>
      </c>
      <c r="AD836" s="6">
        <v>-20.329999999999998</v>
      </c>
      <c r="AE836" s="1">
        <v>0</v>
      </c>
      <c r="AF836" s="1">
        <f ca="1">IFERROR(__xludf.DUMMYFUNCTION("IFERROR(GOOGLEFINANCE(TRIM(F836)&amp;"":"" &amp; TRIM(B836),""high52""),AE836)"),0)</f>
        <v>0</v>
      </c>
      <c r="AG836" s="1">
        <v>0</v>
      </c>
      <c r="AH836" s="1">
        <f ca="1">IFERROR(__xludf.DUMMYFUNCTION("IFERROR(GOOGLEFINANCE(TRIM(F836)&amp;"":"" &amp; TRIM(B836),""low52""),AE836)"),0)</f>
        <v>0</v>
      </c>
      <c r="AI836" s="1">
        <f ca="1">IFERROR(__xludf.DUMMYFUNCTION("IFERROR(GOOGLEFINANCE(B836,""eps""),0)"),0)</f>
        <v>0</v>
      </c>
      <c r="AJ836" s="1"/>
      <c r="AK836" s="1" t="s">
        <v>2572</v>
      </c>
      <c r="AL836" s="9">
        <f t="shared" si="143"/>
        <v>1</v>
      </c>
    </row>
    <row r="837" spans="1:38" ht="15" x14ac:dyDescent="0.25">
      <c r="A837" s="1" t="s">
        <v>2573</v>
      </c>
      <c r="B837" s="1" t="s">
        <v>2574</v>
      </c>
      <c r="C837" s="1" t="s">
        <v>487</v>
      </c>
      <c r="D837" s="1" t="s">
        <v>487</v>
      </c>
      <c r="E837" s="6">
        <v>20.99</v>
      </c>
      <c r="F837" s="1" t="s">
        <v>53</v>
      </c>
      <c r="G837" s="6">
        <f ca="1">IFERROR(__xludf.DUMMYFUNCTION("iferror(GOOGLEFINANCE(TRIM(F837)&amp;"":"" &amp; TRIM(B837), ""price""),0
)"),0)</f>
        <v>0</v>
      </c>
      <c r="H837" s="6">
        <v>49.5</v>
      </c>
      <c r="I837" s="6">
        <f t="shared" ca="1" si="0"/>
        <v>49.5</v>
      </c>
      <c r="J837" s="6">
        <f ca="1">IFERROR(__xludf.DUMMYFUNCTION("IFERROR(GOOGLEFINANCE(B837, ""volume""), 0)"),0)</f>
        <v>0</v>
      </c>
      <c r="K837" s="9"/>
      <c r="L837" s="6" t="str">
        <f ca="1">IFERROR(__xludf.DUMMYFUNCTION("IFERROR(GOOGLEFINANCE(B837,""changepct""),K837)"),"")</f>
        <v/>
      </c>
      <c r="M837" s="6">
        <f ca="1">IFERROR(__xludf.DUMMYFUNCTION("IFERROR(GOOGLEFINANCE(B837,""change""),0)"),0)</f>
        <v>0</v>
      </c>
      <c r="N837" s="6">
        <v>2</v>
      </c>
      <c r="O837" s="7">
        <v>45536</v>
      </c>
      <c r="P837" s="6">
        <v>13.31</v>
      </c>
      <c r="Q837" s="6">
        <v>34.29</v>
      </c>
      <c r="R837" s="7">
        <v>45536</v>
      </c>
      <c r="S837" s="6">
        <v>1.06</v>
      </c>
      <c r="T837" s="6">
        <v>-2.2200000000000002</v>
      </c>
      <c r="U837" s="7">
        <v>45536</v>
      </c>
      <c r="V837" s="6">
        <v>0</v>
      </c>
      <c r="W837" s="6">
        <f ca="1">IFERROR(__xludf.DUMMYFUNCTION("IFERROR(GOOGLEFINANCE(B837,""pe""),V837)"),0)</f>
        <v>0</v>
      </c>
      <c r="X837" s="9"/>
      <c r="Y837" s="6">
        <v>7.49</v>
      </c>
      <c r="Z837" s="6">
        <v>2</v>
      </c>
      <c r="AA837" s="8">
        <v>45352</v>
      </c>
      <c r="AB837" s="4">
        <v>3.16</v>
      </c>
      <c r="AC837" s="6">
        <v>-38.93</v>
      </c>
      <c r="AD837" s="6">
        <v>-8.4499999999999993</v>
      </c>
      <c r="AE837" s="1">
        <v>0</v>
      </c>
      <c r="AF837" s="1">
        <f ca="1">IFERROR(__xludf.DUMMYFUNCTION("IFERROR(GOOGLEFINANCE(TRIM(F837)&amp;"":"" &amp; TRIM(B837),""high52""),AE837)"),0)</f>
        <v>0</v>
      </c>
      <c r="AG837" s="1">
        <v>0</v>
      </c>
      <c r="AH837" s="1">
        <f ca="1">IFERROR(__xludf.DUMMYFUNCTION("IFERROR(GOOGLEFINANCE(TRIM(F837)&amp;"":"" &amp; TRIM(B837),""low52""),AE837)"),0)</f>
        <v>0</v>
      </c>
      <c r="AI837" s="1">
        <f ca="1">IFERROR(__xludf.DUMMYFUNCTION("IFERROR(GOOGLEFINANCE(B837,""eps""),0)"),0)</f>
        <v>0</v>
      </c>
      <c r="AJ837" s="1"/>
      <c r="AK837" s="1" t="s">
        <v>2575</v>
      </c>
      <c r="AL837" s="9">
        <f t="shared" si="143"/>
        <v>1</v>
      </c>
    </row>
    <row r="838" spans="1:38" ht="15" x14ac:dyDescent="0.25">
      <c r="A838" s="1" t="s">
        <v>2576</v>
      </c>
      <c r="B838" s="1" t="s">
        <v>2577</v>
      </c>
      <c r="C838" s="1" t="s">
        <v>186</v>
      </c>
      <c r="D838" s="1" t="s">
        <v>186</v>
      </c>
      <c r="E838" s="6">
        <v>390.27</v>
      </c>
      <c r="F838" s="1" t="s">
        <v>40</v>
      </c>
      <c r="G838" s="6">
        <f ca="1">IFERROR(__xludf.DUMMYFUNCTION("iferror(GOOGLEFINANCE(TRIM(F838)&amp;"":"" &amp; TRIM(B838), ""price""),0
)"),135)</f>
        <v>135</v>
      </c>
      <c r="H838" s="6">
        <v>208.96</v>
      </c>
      <c r="I838" s="6">
        <f t="shared" ca="1" si="0"/>
        <v>135</v>
      </c>
      <c r="J838" s="6">
        <f ca="1">IFERROR(__xludf.DUMMYFUNCTION("IFERROR(GOOGLEFINANCE(B838, ""volume""), 0)"),5572)</f>
        <v>5572</v>
      </c>
      <c r="K838" s="6">
        <v>0.12</v>
      </c>
      <c r="L838" s="6">
        <f ca="1">IFERROR(__xludf.DUMMYFUNCTION("IFERROR(GOOGLEFINANCE(B838,""changepct""),K838)"),1.84)</f>
        <v>1.84</v>
      </c>
      <c r="M838" s="6">
        <f ca="1">IFERROR(__xludf.DUMMYFUNCTION("IFERROR(GOOGLEFINANCE(B838,""change""),0)"),2.44)</f>
        <v>2.44</v>
      </c>
      <c r="N838" s="6">
        <v>2</v>
      </c>
      <c r="O838" s="7">
        <v>45536</v>
      </c>
      <c r="P838" s="6">
        <v>213.41</v>
      </c>
      <c r="Q838" s="6">
        <v>592.4</v>
      </c>
      <c r="R838" s="7">
        <v>45536</v>
      </c>
      <c r="S838" s="6">
        <v>1059.78</v>
      </c>
      <c r="T838" s="6">
        <v>5.13</v>
      </c>
      <c r="U838" s="7">
        <v>45536</v>
      </c>
      <c r="V838" s="6">
        <v>52.67</v>
      </c>
      <c r="W838" s="6">
        <f ca="1">IFERROR(__xludf.DUMMYFUNCTION("IFERROR(GOOGLEFINANCE(B838,""pe""),V838)"),104.17)</f>
        <v>104.17</v>
      </c>
      <c r="X838" s="12"/>
      <c r="Y838" s="6">
        <v>1.21</v>
      </c>
      <c r="Z838" s="6">
        <v>2</v>
      </c>
      <c r="AA838" s="8">
        <v>45352</v>
      </c>
      <c r="AB838" s="4">
        <v>1.18</v>
      </c>
      <c r="AC838" s="6">
        <v>-1.29</v>
      </c>
      <c r="AD838" s="6">
        <v>3.49</v>
      </c>
      <c r="AE838" s="1">
        <v>0</v>
      </c>
      <c r="AF838" s="1">
        <f ca="1">IFERROR(__xludf.DUMMYFUNCTION("IFERROR(GOOGLEFINANCE(TRIM(F838)&amp;"":"" &amp; TRIM(B838),""high52""),AE838)"),207)</f>
        <v>207</v>
      </c>
      <c r="AG838" s="1">
        <v>0</v>
      </c>
      <c r="AH838" s="1">
        <f ca="1">IFERROR(__xludf.DUMMYFUNCTION("IFERROR(GOOGLEFINANCE(TRIM(F838)&amp;"":"" &amp; TRIM(B838),""low52""),AE838)"),120.1)</f>
        <v>120.1</v>
      </c>
      <c r="AI838" s="1">
        <f ca="1">IFERROR(__xludf.DUMMYFUNCTION("IFERROR(GOOGLEFINANCE(B838,""eps""),0)"),1.3)</f>
        <v>1.3</v>
      </c>
      <c r="AJ838" s="1"/>
      <c r="AK838" s="1" t="s">
        <v>2578</v>
      </c>
      <c r="AL838" s="9">
        <f t="shared" si="143"/>
        <v>1</v>
      </c>
    </row>
    <row r="839" spans="1:38" ht="15" x14ac:dyDescent="0.25">
      <c r="A839" s="1" t="s">
        <v>2579</v>
      </c>
      <c r="B839" s="1" t="s">
        <v>2580</v>
      </c>
      <c r="C839" s="1" t="s">
        <v>1118</v>
      </c>
      <c r="D839" s="1" t="s">
        <v>1118</v>
      </c>
      <c r="E839" s="6">
        <v>1625.01</v>
      </c>
      <c r="F839" s="1" t="s">
        <v>40</v>
      </c>
      <c r="G839" s="6">
        <f ca="1">IFERROR(__xludf.DUMMYFUNCTION("iferror(GOOGLEFINANCE(TRIM(F839)&amp;"":"" &amp; TRIM(B839), ""price""),0
)"),39.15)</f>
        <v>39.15</v>
      </c>
      <c r="H839" s="6">
        <v>186.99</v>
      </c>
      <c r="I839" s="6">
        <f t="shared" ca="1" si="0"/>
        <v>39.15</v>
      </c>
      <c r="J839" s="6">
        <f ca="1">IFERROR(__xludf.DUMMYFUNCTION("IFERROR(GOOGLEFINANCE(B839, ""volume""), 0)"),105712)</f>
        <v>105712</v>
      </c>
      <c r="K839" s="6">
        <v>-0.05</v>
      </c>
      <c r="L839" s="6">
        <f ca="1">IFERROR(__xludf.DUMMYFUNCTION("IFERROR(GOOGLEFINANCE(B839,""changepct""),K839)"),-4.21)</f>
        <v>-4.21</v>
      </c>
      <c r="M839" s="6">
        <f ca="1">IFERROR(__xludf.DUMMYFUNCTION("IFERROR(GOOGLEFINANCE(B839,""change""),0)"),-1.72)</f>
        <v>-1.72</v>
      </c>
      <c r="N839" s="6">
        <v>2</v>
      </c>
      <c r="O839" s="7">
        <v>45536</v>
      </c>
      <c r="P839" s="6">
        <v>360.86</v>
      </c>
      <c r="Q839" s="6">
        <v>1919.45</v>
      </c>
      <c r="R839" s="7">
        <v>45536</v>
      </c>
      <c r="S839" s="6">
        <v>2067</v>
      </c>
      <c r="T839" s="6">
        <v>120.56</v>
      </c>
      <c r="U839" s="7">
        <v>45536</v>
      </c>
      <c r="V839" s="6">
        <v>13.32</v>
      </c>
      <c r="W839" s="6">
        <f ca="1">IFERROR(__xludf.DUMMYFUNCTION("IFERROR(GOOGLEFINANCE(B839,""pe""),V839)"),5.59)</f>
        <v>5.59</v>
      </c>
      <c r="X839" s="6">
        <v>1.47</v>
      </c>
      <c r="Y839" s="6">
        <v>1.87</v>
      </c>
      <c r="Z839" s="6">
        <v>2</v>
      </c>
      <c r="AA839" s="8">
        <v>45352</v>
      </c>
      <c r="AB839" s="4">
        <v>0.63</v>
      </c>
      <c r="AC839" s="6">
        <v>15.07</v>
      </c>
      <c r="AD839" s="6">
        <v>16.41</v>
      </c>
      <c r="AE839" s="1">
        <v>0</v>
      </c>
      <c r="AF839" s="1">
        <f ca="1">IFERROR(__xludf.DUMMYFUNCTION("IFERROR(GOOGLEFINANCE(TRIM(F839)&amp;"":"" &amp; TRIM(B839),""high52""),AE839)"),63.1)</f>
        <v>63.1</v>
      </c>
      <c r="AG839" s="1">
        <v>0</v>
      </c>
      <c r="AH839" s="1">
        <f ca="1">IFERROR(__xludf.DUMMYFUNCTION("IFERROR(GOOGLEFINANCE(TRIM(F839)&amp;"":"" &amp; TRIM(B839),""low52""),AE839)"),36.11)</f>
        <v>36.11</v>
      </c>
      <c r="AI839" s="1">
        <f ca="1">IFERROR(__xludf.DUMMYFUNCTION("IFERROR(GOOGLEFINANCE(B839,""eps""),0)"),7)</f>
        <v>7</v>
      </c>
      <c r="AJ839" s="1"/>
      <c r="AK839" s="1" t="s">
        <v>2581</v>
      </c>
      <c r="AL839" s="9">
        <f t="shared" si="143"/>
        <v>1</v>
      </c>
    </row>
    <row r="840" spans="1:38" ht="15" x14ac:dyDescent="0.25">
      <c r="A840" s="1" t="s">
        <v>2582</v>
      </c>
      <c r="B840" s="1" t="s">
        <v>2583</v>
      </c>
      <c r="C840" s="1" t="s">
        <v>487</v>
      </c>
      <c r="D840" s="1" t="s">
        <v>487</v>
      </c>
      <c r="E840" s="6">
        <v>378</v>
      </c>
      <c r="F840" s="1" t="s">
        <v>53</v>
      </c>
      <c r="G840" s="6">
        <f ca="1">IFERROR(__xludf.DUMMYFUNCTION("iferror(GOOGLEFINANCE(TRIM(F840)&amp;"":"" &amp; TRIM(B840), ""price""),0
)"),0)</f>
        <v>0</v>
      </c>
      <c r="H840" s="6">
        <v>98</v>
      </c>
      <c r="I840" s="6">
        <f t="shared" ca="1" si="0"/>
        <v>98</v>
      </c>
      <c r="J840" s="6">
        <f ca="1">IFERROR(__xludf.DUMMYFUNCTION("IFERROR(GOOGLEFINANCE(B840, ""volume""), 0)"),23570)</f>
        <v>23570</v>
      </c>
      <c r="K840" s="6">
        <v>0.19</v>
      </c>
      <c r="L840" s="6">
        <f ca="1">IFERROR(__xludf.DUMMYFUNCTION("IFERROR(GOOGLEFINANCE(B840,""changepct""),K840)"),-3.8)</f>
        <v>-3.8</v>
      </c>
      <c r="M840" s="6">
        <f ca="1">IFERROR(__xludf.DUMMYFUNCTION("IFERROR(GOOGLEFINANCE(B840,""change""),0)"),-2.27)</f>
        <v>-2.27</v>
      </c>
      <c r="N840" s="6">
        <v>2</v>
      </c>
      <c r="O840" s="7">
        <v>45536</v>
      </c>
      <c r="P840" s="6">
        <v>5.77</v>
      </c>
      <c r="Q840" s="6">
        <v>380.78</v>
      </c>
      <c r="R840" s="7">
        <v>45536</v>
      </c>
      <c r="S840" s="6">
        <v>80.459999999999994</v>
      </c>
      <c r="T840" s="6">
        <v>10.75</v>
      </c>
      <c r="U840" s="7">
        <v>45536</v>
      </c>
      <c r="V840" s="6">
        <v>35.24</v>
      </c>
      <c r="W840" s="6">
        <f ca="1">IFERROR(__xludf.DUMMYFUNCTION("IFERROR(GOOGLEFINANCE(B840,""pe""),V840)"),73.51)</f>
        <v>73.510000000000005</v>
      </c>
      <c r="X840" s="6">
        <v>1.68</v>
      </c>
      <c r="Y840" s="6">
        <v>2.65</v>
      </c>
      <c r="Z840" s="6">
        <v>2</v>
      </c>
      <c r="AA840" s="8">
        <v>45352</v>
      </c>
      <c r="AB840" s="4">
        <v>0.05</v>
      </c>
      <c r="AC840" s="6">
        <v>6.6</v>
      </c>
      <c r="AD840" s="6">
        <v>9.41</v>
      </c>
      <c r="AE840" s="1">
        <v>0</v>
      </c>
      <c r="AF840" s="1">
        <f ca="1">IFERROR(__xludf.DUMMYFUNCTION("IFERROR(GOOGLEFINANCE(TRIM(F840)&amp;"":"" &amp; TRIM(B840),""high52""),AE840)"),0)</f>
        <v>0</v>
      </c>
      <c r="AG840" s="1">
        <v>0</v>
      </c>
      <c r="AH840" s="1">
        <f ca="1">IFERROR(__xludf.DUMMYFUNCTION("IFERROR(GOOGLEFINANCE(TRIM(F840)&amp;"":"" &amp; TRIM(B840),""low52""),AE840)"),0)</f>
        <v>0</v>
      </c>
      <c r="AI840" s="1">
        <f ca="1">IFERROR(__xludf.DUMMYFUNCTION("IFERROR(GOOGLEFINANCE(B840,""eps""),0)"),0.78)</f>
        <v>0.78</v>
      </c>
      <c r="AJ840" s="1"/>
      <c r="AK840" s="1" t="s">
        <v>2584</v>
      </c>
      <c r="AL840" s="9">
        <f t="shared" si="143"/>
        <v>1</v>
      </c>
    </row>
    <row r="841" spans="1:38" ht="15" x14ac:dyDescent="0.25">
      <c r="A841" s="1" t="s">
        <v>2585</v>
      </c>
      <c r="B841" s="1" t="s">
        <v>2586</v>
      </c>
      <c r="C841" s="1" t="s">
        <v>64</v>
      </c>
      <c r="D841" s="1" t="s">
        <v>64</v>
      </c>
      <c r="E841" s="6">
        <v>17513.88</v>
      </c>
      <c r="F841" s="1" t="s">
        <v>40</v>
      </c>
      <c r="G841" s="6">
        <f ca="1">IFERROR(__xludf.DUMMYFUNCTION("iferror(GOOGLEFINANCE(TRIM(F841)&amp;"":"" &amp; TRIM(B841), ""price""),0
)"),1160)</f>
        <v>1160</v>
      </c>
      <c r="H841" s="6">
        <v>1158.7</v>
      </c>
      <c r="I841" s="6">
        <f t="shared" ca="1" si="0"/>
        <v>1160</v>
      </c>
      <c r="J841" s="6">
        <f ca="1">IFERROR(__xludf.DUMMYFUNCTION("IFERROR(GOOGLEFINANCE(B841, ""volume""), 0)"),40925)</f>
        <v>40925</v>
      </c>
      <c r="K841" s="6">
        <v>2.96</v>
      </c>
      <c r="L841" s="6">
        <f ca="1">IFERROR(__xludf.DUMMYFUNCTION("IFERROR(GOOGLEFINANCE(B841,""changepct""),K841)"),0.59)</f>
        <v>0.59</v>
      </c>
      <c r="M841" s="6">
        <f ca="1">IFERROR(__xludf.DUMMYFUNCTION("IFERROR(GOOGLEFINANCE(B841,""change""),0)"),6.8)</f>
        <v>6.8</v>
      </c>
      <c r="N841" s="6">
        <v>2</v>
      </c>
      <c r="O841" s="7">
        <v>45536</v>
      </c>
      <c r="P841" s="6">
        <v>2135</v>
      </c>
      <c r="Q841" s="6">
        <v>17892.38</v>
      </c>
      <c r="R841" s="7">
        <v>45536</v>
      </c>
      <c r="S841" s="6">
        <v>11871.86</v>
      </c>
      <c r="T841" s="6">
        <v>521.5</v>
      </c>
      <c r="U841" s="7">
        <v>45536</v>
      </c>
      <c r="V841" s="6">
        <v>33.58</v>
      </c>
      <c r="W841" s="6">
        <f ca="1">IFERROR(__xludf.DUMMYFUNCTION("IFERROR(GOOGLEFINANCE(B841,""pe""),V841)"),27.31)</f>
        <v>27.31</v>
      </c>
      <c r="X841" s="6">
        <v>-2.5499999999999998</v>
      </c>
      <c r="Y841" s="6">
        <v>2.64</v>
      </c>
      <c r="Z841" s="6">
        <v>2</v>
      </c>
      <c r="AA841" s="8">
        <v>45352</v>
      </c>
      <c r="AB841" s="4">
        <v>0.32</v>
      </c>
      <c r="AC841" s="6">
        <v>7.03</v>
      </c>
      <c r="AD841" s="6">
        <v>9.57</v>
      </c>
      <c r="AE841" s="1">
        <v>0</v>
      </c>
      <c r="AF841" s="1">
        <f ca="1">IFERROR(__xludf.DUMMYFUNCTION("IFERROR(GOOGLEFINANCE(TRIM(F841)&amp;"":"" &amp; TRIM(B841),""high52""),AE841)"),1502.3)</f>
        <v>1502.3</v>
      </c>
      <c r="AG841" s="1">
        <v>0</v>
      </c>
      <c r="AH841" s="1">
        <f ca="1">IFERROR(__xludf.DUMMYFUNCTION("IFERROR(GOOGLEFINANCE(TRIM(F841)&amp;"":"" &amp; TRIM(B841),""low52""),AE841)"),902.6)</f>
        <v>902.6</v>
      </c>
      <c r="AI841" s="1">
        <f ca="1">IFERROR(__xludf.DUMMYFUNCTION("IFERROR(GOOGLEFINANCE(B841,""eps""),0)"),42.47)</f>
        <v>42.47</v>
      </c>
      <c r="AJ841" s="1"/>
      <c r="AK841" s="1" t="s">
        <v>2587</v>
      </c>
      <c r="AL841" s="9">
        <f t="shared" si="143"/>
        <v>1</v>
      </c>
    </row>
    <row r="842" spans="1:38" ht="15" x14ac:dyDescent="0.25">
      <c r="A842" s="1" t="s">
        <v>2588</v>
      </c>
      <c r="B842" s="1" t="s">
        <v>2589</v>
      </c>
      <c r="C842" s="1" t="s">
        <v>135</v>
      </c>
      <c r="D842" s="1" t="s">
        <v>135</v>
      </c>
      <c r="E842" s="6">
        <v>2699.78</v>
      </c>
      <c r="F842" s="1" t="s">
        <v>40</v>
      </c>
      <c r="G842" s="6">
        <f ca="1">IFERROR(__xludf.DUMMYFUNCTION("iferror(GOOGLEFINANCE(TRIM(F842)&amp;"":"" &amp; TRIM(B842), ""price""),0
)"),44.26)</f>
        <v>44.26</v>
      </c>
      <c r="H842" s="6">
        <v>92.04</v>
      </c>
      <c r="I842" s="6">
        <f t="shared" ca="1" si="0"/>
        <v>44.26</v>
      </c>
      <c r="J842" s="6">
        <f ca="1">IFERROR(__xludf.DUMMYFUNCTION("IFERROR(GOOGLEFINANCE(B842, ""volume""), 0)"),771001)</f>
        <v>771001</v>
      </c>
      <c r="K842" s="6">
        <v>0.56999999999999995</v>
      </c>
      <c r="L842" s="6">
        <f ca="1">IFERROR(__xludf.DUMMYFUNCTION("IFERROR(GOOGLEFINANCE(B842,""changepct""),K842)"),-2.1)</f>
        <v>-2.1</v>
      </c>
      <c r="M842" s="6">
        <f ca="1">IFERROR(__xludf.DUMMYFUNCTION("IFERROR(GOOGLEFINANCE(B842,""change""),0)"),-0.95)</f>
        <v>-0.95</v>
      </c>
      <c r="N842" s="6">
        <v>1</v>
      </c>
      <c r="O842" s="7">
        <v>45536</v>
      </c>
      <c r="P842" s="6">
        <v>454.52</v>
      </c>
      <c r="Q842" s="6">
        <v>2955.08</v>
      </c>
      <c r="R842" s="7">
        <v>45536</v>
      </c>
      <c r="S842" s="6">
        <v>2007.72</v>
      </c>
      <c r="T842" s="6">
        <v>8.49</v>
      </c>
      <c r="U842" s="7">
        <v>45536</v>
      </c>
      <c r="V842" s="6">
        <v>318.02999999999997</v>
      </c>
      <c r="W842" s="6">
        <f ca="1">IFERROR(__xludf.DUMMYFUNCTION("IFERROR(GOOGLEFINANCE(B842,""pe""),V842)"),26.09)</f>
        <v>26.09</v>
      </c>
      <c r="X842" s="6">
        <v>7.52</v>
      </c>
      <c r="Y842" s="6">
        <v>2.6</v>
      </c>
      <c r="Z842" s="6">
        <v>1</v>
      </c>
      <c r="AA842" s="8">
        <v>45352</v>
      </c>
      <c r="AB842" s="4">
        <v>0.42</v>
      </c>
      <c r="AC842" s="6">
        <v>1.52</v>
      </c>
      <c r="AD842" s="6">
        <v>6.59</v>
      </c>
      <c r="AE842" s="1">
        <v>0</v>
      </c>
      <c r="AF842" s="1">
        <f ca="1">IFERROR(__xludf.DUMMYFUNCTION("IFERROR(GOOGLEFINANCE(TRIM(F842)&amp;"":"" &amp; TRIM(B842),""high52""),AE842)"),90.36)</f>
        <v>90.36</v>
      </c>
      <c r="AG842" s="1">
        <v>0</v>
      </c>
      <c r="AH842" s="1">
        <f ca="1">IFERROR(__xludf.DUMMYFUNCTION("IFERROR(GOOGLEFINANCE(TRIM(F842)&amp;"":"" &amp; TRIM(B842),""low52""),AE842)"),42.66)</f>
        <v>42.66</v>
      </c>
      <c r="AI842" s="1">
        <f ca="1">IFERROR(__xludf.DUMMYFUNCTION("IFERROR(GOOGLEFINANCE(B842,""eps""),0)"),1.7)</f>
        <v>1.7</v>
      </c>
      <c r="AJ842" s="1"/>
      <c r="AK842" s="1" t="s">
        <v>2590</v>
      </c>
      <c r="AL842" s="9">
        <f t="shared" si="143"/>
        <v>1</v>
      </c>
    </row>
    <row r="843" spans="1:38" ht="15" x14ac:dyDescent="0.25">
      <c r="A843" s="1" t="s">
        <v>2591</v>
      </c>
      <c r="B843" s="1" t="s">
        <v>2592</v>
      </c>
      <c r="C843" s="1" t="s">
        <v>487</v>
      </c>
      <c r="D843" s="1" t="s">
        <v>487</v>
      </c>
      <c r="E843" s="6">
        <v>272.33</v>
      </c>
      <c r="F843" s="1" t="s">
        <v>53</v>
      </c>
      <c r="G843" s="6">
        <f ca="1">IFERROR(__xludf.DUMMYFUNCTION("iferror(GOOGLEFINANCE(TRIM(F843)&amp;"":"" &amp; TRIM(B843), ""price""),0
)"),0)</f>
        <v>0</v>
      </c>
      <c r="H843" s="6">
        <v>145.65</v>
      </c>
      <c r="I843" s="6">
        <f t="shared" ca="1" si="0"/>
        <v>145.65</v>
      </c>
      <c r="J843" s="6">
        <f ca="1">IFERROR(__xludf.DUMMYFUNCTION("IFERROR(GOOGLEFINANCE(B843, ""volume""), 0)"),0)</f>
        <v>0</v>
      </c>
      <c r="K843" s="12"/>
      <c r="L843" s="6" t="str">
        <f ca="1">IFERROR(__xludf.DUMMYFUNCTION("IFERROR(GOOGLEFINANCE(B843,""changepct""),K843)"),"")</f>
        <v/>
      </c>
      <c r="M843" s="6">
        <f ca="1">IFERROR(__xludf.DUMMYFUNCTION("IFERROR(GOOGLEFINANCE(B843,""change""),0)"),0)</f>
        <v>0</v>
      </c>
      <c r="N843" s="6">
        <v>2</v>
      </c>
      <c r="O843" s="7">
        <v>45536</v>
      </c>
      <c r="P843" s="6">
        <v>0.14000000000000001</v>
      </c>
      <c r="Q843" s="6">
        <v>271.44</v>
      </c>
      <c r="R843" s="7">
        <v>45536</v>
      </c>
      <c r="S843" s="6">
        <v>6.38</v>
      </c>
      <c r="T843" s="6">
        <v>0.76</v>
      </c>
      <c r="U843" s="7">
        <v>45536</v>
      </c>
      <c r="V843" s="6">
        <v>327.32</v>
      </c>
      <c r="W843" s="6">
        <f ca="1">IFERROR(__xludf.DUMMYFUNCTION("IFERROR(GOOGLEFINANCE(B843,""pe""),V843)"),327.32)</f>
        <v>327.32</v>
      </c>
      <c r="X843" s="6">
        <v>21.32</v>
      </c>
      <c r="Y843" s="6">
        <v>4.1399999999999997</v>
      </c>
      <c r="Z843" s="6">
        <v>2</v>
      </c>
      <c r="AA843" s="8">
        <v>45352</v>
      </c>
      <c r="AB843" s="4">
        <v>0</v>
      </c>
      <c r="AC843" s="6">
        <v>0.86</v>
      </c>
      <c r="AD843" s="6">
        <v>2.96</v>
      </c>
      <c r="AE843" s="1">
        <v>0</v>
      </c>
      <c r="AF843" s="1">
        <f ca="1">IFERROR(__xludf.DUMMYFUNCTION("IFERROR(GOOGLEFINANCE(TRIM(F843)&amp;"":"" &amp; TRIM(B843),""high52""),AE843)"),0)</f>
        <v>0</v>
      </c>
      <c r="AG843" s="1">
        <v>0</v>
      </c>
      <c r="AH843" s="1">
        <f ca="1">IFERROR(__xludf.DUMMYFUNCTION("IFERROR(GOOGLEFINANCE(TRIM(F843)&amp;"":"" &amp; TRIM(B843),""low52""),AE843)"),0)</f>
        <v>0</v>
      </c>
      <c r="AI843" s="1">
        <f ca="1">IFERROR(__xludf.DUMMYFUNCTION("IFERROR(GOOGLEFINANCE(B843,""eps""),0)"),0)</f>
        <v>0</v>
      </c>
      <c r="AJ843" s="1"/>
      <c r="AK843" s="1" t="s">
        <v>2593</v>
      </c>
      <c r="AL843" s="9">
        <f t="shared" si="143"/>
        <v>1</v>
      </c>
    </row>
    <row r="844" spans="1:38" ht="15" x14ac:dyDescent="0.25">
      <c r="A844" s="1" t="s">
        <v>2594</v>
      </c>
      <c r="B844" s="1" t="s">
        <v>2595</v>
      </c>
      <c r="C844" s="1" t="s">
        <v>525</v>
      </c>
      <c r="D844" s="1" t="s">
        <v>525</v>
      </c>
      <c r="E844" s="6">
        <v>4091.78</v>
      </c>
      <c r="F844" s="1" t="s">
        <v>40</v>
      </c>
      <c r="G844" s="6">
        <f ca="1">IFERROR(__xludf.DUMMYFUNCTION("iferror(GOOGLEFINANCE(TRIM(F844)&amp;"":"" &amp; TRIM(B844), ""price""),0
)"),167.55)</f>
        <v>167.55</v>
      </c>
      <c r="H844" s="6">
        <v>375</v>
      </c>
      <c r="I844" s="6">
        <f t="shared" ca="1" si="0"/>
        <v>167.55</v>
      </c>
      <c r="J844" s="6">
        <f ca="1">IFERROR(__xludf.DUMMYFUNCTION("IFERROR(GOOGLEFINANCE(B844, ""volume""), 0)"),641444)</f>
        <v>641444</v>
      </c>
      <c r="K844" s="6">
        <v>2.0099999999999998</v>
      </c>
      <c r="L844" s="6">
        <f ca="1">IFERROR(__xludf.DUMMYFUNCTION("IFERROR(GOOGLEFINANCE(B844,""changepct""),K844)"),-1.65)</f>
        <v>-1.65</v>
      </c>
      <c r="M844" s="6">
        <f ca="1">IFERROR(__xludf.DUMMYFUNCTION("IFERROR(GOOGLEFINANCE(B844,""change""),0)"),-2.81)</f>
        <v>-2.81</v>
      </c>
      <c r="N844" s="6">
        <v>2</v>
      </c>
      <c r="O844" s="7">
        <v>45536</v>
      </c>
      <c r="P844" s="6">
        <v>69.16</v>
      </c>
      <c r="Q844" s="6">
        <v>3180.63</v>
      </c>
      <c r="R844" s="7">
        <v>45536</v>
      </c>
      <c r="S844" s="6">
        <v>1278.06</v>
      </c>
      <c r="T844" s="6">
        <v>54.5</v>
      </c>
      <c r="U844" s="7">
        <v>45536</v>
      </c>
      <c r="V844" s="6">
        <v>75.08</v>
      </c>
      <c r="W844" s="6">
        <f ca="1">IFERROR(__xludf.DUMMYFUNCTION("IFERROR(GOOGLEFINANCE(B844,""pe""),V844)"),72.4)</f>
        <v>72.400000000000006</v>
      </c>
      <c r="X844" s="9"/>
      <c r="Y844" s="6">
        <v>3.06</v>
      </c>
      <c r="Z844" s="6">
        <v>2</v>
      </c>
      <c r="AA844" s="8">
        <v>45352</v>
      </c>
      <c r="AB844" s="4">
        <v>0.26</v>
      </c>
      <c r="AC844" s="6">
        <v>8.9499999999999993</v>
      </c>
      <c r="AD844" s="6">
        <v>9.98</v>
      </c>
      <c r="AE844" s="1">
        <v>0</v>
      </c>
      <c r="AF844" s="1">
        <f ca="1">IFERROR(__xludf.DUMMYFUNCTION("IFERROR(GOOGLEFINANCE(TRIM(F844)&amp;"":"" &amp; TRIM(B844),""high52""),AE844)"),363.75)</f>
        <v>363.75</v>
      </c>
      <c r="AG844" s="1">
        <v>0</v>
      </c>
      <c r="AH844" s="1">
        <f ca="1">IFERROR(__xludf.DUMMYFUNCTION("IFERROR(GOOGLEFINANCE(TRIM(F844)&amp;"":"" &amp; TRIM(B844),""low52""),AE844)"),153.6)</f>
        <v>153.6</v>
      </c>
      <c r="AI844" s="1">
        <f ca="1">IFERROR(__xludf.DUMMYFUNCTION("IFERROR(GOOGLEFINANCE(B844,""eps""),0)"),2.31)</f>
        <v>2.31</v>
      </c>
      <c r="AJ844" s="1"/>
      <c r="AK844" s="9"/>
      <c r="AL844" s="9">
        <f t="shared" si="143"/>
        <v>1</v>
      </c>
    </row>
    <row r="845" spans="1:38" ht="15" x14ac:dyDescent="0.25">
      <c r="A845" s="1" t="s">
        <v>2596</v>
      </c>
      <c r="B845" s="1" t="s">
        <v>2597</v>
      </c>
      <c r="C845" s="1" t="s">
        <v>416</v>
      </c>
      <c r="D845" s="1" t="s">
        <v>416</v>
      </c>
      <c r="E845" s="6">
        <v>285.60000000000002</v>
      </c>
      <c r="F845" s="1" t="s">
        <v>40</v>
      </c>
      <c r="G845" s="6">
        <f ca="1">IFERROR(__xludf.DUMMYFUNCTION("iferror(GOOGLEFINANCE(TRIM(F845)&amp;"":"" &amp; TRIM(B845), ""price""),0
)"),0)</f>
        <v>0</v>
      </c>
      <c r="H845" s="6">
        <v>331.85</v>
      </c>
      <c r="I845" s="6">
        <f t="shared" ca="1" si="0"/>
        <v>331.85</v>
      </c>
      <c r="J845" s="6">
        <f ca="1">IFERROR(__xludf.DUMMYFUNCTION("IFERROR(GOOGLEFINANCE(B845, ""volume""), 0)"),0)</f>
        <v>0</v>
      </c>
      <c r="K845" s="9"/>
      <c r="L845" s="6" t="str">
        <f ca="1">IFERROR(__xludf.DUMMYFUNCTION("IFERROR(GOOGLEFINANCE(B845,""changepct""),K845)"),"")</f>
        <v/>
      </c>
      <c r="M845" s="6">
        <f ca="1">IFERROR(__xludf.DUMMYFUNCTION("IFERROR(GOOGLEFINANCE(B845,""change""),0)"),0)</f>
        <v>0</v>
      </c>
      <c r="N845" s="6">
        <v>1</v>
      </c>
      <c r="O845" s="7">
        <v>45536</v>
      </c>
      <c r="P845" s="6">
        <v>53.72</v>
      </c>
      <c r="Q845" s="6">
        <v>339.32</v>
      </c>
      <c r="R845" s="7">
        <v>45352</v>
      </c>
      <c r="S845" s="6">
        <v>109.8</v>
      </c>
      <c r="T845" s="6">
        <v>8.66</v>
      </c>
      <c r="U845" s="7">
        <v>45352</v>
      </c>
      <c r="V845" s="6">
        <v>32.99</v>
      </c>
      <c r="W845" s="6">
        <f ca="1">IFERROR(__xludf.DUMMYFUNCTION("IFERROR(GOOGLEFINANCE(B845,""pe""),V845)"),32.99)</f>
        <v>32.99</v>
      </c>
      <c r="X845" s="12"/>
      <c r="Y845" s="6">
        <v>6.32</v>
      </c>
      <c r="Z845" s="6">
        <v>1</v>
      </c>
      <c r="AA845" s="8">
        <v>45352</v>
      </c>
      <c r="AB845" s="4">
        <v>0.9</v>
      </c>
      <c r="AC845" s="6">
        <v>29.49</v>
      </c>
      <c r="AD845" s="6">
        <v>14.37</v>
      </c>
      <c r="AE845" s="1">
        <v>0</v>
      </c>
      <c r="AF845" s="1">
        <f ca="1">IFERROR(__xludf.DUMMYFUNCTION("IFERROR(GOOGLEFINANCE(TRIM(F845)&amp;"":"" &amp; TRIM(B845),""high52""),AE845)"),0)</f>
        <v>0</v>
      </c>
      <c r="AG845" s="1">
        <v>0</v>
      </c>
      <c r="AH845" s="1">
        <f ca="1">IFERROR(__xludf.DUMMYFUNCTION("IFERROR(GOOGLEFINANCE(TRIM(F845)&amp;"":"" &amp; TRIM(B845),""low52""),AE845)"),0)</f>
        <v>0</v>
      </c>
      <c r="AI845" s="1">
        <f ca="1">IFERROR(__xludf.DUMMYFUNCTION("IFERROR(GOOGLEFINANCE(B845,""eps""),0)"),0)</f>
        <v>0</v>
      </c>
      <c r="AJ845" s="1"/>
      <c r="AK845" s="1" t="s">
        <v>2598</v>
      </c>
      <c r="AL845" s="9">
        <f t="shared" si="143"/>
        <v>1</v>
      </c>
    </row>
    <row r="846" spans="1:38" ht="15" x14ac:dyDescent="0.25">
      <c r="A846" s="1" t="s">
        <v>2599</v>
      </c>
      <c r="B846" s="1" t="s">
        <v>2600</v>
      </c>
      <c r="C846" s="1" t="s">
        <v>487</v>
      </c>
      <c r="D846" s="1" t="s">
        <v>487</v>
      </c>
      <c r="E846" s="6">
        <v>177.21</v>
      </c>
      <c r="F846" s="1" t="s">
        <v>53</v>
      </c>
      <c r="G846" s="6">
        <f ca="1">IFERROR(__xludf.DUMMYFUNCTION("iferror(GOOGLEFINANCE(TRIM(F846)&amp;"":"" &amp; TRIM(B846), ""price""),0
)"),0)</f>
        <v>0</v>
      </c>
      <c r="H846" s="6">
        <v>196.9</v>
      </c>
      <c r="I846" s="6">
        <f t="shared" ca="1" si="0"/>
        <v>196.9</v>
      </c>
      <c r="J846" s="6">
        <f ca="1">IFERROR(__xludf.DUMMYFUNCTION("IFERROR(GOOGLEFINANCE(B846, ""volume""), 0)"),0)</f>
        <v>0</v>
      </c>
      <c r="K846" s="9"/>
      <c r="L846" s="6" t="str">
        <f ca="1">IFERROR(__xludf.DUMMYFUNCTION("IFERROR(GOOGLEFINANCE(B846,""changepct""),K846)"),"")</f>
        <v/>
      </c>
      <c r="M846" s="6">
        <f ca="1">IFERROR(__xludf.DUMMYFUNCTION("IFERROR(GOOGLEFINANCE(B846,""change""),0)"),0)</f>
        <v>0</v>
      </c>
      <c r="N846" s="6">
        <v>2</v>
      </c>
      <c r="O846" s="7">
        <v>45536</v>
      </c>
      <c r="P846" s="6">
        <v>31.41</v>
      </c>
      <c r="Q846" s="6">
        <v>205.75</v>
      </c>
      <c r="R846" s="7">
        <v>45536</v>
      </c>
      <c r="S846" s="6">
        <v>29.93</v>
      </c>
      <c r="T846" s="6">
        <v>1.06</v>
      </c>
      <c r="U846" s="7">
        <v>45536</v>
      </c>
      <c r="V846" s="6">
        <v>167.65</v>
      </c>
      <c r="W846" s="6">
        <f ca="1">IFERROR(__xludf.DUMMYFUNCTION("IFERROR(GOOGLEFINANCE(B846,""pe""),V846)"),167.65)</f>
        <v>167.65</v>
      </c>
      <c r="X846" s="9"/>
      <c r="Y846" s="6">
        <v>1.21</v>
      </c>
      <c r="Z846" s="6">
        <v>2</v>
      </c>
      <c r="AA846" s="8">
        <v>45352</v>
      </c>
      <c r="AB846" s="4">
        <v>0.22</v>
      </c>
      <c r="AC846" s="6">
        <v>-0.65</v>
      </c>
      <c r="AD846" s="6">
        <v>-0.18</v>
      </c>
      <c r="AE846" s="1">
        <v>0</v>
      </c>
      <c r="AF846" s="1">
        <f ca="1">IFERROR(__xludf.DUMMYFUNCTION("IFERROR(GOOGLEFINANCE(TRIM(F846)&amp;"":"" &amp; TRIM(B846),""high52""),AE846)"),0)</f>
        <v>0</v>
      </c>
      <c r="AG846" s="1">
        <v>0</v>
      </c>
      <c r="AH846" s="1">
        <f ca="1">IFERROR(__xludf.DUMMYFUNCTION("IFERROR(GOOGLEFINANCE(TRIM(F846)&amp;"":"" &amp; TRIM(B846),""low52""),AE846)"),0)</f>
        <v>0</v>
      </c>
      <c r="AI846" s="1">
        <f ca="1">IFERROR(__xludf.DUMMYFUNCTION("IFERROR(GOOGLEFINANCE(B846,""eps""),0)"),0)</f>
        <v>0</v>
      </c>
      <c r="AJ846" s="1"/>
      <c r="AK846" s="1" t="s">
        <v>2601</v>
      </c>
      <c r="AL846" s="9">
        <f t="shared" si="143"/>
        <v>1</v>
      </c>
    </row>
    <row r="847" spans="1:38" ht="15" x14ac:dyDescent="0.25">
      <c r="A847" s="1" t="s">
        <v>2602</v>
      </c>
      <c r="B847" s="1" t="s">
        <v>2603</v>
      </c>
      <c r="C847" s="1" t="s">
        <v>398</v>
      </c>
      <c r="D847" s="1" t="s">
        <v>398</v>
      </c>
      <c r="E847" s="6">
        <v>661.67</v>
      </c>
      <c r="F847" s="1" t="s">
        <v>40</v>
      </c>
      <c r="G847" s="6">
        <f ca="1">IFERROR(__xludf.DUMMYFUNCTION("iferror(GOOGLEFINANCE(TRIM(F847)&amp;"":"" &amp; TRIM(B847), ""price""),0
)"),588)</f>
        <v>588</v>
      </c>
      <c r="H847" s="6">
        <v>1280</v>
      </c>
      <c r="I847" s="6">
        <f t="shared" ca="1" si="0"/>
        <v>588</v>
      </c>
      <c r="J847" s="6">
        <f ca="1">IFERROR(__xludf.DUMMYFUNCTION("IFERROR(GOOGLEFINANCE(B847, ""volume""), 0)"),1998)</f>
        <v>1998</v>
      </c>
      <c r="K847" s="6">
        <v>2.4</v>
      </c>
      <c r="L847" s="6">
        <f ca="1">IFERROR(__xludf.DUMMYFUNCTION("IFERROR(GOOGLEFINANCE(B847,""changepct""),K847)"),3.08)</f>
        <v>3.08</v>
      </c>
      <c r="M847" s="6">
        <f ca="1">IFERROR(__xludf.DUMMYFUNCTION("IFERROR(GOOGLEFINANCE(B847,""change""),0)"),17.55)</f>
        <v>17.55</v>
      </c>
      <c r="N847" s="6">
        <v>1</v>
      </c>
      <c r="O847" s="7">
        <v>45536</v>
      </c>
      <c r="P847" s="9"/>
      <c r="Q847" s="6">
        <v>653.22</v>
      </c>
      <c r="R847" s="7">
        <v>45536</v>
      </c>
      <c r="S847" s="6">
        <v>76.47</v>
      </c>
      <c r="T847" s="6">
        <v>18.3</v>
      </c>
      <c r="U847" s="7">
        <v>45536</v>
      </c>
      <c r="V847" s="6">
        <v>36.159999999999997</v>
      </c>
      <c r="W847" s="6">
        <f ca="1">IFERROR(__xludf.DUMMYFUNCTION("IFERROR(GOOGLEFINANCE(B847,""pe""),V847)"),117.23)</f>
        <v>117.23</v>
      </c>
      <c r="X847" s="6">
        <v>0.56000000000000005</v>
      </c>
      <c r="Y847" s="6">
        <v>5.3</v>
      </c>
      <c r="Z847" s="6">
        <v>1</v>
      </c>
      <c r="AA847" s="8">
        <v>45352</v>
      </c>
      <c r="AB847" s="4">
        <v>0</v>
      </c>
      <c r="AC847" s="6">
        <v>17.170000000000002</v>
      </c>
      <c r="AD847" s="6">
        <v>22.95</v>
      </c>
      <c r="AE847" s="1">
        <v>0</v>
      </c>
      <c r="AF847" s="1">
        <f ca="1">IFERROR(__xludf.DUMMYFUNCTION("IFERROR(GOOGLEFINANCE(TRIM(F847)&amp;"":"" &amp; TRIM(B847),""high52""),AE847)"),994.5)</f>
        <v>994.5</v>
      </c>
      <c r="AG847" s="1">
        <v>0</v>
      </c>
      <c r="AH847" s="1">
        <f ca="1">IFERROR(__xludf.DUMMYFUNCTION("IFERROR(GOOGLEFINANCE(TRIM(F847)&amp;"":"" &amp; TRIM(B847),""low52""),AE847)"),559)</f>
        <v>559</v>
      </c>
      <c r="AI847" s="1">
        <f ca="1">IFERROR(__xludf.DUMMYFUNCTION("IFERROR(GOOGLEFINANCE(B847,""eps""),0)"),5.02)</f>
        <v>5.0199999999999996</v>
      </c>
      <c r="AJ847" s="1"/>
      <c r="AK847" s="1" t="s">
        <v>2604</v>
      </c>
      <c r="AL847" s="9">
        <f t="shared" si="143"/>
        <v>1</v>
      </c>
    </row>
    <row r="848" spans="1:38" ht="15" x14ac:dyDescent="0.25">
      <c r="A848" s="1" t="s">
        <v>2605</v>
      </c>
      <c r="B848" s="1" t="s">
        <v>2606</v>
      </c>
      <c r="C848" s="1" t="s">
        <v>487</v>
      </c>
      <c r="D848" s="1" t="s">
        <v>487</v>
      </c>
      <c r="E848" s="6">
        <v>61.59</v>
      </c>
      <c r="F848" s="1" t="s">
        <v>53</v>
      </c>
      <c r="G848" s="6">
        <f ca="1">IFERROR(__xludf.DUMMYFUNCTION("iferror(GOOGLEFINANCE(TRIM(F848)&amp;"":"" &amp; TRIM(B848), ""price""),0
)"),0)</f>
        <v>0</v>
      </c>
      <c r="H848" s="6">
        <v>18.84</v>
      </c>
      <c r="I848" s="6">
        <f t="shared" ca="1" si="0"/>
        <v>18.84</v>
      </c>
      <c r="J848" s="6">
        <f ca="1">IFERROR(__xludf.DUMMYFUNCTION("IFERROR(GOOGLEFINANCE(B848, ""volume""), 0)"),0)</f>
        <v>0</v>
      </c>
      <c r="K848" s="6">
        <v>0.64</v>
      </c>
      <c r="L848" s="6">
        <f ca="1">IFERROR(__xludf.DUMMYFUNCTION("IFERROR(GOOGLEFINANCE(B848,""changepct""),K848)"),0.64)</f>
        <v>0.64</v>
      </c>
      <c r="M848" s="6">
        <f ca="1">IFERROR(__xludf.DUMMYFUNCTION("IFERROR(GOOGLEFINANCE(B848,""change""),0)"),0)</f>
        <v>0</v>
      </c>
      <c r="N848" s="6">
        <v>1</v>
      </c>
      <c r="O848" s="7">
        <v>45536</v>
      </c>
      <c r="P848" s="6">
        <v>54.94</v>
      </c>
      <c r="Q848" s="6">
        <v>108.46</v>
      </c>
      <c r="R848" s="7">
        <v>45536</v>
      </c>
      <c r="S848" s="6">
        <v>216.87</v>
      </c>
      <c r="T848" s="6">
        <v>4.4800000000000004</v>
      </c>
      <c r="U848" s="7">
        <v>45536</v>
      </c>
      <c r="V848" s="6">
        <v>13.74</v>
      </c>
      <c r="W848" s="6">
        <f ca="1">IFERROR(__xludf.DUMMYFUNCTION("IFERROR(GOOGLEFINANCE(B848,""pe""),V848)"),13.74)</f>
        <v>13.74</v>
      </c>
      <c r="X848" s="6">
        <v>-2.4900000000000002</v>
      </c>
      <c r="Y848" s="6">
        <v>0.71</v>
      </c>
      <c r="Z848" s="6">
        <v>1</v>
      </c>
      <c r="AA848" s="8">
        <v>45352</v>
      </c>
      <c r="AB848" s="4">
        <v>0.71</v>
      </c>
      <c r="AC848" s="6">
        <v>4.8099999999999996</v>
      </c>
      <c r="AD848" s="6">
        <v>9.18</v>
      </c>
      <c r="AE848" s="1">
        <v>0</v>
      </c>
      <c r="AF848" s="1">
        <f ca="1">IFERROR(__xludf.DUMMYFUNCTION("IFERROR(GOOGLEFINANCE(TRIM(F848)&amp;"":"" &amp; TRIM(B848),""high52""),AE848)"),0)</f>
        <v>0</v>
      </c>
      <c r="AG848" s="1">
        <v>0</v>
      </c>
      <c r="AH848" s="1">
        <f ca="1">IFERROR(__xludf.DUMMYFUNCTION("IFERROR(GOOGLEFINANCE(TRIM(F848)&amp;"":"" &amp; TRIM(B848),""low52""),AE848)"),0)</f>
        <v>0</v>
      </c>
      <c r="AI848" s="1">
        <f ca="1">IFERROR(__xludf.DUMMYFUNCTION("IFERROR(GOOGLEFINANCE(B848,""eps""),0)"),0)</f>
        <v>0</v>
      </c>
      <c r="AJ848" s="1"/>
      <c r="AK848" s="1" t="s">
        <v>2607</v>
      </c>
      <c r="AL848" s="9">
        <f t="shared" si="143"/>
        <v>1</v>
      </c>
    </row>
    <row r="849" spans="1:38" ht="15" x14ac:dyDescent="0.25">
      <c r="A849" s="1" t="s">
        <v>2608</v>
      </c>
      <c r="B849" s="1" t="s">
        <v>2609</v>
      </c>
      <c r="C849" s="1" t="s">
        <v>112</v>
      </c>
      <c r="D849" s="1" t="s">
        <v>112</v>
      </c>
      <c r="E849" s="6">
        <v>50.94</v>
      </c>
      <c r="F849" s="1" t="s">
        <v>40</v>
      </c>
      <c r="G849" s="6">
        <f ca="1">IFERROR(__xludf.DUMMYFUNCTION("iferror(GOOGLEFINANCE(TRIM(F849)&amp;"":"" &amp; TRIM(B849), ""price""),0
)"),1.33)</f>
        <v>1.33</v>
      </c>
      <c r="H849" s="6">
        <v>3.15</v>
      </c>
      <c r="I849" s="6">
        <f t="shared" ca="1" si="0"/>
        <v>1.33</v>
      </c>
      <c r="J849" s="6">
        <f ca="1">IFERROR(__xludf.DUMMYFUNCTION("IFERROR(GOOGLEFINANCE(B849, ""volume""), 0)"),105412)</f>
        <v>105412</v>
      </c>
      <c r="K849" s="6">
        <v>0.64</v>
      </c>
      <c r="L849" s="6">
        <f ca="1">IFERROR(__xludf.DUMMYFUNCTION("IFERROR(GOOGLEFINANCE(B849,""changepct""),K849)"),0)</f>
        <v>0</v>
      </c>
      <c r="M849" s="6">
        <f ca="1">IFERROR(__xludf.DUMMYFUNCTION("IFERROR(GOOGLEFINANCE(B849,""change""),0)"),0)</f>
        <v>0</v>
      </c>
      <c r="N849" s="6">
        <v>1</v>
      </c>
      <c r="O849" s="7">
        <v>45536</v>
      </c>
      <c r="P849" s="9"/>
      <c r="Q849" s="6">
        <v>50.94</v>
      </c>
      <c r="R849" s="7">
        <v>45536</v>
      </c>
      <c r="S849" s="6">
        <v>69.650000000000006</v>
      </c>
      <c r="T849" s="6">
        <v>5.49</v>
      </c>
      <c r="U849" s="7">
        <v>45536</v>
      </c>
      <c r="V849" s="6">
        <v>9.27</v>
      </c>
      <c r="W849" s="6">
        <f ca="1">IFERROR(__xludf.DUMMYFUNCTION("IFERROR(GOOGLEFINANCE(B849,""pe""),V849)"),9.27)</f>
        <v>9.27</v>
      </c>
      <c r="X849" s="6">
        <v>0.14000000000000001</v>
      </c>
      <c r="Y849" s="6">
        <v>0.23</v>
      </c>
      <c r="Z849" s="6">
        <v>1</v>
      </c>
      <c r="AA849" s="8">
        <v>45352</v>
      </c>
      <c r="AB849" s="4">
        <v>0</v>
      </c>
      <c r="AC849" s="6">
        <v>5.43</v>
      </c>
      <c r="AD849" s="6">
        <v>8.44</v>
      </c>
      <c r="AE849" s="1">
        <v>0</v>
      </c>
      <c r="AF849" s="1">
        <f ca="1">IFERROR(__xludf.DUMMYFUNCTION("IFERROR(GOOGLEFINANCE(TRIM(F849)&amp;"":"" &amp; TRIM(B849),""high52""),AE849)"),2.89)</f>
        <v>2.89</v>
      </c>
      <c r="AG849" s="1">
        <v>0</v>
      </c>
      <c r="AH849" s="1">
        <f ca="1">IFERROR(__xludf.DUMMYFUNCTION("IFERROR(GOOGLEFINANCE(TRIM(F849)&amp;"":"" &amp; TRIM(B849),""low52""),AE849)"),1.27)</f>
        <v>1.27</v>
      </c>
      <c r="AI849" s="1">
        <f ca="1">IFERROR(__xludf.DUMMYFUNCTION("IFERROR(GOOGLEFINANCE(B849,""eps""),0)"),-1.69)</f>
        <v>-1.69</v>
      </c>
      <c r="AJ849" s="1"/>
      <c r="AK849" s="1" t="s">
        <v>2610</v>
      </c>
      <c r="AL849" s="9">
        <f t="shared" si="143"/>
        <v>1</v>
      </c>
    </row>
    <row r="850" spans="1:38" ht="15" x14ac:dyDescent="0.25">
      <c r="A850" s="1" t="s">
        <v>2611</v>
      </c>
      <c r="B850" s="1" t="s">
        <v>2612</v>
      </c>
      <c r="C850" s="1" t="s">
        <v>239</v>
      </c>
      <c r="D850" s="1" t="s">
        <v>239</v>
      </c>
      <c r="E850" s="6">
        <v>962.6</v>
      </c>
      <c r="F850" s="1" t="s">
        <v>40</v>
      </c>
      <c r="G850" s="6">
        <f ca="1">IFERROR(__xludf.DUMMYFUNCTION("iferror(GOOGLEFINANCE(TRIM(F850)&amp;"":"" &amp; TRIM(B850), ""price""),0
)"),625)</f>
        <v>625</v>
      </c>
      <c r="H850" s="6">
        <v>710.25</v>
      </c>
      <c r="I850" s="6">
        <f t="shared" ca="1" si="0"/>
        <v>625</v>
      </c>
      <c r="J850" s="6">
        <f ca="1">IFERROR(__xludf.DUMMYFUNCTION("IFERROR(GOOGLEFINANCE(B850, ""volume""), 0)"),35556)</f>
        <v>35556</v>
      </c>
      <c r="K850" s="6">
        <v>2.96</v>
      </c>
      <c r="L850" s="6">
        <f ca="1">IFERROR(__xludf.DUMMYFUNCTION("IFERROR(GOOGLEFINANCE(B850,""changepct""),K850)"),-0.58)</f>
        <v>-0.57999999999999996</v>
      </c>
      <c r="M850" s="6">
        <f ca="1">IFERROR(__xludf.DUMMYFUNCTION("IFERROR(GOOGLEFINANCE(B850,""change""),0)"),-3.65)</f>
        <v>-3.65</v>
      </c>
      <c r="N850" s="6">
        <v>1</v>
      </c>
      <c r="O850" s="7">
        <v>45536</v>
      </c>
      <c r="P850" s="6">
        <v>610.37</v>
      </c>
      <c r="Q850" s="6">
        <v>1403.03</v>
      </c>
      <c r="R850" s="7">
        <v>45536</v>
      </c>
      <c r="S850" s="6">
        <v>732.71</v>
      </c>
      <c r="T850" s="6">
        <v>17.16</v>
      </c>
      <c r="U850" s="7">
        <v>45536</v>
      </c>
      <c r="V850" s="6">
        <v>56.08</v>
      </c>
      <c r="W850" s="6">
        <f ca="1">IFERROR(__xludf.DUMMYFUNCTION("IFERROR(GOOGLEFINANCE(B850,""pe""),V850)"),26.46)</f>
        <v>26.46</v>
      </c>
      <c r="X850" s="6">
        <v>50.98</v>
      </c>
      <c r="Y850" s="6">
        <v>1.35</v>
      </c>
      <c r="Z850" s="6">
        <v>1</v>
      </c>
      <c r="AA850" s="8">
        <v>45352</v>
      </c>
      <c r="AB850" s="4">
        <v>0.72</v>
      </c>
      <c r="AC850" s="6">
        <v>5.3</v>
      </c>
      <c r="AD850" s="6">
        <v>6.03</v>
      </c>
      <c r="AE850" s="1">
        <v>0</v>
      </c>
      <c r="AF850" s="1">
        <f ca="1">IFERROR(__xludf.DUMMYFUNCTION("IFERROR(GOOGLEFINANCE(TRIM(F850)&amp;"":"" &amp; TRIM(B850),""high52""),AE850)"),1164.9)</f>
        <v>1164.9000000000001</v>
      </c>
      <c r="AG850" s="1">
        <v>0</v>
      </c>
      <c r="AH850" s="1">
        <f ca="1">IFERROR(__xludf.DUMMYFUNCTION("IFERROR(GOOGLEFINANCE(TRIM(F850)&amp;"":"" &amp; TRIM(B850),""low52""),AE850)"),577.95)</f>
        <v>577.95000000000005</v>
      </c>
      <c r="AI850" s="1">
        <f ca="1">IFERROR(__xludf.DUMMYFUNCTION("IFERROR(GOOGLEFINANCE(B850,""eps""),0)"),23.62)</f>
        <v>23.62</v>
      </c>
      <c r="AJ850" s="1"/>
      <c r="AK850" s="1" t="s">
        <v>2613</v>
      </c>
      <c r="AL850" s="1" t="b">
        <f>ISNUMBER(AA850)</f>
        <v>1</v>
      </c>
    </row>
    <row r="851" spans="1:38" ht="15" x14ac:dyDescent="0.25">
      <c r="A851" s="1" t="s">
        <v>2614</v>
      </c>
      <c r="B851" s="1" t="s">
        <v>2615</v>
      </c>
      <c r="C851" s="1" t="s">
        <v>487</v>
      </c>
      <c r="D851" s="1" t="s">
        <v>487</v>
      </c>
      <c r="E851" s="6">
        <v>9.9499999999999993</v>
      </c>
      <c r="F851" s="1" t="s">
        <v>53</v>
      </c>
      <c r="G851" s="6">
        <f ca="1">IFERROR(__xludf.DUMMYFUNCTION("iferror(GOOGLEFINANCE(TRIM(F851)&amp;"":"" &amp; TRIM(B851), ""price""),0
)"),0)</f>
        <v>0</v>
      </c>
      <c r="H851" s="6">
        <v>2.99</v>
      </c>
      <c r="I851" s="6">
        <f t="shared" ca="1" si="0"/>
        <v>2.99</v>
      </c>
      <c r="J851" s="6">
        <f ca="1">IFERROR(__xludf.DUMMYFUNCTION("IFERROR(GOOGLEFINANCE(B851, ""volume""), 0)"),0)</f>
        <v>0</v>
      </c>
      <c r="K851" s="6">
        <v>-0.99</v>
      </c>
      <c r="L851" s="6">
        <f ca="1">IFERROR(__xludf.DUMMYFUNCTION("IFERROR(GOOGLEFINANCE(B851,""changepct""),K851)"),-0.99)</f>
        <v>-0.99</v>
      </c>
      <c r="M851" s="6">
        <f ca="1">IFERROR(__xludf.DUMMYFUNCTION("IFERROR(GOOGLEFINANCE(B851,""change""),0)"),0)</f>
        <v>0</v>
      </c>
      <c r="N851" s="6">
        <v>1</v>
      </c>
      <c r="O851" s="7">
        <v>45536</v>
      </c>
      <c r="P851" s="6">
        <v>7.0000000000000007E-2</v>
      </c>
      <c r="Q851" s="6">
        <v>10.02</v>
      </c>
      <c r="R851" s="7">
        <v>45536</v>
      </c>
      <c r="S851" s="6">
        <v>0.15</v>
      </c>
      <c r="T851" s="6">
        <v>-0.09</v>
      </c>
      <c r="U851" s="7">
        <v>45536</v>
      </c>
      <c r="V851" s="6">
        <v>0</v>
      </c>
      <c r="W851" s="6">
        <f ca="1">IFERROR(__xludf.DUMMYFUNCTION("IFERROR(GOOGLEFINANCE(B851,""pe""),V851)"),0)</f>
        <v>0</v>
      </c>
      <c r="X851" s="9"/>
      <c r="Y851" s="6">
        <v>2.38</v>
      </c>
      <c r="Z851" s="6">
        <v>1</v>
      </c>
      <c r="AA851" s="8">
        <v>45352</v>
      </c>
      <c r="AB851" s="4">
        <v>0</v>
      </c>
      <c r="AC851" s="6">
        <v>-5.25</v>
      </c>
      <c r="AD851" s="6">
        <v>-5.2</v>
      </c>
      <c r="AE851" s="1">
        <v>0</v>
      </c>
      <c r="AF851" s="1">
        <f ca="1">IFERROR(__xludf.DUMMYFUNCTION("IFERROR(GOOGLEFINANCE(TRIM(F851)&amp;"":"" &amp; TRIM(B851),""high52""),AE851)"),0)</f>
        <v>0</v>
      </c>
      <c r="AG851" s="1">
        <v>0</v>
      </c>
      <c r="AH851" s="1">
        <f ca="1">IFERROR(__xludf.DUMMYFUNCTION("IFERROR(GOOGLEFINANCE(TRIM(F851)&amp;"":"" &amp; TRIM(B851),""low52""),AE851)"),0)</f>
        <v>0</v>
      </c>
      <c r="AI851" s="1">
        <f ca="1">IFERROR(__xludf.DUMMYFUNCTION("IFERROR(GOOGLEFINANCE(B851,""eps""),0)"),0)</f>
        <v>0</v>
      </c>
      <c r="AJ851" s="1"/>
      <c r="AK851" s="1" t="s">
        <v>2616</v>
      </c>
      <c r="AL851" s="9">
        <f t="shared" ref="AL851:AL868" si="144">IF(AA851&lt;&gt;AB851,1,0)</f>
        <v>1</v>
      </c>
    </row>
    <row r="852" spans="1:38" ht="15" x14ac:dyDescent="0.25">
      <c r="A852" s="1" t="s">
        <v>2617</v>
      </c>
      <c r="B852" s="1" t="s">
        <v>2618</v>
      </c>
      <c r="C852" s="1" t="s">
        <v>231</v>
      </c>
      <c r="D852" s="1" t="s">
        <v>231</v>
      </c>
      <c r="E852" s="6">
        <v>146.34</v>
      </c>
      <c r="F852" s="1" t="s">
        <v>40</v>
      </c>
      <c r="G852" s="6">
        <f ca="1">IFERROR(__xludf.DUMMYFUNCTION("iferror(GOOGLEFINANCE(TRIM(F852)&amp;"":"" &amp; TRIM(B852), ""price""),0
)"),0)</f>
        <v>0</v>
      </c>
      <c r="H852" s="6">
        <v>66.650000000000006</v>
      </c>
      <c r="I852" s="6">
        <f t="shared" ca="1" si="0"/>
        <v>66.650000000000006</v>
      </c>
      <c r="J852" s="6">
        <f ca="1">IFERROR(__xludf.DUMMYFUNCTION("IFERROR(GOOGLEFINANCE(B852, ""volume""), 0)"),0)</f>
        <v>0</v>
      </c>
      <c r="K852" s="6">
        <v>3.49</v>
      </c>
      <c r="L852" s="6">
        <f ca="1">IFERROR(__xludf.DUMMYFUNCTION("IFERROR(GOOGLEFINANCE(B852,""changepct""),K852)"),3.49)</f>
        <v>3.49</v>
      </c>
      <c r="M852" s="6">
        <f ca="1">IFERROR(__xludf.DUMMYFUNCTION("IFERROR(GOOGLEFINANCE(B852,""change""),0)"),0)</f>
        <v>0</v>
      </c>
      <c r="N852" s="6">
        <v>1</v>
      </c>
      <c r="O852" s="7">
        <v>45536</v>
      </c>
      <c r="P852" s="6">
        <v>10.18</v>
      </c>
      <c r="Q852" s="6">
        <v>156.52000000000001</v>
      </c>
      <c r="R852" s="12"/>
      <c r="S852" s="12"/>
      <c r="T852" s="12"/>
      <c r="U852" s="7">
        <v>45352</v>
      </c>
      <c r="V852" s="6">
        <v>26.3</v>
      </c>
      <c r="W852" s="6">
        <f ca="1">IFERROR(__xludf.DUMMYFUNCTION("IFERROR(GOOGLEFINANCE(B852,""pe""),V852)"),26.3)</f>
        <v>26.3</v>
      </c>
      <c r="X852" s="12"/>
      <c r="Y852" s="6">
        <v>1.67</v>
      </c>
      <c r="Z852" s="6">
        <v>2</v>
      </c>
      <c r="AA852" s="8">
        <v>45352</v>
      </c>
      <c r="AB852" s="4">
        <v>0.72</v>
      </c>
      <c r="AC852" s="6">
        <v>45.03</v>
      </c>
      <c r="AD852" s="6">
        <v>39.79</v>
      </c>
      <c r="AE852" s="1">
        <v>0</v>
      </c>
      <c r="AF852" s="1">
        <f ca="1">IFERROR(__xludf.DUMMYFUNCTION("IFERROR(GOOGLEFINANCE(TRIM(F852)&amp;"":"" &amp; TRIM(B852),""high52""),AE852)"),0)</f>
        <v>0</v>
      </c>
      <c r="AG852" s="1">
        <v>0</v>
      </c>
      <c r="AH852" s="1">
        <f ca="1">IFERROR(__xludf.DUMMYFUNCTION("IFERROR(GOOGLEFINANCE(TRIM(F852)&amp;"":"" &amp; TRIM(B852),""low52""),AE852)"),0)</f>
        <v>0</v>
      </c>
      <c r="AI852" s="1">
        <f ca="1">IFERROR(__xludf.DUMMYFUNCTION("IFERROR(GOOGLEFINANCE(B852,""eps""),0)"),0)</f>
        <v>0</v>
      </c>
      <c r="AJ852" s="1"/>
      <c r="AK852" s="1" t="s">
        <v>2619</v>
      </c>
      <c r="AL852" s="9">
        <f t="shared" si="144"/>
        <v>1</v>
      </c>
    </row>
    <row r="853" spans="1:38" ht="15" x14ac:dyDescent="0.25">
      <c r="A853" s="1" t="s">
        <v>2620</v>
      </c>
      <c r="B853" s="1" t="s">
        <v>2621</v>
      </c>
      <c r="C853" s="1" t="s">
        <v>487</v>
      </c>
      <c r="D853" s="1" t="s">
        <v>487</v>
      </c>
      <c r="E853" s="6">
        <v>238.95</v>
      </c>
      <c r="F853" s="1" t="s">
        <v>53</v>
      </c>
      <c r="G853" s="6">
        <f ca="1">IFERROR(__xludf.DUMMYFUNCTION("iferror(GOOGLEFINANCE(TRIM(F853)&amp;"":"" &amp; TRIM(B853), ""price""),0
)"),0)</f>
        <v>0</v>
      </c>
      <c r="H853" s="6">
        <v>12.08</v>
      </c>
      <c r="I853" s="6">
        <f t="shared" ca="1" si="0"/>
        <v>12.08</v>
      </c>
      <c r="J853" s="6">
        <f ca="1">IFERROR(__xludf.DUMMYFUNCTION("IFERROR(GOOGLEFINANCE(B853, ""volume""), 0)"),0)</f>
        <v>0</v>
      </c>
      <c r="K853" s="6">
        <v>-1.63</v>
      </c>
      <c r="L853" s="6">
        <f ca="1">IFERROR(__xludf.DUMMYFUNCTION("IFERROR(GOOGLEFINANCE(B853,""changepct""),K853)"),-1.63)</f>
        <v>-1.63</v>
      </c>
      <c r="M853" s="6">
        <f ca="1">IFERROR(__xludf.DUMMYFUNCTION("IFERROR(GOOGLEFINANCE(B853,""change""),0)"),0)</f>
        <v>0</v>
      </c>
      <c r="N853" s="6">
        <v>2</v>
      </c>
      <c r="O853" s="7">
        <v>45536</v>
      </c>
      <c r="P853" s="6">
        <v>26.9</v>
      </c>
      <c r="Q853" s="6">
        <v>265.83999999999997</v>
      </c>
      <c r="R853" s="7">
        <v>45536</v>
      </c>
      <c r="S853" s="6">
        <v>110.04</v>
      </c>
      <c r="T853" s="6">
        <v>0.09</v>
      </c>
      <c r="U853" s="7">
        <v>45536</v>
      </c>
      <c r="V853" s="6">
        <v>0</v>
      </c>
      <c r="W853" s="6">
        <f ca="1">IFERROR(__xludf.DUMMYFUNCTION("IFERROR(GOOGLEFINANCE(B853,""pe""),V853)"),0)</f>
        <v>0</v>
      </c>
      <c r="X853" s="6">
        <v>0</v>
      </c>
      <c r="Y853" s="6">
        <v>7.25</v>
      </c>
      <c r="Z853" s="6">
        <v>2</v>
      </c>
      <c r="AA853" s="8">
        <v>45352</v>
      </c>
      <c r="AB853" s="4">
        <v>0.83</v>
      </c>
      <c r="AC853" s="6">
        <v>4.16</v>
      </c>
      <c r="AD853" s="6">
        <v>8.1999999999999993</v>
      </c>
      <c r="AE853" s="1">
        <v>0</v>
      </c>
      <c r="AF853" s="1">
        <f ca="1">IFERROR(__xludf.DUMMYFUNCTION("IFERROR(GOOGLEFINANCE(TRIM(F853)&amp;"":"" &amp; TRIM(B853),""high52""),AE853)"),0)</f>
        <v>0</v>
      </c>
      <c r="AG853" s="1">
        <v>0</v>
      </c>
      <c r="AH853" s="1">
        <f ca="1">IFERROR(__xludf.DUMMYFUNCTION("IFERROR(GOOGLEFINANCE(TRIM(F853)&amp;"":"" &amp; TRIM(B853),""low52""),AE853)"),0)</f>
        <v>0</v>
      </c>
      <c r="AI853" s="1">
        <f ca="1">IFERROR(__xludf.DUMMYFUNCTION("IFERROR(GOOGLEFINANCE(B853,""eps""),0)"),0)</f>
        <v>0</v>
      </c>
      <c r="AJ853" s="1"/>
      <c r="AK853" s="1" t="s">
        <v>2622</v>
      </c>
      <c r="AL853" s="9">
        <f t="shared" si="144"/>
        <v>1</v>
      </c>
    </row>
    <row r="854" spans="1:38" ht="15" x14ac:dyDescent="0.25">
      <c r="A854" s="1" t="s">
        <v>2623</v>
      </c>
      <c r="B854" s="1" t="s">
        <v>2624</v>
      </c>
      <c r="C854" s="1" t="s">
        <v>487</v>
      </c>
      <c r="D854" s="1" t="s">
        <v>487</v>
      </c>
      <c r="E854" s="6">
        <v>76.83</v>
      </c>
      <c r="F854" s="1" t="s">
        <v>53</v>
      </c>
      <c r="G854" s="6">
        <f ca="1">IFERROR(__xludf.DUMMYFUNCTION("iferror(GOOGLEFINANCE(TRIM(F854)&amp;"":"" &amp; TRIM(B854), ""price""),0
)"),0)</f>
        <v>0</v>
      </c>
      <c r="H854" s="6">
        <v>7795</v>
      </c>
      <c r="I854" s="6">
        <f t="shared" ca="1" si="0"/>
        <v>7795</v>
      </c>
      <c r="J854" s="6">
        <f ca="1">IFERROR(__xludf.DUMMYFUNCTION("IFERROR(GOOGLEFINANCE(B854, ""volume""), 0)"),0)</f>
        <v>0</v>
      </c>
      <c r="K854" s="6">
        <v>0</v>
      </c>
      <c r="L854" s="6">
        <f ca="1">IFERROR(__xludf.DUMMYFUNCTION("IFERROR(GOOGLEFINANCE(B854,""changepct""),K854)"),0)</f>
        <v>0</v>
      </c>
      <c r="M854" s="6">
        <f ca="1">IFERROR(__xludf.DUMMYFUNCTION("IFERROR(GOOGLEFINANCE(B854,""change""),0)"),0)</f>
        <v>0</v>
      </c>
      <c r="N854" s="6">
        <v>1</v>
      </c>
      <c r="O854" s="7">
        <v>45536</v>
      </c>
      <c r="P854" s="9"/>
      <c r="Q854" s="6">
        <v>76.83</v>
      </c>
      <c r="R854" s="7">
        <v>45536</v>
      </c>
      <c r="S854" s="6">
        <v>14.2</v>
      </c>
      <c r="T854" s="6">
        <v>-1.43</v>
      </c>
      <c r="U854" s="7">
        <v>45536</v>
      </c>
      <c r="V854" s="6">
        <v>0</v>
      </c>
      <c r="W854" s="6">
        <f ca="1">IFERROR(__xludf.DUMMYFUNCTION("IFERROR(GOOGLEFINANCE(B854,""pe""),V854)"),0)</f>
        <v>0</v>
      </c>
      <c r="X854" s="6">
        <v>0</v>
      </c>
      <c r="Y854" s="6">
        <v>1.1100000000000001</v>
      </c>
      <c r="Z854" s="6">
        <v>2</v>
      </c>
      <c r="AA854" s="8">
        <v>44986</v>
      </c>
      <c r="AB854" s="4">
        <v>0</v>
      </c>
      <c r="AC854" s="6">
        <v>4.47</v>
      </c>
      <c r="AD854" s="6">
        <v>5.78</v>
      </c>
      <c r="AE854" s="1">
        <v>0</v>
      </c>
      <c r="AF854" s="1">
        <f ca="1">IFERROR(__xludf.DUMMYFUNCTION("IFERROR(GOOGLEFINANCE(TRIM(F854)&amp;"":"" &amp; TRIM(B854),""high52""),AE854)"),0)</f>
        <v>0</v>
      </c>
      <c r="AG854" s="1">
        <v>0</v>
      </c>
      <c r="AH854" s="1">
        <f ca="1">IFERROR(__xludf.DUMMYFUNCTION("IFERROR(GOOGLEFINANCE(TRIM(F854)&amp;"":"" &amp; TRIM(B854),""low52""),AE854)"),0)</f>
        <v>0</v>
      </c>
      <c r="AI854" s="1">
        <f ca="1">IFERROR(__xludf.DUMMYFUNCTION("IFERROR(GOOGLEFINANCE(B854,""eps""),0)"),0)</f>
        <v>0</v>
      </c>
      <c r="AJ854" s="1"/>
      <c r="AK854" s="1" t="s">
        <v>2625</v>
      </c>
      <c r="AL854" s="9">
        <f t="shared" si="144"/>
        <v>1</v>
      </c>
    </row>
    <row r="855" spans="1:38" ht="15" x14ac:dyDescent="0.25">
      <c r="A855" s="1" t="s">
        <v>2626</v>
      </c>
      <c r="B855" s="1" t="s">
        <v>2627</v>
      </c>
      <c r="C855" s="1" t="s">
        <v>416</v>
      </c>
      <c r="D855" s="1" t="s">
        <v>416</v>
      </c>
      <c r="E855" s="6">
        <v>2159.3200000000002</v>
      </c>
      <c r="F855" s="1" t="s">
        <v>40</v>
      </c>
      <c r="G855" s="6">
        <f ca="1">IFERROR(__xludf.DUMMYFUNCTION("iferror(GOOGLEFINANCE(TRIM(F855)&amp;"":"" &amp; TRIM(B855), ""price""),0
)"),205.5)</f>
        <v>205.5</v>
      </c>
      <c r="H855" s="6">
        <v>314.45</v>
      </c>
      <c r="I855" s="6">
        <f t="shared" ca="1" si="0"/>
        <v>205.5</v>
      </c>
      <c r="J855" s="6">
        <f ca="1">IFERROR(__xludf.DUMMYFUNCTION("IFERROR(GOOGLEFINANCE(B855, ""volume""), 0)"),432274)</f>
        <v>432274</v>
      </c>
      <c r="K855" s="6">
        <v>0.67</v>
      </c>
      <c r="L855" s="6">
        <f ca="1">IFERROR(__xludf.DUMMYFUNCTION("IFERROR(GOOGLEFINANCE(B855,""changepct""),K855)"),8.97)</f>
        <v>8.9700000000000006</v>
      </c>
      <c r="M855" s="6">
        <f ca="1">IFERROR(__xludf.DUMMYFUNCTION("IFERROR(GOOGLEFINANCE(B855,""change""),0)"),16.92)</f>
        <v>16.920000000000002</v>
      </c>
      <c r="N855" s="6">
        <v>2</v>
      </c>
      <c r="O855" s="7">
        <v>45536</v>
      </c>
      <c r="P855" s="6">
        <v>350.16</v>
      </c>
      <c r="Q855" s="6">
        <v>2440.11</v>
      </c>
      <c r="R855" s="7">
        <v>45352</v>
      </c>
      <c r="S855" s="6">
        <v>788.76</v>
      </c>
      <c r="T855" s="6">
        <v>26.21</v>
      </c>
      <c r="U855" s="7">
        <v>45352</v>
      </c>
      <c r="V855" s="6">
        <v>82.4</v>
      </c>
      <c r="W855" s="6">
        <f ca="1">IFERROR(__xludf.DUMMYFUNCTION("IFERROR(GOOGLEFINANCE(B855,""pe""),V855)"),29.89)</f>
        <v>29.89</v>
      </c>
      <c r="X855" s="12"/>
      <c r="Y855" s="6">
        <v>2.77</v>
      </c>
      <c r="Z855" s="6">
        <v>2</v>
      </c>
      <c r="AA855" s="8">
        <v>45352</v>
      </c>
      <c r="AB855" s="4">
        <v>0.98</v>
      </c>
      <c r="AC855" s="6">
        <v>6.01</v>
      </c>
      <c r="AD855" s="6">
        <v>9.8699999999999992</v>
      </c>
      <c r="AE855" s="1">
        <v>0</v>
      </c>
      <c r="AF855" s="1">
        <f ca="1">IFERROR(__xludf.DUMMYFUNCTION("IFERROR(GOOGLEFINANCE(TRIM(F855)&amp;"":"" &amp; TRIM(B855),""high52""),AE855)"),336.2)</f>
        <v>336.2</v>
      </c>
      <c r="AG855" s="1">
        <v>0</v>
      </c>
      <c r="AH855" s="1">
        <f ca="1">IFERROR(__xludf.DUMMYFUNCTION("IFERROR(GOOGLEFINANCE(TRIM(F855)&amp;"":"" &amp; TRIM(B855),""low52""),AE855)"),167)</f>
        <v>167</v>
      </c>
      <c r="AI855" s="1">
        <f ca="1">IFERROR(__xludf.DUMMYFUNCTION("IFERROR(GOOGLEFINANCE(B855,""eps""),0)"),6.88)</f>
        <v>6.88</v>
      </c>
      <c r="AJ855" s="1"/>
      <c r="AK855" s="1" t="s">
        <v>2628</v>
      </c>
      <c r="AL855" s="9">
        <f t="shared" si="144"/>
        <v>1</v>
      </c>
    </row>
    <row r="856" spans="1:38" ht="15" x14ac:dyDescent="0.25">
      <c r="A856" s="1" t="s">
        <v>2629</v>
      </c>
      <c r="B856" s="1" t="s">
        <v>2630</v>
      </c>
      <c r="C856" s="1" t="s">
        <v>487</v>
      </c>
      <c r="D856" s="1" t="s">
        <v>487</v>
      </c>
      <c r="E856" s="6">
        <v>60.96</v>
      </c>
      <c r="F856" s="1" t="s">
        <v>53</v>
      </c>
      <c r="G856" s="6">
        <f ca="1">IFERROR(__xludf.DUMMYFUNCTION("iferror(GOOGLEFINANCE(TRIM(F856)&amp;"":"" &amp; TRIM(B856), ""price""),0
)"),0)</f>
        <v>0</v>
      </c>
      <c r="H856" s="6">
        <v>6.13</v>
      </c>
      <c r="I856" s="6">
        <f t="shared" ca="1" si="0"/>
        <v>6.13</v>
      </c>
      <c r="J856" s="6">
        <f ca="1">IFERROR(__xludf.DUMMYFUNCTION("IFERROR(GOOGLEFINANCE(B856, ""volume""), 0)"),0)</f>
        <v>0</v>
      </c>
      <c r="K856" s="6">
        <v>0.82</v>
      </c>
      <c r="L856" s="6">
        <f ca="1">IFERROR(__xludf.DUMMYFUNCTION("IFERROR(GOOGLEFINANCE(B856,""changepct""),K856)"),0.82)</f>
        <v>0.82</v>
      </c>
      <c r="M856" s="6">
        <f ca="1">IFERROR(__xludf.DUMMYFUNCTION("IFERROR(GOOGLEFINANCE(B856,""change""),0)"),0)</f>
        <v>0</v>
      </c>
      <c r="N856" s="6">
        <v>1</v>
      </c>
      <c r="O856" s="7">
        <v>45536</v>
      </c>
      <c r="P856" s="6">
        <v>5.33</v>
      </c>
      <c r="Q856" s="6">
        <v>66.290000000000006</v>
      </c>
      <c r="R856" s="7">
        <v>45536</v>
      </c>
      <c r="S856" s="6">
        <v>12.84</v>
      </c>
      <c r="T856" s="6">
        <v>11.72</v>
      </c>
      <c r="U856" s="7">
        <v>45536</v>
      </c>
      <c r="V856" s="6">
        <v>5.2</v>
      </c>
      <c r="W856" s="6">
        <f ca="1">IFERROR(__xludf.DUMMYFUNCTION("IFERROR(GOOGLEFINANCE(B856,""pe""),V856)"),5.2)</f>
        <v>5.2</v>
      </c>
      <c r="X856" s="6">
        <v>0.12</v>
      </c>
      <c r="Y856" s="6">
        <v>1.1200000000000001</v>
      </c>
      <c r="Z856" s="6">
        <v>1</v>
      </c>
      <c r="AA856" s="8">
        <v>45352</v>
      </c>
      <c r="AB856" s="4">
        <v>0.09</v>
      </c>
      <c r="AC856" s="6">
        <v>31.7</v>
      </c>
      <c r="AD856" s="6">
        <v>34.909999999999997</v>
      </c>
      <c r="AE856" s="1">
        <v>0</v>
      </c>
      <c r="AF856" s="1">
        <f ca="1">IFERROR(__xludf.DUMMYFUNCTION("IFERROR(GOOGLEFINANCE(TRIM(F856)&amp;"":"" &amp; TRIM(B856),""high52""),AE856)"),0)</f>
        <v>0</v>
      </c>
      <c r="AG856" s="1">
        <v>0</v>
      </c>
      <c r="AH856" s="1">
        <f ca="1">IFERROR(__xludf.DUMMYFUNCTION("IFERROR(GOOGLEFINANCE(TRIM(F856)&amp;"":"" &amp; TRIM(B856),""low52""),AE856)"),0)</f>
        <v>0</v>
      </c>
      <c r="AI856" s="1">
        <f ca="1">IFERROR(__xludf.DUMMYFUNCTION("IFERROR(GOOGLEFINANCE(B856,""eps""),0)"),0)</f>
        <v>0</v>
      </c>
      <c r="AJ856" s="1"/>
      <c r="AK856" s="1" t="s">
        <v>2631</v>
      </c>
      <c r="AL856" s="9">
        <f t="shared" si="144"/>
        <v>1</v>
      </c>
    </row>
    <row r="857" spans="1:38" ht="15" x14ac:dyDescent="0.25">
      <c r="A857" s="1" t="s">
        <v>2632</v>
      </c>
      <c r="B857" s="1" t="s">
        <v>2633</v>
      </c>
      <c r="C857" s="1" t="s">
        <v>219</v>
      </c>
      <c r="D857" s="1" t="s">
        <v>219</v>
      </c>
      <c r="E857" s="6">
        <v>71.739999999999995</v>
      </c>
      <c r="F857" s="1" t="s">
        <v>40</v>
      </c>
      <c r="G857" s="6">
        <f ca="1">IFERROR(__xludf.DUMMYFUNCTION("iferror(GOOGLEFINANCE(TRIM(F857)&amp;"":"" &amp; TRIM(B857), ""price""),0
)"),0)</f>
        <v>0</v>
      </c>
      <c r="H857" s="6">
        <v>85</v>
      </c>
      <c r="I857" s="6">
        <f t="shared" ca="1" si="0"/>
        <v>85</v>
      </c>
      <c r="J857" s="6">
        <f ca="1">IFERROR(__xludf.DUMMYFUNCTION("IFERROR(GOOGLEFINANCE(B857, ""volume""), 0)"),0)</f>
        <v>0</v>
      </c>
      <c r="K857" s="6">
        <v>-1.22</v>
      </c>
      <c r="L857" s="6">
        <f ca="1">IFERROR(__xludf.DUMMYFUNCTION("IFERROR(GOOGLEFINANCE(B857,""changepct""),K857)"),-1.22)</f>
        <v>-1.22</v>
      </c>
      <c r="M857" s="6">
        <f ca="1">IFERROR(__xludf.DUMMYFUNCTION("IFERROR(GOOGLEFINANCE(B857,""change""),0)"),0)</f>
        <v>0</v>
      </c>
      <c r="N857" s="6">
        <v>1</v>
      </c>
      <c r="O857" s="7">
        <v>45536</v>
      </c>
      <c r="P857" s="6">
        <v>22.91</v>
      </c>
      <c r="Q857" s="6">
        <v>94.65</v>
      </c>
      <c r="R857" s="7">
        <v>45352</v>
      </c>
      <c r="S857" s="6">
        <v>100.83</v>
      </c>
      <c r="T857" s="6">
        <v>7.81</v>
      </c>
      <c r="U857" s="7">
        <v>45352</v>
      </c>
      <c r="V857" s="6">
        <v>9.18</v>
      </c>
      <c r="W857" s="6">
        <f ca="1">IFERROR(__xludf.DUMMYFUNCTION("IFERROR(GOOGLEFINANCE(B857,""pe""),V857)"),9.18)</f>
        <v>9.18</v>
      </c>
      <c r="X857" s="9"/>
      <c r="Y857" s="6">
        <v>0.97</v>
      </c>
      <c r="Z857" s="6">
        <v>1</v>
      </c>
      <c r="AA857" s="8">
        <v>45352</v>
      </c>
      <c r="AB857" s="4">
        <v>0.3</v>
      </c>
      <c r="AC857" s="6">
        <v>13.89</v>
      </c>
      <c r="AD857" s="6">
        <v>16.059999999999999</v>
      </c>
      <c r="AE857" s="1">
        <v>0</v>
      </c>
      <c r="AF857" s="1">
        <f ca="1">IFERROR(__xludf.DUMMYFUNCTION("IFERROR(GOOGLEFINANCE(TRIM(F857)&amp;"":"" &amp; TRIM(B857),""high52""),AE857)"),0)</f>
        <v>0</v>
      </c>
      <c r="AG857" s="1">
        <v>0</v>
      </c>
      <c r="AH857" s="1">
        <f ca="1">IFERROR(__xludf.DUMMYFUNCTION("IFERROR(GOOGLEFINANCE(TRIM(F857)&amp;"":"" &amp; TRIM(B857),""low52""),AE857)"),0)</f>
        <v>0</v>
      </c>
      <c r="AI857" s="1">
        <f ca="1">IFERROR(__xludf.DUMMYFUNCTION("IFERROR(GOOGLEFINANCE(B857,""eps""),0)"),0)</f>
        <v>0</v>
      </c>
      <c r="AJ857" s="1"/>
      <c r="AK857" s="1" t="s">
        <v>2634</v>
      </c>
      <c r="AL857" s="9">
        <f t="shared" si="144"/>
        <v>1</v>
      </c>
    </row>
    <row r="858" spans="1:38" ht="15" x14ac:dyDescent="0.25">
      <c r="A858" s="1" t="s">
        <v>2635</v>
      </c>
      <c r="B858" s="1" t="s">
        <v>2636</v>
      </c>
      <c r="C858" s="1" t="s">
        <v>487</v>
      </c>
      <c r="D858" s="1" t="s">
        <v>487</v>
      </c>
      <c r="E858" s="6">
        <v>16.399999999999999</v>
      </c>
      <c r="F858" s="1" t="s">
        <v>53</v>
      </c>
      <c r="G858" s="6">
        <f ca="1">IFERROR(__xludf.DUMMYFUNCTION("iferror(GOOGLEFINANCE(TRIM(F858)&amp;"":"" &amp; TRIM(B858), ""price""),0
)"),0)</f>
        <v>0</v>
      </c>
      <c r="H858" s="6">
        <v>10.29</v>
      </c>
      <c r="I858" s="6">
        <f t="shared" ca="1" si="0"/>
        <v>10.29</v>
      </c>
      <c r="J858" s="6">
        <f ca="1">IFERROR(__xludf.DUMMYFUNCTION("IFERROR(GOOGLEFINANCE(B858, ""volume""), 0)"),0)</f>
        <v>0</v>
      </c>
      <c r="K858" s="6">
        <v>5.43</v>
      </c>
      <c r="L858" s="6">
        <f ca="1">IFERROR(__xludf.DUMMYFUNCTION("IFERROR(GOOGLEFINANCE(B858,""changepct""),K858)"),5.43)</f>
        <v>5.43</v>
      </c>
      <c r="M858" s="6">
        <f ca="1">IFERROR(__xludf.DUMMYFUNCTION("IFERROR(GOOGLEFINANCE(B858,""change""),0)"),0)</f>
        <v>0</v>
      </c>
      <c r="N858" s="6">
        <v>2</v>
      </c>
      <c r="O858" s="7">
        <v>45536</v>
      </c>
      <c r="P858" s="6">
        <v>45.9</v>
      </c>
      <c r="Q858" s="6">
        <v>62.3</v>
      </c>
      <c r="R858" s="7">
        <v>45536</v>
      </c>
      <c r="S858" s="6">
        <v>146.29</v>
      </c>
      <c r="T858" s="6">
        <v>0.79</v>
      </c>
      <c r="U858" s="7">
        <v>45536</v>
      </c>
      <c r="V858" s="6">
        <v>20.74</v>
      </c>
      <c r="W858" s="6">
        <f ca="1">IFERROR(__xludf.DUMMYFUNCTION("IFERROR(GOOGLEFINANCE(B858,""pe""),V858)"),20.74)</f>
        <v>20.74</v>
      </c>
      <c r="X858" s="6">
        <v>0.42</v>
      </c>
      <c r="Y858" s="6">
        <v>0.46</v>
      </c>
      <c r="Z858" s="6">
        <v>2</v>
      </c>
      <c r="AA858" s="8">
        <v>45352</v>
      </c>
      <c r="AB858" s="4">
        <v>1.24</v>
      </c>
      <c r="AC858" s="6">
        <v>2.88</v>
      </c>
      <c r="AD858" s="6">
        <v>2.08</v>
      </c>
      <c r="AE858" s="1">
        <v>0</v>
      </c>
      <c r="AF858" s="1">
        <f ca="1">IFERROR(__xludf.DUMMYFUNCTION("IFERROR(GOOGLEFINANCE(TRIM(F858)&amp;"":"" &amp; TRIM(B858),""high52""),AE858)"),0)</f>
        <v>0</v>
      </c>
      <c r="AG858" s="1">
        <v>0</v>
      </c>
      <c r="AH858" s="1">
        <f ca="1">IFERROR(__xludf.DUMMYFUNCTION("IFERROR(GOOGLEFINANCE(TRIM(F858)&amp;"":"" &amp; TRIM(B858),""low52""),AE858)"),0)</f>
        <v>0</v>
      </c>
      <c r="AI858" s="1">
        <f ca="1">IFERROR(__xludf.DUMMYFUNCTION("IFERROR(GOOGLEFINANCE(B858,""eps""),0)"),0)</f>
        <v>0</v>
      </c>
      <c r="AJ858" s="1"/>
      <c r="AK858" s="1" t="s">
        <v>2637</v>
      </c>
      <c r="AL858" s="9">
        <f t="shared" si="144"/>
        <v>1</v>
      </c>
    </row>
    <row r="859" spans="1:38" ht="15" x14ac:dyDescent="0.25">
      <c r="A859" s="1" t="s">
        <v>2638</v>
      </c>
      <c r="B859" s="1" t="s">
        <v>2639</v>
      </c>
      <c r="C859" s="1" t="s">
        <v>487</v>
      </c>
      <c r="D859" s="1" t="s">
        <v>487</v>
      </c>
      <c r="E859" s="6">
        <v>31.15</v>
      </c>
      <c r="F859" s="1" t="s">
        <v>53</v>
      </c>
      <c r="G859" s="6">
        <f ca="1">IFERROR(__xludf.DUMMYFUNCTION("iferror(GOOGLEFINANCE(TRIM(F859)&amp;"":"" &amp; TRIM(B859), ""price""),0
)"),0)</f>
        <v>0</v>
      </c>
      <c r="H859" s="6">
        <v>88.99</v>
      </c>
      <c r="I859" s="6">
        <f t="shared" ca="1" si="0"/>
        <v>88.99</v>
      </c>
      <c r="J859" s="6">
        <f ca="1">IFERROR(__xludf.DUMMYFUNCTION("IFERROR(GOOGLEFINANCE(B859, ""volume""), 0)"),0)</f>
        <v>0</v>
      </c>
      <c r="K859" s="9"/>
      <c r="L859" s="6" t="str">
        <f ca="1">IFERROR(__xludf.DUMMYFUNCTION("IFERROR(GOOGLEFINANCE(B859,""changepct""),K859)"),"")</f>
        <v/>
      </c>
      <c r="M859" s="6">
        <f ca="1">IFERROR(__xludf.DUMMYFUNCTION("IFERROR(GOOGLEFINANCE(B859,""change""),0)"),0)</f>
        <v>0</v>
      </c>
      <c r="N859" s="6">
        <v>1</v>
      </c>
      <c r="O859" s="7">
        <v>45536</v>
      </c>
      <c r="P859" s="6">
        <v>1.18</v>
      </c>
      <c r="Q859" s="6">
        <v>32.32</v>
      </c>
      <c r="R859" s="7">
        <v>45536</v>
      </c>
      <c r="S859" s="6">
        <v>58.46</v>
      </c>
      <c r="T859" s="6">
        <v>0.43</v>
      </c>
      <c r="U859" s="7">
        <v>45536</v>
      </c>
      <c r="V859" s="6">
        <v>72.94</v>
      </c>
      <c r="W859" s="6">
        <f ca="1">IFERROR(__xludf.DUMMYFUNCTION("IFERROR(GOOGLEFINANCE(B859,""pe""),V859)"),72.94)</f>
        <v>72.94</v>
      </c>
      <c r="X859" s="6">
        <v>0.77</v>
      </c>
      <c r="Y859" s="6">
        <v>8.59</v>
      </c>
      <c r="Z859" s="6">
        <v>1</v>
      </c>
      <c r="AA859" s="8">
        <v>45352</v>
      </c>
      <c r="AB859" s="4">
        <v>0</v>
      </c>
      <c r="AC859" s="6">
        <v>49.49</v>
      </c>
      <c r="AD859" s="6">
        <v>67.5</v>
      </c>
      <c r="AE859" s="1">
        <v>0</v>
      </c>
      <c r="AF859" s="1">
        <f ca="1">IFERROR(__xludf.DUMMYFUNCTION("IFERROR(GOOGLEFINANCE(TRIM(F859)&amp;"":"" &amp; TRIM(B859),""high52""),AE859)"),0)</f>
        <v>0</v>
      </c>
      <c r="AG859" s="1">
        <v>0</v>
      </c>
      <c r="AH859" s="1">
        <f ca="1">IFERROR(__xludf.DUMMYFUNCTION("IFERROR(GOOGLEFINANCE(TRIM(F859)&amp;"":"" &amp; TRIM(B859),""low52""),AE859)"),0)</f>
        <v>0</v>
      </c>
      <c r="AI859" s="1">
        <f ca="1">IFERROR(__xludf.DUMMYFUNCTION("IFERROR(GOOGLEFINANCE(B859,""eps""),0)"),0)</f>
        <v>0</v>
      </c>
      <c r="AJ859" s="1"/>
      <c r="AK859" s="9"/>
      <c r="AL859" s="9">
        <f t="shared" si="144"/>
        <v>1</v>
      </c>
    </row>
    <row r="860" spans="1:38" ht="15" x14ac:dyDescent="0.25">
      <c r="A860" s="1" t="s">
        <v>2640</v>
      </c>
      <c r="B860" s="1" t="s">
        <v>2641</v>
      </c>
      <c r="C860" s="1" t="s">
        <v>103</v>
      </c>
      <c r="D860" s="1" t="s">
        <v>103</v>
      </c>
      <c r="E860" s="6">
        <v>3695.04</v>
      </c>
      <c r="F860" s="1" t="s">
        <v>40</v>
      </c>
      <c r="G860" s="6">
        <f ca="1">IFERROR(__xludf.DUMMYFUNCTION("iferror(GOOGLEFINANCE(TRIM(F860)&amp;"":"" &amp; TRIM(B860), ""price""),0
)"),367)</f>
        <v>367</v>
      </c>
      <c r="H860" s="6">
        <v>585.35</v>
      </c>
      <c r="I860" s="6">
        <f t="shared" ca="1" si="0"/>
        <v>367</v>
      </c>
      <c r="J860" s="6">
        <f ca="1">IFERROR(__xludf.DUMMYFUNCTION("IFERROR(GOOGLEFINANCE(B860, ""volume""), 0)"),85500)</f>
        <v>85500</v>
      </c>
      <c r="K860" s="6">
        <v>1.25</v>
      </c>
      <c r="L860" s="6">
        <f ca="1">IFERROR(__xludf.DUMMYFUNCTION("IFERROR(GOOGLEFINANCE(B860,""changepct""),K860)"),1.12)</f>
        <v>1.1200000000000001</v>
      </c>
      <c r="M860" s="6">
        <f ca="1">IFERROR(__xludf.DUMMYFUNCTION("IFERROR(GOOGLEFINANCE(B860,""change""),0)"),4.05)</f>
        <v>4.05</v>
      </c>
      <c r="N860" s="6">
        <v>2</v>
      </c>
      <c r="O860" s="7">
        <v>45536</v>
      </c>
      <c r="P860" s="6">
        <v>183.37</v>
      </c>
      <c r="Q860" s="6">
        <v>3825.09</v>
      </c>
      <c r="R860" s="7">
        <v>45536</v>
      </c>
      <c r="S860" s="6">
        <v>478.43</v>
      </c>
      <c r="T860" s="6">
        <v>144.91</v>
      </c>
      <c r="U860" s="7">
        <v>45536</v>
      </c>
      <c r="V860" s="6">
        <v>26.63</v>
      </c>
      <c r="W860" s="6">
        <f ca="1">IFERROR(__xludf.DUMMYFUNCTION("IFERROR(GOOGLEFINANCE(B860,""pe""),V860)"),26.63)</f>
        <v>26.63</v>
      </c>
      <c r="X860" s="9"/>
      <c r="Y860" s="6">
        <v>2.46</v>
      </c>
      <c r="Z860" s="6">
        <v>2</v>
      </c>
      <c r="AA860" s="8">
        <v>45352</v>
      </c>
      <c r="AB860" s="4">
        <v>0.11</v>
      </c>
      <c r="AC860" s="6">
        <v>8.91</v>
      </c>
      <c r="AD860" s="6">
        <v>10.68</v>
      </c>
      <c r="AE860" s="1">
        <v>0</v>
      </c>
      <c r="AF860" s="1">
        <f ca="1">IFERROR(__xludf.DUMMYFUNCTION("IFERROR(GOOGLEFINANCE(TRIM(F860)&amp;"":"" &amp; TRIM(B860),""high52""),AE860)"),589.9)</f>
        <v>589.9</v>
      </c>
      <c r="AG860" s="1">
        <v>0</v>
      </c>
      <c r="AH860" s="1">
        <f ca="1">IFERROR(__xludf.DUMMYFUNCTION("IFERROR(GOOGLEFINANCE(TRIM(F860)&amp;"":"" &amp; TRIM(B860),""low52""),AE860)"),332)</f>
        <v>332</v>
      </c>
      <c r="AI860" s="1">
        <f ca="1">IFERROR(__xludf.DUMMYFUNCTION("IFERROR(GOOGLEFINANCE(B860,""eps""),0)"),-6.18)</f>
        <v>-6.18</v>
      </c>
      <c r="AJ860" s="1"/>
      <c r="AK860" s="1" t="s">
        <v>2642</v>
      </c>
      <c r="AL860" s="9">
        <f t="shared" si="144"/>
        <v>1</v>
      </c>
    </row>
    <row r="861" spans="1:38" ht="15" x14ac:dyDescent="0.25">
      <c r="A861" s="1" t="s">
        <v>2643</v>
      </c>
      <c r="B861" s="1" t="s">
        <v>2644</v>
      </c>
      <c r="C861" s="1" t="s">
        <v>487</v>
      </c>
      <c r="D861" s="1" t="s">
        <v>487</v>
      </c>
      <c r="E861" s="6">
        <v>904.13</v>
      </c>
      <c r="F861" s="1" t="s">
        <v>40</v>
      </c>
      <c r="G861" s="6">
        <f ca="1">IFERROR(__xludf.DUMMYFUNCTION("iferror(GOOGLEFINANCE(TRIM(F861)&amp;"":"" &amp; TRIM(B861), ""price""),0
)"),86.9)</f>
        <v>86.9</v>
      </c>
      <c r="H861" s="6">
        <v>193.75</v>
      </c>
      <c r="I861" s="6">
        <f t="shared" ca="1" si="0"/>
        <v>86.9</v>
      </c>
      <c r="J861" s="6">
        <f ca="1">IFERROR(__xludf.DUMMYFUNCTION("IFERROR(GOOGLEFINANCE(B861, ""volume""), 0)"),58077)</f>
        <v>58077</v>
      </c>
      <c r="K861" s="6">
        <v>-0.23</v>
      </c>
      <c r="L861" s="6">
        <f ca="1">IFERROR(__xludf.DUMMYFUNCTION("IFERROR(GOOGLEFINANCE(B861,""changepct""),K861)"),-3.63)</f>
        <v>-3.63</v>
      </c>
      <c r="M861" s="6">
        <f ca="1">IFERROR(__xludf.DUMMYFUNCTION("IFERROR(GOOGLEFINANCE(B861,""change""),0)"),-3.27)</f>
        <v>-3.27</v>
      </c>
      <c r="N861" s="6">
        <v>1</v>
      </c>
      <c r="O861" s="7">
        <v>45536</v>
      </c>
      <c r="P861" s="6">
        <v>190.95</v>
      </c>
      <c r="Q861" s="6">
        <v>1095.0899999999999</v>
      </c>
      <c r="R861" s="12"/>
      <c r="S861" s="12"/>
      <c r="T861" s="12"/>
      <c r="U861" s="7">
        <v>45352</v>
      </c>
      <c r="V861" s="6">
        <v>14.97</v>
      </c>
      <c r="W861" s="6">
        <f ca="1">IFERROR(__xludf.DUMMYFUNCTION("IFERROR(GOOGLEFINANCE(B861,""pe""),V861)"),8.32)</f>
        <v>8.32</v>
      </c>
      <c r="X861" s="12"/>
      <c r="Y861" s="6">
        <v>2.2599999999999998</v>
      </c>
      <c r="Z861" s="6">
        <v>1</v>
      </c>
      <c r="AA861" s="17">
        <v>45352</v>
      </c>
      <c r="AB861" s="18">
        <v>1</v>
      </c>
      <c r="AC861" s="6">
        <v>49.09</v>
      </c>
      <c r="AD861" s="6">
        <v>44.52</v>
      </c>
      <c r="AE861" s="1">
        <v>0</v>
      </c>
      <c r="AF861" s="1">
        <f ca="1">IFERROR(__xludf.DUMMYFUNCTION("IFERROR(GOOGLEFINANCE(TRIM(F861)&amp;"":"" &amp; TRIM(B861),""high52""),AE861)"),185.6)</f>
        <v>185.6</v>
      </c>
      <c r="AG861" s="1">
        <v>0</v>
      </c>
      <c r="AH861" s="1">
        <f ca="1">IFERROR(__xludf.DUMMYFUNCTION("IFERROR(GOOGLEFINANCE(TRIM(F861)&amp;"":"" &amp; TRIM(B861),""low52""),AE861)"),84.31)</f>
        <v>84.31</v>
      </c>
      <c r="AI861" s="1">
        <f ca="1">IFERROR(__xludf.DUMMYFUNCTION("IFERROR(GOOGLEFINANCE(B861,""eps""),0)"),10.44)</f>
        <v>10.44</v>
      </c>
      <c r="AJ861" s="1"/>
      <c r="AK861" s="1" t="s">
        <v>2645</v>
      </c>
      <c r="AL861" s="9">
        <f t="shared" si="144"/>
        <v>1</v>
      </c>
    </row>
    <row r="862" spans="1:38" ht="15" x14ac:dyDescent="0.25">
      <c r="A862" s="1" t="s">
        <v>2646</v>
      </c>
      <c r="B862" s="1" t="s">
        <v>2647</v>
      </c>
      <c r="C862" s="1" t="s">
        <v>502</v>
      </c>
      <c r="D862" s="1" t="s">
        <v>502</v>
      </c>
      <c r="E862" s="6">
        <v>15415.51</v>
      </c>
      <c r="F862" s="1" t="s">
        <v>40</v>
      </c>
      <c r="G862" s="6">
        <f ca="1">IFERROR(__xludf.DUMMYFUNCTION("iferror(GOOGLEFINANCE(TRIM(F862)&amp;"":"" &amp; TRIM(B862), ""price""),0
)"),973.1)</f>
        <v>973.1</v>
      </c>
      <c r="H862" s="6">
        <v>1215.8499999999999</v>
      </c>
      <c r="I862" s="6">
        <f t="shared" ca="1" si="0"/>
        <v>973.1</v>
      </c>
      <c r="J862" s="6">
        <f ca="1">IFERROR(__xludf.DUMMYFUNCTION("IFERROR(GOOGLEFINANCE(B862, ""volume""), 0)"),579368)</f>
        <v>579368</v>
      </c>
      <c r="K862" s="6">
        <v>-0.19</v>
      </c>
      <c r="L862" s="6">
        <f ca="1">IFERROR(__xludf.DUMMYFUNCTION("IFERROR(GOOGLEFINANCE(B862,""changepct""),K862)"),-1.73)</f>
        <v>-1.73</v>
      </c>
      <c r="M862" s="6">
        <f ca="1">IFERROR(__xludf.DUMMYFUNCTION("IFERROR(GOOGLEFINANCE(B862,""change""),0)"),-17.1)</f>
        <v>-17.100000000000001</v>
      </c>
      <c r="N862" s="6">
        <v>2</v>
      </c>
      <c r="O862" s="7">
        <v>45536</v>
      </c>
      <c r="P862" s="6">
        <v>3643.17</v>
      </c>
      <c r="Q862" s="6">
        <v>18685.72</v>
      </c>
      <c r="R862" s="7">
        <v>45536</v>
      </c>
      <c r="S862" s="6">
        <v>8966.9699999999993</v>
      </c>
      <c r="T862" s="6">
        <v>693.88</v>
      </c>
      <c r="U862" s="7">
        <v>45536</v>
      </c>
      <c r="V862" s="6">
        <v>22.74</v>
      </c>
      <c r="W862" s="6">
        <f ca="1">IFERROR(__xludf.DUMMYFUNCTION("IFERROR(GOOGLEFINANCE(B862,""pe""),V862)"),14.04)</f>
        <v>14.04</v>
      </c>
      <c r="X862" s="6">
        <v>0.51</v>
      </c>
      <c r="Y862" s="6">
        <v>2.72</v>
      </c>
      <c r="Z862" s="6">
        <v>2</v>
      </c>
      <c r="AA862" s="8">
        <v>45352</v>
      </c>
      <c r="AB862" s="4">
        <v>0.75</v>
      </c>
      <c r="AC862" s="6">
        <v>8.73</v>
      </c>
      <c r="AD862" s="6">
        <v>11.86</v>
      </c>
      <c r="AE862" s="1">
        <v>0</v>
      </c>
      <c r="AF862" s="1">
        <f ca="1">IFERROR(__xludf.DUMMYFUNCTION("IFERROR(GOOGLEFINANCE(TRIM(F862)&amp;"":"" &amp; TRIM(B862),""high52""),AE862)"),1778.6)</f>
        <v>1778.6</v>
      </c>
      <c r="AG862" s="1">
        <v>0</v>
      </c>
      <c r="AH862" s="1">
        <f ca="1">IFERROR(__xludf.DUMMYFUNCTION("IFERROR(GOOGLEFINANCE(TRIM(F862)&amp;"":"" &amp; TRIM(B862),""low52""),AE862)"),888.9)</f>
        <v>888.9</v>
      </c>
      <c r="AI862" s="1">
        <f ca="1">IFERROR(__xludf.DUMMYFUNCTION("IFERROR(GOOGLEFINANCE(B862,""eps""),0)"),69.33)</f>
        <v>69.33</v>
      </c>
      <c r="AJ862" s="1"/>
      <c r="AK862" s="1" t="s">
        <v>2648</v>
      </c>
      <c r="AL862" s="9">
        <f t="shared" si="144"/>
        <v>1</v>
      </c>
    </row>
    <row r="863" spans="1:38" ht="15" x14ac:dyDescent="0.25">
      <c r="A863" s="1" t="s">
        <v>2649</v>
      </c>
      <c r="B863" s="1" t="s">
        <v>2650</v>
      </c>
      <c r="C863" s="1" t="s">
        <v>135</v>
      </c>
      <c r="D863" s="1" t="s">
        <v>135</v>
      </c>
      <c r="E863" s="6">
        <v>34285.800000000003</v>
      </c>
      <c r="F863" s="1" t="s">
        <v>40</v>
      </c>
      <c r="G863" s="6">
        <f ca="1">IFERROR(__xludf.DUMMYFUNCTION("iferror(GOOGLEFINANCE(TRIM(F863)&amp;"":"" &amp; TRIM(B863), ""price""),0
)"),1623)</f>
        <v>1623</v>
      </c>
      <c r="H863" s="6">
        <v>2491.6999999999998</v>
      </c>
      <c r="I863" s="6">
        <f t="shared" ca="1" si="0"/>
        <v>1623</v>
      </c>
      <c r="J863" s="6">
        <f ca="1">IFERROR(__xludf.DUMMYFUNCTION("IFERROR(GOOGLEFINANCE(B863, ""volume""), 0)"),87567)</f>
        <v>87567</v>
      </c>
      <c r="K863" s="6">
        <v>-0.93</v>
      </c>
      <c r="L863" s="6">
        <f ca="1">IFERROR(__xludf.DUMMYFUNCTION("IFERROR(GOOGLEFINANCE(B863,""changepct""),K863)"),2.07)</f>
        <v>2.0699999999999998</v>
      </c>
      <c r="M863" s="6">
        <f ca="1">IFERROR(__xludf.DUMMYFUNCTION("IFERROR(GOOGLEFINANCE(B863,""change""),0)"),32.9)</f>
        <v>32.9</v>
      </c>
      <c r="N863" s="6">
        <v>2</v>
      </c>
      <c r="O863" s="7">
        <v>45536</v>
      </c>
      <c r="P863" s="6">
        <v>790.88</v>
      </c>
      <c r="Q863" s="6">
        <v>34615.79</v>
      </c>
      <c r="R863" s="7">
        <v>45536</v>
      </c>
      <c r="S863" s="6">
        <v>8334.2800000000007</v>
      </c>
      <c r="T863" s="6">
        <v>852.61</v>
      </c>
      <c r="U863" s="7">
        <v>45536</v>
      </c>
      <c r="V863" s="6">
        <v>40.21</v>
      </c>
      <c r="W863" s="6">
        <f ca="1">IFERROR(__xludf.DUMMYFUNCTION("IFERROR(GOOGLEFINANCE(B863,""pe""),V863)"),41.66)</f>
        <v>41.66</v>
      </c>
      <c r="X863" s="6">
        <v>1.18</v>
      </c>
      <c r="Y863" s="6">
        <v>6.74</v>
      </c>
      <c r="Z863" s="6">
        <v>2</v>
      </c>
      <c r="AA863" s="8">
        <v>45352</v>
      </c>
      <c r="AB863" s="4">
        <v>0.05</v>
      </c>
      <c r="AC863" s="6">
        <v>18.25</v>
      </c>
      <c r="AD863" s="6">
        <v>24.39</v>
      </c>
      <c r="AE863" s="1">
        <v>0</v>
      </c>
      <c r="AF863" s="1">
        <f ca="1">IFERROR(__xludf.DUMMYFUNCTION("IFERROR(GOOGLEFINANCE(TRIM(F863)&amp;"":"" &amp; TRIM(B863),""high52""),AE863)"),2399.95)</f>
        <v>2399.9499999999998</v>
      </c>
      <c r="AG863" s="1">
        <v>0</v>
      </c>
      <c r="AH863" s="1">
        <f ca="1">IFERROR(__xludf.DUMMYFUNCTION("IFERROR(GOOGLEFINANCE(TRIM(F863)&amp;"":"" &amp; TRIM(B863),""low52""),AE863)"),1514)</f>
        <v>1514</v>
      </c>
      <c r="AI863" s="1">
        <f ca="1">IFERROR(__xludf.DUMMYFUNCTION("IFERROR(GOOGLEFINANCE(B863,""eps""),0)"),38.96)</f>
        <v>38.96</v>
      </c>
      <c r="AJ863" s="1"/>
      <c r="AK863" s="1" t="s">
        <v>2651</v>
      </c>
      <c r="AL863" s="9">
        <f t="shared" si="144"/>
        <v>1</v>
      </c>
    </row>
    <row r="864" spans="1:38" ht="15" x14ac:dyDescent="0.25">
      <c r="A864" s="1" t="s">
        <v>2652</v>
      </c>
      <c r="B864" s="1" t="s">
        <v>2653</v>
      </c>
      <c r="C864" s="1" t="s">
        <v>57</v>
      </c>
      <c r="D864" s="1" t="s">
        <v>57</v>
      </c>
      <c r="E864" s="6">
        <v>193.27</v>
      </c>
      <c r="F864" s="1" t="s">
        <v>40</v>
      </c>
      <c r="G864" s="6">
        <f ca="1">IFERROR(__xludf.DUMMYFUNCTION("iferror(GOOGLEFINANCE(TRIM(F864)&amp;"":"" &amp; TRIM(B864), ""price""),0
)"),0)</f>
        <v>0</v>
      </c>
      <c r="H864" s="6">
        <v>211.65</v>
      </c>
      <c r="I864" s="6">
        <f t="shared" ca="1" si="0"/>
        <v>211.65</v>
      </c>
      <c r="J864" s="6">
        <f ca="1">IFERROR(__xludf.DUMMYFUNCTION("IFERROR(GOOGLEFINANCE(B864, ""volume""), 0)"),0)</f>
        <v>0</v>
      </c>
      <c r="K864" s="6">
        <v>-0.24</v>
      </c>
      <c r="L864" s="6">
        <f ca="1">IFERROR(__xludf.DUMMYFUNCTION("IFERROR(GOOGLEFINANCE(B864,""changepct""),K864)"),-0.24)</f>
        <v>-0.24</v>
      </c>
      <c r="M864" s="6">
        <f ca="1">IFERROR(__xludf.DUMMYFUNCTION("IFERROR(GOOGLEFINANCE(B864,""change""),0)"),0)</f>
        <v>0</v>
      </c>
      <c r="N864" s="6">
        <v>1</v>
      </c>
      <c r="O864" s="7">
        <v>45536</v>
      </c>
      <c r="P864" s="12"/>
      <c r="Q864" s="6">
        <v>193.27</v>
      </c>
      <c r="R864" s="7">
        <v>45352</v>
      </c>
      <c r="S864" s="6">
        <v>55.35</v>
      </c>
      <c r="T864" s="6">
        <v>10.08</v>
      </c>
      <c r="U864" s="7">
        <v>45352</v>
      </c>
      <c r="V864" s="6">
        <v>19.18</v>
      </c>
      <c r="W864" s="6">
        <f ca="1">IFERROR(__xludf.DUMMYFUNCTION("IFERROR(GOOGLEFINANCE(B864,""pe""),V864)"),19.18)</f>
        <v>19.18</v>
      </c>
      <c r="X864" s="12"/>
      <c r="Y864" s="6">
        <v>2.99</v>
      </c>
      <c r="Z864" s="6">
        <v>1</v>
      </c>
      <c r="AA864" s="8">
        <v>45352</v>
      </c>
      <c r="AB864" s="4">
        <v>0</v>
      </c>
      <c r="AC864" s="6">
        <v>22.51</v>
      </c>
      <c r="AD864" s="6">
        <v>26.25</v>
      </c>
      <c r="AE864" s="1">
        <v>0</v>
      </c>
      <c r="AF864" s="1">
        <f ca="1">IFERROR(__xludf.DUMMYFUNCTION("IFERROR(GOOGLEFINANCE(TRIM(F864)&amp;"":"" &amp; TRIM(B864),""high52""),AE864)"),0)</f>
        <v>0</v>
      </c>
      <c r="AG864" s="1">
        <v>0</v>
      </c>
      <c r="AH864" s="1">
        <f ca="1">IFERROR(__xludf.DUMMYFUNCTION("IFERROR(GOOGLEFINANCE(TRIM(F864)&amp;"":"" &amp; TRIM(B864),""low52""),AE864)"),0)</f>
        <v>0</v>
      </c>
      <c r="AI864" s="1">
        <f ca="1">IFERROR(__xludf.DUMMYFUNCTION("IFERROR(GOOGLEFINANCE(B864,""eps""),0)"),0)</f>
        <v>0</v>
      </c>
      <c r="AJ864" s="1"/>
      <c r="AK864" s="1" t="s">
        <v>2654</v>
      </c>
      <c r="AL864" s="9">
        <f t="shared" si="144"/>
        <v>1</v>
      </c>
    </row>
    <row r="865" spans="1:38" ht="15" x14ac:dyDescent="0.25">
      <c r="A865" s="1" t="s">
        <v>2655</v>
      </c>
      <c r="B865" s="1" t="s">
        <v>2656</v>
      </c>
      <c r="C865" s="1" t="s">
        <v>275</v>
      </c>
      <c r="D865" s="1" t="s">
        <v>275</v>
      </c>
      <c r="E865" s="6">
        <v>391.05</v>
      </c>
      <c r="F865" s="1" t="s">
        <v>53</v>
      </c>
      <c r="G865" s="6">
        <f ca="1">IFERROR(__xludf.DUMMYFUNCTION("iferror(GOOGLEFINANCE(TRIM(F865)&amp;"":"" &amp; TRIM(B865), ""price""),0
)"),0)</f>
        <v>0</v>
      </c>
      <c r="H865" s="6">
        <v>1738</v>
      </c>
      <c r="I865" s="6">
        <f t="shared" ca="1" si="0"/>
        <v>1738</v>
      </c>
      <c r="J865" s="6">
        <f ca="1">IFERROR(__xludf.DUMMYFUNCTION("IFERROR(GOOGLEFINANCE(B865, ""volume""), 0)"),0)</f>
        <v>0</v>
      </c>
      <c r="K865" s="6">
        <v>0</v>
      </c>
      <c r="L865" s="6">
        <f ca="1">IFERROR(__xludf.DUMMYFUNCTION("IFERROR(GOOGLEFINANCE(B865,""changepct""),K865)"),0)</f>
        <v>0</v>
      </c>
      <c r="M865" s="6">
        <f ca="1">IFERROR(__xludf.DUMMYFUNCTION("IFERROR(GOOGLEFINANCE(B865,""change""),0)"),0)</f>
        <v>0</v>
      </c>
      <c r="N865" s="6">
        <v>1</v>
      </c>
      <c r="O865" s="7">
        <v>45536</v>
      </c>
      <c r="P865" s="6">
        <v>7.62</v>
      </c>
      <c r="Q865" s="6">
        <v>390.87</v>
      </c>
      <c r="R865" s="7">
        <v>45536</v>
      </c>
      <c r="S865" s="6">
        <v>88.97</v>
      </c>
      <c r="T865" s="6">
        <v>9.5500000000000007</v>
      </c>
      <c r="U865" s="7">
        <v>45536</v>
      </c>
      <c r="V865" s="6">
        <v>40.93</v>
      </c>
      <c r="W865" s="6">
        <f ca="1">IFERROR(__xludf.DUMMYFUNCTION("IFERROR(GOOGLEFINANCE(B865,""pe""),V865)"),40.93)</f>
        <v>40.93</v>
      </c>
      <c r="X865" s="6">
        <v>1.27</v>
      </c>
      <c r="Y865" s="6">
        <v>13.89</v>
      </c>
      <c r="Z865" s="6">
        <v>1</v>
      </c>
      <c r="AA865" s="8">
        <v>45352</v>
      </c>
      <c r="AB865" s="4">
        <v>0.33</v>
      </c>
      <c r="AC865" s="6">
        <v>44</v>
      </c>
      <c r="AD865" s="6">
        <v>40.93</v>
      </c>
      <c r="AE865" s="1">
        <v>0</v>
      </c>
      <c r="AF865" s="1">
        <f ca="1">IFERROR(__xludf.DUMMYFUNCTION("IFERROR(GOOGLEFINANCE(TRIM(F865)&amp;"":"" &amp; TRIM(B865),""high52""),AE865)"),0)</f>
        <v>0</v>
      </c>
      <c r="AG865" s="1">
        <v>0</v>
      </c>
      <c r="AH865" s="1">
        <f ca="1">IFERROR(__xludf.DUMMYFUNCTION("IFERROR(GOOGLEFINANCE(TRIM(F865)&amp;"":"" &amp; TRIM(B865),""low52""),AE865)"),0)</f>
        <v>0</v>
      </c>
      <c r="AI865" s="1">
        <f ca="1">IFERROR(__xludf.DUMMYFUNCTION("IFERROR(GOOGLEFINANCE(B865,""eps""),0)"),0)</f>
        <v>0</v>
      </c>
      <c r="AJ865" s="1"/>
      <c r="AK865" s="1" t="s">
        <v>2657</v>
      </c>
      <c r="AL865" s="9">
        <f t="shared" si="144"/>
        <v>1</v>
      </c>
    </row>
    <row r="866" spans="1:38" ht="15" x14ac:dyDescent="0.25">
      <c r="A866" s="1" t="s">
        <v>2658</v>
      </c>
      <c r="B866" s="1" t="s">
        <v>2659</v>
      </c>
      <c r="C866" s="1" t="s">
        <v>1656</v>
      </c>
      <c r="D866" s="1" t="s">
        <v>1656</v>
      </c>
      <c r="E866" s="6">
        <v>25968.58</v>
      </c>
      <c r="F866" s="1" t="s">
        <v>40</v>
      </c>
      <c r="G866" s="6">
        <f ca="1">IFERROR(__xludf.DUMMYFUNCTION("iferror(GOOGLEFINANCE(TRIM(F866)&amp;"":"" &amp; TRIM(B866), ""price""),0
)"),439.9)</f>
        <v>439.9</v>
      </c>
      <c r="H866" s="6">
        <v>349.7</v>
      </c>
      <c r="I866" s="6">
        <f t="shared" ca="1" si="0"/>
        <v>439.9</v>
      </c>
      <c r="J866" s="6">
        <f ca="1">IFERROR(__xludf.DUMMYFUNCTION("IFERROR(GOOGLEFINANCE(B866, ""volume""), 0)"),7787791)</f>
        <v>7787791</v>
      </c>
      <c r="K866" s="6">
        <v>-0.04</v>
      </c>
      <c r="L866" s="6">
        <f ca="1">IFERROR(__xludf.DUMMYFUNCTION("IFERROR(GOOGLEFINANCE(B866,""changepct""),K866)"),0.71)</f>
        <v>0.71</v>
      </c>
      <c r="M866" s="6">
        <f ca="1">IFERROR(__xludf.DUMMYFUNCTION("IFERROR(GOOGLEFINANCE(B866,""change""),0)"),3.1)</f>
        <v>3.1</v>
      </c>
      <c r="N866" s="6">
        <v>2</v>
      </c>
      <c r="O866" s="7">
        <v>45536</v>
      </c>
      <c r="P866" s="6">
        <v>79.459999999999994</v>
      </c>
      <c r="Q866" s="6">
        <v>26048.04</v>
      </c>
      <c r="R866" s="7">
        <v>45536</v>
      </c>
      <c r="S866" s="6">
        <v>8632.0400000000009</v>
      </c>
      <c r="T866" s="6">
        <v>13.36</v>
      </c>
      <c r="U866" s="7">
        <v>45536</v>
      </c>
      <c r="V866" s="6">
        <v>0</v>
      </c>
      <c r="W866" s="6">
        <f ca="1">IFERROR(__xludf.DUMMYFUNCTION("IFERROR(GOOGLEFINANCE(B866,""pe""),V866)"),241.55)</f>
        <v>241.55</v>
      </c>
      <c r="X866" s="9"/>
      <c r="Y866" s="6">
        <v>2.8</v>
      </c>
      <c r="Z866" s="6">
        <v>2</v>
      </c>
      <c r="AA866" s="8">
        <v>45352</v>
      </c>
      <c r="AB866" s="4">
        <v>0.01</v>
      </c>
      <c r="AC866" s="6">
        <v>-2.89</v>
      </c>
      <c r="AD866" s="6">
        <v>-1.67</v>
      </c>
      <c r="AE866" s="1">
        <v>0</v>
      </c>
      <c r="AF866" s="1">
        <f ca="1">IFERROR(__xludf.DUMMYFUNCTION("IFERROR(GOOGLEFINANCE(TRIM(F866)&amp;"":"" &amp; TRIM(B866),""high52""),AE866)"),490)</f>
        <v>490</v>
      </c>
      <c r="AG866" s="1">
        <v>0</v>
      </c>
      <c r="AH866" s="1">
        <f ca="1">IFERROR(__xludf.DUMMYFUNCTION("IFERROR(GOOGLEFINANCE(TRIM(F866)&amp;"":"" &amp; TRIM(B866),""low52""),AE866)"),236.53)</f>
        <v>236.53</v>
      </c>
      <c r="AI866" s="1">
        <f ca="1">IFERROR(__xludf.DUMMYFUNCTION("IFERROR(GOOGLEFINANCE(B866,""eps""),0)"),1.82)</f>
        <v>1.82</v>
      </c>
      <c r="AJ866" s="1"/>
      <c r="AK866" s="1" t="s">
        <v>2660</v>
      </c>
      <c r="AL866" s="9">
        <f t="shared" si="144"/>
        <v>1</v>
      </c>
    </row>
    <row r="867" spans="1:38" ht="15" x14ac:dyDescent="0.25">
      <c r="A867" s="1" t="s">
        <v>2661</v>
      </c>
      <c r="B867" s="1" t="s">
        <v>2662</v>
      </c>
      <c r="C867" s="1" t="s">
        <v>1265</v>
      </c>
      <c r="D867" s="1" t="s">
        <v>1265</v>
      </c>
      <c r="E867" s="6">
        <v>105.99</v>
      </c>
      <c r="F867" s="1" t="s">
        <v>53</v>
      </c>
      <c r="G867" s="6">
        <f ca="1">IFERROR(__xludf.DUMMYFUNCTION("iferror(GOOGLEFINANCE(TRIM(F867)&amp;"":"" &amp; TRIM(B867), ""price""),0
)"),0)</f>
        <v>0</v>
      </c>
      <c r="H867" s="6">
        <v>139</v>
      </c>
      <c r="I867" s="6">
        <f t="shared" ca="1" si="0"/>
        <v>139</v>
      </c>
      <c r="J867" s="6">
        <f ca="1">IFERROR(__xludf.DUMMYFUNCTION("IFERROR(GOOGLEFINANCE(B867, ""volume""), 0)"),0)</f>
        <v>0</v>
      </c>
      <c r="K867" s="6">
        <v>2.02</v>
      </c>
      <c r="L867" s="6">
        <f ca="1">IFERROR(__xludf.DUMMYFUNCTION("IFERROR(GOOGLEFINANCE(B867,""changepct""),K867)"),2.02)</f>
        <v>2.02</v>
      </c>
      <c r="M867" s="6">
        <f ca="1">IFERROR(__xludf.DUMMYFUNCTION("IFERROR(GOOGLEFINANCE(B867,""change""),0)"),0)</f>
        <v>0</v>
      </c>
      <c r="N867" s="6">
        <v>1</v>
      </c>
      <c r="O867" s="7">
        <v>45536</v>
      </c>
      <c r="P867" s="6">
        <v>19.03</v>
      </c>
      <c r="Q867" s="6">
        <v>125.02</v>
      </c>
      <c r="R867" s="7">
        <v>45352</v>
      </c>
      <c r="S867" s="6">
        <v>28.99</v>
      </c>
      <c r="T867" s="6">
        <v>0.52</v>
      </c>
      <c r="U867" s="7">
        <v>45352</v>
      </c>
      <c r="V867" s="6">
        <v>201.8</v>
      </c>
      <c r="W867" s="6">
        <f ca="1">IFERROR(__xludf.DUMMYFUNCTION("IFERROR(GOOGLEFINANCE(B867,""pe""),V867)"),201.8)</f>
        <v>201.8</v>
      </c>
      <c r="X867" s="9"/>
      <c r="Y867" s="6">
        <v>5.39</v>
      </c>
      <c r="Z867" s="6">
        <v>1</v>
      </c>
      <c r="AA867" s="8">
        <v>45352</v>
      </c>
      <c r="AB867" s="4">
        <v>0.82</v>
      </c>
      <c r="AC867" s="6">
        <v>4.41</v>
      </c>
      <c r="AD867" s="6">
        <v>9.82</v>
      </c>
      <c r="AE867" s="1">
        <v>0</v>
      </c>
      <c r="AF867" s="1">
        <f ca="1">IFERROR(__xludf.DUMMYFUNCTION("IFERROR(GOOGLEFINANCE(TRIM(F867)&amp;"":"" &amp; TRIM(B867),""high52""),AE867)"),0)</f>
        <v>0</v>
      </c>
      <c r="AG867" s="1">
        <v>0</v>
      </c>
      <c r="AH867" s="1">
        <f ca="1">IFERROR(__xludf.DUMMYFUNCTION("IFERROR(GOOGLEFINANCE(TRIM(F867)&amp;"":"" &amp; TRIM(B867),""low52""),AE867)"),0)</f>
        <v>0</v>
      </c>
      <c r="AI867" s="1">
        <f ca="1">IFERROR(__xludf.DUMMYFUNCTION("IFERROR(GOOGLEFINANCE(B867,""eps""),0)"),0)</f>
        <v>0</v>
      </c>
      <c r="AJ867" s="1"/>
      <c r="AK867" s="1" t="s">
        <v>2663</v>
      </c>
      <c r="AL867" s="9">
        <f t="shared" si="144"/>
        <v>1</v>
      </c>
    </row>
    <row r="868" spans="1:38" ht="15" x14ac:dyDescent="0.25">
      <c r="A868" s="1" t="s">
        <v>2664</v>
      </c>
      <c r="B868" s="1" t="s">
        <v>2665</v>
      </c>
      <c r="C868" s="1" t="s">
        <v>48</v>
      </c>
      <c r="D868" s="1" t="s">
        <v>48</v>
      </c>
      <c r="E868" s="6">
        <v>233.69</v>
      </c>
      <c r="F868" s="1" t="s">
        <v>40</v>
      </c>
      <c r="G868" s="6">
        <f ca="1">IFERROR(__xludf.DUMMYFUNCTION("iferror(GOOGLEFINANCE(TRIM(F868)&amp;"":"" &amp; TRIM(B868), ""price""),0
)"),215)</f>
        <v>215</v>
      </c>
      <c r="H868" s="6">
        <v>215.99</v>
      </c>
      <c r="I868" s="6">
        <f t="shared" ca="1" si="0"/>
        <v>215</v>
      </c>
      <c r="J868" s="6">
        <f ca="1">IFERROR(__xludf.DUMMYFUNCTION("IFERROR(GOOGLEFINANCE(B868, ""volume""), 0)"),246660)</f>
        <v>246660</v>
      </c>
      <c r="K868" s="6">
        <v>3.97</v>
      </c>
      <c r="L868" s="6">
        <f ca="1">IFERROR(__xludf.DUMMYFUNCTION("IFERROR(GOOGLEFINANCE(B868,""changepct""),K868)"),-1.59)</f>
        <v>-1.59</v>
      </c>
      <c r="M868" s="6">
        <f ca="1">IFERROR(__xludf.DUMMYFUNCTION("IFERROR(GOOGLEFINANCE(B868,""change""),0)"),-3.47)</f>
        <v>-3.47</v>
      </c>
      <c r="N868" s="6">
        <v>1</v>
      </c>
      <c r="O868" s="7">
        <v>45536</v>
      </c>
      <c r="P868" s="6">
        <v>10.5</v>
      </c>
      <c r="Q868" s="7">
        <v>45536</v>
      </c>
      <c r="R868" s="6">
        <v>22.25</v>
      </c>
      <c r="S868" s="6">
        <v>0.87</v>
      </c>
      <c r="T868" s="6">
        <v>1.04</v>
      </c>
      <c r="U868" s="6">
        <v>1</v>
      </c>
      <c r="V868" s="7">
        <v>45352</v>
      </c>
      <c r="W868" s="6">
        <f ca="1">IFERROR(__xludf.DUMMYFUNCTION("IFERROR(GOOGLEFINANCE(B868,""pe""),V868)"),80.02)</f>
        <v>80.02</v>
      </c>
      <c r="X868" s="6">
        <v>0.14000000000000001</v>
      </c>
      <c r="Y868" s="6">
        <v>7.09</v>
      </c>
      <c r="Z868" s="6">
        <v>11.01</v>
      </c>
      <c r="AA868" s="3" t="s">
        <v>2666</v>
      </c>
      <c r="AB868" s="3"/>
      <c r="AC868" s="9"/>
      <c r="AD868" s="9"/>
      <c r="AE868" s="1">
        <v>0</v>
      </c>
      <c r="AF868" s="1">
        <f ca="1">IFERROR(__xludf.DUMMYFUNCTION("IFERROR(GOOGLEFINANCE(TRIM(F868)&amp;"":"" &amp; TRIM(B868),""high52""),AE868)"),264)</f>
        <v>264</v>
      </c>
      <c r="AG868" s="1">
        <v>0</v>
      </c>
      <c r="AH868" s="1">
        <f ca="1">IFERROR(__xludf.DUMMYFUNCTION("IFERROR(GOOGLEFINANCE(TRIM(F868)&amp;"":"" &amp; TRIM(B868),""low52""),AE868)"),101.64)</f>
        <v>101.64</v>
      </c>
      <c r="AI868" s="1">
        <f ca="1">IFERROR(__xludf.DUMMYFUNCTION("IFERROR(GOOGLEFINANCE(B868,""eps""),0)"),2.69)</f>
        <v>2.69</v>
      </c>
      <c r="AJ868" s="1"/>
      <c r="AK868" s="1" t="s">
        <v>2667</v>
      </c>
      <c r="AL868" s="9">
        <f t="shared" si="144"/>
        <v>1</v>
      </c>
    </row>
    <row r="869" spans="1:38" ht="15" x14ac:dyDescent="0.25">
      <c r="A869" s="1" t="s">
        <v>2668</v>
      </c>
      <c r="B869" s="1" t="s">
        <v>2669</v>
      </c>
      <c r="C869" s="1" t="s">
        <v>313</v>
      </c>
      <c r="D869" s="1" t="s">
        <v>313</v>
      </c>
      <c r="E869" s="6">
        <v>3015.1</v>
      </c>
      <c r="F869" s="1" t="s">
        <v>40</v>
      </c>
      <c r="G869" s="6">
        <f ca="1">IFERROR(__xludf.DUMMYFUNCTION("iferror(GOOGLEFINANCE(TRIM(F869)&amp;"":"" &amp; TRIM(B869), ""price""),0
)"),63.1)</f>
        <v>63.1</v>
      </c>
      <c r="H869" s="6">
        <v>113.98</v>
      </c>
      <c r="I869" s="6">
        <f t="shared" ca="1" si="0"/>
        <v>63.1</v>
      </c>
      <c r="J869" s="6">
        <f ca="1">IFERROR(__xludf.DUMMYFUNCTION("IFERROR(GOOGLEFINANCE(B869, ""volume""), 0)"),770075)</f>
        <v>770075</v>
      </c>
      <c r="K869" s="6">
        <v>1.26</v>
      </c>
      <c r="L869" s="6">
        <f ca="1">IFERROR(__xludf.DUMMYFUNCTION("IFERROR(GOOGLEFINANCE(B869,""changepct""),K869)"),-1.45)</f>
        <v>-1.45</v>
      </c>
      <c r="M869" s="6">
        <f ca="1">IFERROR(__xludf.DUMMYFUNCTION("IFERROR(GOOGLEFINANCE(B869,""change""),0)"),-0.93)</f>
        <v>-0.93</v>
      </c>
      <c r="N869" s="6">
        <v>2</v>
      </c>
      <c r="O869" s="7">
        <v>45536</v>
      </c>
      <c r="P869" s="9"/>
      <c r="Q869" s="6">
        <v>2894.35</v>
      </c>
      <c r="R869" s="7">
        <v>45536</v>
      </c>
      <c r="S869" s="6">
        <v>794.85</v>
      </c>
      <c r="T869" s="6">
        <v>153.87</v>
      </c>
      <c r="U869" s="7">
        <v>45536</v>
      </c>
      <c r="V869" s="6">
        <v>19.38</v>
      </c>
      <c r="W869" s="6">
        <f ca="1">IFERROR(__xludf.DUMMYFUNCTION("IFERROR(GOOGLEFINANCE(B869,""pe""),V869)"),7.23)</f>
        <v>7.23</v>
      </c>
      <c r="X869" s="6">
        <v>14.91</v>
      </c>
      <c r="Y869" s="6">
        <v>1.18</v>
      </c>
      <c r="Z869" s="6">
        <v>2</v>
      </c>
      <c r="AA869" s="8">
        <v>45352</v>
      </c>
      <c r="AB869" s="4">
        <v>0</v>
      </c>
      <c r="AC869" s="6">
        <v>10.5</v>
      </c>
      <c r="AD869" s="6">
        <v>14.75</v>
      </c>
      <c r="AE869" s="1">
        <v>0</v>
      </c>
      <c r="AF869" s="1">
        <f ca="1">IFERROR(__xludf.DUMMYFUNCTION("IFERROR(GOOGLEFINANCE(TRIM(F869)&amp;"":"" &amp; TRIM(B869),""high52""),AE869)"),103.5)</f>
        <v>103.5</v>
      </c>
      <c r="AG869" s="1">
        <v>0</v>
      </c>
      <c r="AH869" s="1">
        <f ca="1">IFERROR(__xludf.DUMMYFUNCTION("IFERROR(GOOGLEFINANCE(TRIM(F869)&amp;"":"" &amp; TRIM(B869),""low52""),AE869)"),62)</f>
        <v>62</v>
      </c>
      <c r="AI869" s="1">
        <f ca="1">IFERROR(__xludf.DUMMYFUNCTION("IFERROR(GOOGLEFINANCE(B869,""eps""),0)"),8.73)</f>
        <v>8.73</v>
      </c>
      <c r="AJ869" s="1"/>
      <c r="AK869" s="1" t="s">
        <v>2670</v>
      </c>
      <c r="AL869" s="1" t="b">
        <f>ISNUMBER(AA869)</f>
        <v>1</v>
      </c>
    </row>
    <row r="870" spans="1:38" ht="15" x14ac:dyDescent="0.25">
      <c r="A870" s="1" t="s">
        <v>2671</v>
      </c>
      <c r="B870" s="1" t="s">
        <v>2672</v>
      </c>
      <c r="C870" s="1" t="s">
        <v>125</v>
      </c>
      <c r="D870" s="1" t="s">
        <v>125</v>
      </c>
      <c r="E870" s="6">
        <v>124.79</v>
      </c>
      <c r="F870" s="1" t="s">
        <v>40</v>
      </c>
      <c r="G870" s="6">
        <f ca="1">IFERROR(__xludf.DUMMYFUNCTION("iferror(GOOGLEFINANCE(TRIM(F870)&amp;"":"" &amp; TRIM(B870), ""price""),0
)"),65.49)</f>
        <v>65.489999999999995</v>
      </c>
      <c r="H870" s="6">
        <v>115.39</v>
      </c>
      <c r="I870" s="6">
        <f t="shared" ca="1" si="0"/>
        <v>65.489999999999995</v>
      </c>
      <c r="J870" s="6">
        <f ca="1">IFERROR(__xludf.DUMMYFUNCTION("IFERROR(GOOGLEFINANCE(B870, ""volume""), 0)"),1947)</f>
        <v>1947</v>
      </c>
      <c r="K870" s="6">
        <v>0.3</v>
      </c>
      <c r="L870" s="6">
        <f ca="1">IFERROR(__xludf.DUMMYFUNCTION("IFERROR(GOOGLEFINANCE(B870,""changepct""),K870)"),-0.17)</f>
        <v>-0.17</v>
      </c>
      <c r="M870" s="6">
        <f ca="1">IFERROR(__xludf.DUMMYFUNCTION("IFERROR(GOOGLEFINANCE(B870,""change""),0)"),-0.11)</f>
        <v>-0.11</v>
      </c>
      <c r="N870" s="6">
        <v>2</v>
      </c>
      <c r="O870" s="7">
        <v>45536</v>
      </c>
      <c r="P870" s="6">
        <v>38.619999999999997</v>
      </c>
      <c r="Q870" s="6">
        <v>163.04</v>
      </c>
      <c r="R870" s="7">
        <v>45536</v>
      </c>
      <c r="S870" s="6">
        <v>81.95</v>
      </c>
      <c r="T870" s="6">
        <v>-11.19</v>
      </c>
      <c r="U870" s="7">
        <v>45536</v>
      </c>
      <c r="V870" s="6">
        <v>0</v>
      </c>
      <c r="W870" s="6">
        <f ca="1">IFERROR(__xludf.DUMMYFUNCTION("IFERROR(GOOGLEFINANCE(B870,""pe""),V870)"),0)</f>
        <v>0</v>
      </c>
      <c r="X870" s="12"/>
      <c r="Y870" s="6">
        <v>5.99</v>
      </c>
      <c r="Z870" s="6">
        <v>2</v>
      </c>
      <c r="AA870" s="8">
        <v>45352</v>
      </c>
      <c r="AB870" s="4">
        <v>1.47</v>
      </c>
      <c r="AC870" s="6">
        <v>-32.21</v>
      </c>
      <c r="AD870" s="6">
        <v>-7.98</v>
      </c>
      <c r="AE870" s="1">
        <v>0</v>
      </c>
      <c r="AF870" s="1">
        <f ca="1">IFERROR(__xludf.DUMMYFUNCTION("IFERROR(GOOGLEFINANCE(TRIM(F870)&amp;"":"" &amp; TRIM(B870),""high52""),AE870)"),115.99)</f>
        <v>115.99</v>
      </c>
      <c r="AG870" s="1">
        <v>0</v>
      </c>
      <c r="AH870" s="1">
        <f ca="1">IFERROR(__xludf.DUMMYFUNCTION("IFERROR(GOOGLEFINANCE(TRIM(F870)&amp;"":"" &amp; TRIM(B870),""low52""),AE870)"),55.01)</f>
        <v>55.01</v>
      </c>
      <c r="AI870" s="1">
        <f ca="1">IFERROR(__xludf.DUMMYFUNCTION("IFERROR(GOOGLEFINANCE(B870,""eps""),0)"),-9.96)</f>
        <v>-9.9600000000000009</v>
      </c>
      <c r="AJ870" s="1"/>
      <c r="AK870" s="1" t="s">
        <v>2673</v>
      </c>
      <c r="AL870" s="9">
        <f t="shared" ref="AL870:AL880" si="145">IF(AA870&lt;&gt;AB870,1,0)</f>
        <v>1</v>
      </c>
    </row>
    <row r="871" spans="1:38" ht="15" x14ac:dyDescent="0.25">
      <c r="A871" s="1" t="s">
        <v>2674</v>
      </c>
      <c r="B871" s="1" t="s">
        <v>2675</v>
      </c>
      <c r="C871" s="1" t="s">
        <v>1682</v>
      </c>
      <c r="D871" s="1" t="s">
        <v>1682</v>
      </c>
      <c r="E871" s="6">
        <v>2112.19</v>
      </c>
      <c r="F871" s="1" t="s">
        <v>40</v>
      </c>
      <c r="G871" s="6">
        <f ca="1">IFERROR(__xludf.DUMMYFUNCTION("iferror(GOOGLEFINANCE(TRIM(F871)&amp;"":"" &amp; TRIM(B871), ""price""),0
)"),28.35)</f>
        <v>28.35</v>
      </c>
      <c r="H871" s="6">
        <v>44.54</v>
      </c>
      <c r="I871" s="6">
        <f t="shared" ca="1" si="0"/>
        <v>28.35</v>
      </c>
      <c r="J871" s="6">
        <f ca="1">IFERROR(__xludf.DUMMYFUNCTION("IFERROR(GOOGLEFINANCE(B871, ""volume""), 0)"),0)</f>
        <v>0</v>
      </c>
      <c r="K871" s="6">
        <v>0.66</v>
      </c>
      <c r="L871" s="6">
        <f ca="1">IFERROR(__xludf.DUMMYFUNCTION("IFERROR(GOOGLEFINANCE(B871,""changepct""),K871)"),-0.63)</f>
        <v>-0.63</v>
      </c>
      <c r="M871" s="6">
        <f ca="1">IFERROR(__xludf.DUMMYFUNCTION("IFERROR(GOOGLEFINANCE(B871,""change""),0)"),-0.1)</f>
        <v>-0.1</v>
      </c>
      <c r="N871" s="6">
        <v>2</v>
      </c>
      <c r="O871" s="7">
        <v>45536</v>
      </c>
      <c r="P871" s="9"/>
      <c r="Q871" s="6">
        <v>1184.3800000000001</v>
      </c>
      <c r="R871" s="7">
        <v>45536</v>
      </c>
      <c r="S871" s="6">
        <v>1027.56</v>
      </c>
      <c r="T871" s="6">
        <v>219.97</v>
      </c>
      <c r="U871" s="7">
        <v>45536</v>
      </c>
      <c r="V871" s="6">
        <v>9.43</v>
      </c>
      <c r="W871" s="6">
        <f ca="1">IFERROR(__xludf.DUMMYFUNCTION("IFERROR(GOOGLEFINANCE(B871,""pe""),V871)"),9.43)</f>
        <v>9.43</v>
      </c>
      <c r="X871" s="6">
        <v>0.22</v>
      </c>
      <c r="Y871" s="6">
        <v>0.6</v>
      </c>
      <c r="Z871" s="6">
        <v>2</v>
      </c>
      <c r="AA871" s="8">
        <v>45352</v>
      </c>
      <c r="AB871" s="4">
        <v>0</v>
      </c>
      <c r="AC871" s="6">
        <v>6.42</v>
      </c>
      <c r="AD871" s="6">
        <v>7.46</v>
      </c>
      <c r="AE871" s="1">
        <v>0</v>
      </c>
      <c r="AF871" s="1">
        <f ca="1">IFERROR(__xludf.DUMMYFUNCTION("IFERROR(GOOGLEFINANCE(TRIM(F871)&amp;"":"" &amp; TRIM(B871),""high52""),AE871)"),42.6)</f>
        <v>42.6</v>
      </c>
      <c r="AG871" s="1">
        <v>0</v>
      </c>
      <c r="AH871" s="1">
        <f ca="1">IFERROR(__xludf.DUMMYFUNCTION("IFERROR(GOOGLEFINANCE(TRIM(F871)&amp;"":"" &amp; TRIM(B871),""low52""),AE871)"),26.9)</f>
        <v>26.9</v>
      </c>
      <c r="AI871" s="1">
        <f ca="1">IFERROR(__xludf.DUMMYFUNCTION("IFERROR(GOOGLEFINANCE(B871,""eps""),0)"),0)</f>
        <v>0</v>
      </c>
      <c r="AJ871" s="1"/>
      <c r="AK871" s="1" t="s">
        <v>2676</v>
      </c>
      <c r="AL871" s="9">
        <f t="shared" si="145"/>
        <v>1</v>
      </c>
    </row>
    <row r="872" spans="1:38" ht="15" x14ac:dyDescent="0.25">
      <c r="A872" s="1" t="s">
        <v>2677</v>
      </c>
      <c r="B872" s="1" t="s">
        <v>2678</v>
      </c>
      <c r="C872" s="1" t="s">
        <v>259</v>
      </c>
      <c r="D872" s="1" t="s">
        <v>259</v>
      </c>
      <c r="E872" s="6">
        <v>242.36</v>
      </c>
      <c r="F872" s="1" t="s">
        <v>40</v>
      </c>
      <c r="G872" s="6">
        <f ca="1">IFERROR(__xludf.DUMMYFUNCTION("iferror(GOOGLEFINANCE(TRIM(F872)&amp;"":"" &amp; TRIM(B872), ""price""),0
)"),0)</f>
        <v>0</v>
      </c>
      <c r="H872" s="6">
        <v>157.5</v>
      </c>
      <c r="I872" s="6">
        <f t="shared" ca="1" si="0"/>
        <v>157.5</v>
      </c>
      <c r="J872" s="6">
        <f ca="1">IFERROR(__xludf.DUMMYFUNCTION("IFERROR(GOOGLEFINANCE(B872, ""volume""), 0)"),0)</f>
        <v>0</v>
      </c>
      <c r="K872" s="6">
        <v>0</v>
      </c>
      <c r="L872" s="6">
        <f ca="1">IFERROR(__xludf.DUMMYFUNCTION("IFERROR(GOOGLEFINANCE(B872,""changepct""),K872)"),0)</f>
        <v>0</v>
      </c>
      <c r="M872" s="6">
        <f ca="1">IFERROR(__xludf.DUMMYFUNCTION("IFERROR(GOOGLEFINANCE(B872,""change""),0)"),0)</f>
        <v>0</v>
      </c>
      <c r="N872" s="6">
        <v>1</v>
      </c>
      <c r="O872" s="7">
        <v>45536</v>
      </c>
      <c r="P872" s="6">
        <v>9.6999999999999993</v>
      </c>
      <c r="Q872" s="6">
        <v>252.06</v>
      </c>
      <c r="R872" s="7">
        <v>45352</v>
      </c>
      <c r="S872" s="6">
        <v>57.82</v>
      </c>
      <c r="T872" s="6">
        <v>2.12</v>
      </c>
      <c r="U872" s="7">
        <v>45352</v>
      </c>
      <c r="V872" s="6">
        <v>114.16</v>
      </c>
      <c r="W872" s="6">
        <f ca="1">IFERROR(__xludf.DUMMYFUNCTION("IFERROR(GOOGLEFINANCE(B872,""pe""),V872)"),114.16)</f>
        <v>114.16</v>
      </c>
      <c r="X872" s="12"/>
      <c r="Y872" s="6">
        <v>8.48</v>
      </c>
      <c r="Z872" s="6">
        <v>1</v>
      </c>
      <c r="AA872" s="8">
        <v>45352</v>
      </c>
      <c r="AB872" s="4">
        <v>0.46</v>
      </c>
      <c r="AC872" s="6">
        <v>7.72</v>
      </c>
      <c r="AD872" s="6">
        <v>11.07</v>
      </c>
      <c r="AE872" s="1">
        <v>0</v>
      </c>
      <c r="AF872" s="1">
        <f ca="1">IFERROR(__xludf.DUMMYFUNCTION("IFERROR(GOOGLEFINANCE(TRIM(F872)&amp;"":"" &amp; TRIM(B872),""high52""),AE872)"),0)</f>
        <v>0</v>
      </c>
      <c r="AG872" s="1">
        <v>0</v>
      </c>
      <c r="AH872" s="1">
        <f ca="1">IFERROR(__xludf.DUMMYFUNCTION("IFERROR(GOOGLEFINANCE(TRIM(F872)&amp;"":"" &amp; TRIM(B872),""low52""),AE872)"),0)</f>
        <v>0</v>
      </c>
      <c r="AI872" s="1">
        <f ca="1">IFERROR(__xludf.DUMMYFUNCTION("IFERROR(GOOGLEFINANCE(B872,""eps""),0)"),0)</f>
        <v>0</v>
      </c>
      <c r="AJ872" s="1"/>
      <c r="AK872" s="1" t="s">
        <v>2679</v>
      </c>
      <c r="AL872" s="9">
        <f t="shared" si="145"/>
        <v>1</v>
      </c>
    </row>
    <row r="873" spans="1:38" ht="15" x14ac:dyDescent="0.25">
      <c r="A873" s="1" t="s">
        <v>2680</v>
      </c>
      <c r="B873" s="1" t="s">
        <v>2681</v>
      </c>
      <c r="C873" s="1" t="s">
        <v>57</v>
      </c>
      <c r="D873" s="1" t="s">
        <v>57</v>
      </c>
      <c r="E873" s="6">
        <v>373.95</v>
      </c>
      <c r="F873" s="1" t="s">
        <v>40</v>
      </c>
      <c r="G873" s="6">
        <f ca="1">IFERROR(__xludf.DUMMYFUNCTION("iferror(GOOGLEFINANCE(TRIM(F873)&amp;"":"" &amp; TRIM(B873), ""price""),0
)"),30.78)</f>
        <v>30.78</v>
      </c>
      <c r="H873" s="6">
        <v>168.4</v>
      </c>
      <c r="I873" s="6">
        <f t="shared" ca="1" si="0"/>
        <v>30.78</v>
      </c>
      <c r="J873" s="6">
        <f ca="1">IFERROR(__xludf.DUMMYFUNCTION("IFERROR(GOOGLEFINANCE(B873, ""volume""), 0)"),26406)</f>
        <v>26406</v>
      </c>
      <c r="K873" s="6">
        <v>2.02</v>
      </c>
      <c r="L873" s="6">
        <f ca="1">IFERROR(__xludf.DUMMYFUNCTION("IFERROR(GOOGLEFINANCE(B873,""changepct""),K873)"),0.39)</f>
        <v>0.39</v>
      </c>
      <c r="M873" s="6">
        <f ca="1">IFERROR(__xludf.DUMMYFUNCTION("IFERROR(GOOGLEFINANCE(B873,""change""),0)"),0.12)</f>
        <v>0.12</v>
      </c>
      <c r="N873" s="6">
        <v>2</v>
      </c>
      <c r="O873" s="7">
        <v>45536</v>
      </c>
      <c r="P873" s="6">
        <v>23.15</v>
      </c>
      <c r="Q873" s="6">
        <v>391.46</v>
      </c>
      <c r="R873" s="7">
        <v>45536</v>
      </c>
      <c r="S873" s="6">
        <v>146.57</v>
      </c>
      <c r="T873" s="6">
        <v>17.82</v>
      </c>
      <c r="U873" s="7">
        <v>45536</v>
      </c>
      <c r="V873" s="6">
        <v>21.06</v>
      </c>
      <c r="W873" s="6">
        <f ca="1">IFERROR(__xludf.DUMMYFUNCTION("IFERROR(GOOGLEFINANCE(B873,""pe""),V873)"),2.26)</f>
        <v>2.2599999999999998</v>
      </c>
      <c r="X873" s="6">
        <v>0.89</v>
      </c>
      <c r="Y873" s="6">
        <v>5.66</v>
      </c>
      <c r="Z873" s="6">
        <v>2</v>
      </c>
      <c r="AA873" s="17">
        <v>45352</v>
      </c>
      <c r="AB873" s="18">
        <v>0.23</v>
      </c>
      <c r="AC873" s="6">
        <v>19.62</v>
      </c>
      <c r="AD873" s="6">
        <v>23.77</v>
      </c>
      <c r="AE873" s="1">
        <v>0</v>
      </c>
      <c r="AF873" s="1">
        <f ca="1">IFERROR(__xludf.DUMMYFUNCTION("IFERROR(GOOGLEFINANCE(TRIM(F873)&amp;"":"" &amp; TRIM(B873),""high52""),AE873)"),63.13)</f>
        <v>63.13</v>
      </c>
      <c r="AG873" s="1">
        <v>0</v>
      </c>
      <c r="AH873" s="1">
        <f ca="1">IFERROR(__xludf.DUMMYFUNCTION("IFERROR(GOOGLEFINANCE(TRIM(F873)&amp;"":"" &amp; TRIM(B873),""low52""),AE873)"),30)</f>
        <v>30</v>
      </c>
      <c r="AI873" s="1">
        <f ca="1">IFERROR(__xludf.DUMMYFUNCTION("IFERROR(GOOGLEFINANCE(B873,""eps""),0)"),13.65)</f>
        <v>13.65</v>
      </c>
      <c r="AJ873" s="1"/>
      <c r="AK873" s="1" t="s">
        <v>2682</v>
      </c>
      <c r="AL873" s="9">
        <f t="shared" si="145"/>
        <v>1</v>
      </c>
    </row>
    <row r="874" spans="1:38" ht="15" x14ac:dyDescent="0.25">
      <c r="A874" s="1" t="s">
        <v>2683</v>
      </c>
      <c r="B874" s="1" t="s">
        <v>2684</v>
      </c>
      <c r="C874" s="1" t="s">
        <v>1265</v>
      </c>
      <c r="D874" s="1" t="s">
        <v>1265</v>
      </c>
      <c r="E874" s="6">
        <v>54.64</v>
      </c>
      <c r="F874" s="1" t="s">
        <v>53</v>
      </c>
      <c r="G874" s="6">
        <f ca="1">IFERROR(__xludf.DUMMYFUNCTION("iferror(GOOGLEFINANCE(TRIM(F874)&amp;"":"" &amp; TRIM(B874), ""price""),0
)"),0)</f>
        <v>0</v>
      </c>
      <c r="H874" s="6">
        <v>106.82</v>
      </c>
      <c r="I874" s="6">
        <f t="shared" ca="1" si="0"/>
        <v>106.82</v>
      </c>
      <c r="J874" s="6">
        <f ca="1">IFERROR(__xludf.DUMMYFUNCTION("IFERROR(GOOGLEFINANCE(B874, ""volume""), 0)"),0)</f>
        <v>0</v>
      </c>
      <c r="K874" s="6">
        <v>4.83</v>
      </c>
      <c r="L874" s="6">
        <f ca="1">IFERROR(__xludf.DUMMYFUNCTION("IFERROR(GOOGLEFINANCE(B874,""changepct""),K874)"),4.83)</f>
        <v>4.83</v>
      </c>
      <c r="M874" s="6">
        <f ca="1">IFERROR(__xludf.DUMMYFUNCTION("IFERROR(GOOGLEFINANCE(B874,""change""),0)"),0)</f>
        <v>0</v>
      </c>
      <c r="N874" s="6">
        <v>1</v>
      </c>
      <c r="O874" s="7">
        <v>45536</v>
      </c>
      <c r="P874" s="6">
        <v>10.88</v>
      </c>
      <c r="Q874" s="6">
        <v>65.489999999999995</v>
      </c>
      <c r="R874" s="7">
        <v>45536</v>
      </c>
      <c r="S874" s="6">
        <v>45.19</v>
      </c>
      <c r="T874" s="6">
        <v>0.73</v>
      </c>
      <c r="U874" s="7">
        <v>45536</v>
      </c>
      <c r="V874" s="6">
        <v>74.55</v>
      </c>
      <c r="W874" s="6">
        <f ca="1">IFERROR(__xludf.DUMMYFUNCTION("IFERROR(GOOGLEFINANCE(B874,""pe""),V874)"),74.55)</f>
        <v>74.55</v>
      </c>
      <c r="X874" s="6">
        <v>3.87</v>
      </c>
      <c r="Y874" s="6">
        <v>4.33</v>
      </c>
      <c r="Z874" s="6">
        <v>1</v>
      </c>
      <c r="AA874" s="8">
        <v>45352</v>
      </c>
      <c r="AB874" s="4">
        <v>0.82</v>
      </c>
      <c r="AC874" s="6">
        <v>11.44</v>
      </c>
      <c r="AD874" s="6">
        <v>12.24</v>
      </c>
      <c r="AE874" s="1">
        <v>0</v>
      </c>
      <c r="AF874" s="1">
        <f ca="1">IFERROR(__xludf.DUMMYFUNCTION("IFERROR(GOOGLEFINANCE(TRIM(F874)&amp;"":"" &amp; TRIM(B874),""high52""),AE874)"),0)</f>
        <v>0</v>
      </c>
      <c r="AG874" s="1">
        <v>0</v>
      </c>
      <c r="AH874" s="1">
        <f ca="1">IFERROR(__xludf.DUMMYFUNCTION("IFERROR(GOOGLEFINANCE(TRIM(F874)&amp;"":"" &amp; TRIM(B874),""low52""),AE874)"),0)</f>
        <v>0</v>
      </c>
      <c r="AI874" s="1">
        <f ca="1">IFERROR(__xludf.DUMMYFUNCTION("IFERROR(GOOGLEFINANCE(B874,""eps""),0)"),0)</f>
        <v>0</v>
      </c>
      <c r="AJ874" s="1"/>
      <c r="AK874" s="1" t="s">
        <v>2685</v>
      </c>
      <c r="AL874" s="9">
        <f t="shared" si="145"/>
        <v>1</v>
      </c>
    </row>
    <row r="875" spans="1:38" ht="15" x14ac:dyDescent="0.25">
      <c r="A875" s="1" t="s">
        <v>2686</v>
      </c>
      <c r="B875" s="1" t="s">
        <v>2687</v>
      </c>
      <c r="C875" s="1" t="s">
        <v>1265</v>
      </c>
      <c r="D875" s="1" t="s">
        <v>1265</v>
      </c>
      <c r="E875" s="6">
        <v>4734.82</v>
      </c>
      <c r="F875" s="1" t="s">
        <v>53</v>
      </c>
      <c r="G875" s="6">
        <f ca="1">IFERROR(__xludf.DUMMYFUNCTION("iferror(GOOGLEFINANCE(TRIM(F875)&amp;"":"" &amp; TRIM(B875), ""price""),0
)"),0)</f>
        <v>0</v>
      </c>
      <c r="H875" s="6">
        <v>9000</v>
      </c>
      <c r="I875" s="6">
        <f t="shared" ca="1" si="0"/>
        <v>9000</v>
      </c>
      <c r="J875" s="6">
        <f ca="1">IFERROR(__xludf.DUMMYFUNCTION("IFERROR(GOOGLEFINANCE(B875, ""volume""), 0)"),0)</f>
        <v>0</v>
      </c>
      <c r="K875" s="6">
        <v>0.51</v>
      </c>
      <c r="L875" s="6">
        <f ca="1">IFERROR(__xludf.DUMMYFUNCTION("IFERROR(GOOGLEFINANCE(B875,""changepct""),K875)"),0.51)</f>
        <v>0.51</v>
      </c>
      <c r="M875" s="6">
        <f ca="1">IFERROR(__xludf.DUMMYFUNCTION("IFERROR(GOOGLEFINANCE(B875,""change""),0)"),0)</f>
        <v>0</v>
      </c>
      <c r="N875" s="6">
        <v>1</v>
      </c>
      <c r="O875" s="7">
        <v>45536</v>
      </c>
      <c r="P875" s="6">
        <v>26.41</v>
      </c>
      <c r="Q875" s="6">
        <v>4598.74</v>
      </c>
      <c r="R875" s="7">
        <v>45536</v>
      </c>
      <c r="S875" s="6">
        <v>1072.55</v>
      </c>
      <c r="T875" s="6">
        <v>112.97</v>
      </c>
      <c r="U875" s="7">
        <v>45536</v>
      </c>
      <c r="V875" s="6">
        <v>41.91</v>
      </c>
      <c r="W875" s="6">
        <f ca="1">IFERROR(__xludf.DUMMYFUNCTION("IFERROR(GOOGLEFINANCE(B875,""pe""),V875)"),41.91)</f>
        <v>41.91</v>
      </c>
      <c r="X875" s="6">
        <v>2.76</v>
      </c>
      <c r="Y875" s="6">
        <v>14.39</v>
      </c>
      <c r="Z875" s="6">
        <v>1</v>
      </c>
      <c r="AA875" s="8">
        <v>45352</v>
      </c>
      <c r="AB875" s="4">
        <v>0.09</v>
      </c>
      <c r="AC875" s="6">
        <v>36.03</v>
      </c>
      <c r="AD875" s="6">
        <v>44.52</v>
      </c>
      <c r="AE875" s="1">
        <v>0</v>
      </c>
      <c r="AF875" s="1">
        <f ca="1">IFERROR(__xludf.DUMMYFUNCTION("IFERROR(GOOGLEFINANCE(TRIM(F875)&amp;"":"" &amp; TRIM(B875),""high52""),AE875)"),0)</f>
        <v>0</v>
      </c>
      <c r="AG875" s="1">
        <v>0</v>
      </c>
      <c r="AH875" s="1">
        <f ca="1">IFERROR(__xludf.DUMMYFUNCTION("IFERROR(GOOGLEFINANCE(TRIM(F875)&amp;"":"" &amp; TRIM(B875),""low52""),AE875)"),0)</f>
        <v>0</v>
      </c>
      <c r="AI875" s="1">
        <f ca="1">IFERROR(__xludf.DUMMYFUNCTION("IFERROR(GOOGLEFINANCE(B875,""eps""),0)"),0)</f>
        <v>0</v>
      </c>
      <c r="AJ875" s="1"/>
      <c r="AK875" s="9"/>
      <c r="AL875" s="9">
        <f t="shared" si="145"/>
        <v>1</v>
      </c>
    </row>
    <row r="876" spans="1:38" ht="15" x14ac:dyDescent="0.25">
      <c r="A876" s="1" t="s">
        <v>2688</v>
      </c>
      <c r="B876" s="1" t="s">
        <v>2689</v>
      </c>
      <c r="C876" s="1" t="s">
        <v>324</v>
      </c>
      <c r="D876" s="1" t="s">
        <v>324</v>
      </c>
      <c r="E876" s="6">
        <v>22864.78</v>
      </c>
      <c r="F876" s="1" t="s">
        <v>40</v>
      </c>
      <c r="G876" s="6">
        <f ca="1">IFERROR(__xludf.DUMMYFUNCTION("iferror(GOOGLEFINANCE(TRIM(F876)&amp;"":"" &amp; TRIM(B876), ""price""),0
)"),116.8)</f>
        <v>116.8</v>
      </c>
      <c r="H876" s="6">
        <v>195.45</v>
      </c>
      <c r="I876" s="6">
        <f t="shared" ca="1" si="0"/>
        <v>116.8</v>
      </c>
      <c r="J876" s="6">
        <f ca="1">IFERROR(__xludf.DUMMYFUNCTION("IFERROR(GOOGLEFINANCE(B876, ""volume""), 0)"),867588)</f>
        <v>867588</v>
      </c>
      <c r="K876" s="6">
        <v>3.36</v>
      </c>
      <c r="L876" s="6">
        <f ca="1">IFERROR(__xludf.DUMMYFUNCTION("IFERROR(GOOGLEFINANCE(B876,""changepct""),K876)"),-0.25)</f>
        <v>-0.25</v>
      </c>
      <c r="M876" s="6">
        <f ca="1">IFERROR(__xludf.DUMMYFUNCTION("IFERROR(GOOGLEFINANCE(B876,""change""),0)"),-0.29)</f>
        <v>-0.28999999999999998</v>
      </c>
      <c r="N876" s="6">
        <v>2</v>
      </c>
      <c r="O876" s="7">
        <v>45536</v>
      </c>
      <c r="P876" s="6">
        <v>950.05</v>
      </c>
      <c r="Q876" s="6">
        <v>23586.95</v>
      </c>
      <c r="R876" s="7">
        <v>45536</v>
      </c>
      <c r="S876" s="6">
        <v>4334.2700000000004</v>
      </c>
      <c r="T876" s="6">
        <v>-26.36</v>
      </c>
      <c r="U876" s="7">
        <v>45536</v>
      </c>
      <c r="V876" s="6">
        <v>708.41</v>
      </c>
      <c r="W876" s="6">
        <f ca="1">IFERROR(__xludf.DUMMYFUNCTION("IFERROR(GOOGLEFINANCE(B876,""pe""),V876)"),708.41)</f>
        <v>708.41</v>
      </c>
      <c r="X876" s="9"/>
      <c r="Y876" s="6">
        <v>19.62</v>
      </c>
      <c r="Z876" s="6">
        <v>2</v>
      </c>
      <c r="AA876" s="8">
        <v>45352</v>
      </c>
      <c r="AB876" s="4">
        <v>0.88</v>
      </c>
      <c r="AC876" s="6">
        <v>-0.97</v>
      </c>
      <c r="AD876" s="6">
        <v>12.79</v>
      </c>
      <c r="AE876" s="1">
        <v>0</v>
      </c>
      <c r="AF876" s="1">
        <f ca="1">IFERROR(__xludf.DUMMYFUNCTION("IFERROR(GOOGLEFINANCE(TRIM(F876)&amp;"":"" &amp; TRIM(B876),""high52""),AE876)"),194)</f>
        <v>194</v>
      </c>
      <c r="AG876" s="1">
        <v>0</v>
      </c>
      <c r="AH876" s="1">
        <f ca="1">IFERROR(__xludf.DUMMYFUNCTION("IFERROR(GOOGLEFINANCE(TRIM(F876)&amp;"":"" &amp; TRIM(B876),""low52""),AE876)"),109.62)</f>
        <v>109.62</v>
      </c>
      <c r="AI876" s="1">
        <f ca="1">IFERROR(__xludf.DUMMYFUNCTION("IFERROR(GOOGLEFINANCE(B876,""eps""),0)"),-0.26)</f>
        <v>-0.26</v>
      </c>
      <c r="AJ876" s="1"/>
      <c r="AK876" s="1" t="s">
        <v>2690</v>
      </c>
      <c r="AL876" s="9">
        <f t="shared" si="145"/>
        <v>1</v>
      </c>
    </row>
    <row r="877" spans="1:38" ht="15" x14ac:dyDescent="0.25">
      <c r="A877" s="1" t="s">
        <v>2691</v>
      </c>
      <c r="B877" s="1" t="s">
        <v>2692</v>
      </c>
      <c r="C877" s="1" t="s">
        <v>1118</v>
      </c>
      <c r="D877" s="1" t="s">
        <v>1118</v>
      </c>
      <c r="E877" s="6">
        <v>778.73</v>
      </c>
      <c r="F877" s="1" t="s">
        <v>40</v>
      </c>
      <c r="G877" s="6">
        <f ca="1">IFERROR(__xludf.DUMMYFUNCTION("iferror(GOOGLEFINANCE(TRIM(F877)&amp;"":"" &amp; TRIM(B877), ""price""),0
)"),102.49)</f>
        <v>102.49</v>
      </c>
      <c r="H877" s="6">
        <v>117.95</v>
      </c>
      <c r="I877" s="6">
        <f t="shared" ca="1" si="0"/>
        <v>102.49</v>
      </c>
      <c r="J877" s="6">
        <f ca="1">IFERROR(__xludf.DUMMYFUNCTION("IFERROR(GOOGLEFINANCE(B877, ""volume""), 0)"),129091)</f>
        <v>129091</v>
      </c>
      <c r="K877" s="6">
        <v>0.51</v>
      </c>
      <c r="L877" s="6">
        <f ca="1">IFERROR(__xludf.DUMMYFUNCTION("IFERROR(GOOGLEFINANCE(B877,""changepct""),K877)"),0.24)</f>
        <v>0.24</v>
      </c>
      <c r="M877" s="6">
        <f ca="1">IFERROR(__xludf.DUMMYFUNCTION("IFERROR(GOOGLEFINANCE(B877,""change""),0)"),0.25)</f>
        <v>0.25</v>
      </c>
      <c r="N877" s="6">
        <v>2</v>
      </c>
      <c r="O877" s="7">
        <v>45536</v>
      </c>
      <c r="P877" s="6">
        <v>560.75</v>
      </c>
      <c r="Q877" s="6">
        <v>1306.22</v>
      </c>
      <c r="R877" s="7">
        <v>45536</v>
      </c>
      <c r="S877" s="6">
        <v>2290.8200000000002</v>
      </c>
      <c r="T877" s="6">
        <v>10.52</v>
      </c>
      <c r="U877" s="7">
        <v>45536</v>
      </c>
      <c r="V877" s="6">
        <v>74.02</v>
      </c>
      <c r="W877" s="6">
        <f ca="1">IFERROR(__xludf.DUMMYFUNCTION("IFERROR(GOOGLEFINANCE(B877,""pe""),V877)"),28.8)</f>
        <v>28.8</v>
      </c>
      <c r="X877" s="12"/>
      <c r="Y877" s="6">
        <v>0.8</v>
      </c>
      <c r="Z877" s="6">
        <v>2</v>
      </c>
      <c r="AA877" s="8">
        <v>45352</v>
      </c>
      <c r="AB877" s="4">
        <v>1.03</v>
      </c>
      <c r="AC877" s="6">
        <v>4.6500000000000004</v>
      </c>
      <c r="AD877" s="6">
        <v>5.76</v>
      </c>
      <c r="AE877" s="1">
        <v>0</v>
      </c>
      <c r="AF877" s="1">
        <f ca="1">IFERROR(__xludf.DUMMYFUNCTION("IFERROR(GOOGLEFINANCE(TRIM(F877)&amp;"":"" &amp; TRIM(B877),""high52""),AE877)"),115.25)</f>
        <v>115.25</v>
      </c>
      <c r="AG877" s="1">
        <v>0</v>
      </c>
      <c r="AH877" s="1">
        <f ca="1">IFERROR(__xludf.DUMMYFUNCTION("IFERROR(GOOGLEFINANCE(TRIM(F877)&amp;"":"" &amp; TRIM(B877),""low52""),AE877)"),57.34)</f>
        <v>57.34</v>
      </c>
      <c r="AI877" s="1">
        <f ca="1">IFERROR(__xludf.DUMMYFUNCTION("IFERROR(GOOGLEFINANCE(B877,""eps""),0)"),3.56)</f>
        <v>3.56</v>
      </c>
      <c r="AJ877" s="1"/>
      <c r="AK877" s="1" t="s">
        <v>2693</v>
      </c>
      <c r="AL877" s="9">
        <f t="shared" si="145"/>
        <v>1</v>
      </c>
    </row>
    <row r="878" spans="1:38" ht="15" x14ac:dyDescent="0.25">
      <c r="A878" s="1" t="s">
        <v>2694</v>
      </c>
      <c r="B878" s="1" t="s">
        <v>2695</v>
      </c>
      <c r="C878" s="1" t="s">
        <v>1118</v>
      </c>
      <c r="D878" s="1" t="s">
        <v>1118</v>
      </c>
      <c r="E878" s="6">
        <v>1071.3800000000001</v>
      </c>
      <c r="F878" s="1" t="s">
        <v>40</v>
      </c>
      <c r="G878" s="6">
        <f ca="1">IFERROR(__xludf.DUMMYFUNCTION("iferror(GOOGLEFINANCE(TRIM(F878)&amp;"":"" &amp; TRIM(B878), ""price""),0
)"),115.6)</f>
        <v>115.6</v>
      </c>
      <c r="H878" s="6">
        <v>164.45</v>
      </c>
      <c r="I878" s="6">
        <f t="shared" ca="1" si="0"/>
        <v>115.6</v>
      </c>
      <c r="J878" s="6">
        <f ca="1">IFERROR(__xludf.DUMMYFUNCTION("IFERROR(GOOGLEFINANCE(B878, ""volume""), 0)"),171045)</f>
        <v>171045</v>
      </c>
      <c r="K878" s="6">
        <v>0.31</v>
      </c>
      <c r="L878" s="6">
        <f ca="1">IFERROR(__xludf.DUMMYFUNCTION("IFERROR(GOOGLEFINANCE(B878,""changepct""),K878)"),0.85)</f>
        <v>0.85</v>
      </c>
      <c r="M878" s="6">
        <f ca="1">IFERROR(__xludf.DUMMYFUNCTION("IFERROR(GOOGLEFINANCE(B878,""change""),0)"),0.98)</f>
        <v>0.98</v>
      </c>
      <c r="N878" s="6">
        <v>2</v>
      </c>
      <c r="O878" s="7">
        <v>45536</v>
      </c>
      <c r="P878" s="6">
        <v>415.66</v>
      </c>
      <c r="Q878" s="6">
        <v>1466.18</v>
      </c>
      <c r="R878" s="7">
        <v>45536</v>
      </c>
      <c r="S878" s="6">
        <v>2408.46</v>
      </c>
      <c r="T878" s="6">
        <v>71.87</v>
      </c>
      <c r="U878" s="7">
        <v>45536</v>
      </c>
      <c r="V878" s="6">
        <v>14.95</v>
      </c>
      <c r="W878" s="6">
        <f ca="1">IFERROR(__xludf.DUMMYFUNCTION("IFERROR(GOOGLEFINANCE(B878,""pe""),V878)"),13.32)</f>
        <v>13.32</v>
      </c>
      <c r="X878" s="6">
        <v>-1.27</v>
      </c>
      <c r="Y878" s="6">
        <v>0.98</v>
      </c>
      <c r="Z878" s="6">
        <v>2</v>
      </c>
      <c r="AA878" s="8">
        <v>45352</v>
      </c>
      <c r="AB878" s="4">
        <v>0.88</v>
      </c>
      <c r="AC878" s="6">
        <v>12.56</v>
      </c>
      <c r="AD878" s="6">
        <v>12.5</v>
      </c>
      <c r="AE878" s="1">
        <v>0</v>
      </c>
      <c r="AF878" s="1">
        <f ca="1">IFERROR(__xludf.DUMMYFUNCTION("IFERROR(GOOGLEFINANCE(TRIM(F878)&amp;"":"" &amp; TRIM(B878),""high52""),AE878)"),161.96)</f>
        <v>161.96</v>
      </c>
      <c r="AG878" s="1">
        <v>0</v>
      </c>
      <c r="AH878" s="1">
        <f ca="1">IFERROR(__xludf.DUMMYFUNCTION("IFERROR(GOOGLEFINANCE(TRIM(F878)&amp;"":"" &amp; TRIM(B878),""low52""),AE878)"),110)</f>
        <v>110</v>
      </c>
      <c r="AI878" s="1">
        <f ca="1">IFERROR(__xludf.DUMMYFUNCTION("IFERROR(GOOGLEFINANCE(B878,""eps""),0)"),8.68)</f>
        <v>8.68</v>
      </c>
      <c r="AJ878" s="1"/>
      <c r="AK878" s="1" t="s">
        <v>2696</v>
      </c>
      <c r="AL878" s="9">
        <f t="shared" si="145"/>
        <v>1</v>
      </c>
    </row>
    <row r="879" spans="1:38" ht="15" x14ac:dyDescent="0.25">
      <c r="A879" s="1" t="s">
        <v>2697</v>
      </c>
      <c r="B879" s="1" t="s">
        <v>2698</v>
      </c>
      <c r="C879" s="1" t="s">
        <v>75</v>
      </c>
      <c r="D879" s="1" t="s">
        <v>75</v>
      </c>
      <c r="E879" s="6">
        <v>6393.88</v>
      </c>
      <c r="F879" s="1" t="s">
        <v>40</v>
      </c>
      <c r="G879" s="6">
        <f ca="1">IFERROR(__xludf.DUMMYFUNCTION("iferror(GOOGLEFINANCE(TRIM(F879)&amp;"":"" &amp; TRIM(B879), ""price""),0
)"),0)</f>
        <v>0</v>
      </c>
      <c r="H879" s="6">
        <v>106.56</v>
      </c>
      <c r="I879" s="6">
        <f t="shared" ca="1" si="0"/>
        <v>106.56</v>
      </c>
      <c r="J879" s="6">
        <f ca="1">IFERROR(__xludf.DUMMYFUNCTION("IFERROR(GOOGLEFINANCE(B879, ""volume""), 0)"),0)</f>
        <v>0</v>
      </c>
      <c r="K879" s="6">
        <v>2.1800000000000002</v>
      </c>
      <c r="L879" s="6">
        <f ca="1">IFERROR(__xludf.DUMMYFUNCTION("IFERROR(GOOGLEFINANCE(B879,""changepct""),K879)"),2.18)</f>
        <v>2.1800000000000002</v>
      </c>
      <c r="M879" s="6">
        <f ca="1">IFERROR(__xludf.DUMMYFUNCTION("IFERROR(GOOGLEFINANCE(B879,""change""),0)"),0)</f>
        <v>0</v>
      </c>
      <c r="N879" s="6">
        <v>2</v>
      </c>
      <c r="O879" s="7">
        <v>45536</v>
      </c>
      <c r="P879" s="6">
        <v>-253.63</v>
      </c>
      <c r="Q879" s="7">
        <v>45536</v>
      </c>
      <c r="R879" s="6">
        <v>0</v>
      </c>
      <c r="S879" s="9"/>
      <c r="T879" s="6">
        <v>2.36</v>
      </c>
      <c r="U879" s="6">
        <v>2</v>
      </c>
      <c r="V879" s="7">
        <v>45352</v>
      </c>
      <c r="W879" s="10">
        <f ca="1">IFERROR(__xludf.DUMMYFUNCTION("IFERROR(GOOGLEFINANCE(B879,""pe""),V879)"),45352)</f>
        <v>45352</v>
      </c>
      <c r="X879" s="6">
        <v>0.19</v>
      </c>
      <c r="Y879" s="6">
        <v>-10.33</v>
      </c>
      <c r="Z879" s="6">
        <v>-5.42</v>
      </c>
      <c r="AA879" s="3" t="s">
        <v>2699</v>
      </c>
      <c r="AB879" s="11"/>
      <c r="AC879" s="9"/>
      <c r="AD879" s="9"/>
      <c r="AE879" s="1">
        <v>0</v>
      </c>
      <c r="AF879" s="1">
        <f ca="1">IFERROR(__xludf.DUMMYFUNCTION("IFERROR(GOOGLEFINANCE(TRIM(F879)&amp;"":"" &amp; TRIM(B879),""high52""),AE879)"),0)</f>
        <v>0</v>
      </c>
      <c r="AG879" s="1">
        <v>0</v>
      </c>
      <c r="AH879" s="1">
        <f ca="1">IFERROR(__xludf.DUMMYFUNCTION("IFERROR(GOOGLEFINANCE(TRIM(F879)&amp;"":"" &amp; TRIM(B879),""low52""),AE879)"),0)</f>
        <v>0</v>
      </c>
      <c r="AI879" s="1">
        <f ca="1">IFERROR(__xludf.DUMMYFUNCTION("IFERROR(GOOGLEFINANCE(B879,""eps""),0)"),0)</f>
        <v>0</v>
      </c>
      <c r="AJ879" s="1"/>
      <c r="AK879" s="1" t="s">
        <v>2700</v>
      </c>
      <c r="AL879" s="9">
        <f t="shared" si="145"/>
        <v>1</v>
      </c>
    </row>
    <row r="880" spans="1:38" ht="15" x14ac:dyDescent="0.25">
      <c r="A880" s="1" t="s">
        <v>2701</v>
      </c>
      <c r="B880" s="1" t="s">
        <v>2702</v>
      </c>
      <c r="C880" s="1" t="s">
        <v>1265</v>
      </c>
      <c r="D880" s="1" t="s">
        <v>1265</v>
      </c>
      <c r="E880" s="6">
        <v>491.09</v>
      </c>
      <c r="F880" s="1" t="s">
        <v>53</v>
      </c>
      <c r="G880" s="6">
        <f ca="1">IFERROR(__xludf.DUMMYFUNCTION("iferror(GOOGLEFINANCE(TRIM(F880)&amp;"":"" &amp; TRIM(B880), ""price""),0
)"),0)</f>
        <v>0</v>
      </c>
      <c r="H880" s="6">
        <v>79.66</v>
      </c>
      <c r="I880" s="6">
        <f t="shared" ca="1" si="0"/>
        <v>79.66</v>
      </c>
      <c r="J880" s="6">
        <f ca="1">IFERROR(__xludf.DUMMYFUNCTION("IFERROR(GOOGLEFINANCE(B880, ""volume""), 0)"),0)</f>
        <v>0</v>
      </c>
      <c r="K880" s="6">
        <v>0.01</v>
      </c>
      <c r="L880" s="6">
        <f ca="1">IFERROR(__xludf.DUMMYFUNCTION("IFERROR(GOOGLEFINANCE(B880,""changepct""),K880)"),0.01)</f>
        <v>0.01</v>
      </c>
      <c r="M880" s="6">
        <f ca="1">IFERROR(__xludf.DUMMYFUNCTION("IFERROR(GOOGLEFINANCE(B880,""change""),0)"),0)</f>
        <v>0</v>
      </c>
      <c r="N880" s="6">
        <v>1</v>
      </c>
      <c r="O880" s="7">
        <v>45536</v>
      </c>
      <c r="P880" s="12"/>
      <c r="Q880" s="6">
        <v>416.23</v>
      </c>
      <c r="R880" s="7">
        <v>45536</v>
      </c>
      <c r="S880" s="6">
        <v>420.4</v>
      </c>
      <c r="T880" s="6">
        <v>4.96</v>
      </c>
      <c r="U880" s="7">
        <v>45536</v>
      </c>
      <c r="V880" s="6">
        <v>99.01</v>
      </c>
      <c r="W880" s="6">
        <f ca="1">IFERROR(__xludf.DUMMYFUNCTION("IFERROR(GOOGLEFINANCE(B880,""pe""),V880)"),99.01)</f>
        <v>99.01</v>
      </c>
      <c r="X880" s="6">
        <v>-7.37</v>
      </c>
      <c r="Y880" s="6">
        <v>3.28</v>
      </c>
      <c r="Z880" s="6">
        <v>1</v>
      </c>
      <c r="AA880" s="8">
        <v>45352</v>
      </c>
      <c r="AB880" s="4">
        <v>0</v>
      </c>
      <c r="AC880" s="6">
        <v>3.25</v>
      </c>
      <c r="AD880" s="6">
        <v>4.7699999999999996</v>
      </c>
      <c r="AE880" s="1">
        <v>0</v>
      </c>
      <c r="AF880" s="1">
        <f ca="1">IFERROR(__xludf.DUMMYFUNCTION("IFERROR(GOOGLEFINANCE(TRIM(F880)&amp;"":"" &amp; TRIM(B880),""high52""),AE880)"),0)</f>
        <v>0</v>
      </c>
      <c r="AG880" s="1">
        <v>0</v>
      </c>
      <c r="AH880" s="1">
        <f ca="1">IFERROR(__xludf.DUMMYFUNCTION("IFERROR(GOOGLEFINANCE(TRIM(F880)&amp;"":"" &amp; TRIM(B880),""low52""),AE880)"),0)</f>
        <v>0</v>
      </c>
      <c r="AI880" s="1">
        <f ca="1">IFERROR(__xludf.DUMMYFUNCTION("IFERROR(GOOGLEFINANCE(B880,""eps""),0)"),0)</f>
        <v>0</v>
      </c>
      <c r="AJ880" s="1"/>
      <c r="AK880" s="1" t="s">
        <v>2703</v>
      </c>
      <c r="AL880" s="9">
        <f t="shared" si="145"/>
        <v>1</v>
      </c>
    </row>
    <row r="881" spans="1:38" ht="15" x14ac:dyDescent="0.25">
      <c r="A881" s="1" t="s">
        <v>2704</v>
      </c>
      <c r="B881" s="1" t="s">
        <v>2705</v>
      </c>
      <c r="C881" s="1" t="s">
        <v>1067</v>
      </c>
      <c r="D881" s="1" t="s">
        <v>1067</v>
      </c>
      <c r="E881" s="6">
        <v>1245.27</v>
      </c>
      <c r="F881" s="1" t="s">
        <v>40</v>
      </c>
      <c r="G881" s="6">
        <f ca="1">IFERROR(__xludf.DUMMYFUNCTION("iferror(GOOGLEFINANCE(TRIM(F881)&amp;"":"" &amp; TRIM(B881), ""price""),0
)"),23.8)</f>
        <v>23.8</v>
      </c>
      <c r="H881" s="6">
        <v>32.25</v>
      </c>
      <c r="I881" s="6">
        <f t="shared" ca="1" si="0"/>
        <v>23.8</v>
      </c>
      <c r="J881" s="6">
        <f ca="1">IFERROR(__xludf.DUMMYFUNCTION("IFERROR(GOOGLEFINANCE(B881, ""volume""), 0)"),534519)</f>
        <v>534519</v>
      </c>
      <c r="K881" s="6">
        <v>0.94</v>
      </c>
      <c r="L881" s="6">
        <f ca="1">IFERROR(__xludf.DUMMYFUNCTION("IFERROR(GOOGLEFINANCE(B881,""changepct""),K881)"),-1.16)</f>
        <v>-1.1599999999999999</v>
      </c>
      <c r="M881" s="6">
        <f ca="1">IFERROR(__xludf.DUMMYFUNCTION("IFERROR(GOOGLEFINANCE(B881,""change""),0)"),-0.28)</f>
        <v>-0.28000000000000003</v>
      </c>
      <c r="N881" s="6">
        <v>1</v>
      </c>
      <c r="O881" s="7">
        <v>45536</v>
      </c>
      <c r="P881" s="6">
        <v>1248.6199999999999</v>
      </c>
      <c r="Q881" s="6">
        <v>24.17</v>
      </c>
      <c r="R881" s="7">
        <v>45536</v>
      </c>
      <c r="S881" s="6">
        <v>51.52</v>
      </c>
      <c r="T881" s="6">
        <v>1.37</v>
      </c>
      <c r="U881" s="6">
        <v>1.04</v>
      </c>
      <c r="V881" s="6">
        <v>1</v>
      </c>
      <c r="W881" s="6">
        <f ca="1">IFERROR(__xludf.DUMMYFUNCTION("IFERROR(GOOGLEFINANCE(B881,""pe""),V881)"),10.08)</f>
        <v>10.08</v>
      </c>
      <c r="X881" s="7">
        <v>45352</v>
      </c>
      <c r="Y881" s="6">
        <v>6.92</v>
      </c>
      <c r="Z881" s="6">
        <v>1</v>
      </c>
      <c r="AA881" s="8">
        <v>45352</v>
      </c>
      <c r="AB881" s="4">
        <v>1.25</v>
      </c>
      <c r="AC881" s="6">
        <v>3.05</v>
      </c>
      <c r="AD881" s="6">
        <v>11.95</v>
      </c>
      <c r="AE881" s="1">
        <v>0</v>
      </c>
      <c r="AF881" s="1">
        <f ca="1">IFERROR(__xludf.DUMMYFUNCTION("IFERROR(GOOGLEFINANCE(TRIM(F881)&amp;"":"" &amp; TRIM(B881),""high52""),AE881)"),33.5)</f>
        <v>33.5</v>
      </c>
      <c r="AG881" s="1">
        <v>0</v>
      </c>
      <c r="AH881" s="1">
        <f ca="1">IFERROR(__xludf.DUMMYFUNCTION("IFERROR(GOOGLEFINANCE(TRIM(F881)&amp;"":"" &amp; TRIM(B881),""low52""),AE881)"),22.06)</f>
        <v>22.06</v>
      </c>
      <c r="AI881" s="1">
        <f ca="1">IFERROR(__xludf.DUMMYFUNCTION("IFERROR(GOOGLEFINANCE(B881,""eps""),0)"),2.36)</f>
        <v>2.36</v>
      </c>
      <c r="AJ881" s="1"/>
      <c r="AK881" s="1" t="s">
        <v>2706</v>
      </c>
      <c r="AL881" s="1" t="b">
        <f>ISNUMBER(AA881)</f>
        <v>1</v>
      </c>
    </row>
    <row r="882" spans="1:38" ht="15" x14ac:dyDescent="0.25">
      <c r="A882" s="1" t="s">
        <v>2707</v>
      </c>
      <c r="B882" s="1" t="s">
        <v>2708</v>
      </c>
      <c r="C882" s="1" t="s">
        <v>99</v>
      </c>
      <c r="D882" s="1" t="s">
        <v>99</v>
      </c>
      <c r="E882" s="6">
        <v>132.99</v>
      </c>
      <c r="F882" s="1" t="s">
        <v>40</v>
      </c>
      <c r="G882" s="6">
        <f ca="1">IFERROR(__xludf.DUMMYFUNCTION("iferror(GOOGLEFINANCE(TRIM(F882)&amp;"":"" &amp; TRIM(B882), ""price""),0
)"),0)</f>
        <v>0</v>
      </c>
      <c r="H882" s="6">
        <v>77.400000000000006</v>
      </c>
      <c r="I882" s="6">
        <f t="shared" ca="1" si="0"/>
        <v>77.400000000000006</v>
      </c>
      <c r="J882" s="6">
        <f ca="1">IFERROR(__xludf.DUMMYFUNCTION("IFERROR(GOOGLEFINANCE(B882, ""volume""), 0)"),0)</f>
        <v>0</v>
      </c>
      <c r="K882" s="6">
        <v>-4.97</v>
      </c>
      <c r="L882" s="6">
        <f ca="1">IFERROR(__xludf.DUMMYFUNCTION("IFERROR(GOOGLEFINANCE(B882,""changepct""),K882)"),-4.97)</f>
        <v>-4.97</v>
      </c>
      <c r="M882" s="6">
        <f ca="1">IFERROR(__xludf.DUMMYFUNCTION("IFERROR(GOOGLEFINANCE(B882,""change""),0)"),0)</f>
        <v>0</v>
      </c>
      <c r="N882" s="6">
        <v>1</v>
      </c>
      <c r="O882" s="7">
        <v>45352</v>
      </c>
      <c r="P882" s="6">
        <v>1.04</v>
      </c>
      <c r="Q882" s="6">
        <v>132.93</v>
      </c>
      <c r="R882" s="14"/>
      <c r="S882" s="9"/>
      <c r="T882" s="9"/>
      <c r="U882" s="7">
        <v>45352</v>
      </c>
      <c r="V882" s="6">
        <v>28.58</v>
      </c>
      <c r="W882" s="6">
        <f ca="1">IFERROR(__xludf.DUMMYFUNCTION("IFERROR(GOOGLEFINANCE(B882,""pe""),V882)"),28.58)</f>
        <v>28.58</v>
      </c>
      <c r="X882" s="9"/>
      <c r="Y882" s="6">
        <v>3.1</v>
      </c>
      <c r="Z882" s="6">
        <v>1</v>
      </c>
      <c r="AA882" s="8">
        <v>45352</v>
      </c>
      <c r="AB882" s="4">
        <v>0.06</v>
      </c>
      <c r="AC882" s="6">
        <v>33.82</v>
      </c>
      <c r="AD882" s="6">
        <v>42.77</v>
      </c>
      <c r="AE882" s="1">
        <v>0</v>
      </c>
      <c r="AF882" s="1">
        <f ca="1">IFERROR(__xludf.DUMMYFUNCTION("IFERROR(GOOGLEFINANCE(TRIM(F882)&amp;"":"" &amp; TRIM(B882),""high52""),AE882)"),0)</f>
        <v>0</v>
      </c>
      <c r="AG882" s="1">
        <v>0</v>
      </c>
      <c r="AH882" s="1">
        <f ca="1">IFERROR(__xludf.DUMMYFUNCTION("IFERROR(GOOGLEFINANCE(TRIM(F882)&amp;"":"" &amp; TRIM(B882),""low52""),AE882)"),0)</f>
        <v>0</v>
      </c>
      <c r="AI882" s="1">
        <f ca="1">IFERROR(__xludf.DUMMYFUNCTION("IFERROR(GOOGLEFINANCE(B882,""eps""),0)"),0)</f>
        <v>0</v>
      </c>
      <c r="AJ882" s="1"/>
      <c r="AK882" s="9"/>
      <c r="AL882" s="1" t="b">
        <f>ISBLANK(AB882)</f>
        <v>0</v>
      </c>
    </row>
    <row r="883" spans="1:38" ht="15" x14ac:dyDescent="0.25">
      <c r="A883" s="1" t="s">
        <v>2709</v>
      </c>
      <c r="B883" s="1" t="s">
        <v>2710</v>
      </c>
      <c r="C883" s="1" t="s">
        <v>697</v>
      </c>
      <c r="D883" s="1" t="s">
        <v>697</v>
      </c>
      <c r="E883" s="6">
        <v>6447.51</v>
      </c>
      <c r="F883" s="1" t="s">
        <v>40</v>
      </c>
      <c r="G883" s="6">
        <f ca="1">IFERROR(__xludf.DUMMYFUNCTION("iferror(GOOGLEFINANCE(TRIM(F883)&amp;"":"" &amp; TRIM(B883), ""price""),0
)"),1110)</f>
        <v>1110</v>
      </c>
      <c r="H883" s="6">
        <v>1407.45</v>
      </c>
      <c r="I883" s="6">
        <f t="shared" ca="1" si="0"/>
        <v>1110</v>
      </c>
      <c r="J883" s="6">
        <f ca="1">IFERROR(__xludf.DUMMYFUNCTION("IFERROR(GOOGLEFINANCE(B883, ""volume""), 0)"),12163)</f>
        <v>12163</v>
      </c>
      <c r="K883" s="6">
        <v>-0.41</v>
      </c>
      <c r="L883" s="6">
        <f ca="1">IFERROR(__xludf.DUMMYFUNCTION("IFERROR(GOOGLEFINANCE(B883,""changepct""),K883)"),1.87)</f>
        <v>1.87</v>
      </c>
      <c r="M883" s="6">
        <f ca="1">IFERROR(__xludf.DUMMYFUNCTION("IFERROR(GOOGLEFINANCE(B883,""change""),0)"),20.4)</f>
        <v>20.399999999999999</v>
      </c>
      <c r="N883" s="6">
        <v>2</v>
      </c>
      <c r="O883" s="7">
        <v>45536</v>
      </c>
      <c r="P883" s="6">
        <v>56.82</v>
      </c>
      <c r="Q883" s="6">
        <v>6501.65</v>
      </c>
      <c r="R883" s="7">
        <v>45536</v>
      </c>
      <c r="S883" s="6">
        <v>1919.41</v>
      </c>
      <c r="T883" s="6">
        <v>270.8</v>
      </c>
      <c r="U883" s="7">
        <v>45536</v>
      </c>
      <c r="V883" s="6">
        <v>23.81</v>
      </c>
      <c r="W883" s="6">
        <f ca="1">IFERROR(__xludf.DUMMYFUNCTION("IFERROR(GOOGLEFINANCE(B883,""pe""),V883)"),17.86)</f>
        <v>17.86</v>
      </c>
      <c r="X883" s="6">
        <v>1.46</v>
      </c>
      <c r="Y883" s="6">
        <v>5.07</v>
      </c>
      <c r="Z883" s="6">
        <v>2</v>
      </c>
      <c r="AA883" s="8">
        <v>45352</v>
      </c>
      <c r="AB883" s="4">
        <v>0</v>
      </c>
      <c r="AC883" s="6">
        <v>20.64</v>
      </c>
      <c r="AD883" s="6">
        <v>27.74</v>
      </c>
      <c r="AE883" s="1">
        <v>0</v>
      </c>
      <c r="AF883" s="1">
        <f ca="1">IFERROR(__xludf.DUMMYFUNCTION("IFERROR(GOOGLEFINANCE(TRIM(F883)&amp;"":"" &amp; TRIM(B883),""high52""),AE883)"),1975)</f>
        <v>1975</v>
      </c>
      <c r="AG883" s="1">
        <v>0</v>
      </c>
      <c r="AH883" s="1">
        <f ca="1">IFERROR(__xludf.DUMMYFUNCTION("IFERROR(GOOGLEFINANCE(TRIM(F883)&amp;"":"" &amp; TRIM(B883),""low52""),AE883)"),1017.8)</f>
        <v>1017.8</v>
      </c>
      <c r="AI883" s="1">
        <f ca="1">IFERROR(__xludf.DUMMYFUNCTION("IFERROR(GOOGLEFINANCE(B883,""eps""),0)"),62.15)</f>
        <v>62.15</v>
      </c>
      <c r="AJ883" s="1"/>
      <c r="AK883" s="1" t="s">
        <v>2711</v>
      </c>
      <c r="AL883" s="9">
        <f t="shared" ref="AL883:AL894" si="146">IF(AA883&lt;&gt;AB883,1,0)</f>
        <v>1</v>
      </c>
    </row>
    <row r="884" spans="1:38" ht="15" x14ac:dyDescent="0.25">
      <c r="A884" s="1" t="s">
        <v>2712</v>
      </c>
      <c r="B884" s="1" t="s">
        <v>2713</v>
      </c>
      <c r="C884" s="1" t="s">
        <v>487</v>
      </c>
      <c r="D884" s="1" t="s">
        <v>487</v>
      </c>
      <c r="E884" s="6">
        <v>9.98</v>
      </c>
      <c r="F884" s="1" t="s">
        <v>40</v>
      </c>
      <c r="G884" s="6">
        <f ca="1">IFERROR(__xludf.DUMMYFUNCTION("iferror(GOOGLEFINANCE(TRIM(F884)&amp;"":"" &amp; TRIM(B884), ""price""),0
)"),0)</f>
        <v>0</v>
      </c>
      <c r="H884" s="6">
        <v>12.9</v>
      </c>
      <c r="I884" s="6">
        <f t="shared" ca="1" si="0"/>
        <v>12.9</v>
      </c>
      <c r="J884" s="6">
        <f ca="1">IFERROR(__xludf.DUMMYFUNCTION("IFERROR(GOOGLEFINANCE(B884, ""volume""), 0)"),0)</f>
        <v>0</v>
      </c>
      <c r="K884" s="9"/>
      <c r="L884" s="6" t="str">
        <f ca="1">IFERROR(__xludf.DUMMYFUNCTION("IFERROR(GOOGLEFINANCE(B884,""changepct""),K884)"),"")</f>
        <v/>
      </c>
      <c r="M884" s="6">
        <f ca="1">IFERROR(__xludf.DUMMYFUNCTION("IFERROR(GOOGLEFINANCE(B884,""change""),0)"),0)</f>
        <v>0</v>
      </c>
      <c r="N884" s="6">
        <v>1</v>
      </c>
      <c r="O884" s="7">
        <v>45536</v>
      </c>
      <c r="P884" s="6">
        <v>8.5500000000000007</v>
      </c>
      <c r="Q884" s="6">
        <v>18.53</v>
      </c>
      <c r="R884" s="7">
        <v>45352</v>
      </c>
      <c r="S884" s="6">
        <v>1.46</v>
      </c>
      <c r="T884" s="6">
        <v>-0.12</v>
      </c>
      <c r="U884" s="7">
        <v>45352</v>
      </c>
      <c r="V884" s="6">
        <v>0</v>
      </c>
      <c r="W884" s="6">
        <f ca="1">IFERROR(__xludf.DUMMYFUNCTION("IFERROR(GOOGLEFINANCE(B884,""pe""),V884)"),0)</f>
        <v>0</v>
      </c>
      <c r="X884" s="6">
        <v>0</v>
      </c>
      <c r="Y884" s="6">
        <v>1.0900000000000001</v>
      </c>
      <c r="Z884" s="6">
        <v>2</v>
      </c>
      <c r="AA884" s="8">
        <v>45352</v>
      </c>
      <c r="AB884" s="4">
        <v>1.04</v>
      </c>
      <c r="AC884" s="6">
        <v>12.02</v>
      </c>
      <c r="AD884" s="6">
        <v>13.01</v>
      </c>
      <c r="AE884" s="1">
        <v>0</v>
      </c>
      <c r="AF884" s="1">
        <f ca="1">IFERROR(__xludf.DUMMYFUNCTION("IFERROR(GOOGLEFINANCE(TRIM(F884)&amp;"":"" &amp; TRIM(B884),""high52""),AE884)"),0)</f>
        <v>0</v>
      </c>
      <c r="AG884" s="1">
        <v>0</v>
      </c>
      <c r="AH884" s="1">
        <f ca="1">IFERROR(__xludf.DUMMYFUNCTION("IFERROR(GOOGLEFINANCE(TRIM(F884)&amp;"":"" &amp; TRIM(B884),""low52""),AE884)"),0)</f>
        <v>0</v>
      </c>
      <c r="AI884" s="1">
        <f ca="1">IFERROR(__xludf.DUMMYFUNCTION("IFERROR(GOOGLEFINANCE(B884,""eps""),0)"),0)</f>
        <v>0</v>
      </c>
      <c r="AJ884" s="1"/>
      <c r="AK884" s="1" t="s">
        <v>2714</v>
      </c>
      <c r="AL884" s="9">
        <f t="shared" si="146"/>
        <v>1</v>
      </c>
    </row>
    <row r="885" spans="1:38" ht="15" x14ac:dyDescent="0.25">
      <c r="A885" s="1" t="s">
        <v>2715</v>
      </c>
      <c r="B885" s="1" t="s">
        <v>2716</v>
      </c>
      <c r="C885" s="1" t="s">
        <v>227</v>
      </c>
      <c r="D885" s="1" t="s">
        <v>227</v>
      </c>
      <c r="E885" s="6">
        <v>116.28</v>
      </c>
      <c r="F885" s="1" t="s">
        <v>40</v>
      </c>
      <c r="G885" s="6">
        <f ca="1">IFERROR(__xludf.DUMMYFUNCTION("iferror(GOOGLEFINANCE(TRIM(F885)&amp;"":"" &amp; TRIM(B885), ""price""),0
)"),0)</f>
        <v>0</v>
      </c>
      <c r="H885" s="6">
        <v>129.9</v>
      </c>
      <c r="I885" s="6">
        <f t="shared" ca="1" si="0"/>
        <v>129.9</v>
      </c>
      <c r="J885" s="6">
        <f ca="1">IFERROR(__xludf.DUMMYFUNCTION("IFERROR(GOOGLEFINANCE(B885, ""volume""), 0)"),0)</f>
        <v>0</v>
      </c>
      <c r="K885" s="9"/>
      <c r="L885" s="6" t="str">
        <f ca="1">IFERROR(__xludf.DUMMYFUNCTION("IFERROR(GOOGLEFINANCE(B885,""changepct""),K885)"),"")</f>
        <v/>
      </c>
      <c r="M885" s="6">
        <f ca="1">IFERROR(__xludf.DUMMYFUNCTION("IFERROR(GOOGLEFINANCE(B885,""change""),0)"),0)</f>
        <v>0</v>
      </c>
      <c r="N885" s="6">
        <v>1</v>
      </c>
      <c r="O885" s="7">
        <v>45536</v>
      </c>
      <c r="P885" s="6">
        <v>9.52</v>
      </c>
      <c r="Q885" s="6">
        <v>125.79</v>
      </c>
      <c r="R885" s="14"/>
      <c r="S885" s="9"/>
      <c r="T885" s="9"/>
      <c r="U885" s="7">
        <v>45352</v>
      </c>
      <c r="V885" s="6">
        <v>25.8</v>
      </c>
      <c r="W885" s="6">
        <f ca="1">IFERROR(__xludf.DUMMYFUNCTION("IFERROR(GOOGLEFINANCE(B885,""pe""),V885)"),25.8)</f>
        <v>25.8</v>
      </c>
      <c r="X885" s="12"/>
      <c r="Y885" s="6">
        <v>3.43</v>
      </c>
      <c r="Z885" s="6">
        <v>1</v>
      </c>
      <c r="AA885" s="8">
        <v>45352</v>
      </c>
      <c r="AB885" s="4">
        <v>1</v>
      </c>
      <c r="AC885" s="6">
        <v>80.010000000000005</v>
      </c>
      <c r="AD885" s="6">
        <v>50.3</v>
      </c>
      <c r="AE885" s="1">
        <v>0</v>
      </c>
      <c r="AF885" s="1">
        <f ca="1">IFERROR(__xludf.DUMMYFUNCTION("IFERROR(GOOGLEFINANCE(TRIM(F885)&amp;"":"" &amp; TRIM(B885),""high52""),AE885)"),0)</f>
        <v>0</v>
      </c>
      <c r="AG885" s="1">
        <v>0</v>
      </c>
      <c r="AH885" s="1">
        <f ca="1">IFERROR(__xludf.DUMMYFUNCTION("IFERROR(GOOGLEFINANCE(TRIM(F885)&amp;"":"" &amp; TRIM(B885),""low52""),AE885)"),0)</f>
        <v>0</v>
      </c>
      <c r="AI885" s="1">
        <f ca="1">IFERROR(__xludf.DUMMYFUNCTION("IFERROR(GOOGLEFINANCE(B885,""eps""),0)"),0)</f>
        <v>0</v>
      </c>
      <c r="AJ885" s="1"/>
      <c r="AK885" s="9"/>
      <c r="AL885" s="9">
        <f t="shared" si="146"/>
        <v>1</v>
      </c>
    </row>
    <row r="886" spans="1:38" ht="15" x14ac:dyDescent="0.25">
      <c r="A886" s="1" t="s">
        <v>2717</v>
      </c>
      <c r="B886" s="1" t="s">
        <v>2718</v>
      </c>
      <c r="C886" s="1" t="s">
        <v>697</v>
      </c>
      <c r="D886" s="1" t="s">
        <v>697</v>
      </c>
      <c r="E886" s="6">
        <v>893.94</v>
      </c>
      <c r="F886" s="1" t="s">
        <v>40</v>
      </c>
      <c r="G886" s="6">
        <f ca="1">IFERROR(__xludf.DUMMYFUNCTION("iferror(GOOGLEFINANCE(TRIM(F886)&amp;"":"" &amp; TRIM(B886), ""price""),0
)"),238)</f>
        <v>238</v>
      </c>
      <c r="H886" s="6">
        <v>267.75</v>
      </c>
      <c r="I886" s="6">
        <f t="shared" ca="1" si="0"/>
        <v>238</v>
      </c>
      <c r="J886" s="6">
        <f ca="1">IFERROR(__xludf.DUMMYFUNCTION("IFERROR(GOOGLEFINANCE(B886, ""volume""), 0)"),37205)</f>
        <v>37205</v>
      </c>
      <c r="K886" s="6">
        <v>1.27</v>
      </c>
      <c r="L886" s="6">
        <f ca="1">IFERROR(__xludf.DUMMYFUNCTION("IFERROR(GOOGLEFINANCE(B886,""changepct""),K886)"),0.81)</f>
        <v>0.81</v>
      </c>
      <c r="M886" s="6">
        <f ca="1">IFERROR(__xludf.DUMMYFUNCTION("IFERROR(GOOGLEFINANCE(B886,""change""),0)"),1.92)</f>
        <v>1.92</v>
      </c>
      <c r="N886" s="6">
        <v>1</v>
      </c>
      <c r="O886" s="7">
        <v>45536</v>
      </c>
      <c r="P886" s="6">
        <v>136.71</v>
      </c>
      <c r="Q886" s="6">
        <v>1030.6500000000001</v>
      </c>
      <c r="R886" s="7">
        <v>45536</v>
      </c>
      <c r="S886" s="6">
        <v>806.1</v>
      </c>
      <c r="T886" s="6">
        <v>38.549999999999997</v>
      </c>
      <c r="U886" s="7">
        <v>45536</v>
      </c>
      <c r="V886" s="6">
        <v>23.19</v>
      </c>
      <c r="W886" s="6">
        <f ca="1">IFERROR(__xludf.DUMMYFUNCTION("IFERROR(GOOGLEFINANCE(B886,""pe""),V886)"),16.53)</f>
        <v>16.53</v>
      </c>
      <c r="X886" s="9"/>
      <c r="Y886" s="6">
        <v>2.2599999999999998</v>
      </c>
      <c r="Z886" s="6">
        <v>1</v>
      </c>
      <c r="AA886" s="8">
        <v>45352</v>
      </c>
      <c r="AB886" s="4">
        <v>0.31</v>
      </c>
      <c r="AC886" s="6">
        <v>13.16</v>
      </c>
      <c r="AD886" s="6">
        <v>14.53</v>
      </c>
      <c r="AE886" s="1">
        <v>0</v>
      </c>
      <c r="AF886" s="1">
        <f ca="1">IFERROR(__xludf.DUMMYFUNCTION("IFERROR(GOOGLEFINANCE(TRIM(F886)&amp;"":"" &amp; TRIM(B886),""high52""),AE886)"),386.5)</f>
        <v>386.5</v>
      </c>
      <c r="AG886" s="1">
        <v>0</v>
      </c>
      <c r="AH886" s="1">
        <f ca="1">IFERROR(__xludf.DUMMYFUNCTION("IFERROR(GOOGLEFINANCE(TRIM(F886)&amp;"":"" &amp; TRIM(B886),""low52""),AE886)"),165.1)</f>
        <v>165.1</v>
      </c>
      <c r="AI886" s="1">
        <f ca="1">IFERROR(__xludf.DUMMYFUNCTION("IFERROR(GOOGLEFINANCE(B886,""eps""),0)"),14.39)</f>
        <v>14.39</v>
      </c>
      <c r="AJ886" s="1"/>
      <c r="AK886" s="1" t="s">
        <v>2719</v>
      </c>
      <c r="AL886" s="9">
        <f t="shared" si="146"/>
        <v>1</v>
      </c>
    </row>
    <row r="887" spans="1:38" ht="15" x14ac:dyDescent="0.25">
      <c r="A887" s="1" t="s">
        <v>2720</v>
      </c>
      <c r="B887" s="1" t="s">
        <v>2721</v>
      </c>
      <c r="C887" s="1" t="s">
        <v>860</v>
      </c>
      <c r="D887" s="1" t="s">
        <v>860</v>
      </c>
      <c r="E887" s="6">
        <v>15.14</v>
      </c>
      <c r="F887" s="1" t="s">
        <v>53</v>
      </c>
      <c r="G887" s="6">
        <f ca="1">IFERROR(__xludf.DUMMYFUNCTION("iferror(GOOGLEFINANCE(TRIM(F887)&amp;"":"" &amp; TRIM(B887), ""price""),0
)"),0)</f>
        <v>0</v>
      </c>
      <c r="H887" s="6">
        <v>27.55</v>
      </c>
      <c r="I887" s="6">
        <f t="shared" ca="1" si="0"/>
        <v>27.55</v>
      </c>
      <c r="J887" s="6">
        <f ca="1">IFERROR(__xludf.DUMMYFUNCTION("IFERROR(GOOGLEFINANCE(B887, ""volume""), 0)"),0)</f>
        <v>0</v>
      </c>
      <c r="K887" s="6">
        <v>-0.79</v>
      </c>
      <c r="L887" s="6">
        <f ca="1">IFERROR(__xludf.DUMMYFUNCTION("IFERROR(GOOGLEFINANCE(B887,""changepct""),K887)"),-0.79)</f>
        <v>-0.79</v>
      </c>
      <c r="M887" s="6">
        <f ca="1">IFERROR(__xludf.DUMMYFUNCTION("IFERROR(GOOGLEFINANCE(B887,""change""),0)"),0)</f>
        <v>0</v>
      </c>
      <c r="N887" s="6">
        <v>2</v>
      </c>
      <c r="O887" s="7">
        <v>45536</v>
      </c>
      <c r="P887" s="9"/>
      <c r="Q887" s="6">
        <v>15.14</v>
      </c>
      <c r="R887" s="7">
        <v>45536</v>
      </c>
      <c r="S887" s="6">
        <v>20.65</v>
      </c>
      <c r="T887" s="6">
        <v>6.33</v>
      </c>
      <c r="U887" s="7">
        <v>45536</v>
      </c>
      <c r="V887" s="6">
        <v>2.42</v>
      </c>
      <c r="W887" s="6">
        <f ca="1">IFERROR(__xludf.DUMMYFUNCTION("IFERROR(GOOGLEFINANCE(B887,""pe""),V887)"),2.42)</f>
        <v>2.42</v>
      </c>
      <c r="X887" s="6">
        <v>0.42</v>
      </c>
      <c r="Y887" s="6">
        <v>0.64</v>
      </c>
      <c r="Z887" s="6">
        <v>2</v>
      </c>
      <c r="AA887" s="8">
        <v>45352</v>
      </c>
      <c r="AB887" s="4">
        <v>0</v>
      </c>
      <c r="AC887" s="6">
        <v>29.38</v>
      </c>
      <c r="AD887" s="6">
        <v>29.52</v>
      </c>
      <c r="AE887" s="1">
        <v>0</v>
      </c>
      <c r="AF887" s="1">
        <f ca="1">IFERROR(__xludf.DUMMYFUNCTION("IFERROR(GOOGLEFINANCE(TRIM(F887)&amp;"":"" &amp; TRIM(B887),""high52""),AE887)"),0)</f>
        <v>0</v>
      </c>
      <c r="AG887" s="1">
        <v>0</v>
      </c>
      <c r="AH887" s="1">
        <f ca="1">IFERROR(__xludf.DUMMYFUNCTION("IFERROR(GOOGLEFINANCE(TRIM(F887)&amp;"":"" &amp; TRIM(B887),""low52""),AE887)"),0)</f>
        <v>0</v>
      </c>
      <c r="AI887" s="1">
        <f ca="1">IFERROR(__xludf.DUMMYFUNCTION("IFERROR(GOOGLEFINANCE(B887,""eps""),0)"),0)</f>
        <v>0</v>
      </c>
      <c r="AJ887" s="1"/>
      <c r="AK887" s="1" t="s">
        <v>2722</v>
      </c>
      <c r="AL887" s="9">
        <f t="shared" si="146"/>
        <v>1</v>
      </c>
    </row>
    <row r="888" spans="1:38" ht="15" x14ac:dyDescent="0.25">
      <c r="A888" s="1" t="s">
        <v>2723</v>
      </c>
      <c r="B888" s="1" t="s">
        <v>2724</v>
      </c>
      <c r="C888" s="1" t="s">
        <v>1663</v>
      </c>
      <c r="D888" s="1" t="s">
        <v>1663</v>
      </c>
      <c r="E888" s="6">
        <v>232.15</v>
      </c>
      <c r="F888" s="1" t="s">
        <v>40</v>
      </c>
      <c r="G888" s="6">
        <f ca="1">IFERROR(__xludf.DUMMYFUNCTION("iferror(GOOGLEFINANCE(TRIM(F888)&amp;"":"" &amp; TRIM(B888), ""price""),0
)"),35.5)</f>
        <v>35.5</v>
      </c>
      <c r="H888" s="6">
        <v>122.76</v>
      </c>
      <c r="I888" s="6">
        <f t="shared" ca="1" si="0"/>
        <v>35.5</v>
      </c>
      <c r="J888" s="6">
        <f ca="1">IFERROR(__xludf.DUMMYFUNCTION("IFERROR(GOOGLEFINANCE(B888, ""volume""), 0)"),12027)</f>
        <v>12027</v>
      </c>
      <c r="K888" s="6">
        <v>1.42</v>
      </c>
      <c r="L888" s="6">
        <f ca="1">IFERROR(__xludf.DUMMYFUNCTION("IFERROR(GOOGLEFINANCE(B888,""changepct""),K888)"),-6.58)</f>
        <v>-6.58</v>
      </c>
      <c r="M888" s="6">
        <f ca="1">IFERROR(__xludf.DUMMYFUNCTION("IFERROR(GOOGLEFINANCE(B888,""change""),0)"),-2.5)</f>
        <v>-2.5</v>
      </c>
      <c r="N888" s="6">
        <v>2</v>
      </c>
      <c r="O888" s="7">
        <v>45536</v>
      </c>
      <c r="P888" s="6">
        <v>14.49</v>
      </c>
      <c r="Q888" s="6">
        <v>243</v>
      </c>
      <c r="R888" s="7">
        <v>45352</v>
      </c>
      <c r="S888" s="6">
        <v>81.5</v>
      </c>
      <c r="T888" s="6">
        <v>5.89</v>
      </c>
      <c r="U888" s="7">
        <v>45352</v>
      </c>
      <c r="V888" s="6">
        <v>39.590000000000003</v>
      </c>
      <c r="W888" s="6">
        <f ca="1">IFERROR(__xludf.DUMMYFUNCTION("IFERROR(GOOGLEFINANCE(B888,""pe""),V888)"),9.93)</f>
        <v>9.93</v>
      </c>
      <c r="X888" s="9"/>
      <c r="Y888" s="6">
        <v>2.3199999999999998</v>
      </c>
      <c r="Z888" s="6">
        <v>2</v>
      </c>
      <c r="AA888" s="8">
        <v>45352</v>
      </c>
      <c r="AB888" s="4">
        <v>0.23</v>
      </c>
      <c r="AC888" s="6">
        <v>9.68</v>
      </c>
      <c r="AD888" s="6">
        <v>12.91</v>
      </c>
      <c r="AE888" s="1">
        <v>0</v>
      </c>
      <c r="AF888" s="1">
        <f ca="1">IFERROR(__xludf.DUMMYFUNCTION("IFERROR(GOOGLEFINANCE(TRIM(F888)&amp;"":"" &amp; TRIM(B888),""high52""),AE888)"),144.01)</f>
        <v>144.01</v>
      </c>
      <c r="AG888" s="1">
        <v>0</v>
      </c>
      <c r="AH888" s="1">
        <f ca="1">IFERROR(__xludf.DUMMYFUNCTION("IFERROR(GOOGLEFINANCE(TRIM(F888)&amp;"":"" &amp; TRIM(B888),""low52""),AE888)"),35.31)</f>
        <v>35.31</v>
      </c>
      <c r="AI888" s="1">
        <f ca="1">IFERROR(__xludf.DUMMYFUNCTION("IFERROR(GOOGLEFINANCE(B888,""eps""),0)"),3.58)</f>
        <v>3.58</v>
      </c>
      <c r="AJ888" s="1"/>
      <c r="AK888" s="1" t="s">
        <v>2725</v>
      </c>
      <c r="AL888" s="9">
        <f t="shared" si="146"/>
        <v>1</v>
      </c>
    </row>
    <row r="889" spans="1:38" ht="15" x14ac:dyDescent="0.25">
      <c r="A889" s="1" t="s">
        <v>2726</v>
      </c>
      <c r="B889" s="1" t="s">
        <v>2727</v>
      </c>
      <c r="C889" s="1" t="s">
        <v>43</v>
      </c>
      <c r="D889" s="1" t="s">
        <v>43</v>
      </c>
      <c r="E889" s="6">
        <v>1215.9000000000001</v>
      </c>
      <c r="F889" s="1" t="s">
        <v>40</v>
      </c>
      <c r="G889" s="6">
        <f ca="1">IFERROR(__xludf.DUMMYFUNCTION("iferror(GOOGLEFINANCE(TRIM(F889)&amp;"":"" &amp; TRIM(B889), ""price""),0
)"),979)</f>
        <v>979</v>
      </c>
      <c r="H889" s="6">
        <v>2035.95</v>
      </c>
      <c r="I889" s="6">
        <f t="shared" ca="1" si="0"/>
        <v>979</v>
      </c>
      <c r="J889" s="6">
        <f ca="1">IFERROR(__xludf.DUMMYFUNCTION("IFERROR(GOOGLEFINANCE(B889, ""volume""), 0)"),558)</f>
        <v>558</v>
      </c>
      <c r="K889" s="6">
        <v>1.68</v>
      </c>
      <c r="L889" s="6">
        <f ca="1">IFERROR(__xludf.DUMMYFUNCTION("IFERROR(GOOGLEFINANCE(B889,""changepct""),K889)"),-2.61)</f>
        <v>-2.61</v>
      </c>
      <c r="M889" s="6">
        <f ca="1">IFERROR(__xludf.DUMMYFUNCTION("IFERROR(GOOGLEFINANCE(B889,""change""),0)"),-26.2)</f>
        <v>-26.2</v>
      </c>
      <c r="N889" s="6">
        <v>2</v>
      </c>
      <c r="O889" s="7">
        <v>45536</v>
      </c>
      <c r="P889" s="6">
        <v>54.65</v>
      </c>
      <c r="Q889" s="7">
        <v>45536</v>
      </c>
      <c r="R889" s="6">
        <v>15.26</v>
      </c>
      <c r="S889" s="6">
        <v>-3.37</v>
      </c>
      <c r="T889" s="6">
        <v>0.43</v>
      </c>
      <c r="U889" s="6">
        <v>2</v>
      </c>
      <c r="V889" s="7">
        <v>45352</v>
      </c>
      <c r="W889" s="6">
        <f ca="1">IFERROR(__xludf.DUMMYFUNCTION("IFERROR(GOOGLEFINANCE(B889,""pe""),V889)"),34.87)</f>
        <v>34.869999999999997</v>
      </c>
      <c r="X889" s="6">
        <v>0.14000000000000001</v>
      </c>
      <c r="Y889" s="6">
        <v>4.75</v>
      </c>
      <c r="Z889" s="6">
        <v>6.44</v>
      </c>
      <c r="AA889" s="3" t="s">
        <v>2728</v>
      </c>
      <c r="AB889" s="3"/>
      <c r="AC889" s="9"/>
      <c r="AD889" s="9"/>
      <c r="AE889" s="1">
        <v>0</v>
      </c>
      <c r="AF889" s="1">
        <f ca="1">IFERROR(__xludf.DUMMYFUNCTION("IFERROR(GOOGLEFINANCE(TRIM(F889)&amp;"":"" &amp; TRIM(B889),""high52""),AE889)"),2055.15)</f>
        <v>2055.15</v>
      </c>
      <c r="AG889" s="1">
        <v>0</v>
      </c>
      <c r="AH889" s="1">
        <f ca="1">IFERROR(__xludf.DUMMYFUNCTION("IFERROR(GOOGLEFINANCE(TRIM(F889)&amp;"":"" &amp; TRIM(B889),""low52""),AE889)"),961.4)</f>
        <v>961.4</v>
      </c>
      <c r="AI889" s="1">
        <f ca="1">IFERROR(__xludf.DUMMYFUNCTION("IFERROR(GOOGLEFINANCE(B889,""eps""),0)"),28.08)</f>
        <v>28.08</v>
      </c>
      <c r="AJ889" s="1"/>
      <c r="AK889" s="1" t="s">
        <v>2729</v>
      </c>
      <c r="AL889" s="9">
        <f t="shared" si="146"/>
        <v>1</v>
      </c>
    </row>
    <row r="890" spans="1:38" ht="15" x14ac:dyDescent="0.25">
      <c r="A890" s="1" t="s">
        <v>2730</v>
      </c>
      <c r="B890" s="1" t="s">
        <v>2731</v>
      </c>
      <c r="C890" s="1" t="s">
        <v>1913</v>
      </c>
      <c r="D890" s="1" t="s">
        <v>1913</v>
      </c>
      <c r="E890" s="6">
        <v>287.22000000000003</v>
      </c>
      <c r="F890" s="1" t="s">
        <v>40</v>
      </c>
      <c r="G890" s="6">
        <f ca="1">IFERROR(__xludf.DUMMYFUNCTION("iferror(GOOGLEFINANCE(TRIM(F890)&amp;"":"" &amp; TRIM(B890), ""price""),0
)"),146.53)</f>
        <v>146.53</v>
      </c>
      <c r="H890" s="6">
        <v>271.8</v>
      </c>
      <c r="I890" s="6">
        <f t="shared" ca="1" si="0"/>
        <v>146.53</v>
      </c>
      <c r="J890" s="6">
        <f ca="1">IFERROR(__xludf.DUMMYFUNCTION("IFERROR(GOOGLEFINANCE(B890, ""volume""), 0)"),0)</f>
        <v>0</v>
      </c>
      <c r="K890" s="6">
        <v>0.13</v>
      </c>
      <c r="L890" s="6">
        <f ca="1">IFERROR(__xludf.DUMMYFUNCTION("IFERROR(GOOGLEFINANCE(B890,""changepct""),K890)"),-0.63)</f>
        <v>-0.63</v>
      </c>
      <c r="M890" s="6">
        <f ca="1">IFERROR(__xludf.DUMMYFUNCTION("IFERROR(GOOGLEFINANCE(B890,""change""),0)"),-0.02)</f>
        <v>-0.02</v>
      </c>
      <c r="N890" s="6">
        <v>2</v>
      </c>
      <c r="O890" s="7">
        <v>45536</v>
      </c>
      <c r="P890" s="6">
        <v>272.27</v>
      </c>
      <c r="Q890" s="6">
        <v>553.24</v>
      </c>
      <c r="R890" s="7">
        <v>45536</v>
      </c>
      <c r="S890" s="6">
        <v>426.46</v>
      </c>
      <c r="T890" s="6">
        <v>-104.74</v>
      </c>
      <c r="U890" s="7">
        <v>45536</v>
      </c>
      <c r="V890" s="6">
        <v>0</v>
      </c>
      <c r="W890" s="6">
        <f ca="1">IFERROR(__xludf.DUMMYFUNCTION("IFERROR(GOOGLEFINANCE(B890,""pe""),V890)"),0)</f>
        <v>0</v>
      </c>
      <c r="X890" s="9"/>
      <c r="Y890" s="6">
        <v>0.52</v>
      </c>
      <c r="Z890" s="6">
        <v>2</v>
      </c>
      <c r="AA890" s="8">
        <v>45352</v>
      </c>
      <c r="AB890" s="4">
        <v>0.47</v>
      </c>
      <c r="AC890" s="6">
        <v>-23.15</v>
      </c>
      <c r="AD890" s="6">
        <v>-18.149999999999999</v>
      </c>
      <c r="AE890" s="1">
        <v>0</v>
      </c>
      <c r="AF890" s="1">
        <f ca="1">IFERROR(__xludf.DUMMYFUNCTION("IFERROR(GOOGLEFINANCE(TRIM(F890)&amp;"":"" &amp; TRIM(B890),""high52""),AE890)"),230.05)</f>
        <v>230.05</v>
      </c>
      <c r="AG890" s="1">
        <v>0</v>
      </c>
      <c r="AH890" s="1">
        <f ca="1">IFERROR(__xludf.DUMMYFUNCTION("IFERROR(GOOGLEFINANCE(TRIM(F890)&amp;"":"" &amp; TRIM(B890),""low52""),AE890)"),135.2)</f>
        <v>135.19999999999999</v>
      </c>
      <c r="AI890" s="1">
        <f ca="1">IFERROR(__xludf.DUMMYFUNCTION("IFERROR(GOOGLEFINANCE(B890,""eps""),0)"),-8.4)</f>
        <v>-8.4</v>
      </c>
      <c r="AJ890" s="1"/>
      <c r="AK890" s="9"/>
      <c r="AL890" s="9">
        <f t="shared" si="146"/>
        <v>1</v>
      </c>
    </row>
    <row r="891" spans="1:38" ht="15" x14ac:dyDescent="0.25">
      <c r="A891" s="1" t="s">
        <v>2732</v>
      </c>
      <c r="B891" s="1" t="s">
        <v>2733</v>
      </c>
      <c r="C891" s="1" t="s">
        <v>135</v>
      </c>
      <c r="D891" s="1" t="s">
        <v>135</v>
      </c>
      <c r="E891" s="6">
        <v>1298.3699999999999</v>
      </c>
      <c r="F891" s="1" t="s">
        <v>40</v>
      </c>
      <c r="G891" s="6">
        <f ca="1">IFERROR(__xludf.DUMMYFUNCTION("iferror(GOOGLEFINANCE(TRIM(F891)&amp;"":"" &amp; TRIM(B891), ""price""),0
)"),253.75)</f>
        <v>253.75</v>
      </c>
      <c r="H891" s="6">
        <v>372.05</v>
      </c>
      <c r="I891" s="6">
        <f t="shared" ca="1" si="0"/>
        <v>253.75</v>
      </c>
      <c r="J891" s="6">
        <f ca="1">IFERROR(__xludf.DUMMYFUNCTION("IFERROR(GOOGLEFINANCE(B891, ""volume""), 0)"),1053091)</f>
        <v>1053091</v>
      </c>
      <c r="K891" s="6">
        <v>0.46</v>
      </c>
      <c r="L891" s="6">
        <f ca="1">IFERROR(__xludf.DUMMYFUNCTION("IFERROR(GOOGLEFINANCE(B891,""changepct""),K891)"),-2.78)</f>
        <v>-2.78</v>
      </c>
      <c r="M891" s="6">
        <f ca="1">IFERROR(__xludf.DUMMYFUNCTION("IFERROR(GOOGLEFINANCE(B891,""change""),0)"),0)</f>
        <v>0</v>
      </c>
      <c r="N891" s="6">
        <v>2</v>
      </c>
      <c r="O891" s="7">
        <v>45536</v>
      </c>
      <c r="P891" s="6">
        <v>368.28</v>
      </c>
      <c r="Q891" s="6">
        <v>1499.45</v>
      </c>
      <c r="R891" s="7">
        <v>45536</v>
      </c>
      <c r="S891" s="6">
        <v>629.86</v>
      </c>
      <c r="T891" s="6">
        <v>36.979999999999997</v>
      </c>
      <c r="U891" s="7">
        <v>45536</v>
      </c>
      <c r="V891" s="6">
        <v>7.44</v>
      </c>
      <c r="W891" s="6">
        <f ca="1">IFERROR(__xludf.DUMMYFUNCTION("IFERROR(GOOGLEFINANCE(B891,""pe""),V891)"),7.44)</f>
        <v>7.44</v>
      </c>
      <c r="X891" s="6">
        <v>0.41</v>
      </c>
      <c r="Y891" s="6">
        <v>0.41</v>
      </c>
      <c r="Z891" s="6">
        <v>2</v>
      </c>
      <c r="AA891" s="8">
        <v>45352</v>
      </c>
      <c r="AB891" s="4">
        <v>0.12</v>
      </c>
      <c r="AC891" s="6">
        <v>5.44</v>
      </c>
      <c r="AD891" s="6">
        <v>6.65</v>
      </c>
      <c r="AE891" s="1">
        <v>0</v>
      </c>
      <c r="AF891" s="1">
        <f ca="1">IFERROR(__xludf.DUMMYFUNCTION("IFERROR(GOOGLEFINANCE(TRIM(F891)&amp;"":"" &amp; TRIM(B891),""high52""),AE891)"),402)</f>
        <v>402</v>
      </c>
      <c r="AG891" s="1">
        <v>0</v>
      </c>
      <c r="AH891" s="1">
        <f ca="1">IFERROR(__xludf.DUMMYFUNCTION("IFERROR(GOOGLEFINANCE(TRIM(F891)&amp;"":"" &amp; TRIM(B891),""low52""),AE891)"),250)</f>
        <v>250</v>
      </c>
      <c r="AI891" s="1">
        <f ca="1">IFERROR(__xludf.DUMMYFUNCTION("IFERROR(GOOGLEFINANCE(B891,""eps""),0)"),0)</f>
        <v>0</v>
      </c>
      <c r="AJ891" s="1"/>
      <c r="AK891" s="9"/>
      <c r="AL891" s="9">
        <f t="shared" si="146"/>
        <v>1</v>
      </c>
    </row>
    <row r="892" spans="1:38" ht="15" x14ac:dyDescent="0.25">
      <c r="A892" s="1" t="s">
        <v>2734</v>
      </c>
      <c r="B892" s="1" t="s">
        <v>2735</v>
      </c>
      <c r="C892" s="1" t="s">
        <v>135</v>
      </c>
      <c r="D892" s="1" t="s">
        <v>135</v>
      </c>
      <c r="E892" s="6">
        <v>487.49</v>
      </c>
      <c r="F892" s="1" t="s">
        <v>40</v>
      </c>
      <c r="G892" s="6">
        <f ca="1">IFERROR(__xludf.DUMMYFUNCTION("iferror(GOOGLEFINANCE(TRIM(F892)&amp;"":"" &amp; TRIM(B892), ""price""),0
)"),247.95)</f>
        <v>247.95</v>
      </c>
      <c r="H892" s="6">
        <v>498</v>
      </c>
      <c r="I892" s="6">
        <f t="shared" ca="1" si="0"/>
        <v>247.95</v>
      </c>
      <c r="J892" s="6">
        <f ca="1">IFERROR(__xludf.DUMMYFUNCTION("IFERROR(GOOGLEFINANCE(B892, ""volume""), 0)"),27289)</f>
        <v>27289</v>
      </c>
      <c r="K892" s="6">
        <v>-0.37</v>
      </c>
      <c r="L892" s="6">
        <f ca="1">IFERROR(__xludf.DUMMYFUNCTION("IFERROR(GOOGLEFINANCE(B892,""changepct""),K892)"),-0.02)</f>
        <v>-0.02</v>
      </c>
      <c r="M892" s="6">
        <f ca="1">IFERROR(__xludf.DUMMYFUNCTION("IFERROR(GOOGLEFINANCE(B892,""change""),0)"),-0.05)</f>
        <v>-0.05</v>
      </c>
      <c r="N892" s="6">
        <v>2</v>
      </c>
      <c r="O892" s="7">
        <v>45536</v>
      </c>
      <c r="P892" s="6">
        <v>4.43</v>
      </c>
      <c r="Q892" s="6">
        <v>447.07</v>
      </c>
      <c r="R892" s="7">
        <v>45536</v>
      </c>
      <c r="S892" s="6">
        <v>88.43</v>
      </c>
      <c r="T892" s="6">
        <v>5.98</v>
      </c>
      <c r="U892" s="7">
        <v>45536</v>
      </c>
      <c r="V892" s="6">
        <v>84.59</v>
      </c>
      <c r="W892" s="6">
        <f ca="1">IFERROR(__xludf.DUMMYFUNCTION("IFERROR(GOOGLEFINANCE(B892,""pe""),V892)"),84.59)</f>
        <v>84.59</v>
      </c>
      <c r="X892" s="12"/>
      <c r="Y892" s="6">
        <v>2.99</v>
      </c>
      <c r="Z892" s="6">
        <v>2</v>
      </c>
      <c r="AA892" s="8">
        <v>45352</v>
      </c>
      <c r="AB892" s="4">
        <v>0</v>
      </c>
      <c r="AC892" s="6">
        <v>11.25</v>
      </c>
      <c r="AD892" s="6">
        <v>15.84</v>
      </c>
      <c r="AE892" s="1">
        <v>0</v>
      </c>
      <c r="AF892" s="1">
        <f ca="1">IFERROR(__xludf.DUMMYFUNCTION("IFERROR(GOOGLEFINANCE(TRIM(F892)&amp;"":"" &amp; TRIM(B892),""high52""),AE892)"),489.85)</f>
        <v>489.85</v>
      </c>
      <c r="AG892" s="1">
        <v>0</v>
      </c>
      <c r="AH892" s="1">
        <f ca="1">IFERROR(__xludf.DUMMYFUNCTION("IFERROR(GOOGLEFINANCE(TRIM(F892)&amp;"":"" &amp; TRIM(B892),""low52""),AE892)"),226.55)</f>
        <v>226.55</v>
      </c>
      <c r="AI892" s="1">
        <f ca="1">IFERROR(__xludf.DUMMYFUNCTION("IFERROR(GOOGLEFINANCE(B892,""eps""),0)"),-5.07)</f>
        <v>-5.07</v>
      </c>
      <c r="AJ892" s="1"/>
      <c r="AK892" s="1" t="s">
        <v>2736</v>
      </c>
      <c r="AL892" s="9">
        <f t="shared" si="146"/>
        <v>1</v>
      </c>
    </row>
    <row r="893" spans="1:38" ht="15" x14ac:dyDescent="0.25">
      <c r="A893" s="1" t="s">
        <v>2737</v>
      </c>
      <c r="B893" s="1" t="s">
        <v>2738</v>
      </c>
      <c r="C893" s="1" t="s">
        <v>860</v>
      </c>
      <c r="D893" s="1" t="s">
        <v>860</v>
      </c>
      <c r="E893" s="6">
        <v>64.53</v>
      </c>
      <c r="F893" s="1" t="s">
        <v>53</v>
      </c>
      <c r="G893" s="6">
        <f ca="1">IFERROR(__xludf.DUMMYFUNCTION("iferror(GOOGLEFINANCE(TRIM(F893)&amp;"":"" &amp; TRIM(B893), ""price""),0
)"),0)</f>
        <v>0</v>
      </c>
      <c r="H893" s="6">
        <v>75.5</v>
      </c>
      <c r="I893" s="6">
        <f t="shared" ca="1" si="0"/>
        <v>75.5</v>
      </c>
      <c r="J893" s="6">
        <f ca="1">IFERROR(__xludf.DUMMYFUNCTION("IFERROR(GOOGLEFINANCE(B893, ""volume""), 0)"),0)</f>
        <v>0</v>
      </c>
      <c r="K893" s="6">
        <v>3.04</v>
      </c>
      <c r="L893" s="6">
        <f ca="1">IFERROR(__xludf.DUMMYFUNCTION("IFERROR(GOOGLEFINANCE(B893,""changepct""),K893)"),3.04)</f>
        <v>3.04</v>
      </c>
      <c r="M893" s="6">
        <f ca="1">IFERROR(__xludf.DUMMYFUNCTION("IFERROR(GOOGLEFINANCE(B893,""change""),0)"),0)</f>
        <v>0</v>
      </c>
      <c r="N893" s="6">
        <v>1</v>
      </c>
      <c r="O893" s="7">
        <v>45536</v>
      </c>
      <c r="P893" s="6">
        <v>21.88</v>
      </c>
      <c r="Q893" s="6">
        <v>86.05</v>
      </c>
      <c r="R893" s="7">
        <v>45536</v>
      </c>
      <c r="S893" s="6">
        <v>137.44</v>
      </c>
      <c r="T893" s="6">
        <v>-1.47</v>
      </c>
      <c r="U893" s="7">
        <v>45536</v>
      </c>
      <c r="V893" s="6">
        <v>0</v>
      </c>
      <c r="W893" s="6">
        <f ca="1">IFERROR(__xludf.DUMMYFUNCTION("IFERROR(GOOGLEFINANCE(B893,""pe""),V893)"),0)</f>
        <v>0</v>
      </c>
      <c r="X893" s="6">
        <v>0</v>
      </c>
      <c r="Y893" s="6">
        <v>1.1599999999999999</v>
      </c>
      <c r="Z893" s="6">
        <v>1</v>
      </c>
      <c r="AA893" s="8">
        <v>45352</v>
      </c>
      <c r="AB893" s="4">
        <v>0.28000000000000003</v>
      </c>
      <c r="AC893" s="6">
        <v>-3.63</v>
      </c>
      <c r="AD893" s="6">
        <v>-1.71</v>
      </c>
      <c r="AE893" s="1">
        <v>0</v>
      </c>
      <c r="AF893" s="1">
        <f ca="1">IFERROR(__xludf.DUMMYFUNCTION("IFERROR(GOOGLEFINANCE(TRIM(F893)&amp;"":"" &amp; TRIM(B893),""high52""),AE893)"),0)</f>
        <v>0</v>
      </c>
      <c r="AG893" s="1">
        <v>0</v>
      </c>
      <c r="AH893" s="1">
        <f ca="1">IFERROR(__xludf.DUMMYFUNCTION("IFERROR(GOOGLEFINANCE(TRIM(F893)&amp;"":"" &amp; TRIM(B893),""low52""),AE893)"),0)</f>
        <v>0</v>
      </c>
      <c r="AI893" s="1">
        <f ca="1">IFERROR(__xludf.DUMMYFUNCTION("IFERROR(GOOGLEFINANCE(B893,""eps""),0)"),0)</f>
        <v>0</v>
      </c>
      <c r="AJ893" s="1"/>
      <c r="AK893" s="1" t="s">
        <v>2739</v>
      </c>
      <c r="AL893" s="9">
        <f t="shared" si="146"/>
        <v>1</v>
      </c>
    </row>
    <row r="894" spans="1:38" ht="15" x14ac:dyDescent="0.25">
      <c r="A894" s="1" t="s">
        <v>2740</v>
      </c>
      <c r="B894" s="1" t="s">
        <v>2741</v>
      </c>
      <c r="C894" s="1" t="s">
        <v>860</v>
      </c>
      <c r="D894" s="1" t="s">
        <v>860</v>
      </c>
      <c r="E894" s="6">
        <v>67.61</v>
      </c>
      <c r="F894" s="1" t="s">
        <v>53</v>
      </c>
      <c r="G894" s="6">
        <f ca="1">IFERROR(__xludf.DUMMYFUNCTION("iferror(GOOGLEFINANCE(TRIM(F894)&amp;"":"" &amp; TRIM(B894), ""price""),0
)"),0)</f>
        <v>0</v>
      </c>
      <c r="H894" s="6">
        <v>60.49</v>
      </c>
      <c r="I894" s="6">
        <f t="shared" ca="1" si="0"/>
        <v>60.49</v>
      </c>
      <c r="J894" s="6">
        <f ca="1">IFERROR(__xludf.DUMMYFUNCTION("IFERROR(GOOGLEFINANCE(B894, ""volume""), 0)"),0)</f>
        <v>0</v>
      </c>
      <c r="K894" s="6">
        <v>5</v>
      </c>
      <c r="L894" s="6">
        <f ca="1">IFERROR(__xludf.DUMMYFUNCTION("IFERROR(GOOGLEFINANCE(B894,""changepct""),K894)"),5)</f>
        <v>5</v>
      </c>
      <c r="M894" s="6">
        <f ca="1">IFERROR(__xludf.DUMMYFUNCTION("IFERROR(GOOGLEFINANCE(B894,""change""),0)"),0)</f>
        <v>0</v>
      </c>
      <c r="N894" s="6">
        <v>1</v>
      </c>
      <c r="O894" s="7">
        <v>45536</v>
      </c>
      <c r="P894" s="6">
        <v>8.33</v>
      </c>
      <c r="Q894" s="6">
        <v>75.94</v>
      </c>
      <c r="R894" s="7">
        <v>45536</v>
      </c>
      <c r="S894" s="6">
        <v>7.58</v>
      </c>
      <c r="T894" s="6">
        <v>-0.6</v>
      </c>
      <c r="U894" s="7">
        <v>45536</v>
      </c>
      <c r="V894" s="6">
        <v>0</v>
      </c>
      <c r="W894" s="6">
        <f ca="1">IFERROR(__xludf.DUMMYFUNCTION("IFERROR(GOOGLEFINANCE(B894,""pe""),V894)"),0)</f>
        <v>0</v>
      </c>
      <c r="X894" s="12"/>
      <c r="Y894" s="6">
        <v>-7.38</v>
      </c>
      <c r="Z894" s="6">
        <v>1</v>
      </c>
      <c r="AA894" s="8">
        <v>45352</v>
      </c>
      <c r="AB894" s="4">
        <v>-0.88</v>
      </c>
      <c r="AC894" s="6">
        <v>0</v>
      </c>
      <c r="AD894" s="6">
        <v>-104.69</v>
      </c>
      <c r="AE894" s="1">
        <v>0</v>
      </c>
      <c r="AF894" s="1">
        <f ca="1">IFERROR(__xludf.DUMMYFUNCTION("IFERROR(GOOGLEFINANCE(TRIM(F894)&amp;"":"" &amp; TRIM(B894),""high52""),AE894)"),0)</f>
        <v>0</v>
      </c>
      <c r="AG894" s="1">
        <v>0</v>
      </c>
      <c r="AH894" s="1">
        <f ca="1">IFERROR(__xludf.DUMMYFUNCTION("IFERROR(GOOGLEFINANCE(TRIM(F894)&amp;"":"" &amp; TRIM(B894),""low52""),AE894)"),0)</f>
        <v>0</v>
      </c>
      <c r="AI894" s="1">
        <f ca="1">IFERROR(__xludf.DUMMYFUNCTION("IFERROR(GOOGLEFINANCE(B894,""eps""),0)"),0)</f>
        <v>0</v>
      </c>
      <c r="AJ894" s="1"/>
      <c r="AK894" s="9"/>
      <c r="AL894" s="9">
        <f t="shared" si="146"/>
        <v>1</v>
      </c>
    </row>
    <row r="895" spans="1:38" ht="15" x14ac:dyDescent="0.25">
      <c r="A895" s="1" t="s">
        <v>2742</v>
      </c>
      <c r="B895" s="1" t="s">
        <v>2743</v>
      </c>
      <c r="C895" s="1" t="s">
        <v>577</v>
      </c>
      <c r="D895" s="1" t="s">
        <v>577</v>
      </c>
      <c r="E895" s="6">
        <v>7965.17</v>
      </c>
      <c r="F895" s="1" t="s">
        <v>40</v>
      </c>
      <c r="G895" s="6">
        <f ca="1">IFERROR(__xludf.DUMMYFUNCTION("iferror(GOOGLEFINANCE(TRIM(F895)&amp;"":"" &amp; TRIM(B895), ""price""),0
)"),120)</f>
        <v>120</v>
      </c>
      <c r="H895" s="6">
        <v>151.88999999999999</v>
      </c>
      <c r="I895" s="6">
        <f t="shared" ca="1" si="0"/>
        <v>120</v>
      </c>
      <c r="J895" s="6">
        <f ca="1">IFERROR(__xludf.DUMMYFUNCTION("IFERROR(GOOGLEFINANCE(B895, ""volume""), 0)"),893662)</f>
        <v>893662</v>
      </c>
      <c r="K895" s="6">
        <v>-0.23</v>
      </c>
      <c r="L895" s="6">
        <f ca="1">IFERROR(__xludf.DUMMYFUNCTION("IFERROR(GOOGLEFINANCE(B895,""changepct""),K895)"),0.25)</f>
        <v>0.25</v>
      </c>
      <c r="M895" s="6">
        <f ca="1">IFERROR(__xludf.DUMMYFUNCTION("IFERROR(GOOGLEFINANCE(B895,""change""),0)"),0.3)</f>
        <v>0.3</v>
      </c>
      <c r="N895" s="6">
        <v>2</v>
      </c>
      <c r="O895" s="7">
        <v>45536</v>
      </c>
      <c r="P895" s="6">
        <v>287.41000000000003</v>
      </c>
      <c r="Q895" s="6">
        <v>8213.08</v>
      </c>
      <c r="R895" s="7">
        <v>43070</v>
      </c>
      <c r="S895" s="6">
        <v>701.4</v>
      </c>
      <c r="T895" s="6">
        <v>-422.14</v>
      </c>
      <c r="U895" s="7">
        <v>43070</v>
      </c>
      <c r="V895" s="6">
        <v>0</v>
      </c>
      <c r="W895" s="6">
        <f ca="1">IFERROR(__xludf.DUMMYFUNCTION("IFERROR(GOOGLEFINANCE(B895,""pe""),V895)"),102.15)</f>
        <v>102.15</v>
      </c>
      <c r="X895" s="9"/>
      <c r="Y895" s="9"/>
      <c r="Z895" s="6">
        <v>1</v>
      </c>
      <c r="AA895" s="17">
        <v>45352</v>
      </c>
      <c r="AB895" s="18">
        <v>-0.32</v>
      </c>
      <c r="AC895" s="6">
        <v>0</v>
      </c>
      <c r="AD895" s="6">
        <v>0</v>
      </c>
      <c r="AE895" s="1">
        <v>0</v>
      </c>
      <c r="AF895" s="1">
        <f ca="1">IFERROR(__xludf.DUMMYFUNCTION("IFERROR(GOOGLEFINANCE(TRIM(F895)&amp;"":"" &amp; TRIM(B895),""high52""),AE895)"),183.5)</f>
        <v>183.5</v>
      </c>
      <c r="AG895" s="1">
        <v>0</v>
      </c>
      <c r="AH895" s="1">
        <f ca="1">IFERROR(__xludf.DUMMYFUNCTION("IFERROR(GOOGLEFINANCE(TRIM(F895)&amp;"":"" &amp; TRIM(B895),""low52""),AE895)"),81.5)</f>
        <v>81.5</v>
      </c>
      <c r="AI895" s="1">
        <f ca="1">IFERROR(__xludf.DUMMYFUNCTION("IFERROR(GOOGLEFINANCE(B895,""eps""),0)"),1.17)</f>
        <v>1.17</v>
      </c>
      <c r="AJ895" s="1"/>
      <c r="AK895" s="1" t="s">
        <v>2744</v>
      </c>
      <c r="AL895" s="1" t="b">
        <f>ISNUMBER(AA895)</f>
        <v>1</v>
      </c>
    </row>
    <row r="896" spans="1:38" ht="15" x14ac:dyDescent="0.25">
      <c r="A896" s="1" t="s">
        <v>2745</v>
      </c>
      <c r="B896" s="1" t="s">
        <v>2746</v>
      </c>
      <c r="C896" s="1" t="s">
        <v>324</v>
      </c>
      <c r="D896" s="1" t="s">
        <v>324</v>
      </c>
      <c r="E896" s="6">
        <v>24.35</v>
      </c>
      <c r="F896" s="1" t="s">
        <v>53</v>
      </c>
      <c r="G896" s="6">
        <f ca="1">IFERROR(__xludf.DUMMYFUNCTION("iferror(GOOGLEFINANCE(TRIM(F896)&amp;"":"" &amp; TRIM(B896), ""price""),0
)"),0)</f>
        <v>0</v>
      </c>
      <c r="H896" s="6">
        <v>12.09</v>
      </c>
      <c r="I896" s="6">
        <f t="shared" ca="1" si="0"/>
        <v>12.09</v>
      </c>
      <c r="J896" s="6">
        <f ca="1">IFERROR(__xludf.DUMMYFUNCTION("IFERROR(GOOGLEFINANCE(B896, ""volume""), 0)"),0)</f>
        <v>0</v>
      </c>
      <c r="K896" s="6">
        <v>1.43</v>
      </c>
      <c r="L896" s="6">
        <f ca="1">IFERROR(__xludf.DUMMYFUNCTION("IFERROR(GOOGLEFINANCE(B896,""changepct""),K896)"),1.43)</f>
        <v>1.43</v>
      </c>
      <c r="M896" s="6">
        <f ca="1">IFERROR(__xludf.DUMMYFUNCTION("IFERROR(GOOGLEFINANCE(B896,""change""),0)"),0)</f>
        <v>0</v>
      </c>
      <c r="N896" s="6">
        <v>1</v>
      </c>
      <c r="O896" s="7">
        <v>45536</v>
      </c>
      <c r="P896" s="6">
        <v>73.73</v>
      </c>
      <c r="Q896" s="6">
        <v>97.92</v>
      </c>
      <c r="R896" s="7">
        <v>45261</v>
      </c>
      <c r="S896" s="6">
        <v>70.97</v>
      </c>
      <c r="T896" s="6">
        <v>-30.68</v>
      </c>
      <c r="U896" s="7">
        <v>45352</v>
      </c>
      <c r="V896" s="6">
        <v>0</v>
      </c>
      <c r="W896" s="6">
        <f ca="1">IFERROR(__xludf.DUMMYFUNCTION("IFERROR(GOOGLEFINANCE(B896,""pe""),V896)"),0)</f>
        <v>0</v>
      </c>
      <c r="X896" s="6">
        <v>0</v>
      </c>
      <c r="Y896" s="6">
        <v>-0.98</v>
      </c>
      <c r="Z896" s="6">
        <v>1</v>
      </c>
      <c r="AA896" s="8">
        <v>45352</v>
      </c>
      <c r="AB896" s="4">
        <v>-3.55</v>
      </c>
      <c r="AC896" s="6">
        <v>-901.32</v>
      </c>
      <c r="AD896" s="6">
        <v>-83.8</v>
      </c>
      <c r="AE896" s="1">
        <v>0</v>
      </c>
      <c r="AF896" s="1">
        <f ca="1">IFERROR(__xludf.DUMMYFUNCTION("IFERROR(GOOGLEFINANCE(TRIM(F896)&amp;"":"" &amp; TRIM(B896),""high52""),AE896)"),0)</f>
        <v>0</v>
      </c>
      <c r="AG896" s="1">
        <v>0</v>
      </c>
      <c r="AH896" s="1">
        <f ca="1">IFERROR(__xludf.DUMMYFUNCTION("IFERROR(GOOGLEFINANCE(TRIM(F896)&amp;"":"" &amp; TRIM(B896),""low52""),AE896)"),0)</f>
        <v>0</v>
      </c>
      <c r="AI896" s="1">
        <f ca="1">IFERROR(__xludf.DUMMYFUNCTION("IFERROR(GOOGLEFINANCE(B896,""eps""),0)"),0)</f>
        <v>0</v>
      </c>
      <c r="AJ896" s="1"/>
      <c r="AK896" s="1" t="s">
        <v>2747</v>
      </c>
      <c r="AL896" s="9">
        <f t="shared" ref="AL896:AL945" si="147">IF(AA896&lt;&gt;AB896,1,0)</f>
        <v>1</v>
      </c>
    </row>
    <row r="897" spans="1:38" ht="15" x14ac:dyDescent="0.25">
      <c r="A897" s="1" t="s">
        <v>2748</v>
      </c>
      <c r="B897" s="1" t="s">
        <v>2749</v>
      </c>
      <c r="C897" s="1" t="s">
        <v>135</v>
      </c>
      <c r="D897" s="1" t="s">
        <v>135</v>
      </c>
      <c r="E897" s="6">
        <v>607.37</v>
      </c>
      <c r="F897" s="1" t="s">
        <v>40</v>
      </c>
      <c r="G897" s="6">
        <f ca="1">IFERROR(__xludf.DUMMYFUNCTION("iferror(GOOGLEFINANCE(TRIM(F897)&amp;"":"" &amp; TRIM(B897), ""price""),0
)"),550)</f>
        <v>550</v>
      </c>
      <c r="H897" s="6">
        <v>649.75</v>
      </c>
      <c r="I897" s="6">
        <f t="shared" ca="1" si="0"/>
        <v>550</v>
      </c>
      <c r="J897" s="6">
        <f ca="1">IFERROR(__xludf.DUMMYFUNCTION("IFERROR(GOOGLEFINANCE(B897, ""volume""), 0)"),2173)</f>
        <v>2173</v>
      </c>
      <c r="K897" s="6">
        <v>-1.34</v>
      </c>
      <c r="L897" s="6">
        <f ca="1">IFERROR(__xludf.DUMMYFUNCTION("IFERROR(GOOGLEFINANCE(B897,""changepct""),K897)"),1.09)</f>
        <v>1.0900000000000001</v>
      </c>
      <c r="M897" s="6">
        <f ca="1">IFERROR(__xludf.DUMMYFUNCTION("IFERROR(GOOGLEFINANCE(B897,""change""),0)"),5.95)</f>
        <v>5.95</v>
      </c>
      <c r="N897" s="6">
        <v>1</v>
      </c>
      <c r="O897" s="7">
        <v>45444</v>
      </c>
      <c r="P897" s="9"/>
      <c r="Q897" s="6">
        <v>580.65</v>
      </c>
      <c r="R897" s="7">
        <v>45536</v>
      </c>
      <c r="S897" s="6">
        <v>867.44</v>
      </c>
      <c r="T897" s="6">
        <v>5.21</v>
      </c>
      <c r="U897" s="7">
        <v>45536</v>
      </c>
      <c r="V897" s="6">
        <v>116.65</v>
      </c>
      <c r="W897" s="6">
        <f ca="1">IFERROR(__xludf.DUMMYFUNCTION("IFERROR(GOOGLEFINANCE(B897,""pe""),V897)"),25.28)</f>
        <v>25.28</v>
      </c>
      <c r="X897" s="6">
        <v>11.57</v>
      </c>
      <c r="Y897" s="6">
        <v>1.49</v>
      </c>
      <c r="Z897" s="6">
        <v>1</v>
      </c>
      <c r="AA897" s="8">
        <v>45261</v>
      </c>
      <c r="AB897" s="4">
        <v>0.04</v>
      </c>
      <c r="AC897" s="6">
        <v>-5.54</v>
      </c>
      <c r="AD897" s="6">
        <v>-5.78</v>
      </c>
      <c r="AE897" s="1">
        <v>0</v>
      </c>
      <c r="AF897" s="1">
        <f ca="1">IFERROR(__xludf.DUMMYFUNCTION("IFERROR(GOOGLEFINANCE(TRIM(F897)&amp;"":"" &amp; TRIM(B897),""high52""),AE897)"),748)</f>
        <v>748</v>
      </c>
      <c r="AG897" s="1">
        <v>0</v>
      </c>
      <c r="AH897" s="1">
        <f ca="1">IFERROR(__xludf.DUMMYFUNCTION("IFERROR(GOOGLEFINANCE(TRIM(F897)&amp;"":"" &amp; TRIM(B897),""low52""),AE897)"),450.5)</f>
        <v>450.5</v>
      </c>
      <c r="AI897" s="1">
        <f ca="1">IFERROR(__xludf.DUMMYFUNCTION("IFERROR(GOOGLEFINANCE(B897,""eps""),0)"),21.76)</f>
        <v>21.76</v>
      </c>
      <c r="AJ897" s="1"/>
      <c r="AK897" s="1" t="s">
        <v>2750</v>
      </c>
      <c r="AL897" s="9">
        <f t="shared" si="147"/>
        <v>1</v>
      </c>
    </row>
    <row r="898" spans="1:38" ht="15" x14ac:dyDescent="0.25">
      <c r="A898" s="1" t="s">
        <v>2751</v>
      </c>
      <c r="B898" s="1" t="s">
        <v>2752</v>
      </c>
      <c r="C898" s="1" t="s">
        <v>57</v>
      </c>
      <c r="D898" s="1" t="s">
        <v>57</v>
      </c>
      <c r="E898" s="6">
        <v>142.91</v>
      </c>
      <c r="F898" s="1" t="s">
        <v>40</v>
      </c>
      <c r="G898" s="6">
        <f ca="1">IFERROR(__xludf.DUMMYFUNCTION("iferror(GOOGLEFINANCE(TRIM(F898)&amp;"":"" &amp; TRIM(B898), ""price""),0
)"),0)</f>
        <v>0</v>
      </c>
      <c r="H898" s="6">
        <v>171</v>
      </c>
      <c r="I898" s="6">
        <f t="shared" ca="1" si="0"/>
        <v>171</v>
      </c>
      <c r="J898" s="6">
        <f ca="1">IFERROR(__xludf.DUMMYFUNCTION("IFERROR(GOOGLEFINANCE(B898, ""volume""), 0)"),266428)</f>
        <v>266428</v>
      </c>
      <c r="K898" s="6">
        <v>-1.1599999999999999</v>
      </c>
      <c r="L898" s="6">
        <f ca="1">IFERROR(__xludf.DUMMYFUNCTION("IFERROR(GOOGLEFINANCE(B898,""changepct""),K898)"),0.72)</f>
        <v>0.72</v>
      </c>
      <c r="M898" s="6">
        <f ca="1">IFERROR(__xludf.DUMMYFUNCTION("IFERROR(GOOGLEFINANCE(B898,""change""),0)"),0.07)</f>
        <v>7.0000000000000007E-2</v>
      </c>
      <c r="N898" s="6">
        <v>1</v>
      </c>
      <c r="O898" s="7">
        <v>45536</v>
      </c>
      <c r="P898" s="6">
        <v>29.38</v>
      </c>
      <c r="Q898" s="6">
        <v>172.29</v>
      </c>
      <c r="R898" s="9"/>
      <c r="S898" s="9"/>
      <c r="T898" s="9"/>
      <c r="U898" s="7">
        <v>45352</v>
      </c>
      <c r="V898" s="6">
        <v>0</v>
      </c>
      <c r="W898" s="6">
        <f ca="1">IFERROR(__xludf.DUMMYFUNCTION("IFERROR(GOOGLEFINANCE(B898,""pe""),V898)"),31.75)</f>
        <v>31.75</v>
      </c>
      <c r="X898" s="9"/>
      <c r="Y898" s="6">
        <v>5.96</v>
      </c>
      <c r="Z898" s="6">
        <v>1</v>
      </c>
      <c r="AA898" s="8">
        <v>45352</v>
      </c>
      <c r="AB898" s="4">
        <v>14.73</v>
      </c>
      <c r="AC898" s="6">
        <v>-77.33</v>
      </c>
      <c r="AD898" s="6">
        <v>-11.97</v>
      </c>
      <c r="AE898" s="1">
        <v>0</v>
      </c>
      <c r="AF898" s="1">
        <f ca="1">IFERROR(__xludf.DUMMYFUNCTION("IFERROR(GOOGLEFINANCE(TRIM(F898)&amp;"":"" &amp; TRIM(B898),""high52""),AE898)"),0)</f>
        <v>0</v>
      </c>
      <c r="AG898" s="1">
        <v>0</v>
      </c>
      <c r="AH898" s="1">
        <f ca="1">IFERROR(__xludf.DUMMYFUNCTION("IFERROR(GOOGLEFINANCE(TRIM(F898)&amp;"":"" &amp; TRIM(B898),""low52""),AE898)"),0)</f>
        <v>0</v>
      </c>
      <c r="AI898" s="1">
        <f ca="1">IFERROR(__xludf.DUMMYFUNCTION("IFERROR(GOOGLEFINANCE(B898,""eps""),0)"),0.31)</f>
        <v>0.31</v>
      </c>
      <c r="AJ898" s="1"/>
      <c r="AK898" s="1" t="s">
        <v>2753</v>
      </c>
      <c r="AL898" s="9">
        <f t="shared" si="147"/>
        <v>1</v>
      </c>
    </row>
    <row r="899" spans="1:38" ht="15" x14ac:dyDescent="0.25">
      <c r="A899" s="1" t="s">
        <v>2754</v>
      </c>
      <c r="B899" s="1" t="s">
        <v>2755</v>
      </c>
      <c r="C899" s="1" t="s">
        <v>324</v>
      </c>
      <c r="D899" s="1" t="s">
        <v>324</v>
      </c>
      <c r="E899" s="6">
        <v>297.97000000000003</v>
      </c>
      <c r="F899" s="1" t="s">
        <v>53</v>
      </c>
      <c r="G899" s="6">
        <f ca="1">IFERROR(__xludf.DUMMYFUNCTION("iferror(GOOGLEFINANCE(TRIM(F899)&amp;"":"" &amp; TRIM(B899), ""price""),0
)"),0)</f>
        <v>0</v>
      </c>
      <c r="H899" s="6">
        <v>131.65</v>
      </c>
      <c r="I899" s="6">
        <f t="shared" ca="1" si="0"/>
        <v>131.65</v>
      </c>
      <c r="J899" s="6">
        <f ca="1">IFERROR(__xludf.DUMMYFUNCTION("IFERROR(GOOGLEFINANCE(B899, ""volume""), 0)"),0)</f>
        <v>0</v>
      </c>
      <c r="K899" s="6">
        <v>-0.6</v>
      </c>
      <c r="L899" s="6">
        <f ca="1">IFERROR(__xludf.DUMMYFUNCTION("IFERROR(GOOGLEFINANCE(B899,""changepct""),K899)"),-0.6)</f>
        <v>-0.6</v>
      </c>
      <c r="M899" s="6">
        <f ca="1">IFERROR(__xludf.DUMMYFUNCTION("IFERROR(GOOGLEFINANCE(B899,""change""),0)"),0)</f>
        <v>0</v>
      </c>
      <c r="N899" s="6">
        <v>1</v>
      </c>
      <c r="O899" s="7">
        <v>45536</v>
      </c>
      <c r="P899" s="6">
        <v>21.52</v>
      </c>
      <c r="Q899" s="6">
        <v>319.49</v>
      </c>
      <c r="R899" s="7">
        <v>45352</v>
      </c>
      <c r="S899" s="6">
        <v>133.80000000000001</v>
      </c>
      <c r="T899" s="6">
        <v>6.17</v>
      </c>
      <c r="U899" s="7">
        <v>45352</v>
      </c>
      <c r="V899" s="6">
        <v>48.32</v>
      </c>
      <c r="W899" s="6">
        <f ca="1">IFERROR(__xludf.DUMMYFUNCTION("IFERROR(GOOGLEFINANCE(B899,""pe""),V899)"),48.32)</f>
        <v>48.32</v>
      </c>
      <c r="X899" s="9"/>
      <c r="Y899" s="6">
        <v>5.16</v>
      </c>
      <c r="Z899" s="6">
        <v>1</v>
      </c>
      <c r="AA899" s="8">
        <v>45352</v>
      </c>
      <c r="AB899" s="4">
        <v>0.14000000000000001</v>
      </c>
      <c r="AC899" s="6">
        <v>15.51</v>
      </c>
      <c r="AD899" s="6">
        <v>19.18</v>
      </c>
      <c r="AE899" s="1">
        <v>0</v>
      </c>
      <c r="AF899" s="1">
        <f ca="1">IFERROR(__xludf.DUMMYFUNCTION("IFERROR(GOOGLEFINANCE(TRIM(F899)&amp;"":"" &amp; TRIM(B899),""high52""),AE899)"),0)</f>
        <v>0</v>
      </c>
      <c r="AG899" s="1">
        <v>0</v>
      </c>
      <c r="AH899" s="1">
        <f ca="1">IFERROR(__xludf.DUMMYFUNCTION("IFERROR(GOOGLEFINANCE(TRIM(F899)&amp;"":"" &amp; TRIM(B899),""low52""),AE899)"),0)</f>
        <v>0</v>
      </c>
      <c r="AI899" s="1">
        <f ca="1">IFERROR(__xludf.DUMMYFUNCTION("IFERROR(GOOGLEFINANCE(B899,""eps""),0)"),0)</f>
        <v>0</v>
      </c>
      <c r="AJ899" s="1"/>
      <c r="AK899" s="1" t="s">
        <v>2756</v>
      </c>
      <c r="AL899" s="9">
        <f t="shared" si="147"/>
        <v>1</v>
      </c>
    </row>
    <row r="900" spans="1:38" ht="15" x14ac:dyDescent="0.25">
      <c r="A900" s="1" t="s">
        <v>2757</v>
      </c>
      <c r="B900" s="1" t="s">
        <v>2758</v>
      </c>
      <c r="C900" s="1" t="s">
        <v>324</v>
      </c>
      <c r="D900" s="1" t="s">
        <v>324</v>
      </c>
      <c r="E900" s="6">
        <v>131.91999999999999</v>
      </c>
      <c r="F900" s="1" t="s">
        <v>53</v>
      </c>
      <c r="G900" s="6">
        <f ca="1">IFERROR(__xludf.DUMMYFUNCTION("iferror(GOOGLEFINANCE(TRIM(F900)&amp;"":"" &amp; TRIM(B900), ""price""),0
)"),0)</f>
        <v>0</v>
      </c>
      <c r="H900" s="6">
        <v>54</v>
      </c>
      <c r="I900" s="6">
        <f t="shared" ca="1" si="0"/>
        <v>54</v>
      </c>
      <c r="J900" s="6">
        <f ca="1">IFERROR(__xludf.DUMMYFUNCTION("IFERROR(GOOGLEFINANCE(B900, ""volume""), 0)"),0)</f>
        <v>0</v>
      </c>
      <c r="K900" s="6">
        <v>0</v>
      </c>
      <c r="L900" s="6">
        <f ca="1">IFERROR(__xludf.DUMMYFUNCTION("IFERROR(GOOGLEFINANCE(B900,""changepct""),K900)"),0)</f>
        <v>0</v>
      </c>
      <c r="M900" s="6">
        <f ca="1">IFERROR(__xludf.DUMMYFUNCTION("IFERROR(GOOGLEFINANCE(B900,""change""),0)"),0)</f>
        <v>0</v>
      </c>
      <c r="N900" s="6">
        <v>1</v>
      </c>
      <c r="O900" s="7">
        <v>45536</v>
      </c>
      <c r="P900" s="6">
        <v>15.22</v>
      </c>
      <c r="Q900" s="6">
        <v>147.13999999999999</v>
      </c>
      <c r="R900" s="7">
        <v>45352</v>
      </c>
      <c r="S900" s="6">
        <v>85.53</v>
      </c>
      <c r="T900" s="6">
        <v>8.74</v>
      </c>
      <c r="U900" s="7">
        <v>45352</v>
      </c>
      <c r="V900" s="6">
        <v>15.09</v>
      </c>
      <c r="W900" s="6">
        <f ca="1">IFERROR(__xludf.DUMMYFUNCTION("IFERROR(GOOGLEFINANCE(B900,""pe""),V900)"),15.09)</f>
        <v>15.09</v>
      </c>
      <c r="X900" s="9"/>
      <c r="Y900" s="6">
        <v>2.92</v>
      </c>
      <c r="Z900" s="6">
        <v>1</v>
      </c>
      <c r="AA900" s="8">
        <v>45352</v>
      </c>
      <c r="AB900" s="4">
        <v>1.84</v>
      </c>
      <c r="AC900" s="6">
        <v>0</v>
      </c>
      <c r="AD900" s="6">
        <v>58.78</v>
      </c>
      <c r="AE900" s="1">
        <v>0</v>
      </c>
      <c r="AF900" s="1">
        <f ca="1">IFERROR(__xludf.DUMMYFUNCTION("IFERROR(GOOGLEFINANCE(TRIM(F900)&amp;"":"" &amp; TRIM(B900),""high52""),AE900)"),0)</f>
        <v>0</v>
      </c>
      <c r="AG900" s="1">
        <v>0</v>
      </c>
      <c r="AH900" s="1">
        <f ca="1">IFERROR(__xludf.DUMMYFUNCTION("IFERROR(GOOGLEFINANCE(TRIM(F900)&amp;"":"" &amp; TRIM(B900),""low52""),AE900)"),0)</f>
        <v>0</v>
      </c>
      <c r="AI900" s="1">
        <f ca="1">IFERROR(__xludf.DUMMYFUNCTION("IFERROR(GOOGLEFINANCE(B900,""eps""),0)"),0)</f>
        <v>0</v>
      </c>
      <c r="AJ900" s="1"/>
      <c r="AK900" s="9"/>
      <c r="AL900" s="9">
        <f t="shared" si="147"/>
        <v>1</v>
      </c>
    </row>
    <row r="901" spans="1:38" ht="15" x14ac:dyDescent="0.25">
      <c r="A901" s="1" t="s">
        <v>2759</v>
      </c>
      <c r="B901" s="1" t="s">
        <v>2760</v>
      </c>
      <c r="C901" s="1" t="s">
        <v>324</v>
      </c>
      <c r="D901" s="1" t="s">
        <v>324</v>
      </c>
      <c r="E901" s="6">
        <v>37.69</v>
      </c>
      <c r="F901" s="1" t="s">
        <v>53</v>
      </c>
      <c r="G901" s="6">
        <f ca="1">IFERROR(__xludf.DUMMYFUNCTION("iferror(GOOGLEFINANCE(TRIM(F901)&amp;"":"" &amp; TRIM(B901), ""price""),0
)"),0)</f>
        <v>0</v>
      </c>
      <c r="H901" s="6">
        <v>20.38</v>
      </c>
      <c r="I901" s="6">
        <f t="shared" ca="1" si="0"/>
        <v>20.38</v>
      </c>
      <c r="J901" s="6">
        <f ca="1">IFERROR(__xludf.DUMMYFUNCTION("IFERROR(GOOGLEFINANCE(B901, ""volume""), 0)"),0)</f>
        <v>0</v>
      </c>
      <c r="K901" s="6">
        <v>1.95</v>
      </c>
      <c r="L901" s="6">
        <f ca="1">IFERROR(__xludf.DUMMYFUNCTION("IFERROR(GOOGLEFINANCE(B901,""changepct""),K901)"),1.95)</f>
        <v>1.95</v>
      </c>
      <c r="M901" s="6">
        <f ca="1">IFERROR(__xludf.DUMMYFUNCTION("IFERROR(GOOGLEFINANCE(B901,""change""),0)"),0)</f>
        <v>0</v>
      </c>
      <c r="N901" s="6">
        <v>1</v>
      </c>
      <c r="O901" s="7">
        <v>45536</v>
      </c>
      <c r="P901" s="6">
        <v>28.39</v>
      </c>
      <c r="Q901" s="6">
        <v>66.069999999999993</v>
      </c>
      <c r="R901" s="7">
        <v>45352</v>
      </c>
      <c r="S901" s="6">
        <v>24.14</v>
      </c>
      <c r="T901" s="6">
        <v>5</v>
      </c>
      <c r="U901" s="7">
        <v>45352</v>
      </c>
      <c r="V901" s="6">
        <v>7.53</v>
      </c>
      <c r="W901" s="6">
        <f ca="1">IFERROR(__xludf.DUMMYFUNCTION("IFERROR(GOOGLEFINANCE(B901,""pe""),V901)"),7.53)</f>
        <v>7.53</v>
      </c>
      <c r="X901" s="9"/>
      <c r="Y901" s="6">
        <v>1.01</v>
      </c>
      <c r="Z901" s="6">
        <v>1</v>
      </c>
      <c r="AA901" s="8">
        <v>45352</v>
      </c>
      <c r="AB901" s="4">
        <v>1.33</v>
      </c>
      <c r="AC901" s="6">
        <v>25.39</v>
      </c>
      <c r="AD901" s="6">
        <v>18.920000000000002</v>
      </c>
      <c r="AE901" s="1">
        <v>0</v>
      </c>
      <c r="AF901" s="1">
        <f ca="1">IFERROR(__xludf.DUMMYFUNCTION("IFERROR(GOOGLEFINANCE(TRIM(F901)&amp;"":"" &amp; TRIM(B901),""high52""),AE901)"),0)</f>
        <v>0</v>
      </c>
      <c r="AG901" s="1">
        <v>0</v>
      </c>
      <c r="AH901" s="1">
        <f ca="1">IFERROR(__xludf.DUMMYFUNCTION("IFERROR(GOOGLEFINANCE(TRIM(F901)&amp;"":"" &amp; TRIM(B901),""low52""),AE901)"),0)</f>
        <v>0</v>
      </c>
      <c r="AI901" s="1">
        <f ca="1">IFERROR(__xludf.DUMMYFUNCTION("IFERROR(GOOGLEFINANCE(B901,""eps""),0)"),0)</f>
        <v>0</v>
      </c>
      <c r="AJ901" s="1"/>
      <c r="AK901" s="1" t="s">
        <v>2761</v>
      </c>
      <c r="AL901" s="9">
        <f t="shared" si="147"/>
        <v>1</v>
      </c>
    </row>
    <row r="902" spans="1:38" ht="15" x14ac:dyDescent="0.25">
      <c r="A902" s="1" t="s">
        <v>2762</v>
      </c>
      <c r="B902" s="1" t="s">
        <v>2763</v>
      </c>
      <c r="C902" s="1" t="s">
        <v>398</v>
      </c>
      <c r="D902" s="1" t="s">
        <v>398</v>
      </c>
      <c r="E902" s="6">
        <v>1272.31</v>
      </c>
      <c r="F902" s="1" t="s">
        <v>40</v>
      </c>
      <c r="G902" s="6">
        <f ca="1">IFERROR(__xludf.DUMMYFUNCTION("iferror(GOOGLEFINANCE(TRIM(F902)&amp;"":"" &amp; TRIM(B902), ""price""),0
)"),240)</f>
        <v>240</v>
      </c>
      <c r="H902" s="6">
        <v>347.7</v>
      </c>
      <c r="I902" s="6">
        <f t="shared" ca="1" si="0"/>
        <v>240</v>
      </c>
      <c r="J902" s="6">
        <f ca="1">IFERROR(__xludf.DUMMYFUNCTION("IFERROR(GOOGLEFINANCE(B902, ""volume""), 0)"),89146)</f>
        <v>89146</v>
      </c>
      <c r="K902" s="6">
        <v>2.29</v>
      </c>
      <c r="L902" s="6">
        <f ca="1">IFERROR(__xludf.DUMMYFUNCTION("IFERROR(GOOGLEFINANCE(B902,""changepct""),K902)"),1.36)</f>
        <v>1.36</v>
      </c>
      <c r="M902" s="6">
        <f ca="1">IFERROR(__xludf.DUMMYFUNCTION("IFERROR(GOOGLEFINANCE(B902,""change""),0)"),3.23)</f>
        <v>3.23</v>
      </c>
      <c r="N902" s="6">
        <v>2</v>
      </c>
      <c r="O902" s="7">
        <v>45536</v>
      </c>
      <c r="P902" s="6">
        <v>49.17</v>
      </c>
      <c r="Q902" s="6">
        <v>1321.47</v>
      </c>
      <c r="R902" s="14"/>
      <c r="S902" s="9"/>
      <c r="T902" s="9"/>
      <c r="U902" s="7">
        <v>45352</v>
      </c>
      <c r="V902" s="6">
        <v>41.5</v>
      </c>
      <c r="W902" s="6">
        <f ca="1">IFERROR(__xludf.DUMMYFUNCTION("IFERROR(GOOGLEFINANCE(B902,""pe""),V902)"),21.14)</f>
        <v>21.14</v>
      </c>
      <c r="X902" s="12"/>
      <c r="Y902" s="6">
        <v>3.5</v>
      </c>
      <c r="Z902" s="6">
        <v>2</v>
      </c>
      <c r="AA902" s="8">
        <v>45352</v>
      </c>
      <c r="AB902" s="4">
        <v>0.18</v>
      </c>
      <c r="AC902" s="6">
        <v>18.52</v>
      </c>
      <c r="AD902" s="6">
        <v>20.63</v>
      </c>
      <c r="AE902" s="1">
        <v>0</v>
      </c>
      <c r="AF902" s="1">
        <f ca="1">IFERROR(__xludf.DUMMYFUNCTION("IFERROR(GOOGLEFINANCE(TRIM(F902)&amp;"":"" &amp; TRIM(B902),""high52""),AE902)"),418.2)</f>
        <v>418.2</v>
      </c>
      <c r="AG902" s="1">
        <v>0</v>
      </c>
      <c r="AH902" s="1">
        <f ca="1">IFERROR(__xludf.DUMMYFUNCTION("IFERROR(GOOGLEFINANCE(TRIM(F902)&amp;"":"" &amp; TRIM(B902),""low52""),AE902)"),231.85)</f>
        <v>231.85</v>
      </c>
      <c r="AI902" s="1">
        <f ca="1">IFERROR(__xludf.DUMMYFUNCTION("IFERROR(GOOGLEFINANCE(B902,""eps""),0)"),11.35)</f>
        <v>11.35</v>
      </c>
      <c r="AJ902" s="1"/>
      <c r="AK902" s="9"/>
      <c r="AL902" s="9">
        <f t="shared" si="147"/>
        <v>1</v>
      </c>
    </row>
    <row r="903" spans="1:38" ht="15" x14ac:dyDescent="0.25">
      <c r="A903" s="1" t="s">
        <v>2764</v>
      </c>
      <c r="B903" s="1" t="s">
        <v>2765</v>
      </c>
      <c r="C903" s="1" t="s">
        <v>778</v>
      </c>
      <c r="D903" s="1" t="s">
        <v>778</v>
      </c>
      <c r="E903" s="6">
        <v>363.61</v>
      </c>
      <c r="F903" s="1" t="s">
        <v>40</v>
      </c>
      <c r="G903" s="6">
        <f ca="1">IFERROR(__xludf.DUMMYFUNCTION("iferror(GOOGLEFINANCE(TRIM(F903)&amp;"":"" &amp; TRIM(B903), ""price""),0
)"),25.37)</f>
        <v>25.37</v>
      </c>
      <c r="H903" s="6">
        <v>62.91</v>
      </c>
      <c r="I903" s="6">
        <f t="shared" ca="1" si="0"/>
        <v>25.37</v>
      </c>
      <c r="J903" s="6">
        <f ca="1">IFERROR(__xludf.DUMMYFUNCTION("IFERROR(GOOGLEFINANCE(B903, ""volume""), 0)"),27901)</f>
        <v>27901</v>
      </c>
      <c r="K903" s="6">
        <v>1.99</v>
      </c>
      <c r="L903" s="6">
        <f ca="1">IFERROR(__xludf.DUMMYFUNCTION("IFERROR(GOOGLEFINANCE(B903,""changepct""),K903)"),-1.97)</f>
        <v>-1.97</v>
      </c>
      <c r="M903" s="6">
        <f ca="1">IFERROR(__xludf.DUMMYFUNCTION("IFERROR(GOOGLEFINANCE(B903,""change""),0)"),-0.51)</f>
        <v>-0.51</v>
      </c>
      <c r="N903" s="6">
        <v>2</v>
      </c>
      <c r="O903" s="7">
        <v>45536</v>
      </c>
      <c r="P903" s="6">
        <v>71.989999999999995</v>
      </c>
      <c r="Q903" s="6">
        <v>435.6</v>
      </c>
      <c r="R903" s="7">
        <v>45536</v>
      </c>
      <c r="S903" s="6">
        <v>444.85</v>
      </c>
      <c r="T903" s="6">
        <v>17.010000000000002</v>
      </c>
      <c r="U903" s="7">
        <v>45536</v>
      </c>
      <c r="V903" s="6">
        <v>21.38</v>
      </c>
      <c r="W903" s="6">
        <f ca="1">IFERROR(__xludf.DUMMYFUNCTION("IFERROR(GOOGLEFINANCE(B903,""pe""),V903)"),7.56)</f>
        <v>7.56</v>
      </c>
      <c r="X903" s="6">
        <v>1.07</v>
      </c>
      <c r="Y903" s="6">
        <v>26.24</v>
      </c>
      <c r="Z903" s="6">
        <v>2</v>
      </c>
      <c r="AA903" s="8">
        <v>45352</v>
      </c>
      <c r="AB903" s="4">
        <v>76.959999999999994</v>
      </c>
      <c r="AC903" s="6">
        <v>0</v>
      </c>
      <c r="AD903" s="6">
        <v>37.47</v>
      </c>
      <c r="AE903" s="1">
        <v>0</v>
      </c>
      <c r="AF903" s="1">
        <f ca="1">IFERROR(__xludf.DUMMYFUNCTION("IFERROR(GOOGLEFINANCE(TRIM(F903)&amp;"":"" &amp; TRIM(B903),""high52""),AE903)"),59.28)</f>
        <v>59.28</v>
      </c>
      <c r="AG903" s="1">
        <v>0</v>
      </c>
      <c r="AH903" s="1">
        <f ca="1">IFERROR(__xludf.DUMMYFUNCTION("IFERROR(GOOGLEFINANCE(TRIM(F903)&amp;"":"" &amp; TRIM(B903),""low52""),AE903)"),24)</f>
        <v>24</v>
      </c>
      <c r="AI903" s="1">
        <f ca="1">IFERROR(__xludf.DUMMYFUNCTION("IFERROR(GOOGLEFINANCE(B903,""eps""),0)"),3.36)</f>
        <v>3.36</v>
      </c>
      <c r="AJ903" s="1"/>
      <c r="AK903" s="1" t="s">
        <v>2766</v>
      </c>
      <c r="AL903" s="9">
        <f t="shared" si="147"/>
        <v>1</v>
      </c>
    </row>
    <row r="904" spans="1:38" ht="15" x14ac:dyDescent="0.25">
      <c r="A904" s="1" t="s">
        <v>2767</v>
      </c>
      <c r="B904" s="1" t="s">
        <v>2768</v>
      </c>
      <c r="C904" s="1" t="s">
        <v>359</v>
      </c>
      <c r="D904" s="1" t="s">
        <v>359</v>
      </c>
      <c r="E904" s="6">
        <v>167.67</v>
      </c>
      <c r="F904" s="1" t="s">
        <v>40</v>
      </c>
      <c r="G904" s="6">
        <f ca="1">IFERROR(__xludf.DUMMYFUNCTION("iferror(GOOGLEFINANCE(TRIM(F904)&amp;"":"" &amp; TRIM(B904), ""price""),0
)"),21.1)</f>
        <v>21.1</v>
      </c>
      <c r="H904" s="6">
        <v>44</v>
      </c>
      <c r="I904" s="6">
        <f t="shared" ca="1" si="0"/>
        <v>21.1</v>
      </c>
      <c r="J904" s="6">
        <f ca="1">IFERROR(__xludf.DUMMYFUNCTION("IFERROR(GOOGLEFINANCE(B904, ""volume""), 0)"),26781)</f>
        <v>26781</v>
      </c>
      <c r="K904" s="6">
        <v>0.55000000000000004</v>
      </c>
      <c r="L904" s="6">
        <f ca="1">IFERROR(__xludf.DUMMYFUNCTION("IFERROR(GOOGLEFINANCE(B904,""changepct""),K904)"),-3.65)</f>
        <v>-3.65</v>
      </c>
      <c r="M904" s="6">
        <f ca="1">IFERROR(__xludf.DUMMYFUNCTION("IFERROR(GOOGLEFINANCE(B904,""change""),0)"),-0.8)</f>
        <v>-0.8</v>
      </c>
      <c r="N904" s="6">
        <v>2</v>
      </c>
      <c r="O904" s="7">
        <v>45536</v>
      </c>
      <c r="P904" s="9"/>
      <c r="Q904" s="6">
        <v>159.41999999999999</v>
      </c>
      <c r="R904" s="7">
        <v>45536</v>
      </c>
      <c r="S904" s="6">
        <v>48.78</v>
      </c>
      <c r="T904" s="6">
        <v>5.66</v>
      </c>
      <c r="U904" s="7">
        <v>45536</v>
      </c>
      <c r="V904" s="6">
        <v>29.62</v>
      </c>
      <c r="W904" s="6">
        <f ca="1">IFERROR(__xludf.DUMMYFUNCTION("IFERROR(GOOGLEFINANCE(B904,""pe""),V904)"),10.32)</f>
        <v>10.32</v>
      </c>
      <c r="X904" s="12"/>
      <c r="Y904" s="6">
        <v>0.48</v>
      </c>
      <c r="Z904" s="6">
        <v>2</v>
      </c>
      <c r="AA904" s="8">
        <v>45352</v>
      </c>
      <c r="AB904" s="4">
        <v>0</v>
      </c>
      <c r="AC904" s="6">
        <v>2.5099999999999998</v>
      </c>
      <c r="AD904" s="6">
        <v>3.16</v>
      </c>
      <c r="AE904" s="1">
        <v>0</v>
      </c>
      <c r="AF904" s="1">
        <f ca="1">IFERROR(__xludf.DUMMYFUNCTION("IFERROR(GOOGLEFINANCE(TRIM(F904)&amp;"":"" &amp; TRIM(B904),""high52""),AE904)"),40.19)</f>
        <v>40.19</v>
      </c>
      <c r="AG904" s="1">
        <v>0</v>
      </c>
      <c r="AH904" s="1">
        <f ca="1">IFERROR(__xludf.DUMMYFUNCTION("IFERROR(GOOGLEFINANCE(TRIM(F904)&amp;"":"" &amp; TRIM(B904),""low52""),AE904)"),20.2)</f>
        <v>20.2</v>
      </c>
      <c r="AI904" s="1">
        <f ca="1">IFERROR(__xludf.DUMMYFUNCTION("IFERROR(GOOGLEFINANCE(B904,""eps""),0)"),2.04)</f>
        <v>2.04</v>
      </c>
      <c r="AJ904" s="1"/>
      <c r="AK904" s="1" t="s">
        <v>2769</v>
      </c>
      <c r="AL904" s="9">
        <f t="shared" si="147"/>
        <v>1</v>
      </c>
    </row>
    <row r="905" spans="1:38" ht="15" x14ac:dyDescent="0.25">
      <c r="A905" s="1" t="s">
        <v>2770</v>
      </c>
      <c r="B905" s="1" t="s">
        <v>2771</v>
      </c>
      <c r="C905" s="1" t="s">
        <v>324</v>
      </c>
      <c r="D905" s="1" t="s">
        <v>324</v>
      </c>
      <c r="E905" s="6">
        <v>6.13</v>
      </c>
      <c r="F905" s="1" t="s">
        <v>53</v>
      </c>
      <c r="G905" s="6">
        <f ca="1">IFERROR(__xludf.DUMMYFUNCTION("iferror(GOOGLEFINANCE(TRIM(F905)&amp;"":"" &amp; TRIM(B905), ""price""),0
)"),0)</f>
        <v>0</v>
      </c>
      <c r="H905" s="6">
        <v>10.199999999999999</v>
      </c>
      <c r="I905" s="6">
        <f t="shared" ca="1" si="0"/>
        <v>10.199999999999999</v>
      </c>
      <c r="J905" s="6">
        <f ca="1">IFERROR(__xludf.DUMMYFUNCTION("IFERROR(GOOGLEFINANCE(B905, ""volume""), 0)"),0)</f>
        <v>0</v>
      </c>
      <c r="K905" s="12"/>
      <c r="L905" s="6" t="str">
        <f ca="1">IFERROR(__xludf.DUMMYFUNCTION("IFERROR(GOOGLEFINANCE(B905,""changepct""),K905)"),"")</f>
        <v/>
      </c>
      <c r="M905" s="6">
        <f ca="1">IFERROR(__xludf.DUMMYFUNCTION("IFERROR(GOOGLEFINANCE(B905,""change""),0)"),0)</f>
        <v>0</v>
      </c>
      <c r="N905" s="6">
        <v>1</v>
      </c>
      <c r="O905" s="7">
        <v>45536</v>
      </c>
      <c r="P905" s="12"/>
      <c r="Q905" s="6">
        <v>6.13</v>
      </c>
      <c r="R905" s="7">
        <v>45352</v>
      </c>
      <c r="S905" s="6">
        <v>1.31</v>
      </c>
      <c r="T905" s="6">
        <v>0.04</v>
      </c>
      <c r="U905" s="7">
        <v>45352</v>
      </c>
      <c r="V905" s="6">
        <v>142.91</v>
      </c>
      <c r="W905" s="6">
        <f ca="1">IFERROR(__xludf.DUMMYFUNCTION("IFERROR(GOOGLEFINANCE(B905,""pe""),V905)"),142.91)</f>
        <v>142.91</v>
      </c>
      <c r="X905" s="12"/>
      <c r="Y905" s="6">
        <v>0.63</v>
      </c>
      <c r="Z905" s="6">
        <v>1</v>
      </c>
      <c r="AA905" s="8">
        <v>45352</v>
      </c>
      <c r="AB905" s="4">
        <v>0</v>
      </c>
      <c r="AC905" s="6">
        <v>0.44</v>
      </c>
      <c r="AD905" s="6">
        <v>0.69</v>
      </c>
      <c r="AE905" s="1">
        <v>0</v>
      </c>
      <c r="AF905" s="1">
        <f ca="1">IFERROR(__xludf.DUMMYFUNCTION("IFERROR(GOOGLEFINANCE(TRIM(F905)&amp;"":"" &amp; TRIM(B905),""high52""),AE905)"),0)</f>
        <v>0</v>
      </c>
      <c r="AG905" s="1">
        <v>0</v>
      </c>
      <c r="AH905" s="1">
        <f ca="1">IFERROR(__xludf.DUMMYFUNCTION("IFERROR(GOOGLEFINANCE(TRIM(F905)&amp;"":"" &amp; TRIM(B905),""low52""),AE905)"),0)</f>
        <v>0</v>
      </c>
      <c r="AI905" s="1">
        <f ca="1">IFERROR(__xludf.DUMMYFUNCTION("IFERROR(GOOGLEFINANCE(B905,""eps""),0)"),0)</f>
        <v>0</v>
      </c>
      <c r="AJ905" s="1"/>
      <c r="AK905" s="1" t="s">
        <v>2772</v>
      </c>
      <c r="AL905" s="9">
        <f t="shared" si="147"/>
        <v>1</v>
      </c>
    </row>
    <row r="906" spans="1:38" ht="15" x14ac:dyDescent="0.25">
      <c r="A906" s="1" t="s">
        <v>2773</v>
      </c>
      <c r="B906" s="1" t="s">
        <v>2774</v>
      </c>
      <c r="C906" s="1" t="s">
        <v>324</v>
      </c>
      <c r="D906" s="1" t="s">
        <v>324</v>
      </c>
      <c r="E906" s="6">
        <v>108.87</v>
      </c>
      <c r="F906" s="1" t="s">
        <v>53</v>
      </c>
      <c r="G906" s="6">
        <f ca="1">IFERROR(__xludf.DUMMYFUNCTION("iferror(GOOGLEFINANCE(TRIM(F906)&amp;"":"" &amp; TRIM(B906), ""price""),0
)"),0)</f>
        <v>0</v>
      </c>
      <c r="H906" s="6">
        <v>82.1</v>
      </c>
      <c r="I906" s="6">
        <f t="shared" ca="1" si="0"/>
        <v>82.1</v>
      </c>
      <c r="J906" s="6">
        <f ca="1">IFERROR(__xludf.DUMMYFUNCTION("IFERROR(GOOGLEFINANCE(B906, ""volume""), 0)"),0)</f>
        <v>0</v>
      </c>
      <c r="K906" s="9"/>
      <c r="L906" s="6" t="str">
        <f ca="1">IFERROR(__xludf.DUMMYFUNCTION("IFERROR(GOOGLEFINANCE(B906,""changepct""),K906)"),"")</f>
        <v/>
      </c>
      <c r="M906" s="6">
        <f ca="1">IFERROR(__xludf.DUMMYFUNCTION("IFERROR(GOOGLEFINANCE(B906,""change""),0)"),0)</f>
        <v>0</v>
      </c>
      <c r="N906" s="6">
        <v>1</v>
      </c>
      <c r="O906" s="7">
        <v>45536</v>
      </c>
      <c r="P906" s="6">
        <v>22.05</v>
      </c>
      <c r="Q906" s="6">
        <v>130.91999999999999</v>
      </c>
      <c r="R906" s="7">
        <v>45352</v>
      </c>
      <c r="S906" s="6">
        <v>26.47</v>
      </c>
      <c r="T906" s="6">
        <v>22.36</v>
      </c>
      <c r="U906" s="7">
        <v>45352</v>
      </c>
      <c r="V906" s="6">
        <v>4.5</v>
      </c>
      <c r="W906" s="6">
        <f ca="1">IFERROR(__xludf.DUMMYFUNCTION("IFERROR(GOOGLEFINANCE(B906,""pe""),V906)"),4.5)</f>
        <v>4.5</v>
      </c>
      <c r="X906" s="6">
        <v>0.24</v>
      </c>
      <c r="Y906" s="6">
        <v>6.83</v>
      </c>
      <c r="Z906" s="6">
        <v>1</v>
      </c>
      <c r="AA906" s="8">
        <v>45352</v>
      </c>
      <c r="AB906" s="4">
        <v>-2.59</v>
      </c>
      <c r="AC906" s="6">
        <v>0</v>
      </c>
      <c r="AD906" s="6">
        <v>339.51</v>
      </c>
      <c r="AE906" s="1">
        <v>0</v>
      </c>
      <c r="AF906" s="1">
        <f ca="1">IFERROR(__xludf.DUMMYFUNCTION("IFERROR(GOOGLEFINANCE(TRIM(F906)&amp;"":"" &amp; TRIM(B906),""high52""),AE906)"),0)</f>
        <v>0</v>
      </c>
      <c r="AG906" s="1">
        <v>0</v>
      </c>
      <c r="AH906" s="1">
        <f ca="1">IFERROR(__xludf.DUMMYFUNCTION("IFERROR(GOOGLEFINANCE(TRIM(F906)&amp;"":"" &amp; TRIM(B906),""low52""),AE906)"),0)</f>
        <v>0</v>
      </c>
      <c r="AI906" s="1">
        <f ca="1">IFERROR(__xludf.DUMMYFUNCTION("IFERROR(GOOGLEFINANCE(B906,""eps""),0)"),0)</f>
        <v>0</v>
      </c>
      <c r="AJ906" s="1"/>
      <c r="AK906" s="9"/>
      <c r="AL906" s="9">
        <f t="shared" si="147"/>
        <v>1</v>
      </c>
    </row>
    <row r="907" spans="1:38" ht="15" x14ac:dyDescent="0.25">
      <c r="A907" s="1" t="s">
        <v>2775</v>
      </c>
      <c r="B907" s="1" t="s">
        <v>2776</v>
      </c>
      <c r="C907" s="1" t="s">
        <v>1229</v>
      </c>
      <c r="D907" s="1" t="s">
        <v>1229</v>
      </c>
      <c r="E907" s="6">
        <v>184</v>
      </c>
      <c r="F907" s="1" t="s">
        <v>40</v>
      </c>
      <c r="G907" s="6">
        <f ca="1">IFERROR(__xludf.DUMMYFUNCTION("iferror(GOOGLEFINANCE(TRIM(F907)&amp;"":"" &amp; TRIM(B907), ""price""),0
)"),0)</f>
        <v>0</v>
      </c>
      <c r="H907" s="6">
        <v>286.25</v>
      </c>
      <c r="I907" s="6">
        <f t="shared" ca="1" si="0"/>
        <v>286.25</v>
      </c>
      <c r="J907" s="6">
        <f ca="1">IFERROR(__xludf.DUMMYFUNCTION("IFERROR(GOOGLEFINANCE(B907, ""volume""), 0)"),0)</f>
        <v>0</v>
      </c>
      <c r="K907" s="6">
        <v>-1.48</v>
      </c>
      <c r="L907" s="6">
        <f ca="1">IFERROR(__xludf.DUMMYFUNCTION("IFERROR(GOOGLEFINANCE(B907,""changepct""),K907)"),-1.48)</f>
        <v>-1.48</v>
      </c>
      <c r="M907" s="6">
        <f ca="1">IFERROR(__xludf.DUMMYFUNCTION("IFERROR(GOOGLEFINANCE(B907,""change""),0)"),0)</f>
        <v>0</v>
      </c>
      <c r="N907" s="6">
        <v>1</v>
      </c>
      <c r="O907" s="7">
        <v>45536</v>
      </c>
      <c r="P907" s="6">
        <v>25.26</v>
      </c>
      <c r="Q907" s="6">
        <v>209.26</v>
      </c>
      <c r="R907" s="7">
        <v>45352</v>
      </c>
      <c r="S907" s="6">
        <v>44.96</v>
      </c>
      <c r="T907" s="6">
        <v>9.5399999999999991</v>
      </c>
      <c r="U907" s="7">
        <v>45352</v>
      </c>
      <c r="V907" s="6">
        <v>19.28</v>
      </c>
      <c r="W907" s="6">
        <f ca="1">IFERROR(__xludf.DUMMYFUNCTION("IFERROR(GOOGLEFINANCE(B907,""pe""),V907)"),19.28)</f>
        <v>19.28</v>
      </c>
      <c r="X907" s="9"/>
      <c r="Y907" s="6">
        <v>4.33</v>
      </c>
      <c r="Z907" s="6">
        <v>2</v>
      </c>
      <c r="AA907" s="17">
        <v>45352</v>
      </c>
      <c r="AB907" s="18">
        <v>0.21</v>
      </c>
      <c r="AC907" s="6">
        <v>40.21</v>
      </c>
      <c r="AD907" s="6">
        <v>45.32</v>
      </c>
      <c r="AE907" s="1">
        <v>0</v>
      </c>
      <c r="AF907" s="1">
        <f ca="1">IFERROR(__xludf.DUMMYFUNCTION("IFERROR(GOOGLEFINANCE(TRIM(F907)&amp;"":"" &amp; TRIM(B907),""high52""),AE907)"),0)</f>
        <v>0</v>
      </c>
      <c r="AG907" s="1">
        <v>0</v>
      </c>
      <c r="AH907" s="1">
        <f ca="1">IFERROR(__xludf.DUMMYFUNCTION("IFERROR(GOOGLEFINANCE(TRIM(F907)&amp;"":"" &amp; TRIM(B907),""low52""),AE907)"),0)</f>
        <v>0</v>
      </c>
      <c r="AI907" s="1">
        <f ca="1">IFERROR(__xludf.DUMMYFUNCTION("IFERROR(GOOGLEFINANCE(B907,""eps""),0)"),0)</f>
        <v>0</v>
      </c>
      <c r="AJ907" s="1"/>
      <c r="AK907" s="1" t="s">
        <v>2777</v>
      </c>
      <c r="AL907" s="9">
        <f t="shared" si="147"/>
        <v>1</v>
      </c>
    </row>
    <row r="908" spans="1:38" ht="15" x14ac:dyDescent="0.25">
      <c r="A908" s="1" t="s">
        <v>2778</v>
      </c>
      <c r="B908" s="1" t="s">
        <v>2779</v>
      </c>
      <c r="C908" s="1" t="s">
        <v>57</v>
      </c>
      <c r="D908" s="1" t="s">
        <v>57</v>
      </c>
      <c r="E908" s="6">
        <v>712.39</v>
      </c>
      <c r="F908" s="1" t="s">
        <v>40</v>
      </c>
      <c r="G908" s="6">
        <f ca="1">IFERROR(__xludf.DUMMYFUNCTION("iferror(GOOGLEFINANCE(TRIM(F908)&amp;"":"" &amp; TRIM(B908), ""price""),0
)"),19.81)</f>
        <v>19.809999999999999</v>
      </c>
      <c r="H908" s="6">
        <v>31</v>
      </c>
      <c r="I908" s="6">
        <f t="shared" ca="1" si="0"/>
        <v>19.809999999999999</v>
      </c>
      <c r="J908" s="6">
        <f ca="1">IFERROR(__xludf.DUMMYFUNCTION("IFERROR(GOOGLEFINANCE(B908, ""volume""), 0)"),118334)</f>
        <v>118334</v>
      </c>
      <c r="K908" s="6">
        <v>1.61</v>
      </c>
      <c r="L908" s="6">
        <f ca="1">IFERROR(__xludf.DUMMYFUNCTION("IFERROR(GOOGLEFINANCE(B908,""changepct""),K908)"),-2.37)</f>
        <v>-2.37</v>
      </c>
      <c r="M908" s="6">
        <f ca="1">IFERROR(__xludf.DUMMYFUNCTION("IFERROR(GOOGLEFINANCE(B908,""change""),0)"),-0.48)</f>
        <v>-0.48</v>
      </c>
      <c r="N908" s="6">
        <v>2</v>
      </c>
      <c r="O908" s="7">
        <v>45536</v>
      </c>
      <c r="P908" s="6">
        <v>59.51</v>
      </c>
      <c r="Q908" s="6">
        <v>351.61</v>
      </c>
      <c r="R908" s="7">
        <v>45536</v>
      </c>
      <c r="S908" s="6">
        <v>434.95</v>
      </c>
      <c r="T908" s="6">
        <v>42.6</v>
      </c>
      <c r="U908" s="7">
        <v>45536</v>
      </c>
      <c r="V908" s="6">
        <v>24.62</v>
      </c>
      <c r="W908" s="6">
        <f ca="1">IFERROR(__xludf.DUMMYFUNCTION("IFERROR(GOOGLEFINANCE(B908,""pe""),V908)"),24.62)</f>
        <v>24.62</v>
      </c>
      <c r="X908" s="12"/>
      <c r="Y908" s="6">
        <v>2.84</v>
      </c>
      <c r="Z908" s="6">
        <v>2</v>
      </c>
      <c r="AA908" s="8">
        <v>45352</v>
      </c>
      <c r="AB908" s="4">
        <v>0.11</v>
      </c>
      <c r="AC908" s="6">
        <v>21.7</v>
      </c>
      <c r="AD908" s="6">
        <v>21.15</v>
      </c>
      <c r="AE908" s="1">
        <v>0</v>
      </c>
      <c r="AF908" s="1">
        <f ca="1">IFERROR(__xludf.DUMMYFUNCTION("IFERROR(GOOGLEFINANCE(TRIM(F908)&amp;"":"" &amp; TRIM(B908),""high52""),AE908)"),35.5)</f>
        <v>35.5</v>
      </c>
      <c r="AG908" s="1">
        <v>0</v>
      </c>
      <c r="AH908" s="1">
        <f ca="1">IFERROR(__xludf.DUMMYFUNCTION("IFERROR(GOOGLEFINANCE(TRIM(F908)&amp;"":"" &amp; TRIM(B908),""low52""),AE908)"),17.09)</f>
        <v>17.09</v>
      </c>
      <c r="AI908" s="1">
        <f ca="1">IFERROR(__xludf.DUMMYFUNCTION("IFERROR(GOOGLEFINANCE(B908,""eps""),0)"),-0.78)</f>
        <v>-0.78</v>
      </c>
      <c r="AJ908" s="1"/>
      <c r="AK908" s="1" t="s">
        <v>2780</v>
      </c>
      <c r="AL908" s="9">
        <f t="shared" si="147"/>
        <v>1</v>
      </c>
    </row>
    <row r="909" spans="1:38" ht="15" x14ac:dyDescent="0.25">
      <c r="A909" s="1" t="s">
        <v>2781</v>
      </c>
      <c r="B909" s="1" t="s">
        <v>2782</v>
      </c>
      <c r="C909" s="1" t="s">
        <v>154</v>
      </c>
      <c r="D909" s="1" t="s">
        <v>154</v>
      </c>
      <c r="E909" s="6">
        <v>128.68</v>
      </c>
      <c r="F909" s="1" t="s">
        <v>40</v>
      </c>
      <c r="G909" s="6">
        <f ca="1">IFERROR(__xludf.DUMMYFUNCTION("iferror(GOOGLEFINANCE(TRIM(F909)&amp;"":"" &amp; TRIM(B909), ""price""),0
)"),49.65)</f>
        <v>49.65</v>
      </c>
      <c r="H909" s="6">
        <v>64.7</v>
      </c>
      <c r="I909" s="6">
        <f t="shared" ca="1" si="0"/>
        <v>49.65</v>
      </c>
      <c r="J909" s="6">
        <f ca="1">IFERROR(__xludf.DUMMYFUNCTION("IFERROR(GOOGLEFINANCE(B909, ""volume""), 0)"),12656)</f>
        <v>12656</v>
      </c>
      <c r="K909" s="6">
        <v>-0.05</v>
      </c>
      <c r="L909" s="6">
        <f ca="1">IFERROR(__xludf.DUMMYFUNCTION("IFERROR(GOOGLEFINANCE(B909,""changepct""),K909)"),-1.66)</f>
        <v>-1.66</v>
      </c>
      <c r="M909" s="6">
        <f ca="1">IFERROR(__xludf.DUMMYFUNCTION("IFERROR(GOOGLEFINANCE(B909,""change""),0)"),-0.84)</f>
        <v>-0.84</v>
      </c>
      <c r="N909" s="6">
        <v>1</v>
      </c>
      <c r="O909" s="7">
        <v>45536</v>
      </c>
      <c r="P909" s="6">
        <v>63.06</v>
      </c>
      <c r="Q909" s="6">
        <v>191.74</v>
      </c>
      <c r="R909" s="7">
        <v>45536</v>
      </c>
      <c r="S909" s="6">
        <v>16.059999999999999</v>
      </c>
      <c r="T909" s="6">
        <v>-21.25</v>
      </c>
      <c r="U909" s="7">
        <v>45536</v>
      </c>
      <c r="V909" s="6">
        <v>0</v>
      </c>
      <c r="W909" s="6">
        <f ca="1">IFERROR(__xludf.DUMMYFUNCTION("IFERROR(GOOGLEFINANCE(B909,""pe""),V909)"),17.65)</f>
        <v>17.649999999999999</v>
      </c>
      <c r="X909" s="6">
        <v>0</v>
      </c>
      <c r="Y909" s="6">
        <v>-113.51</v>
      </c>
      <c r="Z909" s="6">
        <v>1</v>
      </c>
      <c r="AA909" s="8">
        <v>45352</v>
      </c>
      <c r="AB909" s="4">
        <v>3.21</v>
      </c>
      <c r="AC909" s="6">
        <v>-54.94</v>
      </c>
      <c r="AD909" s="6">
        <v>-10.41</v>
      </c>
      <c r="AE909" s="1">
        <v>0</v>
      </c>
      <c r="AF909" s="1">
        <f ca="1">IFERROR(__xludf.DUMMYFUNCTION("IFERROR(GOOGLEFINANCE(TRIM(F909)&amp;"":"" &amp; TRIM(B909),""high52""),AE909)"),59.75)</f>
        <v>59.75</v>
      </c>
      <c r="AG909" s="1">
        <v>0</v>
      </c>
      <c r="AH909" s="1">
        <f ca="1">IFERROR(__xludf.DUMMYFUNCTION("IFERROR(GOOGLEFINANCE(TRIM(F909)&amp;"":"" &amp; TRIM(B909),""low52""),AE909)"),31.46)</f>
        <v>31.46</v>
      </c>
      <c r="AI909" s="1">
        <f ca="1">IFERROR(__xludf.DUMMYFUNCTION("IFERROR(GOOGLEFINANCE(B909,""eps""),0)"),2.81)</f>
        <v>2.81</v>
      </c>
      <c r="AJ909" s="1"/>
      <c r="AK909" s="12"/>
      <c r="AL909" s="9">
        <f t="shared" si="147"/>
        <v>1</v>
      </c>
    </row>
    <row r="910" spans="1:38" ht="15" x14ac:dyDescent="0.25">
      <c r="A910" s="1" t="s">
        <v>2783</v>
      </c>
      <c r="B910" s="1" t="s">
        <v>2784</v>
      </c>
      <c r="C910" s="1" t="s">
        <v>778</v>
      </c>
      <c r="D910" s="1" t="s">
        <v>778</v>
      </c>
      <c r="E910" s="6">
        <v>72.040000000000006</v>
      </c>
      <c r="F910" s="1" t="s">
        <v>40</v>
      </c>
      <c r="G910" s="6">
        <f ca="1">IFERROR(__xludf.DUMMYFUNCTION("iferror(GOOGLEFINANCE(TRIM(F910)&amp;"":"" &amp; TRIM(B910), ""price""),0
)"),3.46)</f>
        <v>3.46</v>
      </c>
      <c r="H910" s="6">
        <v>6.23</v>
      </c>
      <c r="I910" s="6">
        <f t="shared" ca="1" si="0"/>
        <v>3.46</v>
      </c>
      <c r="J910" s="6">
        <f ca="1">IFERROR(__xludf.DUMMYFUNCTION("IFERROR(GOOGLEFINANCE(B910, ""volume""), 0)"),20934)</f>
        <v>20934</v>
      </c>
      <c r="K910" s="6">
        <v>1.8</v>
      </c>
      <c r="L910" s="6">
        <f ca="1">IFERROR(__xludf.DUMMYFUNCTION("IFERROR(GOOGLEFINANCE(B910,""changepct""),K910)"),-2.54)</f>
        <v>-2.54</v>
      </c>
      <c r="M910" s="6">
        <f ca="1">IFERROR(__xludf.DUMMYFUNCTION("IFERROR(GOOGLEFINANCE(B910,""change""),0)"),-0.09)</f>
        <v>-0.09</v>
      </c>
      <c r="N910" s="6">
        <v>1</v>
      </c>
      <c r="O910" s="7">
        <v>45536</v>
      </c>
      <c r="P910" s="6">
        <v>436.27</v>
      </c>
      <c r="Q910" s="6">
        <v>508.3</v>
      </c>
      <c r="R910" s="7">
        <v>45536</v>
      </c>
      <c r="S910" s="6">
        <v>11.64</v>
      </c>
      <c r="T910" s="6">
        <v>138.21</v>
      </c>
      <c r="U910" s="7">
        <v>45536</v>
      </c>
      <c r="V910" s="6">
        <v>0.52</v>
      </c>
      <c r="W910" s="6">
        <f ca="1">IFERROR(__xludf.DUMMYFUNCTION("IFERROR(GOOGLEFINANCE(B910,""pe""),V910)"),10.17)</f>
        <v>10.17</v>
      </c>
      <c r="X910" s="6">
        <v>0.03</v>
      </c>
      <c r="Y910" s="6">
        <v>-0.28999999999999998</v>
      </c>
      <c r="Z910" s="6">
        <v>1</v>
      </c>
      <c r="AA910" s="8">
        <v>45352</v>
      </c>
      <c r="AB910" s="4">
        <v>-1.69</v>
      </c>
      <c r="AC910" s="6">
        <v>0</v>
      </c>
      <c r="AD910" s="6">
        <v>161.97999999999999</v>
      </c>
      <c r="AE910" s="1">
        <v>0</v>
      </c>
      <c r="AF910" s="1">
        <f ca="1">IFERROR(__xludf.DUMMYFUNCTION("IFERROR(GOOGLEFINANCE(TRIM(F910)&amp;"":"" &amp; TRIM(B910),""high52""),AE910)"),6.91)</f>
        <v>6.91</v>
      </c>
      <c r="AG910" s="1">
        <v>0</v>
      </c>
      <c r="AH910" s="1">
        <f ca="1">IFERROR(__xludf.DUMMYFUNCTION("IFERROR(GOOGLEFINANCE(TRIM(F910)&amp;"":"" &amp; TRIM(B910),""low52""),AE910)"),3.07)</f>
        <v>3.07</v>
      </c>
      <c r="AI910" s="1">
        <f ca="1">IFERROR(__xludf.DUMMYFUNCTION("IFERROR(GOOGLEFINANCE(B910,""eps""),0)"),0.34)</f>
        <v>0.34</v>
      </c>
      <c r="AJ910" s="1"/>
      <c r="AK910" s="1" t="s">
        <v>2785</v>
      </c>
      <c r="AL910" s="9">
        <f t="shared" si="147"/>
        <v>1</v>
      </c>
    </row>
    <row r="911" spans="1:38" ht="15" x14ac:dyDescent="0.25">
      <c r="A911" s="1" t="s">
        <v>2786</v>
      </c>
      <c r="B911" s="1" t="s">
        <v>2787</v>
      </c>
      <c r="C911" s="1" t="s">
        <v>324</v>
      </c>
      <c r="D911" s="1" t="s">
        <v>324</v>
      </c>
      <c r="E911" s="6">
        <v>116.39</v>
      </c>
      <c r="F911" s="1" t="s">
        <v>53</v>
      </c>
      <c r="G911" s="6">
        <f ca="1">IFERROR(__xludf.DUMMYFUNCTION("iferror(GOOGLEFINANCE(TRIM(F911)&amp;"":"" &amp; TRIM(B911), ""price""),0
)"),0)</f>
        <v>0</v>
      </c>
      <c r="H911" s="6">
        <v>65.59</v>
      </c>
      <c r="I911" s="6">
        <f t="shared" ca="1" si="0"/>
        <v>65.59</v>
      </c>
      <c r="J911" s="6">
        <f ca="1">IFERROR(__xludf.DUMMYFUNCTION("IFERROR(GOOGLEFINANCE(B911, ""volume""), 0)"),0)</f>
        <v>0</v>
      </c>
      <c r="K911" s="6">
        <v>1.22</v>
      </c>
      <c r="L911" s="6">
        <f ca="1">IFERROR(__xludf.DUMMYFUNCTION("IFERROR(GOOGLEFINANCE(B911,""changepct""),K911)"),1.22)</f>
        <v>1.22</v>
      </c>
      <c r="M911" s="6">
        <f ca="1">IFERROR(__xludf.DUMMYFUNCTION("IFERROR(GOOGLEFINANCE(B911,""change""),0)"),0)</f>
        <v>0</v>
      </c>
      <c r="N911" s="6">
        <v>2</v>
      </c>
      <c r="O911" s="7">
        <v>45536</v>
      </c>
      <c r="P911" s="6">
        <v>18</v>
      </c>
      <c r="Q911" s="6">
        <v>134.38999999999999</v>
      </c>
      <c r="R911" s="7">
        <v>45352</v>
      </c>
      <c r="S911" s="6">
        <v>25.15</v>
      </c>
      <c r="T911" s="6">
        <v>0.23</v>
      </c>
      <c r="U911" s="7">
        <v>45352</v>
      </c>
      <c r="V911" s="6">
        <v>501.69</v>
      </c>
      <c r="W911" s="6">
        <f ca="1">IFERROR(__xludf.DUMMYFUNCTION("IFERROR(GOOGLEFINANCE(B911,""pe""),V911)"),501.69)</f>
        <v>501.69</v>
      </c>
      <c r="X911" s="9"/>
      <c r="Y911" s="6">
        <v>1.41</v>
      </c>
      <c r="Z911" s="6">
        <v>2</v>
      </c>
      <c r="AA911" s="17">
        <v>45352</v>
      </c>
      <c r="AB911" s="18">
        <v>0.9</v>
      </c>
      <c r="AC911" s="6">
        <v>1.21</v>
      </c>
      <c r="AD911" s="6">
        <v>6.19</v>
      </c>
      <c r="AE911" s="1">
        <v>0</v>
      </c>
      <c r="AF911" s="1">
        <f ca="1">IFERROR(__xludf.DUMMYFUNCTION("IFERROR(GOOGLEFINANCE(TRIM(F911)&amp;"":"" &amp; TRIM(B911),""high52""),AE911)"),0)</f>
        <v>0</v>
      </c>
      <c r="AG911" s="1">
        <v>0</v>
      </c>
      <c r="AH911" s="1">
        <f ca="1">IFERROR(__xludf.DUMMYFUNCTION("IFERROR(GOOGLEFINANCE(TRIM(F911)&amp;"":"" &amp; TRIM(B911),""low52""),AE911)"),0)</f>
        <v>0</v>
      </c>
      <c r="AI911" s="1">
        <f ca="1">IFERROR(__xludf.DUMMYFUNCTION("IFERROR(GOOGLEFINANCE(B911,""eps""),0)"),0)</f>
        <v>0</v>
      </c>
      <c r="AJ911" s="1"/>
      <c r="AK911" s="1" t="s">
        <v>2788</v>
      </c>
      <c r="AL911" s="9">
        <f t="shared" si="147"/>
        <v>1</v>
      </c>
    </row>
    <row r="912" spans="1:38" ht="15" x14ac:dyDescent="0.25">
      <c r="A912" s="1" t="s">
        <v>2789</v>
      </c>
      <c r="B912" s="1" t="s">
        <v>2790</v>
      </c>
      <c r="C912" s="1" t="s">
        <v>324</v>
      </c>
      <c r="D912" s="1" t="s">
        <v>324</v>
      </c>
      <c r="E912" s="6">
        <v>14.01</v>
      </c>
      <c r="F912" s="1" t="s">
        <v>53</v>
      </c>
      <c r="G912" s="6">
        <f ca="1">IFERROR(__xludf.DUMMYFUNCTION("iferror(GOOGLEFINANCE(TRIM(F912)&amp;"":"" &amp; TRIM(B912), ""price""),0
)"),0)</f>
        <v>0</v>
      </c>
      <c r="H912" s="6">
        <v>70.099999999999994</v>
      </c>
      <c r="I912" s="6">
        <f t="shared" ca="1" si="0"/>
        <v>70.099999999999994</v>
      </c>
      <c r="J912" s="6">
        <f ca="1">IFERROR(__xludf.DUMMYFUNCTION("IFERROR(GOOGLEFINANCE(B912, ""volume""), 0)"),0)</f>
        <v>0</v>
      </c>
      <c r="K912" s="9"/>
      <c r="L912" s="6" t="str">
        <f ca="1">IFERROR(__xludf.DUMMYFUNCTION("IFERROR(GOOGLEFINANCE(B912,""changepct""),K912)"),"")</f>
        <v/>
      </c>
      <c r="M912" s="6">
        <f ca="1">IFERROR(__xludf.DUMMYFUNCTION("IFERROR(GOOGLEFINANCE(B912,""change""),0)"),0)</f>
        <v>0</v>
      </c>
      <c r="N912" s="6">
        <v>1</v>
      </c>
      <c r="O912" s="7">
        <v>45536</v>
      </c>
      <c r="P912" s="6">
        <v>2.2799999999999998</v>
      </c>
      <c r="Q912" s="6">
        <v>16.29</v>
      </c>
      <c r="R912" s="7">
        <v>45352</v>
      </c>
      <c r="S912" s="6">
        <v>4.08</v>
      </c>
      <c r="T912" s="6">
        <v>0.02</v>
      </c>
      <c r="U912" s="7">
        <v>45352</v>
      </c>
      <c r="V912" s="6">
        <v>657.89</v>
      </c>
      <c r="W912" s="6">
        <f ca="1">IFERROR(__xludf.DUMMYFUNCTION("IFERROR(GOOGLEFINANCE(B912,""pe""),V912)"),657.89)</f>
        <v>657.89</v>
      </c>
      <c r="X912" s="12"/>
      <c r="Y912" s="6">
        <v>2.48</v>
      </c>
      <c r="Z912" s="6">
        <v>1</v>
      </c>
      <c r="AA912" s="8">
        <v>45352</v>
      </c>
      <c r="AB912" s="4">
        <v>0.35</v>
      </c>
      <c r="AC912" s="6">
        <v>0.5</v>
      </c>
      <c r="AD912" s="6">
        <v>0.48</v>
      </c>
      <c r="AE912" s="1">
        <v>0</v>
      </c>
      <c r="AF912" s="1">
        <f ca="1">IFERROR(__xludf.DUMMYFUNCTION("IFERROR(GOOGLEFINANCE(TRIM(F912)&amp;"":"" &amp; TRIM(B912),""high52""),AE912)"),0)</f>
        <v>0</v>
      </c>
      <c r="AG912" s="1">
        <v>0</v>
      </c>
      <c r="AH912" s="1">
        <f ca="1">IFERROR(__xludf.DUMMYFUNCTION("IFERROR(GOOGLEFINANCE(TRIM(F912)&amp;"":"" &amp; TRIM(B912),""low52""),AE912)"),0)</f>
        <v>0</v>
      </c>
      <c r="AI912" s="1">
        <f ca="1">IFERROR(__xludf.DUMMYFUNCTION("IFERROR(GOOGLEFINANCE(B912,""eps""),0)"),0)</f>
        <v>0</v>
      </c>
      <c r="AJ912" s="1"/>
      <c r="AK912" s="1" t="s">
        <v>2791</v>
      </c>
      <c r="AL912" s="9">
        <f t="shared" si="147"/>
        <v>1</v>
      </c>
    </row>
    <row r="913" spans="1:38" ht="15" x14ac:dyDescent="0.25">
      <c r="A913" s="1" t="s">
        <v>2792</v>
      </c>
      <c r="B913" s="1" t="s">
        <v>2793</v>
      </c>
      <c r="C913" s="1" t="s">
        <v>86</v>
      </c>
      <c r="D913" s="1" t="s">
        <v>86</v>
      </c>
      <c r="E913" s="6">
        <v>6597.22</v>
      </c>
      <c r="F913" s="1" t="s">
        <v>40</v>
      </c>
      <c r="G913" s="6">
        <f ca="1">IFERROR(__xludf.DUMMYFUNCTION("iferror(GOOGLEFINANCE(TRIM(F913)&amp;"":"" &amp; TRIM(B913), ""price""),0
)"),454.55)</f>
        <v>454.55</v>
      </c>
      <c r="H913" s="6">
        <v>453.5</v>
      </c>
      <c r="I913" s="6">
        <f t="shared" ca="1" si="0"/>
        <v>454.55</v>
      </c>
      <c r="J913" s="6">
        <f ca="1">IFERROR(__xludf.DUMMYFUNCTION("IFERROR(GOOGLEFINANCE(B913, ""volume""), 0)"),0)</f>
        <v>0</v>
      </c>
      <c r="K913" s="6">
        <v>0.44</v>
      </c>
      <c r="L913" s="6">
        <f ca="1">IFERROR(__xludf.DUMMYFUNCTION("IFERROR(GOOGLEFINANCE(B913,""changepct""),K913)"),0.17)</f>
        <v>0.17</v>
      </c>
      <c r="M913" s="6">
        <f ca="1">IFERROR(__xludf.DUMMYFUNCTION("IFERROR(GOOGLEFINANCE(B913,""change""),0)"),0.03)</f>
        <v>0.03</v>
      </c>
      <c r="N913" s="6">
        <v>2</v>
      </c>
      <c r="O913" s="7">
        <v>45536</v>
      </c>
      <c r="P913" s="6">
        <v>9037.98</v>
      </c>
      <c r="Q913" s="6">
        <v>14923.56</v>
      </c>
      <c r="R913" s="7">
        <v>45536</v>
      </c>
      <c r="S913" s="6">
        <v>11837.96</v>
      </c>
      <c r="T913" s="6">
        <v>521.15</v>
      </c>
      <c r="U913" s="7">
        <v>45536</v>
      </c>
      <c r="V913" s="6">
        <v>14.11</v>
      </c>
      <c r="W913" s="6">
        <f ca="1">IFERROR(__xludf.DUMMYFUNCTION("IFERROR(GOOGLEFINANCE(B913,""pe""),V913)"),14.11)</f>
        <v>14.11</v>
      </c>
      <c r="X913" s="6">
        <v>-0.4</v>
      </c>
      <c r="Y913" s="6">
        <v>1.43</v>
      </c>
      <c r="Z913" s="6">
        <v>2</v>
      </c>
      <c r="AA913" s="8">
        <v>45352</v>
      </c>
      <c r="AB913" s="4">
        <v>1.71</v>
      </c>
      <c r="AC913" s="6">
        <v>4.88</v>
      </c>
      <c r="AD913" s="6">
        <v>13.51</v>
      </c>
      <c r="AE913" s="1">
        <v>0</v>
      </c>
      <c r="AF913" s="1">
        <f ca="1">IFERROR(__xludf.DUMMYFUNCTION("IFERROR(GOOGLEFINANCE(TRIM(F913)&amp;"":"" &amp; TRIM(B913),""high52""),AE913)"),585)</f>
        <v>585</v>
      </c>
      <c r="AG913" s="1">
        <v>0</v>
      </c>
      <c r="AH913" s="1">
        <f ca="1">IFERROR(__xludf.DUMMYFUNCTION("IFERROR(GOOGLEFINANCE(TRIM(F913)&amp;"":"" &amp; TRIM(B913),""low52""),AE913)"),376)</f>
        <v>376</v>
      </c>
      <c r="AI913" s="1">
        <f ca="1">IFERROR(__xludf.DUMMYFUNCTION("IFERROR(GOOGLEFINANCE(B913,""eps""),0)"),0)</f>
        <v>0</v>
      </c>
      <c r="AJ913" s="1"/>
      <c r="AK913" s="1" t="s">
        <v>2794</v>
      </c>
      <c r="AL913" s="9">
        <f t="shared" si="147"/>
        <v>1</v>
      </c>
    </row>
    <row r="914" spans="1:38" ht="15" x14ac:dyDescent="0.25">
      <c r="A914" s="1" t="s">
        <v>2795</v>
      </c>
      <c r="B914" s="1" t="s">
        <v>2796</v>
      </c>
      <c r="C914" s="1" t="s">
        <v>1682</v>
      </c>
      <c r="D914" s="1" t="s">
        <v>1682</v>
      </c>
      <c r="E914" s="6">
        <v>1903.86</v>
      </c>
      <c r="F914" s="1" t="s">
        <v>40</v>
      </c>
      <c r="G914" s="6">
        <f ca="1">IFERROR(__xludf.DUMMYFUNCTION("iferror(GOOGLEFINANCE(TRIM(F914)&amp;"":"" &amp; TRIM(B914), ""price""),0
)"),3.34)</f>
        <v>3.34</v>
      </c>
      <c r="H914" s="6">
        <v>10.42</v>
      </c>
      <c r="I914" s="6">
        <f t="shared" ca="1" si="0"/>
        <v>3.34</v>
      </c>
      <c r="J914" s="6">
        <f ca="1">IFERROR(__xludf.DUMMYFUNCTION("IFERROR(GOOGLEFINANCE(B914, ""volume""), 0)"),3037171)</f>
        <v>3037171</v>
      </c>
      <c r="K914" s="6">
        <v>0.97</v>
      </c>
      <c r="L914" s="6">
        <f ca="1">IFERROR(__xludf.DUMMYFUNCTION("IFERROR(GOOGLEFINANCE(B914,""changepct""),K914)"),-3.19)</f>
        <v>-3.19</v>
      </c>
      <c r="M914" s="6">
        <f ca="1">IFERROR(__xludf.DUMMYFUNCTION("IFERROR(GOOGLEFINANCE(B914,""change""),0)"),-0.11)</f>
        <v>-0.11</v>
      </c>
      <c r="N914" s="6">
        <v>2</v>
      </c>
      <c r="O914" s="7">
        <v>45536</v>
      </c>
      <c r="P914" s="9"/>
      <c r="Q914" s="6">
        <v>1794.38</v>
      </c>
      <c r="R914" s="7">
        <v>45536</v>
      </c>
      <c r="S914" s="6">
        <v>1728.13</v>
      </c>
      <c r="T914" s="6">
        <v>-2031.46</v>
      </c>
      <c r="U914" s="7">
        <v>45536</v>
      </c>
      <c r="V914" s="6">
        <v>0</v>
      </c>
      <c r="W914" s="6">
        <f ca="1">IFERROR(__xludf.DUMMYFUNCTION("IFERROR(GOOGLEFINANCE(B914,""pe""),V914)"),0)</f>
        <v>0</v>
      </c>
      <c r="X914" s="6">
        <v>0</v>
      </c>
      <c r="Y914" s="6">
        <v>-0.68</v>
      </c>
      <c r="Z914" s="6">
        <v>2</v>
      </c>
      <c r="AA914" s="8">
        <v>45352</v>
      </c>
      <c r="AB914" s="4">
        <v>0</v>
      </c>
      <c r="AC914" s="6">
        <v>0</v>
      </c>
      <c r="AD914" s="6">
        <v>0</v>
      </c>
      <c r="AE914" s="1">
        <v>0</v>
      </c>
      <c r="AF914" s="1">
        <f ca="1">IFERROR(__xludf.DUMMYFUNCTION("IFERROR(GOOGLEFINANCE(TRIM(F914)&amp;"":"" &amp; TRIM(B914),""high52""),AE914)"),8.81)</f>
        <v>8.81</v>
      </c>
      <c r="AG914" s="1">
        <v>0</v>
      </c>
      <c r="AH914" s="1">
        <f ca="1">IFERROR(__xludf.DUMMYFUNCTION("IFERROR(GOOGLEFINANCE(TRIM(F914)&amp;"":"" &amp; TRIM(B914),""low52""),AE914)"),2.82)</f>
        <v>2.82</v>
      </c>
      <c r="AI914" s="1">
        <f ca="1">IFERROR(__xludf.DUMMYFUNCTION("IFERROR(GOOGLEFINANCE(B914,""eps""),0)"),-3.57)</f>
        <v>-3.57</v>
      </c>
      <c r="AJ914" s="1"/>
      <c r="AK914" s="1" t="s">
        <v>2797</v>
      </c>
      <c r="AL914" s="9">
        <f t="shared" si="147"/>
        <v>1</v>
      </c>
    </row>
    <row r="915" spans="1:38" ht="15" x14ac:dyDescent="0.25">
      <c r="A915" s="1" t="s">
        <v>2798</v>
      </c>
      <c r="B915" s="1" t="s">
        <v>2799</v>
      </c>
      <c r="C915" s="1" t="s">
        <v>106</v>
      </c>
      <c r="D915" s="1" t="s">
        <v>106</v>
      </c>
      <c r="E915" s="6">
        <v>4494.97</v>
      </c>
      <c r="F915" s="1" t="s">
        <v>40</v>
      </c>
      <c r="G915" s="6">
        <f ca="1">IFERROR(__xludf.DUMMYFUNCTION("iferror(GOOGLEFINANCE(TRIM(F915)&amp;"":"" &amp; TRIM(B915), ""price""),0
)"),217.25)</f>
        <v>217.25</v>
      </c>
      <c r="H915" s="6">
        <v>290.05</v>
      </c>
      <c r="I915" s="6">
        <f t="shared" ca="1" si="0"/>
        <v>217.25</v>
      </c>
      <c r="J915" s="6">
        <f ca="1">IFERROR(__xludf.DUMMYFUNCTION("IFERROR(GOOGLEFINANCE(B915, ""volume""), 0)"),146234)</f>
        <v>146234</v>
      </c>
      <c r="K915" s="6">
        <v>1.1000000000000001</v>
      </c>
      <c r="L915" s="6">
        <f ca="1">IFERROR(__xludf.DUMMYFUNCTION("IFERROR(GOOGLEFINANCE(B915,""changepct""),K915)"),1.15)</f>
        <v>1.1499999999999999</v>
      </c>
      <c r="M915" s="6">
        <f ca="1">IFERROR(__xludf.DUMMYFUNCTION("IFERROR(GOOGLEFINANCE(B915,""change""),0)"),2.47)</f>
        <v>2.4700000000000002</v>
      </c>
      <c r="N915" s="6">
        <v>2</v>
      </c>
      <c r="O915" s="7">
        <v>45536</v>
      </c>
      <c r="P915" s="6">
        <v>2164.89</v>
      </c>
      <c r="Q915" s="6">
        <v>6268.34</v>
      </c>
      <c r="R915" s="7">
        <v>45536</v>
      </c>
      <c r="S915" s="6">
        <v>2618.62</v>
      </c>
      <c r="T915" s="6">
        <v>-174.03</v>
      </c>
      <c r="U915" s="7">
        <v>45536</v>
      </c>
      <c r="V915" s="6">
        <v>0</v>
      </c>
      <c r="W915" s="6">
        <f ca="1">IFERROR(__xludf.DUMMYFUNCTION("IFERROR(GOOGLEFINANCE(B915,""pe""),V915)"),24.96)</f>
        <v>24.96</v>
      </c>
      <c r="X915" s="9"/>
      <c r="Y915" s="6">
        <v>0.78</v>
      </c>
      <c r="Z915" s="6">
        <v>2</v>
      </c>
      <c r="AA915" s="8">
        <v>45352</v>
      </c>
      <c r="AB915" s="4">
        <v>0.35</v>
      </c>
      <c r="AC915" s="6">
        <v>-2.68</v>
      </c>
      <c r="AD915" s="6">
        <v>-0.03</v>
      </c>
      <c r="AE915" s="1">
        <v>0</v>
      </c>
      <c r="AF915" s="1">
        <f ca="1">IFERROR(__xludf.DUMMYFUNCTION("IFERROR(GOOGLEFINANCE(TRIM(F915)&amp;"":"" &amp; TRIM(B915),""high52""),AE915)"),321.95)</f>
        <v>321.95</v>
      </c>
      <c r="AG915" s="1">
        <v>0</v>
      </c>
      <c r="AH915" s="1">
        <f ca="1">IFERROR(__xludf.DUMMYFUNCTION("IFERROR(GOOGLEFINANCE(TRIM(F915)&amp;"":"" &amp; TRIM(B915),""low52""),AE915)"),178)</f>
        <v>178</v>
      </c>
      <c r="AI915" s="1">
        <f ca="1">IFERROR(__xludf.DUMMYFUNCTION("IFERROR(GOOGLEFINANCE(B915,""eps""),0)"),8.7)</f>
        <v>8.6999999999999993</v>
      </c>
      <c r="AJ915" s="1"/>
      <c r="AK915" s="1" t="s">
        <v>2800</v>
      </c>
      <c r="AL915" s="9">
        <f t="shared" si="147"/>
        <v>1</v>
      </c>
    </row>
    <row r="916" spans="1:38" ht="15" x14ac:dyDescent="0.25">
      <c r="A916" s="1" t="s">
        <v>2801</v>
      </c>
      <c r="B916" s="1" t="s">
        <v>2802</v>
      </c>
      <c r="C916" s="1" t="s">
        <v>112</v>
      </c>
      <c r="D916" s="1" t="s">
        <v>112</v>
      </c>
      <c r="E916" s="6">
        <v>1906.23</v>
      </c>
      <c r="F916" s="1" t="s">
        <v>40</v>
      </c>
      <c r="G916" s="6">
        <f ca="1">IFERROR(__xludf.DUMMYFUNCTION("iferror(GOOGLEFINANCE(TRIM(F916)&amp;"":"" &amp; TRIM(B916), ""price""),0
)"),596.4)</f>
        <v>596.4</v>
      </c>
      <c r="H916" s="6">
        <v>622.85</v>
      </c>
      <c r="I916" s="6">
        <f t="shared" ca="1" si="0"/>
        <v>596.4</v>
      </c>
      <c r="J916" s="6">
        <f ca="1">IFERROR(__xludf.DUMMYFUNCTION("IFERROR(GOOGLEFINANCE(B916, ""volume""), 0)"),3665)</f>
        <v>3665</v>
      </c>
      <c r="K916" s="6">
        <v>0.59</v>
      </c>
      <c r="L916" s="6">
        <f ca="1">IFERROR(__xludf.DUMMYFUNCTION("IFERROR(GOOGLEFINANCE(B916,""changepct""),K916)"),-0.12)</f>
        <v>-0.12</v>
      </c>
      <c r="M916" s="6">
        <f ca="1">IFERROR(__xludf.DUMMYFUNCTION("IFERROR(GOOGLEFINANCE(B916,""change""),0)"),-0.7)</f>
        <v>-0.7</v>
      </c>
      <c r="N916" s="6">
        <v>1</v>
      </c>
      <c r="O916" s="7">
        <v>45536</v>
      </c>
      <c r="P916" s="6">
        <v>0.28000000000000003</v>
      </c>
      <c r="Q916" s="6">
        <v>1620.86</v>
      </c>
      <c r="R916" s="7">
        <v>45536</v>
      </c>
      <c r="S916" s="6">
        <v>236.3</v>
      </c>
      <c r="T916" s="6">
        <v>32.380000000000003</v>
      </c>
      <c r="U916" s="7">
        <v>45536</v>
      </c>
      <c r="V916" s="6">
        <v>58.87</v>
      </c>
      <c r="W916" s="6">
        <f ca="1">IFERROR(__xludf.DUMMYFUNCTION("IFERROR(GOOGLEFINANCE(B916,""pe""),V916)"),60.32)</f>
        <v>60.32</v>
      </c>
      <c r="X916" s="12"/>
      <c r="Y916" s="6">
        <v>3.25</v>
      </c>
      <c r="Z916" s="6">
        <v>1</v>
      </c>
      <c r="AA916" s="8">
        <v>45352</v>
      </c>
      <c r="AB916" s="4">
        <v>0</v>
      </c>
      <c r="AC916" s="6">
        <v>7.02</v>
      </c>
      <c r="AD916" s="6">
        <v>9.56</v>
      </c>
      <c r="AE916" s="1">
        <v>0</v>
      </c>
      <c r="AF916" s="1">
        <f ca="1">IFERROR(__xludf.DUMMYFUNCTION("IFERROR(GOOGLEFINANCE(TRIM(F916)&amp;"":"" &amp; TRIM(B916),""high52""),AE916)"),700)</f>
        <v>700</v>
      </c>
      <c r="AG916" s="1">
        <v>0</v>
      </c>
      <c r="AH916" s="1">
        <f ca="1">IFERROR(__xludf.DUMMYFUNCTION("IFERROR(GOOGLEFINANCE(TRIM(F916)&amp;"":"" &amp; TRIM(B916),""low52""),AE916)"),410.1)</f>
        <v>410.1</v>
      </c>
      <c r="AI916" s="1">
        <f ca="1">IFERROR(__xludf.DUMMYFUNCTION("IFERROR(GOOGLEFINANCE(B916,""eps""),0)"),9.89)</f>
        <v>9.89</v>
      </c>
      <c r="AJ916" s="1"/>
      <c r="AK916" s="1" t="s">
        <v>2803</v>
      </c>
      <c r="AL916" s="9">
        <f t="shared" si="147"/>
        <v>1</v>
      </c>
    </row>
    <row r="917" spans="1:38" ht="15" x14ac:dyDescent="0.25">
      <c r="A917" s="1" t="s">
        <v>2804</v>
      </c>
      <c r="B917" s="1" t="s">
        <v>2805</v>
      </c>
      <c r="C917" s="1" t="s">
        <v>106</v>
      </c>
      <c r="D917" s="1" t="s">
        <v>106</v>
      </c>
      <c r="E917" s="6">
        <v>163089.29999999999</v>
      </c>
      <c r="F917" s="1" t="s">
        <v>40</v>
      </c>
      <c r="G917" s="6">
        <f ca="1">IFERROR(__xludf.DUMMYFUNCTION("iferror(GOOGLEFINANCE(TRIM(F917)&amp;"":"" &amp; TRIM(B917), ""price""),0
)"),5968.5)</f>
        <v>5968.5</v>
      </c>
      <c r="H917" s="6">
        <v>6130.35</v>
      </c>
      <c r="I917" s="6">
        <f t="shared" ca="1" si="0"/>
        <v>5968.5</v>
      </c>
      <c r="J917" s="6">
        <f ca="1">IFERROR(__xludf.DUMMYFUNCTION("IFERROR(GOOGLEFINANCE(B917, ""volume""), 0)"),400656)</f>
        <v>400656</v>
      </c>
      <c r="K917" s="6">
        <v>-0.23</v>
      </c>
      <c r="L917" s="6">
        <f ca="1">IFERROR(__xludf.DUMMYFUNCTION("IFERROR(GOOGLEFINANCE(B917,""changepct""),K917)"),-1.44)</f>
        <v>-1.44</v>
      </c>
      <c r="M917" s="6">
        <f ca="1">IFERROR(__xludf.DUMMYFUNCTION("IFERROR(GOOGLEFINANCE(B917,""change""),0)"),-87.5)</f>
        <v>-87.5</v>
      </c>
      <c r="N917" s="6">
        <v>2</v>
      </c>
      <c r="O917" s="7">
        <v>45536</v>
      </c>
      <c r="P917" s="6">
        <v>5</v>
      </c>
      <c r="Q917" s="6">
        <v>159492.29999999999</v>
      </c>
      <c r="R917" s="7">
        <v>45536</v>
      </c>
      <c r="S917" s="6">
        <v>8614</v>
      </c>
      <c r="T917" s="6">
        <v>1836</v>
      </c>
      <c r="U917" s="7">
        <v>45536</v>
      </c>
      <c r="V917" s="6">
        <v>88.83</v>
      </c>
      <c r="W917" s="6">
        <f ca="1">IFERROR(__xludf.DUMMYFUNCTION("IFERROR(GOOGLEFINANCE(B917,""pe""),V917)"),63.72)</f>
        <v>63.72</v>
      </c>
      <c r="X917" s="6">
        <v>26.05</v>
      </c>
      <c r="Y917" s="6">
        <v>11.89</v>
      </c>
      <c r="Z917" s="6">
        <v>2</v>
      </c>
      <c r="AA917" s="8">
        <v>45352</v>
      </c>
      <c r="AB917" s="4">
        <v>0</v>
      </c>
      <c r="AC917" s="6">
        <v>12.15</v>
      </c>
      <c r="AD917" s="6">
        <v>16.46</v>
      </c>
      <c r="AE917" s="1">
        <v>0</v>
      </c>
      <c r="AF917" s="1">
        <f ca="1">IFERROR(__xludf.DUMMYFUNCTION("IFERROR(GOOGLEFINANCE(TRIM(F917)&amp;"":"" &amp; TRIM(B917),""high52""),AE917)"),7071.5)</f>
        <v>7071.5</v>
      </c>
      <c r="AG917" s="1">
        <v>0</v>
      </c>
      <c r="AH917" s="1">
        <f ca="1">IFERROR(__xludf.DUMMYFUNCTION("IFERROR(GOOGLEFINANCE(TRIM(F917)&amp;"":"" &amp; TRIM(B917),""low52""),AE917)"),4955)</f>
        <v>4955</v>
      </c>
      <c r="AI917" s="1">
        <f ca="1">IFERROR(__xludf.DUMMYFUNCTION("IFERROR(GOOGLEFINANCE(B917,""eps""),0)"),93.67)</f>
        <v>93.67</v>
      </c>
      <c r="AJ917" s="1"/>
      <c r="AK917" s="1" t="s">
        <v>2806</v>
      </c>
      <c r="AL917" s="9">
        <f t="shared" si="147"/>
        <v>1</v>
      </c>
    </row>
    <row r="918" spans="1:38" ht="15" x14ac:dyDescent="0.25">
      <c r="A918" s="1" t="s">
        <v>2807</v>
      </c>
      <c r="B918" s="1" t="s">
        <v>2808</v>
      </c>
      <c r="C918" s="1" t="s">
        <v>324</v>
      </c>
      <c r="D918" s="1" t="s">
        <v>324</v>
      </c>
      <c r="E918" s="6">
        <v>100.22</v>
      </c>
      <c r="F918" s="1" t="s">
        <v>53</v>
      </c>
      <c r="G918" s="6">
        <f ca="1">IFERROR(__xludf.DUMMYFUNCTION("iferror(GOOGLEFINANCE(TRIM(F918)&amp;"":"" &amp; TRIM(B918), ""price""),0
)"),0)</f>
        <v>0</v>
      </c>
      <c r="H918" s="6">
        <v>35.6</v>
      </c>
      <c r="I918" s="6">
        <f t="shared" ca="1" si="0"/>
        <v>35.6</v>
      </c>
      <c r="J918" s="6">
        <f ca="1">IFERROR(__xludf.DUMMYFUNCTION("IFERROR(GOOGLEFINANCE(B918, ""volume""), 0)"),0)</f>
        <v>0</v>
      </c>
      <c r="K918" s="6">
        <v>-0.73</v>
      </c>
      <c r="L918" s="6">
        <f ca="1">IFERROR(__xludf.DUMMYFUNCTION("IFERROR(GOOGLEFINANCE(B918,""changepct""),K918)"),-0.73)</f>
        <v>-0.73</v>
      </c>
      <c r="M918" s="6">
        <f ca="1">IFERROR(__xludf.DUMMYFUNCTION("IFERROR(GOOGLEFINANCE(B918,""change""),0)"),0)</f>
        <v>0</v>
      </c>
      <c r="N918" s="6">
        <v>2</v>
      </c>
      <c r="O918" s="7">
        <v>45536</v>
      </c>
      <c r="P918" s="6">
        <v>10.49</v>
      </c>
      <c r="Q918" s="6">
        <v>110.24</v>
      </c>
      <c r="R918" s="7">
        <v>45536</v>
      </c>
      <c r="S918" s="6">
        <v>55.24</v>
      </c>
      <c r="T918" s="6">
        <v>1.27</v>
      </c>
      <c r="U918" s="7">
        <v>45536</v>
      </c>
      <c r="V918" s="6">
        <v>73.59</v>
      </c>
      <c r="W918" s="6">
        <f ca="1">IFERROR(__xludf.DUMMYFUNCTION("IFERROR(GOOGLEFINANCE(B918,""pe""),V918)"),73.59)</f>
        <v>73.59</v>
      </c>
      <c r="X918" s="12"/>
      <c r="Y918" s="6">
        <v>6.61</v>
      </c>
      <c r="Z918" s="6">
        <v>2</v>
      </c>
      <c r="AA918" s="8">
        <v>45352</v>
      </c>
      <c r="AB918" s="4">
        <v>0.62</v>
      </c>
      <c r="AC918" s="6">
        <v>8.9499999999999993</v>
      </c>
      <c r="AD918" s="6">
        <v>11.44</v>
      </c>
      <c r="AE918" s="1">
        <v>0</v>
      </c>
      <c r="AF918" s="1">
        <f ca="1">IFERROR(__xludf.DUMMYFUNCTION("IFERROR(GOOGLEFINANCE(TRIM(F918)&amp;"":"" &amp; TRIM(B918),""high52""),AE918)"),0)</f>
        <v>0</v>
      </c>
      <c r="AG918" s="1">
        <v>0</v>
      </c>
      <c r="AH918" s="1">
        <f ca="1">IFERROR(__xludf.DUMMYFUNCTION("IFERROR(GOOGLEFINANCE(TRIM(F918)&amp;"":"" &amp; TRIM(B918),""low52""),AE918)"),0)</f>
        <v>0</v>
      </c>
      <c r="AI918" s="1">
        <f ca="1">IFERROR(__xludf.DUMMYFUNCTION("IFERROR(GOOGLEFINANCE(B918,""eps""),0)"),0)</f>
        <v>0</v>
      </c>
      <c r="AJ918" s="1"/>
      <c r="AK918" s="1" t="s">
        <v>2809</v>
      </c>
      <c r="AL918" s="9">
        <f t="shared" si="147"/>
        <v>1</v>
      </c>
    </row>
    <row r="919" spans="1:38" ht="15" x14ac:dyDescent="0.25">
      <c r="A919" s="1" t="s">
        <v>2810</v>
      </c>
      <c r="B919" s="1" t="s">
        <v>2811</v>
      </c>
      <c r="C919" s="1" t="s">
        <v>324</v>
      </c>
      <c r="D919" s="1" t="s">
        <v>324</v>
      </c>
      <c r="E919" s="6">
        <v>9.7899999999999991</v>
      </c>
      <c r="F919" s="1" t="s">
        <v>53</v>
      </c>
      <c r="G919" s="6">
        <f ca="1">IFERROR(__xludf.DUMMYFUNCTION("iferror(GOOGLEFINANCE(TRIM(F919)&amp;"":"" &amp; TRIM(B919), ""price""),0
)"),0)</f>
        <v>0</v>
      </c>
      <c r="H919" s="6">
        <v>10.06</v>
      </c>
      <c r="I919" s="6">
        <f t="shared" ca="1" si="0"/>
        <v>10.06</v>
      </c>
      <c r="J919" s="6">
        <f ca="1">IFERROR(__xludf.DUMMYFUNCTION("IFERROR(GOOGLEFINANCE(B919, ""volume""), 0)"),0)</f>
        <v>0</v>
      </c>
      <c r="K919" s="6">
        <v>-4.91</v>
      </c>
      <c r="L919" s="6">
        <f ca="1">IFERROR(__xludf.DUMMYFUNCTION("IFERROR(GOOGLEFINANCE(B919,""changepct""),K919)"),-4.91)</f>
        <v>-4.91</v>
      </c>
      <c r="M919" s="6">
        <f ca="1">IFERROR(__xludf.DUMMYFUNCTION("IFERROR(GOOGLEFINANCE(B919,""change""),0)"),0)</f>
        <v>0</v>
      </c>
      <c r="N919" s="6">
        <v>1</v>
      </c>
      <c r="O919" s="7">
        <v>45536</v>
      </c>
      <c r="P919" s="6">
        <v>1.54</v>
      </c>
      <c r="Q919" s="6">
        <v>11.34</v>
      </c>
      <c r="R919" s="7">
        <v>45536</v>
      </c>
      <c r="S919" s="6">
        <v>0</v>
      </c>
      <c r="T919" s="6">
        <v>-1.86</v>
      </c>
      <c r="U919" s="7">
        <v>45536</v>
      </c>
      <c r="V919" s="6">
        <v>0</v>
      </c>
      <c r="W919" s="6">
        <f ca="1">IFERROR(__xludf.DUMMYFUNCTION("IFERROR(GOOGLEFINANCE(B919,""pe""),V919)"),0)</f>
        <v>0</v>
      </c>
      <c r="X919" s="6">
        <v>0</v>
      </c>
      <c r="Y919" s="6">
        <v>3</v>
      </c>
      <c r="Z919" s="6">
        <v>1</v>
      </c>
      <c r="AA919" s="8">
        <v>45352</v>
      </c>
      <c r="AB919" s="4">
        <v>0.31</v>
      </c>
      <c r="AC919" s="6">
        <v>-6.95</v>
      </c>
      <c r="AD919" s="6">
        <v>-4.2300000000000004</v>
      </c>
      <c r="AE919" s="1">
        <v>0</v>
      </c>
      <c r="AF919" s="1">
        <f ca="1">IFERROR(__xludf.DUMMYFUNCTION("IFERROR(GOOGLEFINANCE(TRIM(F919)&amp;"":"" &amp; TRIM(B919),""high52""),AE919)"),0)</f>
        <v>0</v>
      </c>
      <c r="AG919" s="1">
        <v>0</v>
      </c>
      <c r="AH919" s="1">
        <f ca="1">IFERROR(__xludf.DUMMYFUNCTION("IFERROR(GOOGLEFINANCE(TRIM(F919)&amp;"":"" &amp; TRIM(B919),""low52""),AE919)"),0)</f>
        <v>0</v>
      </c>
      <c r="AI919" s="1">
        <f ca="1">IFERROR(__xludf.DUMMYFUNCTION("IFERROR(GOOGLEFINANCE(B919,""eps""),0)"),0)</f>
        <v>0</v>
      </c>
      <c r="AJ919" s="1"/>
      <c r="AK919" s="1" t="s">
        <v>2812</v>
      </c>
      <c r="AL919" s="9">
        <f t="shared" si="147"/>
        <v>1</v>
      </c>
    </row>
    <row r="920" spans="1:38" ht="15" x14ac:dyDescent="0.25">
      <c r="A920" s="1" t="s">
        <v>2813</v>
      </c>
      <c r="B920" s="1" t="s">
        <v>2814</v>
      </c>
      <c r="C920" s="1" t="s">
        <v>1497</v>
      </c>
      <c r="D920" s="1" t="s">
        <v>1497</v>
      </c>
      <c r="E920" s="6">
        <v>298.82</v>
      </c>
      <c r="F920" s="1" t="s">
        <v>40</v>
      </c>
      <c r="G920" s="6">
        <f ca="1">IFERROR(__xludf.DUMMYFUNCTION("iferror(GOOGLEFINANCE(TRIM(F920)&amp;"":"" &amp; TRIM(B920), ""price""),0
)"),0)</f>
        <v>0</v>
      </c>
      <c r="H920" s="6">
        <v>141.94999999999999</v>
      </c>
      <c r="I920" s="6">
        <f t="shared" ca="1" si="0"/>
        <v>141.94999999999999</v>
      </c>
      <c r="J920" s="6">
        <f ca="1">IFERROR(__xludf.DUMMYFUNCTION("IFERROR(GOOGLEFINANCE(B920, ""volume""), 0)"),0)</f>
        <v>0</v>
      </c>
      <c r="K920" s="6">
        <v>1.98</v>
      </c>
      <c r="L920" s="6">
        <f ca="1">IFERROR(__xludf.DUMMYFUNCTION("IFERROR(GOOGLEFINANCE(B920,""changepct""),K920)"),1.98)</f>
        <v>1.98</v>
      </c>
      <c r="M920" s="6">
        <f ca="1">IFERROR(__xludf.DUMMYFUNCTION("IFERROR(GOOGLEFINANCE(B920,""change""),0)"),0)</f>
        <v>0</v>
      </c>
      <c r="N920" s="6">
        <v>1</v>
      </c>
      <c r="O920" s="7">
        <v>45536</v>
      </c>
      <c r="P920" s="6">
        <v>50.1</v>
      </c>
      <c r="Q920" s="6">
        <v>345.52</v>
      </c>
      <c r="R920" s="14"/>
      <c r="S920" s="9"/>
      <c r="T920" s="9"/>
      <c r="U920" s="7">
        <v>45352</v>
      </c>
      <c r="V920" s="6">
        <v>46.6</v>
      </c>
      <c r="W920" s="6">
        <f ca="1">IFERROR(__xludf.DUMMYFUNCTION("IFERROR(GOOGLEFINANCE(B920,""pe""),V920)"),46.6)</f>
        <v>46.6</v>
      </c>
      <c r="X920" s="12"/>
      <c r="Y920" s="6">
        <v>6.17</v>
      </c>
      <c r="Z920" s="6">
        <v>2</v>
      </c>
      <c r="AA920" s="8">
        <v>44986</v>
      </c>
      <c r="AB920" s="4">
        <v>2.4700000000000002</v>
      </c>
      <c r="AC920" s="6">
        <v>17.920000000000002</v>
      </c>
      <c r="AD920" s="6">
        <v>14.75</v>
      </c>
      <c r="AE920" s="1">
        <v>0</v>
      </c>
      <c r="AF920" s="1">
        <f ca="1">IFERROR(__xludf.DUMMYFUNCTION("IFERROR(GOOGLEFINANCE(TRIM(F920)&amp;"":"" &amp; TRIM(B920),""high52""),AE920)"),0)</f>
        <v>0</v>
      </c>
      <c r="AG920" s="1">
        <v>0</v>
      </c>
      <c r="AH920" s="1">
        <f ca="1">IFERROR(__xludf.DUMMYFUNCTION("IFERROR(GOOGLEFINANCE(TRIM(F920)&amp;"":"" &amp; TRIM(B920),""low52""),AE920)"),0)</f>
        <v>0</v>
      </c>
      <c r="AI920" s="1">
        <f ca="1">IFERROR(__xludf.DUMMYFUNCTION("IFERROR(GOOGLEFINANCE(B920,""eps""),0)"),0)</f>
        <v>0</v>
      </c>
      <c r="AJ920" s="1"/>
      <c r="AK920" s="1" t="s">
        <v>2815</v>
      </c>
      <c r="AL920" s="9">
        <f t="shared" si="147"/>
        <v>1</v>
      </c>
    </row>
    <row r="921" spans="1:38" ht="15" x14ac:dyDescent="0.25">
      <c r="A921" s="1" t="s">
        <v>2816</v>
      </c>
      <c r="B921" s="1" t="s">
        <v>2817</v>
      </c>
      <c r="C921" s="1" t="s">
        <v>324</v>
      </c>
      <c r="D921" s="1" t="s">
        <v>324</v>
      </c>
      <c r="E921" s="6">
        <v>259.54000000000002</v>
      </c>
      <c r="F921" s="1" t="s">
        <v>53</v>
      </c>
      <c r="G921" s="6">
        <f ca="1">IFERROR(__xludf.DUMMYFUNCTION("iferror(GOOGLEFINANCE(TRIM(F921)&amp;"":"" &amp; TRIM(B921), ""price""),0
)"),0)</f>
        <v>0</v>
      </c>
      <c r="H921" s="6">
        <v>649.95000000000005</v>
      </c>
      <c r="I921" s="6">
        <f t="shared" ca="1" si="0"/>
        <v>649.95000000000005</v>
      </c>
      <c r="J921" s="6">
        <f ca="1">IFERROR(__xludf.DUMMYFUNCTION("IFERROR(GOOGLEFINANCE(B921, ""volume""), 0)"),0)</f>
        <v>0</v>
      </c>
      <c r="K921" s="6">
        <v>0.88</v>
      </c>
      <c r="L921" s="6">
        <f ca="1">IFERROR(__xludf.DUMMYFUNCTION("IFERROR(GOOGLEFINANCE(B921,""changepct""),K921)"),0.88)</f>
        <v>0.88</v>
      </c>
      <c r="M921" s="6">
        <f ca="1">IFERROR(__xludf.DUMMYFUNCTION("IFERROR(GOOGLEFINANCE(B921,""change""),0)"),0)</f>
        <v>0</v>
      </c>
      <c r="N921" s="6">
        <v>1</v>
      </c>
      <c r="O921" s="7">
        <v>45536</v>
      </c>
      <c r="P921" s="9"/>
      <c r="Q921" s="6">
        <v>259.54000000000002</v>
      </c>
      <c r="R921" s="7">
        <v>45536</v>
      </c>
      <c r="S921" s="6">
        <v>101.35</v>
      </c>
      <c r="T921" s="6">
        <v>2.77</v>
      </c>
      <c r="U921" s="7">
        <v>45536</v>
      </c>
      <c r="V921" s="6">
        <v>93.7</v>
      </c>
      <c r="W921" s="6">
        <f ca="1">IFERROR(__xludf.DUMMYFUNCTION("IFERROR(GOOGLEFINANCE(B921,""pe""),V921)"),93.7)</f>
        <v>93.7</v>
      </c>
      <c r="X921" s="9"/>
      <c r="Y921" s="6">
        <v>12.99</v>
      </c>
      <c r="Z921" s="6">
        <v>1</v>
      </c>
      <c r="AA921" s="8">
        <v>45352</v>
      </c>
      <c r="AB921" s="4">
        <v>0.16</v>
      </c>
      <c r="AC921" s="6">
        <v>7.43</v>
      </c>
      <c r="AD921" s="6">
        <v>10.83</v>
      </c>
      <c r="AE921" s="1">
        <v>0</v>
      </c>
      <c r="AF921" s="1">
        <f ca="1">IFERROR(__xludf.DUMMYFUNCTION("IFERROR(GOOGLEFINANCE(TRIM(F921)&amp;"":"" &amp; TRIM(B921),""high52""),AE921)"),0)</f>
        <v>0</v>
      </c>
      <c r="AG921" s="1">
        <v>0</v>
      </c>
      <c r="AH921" s="1">
        <f ca="1">IFERROR(__xludf.DUMMYFUNCTION("IFERROR(GOOGLEFINANCE(TRIM(F921)&amp;"":"" &amp; TRIM(B921),""low52""),AE921)"),0)</f>
        <v>0</v>
      </c>
      <c r="AI921" s="1">
        <f ca="1">IFERROR(__xludf.DUMMYFUNCTION("IFERROR(GOOGLEFINANCE(B921,""eps""),0)"),0)</f>
        <v>0</v>
      </c>
      <c r="AJ921" s="1"/>
      <c r="AK921" s="1" t="s">
        <v>2818</v>
      </c>
      <c r="AL921" s="9">
        <f t="shared" si="147"/>
        <v>1</v>
      </c>
    </row>
    <row r="922" spans="1:38" ht="15" x14ac:dyDescent="0.25">
      <c r="A922" s="1" t="s">
        <v>2819</v>
      </c>
      <c r="B922" s="1" t="s">
        <v>2820</v>
      </c>
      <c r="C922" s="1" t="s">
        <v>1400</v>
      </c>
      <c r="D922" s="1" t="s">
        <v>1400</v>
      </c>
      <c r="E922" s="6">
        <v>103.08</v>
      </c>
      <c r="F922" s="1" t="s">
        <v>40</v>
      </c>
      <c r="G922" s="6">
        <f ca="1">IFERROR(__xludf.DUMMYFUNCTION("iferror(GOOGLEFINANCE(TRIM(F922)&amp;"":"" &amp; TRIM(B922), ""price""),0
)"),0)</f>
        <v>0</v>
      </c>
      <c r="H922" s="6">
        <v>70</v>
      </c>
      <c r="I922" s="6">
        <f t="shared" ca="1" si="0"/>
        <v>70</v>
      </c>
      <c r="J922" s="6">
        <f ca="1">IFERROR(__xludf.DUMMYFUNCTION("IFERROR(GOOGLEFINANCE(B922, ""volume""), 0)"),0)</f>
        <v>0</v>
      </c>
      <c r="K922" s="6">
        <v>-2.85</v>
      </c>
      <c r="L922" s="6">
        <f ca="1">IFERROR(__xludf.DUMMYFUNCTION("IFERROR(GOOGLEFINANCE(B922,""changepct""),K922)"),-2.85)</f>
        <v>-2.85</v>
      </c>
      <c r="M922" s="6">
        <f ca="1">IFERROR(__xludf.DUMMYFUNCTION("IFERROR(GOOGLEFINANCE(B922,""change""),0)"),0)</f>
        <v>0</v>
      </c>
      <c r="N922" s="6">
        <v>1</v>
      </c>
      <c r="O922" s="7">
        <v>45536</v>
      </c>
      <c r="P922" s="6">
        <v>9.15</v>
      </c>
      <c r="Q922" s="6">
        <v>112.23</v>
      </c>
      <c r="R922" s="9"/>
      <c r="S922" s="9"/>
      <c r="T922" s="9"/>
      <c r="U922" s="7">
        <v>45352</v>
      </c>
      <c r="V922" s="6">
        <v>43.35</v>
      </c>
      <c r="W922" s="6">
        <f ca="1">IFERROR(__xludf.DUMMYFUNCTION("IFERROR(GOOGLEFINANCE(B922,""pe""),V922)"),43.35)</f>
        <v>43.35</v>
      </c>
      <c r="X922" s="9"/>
      <c r="Y922" s="6">
        <v>2.4300000000000002</v>
      </c>
      <c r="Z922" s="6">
        <v>1</v>
      </c>
      <c r="AA922" s="8">
        <v>45352</v>
      </c>
      <c r="AB922" s="4">
        <v>0.47</v>
      </c>
      <c r="AC922" s="6">
        <v>22.27</v>
      </c>
      <c r="AD922" s="6">
        <v>23.96</v>
      </c>
      <c r="AE922" s="1">
        <v>0</v>
      </c>
      <c r="AF922" s="1">
        <f ca="1">IFERROR(__xludf.DUMMYFUNCTION("IFERROR(GOOGLEFINANCE(TRIM(F922)&amp;"":"" &amp; TRIM(B922),""high52""),AE922)"),0)</f>
        <v>0</v>
      </c>
      <c r="AG922" s="1">
        <v>0</v>
      </c>
      <c r="AH922" s="1">
        <f ca="1">IFERROR(__xludf.DUMMYFUNCTION("IFERROR(GOOGLEFINANCE(TRIM(F922)&amp;"":"" &amp; TRIM(B922),""low52""),AE922)"),0)</f>
        <v>0</v>
      </c>
      <c r="AI922" s="1">
        <f ca="1">IFERROR(__xludf.DUMMYFUNCTION("IFERROR(GOOGLEFINANCE(B922,""eps""),0)"),0)</f>
        <v>0</v>
      </c>
      <c r="AJ922" s="1"/>
      <c r="AK922" s="9"/>
      <c r="AL922" s="9">
        <f t="shared" si="147"/>
        <v>1</v>
      </c>
    </row>
    <row r="923" spans="1:38" ht="15" x14ac:dyDescent="0.25">
      <c r="A923" s="1" t="s">
        <v>2821</v>
      </c>
      <c r="B923" s="1" t="s">
        <v>2822</v>
      </c>
      <c r="C923" s="1" t="s">
        <v>324</v>
      </c>
      <c r="D923" s="1" t="s">
        <v>324</v>
      </c>
      <c r="E923" s="6">
        <v>299.52999999999997</v>
      </c>
      <c r="F923" s="1" t="s">
        <v>53</v>
      </c>
      <c r="G923" s="6">
        <f ca="1">IFERROR(__xludf.DUMMYFUNCTION("iferror(GOOGLEFINANCE(TRIM(F923)&amp;"":"" &amp; TRIM(B923), ""price""),0
)"),0)</f>
        <v>0</v>
      </c>
      <c r="H923" s="6">
        <v>368.1</v>
      </c>
      <c r="I923" s="6">
        <f t="shared" ca="1" si="0"/>
        <v>368.1</v>
      </c>
      <c r="J923" s="6">
        <f ca="1">IFERROR(__xludf.DUMMYFUNCTION("IFERROR(GOOGLEFINANCE(B923, ""volume""), 0)"),0)</f>
        <v>0</v>
      </c>
      <c r="K923" s="6">
        <v>-1.58</v>
      </c>
      <c r="L923" s="6">
        <f ca="1">IFERROR(__xludf.DUMMYFUNCTION("IFERROR(GOOGLEFINANCE(B923,""changepct""),K923)"),-1.58)</f>
        <v>-1.58</v>
      </c>
      <c r="M923" s="6">
        <f ca="1">IFERROR(__xludf.DUMMYFUNCTION("IFERROR(GOOGLEFINANCE(B923,""change""),0)"),0)</f>
        <v>0</v>
      </c>
      <c r="N923" s="6">
        <v>1</v>
      </c>
      <c r="O923" s="7">
        <v>45536</v>
      </c>
      <c r="P923" s="6">
        <v>79.08</v>
      </c>
      <c r="Q923" s="6">
        <v>377.27</v>
      </c>
      <c r="R923" s="7">
        <v>45536</v>
      </c>
      <c r="S923" s="6">
        <v>340.81</v>
      </c>
      <c r="T923" s="6">
        <v>9.99</v>
      </c>
      <c r="U923" s="7">
        <v>45536</v>
      </c>
      <c r="V923" s="6">
        <v>29.98</v>
      </c>
      <c r="W923" s="6">
        <f ca="1">IFERROR(__xludf.DUMMYFUNCTION("IFERROR(GOOGLEFINANCE(B923,""pe""),V923)"),29.98)</f>
        <v>29.98</v>
      </c>
      <c r="X923" s="6">
        <v>1.75</v>
      </c>
      <c r="Y923" s="6">
        <v>2.99</v>
      </c>
      <c r="Z923" s="6">
        <v>1</v>
      </c>
      <c r="AA923" s="8">
        <v>45352</v>
      </c>
      <c r="AB923" s="4">
        <v>0.91</v>
      </c>
      <c r="AC923" s="6">
        <v>12.35</v>
      </c>
      <c r="AD923" s="6">
        <v>12.58</v>
      </c>
      <c r="AE923" s="1">
        <v>0</v>
      </c>
      <c r="AF923" s="1">
        <f ca="1">IFERROR(__xludf.DUMMYFUNCTION("IFERROR(GOOGLEFINANCE(TRIM(F923)&amp;"":"" &amp; TRIM(B923),""high52""),AE923)"),0)</f>
        <v>0</v>
      </c>
      <c r="AG923" s="1">
        <v>0</v>
      </c>
      <c r="AH923" s="1">
        <f ca="1">IFERROR(__xludf.DUMMYFUNCTION("IFERROR(GOOGLEFINANCE(TRIM(F923)&amp;"":"" &amp; TRIM(B923),""low52""),AE923)"),0)</f>
        <v>0</v>
      </c>
      <c r="AI923" s="1">
        <f ca="1">IFERROR(__xludf.DUMMYFUNCTION("IFERROR(GOOGLEFINANCE(B923,""eps""),0)"),0)</f>
        <v>0</v>
      </c>
      <c r="AJ923" s="1"/>
      <c r="AK923" s="1" t="s">
        <v>2823</v>
      </c>
      <c r="AL923" s="9">
        <f t="shared" si="147"/>
        <v>1</v>
      </c>
    </row>
    <row r="924" spans="1:38" ht="15" x14ac:dyDescent="0.25">
      <c r="A924" s="1" t="s">
        <v>2824</v>
      </c>
      <c r="B924" s="1" t="s">
        <v>2825</v>
      </c>
      <c r="C924" s="1" t="s">
        <v>860</v>
      </c>
      <c r="D924" s="1" t="s">
        <v>860</v>
      </c>
      <c r="E924" s="6">
        <v>110550.7</v>
      </c>
      <c r="F924" s="1" t="s">
        <v>40</v>
      </c>
      <c r="G924" s="6">
        <f ca="1">IFERROR(__xludf.DUMMYFUNCTION("iferror(GOOGLEFINANCE(TRIM(F924)&amp;"":"" &amp; TRIM(B924), ""price""),0
)"),10354)</f>
        <v>10354</v>
      </c>
      <c r="H924" s="6">
        <v>18544.5</v>
      </c>
      <c r="I924" s="6">
        <f t="shared" ca="1" si="0"/>
        <v>10354</v>
      </c>
      <c r="J924" s="6">
        <f ca="1">IFERROR(__xludf.DUMMYFUNCTION("IFERROR(GOOGLEFINANCE(B924, ""volume""), 0)"),822592)</f>
        <v>822592</v>
      </c>
      <c r="K924" s="6">
        <v>1.1000000000000001</v>
      </c>
      <c r="L924" s="6">
        <f ca="1">IFERROR(__xludf.DUMMYFUNCTION("IFERROR(GOOGLEFINANCE(B924,""changepct""),K924)"),1.55)</f>
        <v>1.55</v>
      </c>
      <c r="M924" s="6">
        <f ca="1">IFERROR(__xludf.DUMMYFUNCTION("IFERROR(GOOGLEFINANCE(B924,""change""),0)"),158)</f>
        <v>158</v>
      </c>
      <c r="N924" s="6">
        <v>2</v>
      </c>
      <c r="O924" s="7">
        <v>45536</v>
      </c>
      <c r="P924" s="6">
        <v>362.06</v>
      </c>
      <c r="Q924" s="6">
        <v>110670.6</v>
      </c>
      <c r="R924" s="7">
        <v>45536</v>
      </c>
      <c r="S924" s="6">
        <v>27590.1</v>
      </c>
      <c r="T924" s="6">
        <v>730.99</v>
      </c>
      <c r="U924" s="7">
        <v>45536</v>
      </c>
      <c r="V924" s="6">
        <v>154.59</v>
      </c>
      <c r="W924" s="6">
        <f ca="1">IFERROR(__xludf.DUMMYFUNCTION("IFERROR(GOOGLEFINANCE(B924,""pe""),V924)"),37.98)</f>
        <v>37.979999999999997</v>
      </c>
      <c r="X924" s="6">
        <v>3.67</v>
      </c>
      <c r="Y924" s="6">
        <v>49.6</v>
      </c>
      <c r="Z924" s="6">
        <v>2</v>
      </c>
      <c r="AA924" s="8">
        <v>45352</v>
      </c>
      <c r="AB924" s="4">
        <v>0.09</v>
      </c>
      <c r="AC924" s="6">
        <v>25.47</v>
      </c>
      <c r="AD924" s="6">
        <v>34.65</v>
      </c>
      <c r="AE924" s="1">
        <v>0</v>
      </c>
      <c r="AF924" s="1">
        <f ca="1">IFERROR(__xludf.DUMMYFUNCTION("IFERROR(GOOGLEFINANCE(TRIM(F924)&amp;"":"" &amp; TRIM(B924),""high52""),AE924)"),18471)</f>
        <v>18471</v>
      </c>
      <c r="AG924" s="1">
        <v>0</v>
      </c>
      <c r="AH924" s="1">
        <f ca="1">IFERROR(__xludf.DUMMYFUNCTION("IFERROR(GOOGLEFINANCE(TRIM(F924)&amp;"":"" &amp; TRIM(B924),""low52""),AE924)"),9835)</f>
        <v>9835</v>
      </c>
      <c r="AI924" s="1">
        <f ca="1">IFERROR(__xludf.DUMMYFUNCTION("IFERROR(GOOGLEFINANCE(B924,""eps""),0)"),272.62)</f>
        <v>272.62</v>
      </c>
      <c r="AJ924" s="1"/>
      <c r="AK924" s="1" t="s">
        <v>2826</v>
      </c>
      <c r="AL924" s="9">
        <f t="shared" si="147"/>
        <v>1</v>
      </c>
    </row>
    <row r="925" spans="1:38" ht="15" x14ac:dyDescent="0.25">
      <c r="A925" s="1" t="s">
        <v>2827</v>
      </c>
      <c r="B925" s="1" t="s">
        <v>2828</v>
      </c>
      <c r="C925" s="1" t="s">
        <v>778</v>
      </c>
      <c r="D925" s="1" t="s">
        <v>778</v>
      </c>
      <c r="E925" s="6">
        <v>577.88</v>
      </c>
      <c r="F925" s="1" t="s">
        <v>40</v>
      </c>
      <c r="G925" s="6">
        <f ca="1">IFERROR(__xludf.DUMMYFUNCTION("iferror(GOOGLEFINANCE(TRIM(F925)&amp;"":"" &amp; TRIM(B925), ""price""),0
)"),73.9)</f>
        <v>73.900000000000006</v>
      </c>
      <c r="H925" s="6">
        <v>177.8</v>
      </c>
      <c r="I925" s="6">
        <f t="shared" ca="1" si="0"/>
        <v>73.900000000000006</v>
      </c>
      <c r="J925" s="6">
        <f ca="1">IFERROR(__xludf.DUMMYFUNCTION("IFERROR(GOOGLEFINANCE(B925, ""volume""), 0)"),231180)</f>
        <v>231180</v>
      </c>
      <c r="K925" s="6">
        <v>-0.1</v>
      </c>
      <c r="L925" s="6">
        <f ca="1">IFERROR(__xludf.DUMMYFUNCTION("IFERROR(GOOGLEFINANCE(B925,""changepct""),K925)"),-0.23)</f>
        <v>-0.23</v>
      </c>
      <c r="M925" s="6">
        <f ca="1">IFERROR(__xludf.DUMMYFUNCTION("IFERROR(GOOGLEFINANCE(B925,""change""),0)"),-0.17)</f>
        <v>-0.17</v>
      </c>
      <c r="N925" s="6">
        <v>1</v>
      </c>
      <c r="O925" s="7">
        <v>45536</v>
      </c>
      <c r="P925" s="6">
        <v>17.77</v>
      </c>
      <c r="Q925" s="6">
        <v>595.65</v>
      </c>
      <c r="R925" s="7">
        <v>45536</v>
      </c>
      <c r="S925" s="6">
        <v>72.849999999999994</v>
      </c>
      <c r="T925" s="6">
        <v>6.98</v>
      </c>
      <c r="U925" s="7">
        <v>45536</v>
      </c>
      <c r="V925" s="6">
        <v>82.8</v>
      </c>
      <c r="W925" s="6">
        <f ca="1">IFERROR(__xludf.DUMMYFUNCTION("IFERROR(GOOGLEFINANCE(B925,""pe""),V925)"),29.8)</f>
        <v>29.8</v>
      </c>
      <c r="X925" s="6">
        <v>2.19</v>
      </c>
      <c r="Y925" s="6">
        <v>16.14</v>
      </c>
      <c r="Z925" s="6">
        <v>1</v>
      </c>
      <c r="AA925" s="8">
        <v>45352</v>
      </c>
      <c r="AB925" s="4">
        <v>0.46</v>
      </c>
      <c r="AC925" s="6">
        <v>16.22</v>
      </c>
      <c r="AD925" s="6">
        <v>19.8</v>
      </c>
      <c r="AE925" s="1">
        <v>0</v>
      </c>
      <c r="AF925" s="1">
        <f ca="1">IFERROR(__xludf.DUMMYFUNCTION("IFERROR(GOOGLEFINANCE(TRIM(F925)&amp;"":"" &amp; TRIM(B925),""high52""),AE925)"),156.85)</f>
        <v>156.85</v>
      </c>
      <c r="AG925" s="1">
        <v>0</v>
      </c>
      <c r="AH925" s="1">
        <f ca="1">IFERROR(__xludf.DUMMYFUNCTION("IFERROR(GOOGLEFINANCE(TRIM(F925)&amp;"":"" &amp; TRIM(B925),""low52""),AE925)"),52)</f>
        <v>52</v>
      </c>
      <c r="AI925" s="1">
        <f ca="1">IFERROR(__xludf.DUMMYFUNCTION("IFERROR(GOOGLEFINANCE(B925,""eps""),0)"),2.48)</f>
        <v>2.48</v>
      </c>
      <c r="AJ925" s="1"/>
      <c r="AK925" s="1" t="s">
        <v>2829</v>
      </c>
      <c r="AL925" s="9">
        <f t="shared" si="147"/>
        <v>1</v>
      </c>
    </row>
    <row r="926" spans="1:38" ht="15" x14ac:dyDescent="0.25">
      <c r="A926" s="1" t="s">
        <v>2830</v>
      </c>
      <c r="B926" s="1" t="s">
        <v>2831</v>
      </c>
      <c r="C926" s="1" t="s">
        <v>324</v>
      </c>
      <c r="D926" s="1" t="s">
        <v>324</v>
      </c>
      <c r="E926" s="6">
        <v>72.150000000000006</v>
      </c>
      <c r="F926" s="1" t="s">
        <v>53</v>
      </c>
      <c r="G926" s="6">
        <f ca="1">IFERROR(__xludf.DUMMYFUNCTION("iferror(GOOGLEFINANCE(TRIM(F926)&amp;"":"" &amp; TRIM(B926), ""price""),0
)"),0)</f>
        <v>0</v>
      </c>
      <c r="H926" s="6">
        <v>49.75</v>
      </c>
      <c r="I926" s="6">
        <f t="shared" ca="1" si="0"/>
        <v>49.75</v>
      </c>
      <c r="J926" s="6">
        <f ca="1">IFERROR(__xludf.DUMMYFUNCTION("IFERROR(GOOGLEFINANCE(B926, ""volume""), 0)"),0)</f>
        <v>0</v>
      </c>
      <c r="K926" s="12"/>
      <c r="L926" s="6" t="str">
        <f ca="1">IFERROR(__xludf.DUMMYFUNCTION("IFERROR(GOOGLEFINANCE(B926,""changepct""),K926)"),"")</f>
        <v/>
      </c>
      <c r="M926" s="6">
        <f ca="1">IFERROR(__xludf.DUMMYFUNCTION("IFERROR(GOOGLEFINANCE(B926,""change""),0)"),0)</f>
        <v>0</v>
      </c>
      <c r="N926" s="6">
        <v>1</v>
      </c>
      <c r="O926" s="7">
        <v>45536</v>
      </c>
      <c r="P926" s="6">
        <v>5.45</v>
      </c>
      <c r="Q926" s="6">
        <v>77.599999999999994</v>
      </c>
      <c r="R926" s="7">
        <v>45536</v>
      </c>
      <c r="S926" s="6">
        <v>16.03</v>
      </c>
      <c r="T926" s="6">
        <v>2.91</v>
      </c>
      <c r="U926" s="7">
        <v>45536</v>
      </c>
      <c r="V926" s="6">
        <v>24.79</v>
      </c>
      <c r="W926" s="6">
        <f ca="1">IFERROR(__xludf.DUMMYFUNCTION("IFERROR(GOOGLEFINANCE(B926,""pe""),V926)"),24.79)</f>
        <v>24.79</v>
      </c>
      <c r="X926" s="12"/>
      <c r="Y926" s="6">
        <v>2.64</v>
      </c>
      <c r="Z926" s="6">
        <v>1</v>
      </c>
      <c r="AA926" s="8">
        <v>45352</v>
      </c>
      <c r="AB926" s="4">
        <v>0.54</v>
      </c>
      <c r="AC926" s="6">
        <v>-6.31</v>
      </c>
      <c r="AD926" s="6">
        <v>-3.55</v>
      </c>
      <c r="AE926" s="1">
        <v>0</v>
      </c>
      <c r="AF926" s="1">
        <f ca="1">IFERROR(__xludf.DUMMYFUNCTION("IFERROR(GOOGLEFINANCE(TRIM(F926)&amp;"":"" &amp; TRIM(B926),""high52""),AE926)"),0)</f>
        <v>0</v>
      </c>
      <c r="AG926" s="1">
        <v>0</v>
      </c>
      <c r="AH926" s="1">
        <f ca="1">IFERROR(__xludf.DUMMYFUNCTION("IFERROR(GOOGLEFINANCE(TRIM(F926)&amp;"":"" &amp; TRIM(B926),""low52""),AE926)"),0)</f>
        <v>0</v>
      </c>
      <c r="AI926" s="1">
        <f ca="1">IFERROR(__xludf.DUMMYFUNCTION("IFERROR(GOOGLEFINANCE(B926,""eps""),0)"),0)</f>
        <v>0</v>
      </c>
      <c r="AJ926" s="1"/>
      <c r="AK926" s="1" t="s">
        <v>2832</v>
      </c>
      <c r="AL926" s="9">
        <f t="shared" si="147"/>
        <v>1</v>
      </c>
    </row>
    <row r="927" spans="1:38" ht="15" x14ac:dyDescent="0.25">
      <c r="A927" s="1" t="s">
        <v>2833</v>
      </c>
      <c r="B927" s="1" t="s">
        <v>2834</v>
      </c>
      <c r="C927" s="1" t="s">
        <v>483</v>
      </c>
      <c r="D927" s="1" t="s">
        <v>483</v>
      </c>
      <c r="E927" s="6">
        <v>60.66</v>
      </c>
      <c r="F927" s="1" t="s">
        <v>40</v>
      </c>
      <c r="G927" s="6">
        <f ca="1">IFERROR(__xludf.DUMMYFUNCTION("iferror(GOOGLEFINANCE(TRIM(F927)&amp;"":"" &amp; TRIM(B927), ""price""),0
)"),0)</f>
        <v>0</v>
      </c>
      <c r="H927" s="6">
        <v>80.8</v>
      </c>
      <c r="I927" s="6">
        <f t="shared" ca="1" si="0"/>
        <v>80.8</v>
      </c>
      <c r="J927" s="6">
        <f ca="1">IFERROR(__xludf.DUMMYFUNCTION("IFERROR(GOOGLEFINANCE(B927, ""volume""), 0)"),0)</f>
        <v>0</v>
      </c>
      <c r="K927" s="9"/>
      <c r="L927" s="6" t="str">
        <f ca="1">IFERROR(__xludf.DUMMYFUNCTION("IFERROR(GOOGLEFINANCE(B927,""changepct""),K927)"),"")</f>
        <v/>
      </c>
      <c r="M927" s="6">
        <f ca="1">IFERROR(__xludf.DUMMYFUNCTION("IFERROR(GOOGLEFINANCE(B927,""change""),0)"),0)</f>
        <v>0</v>
      </c>
      <c r="N927" s="6">
        <v>1</v>
      </c>
      <c r="O927" s="7">
        <v>45536</v>
      </c>
      <c r="P927" s="6">
        <v>7.38</v>
      </c>
      <c r="Q927" s="6">
        <v>68.040000000000006</v>
      </c>
      <c r="R927" s="7">
        <v>45352</v>
      </c>
      <c r="S927" s="6">
        <v>64.56</v>
      </c>
      <c r="T927" s="6">
        <v>4.16</v>
      </c>
      <c r="U927" s="7">
        <v>45352</v>
      </c>
      <c r="V927" s="6">
        <v>14.54</v>
      </c>
      <c r="W927" s="6">
        <f ca="1">IFERROR(__xludf.DUMMYFUNCTION("IFERROR(GOOGLEFINANCE(B927,""pe""),V927)"),14.54)</f>
        <v>14.54</v>
      </c>
      <c r="X927" s="9"/>
      <c r="Y927" s="6">
        <v>2.44</v>
      </c>
      <c r="Z927" s="6">
        <v>2</v>
      </c>
      <c r="AA927" s="8">
        <v>45352</v>
      </c>
      <c r="AB927" s="4">
        <v>0.38</v>
      </c>
      <c r="AC927" s="6">
        <v>19.91</v>
      </c>
      <c r="AD927" s="6">
        <v>23.75</v>
      </c>
      <c r="AE927" s="1">
        <v>0</v>
      </c>
      <c r="AF927" s="1">
        <f ca="1">IFERROR(__xludf.DUMMYFUNCTION("IFERROR(GOOGLEFINANCE(TRIM(F927)&amp;"":"" &amp; TRIM(B927),""high52""),AE927)"),0)</f>
        <v>0</v>
      </c>
      <c r="AG927" s="1">
        <v>0</v>
      </c>
      <c r="AH927" s="1">
        <f ca="1">IFERROR(__xludf.DUMMYFUNCTION("IFERROR(GOOGLEFINANCE(TRIM(F927)&amp;"":"" &amp; TRIM(B927),""low52""),AE927)"),0)</f>
        <v>0</v>
      </c>
      <c r="AI927" s="1">
        <f ca="1">IFERROR(__xludf.DUMMYFUNCTION("IFERROR(GOOGLEFINANCE(B927,""eps""),0)"),0)</f>
        <v>0</v>
      </c>
      <c r="AJ927" s="1"/>
      <c r="AK927" s="1" t="s">
        <v>2835</v>
      </c>
      <c r="AL927" s="9">
        <f t="shared" si="147"/>
        <v>1</v>
      </c>
    </row>
    <row r="928" spans="1:38" ht="15" x14ac:dyDescent="0.25">
      <c r="A928" s="1" t="s">
        <v>2836</v>
      </c>
      <c r="B928" s="1" t="s">
        <v>2837</v>
      </c>
      <c r="C928" s="1" t="s">
        <v>324</v>
      </c>
      <c r="D928" s="1" t="s">
        <v>324</v>
      </c>
      <c r="E928" s="6">
        <v>34.64</v>
      </c>
      <c r="F928" s="1" t="s">
        <v>53</v>
      </c>
      <c r="G928" s="6">
        <f ca="1">IFERROR(__xludf.DUMMYFUNCTION("iferror(GOOGLEFINANCE(TRIM(F928)&amp;"":"" &amp; TRIM(B928), ""price""),0
)"),0)</f>
        <v>0</v>
      </c>
      <c r="H928" s="6">
        <v>84.28</v>
      </c>
      <c r="I928" s="6">
        <f t="shared" ca="1" si="0"/>
        <v>84.28</v>
      </c>
      <c r="J928" s="6">
        <f ca="1">IFERROR(__xludf.DUMMYFUNCTION("IFERROR(GOOGLEFINANCE(B928, ""volume""), 0)"),0)</f>
        <v>0</v>
      </c>
      <c r="K928" s="6">
        <v>-2</v>
      </c>
      <c r="L928" s="6">
        <f ca="1">IFERROR(__xludf.DUMMYFUNCTION("IFERROR(GOOGLEFINANCE(B928,""changepct""),K928)"),-2)</f>
        <v>-2</v>
      </c>
      <c r="M928" s="6">
        <f ca="1">IFERROR(__xludf.DUMMYFUNCTION("IFERROR(GOOGLEFINANCE(B928,""change""),0)"),0)</f>
        <v>0</v>
      </c>
      <c r="N928" s="6">
        <v>1</v>
      </c>
      <c r="O928" s="7">
        <v>45536</v>
      </c>
      <c r="P928" s="9"/>
      <c r="Q928" s="6">
        <v>34.64</v>
      </c>
      <c r="R928" s="7">
        <v>45536</v>
      </c>
      <c r="S928" s="6">
        <v>3.2</v>
      </c>
      <c r="T928" s="6">
        <v>0.7</v>
      </c>
      <c r="U928" s="7">
        <v>45536</v>
      </c>
      <c r="V928" s="6">
        <v>49.56</v>
      </c>
      <c r="W928" s="6">
        <f ca="1">IFERROR(__xludf.DUMMYFUNCTION("IFERROR(GOOGLEFINANCE(B928,""pe""),V928)"),49.56)</f>
        <v>49.56</v>
      </c>
      <c r="X928" s="6">
        <v>-2.85</v>
      </c>
      <c r="Y928" s="6">
        <v>2.33</v>
      </c>
      <c r="Z928" s="6">
        <v>1</v>
      </c>
      <c r="AA928" s="8">
        <v>45352</v>
      </c>
      <c r="AB928" s="4">
        <v>0.01</v>
      </c>
      <c r="AC928" s="6">
        <v>5.64</v>
      </c>
      <c r="AD928" s="6">
        <v>7.43</v>
      </c>
      <c r="AE928" s="1">
        <v>0</v>
      </c>
      <c r="AF928" s="1">
        <f ca="1">IFERROR(__xludf.DUMMYFUNCTION("IFERROR(GOOGLEFINANCE(TRIM(F928)&amp;"":"" &amp; TRIM(B928),""high52""),AE928)"),0)</f>
        <v>0</v>
      </c>
      <c r="AG928" s="1">
        <v>0</v>
      </c>
      <c r="AH928" s="1">
        <f ca="1">IFERROR(__xludf.DUMMYFUNCTION("IFERROR(GOOGLEFINANCE(TRIM(F928)&amp;"":"" &amp; TRIM(B928),""low52""),AE928)"),0)</f>
        <v>0</v>
      </c>
      <c r="AI928" s="1">
        <f ca="1">IFERROR(__xludf.DUMMYFUNCTION("IFERROR(GOOGLEFINANCE(B928,""eps""),0)"),0)</f>
        <v>0</v>
      </c>
      <c r="AJ928" s="1"/>
      <c r="AK928" s="1" t="s">
        <v>2838</v>
      </c>
      <c r="AL928" s="9">
        <f t="shared" si="147"/>
        <v>1</v>
      </c>
    </row>
    <row r="929" spans="1:38" ht="15" x14ac:dyDescent="0.25">
      <c r="A929" s="1" t="s">
        <v>2839</v>
      </c>
      <c r="B929" s="1" t="s">
        <v>2840</v>
      </c>
      <c r="C929" s="1" t="s">
        <v>487</v>
      </c>
      <c r="D929" s="1" t="s">
        <v>487</v>
      </c>
      <c r="E929" s="6">
        <v>206713.3</v>
      </c>
      <c r="F929" s="1" t="s">
        <v>40</v>
      </c>
      <c r="G929" s="6">
        <f ca="1">IFERROR(__xludf.DUMMYFUNCTION("iferror(GOOGLEFINANCE(TRIM(F929)&amp;"":"" &amp; TRIM(B929), ""price""),0
)"),628)</f>
        <v>628</v>
      </c>
      <c r="H929" s="6">
        <v>827.45</v>
      </c>
      <c r="I929" s="6">
        <f t="shared" ca="1" si="0"/>
        <v>628</v>
      </c>
      <c r="J929" s="6">
        <f ca="1">IFERROR(__xludf.DUMMYFUNCTION("IFERROR(GOOGLEFINANCE(B929, ""volume""), 0)"),2411331)</f>
        <v>2411331</v>
      </c>
      <c r="K929" s="6">
        <v>-0.95</v>
      </c>
      <c r="L929" s="6">
        <f ca="1">IFERROR(__xludf.DUMMYFUNCTION("IFERROR(GOOGLEFINANCE(B929,""changepct""),K929)"),2.39)</f>
        <v>2.39</v>
      </c>
      <c r="M929" s="6">
        <f ca="1">IFERROR(__xludf.DUMMYFUNCTION("IFERROR(GOOGLEFINANCE(B929,""change""),0)"),14.65)</f>
        <v>14.65</v>
      </c>
      <c r="N929" s="6">
        <v>2</v>
      </c>
      <c r="O929" s="7">
        <v>45536</v>
      </c>
      <c r="P929" s="6">
        <v>4043.88</v>
      </c>
      <c r="Q929" s="6">
        <v>208965.9</v>
      </c>
      <c r="R929" s="7">
        <v>45536</v>
      </c>
      <c r="S929" s="6">
        <v>6993.46</v>
      </c>
      <c r="T929" s="6">
        <v>2389.3000000000002</v>
      </c>
      <c r="U929" s="7">
        <v>45536</v>
      </c>
      <c r="V929" s="6">
        <v>57.36</v>
      </c>
      <c r="W929" s="6">
        <f ca="1">IFERROR(__xludf.DUMMYFUNCTION("IFERROR(GOOGLEFINANCE(B929,""pe""),V929)"),35.09)</f>
        <v>35.090000000000003</v>
      </c>
      <c r="X929" s="6">
        <v>3.38</v>
      </c>
      <c r="Y929" s="6">
        <v>5.14</v>
      </c>
      <c r="Z929" s="6">
        <v>2</v>
      </c>
      <c r="AA929" s="8">
        <v>45352</v>
      </c>
      <c r="AB929" s="4">
        <v>0.12</v>
      </c>
      <c r="AC929" s="6">
        <v>4.2300000000000004</v>
      </c>
      <c r="AD929" s="6">
        <v>5.91</v>
      </c>
      <c r="AE929" s="1">
        <v>0</v>
      </c>
      <c r="AF929" s="1">
        <f ca="1">IFERROR(__xludf.DUMMYFUNCTION("IFERROR(GOOGLEFINANCE(TRIM(F929)&amp;"":"" &amp; TRIM(B929),""high52""),AE929)"),886.8)</f>
        <v>886.8</v>
      </c>
      <c r="AG929" s="1">
        <v>0</v>
      </c>
      <c r="AH929" s="1">
        <f ca="1">IFERROR(__xludf.DUMMYFUNCTION("IFERROR(GOOGLEFINANCE(TRIM(F929)&amp;"":"" &amp; TRIM(B929),""low52""),AE929)"),586.65)</f>
        <v>586.65</v>
      </c>
      <c r="AI929" s="1">
        <f ca="1">IFERROR(__xludf.DUMMYFUNCTION("IFERROR(GOOGLEFINANCE(B929,""eps""),0)"),17.9)</f>
        <v>17.899999999999999</v>
      </c>
      <c r="AJ929" s="1"/>
      <c r="AK929" s="1" t="s">
        <v>2841</v>
      </c>
      <c r="AL929" s="9">
        <f t="shared" si="147"/>
        <v>1</v>
      </c>
    </row>
    <row r="930" spans="1:38" ht="15" x14ac:dyDescent="0.25">
      <c r="A930" s="1" t="s">
        <v>2842</v>
      </c>
      <c r="B930" s="1" t="s">
        <v>2843</v>
      </c>
      <c r="C930" s="1" t="s">
        <v>135</v>
      </c>
      <c r="D930" s="1" t="s">
        <v>135</v>
      </c>
      <c r="E930" s="6">
        <v>927.14</v>
      </c>
      <c r="F930" s="1" t="s">
        <v>40</v>
      </c>
      <c r="G930" s="6">
        <f ca="1">IFERROR(__xludf.DUMMYFUNCTION("iferror(GOOGLEFINANCE(TRIM(F930)&amp;"":"" &amp; TRIM(B930), ""price""),0
)"),218.9)</f>
        <v>218.9</v>
      </c>
      <c r="H930" s="6">
        <v>380</v>
      </c>
      <c r="I930" s="6">
        <f t="shared" ca="1" si="0"/>
        <v>218.9</v>
      </c>
      <c r="J930" s="6">
        <f ca="1">IFERROR(__xludf.DUMMYFUNCTION("IFERROR(GOOGLEFINANCE(B930, ""volume""), 0)"),8725)</f>
        <v>8725</v>
      </c>
      <c r="K930" s="6">
        <v>1.63</v>
      </c>
      <c r="L930" s="6">
        <f ca="1">IFERROR(__xludf.DUMMYFUNCTION("IFERROR(GOOGLEFINANCE(B930,""changepct""),K930)"),-4.04)</f>
        <v>-4.04</v>
      </c>
      <c r="M930" s="6">
        <f ca="1">IFERROR(__xludf.DUMMYFUNCTION("IFERROR(GOOGLEFINANCE(B930,""change""),0)"),-9.21)</f>
        <v>-9.2100000000000009</v>
      </c>
      <c r="N930" s="6">
        <v>2</v>
      </c>
      <c r="O930" s="7">
        <v>45536</v>
      </c>
      <c r="P930" s="6">
        <v>59.48</v>
      </c>
      <c r="Q930" s="6">
        <v>980.22</v>
      </c>
      <c r="R930" s="7">
        <v>45536</v>
      </c>
      <c r="S930" s="6">
        <v>352.53</v>
      </c>
      <c r="T930" s="6">
        <v>13.26</v>
      </c>
      <c r="U930" s="7">
        <v>45536</v>
      </c>
      <c r="V930" s="6">
        <v>69.900000000000006</v>
      </c>
      <c r="W930" s="6">
        <f ca="1">IFERROR(__xludf.DUMMYFUNCTION("IFERROR(GOOGLEFINANCE(B930,""pe""),V930)"),19.6)</f>
        <v>19.600000000000001</v>
      </c>
      <c r="X930" s="6">
        <v>-2.9</v>
      </c>
      <c r="Y930" s="6">
        <v>4.34</v>
      </c>
      <c r="Z930" s="6">
        <v>2</v>
      </c>
      <c r="AA930" s="8">
        <v>45352</v>
      </c>
      <c r="AB930" s="4">
        <v>0.42</v>
      </c>
      <c r="AC930" s="6">
        <v>5.68</v>
      </c>
      <c r="AD930" s="6">
        <v>10.4</v>
      </c>
      <c r="AE930" s="1">
        <v>0</v>
      </c>
      <c r="AF930" s="1">
        <f ca="1">IFERROR(__xludf.DUMMYFUNCTION("IFERROR(GOOGLEFINANCE(TRIM(F930)&amp;"":"" &amp; TRIM(B930),""high52""),AE930)"),377)</f>
        <v>377</v>
      </c>
      <c r="AG930" s="1">
        <v>0</v>
      </c>
      <c r="AH930" s="1">
        <f ca="1">IFERROR(__xludf.DUMMYFUNCTION("IFERROR(GOOGLEFINANCE(TRIM(F930)&amp;"":"" &amp; TRIM(B930),""low52""),AE930)"),207.5)</f>
        <v>207.5</v>
      </c>
      <c r="AI930" s="1">
        <f ca="1">IFERROR(__xludf.DUMMYFUNCTION("IFERROR(GOOGLEFINANCE(B930,""eps""),0)"),11.17)</f>
        <v>11.17</v>
      </c>
      <c r="AJ930" s="1"/>
      <c r="AK930" s="1" t="s">
        <v>2844</v>
      </c>
      <c r="AL930" s="9">
        <f t="shared" si="147"/>
        <v>1</v>
      </c>
    </row>
    <row r="931" spans="1:38" ht="15" x14ac:dyDescent="0.25">
      <c r="A931" s="1" t="s">
        <v>2845</v>
      </c>
      <c r="B931" s="1" t="s">
        <v>2846</v>
      </c>
      <c r="C931" s="1" t="s">
        <v>321</v>
      </c>
      <c r="D931" s="1" t="s">
        <v>321</v>
      </c>
      <c r="E931" s="6">
        <v>27.03</v>
      </c>
      <c r="F931" s="1" t="s">
        <v>40</v>
      </c>
      <c r="G931" s="6">
        <f ca="1">IFERROR(__xludf.DUMMYFUNCTION("iferror(GOOGLEFINANCE(TRIM(F931)&amp;"":"" &amp; TRIM(B931), ""price""),0
)"),0)</f>
        <v>0</v>
      </c>
      <c r="H931" s="6">
        <v>86</v>
      </c>
      <c r="I931" s="6">
        <f t="shared" ca="1" si="0"/>
        <v>86</v>
      </c>
      <c r="J931" s="6">
        <f ca="1">IFERROR(__xludf.DUMMYFUNCTION("IFERROR(GOOGLEFINANCE(B931, ""volume""), 0)"),0)</f>
        <v>0</v>
      </c>
      <c r="K931" s="9"/>
      <c r="L931" s="6" t="str">
        <f ca="1">IFERROR(__xludf.DUMMYFUNCTION("IFERROR(GOOGLEFINANCE(B931,""changepct""),K931)"),"")</f>
        <v/>
      </c>
      <c r="M931" s="6">
        <f ca="1">IFERROR(__xludf.DUMMYFUNCTION("IFERROR(GOOGLEFINANCE(B931,""change""),0)"),0)</f>
        <v>0</v>
      </c>
      <c r="N931" s="6">
        <v>1</v>
      </c>
      <c r="O931" s="7">
        <v>45536</v>
      </c>
      <c r="P931" s="6">
        <v>9.4499999999999993</v>
      </c>
      <c r="Q931" s="6">
        <v>36.479999999999997</v>
      </c>
      <c r="R931" s="7">
        <v>45352</v>
      </c>
      <c r="S931" s="6">
        <v>40.01</v>
      </c>
      <c r="T931" s="6">
        <v>0.19</v>
      </c>
      <c r="U931" s="7">
        <v>45352</v>
      </c>
      <c r="V931" s="6">
        <v>139.32</v>
      </c>
      <c r="W931" s="6">
        <f ca="1">IFERROR(__xludf.DUMMYFUNCTION("IFERROR(GOOGLEFINANCE(B931,""pe""),V931)"),139.32)</f>
        <v>139.32</v>
      </c>
      <c r="X931" s="9"/>
      <c r="Y931" s="6">
        <v>2.6</v>
      </c>
      <c r="Z931" s="6">
        <v>2</v>
      </c>
      <c r="AA931" s="8">
        <v>45352</v>
      </c>
      <c r="AB931" s="4">
        <v>0.88</v>
      </c>
      <c r="AC931" s="6">
        <v>2.71</v>
      </c>
      <c r="AD931" s="6">
        <v>12.67</v>
      </c>
      <c r="AE931" s="1">
        <v>0</v>
      </c>
      <c r="AF931" s="1">
        <f ca="1">IFERROR(__xludf.DUMMYFUNCTION("IFERROR(GOOGLEFINANCE(TRIM(F931)&amp;"":"" &amp; TRIM(B931),""high52""),AE931)"),0)</f>
        <v>0</v>
      </c>
      <c r="AG931" s="1">
        <v>0</v>
      </c>
      <c r="AH931" s="1">
        <f ca="1">IFERROR(__xludf.DUMMYFUNCTION("IFERROR(GOOGLEFINANCE(TRIM(F931)&amp;"":"" &amp; TRIM(B931),""low52""),AE931)"),0)</f>
        <v>0</v>
      </c>
      <c r="AI931" s="1">
        <f ca="1">IFERROR(__xludf.DUMMYFUNCTION("IFERROR(GOOGLEFINANCE(B931,""eps""),0)"),0)</f>
        <v>0</v>
      </c>
      <c r="AJ931" s="1"/>
      <c r="AK931" s="6">
        <v>31.98</v>
      </c>
      <c r="AL931" s="9">
        <f t="shared" si="147"/>
        <v>1</v>
      </c>
    </row>
    <row r="932" spans="1:38" ht="15" x14ac:dyDescent="0.25">
      <c r="A932" s="1" t="s">
        <v>2847</v>
      </c>
      <c r="B932" s="1" t="s">
        <v>2848</v>
      </c>
      <c r="C932" s="1" t="s">
        <v>324</v>
      </c>
      <c r="D932" s="1" t="s">
        <v>324</v>
      </c>
      <c r="E932" s="6">
        <v>7573.55</v>
      </c>
      <c r="F932" s="1" t="s">
        <v>40</v>
      </c>
      <c r="G932" s="6">
        <f ca="1">IFERROR(__xludf.DUMMYFUNCTION("iferror(GOOGLEFINANCE(TRIM(F932)&amp;"":"" &amp; TRIM(B932), ""price""),0
)"),1185)</f>
        <v>1185</v>
      </c>
      <c r="H932" s="6">
        <v>1247.9000000000001</v>
      </c>
      <c r="I932" s="6">
        <f t="shared" ca="1" si="0"/>
        <v>1185</v>
      </c>
      <c r="J932" s="6">
        <f ca="1">IFERROR(__xludf.DUMMYFUNCTION("IFERROR(GOOGLEFINANCE(B932, ""volume""), 0)"),14239)</f>
        <v>14239</v>
      </c>
      <c r="K932" s="6">
        <v>-0.41</v>
      </c>
      <c r="L932" s="6">
        <f ca="1">IFERROR(__xludf.DUMMYFUNCTION("IFERROR(GOOGLEFINANCE(B932,""changepct""),K932)"),-1.14)</f>
        <v>-1.1399999999999999</v>
      </c>
      <c r="M932" s="6">
        <f ca="1">IFERROR(__xludf.DUMMYFUNCTION("IFERROR(GOOGLEFINANCE(B932,""change""),0)"),-13.7)</f>
        <v>-13.7</v>
      </c>
      <c r="N932" s="6">
        <v>2</v>
      </c>
      <c r="O932" s="7">
        <v>45536</v>
      </c>
      <c r="P932" s="6">
        <v>30</v>
      </c>
      <c r="Q932" s="6">
        <v>7449.62</v>
      </c>
      <c r="R932" s="7">
        <v>45536</v>
      </c>
      <c r="S932" s="6">
        <v>3443.51</v>
      </c>
      <c r="T932" s="6">
        <v>216.56</v>
      </c>
      <c r="U932" s="7">
        <v>45536</v>
      </c>
      <c r="V932" s="6">
        <v>34.97</v>
      </c>
      <c r="W932" s="6">
        <f ca="1">IFERROR(__xludf.DUMMYFUNCTION("IFERROR(GOOGLEFINANCE(B932,""pe""),V932)"),26.95)</f>
        <v>26.95</v>
      </c>
      <c r="X932" s="9"/>
      <c r="Y932" s="6">
        <v>5.87</v>
      </c>
      <c r="Z932" s="6">
        <v>2</v>
      </c>
      <c r="AA932" s="8">
        <v>45352</v>
      </c>
      <c r="AB932" s="4">
        <v>0.03</v>
      </c>
      <c r="AC932" s="6">
        <v>15.84</v>
      </c>
      <c r="AD932" s="6">
        <v>22.85</v>
      </c>
      <c r="AE932" s="1">
        <v>0</v>
      </c>
      <c r="AF932" s="1">
        <f ca="1">IFERROR(__xludf.DUMMYFUNCTION("IFERROR(GOOGLEFINANCE(TRIM(F932)&amp;"":"" &amp; TRIM(B932),""high52""),AE932)"),1525)</f>
        <v>1525</v>
      </c>
      <c r="AG932" s="1">
        <v>0</v>
      </c>
      <c r="AH932" s="1">
        <f ca="1">IFERROR(__xludf.DUMMYFUNCTION("IFERROR(GOOGLEFINANCE(TRIM(F932)&amp;"":"" &amp; TRIM(B932),""low52""),AE932)"),965.5)</f>
        <v>965.5</v>
      </c>
      <c r="AI932" s="1">
        <f ca="1">IFERROR(__xludf.DUMMYFUNCTION("IFERROR(GOOGLEFINANCE(B932,""eps""),0)"),43.97)</f>
        <v>43.97</v>
      </c>
      <c r="AJ932" s="1"/>
      <c r="AK932" s="1" t="s">
        <v>2849</v>
      </c>
      <c r="AL932" s="9">
        <f t="shared" si="147"/>
        <v>1</v>
      </c>
    </row>
    <row r="933" spans="1:38" ht="15" x14ac:dyDescent="0.25">
      <c r="A933" s="1" t="s">
        <v>2850</v>
      </c>
      <c r="B933" s="1" t="s">
        <v>2851</v>
      </c>
      <c r="C933" s="1" t="s">
        <v>75</v>
      </c>
      <c r="D933" s="1" t="s">
        <v>75</v>
      </c>
      <c r="E933" s="6">
        <v>2314.4</v>
      </c>
      <c r="F933" s="1" t="s">
        <v>40</v>
      </c>
      <c r="G933" s="6">
        <f ca="1">IFERROR(__xludf.DUMMYFUNCTION("iferror(GOOGLEFINANCE(TRIM(F933)&amp;"":"" &amp; TRIM(B933), ""price""),0
)"),77.18)</f>
        <v>77.180000000000007</v>
      </c>
      <c r="H933" s="6">
        <v>131.96</v>
      </c>
      <c r="I933" s="6">
        <f t="shared" ca="1" si="0"/>
        <v>77.180000000000007</v>
      </c>
      <c r="J933" s="6">
        <f ca="1">IFERROR(__xludf.DUMMYFUNCTION("IFERROR(GOOGLEFINANCE(B933, ""volume""), 0)"),330433)</f>
        <v>330433</v>
      </c>
      <c r="K933" s="6">
        <v>0.3</v>
      </c>
      <c r="L933" s="6">
        <f ca="1">IFERROR(__xludf.DUMMYFUNCTION("IFERROR(GOOGLEFINANCE(B933,""changepct""),K933)"),1.42)</f>
        <v>1.42</v>
      </c>
      <c r="M933" s="6">
        <f ca="1">IFERROR(__xludf.DUMMYFUNCTION("IFERROR(GOOGLEFINANCE(B933,""change""),0)"),1.08)</f>
        <v>1.08</v>
      </c>
      <c r="N933" s="6">
        <v>2</v>
      </c>
      <c r="O933" s="7">
        <v>45536</v>
      </c>
      <c r="P933" s="6">
        <v>248.53</v>
      </c>
      <c r="Q933" s="7">
        <v>45536</v>
      </c>
      <c r="R933" s="6">
        <v>9.34</v>
      </c>
      <c r="S933" s="6">
        <v>0.37</v>
      </c>
      <c r="T933" s="6">
        <v>2.4900000000000002</v>
      </c>
      <c r="U933" s="6">
        <v>2</v>
      </c>
      <c r="V933" s="7">
        <v>45352</v>
      </c>
      <c r="W933" s="6">
        <f ca="1">IFERROR(__xludf.DUMMYFUNCTION("IFERROR(GOOGLEFINANCE(B933,""pe""),V933)"),11.3)</f>
        <v>11.3</v>
      </c>
      <c r="X933" s="6">
        <v>0.11</v>
      </c>
      <c r="Y933" s="6">
        <v>22.04</v>
      </c>
      <c r="Z933" s="6">
        <v>29.96</v>
      </c>
      <c r="AA933" s="3" t="s">
        <v>2852</v>
      </c>
      <c r="AB933" s="3"/>
      <c r="AC933" s="9"/>
      <c r="AD933" s="9"/>
      <c r="AE933" s="1">
        <v>0</v>
      </c>
      <c r="AF933" s="1">
        <f ca="1">IFERROR(__xludf.DUMMYFUNCTION("IFERROR(GOOGLEFINANCE(TRIM(F933)&amp;"":"" &amp; TRIM(B933),""high52""),AE933)"),111.05)</f>
        <v>111.05</v>
      </c>
      <c r="AG933" s="1">
        <v>0</v>
      </c>
      <c r="AH933" s="1">
        <f ca="1">IFERROR(__xludf.DUMMYFUNCTION("IFERROR(GOOGLEFINANCE(TRIM(F933)&amp;"":"" &amp; TRIM(B933),""low52""),AE933)"),68)</f>
        <v>68</v>
      </c>
      <c r="AI933" s="1">
        <f ca="1">IFERROR(__xludf.DUMMYFUNCTION("IFERROR(GOOGLEFINANCE(B933,""eps""),0)"),6.83)</f>
        <v>6.83</v>
      </c>
      <c r="AJ933" s="1"/>
      <c r="AK933" s="1" t="s">
        <v>2853</v>
      </c>
      <c r="AL933" s="9">
        <f t="shared" si="147"/>
        <v>1</v>
      </c>
    </row>
    <row r="934" spans="1:38" ht="15" x14ac:dyDescent="0.25">
      <c r="A934" s="1" t="s">
        <v>2854</v>
      </c>
      <c r="B934" s="1" t="s">
        <v>2855</v>
      </c>
      <c r="C934" s="1" t="s">
        <v>324</v>
      </c>
      <c r="D934" s="1" t="s">
        <v>324</v>
      </c>
      <c r="E934" s="6">
        <v>85.83</v>
      </c>
      <c r="F934" s="1" t="s">
        <v>53</v>
      </c>
      <c r="G934" s="6">
        <f ca="1">IFERROR(__xludf.DUMMYFUNCTION("iferror(GOOGLEFINANCE(TRIM(F934)&amp;"":"" &amp; TRIM(B934), ""price""),0
)"),0)</f>
        <v>0</v>
      </c>
      <c r="H934" s="6">
        <v>69.680000000000007</v>
      </c>
      <c r="I934" s="6">
        <f t="shared" ca="1" si="0"/>
        <v>69.680000000000007</v>
      </c>
      <c r="J934" s="6">
        <f ca="1">IFERROR(__xludf.DUMMYFUNCTION("IFERROR(GOOGLEFINANCE(B934, ""volume""), 0)"),0)</f>
        <v>0</v>
      </c>
      <c r="K934" s="6">
        <v>1.07</v>
      </c>
      <c r="L934" s="6">
        <f ca="1">IFERROR(__xludf.DUMMYFUNCTION("IFERROR(GOOGLEFINANCE(B934,""changepct""),K934)"),1.07)</f>
        <v>1.07</v>
      </c>
      <c r="M934" s="6">
        <f ca="1">IFERROR(__xludf.DUMMYFUNCTION("IFERROR(GOOGLEFINANCE(B934,""change""),0)"),0)</f>
        <v>0</v>
      </c>
      <c r="N934" s="6">
        <v>1</v>
      </c>
      <c r="O934" s="15">
        <v>45536</v>
      </c>
      <c r="P934" s="6">
        <v>278.99</v>
      </c>
      <c r="Q934" s="6">
        <v>363.28</v>
      </c>
      <c r="R934" s="15">
        <v>45536</v>
      </c>
      <c r="S934" s="6">
        <v>148.69999999999999</v>
      </c>
      <c r="T934" s="6">
        <v>-36.17</v>
      </c>
      <c r="U934" s="15">
        <v>45536</v>
      </c>
      <c r="V934" s="6">
        <v>0</v>
      </c>
      <c r="W934" s="6">
        <f ca="1">IFERROR(__xludf.DUMMYFUNCTION("IFERROR(GOOGLEFINANCE(B934,""pe""),V934)"),0)</f>
        <v>0</v>
      </c>
      <c r="X934" s="9"/>
      <c r="Y934" s="6">
        <v>1.56</v>
      </c>
      <c r="Z934" s="6">
        <v>1</v>
      </c>
      <c r="AA934" s="8">
        <v>45352</v>
      </c>
      <c r="AB934" s="4">
        <v>3.47</v>
      </c>
      <c r="AC934" s="6">
        <v>-29.26</v>
      </c>
      <c r="AD934" s="6">
        <v>-5.36</v>
      </c>
      <c r="AE934" s="1">
        <v>0</v>
      </c>
      <c r="AF934" s="1">
        <f ca="1">IFERROR(__xludf.DUMMYFUNCTION("IFERROR(GOOGLEFINANCE(TRIM(F934)&amp;"":"" &amp; TRIM(B934),""high52""),AE934)"),0)</f>
        <v>0</v>
      </c>
      <c r="AG934" s="1">
        <v>0</v>
      </c>
      <c r="AH934" s="1">
        <f ca="1">IFERROR(__xludf.DUMMYFUNCTION("IFERROR(GOOGLEFINANCE(TRIM(F934)&amp;"":"" &amp; TRIM(B934),""low52""),AE934)"),0)</f>
        <v>0</v>
      </c>
      <c r="AI934" s="1">
        <f ca="1">IFERROR(__xludf.DUMMYFUNCTION("IFERROR(GOOGLEFINANCE(B934,""eps""),0)"),0)</f>
        <v>0</v>
      </c>
      <c r="AJ934" s="1"/>
      <c r="AK934" s="1" t="s">
        <v>2856</v>
      </c>
      <c r="AL934" s="9">
        <f t="shared" si="147"/>
        <v>1</v>
      </c>
    </row>
    <row r="935" spans="1:38" ht="15" x14ac:dyDescent="0.25">
      <c r="A935" s="1" t="s">
        <v>2857</v>
      </c>
      <c r="B935" s="1" t="s">
        <v>2858</v>
      </c>
      <c r="C935" s="1" t="s">
        <v>186</v>
      </c>
      <c r="D935" s="1" t="s">
        <v>186</v>
      </c>
      <c r="E935" s="6">
        <v>2698.27</v>
      </c>
      <c r="F935" s="1" t="s">
        <v>40</v>
      </c>
      <c r="G935" s="6">
        <f ca="1">IFERROR(__xludf.DUMMYFUNCTION("iferror(GOOGLEFINANCE(TRIM(F935)&amp;"":"" &amp; TRIM(B935), ""price""),0
)"),319)</f>
        <v>319</v>
      </c>
      <c r="H935" s="6">
        <v>475</v>
      </c>
      <c r="I935" s="6">
        <f t="shared" ca="1" si="0"/>
        <v>319</v>
      </c>
      <c r="J935" s="6">
        <f ca="1">IFERROR(__xludf.DUMMYFUNCTION("IFERROR(GOOGLEFINANCE(B935, ""volume""), 0)"),31756)</f>
        <v>31756</v>
      </c>
      <c r="K935" s="6">
        <v>0.18</v>
      </c>
      <c r="L935" s="6">
        <f ca="1">IFERROR(__xludf.DUMMYFUNCTION("IFERROR(GOOGLEFINANCE(B935,""changepct""),K935)"),1.09)</f>
        <v>1.0900000000000001</v>
      </c>
      <c r="M935" s="6">
        <f ca="1">IFERROR(__xludf.DUMMYFUNCTION("IFERROR(GOOGLEFINANCE(B935,""change""),0)"),3.45)</f>
        <v>3.45</v>
      </c>
      <c r="N935" s="6">
        <v>2</v>
      </c>
      <c r="O935" s="7">
        <v>45536</v>
      </c>
      <c r="P935" s="6">
        <v>355.41</v>
      </c>
      <c r="Q935" s="6">
        <v>3051.29</v>
      </c>
      <c r="R935" s="7">
        <v>45536</v>
      </c>
      <c r="S935" s="6">
        <v>1612.12</v>
      </c>
      <c r="T935" s="6">
        <v>93.32</v>
      </c>
      <c r="U935" s="7">
        <v>45536</v>
      </c>
      <c r="V935" s="6">
        <v>29.13</v>
      </c>
      <c r="W935" s="6">
        <f ca="1">IFERROR(__xludf.DUMMYFUNCTION("IFERROR(GOOGLEFINANCE(B935,""pe""),V935)"),17.11)</f>
        <v>17.11</v>
      </c>
      <c r="X935" s="6">
        <v>7.04</v>
      </c>
      <c r="Y935" s="6">
        <v>3.35</v>
      </c>
      <c r="Z935" s="6">
        <v>2</v>
      </c>
      <c r="AA935" s="8">
        <v>45352</v>
      </c>
      <c r="AB935" s="4">
        <v>0.39</v>
      </c>
      <c r="AC935" s="6">
        <v>12.28</v>
      </c>
      <c r="AD935" s="6">
        <v>14.45</v>
      </c>
      <c r="AE935" s="1">
        <v>0</v>
      </c>
      <c r="AF935" s="1">
        <f ca="1">IFERROR(__xludf.DUMMYFUNCTION("IFERROR(GOOGLEFINANCE(TRIM(F935)&amp;"":"" &amp; TRIM(B935),""high52""),AE935)"),445)</f>
        <v>445</v>
      </c>
      <c r="AG935" s="1">
        <v>0</v>
      </c>
      <c r="AH935" s="1">
        <f ca="1">IFERROR(__xludf.DUMMYFUNCTION("IFERROR(GOOGLEFINANCE(TRIM(F935)&amp;"":"" &amp; TRIM(B935),""low52""),AE935)"),306)</f>
        <v>306</v>
      </c>
      <c r="AI935" s="1">
        <f ca="1">IFERROR(__xludf.DUMMYFUNCTION("IFERROR(GOOGLEFINANCE(B935,""eps""),0)"),18.64)</f>
        <v>18.64</v>
      </c>
      <c r="AJ935" s="1"/>
      <c r="AK935" s="1" t="s">
        <v>2859</v>
      </c>
      <c r="AL935" s="9">
        <f t="shared" si="147"/>
        <v>1</v>
      </c>
    </row>
    <row r="936" spans="1:38" ht="15" x14ac:dyDescent="0.25">
      <c r="A936" s="1" t="s">
        <v>2860</v>
      </c>
      <c r="B936" s="1" t="s">
        <v>2861</v>
      </c>
      <c r="C936" s="1" t="s">
        <v>324</v>
      </c>
      <c r="D936" s="1" t="s">
        <v>324</v>
      </c>
      <c r="E936" s="6">
        <v>55.31</v>
      </c>
      <c r="F936" s="1" t="s">
        <v>53</v>
      </c>
      <c r="G936" s="6">
        <f ca="1">IFERROR(__xludf.DUMMYFUNCTION("iferror(GOOGLEFINANCE(TRIM(F936)&amp;"":"" &amp; TRIM(B936), ""price""),0
)"),0)</f>
        <v>0</v>
      </c>
      <c r="H936" s="6">
        <v>6.95</v>
      </c>
      <c r="I936" s="6">
        <f t="shared" ca="1" si="0"/>
        <v>6.95</v>
      </c>
      <c r="J936" s="6">
        <f ca="1">IFERROR(__xludf.DUMMYFUNCTION("IFERROR(GOOGLEFINANCE(B936, ""volume""), 0)"),0)</f>
        <v>0</v>
      </c>
      <c r="K936" s="6">
        <v>-1</v>
      </c>
      <c r="L936" s="6">
        <f ca="1">IFERROR(__xludf.DUMMYFUNCTION("IFERROR(GOOGLEFINANCE(B936,""changepct""),K936)"),-1)</f>
        <v>-1</v>
      </c>
      <c r="M936" s="6">
        <f ca="1">IFERROR(__xludf.DUMMYFUNCTION("IFERROR(GOOGLEFINANCE(B936,""change""),0)"),0)</f>
        <v>0</v>
      </c>
      <c r="N936" s="6">
        <v>1</v>
      </c>
      <c r="O936" s="7">
        <v>45536</v>
      </c>
      <c r="P936" s="6">
        <v>36.76</v>
      </c>
      <c r="Q936" s="6">
        <v>92.07</v>
      </c>
      <c r="R936" s="7">
        <v>45536</v>
      </c>
      <c r="S936" s="6">
        <v>0</v>
      </c>
      <c r="T936" s="6">
        <v>-0.76</v>
      </c>
      <c r="U936" s="7">
        <v>45536</v>
      </c>
      <c r="V936" s="6">
        <v>0</v>
      </c>
      <c r="W936" s="6">
        <f ca="1">IFERROR(__xludf.DUMMYFUNCTION("IFERROR(GOOGLEFINANCE(B936,""pe""),V936)"),0)</f>
        <v>0</v>
      </c>
      <c r="X936" s="6">
        <v>0</v>
      </c>
      <c r="Y936" s="6">
        <v>-1.56</v>
      </c>
      <c r="Z936" s="6">
        <v>1</v>
      </c>
      <c r="AA936" s="8">
        <v>45352</v>
      </c>
      <c r="AB936" s="4">
        <v>-1.03</v>
      </c>
      <c r="AC936" s="6">
        <v>0</v>
      </c>
      <c r="AD936" s="6">
        <v>-44.86</v>
      </c>
      <c r="AE936" s="1">
        <v>0</v>
      </c>
      <c r="AF936" s="1">
        <f ca="1">IFERROR(__xludf.DUMMYFUNCTION("IFERROR(GOOGLEFINANCE(TRIM(F936)&amp;"":"" &amp; TRIM(B936),""high52""),AE936)"),0)</f>
        <v>0</v>
      </c>
      <c r="AG936" s="1">
        <v>0</v>
      </c>
      <c r="AH936" s="1">
        <f ca="1">IFERROR(__xludf.DUMMYFUNCTION("IFERROR(GOOGLEFINANCE(TRIM(F936)&amp;"":"" &amp; TRIM(B936),""low52""),AE936)"),0)</f>
        <v>0</v>
      </c>
      <c r="AI936" s="1">
        <f ca="1">IFERROR(__xludf.DUMMYFUNCTION("IFERROR(GOOGLEFINANCE(B936,""eps""),0)"),0)</f>
        <v>0</v>
      </c>
      <c r="AJ936" s="1"/>
      <c r="AK936" s="1" t="s">
        <v>2862</v>
      </c>
      <c r="AL936" s="9">
        <f t="shared" si="147"/>
        <v>1</v>
      </c>
    </row>
    <row r="937" spans="1:38" ht="15" x14ac:dyDescent="0.25">
      <c r="A937" s="1" t="s">
        <v>2863</v>
      </c>
      <c r="B937" s="1" t="s">
        <v>2864</v>
      </c>
      <c r="C937" s="1" t="s">
        <v>324</v>
      </c>
      <c r="D937" s="1" t="s">
        <v>324</v>
      </c>
      <c r="E937" s="6">
        <v>3.72</v>
      </c>
      <c r="F937" s="1" t="s">
        <v>53</v>
      </c>
      <c r="G937" s="6">
        <f ca="1">IFERROR(__xludf.DUMMYFUNCTION("iferror(GOOGLEFINANCE(TRIM(F937)&amp;"":"" &amp; TRIM(B937), ""price""),0
)"),0)</f>
        <v>0</v>
      </c>
      <c r="H937" s="6">
        <v>12.4</v>
      </c>
      <c r="I937" s="6">
        <f t="shared" ca="1" si="0"/>
        <v>12.4</v>
      </c>
      <c r="J937" s="6">
        <f ca="1">IFERROR(__xludf.DUMMYFUNCTION("IFERROR(GOOGLEFINANCE(B937, ""volume""), 0)"),0)</f>
        <v>0</v>
      </c>
      <c r="K937" s="6">
        <v>0</v>
      </c>
      <c r="L937" s="6">
        <f ca="1">IFERROR(__xludf.DUMMYFUNCTION("IFERROR(GOOGLEFINANCE(B937,""changepct""),K937)"),0)</f>
        <v>0</v>
      </c>
      <c r="M937" s="6">
        <f ca="1">IFERROR(__xludf.DUMMYFUNCTION("IFERROR(GOOGLEFINANCE(B937,""change""),0)"),0)</f>
        <v>0</v>
      </c>
      <c r="N937" s="6">
        <v>1</v>
      </c>
      <c r="O937" s="7">
        <v>45536</v>
      </c>
      <c r="P937" s="6">
        <v>0.3</v>
      </c>
      <c r="Q937" s="6">
        <v>4.0199999999999996</v>
      </c>
      <c r="R937" s="7">
        <v>45536</v>
      </c>
      <c r="S937" s="6">
        <v>0.05</v>
      </c>
      <c r="T937" s="6">
        <v>-0.28999999999999998</v>
      </c>
      <c r="U937" s="7">
        <v>45536</v>
      </c>
      <c r="V937" s="6">
        <v>0</v>
      </c>
      <c r="W937" s="6">
        <f ca="1">IFERROR(__xludf.DUMMYFUNCTION("IFERROR(GOOGLEFINANCE(B937,""pe""),V937)"),0)</f>
        <v>0</v>
      </c>
      <c r="X937" s="9"/>
      <c r="Y937" s="6">
        <v>3.6</v>
      </c>
      <c r="Z937" s="6">
        <v>1</v>
      </c>
      <c r="AA937" s="8">
        <v>45352</v>
      </c>
      <c r="AB937" s="4">
        <v>0.28999999999999998</v>
      </c>
      <c r="AC937" s="6">
        <v>-24.26</v>
      </c>
      <c r="AD937" s="6">
        <v>-18.57</v>
      </c>
      <c r="AE937" s="1">
        <v>0</v>
      </c>
      <c r="AF937" s="1">
        <f ca="1">IFERROR(__xludf.DUMMYFUNCTION("IFERROR(GOOGLEFINANCE(TRIM(F937)&amp;"":"" &amp; TRIM(B937),""high52""),AE937)"),0)</f>
        <v>0</v>
      </c>
      <c r="AG937" s="1">
        <v>0</v>
      </c>
      <c r="AH937" s="1">
        <f ca="1">IFERROR(__xludf.DUMMYFUNCTION("IFERROR(GOOGLEFINANCE(TRIM(F937)&amp;"":"" &amp; TRIM(B937),""low52""),AE937)"),0)</f>
        <v>0</v>
      </c>
      <c r="AI937" s="1">
        <f ca="1">IFERROR(__xludf.DUMMYFUNCTION("IFERROR(GOOGLEFINANCE(B937,""eps""),0)"),0)</f>
        <v>0</v>
      </c>
      <c r="AJ937" s="1"/>
      <c r="AK937" s="1" t="s">
        <v>2865</v>
      </c>
      <c r="AL937" s="9">
        <f t="shared" si="147"/>
        <v>1</v>
      </c>
    </row>
    <row r="938" spans="1:38" ht="15" x14ac:dyDescent="0.25">
      <c r="A938" s="1" t="s">
        <v>2866</v>
      </c>
      <c r="B938" s="1" t="s">
        <v>2867</v>
      </c>
      <c r="C938" s="1" t="s">
        <v>1118</v>
      </c>
      <c r="D938" s="1" t="s">
        <v>1118</v>
      </c>
      <c r="E938" s="6">
        <v>98.25</v>
      </c>
      <c r="F938" s="1" t="s">
        <v>40</v>
      </c>
      <c r="G938" s="6">
        <f ca="1">IFERROR(__xludf.DUMMYFUNCTION("iferror(GOOGLEFINANCE(TRIM(F938)&amp;"":"" &amp; TRIM(B938), ""price""),0
)"),0)</f>
        <v>0</v>
      </c>
      <c r="H938" s="6">
        <v>39.35</v>
      </c>
      <c r="I938" s="6">
        <f t="shared" ca="1" si="0"/>
        <v>39.35</v>
      </c>
      <c r="J938" s="6">
        <f ca="1">IFERROR(__xludf.DUMMYFUNCTION("IFERROR(GOOGLEFINANCE(B938, ""volume""), 0)"),0)</f>
        <v>0</v>
      </c>
      <c r="K938" s="12"/>
      <c r="L938" s="6" t="str">
        <f ca="1">IFERROR(__xludf.DUMMYFUNCTION("IFERROR(GOOGLEFINANCE(B938,""changepct""),K938)"),"")</f>
        <v/>
      </c>
      <c r="M938" s="6">
        <f ca="1">IFERROR(__xludf.DUMMYFUNCTION("IFERROR(GOOGLEFINANCE(B938,""change""),0)"),0)</f>
        <v>0</v>
      </c>
      <c r="N938" s="6">
        <v>1</v>
      </c>
      <c r="O938" s="7">
        <v>45536</v>
      </c>
      <c r="P938" s="6">
        <v>121.77</v>
      </c>
      <c r="Q938" s="6">
        <v>220.02</v>
      </c>
      <c r="R938" s="7">
        <v>45352</v>
      </c>
      <c r="S938" s="6">
        <v>135.49</v>
      </c>
      <c r="T938" s="6">
        <v>7.02</v>
      </c>
      <c r="U938" s="7">
        <v>45352</v>
      </c>
      <c r="V938" s="6">
        <v>14</v>
      </c>
      <c r="W938" s="6">
        <f ca="1">IFERROR(__xludf.DUMMYFUNCTION("IFERROR(GOOGLEFINANCE(B938,""pe""),V938)"),14)</f>
        <v>14</v>
      </c>
      <c r="X938" s="12"/>
      <c r="Y938" s="6">
        <v>1.7</v>
      </c>
      <c r="Z938" s="6">
        <v>1</v>
      </c>
      <c r="AA938" s="8">
        <v>45352</v>
      </c>
      <c r="AB938" s="4">
        <v>1.82</v>
      </c>
      <c r="AC938" s="6">
        <v>13.02</v>
      </c>
      <c r="AD938" s="6">
        <v>8.84</v>
      </c>
      <c r="AE938" s="1">
        <v>0</v>
      </c>
      <c r="AF938" s="1">
        <f ca="1">IFERROR(__xludf.DUMMYFUNCTION("IFERROR(GOOGLEFINANCE(TRIM(F938)&amp;"":"" &amp; TRIM(B938),""high52""),AE938)"),0)</f>
        <v>0</v>
      </c>
      <c r="AG938" s="1">
        <v>0</v>
      </c>
      <c r="AH938" s="1">
        <f ca="1">IFERROR(__xludf.DUMMYFUNCTION("IFERROR(GOOGLEFINANCE(TRIM(F938)&amp;"":"" &amp; TRIM(B938),""low52""),AE938)"),0)</f>
        <v>0</v>
      </c>
      <c r="AI938" s="1">
        <f ca="1">IFERROR(__xludf.DUMMYFUNCTION("IFERROR(GOOGLEFINANCE(B938,""eps""),0)"),0)</f>
        <v>0</v>
      </c>
      <c r="AJ938" s="1"/>
      <c r="AK938" s="1" t="s">
        <v>2868</v>
      </c>
      <c r="AL938" s="9">
        <f t="shared" si="147"/>
        <v>1</v>
      </c>
    </row>
    <row r="939" spans="1:38" ht="15" x14ac:dyDescent="0.25">
      <c r="A939" s="1" t="s">
        <v>2869</v>
      </c>
      <c r="B939" s="1" t="s">
        <v>2870</v>
      </c>
      <c r="C939" s="1" t="s">
        <v>103</v>
      </c>
      <c r="D939" s="1" t="s">
        <v>103</v>
      </c>
      <c r="E939" s="6">
        <v>2270.66</v>
      </c>
      <c r="F939" s="1" t="s">
        <v>40</v>
      </c>
      <c r="G939" s="6">
        <f ca="1">IFERROR(__xludf.DUMMYFUNCTION("iferror(GOOGLEFINANCE(TRIM(F939)&amp;"":"" &amp; TRIM(B939), ""price""),0
)"),427.9)</f>
        <v>427.9</v>
      </c>
      <c r="H939" s="6">
        <v>562</v>
      </c>
      <c r="I939" s="6">
        <f t="shared" ca="1" si="0"/>
        <v>427.9</v>
      </c>
      <c r="J939" s="6">
        <f ca="1">IFERROR(__xludf.DUMMYFUNCTION("IFERROR(GOOGLEFINANCE(B939, ""volume""), 0)"),6990)</f>
        <v>6990</v>
      </c>
      <c r="K939" s="6">
        <v>-1.08</v>
      </c>
      <c r="L939" s="6">
        <f ca="1">IFERROR(__xludf.DUMMYFUNCTION("IFERROR(GOOGLEFINANCE(B939,""changepct""),K939)"),0.65)</f>
        <v>0.65</v>
      </c>
      <c r="M939" s="6">
        <f ca="1">IFERROR(__xludf.DUMMYFUNCTION("IFERROR(GOOGLEFINANCE(B939,""change""),0)"),2.75)</f>
        <v>2.75</v>
      </c>
      <c r="N939" s="6">
        <v>2</v>
      </c>
      <c r="O939" s="7">
        <v>45536</v>
      </c>
      <c r="P939" s="9"/>
      <c r="Q939" s="6">
        <v>2264.73</v>
      </c>
      <c r="R939" s="7">
        <v>45536</v>
      </c>
      <c r="S939" s="6">
        <v>28.8</v>
      </c>
      <c r="T939" s="6">
        <v>22.38</v>
      </c>
      <c r="U939" s="7">
        <v>45536</v>
      </c>
      <c r="V939" s="6">
        <v>101.44</v>
      </c>
      <c r="W939" s="6">
        <f ca="1">IFERROR(__xludf.DUMMYFUNCTION("IFERROR(GOOGLEFINANCE(B939,""pe""),V939)"),32.35)</f>
        <v>32.35</v>
      </c>
      <c r="X939" s="12"/>
      <c r="Y939" s="6">
        <v>9.3699999999999992</v>
      </c>
      <c r="Z939" s="6">
        <v>2</v>
      </c>
      <c r="AA939" s="8">
        <v>45352</v>
      </c>
      <c r="AB939" s="4">
        <v>0</v>
      </c>
      <c r="AC939" s="6">
        <v>2.8</v>
      </c>
      <c r="AD939" s="6">
        <v>0.56999999999999995</v>
      </c>
      <c r="AE939" s="1">
        <v>0</v>
      </c>
      <c r="AF939" s="1">
        <f ca="1">IFERROR(__xludf.DUMMYFUNCTION("IFERROR(GOOGLEFINANCE(TRIM(F939)&amp;"":"" &amp; TRIM(B939),""high52""),AE939)"),501.95)</f>
        <v>501.95</v>
      </c>
      <c r="AG939" s="1">
        <v>0</v>
      </c>
      <c r="AH939" s="1">
        <f ca="1">IFERROR(__xludf.DUMMYFUNCTION("IFERROR(GOOGLEFINANCE(TRIM(F939)&amp;"":"" &amp; TRIM(B939),""low52""),AE939)"),201)</f>
        <v>201</v>
      </c>
      <c r="AI939" s="1">
        <f ca="1">IFERROR(__xludf.DUMMYFUNCTION("IFERROR(GOOGLEFINANCE(B939,""eps""),0)"),13.23)</f>
        <v>13.23</v>
      </c>
      <c r="AJ939" s="1"/>
      <c r="AK939" s="1" t="s">
        <v>2871</v>
      </c>
      <c r="AL939" s="9">
        <f t="shared" si="147"/>
        <v>1</v>
      </c>
    </row>
    <row r="940" spans="1:38" ht="15" x14ac:dyDescent="0.25">
      <c r="A940" s="1" t="s">
        <v>2872</v>
      </c>
      <c r="B940" s="1" t="s">
        <v>2873</v>
      </c>
      <c r="C940" s="1" t="s">
        <v>2874</v>
      </c>
      <c r="D940" s="1" t="s">
        <v>2874</v>
      </c>
      <c r="E940" s="6">
        <v>17092.259999999998</v>
      </c>
      <c r="F940" s="1" t="s">
        <v>40</v>
      </c>
      <c r="G940" s="6">
        <f ca="1">IFERROR(__xludf.DUMMYFUNCTION("iferror(GOOGLEFINANCE(TRIM(F940)&amp;"":"" &amp; TRIM(B940), ""price""),0
)"),2356)</f>
        <v>2356</v>
      </c>
      <c r="H940" s="6">
        <v>2788.8</v>
      </c>
      <c r="I940" s="6">
        <f t="shared" ca="1" si="0"/>
        <v>2356</v>
      </c>
      <c r="J940" s="6">
        <f ca="1">IFERROR(__xludf.DUMMYFUNCTION("IFERROR(GOOGLEFINANCE(B940, ""volume""), 0)"),24959)</f>
        <v>24959</v>
      </c>
      <c r="K940" s="6">
        <v>-0.87</v>
      </c>
      <c r="L940" s="6">
        <f ca="1">IFERROR(__xludf.DUMMYFUNCTION("IFERROR(GOOGLEFINANCE(B940,""changepct""),K940)"),-0.56)</f>
        <v>-0.56000000000000005</v>
      </c>
      <c r="M940" s="6">
        <f ca="1">IFERROR(__xludf.DUMMYFUNCTION("IFERROR(GOOGLEFINANCE(B940,""change""),0)"),-13.2)</f>
        <v>-13.2</v>
      </c>
      <c r="N940" s="6">
        <v>2</v>
      </c>
      <c r="O940" s="7">
        <v>45536</v>
      </c>
      <c r="P940" s="6">
        <v>142.88</v>
      </c>
      <c r="Q940" s="6">
        <v>16937.13</v>
      </c>
      <c r="R940" s="7">
        <v>45536</v>
      </c>
      <c r="S940" s="6">
        <v>1678.13</v>
      </c>
      <c r="T940" s="6">
        <v>193.66</v>
      </c>
      <c r="U940" s="7">
        <v>45536</v>
      </c>
      <c r="V940" s="6">
        <v>92.05</v>
      </c>
      <c r="W940" s="6">
        <f ca="1">IFERROR(__xludf.DUMMYFUNCTION("IFERROR(GOOGLEFINANCE(B940,""pe""),V940)"),67.64)</f>
        <v>67.64</v>
      </c>
      <c r="X940" s="9"/>
      <c r="Y940" s="6">
        <v>18.96</v>
      </c>
      <c r="Z940" s="6">
        <v>2</v>
      </c>
      <c r="AA940" s="8">
        <v>45352</v>
      </c>
      <c r="AB940" s="4">
        <v>0.14000000000000001</v>
      </c>
      <c r="AC940" s="6">
        <v>27.72</v>
      </c>
      <c r="AD940" s="6">
        <v>33.869999999999997</v>
      </c>
      <c r="AE940" s="1">
        <v>0</v>
      </c>
      <c r="AF940" s="1">
        <f ca="1">IFERROR(__xludf.DUMMYFUNCTION("IFERROR(GOOGLEFINANCE(TRIM(F940)&amp;"":"" &amp; TRIM(B940),""high52""),AE940)"),3064.6)</f>
        <v>3064.6</v>
      </c>
      <c r="AG940" s="1">
        <v>0</v>
      </c>
      <c r="AH940" s="1">
        <f ca="1">IFERROR(__xludf.DUMMYFUNCTION("IFERROR(GOOGLEFINANCE(TRIM(F940)&amp;"":"" &amp; TRIM(B940),""low52""),AE940)"),2250)</f>
        <v>2250</v>
      </c>
      <c r="AI940" s="1">
        <f ca="1">IFERROR(__xludf.DUMMYFUNCTION("IFERROR(GOOGLEFINANCE(B940,""eps""),0)"),34.83)</f>
        <v>34.83</v>
      </c>
      <c r="AJ940" s="1"/>
      <c r="AK940" s="1" t="s">
        <v>2875</v>
      </c>
      <c r="AL940" s="9">
        <f t="shared" si="147"/>
        <v>1</v>
      </c>
    </row>
    <row r="941" spans="1:38" ht="15" x14ac:dyDescent="0.25">
      <c r="A941" s="1" t="s">
        <v>2876</v>
      </c>
      <c r="B941" s="1" t="s">
        <v>2877</v>
      </c>
      <c r="C941" s="1" t="s">
        <v>186</v>
      </c>
      <c r="D941" s="1" t="s">
        <v>186</v>
      </c>
      <c r="E941" s="6">
        <v>876.98</v>
      </c>
      <c r="F941" s="1" t="s">
        <v>40</v>
      </c>
      <c r="G941" s="6">
        <f ca="1">IFERROR(__xludf.DUMMYFUNCTION("iferror(GOOGLEFINANCE(TRIM(F941)&amp;"":"" &amp; TRIM(B941), ""price""),0
)"),89.9)</f>
        <v>89.9</v>
      </c>
      <c r="H941" s="6">
        <v>169.17</v>
      </c>
      <c r="I941" s="6">
        <f t="shared" ca="1" si="0"/>
        <v>89.9</v>
      </c>
      <c r="J941" s="6">
        <f ca="1">IFERROR(__xludf.DUMMYFUNCTION("IFERROR(GOOGLEFINANCE(B941, ""volume""), 0)"),35156)</f>
        <v>35156</v>
      </c>
      <c r="K941" s="6">
        <v>0.36</v>
      </c>
      <c r="L941" s="6">
        <f ca="1">IFERROR(__xludf.DUMMYFUNCTION("IFERROR(GOOGLEFINANCE(B941,""changepct""),K941)"),2.02)</f>
        <v>2.02</v>
      </c>
      <c r="M941" s="6">
        <f ca="1">IFERROR(__xludf.DUMMYFUNCTION("IFERROR(GOOGLEFINANCE(B941,""change""),0)"),1.78)</f>
        <v>1.78</v>
      </c>
      <c r="N941" s="6">
        <v>2</v>
      </c>
      <c r="O941" s="7">
        <v>45536</v>
      </c>
      <c r="P941" s="6">
        <v>391.73</v>
      </c>
      <c r="Q941" s="6">
        <v>1258.1300000000001</v>
      </c>
      <c r="R941" s="7">
        <v>45352</v>
      </c>
      <c r="S941" s="6">
        <v>799.14</v>
      </c>
      <c r="T941" s="6">
        <v>34.71</v>
      </c>
      <c r="U941" s="7">
        <v>45352</v>
      </c>
      <c r="V941" s="6">
        <v>25.27</v>
      </c>
      <c r="W941" s="6">
        <f ca="1">IFERROR(__xludf.DUMMYFUNCTION("IFERROR(GOOGLEFINANCE(B941,""pe""),V941)"),13.87)</f>
        <v>13.87</v>
      </c>
      <c r="X941" s="9"/>
      <c r="Y941" s="6">
        <v>3.92</v>
      </c>
      <c r="Z941" s="6">
        <v>2</v>
      </c>
      <c r="AA941" s="8">
        <v>45352</v>
      </c>
      <c r="AB941" s="4">
        <v>1.65</v>
      </c>
      <c r="AC941" s="6">
        <v>16.97</v>
      </c>
      <c r="AD941" s="6">
        <v>14.72</v>
      </c>
      <c r="AE941" s="1">
        <v>0</v>
      </c>
      <c r="AF941" s="1">
        <f ca="1">IFERROR(__xludf.DUMMYFUNCTION("IFERROR(GOOGLEFINANCE(TRIM(F941)&amp;"":"" &amp; TRIM(B941),""high52""),AE941)"),135)</f>
        <v>135</v>
      </c>
      <c r="AG941" s="1">
        <v>0</v>
      </c>
      <c r="AH941" s="1">
        <f ca="1">IFERROR(__xludf.DUMMYFUNCTION("IFERROR(GOOGLEFINANCE(TRIM(F941)&amp;"":"" &amp; TRIM(B941),""low52""),AE941)"),77.6)</f>
        <v>77.599999999999994</v>
      </c>
      <c r="AI941" s="1">
        <f ca="1">IFERROR(__xludf.DUMMYFUNCTION("IFERROR(GOOGLEFINANCE(B941,""eps""),0)"),6.48)</f>
        <v>6.48</v>
      </c>
      <c r="AJ941" s="1"/>
      <c r="AK941" s="1" t="s">
        <v>2878</v>
      </c>
      <c r="AL941" s="9">
        <f t="shared" si="147"/>
        <v>1</v>
      </c>
    </row>
    <row r="942" spans="1:38" ht="15" x14ac:dyDescent="0.25">
      <c r="A942" s="1" t="s">
        <v>2879</v>
      </c>
      <c r="B942" s="1" t="s">
        <v>2880</v>
      </c>
      <c r="C942" s="1" t="s">
        <v>163</v>
      </c>
      <c r="D942" s="1" t="s">
        <v>163</v>
      </c>
      <c r="E942" s="6">
        <v>25080.5</v>
      </c>
      <c r="F942" s="1" t="s">
        <v>40</v>
      </c>
      <c r="G942" s="6">
        <f ca="1">IFERROR(__xludf.DUMMYFUNCTION("iferror(GOOGLEFINANCE(TRIM(F942)&amp;"":"" &amp; TRIM(B942), ""price""),0
)"),1425.1)</f>
        <v>1425.1</v>
      </c>
      <c r="H942" s="6">
        <v>2976</v>
      </c>
      <c r="I942" s="6">
        <f t="shared" ca="1" si="0"/>
        <v>1425.1</v>
      </c>
      <c r="J942" s="6">
        <f ca="1">IFERROR(__xludf.DUMMYFUNCTION("IFERROR(GOOGLEFINANCE(B942, ""volume""), 0)"),222114)</f>
        <v>222114</v>
      </c>
      <c r="K942" s="6">
        <v>-0.83</v>
      </c>
      <c r="L942" s="6">
        <f ca="1">IFERROR(__xludf.DUMMYFUNCTION("IFERROR(GOOGLEFINANCE(B942,""changepct""),K942)"),-0.31)</f>
        <v>-0.31</v>
      </c>
      <c r="M942" s="6">
        <f ca="1">IFERROR(__xludf.DUMMYFUNCTION("IFERROR(GOOGLEFINANCE(B942,""change""),0)"),-4.4)</f>
        <v>-4.4000000000000004</v>
      </c>
      <c r="N942" s="6">
        <v>2</v>
      </c>
      <c r="O942" s="7">
        <v>45536</v>
      </c>
      <c r="P942" s="6">
        <v>41.7</v>
      </c>
      <c r="Q942" s="6">
        <v>24284.2</v>
      </c>
      <c r="R942" s="7">
        <v>45536</v>
      </c>
      <c r="S942" s="6">
        <v>2346.4</v>
      </c>
      <c r="T942" s="6">
        <v>406.6</v>
      </c>
      <c r="U942" s="7">
        <v>45536</v>
      </c>
      <c r="V942" s="6">
        <v>62.48</v>
      </c>
      <c r="W942" s="6">
        <f ca="1">IFERROR(__xludf.DUMMYFUNCTION("IFERROR(GOOGLEFINANCE(B942,""pe""),V942)"),44.98)</f>
        <v>44.98</v>
      </c>
      <c r="X942" s="6">
        <v>5.03</v>
      </c>
      <c r="Y942" s="6">
        <v>12.53</v>
      </c>
      <c r="Z942" s="6">
        <v>2</v>
      </c>
      <c r="AA942" s="17">
        <v>45352</v>
      </c>
      <c r="AB942" s="18">
        <v>0.05</v>
      </c>
      <c r="AC942" s="6">
        <v>21.27</v>
      </c>
      <c r="AD942" s="6">
        <v>27.89</v>
      </c>
      <c r="AE942" s="1">
        <v>0</v>
      </c>
      <c r="AF942" s="1">
        <f ca="1">IFERROR(__xludf.DUMMYFUNCTION("IFERROR(GOOGLEFINANCE(TRIM(F942)&amp;"":"" &amp; TRIM(B942),""high52""),AE942)"),1770)</f>
        <v>1770</v>
      </c>
      <c r="AG942" s="1">
        <v>0</v>
      </c>
      <c r="AH942" s="1">
        <f ca="1">IFERROR(__xludf.DUMMYFUNCTION("IFERROR(GOOGLEFINANCE(TRIM(F942)&amp;"":"" &amp; TRIM(B942),""low52""),AE942)"),1146.78)</f>
        <v>1146.78</v>
      </c>
      <c r="AI942" s="1">
        <f ca="1">IFERROR(__xludf.DUMMYFUNCTION("IFERROR(GOOGLEFINANCE(B942,""eps""),0)"),31.68)</f>
        <v>31.68</v>
      </c>
      <c r="AJ942" s="1"/>
      <c r="AK942" s="1" t="s">
        <v>2881</v>
      </c>
      <c r="AL942" s="9">
        <f t="shared" si="147"/>
        <v>1</v>
      </c>
    </row>
    <row r="943" spans="1:38" ht="15" x14ac:dyDescent="0.25">
      <c r="A943" s="1" t="s">
        <v>2882</v>
      </c>
      <c r="B943" s="1" t="s">
        <v>2883</v>
      </c>
      <c r="C943" s="1" t="s">
        <v>106</v>
      </c>
      <c r="D943" s="1" t="s">
        <v>106</v>
      </c>
      <c r="E943" s="6">
        <v>114624.8</v>
      </c>
      <c r="F943" s="1" t="s">
        <v>40</v>
      </c>
      <c r="G943" s="6">
        <f ca="1">IFERROR(__xludf.DUMMYFUNCTION("iferror(GOOGLEFINANCE(TRIM(F943)&amp;"":"" &amp; TRIM(B943), ""price""),0
)"),1182.8)</f>
        <v>1182.8</v>
      </c>
      <c r="H943" s="6">
        <v>1360.75</v>
      </c>
      <c r="I943" s="6">
        <f t="shared" ca="1" si="0"/>
        <v>1182.8</v>
      </c>
      <c r="J943" s="6">
        <f ca="1">IFERROR(__xludf.DUMMYFUNCTION("IFERROR(GOOGLEFINANCE(B943, ""volume""), 0)"),1207638)</f>
        <v>1207638</v>
      </c>
      <c r="K943" s="6">
        <v>-1.04</v>
      </c>
      <c r="L943" s="6">
        <f ca="1">IFERROR(__xludf.DUMMYFUNCTION("IFERROR(GOOGLEFINANCE(B943,""changepct""),K943)"),0.35)</f>
        <v>0.35</v>
      </c>
      <c r="M943" s="6">
        <f ca="1">IFERROR(__xludf.DUMMYFUNCTION("IFERROR(GOOGLEFINANCE(B943,""change""),0)"),4.1)</f>
        <v>4.0999999999999996</v>
      </c>
      <c r="N943" s="6">
        <v>2</v>
      </c>
      <c r="O943" s="7">
        <v>45536</v>
      </c>
      <c r="P943" s="6">
        <v>4382.2</v>
      </c>
      <c r="Q943" s="6">
        <v>116978.6</v>
      </c>
      <c r="R943" s="7">
        <v>45536</v>
      </c>
      <c r="S943" s="6">
        <v>30084.9</v>
      </c>
      <c r="T943" s="6">
        <v>5406.8</v>
      </c>
      <c r="U943" s="7">
        <v>45536</v>
      </c>
      <c r="V943" s="6">
        <v>21.47</v>
      </c>
      <c r="W943" s="6">
        <f ca="1">IFERROR(__xludf.DUMMYFUNCTION("IFERROR(GOOGLEFINANCE(B943,""pe""),V943)"),17.7)</f>
        <v>17.7</v>
      </c>
      <c r="X943" s="6">
        <v>0.92</v>
      </c>
      <c r="Y943" s="6">
        <v>3.73</v>
      </c>
      <c r="Z943" s="6">
        <v>2</v>
      </c>
      <c r="AA943" s="8">
        <v>45352</v>
      </c>
      <c r="AB943" s="4">
        <v>7.0000000000000007E-2</v>
      </c>
      <c r="AC943" s="6">
        <v>21.76</v>
      </c>
      <c r="AD943" s="6">
        <v>26.86</v>
      </c>
      <c r="AE943" s="1">
        <v>0</v>
      </c>
      <c r="AF943" s="1">
        <f ca="1">IFERROR(__xludf.DUMMYFUNCTION("IFERROR(GOOGLEFINANCE(TRIM(F943)&amp;"":"" &amp; TRIM(B943),""high52""),AE943)"),1379.7)</f>
        <v>1379.7</v>
      </c>
      <c r="AG943" s="1">
        <v>0</v>
      </c>
      <c r="AH943" s="1">
        <f ca="1">IFERROR(__xludf.DUMMYFUNCTION("IFERROR(GOOGLEFINANCE(TRIM(F943)&amp;"":"" &amp; TRIM(B943),""low52""),AE943)"),1020)</f>
        <v>1020</v>
      </c>
      <c r="AI943" s="1">
        <f ca="1">IFERROR(__xludf.DUMMYFUNCTION("IFERROR(GOOGLEFINANCE(B943,""eps""),0)"),66.81)</f>
        <v>66.81</v>
      </c>
      <c r="AJ943" s="1"/>
      <c r="AK943" s="1" t="s">
        <v>2884</v>
      </c>
      <c r="AL943" s="9">
        <f t="shared" si="147"/>
        <v>1</v>
      </c>
    </row>
    <row r="944" spans="1:38" ht="15" x14ac:dyDescent="0.25">
      <c r="A944" s="1" t="s">
        <v>2885</v>
      </c>
      <c r="B944" s="1" t="s">
        <v>2886</v>
      </c>
      <c r="C944" s="1" t="s">
        <v>57</v>
      </c>
      <c r="D944" s="1" t="s">
        <v>57</v>
      </c>
      <c r="E944" s="6">
        <v>400.47</v>
      </c>
      <c r="F944" s="1" t="s">
        <v>40</v>
      </c>
      <c r="G944" s="6">
        <f ca="1">IFERROR(__xludf.DUMMYFUNCTION("iferror(GOOGLEFINANCE(TRIM(F944)&amp;"":"" &amp; TRIM(B944), ""price""),0
)"),15.5)</f>
        <v>15.5</v>
      </c>
      <c r="H944" s="6">
        <v>30.2</v>
      </c>
      <c r="I944" s="6">
        <f t="shared" ca="1" si="0"/>
        <v>15.5</v>
      </c>
      <c r="J944" s="6">
        <f ca="1">IFERROR(__xludf.DUMMYFUNCTION("IFERROR(GOOGLEFINANCE(B944, ""volume""), 0)"),24498)</f>
        <v>24498</v>
      </c>
      <c r="K944" s="6">
        <v>0.23</v>
      </c>
      <c r="L944" s="6">
        <f ca="1">IFERROR(__xludf.DUMMYFUNCTION("IFERROR(GOOGLEFINANCE(B944,""changepct""),K944)"),1.11)</f>
        <v>1.1100000000000001</v>
      </c>
      <c r="M944" s="6">
        <f ca="1">IFERROR(__xludf.DUMMYFUNCTION("IFERROR(GOOGLEFINANCE(B944,""change""),0)"),0.17)</f>
        <v>0.17</v>
      </c>
      <c r="N944" s="6">
        <v>2</v>
      </c>
      <c r="O944" s="7">
        <v>45536</v>
      </c>
      <c r="P944" s="9"/>
      <c r="Q944" s="6">
        <v>400.47</v>
      </c>
      <c r="R944" s="7">
        <v>45536</v>
      </c>
      <c r="S944" s="6">
        <v>62.18</v>
      </c>
      <c r="T944" s="6">
        <v>16.100000000000001</v>
      </c>
      <c r="U944" s="7">
        <v>45536</v>
      </c>
      <c r="V944" s="6">
        <v>24.75</v>
      </c>
      <c r="W944" s="6">
        <f ca="1">IFERROR(__xludf.DUMMYFUNCTION("IFERROR(GOOGLEFINANCE(B944,""pe""),V944)"),12.68)</f>
        <v>12.68</v>
      </c>
      <c r="X944" s="12"/>
      <c r="Y944" s="6">
        <v>7.13</v>
      </c>
      <c r="Z944" s="6">
        <v>2</v>
      </c>
      <c r="AA944" s="8">
        <v>45352</v>
      </c>
      <c r="AB944" s="4">
        <v>0</v>
      </c>
      <c r="AC944" s="6">
        <v>29.09</v>
      </c>
      <c r="AD944" s="6">
        <v>30.4</v>
      </c>
      <c r="AE944" s="1">
        <v>0</v>
      </c>
      <c r="AF944" s="1">
        <f ca="1">IFERROR(__xludf.DUMMYFUNCTION("IFERROR(GOOGLEFINANCE(TRIM(F944)&amp;"":"" &amp; TRIM(B944),""high52""),AE944)"),33.5)</f>
        <v>33.5</v>
      </c>
      <c r="AG944" s="1">
        <v>0</v>
      </c>
      <c r="AH944" s="1">
        <f ca="1">IFERROR(__xludf.DUMMYFUNCTION("IFERROR(GOOGLEFINANCE(TRIM(F944)&amp;"":"" &amp; TRIM(B944),""low52""),AE944)"),14.5)</f>
        <v>14.5</v>
      </c>
      <c r="AI944" s="1">
        <f ca="1">IFERROR(__xludf.DUMMYFUNCTION("IFERROR(GOOGLEFINANCE(B944,""eps""),0)"),1.22)</f>
        <v>1.22</v>
      </c>
      <c r="AJ944" s="1"/>
      <c r="AK944" s="1" t="s">
        <v>2887</v>
      </c>
      <c r="AL944" s="9">
        <f t="shared" si="147"/>
        <v>1</v>
      </c>
    </row>
    <row r="945" spans="1:38" ht="15" x14ac:dyDescent="0.25">
      <c r="A945" s="1" t="s">
        <v>2888</v>
      </c>
      <c r="B945" s="1" t="s">
        <v>2889</v>
      </c>
      <c r="C945" s="1" t="s">
        <v>324</v>
      </c>
      <c r="D945" s="1" t="s">
        <v>324</v>
      </c>
      <c r="E945" s="6">
        <v>24.8</v>
      </c>
      <c r="F945" s="1" t="s">
        <v>53</v>
      </c>
      <c r="G945" s="6">
        <f ca="1">IFERROR(__xludf.DUMMYFUNCTION("iferror(GOOGLEFINANCE(TRIM(F945)&amp;"":"" &amp; TRIM(B945), ""price""),0
)"),0)</f>
        <v>0</v>
      </c>
      <c r="H945" s="6">
        <v>193.65</v>
      </c>
      <c r="I945" s="6">
        <f t="shared" ca="1" si="0"/>
        <v>193.65</v>
      </c>
      <c r="J945" s="6">
        <f ca="1">IFERROR(__xludf.DUMMYFUNCTION("IFERROR(GOOGLEFINANCE(B945, ""volume""), 0)"),0)</f>
        <v>0</v>
      </c>
      <c r="K945" s="12"/>
      <c r="L945" s="6" t="str">
        <f ca="1">IFERROR(__xludf.DUMMYFUNCTION("IFERROR(GOOGLEFINANCE(B945,""changepct""),K945)"),"")</f>
        <v/>
      </c>
      <c r="M945" s="6">
        <f ca="1">IFERROR(__xludf.DUMMYFUNCTION("IFERROR(GOOGLEFINANCE(B945,""change""),0)"),0)</f>
        <v>0</v>
      </c>
      <c r="N945" s="6">
        <v>1</v>
      </c>
      <c r="O945" s="7">
        <v>45536</v>
      </c>
      <c r="P945" s="9"/>
      <c r="Q945" s="6">
        <v>24.8</v>
      </c>
      <c r="R945" s="15">
        <v>45536</v>
      </c>
      <c r="S945" s="6">
        <v>6.97</v>
      </c>
      <c r="T945" s="6">
        <v>0.75</v>
      </c>
      <c r="U945" s="7">
        <v>45536</v>
      </c>
      <c r="V945" s="6">
        <v>33.020000000000003</v>
      </c>
      <c r="W945" s="6">
        <f ca="1">IFERROR(__xludf.DUMMYFUNCTION("IFERROR(GOOGLEFINANCE(B945,""pe""),V945)"),33.02)</f>
        <v>33.020000000000003</v>
      </c>
      <c r="X945" s="6">
        <v>0.52</v>
      </c>
      <c r="Y945" s="6">
        <v>11.52</v>
      </c>
      <c r="Z945" s="6">
        <v>1</v>
      </c>
      <c r="AA945" s="8">
        <v>45352</v>
      </c>
      <c r="AB945" s="4">
        <v>0</v>
      </c>
      <c r="AC945" s="6">
        <v>50.58</v>
      </c>
      <c r="AD945" s="6">
        <v>69.680000000000007</v>
      </c>
      <c r="AE945" s="1">
        <v>0</v>
      </c>
      <c r="AF945" s="1">
        <f ca="1">IFERROR(__xludf.DUMMYFUNCTION("IFERROR(GOOGLEFINANCE(TRIM(F945)&amp;"":"" &amp; TRIM(B945),""high52""),AE945)"),0)</f>
        <v>0</v>
      </c>
      <c r="AG945" s="1">
        <v>0</v>
      </c>
      <c r="AH945" s="1">
        <f ca="1">IFERROR(__xludf.DUMMYFUNCTION("IFERROR(GOOGLEFINANCE(TRIM(F945)&amp;"":"" &amp; TRIM(B945),""low52""),AE945)"),0)</f>
        <v>0</v>
      </c>
      <c r="AI945" s="1">
        <f ca="1">IFERROR(__xludf.DUMMYFUNCTION("IFERROR(GOOGLEFINANCE(B945,""eps""),0)"),0)</f>
        <v>0</v>
      </c>
      <c r="AJ945" s="1"/>
      <c r="AK945" s="1" t="s">
        <v>2890</v>
      </c>
      <c r="AL945" s="9">
        <f t="shared" si="147"/>
        <v>1</v>
      </c>
    </row>
    <row r="946" spans="1:38" ht="15" x14ac:dyDescent="0.25">
      <c r="A946" s="1" t="s">
        <v>2891</v>
      </c>
      <c r="B946" s="1" t="s">
        <v>2892</v>
      </c>
      <c r="C946" s="1" t="s">
        <v>2893</v>
      </c>
      <c r="D946" s="1" t="s">
        <v>2893</v>
      </c>
      <c r="E946" s="6">
        <v>2115.08</v>
      </c>
      <c r="F946" s="1" t="s">
        <v>40</v>
      </c>
      <c r="G946" s="6">
        <f ca="1">IFERROR(__xludf.DUMMYFUNCTION("iferror(GOOGLEFINANCE(TRIM(F946)&amp;"":"" &amp; TRIM(B946), ""price""),0
)"),92.26)</f>
        <v>92.26</v>
      </c>
      <c r="H946" s="6">
        <v>401.95</v>
      </c>
      <c r="I946" s="6">
        <f t="shared" ca="1" si="0"/>
        <v>92.26</v>
      </c>
      <c r="J946" s="6">
        <f ca="1">IFERROR(__xludf.DUMMYFUNCTION("IFERROR(GOOGLEFINANCE(B946, ""volume""), 0)"),128658)</f>
        <v>128658</v>
      </c>
      <c r="K946" s="6">
        <v>1.27</v>
      </c>
      <c r="L946" s="6">
        <f ca="1">IFERROR(__xludf.DUMMYFUNCTION("IFERROR(GOOGLEFINANCE(B946,""changepct""),K946)"),1.46)</f>
        <v>1.46</v>
      </c>
      <c r="M946" s="6">
        <f ca="1">IFERROR(__xludf.DUMMYFUNCTION("IFERROR(GOOGLEFINANCE(B946,""change""),0)"),1.33)</f>
        <v>1.33</v>
      </c>
      <c r="N946" s="6">
        <v>2</v>
      </c>
      <c r="O946" s="7">
        <v>45536</v>
      </c>
      <c r="P946" s="6">
        <v>45.45</v>
      </c>
      <c r="Q946" s="6">
        <v>2106.87</v>
      </c>
      <c r="R946" s="7">
        <v>45536</v>
      </c>
      <c r="S946" s="6">
        <v>1223.8499999999999</v>
      </c>
      <c r="T946" s="6">
        <v>71.180000000000007</v>
      </c>
      <c r="U946" s="7">
        <v>45536</v>
      </c>
      <c r="V946" s="6">
        <v>29.61</v>
      </c>
      <c r="W946" s="6">
        <f ca="1">IFERROR(__xludf.DUMMYFUNCTION("IFERROR(GOOGLEFINANCE(B946,""pe""),V946)"),7.73)</f>
        <v>7.73</v>
      </c>
      <c r="X946" s="12"/>
      <c r="Y946" s="6">
        <v>7.93</v>
      </c>
      <c r="Z946" s="6">
        <v>2</v>
      </c>
      <c r="AA946" s="8">
        <v>45352</v>
      </c>
      <c r="AB946" s="4">
        <v>0.01</v>
      </c>
      <c r="AC946" s="6">
        <v>36.020000000000003</v>
      </c>
      <c r="AD946" s="6">
        <v>47.28</v>
      </c>
      <c r="AE946" s="1">
        <v>0</v>
      </c>
      <c r="AF946" s="1">
        <f ca="1">IFERROR(__xludf.DUMMYFUNCTION("IFERROR(GOOGLEFINANCE(TRIM(F946)&amp;"":"" &amp; TRIM(B946),""high52""),AE946)"),374.2)</f>
        <v>374.2</v>
      </c>
      <c r="AG946" s="1">
        <v>0</v>
      </c>
      <c r="AH946" s="1">
        <f ca="1">IFERROR(__xludf.DUMMYFUNCTION("IFERROR(GOOGLEFINANCE(TRIM(F946)&amp;"":"" &amp; TRIM(B946),""low52""),AE946)"),88.5)</f>
        <v>88.5</v>
      </c>
      <c r="AI946" s="1">
        <f ca="1">IFERROR(__xludf.DUMMYFUNCTION("IFERROR(GOOGLEFINANCE(B946,""eps""),0)"),11.93)</f>
        <v>11.93</v>
      </c>
      <c r="AJ946" s="1"/>
      <c r="AK946" s="1" t="s">
        <v>2894</v>
      </c>
      <c r="AL946" s="1" t="b">
        <f>ISNUMBER(AA946)</f>
        <v>1</v>
      </c>
    </row>
    <row r="947" spans="1:38" ht="15" x14ac:dyDescent="0.25">
      <c r="A947" s="1" t="s">
        <v>2895</v>
      </c>
      <c r="B947" s="1" t="s">
        <v>2896</v>
      </c>
      <c r="C947" s="1" t="s">
        <v>324</v>
      </c>
      <c r="D947" s="1" t="s">
        <v>324</v>
      </c>
      <c r="E947" s="6">
        <v>715.98</v>
      </c>
      <c r="F947" s="1" t="s">
        <v>53</v>
      </c>
      <c r="G947" s="6">
        <f ca="1">IFERROR(__xludf.DUMMYFUNCTION("iferror(GOOGLEFINANCE(TRIM(F947)&amp;"":"" &amp; TRIM(B947), ""price""),0
)"),0)</f>
        <v>0</v>
      </c>
      <c r="H947" s="6">
        <v>31.27</v>
      </c>
      <c r="I947" s="6">
        <f t="shared" ca="1" si="0"/>
        <v>31.27</v>
      </c>
      <c r="J947" s="6">
        <f ca="1">IFERROR(__xludf.DUMMYFUNCTION("IFERROR(GOOGLEFINANCE(B947, ""volume""), 0)"),0)</f>
        <v>0</v>
      </c>
      <c r="K947" s="6">
        <v>1.69</v>
      </c>
      <c r="L947" s="6">
        <f ca="1">IFERROR(__xludf.DUMMYFUNCTION("IFERROR(GOOGLEFINANCE(B947,""changepct""),K947)"),1.69)</f>
        <v>1.69</v>
      </c>
      <c r="M947" s="6">
        <f ca="1">IFERROR(__xludf.DUMMYFUNCTION("IFERROR(GOOGLEFINANCE(B947,""change""),0)"),0)</f>
        <v>0</v>
      </c>
      <c r="N947" s="6">
        <v>2</v>
      </c>
      <c r="O947" s="7">
        <v>45536</v>
      </c>
      <c r="P947" s="6">
        <v>1.41</v>
      </c>
      <c r="Q947" s="6">
        <v>717.39</v>
      </c>
      <c r="R947" s="7">
        <v>45536</v>
      </c>
      <c r="S947" s="6">
        <v>591.78</v>
      </c>
      <c r="T947" s="6">
        <v>49.8</v>
      </c>
      <c r="U947" s="7">
        <v>45536</v>
      </c>
      <c r="V947" s="6">
        <v>15.16</v>
      </c>
      <c r="W947" s="6">
        <f ca="1">IFERROR(__xludf.DUMMYFUNCTION("IFERROR(GOOGLEFINANCE(B947,""pe""),V947)"),15.16)</f>
        <v>15.16</v>
      </c>
      <c r="X947" s="9"/>
      <c r="Y947" s="6">
        <v>3.09</v>
      </c>
      <c r="Z947" s="6">
        <v>2</v>
      </c>
      <c r="AA947" s="8">
        <v>45352</v>
      </c>
      <c r="AB947" s="4">
        <v>0</v>
      </c>
      <c r="AC947" s="6">
        <v>36.99</v>
      </c>
      <c r="AD947" s="6">
        <v>35.79</v>
      </c>
      <c r="AE947" s="1">
        <v>0</v>
      </c>
      <c r="AF947" s="1">
        <f ca="1">IFERROR(__xludf.DUMMYFUNCTION("IFERROR(GOOGLEFINANCE(TRIM(F947)&amp;"":"" &amp; TRIM(B947),""high52""),AE947)"),0)</f>
        <v>0</v>
      </c>
      <c r="AG947" s="1">
        <v>0</v>
      </c>
      <c r="AH947" s="1">
        <f ca="1">IFERROR(__xludf.DUMMYFUNCTION("IFERROR(GOOGLEFINANCE(TRIM(F947)&amp;"":"" &amp; TRIM(B947),""low52""),AE947)"),0)</f>
        <v>0</v>
      </c>
      <c r="AI947" s="1">
        <f ca="1">IFERROR(__xludf.DUMMYFUNCTION("IFERROR(GOOGLEFINANCE(B947,""eps""),0)"),0)</f>
        <v>0</v>
      </c>
      <c r="AJ947" s="1"/>
      <c r="AK947" s="1" t="s">
        <v>2897</v>
      </c>
      <c r="AL947" s="9">
        <f t="shared" ref="AL947:AL964" si="148">IF(AA947&lt;&gt;AB947,1,0)</f>
        <v>1</v>
      </c>
    </row>
    <row r="948" spans="1:38" ht="15" x14ac:dyDescent="0.25">
      <c r="A948" s="1" t="s">
        <v>2898</v>
      </c>
      <c r="B948" s="1" t="s">
        <v>2899</v>
      </c>
      <c r="C948" s="1" t="s">
        <v>231</v>
      </c>
      <c r="D948" s="1" t="s">
        <v>231</v>
      </c>
      <c r="E948" s="6">
        <v>2324.98</v>
      </c>
      <c r="F948" s="1" t="s">
        <v>40</v>
      </c>
      <c r="G948" s="6">
        <f ca="1">IFERROR(__xludf.DUMMYFUNCTION("iferror(GOOGLEFINANCE(TRIM(F948)&amp;"":"" &amp; TRIM(B948), ""price""),0
)"),1081.5)</f>
        <v>1081.5</v>
      </c>
      <c r="H948" s="6">
        <v>856.95</v>
      </c>
      <c r="I948" s="6">
        <f t="shared" ca="1" si="0"/>
        <v>1081.5</v>
      </c>
      <c r="J948" s="6">
        <f ca="1">IFERROR(__xludf.DUMMYFUNCTION("IFERROR(GOOGLEFINANCE(B948, ""volume""), 0)"),661442)</f>
        <v>661442</v>
      </c>
      <c r="K948" s="6">
        <v>3.49</v>
      </c>
      <c r="L948" s="6">
        <f ca="1">IFERROR(__xludf.DUMMYFUNCTION("IFERROR(GOOGLEFINANCE(B948,""changepct""),K948)"),1.19)</f>
        <v>1.19</v>
      </c>
      <c r="M948" s="6">
        <f ca="1">IFERROR(__xludf.DUMMYFUNCTION("IFERROR(GOOGLEFINANCE(B948,""change""),0)"),12.7)</f>
        <v>12.7</v>
      </c>
      <c r="N948" s="6">
        <v>1</v>
      </c>
      <c r="O948" s="7">
        <v>45536</v>
      </c>
      <c r="P948" s="6">
        <v>617.83000000000004</v>
      </c>
      <c r="Q948" s="6">
        <v>2899.14</v>
      </c>
      <c r="R948" s="7">
        <v>45536</v>
      </c>
      <c r="S948" s="6">
        <v>898.6</v>
      </c>
      <c r="T948" s="6">
        <v>-61.15</v>
      </c>
      <c r="U948" s="7">
        <v>45536</v>
      </c>
      <c r="V948" s="6">
        <v>0</v>
      </c>
      <c r="W948" s="6">
        <f ca="1">IFERROR(__xludf.DUMMYFUNCTION("IFERROR(GOOGLEFINANCE(B948,""pe""),V948)"),0)</f>
        <v>0</v>
      </c>
      <c r="X948" s="6">
        <v>0</v>
      </c>
      <c r="Y948" s="6">
        <v>1.95</v>
      </c>
      <c r="Z948" s="6">
        <v>1</v>
      </c>
      <c r="AA948" s="8">
        <v>45352</v>
      </c>
      <c r="AB948" s="4">
        <v>0.34</v>
      </c>
      <c r="AC948" s="6">
        <v>2.86</v>
      </c>
      <c r="AD948" s="6">
        <v>4.13</v>
      </c>
      <c r="AE948" s="1">
        <v>0</v>
      </c>
      <c r="AF948" s="1">
        <f ca="1">IFERROR(__xludf.DUMMYFUNCTION("IFERROR(GOOGLEFINANCE(TRIM(F948)&amp;"":"" &amp; TRIM(B948),""high52""),AE948)"),1245)</f>
        <v>1245</v>
      </c>
      <c r="AG948" s="1">
        <v>0</v>
      </c>
      <c r="AH948" s="1">
        <f ca="1">IFERROR(__xludf.DUMMYFUNCTION("IFERROR(GOOGLEFINANCE(TRIM(F948)&amp;"":"" &amp; TRIM(B948),""low52""),AE948)"),495)</f>
        <v>495</v>
      </c>
      <c r="AI948" s="1">
        <f ca="1">IFERROR(__xludf.DUMMYFUNCTION("IFERROR(GOOGLEFINANCE(B948,""eps""),0)"),-7.17)</f>
        <v>-7.17</v>
      </c>
      <c r="AJ948" s="1"/>
      <c r="AK948" s="1" t="s">
        <v>2900</v>
      </c>
      <c r="AL948" s="9">
        <f t="shared" si="148"/>
        <v>1</v>
      </c>
    </row>
    <row r="949" spans="1:38" ht="15" x14ac:dyDescent="0.25">
      <c r="A949" s="1" t="s">
        <v>2901</v>
      </c>
      <c r="B949" s="1" t="s">
        <v>2902</v>
      </c>
      <c r="C949" s="1" t="s">
        <v>159</v>
      </c>
      <c r="D949" s="1" t="s">
        <v>159</v>
      </c>
      <c r="E949" s="6">
        <v>523.17999999999995</v>
      </c>
      <c r="F949" s="1" t="s">
        <v>40</v>
      </c>
      <c r="G949" s="6">
        <f ca="1">IFERROR(__xludf.DUMMYFUNCTION("iferror(GOOGLEFINANCE(TRIM(F949)&amp;"":"" &amp; TRIM(B949), ""price""),0
)"),0)</f>
        <v>0</v>
      </c>
      <c r="H949" s="6">
        <v>211</v>
      </c>
      <c r="I949" s="6">
        <f t="shared" ca="1" si="0"/>
        <v>211</v>
      </c>
      <c r="J949" s="6">
        <f ca="1">IFERROR(__xludf.DUMMYFUNCTION("IFERROR(GOOGLEFINANCE(B949, ""volume""), 0)"),0)</f>
        <v>0</v>
      </c>
      <c r="K949" s="6">
        <v>-2</v>
      </c>
      <c r="L949" s="6">
        <f ca="1">IFERROR(__xludf.DUMMYFUNCTION("IFERROR(GOOGLEFINANCE(B949,""changepct""),K949)"),-2)</f>
        <v>-2</v>
      </c>
      <c r="M949" s="6">
        <f ca="1">IFERROR(__xludf.DUMMYFUNCTION("IFERROR(GOOGLEFINANCE(B949,""change""),0)"),0)</f>
        <v>0</v>
      </c>
      <c r="N949" s="6">
        <v>1</v>
      </c>
      <c r="O949" s="7">
        <v>45536</v>
      </c>
      <c r="P949" s="6">
        <v>12.87</v>
      </c>
      <c r="Q949" s="6">
        <v>536.04999999999995</v>
      </c>
      <c r="R949" s="7">
        <v>45352</v>
      </c>
      <c r="S949" s="6">
        <v>31.82</v>
      </c>
      <c r="T949" s="6">
        <v>7.08</v>
      </c>
      <c r="U949" s="7">
        <v>45352</v>
      </c>
      <c r="V949" s="6">
        <v>73.86</v>
      </c>
      <c r="W949" s="6">
        <f ca="1">IFERROR(__xludf.DUMMYFUNCTION("IFERROR(GOOGLEFINANCE(B949,""pe""),V949)"),73.86)</f>
        <v>73.86</v>
      </c>
      <c r="X949" s="9"/>
      <c r="Y949" s="6">
        <v>8.49</v>
      </c>
      <c r="Z949" s="6">
        <v>1</v>
      </c>
      <c r="AA949" s="8">
        <v>45352</v>
      </c>
      <c r="AB949" s="4">
        <v>0.06</v>
      </c>
      <c r="AC949" s="6">
        <v>17.88</v>
      </c>
      <c r="AD949" s="6">
        <v>23.26</v>
      </c>
      <c r="AE949" s="1">
        <v>0</v>
      </c>
      <c r="AF949" s="1">
        <f ca="1">IFERROR(__xludf.DUMMYFUNCTION("IFERROR(GOOGLEFINANCE(TRIM(F949)&amp;"":"" &amp; TRIM(B949),""high52""),AE949)"),0)</f>
        <v>0</v>
      </c>
      <c r="AG949" s="1">
        <v>0</v>
      </c>
      <c r="AH949" s="1">
        <f ca="1">IFERROR(__xludf.DUMMYFUNCTION("IFERROR(GOOGLEFINANCE(TRIM(F949)&amp;"":"" &amp; TRIM(B949),""low52""),AE949)"),0)</f>
        <v>0</v>
      </c>
      <c r="AI949" s="1">
        <f ca="1">IFERROR(__xludf.DUMMYFUNCTION("IFERROR(GOOGLEFINANCE(B949,""eps""),0)"),0)</f>
        <v>0</v>
      </c>
      <c r="AJ949" s="1"/>
      <c r="AK949" s="1" t="s">
        <v>2903</v>
      </c>
      <c r="AL949" s="9">
        <f t="shared" si="148"/>
        <v>1</v>
      </c>
    </row>
    <row r="950" spans="1:38" ht="15" x14ac:dyDescent="0.25">
      <c r="A950" s="1" t="s">
        <v>2904</v>
      </c>
      <c r="B950" s="1" t="s">
        <v>2905</v>
      </c>
      <c r="C950" s="1" t="s">
        <v>324</v>
      </c>
      <c r="D950" s="1" t="s">
        <v>324</v>
      </c>
      <c r="E950" s="6">
        <v>110.06</v>
      </c>
      <c r="F950" s="1" t="s">
        <v>53</v>
      </c>
      <c r="G950" s="6">
        <f ca="1">IFERROR(__xludf.DUMMYFUNCTION("iferror(GOOGLEFINANCE(TRIM(F950)&amp;"":"" &amp; TRIM(B950), ""price""),0
)"),0)</f>
        <v>0</v>
      </c>
      <c r="H950" s="6">
        <v>43.76</v>
      </c>
      <c r="I950" s="6">
        <f t="shared" ca="1" si="0"/>
        <v>43.76</v>
      </c>
      <c r="J950" s="6">
        <f ca="1">IFERROR(__xludf.DUMMYFUNCTION("IFERROR(GOOGLEFINANCE(B950, ""volume""), 0)"),0)</f>
        <v>0</v>
      </c>
      <c r="K950" s="6">
        <v>1.98</v>
      </c>
      <c r="L950" s="6">
        <f ca="1">IFERROR(__xludf.DUMMYFUNCTION("IFERROR(GOOGLEFINANCE(B950,""changepct""),K950)"),0.81)</f>
        <v>0.81</v>
      </c>
      <c r="M950" s="6">
        <f ca="1">IFERROR(__xludf.DUMMYFUNCTION("IFERROR(GOOGLEFINANCE(B950,""change""),0)"),0.04)</f>
        <v>0.04</v>
      </c>
      <c r="N950" s="6">
        <v>1</v>
      </c>
      <c r="O950" s="7">
        <v>45536</v>
      </c>
      <c r="P950" s="6">
        <v>3.97</v>
      </c>
      <c r="Q950" s="6">
        <v>114.04</v>
      </c>
      <c r="R950" s="7">
        <v>45536</v>
      </c>
      <c r="S950" s="6">
        <v>0</v>
      </c>
      <c r="T950" s="6">
        <v>-0.37</v>
      </c>
      <c r="U950" s="7">
        <v>45536</v>
      </c>
      <c r="V950" s="6">
        <v>0</v>
      </c>
      <c r="W950" s="6">
        <f ca="1">IFERROR(__xludf.DUMMYFUNCTION("IFERROR(GOOGLEFINANCE(B950,""pe""),V950)"),0)</f>
        <v>0</v>
      </c>
      <c r="X950" s="9"/>
      <c r="Y950" s="6">
        <v>10.88</v>
      </c>
      <c r="Z950" s="6">
        <v>1</v>
      </c>
      <c r="AA950" s="8">
        <v>45352</v>
      </c>
      <c r="AB950" s="4">
        <v>-1.03</v>
      </c>
      <c r="AC950" s="6">
        <v>0</v>
      </c>
      <c r="AD950" s="6">
        <v>-327.52999999999997</v>
      </c>
      <c r="AE950" s="1">
        <v>0</v>
      </c>
      <c r="AF950" s="1">
        <f ca="1">IFERROR(__xludf.DUMMYFUNCTION("IFERROR(GOOGLEFINANCE(TRIM(F950)&amp;"":"" &amp; TRIM(B950),""high52""),AE950)"),0)</f>
        <v>0</v>
      </c>
      <c r="AG950" s="1">
        <v>0</v>
      </c>
      <c r="AH950" s="1">
        <f ca="1">IFERROR(__xludf.DUMMYFUNCTION("IFERROR(GOOGLEFINANCE(TRIM(F950)&amp;"":"" &amp; TRIM(B950),""low52""),AE950)"),0)</f>
        <v>0</v>
      </c>
      <c r="AI950" s="1">
        <f ca="1">IFERROR(__xludf.DUMMYFUNCTION("IFERROR(GOOGLEFINANCE(B950,""eps""),0)"),-3.58)</f>
        <v>-3.58</v>
      </c>
      <c r="AJ950" s="1"/>
      <c r="AK950" s="1" t="s">
        <v>2906</v>
      </c>
      <c r="AL950" s="9">
        <f t="shared" si="148"/>
        <v>1</v>
      </c>
    </row>
    <row r="951" spans="1:38" ht="15" x14ac:dyDescent="0.25">
      <c r="A951" s="1" t="s">
        <v>2907</v>
      </c>
      <c r="B951" s="1" t="s">
        <v>2908</v>
      </c>
      <c r="C951" s="1" t="s">
        <v>324</v>
      </c>
      <c r="D951" s="1" t="s">
        <v>324</v>
      </c>
      <c r="E951" s="6">
        <v>116.1</v>
      </c>
      <c r="F951" s="1" t="s">
        <v>53</v>
      </c>
      <c r="G951" s="6">
        <f ca="1">IFERROR(__xludf.DUMMYFUNCTION("iferror(GOOGLEFINANCE(TRIM(F951)&amp;"":"" &amp; TRIM(B951), ""price""),0
)"),0)</f>
        <v>0</v>
      </c>
      <c r="H951" s="6">
        <v>78.39</v>
      </c>
      <c r="I951" s="6">
        <f t="shared" ca="1" si="0"/>
        <v>78.39</v>
      </c>
      <c r="J951" s="6">
        <f ca="1">IFERROR(__xludf.DUMMYFUNCTION("IFERROR(GOOGLEFINANCE(B951, ""volume""), 0)"),0)</f>
        <v>0</v>
      </c>
      <c r="K951" s="6">
        <v>1.28</v>
      </c>
      <c r="L951" s="6">
        <f ca="1">IFERROR(__xludf.DUMMYFUNCTION("IFERROR(GOOGLEFINANCE(B951,""changepct""),K951)"),1.28)</f>
        <v>1.28</v>
      </c>
      <c r="M951" s="6">
        <f ca="1">IFERROR(__xludf.DUMMYFUNCTION("IFERROR(GOOGLEFINANCE(B951,""change""),0)"),0)</f>
        <v>0</v>
      </c>
      <c r="N951" s="6">
        <v>1</v>
      </c>
      <c r="O951" s="7">
        <v>45536</v>
      </c>
      <c r="P951" s="6">
        <v>43.19</v>
      </c>
      <c r="Q951" s="6">
        <v>158.85</v>
      </c>
      <c r="R951" s="7">
        <v>45536</v>
      </c>
      <c r="S951" s="6">
        <v>112.09</v>
      </c>
      <c r="T951" s="6">
        <v>0.59</v>
      </c>
      <c r="U951" s="7">
        <v>45536</v>
      </c>
      <c r="V951" s="6">
        <v>195.45</v>
      </c>
      <c r="W951" s="6">
        <f ca="1">IFERROR(__xludf.DUMMYFUNCTION("IFERROR(GOOGLEFINANCE(B951,""pe""),V951)"),195.45)</f>
        <v>195.45</v>
      </c>
      <c r="X951" s="9"/>
      <c r="Y951" s="6">
        <v>2.1</v>
      </c>
      <c r="Z951" s="6">
        <v>1</v>
      </c>
      <c r="AA951" s="8">
        <v>45352</v>
      </c>
      <c r="AB951" s="4">
        <v>0.84</v>
      </c>
      <c r="AC951" s="6">
        <v>-8.41</v>
      </c>
      <c r="AD951" s="6">
        <v>-0.41</v>
      </c>
      <c r="AE951" s="1">
        <v>0</v>
      </c>
      <c r="AF951" s="1">
        <f ca="1">IFERROR(__xludf.DUMMYFUNCTION("IFERROR(GOOGLEFINANCE(TRIM(F951)&amp;"":"" &amp; TRIM(B951),""high52""),AE951)"),0)</f>
        <v>0</v>
      </c>
      <c r="AG951" s="1">
        <v>0</v>
      </c>
      <c r="AH951" s="1">
        <f ca="1">IFERROR(__xludf.DUMMYFUNCTION("IFERROR(GOOGLEFINANCE(TRIM(F951)&amp;"":"" &amp; TRIM(B951),""low52""),AE951)"),0)</f>
        <v>0</v>
      </c>
      <c r="AI951" s="1">
        <f ca="1">IFERROR(__xludf.DUMMYFUNCTION("IFERROR(GOOGLEFINANCE(B951,""eps""),0)"),0)</f>
        <v>0</v>
      </c>
      <c r="AJ951" s="1"/>
      <c r="AK951" s="1" t="s">
        <v>2909</v>
      </c>
      <c r="AL951" s="9">
        <f t="shared" si="148"/>
        <v>1</v>
      </c>
    </row>
    <row r="952" spans="1:38" ht="15" x14ac:dyDescent="0.25">
      <c r="A952" s="1" t="s">
        <v>2910</v>
      </c>
      <c r="B952" s="1" t="s">
        <v>2911</v>
      </c>
      <c r="C952" s="1" t="s">
        <v>324</v>
      </c>
      <c r="D952" s="1" t="s">
        <v>324</v>
      </c>
      <c r="E952" s="6">
        <v>125.95</v>
      </c>
      <c r="F952" s="1" t="s">
        <v>53</v>
      </c>
      <c r="G952" s="6">
        <f ca="1">IFERROR(__xludf.DUMMYFUNCTION("iferror(GOOGLEFINANCE(TRIM(F952)&amp;"":"" &amp; TRIM(B952), ""price""),0
)"),0)</f>
        <v>0</v>
      </c>
      <c r="H952" s="6">
        <v>140.55000000000001</v>
      </c>
      <c r="I952" s="6">
        <f t="shared" ca="1" si="0"/>
        <v>140.55000000000001</v>
      </c>
      <c r="J952" s="6">
        <f ca="1">IFERROR(__xludf.DUMMYFUNCTION("IFERROR(GOOGLEFINANCE(B952, ""volume""), 0)"),0)</f>
        <v>0</v>
      </c>
      <c r="K952" s="6">
        <v>0.9</v>
      </c>
      <c r="L952" s="6">
        <f ca="1">IFERROR(__xludf.DUMMYFUNCTION("IFERROR(GOOGLEFINANCE(B952,""changepct""),K952)"),0.9)</f>
        <v>0.9</v>
      </c>
      <c r="M952" s="6">
        <f ca="1">IFERROR(__xludf.DUMMYFUNCTION("IFERROR(GOOGLEFINANCE(B952,""change""),0)"),0)</f>
        <v>0</v>
      </c>
      <c r="N952" s="6">
        <v>1</v>
      </c>
      <c r="O952" s="7">
        <v>45536</v>
      </c>
      <c r="P952" s="6">
        <v>103.66</v>
      </c>
      <c r="Q952" s="6">
        <v>228.26</v>
      </c>
      <c r="R952" s="7">
        <v>45536</v>
      </c>
      <c r="S952" s="6">
        <v>411.75</v>
      </c>
      <c r="T952" s="6">
        <v>-0.19</v>
      </c>
      <c r="U952" s="7">
        <v>45536</v>
      </c>
      <c r="V952" s="6">
        <v>0</v>
      </c>
      <c r="W952" s="6">
        <f ca="1">IFERROR(__xludf.DUMMYFUNCTION("IFERROR(GOOGLEFINANCE(B952,""pe""),V952)"),0)</f>
        <v>0</v>
      </c>
      <c r="X952" s="6">
        <v>0</v>
      </c>
      <c r="Y952" s="6">
        <v>2.0099999999999998</v>
      </c>
      <c r="Z952" s="6">
        <v>1</v>
      </c>
      <c r="AA952" s="8">
        <v>45352</v>
      </c>
      <c r="AB952" s="4">
        <v>1.34</v>
      </c>
      <c r="AC952" s="6">
        <v>12.32</v>
      </c>
      <c r="AD952" s="6">
        <v>13.37</v>
      </c>
      <c r="AE952" s="1">
        <v>0</v>
      </c>
      <c r="AF952" s="1">
        <f ca="1">IFERROR(__xludf.DUMMYFUNCTION("IFERROR(GOOGLEFINANCE(TRIM(F952)&amp;"":"" &amp; TRIM(B952),""high52""),AE952)"),0)</f>
        <v>0</v>
      </c>
      <c r="AG952" s="1">
        <v>0</v>
      </c>
      <c r="AH952" s="1">
        <f ca="1">IFERROR(__xludf.DUMMYFUNCTION("IFERROR(GOOGLEFINANCE(TRIM(F952)&amp;"":"" &amp; TRIM(B952),""low52""),AE952)"),0)</f>
        <v>0</v>
      </c>
      <c r="AI952" s="1">
        <f ca="1">IFERROR(__xludf.DUMMYFUNCTION("IFERROR(GOOGLEFINANCE(B952,""eps""),0)"),0)</f>
        <v>0</v>
      </c>
      <c r="AJ952" s="1"/>
      <c r="AK952" s="1" t="s">
        <v>2912</v>
      </c>
      <c r="AL952" s="9">
        <f t="shared" si="148"/>
        <v>1</v>
      </c>
    </row>
    <row r="953" spans="1:38" ht="15" x14ac:dyDescent="0.25">
      <c r="A953" s="1" t="s">
        <v>2913</v>
      </c>
      <c r="B953" s="1" t="s">
        <v>2914</v>
      </c>
      <c r="C953" s="1" t="s">
        <v>259</v>
      </c>
      <c r="D953" s="1" t="s">
        <v>259</v>
      </c>
      <c r="E953" s="6">
        <v>181.05</v>
      </c>
      <c r="F953" s="1" t="s">
        <v>40</v>
      </c>
      <c r="G953" s="6">
        <f ca="1">IFERROR(__xludf.DUMMYFUNCTION("iferror(GOOGLEFINANCE(TRIM(F953)&amp;"":"" &amp; TRIM(B953), ""price""),0
)"),0)</f>
        <v>0</v>
      </c>
      <c r="H953" s="6">
        <v>126.2</v>
      </c>
      <c r="I953" s="6">
        <f t="shared" ca="1" si="0"/>
        <v>126.2</v>
      </c>
      <c r="J953" s="6">
        <f ca="1">IFERROR(__xludf.DUMMYFUNCTION("IFERROR(GOOGLEFINANCE(B953, ""volume""), 0)"),0)</f>
        <v>0</v>
      </c>
      <c r="K953" s="6">
        <v>4.99</v>
      </c>
      <c r="L953" s="6">
        <f ca="1">IFERROR(__xludf.DUMMYFUNCTION("IFERROR(GOOGLEFINANCE(B953,""changepct""),K953)"),4.99)</f>
        <v>4.99</v>
      </c>
      <c r="M953" s="6">
        <f ca="1">IFERROR(__xludf.DUMMYFUNCTION("IFERROR(GOOGLEFINANCE(B953,""change""),0)"),0)</f>
        <v>0</v>
      </c>
      <c r="N953" s="6">
        <v>1</v>
      </c>
      <c r="O953" s="7">
        <v>45536</v>
      </c>
      <c r="P953" s="6">
        <v>1.41</v>
      </c>
      <c r="Q953" s="6">
        <v>182.46</v>
      </c>
      <c r="R953" s="7">
        <v>45352</v>
      </c>
      <c r="S953" s="6">
        <v>181.74</v>
      </c>
      <c r="T953" s="6">
        <v>3</v>
      </c>
      <c r="U953" s="7">
        <v>45352</v>
      </c>
      <c r="V953" s="6">
        <v>60.39</v>
      </c>
      <c r="W953" s="6">
        <f ca="1">IFERROR(__xludf.DUMMYFUNCTION("IFERROR(GOOGLEFINANCE(B953,""pe""),V953)"),60.39)</f>
        <v>60.39</v>
      </c>
      <c r="X953" s="12"/>
      <c r="Y953" s="6">
        <v>6.49</v>
      </c>
      <c r="Z953" s="6">
        <v>2</v>
      </c>
      <c r="AA953" s="8">
        <v>44986</v>
      </c>
      <c r="AB953" s="4">
        <v>0.33</v>
      </c>
      <c r="AC953" s="6">
        <v>7.79</v>
      </c>
      <c r="AD953" s="6">
        <v>10.16</v>
      </c>
      <c r="AE953" s="1">
        <v>0</v>
      </c>
      <c r="AF953" s="1">
        <f ca="1">IFERROR(__xludf.DUMMYFUNCTION("IFERROR(GOOGLEFINANCE(TRIM(F953)&amp;"":"" &amp; TRIM(B953),""high52""),AE953)"),0)</f>
        <v>0</v>
      </c>
      <c r="AG953" s="1">
        <v>0</v>
      </c>
      <c r="AH953" s="1">
        <f ca="1">IFERROR(__xludf.DUMMYFUNCTION("IFERROR(GOOGLEFINANCE(TRIM(F953)&amp;"":"" &amp; TRIM(B953),""low52""),AE953)"),0)</f>
        <v>0</v>
      </c>
      <c r="AI953" s="1">
        <f ca="1">IFERROR(__xludf.DUMMYFUNCTION("IFERROR(GOOGLEFINANCE(B953,""eps""),0)"),0)</f>
        <v>0</v>
      </c>
      <c r="AJ953" s="1"/>
      <c r="AK953" s="1" t="s">
        <v>2915</v>
      </c>
      <c r="AL953" s="9">
        <f t="shared" si="148"/>
        <v>1</v>
      </c>
    </row>
    <row r="954" spans="1:38" ht="15" x14ac:dyDescent="0.25">
      <c r="A954" s="1" t="s">
        <v>2916</v>
      </c>
      <c r="B954" s="1" t="s">
        <v>2917</v>
      </c>
      <c r="C954" s="1" t="s">
        <v>324</v>
      </c>
      <c r="D954" s="1" t="s">
        <v>324</v>
      </c>
      <c r="E954" s="6">
        <v>756.8</v>
      </c>
      <c r="F954" s="1" t="s">
        <v>53</v>
      </c>
      <c r="G954" s="6">
        <f ca="1">IFERROR(__xludf.DUMMYFUNCTION("iferror(GOOGLEFINANCE(TRIM(F954)&amp;"":"" &amp; TRIM(B954), ""price""),0
)"),0)</f>
        <v>0</v>
      </c>
      <c r="H954" s="6">
        <v>2332</v>
      </c>
      <c r="I954" s="6">
        <f t="shared" ca="1" si="0"/>
        <v>2332</v>
      </c>
      <c r="J954" s="6">
        <f ca="1">IFERROR(__xludf.DUMMYFUNCTION("IFERROR(GOOGLEFINANCE(B954, ""volume""), 0)"),0)</f>
        <v>0</v>
      </c>
      <c r="K954" s="6">
        <v>-1.4</v>
      </c>
      <c r="L954" s="6">
        <f ca="1">IFERROR(__xludf.DUMMYFUNCTION("IFERROR(GOOGLEFINANCE(B954,""changepct""),K954)"),-1.4)</f>
        <v>-1.4</v>
      </c>
      <c r="M954" s="6">
        <f ca="1">IFERROR(__xludf.DUMMYFUNCTION("IFERROR(GOOGLEFINANCE(B954,""change""),0)"),0)</f>
        <v>0</v>
      </c>
      <c r="N954" s="6">
        <v>1</v>
      </c>
      <c r="O954" s="7">
        <v>45536</v>
      </c>
      <c r="P954" s="6">
        <v>22.86</v>
      </c>
      <c r="Q954" s="6">
        <v>753.32</v>
      </c>
      <c r="R954" s="7">
        <v>45536</v>
      </c>
      <c r="S954" s="6">
        <v>1668.36</v>
      </c>
      <c r="T954" s="6">
        <v>55.58</v>
      </c>
      <c r="U954" s="7">
        <v>45536</v>
      </c>
      <c r="V954" s="6">
        <v>13.62</v>
      </c>
      <c r="W954" s="6">
        <f ca="1">IFERROR(__xludf.DUMMYFUNCTION("IFERROR(GOOGLEFINANCE(B954,""pe""),V954)"),13.62)</f>
        <v>13.62</v>
      </c>
      <c r="X954" s="6">
        <v>0.95</v>
      </c>
      <c r="Y954" s="6">
        <v>3.04</v>
      </c>
      <c r="Z954" s="6">
        <v>1</v>
      </c>
      <c r="AA954" s="8">
        <v>45352</v>
      </c>
      <c r="AB954" s="4">
        <v>0.09</v>
      </c>
      <c r="AC954" s="6">
        <v>8.02</v>
      </c>
      <c r="AD954" s="6">
        <v>11.34</v>
      </c>
      <c r="AE954" s="1"/>
      <c r="AF954" s="1" t="str">
        <f ca="1">IFERROR(__xludf.DUMMYFUNCTION("IFERROR(GOOGLEFINANCE(TRIM(F954)&amp;"":"" &amp; TRIM(B954),""high52""),AE954)"),"")</f>
        <v/>
      </c>
      <c r="AG954" s="1">
        <v>0</v>
      </c>
      <c r="AH954" s="1" t="str">
        <f ca="1">IFERROR(__xludf.DUMMYFUNCTION("IFERROR(GOOGLEFINANCE(TRIM(F954)&amp;"":"" &amp; TRIM(B954),""low52""),AE954)"),"")</f>
        <v/>
      </c>
      <c r="AI954" s="1">
        <f ca="1">IFERROR(__xludf.DUMMYFUNCTION("IFERROR(GOOGLEFINANCE(B954,""eps""),0)"),0)</f>
        <v>0</v>
      </c>
      <c r="AJ954" s="1"/>
      <c r="AK954" s="1" t="s">
        <v>2918</v>
      </c>
      <c r="AL954" s="9">
        <f t="shared" si="148"/>
        <v>1</v>
      </c>
    </row>
    <row r="955" spans="1:38" ht="15" x14ac:dyDescent="0.25">
      <c r="A955" s="1" t="s">
        <v>2919</v>
      </c>
      <c r="B955" s="1" t="s">
        <v>2920</v>
      </c>
      <c r="C955" s="1" t="s">
        <v>324</v>
      </c>
      <c r="D955" s="1" t="s">
        <v>324</v>
      </c>
      <c r="E955" s="6">
        <v>1800.25</v>
      </c>
      <c r="F955" s="1" t="s">
        <v>53</v>
      </c>
      <c r="G955" s="6">
        <f ca="1">IFERROR(__xludf.DUMMYFUNCTION("iferror(GOOGLEFINANCE(TRIM(F955)&amp;"":"" &amp; TRIM(B955), ""price""),0
)"),0)</f>
        <v>0</v>
      </c>
      <c r="H955" s="6">
        <v>1400.9</v>
      </c>
      <c r="I955" s="6">
        <f t="shared" ca="1" si="0"/>
        <v>1400.9</v>
      </c>
      <c r="J955" s="6">
        <f ca="1">IFERROR(__xludf.DUMMYFUNCTION("IFERROR(GOOGLEFINANCE(B955, ""volume""), 0)"),0)</f>
        <v>0</v>
      </c>
      <c r="K955" s="6">
        <v>-7.0000000000000007E-2</v>
      </c>
      <c r="L955" s="6">
        <f ca="1">IFERROR(__xludf.DUMMYFUNCTION("IFERROR(GOOGLEFINANCE(B955,""changepct""),K955)"),-0.07)</f>
        <v>-7.0000000000000007E-2</v>
      </c>
      <c r="M955" s="6">
        <f ca="1">IFERROR(__xludf.DUMMYFUNCTION("IFERROR(GOOGLEFINANCE(B955,""change""),0)"),0)</f>
        <v>0</v>
      </c>
      <c r="N955" s="6">
        <v>1</v>
      </c>
      <c r="O955" s="7">
        <v>45536</v>
      </c>
      <c r="P955" s="6">
        <v>52.69</v>
      </c>
      <c r="Q955" s="6">
        <v>1852.94</v>
      </c>
      <c r="R955" s="7">
        <v>45536</v>
      </c>
      <c r="S955" s="6">
        <v>343.21</v>
      </c>
      <c r="T955" s="6">
        <v>15.62</v>
      </c>
      <c r="U955" s="7">
        <v>45536</v>
      </c>
      <c r="V955" s="6">
        <v>115.26</v>
      </c>
      <c r="W955" s="6">
        <f ca="1">IFERROR(__xludf.DUMMYFUNCTION("IFERROR(GOOGLEFINANCE(B955,""pe""),V955)"),115.26)</f>
        <v>115.26</v>
      </c>
      <c r="X955" s="9"/>
      <c r="Y955" s="6">
        <v>33.020000000000003</v>
      </c>
      <c r="Z955" s="6">
        <v>1</v>
      </c>
      <c r="AA955" s="8">
        <v>45352</v>
      </c>
      <c r="AB955" s="4">
        <v>0.12</v>
      </c>
      <c r="AC955" s="6">
        <v>0</v>
      </c>
      <c r="AD955" s="6">
        <v>11.23</v>
      </c>
      <c r="AE955" s="1">
        <v>0</v>
      </c>
      <c r="AF955" s="1">
        <f ca="1">IFERROR(__xludf.DUMMYFUNCTION("IFERROR(GOOGLEFINANCE(TRIM(F955)&amp;"":"" &amp; TRIM(B955),""high52""),AE955)"),0)</f>
        <v>0</v>
      </c>
      <c r="AG955" s="1">
        <v>0</v>
      </c>
      <c r="AH955" s="1">
        <f ca="1">IFERROR(__xludf.DUMMYFUNCTION("IFERROR(GOOGLEFINANCE(TRIM(F955)&amp;"":"" &amp; TRIM(B955),""low52""),AE955)"),0)</f>
        <v>0</v>
      </c>
      <c r="AI955" s="1">
        <f ca="1">IFERROR(__xludf.DUMMYFUNCTION("IFERROR(GOOGLEFINANCE(B955,""eps""),0)"),0)</f>
        <v>0</v>
      </c>
      <c r="AJ955" s="1"/>
      <c r="AK955" s="1" t="s">
        <v>2921</v>
      </c>
      <c r="AL955" s="9">
        <f t="shared" si="148"/>
        <v>1</v>
      </c>
    </row>
    <row r="956" spans="1:38" ht="15" x14ac:dyDescent="0.25">
      <c r="A956" s="1" t="s">
        <v>2922</v>
      </c>
      <c r="B956" s="1" t="s">
        <v>2923</v>
      </c>
      <c r="C956" s="1" t="s">
        <v>778</v>
      </c>
      <c r="D956" s="1" t="s">
        <v>778</v>
      </c>
      <c r="E956" s="6">
        <v>71.78</v>
      </c>
      <c r="F956" s="1" t="s">
        <v>40</v>
      </c>
      <c r="G956" s="6">
        <f ca="1">IFERROR(__xludf.DUMMYFUNCTION("iferror(GOOGLEFINANCE(TRIM(F956)&amp;"":"" &amp; TRIM(B956), ""price""),0
)"),2.08)</f>
        <v>2.08</v>
      </c>
      <c r="H956" s="6">
        <v>4.5999999999999996</v>
      </c>
      <c r="I956" s="6">
        <f t="shared" ca="1" si="0"/>
        <v>2.08</v>
      </c>
      <c r="J956" s="6">
        <f ca="1">IFERROR(__xludf.DUMMYFUNCTION("IFERROR(GOOGLEFINANCE(B956, ""volume""), 0)"),192823)</f>
        <v>192823</v>
      </c>
      <c r="K956" s="6">
        <v>-0.86</v>
      </c>
      <c r="L956" s="6">
        <f ca="1">IFERROR(__xludf.DUMMYFUNCTION("IFERROR(GOOGLEFINANCE(B956,""changepct""),K956)"),-9.96)</f>
        <v>-9.9600000000000009</v>
      </c>
      <c r="M956" s="6">
        <f ca="1">IFERROR(__xludf.DUMMYFUNCTION("IFERROR(GOOGLEFINANCE(B956,""change""),0)"),-0.23)</f>
        <v>-0.23</v>
      </c>
      <c r="N956" s="6">
        <v>1</v>
      </c>
      <c r="O956" s="7">
        <v>45536</v>
      </c>
      <c r="P956" s="6">
        <v>0.48</v>
      </c>
      <c r="Q956" s="6">
        <v>70.260000000000005</v>
      </c>
      <c r="R956" s="7">
        <v>45536</v>
      </c>
      <c r="S956" s="6">
        <v>7.85</v>
      </c>
      <c r="T956" s="6">
        <v>0.38</v>
      </c>
      <c r="U956" s="7">
        <v>45536</v>
      </c>
      <c r="V956" s="6">
        <v>189.4</v>
      </c>
      <c r="W956" s="6">
        <f ca="1">IFERROR(__xludf.DUMMYFUNCTION("IFERROR(GOOGLEFINANCE(B956,""pe""),V956)"),77.24)</f>
        <v>77.239999999999995</v>
      </c>
      <c r="X956" s="6">
        <v>6.46</v>
      </c>
      <c r="Y956" s="6">
        <v>9.85</v>
      </c>
      <c r="Z956" s="6">
        <v>1</v>
      </c>
      <c r="AA956" s="8">
        <v>45352</v>
      </c>
      <c r="AB956" s="4">
        <v>8.85</v>
      </c>
      <c r="AC956" s="6">
        <v>224.28</v>
      </c>
      <c r="AD956" s="6">
        <v>25.04</v>
      </c>
      <c r="AE956" s="1">
        <v>0</v>
      </c>
      <c r="AF956" s="1">
        <f ca="1">IFERROR(__xludf.DUMMYFUNCTION("IFERROR(GOOGLEFINANCE(TRIM(F956)&amp;"":"" &amp; TRIM(B956),""high52""),AE956)"),4.74)</f>
        <v>4.74</v>
      </c>
      <c r="AG956" s="1">
        <v>0</v>
      </c>
      <c r="AH956" s="1">
        <f ca="1">IFERROR(__xludf.DUMMYFUNCTION("IFERROR(GOOGLEFINANCE(TRIM(F956)&amp;"":"" &amp; TRIM(B956),""low52""),AE956)"),2.01)</f>
        <v>2.0099999999999998</v>
      </c>
      <c r="AI956" s="1">
        <f ca="1">IFERROR(__xludf.DUMMYFUNCTION("IFERROR(GOOGLEFINANCE(B956,""eps""),0)"),0.03)</f>
        <v>0.03</v>
      </c>
      <c r="AJ956" s="1"/>
      <c r="AK956" s="1" t="s">
        <v>2924</v>
      </c>
      <c r="AL956" s="9">
        <f t="shared" si="148"/>
        <v>1</v>
      </c>
    </row>
    <row r="957" spans="1:38" ht="15" x14ac:dyDescent="0.25">
      <c r="A957" s="1" t="s">
        <v>2925</v>
      </c>
      <c r="B957" s="1" t="s">
        <v>2926</v>
      </c>
      <c r="C957" s="1" t="s">
        <v>324</v>
      </c>
      <c r="D957" s="1" t="s">
        <v>324</v>
      </c>
      <c r="E957" s="6">
        <v>27.29</v>
      </c>
      <c r="F957" s="1" t="s">
        <v>53</v>
      </c>
      <c r="G957" s="6">
        <f ca="1">IFERROR(__xludf.DUMMYFUNCTION("iferror(GOOGLEFINANCE(TRIM(F957)&amp;"":"" &amp; TRIM(B957), ""price""),0
)"),0)</f>
        <v>0</v>
      </c>
      <c r="H957" s="6">
        <v>75.599999999999994</v>
      </c>
      <c r="I957" s="6">
        <f t="shared" ca="1" si="0"/>
        <v>75.599999999999994</v>
      </c>
      <c r="J957" s="6">
        <f ca="1">IFERROR(__xludf.DUMMYFUNCTION("IFERROR(GOOGLEFINANCE(B957, ""volume""), 0)"),0)</f>
        <v>0</v>
      </c>
      <c r="K957" s="6">
        <v>-3.01</v>
      </c>
      <c r="L957" s="6">
        <f ca="1">IFERROR(__xludf.DUMMYFUNCTION("IFERROR(GOOGLEFINANCE(B957,""changepct""),K957)"),-3.01)</f>
        <v>-3.01</v>
      </c>
      <c r="M957" s="6">
        <f ca="1">IFERROR(__xludf.DUMMYFUNCTION("IFERROR(GOOGLEFINANCE(B957,""change""),0)"),0)</f>
        <v>0</v>
      </c>
      <c r="N957" s="6">
        <v>1</v>
      </c>
      <c r="O957" s="7">
        <v>45536</v>
      </c>
      <c r="P957" s="9"/>
      <c r="Q957" s="6">
        <v>27.29</v>
      </c>
      <c r="R957" s="7">
        <v>45536</v>
      </c>
      <c r="S957" s="6">
        <v>0</v>
      </c>
      <c r="T957" s="6">
        <v>0.52</v>
      </c>
      <c r="U957" s="7">
        <v>45536</v>
      </c>
      <c r="V957" s="6">
        <v>52.48</v>
      </c>
      <c r="W957" s="6">
        <f ca="1">IFERROR(__xludf.DUMMYFUNCTION("IFERROR(GOOGLEFINANCE(B957,""pe""),V957)"),52.48)</f>
        <v>52.48</v>
      </c>
      <c r="X957" s="6">
        <v>5.28</v>
      </c>
      <c r="Y957" s="6">
        <v>1.38</v>
      </c>
      <c r="Z957" s="6">
        <v>1</v>
      </c>
      <c r="AA957" s="8">
        <v>45352</v>
      </c>
      <c r="AB957" s="4">
        <v>0</v>
      </c>
      <c r="AC957" s="6">
        <v>3.46</v>
      </c>
      <c r="AD957" s="6">
        <v>4.63</v>
      </c>
      <c r="AE957" s="1">
        <v>0</v>
      </c>
      <c r="AF957" s="1">
        <f ca="1">IFERROR(__xludf.DUMMYFUNCTION("IFERROR(GOOGLEFINANCE(TRIM(F957)&amp;"":"" &amp; TRIM(B957),""high52""),AE957)"),0)</f>
        <v>0</v>
      </c>
      <c r="AG957" s="1">
        <v>0</v>
      </c>
      <c r="AH957" s="1">
        <f ca="1">IFERROR(__xludf.DUMMYFUNCTION("IFERROR(GOOGLEFINANCE(TRIM(F957)&amp;"":"" &amp; TRIM(B957),""low52""),AE957)"),0)</f>
        <v>0</v>
      </c>
      <c r="AI957" s="1">
        <f ca="1">IFERROR(__xludf.DUMMYFUNCTION("IFERROR(GOOGLEFINANCE(B957,""eps""),0)"),0)</f>
        <v>0</v>
      </c>
      <c r="AJ957" s="1"/>
      <c r="AK957" s="1" t="s">
        <v>2927</v>
      </c>
      <c r="AL957" s="9">
        <f t="shared" si="148"/>
        <v>1</v>
      </c>
    </row>
    <row r="958" spans="1:38" ht="15" x14ac:dyDescent="0.25">
      <c r="A958" s="1" t="s">
        <v>2928</v>
      </c>
      <c r="B958" s="1" t="s">
        <v>2929</v>
      </c>
      <c r="C958" s="1" t="s">
        <v>159</v>
      </c>
      <c r="D958" s="1" t="s">
        <v>159</v>
      </c>
      <c r="E958" s="6">
        <v>436.1</v>
      </c>
      <c r="F958" s="1" t="s">
        <v>40</v>
      </c>
      <c r="G958" s="6">
        <f ca="1">IFERROR(__xludf.DUMMYFUNCTION("iferror(GOOGLEFINANCE(TRIM(F958)&amp;"":"" &amp; TRIM(B958), ""price""),0
)"),0)</f>
        <v>0</v>
      </c>
      <c r="H958" s="6">
        <v>62.5</v>
      </c>
      <c r="I958" s="6">
        <f t="shared" ca="1" si="0"/>
        <v>62.5</v>
      </c>
      <c r="J958" s="6">
        <f ca="1">IFERROR(__xludf.DUMMYFUNCTION("IFERROR(GOOGLEFINANCE(B958, ""volume""), 0)"),0)</f>
        <v>0</v>
      </c>
      <c r="K958" s="9"/>
      <c r="L958" s="6" t="str">
        <f ca="1">IFERROR(__xludf.DUMMYFUNCTION("IFERROR(GOOGLEFINANCE(B958,""changepct""),K958)"),"")</f>
        <v/>
      </c>
      <c r="M958" s="6">
        <f ca="1">IFERROR(__xludf.DUMMYFUNCTION("IFERROR(GOOGLEFINANCE(B958,""change""),0)"),0)</f>
        <v>0</v>
      </c>
      <c r="N958" s="6">
        <v>1</v>
      </c>
      <c r="O958" s="7">
        <v>45536</v>
      </c>
      <c r="P958" s="6">
        <v>1.36</v>
      </c>
      <c r="Q958" s="6">
        <v>422.99</v>
      </c>
      <c r="R958" s="7">
        <v>45352</v>
      </c>
      <c r="S958" s="6">
        <v>16.100000000000001</v>
      </c>
      <c r="T958" s="6">
        <v>2.0699999999999998</v>
      </c>
      <c r="U958" s="7">
        <v>45352</v>
      </c>
      <c r="V958" s="6">
        <v>211.09</v>
      </c>
      <c r="W958" s="6">
        <f ca="1">IFERROR(__xludf.DUMMYFUNCTION("IFERROR(GOOGLEFINANCE(B958,""pe""),V958)"),211.09)</f>
        <v>211.09</v>
      </c>
      <c r="X958" s="12"/>
      <c r="Y958" s="6">
        <v>8.16</v>
      </c>
      <c r="Z958" s="6">
        <v>2</v>
      </c>
      <c r="AA958" s="8">
        <v>45352</v>
      </c>
      <c r="AB958" s="4">
        <v>0.11</v>
      </c>
      <c r="AC958" s="6">
        <v>2.11</v>
      </c>
      <c r="AD958" s="6">
        <v>6.3</v>
      </c>
      <c r="AE958" s="1">
        <v>0</v>
      </c>
      <c r="AF958" s="1">
        <f ca="1">IFERROR(__xludf.DUMMYFUNCTION("IFERROR(GOOGLEFINANCE(TRIM(F958)&amp;"":"" &amp; TRIM(B958),""high52""),AE958)"),0)</f>
        <v>0</v>
      </c>
      <c r="AG958" s="1">
        <v>0</v>
      </c>
      <c r="AH958" s="1">
        <f ca="1">IFERROR(__xludf.DUMMYFUNCTION("IFERROR(GOOGLEFINANCE(TRIM(F958)&amp;"":"" &amp; TRIM(B958),""low52""),AE958)"),0)</f>
        <v>0</v>
      </c>
      <c r="AI958" s="1">
        <f ca="1">IFERROR(__xludf.DUMMYFUNCTION("IFERROR(GOOGLEFINANCE(B958,""eps""),0)"),0)</f>
        <v>0</v>
      </c>
      <c r="AJ958" s="1"/>
      <c r="AK958" s="1" t="s">
        <v>2930</v>
      </c>
      <c r="AL958" s="9">
        <f t="shared" si="148"/>
        <v>1</v>
      </c>
    </row>
    <row r="959" spans="1:38" ht="15" x14ac:dyDescent="0.25">
      <c r="A959" s="1" t="s">
        <v>2931</v>
      </c>
      <c r="B959" s="1" t="s">
        <v>2932</v>
      </c>
      <c r="C959" s="1" t="s">
        <v>593</v>
      </c>
      <c r="D959" s="1" t="s">
        <v>593</v>
      </c>
      <c r="E959" s="6">
        <v>192.87</v>
      </c>
      <c r="F959" s="1" t="s">
        <v>40</v>
      </c>
      <c r="G959" s="6">
        <f ca="1">IFERROR(__xludf.DUMMYFUNCTION("iferror(GOOGLEFINANCE(TRIM(F959)&amp;"":"" &amp; TRIM(B959), ""price""),0
)"),0)</f>
        <v>0</v>
      </c>
      <c r="H959" s="6">
        <v>132.65</v>
      </c>
      <c r="I959" s="6">
        <f t="shared" ca="1" si="0"/>
        <v>132.65</v>
      </c>
      <c r="J959" s="6">
        <f ca="1">IFERROR(__xludf.DUMMYFUNCTION("IFERROR(GOOGLEFINANCE(B959, ""volume""), 0)"),0)</f>
        <v>0</v>
      </c>
      <c r="K959" s="9"/>
      <c r="L959" s="6" t="str">
        <f ca="1">IFERROR(__xludf.DUMMYFUNCTION("IFERROR(GOOGLEFINANCE(B959,""changepct""),K959)"),"")</f>
        <v/>
      </c>
      <c r="M959" s="6">
        <f ca="1">IFERROR(__xludf.DUMMYFUNCTION("IFERROR(GOOGLEFINANCE(B959,""change""),0)"),0)</f>
        <v>0</v>
      </c>
      <c r="N959" s="6">
        <v>1</v>
      </c>
      <c r="O959" s="7">
        <v>45536</v>
      </c>
      <c r="P959" s="6">
        <v>16.96</v>
      </c>
      <c r="Q959" s="6">
        <v>209.84</v>
      </c>
      <c r="R959" s="7">
        <v>45352</v>
      </c>
      <c r="S959" s="6">
        <v>75.400000000000006</v>
      </c>
      <c r="T959" s="6">
        <v>4.43</v>
      </c>
      <c r="U959" s="7">
        <v>45352</v>
      </c>
      <c r="V959" s="6">
        <v>43.55</v>
      </c>
      <c r="W959" s="6">
        <f ca="1">IFERROR(__xludf.DUMMYFUNCTION("IFERROR(GOOGLEFINANCE(B959,""pe""),V959)"),43.55)</f>
        <v>43.55</v>
      </c>
      <c r="X959" s="12"/>
      <c r="Y959" s="6">
        <v>3.07</v>
      </c>
      <c r="Z959" s="6">
        <v>1</v>
      </c>
      <c r="AA959" s="8">
        <v>45352</v>
      </c>
      <c r="AB959" s="4">
        <v>0.32</v>
      </c>
      <c r="AC959" s="6">
        <v>7.25</v>
      </c>
      <c r="AD959" s="6">
        <v>10.56</v>
      </c>
      <c r="AE959" s="1">
        <v>0</v>
      </c>
      <c r="AF959" s="1">
        <f ca="1">IFERROR(__xludf.DUMMYFUNCTION("IFERROR(GOOGLEFINANCE(TRIM(F959)&amp;"":"" &amp; TRIM(B959),""high52""),AE959)"),0)</f>
        <v>0</v>
      </c>
      <c r="AG959" s="1">
        <v>0</v>
      </c>
      <c r="AH959" s="1">
        <f ca="1">IFERROR(__xludf.DUMMYFUNCTION("IFERROR(GOOGLEFINANCE(TRIM(F959)&amp;"":"" &amp; TRIM(B959),""low52""),AE959)"),0)</f>
        <v>0</v>
      </c>
      <c r="AI959" s="1">
        <f ca="1">IFERROR(__xludf.DUMMYFUNCTION("IFERROR(GOOGLEFINANCE(B959,""eps""),0)"),0)</f>
        <v>0</v>
      </c>
      <c r="AJ959" s="1"/>
      <c r="AK959" s="1" t="s">
        <v>2933</v>
      </c>
      <c r="AL959" s="9">
        <f t="shared" si="148"/>
        <v>1</v>
      </c>
    </row>
    <row r="960" spans="1:38" ht="15" x14ac:dyDescent="0.25">
      <c r="A960" s="1" t="s">
        <v>2934</v>
      </c>
      <c r="B960" s="1" t="s">
        <v>2935</v>
      </c>
      <c r="C960" s="1" t="s">
        <v>324</v>
      </c>
      <c r="D960" s="1" t="s">
        <v>324</v>
      </c>
      <c r="E960" s="6">
        <v>277.42</v>
      </c>
      <c r="F960" s="1" t="s">
        <v>53</v>
      </c>
      <c r="G960" s="6">
        <f ca="1">IFERROR(__xludf.DUMMYFUNCTION("iferror(GOOGLEFINANCE(TRIM(F960)&amp;"":"" &amp; TRIM(B960), ""price""),0
)"),0)</f>
        <v>0</v>
      </c>
      <c r="H960" s="6">
        <v>113.6</v>
      </c>
      <c r="I960" s="6">
        <f t="shared" ca="1" si="0"/>
        <v>113.6</v>
      </c>
      <c r="J960" s="6">
        <f ca="1">IFERROR(__xludf.DUMMYFUNCTION("IFERROR(GOOGLEFINANCE(B960, ""volume""), 0)"),0)</f>
        <v>0</v>
      </c>
      <c r="K960" s="6">
        <v>-0.18</v>
      </c>
      <c r="L960" s="6">
        <f ca="1">IFERROR(__xludf.DUMMYFUNCTION("IFERROR(GOOGLEFINANCE(B960,""changepct""),K960)"),-0.18)</f>
        <v>-0.18</v>
      </c>
      <c r="M960" s="6">
        <f ca="1">IFERROR(__xludf.DUMMYFUNCTION("IFERROR(GOOGLEFINANCE(B960,""change""),0)"),0)</f>
        <v>0</v>
      </c>
      <c r="N960" s="6">
        <v>2</v>
      </c>
      <c r="O960" s="7">
        <v>45536</v>
      </c>
      <c r="P960" s="6">
        <v>111.01</v>
      </c>
      <c r="Q960" s="6">
        <v>387.95</v>
      </c>
      <c r="R960" s="7">
        <v>45536</v>
      </c>
      <c r="S960" s="6">
        <v>413.12</v>
      </c>
      <c r="T960" s="6">
        <v>6.54</v>
      </c>
      <c r="U960" s="7">
        <v>45536</v>
      </c>
      <c r="V960" s="6">
        <v>42.42</v>
      </c>
      <c r="W960" s="6">
        <f ca="1">IFERROR(__xludf.DUMMYFUNCTION("IFERROR(GOOGLEFINANCE(B960,""pe""),V960)"),42.42)</f>
        <v>42.42</v>
      </c>
      <c r="X960" s="6">
        <v>-6.05</v>
      </c>
      <c r="Y960" s="6">
        <v>1.59</v>
      </c>
      <c r="Z960" s="6">
        <v>2</v>
      </c>
      <c r="AA960" s="8">
        <v>45352</v>
      </c>
      <c r="AB960" s="4">
        <v>0.66</v>
      </c>
      <c r="AC960" s="6">
        <v>4.68</v>
      </c>
      <c r="AD960" s="6">
        <v>8.24</v>
      </c>
      <c r="AE960" s="1">
        <v>0</v>
      </c>
      <c r="AF960" s="1">
        <f ca="1">IFERROR(__xludf.DUMMYFUNCTION("IFERROR(GOOGLEFINANCE(TRIM(F960)&amp;"":"" &amp; TRIM(B960),""high52""),AE960)"),0)</f>
        <v>0</v>
      </c>
      <c r="AG960" s="1">
        <v>0</v>
      </c>
      <c r="AH960" s="1">
        <f ca="1">IFERROR(__xludf.DUMMYFUNCTION("IFERROR(GOOGLEFINANCE(TRIM(F960)&amp;"":"" &amp; TRIM(B960),""low52""),AE960)"),0)</f>
        <v>0</v>
      </c>
      <c r="AI960" s="1">
        <f ca="1">IFERROR(__xludf.DUMMYFUNCTION("IFERROR(GOOGLEFINANCE(B960,""eps""),0)"),0)</f>
        <v>0</v>
      </c>
      <c r="AJ960" s="1"/>
      <c r="AK960" s="6">
        <v>30.66</v>
      </c>
      <c r="AL960" s="9">
        <f t="shared" si="148"/>
        <v>1</v>
      </c>
    </row>
    <row r="961" spans="1:38" ht="15" x14ac:dyDescent="0.25">
      <c r="A961" s="1" t="s">
        <v>2936</v>
      </c>
      <c r="B961" s="1" t="s">
        <v>2937</v>
      </c>
      <c r="C961" s="1" t="s">
        <v>324</v>
      </c>
      <c r="D961" s="1" t="s">
        <v>324</v>
      </c>
      <c r="E961" s="6">
        <v>784.5</v>
      </c>
      <c r="F961" s="1" t="s">
        <v>53</v>
      </c>
      <c r="G961" s="6">
        <f ca="1">IFERROR(__xludf.DUMMYFUNCTION("iferror(GOOGLEFINANCE(TRIM(F961)&amp;"":"" &amp; TRIM(B961), ""price""),0
)"),0)</f>
        <v>0</v>
      </c>
      <c r="H961" s="6">
        <v>7.28</v>
      </c>
      <c r="I961" s="6">
        <f t="shared" ca="1" si="0"/>
        <v>7.28</v>
      </c>
      <c r="J961" s="6">
        <f ca="1">IFERROR(__xludf.DUMMYFUNCTION("IFERROR(GOOGLEFINANCE(B961, ""volume""), 0)"),0)</f>
        <v>0</v>
      </c>
      <c r="K961" s="6">
        <v>0</v>
      </c>
      <c r="L961" s="6">
        <f ca="1">IFERROR(__xludf.DUMMYFUNCTION("IFERROR(GOOGLEFINANCE(B961,""changepct""),K961)"),0)</f>
        <v>0</v>
      </c>
      <c r="M961" s="6">
        <f ca="1">IFERROR(__xludf.DUMMYFUNCTION("IFERROR(GOOGLEFINANCE(B961,""change""),0)"),0)</f>
        <v>0</v>
      </c>
      <c r="N961" s="6">
        <v>2</v>
      </c>
      <c r="O961" s="7">
        <v>45536</v>
      </c>
      <c r="P961" s="6">
        <v>4.29</v>
      </c>
      <c r="Q961" s="6">
        <v>788.8</v>
      </c>
      <c r="R961" s="7">
        <v>45536</v>
      </c>
      <c r="S961" s="6">
        <v>1392.64</v>
      </c>
      <c r="T961" s="6">
        <v>365.1</v>
      </c>
      <c r="U961" s="7">
        <v>45536</v>
      </c>
      <c r="V961" s="6">
        <v>2.15</v>
      </c>
      <c r="W961" s="6">
        <f ca="1">IFERROR(__xludf.DUMMYFUNCTION("IFERROR(GOOGLEFINANCE(B961,""pe""),V961)"),2.15)</f>
        <v>2.15</v>
      </c>
      <c r="X961" s="9"/>
      <c r="Y961" s="6">
        <v>0.99</v>
      </c>
      <c r="Z961" s="6">
        <v>2</v>
      </c>
      <c r="AA961" s="8">
        <v>45352</v>
      </c>
      <c r="AB961" s="4">
        <v>0.09</v>
      </c>
      <c r="AC961" s="6">
        <v>100.88</v>
      </c>
      <c r="AD961" s="6">
        <v>88.74</v>
      </c>
      <c r="AE961" s="1">
        <v>0</v>
      </c>
      <c r="AF961" s="1">
        <f ca="1">IFERROR(__xludf.DUMMYFUNCTION("IFERROR(GOOGLEFINANCE(TRIM(F961)&amp;"":"" &amp; TRIM(B961),""high52""),AE961)"),0)</f>
        <v>0</v>
      </c>
      <c r="AG961" s="1">
        <v>0</v>
      </c>
      <c r="AH961" s="1">
        <f ca="1">IFERROR(__xludf.DUMMYFUNCTION("IFERROR(GOOGLEFINANCE(TRIM(F961)&amp;"":"" &amp; TRIM(B961),""low52""),AE961)"),0)</f>
        <v>0</v>
      </c>
      <c r="AI961" s="1">
        <f ca="1">IFERROR(__xludf.DUMMYFUNCTION("IFERROR(GOOGLEFINANCE(B961,""eps""),0)"),0)</f>
        <v>0</v>
      </c>
      <c r="AJ961" s="1"/>
      <c r="AK961" s="9"/>
      <c r="AL961" s="9">
        <f t="shared" si="148"/>
        <v>1</v>
      </c>
    </row>
    <row r="962" spans="1:38" ht="15" x14ac:dyDescent="0.25">
      <c r="A962" s="1" t="s">
        <v>2938</v>
      </c>
      <c r="B962" s="1" t="s">
        <v>2939</v>
      </c>
      <c r="C962" s="1" t="s">
        <v>324</v>
      </c>
      <c r="D962" s="1" t="s">
        <v>324</v>
      </c>
      <c r="E962" s="6">
        <v>160.32</v>
      </c>
      <c r="F962" s="1" t="s">
        <v>53</v>
      </c>
      <c r="G962" s="6">
        <f ca="1">IFERROR(__xludf.DUMMYFUNCTION("iferror(GOOGLEFINANCE(TRIM(F962)&amp;"":"" &amp; TRIM(B962), ""price""),0
)"),0)</f>
        <v>0</v>
      </c>
      <c r="H962" s="6">
        <v>69.55</v>
      </c>
      <c r="I962" s="6">
        <f t="shared" ca="1" si="0"/>
        <v>69.55</v>
      </c>
      <c r="J962" s="6">
        <f ca="1">IFERROR(__xludf.DUMMYFUNCTION("IFERROR(GOOGLEFINANCE(B962, ""volume""), 0)"),0)</f>
        <v>0</v>
      </c>
      <c r="K962" s="6">
        <v>1.1599999999999999</v>
      </c>
      <c r="L962" s="6">
        <f ca="1">IFERROR(__xludf.DUMMYFUNCTION("IFERROR(GOOGLEFINANCE(B962,""changepct""),K962)"),1.16)</f>
        <v>1.1599999999999999</v>
      </c>
      <c r="M962" s="6">
        <f ca="1">IFERROR(__xludf.DUMMYFUNCTION("IFERROR(GOOGLEFINANCE(B962,""change""),0)"),0)</f>
        <v>0</v>
      </c>
      <c r="N962" s="6">
        <v>1</v>
      </c>
      <c r="O962" s="7">
        <v>45352</v>
      </c>
      <c r="P962" s="6">
        <v>71.19</v>
      </c>
      <c r="Q962" s="6">
        <v>229.96</v>
      </c>
      <c r="R962" s="7">
        <v>45536</v>
      </c>
      <c r="S962" s="6">
        <v>365.59</v>
      </c>
      <c r="T962" s="6">
        <v>18.04</v>
      </c>
      <c r="U962" s="7">
        <v>45536</v>
      </c>
      <c r="V962" s="6">
        <v>8.89</v>
      </c>
      <c r="W962" s="6">
        <f ca="1">IFERROR(__xludf.DUMMYFUNCTION("IFERROR(GOOGLEFINANCE(B962,""pe""),V962)"),8.89)</f>
        <v>8.89</v>
      </c>
      <c r="X962" s="6">
        <v>0.45</v>
      </c>
      <c r="Y962" s="6">
        <v>-2.94</v>
      </c>
      <c r="Z962" s="6">
        <v>1</v>
      </c>
      <c r="AA962" s="8">
        <v>45352</v>
      </c>
      <c r="AB962" s="4">
        <v>-1.1499999999999999</v>
      </c>
      <c r="AC962" s="6">
        <v>0</v>
      </c>
      <c r="AD962" s="6">
        <v>194.86</v>
      </c>
      <c r="AE962" s="1">
        <v>0</v>
      </c>
      <c r="AF962" s="1">
        <f ca="1">IFERROR(__xludf.DUMMYFUNCTION("IFERROR(GOOGLEFINANCE(TRIM(F962)&amp;"":"" &amp; TRIM(B962),""high52""),AE962)"),0)</f>
        <v>0</v>
      </c>
      <c r="AG962" s="1">
        <v>0</v>
      </c>
      <c r="AH962" s="1">
        <f ca="1">IFERROR(__xludf.DUMMYFUNCTION("IFERROR(GOOGLEFINANCE(TRIM(F962)&amp;"":"" &amp; TRIM(B962),""low52""),AE962)"),0)</f>
        <v>0</v>
      </c>
      <c r="AI962" s="1">
        <f ca="1">IFERROR(__xludf.DUMMYFUNCTION("IFERROR(GOOGLEFINANCE(B962,""eps""),0)"),0)</f>
        <v>0</v>
      </c>
      <c r="AJ962" s="1"/>
      <c r="AK962" s="1" t="s">
        <v>2940</v>
      </c>
      <c r="AL962" s="9">
        <f t="shared" si="148"/>
        <v>1</v>
      </c>
    </row>
    <row r="963" spans="1:38" ht="15" x14ac:dyDescent="0.25">
      <c r="A963" s="1" t="s">
        <v>2941</v>
      </c>
      <c r="B963" s="1" t="s">
        <v>2942</v>
      </c>
      <c r="C963" s="1" t="s">
        <v>2185</v>
      </c>
      <c r="D963" s="1" t="s">
        <v>2185</v>
      </c>
      <c r="E963" s="6">
        <v>260.27</v>
      </c>
      <c r="F963" s="1" t="s">
        <v>40</v>
      </c>
      <c r="G963" s="6">
        <f ca="1">IFERROR(__xludf.DUMMYFUNCTION("iferror(GOOGLEFINANCE(TRIM(F963)&amp;"":"" &amp; TRIM(B963), ""price""),0
)"),3.23)</f>
        <v>3.23</v>
      </c>
      <c r="H963" s="6">
        <v>7.96</v>
      </c>
      <c r="I963" s="6">
        <f t="shared" ca="1" si="0"/>
        <v>3.23</v>
      </c>
      <c r="J963" s="6">
        <f ca="1">IFERROR(__xludf.DUMMYFUNCTION("IFERROR(GOOGLEFINANCE(B963, ""volume""), 0)"),302292)</f>
        <v>302292</v>
      </c>
      <c r="K963" s="6">
        <v>-0.38</v>
      </c>
      <c r="L963" s="6">
        <f ca="1">IFERROR(__xludf.DUMMYFUNCTION("IFERROR(GOOGLEFINANCE(B963,""changepct""),K963)"),-0.62)</f>
        <v>-0.62</v>
      </c>
      <c r="M963" s="6">
        <f ca="1">IFERROR(__xludf.DUMMYFUNCTION("IFERROR(GOOGLEFINANCE(B963,""change""),0)"),-0.02)</f>
        <v>-0.02</v>
      </c>
      <c r="N963" s="6">
        <v>2</v>
      </c>
      <c r="O963" s="7">
        <v>45536</v>
      </c>
      <c r="P963" s="6">
        <v>101.99</v>
      </c>
      <c r="Q963" s="6">
        <v>348.38</v>
      </c>
      <c r="R963" s="7">
        <v>45536</v>
      </c>
      <c r="S963" s="6">
        <v>439.81</v>
      </c>
      <c r="T963" s="6">
        <v>12.75</v>
      </c>
      <c r="U963" s="7">
        <v>45536</v>
      </c>
      <c r="V963" s="6">
        <v>20.41</v>
      </c>
      <c r="W963" s="6">
        <f ca="1">IFERROR(__xludf.DUMMYFUNCTION("IFERROR(GOOGLEFINANCE(B963,""pe""),V963)"),7.69)</f>
        <v>7.69</v>
      </c>
      <c r="X963" s="9"/>
      <c r="Y963" s="6">
        <v>1.55</v>
      </c>
      <c r="Z963" s="6">
        <v>2</v>
      </c>
      <c r="AA963" s="8">
        <v>45352</v>
      </c>
      <c r="AB963" s="4">
        <v>0.86</v>
      </c>
      <c r="AC963" s="6">
        <v>6.28</v>
      </c>
      <c r="AD963" s="6">
        <v>9.41</v>
      </c>
      <c r="AE963" s="1">
        <v>0</v>
      </c>
      <c r="AF963" s="1">
        <f ca="1">IFERROR(__xludf.DUMMYFUNCTION("IFERROR(GOOGLEFINANCE(TRIM(F963)&amp;"":"" &amp; TRIM(B963),""high52""),AE963)"),7.87)</f>
        <v>7.87</v>
      </c>
      <c r="AG963" s="1">
        <v>0</v>
      </c>
      <c r="AH963" s="1">
        <f ca="1">IFERROR(__xludf.DUMMYFUNCTION("IFERROR(GOOGLEFINANCE(TRIM(F963)&amp;"":"" &amp; TRIM(B963),""low52""),AE963)"),2.81)</f>
        <v>2.81</v>
      </c>
      <c r="AI963" s="1">
        <f ca="1">IFERROR(__xludf.DUMMYFUNCTION("IFERROR(GOOGLEFINANCE(B963,""eps""),0)"),0.42)</f>
        <v>0.42</v>
      </c>
      <c r="AJ963" s="1"/>
      <c r="AK963" s="1" t="s">
        <v>2943</v>
      </c>
      <c r="AL963" s="9">
        <f t="shared" si="148"/>
        <v>1</v>
      </c>
    </row>
    <row r="964" spans="1:38" ht="15" x14ac:dyDescent="0.25">
      <c r="A964" s="1" t="s">
        <v>2944</v>
      </c>
      <c r="B964" s="1" t="s">
        <v>2945</v>
      </c>
      <c r="C964" s="1" t="s">
        <v>324</v>
      </c>
      <c r="D964" s="1" t="s">
        <v>324</v>
      </c>
      <c r="E964" s="6">
        <v>42.82</v>
      </c>
      <c r="F964" s="1" t="s">
        <v>53</v>
      </c>
      <c r="G964" s="6">
        <f ca="1">IFERROR(__xludf.DUMMYFUNCTION("iferror(GOOGLEFINANCE(TRIM(F964)&amp;"":"" &amp; TRIM(B964), ""price""),0
)"),0)</f>
        <v>0</v>
      </c>
      <c r="H964" s="6">
        <v>6.83</v>
      </c>
      <c r="I964" s="6">
        <f t="shared" ca="1" si="0"/>
        <v>6.83</v>
      </c>
      <c r="J964" s="6">
        <f ca="1">IFERROR(__xludf.DUMMYFUNCTION("IFERROR(GOOGLEFINANCE(B964, ""volume""), 0)"),0)</f>
        <v>0</v>
      </c>
      <c r="K964" s="6">
        <v>0.28999999999999998</v>
      </c>
      <c r="L964" s="6">
        <f ca="1">IFERROR(__xludf.DUMMYFUNCTION("IFERROR(GOOGLEFINANCE(B964,""changepct""),K964)"),0.29)</f>
        <v>0.28999999999999998</v>
      </c>
      <c r="M964" s="6">
        <f ca="1">IFERROR(__xludf.DUMMYFUNCTION("IFERROR(GOOGLEFINANCE(B964,""change""),0)"),0)</f>
        <v>0</v>
      </c>
      <c r="N964" s="6">
        <v>1</v>
      </c>
      <c r="O964" s="7">
        <v>45536</v>
      </c>
      <c r="P964" s="6">
        <v>7.73</v>
      </c>
      <c r="Q964" s="6">
        <v>50.55</v>
      </c>
      <c r="R964" s="7">
        <v>45536</v>
      </c>
      <c r="S964" s="6">
        <v>0</v>
      </c>
      <c r="T964" s="6">
        <v>-0.21</v>
      </c>
      <c r="U964" s="7">
        <v>45536</v>
      </c>
      <c r="V964" s="6">
        <v>0</v>
      </c>
      <c r="W964" s="6">
        <f ca="1">IFERROR(__xludf.DUMMYFUNCTION("IFERROR(GOOGLEFINANCE(B964,""pe""),V964)"),0)</f>
        <v>0</v>
      </c>
      <c r="X964" s="9"/>
      <c r="Y964" s="6">
        <v>3.07</v>
      </c>
      <c r="Z964" s="6">
        <v>1</v>
      </c>
      <c r="AA964" s="8">
        <v>45352</v>
      </c>
      <c r="AB964" s="4">
        <v>0.53</v>
      </c>
      <c r="AC964" s="6">
        <v>6.66</v>
      </c>
      <c r="AD964" s="6">
        <v>4.3</v>
      </c>
      <c r="AE964" s="1">
        <v>0</v>
      </c>
      <c r="AF964" s="1">
        <f ca="1">IFERROR(__xludf.DUMMYFUNCTION("IFERROR(GOOGLEFINANCE(TRIM(F964)&amp;"":"" &amp; TRIM(B964),""high52""),AE964)"),0)</f>
        <v>0</v>
      </c>
      <c r="AG964" s="1">
        <v>0</v>
      </c>
      <c r="AH964" s="1">
        <f ca="1">IFERROR(__xludf.DUMMYFUNCTION("IFERROR(GOOGLEFINANCE(TRIM(F964)&amp;"":"" &amp; TRIM(B964),""low52""),AE964)"),0)</f>
        <v>0</v>
      </c>
      <c r="AI964" s="1">
        <f ca="1">IFERROR(__xludf.DUMMYFUNCTION("IFERROR(GOOGLEFINANCE(B964,""eps""),0)"),0)</f>
        <v>0</v>
      </c>
      <c r="AJ964" s="1"/>
      <c r="AK964" s="1" t="s">
        <v>2946</v>
      </c>
      <c r="AL964" s="9">
        <f t="shared" si="148"/>
        <v>1</v>
      </c>
    </row>
    <row r="965" spans="1:38" ht="15" x14ac:dyDescent="0.25">
      <c r="A965" s="1" t="s">
        <v>2947</v>
      </c>
      <c r="B965" s="1" t="s">
        <v>2948</v>
      </c>
      <c r="C965" s="1" t="s">
        <v>889</v>
      </c>
      <c r="D965" s="1" t="s">
        <v>889</v>
      </c>
      <c r="E965" s="6">
        <v>97.11</v>
      </c>
      <c r="F965" s="1" t="s">
        <v>40</v>
      </c>
      <c r="G965" s="6">
        <f ca="1">IFERROR(__xludf.DUMMYFUNCTION("iferror(GOOGLEFINANCE(TRIM(F965)&amp;"":"" &amp; TRIM(B965), ""price""),0
)"),0)</f>
        <v>0</v>
      </c>
      <c r="H965" s="6">
        <v>58.6</v>
      </c>
      <c r="I965" s="6">
        <f t="shared" ca="1" si="0"/>
        <v>58.6</v>
      </c>
      <c r="J965" s="6">
        <f ca="1">IFERROR(__xludf.DUMMYFUNCTION("IFERROR(GOOGLEFINANCE(B965, ""volume""), 0)"),0)</f>
        <v>0</v>
      </c>
      <c r="K965" s="6">
        <v>0.34</v>
      </c>
      <c r="L965" s="6">
        <f ca="1">IFERROR(__xludf.DUMMYFUNCTION("IFERROR(GOOGLEFINANCE(B965,""changepct""),K965)"),0.34)</f>
        <v>0.34</v>
      </c>
      <c r="M965" s="6">
        <f ca="1">IFERROR(__xludf.DUMMYFUNCTION("IFERROR(GOOGLEFINANCE(B965,""change""),0)"),0)</f>
        <v>0</v>
      </c>
      <c r="N965" s="6">
        <v>1</v>
      </c>
      <c r="O965" s="7">
        <v>45536</v>
      </c>
      <c r="P965" s="6">
        <v>35.08</v>
      </c>
      <c r="Q965" s="6">
        <v>132.19</v>
      </c>
      <c r="R965" s="14"/>
      <c r="S965" s="9"/>
      <c r="T965" s="9"/>
      <c r="U965" s="7">
        <v>45352</v>
      </c>
      <c r="V965" s="6">
        <v>19.23</v>
      </c>
      <c r="W965" s="6">
        <f ca="1">IFERROR(__xludf.DUMMYFUNCTION("IFERROR(GOOGLEFINANCE(B965,""pe""),V965)"),19.23)</f>
        <v>19.23</v>
      </c>
      <c r="X965" s="9"/>
      <c r="Y965" s="6">
        <v>1.6</v>
      </c>
      <c r="Z965" s="6">
        <v>1</v>
      </c>
      <c r="AA965" s="8">
        <v>45352</v>
      </c>
      <c r="AB965" s="4">
        <v>2.78</v>
      </c>
      <c r="AC965" s="6">
        <v>26.2</v>
      </c>
      <c r="AD965" s="6">
        <v>13.22</v>
      </c>
      <c r="AE965" s="1">
        <v>0</v>
      </c>
      <c r="AF965" s="1">
        <f ca="1">IFERROR(__xludf.DUMMYFUNCTION("IFERROR(GOOGLEFINANCE(TRIM(F965)&amp;"":"" &amp; TRIM(B965),""high52""),AE965)"),0)</f>
        <v>0</v>
      </c>
      <c r="AG965" s="1">
        <v>0</v>
      </c>
      <c r="AH965" s="1">
        <f ca="1">IFERROR(__xludf.DUMMYFUNCTION("IFERROR(GOOGLEFINANCE(TRIM(F965)&amp;"":"" &amp; TRIM(B965),""low52""),AE965)"),0)</f>
        <v>0</v>
      </c>
      <c r="AI965" s="1">
        <f ca="1">IFERROR(__xludf.DUMMYFUNCTION("IFERROR(GOOGLEFINANCE(B965,""eps""),0)"),0)</f>
        <v>0</v>
      </c>
      <c r="AJ965" s="1"/>
      <c r="AK965" s="1" t="s">
        <v>2949</v>
      </c>
      <c r="AL965" s="1" t="b">
        <f>ISNUMBER(AA965)</f>
        <v>1</v>
      </c>
    </row>
    <row r="966" spans="1:38" ht="15" x14ac:dyDescent="0.25">
      <c r="A966" s="1" t="s">
        <v>2950</v>
      </c>
      <c r="B966" s="1" t="s">
        <v>2951</v>
      </c>
      <c r="C966" s="1" t="s">
        <v>1118</v>
      </c>
      <c r="D966" s="1" t="s">
        <v>1118</v>
      </c>
      <c r="E966" s="6">
        <v>1067.71</v>
      </c>
      <c r="F966" s="1" t="s">
        <v>40</v>
      </c>
      <c r="G966" s="6">
        <f ca="1">IFERROR(__xludf.DUMMYFUNCTION("iferror(GOOGLEFINANCE(TRIM(F966)&amp;"":"" &amp; TRIM(B966), ""price""),0
)"),34.19)</f>
        <v>34.19</v>
      </c>
      <c r="H966" s="6">
        <v>57.75</v>
      </c>
      <c r="I966" s="6">
        <f t="shared" ca="1" si="0"/>
        <v>34.19</v>
      </c>
      <c r="J966" s="6">
        <f ca="1">IFERROR(__xludf.DUMMYFUNCTION("IFERROR(GOOGLEFINANCE(B966, ""volume""), 0)"),330967)</f>
        <v>330967</v>
      </c>
      <c r="K966" s="6">
        <v>0.1</v>
      </c>
      <c r="L966" s="6">
        <f ca="1">IFERROR(__xludf.DUMMYFUNCTION("IFERROR(GOOGLEFINANCE(B966,""changepct""),K966)"),-1.16)</f>
        <v>-1.1599999999999999</v>
      </c>
      <c r="M966" s="6">
        <f ca="1">IFERROR(__xludf.DUMMYFUNCTION("IFERROR(GOOGLEFINANCE(B966,""change""),0)"),-0.4)</f>
        <v>-0.4</v>
      </c>
      <c r="N966" s="6">
        <v>1</v>
      </c>
      <c r="O966" s="7">
        <v>45536</v>
      </c>
      <c r="P966" s="6">
        <v>218.69</v>
      </c>
      <c r="Q966" s="6">
        <v>1070.21</v>
      </c>
      <c r="R966" s="7">
        <v>45536</v>
      </c>
      <c r="S966" s="6">
        <v>1280.17</v>
      </c>
      <c r="T966" s="6">
        <v>-1.03</v>
      </c>
      <c r="U966" s="7">
        <v>45536</v>
      </c>
      <c r="V966" s="6">
        <v>0</v>
      </c>
      <c r="W966" s="6">
        <f ca="1">IFERROR(__xludf.DUMMYFUNCTION("IFERROR(GOOGLEFINANCE(B966,""pe""),V966)"),42.35)</f>
        <v>42.35</v>
      </c>
      <c r="X966" s="6">
        <v>0</v>
      </c>
      <c r="Y966" s="6">
        <v>1.42</v>
      </c>
      <c r="Z966" s="6">
        <v>1</v>
      </c>
      <c r="AA966" s="8">
        <v>45352</v>
      </c>
      <c r="AB966" s="4">
        <v>0.55000000000000004</v>
      </c>
      <c r="AC966" s="6">
        <v>10.7</v>
      </c>
      <c r="AD966" s="6">
        <v>13.77</v>
      </c>
      <c r="AE966" s="1">
        <v>0</v>
      </c>
      <c r="AF966" s="1">
        <f ca="1">IFERROR(__xludf.DUMMYFUNCTION("IFERROR(GOOGLEFINANCE(TRIM(F966)&amp;"":"" &amp; TRIM(B966),""high52""),AE966)"),52.6)</f>
        <v>52.6</v>
      </c>
      <c r="AG966" s="1">
        <v>0</v>
      </c>
      <c r="AH966" s="1">
        <f ca="1">IFERROR(__xludf.DUMMYFUNCTION("IFERROR(GOOGLEFINANCE(TRIM(F966)&amp;"":"" &amp; TRIM(B966),""low52""),AE966)"),32.13)</f>
        <v>32.130000000000003</v>
      </c>
      <c r="AI966" s="1">
        <f ca="1">IFERROR(__xludf.DUMMYFUNCTION("IFERROR(GOOGLEFINANCE(B966,""eps""),0)"),0.81)</f>
        <v>0.81</v>
      </c>
      <c r="AJ966" s="1"/>
      <c r="AK966" s="12"/>
      <c r="AL966" s="9">
        <f t="shared" ref="AL966:AL972" si="149">IF(AA966&lt;&gt;AB966,1,0)</f>
        <v>1</v>
      </c>
    </row>
    <row r="967" spans="1:38" ht="15" x14ac:dyDescent="0.25">
      <c r="A967" s="1" t="s">
        <v>2952</v>
      </c>
      <c r="B967" s="1" t="s">
        <v>2953</v>
      </c>
      <c r="C967" s="1" t="s">
        <v>57</v>
      </c>
      <c r="D967" s="1" t="s">
        <v>57</v>
      </c>
      <c r="E967" s="6">
        <v>2031.94</v>
      </c>
      <c r="F967" s="1" t="s">
        <v>40</v>
      </c>
      <c r="G967" s="6">
        <f ca="1">IFERROR(__xludf.DUMMYFUNCTION("iferror(GOOGLEFINANCE(TRIM(F967)&amp;"":"" &amp; TRIM(B967), ""price""),0
)"),932)</f>
        <v>932</v>
      </c>
      <c r="H967" s="6">
        <v>1608.9</v>
      </c>
      <c r="I967" s="6">
        <f t="shared" ca="1" si="0"/>
        <v>932</v>
      </c>
      <c r="J967" s="6">
        <f ca="1">IFERROR(__xludf.DUMMYFUNCTION("IFERROR(GOOGLEFINANCE(B967, ""volume""), 0)"),23363)</f>
        <v>23363</v>
      </c>
      <c r="K967" s="6">
        <v>0.74</v>
      </c>
      <c r="L967" s="6">
        <f ca="1">IFERROR(__xludf.DUMMYFUNCTION("IFERROR(GOOGLEFINANCE(B967,""changepct""),K967)"),0.41)</f>
        <v>0.41</v>
      </c>
      <c r="M967" s="6">
        <f ca="1">IFERROR(__xludf.DUMMYFUNCTION("IFERROR(GOOGLEFINANCE(B967,""change""),0)"),3.85)</f>
        <v>3.85</v>
      </c>
      <c r="N967" s="6">
        <v>2</v>
      </c>
      <c r="O967" s="7">
        <v>45536</v>
      </c>
      <c r="P967" s="6">
        <v>32.979999999999997</v>
      </c>
      <c r="Q967" s="6">
        <v>1997.15</v>
      </c>
      <c r="R967" s="7">
        <v>45536</v>
      </c>
      <c r="S967" s="6">
        <v>1136.32</v>
      </c>
      <c r="T967" s="6">
        <v>63.08</v>
      </c>
      <c r="U967" s="7">
        <v>45536</v>
      </c>
      <c r="V967" s="6">
        <v>32.200000000000003</v>
      </c>
      <c r="W967" s="6">
        <f ca="1">IFERROR(__xludf.DUMMYFUNCTION("IFERROR(GOOGLEFINANCE(B967,""pe""),V967)"),15.06)</f>
        <v>15.06</v>
      </c>
      <c r="X967" s="6">
        <v>0.54</v>
      </c>
      <c r="Y967" s="6">
        <v>10.53</v>
      </c>
      <c r="Z967" s="6">
        <v>2</v>
      </c>
      <c r="AA967" s="8">
        <v>45352</v>
      </c>
      <c r="AB967" s="4">
        <v>0.21</v>
      </c>
      <c r="AC967" s="6">
        <v>41.23</v>
      </c>
      <c r="AD967" s="6">
        <v>44.84</v>
      </c>
      <c r="AE967" s="1">
        <v>0</v>
      </c>
      <c r="AF967" s="1">
        <f ca="1">IFERROR(__xludf.DUMMYFUNCTION("IFERROR(GOOGLEFINANCE(TRIM(F967)&amp;"":"" &amp; TRIM(B967),""high52""),AE967)"),1274.95)</f>
        <v>1274.95</v>
      </c>
      <c r="AG967" s="1">
        <v>0</v>
      </c>
      <c r="AH967" s="1">
        <f ca="1">IFERROR(__xludf.DUMMYFUNCTION("IFERROR(GOOGLEFINANCE(TRIM(F967)&amp;"":"" &amp; TRIM(B967),""low52""),AE967)"),820.55)</f>
        <v>820.55</v>
      </c>
      <c r="AI967" s="1">
        <f ca="1">IFERROR(__xludf.DUMMYFUNCTION("IFERROR(GOOGLEFINANCE(B967,""eps""),0)"),61.9)</f>
        <v>61.9</v>
      </c>
      <c r="AJ967" s="1"/>
      <c r="AK967" s="1" t="s">
        <v>2954</v>
      </c>
      <c r="AL967" s="9">
        <f t="shared" si="149"/>
        <v>1</v>
      </c>
    </row>
    <row r="968" spans="1:38" ht="15" x14ac:dyDescent="0.25">
      <c r="A968" s="1" t="s">
        <v>2955</v>
      </c>
      <c r="B968" s="1" t="s">
        <v>2956</v>
      </c>
      <c r="C968" s="1" t="s">
        <v>324</v>
      </c>
      <c r="D968" s="1" t="s">
        <v>324</v>
      </c>
      <c r="E968" s="6">
        <v>172.49</v>
      </c>
      <c r="F968" s="1" t="s">
        <v>53</v>
      </c>
      <c r="G968" s="6">
        <f ca="1">IFERROR(__xludf.DUMMYFUNCTION("iferror(GOOGLEFINANCE(TRIM(F968)&amp;"":"" &amp; TRIM(B968), ""price""),0
)"),0)</f>
        <v>0</v>
      </c>
      <c r="H968" s="6">
        <v>2.77</v>
      </c>
      <c r="I968" s="6">
        <f t="shared" ca="1" si="0"/>
        <v>2.77</v>
      </c>
      <c r="J968" s="6">
        <f ca="1">IFERROR(__xludf.DUMMYFUNCTION("IFERROR(GOOGLEFINANCE(B968, ""volume""), 0)"),0)</f>
        <v>0</v>
      </c>
      <c r="K968" s="6">
        <v>-4.8099999999999996</v>
      </c>
      <c r="L968" s="6">
        <f ca="1">IFERROR(__xludf.DUMMYFUNCTION("IFERROR(GOOGLEFINANCE(B968,""changepct""),K968)"),-4.81)</f>
        <v>-4.8099999999999996</v>
      </c>
      <c r="M968" s="6">
        <f ca="1">IFERROR(__xludf.DUMMYFUNCTION("IFERROR(GOOGLEFINANCE(B968,""change""),0)"),0)</f>
        <v>0</v>
      </c>
      <c r="N968" s="6">
        <v>1</v>
      </c>
      <c r="O968" s="7">
        <v>45536</v>
      </c>
      <c r="P968" s="6">
        <v>37.24</v>
      </c>
      <c r="Q968" s="6">
        <v>208.19</v>
      </c>
      <c r="R968" s="7">
        <v>45536</v>
      </c>
      <c r="S968" s="6">
        <v>259.39999999999998</v>
      </c>
      <c r="T968" s="6">
        <v>5.21</v>
      </c>
      <c r="U968" s="7">
        <v>45536</v>
      </c>
      <c r="V968" s="6">
        <v>33.090000000000003</v>
      </c>
      <c r="W968" s="6">
        <f ca="1">IFERROR(__xludf.DUMMYFUNCTION("IFERROR(GOOGLEFINANCE(B968,""pe""),V968)"),33.09)</f>
        <v>33.090000000000003</v>
      </c>
      <c r="X968" s="6">
        <v>2.65</v>
      </c>
      <c r="Y968" s="6">
        <v>2.19</v>
      </c>
      <c r="Z968" s="6">
        <v>1</v>
      </c>
      <c r="AA968" s="8">
        <v>45352</v>
      </c>
      <c r="AB968" s="4">
        <v>1.21</v>
      </c>
      <c r="AC968" s="6">
        <v>8.81</v>
      </c>
      <c r="AD968" s="6">
        <v>12.79</v>
      </c>
      <c r="AE968" s="1">
        <v>0</v>
      </c>
      <c r="AF968" s="1">
        <f ca="1">IFERROR(__xludf.DUMMYFUNCTION("IFERROR(GOOGLEFINANCE(TRIM(F968)&amp;"":"" &amp; TRIM(B968),""high52""),AE968)"),0)</f>
        <v>0</v>
      </c>
      <c r="AG968" s="1">
        <v>0</v>
      </c>
      <c r="AH968" s="1">
        <f ca="1">IFERROR(__xludf.DUMMYFUNCTION("IFERROR(GOOGLEFINANCE(TRIM(F968)&amp;"":"" &amp; TRIM(B968),""low52""),AE968)"),0)</f>
        <v>0</v>
      </c>
      <c r="AI968" s="1">
        <f ca="1">IFERROR(__xludf.DUMMYFUNCTION("IFERROR(GOOGLEFINANCE(B968,""eps""),0)"),0)</f>
        <v>0</v>
      </c>
      <c r="AJ968" s="1"/>
      <c r="AK968" s="1" t="s">
        <v>2957</v>
      </c>
      <c r="AL968" s="9">
        <f t="shared" si="149"/>
        <v>1</v>
      </c>
    </row>
    <row r="969" spans="1:38" ht="15" x14ac:dyDescent="0.25">
      <c r="A969" s="1" t="s">
        <v>2958</v>
      </c>
      <c r="B969" s="1" t="s">
        <v>2959</v>
      </c>
      <c r="C969" s="1" t="s">
        <v>324</v>
      </c>
      <c r="D969" s="1" t="s">
        <v>324</v>
      </c>
      <c r="E969" s="6">
        <v>56.22</v>
      </c>
      <c r="F969" s="1" t="s">
        <v>53</v>
      </c>
      <c r="G969" s="6">
        <f ca="1">IFERROR(__xludf.DUMMYFUNCTION("iferror(GOOGLEFINANCE(TRIM(F969)&amp;"":"" &amp; TRIM(B969), ""price""),0
)"),0)</f>
        <v>0</v>
      </c>
      <c r="H969" s="6">
        <v>50.75</v>
      </c>
      <c r="I969" s="6">
        <f t="shared" ca="1" si="0"/>
        <v>50.75</v>
      </c>
      <c r="J969" s="6">
        <f ca="1">IFERROR(__xludf.DUMMYFUNCTION("IFERROR(GOOGLEFINANCE(B969, ""volume""), 0)"),0)</f>
        <v>0</v>
      </c>
      <c r="K969" s="6">
        <v>1.56</v>
      </c>
      <c r="L969" s="6">
        <f ca="1">IFERROR(__xludf.DUMMYFUNCTION("IFERROR(GOOGLEFINANCE(B969,""changepct""),K969)"),1.56)</f>
        <v>1.56</v>
      </c>
      <c r="M969" s="6">
        <f ca="1">IFERROR(__xludf.DUMMYFUNCTION("IFERROR(GOOGLEFINANCE(B969,""change""),0)"),0)</f>
        <v>0</v>
      </c>
      <c r="N969" s="6">
        <v>1</v>
      </c>
      <c r="O969" s="7">
        <v>45536</v>
      </c>
      <c r="P969" s="6">
        <v>27.69</v>
      </c>
      <c r="Q969" s="6">
        <v>83.9</v>
      </c>
      <c r="R969" s="7">
        <v>45536</v>
      </c>
      <c r="S969" s="6">
        <v>131.63999999999999</v>
      </c>
      <c r="T969" s="6">
        <v>3.85</v>
      </c>
      <c r="U969" s="7">
        <v>45536</v>
      </c>
      <c r="V969" s="6">
        <v>14.59</v>
      </c>
      <c r="W969" s="6">
        <f ca="1">IFERROR(__xludf.DUMMYFUNCTION("IFERROR(GOOGLEFINANCE(B969,""pe""),V969)"),14.59)</f>
        <v>14.59</v>
      </c>
      <c r="X969" s="6">
        <v>22.79</v>
      </c>
      <c r="Y969" s="6">
        <v>1.56</v>
      </c>
      <c r="Z969" s="6">
        <v>1</v>
      </c>
      <c r="AA969" s="8">
        <v>45352</v>
      </c>
      <c r="AB969" s="4">
        <v>0.45</v>
      </c>
      <c r="AC969" s="6">
        <v>7.77</v>
      </c>
      <c r="AD969" s="6">
        <v>10.6</v>
      </c>
      <c r="AE969" s="1">
        <v>0</v>
      </c>
      <c r="AF969" s="1">
        <f ca="1">IFERROR(__xludf.DUMMYFUNCTION("IFERROR(GOOGLEFINANCE(TRIM(F969)&amp;"":"" &amp; TRIM(B969),""high52""),AE969)"),0)</f>
        <v>0</v>
      </c>
      <c r="AG969" s="1">
        <v>0</v>
      </c>
      <c r="AH969" s="1">
        <f ca="1">IFERROR(__xludf.DUMMYFUNCTION("IFERROR(GOOGLEFINANCE(TRIM(F969)&amp;"":"" &amp; TRIM(B969),""low52""),AE969)"),0)</f>
        <v>0</v>
      </c>
      <c r="AI969" s="1">
        <f ca="1">IFERROR(__xludf.DUMMYFUNCTION("IFERROR(GOOGLEFINANCE(B969,""eps""),0)"),0)</f>
        <v>0</v>
      </c>
      <c r="AJ969" s="1"/>
      <c r="AK969" s="1" t="s">
        <v>2960</v>
      </c>
      <c r="AL969" s="9">
        <f t="shared" si="149"/>
        <v>1</v>
      </c>
    </row>
    <row r="970" spans="1:38" ht="15" x14ac:dyDescent="0.25">
      <c r="A970" s="1" t="s">
        <v>2961</v>
      </c>
      <c r="B970" s="1" t="s">
        <v>2962</v>
      </c>
      <c r="C970" s="1" t="s">
        <v>324</v>
      </c>
      <c r="D970" s="1" t="s">
        <v>324</v>
      </c>
      <c r="E970" s="6">
        <v>69.959999999999994</v>
      </c>
      <c r="F970" s="1" t="s">
        <v>53</v>
      </c>
      <c r="G970" s="6">
        <f ca="1">IFERROR(__xludf.DUMMYFUNCTION("iferror(GOOGLEFINANCE(TRIM(F970)&amp;"":"" &amp; TRIM(B970), ""price""),0
)"),0)</f>
        <v>0</v>
      </c>
      <c r="H970" s="6">
        <v>320</v>
      </c>
      <c r="I970" s="6">
        <f t="shared" ca="1" si="0"/>
        <v>320</v>
      </c>
      <c r="J970" s="6">
        <f ca="1">IFERROR(__xludf.DUMMYFUNCTION("IFERROR(GOOGLEFINANCE(B970, ""volume""), 0)"),0)</f>
        <v>0</v>
      </c>
      <c r="K970" s="6">
        <v>-1.1299999999999999</v>
      </c>
      <c r="L970" s="6">
        <f ca="1">IFERROR(__xludf.DUMMYFUNCTION("IFERROR(GOOGLEFINANCE(B970,""changepct""),K970)"),-1.13)</f>
        <v>-1.1299999999999999</v>
      </c>
      <c r="M970" s="6">
        <f ca="1">IFERROR(__xludf.DUMMYFUNCTION("IFERROR(GOOGLEFINANCE(B970,""change""),0)"),0)</f>
        <v>0</v>
      </c>
      <c r="N970" s="6">
        <v>2</v>
      </c>
      <c r="O970" s="7">
        <v>45536</v>
      </c>
      <c r="P970" s="6">
        <v>72.58</v>
      </c>
      <c r="Q970" s="6">
        <v>136.26</v>
      </c>
      <c r="R970" s="7">
        <v>45536</v>
      </c>
      <c r="S970" s="6">
        <v>157.51</v>
      </c>
      <c r="T970" s="6">
        <v>6.59</v>
      </c>
      <c r="U970" s="7">
        <v>45536</v>
      </c>
      <c r="V970" s="6">
        <v>10.85</v>
      </c>
      <c r="W970" s="6">
        <f ca="1">IFERROR(__xludf.DUMMYFUNCTION("IFERROR(GOOGLEFINANCE(B970,""pe""),V970)"),10.85)</f>
        <v>10.85</v>
      </c>
      <c r="X970" s="6">
        <v>-1.53</v>
      </c>
      <c r="Y970" s="6">
        <v>3.41</v>
      </c>
      <c r="Z970" s="6">
        <v>2</v>
      </c>
      <c r="AA970" s="8">
        <v>45352</v>
      </c>
      <c r="AB970" s="4">
        <v>3.52</v>
      </c>
      <c r="AC970" s="6">
        <v>0.5</v>
      </c>
      <c r="AD970" s="6">
        <v>10.67</v>
      </c>
      <c r="AE970" s="1">
        <v>0</v>
      </c>
      <c r="AF970" s="1">
        <f ca="1">IFERROR(__xludf.DUMMYFUNCTION("IFERROR(GOOGLEFINANCE(TRIM(F970)&amp;"":"" &amp; TRIM(B970),""high52""),AE970)"),0)</f>
        <v>0</v>
      </c>
      <c r="AG970" s="1">
        <v>0</v>
      </c>
      <c r="AH970" s="1">
        <f ca="1">IFERROR(__xludf.DUMMYFUNCTION("IFERROR(GOOGLEFINANCE(TRIM(F970)&amp;"":"" &amp; TRIM(B970),""low52""),AE970)"),0)</f>
        <v>0</v>
      </c>
      <c r="AI970" s="1">
        <f ca="1">IFERROR(__xludf.DUMMYFUNCTION("IFERROR(GOOGLEFINANCE(B970,""eps""),0)"),0)</f>
        <v>0</v>
      </c>
      <c r="AJ970" s="1"/>
      <c r="AK970" s="1" t="s">
        <v>2963</v>
      </c>
      <c r="AL970" s="9">
        <f t="shared" si="149"/>
        <v>1</v>
      </c>
    </row>
    <row r="971" spans="1:38" ht="15" x14ac:dyDescent="0.25">
      <c r="A971" s="1" t="s">
        <v>2964</v>
      </c>
      <c r="B971" s="1" t="s">
        <v>2965</v>
      </c>
      <c r="C971" s="1" t="s">
        <v>324</v>
      </c>
      <c r="D971" s="1" t="s">
        <v>324</v>
      </c>
      <c r="E971" s="6">
        <v>96.05</v>
      </c>
      <c r="F971" s="1" t="s">
        <v>53</v>
      </c>
      <c r="G971" s="6">
        <f ca="1">IFERROR(__xludf.DUMMYFUNCTION("iferror(GOOGLEFINANCE(TRIM(F971)&amp;"":"" &amp; TRIM(B971), ""price""),0
)"),0)</f>
        <v>0</v>
      </c>
      <c r="H971" s="6">
        <v>99.1</v>
      </c>
      <c r="I971" s="6">
        <f t="shared" ca="1" si="0"/>
        <v>99.1</v>
      </c>
      <c r="J971" s="6">
        <f ca="1">IFERROR(__xludf.DUMMYFUNCTION("IFERROR(GOOGLEFINANCE(B971, ""volume""), 0)"),0)</f>
        <v>0</v>
      </c>
      <c r="K971" s="6">
        <v>-1.98</v>
      </c>
      <c r="L971" s="6">
        <f ca="1">IFERROR(__xludf.DUMMYFUNCTION("IFERROR(GOOGLEFINANCE(B971,""changepct""),K971)"),-1.98)</f>
        <v>-1.98</v>
      </c>
      <c r="M971" s="6">
        <f ca="1">IFERROR(__xludf.DUMMYFUNCTION("IFERROR(GOOGLEFINANCE(B971,""change""),0)"),0)</f>
        <v>0</v>
      </c>
      <c r="N971" s="6">
        <v>1</v>
      </c>
      <c r="O971" s="7">
        <v>45536</v>
      </c>
      <c r="P971" s="6">
        <v>25.48</v>
      </c>
      <c r="Q971" s="6">
        <v>96.76</v>
      </c>
      <c r="R971" s="7">
        <v>45536</v>
      </c>
      <c r="S971" s="6">
        <v>169.28</v>
      </c>
      <c r="T971" s="6">
        <v>2.99</v>
      </c>
      <c r="U971" s="7">
        <v>45536</v>
      </c>
      <c r="V971" s="6">
        <v>32.18</v>
      </c>
      <c r="W971" s="6">
        <f ca="1">IFERROR(__xludf.DUMMYFUNCTION("IFERROR(GOOGLEFINANCE(B971,""pe""),V971)"),32.18)</f>
        <v>32.18</v>
      </c>
      <c r="X971" s="6">
        <v>1.24</v>
      </c>
      <c r="Y971" s="6">
        <v>1.19</v>
      </c>
      <c r="Z971" s="6">
        <v>1</v>
      </c>
      <c r="AA971" s="8">
        <v>45352</v>
      </c>
      <c r="AB971" s="4">
        <v>0.25</v>
      </c>
      <c r="AC971" s="6">
        <v>26.4</v>
      </c>
      <c r="AD971" s="6">
        <v>27.75</v>
      </c>
      <c r="AE971" s="1">
        <v>0</v>
      </c>
      <c r="AF971" s="1">
        <f ca="1">IFERROR(__xludf.DUMMYFUNCTION("IFERROR(GOOGLEFINANCE(TRIM(F971)&amp;"":"" &amp; TRIM(B971),""high52""),AE971)"),0)</f>
        <v>0</v>
      </c>
      <c r="AG971" s="1">
        <v>0</v>
      </c>
      <c r="AH971" s="1">
        <f ca="1">IFERROR(__xludf.DUMMYFUNCTION("IFERROR(GOOGLEFINANCE(TRIM(F971)&amp;"":"" &amp; TRIM(B971),""low52""),AE971)"),0)</f>
        <v>0</v>
      </c>
      <c r="AI971" s="1">
        <f ca="1">IFERROR(__xludf.DUMMYFUNCTION("IFERROR(GOOGLEFINANCE(B971,""eps""),0)"),0)</f>
        <v>0</v>
      </c>
      <c r="AJ971" s="1"/>
      <c r="AK971" s="9"/>
      <c r="AL971" s="9">
        <f t="shared" si="149"/>
        <v>1</v>
      </c>
    </row>
    <row r="972" spans="1:38" ht="15" x14ac:dyDescent="0.25">
      <c r="A972" s="1" t="s">
        <v>2966</v>
      </c>
      <c r="B972" s="1" t="s">
        <v>2967</v>
      </c>
      <c r="C972" s="1" t="s">
        <v>1751</v>
      </c>
      <c r="D972" s="1" t="s">
        <v>1751</v>
      </c>
      <c r="E972" s="6">
        <v>5795.14</v>
      </c>
      <c r="F972" s="1" t="s">
        <v>40</v>
      </c>
      <c r="G972" s="6">
        <f ca="1">IFERROR(__xludf.DUMMYFUNCTION("iferror(GOOGLEFINANCE(TRIM(F972)&amp;"":"" &amp; TRIM(B972), ""price""),0
)"),8299)</f>
        <v>8299</v>
      </c>
      <c r="H972" s="6">
        <v>8484.2000000000007</v>
      </c>
      <c r="I972" s="6">
        <f t="shared" ca="1" si="0"/>
        <v>8299</v>
      </c>
      <c r="J972" s="6">
        <f ca="1">IFERROR(__xludf.DUMMYFUNCTION("IFERROR(GOOGLEFINANCE(B972, ""volume""), 0)"),16254)</f>
        <v>16254</v>
      </c>
      <c r="K972" s="6">
        <v>-0.62</v>
      </c>
      <c r="L972" s="6">
        <f ca="1">IFERROR(__xludf.DUMMYFUNCTION("IFERROR(GOOGLEFINANCE(B972,""changepct""),K972)"),-0.5)</f>
        <v>-0.5</v>
      </c>
      <c r="M972" s="6">
        <f ca="1">IFERROR(__xludf.DUMMYFUNCTION("IFERROR(GOOGLEFINANCE(B972,""change""),0)"),-42)</f>
        <v>-42</v>
      </c>
      <c r="N972" s="6">
        <v>2</v>
      </c>
      <c r="O972" s="7">
        <v>45536</v>
      </c>
      <c r="P972" s="6">
        <v>431.65</v>
      </c>
      <c r="Q972" s="6">
        <v>6173.79</v>
      </c>
      <c r="R972" s="7">
        <v>45536</v>
      </c>
      <c r="S972" s="6">
        <v>1423.62</v>
      </c>
      <c r="T972" s="6">
        <v>91.77</v>
      </c>
      <c r="U972" s="7">
        <v>45536</v>
      </c>
      <c r="V972" s="6">
        <v>63.15</v>
      </c>
      <c r="W972" s="6">
        <f ca="1">IFERROR(__xludf.DUMMYFUNCTION("IFERROR(GOOGLEFINANCE(B972,""pe""),V972)"),167.29)</f>
        <v>167.29</v>
      </c>
      <c r="X972" s="6">
        <v>3.3</v>
      </c>
      <c r="Y972" s="6">
        <v>8.2100000000000009</v>
      </c>
      <c r="Z972" s="6">
        <v>2</v>
      </c>
      <c r="AA972" s="8">
        <v>45352</v>
      </c>
      <c r="AB972" s="4">
        <v>0.69</v>
      </c>
      <c r="AC972" s="6">
        <v>20.14</v>
      </c>
      <c r="AD972" s="6">
        <v>17.52</v>
      </c>
      <c r="AE972" s="1">
        <v>0</v>
      </c>
      <c r="AF972" s="1">
        <f ca="1">IFERROR(__xludf.DUMMYFUNCTION("IFERROR(GOOGLEFINANCE(TRIM(F972)&amp;"":"" &amp; TRIM(B972),""high52""),AE972)"),10039.5)</f>
        <v>10039.5</v>
      </c>
      <c r="AG972" s="1">
        <v>0</v>
      </c>
      <c r="AH972" s="1">
        <f ca="1">IFERROR(__xludf.DUMMYFUNCTION("IFERROR(GOOGLEFINANCE(TRIM(F972)&amp;"":"" &amp; TRIM(B972),""low52""),AE972)"),5444.15)</f>
        <v>5444.15</v>
      </c>
      <c r="AI972" s="1">
        <f ca="1">IFERROR(__xludf.DUMMYFUNCTION("IFERROR(GOOGLEFINANCE(B972,""eps""),0)"),49.61)</f>
        <v>49.61</v>
      </c>
      <c r="AJ972" s="1"/>
      <c r="AK972" s="9"/>
      <c r="AL972" s="9">
        <f t="shared" si="149"/>
        <v>1</v>
      </c>
    </row>
    <row r="973" spans="1:38" ht="15" x14ac:dyDescent="0.25">
      <c r="A973" s="1" t="s">
        <v>2968</v>
      </c>
      <c r="B973" s="1" t="s">
        <v>2969</v>
      </c>
      <c r="C973" s="1" t="s">
        <v>577</v>
      </c>
      <c r="D973" s="1" t="s">
        <v>577</v>
      </c>
      <c r="E973" s="6">
        <v>2537.0500000000002</v>
      </c>
      <c r="F973" s="1" t="s">
        <v>40</v>
      </c>
      <c r="G973" s="6">
        <f ca="1">IFERROR(__xludf.DUMMYFUNCTION("iferror(GOOGLEFINANCE(TRIM(F973)&amp;"":"" &amp; TRIM(B973), ""price""),0
)"),292)</f>
        <v>292</v>
      </c>
      <c r="H973" s="6">
        <v>1037.9000000000001</v>
      </c>
      <c r="I973" s="6">
        <f t="shared" ca="1" si="0"/>
        <v>292</v>
      </c>
      <c r="J973" s="6">
        <f ca="1">IFERROR(__xludf.DUMMYFUNCTION("IFERROR(GOOGLEFINANCE(B973, ""volume""), 0)"),183464)</f>
        <v>183464</v>
      </c>
      <c r="K973" s="6">
        <v>-0.79</v>
      </c>
      <c r="L973" s="6">
        <f ca="1">IFERROR(__xludf.DUMMYFUNCTION("IFERROR(GOOGLEFINANCE(B973,""changepct""),K973)"),-0.26)</f>
        <v>-0.26</v>
      </c>
      <c r="M973" s="6">
        <f ca="1">IFERROR(__xludf.DUMMYFUNCTION("IFERROR(GOOGLEFINANCE(B973,""change""),0)"),-0.75)</f>
        <v>-0.75</v>
      </c>
      <c r="N973" s="6">
        <v>1</v>
      </c>
      <c r="O973" s="7">
        <v>45536</v>
      </c>
      <c r="P973" s="6">
        <v>117.7</v>
      </c>
      <c r="Q973" s="6">
        <v>2623.84</v>
      </c>
      <c r="R973" s="7">
        <v>45536</v>
      </c>
      <c r="S973" s="6">
        <v>875.92</v>
      </c>
      <c r="T973" s="6">
        <v>46.75</v>
      </c>
      <c r="U973" s="7">
        <v>45536</v>
      </c>
      <c r="V973" s="6">
        <v>54.27</v>
      </c>
      <c r="W973" s="6">
        <f ca="1">IFERROR(__xludf.DUMMYFUNCTION("IFERROR(GOOGLEFINANCE(B973,""pe""),V973)"),16.88)</f>
        <v>16.88</v>
      </c>
      <c r="X973" s="6">
        <v>4.4400000000000004</v>
      </c>
      <c r="Y973" s="6">
        <v>7.58</v>
      </c>
      <c r="Z973" s="6">
        <v>1</v>
      </c>
      <c r="AA973" s="8">
        <v>45352</v>
      </c>
      <c r="AB973" s="4">
        <v>0.56000000000000005</v>
      </c>
      <c r="AC973" s="6">
        <v>19.3</v>
      </c>
      <c r="AD973" s="6">
        <v>24.13</v>
      </c>
      <c r="AE973" s="1">
        <v>0</v>
      </c>
      <c r="AF973" s="1">
        <f ca="1">IFERROR(__xludf.DUMMYFUNCTION("IFERROR(GOOGLEFINANCE(TRIM(F973)&amp;"":"" &amp; TRIM(B973),""high52""),AE973)"),526.75)</f>
        <v>526.75</v>
      </c>
      <c r="AG973" s="1">
        <v>0</v>
      </c>
      <c r="AH973" s="1">
        <f ca="1">IFERROR(__xludf.DUMMYFUNCTION("IFERROR(GOOGLEFINANCE(TRIM(F973)&amp;"":"" &amp; TRIM(B973),""low52""),AE973)"),227.5)</f>
        <v>227.5</v>
      </c>
      <c r="AI973" s="1">
        <f ca="1">IFERROR(__xludf.DUMMYFUNCTION("IFERROR(GOOGLEFINANCE(B973,""eps""),0)"),17.3)</f>
        <v>17.3</v>
      </c>
      <c r="AJ973" s="1"/>
      <c r="AK973" s="1" t="s">
        <v>2970</v>
      </c>
      <c r="AL973" s="1" t="b">
        <f>ISNUMBER(AA973)</f>
        <v>1</v>
      </c>
    </row>
    <row r="974" spans="1:38" ht="15" x14ac:dyDescent="0.25">
      <c r="A974" s="1" t="s">
        <v>2971</v>
      </c>
      <c r="B974" s="1" t="s">
        <v>2972</v>
      </c>
      <c r="C974" s="1" t="s">
        <v>324</v>
      </c>
      <c r="D974" s="1" t="s">
        <v>324</v>
      </c>
      <c r="E974" s="6">
        <v>269.94</v>
      </c>
      <c r="F974" s="1" t="s">
        <v>53</v>
      </c>
      <c r="G974" s="6">
        <f ca="1">IFERROR(__xludf.DUMMYFUNCTION("iferror(GOOGLEFINANCE(TRIM(F974)&amp;"":"" &amp; TRIM(B974), ""price""),0
)"),0)</f>
        <v>0</v>
      </c>
      <c r="H974" s="6">
        <v>174.8</v>
      </c>
      <c r="I974" s="6">
        <f t="shared" ca="1" si="0"/>
        <v>174.8</v>
      </c>
      <c r="J974" s="6">
        <f ca="1">IFERROR(__xludf.DUMMYFUNCTION("IFERROR(GOOGLEFINANCE(B974, ""volume""), 0)"),0)</f>
        <v>0</v>
      </c>
      <c r="K974" s="6">
        <v>1.36</v>
      </c>
      <c r="L974" s="6">
        <f ca="1">IFERROR(__xludf.DUMMYFUNCTION("IFERROR(GOOGLEFINANCE(B974,""changepct""),K974)"),1.36)</f>
        <v>1.36</v>
      </c>
      <c r="M974" s="6">
        <f ca="1">IFERROR(__xludf.DUMMYFUNCTION("IFERROR(GOOGLEFINANCE(B974,""change""),0)"),0)</f>
        <v>0</v>
      </c>
      <c r="N974" s="6">
        <v>1</v>
      </c>
      <c r="O974" s="7">
        <v>45536</v>
      </c>
      <c r="P974" s="6">
        <v>16.54</v>
      </c>
      <c r="Q974" s="6">
        <v>286.48</v>
      </c>
      <c r="R974" s="7">
        <v>45536</v>
      </c>
      <c r="S974" s="6">
        <v>2.1</v>
      </c>
      <c r="T974" s="6">
        <v>0.62</v>
      </c>
      <c r="U974" s="7">
        <v>45536</v>
      </c>
      <c r="V974" s="6">
        <v>431.91</v>
      </c>
      <c r="W974" s="6">
        <f ca="1">IFERROR(__xludf.DUMMYFUNCTION("IFERROR(GOOGLEFINANCE(B974,""pe""),V974)"),431.91)</f>
        <v>431.91</v>
      </c>
      <c r="X974" s="6">
        <v>2.83</v>
      </c>
      <c r="Y974" s="6">
        <v>8.5299999999999994</v>
      </c>
      <c r="Z974" s="6">
        <v>1</v>
      </c>
      <c r="AA974" s="8">
        <v>45352</v>
      </c>
      <c r="AB974" s="4">
        <v>0.32</v>
      </c>
      <c r="AC974" s="6">
        <v>53.07</v>
      </c>
      <c r="AD974" s="6">
        <v>53.49</v>
      </c>
      <c r="AE974" s="1">
        <v>0</v>
      </c>
      <c r="AF974" s="1">
        <f ca="1">IFERROR(__xludf.DUMMYFUNCTION("IFERROR(GOOGLEFINANCE(TRIM(F974)&amp;"":"" &amp; TRIM(B974),""high52""),AE974)"),0)</f>
        <v>0</v>
      </c>
      <c r="AG974" s="1">
        <v>0</v>
      </c>
      <c r="AH974" s="1">
        <f ca="1">IFERROR(__xludf.DUMMYFUNCTION("IFERROR(GOOGLEFINANCE(TRIM(F974)&amp;"":"" &amp; TRIM(B974),""low52""),AE974)"),0)</f>
        <v>0</v>
      </c>
      <c r="AI974" s="1">
        <f ca="1">IFERROR(__xludf.DUMMYFUNCTION("IFERROR(GOOGLEFINANCE(B974,""eps""),0)"),0)</f>
        <v>0</v>
      </c>
      <c r="AJ974" s="1"/>
      <c r="AK974" s="1" t="s">
        <v>2973</v>
      </c>
      <c r="AL974" s="9">
        <f t="shared" ref="AL974:AL995" si="150">IF(AA974&lt;&gt;AB974,1,0)</f>
        <v>1</v>
      </c>
    </row>
    <row r="975" spans="1:38" ht="15" x14ac:dyDescent="0.25">
      <c r="A975" s="1" t="s">
        <v>2974</v>
      </c>
      <c r="B975" s="1" t="s">
        <v>2975</v>
      </c>
      <c r="C975" s="1" t="s">
        <v>324</v>
      </c>
      <c r="D975" s="1" t="s">
        <v>324</v>
      </c>
      <c r="E975" s="6">
        <v>129.22999999999999</v>
      </c>
      <c r="F975" s="1" t="s">
        <v>53</v>
      </c>
      <c r="G975" s="6">
        <f ca="1">IFERROR(__xludf.DUMMYFUNCTION("iferror(GOOGLEFINANCE(TRIM(F975)&amp;"":"" &amp; TRIM(B975), ""price""),0
)"),0)</f>
        <v>0</v>
      </c>
      <c r="H975" s="6">
        <v>159.1</v>
      </c>
      <c r="I975" s="6">
        <f t="shared" ca="1" si="0"/>
        <v>159.1</v>
      </c>
      <c r="J975" s="6">
        <f ca="1">IFERROR(__xludf.DUMMYFUNCTION("IFERROR(GOOGLEFINANCE(B975, ""volume""), 0)"),0)</f>
        <v>0</v>
      </c>
      <c r="K975" s="6">
        <v>-1.88</v>
      </c>
      <c r="L975" s="6">
        <f ca="1">IFERROR(__xludf.DUMMYFUNCTION("IFERROR(GOOGLEFINANCE(B975,""changepct""),K975)"),-1.88)</f>
        <v>-1.88</v>
      </c>
      <c r="M975" s="6">
        <f ca="1">IFERROR(__xludf.DUMMYFUNCTION("IFERROR(GOOGLEFINANCE(B975,""change""),0)"),0)</f>
        <v>0</v>
      </c>
      <c r="N975" s="6">
        <v>1</v>
      </c>
      <c r="O975" s="7">
        <v>45536</v>
      </c>
      <c r="P975" s="6">
        <v>7.81</v>
      </c>
      <c r="Q975" s="6">
        <v>134.22999999999999</v>
      </c>
      <c r="R975" s="7">
        <v>45536</v>
      </c>
      <c r="S975" s="6">
        <v>126.23</v>
      </c>
      <c r="T975" s="6">
        <v>-4.38</v>
      </c>
      <c r="U975" s="7">
        <v>45536</v>
      </c>
      <c r="V975" s="6">
        <v>0</v>
      </c>
      <c r="W975" s="6">
        <f ca="1">IFERROR(__xludf.DUMMYFUNCTION("IFERROR(GOOGLEFINANCE(B975,""pe""),V975)"),0)</f>
        <v>0</v>
      </c>
      <c r="X975" s="6">
        <v>0</v>
      </c>
      <c r="Y975" s="6">
        <v>1.1200000000000001</v>
      </c>
      <c r="Z975" s="6">
        <v>1</v>
      </c>
      <c r="AA975" s="8">
        <v>45352</v>
      </c>
      <c r="AB975" s="4">
        <v>0.04</v>
      </c>
      <c r="AC975" s="6">
        <v>-3.89</v>
      </c>
      <c r="AD975" s="6">
        <v>-4.7699999999999996</v>
      </c>
      <c r="AE975" s="1">
        <v>0</v>
      </c>
      <c r="AF975" s="1">
        <f ca="1">IFERROR(__xludf.DUMMYFUNCTION("IFERROR(GOOGLEFINANCE(TRIM(F975)&amp;"":"" &amp; TRIM(B975),""high52""),AE975)"),0)</f>
        <v>0</v>
      </c>
      <c r="AG975" s="1">
        <v>0</v>
      </c>
      <c r="AH975" s="1">
        <f ca="1">IFERROR(__xludf.DUMMYFUNCTION("IFERROR(GOOGLEFINANCE(TRIM(F975)&amp;"":"" &amp; TRIM(B975),""low52""),AE975)"),0)</f>
        <v>0</v>
      </c>
      <c r="AI975" s="1">
        <f ca="1">IFERROR(__xludf.DUMMYFUNCTION("IFERROR(GOOGLEFINANCE(B975,""eps""),0)"),0)</f>
        <v>0</v>
      </c>
      <c r="AJ975" s="1"/>
      <c r="AK975" s="9"/>
      <c r="AL975" s="9">
        <f t="shared" si="150"/>
        <v>1</v>
      </c>
    </row>
    <row r="976" spans="1:38" ht="15" x14ac:dyDescent="0.25">
      <c r="A976" s="1" t="s">
        <v>2976</v>
      </c>
      <c r="B976" s="1" t="s">
        <v>2977</v>
      </c>
      <c r="C976" s="1" t="s">
        <v>324</v>
      </c>
      <c r="D976" s="1" t="s">
        <v>324</v>
      </c>
      <c r="E976" s="6">
        <v>25.23</v>
      </c>
      <c r="F976" s="1" t="s">
        <v>53</v>
      </c>
      <c r="G976" s="6">
        <f ca="1">IFERROR(__xludf.DUMMYFUNCTION("iferror(GOOGLEFINANCE(TRIM(F976)&amp;"":"" &amp; TRIM(B976), ""price""),0
)"),0)</f>
        <v>0</v>
      </c>
      <c r="H976" s="6">
        <v>30.89</v>
      </c>
      <c r="I976" s="6">
        <f t="shared" ca="1" si="0"/>
        <v>30.89</v>
      </c>
      <c r="J976" s="6">
        <f ca="1">IFERROR(__xludf.DUMMYFUNCTION("IFERROR(GOOGLEFINANCE(B976, ""volume""), 0)"),0)</f>
        <v>0</v>
      </c>
      <c r="K976" s="6">
        <v>4.71</v>
      </c>
      <c r="L976" s="6">
        <f ca="1">IFERROR(__xludf.DUMMYFUNCTION("IFERROR(GOOGLEFINANCE(B976,""changepct""),K976)"),4.71)</f>
        <v>4.71</v>
      </c>
      <c r="M976" s="6">
        <f ca="1">IFERROR(__xludf.DUMMYFUNCTION("IFERROR(GOOGLEFINANCE(B976,""change""),0)"),0)</f>
        <v>0</v>
      </c>
      <c r="N976" s="6">
        <v>1</v>
      </c>
      <c r="O976" s="7">
        <v>45536</v>
      </c>
      <c r="P976" s="6">
        <v>6.83</v>
      </c>
      <c r="Q976" s="6">
        <v>32.06</v>
      </c>
      <c r="R976" s="15">
        <v>45536</v>
      </c>
      <c r="S976" s="6">
        <v>94.43</v>
      </c>
      <c r="T976" s="6">
        <v>0.42</v>
      </c>
      <c r="U976" s="15">
        <v>45536</v>
      </c>
      <c r="V976" s="6">
        <v>59.51</v>
      </c>
      <c r="W976" s="6">
        <f ca="1">IFERROR(__xludf.DUMMYFUNCTION("IFERROR(GOOGLEFINANCE(B976,""pe""),V976)"),59.51)</f>
        <v>59.51</v>
      </c>
      <c r="X976" s="6">
        <v>6.32</v>
      </c>
      <c r="Y976" s="6">
        <v>1.35</v>
      </c>
      <c r="Z976" s="6">
        <v>1</v>
      </c>
      <c r="AA976" s="8">
        <v>45352</v>
      </c>
      <c r="AB976" s="4">
        <v>0.32</v>
      </c>
      <c r="AC976" s="6">
        <v>-0.43</v>
      </c>
      <c r="AD976" s="6">
        <v>2.34</v>
      </c>
      <c r="AE976" s="1">
        <v>0</v>
      </c>
      <c r="AF976" s="1">
        <f ca="1">IFERROR(__xludf.DUMMYFUNCTION("IFERROR(GOOGLEFINANCE(TRIM(F976)&amp;"":"" &amp; TRIM(B976),""high52""),AE976)"),0)</f>
        <v>0</v>
      </c>
      <c r="AG976" s="1">
        <v>0</v>
      </c>
      <c r="AH976" s="1">
        <f ca="1">IFERROR(__xludf.DUMMYFUNCTION("IFERROR(GOOGLEFINANCE(TRIM(F976)&amp;"":"" &amp; TRIM(B976),""low52""),AE976)"),0)</f>
        <v>0</v>
      </c>
      <c r="AI976" s="1">
        <f ca="1">IFERROR(__xludf.DUMMYFUNCTION("IFERROR(GOOGLEFINANCE(B976,""eps""),0)"),0)</f>
        <v>0</v>
      </c>
      <c r="AJ976" s="1"/>
      <c r="AK976" s="9"/>
      <c r="AL976" s="9">
        <f t="shared" si="150"/>
        <v>1</v>
      </c>
    </row>
    <row r="977" spans="1:38" ht="15" x14ac:dyDescent="0.25">
      <c r="A977" s="1" t="s">
        <v>2978</v>
      </c>
      <c r="B977" s="1" t="s">
        <v>2979</v>
      </c>
      <c r="C977" s="1" t="s">
        <v>324</v>
      </c>
      <c r="D977" s="1" t="s">
        <v>324</v>
      </c>
      <c r="E977" s="6">
        <v>116.39</v>
      </c>
      <c r="F977" s="1" t="s">
        <v>53</v>
      </c>
      <c r="G977" s="6">
        <f ca="1">IFERROR(__xludf.DUMMYFUNCTION("iferror(GOOGLEFINANCE(TRIM(F977)&amp;"":"" &amp; TRIM(B977), ""price""),0
)"),0)</f>
        <v>0</v>
      </c>
      <c r="H977" s="6">
        <v>27.85</v>
      </c>
      <c r="I977" s="6">
        <f t="shared" ca="1" si="0"/>
        <v>27.85</v>
      </c>
      <c r="J977" s="6">
        <f ca="1">IFERROR(__xludf.DUMMYFUNCTION("IFERROR(GOOGLEFINANCE(B977, ""volume""), 0)"),0)</f>
        <v>0</v>
      </c>
      <c r="K977" s="6">
        <v>0.43</v>
      </c>
      <c r="L977" s="6">
        <f ca="1">IFERROR(__xludf.DUMMYFUNCTION("IFERROR(GOOGLEFINANCE(B977,""changepct""),K977)"),0.43)</f>
        <v>0.43</v>
      </c>
      <c r="M977" s="6">
        <f ca="1">IFERROR(__xludf.DUMMYFUNCTION("IFERROR(GOOGLEFINANCE(B977,""change""),0)"),0)</f>
        <v>0</v>
      </c>
      <c r="N977" s="6">
        <v>1</v>
      </c>
      <c r="O977" s="7">
        <v>45536</v>
      </c>
      <c r="P977" s="6">
        <v>22.37</v>
      </c>
      <c r="Q977" s="6">
        <v>138.75</v>
      </c>
      <c r="R977" s="7">
        <v>45536</v>
      </c>
      <c r="S977" s="6">
        <v>57.85</v>
      </c>
      <c r="T977" s="6">
        <v>2.96</v>
      </c>
      <c r="U977" s="7">
        <v>45536</v>
      </c>
      <c r="V977" s="6">
        <v>39.369999999999997</v>
      </c>
      <c r="W977" s="6">
        <f ca="1">IFERROR(__xludf.DUMMYFUNCTION("IFERROR(GOOGLEFINANCE(B977,""pe""),V977)"),39.37)</f>
        <v>39.369999999999997</v>
      </c>
      <c r="X977" s="6">
        <v>-4.34</v>
      </c>
      <c r="Y977" s="6">
        <v>2.37</v>
      </c>
      <c r="Z977" s="6">
        <v>1</v>
      </c>
      <c r="AA977" s="17">
        <v>45352</v>
      </c>
      <c r="AB977" s="18">
        <v>0.38</v>
      </c>
      <c r="AC977" s="6">
        <v>0.5</v>
      </c>
      <c r="AD977" s="6">
        <v>4.38</v>
      </c>
      <c r="AE977" s="1">
        <v>0</v>
      </c>
      <c r="AF977" s="1">
        <f ca="1">IFERROR(__xludf.DUMMYFUNCTION("IFERROR(GOOGLEFINANCE(TRIM(F977)&amp;"":"" &amp; TRIM(B977),""high52""),AE977)"),0)</f>
        <v>0</v>
      </c>
      <c r="AG977" s="1">
        <v>0</v>
      </c>
      <c r="AH977" s="1">
        <f ca="1">IFERROR(__xludf.DUMMYFUNCTION("IFERROR(GOOGLEFINANCE(TRIM(F977)&amp;"":"" &amp; TRIM(B977),""low52""),AE977)"),0)</f>
        <v>0</v>
      </c>
      <c r="AI977" s="1">
        <f ca="1">IFERROR(__xludf.DUMMYFUNCTION("IFERROR(GOOGLEFINANCE(B977,""eps""),0)"),0)</f>
        <v>0</v>
      </c>
      <c r="AJ977" s="1"/>
      <c r="AK977" s="1" t="s">
        <v>2980</v>
      </c>
      <c r="AL977" s="9">
        <f t="shared" si="150"/>
        <v>1</v>
      </c>
    </row>
    <row r="978" spans="1:38" ht="15" x14ac:dyDescent="0.25">
      <c r="A978" s="1" t="s">
        <v>2981</v>
      </c>
      <c r="B978" s="1" t="s">
        <v>2982</v>
      </c>
      <c r="C978" s="1" t="s">
        <v>227</v>
      </c>
      <c r="D978" s="1" t="s">
        <v>227</v>
      </c>
      <c r="E978" s="6">
        <v>785.63</v>
      </c>
      <c r="F978" s="1" t="s">
        <v>40</v>
      </c>
      <c r="G978" s="6">
        <f ca="1">IFERROR(__xludf.DUMMYFUNCTION("iferror(GOOGLEFINANCE(TRIM(F978)&amp;"":"" &amp; TRIM(B978), ""price""),0
)"),0)</f>
        <v>0</v>
      </c>
      <c r="H978" s="6">
        <v>363.7</v>
      </c>
      <c r="I978" s="6">
        <f t="shared" ca="1" si="0"/>
        <v>363.7</v>
      </c>
      <c r="J978" s="6">
        <f ca="1">IFERROR(__xludf.DUMMYFUNCTION("IFERROR(GOOGLEFINANCE(B978, ""volume""), 0)"),0)</f>
        <v>0</v>
      </c>
      <c r="K978" s="6">
        <v>-1.7</v>
      </c>
      <c r="L978" s="6">
        <f ca="1">IFERROR(__xludf.DUMMYFUNCTION("IFERROR(GOOGLEFINANCE(B978,""changepct""),K978)"),-1.7)</f>
        <v>-1.7</v>
      </c>
      <c r="M978" s="6">
        <f ca="1">IFERROR(__xludf.DUMMYFUNCTION("IFERROR(GOOGLEFINANCE(B978,""change""),0)"),0)</f>
        <v>0</v>
      </c>
      <c r="N978" s="6">
        <v>1</v>
      </c>
      <c r="O978" s="7">
        <v>45536</v>
      </c>
      <c r="P978" s="6">
        <v>60.77</v>
      </c>
      <c r="Q978" s="6">
        <v>846.4</v>
      </c>
      <c r="R978" s="7">
        <v>45352</v>
      </c>
      <c r="S978" s="6">
        <v>104.44</v>
      </c>
      <c r="T978" s="6">
        <v>8.56</v>
      </c>
      <c r="U978" s="7">
        <v>45352</v>
      </c>
      <c r="V978" s="6">
        <v>91.75</v>
      </c>
      <c r="W978" s="6">
        <f ca="1">IFERROR(__xludf.DUMMYFUNCTION("IFERROR(GOOGLEFINANCE(B978,""pe""),V978)"),91.75)</f>
        <v>91.75</v>
      </c>
      <c r="X978" s="9"/>
      <c r="Y978" s="6">
        <v>9.02</v>
      </c>
      <c r="Z978" s="6">
        <v>2</v>
      </c>
      <c r="AA978" s="8">
        <v>45352</v>
      </c>
      <c r="AB978" s="4">
        <v>0.49</v>
      </c>
      <c r="AC978" s="6">
        <v>13.15</v>
      </c>
      <c r="AD978" s="6">
        <v>16.53</v>
      </c>
      <c r="AE978" s="1">
        <v>0</v>
      </c>
      <c r="AF978" s="1">
        <f ca="1">IFERROR(__xludf.DUMMYFUNCTION("IFERROR(GOOGLEFINANCE(TRIM(F978)&amp;"":"" &amp; TRIM(B978),""high52""),AE978)"),0)</f>
        <v>0</v>
      </c>
      <c r="AG978" s="1">
        <v>0</v>
      </c>
      <c r="AH978" s="1">
        <f ca="1">IFERROR(__xludf.DUMMYFUNCTION("IFERROR(GOOGLEFINANCE(TRIM(F978)&amp;"":"" &amp; TRIM(B978),""low52""),AE978)"),0)</f>
        <v>0</v>
      </c>
      <c r="AI978" s="1">
        <f ca="1">IFERROR(__xludf.DUMMYFUNCTION("IFERROR(GOOGLEFINANCE(B978,""eps""),0)"),0)</f>
        <v>0</v>
      </c>
      <c r="AJ978" s="1"/>
      <c r="AK978" s="1" t="s">
        <v>2983</v>
      </c>
      <c r="AL978" s="9">
        <f t="shared" si="150"/>
        <v>1</v>
      </c>
    </row>
    <row r="979" spans="1:38" ht="15" x14ac:dyDescent="0.25">
      <c r="A979" s="1" t="s">
        <v>2984</v>
      </c>
      <c r="B979" s="1" t="s">
        <v>2985</v>
      </c>
      <c r="C979" s="1" t="s">
        <v>584</v>
      </c>
      <c r="D979" s="1" t="s">
        <v>584</v>
      </c>
      <c r="E979" s="6">
        <v>483.84</v>
      </c>
      <c r="F979" s="1" t="s">
        <v>40</v>
      </c>
      <c r="G979" s="6">
        <f ca="1">IFERROR(__xludf.DUMMYFUNCTION("iferror(GOOGLEFINANCE(TRIM(F979)&amp;"":"" &amp; TRIM(B979), ""price""),0
)"),216.35)</f>
        <v>216.35</v>
      </c>
      <c r="H979" s="6">
        <v>407.9</v>
      </c>
      <c r="I979" s="6">
        <f t="shared" ca="1" si="0"/>
        <v>216.35</v>
      </c>
      <c r="J979" s="6">
        <f ca="1">IFERROR(__xludf.DUMMYFUNCTION("IFERROR(GOOGLEFINANCE(B979, ""volume""), 0)"),7427)</f>
        <v>7427</v>
      </c>
      <c r="K979" s="6">
        <v>1.33</v>
      </c>
      <c r="L979" s="6">
        <f ca="1">IFERROR(__xludf.DUMMYFUNCTION("IFERROR(GOOGLEFINANCE(B979,""changepct""),K979)"),1.02)</f>
        <v>1.02</v>
      </c>
      <c r="M979" s="6">
        <f ca="1">IFERROR(__xludf.DUMMYFUNCTION("IFERROR(GOOGLEFINANCE(B979,""change""),0)"),2.18)</f>
        <v>2.1800000000000002</v>
      </c>
      <c r="N979" s="6">
        <v>2</v>
      </c>
      <c r="O979" s="7">
        <v>45536</v>
      </c>
      <c r="P979" s="6">
        <v>104.76</v>
      </c>
      <c r="Q979" s="6">
        <v>586.91999999999996</v>
      </c>
      <c r="R979" s="7">
        <v>45536</v>
      </c>
      <c r="S979" s="6">
        <v>328.39</v>
      </c>
      <c r="T979" s="6">
        <v>11.96</v>
      </c>
      <c r="U979" s="7">
        <v>45536</v>
      </c>
      <c r="V979" s="6">
        <v>40.43</v>
      </c>
      <c r="W979" s="6">
        <f ca="1">IFERROR(__xludf.DUMMYFUNCTION("IFERROR(GOOGLEFINANCE(B979,""pe""),V979)"),15.14)</f>
        <v>15.14</v>
      </c>
      <c r="X979" s="6">
        <v>-1.47</v>
      </c>
      <c r="Y979" s="6">
        <v>2.31</v>
      </c>
      <c r="Z979" s="6">
        <v>2</v>
      </c>
      <c r="AA979" s="8">
        <v>45352</v>
      </c>
      <c r="AB979" s="4">
        <v>0.57999999999999996</v>
      </c>
      <c r="AC979" s="6">
        <v>1.91</v>
      </c>
      <c r="AD979" s="6">
        <v>4.9400000000000004</v>
      </c>
      <c r="AE979" s="1">
        <v>0</v>
      </c>
      <c r="AF979" s="1">
        <f ca="1">IFERROR(__xludf.DUMMYFUNCTION("IFERROR(GOOGLEFINANCE(TRIM(F979)&amp;"":"" &amp; TRIM(B979),""high52""),AE979)"),415.8)</f>
        <v>415.8</v>
      </c>
      <c r="AG979" s="1">
        <v>0</v>
      </c>
      <c r="AH979" s="1">
        <f ca="1">IFERROR(__xludf.DUMMYFUNCTION("IFERROR(GOOGLEFINANCE(TRIM(F979)&amp;"":"" &amp; TRIM(B979),""low52""),AE979)"),211)</f>
        <v>211</v>
      </c>
      <c r="AI979" s="1">
        <f ca="1">IFERROR(__xludf.DUMMYFUNCTION("IFERROR(GOOGLEFINANCE(B979,""eps""),0)"),14.29)</f>
        <v>14.29</v>
      </c>
      <c r="AJ979" s="1"/>
      <c r="AK979" s="1" t="s">
        <v>2986</v>
      </c>
      <c r="AL979" s="9">
        <f t="shared" si="150"/>
        <v>1</v>
      </c>
    </row>
    <row r="980" spans="1:38" ht="15" x14ac:dyDescent="0.25">
      <c r="A980" s="1" t="s">
        <v>2987</v>
      </c>
      <c r="B980" s="1" t="s">
        <v>2988</v>
      </c>
      <c r="C980" s="1" t="s">
        <v>324</v>
      </c>
      <c r="D980" s="1" t="s">
        <v>324</v>
      </c>
      <c r="E980" s="6">
        <v>211.78</v>
      </c>
      <c r="F980" s="1" t="s">
        <v>53</v>
      </c>
      <c r="G980" s="6">
        <f ca="1">IFERROR(__xludf.DUMMYFUNCTION("iferror(GOOGLEFINANCE(TRIM(F980)&amp;"":"" &amp; TRIM(B980), ""price""),0
)"),0)</f>
        <v>0</v>
      </c>
      <c r="H980" s="6">
        <v>335.1</v>
      </c>
      <c r="I980" s="6">
        <f t="shared" ca="1" si="0"/>
        <v>335.1</v>
      </c>
      <c r="J980" s="6">
        <f ca="1">IFERROR(__xludf.DUMMYFUNCTION("IFERROR(GOOGLEFINANCE(B980, ""volume""), 0)"),0)</f>
        <v>0</v>
      </c>
      <c r="K980" s="12"/>
      <c r="L980" s="6" t="str">
        <f ca="1">IFERROR(__xludf.DUMMYFUNCTION("IFERROR(GOOGLEFINANCE(B980,""changepct""),K980)"),"")</f>
        <v/>
      </c>
      <c r="M980" s="6">
        <f ca="1">IFERROR(__xludf.DUMMYFUNCTION("IFERROR(GOOGLEFINANCE(B980,""change""),0)"),0)</f>
        <v>0</v>
      </c>
      <c r="N980" s="6">
        <v>2</v>
      </c>
      <c r="O980" s="7">
        <v>45536</v>
      </c>
      <c r="P980" s="6">
        <v>188.75</v>
      </c>
      <c r="Q980" s="6">
        <v>399.91</v>
      </c>
      <c r="R980" s="7">
        <v>45536</v>
      </c>
      <c r="S980" s="6">
        <v>998.26</v>
      </c>
      <c r="T980" s="6">
        <v>-16.739999999999998</v>
      </c>
      <c r="U980" s="7">
        <v>45536</v>
      </c>
      <c r="V980" s="6">
        <v>0</v>
      </c>
      <c r="W980" s="6">
        <f ca="1">IFERROR(__xludf.DUMMYFUNCTION("IFERROR(GOOGLEFINANCE(B980,""pe""),V980)"),0)</f>
        <v>0</v>
      </c>
      <c r="X980" s="12"/>
      <c r="Y980" s="6">
        <v>2.1</v>
      </c>
      <c r="Z980" s="6">
        <v>2</v>
      </c>
      <c r="AA980" s="8">
        <v>45352</v>
      </c>
      <c r="AB980" s="4">
        <v>1.58</v>
      </c>
      <c r="AC980" s="6">
        <v>-10.65</v>
      </c>
      <c r="AD980" s="6">
        <v>-1.55</v>
      </c>
      <c r="AE980" s="1">
        <v>0</v>
      </c>
      <c r="AF980" s="1">
        <f ca="1">IFERROR(__xludf.DUMMYFUNCTION("IFERROR(GOOGLEFINANCE(TRIM(F980)&amp;"":"" &amp; TRIM(B980),""high52""),AE980)"),0)</f>
        <v>0</v>
      </c>
      <c r="AG980" s="1">
        <v>0</v>
      </c>
      <c r="AH980" s="1">
        <f ca="1">IFERROR(__xludf.DUMMYFUNCTION("IFERROR(GOOGLEFINANCE(TRIM(F980)&amp;"":"" &amp; TRIM(B980),""low52""),AE980)"),0)</f>
        <v>0</v>
      </c>
      <c r="AI980" s="1">
        <f ca="1">IFERROR(__xludf.DUMMYFUNCTION("IFERROR(GOOGLEFINANCE(B980,""eps""),0)"),0)</f>
        <v>0</v>
      </c>
      <c r="AJ980" s="1"/>
      <c r="AK980" s="1" t="s">
        <v>2989</v>
      </c>
      <c r="AL980" s="9">
        <f t="shared" si="150"/>
        <v>1</v>
      </c>
    </row>
    <row r="981" spans="1:38" ht="15" x14ac:dyDescent="0.25">
      <c r="A981" s="1" t="s">
        <v>2990</v>
      </c>
      <c r="B981" s="1" t="s">
        <v>2991</v>
      </c>
      <c r="C981" s="1" t="s">
        <v>324</v>
      </c>
      <c r="D981" s="1" t="s">
        <v>324</v>
      </c>
      <c r="E981" s="6">
        <v>293.79000000000002</v>
      </c>
      <c r="F981" s="1" t="s">
        <v>53</v>
      </c>
      <c r="G981" s="6">
        <f ca="1">IFERROR(__xludf.DUMMYFUNCTION("iferror(GOOGLEFINANCE(TRIM(F981)&amp;"":"" &amp; TRIM(B981), ""price""),0
)"),0)</f>
        <v>0</v>
      </c>
      <c r="H981" s="6">
        <v>75</v>
      </c>
      <c r="I981" s="6">
        <f t="shared" ca="1" si="0"/>
        <v>75</v>
      </c>
      <c r="J981" s="6">
        <f ca="1">IFERROR(__xludf.DUMMYFUNCTION("IFERROR(GOOGLEFINANCE(B981, ""volume""), 0)"),0)</f>
        <v>0</v>
      </c>
      <c r="K981" s="6">
        <v>0.73</v>
      </c>
      <c r="L981" s="6">
        <f ca="1">IFERROR(__xludf.DUMMYFUNCTION("IFERROR(GOOGLEFINANCE(B981,""changepct""),K981)"),0.73)</f>
        <v>0.73</v>
      </c>
      <c r="M981" s="6">
        <f ca="1">IFERROR(__xludf.DUMMYFUNCTION("IFERROR(GOOGLEFINANCE(B981,""change""),0)"),0)</f>
        <v>0</v>
      </c>
      <c r="N981" s="6">
        <v>2</v>
      </c>
      <c r="O981" s="7">
        <v>45536</v>
      </c>
      <c r="P981" s="6">
        <v>108.36</v>
      </c>
      <c r="Q981" s="6">
        <v>397.29</v>
      </c>
      <c r="R981" s="7">
        <v>45536</v>
      </c>
      <c r="S981" s="6">
        <v>315.62</v>
      </c>
      <c r="T981" s="6">
        <v>8.0500000000000007</v>
      </c>
      <c r="U981" s="7">
        <v>45536</v>
      </c>
      <c r="V981" s="6">
        <v>36.5</v>
      </c>
      <c r="W981" s="6">
        <f ca="1">IFERROR(__xludf.DUMMYFUNCTION("IFERROR(GOOGLEFINANCE(B981,""pe""),V981)"),36.5)</f>
        <v>36.5</v>
      </c>
      <c r="X981" s="12"/>
      <c r="Y981" s="6">
        <v>2.77</v>
      </c>
      <c r="Z981" s="6">
        <v>2</v>
      </c>
      <c r="AA981" s="8">
        <v>45352</v>
      </c>
      <c r="AB981" s="4">
        <v>1.1399999999999999</v>
      </c>
      <c r="AC981" s="6">
        <v>7.23</v>
      </c>
      <c r="AD981" s="6">
        <v>10</v>
      </c>
      <c r="AE981" s="1">
        <v>0</v>
      </c>
      <c r="AF981" s="1">
        <f ca="1">IFERROR(__xludf.DUMMYFUNCTION("IFERROR(GOOGLEFINANCE(TRIM(F981)&amp;"":"" &amp; TRIM(B981),""high52""),AE981)"),0)</f>
        <v>0</v>
      </c>
      <c r="AG981" s="1">
        <v>0</v>
      </c>
      <c r="AH981" s="1">
        <f ca="1">IFERROR(__xludf.DUMMYFUNCTION("IFERROR(GOOGLEFINANCE(TRIM(F981)&amp;"":"" &amp; TRIM(B981),""low52""),AE981)"),0)</f>
        <v>0</v>
      </c>
      <c r="AI981" s="1">
        <f ca="1">IFERROR(__xludf.DUMMYFUNCTION("IFERROR(GOOGLEFINANCE(B981,""eps""),0)"),0)</f>
        <v>0</v>
      </c>
      <c r="AJ981" s="1"/>
      <c r="AK981" s="1" t="s">
        <v>2992</v>
      </c>
      <c r="AL981" s="9">
        <f t="shared" si="150"/>
        <v>1</v>
      </c>
    </row>
    <row r="982" spans="1:38" ht="15" x14ac:dyDescent="0.25">
      <c r="A982" s="1" t="s">
        <v>2993</v>
      </c>
      <c r="B982" s="1" t="s">
        <v>2994</v>
      </c>
      <c r="C982" s="1" t="s">
        <v>1682</v>
      </c>
      <c r="D982" s="1" t="s">
        <v>1682</v>
      </c>
      <c r="E982" s="6">
        <v>354.49</v>
      </c>
      <c r="F982" s="1" t="s">
        <v>40</v>
      </c>
      <c r="G982" s="6">
        <f ca="1">IFERROR(__xludf.DUMMYFUNCTION("iferror(GOOGLEFINANCE(TRIM(F982)&amp;"":"" &amp; TRIM(B982), ""price""),0
)"),0)</f>
        <v>0</v>
      </c>
      <c r="H982" s="6">
        <v>271</v>
      </c>
      <c r="I982" s="6">
        <f t="shared" ca="1" si="0"/>
        <v>271</v>
      </c>
      <c r="J982" s="6">
        <f ca="1">IFERROR(__xludf.DUMMYFUNCTION("IFERROR(GOOGLEFINANCE(B982, ""volume""), 0)"),0)</f>
        <v>0</v>
      </c>
      <c r="K982" s="6">
        <v>0.06</v>
      </c>
      <c r="L982" s="6">
        <f ca="1">IFERROR(__xludf.DUMMYFUNCTION("IFERROR(GOOGLEFINANCE(B982,""changepct""),K982)"),0.06)</f>
        <v>0.06</v>
      </c>
      <c r="M982" s="6">
        <f ca="1">IFERROR(__xludf.DUMMYFUNCTION("IFERROR(GOOGLEFINANCE(B982,""change""),0)"),0)</f>
        <v>0</v>
      </c>
      <c r="N982" s="6">
        <v>1</v>
      </c>
      <c r="O982" s="7">
        <v>45536</v>
      </c>
      <c r="P982" s="6">
        <v>5</v>
      </c>
      <c r="Q982" s="6">
        <v>359.5</v>
      </c>
      <c r="R982" s="7">
        <v>45352</v>
      </c>
      <c r="S982" s="6">
        <v>142.13</v>
      </c>
      <c r="T982" s="6">
        <v>14.95</v>
      </c>
      <c r="U982" s="7">
        <v>45352</v>
      </c>
      <c r="V982" s="6">
        <v>23.71</v>
      </c>
      <c r="W982" s="6">
        <f ca="1">IFERROR(__xludf.DUMMYFUNCTION("IFERROR(GOOGLEFINANCE(B982,""pe""),V982)"),23.71)</f>
        <v>23.71</v>
      </c>
      <c r="X982" s="9"/>
      <c r="Y982" s="6">
        <v>6.34</v>
      </c>
      <c r="Z982" s="6">
        <v>2</v>
      </c>
      <c r="AA982" s="8">
        <v>45352</v>
      </c>
      <c r="AB982" s="4">
        <v>7.0000000000000007E-2</v>
      </c>
      <c r="AC982" s="6">
        <v>49.6</v>
      </c>
      <c r="AD982" s="6">
        <v>58.73</v>
      </c>
      <c r="AE982" s="1">
        <v>0</v>
      </c>
      <c r="AF982" s="1">
        <f ca="1">IFERROR(__xludf.DUMMYFUNCTION("IFERROR(GOOGLEFINANCE(TRIM(F982)&amp;"":"" &amp; TRIM(B982),""high52""),AE982)"),0)</f>
        <v>0</v>
      </c>
      <c r="AG982" s="1">
        <v>0</v>
      </c>
      <c r="AH982" s="1">
        <f ca="1">IFERROR(__xludf.DUMMYFUNCTION("IFERROR(GOOGLEFINANCE(TRIM(F982)&amp;"":"" &amp; TRIM(B982),""low52""),AE982)"),0)</f>
        <v>0</v>
      </c>
      <c r="AI982" s="1">
        <f ca="1">IFERROR(__xludf.DUMMYFUNCTION("IFERROR(GOOGLEFINANCE(B982,""eps""),0)"),0)</f>
        <v>0</v>
      </c>
      <c r="AJ982" s="1"/>
      <c r="AK982" s="1" t="s">
        <v>2995</v>
      </c>
      <c r="AL982" s="9">
        <f t="shared" si="150"/>
        <v>1</v>
      </c>
    </row>
    <row r="983" spans="1:38" ht="15" x14ac:dyDescent="0.25">
      <c r="A983" s="1" t="s">
        <v>2996</v>
      </c>
      <c r="B983" s="1" t="s">
        <v>2997</v>
      </c>
      <c r="C983" s="1" t="s">
        <v>1118</v>
      </c>
      <c r="D983" s="1" t="s">
        <v>1118</v>
      </c>
      <c r="E983" s="6">
        <v>16325.53</v>
      </c>
      <c r="F983" s="1" t="s">
        <v>40</v>
      </c>
      <c r="G983" s="6">
        <f ca="1">IFERROR(__xludf.DUMMYFUNCTION("iferror(GOOGLEFINANCE(TRIM(F983)&amp;"":"" &amp; TRIM(B983), ""price""),0
)"),890)</f>
        <v>890</v>
      </c>
      <c r="H983" s="6">
        <v>911</v>
      </c>
      <c r="I983" s="6">
        <f t="shared" ca="1" si="0"/>
        <v>890</v>
      </c>
      <c r="J983" s="6">
        <f ca="1">IFERROR(__xludf.DUMMYFUNCTION("IFERROR(GOOGLEFINANCE(B983, ""volume""), 0)"),90762)</f>
        <v>90762</v>
      </c>
      <c r="K983" s="6">
        <v>-0.81</v>
      </c>
      <c r="L983" s="6">
        <f ca="1">IFERROR(__xludf.DUMMYFUNCTION("IFERROR(GOOGLEFINANCE(B983,""changepct""),K983)"),1.39)</f>
        <v>1.39</v>
      </c>
      <c r="M983" s="6">
        <f ca="1">IFERROR(__xludf.DUMMYFUNCTION("IFERROR(GOOGLEFINANCE(B983,""change""),0)"),12.2)</f>
        <v>12.2</v>
      </c>
      <c r="N983" s="6">
        <v>2</v>
      </c>
      <c r="O983" s="7">
        <v>45536</v>
      </c>
      <c r="P983" s="6">
        <v>1171.1099999999999</v>
      </c>
      <c r="Q983" s="6">
        <v>14321.51</v>
      </c>
      <c r="R983" s="7">
        <v>45536</v>
      </c>
      <c r="S983" s="6">
        <v>29404.32</v>
      </c>
      <c r="T983" s="6">
        <v>1376.73</v>
      </c>
      <c r="U983" s="7">
        <v>45536</v>
      </c>
      <c r="V983" s="6">
        <v>22.2</v>
      </c>
      <c r="W983" s="6">
        <f ca="1">IFERROR(__xludf.DUMMYFUNCTION("IFERROR(GOOGLEFINANCE(B983,""pe""),V983)"),13.76)</f>
        <v>13.76</v>
      </c>
      <c r="X983" s="6">
        <v>0.55000000000000004</v>
      </c>
      <c r="Y983" s="6">
        <v>2.2000000000000002</v>
      </c>
      <c r="Z983" s="6">
        <v>2</v>
      </c>
      <c r="AA983" s="8">
        <v>45352</v>
      </c>
      <c r="AB983" s="4">
        <v>0.18</v>
      </c>
      <c r="AC983" s="6">
        <v>24.67</v>
      </c>
      <c r="AD983" s="6">
        <v>31.68</v>
      </c>
      <c r="AE983" s="1">
        <v>0</v>
      </c>
      <c r="AF983" s="1">
        <f ca="1">IFERROR(__xludf.DUMMYFUNCTION("IFERROR(GOOGLEFINANCE(TRIM(F983)&amp;"":"" &amp; TRIM(B983),""high52""),AE983)"),1246.8)</f>
        <v>1246.8</v>
      </c>
      <c r="AG983" s="1">
        <v>0</v>
      </c>
      <c r="AH983" s="1">
        <f ca="1">IFERROR(__xludf.DUMMYFUNCTION("IFERROR(GOOGLEFINANCE(TRIM(F983)&amp;"":"" &amp; TRIM(B983),""low52""),AE983)"),639)</f>
        <v>639</v>
      </c>
      <c r="AI983" s="1">
        <f ca="1">IFERROR(__xludf.DUMMYFUNCTION("IFERROR(GOOGLEFINANCE(B983,""eps""),0)"),64.66)</f>
        <v>64.66</v>
      </c>
      <c r="AJ983" s="1"/>
      <c r="AK983" s="6">
        <v>39.9</v>
      </c>
      <c r="AL983" s="9">
        <f t="shared" si="150"/>
        <v>1</v>
      </c>
    </row>
    <row r="984" spans="1:38" ht="15" x14ac:dyDescent="0.25">
      <c r="A984" s="1" t="s">
        <v>2998</v>
      </c>
      <c r="B984" s="1" t="s">
        <v>2999</v>
      </c>
      <c r="C984" s="1" t="s">
        <v>324</v>
      </c>
      <c r="D984" s="1" t="s">
        <v>324</v>
      </c>
      <c r="E984" s="6">
        <v>75.05</v>
      </c>
      <c r="F984" s="1" t="s">
        <v>53</v>
      </c>
      <c r="G984" s="6">
        <f ca="1">IFERROR(__xludf.DUMMYFUNCTION("iferror(GOOGLEFINANCE(TRIM(F984)&amp;"":"" &amp; TRIM(B984), ""price""),0
)"),0)</f>
        <v>0</v>
      </c>
      <c r="H984" s="6">
        <v>31.24</v>
      </c>
      <c r="I984" s="6">
        <f t="shared" ca="1" si="0"/>
        <v>31.24</v>
      </c>
      <c r="J984" s="6">
        <f ca="1">IFERROR(__xludf.DUMMYFUNCTION("IFERROR(GOOGLEFINANCE(B984, ""volume""), 0)"),0)</f>
        <v>0</v>
      </c>
      <c r="K984" s="6">
        <v>0.9</v>
      </c>
      <c r="L984" s="6">
        <f ca="1">IFERROR(__xludf.DUMMYFUNCTION("IFERROR(GOOGLEFINANCE(B984,""changepct""),K984)"),0.9)</f>
        <v>0.9</v>
      </c>
      <c r="M984" s="6">
        <f ca="1">IFERROR(__xludf.DUMMYFUNCTION("IFERROR(GOOGLEFINANCE(B984,""change""),0)"),0)</f>
        <v>0</v>
      </c>
      <c r="N984" s="6">
        <v>1</v>
      </c>
      <c r="O984" s="7">
        <v>45536</v>
      </c>
      <c r="P984" s="6">
        <v>0.49</v>
      </c>
      <c r="Q984" s="6">
        <v>75.540000000000006</v>
      </c>
      <c r="R984" s="7">
        <v>45536</v>
      </c>
      <c r="S984" s="6">
        <v>23.03</v>
      </c>
      <c r="T984" s="6">
        <v>0.47</v>
      </c>
      <c r="U984" s="7">
        <v>45536</v>
      </c>
      <c r="V984" s="6">
        <v>160.03</v>
      </c>
      <c r="W984" s="6">
        <f ca="1">IFERROR(__xludf.DUMMYFUNCTION("IFERROR(GOOGLEFINANCE(B984,""pe""),V984)"),160.03)</f>
        <v>160.03</v>
      </c>
      <c r="X984" s="6">
        <v>6.14</v>
      </c>
      <c r="Y984" s="6">
        <v>1.67</v>
      </c>
      <c r="Z984" s="6">
        <v>1</v>
      </c>
      <c r="AA984" s="8">
        <v>45352</v>
      </c>
      <c r="AB984" s="4">
        <v>1.33</v>
      </c>
      <c r="AC984" s="6">
        <v>202.35</v>
      </c>
      <c r="AD984" s="6">
        <v>104.06</v>
      </c>
      <c r="AE984" s="1">
        <v>0</v>
      </c>
      <c r="AF984" s="1">
        <f ca="1">IFERROR(__xludf.DUMMYFUNCTION("IFERROR(GOOGLEFINANCE(TRIM(F984)&amp;"":"" &amp; TRIM(B984),""high52""),AE984)"),0)</f>
        <v>0</v>
      </c>
      <c r="AG984" s="1">
        <v>0</v>
      </c>
      <c r="AH984" s="1">
        <f ca="1">IFERROR(__xludf.DUMMYFUNCTION("IFERROR(GOOGLEFINANCE(TRIM(F984)&amp;"":"" &amp; TRIM(B984),""low52""),AE984)"),0)</f>
        <v>0</v>
      </c>
      <c r="AI984" s="1">
        <f ca="1">IFERROR(__xludf.DUMMYFUNCTION("IFERROR(GOOGLEFINANCE(B984,""eps""),0)"),0)</f>
        <v>0</v>
      </c>
      <c r="AJ984" s="1"/>
      <c r="AK984" s="1" t="s">
        <v>3000</v>
      </c>
      <c r="AL984" s="9">
        <f t="shared" si="150"/>
        <v>1</v>
      </c>
    </row>
    <row r="985" spans="1:38" ht="15" x14ac:dyDescent="0.25">
      <c r="A985" s="1" t="s">
        <v>3001</v>
      </c>
      <c r="B985" s="1" t="s">
        <v>3002</v>
      </c>
      <c r="C985" s="1" t="s">
        <v>2185</v>
      </c>
      <c r="D985" s="1" t="s">
        <v>2185</v>
      </c>
      <c r="E985" s="6">
        <v>8405.89</v>
      </c>
      <c r="F985" s="1" t="s">
        <v>40</v>
      </c>
      <c r="G985" s="6">
        <f ca="1">IFERROR(__xludf.DUMMYFUNCTION("iferror(GOOGLEFINANCE(TRIM(F985)&amp;"":"" &amp; TRIM(B985), ""price""),0
)"),2450)</f>
        <v>2450</v>
      </c>
      <c r="H985" s="6">
        <v>4110</v>
      </c>
      <c r="I985" s="6">
        <f t="shared" ca="1" si="0"/>
        <v>2450</v>
      </c>
      <c r="J985" s="6">
        <f ca="1">IFERROR(__xludf.DUMMYFUNCTION("IFERROR(GOOGLEFINANCE(B985, ""volume""), 0)"),0)</f>
        <v>0</v>
      </c>
      <c r="K985" s="6">
        <v>-2.88</v>
      </c>
      <c r="L985" s="6">
        <f ca="1">IFERROR(__xludf.DUMMYFUNCTION("IFERROR(GOOGLEFINANCE(B985,""changepct""),K985)"),0)</f>
        <v>0</v>
      </c>
      <c r="M985" s="6">
        <f ca="1">IFERROR(__xludf.DUMMYFUNCTION("IFERROR(GOOGLEFINANCE(B985,""change""),0)"),0)</f>
        <v>0</v>
      </c>
      <c r="N985" s="6">
        <v>1</v>
      </c>
      <c r="O985" s="7">
        <v>45536</v>
      </c>
      <c r="P985" s="6">
        <v>114.59</v>
      </c>
      <c r="Q985" s="6">
        <v>8102.26</v>
      </c>
      <c r="R985" s="7">
        <v>45536</v>
      </c>
      <c r="S985" s="6">
        <v>142.24</v>
      </c>
      <c r="T985" s="6">
        <v>31.39</v>
      </c>
      <c r="U985" s="7">
        <v>45536</v>
      </c>
      <c r="V985" s="6">
        <v>267.76</v>
      </c>
      <c r="W985" s="6">
        <f ca="1">IFERROR(__xludf.DUMMYFUNCTION("IFERROR(GOOGLEFINANCE(B985,""pe""),V985)"),267.76)</f>
        <v>267.76</v>
      </c>
      <c r="X985" s="6">
        <v>4.0599999999999996</v>
      </c>
      <c r="Y985" s="6">
        <v>16.96</v>
      </c>
      <c r="Z985" s="6">
        <v>1</v>
      </c>
      <c r="AA985" s="8">
        <v>45352</v>
      </c>
      <c r="AB985" s="4">
        <v>1.59</v>
      </c>
      <c r="AC985" s="6">
        <v>40.74</v>
      </c>
      <c r="AD985" s="6">
        <v>31.52</v>
      </c>
      <c r="AE985" s="1">
        <v>0</v>
      </c>
      <c r="AF985" s="1">
        <f ca="1">IFERROR(__xludf.DUMMYFUNCTION("IFERROR(GOOGLEFINANCE(TRIM(F985)&amp;"":"" &amp; TRIM(B985),""high52""),AE985)"),3894.7)</f>
        <v>3894.7</v>
      </c>
      <c r="AG985" s="1">
        <v>0</v>
      </c>
      <c r="AH985" s="1">
        <f ca="1">IFERROR(__xludf.DUMMYFUNCTION("IFERROR(GOOGLEFINANCE(TRIM(F985)&amp;"":"" &amp; TRIM(B985),""low52""),AE985)"),1710.05)</f>
        <v>1710.05</v>
      </c>
      <c r="AI985" s="1">
        <f ca="1">IFERROR(__xludf.DUMMYFUNCTION("IFERROR(GOOGLEFINANCE(B985,""eps""),0)"),0)</f>
        <v>0</v>
      </c>
      <c r="AJ985" s="1"/>
      <c r="AK985" s="9"/>
      <c r="AL985" s="9">
        <f t="shared" si="150"/>
        <v>1</v>
      </c>
    </row>
    <row r="986" spans="1:38" ht="15" x14ac:dyDescent="0.25">
      <c r="A986" s="1" t="s">
        <v>3003</v>
      </c>
      <c r="B986" s="1" t="s">
        <v>3004</v>
      </c>
      <c r="C986" s="1" t="s">
        <v>324</v>
      </c>
      <c r="D986" s="1" t="s">
        <v>324</v>
      </c>
      <c r="E986" s="6">
        <v>41.73</v>
      </c>
      <c r="F986" s="1" t="s">
        <v>53</v>
      </c>
      <c r="G986" s="6">
        <f ca="1">IFERROR(__xludf.DUMMYFUNCTION("iferror(GOOGLEFINANCE(TRIM(F986)&amp;"":"" &amp; TRIM(B986), ""price""),0
)"),0)</f>
        <v>0</v>
      </c>
      <c r="H986" s="6">
        <v>140</v>
      </c>
      <c r="I986" s="6">
        <f t="shared" ca="1" si="0"/>
        <v>140</v>
      </c>
      <c r="J986" s="6">
        <f ca="1">IFERROR(__xludf.DUMMYFUNCTION("IFERROR(GOOGLEFINANCE(B986, ""volume""), 0)"),0)</f>
        <v>0</v>
      </c>
      <c r="K986" s="6">
        <v>0.76</v>
      </c>
      <c r="L986" s="6">
        <f ca="1">IFERROR(__xludf.DUMMYFUNCTION("IFERROR(GOOGLEFINANCE(B986,""changepct""),K986)"),0.76)</f>
        <v>0.76</v>
      </c>
      <c r="M986" s="6">
        <f ca="1">IFERROR(__xludf.DUMMYFUNCTION("IFERROR(GOOGLEFINANCE(B986,""change""),0)"),0)</f>
        <v>0</v>
      </c>
      <c r="N986" s="6">
        <v>1</v>
      </c>
      <c r="O986" s="7">
        <v>45536</v>
      </c>
      <c r="P986" s="6">
        <v>32.21</v>
      </c>
      <c r="Q986" s="6">
        <v>73.94</v>
      </c>
      <c r="R986" s="7">
        <v>45536</v>
      </c>
      <c r="S986" s="6">
        <v>230.78</v>
      </c>
      <c r="T986" s="6">
        <v>-0.47</v>
      </c>
      <c r="U986" s="7">
        <v>45536</v>
      </c>
      <c r="V986" s="6">
        <v>0</v>
      </c>
      <c r="W986" s="6">
        <f ca="1">IFERROR(__xludf.DUMMYFUNCTION("IFERROR(GOOGLEFINANCE(B986,""pe""),V986)"),0)</f>
        <v>0</v>
      </c>
      <c r="X986" s="6">
        <v>0</v>
      </c>
      <c r="Y986" s="6">
        <v>2.58</v>
      </c>
      <c r="Z986" s="6">
        <v>1</v>
      </c>
      <c r="AA986" s="8">
        <v>45352</v>
      </c>
      <c r="AB986" s="4">
        <v>2.2799999999999998</v>
      </c>
      <c r="AC986" s="6">
        <v>5.31</v>
      </c>
      <c r="AD986" s="6">
        <v>8.4499999999999993</v>
      </c>
      <c r="AE986" s="1">
        <v>0</v>
      </c>
      <c r="AF986" s="1">
        <f ca="1">IFERROR(__xludf.DUMMYFUNCTION("IFERROR(GOOGLEFINANCE(TRIM(F986)&amp;"":"" &amp; TRIM(B986),""high52""),AE986)"),0)</f>
        <v>0</v>
      </c>
      <c r="AG986" s="1">
        <v>0</v>
      </c>
      <c r="AH986" s="1">
        <f ca="1">IFERROR(__xludf.DUMMYFUNCTION("IFERROR(GOOGLEFINANCE(TRIM(F986)&amp;"":"" &amp; TRIM(B986),""low52""),AE986)"),0)</f>
        <v>0</v>
      </c>
      <c r="AI986" s="1">
        <f ca="1">IFERROR(__xludf.DUMMYFUNCTION("IFERROR(GOOGLEFINANCE(B986,""eps""),0)"),0)</f>
        <v>0</v>
      </c>
      <c r="AJ986" s="1"/>
      <c r="AK986" s="1" t="s">
        <v>3005</v>
      </c>
      <c r="AL986" s="9">
        <f t="shared" si="150"/>
        <v>1</v>
      </c>
    </row>
    <row r="987" spans="1:38" ht="15" x14ac:dyDescent="0.25">
      <c r="A987" s="1" t="s">
        <v>3006</v>
      </c>
      <c r="B987" s="1" t="s">
        <v>3007</v>
      </c>
      <c r="C987" s="1" t="s">
        <v>324</v>
      </c>
      <c r="D987" s="1" t="s">
        <v>324</v>
      </c>
      <c r="E987" s="6">
        <v>8.25</v>
      </c>
      <c r="F987" s="1" t="s">
        <v>53</v>
      </c>
      <c r="G987" s="6">
        <f ca="1">IFERROR(__xludf.DUMMYFUNCTION("iferror(GOOGLEFINANCE(TRIM(F987)&amp;"":"" &amp; TRIM(B987), ""price""),0
)"),0)</f>
        <v>0</v>
      </c>
      <c r="H987" s="6">
        <v>28.5</v>
      </c>
      <c r="I987" s="6">
        <f t="shared" ca="1" si="0"/>
        <v>28.5</v>
      </c>
      <c r="J987" s="6">
        <f ca="1">IFERROR(__xludf.DUMMYFUNCTION("IFERROR(GOOGLEFINANCE(B987, ""volume""), 0)"),0)</f>
        <v>0</v>
      </c>
      <c r="K987" s="6">
        <v>4.4000000000000004</v>
      </c>
      <c r="L987" s="6">
        <f ca="1">IFERROR(__xludf.DUMMYFUNCTION("IFERROR(GOOGLEFINANCE(B987,""changepct""),K987)"),4.4)</f>
        <v>4.4000000000000004</v>
      </c>
      <c r="M987" s="6">
        <f ca="1">IFERROR(__xludf.DUMMYFUNCTION("IFERROR(GOOGLEFINANCE(B987,""change""),0)"),0)</f>
        <v>0</v>
      </c>
      <c r="N987" s="6">
        <v>1</v>
      </c>
      <c r="O987" s="7">
        <v>45536</v>
      </c>
      <c r="P987" s="12"/>
      <c r="Q987" s="6">
        <v>4.3499999999999996</v>
      </c>
      <c r="R987" s="7">
        <v>45536</v>
      </c>
      <c r="S987" s="6">
        <v>0</v>
      </c>
      <c r="T987" s="6">
        <v>0.38</v>
      </c>
      <c r="U987" s="7">
        <v>45536</v>
      </c>
      <c r="V987" s="6">
        <v>21.43</v>
      </c>
      <c r="W987" s="6">
        <f ca="1">IFERROR(__xludf.DUMMYFUNCTION("IFERROR(GOOGLEFINANCE(B987,""pe""),V987)"),21.43)</f>
        <v>21.43</v>
      </c>
      <c r="X987" s="6">
        <v>2.2799999999999998</v>
      </c>
      <c r="Y987" s="6">
        <v>1.69</v>
      </c>
      <c r="Z987" s="6">
        <v>1</v>
      </c>
      <c r="AA987" s="8">
        <v>45352</v>
      </c>
      <c r="AB987" s="4">
        <v>0</v>
      </c>
      <c r="AC987" s="6">
        <v>7.87</v>
      </c>
      <c r="AD987" s="6">
        <v>10.8</v>
      </c>
      <c r="AE987" s="1">
        <v>0</v>
      </c>
      <c r="AF987" s="1">
        <f ca="1">IFERROR(__xludf.DUMMYFUNCTION("IFERROR(GOOGLEFINANCE(TRIM(F987)&amp;"":"" &amp; TRIM(B987),""high52""),AE987)"),0)</f>
        <v>0</v>
      </c>
      <c r="AG987" s="1">
        <v>0</v>
      </c>
      <c r="AH987" s="1">
        <f ca="1">IFERROR(__xludf.DUMMYFUNCTION("IFERROR(GOOGLEFINANCE(TRIM(F987)&amp;"":"" &amp; TRIM(B987),""low52""),AE987)"),0)</f>
        <v>0</v>
      </c>
      <c r="AI987" s="1">
        <f ca="1">IFERROR(__xludf.DUMMYFUNCTION("IFERROR(GOOGLEFINANCE(B987,""eps""),0)"),0)</f>
        <v>0</v>
      </c>
      <c r="AJ987" s="1"/>
      <c r="AK987" s="1" t="s">
        <v>3008</v>
      </c>
      <c r="AL987" s="9">
        <f t="shared" si="150"/>
        <v>1</v>
      </c>
    </row>
    <row r="988" spans="1:38" ht="15" x14ac:dyDescent="0.25">
      <c r="A988" s="1" t="s">
        <v>3009</v>
      </c>
      <c r="B988" s="1" t="s">
        <v>3010</v>
      </c>
      <c r="C988" s="1" t="s">
        <v>324</v>
      </c>
      <c r="D988" s="1" t="s">
        <v>324</v>
      </c>
      <c r="E988" s="6">
        <v>6.55</v>
      </c>
      <c r="F988" s="1" t="s">
        <v>53</v>
      </c>
      <c r="G988" s="6">
        <f ca="1">IFERROR(__xludf.DUMMYFUNCTION("iferror(GOOGLEFINANCE(TRIM(F988)&amp;"":"" &amp; TRIM(B988), ""price""),0
)"),0)</f>
        <v>0</v>
      </c>
      <c r="H988" s="6">
        <v>16.55</v>
      </c>
      <c r="I988" s="6">
        <f t="shared" ca="1" si="0"/>
        <v>16.55</v>
      </c>
      <c r="J988" s="6">
        <f ca="1">IFERROR(__xludf.DUMMYFUNCTION("IFERROR(GOOGLEFINANCE(B988, ""volume""), 0)"),0)</f>
        <v>0</v>
      </c>
      <c r="K988" s="6">
        <v>0</v>
      </c>
      <c r="L988" s="6">
        <f ca="1">IFERROR(__xludf.DUMMYFUNCTION("IFERROR(GOOGLEFINANCE(B988,""changepct""),K988)"),0)</f>
        <v>0</v>
      </c>
      <c r="M988" s="6">
        <f ca="1">IFERROR(__xludf.DUMMYFUNCTION("IFERROR(GOOGLEFINANCE(B988,""change""),0)"),0)</f>
        <v>0</v>
      </c>
      <c r="N988" s="6">
        <v>1</v>
      </c>
      <c r="O988" s="7">
        <v>45536</v>
      </c>
      <c r="P988" s="9"/>
      <c r="Q988" s="6">
        <v>6.55</v>
      </c>
      <c r="R988" s="7">
        <v>45536</v>
      </c>
      <c r="S988" s="6">
        <v>0</v>
      </c>
      <c r="T988" s="6">
        <v>0.03</v>
      </c>
      <c r="U988" s="7">
        <v>45536</v>
      </c>
      <c r="V988" s="6">
        <v>198.6</v>
      </c>
      <c r="W988" s="6">
        <f ca="1">IFERROR(__xludf.DUMMYFUNCTION("IFERROR(GOOGLEFINANCE(B988,""pe""),V988)"),198.6)</f>
        <v>198.6</v>
      </c>
      <c r="X988" s="6">
        <v>5.24</v>
      </c>
      <c r="Y988" s="6">
        <v>-2.37</v>
      </c>
      <c r="Z988" s="6">
        <v>1</v>
      </c>
      <c r="AA988" s="8">
        <v>45352</v>
      </c>
      <c r="AB988" s="4">
        <v>0</v>
      </c>
      <c r="AC988" s="6">
        <v>0</v>
      </c>
      <c r="AD988" s="6">
        <v>0</v>
      </c>
      <c r="AE988" s="1">
        <v>0</v>
      </c>
      <c r="AF988" s="1">
        <f ca="1">IFERROR(__xludf.DUMMYFUNCTION("IFERROR(GOOGLEFINANCE(TRIM(F988)&amp;"":"" &amp; TRIM(B988),""high52""),AE988)"),0)</f>
        <v>0</v>
      </c>
      <c r="AG988" s="1">
        <v>0</v>
      </c>
      <c r="AH988" s="1">
        <f ca="1">IFERROR(__xludf.DUMMYFUNCTION("IFERROR(GOOGLEFINANCE(TRIM(F988)&amp;"":"" &amp; TRIM(B988),""low52""),AE988)"),0)</f>
        <v>0</v>
      </c>
      <c r="AI988" s="1">
        <f ca="1">IFERROR(__xludf.DUMMYFUNCTION("IFERROR(GOOGLEFINANCE(B988,""eps""),0)"),0)</f>
        <v>0</v>
      </c>
      <c r="AJ988" s="1"/>
      <c r="AK988" s="1" t="s">
        <v>3011</v>
      </c>
      <c r="AL988" s="9">
        <f t="shared" si="150"/>
        <v>1</v>
      </c>
    </row>
    <row r="989" spans="1:38" ht="15" x14ac:dyDescent="0.25">
      <c r="A989" s="1" t="s">
        <v>3012</v>
      </c>
      <c r="B989" s="1" t="s">
        <v>3013</v>
      </c>
      <c r="C989" s="1" t="s">
        <v>186</v>
      </c>
      <c r="D989" s="1" t="s">
        <v>186</v>
      </c>
      <c r="E989" s="6">
        <v>16.82</v>
      </c>
      <c r="F989" s="1" t="s">
        <v>40</v>
      </c>
      <c r="G989" s="6">
        <f ca="1">IFERROR(__xludf.DUMMYFUNCTION("iferror(GOOGLEFINANCE(TRIM(F989)&amp;"":"" &amp; TRIM(B989), ""price""),0
)"),76.78)</f>
        <v>76.78</v>
      </c>
      <c r="H989" s="6">
        <v>1.8</v>
      </c>
      <c r="I989" s="6">
        <f t="shared" ca="1" si="0"/>
        <v>76.78</v>
      </c>
      <c r="J989" s="6">
        <f ca="1">IFERROR(__xludf.DUMMYFUNCTION("IFERROR(GOOGLEFINANCE(B989, ""volume""), 0)"),411)</f>
        <v>411</v>
      </c>
      <c r="K989" s="9"/>
      <c r="L989" s="6">
        <f ca="1">IFERROR(__xludf.DUMMYFUNCTION("IFERROR(GOOGLEFINANCE(B989,""changepct""),K989)"),4.99)</f>
        <v>4.99</v>
      </c>
      <c r="M989" s="6">
        <f ca="1">IFERROR(__xludf.DUMMYFUNCTION("IFERROR(GOOGLEFINANCE(B989,""change""),0)"),3.65)</f>
        <v>3.65</v>
      </c>
      <c r="N989" s="6">
        <v>1</v>
      </c>
      <c r="O989" s="7">
        <v>45536</v>
      </c>
      <c r="P989" s="6">
        <v>48.89</v>
      </c>
      <c r="Q989" s="6">
        <v>48.58</v>
      </c>
      <c r="R989" s="7">
        <v>45536</v>
      </c>
      <c r="S989" s="6">
        <v>20.97</v>
      </c>
      <c r="T989" s="6">
        <v>-4.51</v>
      </c>
      <c r="U989" s="7">
        <v>45261</v>
      </c>
      <c r="V989" s="6">
        <v>0</v>
      </c>
      <c r="W989" s="6">
        <f ca="1">IFERROR(__xludf.DUMMYFUNCTION("IFERROR(GOOGLEFINANCE(B989,""pe""),V989)"),14.2)</f>
        <v>14.2</v>
      </c>
      <c r="X989" s="6">
        <v>0</v>
      </c>
      <c r="Y989" s="6">
        <v>-0.31</v>
      </c>
      <c r="Z989" s="6">
        <v>1</v>
      </c>
      <c r="AA989" s="8">
        <v>44986</v>
      </c>
      <c r="AB989" s="4">
        <v>-3.37</v>
      </c>
      <c r="AC989" s="6">
        <v>0</v>
      </c>
      <c r="AD989" s="6">
        <v>-11.9</v>
      </c>
      <c r="AE989" s="1">
        <v>0</v>
      </c>
      <c r="AF989" s="1">
        <f ca="1">IFERROR(__xludf.DUMMYFUNCTION("IFERROR(GOOGLEFINANCE(TRIM(F989)&amp;"":"" &amp; TRIM(B989),""high52""),AE989)"),99.25)</f>
        <v>99.25</v>
      </c>
      <c r="AG989" s="1">
        <v>0</v>
      </c>
      <c r="AH989" s="1">
        <f ca="1">IFERROR(__xludf.DUMMYFUNCTION("IFERROR(GOOGLEFINANCE(TRIM(F989)&amp;"":"" &amp; TRIM(B989),""low52""),AE989)"),24)</f>
        <v>24</v>
      </c>
      <c r="AI989" s="1">
        <f ca="1">IFERROR(__xludf.DUMMYFUNCTION("IFERROR(GOOGLEFINANCE(B989,""eps""),0)"),5.41)</f>
        <v>5.41</v>
      </c>
      <c r="AJ989" s="1"/>
      <c r="AK989" s="1" t="s">
        <v>3014</v>
      </c>
      <c r="AL989" s="9">
        <f t="shared" si="150"/>
        <v>1</v>
      </c>
    </row>
    <row r="990" spans="1:38" ht="15" x14ac:dyDescent="0.25">
      <c r="A990" s="1" t="s">
        <v>3015</v>
      </c>
      <c r="B990" s="1" t="s">
        <v>3016</v>
      </c>
      <c r="C990" s="1" t="s">
        <v>324</v>
      </c>
      <c r="D990" s="1" t="s">
        <v>324</v>
      </c>
      <c r="E990" s="6">
        <v>174.14</v>
      </c>
      <c r="F990" s="1" t="s">
        <v>53</v>
      </c>
      <c r="G990" s="6">
        <f ca="1">IFERROR(__xludf.DUMMYFUNCTION("iferror(GOOGLEFINANCE(TRIM(F990)&amp;"":"" &amp; TRIM(B990), ""price""),0
)"),0)</f>
        <v>0</v>
      </c>
      <c r="H990" s="6">
        <v>184.3</v>
      </c>
      <c r="I990" s="6">
        <f t="shared" ca="1" si="0"/>
        <v>184.3</v>
      </c>
      <c r="J990" s="6">
        <f ca="1">IFERROR(__xludf.DUMMYFUNCTION("IFERROR(GOOGLEFINANCE(B990, ""volume""), 0)"),0)</f>
        <v>0</v>
      </c>
      <c r="K990" s="6">
        <v>1.49</v>
      </c>
      <c r="L990" s="6">
        <f ca="1">IFERROR(__xludf.DUMMYFUNCTION("IFERROR(GOOGLEFINANCE(B990,""changepct""),K990)"),1.49)</f>
        <v>1.49</v>
      </c>
      <c r="M990" s="6">
        <f ca="1">IFERROR(__xludf.DUMMYFUNCTION("IFERROR(GOOGLEFINANCE(B990,""change""),0)"),0)</f>
        <v>0</v>
      </c>
      <c r="N990" s="6">
        <v>2</v>
      </c>
      <c r="O990" s="7">
        <v>45536</v>
      </c>
      <c r="P990" s="6">
        <v>130.63</v>
      </c>
      <c r="Q990" s="6">
        <v>304.11</v>
      </c>
      <c r="R990" s="7">
        <v>45536</v>
      </c>
      <c r="S990" s="6">
        <v>358.77</v>
      </c>
      <c r="T990" s="6">
        <v>0.18</v>
      </c>
      <c r="U990" s="7">
        <v>45536</v>
      </c>
      <c r="V990" s="6">
        <v>951.59</v>
      </c>
      <c r="W990" s="6">
        <f ca="1">IFERROR(__xludf.DUMMYFUNCTION("IFERROR(GOOGLEFINANCE(B990,""pe""),V990)"),951.59)</f>
        <v>951.59</v>
      </c>
      <c r="X990" s="9"/>
      <c r="Y990" s="6">
        <v>3.35</v>
      </c>
      <c r="Z990" s="6">
        <v>2</v>
      </c>
      <c r="AA990" s="8">
        <v>45352</v>
      </c>
      <c r="AB990" s="4">
        <v>2.86</v>
      </c>
      <c r="AC990" s="6">
        <v>4.4000000000000004</v>
      </c>
      <c r="AD990" s="6">
        <v>7.74</v>
      </c>
      <c r="AE990" s="1">
        <v>0</v>
      </c>
      <c r="AF990" s="1">
        <f ca="1">IFERROR(__xludf.DUMMYFUNCTION("IFERROR(GOOGLEFINANCE(TRIM(F990)&amp;"":"" &amp; TRIM(B990),""high52""),AE990)"),0)</f>
        <v>0</v>
      </c>
      <c r="AG990" s="1">
        <v>0</v>
      </c>
      <c r="AH990" s="1">
        <f ca="1">IFERROR(__xludf.DUMMYFUNCTION("IFERROR(GOOGLEFINANCE(TRIM(F990)&amp;"":"" &amp; TRIM(B990),""low52""),AE990)"),0)</f>
        <v>0</v>
      </c>
      <c r="AI990" s="1">
        <f ca="1">IFERROR(__xludf.DUMMYFUNCTION("IFERROR(GOOGLEFINANCE(B990,""eps""),0)"),0)</f>
        <v>0</v>
      </c>
      <c r="AJ990" s="1"/>
      <c r="AK990" s="1" t="s">
        <v>3017</v>
      </c>
      <c r="AL990" s="9">
        <f t="shared" si="150"/>
        <v>1</v>
      </c>
    </row>
    <row r="991" spans="1:38" ht="15" x14ac:dyDescent="0.25">
      <c r="A991" s="1" t="s">
        <v>3018</v>
      </c>
      <c r="B991" s="1" t="s">
        <v>3019</v>
      </c>
      <c r="C991" s="1" t="s">
        <v>324</v>
      </c>
      <c r="D991" s="1" t="s">
        <v>324</v>
      </c>
      <c r="E991" s="6">
        <v>2.96</v>
      </c>
      <c r="F991" s="1" t="s">
        <v>53</v>
      </c>
      <c r="G991" s="6">
        <f ca="1">IFERROR(__xludf.DUMMYFUNCTION("iferror(GOOGLEFINANCE(TRIM(F991)&amp;"":"" &amp; TRIM(B991), ""price""),0
)"),0)</f>
        <v>0</v>
      </c>
      <c r="H991" s="6">
        <v>214.05</v>
      </c>
      <c r="I991" s="6">
        <f t="shared" ca="1" si="0"/>
        <v>214.05</v>
      </c>
      <c r="J991" s="6">
        <f ca="1">IFERROR(__xludf.DUMMYFUNCTION("IFERROR(GOOGLEFINANCE(B991, ""volume""), 0)"),0)</f>
        <v>0</v>
      </c>
      <c r="K991" s="6">
        <v>4.95</v>
      </c>
      <c r="L991" s="6">
        <f ca="1">IFERROR(__xludf.DUMMYFUNCTION("IFERROR(GOOGLEFINANCE(B991,""changepct""),K991)"),4.95)</f>
        <v>4.95</v>
      </c>
      <c r="M991" s="6">
        <f ca="1">IFERROR(__xludf.DUMMYFUNCTION("IFERROR(GOOGLEFINANCE(B991,""change""),0)"),0)</f>
        <v>0</v>
      </c>
      <c r="N991" s="6">
        <v>1</v>
      </c>
      <c r="O991" s="7">
        <v>45536</v>
      </c>
      <c r="P991" s="6">
        <v>0.44</v>
      </c>
      <c r="Q991" s="6">
        <v>3.39</v>
      </c>
      <c r="R991" s="7">
        <v>45536</v>
      </c>
      <c r="S991" s="6">
        <v>0</v>
      </c>
      <c r="T991" s="6">
        <v>-0.19</v>
      </c>
      <c r="U991" s="7">
        <v>45536</v>
      </c>
      <c r="V991" s="6">
        <v>0</v>
      </c>
      <c r="W991" s="6">
        <f ca="1">IFERROR(__xludf.DUMMYFUNCTION("IFERROR(GOOGLEFINANCE(B991,""pe""),V991)"),0)</f>
        <v>0</v>
      </c>
      <c r="X991" s="6">
        <v>0</v>
      </c>
      <c r="Y991" s="6">
        <v>-4.1500000000000004</v>
      </c>
      <c r="Z991" s="6">
        <v>1</v>
      </c>
      <c r="AA991" s="8">
        <v>45352</v>
      </c>
      <c r="AB991" s="4">
        <v>-1.38</v>
      </c>
      <c r="AC991" s="6">
        <v>0</v>
      </c>
      <c r="AD991" s="6">
        <v>-75.209999999999994</v>
      </c>
      <c r="AE991" s="1">
        <v>0</v>
      </c>
      <c r="AF991" s="1">
        <f ca="1">IFERROR(__xludf.DUMMYFUNCTION("IFERROR(GOOGLEFINANCE(TRIM(F991)&amp;"":"" &amp; TRIM(B991),""high52""),AE991)"),0)</f>
        <v>0</v>
      </c>
      <c r="AG991" s="1">
        <v>0</v>
      </c>
      <c r="AH991" s="1">
        <f ca="1">IFERROR(__xludf.DUMMYFUNCTION("IFERROR(GOOGLEFINANCE(TRIM(F991)&amp;"":"" &amp; TRIM(B991),""low52""),AE991)"),0)</f>
        <v>0</v>
      </c>
      <c r="AI991" s="1">
        <f ca="1">IFERROR(__xludf.DUMMYFUNCTION("IFERROR(GOOGLEFINANCE(B991,""eps""),0)"),0)</f>
        <v>0</v>
      </c>
      <c r="AJ991" s="1"/>
      <c r="AK991" s="1" t="s">
        <v>3020</v>
      </c>
      <c r="AL991" s="9">
        <f t="shared" si="150"/>
        <v>1</v>
      </c>
    </row>
    <row r="992" spans="1:38" ht="15" x14ac:dyDescent="0.25">
      <c r="A992" s="1" t="s">
        <v>3021</v>
      </c>
      <c r="B992" s="1" t="s">
        <v>3022</v>
      </c>
      <c r="C992" s="1" t="s">
        <v>1644</v>
      </c>
      <c r="D992" s="1" t="s">
        <v>1644</v>
      </c>
      <c r="E992" s="6">
        <v>5436.62</v>
      </c>
      <c r="F992" s="1" t="s">
        <v>40</v>
      </c>
      <c r="G992" s="6">
        <f ca="1">IFERROR(__xludf.DUMMYFUNCTION("iferror(GOOGLEFINANCE(TRIM(F992)&amp;"":"" &amp; TRIM(B992), ""price""),0
)"),6.34)</f>
        <v>6.34</v>
      </c>
      <c r="H992" s="6">
        <v>15.36</v>
      </c>
      <c r="I992" s="6">
        <f t="shared" ca="1" si="0"/>
        <v>6.34</v>
      </c>
      <c r="J992" s="6">
        <f ca="1">IFERROR(__xludf.DUMMYFUNCTION("IFERROR(GOOGLEFINANCE(B992, ""volume""), 0)"),18289723)</f>
        <v>18289723</v>
      </c>
      <c r="K992" s="6">
        <v>0.2</v>
      </c>
      <c r="L992" s="6">
        <f ca="1">IFERROR(__xludf.DUMMYFUNCTION("IFERROR(GOOGLEFINANCE(B992,""changepct""),K992)"),-1.55)</f>
        <v>-1.55</v>
      </c>
      <c r="M992" s="6">
        <f ca="1">IFERROR(__xludf.DUMMYFUNCTION("IFERROR(GOOGLEFINANCE(B992,""change""),0)"),-0.1)</f>
        <v>-0.1</v>
      </c>
      <c r="N992" s="6">
        <v>2</v>
      </c>
      <c r="O992" s="7">
        <v>45536</v>
      </c>
      <c r="P992" s="6">
        <v>30.79</v>
      </c>
      <c r="Q992" s="6">
        <v>5310.47</v>
      </c>
      <c r="R992" s="7">
        <v>45536</v>
      </c>
      <c r="S992" s="6">
        <v>622.1</v>
      </c>
      <c r="T992" s="6">
        <v>91.33</v>
      </c>
      <c r="U992" s="7">
        <v>45536</v>
      </c>
      <c r="V992" s="6">
        <v>61.6</v>
      </c>
      <c r="W992" s="6">
        <f ca="1">IFERROR(__xludf.DUMMYFUNCTION("IFERROR(GOOGLEFINANCE(B992,""pe""),V992)"),135.33)</f>
        <v>135.33000000000001</v>
      </c>
      <c r="X992" s="9"/>
      <c r="Y992" s="6">
        <v>6.45</v>
      </c>
      <c r="Z992" s="6">
        <v>2</v>
      </c>
      <c r="AA992" s="8">
        <v>45352</v>
      </c>
      <c r="AB992" s="4">
        <v>0.02</v>
      </c>
      <c r="AC992" s="6">
        <v>21.23</v>
      </c>
      <c r="AD992" s="6">
        <v>28.05</v>
      </c>
      <c r="AE992" s="1">
        <v>0</v>
      </c>
      <c r="AF992" s="1">
        <f ca="1">IFERROR(__xludf.DUMMYFUNCTION("IFERROR(GOOGLEFINANCE(TRIM(F992)&amp;"":"" &amp; TRIM(B992),""high52""),AE992)"),14.36)</f>
        <v>14.36</v>
      </c>
      <c r="AG992" s="1">
        <v>0</v>
      </c>
      <c r="AH992" s="1">
        <f ca="1">IFERROR(__xludf.DUMMYFUNCTION("IFERROR(GOOGLEFINANCE(TRIM(F992)&amp;"":"" &amp; TRIM(B992),""low52""),AE992)"),6.12)</f>
        <v>6.12</v>
      </c>
      <c r="AI992" s="1">
        <f ca="1">IFERROR(__xludf.DUMMYFUNCTION("IFERROR(GOOGLEFINANCE(B992,""eps""),0)"),0.05)</f>
        <v>0.05</v>
      </c>
      <c r="AJ992" s="1"/>
      <c r="AK992" s="1" t="s">
        <v>3023</v>
      </c>
      <c r="AL992" s="9">
        <f t="shared" si="150"/>
        <v>1</v>
      </c>
    </row>
    <row r="993" spans="1:38" ht="15" x14ac:dyDescent="0.25">
      <c r="A993" s="1" t="s">
        <v>3024</v>
      </c>
      <c r="B993" s="1" t="s">
        <v>3025</v>
      </c>
      <c r="C993" s="1" t="s">
        <v>324</v>
      </c>
      <c r="D993" s="1" t="s">
        <v>324</v>
      </c>
      <c r="E993" s="6">
        <v>12.91</v>
      </c>
      <c r="F993" s="1" t="s">
        <v>53</v>
      </c>
      <c r="G993" s="6">
        <f ca="1">IFERROR(__xludf.DUMMYFUNCTION("iferror(GOOGLEFINANCE(TRIM(F993)&amp;"":"" &amp; TRIM(B993), ""price""),0
)"),0)</f>
        <v>0</v>
      </c>
      <c r="H993" s="6">
        <v>20.9</v>
      </c>
      <c r="I993" s="6">
        <f t="shared" ca="1" si="0"/>
        <v>20.9</v>
      </c>
      <c r="J993" s="6">
        <f ca="1">IFERROR(__xludf.DUMMYFUNCTION("IFERROR(GOOGLEFINANCE(B993, ""volume""), 0)"),0)</f>
        <v>0</v>
      </c>
      <c r="K993" s="6">
        <v>4.92</v>
      </c>
      <c r="L993" s="6">
        <f ca="1">IFERROR(__xludf.DUMMYFUNCTION("IFERROR(GOOGLEFINANCE(B993,""changepct""),K993)"),4.92)</f>
        <v>4.92</v>
      </c>
      <c r="M993" s="6">
        <f ca="1">IFERROR(__xludf.DUMMYFUNCTION("IFERROR(GOOGLEFINANCE(B993,""change""),0)"),0)</f>
        <v>0</v>
      </c>
      <c r="N993" s="6">
        <v>1</v>
      </c>
      <c r="O993" s="7">
        <v>45536</v>
      </c>
      <c r="P993" s="6">
        <v>14.82</v>
      </c>
      <c r="Q993" s="6">
        <v>27.73</v>
      </c>
      <c r="R993" s="7">
        <v>45536</v>
      </c>
      <c r="S993" s="6">
        <v>21.42</v>
      </c>
      <c r="T993" s="6">
        <v>-2.42</v>
      </c>
      <c r="U993" s="7">
        <v>45536</v>
      </c>
      <c r="V993" s="6">
        <v>0</v>
      </c>
      <c r="W993" s="6">
        <f ca="1">IFERROR(__xludf.DUMMYFUNCTION("IFERROR(GOOGLEFINANCE(B993,""pe""),V993)"),0)</f>
        <v>0</v>
      </c>
      <c r="X993" s="12"/>
      <c r="Y993" s="6">
        <v>-21.1</v>
      </c>
      <c r="Z993" s="6">
        <v>1</v>
      </c>
      <c r="AA993" s="8">
        <v>45352</v>
      </c>
      <c r="AB993" s="4">
        <v>41.35</v>
      </c>
      <c r="AC993" s="6">
        <v>-157.97</v>
      </c>
      <c r="AD993" s="6">
        <v>-7.95</v>
      </c>
      <c r="AE993" s="1">
        <v>0</v>
      </c>
      <c r="AF993" s="1">
        <f ca="1">IFERROR(__xludf.DUMMYFUNCTION("IFERROR(GOOGLEFINANCE(TRIM(F993)&amp;"":"" &amp; TRIM(B993),""high52""),AE993)"),0)</f>
        <v>0</v>
      </c>
      <c r="AG993" s="1">
        <v>0</v>
      </c>
      <c r="AH993" s="1">
        <f ca="1">IFERROR(__xludf.DUMMYFUNCTION("IFERROR(GOOGLEFINANCE(TRIM(F993)&amp;"":"" &amp; TRIM(B993),""low52""),AE993)"),0)</f>
        <v>0</v>
      </c>
      <c r="AI993" s="1">
        <f ca="1">IFERROR(__xludf.DUMMYFUNCTION("IFERROR(GOOGLEFINANCE(B993,""eps""),0)"),0)</f>
        <v>0</v>
      </c>
      <c r="AJ993" s="1"/>
      <c r="AK993" s="1" t="s">
        <v>3026</v>
      </c>
      <c r="AL993" s="9">
        <f t="shared" si="150"/>
        <v>1</v>
      </c>
    </row>
    <row r="994" spans="1:38" ht="15" x14ac:dyDescent="0.25">
      <c r="A994" s="1" t="s">
        <v>3027</v>
      </c>
      <c r="B994" s="1" t="s">
        <v>3028</v>
      </c>
      <c r="C994" s="1" t="s">
        <v>324</v>
      </c>
      <c r="D994" s="1" t="s">
        <v>324</v>
      </c>
      <c r="E994" s="6">
        <v>76.44</v>
      </c>
      <c r="F994" s="1" t="s">
        <v>53</v>
      </c>
      <c r="G994" s="6">
        <f ca="1">IFERROR(__xludf.DUMMYFUNCTION("iferror(GOOGLEFINANCE(TRIM(F994)&amp;"":"" &amp; TRIM(B994), ""price""),0
)"),0)</f>
        <v>0</v>
      </c>
      <c r="H994" s="6">
        <v>180</v>
      </c>
      <c r="I994" s="6">
        <f t="shared" ca="1" si="0"/>
        <v>180</v>
      </c>
      <c r="J994" s="6">
        <f ca="1">IFERROR(__xludf.DUMMYFUNCTION("IFERROR(GOOGLEFINANCE(B994, ""volume""), 0)"),0)</f>
        <v>0</v>
      </c>
      <c r="K994" s="6">
        <v>-1.1000000000000001</v>
      </c>
      <c r="L994" s="6">
        <f ca="1">IFERROR(__xludf.DUMMYFUNCTION("IFERROR(GOOGLEFINANCE(B994,""changepct""),K994)"),-1.1)</f>
        <v>-1.1000000000000001</v>
      </c>
      <c r="M994" s="6">
        <f ca="1">IFERROR(__xludf.DUMMYFUNCTION("IFERROR(GOOGLEFINANCE(B994,""change""),0)"),0)</f>
        <v>0</v>
      </c>
      <c r="N994" s="6">
        <v>1</v>
      </c>
      <c r="O994" s="7">
        <v>45536</v>
      </c>
      <c r="P994" s="6">
        <v>60.96</v>
      </c>
      <c r="Q994" s="6">
        <v>130.09</v>
      </c>
      <c r="R994" s="7">
        <v>45536</v>
      </c>
      <c r="S994" s="6">
        <v>495.5</v>
      </c>
      <c r="T994" s="6">
        <v>-3.25</v>
      </c>
      <c r="U994" s="7">
        <v>45536</v>
      </c>
      <c r="V994" s="6">
        <v>0</v>
      </c>
      <c r="W994" s="6">
        <f ca="1">IFERROR(__xludf.DUMMYFUNCTION("IFERROR(GOOGLEFINANCE(B994,""pe""),V994)"),0)</f>
        <v>0</v>
      </c>
      <c r="X994" s="6">
        <v>0</v>
      </c>
      <c r="Y994" s="6">
        <v>1.28</v>
      </c>
      <c r="Z994" s="6">
        <v>1</v>
      </c>
      <c r="AA994" s="8">
        <v>45352</v>
      </c>
      <c r="AB994" s="4">
        <v>1.0900000000000001</v>
      </c>
      <c r="AC994" s="6">
        <v>11.19</v>
      </c>
      <c r="AD994" s="6">
        <v>12.92</v>
      </c>
      <c r="AE994" s="1">
        <v>0</v>
      </c>
      <c r="AF994" s="1">
        <f ca="1">IFERROR(__xludf.DUMMYFUNCTION("IFERROR(GOOGLEFINANCE(TRIM(F994)&amp;"":"" &amp; TRIM(B994),""high52""),AE994)"),0)</f>
        <v>0</v>
      </c>
      <c r="AG994" s="1">
        <v>0</v>
      </c>
      <c r="AH994" s="1">
        <f ca="1">IFERROR(__xludf.DUMMYFUNCTION("IFERROR(GOOGLEFINANCE(TRIM(F994)&amp;"":"" &amp; TRIM(B994),""low52""),AE994)"),0)</f>
        <v>0</v>
      </c>
      <c r="AI994" s="1">
        <f ca="1">IFERROR(__xludf.DUMMYFUNCTION("IFERROR(GOOGLEFINANCE(B994,""eps""),0)"),0)</f>
        <v>0</v>
      </c>
      <c r="AJ994" s="1"/>
      <c r="AK994" s="1" t="s">
        <v>3029</v>
      </c>
      <c r="AL994" s="9">
        <f t="shared" si="150"/>
        <v>1</v>
      </c>
    </row>
    <row r="995" spans="1:38" ht="15" x14ac:dyDescent="0.25">
      <c r="A995" s="1" t="s">
        <v>3030</v>
      </c>
      <c r="B995" s="1" t="s">
        <v>3031</v>
      </c>
      <c r="C995" s="1" t="s">
        <v>324</v>
      </c>
      <c r="D995" s="1" t="s">
        <v>324</v>
      </c>
      <c r="E995" s="6">
        <v>703.07</v>
      </c>
      <c r="F995" s="1" t="s">
        <v>53</v>
      </c>
      <c r="G995" s="6">
        <f ca="1">IFERROR(__xludf.DUMMYFUNCTION("iferror(GOOGLEFINANCE(TRIM(F995)&amp;"":"" &amp; TRIM(B995), ""price""),0
)"),0)</f>
        <v>0</v>
      </c>
      <c r="H995" s="6">
        <v>8120</v>
      </c>
      <c r="I995" s="6">
        <f t="shared" ca="1" si="0"/>
        <v>8120</v>
      </c>
      <c r="J995" s="6">
        <f ca="1">IFERROR(__xludf.DUMMYFUNCTION("IFERROR(GOOGLEFINANCE(B995, ""volume""), 0)"),0)</f>
        <v>0</v>
      </c>
      <c r="K995" s="6">
        <v>-0.37</v>
      </c>
      <c r="L995" s="6">
        <f ca="1">IFERROR(__xludf.DUMMYFUNCTION("IFERROR(GOOGLEFINANCE(B995,""changepct""),K995)"),-0.37)</f>
        <v>-0.37</v>
      </c>
      <c r="M995" s="6">
        <f ca="1">IFERROR(__xludf.DUMMYFUNCTION("IFERROR(GOOGLEFINANCE(B995,""change""),0)"),0)</f>
        <v>0</v>
      </c>
      <c r="N995" s="6">
        <v>1</v>
      </c>
      <c r="O995" s="7">
        <v>45536</v>
      </c>
      <c r="P995" s="6">
        <v>40.24</v>
      </c>
      <c r="Q995" s="6">
        <v>720.5</v>
      </c>
      <c r="R995" s="7">
        <v>45536</v>
      </c>
      <c r="S995" s="6">
        <v>1079.43</v>
      </c>
      <c r="T995" s="6">
        <v>26.31</v>
      </c>
      <c r="U995" s="7">
        <v>45536</v>
      </c>
      <c r="V995" s="6">
        <v>26.72</v>
      </c>
      <c r="W995" s="6">
        <f ca="1">IFERROR(__xludf.DUMMYFUNCTION("IFERROR(GOOGLEFINANCE(B995,""pe""),V995)"),26.72)</f>
        <v>26.72</v>
      </c>
      <c r="X995" s="6">
        <v>0.19</v>
      </c>
      <c r="Y995" s="6">
        <v>13.91</v>
      </c>
      <c r="Z995" s="6">
        <v>1</v>
      </c>
      <c r="AA995" s="8">
        <v>45352</v>
      </c>
      <c r="AB995" s="4">
        <v>1.44</v>
      </c>
      <c r="AC995" s="6">
        <v>51.58</v>
      </c>
      <c r="AD995" s="6">
        <v>44.85</v>
      </c>
      <c r="AE995" s="1">
        <v>0</v>
      </c>
      <c r="AF995" s="1">
        <f ca="1">IFERROR(__xludf.DUMMYFUNCTION("IFERROR(GOOGLEFINANCE(TRIM(F995)&amp;"":"" &amp; TRIM(B995),""high52""),AE995)"),0)</f>
        <v>0</v>
      </c>
      <c r="AG995" s="1">
        <v>0</v>
      </c>
      <c r="AH995" s="1">
        <f ca="1">IFERROR(__xludf.DUMMYFUNCTION("IFERROR(GOOGLEFINANCE(TRIM(F995)&amp;"":"" &amp; TRIM(B995),""low52""),AE995)"),0)</f>
        <v>0</v>
      </c>
      <c r="AI995" s="1">
        <f ca="1">IFERROR(__xludf.DUMMYFUNCTION("IFERROR(GOOGLEFINANCE(B995,""eps""),0)"),0)</f>
        <v>0</v>
      </c>
      <c r="AJ995" s="1"/>
      <c r="AK995" s="1" t="s">
        <v>3032</v>
      </c>
      <c r="AL995" s="9">
        <f t="shared" si="150"/>
        <v>1</v>
      </c>
    </row>
    <row r="996" spans="1:38" ht="15" x14ac:dyDescent="0.25">
      <c r="A996" s="1" t="s">
        <v>3033</v>
      </c>
      <c r="B996" s="1" t="s">
        <v>3034</v>
      </c>
      <c r="C996" s="1" t="s">
        <v>90</v>
      </c>
      <c r="D996" s="1" t="s">
        <v>90</v>
      </c>
      <c r="E996" s="6">
        <v>16763.16</v>
      </c>
      <c r="F996" s="1" t="s">
        <v>40</v>
      </c>
      <c r="G996" s="6">
        <f ca="1">IFERROR(__xludf.DUMMYFUNCTION("iferror(GOOGLEFINANCE(TRIM(F996)&amp;"":"" &amp; TRIM(B996), ""price""),0
)"),4845)</f>
        <v>4845</v>
      </c>
      <c r="H996" s="6">
        <v>3521.35</v>
      </c>
      <c r="I996" s="6">
        <f t="shared" ca="1" si="0"/>
        <v>4845</v>
      </c>
      <c r="J996" s="6">
        <f ca="1">IFERROR(__xludf.DUMMYFUNCTION("IFERROR(GOOGLEFINANCE(B996, ""volume""), 0)"),157449)</f>
        <v>157449</v>
      </c>
      <c r="K996" s="6">
        <v>0.12</v>
      </c>
      <c r="L996" s="6">
        <f ca="1">IFERROR(__xludf.DUMMYFUNCTION("IFERROR(GOOGLEFINANCE(B996,""changepct""),K996)"),4.33)</f>
        <v>4.33</v>
      </c>
      <c r="M996" s="6">
        <f ca="1">IFERROR(__xludf.DUMMYFUNCTION("IFERROR(GOOGLEFINANCE(B996,""change""),0)"),201)</f>
        <v>201</v>
      </c>
      <c r="N996" s="6">
        <v>2</v>
      </c>
      <c r="O996" s="7">
        <v>45536</v>
      </c>
      <c r="P996" s="9"/>
      <c r="Q996" s="6">
        <v>16239.61</v>
      </c>
      <c r="R996" s="7">
        <v>45536</v>
      </c>
      <c r="S996" s="6">
        <v>3133.05</v>
      </c>
      <c r="T996" s="6">
        <v>520.5</v>
      </c>
      <c r="U996" s="7">
        <v>45536</v>
      </c>
      <c r="V996" s="6">
        <v>32.17</v>
      </c>
      <c r="W996" s="6">
        <f ca="1">IFERROR(__xludf.DUMMYFUNCTION("IFERROR(GOOGLEFINANCE(B996,""pe""),V996)"),34.79)</f>
        <v>34.79</v>
      </c>
      <c r="X996" s="6">
        <v>1.83</v>
      </c>
      <c r="Y996" s="6">
        <v>8.18</v>
      </c>
      <c r="Z996" s="6">
        <v>2</v>
      </c>
      <c r="AA996" s="8">
        <v>45352</v>
      </c>
      <c r="AB996" s="4">
        <v>0</v>
      </c>
      <c r="AC996" s="6">
        <v>26.13</v>
      </c>
      <c r="AD996" s="6">
        <v>36.020000000000003</v>
      </c>
      <c r="AE996" s="1">
        <v>0</v>
      </c>
      <c r="AF996" s="1">
        <f ca="1">IFERROR(__xludf.DUMMYFUNCTION("IFERROR(GOOGLEFINANCE(TRIM(F996)&amp;"":"" &amp; TRIM(B996),""high52""),AE996)"),4959)</f>
        <v>4959</v>
      </c>
      <c r="AG996" s="1">
        <v>0</v>
      </c>
      <c r="AH996" s="1">
        <f ca="1">IFERROR(__xludf.DUMMYFUNCTION("IFERROR(GOOGLEFINANCE(TRIM(F996)&amp;"":"" &amp; TRIM(B996),""low52""),AE996)"),2168)</f>
        <v>2168</v>
      </c>
      <c r="AI996" s="1">
        <f ca="1">IFERROR(__xludf.DUMMYFUNCTION("IFERROR(GOOGLEFINANCE(B996,""eps""),0)"),139.28)</f>
        <v>139.28</v>
      </c>
      <c r="AJ996" s="1"/>
      <c r="AK996" s="1" t="s">
        <v>3035</v>
      </c>
      <c r="AL996" s="1" t="b">
        <f t="shared" ref="AL996:AL997" si="151">ISNUMBER(AA996)</f>
        <v>1</v>
      </c>
    </row>
    <row r="997" spans="1:38" ht="15" x14ac:dyDescent="0.25">
      <c r="A997" s="1" t="s">
        <v>3036</v>
      </c>
      <c r="B997" s="1" t="s">
        <v>3037</v>
      </c>
      <c r="C997" s="1" t="s">
        <v>223</v>
      </c>
      <c r="D997" s="1" t="s">
        <v>223</v>
      </c>
      <c r="E997" s="6">
        <v>1731</v>
      </c>
      <c r="F997" s="1" t="s">
        <v>40</v>
      </c>
      <c r="G997" s="6">
        <f ca="1">IFERROR(__xludf.DUMMYFUNCTION("iferror(GOOGLEFINANCE(TRIM(F997)&amp;"":"" &amp; TRIM(B997), ""price""),0
)"),191.97)</f>
        <v>191.97</v>
      </c>
      <c r="H997" s="6">
        <v>291.5</v>
      </c>
      <c r="I997" s="6">
        <f t="shared" ca="1" si="0"/>
        <v>191.97</v>
      </c>
      <c r="J997" s="6">
        <f ca="1">IFERROR(__xludf.DUMMYFUNCTION("IFERROR(GOOGLEFINANCE(B997, ""volume""), 0)"),99901)</f>
        <v>99901</v>
      </c>
      <c r="K997" s="6">
        <v>1.1100000000000001</v>
      </c>
      <c r="L997" s="6">
        <f ca="1">IFERROR(__xludf.DUMMYFUNCTION("IFERROR(GOOGLEFINANCE(B997,""changepct""),K997)"),-2.36)</f>
        <v>-2.36</v>
      </c>
      <c r="M997" s="6">
        <f ca="1">IFERROR(__xludf.DUMMYFUNCTION("IFERROR(GOOGLEFINANCE(B997,""change""),0)"),-4.63)</f>
        <v>-4.63</v>
      </c>
      <c r="N997" s="6">
        <v>2</v>
      </c>
      <c r="O997" s="7">
        <v>45536</v>
      </c>
      <c r="P997" s="6">
        <v>11.53</v>
      </c>
      <c r="Q997" s="6">
        <v>1699.62</v>
      </c>
      <c r="R997" s="14"/>
      <c r="S997" s="9"/>
      <c r="T997" s="9"/>
      <c r="U997" s="7">
        <v>45352</v>
      </c>
      <c r="V997" s="6">
        <v>27.68</v>
      </c>
      <c r="W997" s="6">
        <f ca="1">IFERROR(__xludf.DUMMYFUNCTION("IFERROR(GOOGLEFINANCE(B997,""pe""),V997)"),19.61)</f>
        <v>19.61</v>
      </c>
      <c r="X997" s="9"/>
      <c r="Y997" s="6">
        <v>9.07</v>
      </c>
      <c r="Z997" s="6">
        <v>2</v>
      </c>
      <c r="AA997" s="8">
        <v>45352</v>
      </c>
      <c r="AB997" s="4">
        <v>0.12</v>
      </c>
      <c r="AC997" s="6">
        <v>42.75</v>
      </c>
      <c r="AD997" s="6">
        <v>49.02</v>
      </c>
      <c r="AE997" s="1">
        <v>0</v>
      </c>
      <c r="AF997" s="1">
        <f ca="1">IFERROR(__xludf.DUMMYFUNCTION("IFERROR(GOOGLEFINANCE(TRIM(F997)&amp;"":"" &amp; TRIM(B997),""high52""),AE997)"),358.4)</f>
        <v>358.4</v>
      </c>
      <c r="AG997" s="1">
        <v>0</v>
      </c>
      <c r="AH997" s="1">
        <f ca="1">IFERROR(__xludf.DUMMYFUNCTION("IFERROR(GOOGLEFINANCE(TRIM(F997)&amp;"":"" &amp; TRIM(B997),""low52""),AE997)"),165)</f>
        <v>165</v>
      </c>
      <c r="AI997" s="1">
        <f ca="1">IFERROR(__xludf.DUMMYFUNCTION("IFERROR(GOOGLEFINANCE(B997,""eps""),0)"),9.79)</f>
        <v>9.7899999999999991</v>
      </c>
      <c r="AJ997" s="1"/>
      <c r="AK997" s="1" t="s">
        <v>3038</v>
      </c>
      <c r="AL997" s="1" t="b">
        <f t="shared" si="151"/>
        <v>1</v>
      </c>
    </row>
    <row r="998" spans="1:38" ht="15" x14ac:dyDescent="0.25">
      <c r="A998" s="1" t="s">
        <v>3039</v>
      </c>
      <c r="B998" s="1" t="s">
        <v>3040</v>
      </c>
      <c r="C998" s="1" t="s">
        <v>324</v>
      </c>
      <c r="D998" s="1" t="s">
        <v>324</v>
      </c>
      <c r="E998" s="6">
        <v>128.26</v>
      </c>
      <c r="F998" s="1" t="s">
        <v>53</v>
      </c>
      <c r="G998" s="6">
        <f ca="1">IFERROR(__xludf.DUMMYFUNCTION("iferror(GOOGLEFINANCE(TRIM(F998)&amp;"":"" &amp; TRIM(B998), ""price""),0
)"),0)</f>
        <v>0</v>
      </c>
      <c r="H998" s="6">
        <v>61.5</v>
      </c>
      <c r="I998" s="6">
        <f t="shared" ca="1" si="0"/>
        <v>61.5</v>
      </c>
      <c r="J998" s="6">
        <f ca="1">IFERROR(__xludf.DUMMYFUNCTION("IFERROR(GOOGLEFINANCE(B998, ""volume""), 0)"),0)</f>
        <v>0</v>
      </c>
      <c r="K998" s="6">
        <v>-2.0699999999999998</v>
      </c>
      <c r="L998" s="6">
        <f ca="1">IFERROR(__xludf.DUMMYFUNCTION("IFERROR(GOOGLEFINANCE(B998,""changepct""),K998)"),-2.07)</f>
        <v>-2.0699999999999998</v>
      </c>
      <c r="M998" s="6">
        <f ca="1">IFERROR(__xludf.DUMMYFUNCTION("IFERROR(GOOGLEFINANCE(B998,""change""),0)"),0)</f>
        <v>0</v>
      </c>
      <c r="N998" s="6">
        <v>1</v>
      </c>
      <c r="O998" s="7">
        <v>45536</v>
      </c>
      <c r="P998" s="6">
        <v>0.85</v>
      </c>
      <c r="Q998" s="6">
        <v>128.22999999999999</v>
      </c>
      <c r="R998" s="7">
        <v>45536</v>
      </c>
      <c r="S998" s="6">
        <v>132.55000000000001</v>
      </c>
      <c r="T998" s="6">
        <v>10.5</v>
      </c>
      <c r="U998" s="7">
        <v>45536</v>
      </c>
      <c r="V998" s="6">
        <v>12.21</v>
      </c>
      <c r="W998" s="6">
        <f ca="1">IFERROR(__xludf.DUMMYFUNCTION("IFERROR(GOOGLEFINANCE(B998,""pe""),V998)"),12.21)</f>
        <v>12.21</v>
      </c>
      <c r="X998" s="6">
        <v>1.48</v>
      </c>
      <c r="Y998" s="6">
        <v>1.88</v>
      </c>
      <c r="Z998" s="6">
        <v>1</v>
      </c>
      <c r="AA998" s="8">
        <v>45352</v>
      </c>
      <c r="AB998" s="4">
        <v>0.09</v>
      </c>
      <c r="AC998" s="6">
        <v>17.149999999999999</v>
      </c>
      <c r="AD998" s="6">
        <v>18.440000000000001</v>
      </c>
      <c r="AE998" s="1">
        <v>0</v>
      </c>
      <c r="AF998" s="1">
        <f ca="1">IFERROR(__xludf.DUMMYFUNCTION("IFERROR(GOOGLEFINANCE(TRIM(F998)&amp;"":"" &amp; TRIM(B998),""high52""),AE998)"),0)</f>
        <v>0</v>
      </c>
      <c r="AG998" s="1">
        <v>0</v>
      </c>
      <c r="AH998" s="1">
        <f ca="1">IFERROR(__xludf.DUMMYFUNCTION("IFERROR(GOOGLEFINANCE(TRIM(F998)&amp;"":"" &amp; TRIM(B998),""low52""),AE998)"),0)</f>
        <v>0</v>
      </c>
      <c r="AI998" s="1">
        <f ca="1">IFERROR(__xludf.DUMMYFUNCTION("IFERROR(GOOGLEFINANCE(B998,""eps""),0)"),0)</f>
        <v>0</v>
      </c>
      <c r="AJ998" s="1"/>
      <c r="AK998" s="1" t="s">
        <v>3041</v>
      </c>
      <c r="AL998" s="9">
        <f t="shared" ref="AL998:AL1001" si="152">IF(AA998&lt;&gt;AB998,1,0)</f>
        <v>1</v>
      </c>
    </row>
    <row r="999" spans="1:38" ht="15" x14ac:dyDescent="0.25">
      <c r="A999" s="1" t="s">
        <v>3042</v>
      </c>
      <c r="B999" s="1" t="s">
        <v>3043</v>
      </c>
      <c r="C999" s="1" t="s">
        <v>208</v>
      </c>
      <c r="D999" s="1" t="s">
        <v>208</v>
      </c>
      <c r="E999" s="6">
        <v>11954.43</v>
      </c>
      <c r="F999" s="1" t="s">
        <v>40</v>
      </c>
      <c r="G999" s="6">
        <f ca="1">IFERROR(__xludf.DUMMYFUNCTION("iferror(GOOGLEFINANCE(TRIM(F999)&amp;"":"" &amp; TRIM(B999), ""price""),0
)"),103.6)</f>
        <v>103.6</v>
      </c>
      <c r="H999" s="6">
        <v>127.23</v>
      </c>
      <c r="I999" s="6">
        <f t="shared" ca="1" si="0"/>
        <v>103.6</v>
      </c>
      <c r="J999" s="6">
        <f ca="1">IFERROR(__xludf.DUMMYFUNCTION("IFERROR(GOOGLEFINANCE(B999, ""volume""), 0)"),2279760)</f>
        <v>2279760</v>
      </c>
      <c r="K999" s="6">
        <v>0.62</v>
      </c>
      <c r="L999" s="6">
        <f ca="1">IFERROR(__xludf.DUMMYFUNCTION("IFERROR(GOOGLEFINANCE(B999,""changepct""),K999)"),1.36)</f>
        <v>1.36</v>
      </c>
      <c r="M999" s="6">
        <f ca="1">IFERROR(__xludf.DUMMYFUNCTION("IFERROR(GOOGLEFINANCE(B999,""change""),0)"),1.39)</f>
        <v>1.39</v>
      </c>
      <c r="N999" s="6">
        <v>2</v>
      </c>
      <c r="O999" s="7">
        <v>45536</v>
      </c>
      <c r="P999" s="6">
        <v>577.67999999999995</v>
      </c>
      <c r="Q999" s="7">
        <v>45536</v>
      </c>
      <c r="R999" s="6">
        <v>25.8</v>
      </c>
      <c r="S999" s="6">
        <v>-1.63</v>
      </c>
      <c r="T999" s="6">
        <v>2.37</v>
      </c>
      <c r="U999" s="6">
        <v>2</v>
      </c>
      <c r="V999" s="7">
        <v>45352</v>
      </c>
      <c r="W999" s="6">
        <f ca="1">IFERROR(__xludf.DUMMYFUNCTION("IFERROR(GOOGLEFINANCE(B999,""pe""),V999)"),19.54)</f>
        <v>19.54</v>
      </c>
      <c r="X999" s="6">
        <v>4.29</v>
      </c>
      <c r="Y999" s="6">
        <v>9.26</v>
      </c>
      <c r="Z999" s="6">
        <v>12.05</v>
      </c>
      <c r="AA999" s="3" t="s">
        <v>3044</v>
      </c>
      <c r="AB999" s="3"/>
      <c r="AC999" s="9"/>
      <c r="AD999" s="9"/>
      <c r="AE999" s="1">
        <v>0</v>
      </c>
      <c r="AF999" s="1">
        <f ca="1">IFERROR(__xludf.DUMMYFUNCTION("IFERROR(GOOGLEFINANCE(TRIM(F999)&amp;"":"" &amp; TRIM(B999),""high52""),AE999)"),123.5)</f>
        <v>123.5</v>
      </c>
      <c r="AG999" s="1">
        <v>0</v>
      </c>
      <c r="AH999" s="1">
        <f ca="1">IFERROR(__xludf.DUMMYFUNCTION("IFERROR(GOOGLEFINANCE(TRIM(F999)&amp;"":"" &amp; TRIM(B999),""low52""),AE999)"),73.5)</f>
        <v>73.5</v>
      </c>
      <c r="AI999" s="1">
        <f ca="1">IFERROR(__xludf.DUMMYFUNCTION("IFERROR(GOOGLEFINANCE(B999,""eps""),0)"),5.3)</f>
        <v>5.3</v>
      </c>
      <c r="AJ999" s="1"/>
      <c r="AK999" s="1" t="s">
        <v>3045</v>
      </c>
      <c r="AL999" s="9">
        <f t="shared" si="152"/>
        <v>1</v>
      </c>
    </row>
    <row r="1000" spans="1:38" ht="15" x14ac:dyDescent="0.25">
      <c r="A1000" s="1" t="s">
        <v>3046</v>
      </c>
      <c r="B1000" s="1" t="s">
        <v>3047</v>
      </c>
      <c r="C1000" s="1" t="s">
        <v>835</v>
      </c>
      <c r="D1000" s="1" t="s">
        <v>835</v>
      </c>
      <c r="E1000" s="6">
        <v>24.98</v>
      </c>
      <c r="F1000" s="1" t="s">
        <v>40</v>
      </c>
      <c r="G1000" s="6">
        <f ca="1">IFERROR(__xludf.DUMMYFUNCTION("iferror(GOOGLEFINANCE(TRIM(F1000)&amp;"":"" &amp; TRIM(B1000), ""price""),0
)"),1)</f>
        <v>1</v>
      </c>
      <c r="H1000" s="6">
        <v>1.99</v>
      </c>
      <c r="I1000" s="6">
        <f t="shared" ca="1" si="0"/>
        <v>1</v>
      </c>
      <c r="J1000" s="6">
        <f ca="1">IFERROR(__xludf.DUMMYFUNCTION("IFERROR(GOOGLEFINANCE(B1000, ""volume""), 0)"),85718)</f>
        <v>85718</v>
      </c>
      <c r="K1000" s="9"/>
      <c r="L1000" s="6">
        <f ca="1">IFERROR(__xludf.DUMMYFUNCTION("IFERROR(GOOGLEFINANCE(B1000,""changepct""),K1000)"),-4.76)</f>
        <v>-4.76</v>
      </c>
      <c r="M1000" s="6">
        <f ca="1">IFERROR(__xludf.DUMMYFUNCTION("IFERROR(GOOGLEFINANCE(B1000,""change""),0)"),-0.05)</f>
        <v>-0.05</v>
      </c>
      <c r="N1000" s="6">
        <v>1</v>
      </c>
      <c r="O1000" s="7">
        <v>45352</v>
      </c>
      <c r="P1000" s="6">
        <v>2656.66</v>
      </c>
      <c r="Q1000" s="6">
        <v>2670.3</v>
      </c>
      <c r="R1000" s="7">
        <v>45444</v>
      </c>
      <c r="S1000" s="6">
        <v>4.04</v>
      </c>
      <c r="T1000" s="6">
        <v>-34.36</v>
      </c>
      <c r="U1000" s="7">
        <v>45444</v>
      </c>
      <c r="V1000" s="6">
        <v>0</v>
      </c>
      <c r="W1000" s="6">
        <f ca="1">IFERROR(__xludf.DUMMYFUNCTION("IFERROR(GOOGLEFINANCE(B1000,""pe""),V1000)"),0)</f>
        <v>0</v>
      </c>
      <c r="X1000" s="6">
        <v>0</v>
      </c>
      <c r="Y1000" s="6">
        <v>-0.01</v>
      </c>
      <c r="Z1000" s="6">
        <v>2</v>
      </c>
      <c r="AA1000" s="8">
        <v>44986</v>
      </c>
      <c r="AB1000" s="4">
        <v>-0.88</v>
      </c>
      <c r="AC1000" s="6">
        <v>0</v>
      </c>
      <c r="AD1000" s="6">
        <v>0</v>
      </c>
      <c r="AE1000" s="1">
        <v>0</v>
      </c>
      <c r="AF1000" s="1">
        <f ca="1">IFERROR(__xludf.DUMMYFUNCTION("IFERROR(GOOGLEFINANCE(TRIM(F1000)&amp;"":"" &amp; TRIM(B1000),""high52""),AE1000)"),2.07)</f>
        <v>2.0699999999999998</v>
      </c>
      <c r="AG1000" s="1">
        <v>0</v>
      </c>
      <c r="AH1000" s="1">
        <f ca="1">IFERROR(__xludf.DUMMYFUNCTION("IFERROR(GOOGLEFINANCE(TRIM(F1000)&amp;"":"" &amp; TRIM(B1000),""low52""),AE1000)"),1)</f>
        <v>1</v>
      </c>
      <c r="AI1000" s="1">
        <f ca="1">IFERROR(__xludf.DUMMYFUNCTION("IFERROR(GOOGLEFINANCE(B1000,""eps""),0)"),-2.62)</f>
        <v>-2.62</v>
      </c>
      <c r="AJ1000" s="1"/>
      <c r="AK1000" s="1" t="s">
        <v>3048</v>
      </c>
      <c r="AL1000" s="9">
        <f t="shared" si="152"/>
        <v>1</v>
      </c>
    </row>
    <row r="1001" spans="1:38" ht="15" x14ac:dyDescent="0.25">
      <c r="A1001" s="1" t="s">
        <v>3049</v>
      </c>
      <c r="B1001" s="1" t="s">
        <v>3050</v>
      </c>
      <c r="C1001" s="1" t="s">
        <v>86</v>
      </c>
      <c r="D1001" s="1" t="s">
        <v>86</v>
      </c>
      <c r="E1001" s="6">
        <v>590.25</v>
      </c>
      <c r="F1001" s="1" t="s">
        <v>40</v>
      </c>
      <c r="G1001" s="6">
        <f ca="1">IFERROR(__xludf.DUMMYFUNCTION("iferror(GOOGLEFINANCE(TRIM(F1001)&amp;"":"" &amp; TRIM(B1001), ""price""),0
)"),0)</f>
        <v>0</v>
      </c>
      <c r="H1001" s="6">
        <v>255</v>
      </c>
      <c r="I1001" s="6">
        <f t="shared" ca="1" si="0"/>
        <v>255</v>
      </c>
      <c r="J1001" s="6">
        <f ca="1">IFERROR(__xludf.DUMMYFUNCTION("IFERROR(GOOGLEFINANCE(B1001, ""volume""), 0)"),0)</f>
        <v>0</v>
      </c>
      <c r="K1001" s="6">
        <v>0</v>
      </c>
      <c r="L1001" s="6">
        <f ca="1">IFERROR(__xludf.DUMMYFUNCTION("IFERROR(GOOGLEFINANCE(B1001,""changepct""),K1001)"),0)</f>
        <v>0</v>
      </c>
      <c r="M1001" s="6">
        <f ca="1">IFERROR(__xludf.DUMMYFUNCTION("IFERROR(GOOGLEFINANCE(B1001,""change""),0)"),0)</f>
        <v>0</v>
      </c>
      <c r="N1001" s="6">
        <v>1</v>
      </c>
      <c r="O1001" s="7">
        <v>45536</v>
      </c>
      <c r="P1001" s="6">
        <v>20</v>
      </c>
      <c r="Q1001" s="6">
        <v>610.25</v>
      </c>
      <c r="R1001" s="14"/>
      <c r="S1001" s="9"/>
      <c r="T1001" s="9"/>
      <c r="U1001" s="7">
        <v>45352</v>
      </c>
      <c r="V1001" s="6">
        <v>42.77</v>
      </c>
      <c r="W1001" s="6">
        <f ca="1">IFERROR(__xludf.DUMMYFUNCTION("IFERROR(GOOGLEFINANCE(B1001,""pe""),V1001)"),42.77)</f>
        <v>42.77</v>
      </c>
      <c r="X1001" s="12"/>
      <c r="Y1001" s="6">
        <v>6.75</v>
      </c>
      <c r="Z1001" s="6">
        <v>1</v>
      </c>
      <c r="AA1001" s="8">
        <v>45352</v>
      </c>
      <c r="AB1001" s="4">
        <v>0.38</v>
      </c>
      <c r="AC1001" s="6">
        <v>45.46</v>
      </c>
      <c r="AD1001" s="6">
        <v>45.72</v>
      </c>
      <c r="AE1001" s="1">
        <v>0</v>
      </c>
      <c r="AF1001" s="1">
        <f ca="1">IFERROR(__xludf.DUMMYFUNCTION("IFERROR(GOOGLEFINANCE(TRIM(F1001)&amp;"":"" &amp; TRIM(B1001),""high52""),AE1001)"),0)</f>
        <v>0</v>
      </c>
      <c r="AG1001" s="1">
        <v>0</v>
      </c>
      <c r="AH1001" s="1">
        <f ca="1">IFERROR(__xludf.DUMMYFUNCTION("IFERROR(GOOGLEFINANCE(TRIM(F1001)&amp;"":"" &amp; TRIM(B1001),""low52""),AE1001)"),0)</f>
        <v>0</v>
      </c>
      <c r="AI1001" s="1">
        <f ca="1">IFERROR(__xludf.DUMMYFUNCTION("IFERROR(GOOGLEFINANCE(B1001,""eps""),0)"),0)</f>
        <v>0</v>
      </c>
      <c r="AJ1001" s="1"/>
      <c r="AK1001" s="9"/>
      <c r="AL1001" s="9">
        <f t="shared" si="152"/>
        <v>1</v>
      </c>
    </row>
    <row r="1002" spans="1:38" ht="15" x14ac:dyDescent="0.25">
      <c r="A1002" s="1" t="s">
        <v>3051</v>
      </c>
      <c r="B1002" s="1" t="s">
        <v>3052</v>
      </c>
      <c r="C1002" s="1" t="s">
        <v>669</v>
      </c>
      <c r="D1002" s="1" t="s">
        <v>669</v>
      </c>
      <c r="E1002" s="6">
        <v>145506.79999999999</v>
      </c>
      <c r="F1002" s="1" t="s">
        <v>40</v>
      </c>
      <c r="G1002" s="6">
        <f ca="1">IFERROR(__xludf.DUMMYFUNCTION("iferror(GOOGLEFINANCE(TRIM(F1002)&amp;"":"" &amp; TRIM(B1002), ""price""),0
)"),6982)</f>
        <v>6982</v>
      </c>
      <c r="H1002" s="6">
        <v>5293.35</v>
      </c>
      <c r="I1002" s="6">
        <f t="shared" ca="1" si="0"/>
        <v>6982</v>
      </c>
      <c r="J1002" s="6">
        <f ca="1">IFERROR(__xludf.DUMMYFUNCTION("IFERROR(GOOGLEFINANCE(B1002, ""volume""), 0)"),490854)</f>
        <v>490854</v>
      </c>
      <c r="K1002" s="6">
        <v>-0.28000000000000003</v>
      </c>
      <c r="L1002" s="6">
        <f ca="1">IFERROR(__xludf.DUMMYFUNCTION("IFERROR(GOOGLEFINANCE(B1002,""changepct""),K1002)"),1.34)</f>
        <v>1.34</v>
      </c>
      <c r="M1002" s="6">
        <f ca="1">IFERROR(__xludf.DUMMYFUNCTION("IFERROR(GOOGLEFINANCE(B1002,""change""),0)"),92.5)</f>
        <v>92.5</v>
      </c>
      <c r="N1002" s="6">
        <v>2</v>
      </c>
      <c r="O1002" s="7">
        <v>45536</v>
      </c>
      <c r="P1002" s="6">
        <v>263.81</v>
      </c>
      <c r="Q1002" s="6">
        <v>145562.70000000001</v>
      </c>
      <c r="R1002" s="7">
        <v>45536</v>
      </c>
      <c r="S1002" s="6">
        <v>17091</v>
      </c>
      <c r="T1002" s="6">
        <v>3734.24</v>
      </c>
      <c r="U1002" s="7">
        <v>45536</v>
      </c>
      <c r="V1002" s="6">
        <v>34.090000000000003</v>
      </c>
      <c r="W1002" s="6">
        <f ca="1">IFERROR(__xludf.DUMMYFUNCTION("IFERROR(GOOGLEFINANCE(B1002,""pe""),V1002)"),37.55)</f>
        <v>37.549999999999997</v>
      </c>
      <c r="X1002" s="6">
        <v>2.69</v>
      </c>
      <c r="Y1002" s="6">
        <v>7.67</v>
      </c>
      <c r="Z1002" s="6">
        <v>2</v>
      </c>
      <c r="AA1002" s="8">
        <v>45352</v>
      </c>
      <c r="AB1002" s="4">
        <v>0.02</v>
      </c>
      <c r="AC1002" s="6">
        <v>24.32</v>
      </c>
      <c r="AD1002" s="6">
        <v>31.35</v>
      </c>
      <c r="AE1002" s="1">
        <v>0</v>
      </c>
      <c r="AF1002" s="1">
        <f ca="1">IFERROR(__xludf.DUMMYFUNCTION("IFERROR(GOOGLEFINANCE(TRIM(F1002)&amp;"":"" &amp; TRIM(B1002),""high52""),AE1002)"),7613.5)</f>
        <v>7613.5</v>
      </c>
      <c r="AG1002" s="1">
        <v>0</v>
      </c>
      <c r="AH1002" s="1">
        <f ca="1">IFERROR(__xludf.DUMMYFUNCTION("IFERROR(GOOGLEFINANCE(TRIM(F1002)&amp;"":"" &amp; TRIM(B1002),""low52""),AE1002)"),4646)</f>
        <v>4646</v>
      </c>
      <c r="AI1002" s="1">
        <f ca="1">IFERROR(__xludf.DUMMYFUNCTION("IFERROR(GOOGLEFINANCE(B1002,""eps""),0)"),185.93)</f>
        <v>185.93</v>
      </c>
      <c r="AJ1002" s="1"/>
      <c r="AK1002" s="1" t="s">
        <v>3053</v>
      </c>
      <c r="AL1002" s="1" t="b">
        <f>ISNUMBER(AA1002)</f>
        <v>1</v>
      </c>
    </row>
    <row r="1003" spans="1:38" ht="15" x14ac:dyDescent="0.25">
      <c r="A1003" s="1" t="s">
        <v>3054</v>
      </c>
      <c r="B1003" s="1" t="s">
        <v>3055</v>
      </c>
      <c r="C1003" s="1" t="s">
        <v>410</v>
      </c>
      <c r="D1003" s="1" t="s">
        <v>410</v>
      </c>
      <c r="E1003" s="6">
        <v>2672.67</v>
      </c>
      <c r="F1003" s="1" t="s">
        <v>40</v>
      </c>
      <c r="G1003" s="6">
        <f ca="1">IFERROR(__xludf.DUMMYFUNCTION("iferror(GOOGLEFINANCE(TRIM(F1003)&amp;"":"" &amp; TRIM(B1003), ""price""),0
)"),331)</f>
        <v>331</v>
      </c>
      <c r="H1003" s="6">
        <v>441.6</v>
      </c>
      <c r="I1003" s="6">
        <f t="shared" ca="1" si="0"/>
        <v>331</v>
      </c>
      <c r="J1003" s="6">
        <f ca="1">IFERROR(__xludf.DUMMYFUNCTION("IFERROR(GOOGLEFINANCE(B1003, ""volume""), 0)"),10471)</f>
        <v>10471</v>
      </c>
      <c r="K1003" s="6">
        <v>0.67</v>
      </c>
      <c r="L1003" s="6">
        <f ca="1">IFERROR(__xludf.DUMMYFUNCTION("IFERROR(GOOGLEFINANCE(B1003,""changepct""),K1003)"),-0.56)</f>
        <v>-0.56000000000000005</v>
      </c>
      <c r="M1003" s="6">
        <f ca="1">IFERROR(__xludf.DUMMYFUNCTION("IFERROR(GOOGLEFINANCE(B1003,""change""),0)"),-1.85)</f>
        <v>-1.85</v>
      </c>
      <c r="N1003" s="6">
        <v>1</v>
      </c>
      <c r="O1003" s="7">
        <v>45536</v>
      </c>
      <c r="P1003" s="9"/>
      <c r="Q1003" s="6">
        <v>2625.27</v>
      </c>
      <c r="R1003" s="7">
        <v>45536</v>
      </c>
      <c r="S1003" s="6">
        <v>394.47</v>
      </c>
      <c r="T1003" s="6">
        <v>80.349999999999994</v>
      </c>
      <c r="U1003" s="7">
        <v>45536</v>
      </c>
      <c r="V1003" s="6">
        <v>33.26</v>
      </c>
      <c r="W1003" s="6">
        <f ca="1">IFERROR(__xludf.DUMMYFUNCTION("IFERROR(GOOGLEFINANCE(B1003,""pe""),V1003)"),21.22)</f>
        <v>21.22</v>
      </c>
      <c r="X1003" s="6">
        <v>2.0299999999999998</v>
      </c>
      <c r="Y1003" s="6">
        <v>5.94</v>
      </c>
      <c r="Z1003" s="6">
        <v>1</v>
      </c>
      <c r="AA1003" s="8">
        <v>45352</v>
      </c>
      <c r="AB1003" s="4">
        <v>0</v>
      </c>
      <c r="AC1003" s="6">
        <v>18.86</v>
      </c>
      <c r="AD1003" s="6">
        <v>25.49</v>
      </c>
      <c r="AE1003" s="1">
        <v>0</v>
      </c>
      <c r="AF1003" s="1">
        <f ca="1">IFERROR(__xludf.DUMMYFUNCTION("IFERROR(GOOGLEFINANCE(TRIM(F1003)&amp;"":"" &amp; TRIM(B1003),""high52""),AE1003)"),434.9)</f>
        <v>434.9</v>
      </c>
      <c r="AG1003" s="1">
        <v>0</v>
      </c>
      <c r="AH1003" s="1">
        <f ca="1">IFERROR(__xludf.DUMMYFUNCTION("IFERROR(GOOGLEFINANCE(TRIM(F1003)&amp;"":"" &amp; TRIM(B1003),""low52""),AE1003)"),304)</f>
        <v>304</v>
      </c>
      <c r="AI1003" s="1">
        <f ca="1">IFERROR(__xludf.DUMMYFUNCTION("IFERROR(GOOGLEFINANCE(B1003,""eps""),0)"),15.6)</f>
        <v>15.6</v>
      </c>
      <c r="AJ1003" s="1"/>
      <c r="AK1003" s="1" t="s">
        <v>3056</v>
      </c>
      <c r="AL1003" s="9">
        <f t="shared" ref="AL1003:AL1010" si="153">IF(AA1003&lt;&gt;AB1003,1,0)</f>
        <v>1</v>
      </c>
    </row>
    <row r="1004" spans="1:38" ht="15" x14ac:dyDescent="0.25">
      <c r="A1004" s="1" t="s">
        <v>3057</v>
      </c>
      <c r="B1004" s="1" t="s">
        <v>3058</v>
      </c>
      <c r="C1004" s="1" t="s">
        <v>410</v>
      </c>
      <c r="D1004" s="1" t="s">
        <v>410</v>
      </c>
      <c r="E1004" s="6">
        <v>26878.15</v>
      </c>
      <c r="F1004" s="1" t="s">
        <v>40</v>
      </c>
      <c r="G1004" s="6">
        <f ca="1">IFERROR(__xludf.DUMMYFUNCTION("iferror(GOOGLEFINANCE(TRIM(F1004)&amp;"":"" &amp; TRIM(B1004), ""price""),0
)"),325.55)</f>
        <v>325.55</v>
      </c>
      <c r="H1004" s="6">
        <v>428.65</v>
      </c>
      <c r="I1004" s="6">
        <f t="shared" ca="1" si="0"/>
        <v>325.55</v>
      </c>
      <c r="J1004" s="6">
        <f ca="1">IFERROR(__xludf.DUMMYFUNCTION("IFERROR(GOOGLEFINANCE(B1004, ""volume""), 0)"),250024)</f>
        <v>250024</v>
      </c>
      <c r="K1004" s="6">
        <v>-0.14000000000000001</v>
      </c>
      <c r="L1004" s="6">
        <f ca="1">IFERROR(__xludf.DUMMYFUNCTION("IFERROR(GOOGLEFINANCE(B1004,""changepct""),K1004)"),2.6)</f>
        <v>2.6</v>
      </c>
      <c r="M1004" s="6">
        <f ca="1">IFERROR(__xludf.DUMMYFUNCTION("IFERROR(GOOGLEFINANCE(B1004,""change""),0)"),8.25)</f>
        <v>8.25</v>
      </c>
      <c r="N1004" s="6">
        <v>2</v>
      </c>
      <c r="O1004" s="7">
        <v>45536</v>
      </c>
      <c r="P1004" s="9"/>
      <c r="Q1004" s="6">
        <v>26202.51</v>
      </c>
      <c r="R1004" s="7">
        <v>45536</v>
      </c>
      <c r="S1004" s="6">
        <v>2598.13</v>
      </c>
      <c r="T1004" s="6">
        <v>667.29</v>
      </c>
      <c r="U1004" s="7">
        <v>45536</v>
      </c>
      <c r="V1004" s="6">
        <v>40.46</v>
      </c>
      <c r="W1004" s="6">
        <f ca="1">IFERROR(__xludf.DUMMYFUNCTION("IFERROR(GOOGLEFINANCE(B1004,""pe""),V1004)"),30.61)</f>
        <v>30.61</v>
      </c>
      <c r="X1004" s="6">
        <v>1.37</v>
      </c>
      <c r="Y1004" s="6">
        <v>6.57</v>
      </c>
      <c r="Z1004" s="6">
        <v>2</v>
      </c>
      <c r="AA1004" s="8">
        <v>45352</v>
      </c>
      <c r="AB1004" s="4">
        <v>0</v>
      </c>
      <c r="AC1004" s="6">
        <v>18.53</v>
      </c>
      <c r="AD1004" s="6">
        <v>25.41</v>
      </c>
      <c r="AE1004" s="1">
        <v>0</v>
      </c>
      <c r="AF1004" s="1">
        <f ca="1">IFERROR(__xludf.DUMMYFUNCTION("IFERROR(GOOGLEFINANCE(TRIM(F1004)&amp;"":"" &amp; TRIM(B1004),""high52""),AE1004)"),434.8)</f>
        <v>434.8</v>
      </c>
      <c r="AG1004" s="1">
        <v>0</v>
      </c>
      <c r="AH1004" s="1">
        <f ca="1">IFERROR(__xludf.DUMMYFUNCTION("IFERROR(GOOGLEFINANCE(TRIM(F1004)&amp;"":"" &amp; TRIM(B1004),""low52""),AE1004)"),304.5)</f>
        <v>304.5</v>
      </c>
      <c r="AI1004" s="1">
        <f ca="1">IFERROR(__xludf.DUMMYFUNCTION("IFERROR(GOOGLEFINANCE(B1004,""eps""),0)"),10.63)</f>
        <v>10.63</v>
      </c>
      <c r="AJ1004" s="1"/>
      <c r="AK1004" s="1" t="s">
        <v>3059</v>
      </c>
      <c r="AL1004" s="9">
        <f t="shared" si="153"/>
        <v>1</v>
      </c>
    </row>
    <row r="1005" spans="1:38" ht="15" x14ac:dyDescent="0.25">
      <c r="A1005" s="1" t="s">
        <v>3060</v>
      </c>
      <c r="B1005" s="1" t="s">
        <v>3061</v>
      </c>
      <c r="C1005" s="1" t="s">
        <v>416</v>
      </c>
      <c r="D1005" s="1" t="s">
        <v>416</v>
      </c>
      <c r="E1005" s="6">
        <v>1202.54</v>
      </c>
      <c r="F1005" s="1" t="s">
        <v>40</v>
      </c>
      <c r="G1005" s="6">
        <f ca="1">IFERROR(__xludf.DUMMYFUNCTION("iferror(GOOGLEFINANCE(TRIM(F1005)&amp;"":"" &amp; TRIM(B1005), ""price""),0
)"),1695.2)</f>
        <v>1695.2</v>
      </c>
      <c r="H1005" s="6">
        <v>2096.4499999999998</v>
      </c>
      <c r="I1005" s="6">
        <f t="shared" ca="1" si="0"/>
        <v>1695.2</v>
      </c>
      <c r="J1005" s="6">
        <f ca="1">IFERROR(__xludf.DUMMYFUNCTION("IFERROR(GOOGLEFINANCE(B1005, ""volume""), 0)"),35485)</f>
        <v>35485</v>
      </c>
      <c r="K1005" s="6">
        <v>1.04</v>
      </c>
      <c r="L1005" s="6">
        <f ca="1">IFERROR(__xludf.DUMMYFUNCTION("IFERROR(GOOGLEFINANCE(B1005,""changepct""),K1005)"),-1.72)</f>
        <v>-1.72</v>
      </c>
      <c r="M1005" s="6">
        <f ca="1">IFERROR(__xludf.DUMMYFUNCTION("IFERROR(GOOGLEFINANCE(B1005,""change""),0)"),-29.6)</f>
        <v>-29.6</v>
      </c>
      <c r="N1005" s="6">
        <v>1</v>
      </c>
      <c r="O1005" s="7">
        <v>45536</v>
      </c>
      <c r="P1005" s="6">
        <v>0.51</v>
      </c>
      <c r="Q1005" s="6">
        <v>1202.75</v>
      </c>
      <c r="R1005" s="7">
        <v>45536</v>
      </c>
      <c r="S1005" s="6">
        <v>268.89999999999998</v>
      </c>
      <c r="T1005" s="6">
        <v>50.23</v>
      </c>
      <c r="U1005" s="7">
        <v>45536</v>
      </c>
      <c r="V1005" s="6">
        <v>23.94</v>
      </c>
      <c r="W1005" s="6">
        <f ca="1">IFERROR(__xludf.DUMMYFUNCTION("IFERROR(GOOGLEFINANCE(B1005,""pe""),V1005)"),20.7)</f>
        <v>20.7</v>
      </c>
      <c r="X1005" s="6">
        <v>2.23</v>
      </c>
      <c r="Y1005" s="6">
        <v>2.92</v>
      </c>
      <c r="Z1005" s="6">
        <v>2</v>
      </c>
      <c r="AA1005" s="8">
        <v>45352</v>
      </c>
      <c r="AB1005" s="4">
        <v>0</v>
      </c>
      <c r="AC1005" s="6">
        <v>10.46</v>
      </c>
      <c r="AD1005" s="6">
        <v>13.31</v>
      </c>
      <c r="AE1005" s="1">
        <v>0</v>
      </c>
      <c r="AF1005" s="1">
        <f ca="1">IFERROR(__xludf.DUMMYFUNCTION("IFERROR(GOOGLEFINANCE(TRIM(F1005)&amp;"":"" &amp; TRIM(B1005),""high52""),AE1005)"),3019.9)</f>
        <v>3019.9</v>
      </c>
      <c r="AG1005" s="1">
        <v>0</v>
      </c>
      <c r="AH1005" s="1">
        <f ca="1">IFERROR(__xludf.DUMMYFUNCTION("IFERROR(GOOGLEFINANCE(TRIM(F1005)&amp;"":"" &amp; TRIM(B1005),""low52""),AE1005)"),1301)</f>
        <v>1301</v>
      </c>
      <c r="AI1005" s="1">
        <f ca="1">IFERROR(__xludf.DUMMYFUNCTION("IFERROR(GOOGLEFINANCE(B1005,""eps""),0)"),81.88)</f>
        <v>81.88</v>
      </c>
      <c r="AJ1005" s="1"/>
      <c r="AK1005" s="9"/>
      <c r="AL1005" s="9">
        <f t="shared" si="153"/>
        <v>1</v>
      </c>
    </row>
    <row r="1006" spans="1:38" ht="15" x14ac:dyDescent="0.25">
      <c r="A1006" s="1" t="s">
        <v>3062</v>
      </c>
      <c r="B1006" s="1" t="s">
        <v>3063</v>
      </c>
      <c r="C1006" s="1" t="s">
        <v>487</v>
      </c>
      <c r="D1006" s="1" t="s">
        <v>487</v>
      </c>
      <c r="E1006" s="6">
        <v>869.34</v>
      </c>
      <c r="F1006" s="1" t="s">
        <v>40</v>
      </c>
      <c r="G1006" s="6">
        <f ca="1">IFERROR(__xludf.DUMMYFUNCTION("iferror(GOOGLEFINANCE(TRIM(F1006)&amp;"":"" &amp; TRIM(B1006), ""price""),0
)"),895)</f>
        <v>895</v>
      </c>
      <c r="H1006" s="6">
        <v>891.75</v>
      </c>
      <c r="I1006" s="6">
        <f t="shared" ca="1" si="0"/>
        <v>895</v>
      </c>
      <c r="J1006" s="6">
        <f ca="1">IFERROR(__xludf.DUMMYFUNCTION("IFERROR(GOOGLEFINANCE(B1006, ""volume""), 0)"),951)</f>
        <v>951</v>
      </c>
      <c r="K1006" s="6">
        <v>0.84</v>
      </c>
      <c r="L1006" s="6">
        <f ca="1">IFERROR(__xludf.DUMMYFUNCTION("IFERROR(GOOGLEFINANCE(B1006,""changepct""),K1006)"),0.96)</f>
        <v>0.96</v>
      </c>
      <c r="M1006" s="6">
        <f ca="1">IFERROR(__xludf.DUMMYFUNCTION("IFERROR(GOOGLEFINANCE(B1006,""change""),0)"),8.5)</f>
        <v>8.5</v>
      </c>
      <c r="N1006" s="6">
        <v>2</v>
      </c>
      <c r="O1006" s="7">
        <v>45536</v>
      </c>
      <c r="P1006" s="6">
        <v>101.43</v>
      </c>
      <c r="Q1006" s="6">
        <v>840.87</v>
      </c>
      <c r="R1006" s="7">
        <v>45536</v>
      </c>
      <c r="S1006" s="6">
        <v>133.37</v>
      </c>
      <c r="T1006" s="6">
        <v>32.32</v>
      </c>
      <c r="U1006" s="7">
        <v>45536</v>
      </c>
      <c r="V1006" s="6">
        <v>26.9</v>
      </c>
      <c r="W1006" s="6">
        <f ca="1">IFERROR(__xludf.DUMMYFUNCTION("IFERROR(GOOGLEFINANCE(B1006,""pe""),V1006)"),59.54)</f>
        <v>59.54</v>
      </c>
      <c r="X1006" s="6">
        <v>-17.239999999999998</v>
      </c>
      <c r="Y1006" s="6">
        <v>2.27</v>
      </c>
      <c r="Z1006" s="6">
        <v>2</v>
      </c>
      <c r="AA1006" s="8">
        <v>45352</v>
      </c>
      <c r="AB1006" s="4">
        <v>0.22</v>
      </c>
      <c r="AC1006" s="6">
        <v>9.4700000000000006</v>
      </c>
      <c r="AD1006" s="6">
        <v>12.08</v>
      </c>
      <c r="AE1006" s="1">
        <v>0</v>
      </c>
      <c r="AF1006" s="1">
        <f ca="1">IFERROR(__xludf.DUMMYFUNCTION("IFERROR(GOOGLEFINANCE(TRIM(F1006)&amp;"":"" &amp; TRIM(B1006),""high52""),AE1006)"),1044.1)</f>
        <v>1044.0999999999999</v>
      </c>
      <c r="AG1006" s="1">
        <v>0</v>
      </c>
      <c r="AH1006" s="1">
        <f ca="1">IFERROR(__xludf.DUMMYFUNCTION("IFERROR(GOOGLEFINANCE(TRIM(F1006)&amp;"":"" &amp; TRIM(B1006),""low52""),AE1006)"),658.1)</f>
        <v>658.1</v>
      </c>
      <c r="AI1006" s="1">
        <f ca="1">IFERROR(__xludf.DUMMYFUNCTION("IFERROR(GOOGLEFINANCE(B1006,""eps""),0)"),15.03)</f>
        <v>15.03</v>
      </c>
      <c r="AJ1006" s="1"/>
      <c r="AK1006" s="1" t="s">
        <v>3064</v>
      </c>
      <c r="AL1006" s="9">
        <f t="shared" si="153"/>
        <v>1</v>
      </c>
    </row>
    <row r="1007" spans="1:38" ht="15" x14ac:dyDescent="0.25">
      <c r="A1007" s="1" t="s">
        <v>3065</v>
      </c>
      <c r="B1007" s="1" t="s">
        <v>3066</v>
      </c>
      <c r="C1007" s="1" t="s">
        <v>1019</v>
      </c>
      <c r="D1007" s="1" t="s">
        <v>1019</v>
      </c>
      <c r="E1007" s="6">
        <v>1359.78</v>
      </c>
      <c r="F1007" s="1" t="s">
        <v>53</v>
      </c>
      <c r="G1007" s="6">
        <f ca="1">IFERROR(__xludf.DUMMYFUNCTION("iferror(GOOGLEFINANCE(TRIM(F1007)&amp;"":"" &amp; TRIM(B1007), ""price""),0
)"),0)</f>
        <v>0</v>
      </c>
      <c r="H1007" s="6">
        <v>690</v>
      </c>
      <c r="I1007" s="6">
        <f t="shared" ca="1" si="0"/>
        <v>690</v>
      </c>
      <c r="J1007" s="6">
        <f ca="1">IFERROR(__xludf.DUMMYFUNCTION("IFERROR(GOOGLEFINANCE(B1007, ""volume""), 0)"),119313)</f>
        <v>119313</v>
      </c>
      <c r="K1007" s="6">
        <v>-1.18</v>
      </c>
      <c r="L1007" s="6">
        <f ca="1">IFERROR(__xludf.DUMMYFUNCTION("IFERROR(GOOGLEFINANCE(B1007,""changepct""),K1007)"),0)</f>
        <v>0</v>
      </c>
      <c r="M1007" s="6">
        <f ca="1">IFERROR(__xludf.DUMMYFUNCTION("IFERROR(GOOGLEFINANCE(B1007,""change""),0)"),0)</f>
        <v>0</v>
      </c>
      <c r="N1007" s="6">
        <v>1</v>
      </c>
      <c r="O1007" s="7">
        <v>45536</v>
      </c>
      <c r="P1007" s="6">
        <v>19.96</v>
      </c>
      <c r="Q1007" s="6">
        <v>1379.74</v>
      </c>
      <c r="R1007" s="7">
        <v>45352</v>
      </c>
      <c r="S1007" s="6">
        <v>106.86</v>
      </c>
      <c r="T1007" s="6">
        <v>17.09</v>
      </c>
      <c r="U1007" s="7">
        <v>45352</v>
      </c>
      <c r="V1007" s="6">
        <v>79.58</v>
      </c>
      <c r="W1007" s="6">
        <f ca="1">IFERROR(__xludf.DUMMYFUNCTION("IFERROR(GOOGLEFINANCE(B1007,""pe""),V1007)"),79.58)</f>
        <v>79.58</v>
      </c>
      <c r="X1007" s="9"/>
      <c r="Y1007" s="6">
        <v>10.8</v>
      </c>
      <c r="Z1007" s="6">
        <v>1</v>
      </c>
      <c r="AA1007" s="8">
        <v>45352</v>
      </c>
      <c r="AB1007" s="4">
        <v>0.19</v>
      </c>
      <c r="AC1007" s="6">
        <v>22.64</v>
      </c>
      <c r="AD1007" s="6">
        <v>24.02</v>
      </c>
      <c r="AE1007" s="1">
        <v>0</v>
      </c>
      <c r="AF1007" s="1">
        <f ca="1">IFERROR(__xludf.DUMMYFUNCTION("IFERROR(GOOGLEFINANCE(TRIM(F1007)&amp;"":"" &amp; TRIM(B1007),""high52""),AE1007)"),0)</f>
        <v>0</v>
      </c>
      <c r="AG1007" s="1">
        <v>0</v>
      </c>
      <c r="AH1007" s="1">
        <f ca="1">IFERROR(__xludf.DUMMYFUNCTION("IFERROR(GOOGLEFINANCE(TRIM(F1007)&amp;"":"" &amp; TRIM(B1007),""low52""),AE1007)"),0)</f>
        <v>0</v>
      </c>
      <c r="AI1007" s="1">
        <f ca="1">IFERROR(__xludf.DUMMYFUNCTION("IFERROR(GOOGLEFINANCE(B1007,""eps""),0)"),-0.88)</f>
        <v>-0.88</v>
      </c>
      <c r="AJ1007" s="1"/>
      <c r="AK1007" s="1" t="s">
        <v>3067</v>
      </c>
      <c r="AL1007" s="9">
        <f t="shared" si="153"/>
        <v>1</v>
      </c>
    </row>
    <row r="1008" spans="1:38" ht="15" x14ac:dyDescent="0.25">
      <c r="A1008" s="1" t="s">
        <v>3068</v>
      </c>
      <c r="B1008" s="1" t="s">
        <v>3069</v>
      </c>
      <c r="C1008" s="1" t="s">
        <v>416</v>
      </c>
      <c r="D1008" s="1" t="s">
        <v>416</v>
      </c>
      <c r="E1008" s="6">
        <v>14134.95</v>
      </c>
      <c r="F1008" s="1" t="s">
        <v>40</v>
      </c>
      <c r="G1008" s="6">
        <f ca="1">IFERROR(__xludf.DUMMYFUNCTION("iferror(GOOGLEFINANCE(TRIM(F1008)&amp;"":"" &amp; TRIM(B1008), ""price""),0
)"),403.45)</f>
        <v>403.45</v>
      </c>
      <c r="H1008" s="6">
        <v>632.15</v>
      </c>
      <c r="I1008" s="6">
        <f t="shared" ca="1" si="0"/>
        <v>403.45</v>
      </c>
      <c r="J1008" s="6">
        <f ca="1">IFERROR(__xludf.DUMMYFUNCTION("IFERROR(GOOGLEFINANCE(B1008, ""volume""), 0)"),262809)</f>
        <v>262809</v>
      </c>
      <c r="K1008" s="6">
        <v>0.28999999999999998</v>
      </c>
      <c r="L1008" s="6">
        <f ca="1">IFERROR(__xludf.DUMMYFUNCTION("IFERROR(GOOGLEFINANCE(B1008,""changepct""),K1008)"),2.23)</f>
        <v>2.23</v>
      </c>
      <c r="M1008" s="6">
        <f ca="1">IFERROR(__xludf.DUMMYFUNCTION("IFERROR(GOOGLEFINANCE(B1008,""change""),0)"),8.8)</f>
        <v>8.8000000000000007</v>
      </c>
      <c r="N1008" s="6">
        <v>2</v>
      </c>
      <c r="O1008" s="7">
        <v>45536</v>
      </c>
      <c r="P1008" s="9"/>
      <c r="Q1008" s="6">
        <v>13899.81</v>
      </c>
      <c r="R1008" s="7">
        <v>45536</v>
      </c>
      <c r="S1008" s="6">
        <v>1938.68</v>
      </c>
      <c r="T1008" s="6">
        <v>346.78</v>
      </c>
      <c r="U1008" s="7">
        <v>45536</v>
      </c>
      <c r="V1008" s="6">
        <v>39.799999999999997</v>
      </c>
      <c r="W1008" s="6">
        <f ca="1">IFERROR(__xludf.DUMMYFUNCTION("IFERROR(GOOGLEFINANCE(B1008,""pe""),V1008)"),18.79)</f>
        <v>18.79</v>
      </c>
      <c r="X1008" s="6">
        <v>1.04</v>
      </c>
      <c r="Y1008" s="6">
        <v>8.06</v>
      </c>
      <c r="Z1008" s="6">
        <v>2</v>
      </c>
      <c r="AA1008" s="8">
        <v>45352</v>
      </c>
      <c r="AB1008" s="4">
        <v>0</v>
      </c>
      <c r="AC1008" s="6">
        <v>24.67</v>
      </c>
      <c r="AD1008" s="6">
        <v>32.9</v>
      </c>
      <c r="AE1008" s="1">
        <v>0</v>
      </c>
      <c r="AF1008" s="1">
        <f ca="1">IFERROR(__xludf.DUMMYFUNCTION("IFERROR(GOOGLEFINANCE(TRIM(F1008)&amp;"":"" &amp; TRIM(B1008),""high52""),AE1008)"),716.25)</f>
        <v>716.25</v>
      </c>
      <c r="AG1008" s="1">
        <v>0</v>
      </c>
      <c r="AH1008" s="1">
        <f ca="1">IFERROR(__xludf.DUMMYFUNCTION("IFERROR(GOOGLEFINANCE(TRIM(F1008)&amp;"":"" &amp; TRIM(B1008),""low52""),AE1008)"),361.5)</f>
        <v>361.5</v>
      </c>
      <c r="AI1008" s="1">
        <f ca="1">IFERROR(__xludf.DUMMYFUNCTION("IFERROR(GOOGLEFINANCE(B1008,""eps""),0)"),21.47)</f>
        <v>21.47</v>
      </c>
      <c r="AJ1008" s="1"/>
      <c r="AK1008" s="1" t="s">
        <v>3070</v>
      </c>
      <c r="AL1008" s="9">
        <f t="shared" si="153"/>
        <v>1</v>
      </c>
    </row>
    <row r="1009" spans="1:38" ht="15" x14ac:dyDescent="0.25">
      <c r="A1009" s="1" t="s">
        <v>3071</v>
      </c>
      <c r="B1009" s="1" t="s">
        <v>3072</v>
      </c>
      <c r="C1009" s="1" t="s">
        <v>525</v>
      </c>
      <c r="D1009" s="1" t="s">
        <v>525</v>
      </c>
      <c r="E1009" s="6">
        <v>131.51</v>
      </c>
      <c r="F1009" s="1" t="s">
        <v>40</v>
      </c>
      <c r="G1009" s="6">
        <f ca="1">IFERROR(__xludf.DUMMYFUNCTION("iferror(GOOGLEFINANCE(TRIM(F1009)&amp;"":"" &amp; TRIM(B1009), ""price""),0
)"),0)</f>
        <v>0</v>
      </c>
      <c r="H1009" s="6">
        <v>57.75</v>
      </c>
      <c r="I1009" s="6">
        <f t="shared" ca="1" si="0"/>
        <v>57.75</v>
      </c>
      <c r="J1009" s="6">
        <f ca="1">IFERROR(__xludf.DUMMYFUNCTION("IFERROR(GOOGLEFINANCE(B1009, ""volume""), 0)"),0)</f>
        <v>0</v>
      </c>
      <c r="K1009" s="6">
        <v>2.76</v>
      </c>
      <c r="L1009" s="6">
        <f ca="1">IFERROR(__xludf.DUMMYFUNCTION("IFERROR(GOOGLEFINANCE(B1009,""changepct""),K1009)"),2.76)</f>
        <v>2.76</v>
      </c>
      <c r="M1009" s="6">
        <f ca="1">IFERROR(__xludf.DUMMYFUNCTION("IFERROR(GOOGLEFINANCE(B1009,""change""),0)"),0)</f>
        <v>0</v>
      </c>
      <c r="N1009" s="6">
        <v>1</v>
      </c>
      <c r="O1009" s="7">
        <v>45536</v>
      </c>
      <c r="P1009" s="9"/>
      <c r="Q1009" s="6">
        <v>131.51</v>
      </c>
      <c r="R1009" s="7">
        <v>45352</v>
      </c>
      <c r="S1009" s="6">
        <v>36.44</v>
      </c>
      <c r="T1009" s="6">
        <v>5.75</v>
      </c>
      <c r="U1009" s="7">
        <v>45352</v>
      </c>
      <c r="V1009" s="6">
        <v>22.86</v>
      </c>
      <c r="W1009" s="6">
        <f ca="1">IFERROR(__xludf.DUMMYFUNCTION("IFERROR(GOOGLEFINANCE(B1009,""pe""),V1009)"),22.86)</f>
        <v>22.86</v>
      </c>
      <c r="X1009" s="12"/>
      <c r="Y1009" s="6">
        <v>1.87</v>
      </c>
      <c r="Z1009" s="6">
        <v>1</v>
      </c>
      <c r="AA1009" s="8">
        <v>45352</v>
      </c>
      <c r="AB1009" s="4">
        <v>0</v>
      </c>
      <c r="AC1009" s="6">
        <v>12.99</v>
      </c>
      <c r="AD1009" s="6">
        <v>18.920000000000002</v>
      </c>
      <c r="AE1009" s="1">
        <v>0</v>
      </c>
      <c r="AF1009" s="1">
        <f ca="1">IFERROR(__xludf.DUMMYFUNCTION("IFERROR(GOOGLEFINANCE(TRIM(F1009)&amp;"":"" &amp; TRIM(B1009),""high52""),AE1009)"),0)</f>
        <v>0</v>
      </c>
      <c r="AG1009" s="1">
        <v>0</v>
      </c>
      <c r="AH1009" s="1">
        <f ca="1">IFERROR(__xludf.DUMMYFUNCTION("IFERROR(GOOGLEFINANCE(TRIM(F1009)&amp;"":"" &amp; TRIM(B1009),""low52""),AE1009)"),0)</f>
        <v>0</v>
      </c>
      <c r="AI1009" s="1">
        <f ca="1">IFERROR(__xludf.DUMMYFUNCTION("IFERROR(GOOGLEFINANCE(B1009,""eps""),0)"),0)</f>
        <v>0</v>
      </c>
      <c r="AJ1009" s="1"/>
      <c r="AK1009" s="1" t="s">
        <v>3073</v>
      </c>
      <c r="AL1009" s="9">
        <f t="shared" si="153"/>
        <v>1</v>
      </c>
    </row>
    <row r="1010" spans="1:38" ht="15" x14ac:dyDescent="0.25">
      <c r="A1010" s="1" t="s">
        <v>3074</v>
      </c>
      <c r="B1010" s="1" t="s">
        <v>3075</v>
      </c>
      <c r="C1010" s="1" t="s">
        <v>359</v>
      </c>
      <c r="D1010" s="1" t="s">
        <v>359</v>
      </c>
      <c r="E1010" s="6">
        <v>6275.25</v>
      </c>
      <c r="F1010" s="1" t="s">
        <v>40</v>
      </c>
      <c r="G1010" s="6">
        <f ca="1">IFERROR(__xludf.DUMMYFUNCTION("iferror(GOOGLEFINANCE(TRIM(F1010)&amp;"":"" &amp; TRIM(B1010), ""price""),0
)"),89.52)</f>
        <v>89.52</v>
      </c>
      <c r="H1010" s="6">
        <v>167.02</v>
      </c>
      <c r="I1010" s="6">
        <f t="shared" ca="1" si="0"/>
        <v>89.52</v>
      </c>
      <c r="J1010" s="6">
        <f ca="1">IFERROR(__xludf.DUMMYFUNCTION("IFERROR(GOOGLEFINANCE(B1010, ""volume""), 0)"),451462)</f>
        <v>451462</v>
      </c>
      <c r="K1010" s="6">
        <v>2.38</v>
      </c>
      <c r="L1010" s="6">
        <f ca="1">IFERROR(__xludf.DUMMYFUNCTION("IFERROR(GOOGLEFINANCE(B1010,""changepct""),K1010)"),-0.17)</f>
        <v>-0.17</v>
      </c>
      <c r="M1010" s="6">
        <f ca="1">IFERROR(__xludf.DUMMYFUNCTION("IFERROR(GOOGLEFINANCE(B1010,""change""),0)"),-0.15)</f>
        <v>-0.15</v>
      </c>
      <c r="N1010" s="6">
        <v>2</v>
      </c>
      <c r="O1010" s="7">
        <v>45536</v>
      </c>
      <c r="P1010" s="6">
        <v>563.41</v>
      </c>
      <c r="Q1010" s="6">
        <v>6838.66</v>
      </c>
      <c r="R1010" s="7">
        <v>45536</v>
      </c>
      <c r="S1010" s="6">
        <v>6673.98</v>
      </c>
      <c r="T1010" s="6">
        <v>183.34</v>
      </c>
      <c r="U1010" s="7">
        <v>45536</v>
      </c>
      <c r="V1010" s="6">
        <v>34.229999999999997</v>
      </c>
      <c r="W1010" s="6">
        <f ca="1">IFERROR(__xludf.DUMMYFUNCTION("IFERROR(GOOGLEFINANCE(B1010,""pe""),V1010)"),34.18)</f>
        <v>34.18</v>
      </c>
      <c r="X1010" s="12"/>
      <c r="Y1010" s="6">
        <v>4.2699999999999996</v>
      </c>
      <c r="Z1010" s="6">
        <v>2</v>
      </c>
      <c r="AA1010" s="8">
        <v>45352</v>
      </c>
      <c r="AB1010" s="4">
        <v>0.52</v>
      </c>
      <c r="AC1010" s="6">
        <v>14.4</v>
      </c>
      <c r="AD1010" s="6">
        <v>17.72</v>
      </c>
      <c r="AE1010" s="1">
        <v>0</v>
      </c>
      <c r="AF1010" s="1">
        <f ca="1">IFERROR(__xludf.DUMMYFUNCTION("IFERROR(GOOGLEFINANCE(TRIM(F1010)&amp;"":"" &amp; TRIM(B1010),""high52""),AE1010)"),168.5)</f>
        <v>168.5</v>
      </c>
      <c r="AG1010" s="1">
        <v>0</v>
      </c>
      <c r="AH1010" s="1">
        <f ca="1">IFERROR(__xludf.DUMMYFUNCTION("IFERROR(GOOGLEFINANCE(TRIM(F1010)&amp;"":"" &amp; TRIM(B1010),""low52""),AE1010)"),84.9)</f>
        <v>84.9</v>
      </c>
      <c r="AI1010" s="1">
        <f ca="1">IFERROR(__xludf.DUMMYFUNCTION("IFERROR(GOOGLEFINANCE(B1010,""eps""),0)"),2.62)</f>
        <v>2.62</v>
      </c>
      <c r="AJ1010" s="1"/>
      <c r="AK1010" s="1" t="s">
        <v>3076</v>
      </c>
      <c r="AL1010" s="9">
        <f t="shared" si="153"/>
        <v>1</v>
      </c>
    </row>
    <row r="1011" spans="1:38" ht="15" x14ac:dyDescent="0.25">
      <c r="A1011" s="1" t="s">
        <v>3077</v>
      </c>
      <c r="B1011" s="1" t="s">
        <v>3078</v>
      </c>
      <c r="C1011" s="1" t="s">
        <v>521</v>
      </c>
      <c r="D1011" s="1" t="s">
        <v>521</v>
      </c>
      <c r="E1011" s="6">
        <v>9003.86</v>
      </c>
      <c r="F1011" s="1" t="s">
        <v>40</v>
      </c>
      <c r="G1011" s="6">
        <f ca="1">IFERROR(__xludf.DUMMYFUNCTION("iferror(GOOGLEFINANCE(TRIM(F1011)&amp;"":"" &amp; TRIM(B1011), ""price""),0
)"),71.04)</f>
        <v>71.040000000000006</v>
      </c>
      <c r="H1011" s="6">
        <v>146.11000000000001</v>
      </c>
      <c r="I1011" s="6">
        <f t="shared" ca="1" si="0"/>
        <v>71.040000000000006</v>
      </c>
      <c r="J1011" s="6">
        <f ca="1">IFERROR(__xludf.DUMMYFUNCTION("IFERROR(GOOGLEFINANCE(B1011, ""volume""), 0)"),1088719)</f>
        <v>1088719</v>
      </c>
      <c r="K1011" s="6">
        <v>0.44</v>
      </c>
      <c r="L1011" s="6">
        <f ca="1">IFERROR(__xludf.DUMMYFUNCTION("IFERROR(GOOGLEFINANCE(B1011,""changepct""),K1011)"),2.61)</f>
        <v>2.61</v>
      </c>
      <c r="M1011" s="6">
        <f ca="1">IFERROR(__xludf.DUMMYFUNCTION("IFERROR(GOOGLEFINANCE(B1011,""change""),0)"),1.81)</f>
        <v>1.81</v>
      </c>
      <c r="N1011" s="6">
        <v>2</v>
      </c>
      <c r="O1011" s="7">
        <v>45536</v>
      </c>
      <c r="P1011" s="6">
        <v>1859.45</v>
      </c>
      <c r="Q1011" s="6">
        <v>10588.68</v>
      </c>
      <c r="R1011" s="7">
        <v>45536</v>
      </c>
      <c r="S1011" s="6">
        <v>7713.34</v>
      </c>
      <c r="T1011" s="6">
        <v>871.82</v>
      </c>
      <c r="U1011" s="7">
        <v>45536</v>
      </c>
      <c r="V1011" s="6">
        <v>10.33</v>
      </c>
      <c r="W1011" s="6">
        <f ca="1">IFERROR(__xludf.DUMMYFUNCTION("IFERROR(GOOGLEFINANCE(B1011,""pe""),V1011)"),8.85)</f>
        <v>8.85</v>
      </c>
      <c r="X1011" s="6">
        <v>0.2</v>
      </c>
      <c r="Y1011" s="6">
        <v>1.66</v>
      </c>
      <c r="Z1011" s="6">
        <v>2</v>
      </c>
      <c r="AA1011" s="8">
        <v>45352</v>
      </c>
      <c r="AB1011" s="4">
        <v>0.44</v>
      </c>
      <c r="AC1011" s="6">
        <v>15.63</v>
      </c>
      <c r="AD1011" s="6">
        <v>16.07</v>
      </c>
      <c r="AE1011" s="1">
        <v>0</v>
      </c>
      <c r="AF1011" s="1">
        <f ca="1">IFERROR(__xludf.DUMMYFUNCTION("IFERROR(GOOGLEFINANCE(TRIM(F1011)&amp;"":"" &amp; TRIM(B1011),""high52""),AE1011)"),138.75)</f>
        <v>138.75</v>
      </c>
      <c r="AG1011" s="1">
        <v>0</v>
      </c>
      <c r="AH1011" s="1">
        <f ca="1">IFERROR(__xludf.DUMMYFUNCTION("IFERROR(GOOGLEFINANCE(TRIM(F1011)&amp;"":"" &amp; TRIM(B1011),""low52""),AE1011)"),66.1)</f>
        <v>66.099999999999994</v>
      </c>
      <c r="AI1011" s="1">
        <f ca="1">IFERROR(__xludf.DUMMYFUNCTION("IFERROR(GOOGLEFINANCE(B1011,""eps""),0)"),8.03)</f>
        <v>8.0299999999999994</v>
      </c>
      <c r="AJ1011" s="1"/>
      <c r="AK1011" s="1" t="s">
        <v>3079</v>
      </c>
      <c r="AL1011" s="1" t="b">
        <f>ISNUMBER(AA1011)</f>
        <v>1</v>
      </c>
    </row>
    <row r="1012" spans="1:38" ht="15" x14ac:dyDescent="0.25">
      <c r="A1012" s="1" t="s">
        <v>3080</v>
      </c>
      <c r="B1012" s="1" t="s">
        <v>3081</v>
      </c>
      <c r="C1012" s="1" t="s">
        <v>219</v>
      </c>
      <c r="D1012" s="1" t="s">
        <v>219</v>
      </c>
      <c r="E1012" s="6">
        <v>1441.02</v>
      </c>
      <c r="F1012" s="1" t="s">
        <v>40</v>
      </c>
      <c r="G1012" s="6">
        <f ca="1">IFERROR(__xludf.DUMMYFUNCTION("iferror(GOOGLEFINANCE(TRIM(F1012)&amp;"":"" &amp; TRIM(B1012), ""price""),0
)"),766.2)</f>
        <v>766.2</v>
      </c>
      <c r="H1012" s="6">
        <v>1138.95</v>
      </c>
      <c r="I1012" s="6">
        <f t="shared" ca="1" si="0"/>
        <v>766.2</v>
      </c>
      <c r="J1012" s="6">
        <f ca="1">IFERROR(__xludf.DUMMYFUNCTION("IFERROR(GOOGLEFINANCE(B1012, ""volume""), 0)"),6278)</f>
        <v>6278</v>
      </c>
      <c r="K1012" s="6">
        <v>-0.11</v>
      </c>
      <c r="L1012" s="6">
        <f ca="1">IFERROR(__xludf.DUMMYFUNCTION("IFERROR(GOOGLEFINANCE(B1012,""changepct""),K1012)"),-1.76)</f>
        <v>-1.76</v>
      </c>
      <c r="M1012" s="6">
        <f ca="1">IFERROR(__xludf.DUMMYFUNCTION("IFERROR(GOOGLEFINANCE(B1012,""change""),0)"),-13.7)</f>
        <v>-13.7</v>
      </c>
      <c r="N1012" s="6">
        <v>2</v>
      </c>
      <c r="O1012" s="7">
        <v>45536</v>
      </c>
      <c r="P1012" s="6">
        <v>1622.78</v>
      </c>
      <c r="Q1012" s="6">
        <v>3009.35</v>
      </c>
      <c r="R1012" s="7">
        <v>45536</v>
      </c>
      <c r="S1012" s="6">
        <v>4227.96</v>
      </c>
      <c r="T1012" s="6">
        <v>379.28</v>
      </c>
      <c r="U1012" s="7">
        <v>45536</v>
      </c>
      <c r="V1012" s="6">
        <v>3.8</v>
      </c>
      <c r="W1012" s="6">
        <f ca="1">IFERROR(__xludf.DUMMYFUNCTION("IFERROR(GOOGLEFINANCE(B1012,""pe""),V1012)"),3.49)</f>
        <v>3.49</v>
      </c>
      <c r="X1012" s="6">
        <v>0.22</v>
      </c>
      <c r="Y1012" s="6">
        <v>-2.35</v>
      </c>
      <c r="Z1012" s="6">
        <v>2</v>
      </c>
      <c r="AA1012" s="8">
        <v>45352</v>
      </c>
      <c r="AB1012" s="4">
        <v>-2.27</v>
      </c>
      <c r="AC1012" s="6">
        <v>0</v>
      </c>
      <c r="AD1012" s="6">
        <v>40.22</v>
      </c>
      <c r="AE1012" s="1">
        <v>0</v>
      </c>
      <c r="AF1012" s="1">
        <f ca="1">IFERROR(__xludf.DUMMYFUNCTION("IFERROR(GOOGLEFINANCE(TRIM(F1012)&amp;"":"" &amp; TRIM(B1012),""high52""),AE1012)"),1280.4)</f>
        <v>1280.4000000000001</v>
      </c>
      <c r="AG1012" s="1">
        <v>0</v>
      </c>
      <c r="AH1012" s="1">
        <f ca="1">IFERROR(__xludf.DUMMYFUNCTION("IFERROR(GOOGLEFINANCE(TRIM(F1012)&amp;"":"" &amp; TRIM(B1012),""low52""),AE1012)"),673.35)</f>
        <v>673.35</v>
      </c>
      <c r="AI1012" s="1">
        <f ca="1">IFERROR(__xludf.DUMMYFUNCTION("IFERROR(GOOGLEFINANCE(B1012,""eps""),0)"),219.63)</f>
        <v>219.63</v>
      </c>
      <c r="AJ1012" s="1"/>
      <c r="AK1012" s="1" t="s">
        <v>3082</v>
      </c>
      <c r="AL1012" s="9">
        <f t="shared" ref="AL1012:AL1036" si="154">IF(AA1012&lt;&gt;AB1012,1,0)</f>
        <v>1</v>
      </c>
    </row>
    <row r="1013" spans="1:38" ht="15" x14ac:dyDescent="0.25">
      <c r="A1013" s="1" t="s">
        <v>3083</v>
      </c>
      <c r="B1013" s="1" t="s">
        <v>3084</v>
      </c>
      <c r="C1013" s="1" t="s">
        <v>1019</v>
      </c>
      <c r="D1013" s="1" t="s">
        <v>1019</v>
      </c>
      <c r="E1013" s="6">
        <v>2412.83</v>
      </c>
      <c r="F1013" s="1" t="s">
        <v>53</v>
      </c>
      <c r="G1013" s="6">
        <f ca="1">IFERROR(__xludf.DUMMYFUNCTION("iferror(GOOGLEFINANCE(TRIM(F1013)&amp;"":"" &amp; TRIM(B1013), ""price""),0
)"),0)</f>
        <v>0</v>
      </c>
      <c r="H1013" s="6">
        <v>1692.95</v>
      </c>
      <c r="I1013" s="6">
        <f t="shared" ca="1" si="0"/>
        <v>1692.95</v>
      </c>
      <c r="J1013" s="6">
        <f ca="1">IFERROR(__xludf.DUMMYFUNCTION("IFERROR(GOOGLEFINANCE(B1013, ""volume""), 0)"),48007)</f>
        <v>48007</v>
      </c>
      <c r="K1013" s="6">
        <v>0.31</v>
      </c>
      <c r="L1013" s="6">
        <f ca="1">IFERROR(__xludf.DUMMYFUNCTION("IFERROR(GOOGLEFINANCE(B1013,""changepct""),K1013)"),4.66)</f>
        <v>4.66</v>
      </c>
      <c r="M1013" s="6">
        <f ca="1">IFERROR(__xludf.DUMMYFUNCTION("IFERROR(GOOGLEFINANCE(B1013,""change""),0)"),47.8)</f>
        <v>47.8</v>
      </c>
      <c r="N1013" s="6">
        <v>2</v>
      </c>
      <c r="O1013" s="7">
        <v>45536</v>
      </c>
      <c r="P1013" s="6">
        <v>62.41</v>
      </c>
      <c r="Q1013" s="6">
        <v>2475.2399999999998</v>
      </c>
      <c r="R1013" s="7">
        <v>45536</v>
      </c>
      <c r="S1013" s="6">
        <v>460.91</v>
      </c>
      <c r="T1013" s="6">
        <v>31.61</v>
      </c>
      <c r="U1013" s="7">
        <v>45536</v>
      </c>
      <c r="V1013" s="6">
        <v>74.81</v>
      </c>
      <c r="W1013" s="6">
        <f ca="1">IFERROR(__xludf.DUMMYFUNCTION("IFERROR(GOOGLEFINANCE(B1013,""pe""),V1013)"),758.63)</f>
        <v>758.63</v>
      </c>
      <c r="X1013" s="9"/>
      <c r="Y1013" s="6">
        <v>10.81</v>
      </c>
      <c r="Z1013" s="6">
        <v>2</v>
      </c>
      <c r="AA1013" s="8">
        <v>45352</v>
      </c>
      <c r="AB1013" s="4">
        <v>0.43</v>
      </c>
      <c r="AC1013" s="6">
        <v>17.53</v>
      </c>
      <c r="AD1013" s="6">
        <v>19.47</v>
      </c>
      <c r="AE1013" s="1">
        <v>0</v>
      </c>
      <c r="AF1013" s="1">
        <f ca="1">IFERROR(__xludf.DUMMYFUNCTION("IFERROR(GOOGLEFINANCE(TRIM(F1013)&amp;"":"" &amp; TRIM(B1013),""high52""),AE1013)"),0)</f>
        <v>0</v>
      </c>
      <c r="AG1013" s="1">
        <v>0</v>
      </c>
      <c r="AH1013" s="1">
        <f ca="1">IFERROR(__xludf.DUMMYFUNCTION("IFERROR(GOOGLEFINANCE(TRIM(F1013)&amp;"":"" &amp; TRIM(B1013),""low52""),AE1013)"),0)</f>
        <v>0</v>
      </c>
      <c r="AI1013" s="1">
        <f ca="1">IFERROR(__xludf.DUMMYFUNCTION("IFERROR(GOOGLEFINANCE(B1013,""eps""),0)"),1.41)</f>
        <v>1.41</v>
      </c>
      <c r="AJ1013" s="1"/>
      <c r="AK1013" s="1" t="s">
        <v>3085</v>
      </c>
      <c r="AL1013" s="9">
        <f t="shared" si="154"/>
        <v>1</v>
      </c>
    </row>
    <row r="1014" spans="1:38" ht="15" x14ac:dyDescent="0.25">
      <c r="A1014" s="1" t="s">
        <v>3086</v>
      </c>
      <c r="B1014" s="1" t="s">
        <v>3087</v>
      </c>
      <c r="C1014" s="1" t="s">
        <v>1751</v>
      </c>
      <c r="D1014" s="1" t="s">
        <v>1751</v>
      </c>
      <c r="E1014" s="6">
        <v>18274.560000000001</v>
      </c>
      <c r="F1014" s="1" t="s">
        <v>40</v>
      </c>
      <c r="G1014" s="6">
        <f ca="1">IFERROR(__xludf.DUMMYFUNCTION("iferror(GOOGLEFINANCE(TRIM(F1014)&amp;"":"" &amp; TRIM(B1014), ""price""),0
)"),433.1)</f>
        <v>433.1</v>
      </c>
      <c r="H1014" s="6">
        <v>579.70000000000005</v>
      </c>
      <c r="I1014" s="6">
        <f t="shared" ca="1" si="0"/>
        <v>433.1</v>
      </c>
      <c r="J1014" s="6">
        <f ca="1">IFERROR(__xludf.DUMMYFUNCTION("IFERROR(GOOGLEFINANCE(B1014, ""volume""), 0)"),232086)</f>
        <v>232086</v>
      </c>
      <c r="K1014" s="6">
        <v>0.55000000000000004</v>
      </c>
      <c r="L1014" s="6">
        <f ca="1">IFERROR(__xludf.DUMMYFUNCTION("IFERROR(GOOGLEFINANCE(B1014,""changepct""),K1014)"),-1.29)</f>
        <v>-1.29</v>
      </c>
      <c r="M1014" s="6">
        <f ca="1">IFERROR(__xludf.DUMMYFUNCTION("IFERROR(GOOGLEFINANCE(B1014,""change""),0)"),-5.65)</f>
        <v>-5.65</v>
      </c>
      <c r="N1014" s="6">
        <v>2</v>
      </c>
      <c r="O1014" s="7">
        <v>45536</v>
      </c>
      <c r="P1014" s="6">
        <v>453.7</v>
      </c>
      <c r="Q1014" s="6">
        <v>18084.849999999999</v>
      </c>
      <c r="R1014" s="7">
        <v>45536</v>
      </c>
      <c r="S1014" s="6">
        <v>3357.69</v>
      </c>
      <c r="T1014" s="6">
        <v>323.76</v>
      </c>
      <c r="U1014" s="7">
        <v>45536</v>
      </c>
      <c r="V1014" s="6">
        <v>55.77</v>
      </c>
      <c r="W1014" s="6">
        <f ca="1">IFERROR(__xludf.DUMMYFUNCTION("IFERROR(GOOGLEFINANCE(B1014,""pe""),V1014)"),35.18)</f>
        <v>35.18</v>
      </c>
      <c r="X1014" s="6">
        <v>2.25</v>
      </c>
      <c r="Y1014" s="6">
        <v>10.61</v>
      </c>
      <c r="Z1014" s="6">
        <v>2</v>
      </c>
      <c r="AA1014" s="8">
        <v>45352</v>
      </c>
      <c r="AB1014" s="4">
        <v>0.35</v>
      </c>
      <c r="AC1014" s="6">
        <v>20.95</v>
      </c>
      <c r="AD1014" s="6">
        <v>23.44</v>
      </c>
      <c r="AE1014" s="1">
        <v>0</v>
      </c>
      <c r="AF1014" s="1">
        <f ca="1">IFERROR(__xludf.DUMMYFUNCTION("IFERROR(GOOGLEFINANCE(TRIM(F1014)&amp;"":"" &amp; TRIM(B1014),""high52""),AE1014)"),608.4)</f>
        <v>608.4</v>
      </c>
      <c r="AG1014" s="1">
        <v>0</v>
      </c>
      <c r="AH1014" s="1">
        <f ca="1">IFERROR(__xludf.DUMMYFUNCTION("IFERROR(GOOGLEFINANCE(TRIM(F1014)&amp;"":"" &amp; TRIM(B1014),""low52""),AE1014)"),401)</f>
        <v>401</v>
      </c>
      <c r="AI1014" s="1">
        <f ca="1">IFERROR(__xludf.DUMMYFUNCTION("IFERROR(GOOGLEFINANCE(B1014,""eps""),0)"),12.31)</f>
        <v>12.31</v>
      </c>
      <c r="AJ1014" s="1"/>
      <c r="AK1014" s="1" t="s">
        <v>3088</v>
      </c>
      <c r="AL1014" s="9">
        <f t="shared" si="154"/>
        <v>1</v>
      </c>
    </row>
    <row r="1015" spans="1:38" ht="15" x14ac:dyDescent="0.25">
      <c r="A1015" s="1" t="s">
        <v>3089</v>
      </c>
      <c r="B1015" s="1" t="s">
        <v>3090</v>
      </c>
      <c r="C1015" s="1" t="s">
        <v>801</v>
      </c>
      <c r="D1015" s="1" t="s">
        <v>801</v>
      </c>
      <c r="E1015" s="6">
        <v>635.84</v>
      </c>
      <c r="F1015" s="1" t="s">
        <v>40</v>
      </c>
      <c r="G1015" s="6">
        <f ca="1">IFERROR(__xludf.DUMMYFUNCTION("iferror(GOOGLEFINANCE(TRIM(F1015)&amp;"":"" &amp; TRIM(B1015), ""price""),0
)"),40.85)</f>
        <v>40.85</v>
      </c>
      <c r="H1015" s="6">
        <v>128.6</v>
      </c>
      <c r="I1015" s="6">
        <f t="shared" ca="1" si="0"/>
        <v>40.85</v>
      </c>
      <c r="J1015" s="6">
        <f ca="1">IFERROR(__xludf.DUMMYFUNCTION("IFERROR(GOOGLEFINANCE(B1015, ""volume""), 0)"),8651)</f>
        <v>8651</v>
      </c>
      <c r="K1015" s="6">
        <v>1.23</v>
      </c>
      <c r="L1015" s="6">
        <f ca="1">IFERROR(__xludf.DUMMYFUNCTION("IFERROR(GOOGLEFINANCE(B1015,""changepct""),K1015)"),-0.97)</f>
        <v>-0.97</v>
      </c>
      <c r="M1015" s="6">
        <f ca="1">IFERROR(__xludf.DUMMYFUNCTION("IFERROR(GOOGLEFINANCE(B1015,""change""),0)"),-0.4)</f>
        <v>-0.4</v>
      </c>
      <c r="N1015" s="6">
        <v>2</v>
      </c>
      <c r="O1015" s="7">
        <v>45536</v>
      </c>
      <c r="P1015" s="6">
        <v>272.63</v>
      </c>
      <c r="Q1015" s="6">
        <v>872.93</v>
      </c>
      <c r="R1015" s="7">
        <v>45536</v>
      </c>
      <c r="S1015" s="6">
        <v>385.02</v>
      </c>
      <c r="T1015" s="6">
        <v>12.54</v>
      </c>
      <c r="U1015" s="7">
        <v>45536</v>
      </c>
      <c r="V1015" s="6">
        <v>50.72</v>
      </c>
      <c r="W1015" s="6">
        <f ca="1">IFERROR(__xludf.DUMMYFUNCTION("IFERROR(GOOGLEFINANCE(B1015,""pe""),V1015)"),50.72)</f>
        <v>50.72</v>
      </c>
      <c r="X1015" s="6">
        <v>3.1</v>
      </c>
      <c r="Y1015" s="6">
        <v>15.54</v>
      </c>
      <c r="Z1015" s="6">
        <v>2</v>
      </c>
      <c r="AA1015" s="8">
        <v>45352</v>
      </c>
      <c r="AB1015" s="4">
        <v>1.62</v>
      </c>
      <c r="AC1015" s="6">
        <v>6.24</v>
      </c>
      <c r="AD1015" s="6">
        <v>8.23</v>
      </c>
      <c r="AE1015" s="1">
        <v>0</v>
      </c>
      <c r="AF1015" s="1">
        <f ca="1">IFERROR(__xludf.DUMMYFUNCTION("IFERROR(GOOGLEFINANCE(TRIM(F1015)&amp;"":"" &amp; TRIM(B1015),""high52""),AE1015)"),107)</f>
        <v>107</v>
      </c>
      <c r="AG1015" s="1">
        <v>0</v>
      </c>
      <c r="AH1015" s="1">
        <f ca="1">IFERROR(__xludf.DUMMYFUNCTION("IFERROR(GOOGLEFINANCE(TRIM(F1015)&amp;"":"" &amp; TRIM(B1015),""low52""),AE1015)"),39.25)</f>
        <v>39.25</v>
      </c>
      <c r="AI1015" s="1">
        <f ca="1">IFERROR(__xludf.DUMMYFUNCTION("IFERROR(GOOGLEFINANCE(B1015,""eps""),0)"),-5.6)</f>
        <v>-5.6</v>
      </c>
      <c r="AJ1015" s="1"/>
      <c r="AK1015" s="1" t="s">
        <v>3091</v>
      </c>
      <c r="AL1015" s="9">
        <f t="shared" si="154"/>
        <v>1</v>
      </c>
    </row>
    <row r="1016" spans="1:38" ht="15" x14ac:dyDescent="0.25">
      <c r="A1016" s="1" t="s">
        <v>3092</v>
      </c>
      <c r="B1016" s="1" t="s">
        <v>3093</v>
      </c>
      <c r="C1016" s="1" t="s">
        <v>860</v>
      </c>
      <c r="D1016" s="1" t="s">
        <v>860</v>
      </c>
      <c r="E1016" s="6">
        <v>1009.82</v>
      </c>
      <c r="F1016" s="1" t="s">
        <v>40</v>
      </c>
      <c r="G1016" s="6">
        <f ca="1">IFERROR(__xludf.DUMMYFUNCTION("iferror(GOOGLEFINANCE(TRIM(F1016)&amp;"":"" &amp; TRIM(B1016), ""price""),0
)"),148.36)</f>
        <v>148.36000000000001</v>
      </c>
      <c r="H1016" s="6">
        <v>208</v>
      </c>
      <c r="I1016" s="6">
        <f t="shared" ca="1" si="0"/>
        <v>148.36000000000001</v>
      </c>
      <c r="J1016" s="6">
        <f ca="1">IFERROR(__xludf.DUMMYFUNCTION("IFERROR(GOOGLEFINANCE(B1016, ""volume""), 0)"),0)</f>
        <v>0</v>
      </c>
      <c r="K1016" s="6">
        <v>2.66</v>
      </c>
      <c r="L1016" s="6">
        <f ca="1">IFERROR(__xludf.DUMMYFUNCTION("IFERROR(GOOGLEFINANCE(B1016,""changepct""),K1016)"),0)</f>
        <v>0</v>
      </c>
      <c r="M1016" s="6">
        <f ca="1">IFERROR(__xludf.DUMMYFUNCTION("IFERROR(GOOGLEFINANCE(B1016,""change""),0)"),0)</f>
        <v>0</v>
      </c>
      <c r="N1016" s="6">
        <v>2</v>
      </c>
      <c r="O1016" s="7">
        <v>45536</v>
      </c>
      <c r="P1016" s="6">
        <v>6.72</v>
      </c>
      <c r="Q1016" s="6">
        <v>975.94</v>
      </c>
      <c r="R1016" s="7">
        <v>45536</v>
      </c>
      <c r="S1016" s="6">
        <v>1112.69</v>
      </c>
      <c r="T1016" s="6">
        <v>16.88</v>
      </c>
      <c r="U1016" s="7">
        <v>45536</v>
      </c>
      <c r="V1016" s="6">
        <v>59.81</v>
      </c>
      <c r="W1016" s="6">
        <f ca="1">IFERROR(__xludf.DUMMYFUNCTION("IFERROR(GOOGLEFINANCE(B1016,""pe""),V1016)"),59.81)</f>
        <v>59.81</v>
      </c>
      <c r="X1016" s="12"/>
      <c r="Y1016" s="6">
        <v>1.96</v>
      </c>
      <c r="Z1016" s="6">
        <v>2</v>
      </c>
      <c r="AA1016" s="17">
        <v>45352</v>
      </c>
      <c r="AB1016" s="18">
        <v>0.02</v>
      </c>
      <c r="AC1016" s="6">
        <v>2.79</v>
      </c>
      <c r="AD1016" s="6">
        <v>5.12</v>
      </c>
      <c r="AE1016" s="1">
        <v>0</v>
      </c>
      <c r="AF1016" s="1">
        <f ca="1">IFERROR(__xludf.DUMMYFUNCTION("IFERROR(GOOGLEFINANCE(TRIM(F1016)&amp;"":"" &amp; TRIM(B1016),""high52""),AE1016)"),234)</f>
        <v>234</v>
      </c>
      <c r="AG1016" s="1">
        <v>0</v>
      </c>
      <c r="AH1016" s="1">
        <f ca="1">IFERROR(__xludf.DUMMYFUNCTION("IFERROR(GOOGLEFINANCE(TRIM(F1016)&amp;"":"" &amp; TRIM(B1016),""low52""),AE1016)"),108.21)</f>
        <v>108.21</v>
      </c>
      <c r="AI1016" s="1">
        <f ca="1">IFERROR(__xludf.DUMMYFUNCTION("IFERROR(GOOGLEFINANCE(B1016,""eps""),0)"),0)</f>
        <v>0</v>
      </c>
      <c r="AJ1016" s="1"/>
      <c r="AK1016" s="1" t="s">
        <v>3094</v>
      </c>
      <c r="AL1016" s="9">
        <f t="shared" si="154"/>
        <v>1</v>
      </c>
    </row>
    <row r="1017" spans="1:38" ht="15" x14ac:dyDescent="0.25">
      <c r="A1017" s="1" t="s">
        <v>3095</v>
      </c>
      <c r="B1017" s="1" t="s">
        <v>3096</v>
      </c>
      <c r="C1017" s="1" t="s">
        <v>151</v>
      </c>
      <c r="D1017" s="1" t="s">
        <v>151</v>
      </c>
      <c r="E1017" s="6">
        <v>26582.85</v>
      </c>
      <c r="F1017" s="1" t="s">
        <v>40</v>
      </c>
      <c r="G1017" s="6">
        <f ca="1">IFERROR(__xludf.DUMMYFUNCTION("iferror(GOOGLEFINANCE(TRIM(F1017)&amp;"":"" &amp; TRIM(B1017), ""price""),0
)"),480.6)</f>
        <v>480.6</v>
      </c>
      <c r="H1017" s="6">
        <v>606.20000000000005</v>
      </c>
      <c r="I1017" s="6">
        <f t="shared" ca="1" si="0"/>
        <v>480.6</v>
      </c>
      <c r="J1017" s="6">
        <f ca="1">IFERROR(__xludf.DUMMYFUNCTION("IFERROR(GOOGLEFINANCE(B1017, ""volume""), 0)"),238878)</f>
        <v>238878</v>
      </c>
      <c r="K1017" s="6">
        <v>-0.43</v>
      </c>
      <c r="L1017" s="6">
        <f ca="1">IFERROR(__xludf.DUMMYFUNCTION("IFERROR(GOOGLEFINANCE(B1017,""changepct""),K1017)"),1.17)</f>
        <v>1.17</v>
      </c>
      <c r="M1017" s="6">
        <f ca="1">IFERROR(__xludf.DUMMYFUNCTION("IFERROR(GOOGLEFINANCE(B1017,""change""),0)"),5.55)</f>
        <v>5.55</v>
      </c>
      <c r="N1017" s="6">
        <v>2</v>
      </c>
      <c r="O1017" s="7">
        <v>45536</v>
      </c>
      <c r="P1017" s="6">
        <v>48</v>
      </c>
      <c r="Q1017" s="6">
        <v>26364.959999999999</v>
      </c>
      <c r="R1017" s="7">
        <v>45536</v>
      </c>
      <c r="S1017" s="6">
        <v>3684.22</v>
      </c>
      <c r="T1017" s="6">
        <v>778.31</v>
      </c>
      <c r="U1017" s="7">
        <v>45536</v>
      </c>
      <c r="V1017" s="6">
        <v>34.409999999999997</v>
      </c>
      <c r="W1017" s="6">
        <f ca="1">IFERROR(__xludf.DUMMYFUNCTION("IFERROR(GOOGLEFINANCE(B1017,""pe""),V1017)"),27.84)</f>
        <v>27.84</v>
      </c>
      <c r="X1017" s="6">
        <v>1.85</v>
      </c>
      <c r="Y1017" s="6">
        <v>10.11</v>
      </c>
      <c r="Z1017" s="6">
        <v>2</v>
      </c>
      <c r="AA1017" s="8">
        <v>45352</v>
      </c>
      <c r="AB1017" s="4">
        <v>0.03</v>
      </c>
      <c r="AC1017" s="6">
        <v>30.49</v>
      </c>
      <c r="AD1017" s="6">
        <v>32.76</v>
      </c>
      <c r="AE1017" s="1">
        <v>0</v>
      </c>
      <c r="AF1017" s="1">
        <f ca="1">IFERROR(__xludf.DUMMYFUNCTION("IFERROR(GOOGLEFINANCE(TRIM(F1017)&amp;"":"" &amp; TRIM(B1017),""high52""),AE1017)"),653.35)</f>
        <v>653.35</v>
      </c>
      <c r="AG1017" s="1">
        <v>0</v>
      </c>
      <c r="AH1017" s="1">
        <f ca="1">IFERROR(__xludf.DUMMYFUNCTION("IFERROR(GOOGLEFINANCE(TRIM(F1017)&amp;"":"" &amp; TRIM(B1017),""low52""),AE1017)"),470)</f>
        <v>470</v>
      </c>
      <c r="AI1017" s="1">
        <f ca="1">IFERROR(__xludf.DUMMYFUNCTION("IFERROR(GOOGLEFINANCE(B1017,""eps""),0)"),17.27)</f>
        <v>17.27</v>
      </c>
      <c r="AJ1017" s="1"/>
      <c r="AK1017" s="1" t="s">
        <v>3097</v>
      </c>
      <c r="AL1017" s="9">
        <f t="shared" si="154"/>
        <v>1</v>
      </c>
    </row>
    <row r="1018" spans="1:38" ht="15" x14ac:dyDescent="0.25">
      <c r="A1018" s="1" t="s">
        <v>3098</v>
      </c>
      <c r="B1018" s="1" t="s">
        <v>3099</v>
      </c>
      <c r="C1018" s="1" t="s">
        <v>373</v>
      </c>
      <c r="D1018" s="1" t="s">
        <v>373</v>
      </c>
      <c r="E1018" s="6">
        <v>678.5</v>
      </c>
      <c r="F1018" s="1" t="s">
        <v>40</v>
      </c>
      <c r="G1018" s="6">
        <f ca="1">IFERROR(__xludf.DUMMYFUNCTION("iferror(GOOGLEFINANCE(TRIM(F1018)&amp;"":"" &amp; TRIM(B1018), ""price""),0
)"),82.99)</f>
        <v>82.99</v>
      </c>
      <c r="H1018" s="6">
        <v>113.55</v>
      </c>
      <c r="I1018" s="6">
        <f t="shared" ca="1" si="0"/>
        <v>82.99</v>
      </c>
      <c r="J1018" s="6">
        <f ca="1">IFERROR(__xludf.DUMMYFUNCTION("IFERROR(GOOGLEFINANCE(B1018, ""volume""), 0)"),8061)</f>
        <v>8061</v>
      </c>
      <c r="K1018" s="6">
        <v>1.26</v>
      </c>
      <c r="L1018" s="6">
        <f ca="1">IFERROR(__xludf.DUMMYFUNCTION("IFERROR(GOOGLEFINANCE(B1018,""changepct""),K1018)"),-1.19)</f>
        <v>-1.19</v>
      </c>
      <c r="M1018" s="6">
        <f ca="1">IFERROR(__xludf.DUMMYFUNCTION("IFERROR(GOOGLEFINANCE(B1018,""change""),0)"),-1)</f>
        <v>-1</v>
      </c>
      <c r="N1018" s="6">
        <v>1</v>
      </c>
      <c r="O1018" s="7">
        <v>45536</v>
      </c>
      <c r="P1018" s="6">
        <v>639.92999999999995</v>
      </c>
      <c r="Q1018" s="6">
        <v>1315.26</v>
      </c>
      <c r="R1018" s="7">
        <v>45536</v>
      </c>
      <c r="S1018" s="6">
        <v>1976.75</v>
      </c>
      <c r="T1018" s="6">
        <v>86.95</v>
      </c>
      <c r="U1018" s="7">
        <v>45536</v>
      </c>
      <c r="V1018" s="6">
        <v>7.8</v>
      </c>
      <c r="W1018" s="6">
        <f ca="1">IFERROR(__xludf.DUMMYFUNCTION("IFERROR(GOOGLEFINANCE(B1018,""pe""),V1018)"),35.61)</f>
        <v>35.61</v>
      </c>
      <c r="X1018" s="6">
        <v>0.56000000000000005</v>
      </c>
      <c r="Y1018" s="6">
        <v>1.2</v>
      </c>
      <c r="Z1018" s="6">
        <v>1</v>
      </c>
      <c r="AA1018" s="8">
        <v>45352</v>
      </c>
      <c r="AB1018" s="4">
        <v>0.78</v>
      </c>
      <c r="AC1018" s="6">
        <v>17.100000000000001</v>
      </c>
      <c r="AD1018" s="6">
        <v>12.21</v>
      </c>
      <c r="AE1018" s="1">
        <v>0</v>
      </c>
      <c r="AF1018" s="1">
        <f ca="1">IFERROR(__xludf.DUMMYFUNCTION("IFERROR(GOOGLEFINANCE(TRIM(F1018)&amp;"":"" &amp; TRIM(B1018),""high52""),AE1018)"),122)</f>
        <v>122</v>
      </c>
      <c r="AG1018" s="1">
        <v>0</v>
      </c>
      <c r="AH1018" s="1">
        <f ca="1">IFERROR(__xludf.DUMMYFUNCTION("IFERROR(GOOGLEFINANCE(TRIM(F1018)&amp;"":"" &amp; TRIM(B1018),""low52""),AE1018)"),77.3)</f>
        <v>77.3</v>
      </c>
      <c r="AI1018" s="1">
        <f ca="1">IFERROR(__xludf.DUMMYFUNCTION("IFERROR(GOOGLEFINANCE(B1018,""eps""),0)"),2.33)</f>
        <v>2.33</v>
      </c>
      <c r="AJ1018" s="1"/>
      <c r="AK1018" s="1" t="s">
        <v>3100</v>
      </c>
      <c r="AL1018" s="9">
        <f t="shared" si="154"/>
        <v>1</v>
      </c>
    </row>
    <row r="1019" spans="1:38" ht="15" x14ac:dyDescent="0.25">
      <c r="A1019" s="1" t="s">
        <v>3101</v>
      </c>
      <c r="B1019" s="1" t="s">
        <v>3102</v>
      </c>
      <c r="C1019" s="1" t="s">
        <v>487</v>
      </c>
      <c r="D1019" s="1" t="s">
        <v>487</v>
      </c>
      <c r="E1019" s="6">
        <v>471.53</v>
      </c>
      <c r="F1019" s="1" t="s">
        <v>40</v>
      </c>
      <c r="G1019" s="6">
        <f ca="1">IFERROR(__xludf.DUMMYFUNCTION("iferror(GOOGLEFINANCE(TRIM(F1019)&amp;"":"" &amp; TRIM(B1019), ""price""),0
)"),70.99)</f>
        <v>70.989999999999995</v>
      </c>
      <c r="H1019" s="6">
        <v>125.79</v>
      </c>
      <c r="I1019" s="6">
        <f t="shared" ca="1" si="0"/>
        <v>70.989999999999995</v>
      </c>
      <c r="J1019" s="6">
        <f ca="1">IFERROR(__xludf.DUMMYFUNCTION("IFERROR(GOOGLEFINANCE(B1019, ""volume""), 0)"),6123)</f>
        <v>6123</v>
      </c>
      <c r="K1019" s="9"/>
      <c r="L1019" s="6">
        <f ca="1">IFERROR(__xludf.DUMMYFUNCTION("IFERROR(GOOGLEFINANCE(B1019,""changepct""),K1019)"),6.08)</f>
        <v>6.08</v>
      </c>
      <c r="M1019" s="6">
        <f ca="1">IFERROR(__xludf.DUMMYFUNCTION("IFERROR(GOOGLEFINANCE(B1019,""change""),0)"),4.07)</f>
        <v>4.07</v>
      </c>
      <c r="N1019" s="6">
        <v>2</v>
      </c>
      <c r="O1019" s="7">
        <v>45536</v>
      </c>
      <c r="P1019" s="6">
        <v>2014.8</v>
      </c>
      <c r="Q1019" s="6">
        <v>2477.5700000000002</v>
      </c>
      <c r="R1019" s="7">
        <v>45536</v>
      </c>
      <c r="S1019" s="6">
        <v>53.1</v>
      </c>
      <c r="T1019" s="6">
        <v>-114.51</v>
      </c>
      <c r="U1019" s="7">
        <v>45536</v>
      </c>
      <c r="V1019" s="6">
        <v>0</v>
      </c>
      <c r="W1019" s="6">
        <f ca="1">IFERROR(__xludf.DUMMYFUNCTION("IFERROR(GOOGLEFINANCE(B1019,""pe""),V1019)"),0)</f>
        <v>0</v>
      </c>
      <c r="X1019" s="9"/>
      <c r="Y1019" s="6">
        <v>-7.51</v>
      </c>
      <c r="Z1019" s="6">
        <v>2</v>
      </c>
      <c r="AA1019" s="8">
        <v>45352</v>
      </c>
      <c r="AB1019" s="4">
        <v>-53.66</v>
      </c>
      <c r="AC1019" s="6">
        <v>-478.06</v>
      </c>
      <c r="AD1019" s="6">
        <v>-4.0999999999999996</v>
      </c>
      <c r="AE1019" s="1">
        <v>0</v>
      </c>
      <c r="AF1019" s="1">
        <f ca="1">IFERROR(__xludf.DUMMYFUNCTION("IFERROR(GOOGLEFINANCE(TRIM(F1019)&amp;"":"" &amp; TRIM(B1019),""high52""),AE1019)"),135.99)</f>
        <v>135.99</v>
      </c>
      <c r="AG1019" s="1">
        <v>0</v>
      </c>
      <c r="AH1019" s="1">
        <f ca="1">IFERROR(__xludf.DUMMYFUNCTION("IFERROR(GOOGLEFINANCE(TRIM(F1019)&amp;"":"" &amp; TRIM(B1019),""low52""),AE1019)"),64)</f>
        <v>64</v>
      </c>
      <c r="AI1019" s="1">
        <f ca="1">IFERROR(__xludf.DUMMYFUNCTION("IFERROR(GOOGLEFINANCE(B1019,""eps""),0)"),0)</f>
        <v>0</v>
      </c>
      <c r="AJ1019" s="1"/>
      <c r="AK1019" s="1" t="s">
        <v>3103</v>
      </c>
      <c r="AL1019" s="9">
        <f t="shared" si="154"/>
        <v>1</v>
      </c>
    </row>
    <row r="1020" spans="1:38" ht="15" x14ac:dyDescent="0.25">
      <c r="A1020" s="1" t="s">
        <v>3104</v>
      </c>
      <c r="B1020" s="1" t="s">
        <v>3105</v>
      </c>
      <c r="C1020" s="1" t="s">
        <v>43</v>
      </c>
      <c r="D1020" s="1" t="s">
        <v>43</v>
      </c>
      <c r="E1020" s="6">
        <v>0</v>
      </c>
      <c r="F1020" s="1" t="s">
        <v>40</v>
      </c>
      <c r="G1020" s="6">
        <f ca="1">IFERROR(__xludf.DUMMYFUNCTION("iferror(GOOGLEFINANCE(TRIM(F1020)&amp;"":"" &amp; TRIM(B1020), ""price""),0
)"),0)</f>
        <v>0</v>
      </c>
      <c r="H1020" s="6">
        <v>373.2</v>
      </c>
      <c r="I1020" s="6">
        <f t="shared" ca="1" si="0"/>
        <v>373.2</v>
      </c>
      <c r="J1020" s="6">
        <f ca="1">IFERROR(__xludf.DUMMYFUNCTION("IFERROR(GOOGLEFINANCE(B1020, ""volume""), 0)"),0)</f>
        <v>0</v>
      </c>
      <c r="K1020" s="6">
        <v>0.76</v>
      </c>
      <c r="L1020" s="6">
        <f ca="1">IFERROR(__xludf.DUMMYFUNCTION("IFERROR(GOOGLEFINANCE(B1020,""changepct""),K1020)"),0.76)</f>
        <v>0.76</v>
      </c>
      <c r="M1020" s="6">
        <f ca="1">IFERROR(__xludf.DUMMYFUNCTION("IFERROR(GOOGLEFINANCE(B1020,""change""),0)"),0)</f>
        <v>0</v>
      </c>
      <c r="N1020" s="6">
        <v>1</v>
      </c>
      <c r="O1020" s="7">
        <v>45352</v>
      </c>
      <c r="P1020" s="6">
        <v>1206.82</v>
      </c>
      <c r="Q1020" s="7">
        <v>45352</v>
      </c>
      <c r="R1020" s="14"/>
      <c r="S1020" s="9"/>
      <c r="T1020" s="9"/>
      <c r="U1020" s="6">
        <v>2</v>
      </c>
      <c r="V1020" s="7">
        <v>45352</v>
      </c>
      <c r="W1020" s="10">
        <f ca="1">IFERROR(__xludf.DUMMYFUNCTION("IFERROR(GOOGLEFINANCE(B1020,""pe""),V1020)"),45352)</f>
        <v>45352</v>
      </c>
      <c r="X1020" s="6">
        <v>0.72</v>
      </c>
      <c r="Y1020" s="6">
        <v>4.05</v>
      </c>
      <c r="Z1020" s="6">
        <v>5.49</v>
      </c>
      <c r="AA1020" s="3" t="s">
        <v>3106</v>
      </c>
      <c r="AB1020" s="3"/>
      <c r="AC1020" s="9"/>
      <c r="AD1020" s="9"/>
      <c r="AE1020" s="1">
        <v>0</v>
      </c>
      <c r="AF1020" s="1">
        <f ca="1">IFERROR(__xludf.DUMMYFUNCTION("IFERROR(GOOGLEFINANCE(TRIM(F1020)&amp;"":"" &amp; TRIM(B1020),""high52""),AE1020)"),0)</f>
        <v>0</v>
      </c>
      <c r="AG1020" s="1">
        <v>0</v>
      </c>
      <c r="AH1020" s="1">
        <f ca="1">IFERROR(__xludf.DUMMYFUNCTION("IFERROR(GOOGLEFINANCE(TRIM(F1020)&amp;"":"" &amp; TRIM(B1020),""low52""),AE1020)"),0)</f>
        <v>0</v>
      </c>
      <c r="AI1020" s="1">
        <f ca="1">IFERROR(__xludf.DUMMYFUNCTION("IFERROR(GOOGLEFINANCE(B1020,""eps""),0)"),0)</f>
        <v>0</v>
      </c>
      <c r="AJ1020" s="1"/>
      <c r="AK1020" s="1" t="s">
        <v>3107</v>
      </c>
      <c r="AL1020" s="9">
        <f t="shared" si="154"/>
        <v>1</v>
      </c>
    </row>
    <row r="1021" spans="1:38" ht="15" x14ac:dyDescent="0.25">
      <c r="A1021" s="1" t="s">
        <v>3108</v>
      </c>
      <c r="B1021" s="1" t="s">
        <v>3109</v>
      </c>
      <c r="C1021" s="1" t="s">
        <v>106</v>
      </c>
      <c r="D1021" s="1" t="s">
        <v>106</v>
      </c>
      <c r="E1021" s="6">
        <v>28004.66</v>
      </c>
      <c r="F1021" s="1" t="s">
        <v>40</v>
      </c>
      <c r="G1021" s="6">
        <f ca="1">IFERROR(__xludf.DUMMYFUNCTION("iferror(GOOGLEFINANCE(TRIM(F1021)&amp;"":"" &amp; TRIM(B1021), ""price""),0
)"),1469)</f>
        <v>1469</v>
      </c>
      <c r="H1021" s="6">
        <v>1465.6</v>
      </c>
      <c r="I1021" s="6">
        <f t="shared" ca="1" si="0"/>
        <v>1469</v>
      </c>
      <c r="J1021" s="6">
        <f ca="1">IFERROR(__xludf.DUMMYFUNCTION("IFERROR(GOOGLEFINANCE(B1021, ""volume""), 0)"),91148)</f>
        <v>91148</v>
      </c>
      <c r="K1021" s="6">
        <v>-0.85</v>
      </c>
      <c r="L1021" s="6">
        <f ca="1">IFERROR(__xludf.DUMMYFUNCTION("IFERROR(GOOGLEFINANCE(B1021,""changepct""),K1021)"),-1.1)</f>
        <v>-1.1000000000000001</v>
      </c>
      <c r="M1021" s="6">
        <f ca="1">IFERROR(__xludf.DUMMYFUNCTION("IFERROR(GOOGLEFINANCE(B1021,""change""),0)"),-16.3)</f>
        <v>-16.3</v>
      </c>
      <c r="N1021" s="6">
        <v>2</v>
      </c>
      <c r="O1021" s="7">
        <v>45536</v>
      </c>
      <c r="P1021" s="6">
        <v>941.83</v>
      </c>
      <c r="Q1021" s="6">
        <v>28759.38</v>
      </c>
      <c r="R1021" s="14"/>
      <c r="S1021" s="9"/>
      <c r="T1021" s="9"/>
      <c r="U1021" s="7">
        <v>45352</v>
      </c>
      <c r="V1021" s="6">
        <v>56.21</v>
      </c>
      <c r="W1021" s="6">
        <f ca="1">IFERROR(__xludf.DUMMYFUNCTION("IFERROR(GOOGLEFINANCE(B1021,""pe""),V1021)"),35.09)</f>
        <v>35.090000000000003</v>
      </c>
      <c r="X1021" s="12"/>
      <c r="Y1021" s="6">
        <v>6.8</v>
      </c>
      <c r="Z1021" s="6">
        <v>2</v>
      </c>
      <c r="AA1021" s="8">
        <v>45352</v>
      </c>
      <c r="AB1021" s="4">
        <v>0.71</v>
      </c>
      <c r="AC1021" s="6">
        <v>19.45</v>
      </c>
      <c r="AD1021" s="6">
        <v>19.87</v>
      </c>
      <c r="AE1021" s="1">
        <v>0</v>
      </c>
      <c r="AF1021" s="1">
        <f ca="1">IFERROR(__xludf.DUMMYFUNCTION("IFERROR(GOOGLEFINANCE(TRIM(F1021)&amp;"":"" &amp; TRIM(B1021),""high52""),AE1021)"),1585.6)</f>
        <v>1585.6</v>
      </c>
      <c r="AG1021" s="1">
        <v>0</v>
      </c>
      <c r="AH1021" s="1">
        <f ca="1">IFERROR(__xludf.DUMMYFUNCTION("IFERROR(GOOGLEFINANCE(TRIM(F1021)&amp;"":"" &amp; TRIM(B1021),""low52""),AE1021)"),889)</f>
        <v>889</v>
      </c>
      <c r="AI1021" s="1">
        <f ca="1">IFERROR(__xludf.DUMMYFUNCTION("IFERROR(GOOGLEFINANCE(B1021,""eps""),0)"),41.87)</f>
        <v>41.87</v>
      </c>
      <c r="AJ1021" s="1"/>
      <c r="AK1021" s="9"/>
      <c r="AL1021" s="9">
        <f t="shared" si="154"/>
        <v>1</v>
      </c>
    </row>
    <row r="1022" spans="1:38" ht="15" x14ac:dyDescent="0.25">
      <c r="A1022" s="1" t="s">
        <v>3110</v>
      </c>
      <c r="B1022" s="1" t="s">
        <v>3111</v>
      </c>
      <c r="C1022" s="1" t="s">
        <v>3112</v>
      </c>
      <c r="D1022" s="1" t="s">
        <v>3112</v>
      </c>
      <c r="E1022" s="6">
        <v>53.28</v>
      </c>
      <c r="F1022" s="1" t="s">
        <v>53</v>
      </c>
      <c r="G1022" s="6">
        <f ca="1">IFERROR(__xludf.DUMMYFUNCTION("iferror(GOOGLEFINANCE(TRIM(F1022)&amp;"":"" &amp; TRIM(B1022), ""price""),0
)"),0)</f>
        <v>0</v>
      </c>
      <c r="H1022" s="6">
        <v>174.95</v>
      </c>
      <c r="I1022" s="6">
        <f t="shared" ca="1" si="0"/>
        <v>174.95</v>
      </c>
      <c r="J1022" s="6">
        <f ca="1">IFERROR(__xludf.DUMMYFUNCTION("IFERROR(GOOGLEFINANCE(B1022, ""volume""), 0)"),0)</f>
        <v>0</v>
      </c>
      <c r="K1022" s="6">
        <v>2.82</v>
      </c>
      <c r="L1022" s="6">
        <f ca="1">IFERROR(__xludf.DUMMYFUNCTION("IFERROR(GOOGLEFINANCE(B1022,""changepct""),K1022)"),2.82)</f>
        <v>2.82</v>
      </c>
      <c r="M1022" s="6">
        <f ca="1">IFERROR(__xludf.DUMMYFUNCTION("IFERROR(GOOGLEFINANCE(B1022,""change""),0)"),0)</f>
        <v>0</v>
      </c>
      <c r="N1022" s="6">
        <v>2</v>
      </c>
      <c r="O1022" s="7">
        <v>45536</v>
      </c>
      <c r="P1022" s="6">
        <v>2.17</v>
      </c>
      <c r="Q1022" s="6">
        <v>55.45</v>
      </c>
      <c r="R1022" s="7">
        <v>45536</v>
      </c>
      <c r="S1022" s="6">
        <v>23.35</v>
      </c>
      <c r="T1022" s="6">
        <v>-0.49</v>
      </c>
      <c r="U1022" s="7">
        <v>45536</v>
      </c>
      <c r="V1022" s="6">
        <v>0</v>
      </c>
      <c r="W1022" s="6">
        <f ca="1">IFERROR(__xludf.DUMMYFUNCTION("IFERROR(GOOGLEFINANCE(B1022,""pe""),V1022)"),0)</f>
        <v>0</v>
      </c>
      <c r="X1022" s="9"/>
      <c r="Y1022" s="6">
        <v>4.8099999999999996</v>
      </c>
      <c r="Z1022" s="6">
        <v>2</v>
      </c>
      <c r="AA1022" s="8">
        <v>45352</v>
      </c>
      <c r="AB1022" s="4">
        <v>0.18</v>
      </c>
      <c r="AC1022" s="6">
        <v>-7.47</v>
      </c>
      <c r="AD1022" s="6">
        <v>-6</v>
      </c>
      <c r="AE1022" s="1">
        <v>0</v>
      </c>
      <c r="AF1022" s="1">
        <f ca="1">IFERROR(__xludf.DUMMYFUNCTION("IFERROR(GOOGLEFINANCE(TRIM(F1022)&amp;"":"" &amp; TRIM(B1022),""high52""),AE1022)"),0)</f>
        <v>0</v>
      </c>
      <c r="AG1022" s="1">
        <v>0</v>
      </c>
      <c r="AH1022" s="1">
        <f ca="1">IFERROR(__xludf.DUMMYFUNCTION("IFERROR(GOOGLEFINANCE(TRIM(F1022)&amp;"":"" &amp; TRIM(B1022),""low52""),AE1022)"),0)</f>
        <v>0</v>
      </c>
      <c r="AI1022" s="1">
        <f ca="1">IFERROR(__xludf.DUMMYFUNCTION("IFERROR(GOOGLEFINANCE(B1022,""eps""),0)"),0)</f>
        <v>0</v>
      </c>
      <c r="AJ1022" s="1"/>
      <c r="AK1022" s="1" t="s">
        <v>3113</v>
      </c>
      <c r="AL1022" s="9">
        <f t="shared" si="154"/>
        <v>1</v>
      </c>
    </row>
    <row r="1023" spans="1:38" ht="15" x14ac:dyDescent="0.25">
      <c r="A1023" s="1" t="s">
        <v>3114</v>
      </c>
      <c r="B1023" s="1" t="s">
        <v>3115</v>
      </c>
      <c r="C1023" s="1" t="s">
        <v>3112</v>
      </c>
      <c r="D1023" s="1" t="s">
        <v>3112</v>
      </c>
      <c r="E1023" s="6">
        <v>45.46</v>
      </c>
      <c r="F1023" s="1" t="s">
        <v>53</v>
      </c>
      <c r="G1023" s="6">
        <f ca="1">IFERROR(__xludf.DUMMYFUNCTION("iferror(GOOGLEFINANCE(TRIM(F1023)&amp;"":"" &amp; TRIM(B1023), ""price""),0
)"),0)</f>
        <v>0</v>
      </c>
      <c r="H1023" s="6">
        <v>55.37</v>
      </c>
      <c r="I1023" s="6">
        <f t="shared" ca="1" si="0"/>
        <v>55.37</v>
      </c>
      <c r="J1023" s="6">
        <f ca="1">IFERROR(__xludf.DUMMYFUNCTION("IFERROR(GOOGLEFINANCE(B1023, ""volume""), 0)"),0)</f>
        <v>0</v>
      </c>
      <c r="K1023" s="6">
        <v>0.64</v>
      </c>
      <c r="L1023" s="6">
        <f ca="1">IFERROR(__xludf.DUMMYFUNCTION("IFERROR(GOOGLEFINANCE(B1023,""changepct""),K1023)"),0.64)</f>
        <v>0.64</v>
      </c>
      <c r="M1023" s="6">
        <f ca="1">IFERROR(__xludf.DUMMYFUNCTION("IFERROR(GOOGLEFINANCE(B1023,""change""),0)"),0)</f>
        <v>0</v>
      </c>
      <c r="N1023" s="6">
        <v>1</v>
      </c>
      <c r="O1023" s="7">
        <v>45536</v>
      </c>
      <c r="P1023" s="6">
        <v>47.18</v>
      </c>
      <c r="Q1023" s="6">
        <v>91.44</v>
      </c>
      <c r="R1023" s="7">
        <v>45536</v>
      </c>
      <c r="S1023" s="6">
        <v>151.15</v>
      </c>
      <c r="T1023" s="6">
        <v>0.8</v>
      </c>
      <c r="U1023" s="7">
        <v>45536</v>
      </c>
      <c r="V1023" s="6">
        <v>56.54</v>
      </c>
      <c r="W1023" s="6">
        <f ca="1">IFERROR(__xludf.DUMMYFUNCTION("IFERROR(GOOGLEFINANCE(B1023,""pe""),V1023)"),56.54)</f>
        <v>56.54</v>
      </c>
      <c r="X1023" s="6">
        <v>4.6399999999999997</v>
      </c>
      <c r="Y1023" s="6">
        <v>1.63</v>
      </c>
      <c r="Z1023" s="6">
        <v>1</v>
      </c>
      <c r="AA1023" s="8">
        <v>45352</v>
      </c>
      <c r="AB1023" s="4">
        <v>1.19</v>
      </c>
      <c r="AC1023" s="6">
        <v>5.74</v>
      </c>
      <c r="AD1023" s="6">
        <v>5.4</v>
      </c>
      <c r="AE1023" s="1">
        <v>0</v>
      </c>
      <c r="AF1023" s="1">
        <f ca="1">IFERROR(__xludf.DUMMYFUNCTION("IFERROR(GOOGLEFINANCE(TRIM(F1023)&amp;"":"" &amp; TRIM(B1023),""high52""),AE1023)"),0)</f>
        <v>0</v>
      </c>
      <c r="AG1023" s="1">
        <v>0</v>
      </c>
      <c r="AH1023" s="1">
        <f ca="1">IFERROR(__xludf.DUMMYFUNCTION("IFERROR(GOOGLEFINANCE(TRIM(F1023)&amp;"":"" &amp; TRIM(B1023),""low52""),AE1023)"),0)</f>
        <v>0</v>
      </c>
      <c r="AI1023" s="1">
        <f ca="1">IFERROR(__xludf.DUMMYFUNCTION("IFERROR(GOOGLEFINANCE(B1023,""eps""),0)"),0)</f>
        <v>0</v>
      </c>
      <c r="AJ1023" s="1"/>
      <c r="AK1023" s="1" t="s">
        <v>3116</v>
      </c>
      <c r="AL1023" s="9">
        <f t="shared" si="154"/>
        <v>1</v>
      </c>
    </row>
    <row r="1024" spans="1:38" ht="15" x14ac:dyDescent="0.25">
      <c r="A1024" s="1" t="s">
        <v>3117</v>
      </c>
      <c r="B1024" s="1" t="s">
        <v>3118</v>
      </c>
      <c r="C1024" s="1" t="s">
        <v>828</v>
      </c>
      <c r="D1024" s="1" t="s">
        <v>828</v>
      </c>
      <c r="E1024" s="6">
        <v>337.53</v>
      </c>
      <c r="F1024" s="1" t="s">
        <v>40</v>
      </c>
      <c r="G1024" s="6">
        <f ca="1">IFERROR(__xludf.DUMMYFUNCTION("iferror(GOOGLEFINANCE(TRIM(F1024)&amp;"":"" &amp; TRIM(B1024), ""price""),0
)"),0)</f>
        <v>0</v>
      </c>
      <c r="H1024" s="6">
        <v>175.95</v>
      </c>
      <c r="I1024" s="6">
        <f t="shared" ca="1" si="0"/>
        <v>175.95</v>
      </c>
      <c r="J1024" s="6">
        <f ca="1">IFERROR(__xludf.DUMMYFUNCTION("IFERROR(GOOGLEFINANCE(B1024, ""volume""), 0)"),0)</f>
        <v>0</v>
      </c>
      <c r="K1024" s="6">
        <v>1.53</v>
      </c>
      <c r="L1024" s="6">
        <f ca="1">IFERROR(__xludf.DUMMYFUNCTION("IFERROR(GOOGLEFINANCE(B1024,""changepct""),K1024)"),-0.34)</f>
        <v>-0.34</v>
      </c>
      <c r="M1024" s="6">
        <f ca="1">IFERROR(__xludf.DUMMYFUNCTION("IFERROR(GOOGLEFINANCE(B1024,""change""),0)"),-39.36)</f>
        <v>-39.36</v>
      </c>
      <c r="N1024" s="6">
        <v>1</v>
      </c>
      <c r="O1024" s="7">
        <v>45536</v>
      </c>
      <c r="P1024" s="6">
        <v>77.87</v>
      </c>
      <c r="Q1024" s="6">
        <v>415.4</v>
      </c>
      <c r="R1024" s="14"/>
      <c r="S1024" s="9"/>
      <c r="T1024" s="9"/>
      <c r="U1024" s="7">
        <v>45352</v>
      </c>
      <c r="V1024" s="6">
        <v>30.33</v>
      </c>
      <c r="W1024" s="6">
        <f ca="1">IFERROR(__xludf.DUMMYFUNCTION("IFERROR(GOOGLEFINANCE(B1024,""pe""),V1024)"),30.33)</f>
        <v>30.33</v>
      </c>
      <c r="X1024" s="12"/>
      <c r="Y1024" s="6">
        <v>2.94</v>
      </c>
      <c r="Z1024" s="6">
        <v>2</v>
      </c>
      <c r="AA1024" s="8">
        <v>45352</v>
      </c>
      <c r="AB1024" s="4">
        <v>1.61</v>
      </c>
      <c r="AC1024" s="6">
        <v>26.92</v>
      </c>
      <c r="AD1024" s="6">
        <v>19.510000000000002</v>
      </c>
      <c r="AE1024" s="1">
        <v>0</v>
      </c>
      <c r="AF1024" s="1">
        <f ca="1">IFERROR(__xludf.DUMMYFUNCTION("IFERROR(GOOGLEFINANCE(TRIM(F1024)&amp;"":"" &amp; TRIM(B1024),""high52""),AE1024)"),0)</f>
        <v>0</v>
      </c>
      <c r="AG1024" s="1">
        <v>0</v>
      </c>
      <c r="AH1024" s="1">
        <f ca="1">IFERROR(__xludf.DUMMYFUNCTION("IFERROR(GOOGLEFINANCE(TRIM(F1024)&amp;"":"" &amp; TRIM(B1024),""low52""),AE1024)"),0)</f>
        <v>0</v>
      </c>
      <c r="AI1024" s="1">
        <f ca="1">IFERROR(__xludf.DUMMYFUNCTION("IFERROR(GOOGLEFINANCE(B1024,""eps""),0)"),0)</f>
        <v>0</v>
      </c>
      <c r="AJ1024" s="1"/>
      <c r="AK1024" s="1" t="s">
        <v>3119</v>
      </c>
      <c r="AL1024" s="9">
        <f t="shared" si="154"/>
        <v>1</v>
      </c>
    </row>
    <row r="1025" spans="1:38" ht="15" x14ac:dyDescent="0.25">
      <c r="A1025" s="1" t="s">
        <v>3120</v>
      </c>
      <c r="B1025" s="1" t="s">
        <v>3121</v>
      </c>
      <c r="C1025" s="1" t="s">
        <v>2432</v>
      </c>
      <c r="D1025" s="1" t="s">
        <v>2432</v>
      </c>
      <c r="E1025" s="6">
        <v>86.56</v>
      </c>
      <c r="F1025" s="1" t="s">
        <v>53</v>
      </c>
      <c r="G1025" s="6">
        <f ca="1">IFERROR(__xludf.DUMMYFUNCTION("iferror(GOOGLEFINANCE(TRIM(F1025)&amp;"":"" &amp; TRIM(B1025), ""price""),0
)"),0)</f>
        <v>0</v>
      </c>
      <c r="H1025" s="6">
        <v>79.25</v>
      </c>
      <c r="I1025" s="6">
        <f t="shared" ca="1" si="0"/>
        <v>79.25</v>
      </c>
      <c r="J1025" s="6">
        <f ca="1">IFERROR(__xludf.DUMMYFUNCTION("IFERROR(GOOGLEFINANCE(B1025, ""volume""), 0)"),0)</f>
        <v>0</v>
      </c>
      <c r="K1025" s="12"/>
      <c r="L1025" s="6" t="str">
        <f ca="1">IFERROR(__xludf.DUMMYFUNCTION("IFERROR(GOOGLEFINANCE(B1025,""changepct""),K1025)"),"")</f>
        <v/>
      </c>
      <c r="M1025" s="6">
        <f ca="1">IFERROR(__xludf.DUMMYFUNCTION("IFERROR(GOOGLEFINANCE(B1025,""change""),0)"),0)</f>
        <v>0</v>
      </c>
      <c r="N1025" s="6">
        <v>1</v>
      </c>
      <c r="O1025" s="7">
        <v>45536</v>
      </c>
      <c r="P1025" s="6">
        <v>1.23</v>
      </c>
      <c r="Q1025" s="6">
        <v>87.79</v>
      </c>
      <c r="R1025" s="7">
        <v>45352</v>
      </c>
      <c r="S1025" s="6">
        <v>43.22</v>
      </c>
      <c r="T1025" s="6">
        <v>1.34</v>
      </c>
      <c r="U1025" s="7">
        <v>45352</v>
      </c>
      <c r="V1025" s="6">
        <v>64.53</v>
      </c>
      <c r="W1025" s="6">
        <f ca="1">IFERROR(__xludf.DUMMYFUNCTION("IFERROR(GOOGLEFINANCE(B1025,""pe""),V1025)"),64.53)</f>
        <v>64.53</v>
      </c>
      <c r="X1025" s="12"/>
      <c r="Y1025" s="6">
        <v>2.42</v>
      </c>
      <c r="Z1025" s="6">
        <v>1</v>
      </c>
      <c r="AA1025" s="8">
        <v>45352</v>
      </c>
      <c r="AB1025" s="4">
        <v>0.05</v>
      </c>
      <c r="AC1025" s="6">
        <v>6.86</v>
      </c>
      <c r="AD1025" s="6">
        <v>8.31</v>
      </c>
      <c r="AE1025" s="1">
        <v>0</v>
      </c>
      <c r="AF1025" s="1">
        <f ca="1">IFERROR(__xludf.DUMMYFUNCTION("IFERROR(GOOGLEFINANCE(TRIM(F1025)&amp;"":"" &amp; TRIM(B1025),""high52""),AE1025)"),0)</f>
        <v>0</v>
      </c>
      <c r="AG1025" s="1">
        <v>0</v>
      </c>
      <c r="AH1025" s="1">
        <f ca="1">IFERROR(__xludf.DUMMYFUNCTION("IFERROR(GOOGLEFINANCE(TRIM(F1025)&amp;"":"" &amp; TRIM(B1025),""low52""),AE1025)"),0)</f>
        <v>0</v>
      </c>
      <c r="AI1025" s="1">
        <f ca="1">IFERROR(__xludf.DUMMYFUNCTION("IFERROR(GOOGLEFINANCE(B1025,""eps""),0)"),0)</f>
        <v>0</v>
      </c>
      <c r="AJ1025" s="1"/>
      <c r="AK1025" s="1" t="s">
        <v>3122</v>
      </c>
      <c r="AL1025" s="9">
        <f t="shared" si="154"/>
        <v>1</v>
      </c>
    </row>
    <row r="1026" spans="1:38" ht="15" x14ac:dyDescent="0.25">
      <c r="A1026" s="1" t="s">
        <v>3123</v>
      </c>
      <c r="B1026" s="1" t="s">
        <v>3124</v>
      </c>
      <c r="C1026" s="1" t="s">
        <v>75</v>
      </c>
      <c r="D1026" s="1" t="s">
        <v>75</v>
      </c>
      <c r="E1026" s="6">
        <v>772.78</v>
      </c>
      <c r="F1026" s="1" t="s">
        <v>40</v>
      </c>
      <c r="G1026" s="6">
        <f ca="1">IFERROR(__xludf.DUMMYFUNCTION("iferror(GOOGLEFINANCE(TRIM(F1026)&amp;"":"" &amp; TRIM(B1026), ""price""),0
)"),224.45)</f>
        <v>224.45</v>
      </c>
      <c r="H1026" s="6">
        <v>312.2</v>
      </c>
      <c r="I1026" s="6">
        <f t="shared" ca="1" si="0"/>
        <v>224.45</v>
      </c>
      <c r="J1026" s="6">
        <f ca="1">IFERROR(__xludf.DUMMYFUNCTION("IFERROR(GOOGLEFINANCE(B1026, ""volume""), 0)"),76717)</f>
        <v>76717</v>
      </c>
      <c r="K1026" s="6">
        <v>1.99</v>
      </c>
      <c r="L1026" s="6">
        <f ca="1">IFERROR(__xludf.DUMMYFUNCTION("IFERROR(GOOGLEFINANCE(B1026,""changepct""),K1026)"),-5.42)</f>
        <v>-5.42</v>
      </c>
      <c r="M1026" s="6">
        <f ca="1">IFERROR(__xludf.DUMMYFUNCTION("IFERROR(GOOGLEFINANCE(B1026,""change""),0)"),-12.85)</f>
        <v>-12.85</v>
      </c>
      <c r="N1026" s="6">
        <v>2</v>
      </c>
      <c r="O1026" s="7">
        <v>45536</v>
      </c>
      <c r="P1026" s="6">
        <v>62.49</v>
      </c>
      <c r="Q1026" s="7">
        <v>45536</v>
      </c>
      <c r="R1026" s="6">
        <v>12.34</v>
      </c>
      <c r="S1026" s="6">
        <v>0.37</v>
      </c>
      <c r="T1026" s="6">
        <v>2.77</v>
      </c>
      <c r="U1026" s="6">
        <v>2</v>
      </c>
      <c r="V1026" s="7">
        <v>45352</v>
      </c>
      <c r="W1026" s="6">
        <f ca="1">IFERROR(__xludf.DUMMYFUNCTION("IFERROR(GOOGLEFINANCE(B1026,""pe""),V1026)"),32.68)</f>
        <v>32.68</v>
      </c>
      <c r="X1026" s="6">
        <v>0.14000000000000001</v>
      </c>
      <c r="Y1026" s="6">
        <v>14.07</v>
      </c>
      <c r="Z1026" s="6">
        <v>18.98</v>
      </c>
      <c r="AA1026" s="3" t="s">
        <v>3125</v>
      </c>
      <c r="AB1026" s="11"/>
      <c r="AC1026" s="9"/>
      <c r="AD1026" s="9"/>
      <c r="AE1026" s="1">
        <v>0</v>
      </c>
      <c r="AF1026" s="1">
        <f ca="1">IFERROR(__xludf.DUMMYFUNCTION("IFERROR(GOOGLEFINANCE(TRIM(F1026)&amp;"":"" &amp; TRIM(B1026),""high52""),AE1026)"),409.9)</f>
        <v>409.9</v>
      </c>
      <c r="AG1026" s="1">
        <v>0</v>
      </c>
      <c r="AH1026" s="1">
        <f ca="1">IFERROR(__xludf.DUMMYFUNCTION("IFERROR(GOOGLEFINANCE(TRIM(F1026)&amp;"":"" &amp; TRIM(B1026),""low52""),AE1026)"),168)</f>
        <v>168</v>
      </c>
      <c r="AI1026" s="1">
        <f ca="1">IFERROR(__xludf.DUMMYFUNCTION("IFERROR(GOOGLEFINANCE(B1026,""eps""),0)"),6.87)</f>
        <v>6.87</v>
      </c>
      <c r="AJ1026" s="1"/>
      <c r="AK1026" s="1" t="s">
        <v>3126</v>
      </c>
      <c r="AL1026" s="9">
        <f t="shared" si="154"/>
        <v>1</v>
      </c>
    </row>
    <row r="1027" spans="1:38" ht="15" x14ac:dyDescent="0.25">
      <c r="A1027" s="1" t="s">
        <v>3127</v>
      </c>
      <c r="B1027" s="1" t="s">
        <v>3128</v>
      </c>
      <c r="C1027" s="1" t="s">
        <v>416</v>
      </c>
      <c r="D1027" s="1" t="s">
        <v>416</v>
      </c>
      <c r="E1027" s="6">
        <v>477.54</v>
      </c>
      <c r="F1027" s="1" t="s">
        <v>40</v>
      </c>
      <c r="G1027" s="6">
        <f ca="1">IFERROR(__xludf.DUMMYFUNCTION("iferror(GOOGLEFINANCE(TRIM(F1027)&amp;"":"" &amp; TRIM(B1027), ""price""),0
)"),0)</f>
        <v>0</v>
      </c>
      <c r="H1027" s="6">
        <v>475.5</v>
      </c>
      <c r="I1027" s="6">
        <f t="shared" ca="1" si="0"/>
        <v>475.5</v>
      </c>
      <c r="J1027" s="6">
        <f ca="1">IFERROR(__xludf.DUMMYFUNCTION("IFERROR(GOOGLEFINANCE(B1027, ""volume""), 0)"),0)</f>
        <v>0</v>
      </c>
      <c r="K1027" s="6">
        <v>6.26</v>
      </c>
      <c r="L1027" s="6">
        <f ca="1">IFERROR(__xludf.DUMMYFUNCTION("IFERROR(GOOGLEFINANCE(B1027,""changepct""),K1027)"),6.26)</f>
        <v>6.26</v>
      </c>
      <c r="M1027" s="6">
        <f ca="1">IFERROR(__xludf.DUMMYFUNCTION("IFERROR(GOOGLEFINANCE(B1027,""change""),0)"),0)</f>
        <v>0</v>
      </c>
      <c r="N1027" s="6">
        <v>1</v>
      </c>
      <c r="O1027" s="7">
        <v>45536</v>
      </c>
      <c r="P1027" s="6">
        <v>0.91</v>
      </c>
      <c r="Q1027" s="6">
        <v>478.45</v>
      </c>
      <c r="R1027" s="7">
        <v>45352</v>
      </c>
      <c r="S1027" s="6">
        <v>103.45</v>
      </c>
      <c r="T1027" s="6">
        <v>71.900000000000006</v>
      </c>
      <c r="U1027" s="7">
        <v>45352</v>
      </c>
      <c r="V1027" s="6">
        <v>6.64</v>
      </c>
      <c r="W1027" s="6">
        <f ca="1">IFERROR(__xludf.DUMMYFUNCTION("IFERROR(GOOGLEFINANCE(B1027,""pe""),V1027)"),6.64)</f>
        <v>6.64</v>
      </c>
      <c r="X1027" s="12"/>
      <c r="Y1027" s="6">
        <v>1.6</v>
      </c>
      <c r="Z1027" s="6">
        <v>2</v>
      </c>
      <c r="AA1027" s="8">
        <v>45352</v>
      </c>
      <c r="AB1027" s="4">
        <v>0.02</v>
      </c>
      <c r="AC1027" s="6">
        <v>27.4</v>
      </c>
      <c r="AD1027" s="6">
        <v>33.65</v>
      </c>
      <c r="AE1027" s="1">
        <v>0</v>
      </c>
      <c r="AF1027" s="1">
        <f ca="1">IFERROR(__xludf.DUMMYFUNCTION("IFERROR(GOOGLEFINANCE(TRIM(F1027)&amp;"":"" &amp; TRIM(B1027),""high52""),AE1027)"),0)</f>
        <v>0</v>
      </c>
      <c r="AG1027" s="1">
        <v>0</v>
      </c>
      <c r="AH1027" s="1">
        <f ca="1">IFERROR(__xludf.DUMMYFUNCTION("IFERROR(GOOGLEFINANCE(TRIM(F1027)&amp;"":"" &amp; TRIM(B1027),""low52""),AE1027)"),0)</f>
        <v>0</v>
      </c>
      <c r="AI1027" s="1">
        <f ca="1">IFERROR(__xludf.DUMMYFUNCTION("IFERROR(GOOGLEFINANCE(B1027,""eps""),0)"),0)</f>
        <v>0</v>
      </c>
      <c r="AJ1027" s="1"/>
      <c r="AK1027" s="1" t="s">
        <v>3129</v>
      </c>
      <c r="AL1027" s="9">
        <f t="shared" si="154"/>
        <v>1</v>
      </c>
    </row>
    <row r="1028" spans="1:38" ht="15" x14ac:dyDescent="0.25">
      <c r="A1028" s="1" t="s">
        <v>3130</v>
      </c>
      <c r="B1028" s="1" t="s">
        <v>3131</v>
      </c>
      <c r="C1028" s="1" t="s">
        <v>82</v>
      </c>
      <c r="D1028" s="1" t="s">
        <v>82</v>
      </c>
      <c r="E1028" s="6">
        <v>294.27999999999997</v>
      </c>
      <c r="F1028" s="1" t="s">
        <v>40</v>
      </c>
      <c r="G1028" s="6">
        <f ca="1">IFERROR(__xludf.DUMMYFUNCTION("iferror(GOOGLEFINANCE(TRIM(F1028)&amp;"":"" &amp; TRIM(B1028), ""price""),0
)"),93)</f>
        <v>93</v>
      </c>
      <c r="H1028" s="6">
        <v>159.15</v>
      </c>
      <c r="I1028" s="6">
        <f t="shared" ca="1" si="0"/>
        <v>93</v>
      </c>
      <c r="J1028" s="6">
        <f ca="1">IFERROR(__xludf.DUMMYFUNCTION("IFERROR(GOOGLEFINANCE(B1028, ""volume""), 0)"),19383)</f>
        <v>19383</v>
      </c>
      <c r="K1028" s="6">
        <v>0.09</v>
      </c>
      <c r="L1028" s="6">
        <f ca="1">IFERROR(__xludf.DUMMYFUNCTION("IFERROR(GOOGLEFINANCE(B1028,""changepct""),K1028)"),-2.11)</f>
        <v>-2.11</v>
      </c>
      <c r="M1028" s="6">
        <f ca="1">IFERROR(__xludf.DUMMYFUNCTION("IFERROR(GOOGLEFINANCE(B1028,""change""),0)"),-2)</f>
        <v>-2</v>
      </c>
      <c r="N1028" s="6">
        <v>1</v>
      </c>
      <c r="O1028" s="7">
        <v>45536</v>
      </c>
      <c r="P1028" s="6">
        <v>147.29</v>
      </c>
      <c r="Q1028" s="6">
        <v>440.14</v>
      </c>
      <c r="R1028" s="7">
        <v>45536</v>
      </c>
      <c r="S1028" s="6">
        <v>390</v>
      </c>
      <c r="T1028" s="6">
        <v>10.1</v>
      </c>
      <c r="U1028" s="7">
        <v>45536</v>
      </c>
      <c r="V1028" s="6">
        <v>29.14</v>
      </c>
      <c r="W1028" s="6">
        <f ca="1">IFERROR(__xludf.DUMMYFUNCTION("IFERROR(GOOGLEFINANCE(B1028,""pe""),V1028)"),23.83)</f>
        <v>23.83</v>
      </c>
      <c r="X1028" s="6">
        <v>-2.65</v>
      </c>
      <c r="Y1028" s="6">
        <v>1.6</v>
      </c>
      <c r="Z1028" s="6">
        <v>1</v>
      </c>
      <c r="AA1028" s="8">
        <v>45352</v>
      </c>
      <c r="AB1028" s="4">
        <v>0.92</v>
      </c>
      <c r="AC1028" s="6">
        <v>6.01</v>
      </c>
      <c r="AD1028" s="6">
        <v>8.42</v>
      </c>
      <c r="AE1028" s="1">
        <v>0</v>
      </c>
      <c r="AF1028" s="1">
        <f ca="1">IFERROR(__xludf.DUMMYFUNCTION("IFERROR(GOOGLEFINANCE(TRIM(F1028)&amp;"":"" &amp; TRIM(B1028),""high52""),AE1028)"),134.8)</f>
        <v>134.80000000000001</v>
      </c>
      <c r="AG1028" s="1">
        <v>0</v>
      </c>
      <c r="AH1028" s="1">
        <f ca="1">IFERROR(__xludf.DUMMYFUNCTION("IFERROR(GOOGLEFINANCE(TRIM(F1028)&amp;"":"" &amp; TRIM(B1028),""low52""),AE1028)"),79.96)</f>
        <v>79.959999999999994</v>
      </c>
      <c r="AI1028" s="1">
        <f ca="1">IFERROR(__xludf.DUMMYFUNCTION("IFERROR(GOOGLEFINANCE(B1028,""eps""),0)"),3.9)</f>
        <v>3.9</v>
      </c>
      <c r="AJ1028" s="1"/>
      <c r="AK1028" s="1" t="s">
        <v>3132</v>
      </c>
      <c r="AL1028" s="9">
        <f t="shared" si="154"/>
        <v>1</v>
      </c>
    </row>
    <row r="1029" spans="1:38" ht="15" x14ac:dyDescent="0.25">
      <c r="A1029" s="1" t="s">
        <v>3133</v>
      </c>
      <c r="B1029" s="1" t="s">
        <v>3134</v>
      </c>
      <c r="C1029" s="1" t="s">
        <v>2432</v>
      </c>
      <c r="D1029" s="1" t="s">
        <v>2432</v>
      </c>
      <c r="E1029" s="6">
        <v>43.89</v>
      </c>
      <c r="F1029" s="1" t="s">
        <v>53</v>
      </c>
      <c r="G1029" s="6">
        <f ca="1">IFERROR(__xludf.DUMMYFUNCTION("iferror(GOOGLEFINANCE(TRIM(F1029)&amp;"":"" &amp; TRIM(B1029), ""price""),0
)"),0)</f>
        <v>0</v>
      </c>
      <c r="H1029" s="6">
        <v>91</v>
      </c>
      <c r="I1029" s="6">
        <f t="shared" ca="1" si="0"/>
        <v>91</v>
      </c>
      <c r="J1029" s="6">
        <f ca="1">IFERROR(__xludf.DUMMYFUNCTION("IFERROR(GOOGLEFINANCE(B1029, ""volume""), 0)"),0)</f>
        <v>0</v>
      </c>
      <c r="K1029" s="9"/>
      <c r="L1029" s="6" t="str">
        <f ca="1">IFERROR(__xludf.DUMMYFUNCTION("IFERROR(GOOGLEFINANCE(B1029,""changepct""),K1029)"),"")</f>
        <v/>
      </c>
      <c r="M1029" s="6">
        <f ca="1">IFERROR(__xludf.DUMMYFUNCTION("IFERROR(GOOGLEFINANCE(B1029,""change""),0)"),0)</f>
        <v>0</v>
      </c>
      <c r="N1029" s="6">
        <v>1</v>
      </c>
      <c r="O1029" s="7">
        <v>45536</v>
      </c>
      <c r="P1029" s="9"/>
      <c r="Q1029" s="6">
        <v>43.89</v>
      </c>
      <c r="R1029" s="7">
        <v>45352</v>
      </c>
      <c r="S1029" s="6">
        <v>21.4</v>
      </c>
      <c r="T1029" s="6">
        <v>3.02</v>
      </c>
      <c r="U1029" s="7">
        <v>45352</v>
      </c>
      <c r="V1029" s="6">
        <v>14.54</v>
      </c>
      <c r="W1029" s="6">
        <f ca="1">IFERROR(__xludf.DUMMYFUNCTION("IFERROR(GOOGLEFINANCE(B1029,""pe""),V1029)"),14.54)</f>
        <v>14.54</v>
      </c>
      <c r="X1029" s="9"/>
      <c r="Y1029" s="6">
        <v>1.85</v>
      </c>
      <c r="Z1029" s="6">
        <v>1</v>
      </c>
      <c r="AA1029" s="8">
        <v>45352</v>
      </c>
      <c r="AB1029" s="4">
        <v>0</v>
      </c>
      <c r="AC1029" s="6">
        <v>143.47999999999999</v>
      </c>
      <c r="AD1029" s="6">
        <v>191.74</v>
      </c>
      <c r="AE1029" s="1">
        <v>0</v>
      </c>
      <c r="AF1029" s="1">
        <f ca="1">IFERROR(__xludf.DUMMYFUNCTION("IFERROR(GOOGLEFINANCE(TRIM(F1029)&amp;"":"" &amp; TRIM(B1029),""high52""),AE1029)"),0)</f>
        <v>0</v>
      </c>
      <c r="AG1029" s="1">
        <v>0</v>
      </c>
      <c r="AH1029" s="1">
        <f ca="1">IFERROR(__xludf.DUMMYFUNCTION("IFERROR(GOOGLEFINANCE(TRIM(F1029)&amp;"":"" &amp; TRIM(B1029),""low52""),AE1029)"),0)</f>
        <v>0</v>
      </c>
      <c r="AI1029" s="1">
        <f ca="1">IFERROR(__xludf.DUMMYFUNCTION("IFERROR(GOOGLEFINANCE(B1029,""eps""),0)"),0)</f>
        <v>0</v>
      </c>
      <c r="AJ1029" s="1"/>
      <c r="AK1029" s="1" t="s">
        <v>3135</v>
      </c>
      <c r="AL1029" s="9">
        <f t="shared" si="154"/>
        <v>1</v>
      </c>
    </row>
    <row r="1030" spans="1:38" ht="15" x14ac:dyDescent="0.25">
      <c r="A1030" s="1" t="s">
        <v>3136</v>
      </c>
      <c r="B1030" s="1" t="s">
        <v>3137</v>
      </c>
      <c r="C1030" s="1" t="s">
        <v>2432</v>
      </c>
      <c r="D1030" s="1" t="s">
        <v>2432</v>
      </c>
      <c r="E1030" s="6">
        <v>309.64999999999998</v>
      </c>
      <c r="F1030" s="1" t="s">
        <v>53</v>
      </c>
      <c r="G1030" s="6">
        <f ca="1">IFERROR(__xludf.DUMMYFUNCTION("iferror(GOOGLEFINANCE(TRIM(F1030)&amp;"":"" &amp; TRIM(B1030), ""price""),0
)"),0)</f>
        <v>0</v>
      </c>
      <c r="H1030" s="6">
        <v>9.36</v>
      </c>
      <c r="I1030" s="6">
        <f t="shared" ca="1" si="0"/>
        <v>9.36</v>
      </c>
      <c r="J1030" s="6">
        <f ca="1">IFERROR(__xludf.DUMMYFUNCTION("IFERROR(GOOGLEFINANCE(B1030, ""volume""), 0)"),0)</f>
        <v>0</v>
      </c>
      <c r="K1030" s="6">
        <v>0.75</v>
      </c>
      <c r="L1030" s="6">
        <f ca="1">IFERROR(__xludf.DUMMYFUNCTION("IFERROR(GOOGLEFINANCE(B1030,""changepct""),K1030)"),0.75)</f>
        <v>0.75</v>
      </c>
      <c r="M1030" s="6">
        <f ca="1">IFERROR(__xludf.DUMMYFUNCTION("IFERROR(GOOGLEFINANCE(B1030,""change""),0)"),0)</f>
        <v>0</v>
      </c>
      <c r="N1030" s="6">
        <v>1</v>
      </c>
      <c r="O1030" s="7">
        <v>45536</v>
      </c>
      <c r="P1030" s="6">
        <v>8.33</v>
      </c>
      <c r="Q1030" s="6">
        <v>317.98</v>
      </c>
      <c r="R1030" s="15">
        <v>45536</v>
      </c>
      <c r="S1030" s="6">
        <v>231.79</v>
      </c>
      <c r="T1030" s="6">
        <v>11.29</v>
      </c>
      <c r="U1030" s="15">
        <v>45536</v>
      </c>
      <c r="V1030" s="6">
        <v>27.43</v>
      </c>
      <c r="W1030" s="6">
        <f ca="1">IFERROR(__xludf.DUMMYFUNCTION("IFERROR(GOOGLEFINANCE(B1030,""pe""),V1030)"),27.43)</f>
        <v>27.43</v>
      </c>
      <c r="X1030" s="6">
        <v>0.34</v>
      </c>
      <c r="Y1030" s="6">
        <v>2.17</v>
      </c>
      <c r="Z1030" s="6">
        <v>1</v>
      </c>
      <c r="AA1030" s="8">
        <v>45352</v>
      </c>
      <c r="AB1030" s="4">
        <v>0.02</v>
      </c>
      <c r="AC1030" s="6">
        <v>8.61</v>
      </c>
      <c r="AD1030" s="6">
        <v>11.57</v>
      </c>
      <c r="AE1030" s="1">
        <v>0</v>
      </c>
      <c r="AF1030" s="1">
        <f ca="1">IFERROR(__xludf.DUMMYFUNCTION("IFERROR(GOOGLEFINANCE(TRIM(F1030)&amp;"":"" &amp; TRIM(B1030),""high52""),AE1030)"),0)</f>
        <v>0</v>
      </c>
      <c r="AG1030" s="1">
        <v>0</v>
      </c>
      <c r="AH1030" s="1">
        <f ca="1">IFERROR(__xludf.DUMMYFUNCTION("IFERROR(GOOGLEFINANCE(TRIM(F1030)&amp;"":"" &amp; TRIM(B1030),""low52""),AE1030)"),0)</f>
        <v>0</v>
      </c>
      <c r="AI1030" s="1">
        <f ca="1">IFERROR(__xludf.DUMMYFUNCTION("IFERROR(GOOGLEFINANCE(B1030,""eps""),0)"),0)</f>
        <v>0</v>
      </c>
      <c r="AJ1030" s="1"/>
      <c r="AK1030" s="1" t="s">
        <v>3138</v>
      </c>
      <c r="AL1030" s="9">
        <f t="shared" si="154"/>
        <v>1</v>
      </c>
    </row>
    <row r="1031" spans="1:38" ht="15" x14ac:dyDescent="0.25">
      <c r="A1031" s="1" t="s">
        <v>3139</v>
      </c>
      <c r="B1031" s="1" t="s">
        <v>3140</v>
      </c>
      <c r="C1031" s="1" t="s">
        <v>2432</v>
      </c>
      <c r="D1031" s="1" t="s">
        <v>2432</v>
      </c>
      <c r="E1031" s="6">
        <v>1272.6199999999999</v>
      </c>
      <c r="F1031" s="1" t="s">
        <v>53</v>
      </c>
      <c r="G1031" s="6">
        <f ca="1">IFERROR(__xludf.DUMMYFUNCTION("iferror(GOOGLEFINANCE(TRIM(F1031)&amp;"":"" &amp; TRIM(B1031), ""price""),0
)"),0)</f>
        <v>0</v>
      </c>
      <c r="H1031" s="6">
        <v>802.1</v>
      </c>
      <c r="I1031" s="6">
        <f t="shared" ca="1" si="0"/>
        <v>802.1</v>
      </c>
      <c r="J1031" s="6">
        <f ca="1">IFERROR(__xludf.DUMMYFUNCTION("IFERROR(GOOGLEFINANCE(B1031, ""volume""), 0)"),0)</f>
        <v>0</v>
      </c>
      <c r="K1031" s="6">
        <v>0.89</v>
      </c>
      <c r="L1031" s="6">
        <f ca="1">IFERROR(__xludf.DUMMYFUNCTION("IFERROR(GOOGLEFINANCE(B1031,""changepct""),K1031)"),0.89)</f>
        <v>0.89</v>
      </c>
      <c r="M1031" s="6">
        <f ca="1">IFERROR(__xludf.DUMMYFUNCTION("IFERROR(GOOGLEFINANCE(B1031,""change""),0)"),0)</f>
        <v>0</v>
      </c>
      <c r="N1031" s="6">
        <v>2</v>
      </c>
      <c r="O1031" s="7">
        <v>45536</v>
      </c>
      <c r="P1031" s="6">
        <v>578.29999999999995</v>
      </c>
      <c r="Q1031" s="6">
        <v>1547.48</v>
      </c>
      <c r="R1031" s="7">
        <v>45536</v>
      </c>
      <c r="S1031" s="6">
        <v>3090.49</v>
      </c>
      <c r="T1031" s="6">
        <v>73.31</v>
      </c>
      <c r="U1031" s="7">
        <v>45536</v>
      </c>
      <c r="V1031" s="6">
        <v>17.59</v>
      </c>
      <c r="W1031" s="6">
        <f ca="1">IFERROR(__xludf.DUMMYFUNCTION("IFERROR(GOOGLEFINANCE(B1031,""pe""),V1031)"),17.59)</f>
        <v>17.59</v>
      </c>
      <c r="X1031" s="6">
        <v>-2.17</v>
      </c>
      <c r="Y1031" s="6">
        <v>0.82</v>
      </c>
      <c r="Z1031" s="6">
        <v>2</v>
      </c>
      <c r="AA1031" s="8">
        <v>45352</v>
      </c>
      <c r="AB1031" s="4">
        <v>0.49</v>
      </c>
      <c r="AC1031" s="6">
        <v>5.26</v>
      </c>
      <c r="AD1031" s="6">
        <v>6.34</v>
      </c>
      <c r="AE1031" s="1">
        <v>0</v>
      </c>
      <c r="AF1031" s="1">
        <f ca="1">IFERROR(__xludf.DUMMYFUNCTION("IFERROR(GOOGLEFINANCE(TRIM(F1031)&amp;"":"" &amp; TRIM(B1031),""high52""),AE1031)"),0)</f>
        <v>0</v>
      </c>
      <c r="AG1031" s="1">
        <v>0</v>
      </c>
      <c r="AH1031" s="1">
        <f ca="1">IFERROR(__xludf.DUMMYFUNCTION("IFERROR(GOOGLEFINANCE(TRIM(F1031)&amp;"":"" &amp; TRIM(B1031),""low52""),AE1031)"),0)</f>
        <v>0</v>
      </c>
      <c r="AI1031" s="1">
        <f ca="1">IFERROR(__xludf.DUMMYFUNCTION("IFERROR(GOOGLEFINANCE(B1031,""eps""),0)"),0)</f>
        <v>0</v>
      </c>
      <c r="AJ1031" s="1"/>
      <c r="AK1031" s="1" t="s">
        <v>3141</v>
      </c>
      <c r="AL1031" s="9">
        <f t="shared" si="154"/>
        <v>1</v>
      </c>
    </row>
    <row r="1032" spans="1:38" ht="15" x14ac:dyDescent="0.25">
      <c r="A1032" s="1" t="s">
        <v>3142</v>
      </c>
      <c r="B1032" s="1" t="s">
        <v>3143</v>
      </c>
      <c r="C1032" s="1" t="s">
        <v>2432</v>
      </c>
      <c r="D1032" s="1" t="s">
        <v>2432</v>
      </c>
      <c r="E1032" s="6">
        <v>22.33</v>
      </c>
      <c r="F1032" s="1" t="s">
        <v>53</v>
      </c>
      <c r="G1032" s="6">
        <f ca="1">IFERROR(__xludf.DUMMYFUNCTION("iferror(GOOGLEFINANCE(TRIM(F1032)&amp;"":"" &amp; TRIM(B1032), ""price""),0
)"),0)</f>
        <v>0</v>
      </c>
      <c r="H1032" s="6">
        <v>14.66</v>
      </c>
      <c r="I1032" s="6">
        <f t="shared" ca="1" si="0"/>
        <v>14.66</v>
      </c>
      <c r="J1032" s="6">
        <f ca="1">IFERROR(__xludf.DUMMYFUNCTION("IFERROR(GOOGLEFINANCE(B1032, ""volume""), 0)"),0)</f>
        <v>0</v>
      </c>
      <c r="K1032" s="6">
        <v>-1.28</v>
      </c>
      <c r="L1032" s="6">
        <f ca="1">IFERROR(__xludf.DUMMYFUNCTION("IFERROR(GOOGLEFINANCE(B1032,""changepct""),K1032)"),-1.28)</f>
        <v>-1.28</v>
      </c>
      <c r="M1032" s="6">
        <f ca="1">IFERROR(__xludf.DUMMYFUNCTION("IFERROR(GOOGLEFINANCE(B1032,""change""),0)"),0)</f>
        <v>0</v>
      </c>
      <c r="N1032" s="6">
        <v>1</v>
      </c>
      <c r="O1032" s="7">
        <v>45352</v>
      </c>
      <c r="P1032" s="6">
        <v>1.68</v>
      </c>
      <c r="Q1032" s="6">
        <v>17.18</v>
      </c>
      <c r="R1032" s="7">
        <v>45536</v>
      </c>
      <c r="S1032" s="6">
        <v>93.4</v>
      </c>
      <c r="T1032" s="6">
        <v>0.59</v>
      </c>
      <c r="U1032" s="7">
        <v>45536</v>
      </c>
      <c r="V1032" s="6">
        <v>38.049999999999997</v>
      </c>
      <c r="W1032" s="6">
        <f ca="1">IFERROR(__xludf.DUMMYFUNCTION("IFERROR(GOOGLEFINANCE(B1032,""pe""),V1032)"),38.05)</f>
        <v>38.049999999999997</v>
      </c>
      <c r="X1032" s="6">
        <v>0.6</v>
      </c>
      <c r="Y1032" s="6">
        <v>0.94</v>
      </c>
      <c r="Z1032" s="6">
        <v>1</v>
      </c>
      <c r="AA1032" s="8">
        <v>45352</v>
      </c>
      <c r="AB1032" s="4">
        <v>7.0000000000000007E-2</v>
      </c>
      <c r="AC1032" s="6">
        <v>3.86</v>
      </c>
      <c r="AD1032" s="6">
        <v>6.22</v>
      </c>
      <c r="AE1032" s="1">
        <v>0</v>
      </c>
      <c r="AF1032" s="1">
        <f ca="1">IFERROR(__xludf.DUMMYFUNCTION("IFERROR(GOOGLEFINANCE(TRIM(F1032)&amp;"":"" &amp; TRIM(B1032),""high52""),AE1032)"),0)</f>
        <v>0</v>
      </c>
      <c r="AG1032" s="1">
        <v>0</v>
      </c>
      <c r="AH1032" s="1">
        <f ca="1">IFERROR(__xludf.DUMMYFUNCTION("IFERROR(GOOGLEFINANCE(TRIM(F1032)&amp;"":"" &amp; TRIM(B1032),""low52""),AE1032)"),0)</f>
        <v>0</v>
      </c>
      <c r="AI1032" s="1">
        <f ca="1">IFERROR(__xludf.DUMMYFUNCTION("IFERROR(GOOGLEFINANCE(B1032,""eps""),0)"),0)</f>
        <v>0</v>
      </c>
      <c r="AJ1032" s="1"/>
      <c r="AK1032" s="1" t="s">
        <v>3144</v>
      </c>
      <c r="AL1032" s="9">
        <f t="shared" si="154"/>
        <v>1</v>
      </c>
    </row>
    <row r="1033" spans="1:38" ht="15" x14ac:dyDescent="0.25">
      <c r="A1033" s="1" t="s">
        <v>3145</v>
      </c>
      <c r="B1033" s="1" t="s">
        <v>3146</v>
      </c>
      <c r="C1033" s="1" t="s">
        <v>86</v>
      </c>
      <c r="D1033" s="1" t="s">
        <v>86</v>
      </c>
      <c r="E1033" s="6">
        <v>4813.13</v>
      </c>
      <c r="F1033" s="1" t="s">
        <v>40</v>
      </c>
      <c r="G1033" s="6">
        <f ca="1">IFERROR(__xludf.DUMMYFUNCTION("iferror(GOOGLEFINANCE(TRIM(F1033)&amp;"":"" &amp; TRIM(B1033), ""price""),0
)"),334.45)</f>
        <v>334.45</v>
      </c>
      <c r="H1033" s="6">
        <v>881.15</v>
      </c>
      <c r="I1033" s="6">
        <f t="shared" ca="1" si="0"/>
        <v>334.45</v>
      </c>
      <c r="J1033" s="6">
        <f ca="1">IFERROR(__xludf.DUMMYFUNCTION("IFERROR(GOOGLEFINANCE(B1033, ""volume""), 0)"),125161)</f>
        <v>125161</v>
      </c>
      <c r="K1033" s="6">
        <v>1.56</v>
      </c>
      <c r="L1033" s="6">
        <f ca="1">IFERROR(__xludf.DUMMYFUNCTION("IFERROR(GOOGLEFINANCE(B1033,""changepct""),K1033)"),-0.87)</f>
        <v>-0.87</v>
      </c>
      <c r="M1033" s="6">
        <f ca="1">IFERROR(__xludf.DUMMYFUNCTION("IFERROR(GOOGLEFINANCE(B1033,""change""),0)"),-2.95)</f>
        <v>-2.95</v>
      </c>
      <c r="N1033" s="6">
        <v>2</v>
      </c>
      <c r="O1033" s="7">
        <v>45536</v>
      </c>
      <c r="P1033" s="6">
        <v>78.569999999999993</v>
      </c>
      <c r="Q1033" s="6">
        <v>4747.97</v>
      </c>
      <c r="R1033" s="7">
        <v>45536</v>
      </c>
      <c r="S1033" s="6">
        <v>884.57</v>
      </c>
      <c r="T1033" s="6">
        <v>171.63</v>
      </c>
      <c r="U1033" s="7">
        <v>45536</v>
      </c>
      <c r="V1033" s="6">
        <v>28.07</v>
      </c>
      <c r="W1033" s="6">
        <f ca="1">IFERROR(__xludf.DUMMYFUNCTION("IFERROR(GOOGLEFINANCE(B1033,""pe""),V1033)"),11.4)</f>
        <v>11.4</v>
      </c>
      <c r="X1033" s="9"/>
      <c r="Y1033" s="6">
        <v>5.44</v>
      </c>
      <c r="Z1033" s="6">
        <v>2</v>
      </c>
      <c r="AA1033" s="8">
        <v>45352</v>
      </c>
      <c r="AB1033" s="4">
        <v>0.09</v>
      </c>
      <c r="AC1033" s="6">
        <v>23.69</v>
      </c>
      <c r="AD1033" s="6">
        <v>30.33</v>
      </c>
      <c r="AE1033" s="1">
        <v>0</v>
      </c>
      <c r="AF1033" s="1">
        <f ca="1">IFERROR(__xludf.DUMMYFUNCTION("IFERROR(GOOGLEFINANCE(TRIM(F1033)&amp;"":"" &amp; TRIM(B1033),""high52""),AE1033)"),802.5)</f>
        <v>802.5</v>
      </c>
      <c r="AG1033" s="1">
        <v>0</v>
      </c>
      <c r="AH1033" s="1">
        <f ca="1">IFERROR(__xludf.DUMMYFUNCTION("IFERROR(GOOGLEFINANCE(TRIM(F1033)&amp;"":"" &amp; TRIM(B1033),""low52""),AE1033)"),322.15)</f>
        <v>322.14999999999998</v>
      </c>
      <c r="AI1033" s="1">
        <f ca="1">IFERROR(__xludf.DUMMYFUNCTION("IFERROR(GOOGLEFINANCE(B1033,""eps""),0)"),29.33)</f>
        <v>29.33</v>
      </c>
      <c r="AJ1033" s="1"/>
      <c r="AK1033" s="1" t="s">
        <v>3147</v>
      </c>
      <c r="AL1033" s="9">
        <f t="shared" si="154"/>
        <v>1</v>
      </c>
    </row>
    <row r="1034" spans="1:38" ht="15" x14ac:dyDescent="0.25">
      <c r="A1034" s="1" t="s">
        <v>3148</v>
      </c>
      <c r="B1034" s="1" t="s">
        <v>3149</v>
      </c>
      <c r="C1034" s="1" t="s">
        <v>2432</v>
      </c>
      <c r="D1034" s="1" t="s">
        <v>2432</v>
      </c>
      <c r="E1034" s="6">
        <v>15.66</v>
      </c>
      <c r="F1034" s="1" t="s">
        <v>53</v>
      </c>
      <c r="G1034" s="6">
        <f ca="1">IFERROR(__xludf.DUMMYFUNCTION("iferror(GOOGLEFINANCE(TRIM(F1034)&amp;"":"" &amp; TRIM(B1034), ""price""),0
)"),0)</f>
        <v>0</v>
      </c>
      <c r="H1034" s="6">
        <v>3.16</v>
      </c>
      <c r="I1034" s="6">
        <f t="shared" ca="1" si="0"/>
        <v>3.16</v>
      </c>
      <c r="J1034" s="6">
        <f ca="1">IFERROR(__xludf.DUMMYFUNCTION("IFERROR(GOOGLEFINANCE(B1034, ""volume""), 0)"),0)</f>
        <v>0</v>
      </c>
      <c r="K1034" s="6">
        <v>0.96</v>
      </c>
      <c r="L1034" s="6">
        <f ca="1">IFERROR(__xludf.DUMMYFUNCTION("IFERROR(GOOGLEFINANCE(B1034,""changepct""),K1034)"),0.96)</f>
        <v>0.96</v>
      </c>
      <c r="M1034" s="6">
        <f ca="1">IFERROR(__xludf.DUMMYFUNCTION("IFERROR(GOOGLEFINANCE(B1034,""change""),0)"),0)</f>
        <v>0</v>
      </c>
      <c r="N1034" s="6">
        <v>1</v>
      </c>
      <c r="O1034" s="7">
        <v>45536</v>
      </c>
      <c r="P1034" s="6">
        <v>4.6900000000000004</v>
      </c>
      <c r="Q1034" s="6">
        <v>20.350000000000001</v>
      </c>
      <c r="R1034" s="7">
        <v>45536</v>
      </c>
      <c r="S1034" s="6">
        <v>26.71</v>
      </c>
      <c r="T1034" s="6">
        <v>1.92</v>
      </c>
      <c r="U1034" s="7">
        <v>45536</v>
      </c>
      <c r="V1034" s="6">
        <v>8.1300000000000008</v>
      </c>
      <c r="W1034" s="6">
        <f ca="1">IFERROR(__xludf.DUMMYFUNCTION("IFERROR(GOOGLEFINANCE(B1034,""pe""),V1034)"),8.13)</f>
        <v>8.1300000000000008</v>
      </c>
      <c r="X1034" s="6">
        <v>0.11</v>
      </c>
      <c r="Y1034" s="6">
        <v>0.8</v>
      </c>
      <c r="Z1034" s="6">
        <v>1</v>
      </c>
      <c r="AA1034" s="8">
        <v>44621</v>
      </c>
      <c r="AB1034" s="4">
        <v>0</v>
      </c>
      <c r="AC1034" s="6">
        <v>6.28</v>
      </c>
      <c r="AD1034" s="6">
        <v>7.41</v>
      </c>
      <c r="AE1034" s="1">
        <v>0</v>
      </c>
      <c r="AF1034" s="1">
        <f ca="1">IFERROR(__xludf.DUMMYFUNCTION("IFERROR(GOOGLEFINANCE(TRIM(F1034)&amp;"":"" &amp; TRIM(B1034),""high52""),AE1034)"),0)</f>
        <v>0</v>
      </c>
      <c r="AG1034" s="1">
        <v>0</v>
      </c>
      <c r="AH1034" s="1">
        <f ca="1">IFERROR(__xludf.DUMMYFUNCTION("IFERROR(GOOGLEFINANCE(TRIM(F1034)&amp;"":"" &amp; TRIM(B1034),""low52""),AE1034)"),0)</f>
        <v>0</v>
      </c>
      <c r="AI1034" s="1">
        <f ca="1">IFERROR(__xludf.DUMMYFUNCTION("IFERROR(GOOGLEFINANCE(B1034,""eps""),0)"),0)</f>
        <v>0</v>
      </c>
      <c r="AJ1034" s="1"/>
      <c r="AK1034" s="1" t="s">
        <v>3150</v>
      </c>
      <c r="AL1034" s="9">
        <f t="shared" si="154"/>
        <v>1</v>
      </c>
    </row>
    <row r="1035" spans="1:38" ht="15" x14ac:dyDescent="0.25">
      <c r="A1035" s="1" t="s">
        <v>3151</v>
      </c>
      <c r="B1035" s="1" t="s">
        <v>3152</v>
      </c>
      <c r="C1035" s="1" t="s">
        <v>2432</v>
      </c>
      <c r="D1035" s="1" t="s">
        <v>2432</v>
      </c>
      <c r="E1035" s="6">
        <v>33.630000000000003</v>
      </c>
      <c r="F1035" s="1" t="s">
        <v>53</v>
      </c>
      <c r="G1035" s="6">
        <f ca="1">IFERROR(__xludf.DUMMYFUNCTION("iferror(GOOGLEFINANCE(TRIM(F1035)&amp;"":"" &amp; TRIM(B1035), ""price""),0
)"),0)</f>
        <v>0</v>
      </c>
      <c r="H1035" s="6">
        <v>6.65</v>
      </c>
      <c r="I1035" s="6">
        <f t="shared" ca="1" si="0"/>
        <v>6.65</v>
      </c>
      <c r="J1035" s="6">
        <f ca="1">IFERROR(__xludf.DUMMYFUNCTION("IFERROR(GOOGLEFINANCE(B1035, ""volume""), 0)"),0)</f>
        <v>0</v>
      </c>
      <c r="K1035" s="6">
        <v>-5</v>
      </c>
      <c r="L1035" s="6">
        <f ca="1">IFERROR(__xludf.DUMMYFUNCTION("IFERROR(GOOGLEFINANCE(B1035,""changepct""),K1035)"),-5)</f>
        <v>-5</v>
      </c>
      <c r="M1035" s="6">
        <f ca="1">IFERROR(__xludf.DUMMYFUNCTION("IFERROR(GOOGLEFINANCE(B1035,""change""),0)"),0)</f>
        <v>0</v>
      </c>
      <c r="N1035" s="6">
        <v>2</v>
      </c>
      <c r="O1035" s="7">
        <v>45536</v>
      </c>
      <c r="P1035" s="6">
        <v>0.6</v>
      </c>
      <c r="Q1035" s="6">
        <v>34.229999999999997</v>
      </c>
      <c r="R1035" s="7">
        <v>45536</v>
      </c>
      <c r="S1035" s="6">
        <v>3.36</v>
      </c>
      <c r="T1035" s="6">
        <v>0.86</v>
      </c>
      <c r="U1035" s="7">
        <v>45536</v>
      </c>
      <c r="V1035" s="6">
        <v>37.96</v>
      </c>
      <c r="W1035" s="6">
        <f ca="1">IFERROR(__xludf.DUMMYFUNCTION("IFERROR(GOOGLEFINANCE(B1035,""pe""),V1035)"),37.96)</f>
        <v>37.96</v>
      </c>
      <c r="X1035" s="9"/>
      <c r="Y1035" s="6">
        <v>1.59</v>
      </c>
      <c r="Z1035" s="6">
        <v>2</v>
      </c>
      <c r="AA1035" s="8">
        <v>45352</v>
      </c>
      <c r="AB1035" s="4">
        <v>0.08</v>
      </c>
      <c r="AC1035" s="6">
        <v>2.04</v>
      </c>
      <c r="AD1035" s="6">
        <v>3.77</v>
      </c>
      <c r="AE1035" s="1">
        <v>0</v>
      </c>
      <c r="AF1035" s="1">
        <f ca="1">IFERROR(__xludf.DUMMYFUNCTION("IFERROR(GOOGLEFINANCE(TRIM(F1035)&amp;"":"" &amp; TRIM(B1035),""high52""),AE1035)"),0)</f>
        <v>0</v>
      </c>
      <c r="AG1035" s="1">
        <v>0</v>
      </c>
      <c r="AH1035" s="1">
        <f ca="1">IFERROR(__xludf.DUMMYFUNCTION("IFERROR(GOOGLEFINANCE(TRIM(F1035)&amp;"":"" &amp; TRIM(B1035),""low52""),AE1035)"),0)</f>
        <v>0</v>
      </c>
      <c r="AI1035" s="1">
        <f ca="1">IFERROR(__xludf.DUMMYFUNCTION("IFERROR(GOOGLEFINANCE(B1035,""eps""),0)"),0)</f>
        <v>0</v>
      </c>
      <c r="AJ1035" s="1"/>
      <c r="AK1035" s="1" t="s">
        <v>3153</v>
      </c>
      <c r="AL1035" s="9">
        <f t="shared" si="154"/>
        <v>1</v>
      </c>
    </row>
    <row r="1036" spans="1:38" ht="15" x14ac:dyDescent="0.25">
      <c r="A1036" s="1" t="s">
        <v>3154</v>
      </c>
      <c r="B1036" s="1" t="s">
        <v>3155</v>
      </c>
      <c r="C1036" s="1" t="s">
        <v>2432</v>
      </c>
      <c r="D1036" s="1" t="s">
        <v>2432</v>
      </c>
      <c r="E1036" s="6">
        <v>23.56</v>
      </c>
      <c r="F1036" s="1" t="s">
        <v>53</v>
      </c>
      <c r="G1036" s="6">
        <f ca="1">IFERROR(__xludf.DUMMYFUNCTION("iferror(GOOGLEFINANCE(TRIM(F1036)&amp;"":"" &amp; TRIM(B1036), ""price""),0
)"),0)</f>
        <v>0</v>
      </c>
      <c r="H1036" s="6">
        <v>5.22</v>
      </c>
      <c r="I1036" s="6">
        <f t="shared" ca="1" si="0"/>
        <v>5.22</v>
      </c>
      <c r="J1036" s="6">
        <f ca="1">IFERROR(__xludf.DUMMYFUNCTION("IFERROR(GOOGLEFINANCE(B1036, ""volume""), 0)"),17000)</f>
        <v>17000</v>
      </c>
      <c r="K1036" s="6">
        <v>2.15</v>
      </c>
      <c r="L1036" s="6">
        <f ca="1">IFERROR(__xludf.DUMMYFUNCTION("IFERROR(GOOGLEFINANCE(B1036,""changepct""),K1036)"),7.14)</f>
        <v>7.14</v>
      </c>
      <c r="M1036" s="6">
        <f ca="1">IFERROR(__xludf.DUMMYFUNCTION("IFERROR(GOOGLEFINANCE(B1036,""change""),0)"),0.01)</f>
        <v>0.01</v>
      </c>
      <c r="N1036" s="6">
        <v>1</v>
      </c>
      <c r="O1036" s="7">
        <v>45536</v>
      </c>
      <c r="P1036" s="6">
        <v>5.52</v>
      </c>
      <c r="Q1036" s="6">
        <v>29.08</v>
      </c>
      <c r="R1036" s="7">
        <v>45536</v>
      </c>
      <c r="S1036" s="6">
        <v>92.88</v>
      </c>
      <c r="T1036" s="6">
        <v>0.18</v>
      </c>
      <c r="U1036" s="7">
        <v>45536</v>
      </c>
      <c r="V1036" s="6">
        <v>127.36</v>
      </c>
      <c r="W1036" s="6">
        <f ca="1">IFERROR(__xludf.DUMMYFUNCTION("IFERROR(GOOGLEFINANCE(B1036,""pe""),V1036)"),127.36)</f>
        <v>127.36</v>
      </c>
      <c r="X1036" s="6">
        <v>7.66</v>
      </c>
      <c r="Y1036" s="6">
        <v>0.43</v>
      </c>
      <c r="Z1036" s="6">
        <v>1</v>
      </c>
      <c r="AA1036" s="8">
        <v>45352</v>
      </c>
      <c r="AB1036" s="4">
        <v>0.08</v>
      </c>
      <c r="AC1036" s="6">
        <v>1.02</v>
      </c>
      <c r="AD1036" s="6">
        <v>2.06</v>
      </c>
      <c r="AE1036" s="1">
        <v>0</v>
      </c>
      <c r="AF1036" s="1">
        <f ca="1">IFERROR(__xludf.DUMMYFUNCTION("IFERROR(GOOGLEFINANCE(TRIM(F1036)&amp;"":"" &amp; TRIM(B1036),""high52""),AE1036)"),0)</f>
        <v>0</v>
      </c>
      <c r="AG1036" s="1">
        <v>0</v>
      </c>
      <c r="AH1036" s="1">
        <f ca="1">IFERROR(__xludf.DUMMYFUNCTION("IFERROR(GOOGLEFINANCE(TRIM(F1036)&amp;"":"" &amp; TRIM(B1036),""low52""),AE1036)"),0)</f>
        <v>0</v>
      </c>
      <c r="AI1036" s="1">
        <f ca="1">IFERROR(__xludf.DUMMYFUNCTION("IFERROR(GOOGLEFINANCE(B1036,""eps""),0)"),0)</f>
        <v>0</v>
      </c>
      <c r="AJ1036" s="1"/>
      <c r="AK1036" s="1" t="s">
        <v>3156</v>
      </c>
      <c r="AL1036" s="9">
        <f t="shared" si="154"/>
        <v>1</v>
      </c>
    </row>
    <row r="1037" spans="1:38" ht="15" x14ac:dyDescent="0.25">
      <c r="A1037" s="1" t="s">
        <v>3157</v>
      </c>
      <c r="B1037" s="1" t="s">
        <v>3158</v>
      </c>
      <c r="C1037" s="1" t="s">
        <v>90</v>
      </c>
      <c r="D1037" s="1" t="s">
        <v>90</v>
      </c>
      <c r="E1037" s="6">
        <v>7963.59</v>
      </c>
      <c r="F1037" s="1" t="s">
        <v>40</v>
      </c>
      <c r="G1037" s="6">
        <f ca="1">IFERROR(__xludf.DUMMYFUNCTION("iferror(GOOGLEFINANCE(TRIM(F1037)&amp;"":"" &amp; TRIM(B1037), ""price""),0
)"),521)</f>
        <v>521</v>
      </c>
      <c r="H1037" s="6">
        <v>966</v>
      </c>
      <c r="I1037" s="6">
        <f t="shared" ca="1" si="0"/>
        <v>521</v>
      </c>
      <c r="J1037" s="6">
        <f ca="1">IFERROR(__xludf.DUMMYFUNCTION("IFERROR(GOOGLEFINANCE(B1037, ""volume""), 0)"),49926)</f>
        <v>49926</v>
      </c>
      <c r="K1037" s="6">
        <v>0.39</v>
      </c>
      <c r="L1037" s="6">
        <f ca="1">IFERROR(__xludf.DUMMYFUNCTION("IFERROR(GOOGLEFINANCE(B1037,""changepct""),K1037)"),0.25)</f>
        <v>0.25</v>
      </c>
      <c r="M1037" s="6">
        <f ca="1">IFERROR(__xludf.DUMMYFUNCTION("IFERROR(GOOGLEFINANCE(B1037,""change""),0)"),1.3)</f>
        <v>1.3</v>
      </c>
      <c r="N1037" s="6">
        <v>2</v>
      </c>
      <c r="O1037" s="7">
        <v>45536</v>
      </c>
      <c r="P1037" s="9"/>
      <c r="Q1037" s="6">
        <v>7844.27</v>
      </c>
      <c r="R1037" s="7">
        <v>45536</v>
      </c>
      <c r="S1037" s="6">
        <v>430.73</v>
      </c>
      <c r="T1037" s="6">
        <v>81.709999999999994</v>
      </c>
      <c r="U1037" s="7">
        <v>45536</v>
      </c>
      <c r="V1037" s="6">
        <v>98.44</v>
      </c>
      <c r="W1037" s="6">
        <f ca="1">IFERROR(__xludf.DUMMYFUNCTION("IFERROR(GOOGLEFINANCE(B1037,""pe""),V1037)"),45.88)</f>
        <v>45.88</v>
      </c>
      <c r="X1037" s="14"/>
      <c r="Y1037" s="6">
        <v>11.53</v>
      </c>
      <c r="Z1037" s="6">
        <v>2</v>
      </c>
      <c r="AA1037" s="8">
        <v>45352</v>
      </c>
      <c r="AB1037" s="4">
        <v>0.01</v>
      </c>
      <c r="AC1037" s="6">
        <v>14.7</v>
      </c>
      <c r="AD1037" s="6">
        <v>17.86</v>
      </c>
      <c r="AE1037" s="1">
        <v>0</v>
      </c>
      <c r="AF1037" s="1">
        <f ca="1">IFERROR(__xludf.DUMMYFUNCTION("IFERROR(GOOGLEFINANCE(TRIM(F1037)&amp;"":"" &amp; TRIM(B1037),""high52""),AE1037)"),894.1)</f>
        <v>894.1</v>
      </c>
      <c r="AG1037" s="1">
        <v>0</v>
      </c>
      <c r="AH1037" s="1">
        <f ca="1">IFERROR(__xludf.DUMMYFUNCTION("IFERROR(GOOGLEFINANCE(TRIM(F1037)&amp;"":"" &amp; TRIM(B1037),""low52""),AE1037)"),494)</f>
        <v>494</v>
      </c>
      <c r="AI1037" s="1">
        <f ca="1">IFERROR(__xludf.DUMMYFUNCTION("IFERROR(GOOGLEFINANCE(B1037,""eps""),0)"),11.36)</f>
        <v>11.36</v>
      </c>
      <c r="AJ1037" s="1"/>
      <c r="AK1037" s="1" t="s">
        <v>3159</v>
      </c>
      <c r="AL1037" s="1" t="b">
        <f>ISNUMBER(AA1037)</f>
        <v>1</v>
      </c>
    </row>
    <row r="1038" spans="1:38" ht="15" x14ac:dyDescent="0.25">
      <c r="A1038" s="1" t="s">
        <v>3160</v>
      </c>
      <c r="B1038" s="1" t="s">
        <v>3161</v>
      </c>
      <c r="C1038" s="1" t="s">
        <v>2432</v>
      </c>
      <c r="D1038" s="1" t="s">
        <v>2432</v>
      </c>
      <c r="E1038" s="6">
        <v>135.07</v>
      </c>
      <c r="F1038" s="1" t="s">
        <v>53</v>
      </c>
      <c r="G1038" s="6">
        <f ca="1">IFERROR(__xludf.DUMMYFUNCTION("iferror(GOOGLEFINANCE(TRIM(F1038)&amp;"":"" &amp; TRIM(B1038), ""price""),0
)"),0)</f>
        <v>0</v>
      </c>
      <c r="H1038" s="6">
        <v>190</v>
      </c>
      <c r="I1038" s="6">
        <f t="shared" ca="1" si="0"/>
        <v>190</v>
      </c>
      <c r="J1038" s="6">
        <f ca="1">IFERROR(__xludf.DUMMYFUNCTION("IFERROR(GOOGLEFINANCE(B1038, ""volume""), 0)"),0)</f>
        <v>0</v>
      </c>
      <c r="K1038" s="6">
        <v>-2.04</v>
      </c>
      <c r="L1038" s="6">
        <f ca="1">IFERROR(__xludf.DUMMYFUNCTION("IFERROR(GOOGLEFINANCE(B1038,""changepct""),K1038)"),-2.04)</f>
        <v>-2.04</v>
      </c>
      <c r="M1038" s="6">
        <f ca="1">IFERROR(__xludf.DUMMYFUNCTION("IFERROR(GOOGLEFINANCE(B1038,""change""),0)"),0)</f>
        <v>0</v>
      </c>
      <c r="N1038" s="6">
        <v>1</v>
      </c>
      <c r="O1038" s="7">
        <v>45536</v>
      </c>
      <c r="P1038" s="6">
        <v>36.32</v>
      </c>
      <c r="Q1038" s="6">
        <v>160.52000000000001</v>
      </c>
      <c r="R1038" s="7">
        <v>45536</v>
      </c>
      <c r="S1038" s="6">
        <v>247.96</v>
      </c>
      <c r="T1038" s="6">
        <v>12.15</v>
      </c>
      <c r="U1038" s="7">
        <v>45536</v>
      </c>
      <c r="V1038" s="6">
        <v>11.12</v>
      </c>
      <c r="W1038" s="6">
        <f ca="1">IFERROR(__xludf.DUMMYFUNCTION("IFERROR(GOOGLEFINANCE(B1038,""pe""),V1038)"),11.12)</f>
        <v>11.12</v>
      </c>
      <c r="X1038" s="6">
        <v>0.28000000000000003</v>
      </c>
      <c r="Y1038" s="6">
        <v>2.34</v>
      </c>
      <c r="Z1038" s="6">
        <v>1</v>
      </c>
      <c r="AA1038" s="8">
        <v>45352</v>
      </c>
      <c r="AB1038" s="4">
        <v>0.73</v>
      </c>
      <c r="AC1038" s="6">
        <v>19.329999999999998</v>
      </c>
      <c r="AD1038" s="6">
        <v>17.78</v>
      </c>
      <c r="AE1038" s="1">
        <v>0</v>
      </c>
      <c r="AF1038" s="1">
        <f ca="1">IFERROR(__xludf.DUMMYFUNCTION("IFERROR(GOOGLEFINANCE(TRIM(F1038)&amp;"":"" &amp; TRIM(B1038),""high52""),AE1038)"),0)</f>
        <v>0</v>
      </c>
      <c r="AG1038" s="1">
        <v>0</v>
      </c>
      <c r="AH1038" s="1">
        <f ca="1">IFERROR(__xludf.DUMMYFUNCTION("IFERROR(GOOGLEFINANCE(TRIM(F1038)&amp;"":"" &amp; TRIM(B1038),""low52""),AE1038)"),0)</f>
        <v>0</v>
      </c>
      <c r="AI1038" s="1">
        <f ca="1">IFERROR(__xludf.DUMMYFUNCTION("IFERROR(GOOGLEFINANCE(B1038,""eps""),0)"),0)</f>
        <v>0</v>
      </c>
      <c r="AJ1038" s="1"/>
      <c r="AK1038" s="1" t="s">
        <v>3162</v>
      </c>
      <c r="AL1038" s="9">
        <f>IF(AA1038&lt;&gt;AB1038,1,0)</f>
        <v>1</v>
      </c>
    </row>
    <row r="1039" spans="1:38" ht="15" x14ac:dyDescent="0.25">
      <c r="A1039" s="1" t="s">
        <v>3163</v>
      </c>
      <c r="B1039" s="1" t="s">
        <v>3164</v>
      </c>
      <c r="C1039" s="1" t="s">
        <v>355</v>
      </c>
      <c r="D1039" s="1" t="s">
        <v>355</v>
      </c>
      <c r="E1039" s="6">
        <v>30770</v>
      </c>
      <c r="F1039" s="1" t="s">
        <v>40</v>
      </c>
      <c r="G1039" s="6">
        <f ca="1">IFERROR(__xludf.DUMMYFUNCTION("iferror(GOOGLEFINANCE(TRIM(F1039)&amp;"":"" &amp; TRIM(B1039), ""price""),0
)"),2400)</f>
        <v>2400</v>
      </c>
      <c r="H1039" s="6">
        <v>2215.9499999999998</v>
      </c>
      <c r="I1039" s="6">
        <f t="shared" ca="1" si="0"/>
        <v>2400</v>
      </c>
      <c r="J1039" s="6">
        <f ca="1">IFERROR(__xludf.DUMMYFUNCTION("IFERROR(GOOGLEFINANCE(B1039, ""volume""), 0)"),106608)</f>
        <v>106608</v>
      </c>
      <c r="K1039" s="6">
        <v>1.38</v>
      </c>
      <c r="L1039" s="6">
        <f ca="1">IFERROR(__xludf.DUMMYFUNCTION("IFERROR(GOOGLEFINANCE(B1039,""changepct""),K1039)"),-1.45)</f>
        <v>-1.45</v>
      </c>
      <c r="M1039" s="6">
        <f ca="1">IFERROR(__xludf.DUMMYFUNCTION("IFERROR(GOOGLEFINANCE(B1039,""change""),0)"),-35.2)</f>
        <v>-35.200000000000003</v>
      </c>
      <c r="N1039" s="6">
        <v>2</v>
      </c>
      <c r="O1039" s="7">
        <v>45536</v>
      </c>
      <c r="P1039" s="6">
        <v>741.06</v>
      </c>
      <c r="Q1039" s="6">
        <v>31056.46</v>
      </c>
      <c r="R1039" s="7">
        <v>45536</v>
      </c>
      <c r="S1039" s="6">
        <v>10984.05</v>
      </c>
      <c r="T1039" s="6">
        <v>769.26</v>
      </c>
      <c r="U1039" s="7">
        <v>45536</v>
      </c>
      <c r="V1039" s="6">
        <v>40</v>
      </c>
      <c r="W1039" s="6">
        <f ca="1">IFERROR(__xludf.DUMMYFUNCTION("IFERROR(GOOGLEFINANCE(B1039,""pe""),V1039)"),38.22)</f>
        <v>38.22</v>
      </c>
      <c r="X1039" s="6">
        <v>6.69</v>
      </c>
      <c r="Y1039" s="6">
        <v>5.8</v>
      </c>
      <c r="Z1039" s="6">
        <v>2</v>
      </c>
      <c r="AA1039" s="8">
        <v>45352</v>
      </c>
      <c r="AB1039" s="4">
        <v>0.15</v>
      </c>
      <c r="AC1039" s="6">
        <v>14.49</v>
      </c>
      <c r="AD1039" s="6">
        <v>17.670000000000002</v>
      </c>
      <c r="AE1039" s="1">
        <v>0</v>
      </c>
      <c r="AF1039" s="1">
        <f ca="1">IFERROR(__xludf.DUMMYFUNCTION("IFERROR(GOOGLEFINANCE(TRIM(F1039)&amp;"":"" &amp; TRIM(B1039),""high52""),AE1039)"),3079.9)</f>
        <v>3079.9</v>
      </c>
      <c r="AG1039" s="1">
        <v>0</v>
      </c>
      <c r="AH1039" s="1">
        <f ca="1">IFERROR(__xludf.DUMMYFUNCTION("IFERROR(GOOGLEFINANCE(TRIM(F1039)&amp;"":"" &amp; TRIM(B1039),""low52""),AE1039)"),1675)</f>
        <v>1675</v>
      </c>
      <c r="AI1039" s="1">
        <f ca="1">IFERROR(__xludf.DUMMYFUNCTION("IFERROR(GOOGLEFINANCE(B1039,""eps""),0)"),62.79)</f>
        <v>62.79</v>
      </c>
      <c r="AJ1039" s="1"/>
      <c r="AK1039" s="9"/>
      <c r="AL1039" s="1" t="b">
        <f>ISBLANK(AB1039)</f>
        <v>0</v>
      </c>
    </row>
    <row r="1040" spans="1:38" ht="15" x14ac:dyDescent="0.25">
      <c r="A1040" s="1" t="s">
        <v>3165</v>
      </c>
      <c r="B1040" s="1" t="s">
        <v>3166</v>
      </c>
      <c r="C1040" s="1" t="s">
        <v>268</v>
      </c>
      <c r="D1040" s="1" t="s">
        <v>268</v>
      </c>
      <c r="E1040" s="6">
        <v>130.01</v>
      </c>
      <c r="F1040" s="1" t="s">
        <v>40</v>
      </c>
      <c r="G1040" s="6">
        <f ca="1">IFERROR(__xludf.DUMMYFUNCTION("iferror(GOOGLEFINANCE(TRIM(F1040)&amp;"":"" &amp; TRIM(B1040), ""price""),0
)"),17.53)</f>
        <v>17.53</v>
      </c>
      <c r="H1040" s="6">
        <v>27.13</v>
      </c>
      <c r="I1040" s="6">
        <f t="shared" ca="1" si="0"/>
        <v>17.53</v>
      </c>
      <c r="J1040" s="6">
        <f ca="1">IFERROR(__xludf.DUMMYFUNCTION("IFERROR(GOOGLEFINANCE(B1040, ""volume""), 0)"),29743)</f>
        <v>29743</v>
      </c>
      <c r="K1040" s="6">
        <v>-0.99</v>
      </c>
      <c r="L1040" s="6">
        <f ca="1">IFERROR(__xludf.DUMMYFUNCTION("IFERROR(GOOGLEFINANCE(B1040,""changepct""),K1040)"),1.62)</f>
        <v>1.62</v>
      </c>
      <c r="M1040" s="6">
        <f ca="1">IFERROR(__xludf.DUMMYFUNCTION("IFERROR(GOOGLEFINANCE(B1040,""change""),0)"),0.28)</f>
        <v>0.28000000000000003</v>
      </c>
      <c r="N1040" s="6">
        <v>2</v>
      </c>
      <c r="O1040" s="7">
        <v>45536</v>
      </c>
      <c r="P1040" s="6">
        <v>151.27000000000001</v>
      </c>
      <c r="Q1040" s="6">
        <v>264.52999999999997</v>
      </c>
      <c r="R1040" s="7">
        <v>45536</v>
      </c>
      <c r="S1040" s="6">
        <v>35</v>
      </c>
      <c r="T1040" s="6">
        <v>2.59</v>
      </c>
      <c r="U1040" s="7">
        <v>45536</v>
      </c>
      <c r="V1040" s="6">
        <v>50.14</v>
      </c>
      <c r="W1040" s="6">
        <f ca="1">IFERROR(__xludf.DUMMYFUNCTION("IFERROR(GOOGLEFINANCE(B1040,""pe""),V1040)"),50.14)</f>
        <v>50.14</v>
      </c>
      <c r="X1040" s="6">
        <v>5.01</v>
      </c>
      <c r="Y1040" s="6">
        <v>1.21</v>
      </c>
      <c r="Z1040" s="6">
        <v>2</v>
      </c>
      <c r="AA1040" s="8">
        <v>45352</v>
      </c>
      <c r="AB1040" s="4">
        <v>1.52</v>
      </c>
      <c r="AC1040" s="6">
        <v>-2.12</v>
      </c>
      <c r="AD1040" s="6">
        <v>2.97</v>
      </c>
      <c r="AE1040" s="1">
        <v>0</v>
      </c>
      <c r="AF1040" s="1">
        <f ca="1">IFERROR(__xludf.DUMMYFUNCTION("IFERROR(GOOGLEFINANCE(TRIM(F1040)&amp;"":"" &amp; TRIM(B1040),""high52""),AE1040)"),29.85)</f>
        <v>29.85</v>
      </c>
      <c r="AG1040" s="1">
        <v>0</v>
      </c>
      <c r="AH1040" s="1">
        <f ca="1">IFERROR(__xludf.DUMMYFUNCTION("IFERROR(GOOGLEFINANCE(TRIM(F1040)&amp;"":"" &amp; TRIM(B1040),""low52""),AE1040)"),16.4)</f>
        <v>16.399999999999999</v>
      </c>
      <c r="AI1040" s="1">
        <f ca="1">IFERROR(__xludf.DUMMYFUNCTION("IFERROR(GOOGLEFINANCE(B1040,""eps""),0)"),-19.19)</f>
        <v>-19.190000000000001</v>
      </c>
      <c r="AJ1040" s="1"/>
      <c r="AK1040" s="1" t="s">
        <v>3167</v>
      </c>
      <c r="AL1040" s="9">
        <f t="shared" ref="AL1040:AL1048" si="155">IF(AA1040&lt;&gt;AB1040,1,0)</f>
        <v>1</v>
      </c>
    </row>
    <row r="1041" spans="1:38" ht="15" x14ac:dyDescent="0.25">
      <c r="A1041" s="1" t="s">
        <v>3168</v>
      </c>
      <c r="B1041" s="1" t="s">
        <v>3169</v>
      </c>
      <c r="C1041" s="1" t="s">
        <v>2432</v>
      </c>
      <c r="D1041" s="1" t="s">
        <v>2432</v>
      </c>
      <c r="E1041" s="6">
        <v>53.96</v>
      </c>
      <c r="F1041" s="1" t="s">
        <v>53</v>
      </c>
      <c r="G1041" s="6">
        <f ca="1">IFERROR(__xludf.DUMMYFUNCTION("iferror(GOOGLEFINANCE(TRIM(F1041)&amp;"":"" &amp; TRIM(B1041), ""price""),0
)"),0)</f>
        <v>0</v>
      </c>
      <c r="H1041" s="6">
        <v>4.25</v>
      </c>
      <c r="I1041" s="6">
        <f t="shared" ca="1" si="0"/>
        <v>4.25</v>
      </c>
      <c r="J1041" s="6">
        <f ca="1">IFERROR(__xludf.DUMMYFUNCTION("IFERROR(GOOGLEFINANCE(B1041, ""volume""), 0)"),0)</f>
        <v>0</v>
      </c>
      <c r="K1041" s="6">
        <v>-0.47</v>
      </c>
      <c r="L1041" s="6">
        <f ca="1">IFERROR(__xludf.DUMMYFUNCTION("IFERROR(GOOGLEFINANCE(B1041,""changepct""),K1041)"),-0.47)</f>
        <v>-0.47</v>
      </c>
      <c r="M1041" s="6">
        <f ca="1">IFERROR(__xludf.DUMMYFUNCTION("IFERROR(GOOGLEFINANCE(B1041,""change""),0)"),0)</f>
        <v>0</v>
      </c>
      <c r="N1041" s="6">
        <v>1</v>
      </c>
      <c r="O1041" s="7">
        <v>45536</v>
      </c>
      <c r="P1041" s="6">
        <v>11.76</v>
      </c>
      <c r="Q1041" s="6">
        <v>65.73</v>
      </c>
      <c r="R1041" s="7">
        <v>45536</v>
      </c>
      <c r="S1041" s="6">
        <v>128.04</v>
      </c>
      <c r="T1041" s="6">
        <v>0.68</v>
      </c>
      <c r="U1041" s="7">
        <v>45536</v>
      </c>
      <c r="V1041" s="6">
        <v>78.900000000000006</v>
      </c>
      <c r="W1041" s="6">
        <f ca="1">IFERROR(__xludf.DUMMYFUNCTION("IFERROR(GOOGLEFINANCE(B1041,""pe""),V1041)"),78.9)</f>
        <v>78.900000000000006</v>
      </c>
      <c r="X1041" s="6">
        <v>1.57</v>
      </c>
      <c r="Y1041" s="6">
        <v>3.68</v>
      </c>
      <c r="Z1041" s="6">
        <v>1</v>
      </c>
      <c r="AA1041" s="8">
        <v>45352</v>
      </c>
      <c r="AB1041" s="4">
        <v>0.57999999999999996</v>
      </c>
      <c r="AC1041" s="6">
        <v>4.71</v>
      </c>
      <c r="AD1041" s="6">
        <v>7.21</v>
      </c>
      <c r="AE1041" s="1">
        <v>0</v>
      </c>
      <c r="AF1041" s="1">
        <f ca="1">IFERROR(__xludf.DUMMYFUNCTION("IFERROR(GOOGLEFINANCE(TRIM(F1041)&amp;"":"" &amp; TRIM(B1041),""high52""),AE1041)"),0)</f>
        <v>0</v>
      </c>
      <c r="AG1041" s="1">
        <v>0</v>
      </c>
      <c r="AH1041" s="1">
        <f ca="1">IFERROR(__xludf.DUMMYFUNCTION("IFERROR(GOOGLEFINANCE(TRIM(F1041)&amp;"":"" &amp; TRIM(B1041),""low52""),AE1041)"),0)</f>
        <v>0</v>
      </c>
      <c r="AI1041" s="1">
        <f ca="1">IFERROR(__xludf.DUMMYFUNCTION("IFERROR(GOOGLEFINANCE(B1041,""eps""),0)"),0)</f>
        <v>0</v>
      </c>
      <c r="AJ1041" s="1"/>
      <c r="AK1041" s="1" t="s">
        <v>3170</v>
      </c>
      <c r="AL1041" s="9">
        <f t="shared" si="155"/>
        <v>1</v>
      </c>
    </row>
    <row r="1042" spans="1:38" ht="15" x14ac:dyDescent="0.25">
      <c r="A1042" s="1" t="s">
        <v>3171</v>
      </c>
      <c r="B1042" s="1" t="s">
        <v>3172</v>
      </c>
      <c r="C1042" s="1" t="s">
        <v>416</v>
      </c>
      <c r="D1042" s="1" t="s">
        <v>416</v>
      </c>
      <c r="E1042" s="6">
        <v>362.5</v>
      </c>
      <c r="F1042" s="1" t="s">
        <v>40</v>
      </c>
      <c r="G1042" s="6">
        <f ca="1">IFERROR(__xludf.DUMMYFUNCTION("iferror(GOOGLEFINANCE(TRIM(F1042)&amp;"":"" &amp; TRIM(B1042), ""price""),0
)"),0)</f>
        <v>0</v>
      </c>
      <c r="H1042" s="6">
        <v>327.85</v>
      </c>
      <c r="I1042" s="6">
        <f t="shared" ca="1" si="0"/>
        <v>327.85</v>
      </c>
      <c r="J1042" s="6">
        <f ca="1">IFERROR(__xludf.DUMMYFUNCTION("IFERROR(GOOGLEFINANCE(B1042, ""volume""), 0)"),0)</f>
        <v>0</v>
      </c>
      <c r="K1042" s="6">
        <v>2.44</v>
      </c>
      <c r="L1042" s="6">
        <f ca="1">IFERROR(__xludf.DUMMYFUNCTION("IFERROR(GOOGLEFINANCE(B1042,""changepct""),K1042)"),2.44)</f>
        <v>2.44</v>
      </c>
      <c r="M1042" s="6">
        <f ca="1">IFERROR(__xludf.DUMMYFUNCTION("IFERROR(GOOGLEFINANCE(B1042,""change""),0)"),0)</f>
        <v>0</v>
      </c>
      <c r="N1042" s="6">
        <v>1</v>
      </c>
      <c r="O1042" s="7">
        <v>45536</v>
      </c>
      <c r="P1042" s="6">
        <v>20.76</v>
      </c>
      <c r="Q1042" s="6">
        <v>383.26</v>
      </c>
      <c r="R1042" s="7">
        <v>45352</v>
      </c>
      <c r="S1042" s="6">
        <v>126.29</v>
      </c>
      <c r="T1042" s="6">
        <v>10.97</v>
      </c>
      <c r="U1042" s="7">
        <v>45352</v>
      </c>
      <c r="V1042" s="6">
        <v>33.049999999999997</v>
      </c>
      <c r="W1042" s="6">
        <f ca="1">IFERROR(__xludf.DUMMYFUNCTION("IFERROR(GOOGLEFINANCE(B1042,""pe""),V1042)"),33.05)</f>
        <v>33.049999999999997</v>
      </c>
      <c r="X1042" s="12"/>
      <c r="Y1042" s="6">
        <v>4.79</v>
      </c>
      <c r="Z1042" s="6">
        <v>2</v>
      </c>
      <c r="AA1042" s="8">
        <v>45352</v>
      </c>
      <c r="AB1042" s="4">
        <v>0.94</v>
      </c>
      <c r="AC1042" s="6">
        <v>37.76</v>
      </c>
      <c r="AD1042" s="6">
        <v>32.840000000000003</v>
      </c>
      <c r="AE1042" s="1">
        <v>0</v>
      </c>
      <c r="AF1042" s="1">
        <f ca="1">IFERROR(__xludf.DUMMYFUNCTION("IFERROR(GOOGLEFINANCE(TRIM(F1042)&amp;"":"" &amp; TRIM(B1042),""high52""),AE1042)"),0)</f>
        <v>0</v>
      </c>
      <c r="AG1042" s="1">
        <v>0</v>
      </c>
      <c r="AH1042" s="1">
        <f ca="1">IFERROR(__xludf.DUMMYFUNCTION("IFERROR(GOOGLEFINANCE(TRIM(F1042)&amp;"":"" &amp; TRIM(B1042),""low52""),AE1042)"),0)</f>
        <v>0</v>
      </c>
      <c r="AI1042" s="1">
        <f ca="1">IFERROR(__xludf.DUMMYFUNCTION("IFERROR(GOOGLEFINANCE(B1042,""eps""),0)"),0)</f>
        <v>0</v>
      </c>
      <c r="AJ1042" s="1"/>
      <c r="AK1042" s="1" t="s">
        <v>3173</v>
      </c>
      <c r="AL1042" s="9">
        <f t="shared" si="155"/>
        <v>1</v>
      </c>
    </row>
    <row r="1043" spans="1:38" ht="15" x14ac:dyDescent="0.25">
      <c r="A1043" s="1" t="s">
        <v>3174</v>
      </c>
      <c r="B1043" s="1" t="s">
        <v>3175</v>
      </c>
      <c r="C1043" s="1" t="s">
        <v>2432</v>
      </c>
      <c r="D1043" s="1" t="s">
        <v>2432</v>
      </c>
      <c r="E1043" s="6">
        <v>90.39</v>
      </c>
      <c r="F1043" s="1" t="s">
        <v>53</v>
      </c>
      <c r="G1043" s="6">
        <f ca="1">IFERROR(__xludf.DUMMYFUNCTION("iferror(GOOGLEFINANCE(TRIM(F1043)&amp;"":"" &amp; TRIM(B1043), ""price""),0
)"),0)</f>
        <v>0</v>
      </c>
      <c r="H1043" s="6">
        <v>4.84</v>
      </c>
      <c r="I1043" s="6">
        <f t="shared" ca="1" si="0"/>
        <v>4.84</v>
      </c>
      <c r="J1043" s="6">
        <f ca="1">IFERROR(__xludf.DUMMYFUNCTION("IFERROR(GOOGLEFINANCE(B1043, ""volume""), 0)"),0)</f>
        <v>0</v>
      </c>
      <c r="K1043" s="6">
        <v>2.76</v>
      </c>
      <c r="L1043" s="6">
        <f ca="1">IFERROR(__xludf.DUMMYFUNCTION("IFERROR(GOOGLEFINANCE(B1043,""changepct""),K1043)"),2.76)</f>
        <v>2.76</v>
      </c>
      <c r="M1043" s="6">
        <f ca="1">IFERROR(__xludf.DUMMYFUNCTION("IFERROR(GOOGLEFINANCE(B1043,""change""),0)"),0)</f>
        <v>0</v>
      </c>
      <c r="N1043" s="6">
        <v>2</v>
      </c>
      <c r="O1043" s="7">
        <v>45536</v>
      </c>
      <c r="P1043" s="6">
        <v>11.5</v>
      </c>
      <c r="Q1043" s="6">
        <v>101.89</v>
      </c>
      <c r="R1043" s="7">
        <v>45536</v>
      </c>
      <c r="S1043" s="6">
        <v>50.4</v>
      </c>
      <c r="T1043" s="6">
        <v>4.49</v>
      </c>
      <c r="U1043" s="7">
        <v>45536</v>
      </c>
      <c r="V1043" s="6">
        <v>405.31</v>
      </c>
      <c r="W1043" s="6">
        <f ca="1">IFERROR(__xludf.DUMMYFUNCTION("IFERROR(GOOGLEFINANCE(B1043,""pe""),V1043)"),405.31)</f>
        <v>405.31</v>
      </c>
      <c r="X1043" s="6">
        <v>4</v>
      </c>
      <c r="Y1043" s="6">
        <v>1.74</v>
      </c>
      <c r="Z1043" s="6">
        <v>2</v>
      </c>
      <c r="AA1043" s="8">
        <v>45352</v>
      </c>
      <c r="AB1043" s="4">
        <v>0.23</v>
      </c>
      <c r="AC1043" s="6">
        <v>-3.84</v>
      </c>
      <c r="AD1043" s="6">
        <v>-2.2599999999999998</v>
      </c>
      <c r="AE1043" s="1">
        <v>0</v>
      </c>
      <c r="AF1043" s="1">
        <f ca="1">IFERROR(__xludf.DUMMYFUNCTION("IFERROR(GOOGLEFINANCE(TRIM(F1043)&amp;"":"" &amp; TRIM(B1043),""high52""),AE1043)"),0)</f>
        <v>0</v>
      </c>
      <c r="AG1043" s="1">
        <v>0</v>
      </c>
      <c r="AH1043" s="1">
        <f ca="1">IFERROR(__xludf.DUMMYFUNCTION("IFERROR(GOOGLEFINANCE(TRIM(F1043)&amp;"":"" &amp; TRIM(B1043),""low52""),AE1043)"),0)</f>
        <v>0</v>
      </c>
      <c r="AI1043" s="1">
        <f ca="1">IFERROR(__xludf.DUMMYFUNCTION("IFERROR(GOOGLEFINANCE(B1043,""eps""),0)"),0)</f>
        <v>0</v>
      </c>
      <c r="AJ1043" s="1"/>
      <c r="AK1043" s="1" t="s">
        <v>3176</v>
      </c>
      <c r="AL1043" s="9">
        <f t="shared" si="155"/>
        <v>1</v>
      </c>
    </row>
    <row r="1044" spans="1:38" ht="15" x14ac:dyDescent="0.25">
      <c r="A1044" s="1" t="s">
        <v>3177</v>
      </c>
      <c r="B1044" s="1" t="s">
        <v>3178</v>
      </c>
      <c r="C1044" s="1" t="s">
        <v>2432</v>
      </c>
      <c r="D1044" s="1" t="s">
        <v>2432</v>
      </c>
      <c r="E1044" s="6">
        <v>377.81</v>
      </c>
      <c r="F1044" s="1" t="s">
        <v>53</v>
      </c>
      <c r="G1044" s="6">
        <f ca="1">IFERROR(__xludf.DUMMYFUNCTION("iferror(GOOGLEFINANCE(TRIM(F1044)&amp;"":"" &amp; TRIM(B1044), ""price""),0
)"),0)</f>
        <v>0</v>
      </c>
      <c r="H1044" s="6">
        <v>168</v>
      </c>
      <c r="I1044" s="6">
        <f t="shared" ca="1" si="0"/>
        <v>168</v>
      </c>
      <c r="J1044" s="6">
        <f ca="1">IFERROR(__xludf.DUMMYFUNCTION("IFERROR(GOOGLEFINANCE(B1044, ""volume""), 0)"),0)</f>
        <v>0</v>
      </c>
      <c r="K1044" s="6">
        <v>4.8</v>
      </c>
      <c r="L1044" s="6">
        <f ca="1">IFERROR(__xludf.DUMMYFUNCTION("IFERROR(GOOGLEFINANCE(B1044,""changepct""),K1044)"),4.8)</f>
        <v>4.8</v>
      </c>
      <c r="M1044" s="6">
        <f ca="1">IFERROR(__xludf.DUMMYFUNCTION("IFERROR(GOOGLEFINANCE(B1044,""change""),0)"),0)</f>
        <v>0</v>
      </c>
      <c r="N1044" s="6">
        <v>1</v>
      </c>
      <c r="O1044" s="7">
        <v>45536</v>
      </c>
      <c r="P1044" s="6">
        <v>4.05</v>
      </c>
      <c r="Q1044" s="6">
        <v>381.86</v>
      </c>
      <c r="R1044" s="7">
        <v>45536</v>
      </c>
      <c r="S1044" s="6">
        <v>350.11</v>
      </c>
      <c r="T1044" s="6">
        <v>5.82</v>
      </c>
      <c r="U1044" s="7">
        <v>45536</v>
      </c>
      <c r="V1044" s="6">
        <v>64.97</v>
      </c>
      <c r="W1044" s="6">
        <f ca="1">IFERROR(__xludf.DUMMYFUNCTION("IFERROR(GOOGLEFINANCE(B1044,""pe""),V1044)"),64.97)</f>
        <v>64.97</v>
      </c>
      <c r="X1044" s="6">
        <v>2.41</v>
      </c>
      <c r="Y1044" s="6">
        <v>5.98</v>
      </c>
      <c r="Z1044" s="6">
        <v>1</v>
      </c>
      <c r="AA1044" s="8">
        <v>45352</v>
      </c>
      <c r="AB1044" s="4">
        <v>1.68</v>
      </c>
      <c r="AC1044" s="6">
        <v>28.67</v>
      </c>
      <c r="AD1044" s="6">
        <v>10.07</v>
      </c>
      <c r="AE1044" s="1">
        <v>0</v>
      </c>
      <c r="AF1044" s="1">
        <f ca="1">IFERROR(__xludf.DUMMYFUNCTION("IFERROR(GOOGLEFINANCE(TRIM(F1044)&amp;"":"" &amp; TRIM(B1044),""high52""),AE1044)"),0)</f>
        <v>0</v>
      </c>
      <c r="AG1044" s="1">
        <v>0</v>
      </c>
      <c r="AH1044" s="1">
        <f ca="1">IFERROR(__xludf.DUMMYFUNCTION("IFERROR(GOOGLEFINANCE(TRIM(F1044)&amp;"":"" &amp; TRIM(B1044),""low52""),AE1044)"),0)</f>
        <v>0</v>
      </c>
      <c r="AI1044" s="1">
        <f ca="1">IFERROR(__xludf.DUMMYFUNCTION("IFERROR(GOOGLEFINANCE(B1044,""eps""),0)"),0)</f>
        <v>0</v>
      </c>
      <c r="AJ1044" s="1"/>
      <c r="AK1044" s="1" t="s">
        <v>3179</v>
      </c>
      <c r="AL1044" s="9">
        <f t="shared" si="155"/>
        <v>1</v>
      </c>
    </row>
    <row r="1045" spans="1:38" ht="15" x14ac:dyDescent="0.25">
      <c r="A1045" s="1" t="s">
        <v>3180</v>
      </c>
      <c r="B1045" s="1" t="s">
        <v>3181</v>
      </c>
      <c r="C1045" s="1" t="s">
        <v>1739</v>
      </c>
      <c r="D1045" s="1" t="s">
        <v>1739</v>
      </c>
      <c r="E1045" s="6">
        <v>203.45</v>
      </c>
      <c r="F1045" s="1" t="s">
        <v>40</v>
      </c>
      <c r="G1045" s="6">
        <f ca="1">IFERROR(__xludf.DUMMYFUNCTION("iferror(GOOGLEFINANCE(TRIM(F1045)&amp;"":"" &amp; TRIM(B1045), ""price""),0
)"),0)</f>
        <v>0</v>
      </c>
      <c r="H1045" s="6">
        <v>229.95</v>
      </c>
      <c r="I1045" s="6">
        <f t="shared" ca="1" si="0"/>
        <v>229.95</v>
      </c>
      <c r="J1045" s="6">
        <f ca="1">IFERROR(__xludf.DUMMYFUNCTION("IFERROR(GOOGLEFINANCE(B1045, ""volume""), 0)"),0)</f>
        <v>0</v>
      </c>
      <c r="K1045" s="9"/>
      <c r="L1045" s="6" t="str">
        <f ca="1">IFERROR(__xludf.DUMMYFUNCTION("IFERROR(GOOGLEFINANCE(B1045,""changepct""),K1045)"),"")</f>
        <v/>
      </c>
      <c r="M1045" s="6">
        <f ca="1">IFERROR(__xludf.DUMMYFUNCTION("IFERROR(GOOGLEFINANCE(B1045,""change""),0)"),0)</f>
        <v>0</v>
      </c>
      <c r="N1045" s="6">
        <v>1</v>
      </c>
      <c r="O1045" s="7">
        <v>45536</v>
      </c>
      <c r="P1045" s="6">
        <v>18.52</v>
      </c>
      <c r="Q1045" s="6">
        <v>221.97</v>
      </c>
      <c r="R1045" s="7">
        <v>45352</v>
      </c>
      <c r="S1045" s="6">
        <v>39.85</v>
      </c>
      <c r="T1045" s="6">
        <v>5.36</v>
      </c>
      <c r="U1045" s="7">
        <v>45352</v>
      </c>
      <c r="V1045" s="6">
        <v>37.950000000000003</v>
      </c>
      <c r="W1045" s="6">
        <f ca="1">IFERROR(__xludf.DUMMYFUNCTION("IFERROR(GOOGLEFINANCE(B1045,""pe""),V1045)"),37.95)</f>
        <v>37.950000000000003</v>
      </c>
      <c r="X1045" s="9"/>
      <c r="Y1045" s="6">
        <v>6.38</v>
      </c>
      <c r="Z1045" s="6">
        <v>1</v>
      </c>
      <c r="AA1045" s="8">
        <v>45352</v>
      </c>
      <c r="AB1045" s="4">
        <v>0.28000000000000003</v>
      </c>
      <c r="AC1045" s="6">
        <v>27.59</v>
      </c>
      <c r="AD1045" s="6">
        <v>30.58</v>
      </c>
      <c r="AE1045" s="1">
        <v>0</v>
      </c>
      <c r="AF1045" s="1">
        <f ca="1">IFERROR(__xludf.DUMMYFUNCTION("IFERROR(GOOGLEFINANCE(TRIM(F1045)&amp;"":"" &amp; TRIM(B1045),""high52""),AE1045)"),0)</f>
        <v>0</v>
      </c>
      <c r="AG1045" s="1">
        <v>0</v>
      </c>
      <c r="AH1045" s="1">
        <f ca="1">IFERROR(__xludf.DUMMYFUNCTION("IFERROR(GOOGLEFINANCE(TRIM(F1045)&amp;"":"" &amp; TRIM(B1045),""low52""),AE1045)"),0)</f>
        <v>0</v>
      </c>
      <c r="AI1045" s="1">
        <f ca="1">IFERROR(__xludf.DUMMYFUNCTION("IFERROR(GOOGLEFINANCE(B1045,""eps""),0)"),0)</f>
        <v>0</v>
      </c>
      <c r="AJ1045" s="1"/>
      <c r="AK1045" s="1" t="s">
        <v>3182</v>
      </c>
      <c r="AL1045" s="9">
        <f t="shared" si="155"/>
        <v>1</v>
      </c>
    </row>
    <row r="1046" spans="1:38" ht="15" x14ac:dyDescent="0.25">
      <c r="A1046" s="1" t="s">
        <v>3183</v>
      </c>
      <c r="B1046" s="1" t="s">
        <v>3184</v>
      </c>
      <c r="C1046" s="1" t="s">
        <v>112</v>
      </c>
      <c r="D1046" s="1" t="s">
        <v>112</v>
      </c>
      <c r="E1046" s="6">
        <v>10262.89</v>
      </c>
      <c r="F1046" s="1" t="s">
        <v>40</v>
      </c>
      <c r="G1046" s="6">
        <f ca="1">IFERROR(__xludf.DUMMYFUNCTION("iferror(GOOGLEFINANCE(TRIM(F1046)&amp;"":"" &amp; TRIM(B1046), ""price""),0
)"),171.9)</f>
        <v>171.9</v>
      </c>
      <c r="H1046" s="6">
        <v>188.6</v>
      </c>
      <c r="I1046" s="6">
        <f t="shared" ca="1" si="0"/>
        <v>171.9</v>
      </c>
      <c r="J1046" s="6">
        <f ca="1">IFERROR(__xludf.DUMMYFUNCTION("IFERROR(GOOGLEFINANCE(B1046, ""volume""), 0)"),1960631)</f>
        <v>1960631</v>
      </c>
      <c r="K1046" s="6">
        <v>3.22</v>
      </c>
      <c r="L1046" s="6">
        <f ca="1">IFERROR(__xludf.DUMMYFUNCTION("IFERROR(GOOGLEFINANCE(B1046,""changepct""),K1046)"),1.9)</f>
        <v>1.9</v>
      </c>
      <c r="M1046" s="6">
        <f ca="1">IFERROR(__xludf.DUMMYFUNCTION("IFERROR(GOOGLEFINANCE(B1046,""change""),0)"),3.21)</f>
        <v>3.21</v>
      </c>
      <c r="N1046" s="6">
        <v>2</v>
      </c>
      <c r="O1046" s="7">
        <v>45536</v>
      </c>
      <c r="P1046" s="9"/>
      <c r="Q1046" s="6">
        <v>9129.0300000000007</v>
      </c>
      <c r="R1046" s="7">
        <v>45536</v>
      </c>
      <c r="S1046" s="6">
        <v>2985.55</v>
      </c>
      <c r="T1046" s="6">
        <v>278.19</v>
      </c>
      <c r="U1046" s="7">
        <v>45536</v>
      </c>
      <c r="V1046" s="6">
        <v>27.73</v>
      </c>
      <c r="W1046" s="6">
        <f ca="1">IFERROR(__xludf.DUMMYFUNCTION("IFERROR(GOOGLEFINANCE(B1046,""pe""),V1046)"),17.98)</f>
        <v>17.98</v>
      </c>
      <c r="X1046" s="6">
        <v>7.18</v>
      </c>
      <c r="Y1046" s="6">
        <v>4.3099999999999996</v>
      </c>
      <c r="Z1046" s="6">
        <v>2</v>
      </c>
      <c r="AA1046" s="8">
        <v>45352</v>
      </c>
      <c r="AB1046" s="4">
        <v>0</v>
      </c>
      <c r="AC1046" s="6">
        <v>17.079999999999998</v>
      </c>
      <c r="AD1046" s="6">
        <v>22.92</v>
      </c>
      <c r="AE1046" s="1">
        <v>0</v>
      </c>
      <c r="AF1046" s="1">
        <f ca="1">IFERROR(__xludf.DUMMYFUNCTION("IFERROR(GOOGLEFINANCE(TRIM(F1046)&amp;"":"" &amp; TRIM(B1046),""high52""),AE1046)"),255.45)</f>
        <v>255.45</v>
      </c>
      <c r="AG1046" s="1">
        <v>0</v>
      </c>
      <c r="AH1046" s="1">
        <f ca="1">IFERROR(__xludf.DUMMYFUNCTION("IFERROR(GOOGLEFINANCE(TRIM(F1046)&amp;"":"" &amp; TRIM(B1046),""low52""),AE1046)"),142.2)</f>
        <v>142.19999999999999</v>
      </c>
      <c r="AI1046" s="1">
        <f ca="1">IFERROR(__xludf.DUMMYFUNCTION("IFERROR(GOOGLEFINANCE(B1046,""eps""),0)"),9.56)</f>
        <v>9.56</v>
      </c>
      <c r="AJ1046" s="1"/>
      <c r="AK1046" s="1" t="s">
        <v>3185</v>
      </c>
      <c r="AL1046" s="9">
        <f t="shared" si="155"/>
        <v>1</v>
      </c>
    </row>
    <row r="1047" spans="1:38" ht="15" x14ac:dyDescent="0.25">
      <c r="A1047" s="1" t="s">
        <v>3186</v>
      </c>
      <c r="B1047" s="1" t="s">
        <v>3187</v>
      </c>
      <c r="C1047" s="1" t="s">
        <v>2432</v>
      </c>
      <c r="D1047" s="1" t="s">
        <v>2432</v>
      </c>
      <c r="E1047" s="6">
        <v>137.88</v>
      </c>
      <c r="F1047" s="1" t="s">
        <v>53</v>
      </c>
      <c r="G1047" s="6">
        <f ca="1">IFERROR(__xludf.DUMMYFUNCTION("iferror(GOOGLEFINANCE(TRIM(F1047)&amp;"":"" &amp; TRIM(B1047), ""price""),0
)"),0)</f>
        <v>0</v>
      </c>
      <c r="H1047" s="6">
        <v>68.5</v>
      </c>
      <c r="I1047" s="6">
        <f t="shared" ca="1" si="0"/>
        <v>68.5</v>
      </c>
      <c r="J1047" s="6">
        <f ca="1">IFERROR(__xludf.DUMMYFUNCTION("IFERROR(GOOGLEFINANCE(B1047, ""volume""), 0)"),0)</f>
        <v>0</v>
      </c>
      <c r="K1047" s="6">
        <v>5.1100000000000003</v>
      </c>
      <c r="L1047" s="6">
        <f ca="1">IFERROR(__xludf.DUMMYFUNCTION("IFERROR(GOOGLEFINANCE(B1047,""changepct""),K1047)"),5.11)</f>
        <v>5.1100000000000003</v>
      </c>
      <c r="M1047" s="6">
        <f ca="1">IFERROR(__xludf.DUMMYFUNCTION("IFERROR(GOOGLEFINANCE(B1047,""change""),0)"),0)</f>
        <v>0</v>
      </c>
      <c r="N1047" s="6">
        <v>1</v>
      </c>
      <c r="O1047" s="7">
        <v>45536</v>
      </c>
      <c r="P1047" s="6">
        <v>31.38</v>
      </c>
      <c r="Q1047" s="6">
        <v>169.26</v>
      </c>
      <c r="R1047" s="7">
        <v>45536</v>
      </c>
      <c r="S1047" s="6">
        <v>82.74</v>
      </c>
      <c r="T1047" s="6">
        <v>4.6100000000000003</v>
      </c>
      <c r="U1047" s="7">
        <v>45536</v>
      </c>
      <c r="V1047" s="6">
        <v>29.92</v>
      </c>
      <c r="W1047" s="6">
        <f ca="1">IFERROR(__xludf.DUMMYFUNCTION("IFERROR(GOOGLEFINANCE(B1047,""pe""),V1047)"),29.92)</f>
        <v>29.92</v>
      </c>
      <c r="X1047" s="6">
        <v>1.04</v>
      </c>
      <c r="Y1047" s="6">
        <v>2.64</v>
      </c>
      <c r="Z1047" s="6">
        <v>1</v>
      </c>
      <c r="AA1047" s="8">
        <v>45352</v>
      </c>
      <c r="AB1047" s="4">
        <v>0.49</v>
      </c>
      <c r="AC1047" s="6">
        <v>10.8</v>
      </c>
      <c r="AD1047" s="6">
        <v>11.66</v>
      </c>
      <c r="AE1047" s="1">
        <v>0</v>
      </c>
      <c r="AF1047" s="1">
        <f ca="1">IFERROR(__xludf.DUMMYFUNCTION("IFERROR(GOOGLEFINANCE(TRIM(F1047)&amp;"":"" &amp; TRIM(B1047),""high52""),AE1047)"),0)</f>
        <v>0</v>
      </c>
      <c r="AG1047" s="1">
        <v>0</v>
      </c>
      <c r="AH1047" s="1">
        <f ca="1">IFERROR(__xludf.DUMMYFUNCTION("IFERROR(GOOGLEFINANCE(TRIM(F1047)&amp;"":"" &amp; TRIM(B1047),""low52""),AE1047)"),0)</f>
        <v>0</v>
      </c>
      <c r="AI1047" s="1">
        <f ca="1">IFERROR(__xludf.DUMMYFUNCTION("IFERROR(GOOGLEFINANCE(B1047,""eps""),0)"),0)</f>
        <v>0</v>
      </c>
      <c r="AJ1047" s="1"/>
      <c r="AK1047" s="9"/>
      <c r="AL1047" s="9">
        <f t="shared" si="155"/>
        <v>1</v>
      </c>
    </row>
    <row r="1048" spans="1:38" ht="15" x14ac:dyDescent="0.25">
      <c r="A1048" s="1" t="s">
        <v>3188</v>
      </c>
      <c r="B1048" s="1" t="s">
        <v>3189</v>
      </c>
      <c r="C1048" s="1" t="s">
        <v>2432</v>
      </c>
      <c r="D1048" s="1" t="s">
        <v>2432</v>
      </c>
      <c r="E1048" s="6">
        <v>16.649999999999999</v>
      </c>
      <c r="F1048" s="1" t="s">
        <v>53</v>
      </c>
      <c r="G1048" s="6">
        <f ca="1">IFERROR(__xludf.DUMMYFUNCTION("iferror(GOOGLEFINANCE(TRIM(F1048)&amp;"":"" &amp; TRIM(B1048), ""price""),0
)"),0)</f>
        <v>0</v>
      </c>
      <c r="H1048" s="6">
        <v>4.0999999999999996</v>
      </c>
      <c r="I1048" s="6">
        <f t="shared" ca="1" si="0"/>
        <v>4.0999999999999996</v>
      </c>
      <c r="J1048" s="6">
        <f ca="1">IFERROR(__xludf.DUMMYFUNCTION("IFERROR(GOOGLEFINANCE(B1048, ""volume""), 0)"),0)</f>
        <v>0</v>
      </c>
      <c r="K1048" s="6">
        <v>1.74</v>
      </c>
      <c r="L1048" s="6">
        <f ca="1">IFERROR(__xludf.DUMMYFUNCTION("IFERROR(GOOGLEFINANCE(B1048,""changepct""),K1048)"),1.74)</f>
        <v>1.74</v>
      </c>
      <c r="M1048" s="6">
        <f ca="1">IFERROR(__xludf.DUMMYFUNCTION("IFERROR(GOOGLEFINANCE(B1048,""change""),0)"),0)</f>
        <v>0</v>
      </c>
      <c r="N1048" s="6">
        <v>1</v>
      </c>
      <c r="O1048" s="7">
        <v>45536</v>
      </c>
      <c r="P1048" s="12"/>
      <c r="Q1048" s="6">
        <v>16.649999999999999</v>
      </c>
      <c r="R1048" s="7">
        <v>45536</v>
      </c>
      <c r="S1048" s="6">
        <v>0.42</v>
      </c>
      <c r="T1048" s="6">
        <v>-0.38</v>
      </c>
      <c r="U1048" s="7">
        <v>45536</v>
      </c>
      <c r="V1048" s="6">
        <v>0</v>
      </c>
      <c r="W1048" s="6">
        <f ca="1">IFERROR(__xludf.DUMMYFUNCTION("IFERROR(GOOGLEFINANCE(B1048,""pe""),V1048)"),0)</f>
        <v>0</v>
      </c>
      <c r="X1048" s="6">
        <v>0</v>
      </c>
      <c r="Y1048" s="6">
        <v>56.44</v>
      </c>
      <c r="Z1048" s="6">
        <v>1</v>
      </c>
      <c r="AA1048" s="8">
        <v>45352</v>
      </c>
      <c r="AB1048" s="4">
        <v>0</v>
      </c>
      <c r="AC1048" s="6">
        <v>-55.21</v>
      </c>
      <c r="AD1048" s="6">
        <v>-21.44</v>
      </c>
      <c r="AE1048" s="1">
        <v>0</v>
      </c>
      <c r="AF1048" s="1">
        <f ca="1">IFERROR(__xludf.DUMMYFUNCTION("IFERROR(GOOGLEFINANCE(TRIM(F1048)&amp;"":"" &amp; TRIM(B1048),""high52""),AE1048)"),0)</f>
        <v>0</v>
      </c>
      <c r="AG1048" s="1">
        <v>0</v>
      </c>
      <c r="AH1048" s="1">
        <f ca="1">IFERROR(__xludf.DUMMYFUNCTION("IFERROR(GOOGLEFINANCE(TRIM(F1048)&amp;"":"" &amp; TRIM(B1048),""low52""),AE1048)"),0)</f>
        <v>0</v>
      </c>
      <c r="AI1048" s="1">
        <f ca="1">IFERROR(__xludf.DUMMYFUNCTION("IFERROR(GOOGLEFINANCE(B1048,""eps""),0)"),0)</f>
        <v>0</v>
      </c>
      <c r="AJ1048" s="1"/>
      <c r="AK1048" s="1" t="s">
        <v>3190</v>
      </c>
      <c r="AL1048" s="9">
        <f t="shared" si="155"/>
        <v>1</v>
      </c>
    </row>
    <row r="1049" spans="1:38" ht="15" x14ac:dyDescent="0.25">
      <c r="A1049" s="1" t="s">
        <v>3191</v>
      </c>
      <c r="B1049" s="1" t="s">
        <v>3192</v>
      </c>
      <c r="C1049" s="1" t="s">
        <v>90</v>
      </c>
      <c r="D1049" s="1" t="s">
        <v>90</v>
      </c>
      <c r="E1049" s="6">
        <v>277.48</v>
      </c>
      <c r="F1049" s="1" t="s">
        <v>40</v>
      </c>
      <c r="G1049" s="6">
        <f ca="1">IFERROR(__xludf.DUMMYFUNCTION("iferror(GOOGLEFINANCE(TRIM(F1049)&amp;"":"" &amp; TRIM(B1049), ""price""),0
)"),0)</f>
        <v>0</v>
      </c>
      <c r="H1049" s="6">
        <v>166.75</v>
      </c>
      <c r="I1049" s="6">
        <f t="shared" ca="1" si="0"/>
        <v>166.75</v>
      </c>
      <c r="J1049" s="6">
        <f ca="1">IFERROR(__xludf.DUMMYFUNCTION("IFERROR(GOOGLEFINANCE(B1049, ""volume""), 0)"),0)</f>
        <v>0</v>
      </c>
      <c r="K1049" s="6">
        <v>4.76</v>
      </c>
      <c r="L1049" s="6">
        <f ca="1">IFERROR(__xludf.DUMMYFUNCTION("IFERROR(GOOGLEFINANCE(B1049,""changepct""),K1049)"),4.76)</f>
        <v>4.76</v>
      </c>
      <c r="M1049" s="6">
        <f ca="1">IFERROR(__xludf.DUMMYFUNCTION("IFERROR(GOOGLEFINANCE(B1049,""change""),0)"),0)</f>
        <v>0</v>
      </c>
      <c r="N1049" s="6">
        <v>1</v>
      </c>
      <c r="O1049" s="7">
        <v>45536</v>
      </c>
      <c r="P1049" s="6">
        <v>6.88</v>
      </c>
      <c r="Q1049" s="6">
        <v>284.36</v>
      </c>
      <c r="R1049" s="7">
        <v>45352</v>
      </c>
      <c r="S1049" s="6">
        <v>46.08</v>
      </c>
      <c r="T1049" s="6">
        <v>5.27</v>
      </c>
      <c r="U1049" s="7">
        <v>45352</v>
      </c>
      <c r="V1049" s="6">
        <v>52.62</v>
      </c>
      <c r="W1049" s="6">
        <f ca="1">IFERROR(__xludf.DUMMYFUNCTION("IFERROR(GOOGLEFINANCE(B1049,""pe""),V1049)"),52.62)</f>
        <v>52.62</v>
      </c>
      <c r="X1049" s="9"/>
      <c r="Y1049" s="6">
        <v>10.73</v>
      </c>
      <c r="Z1049" s="6">
        <v>1</v>
      </c>
      <c r="AA1049" s="8">
        <v>45352</v>
      </c>
      <c r="AB1049" s="4">
        <v>0.26</v>
      </c>
      <c r="AC1049" s="6">
        <v>34.74</v>
      </c>
      <c r="AD1049" s="6">
        <v>37.58</v>
      </c>
      <c r="AE1049" s="1">
        <v>0</v>
      </c>
      <c r="AF1049" s="1">
        <f ca="1">IFERROR(__xludf.DUMMYFUNCTION("IFERROR(GOOGLEFINANCE(TRIM(F1049)&amp;"":"" &amp; TRIM(B1049),""high52""),AE1049)"),0)</f>
        <v>0</v>
      </c>
      <c r="AG1049" s="1">
        <v>0</v>
      </c>
      <c r="AH1049" s="1">
        <f ca="1">IFERROR(__xludf.DUMMYFUNCTION("IFERROR(GOOGLEFINANCE(TRIM(F1049)&amp;"":"" &amp; TRIM(B1049),""low52""),AE1049)"),0)</f>
        <v>0</v>
      </c>
      <c r="AI1049" s="1">
        <f ca="1">IFERROR(__xludf.DUMMYFUNCTION("IFERROR(GOOGLEFINANCE(B1049,""eps""),0)"),0)</f>
        <v>0</v>
      </c>
      <c r="AJ1049" s="1"/>
      <c r="AK1049" s="1" t="s">
        <v>3193</v>
      </c>
      <c r="AL1049" s="1" t="b">
        <f>ISNUMBER(AA1049)</f>
        <v>1</v>
      </c>
    </row>
    <row r="1050" spans="1:38" ht="15" x14ac:dyDescent="0.25">
      <c r="A1050" s="1" t="s">
        <v>3194</v>
      </c>
      <c r="B1050" s="1" t="s">
        <v>3195</v>
      </c>
      <c r="C1050" s="1" t="s">
        <v>227</v>
      </c>
      <c r="D1050" s="1" t="s">
        <v>227</v>
      </c>
      <c r="E1050" s="6">
        <v>6163.5</v>
      </c>
      <c r="F1050" s="1" t="s">
        <v>40</v>
      </c>
      <c r="G1050" s="6">
        <f ca="1">IFERROR(__xludf.DUMMYFUNCTION("iferror(GOOGLEFINANCE(TRIM(F1050)&amp;"":"" &amp; TRIM(B1050), ""price""),0
)"),1129)</f>
        <v>1129</v>
      </c>
      <c r="H1050" s="6">
        <v>1414.95</v>
      </c>
      <c r="I1050" s="6">
        <f t="shared" ca="1" si="0"/>
        <v>1129</v>
      </c>
      <c r="J1050" s="6">
        <f ca="1">IFERROR(__xludf.DUMMYFUNCTION("IFERROR(GOOGLEFINANCE(B1050, ""volume""), 0)"),60859)</f>
        <v>60859</v>
      </c>
      <c r="K1050" s="6">
        <v>-0.31</v>
      </c>
      <c r="L1050" s="6">
        <f ca="1">IFERROR(__xludf.DUMMYFUNCTION("IFERROR(GOOGLEFINANCE(B1050,""changepct""),K1050)"),-2.23)</f>
        <v>-2.23</v>
      </c>
      <c r="M1050" s="6">
        <f ca="1">IFERROR(__xludf.DUMMYFUNCTION("IFERROR(GOOGLEFINANCE(B1050,""change""),0)"),-25.7)</f>
        <v>-25.7</v>
      </c>
      <c r="N1050" s="6">
        <v>2</v>
      </c>
      <c r="O1050" s="7">
        <v>45536</v>
      </c>
      <c r="P1050" s="6">
        <v>272.88</v>
      </c>
      <c r="Q1050" s="6">
        <v>5985.75</v>
      </c>
      <c r="R1050" s="7">
        <v>45536</v>
      </c>
      <c r="S1050" s="6">
        <v>4424.54</v>
      </c>
      <c r="T1050" s="6">
        <v>74.72</v>
      </c>
      <c r="U1050" s="7">
        <v>45536</v>
      </c>
      <c r="V1050" s="6">
        <v>86.28</v>
      </c>
      <c r="W1050" s="6">
        <f ca="1">IFERROR(__xludf.DUMMYFUNCTION("IFERROR(GOOGLEFINANCE(B1050,""pe""),V1050)"),44.52)</f>
        <v>44.52</v>
      </c>
      <c r="X1050" s="12"/>
      <c r="Y1050" s="6">
        <v>3.66</v>
      </c>
      <c r="Z1050" s="6">
        <v>2</v>
      </c>
      <c r="AA1050" s="8">
        <v>45352</v>
      </c>
      <c r="AB1050" s="4">
        <v>0.17</v>
      </c>
      <c r="AC1050" s="6">
        <v>5.08</v>
      </c>
      <c r="AD1050" s="6">
        <v>7.02</v>
      </c>
      <c r="AE1050" s="1">
        <v>0</v>
      </c>
      <c r="AF1050" s="1">
        <f ca="1">IFERROR(__xludf.DUMMYFUNCTION("IFERROR(GOOGLEFINANCE(TRIM(F1050)&amp;"":"" &amp; TRIM(B1050),""high52""),AE1050)"),1563.9)</f>
        <v>1563.9</v>
      </c>
      <c r="AG1050" s="1">
        <v>0</v>
      </c>
      <c r="AH1050" s="1">
        <f ca="1">IFERROR(__xludf.DUMMYFUNCTION("IFERROR(GOOGLEFINANCE(TRIM(F1050)&amp;"":"" &amp; TRIM(B1050),""low52""),AE1050)"),944)</f>
        <v>944</v>
      </c>
      <c r="AI1050" s="1">
        <f ca="1">IFERROR(__xludf.DUMMYFUNCTION("IFERROR(GOOGLEFINANCE(B1050,""eps""),0)"),25.36)</f>
        <v>25.36</v>
      </c>
      <c r="AJ1050" s="1"/>
      <c r="AK1050" s="1" t="s">
        <v>3196</v>
      </c>
      <c r="AL1050" s="9">
        <f t="shared" ref="AL1050:AL1054" si="156">IF(AA1050&lt;&gt;AB1050,1,0)</f>
        <v>1</v>
      </c>
    </row>
    <row r="1051" spans="1:38" ht="15" x14ac:dyDescent="0.25">
      <c r="A1051" s="1" t="s">
        <v>3197</v>
      </c>
      <c r="B1051" s="1" t="s">
        <v>3198</v>
      </c>
      <c r="C1051" s="1" t="s">
        <v>1682</v>
      </c>
      <c r="D1051" s="1" t="s">
        <v>1682</v>
      </c>
      <c r="E1051" s="6">
        <v>849.96</v>
      </c>
      <c r="F1051" s="1" t="s">
        <v>40</v>
      </c>
      <c r="G1051" s="6">
        <f ca="1">IFERROR(__xludf.DUMMYFUNCTION("iferror(GOOGLEFINANCE(TRIM(F1051)&amp;"":"" &amp; TRIM(B1051), ""price""),0
)"),113.97)</f>
        <v>113.97</v>
      </c>
      <c r="H1051" s="6">
        <v>179.95</v>
      </c>
      <c r="I1051" s="6">
        <f t="shared" ca="1" si="0"/>
        <v>113.97</v>
      </c>
      <c r="J1051" s="6">
        <f ca="1">IFERROR(__xludf.DUMMYFUNCTION("IFERROR(GOOGLEFINANCE(B1051, ""volume""), 0)"),11629)</f>
        <v>11629</v>
      </c>
      <c r="K1051" s="6">
        <v>0.8</v>
      </c>
      <c r="L1051" s="6">
        <f ca="1">IFERROR(__xludf.DUMMYFUNCTION("IFERROR(GOOGLEFINANCE(B1051,""changepct""),K1051)"),2.25)</f>
        <v>2.25</v>
      </c>
      <c r="M1051" s="6">
        <f ca="1">IFERROR(__xludf.DUMMYFUNCTION("IFERROR(GOOGLEFINANCE(B1051,""change""),0)"),2.51)</f>
        <v>2.5099999999999998</v>
      </c>
      <c r="N1051" s="6">
        <v>2</v>
      </c>
      <c r="O1051" s="7">
        <v>45536</v>
      </c>
      <c r="P1051" s="9"/>
      <c r="Q1051" s="6">
        <v>821.78</v>
      </c>
      <c r="R1051" s="7">
        <v>45536</v>
      </c>
      <c r="S1051" s="6">
        <v>538.30999999999995</v>
      </c>
      <c r="T1051" s="6">
        <v>23.32</v>
      </c>
      <c r="U1051" s="7">
        <v>45536</v>
      </c>
      <c r="V1051" s="6">
        <v>37.1</v>
      </c>
      <c r="W1051" s="6">
        <f ca="1">IFERROR(__xludf.DUMMYFUNCTION("IFERROR(GOOGLEFINANCE(B1051,""pe""),V1051)"),45.4)</f>
        <v>45.4</v>
      </c>
      <c r="X1051" s="6">
        <v>-3.62</v>
      </c>
      <c r="Y1051" s="6">
        <v>1.1299999999999999</v>
      </c>
      <c r="Z1051" s="6">
        <v>2</v>
      </c>
      <c r="AA1051" s="8">
        <v>45352</v>
      </c>
      <c r="AB1051" s="4">
        <v>0</v>
      </c>
      <c r="AC1051" s="6">
        <v>4.84</v>
      </c>
      <c r="AD1051" s="6">
        <v>8.08</v>
      </c>
      <c r="AE1051" s="1">
        <v>0</v>
      </c>
      <c r="AF1051" s="1">
        <f ca="1">IFERROR(__xludf.DUMMYFUNCTION("IFERROR(GOOGLEFINANCE(TRIM(F1051)&amp;"":"" &amp; TRIM(B1051),""high52""),AE1051)"),174.58)</f>
        <v>174.58</v>
      </c>
      <c r="AG1051" s="1">
        <v>0</v>
      </c>
      <c r="AH1051" s="1">
        <f ca="1">IFERROR(__xludf.DUMMYFUNCTION("IFERROR(GOOGLEFINANCE(TRIM(F1051)&amp;"":"" &amp; TRIM(B1051),""low52""),AE1051)"),107.09)</f>
        <v>107.09</v>
      </c>
      <c r="AI1051" s="1">
        <f ca="1">IFERROR(__xludf.DUMMYFUNCTION("IFERROR(GOOGLEFINANCE(B1051,""eps""),0)"),2.51)</f>
        <v>2.5099999999999998</v>
      </c>
      <c r="AJ1051" s="1"/>
      <c r="AK1051" s="1" t="s">
        <v>3199</v>
      </c>
      <c r="AL1051" s="9">
        <f t="shared" si="156"/>
        <v>1</v>
      </c>
    </row>
    <row r="1052" spans="1:38" ht="15" x14ac:dyDescent="0.25">
      <c r="A1052" s="1" t="s">
        <v>3200</v>
      </c>
      <c r="B1052" s="1" t="s">
        <v>3201</v>
      </c>
      <c r="C1052" s="1" t="s">
        <v>86</v>
      </c>
      <c r="D1052" s="1" t="s">
        <v>86</v>
      </c>
      <c r="E1052" s="6">
        <v>5555.52</v>
      </c>
      <c r="F1052" s="1" t="s">
        <v>40</v>
      </c>
      <c r="G1052" s="6">
        <f ca="1">IFERROR(__xludf.DUMMYFUNCTION("iferror(GOOGLEFINANCE(TRIM(F1052)&amp;"":"" &amp; TRIM(B1052), ""price""),0
)"),172.1)</f>
        <v>172.1</v>
      </c>
      <c r="H1052" s="6">
        <v>324.64999999999998</v>
      </c>
      <c r="I1052" s="6">
        <f t="shared" ca="1" si="0"/>
        <v>172.1</v>
      </c>
      <c r="J1052" s="6">
        <f ca="1">IFERROR(__xludf.DUMMYFUNCTION("IFERROR(GOOGLEFINANCE(B1052, ""volume""), 0)"),638563)</f>
        <v>638563</v>
      </c>
      <c r="K1052" s="6">
        <v>2.54</v>
      </c>
      <c r="L1052" s="6">
        <f ca="1">IFERROR(__xludf.DUMMYFUNCTION("IFERROR(GOOGLEFINANCE(B1052,""changepct""),K1052)"),0.08)</f>
        <v>0.08</v>
      </c>
      <c r="M1052" s="6">
        <f ca="1">IFERROR(__xludf.DUMMYFUNCTION("IFERROR(GOOGLEFINANCE(B1052,""change""),0)"),0.14)</f>
        <v>0.14000000000000001</v>
      </c>
      <c r="N1052" s="6">
        <v>2</v>
      </c>
      <c r="O1052" s="7">
        <v>45536</v>
      </c>
      <c r="P1052" s="6">
        <v>376.09</v>
      </c>
      <c r="Q1052" s="6">
        <v>5805.22</v>
      </c>
      <c r="R1052" s="9"/>
      <c r="S1052" s="9"/>
      <c r="T1052" s="9"/>
      <c r="U1052" s="7">
        <v>45352</v>
      </c>
      <c r="V1052" s="6">
        <v>51.24</v>
      </c>
      <c r="W1052" s="6">
        <f ca="1">IFERROR(__xludf.DUMMYFUNCTION("IFERROR(GOOGLEFINANCE(B1052,""pe""),V1052)"),14.4)</f>
        <v>14.4</v>
      </c>
      <c r="X1052" s="9"/>
      <c r="Y1052" s="6">
        <v>5.53</v>
      </c>
      <c r="Z1052" s="6">
        <v>2</v>
      </c>
      <c r="AA1052" s="8">
        <v>45352</v>
      </c>
      <c r="AB1052" s="4">
        <v>0.8</v>
      </c>
      <c r="AC1052" s="6">
        <v>50.85</v>
      </c>
      <c r="AD1052" s="6">
        <v>47.29</v>
      </c>
      <c r="AE1052" s="1">
        <v>0</v>
      </c>
      <c r="AF1052" s="1">
        <f ca="1">IFERROR(__xludf.DUMMYFUNCTION("IFERROR(GOOGLEFINANCE(TRIM(F1052)&amp;"":"" &amp; TRIM(B1052),""high52""),AE1052)"),306.4)</f>
        <v>306.39999999999998</v>
      </c>
      <c r="AG1052" s="1">
        <v>0</v>
      </c>
      <c r="AH1052" s="1">
        <f ca="1">IFERROR(__xludf.DUMMYFUNCTION("IFERROR(GOOGLEFINANCE(TRIM(F1052)&amp;"":"" &amp; TRIM(B1052),""low52""),AE1052)"),163.21)</f>
        <v>163.21</v>
      </c>
      <c r="AI1052" s="1">
        <f ca="1">IFERROR(__xludf.DUMMYFUNCTION("IFERROR(GOOGLEFINANCE(B1052,""eps""),0)"),11.95)</f>
        <v>11.95</v>
      </c>
      <c r="AJ1052" s="1"/>
      <c r="AK1052" s="1" t="s">
        <v>3202</v>
      </c>
      <c r="AL1052" s="9">
        <f t="shared" si="156"/>
        <v>1</v>
      </c>
    </row>
    <row r="1053" spans="1:38" ht="15" x14ac:dyDescent="0.25">
      <c r="A1053" s="1" t="s">
        <v>3203</v>
      </c>
      <c r="B1053" s="1" t="s">
        <v>3204</v>
      </c>
      <c r="C1053" s="1" t="s">
        <v>416</v>
      </c>
      <c r="D1053" s="1" t="s">
        <v>416</v>
      </c>
      <c r="E1053" s="6">
        <v>240.89</v>
      </c>
      <c r="F1053" s="1" t="s">
        <v>40</v>
      </c>
      <c r="G1053" s="6">
        <f ca="1">IFERROR(__xludf.DUMMYFUNCTION("iferror(GOOGLEFINANCE(TRIM(F1053)&amp;"":"" &amp; TRIM(B1053), ""price""),0
)"),0)</f>
        <v>0</v>
      </c>
      <c r="H1053" s="6">
        <v>127.2</v>
      </c>
      <c r="I1053" s="6">
        <f t="shared" ca="1" si="0"/>
        <v>127.2</v>
      </c>
      <c r="J1053" s="6">
        <f ca="1">IFERROR(__xludf.DUMMYFUNCTION("IFERROR(GOOGLEFINANCE(B1053, ""volume""), 0)"),0)</f>
        <v>0</v>
      </c>
      <c r="K1053" s="6">
        <v>-0.78</v>
      </c>
      <c r="L1053" s="6">
        <f ca="1">IFERROR(__xludf.DUMMYFUNCTION("IFERROR(GOOGLEFINANCE(B1053,""changepct""),K1053)"),-0.78)</f>
        <v>-0.78</v>
      </c>
      <c r="M1053" s="6">
        <f ca="1">IFERROR(__xludf.DUMMYFUNCTION("IFERROR(GOOGLEFINANCE(B1053,""change""),0)"),0)</f>
        <v>0</v>
      </c>
      <c r="N1053" s="6">
        <v>1</v>
      </c>
      <c r="O1053" s="7">
        <v>45536</v>
      </c>
      <c r="P1053" s="6">
        <v>15.63</v>
      </c>
      <c r="Q1053" s="6">
        <v>256.52</v>
      </c>
      <c r="R1053" s="14"/>
      <c r="S1053" s="9"/>
      <c r="T1053" s="9"/>
      <c r="U1053" s="7">
        <v>45352</v>
      </c>
      <c r="V1053" s="6">
        <v>21.08</v>
      </c>
      <c r="W1053" s="6">
        <f ca="1">IFERROR(__xludf.DUMMYFUNCTION("IFERROR(GOOGLEFINANCE(B1053,""pe""),V1053)"),21.08)</f>
        <v>21.08</v>
      </c>
      <c r="X1053" s="12"/>
      <c r="Y1053" s="6">
        <v>4.83</v>
      </c>
      <c r="Z1053" s="6">
        <v>1</v>
      </c>
      <c r="AA1053" s="8">
        <v>45352</v>
      </c>
      <c r="AB1053" s="4">
        <v>0.46</v>
      </c>
      <c r="AC1053" s="6">
        <v>87.16</v>
      </c>
      <c r="AD1053" s="6">
        <v>74.06</v>
      </c>
      <c r="AE1053" s="1">
        <v>0</v>
      </c>
      <c r="AF1053" s="1">
        <f ca="1">IFERROR(__xludf.DUMMYFUNCTION("IFERROR(GOOGLEFINANCE(TRIM(F1053)&amp;"":"" &amp; TRIM(B1053),""high52""),AE1053)"),0)</f>
        <v>0</v>
      </c>
      <c r="AG1053" s="1">
        <v>0</v>
      </c>
      <c r="AH1053" s="1">
        <f ca="1">IFERROR(__xludf.DUMMYFUNCTION("IFERROR(GOOGLEFINANCE(TRIM(F1053)&amp;"":"" &amp; TRIM(B1053),""low52""),AE1053)"),0)</f>
        <v>0</v>
      </c>
      <c r="AI1053" s="1">
        <f ca="1">IFERROR(__xludf.DUMMYFUNCTION("IFERROR(GOOGLEFINANCE(B1053,""eps""),0)"),0)</f>
        <v>0</v>
      </c>
      <c r="AJ1053" s="1"/>
      <c r="AK1053" s="1" t="s">
        <v>3205</v>
      </c>
      <c r="AL1053" s="9">
        <f t="shared" si="156"/>
        <v>1</v>
      </c>
    </row>
    <row r="1054" spans="1:38" ht="15" x14ac:dyDescent="0.25">
      <c r="A1054" s="1" t="s">
        <v>3206</v>
      </c>
      <c r="B1054" s="1" t="s">
        <v>3207</v>
      </c>
      <c r="C1054" s="1" t="s">
        <v>2432</v>
      </c>
      <c r="D1054" s="1" t="s">
        <v>2432</v>
      </c>
      <c r="E1054" s="6">
        <v>287.36</v>
      </c>
      <c r="F1054" s="1" t="s">
        <v>53</v>
      </c>
      <c r="G1054" s="6">
        <f ca="1">IFERROR(__xludf.DUMMYFUNCTION("iferror(GOOGLEFINANCE(TRIM(F1054)&amp;"":"" &amp; TRIM(B1054), ""price""),0
)"),0)</f>
        <v>0</v>
      </c>
      <c r="H1054" s="6">
        <v>26.25</v>
      </c>
      <c r="I1054" s="6">
        <f t="shared" ca="1" si="0"/>
        <v>26.25</v>
      </c>
      <c r="J1054" s="6">
        <f ca="1">IFERROR(__xludf.DUMMYFUNCTION("IFERROR(GOOGLEFINANCE(B1054, ""volume""), 0)"),0)</f>
        <v>0</v>
      </c>
      <c r="K1054" s="9"/>
      <c r="L1054" s="6" t="str">
        <f ca="1">IFERROR(__xludf.DUMMYFUNCTION("IFERROR(GOOGLEFINANCE(B1054,""changepct""),K1054)"),"")</f>
        <v/>
      </c>
      <c r="M1054" s="6">
        <f ca="1">IFERROR(__xludf.DUMMYFUNCTION("IFERROR(GOOGLEFINANCE(B1054,""change""),0)"),0)</f>
        <v>0</v>
      </c>
      <c r="N1054" s="6">
        <v>1</v>
      </c>
      <c r="O1054" s="7">
        <v>45536</v>
      </c>
      <c r="P1054" s="6">
        <v>103.04</v>
      </c>
      <c r="Q1054" s="6">
        <v>390.4</v>
      </c>
      <c r="R1054" s="7">
        <v>45536</v>
      </c>
      <c r="S1054" s="6">
        <v>101.1</v>
      </c>
      <c r="T1054" s="6">
        <v>-6.49</v>
      </c>
      <c r="U1054" s="7">
        <v>45536</v>
      </c>
      <c r="V1054" s="6">
        <v>0</v>
      </c>
      <c r="W1054" s="6">
        <f ca="1">IFERROR(__xludf.DUMMYFUNCTION("IFERROR(GOOGLEFINANCE(B1054,""pe""),V1054)"),0)</f>
        <v>0</v>
      </c>
      <c r="X1054" s="6">
        <v>0</v>
      </c>
      <c r="Y1054" s="6">
        <v>4.46</v>
      </c>
      <c r="Z1054" s="6">
        <v>1</v>
      </c>
      <c r="AA1054" s="8">
        <v>45352</v>
      </c>
      <c r="AB1054" s="4">
        <v>-6.06</v>
      </c>
      <c r="AC1054" s="6">
        <v>0</v>
      </c>
      <c r="AD1054" s="6">
        <v>-3.55</v>
      </c>
      <c r="AE1054" s="1">
        <v>0</v>
      </c>
      <c r="AF1054" s="1">
        <f ca="1">IFERROR(__xludf.DUMMYFUNCTION("IFERROR(GOOGLEFINANCE(TRIM(F1054)&amp;"":"" &amp; TRIM(B1054),""high52""),AE1054)"),0)</f>
        <v>0</v>
      </c>
      <c r="AG1054" s="1">
        <v>0</v>
      </c>
      <c r="AH1054" s="1">
        <f ca="1">IFERROR(__xludf.DUMMYFUNCTION("IFERROR(GOOGLEFINANCE(TRIM(F1054)&amp;"":"" &amp; TRIM(B1054),""low52""),AE1054)"),0)</f>
        <v>0</v>
      </c>
      <c r="AI1054" s="1">
        <f ca="1">IFERROR(__xludf.DUMMYFUNCTION("IFERROR(GOOGLEFINANCE(B1054,""eps""),0)"),0)</f>
        <v>0</v>
      </c>
      <c r="AJ1054" s="1"/>
      <c r="AK1054" s="1" t="s">
        <v>3208</v>
      </c>
      <c r="AL1054" s="9">
        <f t="shared" si="156"/>
        <v>1</v>
      </c>
    </row>
    <row r="1055" spans="1:38" ht="15" x14ac:dyDescent="0.25">
      <c r="A1055" s="1" t="s">
        <v>3209</v>
      </c>
      <c r="B1055" s="1" t="s">
        <v>3210</v>
      </c>
      <c r="C1055" s="1" t="s">
        <v>689</v>
      </c>
      <c r="D1055" s="1" t="s">
        <v>689</v>
      </c>
      <c r="E1055" s="6">
        <v>5721.12</v>
      </c>
      <c r="F1055" s="1" t="s">
        <v>40</v>
      </c>
      <c r="G1055" s="6">
        <f ca="1">IFERROR(__xludf.DUMMYFUNCTION("iferror(GOOGLEFINANCE(TRIM(F1055)&amp;"":"" &amp; TRIM(B1055), ""price""),0
)"),227.15)</f>
        <v>227.15</v>
      </c>
      <c r="H1055" s="6">
        <v>625.1</v>
      </c>
      <c r="I1055" s="6">
        <f t="shared" ca="1" si="0"/>
        <v>227.15</v>
      </c>
      <c r="J1055" s="6">
        <f ca="1">IFERROR(__xludf.DUMMYFUNCTION("IFERROR(GOOGLEFINANCE(B1055, ""volume""), 0)"),722809)</f>
        <v>722809</v>
      </c>
      <c r="K1055" s="6">
        <v>5</v>
      </c>
      <c r="L1055" s="6">
        <f ca="1">IFERROR(__xludf.DUMMYFUNCTION("IFERROR(GOOGLEFINANCE(B1055,""changepct""),K1055)"),-2.34)</f>
        <v>-2.34</v>
      </c>
      <c r="M1055" s="6">
        <f ca="1">IFERROR(__xludf.DUMMYFUNCTION("IFERROR(GOOGLEFINANCE(B1055,""change""),0)"),-5.45)</f>
        <v>-5.45</v>
      </c>
      <c r="N1055" s="6">
        <v>2</v>
      </c>
      <c r="O1055" s="7">
        <v>45536</v>
      </c>
      <c r="P1055" s="6">
        <v>434.45</v>
      </c>
      <c r="Q1055" s="6">
        <v>6144.51</v>
      </c>
      <c r="R1055" s="7">
        <v>45536</v>
      </c>
      <c r="S1055" s="6">
        <v>1955.54</v>
      </c>
      <c r="T1055" s="6">
        <v>49.43</v>
      </c>
      <c r="U1055" s="7">
        <v>45536</v>
      </c>
      <c r="V1055" s="6">
        <v>120.1</v>
      </c>
      <c r="W1055" s="6">
        <f ca="1">IFERROR(__xludf.DUMMYFUNCTION("IFERROR(GOOGLEFINANCE(B1055,""pe""),V1055)"),53.36)</f>
        <v>53.36</v>
      </c>
      <c r="X1055" s="9"/>
      <c r="Y1055" s="6">
        <v>6.28</v>
      </c>
      <c r="Z1055" s="6">
        <v>2</v>
      </c>
      <c r="AA1055" s="8">
        <v>45352</v>
      </c>
      <c r="AB1055" s="4">
        <v>0.37</v>
      </c>
      <c r="AC1055" s="6">
        <v>5.97</v>
      </c>
      <c r="AD1055" s="6">
        <v>8.69</v>
      </c>
      <c r="AE1055" s="1">
        <v>0</v>
      </c>
      <c r="AF1055" s="1">
        <f ca="1">IFERROR(__xludf.DUMMYFUNCTION("IFERROR(GOOGLEFINANCE(TRIM(F1055)&amp;"":"" &amp; TRIM(B1055),""high52""),AE1055)"),450.8)</f>
        <v>450.8</v>
      </c>
      <c r="AG1055" s="1">
        <v>0</v>
      </c>
      <c r="AH1055" s="1">
        <f ca="1">IFERROR(__xludf.DUMMYFUNCTION("IFERROR(GOOGLEFINANCE(TRIM(F1055)&amp;"":"" &amp; TRIM(B1055),""low52""),AE1055)"),216.5)</f>
        <v>216.5</v>
      </c>
      <c r="AI1055" s="1">
        <f ca="1">IFERROR(__xludf.DUMMYFUNCTION("IFERROR(GOOGLEFINANCE(B1055,""eps""),0)"),4.26)</f>
        <v>4.26</v>
      </c>
      <c r="AJ1055" s="1"/>
      <c r="AK1055" s="1" t="s">
        <v>3211</v>
      </c>
      <c r="AL1055" s="1" t="b">
        <f>ISNUMBER(AA1055)</f>
        <v>1</v>
      </c>
    </row>
    <row r="1056" spans="1:38" ht="15" x14ac:dyDescent="0.25">
      <c r="A1056" s="1" t="s">
        <v>3212</v>
      </c>
      <c r="B1056" s="1" t="s">
        <v>3213</v>
      </c>
      <c r="C1056" s="1" t="s">
        <v>2432</v>
      </c>
      <c r="D1056" s="1" t="s">
        <v>2432</v>
      </c>
      <c r="E1056" s="6">
        <v>13.37</v>
      </c>
      <c r="F1056" s="1" t="s">
        <v>53</v>
      </c>
      <c r="G1056" s="6">
        <f ca="1">IFERROR(__xludf.DUMMYFUNCTION("iferror(GOOGLEFINANCE(TRIM(F1056)&amp;"":"" &amp; TRIM(B1056), ""price""),0
)"),0)</f>
        <v>0</v>
      </c>
      <c r="H1056" s="6">
        <v>26.66</v>
      </c>
      <c r="I1056" s="6">
        <f t="shared" ca="1" si="0"/>
        <v>26.66</v>
      </c>
      <c r="J1056" s="6">
        <f ca="1">IFERROR(__xludf.DUMMYFUNCTION("IFERROR(GOOGLEFINANCE(B1056, ""volume""), 0)"),0)</f>
        <v>0</v>
      </c>
      <c r="K1056" s="9"/>
      <c r="L1056" s="6" t="str">
        <f ca="1">IFERROR(__xludf.DUMMYFUNCTION("IFERROR(GOOGLEFINANCE(B1056,""changepct""),K1056)"),"")</f>
        <v/>
      </c>
      <c r="M1056" s="6">
        <f ca="1">IFERROR(__xludf.DUMMYFUNCTION("IFERROR(GOOGLEFINANCE(B1056,""change""),0)"),0)</f>
        <v>0</v>
      </c>
      <c r="N1056" s="6">
        <v>1</v>
      </c>
      <c r="O1056" s="7">
        <v>45536</v>
      </c>
      <c r="P1056" s="12"/>
      <c r="Q1056" s="6">
        <v>13.37</v>
      </c>
      <c r="R1056" s="7">
        <v>45536</v>
      </c>
      <c r="S1056" s="6">
        <v>0.91</v>
      </c>
      <c r="T1056" s="6">
        <v>0.23</v>
      </c>
      <c r="U1056" s="7">
        <v>45536</v>
      </c>
      <c r="V1056" s="6">
        <v>57.63</v>
      </c>
      <c r="W1056" s="6">
        <f ca="1">IFERROR(__xludf.DUMMYFUNCTION("IFERROR(GOOGLEFINANCE(B1056,""pe""),V1056)"),57.63)</f>
        <v>57.63</v>
      </c>
      <c r="X1056" s="6">
        <v>-5.14</v>
      </c>
      <c r="Y1056" s="6">
        <v>7.61</v>
      </c>
      <c r="Z1056" s="6">
        <v>1</v>
      </c>
      <c r="AA1056" s="8">
        <v>45352</v>
      </c>
      <c r="AB1056" s="4">
        <v>0</v>
      </c>
      <c r="AC1056" s="6">
        <v>1.1100000000000001</v>
      </c>
      <c r="AD1056" s="6">
        <v>1.65</v>
      </c>
      <c r="AE1056" s="1">
        <v>0</v>
      </c>
      <c r="AF1056" s="1">
        <f ca="1">IFERROR(__xludf.DUMMYFUNCTION("IFERROR(GOOGLEFINANCE(TRIM(F1056)&amp;"":"" &amp; TRIM(B1056),""high52""),AE1056)"),0)</f>
        <v>0</v>
      </c>
      <c r="AG1056" s="1">
        <v>0</v>
      </c>
      <c r="AH1056" s="1">
        <f ca="1">IFERROR(__xludf.DUMMYFUNCTION("IFERROR(GOOGLEFINANCE(TRIM(F1056)&amp;"":"" &amp; TRIM(B1056),""low52""),AE1056)"),0)</f>
        <v>0</v>
      </c>
      <c r="AI1056" s="1">
        <f ca="1">IFERROR(__xludf.DUMMYFUNCTION("IFERROR(GOOGLEFINANCE(B1056,""eps""),0)"),0)</f>
        <v>0</v>
      </c>
      <c r="AJ1056" s="1"/>
      <c r="AK1056" s="9"/>
      <c r="AL1056" s="9">
        <f t="shared" ref="AL1056:AL1068" si="157">IF(AA1056&lt;&gt;AB1056,1,0)</f>
        <v>1</v>
      </c>
    </row>
    <row r="1057" spans="1:38" ht="15" x14ac:dyDescent="0.25">
      <c r="A1057" s="1" t="s">
        <v>3214</v>
      </c>
      <c r="B1057" s="1" t="s">
        <v>3215</v>
      </c>
      <c r="C1057" s="1" t="s">
        <v>2432</v>
      </c>
      <c r="D1057" s="1" t="s">
        <v>2432</v>
      </c>
      <c r="E1057" s="6">
        <v>22.25</v>
      </c>
      <c r="F1057" s="1" t="s">
        <v>53</v>
      </c>
      <c r="G1057" s="6">
        <f ca="1">IFERROR(__xludf.DUMMYFUNCTION("iferror(GOOGLEFINANCE(TRIM(F1057)&amp;"":"" &amp; TRIM(B1057), ""price""),0
)"),0)</f>
        <v>0</v>
      </c>
      <c r="H1057" s="6">
        <v>16.39</v>
      </c>
      <c r="I1057" s="6">
        <f t="shared" ca="1" si="0"/>
        <v>16.39</v>
      </c>
      <c r="J1057" s="6">
        <f ca="1">IFERROR(__xludf.DUMMYFUNCTION("IFERROR(GOOGLEFINANCE(B1057, ""volume""), 0)"),0)</f>
        <v>0</v>
      </c>
      <c r="K1057" s="9"/>
      <c r="L1057" s="6" t="str">
        <f ca="1">IFERROR(__xludf.DUMMYFUNCTION("IFERROR(GOOGLEFINANCE(B1057,""changepct""),K1057)"),"")</f>
        <v/>
      </c>
      <c r="M1057" s="6">
        <f ca="1">IFERROR(__xludf.DUMMYFUNCTION("IFERROR(GOOGLEFINANCE(B1057,""change""),0)"),0)</f>
        <v>0</v>
      </c>
      <c r="N1057" s="6">
        <v>2</v>
      </c>
      <c r="O1057" s="7">
        <v>45536</v>
      </c>
      <c r="P1057" s="6">
        <v>0.61</v>
      </c>
      <c r="Q1057" s="6">
        <v>22.86</v>
      </c>
      <c r="R1057" s="7">
        <v>45536</v>
      </c>
      <c r="S1057" s="6">
        <v>5.55</v>
      </c>
      <c r="T1057" s="6">
        <v>0.37</v>
      </c>
      <c r="U1057" s="7">
        <v>45536</v>
      </c>
      <c r="V1057" s="6">
        <v>59.96</v>
      </c>
      <c r="W1057" s="6">
        <f ca="1">IFERROR(__xludf.DUMMYFUNCTION("IFERROR(GOOGLEFINANCE(B1057,""pe""),V1057)"),59.96)</f>
        <v>59.96</v>
      </c>
      <c r="X1057" s="6">
        <v>-2.48</v>
      </c>
      <c r="Y1057" s="6">
        <v>0.61</v>
      </c>
      <c r="Z1057" s="6">
        <v>2</v>
      </c>
      <c r="AA1057" s="8">
        <v>45352</v>
      </c>
      <c r="AB1057" s="4">
        <v>0.02</v>
      </c>
      <c r="AC1057" s="6">
        <v>0.16</v>
      </c>
      <c r="AD1057" s="6">
        <v>0.25</v>
      </c>
      <c r="AE1057" s="1">
        <v>0</v>
      </c>
      <c r="AF1057" s="1">
        <f ca="1">IFERROR(__xludf.DUMMYFUNCTION("IFERROR(GOOGLEFINANCE(TRIM(F1057)&amp;"":"" &amp; TRIM(B1057),""high52""),AE1057)"),0)</f>
        <v>0</v>
      </c>
      <c r="AG1057" s="1">
        <v>0</v>
      </c>
      <c r="AH1057" s="1">
        <f ca="1">IFERROR(__xludf.DUMMYFUNCTION("IFERROR(GOOGLEFINANCE(TRIM(F1057)&amp;"":"" &amp; TRIM(B1057),""low52""),AE1057)"),0)</f>
        <v>0</v>
      </c>
      <c r="AI1057" s="1">
        <f ca="1">IFERROR(__xludf.DUMMYFUNCTION("IFERROR(GOOGLEFINANCE(B1057,""eps""),0)"),0)</f>
        <v>0</v>
      </c>
      <c r="AJ1057" s="1"/>
      <c r="AK1057" s="1" t="s">
        <v>3216</v>
      </c>
      <c r="AL1057" s="9">
        <f t="shared" si="157"/>
        <v>1</v>
      </c>
    </row>
    <row r="1058" spans="1:38" ht="15" x14ac:dyDescent="0.25">
      <c r="A1058" s="1" t="s">
        <v>3217</v>
      </c>
      <c r="B1058" s="1" t="s">
        <v>3218</v>
      </c>
      <c r="C1058" s="1" t="s">
        <v>135</v>
      </c>
      <c r="D1058" s="1" t="s">
        <v>135</v>
      </c>
      <c r="E1058" s="6">
        <v>8074.76</v>
      </c>
      <c r="F1058" s="1" t="s">
        <v>40</v>
      </c>
      <c r="G1058" s="6">
        <f ca="1">IFERROR(__xludf.DUMMYFUNCTION("iferror(GOOGLEFINANCE(TRIM(F1058)&amp;"":"" &amp; TRIM(B1058), ""price""),0
)"),927)</f>
        <v>927</v>
      </c>
      <c r="H1058" s="6">
        <v>1855.15</v>
      </c>
      <c r="I1058" s="6">
        <f t="shared" ca="1" si="0"/>
        <v>927</v>
      </c>
      <c r="J1058" s="6">
        <f ca="1">IFERROR(__xludf.DUMMYFUNCTION("IFERROR(GOOGLEFINANCE(B1058, ""volume""), 0)"),136971)</f>
        <v>136971</v>
      </c>
      <c r="K1058" s="6">
        <v>-0.88</v>
      </c>
      <c r="L1058" s="6">
        <f ca="1">IFERROR(__xludf.DUMMYFUNCTION("IFERROR(GOOGLEFINANCE(B1058,""changepct""),K1058)"),-3.89)</f>
        <v>-3.89</v>
      </c>
      <c r="M1058" s="6">
        <f ca="1">IFERROR(__xludf.DUMMYFUNCTION("IFERROR(GOOGLEFINANCE(B1058,""change""),0)"),-37.5)</f>
        <v>-37.5</v>
      </c>
      <c r="N1058" s="6">
        <v>2</v>
      </c>
      <c r="O1058" s="7">
        <v>45536</v>
      </c>
      <c r="P1058" s="6">
        <v>895.19</v>
      </c>
      <c r="Q1058" s="6">
        <v>8963.8700000000008</v>
      </c>
      <c r="R1058" s="7">
        <v>45536</v>
      </c>
      <c r="S1058" s="6">
        <v>2273.41</v>
      </c>
      <c r="T1058" s="6">
        <v>292.52</v>
      </c>
      <c r="U1058" s="7">
        <v>45536</v>
      </c>
      <c r="V1058" s="6">
        <v>27.51</v>
      </c>
      <c r="W1058" s="6">
        <f ca="1">IFERROR(__xludf.DUMMYFUNCTION("IFERROR(GOOGLEFINANCE(B1058,""pe""),V1058)"),9.91)</f>
        <v>9.91</v>
      </c>
      <c r="X1058" s="9"/>
      <c r="Y1058" s="6">
        <v>4.66</v>
      </c>
      <c r="Z1058" s="6">
        <v>2</v>
      </c>
      <c r="AA1058" s="8">
        <v>45352</v>
      </c>
      <c r="AB1058" s="4">
        <v>0.77</v>
      </c>
      <c r="AC1058" s="6">
        <v>16.86</v>
      </c>
      <c r="AD1058" s="6">
        <v>17.690000000000001</v>
      </c>
      <c r="AE1058" s="1">
        <v>0</v>
      </c>
      <c r="AF1058" s="1">
        <f ca="1">IFERROR(__xludf.DUMMYFUNCTION("IFERROR(GOOGLEFINANCE(TRIM(F1058)&amp;"":"" &amp; TRIM(B1058),""high52""),AE1058)"),2114)</f>
        <v>2114</v>
      </c>
      <c r="AG1058" s="1">
        <v>0</v>
      </c>
      <c r="AH1058" s="1">
        <f ca="1">IFERROR(__xludf.DUMMYFUNCTION("IFERROR(GOOGLEFINANCE(TRIM(F1058)&amp;"":"" &amp; TRIM(B1058),""low52""),AE1058)"),904.6)</f>
        <v>904.6</v>
      </c>
      <c r="AI1058" s="1">
        <f ca="1">IFERROR(__xludf.DUMMYFUNCTION("IFERROR(GOOGLEFINANCE(B1058,""eps""),0)"),93.53)</f>
        <v>93.53</v>
      </c>
      <c r="AJ1058" s="1"/>
      <c r="AK1058" s="1" t="s">
        <v>3219</v>
      </c>
      <c r="AL1058" s="9">
        <f t="shared" si="157"/>
        <v>1</v>
      </c>
    </row>
    <row r="1059" spans="1:38" ht="15" x14ac:dyDescent="0.25">
      <c r="A1059" s="1" t="s">
        <v>3220</v>
      </c>
      <c r="B1059" s="1" t="s">
        <v>3221</v>
      </c>
      <c r="C1059" s="1" t="s">
        <v>2432</v>
      </c>
      <c r="D1059" s="1" t="s">
        <v>2432</v>
      </c>
      <c r="E1059" s="6">
        <v>18.27</v>
      </c>
      <c r="F1059" s="1" t="s">
        <v>53</v>
      </c>
      <c r="G1059" s="6">
        <f ca="1">IFERROR(__xludf.DUMMYFUNCTION("iferror(GOOGLEFINANCE(TRIM(F1059)&amp;"":"" &amp; TRIM(B1059), ""price""),0
)"),0)</f>
        <v>0</v>
      </c>
      <c r="H1059" s="6">
        <v>18.2</v>
      </c>
      <c r="I1059" s="6">
        <f t="shared" ca="1" si="0"/>
        <v>18.2</v>
      </c>
      <c r="J1059" s="6">
        <f ca="1">IFERROR(__xludf.DUMMYFUNCTION("IFERROR(GOOGLEFINANCE(B1059, ""volume""), 0)"),0)</f>
        <v>0</v>
      </c>
      <c r="K1059" s="9"/>
      <c r="L1059" s="6" t="str">
        <f ca="1">IFERROR(__xludf.DUMMYFUNCTION("IFERROR(GOOGLEFINANCE(B1059,""changepct""),K1059)"),"")</f>
        <v/>
      </c>
      <c r="M1059" s="6">
        <f ca="1">IFERROR(__xludf.DUMMYFUNCTION("IFERROR(GOOGLEFINANCE(B1059,""change""),0)"),0)</f>
        <v>0</v>
      </c>
      <c r="N1059" s="6">
        <v>1</v>
      </c>
      <c r="O1059" s="7">
        <v>45536</v>
      </c>
      <c r="P1059" s="6">
        <v>14.47</v>
      </c>
      <c r="Q1059" s="6">
        <v>32.74</v>
      </c>
      <c r="R1059" s="7">
        <v>45536</v>
      </c>
      <c r="S1059" s="6">
        <v>91.75</v>
      </c>
      <c r="T1059" s="6">
        <v>0.95</v>
      </c>
      <c r="U1059" s="7">
        <v>45536</v>
      </c>
      <c r="V1059" s="6">
        <v>19.13</v>
      </c>
      <c r="W1059" s="6">
        <f ca="1">IFERROR(__xludf.DUMMYFUNCTION("IFERROR(GOOGLEFINANCE(B1059,""pe""),V1059)"),19.13)</f>
        <v>19.13</v>
      </c>
      <c r="X1059" s="6">
        <v>0.15</v>
      </c>
      <c r="Y1059" s="6">
        <v>0.82</v>
      </c>
      <c r="Z1059" s="6">
        <v>1</v>
      </c>
      <c r="AA1059" s="8">
        <v>45352</v>
      </c>
      <c r="AB1059" s="4">
        <v>0.76</v>
      </c>
      <c r="AC1059" s="6">
        <v>6.23</v>
      </c>
      <c r="AD1059" s="6">
        <v>6.87</v>
      </c>
      <c r="AE1059" s="1">
        <v>0</v>
      </c>
      <c r="AF1059" s="1">
        <f ca="1">IFERROR(__xludf.DUMMYFUNCTION("IFERROR(GOOGLEFINANCE(TRIM(F1059)&amp;"":"" &amp; TRIM(B1059),""high52""),AE1059)"),0)</f>
        <v>0</v>
      </c>
      <c r="AG1059" s="1">
        <v>0</v>
      </c>
      <c r="AH1059" s="1">
        <f ca="1">IFERROR(__xludf.DUMMYFUNCTION("IFERROR(GOOGLEFINANCE(TRIM(F1059)&amp;"":"" &amp; TRIM(B1059),""low52""),AE1059)"),0)</f>
        <v>0</v>
      </c>
      <c r="AI1059" s="1">
        <f ca="1">IFERROR(__xludf.DUMMYFUNCTION("IFERROR(GOOGLEFINANCE(B1059,""eps""),0)"),0)</f>
        <v>0</v>
      </c>
      <c r="AJ1059" s="1"/>
      <c r="AK1059" s="9"/>
      <c r="AL1059" s="9">
        <f t="shared" si="157"/>
        <v>1</v>
      </c>
    </row>
    <row r="1060" spans="1:38" ht="15" x14ac:dyDescent="0.25">
      <c r="A1060" s="1" t="s">
        <v>3222</v>
      </c>
      <c r="B1060" s="1" t="s">
        <v>3223</v>
      </c>
      <c r="C1060" s="1" t="s">
        <v>2432</v>
      </c>
      <c r="D1060" s="1" t="s">
        <v>2432</v>
      </c>
      <c r="E1060" s="6">
        <v>38.909999999999997</v>
      </c>
      <c r="F1060" s="1" t="s">
        <v>53</v>
      </c>
      <c r="G1060" s="6">
        <f ca="1">IFERROR(__xludf.DUMMYFUNCTION("iferror(GOOGLEFINANCE(TRIM(F1060)&amp;"":"" &amp; TRIM(B1060), ""price""),0
)"),0)</f>
        <v>0</v>
      </c>
      <c r="H1060" s="6">
        <v>67.22</v>
      </c>
      <c r="I1060" s="6">
        <f t="shared" ca="1" si="0"/>
        <v>67.22</v>
      </c>
      <c r="J1060" s="6">
        <f ca="1">IFERROR(__xludf.DUMMYFUNCTION("IFERROR(GOOGLEFINANCE(B1060, ""volume""), 0)"),0)</f>
        <v>0</v>
      </c>
      <c r="K1060" s="9"/>
      <c r="L1060" s="6" t="str">
        <f ca="1">IFERROR(__xludf.DUMMYFUNCTION("IFERROR(GOOGLEFINANCE(B1060,""changepct""),K1060)"),"")</f>
        <v/>
      </c>
      <c r="M1060" s="6">
        <f ca="1">IFERROR(__xludf.DUMMYFUNCTION("IFERROR(GOOGLEFINANCE(B1060,""change""),0)"),0)</f>
        <v>0</v>
      </c>
      <c r="N1060" s="6">
        <v>1</v>
      </c>
      <c r="O1060" s="7">
        <v>45536</v>
      </c>
      <c r="P1060" s="6">
        <v>11.3</v>
      </c>
      <c r="Q1060" s="6">
        <v>50.21</v>
      </c>
      <c r="R1060" s="7">
        <v>45536</v>
      </c>
      <c r="S1060" s="6">
        <v>26.12</v>
      </c>
      <c r="T1060" s="6">
        <v>0.72</v>
      </c>
      <c r="U1060" s="7">
        <v>45536</v>
      </c>
      <c r="V1060" s="6">
        <v>54.26</v>
      </c>
      <c r="W1060" s="6">
        <f ca="1">IFERROR(__xludf.DUMMYFUNCTION("IFERROR(GOOGLEFINANCE(B1060,""pe""),V1060)"),54.26)</f>
        <v>54.26</v>
      </c>
      <c r="X1060" s="6">
        <v>1.44</v>
      </c>
      <c r="Y1060" s="6">
        <v>2.31</v>
      </c>
      <c r="Z1060" s="6">
        <v>1</v>
      </c>
      <c r="AA1060" s="8">
        <v>45352</v>
      </c>
      <c r="AB1060" s="4">
        <v>0.68</v>
      </c>
      <c r="AC1060" s="6">
        <v>8.52</v>
      </c>
      <c r="AD1060" s="6">
        <v>10.71</v>
      </c>
      <c r="AE1060" s="1">
        <v>0</v>
      </c>
      <c r="AF1060" s="1">
        <f ca="1">IFERROR(__xludf.DUMMYFUNCTION("IFERROR(GOOGLEFINANCE(TRIM(F1060)&amp;"":"" &amp; TRIM(B1060),""high52""),AE1060)"),0)</f>
        <v>0</v>
      </c>
      <c r="AG1060" s="1">
        <v>0</v>
      </c>
      <c r="AH1060" s="1">
        <f ca="1">IFERROR(__xludf.DUMMYFUNCTION("IFERROR(GOOGLEFINANCE(TRIM(F1060)&amp;"":"" &amp; TRIM(B1060),""low52""),AE1060)"),0)</f>
        <v>0</v>
      </c>
      <c r="AI1060" s="1">
        <f ca="1">IFERROR(__xludf.DUMMYFUNCTION("IFERROR(GOOGLEFINANCE(B1060,""eps""),0)"),0)</f>
        <v>0</v>
      </c>
      <c r="AJ1060" s="1"/>
      <c r="AK1060" s="1" t="s">
        <v>3224</v>
      </c>
      <c r="AL1060" s="9">
        <f t="shared" si="157"/>
        <v>1</v>
      </c>
    </row>
    <row r="1061" spans="1:38" ht="15" x14ac:dyDescent="0.25">
      <c r="A1061" s="1" t="s">
        <v>3225</v>
      </c>
      <c r="B1061" s="1" t="s">
        <v>3226</v>
      </c>
      <c r="C1061" s="1" t="s">
        <v>2432</v>
      </c>
      <c r="D1061" s="1" t="s">
        <v>2432</v>
      </c>
      <c r="E1061" s="6">
        <v>206.99</v>
      </c>
      <c r="F1061" s="1" t="s">
        <v>53</v>
      </c>
      <c r="G1061" s="6">
        <f ca="1">IFERROR(__xludf.DUMMYFUNCTION("iferror(GOOGLEFINANCE(TRIM(F1061)&amp;"":"" &amp; TRIM(B1061), ""price""),0
)"),0)</f>
        <v>0</v>
      </c>
      <c r="H1061" s="6">
        <v>7.9</v>
      </c>
      <c r="I1061" s="6">
        <f t="shared" ca="1" si="0"/>
        <v>7.9</v>
      </c>
      <c r="J1061" s="6">
        <f ca="1">IFERROR(__xludf.DUMMYFUNCTION("IFERROR(GOOGLEFINANCE(B1061, ""volume""), 0)"),0)</f>
        <v>0</v>
      </c>
      <c r="K1061" s="6">
        <v>-1</v>
      </c>
      <c r="L1061" s="6">
        <f ca="1">IFERROR(__xludf.DUMMYFUNCTION("IFERROR(GOOGLEFINANCE(B1061,""changepct""),K1061)"),-1)</f>
        <v>-1</v>
      </c>
      <c r="M1061" s="6">
        <f ca="1">IFERROR(__xludf.DUMMYFUNCTION("IFERROR(GOOGLEFINANCE(B1061,""change""),0)"),0)</f>
        <v>0</v>
      </c>
      <c r="N1061" s="6">
        <v>1</v>
      </c>
      <c r="O1061" s="7">
        <v>45536</v>
      </c>
      <c r="P1061" s="9"/>
      <c r="Q1061" s="6">
        <v>197.72</v>
      </c>
      <c r="R1061" s="7">
        <v>45536</v>
      </c>
      <c r="S1061" s="6">
        <v>58.49</v>
      </c>
      <c r="T1061" s="6">
        <v>6.36</v>
      </c>
      <c r="U1061" s="7">
        <v>45536</v>
      </c>
      <c r="V1061" s="6">
        <v>32.53</v>
      </c>
      <c r="W1061" s="6">
        <f ca="1">IFERROR(__xludf.DUMMYFUNCTION("IFERROR(GOOGLEFINANCE(B1061,""pe""),V1061)"),32.53)</f>
        <v>32.53</v>
      </c>
      <c r="X1061" s="6">
        <v>0.34</v>
      </c>
      <c r="Y1061" s="6">
        <v>6.39</v>
      </c>
      <c r="Z1061" s="6">
        <v>1</v>
      </c>
      <c r="AA1061" s="8">
        <v>45352</v>
      </c>
      <c r="AB1061" s="4">
        <v>0</v>
      </c>
      <c r="AC1061" s="6">
        <v>7.06</v>
      </c>
      <c r="AD1061" s="6">
        <v>9.77</v>
      </c>
      <c r="AE1061" s="1">
        <v>0</v>
      </c>
      <c r="AF1061" s="1">
        <f ca="1">IFERROR(__xludf.DUMMYFUNCTION("IFERROR(GOOGLEFINANCE(TRIM(F1061)&amp;"":"" &amp; TRIM(B1061),""high52""),AE1061)"),0)</f>
        <v>0</v>
      </c>
      <c r="AG1061" s="1">
        <v>0</v>
      </c>
      <c r="AH1061" s="1">
        <f ca="1">IFERROR(__xludf.DUMMYFUNCTION("IFERROR(GOOGLEFINANCE(TRIM(F1061)&amp;"":"" &amp; TRIM(B1061),""low52""),AE1061)"),0)</f>
        <v>0</v>
      </c>
      <c r="AI1061" s="1">
        <f ca="1">IFERROR(__xludf.DUMMYFUNCTION("IFERROR(GOOGLEFINANCE(B1061,""eps""),0)"),0)</f>
        <v>0</v>
      </c>
      <c r="AJ1061" s="1"/>
      <c r="AK1061" s="1" t="s">
        <v>3227</v>
      </c>
      <c r="AL1061" s="9">
        <f t="shared" si="157"/>
        <v>1</v>
      </c>
    </row>
    <row r="1062" spans="1:38" ht="15" x14ac:dyDescent="0.25">
      <c r="A1062" s="1" t="s">
        <v>3228</v>
      </c>
      <c r="B1062" s="1" t="s">
        <v>3229</v>
      </c>
      <c r="C1062" s="1" t="s">
        <v>2432</v>
      </c>
      <c r="D1062" s="1" t="s">
        <v>2432</v>
      </c>
      <c r="E1062" s="6">
        <v>83.51</v>
      </c>
      <c r="F1062" s="1" t="s">
        <v>53</v>
      </c>
      <c r="G1062" s="6">
        <f ca="1">IFERROR(__xludf.DUMMYFUNCTION("iferror(GOOGLEFINANCE(TRIM(F1062)&amp;"":"" &amp; TRIM(B1062), ""price""),0
)"),0)</f>
        <v>0</v>
      </c>
      <c r="H1062" s="6">
        <v>41.44</v>
      </c>
      <c r="I1062" s="6">
        <f t="shared" ca="1" si="0"/>
        <v>41.44</v>
      </c>
      <c r="J1062" s="6">
        <f ca="1">IFERROR(__xludf.DUMMYFUNCTION("IFERROR(GOOGLEFINANCE(B1062, ""volume""), 0)"),0)</f>
        <v>0</v>
      </c>
      <c r="K1062" s="6">
        <v>3.6</v>
      </c>
      <c r="L1062" s="6">
        <f ca="1">IFERROR(__xludf.DUMMYFUNCTION("IFERROR(GOOGLEFINANCE(B1062,""changepct""),K1062)"),3.6)</f>
        <v>3.6</v>
      </c>
      <c r="M1062" s="6">
        <f ca="1">IFERROR(__xludf.DUMMYFUNCTION("IFERROR(GOOGLEFINANCE(B1062,""change""),0)"),0)</f>
        <v>0</v>
      </c>
      <c r="N1062" s="6">
        <v>2</v>
      </c>
      <c r="O1062" s="7">
        <v>45536</v>
      </c>
      <c r="P1062" s="6">
        <v>108.28</v>
      </c>
      <c r="Q1062" s="6">
        <v>171.28</v>
      </c>
      <c r="R1062" s="7">
        <v>45536</v>
      </c>
      <c r="S1062" s="6">
        <v>759.76</v>
      </c>
      <c r="T1062" s="6">
        <v>7.25</v>
      </c>
      <c r="U1062" s="7">
        <v>45536</v>
      </c>
      <c r="V1062" s="6">
        <v>11.52</v>
      </c>
      <c r="W1062" s="6">
        <f ca="1">IFERROR(__xludf.DUMMYFUNCTION("IFERROR(GOOGLEFINANCE(B1062,""pe""),V1062)"),11.52)</f>
        <v>11.52</v>
      </c>
      <c r="X1062" s="12"/>
      <c r="Y1062" s="6">
        <v>0.64</v>
      </c>
      <c r="Z1062" s="6">
        <v>2</v>
      </c>
      <c r="AA1062" s="8">
        <v>45352</v>
      </c>
      <c r="AB1062" s="4">
        <v>0.88</v>
      </c>
      <c r="AC1062" s="6">
        <v>3.99</v>
      </c>
      <c r="AD1062" s="6">
        <v>6.5</v>
      </c>
      <c r="AE1062" s="1">
        <v>0</v>
      </c>
      <c r="AF1062" s="1">
        <f ca="1">IFERROR(__xludf.DUMMYFUNCTION("IFERROR(GOOGLEFINANCE(TRIM(F1062)&amp;"":"" &amp; TRIM(B1062),""high52""),AE1062)"),0)</f>
        <v>0</v>
      </c>
      <c r="AG1062" s="1">
        <v>0</v>
      </c>
      <c r="AH1062" s="1">
        <f ca="1">IFERROR(__xludf.DUMMYFUNCTION("IFERROR(GOOGLEFINANCE(TRIM(F1062)&amp;"":"" &amp; TRIM(B1062),""low52""),AE1062)"),0)</f>
        <v>0</v>
      </c>
      <c r="AI1062" s="1">
        <f ca="1">IFERROR(__xludf.DUMMYFUNCTION("IFERROR(GOOGLEFINANCE(B1062,""eps""),0)"),0)</f>
        <v>0</v>
      </c>
      <c r="AJ1062" s="1"/>
      <c r="AK1062" s="1" t="s">
        <v>3230</v>
      </c>
      <c r="AL1062" s="9">
        <f t="shared" si="157"/>
        <v>1</v>
      </c>
    </row>
    <row r="1063" spans="1:38" ht="15" x14ac:dyDescent="0.25">
      <c r="A1063" s="1" t="s">
        <v>3231</v>
      </c>
      <c r="B1063" s="1" t="s">
        <v>3232</v>
      </c>
      <c r="C1063" s="1" t="s">
        <v>82</v>
      </c>
      <c r="D1063" s="1" t="s">
        <v>82</v>
      </c>
      <c r="E1063" s="6">
        <v>8358.49</v>
      </c>
      <c r="F1063" s="1" t="s">
        <v>40</v>
      </c>
      <c r="G1063" s="6">
        <f ca="1">IFERROR(__xludf.DUMMYFUNCTION("iferror(GOOGLEFINANCE(TRIM(F1063)&amp;"":"" &amp; TRIM(B1063), ""price""),0
)"),193.3)</f>
        <v>193.3</v>
      </c>
      <c r="H1063" s="6">
        <v>263.64999999999998</v>
      </c>
      <c r="I1063" s="6">
        <f t="shared" ca="1" si="0"/>
        <v>193.3</v>
      </c>
      <c r="J1063" s="6">
        <f ca="1">IFERROR(__xludf.DUMMYFUNCTION("IFERROR(GOOGLEFINANCE(B1063, ""volume""), 0)"),350160)</f>
        <v>350160</v>
      </c>
      <c r="K1063" s="6">
        <v>0.5</v>
      </c>
      <c r="L1063" s="6">
        <f ca="1">IFERROR(__xludf.DUMMYFUNCTION("IFERROR(GOOGLEFINANCE(B1063,""changepct""),K1063)"),-11.63)</f>
        <v>-11.63</v>
      </c>
      <c r="M1063" s="6">
        <f ca="1">IFERROR(__xludf.DUMMYFUNCTION("IFERROR(GOOGLEFINANCE(B1063,""change""),0)"),-0.03)</f>
        <v>-0.03</v>
      </c>
      <c r="N1063" s="6">
        <v>2</v>
      </c>
      <c r="O1063" s="7">
        <v>45536</v>
      </c>
      <c r="P1063" s="6">
        <v>740</v>
      </c>
      <c r="Q1063" s="6">
        <v>8947.49</v>
      </c>
      <c r="R1063" s="7">
        <v>45536</v>
      </c>
      <c r="S1063" s="6">
        <v>4097.8999999999996</v>
      </c>
      <c r="T1063" s="6">
        <v>256.60000000000002</v>
      </c>
      <c r="U1063" s="7">
        <v>45536</v>
      </c>
      <c r="V1063" s="6">
        <v>32.200000000000003</v>
      </c>
      <c r="W1063" s="6">
        <f ca="1">IFERROR(__xludf.DUMMYFUNCTION("IFERROR(GOOGLEFINANCE(B1063,""pe""),V1063)"),40.25)</f>
        <v>40.25</v>
      </c>
      <c r="X1063" s="6">
        <v>4.99</v>
      </c>
      <c r="Y1063" s="6">
        <v>3.79</v>
      </c>
      <c r="Z1063" s="6">
        <v>2</v>
      </c>
      <c r="AA1063" s="8">
        <v>45352</v>
      </c>
      <c r="AB1063" s="4">
        <v>0.39</v>
      </c>
      <c r="AC1063" s="6">
        <v>10.48</v>
      </c>
      <c r="AD1063" s="6">
        <v>13.58</v>
      </c>
      <c r="AE1063" s="1">
        <v>0</v>
      </c>
      <c r="AF1063" s="1">
        <f ca="1">IFERROR(__xludf.DUMMYFUNCTION("IFERROR(GOOGLEFINANCE(TRIM(F1063)&amp;"":"" &amp; TRIM(B1063),""high52""),AE1063)"),261.37)</f>
        <v>261.37</v>
      </c>
      <c r="AG1063" s="1">
        <v>0</v>
      </c>
      <c r="AH1063" s="1">
        <f ca="1">IFERROR(__xludf.DUMMYFUNCTION("IFERROR(GOOGLEFINANCE(TRIM(F1063)&amp;"":"" &amp; TRIM(B1063),""low52""),AE1063)"),175.28)</f>
        <v>175.28</v>
      </c>
      <c r="AI1063" s="1">
        <f ca="1">IFERROR(__xludf.DUMMYFUNCTION("IFERROR(GOOGLEFINANCE(B1063,""eps""),0)"),0)</f>
        <v>0</v>
      </c>
      <c r="AJ1063" s="1"/>
      <c r="AK1063" s="1" t="s">
        <v>3233</v>
      </c>
      <c r="AL1063" s="9">
        <f t="shared" si="157"/>
        <v>1</v>
      </c>
    </row>
    <row r="1064" spans="1:38" ht="15" x14ac:dyDescent="0.25">
      <c r="A1064" s="1" t="s">
        <v>3234</v>
      </c>
      <c r="B1064" s="1" t="s">
        <v>3235</v>
      </c>
      <c r="C1064" s="1" t="s">
        <v>487</v>
      </c>
      <c r="D1064" s="1" t="s">
        <v>487</v>
      </c>
      <c r="E1064" s="6">
        <v>7873.15</v>
      </c>
      <c r="F1064" s="1" t="s">
        <v>40</v>
      </c>
      <c r="G1064" s="6">
        <f ca="1">IFERROR(__xludf.DUMMYFUNCTION("iferror(GOOGLEFINANCE(TRIM(F1064)&amp;"":"" &amp; TRIM(B1064), ""price""),0
)"),63)</f>
        <v>63</v>
      </c>
      <c r="H1064" s="6">
        <v>127</v>
      </c>
      <c r="I1064" s="6">
        <f t="shared" ca="1" si="0"/>
        <v>63</v>
      </c>
      <c r="J1064" s="6">
        <f ca="1">IFERROR(__xludf.DUMMYFUNCTION("IFERROR(GOOGLEFINANCE(B1064, ""volume""), 0)"),785249)</f>
        <v>785249</v>
      </c>
      <c r="K1064" s="6">
        <v>2.6</v>
      </c>
      <c r="L1064" s="6">
        <f ca="1">IFERROR(__xludf.DUMMYFUNCTION("IFERROR(GOOGLEFINANCE(B1064,""changepct""),K1064)"),-3.48)</f>
        <v>-3.48</v>
      </c>
      <c r="M1064" s="6">
        <f ca="1">IFERROR(__xludf.DUMMYFUNCTION("IFERROR(GOOGLEFINANCE(B1064,""change""),0)"),-2.27)</f>
        <v>-2.27</v>
      </c>
      <c r="N1064" s="6">
        <v>2</v>
      </c>
      <c r="O1064" s="7">
        <v>45536</v>
      </c>
      <c r="P1064" s="6">
        <v>363.56</v>
      </c>
      <c r="Q1064" s="6">
        <v>8149.48</v>
      </c>
      <c r="R1064" s="7">
        <v>45536</v>
      </c>
      <c r="S1064" s="6">
        <v>754.78</v>
      </c>
      <c r="T1064" s="6">
        <v>-344.75</v>
      </c>
      <c r="U1064" s="7">
        <v>45536</v>
      </c>
      <c r="V1064" s="6">
        <v>0</v>
      </c>
      <c r="W1064" s="6">
        <f ca="1">IFERROR(__xludf.DUMMYFUNCTION("IFERROR(GOOGLEFINANCE(B1064,""pe""),V1064)"),0)</f>
        <v>0</v>
      </c>
      <c r="X1064" s="12"/>
      <c r="Y1064" s="6">
        <v>1.72</v>
      </c>
      <c r="Z1064" s="6">
        <v>2</v>
      </c>
      <c r="AA1064" s="8">
        <v>45352</v>
      </c>
      <c r="AB1064" s="4">
        <v>0.11</v>
      </c>
      <c r="AC1064" s="6">
        <v>-37.409999999999997</v>
      </c>
      <c r="AD1064" s="6">
        <v>-29.1</v>
      </c>
      <c r="AE1064" s="1">
        <v>0</v>
      </c>
      <c r="AF1064" s="1">
        <f ca="1">IFERROR(__xludf.DUMMYFUNCTION("IFERROR(GOOGLEFINANCE(TRIM(F1064)&amp;"":"" &amp; TRIM(B1064),""high52""),AE1064)"),156.9)</f>
        <v>156.9</v>
      </c>
      <c r="AG1064" s="1">
        <v>0</v>
      </c>
      <c r="AH1064" s="1">
        <f ca="1">IFERROR(__xludf.DUMMYFUNCTION("IFERROR(GOOGLEFINANCE(TRIM(F1064)&amp;"":"" &amp; TRIM(B1064),""low52""),AE1064)"),55.69)</f>
        <v>55.69</v>
      </c>
      <c r="AI1064" s="1">
        <f ca="1">IFERROR(__xludf.DUMMYFUNCTION("IFERROR(GOOGLEFINANCE(B1064,""eps""),0)"),-0.42)</f>
        <v>-0.42</v>
      </c>
      <c r="AJ1064" s="1"/>
      <c r="AK1064" s="1" t="s">
        <v>3236</v>
      </c>
      <c r="AL1064" s="9">
        <f t="shared" si="157"/>
        <v>1</v>
      </c>
    </row>
    <row r="1065" spans="1:38" ht="15" x14ac:dyDescent="0.25">
      <c r="A1065" s="1" t="s">
        <v>3237</v>
      </c>
      <c r="B1065" s="1" t="s">
        <v>3238</v>
      </c>
      <c r="C1065" s="1" t="s">
        <v>227</v>
      </c>
      <c r="D1065" s="1" t="s">
        <v>227</v>
      </c>
      <c r="E1065" s="6">
        <v>256.39999999999998</v>
      </c>
      <c r="F1065" s="1" t="s">
        <v>40</v>
      </c>
      <c r="G1065" s="6">
        <f ca="1">IFERROR(__xludf.DUMMYFUNCTION("iferror(GOOGLEFINANCE(TRIM(F1065)&amp;"":"" &amp; TRIM(B1065), ""price""),0
)"),17.82)</f>
        <v>17.82</v>
      </c>
      <c r="H1065" s="6">
        <v>24.7</v>
      </c>
      <c r="I1065" s="6">
        <f t="shared" ca="1" si="0"/>
        <v>17.82</v>
      </c>
      <c r="J1065" s="6">
        <f ca="1">IFERROR(__xludf.DUMMYFUNCTION("IFERROR(GOOGLEFINANCE(B1065, ""volume""), 0)"),6372)</f>
        <v>6372</v>
      </c>
      <c r="K1065" s="6">
        <v>-2.5299999999999998</v>
      </c>
      <c r="L1065" s="6">
        <f ca="1">IFERROR(__xludf.DUMMYFUNCTION("IFERROR(GOOGLEFINANCE(B1065,""changepct""),K1065)"),-1.71)</f>
        <v>-1.71</v>
      </c>
      <c r="M1065" s="6">
        <f ca="1">IFERROR(__xludf.DUMMYFUNCTION("IFERROR(GOOGLEFINANCE(B1065,""change""),0)"),-0.31)</f>
        <v>-0.31</v>
      </c>
      <c r="N1065" s="6">
        <v>2</v>
      </c>
      <c r="O1065" s="7">
        <v>45536</v>
      </c>
      <c r="P1065" s="6">
        <v>7.77</v>
      </c>
      <c r="Q1065" s="6">
        <v>264.16000000000003</v>
      </c>
      <c r="R1065" s="7">
        <v>45536</v>
      </c>
      <c r="S1065" s="6">
        <v>2.8</v>
      </c>
      <c r="T1065" s="6">
        <v>-7.0000000000000007E-2</v>
      </c>
      <c r="U1065" s="7">
        <v>45536</v>
      </c>
      <c r="V1065" s="6">
        <v>0</v>
      </c>
      <c r="W1065" s="6">
        <f ca="1">IFERROR(__xludf.DUMMYFUNCTION("IFERROR(GOOGLEFINANCE(B1065,""pe""),V1065)"),118.44)</f>
        <v>118.44</v>
      </c>
      <c r="X1065" s="9"/>
      <c r="Y1065" s="6">
        <v>42.26</v>
      </c>
      <c r="Z1065" s="6">
        <v>2</v>
      </c>
      <c r="AA1065" s="8">
        <v>45352</v>
      </c>
      <c r="AB1065" s="4">
        <v>0.28999999999999998</v>
      </c>
      <c r="AC1065" s="6">
        <v>-4.09</v>
      </c>
      <c r="AD1065" s="6">
        <v>-1.91</v>
      </c>
      <c r="AE1065" s="1">
        <v>0</v>
      </c>
      <c r="AF1065" s="1">
        <f ca="1">IFERROR(__xludf.DUMMYFUNCTION("IFERROR(GOOGLEFINANCE(TRIM(F1065)&amp;"":"" &amp; TRIM(B1065),""high52""),AE1065)"),24.7)</f>
        <v>24.7</v>
      </c>
      <c r="AG1065" s="1">
        <v>0</v>
      </c>
      <c r="AH1065" s="1">
        <f ca="1">IFERROR(__xludf.DUMMYFUNCTION("IFERROR(GOOGLEFINANCE(TRIM(F1065)&amp;"":"" &amp; TRIM(B1065),""low52""),AE1065)"),16.15)</f>
        <v>16.149999999999999</v>
      </c>
      <c r="AI1065" s="1">
        <f ca="1">IFERROR(__xludf.DUMMYFUNCTION("IFERROR(GOOGLEFINANCE(B1065,""eps""),0)"),0.15)</f>
        <v>0.15</v>
      </c>
      <c r="AJ1065" s="1"/>
      <c r="AK1065" s="9"/>
      <c r="AL1065" s="9">
        <f t="shared" si="157"/>
        <v>1</v>
      </c>
    </row>
    <row r="1066" spans="1:38" ht="15" x14ac:dyDescent="0.25">
      <c r="A1066" s="1" t="s">
        <v>3239</v>
      </c>
      <c r="B1066" s="1" t="s">
        <v>3240</v>
      </c>
      <c r="C1066" s="1" t="s">
        <v>2432</v>
      </c>
      <c r="D1066" s="1" t="s">
        <v>2432</v>
      </c>
      <c r="E1066" s="6">
        <v>342.27</v>
      </c>
      <c r="F1066" s="1" t="s">
        <v>53</v>
      </c>
      <c r="G1066" s="6">
        <f ca="1">IFERROR(__xludf.DUMMYFUNCTION("iferror(GOOGLEFINANCE(TRIM(F1066)&amp;"":"" &amp; TRIM(B1066), ""price""),0
)"),0)</f>
        <v>0</v>
      </c>
      <c r="H1066" s="6">
        <v>153</v>
      </c>
      <c r="I1066" s="6">
        <f t="shared" ca="1" si="0"/>
        <v>153</v>
      </c>
      <c r="J1066" s="6">
        <f ca="1">IFERROR(__xludf.DUMMYFUNCTION("IFERROR(GOOGLEFINANCE(B1066, ""volume""), 0)"),0)</f>
        <v>0</v>
      </c>
      <c r="K1066" s="6">
        <v>1.1200000000000001</v>
      </c>
      <c r="L1066" s="6">
        <f ca="1">IFERROR(__xludf.DUMMYFUNCTION("IFERROR(GOOGLEFINANCE(B1066,""changepct""),K1066)"),1.12)</f>
        <v>1.1200000000000001</v>
      </c>
      <c r="M1066" s="6">
        <f ca="1">IFERROR(__xludf.DUMMYFUNCTION("IFERROR(GOOGLEFINANCE(B1066,""change""),0)"),0)</f>
        <v>0</v>
      </c>
      <c r="N1066" s="6">
        <v>1</v>
      </c>
      <c r="O1066" s="7">
        <v>45536</v>
      </c>
      <c r="P1066" s="6">
        <v>32.61</v>
      </c>
      <c r="Q1066" s="6">
        <v>374.88</v>
      </c>
      <c r="R1066" s="7">
        <v>45536</v>
      </c>
      <c r="S1066" s="6">
        <v>200.25</v>
      </c>
      <c r="T1066" s="6">
        <v>8.25</v>
      </c>
      <c r="U1066" s="7">
        <v>45536</v>
      </c>
      <c r="V1066" s="6">
        <v>41.47</v>
      </c>
      <c r="W1066" s="6">
        <f ca="1">IFERROR(__xludf.DUMMYFUNCTION("IFERROR(GOOGLEFINANCE(B1066,""pe""),V1066)"),41.47)</f>
        <v>41.47</v>
      </c>
      <c r="X1066" s="6">
        <v>1.8</v>
      </c>
      <c r="Y1066" s="6">
        <v>3.78</v>
      </c>
      <c r="Z1066" s="6">
        <v>1</v>
      </c>
      <c r="AA1066" s="8">
        <v>45352</v>
      </c>
      <c r="AB1066" s="4">
        <v>0.31</v>
      </c>
      <c r="AC1066" s="6">
        <v>12.17</v>
      </c>
      <c r="AD1066" s="6">
        <v>13.29</v>
      </c>
      <c r="AE1066" s="1">
        <v>0</v>
      </c>
      <c r="AF1066" s="1">
        <f ca="1">IFERROR(__xludf.DUMMYFUNCTION("IFERROR(GOOGLEFINANCE(TRIM(F1066)&amp;"":"" &amp; TRIM(B1066),""high52""),AE1066)"),0)</f>
        <v>0</v>
      </c>
      <c r="AG1066" s="1">
        <v>0</v>
      </c>
      <c r="AH1066" s="1">
        <f ca="1">IFERROR(__xludf.DUMMYFUNCTION("IFERROR(GOOGLEFINANCE(TRIM(F1066)&amp;"":"" &amp; TRIM(B1066),""low52""),AE1066)"),0)</f>
        <v>0</v>
      </c>
      <c r="AI1066" s="1">
        <f ca="1">IFERROR(__xludf.DUMMYFUNCTION("IFERROR(GOOGLEFINANCE(B1066,""eps""),0)"),0)</f>
        <v>0</v>
      </c>
      <c r="AJ1066" s="1"/>
      <c r="AK1066" s="1" t="s">
        <v>3241</v>
      </c>
      <c r="AL1066" s="9">
        <f t="shared" si="157"/>
        <v>1</v>
      </c>
    </row>
    <row r="1067" spans="1:38" ht="15" x14ac:dyDescent="0.25">
      <c r="A1067" s="1" t="s">
        <v>3242</v>
      </c>
      <c r="B1067" s="1" t="s">
        <v>3243</v>
      </c>
      <c r="C1067" s="1" t="s">
        <v>2432</v>
      </c>
      <c r="D1067" s="1" t="s">
        <v>2432</v>
      </c>
      <c r="E1067" s="6">
        <v>15.35</v>
      </c>
      <c r="F1067" s="1" t="s">
        <v>53</v>
      </c>
      <c r="G1067" s="6">
        <f ca="1">IFERROR(__xludf.DUMMYFUNCTION("iferror(GOOGLEFINANCE(TRIM(F1067)&amp;"":"" &amp; TRIM(B1067), ""price""),0
)"),0)</f>
        <v>0</v>
      </c>
      <c r="H1067" s="6">
        <v>15.81</v>
      </c>
      <c r="I1067" s="6">
        <f t="shared" ca="1" si="0"/>
        <v>15.81</v>
      </c>
      <c r="J1067" s="6">
        <f ca="1">IFERROR(__xludf.DUMMYFUNCTION("IFERROR(GOOGLEFINANCE(B1067, ""volume""), 0)"),0)</f>
        <v>0</v>
      </c>
      <c r="K1067" s="6">
        <v>4.9800000000000004</v>
      </c>
      <c r="L1067" s="6">
        <f ca="1">IFERROR(__xludf.DUMMYFUNCTION("IFERROR(GOOGLEFINANCE(B1067,""changepct""),K1067)"),4.98)</f>
        <v>4.9800000000000004</v>
      </c>
      <c r="M1067" s="6">
        <f ca="1">IFERROR(__xludf.DUMMYFUNCTION("IFERROR(GOOGLEFINANCE(B1067,""change""),0)"),0)</f>
        <v>0</v>
      </c>
      <c r="N1067" s="6">
        <v>1</v>
      </c>
      <c r="O1067" s="7">
        <v>45536</v>
      </c>
      <c r="P1067" s="6">
        <v>9.6199999999999992</v>
      </c>
      <c r="Q1067" s="6">
        <v>24.97</v>
      </c>
      <c r="R1067" s="7">
        <v>45536</v>
      </c>
      <c r="S1067" s="6">
        <v>25.18</v>
      </c>
      <c r="T1067" s="6">
        <v>0.18</v>
      </c>
      <c r="U1067" s="7">
        <v>45536</v>
      </c>
      <c r="V1067" s="6">
        <v>86.25</v>
      </c>
      <c r="W1067" s="6">
        <f ca="1">IFERROR(__xludf.DUMMYFUNCTION("IFERROR(GOOGLEFINANCE(B1067,""pe""),V1067)"),86.25)</f>
        <v>86.25</v>
      </c>
      <c r="X1067" s="6">
        <v>0.82</v>
      </c>
      <c r="Y1067" s="6">
        <v>0.79</v>
      </c>
      <c r="Z1067" s="6">
        <v>1</v>
      </c>
      <c r="AA1067" s="8">
        <v>44986</v>
      </c>
      <c r="AB1067" s="4">
        <v>0</v>
      </c>
      <c r="AC1067" s="6">
        <v>5.91</v>
      </c>
      <c r="AD1067" s="6">
        <v>7.83</v>
      </c>
      <c r="AE1067" s="1">
        <v>0</v>
      </c>
      <c r="AF1067" s="1">
        <f ca="1">IFERROR(__xludf.DUMMYFUNCTION("IFERROR(GOOGLEFINANCE(TRIM(F1067)&amp;"":"" &amp; TRIM(B1067),""high52""),AE1067)"),0)</f>
        <v>0</v>
      </c>
      <c r="AG1067" s="1">
        <v>0</v>
      </c>
      <c r="AH1067" s="1">
        <f ca="1">IFERROR(__xludf.DUMMYFUNCTION("IFERROR(GOOGLEFINANCE(TRIM(F1067)&amp;"":"" &amp; TRIM(B1067),""low52""),AE1067)"),0)</f>
        <v>0</v>
      </c>
      <c r="AI1067" s="1">
        <f ca="1">IFERROR(__xludf.DUMMYFUNCTION("IFERROR(GOOGLEFINANCE(B1067,""eps""),0)"),0)</f>
        <v>0</v>
      </c>
      <c r="AJ1067" s="1"/>
      <c r="AK1067" s="1" t="s">
        <v>3244</v>
      </c>
      <c r="AL1067" s="9">
        <f t="shared" si="157"/>
        <v>1</v>
      </c>
    </row>
    <row r="1068" spans="1:38" ht="15" x14ac:dyDescent="0.25">
      <c r="A1068" s="1" t="s">
        <v>3245</v>
      </c>
      <c r="B1068" s="1" t="s">
        <v>3246</v>
      </c>
      <c r="C1068" s="1" t="s">
        <v>2432</v>
      </c>
      <c r="D1068" s="1" t="s">
        <v>2432</v>
      </c>
      <c r="E1068" s="6">
        <v>41.68</v>
      </c>
      <c r="F1068" s="1" t="s">
        <v>53</v>
      </c>
      <c r="G1068" s="6">
        <f ca="1">IFERROR(__xludf.DUMMYFUNCTION("iferror(GOOGLEFINANCE(TRIM(F1068)&amp;"":"" &amp; TRIM(B1068), ""price""),0
)"),0)</f>
        <v>0</v>
      </c>
      <c r="H1068" s="6">
        <v>80.5</v>
      </c>
      <c r="I1068" s="6">
        <f t="shared" ca="1" si="0"/>
        <v>80.5</v>
      </c>
      <c r="J1068" s="6">
        <f ca="1">IFERROR(__xludf.DUMMYFUNCTION("IFERROR(GOOGLEFINANCE(B1068, ""volume""), 0)"),0)</f>
        <v>0</v>
      </c>
      <c r="K1068" s="6">
        <v>0</v>
      </c>
      <c r="L1068" s="6">
        <f ca="1">IFERROR(__xludf.DUMMYFUNCTION("IFERROR(GOOGLEFINANCE(B1068,""changepct""),K1068)"),0)</f>
        <v>0</v>
      </c>
      <c r="M1068" s="6">
        <f ca="1">IFERROR(__xludf.DUMMYFUNCTION("IFERROR(GOOGLEFINANCE(B1068,""change""),0)"),0)</f>
        <v>0</v>
      </c>
      <c r="N1068" s="6">
        <v>1</v>
      </c>
      <c r="O1068" s="7">
        <v>45536</v>
      </c>
      <c r="P1068" s="6">
        <v>0.28000000000000003</v>
      </c>
      <c r="Q1068" s="6">
        <v>41.8</v>
      </c>
      <c r="R1068" s="7">
        <v>45536</v>
      </c>
      <c r="S1068" s="6">
        <v>15.74</v>
      </c>
      <c r="T1068" s="6">
        <v>-2.41</v>
      </c>
      <c r="U1068" s="7">
        <v>45536</v>
      </c>
      <c r="V1068" s="6">
        <v>0</v>
      </c>
      <c r="W1068" s="6">
        <f ca="1">IFERROR(__xludf.DUMMYFUNCTION("IFERROR(GOOGLEFINANCE(B1068,""pe""),V1068)"),0)</f>
        <v>0</v>
      </c>
      <c r="X1068" s="9"/>
      <c r="Y1068" s="6">
        <v>0.62</v>
      </c>
      <c r="Z1068" s="6">
        <v>1</v>
      </c>
      <c r="AA1068" s="8">
        <v>45352</v>
      </c>
      <c r="AB1068" s="4">
        <v>0</v>
      </c>
      <c r="AC1068" s="6">
        <v>-2.0099999999999998</v>
      </c>
      <c r="AD1068" s="6">
        <v>-2.98</v>
      </c>
      <c r="AE1068" s="1">
        <v>0</v>
      </c>
      <c r="AF1068" s="1">
        <f ca="1">IFERROR(__xludf.DUMMYFUNCTION("IFERROR(GOOGLEFINANCE(TRIM(F1068)&amp;"":"" &amp; TRIM(B1068),""high52""),AE1068)"),0)</f>
        <v>0</v>
      </c>
      <c r="AG1068" s="1">
        <v>0</v>
      </c>
      <c r="AH1068" s="1">
        <f ca="1">IFERROR(__xludf.DUMMYFUNCTION("IFERROR(GOOGLEFINANCE(TRIM(F1068)&amp;"":"" &amp; TRIM(B1068),""low52""),AE1068)"),0)</f>
        <v>0</v>
      </c>
      <c r="AI1068" s="1">
        <f ca="1">IFERROR(__xludf.DUMMYFUNCTION("IFERROR(GOOGLEFINANCE(B1068,""eps""),0)"),0)</f>
        <v>0</v>
      </c>
      <c r="AJ1068" s="1"/>
      <c r="AK1068" s="1" t="s">
        <v>3247</v>
      </c>
      <c r="AL1068" s="9">
        <f t="shared" si="157"/>
        <v>1</v>
      </c>
    </row>
    <row r="1069" spans="1:38" ht="15" x14ac:dyDescent="0.25">
      <c r="A1069" s="1" t="s">
        <v>3248</v>
      </c>
      <c r="B1069" s="1" t="s">
        <v>3249</v>
      </c>
      <c r="C1069" s="1" t="s">
        <v>1067</v>
      </c>
      <c r="D1069" s="1" t="s">
        <v>1067</v>
      </c>
      <c r="E1069" s="6">
        <v>7455.72</v>
      </c>
      <c r="F1069" s="1" t="s">
        <v>40</v>
      </c>
      <c r="G1069" s="6">
        <f ca="1">IFERROR(__xludf.DUMMYFUNCTION("iferror(GOOGLEFINANCE(TRIM(F1069)&amp;"":"" &amp; TRIM(B1069), ""price""),0
)"),69.49)</f>
        <v>69.489999999999995</v>
      </c>
      <c r="H1069" s="6">
        <v>65.2</v>
      </c>
      <c r="I1069" s="6">
        <f t="shared" ca="1" si="0"/>
        <v>69.489999999999995</v>
      </c>
      <c r="J1069" s="6">
        <f ca="1">IFERROR(__xludf.DUMMYFUNCTION("IFERROR(GOOGLEFINANCE(B1069, ""volume""), 0)"),4418230)</f>
        <v>4418230</v>
      </c>
      <c r="K1069" s="6">
        <v>-0.44</v>
      </c>
      <c r="L1069" s="6">
        <f ca="1">IFERROR(__xludf.DUMMYFUNCTION("IFERROR(GOOGLEFINANCE(B1069,""changepct""),K1069)"),0.81)</f>
        <v>0.81</v>
      </c>
      <c r="M1069" s="6">
        <f ca="1">IFERROR(__xludf.DUMMYFUNCTION("IFERROR(GOOGLEFINANCE(B1069,""change""),0)"),0.56)</f>
        <v>0.56000000000000005</v>
      </c>
      <c r="N1069" s="6">
        <v>1</v>
      </c>
      <c r="O1069" s="7">
        <v>45536</v>
      </c>
      <c r="P1069" s="6">
        <v>5929.27</v>
      </c>
      <c r="Q1069" s="6">
        <v>448.26</v>
      </c>
      <c r="R1069" s="7">
        <v>45536</v>
      </c>
      <c r="S1069" s="6">
        <v>16.63</v>
      </c>
      <c r="T1069" s="9"/>
      <c r="U1069" s="6">
        <v>1.25</v>
      </c>
      <c r="V1069" s="6">
        <v>1</v>
      </c>
      <c r="W1069" s="6">
        <f ca="1">IFERROR(__xludf.DUMMYFUNCTION("IFERROR(GOOGLEFINANCE(B1069,""pe""),V1069)"),1)</f>
        <v>1</v>
      </c>
      <c r="X1069" s="7">
        <v>45352</v>
      </c>
      <c r="Y1069" s="6">
        <v>14.42</v>
      </c>
      <c r="Z1069" s="6">
        <v>1</v>
      </c>
      <c r="AA1069" s="8">
        <v>45352</v>
      </c>
      <c r="AB1069" s="4">
        <v>1.17</v>
      </c>
      <c r="AC1069" s="6">
        <v>7.06</v>
      </c>
      <c r="AD1069" s="6">
        <v>17.72</v>
      </c>
      <c r="AE1069" s="1">
        <v>0</v>
      </c>
      <c r="AF1069" s="1">
        <f ca="1">IFERROR(__xludf.DUMMYFUNCTION("IFERROR(GOOGLEFINANCE(TRIM(F1069)&amp;"":"" &amp; TRIM(B1069),""high52""),AE1069)"),73.4)</f>
        <v>73.400000000000006</v>
      </c>
      <c r="AG1069" s="1">
        <v>0</v>
      </c>
      <c r="AH1069" s="1">
        <f ca="1">IFERROR(__xludf.DUMMYFUNCTION("IFERROR(GOOGLEFINANCE(TRIM(F1069)&amp;"":"" &amp; TRIM(B1069),""low52""),AE1069)"),50)</f>
        <v>50</v>
      </c>
      <c r="AI1069" s="1">
        <f ca="1">IFERROR(__xludf.DUMMYFUNCTION("IFERROR(GOOGLEFINANCE(B1069,""eps""),0)"),-0.59)</f>
        <v>-0.59</v>
      </c>
      <c r="AJ1069" s="1"/>
      <c r="AK1069" s="1" t="s">
        <v>3250</v>
      </c>
      <c r="AL1069" s="1" t="b">
        <f>ISNUMBER(AA1069)</f>
        <v>1</v>
      </c>
    </row>
    <row r="1070" spans="1:38" ht="15" x14ac:dyDescent="0.25">
      <c r="A1070" s="1" t="s">
        <v>3251</v>
      </c>
      <c r="B1070" s="1" t="s">
        <v>3252</v>
      </c>
      <c r="C1070" s="1" t="s">
        <v>106</v>
      </c>
      <c r="D1070" s="1" t="s">
        <v>106</v>
      </c>
      <c r="E1070" s="6">
        <v>17974.509999999998</v>
      </c>
      <c r="F1070" s="1" t="s">
        <v>40</v>
      </c>
      <c r="G1070" s="6">
        <f ca="1">IFERROR(__xludf.DUMMYFUNCTION("iferror(GOOGLEFINANCE(TRIM(F1070)&amp;"":"" &amp; TRIM(B1070), ""price""),0
)"),1395.1)</f>
        <v>1395.1</v>
      </c>
      <c r="H1070" s="6">
        <v>1318.65</v>
      </c>
      <c r="I1070" s="6">
        <f t="shared" ca="1" si="0"/>
        <v>1395.1</v>
      </c>
      <c r="J1070" s="6">
        <f ca="1">IFERROR(__xludf.DUMMYFUNCTION("IFERROR(GOOGLEFINANCE(B1070, ""volume""), 0)"),40258)</f>
        <v>40258</v>
      </c>
      <c r="K1070" s="6">
        <v>-0.2</v>
      </c>
      <c r="L1070" s="6">
        <f ca="1">IFERROR(__xludf.DUMMYFUNCTION("IFERROR(GOOGLEFINANCE(B1070,""changepct""),K1070)"),0.71)</f>
        <v>0.71</v>
      </c>
      <c r="M1070" s="6">
        <f ca="1">IFERROR(__xludf.DUMMYFUNCTION("IFERROR(GOOGLEFINANCE(B1070,""change""),0)"),9.8)</f>
        <v>9.8000000000000007</v>
      </c>
      <c r="N1070" s="6">
        <v>2</v>
      </c>
      <c r="O1070" s="7">
        <v>45536</v>
      </c>
      <c r="P1070" s="6">
        <v>2695.24</v>
      </c>
      <c r="Q1070" s="6">
        <v>20463.23</v>
      </c>
      <c r="R1070" s="7">
        <v>45536</v>
      </c>
      <c r="S1070" s="6">
        <v>2498.11</v>
      </c>
      <c r="T1070" s="6">
        <v>366.86</v>
      </c>
      <c r="U1070" s="7">
        <v>45536</v>
      </c>
      <c r="V1070" s="6">
        <v>51.58</v>
      </c>
      <c r="W1070" s="6">
        <f ca="1">IFERROR(__xludf.DUMMYFUNCTION("IFERROR(GOOGLEFINANCE(B1070,""pe""),V1070)"),45.82)</f>
        <v>45.82</v>
      </c>
      <c r="X1070" s="6">
        <v>8.39</v>
      </c>
      <c r="Y1070" s="6">
        <v>6.49</v>
      </c>
      <c r="Z1070" s="6">
        <v>2</v>
      </c>
      <c r="AA1070" s="17">
        <v>45352</v>
      </c>
      <c r="AB1070" s="18">
        <v>1.06</v>
      </c>
      <c r="AC1070" s="6">
        <v>16.63</v>
      </c>
      <c r="AD1070" s="6">
        <v>12.36</v>
      </c>
      <c r="AE1070" s="1">
        <v>0</v>
      </c>
      <c r="AF1070" s="1">
        <f ca="1">IFERROR(__xludf.DUMMYFUNCTION("IFERROR(GOOGLEFINANCE(TRIM(F1070)&amp;"":"" &amp; TRIM(B1070),""high52""),AE1070)"),1910)</f>
        <v>1910</v>
      </c>
      <c r="AG1070" s="1">
        <v>0</v>
      </c>
      <c r="AH1070" s="1">
        <f ca="1">IFERROR(__xludf.DUMMYFUNCTION("IFERROR(GOOGLEFINANCE(TRIM(F1070)&amp;"":"" &amp; TRIM(B1070),""low52""),AE1070)"),1097.2)</f>
        <v>1097.2</v>
      </c>
      <c r="AI1070" s="1">
        <f ca="1">IFERROR(__xludf.DUMMYFUNCTION("IFERROR(GOOGLEFINANCE(B1070,""eps""),0)"),30.44)</f>
        <v>30.44</v>
      </c>
      <c r="AJ1070" s="1"/>
      <c r="AK1070" s="1" t="s">
        <v>3253</v>
      </c>
      <c r="AL1070" s="9">
        <f t="shared" ref="AL1070:AL1073" si="158">IF(AA1070&lt;&gt;AB1070,1,0)</f>
        <v>1</v>
      </c>
    </row>
    <row r="1071" spans="1:38" ht="15" x14ac:dyDescent="0.25">
      <c r="A1071" s="1" t="s">
        <v>3254</v>
      </c>
      <c r="B1071" s="1" t="s">
        <v>3255</v>
      </c>
      <c r="C1071" s="1" t="s">
        <v>1229</v>
      </c>
      <c r="D1071" s="1" t="s">
        <v>1229</v>
      </c>
      <c r="E1071" s="6">
        <v>137.91999999999999</v>
      </c>
      <c r="F1071" s="1" t="s">
        <v>40</v>
      </c>
      <c r="G1071" s="6">
        <f ca="1">IFERROR(__xludf.DUMMYFUNCTION("iferror(GOOGLEFINANCE(TRIM(F1071)&amp;"":"" &amp; TRIM(B1071), ""price""),0
)"),0)</f>
        <v>0</v>
      </c>
      <c r="H1071" s="6">
        <v>14.42</v>
      </c>
      <c r="I1071" s="6">
        <f t="shared" ca="1" si="0"/>
        <v>14.42</v>
      </c>
      <c r="J1071" s="6">
        <f ca="1">IFERROR(__xludf.DUMMYFUNCTION("IFERROR(GOOGLEFINANCE(B1071, ""volume""), 0)"),0)</f>
        <v>0</v>
      </c>
      <c r="K1071" s="9"/>
      <c r="L1071" s="6" t="str">
        <f ca="1">IFERROR(__xludf.DUMMYFUNCTION("IFERROR(GOOGLEFINANCE(B1071,""changepct""),K1071)"),"")</f>
        <v/>
      </c>
      <c r="M1071" s="6">
        <f ca="1">IFERROR(__xludf.DUMMYFUNCTION("IFERROR(GOOGLEFINANCE(B1071,""change""),0)"),0)</f>
        <v>0</v>
      </c>
      <c r="N1071" s="6">
        <v>1</v>
      </c>
      <c r="O1071" s="7">
        <v>45352</v>
      </c>
      <c r="P1071" s="6">
        <v>215.74</v>
      </c>
      <c r="Q1071" s="6">
        <v>348.2</v>
      </c>
      <c r="R1071" s="7">
        <v>45352</v>
      </c>
      <c r="S1071" s="6">
        <v>144.94</v>
      </c>
      <c r="T1071" s="6">
        <v>-479.73</v>
      </c>
      <c r="U1071" s="7">
        <v>45352</v>
      </c>
      <c r="V1071" s="6">
        <v>0</v>
      </c>
      <c r="W1071" s="6">
        <f ca="1">IFERROR(__xludf.DUMMYFUNCTION("IFERROR(GOOGLEFINANCE(B1071,""pe""),V1071)"),0)</f>
        <v>0</v>
      </c>
      <c r="X1071" s="12"/>
      <c r="Y1071" s="6">
        <v>-0.36</v>
      </c>
      <c r="Z1071" s="6">
        <v>2</v>
      </c>
      <c r="AA1071" s="8">
        <v>44986</v>
      </c>
      <c r="AB1071" s="4">
        <v>0.18</v>
      </c>
      <c r="AC1071" s="6">
        <v>-11.53</v>
      </c>
      <c r="AD1071" s="6">
        <v>-3.68</v>
      </c>
      <c r="AE1071" s="1">
        <v>0</v>
      </c>
      <c r="AF1071" s="1">
        <f ca="1">IFERROR(__xludf.DUMMYFUNCTION("IFERROR(GOOGLEFINANCE(TRIM(F1071)&amp;"":"" &amp; TRIM(B1071),""high52""),AE1071)"),0)</f>
        <v>0</v>
      </c>
      <c r="AG1071" s="1">
        <v>0</v>
      </c>
      <c r="AH1071" s="1">
        <f ca="1">IFERROR(__xludf.DUMMYFUNCTION("IFERROR(GOOGLEFINANCE(TRIM(F1071)&amp;"":"" &amp; TRIM(B1071),""low52""),AE1071)"),0)</f>
        <v>0</v>
      </c>
      <c r="AI1071" s="1">
        <f ca="1">IFERROR(__xludf.DUMMYFUNCTION("IFERROR(GOOGLEFINANCE(B1071,""eps""),0)"),0)</f>
        <v>0</v>
      </c>
      <c r="AJ1071" s="1"/>
      <c r="AK1071" s="1" t="s">
        <v>3256</v>
      </c>
      <c r="AL1071" s="9">
        <f t="shared" si="158"/>
        <v>1</v>
      </c>
    </row>
    <row r="1072" spans="1:38" ht="15" x14ac:dyDescent="0.25">
      <c r="A1072" s="1" t="s">
        <v>3257</v>
      </c>
      <c r="B1072" s="1" t="s">
        <v>3258</v>
      </c>
      <c r="C1072" s="1" t="s">
        <v>64</v>
      </c>
      <c r="D1072" s="1" t="s">
        <v>64</v>
      </c>
      <c r="E1072" s="6">
        <v>17.46</v>
      </c>
      <c r="F1072" s="1" t="s">
        <v>53</v>
      </c>
      <c r="G1072" s="6">
        <f ca="1">IFERROR(__xludf.DUMMYFUNCTION("iferror(GOOGLEFINANCE(TRIM(F1072)&amp;"":"" &amp; TRIM(B1072), ""price""),0
)"),0)</f>
        <v>0</v>
      </c>
      <c r="H1072" s="6">
        <v>48.02</v>
      </c>
      <c r="I1072" s="6">
        <f t="shared" ca="1" si="0"/>
        <v>48.02</v>
      </c>
      <c r="J1072" s="6">
        <f ca="1">IFERROR(__xludf.DUMMYFUNCTION("IFERROR(GOOGLEFINANCE(B1072, ""volume""), 0)"),0)</f>
        <v>0</v>
      </c>
      <c r="K1072" s="9"/>
      <c r="L1072" s="6" t="str">
        <f ca="1">IFERROR(__xludf.DUMMYFUNCTION("IFERROR(GOOGLEFINANCE(B1072,""changepct""),K1072)"),"")</f>
        <v/>
      </c>
      <c r="M1072" s="6">
        <f ca="1">IFERROR(__xludf.DUMMYFUNCTION("IFERROR(GOOGLEFINANCE(B1072,""change""),0)"),0)</f>
        <v>0</v>
      </c>
      <c r="N1072" s="6">
        <v>1</v>
      </c>
      <c r="O1072" s="7">
        <v>45536</v>
      </c>
      <c r="P1072" s="6">
        <v>1.1499999999999999</v>
      </c>
      <c r="Q1072" s="6">
        <v>18.61</v>
      </c>
      <c r="R1072" s="7">
        <v>45352</v>
      </c>
      <c r="S1072" s="6">
        <v>13.59</v>
      </c>
      <c r="T1072" s="6">
        <v>1.74</v>
      </c>
      <c r="U1072" s="7">
        <v>45352</v>
      </c>
      <c r="V1072" s="6">
        <v>10.06</v>
      </c>
      <c r="W1072" s="6">
        <f ca="1">IFERROR(__xludf.DUMMYFUNCTION("IFERROR(GOOGLEFINANCE(B1072,""pe""),V1072)"),10.06)</f>
        <v>10.06</v>
      </c>
      <c r="X1072" s="9"/>
      <c r="Y1072" s="6">
        <v>0.93</v>
      </c>
      <c r="Z1072" s="6">
        <v>1</v>
      </c>
      <c r="AA1072" s="8">
        <v>45352</v>
      </c>
      <c r="AB1072" s="4">
        <v>0.21</v>
      </c>
      <c r="AC1072" s="6">
        <v>40.4</v>
      </c>
      <c r="AD1072" s="6">
        <v>45.46</v>
      </c>
      <c r="AE1072" s="1">
        <v>0</v>
      </c>
      <c r="AF1072" s="1">
        <f ca="1">IFERROR(__xludf.DUMMYFUNCTION("IFERROR(GOOGLEFINANCE(TRIM(F1072)&amp;"":"" &amp; TRIM(B1072),""high52""),AE1072)"),0)</f>
        <v>0</v>
      </c>
      <c r="AG1072" s="1">
        <v>0</v>
      </c>
      <c r="AH1072" s="1">
        <f ca="1">IFERROR(__xludf.DUMMYFUNCTION("IFERROR(GOOGLEFINANCE(TRIM(F1072)&amp;"":"" &amp; TRIM(B1072),""low52""),AE1072)"),0)</f>
        <v>0</v>
      </c>
      <c r="AI1072" s="1">
        <f ca="1">IFERROR(__xludf.DUMMYFUNCTION("IFERROR(GOOGLEFINANCE(B1072,""eps""),0)"),0)</f>
        <v>0</v>
      </c>
      <c r="AJ1072" s="1"/>
      <c r="AK1072" s="1" t="s">
        <v>3259</v>
      </c>
      <c r="AL1072" s="9">
        <f t="shared" si="158"/>
        <v>1</v>
      </c>
    </row>
    <row r="1073" spans="1:38" ht="15" x14ac:dyDescent="0.25">
      <c r="A1073" s="1" t="s">
        <v>3260</v>
      </c>
      <c r="B1073" s="1" t="s">
        <v>3261</v>
      </c>
      <c r="C1073" s="1" t="s">
        <v>398</v>
      </c>
      <c r="D1073" s="1" t="s">
        <v>398</v>
      </c>
      <c r="E1073" s="6">
        <v>9084.19</v>
      </c>
      <c r="F1073" s="1" t="s">
        <v>40</v>
      </c>
      <c r="G1073" s="6">
        <f ca="1">IFERROR(__xludf.DUMMYFUNCTION("iferror(GOOGLEFINANCE(TRIM(F1073)&amp;"":"" &amp; TRIM(B1073), ""price""),0
)"),5648)</f>
        <v>5648</v>
      </c>
      <c r="H1073" s="6">
        <v>5900.1</v>
      </c>
      <c r="I1073" s="6">
        <f t="shared" ca="1" si="0"/>
        <v>5648</v>
      </c>
      <c r="J1073" s="6">
        <f ca="1">IFERROR(__xludf.DUMMYFUNCTION("IFERROR(GOOGLEFINANCE(B1073, ""volume""), 0)"),6142)</f>
        <v>6142</v>
      </c>
      <c r="K1073" s="6">
        <v>0.02</v>
      </c>
      <c r="L1073" s="6">
        <f ca="1">IFERROR(__xludf.DUMMYFUNCTION("IFERROR(GOOGLEFINANCE(B1073,""changepct""),K1073)"),2.01)</f>
        <v>2.0099999999999998</v>
      </c>
      <c r="M1073" s="6">
        <f ca="1">IFERROR(__xludf.DUMMYFUNCTION("IFERROR(GOOGLEFINANCE(B1073,""change""),0)"),111.5)</f>
        <v>111.5</v>
      </c>
      <c r="N1073" s="6">
        <v>1</v>
      </c>
      <c r="O1073" s="7">
        <v>45536</v>
      </c>
      <c r="P1073" s="9"/>
      <c r="Q1073" s="6">
        <v>9024.41</v>
      </c>
      <c r="R1073" s="7">
        <v>45536</v>
      </c>
      <c r="S1073" s="6">
        <v>1310.6400000000001</v>
      </c>
      <c r="T1073" s="6">
        <v>169.81</v>
      </c>
      <c r="U1073" s="7">
        <v>45536</v>
      </c>
      <c r="V1073" s="6">
        <v>53.5</v>
      </c>
      <c r="W1073" s="6">
        <f ca="1">IFERROR(__xludf.DUMMYFUNCTION("IFERROR(GOOGLEFINANCE(B1073,""pe""),V1073)"),41.81)</f>
        <v>41.81</v>
      </c>
      <c r="X1073" s="6">
        <v>2.33</v>
      </c>
      <c r="Y1073" s="6">
        <v>26.14</v>
      </c>
      <c r="Z1073" s="6">
        <v>1</v>
      </c>
      <c r="AA1073" s="8">
        <v>45352</v>
      </c>
      <c r="AB1073" s="4">
        <v>0</v>
      </c>
      <c r="AC1073" s="6">
        <v>57.56</v>
      </c>
      <c r="AD1073" s="6">
        <v>77.86</v>
      </c>
      <c r="AE1073" s="1">
        <v>0</v>
      </c>
      <c r="AF1073" s="1">
        <f ca="1">IFERROR(__xludf.DUMMYFUNCTION("IFERROR(GOOGLEFINANCE(TRIM(F1073)&amp;"":"" &amp; TRIM(B1073),""high52""),AE1073)"),6425)</f>
        <v>6425</v>
      </c>
      <c r="AG1073" s="1">
        <v>0</v>
      </c>
      <c r="AH1073" s="1">
        <f ca="1">IFERROR(__xludf.DUMMYFUNCTION("IFERROR(GOOGLEFINANCE(TRIM(F1073)&amp;"":"" &amp; TRIM(B1073),""low52""),AE1073)"),4133.05)</f>
        <v>4133.05</v>
      </c>
      <c r="AI1073" s="1">
        <f ca="1">IFERROR(__xludf.DUMMYFUNCTION("IFERROR(GOOGLEFINANCE(B1073,""eps""),0)"),135.1)</f>
        <v>135.1</v>
      </c>
      <c r="AJ1073" s="1"/>
      <c r="AK1073" s="1" t="s">
        <v>3262</v>
      </c>
      <c r="AL1073" s="9">
        <f t="shared" si="158"/>
        <v>1</v>
      </c>
    </row>
    <row r="1074" spans="1:38" ht="15" x14ac:dyDescent="0.25">
      <c r="A1074" s="1" t="s">
        <v>3263</v>
      </c>
      <c r="B1074" s="1" t="s">
        <v>3264</v>
      </c>
      <c r="C1074" s="1" t="s">
        <v>1067</v>
      </c>
      <c r="D1074" s="1" t="s">
        <v>1067</v>
      </c>
      <c r="E1074" s="6">
        <v>2163.34</v>
      </c>
      <c r="F1074" s="1" t="s">
        <v>40</v>
      </c>
      <c r="G1074" s="6">
        <f ca="1">IFERROR(__xludf.DUMMYFUNCTION("iferror(GOOGLEFINANCE(TRIM(F1074)&amp;"":"" &amp; TRIM(B1074), ""price""),0
)"),28.36)</f>
        <v>28.36</v>
      </c>
      <c r="H1074" s="6">
        <v>42.13</v>
      </c>
      <c r="I1074" s="6">
        <f t="shared" ca="1" si="0"/>
        <v>28.36</v>
      </c>
      <c r="J1074" s="6">
        <f ca="1">IFERROR(__xludf.DUMMYFUNCTION("IFERROR(GOOGLEFINANCE(B1074, ""volume""), 0)"),403106)</f>
        <v>403106</v>
      </c>
      <c r="K1074" s="6">
        <v>0.21</v>
      </c>
      <c r="L1074" s="6">
        <f ca="1">IFERROR(__xludf.DUMMYFUNCTION("IFERROR(GOOGLEFINANCE(B1074,""changepct""),K1074)"),-1.9)</f>
        <v>-1.9</v>
      </c>
      <c r="M1074" s="6">
        <f ca="1">IFERROR(__xludf.DUMMYFUNCTION("IFERROR(GOOGLEFINANCE(B1074,""change""),0)"),-0.55)</f>
        <v>-0.55000000000000004</v>
      </c>
      <c r="N1074" s="6">
        <v>1</v>
      </c>
      <c r="O1074" s="7">
        <v>45536</v>
      </c>
      <c r="P1074" s="6">
        <v>3995.29</v>
      </c>
      <c r="Q1074" s="6">
        <v>28.19</v>
      </c>
      <c r="R1074" s="7">
        <v>45536</v>
      </c>
      <c r="S1074" s="6">
        <v>76.739999999999995</v>
      </c>
      <c r="T1074" s="9"/>
      <c r="U1074" s="6">
        <v>0.93</v>
      </c>
      <c r="V1074" s="6">
        <v>1</v>
      </c>
      <c r="W1074" s="6">
        <f ca="1">IFERROR(__xludf.DUMMYFUNCTION("IFERROR(GOOGLEFINANCE(B1074,""pe""),V1074)"),1)</f>
        <v>1</v>
      </c>
      <c r="X1074" s="7">
        <v>45352</v>
      </c>
      <c r="Y1074" s="6">
        <v>20.29</v>
      </c>
      <c r="Z1074" s="6">
        <v>1</v>
      </c>
      <c r="AA1074" s="8">
        <v>45352</v>
      </c>
      <c r="AB1074" s="4">
        <v>2.2599999999999998</v>
      </c>
      <c r="AC1074" s="6">
        <v>9.3800000000000008</v>
      </c>
      <c r="AD1074" s="6">
        <v>20.87</v>
      </c>
      <c r="AE1074" s="1">
        <v>0</v>
      </c>
      <c r="AF1074" s="1">
        <f ca="1">IFERROR(__xludf.DUMMYFUNCTION("IFERROR(GOOGLEFINANCE(TRIM(F1074)&amp;"":"" &amp; TRIM(B1074),""high52""),AE1074)"),36.6)</f>
        <v>36.6</v>
      </c>
      <c r="AG1074" s="1">
        <v>0</v>
      </c>
      <c r="AH1074" s="1">
        <f ca="1">IFERROR(__xludf.DUMMYFUNCTION("IFERROR(GOOGLEFINANCE(TRIM(F1074)&amp;"":"" &amp; TRIM(B1074),""low52""),AE1074)"),24.31)</f>
        <v>24.31</v>
      </c>
      <c r="AI1074" s="1">
        <f ca="1">IFERROR(__xludf.DUMMYFUNCTION("IFERROR(GOOGLEFINANCE(B1074,""eps""),0)"),-11.46)</f>
        <v>-11.46</v>
      </c>
      <c r="AJ1074" s="1"/>
      <c r="AK1074" s="9"/>
      <c r="AL1074" s="1" t="b">
        <f>ISBLANK(AB1074)</f>
        <v>0</v>
      </c>
    </row>
    <row r="1075" spans="1:38" ht="15" x14ac:dyDescent="0.25">
      <c r="A1075" s="1" t="s">
        <v>3265</v>
      </c>
      <c r="B1075" s="1" t="s">
        <v>3266</v>
      </c>
      <c r="C1075" s="1" t="s">
        <v>227</v>
      </c>
      <c r="D1075" s="1" t="s">
        <v>227</v>
      </c>
      <c r="E1075" s="6">
        <v>472.04</v>
      </c>
      <c r="F1075" s="1" t="s">
        <v>40</v>
      </c>
      <c r="G1075" s="6">
        <f ca="1">IFERROR(__xludf.DUMMYFUNCTION("iferror(GOOGLEFINANCE(TRIM(F1075)&amp;"":"" &amp; TRIM(B1075), ""price""),0
)"),0)</f>
        <v>0</v>
      </c>
      <c r="H1075" s="6">
        <v>367.35</v>
      </c>
      <c r="I1075" s="6">
        <f t="shared" ca="1" si="0"/>
        <v>367.35</v>
      </c>
      <c r="J1075" s="6">
        <f ca="1">IFERROR(__xludf.DUMMYFUNCTION("IFERROR(GOOGLEFINANCE(B1075, ""volume""), 0)"),0)</f>
        <v>0</v>
      </c>
      <c r="K1075" s="6">
        <v>1.9</v>
      </c>
      <c r="L1075" s="6">
        <f ca="1">IFERROR(__xludf.DUMMYFUNCTION("IFERROR(GOOGLEFINANCE(B1075,""changepct""),K1075)"),1.9)</f>
        <v>1.9</v>
      </c>
      <c r="M1075" s="6">
        <f ca="1">IFERROR(__xludf.DUMMYFUNCTION("IFERROR(GOOGLEFINANCE(B1075,""change""),0)"),0)</f>
        <v>0</v>
      </c>
      <c r="N1075" s="6">
        <v>1</v>
      </c>
      <c r="O1075" s="7">
        <v>45536</v>
      </c>
      <c r="P1075" s="6">
        <v>5.44</v>
      </c>
      <c r="Q1075" s="6">
        <v>477.48</v>
      </c>
      <c r="R1075" s="7">
        <v>45352</v>
      </c>
      <c r="S1075" s="6">
        <v>137.47999999999999</v>
      </c>
      <c r="T1075" s="6">
        <v>5.3</v>
      </c>
      <c r="U1075" s="7">
        <v>45352</v>
      </c>
      <c r="V1075" s="6">
        <v>89.07</v>
      </c>
      <c r="W1075" s="6">
        <f ca="1">IFERROR(__xludf.DUMMYFUNCTION("IFERROR(GOOGLEFINANCE(B1075,""pe""),V1075)"),89.07)</f>
        <v>89.07</v>
      </c>
      <c r="X1075" s="9"/>
      <c r="Y1075" s="6">
        <v>7.6</v>
      </c>
      <c r="Z1075" s="6">
        <v>2</v>
      </c>
      <c r="AA1075" s="8">
        <v>45352</v>
      </c>
      <c r="AB1075" s="4">
        <v>0.06</v>
      </c>
      <c r="AC1075" s="6">
        <v>25.6</v>
      </c>
      <c r="AD1075" s="6">
        <v>33.06</v>
      </c>
      <c r="AE1075" s="1">
        <v>0</v>
      </c>
      <c r="AF1075" s="1">
        <f ca="1">IFERROR(__xludf.DUMMYFUNCTION("IFERROR(GOOGLEFINANCE(TRIM(F1075)&amp;"":"" &amp; TRIM(B1075),""high52""),AE1075)"),0)</f>
        <v>0</v>
      </c>
      <c r="AG1075" s="1">
        <v>0</v>
      </c>
      <c r="AH1075" s="1">
        <f ca="1">IFERROR(__xludf.DUMMYFUNCTION("IFERROR(GOOGLEFINANCE(TRIM(F1075)&amp;"":"" &amp; TRIM(B1075),""low52""),AE1075)"),0)</f>
        <v>0</v>
      </c>
      <c r="AI1075" s="1">
        <f ca="1">IFERROR(__xludf.DUMMYFUNCTION("IFERROR(GOOGLEFINANCE(B1075,""eps""),0)"),0)</f>
        <v>0</v>
      </c>
      <c r="AJ1075" s="1"/>
      <c r="AK1075" s="1" t="s">
        <v>3267</v>
      </c>
      <c r="AL1075" s="9">
        <f t="shared" ref="AL1075:AL1076" si="159">IF(AA1075&lt;&gt;AB1075,1,0)</f>
        <v>1</v>
      </c>
    </row>
    <row r="1076" spans="1:38" ht="15" x14ac:dyDescent="0.25">
      <c r="A1076" s="1" t="s">
        <v>3268</v>
      </c>
      <c r="B1076" s="1" t="s">
        <v>3269</v>
      </c>
      <c r="C1076" s="1" t="s">
        <v>64</v>
      </c>
      <c r="D1076" s="1" t="s">
        <v>64</v>
      </c>
      <c r="E1076" s="6">
        <v>19.3</v>
      </c>
      <c r="F1076" s="1" t="s">
        <v>53</v>
      </c>
      <c r="G1076" s="6">
        <f ca="1">IFERROR(__xludf.DUMMYFUNCTION("iferror(GOOGLEFINANCE(TRIM(F1076)&amp;"":"" &amp; TRIM(B1076), ""price""),0
)"),0)</f>
        <v>0</v>
      </c>
      <c r="H1076" s="6">
        <v>63.79</v>
      </c>
      <c r="I1076" s="6">
        <f t="shared" ca="1" si="0"/>
        <v>63.79</v>
      </c>
      <c r="J1076" s="6">
        <f ca="1">IFERROR(__xludf.DUMMYFUNCTION("IFERROR(GOOGLEFINANCE(B1076, ""volume""), 0)"),0)</f>
        <v>0</v>
      </c>
      <c r="K1076" s="6">
        <v>-0.87</v>
      </c>
      <c r="L1076" s="6">
        <f ca="1">IFERROR(__xludf.DUMMYFUNCTION("IFERROR(GOOGLEFINANCE(B1076,""changepct""),K1076)"),-0.87)</f>
        <v>-0.87</v>
      </c>
      <c r="M1076" s="6">
        <f ca="1">IFERROR(__xludf.DUMMYFUNCTION("IFERROR(GOOGLEFINANCE(B1076,""change""),0)"),0)</f>
        <v>0</v>
      </c>
      <c r="N1076" s="6">
        <v>1</v>
      </c>
      <c r="O1076" s="7">
        <v>45536</v>
      </c>
      <c r="P1076" s="9"/>
      <c r="Q1076" s="6">
        <v>16.79</v>
      </c>
      <c r="R1076" s="7">
        <v>45536</v>
      </c>
      <c r="S1076" s="6">
        <v>2.7</v>
      </c>
      <c r="T1076" s="6">
        <v>0.73</v>
      </c>
      <c r="U1076" s="7">
        <v>45536</v>
      </c>
      <c r="V1076" s="6">
        <v>26.41</v>
      </c>
      <c r="W1076" s="6">
        <f ca="1">IFERROR(__xludf.DUMMYFUNCTION("IFERROR(GOOGLEFINANCE(B1076,""pe""),V1076)"),26.41)</f>
        <v>26.41</v>
      </c>
      <c r="X1076" s="6">
        <v>0.4</v>
      </c>
      <c r="Y1076" s="6">
        <v>1.8</v>
      </c>
      <c r="Z1076" s="6">
        <v>1</v>
      </c>
      <c r="AA1076" s="8">
        <v>45352</v>
      </c>
      <c r="AB1076" s="4">
        <v>0</v>
      </c>
      <c r="AC1076" s="6">
        <v>53.79</v>
      </c>
      <c r="AD1076" s="6">
        <v>63.48</v>
      </c>
      <c r="AE1076" s="1">
        <v>0</v>
      </c>
      <c r="AF1076" s="1">
        <f ca="1">IFERROR(__xludf.DUMMYFUNCTION("IFERROR(GOOGLEFINANCE(TRIM(F1076)&amp;"":"" &amp; TRIM(B1076),""high52""),AE1076)"),0)</f>
        <v>0</v>
      </c>
      <c r="AG1076" s="1">
        <v>0</v>
      </c>
      <c r="AH1076" s="1">
        <f ca="1">IFERROR(__xludf.DUMMYFUNCTION("IFERROR(GOOGLEFINANCE(TRIM(F1076)&amp;"":"" &amp; TRIM(B1076),""low52""),AE1076)"),0)</f>
        <v>0</v>
      </c>
      <c r="AI1076" s="1">
        <f ca="1">IFERROR(__xludf.DUMMYFUNCTION("IFERROR(GOOGLEFINANCE(B1076,""eps""),0)"),0)</f>
        <v>0</v>
      </c>
      <c r="AJ1076" s="1"/>
      <c r="AK1076" s="1" t="s">
        <v>3270</v>
      </c>
      <c r="AL1076" s="9">
        <f t="shared" si="159"/>
        <v>1</v>
      </c>
    </row>
    <row r="1077" spans="1:38" ht="15" x14ac:dyDescent="0.25">
      <c r="A1077" s="1" t="s">
        <v>3271</v>
      </c>
      <c r="B1077" s="1" t="s">
        <v>3272</v>
      </c>
      <c r="C1077" s="1" t="s">
        <v>3273</v>
      </c>
      <c r="D1077" s="1" t="s">
        <v>3273</v>
      </c>
      <c r="E1077" s="6">
        <v>37505.339999999997</v>
      </c>
      <c r="F1077" s="1" t="s">
        <v>40</v>
      </c>
      <c r="G1077" s="6">
        <f ca="1">IFERROR(__xludf.DUMMYFUNCTION("iferror(GOOGLEFINANCE(TRIM(F1077)&amp;"":"" &amp; TRIM(B1077), ""price""),0
)"),3495)</f>
        <v>3495</v>
      </c>
      <c r="H1077" s="6">
        <v>3379</v>
      </c>
      <c r="I1077" s="6">
        <f t="shared" ca="1" si="0"/>
        <v>3495</v>
      </c>
      <c r="J1077" s="6">
        <f ca="1">IFERROR(__xludf.DUMMYFUNCTION("IFERROR(GOOGLEFINANCE(B1077, ""volume""), 0)"),88940)</f>
        <v>88940</v>
      </c>
      <c r="K1077" s="6">
        <v>0.8</v>
      </c>
      <c r="L1077" s="6">
        <f ca="1">IFERROR(__xludf.DUMMYFUNCTION("IFERROR(GOOGLEFINANCE(B1077,""changepct""),K1077)"),0.17)</f>
        <v>0.17</v>
      </c>
      <c r="M1077" s="6">
        <f ca="1">IFERROR(__xludf.DUMMYFUNCTION("IFERROR(GOOGLEFINANCE(B1077,""change""),0)"),5.8)</f>
        <v>5.8</v>
      </c>
      <c r="N1077" s="6">
        <v>2</v>
      </c>
      <c r="O1077" s="7">
        <v>45536</v>
      </c>
      <c r="P1077" s="6">
        <v>6.11</v>
      </c>
      <c r="Q1077" s="6">
        <v>36426.9</v>
      </c>
      <c r="R1077" s="7">
        <v>45536</v>
      </c>
      <c r="S1077" s="6">
        <v>9233.59</v>
      </c>
      <c r="T1077" s="6">
        <v>1127.6500000000001</v>
      </c>
      <c r="U1077" s="7">
        <v>45536</v>
      </c>
      <c r="V1077" s="6">
        <v>32.520000000000003</v>
      </c>
      <c r="W1077" s="6">
        <f ca="1">IFERROR(__xludf.DUMMYFUNCTION("IFERROR(GOOGLEFINANCE(B1077,""pe""),V1077)"),16.34)</f>
        <v>16.34</v>
      </c>
      <c r="X1077" s="6">
        <v>1.9</v>
      </c>
      <c r="Y1077" s="6">
        <v>3.81</v>
      </c>
      <c r="Z1077" s="6">
        <v>2</v>
      </c>
      <c r="AA1077" s="8">
        <v>45352</v>
      </c>
      <c r="AB1077" s="4">
        <v>0</v>
      </c>
      <c r="AC1077" s="6">
        <v>12.1</v>
      </c>
      <c r="AD1077" s="6">
        <v>16.29</v>
      </c>
      <c r="AE1077" s="1">
        <v>0</v>
      </c>
      <c r="AF1077" s="1">
        <f ca="1">IFERROR(__xludf.DUMMYFUNCTION("IFERROR(GOOGLEFINANCE(TRIM(F1077)&amp;"":"" &amp; TRIM(B1077),""high52""),AE1077)"),4180)</f>
        <v>4180</v>
      </c>
      <c r="AG1077" s="1">
        <v>0</v>
      </c>
      <c r="AH1077" s="1">
        <f ca="1">IFERROR(__xludf.DUMMYFUNCTION("IFERROR(GOOGLEFINANCE(TRIM(F1077)&amp;"":"" &amp; TRIM(B1077),""low52""),AE1077)"),2776.4)</f>
        <v>2776.4</v>
      </c>
      <c r="AI1077" s="1">
        <f ca="1">IFERROR(__xludf.DUMMYFUNCTION("IFERROR(GOOGLEFINANCE(B1077,""eps""),0)"),213.95)</f>
        <v>213.95</v>
      </c>
      <c r="AJ1077" s="1"/>
      <c r="AK1077" s="1" t="s">
        <v>3274</v>
      </c>
      <c r="AL1077" s="1" t="b">
        <f t="shared" ref="AL1077:AL1078" si="160">ISNUMBER(AA1077)</f>
        <v>1</v>
      </c>
    </row>
    <row r="1078" spans="1:38" ht="15" x14ac:dyDescent="0.25">
      <c r="A1078" s="1" t="s">
        <v>3275</v>
      </c>
      <c r="B1078" s="1" t="s">
        <v>3276</v>
      </c>
      <c r="C1078" s="1" t="s">
        <v>889</v>
      </c>
      <c r="D1078" s="1" t="s">
        <v>889</v>
      </c>
      <c r="E1078" s="6">
        <v>275.08</v>
      </c>
      <c r="F1078" s="1" t="s">
        <v>40</v>
      </c>
      <c r="G1078" s="6">
        <f ca="1">IFERROR(__xludf.DUMMYFUNCTION("iferror(GOOGLEFINANCE(TRIM(F1078)&amp;"":"" &amp; TRIM(B1078), ""price""),0
)"),0)</f>
        <v>0</v>
      </c>
      <c r="H1078" s="6">
        <v>124.75</v>
      </c>
      <c r="I1078" s="6">
        <f t="shared" ca="1" si="0"/>
        <v>124.75</v>
      </c>
      <c r="J1078" s="6">
        <f ca="1">IFERROR(__xludf.DUMMYFUNCTION("IFERROR(GOOGLEFINANCE(B1078, ""volume""), 0)"),0)</f>
        <v>0</v>
      </c>
      <c r="K1078" s="6">
        <v>-0.48</v>
      </c>
      <c r="L1078" s="6">
        <f ca="1">IFERROR(__xludf.DUMMYFUNCTION("IFERROR(GOOGLEFINANCE(B1078,""changepct""),K1078)"),-0.48)</f>
        <v>-0.48</v>
      </c>
      <c r="M1078" s="6">
        <f ca="1">IFERROR(__xludf.DUMMYFUNCTION("IFERROR(GOOGLEFINANCE(B1078,""change""),0)"),0)</f>
        <v>0</v>
      </c>
      <c r="N1078" s="6">
        <v>1</v>
      </c>
      <c r="O1078" s="7">
        <v>45536</v>
      </c>
      <c r="P1078" s="6">
        <v>37.28</v>
      </c>
      <c r="Q1078" s="6">
        <v>312.36</v>
      </c>
      <c r="R1078" s="14"/>
      <c r="S1078" s="9"/>
      <c r="T1078" s="9"/>
      <c r="U1078" s="7">
        <v>45352</v>
      </c>
      <c r="V1078" s="6">
        <v>26.74</v>
      </c>
      <c r="W1078" s="6">
        <f ca="1">IFERROR(__xludf.DUMMYFUNCTION("IFERROR(GOOGLEFINANCE(B1078,""pe""),V1078)"),26.74)</f>
        <v>26.74</v>
      </c>
      <c r="X1078" s="9"/>
      <c r="Y1078" s="6">
        <v>2.23</v>
      </c>
      <c r="Z1078" s="6">
        <v>2</v>
      </c>
      <c r="AA1078" s="8">
        <v>45352</v>
      </c>
      <c r="AB1078" s="4">
        <v>1.73</v>
      </c>
      <c r="AC1078" s="6">
        <v>15.32</v>
      </c>
      <c r="AD1078" s="6">
        <v>12.7</v>
      </c>
      <c r="AE1078" s="1">
        <v>0</v>
      </c>
      <c r="AF1078" s="1">
        <f ca="1">IFERROR(__xludf.DUMMYFUNCTION("IFERROR(GOOGLEFINANCE(TRIM(F1078)&amp;"":"" &amp; TRIM(B1078),""high52""),AE1078)"),0)</f>
        <v>0</v>
      </c>
      <c r="AG1078" s="1">
        <v>0</v>
      </c>
      <c r="AH1078" s="1">
        <f ca="1">IFERROR(__xludf.DUMMYFUNCTION("IFERROR(GOOGLEFINANCE(TRIM(F1078)&amp;"":"" &amp; TRIM(B1078),""low52""),AE1078)"),0)</f>
        <v>0</v>
      </c>
      <c r="AI1078" s="1">
        <f ca="1">IFERROR(__xludf.DUMMYFUNCTION("IFERROR(GOOGLEFINANCE(B1078,""eps""),0)"),0)</f>
        <v>0</v>
      </c>
      <c r="AJ1078" s="1"/>
      <c r="AK1078" s="1" t="s">
        <v>3277</v>
      </c>
      <c r="AL1078" s="1" t="b">
        <f t="shared" si="160"/>
        <v>1</v>
      </c>
    </row>
    <row r="1079" spans="1:38" ht="15" x14ac:dyDescent="0.25">
      <c r="A1079" s="1" t="s">
        <v>3278</v>
      </c>
      <c r="B1079" s="1" t="s">
        <v>3279</v>
      </c>
      <c r="C1079" s="1" t="s">
        <v>231</v>
      </c>
      <c r="D1079" s="1" t="s">
        <v>231</v>
      </c>
      <c r="E1079" s="6">
        <v>744.91</v>
      </c>
      <c r="F1079" s="1" t="s">
        <v>40</v>
      </c>
      <c r="G1079" s="6">
        <f ca="1">IFERROR(__xludf.DUMMYFUNCTION("iferror(GOOGLEFINANCE(TRIM(F1079)&amp;"":"" &amp; TRIM(B1079), ""price""),0
)"),25.78)</f>
        <v>25.78</v>
      </c>
      <c r="H1079" s="6">
        <v>35.89</v>
      </c>
      <c r="I1079" s="6">
        <f t="shared" ca="1" si="0"/>
        <v>25.78</v>
      </c>
      <c r="J1079" s="6">
        <f ca="1">IFERROR(__xludf.DUMMYFUNCTION("IFERROR(GOOGLEFINANCE(B1079, ""volume""), 0)"),198285)</f>
        <v>198285</v>
      </c>
      <c r="K1079" s="6">
        <v>-0.53</v>
      </c>
      <c r="L1079" s="6">
        <f ca="1">IFERROR(__xludf.DUMMYFUNCTION("IFERROR(GOOGLEFINANCE(B1079,""changepct""),K1079)"),-2.46)</f>
        <v>-2.46</v>
      </c>
      <c r="M1079" s="6">
        <f ca="1">IFERROR(__xludf.DUMMYFUNCTION("IFERROR(GOOGLEFINANCE(B1079,""change""),0)"),-0.65)</f>
        <v>-0.65</v>
      </c>
      <c r="N1079" s="6">
        <v>2</v>
      </c>
      <c r="O1079" s="7">
        <v>45536</v>
      </c>
      <c r="P1079" s="6">
        <v>1746.45</v>
      </c>
      <c r="Q1079" s="6">
        <v>2491.36</v>
      </c>
      <c r="R1079" s="7">
        <v>45536</v>
      </c>
      <c r="S1079" s="6">
        <v>155.47</v>
      </c>
      <c r="T1079" s="6">
        <v>510.04</v>
      </c>
      <c r="U1079" s="7">
        <v>45536</v>
      </c>
      <c r="V1079" s="6">
        <v>1.49</v>
      </c>
      <c r="W1079" s="6">
        <f ca="1">IFERROR(__xludf.DUMMYFUNCTION("IFERROR(GOOGLEFINANCE(B1079,""pe""),V1079)"),8.32)</f>
        <v>8.32</v>
      </c>
      <c r="X1079" s="6">
        <v>0.16</v>
      </c>
      <c r="Y1079" s="6">
        <v>-0.34</v>
      </c>
      <c r="Z1079" s="6">
        <v>2</v>
      </c>
      <c r="AA1079" s="8">
        <v>45352</v>
      </c>
      <c r="AB1079" s="4">
        <v>-0.94</v>
      </c>
      <c r="AC1079" s="6">
        <v>0</v>
      </c>
      <c r="AD1079" s="6">
        <v>0</v>
      </c>
      <c r="AE1079" s="1">
        <v>0</v>
      </c>
      <c r="AF1079" s="1">
        <f ca="1">IFERROR(__xludf.DUMMYFUNCTION("IFERROR(GOOGLEFINANCE(TRIM(F1079)&amp;"":"" &amp; TRIM(B1079),""high52""),AE1079)"),43.26)</f>
        <v>43.26</v>
      </c>
      <c r="AG1079" s="1">
        <v>0</v>
      </c>
      <c r="AH1079" s="1">
        <f ca="1">IFERROR(__xludf.DUMMYFUNCTION("IFERROR(GOOGLEFINANCE(TRIM(F1079)&amp;"":"" &amp; TRIM(B1079),""low52""),AE1079)"),21.5)</f>
        <v>21.5</v>
      </c>
      <c r="AI1079" s="1">
        <f ca="1">IFERROR(__xludf.DUMMYFUNCTION("IFERROR(GOOGLEFINANCE(B1079,""eps""),0)"),3.1)</f>
        <v>3.1</v>
      </c>
      <c r="AJ1079" s="1"/>
      <c r="AK1079" s="1" t="s">
        <v>3280</v>
      </c>
      <c r="AL1079" s="9">
        <f t="shared" ref="AL1079:AL1088" si="161">IF(AA1079&lt;&gt;AB1079,1,0)</f>
        <v>1</v>
      </c>
    </row>
    <row r="1080" spans="1:38" ht="15" x14ac:dyDescent="0.25">
      <c r="A1080" s="1" t="s">
        <v>3281</v>
      </c>
      <c r="B1080" s="1" t="s">
        <v>3282</v>
      </c>
      <c r="C1080" s="1" t="s">
        <v>82</v>
      </c>
      <c r="D1080" s="1" t="s">
        <v>82</v>
      </c>
      <c r="E1080" s="6">
        <v>1802.82</v>
      </c>
      <c r="F1080" s="1" t="s">
        <v>40</v>
      </c>
      <c r="G1080" s="6">
        <f ca="1">IFERROR(__xludf.DUMMYFUNCTION("iferror(GOOGLEFINANCE(TRIM(F1080)&amp;"":"" &amp; TRIM(B1080), ""price""),0
)"),0)</f>
        <v>0</v>
      </c>
      <c r="H1080" s="6">
        <v>737</v>
      </c>
      <c r="I1080" s="6">
        <f t="shared" ca="1" si="0"/>
        <v>737</v>
      </c>
      <c r="J1080" s="6">
        <f ca="1">IFERROR(__xludf.DUMMYFUNCTION("IFERROR(GOOGLEFINANCE(B1080, ""volume""), 0)"),0)</f>
        <v>0</v>
      </c>
      <c r="K1080" s="6">
        <v>1.54</v>
      </c>
      <c r="L1080" s="6">
        <f ca="1">IFERROR(__xludf.DUMMYFUNCTION("IFERROR(GOOGLEFINANCE(B1080,""changepct""),K1080)"),1.54)</f>
        <v>1.54</v>
      </c>
      <c r="M1080" s="6">
        <f ca="1">IFERROR(__xludf.DUMMYFUNCTION("IFERROR(GOOGLEFINANCE(B1080,""change""),0)"),0)</f>
        <v>0</v>
      </c>
      <c r="N1080" s="6">
        <v>1</v>
      </c>
      <c r="O1080" s="7">
        <v>45536</v>
      </c>
      <c r="P1080" s="6">
        <v>3.37</v>
      </c>
      <c r="Q1080" s="6">
        <v>1806.19</v>
      </c>
      <c r="R1080" s="7">
        <v>45536</v>
      </c>
      <c r="S1080" s="6">
        <v>158.94</v>
      </c>
      <c r="T1080" s="6">
        <v>14.37</v>
      </c>
      <c r="U1080" s="7">
        <v>45536</v>
      </c>
      <c r="V1080" s="6">
        <v>125.42</v>
      </c>
      <c r="W1080" s="6">
        <f ca="1">IFERROR(__xludf.DUMMYFUNCTION("IFERROR(GOOGLEFINANCE(B1080,""pe""),V1080)"),125.42)</f>
        <v>125.42</v>
      </c>
      <c r="X1080" s="9"/>
      <c r="Y1080" s="6">
        <v>11.62</v>
      </c>
      <c r="Z1080" s="6">
        <v>1</v>
      </c>
      <c r="AA1080" s="8">
        <v>45352</v>
      </c>
      <c r="AB1080" s="4">
        <v>0</v>
      </c>
      <c r="AC1080" s="6">
        <v>12.47</v>
      </c>
      <c r="AD1080" s="6">
        <v>17.440000000000001</v>
      </c>
      <c r="AE1080" s="1">
        <v>0</v>
      </c>
      <c r="AF1080" s="1">
        <f ca="1">IFERROR(__xludf.DUMMYFUNCTION("IFERROR(GOOGLEFINANCE(TRIM(F1080)&amp;"":"" &amp; TRIM(B1080),""high52""),AE1080)"),0)</f>
        <v>0</v>
      </c>
      <c r="AG1080" s="1">
        <v>0</v>
      </c>
      <c r="AH1080" s="1">
        <f ca="1">IFERROR(__xludf.DUMMYFUNCTION("IFERROR(GOOGLEFINANCE(TRIM(F1080)&amp;"":"" &amp; TRIM(B1080),""low52""),AE1080)"),0)</f>
        <v>0</v>
      </c>
      <c r="AI1080" s="1">
        <f ca="1">IFERROR(__xludf.DUMMYFUNCTION("IFERROR(GOOGLEFINANCE(B1080,""eps""),0)"),0)</f>
        <v>0</v>
      </c>
      <c r="AJ1080" s="1"/>
      <c r="AK1080" s="1" t="s">
        <v>3283</v>
      </c>
      <c r="AL1080" s="9">
        <f t="shared" si="161"/>
        <v>1</v>
      </c>
    </row>
    <row r="1081" spans="1:38" ht="15" x14ac:dyDescent="0.25">
      <c r="A1081" s="1" t="s">
        <v>3284</v>
      </c>
      <c r="B1081" s="1" t="s">
        <v>3285</v>
      </c>
      <c r="C1081" s="1" t="s">
        <v>64</v>
      </c>
      <c r="D1081" s="1" t="s">
        <v>64</v>
      </c>
      <c r="E1081" s="6">
        <v>136.76</v>
      </c>
      <c r="F1081" s="1" t="s">
        <v>53</v>
      </c>
      <c r="G1081" s="6">
        <f ca="1">IFERROR(__xludf.DUMMYFUNCTION("iferror(GOOGLEFINANCE(TRIM(F1081)&amp;"":"" &amp; TRIM(B1081), ""price""),0
)"),0)</f>
        <v>0</v>
      </c>
      <c r="H1081" s="6">
        <v>1525</v>
      </c>
      <c r="I1081" s="6">
        <f t="shared" ca="1" si="0"/>
        <v>1525</v>
      </c>
      <c r="J1081" s="6">
        <f ca="1">IFERROR(__xludf.DUMMYFUNCTION("IFERROR(GOOGLEFINANCE(B1081, ""volume""), 0)"),0)</f>
        <v>0</v>
      </c>
      <c r="K1081" s="12"/>
      <c r="L1081" s="6" t="str">
        <f ca="1">IFERROR(__xludf.DUMMYFUNCTION("IFERROR(GOOGLEFINANCE(B1081,""changepct""),K1081)"),"")</f>
        <v/>
      </c>
      <c r="M1081" s="6">
        <f ca="1">IFERROR(__xludf.DUMMYFUNCTION("IFERROR(GOOGLEFINANCE(B1081,""change""),0)"),0)</f>
        <v>0</v>
      </c>
      <c r="N1081" s="6">
        <v>1</v>
      </c>
      <c r="O1081" s="7">
        <v>45536</v>
      </c>
      <c r="P1081" s="6">
        <v>1.7</v>
      </c>
      <c r="Q1081" s="6">
        <v>138.46</v>
      </c>
      <c r="R1081" s="7">
        <v>45536</v>
      </c>
      <c r="S1081" s="6">
        <v>1.6</v>
      </c>
      <c r="T1081" s="6">
        <v>-1.1000000000000001</v>
      </c>
      <c r="U1081" s="7">
        <v>45536</v>
      </c>
      <c r="V1081" s="6">
        <v>0</v>
      </c>
      <c r="W1081" s="6">
        <f ca="1">IFERROR(__xludf.DUMMYFUNCTION("IFERROR(GOOGLEFINANCE(B1081,""pe""),V1081)"),0)</f>
        <v>0</v>
      </c>
      <c r="X1081" s="9"/>
      <c r="Y1081" s="6">
        <v>11.19</v>
      </c>
      <c r="Z1081" s="6">
        <v>1</v>
      </c>
      <c r="AA1081" s="8">
        <v>45352</v>
      </c>
      <c r="AB1081" s="4">
        <v>7.0000000000000007E-2</v>
      </c>
      <c r="AC1081" s="6">
        <v>-55.35</v>
      </c>
      <c r="AD1081" s="6">
        <v>-9.02</v>
      </c>
      <c r="AE1081" s="1">
        <v>0</v>
      </c>
      <c r="AF1081" s="1">
        <f ca="1">IFERROR(__xludf.DUMMYFUNCTION("IFERROR(GOOGLEFINANCE(TRIM(F1081)&amp;"":"" &amp; TRIM(B1081),""high52""),AE1081)"),0)</f>
        <v>0</v>
      </c>
      <c r="AG1081" s="1">
        <v>0</v>
      </c>
      <c r="AH1081" s="1">
        <f ca="1">IFERROR(__xludf.DUMMYFUNCTION("IFERROR(GOOGLEFINANCE(TRIM(F1081)&amp;"":"" &amp; TRIM(B1081),""low52""),AE1081)"),0)</f>
        <v>0</v>
      </c>
      <c r="AI1081" s="1">
        <f ca="1">IFERROR(__xludf.DUMMYFUNCTION("IFERROR(GOOGLEFINANCE(B1081,""eps""),0)"),0)</f>
        <v>0</v>
      </c>
      <c r="AJ1081" s="1"/>
      <c r="AK1081" s="1" t="s">
        <v>3286</v>
      </c>
      <c r="AL1081" s="9">
        <f t="shared" si="161"/>
        <v>1</v>
      </c>
    </row>
    <row r="1082" spans="1:38" ht="15" x14ac:dyDescent="0.25">
      <c r="A1082" s="1" t="s">
        <v>3287</v>
      </c>
      <c r="B1082" s="1" t="s">
        <v>3288</v>
      </c>
      <c r="C1082" s="1" t="s">
        <v>64</v>
      </c>
      <c r="D1082" s="1" t="s">
        <v>64</v>
      </c>
      <c r="E1082" s="6">
        <v>22.02</v>
      </c>
      <c r="F1082" s="1" t="s">
        <v>53</v>
      </c>
      <c r="G1082" s="6">
        <f ca="1">IFERROR(__xludf.DUMMYFUNCTION("iferror(GOOGLEFINANCE(TRIM(F1082)&amp;"":"" &amp; TRIM(B1082), ""price""),0
)"),0)</f>
        <v>0</v>
      </c>
      <c r="H1082" s="6">
        <v>74</v>
      </c>
      <c r="I1082" s="6">
        <f t="shared" ca="1" si="0"/>
        <v>74</v>
      </c>
      <c r="J1082" s="6">
        <f ca="1">IFERROR(__xludf.DUMMYFUNCTION("IFERROR(GOOGLEFINANCE(B1082, ""volume""), 0)"),0)</f>
        <v>0</v>
      </c>
      <c r="K1082" s="6">
        <v>4.79</v>
      </c>
      <c r="L1082" s="6">
        <f ca="1">IFERROR(__xludf.DUMMYFUNCTION("IFERROR(GOOGLEFINANCE(B1082,""changepct""),K1082)"),4.79)</f>
        <v>4.79</v>
      </c>
      <c r="M1082" s="6">
        <f ca="1">IFERROR(__xludf.DUMMYFUNCTION("IFERROR(GOOGLEFINANCE(B1082,""change""),0)"),0)</f>
        <v>0</v>
      </c>
      <c r="N1082" s="6">
        <v>2</v>
      </c>
      <c r="O1082" s="7">
        <v>45536</v>
      </c>
      <c r="P1082" s="6">
        <v>15.85</v>
      </c>
      <c r="Q1082" s="6">
        <v>37.51</v>
      </c>
      <c r="R1082" s="7">
        <v>45536</v>
      </c>
      <c r="S1082" s="6">
        <v>9.35</v>
      </c>
      <c r="T1082" s="6">
        <v>-0.25</v>
      </c>
      <c r="U1082" s="7">
        <v>45536</v>
      </c>
      <c r="V1082" s="6">
        <v>0</v>
      </c>
      <c r="W1082" s="6">
        <f ca="1">IFERROR(__xludf.DUMMYFUNCTION("IFERROR(GOOGLEFINANCE(B1082,""pe""),V1082)"),0)</f>
        <v>0</v>
      </c>
      <c r="X1082" s="9"/>
      <c r="Y1082" s="6">
        <v>2.61</v>
      </c>
      <c r="Z1082" s="6">
        <v>2</v>
      </c>
      <c r="AA1082" s="8">
        <v>45352</v>
      </c>
      <c r="AB1082" s="4">
        <v>4.43</v>
      </c>
      <c r="AC1082" s="6">
        <v>-6.81</v>
      </c>
      <c r="AD1082" s="6">
        <v>4.1900000000000004</v>
      </c>
      <c r="AE1082" s="1">
        <v>0</v>
      </c>
      <c r="AF1082" s="1">
        <f ca="1">IFERROR(__xludf.DUMMYFUNCTION("IFERROR(GOOGLEFINANCE(TRIM(F1082)&amp;"":"" &amp; TRIM(B1082),""high52""),AE1082)"),0)</f>
        <v>0</v>
      </c>
      <c r="AG1082" s="1">
        <v>0</v>
      </c>
      <c r="AH1082" s="1">
        <f ca="1">IFERROR(__xludf.DUMMYFUNCTION("IFERROR(GOOGLEFINANCE(TRIM(F1082)&amp;"":"" &amp; TRIM(B1082),""low52""),AE1082)"),0)</f>
        <v>0</v>
      </c>
      <c r="AI1082" s="1">
        <f ca="1">IFERROR(__xludf.DUMMYFUNCTION("IFERROR(GOOGLEFINANCE(B1082,""eps""),0)"),0)</f>
        <v>0</v>
      </c>
      <c r="AJ1082" s="1"/>
      <c r="AK1082" s="1" t="s">
        <v>3289</v>
      </c>
      <c r="AL1082" s="9">
        <f t="shared" si="161"/>
        <v>1</v>
      </c>
    </row>
    <row r="1083" spans="1:38" ht="15" x14ac:dyDescent="0.25">
      <c r="A1083" s="1" t="s">
        <v>3290</v>
      </c>
      <c r="B1083" s="1" t="s">
        <v>3291</v>
      </c>
      <c r="C1083" s="1" t="s">
        <v>584</v>
      </c>
      <c r="D1083" s="1" t="s">
        <v>584</v>
      </c>
      <c r="E1083" s="6">
        <v>181.07</v>
      </c>
      <c r="F1083" s="1" t="s">
        <v>53</v>
      </c>
      <c r="G1083" s="6">
        <f ca="1">IFERROR(__xludf.DUMMYFUNCTION("iferror(GOOGLEFINANCE(TRIM(F1083)&amp;"":"" &amp; TRIM(B1083), ""price""),0
)"),0)</f>
        <v>0</v>
      </c>
      <c r="H1083" s="6">
        <v>3.2</v>
      </c>
      <c r="I1083" s="6">
        <f t="shared" ca="1" si="0"/>
        <v>3.2</v>
      </c>
      <c r="J1083" s="6">
        <f ca="1">IFERROR(__xludf.DUMMYFUNCTION("IFERROR(GOOGLEFINANCE(B1083, ""volume""), 0)"),0)</f>
        <v>0</v>
      </c>
      <c r="K1083" s="6">
        <v>-2.14</v>
      </c>
      <c r="L1083" s="6">
        <f ca="1">IFERROR(__xludf.DUMMYFUNCTION("IFERROR(GOOGLEFINANCE(B1083,""changepct""),K1083)"),-2.14)</f>
        <v>-2.14</v>
      </c>
      <c r="M1083" s="6">
        <f ca="1">IFERROR(__xludf.DUMMYFUNCTION("IFERROR(GOOGLEFINANCE(B1083,""change""),0)"),0)</f>
        <v>0</v>
      </c>
      <c r="N1083" s="6">
        <v>2</v>
      </c>
      <c r="O1083" s="7">
        <v>45536</v>
      </c>
      <c r="P1083" s="6">
        <v>3.21</v>
      </c>
      <c r="Q1083" s="6">
        <v>180.46</v>
      </c>
      <c r="R1083" s="7">
        <v>45352</v>
      </c>
      <c r="S1083" s="6">
        <v>30.41</v>
      </c>
      <c r="T1083" s="6">
        <v>-0.17</v>
      </c>
      <c r="U1083" s="7">
        <v>45352</v>
      </c>
      <c r="V1083" s="6">
        <v>0</v>
      </c>
      <c r="W1083" s="6">
        <f ca="1">IFERROR(__xludf.DUMMYFUNCTION("IFERROR(GOOGLEFINANCE(B1083,""pe""),V1083)"),0)</f>
        <v>0</v>
      </c>
      <c r="X1083" s="12"/>
      <c r="Y1083" s="6">
        <v>2.77</v>
      </c>
      <c r="Z1083" s="6">
        <v>2</v>
      </c>
      <c r="AA1083" s="8">
        <v>45352</v>
      </c>
      <c r="AB1083" s="4">
        <v>0.05</v>
      </c>
      <c r="AC1083" s="6">
        <v>-0.42</v>
      </c>
      <c r="AD1083" s="6">
        <v>1.53</v>
      </c>
      <c r="AE1083" s="1">
        <v>0</v>
      </c>
      <c r="AF1083" s="1">
        <f ca="1">IFERROR(__xludf.DUMMYFUNCTION("IFERROR(GOOGLEFINANCE(TRIM(F1083)&amp;"":"" &amp; TRIM(B1083),""high52""),AE1083)"),0)</f>
        <v>0</v>
      </c>
      <c r="AG1083" s="1">
        <v>0</v>
      </c>
      <c r="AH1083" s="1">
        <f ca="1">IFERROR(__xludf.DUMMYFUNCTION("IFERROR(GOOGLEFINANCE(TRIM(F1083)&amp;"":"" &amp; TRIM(B1083),""low52""),AE1083)"),0)</f>
        <v>0</v>
      </c>
      <c r="AI1083" s="1">
        <f ca="1">IFERROR(__xludf.DUMMYFUNCTION("IFERROR(GOOGLEFINANCE(B1083,""eps""),0)"),0)</f>
        <v>0</v>
      </c>
      <c r="AJ1083" s="1"/>
      <c r="AK1083" s="1" t="s">
        <v>3292</v>
      </c>
      <c r="AL1083" s="9">
        <f t="shared" si="161"/>
        <v>1</v>
      </c>
    </row>
    <row r="1084" spans="1:38" ht="15" x14ac:dyDescent="0.25">
      <c r="A1084" s="1" t="s">
        <v>3293</v>
      </c>
      <c r="B1084" s="1" t="s">
        <v>3294</v>
      </c>
      <c r="C1084" s="1" t="s">
        <v>584</v>
      </c>
      <c r="D1084" s="1" t="s">
        <v>584</v>
      </c>
      <c r="E1084" s="6">
        <v>370.32</v>
      </c>
      <c r="F1084" s="1" t="s">
        <v>53</v>
      </c>
      <c r="G1084" s="6">
        <f ca="1">IFERROR(__xludf.DUMMYFUNCTION("iferror(GOOGLEFINANCE(TRIM(F1084)&amp;"":"" &amp; TRIM(B1084), ""price""),0
)"),0)</f>
        <v>0</v>
      </c>
      <c r="H1084" s="6">
        <v>27.88</v>
      </c>
      <c r="I1084" s="6">
        <f t="shared" ca="1" si="0"/>
        <v>27.88</v>
      </c>
      <c r="J1084" s="6">
        <f ca="1">IFERROR(__xludf.DUMMYFUNCTION("IFERROR(GOOGLEFINANCE(B1084, ""volume""), 0)"),0)</f>
        <v>0</v>
      </c>
      <c r="K1084" s="6">
        <v>1.57</v>
      </c>
      <c r="L1084" s="6">
        <f ca="1">IFERROR(__xludf.DUMMYFUNCTION("IFERROR(GOOGLEFINANCE(B1084,""changepct""),K1084)"),1.57)</f>
        <v>1.57</v>
      </c>
      <c r="M1084" s="6">
        <f ca="1">IFERROR(__xludf.DUMMYFUNCTION("IFERROR(GOOGLEFINANCE(B1084,""change""),0)"),0)</f>
        <v>0</v>
      </c>
      <c r="N1084" s="6">
        <v>2</v>
      </c>
      <c r="O1084" s="7">
        <v>45536</v>
      </c>
      <c r="P1084" s="6">
        <v>49.34</v>
      </c>
      <c r="Q1084" s="6">
        <v>402.65</v>
      </c>
      <c r="R1084" s="7">
        <v>45352</v>
      </c>
      <c r="S1084" s="6">
        <v>211.78</v>
      </c>
      <c r="T1084" s="6">
        <v>12.29</v>
      </c>
      <c r="U1084" s="7">
        <v>45352</v>
      </c>
      <c r="V1084" s="6">
        <v>30.13</v>
      </c>
      <c r="W1084" s="6">
        <f ca="1">IFERROR(__xludf.DUMMYFUNCTION("IFERROR(GOOGLEFINANCE(B1084,""pe""),V1084)"),30.13)</f>
        <v>30.13</v>
      </c>
      <c r="X1084" s="9"/>
      <c r="Y1084" s="6">
        <v>3.17</v>
      </c>
      <c r="Z1084" s="6">
        <v>2</v>
      </c>
      <c r="AA1084" s="8">
        <v>45352</v>
      </c>
      <c r="AB1084" s="4">
        <v>0.5</v>
      </c>
      <c r="AC1084" s="6">
        <v>13.62</v>
      </c>
      <c r="AD1084" s="6">
        <v>11.78</v>
      </c>
      <c r="AE1084" s="1">
        <v>0</v>
      </c>
      <c r="AF1084" s="1">
        <f ca="1">IFERROR(__xludf.DUMMYFUNCTION("IFERROR(GOOGLEFINANCE(TRIM(F1084)&amp;"":"" &amp; TRIM(B1084),""high52""),AE1084)"),0)</f>
        <v>0</v>
      </c>
      <c r="AG1084" s="1">
        <v>0</v>
      </c>
      <c r="AH1084" s="1">
        <f ca="1">IFERROR(__xludf.DUMMYFUNCTION("IFERROR(GOOGLEFINANCE(TRIM(F1084)&amp;"":"" &amp; TRIM(B1084),""low52""),AE1084)"),0)</f>
        <v>0</v>
      </c>
      <c r="AI1084" s="1">
        <f ca="1">IFERROR(__xludf.DUMMYFUNCTION("IFERROR(GOOGLEFINANCE(B1084,""eps""),0)"),0)</f>
        <v>0</v>
      </c>
      <c r="AJ1084" s="1"/>
      <c r="AK1084" s="1" t="s">
        <v>3295</v>
      </c>
      <c r="AL1084" s="9">
        <f t="shared" si="161"/>
        <v>1</v>
      </c>
    </row>
    <row r="1085" spans="1:38" ht="15" x14ac:dyDescent="0.25">
      <c r="A1085" s="1" t="s">
        <v>3296</v>
      </c>
      <c r="B1085" s="1" t="s">
        <v>3297</v>
      </c>
      <c r="C1085" s="1" t="s">
        <v>82</v>
      </c>
      <c r="D1085" s="1" t="s">
        <v>82</v>
      </c>
      <c r="E1085" s="6">
        <v>1471.29</v>
      </c>
      <c r="F1085" s="1" t="s">
        <v>40</v>
      </c>
      <c r="G1085" s="6">
        <f ca="1">IFERROR(__xludf.DUMMYFUNCTION("iferror(GOOGLEFINANCE(TRIM(F1085)&amp;"":"" &amp; TRIM(B1085), ""price""),0
)"),96.99)</f>
        <v>96.99</v>
      </c>
      <c r="H1085" s="6">
        <v>155.6</v>
      </c>
      <c r="I1085" s="6">
        <f t="shared" ca="1" si="0"/>
        <v>96.99</v>
      </c>
      <c r="J1085" s="6">
        <f ca="1">IFERROR(__xludf.DUMMYFUNCTION("IFERROR(GOOGLEFINANCE(B1085, ""volume""), 0)"),61121)</f>
        <v>61121</v>
      </c>
      <c r="K1085" s="6">
        <v>-0.38</v>
      </c>
      <c r="L1085" s="6">
        <f ca="1">IFERROR(__xludf.DUMMYFUNCTION("IFERROR(GOOGLEFINANCE(B1085,""changepct""),K1085)"),2.09)</f>
        <v>2.09</v>
      </c>
      <c r="M1085" s="6">
        <f ca="1">IFERROR(__xludf.DUMMYFUNCTION("IFERROR(GOOGLEFINANCE(B1085,""change""),0)"),1.99)</f>
        <v>1.99</v>
      </c>
      <c r="N1085" s="6">
        <v>2</v>
      </c>
      <c r="O1085" s="7">
        <v>45536</v>
      </c>
      <c r="P1085" s="6">
        <v>732.62</v>
      </c>
      <c r="Q1085" s="6">
        <v>2153.9499999999998</v>
      </c>
      <c r="R1085" s="7">
        <v>45536</v>
      </c>
      <c r="S1085" s="6">
        <v>1161.8</v>
      </c>
      <c r="T1085" s="6">
        <v>-81.62</v>
      </c>
      <c r="U1085" s="7">
        <v>45536</v>
      </c>
      <c r="V1085" s="6">
        <v>0</v>
      </c>
      <c r="W1085" s="6">
        <f ca="1">IFERROR(__xludf.DUMMYFUNCTION("IFERROR(GOOGLEFINANCE(B1085,""pe""),V1085)"),198.77)</f>
        <v>198.77</v>
      </c>
      <c r="X1085" s="9"/>
      <c r="Y1085" s="6">
        <v>2.1</v>
      </c>
      <c r="Z1085" s="6">
        <v>2</v>
      </c>
      <c r="AA1085" s="8">
        <v>45352</v>
      </c>
      <c r="AB1085" s="4">
        <v>1.08</v>
      </c>
      <c r="AC1085" s="6">
        <v>-16.600000000000001</v>
      </c>
      <c r="AD1085" s="6">
        <v>-4.24</v>
      </c>
      <c r="AE1085" s="1">
        <v>0</v>
      </c>
      <c r="AF1085" s="1">
        <f ca="1">IFERROR(__xludf.DUMMYFUNCTION("IFERROR(GOOGLEFINANCE(TRIM(F1085)&amp;"":"" &amp; TRIM(B1085),""high52""),AE1085)"),173.01)</f>
        <v>173.01</v>
      </c>
      <c r="AG1085" s="1">
        <v>0</v>
      </c>
      <c r="AH1085" s="1">
        <f ca="1">IFERROR(__xludf.DUMMYFUNCTION("IFERROR(GOOGLEFINANCE(TRIM(F1085)&amp;"":"" &amp; TRIM(B1085),""low52""),AE1085)"),90)</f>
        <v>90</v>
      </c>
      <c r="AI1085" s="1">
        <f ca="1">IFERROR(__xludf.DUMMYFUNCTION("IFERROR(GOOGLEFINANCE(B1085,""eps""),0)"),0.49)</f>
        <v>0.49</v>
      </c>
      <c r="AJ1085" s="1"/>
      <c r="AK1085" s="1" t="s">
        <v>3298</v>
      </c>
      <c r="AL1085" s="9">
        <f t="shared" si="161"/>
        <v>1</v>
      </c>
    </row>
    <row r="1086" spans="1:38" ht="15" x14ac:dyDescent="0.25">
      <c r="A1086" s="1" t="s">
        <v>3299</v>
      </c>
      <c r="B1086" s="1" t="s">
        <v>3300</v>
      </c>
      <c r="C1086" s="1" t="s">
        <v>359</v>
      </c>
      <c r="D1086" s="1" t="s">
        <v>359</v>
      </c>
      <c r="E1086" s="6">
        <v>7072.89</v>
      </c>
      <c r="F1086" s="1" t="s">
        <v>40</v>
      </c>
      <c r="G1086" s="6">
        <f ca="1">IFERROR(__xludf.DUMMYFUNCTION("iferror(GOOGLEFINANCE(TRIM(F1086)&amp;"":"" &amp; TRIM(B1086), ""price""),0
)"),2536)</f>
        <v>2536</v>
      </c>
      <c r="H1086" s="6">
        <v>2880.85</v>
      </c>
      <c r="I1086" s="6">
        <f t="shared" ca="1" si="0"/>
        <v>2536</v>
      </c>
      <c r="J1086" s="6">
        <f ca="1">IFERROR(__xludf.DUMMYFUNCTION("IFERROR(GOOGLEFINANCE(B1086, ""volume""), 0)"),9201)</f>
        <v>9201</v>
      </c>
      <c r="K1086" s="6">
        <v>-0.28000000000000003</v>
      </c>
      <c r="L1086" s="6">
        <f ca="1">IFERROR(__xludf.DUMMYFUNCTION("IFERROR(GOOGLEFINANCE(B1086,""changepct""),K1086)"),0.99)</f>
        <v>0.99</v>
      </c>
      <c r="M1086" s="6">
        <f ca="1">IFERROR(__xludf.DUMMYFUNCTION("IFERROR(GOOGLEFINANCE(B1086,""change""),0)"),24.8)</f>
        <v>24.8</v>
      </c>
      <c r="N1086" s="6">
        <v>2</v>
      </c>
      <c r="O1086" s="7">
        <v>45536</v>
      </c>
      <c r="P1086" s="6">
        <v>5.47</v>
      </c>
      <c r="Q1086" s="6">
        <v>6807</v>
      </c>
      <c r="R1086" s="7">
        <v>45536</v>
      </c>
      <c r="S1086" s="6">
        <v>1104.1300000000001</v>
      </c>
      <c r="T1086" s="6">
        <v>90.61</v>
      </c>
      <c r="U1086" s="7">
        <v>45536</v>
      </c>
      <c r="V1086" s="6">
        <v>78.069999999999993</v>
      </c>
      <c r="W1086" s="6">
        <f ca="1">IFERROR(__xludf.DUMMYFUNCTION("IFERROR(GOOGLEFINANCE(B1086,""pe""),V1086)"),68.24)</f>
        <v>68.239999999999995</v>
      </c>
      <c r="X1086" s="9"/>
      <c r="Y1086" s="6">
        <v>7.62</v>
      </c>
      <c r="Z1086" s="6">
        <v>2</v>
      </c>
      <c r="AA1086" s="8">
        <v>45352</v>
      </c>
      <c r="AB1086" s="4">
        <v>0.01</v>
      </c>
      <c r="AC1086" s="6">
        <v>10.99</v>
      </c>
      <c r="AD1086" s="6">
        <v>17.43</v>
      </c>
      <c r="AE1086" s="1">
        <v>0</v>
      </c>
      <c r="AF1086" s="1">
        <f ca="1">IFERROR(__xludf.DUMMYFUNCTION("IFERROR(GOOGLEFINANCE(TRIM(F1086)&amp;"":"" &amp; TRIM(B1086),""high52""),AE1086)"),3245.9)</f>
        <v>3245.9</v>
      </c>
      <c r="AG1086" s="1">
        <v>0</v>
      </c>
      <c r="AH1086" s="1">
        <f ca="1">IFERROR(__xludf.DUMMYFUNCTION("IFERROR(GOOGLEFINANCE(TRIM(F1086)&amp;"":"" &amp; TRIM(B1086),""low52""),AE1086)"),1931.95)</f>
        <v>1931.95</v>
      </c>
      <c r="AI1086" s="1">
        <f ca="1">IFERROR(__xludf.DUMMYFUNCTION("IFERROR(GOOGLEFINANCE(B1086,""eps""),0)"),37.17)</f>
        <v>37.17</v>
      </c>
      <c r="AJ1086" s="1"/>
      <c r="AK1086" s="1" t="s">
        <v>3301</v>
      </c>
      <c r="AL1086" s="9">
        <f t="shared" si="161"/>
        <v>1</v>
      </c>
    </row>
    <row r="1087" spans="1:38" ht="15" x14ac:dyDescent="0.25">
      <c r="A1087" s="1" t="s">
        <v>3302</v>
      </c>
      <c r="B1087" s="1" t="s">
        <v>3303</v>
      </c>
      <c r="C1087" s="1" t="s">
        <v>1265</v>
      </c>
      <c r="D1087" s="1" t="s">
        <v>1265</v>
      </c>
      <c r="E1087" s="6">
        <v>11512.01</v>
      </c>
      <c r="F1087" s="1" t="s">
        <v>40</v>
      </c>
      <c r="G1087" s="6">
        <f ca="1">IFERROR(__xludf.DUMMYFUNCTION("iferror(GOOGLEFINANCE(TRIM(F1087)&amp;"":"" &amp; TRIM(B1087), ""price""),0
)"),548.3)</f>
        <v>548.29999999999995</v>
      </c>
      <c r="H1087" s="6">
        <v>601.45000000000005</v>
      </c>
      <c r="I1087" s="6">
        <f t="shared" ca="1" si="0"/>
        <v>548.29999999999995</v>
      </c>
      <c r="J1087" s="6">
        <f ca="1">IFERROR(__xludf.DUMMYFUNCTION("IFERROR(GOOGLEFINANCE(B1087, ""volume""), 0)"),50478)</f>
        <v>50478</v>
      </c>
      <c r="K1087" s="6">
        <v>1.19</v>
      </c>
      <c r="L1087" s="6">
        <f ca="1">IFERROR(__xludf.DUMMYFUNCTION("IFERROR(GOOGLEFINANCE(B1087,""changepct""),K1087)"),1.5)</f>
        <v>1.5</v>
      </c>
      <c r="M1087" s="6">
        <f ca="1">IFERROR(__xludf.DUMMYFUNCTION("IFERROR(GOOGLEFINANCE(B1087,""change""),0)"),8.1)</f>
        <v>8.1</v>
      </c>
      <c r="N1087" s="6">
        <v>2</v>
      </c>
      <c r="O1087" s="7">
        <v>45536</v>
      </c>
      <c r="P1087" s="6">
        <v>50.35</v>
      </c>
      <c r="Q1087" s="6">
        <v>11416.66</v>
      </c>
      <c r="R1087" s="7">
        <v>45536</v>
      </c>
      <c r="S1087" s="6">
        <v>2319.5100000000002</v>
      </c>
      <c r="T1087" s="6">
        <v>124.25</v>
      </c>
      <c r="U1087" s="7">
        <v>45536</v>
      </c>
      <c r="V1087" s="6">
        <v>92.67</v>
      </c>
      <c r="W1087" s="6">
        <f ca="1">IFERROR(__xludf.DUMMYFUNCTION("IFERROR(GOOGLEFINANCE(B1087,""pe""),V1087)"),57.45)</f>
        <v>57.45</v>
      </c>
      <c r="X1087" s="9"/>
      <c r="Y1087" s="6">
        <v>2.67</v>
      </c>
      <c r="Z1087" s="6">
        <v>2</v>
      </c>
      <c r="AA1087" s="8">
        <v>45352</v>
      </c>
      <c r="AB1087" s="4">
        <v>0.01</v>
      </c>
      <c r="AC1087" s="6">
        <v>2.31</v>
      </c>
      <c r="AD1087" s="6">
        <v>3.26</v>
      </c>
      <c r="AE1087" s="1">
        <v>0</v>
      </c>
      <c r="AF1087" s="1">
        <f ca="1">IFERROR(__xludf.DUMMYFUNCTION("IFERROR(GOOGLEFINANCE(TRIM(F1087)&amp;"":"" &amp; TRIM(B1087),""high52""),AE1087)"),668.3)</f>
        <v>668.3</v>
      </c>
      <c r="AG1087" s="1">
        <v>0</v>
      </c>
      <c r="AH1087" s="1">
        <f ca="1">IFERROR(__xludf.DUMMYFUNCTION("IFERROR(GOOGLEFINANCE(TRIM(F1087)&amp;"":"" &amp; TRIM(B1087),""low52""),AE1087)"),461.5)</f>
        <v>461.5</v>
      </c>
      <c r="AI1087" s="1">
        <f ca="1">IFERROR(__xludf.DUMMYFUNCTION("IFERROR(GOOGLEFINANCE(B1087,""eps""),0)"),9.54)</f>
        <v>9.5399999999999991</v>
      </c>
      <c r="AJ1087" s="1"/>
      <c r="AK1087" s="1" t="s">
        <v>3304</v>
      </c>
      <c r="AL1087" s="9">
        <f t="shared" si="161"/>
        <v>1</v>
      </c>
    </row>
    <row r="1088" spans="1:38" ht="15" x14ac:dyDescent="0.25">
      <c r="A1088" s="1" t="s">
        <v>3305</v>
      </c>
      <c r="B1088" s="1" t="s">
        <v>3306</v>
      </c>
      <c r="C1088" s="1" t="s">
        <v>324</v>
      </c>
      <c r="D1088" s="1" t="s">
        <v>324</v>
      </c>
      <c r="E1088" s="6">
        <v>495.06</v>
      </c>
      <c r="F1088" s="1" t="s">
        <v>40</v>
      </c>
      <c r="G1088" s="6">
        <f ca="1">IFERROR(__xludf.DUMMYFUNCTION("iferror(GOOGLEFINANCE(TRIM(F1088)&amp;"":"" &amp; TRIM(B1088), ""price""),0
)"),249.05)</f>
        <v>249.05</v>
      </c>
      <c r="H1088" s="6">
        <v>201.78</v>
      </c>
      <c r="I1088" s="6">
        <f t="shared" ca="1" si="0"/>
        <v>249.05</v>
      </c>
      <c r="J1088" s="6">
        <f ca="1">IFERROR(__xludf.DUMMYFUNCTION("IFERROR(GOOGLEFINANCE(B1088, ""volume""), 0)"),14605)</f>
        <v>14605</v>
      </c>
      <c r="K1088" s="6">
        <v>1.08</v>
      </c>
      <c r="L1088" s="6">
        <f ca="1">IFERROR(__xludf.DUMMYFUNCTION("IFERROR(GOOGLEFINANCE(B1088,""changepct""),K1088)"),-2.58)</f>
        <v>-2.58</v>
      </c>
      <c r="M1088" s="6">
        <f ca="1">IFERROR(__xludf.DUMMYFUNCTION("IFERROR(GOOGLEFINANCE(B1088,""change""),0)"),-6.6)</f>
        <v>-6.6</v>
      </c>
      <c r="N1088" s="6">
        <v>1</v>
      </c>
      <c r="O1088" s="7">
        <v>45536</v>
      </c>
      <c r="P1088" s="6">
        <v>38.590000000000003</v>
      </c>
      <c r="Q1088" s="6">
        <v>533.65</v>
      </c>
      <c r="R1088" s="7">
        <v>45536</v>
      </c>
      <c r="S1088" s="6">
        <v>117.44</v>
      </c>
      <c r="T1088" s="6">
        <v>2.2000000000000002</v>
      </c>
      <c r="U1088" s="7">
        <v>45536</v>
      </c>
      <c r="V1088" s="6">
        <v>225.03</v>
      </c>
      <c r="W1088" s="6">
        <f ca="1">IFERROR(__xludf.DUMMYFUNCTION("IFERROR(GOOGLEFINANCE(B1088,""pe""),V1088)"),176.53)</f>
        <v>176.53</v>
      </c>
      <c r="X1088" s="6">
        <v>11.25</v>
      </c>
      <c r="Y1088" s="6">
        <v>7.28</v>
      </c>
      <c r="Z1088" s="6">
        <v>1</v>
      </c>
      <c r="AA1088" s="8">
        <v>45352</v>
      </c>
      <c r="AB1088" s="4">
        <v>0.59</v>
      </c>
      <c r="AC1088" s="6">
        <v>3.34</v>
      </c>
      <c r="AD1088" s="6">
        <v>6.39</v>
      </c>
      <c r="AE1088" s="1">
        <v>0</v>
      </c>
      <c r="AF1088" s="1">
        <f ca="1">IFERROR(__xludf.DUMMYFUNCTION("IFERROR(GOOGLEFINANCE(TRIM(F1088)&amp;"":"" &amp; TRIM(B1088),""high52""),AE1088)"),305.9)</f>
        <v>305.89999999999998</v>
      </c>
      <c r="AG1088" s="1">
        <v>0</v>
      </c>
      <c r="AH1088" s="1">
        <f ca="1">IFERROR(__xludf.DUMMYFUNCTION("IFERROR(GOOGLEFINANCE(TRIM(F1088)&amp;"":"" &amp; TRIM(B1088),""low52""),AE1088)"),170.76)</f>
        <v>170.76</v>
      </c>
      <c r="AI1088" s="1">
        <f ca="1">IFERROR(__xludf.DUMMYFUNCTION("IFERROR(GOOGLEFINANCE(B1088,""eps""),0)"),1.41)</f>
        <v>1.41</v>
      </c>
      <c r="AJ1088" s="1"/>
      <c r="AK1088" s="1" t="s">
        <v>3307</v>
      </c>
      <c r="AL1088" s="9">
        <f t="shared" si="161"/>
        <v>1</v>
      </c>
    </row>
    <row r="1089" spans="1:38" ht="15" x14ac:dyDescent="0.25">
      <c r="A1089" s="1" t="s">
        <v>3308</v>
      </c>
      <c r="B1089" s="1" t="s">
        <v>3309</v>
      </c>
      <c r="C1089" s="1" t="s">
        <v>264</v>
      </c>
      <c r="D1089" s="1" t="s">
        <v>264</v>
      </c>
      <c r="E1089" s="6">
        <v>477.75</v>
      </c>
      <c r="F1089" s="1" t="s">
        <v>40</v>
      </c>
      <c r="G1089" s="6">
        <f ca="1">IFERROR(__xludf.DUMMYFUNCTION("iferror(GOOGLEFINANCE(TRIM(F1089)&amp;"":"" &amp; TRIM(B1089), ""price""),0
)"),178.73)</f>
        <v>178.73</v>
      </c>
      <c r="H1089" s="6">
        <v>195</v>
      </c>
      <c r="I1089" s="6">
        <f t="shared" ca="1" si="0"/>
        <v>178.73</v>
      </c>
      <c r="J1089" s="6">
        <f ca="1">IFERROR(__xludf.DUMMYFUNCTION("IFERROR(GOOGLEFINANCE(B1089, ""volume""), 0)"),4960)</f>
        <v>4960</v>
      </c>
      <c r="K1089" s="9"/>
      <c r="L1089" s="6">
        <f ca="1">IFERROR(__xludf.DUMMYFUNCTION("IFERROR(GOOGLEFINANCE(B1089,""changepct""),K1089)"),4.77)</f>
        <v>4.7699999999999996</v>
      </c>
      <c r="M1089" s="6">
        <f ca="1">IFERROR(__xludf.DUMMYFUNCTION("IFERROR(GOOGLEFINANCE(B1089,""change""),0)"),8.13)</f>
        <v>8.1300000000000008</v>
      </c>
      <c r="N1089" s="6">
        <v>1</v>
      </c>
      <c r="O1089" s="7">
        <v>45536</v>
      </c>
      <c r="P1089" s="6">
        <v>92.77</v>
      </c>
      <c r="Q1089" s="6">
        <v>565.28</v>
      </c>
      <c r="R1089" s="7">
        <v>45352</v>
      </c>
      <c r="S1089" s="6">
        <v>395.22</v>
      </c>
      <c r="T1089" s="6">
        <v>14.61</v>
      </c>
      <c r="U1089" s="7">
        <v>45352</v>
      </c>
      <c r="V1089" s="6">
        <v>32.700000000000003</v>
      </c>
      <c r="W1089" s="6">
        <f ca="1">IFERROR(__xludf.DUMMYFUNCTION("IFERROR(GOOGLEFINANCE(B1089,""pe""),V1089)"),18.99)</f>
        <v>18.989999999999998</v>
      </c>
      <c r="X1089" s="9"/>
      <c r="Y1089" s="6">
        <v>4.16</v>
      </c>
      <c r="Z1089" s="6">
        <v>1</v>
      </c>
      <c r="AA1089" s="8">
        <v>45352</v>
      </c>
      <c r="AB1089" s="4">
        <v>0.76</v>
      </c>
      <c r="AC1089" s="6">
        <v>13.58</v>
      </c>
      <c r="AD1089" s="6">
        <v>16.670000000000002</v>
      </c>
      <c r="AE1089" s="1">
        <v>0</v>
      </c>
      <c r="AF1089" s="1">
        <f ca="1">IFERROR(__xludf.DUMMYFUNCTION("IFERROR(GOOGLEFINANCE(TRIM(F1089)&amp;"":"" &amp; TRIM(B1089),""high52""),AE1089)"),254.5)</f>
        <v>254.5</v>
      </c>
      <c r="AG1089" s="1">
        <v>0</v>
      </c>
      <c r="AH1089" s="1">
        <f ca="1">IFERROR(__xludf.DUMMYFUNCTION("IFERROR(GOOGLEFINANCE(TRIM(F1089)&amp;"":"" &amp; TRIM(B1089),""low52""),AE1089)"),165.25)</f>
        <v>165.25</v>
      </c>
      <c r="AI1089" s="1">
        <f ca="1">IFERROR(__xludf.DUMMYFUNCTION("IFERROR(GOOGLEFINANCE(B1089,""eps""),0)"),9.41)</f>
        <v>9.41</v>
      </c>
      <c r="AJ1089" s="1"/>
      <c r="AK1089" s="1" t="s">
        <v>3310</v>
      </c>
      <c r="AL1089" s="1" t="b">
        <f>ISNUMBER(AA1089)</f>
        <v>1</v>
      </c>
    </row>
    <row r="1090" spans="1:38" ht="15" x14ac:dyDescent="0.25">
      <c r="A1090" s="1" t="s">
        <v>3311</v>
      </c>
      <c r="B1090" s="1" t="s">
        <v>3312</v>
      </c>
      <c r="C1090" s="1" t="s">
        <v>584</v>
      </c>
      <c r="D1090" s="1" t="s">
        <v>584</v>
      </c>
      <c r="E1090" s="6">
        <v>62.2</v>
      </c>
      <c r="F1090" s="1" t="s">
        <v>53</v>
      </c>
      <c r="G1090" s="6">
        <f ca="1">IFERROR(__xludf.DUMMYFUNCTION("iferror(GOOGLEFINANCE(TRIM(F1090)&amp;"":"" &amp; TRIM(B1090), ""price""),0
)"),0)</f>
        <v>0</v>
      </c>
      <c r="H1090" s="6">
        <v>62.29</v>
      </c>
      <c r="I1090" s="6">
        <f t="shared" ca="1" si="0"/>
        <v>62.29</v>
      </c>
      <c r="J1090" s="6">
        <f ca="1">IFERROR(__xludf.DUMMYFUNCTION("IFERROR(GOOGLEFINANCE(B1090, ""volume""), 0)"),0)</f>
        <v>0</v>
      </c>
      <c r="K1090" s="6">
        <v>2.23</v>
      </c>
      <c r="L1090" s="6">
        <f ca="1">IFERROR(__xludf.DUMMYFUNCTION("IFERROR(GOOGLEFINANCE(B1090,""changepct""),K1090)"),2.23)</f>
        <v>2.23</v>
      </c>
      <c r="M1090" s="6">
        <f ca="1">IFERROR(__xludf.DUMMYFUNCTION("IFERROR(GOOGLEFINANCE(B1090,""change""),0)"),0)</f>
        <v>0</v>
      </c>
      <c r="N1090" s="6">
        <v>1</v>
      </c>
      <c r="O1090" s="7">
        <v>45536</v>
      </c>
      <c r="P1090" s="6">
        <v>10.24</v>
      </c>
      <c r="Q1090" s="6">
        <v>70.09</v>
      </c>
      <c r="R1090" s="7">
        <v>45536</v>
      </c>
      <c r="S1090" s="6">
        <v>140.19</v>
      </c>
      <c r="T1090" s="6">
        <v>4.78</v>
      </c>
      <c r="U1090" s="7">
        <v>45536</v>
      </c>
      <c r="V1090" s="6">
        <v>13.01</v>
      </c>
      <c r="W1090" s="6">
        <f ca="1">IFERROR(__xludf.DUMMYFUNCTION("IFERROR(GOOGLEFINANCE(B1090,""pe""),V1090)"),13.01)</f>
        <v>13.01</v>
      </c>
      <c r="X1090" s="6">
        <v>6.64</v>
      </c>
      <c r="Y1090" s="6">
        <v>1.45</v>
      </c>
      <c r="Z1090" s="6">
        <v>1</v>
      </c>
      <c r="AA1090" s="8">
        <v>45352</v>
      </c>
      <c r="AB1090" s="4">
        <v>0.19</v>
      </c>
      <c r="AC1090" s="6">
        <v>8.83</v>
      </c>
      <c r="AD1090" s="6">
        <v>11.9</v>
      </c>
      <c r="AE1090" s="1">
        <v>0</v>
      </c>
      <c r="AF1090" s="1">
        <f ca="1">IFERROR(__xludf.DUMMYFUNCTION("IFERROR(GOOGLEFINANCE(TRIM(F1090)&amp;"":"" &amp; TRIM(B1090),""high52""),AE1090)"),0)</f>
        <v>0</v>
      </c>
      <c r="AG1090" s="1">
        <v>0</v>
      </c>
      <c r="AH1090" s="1">
        <f ca="1">IFERROR(__xludf.DUMMYFUNCTION("IFERROR(GOOGLEFINANCE(TRIM(F1090)&amp;"":"" &amp; TRIM(B1090),""low52""),AE1090)"),0)</f>
        <v>0</v>
      </c>
      <c r="AI1090" s="1">
        <f ca="1">IFERROR(__xludf.DUMMYFUNCTION("IFERROR(GOOGLEFINANCE(B1090,""eps""),0)"),0)</f>
        <v>0</v>
      </c>
      <c r="AJ1090" s="1"/>
      <c r="AK1090" s="1" t="s">
        <v>3313</v>
      </c>
      <c r="AL1090" s="9">
        <f t="shared" ref="AL1090:AL1093" si="162">IF(AA1090&lt;&gt;AB1090,1,0)</f>
        <v>1</v>
      </c>
    </row>
    <row r="1091" spans="1:38" ht="15" x14ac:dyDescent="0.25">
      <c r="A1091" s="1" t="s">
        <v>3314</v>
      </c>
      <c r="B1091" s="1" t="s">
        <v>3315</v>
      </c>
      <c r="C1091" s="1" t="s">
        <v>584</v>
      </c>
      <c r="D1091" s="1" t="s">
        <v>584</v>
      </c>
      <c r="E1091" s="6">
        <v>35.119999999999997</v>
      </c>
      <c r="F1091" s="1" t="s">
        <v>53</v>
      </c>
      <c r="G1091" s="6">
        <f ca="1">IFERROR(__xludf.DUMMYFUNCTION("iferror(GOOGLEFINANCE(TRIM(F1091)&amp;"":"" &amp; TRIM(B1091), ""price""),0
)"),0)</f>
        <v>0</v>
      </c>
      <c r="H1091" s="6">
        <v>115.95</v>
      </c>
      <c r="I1091" s="6">
        <f t="shared" ca="1" si="0"/>
        <v>115.95</v>
      </c>
      <c r="J1091" s="6">
        <f ca="1">IFERROR(__xludf.DUMMYFUNCTION("IFERROR(GOOGLEFINANCE(B1091, ""volume""), 0)"),0)</f>
        <v>0</v>
      </c>
      <c r="K1091" s="9"/>
      <c r="L1091" s="6" t="str">
        <f ca="1">IFERROR(__xludf.DUMMYFUNCTION("IFERROR(GOOGLEFINANCE(B1091,""changepct""),K1091)"),"")</f>
        <v/>
      </c>
      <c r="M1091" s="6">
        <f ca="1">IFERROR(__xludf.DUMMYFUNCTION("IFERROR(GOOGLEFINANCE(B1091,""change""),0)"),0)</f>
        <v>0</v>
      </c>
      <c r="N1091" s="6">
        <v>1</v>
      </c>
      <c r="O1091" s="7">
        <v>45536</v>
      </c>
      <c r="P1091" s="6">
        <v>18.73</v>
      </c>
      <c r="Q1091" s="6">
        <v>53.22</v>
      </c>
      <c r="R1091" s="7">
        <v>45536</v>
      </c>
      <c r="S1091" s="6">
        <v>59.02</v>
      </c>
      <c r="T1091" s="6">
        <v>0.95</v>
      </c>
      <c r="U1091" s="7">
        <v>45536</v>
      </c>
      <c r="V1091" s="6">
        <v>36.85</v>
      </c>
      <c r="W1091" s="6">
        <f ca="1">IFERROR(__xludf.DUMMYFUNCTION("IFERROR(GOOGLEFINANCE(B1091,""pe""),V1091)"),36.85)</f>
        <v>36.85</v>
      </c>
      <c r="X1091" s="12"/>
      <c r="Y1091" s="6">
        <v>0.74</v>
      </c>
      <c r="Z1091" s="6">
        <v>1</v>
      </c>
      <c r="AA1091" s="8">
        <v>45352</v>
      </c>
      <c r="AB1091" s="4">
        <v>0.32</v>
      </c>
      <c r="AC1091" s="6">
        <v>-0.64</v>
      </c>
      <c r="AD1091" s="6">
        <v>-0.09</v>
      </c>
      <c r="AE1091" s="1">
        <v>0</v>
      </c>
      <c r="AF1091" s="1">
        <f ca="1">IFERROR(__xludf.DUMMYFUNCTION("IFERROR(GOOGLEFINANCE(TRIM(F1091)&amp;"":"" &amp; TRIM(B1091),""high52""),AE1091)"),0)</f>
        <v>0</v>
      </c>
      <c r="AG1091" s="1">
        <v>0</v>
      </c>
      <c r="AH1091" s="1">
        <f ca="1">IFERROR(__xludf.DUMMYFUNCTION("IFERROR(GOOGLEFINANCE(TRIM(F1091)&amp;"":"" &amp; TRIM(B1091),""low52""),AE1091)"),0)</f>
        <v>0</v>
      </c>
      <c r="AI1091" s="1">
        <f ca="1">IFERROR(__xludf.DUMMYFUNCTION("IFERROR(GOOGLEFINANCE(B1091,""eps""),0)"),0)</f>
        <v>0</v>
      </c>
      <c r="AJ1091" s="1"/>
      <c r="AK1091" s="1" t="s">
        <v>3316</v>
      </c>
      <c r="AL1091" s="9">
        <f t="shared" si="162"/>
        <v>1</v>
      </c>
    </row>
    <row r="1092" spans="1:38" ht="15" x14ac:dyDescent="0.25">
      <c r="A1092" s="1" t="s">
        <v>3317</v>
      </c>
      <c r="B1092" s="1" t="s">
        <v>3318</v>
      </c>
      <c r="C1092" s="1" t="s">
        <v>706</v>
      </c>
      <c r="D1092" s="1" t="s">
        <v>706</v>
      </c>
      <c r="E1092" s="6">
        <v>14.03</v>
      </c>
      <c r="F1092" s="1" t="s">
        <v>40</v>
      </c>
      <c r="G1092" s="6">
        <f ca="1">IFERROR(__xludf.DUMMYFUNCTION("iferror(GOOGLEFINANCE(TRIM(F1092)&amp;"":"" &amp; TRIM(B1092), ""price""),0
)"),13.17)</f>
        <v>13.17</v>
      </c>
      <c r="H1092" s="6">
        <v>16.03</v>
      </c>
      <c r="I1092" s="6">
        <f t="shared" ca="1" si="0"/>
        <v>13.17</v>
      </c>
      <c r="J1092" s="6">
        <f ca="1">IFERROR(__xludf.DUMMYFUNCTION("IFERROR(GOOGLEFINANCE(B1092, ""volume""), 0)"),19)</f>
        <v>19</v>
      </c>
      <c r="K1092" s="6">
        <v>0</v>
      </c>
      <c r="L1092" s="6">
        <f ca="1">IFERROR(__xludf.DUMMYFUNCTION("IFERROR(GOOGLEFINANCE(B1092,""changepct""),K1092)"),-0.23)</f>
        <v>-0.23</v>
      </c>
      <c r="M1092" s="6">
        <f ca="1">IFERROR(__xludf.DUMMYFUNCTION("IFERROR(GOOGLEFINANCE(B1092,""change""),0)"),-0.03)</f>
        <v>-0.03</v>
      </c>
      <c r="N1092" s="6">
        <v>1</v>
      </c>
      <c r="O1092" s="7">
        <v>45536</v>
      </c>
      <c r="P1092" s="6">
        <v>38</v>
      </c>
      <c r="Q1092" s="6">
        <v>52.03</v>
      </c>
      <c r="R1092" s="7">
        <v>45536</v>
      </c>
      <c r="S1092" s="6">
        <v>1.28</v>
      </c>
      <c r="T1092" s="6">
        <v>-5.55</v>
      </c>
      <c r="U1092" s="7">
        <v>45536</v>
      </c>
      <c r="V1092" s="6">
        <v>0</v>
      </c>
      <c r="W1092" s="6">
        <f ca="1">IFERROR(__xludf.DUMMYFUNCTION("IFERROR(GOOGLEFINANCE(B1092,""pe""),V1092)"),5.56)</f>
        <v>5.56</v>
      </c>
      <c r="X1092" s="6">
        <v>0</v>
      </c>
      <c r="Y1092" s="6">
        <v>-0.47</v>
      </c>
      <c r="Z1092" s="6">
        <v>1</v>
      </c>
      <c r="AA1092" s="8">
        <v>45352</v>
      </c>
      <c r="AB1092" s="4">
        <v>-1.4</v>
      </c>
      <c r="AC1092" s="6">
        <v>0</v>
      </c>
      <c r="AD1092" s="6">
        <v>-29.69</v>
      </c>
      <c r="AE1092" s="1">
        <v>0</v>
      </c>
      <c r="AF1092" s="1">
        <f ca="1">IFERROR(__xludf.DUMMYFUNCTION("IFERROR(GOOGLEFINANCE(TRIM(F1092)&amp;"":"" &amp; TRIM(B1092),""high52""),AE1092)"),23.58)</f>
        <v>23.58</v>
      </c>
      <c r="AG1092" s="1">
        <v>0</v>
      </c>
      <c r="AH1092" s="1">
        <f ca="1">IFERROR(__xludf.DUMMYFUNCTION("IFERROR(GOOGLEFINANCE(TRIM(F1092)&amp;"":"" &amp; TRIM(B1092),""low52""),AE1092)"),11.68)</f>
        <v>11.68</v>
      </c>
      <c r="AI1092" s="1">
        <f ca="1">IFERROR(__xludf.DUMMYFUNCTION("IFERROR(GOOGLEFINANCE(B1092,""eps""),0)"),2.37)</f>
        <v>2.37</v>
      </c>
      <c r="AJ1092" s="1"/>
      <c r="AK1092" s="1" t="s">
        <v>3319</v>
      </c>
      <c r="AL1092" s="9">
        <f t="shared" si="162"/>
        <v>1</v>
      </c>
    </row>
    <row r="1093" spans="1:38" ht="15" x14ac:dyDescent="0.25">
      <c r="A1093" s="1" t="s">
        <v>3320</v>
      </c>
      <c r="B1093" s="1" t="s">
        <v>3321</v>
      </c>
      <c r="C1093" s="1" t="s">
        <v>584</v>
      </c>
      <c r="D1093" s="1" t="s">
        <v>584</v>
      </c>
      <c r="E1093" s="6">
        <v>75.2</v>
      </c>
      <c r="F1093" s="1" t="s">
        <v>53</v>
      </c>
      <c r="G1093" s="6">
        <f ca="1">IFERROR(__xludf.DUMMYFUNCTION("iferror(GOOGLEFINANCE(TRIM(F1093)&amp;"":"" &amp; TRIM(B1093), ""price""),0
)"),0)</f>
        <v>0</v>
      </c>
      <c r="H1093" s="6">
        <v>145.94999999999999</v>
      </c>
      <c r="I1093" s="6">
        <f t="shared" ca="1" si="0"/>
        <v>145.94999999999999</v>
      </c>
      <c r="J1093" s="6">
        <f ca="1">IFERROR(__xludf.DUMMYFUNCTION("IFERROR(GOOGLEFINANCE(B1093, ""volume""), 0)"),0)</f>
        <v>0</v>
      </c>
      <c r="K1093" s="9"/>
      <c r="L1093" s="6" t="str">
        <f ca="1">IFERROR(__xludf.DUMMYFUNCTION("IFERROR(GOOGLEFINANCE(B1093,""changepct""),K1093)"),"")</f>
        <v/>
      </c>
      <c r="M1093" s="6">
        <f ca="1">IFERROR(__xludf.DUMMYFUNCTION("IFERROR(GOOGLEFINANCE(B1093,""change""),0)"),0)</f>
        <v>0</v>
      </c>
      <c r="N1093" s="6">
        <v>1</v>
      </c>
      <c r="O1093" s="7">
        <v>45536</v>
      </c>
      <c r="P1093" s="9"/>
      <c r="Q1093" s="6">
        <v>75.2</v>
      </c>
      <c r="R1093" s="7">
        <v>45536</v>
      </c>
      <c r="S1093" s="6">
        <v>0.34</v>
      </c>
      <c r="T1093" s="6">
        <v>-0.12</v>
      </c>
      <c r="U1093" s="7">
        <v>45536</v>
      </c>
      <c r="V1093" s="6">
        <v>0</v>
      </c>
      <c r="W1093" s="6">
        <f ca="1">IFERROR(__xludf.DUMMYFUNCTION("IFERROR(GOOGLEFINANCE(B1093,""pe""),V1093)"),0)</f>
        <v>0</v>
      </c>
      <c r="X1093" s="6">
        <v>0</v>
      </c>
      <c r="Y1093" s="6">
        <v>4.96</v>
      </c>
      <c r="Z1093" s="6">
        <v>1</v>
      </c>
      <c r="AA1093" s="8">
        <v>45352</v>
      </c>
      <c r="AB1093" s="4">
        <v>0</v>
      </c>
      <c r="AC1093" s="6">
        <v>5</v>
      </c>
      <c r="AD1093" s="6">
        <v>6.07</v>
      </c>
      <c r="AE1093" s="1">
        <v>0</v>
      </c>
      <c r="AF1093" s="1">
        <f ca="1">IFERROR(__xludf.DUMMYFUNCTION("IFERROR(GOOGLEFINANCE(TRIM(F1093)&amp;"":"" &amp; TRIM(B1093),""high52""),AE1093)"),0)</f>
        <v>0</v>
      </c>
      <c r="AG1093" s="1">
        <v>0</v>
      </c>
      <c r="AH1093" s="1">
        <f ca="1">IFERROR(__xludf.DUMMYFUNCTION("IFERROR(GOOGLEFINANCE(TRIM(F1093)&amp;"":"" &amp; TRIM(B1093),""low52""),AE1093)"),0)</f>
        <v>0</v>
      </c>
      <c r="AI1093" s="1">
        <f ca="1">IFERROR(__xludf.DUMMYFUNCTION("IFERROR(GOOGLEFINANCE(B1093,""eps""),0)"),0)</f>
        <v>0</v>
      </c>
      <c r="AJ1093" s="1"/>
      <c r="AK1093" s="1" t="s">
        <v>3322</v>
      </c>
      <c r="AL1093" s="9">
        <f t="shared" si="162"/>
        <v>1</v>
      </c>
    </row>
    <row r="1094" spans="1:38" ht="15" x14ac:dyDescent="0.25">
      <c r="A1094" s="1" t="s">
        <v>3323</v>
      </c>
      <c r="B1094" s="1" t="s">
        <v>3324</v>
      </c>
      <c r="C1094" s="1" t="s">
        <v>679</v>
      </c>
      <c r="D1094" s="1" t="s">
        <v>679</v>
      </c>
      <c r="E1094" s="6">
        <v>2823.17</v>
      </c>
      <c r="F1094" s="1" t="s">
        <v>40</v>
      </c>
      <c r="G1094" s="6">
        <f ca="1">IFERROR(__xludf.DUMMYFUNCTION("iferror(GOOGLEFINANCE(TRIM(F1094)&amp;"":"" &amp; TRIM(B1094), ""price""),0
)"),318.95)</f>
        <v>318.95</v>
      </c>
      <c r="H1094" s="6">
        <v>393.45</v>
      </c>
      <c r="I1094" s="6">
        <f t="shared" ca="1" si="0"/>
        <v>318.95</v>
      </c>
      <c r="J1094" s="6">
        <f ca="1">IFERROR(__xludf.DUMMYFUNCTION("IFERROR(GOOGLEFINANCE(B1094, ""volume""), 0)"),41141)</f>
        <v>41141</v>
      </c>
      <c r="K1094" s="6">
        <v>1.17</v>
      </c>
      <c r="L1094" s="6">
        <f ca="1">IFERROR(__xludf.DUMMYFUNCTION("IFERROR(GOOGLEFINANCE(B1094,""changepct""),K1094)"),-0.47)</f>
        <v>-0.47</v>
      </c>
      <c r="M1094" s="6">
        <f ca="1">IFERROR(__xludf.DUMMYFUNCTION("IFERROR(GOOGLEFINANCE(B1094,""change""),0)"),-1.5)</f>
        <v>-1.5</v>
      </c>
      <c r="N1094" s="6">
        <v>2</v>
      </c>
      <c r="O1094" s="7">
        <v>45536</v>
      </c>
      <c r="P1094" s="6">
        <v>262.05</v>
      </c>
      <c r="Q1094" s="6">
        <v>3073.7</v>
      </c>
      <c r="R1094" s="7">
        <v>45536</v>
      </c>
      <c r="S1094" s="6">
        <v>1297.79</v>
      </c>
      <c r="T1094" s="6">
        <v>75.38</v>
      </c>
      <c r="U1094" s="7">
        <v>45536</v>
      </c>
      <c r="V1094" s="6">
        <v>37.450000000000003</v>
      </c>
      <c r="W1094" s="6">
        <f ca="1">IFERROR(__xludf.DUMMYFUNCTION("IFERROR(GOOGLEFINANCE(B1094,""pe""),V1094)"),50.6)</f>
        <v>50.6</v>
      </c>
      <c r="X1094" s="6">
        <v>468.16</v>
      </c>
      <c r="Y1094" s="6">
        <v>6.45</v>
      </c>
      <c r="Z1094" s="6">
        <v>2</v>
      </c>
      <c r="AA1094" s="8">
        <v>45352</v>
      </c>
      <c r="AB1094" s="4">
        <v>0.74</v>
      </c>
      <c r="AC1094" s="6">
        <v>18.91</v>
      </c>
      <c r="AD1094" s="6">
        <v>16.55</v>
      </c>
      <c r="AE1094" s="1">
        <v>0</v>
      </c>
      <c r="AF1094" s="1">
        <f ca="1">IFERROR(__xludf.DUMMYFUNCTION("IFERROR(GOOGLEFINANCE(TRIM(F1094)&amp;"":"" &amp; TRIM(B1094),""high52""),AE1094)"),475.2)</f>
        <v>475.2</v>
      </c>
      <c r="AG1094" s="1">
        <v>0</v>
      </c>
      <c r="AH1094" s="1">
        <f ca="1">IFERROR(__xludf.DUMMYFUNCTION("IFERROR(GOOGLEFINANCE(TRIM(F1094)&amp;"":"" &amp; TRIM(B1094),""low52""),AE1094)"),272.3)</f>
        <v>272.3</v>
      </c>
      <c r="AI1094" s="1">
        <f ca="1">IFERROR(__xludf.DUMMYFUNCTION("IFERROR(GOOGLEFINANCE(B1094,""eps""),0)"),6.3)</f>
        <v>6.3</v>
      </c>
      <c r="AJ1094" s="1"/>
      <c r="AK1094" s="9"/>
      <c r="AL1094" s="1" t="b">
        <f>ISBLANK(AB1094)</f>
        <v>0</v>
      </c>
    </row>
    <row r="1095" spans="1:38" ht="15" x14ac:dyDescent="0.25">
      <c r="A1095" s="1" t="s">
        <v>3325</v>
      </c>
      <c r="B1095" s="1" t="s">
        <v>3326</v>
      </c>
      <c r="C1095" s="1" t="s">
        <v>584</v>
      </c>
      <c r="D1095" s="1" t="s">
        <v>584</v>
      </c>
      <c r="E1095" s="6">
        <v>113.61</v>
      </c>
      <c r="F1095" s="1" t="s">
        <v>53</v>
      </c>
      <c r="G1095" s="6">
        <f ca="1">IFERROR(__xludf.DUMMYFUNCTION("iferror(GOOGLEFINANCE(TRIM(F1095)&amp;"":"" &amp; TRIM(B1095), ""price""),0
)"),0)</f>
        <v>0</v>
      </c>
      <c r="H1095" s="6">
        <v>53.65</v>
      </c>
      <c r="I1095" s="6">
        <f t="shared" ca="1" si="0"/>
        <v>53.65</v>
      </c>
      <c r="J1095" s="6">
        <f ca="1">IFERROR(__xludf.DUMMYFUNCTION("IFERROR(GOOGLEFINANCE(B1095, ""volume""), 0)"),18246)</f>
        <v>18246</v>
      </c>
      <c r="K1095" s="6">
        <v>-0.98</v>
      </c>
      <c r="L1095" s="6">
        <f ca="1">IFERROR(__xludf.DUMMYFUNCTION("IFERROR(GOOGLEFINANCE(B1095,""changepct""),K1095)"),-1.82)</f>
        <v>-1.82</v>
      </c>
      <c r="M1095" s="6">
        <f ca="1">IFERROR(__xludf.DUMMYFUNCTION("IFERROR(GOOGLEFINANCE(B1095,""change""),0)"),-1.12)</f>
        <v>-1.1200000000000001</v>
      </c>
      <c r="N1095" s="6">
        <v>1</v>
      </c>
      <c r="O1095" s="7">
        <v>45536</v>
      </c>
      <c r="P1095" s="6">
        <v>68.260000000000005</v>
      </c>
      <c r="Q1095" s="6">
        <v>181.87</v>
      </c>
      <c r="R1095" s="7">
        <v>45536</v>
      </c>
      <c r="S1095" s="6">
        <v>104.64</v>
      </c>
      <c r="T1095" s="6">
        <v>4.41</v>
      </c>
      <c r="U1095" s="7">
        <v>45536</v>
      </c>
      <c r="V1095" s="6">
        <v>25.77</v>
      </c>
      <c r="W1095" s="6">
        <f ca="1">IFERROR(__xludf.DUMMYFUNCTION("IFERROR(GOOGLEFINANCE(B1095,""pe""),V1095)"),25.77)</f>
        <v>25.77</v>
      </c>
      <c r="X1095" s="6">
        <v>-0.52</v>
      </c>
      <c r="Y1095" s="6">
        <v>1.0900000000000001</v>
      </c>
      <c r="Z1095" s="6">
        <v>1</v>
      </c>
      <c r="AA1095" s="8">
        <v>45352</v>
      </c>
      <c r="AB1095" s="4">
        <v>0.57999999999999996</v>
      </c>
      <c r="AC1095" s="6">
        <v>0.12</v>
      </c>
      <c r="AD1095" s="6">
        <v>2.27</v>
      </c>
      <c r="AE1095" s="1">
        <v>0</v>
      </c>
      <c r="AF1095" s="1">
        <f ca="1">IFERROR(__xludf.DUMMYFUNCTION("IFERROR(GOOGLEFINANCE(TRIM(F1095)&amp;"":"" &amp; TRIM(B1095),""high52""),AE1095)"),0)</f>
        <v>0</v>
      </c>
      <c r="AG1095" s="1">
        <v>0</v>
      </c>
      <c r="AH1095" s="1">
        <f ca="1">IFERROR(__xludf.DUMMYFUNCTION("IFERROR(GOOGLEFINANCE(TRIM(F1095)&amp;"":"" &amp; TRIM(B1095),""low52""),AE1095)"),0)</f>
        <v>0</v>
      </c>
      <c r="AI1095" s="1">
        <f ca="1">IFERROR(__xludf.DUMMYFUNCTION("IFERROR(GOOGLEFINANCE(B1095,""eps""),0)"),-2.08)</f>
        <v>-2.08</v>
      </c>
      <c r="AJ1095" s="1"/>
      <c r="AK1095" s="1" t="s">
        <v>3327</v>
      </c>
      <c r="AL1095" s="9">
        <f>IF(AA1095&lt;&gt;AB1095,1,0)</f>
        <v>1</v>
      </c>
    </row>
    <row r="1096" spans="1:38" ht="15" x14ac:dyDescent="0.25">
      <c r="A1096" s="1" t="s">
        <v>3328</v>
      </c>
      <c r="B1096" s="1" t="s">
        <v>3329</v>
      </c>
      <c r="C1096" s="1" t="s">
        <v>239</v>
      </c>
      <c r="D1096" s="1" t="s">
        <v>239</v>
      </c>
      <c r="E1096" s="6">
        <v>1256.49</v>
      </c>
      <c r="F1096" s="1" t="s">
        <v>40</v>
      </c>
      <c r="G1096" s="6">
        <f ca="1">IFERROR(__xludf.DUMMYFUNCTION("iferror(GOOGLEFINANCE(TRIM(F1096)&amp;"":"" &amp; TRIM(B1096), ""price""),0
)"),410)</f>
        <v>410</v>
      </c>
      <c r="H1096" s="6">
        <v>811.35</v>
      </c>
      <c r="I1096" s="6">
        <f t="shared" ca="1" si="0"/>
        <v>410</v>
      </c>
      <c r="J1096" s="6">
        <f ca="1">IFERROR(__xludf.DUMMYFUNCTION("IFERROR(GOOGLEFINANCE(B1096, ""volume""), 0)"),2094)</f>
        <v>2094</v>
      </c>
      <c r="K1096" s="6">
        <v>2.0099999999999998</v>
      </c>
      <c r="L1096" s="6">
        <f ca="1">IFERROR(__xludf.DUMMYFUNCTION("IFERROR(GOOGLEFINANCE(B1096,""changepct""),K1096)"),-0.32)</f>
        <v>-0.32</v>
      </c>
      <c r="M1096" s="6">
        <f ca="1">IFERROR(__xludf.DUMMYFUNCTION("IFERROR(GOOGLEFINANCE(B1096,""change""),0)"),-1.3)</f>
        <v>-1.3</v>
      </c>
      <c r="N1096" s="6">
        <v>2</v>
      </c>
      <c r="O1096" s="7">
        <v>45536</v>
      </c>
      <c r="P1096" s="6">
        <v>198.08</v>
      </c>
      <c r="Q1096" s="6">
        <v>1434.29</v>
      </c>
      <c r="R1096" s="7">
        <v>45536</v>
      </c>
      <c r="S1096" s="6">
        <v>1682.86</v>
      </c>
      <c r="T1096" s="6">
        <v>10.48</v>
      </c>
      <c r="U1096" s="7">
        <v>45536</v>
      </c>
      <c r="V1096" s="6">
        <v>119.86</v>
      </c>
      <c r="W1096" s="6">
        <f ca="1">IFERROR(__xludf.DUMMYFUNCTION("IFERROR(GOOGLEFINANCE(B1096,""pe""),V1096)"),119.86)</f>
        <v>119.86</v>
      </c>
      <c r="X1096" s="6">
        <v>-4.2</v>
      </c>
      <c r="Y1096" s="6">
        <v>2.09</v>
      </c>
      <c r="Z1096" s="6">
        <v>2</v>
      </c>
      <c r="AA1096" s="8">
        <v>45352</v>
      </c>
      <c r="AB1096" s="4">
        <v>0.08</v>
      </c>
      <c r="AC1096" s="6">
        <v>3.08</v>
      </c>
      <c r="AD1096" s="6">
        <v>5.27</v>
      </c>
      <c r="AE1096" s="1">
        <v>0</v>
      </c>
      <c r="AF1096" s="1">
        <f ca="1">IFERROR(__xludf.DUMMYFUNCTION("IFERROR(GOOGLEFINANCE(TRIM(F1096)&amp;"":"" &amp; TRIM(B1096),""high52""),AE1096)"),750)</f>
        <v>750</v>
      </c>
      <c r="AG1096" s="1">
        <v>0</v>
      </c>
      <c r="AH1096" s="1">
        <f ca="1">IFERROR(__xludf.DUMMYFUNCTION("IFERROR(GOOGLEFINANCE(TRIM(F1096)&amp;"":"" &amp; TRIM(B1096),""low52""),AE1096)"),400)</f>
        <v>400</v>
      </c>
      <c r="AI1096" s="1">
        <f ca="1">IFERROR(__xludf.DUMMYFUNCTION("IFERROR(GOOGLEFINANCE(B1096,""eps""),0)"),-15.39)</f>
        <v>-15.39</v>
      </c>
      <c r="AJ1096" s="1"/>
      <c r="AK1096" s="1" t="s">
        <v>3330</v>
      </c>
      <c r="AL1096" s="1" t="b">
        <f>ISNUMBER(AA1096)</f>
        <v>1</v>
      </c>
    </row>
    <row r="1097" spans="1:38" ht="15" x14ac:dyDescent="0.25">
      <c r="A1097" s="1" t="s">
        <v>3331</v>
      </c>
      <c r="B1097" s="1" t="s">
        <v>3332</v>
      </c>
      <c r="C1097" s="1" t="s">
        <v>584</v>
      </c>
      <c r="D1097" s="1" t="s">
        <v>584</v>
      </c>
      <c r="E1097" s="6">
        <v>18.079999999999998</v>
      </c>
      <c r="F1097" s="1" t="s">
        <v>53</v>
      </c>
      <c r="G1097" s="6">
        <f ca="1">IFERROR(__xludf.DUMMYFUNCTION("iferror(GOOGLEFINANCE(TRIM(F1097)&amp;"":"" &amp; TRIM(B1097), ""price""),0
)"),0)</f>
        <v>0</v>
      </c>
      <c r="H1097" s="6">
        <v>18.13</v>
      </c>
      <c r="I1097" s="6">
        <f t="shared" ca="1" si="0"/>
        <v>18.13</v>
      </c>
      <c r="J1097" s="6">
        <f ca="1">IFERROR(__xludf.DUMMYFUNCTION("IFERROR(GOOGLEFINANCE(B1097, ""volume""), 0)"),0)</f>
        <v>0</v>
      </c>
      <c r="K1097" s="9"/>
      <c r="L1097" s="6" t="str">
        <f ca="1">IFERROR(__xludf.DUMMYFUNCTION("IFERROR(GOOGLEFINANCE(B1097,""changepct""),K1097)"),"")</f>
        <v/>
      </c>
      <c r="M1097" s="6">
        <f ca="1">IFERROR(__xludf.DUMMYFUNCTION("IFERROR(GOOGLEFINANCE(B1097,""change""),0)"),0)</f>
        <v>0</v>
      </c>
      <c r="N1097" s="6">
        <v>1</v>
      </c>
      <c r="O1097" s="7">
        <v>45536</v>
      </c>
      <c r="P1097" s="6">
        <v>10.220000000000001</v>
      </c>
      <c r="Q1097" s="6">
        <v>28.3</v>
      </c>
      <c r="R1097" s="7">
        <v>45536</v>
      </c>
      <c r="S1097" s="6">
        <v>34.36</v>
      </c>
      <c r="T1097" s="6">
        <v>-0.45</v>
      </c>
      <c r="U1097" s="7">
        <v>45536</v>
      </c>
      <c r="V1097" s="6">
        <v>0</v>
      </c>
      <c r="W1097" s="6">
        <f ca="1">IFERROR(__xludf.DUMMYFUNCTION("IFERROR(GOOGLEFINANCE(B1097,""pe""),V1097)"),0)</f>
        <v>0</v>
      </c>
      <c r="X1097" s="6">
        <v>0</v>
      </c>
      <c r="Y1097" s="6">
        <v>5.76</v>
      </c>
      <c r="Z1097" s="6">
        <v>1</v>
      </c>
      <c r="AA1097" s="8">
        <v>45352</v>
      </c>
      <c r="AB1097" s="4">
        <v>-16.04</v>
      </c>
      <c r="AC1097" s="6">
        <v>0</v>
      </c>
      <c r="AD1097" s="6">
        <v>8.8699999999999992</v>
      </c>
      <c r="AE1097" s="1">
        <v>0</v>
      </c>
      <c r="AF1097" s="1">
        <f ca="1">IFERROR(__xludf.DUMMYFUNCTION("IFERROR(GOOGLEFINANCE(TRIM(F1097)&amp;"":"" &amp; TRIM(B1097),""high52""),AE1097)"),0)</f>
        <v>0</v>
      </c>
      <c r="AG1097" s="1">
        <v>0</v>
      </c>
      <c r="AH1097" s="1">
        <f ca="1">IFERROR(__xludf.DUMMYFUNCTION("IFERROR(GOOGLEFINANCE(TRIM(F1097)&amp;"":"" &amp; TRIM(B1097),""low52""),AE1097)"),0)</f>
        <v>0</v>
      </c>
      <c r="AI1097" s="1">
        <f ca="1">IFERROR(__xludf.DUMMYFUNCTION("IFERROR(GOOGLEFINANCE(B1097,""eps""),0)"),0)</f>
        <v>0</v>
      </c>
      <c r="AJ1097" s="1"/>
      <c r="AK1097" s="1" t="s">
        <v>3333</v>
      </c>
      <c r="AL1097" s="9">
        <f t="shared" ref="AL1097:AL1106" si="163">IF(AA1097&lt;&gt;AB1097,1,0)</f>
        <v>1</v>
      </c>
    </row>
    <row r="1098" spans="1:38" ht="15" x14ac:dyDescent="0.25">
      <c r="A1098" s="1" t="s">
        <v>3334</v>
      </c>
      <c r="B1098" s="1" t="s">
        <v>3335</v>
      </c>
      <c r="C1098" s="1" t="s">
        <v>416</v>
      </c>
      <c r="D1098" s="1" t="s">
        <v>416</v>
      </c>
      <c r="E1098" s="6">
        <v>2132.5100000000002</v>
      </c>
      <c r="F1098" s="1" t="s">
        <v>40</v>
      </c>
      <c r="G1098" s="6">
        <f ca="1">IFERROR(__xludf.DUMMYFUNCTION("iferror(GOOGLEFINANCE(TRIM(F1098)&amp;"":"" &amp; TRIM(B1098), ""price""),0
)"),106.15)</f>
        <v>106.15</v>
      </c>
      <c r="H1098" s="6">
        <v>193.23</v>
      </c>
      <c r="I1098" s="6">
        <f t="shared" ca="1" si="0"/>
        <v>106.15</v>
      </c>
      <c r="J1098" s="6">
        <f ca="1">IFERROR(__xludf.DUMMYFUNCTION("IFERROR(GOOGLEFINANCE(B1098, ""volume""), 0)"),396435)</f>
        <v>396435</v>
      </c>
      <c r="K1098" s="6">
        <v>1.91</v>
      </c>
      <c r="L1098" s="6">
        <f ca="1">IFERROR(__xludf.DUMMYFUNCTION("IFERROR(GOOGLEFINANCE(B1098,""changepct""),K1098)"),-0.12)</f>
        <v>-0.12</v>
      </c>
      <c r="M1098" s="6">
        <f ca="1">IFERROR(__xludf.DUMMYFUNCTION("IFERROR(GOOGLEFINANCE(B1098,""change""),0)"),-0.13)</f>
        <v>-0.13</v>
      </c>
      <c r="N1098" s="6">
        <v>2</v>
      </c>
      <c r="O1098" s="7">
        <v>45536</v>
      </c>
      <c r="P1098" s="6">
        <v>140.4</v>
      </c>
      <c r="Q1098" s="6">
        <v>2199.62</v>
      </c>
      <c r="R1098" s="7">
        <v>45536</v>
      </c>
      <c r="S1098" s="6">
        <v>1365.38</v>
      </c>
      <c r="T1098" s="6">
        <v>116.1</v>
      </c>
      <c r="U1098" s="7">
        <v>45536</v>
      </c>
      <c r="V1098" s="6">
        <v>18.12</v>
      </c>
      <c r="W1098" s="6">
        <f ca="1">IFERROR(__xludf.DUMMYFUNCTION("IFERROR(GOOGLEFINANCE(B1098,""pe""),V1098)"),12.31)</f>
        <v>12.31</v>
      </c>
      <c r="X1098" s="6">
        <v>9.9600000000000009</v>
      </c>
      <c r="Y1098" s="6">
        <v>1.83</v>
      </c>
      <c r="Z1098" s="6">
        <v>2</v>
      </c>
      <c r="AA1098" s="8">
        <v>45352</v>
      </c>
      <c r="AB1098" s="4">
        <v>0.04</v>
      </c>
      <c r="AC1098" s="6">
        <v>9.3000000000000007</v>
      </c>
      <c r="AD1098" s="6">
        <v>11.47</v>
      </c>
      <c r="AE1098" s="1">
        <v>0</v>
      </c>
      <c r="AF1098" s="1">
        <f ca="1">IFERROR(__xludf.DUMMYFUNCTION("IFERROR(GOOGLEFINANCE(TRIM(F1098)&amp;"":"" &amp; TRIM(B1098),""high52""),AE1098)"),166.6)</f>
        <v>166.6</v>
      </c>
      <c r="AG1098" s="1">
        <v>0</v>
      </c>
      <c r="AH1098" s="1">
        <f ca="1">IFERROR(__xludf.DUMMYFUNCTION("IFERROR(GOOGLEFINANCE(TRIM(F1098)&amp;"":"" &amp; TRIM(B1098),""low52""),AE1098)"),100.11)</f>
        <v>100.11</v>
      </c>
      <c r="AI1098" s="1">
        <f ca="1">IFERROR(__xludf.DUMMYFUNCTION("IFERROR(GOOGLEFINANCE(B1098,""eps""),0)"),8.62)</f>
        <v>8.6199999999999992</v>
      </c>
      <c r="AJ1098" s="1"/>
      <c r="AK1098" s="1" t="s">
        <v>3336</v>
      </c>
      <c r="AL1098" s="9">
        <f t="shared" si="163"/>
        <v>1</v>
      </c>
    </row>
    <row r="1099" spans="1:38" ht="15" x14ac:dyDescent="0.25">
      <c r="A1099" s="1" t="s">
        <v>3337</v>
      </c>
      <c r="B1099" s="1" t="s">
        <v>3338</v>
      </c>
      <c r="C1099" s="1" t="s">
        <v>584</v>
      </c>
      <c r="D1099" s="1" t="s">
        <v>584</v>
      </c>
      <c r="E1099" s="6">
        <v>13.31</v>
      </c>
      <c r="F1099" s="1" t="s">
        <v>53</v>
      </c>
      <c r="G1099" s="6">
        <f ca="1">IFERROR(__xludf.DUMMYFUNCTION("iferror(GOOGLEFINANCE(TRIM(F1099)&amp;"":"" &amp; TRIM(B1099), ""price""),0
)"),0)</f>
        <v>0</v>
      </c>
      <c r="H1099" s="6">
        <v>25.08</v>
      </c>
      <c r="I1099" s="6">
        <f t="shared" ca="1" si="0"/>
        <v>25.08</v>
      </c>
      <c r="J1099" s="6">
        <f ca="1">IFERROR(__xludf.DUMMYFUNCTION("IFERROR(GOOGLEFINANCE(B1099, ""volume""), 0)"),0)</f>
        <v>0</v>
      </c>
      <c r="K1099" s="6">
        <v>4.9800000000000004</v>
      </c>
      <c r="L1099" s="6">
        <f ca="1">IFERROR(__xludf.DUMMYFUNCTION("IFERROR(GOOGLEFINANCE(B1099,""changepct""),K1099)"),4.98)</f>
        <v>4.9800000000000004</v>
      </c>
      <c r="M1099" s="6">
        <f ca="1">IFERROR(__xludf.DUMMYFUNCTION("IFERROR(GOOGLEFINANCE(B1099,""change""),0)"),0)</f>
        <v>0</v>
      </c>
      <c r="N1099" s="6">
        <v>1</v>
      </c>
      <c r="O1099" s="7">
        <v>45536</v>
      </c>
      <c r="P1099" s="6">
        <v>3.49</v>
      </c>
      <c r="Q1099" s="6">
        <v>16.79</v>
      </c>
      <c r="R1099" s="7">
        <v>45536</v>
      </c>
      <c r="S1099" s="6">
        <v>10.65</v>
      </c>
      <c r="T1099" s="6">
        <v>-0.17</v>
      </c>
      <c r="U1099" s="7">
        <v>45536</v>
      </c>
      <c r="V1099" s="6">
        <v>0</v>
      </c>
      <c r="W1099" s="6">
        <f ca="1">IFERROR(__xludf.DUMMYFUNCTION("IFERROR(GOOGLEFINANCE(B1099,""pe""),V1099)"),0)</f>
        <v>0</v>
      </c>
      <c r="X1099" s="6">
        <v>0</v>
      </c>
      <c r="Y1099" s="6">
        <v>3.86</v>
      </c>
      <c r="Z1099" s="6">
        <v>1</v>
      </c>
      <c r="AA1099" s="8">
        <v>45352</v>
      </c>
      <c r="AB1099" s="4">
        <v>0.95</v>
      </c>
      <c r="AC1099" s="6">
        <v>1.47</v>
      </c>
      <c r="AD1099" s="6">
        <v>6.17</v>
      </c>
      <c r="AE1099" s="1">
        <v>0</v>
      </c>
      <c r="AF1099" s="1">
        <f ca="1">IFERROR(__xludf.DUMMYFUNCTION("IFERROR(GOOGLEFINANCE(TRIM(F1099)&amp;"":"" &amp; TRIM(B1099),""high52""),AE1099)"),0)</f>
        <v>0</v>
      </c>
      <c r="AG1099" s="1">
        <v>0</v>
      </c>
      <c r="AH1099" s="1">
        <f ca="1">IFERROR(__xludf.DUMMYFUNCTION("IFERROR(GOOGLEFINANCE(TRIM(F1099)&amp;"":"" &amp; TRIM(B1099),""low52""),AE1099)"),0)</f>
        <v>0</v>
      </c>
      <c r="AI1099" s="1">
        <f ca="1">IFERROR(__xludf.DUMMYFUNCTION("IFERROR(GOOGLEFINANCE(B1099,""eps""),0)"),0)</f>
        <v>0</v>
      </c>
      <c r="AJ1099" s="1"/>
      <c r="AK1099" s="9"/>
      <c r="AL1099" s="9">
        <f t="shared" si="163"/>
        <v>1</v>
      </c>
    </row>
    <row r="1100" spans="1:38" ht="15" x14ac:dyDescent="0.25">
      <c r="A1100" s="1" t="s">
        <v>3339</v>
      </c>
      <c r="B1100" s="1" t="s">
        <v>3340</v>
      </c>
      <c r="C1100" s="1" t="s">
        <v>697</v>
      </c>
      <c r="D1100" s="1" t="s">
        <v>697</v>
      </c>
      <c r="E1100" s="6">
        <v>1693.84</v>
      </c>
      <c r="F1100" s="1" t="s">
        <v>40</v>
      </c>
      <c r="G1100" s="6">
        <f ca="1">IFERROR(__xludf.DUMMYFUNCTION("iferror(GOOGLEFINANCE(TRIM(F1100)&amp;"":"" &amp; TRIM(B1100), ""price""),0
)"),909.45)</f>
        <v>909.45</v>
      </c>
      <c r="H1100" s="6">
        <v>1342.05</v>
      </c>
      <c r="I1100" s="6">
        <f t="shared" ca="1" si="0"/>
        <v>909.45</v>
      </c>
      <c r="J1100" s="6">
        <f ca="1">IFERROR(__xludf.DUMMYFUNCTION("IFERROR(GOOGLEFINANCE(B1100, ""volume""), 0)"),15670)</f>
        <v>15670</v>
      </c>
      <c r="K1100" s="6">
        <v>-0.72</v>
      </c>
      <c r="L1100" s="6">
        <f ca="1">IFERROR(__xludf.DUMMYFUNCTION("IFERROR(GOOGLEFINANCE(B1100,""changepct""),K1100)"),-2.22)</f>
        <v>-2.2200000000000002</v>
      </c>
      <c r="M1100" s="6">
        <f ca="1">IFERROR(__xludf.DUMMYFUNCTION("IFERROR(GOOGLEFINANCE(B1100,""change""),0)"),-20.65)</f>
        <v>-20.65</v>
      </c>
      <c r="N1100" s="6">
        <v>2</v>
      </c>
      <c r="O1100" s="7">
        <v>45536</v>
      </c>
      <c r="P1100" s="6">
        <v>0.04</v>
      </c>
      <c r="Q1100" s="6">
        <v>1678.86</v>
      </c>
      <c r="R1100" s="7">
        <v>45536</v>
      </c>
      <c r="S1100" s="6">
        <v>947.63</v>
      </c>
      <c r="T1100" s="6">
        <v>77.150000000000006</v>
      </c>
      <c r="U1100" s="7">
        <v>45536</v>
      </c>
      <c r="V1100" s="6">
        <v>22.27</v>
      </c>
      <c r="W1100" s="6">
        <f ca="1">IFERROR(__xludf.DUMMYFUNCTION("IFERROR(GOOGLEFINANCE(B1100,""pe""),V1100)"),15.54)</f>
        <v>15.54</v>
      </c>
      <c r="X1100" s="6">
        <v>-0.63</v>
      </c>
      <c r="Y1100" s="6">
        <v>1.06</v>
      </c>
      <c r="Z1100" s="6">
        <v>2</v>
      </c>
      <c r="AA1100" s="8">
        <v>45352</v>
      </c>
      <c r="AB1100" s="4">
        <v>0</v>
      </c>
      <c r="AC1100" s="6">
        <v>1.27</v>
      </c>
      <c r="AD1100" s="6">
        <v>1.92</v>
      </c>
      <c r="AE1100" s="1">
        <v>0</v>
      </c>
      <c r="AF1100" s="1">
        <f ca="1">IFERROR(__xludf.DUMMYFUNCTION("IFERROR(GOOGLEFINANCE(TRIM(F1100)&amp;"":"" &amp; TRIM(B1100),""high52""),AE1100)"),1440)</f>
        <v>1440</v>
      </c>
      <c r="AG1100" s="1">
        <v>0</v>
      </c>
      <c r="AH1100" s="1">
        <f ca="1">IFERROR(__xludf.DUMMYFUNCTION("IFERROR(GOOGLEFINANCE(TRIM(F1100)&amp;"":"" &amp; TRIM(B1100),""low52""),AE1100)"),799.1)</f>
        <v>799.1</v>
      </c>
      <c r="AI1100" s="1">
        <f ca="1">IFERROR(__xludf.DUMMYFUNCTION("IFERROR(GOOGLEFINANCE(B1100,""eps""),0)"),58.51)</f>
        <v>58.51</v>
      </c>
      <c r="AJ1100" s="1"/>
      <c r="AK1100" s="1" t="s">
        <v>3341</v>
      </c>
      <c r="AL1100" s="9">
        <f t="shared" si="163"/>
        <v>1</v>
      </c>
    </row>
    <row r="1101" spans="1:38" ht="15" x14ac:dyDescent="0.25">
      <c r="A1101" s="1" t="s">
        <v>3342</v>
      </c>
      <c r="B1101" s="1" t="s">
        <v>3343</v>
      </c>
      <c r="C1101" s="1" t="s">
        <v>584</v>
      </c>
      <c r="D1101" s="1" t="s">
        <v>584</v>
      </c>
      <c r="E1101" s="6">
        <v>92.61</v>
      </c>
      <c r="F1101" s="1" t="s">
        <v>53</v>
      </c>
      <c r="G1101" s="6">
        <f ca="1">IFERROR(__xludf.DUMMYFUNCTION("iferror(GOOGLEFINANCE(TRIM(F1101)&amp;"":"" &amp; TRIM(B1101), ""price""),0
)"),0)</f>
        <v>0</v>
      </c>
      <c r="H1101" s="6">
        <v>13.06</v>
      </c>
      <c r="I1101" s="6">
        <f t="shared" ca="1" si="0"/>
        <v>13.06</v>
      </c>
      <c r="J1101" s="6">
        <f ca="1">IFERROR(__xludf.DUMMYFUNCTION("IFERROR(GOOGLEFINANCE(B1101, ""volume""), 0)"),0)</f>
        <v>0</v>
      </c>
      <c r="K1101" s="6">
        <v>-0.08</v>
      </c>
      <c r="L1101" s="6">
        <f ca="1">IFERROR(__xludf.DUMMYFUNCTION("IFERROR(GOOGLEFINANCE(B1101,""changepct""),K1101)"),-0.08)</f>
        <v>-0.08</v>
      </c>
      <c r="M1101" s="6">
        <f ca="1">IFERROR(__xludf.DUMMYFUNCTION("IFERROR(GOOGLEFINANCE(B1101,""change""),0)"),0)</f>
        <v>0</v>
      </c>
      <c r="N1101" s="6">
        <v>1</v>
      </c>
      <c r="O1101" s="7">
        <v>45536</v>
      </c>
      <c r="P1101" s="6">
        <v>7.74</v>
      </c>
      <c r="Q1101" s="6">
        <v>100.35</v>
      </c>
      <c r="R1101" s="7">
        <v>45536</v>
      </c>
      <c r="S1101" s="6">
        <v>0</v>
      </c>
      <c r="T1101" s="6">
        <v>-1.63</v>
      </c>
      <c r="U1101" s="7">
        <v>45536</v>
      </c>
      <c r="V1101" s="6">
        <v>0</v>
      </c>
      <c r="W1101" s="6">
        <f ca="1">IFERROR(__xludf.DUMMYFUNCTION("IFERROR(GOOGLEFINANCE(B1101,""pe""),V1101)"),0)</f>
        <v>0</v>
      </c>
      <c r="X1101" s="6">
        <v>0</v>
      </c>
      <c r="Y1101" s="6">
        <v>7.09</v>
      </c>
      <c r="Z1101" s="6">
        <v>1</v>
      </c>
      <c r="AA1101" s="8">
        <v>45352</v>
      </c>
      <c r="AB1101" s="4">
        <v>0.43</v>
      </c>
      <c r="AC1101" s="6">
        <v>-10.73</v>
      </c>
      <c r="AD1101" s="6">
        <v>-5.97</v>
      </c>
      <c r="AE1101" s="1">
        <v>0</v>
      </c>
      <c r="AF1101" s="1">
        <f ca="1">IFERROR(__xludf.DUMMYFUNCTION("IFERROR(GOOGLEFINANCE(TRIM(F1101)&amp;"":"" &amp; TRIM(B1101),""high52""),AE1101)"),0)</f>
        <v>0</v>
      </c>
      <c r="AG1101" s="1">
        <v>0</v>
      </c>
      <c r="AH1101" s="1">
        <f ca="1">IFERROR(__xludf.DUMMYFUNCTION("IFERROR(GOOGLEFINANCE(TRIM(F1101)&amp;"":"" &amp; TRIM(B1101),""low52""),AE1101)"),0)</f>
        <v>0</v>
      </c>
      <c r="AI1101" s="1">
        <f ca="1">IFERROR(__xludf.DUMMYFUNCTION("IFERROR(GOOGLEFINANCE(B1101,""eps""),0)"),0)</f>
        <v>0</v>
      </c>
      <c r="AJ1101" s="1"/>
      <c r="AK1101" s="1" t="s">
        <v>3344</v>
      </c>
      <c r="AL1101" s="9">
        <f t="shared" si="163"/>
        <v>1</v>
      </c>
    </row>
    <row r="1102" spans="1:38" ht="15" x14ac:dyDescent="0.25">
      <c r="A1102" s="1" t="s">
        <v>3345</v>
      </c>
      <c r="B1102" s="1" t="s">
        <v>3346</v>
      </c>
      <c r="C1102" s="1" t="s">
        <v>227</v>
      </c>
      <c r="D1102" s="1" t="s">
        <v>227</v>
      </c>
      <c r="E1102" s="6">
        <v>173.52</v>
      </c>
      <c r="F1102" s="1" t="s">
        <v>40</v>
      </c>
      <c r="G1102" s="6">
        <f ca="1">IFERROR(__xludf.DUMMYFUNCTION("iferror(GOOGLEFINANCE(TRIM(F1102)&amp;"":"" &amp; TRIM(B1102), ""price""),0
)"),1.23)</f>
        <v>1.23</v>
      </c>
      <c r="H1102" s="6">
        <v>1.1299999999999999</v>
      </c>
      <c r="I1102" s="6">
        <f t="shared" ca="1" si="0"/>
        <v>1.23</v>
      </c>
      <c r="J1102" s="6">
        <f ca="1">IFERROR(__xludf.DUMMYFUNCTION("IFERROR(GOOGLEFINANCE(B1102, ""volume""), 0)"),7909756)</f>
        <v>7909756</v>
      </c>
      <c r="K1102" s="6">
        <v>1.8</v>
      </c>
      <c r="L1102" s="6">
        <f ca="1">IFERROR(__xludf.DUMMYFUNCTION("IFERROR(GOOGLEFINANCE(B1102,""changepct""),K1102)"),-2.38)</f>
        <v>-2.38</v>
      </c>
      <c r="M1102" s="6">
        <f ca="1">IFERROR(__xludf.DUMMYFUNCTION("IFERROR(GOOGLEFINANCE(B1102,""change""),0)"),-0.03)</f>
        <v>-0.03</v>
      </c>
      <c r="N1102" s="6">
        <v>2</v>
      </c>
      <c r="O1102" s="7">
        <v>45536</v>
      </c>
      <c r="P1102" s="6">
        <v>0.01</v>
      </c>
      <c r="Q1102" s="6">
        <v>173.52</v>
      </c>
      <c r="R1102" s="7">
        <v>45536</v>
      </c>
      <c r="S1102" s="6">
        <v>5.8</v>
      </c>
      <c r="T1102" s="6">
        <v>2.2400000000000002</v>
      </c>
      <c r="U1102" s="7">
        <v>45536</v>
      </c>
      <c r="V1102" s="6">
        <v>77.430000000000007</v>
      </c>
      <c r="W1102" s="6">
        <f ca="1">IFERROR(__xludf.DUMMYFUNCTION("IFERROR(GOOGLEFINANCE(B1102,""pe""),V1102)"),368.26)</f>
        <v>368.26</v>
      </c>
      <c r="X1102" s="6">
        <v>2.33</v>
      </c>
      <c r="Y1102" s="6">
        <v>1</v>
      </c>
      <c r="Z1102" s="6">
        <v>2</v>
      </c>
      <c r="AA1102" s="8">
        <v>45352</v>
      </c>
      <c r="AB1102" s="4">
        <v>0</v>
      </c>
      <c r="AC1102" s="6">
        <v>0.56000000000000005</v>
      </c>
      <c r="AD1102" s="6">
        <v>0.68</v>
      </c>
      <c r="AE1102" s="1">
        <v>0</v>
      </c>
      <c r="AF1102" s="1">
        <f ca="1">IFERROR(__xludf.DUMMYFUNCTION("IFERROR(GOOGLEFINANCE(TRIM(F1102)&amp;"":"" &amp; TRIM(B1102),""high52""),AE1102)"),1.74)</f>
        <v>1.74</v>
      </c>
      <c r="AG1102" s="1">
        <v>0</v>
      </c>
      <c r="AH1102" s="1">
        <f ca="1">IFERROR(__xludf.DUMMYFUNCTION("IFERROR(GOOGLEFINANCE(TRIM(F1102)&amp;"":"" &amp; TRIM(B1102),""low52""),AE1102)"),0.65)</f>
        <v>0.65</v>
      </c>
      <c r="AI1102" s="1">
        <f ca="1">IFERROR(__xludf.DUMMYFUNCTION("IFERROR(GOOGLEFINANCE(B1102,""eps""),0)"),0)</f>
        <v>0</v>
      </c>
      <c r="AJ1102" s="1"/>
      <c r="AK1102" s="1" t="s">
        <v>3347</v>
      </c>
      <c r="AL1102" s="9">
        <f t="shared" si="163"/>
        <v>1</v>
      </c>
    </row>
    <row r="1103" spans="1:38" ht="15" x14ac:dyDescent="0.25">
      <c r="A1103" s="1" t="s">
        <v>3348</v>
      </c>
      <c r="B1103" s="1" t="s">
        <v>3349</v>
      </c>
      <c r="C1103" s="1" t="s">
        <v>219</v>
      </c>
      <c r="D1103" s="1" t="s">
        <v>219</v>
      </c>
      <c r="E1103" s="6">
        <v>26.95</v>
      </c>
      <c r="F1103" s="1" t="s">
        <v>40</v>
      </c>
      <c r="G1103" s="6">
        <f ca="1">IFERROR(__xludf.DUMMYFUNCTION("iferror(GOOGLEFINANCE(TRIM(F1103)&amp;"":"" &amp; TRIM(B1103), ""price""),0
)"),0)</f>
        <v>0</v>
      </c>
      <c r="H1103" s="6">
        <v>60.3</v>
      </c>
      <c r="I1103" s="6">
        <f t="shared" ca="1" si="0"/>
        <v>60.3</v>
      </c>
      <c r="J1103" s="6">
        <f ca="1">IFERROR(__xludf.DUMMYFUNCTION("IFERROR(GOOGLEFINANCE(B1103, ""volume""), 0)"),0)</f>
        <v>0</v>
      </c>
      <c r="K1103" s="6">
        <v>0</v>
      </c>
      <c r="L1103" s="6">
        <f ca="1">IFERROR(__xludf.DUMMYFUNCTION("IFERROR(GOOGLEFINANCE(B1103,""changepct""),K1103)"),0)</f>
        <v>0</v>
      </c>
      <c r="M1103" s="6">
        <f ca="1">IFERROR(__xludf.DUMMYFUNCTION("IFERROR(GOOGLEFINANCE(B1103,""change""),0)"),0)</f>
        <v>0</v>
      </c>
      <c r="N1103" s="6">
        <v>1</v>
      </c>
      <c r="O1103" s="7">
        <v>45536</v>
      </c>
      <c r="P1103" s="6">
        <v>0.09</v>
      </c>
      <c r="Q1103" s="6">
        <v>27.04</v>
      </c>
      <c r="R1103" s="14"/>
      <c r="S1103" s="9"/>
      <c r="T1103" s="9"/>
      <c r="U1103" s="7">
        <v>45352</v>
      </c>
      <c r="V1103" s="6">
        <v>32.479999999999997</v>
      </c>
      <c r="W1103" s="6">
        <f ca="1">IFERROR(__xludf.DUMMYFUNCTION("IFERROR(GOOGLEFINANCE(B1103,""pe""),V1103)"),32.48)</f>
        <v>32.479999999999997</v>
      </c>
      <c r="X1103" s="9"/>
      <c r="Y1103" s="6">
        <v>1.26</v>
      </c>
      <c r="Z1103" s="6">
        <v>1</v>
      </c>
      <c r="AA1103" s="8">
        <v>45352</v>
      </c>
      <c r="AB1103" s="4">
        <v>0.56000000000000005</v>
      </c>
      <c r="AC1103" s="6">
        <v>40.07</v>
      </c>
      <c r="AD1103" s="6">
        <v>32.43</v>
      </c>
      <c r="AE1103" s="1">
        <v>0</v>
      </c>
      <c r="AF1103" s="1">
        <f ca="1">IFERROR(__xludf.DUMMYFUNCTION("IFERROR(GOOGLEFINANCE(TRIM(F1103)&amp;"":"" &amp; TRIM(B1103),""high52""),AE1103)"),0)</f>
        <v>0</v>
      </c>
      <c r="AG1103" s="1">
        <v>0</v>
      </c>
      <c r="AH1103" s="1">
        <f ca="1">IFERROR(__xludf.DUMMYFUNCTION("IFERROR(GOOGLEFINANCE(TRIM(F1103)&amp;"":"" &amp; TRIM(B1103),""low52""),AE1103)"),0)</f>
        <v>0</v>
      </c>
      <c r="AI1103" s="1">
        <f ca="1">IFERROR(__xludf.DUMMYFUNCTION("IFERROR(GOOGLEFINANCE(B1103,""eps""),0)"),0)</f>
        <v>0</v>
      </c>
      <c r="AJ1103" s="1"/>
      <c r="AK1103" s="9"/>
      <c r="AL1103" s="9">
        <f t="shared" si="163"/>
        <v>1</v>
      </c>
    </row>
    <row r="1104" spans="1:38" ht="15" x14ac:dyDescent="0.25">
      <c r="A1104" s="1" t="s">
        <v>3350</v>
      </c>
      <c r="B1104" s="1" t="s">
        <v>3351</v>
      </c>
      <c r="C1104" s="1" t="s">
        <v>584</v>
      </c>
      <c r="D1104" s="1" t="s">
        <v>584</v>
      </c>
      <c r="E1104" s="6">
        <v>331.4</v>
      </c>
      <c r="F1104" s="1" t="s">
        <v>53</v>
      </c>
      <c r="G1104" s="6">
        <f ca="1">IFERROR(__xludf.DUMMYFUNCTION("iferror(GOOGLEFINANCE(TRIM(F1104)&amp;"":"" &amp; TRIM(B1104), ""price""),0
)"),0)</f>
        <v>0</v>
      </c>
      <c r="H1104" s="6">
        <v>247.75</v>
      </c>
      <c r="I1104" s="6">
        <f t="shared" ca="1" si="0"/>
        <v>247.75</v>
      </c>
      <c r="J1104" s="6">
        <f ca="1">IFERROR(__xludf.DUMMYFUNCTION("IFERROR(GOOGLEFINANCE(B1104, ""volume""), 0)"),0)</f>
        <v>0</v>
      </c>
      <c r="K1104" s="6">
        <v>-0.48</v>
      </c>
      <c r="L1104" s="6">
        <f ca="1">IFERROR(__xludf.DUMMYFUNCTION("IFERROR(GOOGLEFINANCE(B1104,""changepct""),K1104)"),-0.48)</f>
        <v>-0.48</v>
      </c>
      <c r="M1104" s="6">
        <f ca="1">IFERROR(__xludf.DUMMYFUNCTION("IFERROR(GOOGLEFINANCE(B1104,""change""),0)"),0)</f>
        <v>0</v>
      </c>
      <c r="N1104" s="6">
        <v>2</v>
      </c>
      <c r="O1104" s="7">
        <v>45536</v>
      </c>
      <c r="P1104" s="6">
        <v>30.53</v>
      </c>
      <c r="Q1104" s="6">
        <v>359.6</v>
      </c>
      <c r="R1104" s="7">
        <v>45536</v>
      </c>
      <c r="S1104" s="6">
        <v>154.71</v>
      </c>
      <c r="T1104" s="6">
        <v>4.0599999999999996</v>
      </c>
      <c r="U1104" s="7">
        <v>45536</v>
      </c>
      <c r="V1104" s="6">
        <v>81.53</v>
      </c>
      <c r="W1104" s="6">
        <f ca="1">IFERROR(__xludf.DUMMYFUNCTION("IFERROR(GOOGLEFINANCE(B1104,""pe""),V1104)"),81.53)</f>
        <v>81.53</v>
      </c>
      <c r="X1104" s="6">
        <v>-73.45</v>
      </c>
      <c r="Y1104" s="6">
        <v>5.38</v>
      </c>
      <c r="Z1104" s="6">
        <v>2</v>
      </c>
      <c r="AA1104" s="8">
        <v>45352</v>
      </c>
      <c r="AB1104" s="4">
        <v>0.49</v>
      </c>
      <c r="AC1104" s="6">
        <v>6.05</v>
      </c>
      <c r="AD1104" s="6">
        <v>8.3699999999999992</v>
      </c>
      <c r="AE1104" s="1">
        <v>0</v>
      </c>
      <c r="AF1104" s="1">
        <f ca="1">IFERROR(__xludf.DUMMYFUNCTION("IFERROR(GOOGLEFINANCE(TRIM(F1104)&amp;"":"" &amp; TRIM(B1104),""high52""),AE1104)"),0)</f>
        <v>0</v>
      </c>
      <c r="AG1104" s="1">
        <v>0</v>
      </c>
      <c r="AH1104" s="1">
        <f ca="1">IFERROR(__xludf.DUMMYFUNCTION("IFERROR(GOOGLEFINANCE(TRIM(F1104)&amp;"":"" &amp; TRIM(B1104),""low52""),AE1104)"),0)</f>
        <v>0</v>
      </c>
      <c r="AI1104" s="1">
        <f ca="1">IFERROR(__xludf.DUMMYFUNCTION("IFERROR(GOOGLEFINANCE(B1104,""eps""),0)"),0)</f>
        <v>0</v>
      </c>
      <c r="AJ1104" s="1"/>
      <c r="AK1104" s="1" t="s">
        <v>3352</v>
      </c>
      <c r="AL1104" s="9">
        <f t="shared" si="163"/>
        <v>1</v>
      </c>
    </row>
    <row r="1105" spans="1:38" ht="15" x14ac:dyDescent="0.25">
      <c r="A1105" s="1" t="s">
        <v>3353</v>
      </c>
      <c r="B1105" s="1" t="s">
        <v>3354</v>
      </c>
      <c r="C1105" s="1" t="s">
        <v>125</v>
      </c>
      <c r="D1105" s="1" t="s">
        <v>125</v>
      </c>
      <c r="E1105" s="6">
        <v>3035.11</v>
      </c>
      <c r="F1105" s="1" t="s">
        <v>40</v>
      </c>
      <c r="G1105" s="6">
        <f ca="1">IFERROR(__xludf.DUMMYFUNCTION("iferror(GOOGLEFINANCE(TRIM(F1105)&amp;"":"" &amp; TRIM(B1105), ""price""),0
)"),95.45)</f>
        <v>95.45</v>
      </c>
      <c r="H1105" s="6">
        <v>253</v>
      </c>
      <c r="I1105" s="6">
        <f t="shared" ca="1" si="0"/>
        <v>95.45</v>
      </c>
      <c r="J1105" s="6">
        <f ca="1">IFERROR(__xludf.DUMMYFUNCTION("IFERROR(GOOGLEFINANCE(B1105, ""volume""), 0)"),393499)</f>
        <v>393499</v>
      </c>
      <c r="K1105" s="6">
        <v>0.75</v>
      </c>
      <c r="L1105" s="6">
        <f ca="1">IFERROR(__xludf.DUMMYFUNCTION("IFERROR(GOOGLEFINANCE(B1105,""changepct""),K1105)"),-2.06)</f>
        <v>-2.06</v>
      </c>
      <c r="M1105" s="6">
        <f ca="1">IFERROR(__xludf.DUMMYFUNCTION("IFERROR(GOOGLEFINANCE(B1105,""change""),0)"),-2.01)</f>
        <v>-2.0099999999999998</v>
      </c>
      <c r="N1105" s="6">
        <v>2</v>
      </c>
      <c r="O1105" s="7">
        <v>45536</v>
      </c>
      <c r="P1105" s="6">
        <v>409.66</v>
      </c>
      <c r="Q1105" s="6">
        <v>3058.76</v>
      </c>
      <c r="R1105" s="7">
        <v>45536</v>
      </c>
      <c r="S1105" s="6">
        <v>970.01</v>
      </c>
      <c r="T1105" s="6">
        <v>37.659999999999997</v>
      </c>
      <c r="U1105" s="7">
        <v>45536</v>
      </c>
      <c r="V1105" s="6">
        <v>80.59</v>
      </c>
      <c r="W1105" s="6">
        <f ca="1">IFERROR(__xludf.DUMMYFUNCTION("IFERROR(GOOGLEFINANCE(B1105,""pe""),V1105)"),80.59)</f>
        <v>80.59</v>
      </c>
      <c r="X1105" s="12"/>
      <c r="Y1105" s="6">
        <v>4.16</v>
      </c>
      <c r="Z1105" s="6">
        <v>2</v>
      </c>
      <c r="AA1105" s="8">
        <v>45352</v>
      </c>
      <c r="AB1105" s="4">
        <v>0.04</v>
      </c>
      <c r="AC1105" s="6">
        <v>13.41</v>
      </c>
      <c r="AD1105" s="6">
        <v>20.41</v>
      </c>
      <c r="AE1105" s="1">
        <v>0</v>
      </c>
      <c r="AF1105" s="1">
        <f ca="1">IFERROR(__xludf.DUMMYFUNCTION("IFERROR(GOOGLEFINANCE(TRIM(F1105)&amp;"":"" &amp; TRIM(B1105),""high52""),AE1105)"),238.13)</f>
        <v>238.13</v>
      </c>
      <c r="AG1105" s="1">
        <v>0</v>
      </c>
      <c r="AH1105" s="1">
        <f ca="1">IFERROR(__xludf.DUMMYFUNCTION("IFERROR(GOOGLEFINANCE(TRIM(F1105)&amp;"":"" &amp; TRIM(B1105),""low52""),AE1105)"),93.2)</f>
        <v>93.2</v>
      </c>
      <c r="AI1105" s="1">
        <f ca="1">IFERROR(__xludf.DUMMYFUNCTION("IFERROR(GOOGLEFINANCE(B1105,""eps""),0)"),-20.84)</f>
        <v>-20.84</v>
      </c>
      <c r="AJ1105" s="1"/>
      <c r="AK1105" s="1" t="s">
        <v>3355</v>
      </c>
      <c r="AL1105" s="9">
        <f t="shared" si="163"/>
        <v>1</v>
      </c>
    </row>
    <row r="1106" spans="1:38" ht="15" x14ac:dyDescent="0.25">
      <c r="A1106" s="1" t="s">
        <v>3356</v>
      </c>
      <c r="B1106" s="1" t="s">
        <v>3357</v>
      </c>
      <c r="C1106" s="1" t="s">
        <v>1739</v>
      </c>
      <c r="D1106" s="1" t="s">
        <v>1739</v>
      </c>
      <c r="E1106" s="6">
        <v>28.32</v>
      </c>
      <c r="F1106" s="1" t="s">
        <v>53</v>
      </c>
      <c r="G1106" s="6">
        <f ca="1">IFERROR(__xludf.DUMMYFUNCTION("iferror(GOOGLEFINANCE(TRIM(F1106)&amp;"":"" &amp; TRIM(B1106), ""price""),0
)"),0)</f>
        <v>0</v>
      </c>
      <c r="H1106" s="6">
        <v>16.940000000000001</v>
      </c>
      <c r="I1106" s="6">
        <f t="shared" ca="1" si="0"/>
        <v>16.940000000000001</v>
      </c>
      <c r="J1106" s="6">
        <f ca="1">IFERROR(__xludf.DUMMYFUNCTION("IFERROR(GOOGLEFINANCE(B1106, ""volume""), 0)"),0)</f>
        <v>0</v>
      </c>
      <c r="K1106" s="6">
        <v>1.99</v>
      </c>
      <c r="L1106" s="6">
        <f ca="1">IFERROR(__xludf.DUMMYFUNCTION("IFERROR(GOOGLEFINANCE(B1106,""changepct""),K1106)"),1.99)</f>
        <v>1.99</v>
      </c>
      <c r="M1106" s="6">
        <f ca="1">IFERROR(__xludf.DUMMYFUNCTION("IFERROR(GOOGLEFINANCE(B1106,""change""),0)"),0)</f>
        <v>0</v>
      </c>
      <c r="N1106" s="6">
        <v>1</v>
      </c>
      <c r="O1106" s="7">
        <v>45536</v>
      </c>
      <c r="P1106" s="6">
        <v>2.7</v>
      </c>
      <c r="Q1106" s="6">
        <v>31.02</v>
      </c>
      <c r="R1106" s="7">
        <v>45352</v>
      </c>
      <c r="S1106" s="6">
        <v>142.44999999999999</v>
      </c>
      <c r="T1106" s="6">
        <v>-6.5</v>
      </c>
      <c r="U1106" s="7">
        <v>45352</v>
      </c>
      <c r="V1106" s="6">
        <v>0</v>
      </c>
      <c r="W1106" s="6">
        <f ca="1">IFERROR(__xludf.DUMMYFUNCTION("IFERROR(GOOGLEFINANCE(B1106,""pe""),V1106)"),0)</f>
        <v>0</v>
      </c>
      <c r="X1106" s="9"/>
      <c r="Y1106" s="6">
        <v>3.98</v>
      </c>
      <c r="Z1106" s="6">
        <v>1</v>
      </c>
      <c r="AA1106" s="8">
        <v>45352</v>
      </c>
      <c r="AB1106" s="4">
        <v>0.36</v>
      </c>
      <c r="AC1106" s="6">
        <v>-62.68</v>
      </c>
      <c r="AD1106" s="6">
        <v>-48.59</v>
      </c>
      <c r="AE1106" s="1">
        <v>0</v>
      </c>
      <c r="AF1106" s="1">
        <f ca="1">IFERROR(__xludf.DUMMYFUNCTION("IFERROR(GOOGLEFINANCE(TRIM(F1106)&amp;"":"" &amp; TRIM(B1106),""high52""),AE1106)"),0)</f>
        <v>0</v>
      </c>
      <c r="AG1106" s="1">
        <v>0</v>
      </c>
      <c r="AH1106" s="1">
        <f ca="1">IFERROR(__xludf.DUMMYFUNCTION("IFERROR(GOOGLEFINANCE(TRIM(F1106)&amp;"":"" &amp; TRIM(B1106),""low52""),AE1106)"),0)</f>
        <v>0</v>
      </c>
      <c r="AI1106" s="1">
        <f ca="1">IFERROR(__xludf.DUMMYFUNCTION("IFERROR(GOOGLEFINANCE(B1106,""eps""),0)"),0)</f>
        <v>0</v>
      </c>
      <c r="AJ1106" s="1"/>
      <c r="AK1106" s="9"/>
      <c r="AL1106" s="9">
        <f t="shared" si="163"/>
        <v>1</v>
      </c>
    </row>
    <row r="1107" spans="1:38" ht="15" x14ac:dyDescent="0.25">
      <c r="A1107" s="1" t="s">
        <v>3358</v>
      </c>
      <c r="B1107" s="1" t="s">
        <v>3359</v>
      </c>
      <c r="C1107" s="1" t="s">
        <v>679</v>
      </c>
      <c r="D1107" s="1" t="s">
        <v>679</v>
      </c>
      <c r="E1107" s="6">
        <v>36473.5</v>
      </c>
      <c r="F1107" s="1" t="s">
        <v>40</v>
      </c>
      <c r="G1107" s="6">
        <f ca="1">IFERROR(__xludf.DUMMYFUNCTION("iferror(GOOGLEFINANCE(TRIM(F1107)&amp;"":"" &amp; TRIM(B1107), ""price""),0
)"),322)</f>
        <v>322</v>
      </c>
      <c r="H1107" s="6">
        <v>427.6</v>
      </c>
      <c r="I1107" s="6">
        <f t="shared" ca="1" si="0"/>
        <v>322</v>
      </c>
      <c r="J1107" s="6">
        <f ca="1">IFERROR(__xludf.DUMMYFUNCTION("IFERROR(GOOGLEFINANCE(B1107, ""volume""), 0)"),1932681)</f>
        <v>1932681</v>
      </c>
      <c r="K1107" s="6">
        <v>-0.33</v>
      </c>
      <c r="L1107" s="6">
        <f ca="1">IFERROR(__xludf.DUMMYFUNCTION("IFERROR(GOOGLEFINANCE(B1107,""changepct""),K1107)"),1.69)</f>
        <v>1.69</v>
      </c>
      <c r="M1107" s="6">
        <f ca="1">IFERROR(__xludf.DUMMYFUNCTION("IFERROR(GOOGLEFINANCE(B1107,""change""),0)"),5.35)</f>
        <v>5.35</v>
      </c>
      <c r="N1107" s="6">
        <v>2</v>
      </c>
      <c r="O1107" s="7">
        <v>45536</v>
      </c>
      <c r="P1107" s="6">
        <v>1442.67</v>
      </c>
      <c r="Q1107" s="6">
        <v>37744.21</v>
      </c>
      <c r="R1107" s="7">
        <v>45536</v>
      </c>
      <c r="S1107" s="6">
        <v>17038.439999999999</v>
      </c>
      <c r="T1107" s="6">
        <v>842.6</v>
      </c>
      <c r="U1107" s="7">
        <v>45536</v>
      </c>
      <c r="V1107" s="6">
        <v>43.61</v>
      </c>
      <c r="W1107" s="6">
        <f ca="1">IFERROR(__xludf.DUMMYFUNCTION("IFERROR(GOOGLEFINANCE(B1107,""pe""),V1107)"),38.37)</f>
        <v>38.369999999999997</v>
      </c>
      <c r="X1107" s="6">
        <v>16.97</v>
      </c>
      <c r="Y1107" s="6">
        <v>2.64</v>
      </c>
      <c r="Z1107" s="6">
        <v>2</v>
      </c>
      <c r="AA1107" s="17">
        <v>45352</v>
      </c>
      <c r="AB1107" s="18">
        <v>0.05</v>
      </c>
      <c r="AC1107" s="6">
        <v>7.35</v>
      </c>
      <c r="AD1107" s="6">
        <v>10.81</v>
      </c>
      <c r="AE1107" s="1">
        <v>0</v>
      </c>
      <c r="AF1107" s="1">
        <f ca="1">IFERROR(__xludf.DUMMYFUNCTION("IFERROR(GOOGLEFINANCE(TRIM(F1107)&amp;"":"" &amp; TRIM(B1107),""high52""),AE1107)"),431)</f>
        <v>431</v>
      </c>
      <c r="AG1107" s="1">
        <v>0</v>
      </c>
      <c r="AH1107" s="1">
        <f ca="1">IFERROR(__xludf.DUMMYFUNCTION("IFERROR(GOOGLEFINANCE(TRIM(F1107)&amp;"":"" &amp; TRIM(B1107),""low52""),AE1107)"),308.45)</f>
        <v>308.45</v>
      </c>
      <c r="AI1107" s="1">
        <f ca="1">IFERROR(__xludf.DUMMYFUNCTION("IFERROR(GOOGLEFINANCE(B1107,""eps""),0)"),8.39)</f>
        <v>8.39</v>
      </c>
      <c r="AJ1107" s="1"/>
      <c r="AK1107" s="1" t="s">
        <v>3360</v>
      </c>
      <c r="AL1107" s="1" t="b">
        <f>ISNUMBER(AA1107)</f>
        <v>1</v>
      </c>
    </row>
    <row r="1108" spans="1:38" ht="15" x14ac:dyDescent="0.25">
      <c r="A1108" s="1" t="s">
        <v>3361</v>
      </c>
      <c r="B1108" s="1" t="s">
        <v>3362</v>
      </c>
      <c r="C1108" s="1" t="s">
        <v>1739</v>
      </c>
      <c r="D1108" s="1" t="s">
        <v>1739</v>
      </c>
      <c r="E1108" s="6">
        <v>75.33</v>
      </c>
      <c r="F1108" s="1" t="s">
        <v>53</v>
      </c>
      <c r="G1108" s="6">
        <f ca="1">IFERROR(__xludf.DUMMYFUNCTION("iferror(GOOGLEFINANCE(TRIM(F1108)&amp;"":"" &amp; TRIM(B1108), ""price""),0
)"),0)</f>
        <v>0</v>
      </c>
      <c r="H1108" s="6">
        <v>33.93</v>
      </c>
      <c r="I1108" s="6">
        <f t="shared" ca="1" si="0"/>
        <v>33.93</v>
      </c>
      <c r="J1108" s="6">
        <f ca="1">IFERROR(__xludf.DUMMYFUNCTION("IFERROR(GOOGLEFINANCE(B1108, ""volume""), 0)"),0)</f>
        <v>0</v>
      </c>
      <c r="K1108" s="6">
        <v>1.5</v>
      </c>
      <c r="L1108" s="6">
        <f ca="1">IFERROR(__xludf.DUMMYFUNCTION("IFERROR(GOOGLEFINANCE(B1108,""changepct""),K1108)"),1.5)</f>
        <v>1.5</v>
      </c>
      <c r="M1108" s="6">
        <f ca="1">IFERROR(__xludf.DUMMYFUNCTION("IFERROR(GOOGLEFINANCE(B1108,""change""),0)"),0)</f>
        <v>0</v>
      </c>
      <c r="N1108" s="6">
        <v>1</v>
      </c>
      <c r="O1108" s="7">
        <v>45536</v>
      </c>
      <c r="P1108" s="6">
        <v>7.85</v>
      </c>
      <c r="Q1108" s="6">
        <v>83.18</v>
      </c>
      <c r="R1108" s="7">
        <v>45352</v>
      </c>
      <c r="S1108" s="6">
        <v>42.81</v>
      </c>
      <c r="T1108" s="6">
        <v>2.39</v>
      </c>
      <c r="U1108" s="7">
        <v>45352</v>
      </c>
      <c r="V1108" s="6">
        <v>31.48</v>
      </c>
      <c r="W1108" s="6">
        <f ca="1">IFERROR(__xludf.DUMMYFUNCTION("IFERROR(GOOGLEFINANCE(B1108,""pe""),V1108)"),31.48)</f>
        <v>31.48</v>
      </c>
      <c r="X1108" s="12"/>
      <c r="Y1108" s="6">
        <v>1.03</v>
      </c>
      <c r="Z1108" s="6">
        <v>1</v>
      </c>
      <c r="AA1108" s="8">
        <v>45352</v>
      </c>
      <c r="AB1108" s="4">
        <v>0.06</v>
      </c>
      <c r="AC1108" s="6">
        <v>3.34</v>
      </c>
      <c r="AD1108" s="6">
        <v>5.37</v>
      </c>
      <c r="AE1108" s="1">
        <v>0</v>
      </c>
      <c r="AF1108" s="1">
        <f ca="1">IFERROR(__xludf.DUMMYFUNCTION("IFERROR(GOOGLEFINANCE(TRIM(F1108)&amp;"":"" &amp; TRIM(B1108),""high52""),AE1108)"),0)</f>
        <v>0</v>
      </c>
      <c r="AG1108" s="1">
        <v>0</v>
      </c>
      <c r="AH1108" s="1">
        <f ca="1">IFERROR(__xludf.DUMMYFUNCTION("IFERROR(GOOGLEFINANCE(TRIM(F1108)&amp;"":"" &amp; TRIM(B1108),""low52""),AE1108)"),0)</f>
        <v>0</v>
      </c>
      <c r="AI1108" s="1">
        <f ca="1">IFERROR(__xludf.DUMMYFUNCTION("IFERROR(GOOGLEFINANCE(B1108,""eps""),0)"),0)</f>
        <v>0</v>
      </c>
      <c r="AJ1108" s="1"/>
      <c r="AK1108" s="9"/>
      <c r="AL1108" s="9">
        <f t="shared" ref="AL1108:AL1109" si="164">IF(AA1108&lt;&gt;AB1108,1,0)</f>
        <v>1</v>
      </c>
    </row>
    <row r="1109" spans="1:38" ht="15" x14ac:dyDescent="0.25">
      <c r="A1109" s="1" t="s">
        <v>3363</v>
      </c>
      <c r="B1109" s="1" t="s">
        <v>3364</v>
      </c>
      <c r="C1109" s="1" t="s">
        <v>57</v>
      </c>
      <c r="D1109" s="1" t="s">
        <v>57</v>
      </c>
      <c r="E1109" s="6">
        <v>2158.4899999999998</v>
      </c>
      <c r="F1109" s="1" t="s">
        <v>40</v>
      </c>
      <c r="G1109" s="6">
        <f ca="1">IFERROR(__xludf.DUMMYFUNCTION("iferror(GOOGLEFINANCE(TRIM(F1109)&amp;"":"" &amp; TRIM(B1109), ""price""),0
)"),895.2)</f>
        <v>895.2</v>
      </c>
      <c r="H1109" s="6">
        <v>1397.4</v>
      </c>
      <c r="I1109" s="6">
        <f t="shared" ca="1" si="0"/>
        <v>895.2</v>
      </c>
      <c r="J1109" s="6">
        <f ca="1">IFERROR(__xludf.DUMMYFUNCTION("IFERROR(GOOGLEFINANCE(B1109, ""volume""), 0)"),8532)</f>
        <v>8532</v>
      </c>
      <c r="K1109" s="6">
        <v>0.31</v>
      </c>
      <c r="L1109" s="6">
        <f ca="1">IFERROR(__xludf.DUMMYFUNCTION("IFERROR(GOOGLEFINANCE(B1109,""changepct""),K1109)"),-0.1)</f>
        <v>-0.1</v>
      </c>
      <c r="M1109" s="6">
        <f ca="1">IFERROR(__xludf.DUMMYFUNCTION("IFERROR(GOOGLEFINANCE(B1109,""change""),0)"),-0.9)</f>
        <v>-0.9</v>
      </c>
      <c r="N1109" s="6">
        <v>2</v>
      </c>
      <c r="O1109" s="7">
        <v>45536</v>
      </c>
      <c r="P1109" s="9"/>
      <c r="Q1109" s="6">
        <v>1882.29</v>
      </c>
      <c r="R1109" s="7">
        <v>45536</v>
      </c>
      <c r="S1109" s="6">
        <v>1017.06</v>
      </c>
      <c r="T1109" s="6">
        <v>109.12</v>
      </c>
      <c r="U1109" s="7">
        <v>45536</v>
      </c>
      <c r="V1109" s="6">
        <v>19.78</v>
      </c>
      <c r="W1109" s="6">
        <f ca="1">IFERROR(__xludf.DUMMYFUNCTION("IFERROR(GOOGLEFINANCE(B1109,""pe""),V1109)"),15.89)</f>
        <v>15.89</v>
      </c>
      <c r="X1109" s="6">
        <v>0.98</v>
      </c>
      <c r="Y1109" s="6">
        <v>3.22</v>
      </c>
      <c r="Z1109" s="6">
        <v>2</v>
      </c>
      <c r="AA1109" s="8">
        <v>45352</v>
      </c>
      <c r="AB1109" s="4">
        <v>0</v>
      </c>
      <c r="AC1109" s="6">
        <v>15.85</v>
      </c>
      <c r="AD1109" s="6">
        <v>21.4</v>
      </c>
      <c r="AE1109" s="1">
        <v>0</v>
      </c>
      <c r="AF1109" s="1">
        <f ca="1">IFERROR(__xludf.DUMMYFUNCTION("IFERROR(GOOGLEFINANCE(TRIM(F1109)&amp;"":"" &amp; TRIM(B1109),""high52""),AE1109)"),1370.9)</f>
        <v>1370.9</v>
      </c>
      <c r="AG1109" s="1">
        <v>0</v>
      </c>
      <c r="AH1109" s="1">
        <f ca="1">IFERROR(__xludf.DUMMYFUNCTION("IFERROR(GOOGLEFINANCE(TRIM(F1109)&amp;"":"" &amp; TRIM(B1109),""low52""),AE1109)"),735.35)</f>
        <v>735.35</v>
      </c>
      <c r="AI1109" s="1">
        <f ca="1">IFERROR(__xludf.DUMMYFUNCTION("IFERROR(GOOGLEFINANCE(B1109,""eps""),0)"),29.9)</f>
        <v>29.9</v>
      </c>
      <c r="AJ1109" s="1"/>
      <c r="AK1109" s="1" t="s">
        <v>3365</v>
      </c>
      <c r="AL1109" s="9">
        <f t="shared" si="164"/>
        <v>1</v>
      </c>
    </row>
    <row r="1110" spans="1:38" ht="15" x14ac:dyDescent="0.25">
      <c r="A1110" s="1" t="s">
        <v>3366</v>
      </c>
      <c r="B1110" s="1" t="s">
        <v>3367</v>
      </c>
      <c r="C1110" s="1" t="s">
        <v>889</v>
      </c>
      <c r="D1110" s="1" t="s">
        <v>889</v>
      </c>
      <c r="E1110" s="6">
        <v>397.75</v>
      </c>
      <c r="F1110" s="1" t="s">
        <v>40</v>
      </c>
      <c r="G1110" s="6">
        <f ca="1">IFERROR(__xludf.DUMMYFUNCTION("iferror(GOOGLEFINANCE(TRIM(F1110)&amp;"":"" &amp; TRIM(B1110), ""price""),0
)"),7.31)</f>
        <v>7.31</v>
      </c>
      <c r="H1110" s="6">
        <v>8.94</v>
      </c>
      <c r="I1110" s="6">
        <f t="shared" ca="1" si="0"/>
        <v>7.31</v>
      </c>
      <c r="J1110" s="6">
        <f ca="1">IFERROR(__xludf.DUMMYFUNCTION("IFERROR(GOOGLEFINANCE(B1110, ""volume""), 0)"),96851)</f>
        <v>96851</v>
      </c>
      <c r="K1110" s="6">
        <v>0.68</v>
      </c>
      <c r="L1110" s="6">
        <f ca="1">IFERROR(__xludf.DUMMYFUNCTION("IFERROR(GOOGLEFINANCE(B1110,""changepct""),K1110)"),1.53)</f>
        <v>1.53</v>
      </c>
      <c r="M1110" s="6">
        <f ca="1">IFERROR(__xludf.DUMMYFUNCTION("IFERROR(GOOGLEFINANCE(B1110,""change""),0)"),0.11)</f>
        <v>0.11</v>
      </c>
      <c r="N1110" s="6">
        <v>2</v>
      </c>
      <c r="O1110" s="7">
        <v>45536</v>
      </c>
      <c r="P1110" s="6">
        <v>102.85</v>
      </c>
      <c r="Q1110" s="6">
        <v>497.72</v>
      </c>
      <c r="R1110" s="7">
        <v>45536</v>
      </c>
      <c r="S1110" s="6">
        <v>274.82</v>
      </c>
      <c r="T1110" s="6">
        <v>-2.99</v>
      </c>
      <c r="U1110" s="7">
        <v>45536</v>
      </c>
      <c r="V1110" s="6">
        <v>0</v>
      </c>
      <c r="W1110" s="6">
        <f ca="1">IFERROR(__xludf.DUMMYFUNCTION("IFERROR(GOOGLEFINANCE(B1110,""pe""),V1110)"),46.14)</f>
        <v>46.14</v>
      </c>
      <c r="X1110" s="9"/>
      <c r="Y1110" s="6">
        <v>1.46</v>
      </c>
      <c r="Z1110" s="6">
        <v>2</v>
      </c>
      <c r="AA1110" s="8">
        <v>45352</v>
      </c>
      <c r="AB1110" s="4">
        <v>0.35</v>
      </c>
      <c r="AC1110" s="6">
        <v>0.82</v>
      </c>
      <c r="AD1110" s="6">
        <v>4.6900000000000004</v>
      </c>
      <c r="AE1110" s="1">
        <v>0</v>
      </c>
      <c r="AF1110" s="1">
        <f ca="1">IFERROR(__xludf.DUMMYFUNCTION("IFERROR(GOOGLEFINANCE(TRIM(F1110)&amp;"":"" &amp; TRIM(B1110),""high52""),AE1110)"),10.95)</f>
        <v>10.95</v>
      </c>
      <c r="AG1110" s="1">
        <v>0</v>
      </c>
      <c r="AH1110" s="1">
        <f ca="1">IFERROR(__xludf.DUMMYFUNCTION("IFERROR(GOOGLEFINANCE(TRIM(F1110)&amp;"":"" &amp; TRIM(B1110),""low52""),AE1110)"),5.45)</f>
        <v>5.45</v>
      </c>
      <c r="AI1110" s="1">
        <f ca="1">IFERROR(__xludf.DUMMYFUNCTION("IFERROR(GOOGLEFINANCE(B1110,""eps""),0)"),0.16)</f>
        <v>0.16</v>
      </c>
      <c r="AJ1110" s="1"/>
      <c r="AK1110" s="1" t="s">
        <v>3368</v>
      </c>
      <c r="AL1110" s="1" t="b">
        <f>ISNUMBER(AA1110)</f>
        <v>1</v>
      </c>
    </row>
    <row r="1111" spans="1:38" ht="15" x14ac:dyDescent="0.25">
      <c r="A1111" s="1" t="s">
        <v>3369</v>
      </c>
      <c r="B1111" s="1" t="s">
        <v>3370</v>
      </c>
      <c r="C1111" s="1" t="s">
        <v>135</v>
      </c>
      <c r="D1111" s="1" t="s">
        <v>135</v>
      </c>
      <c r="E1111" s="6">
        <v>1515.96</v>
      </c>
      <c r="F1111" s="1" t="s">
        <v>40</v>
      </c>
      <c r="G1111" s="6">
        <f ca="1">IFERROR(__xludf.DUMMYFUNCTION("iferror(GOOGLEFINANCE(TRIM(F1111)&amp;"":"" &amp; TRIM(B1111), ""price""),0
)"),648)</f>
        <v>648</v>
      </c>
      <c r="H1111" s="6">
        <v>1152</v>
      </c>
      <c r="I1111" s="6">
        <f t="shared" ca="1" si="0"/>
        <v>648</v>
      </c>
      <c r="J1111" s="6">
        <f ca="1">IFERROR(__xludf.DUMMYFUNCTION("IFERROR(GOOGLEFINANCE(B1111, ""volume""), 0)"),4965)</f>
        <v>4965</v>
      </c>
      <c r="K1111" s="6">
        <v>-0.95</v>
      </c>
      <c r="L1111" s="6">
        <f ca="1">IFERROR(__xludf.DUMMYFUNCTION("IFERROR(GOOGLEFINANCE(B1111,""changepct""),K1111)"),4.31)</f>
        <v>4.3099999999999996</v>
      </c>
      <c r="M1111" s="6">
        <f ca="1">IFERROR(__xludf.DUMMYFUNCTION("IFERROR(GOOGLEFINANCE(B1111,""change""),0)"),26.8)</f>
        <v>26.8</v>
      </c>
      <c r="N1111" s="6">
        <v>1</v>
      </c>
      <c r="O1111" s="7">
        <v>45536</v>
      </c>
      <c r="P1111" s="6">
        <v>44.32</v>
      </c>
      <c r="Q1111" s="6">
        <v>1560.15</v>
      </c>
      <c r="R1111" s="7">
        <v>45536</v>
      </c>
      <c r="S1111" s="6">
        <v>612.22</v>
      </c>
      <c r="T1111" s="6">
        <v>41.96</v>
      </c>
      <c r="U1111" s="7">
        <v>45536</v>
      </c>
      <c r="V1111" s="6">
        <v>36.130000000000003</v>
      </c>
      <c r="W1111" s="6">
        <f ca="1">IFERROR(__xludf.DUMMYFUNCTION("IFERROR(GOOGLEFINANCE(B1111,""pe""),V1111)"),139.48)</f>
        <v>139.47999999999999</v>
      </c>
      <c r="X1111" s="9"/>
      <c r="Y1111" s="6">
        <v>5.09</v>
      </c>
      <c r="Z1111" s="6">
        <v>1</v>
      </c>
      <c r="AA1111" s="8">
        <v>45352</v>
      </c>
      <c r="AB1111" s="4">
        <v>0.03</v>
      </c>
      <c r="AC1111" s="6">
        <v>14.75</v>
      </c>
      <c r="AD1111" s="6">
        <v>19.399999999999999</v>
      </c>
      <c r="AE1111" s="1">
        <v>0</v>
      </c>
      <c r="AF1111" s="1">
        <f ca="1">IFERROR(__xludf.DUMMYFUNCTION("IFERROR(GOOGLEFINANCE(TRIM(F1111)&amp;"":"" &amp; TRIM(B1111),""high52""),AE1111)"),1189.9)</f>
        <v>1189.9000000000001</v>
      </c>
      <c r="AG1111" s="1">
        <v>0</v>
      </c>
      <c r="AH1111" s="1">
        <f ca="1">IFERROR(__xludf.DUMMYFUNCTION("IFERROR(GOOGLEFINANCE(TRIM(F1111)&amp;"":"" &amp; TRIM(B1111),""low52""),AE1111)"),541.55)</f>
        <v>541.54999999999995</v>
      </c>
      <c r="AI1111" s="1">
        <f ca="1">IFERROR(__xludf.DUMMYFUNCTION("IFERROR(GOOGLEFINANCE(B1111,""eps""),0)"),4.65)</f>
        <v>4.6500000000000004</v>
      </c>
      <c r="AJ1111" s="1"/>
      <c r="AK1111" s="1" t="s">
        <v>3371</v>
      </c>
      <c r="AL1111" s="9">
        <f t="shared" ref="AL1111:AL1116" si="165">IF(AA1111&lt;&gt;AB1111,1,0)</f>
        <v>1</v>
      </c>
    </row>
    <row r="1112" spans="1:38" ht="15" x14ac:dyDescent="0.25">
      <c r="A1112" s="1" t="s">
        <v>3372</v>
      </c>
      <c r="B1112" s="1" t="s">
        <v>3373</v>
      </c>
      <c r="C1112" s="1" t="s">
        <v>1663</v>
      </c>
      <c r="D1112" s="1" t="s">
        <v>1663</v>
      </c>
      <c r="E1112" s="6">
        <v>26.94</v>
      </c>
      <c r="F1112" s="1" t="s">
        <v>40</v>
      </c>
      <c r="G1112" s="6">
        <f ca="1">IFERROR(__xludf.DUMMYFUNCTION("iferror(GOOGLEFINANCE(TRIM(F1112)&amp;"":"" &amp; TRIM(B1112), ""price""),0
)"),0)</f>
        <v>0</v>
      </c>
      <c r="H1112" s="6">
        <v>50.3</v>
      </c>
      <c r="I1112" s="6">
        <f t="shared" ca="1" si="0"/>
        <v>50.3</v>
      </c>
      <c r="J1112" s="6">
        <f ca="1">IFERROR(__xludf.DUMMYFUNCTION("IFERROR(GOOGLEFINANCE(B1112, ""volume""), 0)"),0)</f>
        <v>0</v>
      </c>
      <c r="K1112" s="6">
        <v>0</v>
      </c>
      <c r="L1112" s="6">
        <f ca="1">IFERROR(__xludf.DUMMYFUNCTION("IFERROR(GOOGLEFINANCE(B1112,""changepct""),K1112)"),0)</f>
        <v>0</v>
      </c>
      <c r="M1112" s="6">
        <f ca="1">IFERROR(__xludf.DUMMYFUNCTION("IFERROR(GOOGLEFINANCE(B1112,""change""),0)"),0)</f>
        <v>0</v>
      </c>
      <c r="N1112" s="6">
        <v>1</v>
      </c>
      <c r="O1112" s="7">
        <v>45536</v>
      </c>
      <c r="P1112" s="6">
        <v>6.31</v>
      </c>
      <c r="Q1112" s="6">
        <v>33.26</v>
      </c>
      <c r="R1112" s="7">
        <v>45352</v>
      </c>
      <c r="S1112" s="6">
        <v>11.44</v>
      </c>
      <c r="T1112" s="6">
        <v>0.87</v>
      </c>
      <c r="U1112" s="7">
        <v>45352</v>
      </c>
      <c r="V1112" s="6">
        <v>31.05</v>
      </c>
      <c r="W1112" s="6">
        <f ca="1">IFERROR(__xludf.DUMMYFUNCTION("IFERROR(GOOGLEFINANCE(B1112,""pe""),V1112)"),31.05)</f>
        <v>31.05</v>
      </c>
      <c r="X1112" s="12"/>
      <c r="Y1112" s="6">
        <v>1.19</v>
      </c>
      <c r="Z1112" s="6">
        <v>1</v>
      </c>
      <c r="AA1112" s="8">
        <v>45352</v>
      </c>
      <c r="AB1112" s="4">
        <v>0.85</v>
      </c>
      <c r="AC1112" s="6">
        <v>14.02</v>
      </c>
      <c r="AD1112" s="6">
        <v>12.18</v>
      </c>
      <c r="AE1112" s="1">
        <v>0</v>
      </c>
      <c r="AF1112" s="1">
        <f ca="1">IFERROR(__xludf.DUMMYFUNCTION("IFERROR(GOOGLEFINANCE(TRIM(F1112)&amp;"":"" &amp; TRIM(B1112),""high52""),AE1112)"),0)</f>
        <v>0</v>
      </c>
      <c r="AG1112" s="1">
        <v>0</v>
      </c>
      <c r="AH1112" s="1">
        <f ca="1">IFERROR(__xludf.DUMMYFUNCTION("IFERROR(GOOGLEFINANCE(TRIM(F1112)&amp;"":"" &amp; TRIM(B1112),""low52""),AE1112)"),0)</f>
        <v>0</v>
      </c>
      <c r="AI1112" s="1">
        <f ca="1">IFERROR(__xludf.DUMMYFUNCTION("IFERROR(GOOGLEFINANCE(B1112,""eps""),0)"),0)</f>
        <v>0</v>
      </c>
      <c r="AJ1112" s="1"/>
      <c r="AK1112" s="1" t="s">
        <v>3374</v>
      </c>
      <c r="AL1112" s="9">
        <f t="shared" si="165"/>
        <v>1</v>
      </c>
    </row>
    <row r="1113" spans="1:38" ht="15" x14ac:dyDescent="0.25">
      <c r="A1113" s="1" t="s">
        <v>3375</v>
      </c>
      <c r="B1113" s="1" t="s">
        <v>3376</v>
      </c>
      <c r="C1113" s="1" t="s">
        <v>186</v>
      </c>
      <c r="D1113" s="1" t="s">
        <v>186</v>
      </c>
      <c r="E1113" s="6">
        <v>1060.92</v>
      </c>
      <c r="F1113" s="1" t="s">
        <v>40</v>
      </c>
      <c r="G1113" s="6">
        <f ca="1">IFERROR(__xludf.DUMMYFUNCTION("iferror(GOOGLEFINANCE(TRIM(F1113)&amp;"":"" &amp; TRIM(B1113), ""price""),0
)"),365.75)</f>
        <v>365.75</v>
      </c>
      <c r="H1113" s="6">
        <v>435</v>
      </c>
      <c r="I1113" s="6">
        <f t="shared" ca="1" si="0"/>
        <v>365.75</v>
      </c>
      <c r="J1113" s="6">
        <f ca="1">IFERROR(__xludf.DUMMYFUNCTION("IFERROR(GOOGLEFINANCE(B1113, ""volume""), 0)"),28418)</f>
        <v>28418</v>
      </c>
      <c r="K1113" s="6">
        <v>-0.34</v>
      </c>
      <c r="L1113" s="6">
        <f ca="1">IFERROR(__xludf.DUMMYFUNCTION("IFERROR(GOOGLEFINANCE(B1113,""changepct""),K1113)"),-0.83)</f>
        <v>-0.83</v>
      </c>
      <c r="M1113" s="6">
        <f ca="1">IFERROR(__xludf.DUMMYFUNCTION("IFERROR(GOOGLEFINANCE(B1113,""change""),0)"),-3.05)</f>
        <v>-3.05</v>
      </c>
      <c r="N1113" s="6">
        <v>2</v>
      </c>
      <c r="O1113" s="7">
        <v>45536</v>
      </c>
      <c r="P1113" s="6">
        <v>158.18</v>
      </c>
      <c r="Q1113" s="6">
        <v>1183.74</v>
      </c>
      <c r="R1113" s="7">
        <v>45536</v>
      </c>
      <c r="S1113" s="6">
        <v>603.80999999999995</v>
      </c>
      <c r="T1113" s="6">
        <v>35.99</v>
      </c>
      <c r="U1113" s="7">
        <v>45536</v>
      </c>
      <c r="V1113" s="6">
        <v>29.48</v>
      </c>
      <c r="W1113" s="6">
        <f ca="1">IFERROR(__xludf.DUMMYFUNCTION("IFERROR(GOOGLEFINANCE(B1113,""pe""),V1113)"),26.28)</f>
        <v>26.28</v>
      </c>
      <c r="X1113" s="6">
        <v>1.1599999999999999</v>
      </c>
      <c r="Y1113" s="6">
        <v>3.13</v>
      </c>
      <c r="Z1113" s="6">
        <v>2</v>
      </c>
      <c r="AA1113" s="8">
        <v>45352</v>
      </c>
      <c r="AB1113" s="4">
        <v>0.48</v>
      </c>
      <c r="AC1113" s="6">
        <v>15.45</v>
      </c>
      <c r="AD1113" s="6">
        <v>18.28</v>
      </c>
      <c r="AE1113" s="1">
        <v>0</v>
      </c>
      <c r="AF1113" s="1">
        <f ca="1">IFERROR(__xludf.DUMMYFUNCTION("IFERROR(GOOGLEFINANCE(TRIM(F1113)&amp;"":"" &amp; TRIM(B1113),""high52""),AE1113)"),747.95)</f>
        <v>747.95</v>
      </c>
      <c r="AG1113" s="1">
        <v>0</v>
      </c>
      <c r="AH1113" s="1">
        <f ca="1">IFERROR(__xludf.DUMMYFUNCTION("IFERROR(GOOGLEFINANCE(TRIM(F1113)&amp;"":"" &amp; TRIM(B1113),""low52""),AE1113)"),317.75)</f>
        <v>317.75</v>
      </c>
      <c r="AI1113" s="1">
        <f ca="1">IFERROR(__xludf.DUMMYFUNCTION("IFERROR(GOOGLEFINANCE(B1113,""eps""),0)"),13.92)</f>
        <v>13.92</v>
      </c>
      <c r="AJ1113" s="1"/>
      <c r="AK1113" s="1" t="s">
        <v>3377</v>
      </c>
      <c r="AL1113" s="9">
        <f t="shared" si="165"/>
        <v>1</v>
      </c>
    </row>
    <row r="1114" spans="1:38" ht="15" x14ac:dyDescent="0.25">
      <c r="A1114" s="1" t="s">
        <v>3378</v>
      </c>
      <c r="B1114" s="1" t="s">
        <v>3379</v>
      </c>
      <c r="C1114" s="1" t="s">
        <v>57</v>
      </c>
      <c r="D1114" s="1" t="s">
        <v>57</v>
      </c>
      <c r="E1114" s="6">
        <v>579.54</v>
      </c>
      <c r="F1114" s="1" t="s">
        <v>40</v>
      </c>
      <c r="G1114" s="6">
        <f ca="1">IFERROR(__xludf.DUMMYFUNCTION("iferror(GOOGLEFINANCE(TRIM(F1114)&amp;"":"" &amp; TRIM(B1114), ""price""),0
)"),1.6)</f>
        <v>1.6</v>
      </c>
      <c r="H1114" s="6">
        <v>3.42</v>
      </c>
      <c r="I1114" s="6">
        <f t="shared" ca="1" si="0"/>
        <v>1.6</v>
      </c>
      <c r="J1114" s="6">
        <f ca="1">IFERROR(__xludf.DUMMYFUNCTION("IFERROR(GOOGLEFINANCE(B1114, ""volume""), 0)"),1424272)</f>
        <v>1424272</v>
      </c>
      <c r="K1114" s="6">
        <v>0.88</v>
      </c>
      <c r="L1114" s="6">
        <f ca="1">IFERROR(__xludf.DUMMYFUNCTION("IFERROR(GOOGLEFINANCE(B1114,""changepct""),K1114)"),-1.23)</f>
        <v>-1.23</v>
      </c>
      <c r="M1114" s="6">
        <f ca="1">IFERROR(__xludf.DUMMYFUNCTION("IFERROR(GOOGLEFINANCE(B1114,""change""),0)"),-0.02)</f>
        <v>-0.02</v>
      </c>
      <c r="N1114" s="6">
        <v>2</v>
      </c>
      <c r="O1114" s="7">
        <v>45536</v>
      </c>
      <c r="P1114" s="12"/>
      <c r="Q1114" s="6">
        <v>571.46</v>
      </c>
      <c r="R1114" s="7">
        <v>45536</v>
      </c>
      <c r="S1114" s="6">
        <v>37.15</v>
      </c>
      <c r="T1114" s="6">
        <v>-3.23</v>
      </c>
      <c r="U1114" s="7">
        <v>45536</v>
      </c>
      <c r="V1114" s="6">
        <v>0</v>
      </c>
      <c r="W1114" s="6">
        <f ca="1">IFERROR(__xludf.DUMMYFUNCTION("IFERROR(GOOGLEFINANCE(B1114,""pe""),V1114)"),594.8)</f>
        <v>594.79999999999995</v>
      </c>
      <c r="X1114" s="6">
        <v>0</v>
      </c>
      <c r="Y1114" s="6">
        <v>2.27</v>
      </c>
      <c r="Z1114" s="6">
        <v>2</v>
      </c>
      <c r="AA1114" s="8">
        <v>45352</v>
      </c>
      <c r="AB1114" s="4">
        <v>0</v>
      </c>
      <c r="AC1114" s="6">
        <v>-5.74</v>
      </c>
      <c r="AD1114" s="6">
        <v>-2.62</v>
      </c>
      <c r="AE1114" s="1">
        <v>0</v>
      </c>
      <c r="AF1114" s="1">
        <f ca="1">IFERROR(__xludf.DUMMYFUNCTION("IFERROR(GOOGLEFINANCE(TRIM(F1114)&amp;"":"" &amp; TRIM(B1114),""high52""),AE1114)"),3.42)</f>
        <v>3.42</v>
      </c>
      <c r="AG1114" s="1">
        <v>0</v>
      </c>
      <c r="AH1114" s="1">
        <f ca="1">IFERROR(__xludf.DUMMYFUNCTION("IFERROR(GOOGLEFINANCE(TRIM(F1114)&amp;"":"" &amp; TRIM(B1114),""low52""),AE1114)"),1.46)</f>
        <v>1.46</v>
      </c>
      <c r="AI1114" s="1">
        <f ca="1">IFERROR(__xludf.DUMMYFUNCTION("IFERROR(GOOGLEFINANCE(B1114,""eps""),0)"),0)</f>
        <v>0</v>
      </c>
      <c r="AJ1114" s="1"/>
      <c r="AK1114" s="1" t="s">
        <v>3380</v>
      </c>
      <c r="AL1114" s="9">
        <f t="shared" si="165"/>
        <v>1</v>
      </c>
    </row>
    <row r="1115" spans="1:38" ht="15" x14ac:dyDescent="0.25">
      <c r="A1115" s="1" t="s">
        <v>3381</v>
      </c>
      <c r="B1115" s="1" t="s">
        <v>3382</v>
      </c>
      <c r="C1115" s="1" t="s">
        <v>106</v>
      </c>
      <c r="D1115" s="1" t="s">
        <v>106</v>
      </c>
      <c r="E1115" s="6">
        <v>8253.66</v>
      </c>
      <c r="F1115" s="1" t="s">
        <v>40</v>
      </c>
      <c r="G1115" s="6">
        <f ca="1">IFERROR(__xludf.DUMMYFUNCTION("iferror(GOOGLEFINANCE(TRIM(F1115)&amp;"":"" &amp; TRIM(B1115), ""price""),0
)"),379.9)</f>
        <v>379.9</v>
      </c>
      <c r="H1115" s="6">
        <v>509.35</v>
      </c>
      <c r="I1115" s="6">
        <f t="shared" ca="1" si="0"/>
        <v>379.9</v>
      </c>
      <c r="J1115" s="6">
        <f ca="1">IFERROR(__xludf.DUMMYFUNCTION("IFERROR(GOOGLEFINANCE(B1115, ""volume""), 0)"),42109)</f>
        <v>42109</v>
      </c>
      <c r="K1115" s="6">
        <v>0.43</v>
      </c>
      <c r="L1115" s="6">
        <f ca="1">IFERROR(__xludf.DUMMYFUNCTION("IFERROR(GOOGLEFINANCE(B1115,""changepct""),K1115)"),0.52)</f>
        <v>0.52</v>
      </c>
      <c r="M1115" s="6">
        <f ca="1">IFERROR(__xludf.DUMMYFUNCTION("IFERROR(GOOGLEFINANCE(B1115,""change""),0)"),1.95)</f>
        <v>1.95</v>
      </c>
      <c r="N1115" s="6">
        <v>2</v>
      </c>
      <c r="O1115" s="7">
        <v>45536</v>
      </c>
      <c r="P1115" s="9"/>
      <c r="Q1115" s="6">
        <v>8208.11</v>
      </c>
      <c r="R1115" s="7">
        <v>45536</v>
      </c>
      <c r="S1115" s="6">
        <v>2072.3200000000002</v>
      </c>
      <c r="T1115" s="6">
        <v>316.52999999999997</v>
      </c>
      <c r="U1115" s="7">
        <v>45536</v>
      </c>
      <c r="V1115" s="6">
        <v>26.07</v>
      </c>
      <c r="W1115" s="6">
        <f ca="1">IFERROR(__xludf.DUMMYFUNCTION("IFERROR(GOOGLEFINANCE(B1115,""pe""),V1115)"),27.43)</f>
        <v>27.43</v>
      </c>
      <c r="X1115" s="6">
        <v>2.11</v>
      </c>
      <c r="Y1115" s="6">
        <v>3.6</v>
      </c>
      <c r="Z1115" s="6">
        <v>2</v>
      </c>
      <c r="AA1115" s="8">
        <v>45352</v>
      </c>
      <c r="AB1115" s="4">
        <v>0</v>
      </c>
      <c r="AC1115" s="6">
        <v>14.96</v>
      </c>
      <c r="AD1115" s="6">
        <v>19.62</v>
      </c>
      <c r="AE1115" s="1">
        <v>0</v>
      </c>
      <c r="AF1115" s="1">
        <f ca="1">IFERROR(__xludf.DUMMYFUNCTION("IFERROR(GOOGLEFINANCE(TRIM(F1115)&amp;"":"" &amp; TRIM(B1115),""high52""),AE1115)"),527.8)</f>
        <v>527.79999999999995</v>
      </c>
      <c r="AG1115" s="1">
        <v>0</v>
      </c>
      <c r="AH1115" s="1">
        <f ca="1">IFERROR(__xludf.DUMMYFUNCTION("IFERROR(GOOGLEFINANCE(TRIM(F1115)&amp;"":"" &amp; TRIM(B1115),""low52""),AE1115)"),358.75)</f>
        <v>358.75</v>
      </c>
      <c r="AI1115" s="1">
        <f ca="1">IFERROR(__xludf.DUMMYFUNCTION("IFERROR(GOOGLEFINANCE(B1115,""eps""),0)"),13.85)</f>
        <v>13.85</v>
      </c>
      <c r="AJ1115" s="1"/>
      <c r="AK1115" s="1" t="s">
        <v>3383</v>
      </c>
      <c r="AL1115" s="9">
        <f t="shared" si="165"/>
        <v>1</v>
      </c>
    </row>
    <row r="1116" spans="1:38" ht="15" x14ac:dyDescent="0.25">
      <c r="A1116" s="1" t="s">
        <v>3384</v>
      </c>
      <c r="B1116" s="1" t="s">
        <v>3385</v>
      </c>
      <c r="C1116" s="1" t="s">
        <v>208</v>
      </c>
      <c r="D1116" s="1" t="s">
        <v>208</v>
      </c>
      <c r="E1116" s="6">
        <v>3883.2</v>
      </c>
      <c r="F1116" s="1" t="s">
        <v>40</v>
      </c>
      <c r="G1116" s="6">
        <f ca="1">IFERROR(__xludf.DUMMYFUNCTION("iferror(GOOGLEFINANCE(TRIM(F1116)&amp;"":"" &amp; TRIM(B1116), ""price""),0
)"),141.33)</f>
        <v>141.33000000000001</v>
      </c>
      <c r="H1116" s="6">
        <v>104.9</v>
      </c>
      <c r="I1116" s="6">
        <f t="shared" ca="1" si="0"/>
        <v>141.33000000000001</v>
      </c>
      <c r="J1116" s="6">
        <f ca="1">IFERROR(__xludf.DUMMYFUNCTION("IFERROR(GOOGLEFINANCE(B1116, ""volume""), 0)"),2209709)</f>
        <v>2209709</v>
      </c>
      <c r="K1116" s="6">
        <v>0.83</v>
      </c>
      <c r="L1116" s="6">
        <f ca="1">IFERROR(__xludf.DUMMYFUNCTION("IFERROR(GOOGLEFINANCE(B1116,""changepct""),K1116)"),-0.32)</f>
        <v>-0.32</v>
      </c>
      <c r="M1116" s="6">
        <f ca="1">IFERROR(__xludf.DUMMYFUNCTION("IFERROR(GOOGLEFINANCE(B1116,""change""),0)"),-0.45)</f>
        <v>-0.45</v>
      </c>
      <c r="N1116" s="6">
        <v>1</v>
      </c>
      <c r="O1116" s="7">
        <v>45536</v>
      </c>
      <c r="P1116" s="6">
        <v>267.83999999999997</v>
      </c>
      <c r="Q1116" s="7">
        <v>45536</v>
      </c>
      <c r="R1116" s="6">
        <v>14.5</v>
      </c>
      <c r="S1116" s="9"/>
      <c r="T1116" s="6">
        <v>1.62</v>
      </c>
      <c r="U1116" s="6">
        <v>1</v>
      </c>
      <c r="V1116" s="7">
        <v>45352</v>
      </c>
      <c r="W1116" s="6">
        <f ca="1">IFERROR(__xludf.DUMMYFUNCTION("IFERROR(GOOGLEFINANCE(B1116,""pe""),V1116)"),16.85)</f>
        <v>16.850000000000001</v>
      </c>
      <c r="X1116" s="6">
        <v>3.65</v>
      </c>
      <c r="Y1116" s="6">
        <v>13.64</v>
      </c>
      <c r="Z1116" s="6">
        <v>10.63</v>
      </c>
      <c r="AA1116" s="3" t="s">
        <v>3386</v>
      </c>
      <c r="AB1116" s="11"/>
      <c r="AC1116" s="9"/>
      <c r="AD1116" s="9"/>
      <c r="AE1116" s="1">
        <v>0</v>
      </c>
      <c r="AF1116" s="1">
        <f ca="1">IFERROR(__xludf.DUMMYFUNCTION("IFERROR(GOOGLEFINANCE(TRIM(F1116)&amp;"":"" &amp; TRIM(B1116),""high52""),AE1116)"),178.48)</f>
        <v>178.48</v>
      </c>
      <c r="AG1116" s="1">
        <v>0</v>
      </c>
      <c r="AH1116" s="1">
        <f ca="1">IFERROR(__xludf.DUMMYFUNCTION("IFERROR(GOOGLEFINANCE(TRIM(F1116)&amp;"":"" &amp; TRIM(B1116),""low52""),AE1116)"),80)</f>
        <v>80</v>
      </c>
      <c r="AI1116" s="1">
        <f ca="1">IFERROR(__xludf.DUMMYFUNCTION("IFERROR(GOOGLEFINANCE(B1116,""eps""),0)"),8.39)</f>
        <v>8.39</v>
      </c>
      <c r="AJ1116" s="1"/>
      <c r="AK1116" s="1" t="s">
        <v>3387</v>
      </c>
      <c r="AL1116" s="9">
        <f t="shared" si="165"/>
        <v>1</v>
      </c>
    </row>
    <row r="1117" spans="1:38" ht="15" x14ac:dyDescent="0.25">
      <c r="A1117" s="1" t="s">
        <v>3388</v>
      </c>
      <c r="B1117" s="1" t="s">
        <v>3389</v>
      </c>
      <c r="C1117" s="1" t="s">
        <v>355</v>
      </c>
      <c r="D1117" s="1" t="s">
        <v>355</v>
      </c>
      <c r="E1117" s="6">
        <v>2155.75</v>
      </c>
      <c r="F1117" s="1" t="s">
        <v>40</v>
      </c>
      <c r="G1117" s="6">
        <f ca="1">IFERROR(__xludf.DUMMYFUNCTION("iferror(GOOGLEFINANCE(TRIM(F1117)&amp;"":"" &amp; TRIM(B1117), ""price""),0
)"),421.45)</f>
        <v>421.45</v>
      </c>
      <c r="H1117" s="6">
        <v>393.75</v>
      </c>
      <c r="I1117" s="6">
        <f t="shared" ca="1" si="0"/>
        <v>421.45</v>
      </c>
      <c r="J1117" s="6">
        <f ca="1">IFERROR(__xludf.DUMMYFUNCTION("IFERROR(GOOGLEFINANCE(B1117, ""volume""), 0)"),78977)</f>
        <v>78977</v>
      </c>
      <c r="K1117" s="6">
        <v>1.51</v>
      </c>
      <c r="L1117" s="6">
        <f ca="1">IFERROR(__xludf.DUMMYFUNCTION("IFERROR(GOOGLEFINANCE(B1117,""changepct""),K1117)"),-1.1)</f>
        <v>-1.1000000000000001</v>
      </c>
      <c r="M1117" s="6">
        <f ca="1">IFERROR(__xludf.DUMMYFUNCTION("IFERROR(GOOGLEFINANCE(B1117,""change""),0)"),-4.7)</f>
        <v>-4.7</v>
      </c>
      <c r="N1117" s="6">
        <v>2</v>
      </c>
      <c r="O1117" s="7">
        <v>45536</v>
      </c>
      <c r="P1117" s="9"/>
      <c r="Q1117" s="6">
        <v>2155.75</v>
      </c>
      <c r="R1117" s="7">
        <v>45536</v>
      </c>
      <c r="S1117" s="6">
        <v>1750.92</v>
      </c>
      <c r="T1117" s="6">
        <v>146.65</v>
      </c>
      <c r="U1117" s="7">
        <v>45536</v>
      </c>
      <c r="V1117" s="6">
        <v>15.56</v>
      </c>
      <c r="W1117" s="6">
        <f ca="1">IFERROR(__xludf.DUMMYFUNCTION("IFERROR(GOOGLEFINANCE(B1117,""pe""),V1117)"),12.97)</f>
        <v>12.97</v>
      </c>
      <c r="X1117" s="6">
        <v>2.0099999999999998</v>
      </c>
      <c r="Y1117" s="6">
        <v>1.82</v>
      </c>
      <c r="Z1117" s="6">
        <v>2</v>
      </c>
      <c r="AA1117" s="8">
        <v>45352</v>
      </c>
      <c r="AB1117" s="4">
        <v>0</v>
      </c>
      <c r="AC1117" s="6">
        <v>12.76</v>
      </c>
      <c r="AD1117" s="6">
        <v>17.850000000000001</v>
      </c>
      <c r="AE1117" s="1">
        <v>0</v>
      </c>
      <c r="AF1117" s="1">
        <f ca="1">IFERROR(__xludf.DUMMYFUNCTION("IFERROR(GOOGLEFINANCE(TRIM(F1117)&amp;"":"" &amp; TRIM(B1117),""high52""),AE1117)"),622)</f>
        <v>622</v>
      </c>
      <c r="AG1117" s="1">
        <v>0</v>
      </c>
      <c r="AH1117" s="1">
        <f ca="1">IFERROR(__xludf.DUMMYFUNCTION("IFERROR(GOOGLEFINANCE(TRIM(F1117)&amp;"":"" &amp; TRIM(B1117),""low52""),AE1117)"),308)</f>
        <v>308</v>
      </c>
      <c r="AI1117" s="1">
        <f ca="1">IFERROR(__xludf.DUMMYFUNCTION("IFERROR(GOOGLEFINANCE(B1117,""eps""),0)"),32.5)</f>
        <v>32.5</v>
      </c>
      <c r="AJ1117" s="1"/>
      <c r="AK1117" s="1" t="s">
        <v>3390</v>
      </c>
      <c r="AL1117" s="1" t="b">
        <f>ISNUMBER(AA1117)</f>
        <v>1</v>
      </c>
    </row>
    <row r="1118" spans="1:38" ht="15" x14ac:dyDescent="0.25">
      <c r="A1118" s="1" t="s">
        <v>3391</v>
      </c>
      <c r="B1118" s="1" t="s">
        <v>3392</v>
      </c>
      <c r="C1118" s="1" t="s">
        <v>782</v>
      </c>
      <c r="D1118" s="1" t="s">
        <v>782</v>
      </c>
      <c r="E1118" s="6">
        <v>242.22</v>
      </c>
      <c r="F1118" s="1" t="s">
        <v>40</v>
      </c>
      <c r="G1118" s="6">
        <f ca="1">IFERROR(__xludf.DUMMYFUNCTION("iferror(GOOGLEFINANCE(TRIM(F1118)&amp;"":"" &amp; TRIM(B1118), ""price""),0
)"),0)</f>
        <v>0</v>
      </c>
      <c r="H1118" s="6">
        <v>181.95</v>
      </c>
      <c r="I1118" s="6">
        <f t="shared" ca="1" si="0"/>
        <v>181.95</v>
      </c>
      <c r="J1118" s="6">
        <f ca="1">IFERROR(__xludf.DUMMYFUNCTION("IFERROR(GOOGLEFINANCE(B1118, ""volume""), 0)"),0)</f>
        <v>0</v>
      </c>
      <c r="K1118" s="6">
        <v>1.65</v>
      </c>
      <c r="L1118" s="6">
        <f ca="1">IFERROR(__xludf.DUMMYFUNCTION("IFERROR(GOOGLEFINANCE(B1118,""changepct""),K1118)"),-2.83)</f>
        <v>-2.83</v>
      </c>
      <c r="M1118" s="6">
        <f ca="1">IFERROR(__xludf.DUMMYFUNCTION("IFERROR(GOOGLEFINANCE(B1118,""change""),0)"),-3.97)</f>
        <v>-3.97</v>
      </c>
      <c r="N1118" s="6">
        <v>1</v>
      </c>
      <c r="O1118" s="7">
        <v>45536</v>
      </c>
      <c r="P1118" s="6">
        <v>6.48</v>
      </c>
      <c r="Q1118" s="6">
        <v>248.7</v>
      </c>
      <c r="R1118" s="7">
        <v>45352</v>
      </c>
      <c r="S1118" s="6">
        <v>28.86</v>
      </c>
      <c r="T1118" s="6">
        <v>3.76</v>
      </c>
      <c r="U1118" s="7">
        <v>45352</v>
      </c>
      <c r="V1118" s="6">
        <v>64.47</v>
      </c>
      <c r="W1118" s="6">
        <f ca="1">IFERROR(__xludf.DUMMYFUNCTION("IFERROR(GOOGLEFINANCE(B1118,""pe""),V1118)"),64.47)</f>
        <v>64.47</v>
      </c>
      <c r="X1118" s="9"/>
      <c r="Y1118" s="6">
        <v>4.12</v>
      </c>
      <c r="Z1118" s="6">
        <v>2</v>
      </c>
      <c r="AA1118" s="8">
        <v>45352</v>
      </c>
      <c r="AB1118" s="4">
        <v>7.0000000000000007E-2</v>
      </c>
      <c r="AC1118" s="6">
        <v>20.21</v>
      </c>
      <c r="AD1118" s="6">
        <v>16.03</v>
      </c>
      <c r="AE1118" s="1">
        <v>0</v>
      </c>
      <c r="AF1118" s="1">
        <f ca="1">IFERROR(__xludf.DUMMYFUNCTION("IFERROR(GOOGLEFINANCE(TRIM(F1118)&amp;"":"" &amp; TRIM(B1118),""high52""),AE1118)"),0)</f>
        <v>0</v>
      </c>
      <c r="AG1118" s="1">
        <v>0</v>
      </c>
      <c r="AH1118" s="1">
        <f ca="1">IFERROR(__xludf.DUMMYFUNCTION("IFERROR(GOOGLEFINANCE(TRIM(F1118)&amp;"":"" &amp; TRIM(B1118),""low52""),AE1118)"),0)</f>
        <v>0</v>
      </c>
      <c r="AI1118" s="1">
        <f ca="1">IFERROR(__xludf.DUMMYFUNCTION("IFERROR(GOOGLEFINANCE(B1118,""eps""),0)"),0)</f>
        <v>0</v>
      </c>
      <c r="AJ1118" s="1"/>
      <c r="AK1118" s="1" t="s">
        <v>3393</v>
      </c>
      <c r="AL1118" s="9">
        <f t="shared" ref="AL1118:AL1122" si="166">IF(AA1118&lt;&gt;AB1118,1,0)</f>
        <v>1</v>
      </c>
    </row>
    <row r="1119" spans="1:38" ht="15" x14ac:dyDescent="0.25">
      <c r="A1119" s="1" t="s">
        <v>3394</v>
      </c>
      <c r="B1119" s="1" t="s">
        <v>3395</v>
      </c>
      <c r="C1119" s="1" t="s">
        <v>186</v>
      </c>
      <c r="D1119" s="1" t="s">
        <v>186</v>
      </c>
      <c r="E1119" s="6">
        <v>177.16</v>
      </c>
      <c r="F1119" s="1" t="s">
        <v>40</v>
      </c>
      <c r="G1119" s="6">
        <f ca="1">IFERROR(__xludf.DUMMYFUNCTION("iferror(GOOGLEFINANCE(TRIM(F1119)&amp;"":"" &amp; TRIM(B1119), ""price""),0
)"),39.05)</f>
        <v>39.049999999999997</v>
      </c>
      <c r="H1119" s="6">
        <v>61.82</v>
      </c>
      <c r="I1119" s="6">
        <f t="shared" ca="1" si="0"/>
        <v>39.049999999999997</v>
      </c>
      <c r="J1119" s="6">
        <f ca="1">IFERROR(__xludf.DUMMYFUNCTION("IFERROR(GOOGLEFINANCE(B1119, ""volume""), 0)"),106465)</f>
        <v>106465</v>
      </c>
      <c r="K1119" s="6">
        <v>0.44</v>
      </c>
      <c r="L1119" s="6">
        <f ca="1">IFERROR(__xludf.DUMMYFUNCTION("IFERROR(GOOGLEFINANCE(B1119,""changepct""),K1119)"),-1.29)</f>
        <v>-1.29</v>
      </c>
      <c r="M1119" s="6">
        <f ca="1">IFERROR(__xludf.DUMMYFUNCTION("IFERROR(GOOGLEFINANCE(B1119,""change""),0)"),-0.51)</f>
        <v>-0.51</v>
      </c>
      <c r="N1119" s="6">
        <v>1</v>
      </c>
      <c r="O1119" s="7">
        <v>45536</v>
      </c>
      <c r="P1119" s="6">
        <v>7.93</v>
      </c>
      <c r="Q1119" s="6">
        <v>181.31</v>
      </c>
      <c r="R1119" s="7">
        <v>45536</v>
      </c>
      <c r="S1119" s="6">
        <v>84.71</v>
      </c>
      <c r="T1119" s="6">
        <v>11.51</v>
      </c>
      <c r="U1119" s="7">
        <v>45536</v>
      </c>
      <c r="V1119" s="6">
        <v>15.39</v>
      </c>
      <c r="W1119" s="6">
        <f ca="1">IFERROR(__xludf.DUMMYFUNCTION("IFERROR(GOOGLEFINANCE(B1119,""pe""),V1119)"),6.95)</f>
        <v>6.95</v>
      </c>
      <c r="X1119" s="6">
        <v>-17.3</v>
      </c>
      <c r="Y1119" s="6">
        <v>1.06</v>
      </c>
      <c r="Z1119" s="6">
        <v>1</v>
      </c>
      <c r="AA1119" s="8">
        <v>45352</v>
      </c>
      <c r="AB1119" s="4">
        <v>0.04</v>
      </c>
      <c r="AC1119" s="6">
        <v>4.6100000000000003</v>
      </c>
      <c r="AD1119" s="6">
        <v>5.17</v>
      </c>
      <c r="AE1119" s="1">
        <v>0</v>
      </c>
      <c r="AF1119" s="1">
        <f ca="1">IFERROR(__xludf.DUMMYFUNCTION("IFERROR(GOOGLEFINANCE(TRIM(F1119)&amp;"":"" &amp; TRIM(B1119),""high52""),AE1119)"),59.26)</f>
        <v>59.26</v>
      </c>
      <c r="AG1119" s="1">
        <v>0</v>
      </c>
      <c r="AH1119" s="1">
        <f ca="1">IFERROR(__xludf.DUMMYFUNCTION("IFERROR(GOOGLEFINANCE(TRIM(F1119)&amp;"":"" &amp; TRIM(B1119),""low52""),AE1119)"),31.2)</f>
        <v>31.2</v>
      </c>
      <c r="AI1119" s="1">
        <f ca="1">IFERROR(__xludf.DUMMYFUNCTION("IFERROR(GOOGLEFINANCE(B1119,""eps""),0)"),5.62)</f>
        <v>5.62</v>
      </c>
      <c r="AJ1119" s="1"/>
      <c r="AK1119" s="1" t="s">
        <v>3396</v>
      </c>
      <c r="AL1119" s="9">
        <f t="shared" si="166"/>
        <v>1</v>
      </c>
    </row>
    <row r="1120" spans="1:38" ht="15" x14ac:dyDescent="0.25">
      <c r="A1120" s="1" t="s">
        <v>3397</v>
      </c>
      <c r="B1120" s="1" t="s">
        <v>3398</v>
      </c>
      <c r="C1120" s="1" t="s">
        <v>317</v>
      </c>
      <c r="D1120" s="1" t="s">
        <v>317</v>
      </c>
      <c r="E1120" s="6">
        <v>135.6</v>
      </c>
      <c r="F1120" s="1" t="s">
        <v>53</v>
      </c>
      <c r="G1120" s="6">
        <f ca="1">IFERROR(__xludf.DUMMYFUNCTION("iferror(GOOGLEFINANCE(TRIM(F1120)&amp;"":"" &amp; TRIM(B1120), ""price""),0
)"),0)</f>
        <v>0</v>
      </c>
      <c r="H1120" s="6">
        <v>103.55</v>
      </c>
      <c r="I1120" s="6">
        <f t="shared" ca="1" si="0"/>
        <v>103.55</v>
      </c>
      <c r="J1120" s="6">
        <f ca="1">IFERROR(__xludf.DUMMYFUNCTION("IFERROR(GOOGLEFINANCE(B1120, ""volume""), 0)"),0)</f>
        <v>0</v>
      </c>
      <c r="K1120" s="12"/>
      <c r="L1120" s="6" t="str">
        <f ca="1">IFERROR(__xludf.DUMMYFUNCTION("IFERROR(GOOGLEFINANCE(B1120,""changepct""),K1120)"),"")</f>
        <v/>
      </c>
      <c r="M1120" s="6">
        <f ca="1">IFERROR(__xludf.DUMMYFUNCTION("IFERROR(GOOGLEFINANCE(B1120,""change""),0)"),0)</f>
        <v>0</v>
      </c>
      <c r="N1120" s="6">
        <v>1</v>
      </c>
      <c r="O1120" s="7">
        <v>45536</v>
      </c>
      <c r="P1120" s="6">
        <v>13.73</v>
      </c>
      <c r="Q1120" s="6">
        <v>149.33000000000001</v>
      </c>
      <c r="R1120" s="7">
        <v>45352</v>
      </c>
      <c r="S1120" s="6">
        <v>101.11</v>
      </c>
      <c r="T1120" s="6">
        <v>1.4</v>
      </c>
      <c r="U1120" s="7">
        <v>45352</v>
      </c>
      <c r="V1120" s="6">
        <v>96.58</v>
      </c>
      <c r="W1120" s="6">
        <f ca="1">IFERROR(__xludf.DUMMYFUNCTION("IFERROR(GOOGLEFINANCE(B1120,""pe""),V1120)"),96.58)</f>
        <v>96.58</v>
      </c>
      <c r="X1120" s="12"/>
      <c r="Y1120" s="6">
        <v>4.6100000000000003</v>
      </c>
      <c r="Z1120" s="6">
        <v>2</v>
      </c>
      <c r="AA1120" s="8">
        <v>45352</v>
      </c>
      <c r="AB1120" s="4">
        <v>0.81</v>
      </c>
      <c r="AC1120" s="6">
        <v>7.47</v>
      </c>
      <c r="AD1120" s="6">
        <v>10.48</v>
      </c>
      <c r="AE1120" s="1">
        <v>0</v>
      </c>
      <c r="AF1120" s="1">
        <f ca="1">IFERROR(__xludf.DUMMYFUNCTION("IFERROR(GOOGLEFINANCE(TRIM(F1120)&amp;"":"" &amp; TRIM(B1120),""high52""),AE1120)"),0)</f>
        <v>0</v>
      </c>
      <c r="AG1120" s="1">
        <v>0</v>
      </c>
      <c r="AH1120" s="1">
        <f ca="1">IFERROR(__xludf.DUMMYFUNCTION("IFERROR(GOOGLEFINANCE(TRIM(F1120)&amp;"":"" &amp; TRIM(B1120),""low52""),AE1120)"),0)</f>
        <v>0</v>
      </c>
      <c r="AI1120" s="1">
        <f ca="1">IFERROR(__xludf.DUMMYFUNCTION("IFERROR(GOOGLEFINANCE(B1120,""eps""),0)"),0)</f>
        <v>0</v>
      </c>
      <c r="AJ1120" s="1"/>
      <c r="AK1120" s="1" t="s">
        <v>3399</v>
      </c>
      <c r="AL1120" s="9">
        <f t="shared" si="166"/>
        <v>1</v>
      </c>
    </row>
    <row r="1121" spans="1:38" ht="15" x14ac:dyDescent="0.25">
      <c r="A1121" s="1" t="s">
        <v>3400</v>
      </c>
      <c r="B1121" s="1" t="s">
        <v>3401</v>
      </c>
      <c r="C1121" s="1" t="s">
        <v>317</v>
      </c>
      <c r="D1121" s="1" t="s">
        <v>317</v>
      </c>
      <c r="E1121" s="6">
        <v>429.14</v>
      </c>
      <c r="F1121" s="1" t="s">
        <v>53</v>
      </c>
      <c r="G1121" s="6">
        <f ca="1">IFERROR(__xludf.DUMMYFUNCTION("iferror(GOOGLEFINANCE(TRIM(F1121)&amp;"":"" &amp; TRIM(B1121), ""price""),0
)"),0)</f>
        <v>0</v>
      </c>
      <c r="H1121" s="6">
        <v>51.66</v>
      </c>
      <c r="I1121" s="6">
        <f t="shared" ca="1" si="0"/>
        <v>51.66</v>
      </c>
      <c r="J1121" s="6">
        <f ca="1">IFERROR(__xludf.DUMMYFUNCTION("IFERROR(GOOGLEFINANCE(B1121, ""volume""), 0)"),0)</f>
        <v>0</v>
      </c>
      <c r="K1121" s="6">
        <v>-3.11</v>
      </c>
      <c r="L1121" s="6">
        <f ca="1">IFERROR(__xludf.DUMMYFUNCTION("IFERROR(GOOGLEFINANCE(B1121,""changepct""),K1121)"),-3.11)</f>
        <v>-3.11</v>
      </c>
      <c r="M1121" s="6">
        <f ca="1">IFERROR(__xludf.DUMMYFUNCTION("IFERROR(GOOGLEFINANCE(B1121,""change""),0)"),0)</f>
        <v>0</v>
      </c>
      <c r="N1121" s="6">
        <v>1</v>
      </c>
      <c r="O1121" s="7">
        <v>45352</v>
      </c>
      <c r="P1121" s="6">
        <v>0.32</v>
      </c>
      <c r="Q1121" s="6">
        <v>398.89</v>
      </c>
      <c r="R1121" s="7">
        <v>45444</v>
      </c>
      <c r="S1121" s="6">
        <v>1037.4000000000001</v>
      </c>
      <c r="T1121" s="6">
        <v>10.34</v>
      </c>
      <c r="U1121" s="7">
        <v>45444</v>
      </c>
      <c r="V1121" s="6">
        <v>41.51</v>
      </c>
      <c r="W1121" s="6">
        <f ca="1">IFERROR(__xludf.DUMMYFUNCTION("IFERROR(GOOGLEFINANCE(B1121,""pe""),V1121)"),41.51)</f>
        <v>41.51</v>
      </c>
      <c r="X1121" s="6">
        <v>1</v>
      </c>
      <c r="Y1121" s="6">
        <v>3.18</v>
      </c>
      <c r="Z1121" s="6">
        <v>1</v>
      </c>
      <c r="AA1121" s="8">
        <v>45352</v>
      </c>
      <c r="AB1121" s="4">
        <v>0</v>
      </c>
      <c r="AC1121" s="6">
        <v>3.14</v>
      </c>
      <c r="AD1121" s="6">
        <v>7.33</v>
      </c>
      <c r="AE1121" s="1">
        <v>0</v>
      </c>
      <c r="AF1121" s="1">
        <f ca="1">IFERROR(__xludf.DUMMYFUNCTION("IFERROR(GOOGLEFINANCE(TRIM(F1121)&amp;"":"" &amp; TRIM(B1121),""high52""),AE1121)"),0)</f>
        <v>0</v>
      </c>
      <c r="AG1121" s="1">
        <v>0</v>
      </c>
      <c r="AH1121" s="1">
        <f ca="1">IFERROR(__xludf.DUMMYFUNCTION("IFERROR(GOOGLEFINANCE(TRIM(F1121)&amp;"":"" &amp; TRIM(B1121),""low52""),AE1121)"),0)</f>
        <v>0</v>
      </c>
      <c r="AI1121" s="1">
        <f ca="1">IFERROR(__xludf.DUMMYFUNCTION("IFERROR(GOOGLEFINANCE(B1121,""eps""),0)"),0)</f>
        <v>0</v>
      </c>
      <c r="AJ1121" s="1"/>
      <c r="AK1121" s="9"/>
      <c r="AL1121" s="9">
        <f t="shared" si="166"/>
        <v>1</v>
      </c>
    </row>
    <row r="1122" spans="1:38" ht="15" x14ac:dyDescent="0.25">
      <c r="A1122" s="1" t="s">
        <v>3402</v>
      </c>
      <c r="B1122" s="1" t="s">
        <v>3403</v>
      </c>
      <c r="C1122" s="1" t="s">
        <v>57</v>
      </c>
      <c r="D1122" s="1" t="s">
        <v>57</v>
      </c>
      <c r="E1122" s="6">
        <v>253.84</v>
      </c>
      <c r="F1122" s="1" t="s">
        <v>40</v>
      </c>
      <c r="G1122" s="6">
        <f ca="1">IFERROR(__xludf.DUMMYFUNCTION("iferror(GOOGLEFINANCE(TRIM(F1122)&amp;"":"" &amp; TRIM(B1122), ""price""),0
)"),0)</f>
        <v>0</v>
      </c>
      <c r="H1122" s="6">
        <v>188</v>
      </c>
      <c r="I1122" s="6">
        <f t="shared" ca="1" si="0"/>
        <v>188</v>
      </c>
      <c r="J1122" s="6">
        <f ca="1">IFERROR(__xludf.DUMMYFUNCTION("IFERROR(GOOGLEFINANCE(B1122, ""volume""), 0)"),0)</f>
        <v>0</v>
      </c>
      <c r="K1122" s="6">
        <v>1.84</v>
      </c>
      <c r="L1122" s="6">
        <f ca="1">IFERROR(__xludf.DUMMYFUNCTION("IFERROR(GOOGLEFINANCE(B1122,""changepct""),K1122)"),1.84)</f>
        <v>1.84</v>
      </c>
      <c r="M1122" s="6">
        <f ca="1">IFERROR(__xludf.DUMMYFUNCTION("IFERROR(GOOGLEFINANCE(B1122,""change""),0)"),0)</f>
        <v>0</v>
      </c>
      <c r="N1122" s="6">
        <v>1</v>
      </c>
      <c r="O1122" s="7">
        <v>45536</v>
      </c>
      <c r="P1122" s="9"/>
      <c r="Q1122" s="6">
        <v>247.95</v>
      </c>
      <c r="R1122" s="7">
        <v>45536</v>
      </c>
      <c r="S1122" s="6">
        <v>47.6</v>
      </c>
      <c r="T1122" s="6">
        <v>7.33</v>
      </c>
      <c r="U1122" s="7">
        <v>45536</v>
      </c>
      <c r="V1122" s="6">
        <v>34.630000000000003</v>
      </c>
      <c r="W1122" s="6">
        <f ca="1">IFERROR(__xludf.DUMMYFUNCTION("IFERROR(GOOGLEFINANCE(B1122,""pe""),V1122)"),34.63)</f>
        <v>34.630000000000003</v>
      </c>
      <c r="X1122" s="14"/>
      <c r="Y1122" s="6">
        <v>6.05</v>
      </c>
      <c r="Z1122" s="6">
        <v>1</v>
      </c>
      <c r="AA1122" s="8">
        <v>45352</v>
      </c>
      <c r="AB1122" s="4">
        <v>0</v>
      </c>
      <c r="AC1122" s="6">
        <v>17.34</v>
      </c>
      <c r="AD1122" s="6">
        <v>23.19</v>
      </c>
      <c r="AE1122" s="1">
        <v>0</v>
      </c>
      <c r="AF1122" s="1">
        <f ca="1">IFERROR(__xludf.DUMMYFUNCTION("IFERROR(GOOGLEFINANCE(TRIM(F1122)&amp;"":"" &amp; TRIM(B1122),""high52""),AE1122)"),0)</f>
        <v>0</v>
      </c>
      <c r="AG1122" s="1">
        <v>0</v>
      </c>
      <c r="AH1122" s="1">
        <f ca="1">IFERROR(__xludf.DUMMYFUNCTION("IFERROR(GOOGLEFINANCE(TRIM(F1122)&amp;"":"" &amp; TRIM(B1122),""low52""),AE1122)"),0)</f>
        <v>0</v>
      </c>
      <c r="AI1122" s="1">
        <f ca="1">IFERROR(__xludf.DUMMYFUNCTION("IFERROR(GOOGLEFINANCE(B1122,""eps""),0)"),0)</f>
        <v>0</v>
      </c>
      <c r="AJ1122" s="1"/>
      <c r="AK1122" s="1" t="s">
        <v>3404</v>
      </c>
      <c r="AL1122" s="9">
        <f t="shared" si="166"/>
        <v>1</v>
      </c>
    </row>
    <row r="1123" spans="1:38" ht="15" x14ac:dyDescent="0.25">
      <c r="A1123" s="1" t="s">
        <v>3405</v>
      </c>
      <c r="B1123" s="1" t="s">
        <v>3406</v>
      </c>
      <c r="C1123" s="1" t="s">
        <v>355</v>
      </c>
      <c r="D1123" s="1" t="s">
        <v>355</v>
      </c>
      <c r="E1123" s="6">
        <v>4069.94</v>
      </c>
      <c r="F1123" s="1" t="s">
        <v>40</v>
      </c>
      <c r="G1123" s="6">
        <f ca="1">IFERROR(__xludf.DUMMYFUNCTION("iferror(GOOGLEFINANCE(TRIM(F1123)&amp;"":"" &amp; TRIM(B1123), ""price""),0
)"),2139)</f>
        <v>2139</v>
      </c>
      <c r="H1123" s="6">
        <v>1548.25</v>
      </c>
      <c r="I1123" s="6">
        <f t="shared" ca="1" si="0"/>
        <v>2139</v>
      </c>
      <c r="J1123" s="6">
        <f ca="1">IFERROR(__xludf.DUMMYFUNCTION("IFERROR(GOOGLEFINANCE(B1123, ""volume""), 0)"),32254)</f>
        <v>32254</v>
      </c>
      <c r="K1123" s="6">
        <v>0.05</v>
      </c>
      <c r="L1123" s="6">
        <f ca="1">IFERROR(__xludf.DUMMYFUNCTION("IFERROR(GOOGLEFINANCE(B1123,""changepct""),K1123)"),0.34)</f>
        <v>0.34</v>
      </c>
      <c r="M1123" s="6">
        <f ca="1">IFERROR(__xludf.DUMMYFUNCTION("IFERROR(GOOGLEFINANCE(B1123,""change""),0)"),7.2)</f>
        <v>7.2</v>
      </c>
      <c r="N1123" s="6">
        <v>2</v>
      </c>
      <c r="O1123" s="7">
        <v>45536</v>
      </c>
      <c r="P1123" s="9"/>
      <c r="Q1123" s="6">
        <v>3852.33</v>
      </c>
      <c r="R1123" s="7">
        <v>45536</v>
      </c>
      <c r="S1123" s="6">
        <v>2234.89</v>
      </c>
      <c r="T1123" s="6">
        <v>185.91</v>
      </c>
      <c r="U1123" s="7">
        <v>45536</v>
      </c>
      <c r="V1123" s="6">
        <v>21.91</v>
      </c>
      <c r="W1123" s="6">
        <f ca="1">IFERROR(__xludf.DUMMYFUNCTION("IFERROR(GOOGLEFINANCE(B1123,""pe""),V1123)"),24.8)</f>
        <v>24.8</v>
      </c>
      <c r="X1123" s="6">
        <v>0.9</v>
      </c>
      <c r="Y1123" s="6">
        <v>4.37</v>
      </c>
      <c r="Z1123" s="6">
        <v>2</v>
      </c>
      <c r="AA1123" s="8">
        <v>45352</v>
      </c>
      <c r="AB1123" s="4">
        <v>0</v>
      </c>
      <c r="AC1123" s="6">
        <v>20.12</v>
      </c>
      <c r="AD1123" s="6">
        <v>27.43</v>
      </c>
      <c r="AE1123" s="1">
        <v>0</v>
      </c>
      <c r="AF1123" s="1">
        <f ca="1">IFERROR(__xludf.DUMMYFUNCTION("IFERROR(GOOGLEFINANCE(TRIM(F1123)&amp;"":"" &amp; TRIM(B1123),""high52""),AE1123)"),2445)</f>
        <v>2445</v>
      </c>
      <c r="AG1123" s="1">
        <v>0</v>
      </c>
      <c r="AH1123" s="1">
        <f ca="1">IFERROR(__xludf.DUMMYFUNCTION("IFERROR(GOOGLEFINANCE(TRIM(F1123)&amp;"":"" &amp; TRIM(B1123),""low52""),AE1123)"),1255.1)</f>
        <v>1255.0999999999999</v>
      </c>
      <c r="AI1123" s="1">
        <f ca="1">IFERROR(__xludf.DUMMYFUNCTION("IFERROR(GOOGLEFINANCE(B1123,""eps""),0)"),86.26)</f>
        <v>86.26</v>
      </c>
      <c r="AJ1123" s="1"/>
      <c r="AK1123" s="1" t="s">
        <v>3407</v>
      </c>
      <c r="AL1123" s="1" t="b">
        <f>ISNUMBER(AA1123)</f>
        <v>1</v>
      </c>
    </row>
    <row r="1124" spans="1:38" ht="15" x14ac:dyDescent="0.25">
      <c r="A1124" s="1" t="s">
        <v>3408</v>
      </c>
      <c r="B1124" s="1" t="s">
        <v>3409</v>
      </c>
      <c r="C1124" s="1" t="s">
        <v>317</v>
      </c>
      <c r="D1124" s="1" t="s">
        <v>317</v>
      </c>
      <c r="E1124" s="6">
        <v>117.3</v>
      </c>
      <c r="F1124" s="1" t="s">
        <v>53</v>
      </c>
      <c r="G1124" s="6">
        <f ca="1">IFERROR(__xludf.DUMMYFUNCTION("iferror(GOOGLEFINANCE(TRIM(F1124)&amp;"":"" &amp; TRIM(B1124), ""price""),0
)"),0)</f>
        <v>0</v>
      </c>
      <c r="H1124" s="6">
        <v>195.05</v>
      </c>
      <c r="I1124" s="6">
        <f t="shared" ca="1" si="0"/>
        <v>195.05</v>
      </c>
      <c r="J1124" s="6">
        <f ca="1">IFERROR(__xludf.DUMMYFUNCTION("IFERROR(GOOGLEFINANCE(B1124, ""volume""), 0)"),0)</f>
        <v>0</v>
      </c>
      <c r="K1124" s="6">
        <v>-4.3899999999999997</v>
      </c>
      <c r="L1124" s="6">
        <f ca="1">IFERROR(__xludf.DUMMYFUNCTION("IFERROR(GOOGLEFINANCE(B1124,""changepct""),K1124)"),-4.39)</f>
        <v>-4.3899999999999997</v>
      </c>
      <c r="M1124" s="6">
        <f ca="1">IFERROR(__xludf.DUMMYFUNCTION("IFERROR(GOOGLEFINANCE(B1124,""change""),0)"),0)</f>
        <v>0</v>
      </c>
      <c r="N1124" s="6">
        <v>1</v>
      </c>
      <c r="O1124" s="7">
        <v>45536</v>
      </c>
      <c r="P1124" s="6">
        <v>24.06</v>
      </c>
      <c r="Q1124" s="6">
        <v>140.63</v>
      </c>
      <c r="R1124" s="7">
        <v>45536</v>
      </c>
      <c r="S1124" s="6">
        <v>357.23</v>
      </c>
      <c r="T1124" s="6">
        <v>5.51</v>
      </c>
      <c r="U1124" s="7">
        <v>45536</v>
      </c>
      <c r="V1124" s="6">
        <v>21.28</v>
      </c>
      <c r="W1124" s="6">
        <f ca="1">IFERROR(__xludf.DUMMYFUNCTION("IFERROR(GOOGLEFINANCE(B1124,""pe""),V1124)"),21.28)</f>
        <v>21.28</v>
      </c>
      <c r="X1124" s="6">
        <v>2.34</v>
      </c>
      <c r="Y1124" s="6">
        <v>3.98</v>
      </c>
      <c r="Z1124" s="6">
        <v>1</v>
      </c>
      <c r="AA1124" s="8">
        <v>45352</v>
      </c>
      <c r="AB1124" s="4">
        <v>1.02</v>
      </c>
      <c r="AC1124" s="6">
        <v>13.39</v>
      </c>
      <c r="AD1124" s="6">
        <v>12.91</v>
      </c>
      <c r="AE1124" s="1">
        <v>0</v>
      </c>
      <c r="AF1124" s="1">
        <f ca="1">IFERROR(__xludf.DUMMYFUNCTION("IFERROR(GOOGLEFINANCE(TRIM(F1124)&amp;"":"" &amp; TRIM(B1124),""high52""),AE1124)"),0)</f>
        <v>0</v>
      </c>
      <c r="AG1124" s="1">
        <v>0</v>
      </c>
      <c r="AH1124" s="1">
        <f ca="1">IFERROR(__xludf.DUMMYFUNCTION("IFERROR(GOOGLEFINANCE(TRIM(F1124)&amp;"":"" &amp; TRIM(B1124),""low52""),AE1124)"),0)</f>
        <v>0</v>
      </c>
      <c r="AI1124" s="1">
        <f ca="1">IFERROR(__xludf.DUMMYFUNCTION("IFERROR(GOOGLEFINANCE(B1124,""eps""),0)"),0)</f>
        <v>0</v>
      </c>
      <c r="AJ1124" s="1"/>
      <c r="AK1124" s="1" t="s">
        <v>3410</v>
      </c>
      <c r="AL1124" s="9">
        <f t="shared" ref="AL1124:AL1130" si="167">IF(AA1124&lt;&gt;AB1124,1,0)</f>
        <v>1</v>
      </c>
    </row>
    <row r="1125" spans="1:38" ht="15" x14ac:dyDescent="0.25">
      <c r="A1125" s="1" t="s">
        <v>3411</v>
      </c>
      <c r="B1125" s="1" t="s">
        <v>3412</v>
      </c>
      <c r="C1125" s="1" t="s">
        <v>186</v>
      </c>
      <c r="D1125" s="1" t="s">
        <v>186</v>
      </c>
      <c r="E1125" s="6">
        <v>600.04999999999995</v>
      </c>
      <c r="F1125" s="1" t="s">
        <v>40</v>
      </c>
      <c r="G1125" s="6">
        <f ca="1">IFERROR(__xludf.DUMMYFUNCTION("iferror(GOOGLEFINANCE(TRIM(F1125)&amp;"":"" &amp; TRIM(B1125), ""price""),0
)"),0.3)</f>
        <v>0.3</v>
      </c>
      <c r="H1125" s="6">
        <v>0.68</v>
      </c>
      <c r="I1125" s="6">
        <f t="shared" ca="1" si="0"/>
        <v>0.3</v>
      </c>
      <c r="J1125" s="6">
        <f ca="1">IFERROR(__xludf.DUMMYFUNCTION("IFERROR(GOOGLEFINANCE(B1125, ""volume""), 0)"),29368616)</f>
        <v>29368616</v>
      </c>
      <c r="K1125" s="6">
        <v>-1.45</v>
      </c>
      <c r="L1125" s="6">
        <f ca="1">IFERROR(__xludf.DUMMYFUNCTION("IFERROR(GOOGLEFINANCE(B1125,""changepct""),K1125)"),3.45)</f>
        <v>3.45</v>
      </c>
      <c r="M1125" s="6">
        <f ca="1">IFERROR(__xludf.DUMMYFUNCTION("IFERROR(GOOGLEFINANCE(B1125,""change""),0)"),0.01)</f>
        <v>0.01</v>
      </c>
      <c r="N1125" s="6">
        <v>2</v>
      </c>
      <c r="O1125" s="7">
        <v>45536</v>
      </c>
      <c r="P1125" s="6">
        <v>52.33</v>
      </c>
      <c r="Q1125" s="6">
        <v>651.95000000000005</v>
      </c>
      <c r="R1125" s="7">
        <v>45536</v>
      </c>
      <c r="S1125" s="6">
        <v>175.24</v>
      </c>
      <c r="T1125" s="6">
        <v>9.35</v>
      </c>
      <c r="U1125" s="7">
        <v>45536</v>
      </c>
      <c r="V1125" s="6">
        <v>64.14</v>
      </c>
      <c r="W1125" s="6">
        <f ca="1">IFERROR(__xludf.DUMMYFUNCTION("IFERROR(GOOGLEFINANCE(B1125,""pe""),V1125)"),32.26)</f>
        <v>32.26</v>
      </c>
      <c r="X1125" s="12"/>
      <c r="Y1125" s="6">
        <v>0.26</v>
      </c>
      <c r="Z1125" s="6">
        <v>2</v>
      </c>
      <c r="AA1125" s="8">
        <v>45352</v>
      </c>
      <c r="AB1125" s="4">
        <v>0.02</v>
      </c>
      <c r="AC1125" s="6">
        <v>0.74</v>
      </c>
      <c r="AD1125" s="6">
        <v>1.08</v>
      </c>
      <c r="AE1125" s="1">
        <v>0</v>
      </c>
      <c r="AF1125" s="1">
        <f ca="1">IFERROR(__xludf.DUMMYFUNCTION("IFERROR(GOOGLEFINANCE(TRIM(F1125)&amp;"":"" &amp; TRIM(B1125),""high52""),AE1125)"),0.74)</f>
        <v>0.74</v>
      </c>
      <c r="AG1125" s="1">
        <v>0</v>
      </c>
      <c r="AH1125" s="1">
        <f ca="1">IFERROR(__xludf.DUMMYFUNCTION("IFERROR(GOOGLEFINANCE(TRIM(F1125)&amp;"":"" &amp; TRIM(B1125),""low52""),AE1125)"),0.25)</f>
        <v>0.25</v>
      </c>
      <c r="AI1125" s="1">
        <f ca="1">IFERROR(__xludf.DUMMYFUNCTION("IFERROR(GOOGLEFINANCE(B1125,""eps""),0)"),0.01)</f>
        <v>0.01</v>
      </c>
      <c r="AJ1125" s="1"/>
      <c r="AK1125" s="9"/>
      <c r="AL1125" s="9">
        <f t="shared" si="167"/>
        <v>1</v>
      </c>
    </row>
    <row r="1126" spans="1:38" ht="15" x14ac:dyDescent="0.25">
      <c r="A1126" s="1" t="s">
        <v>3413</v>
      </c>
      <c r="B1126" s="1" t="s">
        <v>3414</v>
      </c>
      <c r="C1126" s="1" t="s">
        <v>317</v>
      </c>
      <c r="D1126" s="1" t="s">
        <v>317</v>
      </c>
      <c r="E1126" s="6">
        <v>1395.1</v>
      </c>
      <c r="F1126" s="1" t="s">
        <v>53</v>
      </c>
      <c r="G1126" s="6">
        <f ca="1">IFERROR(__xludf.DUMMYFUNCTION("iferror(GOOGLEFINANCE(TRIM(F1126)&amp;"":"" &amp; TRIM(B1126), ""price""),0
)"),0)</f>
        <v>0</v>
      </c>
      <c r="H1126" s="6">
        <v>496.05</v>
      </c>
      <c r="I1126" s="6">
        <f t="shared" ca="1" si="0"/>
        <v>496.05</v>
      </c>
      <c r="J1126" s="6">
        <f ca="1">IFERROR(__xludf.DUMMYFUNCTION("IFERROR(GOOGLEFINANCE(B1126, ""volume""), 0)"),0)</f>
        <v>0</v>
      </c>
      <c r="K1126" s="6">
        <v>-0.49</v>
      </c>
      <c r="L1126" s="6">
        <f ca="1">IFERROR(__xludf.DUMMYFUNCTION("IFERROR(GOOGLEFINANCE(B1126,""changepct""),K1126)"),-0.49)</f>
        <v>-0.49</v>
      </c>
      <c r="M1126" s="6">
        <f ca="1">IFERROR(__xludf.DUMMYFUNCTION("IFERROR(GOOGLEFINANCE(B1126,""change""),0)"),0)</f>
        <v>0</v>
      </c>
      <c r="N1126" s="6">
        <v>2</v>
      </c>
      <c r="O1126" s="7">
        <v>45536</v>
      </c>
      <c r="P1126" s="6">
        <v>1315.55</v>
      </c>
      <c r="Q1126" s="6">
        <v>2693.26</v>
      </c>
      <c r="R1126" s="7">
        <v>45536</v>
      </c>
      <c r="S1126" s="6">
        <v>306.68</v>
      </c>
      <c r="T1126" s="6">
        <v>3.95</v>
      </c>
      <c r="U1126" s="7">
        <v>45536</v>
      </c>
      <c r="V1126" s="6">
        <v>353.1</v>
      </c>
      <c r="W1126" s="6">
        <f ca="1">IFERROR(__xludf.DUMMYFUNCTION("IFERROR(GOOGLEFINANCE(B1126,""pe""),V1126)"),353.1)</f>
        <v>353.1</v>
      </c>
      <c r="X1126" s="6">
        <v>9.99</v>
      </c>
      <c r="Y1126" s="6">
        <v>0.73</v>
      </c>
      <c r="Z1126" s="6">
        <v>2</v>
      </c>
      <c r="AA1126" s="8">
        <v>45352</v>
      </c>
      <c r="AB1126" s="4">
        <v>3.69</v>
      </c>
      <c r="AC1126" s="6">
        <v>21.32</v>
      </c>
      <c r="AD1126" s="6">
        <v>16.2</v>
      </c>
      <c r="AE1126" s="1">
        <v>0</v>
      </c>
      <c r="AF1126" s="1">
        <f ca="1">IFERROR(__xludf.DUMMYFUNCTION("IFERROR(GOOGLEFINANCE(TRIM(F1126)&amp;"":"" &amp; TRIM(B1126),""high52""),AE1126)"),0)</f>
        <v>0</v>
      </c>
      <c r="AG1126" s="1">
        <v>0</v>
      </c>
      <c r="AH1126" s="1">
        <f ca="1">IFERROR(__xludf.DUMMYFUNCTION("IFERROR(GOOGLEFINANCE(TRIM(F1126)&amp;"":"" &amp; TRIM(B1126),""low52""),AE1126)"),0)</f>
        <v>0</v>
      </c>
      <c r="AI1126" s="1">
        <f ca="1">IFERROR(__xludf.DUMMYFUNCTION("IFERROR(GOOGLEFINANCE(B1126,""eps""),0)"),0)</f>
        <v>0</v>
      </c>
      <c r="AJ1126" s="1"/>
      <c r="AK1126" s="1" t="s">
        <v>3415</v>
      </c>
      <c r="AL1126" s="9">
        <f t="shared" si="167"/>
        <v>1</v>
      </c>
    </row>
    <row r="1127" spans="1:38" ht="15" x14ac:dyDescent="0.25">
      <c r="A1127" s="1" t="s">
        <v>3416</v>
      </c>
      <c r="B1127" s="1" t="s">
        <v>3417</v>
      </c>
      <c r="C1127" s="1" t="s">
        <v>317</v>
      </c>
      <c r="D1127" s="1" t="s">
        <v>317</v>
      </c>
      <c r="E1127" s="6">
        <v>77.25</v>
      </c>
      <c r="F1127" s="1" t="s">
        <v>53</v>
      </c>
      <c r="G1127" s="6">
        <f ca="1">IFERROR(__xludf.DUMMYFUNCTION("iferror(GOOGLEFINANCE(TRIM(F1127)&amp;"":"" &amp; TRIM(B1127), ""price""),0
)"),0)</f>
        <v>0</v>
      </c>
      <c r="H1127" s="6">
        <v>3.19</v>
      </c>
      <c r="I1127" s="6">
        <f t="shared" ca="1" si="0"/>
        <v>3.19</v>
      </c>
      <c r="J1127" s="6">
        <f ca="1">IFERROR(__xludf.DUMMYFUNCTION("IFERROR(GOOGLEFINANCE(B1127, ""volume""), 0)"),0)</f>
        <v>0</v>
      </c>
      <c r="K1127" s="6">
        <v>-1.54</v>
      </c>
      <c r="L1127" s="6">
        <f ca="1">IFERROR(__xludf.DUMMYFUNCTION("IFERROR(GOOGLEFINANCE(B1127,""changepct""),K1127)"),-1.54)</f>
        <v>-1.54</v>
      </c>
      <c r="M1127" s="6">
        <f ca="1">IFERROR(__xludf.DUMMYFUNCTION("IFERROR(GOOGLEFINANCE(B1127,""change""),0)"),0)</f>
        <v>0</v>
      </c>
      <c r="N1127" s="6">
        <v>1</v>
      </c>
      <c r="O1127" s="7">
        <v>45536</v>
      </c>
      <c r="P1127" s="6">
        <v>63.87</v>
      </c>
      <c r="Q1127" s="6">
        <v>141.12</v>
      </c>
      <c r="R1127" s="7">
        <v>45536</v>
      </c>
      <c r="S1127" s="6">
        <v>134.46</v>
      </c>
      <c r="T1127" s="6">
        <v>3.04</v>
      </c>
      <c r="U1127" s="7">
        <v>45536</v>
      </c>
      <c r="V1127" s="6">
        <v>25.45</v>
      </c>
      <c r="W1127" s="6">
        <f ca="1">IFERROR(__xludf.DUMMYFUNCTION("IFERROR(GOOGLEFINANCE(B1127,""pe""),V1127)"),25.45)</f>
        <v>25.45</v>
      </c>
      <c r="X1127" s="6">
        <v>0.67</v>
      </c>
      <c r="Y1127" s="6">
        <v>1.2</v>
      </c>
      <c r="Z1127" s="6">
        <v>1</v>
      </c>
      <c r="AA1127" s="8">
        <v>45352</v>
      </c>
      <c r="AB1127" s="4">
        <v>3.18</v>
      </c>
      <c r="AC1127" s="6">
        <v>11.98</v>
      </c>
      <c r="AD1127" s="6">
        <v>7.35</v>
      </c>
      <c r="AE1127" s="1">
        <v>0</v>
      </c>
      <c r="AF1127" s="1">
        <f ca="1">IFERROR(__xludf.DUMMYFUNCTION("IFERROR(GOOGLEFINANCE(TRIM(F1127)&amp;"":"" &amp; TRIM(B1127),""high52""),AE1127)"),0)</f>
        <v>0</v>
      </c>
      <c r="AG1127" s="1">
        <v>0</v>
      </c>
      <c r="AH1127" s="1">
        <f ca="1">IFERROR(__xludf.DUMMYFUNCTION("IFERROR(GOOGLEFINANCE(TRIM(F1127)&amp;"":"" &amp; TRIM(B1127),""low52""),AE1127)"),0)</f>
        <v>0</v>
      </c>
      <c r="AI1127" s="1">
        <f ca="1">IFERROR(__xludf.DUMMYFUNCTION("IFERROR(GOOGLEFINANCE(B1127,""eps""),0)"),0)</f>
        <v>0</v>
      </c>
      <c r="AJ1127" s="1"/>
      <c r="AK1127" s="1" t="s">
        <v>3418</v>
      </c>
      <c r="AL1127" s="9">
        <f t="shared" si="167"/>
        <v>1</v>
      </c>
    </row>
    <row r="1128" spans="1:38" ht="15" x14ac:dyDescent="0.25">
      <c r="A1128" s="1" t="s">
        <v>3419</v>
      </c>
      <c r="B1128" s="1" t="s">
        <v>3420</v>
      </c>
      <c r="C1128" s="1" t="s">
        <v>706</v>
      </c>
      <c r="D1128" s="1" t="s">
        <v>706</v>
      </c>
      <c r="E1128" s="6">
        <v>2748.8</v>
      </c>
      <c r="F1128" s="1" t="s">
        <v>40</v>
      </c>
      <c r="G1128" s="6">
        <f ca="1">IFERROR(__xludf.DUMMYFUNCTION("iferror(GOOGLEFINANCE(TRIM(F1128)&amp;"":"" &amp; TRIM(B1128), ""price""),0
)"),46.58)</f>
        <v>46.58</v>
      </c>
      <c r="H1128" s="6">
        <v>62.61</v>
      </c>
      <c r="I1128" s="6">
        <f t="shared" ca="1" si="0"/>
        <v>46.58</v>
      </c>
      <c r="J1128" s="6">
        <f ca="1">IFERROR(__xludf.DUMMYFUNCTION("IFERROR(GOOGLEFINANCE(B1128, ""volume""), 0)"),679635)</f>
        <v>679635</v>
      </c>
      <c r="K1128" s="6">
        <v>1.1299999999999999</v>
      </c>
      <c r="L1128" s="6">
        <f ca="1">IFERROR(__xludf.DUMMYFUNCTION("IFERROR(GOOGLEFINANCE(B1128,""changepct""),K1128)"),-1.96)</f>
        <v>-1.96</v>
      </c>
      <c r="M1128" s="6">
        <f ca="1">IFERROR(__xludf.DUMMYFUNCTION("IFERROR(GOOGLEFINANCE(B1128,""change""),0)"),-0.93)</f>
        <v>-0.93</v>
      </c>
      <c r="N1128" s="6">
        <v>2</v>
      </c>
      <c r="O1128" s="7">
        <v>45536</v>
      </c>
      <c r="P1128" s="6">
        <v>219.44</v>
      </c>
      <c r="Q1128" s="6">
        <v>2906.35</v>
      </c>
      <c r="R1128" s="7">
        <v>43525</v>
      </c>
      <c r="S1128" s="6">
        <v>2874.1</v>
      </c>
      <c r="T1128" s="6">
        <v>84.98</v>
      </c>
      <c r="U1128" s="7">
        <v>43525</v>
      </c>
      <c r="V1128" s="6">
        <v>32.35</v>
      </c>
      <c r="W1128" s="6">
        <f ca="1">IFERROR(__xludf.DUMMYFUNCTION("IFERROR(GOOGLEFINANCE(B1128,""pe""),V1128)"),11.73)</f>
        <v>11.73</v>
      </c>
      <c r="X1128" s="6">
        <v>5.54</v>
      </c>
      <c r="Y1128" s="9"/>
      <c r="Z1128" s="6">
        <v>1</v>
      </c>
      <c r="AA1128" s="8">
        <v>45352</v>
      </c>
      <c r="AB1128" s="4">
        <v>0.19</v>
      </c>
      <c r="AC1128" s="6">
        <v>9.61</v>
      </c>
      <c r="AD1128" s="6">
        <v>12.66</v>
      </c>
      <c r="AE1128" s="1">
        <v>0</v>
      </c>
      <c r="AF1128" s="1">
        <f ca="1">IFERROR(__xludf.DUMMYFUNCTION("IFERROR(GOOGLEFINANCE(TRIM(F1128)&amp;"":"" &amp; TRIM(B1128),""high52""),AE1128)"),66.1)</f>
        <v>66.099999999999994</v>
      </c>
      <c r="AG1128" s="1">
        <v>0</v>
      </c>
      <c r="AH1128" s="1">
        <f ca="1">IFERROR(__xludf.DUMMYFUNCTION("IFERROR(GOOGLEFINANCE(TRIM(F1128)&amp;"":"" &amp; TRIM(B1128),""low52""),AE1128)"),34)</f>
        <v>34</v>
      </c>
      <c r="AI1128" s="1">
        <f ca="1">IFERROR(__xludf.DUMMYFUNCTION("IFERROR(GOOGLEFINANCE(B1128,""eps""),0)"),3.97)</f>
        <v>3.97</v>
      </c>
      <c r="AJ1128" s="1"/>
      <c r="AK1128" s="1" t="s">
        <v>3421</v>
      </c>
      <c r="AL1128" s="9">
        <f t="shared" si="167"/>
        <v>1</v>
      </c>
    </row>
    <row r="1129" spans="1:38" ht="15" x14ac:dyDescent="0.25">
      <c r="A1129" s="1" t="s">
        <v>3422</v>
      </c>
      <c r="B1129" s="1" t="s">
        <v>3423</v>
      </c>
      <c r="C1129" s="1" t="s">
        <v>135</v>
      </c>
      <c r="D1129" s="1" t="s">
        <v>135</v>
      </c>
      <c r="E1129" s="6">
        <v>14006.24</v>
      </c>
      <c r="F1129" s="1" t="s">
        <v>40</v>
      </c>
      <c r="G1129" s="6">
        <f ca="1">IFERROR(__xludf.DUMMYFUNCTION("iferror(GOOGLEFINANCE(TRIM(F1129)&amp;"":"" &amp; TRIM(B1129), ""price""),0
)"),4280)</f>
        <v>4280</v>
      </c>
      <c r="H1129" s="6">
        <v>4592.45</v>
      </c>
      <c r="I1129" s="6">
        <f t="shared" ca="1" si="0"/>
        <v>4280</v>
      </c>
      <c r="J1129" s="6">
        <f ca="1">IFERROR(__xludf.DUMMYFUNCTION("IFERROR(GOOGLEFINANCE(B1129, ""volume""), 0)"),11666)</f>
        <v>11666</v>
      </c>
      <c r="K1129" s="6">
        <v>0.5</v>
      </c>
      <c r="L1129" s="6">
        <f ca="1">IFERROR(__xludf.DUMMYFUNCTION("IFERROR(GOOGLEFINANCE(B1129,""changepct""),K1129)"),2.73)</f>
        <v>2.73</v>
      </c>
      <c r="M1129" s="6">
        <f ca="1">IFERROR(__xludf.DUMMYFUNCTION("IFERROR(GOOGLEFINANCE(B1129,""change""),0)"),113.7)</f>
        <v>113.7</v>
      </c>
      <c r="N1129" s="6">
        <v>2</v>
      </c>
      <c r="O1129" s="7">
        <v>45536</v>
      </c>
      <c r="P1129" s="9"/>
      <c r="Q1129" s="6">
        <v>12950.03</v>
      </c>
      <c r="R1129" s="7">
        <v>45536</v>
      </c>
      <c r="S1129" s="6">
        <v>2180.79</v>
      </c>
      <c r="T1129" s="6">
        <v>441.51</v>
      </c>
      <c r="U1129" s="7">
        <v>45536</v>
      </c>
      <c r="V1129" s="6">
        <v>31.87</v>
      </c>
      <c r="W1129" s="6">
        <f ca="1">IFERROR(__xludf.DUMMYFUNCTION("IFERROR(GOOGLEFINANCE(B1129,""pe""),V1129)"),32.37)</f>
        <v>32.369999999999997</v>
      </c>
      <c r="X1129" s="6">
        <v>1.29</v>
      </c>
      <c r="Y1129" s="6">
        <v>6.61</v>
      </c>
      <c r="Z1129" s="6">
        <v>2</v>
      </c>
      <c r="AA1129" s="8">
        <v>45352</v>
      </c>
      <c r="AB1129" s="4">
        <v>0</v>
      </c>
      <c r="AC1129" s="6">
        <v>23.81</v>
      </c>
      <c r="AD1129" s="6">
        <v>31.34</v>
      </c>
      <c r="AE1129" s="1">
        <v>0</v>
      </c>
      <c r="AF1129" s="1">
        <f ca="1">IFERROR(__xludf.DUMMYFUNCTION("IFERROR(GOOGLEFINANCE(TRIM(F1129)&amp;"":"" &amp; TRIM(B1129),""high52""),AE1129)"),5494)</f>
        <v>5494</v>
      </c>
      <c r="AG1129" s="1">
        <v>0</v>
      </c>
      <c r="AH1129" s="1">
        <f ca="1">IFERROR(__xludf.DUMMYFUNCTION("IFERROR(GOOGLEFINANCE(TRIM(F1129)&amp;"":"" &amp; TRIM(B1129),""low52""),AE1129)"),3407)</f>
        <v>3407</v>
      </c>
      <c r="AI1129" s="1">
        <f ca="1">IFERROR(__xludf.DUMMYFUNCTION("IFERROR(GOOGLEFINANCE(B1129,""eps""),0)"),132.24)</f>
        <v>132.24</v>
      </c>
      <c r="AJ1129" s="1"/>
      <c r="AK1129" s="1" t="s">
        <v>3424</v>
      </c>
      <c r="AL1129" s="9">
        <f t="shared" si="167"/>
        <v>1</v>
      </c>
    </row>
    <row r="1130" spans="1:38" ht="15" x14ac:dyDescent="0.25">
      <c r="A1130" s="1" t="s">
        <v>3425</v>
      </c>
      <c r="B1130" s="1" t="s">
        <v>3426</v>
      </c>
      <c r="C1130" s="1" t="s">
        <v>135</v>
      </c>
      <c r="D1130" s="1" t="s">
        <v>135</v>
      </c>
      <c r="E1130" s="6">
        <v>4011.85</v>
      </c>
      <c r="F1130" s="1" t="s">
        <v>40</v>
      </c>
      <c r="G1130" s="6">
        <f ca="1">IFERROR(__xludf.DUMMYFUNCTION("iferror(GOOGLEFINANCE(TRIM(F1130)&amp;"":"" &amp; TRIM(B1130), ""price""),0
)"),22)</f>
        <v>22</v>
      </c>
      <c r="H1130" s="6">
        <v>345.95</v>
      </c>
      <c r="I1130" s="6">
        <f t="shared" ca="1" si="0"/>
        <v>22</v>
      </c>
      <c r="J1130" s="6">
        <f ca="1">IFERROR(__xludf.DUMMYFUNCTION("IFERROR(GOOGLEFINANCE(B1130, ""volume""), 0)"),274435)</f>
        <v>274435</v>
      </c>
      <c r="K1130" s="6">
        <v>-1.4</v>
      </c>
      <c r="L1130" s="6">
        <f ca="1">IFERROR(__xludf.DUMMYFUNCTION("IFERROR(GOOGLEFINANCE(B1130,""changepct""),K1130)"),5.38)</f>
        <v>5.38</v>
      </c>
      <c r="M1130" s="6">
        <f ca="1">IFERROR(__xludf.DUMMYFUNCTION("IFERROR(GOOGLEFINANCE(B1130,""change""),0)"),0.12)</f>
        <v>0.12</v>
      </c>
      <c r="N1130" s="6">
        <v>2</v>
      </c>
      <c r="O1130" s="7">
        <v>45536</v>
      </c>
      <c r="P1130" s="6">
        <v>0.39</v>
      </c>
      <c r="Q1130" s="6">
        <v>3955.94</v>
      </c>
      <c r="R1130" s="7">
        <v>45536</v>
      </c>
      <c r="S1130" s="6">
        <v>579.1</v>
      </c>
      <c r="T1130" s="6">
        <v>124.64</v>
      </c>
      <c r="U1130" s="7">
        <v>45536</v>
      </c>
      <c r="V1130" s="6">
        <v>32.520000000000003</v>
      </c>
      <c r="W1130" s="6">
        <f ca="1">IFERROR(__xludf.DUMMYFUNCTION("IFERROR(GOOGLEFINANCE(B1130,""pe""),V1130)"),32.52)</f>
        <v>32.520000000000003</v>
      </c>
      <c r="X1130" s="6">
        <v>0.82</v>
      </c>
      <c r="Y1130" s="6">
        <v>5.82</v>
      </c>
      <c r="Z1130" s="6">
        <v>2</v>
      </c>
      <c r="AA1130" s="8">
        <v>45352</v>
      </c>
      <c r="AB1130" s="4">
        <v>0.01</v>
      </c>
      <c r="AC1130" s="6">
        <v>30.45</v>
      </c>
      <c r="AD1130" s="6">
        <v>39.32</v>
      </c>
      <c r="AE1130" s="1">
        <v>0</v>
      </c>
      <c r="AF1130" s="1">
        <f ca="1">IFERROR(__xludf.DUMMYFUNCTION("IFERROR(GOOGLEFINANCE(TRIM(F1130)&amp;"":"" &amp; TRIM(B1130),""high52""),AE1130)"),35.79)</f>
        <v>35.79</v>
      </c>
      <c r="AG1130" s="1">
        <v>0</v>
      </c>
      <c r="AH1130" s="1">
        <f ca="1">IFERROR(__xludf.DUMMYFUNCTION("IFERROR(GOOGLEFINANCE(TRIM(F1130)&amp;"":"" &amp; TRIM(B1130),""low52""),AE1130)"),20.7)</f>
        <v>20.7</v>
      </c>
      <c r="AI1130" s="1">
        <f ca="1">IFERROR(__xludf.DUMMYFUNCTION("IFERROR(GOOGLEFINANCE(B1130,""eps""),0)"),-0.01)</f>
        <v>-0.01</v>
      </c>
      <c r="AJ1130" s="1"/>
      <c r="AK1130" s="1" t="s">
        <v>3427</v>
      </c>
      <c r="AL1130" s="9">
        <f t="shared" si="167"/>
        <v>1</v>
      </c>
    </row>
    <row r="1131" spans="1:38" ht="15" x14ac:dyDescent="0.25">
      <c r="A1131" s="1" t="s">
        <v>3428</v>
      </c>
      <c r="B1131" s="1" t="s">
        <v>3429</v>
      </c>
      <c r="C1131" s="1" t="s">
        <v>1067</v>
      </c>
      <c r="D1131" s="1" t="s">
        <v>1067</v>
      </c>
      <c r="E1131" s="6">
        <v>2826.79</v>
      </c>
      <c r="F1131" s="1" t="s">
        <v>40</v>
      </c>
      <c r="G1131" s="6">
        <f ca="1">IFERROR(__xludf.DUMMYFUNCTION("iferror(GOOGLEFINANCE(TRIM(F1131)&amp;"":"" &amp; TRIM(B1131), ""price""),0
)"),212.95)</f>
        <v>212.95</v>
      </c>
      <c r="H1131" s="6">
        <v>337.7</v>
      </c>
      <c r="I1131" s="6">
        <f t="shared" ca="1" si="0"/>
        <v>212.95</v>
      </c>
      <c r="J1131" s="6">
        <f ca="1">IFERROR(__xludf.DUMMYFUNCTION("IFERROR(GOOGLEFINANCE(B1131, ""volume""), 0)"),122490)</f>
        <v>122490</v>
      </c>
      <c r="K1131" s="6">
        <v>-0.68</v>
      </c>
      <c r="L1131" s="6">
        <f ca="1">IFERROR(__xludf.DUMMYFUNCTION("IFERROR(GOOGLEFINANCE(B1131,""changepct""),K1131)"),0.26)</f>
        <v>0.26</v>
      </c>
      <c r="M1131" s="6">
        <f ca="1">IFERROR(__xludf.DUMMYFUNCTION("IFERROR(GOOGLEFINANCE(B1131,""change""),0)"),0.56)</f>
        <v>0.56000000000000005</v>
      </c>
      <c r="N1131" s="6">
        <v>1</v>
      </c>
      <c r="O1131" s="7">
        <v>45536</v>
      </c>
      <c r="P1131" s="6">
        <v>173.63</v>
      </c>
      <c r="Q1131" s="6">
        <v>93.43</v>
      </c>
      <c r="R1131" s="7">
        <v>45536</v>
      </c>
      <c r="S1131" s="6">
        <v>30.26</v>
      </c>
      <c r="T1131" s="9"/>
      <c r="U1131" s="6">
        <v>4.21</v>
      </c>
      <c r="V1131" s="6">
        <v>1</v>
      </c>
      <c r="W1131" s="6">
        <f ca="1">IFERROR(__xludf.DUMMYFUNCTION("IFERROR(GOOGLEFINANCE(B1131,""pe""),V1131)"),22.17)</f>
        <v>22.17</v>
      </c>
      <c r="X1131" s="7">
        <v>45352</v>
      </c>
      <c r="Y1131" s="6">
        <v>14.74</v>
      </c>
      <c r="Z1131" s="6">
        <v>1</v>
      </c>
      <c r="AA1131" s="8">
        <v>45352</v>
      </c>
      <c r="AB1131" s="11"/>
      <c r="AC1131" s="6">
        <v>2.5299999999999998</v>
      </c>
      <c r="AD1131" s="6">
        <v>0</v>
      </c>
      <c r="AE1131" s="1">
        <v>0</v>
      </c>
      <c r="AF1131" s="1">
        <f ca="1">IFERROR(__xludf.DUMMYFUNCTION("IFERROR(GOOGLEFINANCE(TRIM(F1131)&amp;"":"" &amp; TRIM(B1131),""high52""),AE1131)"),339)</f>
        <v>339</v>
      </c>
      <c r="AG1131" s="1">
        <v>0</v>
      </c>
      <c r="AH1131" s="1">
        <f ca="1">IFERROR(__xludf.DUMMYFUNCTION("IFERROR(GOOGLEFINANCE(TRIM(F1131)&amp;"":"" &amp; TRIM(B1131),""low52""),AE1131)"),200)</f>
        <v>200</v>
      </c>
      <c r="AI1131" s="1">
        <f ca="1">IFERROR(__xludf.DUMMYFUNCTION("IFERROR(GOOGLEFINANCE(B1131,""eps""),0)"),9.61)</f>
        <v>9.61</v>
      </c>
      <c r="AJ1131" s="1"/>
      <c r="AK1131" s="1" t="s">
        <v>3430</v>
      </c>
      <c r="AL1131" s="1" t="b">
        <f>ISNUMBER(AA1131)</f>
        <v>1</v>
      </c>
    </row>
    <row r="1132" spans="1:38" ht="15" x14ac:dyDescent="0.25">
      <c r="A1132" s="1" t="s">
        <v>3431</v>
      </c>
      <c r="B1132" s="1" t="s">
        <v>3432</v>
      </c>
      <c r="C1132" s="1" t="s">
        <v>317</v>
      </c>
      <c r="D1132" s="1" t="s">
        <v>317</v>
      </c>
      <c r="E1132" s="6">
        <v>695.33</v>
      </c>
      <c r="F1132" s="1" t="s">
        <v>53</v>
      </c>
      <c r="G1132" s="6">
        <f ca="1">IFERROR(__xludf.DUMMYFUNCTION("iferror(GOOGLEFINANCE(TRIM(F1132)&amp;"":"" &amp; TRIM(B1132), ""price""),0
)"),0)</f>
        <v>0</v>
      </c>
      <c r="H1132" s="6">
        <v>525</v>
      </c>
      <c r="I1132" s="6">
        <f t="shared" ca="1" si="0"/>
        <v>525</v>
      </c>
      <c r="J1132" s="6">
        <f ca="1">IFERROR(__xludf.DUMMYFUNCTION("IFERROR(GOOGLEFINANCE(B1132, ""volume""), 0)"),4448)</f>
        <v>4448</v>
      </c>
      <c r="K1132" s="6">
        <v>0.47</v>
      </c>
      <c r="L1132" s="6">
        <f ca="1">IFERROR(__xludf.DUMMYFUNCTION("IFERROR(GOOGLEFINANCE(B1132,""changepct""),K1132)"),-3.07)</f>
        <v>-3.07</v>
      </c>
      <c r="M1132" s="6">
        <f ca="1">IFERROR(__xludf.DUMMYFUNCTION("IFERROR(GOOGLEFINANCE(B1132,""change""),0)"),-10.3)</f>
        <v>-10.3</v>
      </c>
      <c r="N1132" s="6">
        <v>2</v>
      </c>
      <c r="O1132" s="7">
        <v>45536</v>
      </c>
      <c r="P1132" s="6">
        <v>146.09</v>
      </c>
      <c r="Q1132" s="6">
        <v>836.49</v>
      </c>
      <c r="R1132" s="7">
        <v>45536</v>
      </c>
      <c r="S1132" s="6">
        <v>518.48</v>
      </c>
      <c r="T1132" s="6">
        <v>12.12</v>
      </c>
      <c r="U1132" s="7">
        <v>45536</v>
      </c>
      <c r="V1132" s="6">
        <v>57.38</v>
      </c>
      <c r="W1132" s="6">
        <f ca="1">IFERROR(__xludf.DUMMYFUNCTION("IFERROR(GOOGLEFINANCE(B1132,""pe""),V1132)"),11.83)</f>
        <v>11.83</v>
      </c>
      <c r="X1132" s="9"/>
      <c r="Y1132" s="6">
        <v>6.58</v>
      </c>
      <c r="Z1132" s="6">
        <v>2</v>
      </c>
      <c r="AA1132" s="8">
        <v>45352</v>
      </c>
      <c r="AB1132" s="4">
        <v>1.87</v>
      </c>
      <c r="AC1132" s="6">
        <v>-1.7</v>
      </c>
      <c r="AD1132" s="6">
        <v>2.58</v>
      </c>
      <c r="AE1132" s="1">
        <v>0</v>
      </c>
      <c r="AF1132" s="1">
        <f ca="1">IFERROR(__xludf.DUMMYFUNCTION("IFERROR(GOOGLEFINANCE(TRIM(F1132)&amp;"":"" &amp; TRIM(B1132),""high52""),AE1132)"),0)</f>
        <v>0</v>
      </c>
      <c r="AG1132" s="1">
        <v>0</v>
      </c>
      <c r="AH1132" s="1">
        <f ca="1">IFERROR(__xludf.DUMMYFUNCTION("IFERROR(GOOGLEFINANCE(TRIM(F1132)&amp;"":"" &amp; TRIM(B1132),""low52""),AE1132)"),0)</f>
        <v>0</v>
      </c>
      <c r="AI1132" s="1">
        <f ca="1">IFERROR(__xludf.DUMMYFUNCTION("IFERROR(GOOGLEFINANCE(B1132,""eps""),0)"),27.46)</f>
        <v>27.46</v>
      </c>
      <c r="AJ1132" s="1"/>
      <c r="AK1132" s="1" t="s">
        <v>3433</v>
      </c>
      <c r="AL1132" s="9">
        <f t="shared" ref="AL1132:AL1133" si="168">IF(AA1132&lt;&gt;AB1132,1,0)</f>
        <v>1</v>
      </c>
    </row>
    <row r="1133" spans="1:38" ht="15" x14ac:dyDescent="0.25">
      <c r="A1133" s="1" t="s">
        <v>3434</v>
      </c>
      <c r="B1133" s="1" t="s">
        <v>3435</v>
      </c>
      <c r="C1133" s="1" t="s">
        <v>317</v>
      </c>
      <c r="D1133" s="1" t="s">
        <v>317</v>
      </c>
      <c r="E1133" s="6">
        <v>17.95</v>
      </c>
      <c r="F1133" s="1" t="s">
        <v>53</v>
      </c>
      <c r="G1133" s="6">
        <f ca="1">IFERROR(__xludf.DUMMYFUNCTION("iferror(GOOGLEFINANCE(TRIM(F1133)&amp;"":"" &amp; TRIM(B1133), ""price""),0
)"),0)</f>
        <v>0</v>
      </c>
      <c r="H1133" s="6">
        <v>47.8</v>
      </c>
      <c r="I1133" s="6">
        <f t="shared" ca="1" si="0"/>
        <v>47.8</v>
      </c>
      <c r="J1133" s="6">
        <f ca="1">IFERROR(__xludf.DUMMYFUNCTION("IFERROR(GOOGLEFINANCE(B1133, ""volume""), 0)"),0)</f>
        <v>0</v>
      </c>
      <c r="K1133" s="6">
        <v>-0.23</v>
      </c>
      <c r="L1133" s="6">
        <f ca="1">IFERROR(__xludf.DUMMYFUNCTION("IFERROR(GOOGLEFINANCE(B1133,""changepct""),K1133)"),-0.23)</f>
        <v>-0.23</v>
      </c>
      <c r="M1133" s="6">
        <f ca="1">IFERROR(__xludf.DUMMYFUNCTION("IFERROR(GOOGLEFINANCE(B1133,""change""),0)"),0)</f>
        <v>0</v>
      </c>
      <c r="N1133" s="6">
        <v>1</v>
      </c>
      <c r="O1133" s="7">
        <v>45536</v>
      </c>
      <c r="P1133" s="6">
        <v>16.79</v>
      </c>
      <c r="Q1133" s="6">
        <v>34.74</v>
      </c>
      <c r="R1133" s="7">
        <v>45536</v>
      </c>
      <c r="S1133" s="6">
        <v>178.21</v>
      </c>
      <c r="T1133" s="6">
        <v>-3.52</v>
      </c>
      <c r="U1133" s="7">
        <v>45536</v>
      </c>
      <c r="V1133" s="6">
        <v>0</v>
      </c>
      <c r="W1133" s="6">
        <f ca="1">IFERROR(__xludf.DUMMYFUNCTION("IFERROR(GOOGLEFINANCE(B1133,""pe""),V1133)"),0)</f>
        <v>0</v>
      </c>
      <c r="X1133" s="9"/>
      <c r="Y1133" s="6">
        <v>0.57999999999999996</v>
      </c>
      <c r="Z1133" s="6">
        <v>1</v>
      </c>
      <c r="AA1133" s="8">
        <v>45352</v>
      </c>
      <c r="AB1133" s="4">
        <v>1.19</v>
      </c>
      <c r="AC1133" s="6">
        <v>-31.32</v>
      </c>
      <c r="AD1133" s="6">
        <v>-12.38</v>
      </c>
      <c r="AE1133" s="1">
        <v>0</v>
      </c>
      <c r="AF1133" s="1">
        <f ca="1">IFERROR(__xludf.DUMMYFUNCTION("IFERROR(GOOGLEFINANCE(TRIM(F1133)&amp;"":"" &amp; TRIM(B1133),""high52""),AE1133)"),0)</f>
        <v>0</v>
      </c>
      <c r="AG1133" s="1">
        <v>0</v>
      </c>
      <c r="AH1133" s="1">
        <f ca="1">IFERROR(__xludf.DUMMYFUNCTION("IFERROR(GOOGLEFINANCE(TRIM(F1133)&amp;"":"" &amp; TRIM(B1133),""low52""),AE1133)"),0)</f>
        <v>0</v>
      </c>
      <c r="AI1133" s="1">
        <f ca="1">IFERROR(__xludf.DUMMYFUNCTION("IFERROR(GOOGLEFINANCE(B1133,""eps""),0)"),0)</f>
        <v>0</v>
      </c>
      <c r="AJ1133" s="1"/>
      <c r="AK1133" s="1" t="s">
        <v>3436</v>
      </c>
      <c r="AL1133" s="9">
        <f t="shared" si="168"/>
        <v>1</v>
      </c>
    </row>
    <row r="1134" spans="1:38" ht="15" x14ac:dyDescent="0.25">
      <c r="A1134" s="1" t="s">
        <v>3437</v>
      </c>
      <c r="B1134" s="1" t="s">
        <v>3438</v>
      </c>
      <c r="C1134" s="1" t="s">
        <v>577</v>
      </c>
      <c r="D1134" s="1" t="s">
        <v>577</v>
      </c>
      <c r="E1134" s="6">
        <v>17999.43</v>
      </c>
      <c r="F1134" s="1" t="s">
        <v>40</v>
      </c>
      <c r="G1134" s="6">
        <f ca="1">IFERROR(__xludf.DUMMYFUNCTION("iferror(GOOGLEFINANCE(TRIM(F1134)&amp;"":"" &amp; TRIM(B1134), ""price""),0
)"),716)</f>
        <v>716</v>
      </c>
      <c r="H1134" s="6">
        <v>1169</v>
      </c>
      <c r="I1134" s="6">
        <f t="shared" ca="1" si="0"/>
        <v>716</v>
      </c>
      <c r="J1134" s="6">
        <f ca="1">IFERROR(__xludf.DUMMYFUNCTION("IFERROR(GOOGLEFINANCE(B1134, ""volume""), 0)"),112501)</f>
        <v>112501</v>
      </c>
      <c r="K1134" s="6">
        <v>-0.69</v>
      </c>
      <c r="L1134" s="6">
        <f ca="1">IFERROR(__xludf.DUMMYFUNCTION("IFERROR(GOOGLEFINANCE(B1134,""changepct""),K1134)"),-0.76)</f>
        <v>-0.76</v>
      </c>
      <c r="M1134" s="6">
        <f ca="1">IFERROR(__xludf.DUMMYFUNCTION("IFERROR(GOOGLEFINANCE(B1134,""change""),0)"),-5.5)</f>
        <v>-5.5</v>
      </c>
      <c r="N1134" s="6">
        <v>2</v>
      </c>
      <c r="O1134" s="7">
        <v>45536</v>
      </c>
      <c r="P1134" s="6">
        <v>0.88</v>
      </c>
      <c r="Q1134" s="6">
        <v>17875.23</v>
      </c>
      <c r="R1134" s="7">
        <v>45536</v>
      </c>
      <c r="S1134" s="6">
        <v>5164.8999999999996</v>
      </c>
      <c r="T1134" s="6">
        <v>457.02</v>
      </c>
      <c r="U1134" s="7">
        <v>45536</v>
      </c>
      <c r="V1134" s="6">
        <v>25.75</v>
      </c>
      <c r="W1134" s="6">
        <f ca="1">IFERROR(__xludf.DUMMYFUNCTION("IFERROR(GOOGLEFINANCE(B1134,""pe""),V1134)"),16.49)</f>
        <v>16.489999999999998</v>
      </c>
      <c r="X1134" s="6">
        <v>2.61</v>
      </c>
      <c r="Y1134" s="6">
        <v>3.47</v>
      </c>
      <c r="Z1134" s="6">
        <v>2</v>
      </c>
      <c r="AA1134" s="8">
        <v>45352</v>
      </c>
      <c r="AB1134" s="4">
        <v>0</v>
      </c>
      <c r="AC1134" s="6">
        <v>13.99</v>
      </c>
      <c r="AD1134" s="6">
        <v>18.59</v>
      </c>
      <c r="AE1134" s="1">
        <v>0</v>
      </c>
      <c r="AF1134" s="1">
        <f ca="1">IFERROR(__xludf.DUMMYFUNCTION("IFERROR(GOOGLEFINANCE(TRIM(F1134)&amp;"":"" &amp; TRIM(B1134),""high52""),AE1134)"),1059.95)</f>
        <v>1059.95</v>
      </c>
      <c r="AG1134" s="1">
        <v>0</v>
      </c>
      <c r="AH1134" s="1">
        <f ca="1">IFERROR(__xludf.DUMMYFUNCTION("IFERROR(GOOGLEFINANCE(TRIM(F1134)&amp;"":"" &amp; TRIM(B1134),""low52""),AE1134)"),700.8)</f>
        <v>700.8</v>
      </c>
      <c r="AI1134" s="1">
        <f ca="1">IFERROR(__xludf.DUMMYFUNCTION("IFERROR(GOOGLEFINANCE(B1134,""eps""),0)"),43.42)</f>
        <v>43.42</v>
      </c>
      <c r="AJ1134" s="1"/>
      <c r="AK1134" s="1" t="s">
        <v>3439</v>
      </c>
      <c r="AL1134" s="1" t="b">
        <f>ISNUMBER(AA1134)</f>
        <v>1</v>
      </c>
    </row>
    <row r="1135" spans="1:38" ht="15" x14ac:dyDescent="0.25">
      <c r="A1135" s="1" t="s">
        <v>3440</v>
      </c>
      <c r="B1135" s="1" t="s">
        <v>3441</v>
      </c>
      <c r="C1135" s="1" t="s">
        <v>317</v>
      </c>
      <c r="D1135" s="1" t="s">
        <v>317</v>
      </c>
      <c r="E1135" s="6">
        <v>40.630000000000003</v>
      </c>
      <c r="F1135" s="1" t="s">
        <v>53</v>
      </c>
      <c r="G1135" s="6">
        <f ca="1">IFERROR(__xludf.DUMMYFUNCTION("iferror(GOOGLEFINANCE(TRIM(F1135)&amp;"":"" &amp; TRIM(B1135), ""price""),0
)"),0)</f>
        <v>0</v>
      </c>
      <c r="H1135" s="6">
        <v>71.3</v>
      </c>
      <c r="I1135" s="6">
        <f t="shared" ca="1" si="0"/>
        <v>71.3</v>
      </c>
      <c r="J1135" s="6">
        <f ca="1">IFERROR(__xludf.DUMMYFUNCTION("IFERROR(GOOGLEFINANCE(B1135, ""volume""), 0)"),0)</f>
        <v>0</v>
      </c>
      <c r="K1135" s="6">
        <v>0.17</v>
      </c>
      <c r="L1135" s="6">
        <f ca="1">IFERROR(__xludf.DUMMYFUNCTION("IFERROR(GOOGLEFINANCE(B1135,""changepct""),K1135)"),0.17)</f>
        <v>0.17</v>
      </c>
      <c r="M1135" s="6">
        <f ca="1">IFERROR(__xludf.DUMMYFUNCTION("IFERROR(GOOGLEFINANCE(B1135,""change""),0)"),0)</f>
        <v>0</v>
      </c>
      <c r="N1135" s="6">
        <v>1</v>
      </c>
      <c r="O1135" s="7">
        <v>45536</v>
      </c>
      <c r="P1135" s="9"/>
      <c r="Q1135" s="6">
        <v>40.630000000000003</v>
      </c>
      <c r="R1135" s="7">
        <v>45536</v>
      </c>
      <c r="S1135" s="6">
        <v>129.22</v>
      </c>
      <c r="T1135" s="6">
        <v>0.86</v>
      </c>
      <c r="U1135" s="7">
        <v>45536</v>
      </c>
      <c r="V1135" s="6">
        <v>47.3</v>
      </c>
      <c r="W1135" s="6">
        <f ca="1">IFERROR(__xludf.DUMMYFUNCTION("IFERROR(GOOGLEFINANCE(B1135,""pe""),V1135)"),47.3)</f>
        <v>47.3</v>
      </c>
      <c r="X1135" s="6">
        <v>-1.06</v>
      </c>
      <c r="Y1135" s="6">
        <v>0.72</v>
      </c>
      <c r="Z1135" s="6">
        <v>1</v>
      </c>
      <c r="AA1135" s="8">
        <v>45352</v>
      </c>
      <c r="AB1135" s="4">
        <v>0</v>
      </c>
      <c r="AC1135" s="6">
        <v>1.41</v>
      </c>
      <c r="AD1135" s="6">
        <v>1.9</v>
      </c>
      <c r="AE1135" s="1">
        <v>0</v>
      </c>
      <c r="AF1135" s="1">
        <f ca="1">IFERROR(__xludf.DUMMYFUNCTION("IFERROR(GOOGLEFINANCE(TRIM(F1135)&amp;"":"" &amp; TRIM(B1135),""high52""),AE1135)"),0)</f>
        <v>0</v>
      </c>
      <c r="AG1135" s="1">
        <v>0</v>
      </c>
      <c r="AH1135" s="1">
        <f ca="1">IFERROR(__xludf.DUMMYFUNCTION("IFERROR(GOOGLEFINANCE(TRIM(F1135)&amp;"":"" &amp; TRIM(B1135),""low52""),AE1135)"),0)</f>
        <v>0</v>
      </c>
      <c r="AI1135" s="1">
        <f ca="1">IFERROR(__xludf.DUMMYFUNCTION("IFERROR(GOOGLEFINANCE(B1135,""eps""),0)"),0)</f>
        <v>0</v>
      </c>
      <c r="AJ1135" s="1"/>
      <c r="AK1135" s="1" t="s">
        <v>3442</v>
      </c>
      <c r="AL1135" s="9">
        <f t="shared" ref="AL1135:AL1136" si="169">IF(AA1135&lt;&gt;AB1135,1,0)</f>
        <v>1</v>
      </c>
    </row>
    <row r="1136" spans="1:38" ht="15" x14ac:dyDescent="0.25">
      <c r="A1136" s="1" t="s">
        <v>3443</v>
      </c>
      <c r="B1136" s="1" t="s">
        <v>3444</v>
      </c>
      <c r="C1136" s="1" t="s">
        <v>82</v>
      </c>
      <c r="D1136" s="1" t="s">
        <v>82</v>
      </c>
      <c r="E1136" s="6">
        <v>15437.47</v>
      </c>
      <c r="F1136" s="1" t="s">
        <v>40</v>
      </c>
      <c r="G1136" s="6">
        <f ca="1">IFERROR(__xludf.DUMMYFUNCTION("iferror(GOOGLEFINANCE(TRIM(F1136)&amp;"":"" &amp; TRIM(B1136), ""price""),0
)"),175)</f>
        <v>175</v>
      </c>
      <c r="H1136" s="6">
        <v>252.35</v>
      </c>
      <c r="I1136" s="6">
        <f t="shared" ca="1" si="0"/>
        <v>175</v>
      </c>
      <c r="J1136" s="6">
        <f ca="1">IFERROR(__xludf.DUMMYFUNCTION("IFERROR(GOOGLEFINANCE(B1136, ""volume""), 0)"),272268)</f>
        <v>272268</v>
      </c>
      <c r="K1136" s="6">
        <v>1.47</v>
      </c>
      <c r="L1136" s="6">
        <f ca="1">IFERROR(__xludf.DUMMYFUNCTION("IFERROR(GOOGLEFINANCE(B1136,""changepct""),K1136)"),0.01)</f>
        <v>0.01</v>
      </c>
      <c r="M1136" s="6">
        <f ca="1">IFERROR(__xludf.DUMMYFUNCTION("IFERROR(GOOGLEFINANCE(B1136,""change""),0)"),0.01)</f>
        <v>0.01</v>
      </c>
      <c r="N1136" s="6">
        <v>2</v>
      </c>
      <c r="O1136" s="7">
        <v>45536</v>
      </c>
      <c r="P1136" s="6">
        <v>350.59</v>
      </c>
      <c r="Q1136" s="6">
        <v>15673.46</v>
      </c>
      <c r="R1136" s="7">
        <v>45536</v>
      </c>
      <c r="S1136" s="6">
        <v>4224.03</v>
      </c>
      <c r="T1136" s="6">
        <v>777.44</v>
      </c>
      <c r="U1136" s="7">
        <v>45536</v>
      </c>
      <c r="V1136" s="6">
        <v>19.260000000000002</v>
      </c>
      <c r="W1136" s="6">
        <f ca="1">IFERROR(__xludf.DUMMYFUNCTION("IFERROR(GOOGLEFINANCE(B1136,""pe""),V1136)"),22.52)</f>
        <v>22.52</v>
      </c>
      <c r="X1136" s="6">
        <v>4.5999999999999996</v>
      </c>
      <c r="Y1136" s="6">
        <v>2.27</v>
      </c>
      <c r="Z1136" s="6">
        <v>2</v>
      </c>
      <c r="AA1136" s="8">
        <v>45352</v>
      </c>
      <c r="AB1136" s="4">
        <v>7.0000000000000007E-2</v>
      </c>
      <c r="AC1136" s="6">
        <v>8.99</v>
      </c>
      <c r="AD1136" s="6">
        <v>12</v>
      </c>
      <c r="AE1136" s="1">
        <v>0</v>
      </c>
      <c r="AF1136" s="1">
        <f ca="1">IFERROR(__xludf.DUMMYFUNCTION("IFERROR(GOOGLEFINANCE(TRIM(F1136)&amp;"":"" &amp; TRIM(B1136),""high52""),AE1136)"),238)</f>
        <v>238</v>
      </c>
      <c r="AG1136" s="1">
        <v>0</v>
      </c>
      <c r="AH1136" s="1">
        <f ca="1">IFERROR(__xludf.DUMMYFUNCTION("IFERROR(GOOGLEFINANCE(TRIM(F1136)&amp;"":"" &amp; TRIM(B1136),""low52""),AE1136)"),153.92)</f>
        <v>153.91999999999999</v>
      </c>
      <c r="AI1136" s="1">
        <f ca="1">IFERROR(__xludf.DUMMYFUNCTION("IFERROR(GOOGLEFINANCE(B1136,""eps""),0)"),7.77)</f>
        <v>7.77</v>
      </c>
      <c r="AJ1136" s="1"/>
      <c r="AK1136" s="1" t="s">
        <v>3445</v>
      </c>
      <c r="AL1136" s="9">
        <f t="shared" si="169"/>
        <v>1</v>
      </c>
    </row>
    <row r="1137" spans="1:38" ht="15" x14ac:dyDescent="0.25">
      <c r="A1137" s="1" t="s">
        <v>3446</v>
      </c>
      <c r="B1137" s="1" t="s">
        <v>3447</v>
      </c>
      <c r="C1137" s="1" t="s">
        <v>90</v>
      </c>
      <c r="D1137" s="1" t="s">
        <v>90</v>
      </c>
      <c r="E1137" s="6">
        <v>27837.1</v>
      </c>
      <c r="F1137" s="1" t="s">
        <v>40</v>
      </c>
      <c r="G1137" s="6">
        <f ca="1">IFERROR(__xludf.DUMMYFUNCTION("iferror(GOOGLEFINANCE(TRIM(F1137)&amp;"":"" &amp; TRIM(B1137), ""price""),0
)"),305)</f>
        <v>305</v>
      </c>
      <c r="H1137" s="6">
        <v>402.8</v>
      </c>
      <c r="I1137" s="6">
        <f t="shared" ca="1" si="0"/>
        <v>305</v>
      </c>
      <c r="J1137" s="6">
        <f ca="1">IFERROR(__xludf.DUMMYFUNCTION("IFERROR(GOOGLEFINANCE(B1137, ""volume""), 0)"),300)</f>
        <v>300</v>
      </c>
      <c r="K1137" s="6">
        <v>2.1</v>
      </c>
      <c r="L1137" s="6">
        <f ca="1">IFERROR(__xludf.DUMMYFUNCTION("IFERROR(GOOGLEFINANCE(B1137,""changepct""),K1137)"),-0.15)</f>
        <v>-0.15</v>
      </c>
      <c r="M1137" s="6">
        <f ca="1">IFERROR(__xludf.DUMMYFUNCTION("IFERROR(GOOGLEFINANCE(B1137,""change""),0)"),-0.02)</f>
        <v>-0.02</v>
      </c>
      <c r="N1137" s="6">
        <v>2</v>
      </c>
      <c r="O1137" s="7">
        <v>45536</v>
      </c>
      <c r="P1137" s="6">
        <v>1431.15</v>
      </c>
      <c r="Q1137" s="6">
        <v>29052.38</v>
      </c>
      <c r="R1137" s="7">
        <v>45536</v>
      </c>
      <c r="S1137" s="6">
        <v>6983.54</v>
      </c>
      <c r="T1137" s="6">
        <v>535.69000000000005</v>
      </c>
      <c r="U1137" s="7">
        <v>45536</v>
      </c>
      <c r="V1137" s="6">
        <v>51.96</v>
      </c>
      <c r="W1137" s="6">
        <f ca="1">IFERROR(__xludf.DUMMYFUNCTION("IFERROR(GOOGLEFINANCE(B1137,""pe""),V1137)"),51.96)</f>
        <v>51.96</v>
      </c>
      <c r="X1137" s="6">
        <v>8.14</v>
      </c>
      <c r="Y1137" s="6">
        <v>7.12</v>
      </c>
      <c r="Z1137" s="6">
        <v>2</v>
      </c>
      <c r="AA1137" s="8">
        <v>45352</v>
      </c>
      <c r="AB1137" s="4">
        <v>0.22</v>
      </c>
      <c r="AC1137" s="6">
        <v>14.8</v>
      </c>
      <c r="AD1137" s="6">
        <v>16.84</v>
      </c>
      <c r="AE1137" s="1">
        <v>0</v>
      </c>
      <c r="AF1137" s="1">
        <f ca="1">IFERROR(__xludf.DUMMYFUNCTION("IFERROR(GOOGLEFINANCE(TRIM(F1137)&amp;"":"" &amp; TRIM(B1137),""high52""),AE1137)"),403.8)</f>
        <v>403.8</v>
      </c>
      <c r="AG1137" s="1">
        <v>0</v>
      </c>
      <c r="AH1137" s="1">
        <f ca="1">IFERROR(__xludf.DUMMYFUNCTION("IFERROR(GOOGLEFINANCE(TRIM(F1137)&amp;"":"" &amp; TRIM(B1137),""low52""),AE1137)"),270)</f>
        <v>270</v>
      </c>
      <c r="AI1137" s="1">
        <f ca="1">IFERROR(__xludf.DUMMYFUNCTION("IFERROR(GOOGLEFINANCE(B1137,""eps""),0)"),0)</f>
        <v>0</v>
      </c>
      <c r="AJ1137" s="1"/>
      <c r="AK1137" s="1" t="s">
        <v>3448</v>
      </c>
      <c r="AL1137" s="1" t="b">
        <f>ISNUMBER(AA1137)</f>
        <v>1</v>
      </c>
    </row>
    <row r="1138" spans="1:38" ht="15" x14ac:dyDescent="0.25">
      <c r="A1138" s="1" t="s">
        <v>3449</v>
      </c>
      <c r="B1138" s="1" t="s">
        <v>3450</v>
      </c>
      <c r="C1138" s="1" t="s">
        <v>317</v>
      </c>
      <c r="D1138" s="1" t="s">
        <v>317</v>
      </c>
      <c r="E1138" s="6">
        <v>269.72000000000003</v>
      </c>
      <c r="F1138" s="1" t="s">
        <v>53</v>
      </c>
      <c r="G1138" s="6">
        <f ca="1">IFERROR(__xludf.DUMMYFUNCTION("iferror(GOOGLEFINANCE(TRIM(F1138)&amp;"":"" &amp; TRIM(B1138), ""price""),0
)"),0)</f>
        <v>0</v>
      </c>
      <c r="H1138" s="6">
        <v>141.75</v>
      </c>
      <c r="I1138" s="6">
        <f t="shared" ca="1" si="0"/>
        <v>141.75</v>
      </c>
      <c r="J1138" s="6">
        <f ca="1">IFERROR(__xludf.DUMMYFUNCTION("IFERROR(GOOGLEFINANCE(B1138, ""volume""), 0)"),0)</f>
        <v>0</v>
      </c>
      <c r="K1138" s="6">
        <v>1.98</v>
      </c>
      <c r="L1138" s="6">
        <f ca="1">IFERROR(__xludf.DUMMYFUNCTION("IFERROR(GOOGLEFINANCE(B1138,""changepct""),K1138)"),1.98)</f>
        <v>1.98</v>
      </c>
      <c r="M1138" s="6">
        <f ca="1">IFERROR(__xludf.DUMMYFUNCTION("IFERROR(GOOGLEFINANCE(B1138,""change""),0)"),0)</f>
        <v>0</v>
      </c>
      <c r="N1138" s="6">
        <v>1</v>
      </c>
      <c r="O1138" s="7">
        <v>45536</v>
      </c>
      <c r="P1138" s="6">
        <v>98.86</v>
      </c>
      <c r="Q1138" s="6">
        <v>368.14</v>
      </c>
      <c r="R1138" s="7">
        <v>45536</v>
      </c>
      <c r="S1138" s="6">
        <v>318.56</v>
      </c>
      <c r="T1138" s="6">
        <v>23.9</v>
      </c>
      <c r="U1138" s="7">
        <v>45536</v>
      </c>
      <c r="V1138" s="6">
        <v>11.29</v>
      </c>
      <c r="W1138" s="6">
        <f ca="1">IFERROR(__xludf.DUMMYFUNCTION("IFERROR(GOOGLEFINANCE(B1138,""pe""),V1138)"),11.29)</f>
        <v>11.29</v>
      </c>
      <c r="X1138" s="6">
        <v>0.24</v>
      </c>
      <c r="Y1138" s="6">
        <v>-25.99</v>
      </c>
      <c r="Z1138" s="6">
        <v>1</v>
      </c>
      <c r="AA1138" s="8">
        <v>45352</v>
      </c>
      <c r="AB1138" s="4">
        <v>-4.26</v>
      </c>
      <c r="AC1138" s="6">
        <v>0</v>
      </c>
      <c r="AD1138" s="6">
        <v>33.56</v>
      </c>
      <c r="AE1138" s="1">
        <v>0</v>
      </c>
      <c r="AF1138" s="1">
        <f ca="1">IFERROR(__xludf.DUMMYFUNCTION("IFERROR(GOOGLEFINANCE(TRIM(F1138)&amp;"":"" &amp; TRIM(B1138),""high52""),AE1138)"),0)</f>
        <v>0</v>
      </c>
      <c r="AG1138" s="1">
        <v>0</v>
      </c>
      <c r="AH1138" s="1">
        <f ca="1">IFERROR(__xludf.DUMMYFUNCTION("IFERROR(GOOGLEFINANCE(TRIM(F1138)&amp;"":"" &amp; TRIM(B1138),""low52""),AE1138)"),0)</f>
        <v>0</v>
      </c>
      <c r="AI1138" s="1">
        <f ca="1">IFERROR(__xludf.DUMMYFUNCTION("IFERROR(GOOGLEFINANCE(B1138,""eps""),0)"),0)</f>
        <v>0</v>
      </c>
      <c r="AJ1138" s="1"/>
      <c r="AK1138" s="1" t="s">
        <v>3451</v>
      </c>
      <c r="AL1138" s="9">
        <f t="shared" ref="AL1138:AL1154" si="170">IF(AA1138&lt;&gt;AB1138,1,0)</f>
        <v>1</v>
      </c>
    </row>
    <row r="1139" spans="1:38" ht="15" x14ac:dyDescent="0.25">
      <c r="A1139" s="1" t="s">
        <v>3452</v>
      </c>
      <c r="B1139" s="1" t="s">
        <v>3453</v>
      </c>
      <c r="C1139" s="1" t="s">
        <v>317</v>
      </c>
      <c r="D1139" s="1" t="s">
        <v>317</v>
      </c>
      <c r="E1139" s="6">
        <v>123.96</v>
      </c>
      <c r="F1139" s="1" t="s">
        <v>53</v>
      </c>
      <c r="G1139" s="6">
        <f ca="1">IFERROR(__xludf.DUMMYFUNCTION("iferror(GOOGLEFINANCE(TRIM(F1139)&amp;"":"" &amp; TRIM(B1139), ""price""),0
)"),0)</f>
        <v>0</v>
      </c>
      <c r="H1139" s="6">
        <v>79</v>
      </c>
      <c r="I1139" s="6">
        <f t="shared" ca="1" si="0"/>
        <v>79</v>
      </c>
      <c r="J1139" s="6">
        <f ca="1">IFERROR(__xludf.DUMMYFUNCTION("IFERROR(GOOGLEFINANCE(B1139, ""volume""), 0)"),0)</f>
        <v>0</v>
      </c>
      <c r="K1139" s="6">
        <v>0.97</v>
      </c>
      <c r="L1139" s="6">
        <f ca="1">IFERROR(__xludf.DUMMYFUNCTION("IFERROR(GOOGLEFINANCE(B1139,""changepct""),K1139)"),0.97)</f>
        <v>0.97</v>
      </c>
      <c r="M1139" s="6">
        <f ca="1">IFERROR(__xludf.DUMMYFUNCTION("IFERROR(GOOGLEFINANCE(B1139,""change""),0)"),0)</f>
        <v>0</v>
      </c>
      <c r="N1139" s="6">
        <v>2</v>
      </c>
      <c r="O1139" s="7">
        <v>45536</v>
      </c>
      <c r="P1139" s="6">
        <v>25.19</v>
      </c>
      <c r="Q1139" s="6">
        <v>140.4</v>
      </c>
      <c r="R1139" s="7">
        <v>45536</v>
      </c>
      <c r="S1139" s="6">
        <v>38.93</v>
      </c>
      <c r="T1139" s="6">
        <v>-0.14000000000000001</v>
      </c>
      <c r="U1139" s="7">
        <v>45536</v>
      </c>
      <c r="V1139" s="6">
        <v>25.94</v>
      </c>
      <c r="W1139" s="6">
        <f ca="1">IFERROR(__xludf.DUMMYFUNCTION("IFERROR(GOOGLEFINANCE(B1139,""pe""),V1139)"),25.94)</f>
        <v>25.94</v>
      </c>
      <c r="X1139" s="9"/>
      <c r="Y1139" s="6">
        <v>1.73</v>
      </c>
      <c r="Z1139" s="6">
        <v>2</v>
      </c>
      <c r="AA1139" s="8">
        <v>45352</v>
      </c>
      <c r="AB1139" s="4">
        <v>0.21</v>
      </c>
      <c r="AC1139" s="6">
        <v>10.31</v>
      </c>
      <c r="AD1139" s="6">
        <v>11.24</v>
      </c>
      <c r="AE1139" s="1">
        <v>0</v>
      </c>
      <c r="AF1139" s="1">
        <f ca="1">IFERROR(__xludf.DUMMYFUNCTION("IFERROR(GOOGLEFINANCE(TRIM(F1139)&amp;"":"" &amp; TRIM(B1139),""high52""),AE1139)"),0)</f>
        <v>0</v>
      </c>
      <c r="AG1139" s="1">
        <v>0</v>
      </c>
      <c r="AH1139" s="1">
        <f ca="1">IFERROR(__xludf.DUMMYFUNCTION("IFERROR(GOOGLEFINANCE(TRIM(F1139)&amp;"":"" &amp; TRIM(B1139),""low52""),AE1139)"),0)</f>
        <v>0</v>
      </c>
      <c r="AI1139" s="1">
        <f ca="1">IFERROR(__xludf.DUMMYFUNCTION("IFERROR(GOOGLEFINANCE(B1139,""eps""),0)"),0)</f>
        <v>0</v>
      </c>
      <c r="AJ1139" s="1"/>
      <c r="AK1139" s="1" t="s">
        <v>3454</v>
      </c>
      <c r="AL1139" s="9">
        <f t="shared" si="170"/>
        <v>1</v>
      </c>
    </row>
    <row r="1140" spans="1:38" ht="15" x14ac:dyDescent="0.25">
      <c r="A1140" s="1" t="s">
        <v>3455</v>
      </c>
      <c r="B1140" s="1" t="s">
        <v>3456</v>
      </c>
      <c r="C1140" s="1" t="s">
        <v>317</v>
      </c>
      <c r="D1140" s="1" t="s">
        <v>317</v>
      </c>
      <c r="E1140" s="6">
        <v>301.19</v>
      </c>
      <c r="F1140" s="1" t="s">
        <v>53</v>
      </c>
      <c r="G1140" s="6">
        <f ca="1">IFERROR(__xludf.DUMMYFUNCTION("iferror(GOOGLEFINANCE(TRIM(F1140)&amp;"":"" &amp; TRIM(B1140), ""price""),0
)"),0)</f>
        <v>0</v>
      </c>
      <c r="H1140" s="6">
        <v>932.2</v>
      </c>
      <c r="I1140" s="6">
        <f t="shared" ca="1" si="0"/>
        <v>932.2</v>
      </c>
      <c r="J1140" s="6">
        <f ca="1">IFERROR(__xludf.DUMMYFUNCTION("IFERROR(GOOGLEFINANCE(B1140, ""volume""), 0)"),0)</f>
        <v>0</v>
      </c>
      <c r="K1140" s="6">
        <v>-0.92</v>
      </c>
      <c r="L1140" s="6">
        <f ca="1">IFERROR(__xludf.DUMMYFUNCTION("IFERROR(GOOGLEFINANCE(B1140,""changepct""),K1140)"),-0.92)</f>
        <v>-0.92</v>
      </c>
      <c r="M1140" s="6">
        <f ca="1">IFERROR(__xludf.DUMMYFUNCTION("IFERROR(GOOGLEFINANCE(B1140,""change""),0)"),0)</f>
        <v>0</v>
      </c>
      <c r="N1140" s="6">
        <v>2</v>
      </c>
      <c r="O1140" s="7">
        <v>45536</v>
      </c>
      <c r="P1140" s="6">
        <v>42.71</v>
      </c>
      <c r="Q1140" s="6">
        <v>297.52</v>
      </c>
      <c r="R1140" s="7">
        <v>45536</v>
      </c>
      <c r="S1140" s="6">
        <v>1728.26</v>
      </c>
      <c r="T1140" s="6">
        <v>7.83</v>
      </c>
      <c r="U1140" s="7">
        <v>45536</v>
      </c>
      <c r="V1140" s="6">
        <v>32.76</v>
      </c>
      <c r="W1140" s="6">
        <f ca="1">IFERROR(__xludf.DUMMYFUNCTION("IFERROR(GOOGLEFINANCE(B1140,""pe""),V1140)"),32.76)</f>
        <v>32.76</v>
      </c>
      <c r="X1140" s="6">
        <v>-1.29</v>
      </c>
      <c r="Y1140" s="6">
        <v>0.89</v>
      </c>
      <c r="Z1140" s="6">
        <v>2</v>
      </c>
      <c r="AA1140" s="8">
        <v>45352</v>
      </c>
      <c r="AB1140" s="4">
        <v>0.03</v>
      </c>
      <c r="AC1140" s="6">
        <v>0.92</v>
      </c>
      <c r="AD1140" s="6">
        <v>1.47</v>
      </c>
      <c r="AE1140" s="1">
        <v>0</v>
      </c>
      <c r="AF1140" s="1">
        <f ca="1">IFERROR(__xludf.DUMMYFUNCTION("IFERROR(GOOGLEFINANCE(TRIM(F1140)&amp;"":"" &amp; TRIM(B1140),""high52""),AE1140)"),0)</f>
        <v>0</v>
      </c>
      <c r="AG1140" s="1">
        <v>0</v>
      </c>
      <c r="AH1140" s="1">
        <f ca="1">IFERROR(__xludf.DUMMYFUNCTION("IFERROR(GOOGLEFINANCE(TRIM(F1140)&amp;"":"" &amp; TRIM(B1140),""low52""),AE1140)"),0)</f>
        <v>0</v>
      </c>
      <c r="AI1140" s="1">
        <f ca="1">IFERROR(__xludf.DUMMYFUNCTION("IFERROR(GOOGLEFINANCE(B1140,""eps""),0)"),0)</f>
        <v>0</v>
      </c>
      <c r="AJ1140" s="1"/>
      <c r="AK1140" s="1" t="s">
        <v>3457</v>
      </c>
      <c r="AL1140" s="9">
        <f t="shared" si="170"/>
        <v>1</v>
      </c>
    </row>
    <row r="1141" spans="1:38" ht="15" x14ac:dyDescent="0.25">
      <c r="A1141" s="1" t="s">
        <v>3458</v>
      </c>
      <c r="B1141" s="1" t="s">
        <v>3459</v>
      </c>
      <c r="C1141" s="1" t="s">
        <v>321</v>
      </c>
      <c r="D1141" s="1" t="s">
        <v>321</v>
      </c>
      <c r="E1141" s="6">
        <v>179.34</v>
      </c>
      <c r="F1141" s="1" t="s">
        <v>53</v>
      </c>
      <c r="G1141" s="6">
        <f ca="1">IFERROR(__xludf.DUMMYFUNCTION("iferror(GOOGLEFINANCE(TRIM(F1141)&amp;"":"" &amp; TRIM(B1141), ""price""),0
)"),0)</f>
        <v>0</v>
      </c>
      <c r="H1141" s="6">
        <v>95.05</v>
      </c>
      <c r="I1141" s="6">
        <f t="shared" ca="1" si="0"/>
        <v>95.05</v>
      </c>
      <c r="J1141" s="6">
        <f ca="1">IFERROR(__xludf.DUMMYFUNCTION("IFERROR(GOOGLEFINANCE(B1141, ""volume""), 0)"),0)</f>
        <v>0</v>
      </c>
      <c r="K1141" s="6">
        <v>-6.72</v>
      </c>
      <c r="L1141" s="6">
        <f ca="1">IFERROR(__xludf.DUMMYFUNCTION("IFERROR(GOOGLEFINANCE(B1141,""changepct""),K1141)"),-6.72)</f>
        <v>-6.72</v>
      </c>
      <c r="M1141" s="6">
        <f ca="1">IFERROR(__xludf.DUMMYFUNCTION("IFERROR(GOOGLEFINANCE(B1141,""change""),0)"),0)</f>
        <v>0</v>
      </c>
      <c r="N1141" s="6">
        <v>2</v>
      </c>
      <c r="O1141" s="7">
        <v>45536</v>
      </c>
      <c r="P1141" s="6">
        <v>82.53</v>
      </c>
      <c r="Q1141" s="6">
        <v>193.15</v>
      </c>
      <c r="R1141" s="7">
        <v>45261</v>
      </c>
      <c r="S1141" s="6">
        <v>4.9400000000000004</v>
      </c>
      <c r="T1141" s="6">
        <v>0.5</v>
      </c>
      <c r="U1141" s="7">
        <v>45352</v>
      </c>
      <c r="V1141" s="6">
        <v>2.62</v>
      </c>
      <c r="W1141" s="6">
        <f ca="1">IFERROR(__xludf.DUMMYFUNCTION("IFERROR(GOOGLEFINANCE(B1141,""pe""),V1141)"),2.62)</f>
        <v>2.62</v>
      </c>
      <c r="X1141" s="6">
        <v>0.14000000000000001</v>
      </c>
      <c r="Y1141" s="6">
        <v>1.6</v>
      </c>
      <c r="Z1141" s="6">
        <v>2</v>
      </c>
      <c r="AA1141" s="8">
        <v>45352</v>
      </c>
      <c r="AB1141" s="4">
        <v>0.56000000000000005</v>
      </c>
      <c r="AC1141" s="6">
        <v>98.16</v>
      </c>
      <c r="AD1141" s="6">
        <v>77.8</v>
      </c>
      <c r="AE1141" s="1">
        <v>0</v>
      </c>
      <c r="AF1141" s="1">
        <f ca="1">IFERROR(__xludf.DUMMYFUNCTION("IFERROR(GOOGLEFINANCE(TRIM(F1141)&amp;"":"" &amp; TRIM(B1141),""high52""),AE1141)"),0)</f>
        <v>0</v>
      </c>
      <c r="AG1141" s="1">
        <v>0</v>
      </c>
      <c r="AH1141" s="1">
        <f ca="1">IFERROR(__xludf.DUMMYFUNCTION("IFERROR(GOOGLEFINANCE(TRIM(F1141)&amp;"":"" &amp; TRIM(B1141),""low52""),AE1141)"),0)</f>
        <v>0</v>
      </c>
      <c r="AI1141" s="1">
        <f ca="1">IFERROR(__xludf.DUMMYFUNCTION("IFERROR(GOOGLEFINANCE(B1141,""eps""),0)"),0)</f>
        <v>0</v>
      </c>
      <c r="AJ1141" s="1"/>
      <c r="AK1141" s="1" t="s">
        <v>3460</v>
      </c>
      <c r="AL1141" s="9">
        <f t="shared" si="170"/>
        <v>1</v>
      </c>
    </row>
    <row r="1142" spans="1:38" ht="15" x14ac:dyDescent="0.25">
      <c r="A1142" s="1" t="s">
        <v>3461</v>
      </c>
      <c r="B1142" s="1" t="s">
        <v>3462</v>
      </c>
      <c r="C1142" s="1" t="s">
        <v>208</v>
      </c>
      <c r="D1142" s="1" t="s">
        <v>208</v>
      </c>
      <c r="E1142" s="6">
        <v>23416.959999999999</v>
      </c>
      <c r="F1142" s="1" t="s">
        <v>40</v>
      </c>
      <c r="G1142" s="6">
        <f ca="1">IFERROR(__xludf.DUMMYFUNCTION("iferror(GOOGLEFINANCE(TRIM(F1142)&amp;"":"" &amp; TRIM(B1142), ""price""),0
)"),441)</f>
        <v>441</v>
      </c>
      <c r="H1142" s="6">
        <v>808.95</v>
      </c>
      <c r="I1142" s="6">
        <f t="shared" ca="1" si="0"/>
        <v>441</v>
      </c>
      <c r="J1142" s="6">
        <f ca="1">IFERROR(__xludf.DUMMYFUNCTION("IFERROR(GOOGLEFINANCE(B1142, ""volume""), 0)"),2204687)</f>
        <v>2204687</v>
      </c>
      <c r="K1142" s="6">
        <v>1.41</v>
      </c>
      <c r="L1142" s="6">
        <f ca="1">IFERROR(__xludf.DUMMYFUNCTION("IFERROR(GOOGLEFINANCE(B1142,""changepct""),K1142)"),-2.92)</f>
        <v>-2.92</v>
      </c>
      <c r="M1142" s="6">
        <f ca="1">IFERROR(__xludf.DUMMYFUNCTION("IFERROR(GOOGLEFINANCE(B1142,""change""),0)"),-13.25)</f>
        <v>-13.25</v>
      </c>
      <c r="N1142" s="6">
        <v>1</v>
      </c>
      <c r="O1142" s="7">
        <v>45536</v>
      </c>
      <c r="P1142" s="6">
        <v>972.32</v>
      </c>
      <c r="Q1142" s="7">
        <v>45536</v>
      </c>
      <c r="R1142" s="6">
        <v>24.08</v>
      </c>
      <c r="S1142" s="9"/>
      <c r="T1142" s="6">
        <v>4.09</v>
      </c>
      <c r="U1142" s="6">
        <v>1</v>
      </c>
      <c r="V1142" s="7">
        <v>45352</v>
      </c>
      <c r="W1142" s="6">
        <f ca="1">IFERROR(__xludf.DUMMYFUNCTION("IFERROR(GOOGLEFINANCE(B1142,""pe""),V1142)"),11.72)</f>
        <v>11.72</v>
      </c>
      <c r="X1142" s="6">
        <v>1.23</v>
      </c>
      <c r="Y1142" s="6">
        <v>17.75</v>
      </c>
      <c r="Z1142" s="6">
        <v>15.8</v>
      </c>
      <c r="AA1142" s="3" t="s">
        <v>3463</v>
      </c>
      <c r="AB1142" s="3"/>
      <c r="AC1142" s="9"/>
      <c r="AD1142" s="9"/>
      <c r="AE1142" s="1">
        <v>0</v>
      </c>
      <c r="AF1142" s="1">
        <f ca="1">IFERROR(__xludf.DUMMYFUNCTION("IFERROR(GOOGLEFINANCE(TRIM(F1142)&amp;"":"" &amp; TRIM(B1142),""high52""),AE1142)"),850)</f>
        <v>850</v>
      </c>
      <c r="AG1142" s="1">
        <v>0</v>
      </c>
      <c r="AH1142" s="1">
        <f ca="1">IFERROR(__xludf.DUMMYFUNCTION("IFERROR(GOOGLEFINANCE(TRIM(F1142)&amp;"":"" &amp; TRIM(B1142),""low52""),AE1142)"),420.55)</f>
        <v>420.55</v>
      </c>
      <c r="AI1142" s="1">
        <f ca="1">IFERROR(__xludf.DUMMYFUNCTION("IFERROR(GOOGLEFINANCE(B1142,""eps""),0)"),37.63)</f>
        <v>37.630000000000003</v>
      </c>
      <c r="AJ1142" s="1"/>
      <c r="AK1142" s="6">
        <v>45.51</v>
      </c>
      <c r="AL1142" s="9">
        <f t="shared" si="170"/>
        <v>1</v>
      </c>
    </row>
    <row r="1143" spans="1:38" ht="15" x14ac:dyDescent="0.25">
      <c r="A1143" s="1" t="s">
        <v>3464</v>
      </c>
      <c r="B1143" s="1" t="s">
        <v>3465</v>
      </c>
      <c r="C1143" s="1" t="s">
        <v>2874</v>
      </c>
      <c r="D1143" s="1" t="s">
        <v>2874</v>
      </c>
      <c r="E1143" s="6">
        <v>3081.23</v>
      </c>
      <c r="F1143" s="1" t="s">
        <v>40</v>
      </c>
      <c r="G1143" s="6">
        <f ca="1">IFERROR(__xludf.DUMMYFUNCTION("iferror(GOOGLEFINANCE(TRIM(F1143)&amp;"":"" &amp; TRIM(B1143), ""price""),0
)"),303.65)</f>
        <v>303.64999999999998</v>
      </c>
      <c r="H1143" s="6">
        <v>292.3</v>
      </c>
      <c r="I1143" s="6">
        <f t="shared" ca="1" si="0"/>
        <v>303.64999999999998</v>
      </c>
      <c r="J1143" s="6">
        <f ca="1">IFERROR(__xludf.DUMMYFUNCTION("IFERROR(GOOGLEFINANCE(B1143, ""volume""), 0)"),114023)</f>
        <v>114023</v>
      </c>
      <c r="K1143" s="6">
        <v>-0.49</v>
      </c>
      <c r="L1143" s="6">
        <f ca="1">IFERROR(__xludf.DUMMYFUNCTION("IFERROR(GOOGLEFINANCE(B1143,""changepct""),K1143)"),1.84)</f>
        <v>1.84</v>
      </c>
      <c r="M1143" s="6">
        <f ca="1">IFERROR(__xludf.DUMMYFUNCTION("IFERROR(GOOGLEFINANCE(B1143,""change""),0)"),5.5)</f>
        <v>5.5</v>
      </c>
      <c r="N1143" s="6">
        <v>2</v>
      </c>
      <c r="O1143" s="7">
        <v>45536</v>
      </c>
      <c r="P1143" s="6">
        <v>22.23</v>
      </c>
      <c r="Q1143" s="6">
        <v>2923.76</v>
      </c>
      <c r="R1143" s="7">
        <v>45536</v>
      </c>
      <c r="S1143" s="6">
        <v>992.29</v>
      </c>
      <c r="T1143" s="6">
        <v>112.16</v>
      </c>
      <c r="U1143" s="7">
        <v>45536</v>
      </c>
      <c r="V1143" s="6">
        <v>27.3</v>
      </c>
      <c r="W1143" s="6">
        <f ca="1">IFERROR(__xludf.DUMMYFUNCTION("IFERROR(GOOGLEFINANCE(B1143,""pe""),V1143)"),24.36)</f>
        <v>24.36</v>
      </c>
      <c r="X1143" s="9"/>
      <c r="Y1143" s="6">
        <v>3.22</v>
      </c>
      <c r="Z1143" s="6">
        <v>2</v>
      </c>
      <c r="AA1143" s="8">
        <v>45352</v>
      </c>
      <c r="AB1143" s="4">
        <v>0.05</v>
      </c>
      <c r="AC1143" s="6">
        <v>17.760000000000002</v>
      </c>
      <c r="AD1143" s="6">
        <v>22.71</v>
      </c>
      <c r="AE1143" s="1">
        <v>0</v>
      </c>
      <c r="AF1143" s="1">
        <f ca="1">IFERROR(__xludf.DUMMYFUNCTION("IFERROR(GOOGLEFINANCE(TRIM(F1143)&amp;"":"" &amp; TRIM(B1143),""high52""),AE1143)"),357)</f>
        <v>357</v>
      </c>
      <c r="AG1143" s="1">
        <v>0</v>
      </c>
      <c r="AH1143" s="1">
        <f ca="1">IFERROR(__xludf.DUMMYFUNCTION("IFERROR(GOOGLEFINANCE(TRIM(F1143)&amp;"":"" &amp; TRIM(B1143),""low52""),AE1143)"),194.03)</f>
        <v>194.03</v>
      </c>
      <c r="AI1143" s="1">
        <f ca="1">IFERROR(__xludf.DUMMYFUNCTION("IFERROR(GOOGLEFINANCE(B1143,""eps""),0)"),12.47)</f>
        <v>12.47</v>
      </c>
      <c r="AJ1143" s="1"/>
      <c r="AK1143" s="1" t="s">
        <v>3466</v>
      </c>
      <c r="AL1143" s="9">
        <f t="shared" si="170"/>
        <v>1</v>
      </c>
    </row>
    <row r="1144" spans="1:38" ht="15" x14ac:dyDescent="0.25">
      <c r="A1144" s="1" t="s">
        <v>3467</v>
      </c>
      <c r="B1144" s="1" t="s">
        <v>3468</v>
      </c>
      <c r="C1144" s="1" t="s">
        <v>321</v>
      </c>
      <c r="D1144" s="1" t="s">
        <v>321</v>
      </c>
      <c r="E1144" s="6">
        <v>53.65</v>
      </c>
      <c r="F1144" s="1" t="s">
        <v>53</v>
      </c>
      <c r="G1144" s="6">
        <f ca="1">IFERROR(__xludf.DUMMYFUNCTION("iferror(GOOGLEFINANCE(TRIM(F1144)&amp;"":"" &amp; TRIM(B1144), ""price""),0
)"),0)</f>
        <v>0</v>
      </c>
      <c r="H1144" s="6">
        <v>117</v>
      </c>
      <c r="I1144" s="6">
        <f t="shared" ca="1" si="0"/>
        <v>117</v>
      </c>
      <c r="J1144" s="6">
        <f ca="1">IFERROR(__xludf.DUMMYFUNCTION("IFERROR(GOOGLEFINANCE(B1144, ""volume""), 0)"),0)</f>
        <v>0</v>
      </c>
      <c r="K1144" s="9"/>
      <c r="L1144" s="6" t="str">
        <f ca="1">IFERROR(__xludf.DUMMYFUNCTION("IFERROR(GOOGLEFINANCE(B1144,""changepct""),K1144)"),"")</f>
        <v/>
      </c>
      <c r="M1144" s="6">
        <f ca="1">IFERROR(__xludf.DUMMYFUNCTION("IFERROR(GOOGLEFINANCE(B1144,""change""),0)"),0)</f>
        <v>0</v>
      </c>
      <c r="N1144" s="6">
        <v>1</v>
      </c>
      <c r="O1144" s="7">
        <v>45536</v>
      </c>
      <c r="P1144" s="6">
        <v>4.3499999999999996</v>
      </c>
      <c r="Q1144" s="6">
        <v>57.99</v>
      </c>
      <c r="R1144" s="7">
        <v>45352</v>
      </c>
      <c r="S1144" s="6">
        <v>20.9</v>
      </c>
      <c r="T1144" s="6">
        <v>1.32</v>
      </c>
      <c r="U1144" s="7">
        <v>45352</v>
      </c>
      <c r="V1144" s="6">
        <v>40.700000000000003</v>
      </c>
      <c r="W1144" s="6">
        <f ca="1">IFERROR(__xludf.DUMMYFUNCTION("IFERROR(GOOGLEFINANCE(B1144,""pe""),V1144)"),40.7)</f>
        <v>40.700000000000003</v>
      </c>
      <c r="X1144" s="9"/>
      <c r="Y1144" s="6">
        <v>4.1399999999999997</v>
      </c>
      <c r="Z1144" s="6">
        <v>1</v>
      </c>
      <c r="AA1144" s="8">
        <v>45352</v>
      </c>
      <c r="AB1144" s="4">
        <v>0.22</v>
      </c>
      <c r="AC1144" s="6">
        <v>14.33</v>
      </c>
      <c r="AD1144" s="6">
        <v>18.72</v>
      </c>
      <c r="AE1144" s="1">
        <v>0</v>
      </c>
      <c r="AF1144" s="1">
        <f ca="1">IFERROR(__xludf.DUMMYFUNCTION("IFERROR(GOOGLEFINANCE(TRIM(F1144)&amp;"":"" &amp; TRIM(B1144),""high52""),AE1144)"),0)</f>
        <v>0</v>
      </c>
      <c r="AG1144" s="1">
        <v>0</v>
      </c>
      <c r="AH1144" s="1">
        <f ca="1">IFERROR(__xludf.DUMMYFUNCTION("IFERROR(GOOGLEFINANCE(TRIM(F1144)&amp;"":"" &amp; TRIM(B1144),""low52""),AE1144)"),0)</f>
        <v>0</v>
      </c>
      <c r="AI1144" s="1">
        <f ca="1">IFERROR(__xludf.DUMMYFUNCTION("IFERROR(GOOGLEFINANCE(B1144,""eps""),0)"),0)</f>
        <v>0</v>
      </c>
      <c r="AJ1144" s="1"/>
      <c r="AK1144" s="1" t="s">
        <v>3469</v>
      </c>
      <c r="AL1144" s="9">
        <f t="shared" si="170"/>
        <v>1</v>
      </c>
    </row>
    <row r="1145" spans="1:38" ht="15" x14ac:dyDescent="0.25">
      <c r="A1145" s="1" t="s">
        <v>3470</v>
      </c>
      <c r="B1145" s="1" t="s">
        <v>3471</v>
      </c>
      <c r="C1145" s="1" t="s">
        <v>186</v>
      </c>
      <c r="D1145" s="1" t="s">
        <v>186</v>
      </c>
      <c r="E1145" s="6">
        <v>232.24</v>
      </c>
      <c r="F1145" s="1" t="s">
        <v>40</v>
      </c>
      <c r="G1145" s="6">
        <f ca="1">IFERROR(__xludf.DUMMYFUNCTION("iferror(GOOGLEFINANCE(TRIM(F1145)&amp;"":"" &amp; TRIM(B1145), ""price""),0
)"),10.94)</f>
        <v>10.94</v>
      </c>
      <c r="H1145" s="6">
        <v>71.239999999999995</v>
      </c>
      <c r="I1145" s="6">
        <f t="shared" ca="1" si="0"/>
        <v>10.94</v>
      </c>
      <c r="J1145" s="6">
        <f ca="1">IFERROR(__xludf.DUMMYFUNCTION("IFERROR(GOOGLEFINANCE(B1145, ""volume""), 0)"),9184)</f>
        <v>9184</v>
      </c>
      <c r="K1145" s="6">
        <v>-2.0099999999999998</v>
      </c>
      <c r="L1145" s="6">
        <f ca="1">IFERROR(__xludf.DUMMYFUNCTION("IFERROR(GOOGLEFINANCE(B1145,""changepct""),K1145)"),2.34)</f>
        <v>2.34</v>
      </c>
      <c r="M1145" s="6">
        <f ca="1">IFERROR(__xludf.DUMMYFUNCTION("IFERROR(GOOGLEFINANCE(B1145,""change""),0)"),0.25)</f>
        <v>0.25</v>
      </c>
      <c r="N1145" s="6">
        <v>2</v>
      </c>
      <c r="O1145" s="7">
        <v>45536</v>
      </c>
      <c r="P1145" s="6">
        <v>276.24</v>
      </c>
      <c r="Q1145" s="6">
        <v>488.73</v>
      </c>
      <c r="R1145" s="7">
        <v>45536</v>
      </c>
      <c r="S1145" s="6">
        <v>425.46</v>
      </c>
      <c r="T1145" s="6">
        <v>147.26</v>
      </c>
      <c r="U1145" s="7">
        <v>45536</v>
      </c>
      <c r="V1145" s="6">
        <v>1.58</v>
      </c>
      <c r="W1145" s="6">
        <f ca="1">IFERROR(__xludf.DUMMYFUNCTION("IFERROR(GOOGLEFINANCE(B1145,""pe""),V1145)"),1.58)</f>
        <v>1.58</v>
      </c>
      <c r="X1145" s="9"/>
      <c r="Y1145" s="6">
        <v>5.84</v>
      </c>
      <c r="Z1145" s="6">
        <v>2</v>
      </c>
      <c r="AA1145" s="8">
        <v>45352</v>
      </c>
      <c r="AB1145" s="4">
        <v>-18.41</v>
      </c>
      <c r="AC1145" s="6">
        <v>0</v>
      </c>
      <c r="AD1145" s="6">
        <v>-28.26</v>
      </c>
      <c r="AE1145" s="1">
        <v>0</v>
      </c>
      <c r="AF1145" s="1">
        <f ca="1">IFERROR(__xludf.DUMMYFUNCTION("IFERROR(GOOGLEFINANCE(TRIM(F1145)&amp;"":"" &amp; TRIM(B1145),""high52""),AE1145)"),59.48)</f>
        <v>59.48</v>
      </c>
      <c r="AG1145" s="1">
        <v>0</v>
      </c>
      <c r="AH1145" s="1">
        <f ca="1">IFERROR(__xludf.DUMMYFUNCTION("IFERROR(GOOGLEFINANCE(TRIM(F1145)&amp;"":"" &amp; TRIM(B1145),""low52""),AE1145)"),9.7)</f>
        <v>9.6999999999999993</v>
      </c>
      <c r="AI1145" s="1">
        <f ca="1">IFERROR(__xludf.DUMMYFUNCTION("IFERROR(GOOGLEFINANCE(B1145,""eps""),0)"),-19.54)</f>
        <v>-19.54</v>
      </c>
      <c r="AJ1145" s="1"/>
      <c r="AK1145" s="12"/>
      <c r="AL1145" s="9">
        <f t="shared" si="170"/>
        <v>1</v>
      </c>
    </row>
    <row r="1146" spans="1:38" ht="15" x14ac:dyDescent="0.25">
      <c r="A1146" s="1" t="s">
        <v>3472</v>
      </c>
      <c r="B1146" s="1" t="s">
        <v>3473</v>
      </c>
      <c r="C1146" s="1" t="s">
        <v>321</v>
      </c>
      <c r="D1146" s="1" t="s">
        <v>321</v>
      </c>
      <c r="E1146" s="6">
        <v>57.93</v>
      </c>
      <c r="F1146" s="1" t="s">
        <v>53</v>
      </c>
      <c r="G1146" s="6">
        <f ca="1">IFERROR(__xludf.DUMMYFUNCTION("iferror(GOOGLEFINANCE(TRIM(F1146)&amp;"":"" &amp; TRIM(B1146), ""price""),0
)"),0)</f>
        <v>0</v>
      </c>
      <c r="H1146" s="6">
        <v>94.5</v>
      </c>
      <c r="I1146" s="6">
        <f t="shared" ca="1" si="0"/>
        <v>94.5</v>
      </c>
      <c r="J1146" s="6">
        <f ca="1">IFERROR(__xludf.DUMMYFUNCTION("IFERROR(GOOGLEFINANCE(B1146, ""volume""), 0)"),0)</f>
        <v>0</v>
      </c>
      <c r="K1146" s="12"/>
      <c r="L1146" s="6" t="str">
        <f ca="1">IFERROR(__xludf.DUMMYFUNCTION("IFERROR(GOOGLEFINANCE(B1146,""changepct""),K1146)"),"")</f>
        <v/>
      </c>
      <c r="M1146" s="6">
        <f ca="1">IFERROR(__xludf.DUMMYFUNCTION("IFERROR(GOOGLEFINANCE(B1146,""change""),0)"),0)</f>
        <v>0</v>
      </c>
      <c r="N1146" s="6">
        <v>1</v>
      </c>
      <c r="O1146" s="7">
        <v>45536</v>
      </c>
      <c r="P1146" s="12"/>
      <c r="Q1146" s="6">
        <v>57.93</v>
      </c>
      <c r="R1146" s="7">
        <v>45352</v>
      </c>
      <c r="S1146" s="6">
        <v>4.6100000000000003</v>
      </c>
      <c r="T1146" s="6">
        <v>-0.14000000000000001</v>
      </c>
      <c r="U1146" s="7">
        <v>45352</v>
      </c>
      <c r="V1146" s="6">
        <v>0</v>
      </c>
      <c r="W1146" s="6">
        <f ca="1">IFERROR(__xludf.DUMMYFUNCTION("IFERROR(GOOGLEFINANCE(B1146,""pe""),V1146)"),0)</f>
        <v>0</v>
      </c>
      <c r="X1146" s="9"/>
      <c r="Y1146" s="6">
        <v>35.630000000000003</v>
      </c>
      <c r="Z1146" s="6">
        <v>2</v>
      </c>
      <c r="AA1146" s="8">
        <v>45352</v>
      </c>
      <c r="AB1146" s="4">
        <v>0</v>
      </c>
      <c r="AC1146" s="6">
        <v>2.44</v>
      </c>
      <c r="AD1146" s="6">
        <v>6.24</v>
      </c>
      <c r="AE1146" s="1">
        <v>0</v>
      </c>
      <c r="AF1146" s="1">
        <f ca="1">IFERROR(__xludf.DUMMYFUNCTION("IFERROR(GOOGLEFINANCE(TRIM(F1146)&amp;"":"" &amp; TRIM(B1146),""high52""),AE1146)"),0)</f>
        <v>0</v>
      </c>
      <c r="AG1146" s="1">
        <v>0</v>
      </c>
      <c r="AH1146" s="1">
        <f ca="1">IFERROR(__xludf.DUMMYFUNCTION("IFERROR(GOOGLEFINANCE(TRIM(F1146)&amp;"":"" &amp; TRIM(B1146),""low52""),AE1146)"),0)</f>
        <v>0</v>
      </c>
      <c r="AI1146" s="1">
        <f ca="1">IFERROR(__xludf.DUMMYFUNCTION("IFERROR(GOOGLEFINANCE(B1146,""eps""),0)"),0)</f>
        <v>0</v>
      </c>
      <c r="AJ1146" s="1"/>
      <c r="AK1146" s="1" t="s">
        <v>3474</v>
      </c>
      <c r="AL1146" s="9">
        <f t="shared" si="170"/>
        <v>1</v>
      </c>
    </row>
    <row r="1147" spans="1:38" ht="15" x14ac:dyDescent="0.25">
      <c r="A1147" s="1" t="s">
        <v>3475</v>
      </c>
      <c r="B1147" s="1" t="s">
        <v>3476</v>
      </c>
      <c r="C1147" s="1" t="s">
        <v>3477</v>
      </c>
      <c r="D1147" s="1" t="s">
        <v>3477</v>
      </c>
      <c r="E1147" s="6">
        <v>851.37</v>
      </c>
      <c r="F1147" s="1" t="s">
        <v>40</v>
      </c>
      <c r="G1147" s="6">
        <f ca="1">IFERROR(__xludf.DUMMYFUNCTION("iferror(GOOGLEFINANCE(TRIM(F1147)&amp;"":"" &amp; TRIM(B1147), ""price""),0
)"),0)</f>
        <v>0</v>
      </c>
      <c r="H1147" s="6">
        <v>1740</v>
      </c>
      <c r="I1147" s="6">
        <f t="shared" ca="1" si="0"/>
        <v>1740</v>
      </c>
      <c r="J1147" s="6">
        <f ca="1">IFERROR(__xludf.DUMMYFUNCTION("IFERROR(GOOGLEFINANCE(B1147, ""volume""), 0)"),0)</f>
        <v>0</v>
      </c>
      <c r="K1147" s="9"/>
      <c r="L1147" s="6" t="str">
        <f ca="1">IFERROR(__xludf.DUMMYFUNCTION("IFERROR(GOOGLEFINANCE(B1147,""changepct""),K1147)"),"")</f>
        <v/>
      </c>
      <c r="M1147" s="6">
        <f ca="1">IFERROR(__xludf.DUMMYFUNCTION("IFERROR(GOOGLEFINANCE(B1147,""change""),0)"),0)</f>
        <v>0</v>
      </c>
      <c r="N1147" s="6">
        <v>1</v>
      </c>
      <c r="O1147" s="7">
        <v>45536</v>
      </c>
      <c r="P1147" s="6">
        <v>32.71</v>
      </c>
      <c r="Q1147" s="6">
        <v>884.08</v>
      </c>
      <c r="R1147" s="7">
        <v>45352</v>
      </c>
      <c r="S1147" s="6">
        <v>16.53</v>
      </c>
      <c r="T1147" s="6">
        <v>0.49</v>
      </c>
      <c r="U1147" s="7">
        <v>45352</v>
      </c>
      <c r="V1147" s="6">
        <v>0</v>
      </c>
      <c r="W1147" s="6">
        <f ca="1">IFERROR(__xludf.DUMMYFUNCTION("IFERROR(GOOGLEFINANCE(B1147,""pe""),V1147)"),0)</f>
        <v>0</v>
      </c>
      <c r="X1147" s="9"/>
      <c r="Y1147" s="6">
        <v>24</v>
      </c>
      <c r="Z1147" s="6">
        <v>2</v>
      </c>
      <c r="AA1147" s="8">
        <v>45352</v>
      </c>
      <c r="AB1147" s="4">
        <v>0.34</v>
      </c>
      <c r="AC1147" s="6">
        <v>28.16</v>
      </c>
      <c r="AD1147" s="6">
        <v>26.21</v>
      </c>
      <c r="AE1147" s="1">
        <v>0</v>
      </c>
      <c r="AF1147" s="1">
        <f ca="1">IFERROR(__xludf.DUMMYFUNCTION("IFERROR(GOOGLEFINANCE(TRIM(F1147)&amp;"":"" &amp; TRIM(B1147),""high52""),AE1147)"),0)</f>
        <v>0</v>
      </c>
      <c r="AG1147" s="1">
        <v>0</v>
      </c>
      <c r="AH1147" s="1">
        <f ca="1">IFERROR(__xludf.DUMMYFUNCTION("IFERROR(GOOGLEFINANCE(TRIM(F1147)&amp;"":"" &amp; TRIM(B1147),""low52""),AE1147)"),0)</f>
        <v>0</v>
      </c>
      <c r="AI1147" s="1">
        <f ca="1">IFERROR(__xludf.DUMMYFUNCTION("IFERROR(GOOGLEFINANCE(B1147,""eps""),0)"),0)</f>
        <v>0</v>
      </c>
      <c r="AJ1147" s="1"/>
      <c r="AK1147" s="1" t="s">
        <v>3478</v>
      </c>
      <c r="AL1147" s="9">
        <f t="shared" si="170"/>
        <v>1</v>
      </c>
    </row>
    <row r="1148" spans="1:38" ht="15" x14ac:dyDescent="0.25">
      <c r="A1148" s="1" t="s">
        <v>3479</v>
      </c>
      <c r="B1148" s="1" t="s">
        <v>3480</v>
      </c>
      <c r="C1148" s="1" t="s">
        <v>125</v>
      </c>
      <c r="D1148" s="1" t="s">
        <v>125</v>
      </c>
      <c r="E1148" s="6">
        <v>902.4</v>
      </c>
      <c r="F1148" s="1" t="s">
        <v>40</v>
      </c>
      <c r="G1148" s="6">
        <f ca="1">IFERROR(__xludf.DUMMYFUNCTION("iferror(GOOGLEFINANCE(TRIM(F1148)&amp;"":"" &amp; TRIM(B1148), ""price""),0
)"),68)</f>
        <v>68</v>
      </c>
      <c r="H1148" s="6">
        <v>133</v>
      </c>
      <c r="I1148" s="6">
        <f t="shared" ca="1" si="0"/>
        <v>68</v>
      </c>
      <c r="J1148" s="6">
        <f ca="1">IFERROR(__xludf.DUMMYFUNCTION("IFERROR(GOOGLEFINANCE(B1148, ""volume""), 0)"),0)</f>
        <v>0</v>
      </c>
      <c r="K1148" s="6">
        <v>-0.88</v>
      </c>
      <c r="L1148" s="6">
        <f ca="1">IFERROR(__xludf.DUMMYFUNCTION("IFERROR(GOOGLEFINANCE(B1148,""changepct""),K1148)"),-0.88)</f>
        <v>-0.88</v>
      </c>
      <c r="M1148" s="6">
        <f ca="1">IFERROR(__xludf.DUMMYFUNCTION("IFERROR(GOOGLEFINANCE(B1148,""change""),0)"),0)</f>
        <v>0</v>
      </c>
      <c r="N1148" s="6">
        <v>2</v>
      </c>
      <c r="O1148" s="7">
        <v>45536</v>
      </c>
      <c r="P1148" s="6">
        <v>12.56</v>
      </c>
      <c r="Q1148" s="6">
        <v>914.96</v>
      </c>
      <c r="R1148" s="7">
        <v>45536</v>
      </c>
      <c r="S1148" s="6">
        <v>216.58</v>
      </c>
      <c r="T1148" s="6">
        <v>34.07</v>
      </c>
      <c r="U1148" s="7">
        <v>45536</v>
      </c>
      <c r="V1148" s="6">
        <v>26.23</v>
      </c>
      <c r="W1148" s="6">
        <f ca="1">IFERROR(__xludf.DUMMYFUNCTION("IFERROR(GOOGLEFINANCE(B1148,""pe""),V1148)"),26.23)</f>
        <v>26.23</v>
      </c>
      <c r="X1148" s="6">
        <v>0.82</v>
      </c>
      <c r="Y1148" s="6">
        <v>6.34</v>
      </c>
      <c r="Z1148" s="6">
        <v>2</v>
      </c>
      <c r="AA1148" s="8">
        <v>45352</v>
      </c>
      <c r="AB1148" s="4">
        <v>0.1</v>
      </c>
      <c r="AC1148" s="6">
        <v>35.520000000000003</v>
      </c>
      <c r="AD1148" s="6">
        <v>39.340000000000003</v>
      </c>
      <c r="AE1148" s="1">
        <v>0</v>
      </c>
      <c r="AF1148" s="1">
        <f ca="1">IFERROR(__xludf.DUMMYFUNCTION("IFERROR(GOOGLEFINANCE(TRIM(F1148)&amp;"":"" &amp; TRIM(B1148),""high52""),AE1148)"),126.15)</f>
        <v>126.15</v>
      </c>
      <c r="AG1148" s="1">
        <v>0</v>
      </c>
      <c r="AH1148" s="1">
        <f ca="1">IFERROR(__xludf.DUMMYFUNCTION("IFERROR(GOOGLEFINANCE(TRIM(F1148)&amp;"":"" &amp; TRIM(B1148),""low52""),AE1148)"),63.51)</f>
        <v>63.51</v>
      </c>
      <c r="AI1148" s="1">
        <f ca="1">IFERROR(__xludf.DUMMYFUNCTION("IFERROR(GOOGLEFINANCE(B1148,""eps""),0)"),0)</f>
        <v>0</v>
      </c>
      <c r="AJ1148" s="1"/>
      <c r="AK1148" s="1" t="s">
        <v>3481</v>
      </c>
      <c r="AL1148" s="9">
        <f t="shared" si="170"/>
        <v>1</v>
      </c>
    </row>
    <row r="1149" spans="1:38" ht="15" x14ac:dyDescent="0.25">
      <c r="A1149" s="1" t="s">
        <v>3482</v>
      </c>
      <c r="B1149" s="1" t="s">
        <v>3483</v>
      </c>
      <c r="C1149" s="1" t="s">
        <v>359</v>
      </c>
      <c r="D1149" s="1" t="s">
        <v>359</v>
      </c>
      <c r="E1149" s="6">
        <v>118.71</v>
      </c>
      <c r="F1149" s="1" t="s">
        <v>40</v>
      </c>
      <c r="G1149" s="6">
        <f ca="1">IFERROR(__xludf.DUMMYFUNCTION("iferror(GOOGLEFINANCE(TRIM(F1149)&amp;"":"" &amp; TRIM(B1149), ""price""),0
)"),0)</f>
        <v>0</v>
      </c>
      <c r="H1149" s="6">
        <v>119.9</v>
      </c>
      <c r="I1149" s="6">
        <f t="shared" ca="1" si="0"/>
        <v>119.9</v>
      </c>
      <c r="J1149" s="6">
        <f ca="1">IFERROR(__xludf.DUMMYFUNCTION("IFERROR(GOOGLEFINANCE(B1149, ""volume""), 0)"),0)</f>
        <v>0</v>
      </c>
      <c r="K1149" s="6">
        <v>3.63</v>
      </c>
      <c r="L1149" s="6">
        <f ca="1">IFERROR(__xludf.DUMMYFUNCTION("IFERROR(GOOGLEFINANCE(B1149,""changepct""),K1149)"),3.63)</f>
        <v>3.63</v>
      </c>
      <c r="M1149" s="6">
        <f ca="1">IFERROR(__xludf.DUMMYFUNCTION("IFERROR(GOOGLEFINANCE(B1149,""change""),0)"),0)</f>
        <v>0</v>
      </c>
      <c r="N1149" s="6">
        <v>1</v>
      </c>
      <c r="O1149" s="7">
        <v>45536</v>
      </c>
      <c r="P1149" s="6">
        <v>2.2999999999999998</v>
      </c>
      <c r="Q1149" s="6">
        <v>121.01</v>
      </c>
      <c r="R1149" s="7">
        <v>45352</v>
      </c>
      <c r="S1149" s="6">
        <v>297.60000000000002</v>
      </c>
      <c r="T1149" s="6">
        <v>3.43</v>
      </c>
      <c r="U1149" s="7">
        <v>45352</v>
      </c>
      <c r="V1149" s="6">
        <v>34.590000000000003</v>
      </c>
      <c r="W1149" s="6">
        <f ca="1">IFERROR(__xludf.DUMMYFUNCTION("IFERROR(GOOGLEFINANCE(B1149,""pe""),V1149)"),34.59)</f>
        <v>34.590000000000003</v>
      </c>
      <c r="X1149" s="9"/>
      <c r="Y1149" s="6">
        <v>3.97</v>
      </c>
      <c r="Z1149" s="6">
        <v>1</v>
      </c>
      <c r="AA1149" s="8">
        <v>45352</v>
      </c>
      <c r="AB1149" s="4">
        <v>0.01</v>
      </c>
      <c r="AC1149" s="6">
        <v>21.46</v>
      </c>
      <c r="AD1149" s="6">
        <v>41.4</v>
      </c>
      <c r="AE1149" s="1">
        <v>0</v>
      </c>
      <c r="AF1149" s="1">
        <f ca="1">IFERROR(__xludf.DUMMYFUNCTION("IFERROR(GOOGLEFINANCE(TRIM(F1149)&amp;"":"" &amp; TRIM(B1149),""high52""),AE1149)"),0)</f>
        <v>0</v>
      </c>
      <c r="AG1149" s="1">
        <v>0</v>
      </c>
      <c r="AH1149" s="1">
        <f ca="1">IFERROR(__xludf.DUMMYFUNCTION("IFERROR(GOOGLEFINANCE(TRIM(F1149)&amp;"":"" &amp; TRIM(B1149),""low52""),AE1149)"),0)</f>
        <v>0</v>
      </c>
      <c r="AI1149" s="1">
        <f ca="1">IFERROR(__xludf.DUMMYFUNCTION("IFERROR(GOOGLEFINANCE(B1149,""eps""),0)"),0)</f>
        <v>0</v>
      </c>
      <c r="AJ1149" s="1"/>
      <c r="AK1149" s="1" t="s">
        <v>3484</v>
      </c>
      <c r="AL1149" s="9">
        <f t="shared" si="170"/>
        <v>1</v>
      </c>
    </row>
    <row r="1150" spans="1:38" ht="15" x14ac:dyDescent="0.25">
      <c r="A1150" s="1" t="s">
        <v>3485</v>
      </c>
      <c r="B1150" s="1" t="s">
        <v>3486</v>
      </c>
      <c r="C1150" s="1" t="s">
        <v>324</v>
      </c>
      <c r="D1150" s="1" t="s">
        <v>324</v>
      </c>
      <c r="E1150" s="6">
        <v>838.67</v>
      </c>
      <c r="F1150" s="1" t="s">
        <v>40</v>
      </c>
      <c r="G1150" s="6">
        <f ca="1">IFERROR(__xludf.DUMMYFUNCTION("iferror(GOOGLEFINANCE(TRIM(F1150)&amp;"":"" &amp; TRIM(B1150), ""price""),0
)"),58.99)</f>
        <v>58.99</v>
      </c>
      <c r="H1150" s="6">
        <v>117.69</v>
      </c>
      <c r="I1150" s="6">
        <f t="shared" ca="1" si="0"/>
        <v>58.99</v>
      </c>
      <c r="J1150" s="6">
        <f ca="1">IFERROR(__xludf.DUMMYFUNCTION("IFERROR(GOOGLEFINANCE(B1150, ""volume""), 0)"),140056)</f>
        <v>140056</v>
      </c>
      <c r="K1150" s="6">
        <v>2.4</v>
      </c>
      <c r="L1150" s="6">
        <f ca="1">IFERROR(__xludf.DUMMYFUNCTION("IFERROR(GOOGLEFINANCE(B1150,""changepct""),K1150)"),-1.07)</f>
        <v>-1.07</v>
      </c>
      <c r="M1150" s="6">
        <f ca="1">IFERROR(__xludf.DUMMYFUNCTION("IFERROR(GOOGLEFINANCE(B1150,""change""),0)"),-0.64)</f>
        <v>-0.64</v>
      </c>
      <c r="N1150" s="6">
        <v>2</v>
      </c>
      <c r="O1150" s="7">
        <v>45536</v>
      </c>
      <c r="P1150" s="6">
        <v>459.29</v>
      </c>
      <c r="Q1150" s="6">
        <v>1285.6099999999999</v>
      </c>
      <c r="R1150" s="7">
        <v>45536</v>
      </c>
      <c r="S1150" s="6">
        <v>911.06</v>
      </c>
      <c r="T1150" s="6">
        <v>27.35</v>
      </c>
      <c r="U1150" s="7">
        <v>45536</v>
      </c>
      <c r="V1150" s="6">
        <v>30.86</v>
      </c>
      <c r="W1150" s="6">
        <f ca="1">IFERROR(__xludf.DUMMYFUNCTION("IFERROR(GOOGLEFINANCE(B1150,""pe""),V1150)"),13.71)</f>
        <v>13.71</v>
      </c>
      <c r="X1150" s="6">
        <v>0.34</v>
      </c>
      <c r="Y1150" s="6">
        <v>1.63</v>
      </c>
      <c r="Z1150" s="6">
        <v>2</v>
      </c>
      <c r="AA1150" s="8">
        <v>45352</v>
      </c>
      <c r="AB1150" s="4">
        <v>1.39</v>
      </c>
      <c r="AC1150" s="6">
        <v>12.59</v>
      </c>
      <c r="AD1150" s="6">
        <v>14.98</v>
      </c>
      <c r="AE1150" s="1">
        <v>0</v>
      </c>
      <c r="AF1150" s="1">
        <f ca="1">IFERROR(__xludf.DUMMYFUNCTION("IFERROR(GOOGLEFINANCE(TRIM(F1150)&amp;"":"" &amp; TRIM(B1150),""high52""),AE1150)"),128.45)</f>
        <v>128.44999999999999</v>
      </c>
      <c r="AG1150" s="1">
        <v>0</v>
      </c>
      <c r="AH1150" s="1">
        <f ca="1">IFERROR(__xludf.DUMMYFUNCTION("IFERROR(GOOGLEFINANCE(TRIM(F1150)&amp;"":"" &amp; TRIM(B1150),""low52""),AE1150)"),56.15)</f>
        <v>56.15</v>
      </c>
      <c r="AI1150" s="1">
        <f ca="1">IFERROR(__xludf.DUMMYFUNCTION("IFERROR(GOOGLEFINANCE(B1150,""eps""),0)"),4.3)</f>
        <v>4.3</v>
      </c>
      <c r="AJ1150" s="1"/>
      <c r="AK1150" s="1" t="s">
        <v>3487</v>
      </c>
      <c r="AL1150" s="9">
        <f t="shared" si="170"/>
        <v>1</v>
      </c>
    </row>
    <row r="1151" spans="1:38" ht="15" x14ac:dyDescent="0.25">
      <c r="A1151" s="1" t="s">
        <v>3488</v>
      </c>
      <c r="B1151" s="1" t="s">
        <v>3489</v>
      </c>
      <c r="C1151" s="1" t="s">
        <v>321</v>
      </c>
      <c r="D1151" s="1" t="s">
        <v>321</v>
      </c>
      <c r="E1151" s="6">
        <v>319.24</v>
      </c>
      <c r="F1151" s="1" t="s">
        <v>53</v>
      </c>
      <c r="G1151" s="6">
        <f ca="1">IFERROR(__xludf.DUMMYFUNCTION("iferror(GOOGLEFINANCE(TRIM(F1151)&amp;"":"" &amp; TRIM(B1151), ""price""),0
)"),0)</f>
        <v>0</v>
      </c>
      <c r="H1151" s="6">
        <v>608.65</v>
      </c>
      <c r="I1151" s="6">
        <f t="shared" ca="1" si="0"/>
        <v>608.65</v>
      </c>
      <c r="J1151" s="6">
        <f ca="1">IFERROR(__xludf.DUMMYFUNCTION("IFERROR(GOOGLEFINANCE(B1151, ""volume""), 0)"),0)</f>
        <v>0</v>
      </c>
      <c r="K1151" s="12"/>
      <c r="L1151" s="6" t="str">
        <f ca="1">IFERROR(__xludf.DUMMYFUNCTION("IFERROR(GOOGLEFINANCE(B1151,""changepct""),K1151)"),"")</f>
        <v/>
      </c>
      <c r="M1151" s="6">
        <f ca="1">IFERROR(__xludf.DUMMYFUNCTION("IFERROR(GOOGLEFINANCE(B1151,""change""),0)"),0)</f>
        <v>0</v>
      </c>
      <c r="N1151" s="6">
        <v>1</v>
      </c>
      <c r="O1151" s="15">
        <v>45536</v>
      </c>
      <c r="P1151" s="9"/>
      <c r="Q1151" s="6">
        <v>319.24</v>
      </c>
      <c r="R1151" s="7">
        <v>45536</v>
      </c>
      <c r="S1151" s="6">
        <v>0.3</v>
      </c>
      <c r="T1151" s="6">
        <v>0.2</v>
      </c>
      <c r="U1151" s="7">
        <v>45536</v>
      </c>
      <c r="V1151" s="6">
        <v>0</v>
      </c>
      <c r="W1151" s="6">
        <f ca="1">IFERROR(__xludf.DUMMYFUNCTION("IFERROR(GOOGLEFINANCE(B1151,""pe""),V1151)"),0)</f>
        <v>0</v>
      </c>
      <c r="X1151" s="6">
        <v>0</v>
      </c>
      <c r="Y1151" s="6">
        <v>29.6</v>
      </c>
      <c r="Z1151" s="6">
        <v>1</v>
      </c>
      <c r="AA1151" s="8">
        <v>45352</v>
      </c>
      <c r="AB1151" s="4">
        <v>0</v>
      </c>
      <c r="AC1151" s="6">
        <v>0.62</v>
      </c>
      <c r="AD1151" s="6">
        <v>0.84</v>
      </c>
      <c r="AE1151" s="1">
        <v>0</v>
      </c>
      <c r="AF1151" s="1">
        <f ca="1">IFERROR(__xludf.DUMMYFUNCTION("IFERROR(GOOGLEFINANCE(TRIM(F1151)&amp;"":"" &amp; TRIM(B1151),""high52""),AE1151)"),0)</f>
        <v>0</v>
      </c>
      <c r="AG1151" s="1">
        <v>0</v>
      </c>
      <c r="AH1151" s="1">
        <f ca="1">IFERROR(__xludf.DUMMYFUNCTION("IFERROR(GOOGLEFINANCE(TRIM(F1151)&amp;"":"" &amp; TRIM(B1151),""low52""),AE1151)"),0)</f>
        <v>0</v>
      </c>
      <c r="AI1151" s="1">
        <f ca="1">IFERROR(__xludf.DUMMYFUNCTION("IFERROR(GOOGLEFINANCE(B1151,""eps""),0)"),0)</f>
        <v>0</v>
      </c>
      <c r="AJ1151" s="1"/>
      <c r="AK1151" s="6">
        <v>22.66</v>
      </c>
      <c r="AL1151" s="9">
        <f t="shared" si="170"/>
        <v>1</v>
      </c>
    </row>
    <row r="1152" spans="1:38" ht="15" x14ac:dyDescent="0.25">
      <c r="A1152" s="1" t="s">
        <v>3490</v>
      </c>
      <c r="B1152" s="1" t="s">
        <v>3491</v>
      </c>
      <c r="C1152" s="1" t="s">
        <v>321</v>
      </c>
      <c r="D1152" s="1" t="s">
        <v>321</v>
      </c>
      <c r="E1152" s="6">
        <v>884.77</v>
      </c>
      <c r="F1152" s="1" t="s">
        <v>53</v>
      </c>
      <c r="G1152" s="6">
        <f ca="1">IFERROR(__xludf.DUMMYFUNCTION("iferror(GOOGLEFINANCE(TRIM(F1152)&amp;"":"" &amp; TRIM(B1152), ""price""),0
)"),0)</f>
        <v>0</v>
      </c>
      <c r="H1152" s="6">
        <v>590</v>
      </c>
      <c r="I1152" s="6">
        <f t="shared" ca="1" si="0"/>
        <v>590</v>
      </c>
      <c r="J1152" s="6">
        <f ca="1">IFERROR(__xludf.DUMMYFUNCTION("IFERROR(GOOGLEFINANCE(B1152, ""volume""), 0)"),0)</f>
        <v>0</v>
      </c>
      <c r="K1152" s="9"/>
      <c r="L1152" s="6" t="str">
        <f ca="1">IFERROR(__xludf.DUMMYFUNCTION("IFERROR(GOOGLEFINANCE(B1152,""changepct""),K1152)"),"")</f>
        <v/>
      </c>
      <c r="M1152" s="6">
        <f ca="1">IFERROR(__xludf.DUMMYFUNCTION("IFERROR(GOOGLEFINANCE(B1152,""change""),0)"),0)</f>
        <v>0</v>
      </c>
      <c r="N1152" s="6">
        <v>1</v>
      </c>
      <c r="O1152" s="7">
        <v>45536</v>
      </c>
      <c r="P1152" s="9"/>
      <c r="Q1152" s="6">
        <v>881.81</v>
      </c>
      <c r="R1152" s="7">
        <v>45536</v>
      </c>
      <c r="S1152" s="6">
        <v>0</v>
      </c>
      <c r="T1152" s="6">
        <v>-0.22</v>
      </c>
      <c r="U1152" s="7">
        <v>45536</v>
      </c>
      <c r="V1152" s="6">
        <v>0</v>
      </c>
      <c r="W1152" s="6">
        <f ca="1">IFERROR(__xludf.DUMMYFUNCTION("IFERROR(GOOGLEFINANCE(B1152,""pe""),V1152)"),0)</f>
        <v>0</v>
      </c>
      <c r="X1152" s="9"/>
      <c r="Y1152" s="6">
        <v>62.5</v>
      </c>
      <c r="Z1152" s="6">
        <v>1</v>
      </c>
      <c r="AA1152" s="8">
        <v>45352</v>
      </c>
      <c r="AB1152" s="4">
        <v>0.35</v>
      </c>
      <c r="AC1152" s="6">
        <v>-0.86</v>
      </c>
      <c r="AD1152" s="6">
        <v>-0.66</v>
      </c>
      <c r="AE1152" s="1">
        <v>0</v>
      </c>
      <c r="AF1152" s="1">
        <f ca="1">IFERROR(__xludf.DUMMYFUNCTION("IFERROR(GOOGLEFINANCE(TRIM(F1152)&amp;"":"" &amp; TRIM(B1152),""high52""),AE1152)"),0)</f>
        <v>0</v>
      </c>
      <c r="AG1152" s="1">
        <v>0</v>
      </c>
      <c r="AH1152" s="1">
        <f ca="1">IFERROR(__xludf.DUMMYFUNCTION("IFERROR(GOOGLEFINANCE(TRIM(F1152)&amp;"":"" &amp; TRIM(B1152),""low52""),AE1152)"),0)</f>
        <v>0</v>
      </c>
      <c r="AI1152" s="1">
        <f ca="1">IFERROR(__xludf.DUMMYFUNCTION("IFERROR(GOOGLEFINANCE(B1152,""eps""),0)"),0)</f>
        <v>0</v>
      </c>
      <c r="AJ1152" s="1"/>
      <c r="AK1152" s="1" t="s">
        <v>3492</v>
      </c>
      <c r="AL1152" s="9">
        <f t="shared" si="170"/>
        <v>1</v>
      </c>
    </row>
    <row r="1153" spans="1:38" ht="15" x14ac:dyDescent="0.25">
      <c r="A1153" s="1" t="s">
        <v>3493</v>
      </c>
      <c r="B1153" s="1" t="s">
        <v>3494</v>
      </c>
      <c r="C1153" s="1" t="s">
        <v>186</v>
      </c>
      <c r="D1153" s="1" t="s">
        <v>186</v>
      </c>
      <c r="E1153" s="6">
        <v>196.46</v>
      </c>
      <c r="F1153" s="1" t="s">
        <v>40</v>
      </c>
      <c r="G1153" s="6">
        <f ca="1">IFERROR(__xludf.DUMMYFUNCTION("iferror(GOOGLEFINANCE(TRIM(F1153)&amp;"":"" &amp; TRIM(B1153), ""price""),0
)"),0)</f>
        <v>0</v>
      </c>
      <c r="H1153" s="6">
        <v>112.85</v>
      </c>
      <c r="I1153" s="6">
        <f t="shared" ca="1" si="0"/>
        <v>112.85</v>
      </c>
      <c r="J1153" s="6">
        <f ca="1">IFERROR(__xludf.DUMMYFUNCTION("IFERROR(GOOGLEFINANCE(B1153, ""volume""), 0)"),0)</f>
        <v>0</v>
      </c>
      <c r="K1153" s="6">
        <v>0.98</v>
      </c>
      <c r="L1153" s="6">
        <f ca="1">IFERROR(__xludf.DUMMYFUNCTION("IFERROR(GOOGLEFINANCE(B1153,""changepct""),K1153)"),0.98)</f>
        <v>0.98</v>
      </c>
      <c r="M1153" s="6">
        <f ca="1">IFERROR(__xludf.DUMMYFUNCTION("IFERROR(GOOGLEFINANCE(B1153,""change""),0)"),0)</f>
        <v>0</v>
      </c>
      <c r="N1153" s="6">
        <v>1</v>
      </c>
      <c r="O1153" s="14"/>
      <c r="P1153" s="9"/>
      <c r="Q1153" s="6">
        <v>196.46</v>
      </c>
      <c r="R1153" s="9"/>
      <c r="S1153" s="9"/>
      <c r="T1153" s="9"/>
      <c r="U1153" s="6">
        <v>0</v>
      </c>
      <c r="V1153" s="14"/>
      <c r="W1153" s="10" t="str">
        <f ca="1">IFERROR(__xludf.DUMMYFUNCTION("IFERROR(GOOGLEFINANCE(B1153,""pe""),V1153)"),"")</f>
        <v/>
      </c>
      <c r="X1153" s="9"/>
      <c r="Y1153" s="6">
        <v>11.18</v>
      </c>
      <c r="Z1153" s="6">
        <v>1</v>
      </c>
      <c r="AA1153" s="3">
        <v>0</v>
      </c>
      <c r="AB1153" s="11"/>
      <c r="AC1153" s="12"/>
      <c r="AD1153" s="12"/>
      <c r="AE1153" s="1">
        <v>0</v>
      </c>
      <c r="AF1153" s="1">
        <f ca="1">IFERROR(__xludf.DUMMYFUNCTION("IFERROR(GOOGLEFINANCE(TRIM(F1153)&amp;"":"" &amp; TRIM(B1153),""high52""),AE1153)"),0)</f>
        <v>0</v>
      </c>
      <c r="AG1153" s="1">
        <v>0</v>
      </c>
      <c r="AH1153" s="1">
        <f ca="1">IFERROR(__xludf.DUMMYFUNCTION("IFERROR(GOOGLEFINANCE(TRIM(F1153)&amp;"":"" &amp; TRIM(B1153),""low52""),AE1153)"),0)</f>
        <v>0</v>
      </c>
      <c r="AI1153" s="1">
        <f ca="1">IFERROR(__xludf.DUMMYFUNCTION("IFERROR(GOOGLEFINANCE(B1153,""eps""),0)"),0)</f>
        <v>0</v>
      </c>
      <c r="AJ1153" s="1"/>
      <c r="AK1153" s="9"/>
      <c r="AL1153" s="9">
        <f t="shared" si="170"/>
        <v>0</v>
      </c>
    </row>
    <row r="1154" spans="1:38" ht="15" x14ac:dyDescent="0.25">
      <c r="A1154" s="1" t="s">
        <v>3495</v>
      </c>
      <c r="B1154" s="1" t="s">
        <v>3496</v>
      </c>
      <c r="C1154" s="1" t="s">
        <v>321</v>
      </c>
      <c r="D1154" s="1" t="s">
        <v>321</v>
      </c>
      <c r="E1154" s="6">
        <v>2040.67</v>
      </c>
      <c r="F1154" s="1" t="s">
        <v>53</v>
      </c>
      <c r="G1154" s="6">
        <f ca="1">IFERROR(__xludf.DUMMYFUNCTION("iferror(GOOGLEFINANCE(TRIM(F1154)&amp;"":"" &amp; TRIM(B1154), ""price""),0
)"),0)</f>
        <v>0</v>
      </c>
      <c r="H1154" s="6">
        <v>125.5</v>
      </c>
      <c r="I1154" s="6">
        <f t="shared" ca="1" si="0"/>
        <v>125.5</v>
      </c>
      <c r="J1154" s="6">
        <f ca="1">IFERROR(__xludf.DUMMYFUNCTION("IFERROR(GOOGLEFINANCE(B1154, ""volume""), 0)"),0)</f>
        <v>0</v>
      </c>
      <c r="K1154" s="6">
        <v>-0.99</v>
      </c>
      <c r="L1154" s="6">
        <f ca="1">IFERROR(__xludf.DUMMYFUNCTION("IFERROR(GOOGLEFINANCE(B1154,""changepct""),K1154)"),-0.99)</f>
        <v>-0.99</v>
      </c>
      <c r="M1154" s="6">
        <f ca="1">IFERROR(__xludf.DUMMYFUNCTION("IFERROR(GOOGLEFINANCE(B1154,""change""),0)"),0)</f>
        <v>0</v>
      </c>
      <c r="N1154" s="6">
        <v>2</v>
      </c>
      <c r="O1154" s="7">
        <v>45536</v>
      </c>
      <c r="P1154" s="6">
        <v>4.17</v>
      </c>
      <c r="Q1154" s="6">
        <v>2044.85</v>
      </c>
      <c r="R1154" s="7">
        <v>45536</v>
      </c>
      <c r="S1154" s="6">
        <v>25.68</v>
      </c>
      <c r="T1154" s="6">
        <v>4.49</v>
      </c>
      <c r="U1154" s="7">
        <v>45536</v>
      </c>
      <c r="V1154" s="6">
        <v>437.16</v>
      </c>
      <c r="W1154" s="6">
        <f ca="1">IFERROR(__xludf.DUMMYFUNCTION("IFERROR(GOOGLEFINANCE(B1154,""pe""),V1154)"),437.16)</f>
        <v>437.16</v>
      </c>
      <c r="X1154" s="9"/>
      <c r="Y1154" s="6">
        <v>29.4</v>
      </c>
      <c r="Z1154" s="6">
        <v>2</v>
      </c>
      <c r="AA1154" s="8">
        <v>45352</v>
      </c>
      <c r="AB1154" s="4">
        <v>0.02</v>
      </c>
      <c r="AC1154" s="6">
        <v>5.89</v>
      </c>
      <c r="AD1154" s="6">
        <v>8.27</v>
      </c>
      <c r="AE1154" s="1">
        <v>0</v>
      </c>
      <c r="AF1154" s="1">
        <f ca="1">IFERROR(__xludf.DUMMYFUNCTION("IFERROR(GOOGLEFINANCE(TRIM(F1154)&amp;"":"" &amp; TRIM(B1154),""high52""),AE1154)"),0)</f>
        <v>0</v>
      </c>
      <c r="AG1154" s="1">
        <v>0</v>
      </c>
      <c r="AH1154" s="1">
        <f ca="1">IFERROR(__xludf.DUMMYFUNCTION("IFERROR(GOOGLEFINANCE(TRIM(F1154)&amp;"":"" &amp; TRIM(B1154),""low52""),AE1154)"),0)</f>
        <v>0</v>
      </c>
      <c r="AI1154" s="1">
        <f ca="1">IFERROR(__xludf.DUMMYFUNCTION("IFERROR(GOOGLEFINANCE(B1154,""eps""),0)"),0)</f>
        <v>0</v>
      </c>
      <c r="AJ1154" s="1"/>
      <c r="AK1154" s="1" t="s">
        <v>3497</v>
      </c>
      <c r="AL1154" s="9">
        <f t="shared" si="170"/>
        <v>1</v>
      </c>
    </row>
    <row r="1155" spans="1:38" ht="15" x14ac:dyDescent="0.25">
      <c r="A1155" s="1" t="s">
        <v>3498</v>
      </c>
      <c r="B1155" s="1" t="s">
        <v>3499</v>
      </c>
      <c r="C1155" s="1" t="s">
        <v>970</v>
      </c>
      <c r="D1155" s="1" t="s">
        <v>970</v>
      </c>
      <c r="E1155" s="6">
        <v>9545.15</v>
      </c>
      <c r="F1155" s="1" t="s">
        <v>40</v>
      </c>
      <c r="G1155" s="6">
        <f ca="1">IFERROR(__xludf.DUMMYFUNCTION("iferror(GOOGLEFINANCE(TRIM(F1155)&amp;"":"" &amp; TRIM(B1155), ""price""),0
)"),19300)</f>
        <v>19300</v>
      </c>
      <c r="H1155" s="6">
        <v>7579</v>
      </c>
      <c r="I1155" s="6">
        <f t="shared" ca="1" si="0"/>
        <v>19300</v>
      </c>
      <c r="J1155" s="6">
        <f ca="1">IFERROR(__xludf.DUMMYFUNCTION("IFERROR(GOOGLEFINANCE(B1155, ""volume""), 0)"),49469)</f>
        <v>49469</v>
      </c>
      <c r="K1155" s="6">
        <v>4.4400000000000004</v>
      </c>
      <c r="L1155" s="6">
        <f ca="1">IFERROR(__xludf.DUMMYFUNCTION("IFERROR(GOOGLEFINANCE(B1155,""changepct""),K1155)"),2.77)</f>
        <v>2.77</v>
      </c>
      <c r="M1155" s="6">
        <f ca="1">IFERROR(__xludf.DUMMYFUNCTION("IFERROR(GOOGLEFINANCE(B1155,""change""),0)"),520)</f>
        <v>520</v>
      </c>
      <c r="N1155" s="6">
        <v>2</v>
      </c>
      <c r="O1155" s="7">
        <v>45536</v>
      </c>
      <c r="P1155" s="6">
        <v>229.2</v>
      </c>
      <c r="Q1155" s="6">
        <v>9493.35</v>
      </c>
      <c r="R1155" s="7">
        <v>45536</v>
      </c>
      <c r="S1155" s="6">
        <v>7529.13</v>
      </c>
      <c r="T1155" s="6">
        <v>492.11</v>
      </c>
      <c r="U1155" s="7">
        <v>45536</v>
      </c>
      <c r="V1155" s="6">
        <v>20.04</v>
      </c>
      <c r="W1155" s="6">
        <f ca="1">IFERROR(__xludf.DUMMYFUNCTION("IFERROR(GOOGLEFINANCE(B1155,""pe""),V1155)"),23.61)</f>
        <v>23.61</v>
      </c>
      <c r="X1155" s="6">
        <v>0.91</v>
      </c>
      <c r="Y1155" s="6">
        <v>3.85</v>
      </c>
      <c r="Z1155" s="6">
        <v>2</v>
      </c>
      <c r="AA1155" s="8">
        <v>45352</v>
      </c>
      <c r="AB1155" s="4">
        <v>0.23</v>
      </c>
      <c r="AC1155" s="6">
        <v>18.8</v>
      </c>
      <c r="AD1155" s="6">
        <v>23.79</v>
      </c>
      <c r="AE1155" s="1">
        <v>0</v>
      </c>
      <c r="AF1155" s="1">
        <f ca="1">IFERROR(__xludf.DUMMYFUNCTION("IFERROR(GOOGLEFINANCE(TRIM(F1155)&amp;"":"" &amp; TRIM(B1155),""high52""),AE1155)"),21990)</f>
        <v>21990</v>
      </c>
      <c r="AG1155" s="1">
        <v>0</v>
      </c>
      <c r="AH1155" s="1">
        <f ca="1">IFERROR(__xludf.DUMMYFUNCTION("IFERROR(GOOGLEFINANCE(TRIM(F1155)&amp;"":"" &amp; TRIM(B1155),""low52""),AE1155)"),6200.5)</f>
        <v>6200.5</v>
      </c>
      <c r="AI1155" s="1">
        <f ca="1">IFERROR(__xludf.DUMMYFUNCTION("IFERROR(GOOGLEFINANCE(B1155,""eps""),0)"),817.42)</f>
        <v>817.42</v>
      </c>
      <c r="AJ1155" s="1"/>
      <c r="AK1155" s="1" t="s">
        <v>3500</v>
      </c>
      <c r="AL1155" s="1" t="b">
        <f>ISNUMBER(AA1155)</f>
        <v>1</v>
      </c>
    </row>
    <row r="1156" spans="1:38" ht="15" x14ac:dyDescent="0.25">
      <c r="A1156" s="1" t="s">
        <v>3501</v>
      </c>
      <c r="B1156" s="1" t="s">
        <v>3502</v>
      </c>
      <c r="C1156" s="1" t="s">
        <v>321</v>
      </c>
      <c r="D1156" s="1" t="s">
        <v>321</v>
      </c>
      <c r="E1156" s="6">
        <v>1939.01</v>
      </c>
      <c r="F1156" s="1" t="s">
        <v>53</v>
      </c>
      <c r="G1156" s="6">
        <f ca="1">IFERROR(__xludf.DUMMYFUNCTION("iferror(GOOGLEFINANCE(TRIM(F1156)&amp;"":"" &amp; TRIM(B1156), ""price""),0
)"),0)</f>
        <v>0</v>
      </c>
      <c r="H1156" s="6">
        <v>178.85</v>
      </c>
      <c r="I1156" s="6">
        <f t="shared" ca="1" si="0"/>
        <v>178.85</v>
      </c>
      <c r="J1156" s="6">
        <f ca="1">IFERROR(__xludf.DUMMYFUNCTION("IFERROR(GOOGLEFINANCE(B1156, ""volume""), 0)"),0)</f>
        <v>0</v>
      </c>
      <c r="K1156" s="6">
        <v>4.99</v>
      </c>
      <c r="L1156" s="6">
        <f ca="1">IFERROR(__xludf.DUMMYFUNCTION("IFERROR(GOOGLEFINANCE(B1156,""changepct""),K1156)"),4.99)</f>
        <v>4.99</v>
      </c>
      <c r="M1156" s="6">
        <f ca="1">IFERROR(__xludf.DUMMYFUNCTION("IFERROR(GOOGLEFINANCE(B1156,""change""),0)"),0)</f>
        <v>0</v>
      </c>
      <c r="N1156" s="6">
        <v>1</v>
      </c>
      <c r="O1156" s="7">
        <v>45536</v>
      </c>
      <c r="P1156" s="6">
        <v>25</v>
      </c>
      <c r="Q1156" s="6">
        <v>1954.57</v>
      </c>
      <c r="R1156" s="7">
        <v>45536</v>
      </c>
      <c r="S1156" s="6">
        <v>4.3600000000000003</v>
      </c>
      <c r="T1156" s="6">
        <v>2.0299999999999998</v>
      </c>
      <c r="U1156" s="7">
        <v>45536</v>
      </c>
      <c r="V1156" s="6">
        <v>953.77</v>
      </c>
      <c r="W1156" s="6">
        <f ca="1">IFERROR(__xludf.DUMMYFUNCTION("IFERROR(GOOGLEFINANCE(B1156,""pe""),V1156)"),953.77)</f>
        <v>953.77</v>
      </c>
      <c r="X1156" s="6">
        <v>5.85</v>
      </c>
      <c r="Y1156" s="6">
        <v>115.15</v>
      </c>
      <c r="Z1156" s="6">
        <v>1</v>
      </c>
      <c r="AA1156" s="8">
        <v>45352</v>
      </c>
      <c r="AB1156" s="4">
        <v>0</v>
      </c>
      <c r="AC1156" s="6">
        <v>14.83</v>
      </c>
      <c r="AD1156" s="6">
        <v>20.56</v>
      </c>
      <c r="AE1156" s="1">
        <v>0</v>
      </c>
      <c r="AF1156" s="1">
        <f ca="1">IFERROR(__xludf.DUMMYFUNCTION("IFERROR(GOOGLEFINANCE(TRIM(F1156)&amp;"":"" &amp; TRIM(B1156),""high52""),AE1156)"),0)</f>
        <v>0</v>
      </c>
      <c r="AG1156" s="1">
        <v>0</v>
      </c>
      <c r="AH1156" s="1">
        <f ca="1">IFERROR(__xludf.DUMMYFUNCTION("IFERROR(GOOGLEFINANCE(TRIM(F1156)&amp;"":"" &amp; TRIM(B1156),""low52""),AE1156)"),0)</f>
        <v>0</v>
      </c>
      <c r="AI1156" s="1">
        <f ca="1">IFERROR(__xludf.DUMMYFUNCTION("IFERROR(GOOGLEFINANCE(B1156,""eps""),0)"),0)</f>
        <v>0</v>
      </c>
      <c r="AJ1156" s="1"/>
      <c r="AK1156" s="1" t="s">
        <v>3503</v>
      </c>
      <c r="AL1156" s="9">
        <f t="shared" ref="AL1156:AL1161" si="171">IF(AA1156&lt;&gt;AB1156,1,0)</f>
        <v>1</v>
      </c>
    </row>
    <row r="1157" spans="1:38" ht="15" x14ac:dyDescent="0.25">
      <c r="A1157" s="1" t="s">
        <v>3504</v>
      </c>
      <c r="B1157" s="1" t="s">
        <v>3505</v>
      </c>
      <c r="C1157" s="1" t="s">
        <v>1528</v>
      </c>
      <c r="D1157" s="1" t="s">
        <v>1528</v>
      </c>
      <c r="E1157" s="6">
        <v>109.36</v>
      </c>
      <c r="F1157" s="1" t="s">
        <v>40</v>
      </c>
      <c r="G1157" s="6">
        <f ca="1">IFERROR(__xludf.DUMMYFUNCTION("iferror(GOOGLEFINANCE(TRIM(F1157)&amp;"":"" &amp; TRIM(B1157), ""price""),0
)"),0)</f>
        <v>0</v>
      </c>
      <c r="H1157" s="6">
        <v>103.5</v>
      </c>
      <c r="I1157" s="6">
        <f t="shared" ca="1" si="0"/>
        <v>103.5</v>
      </c>
      <c r="J1157" s="6">
        <f ca="1">IFERROR(__xludf.DUMMYFUNCTION("IFERROR(GOOGLEFINANCE(B1157, ""volume""), 0)"),0)</f>
        <v>0</v>
      </c>
      <c r="K1157" s="6">
        <v>3.34</v>
      </c>
      <c r="L1157" s="6">
        <f ca="1">IFERROR(__xludf.DUMMYFUNCTION("IFERROR(GOOGLEFINANCE(B1157,""changepct""),K1157)"),3.34)</f>
        <v>3.34</v>
      </c>
      <c r="M1157" s="6">
        <f ca="1">IFERROR(__xludf.DUMMYFUNCTION("IFERROR(GOOGLEFINANCE(B1157,""change""),0)"),0)</f>
        <v>0</v>
      </c>
      <c r="N1157" s="6">
        <v>1</v>
      </c>
      <c r="O1157" s="7">
        <v>45536</v>
      </c>
      <c r="P1157" s="6">
        <v>46.08</v>
      </c>
      <c r="Q1157" s="6">
        <v>155.44</v>
      </c>
      <c r="R1157" s="14"/>
      <c r="S1157" s="9"/>
      <c r="T1157" s="9"/>
      <c r="U1157" s="7">
        <v>45352</v>
      </c>
      <c r="V1157" s="6">
        <v>16.350000000000001</v>
      </c>
      <c r="W1157" s="6">
        <f ca="1">IFERROR(__xludf.DUMMYFUNCTION("IFERROR(GOOGLEFINANCE(B1157,""pe""),V1157)"),16.35)</f>
        <v>16.350000000000001</v>
      </c>
      <c r="X1157" s="12"/>
      <c r="Y1157" s="6">
        <v>2.11</v>
      </c>
      <c r="Z1157" s="6">
        <v>1</v>
      </c>
      <c r="AA1157" s="8">
        <v>45352</v>
      </c>
      <c r="AB1157" s="4">
        <v>1.94</v>
      </c>
      <c r="AC1157" s="6">
        <v>32.14</v>
      </c>
      <c r="AD1157" s="6">
        <v>21.86</v>
      </c>
      <c r="AE1157" s="1">
        <v>0</v>
      </c>
      <c r="AF1157" s="1">
        <f ca="1">IFERROR(__xludf.DUMMYFUNCTION("IFERROR(GOOGLEFINANCE(TRIM(F1157)&amp;"":"" &amp; TRIM(B1157),""high52""),AE1157)"),0)</f>
        <v>0</v>
      </c>
      <c r="AG1157" s="1">
        <v>0</v>
      </c>
      <c r="AH1157" s="1">
        <f ca="1">IFERROR(__xludf.DUMMYFUNCTION("IFERROR(GOOGLEFINANCE(TRIM(F1157)&amp;"":"" &amp; TRIM(B1157),""low52""),AE1157)"),0)</f>
        <v>0</v>
      </c>
      <c r="AI1157" s="1">
        <f ca="1">IFERROR(__xludf.DUMMYFUNCTION("IFERROR(GOOGLEFINANCE(B1157,""eps""),0)"),0)</f>
        <v>0</v>
      </c>
      <c r="AJ1157" s="1"/>
      <c r="AK1157" s="1" t="s">
        <v>3506</v>
      </c>
      <c r="AL1157" s="9">
        <f t="shared" si="171"/>
        <v>1</v>
      </c>
    </row>
    <row r="1158" spans="1:38" ht="15" x14ac:dyDescent="0.25">
      <c r="A1158" s="1" t="s">
        <v>3507</v>
      </c>
      <c r="B1158" s="1" t="s">
        <v>3508</v>
      </c>
      <c r="C1158" s="1" t="s">
        <v>321</v>
      </c>
      <c r="D1158" s="1" t="s">
        <v>321</v>
      </c>
      <c r="E1158" s="6">
        <v>32.619999999999997</v>
      </c>
      <c r="F1158" s="1" t="s">
        <v>53</v>
      </c>
      <c r="G1158" s="6">
        <f ca="1">IFERROR(__xludf.DUMMYFUNCTION("iferror(GOOGLEFINANCE(TRIM(F1158)&amp;"":"" &amp; TRIM(B1158), ""price""),0
)"),0)</f>
        <v>0</v>
      </c>
      <c r="H1158" s="6">
        <v>0.77</v>
      </c>
      <c r="I1158" s="6">
        <f t="shared" ca="1" si="0"/>
        <v>0.77</v>
      </c>
      <c r="J1158" s="6">
        <f ca="1">IFERROR(__xludf.DUMMYFUNCTION("IFERROR(GOOGLEFINANCE(B1158, ""volume""), 0)"),0)</f>
        <v>0</v>
      </c>
      <c r="K1158" s="6">
        <v>0</v>
      </c>
      <c r="L1158" s="6">
        <f ca="1">IFERROR(__xludf.DUMMYFUNCTION("IFERROR(GOOGLEFINANCE(B1158,""changepct""),K1158)"),0)</f>
        <v>0</v>
      </c>
      <c r="M1158" s="6">
        <f ca="1">IFERROR(__xludf.DUMMYFUNCTION("IFERROR(GOOGLEFINANCE(B1158,""change""),0)"),0)</f>
        <v>0</v>
      </c>
      <c r="N1158" s="6">
        <v>2</v>
      </c>
      <c r="O1158" s="7">
        <v>45536</v>
      </c>
      <c r="P1158" s="9"/>
      <c r="Q1158" s="6">
        <v>32.619999999999997</v>
      </c>
      <c r="R1158" s="7">
        <v>45536</v>
      </c>
      <c r="S1158" s="6">
        <v>0</v>
      </c>
      <c r="T1158" s="6">
        <v>-1.72</v>
      </c>
      <c r="U1158" s="7">
        <v>45536</v>
      </c>
      <c r="V1158" s="6">
        <v>0</v>
      </c>
      <c r="W1158" s="6">
        <f ca="1">IFERROR(__xludf.DUMMYFUNCTION("IFERROR(GOOGLEFINANCE(B1158,""pe""),V1158)"),0)</f>
        <v>0</v>
      </c>
      <c r="X1158" s="9"/>
      <c r="Y1158" s="6">
        <v>0.5</v>
      </c>
      <c r="Z1158" s="6">
        <v>2</v>
      </c>
      <c r="AA1158" s="8">
        <v>45352</v>
      </c>
      <c r="AB1158" s="4">
        <v>0.04</v>
      </c>
      <c r="AC1158" s="6">
        <v>-2.93</v>
      </c>
      <c r="AD1158" s="6">
        <v>-2.8</v>
      </c>
      <c r="AE1158" s="1">
        <v>0</v>
      </c>
      <c r="AF1158" s="1">
        <f ca="1">IFERROR(__xludf.DUMMYFUNCTION("IFERROR(GOOGLEFINANCE(TRIM(F1158)&amp;"":"" &amp; TRIM(B1158),""high52""),AE1158)"),0)</f>
        <v>0</v>
      </c>
      <c r="AG1158" s="1">
        <v>0</v>
      </c>
      <c r="AH1158" s="1">
        <f ca="1">IFERROR(__xludf.DUMMYFUNCTION("IFERROR(GOOGLEFINANCE(TRIM(F1158)&amp;"":"" &amp; TRIM(B1158),""low52""),AE1158)"),0)</f>
        <v>0</v>
      </c>
      <c r="AI1158" s="1">
        <f ca="1">IFERROR(__xludf.DUMMYFUNCTION("IFERROR(GOOGLEFINANCE(B1158,""eps""),0)"),0)</f>
        <v>0</v>
      </c>
      <c r="AJ1158" s="1"/>
      <c r="AK1158" s="1" t="s">
        <v>3509</v>
      </c>
      <c r="AL1158" s="9">
        <f t="shared" si="171"/>
        <v>1</v>
      </c>
    </row>
    <row r="1159" spans="1:38" ht="15" x14ac:dyDescent="0.25">
      <c r="A1159" s="1" t="s">
        <v>3510</v>
      </c>
      <c r="B1159" s="1" t="s">
        <v>3511</v>
      </c>
      <c r="C1159" s="1" t="s">
        <v>163</v>
      </c>
      <c r="D1159" s="1" t="s">
        <v>163</v>
      </c>
      <c r="E1159" s="6">
        <v>54183.35</v>
      </c>
      <c r="F1159" s="1" t="s">
        <v>40</v>
      </c>
      <c r="G1159" s="6">
        <f ca="1">IFERROR(__xludf.DUMMYFUNCTION("iferror(GOOGLEFINANCE(TRIM(F1159)&amp;"":"" &amp; TRIM(B1159), ""price""),0
)"),840)</f>
        <v>840</v>
      </c>
      <c r="H1159" s="6">
        <v>734.6</v>
      </c>
      <c r="I1159" s="6">
        <f t="shared" ca="1" si="0"/>
        <v>840</v>
      </c>
      <c r="J1159" s="6">
        <f ca="1">IFERROR(__xludf.DUMMYFUNCTION("IFERROR(GOOGLEFINANCE(B1159, ""volume""), 0)"),1205946)</f>
        <v>1205946</v>
      </c>
      <c r="K1159" s="6">
        <v>2.34</v>
      </c>
      <c r="L1159" s="6">
        <f ca="1">IFERROR(__xludf.DUMMYFUNCTION("IFERROR(GOOGLEFINANCE(B1159,""changepct""),K1159)"),0.86)</f>
        <v>0.86</v>
      </c>
      <c r="M1159" s="6">
        <f ca="1">IFERROR(__xludf.DUMMYFUNCTION("IFERROR(GOOGLEFINANCE(B1159,""change""),0)"),7.2)</f>
        <v>7.2</v>
      </c>
      <c r="N1159" s="6">
        <v>2</v>
      </c>
      <c r="O1159" s="7">
        <v>45536</v>
      </c>
      <c r="P1159" s="6">
        <v>877.43</v>
      </c>
      <c r="Q1159" s="6">
        <v>54459.89</v>
      </c>
      <c r="R1159" s="7">
        <v>45536</v>
      </c>
      <c r="S1159" s="6">
        <v>7312.85</v>
      </c>
      <c r="T1159" s="6">
        <v>690.76</v>
      </c>
      <c r="U1159" s="7">
        <v>45536</v>
      </c>
      <c r="V1159" s="6">
        <v>82.62</v>
      </c>
      <c r="W1159" s="6">
        <f ca="1">IFERROR(__xludf.DUMMYFUNCTION("IFERROR(GOOGLEFINANCE(B1159,""pe""),V1159)"),62.57)</f>
        <v>62.57</v>
      </c>
      <c r="X1159" s="6">
        <v>0.88</v>
      </c>
      <c r="Y1159" s="6">
        <v>6.9</v>
      </c>
      <c r="Z1159" s="6">
        <v>2</v>
      </c>
      <c r="AA1159" s="8">
        <v>45352</v>
      </c>
      <c r="AB1159" s="4">
        <v>0.11</v>
      </c>
      <c r="AC1159" s="6">
        <v>8.66</v>
      </c>
      <c r="AD1159" s="6">
        <v>12.01</v>
      </c>
      <c r="AE1159" s="1">
        <v>0</v>
      </c>
      <c r="AF1159" s="1">
        <f ca="1">IFERROR(__xludf.DUMMYFUNCTION("IFERROR(GOOGLEFINANCE(TRIM(F1159)&amp;"":"" &amp; TRIM(B1159),""high52""),AE1159)"),1104.3)</f>
        <v>1104.3</v>
      </c>
      <c r="AG1159" s="1">
        <v>0</v>
      </c>
      <c r="AH1159" s="1">
        <f ca="1">IFERROR(__xludf.DUMMYFUNCTION("IFERROR(GOOGLEFINANCE(TRIM(F1159)&amp;"":"" &amp; TRIM(B1159),""low52""),AE1159)"),587.1)</f>
        <v>587.1</v>
      </c>
      <c r="AI1159" s="1">
        <f ca="1">IFERROR(__xludf.DUMMYFUNCTION("IFERROR(GOOGLEFINANCE(B1159,""eps""),0)"),13.43)</f>
        <v>13.43</v>
      </c>
      <c r="AJ1159" s="1"/>
      <c r="AK1159" s="1" t="s">
        <v>3512</v>
      </c>
      <c r="AL1159" s="9">
        <f t="shared" si="171"/>
        <v>1</v>
      </c>
    </row>
    <row r="1160" spans="1:38" ht="15" x14ac:dyDescent="0.25">
      <c r="A1160" s="1" t="s">
        <v>3513</v>
      </c>
      <c r="B1160" s="1" t="s">
        <v>3514</v>
      </c>
      <c r="C1160" s="1" t="s">
        <v>321</v>
      </c>
      <c r="D1160" s="1" t="s">
        <v>321</v>
      </c>
      <c r="E1160" s="6">
        <v>96.59</v>
      </c>
      <c r="F1160" s="1" t="s">
        <v>53</v>
      </c>
      <c r="G1160" s="6">
        <f ca="1">IFERROR(__xludf.DUMMYFUNCTION("iferror(GOOGLEFINANCE(TRIM(F1160)&amp;"":"" &amp; TRIM(B1160), ""price""),0
)"),0)</f>
        <v>0</v>
      </c>
      <c r="H1160" s="6">
        <v>178</v>
      </c>
      <c r="I1160" s="6">
        <f t="shared" ca="1" si="0"/>
        <v>178</v>
      </c>
      <c r="J1160" s="6">
        <f ca="1">IFERROR(__xludf.DUMMYFUNCTION("IFERROR(GOOGLEFINANCE(B1160, ""volume""), 0)"),0)</f>
        <v>0</v>
      </c>
      <c r="K1160" s="6">
        <v>4.95</v>
      </c>
      <c r="L1160" s="6">
        <f ca="1">IFERROR(__xludf.DUMMYFUNCTION("IFERROR(GOOGLEFINANCE(B1160,""changepct""),K1160)"),1.07)</f>
        <v>1.07</v>
      </c>
      <c r="M1160" s="6">
        <f ca="1">IFERROR(__xludf.DUMMYFUNCTION("IFERROR(GOOGLEFINANCE(B1160,""change""),0)"),0.15)</f>
        <v>0.15</v>
      </c>
      <c r="N1160" s="6">
        <v>1</v>
      </c>
      <c r="O1160" s="7">
        <v>45536</v>
      </c>
      <c r="P1160" s="9"/>
      <c r="Q1160" s="6">
        <v>96.59</v>
      </c>
      <c r="R1160" s="9"/>
      <c r="S1160" s="12"/>
      <c r="T1160" s="9"/>
      <c r="U1160" s="7">
        <v>45352</v>
      </c>
      <c r="V1160" s="6">
        <v>52.73</v>
      </c>
      <c r="W1160" s="6">
        <f ca="1">IFERROR(__xludf.DUMMYFUNCTION("IFERROR(GOOGLEFINANCE(B1160,""pe""),V1160)"),8.98)</f>
        <v>8.98</v>
      </c>
      <c r="X1160" s="9"/>
      <c r="Y1160" s="6">
        <v>7.97</v>
      </c>
      <c r="Z1160" s="6">
        <v>1</v>
      </c>
      <c r="AA1160" s="8">
        <v>45352</v>
      </c>
      <c r="AB1160" s="4">
        <v>0</v>
      </c>
      <c r="AC1160" s="6">
        <v>32.33</v>
      </c>
      <c r="AD1160" s="6">
        <v>42.49</v>
      </c>
      <c r="AE1160" s="1">
        <v>0</v>
      </c>
      <c r="AF1160" s="1">
        <f ca="1">IFERROR(__xludf.DUMMYFUNCTION("IFERROR(GOOGLEFINANCE(TRIM(F1160)&amp;"":"" &amp; TRIM(B1160),""high52""),AE1160)"),0)</f>
        <v>0</v>
      </c>
      <c r="AG1160" s="1">
        <v>0</v>
      </c>
      <c r="AH1160" s="1">
        <f ca="1">IFERROR(__xludf.DUMMYFUNCTION("IFERROR(GOOGLEFINANCE(TRIM(F1160)&amp;"":"" &amp; TRIM(B1160),""low52""),AE1160)"),0)</f>
        <v>0</v>
      </c>
      <c r="AI1160" s="1">
        <f ca="1">IFERROR(__xludf.DUMMYFUNCTION("IFERROR(GOOGLEFINANCE(B1160,""eps""),0)"),1.57)</f>
        <v>1.57</v>
      </c>
      <c r="AJ1160" s="1"/>
      <c r="AK1160" s="1" t="s">
        <v>3515</v>
      </c>
      <c r="AL1160" s="9">
        <f t="shared" si="171"/>
        <v>1</v>
      </c>
    </row>
    <row r="1161" spans="1:38" ht="15" x14ac:dyDescent="0.25">
      <c r="A1161" s="1" t="s">
        <v>3516</v>
      </c>
      <c r="B1161" s="1" t="s">
        <v>3517</v>
      </c>
      <c r="C1161" s="1" t="s">
        <v>135</v>
      </c>
      <c r="D1161" s="1" t="s">
        <v>135</v>
      </c>
      <c r="E1161" s="6">
        <v>2616.4</v>
      </c>
      <c r="F1161" s="1" t="s">
        <v>40</v>
      </c>
      <c r="G1161" s="6">
        <f ca="1">IFERROR(__xludf.DUMMYFUNCTION("iferror(GOOGLEFINANCE(TRIM(F1161)&amp;"":"" &amp; TRIM(B1161), ""price""),0
)"),4315)</f>
        <v>4315</v>
      </c>
      <c r="H1161" s="6">
        <v>4120</v>
      </c>
      <c r="I1161" s="6">
        <f t="shared" ca="1" si="0"/>
        <v>4315</v>
      </c>
      <c r="J1161" s="6">
        <f ca="1">IFERROR(__xludf.DUMMYFUNCTION("IFERROR(GOOGLEFINANCE(B1161, ""volume""), 0)"),994)</f>
        <v>994</v>
      </c>
      <c r="K1161" s="6">
        <v>0.37</v>
      </c>
      <c r="L1161" s="6">
        <f ca="1">IFERROR(__xludf.DUMMYFUNCTION("IFERROR(GOOGLEFINANCE(B1161,""changepct""),K1161)"),-1.63)</f>
        <v>-1.63</v>
      </c>
      <c r="M1161" s="6">
        <f ca="1">IFERROR(__xludf.DUMMYFUNCTION("IFERROR(GOOGLEFINANCE(B1161,""change""),0)"),-71.3)</f>
        <v>-71.3</v>
      </c>
      <c r="N1161" s="6">
        <v>1</v>
      </c>
      <c r="O1161" s="7">
        <v>45444</v>
      </c>
      <c r="P1161" s="9"/>
      <c r="Q1161" s="6">
        <v>2378.63</v>
      </c>
      <c r="R1161" s="7">
        <v>45536</v>
      </c>
      <c r="S1161" s="6">
        <v>510.64</v>
      </c>
      <c r="T1161" s="6">
        <v>69.790000000000006</v>
      </c>
      <c r="U1161" s="7">
        <v>45536</v>
      </c>
      <c r="V1161" s="6">
        <v>37.49</v>
      </c>
      <c r="W1161" s="6">
        <f ca="1">IFERROR(__xludf.DUMMYFUNCTION("IFERROR(GOOGLEFINANCE(B1161,""pe""),V1161)"),34.78)</f>
        <v>34.78</v>
      </c>
      <c r="X1161" s="6">
        <v>2.5299999999999998</v>
      </c>
      <c r="Y1161" s="6">
        <v>8.09</v>
      </c>
      <c r="Z1161" s="6">
        <v>1</v>
      </c>
      <c r="AA1161" s="8">
        <v>45261</v>
      </c>
      <c r="AB1161" s="4">
        <v>0</v>
      </c>
      <c r="AC1161" s="6">
        <v>27.9</v>
      </c>
      <c r="AD1161" s="6">
        <v>36.29</v>
      </c>
      <c r="AE1161" s="1">
        <v>0</v>
      </c>
      <c r="AF1161" s="1">
        <f ca="1">IFERROR(__xludf.DUMMYFUNCTION("IFERROR(GOOGLEFINANCE(TRIM(F1161)&amp;"":"" &amp; TRIM(B1161),""high52""),AE1161)"),6846)</f>
        <v>6846</v>
      </c>
      <c r="AG1161" s="1">
        <v>0</v>
      </c>
      <c r="AH1161" s="1">
        <f ca="1">IFERROR(__xludf.DUMMYFUNCTION("IFERROR(GOOGLEFINANCE(TRIM(F1161)&amp;"":"" &amp; TRIM(B1161),""low52""),AE1161)"),3205)</f>
        <v>3205</v>
      </c>
      <c r="AI1161" s="1">
        <f ca="1">IFERROR(__xludf.DUMMYFUNCTION("IFERROR(GOOGLEFINANCE(B1161,""eps""),0)"),124.07)</f>
        <v>124.07</v>
      </c>
      <c r="AJ1161" s="1"/>
      <c r="AK1161" s="1" t="s">
        <v>3518</v>
      </c>
      <c r="AL1161" s="9">
        <f t="shared" si="171"/>
        <v>1</v>
      </c>
    </row>
    <row r="1162" spans="1:38" ht="15" x14ac:dyDescent="0.25">
      <c r="A1162" s="1" t="s">
        <v>3519</v>
      </c>
      <c r="B1162" s="1" t="s">
        <v>3520</v>
      </c>
      <c r="C1162" s="1" t="s">
        <v>99</v>
      </c>
      <c r="D1162" s="1" t="s">
        <v>99</v>
      </c>
      <c r="E1162" s="6">
        <v>460.58</v>
      </c>
      <c r="F1162" s="1" t="s">
        <v>40</v>
      </c>
      <c r="G1162" s="6">
        <f ca="1">IFERROR(__xludf.DUMMYFUNCTION("iferror(GOOGLEFINANCE(TRIM(F1162)&amp;"":"" &amp; TRIM(B1162), ""price""),0
)"),0)</f>
        <v>0</v>
      </c>
      <c r="H1162" s="6">
        <v>196</v>
      </c>
      <c r="I1162" s="6">
        <f t="shared" ca="1" si="0"/>
        <v>196</v>
      </c>
      <c r="J1162" s="6">
        <f ca="1">IFERROR(__xludf.DUMMYFUNCTION("IFERROR(GOOGLEFINANCE(B1162, ""volume""), 0)"),0)</f>
        <v>0</v>
      </c>
      <c r="K1162" s="6">
        <v>0</v>
      </c>
      <c r="L1162" s="6">
        <f ca="1">IFERROR(__xludf.DUMMYFUNCTION("IFERROR(GOOGLEFINANCE(B1162,""changepct""),K1162)"),0)</f>
        <v>0</v>
      </c>
      <c r="M1162" s="6">
        <f ca="1">IFERROR(__xludf.DUMMYFUNCTION("IFERROR(GOOGLEFINANCE(B1162,""change""),0)"),0)</f>
        <v>0</v>
      </c>
      <c r="N1162" s="6">
        <v>1</v>
      </c>
      <c r="O1162" s="7">
        <v>45352</v>
      </c>
      <c r="P1162" s="6">
        <v>107.56</v>
      </c>
      <c r="Q1162" s="6">
        <v>564.39</v>
      </c>
      <c r="R1162" s="9"/>
      <c r="S1162" s="12"/>
      <c r="T1162" s="9"/>
      <c r="U1162" s="6">
        <v>0</v>
      </c>
      <c r="V1162" s="14"/>
      <c r="W1162" s="10" t="str">
        <f ca="1">IFERROR(__xludf.DUMMYFUNCTION("IFERROR(GOOGLEFINANCE(B1162,""pe""),V1162)"),"")</f>
        <v/>
      </c>
      <c r="X1162" s="9"/>
      <c r="Y1162" s="6">
        <v>4.5</v>
      </c>
      <c r="Z1162" s="6">
        <v>1</v>
      </c>
      <c r="AA1162" s="8">
        <v>45352</v>
      </c>
      <c r="AB1162" s="4">
        <v>3.99</v>
      </c>
      <c r="AC1162" s="6">
        <v>36.96</v>
      </c>
      <c r="AD1162" s="6">
        <v>10.19</v>
      </c>
      <c r="AE1162" s="1">
        <v>0</v>
      </c>
      <c r="AF1162" s="1">
        <f ca="1">IFERROR(__xludf.DUMMYFUNCTION("IFERROR(GOOGLEFINANCE(TRIM(F1162)&amp;"":"" &amp; TRIM(B1162),""high52""),AE1162)"),0)</f>
        <v>0</v>
      </c>
      <c r="AG1162" s="1">
        <v>0</v>
      </c>
      <c r="AH1162" s="1">
        <f ca="1">IFERROR(__xludf.DUMMYFUNCTION("IFERROR(GOOGLEFINANCE(TRIM(F1162)&amp;"":"" &amp; TRIM(B1162),""low52""),AE1162)"),0)</f>
        <v>0</v>
      </c>
      <c r="AI1162" s="1">
        <f ca="1">IFERROR(__xludf.DUMMYFUNCTION("IFERROR(GOOGLEFINANCE(B1162,""eps""),0)"),0)</f>
        <v>0</v>
      </c>
      <c r="AJ1162" s="1"/>
      <c r="AK1162" s="9"/>
      <c r="AL1162" s="1" t="b">
        <f>ISBLANK(AB1162)</f>
        <v>0</v>
      </c>
    </row>
    <row r="1163" spans="1:38" ht="15" x14ac:dyDescent="0.25">
      <c r="A1163" s="1" t="s">
        <v>3521</v>
      </c>
      <c r="B1163" s="1" t="s">
        <v>3522</v>
      </c>
      <c r="C1163" s="1" t="s">
        <v>1129</v>
      </c>
      <c r="D1163" s="1" t="s">
        <v>1129</v>
      </c>
      <c r="E1163" s="6">
        <v>498.44</v>
      </c>
      <c r="F1163" s="1" t="s">
        <v>40</v>
      </c>
      <c r="G1163" s="6">
        <f ca="1">IFERROR(__xludf.DUMMYFUNCTION("iferror(GOOGLEFINANCE(TRIM(F1163)&amp;"":"" &amp; TRIM(B1163), ""price""),0
)"),0)</f>
        <v>0</v>
      </c>
      <c r="H1163" s="6">
        <v>321.75</v>
      </c>
      <c r="I1163" s="6">
        <f t="shared" ca="1" si="0"/>
        <v>321.75</v>
      </c>
      <c r="J1163" s="6">
        <f ca="1">IFERROR(__xludf.DUMMYFUNCTION("IFERROR(GOOGLEFINANCE(B1163, ""volume""), 0)"),1143)</f>
        <v>1143</v>
      </c>
      <c r="K1163" s="6">
        <v>-0.06</v>
      </c>
      <c r="L1163" s="6">
        <f ca="1">IFERROR(__xludf.DUMMYFUNCTION("IFERROR(GOOGLEFINANCE(B1163,""changepct""),K1163)"),-1.14)</f>
        <v>-1.1399999999999999</v>
      </c>
      <c r="M1163" s="6">
        <f ca="1">IFERROR(__xludf.DUMMYFUNCTION("IFERROR(GOOGLEFINANCE(B1163,""change""),0)"),-0.63)</f>
        <v>-0.63</v>
      </c>
      <c r="N1163" s="6">
        <v>2</v>
      </c>
      <c r="O1163" s="7">
        <v>45536</v>
      </c>
      <c r="P1163" s="6">
        <v>0.01</v>
      </c>
      <c r="Q1163" s="6">
        <v>498.45</v>
      </c>
      <c r="R1163" s="7">
        <v>45536</v>
      </c>
      <c r="S1163" s="6">
        <v>168.94</v>
      </c>
      <c r="T1163" s="6">
        <v>15.56</v>
      </c>
      <c r="U1163" s="7">
        <v>45536</v>
      </c>
      <c r="V1163" s="6">
        <v>32.049999999999997</v>
      </c>
      <c r="W1163" s="6">
        <f ca="1">IFERROR(__xludf.DUMMYFUNCTION("IFERROR(GOOGLEFINANCE(B1163,""pe""),V1163)"),32.05)</f>
        <v>32.049999999999997</v>
      </c>
      <c r="X1163" s="9"/>
      <c r="Y1163" s="6">
        <v>3.63</v>
      </c>
      <c r="Z1163" s="6">
        <v>2</v>
      </c>
      <c r="AA1163" s="8">
        <v>45352</v>
      </c>
      <c r="AB1163" s="4">
        <v>0.04</v>
      </c>
      <c r="AC1163" s="6">
        <v>12.48</v>
      </c>
      <c r="AD1163" s="6">
        <v>16.16</v>
      </c>
      <c r="AE1163" s="1">
        <v>0</v>
      </c>
      <c r="AF1163" s="1">
        <f ca="1">IFERROR(__xludf.DUMMYFUNCTION("IFERROR(GOOGLEFINANCE(TRIM(F1163)&amp;"":"" &amp; TRIM(B1163),""high52""),AE1163)"),0)</f>
        <v>0</v>
      </c>
      <c r="AG1163" s="1">
        <v>0</v>
      </c>
      <c r="AH1163" s="1">
        <f ca="1">IFERROR(__xludf.DUMMYFUNCTION("IFERROR(GOOGLEFINANCE(TRIM(F1163)&amp;"":"" &amp; TRIM(B1163),""low52""),AE1163)"),0)</f>
        <v>0</v>
      </c>
      <c r="AI1163" s="1">
        <f ca="1">IFERROR(__xludf.DUMMYFUNCTION("IFERROR(GOOGLEFINANCE(B1163,""eps""),0)"),-0.7)</f>
        <v>-0.7</v>
      </c>
      <c r="AJ1163" s="1"/>
      <c r="AK1163" s="1" t="s">
        <v>3523</v>
      </c>
      <c r="AL1163" s="9">
        <f t="shared" ref="AL1163:AL1172" si="172">IF(AA1163&lt;&gt;AB1163,1,0)</f>
        <v>1</v>
      </c>
    </row>
    <row r="1164" spans="1:38" ht="15" x14ac:dyDescent="0.25">
      <c r="A1164" s="1" t="s">
        <v>3524</v>
      </c>
      <c r="B1164" s="1" t="s">
        <v>3525</v>
      </c>
      <c r="C1164" s="1" t="s">
        <v>1739</v>
      </c>
      <c r="D1164" s="1" t="s">
        <v>1739</v>
      </c>
      <c r="E1164" s="6">
        <v>47373.69</v>
      </c>
      <c r="F1164" s="1" t="s">
        <v>40</v>
      </c>
      <c r="G1164" s="6">
        <f ca="1">IFERROR(__xludf.DUMMYFUNCTION("iferror(GOOGLEFINANCE(TRIM(F1164)&amp;"":"" &amp; TRIM(B1164), ""price""),0
)"),237.18)</f>
        <v>237.18</v>
      </c>
      <c r="H1164" s="6">
        <v>168.53</v>
      </c>
      <c r="I1164" s="6">
        <f t="shared" ca="1" si="0"/>
        <v>237.18</v>
      </c>
      <c r="J1164" s="6">
        <f ca="1">IFERROR(__xludf.DUMMYFUNCTION("IFERROR(GOOGLEFINANCE(B1164, ""volume""), 0)"),2763632)</f>
        <v>2763632</v>
      </c>
      <c r="K1164" s="6">
        <v>1.94</v>
      </c>
      <c r="L1164" s="6">
        <f ca="1">IFERROR(__xludf.DUMMYFUNCTION("IFERROR(GOOGLEFINANCE(B1164,""changepct""),K1164)"),-1.31)</f>
        <v>-1.31</v>
      </c>
      <c r="M1164" s="6">
        <f ca="1">IFERROR(__xludf.DUMMYFUNCTION("IFERROR(GOOGLEFINANCE(B1164,""change""),0)"),-3.15)</f>
        <v>-3.15</v>
      </c>
      <c r="N1164" s="6">
        <v>2</v>
      </c>
      <c r="O1164" s="7">
        <v>45536</v>
      </c>
      <c r="P1164" s="6">
        <v>1001.37</v>
      </c>
      <c r="Q1164" s="6">
        <v>48180.3</v>
      </c>
      <c r="R1164" s="7">
        <v>45536</v>
      </c>
      <c r="S1164" s="6">
        <v>7077.63</v>
      </c>
      <c r="T1164" s="6">
        <v>55.65</v>
      </c>
      <c r="U1164" s="7">
        <v>45536</v>
      </c>
      <c r="V1164" s="6">
        <v>0</v>
      </c>
      <c r="W1164" s="6">
        <f ca="1">IFERROR(__xludf.DUMMYFUNCTION("IFERROR(GOOGLEFINANCE(B1164,""pe""),V1164)"),657.28)</f>
        <v>657.28</v>
      </c>
      <c r="X1164" s="12"/>
      <c r="Y1164" s="6">
        <v>36.299999999999997</v>
      </c>
      <c r="Z1164" s="6">
        <v>2</v>
      </c>
      <c r="AA1164" s="8">
        <v>45352</v>
      </c>
      <c r="AB1164" s="4">
        <v>0.55000000000000004</v>
      </c>
      <c r="AC1164" s="6">
        <v>3.37</v>
      </c>
      <c r="AD1164" s="6">
        <v>8.07</v>
      </c>
      <c r="AE1164" s="1">
        <v>0</v>
      </c>
      <c r="AF1164" s="1">
        <f ca="1">IFERROR(__xludf.DUMMYFUNCTION("IFERROR(GOOGLEFINANCE(TRIM(F1164)&amp;"":"" &amp; TRIM(B1164),""high52""),AE1164)"),273.22)</f>
        <v>273.22000000000003</v>
      </c>
      <c r="AG1164" s="1">
        <v>0</v>
      </c>
      <c r="AH1164" s="1">
        <f ca="1">IFERROR(__xludf.DUMMYFUNCTION("IFERROR(GOOGLEFINANCE(TRIM(F1164)&amp;"":"" &amp; TRIM(B1164),""low52""),AE1164)"),154.9)</f>
        <v>154.9</v>
      </c>
      <c r="AI1164" s="1">
        <f ca="1">IFERROR(__xludf.DUMMYFUNCTION("IFERROR(GOOGLEFINANCE(B1164,""eps""),0)"),0.36)</f>
        <v>0.36</v>
      </c>
      <c r="AJ1164" s="1"/>
      <c r="AK1164" s="1" t="s">
        <v>3526</v>
      </c>
      <c r="AL1164" s="9">
        <f t="shared" si="172"/>
        <v>1</v>
      </c>
    </row>
    <row r="1165" spans="1:38" ht="15" x14ac:dyDescent="0.25">
      <c r="A1165" s="1" t="s">
        <v>3527</v>
      </c>
      <c r="B1165" s="1" t="s">
        <v>3528</v>
      </c>
      <c r="C1165" s="1" t="s">
        <v>125</v>
      </c>
      <c r="D1165" s="1" t="s">
        <v>125</v>
      </c>
      <c r="E1165" s="6">
        <v>168.34</v>
      </c>
      <c r="F1165" s="1" t="s">
        <v>53</v>
      </c>
      <c r="G1165" s="6">
        <f ca="1">IFERROR(__xludf.DUMMYFUNCTION("iferror(GOOGLEFINANCE(TRIM(F1165)&amp;"":"" &amp; TRIM(B1165), ""price""),0
)"),0)</f>
        <v>0</v>
      </c>
      <c r="H1165" s="6">
        <v>120.3</v>
      </c>
      <c r="I1165" s="6">
        <f t="shared" ca="1" si="0"/>
        <v>120.3</v>
      </c>
      <c r="J1165" s="6">
        <f ca="1">IFERROR(__xludf.DUMMYFUNCTION("IFERROR(GOOGLEFINANCE(B1165, ""volume""), 0)"),0)</f>
        <v>0</v>
      </c>
      <c r="K1165" s="6">
        <v>-0.25</v>
      </c>
      <c r="L1165" s="6">
        <f ca="1">IFERROR(__xludf.DUMMYFUNCTION("IFERROR(GOOGLEFINANCE(B1165,""changepct""),K1165)"),-0.25)</f>
        <v>-0.25</v>
      </c>
      <c r="M1165" s="6">
        <f ca="1">IFERROR(__xludf.DUMMYFUNCTION("IFERROR(GOOGLEFINANCE(B1165,""change""),0)"),0)</f>
        <v>0</v>
      </c>
      <c r="N1165" s="6">
        <v>2</v>
      </c>
      <c r="O1165" s="7">
        <v>45536</v>
      </c>
      <c r="P1165" s="6">
        <v>51.47</v>
      </c>
      <c r="Q1165" s="6">
        <v>212.99</v>
      </c>
      <c r="R1165" s="7">
        <v>45352</v>
      </c>
      <c r="S1165" s="6">
        <v>160.19999999999999</v>
      </c>
      <c r="T1165" s="6">
        <v>1.32</v>
      </c>
      <c r="U1165" s="7">
        <v>45352</v>
      </c>
      <c r="V1165" s="6">
        <v>131.31</v>
      </c>
      <c r="W1165" s="6">
        <f ca="1">IFERROR(__xludf.DUMMYFUNCTION("IFERROR(GOOGLEFINANCE(B1165,""pe""),V1165)"),131.31)</f>
        <v>131.31</v>
      </c>
      <c r="X1165" s="9"/>
      <c r="Y1165" s="6">
        <v>3.07</v>
      </c>
      <c r="Z1165" s="6">
        <v>2</v>
      </c>
      <c r="AA1165" s="8">
        <v>45352</v>
      </c>
      <c r="AB1165" s="4">
        <v>1.03</v>
      </c>
      <c r="AC1165" s="6">
        <v>3.27</v>
      </c>
      <c r="AD1165" s="6">
        <v>8.74</v>
      </c>
      <c r="AE1165" s="1">
        <v>0</v>
      </c>
      <c r="AF1165" s="1">
        <f ca="1">IFERROR(__xludf.DUMMYFUNCTION("IFERROR(GOOGLEFINANCE(TRIM(F1165)&amp;"":"" &amp; TRIM(B1165),""high52""),AE1165)"),0)</f>
        <v>0</v>
      </c>
      <c r="AG1165" s="1">
        <v>0</v>
      </c>
      <c r="AH1165" s="1">
        <f ca="1">IFERROR(__xludf.DUMMYFUNCTION("IFERROR(GOOGLEFINANCE(TRIM(F1165)&amp;"":"" &amp; TRIM(B1165),""low52""),AE1165)"),0)</f>
        <v>0</v>
      </c>
      <c r="AI1165" s="1">
        <f ca="1">IFERROR(__xludf.DUMMYFUNCTION("IFERROR(GOOGLEFINANCE(B1165,""eps""),0)"),0)</f>
        <v>0</v>
      </c>
      <c r="AJ1165" s="1"/>
      <c r="AK1165" s="1" t="s">
        <v>3529</v>
      </c>
      <c r="AL1165" s="9">
        <f t="shared" si="172"/>
        <v>1</v>
      </c>
    </row>
    <row r="1166" spans="1:38" ht="15" x14ac:dyDescent="0.25">
      <c r="A1166" s="1" t="s">
        <v>3530</v>
      </c>
      <c r="B1166" s="1" t="s">
        <v>3531</v>
      </c>
      <c r="C1166" s="1" t="s">
        <v>125</v>
      </c>
      <c r="D1166" s="1" t="s">
        <v>125</v>
      </c>
      <c r="E1166" s="6">
        <v>79.2</v>
      </c>
      <c r="F1166" s="1" t="s">
        <v>53</v>
      </c>
      <c r="G1166" s="6">
        <f ca="1">IFERROR(__xludf.DUMMYFUNCTION("iferror(GOOGLEFINANCE(TRIM(F1166)&amp;"":"" &amp; TRIM(B1166), ""price""),0
)"),0)</f>
        <v>0</v>
      </c>
      <c r="H1166" s="6">
        <v>528</v>
      </c>
      <c r="I1166" s="6">
        <f t="shared" ca="1" si="0"/>
        <v>528</v>
      </c>
      <c r="J1166" s="6">
        <f ca="1">IFERROR(__xludf.DUMMYFUNCTION("IFERROR(GOOGLEFINANCE(B1166, ""volume""), 0)"),0)</f>
        <v>0</v>
      </c>
      <c r="K1166" s="9"/>
      <c r="L1166" s="6" t="str">
        <f ca="1">IFERROR(__xludf.DUMMYFUNCTION("IFERROR(GOOGLEFINANCE(B1166,""changepct""),K1166)"),"")</f>
        <v/>
      </c>
      <c r="M1166" s="6">
        <f ca="1">IFERROR(__xludf.DUMMYFUNCTION("IFERROR(GOOGLEFINANCE(B1166,""change""),0)"),0)</f>
        <v>0</v>
      </c>
      <c r="N1166" s="6">
        <v>1</v>
      </c>
      <c r="O1166" s="7">
        <v>45536</v>
      </c>
      <c r="P1166" s="6">
        <v>19.82</v>
      </c>
      <c r="Q1166" s="6">
        <v>99.02</v>
      </c>
      <c r="R1166" s="7">
        <v>45352</v>
      </c>
      <c r="S1166" s="6">
        <v>22.29</v>
      </c>
      <c r="T1166" s="6">
        <v>0.12</v>
      </c>
      <c r="U1166" s="7">
        <v>45352</v>
      </c>
      <c r="V1166" s="6">
        <v>689.9</v>
      </c>
      <c r="W1166" s="6">
        <f ca="1">IFERROR(__xludf.DUMMYFUNCTION("IFERROR(GOOGLEFINANCE(B1166,""pe""),V1166)"),689.9)</f>
        <v>689.9</v>
      </c>
      <c r="X1166" s="9"/>
      <c r="Y1166" s="6">
        <v>10.97</v>
      </c>
      <c r="Z1166" s="6">
        <v>1</v>
      </c>
      <c r="AA1166" s="8">
        <v>45352</v>
      </c>
      <c r="AB1166" s="4">
        <v>2.71</v>
      </c>
      <c r="AC1166" s="6">
        <v>1.6</v>
      </c>
      <c r="AD1166" s="6">
        <v>8.1300000000000008</v>
      </c>
      <c r="AE1166" s="1">
        <v>0</v>
      </c>
      <c r="AF1166" s="1">
        <f ca="1">IFERROR(__xludf.DUMMYFUNCTION("IFERROR(GOOGLEFINANCE(TRIM(F1166)&amp;"":"" &amp; TRIM(B1166),""high52""),AE1166)"),0)</f>
        <v>0</v>
      </c>
      <c r="AG1166" s="1">
        <v>0</v>
      </c>
      <c r="AH1166" s="1">
        <f ca="1">IFERROR(__xludf.DUMMYFUNCTION("IFERROR(GOOGLEFINANCE(TRIM(F1166)&amp;"":"" &amp; TRIM(B1166),""low52""),AE1166)"),0)</f>
        <v>0</v>
      </c>
      <c r="AI1166" s="1">
        <f ca="1">IFERROR(__xludf.DUMMYFUNCTION("IFERROR(GOOGLEFINANCE(B1166,""eps""),0)"),0)</f>
        <v>0</v>
      </c>
      <c r="AJ1166" s="1"/>
      <c r="AK1166" s="1" t="s">
        <v>3532</v>
      </c>
      <c r="AL1166" s="9">
        <f t="shared" si="172"/>
        <v>1</v>
      </c>
    </row>
    <row r="1167" spans="1:38" ht="15" x14ac:dyDescent="0.25">
      <c r="A1167" s="1" t="s">
        <v>3533</v>
      </c>
      <c r="B1167" s="1" t="s">
        <v>3534</v>
      </c>
      <c r="C1167" s="1" t="s">
        <v>208</v>
      </c>
      <c r="D1167" s="1" t="s">
        <v>208</v>
      </c>
      <c r="E1167" s="6">
        <v>1797.21</v>
      </c>
      <c r="F1167" s="1" t="s">
        <v>40</v>
      </c>
      <c r="G1167" s="6">
        <f ca="1">IFERROR(__xludf.DUMMYFUNCTION("iferror(GOOGLEFINANCE(TRIM(F1167)&amp;"":"" &amp; TRIM(B1167), ""price""),0
)"),181.85)</f>
        <v>181.85</v>
      </c>
      <c r="H1167" s="6">
        <v>181.3</v>
      </c>
      <c r="I1167" s="6">
        <f t="shared" ca="1" si="0"/>
        <v>181.85</v>
      </c>
      <c r="J1167" s="6">
        <f ca="1">IFERROR(__xludf.DUMMYFUNCTION("IFERROR(GOOGLEFINANCE(B1167, ""volume""), 0)"),320834)</f>
        <v>320834</v>
      </c>
      <c r="K1167" s="6">
        <v>1.98</v>
      </c>
      <c r="L1167" s="6">
        <f ca="1">IFERROR(__xludf.DUMMYFUNCTION("IFERROR(GOOGLEFINANCE(B1167,""changepct""),K1167)"),1.61)</f>
        <v>1.61</v>
      </c>
      <c r="M1167" s="6">
        <f ca="1">IFERROR(__xludf.DUMMYFUNCTION("IFERROR(GOOGLEFINANCE(B1167,""change""),0)"),2.88)</f>
        <v>2.88</v>
      </c>
      <c r="N1167" s="6">
        <v>1</v>
      </c>
      <c r="O1167" s="7">
        <v>45536</v>
      </c>
      <c r="P1167" s="6">
        <v>-81.52</v>
      </c>
      <c r="Q1167" s="7">
        <v>45536</v>
      </c>
      <c r="R1167" s="6">
        <v>0</v>
      </c>
      <c r="S1167" s="9"/>
      <c r="T1167" s="6">
        <v>0.71</v>
      </c>
      <c r="U1167" s="6">
        <v>1</v>
      </c>
      <c r="V1167" s="7">
        <v>45352</v>
      </c>
      <c r="W1167" s="10">
        <f ca="1">IFERROR(__xludf.DUMMYFUNCTION("IFERROR(GOOGLEFINANCE(B1167,""pe""),V1167)"),45352)</f>
        <v>45352</v>
      </c>
      <c r="X1167" s="6">
        <v>3.04</v>
      </c>
      <c r="Y1167" s="6">
        <v>19.649999999999999</v>
      </c>
      <c r="Z1167" s="6">
        <v>14.14</v>
      </c>
      <c r="AA1167" s="3" t="s">
        <v>3535</v>
      </c>
      <c r="AB1167" s="11"/>
      <c r="AC1167" s="9"/>
      <c r="AD1167" s="9"/>
      <c r="AE1167" s="1">
        <v>0</v>
      </c>
      <c r="AF1167" s="1">
        <f ca="1">IFERROR(__xludf.DUMMYFUNCTION("IFERROR(GOOGLEFINANCE(TRIM(F1167)&amp;"":"" &amp; TRIM(B1167),""high52""),AE1167)"),211.8)</f>
        <v>211.8</v>
      </c>
      <c r="AG1167" s="1">
        <v>0</v>
      </c>
      <c r="AH1167" s="1">
        <f ca="1">IFERROR(__xludf.DUMMYFUNCTION("IFERROR(GOOGLEFINANCE(TRIM(F1167)&amp;"":"" &amp; TRIM(B1167),""low52""),AE1167)"),123.96)</f>
        <v>123.96</v>
      </c>
      <c r="AI1167" s="1">
        <f ca="1">IFERROR(__xludf.DUMMYFUNCTION("IFERROR(GOOGLEFINANCE(B1167,""eps""),0)"),-93.33)</f>
        <v>-93.33</v>
      </c>
      <c r="AJ1167" s="1"/>
      <c r="AK1167" s="1" t="s">
        <v>3536</v>
      </c>
      <c r="AL1167" s="9">
        <f t="shared" si="172"/>
        <v>1</v>
      </c>
    </row>
    <row r="1168" spans="1:38" ht="15" x14ac:dyDescent="0.25">
      <c r="A1168" s="1" t="s">
        <v>3537</v>
      </c>
      <c r="B1168" s="1" t="s">
        <v>3538</v>
      </c>
      <c r="C1168" s="1" t="s">
        <v>359</v>
      </c>
      <c r="D1168" s="1" t="s">
        <v>359</v>
      </c>
      <c r="E1168" s="6">
        <v>127.81</v>
      </c>
      <c r="F1168" s="1" t="s">
        <v>40</v>
      </c>
      <c r="G1168" s="6">
        <f ca="1">IFERROR(__xludf.DUMMYFUNCTION("iferror(GOOGLEFINANCE(TRIM(F1168)&amp;"":"" &amp; TRIM(B1168), ""price""),0
)"),0.36)</f>
        <v>0.36</v>
      </c>
      <c r="H1168" s="6">
        <v>0.64</v>
      </c>
      <c r="I1168" s="6">
        <f t="shared" ca="1" si="0"/>
        <v>0.36</v>
      </c>
      <c r="J1168" s="6">
        <f ca="1">IFERROR(__xludf.DUMMYFUNCTION("IFERROR(GOOGLEFINANCE(B1168, ""volume""), 0)"),1816146)</f>
        <v>1816146</v>
      </c>
      <c r="K1168" s="9"/>
      <c r="L1168" s="6">
        <f ca="1">IFERROR(__xludf.DUMMYFUNCTION("IFERROR(GOOGLEFINANCE(B1168,""changepct""),K1168)"),-2.7)</f>
        <v>-2.7</v>
      </c>
      <c r="M1168" s="6">
        <f ca="1">IFERROR(__xludf.DUMMYFUNCTION("IFERROR(GOOGLEFINANCE(B1168,""change""),0)"),-0.01)</f>
        <v>-0.01</v>
      </c>
      <c r="N1168" s="6">
        <v>2</v>
      </c>
      <c r="O1168" s="7">
        <v>45536</v>
      </c>
      <c r="P1168" s="6">
        <v>394.04</v>
      </c>
      <c r="Q1168" s="6">
        <v>515.82000000000005</v>
      </c>
      <c r="R1168" s="7">
        <v>45536</v>
      </c>
      <c r="S1168" s="6">
        <v>402.62</v>
      </c>
      <c r="T1168" s="6">
        <v>-48.5</v>
      </c>
      <c r="U1168" s="7">
        <v>45536</v>
      </c>
      <c r="V1168" s="6">
        <v>0</v>
      </c>
      <c r="W1168" s="6">
        <f ca="1">IFERROR(__xludf.DUMMYFUNCTION("IFERROR(GOOGLEFINANCE(B1168,""pe""),V1168)"),0)</f>
        <v>0</v>
      </c>
      <c r="X1168" s="9"/>
      <c r="Y1168" s="6">
        <v>-0.4</v>
      </c>
      <c r="Z1168" s="6">
        <v>2</v>
      </c>
      <c r="AA1168" s="8">
        <v>45352</v>
      </c>
      <c r="AB1168" s="4">
        <v>-1.34</v>
      </c>
      <c r="AC1168" s="6">
        <v>0</v>
      </c>
      <c r="AD1168" s="6">
        <v>-43.96</v>
      </c>
      <c r="AE1168" s="1">
        <v>0</v>
      </c>
      <c r="AF1168" s="1">
        <f ca="1">IFERROR(__xludf.DUMMYFUNCTION("IFERROR(GOOGLEFINANCE(TRIM(F1168)&amp;"":"" &amp; TRIM(B1168),""high52""),AE1168)"),0.59)</f>
        <v>0.59</v>
      </c>
      <c r="AG1168" s="1">
        <v>0</v>
      </c>
      <c r="AH1168" s="1">
        <f ca="1">IFERROR(__xludf.DUMMYFUNCTION("IFERROR(GOOGLEFINANCE(TRIM(F1168)&amp;"":"" &amp; TRIM(B1168),""low52""),AE1168)"),0.36)</f>
        <v>0.36</v>
      </c>
      <c r="AI1168" s="1">
        <f ca="1">IFERROR(__xludf.DUMMYFUNCTION("IFERROR(GOOGLEFINANCE(B1168,""eps""),0)"),-0.18)</f>
        <v>-0.18</v>
      </c>
      <c r="AJ1168" s="1"/>
      <c r="AK1168" s="1" t="s">
        <v>3539</v>
      </c>
      <c r="AL1168" s="9">
        <f t="shared" si="172"/>
        <v>1</v>
      </c>
    </row>
    <row r="1169" spans="1:38" ht="15" x14ac:dyDescent="0.25">
      <c r="A1169" s="1" t="s">
        <v>3540</v>
      </c>
      <c r="B1169" s="1" t="s">
        <v>3541</v>
      </c>
      <c r="C1169" s="1" t="s">
        <v>359</v>
      </c>
      <c r="D1169" s="1" t="s">
        <v>359</v>
      </c>
      <c r="E1169" s="6">
        <v>30.94</v>
      </c>
      <c r="F1169" s="1" t="s">
        <v>40</v>
      </c>
      <c r="G1169" s="6">
        <f ca="1">IFERROR(__xludf.DUMMYFUNCTION("iferror(GOOGLEFINANCE(TRIM(F1169)&amp;"":"" &amp; TRIM(B1169), ""price""),0
)"),0.44)</f>
        <v>0.44</v>
      </c>
      <c r="H1169" s="6">
        <v>0.68</v>
      </c>
      <c r="I1169" s="6">
        <f t="shared" ca="1" si="0"/>
        <v>0.44</v>
      </c>
      <c r="J1169" s="6">
        <f ca="1">IFERROR(__xludf.DUMMYFUNCTION("IFERROR(GOOGLEFINANCE(B1169, ""volume""), 0)"),231876)</f>
        <v>231876</v>
      </c>
      <c r="K1169" s="6">
        <v>1.49</v>
      </c>
      <c r="L1169" s="6">
        <f ca="1">IFERROR(__xludf.DUMMYFUNCTION("IFERROR(GOOGLEFINANCE(B1169,""changepct""),K1169)"),0)</f>
        <v>0</v>
      </c>
      <c r="M1169" s="6">
        <f ca="1">IFERROR(__xludf.DUMMYFUNCTION("IFERROR(GOOGLEFINANCE(B1169,""change""),0)"),0)</f>
        <v>0</v>
      </c>
      <c r="N1169" s="6">
        <v>1</v>
      </c>
      <c r="O1169" s="7">
        <v>44986</v>
      </c>
      <c r="P1169" s="6">
        <v>5389.56</v>
      </c>
      <c r="Q1169" s="6">
        <v>5420.5</v>
      </c>
      <c r="R1169" s="7">
        <v>44986</v>
      </c>
      <c r="S1169" s="6">
        <v>104.53</v>
      </c>
      <c r="T1169" s="6">
        <v>-677.99</v>
      </c>
      <c r="U1169" s="7">
        <v>44986</v>
      </c>
      <c r="V1169" s="6">
        <v>0</v>
      </c>
      <c r="W1169" s="6">
        <f ca="1">IFERROR(__xludf.DUMMYFUNCTION("IFERROR(GOOGLEFINANCE(B1169,""pe""),V1169)"),0)</f>
        <v>0</v>
      </c>
      <c r="X1169" s="12"/>
      <c r="Y1169" s="9"/>
      <c r="Z1169" s="6">
        <v>1</v>
      </c>
      <c r="AA1169" s="8">
        <v>44256</v>
      </c>
      <c r="AB1169" s="4">
        <v>2.5299999999999998</v>
      </c>
      <c r="AC1169" s="6">
        <v>-33.950000000000003</v>
      </c>
      <c r="AD1169" s="6">
        <v>-3.69</v>
      </c>
      <c r="AE1169" s="1">
        <v>0</v>
      </c>
      <c r="AF1169" s="1">
        <f ca="1">IFERROR(__xludf.DUMMYFUNCTION("IFERROR(GOOGLEFINANCE(TRIM(F1169)&amp;"":"" &amp; TRIM(B1169),""high52""),AE1169)"),0.68)</f>
        <v>0.68</v>
      </c>
      <c r="AG1169" s="1">
        <v>0</v>
      </c>
      <c r="AH1169" s="1">
        <f ca="1">IFERROR(__xludf.DUMMYFUNCTION("IFERROR(GOOGLEFINANCE(TRIM(F1169)&amp;"":"" &amp; TRIM(B1169),""low52""),AE1169)"),0.34)</f>
        <v>0.34</v>
      </c>
      <c r="AI1169" s="1">
        <f ca="1">IFERROR(__xludf.DUMMYFUNCTION("IFERROR(GOOGLEFINANCE(B1169,""eps""),0)"),0)</f>
        <v>0</v>
      </c>
      <c r="AJ1169" s="1"/>
      <c r="AK1169" s="1" t="s">
        <v>3542</v>
      </c>
      <c r="AL1169" s="9">
        <f t="shared" si="172"/>
        <v>1</v>
      </c>
    </row>
    <row r="1170" spans="1:38" ht="15" x14ac:dyDescent="0.25">
      <c r="A1170" s="1" t="s">
        <v>3543</v>
      </c>
      <c r="B1170" s="1" t="s">
        <v>3544</v>
      </c>
      <c r="C1170" s="1" t="s">
        <v>125</v>
      </c>
      <c r="D1170" s="1" t="s">
        <v>125</v>
      </c>
      <c r="E1170" s="6">
        <v>1121.94</v>
      </c>
      <c r="F1170" s="1" t="s">
        <v>53</v>
      </c>
      <c r="G1170" s="6">
        <f ca="1">IFERROR(__xludf.DUMMYFUNCTION("iferror(GOOGLEFINANCE(TRIM(F1170)&amp;"":"" &amp; TRIM(B1170), ""price""),0
)"),0)</f>
        <v>0</v>
      </c>
      <c r="H1170" s="6">
        <v>1055</v>
      </c>
      <c r="I1170" s="6">
        <f t="shared" ca="1" si="0"/>
        <v>1055</v>
      </c>
      <c r="J1170" s="6">
        <f ca="1">IFERROR(__xludf.DUMMYFUNCTION("IFERROR(GOOGLEFINANCE(B1170, ""volume""), 0)"),98131)</f>
        <v>98131</v>
      </c>
      <c r="K1170" s="6">
        <v>-1.07</v>
      </c>
      <c r="L1170" s="6">
        <f ca="1">IFERROR(__xludf.DUMMYFUNCTION("IFERROR(GOOGLEFINANCE(B1170,""changepct""),K1170)"),-1.06)</f>
        <v>-1.06</v>
      </c>
      <c r="M1170" s="6">
        <f ca="1">IFERROR(__xludf.DUMMYFUNCTION("IFERROR(GOOGLEFINANCE(B1170,""change""),0)"),-0.01)</f>
        <v>-0.01</v>
      </c>
      <c r="N1170" s="6">
        <v>1</v>
      </c>
      <c r="O1170" s="7">
        <v>45536</v>
      </c>
      <c r="P1170" s="6">
        <v>49.16</v>
      </c>
      <c r="Q1170" s="6">
        <v>1171.0899999999999</v>
      </c>
      <c r="R1170" s="7">
        <v>45352</v>
      </c>
      <c r="S1170" s="6">
        <v>172.63</v>
      </c>
      <c r="T1170" s="6">
        <v>14.89</v>
      </c>
      <c r="U1170" s="7">
        <v>45352</v>
      </c>
      <c r="V1170" s="6">
        <v>75.36</v>
      </c>
      <c r="W1170" s="6">
        <f ca="1">IFERROR(__xludf.DUMMYFUNCTION("IFERROR(GOOGLEFINANCE(B1170,""pe""),V1170)"),10.83)</f>
        <v>10.83</v>
      </c>
      <c r="X1170" s="6">
        <v>2.21</v>
      </c>
      <c r="Y1170" s="6">
        <v>14.99</v>
      </c>
      <c r="Z1170" s="6">
        <v>2</v>
      </c>
      <c r="AA1170" s="8">
        <v>45352</v>
      </c>
      <c r="AB1170" s="4">
        <v>0.83</v>
      </c>
      <c r="AC1170" s="6">
        <v>28.16</v>
      </c>
      <c r="AD1170" s="6">
        <v>29.74</v>
      </c>
      <c r="AE1170" s="1">
        <v>0</v>
      </c>
      <c r="AF1170" s="1">
        <f ca="1">IFERROR(__xludf.DUMMYFUNCTION("IFERROR(GOOGLEFINANCE(TRIM(F1170)&amp;"":"" &amp; TRIM(B1170),""high52""),AE1170)"),0)</f>
        <v>0</v>
      </c>
      <c r="AG1170" s="1">
        <v>0</v>
      </c>
      <c r="AH1170" s="1">
        <f ca="1">IFERROR(__xludf.DUMMYFUNCTION("IFERROR(GOOGLEFINANCE(TRIM(F1170)&amp;"":"" &amp; TRIM(B1170),""low52""),AE1170)"),0)</f>
        <v>0</v>
      </c>
      <c r="AI1170" s="1">
        <f ca="1">IFERROR(__xludf.DUMMYFUNCTION("IFERROR(GOOGLEFINANCE(B1170,""eps""),0)"),0.09)</f>
        <v>0.09</v>
      </c>
      <c r="AJ1170" s="1"/>
      <c r="AK1170" s="1" t="s">
        <v>3545</v>
      </c>
      <c r="AL1170" s="9">
        <f t="shared" si="172"/>
        <v>1</v>
      </c>
    </row>
    <row r="1171" spans="1:38" ht="15" x14ac:dyDescent="0.25">
      <c r="A1171" s="1" t="s">
        <v>3546</v>
      </c>
      <c r="B1171" s="1" t="s">
        <v>3547</v>
      </c>
      <c r="C1171" s="1" t="s">
        <v>359</v>
      </c>
      <c r="D1171" s="1" t="s">
        <v>359</v>
      </c>
      <c r="E1171" s="6">
        <v>20.99</v>
      </c>
      <c r="F1171" s="1" t="s">
        <v>40</v>
      </c>
      <c r="G1171" s="6">
        <f ca="1">IFERROR(__xludf.DUMMYFUNCTION("iferror(GOOGLEFINANCE(TRIM(F1171)&amp;"":"" &amp; TRIM(B1171), ""price""),0
)"),2.68)</f>
        <v>2.68</v>
      </c>
      <c r="H1171" s="6">
        <v>5.15</v>
      </c>
      <c r="I1171" s="6">
        <f t="shared" ca="1" si="0"/>
        <v>2.68</v>
      </c>
      <c r="J1171" s="6">
        <f ca="1">IFERROR(__xludf.DUMMYFUNCTION("IFERROR(GOOGLEFINANCE(B1171, ""volume""), 0)"),2045)</f>
        <v>2045</v>
      </c>
      <c r="K1171" s="6">
        <v>0.19</v>
      </c>
      <c r="L1171" s="6">
        <f ca="1">IFERROR(__xludf.DUMMYFUNCTION("IFERROR(GOOGLEFINANCE(B1171,""changepct""),K1171)"),-4.63)</f>
        <v>-4.63</v>
      </c>
      <c r="M1171" s="6">
        <f ca="1">IFERROR(__xludf.DUMMYFUNCTION("IFERROR(GOOGLEFINANCE(B1171,""change""),0)"),-0.13)</f>
        <v>-0.13</v>
      </c>
      <c r="N1171" s="6">
        <v>1</v>
      </c>
      <c r="O1171" s="14"/>
      <c r="P1171" s="9"/>
      <c r="Q1171" s="6">
        <v>20.99</v>
      </c>
      <c r="R1171" s="7">
        <v>42064</v>
      </c>
      <c r="S1171" s="6">
        <v>10341.66</v>
      </c>
      <c r="T1171" s="6">
        <v>74.06</v>
      </c>
      <c r="U1171" s="7">
        <v>42064</v>
      </c>
      <c r="V1171" s="6">
        <v>0.28000000000000003</v>
      </c>
      <c r="W1171" s="6">
        <f ca="1">IFERROR(__xludf.DUMMYFUNCTION("IFERROR(GOOGLEFINANCE(B1171,""pe""),V1171)"),0.28)</f>
        <v>0.28000000000000003</v>
      </c>
      <c r="X1171" s="12"/>
      <c r="Y1171" s="9"/>
      <c r="Z1171" s="6">
        <v>1</v>
      </c>
      <c r="AA1171" s="3">
        <v>0</v>
      </c>
      <c r="AB1171" s="11"/>
      <c r="AC1171" s="9"/>
      <c r="AD1171" s="9"/>
      <c r="AE1171" s="1">
        <v>0</v>
      </c>
      <c r="AF1171" s="1">
        <f ca="1">IFERROR(__xludf.DUMMYFUNCTION("IFERROR(GOOGLEFINANCE(TRIM(F1171)&amp;"":"" &amp; TRIM(B1171),""high52""),AE1171)"),5.09)</f>
        <v>5.09</v>
      </c>
      <c r="AG1171" s="1">
        <v>0</v>
      </c>
      <c r="AH1171" s="1">
        <f ca="1">IFERROR(__xludf.DUMMYFUNCTION("IFERROR(GOOGLEFINANCE(TRIM(F1171)&amp;"":"" &amp; TRIM(B1171),""low52""),AE1171)"),2.68)</f>
        <v>2.68</v>
      </c>
      <c r="AI1171" s="1">
        <f ca="1">IFERROR(__xludf.DUMMYFUNCTION("IFERROR(GOOGLEFINANCE(B1171,""eps""),0)"),0)</f>
        <v>0</v>
      </c>
      <c r="AJ1171" s="1"/>
      <c r="AK1171" s="1" t="s">
        <v>3548</v>
      </c>
      <c r="AL1171" s="9">
        <f t="shared" si="172"/>
        <v>0</v>
      </c>
    </row>
    <row r="1172" spans="1:38" ht="15" x14ac:dyDescent="0.25">
      <c r="A1172" s="1" t="s">
        <v>3549</v>
      </c>
      <c r="B1172" s="1" t="s">
        <v>3550</v>
      </c>
      <c r="C1172" s="1" t="s">
        <v>359</v>
      </c>
      <c r="D1172" s="1" t="s">
        <v>359</v>
      </c>
      <c r="E1172" s="6">
        <v>41.77</v>
      </c>
      <c r="F1172" s="1" t="s">
        <v>40</v>
      </c>
      <c r="G1172" s="6">
        <f ca="1">IFERROR(__xludf.DUMMYFUNCTION("iferror(GOOGLEFINANCE(TRIM(F1172)&amp;"":"" &amp; TRIM(B1172), ""price""),0
)"),1.17)</f>
        <v>1.17</v>
      </c>
      <c r="H1172" s="6">
        <v>2.04</v>
      </c>
      <c r="I1172" s="6">
        <f t="shared" ca="1" si="0"/>
        <v>1.17</v>
      </c>
      <c r="J1172" s="6">
        <f ca="1">IFERROR(__xludf.DUMMYFUNCTION("IFERROR(GOOGLEFINANCE(B1172, ""volume""), 0)"),118003)</f>
        <v>118003</v>
      </c>
      <c r="K1172" s="6">
        <v>0</v>
      </c>
      <c r="L1172" s="6">
        <f ca="1">IFERROR(__xludf.DUMMYFUNCTION("IFERROR(GOOGLEFINANCE(B1172,""changepct""),K1172)"),-4.88)</f>
        <v>-4.88</v>
      </c>
      <c r="M1172" s="6">
        <f ca="1">IFERROR(__xludf.DUMMYFUNCTION("IFERROR(GOOGLEFINANCE(B1172,""change""),0)"),-0.06)</f>
        <v>-0.06</v>
      </c>
      <c r="N1172" s="6">
        <v>1</v>
      </c>
      <c r="O1172" s="7">
        <v>44805</v>
      </c>
      <c r="P1172" s="6">
        <v>1609.67</v>
      </c>
      <c r="Q1172" s="6">
        <v>1597.4</v>
      </c>
      <c r="R1172" s="7">
        <v>44805</v>
      </c>
      <c r="S1172" s="6">
        <v>2211.38</v>
      </c>
      <c r="T1172" s="6">
        <v>-2116.65</v>
      </c>
      <c r="U1172" s="7">
        <v>44805</v>
      </c>
      <c r="V1172" s="6">
        <v>0</v>
      </c>
      <c r="W1172" s="6">
        <f ca="1">IFERROR(__xludf.DUMMYFUNCTION("IFERROR(GOOGLEFINANCE(B1172,""pe""),V1172)"),0)</f>
        <v>0</v>
      </c>
      <c r="X1172" s="9"/>
      <c r="Y1172" s="9"/>
      <c r="Z1172" s="6">
        <v>1</v>
      </c>
      <c r="AA1172" s="8">
        <v>44621</v>
      </c>
      <c r="AB1172" s="4">
        <v>-0.99</v>
      </c>
      <c r="AC1172" s="6">
        <v>0</v>
      </c>
      <c r="AD1172" s="6">
        <v>-163.74</v>
      </c>
      <c r="AE1172" s="1">
        <v>0</v>
      </c>
      <c r="AF1172" s="1">
        <f ca="1">IFERROR(__xludf.DUMMYFUNCTION("IFERROR(GOOGLEFINANCE(TRIM(F1172)&amp;"":"" &amp; TRIM(B1172),""high52""),AE1172)"),2.24)</f>
        <v>2.2400000000000002</v>
      </c>
      <c r="AG1172" s="1">
        <v>0</v>
      </c>
      <c r="AH1172" s="1">
        <f ca="1">IFERROR(__xludf.DUMMYFUNCTION("IFERROR(GOOGLEFINANCE(TRIM(F1172)&amp;"":"" &amp; TRIM(B1172),""low52""),AE1172)"),1.17)</f>
        <v>1.17</v>
      </c>
      <c r="AI1172" s="1">
        <f ca="1">IFERROR(__xludf.DUMMYFUNCTION("IFERROR(GOOGLEFINANCE(B1172,""eps""),0)"),0)</f>
        <v>0</v>
      </c>
      <c r="AJ1172" s="1"/>
      <c r="AK1172" s="1" t="s">
        <v>3551</v>
      </c>
      <c r="AL1172" s="9">
        <f t="shared" si="172"/>
        <v>1</v>
      </c>
    </row>
    <row r="1173" spans="1:38" ht="15" x14ac:dyDescent="0.25">
      <c r="A1173" s="1" t="s">
        <v>3552</v>
      </c>
      <c r="B1173" s="1" t="s">
        <v>3553</v>
      </c>
      <c r="C1173" s="1" t="s">
        <v>223</v>
      </c>
      <c r="D1173" s="1" t="s">
        <v>223</v>
      </c>
      <c r="E1173" s="6">
        <v>161.86000000000001</v>
      </c>
      <c r="F1173" s="1" t="s">
        <v>40</v>
      </c>
      <c r="G1173" s="6">
        <f ca="1">IFERROR(__xludf.DUMMYFUNCTION("iferror(GOOGLEFINANCE(TRIM(F1173)&amp;"":"" &amp; TRIM(B1173), ""price""),0
)"),7.93)</f>
        <v>7.93</v>
      </c>
      <c r="H1173" s="6">
        <v>27.62</v>
      </c>
      <c r="I1173" s="6">
        <f t="shared" ca="1" si="0"/>
        <v>7.93</v>
      </c>
      <c r="J1173" s="6">
        <f ca="1">IFERROR(__xludf.DUMMYFUNCTION("IFERROR(GOOGLEFINANCE(B1173, ""volume""), 0)"),33586)</f>
        <v>33586</v>
      </c>
      <c r="K1173" s="6">
        <v>1.99</v>
      </c>
      <c r="L1173" s="6">
        <f ca="1">IFERROR(__xludf.DUMMYFUNCTION("IFERROR(GOOGLEFINANCE(B1173,""changepct""),K1173)"),-4.23)</f>
        <v>-4.2300000000000004</v>
      </c>
      <c r="M1173" s="6">
        <f ca="1">IFERROR(__xludf.DUMMYFUNCTION("IFERROR(GOOGLEFINANCE(B1173,""change""),0)"),-0.35)</f>
        <v>-0.35</v>
      </c>
      <c r="N1173" s="6">
        <v>2</v>
      </c>
      <c r="O1173" s="7">
        <v>45536</v>
      </c>
      <c r="P1173" s="6">
        <v>89.32</v>
      </c>
      <c r="Q1173" s="6">
        <v>243.04</v>
      </c>
      <c r="R1173" s="7">
        <v>45536</v>
      </c>
      <c r="S1173" s="6">
        <v>97.23</v>
      </c>
      <c r="T1173" s="6">
        <v>85.59</v>
      </c>
      <c r="U1173" s="7">
        <v>45536</v>
      </c>
      <c r="V1173" s="6">
        <v>1.82</v>
      </c>
      <c r="W1173" s="6">
        <f ca="1">IFERROR(__xludf.DUMMYFUNCTION("IFERROR(GOOGLEFINANCE(B1173,""pe""),V1173)"),1.82)</f>
        <v>1.82</v>
      </c>
      <c r="X1173" s="9"/>
      <c r="Y1173" s="6">
        <v>1.41</v>
      </c>
      <c r="Z1173" s="6">
        <v>2</v>
      </c>
      <c r="AA1173" s="8">
        <v>45352</v>
      </c>
      <c r="AB1173" s="4">
        <v>4.16</v>
      </c>
      <c r="AC1173" s="6">
        <v>-29.74</v>
      </c>
      <c r="AD1173" s="6">
        <v>16.14</v>
      </c>
      <c r="AE1173" s="1">
        <v>0</v>
      </c>
      <c r="AF1173" s="1">
        <f ca="1">IFERROR(__xludf.DUMMYFUNCTION("IFERROR(GOOGLEFINANCE(TRIM(F1173)&amp;"":"" &amp; TRIM(B1173),""high52""),AE1173)"),22.51)</f>
        <v>22.51</v>
      </c>
      <c r="AG1173" s="1">
        <v>0</v>
      </c>
      <c r="AH1173" s="1">
        <f ca="1">IFERROR(__xludf.DUMMYFUNCTION("IFERROR(GOOGLEFINANCE(TRIM(F1173)&amp;"":"" &amp; TRIM(B1173),""low52""),AE1173)"),7.3)</f>
        <v>7.3</v>
      </c>
      <c r="AI1173" s="1">
        <f ca="1">IFERROR(__xludf.DUMMYFUNCTION("IFERROR(GOOGLEFINANCE(B1173,""eps""),0)"),-3.42)</f>
        <v>-3.42</v>
      </c>
      <c r="AJ1173" s="1"/>
      <c r="AK1173" s="9"/>
      <c r="AL1173" s="1" t="b">
        <f>ISBLANK(AB1173)</f>
        <v>0</v>
      </c>
    </row>
    <row r="1174" spans="1:38" ht="15" x14ac:dyDescent="0.25">
      <c r="A1174" s="1" t="s">
        <v>3554</v>
      </c>
      <c r="B1174" s="1" t="s">
        <v>3555</v>
      </c>
      <c r="C1174" s="1" t="s">
        <v>359</v>
      </c>
      <c r="D1174" s="1" t="s">
        <v>359</v>
      </c>
      <c r="E1174" s="6">
        <v>130.69</v>
      </c>
      <c r="F1174" s="1" t="s">
        <v>40</v>
      </c>
      <c r="G1174" s="6">
        <f ca="1">IFERROR(__xludf.DUMMYFUNCTION("iferror(GOOGLEFINANCE(TRIM(F1174)&amp;"":"" &amp; TRIM(B1174), ""price""),0
)"),0)</f>
        <v>0</v>
      </c>
      <c r="H1174" s="6">
        <v>2.2799999999999998</v>
      </c>
      <c r="I1174" s="6">
        <f t="shared" ca="1" si="0"/>
        <v>2.2799999999999998</v>
      </c>
      <c r="J1174" s="6">
        <f ca="1">IFERROR(__xludf.DUMMYFUNCTION("IFERROR(GOOGLEFINANCE(B1174, ""volume""), 0)"),0)</f>
        <v>0</v>
      </c>
      <c r="K1174" s="9"/>
      <c r="L1174" s="6" t="str">
        <f ca="1">IFERROR(__xludf.DUMMYFUNCTION("IFERROR(GOOGLEFINANCE(B1174,""changepct""),K1174)"),"")</f>
        <v/>
      </c>
      <c r="M1174" s="6">
        <f ca="1">IFERROR(__xludf.DUMMYFUNCTION("IFERROR(GOOGLEFINANCE(B1174,""change""),0)"),0)</f>
        <v>0</v>
      </c>
      <c r="N1174" s="6">
        <v>1</v>
      </c>
      <c r="O1174" s="7">
        <v>44440</v>
      </c>
      <c r="P1174" s="6">
        <v>13346.78</v>
      </c>
      <c r="Q1174" s="6">
        <v>13382.54</v>
      </c>
      <c r="R1174" s="7">
        <v>44531</v>
      </c>
      <c r="S1174" s="6">
        <v>8541.0300000000007</v>
      </c>
      <c r="T1174" s="6">
        <v>-4445.43</v>
      </c>
      <c r="U1174" s="7">
        <v>44531</v>
      </c>
      <c r="V1174" s="6">
        <v>0</v>
      </c>
      <c r="W1174" s="6">
        <f ca="1">IFERROR(__xludf.DUMMYFUNCTION("IFERROR(GOOGLEFINANCE(B1174,""pe""),V1174)"),0)</f>
        <v>0</v>
      </c>
      <c r="X1174" s="9"/>
      <c r="Y1174" s="9"/>
      <c r="Z1174" s="6">
        <v>1</v>
      </c>
      <c r="AA1174" s="8">
        <v>44256</v>
      </c>
      <c r="AB1174" s="4">
        <v>9.58</v>
      </c>
      <c r="AC1174" s="6">
        <v>-136.16</v>
      </c>
      <c r="AD1174" s="6">
        <v>-13.24</v>
      </c>
      <c r="AE1174" s="1">
        <v>0</v>
      </c>
      <c r="AF1174" s="1">
        <f ca="1">IFERROR(__xludf.DUMMYFUNCTION("IFERROR(GOOGLEFINANCE(TRIM(F1174)&amp;"":"" &amp; TRIM(B1174),""high52""),AE1174)"),0)</f>
        <v>0</v>
      </c>
      <c r="AG1174" s="1">
        <v>0</v>
      </c>
      <c r="AH1174" s="1">
        <f ca="1">IFERROR(__xludf.DUMMYFUNCTION("IFERROR(GOOGLEFINANCE(TRIM(F1174)&amp;"":"" &amp; TRIM(B1174),""low52""),AE1174)"),0)</f>
        <v>0</v>
      </c>
      <c r="AI1174" s="1">
        <f ca="1">IFERROR(__xludf.DUMMYFUNCTION("IFERROR(GOOGLEFINANCE(B1174,""eps""),0)"),0)</f>
        <v>0</v>
      </c>
      <c r="AJ1174" s="1"/>
      <c r="AK1174" s="1" t="s">
        <v>3556</v>
      </c>
      <c r="AL1174" s="9">
        <f t="shared" ref="AL1174:AL1177" si="173">IF(AA1174&lt;&gt;AB1174,1,0)</f>
        <v>1</v>
      </c>
    </row>
    <row r="1175" spans="1:38" ht="15" x14ac:dyDescent="0.25">
      <c r="A1175" s="1" t="s">
        <v>3557</v>
      </c>
      <c r="B1175" s="1" t="s">
        <v>3558</v>
      </c>
      <c r="C1175" s="1" t="s">
        <v>259</v>
      </c>
      <c r="D1175" s="1" t="s">
        <v>259</v>
      </c>
      <c r="E1175" s="6">
        <v>8.43</v>
      </c>
      <c r="F1175" s="1" t="s">
        <v>40</v>
      </c>
      <c r="G1175" s="6">
        <f ca="1">IFERROR(__xludf.DUMMYFUNCTION("iferror(GOOGLEFINANCE(TRIM(F1175)&amp;"":"" &amp; TRIM(B1175), ""price""),0
)"),0)</f>
        <v>0</v>
      </c>
      <c r="H1175" s="6">
        <v>2.17</v>
      </c>
      <c r="I1175" s="6">
        <f t="shared" ca="1" si="0"/>
        <v>2.17</v>
      </c>
      <c r="J1175" s="6">
        <f ca="1">IFERROR(__xludf.DUMMYFUNCTION("IFERROR(GOOGLEFINANCE(B1175, ""volume""), 0)"),0)</f>
        <v>0</v>
      </c>
      <c r="K1175" s="6">
        <v>4.83</v>
      </c>
      <c r="L1175" s="6">
        <f ca="1">IFERROR(__xludf.DUMMYFUNCTION("IFERROR(GOOGLEFINANCE(B1175,""changepct""),K1175)"),4.83)</f>
        <v>4.83</v>
      </c>
      <c r="M1175" s="6">
        <f ca="1">IFERROR(__xludf.DUMMYFUNCTION("IFERROR(GOOGLEFINANCE(B1175,""change""),0)"),0)</f>
        <v>0</v>
      </c>
      <c r="N1175" s="6">
        <v>1</v>
      </c>
      <c r="O1175" s="7">
        <v>44621</v>
      </c>
      <c r="P1175" s="6">
        <v>502.3</v>
      </c>
      <c r="Q1175" s="6">
        <v>507.99</v>
      </c>
      <c r="R1175" s="7">
        <v>44713</v>
      </c>
      <c r="S1175" s="6">
        <v>546.79999999999995</v>
      </c>
      <c r="T1175" s="6">
        <v>-685.32</v>
      </c>
      <c r="U1175" s="7">
        <v>44713</v>
      </c>
      <c r="V1175" s="6">
        <v>0</v>
      </c>
      <c r="W1175" s="6">
        <f ca="1">IFERROR(__xludf.DUMMYFUNCTION("IFERROR(GOOGLEFINANCE(B1175,""pe""),V1175)"),0)</f>
        <v>0</v>
      </c>
      <c r="X1175" s="9"/>
      <c r="Y1175" s="9"/>
      <c r="Z1175" s="6">
        <v>1</v>
      </c>
      <c r="AA1175" s="8">
        <v>44256</v>
      </c>
      <c r="AB1175" s="4">
        <v>0.94</v>
      </c>
      <c r="AC1175" s="6">
        <v>-28.57</v>
      </c>
      <c r="AD1175" s="6">
        <v>-7.26</v>
      </c>
      <c r="AE1175" s="1">
        <v>0</v>
      </c>
      <c r="AF1175" s="1">
        <f ca="1">IFERROR(__xludf.DUMMYFUNCTION("IFERROR(GOOGLEFINANCE(TRIM(F1175)&amp;"":"" &amp; TRIM(B1175),""high52""),AE1175)"),0)</f>
        <v>0</v>
      </c>
      <c r="AG1175" s="1">
        <v>0</v>
      </c>
      <c r="AH1175" s="1">
        <f ca="1">IFERROR(__xludf.DUMMYFUNCTION("IFERROR(GOOGLEFINANCE(TRIM(F1175)&amp;"":"" &amp; TRIM(B1175),""low52""),AE1175)"),0)</f>
        <v>0</v>
      </c>
      <c r="AI1175" s="1">
        <f ca="1">IFERROR(__xludf.DUMMYFUNCTION("IFERROR(GOOGLEFINANCE(B1175,""eps""),0)"),0)</f>
        <v>0</v>
      </c>
      <c r="AJ1175" s="1"/>
      <c r="AK1175" s="1" t="s">
        <v>3559</v>
      </c>
      <c r="AL1175" s="9">
        <f t="shared" si="173"/>
        <v>1</v>
      </c>
    </row>
    <row r="1176" spans="1:38" ht="15" x14ac:dyDescent="0.25">
      <c r="A1176" s="1" t="s">
        <v>3560</v>
      </c>
      <c r="B1176" s="1" t="s">
        <v>3561</v>
      </c>
      <c r="C1176" s="1" t="s">
        <v>835</v>
      </c>
      <c r="D1176" s="1" t="s">
        <v>835</v>
      </c>
      <c r="E1176" s="6">
        <v>34.83</v>
      </c>
      <c r="F1176" s="1" t="s">
        <v>40</v>
      </c>
      <c r="G1176" s="6">
        <f ca="1">IFERROR(__xludf.DUMMYFUNCTION("iferror(GOOGLEFINANCE(TRIM(F1176)&amp;"":"" &amp; TRIM(B1176), ""price""),0
)"),18.15)</f>
        <v>18.149999999999999</v>
      </c>
      <c r="H1176" s="6">
        <v>35.700000000000003</v>
      </c>
      <c r="I1176" s="6">
        <f t="shared" ca="1" si="0"/>
        <v>18.149999999999999</v>
      </c>
      <c r="J1176" s="6">
        <f ca="1">IFERROR(__xludf.DUMMYFUNCTION("IFERROR(GOOGLEFINANCE(B1176, ""volume""), 0)"),6882)</f>
        <v>6882</v>
      </c>
      <c r="K1176" s="6">
        <v>4.45</v>
      </c>
      <c r="L1176" s="6">
        <f ca="1">IFERROR(__xludf.DUMMYFUNCTION("IFERROR(GOOGLEFINANCE(B1176,""changepct""),K1176)"),-5.76)</f>
        <v>-5.76</v>
      </c>
      <c r="M1176" s="6">
        <f ca="1">IFERROR(__xludf.DUMMYFUNCTION("IFERROR(GOOGLEFINANCE(B1176,""change""),0)"),-1.11)</f>
        <v>-1.1100000000000001</v>
      </c>
      <c r="N1176" s="6">
        <v>2</v>
      </c>
      <c r="O1176" s="7">
        <v>45536</v>
      </c>
      <c r="P1176" s="6">
        <v>0.84</v>
      </c>
      <c r="Q1176" s="6">
        <v>35.659999999999997</v>
      </c>
      <c r="R1176" s="7">
        <v>45536</v>
      </c>
      <c r="S1176" s="6">
        <v>8.4</v>
      </c>
      <c r="T1176" s="6">
        <v>-0.26</v>
      </c>
      <c r="U1176" s="7">
        <v>45536</v>
      </c>
      <c r="V1176" s="6">
        <v>0</v>
      </c>
      <c r="W1176" s="6">
        <f ca="1">IFERROR(__xludf.DUMMYFUNCTION("IFERROR(GOOGLEFINANCE(B1176,""pe""),V1176)"),0)</f>
        <v>0</v>
      </c>
      <c r="X1176" s="9"/>
      <c r="Y1176" s="6">
        <v>7.07</v>
      </c>
      <c r="Z1176" s="6">
        <v>2</v>
      </c>
      <c r="AA1176" s="8">
        <v>45352</v>
      </c>
      <c r="AB1176" s="4">
        <v>0.11</v>
      </c>
      <c r="AC1176" s="6">
        <v>-2.37</v>
      </c>
      <c r="AD1176" s="6">
        <v>2.69</v>
      </c>
      <c r="AE1176" s="1">
        <v>0</v>
      </c>
      <c r="AF1176" s="1">
        <f ca="1">IFERROR(__xludf.DUMMYFUNCTION("IFERROR(GOOGLEFINANCE(TRIM(F1176)&amp;"":"" &amp; TRIM(B1176),""high52""),AE1176)"),37)</f>
        <v>37</v>
      </c>
      <c r="AG1176" s="1">
        <v>0</v>
      </c>
      <c r="AH1176" s="1">
        <f ca="1">IFERROR(__xludf.DUMMYFUNCTION("IFERROR(GOOGLEFINANCE(TRIM(F1176)&amp;"":"" &amp; TRIM(B1176),""low52""),AE1176)"),18)</f>
        <v>18</v>
      </c>
      <c r="AI1176" s="1">
        <f ca="1">IFERROR(__xludf.DUMMYFUNCTION("IFERROR(GOOGLEFINANCE(B1176,""eps""),0)"),-3.21)</f>
        <v>-3.21</v>
      </c>
      <c r="AJ1176" s="1"/>
      <c r="AK1176" s="9"/>
      <c r="AL1176" s="9">
        <f t="shared" si="173"/>
        <v>1</v>
      </c>
    </row>
    <row r="1177" spans="1:38" ht="15" x14ac:dyDescent="0.25">
      <c r="A1177" s="1" t="s">
        <v>3562</v>
      </c>
      <c r="B1177" s="1" t="s">
        <v>3563</v>
      </c>
      <c r="C1177" s="1" t="s">
        <v>125</v>
      </c>
      <c r="D1177" s="1" t="s">
        <v>125</v>
      </c>
      <c r="E1177" s="6">
        <v>350.59</v>
      </c>
      <c r="F1177" s="1" t="s">
        <v>53</v>
      </c>
      <c r="G1177" s="6">
        <f ca="1">IFERROR(__xludf.DUMMYFUNCTION("iferror(GOOGLEFINANCE(TRIM(F1177)&amp;"":"" &amp; TRIM(B1177), ""price""),0
)"),0)</f>
        <v>0</v>
      </c>
      <c r="H1177" s="6">
        <v>309.75</v>
      </c>
      <c r="I1177" s="6">
        <f t="shared" ca="1" si="0"/>
        <v>309.75</v>
      </c>
      <c r="J1177" s="6">
        <f ca="1">IFERROR(__xludf.DUMMYFUNCTION("IFERROR(GOOGLEFINANCE(B1177, ""volume""), 0)"),0)</f>
        <v>0</v>
      </c>
      <c r="K1177" s="6">
        <v>-1.99</v>
      </c>
      <c r="L1177" s="6">
        <f ca="1">IFERROR(__xludf.DUMMYFUNCTION("IFERROR(GOOGLEFINANCE(B1177,""changepct""),K1177)"),-1.74)</f>
        <v>-1.74</v>
      </c>
      <c r="M1177" s="6">
        <f ca="1">IFERROR(__xludf.DUMMYFUNCTION("IFERROR(GOOGLEFINANCE(B1177,""change""),0)"),-1.6)</f>
        <v>-1.6</v>
      </c>
      <c r="N1177" s="6">
        <v>1</v>
      </c>
      <c r="O1177" s="7">
        <v>45536</v>
      </c>
      <c r="P1177" s="6">
        <v>14.9</v>
      </c>
      <c r="Q1177" s="6">
        <v>365.49</v>
      </c>
      <c r="R1177" s="7">
        <v>45352</v>
      </c>
      <c r="S1177" s="6">
        <v>46.9</v>
      </c>
      <c r="T1177" s="6">
        <v>10.61</v>
      </c>
      <c r="U1177" s="7">
        <v>45352</v>
      </c>
      <c r="V1177" s="6">
        <v>33.049999999999997</v>
      </c>
      <c r="W1177" s="6">
        <f ca="1">IFERROR(__xludf.DUMMYFUNCTION("IFERROR(GOOGLEFINANCE(B1177,""pe""),V1177)"),33.05)</f>
        <v>33.049999999999997</v>
      </c>
      <c r="X1177" s="6">
        <v>0.61</v>
      </c>
      <c r="Y1177" s="6">
        <v>7.1</v>
      </c>
      <c r="Z1177" s="6">
        <v>1</v>
      </c>
      <c r="AA1177" s="8">
        <v>45352</v>
      </c>
      <c r="AB1177" s="4">
        <v>0.14000000000000001</v>
      </c>
      <c r="AC1177" s="6">
        <v>30.51</v>
      </c>
      <c r="AD1177" s="6">
        <v>33.549999999999997</v>
      </c>
      <c r="AE1177" s="1">
        <v>0</v>
      </c>
      <c r="AF1177" s="1">
        <f ca="1">IFERROR(__xludf.DUMMYFUNCTION("IFERROR(GOOGLEFINANCE(TRIM(F1177)&amp;"":"" &amp; TRIM(B1177),""high52""),AE1177)"),0)</f>
        <v>0</v>
      </c>
      <c r="AG1177" s="1">
        <v>0</v>
      </c>
      <c r="AH1177" s="1">
        <f ca="1">IFERROR(__xludf.DUMMYFUNCTION("IFERROR(GOOGLEFINANCE(TRIM(F1177)&amp;"":"" &amp; TRIM(B1177),""low52""),AE1177)"),0)</f>
        <v>0</v>
      </c>
      <c r="AI1177" s="1">
        <f ca="1">IFERROR(__xludf.DUMMYFUNCTION("IFERROR(GOOGLEFINANCE(B1177,""eps""),0)"),0)</f>
        <v>0</v>
      </c>
      <c r="AJ1177" s="1"/>
      <c r="AK1177" s="1" t="s">
        <v>3564</v>
      </c>
      <c r="AL1177" s="9">
        <f t="shared" si="173"/>
        <v>1</v>
      </c>
    </row>
    <row r="1178" spans="1:38" ht="15" x14ac:dyDescent="0.25">
      <c r="A1178" s="1" t="s">
        <v>3565</v>
      </c>
      <c r="B1178" s="1" t="s">
        <v>3566</v>
      </c>
      <c r="C1178" s="1" t="s">
        <v>355</v>
      </c>
      <c r="D1178" s="1" t="s">
        <v>355</v>
      </c>
      <c r="E1178" s="6">
        <v>7068</v>
      </c>
      <c r="F1178" s="1" t="s">
        <v>40</v>
      </c>
      <c r="G1178" s="6">
        <f ca="1">IFERROR(__xludf.DUMMYFUNCTION("iferror(GOOGLEFINANCE(TRIM(F1178)&amp;"":"" &amp; TRIM(B1178), ""price""),0
)"),922)</f>
        <v>922</v>
      </c>
      <c r="H1178" s="6">
        <v>487.6</v>
      </c>
      <c r="I1178" s="6">
        <f t="shared" ca="1" si="0"/>
        <v>922</v>
      </c>
      <c r="J1178" s="6">
        <f ca="1">IFERROR(__xludf.DUMMYFUNCTION("IFERROR(GOOGLEFINANCE(B1178, ""volume""), 0)"),355298)</f>
        <v>355298</v>
      </c>
      <c r="K1178" s="6">
        <v>-0.9</v>
      </c>
      <c r="L1178" s="6">
        <f ca="1">IFERROR(__xludf.DUMMYFUNCTION("IFERROR(GOOGLEFINANCE(B1178,""changepct""),K1178)"),0.24)</f>
        <v>0.24</v>
      </c>
      <c r="M1178" s="6">
        <f ca="1">IFERROR(__xludf.DUMMYFUNCTION("IFERROR(GOOGLEFINANCE(B1178,""change""),0)"),2.25)</f>
        <v>2.25</v>
      </c>
      <c r="N1178" s="6">
        <v>2</v>
      </c>
      <c r="O1178" s="7">
        <v>45536</v>
      </c>
      <c r="P1178" s="6">
        <v>33.93</v>
      </c>
      <c r="Q1178" s="6">
        <v>7054.48</v>
      </c>
      <c r="R1178" s="7">
        <v>45536</v>
      </c>
      <c r="S1178" s="6">
        <v>3706.07</v>
      </c>
      <c r="T1178" s="6">
        <v>210.8</v>
      </c>
      <c r="U1178" s="7">
        <v>45536</v>
      </c>
      <c r="V1178" s="6">
        <v>33.53</v>
      </c>
      <c r="W1178" s="6">
        <f ca="1">IFERROR(__xludf.DUMMYFUNCTION("IFERROR(GOOGLEFINANCE(B1178,""pe""),V1178)"),51.84)</f>
        <v>51.84</v>
      </c>
      <c r="X1178" s="9"/>
      <c r="Y1178" s="6">
        <v>6.51</v>
      </c>
      <c r="Z1178" s="6">
        <v>2</v>
      </c>
      <c r="AA1178" s="8">
        <v>45352</v>
      </c>
      <c r="AB1178" s="4">
        <v>0.03</v>
      </c>
      <c r="AC1178" s="6">
        <v>33.01</v>
      </c>
      <c r="AD1178" s="6">
        <v>40.74</v>
      </c>
      <c r="AE1178" s="1">
        <v>0</v>
      </c>
      <c r="AF1178" s="1">
        <f ca="1">IFERROR(__xludf.DUMMYFUNCTION("IFERROR(GOOGLEFINANCE(TRIM(F1178)&amp;"":"" &amp; TRIM(B1178),""high52""),AE1178)"),1388)</f>
        <v>1388</v>
      </c>
      <c r="AG1178" s="1">
        <v>0</v>
      </c>
      <c r="AH1178" s="1">
        <f ca="1">IFERROR(__xludf.DUMMYFUNCTION("IFERROR(GOOGLEFINANCE(TRIM(F1178)&amp;"":"" &amp; TRIM(B1178),""low52""),AE1178)"),438)</f>
        <v>438</v>
      </c>
      <c r="AI1178" s="1">
        <f ca="1">IFERROR(__xludf.DUMMYFUNCTION("IFERROR(GOOGLEFINANCE(B1178,""eps""),0)"),17.79)</f>
        <v>17.79</v>
      </c>
      <c r="AJ1178" s="1"/>
      <c r="AK1178" s="1" t="s">
        <v>3567</v>
      </c>
      <c r="AL1178" s="1" t="b">
        <f>ISNUMBER(AA1178)</f>
        <v>1</v>
      </c>
    </row>
    <row r="1179" spans="1:38" ht="15" x14ac:dyDescent="0.25">
      <c r="A1179" s="1" t="s">
        <v>3568</v>
      </c>
      <c r="B1179" s="1" t="s">
        <v>3569</v>
      </c>
      <c r="C1179" s="1" t="s">
        <v>125</v>
      </c>
      <c r="D1179" s="1" t="s">
        <v>125</v>
      </c>
      <c r="E1179" s="6">
        <v>1474.31</v>
      </c>
      <c r="F1179" s="1" t="s">
        <v>53</v>
      </c>
      <c r="G1179" s="6">
        <f ca="1">IFERROR(__xludf.DUMMYFUNCTION("iferror(GOOGLEFINANCE(TRIM(F1179)&amp;"":"" &amp; TRIM(B1179), ""price""),0
)"),0)</f>
        <v>0</v>
      </c>
      <c r="H1179" s="6">
        <v>550</v>
      </c>
      <c r="I1179" s="6">
        <f t="shared" ca="1" si="0"/>
        <v>550</v>
      </c>
      <c r="J1179" s="6">
        <f ca="1">IFERROR(__xludf.DUMMYFUNCTION("IFERROR(GOOGLEFINANCE(B1179, ""volume""), 0)"),0)</f>
        <v>0</v>
      </c>
      <c r="K1179" s="6">
        <v>-1.74</v>
      </c>
      <c r="L1179" s="6">
        <f ca="1">IFERROR(__xludf.DUMMYFUNCTION("IFERROR(GOOGLEFINANCE(B1179,""changepct""),K1179)"),-1.74)</f>
        <v>-1.74</v>
      </c>
      <c r="M1179" s="6">
        <f ca="1">IFERROR(__xludf.DUMMYFUNCTION("IFERROR(GOOGLEFINANCE(B1179,""change""),0)"),0)</f>
        <v>0</v>
      </c>
      <c r="N1179" s="6">
        <v>1</v>
      </c>
      <c r="O1179" s="7">
        <v>45536</v>
      </c>
      <c r="P1179" s="6">
        <v>123.89</v>
      </c>
      <c r="Q1179" s="6">
        <v>1598.2</v>
      </c>
      <c r="R1179" s="7">
        <v>45352</v>
      </c>
      <c r="S1179" s="6">
        <v>531.08000000000004</v>
      </c>
      <c r="T1179" s="6">
        <v>10.130000000000001</v>
      </c>
      <c r="U1179" s="7">
        <v>45352</v>
      </c>
      <c r="V1179" s="6">
        <v>145.57</v>
      </c>
      <c r="W1179" s="6">
        <f ca="1">IFERROR(__xludf.DUMMYFUNCTION("IFERROR(GOOGLEFINANCE(B1179,""pe""),V1179)"),145.57)</f>
        <v>145.57</v>
      </c>
      <c r="X1179" s="9"/>
      <c r="Y1179" s="6">
        <v>7.78</v>
      </c>
      <c r="Z1179" s="6">
        <v>2</v>
      </c>
      <c r="AA1179" s="8">
        <v>45352</v>
      </c>
      <c r="AB1179" s="4">
        <v>0.71</v>
      </c>
      <c r="AC1179" s="6">
        <v>5.37</v>
      </c>
      <c r="AD1179" s="6">
        <v>9.99</v>
      </c>
      <c r="AE1179" s="1">
        <v>0</v>
      </c>
      <c r="AF1179" s="1">
        <f ca="1">IFERROR(__xludf.DUMMYFUNCTION("IFERROR(GOOGLEFINANCE(TRIM(F1179)&amp;"":"" &amp; TRIM(B1179),""high52""),AE1179)"),0)</f>
        <v>0</v>
      </c>
      <c r="AG1179" s="1">
        <v>0</v>
      </c>
      <c r="AH1179" s="1">
        <f ca="1">IFERROR(__xludf.DUMMYFUNCTION("IFERROR(GOOGLEFINANCE(TRIM(F1179)&amp;"":"" &amp; TRIM(B1179),""low52""),AE1179)"),0)</f>
        <v>0</v>
      </c>
      <c r="AI1179" s="1">
        <f ca="1">IFERROR(__xludf.DUMMYFUNCTION("IFERROR(GOOGLEFINANCE(B1179,""eps""),0)"),0)</f>
        <v>0</v>
      </c>
      <c r="AJ1179" s="1"/>
      <c r="AK1179" s="1" t="s">
        <v>3570</v>
      </c>
      <c r="AL1179" s="9">
        <f t="shared" ref="AL1179:AL1185" si="174">IF(AA1179&lt;&gt;AB1179,1,0)</f>
        <v>1</v>
      </c>
    </row>
    <row r="1180" spans="1:38" ht="15" x14ac:dyDescent="0.25">
      <c r="A1180" s="1" t="s">
        <v>3571</v>
      </c>
      <c r="B1180" s="1" t="s">
        <v>3572</v>
      </c>
      <c r="C1180" s="1" t="s">
        <v>75</v>
      </c>
      <c r="D1180" s="1" t="s">
        <v>75</v>
      </c>
      <c r="E1180" s="6">
        <v>53.77</v>
      </c>
      <c r="F1180" s="1" t="s">
        <v>40</v>
      </c>
      <c r="G1180" s="6">
        <f ca="1">IFERROR(__xludf.DUMMYFUNCTION("iferror(GOOGLEFINANCE(TRIM(F1180)&amp;"":"" &amp; TRIM(B1180), ""price""),0
)"),0.5)</f>
        <v>0.5</v>
      </c>
      <c r="H1180" s="6">
        <v>0.8</v>
      </c>
      <c r="I1180" s="6">
        <f t="shared" ca="1" si="0"/>
        <v>0.5</v>
      </c>
      <c r="J1180" s="6">
        <f ca="1">IFERROR(__xludf.DUMMYFUNCTION("IFERROR(GOOGLEFINANCE(B1180, ""volume""), 0)"),6821359)</f>
        <v>6821359</v>
      </c>
      <c r="K1180" s="6">
        <v>2.56</v>
      </c>
      <c r="L1180" s="6">
        <f ca="1">IFERROR(__xludf.DUMMYFUNCTION("IFERROR(GOOGLEFINANCE(B1180,""changepct""),K1180)"),-3.85)</f>
        <v>-3.85</v>
      </c>
      <c r="M1180" s="6">
        <f ca="1">IFERROR(__xludf.DUMMYFUNCTION("IFERROR(GOOGLEFINANCE(B1180,""change""),0)"),-0.02)</f>
        <v>-0.02</v>
      </c>
      <c r="N1180" s="6">
        <v>2</v>
      </c>
      <c r="O1180" s="7">
        <v>45536</v>
      </c>
      <c r="P1180" s="6">
        <v>1.39</v>
      </c>
      <c r="Q1180" s="7">
        <v>45536</v>
      </c>
      <c r="R1180" s="6">
        <v>38.619999999999997</v>
      </c>
      <c r="S1180" s="6">
        <v>2.54</v>
      </c>
      <c r="T1180" s="6">
        <v>1.49</v>
      </c>
      <c r="U1180" s="6">
        <v>2</v>
      </c>
      <c r="V1180" s="7">
        <v>45352</v>
      </c>
      <c r="W1180" s="6">
        <f ca="1">IFERROR(__xludf.DUMMYFUNCTION("IFERROR(GOOGLEFINANCE(B1180,""pe""),V1180)"),4.57)</f>
        <v>4.57</v>
      </c>
      <c r="X1180" s="6">
        <v>1.24</v>
      </c>
      <c r="Y1180" s="6">
        <v>437.72</v>
      </c>
      <c r="Z1180" s="6">
        <v>13.37</v>
      </c>
      <c r="AA1180" s="3" t="s">
        <v>3573</v>
      </c>
      <c r="AB1180" s="11"/>
      <c r="AC1180" s="9"/>
      <c r="AD1180" s="9"/>
      <c r="AE1180" s="1">
        <v>0</v>
      </c>
      <c r="AF1180" s="1">
        <f ca="1">IFERROR(__xludf.DUMMYFUNCTION("IFERROR(GOOGLEFINANCE(TRIM(F1180)&amp;"":"" &amp; TRIM(B1180),""high52""),AE1180)"),1.21)</f>
        <v>1.21</v>
      </c>
      <c r="AG1180" s="1">
        <v>0</v>
      </c>
      <c r="AH1180" s="1">
        <f ca="1">IFERROR(__xludf.DUMMYFUNCTION("IFERROR(GOOGLEFINANCE(TRIM(F1180)&amp;"":"" &amp; TRIM(B1180),""low52""),AE1180)"),0.44)</f>
        <v>0.44</v>
      </c>
      <c r="AI1180" s="1">
        <f ca="1">IFERROR(__xludf.DUMMYFUNCTION("IFERROR(GOOGLEFINANCE(B1180,""eps""),0)"),0.11)</f>
        <v>0.11</v>
      </c>
      <c r="AJ1180" s="1"/>
      <c r="AK1180" s="1" t="s">
        <v>3574</v>
      </c>
      <c r="AL1180" s="9">
        <f t="shared" si="174"/>
        <v>1</v>
      </c>
    </row>
    <row r="1181" spans="1:38" ht="15" x14ac:dyDescent="0.25">
      <c r="A1181" s="1" t="s">
        <v>3575</v>
      </c>
      <c r="B1181" s="1" t="s">
        <v>3576</v>
      </c>
      <c r="C1181" s="1" t="s">
        <v>75</v>
      </c>
      <c r="D1181" s="1" t="s">
        <v>75</v>
      </c>
      <c r="E1181" s="6">
        <v>10.99</v>
      </c>
      <c r="F1181" s="1" t="s">
        <v>40</v>
      </c>
      <c r="G1181" s="6">
        <f ca="1">IFERROR(__xludf.DUMMYFUNCTION("iferror(GOOGLEFINANCE(TRIM(F1181)&amp;"":"" &amp; TRIM(B1181), ""price""),0
)"),0.45)</f>
        <v>0.45</v>
      </c>
      <c r="H1181" s="6">
        <v>0.92</v>
      </c>
      <c r="I1181" s="6">
        <f t="shared" ca="1" si="0"/>
        <v>0.45</v>
      </c>
      <c r="J1181" s="6">
        <f ca="1">IFERROR(__xludf.DUMMYFUNCTION("IFERROR(GOOGLEFINANCE(B1181, ""volume""), 0)"),391966)</f>
        <v>391966</v>
      </c>
      <c r="K1181" s="6">
        <v>-1.08</v>
      </c>
      <c r="L1181" s="6">
        <f ca="1">IFERROR(__xludf.DUMMYFUNCTION("IFERROR(GOOGLEFINANCE(B1181,""changepct""),K1181)"),0)</f>
        <v>0</v>
      </c>
      <c r="M1181" s="6">
        <f ca="1">IFERROR(__xludf.DUMMYFUNCTION("IFERROR(GOOGLEFINANCE(B1181,""change""),0)"),0)</f>
        <v>0</v>
      </c>
      <c r="N1181" s="6">
        <v>1</v>
      </c>
      <c r="O1181" s="7">
        <v>43160</v>
      </c>
      <c r="P1181" s="6">
        <v>-4.49</v>
      </c>
      <c r="Q1181" s="7">
        <v>43160</v>
      </c>
      <c r="R1181" s="6">
        <v>0</v>
      </c>
      <c r="S1181" s="9"/>
      <c r="T1181" s="9"/>
      <c r="U1181" s="6">
        <v>1</v>
      </c>
      <c r="V1181" s="6">
        <v>0</v>
      </c>
      <c r="W1181" s="6">
        <f ca="1">IFERROR(__xludf.DUMMYFUNCTION("IFERROR(GOOGLEFINANCE(B1181,""pe""),V1181)"),0)</f>
        <v>0</v>
      </c>
      <c r="X1181" s="12"/>
      <c r="Y1181" s="9"/>
      <c r="Z1181" s="9"/>
      <c r="AA1181" s="3" t="s">
        <v>3577</v>
      </c>
      <c r="AB1181" s="3"/>
      <c r="AC1181" s="9"/>
      <c r="AD1181" s="9"/>
      <c r="AE1181" s="1">
        <v>0</v>
      </c>
      <c r="AF1181" s="1">
        <f ca="1">IFERROR(__xludf.DUMMYFUNCTION("IFERROR(GOOGLEFINANCE(TRIM(F1181)&amp;"":"" &amp; TRIM(B1181),""high52""),AE1181)"),1.16)</f>
        <v>1.1599999999999999</v>
      </c>
      <c r="AG1181" s="1">
        <v>0</v>
      </c>
      <c r="AH1181" s="1">
        <f ca="1">IFERROR(__xludf.DUMMYFUNCTION("IFERROR(GOOGLEFINANCE(TRIM(F1181)&amp;"":"" &amp; TRIM(B1181),""low52""),AE1181)"),0.42)</f>
        <v>0.42</v>
      </c>
      <c r="AI1181" s="1">
        <f ca="1">IFERROR(__xludf.DUMMYFUNCTION("IFERROR(GOOGLEFINANCE(B1181,""eps""),0)"),0)</f>
        <v>0</v>
      </c>
      <c r="AJ1181" s="1"/>
      <c r="AK1181" s="1" t="s">
        <v>3578</v>
      </c>
      <c r="AL1181" s="9">
        <f t="shared" si="174"/>
        <v>1</v>
      </c>
    </row>
    <row r="1182" spans="1:38" ht="15" x14ac:dyDescent="0.25">
      <c r="A1182" s="1" t="s">
        <v>3579</v>
      </c>
      <c r="B1182" s="1" t="s">
        <v>3580</v>
      </c>
      <c r="C1182" s="1" t="s">
        <v>125</v>
      </c>
      <c r="D1182" s="1" t="s">
        <v>125</v>
      </c>
      <c r="E1182" s="6">
        <v>113.51</v>
      </c>
      <c r="F1182" s="1" t="s">
        <v>53</v>
      </c>
      <c r="G1182" s="6">
        <f ca="1">IFERROR(__xludf.DUMMYFUNCTION("iferror(GOOGLEFINANCE(TRIM(F1182)&amp;"":"" &amp; TRIM(B1182), ""price""),0
)"),0)</f>
        <v>0</v>
      </c>
      <c r="H1182" s="6">
        <v>124.25</v>
      </c>
      <c r="I1182" s="6">
        <f t="shared" ca="1" si="0"/>
        <v>124.25</v>
      </c>
      <c r="J1182" s="6">
        <f ca="1">IFERROR(__xludf.DUMMYFUNCTION("IFERROR(GOOGLEFINANCE(B1182, ""volume""), 0)"),0)</f>
        <v>0</v>
      </c>
      <c r="K1182" s="6">
        <v>0.16</v>
      </c>
      <c r="L1182" s="6">
        <f ca="1">IFERROR(__xludf.DUMMYFUNCTION("IFERROR(GOOGLEFINANCE(B1182,""changepct""),K1182)"),0.16)</f>
        <v>0.16</v>
      </c>
      <c r="M1182" s="6">
        <f ca="1">IFERROR(__xludf.DUMMYFUNCTION("IFERROR(GOOGLEFINANCE(B1182,""change""),0)"),0)</f>
        <v>0</v>
      </c>
      <c r="N1182" s="6">
        <v>1</v>
      </c>
      <c r="O1182" s="7">
        <v>45536</v>
      </c>
      <c r="P1182" s="6">
        <v>12.47</v>
      </c>
      <c r="Q1182" s="6">
        <v>123.32</v>
      </c>
      <c r="R1182" s="7">
        <v>45536</v>
      </c>
      <c r="S1182" s="6">
        <v>49.95</v>
      </c>
      <c r="T1182" s="6">
        <v>1.07</v>
      </c>
      <c r="U1182" s="7">
        <v>45536</v>
      </c>
      <c r="V1182" s="6">
        <v>105.79</v>
      </c>
      <c r="W1182" s="6">
        <f ca="1">IFERROR(__xludf.DUMMYFUNCTION("IFERROR(GOOGLEFINANCE(B1182,""pe""),V1182)"),105.79)</f>
        <v>105.79</v>
      </c>
      <c r="X1182" s="6">
        <v>2.15</v>
      </c>
      <c r="Y1182" s="6">
        <v>11.09</v>
      </c>
      <c r="Z1182" s="6">
        <v>1</v>
      </c>
      <c r="AA1182" s="8">
        <v>45352</v>
      </c>
      <c r="AB1182" s="4">
        <v>0.98</v>
      </c>
      <c r="AC1182" s="6">
        <v>141.1</v>
      </c>
      <c r="AD1182" s="6">
        <v>22.1</v>
      </c>
      <c r="AE1182" s="1">
        <v>0</v>
      </c>
      <c r="AF1182" s="1">
        <f ca="1">IFERROR(__xludf.DUMMYFUNCTION("IFERROR(GOOGLEFINANCE(TRIM(F1182)&amp;"":"" &amp; TRIM(B1182),""high52""),AE1182)"),0)</f>
        <v>0</v>
      </c>
      <c r="AG1182" s="1">
        <v>0</v>
      </c>
      <c r="AH1182" s="1">
        <f ca="1">IFERROR(__xludf.DUMMYFUNCTION("IFERROR(GOOGLEFINANCE(TRIM(F1182)&amp;"":"" &amp; TRIM(B1182),""low52""),AE1182)"),0)</f>
        <v>0</v>
      </c>
      <c r="AI1182" s="1">
        <f ca="1">IFERROR(__xludf.DUMMYFUNCTION("IFERROR(GOOGLEFINANCE(B1182,""eps""),0)"),0)</f>
        <v>0</v>
      </c>
      <c r="AJ1182" s="1"/>
      <c r="AK1182" s="1" t="s">
        <v>3581</v>
      </c>
      <c r="AL1182" s="9">
        <f t="shared" si="174"/>
        <v>1</v>
      </c>
    </row>
    <row r="1183" spans="1:38" ht="15" x14ac:dyDescent="0.25">
      <c r="A1183" s="1" t="s">
        <v>3582</v>
      </c>
      <c r="B1183" s="1" t="s">
        <v>3583</v>
      </c>
      <c r="C1183" s="1" t="s">
        <v>2222</v>
      </c>
      <c r="D1183" s="1" t="s">
        <v>2222</v>
      </c>
      <c r="E1183" s="6">
        <v>125650.2</v>
      </c>
      <c r="F1183" s="1" t="s">
        <v>40</v>
      </c>
      <c r="G1183" s="6">
        <f ca="1">IFERROR(__xludf.DUMMYFUNCTION("iferror(GOOGLEFINANCE(TRIM(F1183)&amp;"":"" &amp; TRIM(B1183), ""price""),0
)"),160.55)</f>
        <v>160.55000000000001</v>
      </c>
      <c r="H1183" s="6">
        <v>190.17</v>
      </c>
      <c r="I1183" s="6">
        <f t="shared" ca="1" si="0"/>
        <v>160.55000000000001</v>
      </c>
      <c r="J1183" s="6">
        <f ca="1">IFERROR(__xludf.DUMMYFUNCTION("IFERROR(GOOGLEFINANCE(B1183, ""volume""), 0)"),17376481)</f>
        <v>17376481</v>
      </c>
      <c r="K1183" s="6">
        <v>-0.49</v>
      </c>
      <c r="L1183" s="6">
        <f ca="1">IFERROR(__xludf.DUMMYFUNCTION("IFERROR(GOOGLEFINANCE(B1183,""changepct""),K1183)"),-1.15)</f>
        <v>-1.1499999999999999</v>
      </c>
      <c r="M1183" s="6">
        <f ca="1">IFERROR(__xludf.DUMMYFUNCTION("IFERROR(GOOGLEFINANCE(B1183,""change""),0)"),-1.87)</f>
        <v>-1.87</v>
      </c>
      <c r="N1183" s="6">
        <v>2</v>
      </c>
      <c r="O1183" s="7">
        <v>45536</v>
      </c>
      <c r="P1183" s="6">
        <v>16862.330000000002</v>
      </c>
      <c r="Q1183" s="6">
        <v>139931.29999999999</v>
      </c>
      <c r="R1183" s="7">
        <v>45536</v>
      </c>
      <c r="S1183" s="6">
        <v>136404.29999999999</v>
      </c>
      <c r="T1183" s="6">
        <v>9795.23</v>
      </c>
      <c r="U1183" s="7">
        <v>45536</v>
      </c>
      <c r="V1183" s="6">
        <v>10.89</v>
      </c>
      <c r="W1183" s="6">
        <f ca="1">IFERROR(__xludf.DUMMYFUNCTION("IFERROR(GOOGLEFINANCE(B1183,""pe""),V1183)"),9.67)</f>
        <v>9.67</v>
      </c>
      <c r="X1183" s="6">
        <v>1.26</v>
      </c>
      <c r="Y1183" s="6">
        <v>1.5</v>
      </c>
      <c r="Z1183" s="6">
        <v>2</v>
      </c>
      <c r="AA1183" s="8">
        <v>45352</v>
      </c>
      <c r="AB1183" s="4">
        <v>0.24</v>
      </c>
      <c r="AC1183" s="6">
        <v>13.96</v>
      </c>
      <c r="AD1183" s="6">
        <v>15.06</v>
      </c>
      <c r="AE1183" s="1">
        <v>0</v>
      </c>
      <c r="AF1183" s="1">
        <f ca="1">IFERROR(__xludf.DUMMYFUNCTION("IFERROR(GOOGLEFINANCE(TRIM(F1183)&amp;"":"" &amp; TRIM(B1183),""high52""),AE1183)"),202.79)</f>
        <v>202.79</v>
      </c>
      <c r="AG1183" s="1">
        <v>0</v>
      </c>
      <c r="AH1183" s="1">
        <f ca="1">IFERROR(__xludf.DUMMYFUNCTION("IFERROR(GOOGLEFINANCE(TRIM(F1183)&amp;"":"" &amp; TRIM(B1183),""low52""),AE1183)"),150.52)</f>
        <v>150.52000000000001</v>
      </c>
      <c r="AI1183" s="1">
        <f ca="1">IFERROR(__xludf.DUMMYFUNCTION("IFERROR(GOOGLEFINANCE(B1183,""eps""),0)"),16.6)</f>
        <v>16.600000000000001</v>
      </c>
      <c r="AJ1183" s="1"/>
      <c r="AK1183" s="1" t="s">
        <v>3584</v>
      </c>
      <c r="AL1183" s="9">
        <f t="shared" si="174"/>
        <v>1</v>
      </c>
    </row>
    <row r="1184" spans="1:38" ht="15" x14ac:dyDescent="0.25">
      <c r="A1184" s="1" t="s">
        <v>3585</v>
      </c>
      <c r="B1184" s="1" t="s">
        <v>3586</v>
      </c>
      <c r="C1184" s="1" t="s">
        <v>125</v>
      </c>
      <c r="D1184" s="1" t="s">
        <v>125</v>
      </c>
      <c r="E1184" s="6">
        <v>104.59</v>
      </c>
      <c r="F1184" s="1" t="s">
        <v>53</v>
      </c>
      <c r="G1184" s="6">
        <f ca="1">IFERROR(__xludf.DUMMYFUNCTION("iferror(GOOGLEFINANCE(TRIM(F1184)&amp;"":"" &amp; TRIM(B1184), ""price""),0
)"),0)</f>
        <v>0</v>
      </c>
      <c r="H1184" s="6">
        <v>82.11</v>
      </c>
      <c r="I1184" s="6">
        <f t="shared" ca="1" si="0"/>
        <v>82.11</v>
      </c>
      <c r="J1184" s="6">
        <f ca="1">IFERROR(__xludf.DUMMYFUNCTION("IFERROR(GOOGLEFINANCE(B1184, ""volume""), 0)"),0)</f>
        <v>0</v>
      </c>
      <c r="K1184" s="6">
        <v>-1.32</v>
      </c>
      <c r="L1184" s="6">
        <f ca="1">IFERROR(__xludf.DUMMYFUNCTION("IFERROR(GOOGLEFINANCE(B1184,""changepct""),K1184)"),-1.32)</f>
        <v>-1.32</v>
      </c>
      <c r="M1184" s="6">
        <f ca="1">IFERROR(__xludf.DUMMYFUNCTION("IFERROR(GOOGLEFINANCE(B1184,""change""),0)"),0)</f>
        <v>0</v>
      </c>
      <c r="N1184" s="6">
        <v>1</v>
      </c>
      <c r="O1184" s="7">
        <v>45536</v>
      </c>
      <c r="P1184" s="6">
        <v>26.6</v>
      </c>
      <c r="Q1184" s="6">
        <v>128.85</v>
      </c>
      <c r="R1184" s="7">
        <v>45536</v>
      </c>
      <c r="S1184" s="6">
        <v>53.34</v>
      </c>
      <c r="T1184" s="6">
        <v>2.2599999999999998</v>
      </c>
      <c r="U1184" s="7">
        <v>45536</v>
      </c>
      <c r="V1184" s="6">
        <v>46.18</v>
      </c>
      <c r="W1184" s="6">
        <f ca="1">IFERROR(__xludf.DUMMYFUNCTION("IFERROR(GOOGLEFINANCE(B1184,""pe""),V1184)"),46.18)</f>
        <v>46.18</v>
      </c>
      <c r="X1184" s="6">
        <v>2.79</v>
      </c>
      <c r="Y1184" s="6">
        <v>10.09</v>
      </c>
      <c r="Z1184" s="6">
        <v>1</v>
      </c>
      <c r="AA1184" s="8">
        <v>45352</v>
      </c>
      <c r="AB1184" s="4">
        <v>2.56</v>
      </c>
      <c r="AC1184" s="6">
        <v>0</v>
      </c>
      <c r="AD1184" s="6">
        <v>13.03</v>
      </c>
      <c r="AE1184" s="1">
        <v>0</v>
      </c>
      <c r="AF1184" s="1">
        <f ca="1">IFERROR(__xludf.DUMMYFUNCTION("IFERROR(GOOGLEFINANCE(TRIM(F1184)&amp;"":"" &amp; TRIM(B1184),""high52""),AE1184)"),0)</f>
        <v>0</v>
      </c>
      <c r="AG1184" s="1">
        <v>0</v>
      </c>
      <c r="AH1184" s="1">
        <f ca="1">IFERROR(__xludf.DUMMYFUNCTION("IFERROR(GOOGLEFINANCE(TRIM(F1184)&amp;"":"" &amp; TRIM(B1184),""low52""),AE1184)"),0)</f>
        <v>0</v>
      </c>
      <c r="AI1184" s="1">
        <f ca="1">IFERROR(__xludf.DUMMYFUNCTION("IFERROR(GOOGLEFINANCE(B1184,""eps""),0)"),0)</f>
        <v>0</v>
      </c>
      <c r="AJ1184" s="1"/>
      <c r="AK1184" s="1" t="s">
        <v>3587</v>
      </c>
      <c r="AL1184" s="9">
        <f t="shared" si="174"/>
        <v>1</v>
      </c>
    </row>
    <row r="1185" spans="1:38" ht="15" x14ac:dyDescent="0.25">
      <c r="A1185" s="1" t="s">
        <v>3588</v>
      </c>
      <c r="B1185" s="1" t="s">
        <v>3589</v>
      </c>
      <c r="C1185" s="1" t="s">
        <v>125</v>
      </c>
      <c r="D1185" s="1" t="s">
        <v>125</v>
      </c>
      <c r="E1185" s="6">
        <v>737.3</v>
      </c>
      <c r="F1185" s="1" t="s">
        <v>53</v>
      </c>
      <c r="G1185" s="6">
        <f ca="1">IFERROR(__xludf.DUMMYFUNCTION("iferror(GOOGLEFINANCE(TRIM(F1185)&amp;"":"" &amp; TRIM(B1185), ""price""),0
)"),0)</f>
        <v>0</v>
      </c>
      <c r="H1185" s="6">
        <v>28.98</v>
      </c>
      <c r="I1185" s="6">
        <f t="shared" ca="1" si="0"/>
        <v>28.98</v>
      </c>
      <c r="J1185" s="6">
        <f ca="1">IFERROR(__xludf.DUMMYFUNCTION("IFERROR(GOOGLEFINANCE(B1185, ""volume""), 0)"),0)</f>
        <v>0</v>
      </c>
      <c r="K1185" s="6">
        <v>-1.33</v>
      </c>
      <c r="L1185" s="6">
        <f ca="1">IFERROR(__xludf.DUMMYFUNCTION("IFERROR(GOOGLEFINANCE(B1185,""changepct""),K1185)"),-1.33)</f>
        <v>-1.33</v>
      </c>
      <c r="M1185" s="6">
        <f ca="1">IFERROR(__xludf.DUMMYFUNCTION("IFERROR(GOOGLEFINANCE(B1185,""change""),0)"),0)</f>
        <v>0</v>
      </c>
      <c r="N1185" s="6">
        <v>2</v>
      </c>
      <c r="O1185" s="7">
        <v>45536</v>
      </c>
      <c r="P1185" s="6">
        <v>11.93</v>
      </c>
      <c r="Q1185" s="6">
        <v>749.17</v>
      </c>
      <c r="R1185" s="7">
        <v>45536</v>
      </c>
      <c r="S1185" s="6">
        <v>32.840000000000003</v>
      </c>
      <c r="T1185" s="6">
        <v>3.04</v>
      </c>
      <c r="U1185" s="7">
        <v>45536</v>
      </c>
      <c r="V1185" s="6">
        <v>242.29</v>
      </c>
      <c r="W1185" s="6">
        <f ca="1">IFERROR(__xludf.DUMMYFUNCTION("IFERROR(GOOGLEFINANCE(B1185,""pe""),V1185)"),242.29)</f>
        <v>242.29</v>
      </c>
      <c r="X1185" s="9"/>
      <c r="Y1185" s="6">
        <v>9.26</v>
      </c>
      <c r="Z1185" s="6">
        <v>2</v>
      </c>
      <c r="AA1185" s="8">
        <v>45352</v>
      </c>
      <c r="AB1185" s="4">
        <v>0.16</v>
      </c>
      <c r="AC1185" s="6">
        <v>5.0599999999999996</v>
      </c>
      <c r="AD1185" s="6">
        <v>6.39</v>
      </c>
      <c r="AE1185" s="1">
        <v>0</v>
      </c>
      <c r="AF1185" s="1">
        <f ca="1">IFERROR(__xludf.DUMMYFUNCTION("IFERROR(GOOGLEFINANCE(TRIM(F1185)&amp;"":"" &amp; TRIM(B1185),""high52""),AE1185)"),0)</f>
        <v>0</v>
      </c>
      <c r="AG1185" s="1">
        <v>0</v>
      </c>
      <c r="AH1185" s="1">
        <f ca="1">IFERROR(__xludf.DUMMYFUNCTION("IFERROR(GOOGLEFINANCE(TRIM(F1185)&amp;"":"" &amp; TRIM(B1185),""low52""),AE1185)"),0)</f>
        <v>0</v>
      </c>
      <c r="AI1185" s="1">
        <f ca="1">IFERROR(__xludf.DUMMYFUNCTION("IFERROR(GOOGLEFINANCE(B1185,""eps""),0)"),0)</f>
        <v>0</v>
      </c>
      <c r="AJ1185" s="1"/>
      <c r="AK1185" s="9"/>
      <c r="AL1185" s="9">
        <f t="shared" si="174"/>
        <v>1</v>
      </c>
    </row>
    <row r="1186" spans="1:38" ht="15" x14ac:dyDescent="0.25">
      <c r="A1186" s="1" t="s">
        <v>3590</v>
      </c>
      <c r="B1186" s="1" t="s">
        <v>3591</v>
      </c>
      <c r="C1186" s="1" t="s">
        <v>99</v>
      </c>
      <c r="D1186" s="1" t="s">
        <v>99</v>
      </c>
      <c r="E1186" s="6">
        <v>35.409999999999997</v>
      </c>
      <c r="F1186" s="1" t="s">
        <v>40</v>
      </c>
      <c r="G1186" s="6">
        <f ca="1">IFERROR(__xludf.DUMMYFUNCTION("iferror(GOOGLEFINANCE(TRIM(F1186)&amp;"":"" &amp; TRIM(B1186), ""price""),0
)"),0)</f>
        <v>0</v>
      </c>
      <c r="H1186" s="6">
        <v>18.8</v>
      </c>
      <c r="I1186" s="6">
        <f t="shared" ca="1" si="0"/>
        <v>18.8</v>
      </c>
      <c r="J1186" s="6">
        <f ca="1">IFERROR(__xludf.DUMMYFUNCTION("IFERROR(GOOGLEFINANCE(B1186, ""volume""), 0)"),0)</f>
        <v>0</v>
      </c>
      <c r="K1186" s="9"/>
      <c r="L1186" s="6" t="str">
        <f ca="1">IFERROR(__xludf.DUMMYFUNCTION("IFERROR(GOOGLEFINANCE(B1186,""changepct""),K1186)"),"")</f>
        <v/>
      </c>
      <c r="M1186" s="6">
        <f ca="1">IFERROR(__xludf.DUMMYFUNCTION("IFERROR(GOOGLEFINANCE(B1186,""change""),0)"),0)</f>
        <v>0</v>
      </c>
      <c r="N1186" s="6">
        <v>1</v>
      </c>
      <c r="O1186" s="7">
        <v>45536</v>
      </c>
      <c r="P1186" s="6">
        <v>2.79</v>
      </c>
      <c r="Q1186" s="6">
        <v>38.200000000000003</v>
      </c>
      <c r="R1186" s="14"/>
      <c r="S1186" s="9"/>
      <c r="T1186" s="9"/>
      <c r="U1186" s="7">
        <v>45352</v>
      </c>
      <c r="V1186" s="6">
        <v>15.83</v>
      </c>
      <c r="W1186" s="6">
        <f ca="1">IFERROR(__xludf.DUMMYFUNCTION("IFERROR(GOOGLEFINANCE(B1186,""pe""),V1186)"),15.83)</f>
        <v>15.83</v>
      </c>
      <c r="X1186" s="9"/>
      <c r="Y1186" s="6">
        <v>0.92</v>
      </c>
      <c r="Z1186" s="6">
        <v>1</v>
      </c>
      <c r="AA1186" s="8">
        <v>45352</v>
      </c>
      <c r="AB1186" s="4">
        <v>0.68</v>
      </c>
      <c r="AC1186" s="6">
        <v>19.3</v>
      </c>
      <c r="AD1186" s="6">
        <v>17.16</v>
      </c>
      <c r="AE1186" s="1">
        <v>0</v>
      </c>
      <c r="AF1186" s="1">
        <f ca="1">IFERROR(__xludf.DUMMYFUNCTION("IFERROR(GOOGLEFINANCE(TRIM(F1186)&amp;"":"" &amp; TRIM(B1186),""high52""),AE1186)"),0)</f>
        <v>0</v>
      </c>
      <c r="AG1186" s="1">
        <v>0</v>
      </c>
      <c r="AH1186" s="1">
        <f ca="1">IFERROR(__xludf.DUMMYFUNCTION("IFERROR(GOOGLEFINANCE(TRIM(F1186)&amp;"":"" &amp; TRIM(B1186),""low52""),AE1186)"),0)</f>
        <v>0</v>
      </c>
      <c r="AI1186" s="1">
        <f ca="1">IFERROR(__xludf.DUMMYFUNCTION("IFERROR(GOOGLEFINANCE(B1186,""eps""),0)"),0)</f>
        <v>0</v>
      </c>
      <c r="AJ1186" s="1"/>
      <c r="AK1186" s="1" t="s">
        <v>3592</v>
      </c>
      <c r="AL1186" s="1" t="b">
        <f>ISNUMBER(AA1186)</f>
        <v>1</v>
      </c>
    </row>
    <row r="1187" spans="1:38" ht="15" x14ac:dyDescent="0.25">
      <c r="A1187" s="1" t="s">
        <v>3593</v>
      </c>
      <c r="B1187" s="1" t="s">
        <v>3594</v>
      </c>
      <c r="C1187" s="1" t="s">
        <v>416</v>
      </c>
      <c r="D1187" s="1" t="s">
        <v>416</v>
      </c>
      <c r="E1187" s="6">
        <v>1752.2</v>
      </c>
      <c r="F1187" s="1" t="s">
        <v>40</v>
      </c>
      <c r="G1187" s="6">
        <f ca="1">IFERROR(__xludf.DUMMYFUNCTION("iferror(GOOGLEFINANCE(TRIM(F1187)&amp;"":"" &amp; TRIM(B1187), ""price""),0
)"),825.7)</f>
        <v>825.7</v>
      </c>
      <c r="H1187" s="6">
        <v>1377.1</v>
      </c>
      <c r="I1187" s="6">
        <f t="shared" ca="1" si="0"/>
        <v>825.7</v>
      </c>
      <c r="J1187" s="6">
        <f ca="1">IFERROR(__xludf.DUMMYFUNCTION("IFERROR(GOOGLEFINANCE(B1187, ""volume""), 0)"),84927)</f>
        <v>84927</v>
      </c>
      <c r="K1187" s="6">
        <v>-0.18</v>
      </c>
      <c r="L1187" s="6">
        <f ca="1">IFERROR(__xludf.DUMMYFUNCTION("IFERROR(GOOGLEFINANCE(B1187,""changepct""),K1187)"),-1.93)</f>
        <v>-1.93</v>
      </c>
      <c r="M1187" s="6">
        <f ca="1">IFERROR(__xludf.DUMMYFUNCTION("IFERROR(GOOGLEFINANCE(B1187,""change""),0)"),-16.25)</f>
        <v>-16.25</v>
      </c>
      <c r="N1187" s="6">
        <v>2</v>
      </c>
      <c r="O1187" s="7">
        <v>45536</v>
      </c>
      <c r="P1187" s="6">
        <v>11.79</v>
      </c>
      <c r="Q1187" s="6">
        <v>1685.98</v>
      </c>
      <c r="R1187" s="12"/>
      <c r="S1187" s="12"/>
      <c r="T1187" s="12"/>
      <c r="U1187" s="7">
        <v>45352</v>
      </c>
      <c r="V1187" s="6">
        <v>78.459999999999994</v>
      </c>
      <c r="W1187" s="6">
        <f ca="1">IFERROR(__xludf.DUMMYFUNCTION("IFERROR(GOOGLEFINANCE(B1187,""pe""),V1187)"),33.45)</f>
        <v>33.450000000000003</v>
      </c>
      <c r="X1187" s="9"/>
      <c r="Y1187" s="6">
        <v>7.18</v>
      </c>
      <c r="Z1187" s="6">
        <v>2</v>
      </c>
      <c r="AA1187" s="8">
        <v>45352</v>
      </c>
      <c r="AB1187" s="4">
        <v>0.52</v>
      </c>
      <c r="AC1187" s="6">
        <v>23.34</v>
      </c>
      <c r="AD1187" s="6">
        <v>21.12</v>
      </c>
      <c r="AE1187" s="1">
        <v>0</v>
      </c>
      <c r="AF1187" s="1">
        <f ca="1">IFERROR(__xludf.DUMMYFUNCTION("IFERROR(GOOGLEFINANCE(TRIM(F1187)&amp;"":"" &amp; TRIM(B1187),""high52""),AE1187)"),1120.95)</f>
        <v>1120.95</v>
      </c>
      <c r="AG1187" s="1">
        <v>0</v>
      </c>
      <c r="AH1187" s="1">
        <f ca="1">IFERROR(__xludf.DUMMYFUNCTION("IFERROR(GOOGLEFINANCE(TRIM(F1187)&amp;"":"" &amp; TRIM(B1187),""low52""),AE1187)"),677.75)</f>
        <v>677.75</v>
      </c>
      <c r="AI1187" s="1">
        <f ca="1">IFERROR(__xludf.DUMMYFUNCTION("IFERROR(GOOGLEFINANCE(B1187,""eps""),0)"),24.68)</f>
        <v>24.68</v>
      </c>
      <c r="AJ1187" s="1"/>
      <c r="AK1187" s="1" t="s">
        <v>3595</v>
      </c>
      <c r="AL1187" s="9">
        <f t="shared" ref="AL1187:AL1259" si="175">IF(AA1187&lt;&gt;AB1187,1,0)</f>
        <v>1</v>
      </c>
    </row>
    <row r="1188" spans="1:38" ht="15" x14ac:dyDescent="0.25">
      <c r="A1188" s="1" t="s">
        <v>3596</v>
      </c>
      <c r="B1188" s="1" t="s">
        <v>3597</v>
      </c>
      <c r="C1188" s="1" t="s">
        <v>151</v>
      </c>
      <c r="D1188" s="1" t="s">
        <v>151</v>
      </c>
      <c r="E1188" s="6">
        <v>8953.0300000000007</v>
      </c>
      <c r="F1188" s="1" t="s">
        <v>40</v>
      </c>
      <c r="G1188" s="6">
        <f ca="1">IFERROR(__xludf.DUMMYFUNCTION("iferror(GOOGLEFINANCE(TRIM(F1188)&amp;"":"" &amp; TRIM(B1188), ""price""),0
)"),1806)</f>
        <v>1806</v>
      </c>
      <c r="H1188" s="6">
        <v>2558.85</v>
      </c>
      <c r="I1188" s="6">
        <f t="shared" ca="1" si="0"/>
        <v>1806</v>
      </c>
      <c r="J1188" s="6">
        <f ca="1">IFERROR(__xludf.DUMMYFUNCTION("IFERROR(GOOGLEFINANCE(B1188, ""volume""), 0)"),12580)</f>
        <v>12580</v>
      </c>
      <c r="K1188" s="6">
        <v>1.44</v>
      </c>
      <c r="L1188" s="6">
        <f ca="1">IFERROR(__xludf.DUMMYFUNCTION("IFERROR(GOOGLEFINANCE(B1188,""changepct""),K1188)"),-1.26)</f>
        <v>-1.26</v>
      </c>
      <c r="M1188" s="6">
        <f ca="1">IFERROR(__xludf.DUMMYFUNCTION("IFERROR(GOOGLEFINANCE(B1188,""change""),0)"),-23)</f>
        <v>-23</v>
      </c>
      <c r="N1188" s="6">
        <v>2</v>
      </c>
      <c r="O1188" s="7">
        <v>45536</v>
      </c>
      <c r="P1188" s="6">
        <v>96.74</v>
      </c>
      <c r="Q1188" s="6">
        <v>8858.6299999999992</v>
      </c>
      <c r="R1188" s="7">
        <v>45536</v>
      </c>
      <c r="S1188" s="6">
        <v>3906.54</v>
      </c>
      <c r="T1188" s="6">
        <v>313.3</v>
      </c>
      <c r="U1188" s="7">
        <v>45536</v>
      </c>
      <c r="V1188" s="6">
        <v>28.58</v>
      </c>
      <c r="W1188" s="6">
        <f ca="1">IFERROR(__xludf.DUMMYFUNCTION("IFERROR(GOOGLEFINANCE(B1188,""pe""),V1188)"),22.35)</f>
        <v>22.35</v>
      </c>
      <c r="X1188" s="6">
        <v>2.99</v>
      </c>
      <c r="Y1188" s="6">
        <v>3.94</v>
      </c>
      <c r="Z1188" s="6">
        <v>2</v>
      </c>
      <c r="AA1188" s="8">
        <v>45352</v>
      </c>
      <c r="AB1188" s="4">
        <v>0.06</v>
      </c>
      <c r="AC1188" s="6">
        <v>14.84</v>
      </c>
      <c r="AD1188" s="6">
        <v>17.82</v>
      </c>
      <c r="AE1188" s="1">
        <v>0</v>
      </c>
      <c r="AF1188" s="1">
        <f ca="1">IFERROR(__xludf.DUMMYFUNCTION("IFERROR(GOOGLEFINANCE(TRIM(F1188)&amp;"":"" &amp; TRIM(B1188),""high52""),AE1188)"),2750.1)</f>
        <v>2750.1</v>
      </c>
      <c r="AG1188" s="1">
        <v>0</v>
      </c>
      <c r="AH1188" s="1">
        <f ca="1">IFERROR(__xludf.DUMMYFUNCTION("IFERROR(GOOGLEFINANCE(TRIM(F1188)&amp;"":"" &amp; TRIM(B1188),""low52""),AE1188)"),1800)</f>
        <v>1800</v>
      </c>
      <c r="AI1188" s="1">
        <f ca="1">IFERROR(__xludf.DUMMYFUNCTION("IFERROR(GOOGLEFINANCE(B1188,""eps""),0)"),80.79)</f>
        <v>80.790000000000006</v>
      </c>
      <c r="AJ1188" s="1"/>
      <c r="AK1188" s="1" t="s">
        <v>3598</v>
      </c>
      <c r="AL1188" s="9">
        <f t="shared" si="175"/>
        <v>1</v>
      </c>
    </row>
    <row r="1189" spans="1:38" ht="15" x14ac:dyDescent="0.25">
      <c r="A1189" s="1" t="s">
        <v>3599</v>
      </c>
      <c r="B1189" s="1" t="s">
        <v>3600</v>
      </c>
      <c r="C1189" s="1" t="s">
        <v>125</v>
      </c>
      <c r="D1189" s="1" t="s">
        <v>125</v>
      </c>
      <c r="E1189" s="6">
        <v>86.77</v>
      </c>
      <c r="F1189" s="1" t="s">
        <v>53</v>
      </c>
      <c r="G1189" s="6">
        <f ca="1">IFERROR(__xludf.DUMMYFUNCTION("iferror(GOOGLEFINANCE(TRIM(F1189)&amp;"":"" &amp; TRIM(B1189), ""price""),0
)"),0)</f>
        <v>0</v>
      </c>
      <c r="H1189" s="6">
        <v>61.15</v>
      </c>
      <c r="I1189" s="6">
        <f t="shared" ca="1" si="0"/>
        <v>61.15</v>
      </c>
      <c r="J1189" s="6">
        <f ca="1">IFERROR(__xludf.DUMMYFUNCTION("IFERROR(GOOGLEFINANCE(B1189, ""volume""), 0)"),24651)</f>
        <v>24651</v>
      </c>
      <c r="K1189" s="6">
        <v>0</v>
      </c>
      <c r="L1189" s="6">
        <f ca="1">IFERROR(__xludf.DUMMYFUNCTION("IFERROR(GOOGLEFINANCE(B1189,""changepct""),K1189)"),-3.16)</f>
        <v>-3.16</v>
      </c>
      <c r="M1189" s="6">
        <f ca="1">IFERROR(__xludf.DUMMYFUNCTION("IFERROR(GOOGLEFINANCE(B1189,""change""),0)"),0)</f>
        <v>0</v>
      </c>
      <c r="N1189" s="6">
        <v>1</v>
      </c>
      <c r="O1189" s="7">
        <v>45536</v>
      </c>
      <c r="P1189" s="6">
        <v>59.46</v>
      </c>
      <c r="Q1189" s="6">
        <v>146.07</v>
      </c>
      <c r="R1189" s="7">
        <v>45536</v>
      </c>
      <c r="S1189" s="6">
        <v>83.32</v>
      </c>
      <c r="T1189" s="6">
        <v>3.5</v>
      </c>
      <c r="U1189" s="7">
        <v>45536</v>
      </c>
      <c r="V1189" s="6">
        <v>24.76</v>
      </c>
      <c r="W1189" s="6">
        <f ca="1">IFERROR(__xludf.DUMMYFUNCTION("IFERROR(GOOGLEFINANCE(B1189,""pe""),V1189)"),24.76)</f>
        <v>24.76</v>
      </c>
      <c r="X1189" s="6">
        <v>2.73</v>
      </c>
      <c r="Y1189" s="6">
        <v>2.2000000000000002</v>
      </c>
      <c r="Z1189" s="6">
        <v>1</v>
      </c>
      <c r="AA1189" s="8">
        <v>45352</v>
      </c>
      <c r="AB1189" s="4">
        <v>1.63</v>
      </c>
      <c r="AC1189" s="6">
        <v>10.72</v>
      </c>
      <c r="AD1189" s="6">
        <v>12.52</v>
      </c>
      <c r="AE1189" s="1">
        <v>0</v>
      </c>
      <c r="AF1189" s="1">
        <f ca="1">IFERROR(__xludf.DUMMYFUNCTION("IFERROR(GOOGLEFINANCE(TRIM(F1189)&amp;"":"" &amp; TRIM(B1189),""high52""),AE1189)"),0)</f>
        <v>0</v>
      </c>
      <c r="AG1189" s="1">
        <v>0</v>
      </c>
      <c r="AH1189" s="1">
        <f ca="1">IFERROR(__xludf.DUMMYFUNCTION("IFERROR(GOOGLEFINANCE(TRIM(F1189)&amp;"":"" &amp; TRIM(B1189),""low52""),AE1189)"),0)</f>
        <v>0</v>
      </c>
      <c r="AI1189" s="1">
        <f ca="1">IFERROR(__xludf.DUMMYFUNCTION("IFERROR(GOOGLEFINANCE(B1189,""eps""),0)"),-0.04)</f>
        <v>-0.04</v>
      </c>
      <c r="AJ1189" s="1"/>
      <c r="AK1189" s="1" t="s">
        <v>3601</v>
      </c>
      <c r="AL1189" s="9">
        <f t="shared" si="175"/>
        <v>1</v>
      </c>
    </row>
    <row r="1190" spans="1:38" ht="15" x14ac:dyDescent="0.25">
      <c r="A1190" s="1" t="s">
        <v>3602</v>
      </c>
      <c r="B1190" s="1" t="s">
        <v>3603</v>
      </c>
      <c r="C1190" s="1" t="s">
        <v>125</v>
      </c>
      <c r="D1190" s="1" t="s">
        <v>125</v>
      </c>
      <c r="E1190" s="6">
        <v>80.8</v>
      </c>
      <c r="F1190" s="1" t="s">
        <v>53</v>
      </c>
      <c r="G1190" s="6">
        <f ca="1">IFERROR(__xludf.DUMMYFUNCTION("iferror(GOOGLEFINANCE(TRIM(F1190)&amp;"":"" &amp; TRIM(B1190), ""price""),0
)"),0)</f>
        <v>0</v>
      </c>
      <c r="H1190" s="6">
        <v>109.85</v>
      </c>
      <c r="I1190" s="6">
        <f t="shared" ca="1" si="0"/>
        <v>109.85</v>
      </c>
      <c r="J1190" s="6">
        <f ca="1">IFERROR(__xludf.DUMMYFUNCTION("IFERROR(GOOGLEFINANCE(B1190, ""volume""), 0)"),0)</f>
        <v>0</v>
      </c>
      <c r="K1190" s="6">
        <v>-1.96</v>
      </c>
      <c r="L1190" s="6">
        <f ca="1">IFERROR(__xludf.DUMMYFUNCTION("IFERROR(GOOGLEFINANCE(B1190,""changepct""),K1190)"),0)</f>
        <v>0</v>
      </c>
      <c r="M1190" s="6">
        <f ca="1">IFERROR(__xludf.DUMMYFUNCTION("IFERROR(GOOGLEFINANCE(B1190,""change""),0)"),0)</f>
        <v>0</v>
      </c>
      <c r="N1190" s="6">
        <v>1</v>
      </c>
      <c r="O1190" s="7">
        <v>45536</v>
      </c>
      <c r="P1190" s="9"/>
      <c r="Q1190" s="6">
        <v>80.56</v>
      </c>
      <c r="R1190" s="7">
        <v>45536</v>
      </c>
      <c r="S1190" s="6">
        <v>3.32</v>
      </c>
      <c r="T1190" s="6">
        <v>0.75</v>
      </c>
      <c r="U1190" s="7">
        <v>45536</v>
      </c>
      <c r="V1190" s="6">
        <v>108.17</v>
      </c>
      <c r="W1190" s="6">
        <f ca="1">IFERROR(__xludf.DUMMYFUNCTION("IFERROR(GOOGLEFINANCE(B1190,""pe""),V1190)"),43.69)</f>
        <v>43.69</v>
      </c>
      <c r="X1190" s="6">
        <v>-10.19</v>
      </c>
      <c r="Y1190" s="6">
        <v>11.17</v>
      </c>
      <c r="Z1190" s="6">
        <v>1</v>
      </c>
      <c r="AA1190" s="8">
        <v>45352</v>
      </c>
      <c r="AB1190" s="4">
        <v>0</v>
      </c>
      <c r="AC1190" s="6">
        <v>5.51</v>
      </c>
      <c r="AD1190" s="6">
        <v>4.99</v>
      </c>
      <c r="AE1190" s="1">
        <v>0</v>
      </c>
      <c r="AF1190" s="1">
        <f ca="1">IFERROR(__xludf.DUMMYFUNCTION("IFERROR(GOOGLEFINANCE(TRIM(F1190)&amp;"":"" &amp; TRIM(B1190),""high52""),AE1190)"),0)</f>
        <v>0</v>
      </c>
      <c r="AG1190" s="1">
        <v>0</v>
      </c>
      <c r="AH1190" s="1">
        <f ca="1">IFERROR(__xludf.DUMMYFUNCTION("IFERROR(GOOGLEFINANCE(TRIM(F1190)&amp;"":"" &amp; TRIM(B1190),""low52""),AE1190)"),0)</f>
        <v>0</v>
      </c>
      <c r="AI1190" s="1">
        <f ca="1">IFERROR(__xludf.DUMMYFUNCTION("IFERROR(GOOGLEFINANCE(B1190,""eps""),0)"),0)</f>
        <v>0</v>
      </c>
      <c r="AJ1190" s="1"/>
      <c r="AK1190" s="1" t="s">
        <v>3604</v>
      </c>
      <c r="AL1190" s="9">
        <f t="shared" si="175"/>
        <v>1</v>
      </c>
    </row>
    <row r="1191" spans="1:38" ht="15" x14ac:dyDescent="0.25">
      <c r="A1191" s="1" t="s">
        <v>3605</v>
      </c>
      <c r="B1191" s="1" t="s">
        <v>3606</v>
      </c>
      <c r="C1191" s="1" t="s">
        <v>219</v>
      </c>
      <c r="D1191" s="1" t="s">
        <v>219</v>
      </c>
      <c r="E1191" s="6">
        <v>8680.08</v>
      </c>
      <c r="F1191" s="1" t="s">
        <v>40</v>
      </c>
      <c r="G1191" s="6">
        <f ca="1">IFERROR(__xludf.DUMMYFUNCTION("iferror(GOOGLEFINANCE(TRIM(F1191)&amp;"":"" &amp; TRIM(B1191), ""price""),0
)"),520.2)</f>
        <v>520.20000000000005</v>
      </c>
      <c r="H1191" s="6">
        <v>361.4</v>
      </c>
      <c r="I1191" s="6">
        <f t="shared" ca="1" si="0"/>
        <v>520.20000000000005</v>
      </c>
      <c r="J1191" s="6">
        <f ca="1">IFERROR(__xludf.DUMMYFUNCTION("IFERROR(GOOGLEFINANCE(B1191, ""volume""), 0)"),49290)</f>
        <v>49290</v>
      </c>
      <c r="K1191" s="6">
        <v>0.32</v>
      </c>
      <c r="L1191" s="6">
        <f ca="1">IFERROR(__xludf.DUMMYFUNCTION("IFERROR(GOOGLEFINANCE(B1191,""changepct""),K1191)"),0.68)</f>
        <v>0.68</v>
      </c>
      <c r="M1191" s="6">
        <f ca="1">IFERROR(__xludf.DUMMYFUNCTION("IFERROR(GOOGLEFINANCE(B1191,""change""),0)"),3.5)</f>
        <v>3.5</v>
      </c>
      <c r="N1191" s="6">
        <v>2</v>
      </c>
      <c r="O1191" s="7">
        <v>45536</v>
      </c>
      <c r="P1191" s="6">
        <v>407.49</v>
      </c>
      <c r="Q1191" s="6">
        <v>9085.98</v>
      </c>
      <c r="R1191" s="7">
        <v>45536</v>
      </c>
      <c r="S1191" s="6">
        <v>4342.3100000000004</v>
      </c>
      <c r="T1191" s="6">
        <v>318.14</v>
      </c>
      <c r="U1191" s="7">
        <v>45536</v>
      </c>
      <c r="V1191" s="6">
        <v>27.28</v>
      </c>
      <c r="W1191" s="6">
        <f ca="1">IFERROR(__xludf.DUMMYFUNCTION("IFERROR(GOOGLEFINANCE(B1191,""pe""),V1191)"),25.56)</f>
        <v>25.56</v>
      </c>
      <c r="X1191" s="6">
        <v>1.64</v>
      </c>
      <c r="Y1191" s="6">
        <v>3.31</v>
      </c>
      <c r="Z1191" s="6">
        <v>2</v>
      </c>
      <c r="AA1191" s="8">
        <v>45352</v>
      </c>
      <c r="AB1191" s="4">
        <v>0.19</v>
      </c>
      <c r="AC1191" s="6">
        <v>9.64</v>
      </c>
      <c r="AD1191" s="6">
        <v>11.96</v>
      </c>
      <c r="AE1191" s="1">
        <v>0</v>
      </c>
      <c r="AF1191" s="1">
        <f ca="1">IFERROR(__xludf.DUMMYFUNCTION("IFERROR(GOOGLEFINANCE(TRIM(F1191)&amp;"":"" &amp; TRIM(B1191),""high52""),AE1191)"),802.25)</f>
        <v>802.25</v>
      </c>
      <c r="AG1191" s="1">
        <v>0</v>
      </c>
      <c r="AH1191" s="1">
        <f ca="1">IFERROR(__xludf.DUMMYFUNCTION("IFERROR(GOOGLEFINANCE(TRIM(F1191)&amp;"":"" &amp; TRIM(B1191),""low52""),AE1191)"),295)</f>
        <v>295</v>
      </c>
      <c r="AI1191" s="1">
        <f ca="1">IFERROR(__xludf.DUMMYFUNCTION("IFERROR(GOOGLEFINANCE(B1191,""eps""),0)"),20.35)</f>
        <v>20.350000000000001</v>
      </c>
      <c r="AJ1191" s="1"/>
      <c r="AK1191" s="1" t="s">
        <v>3607</v>
      </c>
      <c r="AL1191" s="9">
        <f t="shared" si="175"/>
        <v>1</v>
      </c>
    </row>
    <row r="1192" spans="1:38" ht="15" x14ac:dyDescent="0.25">
      <c r="A1192" s="1" t="s">
        <v>3608</v>
      </c>
      <c r="B1192" s="1" t="s">
        <v>3609</v>
      </c>
      <c r="C1192" s="1" t="s">
        <v>843</v>
      </c>
      <c r="D1192" s="1" t="s">
        <v>843</v>
      </c>
      <c r="E1192" s="6">
        <v>2119.86</v>
      </c>
      <c r="F1192" s="1" t="s">
        <v>40</v>
      </c>
      <c r="G1192" s="6">
        <f ca="1">IFERROR(__xludf.DUMMYFUNCTION("iferror(GOOGLEFINANCE(TRIM(F1192)&amp;"":"" &amp; TRIM(B1192), ""price""),0
)"),141.39)</f>
        <v>141.38999999999999</v>
      </c>
      <c r="H1192" s="6">
        <v>218.25</v>
      </c>
      <c r="I1192" s="6">
        <f t="shared" ca="1" si="0"/>
        <v>141.38999999999999</v>
      </c>
      <c r="J1192" s="6">
        <f ca="1">IFERROR(__xludf.DUMMYFUNCTION("IFERROR(GOOGLEFINANCE(B1192, ""volume""), 0)"),347261)</f>
        <v>347261</v>
      </c>
      <c r="K1192" s="6">
        <v>0.77</v>
      </c>
      <c r="L1192" s="6">
        <f ca="1">IFERROR(__xludf.DUMMYFUNCTION("IFERROR(GOOGLEFINANCE(B1192,""changepct""),K1192)"),-1.04)</f>
        <v>-1.04</v>
      </c>
      <c r="M1192" s="6">
        <f ca="1">IFERROR(__xludf.DUMMYFUNCTION("IFERROR(GOOGLEFINANCE(B1192,""change""),0)"),-1.48)</f>
        <v>-1.48</v>
      </c>
      <c r="N1192" s="6">
        <v>2</v>
      </c>
      <c r="O1192" s="7">
        <v>45536</v>
      </c>
      <c r="P1192" s="6">
        <v>158.61000000000001</v>
      </c>
      <c r="Q1192" s="6">
        <v>2094.94</v>
      </c>
      <c r="R1192" s="7">
        <v>45536</v>
      </c>
      <c r="S1192" s="6">
        <v>3971.77</v>
      </c>
      <c r="T1192" s="6">
        <v>113.93</v>
      </c>
      <c r="U1192" s="7">
        <v>45536</v>
      </c>
      <c r="V1192" s="6">
        <v>20.100000000000001</v>
      </c>
      <c r="W1192" s="6">
        <f ca="1">IFERROR(__xludf.DUMMYFUNCTION("IFERROR(GOOGLEFINANCE(B1192,""pe""),V1192)"),13.01)</f>
        <v>13.01</v>
      </c>
      <c r="X1192" s="12"/>
      <c r="Y1192" s="6">
        <v>1.76</v>
      </c>
      <c r="Z1192" s="6">
        <v>2</v>
      </c>
      <c r="AA1192" s="8">
        <v>45352</v>
      </c>
      <c r="AB1192" s="4">
        <v>0.17</v>
      </c>
      <c r="AC1192" s="6">
        <v>17.260000000000002</v>
      </c>
      <c r="AD1192" s="6">
        <v>23.55</v>
      </c>
      <c r="AE1192" s="1">
        <v>0</v>
      </c>
      <c r="AF1192" s="1">
        <f ca="1">IFERROR(__xludf.DUMMYFUNCTION("IFERROR(GOOGLEFINANCE(TRIM(F1192)&amp;"":"" &amp; TRIM(B1192),""high52""),AE1192)"),184.42)</f>
        <v>184.42</v>
      </c>
      <c r="AG1192" s="1">
        <v>0</v>
      </c>
      <c r="AH1192" s="1">
        <f ca="1">IFERROR(__xludf.DUMMYFUNCTION("IFERROR(GOOGLEFINANCE(TRIM(F1192)&amp;"":"" &amp; TRIM(B1192),""low52""),AE1192)"),120.56)</f>
        <v>120.56</v>
      </c>
      <c r="AI1192" s="1">
        <f ca="1">IFERROR(__xludf.DUMMYFUNCTION("IFERROR(GOOGLEFINANCE(B1192,""eps""),0)"),10.86)</f>
        <v>10.86</v>
      </c>
      <c r="AJ1192" s="1"/>
      <c r="AK1192" s="1" t="s">
        <v>3610</v>
      </c>
      <c r="AL1192" s="9">
        <f t="shared" si="175"/>
        <v>1</v>
      </c>
    </row>
    <row r="1193" spans="1:38" ht="15" x14ac:dyDescent="0.25">
      <c r="A1193" s="1" t="s">
        <v>3611</v>
      </c>
      <c r="B1193" s="1" t="s">
        <v>3612</v>
      </c>
      <c r="C1193" s="1" t="s">
        <v>219</v>
      </c>
      <c r="D1193" s="1" t="s">
        <v>219</v>
      </c>
      <c r="E1193" s="6">
        <v>980.61</v>
      </c>
      <c r="F1193" s="1" t="s">
        <v>40</v>
      </c>
      <c r="G1193" s="6">
        <f ca="1">IFERROR(__xludf.DUMMYFUNCTION("iferror(GOOGLEFINANCE(TRIM(F1193)&amp;"":"" &amp; TRIM(B1193), ""price""),0
)"),709.15)</f>
        <v>709.15</v>
      </c>
      <c r="H1193" s="6">
        <v>813.05</v>
      </c>
      <c r="I1193" s="6">
        <f t="shared" ca="1" si="0"/>
        <v>709.15</v>
      </c>
      <c r="J1193" s="6">
        <f ca="1">IFERROR(__xludf.DUMMYFUNCTION("IFERROR(GOOGLEFINANCE(B1193, ""volume""), 0)"),2553)</f>
        <v>2553</v>
      </c>
      <c r="K1193" s="6">
        <v>0.09</v>
      </c>
      <c r="L1193" s="6">
        <f ca="1">IFERROR(__xludf.DUMMYFUNCTION("IFERROR(GOOGLEFINANCE(B1193,""changepct""),K1193)"),1.26)</f>
        <v>1.26</v>
      </c>
      <c r="M1193" s="6">
        <f ca="1">IFERROR(__xludf.DUMMYFUNCTION("IFERROR(GOOGLEFINANCE(B1193,""change""),0)"),8.8)</f>
        <v>8.8000000000000007</v>
      </c>
      <c r="N1193" s="6">
        <v>1</v>
      </c>
      <c r="O1193" s="7">
        <v>45536</v>
      </c>
      <c r="P1193" s="12"/>
      <c r="Q1193" s="6">
        <v>972.48</v>
      </c>
      <c r="R1193" s="7">
        <v>45536</v>
      </c>
      <c r="S1193" s="6">
        <v>170.13</v>
      </c>
      <c r="T1193" s="6">
        <v>58.13</v>
      </c>
      <c r="U1193" s="7">
        <v>45536</v>
      </c>
      <c r="V1193" s="6">
        <v>16.87</v>
      </c>
      <c r="W1193" s="6">
        <f ca="1">IFERROR(__xludf.DUMMYFUNCTION("IFERROR(GOOGLEFINANCE(B1193,""pe""),V1193)"),12.98)</f>
        <v>12.98</v>
      </c>
      <c r="X1193" s="6">
        <v>2.2400000000000002</v>
      </c>
      <c r="Y1193" s="6">
        <v>4.1100000000000003</v>
      </c>
      <c r="Z1193" s="6">
        <v>1</v>
      </c>
      <c r="AA1193" s="8">
        <v>45352</v>
      </c>
      <c r="AB1193" s="4">
        <v>0</v>
      </c>
      <c r="AC1193" s="6">
        <v>27.45</v>
      </c>
      <c r="AD1193" s="6">
        <v>36.28</v>
      </c>
      <c r="AE1193" s="1">
        <v>0</v>
      </c>
      <c r="AF1193" s="1">
        <f ca="1">IFERROR(__xludf.DUMMYFUNCTION("IFERROR(GOOGLEFINANCE(TRIM(F1193)&amp;"":"" &amp; TRIM(B1193),""high52""),AE1193)"),1031.8)</f>
        <v>1031.8</v>
      </c>
      <c r="AG1193" s="1">
        <v>0</v>
      </c>
      <c r="AH1193" s="1">
        <f ca="1">IFERROR(__xludf.DUMMYFUNCTION("IFERROR(GOOGLEFINANCE(TRIM(F1193)&amp;"":"" &amp; TRIM(B1193),""low52""),AE1193)"),585.5)</f>
        <v>585.5</v>
      </c>
      <c r="AI1193" s="1">
        <f ca="1">IFERROR(__xludf.DUMMYFUNCTION("IFERROR(GOOGLEFINANCE(B1193,""eps""),0)"),54.65)</f>
        <v>54.65</v>
      </c>
      <c r="AJ1193" s="1"/>
      <c r="AK1193" s="1" t="s">
        <v>3613</v>
      </c>
      <c r="AL1193" s="9">
        <f t="shared" si="175"/>
        <v>1</v>
      </c>
    </row>
    <row r="1194" spans="1:38" ht="15" x14ac:dyDescent="0.25">
      <c r="A1194" s="1" t="s">
        <v>3614</v>
      </c>
      <c r="B1194" s="1" t="s">
        <v>3615</v>
      </c>
      <c r="C1194" s="1" t="s">
        <v>125</v>
      </c>
      <c r="D1194" s="1" t="s">
        <v>125</v>
      </c>
      <c r="E1194" s="6">
        <v>256.69</v>
      </c>
      <c r="F1194" s="1" t="s">
        <v>53</v>
      </c>
      <c r="G1194" s="6">
        <f ca="1">IFERROR(__xludf.DUMMYFUNCTION("iferror(GOOGLEFINANCE(TRIM(F1194)&amp;"":"" &amp; TRIM(B1194), ""price""),0
)"),0)</f>
        <v>0</v>
      </c>
      <c r="H1194" s="6">
        <v>1.61</v>
      </c>
      <c r="I1194" s="6">
        <f t="shared" ca="1" si="0"/>
        <v>1.61</v>
      </c>
      <c r="J1194" s="6">
        <f ca="1">IFERROR(__xludf.DUMMYFUNCTION("IFERROR(GOOGLEFINANCE(B1194, ""volume""), 0)"),0)</f>
        <v>0</v>
      </c>
      <c r="K1194" s="6">
        <v>-0.62</v>
      </c>
      <c r="L1194" s="6">
        <f ca="1">IFERROR(__xludf.DUMMYFUNCTION("IFERROR(GOOGLEFINANCE(B1194,""changepct""),K1194)"),-0.62)</f>
        <v>-0.62</v>
      </c>
      <c r="M1194" s="6">
        <f ca="1">IFERROR(__xludf.DUMMYFUNCTION("IFERROR(GOOGLEFINANCE(B1194,""change""),0)"),0)</f>
        <v>0</v>
      </c>
      <c r="N1194" s="6">
        <v>1</v>
      </c>
      <c r="O1194" s="7">
        <v>45536</v>
      </c>
      <c r="P1194" s="6">
        <v>2.4900000000000002</v>
      </c>
      <c r="Q1194" s="6">
        <v>259.18</v>
      </c>
      <c r="R1194" s="7">
        <v>45536</v>
      </c>
      <c r="S1194" s="6">
        <v>295.36</v>
      </c>
      <c r="T1194" s="6">
        <v>15.25</v>
      </c>
      <c r="U1194" s="7">
        <v>45536</v>
      </c>
      <c r="V1194" s="6">
        <v>16.829999999999998</v>
      </c>
      <c r="W1194" s="6">
        <f ca="1">IFERROR(__xludf.DUMMYFUNCTION("IFERROR(GOOGLEFINANCE(B1194,""pe""),V1194)"),16.83)</f>
        <v>16.829999999999998</v>
      </c>
      <c r="X1194" s="9"/>
      <c r="Y1194" s="6">
        <v>1.1100000000000001</v>
      </c>
      <c r="Z1194" s="6">
        <v>2</v>
      </c>
      <c r="AA1194" s="8">
        <v>44986</v>
      </c>
      <c r="AB1194" s="4">
        <v>0.02</v>
      </c>
      <c r="AC1194" s="6">
        <v>19.32</v>
      </c>
      <c r="AD1194" s="6">
        <v>18.97</v>
      </c>
      <c r="AE1194" s="1">
        <v>0</v>
      </c>
      <c r="AF1194" s="1">
        <f ca="1">IFERROR(__xludf.DUMMYFUNCTION("IFERROR(GOOGLEFINANCE(TRIM(F1194)&amp;"":"" &amp; TRIM(B1194),""high52""),AE1194)"),0)</f>
        <v>0</v>
      </c>
      <c r="AG1194" s="1">
        <v>0</v>
      </c>
      <c r="AH1194" s="1">
        <f ca="1">IFERROR(__xludf.DUMMYFUNCTION("IFERROR(GOOGLEFINANCE(TRIM(F1194)&amp;"":"" &amp; TRIM(B1194),""low52""),AE1194)"),0)</f>
        <v>0</v>
      </c>
      <c r="AI1194" s="1">
        <f ca="1">IFERROR(__xludf.DUMMYFUNCTION("IFERROR(GOOGLEFINANCE(B1194,""eps""),0)"),0)</f>
        <v>0</v>
      </c>
      <c r="AJ1194" s="1"/>
      <c r="AK1194" s="9"/>
      <c r="AL1194" s="9">
        <f t="shared" si="175"/>
        <v>1</v>
      </c>
    </row>
    <row r="1195" spans="1:38" ht="15" x14ac:dyDescent="0.25">
      <c r="A1195" s="1" t="s">
        <v>3616</v>
      </c>
      <c r="B1195" s="1" t="s">
        <v>3617</v>
      </c>
      <c r="C1195" s="1" t="s">
        <v>135</v>
      </c>
      <c r="D1195" s="1" t="s">
        <v>135</v>
      </c>
      <c r="E1195" s="6">
        <v>960.7</v>
      </c>
      <c r="F1195" s="1" t="s">
        <v>40</v>
      </c>
      <c r="G1195" s="6">
        <f ca="1">IFERROR(__xludf.DUMMYFUNCTION("iferror(GOOGLEFINANCE(TRIM(F1195)&amp;"":"" &amp; TRIM(B1195), ""price""),0
)"),70)</f>
        <v>70</v>
      </c>
      <c r="H1195" s="6">
        <v>134.52000000000001</v>
      </c>
      <c r="I1195" s="6">
        <f t="shared" ca="1" si="0"/>
        <v>70</v>
      </c>
      <c r="J1195" s="6">
        <f ca="1">IFERROR(__xludf.DUMMYFUNCTION("IFERROR(GOOGLEFINANCE(B1195, ""volume""), 0)"),180141)</f>
        <v>180141</v>
      </c>
      <c r="K1195" s="6">
        <v>0.77</v>
      </c>
      <c r="L1195" s="6">
        <f ca="1">IFERROR(__xludf.DUMMYFUNCTION("IFERROR(GOOGLEFINANCE(B1195,""changepct""),K1195)"),-0.13)</f>
        <v>-0.13</v>
      </c>
      <c r="M1195" s="6">
        <f ca="1">IFERROR(__xludf.DUMMYFUNCTION("IFERROR(GOOGLEFINANCE(B1195,""change""),0)"),-0.09)</f>
        <v>-0.09</v>
      </c>
      <c r="N1195" s="6">
        <v>2</v>
      </c>
      <c r="O1195" s="7">
        <v>45536</v>
      </c>
      <c r="P1195" s="6">
        <v>16.52</v>
      </c>
      <c r="Q1195" s="6">
        <v>894.04</v>
      </c>
      <c r="R1195" s="7">
        <v>45536</v>
      </c>
      <c r="S1195" s="6">
        <v>437.61</v>
      </c>
      <c r="T1195" s="6">
        <v>63.26</v>
      </c>
      <c r="U1195" s="7">
        <v>45536</v>
      </c>
      <c r="V1195" s="6">
        <v>15.19</v>
      </c>
      <c r="W1195" s="6">
        <f ca="1">IFERROR(__xludf.DUMMYFUNCTION("IFERROR(GOOGLEFINANCE(B1195,""pe""),V1195)"),10.71)</f>
        <v>10.71</v>
      </c>
      <c r="X1195" s="6">
        <v>1.24</v>
      </c>
      <c r="Y1195" s="6">
        <v>1.8</v>
      </c>
      <c r="Z1195" s="6">
        <v>2</v>
      </c>
      <c r="AA1195" s="8">
        <v>45352</v>
      </c>
      <c r="AB1195" s="4">
        <v>0.03</v>
      </c>
      <c r="AC1195" s="6">
        <v>14.45</v>
      </c>
      <c r="AD1195" s="6">
        <v>19.93</v>
      </c>
      <c r="AE1195" s="1">
        <v>0</v>
      </c>
      <c r="AF1195" s="1">
        <f ca="1">IFERROR(__xludf.DUMMYFUNCTION("IFERROR(GOOGLEFINANCE(TRIM(F1195)&amp;"":"" &amp; TRIM(B1195),""high52""),AE1195)"),133.8)</f>
        <v>133.80000000000001</v>
      </c>
      <c r="AG1195" s="1">
        <v>0</v>
      </c>
      <c r="AH1195" s="1">
        <f ca="1">IFERROR(__xludf.DUMMYFUNCTION("IFERROR(GOOGLEFINANCE(TRIM(F1195)&amp;"":"" &amp; TRIM(B1195),""low52""),AE1195)"),68.4)</f>
        <v>68.400000000000006</v>
      </c>
      <c r="AI1195" s="1">
        <f ca="1">IFERROR(__xludf.DUMMYFUNCTION("IFERROR(GOOGLEFINANCE(B1195,""eps""),0)"),6.54)</f>
        <v>6.54</v>
      </c>
      <c r="AJ1195" s="1"/>
      <c r="AK1195" s="1" t="s">
        <v>3618</v>
      </c>
      <c r="AL1195" s="9">
        <f t="shared" si="175"/>
        <v>1</v>
      </c>
    </row>
    <row r="1196" spans="1:38" ht="15" x14ac:dyDescent="0.25">
      <c r="A1196" s="1" t="s">
        <v>3619</v>
      </c>
      <c r="B1196" s="1" t="s">
        <v>3620</v>
      </c>
      <c r="C1196" s="1" t="s">
        <v>125</v>
      </c>
      <c r="D1196" s="1" t="s">
        <v>125</v>
      </c>
      <c r="E1196" s="6">
        <v>1451.23</v>
      </c>
      <c r="F1196" s="1" t="s">
        <v>40</v>
      </c>
      <c r="G1196" s="6">
        <f ca="1">IFERROR(__xludf.DUMMYFUNCTION("iferror(GOOGLEFINANCE(TRIM(F1196)&amp;"":"" &amp; TRIM(B1196), ""price""),0
)"),0)</f>
        <v>0</v>
      </c>
      <c r="H1196" s="6">
        <v>588.79999999999995</v>
      </c>
      <c r="I1196" s="6">
        <f t="shared" ca="1" si="0"/>
        <v>588.79999999999995</v>
      </c>
      <c r="J1196" s="6">
        <f ca="1">IFERROR(__xludf.DUMMYFUNCTION("IFERROR(GOOGLEFINANCE(B1196, ""volume""), 0)"),12656)</f>
        <v>12656</v>
      </c>
      <c r="K1196" s="6">
        <v>0.62</v>
      </c>
      <c r="L1196" s="6">
        <f ca="1">IFERROR(__xludf.DUMMYFUNCTION("IFERROR(GOOGLEFINANCE(B1196,""changepct""),K1196)"),-0.57)</f>
        <v>-0.56999999999999995</v>
      </c>
      <c r="M1196" s="6">
        <f ca="1">IFERROR(__xludf.DUMMYFUNCTION("IFERROR(GOOGLEFINANCE(B1196,""change""),0)"),-0.14)</f>
        <v>-0.14000000000000001</v>
      </c>
      <c r="N1196" s="6">
        <v>1</v>
      </c>
      <c r="O1196" s="7">
        <v>45536</v>
      </c>
      <c r="P1196" s="6">
        <v>19.93</v>
      </c>
      <c r="Q1196" s="6">
        <v>1471.16</v>
      </c>
      <c r="R1196" s="14"/>
      <c r="S1196" s="9"/>
      <c r="T1196" s="9"/>
      <c r="U1196" s="7">
        <v>44256</v>
      </c>
      <c r="V1196" s="6">
        <v>201.73</v>
      </c>
      <c r="W1196" s="6">
        <f ca="1">IFERROR(__xludf.DUMMYFUNCTION("IFERROR(GOOGLEFINANCE(B1196,""pe""),V1196)"),201.73)</f>
        <v>201.73</v>
      </c>
      <c r="X1196" s="12"/>
      <c r="Y1196" s="6">
        <v>58.52</v>
      </c>
      <c r="Z1196" s="6">
        <v>2</v>
      </c>
      <c r="AA1196" s="8">
        <v>45352</v>
      </c>
      <c r="AB1196" s="4">
        <v>0.94</v>
      </c>
      <c r="AC1196" s="6">
        <v>47.2</v>
      </c>
      <c r="AD1196" s="6">
        <v>38.869999999999997</v>
      </c>
      <c r="AE1196" s="1">
        <v>0</v>
      </c>
      <c r="AF1196" s="1">
        <f ca="1">IFERROR(__xludf.DUMMYFUNCTION("IFERROR(GOOGLEFINANCE(TRIM(F1196)&amp;"":"" &amp; TRIM(B1196),""high52""),AE1196)"),0)</f>
        <v>0</v>
      </c>
      <c r="AG1196" s="1">
        <v>0</v>
      </c>
      <c r="AH1196" s="1">
        <f ca="1">IFERROR(__xludf.DUMMYFUNCTION("IFERROR(GOOGLEFINANCE(TRIM(F1196)&amp;"":"" &amp; TRIM(B1196),""low52""),AE1196)"),0)</f>
        <v>0</v>
      </c>
      <c r="AI1196" s="1">
        <f ca="1">IFERROR(__xludf.DUMMYFUNCTION("IFERROR(GOOGLEFINANCE(B1196,""eps""),0)"),0)</f>
        <v>0</v>
      </c>
      <c r="AJ1196" s="1"/>
      <c r="AK1196" s="1" t="s">
        <v>3621</v>
      </c>
      <c r="AL1196" s="9">
        <f t="shared" si="175"/>
        <v>1</v>
      </c>
    </row>
    <row r="1197" spans="1:38" ht="15" x14ac:dyDescent="0.25">
      <c r="A1197" s="1" t="s">
        <v>3622</v>
      </c>
      <c r="B1197" s="1" t="s">
        <v>3623</v>
      </c>
      <c r="C1197" s="1" t="s">
        <v>125</v>
      </c>
      <c r="D1197" s="1" t="s">
        <v>125</v>
      </c>
      <c r="E1197" s="6">
        <v>159.26</v>
      </c>
      <c r="F1197" s="1" t="s">
        <v>53</v>
      </c>
      <c r="G1197" s="6">
        <f ca="1">IFERROR(__xludf.DUMMYFUNCTION("iferror(GOOGLEFINANCE(TRIM(F1197)&amp;"":"" &amp; TRIM(B1197), ""price""),0
)"),0)</f>
        <v>0</v>
      </c>
      <c r="H1197" s="6">
        <v>150.94999999999999</v>
      </c>
      <c r="I1197" s="6">
        <f t="shared" ca="1" si="0"/>
        <v>150.94999999999999</v>
      </c>
      <c r="J1197" s="6">
        <f ca="1">IFERROR(__xludf.DUMMYFUNCTION("IFERROR(GOOGLEFINANCE(B1197, ""volume""), 0)"),0)</f>
        <v>0</v>
      </c>
      <c r="K1197" s="6">
        <v>-4.97</v>
      </c>
      <c r="L1197" s="6">
        <f ca="1">IFERROR(__xludf.DUMMYFUNCTION("IFERROR(GOOGLEFINANCE(B1197,""changepct""),K1197)"),-4.97)</f>
        <v>-4.97</v>
      </c>
      <c r="M1197" s="6">
        <f ca="1">IFERROR(__xludf.DUMMYFUNCTION("IFERROR(GOOGLEFINANCE(B1197,""change""),0)"),0)</f>
        <v>0</v>
      </c>
      <c r="N1197" s="6">
        <v>2</v>
      </c>
      <c r="O1197" s="7">
        <v>45536</v>
      </c>
      <c r="P1197" s="6">
        <v>35.9</v>
      </c>
      <c r="Q1197" s="6">
        <v>195.16</v>
      </c>
      <c r="R1197" s="7">
        <v>45536</v>
      </c>
      <c r="S1197" s="6">
        <v>0</v>
      </c>
      <c r="T1197" s="6">
        <v>0.17</v>
      </c>
      <c r="U1197" s="7">
        <v>45536</v>
      </c>
      <c r="V1197" s="6">
        <v>925.95</v>
      </c>
      <c r="W1197" s="6">
        <f ca="1">IFERROR(__xludf.DUMMYFUNCTION("IFERROR(GOOGLEFINANCE(B1197,""pe""),V1197)"),925.95)</f>
        <v>925.95</v>
      </c>
      <c r="X1197" s="6">
        <v>-107.54</v>
      </c>
      <c r="Y1197" s="6">
        <v>10.92</v>
      </c>
      <c r="Z1197" s="6">
        <v>2</v>
      </c>
      <c r="AA1197" s="8">
        <v>45352</v>
      </c>
      <c r="AB1197" s="4">
        <v>2.48</v>
      </c>
      <c r="AC1197" s="6">
        <v>0.92</v>
      </c>
      <c r="AD1197" s="6">
        <v>0.26</v>
      </c>
      <c r="AE1197" s="1">
        <v>0</v>
      </c>
      <c r="AF1197" s="1">
        <f ca="1">IFERROR(__xludf.DUMMYFUNCTION("IFERROR(GOOGLEFINANCE(TRIM(F1197)&amp;"":"" &amp; TRIM(B1197),""high52""),AE1197)"),0)</f>
        <v>0</v>
      </c>
      <c r="AG1197" s="1">
        <v>0</v>
      </c>
      <c r="AH1197" s="1">
        <f ca="1">IFERROR(__xludf.DUMMYFUNCTION("IFERROR(GOOGLEFINANCE(TRIM(F1197)&amp;"":"" &amp; TRIM(B1197),""low52""),AE1197)"),0)</f>
        <v>0</v>
      </c>
      <c r="AI1197" s="1">
        <f ca="1">IFERROR(__xludf.DUMMYFUNCTION("IFERROR(GOOGLEFINANCE(B1197,""eps""),0)"),0)</f>
        <v>0</v>
      </c>
      <c r="AJ1197" s="1"/>
      <c r="AK1197" s="1" t="s">
        <v>3624</v>
      </c>
      <c r="AL1197" s="9">
        <f t="shared" si="175"/>
        <v>1</v>
      </c>
    </row>
    <row r="1198" spans="1:38" ht="15" x14ac:dyDescent="0.25">
      <c r="A1198" s="1" t="s">
        <v>3625</v>
      </c>
      <c r="B1198" s="1" t="s">
        <v>3626</v>
      </c>
      <c r="C1198" s="1" t="s">
        <v>487</v>
      </c>
      <c r="D1198" s="1" t="s">
        <v>487</v>
      </c>
      <c r="E1198" s="6">
        <v>10838.65</v>
      </c>
      <c r="F1198" s="1" t="s">
        <v>40</v>
      </c>
      <c r="G1198" s="6">
        <f ca="1">IFERROR(__xludf.DUMMYFUNCTION("iferror(GOOGLEFINANCE(TRIM(F1198)&amp;"":"" &amp; TRIM(B1198), ""price""),0
)"),0)</f>
        <v>0</v>
      </c>
      <c r="H1198" s="6">
        <v>1305.25</v>
      </c>
      <c r="I1198" s="6">
        <f t="shared" ca="1" si="0"/>
        <v>1305.25</v>
      </c>
      <c r="J1198" s="6">
        <f ca="1">IFERROR(__xludf.DUMMYFUNCTION("IFERROR(GOOGLEFINANCE(B1198, ""volume""), 0)"),0)</f>
        <v>0</v>
      </c>
      <c r="K1198" s="6">
        <v>0.46</v>
      </c>
      <c r="L1198" s="6">
        <f ca="1">IFERROR(__xludf.DUMMYFUNCTION("IFERROR(GOOGLEFINANCE(B1198,""changepct""),K1198)"),0.46)</f>
        <v>0.46</v>
      </c>
      <c r="M1198" s="6">
        <f ca="1">IFERROR(__xludf.DUMMYFUNCTION("IFERROR(GOOGLEFINANCE(B1198,""change""),0)"),0)</f>
        <v>0</v>
      </c>
      <c r="N1198" s="6">
        <v>2</v>
      </c>
      <c r="O1198" s="7">
        <v>45536</v>
      </c>
      <c r="P1198" s="6">
        <v>28.14</v>
      </c>
      <c r="Q1198" s="6">
        <v>10619.9</v>
      </c>
      <c r="R1198" s="7">
        <v>45536</v>
      </c>
      <c r="S1198" s="6">
        <v>909.57</v>
      </c>
      <c r="T1198" s="6">
        <v>485.68</v>
      </c>
      <c r="U1198" s="7">
        <v>45536</v>
      </c>
      <c r="V1198" s="6">
        <v>22.32</v>
      </c>
      <c r="W1198" s="6">
        <f ca="1">IFERROR(__xludf.DUMMYFUNCTION("IFERROR(GOOGLEFINANCE(B1198,""pe""),V1198)"),22.32)</f>
        <v>22.32</v>
      </c>
      <c r="X1198" s="6">
        <v>0.28999999999999998</v>
      </c>
      <c r="Y1198" s="6">
        <v>6.26</v>
      </c>
      <c r="Z1198" s="6">
        <v>2</v>
      </c>
      <c r="AA1198" s="8">
        <v>45352</v>
      </c>
      <c r="AB1198" s="4">
        <v>0.02</v>
      </c>
      <c r="AC1198" s="6">
        <v>34.64</v>
      </c>
      <c r="AD1198" s="6">
        <v>46.1</v>
      </c>
      <c r="AE1198" s="1">
        <v>0</v>
      </c>
      <c r="AF1198" s="1">
        <f ca="1">IFERROR(__xludf.DUMMYFUNCTION("IFERROR(GOOGLEFINANCE(TRIM(F1198)&amp;"":"" &amp; TRIM(B1198),""high52""),AE1198)"),0)</f>
        <v>0</v>
      </c>
      <c r="AG1198" s="1">
        <v>0</v>
      </c>
      <c r="AH1198" s="1">
        <f ca="1">IFERROR(__xludf.DUMMYFUNCTION("IFERROR(GOOGLEFINANCE(TRIM(F1198)&amp;"":"" &amp; TRIM(B1198),""low52""),AE1198)"),0)</f>
        <v>0</v>
      </c>
      <c r="AI1198" s="1">
        <f ca="1">IFERROR(__xludf.DUMMYFUNCTION("IFERROR(GOOGLEFINANCE(B1198,""eps""),0)"),0)</f>
        <v>0</v>
      </c>
      <c r="AJ1198" s="1"/>
      <c r="AK1198" s="1" t="s">
        <v>3627</v>
      </c>
      <c r="AL1198" s="9">
        <f t="shared" si="175"/>
        <v>1</v>
      </c>
    </row>
    <row r="1199" spans="1:38" ht="15" x14ac:dyDescent="0.25">
      <c r="A1199" s="1" t="s">
        <v>3628</v>
      </c>
      <c r="B1199" s="1" t="s">
        <v>3629</v>
      </c>
      <c r="C1199" s="1" t="s">
        <v>86</v>
      </c>
      <c r="D1199" s="1" t="s">
        <v>86</v>
      </c>
      <c r="E1199" s="6">
        <v>666.45</v>
      </c>
      <c r="F1199" s="1" t="s">
        <v>40</v>
      </c>
      <c r="G1199" s="6">
        <f ca="1">IFERROR(__xludf.DUMMYFUNCTION("iferror(GOOGLEFINANCE(TRIM(F1199)&amp;"":"" &amp; TRIM(B1199), ""price""),0
)"),0)</f>
        <v>0</v>
      </c>
      <c r="H1199" s="6">
        <v>156.65</v>
      </c>
      <c r="I1199" s="6">
        <f t="shared" ca="1" si="0"/>
        <v>156.65</v>
      </c>
      <c r="J1199" s="6">
        <f ca="1">IFERROR(__xludf.DUMMYFUNCTION("IFERROR(GOOGLEFINANCE(B1199, ""volume""), 0)"),0)</f>
        <v>0</v>
      </c>
      <c r="K1199" s="6">
        <v>0.42</v>
      </c>
      <c r="L1199" s="6">
        <f ca="1">IFERROR(__xludf.DUMMYFUNCTION("IFERROR(GOOGLEFINANCE(B1199,""changepct""),K1199)"),0.42)</f>
        <v>0.42</v>
      </c>
      <c r="M1199" s="6">
        <f ca="1">IFERROR(__xludf.DUMMYFUNCTION("IFERROR(GOOGLEFINANCE(B1199,""change""),0)"),0)</f>
        <v>0</v>
      </c>
      <c r="N1199" s="6">
        <v>1</v>
      </c>
      <c r="O1199" s="7">
        <v>45352</v>
      </c>
      <c r="P1199" s="6">
        <v>30.72</v>
      </c>
      <c r="Q1199" s="6">
        <v>691.57</v>
      </c>
      <c r="R1199" s="14"/>
      <c r="S1199" s="9"/>
      <c r="T1199" s="9"/>
      <c r="U1199" s="6">
        <v>0</v>
      </c>
      <c r="V1199" s="9"/>
      <c r="W1199" s="6" t="str">
        <f ca="1">IFERROR(__xludf.DUMMYFUNCTION("IFERROR(GOOGLEFINANCE(B1199,""pe""),V1199)"),"")</f>
        <v/>
      </c>
      <c r="X1199" s="12"/>
      <c r="Y1199" s="6">
        <v>4.37</v>
      </c>
      <c r="Z1199" s="6">
        <v>1</v>
      </c>
      <c r="AA1199" s="8">
        <v>45352</v>
      </c>
      <c r="AB1199" s="4">
        <v>0.83</v>
      </c>
      <c r="AC1199" s="6">
        <v>10.71</v>
      </c>
      <c r="AD1199" s="6">
        <v>8.43</v>
      </c>
      <c r="AE1199" s="1">
        <v>0</v>
      </c>
      <c r="AF1199" s="1">
        <f ca="1">IFERROR(__xludf.DUMMYFUNCTION("IFERROR(GOOGLEFINANCE(TRIM(F1199)&amp;"":"" &amp; TRIM(B1199),""high52""),AE1199)"),0)</f>
        <v>0</v>
      </c>
      <c r="AG1199" s="1">
        <v>0</v>
      </c>
      <c r="AH1199" s="1">
        <f ca="1">IFERROR(__xludf.DUMMYFUNCTION("IFERROR(GOOGLEFINANCE(TRIM(F1199)&amp;"":"" &amp; TRIM(B1199),""low52""),AE1199)"),0)</f>
        <v>0</v>
      </c>
      <c r="AI1199" s="1">
        <f ca="1">IFERROR(__xludf.DUMMYFUNCTION("IFERROR(GOOGLEFINANCE(B1199,""eps""),0)"),0)</f>
        <v>0</v>
      </c>
      <c r="AJ1199" s="1"/>
      <c r="AK1199" s="1" t="s">
        <v>3630</v>
      </c>
      <c r="AL1199" s="9">
        <f t="shared" si="175"/>
        <v>1</v>
      </c>
    </row>
    <row r="1200" spans="1:38" ht="15" x14ac:dyDescent="0.25">
      <c r="A1200" s="1" t="s">
        <v>3631</v>
      </c>
      <c r="B1200" s="1" t="s">
        <v>3632</v>
      </c>
      <c r="C1200" s="1" t="s">
        <v>1400</v>
      </c>
      <c r="D1200" s="1" t="s">
        <v>1400</v>
      </c>
      <c r="E1200" s="6">
        <v>5115.78</v>
      </c>
      <c r="F1200" s="1" t="s">
        <v>40</v>
      </c>
      <c r="G1200" s="6">
        <f ca="1">IFERROR(__xludf.DUMMYFUNCTION("iferror(GOOGLEFINANCE(TRIM(F1200)&amp;"":"" &amp; TRIM(B1200), ""price""),0
)"),687)</f>
        <v>687</v>
      </c>
      <c r="H1200" s="6">
        <v>1993.75</v>
      </c>
      <c r="I1200" s="6">
        <f t="shared" ca="1" si="0"/>
        <v>687</v>
      </c>
      <c r="J1200" s="6">
        <f ca="1">IFERROR(__xludf.DUMMYFUNCTION("IFERROR(GOOGLEFINANCE(B1200, ""volume""), 0)"),73749)</f>
        <v>73749</v>
      </c>
      <c r="K1200" s="6">
        <v>-1.25</v>
      </c>
      <c r="L1200" s="6">
        <f ca="1">IFERROR(__xludf.DUMMYFUNCTION("IFERROR(GOOGLEFINANCE(B1200,""changepct""),K1200)"),-3.69)</f>
        <v>-3.69</v>
      </c>
      <c r="M1200" s="6">
        <f ca="1">IFERROR(__xludf.DUMMYFUNCTION("IFERROR(GOOGLEFINANCE(B1200,""change""),0)"),-26.35)</f>
        <v>-26.35</v>
      </c>
      <c r="N1200" s="6">
        <v>2</v>
      </c>
      <c r="O1200" s="7">
        <v>45536</v>
      </c>
      <c r="P1200" s="6">
        <v>485.91</v>
      </c>
      <c r="Q1200" s="6">
        <v>5508.11</v>
      </c>
      <c r="R1200" s="7">
        <v>45536</v>
      </c>
      <c r="S1200" s="6">
        <v>1313.71</v>
      </c>
      <c r="T1200" s="6">
        <v>83.99</v>
      </c>
      <c r="U1200" s="7">
        <v>45536</v>
      </c>
      <c r="V1200" s="6">
        <v>60.91</v>
      </c>
      <c r="W1200" s="6">
        <f ca="1">IFERROR(__xludf.DUMMYFUNCTION("IFERROR(GOOGLEFINANCE(B1200,""pe""),V1200)"),27.48)</f>
        <v>27.48</v>
      </c>
      <c r="X1200" s="12"/>
      <c r="Y1200" s="6">
        <v>4.67</v>
      </c>
      <c r="Z1200" s="6">
        <v>2</v>
      </c>
      <c r="AA1200" s="8">
        <v>45352</v>
      </c>
      <c r="AB1200" s="4">
        <v>0.39</v>
      </c>
      <c r="AC1200" s="6">
        <v>4.91</v>
      </c>
      <c r="AD1200" s="6">
        <v>8</v>
      </c>
      <c r="AE1200" s="1">
        <v>0</v>
      </c>
      <c r="AF1200" s="1">
        <f ca="1">IFERROR(__xludf.DUMMYFUNCTION("IFERROR(GOOGLEFINANCE(TRIM(F1200)&amp;"":"" &amp; TRIM(B1200),""high52""),AE1200)"),1923.85)</f>
        <v>1923.85</v>
      </c>
      <c r="AG1200" s="1">
        <v>0</v>
      </c>
      <c r="AH1200" s="1">
        <f ca="1">IFERROR(__xludf.DUMMYFUNCTION("IFERROR(GOOGLEFINANCE(TRIM(F1200)&amp;"":"" &amp; TRIM(B1200),""low52""),AE1200)"),653.55)</f>
        <v>653.54999999999995</v>
      </c>
      <c r="AI1200" s="1">
        <f ca="1">IFERROR(__xludf.DUMMYFUNCTION("IFERROR(GOOGLEFINANCE(B1200,""eps""),0)"),25)</f>
        <v>25</v>
      </c>
      <c r="AJ1200" s="1"/>
      <c r="AK1200" s="1" t="s">
        <v>3633</v>
      </c>
      <c r="AL1200" s="9">
        <f t="shared" si="175"/>
        <v>1</v>
      </c>
    </row>
    <row r="1201" spans="1:38" ht="15" x14ac:dyDescent="0.25">
      <c r="A1201" s="1" t="s">
        <v>3634</v>
      </c>
      <c r="B1201" s="1" t="s">
        <v>3635</v>
      </c>
      <c r="C1201" s="1" t="s">
        <v>1528</v>
      </c>
      <c r="D1201" s="1" t="s">
        <v>1528</v>
      </c>
      <c r="E1201" s="6">
        <v>98.27</v>
      </c>
      <c r="F1201" s="1" t="s">
        <v>40</v>
      </c>
      <c r="G1201" s="6">
        <f ca="1">IFERROR(__xludf.DUMMYFUNCTION("iferror(GOOGLEFINANCE(TRIM(F1201)&amp;"":"" &amp; TRIM(B1201), ""price""),0
)"),3.33)</f>
        <v>3.33</v>
      </c>
      <c r="H1201" s="6">
        <v>7.65</v>
      </c>
      <c r="I1201" s="6">
        <f t="shared" ca="1" si="0"/>
        <v>3.33</v>
      </c>
      <c r="J1201" s="6">
        <f ca="1">IFERROR(__xludf.DUMMYFUNCTION("IFERROR(GOOGLEFINANCE(B1201, ""volume""), 0)"),132935)</f>
        <v>132935</v>
      </c>
      <c r="K1201" s="6">
        <v>4.9400000000000004</v>
      </c>
      <c r="L1201" s="6">
        <f ca="1">IFERROR(__xludf.DUMMYFUNCTION("IFERROR(GOOGLEFINANCE(B1201,""changepct""),K1201)"),-0.89)</f>
        <v>-0.89</v>
      </c>
      <c r="M1201" s="6">
        <f ca="1">IFERROR(__xludf.DUMMYFUNCTION("IFERROR(GOOGLEFINANCE(B1201,""change""),0)"),-0.03)</f>
        <v>-0.03</v>
      </c>
      <c r="N1201" s="6">
        <v>1</v>
      </c>
      <c r="O1201" s="7">
        <v>45536</v>
      </c>
      <c r="P1201" s="6">
        <v>9.17</v>
      </c>
      <c r="Q1201" s="6">
        <v>107.44</v>
      </c>
      <c r="R1201" s="7">
        <v>45536</v>
      </c>
      <c r="S1201" s="6">
        <v>38.799999999999997</v>
      </c>
      <c r="T1201" s="6">
        <v>0.68</v>
      </c>
      <c r="U1201" s="7">
        <v>45536</v>
      </c>
      <c r="V1201" s="6">
        <v>143.66999999999999</v>
      </c>
      <c r="W1201" s="6">
        <f ca="1">IFERROR(__xludf.DUMMYFUNCTION("IFERROR(GOOGLEFINANCE(B1201,""pe""),V1201)"),143.67)</f>
        <v>143.66999999999999</v>
      </c>
      <c r="X1201" s="6">
        <v>-40.58</v>
      </c>
      <c r="Y1201" s="6">
        <v>3.36</v>
      </c>
      <c r="Z1201" s="6">
        <v>1</v>
      </c>
      <c r="AA1201" s="8">
        <v>45352</v>
      </c>
      <c r="AB1201" s="4">
        <v>0.35</v>
      </c>
      <c r="AC1201" s="6">
        <v>2.12</v>
      </c>
      <c r="AD1201" s="6">
        <v>4.6500000000000004</v>
      </c>
      <c r="AE1201" s="1">
        <v>0</v>
      </c>
      <c r="AF1201" s="1">
        <f ca="1">IFERROR(__xludf.DUMMYFUNCTION("IFERROR(GOOGLEFINANCE(TRIM(F1201)&amp;"":"" &amp; TRIM(B1201),""high52""),AE1201)"),7.04)</f>
        <v>7.04</v>
      </c>
      <c r="AG1201" s="1">
        <v>0</v>
      </c>
      <c r="AH1201" s="1">
        <f ca="1">IFERROR(__xludf.DUMMYFUNCTION("IFERROR(GOOGLEFINANCE(TRIM(F1201)&amp;"":"" &amp; TRIM(B1201),""low52""),AE1201)"),2.7)</f>
        <v>2.7</v>
      </c>
      <c r="AI1201" s="1">
        <f ca="1">IFERROR(__xludf.DUMMYFUNCTION("IFERROR(GOOGLEFINANCE(B1201,""eps""),0)"),-0.22)</f>
        <v>-0.22</v>
      </c>
      <c r="AJ1201" s="1"/>
      <c r="AK1201" s="1" t="s">
        <v>3636</v>
      </c>
      <c r="AL1201" s="9">
        <f t="shared" si="175"/>
        <v>1</v>
      </c>
    </row>
    <row r="1202" spans="1:38" ht="15" x14ac:dyDescent="0.25">
      <c r="A1202" s="1" t="s">
        <v>3637</v>
      </c>
      <c r="B1202" s="1" t="s">
        <v>3638</v>
      </c>
      <c r="C1202" s="1" t="s">
        <v>43</v>
      </c>
      <c r="D1202" s="1" t="s">
        <v>43</v>
      </c>
      <c r="E1202" s="6">
        <v>197.67</v>
      </c>
      <c r="F1202" s="1" t="s">
        <v>40</v>
      </c>
      <c r="G1202" s="6">
        <f ca="1">IFERROR(__xludf.DUMMYFUNCTION("iferror(GOOGLEFINANCE(TRIM(F1202)&amp;"":"" &amp; TRIM(B1202), ""price""),0
)"),120.6)</f>
        <v>120.6</v>
      </c>
      <c r="H1202" s="6">
        <v>202.82</v>
      </c>
      <c r="I1202" s="6">
        <f t="shared" ca="1" si="0"/>
        <v>120.6</v>
      </c>
      <c r="J1202" s="6">
        <f ca="1">IFERROR(__xludf.DUMMYFUNCTION("IFERROR(GOOGLEFINANCE(B1202, ""volume""), 0)"),841)</f>
        <v>841</v>
      </c>
      <c r="K1202" s="6">
        <v>1.1200000000000001</v>
      </c>
      <c r="L1202" s="6">
        <f ca="1">IFERROR(__xludf.DUMMYFUNCTION("IFERROR(GOOGLEFINANCE(B1202,""changepct""),K1202)"),-1.6)</f>
        <v>-1.6</v>
      </c>
      <c r="M1202" s="6">
        <f ca="1">IFERROR(__xludf.DUMMYFUNCTION("IFERROR(GOOGLEFINANCE(B1202,""change""),0)"),-1.96)</f>
        <v>-1.96</v>
      </c>
      <c r="N1202" s="6">
        <v>2</v>
      </c>
      <c r="O1202" s="7">
        <v>45536</v>
      </c>
      <c r="P1202" s="6">
        <v>5.69</v>
      </c>
      <c r="Q1202" s="7">
        <v>45536</v>
      </c>
      <c r="R1202" s="6">
        <v>34.72</v>
      </c>
      <c r="S1202" s="6">
        <v>-2.4300000000000002</v>
      </c>
      <c r="T1202" s="6">
        <v>0.28000000000000003</v>
      </c>
      <c r="U1202" s="6">
        <v>2</v>
      </c>
      <c r="V1202" s="7">
        <v>45352</v>
      </c>
      <c r="W1202" s="6">
        <f ca="1">IFERROR(__xludf.DUMMYFUNCTION("IFERROR(GOOGLEFINANCE(B1202,""pe""),V1202)"),186.25)</f>
        <v>186.25</v>
      </c>
      <c r="X1202" s="6">
        <v>0</v>
      </c>
      <c r="Y1202" s="6">
        <v>0.7</v>
      </c>
      <c r="Z1202" s="6">
        <v>1.19</v>
      </c>
      <c r="AA1202" s="3" t="s">
        <v>3639</v>
      </c>
      <c r="AB1202" s="3"/>
      <c r="AC1202" s="9"/>
      <c r="AD1202" s="9"/>
      <c r="AE1202" s="1">
        <v>0</v>
      </c>
      <c r="AF1202" s="1">
        <f ca="1">IFERROR(__xludf.DUMMYFUNCTION("IFERROR(GOOGLEFINANCE(TRIM(F1202)&amp;"":"" &amp; TRIM(B1202),""high52""),AE1202)"),191)</f>
        <v>191</v>
      </c>
      <c r="AG1202" s="1">
        <v>0</v>
      </c>
      <c r="AH1202" s="1">
        <f ca="1">IFERROR(__xludf.DUMMYFUNCTION("IFERROR(GOOGLEFINANCE(TRIM(F1202)&amp;"":"" &amp; TRIM(B1202),""low52""),AE1202)"),117)</f>
        <v>117</v>
      </c>
      <c r="AI1202" s="1">
        <f ca="1">IFERROR(__xludf.DUMMYFUNCTION("IFERROR(GOOGLEFINANCE(B1202,""eps""),0)"),0.65)</f>
        <v>0.65</v>
      </c>
      <c r="AJ1202" s="1"/>
      <c r="AK1202" s="1" t="s">
        <v>3640</v>
      </c>
      <c r="AL1202" s="9">
        <f t="shared" si="175"/>
        <v>1</v>
      </c>
    </row>
    <row r="1203" spans="1:38" ht="15" x14ac:dyDescent="0.25">
      <c r="A1203" s="1" t="s">
        <v>3641</v>
      </c>
      <c r="B1203" s="1" t="s">
        <v>3642</v>
      </c>
      <c r="C1203" s="1" t="s">
        <v>706</v>
      </c>
      <c r="D1203" s="1" t="s">
        <v>706</v>
      </c>
      <c r="E1203" s="6">
        <v>4.5</v>
      </c>
      <c r="F1203" s="1" t="s">
        <v>40</v>
      </c>
      <c r="G1203" s="6">
        <f ca="1">IFERROR(__xludf.DUMMYFUNCTION("iferror(GOOGLEFINANCE(TRIM(F1203)&amp;"":"" &amp; TRIM(B1203), ""price""),0
)"),0)</f>
        <v>0</v>
      </c>
      <c r="H1203" s="6">
        <v>1.1299999999999999</v>
      </c>
      <c r="I1203" s="6">
        <f t="shared" ca="1" si="0"/>
        <v>1.1299999999999999</v>
      </c>
      <c r="J1203" s="6">
        <f ca="1">IFERROR(__xludf.DUMMYFUNCTION("IFERROR(GOOGLEFINANCE(B1203, ""volume""), 0)"),0)</f>
        <v>0</v>
      </c>
      <c r="K1203" s="9"/>
      <c r="L1203" s="6" t="str">
        <f ca="1">IFERROR(__xludf.DUMMYFUNCTION("IFERROR(GOOGLEFINANCE(B1203,""changepct""),K1203)"),"")</f>
        <v/>
      </c>
      <c r="M1203" s="6">
        <f ca="1">IFERROR(__xludf.DUMMYFUNCTION("IFERROR(GOOGLEFINANCE(B1203,""change""),0)"),0)</f>
        <v>0</v>
      </c>
      <c r="N1203" s="6">
        <v>1</v>
      </c>
      <c r="O1203" s="7">
        <v>45536</v>
      </c>
      <c r="P1203" s="6">
        <v>240.47</v>
      </c>
      <c r="Q1203" s="6">
        <v>244.97</v>
      </c>
      <c r="R1203" s="7">
        <v>45536</v>
      </c>
      <c r="S1203" s="6">
        <v>0</v>
      </c>
      <c r="T1203" s="6">
        <v>-0.08</v>
      </c>
      <c r="U1203" s="7">
        <v>45536</v>
      </c>
      <c r="V1203" s="6">
        <v>0</v>
      </c>
      <c r="W1203" s="6">
        <f ca="1">IFERROR(__xludf.DUMMYFUNCTION("IFERROR(GOOGLEFINANCE(B1203,""pe""),V1203)"),0)</f>
        <v>0</v>
      </c>
      <c r="X1203" s="6">
        <v>0</v>
      </c>
      <c r="Y1203" s="6">
        <v>-0.01</v>
      </c>
      <c r="Z1203" s="6">
        <v>1</v>
      </c>
      <c r="AA1203" s="8">
        <v>45352</v>
      </c>
      <c r="AB1203" s="4">
        <v>-1.01</v>
      </c>
      <c r="AC1203" s="6">
        <v>0</v>
      </c>
      <c r="AD1203" s="6">
        <v>-1.97</v>
      </c>
      <c r="AE1203" s="1">
        <v>0</v>
      </c>
      <c r="AF1203" s="1">
        <f ca="1">IFERROR(__xludf.DUMMYFUNCTION("IFERROR(GOOGLEFINANCE(TRIM(F1203)&amp;"":"" &amp; TRIM(B1203),""high52""),AE1203)"),0)</f>
        <v>0</v>
      </c>
      <c r="AG1203" s="1">
        <v>0</v>
      </c>
      <c r="AH1203" s="1">
        <f ca="1">IFERROR(__xludf.DUMMYFUNCTION("IFERROR(GOOGLEFINANCE(TRIM(F1203)&amp;"":"" &amp; TRIM(B1203),""low52""),AE1203)"),0)</f>
        <v>0</v>
      </c>
      <c r="AI1203" s="1">
        <f ca="1">IFERROR(__xludf.DUMMYFUNCTION("IFERROR(GOOGLEFINANCE(B1203,""eps""),0)"),0)</f>
        <v>0</v>
      </c>
      <c r="AJ1203" s="1"/>
      <c r="AK1203" s="1" t="s">
        <v>3643</v>
      </c>
      <c r="AL1203" s="9">
        <f t="shared" si="175"/>
        <v>1</v>
      </c>
    </row>
    <row r="1204" spans="1:38" ht="15" x14ac:dyDescent="0.25">
      <c r="A1204" s="1" t="s">
        <v>3644</v>
      </c>
      <c r="B1204" s="1" t="s">
        <v>3645</v>
      </c>
      <c r="C1204" s="1" t="s">
        <v>125</v>
      </c>
      <c r="D1204" s="1" t="s">
        <v>125</v>
      </c>
      <c r="E1204" s="6">
        <v>61.68</v>
      </c>
      <c r="F1204" s="1" t="s">
        <v>53</v>
      </c>
      <c r="G1204" s="6">
        <f ca="1">IFERROR(__xludf.DUMMYFUNCTION("iferror(GOOGLEFINANCE(TRIM(F1204)&amp;"":"" &amp; TRIM(B1204), ""price""),0
)"),0)</f>
        <v>0</v>
      </c>
      <c r="H1204" s="6">
        <v>221.45</v>
      </c>
      <c r="I1204" s="6">
        <f t="shared" ca="1" si="0"/>
        <v>221.45</v>
      </c>
      <c r="J1204" s="6">
        <f ca="1">IFERROR(__xludf.DUMMYFUNCTION("IFERROR(GOOGLEFINANCE(B1204, ""volume""), 0)"),0)</f>
        <v>0</v>
      </c>
      <c r="K1204" s="6">
        <v>3.46</v>
      </c>
      <c r="L1204" s="6">
        <f ca="1">IFERROR(__xludf.DUMMYFUNCTION("IFERROR(GOOGLEFINANCE(B1204,""changepct""),K1204)"),3.46)</f>
        <v>3.46</v>
      </c>
      <c r="M1204" s="6">
        <f ca="1">IFERROR(__xludf.DUMMYFUNCTION("IFERROR(GOOGLEFINANCE(B1204,""change""),0)"),0)</f>
        <v>0</v>
      </c>
      <c r="N1204" s="6">
        <v>1</v>
      </c>
      <c r="O1204" s="7">
        <v>45536</v>
      </c>
      <c r="P1204" s="9"/>
      <c r="Q1204" s="6">
        <v>61.68</v>
      </c>
      <c r="R1204" s="7">
        <v>45536</v>
      </c>
      <c r="S1204" s="6">
        <v>0</v>
      </c>
      <c r="T1204" s="6">
        <v>-0.14000000000000001</v>
      </c>
      <c r="U1204" s="7">
        <v>45536</v>
      </c>
      <c r="V1204" s="6">
        <v>0</v>
      </c>
      <c r="W1204" s="6">
        <f ca="1">IFERROR(__xludf.DUMMYFUNCTION("IFERROR(GOOGLEFINANCE(B1204,""pe""),V1204)"),0)</f>
        <v>0</v>
      </c>
      <c r="X1204" s="6">
        <v>0</v>
      </c>
      <c r="Y1204" s="6">
        <v>35.049999999999997</v>
      </c>
      <c r="Z1204" s="6">
        <v>1</v>
      </c>
      <c r="AA1204" s="8">
        <v>45352</v>
      </c>
      <c r="AB1204" s="4">
        <v>0</v>
      </c>
      <c r="AC1204" s="6">
        <v>-11.38</v>
      </c>
      <c r="AD1204" s="6">
        <v>-7.24</v>
      </c>
      <c r="AE1204" s="1">
        <v>0</v>
      </c>
      <c r="AF1204" s="1">
        <f ca="1">IFERROR(__xludf.DUMMYFUNCTION("IFERROR(GOOGLEFINANCE(TRIM(F1204)&amp;"":"" &amp; TRIM(B1204),""high52""),AE1204)"),0)</f>
        <v>0</v>
      </c>
      <c r="AG1204" s="1">
        <v>0</v>
      </c>
      <c r="AH1204" s="1">
        <f ca="1">IFERROR(__xludf.DUMMYFUNCTION("IFERROR(GOOGLEFINANCE(TRIM(F1204)&amp;"":"" &amp; TRIM(B1204),""low52""),AE1204)"),0)</f>
        <v>0</v>
      </c>
      <c r="AI1204" s="1">
        <f ca="1">IFERROR(__xludf.DUMMYFUNCTION("IFERROR(GOOGLEFINANCE(B1204,""eps""),0)"),0)</f>
        <v>0</v>
      </c>
      <c r="AJ1204" s="1"/>
      <c r="AK1204" s="1" t="s">
        <v>3646</v>
      </c>
      <c r="AL1204" s="9">
        <f t="shared" si="175"/>
        <v>1</v>
      </c>
    </row>
    <row r="1205" spans="1:38" ht="15" x14ac:dyDescent="0.25">
      <c r="A1205" s="1" t="s">
        <v>3647</v>
      </c>
      <c r="B1205" s="1" t="s">
        <v>3648</v>
      </c>
      <c r="C1205" s="1" t="s">
        <v>125</v>
      </c>
      <c r="D1205" s="1" t="s">
        <v>125</v>
      </c>
      <c r="E1205" s="6">
        <v>201.88</v>
      </c>
      <c r="F1205" s="1" t="s">
        <v>53</v>
      </c>
      <c r="G1205" s="6">
        <f ca="1">IFERROR(__xludf.DUMMYFUNCTION("iferror(GOOGLEFINANCE(TRIM(F1205)&amp;"":"" &amp; TRIM(B1205), ""price""),0
)"),0)</f>
        <v>0</v>
      </c>
      <c r="H1205" s="6">
        <v>1794</v>
      </c>
      <c r="I1205" s="6">
        <f t="shared" ca="1" si="0"/>
        <v>1794</v>
      </c>
      <c r="J1205" s="6">
        <f ca="1">IFERROR(__xludf.DUMMYFUNCTION("IFERROR(GOOGLEFINANCE(B1205, ""volume""), 0)"),0)</f>
        <v>0</v>
      </c>
      <c r="K1205" s="6">
        <v>4.3099999999999996</v>
      </c>
      <c r="L1205" s="6">
        <f ca="1">IFERROR(__xludf.DUMMYFUNCTION("IFERROR(GOOGLEFINANCE(B1205,""changepct""),K1205)"),4.31)</f>
        <v>4.3099999999999996</v>
      </c>
      <c r="M1205" s="6">
        <f ca="1">IFERROR(__xludf.DUMMYFUNCTION("IFERROR(GOOGLEFINANCE(B1205,""change""),0)"),0)</f>
        <v>0</v>
      </c>
      <c r="N1205" s="6">
        <v>1</v>
      </c>
      <c r="O1205" s="7">
        <v>45536</v>
      </c>
      <c r="P1205" s="6">
        <v>3.71</v>
      </c>
      <c r="Q1205" s="6">
        <v>205.3</v>
      </c>
      <c r="R1205" s="7">
        <v>45536</v>
      </c>
      <c r="S1205" s="6">
        <v>53.23</v>
      </c>
      <c r="T1205" s="6">
        <v>7.01</v>
      </c>
      <c r="U1205" s="7">
        <v>45536</v>
      </c>
      <c r="V1205" s="6">
        <v>28.81</v>
      </c>
      <c r="W1205" s="6">
        <f ca="1">IFERROR(__xludf.DUMMYFUNCTION("IFERROR(GOOGLEFINANCE(B1205,""pe""),V1205)"),28.81)</f>
        <v>28.81</v>
      </c>
      <c r="X1205" s="6">
        <v>0.36</v>
      </c>
      <c r="Y1205" s="6">
        <v>4.6500000000000004</v>
      </c>
      <c r="Z1205" s="6">
        <v>1</v>
      </c>
      <c r="AA1205" s="8">
        <v>45352</v>
      </c>
      <c r="AB1205" s="4">
        <v>0.13</v>
      </c>
      <c r="AC1205" s="6">
        <v>17.75</v>
      </c>
      <c r="AD1205" s="6">
        <v>22.29</v>
      </c>
      <c r="AE1205" s="1">
        <v>0</v>
      </c>
      <c r="AF1205" s="1">
        <f ca="1">IFERROR(__xludf.DUMMYFUNCTION("IFERROR(GOOGLEFINANCE(TRIM(F1205)&amp;"":"" &amp; TRIM(B1205),""high52""),AE1205)"),0)</f>
        <v>0</v>
      </c>
      <c r="AG1205" s="1">
        <v>0</v>
      </c>
      <c r="AH1205" s="1">
        <f ca="1">IFERROR(__xludf.DUMMYFUNCTION("IFERROR(GOOGLEFINANCE(TRIM(F1205)&amp;"":"" &amp; TRIM(B1205),""low52""),AE1205)"),0)</f>
        <v>0</v>
      </c>
      <c r="AI1205" s="1">
        <f ca="1">IFERROR(__xludf.DUMMYFUNCTION("IFERROR(GOOGLEFINANCE(B1205,""eps""),0)"),0)</f>
        <v>0</v>
      </c>
      <c r="AJ1205" s="1"/>
      <c r="AK1205" s="1" t="s">
        <v>3649</v>
      </c>
      <c r="AL1205" s="9">
        <f t="shared" si="175"/>
        <v>1</v>
      </c>
    </row>
    <row r="1206" spans="1:38" ht="15" x14ac:dyDescent="0.25">
      <c r="A1206" s="1" t="s">
        <v>3650</v>
      </c>
      <c r="B1206" s="1" t="s">
        <v>3651</v>
      </c>
      <c r="C1206" s="1" t="s">
        <v>125</v>
      </c>
      <c r="D1206" s="1" t="s">
        <v>125</v>
      </c>
      <c r="E1206" s="6">
        <v>233.33</v>
      </c>
      <c r="F1206" s="1" t="s">
        <v>53</v>
      </c>
      <c r="G1206" s="6">
        <f ca="1">IFERROR(__xludf.DUMMYFUNCTION("iferror(GOOGLEFINANCE(TRIM(F1206)&amp;"":"" &amp; TRIM(B1206), ""price""),0
)"),0)</f>
        <v>0</v>
      </c>
      <c r="H1206" s="6">
        <v>99.8</v>
      </c>
      <c r="I1206" s="6">
        <f t="shared" ca="1" si="0"/>
        <v>99.8</v>
      </c>
      <c r="J1206" s="6">
        <f ca="1">IFERROR(__xludf.DUMMYFUNCTION("IFERROR(GOOGLEFINANCE(B1206, ""volume""), 0)"),0)</f>
        <v>0</v>
      </c>
      <c r="K1206" s="6">
        <v>-1.23</v>
      </c>
      <c r="L1206" s="6">
        <f ca="1">IFERROR(__xludf.DUMMYFUNCTION("IFERROR(GOOGLEFINANCE(B1206,""changepct""),K1206)"),-1.23)</f>
        <v>-1.23</v>
      </c>
      <c r="M1206" s="6">
        <f ca="1">IFERROR(__xludf.DUMMYFUNCTION("IFERROR(GOOGLEFINANCE(B1206,""change""),0)"),0)</f>
        <v>0</v>
      </c>
      <c r="N1206" s="6">
        <v>2</v>
      </c>
      <c r="O1206" s="7">
        <v>45536</v>
      </c>
      <c r="P1206" s="6">
        <v>241.75</v>
      </c>
      <c r="Q1206" s="6">
        <v>443.86</v>
      </c>
      <c r="R1206" s="7">
        <v>45536</v>
      </c>
      <c r="S1206" s="6">
        <v>189.07</v>
      </c>
      <c r="T1206" s="6">
        <v>10.050000000000001</v>
      </c>
      <c r="U1206" s="7">
        <v>45536</v>
      </c>
      <c r="V1206" s="6">
        <v>20.36</v>
      </c>
      <c r="W1206" s="6">
        <f ca="1">IFERROR(__xludf.DUMMYFUNCTION("IFERROR(GOOGLEFINANCE(B1206,""pe""),V1206)"),20.36)</f>
        <v>20.36</v>
      </c>
      <c r="X1206" s="6">
        <v>0.69</v>
      </c>
      <c r="Y1206" s="6">
        <v>-4.09</v>
      </c>
      <c r="Z1206" s="6">
        <v>2</v>
      </c>
      <c r="AA1206" s="8">
        <v>45352</v>
      </c>
      <c r="AB1206" s="4">
        <v>-4.05</v>
      </c>
      <c r="AC1206" s="6">
        <v>0</v>
      </c>
      <c r="AD1206" s="6">
        <v>4.75</v>
      </c>
      <c r="AE1206" s="1">
        <v>0</v>
      </c>
      <c r="AF1206" s="1">
        <f ca="1">IFERROR(__xludf.DUMMYFUNCTION("IFERROR(GOOGLEFINANCE(TRIM(F1206)&amp;"":"" &amp; TRIM(B1206),""high52""),AE1206)"),0)</f>
        <v>0</v>
      </c>
      <c r="AG1206" s="1">
        <v>0</v>
      </c>
      <c r="AH1206" s="1">
        <f ca="1">IFERROR(__xludf.DUMMYFUNCTION("IFERROR(GOOGLEFINANCE(TRIM(F1206)&amp;"":"" &amp; TRIM(B1206),""low52""),AE1206)"),0)</f>
        <v>0</v>
      </c>
      <c r="AI1206" s="1">
        <f ca="1">IFERROR(__xludf.DUMMYFUNCTION("IFERROR(GOOGLEFINANCE(B1206,""eps""),0)"),0)</f>
        <v>0</v>
      </c>
      <c r="AJ1206" s="1"/>
      <c r="AK1206" s="1" t="s">
        <v>3652</v>
      </c>
      <c r="AL1206" s="9">
        <f t="shared" si="175"/>
        <v>1</v>
      </c>
    </row>
    <row r="1207" spans="1:38" ht="15" x14ac:dyDescent="0.25">
      <c r="A1207" s="1" t="s">
        <v>3653</v>
      </c>
      <c r="B1207" s="1" t="s">
        <v>3654</v>
      </c>
      <c r="C1207" s="1" t="s">
        <v>125</v>
      </c>
      <c r="D1207" s="1" t="s">
        <v>125</v>
      </c>
      <c r="E1207" s="6">
        <v>466.22</v>
      </c>
      <c r="F1207" s="1" t="s">
        <v>53</v>
      </c>
      <c r="G1207" s="6">
        <f ca="1">IFERROR(__xludf.DUMMYFUNCTION("iferror(GOOGLEFINANCE(TRIM(F1207)&amp;"":"" &amp; TRIM(B1207), ""price""),0
)"),0)</f>
        <v>0</v>
      </c>
      <c r="H1207" s="6">
        <v>1395.65</v>
      </c>
      <c r="I1207" s="6">
        <f t="shared" ca="1" si="0"/>
        <v>1395.65</v>
      </c>
      <c r="J1207" s="6">
        <f ca="1">IFERROR(__xludf.DUMMYFUNCTION("IFERROR(GOOGLEFINANCE(B1207, ""volume""), 0)"),0)</f>
        <v>0</v>
      </c>
      <c r="K1207" s="6">
        <v>-5</v>
      </c>
      <c r="L1207" s="6">
        <f ca="1">IFERROR(__xludf.DUMMYFUNCTION("IFERROR(GOOGLEFINANCE(B1207,""changepct""),K1207)"),-5)</f>
        <v>-5</v>
      </c>
      <c r="M1207" s="6">
        <f ca="1">IFERROR(__xludf.DUMMYFUNCTION("IFERROR(GOOGLEFINANCE(B1207,""change""),0)"),0)</f>
        <v>0</v>
      </c>
      <c r="N1207" s="6">
        <v>1</v>
      </c>
      <c r="O1207" s="7">
        <v>45536</v>
      </c>
      <c r="P1207" s="9"/>
      <c r="Q1207" s="6">
        <v>457.88</v>
      </c>
      <c r="R1207" s="7">
        <v>45536</v>
      </c>
      <c r="S1207" s="6">
        <v>51.67</v>
      </c>
      <c r="T1207" s="6">
        <v>5.67</v>
      </c>
      <c r="U1207" s="7">
        <v>45536</v>
      </c>
      <c r="V1207" s="6">
        <v>82.2</v>
      </c>
      <c r="W1207" s="6">
        <f ca="1">IFERROR(__xludf.DUMMYFUNCTION("IFERROR(GOOGLEFINANCE(B1207,""pe""),V1207)"),82.2)</f>
        <v>82.2</v>
      </c>
      <c r="X1207" s="6">
        <v>3.03</v>
      </c>
      <c r="Y1207" s="6">
        <v>17.77</v>
      </c>
      <c r="Z1207" s="6">
        <v>1</v>
      </c>
      <c r="AA1207" s="8">
        <v>45352</v>
      </c>
      <c r="AB1207" s="4">
        <v>0</v>
      </c>
      <c r="AC1207" s="6">
        <v>20.61</v>
      </c>
      <c r="AD1207" s="6">
        <v>29.17</v>
      </c>
      <c r="AE1207" s="1">
        <v>0</v>
      </c>
      <c r="AF1207" s="1">
        <f ca="1">IFERROR(__xludf.DUMMYFUNCTION("IFERROR(GOOGLEFINANCE(TRIM(F1207)&amp;"":"" &amp; TRIM(B1207),""high52""),AE1207)"),0)</f>
        <v>0</v>
      </c>
      <c r="AG1207" s="1">
        <v>0</v>
      </c>
      <c r="AH1207" s="1">
        <f ca="1">IFERROR(__xludf.DUMMYFUNCTION("IFERROR(GOOGLEFINANCE(TRIM(F1207)&amp;"":"" &amp; TRIM(B1207),""low52""),AE1207)"),0)</f>
        <v>0</v>
      </c>
      <c r="AI1207" s="1">
        <f ca="1">IFERROR(__xludf.DUMMYFUNCTION("IFERROR(GOOGLEFINANCE(B1207,""eps""),0)"),0)</f>
        <v>0</v>
      </c>
      <c r="AJ1207" s="1"/>
      <c r="AK1207" s="1" t="s">
        <v>3655</v>
      </c>
      <c r="AL1207" s="9">
        <f t="shared" si="175"/>
        <v>1</v>
      </c>
    </row>
    <row r="1208" spans="1:38" ht="15" x14ac:dyDescent="0.25">
      <c r="A1208" s="1" t="s">
        <v>3656</v>
      </c>
      <c r="B1208" s="1" t="s">
        <v>3657</v>
      </c>
      <c r="C1208" s="1" t="s">
        <v>2152</v>
      </c>
      <c r="D1208" s="1" t="s">
        <v>2152</v>
      </c>
      <c r="E1208" s="6">
        <v>18905.09</v>
      </c>
      <c r="F1208" s="1" t="s">
        <v>40</v>
      </c>
      <c r="G1208" s="6">
        <f ca="1">IFERROR(__xludf.DUMMYFUNCTION("iferror(GOOGLEFINANCE(TRIM(F1208)&amp;"":"" &amp; TRIM(B1208), ""price""),0
)"),2594)</f>
        <v>2594</v>
      </c>
      <c r="H1208" s="6">
        <v>1671.75</v>
      </c>
      <c r="I1208" s="6">
        <f t="shared" ca="1" si="0"/>
        <v>2594</v>
      </c>
      <c r="J1208" s="6">
        <f ca="1">IFERROR(__xludf.DUMMYFUNCTION("IFERROR(GOOGLEFINANCE(B1208, ""volume""), 0)"),1849047)</f>
        <v>1849047</v>
      </c>
      <c r="K1208" s="6">
        <v>1.34</v>
      </c>
      <c r="L1208" s="6">
        <f ca="1">IFERROR(__xludf.DUMMYFUNCTION("IFERROR(GOOGLEFINANCE(B1208,""changepct""),K1208)"),2.85)</f>
        <v>2.85</v>
      </c>
      <c r="M1208" s="6">
        <f ca="1">IFERROR(__xludf.DUMMYFUNCTION("IFERROR(GOOGLEFINANCE(B1208,""change""),0)"),71.8)</f>
        <v>71.8</v>
      </c>
      <c r="N1208" s="6">
        <v>1</v>
      </c>
      <c r="O1208" s="7">
        <v>45536</v>
      </c>
      <c r="P1208" s="9"/>
      <c r="Q1208" s="6">
        <v>15549.47</v>
      </c>
      <c r="R1208" s="7">
        <v>45536</v>
      </c>
      <c r="S1208" s="6">
        <v>4101.47</v>
      </c>
      <c r="T1208" s="6">
        <v>384.82</v>
      </c>
      <c r="U1208" s="7">
        <v>45536</v>
      </c>
      <c r="V1208" s="6">
        <v>49.13</v>
      </c>
      <c r="W1208" s="6">
        <f ca="1">IFERROR(__xludf.DUMMYFUNCTION("IFERROR(GOOGLEFINANCE(B1208,""pe""),V1208)"),43.13)</f>
        <v>43.13</v>
      </c>
      <c r="X1208" s="6">
        <v>1.87</v>
      </c>
      <c r="Y1208" s="6">
        <v>10.26</v>
      </c>
      <c r="Z1208" s="6">
        <v>1</v>
      </c>
      <c r="AA1208" s="8">
        <v>45352</v>
      </c>
      <c r="AB1208" s="4">
        <v>0.03</v>
      </c>
      <c r="AC1208" s="6">
        <v>23.14</v>
      </c>
      <c r="AD1208" s="6">
        <v>28.88</v>
      </c>
      <c r="AE1208" s="1">
        <v>0</v>
      </c>
      <c r="AF1208" s="1">
        <f ca="1">IFERROR(__xludf.DUMMYFUNCTION("IFERROR(GOOGLEFINANCE(TRIM(F1208)&amp;"":"" &amp; TRIM(B1208),""high52""),AE1208)"),3538.4)</f>
        <v>3538.4</v>
      </c>
      <c r="AG1208" s="1">
        <v>0</v>
      </c>
      <c r="AH1208" s="1">
        <f ca="1">IFERROR(__xludf.DUMMYFUNCTION("IFERROR(GOOGLEFINANCE(TRIM(F1208)&amp;"":"" &amp; TRIM(B1208),""low52""),AE1208)"),1184.9)</f>
        <v>1184.9000000000001</v>
      </c>
      <c r="AI1208" s="1">
        <f ca="1">IFERROR(__xludf.DUMMYFUNCTION("IFERROR(GOOGLEFINANCE(B1208,""eps""),0)"),60.15)</f>
        <v>60.15</v>
      </c>
      <c r="AJ1208" s="1"/>
      <c r="AK1208" s="1" t="s">
        <v>3658</v>
      </c>
      <c r="AL1208" s="9">
        <f t="shared" si="175"/>
        <v>1</v>
      </c>
    </row>
    <row r="1209" spans="1:38" ht="15" x14ac:dyDescent="0.25">
      <c r="A1209" s="1" t="s">
        <v>3659</v>
      </c>
      <c r="B1209" s="1" t="s">
        <v>3660</v>
      </c>
      <c r="C1209" s="1" t="s">
        <v>125</v>
      </c>
      <c r="D1209" s="1" t="s">
        <v>125</v>
      </c>
      <c r="E1209" s="6">
        <v>307.36</v>
      </c>
      <c r="F1209" s="1" t="s">
        <v>53</v>
      </c>
      <c r="G1209" s="6">
        <f ca="1">IFERROR(__xludf.DUMMYFUNCTION("iferror(GOOGLEFINANCE(TRIM(F1209)&amp;"":"" &amp; TRIM(B1209), ""price""),0
)"),0)</f>
        <v>0</v>
      </c>
      <c r="H1209" s="6">
        <v>1255</v>
      </c>
      <c r="I1209" s="6">
        <f t="shared" ca="1" si="0"/>
        <v>1255</v>
      </c>
      <c r="J1209" s="6">
        <f ca="1">IFERROR(__xludf.DUMMYFUNCTION("IFERROR(GOOGLEFINANCE(B1209, ""volume""), 0)"),0)</f>
        <v>0</v>
      </c>
      <c r="K1209" s="6">
        <v>0.36</v>
      </c>
      <c r="L1209" s="6">
        <f ca="1">IFERROR(__xludf.DUMMYFUNCTION("IFERROR(GOOGLEFINANCE(B1209,""changepct""),K1209)"),0.36)</f>
        <v>0.36</v>
      </c>
      <c r="M1209" s="6">
        <f ca="1">IFERROR(__xludf.DUMMYFUNCTION("IFERROR(GOOGLEFINANCE(B1209,""change""),0)"),0)</f>
        <v>0</v>
      </c>
      <c r="N1209" s="6">
        <v>1</v>
      </c>
      <c r="O1209" s="7">
        <v>45536</v>
      </c>
      <c r="P1209" s="6">
        <v>11.17</v>
      </c>
      <c r="Q1209" s="6">
        <v>303.95</v>
      </c>
      <c r="R1209" s="7">
        <v>45536</v>
      </c>
      <c r="S1209" s="6">
        <v>248.02</v>
      </c>
      <c r="T1209" s="6">
        <v>4.6399999999999997</v>
      </c>
      <c r="U1209" s="7">
        <v>45536</v>
      </c>
      <c r="V1209" s="6">
        <v>66.28</v>
      </c>
      <c r="W1209" s="6">
        <f ca="1">IFERROR(__xludf.DUMMYFUNCTION("IFERROR(GOOGLEFINANCE(B1209,""pe""),V1209)"),66.28)</f>
        <v>66.28</v>
      </c>
      <c r="X1209" s="6">
        <v>10.01</v>
      </c>
      <c r="Y1209" s="6">
        <v>1.02</v>
      </c>
      <c r="Z1209" s="6">
        <v>1</v>
      </c>
      <c r="AA1209" s="8">
        <v>45352</v>
      </c>
      <c r="AB1209" s="4">
        <v>0.02</v>
      </c>
      <c r="AC1209" s="6">
        <v>5.44</v>
      </c>
      <c r="AD1209" s="6">
        <v>7.37</v>
      </c>
      <c r="AE1209" s="1">
        <v>0</v>
      </c>
      <c r="AF1209" s="1">
        <f ca="1">IFERROR(__xludf.DUMMYFUNCTION("IFERROR(GOOGLEFINANCE(TRIM(F1209)&amp;"":"" &amp; TRIM(B1209),""high52""),AE1209)"),0)</f>
        <v>0</v>
      </c>
      <c r="AG1209" s="1">
        <v>0</v>
      </c>
      <c r="AH1209" s="1">
        <f ca="1">IFERROR(__xludf.DUMMYFUNCTION("IFERROR(GOOGLEFINANCE(TRIM(F1209)&amp;"":"" &amp; TRIM(B1209),""low52""),AE1209)"),0)</f>
        <v>0</v>
      </c>
      <c r="AI1209" s="1">
        <f ca="1">IFERROR(__xludf.DUMMYFUNCTION("IFERROR(GOOGLEFINANCE(B1209,""eps""),0)"),0)</f>
        <v>0</v>
      </c>
      <c r="AJ1209" s="1"/>
      <c r="AK1209" s="1" t="s">
        <v>3661</v>
      </c>
      <c r="AL1209" s="9">
        <f t="shared" si="175"/>
        <v>1</v>
      </c>
    </row>
    <row r="1210" spans="1:38" ht="15" x14ac:dyDescent="0.25">
      <c r="A1210" s="1" t="s">
        <v>3662</v>
      </c>
      <c r="B1210" s="1" t="s">
        <v>3663</v>
      </c>
      <c r="C1210" s="1" t="s">
        <v>125</v>
      </c>
      <c r="D1210" s="1" t="s">
        <v>125</v>
      </c>
      <c r="E1210" s="6">
        <v>3747.48</v>
      </c>
      <c r="F1210" s="1" t="s">
        <v>53</v>
      </c>
      <c r="G1210" s="6">
        <f ca="1">IFERROR(__xludf.DUMMYFUNCTION("iferror(GOOGLEFINANCE(TRIM(F1210)&amp;"":"" &amp; TRIM(B1210), ""price""),0
)"),0)</f>
        <v>0</v>
      </c>
      <c r="H1210" s="6">
        <v>215</v>
      </c>
      <c r="I1210" s="6">
        <f t="shared" ca="1" si="0"/>
        <v>215</v>
      </c>
      <c r="J1210" s="6">
        <f ca="1">IFERROR(__xludf.DUMMYFUNCTION("IFERROR(GOOGLEFINANCE(B1210, ""volume""), 0)"),0)</f>
        <v>0</v>
      </c>
      <c r="K1210" s="6">
        <v>-1.26</v>
      </c>
      <c r="L1210" s="6">
        <f ca="1">IFERROR(__xludf.DUMMYFUNCTION("IFERROR(GOOGLEFINANCE(B1210,""changepct""),K1210)"),-1.26)</f>
        <v>-1.26</v>
      </c>
      <c r="M1210" s="6">
        <f ca="1">IFERROR(__xludf.DUMMYFUNCTION("IFERROR(GOOGLEFINANCE(B1210,""change""),0)"),0)</f>
        <v>0</v>
      </c>
      <c r="N1210" s="6">
        <v>1</v>
      </c>
      <c r="O1210" s="7">
        <v>45536</v>
      </c>
      <c r="P1210" s="6">
        <v>4.6100000000000003</v>
      </c>
      <c r="Q1210" s="6">
        <v>3751.38</v>
      </c>
      <c r="R1210" s="7">
        <v>45536</v>
      </c>
      <c r="S1210" s="6">
        <v>72.81</v>
      </c>
      <c r="T1210" s="6">
        <v>13.3</v>
      </c>
      <c r="U1210" s="7">
        <v>45536</v>
      </c>
      <c r="V1210" s="6">
        <v>281.68</v>
      </c>
      <c r="W1210" s="6">
        <f ca="1">IFERROR(__xludf.DUMMYFUNCTION("IFERROR(GOOGLEFINANCE(B1210,""pe""),V1210)"),281.68)</f>
        <v>281.68</v>
      </c>
      <c r="X1210" s="6">
        <v>18.53</v>
      </c>
      <c r="Y1210" s="6">
        <v>34.96</v>
      </c>
      <c r="Z1210" s="6">
        <v>1</v>
      </c>
      <c r="AA1210" s="13">
        <v>45352</v>
      </c>
      <c r="AB1210" s="4">
        <v>0.63</v>
      </c>
      <c r="AC1210" s="6">
        <v>7.29</v>
      </c>
      <c r="AD1210" s="6">
        <v>3.1</v>
      </c>
      <c r="AE1210" s="1">
        <v>0</v>
      </c>
      <c r="AF1210" s="1">
        <f ca="1">IFERROR(__xludf.DUMMYFUNCTION("IFERROR(GOOGLEFINANCE(TRIM(F1210)&amp;"":"" &amp; TRIM(B1210),""high52""),AE1210)"),0)</f>
        <v>0</v>
      </c>
      <c r="AG1210" s="1">
        <v>0</v>
      </c>
      <c r="AH1210" s="1">
        <f ca="1">IFERROR(__xludf.DUMMYFUNCTION("IFERROR(GOOGLEFINANCE(TRIM(F1210)&amp;"":"" &amp; TRIM(B1210),""low52""),AE1210)"),0)</f>
        <v>0</v>
      </c>
      <c r="AI1210" s="1">
        <f ca="1">IFERROR(__xludf.DUMMYFUNCTION("IFERROR(GOOGLEFINANCE(B1210,""eps""),0)"),0)</f>
        <v>0</v>
      </c>
      <c r="AJ1210" s="1"/>
      <c r="AK1210" s="1" t="s">
        <v>3664</v>
      </c>
      <c r="AL1210" s="9">
        <f t="shared" si="175"/>
        <v>1</v>
      </c>
    </row>
    <row r="1211" spans="1:38" ht="15" x14ac:dyDescent="0.25">
      <c r="A1211" s="1" t="s">
        <v>3665</v>
      </c>
      <c r="B1211" s="1" t="s">
        <v>3666</v>
      </c>
      <c r="C1211" s="1" t="s">
        <v>125</v>
      </c>
      <c r="D1211" s="1" t="s">
        <v>125</v>
      </c>
      <c r="E1211" s="6">
        <v>794.25</v>
      </c>
      <c r="F1211" s="1" t="s">
        <v>53</v>
      </c>
      <c r="G1211" s="6">
        <f ca="1">IFERROR(__xludf.DUMMYFUNCTION("iferror(GOOGLEFINANCE(TRIM(F1211)&amp;"":"" &amp; TRIM(B1211), ""price""),0
)"),0)</f>
        <v>0</v>
      </c>
      <c r="H1211" s="6">
        <v>302.14999999999998</v>
      </c>
      <c r="I1211" s="6">
        <f t="shared" ca="1" si="0"/>
        <v>302.14999999999998</v>
      </c>
      <c r="J1211" s="6">
        <f ca="1">IFERROR(__xludf.DUMMYFUNCTION("IFERROR(GOOGLEFINANCE(B1211, ""volume""), 0)"),0)</f>
        <v>0</v>
      </c>
      <c r="K1211" s="6">
        <v>1.99</v>
      </c>
      <c r="L1211" s="6">
        <f ca="1">IFERROR(__xludf.DUMMYFUNCTION("IFERROR(GOOGLEFINANCE(B1211,""changepct""),K1211)"),1.99)</f>
        <v>1.99</v>
      </c>
      <c r="M1211" s="6">
        <f ca="1">IFERROR(__xludf.DUMMYFUNCTION("IFERROR(GOOGLEFINANCE(B1211,""change""),0)"),0)</f>
        <v>0</v>
      </c>
      <c r="N1211" s="6">
        <v>2</v>
      </c>
      <c r="O1211" s="7">
        <v>45536</v>
      </c>
      <c r="P1211" s="6">
        <v>23.45</v>
      </c>
      <c r="Q1211" s="6">
        <v>812.78</v>
      </c>
      <c r="R1211" s="7">
        <v>45536</v>
      </c>
      <c r="S1211" s="6">
        <v>21.39</v>
      </c>
      <c r="T1211" s="6">
        <v>1.1599999999999999</v>
      </c>
      <c r="U1211" s="7">
        <v>45536</v>
      </c>
      <c r="V1211" s="6">
        <v>685.29</v>
      </c>
      <c r="W1211" s="6">
        <f ca="1">IFERROR(__xludf.DUMMYFUNCTION("IFERROR(GOOGLEFINANCE(B1211,""pe""),V1211)"),685.29)</f>
        <v>685.29</v>
      </c>
      <c r="X1211" s="12"/>
      <c r="Y1211" s="6">
        <v>13.47</v>
      </c>
      <c r="Z1211" s="6">
        <v>2</v>
      </c>
      <c r="AA1211" s="8">
        <v>45352</v>
      </c>
      <c r="AB1211" s="4">
        <v>0.24</v>
      </c>
      <c r="AC1211" s="6">
        <v>2.3199999999999998</v>
      </c>
      <c r="AD1211" s="6">
        <v>5.65</v>
      </c>
      <c r="AE1211" s="1">
        <v>0</v>
      </c>
      <c r="AF1211" s="1">
        <f ca="1">IFERROR(__xludf.DUMMYFUNCTION("IFERROR(GOOGLEFINANCE(TRIM(F1211)&amp;"":"" &amp; TRIM(B1211),""high52""),AE1211)"),0)</f>
        <v>0</v>
      </c>
      <c r="AG1211" s="1">
        <v>0</v>
      </c>
      <c r="AH1211" s="1">
        <f ca="1">IFERROR(__xludf.DUMMYFUNCTION("IFERROR(GOOGLEFINANCE(TRIM(F1211)&amp;"":"" &amp; TRIM(B1211),""low52""),AE1211)"),0)</f>
        <v>0</v>
      </c>
      <c r="AI1211" s="1">
        <f ca="1">IFERROR(__xludf.DUMMYFUNCTION("IFERROR(GOOGLEFINANCE(B1211,""eps""),0)"),0)</f>
        <v>0</v>
      </c>
      <c r="AJ1211" s="1"/>
      <c r="AK1211" s="9"/>
      <c r="AL1211" s="9">
        <f t="shared" si="175"/>
        <v>1</v>
      </c>
    </row>
    <row r="1212" spans="1:38" ht="15" x14ac:dyDescent="0.25">
      <c r="A1212" s="1" t="s">
        <v>3667</v>
      </c>
      <c r="B1212" s="1" t="s">
        <v>3668</v>
      </c>
      <c r="C1212" s="1" t="s">
        <v>487</v>
      </c>
      <c r="D1212" s="1" t="s">
        <v>487</v>
      </c>
      <c r="E1212" s="6">
        <v>1221.17</v>
      </c>
      <c r="F1212" s="1" t="s">
        <v>40</v>
      </c>
      <c r="G1212" s="6">
        <f ca="1">IFERROR(__xludf.DUMMYFUNCTION("iferror(GOOGLEFINANCE(TRIM(F1212)&amp;"":"" &amp; TRIM(B1212), ""price""),0
)"),159.5)</f>
        <v>159.5</v>
      </c>
      <c r="H1212" s="6">
        <v>132.46</v>
      </c>
      <c r="I1212" s="6">
        <f t="shared" ca="1" si="0"/>
        <v>159.5</v>
      </c>
      <c r="J1212" s="6">
        <f ca="1">IFERROR(__xludf.DUMMYFUNCTION("IFERROR(GOOGLEFINANCE(B1212, ""volume""), 0)"),572533)</f>
        <v>572533</v>
      </c>
      <c r="K1212" s="6">
        <v>0.84</v>
      </c>
      <c r="L1212" s="6">
        <f ca="1">IFERROR(__xludf.DUMMYFUNCTION("IFERROR(GOOGLEFINANCE(B1212,""changepct""),K1212)"),1.46)</f>
        <v>1.46</v>
      </c>
      <c r="M1212" s="6">
        <f ca="1">IFERROR(__xludf.DUMMYFUNCTION("IFERROR(GOOGLEFINANCE(B1212,""change""),0)"),2.3)</f>
        <v>2.2999999999999998</v>
      </c>
      <c r="N1212" s="6">
        <v>2</v>
      </c>
      <c r="O1212" s="7">
        <v>45536</v>
      </c>
      <c r="P1212" s="6">
        <v>0.13</v>
      </c>
      <c r="Q1212" s="6">
        <v>1218.33</v>
      </c>
      <c r="R1212" s="14"/>
      <c r="S1212" s="9"/>
      <c r="T1212" s="9"/>
      <c r="U1212" s="7">
        <v>44986</v>
      </c>
      <c r="V1212" s="6">
        <v>29.93</v>
      </c>
      <c r="W1212" s="6">
        <f ca="1">IFERROR(__xludf.DUMMYFUNCTION("IFERROR(GOOGLEFINANCE(B1212,""pe""),V1212)"),17.16)</f>
        <v>17.16</v>
      </c>
      <c r="X1212" s="12"/>
      <c r="Y1212" s="9"/>
      <c r="Z1212" s="6">
        <v>2</v>
      </c>
      <c r="AA1212" s="8">
        <v>44986</v>
      </c>
      <c r="AB1212" s="4">
        <v>0</v>
      </c>
      <c r="AC1212" s="6">
        <v>65.59</v>
      </c>
      <c r="AD1212" s="6">
        <v>81.22</v>
      </c>
      <c r="AE1212" s="1">
        <v>0</v>
      </c>
      <c r="AF1212" s="1">
        <f ca="1">IFERROR(__xludf.DUMMYFUNCTION("IFERROR(GOOGLEFINANCE(TRIM(F1212)&amp;"":"" &amp; TRIM(B1212),""high52""),AE1212)"),249.3)</f>
        <v>249.3</v>
      </c>
      <c r="AG1212" s="1">
        <v>0</v>
      </c>
      <c r="AH1212" s="1">
        <f ca="1">IFERROR(__xludf.DUMMYFUNCTION("IFERROR(GOOGLEFINANCE(TRIM(F1212)&amp;"":"" &amp; TRIM(B1212),""low52""),AE1212)"),87.5)</f>
        <v>87.5</v>
      </c>
      <c r="AI1212" s="1">
        <f ca="1">IFERROR(__xludf.DUMMYFUNCTION("IFERROR(GOOGLEFINANCE(B1212,""eps""),0)"),9.3)</f>
        <v>9.3000000000000007</v>
      </c>
      <c r="AJ1212" s="1"/>
      <c r="AK1212" s="1" t="s">
        <v>3669</v>
      </c>
      <c r="AL1212" s="9">
        <f t="shared" si="175"/>
        <v>1</v>
      </c>
    </row>
    <row r="1213" spans="1:38" ht="15" x14ac:dyDescent="0.25">
      <c r="A1213" s="1" t="s">
        <v>3670</v>
      </c>
      <c r="B1213" s="1" t="s">
        <v>3671</v>
      </c>
      <c r="C1213" s="1" t="s">
        <v>125</v>
      </c>
      <c r="D1213" s="1" t="s">
        <v>125</v>
      </c>
      <c r="E1213" s="6">
        <v>195.56</v>
      </c>
      <c r="F1213" s="1" t="s">
        <v>53</v>
      </c>
      <c r="G1213" s="6">
        <f ca="1">IFERROR(__xludf.DUMMYFUNCTION("iferror(GOOGLEFINANCE(TRIM(F1213)&amp;"":"" &amp; TRIM(B1213), ""price""),0
)"),0)</f>
        <v>0</v>
      </c>
      <c r="H1213" s="6">
        <v>29.67</v>
      </c>
      <c r="I1213" s="6">
        <f t="shared" ca="1" si="0"/>
        <v>29.67</v>
      </c>
      <c r="J1213" s="6">
        <f ca="1">IFERROR(__xludf.DUMMYFUNCTION("IFERROR(GOOGLEFINANCE(B1213, ""volume""), 0)"),0)</f>
        <v>0</v>
      </c>
      <c r="K1213" s="6">
        <v>4.99</v>
      </c>
      <c r="L1213" s="6">
        <f ca="1">IFERROR(__xludf.DUMMYFUNCTION("IFERROR(GOOGLEFINANCE(B1213,""changepct""),K1213)"),4.99)</f>
        <v>4.99</v>
      </c>
      <c r="M1213" s="6">
        <f ca="1">IFERROR(__xludf.DUMMYFUNCTION("IFERROR(GOOGLEFINANCE(B1213,""change""),0)"),0)</f>
        <v>0</v>
      </c>
      <c r="N1213" s="6">
        <v>2</v>
      </c>
      <c r="O1213" s="7">
        <v>45536</v>
      </c>
      <c r="P1213" s="6">
        <v>14.66</v>
      </c>
      <c r="Q1213" s="6">
        <v>210.22</v>
      </c>
      <c r="R1213" s="7">
        <v>45536</v>
      </c>
      <c r="S1213" s="6">
        <v>0</v>
      </c>
      <c r="T1213" s="6">
        <v>6.9</v>
      </c>
      <c r="U1213" s="7">
        <v>45536</v>
      </c>
      <c r="V1213" s="6">
        <v>27.57</v>
      </c>
      <c r="W1213" s="6">
        <f ca="1">IFERROR(__xludf.DUMMYFUNCTION("IFERROR(GOOGLEFINANCE(B1213,""pe""),V1213)"),27.57)</f>
        <v>27.57</v>
      </c>
      <c r="X1213" s="6">
        <v>13.45</v>
      </c>
      <c r="Y1213" s="6">
        <v>0.67</v>
      </c>
      <c r="Z1213" s="6">
        <v>2</v>
      </c>
      <c r="AA1213" s="8">
        <v>45352</v>
      </c>
      <c r="AB1213" s="4">
        <v>0.02</v>
      </c>
      <c r="AC1213" s="6">
        <v>-2.59</v>
      </c>
      <c r="AD1213" s="6">
        <v>-1.88</v>
      </c>
      <c r="AE1213" s="1">
        <v>0</v>
      </c>
      <c r="AF1213" s="1">
        <f ca="1">IFERROR(__xludf.DUMMYFUNCTION("IFERROR(GOOGLEFINANCE(TRIM(F1213)&amp;"":"" &amp; TRIM(B1213),""high52""),AE1213)"),0)</f>
        <v>0</v>
      </c>
      <c r="AG1213" s="1">
        <v>0</v>
      </c>
      <c r="AH1213" s="1">
        <f ca="1">IFERROR(__xludf.DUMMYFUNCTION("IFERROR(GOOGLEFINANCE(TRIM(F1213)&amp;"":"" &amp; TRIM(B1213),""low52""),AE1213)"),0)</f>
        <v>0</v>
      </c>
      <c r="AI1213" s="1">
        <f ca="1">IFERROR(__xludf.DUMMYFUNCTION("IFERROR(GOOGLEFINANCE(B1213,""eps""),0)"),0)</f>
        <v>0</v>
      </c>
      <c r="AJ1213" s="1"/>
      <c r="AK1213" s="1" t="s">
        <v>3672</v>
      </c>
      <c r="AL1213" s="9">
        <f t="shared" si="175"/>
        <v>1</v>
      </c>
    </row>
    <row r="1214" spans="1:38" ht="15" x14ac:dyDescent="0.25">
      <c r="A1214" s="1" t="s">
        <v>3673</v>
      </c>
      <c r="B1214" s="1" t="s">
        <v>3674</v>
      </c>
      <c r="C1214" s="1" t="s">
        <v>125</v>
      </c>
      <c r="D1214" s="1" t="s">
        <v>125</v>
      </c>
      <c r="E1214" s="6">
        <v>887.36</v>
      </c>
      <c r="F1214" s="1" t="s">
        <v>53</v>
      </c>
      <c r="G1214" s="6">
        <f ca="1">IFERROR(__xludf.DUMMYFUNCTION("iferror(GOOGLEFINANCE(TRIM(F1214)&amp;"":"" &amp; TRIM(B1214), ""price""),0
)"),0)</f>
        <v>0</v>
      </c>
      <c r="H1214" s="6">
        <v>1020</v>
      </c>
      <c r="I1214" s="6">
        <f t="shared" ca="1" si="0"/>
        <v>1020</v>
      </c>
      <c r="J1214" s="6">
        <f ca="1">IFERROR(__xludf.DUMMYFUNCTION("IFERROR(GOOGLEFINANCE(B1214, ""volume""), 0)"),0)</f>
        <v>0</v>
      </c>
      <c r="K1214" s="6">
        <v>-1.1599999999999999</v>
      </c>
      <c r="L1214" s="6">
        <f ca="1">IFERROR(__xludf.DUMMYFUNCTION("IFERROR(GOOGLEFINANCE(B1214,""changepct""),K1214)"),-1.16)</f>
        <v>-1.1599999999999999</v>
      </c>
      <c r="M1214" s="6">
        <f ca="1">IFERROR(__xludf.DUMMYFUNCTION("IFERROR(GOOGLEFINANCE(B1214,""change""),0)"),0)</f>
        <v>0</v>
      </c>
      <c r="N1214" s="6">
        <v>2</v>
      </c>
      <c r="O1214" s="7">
        <v>45536</v>
      </c>
      <c r="P1214" s="6">
        <v>13.35</v>
      </c>
      <c r="Q1214" s="6">
        <v>860.68</v>
      </c>
      <c r="R1214" s="7">
        <v>45536</v>
      </c>
      <c r="S1214" s="6">
        <v>214.55</v>
      </c>
      <c r="T1214" s="6">
        <v>18.489999999999998</v>
      </c>
      <c r="U1214" s="7">
        <v>45536</v>
      </c>
      <c r="V1214" s="6">
        <v>47.99</v>
      </c>
      <c r="W1214" s="6">
        <f ca="1">IFERROR(__xludf.DUMMYFUNCTION("IFERROR(GOOGLEFINANCE(B1214,""pe""),V1214)"),47.99)</f>
        <v>47.99</v>
      </c>
      <c r="X1214" s="9"/>
      <c r="Y1214" s="6">
        <v>6.32</v>
      </c>
      <c r="Z1214" s="6">
        <v>2</v>
      </c>
      <c r="AA1214" s="8">
        <v>45352</v>
      </c>
      <c r="AB1214" s="4">
        <v>0.1</v>
      </c>
      <c r="AC1214" s="6">
        <v>14.78</v>
      </c>
      <c r="AD1214" s="6">
        <v>20.87</v>
      </c>
      <c r="AE1214" s="1">
        <v>0</v>
      </c>
      <c r="AF1214" s="1">
        <f ca="1">IFERROR(__xludf.DUMMYFUNCTION("IFERROR(GOOGLEFINANCE(TRIM(F1214)&amp;"":"" &amp; TRIM(B1214),""high52""),AE1214)"),0)</f>
        <v>0</v>
      </c>
      <c r="AG1214" s="1">
        <v>0</v>
      </c>
      <c r="AH1214" s="1">
        <f ca="1">IFERROR(__xludf.DUMMYFUNCTION("IFERROR(GOOGLEFINANCE(TRIM(F1214)&amp;"":"" &amp; TRIM(B1214),""low52""),AE1214)"),0)</f>
        <v>0</v>
      </c>
      <c r="AI1214" s="1">
        <f ca="1">IFERROR(__xludf.DUMMYFUNCTION("IFERROR(GOOGLEFINANCE(B1214,""eps""),0)"),0)</f>
        <v>0</v>
      </c>
      <c r="AJ1214" s="1"/>
      <c r="AK1214" s="1" t="s">
        <v>3675</v>
      </c>
      <c r="AL1214" s="9">
        <f t="shared" si="175"/>
        <v>1</v>
      </c>
    </row>
    <row r="1215" spans="1:38" ht="15" x14ac:dyDescent="0.25">
      <c r="A1215" s="1" t="s">
        <v>3676</v>
      </c>
      <c r="B1215" s="1" t="s">
        <v>3677</v>
      </c>
      <c r="C1215" s="1" t="s">
        <v>125</v>
      </c>
      <c r="D1215" s="1" t="s">
        <v>125</v>
      </c>
      <c r="E1215" s="6">
        <v>148.31</v>
      </c>
      <c r="F1215" s="1" t="s">
        <v>53</v>
      </c>
      <c r="G1215" s="6">
        <f ca="1">IFERROR(__xludf.DUMMYFUNCTION("iferror(GOOGLEFINANCE(TRIM(F1215)&amp;"":"" &amp; TRIM(B1215), ""price""),0
)"),0)</f>
        <v>0</v>
      </c>
      <c r="H1215" s="6">
        <v>113</v>
      </c>
      <c r="I1215" s="6">
        <f t="shared" ca="1" si="0"/>
        <v>113</v>
      </c>
      <c r="J1215" s="6">
        <f ca="1">IFERROR(__xludf.DUMMYFUNCTION("IFERROR(GOOGLEFINANCE(B1215, ""volume""), 0)"),0)</f>
        <v>0</v>
      </c>
      <c r="K1215" s="6">
        <v>1.03</v>
      </c>
      <c r="L1215" s="6">
        <f ca="1">IFERROR(__xludf.DUMMYFUNCTION("IFERROR(GOOGLEFINANCE(B1215,""changepct""),K1215)"),1.03)</f>
        <v>1.03</v>
      </c>
      <c r="M1215" s="6">
        <f ca="1">IFERROR(__xludf.DUMMYFUNCTION("IFERROR(GOOGLEFINANCE(B1215,""change""),0)"),0)</f>
        <v>0</v>
      </c>
      <c r="N1215" s="6">
        <v>2</v>
      </c>
      <c r="O1215" s="7">
        <v>45536</v>
      </c>
      <c r="P1215" s="6">
        <v>9.26</v>
      </c>
      <c r="Q1215" s="6">
        <v>143.03</v>
      </c>
      <c r="R1215" s="7">
        <v>45536</v>
      </c>
      <c r="S1215" s="6">
        <v>100.96</v>
      </c>
      <c r="T1215" s="6">
        <v>6.18</v>
      </c>
      <c r="U1215" s="7">
        <v>45536</v>
      </c>
      <c r="V1215" s="6">
        <v>23.97</v>
      </c>
      <c r="W1215" s="6">
        <f ca="1">IFERROR(__xludf.DUMMYFUNCTION("IFERROR(GOOGLEFINANCE(B1215,""pe""),V1215)"),23.97)</f>
        <v>23.97</v>
      </c>
      <c r="X1215" s="6">
        <v>1.75</v>
      </c>
      <c r="Y1215" s="6">
        <v>1.55</v>
      </c>
      <c r="Z1215" s="6">
        <v>2</v>
      </c>
      <c r="AA1215" s="8">
        <v>45352</v>
      </c>
      <c r="AB1215" s="4">
        <v>0.14000000000000001</v>
      </c>
      <c r="AC1215" s="6">
        <v>12.3</v>
      </c>
      <c r="AD1215" s="6">
        <v>16.41</v>
      </c>
      <c r="AE1215" s="1">
        <v>0</v>
      </c>
      <c r="AF1215" s="1">
        <f ca="1">IFERROR(__xludf.DUMMYFUNCTION("IFERROR(GOOGLEFINANCE(TRIM(F1215)&amp;"":"" &amp; TRIM(B1215),""high52""),AE1215)"),0)</f>
        <v>0</v>
      </c>
      <c r="AG1215" s="1">
        <v>0</v>
      </c>
      <c r="AH1215" s="1">
        <f ca="1">IFERROR(__xludf.DUMMYFUNCTION("IFERROR(GOOGLEFINANCE(TRIM(F1215)&amp;"":"" &amp; TRIM(B1215),""low52""),AE1215)"),0)</f>
        <v>0</v>
      </c>
      <c r="AI1215" s="1">
        <f ca="1">IFERROR(__xludf.DUMMYFUNCTION("IFERROR(GOOGLEFINANCE(B1215,""eps""),0)"),0)</f>
        <v>0</v>
      </c>
      <c r="AJ1215" s="1"/>
      <c r="AK1215" s="9"/>
      <c r="AL1215" s="9">
        <f t="shared" si="175"/>
        <v>1</v>
      </c>
    </row>
    <row r="1216" spans="1:38" ht="15" x14ac:dyDescent="0.25">
      <c r="A1216" s="1" t="s">
        <v>3678</v>
      </c>
      <c r="B1216" s="1" t="s">
        <v>3679</v>
      </c>
      <c r="C1216" s="1" t="s">
        <v>82</v>
      </c>
      <c r="D1216" s="1" t="s">
        <v>82</v>
      </c>
      <c r="E1216" s="6">
        <v>12058.31</v>
      </c>
      <c r="F1216" s="1" t="s">
        <v>40</v>
      </c>
      <c r="G1216" s="6">
        <f ca="1">IFERROR(__xludf.DUMMYFUNCTION("iferror(GOOGLEFINANCE(TRIM(F1216)&amp;"":"" &amp; TRIM(B1216), ""price""),0
)"),3270)</f>
        <v>3270</v>
      </c>
      <c r="H1216" s="6">
        <v>5219.2</v>
      </c>
      <c r="I1216" s="6">
        <f t="shared" ca="1" si="0"/>
        <v>3270</v>
      </c>
      <c r="J1216" s="6">
        <f ca="1">IFERROR(__xludf.DUMMYFUNCTION("IFERROR(GOOGLEFINANCE(B1216, ""volume""), 0)"),186261)</f>
        <v>186261</v>
      </c>
      <c r="K1216" s="6">
        <v>0.39</v>
      </c>
      <c r="L1216" s="6">
        <f ca="1">IFERROR(__xludf.DUMMYFUNCTION("IFERROR(GOOGLEFINANCE(B1216,""changepct""),K1216)"),10.72)</f>
        <v>10.72</v>
      </c>
      <c r="M1216" s="6">
        <f ca="1">IFERROR(__xludf.DUMMYFUNCTION("IFERROR(GOOGLEFINANCE(B1216,""change""),0)"),316.5)</f>
        <v>316.5</v>
      </c>
      <c r="N1216" s="6">
        <v>2</v>
      </c>
      <c r="O1216" s="7">
        <v>45536</v>
      </c>
      <c r="P1216" s="9"/>
      <c r="Q1216" s="6">
        <v>11921.19</v>
      </c>
      <c r="R1216" s="7">
        <v>45536</v>
      </c>
      <c r="S1216" s="6">
        <v>1995.25</v>
      </c>
      <c r="T1216" s="6">
        <v>306.3</v>
      </c>
      <c r="U1216" s="7">
        <v>45536</v>
      </c>
      <c r="V1216" s="6">
        <v>39.369999999999997</v>
      </c>
      <c r="W1216" s="6">
        <f ca="1">IFERROR(__xludf.DUMMYFUNCTION("IFERROR(GOOGLEFINANCE(B1216,""pe""),V1216)"),24.28)</f>
        <v>24.28</v>
      </c>
      <c r="X1216" s="6">
        <v>1.97</v>
      </c>
      <c r="Y1216" s="6">
        <v>5.41</v>
      </c>
      <c r="Z1216" s="6">
        <v>2</v>
      </c>
      <c r="AA1216" s="8">
        <v>45352</v>
      </c>
      <c r="AB1216" s="4">
        <v>0.01</v>
      </c>
      <c r="AC1216" s="6">
        <v>10.42</v>
      </c>
      <c r="AD1216" s="6">
        <v>13.83</v>
      </c>
      <c r="AE1216" s="1">
        <v>0</v>
      </c>
      <c r="AF1216" s="1">
        <f ca="1">IFERROR(__xludf.DUMMYFUNCTION("IFERROR(GOOGLEFINANCE(TRIM(F1216)&amp;"":"" &amp; TRIM(B1216),""high52""),AE1216)"),4782.9)</f>
        <v>4782.8999999999996</v>
      </c>
      <c r="AG1216" s="1">
        <v>0</v>
      </c>
      <c r="AH1216" s="1">
        <f ca="1">IFERROR(__xludf.DUMMYFUNCTION("IFERROR(GOOGLEFINANCE(TRIM(F1216)&amp;"":"" &amp; TRIM(B1216),""low52""),AE1216)"),2317.35)</f>
        <v>2317.35</v>
      </c>
      <c r="AI1216" s="1">
        <f ca="1">IFERROR(__xludf.DUMMYFUNCTION("IFERROR(GOOGLEFINANCE(B1216,""eps""),0)"),134.66)</f>
        <v>134.66</v>
      </c>
      <c r="AJ1216" s="1"/>
      <c r="AK1216" s="1" t="s">
        <v>3680</v>
      </c>
      <c r="AL1216" s="9">
        <f t="shared" si="175"/>
        <v>1</v>
      </c>
    </row>
    <row r="1217" spans="1:38" ht="15" x14ac:dyDescent="0.25">
      <c r="A1217" s="1" t="s">
        <v>3681</v>
      </c>
      <c r="B1217" s="1" t="s">
        <v>3682</v>
      </c>
      <c r="C1217" s="1" t="s">
        <v>125</v>
      </c>
      <c r="D1217" s="1" t="s">
        <v>125</v>
      </c>
      <c r="E1217" s="6">
        <v>268.95999999999998</v>
      </c>
      <c r="F1217" s="1" t="s">
        <v>53</v>
      </c>
      <c r="G1217" s="6">
        <f ca="1">IFERROR(__xludf.DUMMYFUNCTION("iferror(GOOGLEFINANCE(TRIM(F1217)&amp;"":"" &amp; TRIM(B1217), ""price""),0
)"),0)</f>
        <v>0</v>
      </c>
      <c r="H1217" s="6">
        <v>298</v>
      </c>
      <c r="I1217" s="6">
        <f t="shared" ca="1" si="0"/>
        <v>298</v>
      </c>
      <c r="J1217" s="6">
        <f ca="1">IFERROR(__xludf.DUMMYFUNCTION("IFERROR(GOOGLEFINANCE(B1217, ""volume""), 0)"),0)</f>
        <v>0</v>
      </c>
      <c r="K1217" s="6">
        <v>1.59</v>
      </c>
      <c r="L1217" s="6">
        <f ca="1">IFERROR(__xludf.DUMMYFUNCTION("IFERROR(GOOGLEFINANCE(B1217,""changepct""),K1217)"),1.59)</f>
        <v>1.59</v>
      </c>
      <c r="M1217" s="6">
        <f ca="1">IFERROR(__xludf.DUMMYFUNCTION("IFERROR(GOOGLEFINANCE(B1217,""change""),0)"),0)</f>
        <v>0</v>
      </c>
      <c r="N1217" s="6">
        <v>2</v>
      </c>
      <c r="O1217" s="7">
        <v>45536</v>
      </c>
      <c r="P1217" s="6">
        <v>24.42</v>
      </c>
      <c r="Q1217" s="6">
        <v>292.52999999999997</v>
      </c>
      <c r="R1217" s="7">
        <v>45536</v>
      </c>
      <c r="S1217" s="6">
        <v>181.02</v>
      </c>
      <c r="T1217" s="6">
        <v>6.41</v>
      </c>
      <c r="U1217" s="7">
        <v>45536</v>
      </c>
      <c r="V1217" s="6">
        <v>41.95</v>
      </c>
      <c r="W1217" s="6">
        <f ca="1">IFERROR(__xludf.DUMMYFUNCTION("IFERROR(GOOGLEFINANCE(B1217,""pe""),V1217)"),41.95)</f>
        <v>41.95</v>
      </c>
      <c r="X1217" s="6">
        <v>-7.54</v>
      </c>
      <c r="Y1217" s="6">
        <v>1.84</v>
      </c>
      <c r="Z1217" s="6">
        <v>2</v>
      </c>
      <c r="AA1217" s="8">
        <v>45352</v>
      </c>
      <c r="AB1217" s="4">
        <v>0.2</v>
      </c>
      <c r="AC1217" s="6">
        <v>2.96</v>
      </c>
      <c r="AD1217" s="6">
        <v>5.75</v>
      </c>
      <c r="AE1217" s="1">
        <v>0</v>
      </c>
      <c r="AF1217" s="1">
        <f ca="1">IFERROR(__xludf.DUMMYFUNCTION("IFERROR(GOOGLEFINANCE(TRIM(F1217)&amp;"":"" &amp; TRIM(B1217),""high52""),AE1217)"),0)</f>
        <v>0</v>
      </c>
      <c r="AG1217" s="1">
        <v>0</v>
      </c>
      <c r="AH1217" s="1">
        <f ca="1">IFERROR(__xludf.DUMMYFUNCTION("IFERROR(GOOGLEFINANCE(TRIM(F1217)&amp;"":"" &amp; TRIM(B1217),""low52""),AE1217)"),0)</f>
        <v>0</v>
      </c>
      <c r="AI1217" s="1">
        <f ca="1">IFERROR(__xludf.DUMMYFUNCTION("IFERROR(GOOGLEFINANCE(B1217,""eps""),0)"),0)</f>
        <v>0</v>
      </c>
      <c r="AJ1217" s="1"/>
      <c r="AK1217" s="1" t="s">
        <v>3683</v>
      </c>
      <c r="AL1217" s="9">
        <f t="shared" si="175"/>
        <v>1</v>
      </c>
    </row>
    <row r="1218" spans="1:38" ht="15" x14ac:dyDescent="0.25">
      <c r="A1218" s="1" t="s">
        <v>3684</v>
      </c>
      <c r="B1218" s="1" t="s">
        <v>3685</v>
      </c>
      <c r="C1218" s="1" t="s">
        <v>186</v>
      </c>
      <c r="D1218" s="1" t="s">
        <v>186</v>
      </c>
      <c r="E1218" s="6">
        <v>9223.48</v>
      </c>
      <c r="F1218" s="1" t="s">
        <v>40</v>
      </c>
      <c r="G1218" s="6">
        <f ca="1">IFERROR(__xludf.DUMMYFUNCTION("iferror(GOOGLEFINANCE(TRIM(F1218)&amp;"":"" &amp; TRIM(B1218), ""price""),0
)"),640.7)</f>
        <v>640.70000000000005</v>
      </c>
      <c r="H1218" s="6">
        <v>921.2</v>
      </c>
      <c r="I1218" s="6">
        <f t="shared" ca="1" si="0"/>
        <v>640.70000000000005</v>
      </c>
      <c r="J1218" s="6">
        <f ca="1">IFERROR(__xludf.DUMMYFUNCTION("IFERROR(GOOGLEFINANCE(B1218, ""volume""), 0)"),45885)</f>
        <v>45885</v>
      </c>
      <c r="K1218" s="6">
        <v>-0.97</v>
      </c>
      <c r="L1218" s="6">
        <f ca="1">IFERROR(__xludf.DUMMYFUNCTION("IFERROR(GOOGLEFINANCE(B1218,""changepct""),K1218)"),0.95)</f>
        <v>0.95</v>
      </c>
      <c r="M1218" s="6">
        <f ca="1">IFERROR(__xludf.DUMMYFUNCTION("IFERROR(GOOGLEFINANCE(B1218,""change""),0)"),6.05)</f>
        <v>6.05</v>
      </c>
      <c r="N1218" s="6">
        <v>2</v>
      </c>
      <c r="O1218" s="7">
        <v>45536</v>
      </c>
      <c r="P1218" s="6">
        <v>142.03</v>
      </c>
      <c r="Q1218" s="6">
        <v>9309.7199999999993</v>
      </c>
      <c r="R1218" s="7">
        <v>45536</v>
      </c>
      <c r="S1218" s="6">
        <v>1428.49</v>
      </c>
      <c r="T1218" s="6">
        <v>225.46</v>
      </c>
      <c r="U1218" s="7">
        <v>45536</v>
      </c>
      <c r="V1218" s="6">
        <v>40.909999999999997</v>
      </c>
      <c r="W1218" s="6">
        <f ca="1">IFERROR(__xludf.DUMMYFUNCTION("IFERROR(GOOGLEFINANCE(B1218,""pe""),V1218)"),31.15)</f>
        <v>31.15</v>
      </c>
      <c r="X1218" s="6">
        <v>3.85</v>
      </c>
      <c r="Y1218" s="6">
        <v>8.2100000000000009</v>
      </c>
      <c r="Z1218" s="6">
        <v>2</v>
      </c>
      <c r="AA1218" s="8">
        <v>45352</v>
      </c>
      <c r="AB1218" s="4">
        <v>0.1</v>
      </c>
      <c r="AC1218" s="6">
        <v>18.5</v>
      </c>
      <c r="AD1218" s="6">
        <v>23.1</v>
      </c>
      <c r="AE1218" s="1">
        <v>0</v>
      </c>
      <c r="AF1218" s="1">
        <f ca="1">IFERROR(__xludf.DUMMYFUNCTION("IFERROR(GOOGLEFINANCE(TRIM(F1218)&amp;"":"" &amp; TRIM(B1218),""high52""),AE1218)"),985.55)</f>
        <v>985.55</v>
      </c>
      <c r="AG1218" s="1">
        <v>0</v>
      </c>
      <c r="AH1218" s="1">
        <f ca="1">IFERROR(__xludf.DUMMYFUNCTION("IFERROR(GOOGLEFINANCE(TRIM(F1218)&amp;"":"" &amp; TRIM(B1218),""low52""),AE1218)"),588.15)</f>
        <v>588.15</v>
      </c>
      <c r="AI1218" s="1">
        <f ca="1">IFERROR(__xludf.DUMMYFUNCTION("IFERROR(GOOGLEFINANCE(B1218,""eps""),0)"),20.57)</f>
        <v>20.57</v>
      </c>
      <c r="AJ1218" s="1"/>
      <c r="AK1218" s="1" t="s">
        <v>3686</v>
      </c>
      <c r="AL1218" s="9">
        <f t="shared" si="175"/>
        <v>1</v>
      </c>
    </row>
    <row r="1219" spans="1:38" ht="15" x14ac:dyDescent="0.25">
      <c r="A1219" s="1" t="s">
        <v>3687</v>
      </c>
      <c r="B1219" s="1" t="s">
        <v>3688</v>
      </c>
      <c r="C1219" s="1" t="s">
        <v>259</v>
      </c>
      <c r="D1219" s="1" t="s">
        <v>259</v>
      </c>
      <c r="E1219" s="6">
        <v>4111.07</v>
      </c>
      <c r="F1219" s="1" t="s">
        <v>40</v>
      </c>
      <c r="G1219" s="6">
        <f ca="1">IFERROR(__xludf.DUMMYFUNCTION("iferror(GOOGLEFINANCE(TRIM(F1219)&amp;"":"" &amp; TRIM(B1219), ""price""),0
)"),60.48)</f>
        <v>60.48</v>
      </c>
      <c r="H1219" s="6">
        <v>82.5</v>
      </c>
      <c r="I1219" s="6">
        <f t="shared" ca="1" si="0"/>
        <v>60.48</v>
      </c>
      <c r="J1219" s="6">
        <f ca="1">IFERROR(__xludf.DUMMYFUNCTION("IFERROR(GOOGLEFINANCE(B1219, ""volume""), 0)"),1761495)</f>
        <v>1761495</v>
      </c>
      <c r="K1219" s="6">
        <v>0.28000000000000003</v>
      </c>
      <c r="L1219" s="6">
        <f ca="1">IFERROR(__xludf.DUMMYFUNCTION("IFERROR(GOOGLEFINANCE(B1219,""changepct""),K1219)"),4.44)</f>
        <v>4.4400000000000004</v>
      </c>
      <c r="M1219" s="6">
        <f ca="1">IFERROR(__xludf.DUMMYFUNCTION("IFERROR(GOOGLEFINANCE(B1219,""change""),0)"),2.57)</f>
        <v>2.57</v>
      </c>
      <c r="N1219" s="6">
        <v>2</v>
      </c>
      <c r="O1219" s="7">
        <v>45536</v>
      </c>
      <c r="P1219" s="6">
        <v>294.89999999999998</v>
      </c>
      <c r="Q1219" s="6">
        <v>4391.59</v>
      </c>
      <c r="R1219" s="7">
        <v>45536</v>
      </c>
      <c r="S1219" s="6">
        <v>1511.02</v>
      </c>
      <c r="T1219" s="6">
        <v>226.18</v>
      </c>
      <c r="U1219" s="7">
        <v>45536</v>
      </c>
      <c r="V1219" s="6">
        <v>18.12</v>
      </c>
      <c r="W1219" s="6">
        <f ca="1">IFERROR(__xludf.DUMMYFUNCTION("IFERROR(GOOGLEFINANCE(B1219,""pe""),V1219)"),7.77)</f>
        <v>7.77</v>
      </c>
      <c r="X1219" s="9"/>
      <c r="Y1219" s="6">
        <v>2.08</v>
      </c>
      <c r="Z1219" s="6">
        <v>2</v>
      </c>
      <c r="AA1219" s="8">
        <v>45352</v>
      </c>
      <c r="AB1219" s="4">
        <v>0.17</v>
      </c>
      <c r="AC1219" s="6">
        <v>13.93</v>
      </c>
      <c r="AD1219" s="6">
        <v>13.78</v>
      </c>
      <c r="AE1219" s="1">
        <v>0</v>
      </c>
      <c r="AF1219" s="1">
        <f ca="1">IFERROR(__xludf.DUMMYFUNCTION("IFERROR(GOOGLEFINANCE(TRIM(F1219)&amp;"":"" &amp; TRIM(B1219),""high52""),AE1219)"),80.8)</f>
        <v>80.8</v>
      </c>
      <c r="AG1219" s="1">
        <v>0</v>
      </c>
      <c r="AH1219" s="1">
        <f ca="1">IFERROR(__xludf.DUMMYFUNCTION("IFERROR(GOOGLEFINANCE(TRIM(F1219)&amp;"":"" &amp; TRIM(B1219),""low52""),AE1219)"),55.28)</f>
        <v>55.28</v>
      </c>
      <c r="AI1219" s="1">
        <f ca="1">IFERROR(__xludf.DUMMYFUNCTION("IFERROR(GOOGLEFINANCE(B1219,""eps""),0)"),7.79)</f>
        <v>7.79</v>
      </c>
      <c r="AJ1219" s="1"/>
      <c r="AK1219" s="1" t="s">
        <v>3689</v>
      </c>
      <c r="AL1219" s="9">
        <f t="shared" si="175"/>
        <v>1</v>
      </c>
    </row>
    <row r="1220" spans="1:38" ht="15" x14ac:dyDescent="0.25">
      <c r="A1220" s="1" t="s">
        <v>3690</v>
      </c>
      <c r="B1220" s="1" t="s">
        <v>3691</v>
      </c>
      <c r="C1220" s="1" t="s">
        <v>86</v>
      </c>
      <c r="D1220" s="1" t="s">
        <v>86</v>
      </c>
      <c r="E1220" s="6">
        <v>34.75</v>
      </c>
      <c r="F1220" s="1" t="s">
        <v>40</v>
      </c>
      <c r="G1220" s="6">
        <f ca="1">IFERROR(__xludf.DUMMYFUNCTION("iferror(GOOGLEFINANCE(TRIM(F1220)&amp;"":"" &amp; TRIM(B1220), ""price""),0
)"),1.96)</f>
        <v>1.96</v>
      </c>
      <c r="H1220" s="6">
        <v>1.43</v>
      </c>
      <c r="I1220" s="6">
        <f t="shared" ca="1" si="0"/>
        <v>1.96</v>
      </c>
      <c r="J1220" s="6">
        <f ca="1">IFERROR(__xludf.DUMMYFUNCTION("IFERROR(GOOGLEFINANCE(B1220, ""volume""), 0)"),1056569)</f>
        <v>1056569</v>
      </c>
      <c r="K1220" s="9"/>
      <c r="L1220" s="6">
        <f ca="1">IFERROR(__xludf.DUMMYFUNCTION("IFERROR(GOOGLEFINANCE(B1220,""changepct""),K1220)"),-4.85)</f>
        <v>-4.8499999999999996</v>
      </c>
      <c r="M1220" s="6">
        <f ca="1">IFERROR(__xludf.DUMMYFUNCTION("IFERROR(GOOGLEFINANCE(B1220,""change""),0)"),-0.1)</f>
        <v>-0.1</v>
      </c>
      <c r="N1220" s="6">
        <v>2</v>
      </c>
      <c r="O1220" s="7">
        <v>45536</v>
      </c>
      <c r="P1220" s="6">
        <v>413.46</v>
      </c>
      <c r="Q1220" s="6">
        <v>448.21</v>
      </c>
      <c r="R1220" s="7">
        <v>45536</v>
      </c>
      <c r="S1220" s="6">
        <v>3.69</v>
      </c>
      <c r="T1220" s="6">
        <v>-98.8</v>
      </c>
      <c r="U1220" s="7">
        <v>45536</v>
      </c>
      <c r="V1220" s="6">
        <v>0</v>
      </c>
      <c r="W1220" s="6">
        <f ca="1">IFERROR(__xludf.DUMMYFUNCTION("IFERROR(GOOGLEFINANCE(B1220,""pe""),V1220)"),0.04)</f>
        <v>0.04</v>
      </c>
      <c r="X1220" s="6">
        <v>0</v>
      </c>
      <c r="Y1220" s="6">
        <v>-0.02</v>
      </c>
      <c r="Z1220" s="6">
        <v>2</v>
      </c>
      <c r="AA1220" s="17">
        <v>45352</v>
      </c>
      <c r="AB1220" s="18">
        <v>-1.37</v>
      </c>
      <c r="AC1220" s="6">
        <v>0</v>
      </c>
      <c r="AD1220" s="6">
        <v>-11.67</v>
      </c>
      <c r="AE1220" s="1">
        <v>0</v>
      </c>
      <c r="AF1220" s="1">
        <f ca="1">IFERROR(__xludf.DUMMYFUNCTION("IFERROR(GOOGLEFINANCE(TRIM(F1220)&amp;"":"" &amp; TRIM(B1220),""high52""),AE1220)"),4.76)</f>
        <v>4.76</v>
      </c>
      <c r="AG1220" s="1">
        <v>0</v>
      </c>
      <c r="AH1220" s="1">
        <f ca="1">IFERROR(__xludf.DUMMYFUNCTION("IFERROR(GOOGLEFINANCE(TRIM(F1220)&amp;"":"" &amp; TRIM(B1220),""low52""),AE1220)"),0.74)</f>
        <v>0.74</v>
      </c>
      <c r="AI1220" s="1">
        <f ca="1">IFERROR(__xludf.DUMMYFUNCTION("IFERROR(GOOGLEFINANCE(B1220,""eps""),0)"),51.87)</f>
        <v>51.87</v>
      </c>
      <c r="AJ1220" s="1"/>
      <c r="AK1220" s="1" t="s">
        <v>3692</v>
      </c>
      <c r="AL1220" s="9">
        <f t="shared" si="175"/>
        <v>1</v>
      </c>
    </row>
    <row r="1221" spans="1:38" ht="15" x14ac:dyDescent="0.25">
      <c r="A1221" s="1" t="s">
        <v>3693</v>
      </c>
      <c r="B1221" s="1" t="s">
        <v>3694</v>
      </c>
      <c r="C1221" s="1" t="s">
        <v>86</v>
      </c>
      <c r="D1221" s="1" t="s">
        <v>86</v>
      </c>
      <c r="E1221" s="6">
        <v>154.25</v>
      </c>
      <c r="F1221" s="1" t="s">
        <v>40</v>
      </c>
      <c r="G1221" s="6">
        <f ca="1">IFERROR(__xludf.DUMMYFUNCTION("iferror(GOOGLEFINANCE(TRIM(F1221)&amp;"":"" &amp; TRIM(B1221), ""price""),0
)"),12.1)</f>
        <v>12.1</v>
      </c>
      <c r="H1221" s="6">
        <v>7.75</v>
      </c>
      <c r="I1221" s="6">
        <f t="shared" ca="1" si="0"/>
        <v>12.1</v>
      </c>
      <c r="J1221" s="6">
        <f ca="1">IFERROR(__xludf.DUMMYFUNCTION("IFERROR(GOOGLEFINANCE(B1221, ""volume""), 0)"),230831)</f>
        <v>230831</v>
      </c>
      <c r="K1221" s="6">
        <v>-2.64</v>
      </c>
      <c r="L1221" s="6">
        <f ca="1">IFERROR(__xludf.DUMMYFUNCTION("IFERROR(GOOGLEFINANCE(B1221,""changepct""),K1221)"),0)</f>
        <v>0</v>
      </c>
      <c r="M1221" s="6">
        <f ca="1">IFERROR(__xludf.DUMMYFUNCTION("IFERROR(GOOGLEFINANCE(B1221,""change""),0)"),0)</f>
        <v>0</v>
      </c>
      <c r="N1221" s="6">
        <v>1</v>
      </c>
      <c r="O1221" s="7">
        <v>44805</v>
      </c>
      <c r="P1221" s="6">
        <v>3347.2</v>
      </c>
      <c r="Q1221" s="6">
        <v>3481.87</v>
      </c>
      <c r="R1221" s="7">
        <v>44896</v>
      </c>
      <c r="S1221" s="6">
        <v>1369.05</v>
      </c>
      <c r="T1221" s="6">
        <v>-1425.26</v>
      </c>
      <c r="U1221" s="7">
        <v>44896</v>
      </c>
      <c r="V1221" s="6">
        <v>0</v>
      </c>
      <c r="W1221" s="6">
        <f ca="1">IFERROR(__xludf.DUMMYFUNCTION("IFERROR(GOOGLEFINANCE(B1221,""pe""),V1221)"),1.48)</f>
        <v>1.48</v>
      </c>
      <c r="X1221" s="12"/>
      <c r="Y1221" s="9"/>
      <c r="Z1221" s="6">
        <v>1</v>
      </c>
      <c r="AA1221" s="8">
        <v>44621</v>
      </c>
      <c r="AB1221" s="4">
        <v>34.06</v>
      </c>
      <c r="AC1221" s="6">
        <v>-172.1</v>
      </c>
      <c r="AD1221" s="6">
        <v>-20.100000000000001</v>
      </c>
      <c r="AE1221" s="1">
        <v>0</v>
      </c>
      <c r="AF1221" s="1">
        <f ca="1">IFERROR(__xludf.DUMMYFUNCTION("IFERROR(GOOGLEFINANCE(TRIM(F1221)&amp;"":"" &amp; TRIM(B1221),""high52""),AE1221)"),12.1)</f>
        <v>12.1</v>
      </c>
      <c r="AG1221" s="1">
        <v>0</v>
      </c>
      <c r="AH1221" s="1">
        <f ca="1">IFERROR(__xludf.DUMMYFUNCTION("IFERROR(GOOGLEFINANCE(TRIM(F1221)&amp;"":"" &amp; TRIM(B1221),""low52""),AE1221)"),5.39)</f>
        <v>5.39</v>
      </c>
      <c r="AI1221" s="1">
        <f ca="1">IFERROR(__xludf.DUMMYFUNCTION("IFERROR(GOOGLEFINANCE(B1221,""eps""),0)"),8.16)</f>
        <v>8.16</v>
      </c>
      <c r="AJ1221" s="1"/>
      <c r="AK1221" s="9"/>
      <c r="AL1221" s="9">
        <f t="shared" si="175"/>
        <v>1</v>
      </c>
    </row>
    <row r="1222" spans="1:38" ht="15" x14ac:dyDescent="0.25">
      <c r="A1222" s="1" t="s">
        <v>3695</v>
      </c>
      <c r="B1222" s="1" t="s">
        <v>3696</v>
      </c>
      <c r="C1222" s="1" t="s">
        <v>125</v>
      </c>
      <c r="D1222" s="1" t="s">
        <v>125</v>
      </c>
      <c r="E1222" s="6">
        <v>6459.63</v>
      </c>
      <c r="F1222" s="1" t="s">
        <v>53</v>
      </c>
      <c r="G1222" s="6">
        <f ca="1">IFERROR(__xludf.DUMMYFUNCTION("iferror(GOOGLEFINANCE(TRIM(F1222)&amp;"":"" &amp; TRIM(B1222), ""price""),0
)"),0)</f>
        <v>0</v>
      </c>
      <c r="H1222" s="6">
        <v>8460.2999999999993</v>
      </c>
      <c r="I1222" s="6">
        <f t="shared" ca="1" si="0"/>
        <v>8460.2999999999993</v>
      </c>
      <c r="J1222" s="6">
        <f ca="1">IFERROR(__xludf.DUMMYFUNCTION("IFERROR(GOOGLEFINANCE(B1222, ""volume""), 0)"),311485)</f>
        <v>311485</v>
      </c>
      <c r="K1222" s="6">
        <v>-0.11</v>
      </c>
      <c r="L1222" s="6">
        <f ca="1">IFERROR(__xludf.DUMMYFUNCTION("IFERROR(GOOGLEFINANCE(B1222,""changepct""),K1222)"),11.14)</f>
        <v>11.14</v>
      </c>
      <c r="M1222" s="6">
        <f ca="1">IFERROR(__xludf.DUMMYFUNCTION("IFERROR(GOOGLEFINANCE(B1222,""change""),0)"),353.9)</f>
        <v>353.9</v>
      </c>
      <c r="N1222" s="6">
        <v>1</v>
      </c>
      <c r="O1222" s="7">
        <v>45536</v>
      </c>
      <c r="P1222" s="9"/>
      <c r="Q1222" s="6">
        <v>6399.99</v>
      </c>
      <c r="R1222" s="7">
        <v>45536</v>
      </c>
      <c r="S1222" s="6">
        <v>460.94</v>
      </c>
      <c r="T1222" s="6">
        <v>107.83</v>
      </c>
      <c r="U1222" s="7">
        <v>45536</v>
      </c>
      <c r="V1222" s="6">
        <v>59.91</v>
      </c>
      <c r="W1222" s="6">
        <f ca="1">IFERROR(__xludf.DUMMYFUNCTION("IFERROR(GOOGLEFINANCE(B1222,""pe""),V1222)"),22.74)</f>
        <v>22.74</v>
      </c>
      <c r="X1222" s="6">
        <v>0.94</v>
      </c>
      <c r="Y1222" s="6">
        <v>25.15</v>
      </c>
      <c r="Z1222" s="6">
        <v>1</v>
      </c>
      <c r="AA1222" s="8">
        <v>45352</v>
      </c>
      <c r="AB1222" s="4">
        <v>0</v>
      </c>
      <c r="AC1222" s="6">
        <v>55.52</v>
      </c>
      <c r="AD1222" s="6">
        <v>74.64</v>
      </c>
      <c r="AE1222" s="1">
        <v>0</v>
      </c>
      <c r="AF1222" s="1">
        <f ca="1">IFERROR(__xludf.DUMMYFUNCTION("IFERROR(GOOGLEFINANCE(TRIM(F1222)&amp;"":"" &amp; TRIM(B1222),""high52""),AE1222)"),0)</f>
        <v>0</v>
      </c>
      <c r="AG1222" s="1">
        <v>0</v>
      </c>
      <c r="AH1222" s="1">
        <f ca="1">IFERROR(__xludf.DUMMYFUNCTION("IFERROR(GOOGLEFINANCE(TRIM(F1222)&amp;"":"" &amp; TRIM(B1222),""low52""),AE1222)"),0)</f>
        <v>0</v>
      </c>
      <c r="AI1222" s="1">
        <f ca="1">IFERROR(__xludf.DUMMYFUNCTION("IFERROR(GOOGLEFINANCE(B1222,""eps""),0)"),155.2)</f>
        <v>155.19999999999999</v>
      </c>
      <c r="AJ1222" s="1"/>
      <c r="AK1222" s="1" t="s">
        <v>3697</v>
      </c>
      <c r="AL1222" s="9">
        <f t="shared" si="175"/>
        <v>1</v>
      </c>
    </row>
    <row r="1223" spans="1:38" ht="15" x14ac:dyDescent="0.25">
      <c r="A1223" s="1" t="s">
        <v>3698</v>
      </c>
      <c r="B1223" s="1" t="s">
        <v>3699</v>
      </c>
      <c r="C1223" s="1" t="s">
        <v>801</v>
      </c>
      <c r="D1223" s="1" t="s">
        <v>801</v>
      </c>
      <c r="E1223" s="6">
        <v>269.69</v>
      </c>
      <c r="F1223" s="1" t="s">
        <v>40</v>
      </c>
      <c r="G1223" s="6">
        <f ca="1">IFERROR(__xludf.DUMMYFUNCTION("iferror(GOOGLEFINANCE(TRIM(F1223)&amp;"":"" &amp; TRIM(B1223), ""price""),0
)"),0)</f>
        <v>0</v>
      </c>
      <c r="H1223" s="6">
        <v>446.5</v>
      </c>
      <c r="I1223" s="6">
        <f t="shared" ca="1" si="0"/>
        <v>446.5</v>
      </c>
      <c r="J1223" s="6">
        <f ca="1">IFERROR(__xludf.DUMMYFUNCTION("IFERROR(GOOGLEFINANCE(B1223, ""volume""), 0)"),0)</f>
        <v>0</v>
      </c>
      <c r="K1223" s="6">
        <v>-5</v>
      </c>
      <c r="L1223" s="6">
        <f ca="1">IFERROR(__xludf.DUMMYFUNCTION("IFERROR(GOOGLEFINANCE(B1223,""changepct""),K1223)"),-5)</f>
        <v>-5</v>
      </c>
      <c r="M1223" s="6">
        <f ca="1">IFERROR(__xludf.DUMMYFUNCTION("IFERROR(GOOGLEFINANCE(B1223,""change""),0)"),0)</f>
        <v>0</v>
      </c>
      <c r="N1223" s="6">
        <v>1</v>
      </c>
      <c r="O1223" s="7">
        <v>45536</v>
      </c>
      <c r="P1223" s="6">
        <v>0.8</v>
      </c>
      <c r="Q1223" s="6">
        <v>270.42</v>
      </c>
      <c r="R1223" s="7">
        <v>45352</v>
      </c>
      <c r="S1223" s="6">
        <v>24.41</v>
      </c>
      <c r="T1223" s="6">
        <v>1.56</v>
      </c>
      <c r="U1223" s="7">
        <v>45352</v>
      </c>
      <c r="V1223" s="6">
        <v>172.9</v>
      </c>
      <c r="W1223" s="6">
        <f ca="1">IFERROR(__xludf.DUMMYFUNCTION("IFERROR(GOOGLEFINANCE(B1223,""pe""),V1223)"),172.9)</f>
        <v>172.9</v>
      </c>
      <c r="X1223" s="9"/>
      <c r="Y1223" s="6">
        <v>23.94</v>
      </c>
      <c r="Z1223" s="6">
        <v>1</v>
      </c>
      <c r="AA1223" s="8">
        <v>45352</v>
      </c>
      <c r="AB1223" s="4">
        <v>0.05</v>
      </c>
      <c r="AC1223" s="6">
        <v>14.87</v>
      </c>
      <c r="AD1223" s="6">
        <v>22.49</v>
      </c>
      <c r="AE1223" s="1">
        <v>0</v>
      </c>
      <c r="AF1223" s="1">
        <f ca="1">IFERROR(__xludf.DUMMYFUNCTION("IFERROR(GOOGLEFINANCE(TRIM(F1223)&amp;"":"" &amp; TRIM(B1223),""high52""),AE1223)"),0)</f>
        <v>0</v>
      </c>
      <c r="AG1223" s="1">
        <v>0</v>
      </c>
      <c r="AH1223" s="1">
        <f ca="1">IFERROR(__xludf.DUMMYFUNCTION("IFERROR(GOOGLEFINANCE(TRIM(F1223)&amp;"":"" &amp; TRIM(B1223),""low52""),AE1223)"),0)</f>
        <v>0</v>
      </c>
      <c r="AI1223" s="1">
        <f ca="1">IFERROR(__xludf.DUMMYFUNCTION("IFERROR(GOOGLEFINANCE(B1223,""eps""),0)"),0)</f>
        <v>0</v>
      </c>
      <c r="AJ1223" s="1"/>
      <c r="AK1223" s="1" t="s">
        <v>3700</v>
      </c>
      <c r="AL1223" s="9">
        <f t="shared" si="175"/>
        <v>1</v>
      </c>
    </row>
    <row r="1224" spans="1:38" ht="15" x14ac:dyDescent="0.25">
      <c r="A1224" s="1" t="s">
        <v>3701</v>
      </c>
      <c r="B1224" s="1" t="s">
        <v>3702</v>
      </c>
      <c r="C1224" s="1" t="s">
        <v>125</v>
      </c>
      <c r="D1224" s="1" t="s">
        <v>125</v>
      </c>
      <c r="E1224" s="6">
        <v>27.59</v>
      </c>
      <c r="F1224" s="1" t="s">
        <v>53</v>
      </c>
      <c r="G1224" s="6">
        <f ca="1">IFERROR(__xludf.DUMMYFUNCTION("iferror(GOOGLEFINANCE(TRIM(F1224)&amp;"":"" &amp; TRIM(B1224), ""price""),0
)"),0)</f>
        <v>0</v>
      </c>
      <c r="H1224" s="6">
        <v>14.32</v>
      </c>
      <c r="I1224" s="6">
        <f t="shared" ca="1" si="0"/>
        <v>14.32</v>
      </c>
      <c r="J1224" s="6">
        <f ca="1">IFERROR(__xludf.DUMMYFUNCTION("IFERROR(GOOGLEFINANCE(B1224, ""volume""), 0)"),0)</f>
        <v>0</v>
      </c>
      <c r="K1224" s="6">
        <v>1.49</v>
      </c>
      <c r="L1224" s="6">
        <f ca="1">IFERROR(__xludf.DUMMYFUNCTION("IFERROR(GOOGLEFINANCE(B1224,""changepct""),K1224)"),1.49)</f>
        <v>1.49</v>
      </c>
      <c r="M1224" s="6">
        <f ca="1">IFERROR(__xludf.DUMMYFUNCTION("IFERROR(GOOGLEFINANCE(B1224,""change""),0)"),0)</f>
        <v>0</v>
      </c>
      <c r="N1224" s="6">
        <v>1</v>
      </c>
      <c r="O1224" s="7">
        <v>45536</v>
      </c>
      <c r="P1224" s="6">
        <v>1</v>
      </c>
      <c r="Q1224" s="6">
        <v>28.6</v>
      </c>
      <c r="R1224" s="7">
        <v>45536</v>
      </c>
      <c r="S1224" s="6">
        <v>7.83</v>
      </c>
      <c r="T1224" s="6">
        <v>0.05</v>
      </c>
      <c r="U1224" s="7">
        <v>45536</v>
      </c>
      <c r="V1224" s="6">
        <v>563.13</v>
      </c>
      <c r="W1224" s="6">
        <f ca="1">IFERROR(__xludf.DUMMYFUNCTION("IFERROR(GOOGLEFINANCE(B1224,""pe""),V1224)"),563.13)</f>
        <v>563.13</v>
      </c>
      <c r="X1224" s="6">
        <v>-293.3</v>
      </c>
      <c r="Y1224" s="6">
        <v>0.86</v>
      </c>
      <c r="Z1224" s="6">
        <v>1</v>
      </c>
      <c r="AA1224" s="8">
        <v>45352</v>
      </c>
      <c r="AB1224" s="4">
        <v>0.06</v>
      </c>
      <c r="AC1224" s="6">
        <v>0.96</v>
      </c>
      <c r="AD1224" s="6">
        <v>4.78</v>
      </c>
      <c r="AE1224" s="1">
        <v>0</v>
      </c>
      <c r="AF1224" s="1">
        <f ca="1">IFERROR(__xludf.DUMMYFUNCTION("IFERROR(GOOGLEFINANCE(TRIM(F1224)&amp;"":"" &amp; TRIM(B1224),""high52""),AE1224)"),0)</f>
        <v>0</v>
      </c>
      <c r="AG1224" s="1">
        <v>0</v>
      </c>
      <c r="AH1224" s="1">
        <f ca="1">IFERROR(__xludf.DUMMYFUNCTION("IFERROR(GOOGLEFINANCE(TRIM(F1224)&amp;"":"" &amp; TRIM(B1224),""low52""),AE1224)"),0)</f>
        <v>0</v>
      </c>
      <c r="AI1224" s="1">
        <f ca="1">IFERROR(__xludf.DUMMYFUNCTION("IFERROR(GOOGLEFINANCE(B1224,""eps""),0)"),0)</f>
        <v>0</v>
      </c>
      <c r="AJ1224" s="1"/>
      <c r="AK1224" s="1" t="s">
        <v>3703</v>
      </c>
      <c r="AL1224" s="9">
        <f t="shared" si="175"/>
        <v>1</v>
      </c>
    </row>
    <row r="1225" spans="1:38" ht="15" x14ac:dyDescent="0.25">
      <c r="A1225" s="1" t="s">
        <v>3704</v>
      </c>
      <c r="B1225" s="1" t="s">
        <v>3705</v>
      </c>
      <c r="C1225" s="1" t="s">
        <v>125</v>
      </c>
      <c r="D1225" s="1" t="s">
        <v>125</v>
      </c>
      <c r="E1225" s="6">
        <v>286.23</v>
      </c>
      <c r="F1225" s="1" t="s">
        <v>53</v>
      </c>
      <c r="G1225" s="6">
        <f ca="1">IFERROR(__xludf.DUMMYFUNCTION("iferror(GOOGLEFINANCE(TRIM(F1225)&amp;"":"" &amp; TRIM(B1225), ""price""),0
)"),0)</f>
        <v>0</v>
      </c>
      <c r="H1225" s="6">
        <v>968</v>
      </c>
      <c r="I1225" s="6">
        <f t="shared" ca="1" si="0"/>
        <v>968</v>
      </c>
      <c r="J1225" s="6">
        <f ca="1">IFERROR(__xludf.DUMMYFUNCTION("IFERROR(GOOGLEFINANCE(B1225, ""volume""), 0)"),0)</f>
        <v>0</v>
      </c>
      <c r="K1225" s="6">
        <v>1.46</v>
      </c>
      <c r="L1225" s="6">
        <f ca="1">IFERROR(__xludf.DUMMYFUNCTION("IFERROR(GOOGLEFINANCE(B1225,""changepct""),K1225)"),1.46)</f>
        <v>1.46</v>
      </c>
      <c r="M1225" s="6">
        <f ca="1">IFERROR(__xludf.DUMMYFUNCTION("IFERROR(GOOGLEFINANCE(B1225,""change""),0)"),0)</f>
        <v>0</v>
      </c>
      <c r="N1225" s="6">
        <v>1</v>
      </c>
      <c r="O1225" s="7">
        <v>45536</v>
      </c>
      <c r="P1225" s="6">
        <v>5.17</v>
      </c>
      <c r="Q1225" s="6">
        <v>285.32</v>
      </c>
      <c r="R1225" s="7">
        <v>45536</v>
      </c>
      <c r="S1225" s="6">
        <v>144.91</v>
      </c>
      <c r="T1225" s="6">
        <v>9.99</v>
      </c>
      <c r="U1225" s="7">
        <v>45536</v>
      </c>
      <c r="V1225" s="6">
        <v>28.66</v>
      </c>
      <c r="W1225" s="6">
        <f ca="1">IFERROR(__xludf.DUMMYFUNCTION("IFERROR(GOOGLEFINANCE(B1225,""pe""),V1225)"),28.66)</f>
        <v>28.66</v>
      </c>
      <c r="X1225" s="6">
        <v>1.95</v>
      </c>
      <c r="Y1225" s="6">
        <v>3.62</v>
      </c>
      <c r="Z1225" s="6">
        <v>1</v>
      </c>
      <c r="AA1225" s="8">
        <v>45352</v>
      </c>
      <c r="AB1225" s="4">
        <v>0.03</v>
      </c>
      <c r="AC1225" s="6">
        <v>16.309999999999999</v>
      </c>
      <c r="AD1225" s="6">
        <v>23.24</v>
      </c>
      <c r="AE1225" s="1">
        <v>0</v>
      </c>
      <c r="AF1225" s="1">
        <f ca="1">IFERROR(__xludf.DUMMYFUNCTION("IFERROR(GOOGLEFINANCE(TRIM(F1225)&amp;"":"" &amp; TRIM(B1225),""high52""),AE1225)"),0)</f>
        <v>0</v>
      </c>
      <c r="AG1225" s="1">
        <v>0</v>
      </c>
      <c r="AH1225" s="1">
        <f ca="1">IFERROR(__xludf.DUMMYFUNCTION("IFERROR(GOOGLEFINANCE(TRIM(F1225)&amp;"":"" &amp; TRIM(B1225),""low52""),AE1225)"),0)</f>
        <v>0</v>
      </c>
      <c r="AI1225" s="1">
        <f ca="1">IFERROR(__xludf.DUMMYFUNCTION("IFERROR(GOOGLEFINANCE(B1225,""eps""),0)"),0)</f>
        <v>0</v>
      </c>
      <c r="AJ1225" s="1"/>
      <c r="AK1225" s="1" t="s">
        <v>3706</v>
      </c>
      <c r="AL1225" s="9">
        <f t="shared" si="175"/>
        <v>1</v>
      </c>
    </row>
    <row r="1226" spans="1:38" ht="15" x14ac:dyDescent="0.25">
      <c r="A1226" s="1" t="s">
        <v>3707</v>
      </c>
      <c r="B1226" s="1" t="s">
        <v>3708</v>
      </c>
      <c r="C1226" s="1" t="s">
        <v>86</v>
      </c>
      <c r="D1226" s="1" t="s">
        <v>86</v>
      </c>
      <c r="E1226" s="6">
        <v>2558.6799999999998</v>
      </c>
      <c r="F1226" s="1" t="s">
        <v>40</v>
      </c>
      <c r="G1226" s="6">
        <f ca="1">IFERROR(__xludf.DUMMYFUNCTION("iferror(GOOGLEFINANCE(TRIM(F1226)&amp;"":"" &amp; TRIM(B1226), ""price""),0
)"),0)</f>
        <v>0</v>
      </c>
      <c r="H1226" s="6">
        <v>376.5</v>
      </c>
      <c r="I1226" s="6">
        <f t="shared" ca="1" si="0"/>
        <v>376.5</v>
      </c>
      <c r="J1226" s="6">
        <f ca="1">IFERROR(__xludf.DUMMYFUNCTION("IFERROR(GOOGLEFINANCE(B1226, ""volume""), 0)"),0)</f>
        <v>0</v>
      </c>
      <c r="K1226" s="6">
        <v>-1.1000000000000001</v>
      </c>
      <c r="L1226" s="6">
        <f ca="1">IFERROR(__xludf.DUMMYFUNCTION("IFERROR(GOOGLEFINANCE(B1226,""changepct""),K1226)"),-1.1)</f>
        <v>-1.1000000000000001</v>
      </c>
      <c r="M1226" s="6">
        <f ca="1">IFERROR(__xludf.DUMMYFUNCTION("IFERROR(GOOGLEFINANCE(B1226,""change""),0)"),0)</f>
        <v>0</v>
      </c>
      <c r="N1226" s="6">
        <v>2</v>
      </c>
      <c r="O1226" s="7">
        <v>45536</v>
      </c>
      <c r="P1226" s="9"/>
      <c r="Q1226" s="6">
        <v>2374.77</v>
      </c>
      <c r="R1226" s="7">
        <v>45536</v>
      </c>
      <c r="S1226" s="6">
        <v>1494.44</v>
      </c>
      <c r="T1226" s="6">
        <v>19.649999999999999</v>
      </c>
      <c r="U1226" s="7">
        <v>45536</v>
      </c>
      <c r="V1226" s="6">
        <v>30.59</v>
      </c>
      <c r="W1226" s="6">
        <f ca="1">IFERROR(__xludf.DUMMYFUNCTION("IFERROR(GOOGLEFINANCE(B1226,""pe""),V1226)"),30.59)</f>
        <v>30.59</v>
      </c>
      <c r="X1226" s="9"/>
      <c r="Y1226" s="6">
        <v>20.39</v>
      </c>
      <c r="Z1226" s="6">
        <v>2</v>
      </c>
      <c r="AA1226" s="8">
        <v>45352</v>
      </c>
      <c r="AB1226" s="4">
        <v>1.48</v>
      </c>
      <c r="AC1226" s="6">
        <v>-113.72</v>
      </c>
      <c r="AD1226" s="6">
        <v>-21.93</v>
      </c>
      <c r="AE1226" s="1">
        <v>0</v>
      </c>
      <c r="AF1226" s="1">
        <f ca="1">IFERROR(__xludf.DUMMYFUNCTION("IFERROR(GOOGLEFINANCE(TRIM(F1226)&amp;"":"" &amp; TRIM(B1226),""high52""),AE1226)"),0)</f>
        <v>0</v>
      </c>
      <c r="AG1226" s="1">
        <v>0</v>
      </c>
      <c r="AH1226" s="1">
        <f ca="1">IFERROR(__xludf.DUMMYFUNCTION("IFERROR(GOOGLEFINANCE(TRIM(F1226)&amp;"":"" &amp; TRIM(B1226),""low52""),AE1226)"),0)</f>
        <v>0</v>
      </c>
      <c r="AI1226" s="1">
        <f ca="1">IFERROR(__xludf.DUMMYFUNCTION("IFERROR(GOOGLEFINANCE(B1226,""eps""),0)"),0)</f>
        <v>0</v>
      </c>
      <c r="AJ1226" s="1"/>
      <c r="AK1226" s="9"/>
      <c r="AL1226" s="9">
        <f t="shared" si="175"/>
        <v>1</v>
      </c>
    </row>
    <row r="1227" spans="1:38" ht="15" x14ac:dyDescent="0.25">
      <c r="A1227" s="1" t="s">
        <v>3709</v>
      </c>
      <c r="B1227" s="1" t="s">
        <v>3710</v>
      </c>
      <c r="C1227" s="1" t="s">
        <v>125</v>
      </c>
      <c r="D1227" s="1" t="s">
        <v>125</v>
      </c>
      <c r="E1227" s="6">
        <v>52023.53</v>
      </c>
      <c r="F1227" s="1" t="s">
        <v>40</v>
      </c>
      <c r="G1227" s="6">
        <f ca="1">IFERROR(__xludf.DUMMYFUNCTION("iferror(GOOGLEFINANCE(TRIM(F1227)&amp;"":"" &amp; TRIM(B1227), ""price""),0
)"),3296.4)</f>
        <v>3296.4</v>
      </c>
      <c r="H1227" s="6">
        <v>2000</v>
      </c>
      <c r="I1227" s="6">
        <f t="shared" ca="1" si="0"/>
        <v>3296.4</v>
      </c>
      <c r="J1227" s="6">
        <f ca="1">IFERROR(__xludf.DUMMYFUNCTION("IFERROR(GOOGLEFINANCE(B1227, ""volume""), 0)"),440120)</f>
        <v>440120</v>
      </c>
      <c r="K1227" s="6">
        <v>-1.57</v>
      </c>
      <c r="L1227" s="6">
        <f ca="1">IFERROR(__xludf.DUMMYFUNCTION("IFERROR(GOOGLEFINANCE(B1227,""changepct""),K1227)"),1.63)</f>
        <v>1.63</v>
      </c>
      <c r="M1227" s="6">
        <f ca="1">IFERROR(__xludf.DUMMYFUNCTION("IFERROR(GOOGLEFINANCE(B1227,""change""),0)"),52.8)</f>
        <v>52.8</v>
      </c>
      <c r="N1227" s="6">
        <v>1</v>
      </c>
      <c r="O1227" s="7">
        <v>45536</v>
      </c>
      <c r="P1227" s="9"/>
      <c r="Q1227" s="6">
        <v>51936.55</v>
      </c>
      <c r="R1227" s="7">
        <v>45536</v>
      </c>
      <c r="S1227" s="6">
        <v>3818.69</v>
      </c>
      <c r="T1227" s="6">
        <v>394.8</v>
      </c>
      <c r="U1227" s="7">
        <v>45536</v>
      </c>
      <c r="V1227" s="6">
        <v>131.77000000000001</v>
      </c>
      <c r="W1227" s="6">
        <f ca="1">IFERROR(__xludf.DUMMYFUNCTION("IFERROR(GOOGLEFINANCE(B1227,""pe""),V1227)"),158.14)</f>
        <v>158.13999999999999</v>
      </c>
      <c r="X1227" s="6">
        <v>-41.57</v>
      </c>
      <c r="Y1227" s="6">
        <v>37.799999999999997</v>
      </c>
      <c r="Z1227" s="6">
        <v>1</v>
      </c>
      <c r="AA1227" s="8">
        <v>45352</v>
      </c>
      <c r="AB1227" s="4">
        <v>0</v>
      </c>
      <c r="AC1227" s="6">
        <v>15.64</v>
      </c>
      <c r="AD1227" s="6">
        <v>23.97</v>
      </c>
      <c r="AE1227" s="1">
        <v>0</v>
      </c>
      <c r="AF1227" s="1">
        <f ca="1">IFERROR(__xludf.DUMMYFUNCTION("IFERROR(GOOGLEFINANCE(TRIM(F1227)&amp;"":"" &amp; TRIM(B1227),""high52""),AE1227)"),3323.8)</f>
        <v>3323.8</v>
      </c>
      <c r="AG1227" s="1">
        <v>0</v>
      </c>
      <c r="AH1227" s="1">
        <f ca="1">IFERROR(__xludf.DUMMYFUNCTION("IFERROR(GOOGLEFINANCE(TRIM(F1227)&amp;"":"" &amp; TRIM(B1227),""low52""),AE1227)"),1254)</f>
        <v>1254</v>
      </c>
      <c r="AI1227" s="1">
        <f ca="1">IFERROR(__xludf.DUMMYFUNCTION("IFERROR(GOOGLEFINANCE(B1227,""eps""),0)"),11.22)</f>
        <v>11.22</v>
      </c>
      <c r="AJ1227" s="1"/>
      <c r="AK1227" s="1" t="s">
        <v>3711</v>
      </c>
      <c r="AL1227" s="9">
        <f t="shared" si="175"/>
        <v>1</v>
      </c>
    </row>
    <row r="1228" spans="1:38" ht="15" x14ac:dyDescent="0.25">
      <c r="A1228" s="1" t="s">
        <v>3712</v>
      </c>
      <c r="B1228" s="1" t="s">
        <v>3713</v>
      </c>
      <c r="C1228" s="1" t="s">
        <v>487</v>
      </c>
      <c r="D1228" s="1" t="s">
        <v>487</v>
      </c>
      <c r="E1228" s="6">
        <v>930.26</v>
      </c>
      <c r="F1228" s="1" t="s">
        <v>40</v>
      </c>
      <c r="G1228" s="6">
        <f ca="1">IFERROR(__xludf.DUMMYFUNCTION("iferror(GOOGLEFINANCE(TRIM(F1228)&amp;"":"" &amp; TRIM(B1228), ""price""),0
)"),306)</f>
        <v>306</v>
      </c>
      <c r="H1228" s="6">
        <v>445.75</v>
      </c>
      <c r="I1228" s="6">
        <f t="shared" ca="1" si="0"/>
        <v>306</v>
      </c>
      <c r="J1228" s="6">
        <f ca="1">IFERROR(__xludf.DUMMYFUNCTION("IFERROR(GOOGLEFINANCE(B1228, ""volume""), 0)"),2126)</f>
        <v>2126</v>
      </c>
      <c r="K1228" s="6">
        <v>0.61</v>
      </c>
      <c r="L1228" s="6">
        <f ca="1">IFERROR(__xludf.DUMMYFUNCTION("IFERROR(GOOGLEFINANCE(B1228,""changepct""),K1228)"),-0.11)</f>
        <v>-0.11</v>
      </c>
      <c r="M1228" s="6">
        <f ca="1">IFERROR(__xludf.DUMMYFUNCTION("IFERROR(GOOGLEFINANCE(B1228,""change""),0)"),-0.35)</f>
        <v>-0.35</v>
      </c>
      <c r="N1228" s="6">
        <v>2</v>
      </c>
      <c r="O1228" s="7">
        <v>45536</v>
      </c>
      <c r="P1228" s="9"/>
      <c r="Q1228" s="6">
        <v>759.05</v>
      </c>
      <c r="R1228" s="7">
        <v>45536</v>
      </c>
      <c r="S1228" s="6">
        <v>137.34</v>
      </c>
      <c r="T1228" s="6">
        <v>50.44</v>
      </c>
      <c r="U1228" s="7">
        <v>45536</v>
      </c>
      <c r="V1228" s="6">
        <v>18.43</v>
      </c>
      <c r="W1228" s="6">
        <f ca="1">IFERROR(__xludf.DUMMYFUNCTION("IFERROR(GOOGLEFINANCE(B1228,""pe""),V1228)"),17.31)</f>
        <v>17.309999999999999</v>
      </c>
      <c r="X1228" s="6">
        <v>32.340000000000003</v>
      </c>
      <c r="Y1228" s="6">
        <v>1.48</v>
      </c>
      <c r="Z1228" s="6">
        <v>2</v>
      </c>
      <c r="AA1228" s="8">
        <v>45352</v>
      </c>
      <c r="AB1228" s="4">
        <v>0</v>
      </c>
      <c r="AC1228" s="6">
        <v>7.18</v>
      </c>
      <c r="AD1228" s="6">
        <v>8.3800000000000008</v>
      </c>
      <c r="AE1228" s="1">
        <v>0</v>
      </c>
      <c r="AF1228" s="1">
        <f ca="1">IFERROR(__xludf.DUMMYFUNCTION("IFERROR(GOOGLEFINANCE(TRIM(F1228)&amp;"":"" &amp; TRIM(B1228),""high52""),AE1228)"),465)</f>
        <v>465</v>
      </c>
      <c r="AG1228" s="1">
        <v>0</v>
      </c>
      <c r="AH1228" s="1">
        <f ca="1">IFERROR(__xludf.DUMMYFUNCTION("IFERROR(GOOGLEFINANCE(TRIM(F1228)&amp;"":"" &amp; TRIM(B1228),""low52""),AE1228)"),297.9)</f>
        <v>297.89999999999998</v>
      </c>
      <c r="AI1228" s="1">
        <f ca="1">IFERROR(__xludf.DUMMYFUNCTION("IFERROR(GOOGLEFINANCE(B1228,""eps""),0)"),17.68)</f>
        <v>17.68</v>
      </c>
      <c r="AJ1228" s="1"/>
      <c r="AK1228" s="1" t="s">
        <v>3714</v>
      </c>
      <c r="AL1228" s="9">
        <f t="shared" si="175"/>
        <v>1</v>
      </c>
    </row>
    <row r="1229" spans="1:38" ht="15" x14ac:dyDescent="0.25">
      <c r="A1229" s="1" t="s">
        <v>3715</v>
      </c>
      <c r="B1229" s="1" t="s">
        <v>3716</v>
      </c>
      <c r="C1229" s="1" t="s">
        <v>219</v>
      </c>
      <c r="D1229" s="1" t="s">
        <v>219</v>
      </c>
      <c r="E1229" s="6">
        <v>525</v>
      </c>
      <c r="F1229" s="1" t="s">
        <v>40</v>
      </c>
      <c r="G1229" s="6">
        <f ca="1">IFERROR(__xludf.DUMMYFUNCTION("iferror(GOOGLEFINANCE(TRIM(F1229)&amp;"":"" &amp; TRIM(B1229), ""price""),0
)"),28.97)</f>
        <v>28.97</v>
      </c>
      <c r="H1229" s="6">
        <v>100.6</v>
      </c>
      <c r="I1229" s="6">
        <f t="shared" ca="1" si="0"/>
        <v>28.97</v>
      </c>
      <c r="J1229" s="6">
        <f ca="1">IFERROR(__xludf.DUMMYFUNCTION("IFERROR(GOOGLEFINANCE(B1229, ""volume""), 0)"),96907)</f>
        <v>96907</v>
      </c>
      <c r="K1229" s="6">
        <v>0.14000000000000001</v>
      </c>
      <c r="L1229" s="6">
        <f ca="1">IFERROR(__xludf.DUMMYFUNCTION("IFERROR(GOOGLEFINANCE(B1229,""changepct""),K1229)"),-4.7)</f>
        <v>-4.7</v>
      </c>
      <c r="M1229" s="6">
        <f ca="1">IFERROR(__xludf.DUMMYFUNCTION("IFERROR(GOOGLEFINANCE(B1229,""change""),0)"),-1.43)</f>
        <v>-1.43</v>
      </c>
      <c r="N1229" s="6">
        <v>1</v>
      </c>
      <c r="O1229" s="7">
        <v>45536</v>
      </c>
      <c r="P1229" s="9"/>
      <c r="Q1229" s="6">
        <v>426.53</v>
      </c>
      <c r="R1229" s="7">
        <v>45352</v>
      </c>
      <c r="S1229" s="6">
        <v>411.55</v>
      </c>
      <c r="T1229" s="6">
        <v>38.53</v>
      </c>
      <c r="U1229" s="7">
        <v>45352</v>
      </c>
      <c r="V1229" s="6">
        <v>13.63</v>
      </c>
      <c r="W1229" s="6">
        <f ca="1">IFERROR(__xludf.DUMMYFUNCTION("IFERROR(GOOGLEFINANCE(B1229,""pe""),V1229)"),9.3)</f>
        <v>9.3000000000000007</v>
      </c>
      <c r="X1229" s="6">
        <v>0.2</v>
      </c>
      <c r="Y1229" s="6">
        <v>4.6100000000000003</v>
      </c>
      <c r="Z1229" s="6">
        <v>1</v>
      </c>
      <c r="AA1229" s="8">
        <v>45352</v>
      </c>
      <c r="AB1229" s="4">
        <v>0.7</v>
      </c>
      <c r="AC1229" s="6">
        <v>44.39</v>
      </c>
      <c r="AD1229" s="6">
        <v>35.47</v>
      </c>
      <c r="AE1229" s="1">
        <v>0</v>
      </c>
      <c r="AF1229" s="1">
        <f ca="1">IFERROR(__xludf.DUMMYFUNCTION("IFERROR(GOOGLEFINANCE(TRIM(F1229)&amp;"":"" &amp; TRIM(B1229),""high52""),AE1229)"),46)</f>
        <v>46</v>
      </c>
      <c r="AG1229" s="1">
        <v>0</v>
      </c>
      <c r="AH1229" s="1">
        <f ca="1">IFERROR(__xludf.DUMMYFUNCTION("IFERROR(GOOGLEFINANCE(TRIM(F1229)&amp;"":"" &amp; TRIM(B1229),""low52""),AE1229)"),27.27)</f>
        <v>27.27</v>
      </c>
      <c r="AI1229" s="1">
        <f ca="1">IFERROR(__xludf.DUMMYFUNCTION("IFERROR(GOOGLEFINANCE(B1229,""eps""),0)"),3.12)</f>
        <v>3.12</v>
      </c>
      <c r="AJ1229" s="1"/>
      <c r="AK1229" s="1" t="s">
        <v>3717</v>
      </c>
      <c r="AL1229" s="9">
        <f t="shared" si="175"/>
        <v>1</v>
      </c>
    </row>
    <row r="1230" spans="1:38" ht="15" x14ac:dyDescent="0.25">
      <c r="A1230" s="1" t="s">
        <v>3718</v>
      </c>
      <c r="B1230" s="1" t="s">
        <v>3719</v>
      </c>
      <c r="C1230" s="1" t="s">
        <v>3720</v>
      </c>
      <c r="D1230" s="1" t="s">
        <v>3720</v>
      </c>
      <c r="E1230" s="6">
        <v>79255.02</v>
      </c>
      <c r="F1230" s="1" t="s">
        <v>40</v>
      </c>
      <c r="G1230" s="6">
        <f ca="1">IFERROR(__xludf.DUMMYFUNCTION("iferror(GOOGLEFINANCE(TRIM(F1230)&amp;"":"" &amp; TRIM(B1230), ""price""),0
)"),370.5)</f>
        <v>370.5</v>
      </c>
      <c r="H1230" s="6">
        <v>457.85</v>
      </c>
      <c r="I1230" s="6">
        <f t="shared" ca="1" si="0"/>
        <v>370.5</v>
      </c>
      <c r="J1230" s="6">
        <f ca="1">IFERROR(__xludf.DUMMYFUNCTION("IFERROR(GOOGLEFINANCE(B1230, ""volume""), 0)"),385759)</f>
        <v>385759</v>
      </c>
      <c r="K1230" s="6">
        <v>1.33</v>
      </c>
      <c r="L1230" s="6">
        <f ca="1">IFERROR(__xludf.DUMMYFUNCTION("IFERROR(GOOGLEFINANCE(B1230,""changepct""),K1230)"),-1.7)</f>
        <v>-1.7</v>
      </c>
      <c r="M1230" s="6">
        <f ca="1">IFERROR(__xludf.DUMMYFUNCTION("IFERROR(GOOGLEFINANCE(B1230,""change""),0)"),-6.4)</f>
        <v>-6.4</v>
      </c>
      <c r="N1230" s="6">
        <v>2</v>
      </c>
      <c r="O1230" s="7">
        <v>45536</v>
      </c>
      <c r="P1230" s="6">
        <v>6933.04</v>
      </c>
      <c r="Q1230" s="7">
        <v>45536</v>
      </c>
      <c r="R1230" s="6">
        <v>10.89</v>
      </c>
      <c r="S1230" s="6">
        <v>0.61</v>
      </c>
      <c r="T1230" s="6">
        <v>1.8</v>
      </c>
      <c r="U1230" s="6">
        <v>2</v>
      </c>
      <c r="V1230" s="7">
        <v>45352</v>
      </c>
      <c r="W1230" s="6">
        <f ca="1">IFERROR(__xludf.DUMMYFUNCTION("IFERROR(GOOGLEFINANCE(B1230,""pe""),V1230)"),6.79)</f>
        <v>6.79</v>
      </c>
      <c r="X1230" s="6">
        <v>0</v>
      </c>
      <c r="Y1230" s="6">
        <v>17.16</v>
      </c>
      <c r="Z1230" s="6">
        <v>20.79</v>
      </c>
      <c r="AA1230" s="3" t="s">
        <v>3721</v>
      </c>
      <c r="AB1230" s="11"/>
      <c r="AC1230" s="12"/>
      <c r="AD1230" s="12"/>
      <c r="AE1230" s="1">
        <v>0</v>
      </c>
      <c r="AF1230" s="1">
        <f ca="1">IFERROR(__xludf.DUMMYFUNCTION("IFERROR(GOOGLEFINANCE(TRIM(F1230)&amp;"":"" &amp; TRIM(B1230),""high52""),AE1230)"),453.8)</f>
        <v>453.8</v>
      </c>
      <c r="AG1230" s="1">
        <v>0</v>
      </c>
      <c r="AH1230" s="1">
        <f ca="1">IFERROR(__xludf.DUMMYFUNCTION("IFERROR(GOOGLEFINANCE(TRIM(F1230)&amp;"":"" &amp; TRIM(B1230),""low52""),AE1230)"),351)</f>
        <v>351</v>
      </c>
      <c r="AI1230" s="1">
        <f ca="1">IFERROR(__xludf.DUMMYFUNCTION("IFERROR(GOOGLEFINANCE(B1230,""eps""),0)"),54.6)</f>
        <v>54.6</v>
      </c>
      <c r="AJ1230" s="1"/>
      <c r="AK1230" s="1" t="s">
        <v>3722</v>
      </c>
      <c r="AL1230" s="9">
        <f t="shared" si="175"/>
        <v>1</v>
      </c>
    </row>
    <row r="1231" spans="1:38" ht="15" x14ac:dyDescent="0.25">
      <c r="A1231" s="1" t="s">
        <v>3723</v>
      </c>
      <c r="B1231" s="1" t="s">
        <v>3724</v>
      </c>
      <c r="C1231" s="1" t="s">
        <v>86</v>
      </c>
      <c r="D1231" s="1" t="s">
        <v>86</v>
      </c>
      <c r="E1231" s="6">
        <v>252.33</v>
      </c>
      <c r="F1231" s="1" t="s">
        <v>40</v>
      </c>
      <c r="G1231" s="6">
        <f ca="1">IFERROR(__xludf.DUMMYFUNCTION("iferror(GOOGLEFINANCE(TRIM(F1231)&amp;"":"" &amp; TRIM(B1231), ""price""),0
)"),51)</f>
        <v>51</v>
      </c>
      <c r="H1231" s="6">
        <v>43.52</v>
      </c>
      <c r="I1231" s="6">
        <f t="shared" ca="1" si="0"/>
        <v>51</v>
      </c>
      <c r="J1231" s="6">
        <f ca="1">IFERROR(__xludf.DUMMYFUNCTION("IFERROR(GOOGLEFINANCE(B1231, ""volume""), 0)"),211545)</f>
        <v>211545</v>
      </c>
      <c r="K1231" s="6">
        <v>-1.78</v>
      </c>
      <c r="L1231" s="6">
        <f ca="1">IFERROR(__xludf.DUMMYFUNCTION("IFERROR(GOOGLEFINANCE(B1231,""changepct""),K1231)"),-0.2)</f>
        <v>-0.2</v>
      </c>
      <c r="M1231" s="6">
        <f ca="1">IFERROR(__xludf.DUMMYFUNCTION("IFERROR(GOOGLEFINANCE(B1231,""change""),0)"),-0.1)</f>
        <v>-0.1</v>
      </c>
      <c r="N1231" s="6">
        <v>1</v>
      </c>
      <c r="O1231" s="7">
        <v>45536</v>
      </c>
      <c r="P1231" s="6">
        <v>66.959999999999994</v>
      </c>
      <c r="Q1231" s="6">
        <v>308.23</v>
      </c>
      <c r="R1231" s="7">
        <v>45536</v>
      </c>
      <c r="S1231" s="6">
        <v>301.3</v>
      </c>
      <c r="T1231" s="6">
        <v>10.93</v>
      </c>
      <c r="U1231" s="7">
        <v>45536</v>
      </c>
      <c r="V1231" s="6">
        <v>23.08</v>
      </c>
      <c r="W1231" s="6">
        <f ca="1">IFERROR(__xludf.DUMMYFUNCTION("IFERROR(GOOGLEFINANCE(B1231,""pe""),V1231)"),22.76)</f>
        <v>22.76</v>
      </c>
      <c r="X1231" s="6">
        <v>-3.53</v>
      </c>
      <c r="Y1231" s="6">
        <v>0.95</v>
      </c>
      <c r="Z1231" s="6">
        <v>1</v>
      </c>
      <c r="AA1231" s="8">
        <v>45352</v>
      </c>
      <c r="AB1231" s="4">
        <v>0.26</v>
      </c>
      <c r="AC1231" s="6">
        <v>4.4000000000000004</v>
      </c>
      <c r="AD1231" s="6">
        <v>6.84</v>
      </c>
      <c r="AE1231" s="1">
        <v>0</v>
      </c>
      <c r="AF1231" s="1">
        <f ca="1">IFERROR(__xludf.DUMMYFUNCTION("IFERROR(GOOGLEFINANCE(TRIM(F1231)&amp;"":"" &amp; TRIM(B1231),""high52""),AE1231)"),55.92)</f>
        <v>55.92</v>
      </c>
      <c r="AG1231" s="1">
        <v>0</v>
      </c>
      <c r="AH1231" s="1">
        <f ca="1">IFERROR(__xludf.DUMMYFUNCTION("IFERROR(GOOGLEFINANCE(TRIM(F1231)&amp;"":"" &amp; TRIM(B1231),""low52""),AE1231)"),21.96)</f>
        <v>21.96</v>
      </c>
      <c r="AI1231" s="1">
        <f ca="1">IFERROR(__xludf.DUMMYFUNCTION("IFERROR(GOOGLEFINANCE(B1231,""eps""),0)"),2.24)</f>
        <v>2.2400000000000002</v>
      </c>
      <c r="AJ1231" s="1"/>
      <c r="AK1231" s="1" t="s">
        <v>3725</v>
      </c>
      <c r="AL1231" s="9">
        <f t="shared" si="175"/>
        <v>1</v>
      </c>
    </row>
    <row r="1232" spans="1:38" ht="15" x14ac:dyDescent="0.25">
      <c r="A1232" s="1" t="s">
        <v>3726</v>
      </c>
      <c r="B1232" s="1" t="s">
        <v>3727</v>
      </c>
      <c r="C1232" s="1" t="s">
        <v>57</v>
      </c>
      <c r="D1232" s="1" t="s">
        <v>57</v>
      </c>
      <c r="E1232" s="6">
        <v>3773.04</v>
      </c>
      <c r="F1232" s="1" t="s">
        <v>40</v>
      </c>
      <c r="G1232" s="6">
        <f ca="1">IFERROR(__xludf.DUMMYFUNCTION("iferror(GOOGLEFINANCE(TRIM(F1232)&amp;"":"" &amp; TRIM(B1232), ""price""),0
)"),305)</f>
        <v>305</v>
      </c>
      <c r="H1232" s="6">
        <v>954.9</v>
      </c>
      <c r="I1232" s="6">
        <f t="shared" ca="1" si="0"/>
        <v>305</v>
      </c>
      <c r="J1232" s="6">
        <f ca="1">IFERROR(__xludf.DUMMYFUNCTION("IFERROR(GOOGLEFINANCE(B1232, ""volume""), 0)"),221682)</f>
        <v>221682</v>
      </c>
      <c r="K1232" s="6">
        <v>0.53</v>
      </c>
      <c r="L1232" s="6">
        <f ca="1">IFERROR(__xludf.DUMMYFUNCTION("IFERROR(GOOGLEFINANCE(B1232,""changepct""),K1232)"),-1.63)</f>
        <v>-1.63</v>
      </c>
      <c r="M1232" s="6">
        <f ca="1">IFERROR(__xludf.DUMMYFUNCTION("IFERROR(GOOGLEFINANCE(B1232,""change""),0)"),-5.05)</f>
        <v>-5.05</v>
      </c>
      <c r="N1232" s="6">
        <v>2</v>
      </c>
      <c r="O1232" s="15">
        <v>45536</v>
      </c>
      <c r="P1232" s="6">
        <v>59.61</v>
      </c>
      <c r="Q1232" s="6">
        <v>3815.68</v>
      </c>
      <c r="R1232" s="7">
        <v>45536</v>
      </c>
      <c r="S1232" s="6">
        <v>258.29000000000002</v>
      </c>
      <c r="T1232" s="6">
        <v>46.9</v>
      </c>
      <c r="U1232" s="15">
        <v>45536</v>
      </c>
      <c r="V1232" s="6">
        <v>79.739999999999995</v>
      </c>
      <c r="W1232" s="6">
        <f ca="1">IFERROR(__xludf.DUMMYFUNCTION("IFERROR(GOOGLEFINANCE(B1232,""pe""),V1232)"),20.95)</f>
        <v>20.95</v>
      </c>
      <c r="X1232" s="6">
        <v>2.44</v>
      </c>
      <c r="Y1232" s="6">
        <v>7.39</v>
      </c>
      <c r="Z1232" s="6">
        <v>2</v>
      </c>
      <c r="AA1232" s="13">
        <v>45352</v>
      </c>
      <c r="AB1232" s="4">
        <v>0.11</v>
      </c>
      <c r="AC1232" s="6">
        <v>4.99</v>
      </c>
      <c r="AD1232" s="6">
        <v>8.5299999999999994</v>
      </c>
      <c r="AE1232" s="1">
        <v>0</v>
      </c>
      <c r="AF1232" s="1">
        <f ca="1">IFERROR(__xludf.DUMMYFUNCTION("IFERROR(GOOGLEFINANCE(TRIM(F1232)&amp;"":"" &amp; TRIM(B1232),""high52""),AE1232)"),903.1)</f>
        <v>903.1</v>
      </c>
      <c r="AG1232" s="1">
        <v>0</v>
      </c>
      <c r="AH1232" s="1">
        <f ca="1">IFERROR(__xludf.DUMMYFUNCTION("IFERROR(GOOGLEFINANCE(TRIM(F1232)&amp;"":"" &amp; TRIM(B1232),""low52""),AE1232)"),289.65)</f>
        <v>289.64999999999998</v>
      </c>
      <c r="AI1232" s="1">
        <f ca="1">IFERROR(__xludf.DUMMYFUNCTION("IFERROR(GOOGLEFINANCE(B1232,""eps""),0)"),14.56)</f>
        <v>14.56</v>
      </c>
      <c r="AJ1232" s="1"/>
      <c r="AK1232" s="1" t="s">
        <v>3728</v>
      </c>
      <c r="AL1232" s="9">
        <f t="shared" si="175"/>
        <v>1</v>
      </c>
    </row>
    <row r="1233" spans="1:38" ht="15" x14ac:dyDescent="0.25">
      <c r="A1233" s="1" t="s">
        <v>3729</v>
      </c>
      <c r="B1233" s="1" t="s">
        <v>3730</v>
      </c>
      <c r="C1233" s="1" t="s">
        <v>86</v>
      </c>
      <c r="D1233" s="1" t="s">
        <v>86</v>
      </c>
      <c r="E1233" s="6">
        <v>2884.57</v>
      </c>
      <c r="F1233" s="1" t="s">
        <v>40</v>
      </c>
      <c r="G1233" s="6">
        <f ca="1">IFERROR(__xludf.DUMMYFUNCTION("iferror(GOOGLEFINANCE(TRIM(F1233)&amp;"":"" &amp; TRIM(B1233), ""price""),0
)"),29.36)</f>
        <v>29.36</v>
      </c>
      <c r="H1233" s="6">
        <v>755</v>
      </c>
      <c r="I1233" s="6">
        <f t="shared" ca="1" si="0"/>
        <v>29.36</v>
      </c>
      <c r="J1233" s="6">
        <f ca="1">IFERROR(__xludf.DUMMYFUNCTION("IFERROR(GOOGLEFINANCE(B1233, ""volume""), 0)"),77519)</f>
        <v>77519</v>
      </c>
      <c r="K1233" s="6">
        <v>-0.61</v>
      </c>
      <c r="L1233" s="6">
        <f ca="1">IFERROR(__xludf.DUMMYFUNCTION("IFERROR(GOOGLEFINANCE(B1233,""changepct""),K1233)"),10.21)</f>
        <v>10.210000000000001</v>
      </c>
      <c r="M1233" s="6">
        <f ca="1">IFERROR(__xludf.DUMMYFUNCTION("IFERROR(GOOGLEFINANCE(B1233,""change""),0)"),2.72)</f>
        <v>2.72</v>
      </c>
      <c r="N1233" s="6">
        <v>2</v>
      </c>
      <c r="O1233" s="7">
        <v>45536</v>
      </c>
      <c r="P1233" s="6">
        <v>1211.79</v>
      </c>
      <c r="Q1233" s="6">
        <v>3839.77</v>
      </c>
      <c r="R1233" s="7">
        <v>45536</v>
      </c>
      <c r="S1233" s="6">
        <v>1260.71</v>
      </c>
      <c r="T1233" s="6">
        <v>70.17</v>
      </c>
      <c r="U1233" s="7">
        <v>45536</v>
      </c>
      <c r="V1233" s="6">
        <v>33.06</v>
      </c>
      <c r="W1233" s="6">
        <f ca="1">IFERROR(__xludf.DUMMYFUNCTION("IFERROR(GOOGLEFINANCE(B1233,""pe""),V1233)"),33.06)</f>
        <v>33.06</v>
      </c>
      <c r="X1233" s="6">
        <v>0.6</v>
      </c>
      <c r="Y1233" s="6">
        <v>4.9000000000000004</v>
      </c>
      <c r="Z1233" s="6">
        <v>2</v>
      </c>
      <c r="AA1233" s="8">
        <v>45352</v>
      </c>
      <c r="AB1233" s="4">
        <v>4.29</v>
      </c>
      <c r="AC1233" s="6">
        <v>20.07</v>
      </c>
      <c r="AD1233" s="6">
        <v>15.35</v>
      </c>
      <c r="AE1233" s="1">
        <v>0</v>
      </c>
      <c r="AF1233" s="1">
        <f ca="1">IFERROR(__xludf.DUMMYFUNCTION("IFERROR(GOOGLEFINANCE(TRIM(F1233)&amp;"":"" &amp; TRIM(B1233),""high52""),AE1233)"),760.45)</f>
        <v>760.45</v>
      </c>
      <c r="AG1233" s="1">
        <v>0</v>
      </c>
      <c r="AH1233" s="1">
        <f ca="1">IFERROR(__xludf.DUMMYFUNCTION("IFERROR(GOOGLEFINANCE(TRIM(F1233)&amp;"":"" &amp; TRIM(B1233),""low52""),AE1233)"),20.5)</f>
        <v>20.5</v>
      </c>
      <c r="AI1233" s="1">
        <f ca="1">IFERROR(__xludf.DUMMYFUNCTION("IFERROR(GOOGLEFINANCE(B1233,""eps""),0)"),0)</f>
        <v>0</v>
      </c>
      <c r="AJ1233" s="1"/>
      <c r="AK1233" s="1" t="s">
        <v>3731</v>
      </c>
      <c r="AL1233" s="9">
        <f t="shared" si="175"/>
        <v>1</v>
      </c>
    </row>
    <row r="1234" spans="1:38" ht="15" x14ac:dyDescent="0.25">
      <c r="A1234" s="1" t="s">
        <v>3732</v>
      </c>
      <c r="B1234" s="1" t="s">
        <v>3733</v>
      </c>
      <c r="C1234" s="1" t="s">
        <v>373</v>
      </c>
      <c r="D1234" s="1" t="s">
        <v>373</v>
      </c>
      <c r="E1234" s="6">
        <v>560.02</v>
      </c>
      <c r="F1234" s="1" t="s">
        <v>40</v>
      </c>
      <c r="G1234" s="6">
        <f ca="1">IFERROR(__xludf.DUMMYFUNCTION("iferror(GOOGLEFINANCE(TRIM(F1234)&amp;"":"" &amp; TRIM(B1234), ""price""),0
)"),11.15)</f>
        <v>11.15</v>
      </c>
      <c r="H1234" s="6">
        <v>22.09</v>
      </c>
      <c r="I1234" s="6">
        <f t="shared" ca="1" si="0"/>
        <v>11.15</v>
      </c>
      <c r="J1234" s="6">
        <f ca="1">IFERROR(__xludf.DUMMYFUNCTION("IFERROR(GOOGLEFINANCE(B1234, ""volume""), 0)"),264342)</f>
        <v>264342</v>
      </c>
      <c r="K1234" s="6">
        <v>0.23</v>
      </c>
      <c r="L1234" s="6">
        <f ca="1">IFERROR(__xludf.DUMMYFUNCTION("IFERROR(GOOGLEFINANCE(B1234,""changepct""),K1234)"),-4.46)</f>
        <v>-4.46</v>
      </c>
      <c r="M1234" s="6">
        <f ca="1">IFERROR(__xludf.DUMMYFUNCTION("IFERROR(GOOGLEFINANCE(B1234,""change""),0)"),-0.52)</f>
        <v>-0.52</v>
      </c>
      <c r="N1234" s="6">
        <v>2</v>
      </c>
      <c r="O1234" s="7">
        <v>45536</v>
      </c>
      <c r="P1234" s="6">
        <v>355.03</v>
      </c>
      <c r="Q1234" s="6">
        <v>889.79</v>
      </c>
      <c r="R1234" s="7">
        <v>45536</v>
      </c>
      <c r="S1234" s="6">
        <v>761.64</v>
      </c>
      <c r="T1234" s="6">
        <v>2.78</v>
      </c>
      <c r="U1234" s="7">
        <v>45536</v>
      </c>
      <c r="V1234" s="6">
        <v>201.37</v>
      </c>
      <c r="W1234" s="6">
        <f ca="1">IFERROR(__xludf.DUMMYFUNCTION("IFERROR(GOOGLEFINANCE(B1234,""pe""),V1234)"),39.92)</f>
        <v>39.92</v>
      </c>
      <c r="X1234" s="9"/>
      <c r="Y1234" s="6">
        <v>1.18</v>
      </c>
      <c r="Z1234" s="6">
        <v>2</v>
      </c>
      <c r="AA1234" s="8">
        <v>45352</v>
      </c>
      <c r="AB1234" s="4">
        <v>0.68</v>
      </c>
      <c r="AC1234" s="6">
        <v>0.74</v>
      </c>
      <c r="AD1234" s="6">
        <v>4.49</v>
      </c>
      <c r="AE1234" s="1">
        <v>0</v>
      </c>
      <c r="AF1234" s="1">
        <f ca="1">IFERROR(__xludf.DUMMYFUNCTION("IFERROR(GOOGLEFINANCE(TRIM(F1234)&amp;"":"" &amp; TRIM(B1234),""high52""),AE1234)"),22.01)</f>
        <v>22.01</v>
      </c>
      <c r="AG1234" s="1">
        <v>0</v>
      </c>
      <c r="AH1234" s="1">
        <f ca="1">IFERROR(__xludf.DUMMYFUNCTION("IFERROR(GOOGLEFINANCE(TRIM(F1234)&amp;"":"" &amp; TRIM(B1234),""low52""),AE1234)"),11.02)</f>
        <v>11.02</v>
      </c>
      <c r="AI1234" s="1">
        <f ca="1">IFERROR(__xludf.DUMMYFUNCTION("IFERROR(GOOGLEFINANCE(B1234,""eps""),0)"),0.28)</f>
        <v>0.28000000000000003</v>
      </c>
      <c r="AJ1234" s="1"/>
      <c r="AK1234" s="1" t="s">
        <v>3734</v>
      </c>
      <c r="AL1234" s="9">
        <f t="shared" si="175"/>
        <v>1</v>
      </c>
    </row>
    <row r="1235" spans="1:38" ht="15" x14ac:dyDescent="0.25">
      <c r="A1235" s="1" t="s">
        <v>3735</v>
      </c>
      <c r="B1235" s="1" t="s">
        <v>3736</v>
      </c>
      <c r="C1235" s="1" t="s">
        <v>416</v>
      </c>
      <c r="D1235" s="1" t="s">
        <v>416</v>
      </c>
      <c r="E1235" s="6">
        <v>12006.88</v>
      </c>
      <c r="F1235" s="1" t="s">
        <v>40</v>
      </c>
      <c r="G1235" s="6">
        <f ca="1">IFERROR(__xludf.DUMMYFUNCTION("iferror(GOOGLEFINANCE(TRIM(F1235)&amp;"":"" &amp; TRIM(B1235), ""price""),0
)"),271.5)</f>
        <v>271.5</v>
      </c>
      <c r="H1235" s="6">
        <v>406.15</v>
      </c>
      <c r="I1235" s="6">
        <f t="shared" ca="1" si="0"/>
        <v>271.5</v>
      </c>
      <c r="J1235" s="6">
        <f ca="1">IFERROR(__xludf.DUMMYFUNCTION("IFERROR(GOOGLEFINANCE(B1235, ""volume""), 0)"),749083)</f>
        <v>749083</v>
      </c>
      <c r="K1235" s="6">
        <v>2.89</v>
      </c>
      <c r="L1235" s="6">
        <f ca="1">IFERROR(__xludf.DUMMYFUNCTION("IFERROR(GOOGLEFINANCE(B1235,""changepct""),K1235)"),0.26)</f>
        <v>0.26</v>
      </c>
      <c r="M1235" s="6">
        <f ca="1">IFERROR(__xludf.DUMMYFUNCTION("IFERROR(GOOGLEFINANCE(B1235,""change""),0)"),0.7)</f>
        <v>0.7</v>
      </c>
      <c r="N1235" s="6">
        <v>2</v>
      </c>
      <c r="O1235" s="7">
        <v>45536</v>
      </c>
      <c r="P1235" s="6">
        <v>1172.6500000000001</v>
      </c>
      <c r="Q1235" s="6">
        <v>12419.73</v>
      </c>
      <c r="R1235" s="7">
        <v>45536</v>
      </c>
      <c r="S1235" s="6">
        <v>1579.43</v>
      </c>
      <c r="T1235" s="6">
        <v>162.31</v>
      </c>
      <c r="U1235" s="7">
        <v>45536</v>
      </c>
      <c r="V1235" s="6">
        <v>82.33</v>
      </c>
      <c r="W1235" s="6">
        <f ca="1">IFERROR(__xludf.DUMMYFUNCTION("IFERROR(GOOGLEFINANCE(B1235,""pe""),V1235)"),16.43)</f>
        <v>16.43</v>
      </c>
      <c r="X1235" s="6">
        <v>6.56</v>
      </c>
      <c r="Y1235" s="6">
        <v>7.11</v>
      </c>
      <c r="Z1235" s="6">
        <v>2</v>
      </c>
      <c r="AA1235" s="8">
        <v>45352</v>
      </c>
      <c r="AB1235" s="4">
        <v>0.37</v>
      </c>
      <c r="AC1235" s="6">
        <v>7.94</v>
      </c>
      <c r="AD1235" s="6">
        <v>11.33</v>
      </c>
      <c r="AE1235" s="1">
        <v>0</v>
      </c>
      <c r="AF1235" s="1">
        <f ca="1">IFERROR(__xludf.DUMMYFUNCTION("IFERROR(GOOGLEFINANCE(TRIM(F1235)&amp;"":"" &amp; TRIM(B1235),""high52""),AE1235)"),430)</f>
        <v>430</v>
      </c>
      <c r="AG1235" s="1">
        <v>0</v>
      </c>
      <c r="AH1235" s="1">
        <f ca="1">IFERROR(__xludf.DUMMYFUNCTION("IFERROR(GOOGLEFINANCE(TRIM(F1235)&amp;"":"" &amp; TRIM(B1235),""low52""),AE1235)"),236.85)</f>
        <v>236.85</v>
      </c>
      <c r="AI1235" s="1">
        <f ca="1">IFERROR(__xludf.DUMMYFUNCTION("IFERROR(GOOGLEFINANCE(B1235,""eps""),0)"),16.52)</f>
        <v>16.52</v>
      </c>
      <c r="AJ1235" s="1"/>
      <c r="AK1235" s="1" t="s">
        <v>3737</v>
      </c>
      <c r="AL1235" s="9">
        <f t="shared" si="175"/>
        <v>1</v>
      </c>
    </row>
    <row r="1236" spans="1:38" ht="15" x14ac:dyDescent="0.25">
      <c r="A1236" s="1" t="s">
        <v>3738</v>
      </c>
      <c r="B1236" s="1" t="s">
        <v>3739</v>
      </c>
      <c r="C1236" s="1" t="s">
        <v>75</v>
      </c>
      <c r="D1236" s="1" t="s">
        <v>75</v>
      </c>
      <c r="E1236" s="6">
        <v>3284.13</v>
      </c>
      <c r="F1236" s="1" t="s">
        <v>40</v>
      </c>
      <c r="G1236" s="6">
        <f ca="1">IFERROR(__xludf.DUMMYFUNCTION("iferror(GOOGLEFINANCE(TRIM(F1236)&amp;"":"" &amp; TRIM(B1236), ""price""),0
)"),69.89)</f>
        <v>69.89</v>
      </c>
      <c r="H1236" s="6">
        <v>117.98</v>
      </c>
      <c r="I1236" s="6">
        <f t="shared" ca="1" si="0"/>
        <v>69.89</v>
      </c>
      <c r="J1236" s="6">
        <f ca="1">IFERROR(__xludf.DUMMYFUNCTION("IFERROR(GOOGLEFINANCE(B1236, ""volume""), 0)"),501717)</f>
        <v>501717</v>
      </c>
      <c r="K1236" s="6">
        <v>0.28999999999999998</v>
      </c>
      <c r="L1236" s="6">
        <f ca="1">IFERROR(__xludf.DUMMYFUNCTION("IFERROR(GOOGLEFINANCE(B1236,""changepct""),K1236)"),2.34)</f>
        <v>2.34</v>
      </c>
      <c r="M1236" s="6">
        <f ca="1">IFERROR(__xludf.DUMMYFUNCTION("IFERROR(GOOGLEFINANCE(B1236,""change""),0)"),1.6)</f>
        <v>1.6</v>
      </c>
      <c r="N1236" s="6">
        <v>2</v>
      </c>
      <c r="O1236" s="7">
        <v>45536</v>
      </c>
      <c r="P1236" s="6">
        <v>186.25</v>
      </c>
      <c r="Q1236" s="7">
        <v>45536</v>
      </c>
      <c r="R1236" s="6">
        <v>17.47</v>
      </c>
      <c r="S1236" s="6">
        <v>0.44</v>
      </c>
      <c r="T1236" s="6">
        <v>3</v>
      </c>
      <c r="U1236" s="6">
        <v>2</v>
      </c>
      <c r="V1236" s="7">
        <v>45352</v>
      </c>
      <c r="W1236" s="6">
        <f ca="1">IFERROR(__xludf.DUMMYFUNCTION("IFERROR(GOOGLEFINANCE(B1236,""pe""),V1236)"),20.77)</f>
        <v>20.77</v>
      </c>
      <c r="X1236" s="6">
        <v>0.42</v>
      </c>
      <c r="Y1236" s="6">
        <v>18.440000000000001</v>
      </c>
      <c r="Z1236" s="6">
        <v>21.07</v>
      </c>
      <c r="AA1236" s="3" t="s">
        <v>3740</v>
      </c>
      <c r="AB1236" s="3"/>
      <c r="AC1236" s="9"/>
      <c r="AD1236" s="9"/>
      <c r="AE1236" s="1">
        <v>0</v>
      </c>
      <c r="AF1236" s="1">
        <f ca="1">IFERROR(__xludf.DUMMYFUNCTION("IFERROR(GOOGLEFINANCE(TRIM(F1236)&amp;"":"" &amp; TRIM(B1236),""high52""),AE1236)"),94.79)</f>
        <v>94.79</v>
      </c>
      <c r="AG1236" s="1">
        <v>0</v>
      </c>
      <c r="AH1236" s="1">
        <f ca="1">IFERROR(__xludf.DUMMYFUNCTION("IFERROR(GOOGLEFINANCE(TRIM(F1236)&amp;"":"" &amp; TRIM(B1236),""low52""),AE1236)"),60.73)</f>
        <v>60.73</v>
      </c>
      <c r="AI1236" s="1">
        <f ca="1">IFERROR(__xludf.DUMMYFUNCTION("IFERROR(GOOGLEFINANCE(B1236,""eps""),0)"),3.36)</f>
        <v>3.36</v>
      </c>
      <c r="AJ1236" s="1"/>
      <c r="AK1236" s="1" t="s">
        <v>3741</v>
      </c>
      <c r="AL1236" s="9">
        <f t="shared" si="175"/>
        <v>1</v>
      </c>
    </row>
    <row r="1237" spans="1:38" ht="15" x14ac:dyDescent="0.25">
      <c r="A1237" s="1" t="s">
        <v>3742</v>
      </c>
      <c r="B1237" s="1" t="s">
        <v>3743</v>
      </c>
      <c r="C1237" s="1" t="s">
        <v>43</v>
      </c>
      <c r="D1237" s="1" t="s">
        <v>43</v>
      </c>
      <c r="E1237" s="6">
        <v>986.45</v>
      </c>
      <c r="F1237" s="1" t="s">
        <v>40</v>
      </c>
      <c r="G1237" s="6">
        <f ca="1">IFERROR(__xludf.DUMMYFUNCTION("iferror(GOOGLEFINANCE(TRIM(F1237)&amp;"":"" &amp; TRIM(B1237), ""price""),0
)"),47.5)</f>
        <v>47.5</v>
      </c>
      <c r="H1237" s="6">
        <v>90.99</v>
      </c>
      <c r="I1237" s="6">
        <f t="shared" ca="1" si="0"/>
        <v>47.5</v>
      </c>
      <c r="J1237" s="6">
        <f ca="1">IFERROR(__xludf.DUMMYFUNCTION("IFERROR(GOOGLEFINANCE(B1237, ""volume""), 0)"),78514)</f>
        <v>78514</v>
      </c>
      <c r="K1237" s="6">
        <v>0.99</v>
      </c>
      <c r="L1237" s="6">
        <f ca="1">IFERROR(__xludf.DUMMYFUNCTION("IFERROR(GOOGLEFINANCE(B1237,""changepct""),K1237)"),-2)</f>
        <v>-2</v>
      </c>
      <c r="M1237" s="6">
        <f ca="1">IFERROR(__xludf.DUMMYFUNCTION("IFERROR(GOOGLEFINANCE(B1237,""change""),0)"),-0.97)</f>
        <v>-0.97</v>
      </c>
      <c r="N1237" s="6">
        <v>2</v>
      </c>
      <c r="O1237" s="7">
        <v>45536</v>
      </c>
      <c r="P1237" s="6">
        <v>-24.71</v>
      </c>
      <c r="Q1237" s="7">
        <v>45536</v>
      </c>
      <c r="R1237" s="6">
        <v>0</v>
      </c>
      <c r="S1237" s="9"/>
      <c r="T1237" s="6">
        <v>0.39</v>
      </c>
      <c r="U1237" s="6">
        <v>2</v>
      </c>
      <c r="V1237" s="7">
        <v>45352</v>
      </c>
      <c r="W1237" s="6">
        <f ca="1">IFERROR(__xludf.DUMMYFUNCTION("IFERROR(GOOGLEFINANCE(B1237,""pe""),V1237)"),7.33)</f>
        <v>7.33</v>
      </c>
      <c r="X1237" s="6">
        <v>0</v>
      </c>
      <c r="Y1237" s="6">
        <v>-0.28999999999999998</v>
      </c>
      <c r="Z1237" s="6">
        <v>-0.31</v>
      </c>
      <c r="AA1237" s="3" t="s">
        <v>3744</v>
      </c>
      <c r="AB1237" s="3"/>
      <c r="AC1237" s="9"/>
      <c r="AD1237" s="9"/>
      <c r="AE1237" s="1">
        <v>0</v>
      </c>
      <c r="AF1237" s="1">
        <f ca="1">IFERROR(__xludf.DUMMYFUNCTION("IFERROR(GOOGLEFINANCE(TRIM(F1237)&amp;"":"" &amp; TRIM(B1237),""high52""),AE1237)"),81)</f>
        <v>81</v>
      </c>
      <c r="AG1237" s="1">
        <v>0</v>
      </c>
      <c r="AH1237" s="1">
        <f ca="1">IFERROR(__xludf.DUMMYFUNCTION("IFERROR(GOOGLEFINANCE(TRIM(F1237)&amp;"":"" &amp; TRIM(B1237),""low52""),AE1237)"),46.55)</f>
        <v>46.55</v>
      </c>
      <c r="AI1237" s="1">
        <f ca="1">IFERROR(__xludf.DUMMYFUNCTION("IFERROR(GOOGLEFINANCE(B1237,""eps""),0)"),122.81)</f>
        <v>122.81</v>
      </c>
      <c r="AJ1237" s="1"/>
      <c r="AK1237" s="1" t="s">
        <v>3745</v>
      </c>
      <c r="AL1237" s="9">
        <f t="shared" si="175"/>
        <v>1</v>
      </c>
    </row>
    <row r="1238" spans="1:38" ht="15" x14ac:dyDescent="0.25">
      <c r="A1238" s="1" t="s">
        <v>3746</v>
      </c>
      <c r="B1238" s="1" t="s">
        <v>3747</v>
      </c>
      <c r="C1238" s="1" t="s">
        <v>135</v>
      </c>
      <c r="D1238" s="1" t="s">
        <v>135</v>
      </c>
      <c r="E1238" s="6">
        <v>7157.19</v>
      </c>
      <c r="F1238" s="1" t="s">
        <v>40</v>
      </c>
      <c r="G1238" s="6">
        <f ca="1">IFERROR(__xludf.DUMMYFUNCTION("iferror(GOOGLEFINANCE(TRIM(F1238)&amp;"":"" &amp; TRIM(B1238), ""price""),0
)"),515.5)</f>
        <v>515.5</v>
      </c>
      <c r="H1238" s="6">
        <v>753.25</v>
      </c>
      <c r="I1238" s="6">
        <f t="shared" ca="1" si="0"/>
        <v>515.5</v>
      </c>
      <c r="J1238" s="6">
        <f ca="1">IFERROR(__xludf.DUMMYFUNCTION("IFERROR(GOOGLEFINANCE(B1238, ""volume""), 0)"),129600)</f>
        <v>129600</v>
      </c>
      <c r="K1238" s="6">
        <v>0.76</v>
      </c>
      <c r="L1238" s="6">
        <f ca="1">IFERROR(__xludf.DUMMYFUNCTION("IFERROR(GOOGLEFINANCE(B1238,""changepct""),K1238)"),-1.5)</f>
        <v>-1.5</v>
      </c>
      <c r="M1238" s="6">
        <f ca="1">IFERROR(__xludf.DUMMYFUNCTION("IFERROR(GOOGLEFINANCE(B1238,""change""),0)"),-7.85)</f>
        <v>-7.85</v>
      </c>
      <c r="N1238" s="6">
        <v>2</v>
      </c>
      <c r="O1238" s="7">
        <v>45536</v>
      </c>
      <c r="P1238" s="6">
        <v>156.28</v>
      </c>
      <c r="Q1238" s="6">
        <v>6850.28</v>
      </c>
      <c r="R1238" s="7">
        <v>45536</v>
      </c>
      <c r="S1238" s="6">
        <v>3243.99</v>
      </c>
      <c r="T1238" s="6">
        <v>530.16999999999996</v>
      </c>
      <c r="U1238" s="7">
        <v>45536</v>
      </c>
      <c r="V1238" s="6">
        <v>13.5</v>
      </c>
      <c r="W1238" s="6">
        <f ca="1">IFERROR(__xludf.DUMMYFUNCTION("IFERROR(GOOGLEFINANCE(B1238,""pe""),V1238)"),8.65)</f>
        <v>8.65</v>
      </c>
      <c r="X1238" s="6">
        <v>1.1200000000000001</v>
      </c>
      <c r="Y1238" s="6">
        <v>2.2599999999999998</v>
      </c>
      <c r="Z1238" s="6">
        <v>2</v>
      </c>
      <c r="AA1238" s="8">
        <v>45352</v>
      </c>
      <c r="AB1238" s="4">
        <v>7.0000000000000007E-2</v>
      </c>
      <c r="AC1238" s="6">
        <v>22.99</v>
      </c>
      <c r="AD1238" s="6">
        <v>27.24</v>
      </c>
      <c r="AE1238" s="1">
        <v>0</v>
      </c>
      <c r="AF1238" s="1">
        <f ca="1">IFERROR(__xludf.DUMMYFUNCTION("IFERROR(GOOGLEFINANCE(TRIM(F1238)&amp;"":"" &amp; TRIM(B1238),""high52""),AE1238)"),714.6)</f>
        <v>714.6</v>
      </c>
      <c r="AG1238" s="1">
        <v>0</v>
      </c>
      <c r="AH1238" s="1">
        <f ca="1">IFERROR(__xludf.DUMMYFUNCTION("IFERROR(GOOGLEFINANCE(TRIM(F1238)&amp;"":"" &amp; TRIM(B1238),""low52""),AE1238)"),511.05)</f>
        <v>511.05</v>
      </c>
      <c r="AI1238" s="1">
        <f ca="1">IFERROR(__xludf.DUMMYFUNCTION("IFERROR(GOOGLEFINANCE(B1238,""eps""),0)"),59.56)</f>
        <v>59.56</v>
      </c>
      <c r="AJ1238" s="1"/>
      <c r="AK1238" s="1" t="s">
        <v>3748</v>
      </c>
      <c r="AL1238" s="9">
        <f t="shared" si="175"/>
        <v>1</v>
      </c>
    </row>
    <row r="1239" spans="1:38" ht="15" x14ac:dyDescent="0.25">
      <c r="A1239" s="1" t="s">
        <v>3749</v>
      </c>
      <c r="B1239" s="1" t="s">
        <v>3750</v>
      </c>
      <c r="C1239" s="1" t="s">
        <v>706</v>
      </c>
      <c r="D1239" s="1" t="s">
        <v>706</v>
      </c>
      <c r="E1239" s="6">
        <v>952.99</v>
      </c>
      <c r="F1239" s="1" t="s">
        <v>40</v>
      </c>
      <c r="G1239" s="6">
        <f ca="1">IFERROR(__xludf.DUMMYFUNCTION("iferror(GOOGLEFINANCE(TRIM(F1239)&amp;"":"" &amp; TRIM(B1239), ""price""),0
)"),72.5)</f>
        <v>72.5</v>
      </c>
      <c r="H1239" s="6">
        <v>100.25</v>
      </c>
      <c r="I1239" s="6">
        <f t="shared" ca="1" si="0"/>
        <v>72.5</v>
      </c>
      <c r="J1239" s="6">
        <f ca="1">IFERROR(__xludf.DUMMYFUNCTION("IFERROR(GOOGLEFINANCE(B1239, ""volume""), 0)"),64960)</f>
        <v>64960</v>
      </c>
      <c r="K1239" s="6">
        <v>0.28000000000000003</v>
      </c>
      <c r="L1239" s="6">
        <f ca="1">IFERROR(__xludf.DUMMYFUNCTION("IFERROR(GOOGLEFINANCE(B1239,""changepct""),K1239)"),-2.41)</f>
        <v>-2.41</v>
      </c>
      <c r="M1239" s="6">
        <f ca="1">IFERROR(__xludf.DUMMYFUNCTION("IFERROR(GOOGLEFINANCE(B1239,""change""),0)"),-1.79)</f>
        <v>-1.79</v>
      </c>
      <c r="N1239" s="6">
        <v>1</v>
      </c>
      <c r="O1239" s="7">
        <v>45536</v>
      </c>
      <c r="P1239" s="6">
        <v>14.06</v>
      </c>
      <c r="Q1239" s="6">
        <v>953.29</v>
      </c>
      <c r="R1239" s="7">
        <v>45536</v>
      </c>
      <c r="S1239" s="6">
        <v>1123.1099999999999</v>
      </c>
      <c r="T1239" s="6">
        <v>47.14</v>
      </c>
      <c r="U1239" s="7">
        <v>45536</v>
      </c>
      <c r="V1239" s="6">
        <v>20.22</v>
      </c>
      <c r="W1239" s="6">
        <f ca="1">IFERROR(__xludf.DUMMYFUNCTION("IFERROR(GOOGLEFINANCE(B1239,""pe""),V1239)"),12.17)</f>
        <v>12.17</v>
      </c>
      <c r="X1239" s="12"/>
      <c r="Y1239" s="6">
        <v>0.67</v>
      </c>
      <c r="Z1239" s="6">
        <v>1</v>
      </c>
      <c r="AA1239" s="8">
        <v>45352</v>
      </c>
      <c r="AB1239" s="4">
        <v>0.05</v>
      </c>
      <c r="AC1239" s="6">
        <v>3.62</v>
      </c>
      <c r="AD1239" s="6">
        <v>5.83</v>
      </c>
      <c r="AE1239" s="1">
        <v>0</v>
      </c>
      <c r="AF1239" s="1">
        <f ca="1">IFERROR(__xludf.DUMMYFUNCTION("IFERROR(GOOGLEFINANCE(TRIM(F1239)&amp;"":"" &amp; TRIM(B1239),""high52""),AE1239)"),100)</f>
        <v>100</v>
      </c>
      <c r="AG1239" s="1">
        <v>0</v>
      </c>
      <c r="AH1239" s="1">
        <f ca="1">IFERROR(__xludf.DUMMYFUNCTION("IFERROR(GOOGLEFINANCE(TRIM(F1239)&amp;"":"" &amp; TRIM(B1239),""low52""),AE1239)"),65)</f>
        <v>65</v>
      </c>
      <c r="AI1239" s="1">
        <f ca="1">IFERROR(__xludf.DUMMYFUNCTION("IFERROR(GOOGLEFINANCE(B1239,""eps""),0)"),5.96)</f>
        <v>5.96</v>
      </c>
      <c r="AJ1239" s="1"/>
      <c r="AK1239" s="1" t="s">
        <v>3751</v>
      </c>
      <c r="AL1239" s="9">
        <f t="shared" si="175"/>
        <v>1</v>
      </c>
    </row>
    <row r="1240" spans="1:38" ht="15" x14ac:dyDescent="0.25">
      <c r="A1240" s="1" t="s">
        <v>3752</v>
      </c>
      <c r="B1240" s="1" t="s">
        <v>3753</v>
      </c>
      <c r="C1240" s="1" t="s">
        <v>94</v>
      </c>
      <c r="D1240" s="1" t="s">
        <v>94</v>
      </c>
      <c r="E1240" s="6">
        <v>1121.18</v>
      </c>
      <c r="F1240" s="1" t="s">
        <v>40</v>
      </c>
      <c r="G1240" s="6">
        <f ca="1">IFERROR(__xludf.DUMMYFUNCTION("iferror(GOOGLEFINANCE(TRIM(F1240)&amp;"":"" &amp; TRIM(B1240), ""price""),0
)"),158.5)</f>
        <v>158.5</v>
      </c>
      <c r="H1240" s="6">
        <v>210.34</v>
      </c>
      <c r="I1240" s="6">
        <f t="shared" ca="1" si="0"/>
        <v>158.5</v>
      </c>
      <c r="J1240" s="6">
        <f ca="1">IFERROR(__xludf.DUMMYFUNCTION("IFERROR(GOOGLEFINANCE(B1240, ""volume""), 0)"),128968)</f>
        <v>128968</v>
      </c>
      <c r="K1240" s="6">
        <v>0.9</v>
      </c>
      <c r="L1240" s="6">
        <f ca="1">IFERROR(__xludf.DUMMYFUNCTION("IFERROR(GOOGLEFINANCE(B1240,""changepct""),K1240)"),-1.89)</f>
        <v>-1.89</v>
      </c>
      <c r="M1240" s="6">
        <f ca="1">IFERROR(__xludf.DUMMYFUNCTION("IFERROR(GOOGLEFINANCE(B1240,""change""),0)"),-3.05)</f>
        <v>-3.05</v>
      </c>
      <c r="N1240" s="6">
        <v>2</v>
      </c>
      <c r="O1240" s="7">
        <v>45536</v>
      </c>
      <c r="P1240" s="6">
        <v>164.83</v>
      </c>
      <c r="Q1240" s="7">
        <v>45536</v>
      </c>
      <c r="R1240" s="6">
        <v>6.8</v>
      </c>
      <c r="S1240" s="9"/>
      <c r="T1240" s="6">
        <v>0.6</v>
      </c>
      <c r="U1240" s="6">
        <v>2</v>
      </c>
      <c r="V1240" s="7">
        <v>45352</v>
      </c>
      <c r="W1240" s="6">
        <f ca="1">IFERROR(__xludf.DUMMYFUNCTION("IFERROR(GOOGLEFINANCE(B1240,""pe""),V1240)"),5.99)</f>
        <v>5.99</v>
      </c>
      <c r="X1240" s="6">
        <v>4.68</v>
      </c>
      <c r="Y1240" s="6">
        <v>8.58</v>
      </c>
      <c r="Z1240" s="6">
        <v>8.6199999999999992</v>
      </c>
      <c r="AA1240" s="3" t="s">
        <v>3754</v>
      </c>
      <c r="AB1240" s="3"/>
      <c r="AC1240" s="9"/>
      <c r="AD1240" s="9"/>
      <c r="AE1240" s="1">
        <v>0</v>
      </c>
      <c r="AF1240" s="1">
        <f ca="1">IFERROR(__xludf.DUMMYFUNCTION("IFERROR(GOOGLEFINANCE(TRIM(F1240)&amp;"":"" &amp; TRIM(B1240),""high52""),AE1240)"),206)</f>
        <v>206</v>
      </c>
      <c r="AG1240" s="1">
        <v>0</v>
      </c>
      <c r="AH1240" s="1">
        <f ca="1">IFERROR(__xludf.DUMMYFUNCTION("IFERROR(GOOGLEFINANCE(TRIM(F1240)&amp;"":"" &amp; TRIM(B1240),""low52""),AE1240)"),155.16)</f>
        <v>155.16</v>
      </c>
      <c r="AI1240" s="1">
        <f ca="1">IFERROR(__xludf.DUMMYFUNCTION("IFERROR(GOOGLEFINANCE(B1240,""eps""),0)"),26.44)</f>
        <v>26.44</v>
      </c>
      <c r="AJ1240" s="1"/>
      <c r="AK1240" s="1" t="s">
        <v>3755</v>
      </c>
      <c r="AL1240" s="9">
        <f t="shared" si="175"/>
        <v>1</v>
      </c>
    </row>
    <row r="1241" spans="1:38" ht="15" x14ac:dyDescent="0.25">
      <c r="A1241" s="1" t="s">
        <v>3756</v>
      </c>
      <c r="B1241" s="1" t="s">
        <v>3757</v>
      </c>
      <c r="C1241" s="1" t="s">
        <v>125</v>
      </c>
      <c r="D1241" s="1" t="s">
        <v>125</v>
      </c>
      <c r="E1241" s="6">
        <v>848.11</v>
      </c>
      <c r="F1241" s="1" t="s">
        <v>53</v>
      </c>
      <c r="G1241" s="6">
        <f ca="1">IFERROR(__xludf.DUMMYFUNCTION("iferror(GOOGLEFINANCE(TRIM(F1241)&amp;"":"" &amp; TRIM(B1241), ""price""),0
)"),0)</f>
        <v>0</v>
      </c>
      <c r="H1241" s="6">
        <v>319.5</v>
      </c>
      <c r="I1241" s="6">
        <f t="shared" ca="1" si="0"/>
        <v>319.5</v>
      </c>
      <c r="J1241" s="6">
        <f ca="1">IFERROR(__xludf.DUMMYFUNCTION("IFERROR(GOOGLEFINANCE(B1241, ""volume""), 0)"),0)</f>
        <v>0</v>
      </c>
      <c r="K1241" s="6">
        <v>7.56</v>
      </c>
      <c r="L1241" s="6">
        <f ca="1">IFERROR(__xludf.DUMMYFUNCTION("IFERROR(GOOGLEFINANCE(B1241,""changepct""),K1241)"),7.56)</f>
        <v>7.56</v>
      </c>
      <c r="M1241" s="6">
        <f ca="1">IFERROR(__xludf.DUMMYFUNCTION("IFERROR(GOOGLEFINANCE(B1241,""change""),0)"),0)</f>
        <v>0</v>
      </c>
      <c r="N1241" s="6">
        <v>1</v>
      </c>
      <c r="O1241" s="7">
        <v>45352</v>
      </c>
      <c r="P1241" s="6">
        <v>7.08</v>
      </c>
      <c r="Q1241" s="6">
        <v>852.55</v>
      </c>
      <c r="R1241" s="9"/>
      <c r="S1241" s="9"/>
      <c r="T1241" s="9"/>
      <c r="U1241" s="7">
        <v>45352</v>
      </c>
      <c r="V1241" s="6">
        <v>70.31</v>
      </c>
      <c r="W1241" s="6">
        <f ca="1">IFERROR(__xludf.DUMMYFUNCTION("IFERROR(GOOGLEFINANCE(B1241,""pe""),V1241)"),70.31)</f>
        <v>70.31</v>
      </c>
      <c r="X1241" s="9"/>
      <c r="Y1241" s="6">
        <v>5.31</v>
      </c>
      <c r="Z1241" s="6">
        <v>1</v>
      </c>
      <c r="AA1241" s="8">
        <v>45352</v>
      </c>
      <c r="AB1241" s="4">
        <v>0.17</v>
      </c>
      <c r="AC1241" s="6">
        <v>32.51</v>
      </c>
      <c r="AD1241" s="6">
        <v>41.69</v>
      </c>
      <c r="AE1241" s="1">
        <v>0</v>
      </c>
      <c r="AF1241" s="1">
        <f ca="1">IFERROR(__xludf.DUMMYFUNCTION("IFERROR(GOOGLEFINANCE(TRIM(F1241)&amp;"":"" &amp; TRIM(B1241),""high52""),AE1241)"),0)</f>
        <v>0</v>
      </c>
      <c r="AG1241" s="1">
        <v>0</v>
      </c>
      <c r="AH1241" s="1">
        <f ca="1">IFERROR(__xludf.DUMMYFUNCTION("IFERROR(GOOGLEFINANCE(TRIM(F1241)&amp;"":"" &amp; TRIM(B1241),""low52""),AE1241)"),0)</f>
        <v>0</v>
      </c>
      <c r="AI1241" s="1">
        <f ca="1">IFERROR(__xludf.DUMMYFUNCTION("IFERROR(GOOGLEFINANCE(B1241,""eps""),0)"),0)</f>
        <v>0</v>
      </c>
      <c r="AJ1241" s="1"/>
      <c r="AK1241" s="1" t="s">
        <v>3758</v>
      </c>
      <c r="AL1241" s="9">
        <f t="shared" si="175"/>
        <v>1</v>
      </c>
    </row>
    <row r="1242" spans="1:38" ht="15" x14ac:dyDescent="0.25">
      <c r="A1242" s="1" t="s">
        <v>3759</v>
      </c>
      <c r="B1242" s="1" t="s">
        <v>3760</v>
      </c>
      <c r="C1242" s="1" t="s">
        <v>64</v>
      </c>
      <c r="D1242" s="1" t="s">
        <v>64</v>
      </c>
      <c r="E1242" s="6">
        <v>275.20999999999998</v>
      </c>
      <c r="F1242" s="1" t="s">
        <v>40</v>
      </c>
      <c r="G1242" s="6">
        <f ca="1">IFERROR(__xludf.DUMMYFUNCTION("iferror(GOOGLEFINANCE(TRIM(F1242)&amp;"":"" &amp; TRIM(B1242), ""price""),0
)"),88)</f>
        <v>88</v>
      </c>
      <c r="H1242" s="6">
        <v>127.46</v>
      </c>
      <c r="I1242" s="6">
        <f t="shared" ca="1" si="0"/>
        <v>88</v>
      </c>
      <c r="J1242" s="6">
        <f ca="1">IFERROR(__xludf.DUMMYFUNCTION("IFERROR(GOOGLEFINANCE(B1242, ""volume""), 0)"),4549)</f>
        <v>4549</v>
      </c>
      <c r="K1242" s="6">
        <v>-1.2</v>
      </c>
      <c r="L1242" s="6">
        <f ca="1">IFERROR(__xludf.DUMMYFUNCTION("IFERROR(GOOGLEFINANCE(B1242,""changepct""),K1242)"),-0.97)</f>
        <v>-0.97</v>
      </c>
      <c r="M1242" s="6">
        <f ca="1">IFERROR(__xludf.DUMMYFUNCTION("IFERROR(GOOGLEFINANCE(B1242,""change""),0)"),-0.86)</f>
        <v>-0.86</v>
      </c>
      <c r="N1242" s="6">
        <v>2</v>
      </c>
      <c r="O1242" s="7">
        <v>45536</v>
      </c>
      <c r="P1242" s="6">
        <v>111.11</v>
      </c>
      <c r="Q1242" s="6">
        <v>384.34</v>
      </c>
      <c r="R1242" s="7">
        <v>45536</v>
      </c>
      <c r="S1242" s="6">
        <v>381.78</v>
      </c>
      <c r="T1242" s="6">
        <v>-35.35</v>
      </c>
      <c r="U1242" s="7">
        <v>45536</v>
      </c>
      <c r="V1242" s="6">
        <v>0</v>
      </c>
      <c r="W1242" s="6">
        <f ca="1">IFERROR(__xludf.DUMMYFUNCTION("IFERROR(GOOGLEFINANCE(B1242,""pe""),V1242)"),7.87)</f>
        <v>7.87</v>
      </c>
      <c r="X1242" s="12"/>
      <c r="Y1242" s="6">
        <v>1.2</v>
      </c>
      <c r="Z1242" s="6">
        <v>2</v>
      </c>
      <c r="AA1242" s="8">
        <v>45352</v>
      </c>
      <c r="AB1242" s="4">
        <v>0.59</v>
      </c>
      <c r="AC1242" s="6">
        <v>-19.68</v>
      </c>
      <c r="AD1242" s="6">
        <v>-8.27</v>
      </c>
      <c r="AE1242" s="1">
        <v>0</v>
      </c>
      <c r="AF1242" s="1">
        <f ca="1">IFERROR(__xludf.DUMMYFUNCTION("IFERROR(GOOGLEFINANCE(TRIM(F1242)&amp;"":"" &amp; TRIM(B1242),""high52""),AE1242)"),151.9)</f>
        <v>151.9</v>
      </c>
      <c r="AG1242" s="1">
        <v>0</v>
      </c>
      <c r="AH1242" s="1">
        <f ca="1">IFERROR(__xludf.DUMMYFUNCTION("IFERROR(GOOGLEFINANCE(TRIM(F1242)&amp;"":"" &amp; TRIM(B1242),""low52""),AE1242)"),85.64)</f>
        <v>85.64</v>
      </c>
      <c r="AI1242" s="1">
        <f ca="1">IFERROR(__xludf.DUMMYFUNCTION("IFERROR(GOOGLEFINANCE(B1242,""eps""),0)"),11.18)</f>
        <v>11.18</v>
      </c>
      <c r="AJ1242" s="1"/>
      <c r="AK1242" s="1" t="s">
        <v>3761</v>
      </c>
      <c r="AL1242" s="9">
        <f t="shared" si="175"/>
        <v>1</v>
      </c>
    </row>
    <row r="1243" spans="1:38" ht="15" x14ac:dyDescent="0.25">
      <c r="A1243" s="1" t="s">
        <v>3762</v>
      </c>
      <c r="B1243" s="1" t="s">
        <v>3763</v>
      </c>
      <c r="C1243" s="1" t="s">
        <v>398</v>
      </c>
      <c r="D1243" s="1" t="s">
        <v>398</v>
      </c>
      <c r="E1243" s="6">
        <v>146.97</v>
      </c>
      <c r="F1243" s="1" t="s">
        <v>53</v>
      </c>
      <c r="G1243" s="6">
        <f ca="1">IFERROR(__xludf.DUMMYFUNCTION("iferror(GOOGLEFINANCE(TRIM(F1243)&amp;"":"" &amp; TRIM(B1243), ""price""),0
)"),0)</f>
        <v>0</v>
      </c>
      <c r="H1243" s="6">
        <v>181.05</v>
      </c>
      <c r="I1243" s="6">
        <f t="shared" ca="1" si="0"/>
        <v>181.05</v>
      </c>
      <c r="J1243" s="6">
        <f ca="1">IFERROR(__xludf.DUMMYFUNCTION("IFERROR(GOOGLEFINANCE(B1243, ""volume""), 0)"),0)</f>
        <v>0</v>
      </c>
      <c r="K1243" s="6">
        <v>0.86</v>
      </c>
      <c r="L1243" s="6">
        <f ca="1">IFERROR(__xludf.DUMMYFUNCTION("IFERROR(GOOGLEFINANCE(B1243,""changepct""),K1243)"),0.86)</f>
        <v>0.86</v>
      </c>
      <c r="M1243" s="6">
        <f ca="1">IFERROR(__xludf.DUMMYFUNCTION("IFERROR(GOOGLEFINANCE(B1243,""change""),0)"),0)</f>
        <v>0</v>
      </c>
      <c r="N1243" s="6">
        <v>2</v>
      </c>
      <c r="O1243" s="7">
        <v>45536</v>
      </c>
      <c r="P1243" s="6">
        <v>51.8</v>
      </c>
      <c r="Q1243" s="6">
        <v>198.77</v>
      </c>
      <c r="R1243" s="7">
        <v>45536</v>
      </c>
      <c r="S1243" s="6">
        <v>183.86</v>
      </c>
      <c r="T1243" s="6">
        <v>3</v>
      </c>
      <c r="U1243" s="7">
        <v>45536</v>
      </c>
      <c r="V1243" s="6">
        <v>48.99</v>
      </c>
      <c r="W1243" s="6">
        <f ca="1">IFERROR(__xludf.DUMMYFUNCTION("IFERROR(GOOGLEFINANCE(B1243,""pe""),V1243)"),48.99)</f>
        <v>48.99</v>
      </c>
      <c r="X1243" s="6">
        <v>9.39</v>
      </c>
      <c r="Y1243" s="6">
        <v>3.38</v>
      </c>
      <c r="Z1243" s="6">
        <v>2</v>
      </c>
      <c r="AA1243" s="8">
        <v>45352</v>
      </c>
      <c r="AB1243" s="4">
        <v>1.06</v>
      </c>
      <c r="AC1243" s="6">
        <v>6.85</v>
      </c>
      <c r="AD1243" s="6">
        <v>10.029999999999999</v>
      </c>
      <c r="AE1243" s="1">
        <v>0</v>
      </c>
      <c r="AF1243" s="1">
        <f ca="1">IFERROR(__xludf.DUMMYFUNCTION("IFERROR(GOOGLEFINANCE(TRIM(F1243)&amp;"":"" &amp; TRIM(B1243),""high52""),AE1243)"),0)</f>
        <v>0</v>
      </c>
      <c r="AG1243" s="1">
        <v>0</v>
      </c>
      <c r="AH1243" s="1">
        <f ca="1">IFERROR(__xludf.DUMMYFUNCTION("IFERROR(GOOGLEFINANCE(TRIM(F1243)&amp;"":"" &amp; TRIM(B1243),""low52""),AE1243)"),0)</f>
        <v>0</v>
      </c>
      <c r="AI1243" s="1">
        <f ca="1">IFERROR(__xludf.DUMMYFUNCTION("IFERROR(GOOGLEFINANCE(B1243,""eps""),0)"),0)</f>
        <v>0</v>
      </c>
      <c r="AJ1243" s="1"/>
      <c r="AK1243" s="1" t="s">
        <v>3764</v>
      </c>
      <c r="AL1243" s="9">
        <f t="shared" si="175"/>
        <v>1</v>
      </c>
    </row>
    <row r="1244" spans="1:38" ht="15" x14ac:dyDescent="0.25">
      <c r="A1244" s="1" t="s">
        <v>3765</v>
      </c>
      <c r="B1244" s="1" t="s">
        <v>3766</v>
      </c>
      <c r="C1244" s="1" t="s">
        <v>151</v>
      </c>
      <c r="D1244" s="1" t="s">
        <v>151</v>
      </c>
      <c r="E1244" s="6">
        <v>32109.47</v>
      </c>
      <c r="F1244" s="1" t="s">
        <v>40</v>
      </c>
      <c r="G1244" s="6">
        <f ca="1">IFERROR(__xludf.DUMMYFUNCTION("iferror(GOOGLEFINANCE(TRIM(F1244)&amp;"":"" &amp; TRIM(B1244), ""price""),0
)"),8700)</f>
        <v>8700</v>
      </c>
      <c r="H1244" s="6">
        <v>9864.1</v>
      </c>
      <c r="I1244" s="6">
        <f t="shared" ca="1" si="0"/>
        <v>8700</v>
      </c>
      <c r="J1244" s="6">
        <f ca="1">IFERROR(__xludf.DUMMYFUNCTION("IFERROR(GOOGLEFINANCE(B1244, ""volume""), 0)"),28158)</f>
        <v>28158</v>
      </c>
      <c r="K1244" s="6">
        <v>0.03</v>
      </c>
      <c r="L1244" s="6">
        <f ca="1">IFERROR(__xludf.DUMMYFUNCTION("IFERROR(GOOGLEFINANCE(B1244,""changepct""),K1244)"),-0.2)</f>
        <v>-0.2</v>
      </c>
      <c r="M1244" s="6">
        <f ca="1">IFERROR(__xludf.DUMMYFUNCTION("IFERROR(GOOGLEFINANCE(B1244,""change""),0)"),-17)</f>
        <v>-17</v>
      </c>
      <c r="N1244" s="6">
        <v>1</v>
      </c>
      <c r="O1244" s="7">
        <v>45444</v>
      </c>
      <c r="P1244" s="6">
        <v>0</v>
      </c>
      <c r="Q1244" s="6">
        <v>31633.84</v>
      </c>
      <c r="R1244" s="7">
        <v>45536</v>
      </c>
      <c r="S1244" s="6">
        <v>2747.35</v>
      </c>
      <c r="T1244" s="6">
        <v>452.02</v>
      </c>
      <c r="U1244" s="7">
        <v>45536</v>
      </c>
      <c r="V1244" s="6">
        <v>71.040000000000006</v>
      </c>
      <c r="W1244" s="6">
        <f ca="1">IFERROR(__xludf.DUMMYFUNCTION("IFERROR(GOOGLEFINANCE(B1244,""pe""),V1244)"),45.69)</f>
        <v>45.69</v>
      </c>
      <c r="X1244" s="6">
        <v>6.94</v>
      </c>
      <c r="Y1244" s="6">
        <v>29.68</v>
      </c>
      <c r="Z1244" s="6">
        <v>1</v>
      </c>
      <c r="AA1244" s="8">
        <v>45444</v>
      </c>
      <c r="AB1244" s="4">
        <v>0</v>
      </c>
      <c r="AC1244" s="6">
        <v>42.92</v>
      </c>
      <c r="AD1244" s="6">
        <v>58.25</v>
      </c>
      <c r="AE1244" s="1">
        <v>0</v>
      </c>
      <c r="AF1244" s="1">
        <f ca="1">IFERROR(__xludf.DUMMYFUNCTION("IFERROR(GOOGLEFINANCE(TRIM(F1244)&amp;"":"" &amp; TRIM(B1244),""high52""),AE1244)"),11500)</f>
        <v>11500</v>
      </c>
      <c r="AG1244" s="1">
        <v>0</v>
      </c>
      <c r="AH1244" s="1">
        <f ca="1">IFERROR(__xludf.DUMMYFUNCTION("IFERROR(GOOGLEFINANCE(TRIM(F1244)&amp;"":"" &amp; TRIM(B1244),""low52""),AE1244)"),7411.65)</f>
        <v>7411.65</v>
      </c>
      <c r="AI1244" s="1">
        <f ca="1">IFERROR(__xludf.DUMMYFUNCTION("IFERROR(GOOGLEFINANCE(B1244,""eps""),0)"),190.41)</f>
        <v>190.41</v>
      </c>
      <c r="AJ1244" s="1"/>
      <c r="AK1244" s="1" t="s">
        <v>3767</v>
      </c>
      <c r="AL1244" s="9">
        <f t="shared" si="175"/>
        <v>1</v>
      </c>
    </row>
    <row r="1245" spans="1:38" ht="15" x14ac:dyDescent="0.25">
      <c r="A1245" s="1" t="s">
        <v>3768</v>
      </c>
      <c r="B1245" s="1" t="s">
        <v>3769</v>
      </c>
      <c r="C1245" s="1" t="s">
        <v>706</v>
      </c>
      <c r="D1245" s="1" t="s">
        <v>706</v>
      </c>
      <c r="E1245" s="6">
        <v>285.13</v>
      </c>
      <c r="F1245" s="1" t="s">
        <v>40</v>
      </c>
      <c r="G1245" s="6">
        <f ca="1">IFERROR(__xludf.DUMMYFUNCTION("iferror(GOOGLEFINANCE(TRIM(F1245)&amp;"":"" &amp; TRIM(B1245), ""price""),0
)"),36.2)</f>
        <v>36.200000000000003</v>
      </c>
      <c r="H1245" s="6">
        <v>33.92</v>
      </c>
      <c r="I1245" s="6">
        <f t="shared" ca="1" si="0"/>
        <v>36.200000000000003</v>
      </c>
      <c r="J1245" s="6">
        <f ca="1">IFERROR(__xludf.DUMMYFUNCTION("IFERROR(GOOGLEFINANCE(B1245, ""volume""), 0)"),20633)</f>
        <v>20633</v>
      </c>
      <c r="K1245" s="6">
        <v>1.98</v>
      </c>
      <c r="L1245" s="6">
        <f ca="1">IFERROR(__xludf.DUMMYFUNCTION("IFERROR(GOOGLEFINANCE(B1245,""changepct""),K1245)"),1.15)</f>
        <v>1.1499999999999999</v>
      </c>
      <c r="M1245" s="6">
        <f ca="1">IFERROR(__xludf.DUMMYFUNCTION("IFERROR(GOOGLEFINANCE(B1245,""change""),0)"),0.41)</f>
        <v>0.41</v>
      </c>
      <c r="N1245" s="6">
        <v>1</v>
      </c>
      <c r="O1245" s="7">
        <v>45536</v>
      </c>
      <c r="P1245" s="6">
        <v>75.61</v>
      </c>
      <c r="Q1245" s="6">
        <v>347.39</v>
      </c>
      <c r="R1245" s="7">
        <v>45536</v>
      </c>
      <c r="S1245" s="6">
        <v>489.24</v>
      </c>
      <c r="T1245" s="6">
        <v>-37.64</v>
      </c>
      <c r="U1245" s="7">
        <v>45536</v>
      </c>
      <c r="V1245" s="6">
        <v>0</v>
      </c>
      <c r="W1245" s="6">
        <f ca="1">IFERROR(__xludf.DUMMYFUNCTION("IFERROR(GOOGLEFINANCE(B1245,""pe""),V1245)"),12.48)</f>
        <v>12.48</v>
      </c>
      <c r="X1245" s="9"/>
      <c r="Y1245" s="6">
        <v>1.46</v>
      </c>
      <c r="Z1245" s="6">
        <v>1</v>
      </c>
      <c r="AA1245" s="8">
        <v>45352</v>
      </c>
      <c r="AB1245" s="4">
        <v>0.4</v>
      </c>
      <c r="AC1245" s="6">
        <v>-11.09</v>
      </c>
      <c r="AD1245" s="6">
        <v>-4.3499999999999996</v>
      </c>
      <c r="AE1245" s="1">
        <v>0</v>
      </c>
      <c r="AF1245" s="1">
        <f ca="1">IFERROR(__xludf.DUMMYFUNCTION("IFERROR(GOOGLEFINANCE(TRIM(F1245)&amp;"":"" &amp; TRIM(B1245),""high52""),AE1245)"),57.8)</f>
        <v>57.8</v>
      </c>
      <c r="AG1245" s="1">
        <v>0</v>
      </c>
      <c r="AH1245" s="1">
        <f ca="1">IFERROR(__xludf.DUMMYFUNCTION("IFERROR(GOOGLEFINANCE(TRIM(F1245)&amp;"":"" &amp; TRIM(B1245),""low52""),AE1245)"),19.01)</f>
        <v>19.010000000000002</v>
      </c>
      <c r="AI1245" s="1">
        <f ca="1">IFERROR(__xludf.DUMMYFUNCTION("IFERROR(GOOGLEFINANCE(B1245,""eps""),0)"),2.9)</f>
        <v>2.9</v>
      </c>
      <c r="AJ1245" s="1"/>
      <c r="AK1245" s="1" t="s">
        <v>3770</v>
      </c>
      <c r="AL1245" s="9">
        <f t="shared" si="175"/>
        <v>1</v>
      </c>
    </row>
    <row r="1246" spans="1:38" ht="15" x14ac:dyDescent="0.25">
      <c r="A1246" s="1" t="s">
        <v>3771</v>
      </c>
      <c r="B1246" s="1" t="s">
        <v>3772</v>
      </c>
      <c r="C1246" s="1" t="s">
        <v>398</v>
      </c>
      <c r="D1246" s="1" t="s">
        <v>398</v>
      </c>
      <c r="E1246" s="6">
        <v>360.85</v>
      </c>
      <c r="F1246" s="1" t="s">
        <v>53</v>
      </c>
      <c r="G1246" s="6">
        <f ca="1">IFERROR(__xludf.DUMMYFUNCTION("iferror(GOOGLEFINANCE(TRIM(F1246)&amp;"":"" &amp; TRIM(B1246), ""price""),0
)"),0)</f>
        <v>0</v>
      </c>
      <c r="H1246" s="6">
        <v>138.80000000000001</v>
      </c>
      <c r="I1246" s="6">
        <f t="shared" ca="1" si="0"/>
        <v>138.80000000000001</v>
      </c>
      <c r="J1246" s="6">
        <f ca="1">IFERROR(__xludf.DUMMYFUNCTION("IFERROR(GOOGLEFINANCE(B1246, ""volume""), 0)"),0)</f>
        <v>0</v>
      </c>
      <c r="K1246" s="6">
        <v>-0.04</v>
      </c>
      <c r="L1246" s="6">
        <f ca="1">IFERROR(__xludf.DUMMYFUNCTION("IFERROR(GOOGLEFINANCE(B1246,""changepct""),K1246)"),-0.04)</f>
        <v>-0.04</v>
      </c>
      <c r="M1246" s="6">
        <f ca="1">IFERROR(__xludf.DUMMYFUNCTION("IFERROR(GOOGLEFINANCE(B1246,""change""),0)"),0)</f>
        <v>0</v>
      </c>
      <c r="N1246" s="6">
        <v>1</v>
      </c>
      <c r="O1246" s="7">
        <v>45536</v>
      </c>
      <c r="P1246" s="6">
        <v>97.77</v>
      </c>
      <c r="Q1246" s="6">
        <v>458.29</v>
      </c>
      <c r="R1246" s="7">
        <v>45536</v>
      </c>
      <c r="S1246" s="6">
        <v>341.44</v>
      </c>
      <c r="T1246" s="6">
        <v>9.0299999999999994</v>
      </c>
      <c r="U1246" s="7">
        <v>45536</v>
      </c>
      <c r="V1246" s="6">
        <v>39.96</v>
      </c>
      <c r="W1246" s="6">
        <f ca="1">IFERROR(__xludf.DUMMYFUNCTION("IFERROR(GOOGLEFINANCE(B1246,""pe""),V1246)"),39.96)</f>
        <v>39.96</v>
      </c>
      <c r="X1246" s="6">
        <v>1.1499999999999999</v>
      </c>
      <c r="Y1246" s="6">
        <v>1.73</v>
      </c>
      <c r="Z1246" s="6">
        <v>1</v>
      </c>
      <c r="AA1246" s="8">
        <v>44986</v>
      </c>
      <c r="AB1246" s="4">
        <v>0.74</v>
      </c>
      <c r="AC1246" s="6">
        <v>7.51</v>
      </c>
      <c r="AD1246" s="6">
        <v>10.49</v>
      </c>
      <c r="AE1246" s="1">
        <v>0</v>
      </c>
      <c r="AF1246" s="1">
        <f ca="1">IFERROR(__xludf.DUMMYFUNCTION("IFERROR(GOOGLEFINANCE(TRIM(F1246)&amp;"":"" &amp; TRIM(B1246),""high52""),AE1246)"),0)</f>
        <v>0</v>
      </c>
      <c r="AG1246" s="1">
        <v>0</v>
      </c>
      <c r="AH1246" s="1">
        <f ca="1">IFERROR(__xludf.DUMMYFUNCTION("IFERROR(GOOGLEFINANCE(TRIM(F1246)&amp;"":"" &amp; TRIM(B1246),""low52""),AE1246)"),0)</f>
        <v>0</v>
      </c>
      <c r="AI1246" s="1">
        <f ca="1">IFERROR(__xludf.DUMMYFUNCTION("IFERROR(GOOGLEFINANCE(B1246,""eps""),0)"),0)</f>
        <v>0</v>
      </c>
      <c r="AJ1246" s="1"/>
      <c r="AK1246" s="1" t="s">
        <v>3773</v>
      </c>
      <c r="AL1246" s="9">
        <f t="shared" si="175"/>
        <v>1</v>
      </c>
    </row>
    <row r="1247" spans="1:38" ht="15" x14ac:dyDescent="0.25">
      <c r="A1247" s="1" t="s">
        <v>3774</v>
      </c>
      <c r="B1247" s="1" t="s">
        <v>3775</v>
      </c>
      <c r="C1247" s="1" t="s">
        <v>410</v>
      </c>
      <c r="D1247" s="1" t="s">
        <v>410</v>
      </c>
      <c r="E1247" s="6">
        <v>202.29</v>
      </c>
      <c r="F1247" s="1" t="s">
        <v>40</v>
      </c>
      <c r="G1247" s="6">
        <f ca="1">IFERROR(__xludf.DUMMYFUNCTION("iferror(GOOGLEFINANCE(TRIM(F1247)&amp;"":"" &amp; TRIM(B1247), ""price""),0
)"),0)</f>
        <v>0</v>
      </c>
      <c r="H1247" s="6">
        <v>113.65</v>
      </c>
      <c r="I1247" s="6">
        <f t="shared" ca="1" si="0"/>
        <v>113.65</v>
      </c>
      <c r="J1247" s="6">
        <f ca="1">IFERROR(__xludf.DUMMYFUNCTION("IFERROR(GOOGLEFINANCE(B1247, ""volume""), 0)"),0)</f>
        <v>0</v>
      </c>
      <c r="K1247" s="12"/>
      <c r="L1247" s="6" t="str">
        <f ca="1">IFERROR(__xludf.DUMMYFUNCTION("IFERROR(GOOGLEFINANCE(B1247,""changepct""),K1247)"),"")</f>
        <v/>
      </c>
      <c r="M1247" s="6">
        <f ca="1">IFERROR(__xludf.DUMMYFUNCTION("IFERROR(GOOGLEFINANCE(B1247,""change""),0)"),0)</f>
        <v>0</v>
      </c>
      <c r="N1247" s="6">
        <v>1</v>
      </c>
      <c r="O1247" s="7">
        <v>45352</v>
      </c>
      <c r="P1247" s="6">
        <v>1.9</v>
      </c>
      <c r="Q1247" s="6">
        <v>204.19</v>
      </c>
      <c r="R1247" s="7">
        <v>45352</v>
      </c>
      <c r="S1247" s="6">
        <v>6.19</v>
      </c>
      <c r="T1247" s="6">
        <v>0.03</v>
      </c>
      <c r="U1247" s="7">
        <v>43525</v>
      </c>
      <c r="V1247" s="6">
        <v>0</v>
      </c>
      <c r="W1247" s="6">
        <f ca="1">IFERROR(__xludf.DUMMYFUNCTION("IFERROR(GOOGLEFINANCE(B1247,""pe""),V1247)"),0)</f>
        <v>0</v>
      </c>
      <c r="X1247" s="6">
        <v>0</v>
      </c>
      <c r="Y1247" s="6">
        <v>10.59</v>
      </c>
      <c r="Z1247" s="6">
        <v>1</v>
      </c>
      <c r="AA1247" s="8">
        <v>41699</v>
      </c>
      <c r="AB1247" s="4">
        <v>0</v>
      </c>
      <c r="AC1247" s="6">
        <v>1.59</v>
      </c>
      <c r="AD1247" s="6">
        <v>2.2999999999999998</v>
      </c>
      <c r="AE1247" s="1">
        <v>0</v>
      </c>
      <c r="AF1247" s="1">
        <f ca="1">IFERROR(__xludf.DUMMYFUNCTION("IFERROR(GOOGLEFINANCE(TRIM(F1247)&amp;"":"" &amp; TRIM(B1247),""high52""),AE1247)"),0)</f>
        <v>0</v>
      </c>
      <c r="AG1247" s="1">
        <v>0</v>
      </c>
      <c r="AH1247" s="1">
        <f ca="1">IFERROR(__xludf.DUMMYFUNCTION("IFERROR(GOOGLEFINANCE(TRIM(F1247)&amp;"":"" &amp; TRIM(B1247),""low52""),AE1247)"),0)</f>
        <v>0</v>
      </c>
      <c r="AI1247" s="1">
        <f ca="1">IFERROR(__xludf.DUMMYFUNCTION("IFERROR(GOOGLEFINANCE(B1247,""eps""),0)"),0)</f>
        <v>0</v>
      </c>
      <c r="AJ1247" s="1"/>
      <c r="AK1247" s="1" t="s">
        <v>3776</v>
      </c>
      <c r="AL1247" s="9">
        <f t="shared" si="175"/>
        <v>1</v>
      </c>
    </row>
    <row r="1248" spans="1:38" ht="15" x14ac:dyDescent="0.25">
      <c r="A1248" s="1" t="s">
        <v>3777</v>
      </c>
      <c r="B1248" s="1" t="s">
        <v>3778</v>
      </c>
      <c r="C1248" s="1" t="s">
        <v>86</v>
      </c>
      <c r="D1248" s="1" t="s">
        <v>86</v>
      </c>
      <c r="E1248" s="6">
        <v>696.09</v>
      </c>
      <c r="F1248" s="1" t="s">
        <v>40</v>
      </c>
      <c r="G1248" s="6">
        <f ca="1">IFERROR(__xludf.DUMMYFUNCTION("iferror(GOOGLEFINANCE(TRIM(F1248)&amp;"":"" &amp; TRIM(B1248), ""price""),0
)"),0)</f>
        <v>0</v>
      </c>
      <c r="H1248" s="6">
        <v>291</v>
      </c>
      <c r="I1248" s="6">
        <f t="shared" ca="1" si="0"/>
        <v>291</v>
      </c>
      <c r="J1248" s="6">
        <f ca="1">IFERROR(__xludf.DUMMYFUNCTION("IFERROR(GOOGLEFINANCE(B1248, ""volume""), 0)"),0)</f>
        <v>0</v>
      </c>
      <c r="K1248" s="9"/>
      <c r="L1248" s="6" t="str">
        <f ca="1">IFERROR(__xludf.DUMMYFUNCTION("IFERROR(GOOGLEFINANCE(B1248,""changepct""),K1248)"),"")</f>
        <v/>
      </c>
      <c r="M1248" s="6">
        <f ca="1">IFERROR(__xludf.DUMMYFUNCTION("IFERROR(GOOGLEFINANCE(B1248,""change""),0)"),0)</f>
        <v>0</v>
      </c>
      <c r="N1248" s="6">
        <v>1</v>
      </c>
      <c r="O1248" s="7">
        <v>45536</v>
      </c>
      <c r="P1248" s="6">
        <v>56.57</v>
      </c>
      <c r="Q1248" s="6">
        <v>752.66</v>
      </c>
      <c r="R1248" s="7">
        <v>45352</v>
      </c>
      <c r="S1248" s="6">
        <v>134.66999999999999</v>
      </c>
      <c r="T1248" s="6">
        <v>10.119999999999999</v>
      </c>
      <c r="U1248" s="7">
        <v>45352</v>
      </c>
      <c r="V1248" s="6">
        <v>68.760000000000005</v>
      </c>
      <c r="W1248" s="6">
        <f ca="1">IFERROR(__xludf.DUMMYFUNCTION("IFERROR(GOOGLEFINANCE(B1248,""pe""),V1248)"),68.76)</f>
        <v>68.760000000000005</v>
      </c>
      <c r="X1248" s="6">
        <v>1.99</v>
      </c>
      <c r="Y1248" s="6">
        <v>6.15</v>
      </c>
      <c r="Z1248" s="6">
        <v>1</v>
      </c>
      <c r="AA1248" s="8">
        <v>45352</v>
      </c>
      <c r="AB1248" s="4">
        <v>0.09</v>
      </c>
      <c r="AC1248" s="6">
        <v>11.66</v>
      </c>
      <c r="AD1248" s="6">
        <v>15.55</v>
      </c>
      <c r="AE1248" s="1">
        <v>0</v>
      </c>
      <c r="AF1248" s="1">
        <f ca="1">IFERROR(__xludf.DUMMYFUNCTION("IFERROR(GOOGLEFINANCE(TRIM(F1248)&amp;"":"" &amp; TRIM(B1248),""high52""),AE1248)"),0)</f>
        <v>0</v>
      </c>
      <c r="AG1248" s="1">
        <v>0</v>
      </c>
      <c r="AH1248" s="1">
        <f ca="1">IFERROR(__xludf.DUMMYFUNCTION("IFERROR(GOOGLEFINANCE(TRIM(F1248)&amp;"":"" &amp; TRIM(B1248),""low52""),AE1248)"),0)</f>
        <v>0</v>
      </c>
      <c r="AI1248" s="1">
        <f ca="1">IFERROR(__xludf.DUMMYFUNCTION("IFERROR(GOOGLEFINANCE(B1248,""eps""),0)"),0)</f>
        <v>0</v>
      </c>
      <c r="AJ1248" s="1"/>
      <c r="AK1248" s="9"/>
      <c r="AL1248" s="9">
        <f t="shared" si="175"/>
        <v>1</v>
      </c>
    </row>
    <row r="1249" spans="1:38" ht="15" x14ac:dyDescent="0.25">
      <c r="A1249" s="1" t="s">
        <v>3779</v>
      </c>
      <c r="B1249" s="1" t="s">
        <v>3780</v>
      </c>
      <c r="C1249" s="1" t="s">
        <v>398</v>
      </c>
      <c r="D1249" s="1" t="s">
        <v>398</v>
      </c>
      <c r="E1249" s="6">
        <v>272.81</v>
      </c>
      <c r="F1249" s="1" t="s">
        <v>53</v>
      </c>
      <c r="G1249" s="6">
        <f ca="1">IFERROR(__xludf.DUMMYFUNCTION("iferror(GOOGLEFINANCE(TRIM(F1249)&amp;"":"" &amp; TRIM(B1249), ""price""),0
)"),0)</f>
        <v>0</v>
      </c>
      <c r="H1249" s="6">
        <v>575.9</v>
      </c>
      <c r="I1249" s="6">
        <f t="shared" ca="1" si="0"/>
        <v>575.9</v>
      </c>
      <c r="J1249" s="6">
        <f ca="1">IFERROR(__xludf.DUMMYFUNCTION("IFERROR(GOOGLEFINANCE(B1249, ""volume""), 0)"),0)</f>
        <v>0</v>
      </c>
      <c r="K1249" s="6">
        <v>1.33</v>
      </c>
      <c r="L1249" s="6">
        <f ca="1">IFERROR(__xludf.DUMMYFUNCTION("IFERROR(GOOGLEFINANCE(B1249,""changepct""),K1249)"),1.33)</f>
        <v>1.33</v>
      </c>
      <c r="M1249" s="6">
        <f ca="1">IFERROR(__xludf.DUMMYFUNCTION("IFERROR(GOOGLEFINANCE(B1249,""change""),0)"),0)</f>
        <v>0</v>
      </c>
      <c r="N1249" s="6">
        <v>1</v>
      </c>
      <c r="O1249" s="7">
        <v>45536</v>
      </c>
      <c r="P1249" s="9"/>
      <c r="Q1249" s="6">
        <v>266.75</v>
      </c>
      <c r="R1249" s="7">
        <v>45536</v>
      </c>
      <c r="S1249" s="6">
        <v>53.56</v>
      </c>
      <c r="T1249" s="6">
        <v>20.420000000000002</v>
      </c>
      <c r="U1249" s="7">
        <v>45536</v>
      </c>
      <c r="V1249" s="6">
        <v>13.36</v>
      </c>
      <c r="W1249" s="6">
        <f ca="1">IFERROR(__xludf.DUMMYFUNCTION("IFERROR(GOOGLEFINANCE(B1249,""pe""),V1249)"),13.36)</f>
        <v>13.36</v>
      </c>
      <c r="X1249" s="6">
        <v>1.55</v>
      </c>
      <c r="Y1249" s="6">
        <v>1.68</v>
      </c>
      <c r="Z1249" s="6">
        <v>1</v>
      </c>
      <c r="AA1249" s="8">
        <v>45352</v>
      </c>
      <c r="AB1249" s="4">
        <v>0</v>
      </c>
      <c r="AC1249" s="6">
        <v>12.36</v>
      </c>
      <c r="AD1249" s="6">
        <v>16.649999999999999</v>
      </c>
      <c r="AE1249" s="1">
        <v>0</v>
      </c>
      <c r="AF1249" s="1">
        <f ca="1">IFERROR(__xludf.DUMMYFUNCTION("IFERROR(GOOGLEFINANCE(TRIM(F1249)&amp;"":"" &amp; TRIM(B1249),""high52""),AE1249)"),0)</f>
        <v>0</v>
      </c>
      <c r="AG1249" s="1">
        <v>0</v>
      </c>
      <c r="AH1249" s="1">
        <f ca="1">IFERROR(__xludf.DUMMYFUNCTION("IFERROR(GOOGLEFINANCE(TRIM(F1249)&amp;"":"" &amp; TRIM(B1249),""low52""),AE1249)"),0)</f>
        <v>0</v>
      </c>
      <c r="AI1249" s="1">
        <f ca="1">IFERROR(__xludf.DUMMYFUNCTION("IFERROR(GOOGLEFINANCE(B1249,""eps""),0)"),0)</f>
        <v>0</v>
      </c>
      <c r="AJ1249" s="1"/>
      <c r="AK1249" s="1" t="s">
        <v>3781</v>
      </c>
      <c r="AL1249" s="9">
        <f t="shared" si="175"/>
        <v>1</v>
      </c>
    </row>
    <row r="1250" spans="1:38" ht="15" x14ac:dyDescent="0.25">
      <c r="A1250" s="1" t="s">
        <v>3782</v>
      </c>
      <c r="B1250" s="1" t="s">
        <v>3783</v>
      </c>
      <c r="C1250" s="1" t="s">
        <v>398</v>
      </c>
      <c r="D1250" s="1" t="s">
        <v>398</v>
      </c>
      <c r="E1250" s="6">
        <v>95.82</v>
      </c>
      <c r="F1250" s="1" t="s">
        <v>53</v>
      </c>
      <c r="G1250" s="6">
        <f ca="1">IFERROR(__xludf.DUMMYFUNCTION("iferror(GOOGLEFINANCE(TRIM(F1250)&amp;"":"" &amp; TRIM(B1250), ""price""),0
)"),0)</f>
        <v>0</v>
      </c>
      <c r="H1250" s="6">
        <v>33.81</v>
      </c>
      <c r="I1250" s="6">
        <f t="shared" ca="1" si="0"/>
        <v>33.81</v>
      </c>
      <c r="J1250" s="6">
        <f ca="1">IFERROR(__xludf.DUMMYFUNCTION("IFERROR(GOOGLEFINANCE(B1250, ""volume""), 0)"),0)</f>
        <v>0</v>
      </c>
      <c r="K1250" s="6">
        <v>9.84</v>
      </c>
      <c r="L1250" s="6">
        <f ca="1">IFERROR(__xludf.DUMMYFUNCTION("IFERROR(GOOGLEFINANCE(B1250,""changepct""),K1250)"),9.84)</f>
        <v>9.84</v>
      </c>
      <c r="M1250" s="6">
        <f ca="1">IFERROR(__xludf.DUMMYFUNCTION("IFERROR(GOOGLEFINANCE(B1250,""change""),0)"),0)</f>
        <v>0</v>
      </c>
      <c r="N1250" s="6">
        <v>1</v>
      </c>
      <c r="O1250" s="7">
        <v>45536</v>
      </c>
      <c r="P1250" s="6">
        <v>2.0299999999999998</v>
      </c>
      <c r="Q1250" s="6">
        <v>92.87</v>
      </c>
      <c r="R1250" s="7">
        <v>45536</v>
      </c>
      <c r="S1250" s="6">
        <v>85.37</v>
      </c>
      <c r="T1250" s="6">
        <v>3.61</v>
      </c>
      <c r="U1250" s="7">
        <v>45536</v>
      </c>
      <c r="V1250" s="6">
        <v>26.56</v>
      </c>
      <c r="W1250" s="6">
        <f ca="1">IFERROR(__xludf.DUMMYFUNCTION("IFERROR(GOOGLEFINANCE(B1250,""pe""),V1250)"),26.56)</f>
        <v>26.56</v>
      </c>
      <c r="X1250" s="6">
        <v>1.03</v>
      </c>
      <c r="Y1250" s="6">
        <v>2.78</v>
      </c>
      <c r="Z1250" s="6">
        <v>1</v>
      </c>
      <c r="AA1250" s="8">
        <v>45352</v>
      </c>
      <c r="AB1250" s="4">
        <v>0.04</v>
      </c>
      <c r="AC1250" s="6">
        <v>10.33</v>
      </c>
      <c r="AD1250" s="6">
        <v>13.06</v>
      </c>
      <c r="AE1250" s="1">
        <v>0</v>
      </c>
      <c r="AF1250" s="1">
        <f ca="1">IFERROR(__xludf.DUMMYFUNCTION("IFERROR(GOOGLEFINANCE(TRIM(F1250)&amp;"":"" &amp; TRIM(B1250),""high52""),AE1250)"),0)</f>
        <v>0</v>
      </c>
      <c r="AG1250" s="1">
        <v>0</v>
      </c>
      <c r="AH1250" s="1">
        <f ca="1">IFERROR(__xludf.DUMMYFUNCTION("IFERROR(GOOGLEFINANCE(TRIM(F1250)&amp;"":"" &amp; TRIM(B1250),""low52""),AE1250)"),0)</f>
        <v>0</v>
      </c>
      <c r="AI1250" s="1">
        <f ca="1">IFERROR(__xludf.DUMMYFUNCTION("IFERROR(GOOGLEFINANCE(B1250,""eps""),0)"),0)</f>
        <v>0</v>
      </c>
      <c r="AJ1250" s="1"/>
      <c r="AK1250" s="1" t="s">
        <v>3784</v>
      </c>
      <c r="AL1250" s="9">
        <f t="shared" si="175"/>
        <v>1</v>
      </c>
    </row>
    <row r="1251" spans="1:38" ht="15" x14ac:dyDescent="0.25">
      <c r="A1251" s="1" t="s">
        <v>3785</v>
      </c>
      <c r="B1251" s="1" t="s">
        <v>3786</v>
      </c>
      <c r="C1251" s="1" t="s">
        <v>43</v>
      </c>
      <c r="D1251" s="1" t="s">
        <v>43</v>
      </c>
      <c r="E1251" s="6">
        <v>1513.19</v>
      </c>
      <c r="F1251" s="1" t="s">
        <v>40</v>
      </c>
      <c r="G1251" s="6">
        <f ca="1">IFERROR(__xludf.DUMMYFUNCTION("iferror(GOOGLEFINANCE(TRIM(F1251)&amp;"":"" &amp; TRIM(B1251), ""price""),0
)"),1650)</f>
        <v>1650</v>
      </c>
      <c r="H1251" s="6">
        <v>2530.1</v>
      </c>
      <c r="I1251" s="6">
        <f t="shared" ca="1" si="0"/>
        <v>1650</v>
      </c>
      <c r="J1251" s="6">
        <f ca="1">IFERROR(__xludf.DUMMYFUNCTION("IFERROR(GOOGLEFINANCE(B1251, ""volume""), 0)"),243)</f>
        <v>243</v>
      </c>
      <c r="K1251" s="6">
        <v>-0.24</v>
      </c>
      <c r="L1251" s="6">
        <f ca="1">IFERROR(__xludf.DUMMYFUNCTION("IFERROR(GOOGLEFINANCE(B1251,""changepct""),K1251)"),-2.94)</f>
        <v>-2.94</v>
      </c>
      <c r="M1251" s="6">
        <f ca="1">IFERROR(__xludf.DUMMYFUNCTION("IFERROR(GOOGLEFINANCE(B1251,""change""),0)"),-50)</f>
        <v>-50</v>
      </c>
      <c r="N1251" s="6">
        <v>1</v>
      </c>
      <c r="O1251" s="7">
        <v>45536</v>
      </c>
      <c r="P1251" s="6">
        <v>11.47</v>
      </c>
      <c r="Q1251" s="7">
        <v>45536</v>
      </c>
      <c r="R1251" s="6">
        <v>131.88999999999999</v>
      </c>
      <c r="S1251" s="6">
        <v>-18.920000000000002</v>
      </c>
      <c r="T1251" s="6">
        <v>-101.43</v>
      </c>
      <c r="U1251" s="6">
        <v>1</v>
      </c>
      <c r="V1251" s="7">
        <v>45352</v>
      </c>
      <c r="W1251" s="10">
        <f ca="1">IFERROR(__xludf.DUMMYFUNCTION("IFERROR(GOOGLEFINANCE(B1251,""pe""),V1251)"),45352)</f>
        <v>45352</v>
      </c>
      <c r="X1251" s="6">
        <v>0</v>
      </c>
      <c r="Y1251" s="6">
        <v>4.08</v>
      </c>
      <c r="Z1251" s="6">
        <v>5.63</v>
      </c>
      <c r="AA1251" s="3" t="s">
        <v>3787</v>
      </c>
      <c r="AB1251" s="3"/>
      <c r="AC1251" s="9"/>
      <c r="AD1251" s="9"/>
      <c r="AE1251" s="1">
        <v>0</v>
      </c>
      <c r="AF1251" s="1">
        <f ca="1">IFERROR(__xludf.DUMMYFUNCTION("IFERROR(GOOGLEFINANCE(TRIM(F1251)&amp;"":"" &amp; TRIM(B1251),""high52""),AE1251)"),2262)</f>
        <v>2262</v>
      </c>
      <c r="AG1251" s="1">
        <v>0</v>
      </c>
      <c r="AH1251" s="1">
        <f ca="1">IFERROR(__xludf.DUMMYFUNCTION("IFERROR(GOOGLEFINANCE(TRIM(F1251)&amp;"":"" &amp; TRIM(B1251),""low52""),AE1251)"),1371)</f>
        <v>1371</v>
      </c>
      <c r="AI1251" s="1">
        <f ca="1">IFERROR(__xludf.DUMMYFUNCTION("IFERROR(GOOGLEFINANCE(B1251,""eps""),0)"),-48.93)</f>
        <v>-48.93</v>
      </c>
      <c r="AJ1251" s="1"/>
      <c r="AK1251" s="1" t="s">
        <v>3788</v>
      </c>
      <c r="AL1251" s="9">
        <f t="shared" si="175"/>
        <v>1</v>
      </c>
    </row>
    <row r="1252" spans="1:38" ht="15" x14ac:dyDescent="0.25">
      <c r="A1252" s="1" t="s">
        <v>3789</v>
      </c>
      <c r="B1252" s="1" t="s">
        <v>3790</v>
      </c>
      <c r="C1252" s="1" t="s">
        <v>106</v>
      </c>
      <c r="D1252" s="1" t="s">
        <v>106</v>
      </c>
      <c r="E1252" s="6">
        <v>30355.5</v>
      </c>
      <c r="F1252" s="1" t="s">
        <v>40</v>
      </c>
      <c r="G1252" s="6">
        <f ca="1">IFERROR(__xludf.DUMMYFUNCTION("iferror(GOOGLEFINANCE(TRIM(F1252)&amp;"":"" &amp; TRIM(B1252), ""price""),0
)"),1885)</f>
        <v>1885</v>
      </c>
      <c r="H1252" s="6">
        <v>1914.45</v>
      </c>
      <c r="I1252" s="6">
        <f t="shared" ca="1" si="0"/>
        <v>1885</v>
      </c>
      <c r="J1252" s="6">
        <f ca="1">IFERROR(__xludf.DUMMYFUNCTION("IFERROR(GOOGLEFINANCE(B1252, ""volume""), 0)"),0)</f>
        <v>0</v>
      </c>
      <c r="K1252" s="6">
        <v>3.93</v>
      </c>
      <c r="L1252" s="6">
        <f ca="1">IFERROR(__xludf.DUMMYFUNCTION("IFERROR(GOOGLEFINANCE(B1252,""changepct""),K1252)"),3.93)</f>
        <v>3.93</v>
      </c>
      <c r="M1252" s="6">
        <f ca="1">IFERROR(__xludf.DUMMYFUNCTION("IFERROR(GOOGLEFINANCE(B1252,""change""),0)"),0)</f>
        <v>0</v>
      </c>
      <c r="N1252" s="6">
        <v>2</v>
      </c>
      <c r="O1252" s="7">
        <v>45536</v>
      </c>
      <c r="P1252" s="6">
        <v>278.77</v>
      </c>
      <c r="Q1252" s="6">
        <v>30634.27</v>
      </c>
      <c r="R1252" s="7">
        <v>45536</v>
      </c>
      <c r="S1252" s="6">
        <v>5890.15</v>
      </c>
      <c r="T1252" s="6">
        <v>691.57</v>
      </c>
      <c r="U1252" s="7">
        <v>45536</v>
      </c>
      <c r="V1252" s="6">
        <v>43.89</v>
      </c>
      <c r="W1252" s="6">
        <f ca="1">IFERROR(__xludf.DUMMYFUNCTION("IFERROR(GOOGLEFINANCE(B1252,""pe""),V1252)"),43.89)</f>
        <v>43.89</v>
      </c>
      <c r="X1252" s="12"/>
      <c r="Y1252" s="6">
        <v>3.45</v>
      </c>
      <c r="Z1252" s="6">
        <v>2</v>
      </c>
      <c r="AA1252" s="8">
        <v>45352</v>
      </c>
      <c r="AB1252" s="4">
        <v>0.04</v>
      </c>
      <c r="AC1252" s="6">
        <v>9.26</v>
      </c>
      <c r="AD1252" s="6">
        <v>13.63</v>
      </c>
      <c r="AE1252" s="1">
        <v>0</v>
      </c>
      <c r="AF1252" s="1">
        <f ca="1">IFERROR(__xludf.DUMMYFUNCTION("IFERROR(GOOGLEFINANCE(TRIM(F1252)&amp;"":"" &amp; TRIM(B1252),""high52""),AE1252)"),2131)</f>
        <v>2131</v>
      </c>
      <c r="AG1252" s="1">
        <v>0</v>
      </c>
      <c r="AH1252" s="1">
        <f ca="1">IFERROR(__xludf.DUMMYFUNCTION("IFERROR(GOOGLEFINANCE(TRIM(F1252)&amp;"":"" &amp; TRIM(B1252),""low52""),AE1252)"),1277.8)</f>
        <v>1277.8</v>
      </c>
      <c r="AI1252" s="1">
        <f ca="1">IFERROR(__xludf.DUMMYFUNCTION("IFERROR(GOOGLEFINANCE(B1252,""eps""),0)"),0)</f>
        <v>0</v>
      </c>
      <c r="AJ1252" s="1"/>
      <c r="AK1252" s="1" t="s">
        <v>3791</v>
      </c>
      <c r="AL1252" s="9">
        <f t="shared" si="175"/>
        <v>1</v>
      </c>
    </row>
    <row r="1253" spans="1:38" ht="15" x14ac:dyDescent="0.25">
      <c r="A1253" s="1" t="s">
        <v>3792</v>
      </c>
      <c r="B1253" s="1" t="s">
        <v>3793</v>
      </c>
      <c r="C1253" s="1" t="s">
        <v>106</v>
      </c>
      <c r="D1253" s="1" t="s">
        <v>106</v>
      </c>
      <c r="E1253" s="6">
        <v>37631.86</v>
      </c>
      <c r="F1253" s="1" t="s">
        <v>40</v>
      </c>
      <c r="G1253" s="6">
        <f ca="1">IFERROR(__xludf.DUMMYFUNCTION("iferror(GOOGLEFINANCE(TRIM(F1253)&amp;"":"" &amp; TRIM(B1253), ""price""),0
)"),2400)</f>
        <v>2400</v>
      </c>
      <c r="H1253" s="6">
        <v>2226.1999999999998</v>
      </c>
      <c r="I1253" s="6">
        <f t="shared" ca="1" si="0"/>
        <v>2400</v>
      </c>
      <c r="J1253" s="6">
        <f ca="1">IFERROR(__xludf.DUMMYFUNCTION("IFERROR(GOOGLEFINANCE(B1253, ""volume""), 0)"),75479)</f>
        <v>75479</v>
      </c>
      <c r="K1253" s="6">
        <v>0.28999999999999998</v>
      </c>
      <c r="L1253" s="6">
        <f ca="1">IFERROR(__xludf.DUMMYFUNCTION("IFERROR(GOOGLEFINANCE(B1253,""changepct""),K1253)"),-0.35)</f>
        <v>-0.35</v>
      </c>
      <c r="M1253" s="6">
        <f ca="1">IFERROR(__xludf.DUMMYFUNCTION("IFERROR(GOOGLEFINANCE(B1253,""change""),0)"),-8.4)</f>
        <v>-8.4</v>
      </c>
      <c r="N1253" s="6">
        <v>2</v>
      </c>
      <c r="O1253" s="7">
        <v>45536</v>
      </c>
      <c r="P1253" s="9"/>
      <c r="Q1253" s="6">
        <v>36521.85</v>
      </c>
      <c r="R1253" s="7">
        <v>45536</v>
      </c>
      <c r="S1253" s="6">
        <v>3560.48</v>
      </c>
      <c r="T1253" s="6">
        <v>675.03</v>
      </c>
      <c r="U1253" s="7">
        <v>45536</v>
      </c>
      <c r="V1253" s="6">
        <v>55.75</v>
      </c>
      <c r="W1253" s="6">
        <f ca="1">IFERROR(__xludf.DUMMYFUNCTION("IFERROR(GOOGLEFINANCE(B1253,""pe""),V1253)"),42.56)</f>
        <v>42.56</v>
      </c>
      <c r="X1253" s="6">
        <v>5.46</v>
      </c>
      <c r="Y1253" s="6">
        <v>22.5</v>
      </c>
      <c r="Z1253" s="6">
        <v>2</v>
      </c>
      <c r="AA1253" s="8">
        <v>45352</v>
      </c>
      <c r="AB1253" s="4">
        <v>0</v>
      </c>
      <c r="AC1253" s="6">
        <v>33.43</v>
      </c>
      <c r="AD1253" s="6">
        <v>46.49</v>
      </c>
      <c r="AE1253" s="1">
        <v>0</v>
      </c>
      <c r="AF1253" s="1">
        <f ca="1">IFERROR(__xludf.DUMMYFUNCTION("IFERROR(GOOGLEFINANCE(TRIM(F1253)&amp;"":"" &amp; TRIM(B1253),""high52""),AE1253)"),3515.7)</f>
        <v>3515.7</v>
      </c>
      <c r="AG1253" s="1">
        <v>0</v>
      </c>
      <c r="AH1253" s="1">
        <f ca="1">IFERROR(__xludf.DUMMYFUNCTION("IFERROR(GOOGLEFINANCE(TRIM(F1253)&amp;"":"" &amp; TRIM(B1253),""low52""),AE1253)"),1921)</f>
        <v>1921</v>
      </c>
      <c r="AI1253" s="1">
        <f ca="1">IFERROR(__xludf.DUMMYFUNCTION("IFERROR(GOOGLEFINANCE(B1253,""eps""),0)"),56.38)</f>
        <v>56.38</v>
      </c>
      <c r="AJ1253" s="1"/>
      <c r="AK1253" s="1" t="s">
        <v>3794</v>
      </c>
      <c r="AL1253" s="9">
        <f t="shared" si="175"/>
        <v>1</v>
      </c>
    </row>
    <row r="1254" spans="1:38" ht="15" x14ac:dyDescent="0.25">
      <c r="A1254" s="1" t="s">
        <v>3795</v>
      </c>
      <c r="B1254" s="1" t="s">
        <v>3796</v>
      </c>
      <c r="C1254" s="1" t="s">
        <v>525</v>
      </c>
      <c r="D1254" s="1" t="s">
        <v>525</v>
      </c>
      <c r="E1254" s="6">
        <v>302.60000000000002</v>
      </c>
      <c r="F1254" s="1" t="s">
        <v>53</v>
      </c>
      <c r="G1254" s="6">
        <f ca="1">IFERROR(__xludf.DUMMYFUNCTION("iferror(GOOGLEFINANCE(TRIM(F1254)&amp;"":"" &amp; TRIM(B1254), ""price""),0
)"),0)</f>
        <v>0</v>
      </c>
      <c r="H1254" s="6">
        <v>874</v>
      </c>
      <c r="I1254" s="6">
        <f t="shared" ca="1" si="0"/>
        <v>874</v>
      </c>
      <c r="J1254" s="6">
        <f ca="1">IFERROR(__xludf.DUMMYFUNCTION("IFERROR(GOOGLEFINANCE(B1254, ""volume""), 0)"),0)</f>
        <v>0</v>
      </c>
      <c r="K1254" s="6">
        <v>4.3099999999999996</v>
      </c>
      <c r="L1254" s="6">
        <f ca="1">IFERROR(__xludf.DUMMYFUNCTION("IFERROR(GOOGLEFINANCE(B1254,""changepct""),K1254)"),0.83)</f>
        <v>0.83</v>
      </c>
      <c r="M1254" s="6">
        <f ca="1">IFERROR(__xludf.DUMMYFUNCTION("IFERROR(GOOGLEFINANCE(B1254,""change""),0)"),0.01)</f>
        <v>0.01</v>
      </c>
      <c r="N1254" s="6">
        <v>1</v>
      </c>
      <c r="O1254" s="7">
        <v>45536</v>
      </c>
      <c r="P1254" s="6">
        <v>8.56</v>
      </c>
      <c r="Q1254" s="6">
        <v>311.16000000000003</v>
      </c>
      <c r="R1254" s="7">
        <v>45352</v>
      </c>
      <c r="S1254" s="6">
        <v>21.26</v>
      </c>
      <c r="T1254" s="6">
        <v>1.1299999999999999</v>
      </c>
      <c r="U1254" s="7">
        <v>45352</v>
      </c>
      <c r="V1254" s="6">
        <v>264.27999999999997</v>
      </c>
      <c r="W1254" s="6">
        <f ca="1">IFERROR(__xludf.DUMMYFUNCTION("IFERROR(GOOGLEFINANCE(B1254,""pe""),V1254)"),264.28)</f>
        <v>264.27999999999997</v>
      </c>
      <c r="X1254" s="9"/>
      <c r="Y1254" s="6">
        <v>13.58</v>
      </c>
      <c r="Z1254" s="6">
        <v>2</v>
      </c>
      <c r="AA1254" s="8">
        <v>45352</v>
      </c>
      <c r="AB1254" s="4">
        <v>0.55000000000000004</v>
      </c>
      <c r="AC1254" s="6">
        <v>5.0999999999999996</v>
      </c>
      <c r="AD1254" s="6">
        <v>7.93</v>
      </c>
      <c r="AE1254" s="1">
        <v>0</v>
      </c>
      <c r="AF1254" s="1">
        <f ca="1">IFERROR(__xludf.DUMMYFUNCTION("IFERROR(GOOGLEFINANCE(TRIM(F1254)&amp;"":"" &amp; TRIM(B1254),""high52""),AE1254)"),0)</f>
        <v>0</v>
      </c>
      <c r="AG1254" s="1">
        <v>0</v>
      </c>
      <c r="AH1254" s="1">
        <f ca="1">IFERROR(__xludf.DUMMYFUNCTION("IFERROR(GOOGLEFINANCE(TRIM(F1254)&amp;"":"" &amp; TRIM(B1254),""low52""),AE1254)"),0)</f>
        <v>0</v>
      </c>
      <c r="AI1254" s="1">
        <f ca="1">IFERROR(__xludf.DUMMYFUNCTION("IFERROR(GOOGLEFINANCE(B1254,""eps""),0)"),-10.13)</f>
        <v>-10.130000000000001</v>
      </c>
      <c r="AJ1254" s="1"/>
      <c r="AK1254" s="9"/>
      <c r="AL1254" s="9">
        <f t="shared" si="175"/>
        <v>1</v>
      </c>
    </row>
    <row r="1255" spans="1:38" ht="15" x14ac:dyDescent="0.25">
      <c r="A1255" s="1" t="s">
        <v>3797</v>
      </c>
      <c r="B1255" s="1" t="s">
        <v>3798</v>
      </c>
      <c r="C1255" s="1" t="s">
        <v>106</v>
      </c>
      <c r="D1255" s="1" t="s">
        <v>106</v>
      </c>
      <c r="E1255" s="6">
        <v>46249.23</v>
      </c>
      <c r="F1255" s="1" t="s">
        <v>40</v>
      </c>
      <c r="G1255" s="6">
        <f ca="1">IFERROR(__xludf.DUMMYFUNCTION("iferror(GOOGLEFINANCE(TRIM(F1255)&amp;"":"" &amp; TRIM(B1255), ""price""),0
)"),1922.2)</f>
        <v>1922.2</v>
      </c>
      <c r="H1255" s="6">
        <v>1643.75</v>
      </c>
      <c r="I1255" s="6">
        <f t="shared" ca="1" si="0"/>
        <v>1922.2</v>
      </c>
      <c r="J1255" s="6">
        <f ca="1">IFERROR(__xludf.DUMMYFUNCTION("IFERROR(GOOGLEFINANCE(B1255, ""volume""), 0)"),1487788)</f>
        <v>1487788</v>
      </c>
      <c r="K1255" s="6">
        <v>0.27</v>
      </c>
      <c r="L1255" s="6">
        <f ca="1">IFERROR(__xludf.DUMMYFUNCTION("IFERROR(GOOGLEFINANCE(B1255,""changepct""),K1255)"),-0.92)</f>
        <v>-0.92</v>
      </c>
      <c r="M1255" s="6">
        <f ca="1">IFERROR(__xludf.DUMMYFUNCTION("IFERROR(GOOGLEFINANCE(B1255,""change""),0)"),-17.8)</f>
        <v>-17.8</v>
      </c>
      <c r="N1255" s="6">
        <v>2</v>
      </c>
      <c r="O1255" s="7">
        <v>45536</v>
      </c>
      <c r="P1255" s="6">
        <v>1561.65</v>
      </c>
      <c r="Q1255" s="6">
        <v>45990.63</v>
      </c>
      <c r="R1255" s="7">
        <v>45536</v>
      </c>
      <c r="S1255" s="6">
        <v>12247.64</v>
      </c>
      <c r="T1255" s="6">
        <v>-993.5</v>
      </c>
      <c r="U1255" s="7">
        <v>45536</v>
      </c>
      <c r="V1255" s="6">
        <v>0</v>
      </c>
      <c r="W1255" s="6">
        <f ca="1">IFERROR(__xludf.DUMMYFUNCTION("IFERROR(GOOGLEFINANCE(B1255,""pe""),V1255)"),53.73)</f>
        <v>53.73</v>
      </c>
      <c r="X1255" s="9"/>
      <c r="Y1255" s="6">
        <v>5.48</v>
      </c>
      <c r="Z1255" s="6">
        <v>2</v>
      </c>
      <c r="AA1255" s="8">
        <v>45352</v>
      </c>
      <c r="AB1255" s="4">
        <v>0.13</v>
      </c>
      <c r="AC1255" s="6">
        <v>-21.18</v>
      </c>
      <c r="AD1255" s="6">
        <v>4.88</v>
      </c>
      <c r="AE1255" s="1">
        <v>0</v>
      </c>
      <c r="AF1255" s="1">
        <f ca="1">IFERROR(__xludf.DUMMYFUNCTION("IFERROR(GOOGLEFINANCE(TRIM(F1255)&amp;"":"" &amp; TRIM(B1255),""high52""),AE1255)"),2284.8)</f>
        <v>2284.8000000000002</v>
      </c>
      <c r="AG1255" s="1">
        <v>0</v>
      </c>
      <c r="AH1255" s="1">
        <f ca="1">IFERROR(__xludf.DUMMYFUNCTION("IFERROR(GOOGLEFINANCE(TRIM(F1255)&amp;"":"" &amp; TRIM(B1255),""low52""),AE1255)"),1275.5)</f>
        <v>1275.5</v>
      </c>
      <c r="AI1255" s="1">
        <f ca="1">IFERROR(__xludf.DUMMYFUNCTION("IFERROR(GOOGLEFINANCE(B1255,""eps""),0)"),35.77)</f>
        <v>35.770000000000003</v>
      </c>
      <c r="AJ1255" s="1"/>
      <c r="AK1255" s="1" t="s">
        <v>3799</v>
      </c>
      <c r="AL1255" s="9">
        <f t="shared" si="175"/>
        <v>1</v>
      </c>
    </row>
    <row r="1256" spans="1:38" ht="15" x14ac:dyDescent="0.25">
      <c r="A1256" s="1" t="s">
        <v>3800</v>
      </c>
      <c r="B1256" s="1" t="s">
        <v>3801</v>
      </c>
      <c r="C1256" s="1" t="s">
        <v>525</v>
      </c>
      <c r="D1256" s="1" t="s">
        <v>525</v>
      </c>
      <c r="E1256" s="6">
        <v>8013.76</v>
      </c>
      <c r="F1256" s="1" t="s">
        <v>53</v>
      </c>
      <c r="G1256" s="6">
        <f ca="1">IFERROR(__xludf.DUMMYFUNCTION("iferror(GOOGLEFINANCE(TRIM(F1256)&amp;"":"" &amp; TRIM(B1256), ""price""),0
)"),0)</f>
        <v>0</v>
      </c>
      <c r="H1256" s="6">
        <v>3615</v>
      </c>
      <c r="I1256" s="6">
        <f t="shared" ca="1" si="0"/>
        <v>3615</v>
      </c>
      <c r="J1256" s="6">
        <f ca="1">IFERROR(__xludf.DUMMYFUNCTION("IFERROR(GOOGLEFINANCE(B1256, ""volume""), 0)"),1683751)</f>
        <v>1683751</v>
      </c>
      <c r="K1256" s="6">
        <v>-0.6</v>
      </c>
      <c r="L1256" s="6">
        <f ca="1">IFERROR(__xludf.DUMMYFUNCTION("IFERROR(GOOGLEFINANCE(B1256,""changepct""),K1256)"),0.21)</f>
        <v>0.21</v>
      </c>
      <c r="M1256" s="6">
        <f ca="1">IFERROR(__xludf.DUMMYFUNCTION("IFERROR(GOOGLEFINANCE(B1256,""change""),0)"),0.01)</f>
        <v>0.01</v>
      </c>
      <c r="N1256" s="6">
        <v>1</v>
      </c>
      <c r="O1256" s="7">
        <v>45536</v>
      </c>
      <c r="P1256" s="6">
        <v>25.76</v>
      </c>
      <c r="Q1256" s="6">
        <v>8039.53</v>
      </c>
      <c r="R1256" s="7">
        <v>45352</v>
      </c>
      <c r="S1256" s="6">
        <v>229.29</v>
      </c>
      <c r="T1256" s="6">
        <v>2.87</v>
      </c>
      <c r="U1256" s="7">
        <v>45352</v>
      </c>
      <c r="V1256" s="6">
        <v>0</v>
      </c>
      <c r="W1256" s="6">
        <f ca="1">IFERROR(__xludf.DUMMYFUNCTION("IFERROR(GOOGLEFINANCE(B1256,""pe""),V1256)"),15.22)</f>
        <v>15.22</v>
      </c>
      <c r="X1256" s="9"/>
      <c r="Y1256" s="6">
        <v>18.03</v>
      </c>
      <c r="Z1256" s="6">
        <v>2</v>
      </c>
      <c r="AA1256" s="8">
        <v>45352</v>
      </c>
      <c r="AB1256" s="4">
        <v>0.91</v>
      </c>
      <c r="AC1256" s="6">
        <v>70.66</v>
      </c>
      <c r="AD1256" s="6">
        <v>48.62</v>
      </c>
      <c r="AE1256" s="1">
        <v>0</v>
      </c>
      <c r="AF1256" s="1">
        <f ca="1">IFERROR(__xludf.DUMMYFUNCTION("IFERROR(GOOGLEFINANCE(TRIM(F1256)&amp;"":"" &amp; TRIM(B1256),""high52""),AE1256)"),0)</f>
        <v>0</v>
      </c>
      <c r="AG1256" s="1">
        <v>0</v>
      </c>
      <c r="AH1256" s="1">
        <f ca="1">IFERROR(__xludf.DUMMYFUNCTION("IFERROR(GOOGLEFINANCE(TRIM(F1256)&amp;"":"" &amp; TRIM(B1256),""low52""),AE1256)"),0)</f>
        <v>0</v>
      </c>
      <c r="AI1256" s="1">
        <f ca="1">IFERROR(__xludf.DUMMYFUNCTION("IFERROR(GOOGLEFINANCE(B1256,""eps""),0)"),0.31)</f>
        <v>0.31</v>
      </c>
      <c r="AJ1256" s="1"/>
      <c r="AK1256" s="1" t="s">
        <v>3802</v>
      </c>
      <c r="AL1256" s="9">
        <f t="shared" si="175"/>
        <v>1</v>
      </c>
    </row>
    <row r="1257" spans="1:38" ht="15" x14ac:dyDescent="0.25">
      <c r="A1257" s="1" t="s">
        <v>3803</v>
      </c>
      <c r="B1257" s="1" t="s">
        <v>3804</v>
      </c>
      <c r="C1257" s="1" t="s">
        <v>321</v>
      </c>
      <c r="D1257" s="1" t="s">
        <v>321</v>
      </c>
      <c r="E1257" s="6">
        <v>375.09</v>
      </c>
      <c r="F1257" s="1" t="s">
        <v>40</v>
      </c>
      <c r="G1257" s="6">
        <f ca="1">IFERROR(__xludf.DUMMYFUNCTION("iferror(GOOGLEFINANCE(TRIM(F1257)&amp;"":"" &amp; TRIM(B1257), ""price""),0
)"),86)</f>
        <v>86</v>
      </c>
      <c r="H1257" s="6">
        <v>78.5</v>
      </c>
      <c r="I1257" s="6">
        <f t="shared" ca="1" si="0"/>
        <v>86</v>
      </c>
      <c r="J1257" s="6">
        <f ca="1">IFERROR(__xludf.DUMMYFUNCTION("IFERROR(GOOGLEFINANCE(B1257, ""volume""), 0)"),0)</f>
        <v>0</v>
      </c>
      <c r="K1257" s="6">
        <v>6.53</v>
      </c>
      <c r="L1257" s="6">
        <f ca="1">IFERROR(__xludf.DUMMYFUNCTION("IFERROR(GOOGLEFINANCE(B1257,""changepct""),K1257)"),6.53)</f>
        <v>6.53</v>
      </c>
      <c r="M1257" s="6">
        <f ca="1">IFERROR(__xludf.DUMMYFUNCTION("IFERROR(GOOGLEFINANCE(B1257,""change""),0)"),0)</f>
        <v>0</v>
      </c>
      <c r="N1257" s="6">
        <v>2</v>
      </c>
      <c r="O1257" s="7">
        <v>45536</v>
      </c>
      <c r="P1257" s="9"/>
      <c r="Q1257" s="6">
        <v>375.09</v>
      </c>
      <c r="R1257" s="7">
        <v>45536</v>
      </c>
      <c r="S1257" s="6">
        <v>79.069999999999993</v>
      </c>
      <c r="T1257" s="6">
        <v>30.16</v>
      </c>
      <c r="U1257" s="7">
        <v>45536</v>
      </c>
      <c r="V1257" s="6">
        <v>11.61</v>
      </c>
      <c r="W1257" s="6">
        <f ca="1">IFERROR(__xludf.DUMMYFUNCTION("IFERROR(GOOGLEFINANCE(B1257,""pe""),V1257)"),11.61)</f>
        <v>11.61</v>
      </c>
      <c r="X1257" s="6">
        <v>0.3</v>
      </c>
      <c r="Y1257" s="6">
        <v>3.56</v>
      </c>
      <c r="Z1257" s="6">
        <v>2</v>
      </c>
      <c r="AA1257" s="8">
        <v>45352</v>
      </c>
      <c r="AB1257" s="4">
        <v>0</v>
      </c>
      <c r="AC1257" s="6">
        <v>43.69</v>
      </c>
      <c r="AD1257" s="6">
        <v>58.12</v>
      </c>
      <c r="AE1257" s="1">
        <v>0</v>
      </c>
      <c r="AF1257" s="1">
        <f ca="1">IFERROR(__xludf.DUMMYFUNCTION("IFERROR(GOOGLEFINANCE(TRIM(F1257)&amp;"":"" &amp; TRIM(B1257),""high52""),AE1257)"),98.4)</f>
        <v>98.4</v>
      </c>
      <c r="AG1257" s="1">
        <v>0</v>
      </c>
      <c r="AH1257" s="1">
        <f ca="1">IFERROR(__xludf.DUMMYFUNCTION("IFERROR(GOOGLEFINANCE(TRIM(F1257)&amp;"":"" &amp; TRIM(B1257),""low52""),AE1257)"),41)</f>
        <v>41</v>
      </c>
      <c r="AI1257" s="1">
        <f ca="1">IFERROR(__xludf.DUMMYFUNCTION("IFERROR(GOOGLEFINANCE(B1257,""eps""),0)"),0)</f>
        <v>0</v>
      </c>
      <c r="AJ1257" s="1"/>
      <c r="AK1257" s="1" t="s">
        <v>3805</v>
      </c>
      <c r="AL1257" s="9">
        <f t="shared" si="175"/>
        <v>1</v>
      </c>
    </row>
    <row r="1258" spans="1:38" ht="15" x14ac:dyDescent="0.25">
      <c r="A1258" s="1" t="s">
        <v>3806</v>
      </c>
      <c r="B1258" s="1" t="s">
        <v>3807</v>
      </c>
      <c r="C1258" s="1" t="s">
        <v>163</v>
      </c>
      <c r="D1258" s="1" t="s">
        <v>163</v>
      </c>
      <c r="E1258" s="6">
        <v>29652.05</v>
      </c>
      <c r="F1258" s="1" t="s">
        <v>40</v>
      </c>
      <c r="G1258" s="6">
        <f ca="1">IFERROR(__xludf.DUMMYFUNCTION("iferror(GOOGLEFINANCE(TRIM(F1258)&amp;"":"" &amp; TRIM(B1258), ""price""),0
)"),1137)</f>
        <v>1137</v>
      </c>
      <c r="H1258" s="6">
        <v>1089.5</v>
      </c>
      <c r="I1258" s="6">
        <f t="shared" ca="1" si="0"/>
        <v>1137</v>
      </c>
      <c r="J1258" s="6">
        <f ca="1">IFERROR(__xludf.DUMMYFUNCTION("IFERROR(GOOGLEFINANCE(B1258, ""volume""), 0)"),251850)</f>
        <v>251850</v>
      </c>
      <c r="K1258" s="6">
        <v>-1.31</v>
      </c>
      <c r="L1258" s="6">
        <f ca="1">IFERROR(__xludf.DUMMYFUNCTION("IFERROR(GOOGLEFINANCE(B1258,""changepct""),K1258)"),1.51)</f>
        <v>1.51</v>
      </c>
      <c r="M1258" s="6">
        <f ca="1">IFERROR(__xludf.DUMMYFUNCTION("IFERROR(GOOGLEFINANCE(B1258,""change""),0)"),16.9)</f>
        <v>16.899999999999999</v>
      </c>
      <c r="N1258" s="6">
        <v>2</v>
      </c>
      <c r="O1258" s="7">
        <v>45536</v>
      </c>
      <c r="P1258" s="6">
        <v>301.88</v>
      </c>
      <c r="Q1258" s="6">
        <v>28971.07</v>
      </c>
      <c r="R1258" s="7">
        <v>45536</v>
      </c>
      <c r="S1258" s="6">
        <v>3458.86</v>
      </c>
      <c r="T1258" s="6">
        <v>487.97</v>
      </c>
      <c r="U1258" s="7">
        <v>45536</v>
      </c>
      <c r="V1258" s="6">
        <v>60.74</v>
      </c>
      <c r="W1258" s="6">
        <f ca="1">IFERROR(__xludf.DUMMYFUNCTION("IFERROR(GOOGLEFINANCE(B1258,""pe""),V1258)"),54.4)</f>
        <v>54.4</v>
      </c>
      <c r="X1258" s="12"/>
      <c r="Y1258" s="6">
        <v>9.44</v>
      </c>
      <c r="Z1258" s="6">
        <v>2</v>
      </c>
      <c r="AA1258" s="8">
        <v>45352</v>
      </c>
      <c r="AB1258" s="4">
        <v>0.14000000000000001</v>
      </c>
      <c r="AC1258" s="6">
        <v>17.96</v>
      </c>
      <c r="AD1258" s="6">
        <v>21.56</v>
      </c>
      <c r="AE1258" s="1">
        <v>0</v>
      </c>
      <c r="AF1258" s="1">
        <f ca="1">IFERROR(__xludf.DUMMYFUNCTION("IFERROR(GOOGLEFINANCE(TRIM(F1258)&amp;"":"" &amp; TRIM(B1258),""high52""),AE1258)"),1456.5)</f>
        <v>1456.5</v>
      </c>
      <c r="AG1258" s="1">
        <v>0</v>
      </c>
      <c r="AH1258" s="1">
        <f ca="1">IFERROR(__xludf.DUMMYFUNCTION("IFERROR(GOOGLEFINANCE(TRIM(F1258)&amp;"":"" &amp; TRIM(B1258),""low52""),AE1258)"),1010)</f>
        <v>1010</v>
      </c>
      <c r="AI1258" s="1">
        <f ca="1">IFERROR(__xludf.DUMMYFUNCTION("IFERROR(GOOGLEFINANCE(B1258,""eps""),0)"),20.9)</f>
        <v>20.9</v>
      </c>
      <c r="AJ1258" s="1"/>
      <c r="AK1258" s="1" t="s">
        <v>3808</v>
      </c>
      <c r="AL1258" s="9">
        <f t="shared" si="175"/>
        <v>1</v>
      </c>
    </row>
    <row r="1259" spans="1:38" ht="15" x14ac:dyDescent="0.25">
      <c r="A1259" s="1" t="s">
        <v>3809</v>
      </c>
      <c r="B1259" s="1" t="s">
        <v>3810</v>
      </c>
      <c r="C1259" s="1" t="s">
        <v>416</v>
      </c>
      <c r="D1259" s="1" t="s">
        <v>416</v>
      </c>
      <c r="E1259" s="6">
        <v>108.64</v>
      </c>
      <c r="F1259" s="1" t="s">
        <v>40</v>
      </c>
      <c r="G1259" s="6">
        <f ca="1">IFERROR(__xludf.DUMMYFUNCTION("iferror(GOOGLEFINANCE(TRIM(F1259)&amp;"":"" &amp; TRIM(B1259), ""price""),0
)"),0)</f>
        <v>0</v>
      </c>
      <c r="H1259" s="6">
        <v>111</v>
      </c>
      <c r="I1259" s="6">
        <f t="shared" ca="1" si="0"/>
        <v>111</v>
      </c>
      <c r="J1259" s="6">
        <f ca="1">IFERROR(__xludf.DUMMYFUNCTION("IFERROR(GOOGLEFINANCE(B1259, ""volume""), 0)"),0)</f>
        <v>0</v>
      </c>
      <c r="K1259" s="12"/>
      <c r="L1259" s="6" t="str">
        <f ca="1">IFERROR(__xludf.DUMMYFUNCTION("IFERROR(GOOGLEFINANCE(B1259,""changepct""),K1259)"),"")</f>
        <v/>
      </c>
      <c r="M1259" s="6">
        <f ca="1">IFERROR(__xludf.DUMMYFUNCTION("IFERROR(GOOGLEFINANCE(B1259,""change""),0)"),0)</f>
        <v>0</v>
      </c>
      <c r="N1259" s="6">
        <v>1</v>
      </c>
      <c r="O1259" s="7">
        <v>45536</v>
      </c>
      <c r="P1259" s="9"/>
      <c r="Q1259" s="6">
        <v>108.64</v>
      </c>
      <c r="R1259" s="7">
        <v>45352</v>
      </c>
      <c r="S1259" s="6">
        <v>39.15</v>
      </c>
      <c r="T1259" s="6">
        <v>2.06</v>
      </c>
      <c r="U1259" s="7">
        <v>45352</v>
      </c>
      <c r="V1259" s="6">
        <v>52.75</v>
      </c>
      <c r="W1259" s="6">
        <f ca="1">IFERROR(__xludf.DUMMYFUNCTION("IFERROR(GOOGLEFINANCE(B1259,""pe""),V1259)"),52.75)</f>
        <v>52.75</v>
      </c>
      <c r="X1259" s="12"/>
      <c r="Y1259" s="6">
        <v>4.51</v>
      </c>
      <c r="Z1259" s="6">
        <v>1</v>
      </c>
      <c r="AA1259" s="8">
        <v>45352</v>
      </c>
      <c r="AB1259" s="4">
        <v>0</v>
      </c>
      <c r="AC1259" s="6">
        <v>12.44</v>
      </c>
      <c r="AD1259" s="6">
        <v>17.34</v>
      </c>
      <c r="AE1259" s="1">
        <v>0</v>
      </c>
      <c r="AF1259" s="1">
        <f ca="1">IFERROR(__xludf.DUMMYFUNCTION("IFERROR(GOOGLEFINANCE(TRIM(F1259)&amp;"":"" &amp; TRIM(B1259),""high52""),AE1259)"),0)</f>
        <v>0</v>
      </c>
      <c r="AG1259" s="1">
        <v>0</v>
      </c>
      <c r="AH1259" s="1">
        <f ca="1">IFERROR(__xludf.DUMMYFUNCTION("IFERROR(GOOGLEFINANCE(TRIM(F1259)&amp;"":"" &amp; TRIM(B1259),""low52""),AE1259)"),0)</f>
        <v>0</v>
      </c>
      <c r="AI1259" s="1">
        <f ca="1">IFERROR(__xludf.DUMMYFUNCTION("IFERROR(GOOGLEFINANCE(B1259,""eps""),0)"),0)</f>
        <v>0</v>
      </c>
      <c r="AJ1259" s="1"/>
      <c r="AK1259" s="1" t="s">
        <v>3811</v>
      </c>
      <c r="AL1259" s="9">
        <f t="shared" si="175"/>
        <v>1</v>
      </c>
    </row>
    <row r="1260" spans="1:38" ht="15" x14ac:dyDescent="0.25">
      <c r="A1260" s="1" t="s">
        <v>3812</v>
      </c>
      <c r="B1260" s="1" t="s">
        <v>3813</v>
      </c>
      <c r="C1260" s="1" t="s">
        <v>889</v>
      </c>
      <c r="D1260" s="1" t="s">
        <v>889</v>
      </c>
      <c r="E1260" s="6">
        <v>699.51</v>
      </c>
      <c r="F1260" s="1" t="s">
        <v>40</v>
      </c>
      <c r="G1260" s="6">
        <f ca="1">IFERROR(__xludf.DUMMYFUNCTION("iferror(GOOGLEFINANCE(TRIM(F1260)&amp;"":"" &amp; TRIM(B1260), ""price""),0
)"),86)</f>
        <v>86</v>
      </c>
      <c r="H1260" s="6">
        <v>166.43</v>
      </c>
      <c r="I1260" s="6">
        <f t="shared" ca="1" si="0"/>
        <v>86</v>
      </c>
      <c r="J1260" s="6">
        <f ca="1">IFERROR(__xludf.DUMMYFUNCTION("IFERROR(GOOGLEFINANCE(B1260, ""volume""), 0)"),28725)</f>
        <v>28725</v>
      </c>
      <c r="K1260" s="6">
        <v>0.82</v>
      </c>
      <c r="L1260" s="6">
        <f ca="1">IFERROR(__xludf.DUMMYFUNCTION("IFERROR(GOOGLEFINANCE(B1260,""changepct""),K1260)"),-2.39)</f>
        <v>-2.39</v>
      </c>
      <c r="M1260" s="6">
        <f ca="1">IFERROR(__xludf.DUMMYFUNCTION("IFERROR(GOOGLEFINANCE(B1260,""change""),0)"),-2.11)</f>
        <v>-2.11</v>
      </c>
      <c r="N1260" s="6">
        <v>2</v>
      </c>
      <c r="O1260" s="7">
        <v>45536</v>
      </c>
      <c r="P1260" s="6">
        <v>108.32</v>
      </c>
      <c r="Q1260" s="6">
        <v>802.95</v>
      </c>
      <c r="R1260" s="7">
        <v>45536</v>
      </c>
      <c r="S1260" s="6">
        <v>252.8</v>
      </c>
      <c r="T1260" s="6">
        <v>6.78</v>
      </c>
      <c r="U1260" s="7">
        <v>45536</v>
      </c>
      <c r="V1260" s="6">
        <v>113.45</v>
      </c>
      <c r="W1260" s="6">
        <f ca="1">IFERROR(__xludf.DUMMYFUNCTION("IFERROR(GOOGLEFINANCE(B1260,""pe""),V1260)"),113.45)</f>
        <v>113.45</v>
      </c>
      <c r="X1260" s="12"/>
      <c r="Y1260" s="6">
        <v>2.17</v>
      </c>
      <c r="Z1260" s="6">
        <v>2</v>
      </c>
      <c r="AA1260" s="8">
        <v>45352</v>
      </c>
      <c r="AB1260" s="4">
        <v>0.35</v>
      </c>
      <c r="AC1260" s="6">
        <v>7.3</v>
      </c>
      <c r="AD1260" s="6">
        <v>7.34</v>
      </c>
      <c r="AE1260" s="1">
        <v>0</v>
      </c>
      <c r="AF1260" s="1">
        <f ca="1">IFERROR(__xludf.DUMMYFUNCTION("IFERROR(GOOGLEFINANCE(TRIM(F1260)&amp;"":"" &amp; TRIM(B1260),""high52""),AE1260)"),144.4)</f>
        <v>144.4</v>
      </c>
      <c r="AG1260" s="1">
        <v>0</v>
      </c>
      <c r="AH1260" s="1">
        <f ca="1">IFERROR(__xludf.DUMMYFUNCTION("IFERROR(GOOGLEFINANCE(TRIM(F1260)&amp;"":"" &amp; TRIM(B1260),""low52""),AE1260)"),79)</f>
        <v>79</v>
      </c>
      <c r="AI1260" s="1">
        <f ca="1">IFERROR(__xludf.DUMMYFUNCTION("IFERROR(GOOGLEFINANCE(B1260,""eps""),0)"),-6.12)</f>
        <v>-6.12</v>
      </c>
      <c r="AJ1260" s="1"/>
      <c r="AK1260" s="1" t="s">
        <v>3814</v>
      </c>
      <c r="AL1260" s="1" t="b">
        <f t="shared" ref="AL1260:AL1261" si="176">ISNUMBER(AA1260)</f>
        <v>1</v>
      </c>
    </row>
    <row r="1261" spans="1:38" ht="15" x14ac:dyDescent="0.25">
      <c r="A1261" s="1" t="s">
        <v>3815</v>
      </c>
      <c r="B1261" s="1" t="s">
        <v>3816</v>
      </c>
      <c r="C1261" s="1" t="s">
        <v>235</v>
      </c>
      <c r="D1261" s="1" t="s">
        <v>235</v>
      </c>
      <c r="E1261" s="6">
        <v>400.33</v>
      </c>
      <c r="F1261" s="1" t="s">
        <v>40</v>
      </c>
      <c r="G1261" s="6">
        <f ca="1">IFERROR(__xludf.DUMMYFUNCTION("iferror(GOOGLEFINANCE(TRIM(F1261)&amp;"":"" &amp; TRIM(B1261), ""price""),0
)"),166.16)</f>
        <v>166.16</v>
      </c>
      <c r="H1261" s="6">
        <v>289.64999999999998</v>
      </c>
      <c r="I1261" s="6">
        <f t="shared" ca="1" si="0"/>
        <v>166.16</v>
      </c>
      <c r="J1261" s="6">
        <f ca="1">IFERROR(__xludf.DUMMYFUNCTION("IFERROR(GOOGLEFINANCE(B1261, ""volume""), 0)"),9673)</f>
        <v>9673</v>
      </c>
      <c r="K1261" s="6">
        <v>1.99</v>
      </c>
      <c r="L1261" s="6">
        <f ca="1">IFERROR(__xludf.DUMMYFUNCTION("IFERROR(GOOGLEFINANCE(B1261,""changepct""),K1261)"),-1.11)</f>
        <v>-1.1100000000000001</v>
      </c>
      <c r="M1261" s="6">
        <f ca="1">IFERROR(__xludf.DUMMYFUNCTION("IFERROR(GOOGLEFINANCE(B1261,""change""),0)"),-1.86)</f>
        <v>-1.86</v>
      </c>
      <c r="N1261" s="6">
        <v>1</v>
      </c>
      <c r="O1261" s="7">
        <v>45536</v>
      </c>
      <c r="P1261" s="6">
        <v>38.619999999999997</v>
      </c>
      <c r="Q1261" s="6">
        <v>420.02</v>
      </c>
      <c r="R1261" s="7">
        <v>45536</v>
      </c>
      <c r="S1261" s="6">
        <v>544.77</v>
      </c>
      <c r="T1261" s="6">
        <v>-0.87</v>
      </c>
      <c r="U1261" s="7">
        <v>45536</v>
      </c>
      <c r="V1261" s="6">
        <v>0</v>
      </c>
      <c r="W1261" s="6">
        <f ca="1">IFERROR(__xludf.DUMMYFUNCTION("IFERROR(GOOGLEFINANCE(B1261,""pe""),V1261)"),0)</f>
        <v>0</v>
      </c>
      <c r="X1261" s="6">
        <v>0</v>
      </c>
      <c r="Y1261" s="6">
        <v>34.729999999999997</v>
      </c>
      <c r="Z1261" s="6">
        <v>1</v>
      </c>
      <c r="AA1261" s="8">
        <v>45352</v>
      </c>
      <c r="AB1261" s="4">
        <v>1.91</v>
      </c>
      <c r="AC1261" s="6">
        <v>4.83</v>
      </c>
      <c r="AD1261" s="6">
        <v>53.26</v>
      </c>
      <c r="AE1261" s="1">
        <v>0</v>
      </c>
      <c r="AF1261" s="1">
        <f ca="1">IFERROR(__xludf.DUMMYFUNCTION("IFERROR(GOOGLEFINANCE(TRIM(F1261)&amp;"":"" &amp; TRIM(B1261),""high52""),AE1261)"),311.4)</f>
        <v>311.39999999999998</v>
      </c>
      <c r="AG1261" s="1">
        <v>0</v>
      </c>
      <c r="AH1261" s="1">
        <f ca="1">IFERROR(__xludf.DUMMYFUNCTION("IFERROR(GOOGLEFINANCE(TRIM(F1261)&amp;"":"" &amp; TRIM(B1261),""low52""),AE1261)"),161.1)</f>
        <v>161.1</v>
      </c>
      <c r="AI1261" s="1">
        <f ca="1">IFERROR(__xludf.DUMMYFUNCTION("IFERROR(GOOGLEFINANCE(B1261,""eps""),0)"),-4.6)</f>
        <v>-4.5999999999999996</v>
      </c>
      <c r="AJ1261" s="1"/>
      <c r="AK1261" s="1" t="s">
        <v>3817</v>
      </c>
      <c r="AL1261" s="1" t="b">
        <f t="shared" si="176"/>
        <v>1</v>
      </c>
    </row>
    <row r="1262" spans="1:38" ht="15" x14ac:dyDescent="0.25">
      <c r="A1262" s="1" t="s">
        <v>3818</v>
      </c>
      <c r="B1262" s="1" t="s">
        <v>3819</v>
      </c>
      <c r="C1262" s="1" t="s">
        <v>186</v>
      </c>
      <c r="D1262" s="1" t="s">
        <v>186</v>
      </c>
      <c r="E1262" s="6">
        <v>30.26</v>
      </c>
      <c r="F1262" s="1" t="s">
        <v>40</v>
      </c>
      <c r="G1262" s="6">
        <f ca="1">IFERROR(__xludf.DUMMYFUNCTION("iferror(GOOGLEFINANCE(TRIM(F1262)&amp;"":"" &amp; TRIM(B1262), ""price""),0
)"),11.65)</f>
        <v>11.65</v>
      </c>
      <c r="H1262" s="6">
        <v>28.15</v>
      </c>
      <c r="I1262" s="6">
        <f t="shared" ca="1" si="0"/>
        <v>11.65</v>
      </c>
      <c r="J1262" s="6">
        <f ca="1">IFERROR(__xludf.DUMMYFUNCTION("IFERROR(GOOGLEFINANCE(B1262, ""volume""), 0)"),2060)</f>
        <v>2060</v>
      </c>
      <c r="K1262" s="6">
        <v>0.36</v>
      </c>
      <c r="L1262" s="6">
        <f ca="1">IFERROR(__xludf.DUMMYFUNCTION("IFERROR(GOOGLEFINANCE(B1262,""changepct""),K1262)"),-2.1)</f>
        <v>-2.1</v>
      </c>
      <c r="M1262" s="6">
        <f ca="1">IFERROR(__xludf.DUMMYFUNCTION("IFERROR(GOOGLEFINANCE(B1262,""change""),0)"),-0.25)</f>
        <v>-0.25</v>
      </c>
      <c r="N1262" s="6">
        <v>1</v>
      </c>
      <c r="O1262" s="7">
        <v>45536</v>
      </c>
      <c r="P1262" s="6">
        <v>10.09</v>
      </c>
      <c r="Q1262" s="6">
        <v>33.24</v>
      </c>
      <c r="R1262" s="14"/>
      <c r="S1262" s="9"/>
      <c r="T1262" s="9"/>
      <c r="U1262" s="7">
        <v>45352</v>
      </c>
      <c r="V1262" s="6">
        <v>60.53</v>
      </c>
      <c r="W1262" s="6">
        <f ca="1">IFERROR(__xludf.DUMMYFUNCTION("IFERROR(GOOGLEFINANCE(B1262,""pe""),V1262)"),60.53)</f>
        <v>60.53</v>
      </c>
      <c r="X1262" s="12"/>
      <c r="Y1262" s="6">
        <v>2.44</v>
      </c>
      <c r="Z1262" s="6">
        <v>1</v>
      </c>
      <c r="AA1262" s="8">
        <v>45352</v>
      </c>
      <c r="AB1262" s="4">
        <v>0.81</v>
      </c>
      <c r="AC1262" s="6">
        <v>4.3499999999999996</v>
      </c>
      <c r="AD1262" s="6">
        <v>6.57</v>
      </c>
      <c r="AE1262" s="1">
        <v>0</v>
      </c>
      <c r="AF1262" s="1">
        <f ca="1">IFERROR(__xludf.DUMMYFUNCTION("IFERROR(GOOGLEFINANCE(TRIM(F1262)&amp;"":"" &amp; TRIM(B1262),""high52""),AE1262)"),26)</f>
        <v>26</v>
      </c>
      <c r="AG1262" s="1">
        <v>0</v>
      </c>
      <c r="AH1262" s="1">
        <f ca="1">IFERROR(__xludf.DUMMYFUNCTION("IFERROR(GOOGLEFINANCE(TRIM(F1262)&amp;"":"" &amp; TRIM(B1262),""low52""),AE1262)"),10.5)</f>
        <v>10.5</v>
      </c>
      <c r="AI1262" s="1">
        <f ca="1">IFERROR(__xludf.DUMMYFUNCTION("IFERROR(GOOGLEFINANCE(B1262,""eps""),0)"),-2.02)</f>
        <v>-2.02</v>
      </c>
      <c r="AJ1262" s="1"/>
      <c r="AK1262" s="9"/>
      <c r="AL1262" s="9">
        <f t="shared" ref="AL1262:AL1271" si="177">IF(AA1262&lt;&gt;AB1262,1,0)</f>
        <v>1</v>
      </c>
    </row>
    <row r="1263" spans="1:38" ht="15" x14ac:dyDescent="0.25">
      <c r="A1263" s="1" t="s">
        <v>3820</v>
      </c>
      <c r="B1263" s="1" t="s">
        <v>3821</v>
      </c>
      <c r="C1263" s="1" t="s">
        <v>525</v>
      </c>
      <c r="D1263" s="1" t="s">
        <v>525</v>
      </c>
      <c r="E1263" s="6">
        <v>206</v>
      </c>
      <c r="F1263" s="1" t="s">
        <v>53</v>
      </c>
      <c r="G1263" s="6">
        <f ca="1">IFERROR(__xludf.DUMMYFUNCTION("iferror(GOOGLEFINANCE(TRIM(F1263)&amp;"":"" &amp; TRIM(B1263), ""price""),0
)"),0)</f>
        <v>0</v>
      </c>
      <c r="H1263" s="6">
        <v>139</v>
      </c>
      <c r="I1263" s="6">
        <f t="shared" ca="1" si="0"/>
        <v>139</v>
      </c>
      <c r="J1263" s="6">
        <f ca="1">IFERROR(__xludf.DUMMYFUNCTION("IFERROR(GOOGLEFINANCE(B1263, ""volume""), 0)"),0)</f>
        <v>0</v>
      </c>
      <c r="K1263" s="6">
        <v>3.31</v>
      </c>
      <c r="L1263" s="6">
        <f ca="1">IFERROR(__xludf.DUMMYFUNCTION("IFERROR(GOOGLEFINANCE(B1263,""changepct""),K1263)"),3.31)</f>
        <v>3.31</v>
      </c>
      <c r="M1263" s="6">
        <f ca="1">IFERROR(__xludf.DUMMYFUNCTION("IFERROR(GOOGLEFINANCE(B1263,""change""),0)"),0)</f>
        <v>0</v>
      </c>
      <c r="N1263" s="6">
        <v>1</v>
      </c>
      <c r="O1263" s="7">
        <v>45536</v>
      </c>
      <c r="P1263" s="6">
        <v>10.02</v>
      </c>
      <c r="Q1263" s="6">
        <v>214.73</v>
      </c>
      <c r="R1263" s="7">
        <v>45536</v>
      </c>
      <c r="S1263" s="6">
        <v>34.81</v>
      </c>
      <c r="T1263" s="6">
        <v>3.36</v>
      </c>
      <c r="U1263" s="7">
        <v>45536</v>
      </c>
      <c r="V1263" s="6">
        <v>61.24</v>
      </c>
      <c r="W1263" s="6">
        <f ca="1">IFERROR(__xludf.DUMMYFUNCTION("IFERROR(GOOGLEFINANCE(B1263,""pe""),V1263)"),61.24)</f>
        <v>61.24</v>
      </c>
      <c r="X1263" s="6">
        <v>0.77</v>
      </c>
      <c r="Y1263" s="6">
        <v>9.69</v>
      </c>
      <c r="Z1263" s="6">
        <v>1</v>
      </c>
      <c r="AA1263" s="8">
        <v>45352</v>
      </c>
      <c r="AB1263" s="4">
        <v>0.46</v>
      </c>
      <c r="AC1263" s="6">
        <v>21.38</v>
      </c>
      <c r="AD1263" s="6">
        <v>15.94</v>
      </c>
      <c r="AE1263" s="1">
        <v>0</v>
      </c>
      <c r="AF1263" s="1">
        <f ca="1">IFERROR(__xludf.DUMMYFUNCTION("IFERROR(GOOGLEFINANCE(TRIM(F1263)&amp;"":"" &amp; TRIM(B1263),""high52""),AE1263)"),0)</f>
        <v>0</v>
      </c>
      <c r="AG1263" s="1">
        <v>0</v>
      </c>
      <c r="AH1263" s="1">
        <f ca="1">IFERROR(__xludf.DUMMYFUNCTION("IFERROR(GOOGLEFINANCE(TRIM(F1263)&amp;"":"" &amp; TRIM(B1263),""low52""),AE1263)"),0)</f>
        <v>0</v>
      </c>
      <c r="AI1263" s="1">
        <f ca="1">IFERROR(__xludf.DUMMYFUNCTION("IFERROR(GOOGLEFINANCE(B1263,""eps""),0)"),0)</f>
        <v>0</v>
      </c>
      <c r="AJ1263" s="1"/>
      <c r="AK1263" s="1" t="s">
        <v>3822</v>
      </c>
      <c r="AL1263" s="9">
        <f t="shared" si="177"/>
        <v>1</v>
      </c>
    </row>
    <row r="1264" spans="1:38" ht="15" x14ac:dyDescent="0.25">
      <c r="A1264" s="1" t="s">
        <v>3823</v>
      </c>
      <c r="B1264" s="1" t="s">
        <v>3824</v>
      </c>
      <c r="C1264" s="1" t="s">
        <v>259</v>
      </c>
      <c r="D1264" s="1" t="s">
        <v>259</v>
      </c>
      <c r="E1264" s="6">
        <v>251.44</v>
      </c>
      <c r="F1264" s="1" t="s">
        <v>40</v>
      </c>
      <c r="G1264" s="6">
        <f ca="1">IFERROR(__xludf.DUMMYFUNCTION("iferror(GOOGLEFINANCE(TRIM(F1264)&amp;"":"" &amp; TRIM(B1264), ""price""),0
)"),0)</f>
        <v>0</v>
      </c>
      <c r="H1264" s="6">
        <v>100.9</v>
      </c>
      <c r="I1264" s="6">
        <f t="shared" ca="1" si="0"/>
        <v>100.9</v>
      </c>
      <c r="J1264" s="6">
        <f ca="1">IFERROR(__xludf.DUMMYFUNCTION("IFERROR(GOOGLEFINANCE(B1264, ""volume""), 0)"),0)</f>
        <v>0</v>
      </c>
      <c r="K1264" s="6">
        <v>0</v>
      </c>
      <c r="L1264" s="6">
        <f ca="1">IFERROR(__xludf.DUMMYFUNCTION("IFERROR(GOOGLEFINANCE(B1264,""changepct""),K1264)"),0)</f>
        <v>0</v>
      </c>
      <c r="M1264" s="6">
        <f ca="1">IFERROR(__xludf.DUMMYFUNCTION("IFERROR(GOOGLEFINANCE(B1264,""change""),0)"),0)</f>
        <v>0</v>
      </c>
      <c r="N1264" s="6">
        <v>1</v>
      </c>
      <c r="O1264" s="7">
        <v>45536</v>
      </c>
      <c r="P1264" s="6">
        <v>24.62</v>
      </c>
      <c r="Q1264" s="6">
        <v>276.05</v>
      </c>
      <c r="R1264" s="7">
        <v>45352</v>
      </c>
      <c r="S1264" s="6">
        <v>114.5</v>
      </c>
      <c r="T1264" s="6">
        <v>2.4700000000000002</v>
      </c>
      <c r="U1264" s="7">
        <v>45352</v>
      </c>
      <c r="V1264" s="6">
        <v>101.71</v>
      </c>
      <c r="W1264" s="6">
        <f ca="1">IFERROR(__xludf.DUMMYFUNCTION("IFERROR(GOOGLEFINANCE(B1264,""pe""),V1264)"),101.71)</f>
        <v>101.71</v>
      </c>
      <c r="X1264" s="6">
        <v>10.37</v>
      </c>
      <c r="Y1264" s="6">
        <v>4.66</v>
      </c>
      <c r="Z1264" s="6">
        <v>2</v>
      </c>
      <c r="AA1264" s="8">
        <v>45352</v>
      </c>
      <c r="AB1264" s="4">
        <v>0.38</v>
      </c>
      <c r="AC1264" s="6">
        <v>6.21</v>
      </c>
      <c r="AD1264" s="6">
        <v>8.75</v>
      </c>
      <c r="AE1264" s="1">
        <v>0</v>
      </c>
      <c r="AF1264" s="1">
        <f ca="1">IFERROR(__xludf.DUMMYFUNCTION("IFERROR(GOOGLEFINANCE(TRIM(F1264)&amp;"":"" &amp; TRIM(B1264),""high52""),AE1264)"),0)</f>
        <v>0</v>
      </c>
      <c r="AG1264" s="1">
        <v>0</v>
      </c>
      <c r="AH1264" s="1">
        <f ca="1">IFERROR(__xludf.DUMMYFUNCTION("IFERROR(GOOGLEFINANCE(TRIM(F1264)&amp;"":"" &amp; TRIM(B1264),""low52""),AE1264)"),0)</f>
        <v>0</v>
      </c>
      <c r="AI1264" s="1">
        <f ca="1">IFERROR(__xludf.DUMMYFUNCTION("IFERROR(GOOGLEFINANCE(B1264,""eps""),0)"),0)</f>
        <v>0</v>
      </c>
      <c r="AJ1264" s="1"/>
      <c r="AK1264" s="1" t="s">
        <v>3825</v>
      </c>
      <c r="AL1264" s="9">
        <f t="shared" si="177"/>
        <v>1</v>
      </c>
    </row>
    <row r="1265" spans="1:38" ht="15" x14ac:dyDescent="0.25">
      <c r="A1265" s="1" t="s">
        <v>3826</v>
      </c>
      <c r="B1265" s="1" t="s">
        <v>3827</v>
      </c>
      <c r="C1265" s="1" t="s">
        <v>186</v>
      </c>
      <c r="D1265" s="1" t="s">
        <v>186</v>
      </c>
      <c r="E1265" s="6">
        <v>165.45</v>
      </c>
      <c r="F1265" s="1" t="s">
        <v>40</v>
      </c>
      <c r="G1265" s="6">
        <f ca="1">IFERROR(__xludf.DUMMYFUNCTION("iferror(GOOGLEFINANCE(TRIM(F1265)&amp;"":"" &amp; TRIM(B1265), ""price""),0
)"),2.6)</f>
        <v>2.6</v>
      </c>
      <c r="H1265" s="6">
        <v>5.52</v>
      </c>
      <c r="I1265" s="6">
        <f t="shared" ca="1" si="0"/>
        <v>2.6</v>
      </c>
      <c r="J1265" s="6">
        <f ca="1">IFERROR(__xludf.DUMMYFUNCTION("IFERROR(GOOGLEFINANCE(B1265, ""volume""), 0)"),0)</f>
        <v>0</v>
      </c>
      <c r="K1265" s="6">
        <v>0.18</v>
      </c>
      <c r="L1265" s="6">
        <f ca="1">IFERROR(__xludf.DUMMYFUNCTION("IFERROR(GOOGLEFINANCE(B1265,""changepct""),K1265)"),2.3)</f>
        <v>2.2999999999999998</v>
      </c>
      <c r="M1265" s="6">
        <f ca="1">IFERROR(__xludf.DUMMYFUNCTION("IFERROR(GOOGLEFINANCE(B1265,""change""),0)"),0.65)</f>
        <v>0.65</v>
      </c>
      <c r="N1265" s="6">
        <v>1</v>
      </c>
      <c r="O1265" s="7">
        <v>45536</v>
      </c>
      <c r="P1265" s="6">
        <v>109.93</v>
      </c>
      <c r="Q1265" s="6">
        <v>275.38</v>
      </c>
      <c r="R1265" s="15">
        <v>45536</v>
      </c>
      <c r="S1265" s="6">
        <v>447.76</v>
      </c>
      <c r="T1265" s="6">
        <v>7.88</v>
      </c>
      <c r="U1265" s="15">
        <v>45536</v>
      </c>
      <c r="V1265" s="6">
        <v>20.99</v>
      </c>
      <c r="W1265" s="6">
        <f ca="1">IFERROR(__xludf.DUMMYFUNCTION("IFERROR(GOOGLEFINANCE(B1265,""pe""),V1265)"),20.99)</f>
        <v>20.99</v>
      </c>
      <c r="X1265" s="6">
        <v>2.34</v>
      </c>
      <c r="Y1265" s="6">
        <v>1.52</v>
      </c>
      <c r="Z1265" s="6">
        <v>1</v>
      </c>
      <c r="AA1265" s="8">
        <v>45352</v>
      </c>
      <c r="AB1265" s="4">
        <v>0.61</v>
      </c>
      <c r="AC1265" s="6">
        <v>7.27</v>
      </c>
      <c r="AD1265" s="6">
        <v>12.27</v>
      </c>
      <c r="AE1265" s="1">
        <v>0</v>
      </c>
      <c r="AF1265" s="1">
        <f ca="1">IFERROR(__xludf.DUMMYFUNCTION("IFERROR(GOOGLEFINANCE(TRIM(F1265)&amp;"":"" &amp; TRIM(B1265),""high52""),AE1265)"),4.22)</f>
        <v>4.22</v>
      </c>
      <c r="AG1265" s="1">
        <v>0</v>
      </c>
      <c r="AH1265" s="1">
        <f ca="1">IFERROR(__xludf.DUMMYFUNCTION("IFERROR(GOOGLEFINANCE(TRIM(F1265)&amp;"":"" &amp; TRIM(B1265),""low52""),AE1265)"),2.02)</f>
        <v>2.02</v>
      </c>
      <c r="AI1265" s="1">
        <f ca="1">IFERROR(__xludf.DUMMYFUNCTION("IFERROR(GOOGLEFINANCE(B1265,""eps""),0)"),0)</f>
        <v>0</v>
      </c>
      <c r="AJ1265" s="1"/>
      <c r="AK1265" s="1" t="s">
        <v>3828</v>
      </c>
      <c r="AL1265" s="9">
        <f t="shared" si="177"/>
        <v>1</v>
      </c>
    </row>
    <row r="1266" spans="1:38" ht="15" x14ac:dyDescent="0.25">
      <c r="A1266" s="1" t="s">
        <v>3829</v>
      </c>
      <c r="B1266" s="1" t="s">
        <v>3830</v>
      </c>
      <c r="C1266" s="1" t="s">
        <v>525</v>
      </c>
      <c r="D1266" s="1" t="s">
        <v>525</v>
      </c>
      <c r="E1266" s="6">
        <v>7.89</v>
      </c>
      <c r="F1266" s="1" t="s">
        <v>53</v>
      </c>
      <c r="G1266" s="6">
        <f ca="1">IFERROR(__xludf.DUMMYFUNCTION("iferror(GOOGLEFINANCE(TRIM(F1266)&amp;"":"" &amp; TRIM(B1266), ""price""),0
)"),0)</f>
        <v>0</v>
      </c>
      <c r="H1266" s="6">
        <v>12.5</v>
      </c>
      <c r="I1266" s="6">
        <f t="shared" ca="1" si="0"/>
        <v>12.5</v>
      </c>
      <c r="J1266" s="6">
        <f ca="1">IFERROR(__xludf.DUMMYFUNCTION("IFERROR(GOOGLEFINANCE(B1266, ""volume""), 0)"),0)</f>
        <v>0</v>
      </c>
      <c r="K1266" s="6">
        <v>-2.57</v>
      </c>
      <c r="L1266" s="6">
        <f ca="1">IFERROR(__xludf.DUMMYFUNCTION("IFERROR(GOOGLEFINANCE(B1266,""changepct""),K1266)"),-2.57)</f>
        <v>-2.57</v>
      </c>
      <c r="M1266" s="6">
        <f ca="1">IFERROR(__xludf.DUMMYFUNCTION("IFERROR(GOOGLEFINANCE(B1266,""change""),0)"),0)</f>
        <v>0</v>
      </c>
      <c r="N1266" s="6">
        <v>1</v>
      </c>
      <c r="O1266" s="7">
        <v>45536</v>
      </c>
      <c r="P1266" s="12"/>
      <c r="Q1266" s="6">
        <v>7.89</v>
      </c>
      <c r="R1266" s="7">
        <v>45536</v>
      </c>
      <c r="S1266" s="6">
        <v>0</v>
      </c>
      <c r="T1266" s="6">
        <v>0.02</v>
      </c>
      <c r="U1266" s="7">
        <v>45536</v>
      </c>
      <c r="V1266" s="6">
        <v>394.28</v>
      </c>
      <c r="W1266" s="6">
        <f ca="1">IFERROR(__xludf.DUMMYFUNCTION("IFERROR(GOOGLEFINANCE(B1266,""pe""),V1266)"),394.28)</f>
        <v>394.28</v>
      </c>
      <c r="X1266" s="6">
        <v>41.68</v>
      </c>
      <c r="Y1266" s="6">
        <v>3.74</v>
      </c>
      <c r="Z1266" s="6">
        <v>1</v>
      </c>
      <c r="AA1266" s="8">
        <v>45352</v>
      </c>
      <c r="AB1266" s="4">
        <v>0</v>
      </c>
      <c r="AC1266" s="6">
        <v>-13.93</v>
      </c>
      <c r="AD1266" s="6">
        <v>-7.72</v>
      </c>
      <c r="AE1266" s="1">
        <v>0</v>
      </c>
      <c r="AF1266" s="1">
        <f ca="1">IFERROR(__xludf.DUMMYFUNCTION("IFERROR(GOOGLEFINANCE(TRIM(F1266)&amp;"":"" &amp; TRIM(B1266),""high52""),AE1266)"),0)</f>
        <v>0</v>
      </c>
      <c r="AG1266" s="1">
        <v>0</v>
      </c>
      <c r="AH1266" s="1">
        <f ca="1">IFERROR(__xludf.DUMMYFUNCTION("IFERROR(GOOGLEFINANCE(TRIM(F1266)&amp;"":"" &amp; TRIM(B1266),""low52""),AE1266)"),0)</f>
        <v>0</v>
      </c>
      <c r="AI1266" s="1">
        <f ca="1">IFERROR(__xludf.DUMMYFUNCTION("IFERROR(GOOGLEFINANCE(B1266,""eps""),0)"),0)</f>
        <v>0</v>
      </c>
      <c r="AJ1266" s="1"/>
      <c r="AK1266" s="1" t="s">
        <v>3831</v>
      </c>
      <c r="AL1266" s="9">
        <f t="shared" si="177"/>
        <v>1</v>
      </c>
    </row>
    <row r="1267" spans="1:38" ht="15" x14ac:dyDescent="0.25">
      <c r="A1267" s="1" t="s">
        <v>3832</v>
      </c>
      <c r="B1267" s="1" t="s">
        <v>3833</v>
      </c>
      <c r="C1267" s="1" t="s">
        <v>525</v>
      </c>
      <c r="D1267" s="1" t="s">
        <v>525</v>
      </c>
      <c r="E1267" s="6">
        <v>441.02</v>
      </c>
      <c r="F1267" s="1" t="s">
        <v>53</v>
      </c>
      <c r="G1267" s="6">
        <f ca="1">IFERROR(__xludf.DUMMYFUNCTION("iferror(GOOGLEFINANCE(TRIM(F1267)&amp;"":"" &amp; TRIM(B1267), ""price""),0
)"),0)</f>
        <v>0</v>
      </c>
      <c r="H1267" s="6">
        <v>382.95</v>
      </c>
      <c r="I1267" s="6">
        <f t="shared" ca="1" si="0"/>
        <v>382.95</v>
      </c>
      <c r="J1267" s="6">
        <f ca="1">IFERROR(__xludf.DUMMYFUNCTION("IFERROR(GOOGLEFINANCE(B1267, ""volume""), 0)"),0)</f>
        <v>0</v>
      </c>
      <c r="K1267" s="6">
        <v>4.46</v>
      </c>
      <c r="L1267" s="6">
        <f ca="1">IFERROR(__xludf.DUMMYFUNCTION("IFERROR(GOOGLEFINANCE(B1267,""changepct""),K1267)"),4.46)</f>
        <v>4.46</v>
      </c>
      <c r="M1267" s="6">
        <f ca="1">IFERROR(__xludf.DUMMYFUNCTION("IFERROR(GOOGLEFINANCE(B1267,""change""),0)"),0)</f>
        <v>0</v>
      </c>
      <c r="N1267" s="6">
        <v>1</v>
      </c>
      <c r="O1267" s="7">
        <v>45536</v>
      </c>
      <c r="P1267" s="6">
        <v>72.72</v>
      </c>
      <c r="Q1267" s="6">
        <v>509.52</v>
      </c>
      <c r="R1267" s="7">
        <v>45536</v>
      </c>
      <c r="S1267" s="6">
        <v>90.59</v>
      </c>
      <c r="T1267" s="6">
        <v>-5.57</v>
      </c>
      <c r="U1267" s="7">
        <v>45536</v>
      </c>
      <c r="V1267" s="6">
        <v>0</v>
      </c>
      <c r="W1267" s="6">
        <f ca="1">IFERROR(__xludf.DUMMYFUNCTION("IFERROR(GOOGLEFINANCE(B1267,""pe""),V1267)"),0)</f>
        <v>0</v>
      </c>
      <c r="X1267" s="6">
        <v>0</v>
      </c>
      <c r="Y1267" s="6">
        <v>16.55</v>
      </c>
      <c r="Z1267" s="6">
        <v>1</v>
      </c>
      <c r="AA1267" s="8">
        <v>45352</v>
      </c>
      <c r="AB1267" s="4">
        <v>2.25</v>
      </c>
      <c r="AC1267" s="6">
        <v>-6.33</v>
      </c>
      <c r="AD1267" s="6">
        <v>4.8099999999999996</v>
      </c>
      <c r="AE1267" s="1">
        <v>0</v>
      </c>
      <c r="AF1267" s="1">
        <f ca="1">IFERROR(__xludf.DUMMYFUNCTION("IFERROR(GOOGLEFINANCE(TRIM(F1267)&amp;"":"" &amp; TRIM(B1267),""high52""),AE1267)"),0)</f>
        <v>0</v>
      </c>
      <c r="AG1267" s="1">
        <v>0</v>
      </c>
      <c r="AH1267" s="1">
        <f ca="1">IFERROR(__xludf.DUMMYFUNCTION("IFERROR(GOOGLEFINANCE(TRIM(F1267)&amp;"":"" &amp; TRIM(B1267),""low52""),AE1267)"),0)</f>
        <v>0</v>
      </c>
      <c r="AI1267" s="1">
        <f ca="1">IFERROR(__xludf.DUMMYFUNCTION("IFERROR(GOOGLEFINANCE(B1267,""eps""),0)"),0)</f>
        <v>0</v>
      </c>
      <c r="AJ1267" s="1"/>
      <c r="AK1267" s="9"/>
      <c r="AL1267" s="9">
        <f t="shared" si="177"/>
        <v>1</v>
      </c>
    </row>
    <row r="1268" spans="1:38" ht="15" x14ac:dyDescent="0.25">
      <c r="A1268" s="1" t="s">
        <v>3834</v>
      </c>
      <c r="B1268" s="1" t="s">
        <v>3835</v>
      </c>
      <c r="C1268" s="1" t="s">
        <v>57</v>
      </c>
      <c r="D1268" s="1" t="s">
        <v>57</v>
      </c>
      <c r="E1268" s="6">
        <v>53.24</v>
      </c>
      <c r="F1268" s="1" t="s">
        <v>40</v>
      </c>
      <c r="G1268" s="6">
        <f ca="1">IFERROR(__xludf.DUMMYFUNCTION("iferror(GOOGLEFINANCE(TRIM(F1268)&amp;"":"" &amp; TRIM(B1268), ""price""),0
)"),0)</f>
        <v>0</v>
      </c>
      <c r="H1268" s="6">
        <v>35.049999999999997</v>
      </c>
      <c r="I1268" s="6">
        <f t="shared" ca="1" si="0"/>
        <v>35.049999999999997</v>
      </c>
      <c r="J1268" s="6">
        <f ca="1">IFERROR(__xludf.DUMMYFUNCTION("IFERROR(GOOGLEFINANCE(B1268, ""volume""), 0)"),0)</f>
        <v>0</v>
      </c>
      <c r="K1268" s="6">
        <v>4.9400000000000004</v>
      </c>
      <c r="L1268" s="6">
        <f ca="1">IFERROR(__xludf.DUMMYFUNCTION("IFERROR(GOOGLEFINANCE(B1268,""changepct""),K1268)"),4.94)</f>
        <v>4.9400000000000004</v>
      </c>
      <c r="M1268" s="6">
        <f ca="1">IFERROR(__xludf.DUMMYFUNCTION("IFERROR(GOOGLEFINANCE(B1268,""change""),0)"),0)</f>
        <v>0</v>
      </c>
      <c r="N1268" s="6">
        <v>1</v>
      </c>
      <c r="O1268" s="7">
        <v>45536</v>
      </c>
      <c r="P1268" s="6">
        <v>7</v>
      </c>
      <c r="Q1268" s="6">
        <v>60.23</v>
      </c>
      <c r="R1268" s="7">
        <v>45352</v>
      </c>
      <c r="S1268" s="6">
        <v>23.88</v>
      </c>
      <c r="T1268" s="6">
        <v>1.01</v>
      </c>
      <c r="U1268" s="7">
        <v>45352</v>
      </c>
      <c r="V1268" s="6">
        <v>52.61</v>
      </c>
      <c r="W1268" s="6">
        <f ca="1">IFERROR(__xludf.DUMMYFUNCTION("IFERROR(GOOGLEFINANCE(B1268,""pe""),V1268)"),52.61)</f>
        <v>52.61</v>
      </c>
      <c r="X1268" s="9"/>
      <c r="Y1268" s="6">
        <v>1.1000000000000001</v>
      </c>
      <c r="Z1268" s="6">
        <v>1</v>
      </c>
      <c r="AA1268" s="8">
        <v>45352</v>
      </c>
      <c r="AB1268" s="4">
        <v>0.44</v>
      </c>
      <c r="AC1268" s="6">
        <v>4.9000000000000004</v>
      </c>
      <c r="AD1268" s="6">
        <v>8.6300000000000008</v>
      </c>
      <c r="AE1268" s="1">
        <v>0</v>
      </c>
      <c r="AF1268" s="1">
        <f ca="1">IFERROR(__xludf.DUMMYFUNCTION("IFERROR(GOOGLEFINANCE(TRIM(F1268)&amp;"":"" &amp; TRIM(B1268),""high52""),AE1268)"),0)</f>
        <v>0</v>
      </c>
      <c r="AG1268" s="1">
        <v>0</v>
      </c>
      <c r="AH1268" s="1">
        <f ca="1">IFERROR(__xludf.DUMMYFUNCTION("IFERROR(GOOGLEFINANCE(TRIM(F1268)&amp;"":"" &amp; TRIM(B1268),""low52""),AE1268)"),0)</f>
        <v>0</v>
      </c>
      <c r="AI1268" s="1">
        <f ca="1">IFERROR(__xludf.DUMMYFUNCTION("IFERROR(GOOGLEFINANCE(B1268,""eps""),0)"),0)</f>
        <v>0</v>
      </c>
      <c r="AJ1268" s="1"/>
      <c r="AK1268" s="1" t="s">
        <v>3836</v>
      </c>
      <c r="AL1268" s="9">
        <f t="shared" si="177"/>
        <v>1</v>
      </c>
    </row>
    <row r="1269" spans="1:38" ht="15" x14ac:dyDescent="0.25">
      <c r="A1269" s="1" t="s">
        <v>3837</v>
      </c>
      <c r="B1269" s="1" t="s">
        <v>3838</v>
      </c>
      <c r="C1269" s="1" t="s">
        <v>525</v>
      </c>
      <c r="D1269" s="1" t="s">
        <v>525</v>
      </c>
      <c r="E1269" s="6">
        <v>175.3</v>
      </c>
      <c r="F1269" s="1" t="s">
        <v>53</v>
      </c>
      <c r="G1269" s="6">
        <f ca="1">IFERROR(__xludf.DUMMYFUNCTION("iferror(GOOGLEFINANCE(TRIM(F1269)&amp;"":"" &amp; TRIM(B1269), ""price""),0
)"),0)</f>
        <v>0</v>
      </c>
      <c r="H1269" s="6">
        <v>59.93</v>
      </c>
      <c r="I1269" s="6">
        <f t="shared" ca="1" si="0"/>
        <v>59.93</v>
      </c>
      <c r="J1269" s="6">
        <f ca="1">IFERROR(__xludf.DUMMYFUNCTION("IFERROR(GOOGLEFINANCE(B1269, ""volume""), 0)"),0)</f>
        <v>0</v>
      </c>
      <c r="K1269" s="6">
        <v>-0.12</v>
      </c>
      <c r="L1269" s="6">
        <f ca="1">IFERROR(__xludf.DUMMYFUNCTION("IFERROR(GOOGLEFINANCE(B1269,""changepct""),K1269)"),-0.12)</f>
        <v>-0.12</v>
      </c>
      <c r="M1269" s="6">
        <f ca="1">IFERROR(__xludf.DUMMYFUNCTION("IFERROR(GOOGLEFINANCE(B1269,""change""),0)"),0)</f>
        <v>0</v>
      </c>
      <c r="N1269" s="6">
        <v>2</v>
      </c>
      <c r="O1269" s="7">
        <v>45536</v>
      </c>
      <c r="P1269" s="9"/>
      <c r="Q1269" s="6">
        <v>175.3</v>
      </c>
      <c r="R1269" s="7">
        <v>45536</v>
      </c>
      <c r="S1269" s="6">
        <v>94.27</v>
      </c>
      <c r="T1269" s="6">
        <v>8.82</v>
      </c>
      <c r="U1269" s="7">
        <v>45536</v>
      </c>
      <c r="V1269" s="6">
        <v>19.88</v>
      </c>
      <c r="W1269" s="6">
        <f ca="1">IFERROR(__xludf.DUMMYFUNCTION("IFERROR(GOOGLEFINANCE(B1269,""pe""),V1269)"),19.88)</f>
        <v>19.88</v>
      </c>
      <c r="X1269" s="12"/>
      <c r="Y1269" s="6">
        <v>1.45</v>
      </c>
      <c r="Z1269" s="6">
        <v>2</v>
      </c>
      <c r="AA1269" s="17">
        <v>45352</v>
      </c>
      <c r="AB1269" s="18">
        <v>0</v>
      </c>
      <c r="AC1269" s="6">
        <v>15.43</v>
      </c>
      <c r="AD1269" s="6">
        <v>23.78</v>
      </c>
      <c r="AE1269" s="1">
        <v>0</v>
      </c>
      <c r="AF1269" s="1">
        <f ca="1">IFERROR(__xludf.DUMMYFUNCTION("IFERROR(GOOGLEFINANCE(TRIM(F1269)&amp;"":"" &amp; TRIM(B1269),""high52""),AE1269)"),0)</f>
        <v>0</v>
      </c>
      <c r="AG1269" s="1">
        <v>0</v>
      </c>
      <c r="AH1269" s="1">
        <f ca="1">IFERROR(__xludf.DUMMYFUNCTION("IFERROR(GOOGLEFINANCE(TRIM(F1269)&amp;"":"" &amp; TRIM(B1269),""low52""),AE1269)"),0)</f>
        <v>0</v>
      </c>
      <c r="AI1269" s="1">
        <f ca="1">IFERROR(__xludf.DUMMYFUNCTION("IFERROR(GOOGLEFINANCE(B1269,""eps""),0)"),0)</f>
        <v>0</v>
      </c>
      <c r="AJ1269" s="1"/>
      <c r="AK1269" s="1" t="s">
        <v>3839</v>
      </c>
      <c r="AL1269" s="9">
        <f t="shared" si="177"/>
        <v>1</v>
      </c>
    </row>
    <row r="1270" spans="1:38" ht="15" x14ac:dyDescent="0.25">
      <c r="A1270" s="1" t="s">
        <v>3840</v>
      </c>
      <c r="B1270" s="1" t="s">
        <v>3841</v>
      </c>
      <c r="C1270" s="1" t="s">
        <v>525</v>
      </c>
      <c r="D1270" s="1" t="s">
        <v>525</v>
      </c>
      <c r="E1270" s="6">
        <v>84.24</v>
      </c>
      <c r="F1270" s="1" t="s">
        <v>53</v>
      </c>
      <c r="G1270" s="6">
        <f ca="1">IFERROR(__xludf.DUMMYFUNCTION("iferror(GOOGLEFINANCE(TRIM(F1270)&amp;"":"" &amp; TRIM(B1270), ""price""),0
)"),0)</f>
        <v>0</v>
      </c>
      <c r="H1270" s="6">
        <v>96.3</v>
      </c>
      <c r="I1270" s="6">
        <f t="shared" ca="1" si="0"/>
        <v>96.3</v>
      </c>
      <c r="J1270" s="6">
        <f ca="1">IFERROR(__xludf.DUMMYFUNCTION("IFERROR(GOOGLEFINANCE(B1270, ""volume""), 0)"),0)</f>
        <v>0</v>
      </c>
      <c r="K1270" s="6">
        <v>-2.2599999999999998</v>
      </c>
      <c r="L1270" s="6">
        <f ca="1">IFERROR(__xludf.DUMMYFUNCTION("IFERROR(GOOGLEFINANCE(B1270,""changepct""),K1270)"),-2.26)</f>
        <v>-2.2599999999999998</v>
      </c>
      <c r="M1270" s="6">
        <f ca="1">IFERROR(__xludf.DUMMYFUNCTION("IFERROR(GOOGLEFINANCE(B1270,""change""),0)"),0)</f>
        <v>0</v>
      </c>
      <c r="N1270" s="6">
        <v>1</v>
      </c>
      <c r="O1270" s="7">
        <v>45536</v>
      </c>
      <c r="P1270" s="6">
        <v>9.82</v>
      </c>
      <c r="Q1270" s="6">
        <v>92.81</v>
      </c>
      <c r="R1270" s="7">
        <v>45536</v>
      </c>
      <c r="S1270" s="6">
        <v>17.63</v>
      </c>
      <c r="T1270" s="6">
        <v>2.1800000000000002</v>
      </c>
      <c r="U1270" s="7">
        <v>45536</v>
      </c>
      <c r="V1270" s="6">
        <v>38.61</v>
      </c>
      <c r="W1270" s="6">
        <f ca="1">IFERROR(__xludf.DUMMYFUNCTION("IFERROR(GOOGLEFINANCE(B1270,""pe""),V1270)"),38.61)</f>
        <v>38.61</v>
      </c>
      <c r="X1270" s="6">
        <v>-2.29</v>
      </c>
      <c r="Y1270" s="6">
        <v>8.17</v>
      </c>
      <c r="Z1270" s="6">
        <v>1</v>
      </c>
      <c r="AA1270" s="8">
        <v>45352</v>
      </c>
      <c r="AB1270" s="4">
        <v>1.06</v>
      </c>
      <c r="AC1270" s="6">
        <v>26.32</v>
      </c>
      <c r="AD1270" s="6">
        <v>14.32</v>
      </c>
      <c r="AE1270" s="1">
        <v>0</v>
      </c>
      <c r="AF1270" s="1">
        <f ca="1">IFERROR(__xludf.DUMMYFUNCTION("IFERROR(GOOGLEFINANCE(TRIM(F1270)&amp;"":"" &amp; TRIM(B1270),""high52""),AE1270)"),0)</f>
        <v>0</v>
      </c>
      <c r="AG1270" s="1">
        <v>0</v>
      </c>
      <c r="AH1270" s="1">
        <f ca="1">IFERROR(__xludf.DUMMYFUNCTION("IFERROR(GOOGLEFINANCE(TRIM(F1270)&amp;"":"" &amp; TRIM(B1270),""low52""),AE1270)"),0)</f>
        <v>0</v>
      </c>
      <c r="AI1270" s="1">
        <f ca="1">IFERROR(__xludf.DUMMYFUNCTION("IFERROR(GOOGLEFINANCE(B1270,""eps""),0)"),0)</f>
        <v>0</v>
      </c>
      <c r="AJ1270" s="1"/>
      <c r="AK1270" s="1" t="s">
        <v>3842</v>
      </c>
      <c r="AL1270" s="9">
        <f t="shared" si="177"/>
        <v>1</v>
      </c>
    </row>
    <row r="1271" spans="1:38" ht="15" x14ac:dyDescent="0.25">
      <c r="A1271" s="1" t="s">
        <v>3843</v>
      </c>
      <c r="B1271" s="1" t="s">
        <v>3844</v>
      </c>
      <c r="C1271" s="1" t="s">
        <v>525</v>
      </c>
      <c r="D1271" s="1" t="s">
        <v>525</v>
      </c>
      <c r="E1271" s="6">
        <v>367.94</v>
      </c>
      <c r="F1271" s="1" t="s">
        <v>53</v>
      </c>
      <c r="G1271" s="6">
        <f ca="1">IFERROR(__xludf.DUMMYFUNCTION("iferror(GOOGLEFINANCE(TRIM(F1271)&amp;"":"" &amp; TRIM(B1271), ""price""),0
)"),0)</f>
        <v>0</v>
      </c>
      <c r="H1271" s="6">
        <v>2565.0500000000002</v>
      </c>
      <c r="I1271" s="6">
        <f t="shared" ca="1" si="0"/>
        <v>2565.0500000000002</v>
      </c>
      <c r="J1271" s="6">
        <f ca="1">IFERROR(__xludf.DUMMYFUNCTION("IFERROR(GOOGLEFINANCE(B1271, ""volume""), 0)"),0)</f>
        <v>0</v>
      </c>
      <c r="K1271" s="6">
        <v>0.59</v>
      </c>
      <c r="L1271" s="6">
        <f ca="1">IFERROR(__xludf.DUMMYFUNCTION("IFERROR(GOOGLEFINANCE(B1271,""changepct""),K1271)"),0.59)</f>
        <v>0.59</v>
      </c>
      <c r="M1271" s="6">
        <f ca="1">IFERROR(__xludf.DUMMYFUNCTION("IFERROR(GOOGLEFINANCE(B1271,""change""),0)"),0)</f>
        <v>0</v>
      </c>
      <c r="N1271" s="6">
        <v>2</v>
      </c>
      <c r="O1271" s="7">
        <v>45536</v>
      </c>
      <c r="P1271" s="6">
        <v>325.79000000000002</v>
      </c>
      <c r="Q1271" s="6">
        <v>681.83</v>
      </c>
      <c r="R1271" s="7">
        <v>45536</v>
      </c>
      <c r="S1271" s="6">
        <v>559.19000000000005</v>
      </c>
      <c r="T1271" s="6">
        <v>-6.84</v>
      </c>
      <c r="U1271" s="7">
        <v>45536</v>
      </c>
      <c r="V1271" s="6">
        <v>61.22</v>
      </c>
      <c r="W1271" s="6">
        <f ca="1">IFERROR(__xludf.DUMMYFUNCTION("IFERROR(GOOGLEFINANCE(B1271,""pe""),V1271)"),61.22)</f>
        <v>61.22</v>
      </c>
      <c r="X1271" s="9"/>
      <c r="Y1271" s="6">
        <v>0.99</v>
      </c>
      <c r="Z1271" s="6">
        <v>2</v>
      </c>
      <c r="AA1271" s="8">
        <v>45352</v>
      </c>
      <c r="AB1271" s="4">
        <v>1.02</v>
      </c>
      <c r="AC1271" s="6">
        <v>-11.24</v>
      </c>
      <c r="AD1271" s="6">
        <v>-1.85</v>
      </c>
      <c r="AE1271" s="1">
        <v>0</v>
      </c>
      <c r="AF1271" s="1">
        <f ca="1">IFERROR(__xludf.DUMMYFUNCTION("IFERROR(GOOGLEFINANCE(TRIM(F1271)&amp;"":"" &amp; TRIM(B1271),""high52""),AE1271)"),0)</f>
        <v>0</v>
      </c>
      <c r="AG1271" s="1">
        <v>0</v>
      </c>
      <c r="AH1271" s="1">
        <f ca="1">IFERROR(__xludf.DUMMYFUNCTION("IFERROR(GOOGLEFINANCE(TRIM(F1271)&amp;"":"" &amp; TRIM(B1271),""low52""),AE1271)"),0)</f>
        <v>0</v>
      </c>
      <c r="AI1271" s="1">
        <f ca="1">IFERROR(__xludf.DUMMYFUNCTION("IFERROR(GOOGLEFINANCE(B1271,""eps""),0)"),0)</f>
        <v>0</v>
      </c>
      <c r="AJ1271" s="1"/>
      <c r="AK1271" s="9"/>
      <c r="AL1271" s="9">
        <f t="shared" si="177"/>
        <v>1</v>
      </c>
    </row>
    <row r="1272" spans="1:38" ht="15" x14ac:dyDescent="0.25">
      <c r="A1272" s="1" t="s">
        <v>3845</v>
      </c>
      <c r="B1272" s="1" t="s">
        <v>3846</v>
      </c>
      <c r="C1272" s="1" t="s">
        <v>643</v>
      </c>
      <c r="D1272" s="1" t="s">
        <v>643</v>
      </c>
      <c r="E1272" s="6">
        <v>2588.5500000000002</v>
      </c>
      <c r="F1272" s="1" t="s">
        <v>40</v>
      </c>
      <c r="G1272" s="6">
        <f ca="1">IFERROR(__xludf.DUMMYFUNCTION("iferror(GOOGLEFINANCE(TRIM(F1272)&amp;"":"" &amp; TRIM(B1272), ""price""),0
)"),920)</f>
        <v>920</v>
      </c>
      <c r="H1272" s="6">
        <v>900</v>
      </c>
      <c r="I1272" s="6">
        <f t="shared" ca="1" si="0"/>
        <v>920</v>
      </c>
      <c r="J1272" s="6">
        <f ca="1">IFERROR(__xludf.DUMMYFUNCTION("IFERROR(GOOGLEFINANCE(B1272, ""volume""), 0)"),64821)</f>
        <v>64821</v>
      </c>
      <c r="K1272" s="6">
        <v>0.71</v>
      </c>
      <c r="L1272" s="6">
        <f ca="1">IFERROR(__xludf.DUMMYFUNCTION("IFERROR(GOOGLEFINANCE(B1272,""changepct""),K1272)"),2.28)</f>
        <v>2.2799999999999998</v>
      </c>
      <c r="M1272" s="6">
        <f ca="1">IFERROR(__xludf.DUMMYFUNCTION("IFERROR(GOOGLEFINANCE(B1272,""change""),0)"),20.55)</f>
        <v>20.55</v>
      </c>
      <c r="N1272" s="6">
        <v>2</v>
      </c>
      <c r="O1272" s="7">
        <v>45536</v>
      </c>
      <c r="P1272" s="6">
        <v>406.86</v>
      </c>
      <c r="Q1272" s="6">
        <v>2911.5</v>
      </c>
      <c r="R1272" s="7">
        <v>45536</v>
      </c>
      <c r="S1272" s="6">
        <v>3417.73</v>
      </c>
      <c r="T1272" s="6">
        <v>61.22</v>
      </c>
      <c r="U1272" s="7">
        <v>45536</v>
      </c>
      <c r="V1272" s="6">
        <v>41.84</v>
      </c>
      <c r="W1272" s="6">
        <f ca="1">IFERROR(__xludf.DUMMYFUNCTION("IFERROR(GOOGLEFINANCE(B1272,""pe""),V1272)"),34.9)</f>
        <v>34.9</v>
      </c>
      <c r="X1272" s="6">
        <v>1.32</v>
      </c>
      <c r="Y1272" s="6">
        <v>2.64</v>
      </c>
      <c r="Z1272" s="6">
        <v>2</v>
      </c>
      <c r="AA1272" s="8">
        <v>45352</v>
      </c>
      <c r="AB1272" s="4">
        <v>0.33</v>
      </c>
      <c r="AC1272" s="6">
        <v>10.36</v>
      </c>
      <c r="AD1272" s="6">
        <v>9.56</v>
      </c>
      <c r="AE1272" s="1">
        <v>0</v>
      </c>
      <c r="AF1272" s="1">
        <f ca="1">IFERROR(__xludf.DUMMYFUNCTION("IFERROR(GOOGLEFINANCE(TRIM(F1272)&amp;"":"" &amp; TRIM(B1272),""high52""),AE1272)"),1303.2)</f>
        <v>1303.2</v>
      </c>
      <c r="AG1272" s="1">
        <v>0</v>
      </c>
      <c r="AH1272" s="1">
        <f ca="1">IFERROR(__xludf.DUMMYFUNCTION("IFERROR(GOOGLEFINANCE(TRIM(F1272)&amp;"":"" &amp; TRIM(B1272),""low52""),AE1272)"),800)</f>
        <v>800</v>
      </c>
      <c r="AI1272" s="1">
        <f ca="1">IFERROR(__xludf.DUMMYFUNCTION("IFERROR(GOOGLEFINANCE(B1272,""eps""),0)"),26.36)</f>
        <v>26.36</v>
      </c>
      <c r="AJ1272" s="1"/>
      <c r="AK1272" s="1" t="s">
        <v>3847</v>
      </c>
      <c r="AL1272" s="1" t="b">
        <f>ISNUMBER(AA1272)</f>
        <v>1</v>
      </c>
    </row>
    <row r="1273" spans="1:38" ht="15" x14ac:dyDescent="0.25">
      <c r="A1273" s="1" t="s">
        <v>3848</v>
      </c>
      <c r="B1273" s="1" t="s">
        <v>3849</v>
      </c>
      <c r="C1273" s="1" t="s">
        <v>186</v>
      </c>
      <c r="D1273" s="1" t="s">
        <v>186</v>
      </c>
      <c r="E1273" s="6">
        <v>747.04</v>
      </c>
      <c r="F1273" s="1" t="s">
        <v>40</v>
      </c>
      <c r="G1273" s="6">
        <f ca="1">IFERROR(__xludf.DUMMYFUNCTION("iferror(GOOGLEFINANCE(TRIM(F1273)&amp;"":"" &amp; TRIM(B1273), ""price""),0
)"),618.3)</f>
        <v>618.29999999999995</v>
      </c>
      <c r="H1273" s="6">
        <v>700</v>
      </c>
      <c r="I1273" s="6">
        <f t="shared" ca="1" si="0"/>
        <v>618.29999999999995</v>
      </c>
      <c r="J1273" s="6">
        <f ca="1">IFERROR(__xludf.DUMMYFUNCTION("IFERROR(GOOGLEFINANCE(B1273, ""volume""), 0)"),1367)</f>
        <v>1367</v>
      </c>
      <c r="K1273" s="6">
        <v>2.83</v>
      </c>
      <c r="L1273" s="6">
        <f ca="1">IFERROR(__xludf.DUMMYFUNCTION("IFERROR(GOOGLEFINANCE(B1273,""changepct""),K1273)"),4.49)</f>
        <v>4.49</v>
      </c>
      <c r="M1273" s="6">
        <f ca="1">IFERROR(__xludf.DUMMYFUNCTION("IFERROR(GOOGLEFINANCE(B1273,""change""),0)"),26.55)</f>
        <v>26.55</v>
      </c>
      <c r="N1273" s="6">
        <v>2</v>
      </c>
      <c r="O1273" s="7">
        <v>45536</v>
      </c>
      <c r="P1273" s="6">
        <v>326.10000000000002</v>
      </c>
      <c r="Q1273" s="6">
        <v>1027.24</v>
      </c>
      <c r="R1273" s="7">
        <v>45536</v>
      </c>
      <c r="S1273" s="6">
        <v>600.67999999999995</v>
      </c>
      <c r="T1273" s="6">
        <v>-2</v>
      </c>
      <c r="U1273" s="7">
        <v>45536</v>
      </c>
      <c r="V1273" s="6">
        <v>0</v>
      </c>
      <c r="W1273" s="6">
        <f ca="1">IFERROR(__xludf.DUMMYFUNCTION("IFERROR(GOOGLEFINANCE(B1273,""pe""),V1273)"),73.74)</f>
        <v>73.739999999999995</v>
      </c>
      <c r="X1273" s="6">
        <v>0</v>
      </c>
      <c r="Y1273" s="6">
        <v>0.69</v>
      </c>
      <c r="Z1273" s="6">
        <v>2</v>
      </c>
      <c r="AA1273" s="8">
        <v>45352</v>
      </c>
      <c r="AB1273" s="4">
        <v>0.17</v>
      </c>
      <c r="AC1273" s="6">
        <v>2.2200000000000002</v>
      </c>
      <c r="AD1273" s="6">
        <v>3.3</v>
      </c>
      <c r="AE1273" s="1">
        <v>0</v>
      </c>
      <c r="AF1273" s="1">
        <f ca="1">IFERROR(__xludf.DUMMYFUNCTION("IFERROR(GOOGLEFINANCE(TRIM(F1273)&amp;"":"" &amp; TRIM(B1273),""high52""),AE1273)"),830)</f>
        <v>830</v>
      </c>
      <c r="AG1273" s="1">
        <v>0</v>
      </c>
      <c r="AH1273" s="1">
        <f ca="1">IFERROR(__xludf.DUMMYFUNCTION("IFERROR(GOOGLEFINANCE(TRIM(F1273)&amp;"":"" &amp; TRIM(B1273),""low52""),AE1273)"),532.95)</f>
        <v>532.95000000000005</v>
      </c>
      <c r="AI1273" s="1">
        <f ca="1">IFERROR(__xludf.DUMMYFUNCTION("IFERROR(GOOGLEFINANCE(B1273,""eps""),0)"),8.39)</f>
        <v>8.39</v>
      </c>
      <c r="AJ1273" s="1"/>
      <c r="AK1273" s="1" t="s">
        <v>3850</v>
      </c>
      <c r="AL1273" s="9">
        <f t="shared" ref="AL1273:AL1274" si="178">IF(AA1273&lt;&gt;AB1273,1,0)</f>
        <v>1</v>
      </c>
    </row>
    <row r="1274" spans="1:38" ht="15" x14ac:dyDescent="0.25">
      <c r="A1274" s="1" t="s">
        <v>3851</v>
      </c>
      <c r="B1274" s="1" t="s">
        <v>3852</v>
      </c>
      <c r="C1274" s="1" t="s">
        <v>525</v>
      </c>
      <c r="D1274" s="1" t="s">
        <v>525</v>
      </c>
      <c r="E1274" s="6">
        <v>55.95</v>
      </c>
      <c r="F1274" s="1" t="s">
        <v>53</v>
      </c>
      <c r="G1274" s="6">
        <f ca="1">IFERROR(__xludf.DUMMYFUNCTION("iferror(GOOGLEFINANCE(TRIM(F1274)&amp;"":"" &amp; TRIM(B1274), ""price""),0
)"),0)</f>
        <v>0</v>
      </c>
      <c r="H1274" s="6">
        <v>109</v>
      </c>
      <c r="I1274" s="6">
        <f t="shared" ca="1" si="0"/>
        <v>109</v>
      </c>
      <c r="J1274" s="6">
        <f ca="1">IFERROR(__xludf.DUMMYFUNCTION("IFERROR(GOOGLEFINANCE(B1274, ""volume""), 0)"),0)</f>
        <v>0</v>
      </c>
      <c r="K1274" s="12"/>
      <c r="L1274" s="6" t="str">
        <f ca="1">IFERROR(__xludf.DUMMYFUNCTION("IFERROR(GOOGLEFINANCE(B1274,""changepct""),K1274)"),"")</f>
        <v/>
      </c>
      <c r="M1274" s="6">
        <f ca="1">IFERROR(__xludf.DUMMYFUNCTION("IFERROR(GOOGLEFINANCE(B1274,""change""),0)"),0)</f>
        <v>0</v>
      </c>
      <c r="N1274" s="6">
        <v>1</v>
      </c>
      <c r="O1274" s="7">
        <v>45536</v>
      </c>
      <c r="P1274" s="6">
        <v>9.4700000000000006</v>
      </c>
      <c r="Q1274" s="6">
        <v>65.42</v>
      </c>
      <c r="R1274" s="7">
        <v>45536</v>
      </c>
      <c r="S1274" s="6">
        <v>19.62</v>
      </c>
      <c r="T1274" s="6">
        <v>0.81</v>
      </c>
      <c r="U1274" s="7">
        <v>45536</v>
      </c>
      <c r="V1274" s="6">
        <v>69.08</v>
      </c>
      <c r="W1274" s="6">
        <f ca="1">IFERROR(__xludf.DUMMYFUNCTION("IFERROR(GOOGLEFINANCE(B1274,""pe""),V1274)"),69.08)</f>
        <v>69.08</v>
      </c>
      <c r="X1274" s="6">
        <v>-9.6199999999999992</v>
      </c>
      <c r="Y1274" s="6">
        <v>3.34</v>
      </c>
      <c r="Z1274" s="6">
        <v>1</v>
      </c>
      <c r="AA1274" s="8">
        <v>45352</v>
      </c>
      <c r="AB1274" s="4">
        <v>0.17</v>
      </c>
      <c r="AC1274" s="6">
        <v>4.18</v>
      </c>
      <c r="AD1274" s="6">
        <v>6.23</v>
      </c>
      <c r="AE1274" s="1">
        <v>0</v>
      </c>
      <c r="AF1274" s="1">
        <f ca="1">IFERROR(__xludf.DUMMYFUNCTION("IFERROR(GOOGLEFINANCE(TRIM(F1274)&amp;"":"" &amp; TRIM(B1274),""high52""),AE1274)"),0)</f>
        <v>0</v>
      </c>
      <c r="AG1274" s="1">
        <v>0</v>
      </c>
      <c r="AH1274" s="1">
        <f ca="1">IFERROR(__xludf.DUMMYFUNCTION("IFERROR(GOOGLEFINANCE(TRIM(F1274)&amp;"":"" &amp; TRIM(B1274),""low52""),AE1274)"),0)</f>
        <v>0</v>
      </c>
      <c r="AI1274" s="1">
        <f ca="1">IFERROR(__xludf.DUMMYFUNCTION("IFERROR(GOOGLEFINANCE(B1274,""eps""),0)"),0)</f>
        <v>0</v>
      </c>
      <c r="AJ1274" s="1"/>
      <c r="AK1274" s="1" t="s">
        <v>3853</v>
      </c>
      <c r="AL1274" s="9">
        <f t="shared" si="178"/>
        <v>1</v>
      </c>
    </row>
    <row r="1275" spans="1:38" ht="15" x14ac:dyDescent="0.25">
      <c r="A1275" s="1" t="s">
        <v>3854</v>
      </c>
      <c r="B1275" s="1" t="s">
        <v>3855</v>
      </c>
      <c r="C1275" s="1" t="s">
        <v>643</v>
      </c>
      <c r="D1275" s="1" t="s">
        <v>643</v>
      </c>
      <c r="E1275" s="6">
        <v>1900.75</v>
      </c>
      <c r="F1275" s="1" t="s">
        <v>40</v>
      </c>
      <c r="G1275" s="6">
        <f ca="1">IFERROR(__xludf.DUMMYFUNCTION("iferror(GOOGLEFINANCE(TRIM(F1275)&amp;"":"" &amp; TRIM(B1275), ""price""),0
)"),970)</f>
        <v>970</v>
      </c>
      <c r="H1275" s="6">
        <v>844.85</v>
      </c>
      <c r="I1275" s="6">
        <f t="shared" ca="1" si="0"/>
        <v>970</v>
      </c>
      <c r="J1275" s="6">
        <f ca="1">IFERROR(__xludf.DUMMYFUNCTION("IFERROR(GOOGLEFINANCE(B1275, ""volume""), 0)"),116299)</f>
        <v>116299</v>
      </c>
      <c r="K1275" s="6">
        <v>1.43</v>
      </c>
      <c r="L1275" s="6">
        <f ca="1">IFERROR(__xludf.DUMMYFUNCTION("IFERROR(GOOGLEFINANCE(B1275,""changepct""),K1275)"),0.95)</f>
        <v>0.95</v>
      </c>
      <c r="M1275" s="6">
        <f ca="1">IFERROR(__xludf.DUMMYFUNCTION("IFERROR(GOOGLEFINANCE(B1275,""change""),0)"),9.15)</f>
        <v>9.15</v>
      </c>
      <c r="N1275" s="6">
        <v>1</v>
      </c>
      <c r="O1275" s="7">
        <v>45536</v>
      </c>
      <c r="P1275" s="9"/>
      <c r="Q1275" s="6">
        <v>1833.83</v>
      </c>
      <c r="R1275" s="7">
        <v>45536</v>
      </c>
      <c r="S1275" s="6">
        <v>2437.81</v>
      </c>
      <c r="T1275" s="6">
        <v>155.85</v>
      </c>
      <c r="U1275" s="7">
        <v>45536</v>
      </c>
      <c r="V1275" s="6">
        <v>12.2</v>
      </c>
      <c r="W1275" s="6">
        <f ca="1">IFERROR(__xludf.DUMMYFUNCTION("IFERROR(GOOGLEFINANCE(B1275,""pe""),V1275)"),13.57)</f>
        <v>13.57</v>
      </c>
      <c r="X1275" s="6">
        <v>0.95</v>
      </c>
      <c r="Y1275" s="6">
        <v>2.2200000000000002</v>
      </c>
      <c r="Z1275" s="6">
        <v>1</v>
      </c>
      <c r="AA1275" s="8">
        <v>45352</v>
      </c>
      <c r="AB1275" s="4">
        <v>0</v>
      </c>
      <c r="AC1275" s="6">
        <v>20.149999999999999</v>
      </c>
      <c r="AD1275" s="6">
        <v>24.15</v>
      </c>
      <c r="AE1275" s="1">
        <v>0</v>
      </c>
      <c r="AF1275" s="1">
        <f ca="1">IFERROR(__xludf.DUMMYFUNCTION("IFERROR(GOOGLEFINANCE(TRIM(F1275)&amp;"":"" &amp; TRIM(B1275),""high52""),AE1275)"),1328.8)</f>
        <v>1328.8</v>
      </c>
      <c r="AG1275" s="1">
        <v>0</v>
      </c>
      <c r="AH1275" s="1">
        <f ca="1">IFERROR(__xludf.DUMMYFUNCTION("IFERROR(GOOGLEFINANCE(TRIM(F1275)&amp;"":"" &amp; TRIM(B1275),""low52""),AE1275)"),579.95)</f>
        <v>579.95000000000005</v>
      </c>
      <c r="AI1275" s="1">
        <f ca="1">IFERROR(__xludf.DUMMYFUNCTION("IFERROR(GOOGLEFINANCE(B1275,""eps""),0)"),71.46)</f>
        <v>71.459999999999994</v>
      </c>
      <c r="AJ1275" s="1"/>
      <c r="AK1275" s="1" t="s">
        <v>3856</v>
      </c>
      <c r="AL1275" s="1" t="b">
        <f>ISNUMBER(AA1275)</f>
        <v>1</v>
      </c>
    </row>
    <row r="1276" spans="1:38" ht="15" x14ac:dyDescent="0.25">
      <c r="A1276" s="1" t="s">
        <v>3857</v>
      </c>
      <c r="B1276" s="1" t="s">
        <v>3858</v>
      </c>
      <c r="C1276" s="1" t="s">
        <v>416</v>
      </c>
      <c r="D1276" s="1" t="s">
        <v>416</v>
      </c>
      <c r="E1276" s="6">
        <v>5554.24</v>
      </c>
      <c r="F1276" s="1" t="s">
        <v>40</v>
      </c>
      <c r="G1276" s="6">
        <f ca="1">IFERROR(__xludf.DUMMYFUNCTION("iferror(GOOGLEFINANCE(TRIM(F1276)&amp;"":"" &amp; TRIM(B1276), ""price""),0
)"),969)</f>
        <v>969</v>
      </c>
      <c r="H1276" s="6">
        <v>1225.95</v>
      </c>
      <c r="I1276" s="6">
        <f t="shared" ca="1" si="0"/>
        <v>969</v>
      </c>
      <c r="J1276" s="6">
        <f ca="1">IFERROR(__xludf.DUMMYFUNCTION("IFERROR(GOOGLEFINANCE(B1276, ""volume""), 0)"),47902)</f>
        <v>47902</v>
      </c>
      <c r="K1276" s="6">
        <v>-0.89</v>
      </c>
      <c r="L1276" s="6">
        <f ca="1">IFERROR(__xludf.DUMMYFUNCTION("IFERROR(GOOGLEFINANCE(B1276,""changepct""),K1276)"),-0.67)</f>
        <v>-0.67</v>
      </c>
      <c r="M1276" s="6">
        <f ca="1">IFERROR(__xludf.DUMMYFUNCTION("IFERROR(GOOGLEFINANCE(B1276,""change""),0)"),-6.55)</f>
        <v>-6.55</v>
      </c>
      <c r="N1276" s="6">
        <v>2</v>
      </c>
      <c r="O1276" s="7">
        <v>45536</v>
      </c>
      <c r="P1276" s="6">
        <v>746.66</v>
      </c>
      <c r="Q1276" s="6">
        <v>5899.43</v>
      </c>
      <c r="R1276" s="7">
        <v>45536</v>
      </c>
      <c r="S1276" s="6">
        <v>3187.35</v>
      </c>
      <c r="T1276" s="6">
        <v>100.63</v>
      </c>
      <c r="U1276" s="7">
        <v>45536</v>
      </c>
      <c r="V1276" s="6">
        <v>52.74</v>
      </c>
      <c r="W1276" s="6">
        <f ca="1">IFERROR(__xludf.DUMMYFUNCTION("IFERROR(GOOGLEFINANCE(B1276,""pe""),V1276)"),64.89)</f>
        <v>64.89</v>
      </c>
      <c r="X1276" s="6">
        <v>1.84</v>
      </c>
      <c r="Y1276" s="6">
        <v>5.39</v>
      </c>
      <c r="Z1276" s="6">
        <v>2</v>
      </c>
      <c r="AA1276" s="8">
        <v>45352</v>
      </c>
      <c r="AB1276" s="4">
        <v>0.74</v>
      </c>
      <c r="AC1276" s="6">
        <v>19.79</v>
      </c>
      <c r="AD1276" s="6">
        <v>21.37</v>
      </c>
      <c r="AE1276" s="1">
        <v>0</v>
      </c>
      <c r="AF1276" s="1">
        <f ca="1">IFERROR(__xludf.DUMMYFUNCTION("IFERROR(GOOGLEFINANCE(TRIM(F1276)&amp;"":"" &amp; TRIM(B1276),""high52""),AE1276)"),1418)</f>
        <v>1418</v>
      </c>
      <c r="AG1276" s="1">
        <v>0</v>
      </c>
      <c r="AH1276" s="1">
        <f ca="1">IFERROR(__xludf.DUMMYFUNCTION("IFERROR(GOOGLEFINANCE(TRIM(F1276)&amp;"":"" &amp; TRIM(B1276),""low52""),AE1276)"),949.9)</f>
        <v>949.9</v>
      </c>
      <c r="AI1276" s="1">
        <f ca="1">IFERROR(__xludf.DUMMYFUNCTION("IFERROR(GOOGLEFINANCE(B1276,""eps""),0)"),14.93)</f>
        <v>14.93</v>
      </c>
      <c r="AJ1276" s="1"/>
      <c r="AK1276" s="1" t="s">
        <v>3859</v>
      </c>
      <c r="AL1276" s="9">
        <f t="shared" ref="AL1276:AL1280" si="179">IF(AA1276&lt;&gt;AB1276,1,0)</f>
        <v>1</v>
      </c>
    </row>
    <row r="1277" spans="1:38" ht="15" x14ac:dyDescent="0.25">
      <c r="A1277" s="1" t="s">
        <v>3860</v>
      </c>
      <c r="B1277" s="1" t="s">
        <v>3861</v>
      </c>
      <c r="C1277" s="1" t="s">
        <v>525</v>
      </c>
      <c r="D1277" s="1" t="s">
        <v>525</v>
      </c>
      <c r="E1277" s="6">
        <v>658.36</v>
      </c>
      <c r="F1277" s="1" t="s">
        <v>53</v>
      </c>
      <c r="G1277" s="6">
        <f ca="1">IFERROR(__xludf.DUMMYFUNCTION("iferror(GOOGLEFINANCE(TRIM(F1277)&amp;"":"" &amp; TRIM(B1277), ""price""),0
)"),0)</f>
        <v>0</v>
      </c>
      <c r="H1277" s="6">
        <v>139.05000000000001</v>
      </c>
      <c r="I1277" s="6">
        <f t="shared" ca="1" si="0"/>
        <v>139.05000000000001</v>
      </c>
      <c r="J1277" s="6">
        <f ca="1">IFERROR(__xludf.DUMMYFUNCTION("IFERROR(GOOGLEFINANCE(B1277, ""volume""), 0)"),0)</f>
        <v>0</v>
      </c>
      <c r="K1277" s="6">
        <v>-0.43</v>
      </c>
      <c r="L1277" s="6">
        <f ca="1">IFERROR(__xludf.DUMMYFUNCTION("IFERROR(GOOGLEFINANCE(B1277,""changepct""),K1277)"),-0.43)</f>
        <v>-0.43</v>
      </c>
      <c r="M1277" s="6">
        <f ca="1">IFERROR(__xludf.DUMMYFUNCTION("IFERROR(GOOGLEFINANCE(B1277,""change""),0)"),0)</f>
        <v>0</v>
      </c>
      <c r="N1277" s="6">
        <v>2</v>
      </c>
      <c r="O1277" s="7">
        <v>45536</v>
      </c>
      <c r="P1277" s="6">
        <v>6.95</v>
      </c>
      <c r="Q1277" s="6">
        <v>648.62</v>
      </c>
      <c r="R1277" s="7">
        <v>45536</v>
      </c>
      <c r="S1277" s="6">
        <v>466.09</v>
      </c>
      <c r="T1277" s="6">
        <v>46.68</v>
      </c>
      <c r="U1277" s="7">
        <v>45536</v>
      </c>
      <c r="V1277" s="6">
        <v>14.1</v>
      </c>
      <c r="W1277" s="6">
        <f ca="1">IFERROR(__xludf.DUMMYFUNCTION("IFERROR(GOOGLEFINANCE(B1277,""pe""),V1277)"),14.1)</f>
        <v>14.1</v>
      </c>
      <c r="X1277" s="9"/>
      <c r="Y1277" s="6">
        <v>1.48</v>
      </c>
      <c r="Z1277" s="6">
        <v>2</v>
      </c>
      <c r="AA1277" s="8">
        <v>45352</v>
      </c>
      <c r="AB1277" s="4">
        <v>0.05</v>
      </c>
      <c r="AC1277" s="6">
        <v>8.86</v>
      </c>
      <c r="AD1277" s="6">
        <v>9.06</v>
      </c>
      <c r="AE1277" s="1">
        <v>0</v>
      </c>
      <c r="AF1277" s="1">
        <f ca="1">IFERROR(__xludf.DUMMYFUNCTION("IFERROR(GOOGLEFINANCE(TRIM(F1277)&amp;"":"" &amp; TRIM(B1277),""high52""),AE1277)"),0)</f>
        <v>0</v>
      </c>
      <c r="AG1277" s="1">
        <v>0</v>
      </c>
      <c r="AH1277" s="1">
        <f ca="1">IFERROR(__xludf.DUMMYFUNCTION("IFERROR(GOOGLEFINANCE(TRIM(F1277)&amp;"":"" &amp; TRIM(B1277),""low52""),AE1277)"),0)</f>
        <v>0</v>
      </c>
      <c r="AI1277" s="1">
        <f ca="1">IFERROR(__xludf.DUMMYFUNCTION("IFERROR(GOOGLEFINANCE(B1277,""eps""),0)"),0)</f>
        <v>0</v>
      </c>
      <c r="AJ1277" s="1"/>
      <c r="AK1277" s="1" t="s">
        <v>3862</v>
      </c>
      <c r="AL1277" s="9">
        <f t="shared" si="179"/>
        <v>1</v>
      </c>
    </row>
    <row r="1278" spans="1:38" ht="15" x14ac:dyDescent="0.25">
      <c r="A1278" s="1" t="s">
        <v>3863</v>
      </c>
      <c r="B1278" s="1" t="s">
        <v>3864</v>
      </c>
      <c r="C1278" s="1" t="s">
        <v>525</v>
      </c>
      <c r="D1278" s="1" t="s">
        <v>525</v>
      </c>
      <c r="E1278" s="6">
        <v>17.2</v>
      </c>
      <c r="F1278" s="1" t="s">
        <v>53</v>
      </c>
      <c r="G1278" s="6">
        <f ca="1">IFERROR(__xludf.DUMMYFUNCTION("iferror(GOOGLEFINANCE(TRIM(F1278)&amp;"":"" &amp; TRIM(B1278), ""price""),0
)"),0)</f>
        <v>0</v>
      </c>
      <c r="H1278" s="6">
        <v>43</v>
      </c>
      <c r="I1278" s="6">
        <f t="shared" ca="1" si="0"/>
        <v>43</v>
      </c>
      <c r="J1278" s="6">
        <f ca="1">IFERROR(__xludf.DUMMYFUNCTION("IFERROR(GOOGLEFINANCE(B1278, ""volume""), 0)"),0)</f>
        <v>0</v>
      </c>
      <c r="K1278" s="9"/>
      <c r="L1278" s="6" t="str">
        <f ca="1">IFERROR(__xludf.DUMMYFUNCTION("IFERROR(GOOGLEFINANCE(B1278,""changepct""),K1278)"),"")</f>
        <v/>
      </c>
      <c r="M1278" s="6">
        <f ca="1">IFERROR(__xludf.DUMMYFUNCTION("IFERROR(GOOGLEFINANCE(B1278,""change""),0)"),0)</f>
        <v>0</v>
      </c>
      <c r="N1278" s="6">
        <v>1</v>
      </c>
      <c r="O1278" s="7">
        <v>45536</v>
      </c>
      <c r="P1278" s="6">
        <v>34.75</v>
      </c>
      <c r="Q1278" s="6">
        <v>51.69</v>
      </c>
      <c r="R1278" s="7">
        <v>45536</v>
      </c>
      <c r="S1278" s="6">
        <v>3.32</v>
      </c>
      <c r="T1278" s="6">
        <v>-5.35</v>
      </c>
      <c r="U1278" s="7">
        <v>45536</v>
      </c>
      <c r="V1278" s="6">
        <v>0</v>
      </c>
      <c r="W1278" s="6">
        <f ca="1">IFERROR(__xludf.DUMMYFUNCTION("IFERROR(GOOGLEFINANCE(B1278,""pe""),V1278)"),0)</f>
        <v>0</v>
      </c>
      <c r="X1278" s="9"/>
      <c r="Y1278" s="6">
        <v>-0.63</v>
      </c>
      <c r="Z1278" s="6">
        <v>1</v>
      </c>
      <c r="AA1278" s="8">
        <v>45352</v>
      </c>
      <c r="AB1278" s="4">
        <v>-1.31</v>
      </c>
      <c r="AC1278" s="6">
        <v>0</v>
      </c>
      <c r="AD1278" s="6">
        <v>-36.43</v>
      </c>
      <c r="AE1278" s="1">
        <v>0</v>
      </c>
      <c r="AF1278" s="1">
        <f ca="1">IFERROR(__xludf.DUMMYFUNCTION("IFERROR(GOOGLEFINANCE(TRIM(F1278)&amp;"":"" &amp; TRIM(B1278),""high52""),AE1278)"),0)</f>
        <v>0</v>
      </c>
      <c r="AG1278" s="1">
        <v>0</v>
      </c>
      <c r="AH1278" s="1">
        <f ca="1">IFERROR(__xludf.DUMMYFUNCTION("IFERROR(GOOGLEFINANCE(TRIM(F1278)&amp;"":"" &amp; TRIM(B1278),""low52""),AE1278)"),0)</f>
        <v>0</v>
      </c>
      <c r="AI1278" s="1">
        <f ca="1">IFERROR(__xludf.DUMMYFUNCTION("IFERROR(GOOGLEFINANCE(B1278,""eps""),0)"),0)</f>
        <v>0</v>
      </c>
      <c r="AJ1278" s="1"/>
      <c r="AK1278" s="1" t="s">
        <v>3865</v>
      </c>
      <c r="AL1278" s="9">
        <f t="shared" si="179"/>
        <v>1</v>
      </c>
    </row>
    <row r="1279" spans="1:38" ht="15" x14ac:dyDescent="0.25">
      <c r="A1279" s="1" t="s">
        <v>3866</v>
      </c>
      <c r="B1279" s="1" t="s">
        <v>3867</v>
      </c>
      <c r="C1279" s="1" t="s">
        <v>525</v>
      </c>
      <c r="D1279" s="1" t="s">
        <v>525</v>
      </c>
      <c r="E1279" s="6">
        <v>2432.42</v>
      </c>
      <c r="F1279" s="1" t="s">
        <v>53</v>
      </c>
      <c r="G1279" s="6">
        <f ca="1">IFERROR(__xludf.DUMMYFUNCTION("iferror(GOOGLEFINANCE(TRIM(F1279)&amp;"":"" &amp; TRIM(B1279), ""price""),0
)"),0)</f>
        <v>0</v>
      </c>
      <c r="H1279" s="6">
        <v>3230</v>
      </c>
      <c r="I1279" s="6">
        <f t="shared" ca="1" si="0"/>
        <v>3230</v>
      </c>
      <c r="J1279" s="6">
        <f ca="1">IFERROR(__xludf.DUMMYFUNCTION("IFERROR(GOOGLEFINANCE(B1279, ""volume""), 0)"),0)</f>
        <v>0</v>
      </c>
      <c r="K1279" s="6">
        <v>1.9</v>
      </c>
      <c r="L1279" s="6">
        <f ca="1">IFERROR(__xludf.DUMMYFUNCTION("IFERROR(GOOGLEFINANCE(B1279,""changepct""),K1279)"),1.9)</f>
        <v>1.9</v>
      </c>
      <c r="M1279" s="6">
        <f ca="1">IFERROR(__xludf.DUMMYFUNCTION("IFERROR(GOOGLEFINANCE(B1279,""change""),0)"),0)</f>
        <v>0</v>
      </c>
      <c r="N1279" s="6">
        <v>2</v>
      </c>
      <c r="O1279" s="7">
        <v>45536</v>
      </c>
      <c r="P1279" s="6">
        <v>19.350000000000001</v>
      </c>
      <c r="Q1279" s="6">
        <v>2413.19</v>
      </c>
      <c r="R1279" s="7">
        <v>45536</v>
      </c>
      <c r="S1279" s="6">
        <v>76.150000000000006</v>
      </c>
      <c r="T1279" s="6">
        <v>7.6</v>
      </c>
      <c r="U1279" s="7">
        <v>45536</v>
      </c>
      <c r="V1279" s="6">
        <v>319.83999999999997</v>
      </c>
      <c r="W1279" s="6">
        <f ca="1">IFERROR(__xludf.DUMMYFUNCTION("IFERROR(GOOGLEFINANCE(B1279,""pe""),V1279)"),319.84)</f>
        <v>319.83999999999997</v>
      </c>
      <c r="X1279" s="9"/>
      <c r="Y1279" s="6">
        <v>20.45</v>
      </c>
      <c r="Z1279" s="6">
        <v>2</v>
      </c>
      <c r="AA1279" s="8">
        <v>45352</v>
      </c>
      <c r="AB1279" s="4">
        <v>0.82</v>
      </c>
      <c r="AC1279" s="6">
        <v>18.87</v>
      </c>
      <c r="AD1279" s="6">
        <v>13.3</v>
      </c>
      <c r="AE1279" s="1">
        <v>0</v>
      </c>
      <c r="AF1279" s="1">
        <f ca="1">IFERROR(__xludf.DUMMYFUNCTION("IFERROR(GOOGLEFINANCE(TRIM(F1279)&amp;"":"" &amp; TRIM(B1279),""high52""),AE1279)"),0)</f>
        <v>0</v>
      </c>
      <c r="AG1279" s="1">
        <v>0</v>
      </c>
      <c r="AH1279" s="1">
        <f ca="1">IFERROR(__xludf.DUMMYFUNCTION("IFERROR(GOOGLEFINANCE(TRIM(F1279)&amp;"":"" &amp; TRIM(B1279),""low52""),AE1279)"),0)</f>
        <v>0</v>
      </c>
      <c r="AI1279" s="1">
        <f ca="1">IFERROR(__xludf.DUMMYFUNCTION("IFERROR(GOOGLEFINANCE(B1279,""eps""),0)"),0)</f>
        <v>0</v>
      </c>
      <c r="AJ1279" s="1"/>
      <c r="AK1279" s="1" t="s">
        <v>3868</v>
      </c>
      <c r="AL1279" s="9">
        <f t="shared" si="179"/>
        <v>1</v>
      </c>
    </row>
    <row r="1280" spans="1:38" ht="15" x14ac:dyDescent="0.25">
      <c r="A1280" s="1" t="s">
        <v>3869</v>
      </c>
      <c r="B1280" s="1" t="s">
        <v>3870</v>
      </c>
      <c r="C1280" s="1" t="s">
        <v>525</v>
      </c>
      <c r="D1280" s="1" t="s">
        <v>525</v>
      </c>
      <c r="E1280" s="6">
        <v>851.33</v>
      </c>
      <c r="F1280" s="1" t="s">
        <v>53</v>
      </c>
      <c r="G1280" s="6">
        <f ca="1">IFERROR(__xludf.DUMMYFUNCTION("iferror(GOOGLEFINANCE(TRIM(F1280)&amp;"":"" &amp; TRIM(B1280), ""price""),0
)"),0)</f>
        <v>0</v>
      </c>
      <c r="H1280" s="6">
        <v>182.45</v>
      </c>
      <c r="I1280" s="6">
        <f t="shared" ca="1" si="0"/>
        <v>182.45</v>
      </c>
      <c r="J1280" s="6">
        <f ca="1">IFERROR(__xludf.DUMMYFUNCTION("IFERROR(GOOGLEFINANCE(B1280, ""volume""), 0)"),0)</f>
        <v>0</v>
      </c>
      <c r="K1280" s="6">
        <v>-1.1599999999999999</v>
      </c>
      <c r="L1280" s="6">
        <f ca="1">IFERROR(__xludf.DUMMYFUNCTION("IFERROR(GOOGLEFINANCE(B1280,""changepct""),K1280)"),-1.16)</f>
        <v>-1.1599999999999999</v>
      </c>
      <c r="M1280" s="6">
        <f ca="1">IFERROR(__xludf.DUMMYFUNCTION("IFERROR(GOOGLEFINANCE(B1280,""change""),0)"),0)</f>
        <v>0</v>
      </c>
      <c r="N1280" s="6">
        <v>1</v>
      </c>
      <c r="O1280" s="7">
        <v>45536</v>
      </c>
      <c r="P1280" s="6">
        <v>29.93</v>
      </c>
      <c r="Q1280" s="6">
        <v>881.26</v>
      </c>
      <c r="R1280" s="7">
        <v>45536</v>
      </c>
      <c r="S1280" s="6">
        <v>8.19</v>
      </c>
      <c r="T1280" s="6">
        <v>-17.25</v>
      </c>
      <c r="U1280" s="7">
        <v>45536</v>
      </c>
      <c r="V1280" s="6">
        <v>0</v>
      </c>
      <c r="W1280" s="6">
        <f ca="1">IFERROR(__xludf.DUMMYFUNCTION("IFERROR(GOOGLEFINANCE(B1280,""pe""),V1280)"),0)</f>
        <v>0</v>
      </c>
      <c r="X1280" s="6">
        <v>0</v>
      </c>
      <c r="Y1280" s="6">
        <v>34.270000000000003</v>
      </c>
      <c r="Z1280" s="6">
        <v>1</v>
      </c>
      <c r="AA1280" s="8">
        <v>45352</v>
      </c>
      <c r="AB1280" s="4">
        <v>0.84</v>
      </c>
      <c r="AC1280" s="6">
        <v>-40.659999999999997</v>
      </c>
      <c r="AD1280" s="6">
        <v>-20.010000000000002</v>
      </c>
      <c r="AE1280" s="1">
        <v>0</v>
      </c>
      <c r="AF1280" s="1">
        <f ca="1">IFERROR(__xludf.DUMMYFUNCTION("IFERROR(GOOGLEFINANCE(TRIM(F1280)&amp;"":"" &amp; TRIM(B1280),""high52""),AE1280)"),0)</f>
        <v>0</v>
      </c>
      <c r="AG1280" s="1">
        <v>0</v>
      </c>
      <c r="AH1280" s="1">
        <f ca="1">IFERROR(__xludf.DUMMYFUNCTION("IFERROR(GOOGLEFINANCE(TRIM(F1280)&amp;"":"" &amp; TRIM(B1280),""low52""),AE1280)"),0)</f>
        <v>0</v>
      </c>
      <c r="AI1280" s="1">
        <f ca="1">IFERROR(__xludf.DUMMYFUNCTION("IFERROR(GOOGLEFINANCE(B1280,""eps""),0)"),0)</f>
        <v>0</v>
      </c>
      <c r="AJ1280" s="1"/>
      <c r="AK1280" s="1" t="s">
        <v>3871</v>
      </c>
      <c r="AL1280" s="9">
        <f t="shared" si="179"/>
        <v>1</v>
      </c>
    </row>
    <row r="1281" spans="1:38" ht="15" x14ac:dyDescent="0.25">
      <c r="A1281" s="1" t="s">
        <v>3872</v>
      </c>
      <c r="B1281" s="1" t="s">
        <v>3873</v>
      </c>
      <c r="C1281" s="1" t="s">
        <v>2893</v>
      </c>
      <c r="D1281" s="1" t="s">
        <v>2893</v>
      </c>
      <c r="E1281" s="6">
        <v>83046.350000000006</v>
      </c>
      <c r="F1281" s="1" t="s">
        <v>40</v>
      </c>
      <c r="G1281" s="6">
        <f ca="1">IFERROR(__xludf.DUMMYFUNCTION("iferror(GOOGLEFINANCE(TRIM(F1281)&amp;"":"" &amp; TRIM(B1281), ""price""),0
)"),94.28)</f>
        <v>94.28</v>
      </c>
      <c r="H1281" s="6">
        <v>78.91</v>
      </c>
      <c r="I1281" s="6">
        <f t="shared" ca="1" si="0"/>
        <v>94.28</v>
      </c>
      <c r="J1281" s="6">
        <f ca="1">IFERROR(__xludf.DUMMYFUNCTION("IFERROR(GOOGLEFINANCE(B1281, ""volume""), 0)"),26494437)</f>
        <v>26494437</v>
      </c>
      <c r="K1281" s="6">
        <v>0.28000000000000003</v>
      </c>
      <c r="L1281" s="6">
        <f ca="1">IFERROR(__xludf.DUMMYFUNCTION("IFERROR(GOOGLEFINANCE(B1281,""changepct""),K1281)"),4.99)</f>
        <v>4.99</v>
      </c>
      <c r="M1281" s="6">
        <f ca="1">IFERROR(__xludf.DUMMYFUNCTION("IFERROR(GOOGLEFINANCE(B1281,""change""),0)"),4.48)</f>
        <v>4.4800000000000004</v>
      </c>
      <c r="N1281" s="6">
        <v>2</v>
      </c>
      <c r="O1281" s="7">
        <v>45536</v>
      </c>
      <c r="P1281" s="6">
        <v>35281.760000000002</v>
      </c>
      <c r="Q1281" s="6">
        <v>117416.7</v>
      </c>
      <c r="R1281" s="7">
        <v>45536</v>
      </c>
      <c r="S1281" s="6">
        <v>9571.09</v>
      </c>
      <c r="T1281" s="6">
        <v>-1569.48</v>
      </c>
      <c r="U1281" s="7">
        <v>45536</v>
      </c>
      <c r="V1281" s="6">
        <v>0</v>
      </c>
      <c r="W1281" s="6">
        <f ca="1">IFERROR(__xludf.DUMMYFUNCTION("IFERROR(GOOGLEFINANCE(B1281,""pe""),V1281)"),0)</f>
        <v>0</v>
      </c>
      <c r="X1281" s="6">
        <v>0</v>
      </c>
      <c r="Y1281" s="6">
        <v>-32.36</v>
      </c>
      <c r="Z1281" s="6">
        <v>2</v>
      </c>
      <c r="AA1281" s="8">
        <v>45352</v>
      </c>
      <c r="AB1281" s="4">
        <v>-16.3</v>
      </c>
      <c r="AC1281" s="6">
        <v>0</v>
      </c>
      <c r="AD1281" s="6">
        <v>7.13</v>
      </c>
      <c r="AE1281" s="1">
        <v>0</v>
      </c>
      <c r="AF1281" s="1">
        <f ca="1">IFERROR(__xludf.DUMMYFUNCTION("IFERROR(GOOGLEFINANCE(TRIM(F1281)&amp;"":"" &amp; TRIM(B1281),""high52""),AE1281)"),110.36)</f>
        <v>110.36</v>
      </c>
      <c r="AG1281" s="1">
        <v>0</v>
      </c>
      <c r="AH1281" s="1">
        <f ca="1">IFERROR(__xludf.DUMMYFUNCTION("IFERROR(GOOGLEFINANCE(TRIM(F1281)&amp;"":"" &amp; TRIM(B1281),""low52""),AE1281)"),67.75)</f>
        <v>67.75</v>
      </c>
      <c r="AI1281" s="1">
        <f ca="1">IFERROR(__xludf.DUMMYFUNCTION("IFERROR(GOOGLEFINANCE(B1281,""eps""),0)"),-1.25)</f>
        <v>-1.25</v>
      </c>
      <c r="AJ1281" s="1"/>
      <c r="AK1281" s="9"/>
      <c r="AL1281" s="1" t="b">
        <f>ISBLANK(AB1281)</f>
        <v>0</v>
      </c>
    </row>
    <row r="1282" spans="1:38" ht="15" x14ac:dyDescent="0.25">
      <c r="A1282" s="1" t="s">
        <v>3874</v>
      </c>
      <c r="B1282" s="1" t="s">
        <v>3875</v>
      </c>
      <c r="C1282" s="1" t="s">
        <v>268</v>
      </c>
      <c r="D1282" s="1" t="s">
        <v>268</v>
      </c>
      <c r="E1282" s="6">
        <v>9314.32</v>
      </c>
      <c r="F1282" s="1" t="s">
        <v>40</v>
      </c>
      <c r="G1282" s="6">
        <f ca="1">IFERROR(__xludf.DUMMYFUNCTION("iferror(GOOGLEFINANCE(TRIM(F1282)&amp;"":"" &amp; TRIM(B1282), ""price""),0
)"),102.52)</f>
        <v>102.52</v>
      </c>
      <c r="H1282" s="6">
        <v>128.49</v>
      </c>
      <c r="I1282" s="6">
        <f t="shared" ca="1" si="0"/>
        <v>102.52</v>
      </c>
      <c r="J1282" s="6">
        <f ca="1">IFERROR(__xludf.DUMMYFUNCTION("IFERROR(GOOGLEFINANCE(B1282, ""volume""), 0)"),1171787)</f>
        <v>1171787</v>
      </c>
      <c r="K1282" s="6">
        <v>-1.35</v>
      </c>
      <c r="L1282" s="6">
        <f ca="1">IFERROR(__xludf.DUMMYFUNCTION("IFERROR(GOOGLEFINANCE(B1282,""changepct""),K1282)"),-0.38)</f>
        <v>-0.38</v>
      </c>
      <c r="M1282" s="6">
        <f ca="1">IFERROR(__xludf.DUMMYFUNCTION("IFERROR(GOOGLEFINANCE(B1282,""change""),0)"),-0.39)</f>
        <v>-0.39</v>
      </c>
      <c r="N1282" s="6">
        <v>2</v>
      </c>
      <c r="O1282" s="7">
        <v>45536</v>
      </c>
      <c r="P1282" s="6">
        <v>10047.280000000001</v>
      </c>
      <c r="Q1282" s="6">
        <v>18506.2</v>
      </c>
      <c r="R1282" s="7">
        <v>45536</v>
      </c>
      <c r="S1282" s="6">
        <v>5733.23</v>
      </c>
      <c r="T1282" s="6">
        <v>1947.9</v>
      </c>
      <c r="U1282" s="7">
        <v>45536</v>
      </c>
      <c r="V1282" s="6">
        <v>5.52</v>
      </c>
      <c r="W1282" s="6">
        <f ca="1">IFERROR(__xludf.DUMMYFUNCTION("IFERROR(GOOGLEFINANCE(B1282,""pe""),V1282)"),8.96)</f>
        <v>8.9600000000000009</v>
      </c>
      <c r="X1282" s="9"/>
      <c r="Y1282" s="6">
        <v>11.77</v>
      </c>
      <c r="Z1282" s="6">
        <v>2</v>
      </c>
      <c r="AA1282" s="8">
        <v>45352</v>
      </c>
      <c r="AB1282" s="4">
        <v>-4.75</v>
      </c>
      <c r="AC1282" s="6">
        <v>0</v>
      </c>
      <c r="AD1282" s="6">
        <v>16.97</v>
      </c>
      <c r="AE1282" s="1">
        <v>0</v>
      </c>
      <c r="AF1282" s="1">
        <f ca="1">IFERROR(__xludf.DUMMYFUNCTION("IFERROR(GOOGLEFINANCE(TRIM(F1282)&amp;"":"" &amp; TRIM(B1282),""high52""),AE1282)"),141.01)</f>
        <v>141.01</v>
      </c>
      <c r="AG1282" s="1">
        <v>0</v>
      </c>
      <c r="AH1282" s="1">
        <f ca="1">IFERROR(__xludf.DUMMYFUNCTION("IFERROR(GOOGLEFINANCE(TRIM(F1282)&amp;"":"" &amp; TRIM(B1282),""low52""),AE1282)"),89.36)</f>
        <v>89.36</v>
      </c>
      <c r="AI1282" s="1">
        <f ca="1">IFERROR(__xludf.DUMMYFUNCTION("IFERROR(GOOGLEFINANCE(B1282,""eps""),0)"),11.44)</f>
        <v>11.44</v>
      </c>
      <c r="AJ1282" s="1"/>
      <c r="AK1282" s="1" t="s">
        <v>3876</v>
      </c>
      <c r="AL1282" s="9">
        <f>IF(AA1282&lt;&gt;AB1282,1,0)</f>
        <v>1</v>
      </c>
    </row>
    <row r="1283" spans="1:38" ht="15" x14ac:dyDescent="0.25">
      <c r="A1283" s="1" t="s">
        <v>3877</v>
      </c>
      <c r="B1283" s="1" t="s">
        <v>3878</v>
      </c>
      <c r="C1283" s="1" t="s">
        <v>355</v>
      </c>
      <c r="D1283" s="1" t="s">
        <v>355</v>
      </c>
      <c r="E1283" s="6">
        <v>1768.96</v>
      </c>
      <c r="F1283" s="1" t="s">
        <v>40</v>
      </c>
      <c r="G1283" s="6">
        <f ca="1">IFERROR(__xludf.DUMMYFUNCTION("iferror(GOOGLEFINANCE(TRIM(F1283)&amp;"":"" &amp; TRIM(B1283), ""price""),0
)"),359.55)</f>
        <v>359.55</v>
      </c>
      <c r="H1283" s="6">
        <v>419.6</v>
      </c>
      <c r="I1283" s="6">
        <f t="shared" ca="1" si="0"/>
        <v>359.55</v>
      </c>
      <c r="J1283" s="6">
        <f ca="1">IFERROR(__xludf.DUMMYFUNCTION("IFERROR(GOOGLEFINANCE(B1283, ""volume""), 0)"),53793)</f>
        <v>53793</v>
      </c>
      <c r="K1283" s="6">
        <v>1.4</v>
      </c>
      <c r="L1283" s="6">
        <f ca="1">IFERROR(__xludf.DUMMYFUNCTION("IFERROR(GOOGLEFINANCE(B1283,""changepct""),K1283)"),2.47)</f>
        <v>2.4700000000000002</v>
      </c>
      <c r="M1283" s="6">
        <f ca="1">IFERROR(__xludf.DUMMYFUNCTION("IFERROR(GOOGLEFINANCE(B1283,""change""),0)"),8.65)</f>
        <v>8.65</v>
      </c>
      <c r="N1283" s="6">
        <v>2</v>
      </c>
      <c r="O1283" s="7">
        <v>45536</v>
      </c>
      <c r="P1283" s="6">
        <v>229.1</v>
      </c>
      <c r="Q1283" s="6">
        <v>1958.21</v>
      </c>
      <c r="R1283" s="7">
        <v>45536</v>
      </c>
      <c r="S1283" s="6">
        <v>1515.19</v>
      </c>
      <c r="T1283" s="6">
        <v>95.49</v>
      </c>
      <c r="U1283" s="7">
        <v>45536</v>
      </c>
      <c r="V1283" s="6">
        <v>18.53</v>
      </c>
      <c r="W1283" s="6">
        <f ca="1">IFERROR(__xludf.DUMMYFUNCTION("IFERROR(GOOGLEFINANCE(B1283,""pe""),V1283)"),14.7)</f>
        <v>14.7</v>
      </c>
      <c r="X1283" s="6">
        <v>2.13</v>
      </c>
      <c r="Y1283" s="6">
        <v>2.08</v>
      </c>
      <c r="Z1283" s="6">
        <v>2</v>
      </c>
      <c r="AA1283" s="8">
        <v>45352</v>
      </c>
      <c r="AB1283" s="4">
        <v>0.27</v>
      </c>
      <c r="AC1283" s="6">
        <v>13.19</v>
      </c>
      <c r="AD1283" s="6">
        <v>15.14</v>
      </c>
      <c r="AE1283" s="1">
        <v>0</v>
      </c>
      <c r="AF1283" s="1">
        <f ca="1">IFERROR(__xludf.DUMMYFUNCTION("IFERROR(GOOGLEFINANCE(TRIM(F1283)&amp;"":"" &amp; TRIM(B1283),""high52""),AE1283)"),390)</f>
        <v>390</v>
      </c>
      <c r="AG1283" s="1">
        <v>0</v>
      </c>
      <c r="AH1283" s="1">
        <f ca="1">IFERROR(__xludf.DUMMYFUNCTION("IFERROR(GOOGLEFINANCE(TRIM(F1283)&amp;"":"" &amp; TRIM(B1283),""low52""),AE1283)"),271.05)</f>
        <v>271.05</v>
      </c>
      <c r="AI1283" s="1">
        <f ca="1">IFERROR(__xludf.DUMMYFUNCTION("IFERROR(GOOGLEFINANCE(B1283,""eps""),0)"),24.46)</f>
        <v>24.46</v>
      </c>
      <c r="AJ1283" s="1"/>
      <c r="AK1283" s="1" t="s">
        <v>3879</v>
      </c>
      <c r="AL1283" s="1" t="b">
        <f>ISNUMBER(AA1283)</f>
        <v>1</v>
      </c>
    </row>
    <row r="1284" spans="1:38" ht="15" x14ac:dyDescent="0.25">
      <c r="A1284" s="1" t="s">
        <v>3880</v>
      </c>
      <c r="B1284" s="1" t="s">
        <v>3881</v>
      </c>
      <c r="C1284" s="1" t="s">
        <v>525</v>
      </c>
      <c r="D1284" s="1" t="s">
        <v>525</v>
      </c>
      <c r="E1284" s="6">
        <v>384.12</v>
      </c>
      <c r="F1284" s="1" t="s">
        <v>53</v>
      </c>
      <c r="G1284" s="6">
        <f ca="1">IFERROR(__xludf.DUMMYFUNCTION("iferror(GOOGLEFINANCE(TRIM(F1284)&amp;"":"" &amp; TRIM(B1284), ""price""),0
)"),0)</f>
        <v>0</v>
      </c>
      <c r="H1284" s="6">
        <v>40.56</v>
      </c>
      <c r="I1284" s="6">
        <f t="shared" ca="1" si="0"/>
        <v>40.56</v>
      </c>
      <c r="J1284" s="6">
        <f ca="1">IFERROR(__xludf.DUMMYFUNCTION("IFERROR(GOOGLEFINANCE(B1284, ""volume""), 0)"),0)</f>
        <v>0</v>
      </c>
      <c r="K1284" s="6">
        <v>5</v>
      </c>
      <c r="L1284" s="6">
        <f ca="1">IFERROR(__xludf.DUMMYFUNCTION("IFERROR(GOOGLEFINANCE(B1284,""changepct""),K1284)"),5)</f>
        <v>5</v>
      </c>
      <c r="M1284" s="6">
        <f ca="1">IFERROR(__xludf.DUMMYFUNCTION("IFERROR(GOOGLEFINANCE(B1284,""change""),0)"),0)</f>
        <v>0</v>
      </c>
      <c r="N1284" s="6">
        <v>1</v>
      </c>
      <c r="O1284" s="7">
        <v>45536</v>
      </c>
      <c r="P1284" s="6">
        <v>10.42</v>
      </c>
      <c r="Q1284" s="6">
        <v>394.54</v>
      </c>
      <c r="R1284" s="7">
        <v>45536</v>
      </c>
      <c r="S1284" s="6">
        <v>532.22</v>
      </c>
      <c r="T1284" s="6">
        <v>39.090000000000003</v>
      </c>
      <c r="U1284" s="7">
        <v>45536</v>
      </c>
      <c r="V1284" s="6">
        <v>9.83</v>
      </c>
      <c r="W1284" s="6">
        <f ca="1">IFERROR(__xludf.DUMMYFUNCTION("IFERROR(GOOGLEFINANCE(B1284,""pe""),V1284)"),9.83)</f>
        <v>9.83</v>
      </c>
      <c r="X1284" s="6">
        <v>0.18</v>
      </c>
      <c r="Y1284" s="6">
        <v>8.1999999999999993</v>
      </c>
      <c r="Z1284" s="6">
        <v>1</v>
      </c>
      <c r="AA1284" s="8">
        <v>45352</v>
      </c>
      <c r="AB1284" s="4">
        <v>2.63</v>
      </c>
      <c r="AC1284" s="6">
        <v>0</v>
      </c>
      <c r="AD1284" s="6">
        <v>148.24</v>
      </c>
      <c r="AE1284" s="1">
        <v>0</v>
      </c>
      <c r="AF1284" s="1">
        <f ca="1">IFERROR(__xludf.DUMMYFUNCTION("IFERROR(GOOGLEFINANCE(TRIM(F1284)&amp;"":"" &amp; TRIM(B1284),""high52""),AE1284)"),0)</f>
        <v>0</v>
      </c>
      <c r="AG1284" s="1">
        <v>0</v>
      </c>
      <c r="AH1284" s="1">
        <f ca="1">IFERROR(__xludf.DUMMYFUNCTION("IFERROR(GOOGLEFINANCE(TRIM(F1284)&amp;"":"" &amp; TRIM(B1284),""low52""),AE1284)"),0)</f>
        <v>0</v>
      </c>
      <c r="AI1284" s="1">
        <f ca="1">IFERROR(__xludf.DUMMYFUNCTION("IFERROR(GOOGLEFINANCE(B1284,""eps""),0)"),0)</f>
        <v>0</v>
      </c>
      <c r="AJ1284" s="1"/>
      <c r="AK1284" s="1" t="s">
        <v>3882</v>
      </c>
      <c r="AL1284" s="9">
        <f t="shared" ref="AL1284:AL1286" si="180">IF(AA1284&lt;&gt;AB1284,1,0)</f>
        <v>1</v>
      </c>
    </row>
    <row r="1285" spans="1:38" ht="15" x14ac:dyDescent="0.25">
      <c r="A1285" s="1" t="s">
        <v>3883</v>
      </c>
      <c r="B1285" s="1" t="s">
        <v>3884</v>
      </c>
      <c r="C1285" s="1" t="s">
        <v>3720</v>
      </c>
      <c r="D1285" s="1" t="s">
        <v>3720</v>
      </c>
      <c r="E1285" s="6">
        <v>30793.31</v>
      </c>
      <c r="F1285" s="1" t="s">
        <v>40</v>
      </c>
      <c r="G1285" s="6">
        <f ca="1">IFERROR(__xludf.DUMMYFUNCTION("iferror(GOOGLEFINANCE(TRIM(F1285)&amp;"":"" &amp; TRIM(B1285), ""price""),0
)"),324.45)</f>
        <v>324.45</v>
      </c>
      <c r="H1285" s="6">
        <v>330.9</v>
      </c>
      <c r="I1285" s="6">
        <f t="shared" ca="1" si="0"/>
        <v>324.45</v>
      </c>
      <c r="J1285" s="6">
        <f ca="1">IFERROR(__xludf.DUMMYFUNCTION("IFERROR(GOOGLEFINANCE(B1285, ""volume""), 0)"),96814)</f>
        <v>96814</v>
      </c>
      <c r="K1285" s="6">
        <v>-0.87</v>
      </c>
      <c r="L1285" s="6">
        <f ca="1">IFERROR(__xludf.DUMMYFUNCTION("IFERROR(GOOGLEFINANCE(B1285,""changepct""),K1285)"),1.2)</f>
        <v>1.2</v>
      </c>
      <c r="M1285" s="6">
        <f ca="1">IFERROR(__xludf.DUMMYFUNCTION("IFERROR(GOOGLEFINANCE(B1285,""change""),0)"),3.85)</f>
        <v>3.85</v>
      </c>
      <c r="N1285" s="6">
        <v>1</v>
      </c>
      <c r="O1285" s="7">
        <v>45352</v>
      </c>
      <c r="P1285" s="6">
        <v>181.68</v>
      </c>
      <c r="Q1285" s="7">
        <v>45352</v>
      </c>
      <c r="R1285" s="6">
        <v>63.6</v>
      </c>
      <c r="S1285" s="9"/>
      <c r="T1285" s="6">
        <v>7.05</v>
      </c>
      <c r="U1285" s="6">
        <v>1</v>
      </c>
      <c r="V1285" s="7">
        <v>45352</v>
      </c>
      <c r="W1285" s="6">
        <f ca="1">IFERROR(__xludf.DUMMYFUNCTION("IFERROR(GOOGLEFINANCE(B1285,""pe""),V1285)"),58.81)</f>
        <v>58.81</v>
      </c>
      <c r="X1285" s="6">
        <v>0.14000000000000001</v>
      </c>
      <c r="Y1285" s="6">
        <v>7.51</v>
      </c>
      <c r="Z1285" s="6">
        <v>7</v>
      </c>
      <c r="AA1285" s="3" t="s">
        <v>3885</v>
      </c>
      <c r="AB1285" s="11"/>
      <c r="AC1285" s="9"/>
      <c r="AD1285" s="9"/>
      <c r="AE1285" s="1">
        <v>0</v>
      </c>
      <c r="AF1285" s="1">
        <f ca="1">IFERROR(__xludf.DUMMYFUNCTION("IFERROR(GOOGLEFINANCE(TRIM(F1285)&amp;"":"" &amp; TRIM(B1285),""high52""),AE1285)"),381.4)</f>
        <v>381.4</v>
      </c>
      <c r="AG1285" s="1">
        <v>0</v>
      </c>
      <c r="AH1285" s="1">
        <f ca="1">IFERROR(__xludf.DUMMYFUNCTION("IFERROR(GOOGLEFINANCE(TRIM(F1285)&amp;"":"" &amp; TRIM(B1285),""low52""),AE1285)"),264.6)</f>
        <v>264.60000000000002</v>
      </c>
      <c r="AI1285" s="1">
        <f ca="1">IFERROR(__xludf.DUMMYFUNCTION("IFERROR(GOOGLEFINANCE(B1285,""eps""),0)"),5.52)</f>
        <v>5.52</v>
      </c>
      <c r="AJ1285" s="1"/>
      <c r="AK1285" s="1" t="s">
        <v>3886</v>
      </c>
      <c r="AL1285" s="9">
        <f t="shared" si="180"/>
        <v>1</v>
      </c>
    </row>
    <row r="1286" spans="1:38" ht="15" x14ac:dyDescent="0.25">
      <c r="A1286" s="1" t="s">
        <v>3887</v>
      </c>
      <c r="B1286" s="1" t="s">
        <v>3888</v>
      </c>
      <c r="C1286" s="1" t="s">
        <v>359</v>
      </c>
      <c r="D1286" s="1" t="s">
        <v>359</v>
      </c>
      <c r="E1286" s="6">
        <v>5344.19</v>
      </c>
      <c r="F1286" s="1" t="s">
        <v>40</v>
      </c>
      <c r="G1286" s="6">
        <f ca="1">IFERROR(__xludf.DUMMYFUNCTION("iferror(GOOGLEFINANCE(TRIM(F1286)&amp;"":"" &amp; TRIM(B1286), ""price""),0
)"),385.55)</f>
        <v>385.55</v>
      </c>
      <c r="H1286" s="6">
        <v>1022.05</v>
      </c>
      <c r="I1286" s="6">
        <f t="shared" ca="1" si="0"/>
        <v>385.55</v>
      </c>
      <c r="J1286" s="6">
        <f ca="1">IFERROR(__xludf.DUMMYFUNCTION("IFERROR(GOOGLEFINANCE(B1286, ""volume""), 0)"),202598)</f>
        <v>202598</v>
      </c>
      <c r="K1286" s="6">
        <v>3.67</v>
      </c>
      <c r="L1286" s="6">
        <f ca="1">IFERROR(__xludf.DUMMYFUNCTION("IFERROR(GOOGLEFINANCE(B1286,""changepct""),K1286)"),-1.47)</f>
        <v>-1.47</v>
      </c>
      <c r="M1286" s="6">
        <f ca="1">IFERROR(__xludf.DUMMYFUNCTION("IFERROR(GOOGLEFINANCE(B1286,""change""),0)"),-5.75)</f>
        <v>-5.75</v>
      </c>
      <c r="N1286" s="6">
        <v>1</v>
      </c>
      <c r="O1286" s="7">
        <v>45536</v>
      </c>
      <c r="P1286" s="9"/>
      <c r="Q1286" s="6">
        <v>5117.2</v>
      </c>
      <c r="R1286" s="7">
        <v>45536</v>
      </c>
      <c r="S1286" s="6">
        <v>812.5</v>
      </c>
      <c r="T1286" s="6">
        <v>85.74</v>
      </c>
      <c r="U1286" s="7">
        <v>45536</v>
      </c>
      <c r="V1286" s="6">
        <v>62.33</v>
      </c>
      <c r="W1286" s="6">
        <f ca="1">IFERROR(__xludf.DUMMYFUNCTION("IFERROR(GOOGLEFINANCE(B1286,""pe""),V1286)"),29.27)</f>
        <v>29.27</v>
      </c>
      <c r="X1286" s="9"/>
      <c r="Y1286" s="6">
        <v>8.18</v>
      </c>
      <c r="Z1286" s="6">
        <v>1</v>
      </c>
      <c r="AA1286" s="8">
        <v>45352</v>
      </c>
      <c r="AB1286" s="4">
        <v>0</v>
      </c>
      <c r="AC1286" s="6">
        <v>14.72</v>
      </c>
      <c r="AD1286" s="6">
        <v>27.15</v>
      </c>
      <c r="AE1286" s="1">
        <v>0</v>
      </c>
      <c r="AF1286" s="1">
        <f ca="1">IFERROR(__xludf.DUMMYFUNCTION("IFERROR(GOOGLEFINANCE(TRIM(F1286)&amp;"":"" &amp; TRIM(B1286),""high52""),AE1286)"),943.75)</f>
        <v>943.75</v>
      </c>
      <c r="AG1286" s="1">
        <v>0</v>
      </c>
      <c r="AH1286" s="1">
        <f ca="1">IFERROR(__xludf.DUMMYFUNCTION("IFERROR(GOOGLEFINANCE(TRIM(F1286)&amp;"":"" &amp; TRIM(B1286),""low52""),AE1286)"),373.35)</f>
        <v>373.35</v>
      </c>
      <c r="AI1286" s="1">
        <f ca="1">IFERROR(__xludf.DUMMYFUNCTION("IFERROR(GOOGLEFINANCE(B1286,""eps""),0)"),13.17)</f>
        <v>13.17</v>
      </c>
      <c r="AJ1286" s="1"/>
      <c r="AK1286" s="1" t="s">
        <v>3889</v>
      </c>
      <c r="AL1286" s="9">
        <f t="shared" si="180"/>
        <v>1</v>
      </c>
    </row>
    <row r="1287" spans="1:38" ht="15" x14ac:dyDescent="0.25">
      <c r="A1287" s="1" t="s">
        <v>3890</v>
      </c>
      <c r="B1287" s="1" t="s">
        <v>3891</v>
      </c>
      <c r="C1287" s="1" t="s">
        <v>3892</v>
      </c>
      <c r="D1287" s="1" t="s">
        <v>3892</v>
      </c>
      <c r="E1287" s="6">
        <v>676.31</v>
      </c>
      <c r="F1287" s="1" t="s">
        <v>40</v>
      </c>
      <c r="G1287" s="6">
        <f ca="1">IFERROR(__xludf.DUMMYFUNCTION("iferror(GOOGLEFINANCE(TRIM(F1287)&amp;"":"" &amp; TRIM(B1287), ""price""),0
)"),370)</f>
        <v>370</v>
      </c>
      <c r="H1287" s="6">
        <v>730.15</v>
      </c>
      <c r="I1287" s="6">
        <f t="shared" ca="1" si="0"/>
        <v>370</v>
      </c>
      <c r="J1287" s="6">
        <f ca="1">IFERROR(__xludf.DUMMYFUNCTION("IFERROR(GOOGLEFINANCE(B1287, ""volume""), 0)"),16937)</f>
        <v>16937</v>
      </c>
      <c r="K1287" s="6">
        <v>-1.33</v>
      </c>
      <c r="L1287" s="6">
        <f ca="1">IFERROR(__xludf.DUMMYFUNCTION("IFERROR(GOOGLEFINANCE(B1287,""changepct""),K1287)"),-2.34)</f>
        <v>-2.34</v>
      </c>
      <c r="M1287" s="6">
        <f ca="1">IFERROR(__xludf.DUMMYFUNCTION("IFERROR(GOOGLEFINANCE(B1287,""change""),0)"),-8.85)</f>
        <v>-8.85</v>
      </c>
      <c r="N1287" s="6">
        <v>1</v>
      </c>
      <c r="O1287" s="7">
        <v>45536</v>
      </c>
      <c r="P1287" s="6">
        <v>263.73</v>
      </c>
      <c r="Q1287" s="6">
        <v>791.9</v>
      </c>
      <c r="R1287" s="7">
        <v>45536</v>
      </c>
      <c r="S1287" s="6">
        <v>697.7</v>
      </c>
      <c r="T1287" s="6">
        <v>36.81</v>
      </c>
      <c r="U1287" s="7">
        <v>45536</v>
      </c>
      <c r="V1287" s="6">
        <v>18.37</v>
      </c>
      <c r="W1287" s="6">
        <f ca="1">IFERROR(__xludf.DUMMYFUNCTION("IFERROR(GOOGLEFINANCE(B1287,""pe""),V1287)"),18.37)</f>
        <v>18.37</v>
      </c>
      <c r="X1287" s="6">
        <v>0.27</v>
      </c>
      <c r="Y1287" s="6">
        <v>2.91</v>
      </c>
      <c r="Z1287" s="6">
        <v>1</v>
      </c>
      <c r="AA1287" s="8">
        <v>45352</v>
      </c>
      <c r="AB1287" s="4">
        <v>1.35</v>
      </c>
      <c r="AC1287" s="6">
        <v>39.44</v>
      </c>
      <c r="AD1287" s="6">
        <v>23.46</v>
      </c>
      <c r="AE1287" s="1">
        <v>0</v>
      </c>
      <c r="AF1287" s="1">
        <f ca="1">IFERROR(__xludf.DUMMYFUNCTION("IFERROR(GOOGLEFINANCE(TRIM(F1287)&amp;"":"" &amp; TRIM(B1287),""high52""),AE1287)"),590)</f>
        <v>590</v>
      </c>
      <c r="AG1287" s="1">
        <v>0</v>
      </c>
      <c r="AH1287" s="1">
        <f ca="1">IFERROR(__xludf.DUMMYFUNCTION("IFERROR(GOOGLEFINANCE(TRIM(F1287)&amp;"":"" &amp; TRIM(B1287),""low52""),AE1287)"),350.4)</f>
        <v>350.4</v>
      </c>
      <c r="AI1287" s="1">
        <f ca="1">IFERROR(__xludf.DUMMYFUNCTION("IFERROR(GOOGLEFINANCE(B1287,""eps""),0)"),-64.77)</f>
        <v>-64.77</v>
      </c>
      <c r="AJ1287" s="1"/>
      <c r="AK1287" s="1" t="s">
        <v>3893</v>
      </c>
      <c r="AL1287" s="1" t="b">
        <f>ISNUMBER(AA1287)</f>
        <v>1</v>
      </c>
    </row>
    <row r="1288" spans="1:38" ht="15" x14ac:dyDescent="0.25">
      <c r="A1288" s="1" t="s">
        <v>3894</v>
      </c>
      <c r="B1288" s="1" t="s">
        <v>3895</v>
      </c>
      <c r="C1288" s="1" t="s">
        <v>135</v>
      </c>
      <c r="D1288" s="1" t="s">
        <v>135</v>
      </c>
      <c r="E1288" s="6">
        <v>1973.48</v>
      </c>
      <c r="F1288" s="1" t="s">
        <v>40</v>
      </c>
      <c r="G1288" s="6">
        <f ca="1">IFERROR(__xludf.DUMMYFUNCTION("iferror(GOOGLEFINANCE(TRIM(F1288)&amp;"":"" &amp; TRIM(B1288), ""price""),0
)"),258.85)</f>
        <v>258.85000000000002</v>
      </c>
      <c r="H1288" s="6">
        <v>401.7</v>
      </c>
      <c r="I1288" s="6">
        <f t="shared" ca="1" si="0"/>
        <v>258.85000000000002</v>
      </c>
      <c r="J1288" s="6">
        <f ca="1">IFERROR(__xludf.DUMMYFUNCTION("IFERROR(GOOGLEFINANCE(B1288, ""volume""), 0)"),26997)</f>
        <v>26997</v>
      </c>
      <c r="K1288" s="6">
        <v>0.89</v>
      </c>
      <c r="L1288" s="6">
        <f ca="1">IFERROR(__xludf.DUMMYFUNCTION("IFERROR(GOOGLEFINANCE(B1288,""changepct""),K1288)"),0.19)</f>
        <v>0.19</v>
      </c>
      <c r="M1288" s="6">
        <f ca="1">IFERROR(__xludf.DUMMYFUNCTION("IFERROR(GOOGLEFINANCE(B1288,""change""),0)"),0.5)</f>
        <v>0.5</v>
      </c>
      <c r="N1288" s="6">
        <v>2</v>
      </c>
      <c r="O1288" s="7">
        <v>45536</v>
      </c>
      <c r="P1288" s="6">
        <v>1225.0999999999999</v>
      </c>
      <c r="Q1288" s="6">
        <v>3123.55</v>
      </c>
      <c r="R1288" s="7">
        <v>45536</v>
      </c>
      <c r="S1288" s="6">
        <v>655.12</v>
      </c>
      <c r="T1288" s="6">
        <v>62.06</v>
      </c>
      <c r="U1288" s="7">
        <v>45536</v>
      </c>
      <c r="V1288" s="6">
        <v>31.8</v>
      </c>
      <c r="W1288" s="6">
        <f ca="1">IFERROR(__xludf.DUMMYFUNCTION("IFERROR(GOOGLEFINANCE(B1288,""pe""),V1288)"),0.95)</f>
        <v>0.95</v>
      </c>
      <c r="X1288" s="6">
        <v>5.35</v>
      </c>
      <c r="Y1288" s="6">
        <v>1.37</v>
      </c>
      <c r="Z1288" s="6">
        <v>2</v>
      </c>
      <c r="AA1288" s="8">
        <v>45352</v>
      </c>
      <c r="AB1288" s="4">
        <v>0.84</v>
      </c>
      <c r="AC1288" s="6">
        <v>3.41</v>
      </c>
      <c r="AD1288" s="6">
        <v>7.28</v>
      </c>
      <c r="AE1288" s="1">
        <v>0</v>
      </c>
      <c r="AF1288" s="1">
        <f ca="1">IFERROR(__xludf.DUMMYFUNCTION("IFERROR(GOOGLEFINANCE(TRIM(F1288)&amp;"":"" &amp; TRIM(B1288),""high52""),AE1288)"),417.5)</f>
        <v>417.5</v>
      </c>
      <c r="AG1288" s="1">
        <v>0</v>
      </c>
      <c r="AH1288" s="1">
        <f ca="1">IFERROR(__xludf.DUMMYFUNCTION("IFERROR(GOOGLEFINANCE(TRIM(F1288)&amp;"":"" &amp; TRIM(B1288),""low52""),AE1288)"),244)</f>
        <v>244</v>
      </c>
      <c r="AI1288" s="1">
        <f ca="1">IFERROR(__xludf.DUMMYFUNCTION("IFERROR(GOOGLEFINANCE(B1288,""eps""),0)"),272.75)</f>
        <v>272.75</v>
      </c>
      <c r="AJ1288" s="1"/>
      <c r="AK1288" s="1" t="s">
        <v>3896</v>
      </c>
      <c r="AL1288" s="9">
        <f t="shared" ref="AL1288:AL1292" si="181">IF(AA1288&lt;&gt;AB1288,1,0)</f>
        <v>1</v>
      </c>
    </row>
    <row r="1289" spans="1:38" ht="15" x14ac:dyDescent="0.25">
      <c r="A1289" s="1" t="s">
        <v>3897</v>
      </c>
      <c r="B1289" s="1" t="s">
        <v>3898</v>
      </c>
      <c r="C1289" s="1" t="s">
        <v>1118</v>
      </c>
      <c r="D1289" s="1" t="s">
        <v>1118</v>
      </c>
      <c r="E1289" s="6">
        <v>1587.22</v>
      </c>
      <c r="F1289" s="1" t="s">
        <v>40</v>
      </c>
      <c r="G1289" s="6">
        <f ca="1">IFERROR(__xludf.DUMMYFUNCTION("iferror(GOOGLEFINANCE(TRIM(F1289)&amp;"":"" &amp; TRIM(B1289), ""price""),0
)"),244.5)</f>
        <v>244.5</v>
      </c>
      <c r="H1289" s="6">
        <v>313.8</v>
      </c>
      <c r="I1289" s="6">
        <f t="shared" ca="1" si="0"/>
        <v>244.5</v>
      </c>
      <c r="J1289" s="6">
        <f ca="1">IFERROR(__xludf.DUMMYFUNCTION("IFERROR(GOOGLEFINANCE(B1289, ""volume""), 0)"),54436)</f>
        <v>54436</v>
      </c>
      <c r="K1289" s="6">
        <v>1.21</v>
      </c>
      <c r="L1289" s="6">
        <f ca="1">IFERROR(__xludf.DUMMYFUNCTION("IFERROR(GOOGLEFINANCE(B1289,""changepct""),K1289)"),-2.55)</f>
        <v>-2.5499999999999998</v>
      </c>
      <c r="M1289" s="6">
        <f ca="1">IFERROR(__xludf.DUMMYFUNCTION("IFERROR(GOOGLEFINANCE(B1289,""change""),0)"),-6.4)</f>
        <v>-6.4</v>
      </c>
      <c r="N1289" s="6">
        <v>2</v>
      </c>
      <c r="O1289" s="7">
        <v>45536</v>
      </c>
      <c r="P1289" s="6">
        <v>684.87</v>
      </c>
      <c r="Q1289" s="6">
        <v>2242.02</v>
      </c>
      <c r="R1289" s="14"/>
      <c r="S1289" s="9"/>
      <c r="T1289" s="9"/>
      <c r="U1289" s="7">
        <v>45352</v>
      </c>
      <c r="V1289" s="6">
        <v>129.05000000000001</v>
      </c>
      <c r="W1289" s="6">
        <f ca="1">IFERROR(__xludf.DUMMYFUNCTION("IFERROR(GOOGLEFINANCE(B1289,""pe""),V1289)"),59.25)</f>
        <v>59.25</v>
      </c>
      <c r="X1289" s="9"/>
      <c r="Y1289" s="6">
        <v>1.67</v>
      </c>
      <c r="Z1289" s="6">
        <v>2</v>
      </c>
      <c r="AA1289" s="8">
        <v>45352</v>
      </c>
      <c r="AB1289" s="4">
        <v>1.31</v>
      </c>
      <c r="AC1289" s="6">
        <v>2.48</v>
      </c>
      <c r="AD1289" s="6">
        <v>7.4</v>
      </c>
      <c r="AE1289" s="1">
        <v>0</v>
      </c>
      <c r="AF1289" s="1">
        <f ca="1">IFERROR(__xludf.DUMMYFUNCTION("IFERROR(GOOGLEFINANCE(TRIM(F1289)&amp;"":"" &amp; TRIM(B1289),""high52""),AE1289)"),348.7)</f>
        <v>348.7</v>
      </c>
      <c r="AG1289" s="1">
        <v>0</v>
      </c>
      <c r="AH1289" s="1">
        <f ca="1">IFERROR(__xludf.DUMMYFUNCTION("IFERROR(GOOGLEFINANCE(TRIM(F1289)&amp;"":"" &amp; TRIM(B1289),""low52""),AE1289)"),145)</f>
        <v>145</v>
      </c>
      <c r="AI1289" s="1">
        <f ca="1">IFERROR(__xludf.DUMMYFUNCTION("IFERROR(GOOGLEFINANCE(B1289,""eps""),0)"),4.13)</f>
        <v>4.13</v>
      </c>
      <c r="AJ1289" s="1"/>
      <c r="AK1289" s="1" t="s">
        <v>3899</v>
      </c>
      <c r="AL1289" s="9">
        <f t="shared" si="181"/>
        <v>1</v>
      </c>
    </row>
    <row r="1290" spans="1:38" ht="15" x14ac:dyDescent="0.25">
      <c r="A1290" s="1" t="s">
        <v>3900</v>
      </c>
      <c r="B1290" s="1" t="s">
        <v>3901</v>
      </c>
      <c r="C1290" s="1" t="s">
        <v>219</v>
      </c>
      <c r="D1290" s="1" t="s">
        <v>219</v>
      </c>
      <c r="E1290" s="6">
        <v>13887.92</v>
      </c>
      <c r="F1290" s="1" t="s">
        <v>40</v>
      </c>
      <c r="G1290" s="6">
        <f ca="1">IFERROR(__xludf.DUMMYFUNCTION("iferror(GOOGLEFINANCE(TRIM(F1290)&amp;"":"" &amp; TRIM(B1290), ""price""),0
)"),251)</f>
        <v>251</v>
      </c>
      <c r="H1290" s="6">
        <v>207.52</v>
      </c>
      <c r="I1290" s="6">
        <f t="shared" ca="1" si="0"/>
        <v>251</v>
      </c>
      <c r="J1290" s="6">
        <f ca="1">IFERROR(__xludf.DUMMYFUNCTION("IFERROR(GOOGLEFINANCE(B1290, ""volume""), 0)"),1810516)</f>
        <v>1810516</v>
      </c>
      <c r="K1290" s="6">
        <v>-0.08</v>
      </c>
      <c r="L1290" s="6">
        <f ca="1">IFERROR(__xludf.DUMMYFUNCTION("IFERROR(GOOGLEFINANCE(B1290,""changepct""),K1290)"),3.4)</f>
        <v>3.4</v>
      </c>
      <c r="M1290" s="6">
        <f ca="1">IFERROR(__xludf.DUMMYFUNCTION("IFERROR(GOOGLEFINANCE(B1290,""change""),0)"),8.26)</f>
        <v>8.26</v>
      </c>
      <c r="N1290" s="6">
        <v>2</v>
      </c>
      <c r="O1290" s="7">
        <v>45536</v>
      </c>
      <c r="P1290" s="6">
        <v>33.71</v>
      </c>
      <c r="Q1290" s="6">
        <v>13149.58</v>
      </c>
      <c r="R1290" s="7">
        <v>45536</v>
      </c>
      <c r="S1290" s="6">
        <v>5448.78</v>
      </c>
      <c r="T1290" s="6">
        <v>888.95</v>
      </c>
      <c r="U1290" s="7">
        <v>45536</v>
      </c>
      <c r="V1290" s="6">
        <v>15.55</v>
      </c>
      <c r="W1290" s="6">
        <f ca="1">IFERROR(__xludf.DUMMYFUNCTION("IFERROR(GOOGLEFINANCE(B1290,""pe""),V1290)"),20.86)</f>
        <v>20.86</v>
      </c>
      <c r="X1290" s="6">
        <v>0.52</v>
      </c>
      <c r="Y1290" s="6">
        <v>3.06</v>
      </c>
      <c r="Z1290" s="6">
        <v>2</v>
      </c>
      <c r="AA1290" s="8">
        <v>45352</v>
      </c>
      <c r="AB1290" s="4">
        <v>0.01</v>
      </c>
      <c r="AC1290" s="6">
        <v>22.28</v>
      </c>
      <c r="AD1290" s="6">
        <v>30</v>
      </c>
      <c r="AE1290" s="1">
        <v>0</v>
      </c>
      <c r="AF1290" s="1">
        <f ca="1">IFERROR(__xludf.DUMMYFUNCTION("IFERROR(GOOGLEFINANCE(TRIM(F1290)&amp;"":"" &amp; TRIM(B1290),""high52""),AE1290)"),290)</f>
        <v>290</v>
      </c>
      <c r="AG1290" s="1">
        <v>0</v>
      </c>
      <c r="AH1290" s="1">
        <f ca="1">IFERROR(__xludf.DUMMYFUNCTION("IFERROR(GOOGLEFINANCE(TRIM(F1290)&amp;"":"" &amp; TRIM(B1290),""low52""),AE1290)"),145.75)</f>
        <v>145.75</v>
      </c>
      <c r="AI1290" s="1">
        <f ca="1">IFERROR(__xludf.DUMMYFUNCTION("IFERROR(GOOGLEFINANCE(B1290,""eps""),0)"),12.03)</f>
        <v>12.03</v>
      </c>
      <c r="AJ1290" s="1"/>
      <c r="AK1290" s="1" t="s">
        <v>3902</v>
      </c>
      <c r="AL1290" s="9">
        <f t="shared" si="181"/>
        <v>1</v>
      </c>
    </row>
    <row r="1291" spans="1:38" ht="15" x14ac:dyDescent="0.25">
      <c r="A1291" s="1" t="s">
        <v>3903</v>
      </c>
      <c r="B1291" s="1" t="s">
        <v>3904</v>
      </c>
      <c r="C1291" s="1" t="s">
        <v>2124</v>
      </c>
      <c r="D1291" s="1" t="s">
        <v>2124</v>
      </c>
      <c r="E1291" s="6">
        <v>26844.720000000001</v>
      </c>
      <c r="F1291" s="1" t="s">
        <v>40</v>
      </c>
      <c r="G1291" s="6">
        <f ca="1">IFERROR(__xludf.DUMMYFUNCTION("iferror(GOOGLEFINANCE(TRIM(F1291)&amp;"":"" &amp; TRIM(B1291), ""price""),0
)"),1940)</f>
        <v>1940</v>
      </c>
      <c r="H1291" s="6">
        <v>5093.55</v>
      </c>
      <c r="I1291" s="6">
        <f t="shared" ca="1" si="0"/>
        <v>1940</v>
      </c>
      <c r="J1291" s="6">
        <f ca="1">IFERROR(__xludf.DUMMYFUNCTION("IFERROR(GOOGLEFINANCE(B1291, ""volume""), 0)"),691641)</f>
        <v>691641</v>
      </c>
      <c r="K1291" s="6">
        <v>-1.41</v>
      </c>
      <c r="L1291" s="6">
        <f ca="1">IFERROR(__xludf.DUMMYFUNCTION("IFERROR(GOOGLEFINANCE(B1291,""changepct""),K1291)"),-2.77)</f>
        <v>-2.77</v>
      </c>
      <c r="M1291" s="6">
        <f ca="1">IFERROR(__xludf.DUMMYFUNCTION("IFERROR(GOOGLEFINANCE(B1291,""change""),0)"),-55.2)</f>
        <v>-55.2</v>
      </c>
      <c r="N1291" s="6">
        <v>2</v>
      </c>
      <c r="O1291" s="7">
        <v>45536</v>
      </c>
      <c r="P1291" s="6">
        <v>31.14</v>
      </c>
      <c r="Q1291" s="6">
        <v>26846.62</v>
      </c>
      <c r="R1291" s="7">
        <v>45536</v>
      </c>
      <c r="S1291" s="6">
        <v>5776.9</v>
      </c>
      <c r="T1291" s="6">
        <v>714.39</v>
      </c>
      <c r="U1291" s="7">
        <v>45536</v>
      </c>
      <c r="V1291" s="6">
        <v>29.72</v>
      </c>
      <c r="W1291" s="6">
        <f ca="1">IFERROR(__xludf.DUMMYFUNCTION("IFERROR(GOOGLEFINANCE(B1291,""pe""),V1291)"),22.21)</f>
        <v>22.21</v>
      </c>
      <c r="X1291" s="6">
        <v>1.07</v>
      </c>
      <c r="Y1291" s="6">
        <v>5.7</v>
      </c>
      <c r="Z1291" s="6">
        <v>2</v>
      </c>
      <c r="AA1291" s="8">
        <v>45352</v>
      </c>
      <c r="AB1291" s="4">
        <v>0.01</v>
      </c>
      <c r="AC1291" s="6">
        <v>22.74</v>
      </c>
      <c r="AD1291" s="6">
        <v>28.52</v>
      </c>
      <c r="AE1291" s="1">
        <v>0</v>
      </c>
      <c r="AF1291" s="1">
        <f ca="1">IFERROR(__xludf.DUMMYFUNCTION("IFERROR(GOOGLEFINANCE(TRIM(F1291)&amp;"":"" &amp; TRIM(B1291),""high52""),AE1291)"),3947)</f>
        <v>3947</v>
      </c>
      <c r="AG1291" s="1">
        <v>0</v>
      </c>
      <c r="AH1291" s="1">
        <f ca="1">IFERROR(__xludf.DUMMYFUNCTION("IFERROR(GOOGLEFINANCE(TRIM(F1291)&amp;"":"" &amp; TRIM(B1291),""low52""),AE1291)"),1507.45)</f>
        <v>1507.45</v>
      </c>
      <c r="AI1291" s="1">
        <f ca="1">IFERROR(__xludf.DUMMYFUNCTION("IFERROR(GOOGLEFINANCE(B1291,""eps""),0)"),87.33)</f>
        <v>87.33</v>
      </c>
      <c r="AJ1291" s="1"/>
      <c r="AK1291" s="1" t="s">
        <v>3905</v>
      </c>
      <c r="AL1291" s="9">
        <f t="shared" si="181"/>
        <v>1</v>
      </c>
    </row>
    <row r="1292" spans="1:38" ht="15" x14ac:dyDescent="0.25">
      <c r="A1292" s="1" t="s">
        <v>3906</v>
      </c>
      <c r="B1292" s="1" t="s">
        <v>3907</v>
      </c>
      <c r="C1292" s="1" t="s">
        <v>416</v>
      </c>
      <c r="D1292" s="1" t="s">
        <v>416</v>
      </c>
      <c r="E1292" s="6">
        <v>154.4</v>
      </c>
      <c r="F1292" s="1" t="s">
        <v>40</v>
      </c>
      <c r="G1292" s="6">
        <f ca="1">IFERROR(__xludf.DUMMYFUNCTION("iferror(GOOGLEFINANCE(TRIM(F1292)&amp;"":"" &amp; TRIM(B1292), ""price""),0
)"),0)</f>
        <v>0</v>
      </c>
      <c r="H1292" s="6">
        <v>1.27</v>
      </c>
      <c r="I1292" s="6">
        <f t="shared" ca="1" si="0"/>
        <v>1.27</v>
      </c>
      <c r="J1292" s="6">
        <f ca="1">IFERROR(__xludf.DUMMYFUNCTION("IFERROR(GOOGLEFINANCE(B1292, ""volume""), 0)"),0)</f>
        <v>0</v>
      </c>
      <c r="K1292" s="6">
        <v>-0.78</v>
      </c>
      <c r="L1292" s="6">
        <f ca="1">IFERROR(__xludf.DUMMYFUNCTION("IFERROR(GOOGLEFINANCE(B1292,""changepct""),K1292)"),-0.78)</f>
        <v>-0.78</v>
      </c>
      <c r="M1292" s="6">
        <f ca="1">IFERROR(__xludf.DUMMYFUNCTION("IFERROR(GOOGLEFINANCE(B1292,""change""),0)"),0)</f>
        <v>0</v>
      </c>
      <c r="N1292" s="6">
        <v>1</v>
      </c>
      <c r="O1292" s="7">
        <v>45536</v>
      </c>
      <c r="P1292" s="6">
        <v>81.63</v>
      </c>
      <c r="Q1292" s="6">
        <v>225.41</v>
      </c>
      <c r="R1292" s="7">
        <v>45536</v>
      </c>
      <c r="S1292" s="6">
        <v>109.36</v>
      </c>
      <c r="T1292" s="6">
        <v>2.09</v>
      </c>
      <c r="U1292" s="7">
        <v>45536</v>
      </c>
      <c r="V1292" s="6">
        <v>74.02</v>
      </c>
      <c r="W1292" s="6">
        <f ca="1">IFERROR(__xludf.DUMMYFUNCTION("IFERROR(GOOGLEFINANCE(B1292,""pe""),V1292)"),74.02)</f>
        <v>74.02</v>
      </c>
      <c r="X1292" s="6">
        <v>10.24</v>
      </c>
      <c r="Y1292" s="6">
        <v>1.25</v>
      </c>
      <c r="Z1292" s="6">
        <v>1</v>
      </c>
      <c r="AA1292" s="8">
        <v>45352</v>
      </c>
      <c r="AB1292" s="4">
        <v>0.03</v>
      </c>
      <c r="AC1292" s="6">
        <v>1.1000000000000001</v>
      </c>
      <c r="AD1292" s="6">
        <v>3.13</v>
      </c>
      <c r="AE1292" s="1">
        <v>0</v>
      </c>
      <c r="AF1292" s="1">
        <f ca="1">IFERROR(__xludf.DUMMYFUNCTION("IFERROR(GOOGLEFINANCE(TRIM(F1292)&amp;"":"" &amp; TRIM(B1292),""high52""),AE1292)"),0)</f>
        <v>0</v>
      </c>
      <c r="AG1292" s="1">
        <v>0</v>
      </c>
      <c r="AH1292" s="1">
        <f ca="1">IFERROR(__xludf.DUMMYFUNCTION("IFERROR(GOOGLEFINANCE(TRIM(F1292)&amp;"":"" &amp; TRIM(B1292),""low52""),AE1292)"),0)</f>
        <v>0</v>
      </c>
      <c r="AI1292" s="1">
        <f ca="1">IFERROR(__xludf.DUMMYFUNCTION("IFERROR(GOOGLEFINANCE(B1292,""eps""),0)"),0)</f>
        <v>0</v>
      </c>
      <c r="AJ1292" s="1"/>
      <c r="AK1292" s="9"/>
      <c r="AL1292" s="9">
        <f t="shared" si="181"/>
        <v>1</v>
      </c>
    </row>
    <row r="1293" spans="1:38" ht="15" x14ac:dyDescent="0.25">
      <c r="A1293" s="1" t="s">
        <v>3908</v>
      </c>
      <c r="B1293" s="1" t="s">
        <v>3909</v>
      </c>
      <c r="C1293" s="1" t="s">
        <v>328</v>
      </c>
      <c r="D1293" s="1" t="s">
        <v>328</v>
      </c>
      <c r="E1293" s="6">
        <v>14321.55</v>
      </c>
      <c r="F1293" s="1" t="s">
        <v>40</v>
      </c>
      <c r="G1293" s="6">
        <f ca="1">IFERROR(__xludf.DUMMYFUNCTION("iferror(GOOGLEFINANCE(TRIM(F1293)&amp;"":"" &amp; TRIM(B1293), ""price""),0
)"),555)</f>
        <v>555</v>
      </c>
      <c r="H1293" s="6">
        <v>748.1</v>
      </c>
      <c r="I1293" s="6">
        <f t="shared" ca="1" si="0"/>
        <v>555</v>
      </c>
      <c r="J1293" s="6">
        <f ca="1">IFERROR(__xludf.DUMMYFUNCTION("IFERROR(GOOGLEFINANCE(B1293, ""volume""), 0)"),1168602)</f>
        <v>1168602</v>
      </c>
      <c r="K1293" s="6">
        <v>0.37</v>
      </c>
      <c r="L1293" s="6">
        <f ca="1">IFERROR(__xludf.DUMMYFUNCTION("IFERROR(GOOGLEFINANCE(B1293,""changepct""),K1293)"),6.88)</f>
        <v>6.88</v>
      </c>
      <c r="M1293" s="6">
        <f ca="1">IFERROR(__xludf.DUMMYFUNCTION("IFERROR(GOOGLEFINANCE(B1293,""change""),0)"),35.75)</f>
        <v>35.75</v>
      </c>
      <c r="N1293" s="6">
        <v>2</v>
      </c>
      <c r="O1293" s="7">
        <v>45536</v>
      </c>
      <c r="P1293" s="6">
        <v>1800.97</v>
      </c>
      <c r="Q1293" s="6">
        <v>16110.26</v>
      </c>
      <c r="R1293" s="7">
        <v>45536</v>
      </c>
      <c r="S1293" s="6">
        <v>9278.99</v>
      </c>
      <c r="T1293" s="6">
        <v>325.39999999999998</v>
      </c>
      <c r="U1293" s="7">
        <v>45536</v>
      </c>
      <c r="V1293" s="6">
        <v>36.130000000000003</v>
      </c>
      <c r="W1293" s="6">
        <f ca="1">IFERROR(__xludf.DUMMYFUNCTION("IFERROR(GOOGLEFINANCE(B1293,""pe""),V1293)"),24.51)</f>
        <v>24.51</v>
      </c>
      <c r="X1293" s="6">
        <v>5.73</v>
      </c>
      <c r="Y1293" s="6">
        <v>6.04</v>
      </c>
      <c r="Z1293" s="6">
        <v>2</v>
      </c>
      <c r="AA1293" s="17">
        <v>45352</v>
      </c>
      <c r="AB1293" s="18">
        <v>0.52</v>
      </c>
      <c r="AC1293" s="6">
        <v>14.85</v>
      </c>
      <c r="AD1293" s="6">
        <v>15.51</v>
      </c>
      <c r="AE1293" s="1">
        <v>0</v>
      </c>
      <c r="AF1293" s="1">
        <f ca="1">IFERROR(__xludf.DUMMYFUNCTION("IFERROR(GOOGLEFINANCE(TRIM(F1293)&amp;"":"" &amp; TRIM(B1293),""high52""),AE1293)"),876.35)</f>
        <v>876.35</v>
      </c>
      <c r="AG1293" s="1">
        <v>0</v>
      </c>
      <c r="AH1293" s="1">
        <f ca="1">IFERROR(__xludf.DUMMYFUNCTION("IFERROR(GOOGLEFINANCE(TRIM(F1293)&amp;"":"" &amp; TRIM(B1293),""low52""),AE1293)"),506.1)</f>
        <v>506.1</v>
      </c>
      <c r="AI1293" s="1">
        <f ca="1">IFERROR(__xludf.DUMMYFUNCTION("IFERROR(GOOGLEFINANCE(B1293,""eps""),0)"),22.64)</f>
        <v>22.64</v>
      </c>
      <c r="AJ1293" s="1"/>
      <c r="AK1293" s="9"/>
      <c r="AL1293" s="1" t="b">
        <f>ISBLANK(AB1293)</f>
        <v>0</v>
      </c>
    </row>
    <row r="1294" spans="1:38" ht="15" x14ac:dyDescent="0.25">
      <c r="A1294" s="1" t="s">
        <v>3910</v>
      </c>
      <c r="B1294" s="1" t="s">
        <v>3911</v>
      </c>
      <c r="C1294" s="1" t="s">
        <v>112</v>
      </c>
      <c r="D1294" s="1" t="s">
        <v>112</v>
      </c>
      <c r="E1294" s="6">
        <v>424.53</v>
      </c>
      <c r="F1294" s="1" t="s">
        <v>53</v>
      </c>
      <c r="G1294" s="6">
        <f ca="1">IFERROR(__xludf.DUMMYFUNCTION("iferror(GOOGLEFINANCE(TRIM(F1294)&amp;"":"" &amp; TRIM(B1294), ""price""),0
)"),0)</f>
        <v>0</v>
      </c>
      <c r="H1294" s="6">
        <v>225</v>
      </c>
      <c r="I1294" s="6">
        <f t="shared" ca="1" si="0"/>
        <v>225</v>
      </c>
      <c r="J1294" s="6">
        <f ca="1">IFERROR(__xludf.DUMMYFUNCTION("IFERROR(GOOGLEFINANCE(B1294, ""volume""), 0)"),0)</f>
        <v>0</v>
      </c>
      <c r="K1294" s="9"/>
      <c r="L1294" s="6" t="str">
        <f ca="1">IFERROR(__xludf.DUMMYFUNCTION("IFERROR(GOOGLEFINANCE(B1294,""changepct""),K1294)"),"")</f>
        <v/>
      </c>
      <c r="M1294" s="6">
        <f ca="1">IFERROR(__xludf.DUMMYFUNCTION("IFERROR(GOOGLEFINANCE(B1294,""change""),0)"),0)</f>
        <v>0</v>
      </c>
      <c r="N1294" s="6">
        <v>1</v>
      </c>
      <c r="O1294" s="7">
        <v>45536</v>
      </c>
      <c r="P1294" s="6">
        <v>42.62</v>
      </c>
      <c r="Q1294" s="6">
        <v>467.14</v>
      </c>
      <c r="R1294" s="7">
        <v>45352</v>
      </c>
      <c r="S1294" s="6">
        <v>215.11</v>
      </c>
      <c r="T1294" s="6">
        <v>15.17</v>
      </c>
      <c r="U1294" s="7">
        <v>45352</v>
      </c>
      <c r="V1294" s="6">
        <v>27.99</v>
      </c>
      <c r="W1294" s="6">
        <f ca="1">IFERROR(__xludf.DUMMYFUNCTION("IFERROR(GOOGLEFINANCE(B1294,""pe""),V1294)"),27.99)</f>
        <v>27.99</v>
      </c>
      <c r="X1294" s="6">
        <v>2.6</v>
      </c>
      <c r="Y1294" s="6">
        <v>3.34</v>
      </c>
      <c r="Z1294" s="6">
        <v>2</v>
      </c>
      <c r="AA1294" s="8">
        <v>45352</v>
      </c>
      <c r="AB1294" s="4">
        <v>0.3</v>
      </c>
      <c r="AC1294" s="6">
        <v>11.06</v>
      </c>
      <c r="AD1294" s="6">
        <v>15.88</v>
      </c>
      <c r="AE1294" s="1">
        <v>0</v>
      </c>
      <c r="AF1294" s="1">
        <f ca="1">IFERROR(__xludf.DUMMYFUNCTION("IFERROR(GOOGLEFINANCE(TRIM(F1294)&amp;"":"" &amp; TRIM(B1294),""high52""),AE1294)"),0)</f>
        <v>0</v>
      </c>
      <c r="AG1294" s="1">
        <v>0</v>
      </c>
      <c r="AH1294" s="1">
        <f ca="1">IFERROR(__xludf.DUMMYFUNCTION("IFERROR(GOOGLEFINANCE(TRIM(F1294)&amp;"":"" &amp; TRIM(B1294),""low52""),AE1294)"),0)</f>
        <v>0</v>
      </c>
      <c r="AI1294" s="1">
        <f ca="1">IFERROR(__xludf.DUMMYFUNCTION("IFERROR(GOOGLEFINANCE(B1294,""eps""),0)"),0)</f>
        <v>0</v>
      </c>
      <c r="AJ1294" s="1"/>
      <c r="AK1294" s="1" t="s">
        <v>3912</v>
      </c>
      <c r="AL1294" s="9">
        <f t="shared" ref="AL1294:AL1309" si="182">IF(AA1294&lt;&gt;AB1294,1,0)</f>
        <v>1</v>
      </c>
    </row>
    <row r="1295" spans="1:38" ht="15" x14ac:dyDescent="0.25">
      <c r="A1295" s="1" t="s">
        <v>3913</v>
      </c>
      <c r="B1295" s="1" t="s">
        <v>3914</v>
      </c>
      <c r="C1295" s="1" t="s">
        <v>151</v>
      </c>
      <c r="D1295" s="1" t="s">
        <v>151</v>
      </c>
      <c r="E1295" s="6">
        <v>111835.2</v>
      </c>
      <c r="F1295" s="1" t="s">
        <v>40</v>
      </c>
      <c r="G1295" s="6">
        <f ca="1">IFERROR(__xludf.DUMMYFUNCTION("iferror(GOOGLEFINANCE(TRIM(F1295)&amp;"":"" &amp; TRIM(B1295), ""price""),0
)"),1166)</f>
        <v>1166</v>
      </c>
      <c r="H1295" s="6">
        <v>1092.9000000000001</v>
      </c>
      <c r="I1295" s="6">
        <f t="shared" ca="1" si="0"/>
        <v>1166</v>
      </c>
      <c r="J1295" s="6">
        <f ca="1">IFERROR(__xludf.DUMMYFUNCTION("IFERROR(GOOGLEFINANCE(B1295, ""volume""), 0)"),1430428)</f>
        <v>1430428</v>
      </c>
      <c r="K1295" s="6">
        <v>-0.05</v>
      </c>
      <c r="L1295" s="6">
        <f ca="1">IFERROR(__xludf.DUMMYFUNCTION("IFERROR(GOOGLEFINANCE(B1295,""changepct""),K1295)"),0.42)</f>
        <v>0.42</v>
      </c>
      <c r="M1295" s="6">
        <f ca="1">IFERROR(__xludf.DUMMYFUNCTION("IFERROR(GOOGLEFINANCE(B1295,""change""),0)"),4.9)</f>
        <v>4.9000000000000004</v>
      </c>
      <c r="N1295" s="6">
        <v>2</v>
      </c>
      <c r="O1295" s="7">
        <v>45536</v>
      </c>
      <c r="P1295" s="6">
        <v>3751.38</v>
      </c>
      <c r="Q1295" s="6">
        <v>115291.5</v>
      </c>
      <c r="R1295" s="7">
        <v>45536</v>
      </c>
      <c r="S1295" s="6">
        <v>14043.16</v>
      </c>
      <c r="T1295" s="6">
        <v>-370.15</v>
      </c>
      <c r="U1295" s="7">
        <v>45536</v>
      </c>
      <c r="V1295" s="6">
        <v>0</v>
      </c>
      <c r="W1295" s="6">
        <f ca="1">IFERROR(__xludf.DUMMYFUNCTION("IFERROR(GOOGLEFINANCE(B1295,""pe""),V1295)"),65.48)</f>
        <v>65.48</v>
      </c>
      <c r="X1295" s="9"/>
      <c r="Y1295" s="6">
        <v>9.19</v>
      </c>
      <c r="Z1295" s="6">
        <v>2</v>
      </c>
      <c r="AA1295" s="8">
        <v>45352</v>
      </c>
      <c r="AB1295" s="4">
        <v>0.25</v>
      </c>
      <c r="AC1295" s="6">
        <v>-4.26</v>
      </c>
      <c r="AD1295" s="6">
        <v>3.32</v>
      </c>
      <c r="AE1295" s="1">
        <v>0</v>
      </c>
      <c r="AF1295" s="1">
        <f ca="1">IFERROR(__xludf.DUMMYFUNCTION("IFERROR(GOOGLEFINANCE(TRIM(F1295)&amp;"":"" &amp; TRIM(B1295),""high52""),AE1295)"),1309)</f>
        <v>1309</v>
      </c>
      <c r="AG1295" s="1">
        <v>0</v>
      </c>
      <c r="AH1295" s="1">
        <f ca="1">IFERROR(__xludf.DUMMYFUNCTION("IFERROR(GOOGLEFINANCE(TRIM(F1295)&amp;"":"" &amp; TRIM(B1295),""low52""),AE1295)"),979.5)</f>
        <v>979.5</v>
      </c>
      <c r="AI1295" s="1">
        <f ca="1">IFERROR(__xludf.DUMMYFUNCTION("IFERROR(GOOGLEFINANCE(B1295,""eps""),0)"),17.81)</f>
        <v>17.809999999999999</v>
      </c>
      <c r="AJ1295" s="1"/>
      <c r="AK1295" s="1" t="s">
        <v>3915</v>
      </c>
      <c r="AL1295" s="9">
        <f t="shared" si="182"/>
        <v>1</v>
      </c>
    </row>
    <row r="1296" spans="1:38" ht="15" x14ac:dyDescent="0.25">
      <c r="A1296" s="1" t="s">
        <v>3916</v>
      </c>
      <c r="B1296" s="1" t="s">
        <v>3917</v>
      </c>
      <c r="C1296" s="1" t="s">
        <v>135</v>
      </c>
      <c r="D1296" s="1" t="s">
        <v>135</v>
      </c>
      <c r="E1296" s="6">
        <v>40130.75</v>
      </c>
      <c r="F1296" s="1" t="s">
        <v>40</v>
      </c>
      <c r="G1296" s="6">
        <f ca="1">IFERROR(__xludf.DUMMYFUNCTION("iferror(GOOGLEFINANCE(TRIM(F1296)&amp;"":"" &amp; TRIM(B1296), ""price""),0
)"),986.05)</f>
        <v>986.05</v>
      </c>
      <c r="H1296" s="6">
        <v>1190.8</v>
      </c>
      <c r="I1296" s="6">
        <f t="shared" ca="1" si="0"/>
        <v>986.05</v>
      </c>
      <c r="J1296" s="6">
        <f ca="1">IFERROR(__xludf.DUMMYFUNCTION("IFERROR(GOOGLEFINANCE(B1296, ""volume""), 0)"),39930)</f>
        <v>39930</v>
      </c>
      <c r="K1296" s="6">
        <v>-0.2</v>
      </c>
      <c r="L1296" s="6">
        <f ca="1">IFERROR(__xludf.DUMMYFUNCTION("IFERROR(GOOGLEFINANCE(B1296,""changepct""),K1296)"),0.61)</f>
        <v>0.61</v>
      </c>
      <c r="M1296" s="6">
        <f ca="1">IFERROR(__xludf.DUMMYFUNCTION("IFERROR(GOOGLEFINANCE(B1296,""change""),0)"),6)</f>
        <v>6</v>
      </c>
      <c r="N1296" s="6">
        <v>2</v>
      </c>
      <c r="O1296" s="7">
        <v>45536</v>
      </c>
      <c r="P1296" s="6">
        <v>34994.42</v>
      </c>
      <c r="Q1296" s="6">
        <v>70889.08</v>
      </c>
      <c r="R1296" s="7">
        <v>45536</v>
      </c>
      <c r="S1296" s="6">
        <v>17210.240000000002</v>
      </c>
      <c r="T1296" s="6">
        <v>1358.81</v>
      </c>
      <c r="U1296" s="7">
        <v>45536</v>
      </c>
      <c r="V1296" s="6">
        <v>99.16</v>
      </c>
      <c r="W1296" s="6">
        <f ca="1">IFERROR(__xludf.DUMMYFUNCTION("IFERROR(GOOGLEFINANCE(B1296,""pe""),V1296)"),34.5)</f>
        <v>34.5</v>
      </c>
      <c r="X1296" s="6">
        <v>-2.8</v>
      </c>
      <c r="Y1296" s="6">
        <v>4.7300000000000004</v>
      </c>
      <c r="Z1296" s="6">
        <v>2</v>
      </c>
      <c r="AA1296" s="8">
        <v>45352</v>
      </c>
      <c r="AB1296" s="4">
        <v>3.61</v>
      </c>
      <c r="AC1296" s="6">
        <v>7.46</v>
      </c>
      <c r="AD1296" s="6">
        <v>7.21</v>
      </c>
      <c r="AE1296" s="1">
        <v>0</v>
      </c>
      <c r="AF1296" s="1">
        <f ca="1">IFERROR(__xludf.DUMMYFUNCTION("IFERROR(GOOGLEFINANCE(TRIM(F1296)&amp;"":"" &amp; TRIM(B1296),""high52""),AE1296)"),1390)</f>
        <v>1390</v>
      </c>
      <c r="AG1296" s="1">
        <v>0</v>
      </c>
      <c r="AH1296" s="1">
        <f ca="1">IFERROR(__xludf.DUMMYFUNCTION("IFERROR(GOOGLEFINANCE(TRIM(F1296)&amp;"":"" &amp; TRIM(B1296),""low52""),AE1296)"),766)</f>
        <v>766</v>
      </c>
      <c r="AI1296" s="1">
        <f ca="1">IFERROR(__xludf.DUMMYFUNCTION("IFERROR(GOOGLEFINANCE(B1296,""eps""),0)"),28.58)</f>
        <v>28.58</v>
      </c>
      <c r="AJ1296" s="1"/>
      <c r="AK1296" s="1" t="s">
        <v>3918</v>
      </c>
      <c r="AL1296" s="9">
        <f t="shared" si="182"/>
        <v>1</v>
      </c>
    </row>
    <row r="1297" spans="1:38" ht="15" x14ac:dyDescent="0.25">
      <c r="A1297" s="1" t="s">
        <v>3919</v>
      </c>
      <c r="B1297" s="1" t="s">
        <v>3920</v>
      </c>
      <c r="C1297" s="1" t="s">
        <v>112</v>
      </c>
      <c r="D1297" s="1" t="s">
        <v>112</v>
      </c>
      <c r="E1297" s="6">
        <v>2758</v>
      </c>
      <c r="F1297" s="1" t="s">
        <v>53</v>
      </c>
      <c r="G1297" s="6">
        <f ca="1">IFERROR(__xludf.DUMMYFUNCTION("iferror(GOOGLEFINANCE(TRIM(F1297)&amp;"":"" &amp; TRIM(B1297), ""price""),0
)"),0)</f>
        <v>0</v>
      </c>
      <c r="H1297" s="6">
        <v>561.65</v>
      </c>
      <c r="I1297" s="6">
        <f t="shared" ca="1" si="0"/>
        <v>561.65</v>
      </c>
      <c r="J1297" s="6">
        <f ca="1">IFERROR(__xludf.DUMMYFUNCTION("IFERROR(GOOGLEFINANCE(B1297, ""volume""), 0)"),0)</f>
        <v>0</v>
      </c>
      <c r="K1297" s="6">
        <v>1.82</v>
      </c>
      <c r="L1297" s="6">
        <f ca="1">IFERROR(__xludf.DUMMYFUNCTION("IFERROR(GOOGLEFINANCE(B1297,""changepct""),K1297)"),1.82)</f>
        <v>1.82</v>
      </c>
      <c r="M1297" s="6">
        <f ca="1">IFERROR(__xludf.DUMMYFUNCTION("IFERROR(GOOGLEFINANCE(B1297,""change""),0)"),0)</f>
        <v>0</v>
      </c>
      <c r="N1297" s="6">
        <v>1</v>
      </c>
      <c r="O1297" s="7">
        <v>45536</v>
      </c>
      <c r="P1297" s="6">
        <v>143.43</v>
      </c>
      <c r="Q1297" s="6">
        <v>2901.43</v>
      </c>
      <c r="R1297" s="7">
        <v>45352</v>
      </c>
      <c r="S1297" s="6">
        <v>349.05</v>
      </c>
      <c r="T1297" s="6">
        <v>35.39</v>
      </c>
      <c r="U1297" s="7">
        <v>45352</v>
      </c>
      <c r="V1297" s="6">
        <v>77.930000000000007</v>
      </c>
      <c r="W1297" s="6">
        <f ca="1">IFERROR(__xludf.DUMMYFUNCTION("IFERROR(GOOGLEFINANCE(B1297,""pe""),V1297)"),77.93)</f>
        <v>77.930000000000007</v>
      </c>
      <c r="X1297" s="9"/>
      <c r="Y1297" s="6">
        <v>10.34</v>
      </c>
      <c r="Z1297" s="6">
        <v>2</v>
      </c>
      <c r="AA1297" s="8">
        <v>45352</v>
      </c>
      <c r="AB1297" s="4">
        <v>0.14000000000000001</v>
      </c>
      <c r="AC1297" s="6">
        <v>23.64</v>
      </c>
      <c r="AD1297" s="6">
        <v>29.77</v>
      </c>
      <c r="AE1297" s="1">
        <v>0</v>
      </c>
      <c r="AF1297" s="1">
        <f ca="1">IFERROR(__xludf.DUMMYFUNCTION("IFERROR(GOOGLEFINANCE(TRIM(F1297)&amp;"":"" &amp; TRIM(B1297),""high52""),AE1297)"),0)</f>
        <v>0</v>
      </c>
      <c r="AG1297" s="1">
        <v>0</v>
      </c>
      <c r="AH1297" s="1">
        <f ca="1">IFERROR(__xludf.DUMMYFUNCTION("IFERROR(GOOGLEFINANCE(TRIM(F1297)&amp;"":"" &amp; TRIM(B1297),""low52""),AE1297)"),0)</f>
        <v>0</v>
      </c>
      <c r="AI1297" s="1">
        <f ca="1">IFERROR(__xludf.DUMMYFUNCTION("IFERROR(GOOGLEFINANCE(B1297,""eps""),0)"),0)</f>
        <v>0</v>
      </c>
      <c r="AJ1297" s="1"/>
      <c r="AK1297" s="1" t="s">
        <v>3921</v>
      </c>
      <c r="AL1297" s="9">
        <f t="shared" si="182"/>
        <v>1</v>
      </c>
    </row>
    <row r="1298" spans="1:38" ht="15" x14ac:dyDescent="0.25">
      <c r="A1298" s="1" t="s">
        <v>3922</v>
      </c>
      <c r="B1298" s="1" t="s">
        <v>3923</v>
      </c>
      <c r="C1298" s="1" t="s">
        <v>112</v>
      </c>
      <c r="D1298" s="1" t="s">
        <v>112</v>
      </c>
      <c r="E1298" s="6">
        <v>261.24</v>
      </c>
      <c r="F1298" s="1" t="s">
        <v>53</v>
      </c>
      <c r="G1298" s="6">
        <f ca="1">IFERROR(__xludf.DUMMYFUNCTION("iferror(GOOGLEFINANCE(TRIM(F1298)&amp;"":"" &amp; TRIM(B1298), ""price""),0
)"),0)</f>
        <v>0</v>
      </c>
      <c r="H1298" s="6">
        <v>339.8</v>
      </c>
      <c r="I1298" s="6">
        <f t="shared" ca="1" si="0"/>
        <v>339.8</v>
      </c>
      <c r="J1298" s="6">
        <f ca="1">IFERROR(__xludf.DUMMYFUNCTION("IFERROR(GOOGLEFINANCE(B1298, ""volume""), 0)"),0)</f>
        <v>0</v>
      </c>
      <c r="K1298" s="6">
        <v>0.15</v>
      </c>
      <c r="L1298" s="6">
        <f ca="1">IFERROR(__xludf.DUMMYFUNCTION("IFERROR(GOOGLEFINANCE(B1298,""changepct""),K1298)"),0.15)</f>
        <v>0.15</v>
      </c>
      <c r="M1298" s="6">
        <f ca="1">IFERROR(__xludf.DUMMYFUNCTION("IFERROR(GOOGLEFINANCE(B1298,""change""),0)"),0)</f>
        <v>0</v>
      </c>
      <c r="N1298" s="6">
        <v>1</v>
      </c>
      <c r="O1298" s="7">
        <v>45536</v>
      </c>
      <c r="P1298" s="6">
        <v>31.05</v>
      </c>
      <c r="Q1298" s="6">
        <v>292.27999999999997</v>
      </c>
      <c r="R1298" s="7">
        <v>45352</v>
      </c>
      <c r="S1298" s="6">
        <v>18.13</v>
      </c>
      <c r="T1298" s="6">
        <v>3.14</v>
      </c>
      <c r="U1298" s="7">
        <v>45352</v>
      </c>
      <c r="V1298" s="6">
        <v>83.05</v>
      </c>
      <c r="W1298" s="6">
        <f ca="1">IFERROR(__xludf.DUMMYFUNCTION("IFERROR(GOOGLEFINANCE(B1298,""pe""),V1298)"),83.05)</f>
        <v>83.05</v>
      </c>
      <c r="X1298" s="12"/>
      <c r="Y1298" s="6">
        <v>1.62</v>
      </c>
      <c r="Z1298" s="6">
        <v>2</v>
      </c>
      <c r="AA1298" s="8">
        <v>45352</v>
      </c>
      <c r="AB1298" s="4">
        <v>0.41</v>
      </c>
      <c r="AC1298" s="6">
        <v>14.56</v>
      </c>
      <c r="AD1298" s="6">
        <v>7.79</v>
      </c>
      <c r="AE1298" s="1">
        <v>0</v>
      </c>
      <c r="AF1298" s="1">
        <f ca="1">IFERROR(__xludf.DUMMYFUNCTION("IFERROR(GOOGLEFINANCE(TRIM(F1298)&amp;"":"" &amp; TRIM(B1298),""high52""),AE1298)"),0)</f>
        <v>0</v>
      </c>
      <c r="AG1298" s="1">
        <v>0</v>
      </c>
      <c r="AH1298" s="1">
        <f ca="1">IFERROR(__xludf.DUMMYFUNCTION("IFERROR(GOOGLEFINANCE(TRIM(F1298)&amp;"":"" &amp; TRIM(B1298),""low52""),AE1298)"),0)</f>
        <v>0</v>
      </c>
      <c r="AI1298" s="1">
        <f ca="1">IFERROR(__xludf.DUMMYFUNCTION("IFERROR(GOOGLEFINANCE(B1298,""eps""),0)"),0)</f>
        <v>0</v>
      </c>
      <c r="AJ1298" s="1"/>
      <c r="AK1298" s="1" t="s">
        <v>3924</v>
      </c>
      <c r="AL1298" s="9">
        <f t="shared" si="182"/>
        <v>1</v>
      </c>
    </row>
    <row r="1299" spans="1:38" ht="15" x14ac:dyDescent="0.25">
      <c r="A1299" s="1" t="s">
        <v>3925</v>
      </c>
      <c r="B1299" s="1" t="s">
        <v>3926</v>
      </c>
      <c r="C1299" s="1" t="s">
        <v>487</v>
      </c>
      <c r="D1299" s="1" t="s">
        <v>487</v>
      </c>
      <c r="E1299" s="6">
        <v>84643.1</v>
      </c>
      <c r="F1299" s="1" t="s">
        <v>40</v>
      </c>
      <c r="G1299" s="6">
        <f ca="1">IFERROR(__xludf.DUMMYFUNCTION("iferror(GOOGLEFINANCE(TRIM(F1299)&amp;"":"" &amp; TRIM(B1299), ""price""),0
)"),1567.9)</f>
        <v>1567.9</v>
      </c>
      <c r="H1299" s="6">
        <v>2777.3</v>
      </c>
      <c r="I1299" s="6">
        <f t="shared" ca="1" si="0"/>
        <v>1567.9</v>
      </c>
      <c r="J1299" s="6">
        <f ca="1">IFERROR(__xludf.DUMMYFUNCTION("IFERROR(GOOGLEFINANCE(B1299, ""volume""), 0)"),875047)</f>
        <v>875047</v>
      </c>
      <c r="K1299" s="6">
        <v>-1.23</v>
      </c>
      <c r="L1299" s="6">
        <f ca="1">IFERROR(__xludf.DUMMYFUNCTION("IFERROR(GOOGLEFINANCE(B1299,""changepct""),K1299)"),3.37)</f>
        <v>3.37</v>
      </c>
      <c r="M1299" s="6">
        <f ca="1">IFERROR(__xludf.DUMMYFUNCTION("IFERROR(GOOGLEFINANCE(B1299,""change""),0)"),51.1)</f>
        <v>51.1</v>
      </c>
      <c r="N1299" s="6">
        <v>2</v>
      </c>
      <c r="O1299" s="7">
        <v>45536</v>
      </c>
      <c r="P1299" s="6">
        <v>13573.11</v>
      </c>
      <c r="Q1299" s="6">
        <v>94648.37</v>
      </c>
      <c r="R1299" s="7">
        <v>45536</v>
      </c>
      <c r="S1299" s="6">
        <v>3588.76</v>
      </c>
      <c r="T1299" s="6">
        <v>1445.74</v>
      </c>
      <c r="U1299" s="7">
        <v>45536</v>
      </c>
      <c r="V1299" s="6">
        <v>60.95</v>
      </c>
      <c r="W1299" s="6">
        <f ca="1">IFERROR(__xludf.DUMMYFUNCTION("IFERROR(GOOGLEFINANCE(B1299,""pe""),V1299)"),30.29)</f>
        <v>30.29</v>
      </c>
      <c r="X1299" s="6">
        <v>2.6</v>
      </c>
      <c r="Y1299" s="6">
        <v>5.0199999999999996</v>
      </c>
      <c r="Z1299" s="6">
        <v>2</v>
      </c>
      <c r="AA1299" s="8">
        <v>45352</v>
      </c>
      <c r="AB1299" s="4">
        <v>1.05</v>
      </c>
      <c r="AC1299" s="6">
        <v>7.77</v>
      </c>
      <c r="AD1299" s="6">
        <v>6.38</v>
      </c>
      <c r="AE1299" s="1">
        <v>0</v>
      </c>
      <c r="AF1299" s="1">
        <f ca="1">IFERROR(__xludf.DUMMYFUNCTION("IFERROR(GOOGLEFINANCE(TRIM(F1299)&amp;"":"" &amp; TRIM(B1299),""high52""),AE1299)"),2522)</f>
        <v>2522</v>
      </c>
      <c r="AG1299" s="1">
        <v>0</v>
      </c>
      <c r="AH1299" s="1">
        <f ca="1">IFERROR(__xludf.DUMMYFUNCTION("IFERROR(GOOGLEFINANCE(TRIM(F1299)&amp;"":"" &amp; TRIM(B1299),""low52""),AE1299)"),1475)</f>
        <v>1475</v>
      </c>
      <c r="AI1299" s="1">
        <f ca="1">IFERROR(__xludf.DUMMYFUNCTION("IFERROR(GOOGLEFINANCE(B1299,""eps""),0)"),51.76)</f>
        <v>51.76</v>
      </c>
      <c r="AJ1299" s="1"/>
      <c r="AK1299" s="1" t="s">
        <v>3927</v>
      </c>
      <c r="AL1299" s="9">
        <f t="shared" si="182"/>
        <v>1</v>
      </c>
    </row>
    <row r="1300" spans="1:38" ht="15" x14ac:dyDescent="0.25">
      <c r="A1300" s="1" t="s">
        <v>3928</v>
      </c>
      <c r="B1300" s="1" t="s">
        <v>3929</v>
      </c>
      <c r="C1300" s="1" t="s">
        <v>2432</v>
      </c>
      <c r="D1300" s="1" t="s">
        <v>2432</v>
      </c>
      <c r="E1300" s="6">
        <v>36.14</v>
      </c>
      <c r="F1300" s="1" t="s">
        <v>40</v>
      </c>
      <c r="G1300" s="6">
        <f ca="1">IFERROR(__xludf.DUMMYFUNCTION("iferror(GOOGLEFINANCE(TRIM(F1300)&amp;"":"" &amp; TRIM(B1300), ""price""),0
)"),0)</f>
        <v>0</v>
      </c>
      <c r="H1300" s="6">
        <v>1.0900000000000001</v>
      </c>
      <c r="I1300" s="6">
        <f t="shared" ca="1" si="0"/>
        <v>1.0900000000000001</v>
      </c>
      <c r="J1300" s="6">
        <f ca="1">IFERROR(__xludf.DUMMYFUNCTION("IFERROR(GOOGLEFINANCE(B1300, ""volume""), 0)"),0)</f>
        <v>0</v>
      </c>
      <c r="K1300" s="9"/>
      <c r="L1300" s="6" t="str">
        <f ca="1">IFERROR(__xludf.DUMMYFUNCTION("IFERROR(GOOGLEFINANCE(B1300,""changepct""),K1300)"),"")</f>
        <v/>
      </c>
      <c r="M1300" s="6">
        <f ca="1">IFERROR(__xludf.DUMMYFUNCTION("IFERROR(GOOGLEFINANCE(B1300,""change""),0)"),0)</f>
        <v>0</v>
      </c>
      <c r="N1300" s="6">
        <v>2</v>
      </c>
      <c r="O1300" s="7">
        <v>45352</v>
      </c>
      <c r="P1300" s="6">
        <v>176.64</v>
      </c>
      <c r="Q1300" s="6">
        <v>212.15</v>
      </c>
      <c r="R1300" s="7">
        <v>45261</v>
      </c>
      <c r="S1300" s="6">
        <v>0.61</v>
      </c>
      <c r="T1300" s="6">
        <v>-2.94</v>
      </c>
      <c r="U1300" s="7">
        <v>45352</v>
      </c>
      <c r="V1300" s="6">
        <v>0</v>
      </c>
      <c r="W1300" s="6">
        <f ca="1">IFERROR(__xludf.DUMMYFUNCTION("IFERROR(GOOGLEFINANCE(B1300,""pe""),V1300)"),0)</f>
        <v>0</v>
      </c>
      <c r="X1300" s="6">
        <v>0</v>
      </c>
      <c r="Y1300" s="6">
        <v>0.15</v>
      </c>
      <c r="Z1300" s="6">
        <v>2</v>
      </c>
      <c r="AA1300" s="8">
        <v>45352</v>
      </c>
      <c r="AB1300" s="4">
        <v>0.75</v>
      </c>
      <c r="AC1300" s="6">
        <v>-1.2</v>
      </c>
      <c r="AD1300" s="6">
        <v>-0.55000000000000004</v>
      </c>
      <c r="AE1300" s="1">
        <v>0</v>
      </c>
      <c r="AF1300" s="1">
        <f ca="1">IFERROR(__xludf.DUMMYFUNCTION("IFERROR(GOOGLEFINANCE(TRIM(F1300)&amp;"":"" &amp; TRIM(B1300),""high52""),AE1300)"),0)</f>
        <v>0</v>
      </c>
      <c r="AG1300" s="1">
        <v>0</v>
      </c>
      <c r="AH1300" s="1">
        <f ca="1">IFERROR(__xludf.DUMMYFUNCTION("IFERROR(GOOGLEFINANCE(TRIM(F1300)&amp;"":"" &amp; TRIM(B1300),""low52""),AE1300)"),0)</f>
        <v>0</v>
      </c>
      <c r="AI1300" s="1">
        <f ca="1">IFERROR(__xludf.DUMMYFUNCTION("IFERROR(GOOGLEFINANCE(B1300,""eps""),0)"),0)</f>
        <v>0</v>
      </c>
      <c r="AJ1300" s="1"/>
      <c r="AK1300" s="1" t="s">
        <v>3930</v>
      </c>
      <c r="AL1300" s="9">
        <f t="shared" si="182"/>
        <v>1</v>
      </c>
    </row>
    <row r="1301" spans="1:38" ht="15" x14ac:dyDescent="0.25">
      <c r="A1301" s="1" t="s">
        <v>3931</v>
      </c>
      <c r="B1301" s="1" t="s">
        <v>3932</v>
      </c>
      <c r="C1301" s="1" t="s">
        <v>186</v>
      </c>
      <c r="D1301" s="1" t="s">
        <v>186</v>
      </c>
      <c r="E1301" s="6">
        <v>8193.99</v>
      </c>
      <c r="F1301" s="1" t="s">
        <v>40</v>
      </c>
      <c r="G1301" s="6">
        <f ca="1">IFERROR(__xludf.DUMMYFUNCTION("iferror(GOOGLEFINANCE(TRIM(F1301)&amp;"":"" &amp; TRIM(B1301), ""price""),0
)"),581.8)</f>
        <v>581.79999999999995</v>
      </c>
      <c r="H1301" s="6">
        <v>1136.95</v>
      </c>
      <c r="I1301" s="6">
        <f t="shared" ca="1" si="0"/>
        <v>581.79999999999995</v>
      </c>
      <c r="J1301" s="6">
        <f ca="1">IFERROR(__xludf.DUMMYFUNCTION("IFERROR(GOOGLEFINANCE(B1301, ""volume""), 0)"),1159037)</f>
        <v>1159037</v>
      </c>
      <c r="K1301" s="6">
        <v>-0.85</v>
      </c>
      <c r="L1301" s="6">
        <f ca="1">IFERROR(__xludf.DUMMYFUNCTION("IFERROR(GOOGLEFINANCE(B1301,""changepct""),K1301)"),-4.51)</f>
        <v>-4.51</v>
      </c>
      <c r="M1301" s="6">
        <f ca="1">IFERROR(__xludf.DUMMYFUNCTION("IFERROR(GOOGLEFINANCE(B1301,""change""),0)"),-27.45)</f>
        <v>-27.45</v>
      </c>
      <c r="N1301" s="6">
        <v>2</v>
      </c>
      <c r="O1301" s="7">
        <v>45536</v>
      </c>
      <c r="P1301" s="6">
        <v>401.64</v>
      </c>
      <c r="Q1301" s="6">
        <v>8536.32</v>
      </c>
      <c r="R1301" s="7">
        <v>45536</v>
      </c>
      <c r="S1301" s="6">
        <v>3225.12</v>
      </c>
      <c r="T1301" s="6">
        <v>130.05000000000001</v>
      </c>
      <c r="U1301" s="7">
        <v>45536</v>
      </c>
      <c r="V1301" s="6">
        <v>63.01</v>
      </c>
      <c r="W1301" s="6">
        <f ca="1">IFERROR(__xludf.DUMMYFUNCTION("IFERROR(GOOGLEFINANCE(B1301,""pe""),V1301)"),28.38)</f>
        <v>28.38</v>
      </c>
      <c r="X1301" s="6">
        <v>1.93</v>
      </c>
      <c r="Y1301" s="6">
        <v>4.21</v>
      </c>
      <c r="Z1301" s="6">
        <v>2</v>
      </c>
      <c r="AA1301" s="8">
        <v>45352</v>
      </c>
      <c r="AB1301" s="4">
        <v>0.5</v>
      </c>
      <c r="AC1301" s="6">
        <v>12.43</v>
      </c>
      <c r="AD1301" s="6">
        <v>13.79</v>
      </c>
      <c r="AE1301" s="1">
        <v>0</v>
      </c>
      <c r="AF1301" s="1">
        <f ca="1">IFERROR(__xludf.DUMMYFUNCTION("IFERROR(GOOGLEFINANCE(TRIM(F1301)&amp;"":"" &amp; TRIM(B1301),""high52""),AE1301)"),1060)</f>
        <v>1060</v>
      </c>
      <c r="AG1301" s="1">
        <v>0</v>
      </c>
      <c r="AH1301" s="1">
        <f ca="1">IFERROR(__xludf.DUMMYFUNCTION("IFERROR(GOOGLEFINANCE(TRIM(F1301)&amp;"":"" &amp; TRIM(B1301),""low52""),AE1301)"),531)</f>
        <v>531</v>
      </c>
      <c r="AI1301" s="1">
        <f ca="1">IFERROR(__xludf.DUMMYFUNCTION("IFERROR(GOOGLEFINANCE(B1301,""eps""),0)"),20.5)</f>
        <v>20.5</v>
      </c>
      <c r="AJ1301" s="1"/>
      <c r="AK1301" s="1" t="s">
        <v>3933</v>
      </c>
      <c r="AL1301" s="9">
        <f t="shared" si="182"/>
        <v>1</v>
      </c>
    </row>
    <row r="1302" spans="1:38" ht="15" x14ac:dyDescent="0.25">
      <c r="A1302" s="1" t="s">
        <v>3934</v>
      </c>
      <c r="B1302" s="1" t="s">
        <v>3935</v>
      </c>
      <c r="C1302" s="1" t="s">
        <v>112</v>
      </c>
      <c r="D1302" s="1" t="s">
        <v>112</v>
      </c>
      <c r="E1302" s="6">
        <v>470.25</v>
      </c>
      <c r="F1302" s="1" t="s">
        <v>53</v>
      </c>
      <c r="G1302" s="6">
        <f ca="1">IFERROR(__xludf.DUMMYFUNCTION("iferror(GOOGLEFINANCE(TRIM(F1302)&amp;"":"" &amp; TRIM(B1302), ""price""),0
)"),0)</f>
        <v>0</v>
      </c>
      <c r="H1302" s="6">
        <v>852.7</v>
      </c>
      <c r="I1302" s="6">
        <f t="shared" ca="1" si="0"/>
        <v>852.7</v>
      </c>
      <c r="J1302" s="6">
        <f ca="1">IFERROR(__xludf.DUMMYFUNCTION("IFERROR(GOOGLEFINANCE(B1302, ""volume""), 0)"),0)</f>
        <v>0</v>
      </c>
      <c r="K1302" s="6">
        <v>2</v>
      </c>
      <c r="L1302" s="6">
        <f ca="1">IFERROR(__xludf.DUMMYFUNCTION("IFERROR(GOOGLEFINANCE(B1302,""changepct""),K1302)"),2)</f>
        <v>2</v>
      </c>
      <c r="M1302" s="6">
        <f ca="1">IFERROR(__xludf.DUMMYFUNCTION("IFERROR(GOOGLEFINANCE(B1302,""change""),0)"),0)</f>
        <v>0</v>
      </c>
      <c r="N1302" s="6">
        <v>1</v>
      </c>
      <c r="O1302" s="7">
        <v>45536</v>
      </c>
      <c r="P1302" s="6">
        <v>1.99</v>
      </c>
      <c r="Q1302" s="6">
        <v>472.25</v>
      </c>
      <c r="R1302" s="7">
        <v>45352</v>
      </c>
      <c r="S1302" s="6">
        <v>26.09</v>
      </c>
      <c r="T1302" s="6">
        <v>4.8499999999999996</v>
      </c>
      <c r="U1302" s="7">
        <v>45352</v>
      </c>
      <c r="V1302" s="6">
        <v>96.96</v>
      </c>
      <c r="W1302" s="6">
        <f ca="1">IFERROR(__xludf.DUMMYFUNCTION("IFERROR(GOOGLEFINANCE(B1302,""pe""),V1302)"),96.96)</f>
        <v>96.96</v>
      </c>
      <c r="X1302" s="9"/>
      <c r="Y1302" s="6">
        <v>18.350000000000001</v>
      </c>
      <c r="Z1302" s="6">
        <v>1</v>
      </c>
      <c r="AA1302" s="8">
        <v>45352</v>
      </c>
      <c r="AB1302" s="4">
        <v>0.31</v>
      </c>
      <c r="AC1302" s="6">
        <v>33.67</v>
      </c>
      <c r="AD1302" s="6">
        <v>27.51</v>
      </c>
      <c r="AE1302" s="1">
        <v>0</v>
      </c>
      <c r="AF1302" s="1">
        <f ca="1">IFERROR(__xludf.DUMMYFUNCTION("IFERROR(GOOGLEFINANCE(TRIM(F1302)&amp;"":"" &amp; TRIM(B1302),""high52""),AE1302)"),0)</f>
        <v>0</v>
      </c>
      <c r="AG1302" s="1">
        <v>0</v>
      </c>
      <c r="AH1302" s="1">
        <f ca="1">IFERROR(__xludf.DUMMYFUNCTION("IFERROR(GOOGLEFINANCE(TRIM(F1302)&amp;"":"" &amp; TRIM(B1302),""low52""),AE1302)"),0)</f>
        <v>0</v>
      </c>
      <c r="AI1302" s="1">
        <f ca="1">IFERROR(__xludf.DUMMYFUNCTION("IFERROR(GOOGLEFINANCE(B1302,""eps""),0)"),0)</f>
        <v>0</v>
      </c>
      <c r="AJ1302" s="1"/>
      <c r="AK1302" s="1" t="s">
        <v>3936</v>
      </c>
      <c r="AL1302" s="9">
        <f t="shared" si="182"/>
        <v>1</v>
      </c>
    </row>
    <row r="1303" spans="1:38" ht="15" x14ac:dyDescent="0.25">
      <c r="A1303" s="1" t="s">
        <v>3937</v>
      </c>
      <c r="B1303" s="1" t="s">
        <v>3938</v>
      </c>
      <c r="C1303" s="1" t="s">
        <v>112</v>
      </c>
      <c r="D1303" s="1" t="s">
        <v>112</v>
      </c>
      <c r="E1303" s="6">
        <v>57.13</v>
      </c>
      <c r="F1303" s="1" t="s">
        <v>53</v>
      </c>
      <c r="G1303" s="6">
        <f ca="1">IFERROR(__xludf.DUMMYFUNCTION("iferror(GOOGLEFINANCE(TRIM(F1303)&amp;"":"" &amp; TRIM(B1303), ""price""),0
)"),0)</f>
        <v>0</v>
      </c>
      <c r="H1303" s="6">
        <v>221.9</v>
      </c>
      <c r="I1303" s="6">
        <f t="shared" ca="1" si="0"/>
        <v>221.9</v>
      </c>
      <c r="J1303" s="6">
        <f ca="1">IFERROR(__xludf.DUMMYFUNCTION("IFERROR(GOOGLEFINANCE(B1303, ""volume""), 0)"),0)</f>
        <v>0</v>
      </c>
      <c r="K1303" s="6">
        <v>-1.99</v>
      </c>
      <c r="L1303" s="6">
        <f ca="1">IFERROR(__xludf.DUMMYFUNCTION("IFERROR(GOOGLEFINANCE(B1303,""changepct""),K1303)"),-1.99)</f>
        <v>-1.99</v>
      </c>
      <c r="M1303" s="6">
        <f ca="1">IFERROR(__xludf.DUMMYFUNCTION("IFERROR(GOOGLEFINANCE(B1303,""change""),0)"),0)</f>
        <v>0</v>
      </c>
      <c r="N1303" s="6">
        <v>1</v>
      </c>
      <c r="O1303" s="7">
        <v>45536</v>
      </c>
      <c r="P1303" s="6">
        <v>3.54</v>
      </c>
      <c r="Q1303" s="6">
        <v>60.68</v>
      </c>
      <c r="R1303" s="7">
        <v>45352</v>
      </c>
      <c r="S1303" s="6">
        <v>21.82</v>
      </c>
      <c r="T1303" s="6">
        <v>0.56999999999999995</v>
      </c>
      <c r="U1303" s="7">
        <v>45352</v>
      </c>
      <c r="V1303" s="6">
        <v>99.73</v>
      </c>
      <c r="W1303" s="6">
        <f ca="1">IFERROR(__xludf.DUMMYFUNCTION("IFERROR(GOOGLEFINANCE(B1303,""pe""),V1303)"),99.73)</f>
        <v>99.73</v>
      </c>
      <c r="X1303" s="12"/>
      <c r="Y1303" s="6">
        <v>7.67</v>
      </c>
      <c r="Z1303" s="6">
        <v>1</v>
      </c>
      <c r="AA1303" s="8">
        <v>45352</v>
      </c>
      <c r="AB1303" s="4">
        <v>1.08</v>
      </c>
      <c r="AC1303" s="6">
        <v>29.09</v>
      </c>
      <c r="AD1303" s="6">
        <v>22.15</v>
      </c>
      <c r="AE1303" s="1">
        <v>0</v>
      </c>
      <c r="AF1303" s="1">
        <f ca="1">IFERROR(__xludf.DUMMYFUNCTION("IFERROR(GOOGLEFINANCE(TRIM(F1303)&amp;"":"" &amp; TRIM(B1303),""high52""),AE1303)"),0)</f>
        <v>0</v>
      </c>
      <c r="AG1303" s="1">
        <v>0</v>
      </c>
      <c r="AH1303" s="1">
        <f ca="1">IFERROR(__xludf.DUMMYFUNCTION("IFERROR(GOOGLEFINANCE(TRIM(F1303)&amp;"":"" &amp; TRIM(B1303),""low52""),AE1303)"),0)</f>
        <v>0</v>
      </c>
      <c r="AI1303" s="1">
        <f ca="1">IFERROR(__xludf.DUMMYFUNCTION("IFERROR(GOOGLEFINANCE(B1303,""eps""),0)"),0)</f>
        <v>0</v>
      </c>
      <c r="AJ1303" s="1"/>
      <c r="AK1303" s="1" t="s">
        <v>3939</v>
      </c>
      <c r="AL1303" s="9">
        <f t="shared" si="182"/>
        <v>1</v>
      </c>
    </row>
    <row r="1304" spans="1:38" ht="15" x14ac:dyDescent="0.25">
      <c r="A1304" s="1" t="s">
        <v>3940</v>
      </c>
      <c r="B1304" s="1" t="s">
        <v>3941</v>
      </c>
      <c r="C1304" s="1" t="s">
        <v>317</v>
      </c>
      <c r="D1304" s="1" t="s">
        <v>317</v>
      </c>
      <c r="E1304" s="6">
        <v>5255.49</v>
      </c>
      <c r="F1304" s="1" t="s">
        <v>40</v>
      </c>
      <c r="G1304" s="6">
        <f ca="1">IFERROR(__xludf.DUMMYFUNCTION("iferror(GOOGLEFINANCE(TRIM(F1304)&amp;"":"" &amp; TRIM(B1304), ""price""),0
)"),158.5)</f>
        <v>158.5</v>
      </c>
      <c r="H1304" s="6">
        <v>362.7</v>
      </c>
      <c r="I1304" s="6">
        <f t="shared" ca="1" si="0"/>
        <v>158.5</v>
      </c>
      <c r="J1304" s="6">
        <f ca="1">IFERROR(__xludf.DUMMYFUNCTION("IFERROR(GOOGLEFINANCE(B1304, ""volume""), 0)"),274459)</f>
        <v>274459</v>
      </c>
      <c r="K1304" s="6">
        <v>1.63</v>
      </c>
      <c r="L1304" s="6">
        <f ca="1">IFERROR(__xludf.DUMMYFUNCTION("IFERROR(GOOGLEFINANCE(B1304,""changepct""),K1304)"),-0.46)</f>
        <v>-0.46</v>
      </c>
      <c r="M1304" s="6">
        <f ca="1">IFERROR(__xludf.DUMMYFUNCTION("IFERROR(GOOGLEFINANCE(B1304,""change""),0)"),-0.74)</f>
        <v>-0.74</v>
      </c>
      <c r="N1304" s="6">
        <v>2</v>
      </c>
      <c r="O1304" s="7">
        <v>45536</v>
      </c>
      <c r="P1304" s="6">
        <v>463.62</v>
      </c>
      <c r="Q1304" s="6">
        <v>5184.8599999999997</v>
      </c>
      <c r="R1304" s="7">
        <v>45536</v>
      </c>
      <c r="S1304" s="6">
        <v>16385.990000000002</v>
      </c>
      <c r="T1304" s="6">
        <v>202.28</v>
      </c>
      <c r="U1304" s="7">
        <v>45536</v>
      </c>
      <c r="V1304" s="6">
        <v>25.98</v>
      </c>
      <c r="W1304" s="6">
        <f ca="1">IFERROR(__xludf.DUMMYFUNCTION("IFERROR(GOOGLEFINANCE(B1304,""pe""),V1304)"),15.91)</f>
        <v>15.91</v>
      </c>
      <c r="X1304" s="6">
        <v>0.4</v>
      </c>
      <c r="Y1304" s="6">
        <v>5.76</v>
      </c>
      <c r="Z1304" s="6">
        <v>2</v>
      </c>
      <c r="AA1304" s="8">
        <v>45352</v>
      </c>
      <c r="AB1304" s="4">
        <v>0.75</v>
      </c>
      <c r="AC1304" s="6">
        <v>18.899999999999999</v>
      </c>
      <c r="AD1304" s="6">
        <v>23.68</v>
      </c>
      <c r="AE1304" s="1">
        <v>0</v>
      </c>
      <c r="AF1304" s="1">
        <f ca="1">IFERROR(__xludf.DUMMYFUNCTION("IFERROR(GOOGLEFINANCE(TRIM(F1304)&amp;"":"" &amp; TRIM(B1304),""high52""),AE1304)"),221.5)</f>
        <v>221.5</v>
      </c>
      <c r="AG1304" s="1">
        <v>0</v>
      </c>
      <c r="AH1304" s="1">
        <f ca="1">IFERROR(__xludf.DUMMYFUNCTION("IFERROR(GOOGLEFINANCE(TRIM(F1304)&amp;"":"" &amp; TRIM(B1304),""low52""),AE1304)"),96.55)</f>
        <v>96.55</v>
      </c>
      <c r="AI1304" s="1">
        <f ca="1">IFERROR(__xludf.DUMMYFUNCTION("IFERROR(GOOGLEFINANCE(B1304,""eps""),0)"),9.96)</f>
        <v>9.9600000000000009</v>
      </c>
      <c r="AJ1304" s="1"/>
      <c r="AK1304" s="1" t="s">
        <v>3942</v>
      </c>
      <c r="AL1304" s="9">
        <f t="shared" si="182"/>
        <v>1</v>
      </c>
    </row>
    <row r="1305" spans="1:38" ht="15" x14ac:dyDescent="0.25">
      <c r="A1305" s="1" t="s">
        <v>3943</v>
      </c>
      <c r="B1305" s="1" t="s">
        <v>3944</v>
      </c>
      <c r="C1305" s="1" t="s">
        <v>317</v>
      </c>
      <c r="D1305" s="1" t="s">
        <v>317</v>
      </c>
      <c r="E1305" s="6">
        <v>618.22</v>
      </c>
      <c r="F1305" s="1" t="s">
        <v>40</v>
      </c>
      <c r="G1305" s="6">
        <f ca="1">IFERROR(__xludf.DUMMYFUNCTION("iferror(GOOGLEFINANCE(TRIM(F1305)&amp;"":"" &amp; TRIM(B1305), ""price""),0
)"),35.77)</f>
        <v>35.770000000000003</v>
      </c>
      <c r="H1305" s="6">
        <v>63.5</v>
      </c>
      <c r="I1305" s="6">
        <f t="shared" ca="1" si="0"/>
        <v>35.770000000000003</v>
      </c>
      <c r="J1305" s="6">
        <f ca="1">IFERROR(__xludf.DUMMYFUNCTION("IFERROR(GOOGLEFINANCE(B1305, ""volume""), 0)"),3717)</f>
        <v>3717</v>
      </c>
      <c r="K1305" s="6">
        <v>0.67</v>
      </c>
      <c r="L1305" s="6">
        <f ca="1">IFERROR(__xludf.DUMMYFUNCTION("IFERROR(GOOGLEFINANCE(B1305,""changepct""),K1305)"),-0.8)</f>
        <v>-0.8</v>
      </c>
      <c r="M1305" s="6">
        <f ca="1">IFERROR(__xludf.DUMMYFUNCTION("IFERROR(GOOGLEFINANCE(B1305,""change""),0)"),-0.29)</f>
        <v>-0.28999999999999998</v>
      </c>
      <c r="N1305" s="6">
        <v>2</v>
      </c>
      <c r="O1305" s="7">
        <v>45536</v>
      </c>
      <c r="P1305" s="6">
        <v>435.16</v>
      </c>
      <c r="Q1305" s="6">
        <v>973.5</v>
      </c>
      <c r="R1305" s="7">
        <v>45536</v>
      </c>
      <c r="S1305" s="6">
        <v>3149</v>
      </c>
      <c r="T1305" s="6">
        <v>11.57</v>
      </c>
      <c r="U1305" s="7">
        <v>45536</v>
      </c>
      <c r="V1305" s="6">
        <v>53.43</v>
      </c>
      <c r="W1305" s="6">
        <f ca="1">IFERROR(__xludf.DUMMYFUNCTION("IFERROR(GOOGLEFINANCE(B1305,""pe""),V1305)"),24.37)</f>
        <v>24.37</v>
      </c>
      <c r="X1305" s="6">
        <v>21.81</v>
      </c>
      <c r="Y1305" s="6">
        <v>1.84</v>
      </c>
      <c r="Z1305" s="6">
        <v>2</v>
      </c>
      <c r="AA1305" s="8">
        <v>45352</v>
      </c>
      <c r="AB1305" s="4">
        <v>1</v>
      </c>
      <c r="AC1305" s="6">
        <v>0.55000000000000004</v>
      </c>
      <c r="AD1305" s="6">
        <v>5.0999999999999996</v>
      </c>
      <c r="AE1305" s="1">
        <f ca="1">IFERROR(__xludf.DUMMYFUNCTION("GOOGLEFINANCE(B1305,""high52"")"),57)</f>
        <v>57</v>
      </c>
      <c r="AF1305" s="1">
        <f ca="1">IFERROR(__xludf.DUMMYFUNCTION("IFERROR(GOOGLEFINANCE(TRIM(F1305)&amp;"":"" &amp; TRIM(B1305),""high52""),AE1305)"),57)</f>
        <v>57</v>
      </c>
      <c r="AG1305" s="1">
        <v>0</v>
      </c>
      <c r="AH1305" s="1">
        <f ca="1">IFERROR(__xludf.DUMMYFUNCTION("IFERROR(GOOGLEFINANCE(TRIM(F1305)&amp;"":"" &amp; TRIM(B1305),""low52""),AE1305)"),35.51)</f>
        <v>35.51</v>
      </c>
      <c r="AI1305" s="1">
        <f ca="1">IFERROR(__xludf.DUMMYFUNCTION("IFERROR(GOOGLEFINANCE(B1305,""eps""),0)"),1.47)</f>
        <v>1.47</v>
      </c>
      <c r="AJ1305" s="1"/>
      <c r="AK1305" s="1" t="s">
        <v>3945</v>
      </c>
      <c r="AL1305" s="9">
        <f t="shared" si="182"/>
        <v>1</v>
      </c>
    </row>
    <row r="1306" spans="1:38" ht="15" x14ac:dyDescent="0.25">
      <c r="A1306" s="1" t="s">
        <v>3946</v>
      </c>
      <c r="B1306" s="1" t="s">
        <v>3947</v>
      </c>
      <c r="C1306" s="1" t="s">
        <v>2124</v>
      </c>
      <c r="D1306" s="1" t="s">
        <v>2124</v>
      </c>
      <c r="E1306" s="6">
        <v>72.14</v>
      </c>
      <c r="F1306" s="1" t="s">
        <v>40</v>
      </c>
      <c r="G1306" s="6">
        <f ca="1">IFERROR(__xludf.DUMMYFUNCTION("iferror(GOOGLEFINANCE(TRIM(F1306)&amp;"":"" &amp; TRIM(B1306), ""price""),0
)"),30.23)</f>
        <v>30.23</v>
      </c>
      <c r="H1306" s="6">
        <v>41</v>
      </c>
      <c r="I1306" s="6">
        <f t="shared" ca="1" si="0"/>
        <v>30.23</v>
      </c>
      <c r="J1306" s="6">
        <f ca="1">IFERROR(__xludf.DUMMYFUNCTION("IFERROR(GOOGLEFINANCE(B1306, ""volume""), 0)"),8507)</f>
        <v>8507</v>
      </c>
      <c r="K1306" s="6">
        <v>3.51</v>
      </c>
      <c r="L1306" s="6">
        <f ca="1">IFERROR(__xludf.DUMMYFUNCTION("IFERROR(GOOGLEFINANCE(B1306,""changepct""),K1306)"),-0.07)</f>
        <v>-7.0000000000000007E-2</v>
      </c>
      <c r="M1306" s="6">
        <f ca="1">IFERROR(__xludf.DUMMYFUNCTION("IFERROR(GOOGLEFINANCE(B1306,""change""),0)"),-0.02)</f>
        <v>-0.02</v>
      </c>
      <c r="N1306" s="6">
        <v>1</v>
      </c>
      <c r="O1306" s="7">
        <v>44440</v>
      </c>
      <c r="P1306" s="6">
        <v>2</v>
      </c>
      <c r="Q1306" s="6">
        <v>70.52</v>
      </c>
      <c r="R1306" s="15">
        <v>44531</v>
      </c>
      <c r="S1306" s="6">
        <v>32.659999999999997</v>
      </c>
      <c r="T1306" s="6">
        <v>2.71</v>
      </c>
      <c r="U1306" s="15">
        <v>44531</v>
      </c>
      <c r="V1306" s="6">
        <v>26.67</v>
      </c>
      <c r="W1306" s="6">
        <f ca="1">IFERROR(__xludf.DUMMYFUNCTION("IFERROR(GOOGLEFINANCE(B1306,""pe""),V1306)"),26.67)</f>
        <v>26.67</v>
      </c>
      <c r="X1306" s="6">
        <v>1.48</v>
      </c>
      <c r="Y1306" s="9"/>
      <c r="Z1306" s="6">
        <v>1</v>
      </c>
      <c r="AA1306" s="8">
        <v>44256</v>
      </c>
      <c r="AB1306" s="4">
        <v>-0.01</v>
      </c>
      <c r="AC1306" s="6">
        <v>0</v>
      </c>
      <c r="AD1306" s="6">
        <v>0</v>
      </c>
      <c r="AE1306" s="1">
        <v>0</v>
      </c>
      <c r="AF1306" s="1">
        <f ca="1">IFERROR(__xludf.DUMMYFUNCTION("IFERROR(GOOGLEFINANCE(TRIM(F1306)&amp;"":"" &amp; TRIM(B1306),""high52""),AE1306)"),45)</f>
        <v>45</v>
      </c>
      <c r="AG1306" s="1">
        <v>0</v>
      </c>
      <c r="AH1306" s="1">
        <f ca="1">IFERROR(__xludf.DUMMYFUNCTION("IFERROR(GOOGLEFINANCE(TRIM(F1306)&amp;"":"" &amp; TRIM(B1306),""low52""),AE1306)"),27.55)</f>
        <v>27.55</v>
      </c>
      <c r="AI1306" s="1">
        <f ca="1">IFERROR(__xludf.DUMMYFUNCTION("IFERROR(GOOGLEFINANCE(B1306,""eps""),0)"),0)</f>
        <v>0</v>
      </c>
      <c r="AJ1306" s="1"/>
      <c r="AK1306" s="1" t="s">
        <v>3948</v>
      </c>
      <c r="AL1306" s="9">
        <f t="shared" si="182"/>
        <v>1</v>
      </c>
    </row>
    <row r="1307" spans="1:38" ht="15" x14ac:dyDescent="0.25">
      <c r="A1307" s="1" t="s">
        <v>3949</v>
      </c>
      <c r="B1307" s="1" t="s">
        <v>3950</v>
      </c>
      <c r="C1307" s="1" t="s">
        <v>2432</v>
      </c>
      <c r="D1307" s="1" t="s">
        <v>2432</v>
      </c>
      <c r="E1307" s="6">
        <v>4446.95</v>
      </c>
      <c r="F1307" s="1" t="s">
        <v>40</v>
      </c>
      <c r="G1307" s="6">
        <f ca="1">IFERROR(__xludf.DUMMYFUNCTION("iferror(GOOGLEFINANCE(TRIM(F1307)&amp;"":"" &amp; TRIM(B1307), ""price""),0
)"),307.85)</f>
        <v>307.85000000000002</v>
      </c>
      <c r="H1307" s="6">
        <v>421.9</v>
      </c>
      <c r="I1307" s="6">
        <f t="shared" ca="1" si="0"/>
        <v>307.85000000000002</v>
      </c>
      <c r="J1307" s="6">
        <f ca="1">IFERROR(__xludf.DUMMYFUNCTION("IFERROR(GOOGLEFINANCE(B1307, ""volume""), 0)"),594565)</f>
        <v>594565</v>
      </c>
      <c r="K1307" s="6">
        <v>1.33</v>
      </c>
      <c r="L1307" s="6">
        <f ca="1">IFERROR(__xludf.DUMMYFUNCTION("IFERROR(GOOGLEFINANCE(B1307,""changepct""),K1307)"),0.65)</f>
        <v>0.65</v>
      </c>
      <c r="M1307" s="6">
        <f ca="1">IFERROR(__xludf.DUMMYFUNCTION("IFERROR(GOOGLEFINANCE(B1307,""change""),0)"),2)</f>
        <v>2</v>
      </c>
      <c r="N1307" s="6">
        <v>2</v>
      </c>
      <c r="O1307" s="7">
        <v>45536</v>
      </c>
      <c r="P1307" s="9"/>
      <c r="Q1307" s="6">
        <v>4273.75</v>
      </c>
      <c r="R1307" s="7">
        <v>45536</v>
      </c>
      <c r="S1307" s="6">
        <v>652.46</v>
      </c>
      <c r="T1307" s="6">
        <v>94.32</v>
      </c>
      <c r="U1307" s="7">
        <v>45536</v>
      </c>
      <c r="V1307" s="6">
        <v>47.15</v>
      </c>
      <c r="W1307" s="6">
        <f ca="1">IFERROR(__xludf.DUMMYFUNCTION("IFERROR(GOOGLEFINANCE(B1307,""pe""),V1307)"),24.49)</f>
        <v>24.49</v>
      </c>
      <c r="X1307" s="6">
        <v>3.66</v>
      </c>
      <c r="Y1307" s="6">
        <v>6.65</v>
      </c>
      <c r="Z1307" s="6">
        <v>2</v>
      </c>
      <c r="AA1307" s="8">
        <v>45352</v>
      </c>
      <c r="AB1307" s="4">
        <v>0</v>
      </c>
      <c r="AC1307" s="6">
        <v>14.95</v>
      </c>
      <c r="AD1307" s="6">
        <v>20.11</v>
      </c>
      <c r="AE1307" s="1">
        <v>0</v>
      </c>
      <c r="AF1307" s="1">
        <f ca="1">IFERROR(__xludf.DUMMYFUNCTION("IFERROR(GOOGLEFINANCE(TRIM(F1307)&amp;"":"" &amp; TRIM(B1307),""high52""),AE1307)"),563)</f>
        <v>563</v>
      </c>
      <c r="AG1307" s="1">
        <v>0</v>
      </c>
      <c r="AH1307" s="1">
        <f ca="1">IFERROR(__xludf.DUMMYFUNCTION("IFERROR(GOOGLEFINANCE(TRIM(F1307)&amp;"":"" &amp; TRIM(B1307),""low52""),AE1307)"),251.35)</f>
        <v>251.35</v>
      </c>
      <c r="AI1307" s="1">
        <f ca="1">IFERROR(__xludf.DUMMYFUNCTION("IFERROR(GOOGLEFINANCE(B1307,""eps""),0)"),12.57)</f>
        <v>12.57</v>
      </c>
      <c r="AJ1307" s="1"/>
      <c r="AK1307" s="1" t="s">
        <v>3951</v>
      </c>
      <c r="AL1307" s="9">
        <f t="shared" si="182"/>
        <v>1</v>
      </c>
    </row>
    <row r="1308" spans="1:38" ht="15" x14ac:dyDescent="0.25">
      <c r="A1308" s="1" t="s">
        <v>3952</v>
      </c>
      <c r="B1308" s="1" t="s">
        <v>3953</v>
      </c>
      <c r="C1308" s="1" t="s">
        <v>112</v>
      </c>
      <c r="D1308" s="1" t="s">
        <v>112</v>
      </c>
      <c r="E1308" s="6">
        <v>120.8</v>
      </c>
      <c r="F1308" s="1" t="s">
        <v>53</v>
      </c>
      <c r="G1308" s="6">
        <f ca="1">IFERROR(__xludf.DUMMYFUNCTION("iferror(GOOGLEFINANCE(TRIM(F1308)&amp;"":"" &amp; TRIM(B1308), ""price""),0
)"),0)</f>
        <v>0</v>
      </c>
      <c r="H1308" s="6">
        <v>91</v>
      </c>
      <c r="I1308" s="6">
        <f t="shared" ca="1" si="0"/>
        <v>91</v>
      </c>
      <c r="J1308" s="6">
        <f ca="1">IFERROR(__xludf.DUMMYFUNCTION("IFERROR(GOOGLEFINANCE(B1308, ""volume""), 0)"),0)</f>
        <v>0</v>
      </c>
      <c r="K1308" s="6">
        <v>-0.69</v>
      </c>
      <c r="L1308" s="6">
        <f ca="1">IFERROR(__xludf.DUMMYFUNCTION("IFERROR(GOOGLEFINANCE(B1308,""changepct""),K1308)"),-0.69)</f>
        <v>-0.69</v>
      </c>
      <c r="M1308" s="6">
        <f ca="1">IFERROR(__xludf.DUMMYFUNCTION("IFERROR(GOOGLEFINANCE(B1308,""change""),0)"),0)</f>
        <v>0</v>
      </c>
      <c r="N1308" s="6">
        <v>1</v>
      </c>
      <c r="O1308" s="7">
        <v>45536</v>
      </c>
      <c r="P1308" s="6">
        <v>4.68</v>
      </c>
      <c r="Q1308" s="6">
        <v>125.42</v>
      </c>
      <c r="R1308" s="7">
        <v>45536</v>
      </c>
      <c r="S1308" s="6">
        <v>90.45</v>
      </c>
      <c r="T1308" s="6">
        <v>2.98</v>
      </c>
      <c r="U1308" s="7">
        <v>45536</v>
      </c>
      <c r="V1308" s="6">
        <v>40.56</v>
      </c>
      <c r="W1308" s="6">
        <f ca="1">IFERROR(__xludf.DUMMYFUNCTION("IFERROR(GOOGLEFINANCE(B1308,""pe""),V1308)"),40.56)</f>
        <v>40.56</v>
      </c>
      <c r="X1308" s="6">
        <v>3.86</v>
      </c>
      <c r="Y1308" s="6">
        <v>4.17</v>
      </c>
      <c r="Z1308" s="6">
        <v>1</v>
      </c>
      <c r="AA1308" s="8">
        <v>45352</v>
      </c>
      <c r="AB1308" s="4">
        <v>0.16</v>
      </c>
      <c r="AC1308" s="6">
        <v>13.73</v>
      </c>
      <c r="AD1308" s="6">
        <v>17.21</v>
      </c>
      <c r="AE1308" s="1">
        <v>0</v>
      </c>
      <c r="AF1308" s="1">
        <f ca="1">IFERROR(__xludf.DUMMYFUNCTION("IFERROR(GOOGLEFINANCE(TRIM(F1308)&amp;"":"" &amp; TRIM(B1308),""high52""),AE1308)"),0)</f>
        <v>0</v>
      </c>
      <c r="AG1308" s="1">
        <v>0</v>
      </c>
      <c r="AH1308" s="1">
        <f ca="1">IFERROR(__xludf.DUMMYFUNCTION("IFERROR(GOOGLEFINANCE(TRIM(F1308)&amp;"":"" &amp; TRIM(B1308),""low52""),AE1308)"),0)</f>
        <v>0</v>
      </c>
      <c r="AI1308" s="1">
        <f ca="1">IFERROR(__xludf.DUMMYFUNCTION("IFERROR(GOOGLEFINANCE(B1308,""eps""),0)"),0)</f>
        <v>0</v>
      </c>
      <c r="AJ1308" s="1"/>
      <c r="AK1308" s="1" t="s">
        <v>3954</v>
      </c>
      <c r="AL1308" s="9">
        <f t="shared" si="182"/>
        <v>1</v>
      </c>
    </row>
    <row r="1309" spans="1:38" ht="15" x14ac:dyDescent="0.25">
      <c r="A1309" s="1" t="s">
        <v>3955</v>
      </c>
      <c r="B1309" s="1" t="s">
        <v>3956</v>
      </c>
      <c r="C1309" s="1" t="s">
        <v>2432</v>
      </c>
      <c r="D1309" s="1" t="s">
        <v>2432</v>
      </c>
      <c r="E1309" s="6">
        <v>370.28</v>
      </c>
      <c r="F1309" s="1" t="s">
        <v>40</v>
      </c>
      <c r="G1309" s="6">
        <f ca="1">IFERROR(__xludf.DUMMYFUNCTION("iferror(GOOGLEFINANCE(TRIM(F1309)&amp;"":"" &amp; TRIM(B1309), ""price""),0
)"),0)</f>
        <v>0</v>
      </c>
      <c r="H1309" s="6">
        <v>220.6</v>
      </c>
      <c r="I1309" s="6">
        <f t="shared" ca="1" si="0"/>
        <v>220.6</v>
      </c>
      <c r="J1309" s="6">
        <f ca="1">IFERROR(__xludf.DUMMYFUNCTION("IFERROR(GOOGLEFINANCE(B1309, ""volume""), 0)"),0)</f>
        <v>0</v>
      </c>
      <c r="K1309" s="9"/>
      <c r="L1309" s="6" t="str">
        <f ca="1">IFERROR(__xludf.DUMMYFUNCTION("IFERROR(GOOGLEFINANCE(B1309,""changepct""),K1309)"),"")</f>
        <v/>
      </c>
      <c r="M1309" s="6">
        <f ca="1">IFERROR(__xludf.DUMMYFUNCTION("IFERROR(GOOGLEFINANCE(B1309,""change""),0)"),0)</f>
        <v>0</v>
      </c>
      <c r="N1309" s="6">
        <v>1</v>
      </c>
      <c r="O1309" s="7">
        <v>45536</v>
      </c>
      <c r="P1309" s="6">
        <v>14.17</v>
      </c>
      <c r="Q1309" s="6">
        <v>384.45</v>
      </c>
      <c r="R1309" s="7">
        <v>45352</v>
      </c>
      <c r="S1309" s="6">
        <v>68.209999999999994</v>
      </c>
      <c r="T1309" s="6">
        <v>0.97</v>
      </c>
      <c r="U1309" s="7">
        <v>45352</v>
      </c>
      <c r="V1309" s="6">
        <v>380.14</v>
      </c>
      <c r="W1309" s="6">
        <f ca="1">IFERROR(__xludf.DUMMYFUNCTION("IFERROR(GOOGLEFINANCE(B1309,""pe""),V1309)"),380.14)</f>
        <v>380.14</v>
      </c>
      <c r="X1309" s="6">
        <v>17.579999999999998</v>
      </c>
      <c r="Y1309" s="6">
        <v>10.35</v>
      </c>
      <c r="Z1309" s="6">
        <v>1</v>
      </c>
      <c r="AA1309" s="8">
        <v>45352</v>
      </c>
      <c r="AB1309" s="4">
        <v>0.4</v>
      </c>
      <c r="AC1309" s="6">
        <v>3.32</v>
      </c>
      <c r="AD1309" s="6">
        <v>7.13</v>
      </c>
      <c r="AE1309" s="1">
        <v>0</v>
      </c>
      <c r="AF1309" s="1">
        <f ca="1">IFERROR(__xludf.DUMMYFUNCTION("IFERROR(GOOGLEFINANCE(TRIM(F1309)&amp;"":"" &amp; TRIM(B1309),""high52""),AE1309)"),0)</f>
        <v>0</v>
      </c>
      <c r="AG1309" s="1">
        <v>0</v>
      </c>
      <c r="AH1309" s="1">
        <f ca="1">IFERROR(__xludf.DUMMYFUNCTION("IFERROR(GOOGLEFINANCE(TRIM(F1309)&amp;"":"" &amp; TRIM(B1309),""low52""),AE1309)"),0)</f>
        <v>0</v>
      </c>
      <c r="AI1309" s="1">
        <f ca="1">IFERROR(__xludf.DUMMYFUNCTION("IFERROR(GOOGLEFINANCE(B1309,""eps""),0)"),0)</f>
        <v>0</v>
      </c>
      <c r="AJ1309" s="1"/>
      <c r="AK1309" s="1" t="s">
        <v>3957</v>
      </c>
      <c r="AL1309" s="9">
        <f t="shared" si="182"/>
        <v>1</v>
      </c>
    </row>
    <row r="1310" spans="1:38" ht="15" x14ac:dyDescent="0.25">
      <c r="A1310" s="1" t="s">
        <v>3958</v>
      </c>
      <c r="B1310" s="1" t="s">
        <v>3959</v>
      </c>
      <c r="C1310" s="1" t="s">
        <v>679</v>
      </c>
      <c r="D1310" s="1" t="s">
        <v>679</v>
      </c>
      <c r="E1310" s="6">
        <v>278.01</v>
      </c>
      <c r="F1310" s="1" t="s">
        <v>40</v>
      </c>
      <c r="G1310" s="6">
        <f ca="1">IFERROR(__xludf.DUMMYFUNCTION("iferror(GOOGLEFINANCE(TRIM(F1310)&amp;"":"" &amp; TRIM(B1310), ""price""),0
)"),0)</f>
        <v>0</v>
      </c>
      <c r="H1310" s="6">
        <v>11.2</v>
      </c>
      <c r="I1310" s="6">
        <f t="shared" ca="1" si="0"/>
        <v>11.2</v>
      </c>
      <c r="J1310" s="6">
        <f ca="1">IFERROR(__xludf.DUMMYFUNCTION("IFERROR(GOOGLEFINANCE(B1310, ""volume""), 0)"),0)</f>
        <v>0</v>
      </c>
      <c r="K1310" s="6">
        <v>-3.03</v>
      </c>
      <c r="L1310" s="6">
        <f ca="1">IFERROR(__xludf.DUMMYFUNCTION("IFERROR(GOOGLEFINANCE(B1310,""changepct""),K1310)"),-3.03)</f>
        <v>-3.03</v>
      </c>
      <c r="M1310" s="6">
        <f ca="1">IFERROR(__xludf.DUMMYFUNCTION("IFERROR(GOOGLEFINANCE(B1310,""change""),0)"),0)</f>
        <v>0</v>
      </c>
      <c r="N1310" s="6">
        <v>1</v>
      </c>
      <c r="O1310" s="7">
        <v>45536</v>
      </c>
      <c r="P1310" s="6">
        <v>14.51</v>
      </c>
      <c r="Q1310" s="6">
        <v>292.52999999999997</v>
      </c>
      <c r="R1310" s="7">
        <v>45352</v>
      </c>
      <c r="S1310" s="6">
        <v>50.17</v>
      </c>
      <c r="T1310" s="6">
        <v>4.04</v>
      </c>
      <c r="U1310" s="7">
        <v>45352</v>
      </c>
      <c r="V1310" s="6">
        <v>68.72</v>
      </c>
      <c r="W1310" s="6">
        <f ca="1">IFERROR(__xludf.DUMMYFUNCTION("IFERROR(GOOGLEFINANCE(B1310,""pe""),V1310)"),68.72)</f>
        <v>68.72</v>
      </c>
      <c r="X1310" s="6">
        <v>2.15</v>
      </c>
      <c r="Y1310" s="6">
        <v>9.86</v>
      </c>
      <c r="Z1310" s="6">
        <v>1</v>
      </c>
      <c r="AA1310" s="8">
        <v>45352</v>
      </c>
      <c r="AB1310" s="4">
        <v>0.65</v>
      </c>
      <c r="AC1310" s="6">
        <v>15.46</v>
      </c>
      <c r="AD1310" s="6">
        <v>17.55</v>
      </c>
      <c r="AE1310" s="1">
        <v>0</v>
      </c>
      <c r="AF1310" s="1">
        <f ca="1">IFERROR(__xludf.DUMMYFUNCTION("IFERROR(GOOGLEFINANCE(TRIM(F1310)&amp;"":"" &amp; TRIM(B1310),""high52""),AE1310)"),0)</f>
        <v>0</v>
      </c>
      <c r="AG1310" s="1">
        <v>0</v>
      </c>
      <c r="AH1310" s="1">
        <f ca="1">IFERROR(__xludf.DUMMYFUNCTION("IFERROR(GOOGLEFINANCE(TRIM(F1310)&amp;"":"" &amp; TRIM(B1310),""low52""),AE1310)"),0)</f>
        <v>0</v>
      </c>
      <c r="AI1310" s="1">
        <f ca="1">IFERROR(__xludf.DUMMYFUNCTION("IFERROR(GOOGLEFINANCE(B1310,""eps""),0)"),0)</f>
        <v>0</v>
      </c>
      <c r="AJ1310" s="1"/>
      <c r="AK1310" s="1" t="s">
        <v>3960</v>
      </c>
      <c r="AL1310" s="1" t="b">
        <f>ISNUMBER(AA1310)</f>
        <v>1</v>
      </c>
    </row>
    <row r="1311" spans="1:38" ht="15" x14ac:dyDescent="0.25">
      <c r="A1311" s="1" t="s">
        <v>3961</v>
      </c>
      <c r="B1311" s="1" t="s">
        <v>3962</v>
      </c>
      <c r="C1311" s="1" t="s">
        <v>219</v>
      </c>
      <c r="D1311" s="1" t="s">
        <v>219</v>
      </c>
      <c r="E1311" s="6">
        <v>3188.73</v>
      </c>
      <c r="F1311" s="1" t="s">
        <v>40</v>
      </c>
      <c r="G1311" s="6">
        <f ca="1">IFERROR(__xludf.DUMMYFUNCTION("iferror(GOOGLEFINANCE(TRIM(F1311)&amp;"":"" &amp; TRIM(B1311), ""price""),0
)"),1075)</f>
        <v>1075</v>
      </c>
      <c r="H1311" s="6">
        <v>977.65</v>
      </c>
      <c r="I1311" s="6">
        <f t="shared" ca="1" si="0"/>
        <v>1075</v>
      </c>
      <c r="J1311" s="6">
        <f ca="1">IFERROR(__xludf.DUMMYFUNCTION("IFERROR(GOOGLEFINANCE(B1311, ""volume""), 0)"),46641)</f>
        <v>46641</v>
      </c>
      <c r="K1311" s="6">
        <v>0.3</v>
      </c>
      <c r="L1311" s="6">
        <f ca="1">IFERROR(__xludf.DUMMYFUNCTION("IFERROR(GOOGLEFINANCE(B1311,""changepct""),K1311)"),1.35)</f>
        <v>1.35</v>
      </c>
      <c r="M1311" s="6">
        <f ca="1">IFERROR(__xludf.DUMMYFUNCTION("IFERROR(GOOGLEFINANCE(B1311,""change""),0)"),14.3)</f>
        <v>14.3</v>
      </c>
      <c r="N1311" s="6">
        <v>2</v>
      </c>
      <c r="O1311" s="7">
        <v>45536</v>
      </c>
      <c r="P1311" s="6">
        <v>664.31</v>
      </c>
      <c r="Q1311" s="6">
        <v>3771.33</v>
      </c>
      <c r="R1311" s="7">
        <v>45536</v>
      </c>
      <c r="S1311" s="6">
        <v>3670.05</v>
      </c>
      <c r="T1311" s="6">
        <v>151.52000000000001</v>
      </c>
      <c r="U1311" s="7">
        <v>45536</v>
      </c>
      <c r="V1311" s="6">
        <v>21.18</v>
      </c>
      <c r="W1311" s="6">
        <f ca="1">IFERROR(__xludf.DUMMYFUNCTION("IFERROR(GOOGLEFINANCE(B1311,""pe""),V1311)"),21.33)</f>
        <v>21.33</v>
      </c>
      <c r="X1311" s="6">
        <v>0.64</v>
      </c>
      <c r="Y1311" s="6">
        <v>2.59</v>
      </c>
      <c r="Z1311" s="6">
        <v>2</v>
      </c>
      <c r="AA1311" s="8">
        <v>45352</v>
      </c>
      <c r="AB1311" s="4">
        <v>0.56000000000000005</v>
      </c>
      <c r="AC1311" s="6">
        <v>15.56</v>
      </c>
      <c r="AD1311" s="6">
        <v>17.63</v>
      </c>
      <c r="AE1311" s="1">
        <v>0</v>
      </c>
      <c r="AF1311" s="1">
        <f ca="1">IFERROR(__xludf.DUMMYFUNCTION("IFERROR(GOOGLEFINANCE(TRIM(F1311)&amp;"":"" &amp; TRIM(B1311),""high52""),AE1311)"),1349)</f>
        <v>1349</v>
      </c>
      <c r="AG1311" s="1">
        <v>0</v>
      </c>
      <c r="AH1311" s="1">
        <f ca="1">IFERROR(__xludf.DUMMYFUNCTION("IFERROR(GOOGLEFINANCE(TRIM(F1311)&amp;"":"" &amp; TRIM(B1311),""low52""),AE1311)"),567.75)</f>
        <v>567.75</v>
      </c>
      <c r="AI1311" s="1">
        <f ca="1">IFERROR(__xludf.DUMMYFUNCTION("IFERROR(GOOGLEFINANCE(B1311,""eps""),0)"),50.4)</f>
        <v>50.4</v>
      </c>
      <c r="AJ1311" s="1"/>
      <c r="AK1311" s="9"/>
      <c r="AL1311" s="9">
        <f t="shared" ref="AL1311:AL1333" si="183">IF(AA1311&lt;&gt;AB1311,1,0)</f>
        <v>1</v>
      </c>
    </row>
    <row r="1312" spans="1:38" ht="15" x14ac:dyDescent="0.25">
      <c r="A1312" s="1" t="s">
        <v>3963</v>
      </c>
      <c r="B1312" s="1" t="s">
        <v>3964</v>
      </c>
      <c r="C1312" s="1" t="s">
        <v>112</v>
      </c>
      <c r="D1312" s="1" t="s">
        <v>112</v>
      </c>
      <c r="E1312" s="6">
        <v>164.04</v>
      </c>
      <c r="F1312" s="1" t="s">
        <v>53</v>
      </c>
      <c r="G1312" s="6">
        <f ca="1">IFERROR(__xludf.DUMMYFUNCTION("iferror(GOOGLEFINANCE(TRIM(F1312)&amp;"":"" &amp; TRIM(B1312), ""price""),0
)"),0)</f>
        <v>0</v>
      </c>
      <c r="H1312" s="6">
        <v>529</v>
      </c>
      <c r="I1312" s="6">
        <f t="shared" ca="1" si="0"/>
        <v>529</v>
      </c>
      <c r="J1312" s="6">
        <f ca="1">IFERROR(__xludf.DUMMYFUNCTION("IFERROR(GOOGLEFINANCE(B1312, ""volume""), 0)"),0)</f>
        <v>0</v>
      </c>
      <c r="K1312" s="6">
        <v>0.74</v>
      </c>
      <c r="L1312" s="6">
        <f ca="1">IFERROR(__xludf.DUMMYFUNCTION("IFERROR(GOOGLEFINANCE(B1312,""changepct""),K1312)"),0.74)</f>
        <v>0.74</v>
      </c>
      <c r="M1312" s="6">
        <f ca="1">IFERROR(__xludf.DUMMYFUNCTION("IFERROR(GOOGLEFINANCE(B1312,""change""),0)"),0)</f>
        <v>0</v>
      </c>
      <c r="N1312" s="6">
        <v>1</v>
      </c>
      <c r="O1312" s="7">
        <v>45352</v>
      </c>
      <c r="P1312" s="6">
        <v>17.54</v>
      </c>
      <c r="Q1312" s="6">
        <v>164.09</v>
      </c>
      <c r="R1312" s="7">
        <v>45536</v>
      </c>
      <c r="S1312" s="6">
        <v>113.37</v>
      </c>
      <c r="T1312" s="6">
        <v>6.55</v>
      </c>
      <c r="U1312" s="7">
        <v>45536</v>
      </c>
      <c r="V1312" s="6">
        <v>25.06</v>
      </c>
      <c r="W1312" s="6">
        <f ca="1">IFERROR(__xludf.DUMMYFUNCTION("IFERROR(GOOGLEFINANCE(B1312,""pe""),V1312)"),25.06)</f>
        <v>25.06</v>
      </c>
      <c r="X1312" s="6">
        <v>0.55000000000000004</v>
      </c>
      <c r="Y1312" s="6">
        <v>4.22</v>
      </c>
      <c r="Z1312" s="6">
        <v>1</v>
      </c>
      <c r="AA1312" s="8">
        <v>45352</v>
      </c>
      <c r="AB1312" s="4">
        <v>0.48</v>
      </c>
      <c r="AC1312" s="6">
        <v>16.07</v>
      </c>
      <c r="AD1312" s="6">
        <v>17.64</v>
      </c>
      <c r="AE1312" s="1">
        <v>0</v>
      </c>
      <c r="AF1312" s="1">
        <f ca="1">IFERROR(__xludf.DUMMYFUNCTION("IFERROR(GOOGLEFINANCE(TRIM(F1312)&amp;"":"" &amp; TRIM(B1312),""high52""),AE1312)"),0)</f>
        <v>0</v>
      </c>
      <c r="AG1312" s="1">
        <v>0</v>
      </c>
      <c r="AH1312" s="1">
        <f ca="1">IFERROR(__xludf.DUMMYFUNCTION("IFERROR(GOOGLEFINANCE(TRIM(F1312)&amp;"":"" &amp; TRIM(B1312),""low52""),AE1312)"),0)</f>
        <v>0</v>
      </c>
      <c r="AI1312" s="1">
        <f ca="1">IFERROR(__xludf.DUMMYFUNCTION("IFERROR(GOOGLEFINANCE(B1312,""eps""),0)"),0)</f>
        <v>0</v>
      </c>
      <c r="AJ1312" s="1"/>
      <c r="AK1312" s="1" t="s">
        <v>3965</v>
      </c>
      <c r="AL1312" s="9">
        <f t="shared" si="183"/>
        <v>1</v>
      </c>
    </row>
    <row r="1313" spans="1:38" ht="15" x14ac:dyDescent="0.25">
      <c r="A1313" s="1" t="s">
        <v>3966</v>
      </c>
      <c r="B1313" s="1" t="s">
        <v>3967</v>
      </c>
      <c r="C1313" s="1" t="s">
        <v>112</v>
      </c>
      <c r="D1313" s="1" t="s">
        <v>112</v>
      </c>
      <c r="E1313" s="6">
        <v>419.57</v>
      </c>
      <c r="F1313" s="1" t="s">
        <v>53</v>
      </c>
      <c r="G1313" s="6">
        <f ca="1">IFERROR(__xludf.DUMMYFUNCTION("iferror(GOOGLEFINANCE(TRIM(F1313)&amp;"":"" &amp; TRIM(B1313), ""price""),0
)"),0)</f>
        <v>0</v>
      </c>
      <c r="H1313" s="6">
        <v>18.98</v>
      </c>
      <c r="I1313" s="6">
        <f t="shared" ca="1" si="0"/>
        <v>18.98</v>
      </c>
      <c r="J1313" s="6">
        <f ca="1">IFERROR(__xludf.DUMMYFUNCTION("IFERROR(GOOGLEFINANCE(B1313, ""volume""), 0)"),0)</f>
        <v>0</v>
      </c>
      <c r="K1313" s="6">
        <v>4.9800000000000004</v>
      </c>
      <c r="L1313" s="6">
        <f ca="1">IFERROR(__xludf.DUMMYFUNCTION("IFERROR(GOOGLEFINANCE(B1313,""changepct""),K1313)"),4.98)</f>
        <v>4.9800000000000004</v>
      </c>
      <c r="M1313" s="6">
        <f ca="1">IFERROR(__xludf.DUMMYFUNCTION("IFERROR(GOOGLEFINANCE(B1313,""change""),0)"),0)</f>
        <v>0</v>
      </c>
      <c r="N1313" s="6">
        <v>2</v>
      </c>
      <c r="O1313" s="7">
        <v>45536</v>
      </c>
      <c r="P1313" s="6">
        <v>0.39</v>
      </c>
      <c r="Q1313" s="6">
        <v>419.97</v>
      </c>
      <c r="R1313" s="7">
        <v>45536</v>
      </c>
      <c r="S1313" s="6">
        <v>990.01</v>
      </c>
      <c r="T1313" s="6">
        <v>117.73</v>
      </c>
      <c r="U1313" s="7">
        <v>45536</v>
      </c>
      <c r="V1313" s="6">
        <v>3.56</v>
      </c>
      <c r="W1313" s="6">
        <f ca="1">IFERROR(__xludf.DUMMYFUNCTION("IFERROR(GOOGLEFINANCE(B1313,""pe""),V1313)"),3.56)</f>
        <v>3.56</v>
      </c>
      <c r="X1313" s="9"/>
      <c r="Y1313" s="6">
        <v>1.32</v>
      </c>
      <c r="Z1313" s="6">
        <v>2</v>
      </c>
      <c r="AA1313" s="8">
        <v>45352</v>
      </c>
      <c r="AB1313" s="4">
        <v>0</v>
      </c>
      <c r="AC1313" s="6">
        <v>170.43</v>
      </c>
      <c r="AD1313" s="6">
        <v>179.08</v>
      </c>
      <c r="AE1313" s="1">
        <v>0</v>
      </c>
      <c r="AF1313" s="1">
        <f ca="1">IFERROR(__xludf.DUMMYFUNCTION("IFERROR(GOOGLEFINANCE(TRIM(F1313)&amp;"":"" &amp; TRIM(B1313),""high52""),AE1313)"),0)</f>
        <v>0</v>
      </c>
      <c r="AG1313" s="1">
        <v>0</v>
      </c>
      <c r="AH1313" s="1">
        <f ca="1">IFERROR(__xludf.DUMMYFUNCTION("IFERROR(GOOGLEFINANCE(TRIM(F1313)&amp;"":"" &amp; TRIM(B1313),""low52""),AE1313)"),0)</f>
        <v>0</v>
      </c>
      <c r="AI1313" s="1">
        <f ca="1">IFERROR(__xludf.DUMMYFUNCTION("IFERROR(GOOGLEFINANCE(B1313,""eps""),0)"),0)</f>
        <v>0</v>
      </c>
      <c r="AJ1313" s="1"/>
      <c r="AK1313" s="1" t="s">
        <v>3968</v>
      </c>
      <c r="AL1313" s="9">
        <f t="shared" si="183"/>
        <v>1</v>
      </c>
    </row>
    <row r="1314" spans="1:38" ht="15" x14ac:dyDescent="0.25">
      <c r="A1314" s="1" t="s">
        <v>3969</v>
      </c>
      <c r="B1314" s="1" t="s">
        <v>3970</v>
      </c>
      <c r="C1314" s="1" t="s">
        <v>324</v>
      </c>
      <c r="D1314" s="1" t="s">
        <v>324</v>
      </c>
      <c r="E1314" s="6">
        <v>4561.7700000000004</v>
      </c>
      <c r="F1314" s="1" t="s">
        <v>40</v>
      </c>
      <c r="G1314" s="6">
        <f ca="1">IFERROR(__xludf.DUMMYFUNCTION("iferror(GOOGLEFINANCE(TRIM(F1314)&amp;"":"" &amp; TRIM(B1314), ""price""),0
)"),300)</f>
        <v>300</v>
      </c>
      <c r="H1314" s="6">
        <v>372</v>
      </c>
      <c r="I1314" s="6">
        <f t="shared" ca="1" si="0"/>
        <v>300</v>
      </c>
      <c r="J1314" s="6">
        <f ca="1">IFERROR(__xludf.DUMMYFUNCTION("IFERROR(GOOGLEFINANCE(B1314, ""volume""), 0)"),93238)</f>
        <v>93238</v>
      </c>
      <c r="K1314" s="6">
        <v>1.45</v>
      </c>
      <c r="L1314" s="6">
        <f ca="1">IFERROR(__xludf.DUMMYFUNCTION("IFERROR(GOOGLEFINANCE(B1314,""changepct""),K1314)"),0.27)</f>
        <v>0.27</v>
      </c>
      <c r="M1314" s="6">
        <f ca="1">IFERROR(__xludf.DUMMYFUNCTION("IFERROR(GOOGLEFINANCE(B1314,""change""),0)"),0.8)</f>
        <v>0.8</v>
      </c>
      <c r="N1314" s="6">
        <v>1</v>
      </c>
      <c r="O1314" s="7">
        <v>45536</v>
      </c>
      <c r="P1314" s="6">
        <v>5.72</v>
      </c>
      <c r="Q1314" s="6">
        <v>4567.49</v>
      </c>
      <c r="R1314" s="7">
        <v>45536</v>
      </c>
      <c r="S1314" s="6">
        <v>1483.26</v>
      </c>
      <c r="T1314" s="6">
        <v>97.19</v>
      </c>
      <c r="U1314" s="7">
        <v>45536</v>
      </c>
      <c r="V1314" s="6">
        <v>46.94</v>
      </c>
      <c r="W1314" s="6">
        <f ca="1">IFERROR(__xludf.DUMMYFUNCTION("IFERROR(GOOGLEFINANCE(B1314,""pe""),V1314)"),797.85)</f>
        <v>797.85</v>
      </c>
      <c r="X1314" s="12"/>
      <c r="Y1314" s="6">
        <v>10.28</v>
      </c>
      <c r="Z1314" s="6">
        <v>1</v>
      </c>
      <c r="AA1314" s="8">
        <v>45352</v>
      </c>
      <c r="AB1314" s="4">
        <v>0.17</v>
      </c>
      <c r="AC1314" s="6">
        <v>29.24</v>
      </c>
      <c r="AD1314" s="6">
        <v>32.07</v>
      </c>
      <c r="AE1314" s="1">
        <v>0</v>
      </c>
      <c r="AF1314" s="1">
        <f ca="1">IFERROR(__xludf.DUMMYFUNCTION("IFERROR(GOOGLEFINANCE(TRIM(F1314)&amp;"":"" &amp; TRIM(B1314),""high52""),AE1314)"),398)</f>
        <v>398</v>
      </c>
      <c r="AG1314" s="1">
        <v>0</v>
      </c>
      <c r="AH1314" s="1">
        <f ca="1">IFERROR(__xludf.DUMMYFUNCTION("IFERROR(GOOGLEFINANCE(TRIM(F1314)&amp;"":"" &amp; TRIM(B1314),""low52""),AE1314)"),255.9)</f>
        <v>255.9</v>
      </c>
      <c r="AI1314" s="1">
        <f ca="1">IFERROR(__xludf.DUMMYFUNCTION("IFERROR(GOOGLEFINANCE(B1314,""eps""),0)"),0.38)</f>
        <v>0.38</v>
      </c>
      <c r="AJ1314" s="1"/>
      <c r="AK1314" s="1" t="s">
        <v>3971</v>
      </c>
      <c r="AL1314" s="9">
        <f t="shared" si="183"/>
        <v>1</v>
      </c>
    </row>
    <row r="1315" spans="1:38" ht="15" x14ac:dyDescent="0.25">
      <c r="A1315" s="1" t="s">
        <v>3972</v>
      </c>
      <c r="B1315" s="1" t="s">
        <v>3973</v>
      </c>
      <c r="C1315" s="1" t="s">
        <v>112</v>
      </c>
      <c r="D1315" s="1" t="s">
        <v>112</v>
      </c>
      <c r="E1315" s="6">
        <v>6562.15</v>
      </c>
      <c r="F1315" s="1" t="s">
        <v>53</v>
      </c>
      <c r="G1315" s="6">
        <f ca="1">IFERROR(__xludf.DUMMYFUNCTION("iferror(GOOGLEFINANCE(TRIM(F1315)&amp;"":"" &amp; TRIM(B1315), ""price""),0
)"),0)</f>
        <v>0</v>
      </c>
      <c r="H1315" s="6">
        <v>3014.95</v>
      </c>
      <c r="I1315" s="6">
        <f t="shared" ca="1" si="0"/>
        <v>3014.95</v>
      </c>
      <c r="J1315" s="6">
        <f ca="1">IFERROR(__xludf.DUMMYFUNCTION("IFERROR(GOOGLEFINANCE(B1315, ""volume""), 0)"),0)</f>
        <v>0</v>
      </c>
      <c r="K1315" s="6">
        <v>0.98</v>
      </c>
      <c r="L1315" s="6">
        <f ca="1">IFERROR(__xludf.DUMMYFUNCTION("IFERROR(GOOGLEFINANCE(B1315,""changepct""),K1315)"),0.98)</f>
        <v>0.98</v>
      </c>
      <c r="M1315" s="6">
        <f ca="1">IFERROR(__xludf.DUMMYFUNCTION("IFERROR(GOOGLEFINANCE(B1315,""change""),0)"),0)</f>
        <v>0</v>
      </c>
      <c r="N1315" s="6">
        <v>1</v>
      </c>
      <c r="O1315" s="7">
        <v>45444</v>
      </c>
      <c r="P1315" s="6">
        <v>0</v>
      </c>
      <c r="Q1315" s="6">
        <v>6449.05</v>
      </c>
      <c r="R1315" s="7">
        <v>45536</v>
      </c>
      <c r="S1315" s="6">
        <v>1112.4000000000001</v>
      </c>
      <c r="T1315" s="6">
        <v>118.5</v>
      </c>
      <c r="U1315" s="7">
        <v>45536</v>
      </c>
      <c r="V1315" s="6">
        <v>55.38</v>
      </c>
      <c r="W1315" s="6">
        <f ca="1">IFERROR(__xludf.DUMMYFUNCTION("IFERROR(GOOGLEFINANCE(B1315,""pe""),V1315)"),55.38)</f>
        <v>55.38</v>
      </c>
      <c r="X1315" s="6">
        <v>17.09</v>
      </c>
      <c r="Y1315" s="6">
        <v>8.67</v>
      </c>
      <c r="Z1315" s="6">
        <v>1</v>
      </c>
      <c r="AA1315" s="8">
        <v>45444</v>
      </c>
      <c r="AB1315" s="4">
        <v>0</v>
      </c>
      <c r="AC1315" s="6">
        <v>15.57</v>
      </c>
      <c r="AD1315" s="6">
        <v>21.37</v>
      </c>
      <c r="AE1315" s="1">
        <v>0</v>
      </c>
      <c r="AF1315" s="1">
        <f ca="1">IFERROR(__xludf.DUMMYFUNCTION("IFERROR(GOOGLEFINANCE(TRIM(F1315)&amp;"":"" &amp; TRIM(B1315),""high52""),AE1315)"),0)</f>
        <v>0</v>
      </c>
      <c r="AG1315" s="1">
        <v>0</v>
      </c>
      <c r="AH1315" s="1">
        <f ca="1">IFERROR(__xludf.DUMMYFUNCTION("IFERROR(GOOGLEFINANCE(TRIM(F1315)&amp;"":"" &amp; TRIM(B1315),""low52""),AE1315)"),0)</f>
        <v>0</v>
      </c>
      <c r="AI1315" s="1">
        <f ca="1">IFERROR(__xludf.DUMMYFUNCTION("IFERROR(GOOGLEFINANCE(B1315,""eps""),0)"),0)</f>
        <v>0</v>
      </c>
      <c r="AJ1315" s="1"/>
      <c r="AK1315" s="9"/>
      <c r="AL1315" s="9">
        <f t="shared" si="183"/>
        <v>1</v>
      </c>
    </row>
    <row r="1316" spans="1:38" ht="15" x14ac:dyDescent="0.25">
      <c r="A1316" s="1" t="s">
        <v>3974</v>
      </c>
      <c r="B1316" s="1" t="s">
        <v>3975</v>
      </c>
      <c r="C1316" s="1" t="s">
        <v>112</v>
      </c>
      <c r="D1316" s="1" t="s">
        <v>112</v>
      </c>
      <c r="E1316" s="6">
        <v>67.28</v>
      </c>
      <c r="F1316" s="1" t="s">
        <v>53</v>
      </c>
      <c r="G1316" s="6">
        <f ca="1">IFERROR(__xludf.DUMMYFUNCTION("iferror(GOOGLEFINANCE(TRIM(F1316)&amp;"":"" &amp; TRIM(B1316), ""price""),0
)"),0)</f>
        <v>0</v>
      </c>
      <c r="H1316" s="6">
        <v>64</v>
      </c>
      <c r="I1316" s="6">
        <f t="shared" ca="1" si="0"/>
        <v>64</v>
      </c>
      <c r="J1316" s="6">
        <f ca="1">IFERROR(__xludf.DUMMYFUNCTION("IFERROR(GOOGLEFINANCE(B1316, ""volume""), 0)"),0)</f>
        <v>0</v>
      </c>
      <c r="K1316" s="6">
        <v>2.73</v>
      </c>
      <c r="L1316" s="6">
        <f ca="1">IFERROR(__xludf.DUMMYFUNCTION("IFERROR(GOOGLEFINANCE(B1316,""changepct""),K1316)"),2.73)</f>
        <v>2.73</v>
      </c>
      <c r="M1316" s="6">
        <f ca="1">IFERROR(__xludf.DUMMYFUNCTION("IFERROR(GOOGLEFINANCE(B1316,""change""),0)"),0)</f>
        <v>0</v>
      </c>
      <c r="N1316" s="6">
        <v>1</v>
      </c>
      <c r="O1316" s="7">
        <v>45536</v>
      </c>
      <c r="P1316" s="9"/>
      <c r="Q1316" s="6">
        <v>67.08</v>
      </c>
      <c r="R1316" s="7">
        <v>45536</v>
      </c>
      <c r="S1316" s="6">
        <v>1.34</v>
      </c>
      <c r="T1316" s="6">
        <v>-0.79</v>
      </c>
      <c r="U1316" s="7">
        <v>45536</v>
      </c>
      <c r="V1316" s="6">
        <v>0</v>
      </c>
      <c r="W1316" s="6">
        <f ca="1">IFERROR(__xludf.DUMMYFUNCTION("IFERROR(GOOGLEFINANCE(B1316,""pe""),V1316)"),0)</f>
        <v>0</v>
      </c>
      <c r="X1316" s="9"/>
      <c r="Y1316" s="6">
        <v>6.15</v>
      </c>
      <c r="Z1316" s="6">
        <v>1</v>
      </c>
      <c r="AA1316" s="8">
        <v>45352</v>
      </c>
      <c r="AB1316" s="4">
        <v>0</v>
      </c>
      <c r="AC1316" s="6">
        <v>-4.0199999999999996</v>
      </c>
      <c r="AD1316" s="6">
        <v>-3.99</v>
      </c>
      <c r="AE1316" s="1">
        <v>0</v>
      </c>
      <c r="AF1316" s="1">
        <f ca="1">IFERROR(__xludf.DUMMYFUNCTION("IFERROR(GOOGLEFINANCE(TRIM(F1316)&amp;"":"" &amp; TRIM(B1316),""high52""),AE1316)"),0)</f>
        <v>0</v>
      </c>
      <c r="AG1316" s="1">
        <v>0</v>
      </c>
      <c r="AH1316" s="1">
        <f ca="1">IFERROR(__xludf.DUMMYFUNCTION("IFERROR(GOOGLEFINANCE(TRIM(F1316)&amp;"":"" &amp; TRIM(B1316),""low52""),AE1316)"),0)</f>
        <v>0</v>
      </c>
      <c r="AI1316" s="1">
        <f ca="1">IFERROR(__xludf.DUMMYFUNCTION("IFERROR(GOOGLEFINANCE(B1316,""eps""),0)"),0)</f>
        <v>0</v>
      </c>
      <c r="AJ1316" s="1"/>
      <c r="AK1316" s="1" t="s">
        <v>3976</v>
      </c>
      <c r="AL1316" s="9">
        <f t="shared" si="183"/>
        <v>1</v>
      </c>
    </row>
    <row r="1317" spans="1:38" ht="15" x14ac:dyDescent="0.25">
      <c r="A1317" s="1" t="s">
        <v>3977</v>
      </c>
      <c r="B1317" s="1" t="s">
        <v>3978</v>
      </c>
      <c r="C1317" s="1" t="s">
        <v>112</v>
      </c>
      <c r="D1317" s="1" t="s">
        <v>112</v>
      </c>
      <c r="E1317" s="6">
        <v>14.51</v>
      </c>
      <c r="F1317" s="1" t="s">
        <v>53</v>
      </c>
      <c r="G1317" s="6">
        <f ca="1">IFERROR(__xludf.DUMMYFUNCTION("iferror(GOOGLEFINANCE(TRIM(F1317)&amp;"":"" &amp; TRIM(B1317), ""price""),0
)"),0)</f>
        <v>0</v>
      </c>
      <c r="H1317" s="6">
        <v>20.32</v>
      </c>
      <c r="I1317" s="6">
        <f t="shared" ca="1" si="0"/>
        <v>20.32</v>
      </c>
      <c r="J1317" s="6">
        <f ca="1">IFERROR(__xludf.DUMMYFUNCTION("IFERROR(GOOGLEFINANCE(B1317, ""volume""), 0)"),0)</f>
        <v>0</v>
      </c>
      <c r="K1317" s="6">
        <v>-1.98</v>
      </c>
      <c r="L1317" s="6">
        <f ca="1">IFERROR(__xludf.DUMMYFUNCTION("IFERROR(GOOGLEFINANCE(B1317,""changepct""),K1317)"),-1.98)</f>
        <v>-1.98</v>
      </c>
      <c r="M1317" s="6">
        <f ca="1">IFERROR(__xludf.DUMMYFUNCTION("IFERROR(GOOGLEFINANCE(B1317,""change""),0)"),0)</f>
        <v>0</v>
      </c>
      <c r="N1317" s="6">
        <v>1</v>
      </c>
      <c r="O1317" s="7">
        <v>45536</v>
      </c>
      <c r="P1317" s="6">
        <v>0.99</v>
      </c>
      <c r="Q1317" s="6">
        <v>15.43</v>
      </c>
      <c r="R1317" s="7">
        <v>45536</v>
      </c>
      <c r="S1317" s="6">
        <v>0</v>
      </c>
      <c r="T1317" s="6">
        <v>-0.96</v>
      </c>
      <c r="U1317" s="7">
        <v>45536</v>
      </c>
      <c r="V1317" s="6">
        <v>0</v>
      </c>
      <c r="W1317" s="6">
        <f ca="1">IFERROR(__xludf.DUMMYFUNCTION("IFERROR(GOOGLEFINANCE(B1317,""pe""),V1317)"),0)</f>
        <v>0</v>
      </c>
      <c r="X1317" s="9"/>
      <c r="Y1317" s="6">
        <v>0.68</v>
      </c>
      <c r="Z1317" s="6">
        <v>1</v>
      </c>
      <c r="AA1317" s="8">
        <v>45352</v>
      </c>
      <c r="AB1317" s="4">
        <v>0.04</v>
      </c>
      <c r="AC1317" s="6">
        <v>-3.85</v>
      </c>
      <c r="AD1317" s="6">
        <v>-5.05</v>
      </c>
      <c r="AE1317" s="1">
        <v>0</v>
      </c>
      <c r="AF1317" s="1">
        <f ca="1">IFERROR(__xludf.DUMMYFUNCTION("IFERROR(GOOGLEFINANCE(TRIM(F1317)&amp;"":"" &amp; TRIM(B1317),""high52""),AE1317)"),0)</f>
        <v>0</v>
      </c>
      <c r="AG1317" s="1">
        <v>0</v>
      </c>
      <c r="AH1317" s="1">
        <f ca="1">IFERROR(__xludf.DUMMYFUNCTION("IFERROR(GOOGLEFINANCE(TRIM(F1317)&amp;"":"" &amp; TRIM(B1317),""low52""),AE1317)"),0)</f>
        <v>0</v>
      </c>
      <c r="AI1317" s="1">
        <f ca="1">IFERROR(__xludf.DUMMYFUNCTION("IFERROR(GOOGLEFINANCE(B1317,""eps""),0)"),0)</f>
        <v>0</v>
      </c>
      <c r="AJ1317" s="1"/>
      <c r="AK1317" s="1" t="s">
        <v>3979</v>
      </c>
      <c r="AL1317" s="9">
        <f t="shared" si="183"/>
        <v>1</v>
      </c>
    </row>
    <row r="1318" spans="1:38" ht="15" x14ac:dyDescent="0.25">
      <c r="A1318" s="1" t="s">
        <v>3980</v>
      </c>
      <c r="B1318" s="1" t="s">
        <v>3981</v>
      </c>
      <c r="C1318" s="1" t="s">
        <v>227</v>
      </c>
      <c r="D1318" s="1" t="s">
        <v>227</v>
      </c>
      <c r="E1318" s="6">
        <v>140.16</v>
      </c>
      <c r="F1318" s="1" t="s">
        <v>40</v>
      </c>
      <c r="G1318" s="6">
        <f ca="1">IFERROR(__xludf.DUMMYFUNCTION("iferror(GOOGLEFINANCE(TRIM(F1318)&amp;"":"" &amp; TRIM(B1318), ""price""),0
)"),7.4)</f>
        <v>7.4</v>
      </c>
      <c r="H1318" s="6">
        <v>9.9600000000000009</v>
      </c>
      <c r="I1318" s="6">
        <f t="shared" ca="1" si="0"/>
        <v>7.4</v>
      </c>
      <c r="J1318" s="6">
        <f ca="1">IFERROR(__xludf.DUMMYFUNCTION("IFERROR(GOOGLEFINANCE(B1318, ""volume""), 0)"),103124)</f>
        <v>103124</v>
      </c>
      <c r="K1318" s="6">
        <v>1.63</v>
      </c>
      <c r="L1318" s="6">
        <f ca="1">IFERROR(__xludf.DUMMYFUNCTION("IFERROR(GOOGLEFINANCE(B1318,""changepct""),K1318)"),-3.39)</f>
        <v>-3.39</v>
      </c>
      <c r="M1318" s="6">
        <f ca="1">IFERROR(__xludf.DUMMYFUNCTION("IFERROR(GOOGLEFINANCE(B1318,""change""),0)"),-0.26)</f>
        <v>-0.26</v>
      </c>
      <c r="N1318" s="6">
        <v>2</v>
      </c>
      <c r="O1318" s="7">
        <v>45536</v>
      </c>
      <c r="P1318" s="6">
        <v>1.61</v>
      </c>
      <c r="Q1318" s="6">
        <v>141.77000000000001</v>
      </c>
      <c r="R1318" s="7">
        <v>45536</v>
      </c>
      <c r="S1318" s="6">
        <v>80.73</v>
      </c>
      <c r="T1318" s="6">
        <v>2.2000000000000002</v>
      </c>
      <c r="U1318" s="7">
        <v>45536</v>
      </c>
      <c r="V1318" s="6">
        <v>54.01</v>
      </c>
      <c r="W1318" s="6">
        <f ca="1">IFERROR(__xludf.DUMMYFUNCTION("IFERROR(GOOGLEFINANCE(B1318,""pe""),V1318)"),35.11)</f>
        <v>35.11</v>
      </c>
      <c r="X1318" s="9"/>
      <c r="Y1318" s="6">
        <v>6.6</v>
      </c>
      <c r="Z1318" s="6">
        <v>2</v>
      </c>
      <c r="AA1318" s="8">
        <v>45352</v>
      </c>
      <c r="AB1318" s="4">
        <v>0.08</v>
      </c>
      <c r="AC1318" s="6">
        <v>12.4</v>
      </c>
      <c r="AD1318" s="6">
        <v>16.38</v>
      </c>
      <c r="AE1318" s="1">
        <v>0</v>
      </c>
      <c r="AF1318" s="1">
        <f ca="1">IFERROR(__xludf.DUMMYFUNCTION("IFERROR(GOOGLEFINANCE(TRIM(F1318)&amp;"":"" &amp; TRIM(B1318),""high52""),AE1318)"),11.37)</f>
        <v>11.37</v>
      </c>
      <c r="AG1318" s="1">
        <v>0</v>
      </c>
      <c r="AH1318" s="1">
        <f ca="1">IFERROR(__xludf.DUMMYFUNCTION("IFERROR(GOOGLEFINANCE(TRIM(F1318)&amp;"":"" &amp; TRIM(B1318),""low52""),AE1318)"),6.16)</f>
        <v>6.16</v>
      </c>
      <c r="AI1318" s="1">
        <f ca="1">IFERROR(__xludf.DUMMYFUNCTION("IFERROR(GOOGLEFINANCE(B1318,""eps""),0)"),0.21)</f>
        <v>0.21</v>
      </c>
      <c r="AJ1318" s="1"/>
      <c r="AK1318" s="1" t="s">
        <v>3982</v>
      </c>
      <c r="AL1318" s="9">
        <f t="shared" si="183"/>
        <v>1</v>
      </c>
    </row>
    <row r="1319" spans="1:38" ht="15" x14ac:dyDescent="0.25">
      <c r="A1319" s="1" t="s">
        <v>3983</v>
      </c>
      <c r="B1319" s="1" t="s">
        <v>3984</v>
      </c>
      <c r="C1319" s="1" t="s">
        <v>324</v>
      </c>
      <c r="D1319" s="1" t="s">
        <v>324</v>
      </c>
      <c r="E1319" s="6">
        <v>364.72</v>
      </c>
      <c r="F1319" s="1" t="s">
        <v>40</v>
      </c>
      <c r="G1319" s="6">
        <f ca="1">IFERROR(__xludf.DUMMYFUNCTION("iferror(GOOGLEFINANCE(TRIM(F1319)&amp;"":"" &amp; TRIM(B1319), ""price""),0
)"),0)</f>
        <v>0</v>
      </c>
      <c r="H1319" s="6">
        <v>202</v>
      </c>
      <c r="I1319" s="6">
        <f t="shared" ca="1" si="0"/>
        <v>202</v>
      </c>
      <c r="J1319" s="6">
        <f ca="1">IFERROR(__xludf.DUMMYFUNCTION("IFERROR(GOOGLEFINANCE(B1319, ""volume""), 0)"),0)</f>
        <v>0</v>
      </c>
      <c r="K1319" s="6">
        <v>-0.86</v>
      </c>
      <c r="L1319" s="6">
        <f ca="1">IFERROR(__xludf.DUMMYFUNCTION("IFERROR(GOOGLEFINANCE(B1319,""changepct""),K1319)"),-0.86)</f>
        <v>-0.86</v>
      </c>
      <c r="M1319" s="6">
        <f ca="1">IFERROR(__xludf.DUMMYFUNCTION("IFERROR(GOOGLEFINANCE(B1319,""change""),0)"),0)</f>
        <v>0</v>
      </c>
      <c r="N1319" s="6">
        <v>1</v>
      </c>
      <c r="O1319" s="7">
        <v>45536</v>
      </c>
      <c r="P1319" s="6">
        <v>10.39</v>
      </c>
      <c r="Q1319" s="6">
        <v>375.11</v>
      </c>
      <c r="R1319" s="7">
        <v>45352</v>
      </c>
      <c r="S1319" s="6">
        <v>117.75</v>
      </c>
      <c r="T1319" s="6">
        <v>9.4499999999999993</v>
      </c>
      <c r="U1319" s="7">
        <v>45352</v>
      </c>
      <c r="V1319" s="6">
        <v>38.58</v>
      </c>
      <c r="W1319" s="6">
        <f ca="1">IFERROR(__xludf.DUMMYFUNCTION("IFERROR(GOOGLEFINANCE(B1319,""pe""),V1319)"),38.58)</f>
        <v>38.58</v>
      </c>
      <c r="X1319" s="9"/>
      <c r="Y1319" s="6">
        <v>8.64</v>
      </c>
      <c r="Z1319" s="6">
        <v>1</v>
      </c>
      <c r="AA1319" s="8">
        <v>45352</v>
      </c>
      <c r="AB1319" s="4">
        <v>0.13</v>
      </c>
      <c r="AC1319" s="6">
        <v>32.369999999999997</v>
      </c>
      <c r="AD1319" s="6">
        <v>34.92</v>
      </c>
      <c r="AE1319" s="1">
        <v>0</v>
      </c>
      <c r="AF1319" s="1">
        <f ca="1">IFERROR(__xludf.DUMMYFUNCTION("IFERROR(GOOGLEFINANCE(TRIM(F1319)&amp;"":"" &amp; TRIM(B1319),""high52""),AE1319)"),0)</f>
        <v>0</v>
      </c>
      <c r="AG1319" s="1">
        <v>0</v>
      </c>
      <c r="AH1319" s="1">
        <f ca="1">IFERROR(__xludf.DUMMYFUNCTION("IFERROR(GOOGLEFINANCE(TRIM(F1319)&amp;"":"" &amp; TRIM(B1319),""low52""),AE1319)"),0)</f>
        <v>0</v>
      </c>
      <c r="AI1319" s="1">
        <f ca="1">IFERROR(__xludf.DUMMYFUNCTION("IFERROR(GOOGLEFINANCE(B1319,""eps""),0)"),0)</f>
        <v>0</v>
      </c>
      <c r="AJ1319" s="1"/>
      <c r="AK1319" s="1" t="s">
        <v>3985</v>
      </c>
      <c r="AL1319" s="9">
        <f t="shared" si="183"/>
        <v>1</v>
      </c>
    </row>
    <row r="1320" spans="1:38" ht="15" x14ac:dyDescent="0.25">
      <c r="A1320" s="1" t="s">
        <v>3986</v>
      </c>
      <c r="B1320" s="1" t="s">
        <v>3987</v>
      </c>
      <c r="C1320" s="1" t="s">
        <v>227</v>
      </c>
      <c r="D1320" s="1" t="s">
        <v>227</v>
      </c>
      <c r="E1320" s="6">
        <v>312.91000000000003</v>
      </c>
      <c r="F1320" s="1" t="s">
        <v>40</v>
      </c>
      <c r="G1320" s="6">
        <f ca="1">IFERROR(__xludf.DUMMYFUNCTION("iferror(GOOGLEFINANCE(TRIM(F1320)&amp;"":"" &amp; TRIM(B1320), ""price""),0
)"),0)</f>
        <v>0</v>
      </c>
      <c r="H1320" s="6">
        <v>265.5</v>
      </c>
      <c r="I1320" s="6">
        <f t="shared" ca="1" si="0"/>
        <v>265.5</v>
      </c>
      <c r="J1320" s="6">
        <f ca="1">IFERROR(__xludf.DUMMYFUNCTION("IFERROR(GOOGLEFINANCE(B1320, ""volume""), 0)"),0)</f>
        <v>0</v>
      </c>
      <c r="K1320" s="6">
        <v>-0.64</v>
      </c>
      <c r="L1320" s="6">
        <f ca="1">IFERROR(__xludf.DUMMYFUNCTION("IFERROR(GOOGLEFINANCE(B1320,""changepct""),K1320)"),-0.64)</f>
        <v>-0.64</v>
      </c>
      <c r="M1320" s="6">
        <f ca="1">IFERROR(__xludf.DUMMYFUNCTION("IFERROR(GOOGLEFINANCE(B1320,""change""),0)"),0)</f>
        <v>0</v>
      </c>
      <c r="N1320" s="6">
        <v>1</v>
      </c>
      <c r="O1320" s="7">
        <v>45536</v>
      </c>
      <c r="P1320" s="6">
        <v>22.29</v>
      </c>
      <c r="Q1320" s="6">
        <v>335.2</v>
      </c>
      <c r="R1320" s="7">
        <v>45352</v>
      </c>
      <c r="S1320" s="6">
        <v>136.34</v>
      </c>
      <c r="T1320" s="6">
        <v>7.03</v>
      </c>
      <c r="U1320" s="7">
        <v>45352</v>
      </c>
      <c r="V1320" s="6">
        <v>44.53</v>
      </c>
      <c r="W1320" s="6">
        <f ca="1">IFERROR(__xludf.DUMMYFUNCTION("IFERROR(GOOGLEFINANCE(B1320,""pe""),V1320)"),44.53)</f>
        <v>44.53</v>
      </c>
      <c r="X1320" s="9"/>
      <c r="Y1320" s="6">
        <v>5.99</v>
      </c>
      <c r="Z1320" s="6">
        <v>2</v>
      </c>
      <c r="AA1320" s="8">
        <v>45352</v>
      </c>
      <c r="AB1320" s="4">
        <v>0.63</v>
      </c>
      <c r="AC1320" s="6">
        <v>48.54</v>
      </c>
      <c r="AD1320" s="6">
        <v>41.18</v>
      </c>
      <c r="AE1320" s="1">
        <v>0</v>
      </c>
      <c r="AF1320" s="1">
        <f ca="1">IFERROR(__xludf.DUMMYFUNCTION("IFERROR(GOOGLEFINANCE(TRIM(F1320)&amp;"":"" &amp; TRIM(B1320),""high52""),AE1320)"),0)</f>
        <v>0</v>
      </c>
      <c r="AG1320" s="1">
        <v>0</v>
      </c>
      <c r="AH1320" s="1">
        <f ca="1">IFERROR(__xludf.DUMMYFUNCTION("IFERROR(GOOGLEFINANCE(TRIM(F1320)&amp;"":"" &amp; TRIM(B1320),""low52""),AE1320)"),0)</f>
        <v>0</v>
      </c>
      <c r="AI1320" s="1">
        <f ca="1">IFERROR(__xludf.DUMMYFUNCTION("IFERROR(GOOGLEFINANCE(B1320,""eps""),0)"),0)</f>
        <v>0</v>
      </c>
      <c r="AJ1320" s="1"/>
      <c r="AK1320" s="1" t="s">
        <v>3988</v>
      </c>
      <c r="AL1320" s="9">
        <f t="shared" si="183"/>
        <v>1</v>
      </c>
    </row>
    <row r="1321" spans="1:38" ht="15" x14ac:dyDescent="0.25">
      <c r="A1321" s="1" t="s">
        <v>3989</v>
      </c>
      <c r="B1321" s="1" t="s">
        <v>3990</v>
      </c>
      <c r="C1321" s="1" t="s">
        <v>843</v>
      </c>
      <c r="D1321" s="1" t="s">
        <v>843</v>
      </c>
      <c r="E1321" s="6">
        <v>293.01</v>
      </c>
      <c r="F1321" s="1" t="s">
        <v>40</v>
      </c>
      <c r="G1321" s="6">
        <f ca="1">IFERROR(__xludf.DUMMYFUNCTION("iferror(GOOGLEFINANCE(TRIM(F1321)&amp;"":"" &amp; TRIM(B1321), ""price""),0
)"),31.7)</f>
        <v>31.7</v>
      </c>
      <c r="H1321" s="6">
        <v>57.77</v>
      </c>
      <c r="I1321" s="6">
        <f t="shared" ca="1" si="0"/>
        <v>31.7</v>
      </c>
      <c r="J1321" s="6">
        <f ca="1">IFERROR(__xludf.DUMMYFUNCTION("IFERROR(GOOGLEFINANCE(B1321, ""volume""), 0)"),46700)</f>
        <v>46700</v>
      </c>
      <c r="K1321" s="6">
        <v>0.71</v>
      </c>
      <c r="L1321" s="6">
        <f ca="1">IFERROR(__xludf.DUMMYFUNCTION("IFERROR(GOOGLEFINANCE(B1321,""changepct""),K1321)"),-1.4)</f>
        <v>-1.4</v>
      </c>
      <c r="M1321" s="6">
        <f ca="1">IFERROR(__xludf.DUMMYFUNCTION("IFERROR(GOOGLEFINANCE(B1321,""change""),0)"),-0.45)</f>
        <v>-0.45</v>
      </c>
      <c r="N1321" s="6">
        <v>1</v>
      </c>
      <c r="O1321" s="7">
        <v>45352</v>
      </c>
      <c r="P1321" s="6">
        <v>6.32</v>
      </c>
      <c r="Q1321" s="6">
        <v>298</v>
      </c>
      <c r="R1321" s="7">
        <v>45536</v>
      </c>
      <c r="S1321" s="6">
        <v>606.83000000000004</v>
      </c>
      <c r="T1321" s="6">
        <v>24.6</v>
      </c>
      <c r="U1321" s="7">
        <v>45536</v>
      </c>
      <c r="V1321" s="6">
        <v>11.91</v>
      </c>
      <c r="W1321" s="6">
        <f ca="1">IFERROR(__xludf.DUMMYFUNCTION("IFERROR(GOOGLEFINANCE(B1321,""pe""),V1321)"),5.94)</f>
        <v>5.94</v>
      </c>
      <c r="X1321" s="6">
        <v>1.06</v>
      </c>
      <c r="Y1321" s="6">
        <v>0.93</v>
      </c>
      <c r="Z1321" s="6">
        <v>1</v>
      </c>
      <c r="AA1321" s="8">
        <v>45352</v>
      </c>
      <c r="AB1321" s="4">
        <v>0.02</v>
      </c>
      <c r="AC1321" s="6">
        <v>9.56</v>
      </c>
      <c r="AD1321" s="6">
        <v>12.41</v>
      </c>
      <c r="AE1321" s="1">
        <v>0</v>
      </c>
      <c r="AF1321" s="1">
        <f ca="1">IFERROR(__xludf.DUMMYFUNCTION("IFERROR(GOOGLEFINANCE(TRIM(F1321)&amp;"":"" &amp; TRIM(B1321),""high52""),AE1321)"),54.57)</f>
        <v>54.57</v>
      </c>
      <c r="AG1321" s="1">
        <v>0</v>
      </c>
      <c r="AH1321" s="1">
        <f ca="1">IFERROR(__xludf.DUMMYFUNCTION("IFERROR(GOOGLEFINANCE(TRIM(F1321)&amp;"":"" &amp; TRIM(B1321),""low52""),AE1321)"),30)</f>
        <v>30</v>
      </c>
      <c r="AI1321" s="1">
        <f ca="1">IFERROR(__xludf.DUMMYFUNCTION("IFERROR(GOOGLEFINANCE(B1321,""eps""),0)"),5.33)</f>
        <v>5.33</v>
      </c>
      <c r="AJ1321" s="1"/>
      <c r="AK1321" s="1" t="s">
        <v>3991</v>
      </c>
      <c r="AL1321" s="9">
        <f t="shared" si="183"/>
        <v>1</v>
      </c>
    </row>
    <row r="1322" spans="1:38" ht="15" x14ac:dyDescent="0.25">
      <c r="A1322" s="1" t="s">
        <v>3992</v>
      </c>
      <c r="B1322" s="1" t="s">
        <v>3993</v>
      </c>
      <c r="C1322" s="1" t="s">
        <v>163</v>
      </c>
      <c r="D1322" s="1" t="s">
        <v>163</v>
      </c>
      <c r="E1322" s="6">
        <v>1487.24</v>
      </c>
      <c r="F1322" s="1" t="s">
        <v>40</v>
      </c>
      <c r="G1322" s="6">
        <f ca="1">IFERROR(__xludf.DUMMYFUNCTION("iferror(GOOGLEFINANCE(TRIM(F1322)&amp;"":"" &amp; TRIM(B1322), ""price""),0
)"),128.15)</f>
        <v>128.15</v>
      </c>
      <c r="H1322" s="6">
        <v>185.3</v>
      </c>
      <c r="I1322" s="6">
        <f t="shared" ca="1" si="0"/>
        <v>128.15</v>
      </c>
      <c r="J1322" s="6">
        <f ca="1">IFERROR(__xludf.DUMMYFUNCTION("IFERROR(GOOGLEFINANCE(B1322, ""volume""), 0)"),44455)</f>
        <v>44455</v>
      </c>
      <c r="K1322" s="6">
        <v>2.2999999999999998</v>
      </c>
      <c r="L1322" s="6">
        <f ca="1">IFERROR(__xludf.DUMMYFUNCTION("IFERROR(GOOGLEFINANCE(B1322,""changepct""),K1322)"),-0.26)</f>
        <v>-0.26</v>
      </c>
      <c r="M1322" s="6">
        <f ca="1">IFERROR(__xludf.DUMMYFUNCTION("IFERROR(GOOGLEFINANCE(B1322,""change""),0)"),-0.34)</f>
        <v>-0.34</v>
      </c>
      <c r="N1322" s="6">
        <v>1</v>
      </c>
      <c r="O1322" s="7">
        <v>45536</v>
      </c>
      <c r="P1322" s="6">
        <v>9.16</v>
      </c>
      <c r="Q1322" s="6">
        <v>1491.88</v>
      </c>
      <c r="R1322" s="7">
        <v>45536</v>
      </c>
      <c r="S1322" s="6">
        <v>399.5</v>
      </c>
      <c r="T1322" s="6">
        <v>49.07</v>
      </c>
      <c r="U1322" s="7">
        <v>45536</v>
      </c>
      <c r="V1322" s="6">
        <v>30.31</v>
      </c>
      <c r="W1322" s="6">
        <f ca="1">IFERROR(__xludf.DUMMYFUNCTION("IFERROR(GOOGLEFINANCE(B1322,""pe""),V1322)"),24.21)</f>
        <v>24.21</v>
      </c>
      <c r="X1322" s="9"/>
      <c r="Y1322" s="6">
        <v>6.44</v>
      </c>
      <c r="Z1322" s="6">
        <v>1</v>
      </c>
      <c r="AA1322" s="8">
        <v>45352</v>
      </c>
      <c r="AB1322" s="4">
        <v>0.06</v>
      </c>
      <c r="AC1322" s="6">
        <v>24.89</v>
      </c>
      <c r="AD1322" s="6">
        <v>32.61</v>
      </c>
      <c r="AE1322" s="1">
        <v>0</v>
      </c>
      <c r="AF1322" s="1">
        <f ca="1">IFERROR(__xludf.DUMMYFUNCTION("IFERROR(GOOGLEFINANCE(TRIM(F1322)&amp;"":"" &amp; TRIM(B1322),""high52""),AE1322)"),185)</f>
        <v>185</v>
      </c>
      <c r="AG1322" s="1">
        <v>0</v>
      </c>
      <c r="AH1322" s="1">
        <f ca="1">IFERROR(__xludf.DUMMYFUNCTION("IFERROR(GOOGLEFINANCE(TRIM(F1322)&amp;"":"" &amp; TRIM(B1322),""low52""),AE1322)"),124.9)</f>
        <v>124.9</v>
      </c>
      <c r="AI1322" s="1">
        <f ca="1">IFERROR(__xludf.DUMMYFUNCTION("IFERROR(GOOGLEFINANCE(B1322,""eps""),0)"),5.29)</f>
        <v>5.29</v>
      </c>
      <c r="AJ1322" s="1"/>
      <c r="AK1322" s="9"/>
      <c r="AL1322" s="9">
        <f t="shared" si="183"/>
        <v>1</v>
      </c>
    </row>
    <row r="1323" spans="1:38" ht="15" x14ac:dyDescent="0.25">
      <c r="A1323" s="1" t="s">
        <v>3994</v>
      </c>
      <c r="B1323" s="1" t="s">
        <v>3995</v>
      </c>
      <c r="C1323" s="1" t="s">
        <v>86</v>
      </c>
      <c r="D1323" s="1" t="s">
        <v>86</v>
      </c>
      <c r="E1323" s="6">
        <v>1808.91</v>
      </c>
      <c r="F1323" s="1" t="s">
        <v>40</v>
      </c>
      <c r="G1323" s="6">
        <f ca="1">IFERROR(__xludf.DUMMYFUNCTION("iferror(GOOGLEFINANCE(TRIM(F1323)&amp;"":"" &amp; TRIM(B1323), ""price""),0
)"),102.5)</f>
        <v>102.5</v>
      </c>
      <c r="H1323" s="6">
        <v>143.47</v>
      </c>
      <c r="I1323" s="6">
        <f t="shared" ca="1" si="0"/>
        <v>102.5</v>
      </c>
      <c r="J1323" s="6">
        <f ca="1">IFERROR(__xludf.DUMMYFUNCTION("IFERROR(GOOGLEFINANCE(B1323, ""volume""), 0)"),94093)</f>
        <v>94093</v>
      </c>
      <c r="K1323" s="6">
        <v>0.18</v>
      </c>
      <c r="L1323" s="6">
        <f ca="1">IFERROR(__xludf.DUMMYFUNCTION("IFERROR(GOOGLEFINANCE(B1323,""changepct""),K1323)"),1.06)</f>
        <v>1.06</v>
      </c>
      <c r="M1323" s="6">
        <f ca="1">IFERROR(__xludf.DUMMYFUNCTION("IFERROR(GOOGLEFINANCE(B1323,""change""),0)"),1.08)</f>
        <v>1.08</v>
      </c>
      <c r="N1323" s="6">
        <v>2</v>
      </c>
      <c r="O1323" s="7">
        <v>45536</v>
      </c>
      <c r="P1323" s="6">
        <v>113</v>
      </c>
      <c r="Q1323" s="6">
        <v>1886.21</v>
      </c>
      <c r="R1323" s="7">
        <v>45536</v>
      </c>
      <c r="S1323" s="6">
        <v>1078.01</v>
      </c>
      <c r="T1323" s="6">
        <v>61.28</v>
      </c>
      <c r="U1323" s="7">
        <v>45536</v>
      </c>
      <c r="V1323" s="6">
        <v>27.61</v>
      </c>
      <c r="W1323" s="6">
        <f ca="1">IFERROR(__xludf.DUMMYFUNCTION("IFERROR(GOOGLEFINANCE(B1323,""pe""),V1323)"),14.44)</f>
        <v>14.44</v>
      </c>
      <c r="X1323" s="6">
        <v>0.74</v>
      </c>
      <c r="Y1323" s="6">
        <v>3.6</v>
      </c>
      <c r="Z1323" s="6">
        <v>2</v>
      </c>
      <c r="AA1323" s="8">
        <v>45352</v>
      </c>
      <c r="AB1323" s="4">
        <v>0.62</v>
      </c>
      <c r="AC1323" s="6">
        <v>19.190000000000001</v>
      </c>
      <c r="AD1323" s="6">
        <v>21.91</v>
      </c>
      <c r="AE1323" s="1">
        <v>0</v>
      </c>
      <c r="AF1323" s="1">
        <f ca="1">IFERROR(__xludf.DUMMYFUNCTION("IFERROR(GOOGLEFINANCE(TRIM(F1323)&amp;"":"" &amp; TRIM(B1323),""high52""),AE1323)"),149.8)</f>
        <v>149.80000000000001</v>
      </c>
      <c r="AG1323" s="1">
        <v>0</v>
      </c>
      <c r="AH1323" s="1">
        <f ca="1">IFERROR(__xludf.DUMMYFUNCTION("IFERROR(GOOGLEFINANCE(TRIM(F1323)&amp;"":"" &amp; TRIM(B1323),""low52""),AE1323)"),84.48)</f>
        <v>84.48</v>
      </c>
      <c r="AI1323" s="1">
        <f ca="1">IFERROR(__xludf.DUMMYFUNCTION("IFERROR(GOOGLEFINANCE(B1323,""eps""),0)"),7.1)</f>
        <v>7.1</v>
      </c>
      <c r="AJ1323" s="1"/>
      <c r="AK1323" s="1" t="s">
        <v>3996</v>
      </c>
      <c r="AL1323" s="9">
        <f t="shared" si="183"/>
        <v>1</v>
      </c>
    </row>
    <row r="1324" spans="1:38" ht="15" x14ac:dyDescent="0.25">
      <c r="A1324" s="1" t="s">
        <v>3997</v>
      </c>
      <c r="B1324" s="1" t="s">
        <v>3998</v>
      </c>
      <c r="C1324" s="1" t="s">
        <v>112</v>
      </c>
      <c r="D1324" s="1" t="s">
        <v>112</v>
      </c>
      <c r="E1324" s="6">
        <v>38.700000000000003</v>
      </c>
      <c r="F1324" s="1" t="s">
        <v>53</v>
      </c>
      <c r="G1324" s="6">
        <f ca="1">IFERROR(__xludf.DUMMYFUNCTION("iferror(GOOGLEFINANCE(TRIM(F1324)&amp;"":"" &amp; TRIM(B1324), ""price""),0
)"),0)</f>
        <v>0</v>
      </c>
      <c r="H1324" s="6">
        <v>39.6</v>
      </c>
      <c r="I1324" s="6">
        <f t="shared" ca="1" si="0"/>
        <v>39.6</v>
      </c>
      <c r="J1324" s="6">
        <f ca="1">IFERROR(__xludf.DUMMYFUNCTION("IFERROR(GOOGLEFINANCE(B1324, ""volume""), 0)"),0)</f>
        <v>0</v>
      </c>
      <c r="K1324" s="6">
        <v>2.33</v>
      </c>
      <c r="L1324" s="6">
        <f ca="1">IFERROR(__xludf.DUMMYFUNCTION("IFERROR(GOOGLEFINANCE(B1324,""changepct""),K1324)"),2.33)</f>
        <v>2.33</v>
      </c>
      <c r="M1324" s="6">
        <f ca="1">IFERROR(__xludf.DUMMYFUNCTION("IFERROR(GOOGLEFINANCE(B1324,""change""),0)"),0)</f>
        <v>0</v>
      </c>
      <c r="N1324" s="6">
        <v>2</v>
      </c>
      <c r="O1324" s="7">
        <v>45536</v>
      </c>
      <c r="P1324" s="6">
        <v>18.48</v>
      </c>
      <c r="Q1324" s="6">
        <v>57.09</v>
      </c>
      <c r="R1324" s="7">
        <v>45536</v>
      </c>
      <c r="S1324" s="6">
        <v>3.3</v>
      </c>
      <c r="T1324" s="6">
        <v>1.35</v>
      </c>
      <c r="U1324" s="7">
        <v>45536</v>
      </c>
      <c r="V1324" s="6">
        <v>28.69</v>
      </c>
      <c r="W1324" s="6">
        <f ca="1">IFERROR(__xludf.DUMMYFUNCTION("IFERROR(GOOGLEFINANCE(B1324,""pe""),V1324)"),28.69)</f>
        <v>28.69</v>
      </c>
      <c r="X1324" s="6">
        <v>1.76</v>
      </c>
      <c r="Y1324" s="6">
        <v>-2.73</v>
      </c>
      <c r="Z1324" s="6">
        <v>2</v>
      </c>
      <c r="AA1324" s="8">
        <v>45352</v>
      </c>
      <c r="AB1324" s="4">
        <v>-1.1399999999999999</v>
      </c>
      <c r="AC1324" s="6">
        <v>0</v>
      </c>
      <c r="AD1324" s="6">
        <v>153.91999999999999</v>
      </c>
      <c r="AE1324" s="1">
        <v>0</v>
      </c>
      <c r="AF1324" s="1">
        <f ca="1">IFERROR(__xludf.DUMMYFUNCTION("IFERROR(GOOGLEFINANCE(TRIM(F1324)&amp;"":"" &amp; TRIM(B1324),""high52""),AE1324)"),0)</f>
        <v>0</v>
      </c>
      <c r="AG1324" s="1">
        <v>0</v>
      </c>
      <c r="AH1324" s="1">
        <f ca="1">IFERROR(__xludf.DUMMYFUNCTION("IFERROR(GOOGLEFINANCE(TRIM(F1324)&amp;"":"" &amp; TRIM(B1324),""low52""),AE1324)"),0)</f>
        <v>0</v>
      </c>
      <c r="AI1324" s="1">
        <f ca="1">IFERROR(__xludf.DUMMYFUNCTION("IFERROR(GOOGLEFINANCE(B1324,""eps""),0)"),0)</f>
        <v>0</v>
      </c>
      <c r="AJ1324" s="1"/>
      <c r="AK1324" s="1" t="s">
        <v>3999</v>
      </c>
      <c r="AL1324" s="9">
        <f t="shared" si="183"/>
        <v>1</v>
      </c>
    </row>
    <row r="1325" spans="1:38" ht="15" x14ac:dyDescent="0.25">
      <c r="A1325" s="1" t="s">
        <v>4000</v>
      </c>
      <c r="B1325" s="1" t="s">
        <v>4001</v>
      </c>
      <c r="C1325" s="1" t="s">
        <v>112</v>
      </c>
      <c r="D1325" s="1" t="s">
        <v>112</v>
      </c>
      <c r="E1325" s="6">
        <v>11.39</v>
      </c>
      <c r="F1325" s="1" t="s">
        <v>53</v>
      </c>
      <c r="G1325" s="6">
        <f ca="1">IFERROR(__xludf.DUMMYFUNCTION("iferror(GOOGLEFINANCE(TRIM(F1325)&amp;"":"" &amp; TRIM(B1325), ""price""),0
)"),0)</f>
        <v>0</v>
      </c>
      <c r="H1325" s="6">
        <v>162.80000000000001</v>
      </c>
      <c r="I1325" s="6">
        <f t="shared" ca="1" si="0"/>
        <v>162.80000000000001</v>
      </c>
      <c r="J1325" s="6">
        <f ca="1">IFERROR(__xludf.DUMMYFUNCTION("IFERROR(GOOGLEFINANCE(B1325, ""volume""), 0)"),0)</f>
        <v>0</v>
      </c>
      <c r="K1325" s="6">
        <v>5</v>
      </c>
      <c r="L1325" s="6">
        <f ca="1">IFERROR(__xludf.DUMMYFUNCTION("IFERROR(GOOGLEFINANCE(B1325,""changepct""),K1325)"),5)</f>
        <v>5</v>
      </c>
      <c r="M1325" s="6">
        <f ca="1">IFERROR(__xludf.DUMMYFUNCTION("IFERROR(GOOGLEFINANCE(B1325,""change""),0)"),0)</f>
        <v>0</v>
      </c>
      <c r="N1325" s="6">
        <v>1</v>
      </c>
      <c r="O1325" s="7">
        <v>45536</v>
      </c>
      <c r="P1325" s="6">
        <v>0.83</v>
      </c>
      <c r="Q1325" s="6">
        <v>12.23</v>
      </c>
      <c r="R1325" s="7">
        <v>45536</v>
      </c>
      <c r="S1325" s="6">
        <v>10.029999999999999</v>
      </c>
      <c r="T1325" s="6">
        <v>0.86</v>
      </c>
      <c r="U1325" s="7">
        <v>45536</v>
      </c>
      <c r="V1325" s="6">
        <v>13.19</v>
      </c>
      <c r="W1325" s="6">
        <f ca="1">IFERROR(__xludf.DUMMYFUNCTION("IFERROR(GOOGLEFINANCE(B1325,""pe""),V1325)"),13.19)</f>
        <v>13.19</v>
      </c>
      <c r="X1325" s="6">
        <v>0.37</v>
      </c>
      <c r="Y1325" s="6">
        <v>4.1500000000000004</v>
      </c>
      <c r="Z1325" s="6">
        <v>1</v>
      </c>
      <c r="AA1325" s="8">
        <v>45352</v>
      </c>
      <c r="AB1325" s="4">
        <v>0</v>
      </c>
      <c r="AC1325" s="6">
        <v>1.51</v>
      </c>
      <c r="AD1325" s="6">
        <v>2.31</v>
      </c>
      <c r="AE1325" s="1">
        <v>0</v>
      </c>
      <c r="AF1325" s="1">
        <f ca="1">IFERROR(__xludf.DUMMYFUNCTION("IFERROR(GOOGLEFINANCE(TRIM(F1325)&amp;"":"" &amp; TRIM(B1325),""high52""),AE1325)"),0)</f>
        <v>0</v>
      </c>
      <c r="AG1325" s="1">
        <v>0</v>
      </c>
      <c r="AH1325" s="1">
        <f ca="1">IFERROR(__xludf.DUMMYFUNCTION("IFERROR(GOOGLEFINANCE(TRIM(F1325)&amp;"":"" &amp; TRIM(B1325),""low52""),AE1325)"),0)</f>
        <v>0</v>
      </c>
      <c r="AI1325" s="1">
        <f ca="1">IFERROR(__xludf.DUMMYFUNCTION("IFERROR(GOOGLEFINANCE(B1325,""eps""),0)"),0)</f>
        <v>0</v>
      </c>
      <c r="AJ1325" s="1"/>
      <c r="AK1325" s="1" t="s">
        <v>4002</v>
      </c>
      <c r="AL1325" s="9">
        <f t="shared" si="183"/>
        <v>1</v>
      </c>
    </row>
    <row r="1326" spans="1:38" ht="15" x14ac:dyDescent="0.25">
      <c r="A1326" s="1" t="s">
        <v>4003</v>
      </c>
      <c r="B1326" s="1" t="s">
        <v>4004</v>
      </c>
      <c r="C1326" s="1" t="s">
        <v>112</v>
      </c>
      <c r="D1326" s="1" t="s">
        <v>112</v>
      </c>
      <c r="E1326" s="6">
        <v>94.22</v>
      </c>
      <c r="F1326" s="1" t="s">
        <v>53</v>
      </c>
      <c r="G1326" s="6">
        <f ca="1">IFERROR(__xludf.DUMMYFUNCTION("iferror(GOOGLEFINANCE(TRIM(F1326)&amp;"":"" &amp; TRIM(B1326), ""price""),0
)"),0)</f>
        <v>0</v>
      </c>
      <c r="H1326" s="6">
        <v>22.84</v>
      </c>
      <c r="I1326" s="6">
        <f t="shared" ca="1" si="0"/>
        <v>22.84</v>
      </c>
      <c r="J1326" s="6">
        <f ca="1">IFERROR(__xludf.DUMMYFUNCTION("IFERROR(GOOGLEFINANCE(B1326, ""volume""), 0)"),0)</f>
        <v>0</v>
      </c>
      <c r="K1326" s="6">
        <v>4.96</v>
      </c>
      <c r="L1326" s="6">
        <f ca="1">IFERROR(__xludf.DUMMYFUNCTION("IFERROR(GOOGLEFINANCE(B1326,""changepct""),K1326)"),4.96)</f>
        <v>4.96</v>
      </c>
      <c r="M1326" s="6">
        <f ca="1">IFERROR(__xludf.DUMMYFUNCTION("IFERROR(GOOGLEFINANCE(B1326,""change""),0)"),0)</f>
        <v>0</v>
      </c>
      <c r="N1326" s="6">
        <v>2</v>
      </c>
      <c r="O1326" s="7">
        <v>45536</v>
      </c>
      <c r="P1326" s="6">
        <v>12.13</v>
      </c>
      <c r="Q1326" s="6">
        <v>105.45</v>
      </c>
      <c r="R1326" s="7">
        <v>45536</v>
      </c>
      <c r="S1326" s="6">
        <v>96.24</v>
      </c>
      <c r="T1326" s="6">
        <v>0.24</v>
      </c>
      <c r="U1326" s="7">
        <v>45536</v>
      </c>
      <c r="V1326" s="6">
        <v>320.48</v>
      </c>
      <c r="W1326" s="6">
        <f ca="1">IFERROR(__xludf.DUMMYFUNCTION("IFERROR(GOOGLEFINANCE(B1326,""pe""),V1326)"),320.48)</f>
        <v>320.48</v>
      </c>
      <c r="X1326" s="6">
        <v>12.27</v>
      </c>
      <c r="Y1326" s="6">
        <v>5.55</v>
      </c>
      <c r="Z1326" s="6">
        <v>2</v>
      </c>
      <c r="AA1326" s="8">
        <v>45352</v>
      </c>
      <c r="AB1326" s="4">
        <v>0.4</v>
      </c>
      <c r="AC1326" s="6">
        <v>5.8</v>
      </c>
      <c r="AD1326" s="6">
        <v>6.88</v>
      </c>
      <c r="AE1326" s="1">
        <v>0</v>
      </c>
      <c r="AF1326" s="1">
        <f ca="1">IFERROR(__xludf.DUMMYFUNCTION("IFERROR(GOOGLEFINANCE(TRIM(F1326)&amp;"":"" &amp; TRIM(B1326),""high52""),AE1326)"),0)</f>
        <v>0</v>
      </c>
      <c r="AG1326" s="1">
        <v>0</v>
      </c>
      <c r="AH1326" s="1">
        <f ca="1">IFERROR(__xludf.DUMMYFUNCTION("IFERROR(GOOGLEFINANCE(TRIM(F1326)&amp;"":"" &amp; TRIM(B1326),""low52""),AE1326)"),0)</f>
        <v>0</v>
      </c>
      <c r="AI1326" s="1">
        <f ca="1">IFERROR(__xludf.DUMMYFUNCTION("IFERROR(GOOGLEFINANCE(B1326,""eps""),0)"),0)</f>
        <v>0</v>
      </c>
      <c r="AJ1326" s="1"/>
      <c r="AK1326" s="1" t="s">
        <v>4005</v>
      </c>
      <c r="AL1326" s="9">
        <f t="shared" si="183"/>
        <v>1</v>
      </c>
    </row>
    <row r="1327" spans="1:38" ht="15" x14ac:dyDescent="0.25">
      <c r="A1327" s="1" t="s">
        <v>4006</v>
      </c>
      <c r="B1327" s="1" t="s">
        <v>4007</v>
      </c>
      <c r="C1327" s="1" t="s">
        <v>112</v>
      </c>
      <c r="D1327" s="1" t="s">
        <v>112</v>
      </c>
      <c r="E1327" s="6">
        <v>14.53</v>
      </c>
      <c r="F1327" s="1" t="s">
        <v>53</v>
      </c>
      <c r="G1327" s="6">
        <f ca="1">IFERROR(__xludf.DUMMYFUNCTION("iferror(GOOGLEFINANCE(TRIM(F1327)&amp;"":"" &amp; TRIM(B1327), ""price""),0
)"),0)</f>
        <v>0</v>
      </c>
      <c r="H1327" s="6">
        <v>31.47</v>
      </c>
      <c r="I1327" s="6">
        <f t="shared" ca="1" si="0"/>
        <v>31.47</v>
      </c>
      <c r="J1327" s="6">
        <f ca="1">IFERROR(__xludf.DUMMYFUNCTION("IFERROR(GOOGLEFINANCE(B1327, ""volume""), 0)"),0)</f>
        <v>0</v>
      </c>
      <c r="K1327" s="6">
        <v>8.5500000000000007</v>
      </c>
      <c r="L1327" s="6">
        <f ca="1">IFERROR(__xludf.DUMMYFUNCTION("IFERROR(GOOGLEFINANCE(B1327,""changepct""),K1327)"),8.55)</f>
        <v>8.5500000000000007</v>
      </c>
      <c r="M1327" s="6">
        <f ca="1">IFERROR(__xludf.DUMMYFUNCTION("IFERROR(GOOGLEFINANCE(B1327,""change""),0)"),0)</f>
        <v>0</v>
      </c>
      <c r="N1327" s="6">
        <v>1</v>
      </c>
      <c r="O1327" s="7">
        <v>45536</v>
      </c>
      <c r="P1327" s="6">
        <v>17.55</v>
      </c>
      <c r="Q1327" s="6">
        <v>31.98</v>
      </c>
      <c r="R1327" s="7">
        <v>45536</v>
      </c>
      <c r="S1327" s="6">
        <v>41.34</v>
      </c>
      <c r="T1327" s="6">
        <v>0.08</v>
      </c>
      <c r="U1327" s="7">
        <v>45536</v>
      </c>
      <c r="V1327" s="6">
        <v>181.68</v>
      </c>
      <c r="W1327" s="6">
        <f ca="1">IFERROR(__xludf.DUMMYFUNCTION("IFERROR(GOOGLEFINANCE(B1327,""pe""),V1327)"),181.68)</f>
        <v>181.68</v>
      </c>
      <c r="X1327" s="6">
        <v>11.48</v>
      </c>
      <c r="Y1327" s="6">
        <v>1.94</v>
      </c>
      <c r="Z1327" s="6">
        <v>1</v>
      </c>
      <c r="AA1327" s="8">
        <v>45352</v>
      </c>
      <c r="AB1327" s="4">
        <v>2.59</v>
      </c>
      <c r="AC1327" s="6">
        <v>0.96</v>
      </c>
      <c r="AD1327" s="6">
        <v>4.95</v>
      </c>
      <c r="AE1327" s="1">
        <v>0</v>
      </c>
      <c r="AF1327" s="1">
        <f ca="1">IFERROR(__xludf.DUMMYFUNCTION("IFERROR(GOOGLEFINANCE(TRIM(F1327)&amp;"":"" &amp; TRIM(B1327),""high52""),AE1327)"),0)</f>
        <v>0</v>
      </c>
      <c r="AG1327" s="1">
        <v>0</v>
      </c>
      <c r="AH1327" s="1">
        <f ca="1">IFERROR(__xludf.DUMMYFUNCTION("IFERROR(GOOGLEFINANCE(TRIM(F1327)&amp;"":"" &amp; TRIM(B1327),""low52""),AE1327)"),0)</f>
        <v>0</v>
      </c>
      <c r="AI1327" s="1">
        <f ca="1">IFERROR(__xludf.DUMMYFUNCTION("IFERROR(GOOGLEFINANCE(B1327,""eps""),0)"),0)</f>
        <v>0</v>
      </c>
      <c r="AJ1327" s="1"/>
      <c r="AK1327" s="1" t="s">
        <v>4008</v>
      </c>
      <c r="AL1327" s="9">
        <f t="shared" si="183"/>
        <v>1</v>
      </c>
    </row>
    <row r="1328" spans="1:38" ht="15" x14ac:dyDescent="0.25">
      <c r="A1328" s="1" t="s">
        <v>4009</v>
      </c>
      <c r="B1328" s="1" t="s">
        <v>4010</v>
      </c>
      <c r="C1328" s="1" t="s">
        <v>86</v>
      </c>
      <c r="D1328" s="1" t="s">
        <v>86</v>
      </c>
      <c r="E1328" s="6">
        <v>14207.77</v>
      </c>
      <c r="F1328" s="1" t="s">
        <v>40</v>
      </c>
      <c r="G1328" s="6">
        <f ca="1">IFERROR(__xludf.DUMMYFUNCTION("iferror(GOOGLEFINANCE(TRIM(F1328)&amp;"":"" &amp; TRIM(B1328), ""price""),0
)"),969)</f>
        <v>969</v>
      </c>
      <c r="H1328" s="6">
        <v>1462.1</v>
      </c>
      <c r="I1328" s="6">
        <f t="shared" ca="1" si="0"/>
        <v>969</v>
      </c>
      <c r="J1328" s="6">
        <f ca="1">IFERROR(__xludf.DUMMYFUNCTION("IFERROR(GOOGLEFINANCE(B1328, ""volume""), 0)"),33800)</f>
        <v>33800</v>
      </c>
      <c r="K1328" s="6">
        <v>-0.51</v>
      </c>
      <c r="L1328" s="6">
        <f ca="1">IFERROR(__xludf.DUMMYFUNCTION("IFERROR(GOOGLEFINANCE(B1328,""changepct""),K1328)"),0.17)</f>
        <v>0.17</v>
      </c>
      <c r="M1328" s="6">
        <f ca="1">IFERROR(__xludf.DUMMYFUNCTION("IFERROR(GOOGLEFINANCE(B1328,""change""),0)"),1.65)</f>
        <v>1.65</v>
      </c>
      <c r="N1328" s="6">
        <v>2</v>
      </c>
      <c r="O1328" s="7">
        <v>45536</v>
      </c>
      <c r="P1328" s="6">
        <v>4301.21</v>
      </c>
      <c r="Q1328" s="6">
        <v>18118.84</v>
      </c>
      <c r="R1328" s="7">
        <v>45536</v>
      </c>
      <c r="S1328" s="6">
        <v>8043.77</v>
      </c>
      <c r="T1328" s="6">
        <v>1044.95</v>
      </c>
      <c r="U1328" s="7">
        <v>45536</v>
      </c>
      <c r="V1328" s="6">
        <v>12.4</v>
      </c>
      <c r="W1328" s="6">
        <f ca="1">IFERROR(__xludf.DUMMYFUNCTION("IFERROR(GOOGLEFINANCE(B1328,""pe""),V1328)"),8.51)</f>
        <v>8.51</v>
      </c>
      <c r="X1328" s="9"/>
      <c r="Y1328" s="6">
        <v>1.79</v>
      </c>
      <c r="Z1328" s="6">
        <v>2</v>
      </c>
      <c r="AA1328" s="8">
        <v>45352</v>
      </c>
      <c r="AB1328" s="4">
        <v>0.5</v>
      </c>
      <c r="AC1328" s="6">
        <v>19.100000000000001</v>
      </c>
      <c r="AD1328" s="6">
        <v>19.68</v>
      </c>
      <c r="AE1328" s="1">
        <v>0</v>
      </c>
      <c r="AF1328" s="1">
        <f ca="1">IFERROR(__xludf.DUMMYFUNCTION("IFERROR(GOOGLEFINANCE(TRIM(F1328)&amp;"":"" &amp; TRIM(B1328),""high52""),AE1328)"),1444.4)</f>
        <v>1444.4</v>
      </c>
      <c r="AG1328" s="1">
        <v>0</v>
      </c>
      <c r="AH1328" s="1">
        <f ca="1">IFERROR(__xludf.DUMMYFUNCTION("IFERROR(GOOGLEFINANCE(TRIM(F1328)&amp;"":"" &amp; TRIM(B1328),""low52""),AE1328)"),896.05)</f>
        <v>896.05</v>
      </c>
      <c r="AI1328" s="1">
        <f ca="1">IFERROR(__xludf.DUMMYFUNCTION("IFERROR(GOOGLEFINANCE(B1328,""eps""),0)"),113.89)</f>
        <v>113.89</v>
      </c>
      <c r="AJ1328" s="1"/>
      <c r="AK1328" s="1" t="s">
        <v>4011</v>
      </c>
      <c r="AL1328" s="9">
        <f t="shared" si="183"/>
        <v>1</v>
      </c>
    </row>
    <row r="1329" spans="1:38" ht="15" x14ac:dyDescent="0.25">
      <c r="A1329" s="1" t="s">
        <v>4012</v>
      </c>
      <c r="B1329" s="1" t="s">
        <v>4013</v>
      </c>
      <c r="C1329" s="1" t="s">
        <v>219</v>
      </c>
      <c r="D1329" s="1" t="s">
        <v>219</v>
      </c>
      <c r="E1329" s="6">
        <v>27.51</v>
      </c>
      <c r="F1329" s="1" t="s">
        <v>40</v>
      </c>
      <c r="G1329" s="6">
        <f ca="1">IFERROR(__xludf.DUMMYFUNCTION("iferror(GOOGLEFINANCE(TRIM(F1329)&amp;"":"" &amp; TRIM(B1329), ""price""),0
)"),11.22)</f>
        <v>11.22</v>
      </c>
      <c r="H1329" s="6">
        <v>8.91</v>
      </c>
      <c r="I1329" s="6">
        <f t="shared" ca="1" si="0"/>
        <v>11.22</v>
      </c>
      <c r="J1329" s="6">
        <f ca="1">IFERROR(__xludf.DUMMYFUNCTION("IFERROR(GOOGLEFINANCE(B1329, ""volume""), 0)"),2580)</f>
        <v>2580</v>
      </c>
      <c r="K1329" s="9"/>
      <c r="L1329" s="6">
        <f ca="1">IFERROR(__xludf.DUMMYFUNCTION("IFERROR(GOOGLEFINANCE(B1329,""changepct""),K1329)"),0)</f>
        <v>0</v>
      </c>
      <c r="M1329" s="6">
        <f ca="1">IFERROR(__xludf.DUMMYFUNCTION("IFERROR(GOOGLEFINANCE(B1329,""change""),0)"),0)</f>
        <v>0</v>
      </c>
      <c r="N1329" s="6">
        <v>1</v>
      </c>
      <c r="O1329" s="7">
        <v>45536</v>
      </c>
      <c r="P1329" s="6">
        <v>5.29</v>
      </c>
      <c r="Q1329" s="6">
        <v>32.799999999999997</v>
      </c>
      <c r="R1329" s="7">
        <v>45536</v>
      </c>
      <c r="S1329" s="6">
        <v>0.02</v>
      </c>
      <c r="T1329" s="6">
        <v>-0.67</v>
      </c>
      <c r="U1329" s="7">
        <v>45536</v>
      </c>
      <c r="V1329" s="6">
        <v>0</v>
      </c>
      <c r="W1329" s="6">
        <f ca="1">IFERROR(__xludf.DUMMYFUNCTION("IFERROR(GOOGLEFINANCE(B1329,""pe""),V1329)"),0)</f>
        <v>0</v>
      </c>
      <c r="X1329" s="6">
        <v>0</v>
      </c>
      <c r="Y1329" s="6">
        <v>-5.16</v>
      </c>
      <c r="Z1329" s="6">
        <v>1</v>
      </c>
      <c r="AA1329" s="8">
        <v>45352</v>
      </c>
      <c r="AB1329" s="4">
        <v>-0.99</v>
      </c>
      <c r="AC1329" s="6">
        <v>0</v>
      </c>
      <c r="AD1329" s="6">
        <v>0</v>
      </c>
      <c r="AE1329" s="1">
        <v>0</v>
      </c>
      <c r="AF1329" s="1">
        <f ca="1">IFERROR(__xludf.DUMMYFUNCTION("IFERROR(GOOGLEFINANCE(TRIM(F1329)&amp;"":"" &amp; TRIM(B1329),""high52""),AE1329)"),11.25)</f>
        <v>11.25</v>
      </c>
      <c r="AG1329" s="1">
        <v>0</v>
      </c>
      <c r="AH1329" s="1">
        <f ca="1">IFERROR(__xludf.DUMMYFUNCTION("IFERROR(GOOGLEFINANCE(TRIM(F1329)&amp;"":"" &amp; TRIM(B1329),""low52""),AE1329)"),7.62)</f>
        <v>7.62</v>
      </c>
      <c r="AI1329" s="1">
        <f ca="1">IFERROR(__xludf.DUMMYFUNCTION("IFERROR(GOOGLEFINANCE(B1329,""eps""),0)"),-0.26)</f>
        <v>-0.26</v>
      </c>
      <c r="AJ1329" s="1"/>
      <c r="AK1329" s="1" t="s">
        <v>4014</v>
      </c>
      <c r="AL1329" s="9">
        <f t="shared" si="183"/>
        <v>1</v>
      </c>
    </row>
    <row r="1330" spans="1:38" ht="15" x14ac:dyDescent="0.25">
      <c r="A1330" s="1" t="s">
        <v>4015</v>
      </c>
      <c r="B1330" s="1" t="s">
        <v>4016</v>
      </c>
      <c r="C1330" s="1" t="s">
        <v>112</v>
      </c>
      <c r="D1330" s="1" t="s">
        <v>112</v>
      </c>
      <c r="E1330" s="6">
        <v>151.94</v>
      </c>
      <c r="F1330" s="1" t="s">
        <v>53</v>
      </c>
      <c r="G1330" s="6">
        <f ca="1">IFERROR(__xludf.DUMMYFUNCTION("iferror(GOOGLEFINANCE(TRIM(F1330)&amp;"":"" &amp; TRIM(B1330), ""price""),0
)"),0)</f>
        <v>0</v>
      </c>
      <c r="H1330" s="6">
        <v>705.25</v>
      </c>
      <c r="I1330" s="6">
        <f t="shared" ca="1" si="0"/>
        <v>705.25</v>
      </c>
      <c r="J1330" s="6">
        <f ca="1">IFERROR(__xludf.DUMMYFUNCTION("IFERROR(GOOGLEFINANCE(B1330, ""volume""), 0)"),0)</f>
        <v>0</v>
      </c>
      <c r="K1330" s="12"/>
      <c r="L1330" s="6" t="str">
        <f ca="1">IFERROR(__xludf.DUMMYFUNCTION("IFERROR(GOOGLEFINANCE(B1330,""changepct""),K1330)"),"")</f>
        <v/>
      </c>
      <c r="M1330" s="6">
        <f ca="1">IFERROR(__xludf.DUMMYFUNCTION("IFERROR(GOOGLEFINANCE(B1330,""change""),0)"),0)</f>
        <v>0</v>
      </c>
      <c r="N1330" s="6">
        <v>1</v>
      </c>
      <c r="O1330" s="7">
        <v>45536</v>
      </c>
      <c r="P1330" s="9"/>
      <c r="Q1330" s="6">
        <v>151.94</v>
      </c>
      <c r="R1330" s="7">
        <v>45536</v>
      </c>
      <c r="S1330" s="6">
        <v>0</v>
      </c>
      <c r="T1330" s="6">
        <v>-1.02</v>
      </c>
      <c r="U1330" s="7">
        <v>45536</v>
      </c>
      <c r="V1330" s="6">
        <v>0</v>
      </c>
      <c r="W1330" s="6">
        <f ca="1">IFERROR(__xludf.DUMMYFUNCTION("IFERROR(GOOGLEFINANCE(B1330,""pe""),V1330)"),0)</f>
        <v>0</v>
      </c>
      <c r="X1330" s="9"/>
      <c r="Y1330" s="6">
        <v>3.2</v>
      </c>
      <c r="Z1330" s="6">
        <v>1</v>
      </c>
      <c r="AA1330" s="8">
        <v>45352</v>
      </c>
      <c r="AB1330" s="4">
        <v>0</v>
      </c>
      <c r="AC1330" s="6">
        <v>-1.92</v>
      </c>
      <c r="AD1330" s="6">
        <v>-1.67</v>
      </c>
      <c r="AE1330" s="1">
        <v>0</v>
      </c>
      <c r="AF1330" s="1">
        <f ca="1">IFERROR(__xludf.DUMMYFUNCTION("IFERROR(GOOGLEFINANCE(TRIM(F1330)&amp;"":"" &amp; TRIM(B1330),""high52""),AE1330)"),0)</f>
        <v>0</v>
      </c>
      <c r="AG1330" s="1">
        <v>0</v>
      </c>
      <c r="AH1330" s="1">
        <f ca="1">IFERROR(__xludf.DUMMYFUNCTION("IFERROR(GOOGLEFINANCE(TRIM(F1330)&amp;"":"" &amp; TRIM(B1330),""low52""),AE1330)"),0)</f>
        <v>0</v>
      </c>
      <c r="AI1330" s="1">
        <f ca="1">IFERROR(__xludf.DUMMYFUNCTION("IFERROR(GOOGLEFINANCE(B1330,""eps""),0)"),0)</f>
        <v>0</v>
      </c>
      <c r="AJ1330" s="1"/>
      <c r="AK1330" s="1" t="s">
        <v>4017</v>
      </c>
      <c r="AL1330" s="9">
        <f t="shared" si="183"/>
        <v>1</v>
      </c>
    </row>
    <row r="1331" spans="1:38" ht="15" x14ac:dyDescent="0.25">
      <c r="A1331" s="1" t="s">
        <v>4018</v>
      </c>
      <c r="B1331" s="1" t="s">
        <v>4019</v>
      </c>
      <c r="C1331" s="1" t="s">
        <v>106</v>
      </c>
      <c r="D1331" s="1" t="s">
        <v>106</v>
      </c>
      <c r="E1331" s="6">
        <v>14742.41</v>
      </c>
      <c r="F1331" s="1" t="s">
        <v>40</v>
      </c>
      <c r="G1331" s="6">
        <f ca="1">IFERROR(__xludf.DUMMYFUNCTION("iferror(GOOGLEFINANCE(TRIM(F1331)&amp;"":"" &amp; TRIM(B1331), ""price""),0
)"),553)</f>
        <v>553</v>
      </c>
      <c r="H1331" s="6">
        <v>602.5</v>
      </c>
      <c r="I1331" s="6">
        <f t="shared" ca="1" si="0"/>
        <v>553</v>
      </c>
      <c r="J1331" s="6">
        <f ca="1">IFERROR(__xludf.DUMMYFUNCTION("IFERROR(GOOGLEFINANCE(B1331, ""volume""), 0)"),349592)</f>
        <v>349592</v>
      </c>
      <c r="K1331" s="6">
        <v>-1</v>
      </c>
      <c r="L1331" s="6">
        <f ca="1">IFERROR(__xludf.DUMMYFUNCTION("IFERROR(GOOGLEFINANCE(B1331,""changepct""),K1331)"),0.11)</f>
        <v>0.11</v>
      </c>
      <c r="M1331" s="6">
        <f ca="1">IFERROR(__xludf.DUMMYFUNCTION("IFERROR(GOOGLEFINANCE(B1331,""change""),0)"),0.6)</f>
        <v>0.6</v>
      </c>
      <c r="N1331" s="6">
        <v>2</v>
      </c>
      <c r="O1331" s="7">
        <v>45536</v>
      </c>
      <c r="P1331" s="6">
        <v>1009.4</v>
      </c>
      <c r="Q1331" s="6">
        <v>15535.09</v>
      </c>
      <c r="R1331" s="7">
        <v>45536</v>
      </c>
      <c r="S1331" s="6">
        <v>4477.8500000000004</v>
      </c>
      <c r="T1331" s="6">
        <v>487.18</v>
      </c>
      <c r="U1331" s="7">
        <v>45536</v>
      </c>
      <c r="V1331" s="6">
        <v>30.26</v>
      </c>
      <c r="W1331" s="6">
        <f ca="1">IFERROR(__xludf.DUMMYFUNCTION("IFERROR(GOOGLEFINANCE(B1331,""pe""),V1331)"),24.6)</f>
        <v>24.6</v>
      </c>
      <c r="X1331" s="6">
        <v>2.66</v>
      </c>
      <c r="Y1331" s="6">
        <v>4.3</v>
      </c>
      <c r="Z1331" s="6">
        <v>2</v>
      </c>
      <c r="AA1331" s="8">
        <v>45352</v>
      </c>
      <c r="AB1331" s="4">
        <v>0.38</v>
      </c>
      <c r="AC1331" s="6">
        <v>13.46</v>
      </c>
      <c r="AD1331" s="6">
        <v>15.66</v>
      </c>
      <c r="AE1331" s="1">
        <v>0</v>
      </c>
      <c r="AF1331" s="1">
        <f ca="1">IFERROR(__xludf.DUMMYFUNCTION("IFERROR(GOOGLEFINANCE(TRIM(F1331)&amp;"":"" &amp; TRIM(B1331),""high52""),AE1331)"),627)</f>
        <v>627</v>
      </c>
      <c r="AG1331" s="1">
        <v>0</v>
      </c>
      <c r="AH1331" s="1">
        <f ca="1">IFERROR(__xludf.DUMMYFUNCTION("IFERROR(GOOGLEFINANCE(TRIM(F1331)&amp;"":"" &amp; TRIM(B1331),""low52""),AE1331)"),422)</f>
        <v>422</v>
      </c>
      <c r="AI1331" s="1">
        <f ca="1">IFERROR(__xludf.DUMMYFUNCTION("IFERROR(GOOGLEFINANCE(B1331,""eps""),0)"),22.48)</f>
        <v>22.48</v>
      </c>
      <c r="AJ1331" s="1"/>
      <c r="AK1331" s="1" t="s">
        <v>4020</v>
      </c>
      <c r="AL1331" s="9">
        <f t="shared" si="183"/>
        <v>1</v>
      </c>
    </row>
    <row r="1332" spans="1:38" ht="15" x14ac:dyDescent="0.25">
      <c r="A1332" s="1" t="s">
        <v>4021</v>
      </c>
      <c r="B1332" s="1" t="s">
        <v>4022</v>
      </c>
      <c r="C1332" s="1" t="s">
        <v>71</v>
      </c>
      <c r="D1332" s="1" t="s">
        <v>71</v>
      </c>
      <c r="E1332" s="6">
        <v>106.37</v>
      </c>
      <c r="F1332" s="1" t="s">
        <v>40</v>
      </c>
      <c r="G1332" s="6">
        <f ca="1">IFERROR(__xludf.DUMMYFUNCTION("iferror(GOOGLEFINANCE(TRIM(F1332)&amp;"":"" &amp; TRIM(B1332), ""price""),0
)"),0)</f>
        <v>0</v>
      </c>
      <c r="H1332" s="6">
        <v>58.2</v>
      </c>
      <c r="I1332" s="6">
        <f t="shared" ca="1" si="0"/>
        <v>58.2</v>
      </c>
      <c r="J1332" s="6">
        <f ca="1">IFERROR(__xludf.DUMMYFUNCTION("IFERROR(GOOGLEFINANCE(B1332, ""volume""), 0)"),0)</f>
        <v>0</v>
      </c>
      <c r="K1332" s="9"/>
      <c r="L1332" s="6" t="str">
        <f ca="1">IFERROR(__xludf.DUMMYFUNCTION("IFERROR(GOOGLEFINANCE(B1332,""changepct""),K1332)"),"")</f>
        <v/>
      </c>
      <c r="M1332" s="6">
        <f ca="1">IFERROR(__xludf.DUMMYFUNCTION("IFERROR(GOOGLEFINANCE(B1332,""change""),0)"),0)</f>
        <v>0</v>
      </c>
      <c r="N1332" s="6">
        <v>1</v>
      </c>
      <c r="O1332" s="7">
        <v>45536</v>
      </c>
      <c r="P1332" s="6">
        <v>11.72</v>
      </c>
      <c r="Q1332" s="6">
        <v>118.09</v>
      </c>
      <c r="R1332" s="7">
        <v>45352</v>
      </c>
      <c r="S1332" s="6">
        <v>78.22</v>
      </c>
      <c r="T1332" s="6">
        <v>2.78</v>
      </c>
      <c r="U1332" s="7">
        <v>45352</v>
      </c>
      <c r="V1332" s="6">
        <v>38.22</v>
      </c>
      <c r="W1332" s="6">
        <f ca="1">IFERROR(__xludf.DUMMYFUNCTION("IFERROR(GOOGLEFINANCE(B1332,""pe""),V1332)"),38.22)</f>
        <v>38.22</v>
      </c>
      <c r="X1332" s="12"/>
      <c r="Y1332" s="6">
        <v>1.1499999999999999</v>
      </c>
      <c r="Z1332" s="6">
        <v>2</v>
      </c>
      <c r="AA1332" s="8">
        <v>45352</v>
      </c>
      <c r="AB1332" s="4">
        <v>0.09</v>
      </c>
      <c r="AC1332" s="6">
        <v>5.12</v>
      </c>
      <c r="AD1332" s="6">
        <v>11.63</v>
      </c>
      <c r="AE1332" s="1">
        <v>0</v>
      </c>
      <c r="AF1332" s="1">
        <f ca="1">IFERROR(__xludf.DUMMYFUNCTION("IFERROR(GOOGLEFINANCE(TRIM(F1332)&amp;"":"" &amp; TRIM(B1332),""high52""),AE1332)"),0)</f>
        <v>0</v>
      </c>
      <c r="AG1332" s="1">
        <v>0</v>
      </c>
      <c r="AH1332" s="1">
        <f ca="1">IFERROR(__xludf.DUMMYFUNCTION("IFERROR(GOOGLEFINANCE(TRIM(F1332)&amp;"":"" &amp; TRIM(B1332),""low52""),AE1332)"),0)</f>
        <v>0</v>
      </c>
      <c r="AI1332" s="1">
        <f ca="1">IFERROR(__xludf.DUMMYFUNCTION("IFERROR(GOOGLEFINANCE(B1332,""eps""),0)"),0)</f>
        <v>0</v>
      </c>
      <c r="AJ1332" s="1"/>
      <c r="AK1332" s="1" t="s">
        <v>4023</v>
      </c>
      <c r="AL1332" s="9">
        <f t="shared" si="183"/>
        <v>1</v>
      </c>
    </row>
    <row r="1333" spans="1:38" ht="15" x14ac:dyDescent="0.25">
      <c r="A1333" s="1" t="s">
        <v>4024</v>
      </c>
      <c r="B1333" s="1" t="s">
        <v>4025</v>
      </c>
      <c r="C1333" s="1" t="s">
        <v>398</v>
      </c>
      <c r="D1333" s="1" t="s">
        <v>398</v>
      </c>
      <c r="E1333" s="6">
        <v>11130.55</v>
      </c>
      <c r="F1333" s="1" t="s">
        <v>40</v>
      </c>
      <c r="G1333" s="6">
        <f ca="1">IFERROR(__xludf.DUMMYFUNCTION("iferror(GOOGLEFINANCE(TRIM(F1333)&amp;"":"" &amp; TRIM(B1333), ""price""),0
)"),604)</f>
        <v>604</v>
      </c>
      <c r="H1333" s="6">
        <v>582.95000000000005</v>
      </c>
      <c r="I1333" s="6">
        <f t="shared" ca="1" si="0"/>
        <v>604</v>
      </c>
      <c r="J1333" s="6">
        <f ca="1">IFERROR(__xludf.DUMMYFUNCTION("IFERROR(GOOGLEFINANCE(B1333, ""volume""), 0)"),796157)</f>
        <v>796157</v>
      </c>
      <c r="K1333" s="6">
        <v>2.33</v>
      </c>
      <c r="L1333" s="6">
        <f ca="1">IFERROR(__xludf.DUMMYFUNCTION("IFERROR(GOOGLEFINANCE(B1333,""changepct""),K1333)"),1.45)</f>
        <v>1.45</v>
      </c>
      <c r="M1333" s="6">
        <f ca="1">IFERROR(__xludf.DUMMYFUNCTION("IFERROR(GOOGLEFINANCE(B1333,""change""),0)"),8.65)</f>
        <v>8.65</v>
      </c>
      <c r="N1333" s="6">
        <v>2</v>
      </c>
      <c r="O1333" s="7">
        <v>45536</v>
      </c>
      <c r="P1333" s="6">
        <v>240</v>
      </c>
      <c r="Q1333" s="6">
        <v>11269.55</v>
      </c>
      <c r="R1333" s="7">
        <v>45536</v>
      </c>
      <c r="S1333" s="6">
        <v>2781</v>
      </c>
      <c r="T1333" s="6">
        <v>463</v>
      </c>
      <c r="U1333" s="7">
        <v>45536</v>
      </c>
      <c r="V1333" s="6">
        <v>23.89</v>
      </c>
      <c r="W1333" s="6">
        <f ca="1">IFERROR(__xludf.DUMMYFUNCTION("IFERROR(GOOGLEFINANCE(B1333,""pe""),V1333)"),49.04)</f>
        <v>49.04</v>
      </c>
      <c r="X1333" s="6">
        <v>-0.42</v>
      </c>
      <c r="Y1333" s="6">
        <v>1.91</v>
      </c>
      <c r="Z1333" s="6">
        <v>2</v>
      </c>
      <c r="AA1333" s="8">
        <v>45352</v>
      </c>
      <c r="AB1333" s="4">
        <v>0.03</v>
      </c>
      <c r="AC1333" s="6">
        <v>15.22</v>
      </c>
      <c r="AD1333" s="6">
        <v>18.5</v>
      </c>
      <c r="AE1333" s="1">
        <v>0</v>
      </c>
      <c r="AF1333" s="1">
        <f ca="1">IFERROR(__xludf.DUMMYFUNCTION("IFERROR(GOOGLEFINANCE(TRIM(F1333)&amp;"":"" &amp; TRIM(B1333),""high52""),AE1333)"),685)</f>
        <v>685</v>
      </c>
      <c r="AG1333" s="1">
        <v>0</v>
      </c>
      <c r="AH1333" s="1">
        <f ca="1">IFERROR(__xludf.DUMMYFUNCTION("IFERROR(GOOGLEFINANCE(TRIM(F1333)&amp;"":"" &amp; TRIM(B1333),""low52""),AE1333)"),365.75)</f>
        <v>365.75</v>
      </c>
      <c r="AI1333" s="1">
        <f ca="1">IFERROR(__xludf.DUMMYFUNCTION("IFERROR(GOOGLEFINANCE(B1333,""eps""),0)"),12.32)</f>
        <v>12.32</v>
      </c>
      <c r="AJ1333" s="1"/>
      <c r="AK1333" s="1" t="s">
        <v>4026</v>
      </c>
      <c r="AL1333" s="9">
        <f t="shared" si="183"/>
        <v>1</v>
      </c>
    </row>
    <row r="1334" spans="1:38" ht="15" x14ac:dyDescent="0.25">
      <c r="A1334" s="1" t="s">
        <v>4027</v>
      </c>
      <c r="B1334" s="1" t="s">
        <v>4028</v>
      </c>
      <c r="C1334" s="1" t="s">
        <v>239</v>
      </c>
      <c r="D1334" s="1" t="s">
        <v>239</v>
      </c>
      <c r="E1334" s="6">
        <v>173119.3</v>
      </c>
      <c r="F1334" s="1" t="s">
        <v>40</v>
      </c>
      <c r="G1334" s="6">
        <f ca="1">IFERROR(__xludf.DUMMYFUNCTION("iferror(GOOGLEFINANCE(TRIM(F1334)&amp;"":"" &amp; TRIM(B1334), ""price""),0
)"),2773.6)</f>
        <v>2773.6</v>
      </c>
      <c r="H1334" s="6">
        <v>2529.9499999999998</v>
      </c>
      <c r="I1334" s="6">
        <f t="shared" ca="1" si="0"/>
        <v>2773.6</v>
      </c>
      <c r="J1334" s="6">
        <f ca="1">IFERROR(__xludf.DUMMYFUNCTION("IFERROR(GOOGLEFINANCE(B1334, ""volume""), 0)"),929579)</f>
        <v>929579</v>
      </c>
      <c r="K1334" s="6">
        <v>-0.55000000000000004</v>
      </c>
      <c r="L1334" s="6">
        <f ca="1">IFERROR(__xludf.DUMMYFUNCTION("IFERROR(GOOGLEFINANCE(B1334,""changepct""),K1334)"),1.32)</f>
        <v>1.32</v>
      </c>
      <c r="M1334" s="6">
        <f ca="1">IFERROR(__xludf.DUMMYFUNCTION("IFERROR(GOOGLEFINANCE(B1334,""change""),0)"),36)</f>
        <v>36</v>
      </c>
      <c r="N1334" s="6">
        <v>2</v>
      </c>
      <c r="O1334" s="7">
        <v>45536</v>
      </c>
      <c r="P1334" s="6">
        <v>155903.20000000001</v>
      </c>
      <c r="Q1334" s="6">
        <v>323168.8</v>
      </c>
      <c r="R1334" s="7">
        <v>45536</v>
      </c>
      <c r="S1334" s="6">
        <v>137116.20000000001</v>
      </c>
      <c r="T1334" s="6">
        <v>8482.0300000000007</v>
      </c>
      <c r="U1334" s="7">
        <v>45536</v>
      </c>
      <c r="V1334" s="6">
        <v>38.619999999999997</v>
      </c>
      <c r="W1334" s="6">
        <f ca="1">IFERROR(__xludf.DUMMYFUNCTION("IFERROR(GOOGLEFINANCE(B1334,""pe""),V1334)"),45.84)</f>
        <v>45.84</v>
      </c>
      <c r="X1334" s="6">
        <v>2.73</v>
      </c>
      <c r="Y1334" s="6">
        <v>1.86</v>
      </c>
      <c r="Z1334" s="6">
        <v>2</v>
      </c>
      <c r="AA1334" s="17">
        <v>45352</v>
      </c>
      <c r="AB1334" s="18">
        <v>1.53</v>
      </c>
      <c r="AC1334" s="6">
        <v>11.93</v>
      </c>
      <c r="AD1334" s="6">
        <v>11.38</v>
      </c>
      <c r="AE1334" s="1">
        <v>0</v>
      </c>
      <c r="AF1334" s="1">
        <f ca="1">IFERROR(__xludf.DUMMYFUNCTION("IFERROR(GOOGLEFINANCE(TRIM(F1334)&amp;"":"" &amp; TRIM(B1334),""high52""),AE1334)"),2977.8)</f>
        <v>2977.8</v>
      </c>
      <c r="AG1334" s="1">
        <v>0</v>
      </c>
      <c r="AH1334" s="1">
        <f ca="1">IFERROR(__xludf.DUMMYFUNCTION("IFERROR(GOOGLEFINANCE(TRIM(F1334)&amp;"":"" &amp; TRIM(B1334),""low52""),AE1334)"),2301.65)</f>
        <v>2301.65</v>
      </c>
      <c r="AI1334" s="1">
        <f ca="1">IFERROR(__xludf.DUMMYFUNCTION("IFERROR(GOOGLEFINANCE(B1334,""eps""),0)"),60.51)</f>
        <v>60.51</v>
      </c>
      <c r="AJ1334" s="1"/>
      <c r="AK1334" s="1" t="s">
        <v>4029</v>
      </c>
      <c r="AL1334" s="1" t="b">
        <f>ISNUMBER(AA1334)</f>
        <v>1</v>
      </c>
    </row>
    <row r="1335" spans="1:38" ht="15" x14ac:dyDescent="0.25">
      <c r="A1335" s="1" t="s">
        <v>4030</v>
      </c>
      <c r="B1335" s="1" t="s">
        <v>4031</v>
      </c>
      <c r="C1335" s="1" t="s">
        <v>1497</v>
      </c>
      <c r="D1335" s="1" t="s">
        <v>1497</v>
      </c>
      <c r="E1335" s="6">
        <v>16618.34</v>
      </c>
      <c r="F1335" s="1" t="s">
        <v>40</v>
      </c>
      <c r="G1335" s="6">
        <f ca="1">IFERROR(__xludf.DUMMYFUNCTION("iferror(GOOGLEFINANCE(TRIM(F1335)&amp;"":"" &amp; TRIM(B1335), ""price""),0
)"),1621.2)</f>
        <v>1621.2</v>
      </c>
      <c r="H1335" s="6">
        <v>2294.3000000000002</v>
      </c>
      <c r="I1335" s="6">
        <f t="shared" ca="1" si="0"/>
        <v>1621.2</v>
      </c>
      <c r="J1335" s="6">
        <f ca="1">IFERROR(__xludf.DUMMYFUNCTION("IFERROR(GOOGLEFINANCE(B1335, ""volume""), 0)"),188570)</f>
        <v>188570</v>
      </c>
      <c r="K1335" s="6">
        <v>1.89</v>
      </c>
      <c r="L1335" s="6">
        <f ca="1">IFERROR(__xludf.DUMMYFUNCTION("IFERROR(GOOGLEFINANCE(B1335,""changepct""),K1335)"),3.8)</f>
        <v>3.8</v>
      </c>
      <c r="M1335" s="6">
        <f ca="1">IFERROR(__xludf.DUMMYFUNCTION("IFERROR(GOOGLEFINANCE(B1335,""change""),0)"),59.4)</f>
        <v>59.4</v>
      </c>
      <c r="N1335" s="6">
        <v>2</v>
      </c>
      <c r="O1335" s="7">
        <v>45536</v>
      </c>
      <c r="P1335" s="6">
        <v>556.87</v>
      </c>
      <c r="Q1335" s="6">
        <v>17084.23</v>
      </c>
      <c r="R1335" s="7">
        <v>45536</v>
      </c>
      <c r="S1335" s="6">
        <v>3456.46</v>
      </c>
      <c r="T1335" s="6">
        <v>270.81</v>
      </c>
      <c r="U1335" s="7">
        <v>45536</v>
      </c>
      <c r="V1335" s="6">
        <v>61.87</v>
      </c>
      <c r="W1335" s="6">
        <f ca="1">IFERROR(__xludf.DUMMYFUNCTION("IFERROR(GOOGLEFINANCE(B1335,""pe""),V1335)"),30.84)</f>
        <v>30.84</v>
      </c>
      <c r="X1335" s="6">
        <v>0.85</v>
      </c>
      <c r="Y1335" s="6">
        <v>8.6199999999999992</v>
      </c>
      <c r="Z1335" s="6">
        <v>2</v>
      </c>
      <c r="AA1335" s="17">
        <v>45352</v>
      </c>
      <c r="AB1335" s="18">
        <v>0.65</v>
      </c>
      <c r="AC1335" s="6">
        <v>33.97</v>
      </c>
      <c r="AD1335" s="6">
        <v>28.16</v>
      </c>
      <c r="AE1335" s="1">
        <v>0</v>
      </c>
      <c r="AF1335" s="1">
        <f ca="1">IFERROR(__xludf.DUMMYFUNCTION("IFERROR(GOOGLEFINANCE(TRIM(F1335)&amp;"":"" &amp; TRIM(B1335),""high52""),AE1335)"),2170)</f>
        <v>2170</v>
      </c>
      <c r="AG1335" s="1">
        <v>0</v>
      </c>
      <c r="AH1335" s="1">
        <f ca="1">IFERROR(__xludf.DUMMYFUNCTION("IFERROR(GOOGLEFINANCE(TRIM(F1335)&amp;"":"" &amp; TRIM(B1335),""low52""),AE1335)"),1379.65)</f>
        <v>1379.65</v>
      </c>
      <c r="AI1335" s="1">
        <f ca="1">IFERROR(__xludf.DUMMYFUNCTION("IFERROR(GOOGLEFINANCE(B1335,""eps""),0)"),52.57)</f>
        <v>52.57</v>
      </c>
      <c r="AJ1335" s="1"/>
      <c r="AK1335" s="1" t="s">
        <v>4032</v>
      </c>
      <c r="AL1335" s="9">
        <f t="shared" ref="AL1335:AL1345" si="184">IF(AA1335&lt;&gt;AB1335,1,0)</f>
        <v>1</v>
      </c>
    </row>
    <row r="1336" spans="1:38" ht="15" x14ac:dyDescent="0.25">
      <c r="A1336" s="1" t="s">
        <v>4033</v>
      </c>
      <c r="B1336" s="1" t="s">
        <v>4034</v>
      </c>
      <c r="C1336" s="1" t="s">
        <v>2386</v>
      </c>
      <c r="D1336" s="1" t="s">
        <v>2386</v>
      </c>
      <c r="E1336" s="6">
        <v>6328.15</v>
      </c>
      <c r="F1336" s="1" t="s">
        <v>40</v>
      </c>
      <c r="G1336" s="6">
        <f ca="1">IFERROR(__xludf.DUMMYFUNCTION("iferror(GOOGLEFINANCE(TRIM(F1336)&amp;"":"" &amp; TRIM(B1336), ""price""),0
)"),164)</f>
        <v>164</v>
      </c>
      <c r="H1336" s="6">
        <v>286.14999999999998</v>
      </c>
      <c r="I1336" s="6">
        <f t="shared" ca="1" si="0"/>
        <v>164</v>
      </c>
      <c r="J1336" s="6">
        <f ca="1">IFERROR(__xludf.DUMMYFUNCTION("IFERROR(GOOGLEFINANCE(B1336, ""volume""), 0)"),711184)</f>
        <v>711184</v>
      </c>
      <c r="K1336" s="6">
        <v>5.05</v>
      </c>
      <c r="L1336" s="6">
        <f ca="1">IFERROR(__xludf.DUMMYFUNCTION("IFERROR(GOOGLEFINANCE(B1336,""changepct""),K1336)"),0.12)</f>
        <v>0.12</v>
      </c>
      <c r="M1336" s="6">
        <f ca="1">IFERROR(__xludf.DUMMYFUNCTION("IFERROR(GOOGLEFINANCE(B1336,""change""),0)"),0.2)</f>
        <v>0.2</v>
      </c>
      <c r="N1336" s="6">
        <v>2</v>
      </c>
      <c r="O1336" s="7">
        <v>45536</v>
      </c>
      <c r="P1336" s="6">
        <v>57.21</v>
      </c>
      <c r="Q1336" s="6">
        <v>6260.48</v>
      </c>
      <c r="R1336" s="7">
        <v>45536</v>
      </c>
      <c r="S1336" s="6">
        <v>2682.92</v>
      </c>
      <c r="T1336" s="6">
        <v>17.760000000000002</v>
      </c>
      <c r="U1336" s="7">
        <v>45536</v>
      </c>
      <c r="V1336" s="6">
        <v>85.37</v>
      </c>
      <c r="W1336" s="6">
        <f ca="1">IFERROR(__xludf.DUMMYFUNCTION("IFERROR(GOOGLEFINANCE(B1336,""pe""),V1336)"),36.85)</f>
        <v>36.85</v>
      </c>
      <c r="X1336" s="6">
        <v>6.96</v>
      </c>
      <c r="Y1336" s="6">
        <v>4.66</v>
      </c>
      <c r="Z1336" s="6">
        <v>2</v>
      </c>
      <c r="AA1336" s="8">
        <v>45352</v>
      </c>
      <c r="AB1336" s="4">
        <v>0.03</v>
      </c>
      <c r="AC1336" s="6">
        <v>-24.55</v>
      </c>
      <c r="AD1336" s="6">
        <v>-17.14</v>
      </c>
      <c r="AE1336" s="1">
        <v>0</v>
      </c>
      <c r="AF1336" s="1">
        <f ca="1">IFERROR(__xludf.DUMMYFUNCTION("IFERROR(GOOGLEFINANCE(TRIM(F1336)&amp;"":"" &amp; TRIM(B1336),""high52""),AE1336)"),305.85)</f>
        <v>305.85000000000002</v>
      </c>
      <c r="AG1336" s="1">
        <v>0</v>
      </c>
      <c r="AH1336" s="1">
        <f ca="1">IFERROR(__xludf.DUMMYFUNCTION("IFERROR(GOOGLEFINANCE(TRIM(F1336)&amp;"":"" &amp; TRIM(B1336),""low52""),AE1336)"),155.1)</f>
        <v>155.1</v>
      </c>
      <c r="AI1336" s="1">
        <f ca="1">IFERROR(__xludf.DUMMYFUNCTION("IFERROR(GOOGLEFINANCE(B1336,""eps""),0)"),4.45)</f>
        <v>4.45</v>
      </c>
      <c r="AJ1336" s="1"/>
      <c r="AK1336" s="1" t="s">
        <v>4035</v>
      </c>
      <c r="AL1336" s="9">
        <f t="shared" si="184"/>
        <v>1</v>
      </c>
    </row>
    <row r="1337" spans="1:38" ht="15" x14ac:dyDescent="0.25">
      <c r="A1337" s="1" t="s">
        <v>4036</v>
      </c>
      <c r="B1337" s="1" t="s">
        <v>4037</v>
      </c>
      <c r="C1337" s="1" t="s">
        <v>1265</v>
      </c>
      <c r="D1337" s="1" t="s">
        <v>1265</v>
      </c>
      <c r="E1337" s="6">
        <v>203.74</v>
      </c>
      <c r="F1337" s="1" t="s">
        <v>40</v>
      </c>
      <c r="G1337" s="6">
        <f ca="1">IFERROR(__xludf.DUMMYFUNCTION("iferror(GOOGLEFINANCE(TRIM(F1337)&amp;"":"" &amp; TRIM(B1337), ""price""),0
)"),0)</f>
        <v>0</v>
      </c>
      <c r="H1337" s="6">
        <v>87</v>
      </c>
      <c r="I1337" s="6">
        <f t="shared" ca="1" si="0"/>
        <v>87</v>
      </c>
      <c r="J1337" s="6">
        <f ca="1">IFERROR(__xludf.DUMMYFUNCTION("IFERROR(GOOGLEFINANCE(B1337, ""volume""), 0)"),0)</f>
        <v>0</v>
      </c>
      <c r="K1337" s="6">
        <v>-0.63</v>
      </c>
      <c r="L1337" s="6">
        <f ca="1">IFERROR(__xludf.DUMMYFUNCTION("IFERROR(GOOGLEFINANCE(B1337,""changepct""),K1337)"),-0.63)</f>
        <v>-0.63</v>
      </c>
      <c r="M1337" s="6">
        <f ca="1">IFERROR(__xludf.DUMMYFUNCTION("IFERROR(GOOGLEFINANCE(B1337,""change""),0)"),0)</f>
        <v>0</v>
      </c>
      <c r="N1337" s="6">
        <v>1</v>
      </c>
      <c r="O1337" s="7">
        <v>45536</v>
      </c>
      <c r="P1337" s="6">
        <v>62.65</v>
      </c>
      <c r="Q1337" s="6">
        <v>266.39</v>
      </c>
      <c r="R1337" s="7">
        <v>45352</v>
      </c>
      <c r="S1337" s="6">
        <v>330.65</v>
      </c>
      <c r="T1337" s="6">
        <v>4.83</v>
      </c>
      <c r="U1337" s="7">
        <v>45352</v>
      </c>
      <c r="V1337" s="6">
        <v>42.18</v>
      </c>
      <c r="W1337" s="6">
        <f ca="1">IFERROR(__xludf.DUMMYFUNCTION("IFERROR(GOOGLEFINANCE(B1337,""pe""),V1337)"),42.18)</f>
        <v>42.18</v>
      </c>
      <c r="X1337" s="12"/>
      <c r="Y1337" s="6">
        <v>1.78</v>
      </c>
      <c r="Z1337" s="6">
        <v>1</v>
      </c>
      <c r="AA1337" s="8">
        <v>45352</v>
      </c>
      <c r="AB1337" s="4">
        <v>1.06</v>
      </c>
      <c r="AC1337" s="6">
        <v>5.51</v>
      </c>
      <c r="AD1337" s="6">
        <v>6.39</v>
      </c>
      <c r="AE1337" s="1">
        <v>0</v>
      </c>
      <c r="AF1337" s="1">
        <f ca="1">IFERROR(__xludf.DUMMYFUNCTION("IFERROR(GOOGLEFINANCE(TRIM(F1337)&amp;"":"" &amp; TRIM(B1337),""high52""),AE1337)"),0)</f>
        <v>0</v>
      </c>
      <c r="AG1337" s="1">
        <v>0</v>
      </c>
      <c r="AH1337" s="1">
        <f ca="1">IFERROR(__xludf.DUMMYFUNCTION("IFERROR(GOOGLEFINANCE(TRIM(F1337)&amp;"":"" &amp; TRIM(B1337),""low52""),AE1337)"),0)</f>
        <v>0</v>
      </c>
      <c r="AI1337" s="1">
        <f ca="1">IFERROR(__xludf.DUMMYFUNCTION("IFERROR(GOOGLEFINANCE(B1337,""eps""),0)"),0)</f>
        <v>0</v>
      </c>
      <c r="AJ1337" s="1"/>
      <c r="AK1337" s="1" t="s">
        <v>4038</v>
      </c>
      <c r="AL1337" s="9">
        <f t="shared" si="184"/>
        <v>1</v>
      </c>
    </row>
    <row r="1338" spans="1:38" ht="15" x14ac:dyDescent="0.25">
      <c r="A1338" s="1" t="s">
        <v>4039</v>
      </c>
      <c r="B1338" s="1" t="s">
        <v>4040</v>
      </c>
      <c r="C1338" s="1" t="s">
        <v>535</v>
      </c>
      <c r="D1338" s="1" t="s">
        <v>535</v>
      </c>
      <c r="E1338" s="6">
        <v>7555.56</v>
      </c>
      <c r="F1338" s="1" t="s">
        <v>40</v>
      </c>
      <c r="G1338" s="6">
        <f ca="1">IFERROR(__xludf.DUMMYFUNCTION("iferror(GOOGLEFINANCE(TRIM(F1338)&amp;"":"" &amp; TRIM(B1338), ""price""),0
)"),241.25)</f>
        <v>241.25</v>
      </c>
      <c r="H1338" s="6">
        <v>593.45000000000005</v>
      </c>
      <c r="I1338" s="6">
        <f t="shared" ca="1" si="0"/>
        <v>241.25</v>
      </c>
      <c r="J1338" s="6">
        <f ca="1">IFERROR(__xludf.DUMMYFUNCTION("IFERROR(GOOGLEFINANCE(B1338, ""volume""), 0)"),26591)</f>
        <v>26591</v>
      </c>
      <c r="K1338" s="6">
        <v>0.06</v>
      </c>
      <c r="L1338" s="6">
        <f ca="1">IFERROR(__xludf.DUMMYFUNCTION("IFERROR(GOOGLEFINANCE(B1338,""changepct""),K1338)"),0.72)</f>
        <v>0.72</v>
      </c>
      <c r="M1338" s="6">
        <f ca="1">IFERROR(__xludf.DUMMYFUNCTION("IFERROR(GOOGLEFINANCE(B1338,""change""),0)"),1.72)</f>
        <v>1.72</v>
      </c>
      <c r="N1338" s="6">
        <v>2</v>
      </c>
      <c r="O1338" s="7">
        <v>45536</v>
      </c>
      <c r="P1338" s="6">
        <v>1108.98</v>
      </c>
      <c r="Q1338" s="6">
        <v>8640.2999999999993</v>
      </c>
      <c r="R1338" s="7">
        <v>45536</v>
      </c>
      <c r="S1338" s="6">
        <v>2472.98</v>
      </c>
      <c r="T1338" s="6">
        <v>120.38</v>
      </c>
      <c r="U1338" s="7">
        <v>45536</v>
      </c>
      <c r="V1338" s="6">
        <v>62.36</v>
      </c>
      <c r="W1338" s="6">
        <f ca="1">IFERROR(__xludf.DUMMYFUNCTION("IFERROR(GOOGLEFINANCE(B1338,""pe""),V1338)"),347.42)</f>
        <v>347.42</v>
      </c>
      <c r="X1338" s="6">
        <v>5.03</v>
      </c>
      <c r="Y1338" s="6">
        <v>6.79</v>
      </c>
      <c r="Z1338" s="6">
        <v>2</v>
      </c>
      <c r="AA1338" s="8">
        <v>45352</v>
      </c>
      <c r="AB1338" s="4">
        <v>0.93</v>
      </c>
      <c r="AC1338" s="6">
        <v>13.56</v>
      </c>
      <c r="AD1338" s="6">
        <v>12.72</v>
      </c>
      <c r="AE1338" s="1">
        <v>0</v>
      </c>
      <c r="AF1338" s="1">
        <f ca="1">IFERROR(__xludf.DUMMYFUNCTION("IFERROR(GOOGLEFINANCE(TRIM(F1338)&amp;"":"" &amp; TRIM(B1338),""high52""),AE1338)"),297.7)</f>
        <v>297.7</v>
      </c>
      <c r="AG1338" s="1">
        <v>0</v>
      </c>
      <c r="AH1338" s="1">
        <f ca="1">IFERROR(__xludf.DUMMYFUNCTION("IFERROR(GOOGLEFINANCE(TRIM(F1338)&amp;"":"" &amp; TRIM(B1338),""low52""),AE1338)"),197.42)</f>
        <v>197.42</v>
      </c>
      <c r="AI1338" s="1">
        <f ca="1">IFERROR(__xludf.DUMMYFUNCTION("IFERROR(GOOGLEFINANCE(B1338,""eps""),0)"),0.69)</f>
        <v>0.69</v>
      </c>
      <c r="AJ1338" s="1"/>
      <c r="AK1338" s="1" t="s">
        <v>4041</v>
      </c>
      <c r="AL1338" s="9">
        <f t="shared" si="184"/>
        <v>1</v>
      </c>
    </row>
    <row r="1339" spans="1:38" ht="15" x14ac:dyDescent="0.25">
      <c r="A1339" s="1" t="s">
        <v>4042</v>
      </c>
      <c r="B1339" s="1" t="s">
        <v>4043</v>
      </c>
      <c r="C1339" s="1" t="s">
        <v>850</v>
      </c>
      <c r="D1339" s="1" t="s">
        <v>850</v>
      </c>
      <c r="E1339" s="6">
        <v>4593.01</v>
      </c>
      <c r="F1339" s="1" t="s">
        <v>40</v>
      </c>
      <c r="G1339" s="6">
        <f ca="1">IFERROR(__xludf.DUMMYFUNCTION("iferror(GOOGLEFINANCE(TRIM(F1339)&amp;"":"" &amp; TRIM(B1339), ""price""),0
)"),221.54)</f>
        <v>221.54</v>
      </c>
      <c r="H1339" s="6">
        <v>371.3</v>
      </c>
      <c r="I1339" s="6">
        <f t="shared" ca="1" si="0"/>
        <v>221.54</v>
      </c>
      <c r="J1339" s="6">
        <f ca="1">IFERROR(__xludf.DUMMYFUNCTION("IFERROR(GOOGLEFINANCE(B1339, ""volume""), 0)"),87989)</f>
        <v>87989</v>
      </c>
      <c r="K1339" s="6">
        <v>-0.76</v>
      </c>
      <c r="L1339" s="6">
        <f ca="1">IFERROR(__xludf.DUMMYFUNCTION("IFERROR(GOOGLEFINANCE(B1339,""changepct""),K1339)"),-0.99)</f>
        <v>-0.99</v>
      </c>
      <c r="M1339" s="6">
        <f ca="1">IFERROR(__xludf.DUMMYFUNCTION("IFERROR(GOOGLEFINANCE(B1339,""change""),0)"),-2.21)</f>
        <v>-2.21</v>
      </c>
      <c r="N1339" s="6">
        <v>1</v>
      </c>
      <c r="O1339" s="7">
        <v>45536</v>
      </c>
      <c r="P1339" s="6">
        <v>297.37</v>
      </c>
      <c r="Q1339" s="6">
        <v>4786.22</v>
      </c>
      <c r="R1339" s="7">
        <v>45536</v>
      </c>
      <c r="S1339" s="6">
        <v>1484.16</v>
      </c>
      <c r="T1339" s="6">
        <v>91.68</v>
      </c>
      <c r="U1339" s="7">
        <v>45536</v>
      </c>
      <c r="V1339" s="6">
        <v>50.1</v>
      </c>
      <c r="W1339" s="6">
        <f ca="1">IFERROR(__xludf.DUMMYFUNCTION("IFERROR(GOOGLEFINANCE(B1339,""pe""),V1339)"),50.1)</f>
        <v>50.1</v>
      </c>
      <c r="X1339" s="6">
        <v>1.53</v>
      </c>
      <c r="Y1339" s="6">
        <v>3.4</v>
      </c>
      <c r="Z1339" s="6">
        <v>2</v>
      </c>
      <c r="AA1339" s="8">
        <v>45352</v>
      </c>
      <c r="AB1339" s="4">
        <v>0.2</v>
      </c>
      <c r="AC1339" s="6">
        <v>11.36</v>
      </c>
      <c r="AD1339" s="6">
        <v>13.16</v>
      </c>
      <c r="AE1339" s="1">
        <v>0</v>
      </c>
      <c r="AF1339" s="1">
        <f ca="1">IFERROR(__xludf.DUMMYFUNCTION("IFERROR(GOOGLEFINANCE(TRIM(F1339)&amp;"":"" &amp; TRIM(B1339),""high52""),AE1339)"),395)</f>
        <v>395</v>
      </c>
      <c r="AG1339" s="1">
        <v>0</v>
      </c>
      <c r="AH1339" s="1">
        <f ca="1">IFERROR(__xludf.DUMMYFUNCTION("IFERROR(GOOGLEFINANCE(TRIM(F1339)&amp;"":"" &amp; TRIM(B1339),""low52""),AE1339)"),202.81)</f>
        <v>202.81</v>
      </c>
      <c r="AI1339" s="1">
        <f ca="1">IFERROR(__xludf.DUMMYFUNCTION("IFERROR(GOOGLEFINANCE(B1339,""eps""),0)"),-0.23)</f>
        <v>-0.23</v>
      </c>
      <c r="AJ1339" s="1"/>
      <c r="AK1339" s="1" t="s">
        <v>4044</v>
      </c>
      <c r="AL1339" s="9">
        <f t="shared" si="184"/>
        <v>1</v>
      </c>
    </row>
    <row r="1340" spans="1:38" ht="15" x14ac:dyDescent="0.25">
      <c r="A1340" s="1" t="s">
        <v>4045</v>
      </c>
      <c r="B1340" s="1" t="s">
        <v>4046</v>
      </c>
      <c r="C1340" s="1" t="s">
        <v>86</v>
      </c>
      <c r="D1340" s="1" t="s">
        <v>86</v>
      </c>
      <c r="E1340" s="6">
        <v>37.57</v>
      </c>
      <c r="F1340" s="1" t="s">
        <v>53</v>
      </c>
      <c r="G1340" s="6">
        <f ca="1">IFERROR(__xludf.DUMMYFUNCTION("iferror(GOOGLEFINANCE(TRIM(F1340)&amp;"":"" &amp; TRIM(B1340), ""price""),0
)"),0)</f>
        <v>0</v>
      </c>
      <c r="H1340" s="6">
        <v>56</v>
      </c>
      <c r="I1340" s="6">
        <f t="shared" ca="1" si="0"/>
        <v>56</v>
      </c>
      <c r="J1340" s="6">
        <f ca="1">IFERROR(__xludf.DUMMYFUNCTION("IFERROR(GOOGLEFINANCE(B1340, ""volume""), 0)"),0)</f>
        <v>0</v>
      </c>
      <c r="K1340" s="6">
        <v>1.82</v>
      </c>
      <c r="L1340" s="6">
        <f ca="1">IFERROR(__xludf.DUMMYFUNCTION("IFERROR(GOOGLEFINANCE(B1340,""changepct""),K1340)"),1.82)</f>
        <v>1.82</v>
      </c>
      <c r="M1340" s="6">
        <f ca="1">IFERROR(__xludf.DUMMYFUNCTION("IFERROR(GOOGLEFINANCE(B1340,""change""),0)"),0)</f>
        <v>0</v>
      </c>
      <c r="N1340" s="6">
        <v>1</v>
      </c>
      <c r="O1340" s="7">
        <v>45536</v>
      </c>
      <c r="P1340" s="6">
        <v>3.8</v>
      </c>
      <c r="Q1340" s="6">
        <v>41.37</v>
      </c>
      <c r="R1340" s="7">
        <v>45352</v>
      </c>
      <c r="S1340" s="6">
        <v>18.510000000000002</v>
      </c>
      <c r="T1340" s="6">
        <v>2.0299999999999998</v>
      </c>
      <c r="U1340" s="7">
        <v>45352</v>
      </c>
      <c r="V1340" s="6">
        <v>18.510000000000002</v>
      </c>
      <c r="W1340" s="6">
        <f ca="1">IFERROR(__xludf.DUMMYFUNCTION("IFERROR(GOOGLEFINANCE(B1340,""pe""),V1340)"),18.51)</f>
        <v>18.510000000000002</v>
      </c>
      <c r="X1340" s="9"/>
      <c r="Y1340" s="6">
        <v>1.97</v>
      </c>
      <c r="Z1340" s="6">
        <v>1</v>
      </c>
      <c r="AA1340" s="8">
        <v>45352</v>
      </c>
      <c r="AB1340" s="4">
        <v>0.6</v>
      </c>
      <c r="AC1340" s="6">
        <v>39.68</v>
      </c>
      <c r="AD1340" s="6">
        <v>38.44</v>
      </c>
      <c r="AE1340" s="1">
        <v>0</v>
      </c>
      <c r="AF1340" s="1">
        <f ca="1">IFERROR(__xludf.DUMMYFUNCTION("IFERROR(GOOGLEFINANCE(TRIM(F1340)&amp;"":"" &amp; TRIM(B1340),""high52""),AE1340)"),0)</f>
        <v>0</v>
      </c>
      <c r="AG1340" s="1">
        <v>0</v>
      </c>
      <c r="AH1340" s="1">
        <f ca="1">IFERROR(__xludf.DUMMYFUNCTION("IFERROR(GOOGLEFINANCE(TRIM(F1340)&amp;"":"" &amp; TRIM(B1340),""low52""),AE1340)"),0)</f>
        <v>0</v>
      </c>
      <c r="AI1340" s="1">
        <f ca="1">IFERROR(__xludf.DUMMYFUNCTION("IFERROR(GOOGLEFINANCE(B1340,""eps""),0)"),0)</f>
        <v>0</v>
      </c>
      <c r="AJ1340" s="1"/>
      <c r="AK1340" s="1" t="s">
        <v>4047</v>
      </c>
      <c r="AL1340" s="9">
        <f t="shared" si="184"/>
        <v>1</v>
      </c>
    </row>
    <row r="1341" spans="1:38" ht="15" x14ac:dyDescent="0.25">
      <c r="A1341" s="1" t="s">
        <v>4048</v>
      </c>
      <c r="B1341" s="1" t="s">
        <v>4049</v>
      </c>
      <c r="C1341" s="1" t="s">
        <v>850</v>
      </c>
      <c r="D1341" s="1" t="s">
        <v>850</v>
      </c>
      <c r="E1341" s="6">
        <v>3927.89</v>
      </c>
      <c r="F1341" s="1" t="s">
        <v>40</v>
      </c>
      <c r="G1341" s="6">
        <f ca="1">IFERROR(__xludf.DUMMYFUNCTION("iferror(GOOGLEFINANCE(TRIM(F1341)&amp;"":"" &amp; TRIM(B1341), ""price""),0
)"),224.3)</f>
        <v>224.3</v>
      </c>
      <c r="H1341" s="6">
        <v>319.45</v>
      </c>
      <c r="I1341" s="6">
        <f t="shared" ca="1" si="0"/>
        <v>224.3</v>
      </c>
      <c r="J1341" s="6">
        <f ca="1">IFERROR(__xludf.DUMMYFUNCTION("IFERROR(GOOGLEFINANCE(B1341, ""volume""), 0)"),54874)</f>
        <v>54874</v>
      </c>
      <c r="K1341" s="6">
        <v>1.48</v>
      </c>
      <c r="L1341" s="6">
        <f ca="1">IFERROR(__xludf.DUMMYFUNCTION("IFERROR(GOOGLEFINANCE(B1341,""changepct""),K1341)"),-0.7)</f>
        <v>-0.7</v>
      </c>
      <c r="M1341" s="6">
        <f ca="1">IFERROR(__xludf.DUMMYFUNCTION("IFERROR(GOOGLEFINANCE(B1341,""change""),0)"),-1.59)</f>
        <v>-1.59</v>
      </c>
      <c r="N1341" s="6">
        <v>2</v>
      </c>
      <c r="O1341" s="7">
        <v>45536</v>
      </c>
      <c r="P1341" s="6">
        <v>426.47</v>
      </c>
      <c r="Q1341" s="6">
        <v>4274.51</v>
      </c>
      <c r="R1341" s="7">
        <v>45536</v>
      </c>
      <c r="S1341" s="6">
        <v>2444.9699999999998</v>
      </c>
      <c r="T1341" s="6">
        <v>119.95</v>
      </c>
      <c r="U1341" s="7">
        <v>45536</v>
      </c>
      <c r="V1341" s="6">
        <v>37.03</v>
      </c>
      <c r="W1341" s="6">
        <f ca="1">IFERROR(__xludf.DUMMYFUNCTION("IFERROR(GOOGLEFINANCE(B1341,""pe""),V1341)"),32.89)</f>
        <v>32.89</v>
      </c>
      <c r="X1341" s="6">
        <v>-6.67</v>
      </c>
      <c r="Y1341" s="6">
        <v>5.16</v>
      </c>
      <c r="Z1341" s="6">
        <v>2</v>
      </c>
      <c r="AA1341" s="8">
        <v>45352</v>
      </c>
      <c r="AB1341" s="4">
        <v>0.76</v>
      </c>
      <c r="AC1341" s="6">
        <v>13.02</v>
      </c>
      <c r="AD1341" s="6">
        <v>12.47</v>
      </c>
      <c r="AE1341" s="1">
        <v>0</v>
      </c>
      <c r="AF1341" s="1">
        <f ca="1">IFERROR(__xludf.DUMMYFUNCTION("IFERROR(GOOGLEFINANCE(TRIM(F1341)&amp;"":"" &amp; TRIM(B1341),""high52""),AE1341)"),351.95)</f>
        <v>351.95</v>
      </c>
      <c r="AG1341" s="1">
        <v>0</v>
      </c>
      <c r="AH1341" s="1">
        <f ca="1">IFERROR(__xludf.DUMMYFUNCTION("IFERROR(GOOGLEFINANCE(TRIM(F1341)&amp;"":"" &amp; TRIM(B1341),""low52""),AE1341)"),214.8)</f>
        <v>214.8</v>
      </c>
      <c r="AI1341" s="1">
        <f ca="1">IFERROR(__xludf.DUMMYFUNCTION("IFERROR(GOOGLEFINANCE(B1341,""eps""),0)"),6.82)</f>
        <v>6.82</v>
      </c>
      <c r="AJ1341" s="1"/>
      <c r="AK1341" s="1" t="s">
        <v>4050</v>
      </c>
      <c r="AL1341" s="9">
        <f t="shared" si="184"/>
        <v>1</v>
      </c>
    </row>
    <row r="1342" spans="1:38" ht="15" x14ac:dyDescent="0.25">
      <c r="A1342" s="1" t="s">
        <v>4051</v>
      </c>
      <c r="B1342" s="1" t="s">
        <v>4052</v>
      </c>
      <c r="C1342" s="1" t="s">
        <v>186</v>
      </c>
      <c r="D1342" s="1" t="s">
        <v>186</v>
      </c>
      <c r="E1342" s="6">
        <v>339.11</v>
      </c>
      <c r="F1342" s="1" t="s">
        <v>40</v>
      </c>
      <c r="G1342" s="6">
        <f ca="1">IFERROR(__xludf.DUMMYFUNCTION("iferror(GOOGLEFINANCE(TRIM(F1342)&amp;"":"" &amp; TRIM(B1342), ""price""),0
)"),0)</f>
        <v>0</v>
      </c>
      <c r="H1342" s="6">
        <v>228.9</v>
      </c>
      <c r="I1342" s="6">
        <f t="shared" ca="1" si="0"/>
        <v>228.9</v>
      </c>
      <c r="J1342" s="6">
        <f ca="1">IFERROR(__xludf.DUMMYFUNCTION("IFERROR(GOOGLEFINANCE(B1342, ""volume""), 0)"),0)</f>
        <v>0</v>
      </c>
      <c r="K1342" s="9"/>
      <c r="L1342" s="6" t="str">
        <f ca="1">IFERROR(__xludf.DUMMYFUNCTION("IFERROR(GOOGLEFINANCE(B1342,""changepct""),K1342)"),"")</f>
        <v/>
      </c>
      <c r="M1342" s="6">
        <f ca="1">IFERROR(__xludf.DUMMYFUNCTION("IFERROR(GOOGLEFINANCE(B1342,""change""),0)"),0)</f>
        <v>0</v>
      </c>
      <c r="N1342" s="6">
        <v>1</v>
      </c>
      <c r="O1342" s="7">
        <v>45536</v>
      </c>
      <c r="P1342" s="6">
        <v>7.4</v>
      </c>
      <c r="Q1342" s="6">
        <v>346.5</v>
      </c>
      <c r="R1342" s="7">
        <v>45352</v>
      </c>
      <c r="S1342" s="6">
        <v>31.13</v>
      </c>
      <c r="T1342" s="6">
        <v>9.98</v>
      </c>
      <c r="U1342" s="7">
        <v>45352</v>
      </c>
      <c r="V1342" s="6">
        <v>33.97</v>
      </c>
      <c r="W1342" s="6">
        <f ca="1">IFERROR(__xludf.DUMMYFUNCTION("IFERROR(GOOGLEFINANCE(B1342,""pe""),V1342)"),33.97)</f>
        <v>33.97</v>
      </c>
      <c r="X1342" s="9"/>
      <c r="Y1342" s="6">
        <v>9.91</v>
      </c>
      <c r="Z1342" s="6">
        <v>2</v>
      </c>
      <c r="AA1342" s="17">
        <v>45352</v>
      </c>
      <c r="AB1342" s="18">
        <v>0.04</v>
      </c>
      <c r="AC1342" s="6">
        <v>71.010000000000005</v>
      </c>
      <c r="AD1342" s="6">
        <v>81.58</v>
      </c>
      <c r="AE1342" s="1">
        <v>0</v>
      </c>
      <c r="AF1342" s="1">
        <f ca="1">IFERROR(__xludf.DUMMYFUNCTION("IFERROR(GOOGLEFINANCE(TRIM(F1342)&amp;"":"" &amp; TRIM(B1342),""high52""),AE1342)"),0)</f>
        <v>0</v>
      </c>
      <c r="AG1342" s="1">
        <v>0</v>
      </c>
      <c r="AH1342" s="1">
        <f ca="1">IFERROR(__xludf.DUMMYFUNCTION("IFERROR(GOOGLEFINANCE(TRIM(F1342)&amp;"":"" &amp; TRIM(B1342),""low52""),AE1342)"),0)</f>
        <v>0</v>
      </c>
      <c r="AI1342" s="1">
        <f ca="1">IFERROR(__xludf.DUMMYFUNCTION("IFERROR(GOOGLEFINANCE(B1342,""eps""),0)"),0)</f>
        <v>0</v>
      </c>
      <c r="AJ1342" s="1"/>
      <c r="AK1342" s="1" t="s">
        <v>4053</v>
      </c>
      <c r="AL1342" s="9">
        <f t="shared" si="184"/>
        <v>1</v>
      </c>
    </row>
    <row r="1343" spans="1:38" ht="15" x14ac:dyDescent="0.25">
      <c r="A1343" s="1" t="s">
        <v>4054</v>
      </c>
      <c r="B1343" s="1" t="s">
        <v>4055</v>
      </c>
      <c r="C1343" s="1" t="s">
        <v>359</v>
      </c>
      <c r="D1343" s="1" t="s">
        <v>359</v>
      </c>
      <c r="E1343" s="6">
        <v>43.28</v>
      </c>
      <c r="F1343" s="1" t="s">
        <v>40</v>
      </c>
      <c r="G1343" s="6">
        <f ca="1">IFERROR(__xludf.DUMMYFUNCTION("iferror(GOOGLEFINANCE(TRIM(F1343)&amp;"":"" &amp; TRIM(B1343), ""price""),0
)"),0)</f>
        <v>0</v>
      </c>
      <c r="H1343" s="6">
        <v>83.1</v>
      </c>
      <c r="I1343" s="6">
        <f t="shared" ca="1" si="0"/>
        <v>83.1</v>
      </c>
      <c r="J1343" s="6">
        <f ca="1">IFERROR(__xludf.DUMMYFUNCTION("IFERROR(GOOGLEFINANCE(B1343, ""volume""), 0)"),0)</f>
        <v>0</v>
      </c>
      <c r="K1343" s="9"/>
      <c r="L1343" s="6" t="str">
        <f ca="1">IFERROR(__xludf.DUMMYFUNCTION("IFERROR(GOOGLEFINANCE(B1343,""changepct""),K1343)"),"")</f>
        <v/>
      </c>
      <c r="M1343" s="6">
        <f ca="1">IFERROR(__xludf.DUMMYFUNCTION("IFERROR(GOOGLEFINANCE(B1343,""change""),0)"),0)</f>
        <v>0</v>
      </c>
      <c r="N1343" s="6">
        <v>1</v>
      </c>
      <c r="O1343" s="7">
        <v>45536</v>
      </c>
      <c r="P1343" s="6">
        <v>3.64</v>
      </c>
      <c r="Q1343" s="6">
        <v>46.92</v>
      </c>
      <c r="R1343" s="7">
        <v>45352</v>
      </c>
      <c r="S1343" s="6">
        <v>13.46</v>
      </c>
      <c r="T1343" s="6">
        <v>-0.24</v>
      </c>
      <c r="U1343" s="7">
        <v>45352</v>
      </c>
      <c r="V1343" s="6">
        <v>0</v>
      </c>
      <c r="W1343" s="6">
        <f ca="1">IFERROR(__xludf.DUMMYFUNCTION("IFERROR(GOOGLEFINANCE(B1343,""pe""),V1343)"),0)</f>
        <v>0</v>
      </c>
      <c r="X1343" s="9"/>
      <c r="Y1343" s="6">
        <v>2.1</v>
      </c>
      <c r="Z1343" s="6">
        <v>1</v>
      </c>
      <c r="AA1343" s="8">
        <v>45352</v>
      </c>
      <c r="AB1343" s="4">
        <v>3.78</v>
      </c>
      <c r="AC1343" s="6">
        <v>-7.78</v>
      </c>
      <c r="AD1343" s="6">
        <v>4.32</v>
      </c>
      <c r="AE1343" s="1">
        <v>0</v>
      </c>
      <c r="AF1343" s="1">
        <f ca="1">IFERROR(__xludf.DUMMYFUNCTION("IFERROR(GOOGLEFINANCE(TRIM(F1343)&amp;"":"" &amp; TRIM(B1343),""high52""),AE1343)"),0)</f>
        <v>0</v>
      </c>
      <c r="AG1343" s="1">
        <v>0</v>
      </c>
      <c r="AH1343" s="1">
        <f ca="1">IFERROR(__xludf.DUMMYFUNCTION("IFERROR(GOOGLEFINANCE(TRIM(F1343)&amp;"":"" &amp; TRIM(B1343),""low52""),AE1343)"),0)</f>
        <v>0</v>
      </c>
      <c r="AI1343" s="1">
        <f ca="1">IFERROR(__xludf.DUMMYFUNCTION("IFERROR(GOOGLEFINANCE(B1343,""eps""),0)"),0)</f>
        <v>0</v>
      </c>
      <c r="AJ1343" s="1"/>
      <c r="AK1343" s="1" t="s">
        <v>4056</v>
      </c>
      <c r="AL1343" s="9">
        <f t="shared" si="184"/>
        <v>1</v>
      </c>
    </row>
    <row r="1344" spans="1:38" ht="15" x14ac:dyDescent="0.25">
      <c r="A1344" s="1" t="s">
        <v>4057</v>
      </c>
      <c r="B1344" s="1" t="s">
        <v>4058</v>
      </c>
      <c r="C1344" s="1" t="s">
        <v>86</v>
      </c>
      <c r="D1344" s="1" t="s">
        <v>86</v>
      </c>
      <c r="E1344" s="6">
        <v>26.28</v>
      </c>
      <c r="F1344" s="1" t="s">
        <v>53</v>
      </c>
      <c r="G1344" s="6">
        <f ca="1">IFERROR(__xludf.DUMMYFUNCTION("iferror(GOOGLEFINANCE(TRIM(F1344)&amp;"":"" &amp; TRIM(B1344), ""price""),0
)"),0)</f>
        <v>0</v>
      </c>
      <c r="H1344" s="6">
        <v>10.050000000000001</v>
      </c>
      <c r="I1344" s="6">
        <f t="shared" ca="1" si="0"/>
        <v>10.050000000000001</v>
      </c>
      <c r="J1344" s="6">
        <f ca="1">IFERROR(__xludf.DUMMYFUNCTION("IFERROR(GOOGLEFINANCE(B1344, ""volume""), 0)"),0)</f>
        <v>0</v>
      </c>
      <c r="K1344" s="6">
        <v>-4.74</v>
      </c>
      <c r="L1344" s="6">
        <f ca="1">IFERROR(__xludf.DUMMYFUNCTION("IFERROR(GOOGLEFINANCE(B1344,""changepct""),K1344)"),-4.74)</f>
        <v>-4.74</v>
      </c>
      <c r="M1344" s="6">
        <f ca="1">IFERROR(__xludf.DUMMYFUNCTION("IFERROR(GOOGLEFINANCE(B1344,""change""),0)"),0)</f>
        <v>0</v>
      </c>
      <c r="N1344" s="6">
        <v>1</v>
      </c>
      <c r="O1344" s="7">
        <v>45536</v>
      </c>
      <c r="P1344" s="9"/>
      <c r="Q1344" s="6">
        <v>26.28</v>
      </c>
      <c r="R1344" s="7">
        <v>45352</v>
      </c>
      <c r="S1344" s="6">
        <v>38.9</v>
      </c>
      <c r="T1344" s="6">
        <v>0.37</v>
      </c>
      <c r="U1344" s="7">
        <v>45352</v>
      </c>
      <c r="V1344" s="6">
        <v>71.03</v>
      </c>
      <c r="W1344" s="6">
        <f ca="1">IFERROR(__xludf.DUMMYFUNCTION("IFERROR(GOOGLEFINANCE(B1344,""pe""),V1344)"),71.03)</f>
        <v>71.03</v>
      </c>
      <c r="X1344" s="6">
        <v>-13.9</v>
      </c>
      <c r="Y1344" s="6">
        <v>0.9</v>
      </c>
      <c r="Z1344" s="6">
        <v>1</v>
      </c>
      <c r="AA1344" s="8">
        <v>45352</v>
      </c>
      <c r="AB1344" s="4">
        <v>0</v>
      </c>
      <c r="AC1344" s="6">
        <v>2.46</v>
      </c>
      <c r="AD1344" s="6">
        <v>3.45</v>
      </c>
      <c r="AE1344" s="1">
        <v>0</v>
      </c>
      <c r="AF1344" s="1">
        <f ca="1">IFERROR(__xludf.DUMMYFUNCTION("IFERROR(GOOGLEFINANCE(TRIM(F1344)&amp;"":"" &amp; TRIM(B1344),""high52""),AE1344)"),0)</f>
        <v>0</v>
      </c>
      <c r="AG1344" s="1">
        <v>0</v>
      </c>
      <c r="AH1344" s="1">
        <f ca="1">IFERROR(__xludf.DUMMYFUNCTION("IFERROR(GOOGLEFINANCE(TRIM(F1344)&amp;"":"" &amp; TRIM(B1344),""low52""),AE1344)"),0)</f>
        <v>0</v>
      </c>
      <c r="AI1344" s="1">
        <f ca="1">IFERROR(__xludf.DUMMYFUNCTION("IFERROR(GOOGLEFINANCE(B1344,""eps""),0)"),0)</f>
        <v>0</v>
      </c>
      <c r="AJ1344" s="1"/>
      <c r="AK1344" s="1" t="s">
        <v>4059</v>
      </c>
      <c r="AL1344" s="9">
        <f t="shared" si="184"/>
        <v>1</v>
      </c>
    </row>
    <row r="1345" spans="1:38" ht="15" x14ac:dyDescent="0.25">
      <c r="A1345" s="1" t="s">
        <v>4060</v>
      </c>
      <c r="B1345" s="1" t="s">
        <v>4061</v>
      </c>
      <c r="C1345" s="1" t="s">
        <v>86</v>
      </c>
      <c r="D1345" s="1" t="s">
        <v>86</v>
      </c>
      <c r="E1345" s="6">
        <v>147.12</v>
      </c>
      <c r="F1345" s="1" t="s">
        <v>53</v>
      </c>
      <c r="G1345" s="6">
        <f ca="1">IFERROR(__xludf.DUMMYFUNCTION("iferror(GOOGLEFINANCE(TRIM(F1345)&amp;"":"" &amp; TRIM(B1345), ""price""),0
)"),0)</f>
        <v>0</v>
      </c>
      <c r="H1345" s="6">
        <v>146</v>
      </c>
      <c r="I1345" s="6">
        <f t="shared" ca="1" si="0"/>
        <v>146</v>
      </c>
      <c r="J1345" s="6">
        <f ca="1">IFERROR(__xludf.DUMMYFUNCTION("IFERROR(GOOGLEFINANCE(B1345, ""volume""), 0)"),0)</f>
        <v>0</v>
      </c>
      <c r="K1345" s="6">
        <v>0.79</v>
      </c>
      <c r="L1345" s="6">
        <f ca="1">IFERROR(__xludf.DUMMYFUNCTION("IFERROR(GOOGLEFINANCE(B1345,""changepct""),K1345)"),0.79)</f>
        <v>0.79</v>
      </c>
      <c r="M1345" s="6">
        <f ca="1">IFERROR(__xludf.DUMMYFUNCTION("IFERROR(GOOGLEFINANCE(B1345,""change""),0)"),0)</f>
        <v>0</v>
      </c>
      <c r="N1345" s="6">
        <v>1</v>
      </c>
      <c r="O1345" s="7">
        <v>45536</v>
      </c>
      <c r="P1345" s="6">
        <v>9.89</v>
      </c>
      <c r="Q1345" s="6">
        <v>157.01</v>
      </c>
      <c r="R1345" s="7">
        <v>45352</v>
      </c>
      <c r="S1345" s="6">
        <v>89.3</v>
      </c>
      <c r="T1345" s="6">
        <v>4.87</v>
      </c>
      <c r="U1345" s="7">
        <v>45352</v>
      </c>
      <c r="V1345" s="6">
        <v>30.2</v>
      </c>
      <c r="W1345" s="6">
        <f ca="1">IFERROR(__xludf.DUMMYFUNCTION("IFERROR(GOOGLEFINANCE(B1345,""pe""),V1345)"),30.2)</f>
        <v>30.2</v>
      </c>
      <c r="X1345" s="9"/>
      <c r="Y1345" s="6">
        <v>4.05</v>
      </c>
      <c r="Z1345" s="6">
        <v>1</v>
      </c>
      <c r="AA1345" s="8">
        <v>45352</v>
      </c>
      <c r="AB1345" s="4">
        <v>0.28999999999999998</v>
      </c>
      <c r="AC1345" s="6">
        <v>16.86</v>
      </c>
      <c r="AD1345" s="6">
        <v>18.46</v>
      </c>
      <c r="AE1345" s="1">
        <v>0</v>
      </c>
      <c r="AF1345" s="1">
        <f ca="1">IFERROR(__xludf.DUMMYFUNCTION("IFERROR(GOOGLEFINANCE(TRIM(F1345)&amp;"":"" &amp; TRIM(B1345),""high52""),AE1345)"),0)</f>
        <v>0</v>
      </c>
      <c r="AG1345" s="1">
        <v>0</v>
      </c>
      <c r="AH1345" s="1">
        <f ca="1">IFERROR(__xludf.DUMMYFUNCTION("IFERROR(GOOGLEFINANCE(TRIM(F1345)&amp;"":"" &amp; TRIM(B1345),""low52""),AE1345)"),0)</f>
        <v>0</v>
      </c>
      <c r="AI1345" s="1">
        <f ca="1">IFERROR(__xludf.DUMMYFUNCTION("IFERROR(GOOGLEFINANCE(B1345,""eps""),0)"),0)</f>
        <v>0</v>
      </c>
      <c r="AJ1345" s="1"/>
      <c r="AK1345" s="1" t="s">
        <v>4062</v>
      </c>
      <c r="AL1345" s="9">
        <f t="shared" si="184"/>
        <v>1</v>
      </c>
    </row>
    <row r="1346" spans="1:38" ht="15" x14ac:dyDescent="0.25">
      <c r="A1346" s="1" t="s">
        <v>4063</v>
      </c>
      <c r="B1346" s="1" t="s">
        <v>4064</v>
      </c>
      <c r="C1346" s="1" t="s">
        <v>1866</v>
      </c>
      <c r="D1346" s="1" t="s">
        <v>1866</v>
      </c>
      <c r="E1346" s="6">
        <v>21458.639999999999</v>
      </c>
      <c r="F1346" s="1" t="s">
        <v>40</v>
      </c>
      <c r="G1346" s="6">
        <f ca="1">IFERROR(__xludf.DUMMYFUNCTION("iferror(GOOGLEFINANCE(TRIM(F1346)&amp;"":"" &amp; TRIM(B1346), ""price""),0
)"),1522.5)</f>
        <v>1522.5</v>
      </c>
      <c r="H1346" s="6">
        <v>1956.7</v>
      </c>
      <c r="I1346" s="6">
        <f t="shared" ca="1" si="0"/>
        <v>1522.5</v>
      </c>
      <c r="J1346" s="6">
        <f ca="1">IFERROR(__xludf.DUMMYFUNCTION("IFERROR(GOOGLEFINANCE(B1346, ""volume""), 0)"),9078)</f>
        <v>9078</v>
      </c>
      <c r="K1346" s="6">
        <v>0.9</v>
      </c>
      <c r="L1346" s="6">
        <f ca="1">IFERROR(__xludf.DUMMYFUNCTION("IFERROR(GOOGLEFINANCE(B1346,""changepct""),K1346)"),0.22)</f>
        <v>0.22</v>
      </c>
      <c r="M1346" s="6">
        <f ca="1">IFERROR(__xludf.DUMMYFUNCTION("IFERROR(GOOGLEFINANCE(B1346,""change""),0)"),3.3)</f>
        <v>3.3</v>
      </c>
      <c r="N1346" s="6">
        <v>2</v>
      </c>
      <c r="O1346" s="7">
        <v>45536</v>
      </c>
      <c r="P1346" s="6">
        <v>17.34</v>
      </c>
      <c r="Q1346" s="6">
        <v>21297.18</v>
      </c>
      <c r="R1346" s="7">
        <v>45536</v>
      </c>
      <c r="S1346" s="6">
        <v>2750.49</v>
      </c>
      <c r="T1346" s="6">
        <v>374.71</v>
      </c>
      <c r="U1346" s="7">
        <v>45536</v>
      </c>
      <c r="V1346" s="6">
        <v>57.36</v>
      </c>
      <c r="W1346" s="6">
        <f ca="1">IFERROR(__xludf.DUMMYFUNCTION("IFERROR(GOOGLEFINANCE(B1346,""pe""),V1346)"),44.28)</f>
        <v>44.28</v>
      </c>
      <c r="X1346" s="6">
        <v>3.17</v>
      </c>
      <c r="Y1346" s="6">
        <v>10.45</v>
      </c>
      <c r="Z1346" s="6">
        <v>2</v>
      </c>
      <c r="AA1346" s="8">
        <v>45352</v>
      </c>
      <c r="AB1346" s="4">
        <v>0.01</v>
      </c>
      <c r="AC1346" s="6">
        <v>20.05</v>
      </c>
      <c r="AD1346" s="6">
        <v>26.53</v>
      </c>
      <c r="AE1346" s="1">
        <v>0</v>
      </c>
      <c r="AF1346" s="1">
        <f ca="1">IFERROR(__xludf.DUMMYFUNCTION("IFERROR(GOOGLEFINANCE(TRIM(F1346)&amp;"":"" &amp; TRIM(B1346),""high52""),AE1346)"),1936.9)</f>
        <v>1936.9</v>
      </c>
      <c r="AG1346" s="1">
        <v>0</v>
      </c>
      <c r="AH1346" s="1">
        <f ca="1">IFERROR(__xludf.DUMMYFUNCTION("IFERROR(GOOGLEFINANCE(TRIM(F1346)&amp;"":"" &amp; TRIM(B1346),""low52""),AE1346)"),1356.05)</f>
        <v>1356.05</v>
      </c>
      <c r="AI1346" s="1">
        <f ca="1">IFERROR(__xludf.DUMMYFUNCTION("IFERROR(GOOGLEFINANCE(B1346,""eps""),0)"),34.38)</f>
        <v>34.380000000000003</v>
      </c>
      <c r="AJ1346" s="1"/>
      <c r="AK1346" s="9"/>
      <c r="AL1346" s="1" t="b">
        <f>ISBLANK(AB1346)</f>
        <v>0</v>
      </c>
    </row>
    <row r="1347" spans="1:38" ht="15" x14ac:dyDescent="0.25">
      <c r="A1347" s="1" t="s">
        <v>4065</v>
      </c>
      <c r="B1347" s="1" t="s">
        <v>4066</v>
      </c>
      <c r="C1347" s="1" t="s">
        <v>324</v>
      </c>
      <c r="D1347" s="1" t="s">
        <v>324</v>
      </c>
      <c r="E1347" s="6">
        <v>1204.8</v>
      </c>
      <c r="F1347" s="1" t="s">
        <v>40</v>
      </c>
      <c r="G1347" s="6">
        <f ca="1">IFERROR(__xludf.DUMMYFUNCTION("iferror(GOOGLEFINANCE(TRIM(F1347)&amp;"":"" &amp; TRIM(B1347), ""price""),0
)"),164)</f>
        <v>164</v>
      </c>
      <c r="H1347" s="6">
        <v>202.8</v>
      </c>
      <c r="I1347" s="6">
        <f t="shared" ca="1" si="0"/>
        <v>164</v>
      </c>
      <c r="J1347" s="6">
        <f ca="1">IFERROR(__xludf.DUMMYFUNCTION("IFERROR(GOOGLEFINANCE(B1347, ""volume""), 0)"),1374965)</f>
        <v>1374965</v>
      </c>
      <c r="K1347" s="6">
        <v>1.81</v>
      </c>
      <c r="L1347" s="6">
        <f ca="1">IFERROR(__xludf.DUMMYFUNCTION("IFERROR(GOOGLEFINANCE(B1347,""changepct""),K1347)"),-0.07)</f>
        <v>-7.0000000000000007E-2</v>
      </c>
      <c r="M1347" s="6">
        <f ca="1">IFERROR(__xludf.DUMMYFUNCTION("IFERROR(GOOGLEFINANCE(B1347,""change""),0)"),-0.12)</f>
        <v>-0.12</v>
      </c>
      <c r="N1347" s="6">
        <v>2</v>
      </c>
      <c r="O1347" s="7">
        <v>45536</v>
      </c>
      <c r="P1347" s="6">
        <v>212.51</v>
      </c>
      <c r="Q1347" s="6">
        <v>1403.3</v>
      </c>
      <c r="R1347" s="7">
        <v>45536</v>
      </c>
      <c r="S1347" s="6">
        <v>1473.98</v>
      </c>
      <c r="T1347" s="6">
        <v>63.88</v>
      </c>
      <c r="U1347" s="7">
        <v>45536</v>
      </c>
      <c r="V1347" s="6">
        <v>18.86</v>
      </c>
      <c r="W1347" s="6">
        <f ca="1">IFERROR(__xludf.DUMMYFUNCTION("IFERROR(GOOGLEFINANCE(B1347,""pe""),V1347)"),51.71)</f>
        <v>51.71</v>
      </c>
      <c r="X1347" s="6">
        <v>0.41</v>
      </c>
      <c r="Y1347" s="6">
        <v>3.1</v>
      </c>
      <c r="Z1347" s="6">
        <v>2</v>
      </c>
      <c r="AA1347" s="8">
        <v>45352</v>
      </c>
      <c r="AB1347" s="4">
        <v>1.2</v>
      </c>
      <c r="AC1347" s="6">
        <v>20.21</v>
      </c>
      <c r="AD1347" s="6">
        <v>14.36</v>
      </c>
      <c r="AE1347" s="1">
        <v>0</v>
      </c>
      <c r="AF1347" s="1">
        <f ca="1">IFERROR(__xludf.DUMMYFUNCTION("IFERROR(GOOGLEFINANCE(TRIM(F1347)&amp;"":"" &amp; TRIM(B1347),""high52""),AE1347)"),185.45)</f>
        <v>185.45</v>
      </c>
      <c r="AG1347" s="1">
        <v>0</v>
      </c>
      <c r="AH1347" s="1">
        <f ca="1">IFERROR(__xludf.DUMMYFUNCTION("IFERROR(GOOGLEFINANCE(TRIM(F1347)&amp;"":"" &amp; TRIM(B1347),""low52""),AE1347)"),65.82)</f>
        <v>65.819999999999993</v>
      </c>
      <c r="AI1347" s="1">
        <f ca="1">IFERROR(__xludf.DUMMYFUNCTION("IFERROR(GOOGLEFINANCE(B1347,""eps""),0)"),3.17)</f>
        <v>3.17</v>
      </c>
      <c r="AJ1347" s="1"/>
      <c r="AK1347" s="1" t="s">
        <v>4067</v>
      </c>
      <c r="AL1347" s="9">
        <f t="shared" ref="AL1347:AL1385" si="185">IF(AA1347&lt;&gt;AB1347,1,0)</f>
        <v>1</v>
      </c>
    </row>
    <row r="1348" spans="1:38" ht="15" x14ac:dyDescent="0.25">
      <c r="A1348" s="1" t="s">
        <v>4068</v>
      </c>
      <c r="B1348" s="1" t="s">
        <v>4069</v>
      </c>
      <c r="C1348" s="1" t="s">
        <v>801</v>
      </c>
      <c r="D1348" s="1" t="s">
        <v>801</v>
      </c>
      <c r="E1348" s="6">
        <v>1820.24</v>
      </c>
      <c r="F1348" s="1" t="s">
        <v>40</v>
      </c>
      <c r="G1348" s="6">
        <f ca="1">IFERROR(__xludf.DUMMYFUNCTION("iferror(GOOGLEFINANCE(TRIM(F1348)&amp;"":"" &amp; TRIM(B1348), ""price""),0
)"),1700)</f>
        <v>1700</v>
      </c>
      <c r="H1348" s="6">
        <v>3440.4</v>
      </c>
      <c r="I1348" s="6">
        <f t="shared" ca="1" si="0"/>
        <v>1700</v>
      </c>
      <c r="J1348" s="6">
        <f ca="1">IFERROR(__xludf.DUMMYFUNCTION("IFERROR(GOOGLEFINANCE(B1348, ""volume""), 0)"),1988)</f>
        <v>1988</v>
      </c>
      <c r="K1348" s="6">
        <v>0.84</v>
      </c>
      <c r="L1348" s="6">
        <f ca="1">IFERROR(__xludf.DUMMYFUNCTION("IFERROR(GOOGLEFINANCE(B1348,""changepct""),K1348)"),0.94)</f>
        <v>0.94</v>
      </c>
      <c r="M1348" s="6">
        <f ca="1">IFERROR(__xludf.DUMMYFUNCTION("IFERROR(GOOGLEFINANCE(B1348,""change""),0)"),15.9)</f>
        <v>15.9</v>
      </c>
      <c r="N1348" s="6">
        <v>2</v>
      </c>
      <c r="O1348" s="7">
        <v>45536</v>
      </c>
      <c r="P1348" s="6">
        <v>115.49</v>
      </c>
      <c r="Q1348" s="6">
        <v>1935.47</v>
      </c>
      <c r="R1348" s="7">
        <v>45536</v>
      </c>
      <c r="S1348" s="6">
        <v>505.48</v>
      </c>
      <c r="T1348" s="6">
        <v>22.86</v>
      </c>
      <c r="U1348" s="7">
        <v>45536</v>
      </c>
      <c r="V1348" s="6">
        <v>79.64</v>
      </c>
      <c r="W1348" s="6">
        <f ca="1">IFERROR(__xludf.DUMMYFUNCTION("IFERROR(GOOGLEFINANCE(B1348,""pe""),V1348)"),32.94)</f>
        <v>32.94</v>
      </c>
      <c r="X1348" s="6">
        <v>2.2400000000000002</v>
      </c>
      <c r="Y1348" s="6">
        <v>10.89</v>
      </c>
      <c r="Z1348" s="6">
        <v>2</v>
      </c>
      <c r="AA1348" s="8">
        <v>45352</v>
      </c>
      <c r="AB1348" s="4">
        <v>0.68</v>
      </c>
      <c r="AC1348" s="6">
        <v>14.41</v>
      </c>
      <c r="AD1348" s="6">
        <v>14.55</v>
      </c>
      <c r="AE1348" s="1">
        <v>0</v>
      </c>
      <c r="AF1348" s="1">
        <f ca="1">IFERROR(__xludf.DUMMYFUNCTION("IFERROR(GOOGLEFINANCE(TRIM(F1348)&amp;"":"" &amp; TRIM(B1348),""high52""),AE1348)"),3224.95)</f>
        <v>3224.95</v>
      </c>
      <c r="AG1348" s="1">
        <v>0</v>
      </c>
      <c r="AH1348" s="1">
        <f ca="1">IFERROR(__xludf.DUMMYFUNCTION("IFERROR(GOOGLEFINANCE(TRIM(F1348)&amp;"":"" &amp; TRIM(B1348),""low52""),AE1348)"),1500)</f>
        <v>1500</v>
      </c>
      <c r="AI1348" s="1">
        <f ca="1">IFERROR(__xludf.DUMMYFUNCTION("IFERROR(GOOGLEFINANCE(B1348,""eps""),0)"),51.61)</f>
        <v>51.61</v>
      </c>
      <c r="AJ1348" s="1"/>
      <c r="AK1348" s="9"/>
      <c r="AL1348" s="9">
        <f t="shared" si="185"/>
        <v>1</v>
      </c>
    </row>
    <row r="1349" spans="1:38" ht="15" x14ac:dyDescent="0.25">
      <c r="A1349" s="1" t="s">
        <v>4070</v>
      </c>
      <c r="B1349" s="1" t="s">
        <v>4071</v>
      </c>
      <c r="C1349" s="1" t="s">
        <v>86</v>
      </c>
      <c r="D1349" s="1" t="s">
        <v>86</v>
      </c>
      <c r="E1349" s="6">
        <v>354.6</v>
      </c>
      <c r="F1349" s="1" t="s">
        <v>53</v>
      </c>
      <c r="G1349" s="6">
        <f ca="1">IFERROR(__xludf.DUMMYFUNCTION("iferror(GOOGLEFINANCE(TRIM(F1349)&amp;"":"" &amp; TRIM(B1349), ""price""),0
)"),0)</f>
        <v>0</v>
      </c>
      <c r="H1349" s="6">
        <v>160</v>
      </c>
      <c r="I1349" s="6">
        <f t="shared" ca="1" si="0"/>
        <v>160</v>
      </c>
      <c r="J1349" s="6">
        <f ca="1">IFERROR(__xludf.DUMMYFUNCTION("IFERROR(GOOGLEFINANCE(B1349, ""volume""), 0)"),37481)</f>
        <v>37481</v>
      </c>
      <c r="K1349" s="6">
        <v>-0.71</v>
      </c>
      <c r="L1349" s="6">
        <f ca="1">IFERROR(__xludf.DUMMYFUNCTION("IFERROR(GOOGLEFINANCE(B1349,""changepct""),K1349)"),0.55)</f>
        <v>0.55000000000000004</v>
      </c>
      <c r="M1349" s="6">
        <f ca="1">IFERROR(__xludf.DUMMYFUNCTION("IFERROR(GOOGLEFINANCE(B1349,""change""),0)"),0.75)</f>
        <v>0.75</v>
      </c>
      <c r="N1349" s="6">
        <v>1</v>
      </c>
      <c r="O1349" s="7">
        <v>45536</v>
      </c>
      <c r="P1349" s="6">
        <v>55.8</v>
      </c>
      <c r="Q1349" s="6">
        <v>410.4</v>
      </c>
      <c r="R1349" s="7">
        <v>45352</v>
      </c>
      <c r="S1349" s="6">
        <v>347.29</v>
      </c>
      <c r="T1349" s="6">
        <v>17.3</v>
      </c>
      <c r="U1349" s="7">
        <v>45352</v>
      </c>
      <c r="V1349" s="6">
        <v>20.49</v>
      </c>
      <c r="W1349" s="6">
        <f ca="1">IFERROR(__xludf.DUMMYFUNCTION("IFERROR(GOOGLEFINANCE(B1349,""pe""),V1349)"),11.84)</f>
        <v>11.84</v>
      </c>
      <c r="X1349" s="12"/>
      <c r="Y1349" s="6">
        <v>2.37</v>
      </c>
      <c r="Z1349" s="6">
        <v>2</v>
      </c>
      <c r="AA1349" s="8">
        <v>45352</v>
      </c>
      <c r="AB1349" s="4">
        <v>0.57999999999999996</v>
      </c>
      <c r="AC1349" s="6">
        <v>18.11</v>
      </c>
      <c r="AD1349" s="6">
        <v>21.79</v>
      </c>
      <c r="AE1349" s="1">
        <v>0</v>
      </c>
      <c r="AF1349" s="1">
        <f ca="1">IFERROR(__xludf.DUMMYFUNCTION("IFERROR(GOOGLEFINANCE(TRIM(F1349)&amp;"":"" &amp; TRIM(B1349),""high52""),AE1349)"),0)</f>
        <v>0</v>
      </c>
      <c r="AG1349" s="1">
        <v>0</v>
      </c>
      <c r="AH1349" s="1">
        <f ca="1">IFERROR(__xludf.DUMMYFUNCTION("IFERROR(GOOGLEFINANCE(TRIM(F1349)&amp;"":"" &amp; TRIM(B1349),""low52""),AE1349)"),0)</f>
        <v>0</v>
      </c>
      <c r="AI1349" s="1">
        <f ca="1">IFERROR(__xludf.DUMMYFUNCTION("IFERROR(GOOGLEFINANCE(B1349,""eps""),0)"),11.49)</f>
        <v>11.49</v>
      </c>
      <c r="AJ1349" s="1"/>
      <c r="AK1349" s="1" t="s">
        <v>4072</v>
      </c>
      <c r="AL1349" s="9">
        <f t="shared" si="185"/>
        <v>1</v>
      </c>
    </row>
    <row r="1350" spans="1:38" ht="15" x14ac:dyDescent="0.25">
      <c r="A1350" s="1" t="s">
        <v>4073</v>
      </c>
      <c r="B1350" s="1" t="s">
        <v>4074</v>
      </c>
      <c r="C1350" s="1" t="s">
        <v>483</v>
      </c>
      <c r="D1350" s="1" t="s">
        <v>483</v>
      </c>
      <c r="E1350" s="6">
        <v>154.63999999999999</v>
      </c>
      <c r="F1350" s="1" t="s">
        <v>40</v>
      </c>
      <c r="G1350" s="6">
        <f ca="1">IFERROR(__xludf.DUMMYFUNCTION("iferror(GOOGLEFINANCE(TRIM(F1350)&amp;"":"" &amp; TRIM(B1350), ""price""),0
)"),0)</f>
        <v>0</v>
      </c>
      <c r="H1350" s="6">
        <v>120.7</v>
      </c>
      <c r="I1350" s="6">
        <f t="shared" ca="1" si="0"/>
        <v>120.7</v>
      </c>
      <c r="J1350" s="6">
        <f ca="1">IFERROR(__xludf.DUMMYFUNCTION("IFERROR(GOOGLEFINANCE(B1350, ""volume""), 0)"),0)</f>
        <v>0</v>
      </c>
      <c r="K1350" s="9"/>
      <c r="L1350" s="6" t="str">
        <f ca="1">IFERROR(__xludf.DUMMYFUNCTION("IFERROR(GOOGLEFINANCE(B1350,""changepct""),K1350)"),"")</f>
        <v/>
      </c>
      <c r="M1350" s="6">
        <f ca="1">IFERROR(__xludf.DUMMYFUNCTION("IFERROR(GOOGLEFINANCE(B1350,""change""),0)"),0)</f>
        <v>0</v>
      </c>
      <c r="N1350" s="6">
        <v>1</v>
      </c>
      <c r="O1350" s="7">
        <v>45536</v>
      </c>
      <c r="P1350" s="6">
        <v>5.38</v>
      </c>
      <c r="Q1350" s="6">
        <v>160.01</v>
      </c>
      <c r="R1350" s="14"/>
      <c r="S1350" s="9"/>
      <c r="T1350" s="9"/>
      <c r="U1350" s="7">
        <v>45352</v>
      </c>
      <c r="V1350" s="6">
        <v>113.05</v>
      </c>
      <c r="W1350" s="6">
        <f ca="1">IFERROR(__xludf.DUMMYFUNCTION("IFERROR(GOOGLEFINANCE(B1350,""pe""),V1350)"),113.05)</f>
        <v>113.05</v>
      </c>
      <c r="X1350" s="9"/>
      <c r="Y1350" s="6">
        <v>7.02</v>
      </c>
      <c r="Z1350" s="6">
        <v>1</v>
      </c>
      <c r="AA1350" s="8">
        <v>45352</v>
      </c>
      <c r="AB1350" s="4">
        <v>0.49</v>
      </c>
      <c r="AC1350" s="6">
        <v>12.4</v>
      </c>
      <c r="AD1350" s="6">
        <v>15.75</v>
      </c>
      <c r="AE1350" s="1">
        <v>0</v>
      </c>
      <c r="AF1350" s="1">
        <f ca="1">IFERROR(__xludf.DUMMYFUNCTION("IFERROR(GOOGLEFINANCE(TRIM(F1350)&amp;"":"" &amp; TRIM(B1350),""high52""),AE1350)"),0)</f>
        <v>0</v>
      </c>
      <c r="AG1350" s="1">
        <v>0</v>
      </c>
      <c r="AH1350" s="1">
        <f ca="1">IFERROR(__xludf.DUMMYFUNCTION("IFERROR(GOOGLEFINANCE(TRIM(F1350)&amp;"":"" &amp; TRIM(B1350),""low52""),AE1350)"),0)</f>
        <v>0</v>
      </c>
      <c r="AI1350" s="1">
        <f ca="1">IFERROR(__xludf.DUMMYFUNCTION("IFERROR(GOOGLEFINANCE(B1350,""eps""),0)"),0)</f>
        <v>0</v>
      </c>
      <c r="AJ1350" s="1"/>
      <c r="AK1350" s="1" t="s">
        <v>4075</v>
      </c>
      <c r="AL1350" s="9">
        <f t="shared" si="185"/>
        <v>1</v>
      </c>
    </row>
    <row r="1351" spans="1:38" ht="15" x14ac:dyDescent="0.25">
      <c r="A1351" s="1" t="s">
        <v>4076</v>
      </c>
      <c r="B1351" s="1" t="s">
        <v>4077</v>
      </c>
      <c r="C1351" s="1" t="s">
        <v>57</v>
      </c>
      <c r="D1351" s="1" t="s">
        <v>57</v>
      </c>
      <c r="E1351" s="6">
        <v>160.88999999999999</v>
      </c>
      <c r="F1351" s="1" t="s">
        <v>40</v>
      </c>
      <c r="G1351" s="6">
        <f ca="1">IFERROR(__xludf.DUMMYFUNCTION("iferror(GOOGLEFINANCE(TRIM(F1351)&amp;"":"" &amp; TRIM(B1351), ""price""),0
)"),14.79)</f>
        <v>14.79</v>
      </c>
      <c r="H1351" s="6">
        <v>61.97</v>
      </c>
      <c r="I1351" s="6">
        <f t="shared" ca="1" si="0"/>
        <v>14.79</v>
      </c>
      <c r="J1351" s="6">
        <f ca="1">IFERROR(__xludf.DUMMYFUNCTION("IFERROR(GOOGLEFINANCE(B1351, ""volume""), 0)"),191000)</f>
        <v>191000</v>
      </c>
      <c r="K1351" s="6">
        <v>0.85</v>
      </c>
      <c r="L1351" s="6">
        <f ca="1">IFERROR(__xludf.DUMMYFUNCTION("IFERROR(GOOGLEFINANCE(B1351,""changepct""),K1351)"),-12.5)</f>
        <v>-12.5</v>
      </c>
      <c r="M1351" s="6">
        <f ca="1">IFERROR(__xludf.DUMMYFUNCTION("IFERROR(GOOGLEFINANCE(B1351,""change""),0)"),0)</f>
        <v>0</v>
      </c>
      <c r="N1351" s="6">
        <v>2</v>
      </c>
      <c r="O1351" s="7">
        <v>45536</v>
      </c>
      <c r="P1351" s="6">
        <v>11.92</v>
      </c>
      <c r="Q1351" s="6">
        <v>164.96</v>
      </c>
      <c r="R1351" s="7">
        <v>45536</v>
      </c>
      <c r="S1351" s="6">
        <v>123.26</v>
      </c>
      <c r="T1351" s="6">
        <v>7.13</v>
      </c>
      <c r="U1351" s="7">
        <v>45536</v>
      </c>
      <c r="V1351" s="6">
        <v>22.56</v>
      </c>
      <c r="W1351" s="6">
        <f ca="1">IFERROR(__xludf.DUMMYFUNCTION("IFERROR(GOOGLEFINANCE(B1351,""pe""),V1351)"),22.56)</f>
        <v>22.56</v>
      </c>
      <c r="X1351" s="6">
        <v>-2.65</v>
      </c>
      <c r="Y1351" s="6">
        <v>0.46</v>
      </c>
      <c r="Z1351" s="6">
        <v>2</v>
      </c>
      <c r="AA1351" s="8">
        <v>45352</v>
      </c>
      <c r="AB1351" s="4">
        <v>0.03</v>
      </c>
      <c r="AC1351" s="6">
        <v>2.72</v>
      </c>
      <c r="AD1351" s="6">
        <v>3.47</v>
      </c>
      <c r="AE1351" s="1">
        <v>0</v>
      </c>
      <c r="AF1351" s="1">
        <f ca="1">IFERROR(__xludf.DUMMYFUNCTION("IFERROR(GOOGLEFINANCE(TRIM(F1351)&amp;"":"" &amp; TRIM(B1351),""high52""),AE1351)"),59.9)</f>
        <v>59.9</v>
      </c>
      <c r="AG1351" s="1">
        <v>0</v>
      </c>
      <c r="AH1351" s="1">
        <f ca="1">IFERROR(__xludf.DUMMYFUNCTION("IFERROR(GOOGLEFINANCE(TRIM(F1351)&amp;"":"" &amp; TRIM(B1351),""low52""),AE1351)"),14)</f>
        <v>14</v>
      </c>
      <c r="AI1351" s="1">
        <f ca="1">IFERROR(__xludf.DUMMYFUNCTION("IFERROR(GOOGLEFINANCE(B1351,""eps""),0)"),0)</f>
        <v>0</v>
      </c>
      <c r="AJ1351" s="1"/>
      <c r="AK1351" s="1" t="s">
        <v>4078</v>
      </c>
      <c r="AL1351" s="9">
        <f t="shared" si="185"/>
        <v>1</v>
      </c>
    </row>
    <row r="1352" spans="1:38" ht="15" x14ac:dyDescent="0.25">
      <c r="A1352" s="1" t="s">
        <v>4079</v>
      </c>
      <c r="B1352" s="1" t="s">
        <v>4080</v>
      </c>
      <c r="C1352" s="1" t="s">
        <v>86</v>
      </c>
      <c r="D1352" s="1" t="s">
        <v>86</v>
      </c>
      <c r="E1352" s="6">
        <v>127.8</v>
      </c>
      <c r="F1352" s="1" t="s">
        <v>53</v>
      </c>
      <c r="G1352" s="6">
        <f ca="1">IFERROR(__xludf.DUMMYFUNCTION("iferror(GOOGLEFINANCE(TRIM(F1352)&amp;"":"" &amp; TRIM(B1352), ""price""),0
)"),0)</f>
        <v>0</v>
      </c>
      <c r="H1352" s="6">
        <v>53.67</v>
      </c>
      <c r="I1352" s="6">
        <f t="shared" ca="1" si="0"/>
        <v>53.67</v>
      </c>
      <c r="J1352" s="6">
        <f ca="1">IFERROR(__xludf.DUMMYFUNCTION("IFERROR(GOOGLEFINANCE(B1352, ""volume""), 0)"),0)</f>
        <v>0</v>
      </c>
      <c r="K1352" s="6">
        <v>4.99</v>
      </c>
      <c r="L1352" s="6">
        <f ca="1">IFERROR(__xludf.DUMMYFUNCTION("IFERROR(GOOGLEFINANCE(B1352,""changepct""),K1352)"),4.99)</f>
        <v>4.99</v>
      </c>
      <c r="M1352" s="6">
        <f ca="1">IFERROR(__xludf.DUMMYFUNCTION("IFERROR(GOOGLEFINANCE(B1352,""change""),0)"),0)</f>
        <v>0</v>
      </c>
      <c r="N1352" s="6">
        <v>1</v>
      </c>
      <c r="O1352" s="7">
        <v>45536</v>
      </c>
      <c r="P1352" s="6">
        <v>0.75</v>
      </c>
      <c r="Q1352" s="6">
        <v>128.55000000000001</v>
      </c>
      <c r="R1352" s="7">
        <v>45352</v>
      </c>
      <c r="S1352" s="6">
        <v>60.26</v>
      </c>
      <c r="T1352" s="6">
        <v>1.37</v>
      </c>
      <c r="U1352" s="7">
        <v>45352</v>
      </c>
      <c r="V1352" s="6">
        <v>93.18</v>
      </c>
      <c r="W1352" s="6">
        <f ca="1">IFERROR(__xludf.DUMMYFUNCTION("IFERROR(GOOGLEFINANCE(B1352,""pe""),V1352)"),93.18)</f>
        <v>93.18</v>
      </c>
      <c r="X1352" s="9"/>
      <c r="Y1352" s="6">
        <v>3.18</v>
      </c>
      <c r="Z1352" s="6">
        <v>2</v>
      </c>
      <c r="AA1352" s="8">
        <v>44986</v>
      </c>
      <c r="AB1352" s="4">
        <v>0.43</v>
      </c>
      <c r="AC1352" s="6">
        <v>4.7</v>
      </c>
      <c r="AD1352" s="6">
        <v>8.66</v>
      </c>
      <c r="AE1352" s="1">
        <v>0</v>
      </c>
      <c r="AF1352" s="1">
        <f ca="1">IFERROR(__xludf.DUMMYFUNCTION("IFERROR(GOOGLEFINANCE(TRIM(F1352)&amp;"":"" &amp; TRIM(B1352),""high52""),AE1352)"),0)</f>
        <v>0</v>
      </c>
      <c r="AG1352" s="1">
        <v>0</v>
      </c>
      <c r="AH1352" s="1">
        <f ca="1">IFERROR(__xludf.DUMMYFUNCTION("IFERROR(GOOGLEFINANCE(TRIM(F1352)&amp;"":"" &amp; TRIM(B1352),""low52""),AE1352)"),0)</f>
        <v>0</v>
      </c>
      <c r="AI1352" s="1">
        <f ca="1">IFERROR(__xludf.DUMMYFUNCTION("IFERROR(GOOGLEFINANCE(B1352,""eps""),0)"),0)</f>
        <v>0</v>
      </c>
      <c r="AJ1352" s="1"/>
      <c r="AK1352" s="1" t="s">
        <v>4081</v>
      </c>
      <c r="AL1352" s="9">
        <f t="shared" si="185"/>
        <v>1</v>
      </c>
    </row>
    <row r="1353" spans="1:38" ht="15" x14ac:dyDescent="0.25">
      <c r="A1353" s="1" t="s">
        <v>4082</v>
      </c>
      <c r="B1353" s="1" t="s">
        <v>4083</v>
      </c>
      <c r="C1353" s="1" t="s">
        <v>4084</v>
      </c>
      <c r="D1353" s="1" t="s">
        <v>4084</v>
      </c>
      <c r="E1353" s="6">
        <v>2600.25</v>
      </c>
      <c r="F1353" s="1" t="s">
        <v>40</v>
      </c>
      <c r="G1353" s="6">
        <f ca="1">IFERROR(__xludf.DUMMYFUNCTION("iferror(GOOGLEFINANCE(TRIM(F1353)&amp;"":"" &amp; TRIM(B1353), ""price""),0
)"),1.02)</f>
        <v>1.02</v>
      </c>
      <c r="H1353" s="6">
        <v>2.04</v>
      </c>
      <c r="I1353" s="6">
        <f t="shared" ca="1" si="0"/>
        <v>1.02</v>
      </c>
      <c r="J1353" s="6">
        <f ca="1">IFERROR(__xludf.DUMMYFUNCTION("IFERROR(GOOGLEFINANCE(B1353, ""volume""), 0)"),44497459)</f>
        <v>44497459</v>
      </c>
      <c r="K1353" s="6">
        <v>0.99</v>
      </c>
      <c r="L1353" s="6">
        <f ca="1">IFERROR(__xludf.DUMMYFUNCTION("IFERROR(GOOGLEFINANCE(B1353,""changepct""),K1353)"),0.99)</f>
        <v>0.99</v>
      </c>
      <c r="M1353" s="6">
        <f ca="1">IFERROR(__xludf.DUMMYFUNCTION("IFERROR(GOOGLEFINANCE(B1353,""change""),0)"),0.01)</f>
        <v>0.01</v>
      </c>
      <c r="N1353" s="6">
        <v>1</v>
      </c>
      <c r="O1353" s="7">
        <v>45536</v>
      </c>
      <c r="P1353" s="6">
        <v>3281.01</v>
      </c>
      <c r="Q1353" s="6">
        <v>5282.39</v>
      </c>
      <c r="R1353" s="7">
        <v>45536</v>
      </c>
      <c r="S1353" s="6">
        <v>1337.2</v>
      </c>
      <c r="T1353" s="6">
        <v>-825.44</v>
      </c>
      <c r="U1353" s="7">
        <v>45536</v>
      </c>
      <c r="V1353" s="6">
        <v>0</v>
      </c>
      <c r="W1353" s="6">
        <f ca="1">IFERROR(__xludf.DUMMYFUNCTION("IFERROR(GOOGLEFINANCE(B1353,""pe""),V1353)"),0)</f>
        <v>0</v>
      </c>
      <c r="X1353" s="6">
        <v>0</v>
      </c>
      <c r="Y1353" s="6">
        <v>-0.47</v>
      </c>
      <c r="Z1353" s="6">
        <v>1</v>
      </c>
      <c r="AA1353" s="8">
        <v>45352</v>
      </c>
      <c r="AB1353" s="4">
        <v>-0.66</v>
      </c>
      <c r="AC1353" s="6">
        <v>0</v>
      </c>
      <c r="AD1353" s="6">
        <v>0</v>
      </c>
      <c r="AE1353" s="1">
        <v>0</v>
      </c>
      <c r="AF1353" s="1">
        <f ca="1">IFERROR(__xludf.DUMMYFUNCTION("IFERROR(GOOGLEFINANCE(TRIM(F1353)&amp;"":"" &amp; TRIM(B1353),""high52""),AE1353)"),2.17)</f>
        <v>2.17</v>
      </c>
      <c r="AG1353" s="1">
        <v>0</v>
      </c>
      <c r="AH1353" s="1">
        <f ca="1">IFERROR(__xludf.DUMMYFUNCTION("IFERROR(GOOGLEFINANCE(TRIM(F1353)&amp;"":"" &amp; TRIM(B1353),""low52""),AE1353)"),0.98)</f>
        <v>0.98</v>
      </c>
      <c r="AI1353" s="1">
        <f ca="1">IFERROR(__xludf.DUMMYFUNCTION("IFERROR(GOOGLEFINANCE(B1353,""eps""),0)"),-0.68)</f>
        <v>-0.68</v>
      </c>
      <c r="AJ1353" s="1"/>
      <c r="AK1353" s="12"/>
      <c r="AL1353" s="9">
        <f t="shared" si="185"/>
        <v>1</v>
      </c>
    </row>
    <row r="1354" spans="1:38" ht="15" x14ac:dyDescent="0.25">
      <c r="A1354" s="1" t="s">
        <v>4085</v>
      </c>
      <c r="B1354" s="1" t="s">
        <v>4086</v>
      </c>
      <c r="C1354" s="1" t="s">
        <v>255</v>
      </c>
      <c r="D1354" s="1" t="s">
        <v>255</v>
      </c>
      <c r="E1354" s="6">
        <v>200.08</v>
      </c>
      <c r="F1354" s="1" t="s">
        <v>40</v>
      </c>
      <c r="G1354" s="6">
        <f ca="1">IFERROR(__xludf.DUMMYFUNCTION("iferror(GOOGLEFINANCE(TRIM(F1354)&amp;"":"" &amp; TRIM(B1354), ""price""),0
)"),6.97)</f>
        <v>6.97</v>
      </c>
      <c r="H1354" s="6">
        <v>12.76</v>
      </c>
      <c r="I1354" s="6">
        <f t="shared" ca="1" si="0"/>
        <v>6.97</v>
      </c>
      <c r="J1354" s="6">
        <f ca="1">IFERROR(__xludf.DUMMYFUNCTION("IFERROR(GOOGLEFINANCE(B1354, ""volume""), 0)"),112562)</f>
        <v>112562</v>
      </c>
      <c r="K1354" s="6">
        <v>0.31</v>
      </c>
      <c r="L1354" s="6">
        <f ca="1">IFERROR(__xludf.DUMMYFUNCTION("IFERROR(GOOGLEFINANCE(B1354,""changepct""),K1354)"),-0.43)</f>
        <v>-0.43</v>
      </c>
      <c r="M1354" s="6">
        <f ca="1">IFERROR(__xludf.DUMMYFUNCTION("IFERROR(GOOGLEFINANCE(B1354,""change""),0)"),-0.03)</f>
        <v>-0.03</v>
      </c>
      <c r="N1354" s="6">
        <v>1</v>
      </c>
      <c r="O1354" s="7">
        <v>45536</v>
      </c>
      <c r="P1354" s="6">
        <v>5625.44</v>
      </c>
      <c r="Q1354" s="6">
        <v>5815.97</v>
      </c>
      <c r="R1354" s="7">
        <v>45536</v>
      </c>
      <c r="S1354" s="6">
        <v>242.09</v>
      </c>
      <c r="T1354" s="6">
        <v>162.25</v>
      </c>
      <c r="U1354" s="7">
        <v>45536</v>
      </c>
      <c r="V1354" s="6">
        <v>1.23</v>
      </c>
      <c r="W1354" s="6">
        <f ca="1">IFERROR(__xludf.DUMMYFUNCTION("IFERROR(GOOGLEFINANCE(B1354,""pe""),V1354)"),1.23)</f>
        <v>1.23</v>
      </c>
      <c r="X1354" s="6">
        <v>7.0000000000000007E-2</v>
      </c>
      <c r="Y1354" s="6">
        <v>-0.03</v>
      </c>
      <c r="Z1354" s="6">
        <v>1</v>
      </c>
      <c r="AA1354" s="17">
        <v>45352</v>
      </c>
      <c r="AB1354" s="18">
        <v>-0.71</v>
      </c>
      <c r="AC1354" s="6">
        <v>0</v>
      </c>
      <c r="AD1354" s="6">
        <v>0</v>
      </c>
      <c r="AE1354" s="1">
        <v>0</v>
      </c>
      <c r="AF1354" s="1">
        <f ca="1">IFERROR(__xludf.DUMMYFUNCTION("IFERROR(GOOGLEFINANCE(TRIM(F1354)&amp;"":"" &amp; TRIM(B1354),""high52""),AE1354)"),13)</f>
        <v>13</v>
      </c>
      <c r="AG1354" s="1">
        <v>0</v>
      </c>
      <c r="AH1354" s="1">
        <f ca="1">IFERROR(__xludf.DUMMYFUNCTION("IFERROR(GOOGLEFINANCE(TRIM(F1354)&amp;"":"" &amp; TRIM(B1354),""low52""),AE1354)"),6.78)</f>
        <v>6.78</v>
      </c>
      <c r="AI1354" s="1">
        <f ca="1">IFERROR(__xludf.DUMMYFUNCTION("IFERROR(GOOGLEFINANCE(B1354,""eps""),0)"),-3.44)</f>
        <v>-3.44</v>
      </c>
      <c r="AJ1354" s="1"/>
      <c r="AK1354" s="1" t="s">
        <v>4087</v>
      </c>
      <c r="AL1354" s="9">
        <f t="shared" si="185"/>
        <v>1</v>
      </c>
    </row>
    <row r="1355" spans="1:38" ht="15" x14ac:dyDescent="0.25">
      <c r="A1355" s="1" t="s">
        <v>4088</v>
      </c>
      <c r="B1355" s="1" t="s">
        <v>4089</v>
      </c>
      <c r="C1355" s="1" t="s">
        <v>1682</v>
      </c>
      <c r="D1355" s="1" t="s">
        <v>1682</v>
      </c>
      <c r="E1355" s="6">
        <v>1576.73</v>
      </c>
      <c r="F1355" s="1" t="s">
        <v>40</v>
      </c>
      <c r="G1355" s="6">
        <f ca="1">IFERROR(__xludf.DUMMYFUNCTION("iferror(GOOGLEFINANCE(TRIM(F1355)&amp;"":"" &amp; TRIM(B1355), ""price""),0
)"),77.51)</f>
        <v>77.510000000000005</v>
      </c>
      <c r="H1355" s="6">
        <v>140.05000000000001</v>
      </c>
      <c r="I1355" s="6">
        <f t="shared" ca="1" si="0"/>
        <v>77.510000000000005</v>
      </c>
      <c r="J1355" s="6">
        <f ca="1">IFERROR(__xludf.DUMMYFUNCTION("IFERROR(GOOGLEFINANCE(B1355, ""volume""), 0)"),12657)</f>
        <v>12657</v>
      </c>
      <c r="K1355" s="6">
        <v>-0.18</v>
      </c>
      <c r="L1355" s="6">
        <f ca="1">IFERROR(__xludf.DUMMYFUNCTION("IFERROR(GOOGLEFINANCE(B1355,""changepct""),K1355)"),-0.37)</f>
        <v>-0.37</v>
      </c>
      <c r="M1355" s="6">
        <f ca="1">IFERROR(__xludf.DUMMYFUNCTION("IFERROR(GOOGLEFINANCE(B1355,""change""),0)"),-0.29)</f>
        <v>-0.28999999999999998</v>
      </c>
      <c r="N1355" s="6">
        <v>2</v>
      </c>
      <c r="O1355" s="7">
        <v>45536</v>
      </c>
      <c r="P1355" s="6">
        <v>268.66000000000003</v>
      </c>
      <c r="Q1355" s="6">
        <v>1708.15</v>
      </c>
      <c r="R1355" s="7">
        <v>45536</v>
      </c>
      <c r="S1355" s="6">
        <v>3357.8</v>
      </c>
      <c r="T1355" s="6">
        <v>69</v>
      </c>
      <c r="U1355" s="7">
        <v>45536</v>
      </c>
      <c r="V1355" s="6">
        <v>24.66</v>
      </c>
      <c r="W1355" s="6">
        <f ca="1">IFERROR(__xludf.DUMMYFUNCTION("IFERROR(GOOGLEFINANCE(B1355,""pe""),V1355)"),20.99)</f>
        <v>20.99</v>
      </c>
      <c r="X1355" s="6">
        <v>1.79</v>
      </c>
      <c r="Y1355" s="6">
        <v>1.38</v>
      </c>
      <c r="Z1355" s="6">
        <v>2</v>
      </c>
      <c r="AA1355" s="8">
        <v>45352</v>
      </c>
      <c r="AB1355" s="4">
        <v>0.2</v>
      </c>
      <c r="AC1355" s="6">
        <v>9.8800000000000008</v>
      </c>
      <c r="AD1355" s="6">
        <v>13.2</v>
      </c>
      <c r="AE1355" s="1">
        <v>0</v>
      </c>
      <c r="AF1355" s="1">
        <f ca="1">IFERROR(__xludf.DUMMYFUNCTION("IFERROR(GOOGLEFINANCE(TRIM(F1355)&amp;"":"" &amp; TRIM(B1355),""high52""),AE1355)"),133.4)</f>
        <v>133.4</v>
      </c>
      <c r="AG1355" s="1">
        <v>0</v>
      </c>
      <c r="AH1355" s="1">
        <f ca="1">IFERROR(__xludf.DUMMYFUNCTION("IFERROR(GOOGLEFINANCE(TRIM(F1355)&amp;"":"" &amp; TRIM(B1355),""low52""),AE1355)"),76.2)</f>
        <v>76.2</v>
      </c>
      <c r="AI1355" s="1">
        <f ca="1">IFERROR(__xludf.DUMMYFUNCTION("IFERROR(GOOGLEFINANCE(B1355,""eps""),0)"),3.69)</f>
        <v>3.69</v>
      </c>
      <c r="AJ1355" s="1"/>
      <c r="AK1355" s="9"/>
      <c r="AL1355" s="9">
        <f t="shared" si="185"/>
        <v>1</v>
      </c>
    </row>
    <row r="1356" spans="1:38" ht="15" x14ac:dyDescent="0.25">
      <c r="A1356" s="1" t="s">
        <v>4090</v>
      </c>
      <c r="B1356" s="1" t="s">
        <v>4091</v>
      </c>
      <c r="C1356" s="1" t="s">
        <v>106</v>
      </c>
      <c r="D1356" s="1" t="s">
        <v>106</v>
      </c>
      <c r="E1356" s="6">
        <v>4664.41</v>
      </c>
      <c r="F1356" s="1" t="s">
        <v>40</v>
      </c>
      <c r="G1356" s="6">
        <f ca="1">IFERROR(__xludf.DUMMYFUNCTION("iferror(GOOGLEFINANCE(TRIM(F1356)&amp;"":"" &amp; TRIM(B1356), ""price""),0
)"),296.5)</f>
        <v>296.5</v>
      </c>
      <c r="H1356" s="6">
        <v>462.15</v>
      </c>
      <c r="I1356" s="6">
        <f t="shared" ca="1" si="0"/>
        <v>296.5</v>
      </c>
      <c r="J1356" s="6">
        <f ca="1">IFERROR(__xludf.DUMMYFUNCTION("IFERROR(GOOGLEFINANCE(B1356, ""volume""), 0)"),34197)</f>
        <v>34197</v>
      </c>
      <c r="K1356" s="6">
        <v>-0.6</v>
      </c>
      <c r="L1356" s="6">
        <f ca="1">IFERROR(__xludf.DUMMYFUNCTION("IFERROR(GOOGLEFINANCE(B1356,""changepct""),K1356)"),-1.82)</f>
        <v>-1.82</v>
      </c>
      <c r="M1356" s="6">
        <f ca="1">IFERROR(__xludf.DUMMYFUNCTION("IFERROR(GOOGLEFINANCE(B1356,""change""),0)"),-5.5)</f>
        <v>-5.5</v>
      </c>
      <c r="N1356" s="6">
        <v>2</v>
      </c>
      <c r="O1356" s="7">
        <v>45536</v>
      </c>
      <c r="P1356" s="6">
        <v>283.60000000000002</v>
      </c>
      <c r="Q1356" s="6">
        <v>4928.6099999999997</v>
      </c>
      <c r="R1356" s="7">
        <v>45536</v>
      </c>
      <c r="S1356" s="6">
        <v>803.76</v>
      </c>
      <c r="T1356" s="6">
        <v>84.93</v>
      </c>
      <c r="U1356" s="7">
        <v>45536</v>
      </c>
      <c r="V1356" s="6">
        <v>54.92</v>
      </c>
      <c r="W1356" s="6">
        <f ca="1">IFERROR(__xludf.DUMMYFUNCTION("IFERROR(GOOGLEFINANCE(B1356,""pe""),V1356)"),52.22)</f>
        <v>52.22</v>
      </c>
      <c r="X1356" s="9"/>
      <c r="Y1356" s="6">
        <v>8.1199999999999992</v>
      </c>
      <c r="Z1356" s="6">
        <v>2</v>
      </c>
      <c r="AA1356" s="8">
        <v>45352</v>
      </c>
      <c r="AB1356" s="4">
        <v>0.6</v>
      </c>
      <c r="AC1356" s="6">
        <v>16.170000000000002</v>
      </c>
      <c r="AD1356" s="6">
        <v>15.42</v>
      </c>
      <c r="AE1356" s="1">
        <v>0</v>
      </c>
      <c r="AF1356" s="1">
        <f ca="1">IFERROR(__xludf.DUMMYFUNCTION("IFERROR(GOOGLEFINANCE(TRIM(F1356)&amp;"":"" &amp; TRIM(B1356),""high52""),AE1356)"),444.5)</f>
        <v>444.5</v>
      </c>
      <c r="AG1356" s="1">
        <v>0</v>
      </c>
      <c r="AH1356" s="1">
        <f ca="1">IFERROR(__xludf.DUMMYFUNCTION("IFERROR(GOOGLEFINANCE(TRIM(F1356)&amp;"":"" &amp; TRIM(B1356),""low52""),AE1356)"),290.25)</f>
        <v>290.25</v>
      </c>
      <c r="AI1356" s="1">
        <f ca="1">IFERROR(__xludf.DUMMYFUNCTION("IFERROR(GOOGLEFINANCE(B1356,""eps""),0)"),5.68)</f>
        <v>5.68</v>
      </c>
      <c r="AJ1356" s="1"/>
      <c r="AK1356" s="9"/>
      <c r="AL1356" s="9">
        <f t="shared" si="185"/>
        <v>1</v>
      </c>
    </row>
    <row r="1357" spans="1:38" ht="15" x14ac:dyDescent="0.25">
      <c r="A1357" s="1" t="s">
        <v>4092</v>
      </c>
      <c r="B1357" s="1" t="s">
        <v>4093</v>
      </c>
      <c r="C1357" s="1" t="s">
        <v>86</v>
      </c>
      <c r="D1357" s="1" t="s">
        <v>86</v>
      </c>
      <c r="E1357" s="6">
        <v>645.41999999999996</v>
      </c>
      <c r="F1357" s="1" t="s">
        <v>53</v>
      </c>
      <c r="G1357" s="6">
        <f ca="1">IFERROR(__xludf.DUMMYFUNCTION("iferror(GOOGLEFINANCE(TRIM(F1357)&amp;"":"" &amp; TRIM(B1357), ""price""),0
)"),0)</f>
        <v>0</v>
      </c>
      <c r="H1357" s="6">
        <v>260</v>
      </c>
      <c r="I1357" s="6">
        <f t="shared" ca="1" si="0"/>
        <v>260</v>
      </c>
      <c r="J1357" s="6">
        <f ca="1">IFERROR(__xludf.DUMMYFUNCTION("IFERROR(GOOGLEFINANCE(B1357, ""volume""), 0)"),0)</f>
        <v>0</v>
      </c>
      <c r="K1357" s="12"/>
      <c r="L1357" s="6" t="str">
        <f ca="1">IFERROR(__xludf.DUMMYFUNCTION("IFERROR(GOOGLEFINANCE(B1357,""changepct""),K1357)"),"")</f>
        <v/>
      </c>
      <c r="M1357" s="6">
        <f ca="1">IFERROR(__xludf.DUMMYFUNCTION("IFERROR(GOOGLEFINANCE(B1357,""change""),0)"),0)</f>
        <v>0</v>
      </c>
      <c r="N1357" s="6">
        <v>1</v>
      </c>
      <c r="O1357" s="7">
        <v>45536</v>
      </c>
      <c r="P1357" s="6">
        <v>86.4</v>
      </c>
      <c r="Q1357" s="6">
        <v>731.82</v>
      </c>
      <c r="R1357" s="7">
        <v>45352</v>
      </c>
      <c r="S1357" s="6">
        <v>63.12</v>
      </c>
      <c r="T1357" s="6">
        <v>5.58</v>
      </c>
      <c r="U1357" s="7">
        <v>45352</v>
      </c>
      <c r="V1357" s="6">
        <v>115.56</v>
      </c>
      <c r="W1357" s="6">
        <f ca="1">IFERROR(__xludf.DUMMYFUNCTION("IFERROR(GOOGLEFINANCE(B1357,""pe""),V1357)"),115.56)</f>
        <v>115.56</v>
      </c>
      <c r="X1357" s="9"/>
      <c r="Y1357" s="6">
        <v>40.909999999999997</v>
      </c>
      <c r="Z1357" s="6">
        <v>1</v>
      </c>
      <c r="AA1357" s="8">
        <v>45352</v>
      </c>
      <c r="AB1357" s="4">
        <v>5.51</v>
      </c>
      <c r="AC1357" s="6">
        <v>43.02</v>
      </c>
      <c r="AD1357" s="6">
        <v>16.71</v>
      </c>
      <c r="AE1357" s="1">
        <v>0</v>
      </c>
      <c r="AF1357" s="1">
        <f ca="1">IFERROR(__xludf.DUMMYFUNCTION("IFERROR(GOOGLEFINANCE(TRIM(F1357)&amp;"":"" &amp; TRIM(B1357),""high52""),AE1357)"),0)</f>
        <v>0</v>
      </c>
      <c r="AG1357" s="1">
        <v>0</v>
      </c>
      <c r="AH1357" s="1">
        <f ca="1">IFERROR(__xludf.DUMMYFUNCTION("IFERROR(GOOGLEFINANCE(TRIM(F1357)&amp;"":"" &amp; TRIM(B1357),""low52""),AE1357)"),0)</f>
        <v>0</v>
      </c>
      <c r="AI1357" s="1">
        <f ca="1">IFERROR(__xludf.DUMMYFUNCTION("IFERROR(GOOGLEFINANCE(B1357,""eps""),0)"),0)</f>
        <v>0</v>
      </c>
      <c r="AJ1357" s="1"/>
      <c r="AK1357" s="1" t="s">
        <v>4094</v>
      </c>
      <c r="AL1357" s="9">
        <f t="shared" si="185"/>
        <v>1</v>
      </c>
    </row>
    <row r="1358" spans="1:38" ht="15" x14ac:dyDescent="0.25">
      <c r="A1358" s="1" t="s">
        <v>4095</v>
      </c>
      <c r="B1358" s="1" t="s">
        <v>4096</v>
      </c>
      <c r="C1358" s="1" t="s">
        <v>135</v>
      </c>
      <c r="D1358" s="1" t="s">
        <v>135</v>
      </c>
      <c r="E1358" s="6">
        <v>5480.97</v>
      </c>
      <c r="F1358" s="1" t="s">
        <v>40</v>
      </c>
      <c r="G1358" s="6">
        <f ca="1">IFERROR(__xludf.DUMMYFUNCTION("iferror(GOOGLEFINANCE(TRIM(F1358)&amp;"":"" &amp; TRIM(B1358), ""price""),0
)"),443.5)</f>
        <v>443.5</v>
      </c>
      <c r="H1358" s="6">
        <v>749.8</v>
      </c>
      <c r="I1358" s="6">
        <f t="shared" ca="1" si="0"/>
        <v>443.5</v>
      </c>
      <c r="J1358" s="6">
        <f ca="1">IFERROR(__xludf.DUMMYFUNCTION("IFERROR(GOOGLEFINANCE(B1358, ""volume""), 0)"),21902)</f>
        <v>21902</v>
      </c>
      <c r="K1358" s="6">
        <v>0.33</v>
      </c>
      <c r="L1358" s="6">
        <f ca="1">IFERROR(__xludf.DUMMYFUNCTION("IFERROR(GOOGLEFINANCE(B1358,""changepct""),K1358)"),-0.74)</f>
        <v>-0.74</v>
      </c>
      <c r="M1358" s="6">
        <f ca="1">IFERROR(__xludf.DUMMYFUNCTION("IFERROR(GOOGLEFINANCE(B1358,""change""),0)"),-3.3)</f>
        <v>-3.3</v>
      </c>
      <c r="N1358" s="6">
        <v>2</v>
      </c>
      <c r="O1358" s="7">
        <v>45536</v>
      </c>
      <c r="P1358" s="6">
        <v>602.1</v>
      </c>
      <c r="Q1358" s="6">
        <v>5809.65</v>
      </c>
      <c r="R1358" s="7">
        <v>45536</v>
      </c>
      <c r="S1358" s="6">
        <v>3890.55</v>
      </c>
      <c r="T1358" s="6">
        <v>-123.21</v>
      </c>
      <c r="U1358" s="7">
        <v>45536</v>
      </c>
      <c r="V1358" s="6">
        <v>0</v>
      </c>
      <c r="W1358" s="6">
        <f ca="1">IFERROR(__xludf.DUMMYFUNCTION("IFERROR(GOOGLEFINANCE(B1358,""pe""),V1358)"),21435.48)</f>
        <v>21435.48</v>
      </c>
      <c r="X1358" s="12"/>
      <c r="Y1358" s="6">
        <v>0.89</v>
      </c>
      <c r="Z1358" s="6">
        <v>2</v>
      </c>
      <c r="AA1358" s="8">
        <v>45352</v>
      </c>
      <c r="AB1358" s="4">
        <v>0.09</v>
      </c>
      <c r="AC1358" s="6">
        <v>-3.88</v>
      </c>
      <c r="AD1358" s="6">
        <v>-3.83</v>
      </c>
      <c r="AE1358" s="1">
        <v>0</v>
      </c>
      <c r="AF1358" s="1">
        <f ca="1">IFERROR(__xludf.DUMMYFUNCTION("IFERROR(GOOGLEFINANCE(TRIM(F1358)&amp;"":"" &amp; TRIM(B1358),""high52""),AE1358)"),699.85)</f>
        <v>699.85</v>
      </c>
      <c r="AG1358" s="1">
        <v>0</v>
      </c>
      <c r="AH1358" s="1">
        <f ca="1">IFERROR(__xludf.DUMMYFUNCTION("IFERROR(GOOGLEFINANCE(TRIM(F1358)&amp;"":"" &amp; TRIM(B1358),""low52""),AE1358)"),437.3)</f>
        <v>437.3</v>
      </c>
      <c r="AI1358" s="1">
        <f ca="1">IFERROR(__xludf.DUMMYFUNCTION("IFERROR(GOOGLEFINANCE(B1358,""eps""),0)"),0.02)</f>
        <v>0.02</v>
      </c>
      <c r="AJ1358" s="1"/>
      <c r="AK1358" s="1" t="s">
        <v>4097</v>
      </c>
      <c r="AL1358" s="9">
        <f t="shared" si="185"/>
        <v>1</v>
      </c>
    </row>
    <row r="1359" spans="1:38" ht="15" x14ac:dyDescent="0.25">
      <c r="A1359" s="1" t="s">
        <v>4098</v>
      </c>
      <c r="B1359" s="1" t="s">
        <v>4099</v>
      </c>
      <c r="C1359" s="1" t="s">
        <v>4100</v>
      </c>
      <c r="D1359" s="1" t="s">
        <v>4100</v>
      </c>
      <c r="E1359" s="6">
        <v>5737.97</v>
      </c>
      <c r="F1359" s="1" t="s">
        <v>40</v>
      </c>
      <c r="G1359" s="6">
        <f ca="1">IFERROR(__xludf.DUMMYFUNCTION("iferror(GOOGLEFINANCE(TRIM(F1359)&amp;"":"" &amp; TRIM(B1359), ""price""),0
)"),132.52)</f>
        <v>132.52000000000001</v>
      </c>
      <c r="H1359" s="6">
        <v>125.43</v>
      </c>
      <c r="I1359" s="6">
        <f t="shared" ca="1" si="0"/>
        <v>132.52000000000001</v>
      </c>
      <c r="J1359" s="6">
        <f ca="1">IFERROR(__xludf.DUMMYFUNCTION("IFERROR(GOOGLEFINANCE(B1359, ""volume""), 0)"),1695707)</f>
        <v>1695707</v>
      </c>
      <c r="K1359" s="6">
        <v>0.24</v>
      </c>
      <c r="L1359" s="6">
        <f ca="1">IFERROR(__xludf.DUMMYFUNCTION("IFERROR(GOOGLEFINANCE(B1359,""changepct""),K1359)"),-3.7)</f>
        <v>-3.7</v>
      </c>
      <c r="M1359" s="6">
        <f ca="1">IFERROR(__xludf.DUMMYFUNCTION("IFERROR(GOOGLEFINANCE(B1359,""change""),0)"),-5.09)</f>
        <v>-5.09</v>
      </c>
      <c r="N1359" s="6">
        <v>2</v>
      </c>
      <c r="O1359" s="7">
        <v>45536</v>
      </c>
      <c r="P1359" s="6">
        <v>156.01</v>
      </c>
      <c r="Q1359" s="6">
        <v>5841.78</v>
      </c>
      <c r="R1359" s="7">
        <v>45536</v>
      </c>
      <c r="S1359" s="6">
        <v>4863.2700000000004</v>
      </c>
      <c r="T1359" s="6">
        <v>338.22</v>
      </c>
      <c r="U1359" s="7">
        <v>45536</v>
      </c>
      <c r="V1359" s="6">
        <v>16.96</v>
      </c>
      <c r="W1359" s="6">
        <f ca="1">IFERROR(__xludf.DUMMYFUNCTION("IFERROR(GOOGLEFINANCE(B1359,""pe""),V1359)"),44.99)</f>
        <v>44.99</v>
      </c>
      <c r="X1359" s="9"/>
      <c r="Y1359" s="6">
        <v>1.98</v>
      </c>
      <c r="Z1359" s="6">
        <v>2</v>
      </c>
      <c r="AA1359" s="8">
        <v>45352</v>
      </c>
      <c r="AB1359" s="4">
        <v>7.0000000000000007E-2</v>
      </c>
      <c r="AC1359" s="6">
        <v>13.3</v>
      </c>
      <c r="AD1359" s="6">
        <v>16.59</v>
      </c>
      <c r="AE1359" s="1">
        <v>0</v>
      </c>
      <c r="AF1359" s="1">
        <f ca="1">IFERROR(__xludf.DUMMYFUNCTION("IFERROR(GOOGLEFINANCE(TRIM(F1359)&amp;"":"" &amp; TRIM(B1359),""high52""),AE1359)"),143.8)</f>
        <v>143.80000000000001</v>
      </c>
      <c r="AG1359" s="1">
        <v>0</v>
      </c>
      <c r="AH1359" s="1">
        <f ca="1">IFERROR(__xludf.DUMMYFUNCTION("IFERROR(GOOGLEFINANCE(TRIM(F1359)&amp;"":"" &amp; TRIM(B1359),""low52""),AE1359)"),98.72)</f>
        <v>98.72</v>
      </c>
      <c r="AI1359" s="1">
        <f ca="1">IFERROR(__xludf.DUMMYFUNCTION("IFERROR(GOOGLEFINANCE(B1359,""eps""),0)"),2.95)</f>
        <v>2.95</v>
      </c>
      <c r="AJ1359" s="1"/>
      <c r="AK1359" s="9"/>
      <c r="AL1359" s="9">
        <f t="shared" si="185"/>
        <v>1</v>
      </c>
    </row>
    <row r="1360" spans="1:38" ht="15" x14ac:dyDescent="0.25">
      <c r="A1360" s="1" t="s">
        <v>4101</v>
      </c>
      <c r="B1360" s="1" t="s">
        <v>4102</v>
      </c>
      <c r="C1360" s="1" t="s">
        <v>416</v>
      </c>
      <c r="D1360" s="1" t="s">
        <v>416</v>
      </c>
      <c r="E1360" s="6">
        <v>413.06</v>
      </c>
      <c r="F1360" s="1" t="s">
        <v>40</v>
      </c>
      <c r="G1360" s="6">
        <f ca="1">IFERROR(__xludf.DUMMYFUNCTION("iferror(GOOGLEFINANCE(TRIM(F1360)&amp;"":"" &amp; TRIM(B1360), ""price""),0
)"),398)</f>
        <v>398</v>
      </c>
      <c r="H1360" s="6">
        <v>344.2</v>
      </c>
      <c r="I1360" s="6">
        <f t="shared" ca="1" si="0"/>
        <v>398</v>
      </c>
      <c r="J1360" s="6">
        <f ca="1">IFERROR(__xludf.DUMMYFUNCTION("IFERROR(GOOGLEFINANCE(B1360, ""volume""), 0)"),4426)</f>
        <v>4426</v>
      </c>
      <c r="K1360" s="6">
        <v>-0.62</v>
      </c>
      <c r="L1360" s="6">
        <f ca="1">IFERROR(__xludf.DUMMYFUNCTION("IFERROR(GOOGLEFINANCE(B1360,""changepct""),K1360)"),1.13)</f>
        <v>1.1299999999999999</v>
      </c>
      <c r="M1360" s="6">
        <f ca="1">IFERROR(__xludf.DUMMYFUNCTION("IFERROR(GOOGLEFINANCE(B1360,""change""),0)"),4.45)</f>
        <v>4.45</v>
      </c>
      <c r="N1360" s="6">
        <v>2</v>
      </c>
      <c r="O1360" s="7">
        <v>45536</v>
      </c>
      <c r="P1360" s="6">
        <v>35.76</v>
      </c>
      <c r="Q1360" s="6">
        <v>447.89</v>
      </c>
      <c r="R1360" s="7">
        <v>45536</v>
      </c>
      <c r="S1360" s="6">
        <v>45.04</v>
      </c>
      <c r="T1360" s="6">
        <v>12.15</v>
      </c>
      <c r="U1360" s="7">
        <v>45536</v>
      </c>
      <c r="V1360" s="6">
        <v>36.299999999999997</v>
      </c>
      <c r="W1360" s="6">
        <f ca="1">IFERROR(__xludf.DUMMYFUNCTION("IFERROR(GOOGLEFINANCE(B1360,""pe""),V1360)"),36.3)</f>
        <v>36.299999999999997</v>
      </c>
      <c r="X1360" s="6">
        <v>-2.85</v>
      </c>
      <c r="Y1360" s="6">
        <v>0.85</v>
      </c>
      <c r="Z1360" s="6">
        <v>2</v>
      </c>
      <c r="AA1360" s="8">
        <v>45352</v>
      </c>
      <c r="AB1360" s="4">
        <v>0.04</v>
      </c>
      <c r="AC1360" s="6">
        <v>2.36</v>
      </c>
      <c r="AD1360" s="6">
        <v>3.1</v>
      </c>
      <c r="AE1360" s="1">
        <v>0</v>
      </c>
      <c r="AF1360" s="1">
        <f ca="1">IFERROR(__xludf.DUMMYFUNCTION("IFERROR(GOOGLEFINANCE(TRIM(F1360)&amp;"":"" &amp; TRIM(B1360),""high52""),AE1360)"),556)</f>
        <v>556</v>
      </c>
      <c r="AG1360" s="1">
        <v>0</v>
      </c>
      <c r="AH1360" s="1">
        <f ca="1">IFERROR(__xludf.DUMMYFUNCTION("IFERROR(GOOGLEFINANCE(TRIM(F1360)&amp;"":"" &amp; TRIM(B1360),""low52""),AE1360)"),246.55)</f>
        <v>246.55</v>
      </c>
      <c r="AI1360" s="1">
        <f ca="1">IFERROR(__xludf.DUMMYFUNCTION("IFERROR(GOOGLEFINANCE(B1360,""eps""),0)"),-2.51)</f>
        <v>-2.5099999999999998</v>
      </c>
      <c r="AJ1360" s="1"/>
      <c r="AK1360" s="9"/>
      <c r="AL1360" s="9">
        <f t="shared" si="185"/>
        <v>1</v>
      </c>
    </row>
    <row r="1361" spans="1:38" ht="15" x14ac:dyDescent="0.25">
      <c r="A1361" s="1" t="s">
        <v>4103</v>
      </c>
      <c r="B1361" s="1" t="s">
        <v>4104</v>
      </c>
      <c r="C1361" s="1" t="s">
        <v>135</v>
      </c>
      <c r="D1361" s="1" t="s">
        <v>135</v>
      </c>
      <c r="E1361" s="6">
        <v>46502.25</v>
      </c>
      <c r="F1361" s="1" t="s">
        <v>40</v>
      </c>
      <c r="G1361" s="6">
        <f ca="1">IFERROR(__xludf.DUMMYFUNCTION("iferror(GOOGLEFINANCE(TRIM(F1361)&amp;"":"" &amp; TRIM(B1361), ""price""),0
)"),3020)</f>
        <v>3020</v>
      </c>
      <c r="H1361" s="6">
        <v>4178.1499999999996</v>
      </c>
      <c r="I1361" s="6">
        <f t="shared" ca="1" si="0"/>
        <v>3020</v>
      </c>
      <c r="J1361" s="6">
        <f ca="1">IFERROR(__xludf.DUMMYFUNCTION("IFERROR(GOOGLEFINANCE(B1361, ""volume""), 0)"),70965)</f>
        <v>70965</v>
      </c>
      <c r="K1361" s="6">
        <v>-1.29</v>
      </c>
      <c r="L1361" s="6">
        <f ca="1">IFERROR(__xludf.DUMMYFUNCTION("IFERROR(GOOGLEFINANCE(B1361,""changepct""),K1361)"),1.68)</f>
        <v>1.68</v>
      </c>
      <c r="M1361" s="6">
        <f ca="1">IFERROR(__xludf.DUMMYFUNCTION("IFERROR(GOOGLEFINANCE(B1361,""change""),0)"),50)</f>
        <v>50</v>
      </c>
      <c r="N1361" s="6">
        <v>2</v>
      </c>
      <c r="O1361" s="7">
        <v>45536</v>
      </c>
      <c r="P1361" s="6">
        <v>2083</v>
      </c>
      <c r="Q1361" s="6">
        <v>48362.25</v>
      </c>
      <c r="R1361" s="7">
        <v>45536</v>
      </c>
      <c r="S1361" s="6">
        <v>4488.7700000000004</v>
      </c>
      <c r="T1361" s="6">
        <v>410.06</v>
      </c>
      <c r="U1361" s="7">
        <v>45536</v>
      </c>
      <c r="V1361" s="6">
        <v>113.4</v>
      </c>
      <c r="W1361" s="6">
        <f ca="1">IFERROR(__xludf.DUMMYFUNCTION("IFERROR(GOOGLEFINANCE(B1361,""pe""),V1361)"),48.78)</f>
        <v>48.78</v>
      </c>
      <c r="X1361" s="6">
        <v>-5.9</v>
      </c>
      <c r="Y1361" s="6">
        <v>7.57</v>
      </c>
      <c r="Z1361" s="6">
        <v>2</v>
      </c>
      <c r="AA1361" s="8">
        <v>45352</v>
      </c>
      <c r="AB1361" s="4">
        <v>0.34</v>
      </c>
      <c r="AC1361" s="6">
        <v>7.59</v>
      </c>
      <c r="AD1361" s="6">
        <v>9.76</v>
      </c>
      <c r="AE1361" s="1">
        <v>0</v>
      </c>
      <c r="AF1361" s="1">
        <f ca="1">IFERROR(__xludf.DUMMYFUNCTION("IFERROR(GOOGLEFINANCE(TRIM(F1361)&amp;"":"" &amp; TRIM(B1361),""high52""),AE1361)"),4083.55)</f>
        <v>4083.55</v>
      </c>
      <c r="AG1361" s="1">
        <v>0</v>
      </c>
      <c r="AH1361" s="1">
        <f ca="1">IFERROR(__xludf.DUMMYFUNCTION("IFERROR(GOOGLEFINANCE(TRIM(F1361)&amp;"":"" &amp; TRIM(B1361),""low52""),AE1361)"),2916.6)</f>
        <v>2916.6</v>
      </c>
      <c r="AI1361" s="1">
        <f ca="1">IFERROR(__xludf.DUMMYFUNCTION("IFERROR(GOOGLEFINANCE(B1361,""eps""),0)"),61.91)</f>
        <v>61.91</v>
      </c>
      <c r="AJ1361" s="1"/>
      <c r="AK1361" s="1" t="s">
        <v>4105</v>
      </c>
      <c r="AL1361" s="9">
        <f t="shared" si="185"/>
        <v>1</v>
      </c>
    </row>
    <row r="1362" spans="1:38" ht="15" x14ac:dyDescent="0.25">
      <c r="A1362" s="1" t="s">
        <v>4106</v>
      </c>
      <c r="B1362" s="1" t="s">
        <v>4107</v>
      </c>
      <c r="C1362" s="1" t="s">
        <v>309</v>
      </c>
      <c r="D1362" s="1" t="s">
        <v>309</v>
      </c>
      <c r="E1362" s="6">
        <v>34970.22</v>
      </c>
      <c r="F1362" s="1" t="s">
        <v>40</v>
      </c>
      <c r="G1362" s="6">
        <f ca="1">IFERROR(__xludf.DUMMYFUNCTION("iferror(GOOGLEFINANCE(TRIM(F1362)&amp;"":"" &amp; TRIM(B1362), ""price""),0
)"),415)</f>
        <v>415</v>
      </c>
      <c r="H1362" s="6">
        <v>513.9</v>
      </c>
      <c r="I1362" s="6">
        <f t="shared" ca="1" si="0"/>
        <v>415</v>
      </c>
      <c r="J1362" s="6">
        <f ca="1">IFERROR(__xludf.DUMMYFUNCTION("IFERROR(GOOGLEFINANCE(B1362, ""volume""), 0)"),173801)</f>
        <v>173801</v>
      </c>
      <c r="K1362" s="6">
        <v>1.1100000000000001</v>
      </c>
      <c r="L1362" s="6">
        <f ca="1">IFERROR(__xludf.DUMMYFUNCTION("IFERROR(GOOGLEFINANCE(B1362,""changepct""),K1362)"),1.53)</f>
        <v>1.53</v>
      </c>
      <c r="M1362" s="6">
        <f ca="1">IFERROR(__xludf.DUMMYFUNCTION("IFERROR(GOOGLEFINANCE(B1362,""change""),0)"),6.25)</f>
        <v>6.25</v>
      </c>
      <c r="N1362" s="6">
        <v>2</v>
      </c>
      <c r="O1362" s="7">
        <v>45536</v>
      </c>
      <c r="P1362" s="12"/>
      <c r="Q1362" s="6">
        <v>33220.97</v>
      </c>
      <c r="R1362" s="7">
        <v>45536</v>
      </c>
      <c r="S1362" s="6">
        <v>16941.599999999999</v>
      </c>
      <c r="T1362" s="6">
        <v>1266.5899999999999</v>
      </c>
      <c r="U1362" s="7">
        <v>45536</v>
      </c>
      <c r="V1362" s="6">
        <v>27.52</v>
      </c>
      <c r="W1362" s="6">
        <f ca="1">IFERROR(__xludf.DUMMYFUNCTION("IFERROR(GOOGLEFINANCE(B1362,""pe""),V1362)"),24.58)</f>
        <v>24.58</v>
      </c>
      <c r="X1362" s="6">
        <v>1.33</v>
      </c>
      <c r="Y1362" s="6">
        <v>4.38</v>
      </c>
      <c r="Z1362" s="6">
        <v>2</v>
      </c>
      <c r="AA1362" s="8">
        <v>45352</v>
      </c>
      <c r="AB1362" s="4">
        <v>0</v>
      </c>
      <c r="AC1362" s="6">
        <v>15.51</v>
      </c>
      <c r="AD1362" s="6">
        <v>21.57</v>
      </c>
      <c r="AE1362" s="1">
        <v>0</v>
      </c>
      <c r="AF1362" s="1">
        <f ca="1">IFERROR(__xludf.DUMMYFUNCTION("IFERROR(GOOGLEFINANCE(TRIM(F1362)&amp;"":"" &amp; TRIM(B1362),""high52""),AE1362)"),508.7)</f>
        <v>508.7</v>
      </c>
      <c r="AG1362" s="1">
        <v>0</v>
      </c>
      <c r="AH1362" s="1">
        <f ca="1">IFERROR(__xludf.DUMMYFUNCTION("IFERROR(GOOGLEFINANCE(TRIM(F1362)&amp;"":"" &amp; TRIM(B1362),""low52""),AE1362)"),360.25)</f>
        <v>360.25</v>
      </c>
      <c r="AI1362" s="1">
        <f ca="1">IFERROR(__xludf.DUMMYFUNCTION("IFERROR(GOOGLEFINANCE(B1362,""eps""),0)"),16.88)</f>
        <v>16.88</v>
      </c>
      <c r="AJ1362" s="1"/>
      <c r="AK1362" s="1" t="s">
        <v>4108</v>
      </c>
      <c r="AL1362" s="9">
        <f t="shared" si="185"/>
        <v>1</v>
      </c>
    </row>
    <row r="1363" spans="1:38" ht="15" x14ac:dyDescent="0.25">
      <c r="A1363" s="1" t="s">
        <v>4109</v>
      </c>
      <c r="B1363" s="1" t="s">
        <v>4110</v>
      </c>
      <c r="C1363" s="1" t="s">
        <v>86</v>
      </c>
      <c r="D1363" s="1" t="s">
        <v>86</v>
      </c>
      <c r="E1363" s="6">
        <v>24.09</v>
      </c>
      <c r="F1363" s="1" t="s">
        <v>53</v>
      </c>
      <c r="G1363" s="6">
        <f ca="1">IFERROR(__xludf.DUMMYFUNCTION("iferror(GOOGLEFINANCE(TRIM(F1363)&amp;"":"" &amp; TRIM(B1363), ""price""),0
)"),0)</f>
        <v>0</v>
      </c>
      <c r="H1363" s="6">
        <v>22.1</v>
      </c>
      <c r="I1363" s="6">
        <f t="shared" ca="1" si="0"/>
        <v>22.1</v>
      </c>
      <c r="J1363" s="6">
        <f ca="1">IFERROR(__xludf.DUMMYFUNCTION("IFERROR(GOOGLEFINANCE(B1363, ""volume""), 0)"),0)</f>
        <v>0</v>
      </c>
      <c r="K1363" s="6">
        <v>0.91</v>
      </c>
      <c r="L1363" s="6">
        <f ca="1">IFERROR(__xludf.DUMMYFUNCTION("IFERROR(GOOGLEFINANCE(B1363,""changepct""),K1363)"),0.91)</f>
        <v>0.91</v>
      </c>
      <c r="M1363" s="6">
        <f ca="1">IFERROR(__xludf.DUMMYFUNCTION("IFERROR(GOOGLEFINANCE(B1363,""change""),0)"),0)</f>
        <v>0</v>
      </c>
      <c r="N1363" s="6">
        <v>1</v>
      </c>
      <c r="O1363" s="7">
        <v>45536</v>
      </c>
      <c r="P1363" s="6">
        <v>3</v>
      </c>
      <c r="Q1363" s="6">
        <v>27.09</v>
      </c>
      <c r="R1363" s="7">
        <v>45536</v>
      </c>
      <c r="S1363" s="6">
        <v>1.26</v>
      </c>
      <c r="T1363" s="6">
        <v>-0.22</v>
      </c>
      <c r="U1363" s="7">
        <v>45536</v>
      </c>
      <c r="V1363" s="6">
        <v>0</v>
      </c>
      <c r="W1363" s="6">
        <f ca="1">IFERROR(__xludf.DUMMYFUNCTION("IFERROR(GOOGLEFINANCE(B1363,""pe""),V1363)"),0)</f>
        <v>0</v>
      </c>
      <c r="X1363" s="6">
        <v>0</v>
      </c>
      <c r="Y1363" s="6">
        <v>-3.74</v>
      </c>
      <c r="Z1363" s="6">
        <v>1</v>
      </c>
      <c r="AA1363" s="8">
        <v>45352</v>
      </c>
      <c r="AB1363" s="4">
        <v>-0.47</v>
      </c>
      <c r="AC1363" s="6">
        <v>0</v>
      </c>
      <c r="AD1363" s="6">
        <v>0</v>
      </c>
      <c r="AE1363" s="1">
        <v>0</v>
      </c>
      <c r="AF1363" s="1">
        <f ca="1">IFERROR(__xludf.DUMMYFUNCTION("IFERROR(GOOGLEFINANCE(TRIM(F1363)&amp;"":"" &amp; TRIM(B1363),""high52""),AE1363)"),0)</f>
        <v>0</v>
      </c>
      <c r="AG1363" s="1">
        <v>0</v>
      </c>
      <c r="AH1363" s="1">
        <f ca="1">IFERROR(__xludf.DUMMYFUNCTION("IFERROR(GOOGLEFINANCE(TRIM(F1363)&amp;"":"" &amp; TRIM(B1363),""low52""),AE1363)"),0)</f>
        <v>0</v>
      </c>
      <c r="AI1363" s="1">
        <f ca="1">IFERROR(__xludf.DUMMYFUNCTION("IFERROR(GOOGLEFINANCE(B1363,""eps""),0)"),0)</f>
        <v>0</v>
      </c>
      <c r="AJ1363" s="1"/>
      <c r="AK1363" s="1" t="s">
        <v>4111</v>
      </c>
      <c r="AL1363" s="9">
        <f t="shared" si="185"/>
        <v>1</v>
      </c>
    </row>
    <row r="1364" spans="1:38" ht="15" x14ac:dyDescent="0.25">
      <c r="A1364" s="1" t="s">
        <v>4112</v>
      </c>
      <c r="B1364" s="1" t="s">
        <v>4113</v>
      </c>
      <c r="C1364" s="1" t="s">
        <v>268</v>
      </c>
      <c r="D1364" s="1" t="s">
        <v>268</v>
      </c>
      <c r="E1364" s="6">
        <v>3566.5</v>
      </c>
      <c r="F1364" s="1" t="s">
        <v>40</v>
      </c>
      <c r="G1364" s="6">
        <f ca="1">IFERROR(__xludf.DUMMYFUNCTION("iferror(GOOGLEFINANCE(TRIM(F1364)&amp;"":"" &amp; TRIM(B1364), ""price""),0
)"),138.2)</f>
        <v>138.19999999999999</v>
      </c>
      <c r="H1364" s="6">
        <v>241.74</v>
      </c>
      <c r="I1364" s="6">
        <f t="shared" ca="1" si="0"/>
        <v>138.19999999999999</v>
      </c>
      <c r="J1364" s="6">
        <f ca="1">IFERROR(__xludf.DUMMYFUNCTION("IFERROR(GOOGLEFINANCE(B1364, ""volume""), 0)"),190657)</f>
        <v>190657</v>
      </c>
      <c r="K1364" s="6">
        <v>2.5</v>
      </c>
      <c r="L1364" s="6">
        <f ca="1">IFERROR(__xludf.DUMMYFUNCTION("IFERROR(GOOGLEFINANCE(B1364,""changepct""),K1364)"),0.96)</f>
        <v>0.96</v>
      </c>
      <c r="M1364" s="6">
        <f ca="1">IFERROR(__xludf.DUMMYFUNCTION("IFERROR(GOOGLEFINANCE(B1364,""change""),0)"),1.31)</f>
        <v>1.31</v>
      </c>
      <c r="N1364" s="6">
        <v>1</v>
      </c>
      <c r="O1364" s="7">
        <v>45536</v>
      </c>
      <c r="P1364" s="6">
        <v>483.7</v>
      </c>
      <c r="Q1364" s="6">
        <v>3521.44</v>
      </c>
      <c r="R1364" s="7">
        <v>45536</v>
      </c>
      <c r="S1364" s="6">
        <v>1322.28</v>
      </c>
      <c r="T1364" s="6">
        <v>215.3</v>
      </c>
      <c r="U1364" s="7">
        <v>45536</v>
      </c>
      <c r="V1364" s="6">
        <v>16.57</v>
      </c>
      <c r="W1364" s="6">
        <f ca="1">IFERROR(__xludf.DUMMYFUNCTION("IFERROR(GOOGLEFINANCE(B1364,""pe""),V1364)"),11.27)</f>
        <v>11.27</v>
      </c>
      <c r="X1364" s="6">
        <v>-1.58</v>
      </c>
      <c r="Y1364" s="6">
        <v>1.06</v>
      </c>
      <c r="Z1364" s="6">
        <v>1</v>
      </c>
      <c r="AA1364" s="8">
        <v>45352</v>
      </c>
      <c r="AB1364" s="4">
        <v>0.12</v>
      </c>
      <c r="AC1364" s="6">
        <v>6.15</v>
      </c>
      <c r="AD1364" s="6">
        <v>7.88</v>
      </c>
      <c r="AE1364" s="1">
        <v>0</v>
      </c>
      <c r="AF1364" s="1">
        <f ca="1">IFERROR(__xludf.DUMMYFUNCTION("IFERROR(GOOGLEFINANCE(TRIM(F1364)&amp;"":"" &amp; TRIM(B1364),""high52""),AE1364)"),223.9)</f>
        <v>223.9</v>
      </c>
      <c r="AG1364" s="1">
        <v>0</v>
      </c>
      <c r="AH1364" s="1">
        <f ca="1">IFERROR(__xludf.DUMMYFUNCTION("IFERROR(GOOGLEFINANCE(TRIM(F1364)&amp;"":"" &amp; TRIM(B1364),""low52""),AE1364)"),133.15)</f>
        <v>133.15</v>
      </c>
      <c r="AI1364" s="1">
        <f ca="1">IFERROR(__xludf.DUMMYFUNCTION("IFERROR(GOOGLEFINANCE(B1364,""eps""),0)"),12.26)</f>
        <v>12.26</v>
      </c>
      <c r="AJ1364" s="1"/>
      <c r="AK1364" s="1" t="s">
        <v>4114</v>
      </c>
      <c r="AL1364" s="9">
        <f t="shared" si="185"/>
        <v>1</v>
      </c>
    </row>
    <row r="1365" spans="1:38" ht="15" x14ac:dyDescent="0.25">
      <c r="A1365" s="1" t="s">
        <v>4115</v>
      </c>
      <c r="B1365" s="1" t="s">
        <v>4116</v>
      </c>
      <c r="C1365" s="1" t="s">
        <v>208</v>
      </c>
      <c r="D1365" s="1" t="s">
        <v>208</v>
      </c>
      <c r="E1365" s="6">
        <v>21.16</v>
      </c>
      <c r="F1365" s="1" t="s">
        <v>40</v>
      </c>
      <c r="G1365" s="6">
        <f ca="1">IFERROR(__xludf.DUMMYFUNCTION("iferror(GOOGLEFINANCE(TRIM(F1365)&amp;"":"" &amp; TRIM(B1365), ""price""),0
)"),4.25)</f>
        <v>4.25</v>
      </c>
      <c r="H1365" s="6">
        <v>7.61</v>
      </c>
      <c r="I1365" s="6">
        <f t="shared" ca="1" si="0"/>
        <v>4.25</v>
      </c>
      <c r="J1365" s="6">
        <f ca="1">IFERROR(__xludf.DUMMYFUNCTION("IFERROR(GOOGLEFINANCE(B1365, ""volume""), 0)"),6217)</f>
        <v>6217</v>
      </c>
      <c r="K1365" s="6">
        <v>0.4</v>
      </c>
      <c r="L1365" s="6">
        <f ca="1">IFERROR(__xludf.DUMMYFUNCTION("IFERROR(GOOGLEFINANCE(B1365,""changepct""),K1365)"),-3.41)</f>
        <v>-3.41</v>
      </c>
      <c r="M1365" s="6">
        <f ca="1">IFERROR(__xludf.DUMMYFUNCTION("IFERROR(GOOGLEFINANCE(B1365,""change""),0)"),-0.15)</f>
        <v>-0.15</v>
      </c>
      <c r="N1365" s="6">
        <v>1</v>
      </c>
      <c r="O1365" s="7">
        <v>45536</v>
      </c>
      <c r="P1365" s="6">
        <v>0.12</v>
      </c>
      <c r="Q1365" s="7">
        <v>45536</v>
      </c>
      <c r="R1365" s="6">
        <v>169.26</v>
      </c>
      <c r="S1365" s="6">
        <v>9.75</v>
      </c>
      <c r="T1365" s="6">
        <v>-5.05</v>
      </c>
      <c r="U1365" s="6">
        <v>1</v>
      </c>
      <c r="V1365" s="7">
        <v>45352</v>
      </c>
      <c r="W1365" s="6">
        <f ca="1">IFERROR(__xludf.DUMMYFUNCTION("IFERROR(GOOGLEFINANCE(B1365,""pe""),V1365)"),286.39)</f>
        <v>286.39</v>
      </c>
      <c r="X1365" s="6">
        <v>-2.4300000000000002</v>
      </c>
      <c r="Y1365" s="6">
        <v>0</v>
      </c>
      <c r="Z1365" s="6">
        <v>1.5</v>
      </c>
      <c r="AA1365" s="3" t="s">
        <v>4117</v>
      </c>
      <c r="AB1365" s="11"/>
      <c r="AC1365" s="9"/>
      <c r="AD1365" s="9"/>
      <c r="AE1365" s="1">
        <v>0</v>
      </c>
      <c r="AF1365" s="1">
        <f ca="1">IFERROR(__xludf.DUMMYFUNCTION("IFERROR(GOOGLEFINANCE(TRIM(F1365)&amp;"":"" &amp; TRIM(B1365),""high52""),AE1365)"),9.34)</f>
        <v>9.34</v>
      </c>
      <c r="AG1365" s="1">
        <v>0</v>
      </c>
      <c r="AH1365" s="1">
        <f ca="1">IFERROR(__xludf.DUMMYFUNCTION("IFERROR(GOOGLEFINANCE(TRIM(F1365)&amp;"":"" &amp; TRIM(B1365),""low52""),AE1365)"),3.97)</f>
        <v>3.97</v>
      </c>
      <c r="AI1365" s="1">
        <f ca="1">IFERROR(__xludf.DUMMYFUNCTION("IFERROR(GOOGLEFINANCE(B1365,""eps""),0)"),0.01)</f>
        <v>0.01</v>
      </c>
      <c r="AJ1365" s="1"/>
      <c r="AK1365" s="1" t="s">
        <v>4118</v>
      </c>
      <c r="AL1365" s="9">
        <f t="shared" si="185"/>
        <v>1</v>
      </c>
    </row>
    <row r="1366" spans="1:38" ht="15" x14ac:dyDescent="0.25">
      <c r="A1366" s="1" t="s">
        <v>4119</v>
      </c>
      <c r="B1366" s="1" t="s">
        <v>4120</v>
      </c>
      <c r="C1366" s="1" t="s">
        <v>39</v>
      </c>
      <c r="D1366" s="1" t="s">
        <v>39</v>
      </c>
      <c r="E1366" s="6">
        <v>10385.879999999999</v>
      </c>
      <c r="F1366" s="1" t="s">
        <v>40</v>
      </c>
      <c r="G1366" s="6">
        <f ca="1">IFERROR(__xludf.DUMMYFUNCTION("iferror(GOOGLEFINANCE(TRIM(F1366)&amp;"":"" &amp; TRIM(B1366), ""price""),0
)"),578.95)</f>
        <v>578.95000000000005</v>
      </c>
      <c r="H1366" s="6">
        <v>330.6</v>
      </c>
      <c r="I1366" s="6">
        <f t="shared" ca="1" si="0"/>
        <v>578.95000000000005</v>
      </c>
      <c r="J1366" s="6">
        <f ca="1">IFERROR(__xludf.DUMMYFUNCTION("IFERROR(GOOGLEFINANCE(B1366, ""volume""), 0)"),3456383)</f>
        <v>3456383</v>
      </c>
      <c r="K1366" s="6">
        <v>1.18</v>
      </c>
      <c r="L1366" s="6">
        <f ca="1">IFERROR(__xludf.DUMMYFUNCTION("IFERROR(GOOGLEFINANCE(B1366,""changepct""),K1366)"),0.25)</f>
        <v>0.25</v>
      </c>
      <c r="M1366" s="6">
        <f ca="1">IFERROR(__xludf.DUMMYFUNCTION("IFERROR(GOOGLEFINANCE(B1366,""change""),0)"),1.45)</f>
        <v>1.45</v>
      </c>
      <c r="N1366" s="6">
        <v>2</v>
      </c>
      <c r="O1366" s="7">
        <v>45536</v>
      </c>
      <c r="P1366" s="9"/>
      <c r="Q1366" s="6">
        <v>9762.5499999999993</v>
      </c>
      <c r="R1366" s="7">
        <v>45536</v>
      </c>
      <c r="S1366" s="6">
        <v>2726.16</v>
      </c>
      <c r="T1366" s="6">
        <v>634.91999999999996</v>
      </c>
      <c r="U1366" s="7">
        <v>45536</v>
      </c>
      <c r="V1366" s="6">
        <v>16.329999999999998</v>
      </c>
      <c r="W1366" s="6">
        <f ca="1">IFERROR(__xludf.DUMMYFUNCTION("IFERROR(GOOGLEFINANCE(B1366,""pe""),V1366)"),18.35)</f>
        <v>18.350000000000001</v>
      </c>
      <c r="X1366" s="6">
        <v>1.3</v>
      </c>
      <c r="Y1366" s="6">
        <v>1.68</v>
      </c>
      <c r="Z1366" s="6">
        <v>2</v>
      </c>
      <c r="AA1366" s="8">
        <v>45352</v>
      </c>
      <c r="AB1366" s="4">
        <v>0</v>
      </c>
      <c r="AC1366" s="6">
        <v>10.37</v>
      </c>
      <c r="AD1366" s="6">
        <v>13.8</v>
      </c>
      <c r="AE1366" s="1">
        <v>0</v>
      </c>
      <c r="AF1366" s="1">
        <f ca="1">IFERROR(__xludf.DUMMYFUNCTION("IFERROR(GOOGLEFINANCE(TRIM(F1366)&amp;"":"" &amp; TRIM(B1366),""high52""),AE1366)"),651)</f>
        <v>651</v>
      </c>
      <c r="AG1366" s="1">
        <v>0</v>
      </c>
      <c r="AH1366" s="1">
        <f ca="1">IFERROR(__xludf.DUMMYFUNCTION("IFERROR(GOOGLEFINANCE(TRIM(F1366)&amp;"":"" &amp; TRIM(B1366),""low52""),AE1366)"),226.59)</f>
        <v>226.59</v>
      </c>
      <c r="AI1366" s="1">
        <f ca="1">IFERROR(__xludf.DUMMYFUNCTION("IFERROR(GOOGLEFINANCE(B1366,""eps""),0)"),31.56)</f>
        <v>31.56</v>
      </c>
      <c r="AJ1366" s="1"/>
      <c r="AK1366" s="1" t="s">
        <v>4121</v>
      </c>
      <c r="AL1366" s="9">
        <f t="shared" si="185"/>
        <v>1</v>
      </c>
    </row>
    <row r="1367" spans="1:38" ht="15" x14ac:dyDescent="0.25">
      <c r="A1367" s="1" t="s">
        <v>4122</v>
      </c>
      <c r="B1367" s="1" t="s">
        <v>4123</v>
      </c>
      <c r="C1367" s="1" t="s">
        <v>502</v>
      </c>
      <c r="D1367" s="1" t="s">
        <v>502</v>
      </c>
      <c r="E1367" s="6">
        <v>8432.19</v>
      </c>
      <c r="F1367" s="1" t="s">
        <v>40</v>
      </c>
      <c r="G1367" s="6">
        <f ca="1">IFERROR(__xludf.DUMMYFUNCTION("iferror(GOOGLEFINANCE(TRIM(F1367)&amp;"":"" &amp; TRIM(B1367), ""price""),0
)"),472.4)</f>
        <v>472.4</v>
      </c>
      <c r="H1367" s="6">
        <v>574.35</v>
      </c>
      <c r="I1367" s="6">
        <f t="shared" ca="1" si="0"/>
        <v>472.4</v>
      </c>
      <c r="J1367" s="6">
        <f ca="1">IFERROR(__xludf.DUMMYFUNCTION("IFERROR(GOOGLEFINANCE(B1367, ""volume""), 0)"),162703)</f>
        <v>162703</v>
      </c>
      <c r="K1367" s="6">
        <v>0</v>
      </c>
      <c r="L1367" s="6">
        <f ca="1">IFERROR(__xludf.DUMMYFUNCTION("IFERROR(GOOGLEFINANCE(B1367,""changepct""),K1367)"),2.75)</f>
        <v>2.75</v>
      </c>
      <c r="M1367" s="6">
        <f ca="1">IFERROR(__xludf.DUMMYFUNCTION("IFERROR(GOOGLEFINANCE(B1367,""change""),0)"),12.65)</f>
        <v>12.65</v>
      </c>
      <c r="N1367" s="6">
        <v>2</v>
      </c>
      <c r="O1367" s="7">
        <v>45536</v>
      </c>
      <c r="P1367" s="6">
        <v>77</v>
      </c>
      <c r="Q1367" s="6">
        <v>6574.19</v>
      </c>
      <c r="R1367" s="7">
        <v>45536</v>
      </c>
      <c r="S1367" s="6">
        <v>8136</v>
      </c>
      <c r="T1367" s="6">
        <v>439</v>
      </c>
      <c r="U1367" s="7">
        <v>45536</v>
      </c>
      <c r="V1367" s="6">
        <v>18.739999999999998</v>
      </c>
      <c r="W1367" s="6">
        <f ca="1">IFERROR(__xludf.DUMMYFUNCTION("IFERROR(GOOGLEFINANCE(B1367,""pe""),V1367)"),10.9)</f>
        <v>10.9</v>
      </c>
      <c r="X1367" s="6">
        <v>-2.37</v>
      </c>
      <c r="Y1367" s="6">
        <v>1.01</v>
      </c>
      <c r="Z1367" s="6">
        <v>2</v>
      </c>
      <c r="AA1367" s="8">
        <v>45352</v>
      </c>
      <c r="AB1367" s="4">
        <v>0</v>
      </c>
      <c r="AC1367" s="6">
        <v>5.57</v>
      </c>
      <c r="AD1367" s="6">
        <v>7.62</v>
      </c>
      <c r="AE1367" s="1">
        <v>0</v>
      </c>
      <c r="AF1367" s="1">
        <f ca="1">IFERROR(__xludf.DUMMYFUNCTION("IFERROR(GOOGLEFINANCE(TRIM(F1367)&amp;"":"" &amp; TRIM(B1367),""high52""),AE1367)"),584.7)</f>
        <v>584.70000000000005</v>
      </c>
      <c r="AG1367" s="1">
        <v>0</v>
      </c>
      <c r="AH1367" s="1">
        <f ca="1">IFERROR(__xludf.DUMMYFUNCTION("IFERROR(GOOGLEFINANCE(TRIM(F1367)&amp;"":"" &amp; TRIM(B1367),""low52""),AE1367)"),442.45)</f>
        <v>442.45</v>
      </c>
      <c r="AI1367" s="1">
        <f ca="1">IFERROR(__xludf.DUMMYFUNCTION("IFERROR(GOOGLEFINANCE(B1367,""eps""),0)"),43.35)</f>
        <v>43.35</v>
      </c>
      <c r="AJ1367" s="1"/>
      <c r="AK1367" s="1" t="s">
        <v>4124</v>
      </c>
      <c r="AL1367" s="9">
        <f t="shared" si="185"/>
        <v>1</v>
      </c>
    </row>
    <row r="1368" spans="1:38" ht="15" x14ac:dyDescent="0.25">
      <c r="A1368" s="1" t="s">
        <v>4125</v>
      </c>
      <c r="B1368" s="1" t="s">
        <v>4126</v>
      </c>
      <c r="C1368" s="1" t="s">
        <v>288</v>
      </c>
      <c r="D1368" s="1" t="s">
        <v>288</v>
      </c>
      <c r="E1368" s="6">
        <v>8902.5499999999993</v>
      </c>
      <c r="F1368" s="1" t="s">
        <v>40</v>
      </c>
      <c r="G1368" s="6">
        <f ca="1">IFERROR(__xludf.DUMMYFUNCTION("iferror(GOOGLEFINANCE(TRIM(F1368)&amp;"":"" &amp; TRIM(B1368), ""price""),0
)"),167)</f>
        <v>167</v>
      </c>
      <c r="H1368" s="6">
        <v>184.76</v>
      </c>
      <c r="I1368" s="6">
        <f t="shared" ca="1" si="0"/>
        <v>167</v>
      </c>
      <c r="J1368" s="6">
        <f ca="1">IFERROR(__xludf.DUMMYFUNCTION("IFERROR(GOOGLEFINANCE(B1368, ""volume""), 0)"),1473381)</f>
        <v>1473381</v>
      </c>
      <c r="K1368" s="6">
        <v>0.28999999999999998</v>
      </c>
      <c r="L1368" s="6">
        <f ca="1">IFERROR(__xludf.DUMMYFUNCTION("IFERROR(GOOGLEFINANCE(B1368,""changepct""),K1368)"),1.95)</f>
        <v>1.95</v>
      </c>
      <c r="M1368" s="6">
        <f ca="1">IFERROR(__xludf.DUMMYFUNCTION("IFERROR(GOOGLEFINANCE(B1368,""change""),0)"),3.2)</f>
        <v>3.2</v>
      </c>
      <c r="N1368" s="6">
        <v>2</v>
      </c>
      <c r="O1368" s="7">
        <v>45536</v>
      </c>
      <c r="P1368" s="9"/>
      <c r="Q1368" s="6">
        <v>7791.95</v>
      </c>
      <c r="R1368" s="7">
        <v>45536</v>
      </c>
      <c r="S1368" s="6">
        <v>993.92</v>
      </c>
      <c r="T1368" s="6">
        <v>357.55</v>
      </c>
      <c r="U1368" s="7">
        <v>45536</v>
      </c>
      <c r="V1368" s="6">
        <v>24.25</v>
      </c>
      <c r="W1368" s="6">
        <f ca="1">IFERROR(__xludf.DUMMYFUNCTION("IFERROR(GOOGLEFINANCE(B1368,""pe""),V1368)"),16.94)</f>
        <v>16.940000000000001</v>
      </c>
      <c r="X1368" s="6">
        <v>2.4500000000000002</v>
      </c>
      <c r="Y1368" s="6">
        <v>3.84</v>
      </c>
      <c r="Z1368" s="6">
        <v>2</v>
      </c>
      <c r="AA1368" s="8">
        <v>45352</v>
      </c>
      <c r="AB1368" s="4">
        <v>0</v>
      </c>
      <c r="AC1368" s="6">
        <v>14.79</v>
      </c>
      <c r="AD1368" s="6">
        <v>21.14</v>
      </c>
      <c r="AE1368" s="1">
        <v>0</v>
      </c>
      <c r="AF1368" s="1">
        <f ca="1">IFERROR(__xludf.DUMMYFUNCTION("IFERROR(GOOGLEFINANCE(TRIM(F1368)&amp;"":"" &amp; TRIM(B1368),""high52""),AE1368)"),200.09)</f>
        <v>200.09</v>
      </c>
      <c r="AG1368" s="1">
        <v>0</v>
      </c>
      <c r="AH1368" s="1">
        <f ca="1">IFERROR(__xludf.DUMMYFUNCTION("IFERROR(GOOGLEFINANCE(TRIM(F1368)&amp;"":"" &amp; TRIM(B1368),""low52""),AE1368)"),122.5)</f>
        <v>122.5</v>
      </c>
      <c r="AI1368" s="1">
        <f ca="1">IFERROR(__xludf.DUMMYFUNCTION("IFERROR(GOOGLEFINANCE(B1368,""eps""),0)"),9.86)</f>
        <v>9.86</v>
      </c>
      <c r="AJ1368" s="1"/>
      <c r="AK1368" s="1" t="s">
        <v>4127</v>
      </c>
      <c r="AL1368" s="9">
        <f t="shared" si="185"/>
        <v>1</v>
      </c>
    </row>
    <row r="1369" spans="1:38" ht="15" x14ac:dyDescent="0.25">
      <c r="A1369" s="1" t="s">
        <v>4128</v>
      </c>
      <c r="B1369" s="1" t="s">
        <v>4129</v>
      </c>
      <c r="C1369" s="1" t="s">
        <v>82</v>
      </c>
      <c r="D1369" s="1" t="s">
        <v>82</v>
      </c>
      <c r="E1369" s="6">
        <v>54.05</v>
      </c>
      <c r="F1369" s="1" t="s">
        <v>40</v>
      </c>
      <c r="G1369" s="6">
        <f ca="1">IFERROR(__xludf.DUMMYFUNCTION("iferror(GOOGLEFINANCE(TRIM(F1369)&amp;"":"" &amp; TRIM(B1369), ""price""),0
)"),39)</f>
        <v>39</v>
      </c>
      <c r="H1369" s="6">
        <v>97.64</v>
      </c>
      <c r="I1369" s="6">
        <f t="shared" ca="1" si="0"/>
        <v>39</v>
      </c>
      <c r="J1369" s="6">
        <f ca="1">IFERROR(__xludf.DUMMYFUNCTION("IFERROR(GOOGLEFINANCE(B1369, ""volume""), 0)"),696)</f>
        <v>696</v>
      </c>
      <c r="K1369" s="6">
        <v>-2.0099999999999998</v>
      </c>
      <c r="L1369" s="6">
        <f ca="1">IFERROR(__xludf.DUMMYFUNCTION("IFERROR(GOOGLEFINANCE(B1369,""changepct""),K1369)"),-3.7)</f>
        <v>-3.7</v>
      </c>
      <c r="M1369" s="6">
        <f ca="1">IFERROR(__xludf.DUMMYFUNCTION("IFERROR(GOOGLEFINANCE(B1369,""change""),0)"),-1.5)</f>
        <v>-1.5</v>
      </c>
      <c r="N1369" s="6">
        <v>1</v>
      </c>
      <c r="O1369" s="7">
        <v>45536</v>
      </c>
      <c r="P1369" s="6">
        <v>2.82</v>
      </c>
      <c r="Q1369" s="6">
        <v>55.92</v>
      </c>
      <c r="R1369" s="7">
        <v>45536</v>
      </c>
      <c r="S1369" s="6">
        <v>30.25</v>
      </c>
      <c r="T1369" s="6">
        <v>0.66</v>
      </c>
      <c r="U1369" s="7">
        <v>45536</v>
      </c>
      <c r="V1369" s="6">
        <v>82.39</v>
      </c>
      <c r="W1369" s="6">
        <f ca="1">IFERROR(__xludf.DUMMYFUNCTION("IFERROR(GOOGLEFINANCE(B1369,""pe""),V1369)"),30.04)</f>
        <v>30.04</v>
      </c>
      <c r="X1369" s="6">
        <v>-7.6</v>
      </c>
      <c r="Y1369" s="6">
        <v>2.57</v>
      </c>
      <c r="Z1369" s="6">
        <v>1</v>
      </c>
      <c r="AA1369" s="8">
        <v>45352</v>
      </c>
      <c r="AB1369" s="4">
        <v>0.17</v>
      </c>
      <c r="AC1369" s="6">
        <v>2.64</v>
      </c>
      <c r="AD1369" s="6">
        <v>4.04</v>
      </c>
      <c r="AE1369" s="1">
        <v>0</v>
      </c>
      <c r="AF1369" s="1">
        <f ca="1">IFERROR(__xludf.DUMMYFUNCTION("IFERROR(GOOGLEFINANCE(TRIM(F1369)&amp;"":"" &amp; TRIM(B1369),""high52""),AE1369)"),88)</f>
        <v>88</v>
      </c>
      <c r="AG1369" s="1">
        <v>0</v>
      </c>
      <c r="AH1369" s="1">
        <f ca="1">IFERROR(__xludf.DUMMYFUNCTION("IFERROR(GOOGLEFINANCE(TRIM(F1369)&amp;"":"" &amp; TRIM(B1369),""low52""),AE1369)"),34.87)</f>
        <v>34.869999999999997</v>
      </c>
      <c r="AI1369" s="1">
        <f ca="1">IFERROR(__xludf.DUMMYFUNCTION("IFERROR(GOOGLEFINANCE(B1369,""eps""),0)"),1.3)</f>
        <v>1.3</v>
      </c>
      <c r="AJ1369" s="1"/>
      <c r="AK1369" s="1" t="s">
        <v>4130</v>
      </c>
      <c r="AL1369" s="9">
        <f t="shared" si="185"/>
        <v>1</v>
      </c>
    </row>
    <row r="1370" spans="1:38" ht="15" x14ac:dyDescent="0.25">
      <c r="A1370" s="1" t="s">
        <v>4131</v>
      </c>
      <c r="B1370" s="1" t="s">
        <v>4132</v>
      </c>
      <c r="C1370" s="1" t="s">
        <v>502</v>
      </c>
      <c r="D1370" s="1" t="s">
        <v>502</v>
      </c>
      <c r="E1370" s="6">
        <v>8097.06</v>
      </c>
      <c r="F1370" s="1" t="s">
        <v>40</v>
      </c>
      <c r="G1370" s="6">
        <f ca="1">IFERROR(__xludf.DUMMYFUNCTION("iferror(GOOGLEFINANCE(TRIM(F1370)&amp;"":"" &amp; TRIM(B1370), ""price""),0
)"),177.7)</f>
        <v>177.7</v>
      </c>
      <c r="H1370" s="6">
        <v>205</v>
      </c>
      <c r="I1370" s="6">
        <f t="shared" ca="1" si="0"/>
        <v>177.7</v>
      </c>
      <c r="J1370" s="6">
        <f ca="1">IFERROR(__xludf.DUMMYFUNCTION("IFERROR(GOOGLEFINANCE(B1370, ""volume""), 0)"),701086)</f>
        <v>701086</v>
      </c>
      <c r="K1370" s="6">
        <v>0.82</v>
      </c>
      <c r="L1370" s="6">
        <f ca="1">IFERROR(__xludf.DUMMYFUNCTION("IFERROR(GOOGLEFINANCE(B1370,""changepct""),K1370)"),0.3)</f>
        <v>0.3</v>
      </c>
      <c r="M1370" s="6">
        <f ca="1">IFERROR(__xludf.DUMMYFUNCTION("IFERROR(GOOGLEFINANCE(B1370,""change""),0)"),0.54)</f>
        <v>0.54</v>
      </c>
      <c r="N1370" s="6">
        <v>2</v>
      </c>
      <c r="O1370" s="7">
        <v>45536</v>
      </c>
      <c r="P1370" s="6">
        <v>98.47</v>
      </c>
      <c r="Q1370" s="6">
        <v>5821.31</v>
      </c>
      <c r="R1370" s="7">
        <v>45536</v>
      </c>
      <c r="S1370" s="6">
        <v>8770.7000000000007</v>
      </c>
      <c r="T1370" s="6">
        <v>521.08000000000004</v>
      </c>
      <c r="U1370" s="7">
        <v>45536</v>
      </c>
      <c r="V1370" s="6">
        <v>15.33</v>
      </c>
      <c r="W1370" s="6">
        <f ca="1">IFERROR(__xludf.DUMMYFUNCTION("IFERROR(GOOGLEFINANCE(B1370,""pe""),V1370)"),10.6)</f>
        <v>10.6</v>
      </c>
      <c r="X1370" s="6">
        <v>5.64</v>
      </c>
      <c r="Y1370" s="6">
        <v>0.6</v>
      </c>
      <c r="Z1370" s="6">
        <v>2</v>
      </c>
      <c r="AA1370" s="8">
        <v>45352</v>
      </c>
      <c r="AB1370" s="4">
        <v>0</v>
      </c>
      <c r="AC1370" s="6">
        <v>4.55</v>
      </c>
      <c r="AD1370" s="6">
        <v>5.77</v>
      </c>
      <c r="AE1370" s="1">
        <v>0</v>
      </c>
      <c r="AF1370" s="1">
        <f ca="1">IFERROR(__xludf.DUMMYFUNCTION("IFERROR(GOOGLEFINANCE(TRIM(F1370)&amp;"":"" &amp; TRIM(B1370),""high52""),AE1370)"),220.59)</f>
        <v>220.59</v>
      </c>
      <c r="AG1370" s="1">
        <v>0</v>
      </c>
      <c r="AH1370" s="1">
        <f ca="1">IFERROR(__xludf.DUMMYFUNCTION("IFERROR(GOOGLEFINANCE(TRIM(F1370)&amp;"":"" &amp; TRIM(B1370),""low52""),AE1370)"),158.3)</f>
        <v>158.30000000000001</v>
      </c>
      <c r="AI1370" s="1">
        <f ca="1">IFERROR(__xludf.DUMMYFUNCTION("IFERROR(GOOGLEFINANCE(B1370,""eps""),0)"),16.77)</f>
        <v>16.77</v>
      </c>
      <c r="AJ1370" s="1"/>
      <c r="AK1370" s="1" t="s">
        <v>4133</v>
      </c>
      <c r="AL1370" s="9">
        <f t="shared" si="185"/>
        <v>1</v>
      </c>
    </row>
    <row r="1371" spans="1:38" ht="15" x14ac:dyDescent="0.25">
      <c r="A1371" s="1" t="s">
        <v>4134</v>
      </c>
      <c r="B1371" s="1" t="s">
        <v>4135</v>
      </c>
      <c r="C1371" s="1" t="s">
        <v>309</v>
      </c>
      <c r="D1371" s="1" t="s">
        <v>309</v>
      </c>
      <c r="E1371" s="6">
        <v>20746.05</v>
      </c>
      <c r="F1371" s="1" t="s">
        <v>40</v>
      </c>
      <c r="G1371" s="6">
        <f ca="1">IFERROR(__xludf.DUMMYFUNCTION("iferror(GOOGLEFINANCE(TRIM(F1371)&amp;"":"" &amp; TRIM(B1371), ""price""),0
)"),300)</f>
        <v>300</v>
      </c>
      <c r="H1371" s="6">
        <v>371.2</v>
      </c>
      <c r="I1371" s="6">
        <f t="shared" ca="1" si="0"/>
        <v>300</v>
      </c>
      <c r="J1371" s="6">
        <f ca="1">IFERROR(__xludf.DUMMYFUNCTION("IFERROR(GOOGLEFINANCE(B1371, ""volume""), 0)"),176843)</f>
        <v>176843</v>
      </c>
      <c r="K1371" s="6">
        <v>0.9</v>
      </c>
      <c r="L1371" s="6">
        <f ca="1">IFERROR(__xludf.DUMMYFUNCTION("IFERROR(GOOGLEFINANCE(B1371,""changepct""),K1371)"),0.38)</f>
        <v>0.38</v>
      </c>
      <c r="M1371" s="6">
        <f ca="1">IFERROR(__xludf.DUMMYFUNCTION("IFERROR(GOOGLEFINANCE(B1371,""change""),0)"),1.15)</f>
        <v>1.1499999999999999</v>
      </c>
      <c r="N1371" s="6">
        <v>2</v>
      </c>
      <c r="O1371" s="7">
        <v>45536</v>
      </c>
      <c r="P1371" s="9"/>
      <c r="Q1371" s="6">
        <v>17955.91</v>
      </c>
      <c r="R1371" s="7">
        <v>45536</v>
      </c>
      <c r="S1371" s="6">
        <v>18286.68</v>
      </c>
      <c r="T1371" s="6">
        <v>2136.63</v>
      </c>
      <c r="U1371" s="7">
        <v>45536</v>
      </c>
      <c r="V1371" s="6">
        <v>13.59</v>
      </c>
      <c r="W1371" s="6">
        <f ca="1">IFERROR(__xludf.DUMMYFUNCTION("IFERROR(GOOGLEFINANCE(B1371,""pe""),V1371)"),16.08)</f>
        <v>16.079999999999998</v>
      </c>
      <c r="X1371" s="6">
        <v>1.38</v>
      </c>
      <c r="Y1371" s="6">
        <v>1.85</v>
      </c>
      <c r="Z1371" s="6">
        <v>2</v>
      </c>
      <c r="AA1371" s="8">
        <v>45352</v>
      </c>
      <c r="AB1371" s="4">
        <v>0</v>
      </c>
      <c r="AC1371" s="6">
        <v>21.54</v>
      </c>
      <c r="AD1371" s="6">
        <v>29.51</v>
      </c>
      <c r="AE1371" s="1">
        <v>0</v>
      </c>
      <c r="AF1371" s="1">
        <f ca="1">IFERROR(__xludf.DUMMYFUNCTION("IFERROR(GOOGLEFINANCE(TRIM(F1371)&amp;"":"" &amp; TRIM(B1371),""high52""),AE1371)"),360.6)</f>
        <v>360.6</v>
      </c>
      <c r="AG1371" s="1">
        <v>0</v>
      </c>
      <c r="AH1371" s="1">
        <f ca="1">IFERROR(__xludf.DUMMYFUNCTION("IFERROR(GOOGLEFINANCE(TRIM(F1371)&amp;"":"" &amp; TRIM(B1371),""low52""),AE1371)"),261.45)</f>
        <v>261.45</v>
      </c>
      <c r="AI1371" s="1">
        <f ca="1">IFERROR(__xludf.DUMMYFUNCTION("IFERROR(GOOGLEFINANCE(B1371,""eps""),0)"),18.65)</f>
        <v>18.649999999999999</v>
      </c>
      <c r="AJ1371" s="1"/>
      <c r="AK1371" s="1" t="s">
        <v>4136</v>
      </c>
      <c r="AL1371" s="9">
        <f t="shared" si="185"/>
        <v>1</v>
      </c>
    </row>
    <row r="1372" spans="1:38" ht="15" x14ac:dyDescent="0.25">
      <c r="A1372" s="1" t="s">
        <v>4137</v>
      </c>
      <c r="B1372" s="1" t="s">
        <v>4138</v>
      </c>
      <c r="C1372" s="1" t="s">
        <v>86</v>
      </c>
      <c r="D1372" s="1" t="s">
        <v>86</v>
      </c>
      <c r="E1372" s="6">
        <v>1230.32</v>
      </c>
      <c r="F1372" s="1" t="s">
        <v>53</v>
      </c>
      <c r="G1372" s="6">
        <f ca="1">IFERROR(__xludf.DUMMYFUNCTION("iferror(GOOGLEFINANCE(TRIM(F1372)&amp;"":"" &amp; TRIM(B1372), ""price""),0
)"),0)</f>
        <v>0</v>
      </c>
      <c r="H1372" s="6">
        <v>56.1</v>
      </c>
      <c r="I1372" s="6">
        <f t="shared" ca="1" si="0"/>
        <v>56.1</v>
      </c>
      <c r="J1372" s="6">
        <f ca="1">IFERROR(__xludf.DUMMYFUNCTION("IFERROR(GOOGLEFINANCE(B1372, ""volume""), 0)"),175559)</f>
        <v>175559</v>
      </c>
      <c r="K1372" s="6">
        <v>2.63</v>
      </c>
      <c r="L1372" s="6">
        <f ca="1">IFERROR(__xludf.DUMMYFUNCTION("IFERROR(GOOGLEFINANCE(B1372,""changepct""),K1372)"),0.43)</f>
        <v>0.43</v>
      </c>
      <c r="M1372" s="6">
        <f ca="1">IFERROR(__xludf.DUMMYFUNCTION("IFERROR(GOOGLEFINANCE(B1372,""change""),0)"),0.38)</f>
        <v>0.38</v>
      </c>
      <c r="N1372" s="6">
        <v>2</v>
      </c>
      <c r="O1372" s="7">
        <v>45536</v>
      </c>
      <c r="P1372" s="6">
        <v>166.16</v>
      </c>
      <c r="Q1372" s="6">
        <v>1388.3</v>
      </c>
      <c r="R1372" s="7">
        <v>45536</v>
      </c>
      <c r="S1372" s="6">
        <v>605.13</v>
      </c>
      <c r="T1372" s="6">
        <v>70.5</v>
      </c>
      <c r="U1372" s="7">
        <v>45536</v>
      </c>
      <c r="V1372" s="6">
        <v>17.399999999999999</v>
      </c>
      <c r="W1372" s="6">
        <f ca="1">IFERROR(__xludf.DUMMYFUNCTION("IFERROR(GOOGLEFINANCE(B1372,""pe""),V1372)"),7.8)</f>
        <v>7.8</v>
      </c>
      <c r="X1372" s="6">
        <v>1.96</v>
      </c>
      <c r="Y1372" s="6">
        <v>1.77</v>
      </c>
      <c r="Z1372" s="6">
        <v>2</v>
      </c>
      <c r="AA1372" s="8">
        <v>45352</v>
      </c>
      <c r="AB1372" s="4">
        <v>0.16</v>
      </c>
      <c r="AC1372" s="6">
        <v>10.1</v>
      </c>
      <c r="AD1372" s="6">
        <v>13.2</v>
      </c>
      <c r="AE1372" s="1">
        <v>0</v>
      </c>
      <c r="AF1372" s="1">
        <f ca="1">IFERROR(__xludf.DUMMYFUNCTION("IFERROR(GOOGLEFINANCE(TRIM(F1372)&amp;"":"" &amp; TRIM(B1372),""high52""),AE1372)"),0)</f>
        <v>0</v>
      </c>
      <c r="AG1372" s="1">
        <v>0</v>
      </c>
      <c r="AH1372" s="1">
        <f ca="1">IFERROR(__xludf.DUMMYFUNCTION("IFERROR(GOOGLEFINANCE(TRIM(F1372)&amp;"":"" &amp; TRIM(B1372),""low52""),AE1372)"),0)</f>
        <v>0</v>
      </c>
      <c r="AI1372" s="1">
        <f ca="1">IFERROR(__xludf.DUMMYFUNCTION("IFERROR(GOOGLEFINANCE(B1372,""eps""),0)"),11.25)</f>
        <v>11.25</v>
      </c>
      <c r="AJ1372" s="1"/>
      <c r="AK1372" s="1" t="s">
        <v>4139</v>
      </c>
      <c r="AL1372" s="9">
        <f t="shared" si="185"/>
        <v>1</v>
      </c>
    </row>
    <row r="1373" spans="1:38" ht="15" x14ac:dyDescent="0.25">
      <c r="A1373" s="1" t="s">
        <v>4140</v>
      </c>
      <c r="B1373" s="1" t="s">
        <v>4141</v>
      </c>
      <c r="C1373" s="1" t="s">
        <v>86</v>
      </c>
      <c r="D1373" s="1" t="s">
        <v>86</v>
      </c>
      <c r="E1373" s="6">
        <v>158.03</v>
      </c>
      <c r="F1373" s="1" t="s">
        <v>53</v>
      </c>
      <c r="G1373" s="6">
        <f ca="1">IFERROR(__xludf.DUMMYFUNCTION("iferror(GOOGLEFINANCE(TRIM(F1373)&amp;"":"" &amp; TRIM(B1373), ""price""),0
)"),0)</f>
        <v>0</v>
      </c>
      <c r="H1373" s="6">
        <v>54.98</v>
      </c>
      <c r="I1373" s="6">
        <f t="shared" ca="1" si="0"/>
        <v>54.98</v>
      </c>
      <c r="J1373" s="6">
        <f ca="1">IFERROR(__xludf.DUMMYFUNCTION("IFERROR(GOOGLEFINANCE(B1373, ""volume""), 0)"),0)</f>
        <v>0</v>
      </c>
      <c r="K1373" s="6">
        <v>0.95</v>
      </c>
      <c r="L1373" s="6">
        <f ca="1">IFERROR(__xludf.DUMMYFUNCTION("IFERROR(GOOGLEFINANCE(B1373,""changepct""),K1373)"),0.95)</f>
        <v>0.95</v>
      </c>
      <c r="M1373" s="6">
        <f ca="1">IFERROR(__xludf.DUMMYFUNCTION("IFERROR(GOOGLEFINANCE(B1373,""change""),0)"),0)</f>
        <v>0</v>
      </c>
      <c r="N1373" s="6">
        <v>2</v>
      </c>
      <c r="O1373" s="7">
        <v>45536</v>
      </c>
      <c r="P1373" s="6">
        <v>184.2</v>
      </c>
      <c r="Q1373" s="6">
        <v>342.23</v>
      </c>
      <c r="R1373" s="7">
        <v>45536</v>
      </c>
      <c r="S1373" s="6">
        <v>218.49</v>
      </c>
      <c r="T1373" s="6">
        <v>17.12</v>
      </c>
      <c r="U1373" s="7">
        <v>45536</v>
      </c>
      <c r="V1373" s="6">
        <v>9.33</v>
      </c>
      <c r="W1373" s="6">
        <f ca="1">IFERROR(__xludf.DUMMYFUNCTION("IFERROR(GOOGLEFINANCE(B1373,""pe""),V1373)"),9.33)</f>
        <v>9.33</v>
      </c>
      <c r="X1373" s="6">
        <v>0.22</v>
      </c>
      <c r="Y1373" s="6">
        <v>0.88</v>
      </c>
      <c r="Z1373" s="6">
        <v>2</v>
      </c>
      <c r="AA1373" s="8">
        <v>45352</v>
      </c>
      <c r="AB1373" s="4">
        <v>0.9</v>
      </c>
      <c r="AC1373" s="6">
        <v>8.44</v>
      </c>
      <c r="AD1373" s="6">
        <v>8.58</v>
      </c>
      <c r="AE1373" s="1">
        <v>0</v>
      </c>
      <c r="AF1373" s="1">
        <f ca="1">IFERROR(__xludf.DUMMYFUNCTION("IFERROR(GOOGLEFINANCE(TRIM(F1373)&amp;"":"" &amp; TRIM(B1373),""high52""),AE1373)"),0)</f>
        <v>0</v>
      </c>
      <c r="AG1373" s="1">
        <v>0</v>
      </c>
      <c r="AH1373" s="1">
        <f ca="1">IFERROR(__xludf.DUMMYFUNCTION("IFERROR(GOOGLEFINANCE(TRIM(F1373)&amp;"":"" &amp; TRIM(B1373),""low52""),AE1373)"),0)</f>
        <v>0</v>
      </c>
      <c r="AI1373" s="1">
        <f ca="1">IFERROR(__xludf.DUMMYFUNCTION("IFERROR(GOOGLEFINANCE(B1373,""eps""),0)"),0)</f>
        <v>0</v>
      </c>
      <c r="AJ1373" s="1"/>
      <c r="AK1373" s="1" t="s">
        <v>4142</v>
      </c>
      <c r="AL1373" s="9">
        <f t="shared" si="185"/>
        <v>1</v>
      </c>
    </row>
    <row r="1374" spans="1:38" ht="15" x14ac:dyDescent="0.25">
      <c r="A1374" s="1" t="s">
        <v>4143</v>
      </c>
      <c r="B1374" s="1" t="s">
        <v>4144</v>
      </c>
      <c r="C1374" s="1" t="s">
        <v>86</v>
      </c>
      <c r="D1374" s="1" t="s">
        <v>86</v>
      </c>
      <c r="E1374" s="6">
        <v>61.42</v>
      </c>
      <c r="F1374" s="1" t="s">
        <v>53</v>
      </c>
      <c r="G1374" s="6">
        <f ca="1">IFERROR(__xludf.DUMMYFUNCTION("iferror(GOOGLEFINANCE(TRIM(F1374)&amp;"":"" &amp; TRIM(B1374), ""price""),0
)"),0)</f>
        <v>0</v>
      </c>
      <c r="H1374" s="6">
        <v>32</v>
      </c>
      <c r="I1374" s="6">
        <f t="shared" ca="1" si="0"/>
        <v>32</v>
      </c>
      <c r="J1374" s="6">
        <f ca="1">IFERROR(__xludf.DUMMYFUNCTION("IFERROR(GOOGLEFINANCE(B1374, ""volume""), 0)"),0)</f>
        <v>0</v>
      </c>
      <c r="K1374" s="6">
        <v>0</v>
      </c>
      <c r="L1374" s="6">
        <f ca="1">IFERROR(__xludf.DUMMYFUNCTION("IFERROR(GOOGLEFINANCE(B1374,""changepct""),K1374)"),0)</f>
        <v>0</v>
      </c>
      <c r="M1374" s="6">
        <f ca="1">IFERROR(__xludf.DUMMYFUNCTION("IFERROR(GOOGLEFINANCE(B1374,""change""),0)"),0)</f>
        <v>0</v>
      </c>
      <c r="N1374" s="6">
        <v>1</v>
      </c>
      <c r="O1374" s="7">
        <v>45536</v>
      </c>
      <c r="P1374" s="6">
        <v>17.46</v>
      </c>
      <c r="Q1374" s="6">
        <v>72</v>
      </c>
      <c r="R1374" s="7">
        <v>45536</v>
      </c>
      <c r="S1374" s="6">
        <v>34.049999999999997</v>
      </c>
      <c r="T1374" s="6">
        <v>0.35</v>
      </c>
      <c r="U1374" s="7">
        <v>45536</v>
      </c>
      <c r="V1374" s="6">
        <v>176.48</v>
      </c>
      <c r="W1374" s="6">
        <f ca="1">IFERROR(__xludf.DUMMYFUNCTION("IFERROR(GOOGLEFINANCE(B1374,""pe""),V1374)"),176.48)</f>
        <v>176.48</v>
      </c>
      <c r="X1374" s="6">
        <v>-28.84</v>
      </c>
      <c r="Y1374" s="6">
        <v>1.35</v>
      </c>
      <c r="Z1374" s="6">
        <v>1</v>
      </c>
      <c r="AA1374" s="8">
        <v>45352</v>
      </c>
      <c r="AB1374" s="4">
        <v>0.52</v>
      </c>
      <c r="AC1374" s="6">
        <v>3.2</v>
      </c>
      <c r="AD1374" s="6">
        <v>4.4000000000000004</v>
      </c>
      <c r="AE1374" s="1">
        <v>0</v>
      </c>
      <c r="AF1374" s="1">
        <f ca="1">IFERROR(__xludf.DUMMYFUNCTION("IFERROR(GOOGLEFINANCE(TRIM(F1374)&amp;"":"" &amp; TRIM(B1374),""high52""),AE1374)"),0)</f>
        <v>0</v>
      </c>
      <c r="AG1374" s="1">
        <v>0</v>
      </c>
      <c r="AH1374" s="1">
        <f ca="1">IFERROR(__xludf.DUMMYFUNCTION("IFERROR(GOOGLEFINANCE(TRIM(F1374)&amp;"":"" &amp; TRIM(B1374),""low52""),AE1374)"),0)</f>
        <v>0</v>
      </c>
      <c r="AI1374" s="1">
        <f ca="1">IFERROR(__xludf.DUMMYFUNCTION("IFERROR(GOOGLEFINANCE(B1374,""eps""),0)"),0)</f>
        <v>0</v>
      </c>
      <c r="AJ1374" s="1"/>
      <c r="AK1374" s="1" t="s">
        <v>4145</v>
      </c>
      <c r="AL1374" s="9">
        <f t="shared" si="185"/>
        <v>1</v>
      </c>
    </row>
    <row r="1375" spans="1:38" ht="15" x14ac:dyDescent="0.25">
      <c r="A1375" s="1" t="s">
        <v>4146</v>
      </c>
      <c r="B1375" s="1" t="s">
        <v>4147</v>
      </c>
      <c r="C1375" s="1" t="s">
        <v>86</v>
      </c>
      <c r="D1375" s="1" t="s">
        <v>86</v>
      </c>
      <c r="E1375" s="6">
        <v>100.89</v>
      </c>
      <c r="F1375" s="1" t="s">
        <v>53</v>
      </c>
      <c r="G1375" s="6">
        <f ca="1">IFERROR(__xludf.DUMMYFUNCTION("iferror(GOOGLEFINANCE(TRIM(F1375)&amp;"":"" &amp; TRIM(B1375), ""price""),0
)"),0)</f>
        <v>0</v>
      </c>
      <c r="H1375" s="6">
        <v>330</v>
      </c>
      <c r="I1375" s="6">
        <f t="shared" ca="1" si="0"/>
        <v>330</v>
      </c>
      <c r="J1375" s="6">
        <f ca="1">IFERROR(__xludf.DUMMYFUNCTION("IFERROR(GOOGLEFINANCE(B1375, ""volume""), 0)"),0)</f>
        <v>0</v>
      </c>
      <c r="K1375" s="6">
        <v>2.71</v>
      </c>
      <c r="L1375" s="6">
        <f ca="1">IFERROR(__xludf.DUMMYFUNCTION("IFERROR(GOOGLEFINANCE(B1375,""changepct""),K1375)"),2.71)</f>
        <v>2.71</v>
      </c>
      <c r="M1375" s="6">
        <f ca="1">IFERROR(__xludf.DUMMYFUNCTION("IFERROR(GOOGLEFINANCE(B1375,""change""),0)"),0)</f>
        <v>0</v>
      </c>
      <c r="N1375" s="6">
        <v>1</v>
      </c>
      <c r="O1375" s="7">
        <v>45536</v>
      </c>
      <c r="P1375" s="6">
        <v>0.02</v>
      </c>
      <c r="Q1375" s="6">
        <v>100.91</v>
      </c>
      <c r="R1375" s="7">
        <v>45536</v>
      </c>
      <c r="S1375" s="6">
        <v>60.7</v>
      </c>
      <c r="T1375" s="6">
        <v>4.18</v>
      </c>
      <c r="U1375" s="7">
        <v>45536</v>
      </c>
      <c r="V1375" s="6">
        <v>24.15</v>
      </c>
      <c r="W1375" s="6">
        <f ca="1">IFERROR(__xludf.DUMMYFUNCTION("IFERROR(GOOGLEFINANCE(B1375,""pe""),V1375)"),24.15)</f>
        <v>24.15</v>
      </c>
      <c r="X1375" s="6">
        <v>1.86</v>
      </c>
      <c r="Y1375" s="6">
        <v>3.29</v>
      </c>
      <c r="Z1375" s="6">
        <v>1</v>
      </c>
      <c r="AA1375" s="8">
        <v>45352</v>
      </c>
      <c r="AB1375" s="4">
        <v>0</v>
      </c>
      <c r="AC1375" s="6">
        <v>11.35</v>
      </c>
      <c r="AD1375" s="6">
        <v>12.92</v>
      </c>
      <c r="AE1375" s="1">
        <v>0</v>
      </c>
      <c r="AF1375" s="1">
        <f ca="1">IFERROR(__xludf.DUMMYFUNCTION("IFERROR(GOOGLEFINANCE(TRIM(F1375)&amp;"":"" &amp; TRIM(B1375),""high52""),AE1375)"),0)</f>
        <v>0</v>
      </c>
      <c r="AG1375" s="1">
        <v>0</v>
      </c>
      <c r="AH1375" s="1">
        <f ca="1">IFERROR(__xludf.DUMMYFUNCTION("IFERROR(GOOGLEFINANCE(TRIM(F1375)&amp;"":"" &amp; TRIM(B1375),""low52""),AE1375)"),0)</f>
        <v>0</v>
      </c>
      <c r="AI1375" s="1">
        <f ca="1">IFERROR(__xludf.DUMMYFUNCTION("IFERROR(GOOGLEFINANCE(B1375,""eps""),0)"),0)</f>
        <v>0</v>
      </c>
      <c r="AJ1375" s="1"/>
      <c r="AK1375" s="1" t="s">
        <v>4148</v>
      </c>
      <c r="AL1375" s="9">
        <f t="shared" si="185"/>
        <v>1</v>
      </c>
    </row>
    <row r="1376" spans="1:38" ht="15" x14ac:dyDescent="0.25">
      <c r="A1376" s="1" t="s">
        <v>4149</v>
      </c>
      <c r="B1376" s="1" t="s">
        <v>4150</v>
      </c>
      <c r="C1376" s="1" t="s">
        <v>843</v>
      </c>
      <c r="D1376" s="1" t="s">
        <v>843</v>
      </c>
      <c r="E1376" s="6">
        <v>5984.8</v>
      </c>
      <c r="F1376" s="1" t="s">
        <v>40</v>
      </c>
      <c r="G1376" s="6">
        <f ca="1">IFERROR(__xludf.DUMMYFUNCTION("iferror(GOOGLEFINANCE(TRIM(F1376)&amp;"":"" &amp; TRIM(B1376), ""price""),0
)"),1096.2)</f>
        <v>1096.2</v>
      </c>
      <c r="H1376" s="6">
        <v>1193.45</v>
      </c>
      <c r="I1376" s="6">
        <f t="shared" ca="1" si="0"/>
        <v>1096.2</v>
      </c>
      <c r="J1376" s="6">
        <f ca="1">IFERROR(__xludf.DUMMYFUNCTION("IFERROR(GOOGLEFINANCE(B1376, ""volume""), 0)"),25575)</f>
        <v>25575</v>
      </c>
      <c r="K1376" s="6">
        <v>-1.73</v>
      </c>
      <c r="L1376" s="6">
        <f ca="1">IFERROR(__xludf.DUMMYFUNCTION("IFERROR(GOOGLEFINANCE(B1376,""changepct""),K1376)"),-1.02)</f>
        <v>-1.02</v>
      </c>
      <c r="M1376" s="6">
        <f ca="1">IFERROR(__xludf.DUMMYFUNCTION("IFERROR(GOOGLEFINANCE(B1376,""change""),0)"),-11.3)</f>
        <v>-11.3</v>
      </c>
      <c r="N1376" s="6">
        <v>2</v>
      </c>
      <c r="O1376" s="7">
        <v>45536</v>
      </c>
      <c r="P1376" s="6">
        <v>431.9</v>
      </c>
      <c r="Q1376" s="6">
        <v>5526.44</v>
      </c>
      <c r="R1376" s="7">
        <v>45536</v>
      </c>
      <c r="S1376" s="6">
        <v>3445.16</v>
      </c>
      <c r="T1376" s="6">
        <v>333.68</v>
      </c>
      <c r="U1376" s="7">
        <v>45536</v>
      </c>
      <c r="V1376" s="6">
        <v>17.809999999999999</v>
      </c>
      <c r="W1376" s="6">
        <f ca="1">IFERROR(__xludf.DUMMYFUNCTION("IFERROR(GOOGLEFINANCE(B1376,""pe""),V1376)"),14.69)</f>
        <v>14.69</v>
      </c>
      <c r="X1376" s="12"/>
      <c r="Y1376" s="6">
        <v>4.37</v>
      </c>
      <c r="Z1376" s="6">
        <v>2</v>
      </c>
      <c r="AA1376" s="8">
        <v>45352</v>
      </c>
      <c r="AB1376" s="4">
        <v>0.26</v>
      </c>
      <c r="AC1376" s="6">
        <v>25.12</v>
      </c>
      <c r="AD1376" s="6">
        <v>27.94</v>
      </c>
      <c r="AE1376" s="1">
        <v>0</v>
      </c>
      <c r="AF1376" s="1">
        <f ca="1">IFERROR(__xludf.DUMMYFUNCTION("IFERROR(GOOGLEFINANCE(TRIM(F1376)&amp;"":"" &amp; TRIM(B1376),""high52""),AE1376)"),1331.9)</f>
        <v>1331.9</v>
      </c>
      <c r="AG1376" s="1">
        <v>0</v>
      </c>
      <c r="AH1376" s="1">
        <f ca="1">IFERROR(__xludf.DUMMYFUNCTION("IFERROR(GOOGLEFINANCE(TRIM(F1376)&amp;"":"" &amp; TRIM(B1376),""low52""),AE1376)"),911)</f>
        <v>911</v>
      </c>
      <c r="AI1376" s="1">
        <f ca="1">IFERROR(__xludf.DUMMYFUNCTION("IFERROR(GOOGLEFINANCE(B1376,""eps""),0)"),74.62)</f>
        <v>74.62</v>
      </c>
      <c r="AJ1376" s="1"/>
      <c r="AK1376" s="1" t="s">
        <v>4151</v>
      </c>
      <c r="AL1376" s="9">
        <f t="shared" si="185"/>
        <v>1</v>
      </c>
    </row>
    <row r="1377" spans="1:38" ht="15" x14ac:dyDescent="0.25">
      <c r="A1377" s="1" t="s">
        <v>4152</v>
      </c>
      <c r="B1377" s="1" t="s">
        <v>4153</v>
      </c>
      <c r="C1377" s="1" t="s">
        <v>86</v>
      </c>
      <c r="D1377" s="1" t="s">
        <v>86</v>
      </c>
      <c r="E1377" s="6">
        <v>17.149999999999999</v>
      </c>
      <c r="F1377" s="1" t="s">
        <v>53</v>
      </c>
      <c r="G1377" s="6">
        <f ca="1">IFERROR(__xludf.DUMMYFUNCTION("iferror(GOOGLEFINANCE(TRIM(F1377)&amp;"":"" &amp; TRIM(B1377), ""price""),0
)"),0)</f>
        <v>0</v>
      </c>
      <c r="H1377" s="6">
        <v>24.3</v>
      </c>
      <c r="I1377" s="6">
        <f t="shared" ca="1" si="0"/>
        <v>24.3</v>
      </c>
      <c r="J1377" s="6">
        <f ca="1">IFERROR(__xludf.DUMMYFUNCTION("IFERROR(GOOGLEFINANCE(B1377, ""volume""), 0)"),0)</f>
        <v>0</v>
      </c>
      <c r="K1377" s="6">
        <v>2.62</v>
      </c>
      <c r="L1377" s="6">
        <f ca="1">IFERROR(__xludf.DUMMYFUNCTION("IFERROR(GOOGLEFINANCE(B1377,""changepct""),K1377)"),2.62)</f>
        <v>2.62</v>
      </c>
      <c r="M1377" s="6">
        <f ca="1">IFERROR(__xludf.DUMMYFUNCTION("IFERROR(GOOGLEFINANCE(B1377,""change""),0)"),0)</f>
        <v>0</v>
      </c>
      <c r="N1377" s="6">
        <v>1</v>
      </c>
      <c r="O1377" s="7">
        <v>45536</v>
      </c>
      <c r="P1377" s="6">
        <v>0.01</v>
      </c>
      <c r="Q1377" s="6">
        <v>17.16</v>
      </c>
      <c r="R1377" s="7">
        <v>45536</v>
      </c>
      <c r="S1377" s="6">
        <v>1.43</v>
      </c>
      <c r="T1377" s="6">
        <v>0.85</v>
      </c>
      <c r="U1377" s="7">
        <v>45536</v>
      </c>
      <c r="V1377" s="6">
        <v>20.22</v>
      </c>
      <c r="W1377" s="6">
        <f ca="1">IFERROR(__xludf.DUMMYFUNCTION("IFERROR(GOOGLEFINANCE(B1377,""pe""),V1377)"),20.22)</f>
        <v>20.22</v>
      </c>
      <c r="X1377" s="6">
        <v>0.73</v>
      </c>
      <c r="Y1377" s="6">
        <v>1.28</v>
      </c>
      <c r="Z1377" s="6">
        <v>1</v>
      </c>
      <c r="AA1377" s="8">
        <v>45352</v>
      </c>
      <c r="AB1377" s="4">
        <v>0</v>
      </c>
      <c r="AC1377" s="6">
        <v>11.74</v>
      </c>
      <c r="AD1377" s="6">
        <v>15.15</v>
      </c>
      <c r="AE1377" s="1">
        <v>0</v>
      </c>
      <c r="AF1377" s="1">
        <f ca="1">IFERROR(__xludf.DUMMYFUNCTION("IFERROR(GOOGLEFINANCE(TRIM(F1377)&amp;"":"" &amp; TRIM(B1377),""high52""),AE1377)"),0)</f>
        <v>0</v>
      </c>
      <c r="AG1377" s="1">
        <v>0</v>
      </c>
      <c r="AH1377" s="1">
        <f ca="1">IFERROR(__xludf.DUMMYFUNCTION("IFERROR(GOOGLEFINANCE(TRIM(F1377)&amp;"":"" &amp; TRIM(B1377),""low52""),AE1377)"),0)</f>
        <v>0</v>
      </c>
      <c r="AI1377" s="1">
        <f ca="1">IFERROR(__xludf.DUMMYFUNCTION("IFERROR(GOOGLEFINANCE(B1377,""eps""),0)"),0)</f>
        <v>0</v>
      </c>
      <c r="AJ1377" s="1"/>
      <c r="AK1377" s="1" t="s">
        <v>4154</v>
      </c>
      <c r="AL1377" s="9">
        <f t="shared" si="185"/>
        <v>1</v>
      </c>
    </row>
    <row r="1378" spans="1:38" ht="15" x14ac:dyDescent="0.25">
      <c r="A1378" s="1" t="s">
        <v>4155</v>
      </c>
      <c r="B1378" s="1" t="s">
        <v>4156</v>
      </c>
      <c r="C1378" s="1" t="s">
        <v>324</v>
      </c>
      <c r="D1378" s="1" t="s">
        <v>324</v>
      </c>
      <c r="E1378" s="6">
        <v>1092.1099999999999</v>
      </c>
      <c r="F1378" s="1" t="s">
        <v>40</v>
      </c>
      <c r="G1378" s="6">
        <f ca="1">IFERROR(__xludf.DUMMYFUNCTION("iferror(GOOGLEFINANCE(TRIM(F1378)&amp;"":"" &amp; TRIM(B1378), ""price""),0
)"),125.6)</f>
        <v>125.6</v>
      </c>
      <c r="H1378" s="6">
        <v>174.36</v>
      </c>
      <c r="I1378" s="6">
        <f t="shared" ca="1" si="0"/>
        <v>125.6</v>
      </c>
      <c r="J1378" s="6">
        <f ca="1">IFERROR(__xludf.DUMMYFUNCTION("IFERROR(GOOGLEFINANCE(B1378, ""volume""), 0)"),91389)</f>
        <v>91389</v>
      </c>
      <c r="K1378" s="6">
        <v>-0.05</v>
      </c>
      <c r="L1378" s="6">
        <f ca="1">IFERROR(__xludf.DUMMYFUNCTION("IFERROR(GOOGLEFINANCE(B1378,""changepct""),K1378)"),-0.4)</f>
        <v>-0.4</v>
      </c>
      <c r="M1378" s="6">
        <f ca="1">IFERROR(__xludf.DUMMYFUNCTION("IFERROR(GOOGLEFINANCE(B1378,""change""),0)"),-0.51)</f>
        <v>-0.51</v>
      </c>
      <c r="N1378" s="6">
        <v>2</v>
      </c>
      <c r="O1378" s="7">
        <v>45536</v>
      </c>
      <c r="P1378" s="6">
        <v>435.69</v>
      </c>
      <c r="Q1378" s="6">
        <v>1509.8</v>
      </c>
      <c r="R1378" s="7">
        <v>45536</v>
      </c>
      <c r="S1378" s="6">
        <v>1671.7</v>
      </c>
      <c r="T1378" s="6">
        <v>22.12</v>
      </c>
      <c r="U1378" s="7">
        <v>45536</v>
      </c>
      <c r="V1378" s="6">
        <v>49.38</v>
      </c>
      <c r="W1378" s="6">
        <f ca="1">IFERROR(__xludf.DUMMYFUNCTION("IFERROR(GOOGLEFINANCE(B1378,""pe""),V1378)"),18.35)</f>
        <v>18.350000000000001</v>
      </c>
      <c r="X1378" s="9"/>
      <c r="Y1378" s="6">
        <v>1.81</v>
      </c>
      <c r="Z1378" s="6">
        <v>2</v>
      </c>
      <c r="AA1378" s="8">
        <v>45352</v>
      </c>
      <c r="AB1378" s="4">
        <v>0.59</v>
      </c>
      <c r="AC1378" s="6">
        <v>3.05</v>
      </c>
      <c r="AD1378" s="6">
        <v>4.3</v>
      </c>
      <c r="AE1378" s="1">
        <v>0</v>
      </c>
      <c r="AF1378" s="1">
        <f ca="1">IFERROR(__xludf.DUMMYFUNCTION("IFERROR(GOOGLEFINANCE(TRIM(F1378)&amp;"":"" &amp; TRIM(B1378),""high52""),AE1378)"),224.47)</f>
        <v>224.47</v>
      </c>
      <c r="AG1378" s="1">
        <v>0</v>
      </c>
      <c r="AH1378" s="1">
        <f ca="1">IFERROR(__xludf.DUMMYFUNCTION("IFERROR(GOOGLEFINANCE(TRIM(F1378)&amp;"":"" &amp; TRIM(B1378),""low52""),AE1378)"),121.5)</f>
        <v>121.5</v>
      </c>
      <c r="AI1378" s="1">
        <f ca="1">IFERROR(__xludf.DUMMYFUNCTION("IFERROR(GOOGLEFINANCE(B1378,""eps""),0)"),6.85)</f>
        <v>6.85</v>
      </c>
      <c r="AJ1378" s="1"/>
      <c r="AK1378" s="1" t="s">
        <v>4157</v>
      </c>
      <c r="AL1378" s="9">
        <f t="shared" si="185"/>
        <v>1</v>
      </c>
    </row>
    <row r="1379" spans="1:38" ht="15" x14ac:dyDescent="0.25">
      <c r="A1379" s="1" t="s">
        <v>4158</v>
      </c>
      <c r="B1379" s="1" t="s">
        <v>4159</v>
      </c>
      <c r="C1379" s="1" t="s">
        <v>268</v>
      </c>
      <c r="D1379" s="1" t="s">
        <v>268</v>
      </c>
      <c r="E1379" s="6">
        <v>765.92</v>
      </c>
      <c r="F1379" s="1" t="s">
        <v>40</v>
      </c>
      <c r="G1379" s="6">
        <f ca="1">IFERROR(__xludf.DUMMYFUNCTION("iferror(GOOGLEFINANCE(TRIM(F1379)&amp;"":"" &amp; TRIM(B1379), ""price""),0
)"),2.86)</f>
        <v>2.86</v>
      </c>
      <c r="H1379" s="6">
        <v>4.8600000000000003</v>
      </c>
      <c r="I1379" s="6">
        <f t="shared" ca="1" si="0"/>
        <v>2.86</v>
      </c>
      <c r="J1379" s="6">
        <f ca="1">IFERROR(__xludf.DUMMYFUNCTION("IFERROR(GOOGLEFINANCE(B1379, ""volume""), 0)"),467826)</f>
        <v>467826</v>
      </c>
      <c r="K1379" s="6">
        <v>0</v>
      </c>
      <c r="L1379" s="6">
        <f ca="1">IFERROR(__xludf.DUMMYFUNCTION("IFERROR(GOOGLEFINANCE(B1379,""changepct""),K1379)"),-1.38)</f>
        <v>-1.38</v>
      </c>
      <c r="M1379" s="6">
        <f ca="1">IFERROR(__xludf.DUMMYFUNCTION("IFERROR(GOOGLEFINANCE(B1379,""change""),0)"),-0.04)</f>
        <v>-0.04</v>
      </c>
      <c r="N1379" s="6">
        <v>2</v>
      </c>
      <c r="O1379" s="7">
        <v>45536</v>
      </c>
      <c r="P1379" s="6">
        <v>3736.13</v>
      </c>
      <c r="Q1379" s="6">
        <v>3689.06</v>
      </c>
      <c r="R1379" s="7">
        <v>45536</v>
      </c>
      <c r="S1379" s="6">
        <v>818.16</v>
      </c>
      <c r="T1379" s="6">
        <v>596.08000000000004</v>
      </c>
      <c r="U1379" s="7">
        <v>45536</v>
      </c>
      <c r="V1379" s="6">
        <v>1.39</v>
      </c>
      <c r="W1379" s="6">
        <f ca="1">IFERROR(__xludf.DUMMYFUNCTION("IFERROR(GOOGLEFINANCE(B1379,""pe""),V1379)"),1.39)</f>
        <v>1.39</v>
      </c>
      <c r="X1379" s="6">
        <v>0.09</v>
      </c>
      <c r="Y1379" s="6">
        <v>-2.09</v>
      </c>
      <c r="Z1379" s="6">
        <v>2</v>
      </c>
      <c r="AA1379" s="8">
        <v>45352</v>
      </c>
      <c r="AB1379" s="4">
        <v>-3.89</v>
      </c>
      <c r="AC1379" s="6">
        <v>0</v>
      </c>
      <c r="AD1379" s="6">
        <v>21.79</v>
      </c>
      <c r="AE1379" s="1">
        <v>0</v>
      </c>
      <c r="AF1379" s="1">
        <f ca="1">IFERROR(__xludf.DUMMYFUNCTION("IFERROR(GOOGLEFINANCE(TRIM(F1379)&amp;"":"" &amp; TRIM(B1379),""high52""),AE1379)"),4.72)</f>
        <v>4.72</v>
      </c>
      <c r="AG1379" s="1">
        <v>0</v>
      </c>
      <c r="AH1379" s="1">
        <f ca="1">IFERROR(__xludf.DUMMYFUNCTION("IFERROR(GOOGLEFINANCE(TRIM(F1379)&amp;"":"" &amp; TRIM(B1379),""low52""),AE1379)"),2.82)</f>
        <v>2.82</v>
      </c>
      <c r="AI1379" s="1">
        <f ca="1">IFERROR(__xludf.DUMMYFUNCTION("IFERROR(GOOGLEFINANCE(B1379,""eps""),0)"),-6.21)</f>
        <v>-6.21</v>
      </c>
      <c r="AJ1379" s="1"/>
      <c r="AK1379" s="9"/>
      <c r="AL1379" s="9">
        <f t="shared" si="185"/>
        <v>1</v>
      </c>
    </row>
    <row r="1380" spans="1:38" ht="15" x14ac:dyDescent="0.25">
      <c r="A1380" s="1" t="s">
        <v>4160</v>
      </c>
      <c r="B1380" s="1" t="s">
        <v>4161</v>
      </c>
      <c r="C1380" s="1" t="s">
        <v>86</v>
      </c>
      <c r="D1380" s="1" t="s">
        <v>86</v>
      </c>
      <c r="E1380" s="6">
        <v>154.74</v>
      </c>
      <c r="F1380" s="1" t="s">
        <v>53</v>
      </c>
      <c r="G1380" s="6">
        <f ca="1">IFERROR(__xludf.DUMMYFUNCTION("iferror(GOOGLEFINANCE(TRIM(F1380)&amp;"":"" &amp; TRIM(B1380), ""price""),0
)"),0)</f>
        <v>0</v>
      </c>
      <c r="H1380" s="6">
        <v>66.53</v>
      </c>
      <c r="I1380" s="6">
        <f t="shared" ca="1" si="0"/>
        <v>66.53</v>
      </c>
      <c r="J1380" s="6">
        <f ca="1">IFERROR(__xludf.DUMMYFUNCTION("IFERROR(GOOGLEFINANCE(B1380, ""volume""), 0)"),0)</f>
        <v>0</v>
      </c>
      <c r="K1380" s="6">
        <v>-1.99</v>
      </c>
      <c r="L1380" s="6">
        <f ca="1">IFERROR(__xludf.DUMMYFUNCTION("IFERROR(GOOGLEFINANCE(B1380,""changepct""),K1380)"),-1.99)</f>
        <v>-1.99</v>
      </c>
      <c r="M1380" s="6">
        <f ca="1">IFERROR(__xludf.DUMMYFUNCTION("IFERROR(GOOGLEFINANCE(B1380,""change""),0)"),0)</f>
        <v>0</v>
      </c>
      <c r="N1380" s="6">
        <v>1</v>
      </c>
      <c r="O1380" s="7">
        <v>45536</v>
      </c>
      <c r="P1380" s="6">
        <v>38</v>
      </c>
      <c r="Q1380" s="6">
        <v>188.36</v>
      </c>
      <c r="R1380" s="7">
        <v>45536</v>
      </c>
      <c r="S1380" s="6">
        <v>90.8</v>
      </c>
      <c r="T1380" s="6">
        <v>1.08</v>
      </c>
      <c r="U1380" s="7">
        <v>45536</v>
      </c>
      <c r="V1380" s="6">
        <v>142.62</v>
      </c>
      <c r="W1380" s="6">
        <f ca="1">IFERROR(__xludf.DUMMYFUNCTION("IFERROR(GOOGLEFINANCE(B1380,""pe""),V1380)"),142.62)</f>
        <v>142.62</v>
      </c>
      <c r="X1380" s="6">
        <v>-30.41</v>
      </c>
      <c r="Y1380" s="6">
        <v>5.22</v>
      </c>
      <c r="Z1380" s="6">
        <v>1</v>
      </c>
      <c r="AA1380" s="8">
        <v>45352</v>
      </c>
      <c r="AB1380" s="4">
        <v>1.93</v>
      </c>
      <c r="AC1380" s="6">
        <v>3.64</v>
      </c>
      <c r="AD1380" s="6">
        <v>8.75</v>
      </c>
      <c r="AE1380" s="1">
        <v>0</v>
      </c>
      <c r="AF1380" s="1">
        <f ca="1">IFERROR(__xludf.DUMMYFUNCTION("IFERROR(GOOGLEFINANCE(TRIM(F1380)&amp;"":"" &amp; TRIM(B1380),""high52""),AE1380)"),0)</f>
        <v>0</v>
      </c>
      <c r="AG1380" s="1">
        <v>0</v>
      </c>
      <c r="AH1380" s="1">
        <f ca="1">IFERROR(__xludf.DUMMYFUNCTION("IFERROR(GOOGLEFINANCE(TRIM(F1380)&amp;"":"" &amp; TRIM(B1380),""low52""),AE1380)"),0)</f>
        <v>0</v>
      </c>
      <c r="AI1380" s="1">
        <f ca="1">IFERROR(__xludf.DUMMYFUNCTION("IFERROR(GOOGLEFINANCE(B1380,""eps""),0)"),0)</f>
        <v>0</v>
      </c>
      <c r="AJ1380" s="1"/>
      <c r="AK1380" s="1" t="s">
        <v>4162</v>
      </c>
      <c r="AL1380" s="9">
        <f t="shared" si="185"/>
        <v>1</v>
      </c>
    </row>
    <row r="1381" spans="1:38" ht="15" x14ac:dyDescent="0.25">
      <c r="A1381" s="1" t="s">
        <v>4163</v>
      </c>
      <c r="B1381" s="1" t="s">
        <v>4164</v>
      </c>
      <c r="C1381" s="1" t="s">
        <v>57</v>
      </c>
      <c r="D1381" s="1" t="s">
        <v>57</v>
      </c>
      <c r="E1381" s="6">
        <v>196.74</v>
      </c>
      <c r="F1381" s="1" t="s">
        <v>40</v>
      </c>
      <c r="G1381" s="6">
        <f ca="1">IFERROR(__xludf.DUMMYFUNCTION("iferror(GOOGLEFINANCE(TRIM(F1381)&amp;"":"" &amp; TRIM(B1381), ""price""),0
)"),8.03)</f>
        <v>8.0299999999999994</v>
      </c>
      <c r="H1381" s="6">
        <v>11.84</v>
      </c>
      <c r="I1381" s="6">
        <f t="shared" ca="1" si="0"/>
        <v>8.0299999999999994</v>
      </c>
      <c r="J1381" s="6">
        <f ca="1">IFERROR(__xludf.DUMMYFUNCTION("IFERROR(GOOGLEFINANCE(B1381, ""volume""), 0)"),13823)</f>
        <v>13823</v>
      </c>
      <c r="K1381" s="6">
        <v>-1.99</v>
      </c>
      <c r="L1381" s="6">
        <f ca="1">IFERROR(__xludf.DUMMYFUNCTION("IFERROR(GOOGLEFINANCE(B1381,""changepct""),K1381)"),1.52)</f>
        <v>1.52</v>
      </c>
      <c r="M1381" s="6">
        <f ca="1">IFERROR(__xludf.DUMMYFUNCTION("IFERROR(GOOGLEFINANCE(B1381,""change""),0)"),0.12)</f>
        <v>0.12</v>
      </c>
      <c r="N1381" s="6">
        <v>1</v>
      </c>
      <c r="O1381" s="7">
        <v>45536</v>
      </c>
      <c r="P1381" s="12"/>
      <c r="Q1381" s="6">
        <v>195.91</v>
      </c>
      <c r="R1381" s="7">
        <v>45536</v>
      </c>
      <c r="S1381" s="6">
        <v>19.260000000000002</v>
      </c>
      <c r="T1381" s="6">
        <v>2.67</v>
      </c>
      <c r="U1381" s="7">
        <v>45536</v>
      </c>
      <c r="V1381" s="6">
        <v>73.66</v>
      </c>
      <c r="W1381" s="6">
        <f ca="1">IFERROR(__xludf.DUMMYFUNCTION("IFERROR(GOOGLEFINANCE(B1381,""pe""),V1381)"),73.66)</f>
        <v>73.66</v>
      </c>
      <c r="X1381" s="6">
        <v>-4.91</v>
      </c>
      <c r="Y1381" s="6">
        <v>1.1599999999999999</v>
      </c>
      <c r="Z1381" s="6">
        <v>1</v>
      </c>
      <c r="AA1381" s="8">
        <v>45352</v>
      </c>
      <c r="AB1381" s="4">
        <v>0</v>
      </c>
      <c r="AC1381" s="6">
        <v>1.69</v>
      </c>
      <c r="AD1381" s="6">
        <v>1.73</v>
      </c>
      <c r="AE1381" s="1">
        <v>0</v>
      </c>
      <c r="AF1381" s="1">
        <f ca="1">IFERROR(__xludf.DUMMYFUNCTION("IFERROR(GOOGLEFINANCE(TRIM(F1381)&amp;"":"" &amp; TRIM(B1381),""high52""),AE1381)"),12)</f>
        <v>12</v>
      </c>
      <c r="AG1381" s="1">
        <v>0</v>
      </c>
      <c r="AH1381" s="1">
        <f ca="1">IFERROR(__xludf.DUMMYFUNCTION("IFERROR(GOOGLEFINANCE(TRIM(F1381)&amp;"":"" &amp; TRIM(B1381),""low52""),AE1381)"),7.42)</f>
        <v>7.42</v>
      </c>
      <c r="AI1381" s="1">
        <f ca="1">IFERROR(__xludf.DUMMYFUNCTION("IFERROR(GOOGLEFINANCE(B1381,""eps""),0)"),-5.25)</f>
        <v>-5.25</v>
      </c>
      <c r="AJ1381" s="1"/>
      <c r="AK1381" s="1" t="s">
        <v>4165</v>
      </c>
      <c r="AL1381" s="9">
        <f t="shared" si="185"/>
        <v>1</v>
      </c>
    </row>
    <row r="1382" spans="1:38" ht="15" x14ac:dyDescent="0.25">
      <c r="A1382" s="1" t="s">
        <v>4166</v>
      </c>
      <c r="B1382" s="1" t="s">
        <v>4167</v>
      </c>
      <c r="C1382" s="1" t="s">
        <v>86</v>
      </c>
      <c r="D1382" s="1" t="s">
        <v>86</v>
      </c>
      <c r="E1382" s="6">
        <v>9953.26</v>
      </c>
      <c r="F1382" s="1" t="s">
        <v>40</v>
      </c>
      <c r="G1382" s="6">
        <f ca="1">IFERROR(__xludf.DUMMYFUNCTION("iferror(GOOGLEFINANCE(TRIM(F1382)&amp;"":"" &amp; TRIM(B1382), ""price""),0
)"),634.7)</f>
        <v>634.70000000000005</v>
      </c>
      <c r="H1382" s="6">
        <v>1521.75</v>
      </c>
      <c r="I1382" s="6">
        <f t="shared" ca="1" si="0"/>
        <v>634.70000000000005</v>
      </c>
      <c r="J1382" s="6">
        <f ca="1">IFERROR(__xludf.DUMMYFUNCTION("IFERROR(GOOGLEFINANCE(B1382, ""volume""), 0)"),88362)</f>
        <v>88362</v>
      </c>
      <c r="K1382" s="6">
        <v>-0.34</v>
      </c>
      <c r="L1382" s="6">
        <f ca="1">IFERROR(__xludf.DUMMYFUNCTION("IFERROR(GOOGLEFINANCE(B1382,""changepct""),K1382)"),1.63)</f>
        <v>1.63</v>
      </c>
      <c r="M1382" s="6">
        <f ca="1">IFERROR(__xludf.DUMMYFUNCTION("IFERROR(GOOGLEFINANCE(B1382,""change""),0)"),10.2)</f>
        <v>10.199999999999999</v>
      </c>
      <c r="N1382" s="6">
        <v>2</v>
      </c>
      <c r="O1382" s="7">
        <v>45536</v>
      </c>
      <c r="P1382" s="6">
        <v>2403.59</v>
      </c>
      <c r="Q1382" s="6">
        <v>12241.06</v>
      </c>
      <c r="R1382" s="7">
        <v>45536</v>
      </c>
      <c r="S1382" s="6">
        <v>5503.24</v>
      </c>
      <c r="T1382" s="6">
        <v>534.62</v>
      </c>
      <c r="U1382" s="7">
        <v>45536</v>
      </c>
      <c r="V1382" s="6">
        <v>18.59</v>
      </c>
      <c r="W1382" s="6">
        <f ca="1">IFERROR(__xludf.DUMMYFUNCTION("IFERROR(GOOGLEFINANCE(B1382,""pe""),V1382)"),10.01)</f>
        <v>10.01</v>
      </c>
      <c r="X1382" s="6">
        <v>0.56999999999999995</v>
      </c>
      <c r="Y1382" s="6">
        <v>3.7</v>
      </c>
      <c r="Z1382" s="6">
        <v>2</v>
      </c>
      <c r="AA1382" s="8">
        <v>45352</v>
      </c>
      <c r="AB1382" s="4">
        <v>0.61</v>
      </c>
      <c r="AC1382" s="6">
        <v>24.61</v>
      </c>
      <c r="AD1382" s="6">
        <v>24.57</v>
      </c>
      <c r="AE1382" s="1">
        <v>0</v>
      </c>
      <c r="AF1382" s="1">
        <f ca="1">IFERROR(__xludf.DUMMYFUNCTION("IFERROR(GOOGLEFINANCE(TRIM(F1382)&amp;"":"" &amp; TRIM(B1382),""high52""),AE1382)"),1310.85)</f>
        <v>1310.85</v>
      </c>
      <c r="AG1382" s="1">
        <v>0</v>
      </c>
      <c r="AH1382" s="1">
        <f ca="1">IFERROR(__xludf.DUMMYFUNCTION("IFERROR(GOOGLEFINANCE(TRIM(F1382)&amp;"":"" &amp; TRIM(B1382),""low52""),AE1382)"),545.5)</f>
        <v>545.5</v>
      </c>
      <c r="AI1382" s="1">
        <f ca="1">IFERROR(__xludf.DUMMYFUNCTION("IFERROR(GOOGLEFINANCE(B1382,""eps""),0)"),63.41)</f>
        <v>63.41</v>
      </c>
      <c r="AJ1382" s="1"/>
      <c r="AK1382" s="1" t="s">
        <v>4168</v>
      </c>
      <c r="AL1382" s="9">
        <f t="shared" si="185"/>
        <v>1</v>
      </c>
    </row>
    <row r="1383" spans="1:38" ht="15" x14ac:dyDescent="0.25">
      <c r="A1383" s="1" t="s">
        <v>4169</v>
      </c>
      <c r="B1383" s="1" t="s">
        <v>4170</v>
      </c>
      <c r="C1383" s="1" t="s">
        <v>57</v>
      </c>
      <c r="D1383" s="1" t="s">
        <v>57</v>
      </c>
      <c r="E1383" s="6">
        <v>11036.12</v>
      </c>
      <c r="F1383" s="1" t="s">
        <v>40</v>
      </c>
      <c r="G1383" s="6">
        <f ca="1">IFERROR(__xludf.DUMMYFUNCTION("iferror(GOOGLEFINANCE(TRIM(F1383)&amp;"":"" &amp; TRIM(B1383), ""price""),0
)"),408)</f>
        <v>408</v>
      </c>
      <c r="H1383" s="6">
        <v>725.75</v>
      </c>
      <c r="I1383" s="6">
        <f t="shared" ca="1" si="0"/>
        <v>408</v>
      </c>
      <c r="J1383" s="6">
        <f ca="1">IFERROR(__xludf.DUMMYFUNCTION("IFERROR(GOOGLEFINANCE(B1383, ""volume""), 0)"),374886)</f>
        <v>374886</v>
      </c>
      <c r="K1383" s="6">
        <v>0.09</v>
      </c>
      <c r="L1383" s="6">
        <f ca="1">IFERROR(__xludf.DUMMYFUNCTION("IFERROR(GOOGLEFINANCE(B1383,""changepct""),K1383)"),-2.15)</f>
        <v>-2.15</v>
      </c>
      <c r="M1383" s="6">
        <f ca="1">IFERROR(__xludf.DUMMYFUNCTION("IFERROR(GOOGLEFINANCE(B1383,""change""),0)"),-8.95)</f>
        <v>-8.9499999999999993</v>
      </c>
      <c r="N1383" s="6">
        <v>2</v>
      </c>
      <c r="O1383" s="7">
        <v>45536</v>
      </c>
      <c r="P1383" s="6">
        <v>1173.28</v>
      </c>
      <c r="Q1383" s="6">
        <v>10859.05</v>
      </c>
      <c r="R1383" s="7">
        <v>45536</v>
      </c>
      <c r="S1383" s="6">
        <v>1812.63</v>
      </c>
      <c r="T1383" s="6">
        <v>232.15</v>
      </c>
      <c r="U1383" s="7">
        <v>45536</v>
      </c>
      <c r="V1383" s="6">
        <v>47.54</v>
      </c>
      <c r="W1383" s="6">
        <f ca="1">IFERROR(__xludf.DUMMYFUNCTION("IFERROR(GOOGLEFINANCE(B1383,""pe""),V1383)"),31.47)</f>
        <v>31.47</v>
      </c>
      <c r="X1383" s="12"/>
      <c r="Y1383" s="6">
        <v>7.24</v>
      </c>
      <c r="Z1383" s="6">
        <v>2</v>
      </c>
      <c r="AA1383" s="8">
        <v>45352</v>
      </c>
      <c r="AB1383" s="4">
        <v>0.3</v>
      </c>
      <c r="AC1383" s="6">
        <v>21.46</v>
      </c>
      <c r="AD1383" s="6">
        <v>23.35</v>
      </c>
      <c r="AE1383" s="1">
        <v>0</v>
      </c>
      <c r="AF1383" s="1">
        <f ca="1">IFERROR(__xludf.DUMMYFUNCTION("IFERROR(GOOGLEFINANCE(TRIM(F1383)&amp;"":"" &amp; TRIM(B1383),""high52""),AE1383)"),773.7)</f>
        <v>773.7</v>
      </c>
      <c r="AG1383" s="1">
        <v>0</v>
      </c>
      <c r="AH1383" s="1">
        <f ca="1">IFERROR(__xludf.DUMMYFUNCTION("IFERROR(GOOGLEFINANCE(TRIM(F1383)&amp;"":"" &amp; TRIM(B1383),""low52""),AE1383)"),395.05)</f>
        <v>395.05</v>
      </c>
      <c r="AI1383" s="1">
        <f ca="1">IFERROR(__xludf.DUMMYFUNCTION("IFERROR(GOOGLEFINANCE(B1383,""eps""),0)"),12.97)</f>
        <v>12.97</v>
      </c>
      <c r="AJ1383" s="1"/>
      <c r="AK1383" s="1" t="s">
        <v>4171</v>
      </c>
      <c r="AL1383" s="9">
        <f t="shared" si="185"/>
        <v>1</v>
      </c>
    </row>
    <row r="1384" spans="1:38" ht="15" x14ac:dyDescent="0.25">
      <c r="A1384" s="1" t="s">
        <v>4172</v>
      </c>
      <c r="B1384" s="1" t="s">
        <v>4173</v>
      </c>
      <c r="C1384" s="1" t="s">
        <v>1528</v>
      </c>
      <c r="D1384" s="1" t="s">
        <v>1528</v>
      </c>
      <c r="E1384" s="6">
        <v>9497.86</v>
      </c>
      <c r="F1384" s="1" t="s">
        <v>40</v>
      </c>
      <c r="G1384" s="6">
        <f ca="1">IFERROR(__xludf.DUMMYFUNCTION("iferror(GOOGLEFINANCE(TRIM(F1384)&amp;"":"" &amp; TRIM(B1384), ""price""),0
)"),1040)</f>
        <v>1040</v>
      </c>
      <c r="H1384" s="6">
        <v>1005.1</v>
      </c>
      <c r="I1384" s="6">
        <f t="shared" ca="1" si="0"/>
        <v>1040</v>
      </c>
      <c r="J1384" s="6">
        <f ca="1">IFERROR(__xludf.DUMMYFUNCTION("IFERROR(GOOGLEFINANCE(B1384, ""volume""), 0)"),20425)</f>
        <v>20425</v>
      </c>
      <c r="K1384" s="6">
        <v>-0.41</v>
      </c>
      <c r="L1384" s="6">
        <f ca="1">IFERROR(__xludf.DUMMYFUNCTION("IFERROR(GOOGLEFINANCE(B1384,""changepct""),K1384)"),0.63)</f>
        <v>0.63</v>
      </c>
      <c r="M1384" s="6">
        <f ca="1">IFERROR(__xludf.DUMMYFUNCTION("IFERROR(GOOGLEFINANCE(B1384,""change""),0)"),6.5)</f>
        <v>6.5</v>
      </c>
      <c r="N1384" s="6">
        <v>2</v>
      </c>
      <c r="O1384" s="7">
        <v>45536</v>
      </c>
      <c r="P1384" s="6">
        <v>148.84</v>
      </c>
      <c r="Q1384" s="6">
        <v>9554.15</v>
      </c>
      <c r="R1384" s="7">
        <v>45352</v>
      </c>
      <c r="S1384" s="6">
        <v>1358.24</v>
      </c>
      <c r="T1384" s="6">
        <v>242.98</v>
      </c>
      <c r="U1384" s="7">
        <v>45352</v>
      </c>
      <c r="V1384" s="6">
        <v>39.090000000000003</v>
      </c>
      <c r="W1384" s="6">
        <f ca="1">IFERROR(__xludf.DUMMYFUNCTION("IFERROR(GOOGLEFINANCE(B1384,""pe""),V1384)"),36.15)</f>
        <v>36.15</v>
      </c>
      <c r="X1384" s="9"/>
      <c r="Y1384" s="6">
        <v>5.55</v>
      </c>
      <c r="Z1384" s="6">
        <v>2</v>
      </c>
      <c r="AA1384" s="8">
        <v>45352</v>
      </c>
      <c r="AB1384" s="4">
        <v>0.09</v>
      </c>
      <c r="AC1384" s="6">
        <v>18.73</v>
      </c>
      <c r="AD1384" s="6">
        <v>22.7</v>
      </c>
      <c r="AE1384" s="1">
        <v>0</v>
      </c>
      <c r="AF1384" s="1">
        <f ca="1">IFERROR(__xludf.DUMMYFUNCTION("IFERROR(GOOGLEFINANCE(TRIM(F1384)&amp;"":"" &amp; TRIM(B1384),""high52""),AE1384)"),1193.6)</f>
        <v>1193.5999999999999</v>
      </c>
      <c r="AG1384" s="1">
        <v>0</v>
      </c>
      <c r="AH1384" s="1">
        <f ca="1">IFERROR(__xludf.DUMMYFUNCTION("IFERROR(GOOGLEFINANCE(TRIM(F1384)&amp;"":"" &amp; TRIM(B1384),""low52""),AE1384)"),724.1)</f>
        <v>724.1</v>
      </c>
      <c r="AI1384" s="1">
        <f ca="1">IFERROR(__xludf.DUMMYFUNCTION("IFERROR(GOOGLEFINANCE(B1384,""eps""),0)"),28.77)</f>
        <v>28.77</v>
      </c>
      <c r="AJ1384" s="1"/>
      <c r="AK1384" s="1" t="s">
        <v>4174</v>
      </c>
      <c r="AL1384" s="9">
        <f t="shared" si="185"/>
        <v>1</v>
      </c>
    </row>
    <row r="1385" spans="1:38" ht="15" x14ac:dyDescent="0.25">
      <c r="A1385" s="1" t="s">
        <v>4175</v>
      </c>
      <c r="B1385" s="1" t="s">
        <v>4176</v>
      </c>
      <c r="C1385" s="1" t="s">
        <v>86</v>
      </c>
      <c r="D1385" s="1" t="s">
        <v>86</v>
      </c>
      <c r="E1385" s="6">
        <v>46.11</v>
      </c>
      <c r="F1385" s="1" t="s">
        <v>53</v>
      </c>
      <c r="G1385" s="6">
        <f ca="1">IFERROR(__xludf.DUMMYFUNCTION("iferror(GOOGLEFINANCE(TRIM(F1385)&amp;"":"" &amp; TRIM(B1385), ""price""),0
)"),0)</f>
        <v>0</v>
      </c>
      <c r="H1385" s="6">
        <v>32.43</v>
      </c>
      <c r="I1385" s="6">
        <f t="shared" ca="1" si="0"/>
        <v>32.43</v>
      </c>
      <c r="J1385" s="6">
        <f ca="1">IFERROR(__xludf.DUMMYFUNCTION("IFERROR(GOOGLEFINANCE(B1385, ""volume""), 0)"),0)</f>
        <v>0</v>
      </c>
      <c r="K1385" s="6">
        <v>4.99</v>
      </c>
      <c r="L1385" s="6">
        <f ca="1">IFERROR(__xludf.DUMMYFUNCTION("IFERROR(GOOGLEFINANCE(B1385,""changepct""),K1385)"),4.99)</f>
        <v>4.99</v>
      </c>
      <c r="M1385" s="6">
        <f ca="1">IFERROR(__xludf.DUMMYFUNCTION("IFERROR(GOOGLEFINANCE(B1385,""change""),0)"),0)</f>
        <v>0</v>
      </c>
      <c r="N1385" s="6">
        <v>2</v>
      </c>
      <c r="O1385" s="7">
        <v>45536</v>
      </c>
      <c r="P1385" s="6">
        <v>21.63</v>
      </c>
      <c r="Q1385" s="6">
        <v>67.73</v>
      </c>
      <c r="R1385" s="7">
        <v>45536</v>
      </c>
      <c r="S1385" s="6">
        <v>0.24</v>
      </c>
      <c r="T1385" s="6">
        <v>-0.01</v>
      </c>
      <c r="U1385" s="7">
        <v>45536</v>
      </c>
      <c r="V1385" s="6">
        <v>0</v>
      </c>
      <c r="W1385" s="6">
        <f ca="1">IFERROR(__xludf.DUMMYFUNCTION("IFERROR(GOOGLEFINANCE(B1385,""pe""),V1385)"),0)</f>
        <v>0</v>
      </c>
      <c r="X1385" s="9"/>
      <c r="Y1385" s="6">
        <v>0.98</v>
      </c>
      <c r="Z1385" s="6">
        <v>2</v>
      </c>
      <c r="AA1385" s="8">
        <v>45352</v>
      </c>
      <c r="AB1385" s="4">
        <v>0.45</v>
      </c>
      <c r="AC1385" s="6">
        <v>-4.0999999999999996</v>
      </c>
      <c r="AD1385" s="6">
        <v>-2.8</v>
      </c>
      <c r="AE1385" s="1">
        <v>0</v>
      </c>
      <c r="AF1385" s="1">
        <f ca="1">IFERROR(__xludf.DUMMYFUNCTION("IFERROR(GOOGLEFINANCE(TRIM(F1385)&amp;"":"" &amp; TRIM(B1385),""high52""),AE1385)"),0)</f>
        <v>0</v>
      </c>
      <c r="AG1385" s="1">
        <v>0</v>
      </c>
      <c r="AH1385" s="1">
        <f ca="1">IFERROR(__xludf.DUMMYFUNCTION("IFERROR(GOOGLEFINANCE(TRIM(F1385)&amp;"":"" &amp; TRIM(B1385),""low52""),AE1385)"),0)</f>
        <v>0</v>
      </c>
      <c r="AI1385" s="1">
        <f ca="1">IFERROR(__xludf.DUMMYFUNCTION("IFERROR(GOOGLEFINANCE(B1385,""eps""),0)"),0)</f>
        <v>0</v>
      </c>
      <c r="AJ1385" s="1"/>
      <c r="AK1385" s="1" t="s">
        <v>4177</v>
      </c>
      <c r="AL1385" s="9">
        <f t="shared" si="185"/>
        <v>1</v>
      </c>
    </row>
    <row r="1386" spans="1:38" ht="15" x14ac:dyDescent="0.25">
      <c r="A1386" s="1" t="s">
        <v>4178</v>
      </c>
      <c r="B1386" s="1" t="s">
        <v>4179</v>
      </c>
      <c r="C1386" s="1" t="s">
        <v>264</v>
      </c>
      <c r="D1386" s="1" t="s">
        <v>264</v>
      </c>
      <c r="E1386" s="6">
        <v>925.58</v>
      </c>
      <c r="F1386" s="1" t="s">
        <v>40</v>
      </c>
      <c r="G1386" s="6">
        <f ca="1">IFERROR(__xludf.DUMMYFUNCTION("iferror(GOOGLEFINANCE(TRIM(F1386)&amp;"":"" &amp; TRIM(B1386), ""price""),0
)"),16.1)</f>
        <v>16.100000000000001</v>
      </c>
      <c r="H1386" s="6">
        <v>19.23</v>
      </c>
      <c r="I1386" s="6">
        <f t="shared" ca="1" si="0"/>
        <v>16.100000000000001</v>
      </c>
      <c r="J1386" s="6">
        <f ca="1">IFERROR(__xludf.DUMMYFUNCTION("IFERROR(GOOGLEFINANCE(B1386, ""volume""), 0)"),406616)</f>
        <v>406616</v>
      </c>
      <c r="K1386" s="6">
        <v>1.58</v>
      </c>
      <c r="L1386" s="6">
        <f ca="1">IFERROR(__xludf.DUMMYFUNCTION("IFERROR(GOOGLEFINANCE(B1386,""changepct""),K1386)"),0)</f>
        <v>0</v>
      </c>
      <c r="M1386" s="6">
        <f ca="1">IFERROR(__xludf.DUMMYFUNCTION("IFERROR(GOOGLEFINANCE(B1386,""change""),0)"),0)</f>
        <v>0</v>
      </c>
      <c r="N1386" s="6">
        <v>2</v>
      </c>
      <c r="O1386" s="7">
        <v>45536</v>
      </c>
      <c r="P1386" s="6">
        <v>5.52</v>
      </c>
      <c r="Q1386" s="6">
        <v>929.95</v>
      </c>
      <c r="R1386" s="7">
        <v>45536</v>
      </c>
      <c r="S1386" s="6">
        <v>176.62</v>
      </c>
      <c r="T1386" s="6">
        <v>13.02</v>
      </c>
      <c r="U1386" s="7">
        <v>45536</v>
      </c>
      <c r="V1386" s="6">
        <v>71.069999999999993</v>
      </c>
      <c r="W1386" s="6">
        <f ca="1">IFERROR(__xludf.DUMMYFUNCTION("IFERROR(GOOGLEFINANCE(B1386,""pe""),V1386)"),57.65)</f>
        <v>57.65</v>
      </c>
      <c r="X1386" s="9"/>
      <c r="Y1386" s="6">
        <v>2.2999999999999998</v>
      </c>
      <c r="Z1386" s="6">
        <v>2</v>
      </c>
      <c r="AA1386" s="8">
        <v>45352</v>
      </c>
      <c r="AB1386" s="4">
        <v>0.02</v>
      </c>
      <c r="AC1386" s="6">
        <v>2.71</v>
      </c>
      <c r="AD1386" s="6">
        <v>4.1100000000000003</v>
      </c>
      <c r="AE1386" s="1">
        <v>0</v>
      </c>
      <c r="AF1386" s="1">
        <f ca="1">IFERROR(__xludf.DUMMYFUNCTION("IFERROR(GOOGLEFINANCE(TRIM(F1386)&amp;"":"" &amp; TRIM(B1386),""high52""),AE1386)"),20.44)</f>
        <v>20.440000000000001</v>
      </c>
      <c r="AG1386" s="1">
        <v>0</v>
      </c>
      <c r="AH1386" s="1">
        <f ca="1">IFERROR(__xludf.DUMMYFUNCTION("IFERROR(GOOGLEFINANCE(TRIM(F1386)&amp;"":"" &amp; TRIM(B1386),""low52""),AE1386)"),10.75)</f>
        <v>10.75</v>
      </c>
      <c r="AI1386" s="1">
        <f ca="1">IFERROR(__xludf.DUMMYFUNCTION("IFERROR(GOOGLEFINANCE(B1386,""eps""),0)"),0.28)</f>
        <v>0.28000000000000003</v>
      </c>
      <c r="AJ1386" s="1"/>
      <c r="AK1386" s="1" t="s">
        <v>4180</v>
      </c>
      <c r="AL1386" s="1" t="b">
        <f>ISNUMBER(AA1386)</f>
        <v>1</v>
      </c>
    </row>
    <row r="1387" spans="1:38" ht="15" x14ac:dyDescent="0.25">
      <c r="A1387" s="1" t="s">
        <v>4181</v>
      </c>
      <c r="B1387" s="1" t="s">
        <v>4182</v>
      </c>
      <c r="C1387" s="1" t="s">
        <v>219</v>
      </c>
      <c r="D1387" s="1" t="s">
        <v>219</v>
      </c>
      <c r="E1387" s="6">
        <v>1546.2</v>
      </c>
      <c r="F1387" s="1" t="s">
        <v>40</v>
      </c>
      <c r="G1387" s="6">
        <f ca="1">IFERROR(__xludf.DUMMYFUNCTION("iferror(GOOGLEFINANCE(TRIM(F1387)&amp;"":"" &amp; TRIM(B1387), ""price""),0
)"),400)</f>
        <v>400</v>
      </c>
      <c r="H1387" s="6">
        <v>502.9</v>
      </c>
      <c r="I1387" s="6">
        <f t="shared" ca="1" si="0"/>
        <v>400</v>
      </c>
      <c r="J1387" s="6">
        <f ca="1">IFERROR(__xludf.DUMMYFUNCTION("IFERROR(GOOGLEFINANCE(B1387, ""volume""), 0)"),117687)</f>
        <v>117687</v>
      </c>
      <c r="K1387" s="6">
        <v>0.62</v>
      </c>
      <c r="L1387" s="6">
        <f ca="1">IFERROR(__xludf.DUMMYFUNCTION("IFERROR(GOOGLEFINANCE(B1387,""changepct""),K1387)"),-1.38)</f>
        <v>-1.38</v>
      </c>
      <c r="M1387" s="6">
        <f ca="1">IFERROR(__xludf.DUMMYFUNCTION("IFERROR(GOOGLEFINANCE(B1387,""change""),0)"),-5.6)</f>
        <v>-5.6</v>
      </c>
      <c r="N1387" s="6">
        <v>1</v>
      </c>
      <c r="O1387" s="7">
        <v>45536</v>
      </c>
      <c r="P1387" s="6">
        <v>334.58</v>
      </c>
      <c r="Q1387" s="6">
        <v>1878.43</v>
      </c>
      <c r="R1387" s="7">
        <v>45536</v>
      </c>
      <c r="S1387" s="6">
        <v>1268.3800000000001</v>
      </c>
      <c r="T1387" s="6">
        <v>59.84</v>
      </c>
      <c r="U1387" s="7">
        <v>45536</v>
      </c>
      <c r="V1387" s="6">
        <v>25.84</v>
      </c>
      <c r="W1387" s="6">
        <f ca="1">IFERROR(__xludf.DUMMYFUNCTION("IFERROR(GOOGLEFINANCE(B1387,""pe""),V1387)"),19.83)</f>
        <v>19.829999999999998</v>
      </c>
      <c r="X1387" s="12"/>
      <c r="Y1387" s="6">
        <v>2.81</v>
      </c>
      <c r="Z1387" s="6">
        <v>1</v>
      </c>
      <c r="AA1387" s="8">
        <v>45352</v>
      </c>
      <c r="AB1387" s="4">
        <v>0.83</v>
      </c>
      <c r="AC1387" s="6">
        <v>14.34</v>
      </c>
      <c r="AD1387" s="6">
        <v>14.6</v>
      </c>
      <c r="AE1387" s="1">
        <v>0</v>
      </c>
      <c r="AF1387" s="1">
        <f ca="1">IFERROR(__xludf.DUMMYFUNCTION("IFERROR(GOOGLEFINANCE(TRIM(F1387)&amp;"":"" &amp; TRIM(B1387),""high52""),AE1387)"),572.2)</f>
        <v>572.20000000000005</v>
      </c>
      <c r="AG1387" s="1">
        <v>0</v>
      </c>
      <c r="AH1387" s="1">
        <f ca="1">IFERROR(__xludf.DUMMYFUNCTION("IFERROR(GOOGLEFINANCE(TRIM(F1387)&amp;"":"" &amp; TRIM(B1387),""low52""),AE1387)"),320.35)</f>
        <v>320.35000000000002</v>
      </c>
      <c r="AI1387" s="1">
        <f ca="1">IFERROR(__xludf.DUMMYFUNCTION("IFERROR(GOOGLEFINANCE(B1387,""eps""),0)"),20.17)</f>
        <v>20.170000000000002</v>
      </c>
      <c r="AJ1387" s="1"/>
      <c r="AK1387" s="1" t="s">
        <v>4183</v>
      </c>
      <c r="AL1387" s="9">
        <f>IF(AA1387&lt;&gt;AB1387,1,0)</f>
        <v>1</v>
      </c>
    </row>
    <row r="1388" spans="1:38" ht="15" x14ac:dyDescent="0.25">
      <c r="A1388" s="1" t="s">
        <v>4184</v>
      </c>
      <c r="B1388" s="1" t="s">
        <v>4185</v>
      </c>
      <c r="C1388" s="1" t="s">
        <v>99</v>
      </c>
      <c r="D1388" s="1" t="s">
        <v>99</v>
      </c>
      <c r="E1388" s="6">
        <v>601.46</v>
      </c>
      <c r="F1388" s="1" t="s">
        <v>40</v>
      </c>
      <c r="G1388" s="6">
        <f ca="1">IFERROR(__xludf.DUMMYFUNCTION("iferror(GOOGLEFINANCE(TRIM(F1388)&amp;"":"" &amp; TRIM(B1388), ""price""),0
)"),159.99)</f>
        <v>159.99</v>
      </c>
      <c r="H1388" s="6">
        <v>326</v>
      </c>
      <c r="I1388" s="6">
        <f t="shared" ca="1" si="0"/>
        <v>159.99</v>
      </c>
      <c r="J1388" s="6">
        <f ca="1">IFERROR(__xludf.DUMMYFUNCTION("IFERROR(GOOGLEFINANCE(B1388, ""volume""), 0)"),12911)</f>
        <v>12911</v>
      </c>
      <c r="K1388" s="6">
        <v>-0.05</v>
      </c>
      <c r="L1388" s="6">
        <f ca="1">IFERROR(__xludf.DUMMYFUNCTION("IFERROR(GOOGLEFINANCE(B1388,""changepct""),K1388)"),-2.43)</f>
        <v>-2.4300000000000002</v>
      </c>
      <c r="M1388" s="6">
        <f ca="1">IFERROR(__xludf.DUMMYFUNCTION("IFERROR(GOOGLEFINANCE(B1388,""change""),0)"),-3.99)</f>
        <v>-3.99</v>
      </c>
      <c r="N1388" s="6">
        <v>2</v>
      </c>
      <c r="O1388" s="7">
        <v>45536</v>
      </c>
      <c r="P1388" s="6">
        <v>92.7</v>
      </c>
      <c r="Q1388" s="6">
        <v>692.79</v>
      </c>
      <c r="R1388" s="7">
        <v>45536</v>
      </c>
      <c r="S1388" s="6">
        <v>505.49</v>
      </c>
      <c r="T1388" s="6">
        <v>-4.38</v>
      </c>
      <c r="U1388" s="7">
        <v>45536</v>
      </c>
      <c r="V1388" s="6">
        <v>0</v>
      </c>
      <c r="W1388" s="6">
        <f ca="1">IFERROR(__xludf.DUMMYFUNCTION("IFERROR(GOOGLEFINANCE(B1388,""pe""),V1388)"),10.27)</f>
        <v>10.27</v>
      </c>
      <c r="X1388" s="6">
        <v>0</v>
      </c>
      <c r="Y1388" s="6">
        <v>4.3099999999999996</v>
      </c>
      <c r="Z1388" s="6">
        <v>2</v>
      </c>
      <c r="AA1388" s="8">
        <v>45352</v>
      </c>
      <c r="AB1388" s="4">
        <v>0.65</v>
      </c>
      <c r="AC1388" s="6">
        <v>-4.87</v>
      </c>
      <c r="AD1388" s="6">
        <v>2.4</v>
      </c>
      <c r="AE1388" s="1">
        <v>0</v>
      </c>
      <c r="AF1388" s="1">
        <f ca="1">IFERROR(__xludf.DUMMYFUNCTION("IFERROR(GOOGLEFINANCE(TRIM(F1388)&amp;"":"" &amp; TRIM(B1388),""high52""),AE1388)"),268.89)</f>
        <v>268.89</v>
      </c>
      <c r="AG1388" s="1">
        <v>0</v>
      </c>
      <c r="AH1388" s="1">
        <f ca="1">IFERROR(__xludf.DUMMYFUNCTION("IFERROR(GOOGLEFINANCE(TRIM(F1388)&amp;"":"" &amp; TRIM(B1388),""low52""),AE1388)"),153.66)</f>
        <v>153.66</v>
      </c>
      <c r="AI1388" s="1">
        <f ca="1">IFERROR(__xludf.DUMMYFUNCTION("IFERROR(GOOGLEFINANCE(B1388,""eps""),0)"),15.58)</f>
        <v>15.58</v>
      </c>
      <c r="AJ1388" s="1"/>
      <c r="AK1388" s="1" t="s">
        <v>4186</v>
      </c>
      <c r="AL1388" s="1" t="b">
        <f>ISNUMBER(AA1388)</f>
        <v>1</v>
      </c>
    </row>
    <row r="1389" spans="1:38" ht="15" x14ac:dyDescent="0.25">
      <c r="A1389" s="1" t="s">
        <v>4187</v>
      </c>
      <c r="B1389" s="1" t="s">
        <v>4188</v>
      </c>
      <c r="C1389" s="1" t="s">
        <v>416</v>
      </c>
      <c r="D1389" s="1" t="s">
        <v>416</v>
      </c>
      <c r="E1389" s="6">
        <v>4578.1499999999996</v>
      </c>
      <c r="F1389" s="1" t="s">
        <v>40</v>
      </c>
      <c r="G1389" s="6">
        <f ca="1">IFERROR(__xludf.DUMMYFUNCTION("iferror(GOOGLEFINANCE(TRIM(F1389)&amp;"":"" &amp; TRIM(B1389), ""price""),0
)"),364.1)</f>
        <v>364.1</v>
      </c>
      <c r="H1389" s="6">
        <v>504.7</v>
      </c>
      <c r="I1389" s="6">
        <f t="shared" ca="1" si="0"/>
        <v>364.1</v>
      </c>
      <c r="J1389" s="6">
        <f ca="1">IFERROR(__xludf.DUMMYFUNCTION("IFERROR(GOOGLEFINANCE(B1389, ""volume""), 0)"),11398)</f>
        <v>11398</v>
      </c>
      <c r="K1389" s="6">
        <v>0.46</v>
      </c>
      <c r="L1389" s="6">
        <f ca="1">IFERROR(__xludf.DUMMYFUNCTION("IFERROR(GOOGLEFINANCE(B1389,""changepct""),K1389)"),-0.72)</f>
        <v>-0.72</v>
      </c>
      <c r="M1389" s="6">
        <f ca="1">IFERROR(__xludf.DUMMYFUNCTION("IFERROR(GOOGLEFINANCE(B1389,""change""),0)"),-2.65)</f>
        <v>-2.65</v>
      </c>
      <c r="N1389" s="6">
        <v>2</v>
      </c>
      <c r="O1389" s="7">
        <v>45536</v>
      </c>
      <c r="P1389" s="6">
        <v>178.79</v>
      </c>
      <c r="Q1389" s="6">
        <v>4666.62</v>
      </c>
      <c r="R1389" s="7">
        <v>45536</v>
      </c>
      <c r="S1389" s="6">
        <v>1400.59</v>
      </c>
      <c r="T1389" s="6">
        <v>131.47</v>
      </c>
      <c r="U1389" s="7">
        <v>45536</v>
      </c>
      <c r="V1389" s="6">
        <v>34.82</v>
      </c>
      <c r="W1389" s="6">
        <f ca="1">IFERROR(__xludf.DUMMYFUNCTION("IFERROR(GOOGLEFINANCE(B1389,""pe""),V1389)"),33.6)</f>
        <v>33.6</v>
      </c>
      <c r="X1389" s="12"/>
      <c r="Y1389" s="6">
        <v>3.72</v>
      </c>
      <c r="Z1389" s="6">
        <v>2</v>
      </c>
      <c r="AA1389" s="8">
        <v>45352</v>
      </c>
      <c r="AB1389" s="4">
        <v>0.15</v>
      </c>
      <c r="AC1389" s="6">
        <v>9.93</v>
      </c>
      <c r="AD1389" s="6">
        <v>12.46</v>
      </c>
      <c r="AE1389" s="1">
        <v>0</v>
      </c>
      <c r="AF1389" s="1">
        <f ca="1">IFERROR(__xludf.DUMMYFUNCTION("IFERROR(GOOGLEFINANCE(TRIM(F1389)&amp;"":"" &amp; TRIM(B1389),""high52""),AE1389)"),451.85)</f>
        <v>451.85</v>
      </c>
      <c r="AG1389" s="1">
        <v>0</v>
      </c>
      <c r="AH1389" s="1">
        <f ca="1">IFERROR(__xludf.DUMMYFUNCTION("IFERROR(GOOGLEFINANCE(TRIM(F1389)&amp;"":"" &amp; TRIM(B1389),""low52""),AE1389)"),329.95)</f>
        <v>329.95</v>
      </c>
      <c r="AI1389" s="1">
        <f ca="1">IFERROR(__xludf.DUMMYFUNCTION("IFERROR(GOOGLEFINANCE(B1389,""eps""),0)"),10.84)</f>
        <v>10.84</v>
      </c>
      <c r="AJ1389" s="1"/>
      <c r="AK1389" s="1" t="s">
        <v>4189</v>
      </c>
      <c r="AL1389" s="9">
        <f t="shared" ref="AL1389:AL1394" si="186">IF(AA1389&lt;&gt;AB1389,1,0)</f>
        <v>1</v>
      </c>
    </row>
    <row r="1390" spans="1:38" ht="15" x14ac:dyDescent="0.25">
      <c r="A1390" s="1" t="s">
        <v>4190</v>
      </c>
      <c r="B1390" s="1" t="s">
        <v>4191</v>
      </c>
      <c r="C1390" s="1" t="s">
        <v>255</v>
      </c>
      <c r="D1390" s="1" t="s">
        <v>255</v>
      </c>
      <c r="E1390" s="6">
        <v>2860.49</v>
      </c>
      <c r="F1390" s="1" t="s">
        <v>40</v>
      </c>
      <c r="G1390" s="6">
        <f ca="1">IFERROR(__xludf.DUMMYFUNCTION("iferror(GOOGLEFINANCE(TRIM(F1390)&amp;"":"" &amp; TRIM(B1390), ""price""),0
)"),10.79)</f>
        <v>10.79</v>
      </c>
      <c r="H1390" s="6">
        <v>16.350000000000001</v>
      </c>
      <c r="I1390" s="6">
        <f t="shared" ca="1" si="0"/>
        <v>10.79</v>
      </c>
      <c r="J1390" s="6">
        <f ca="1">IFERROR(__xludf.DUMMYFUNCTION("IFERROR(GOOGLEFINANCE(B1390, ""volume""), 0)"),2510465)</f>
        <v>2510465</v>
      </c>
      <c r="K1390" s="6">
        <v>1.1100000000000001</v>
      </c>
      <c r="L1390" s="6">
        <f ca="1">IFERROR(__xludf.DUMMYFUNCTION("IFERROR(GOOGLEFINANCE(B1390,""changepct""),K1390)"),-0.46)</f>
        <v>-0.46</v>
      </c>
      <c r="M1390" s="6">
        <f ca="1">IFERROR(__xludf.DUMMYFUNCTION("IFERROR(GOOGLEFINANCE(B1390,""change""),0)"),-0.05)</f>
        <v>-0.05</v>
      </c>
      <c r="N1390" s="6">
        <v>2</v>
      </c>
      <c r="O1390" s="7">
        <v>45536</v>
      </c>
      <c r="P1390" s="6">
        <v>3.76</v>
      </c>
      <c r="Q1390" s="6">
        <v>2681.36</v>
      </c>
      <c r="R1390" s="7">
        <v>45536</v>
      </c>
      <c r="S1390" s="6">
        <v>2013.3</v>
      </c>
      <c r="T1390" s="6">
        <v>78.760000000000005</v>
      </c>
      <c r="U1390" s="7">
        <v>45536</v>
      </c>
      <c r="V1390" s="6">
        <v>28.3</v>
      </c>
      <c r="W1390" s="6">
        <f ca="1">IFERROR(__xludf.DUMMYFUNCTION("IFERROR(GOOGLEFINANCE(B1390,""pe""),V1390)"),18.28)</f>
        <v>18.28</v>
      </c>
      <c r="X1390" s="6">
        <v>0.93</v>
      </c>
      <c r="Y1390" s="6">
        <v>0.66</v>
      </c>
      <c r="Z1390" s="6">
        <v>2</v>
      </c>
      <c r="AA1390" s="8">
        <v>45352</v>
      </c>
      <c r="AB1390" s="4">
        <v>0</v>
      </c>
      <c r="AC1390" s="6">
        <v>2.34</v>
      </c>
      <c r="AD1390" s="6">
        <v>3.36</v>
      </c>
      <c r="AE1390" s="1">
        <v>0</v>
      </c>
      <c r="AF1390" s="1">
        <f ca="1">IFERROR(__xludf.DUMMYFUNCTION("IFERROR(GOOGLEFINANCE(TRIM(F1390)&amp;"":"" &amp; TRIM(B1390),""high52""),AE1390)"),17.98)</f>
        <v>17.98</v>
      </c>
      <c r="AG1390" s="1">
        <v>0</v>
      </c>
      <c r="AH1390" s="1">
        <f ca="1">IFERROR(__xludf.DUMMYFUNCTION("IFERROR(GOOGLEFINANCE(TRIM(F1390)&amp;"":"" &amp; TRIM(B1390),""low52""),AE1390)"),9.91)</f>
        <v>9.91</v>
      </c>
      <c r="AI1390" s="1">
        <f ca="1">IFERROR(__xludf.DUMMYFUNCTION("IFERROR(GOOGLEFINANCE(B1390,""eps""),0)"),0.59)</f>
        <v>0.59</v>
      </c>
      <c r="AJ1390" s="1"/>
      <c r="AK1390" s="9"/>
      <c r="AL1390" s="9">
        <f t="shared" si="186"/>
        <v>1</v>
      </c>
    </row>
    <row r="1391" spans="1:38" ht="15" x14ac:dyDescent="0.25">
      <c r="A1391" s="1" t="s">
        <v>4192</v>
      </c>
      <c r="B1391" s="1" t="s">
        <v>4193</v>
      </c>
      <c r="C1391" s="1" t="s">
        <v>324</v>
      </c>
      <c r="D1391" s="1" t="s">
        <v>324</v>
      </c>
      <c r="E1391" s="6">
        <v>22757.08</v>
      </c>
      <c r="F1391" s="1" t="s">
        <v>40</v>
      </c>
      <c r="G1391" s="6">
        <f ca="1">IFERROR(__xludf.DUMMYFUNCTION("iferror(GOOGLEFINANCE(TRIM(F1391)&amp;"":"" &amp; TRIM(B1391), ""price""),0
)"),887)</f>
        <v>887</v>
      </c>
      <c r="H1391" s="6">
        <v>1030.4000000000001</v>
      </c>
      <c r="I1391" s="6">
        <f t="shared" ca="1" si="0"/>
        <v>887</v>
      </c>
      <c r="J1391" s="6">
        <f ca="1">IFERROR(__xludf.DUMMYFUNCTION("IFERROR(GOOGLEFINANCE(B1391, ""volume""), 0)"),15801)</f>
        <v>15801</v>
      </c>
      <c r="K1391" s="6">
        <v>0.89</v>
      </c>
      <c r="L1391" s="6">
        <f ca="1">IFERROR(__xludf.DUMMYFUNCTION("IFERROR(GOOGLEFINANCE(B1391,""changepct""),K1391)"),-0.44)</f>
        <v>-0.44</v>
      </c>
      <c r="M1391" s="6">
        <f ca="1">IFERROR(__xludf.DUMMYFUNCTION("IFERROR(GOOGLEFINANCE(B1391,""change""),0)"),-3.9)</f>
        <v>-3.9</v>
      </c>
      <c r="N1391" s="6">
        <v>1</v>
      </c>
      <c r="O1391" s="7">
        <v>45536</v>
      </c>
      <c r="P1391" s="6">
        <v>1890.4</v>
      </c>
      <c r="Q1391" s="6">
        <v>24607.94</v>
      </c>
      <c r="R1391" s="7">
        <v>45536</v>
      </c>
      <c r="S1391" s="6">
        <v>8381.52</v>
      </c>
      <c r="T1391" s="6">
        <v>304.42</v>
      </c>
      <c r="U1391" s="7">
        <v>45536</v>
      </c>
      <c r="V1391" s="6">
        <v>74.760000000000005</v>
      </c>
      <c r="W1391" s="6">
        <f ca="1">IFERROR(__xludf.DUMMYFUNCTION("IFERROR(GOOGLEFINANCE(B1391,""pe""),V1391)"),56.7)</f>
        <v>56.7</v>
      </c>
      <c r="X1391" s="6">
        <v>4.0599999999999996</v>
      </c>
      <c r="Y1391" s="6">
        <v>13.93</v>
      </c>
      <c r="Z1391" s="6">
        <v>1</v>
      </c>
      <c r="AA1391" s="8">
        <v>45352</v>
      </c>
      <c r="AB1391" s="4">
        <v>1.44</v>
      </c>
      <c r="AC1391" s="6">
        <v>17.739999999999998</v>
      </c>
      <c r="AD1391" s="6">
        <v>15.21</v>
      </c>
      <c r="AE1391" s="1">
        <v>0</v>
      </c>
      <c r="AF1391" s="1">
        <f ca="1">IFERROR(__xludf.DUMMYFUNCTION("IFERROR(GOOGLEFINANCE(TRIM(F1391)&amp;"":"" &amp; TRIM(B1391),""high52""),AE1391)"),1179)</f>
        <v>1179</v>
      </c>
      <c r="AG1391" s="1">
        <v>0</v>
      </c>
      <c r="AH1391" s="1">
        <f ca="1">IFERROR(__xludf.DUMMYFUNCTION("IFERROR(GOOGLEFINANCE(TRIM(F1391)&amp;"":"" &amp; TRIM(B1391),""low52""),AE1391)"),855.3)</f>
        <v>855.3</v>
      </c>
      <c r="AI1391" s="1">
        <f ca="1">IFERROR(__xludf.DUMMYFUNCTION("IFERROR(GOOGLEFINANCE(B1391,""eps""),0)"),15.64)</f>
        <v>15.64</v>
      </c>
      <c r="AJ1391" s="1"/>
      <c r="AK1391" s="9"/>
      <c r="AL1391" s="9">
        <f t="shared" si="186"/>
        <v>1</v>
      </c>
    </row>
    <row r="1392" spans="1:38" ht="15" x14ac:dyDescent="0.25">
      <c r="A1392" s="1" t="s">
        <v>4194</v>
      </c>
      <c r="B1392" s="1" t="s">
        <v>4195</v>
      </c>
      <c r="C1392" s="1" t="s">
        <v>86</v>
      </c>
      <c r="D1392" s="1" t="s">
        <v>86</v>
      </c>
      <c r="E1392" s="6">
        <v>20.58</v>
      </c>
      <c r="F1392" s="1" t="s">
        <v>53</v>
      </c>
      <c r="G1392" s="6">
        <f ca="1">IFERROR(__xludf.DUMMYFUNCTION("iferror(GOOGLEFINANCE(TRIM(F1392)&amp;"":"" &amp; TRIM(B1392), ""price""),0
)"),0)</f>
        <v>0</v>
      </c>
      <c r="H1392" s="6">
        <v>14.92</v>
      </c>
      <c r="I1392" s="6">
        <f t="shared" ca="1" si="0"/>
        <v>14.92</v>
      </c>
      <c r="J1392" s="6">
        <f ca="1">IFERROR(__xludf.DUMMYFUNCTION("IFERROR(GOOGLEFINANCE(B1392, ""volume""), 0)"),0)</f>
        <v>0</v>
      </c>
      <c r="K1392" s="6">
        <v>0.95</v>
      </c>
      <c r="L1392" s="6">
        <f ca="1">IFERROR(__xludf.DUMMYFUNCTION("IFERROR(GOOGLEFINANCE(B1392,""changepct""),K1392)"),0.95)</f>
        <v>0.95</v>
      </c>
      <c r="M1392" s="6">
        <f ca="1">IFERROR(__xludf.DUMMYFUNCTION("IFERROR(GOOGLEFINANCE(B1392,""change""),0)"),0)</f>
        <v>0</v>
      </c>
      <c r="N1392" s="6">
        <v>1</v>
      </c>
      <c r="O1392" s="7">
        <v>45536</v>
      </c>
      <c r="P1392" s="6">
        <v>0.43</v>
      </c>
      <c r="Q1392" s="6">
        <v>21.02</v>
      </c>
      <c r="R1392" s="7">
        <v>45536</v>
      </c>
      <c r="S1392" s="6">
        <v>0</v>
      </c>
      <c r="T1392" s="6">
        <v>0.02</v>
      </c>
      <c r="U1392" s="7">
        <v>45536</v>
      </c>
      <c r="V1392" s="6">
        <v>857.6</v>
      </c>
      <c r="W1392" s="6">
        <f ca="1">IFERROR(__xludf.DUMMYFUNCTION("IFERROR(GOOGLEFINANCE(B1392,""pe""),V1392)"),857.6)</f>
        <v>857.6</v>
      </c>
      <c r="X1392" s="6">
        <v>-27.96</v>
      </c>
      <c r="Y1392" s="6">
        <v>0.79</v>
      </c>
      <c r="Z1392" s="6">
        <v>1</v>
      </c>
      <c r="AA1392" s="8">
        <v>45352</v>
      </c>
      <c r="AB1392" s="4">
        <v>0.02</v>
      </c>
      <c r="AC1392" s="6">
        <v>0.31</v>
      </c>
      <c r="AD1392" s="6">
        <v>7.0000000000000007E-2</v>
      </c>
      <c r="AE1392" s="1">
        <v>0</v>
      </c>
      <c r="AF1392" s="1">
        <f ca="1">IFERROR(__xludf.DUMMYFUNCTION("IFERROR(GOOGLEFINANCE(TRIM(F1392)&amp;"":"" &amp; TRIM(B1392),""high52""),AE1392)"),0)</f>
        <v>0</v>
      </c>
      <c r="AG1392" s="1">
        <v>0</v>
      </c>
      <c r="AH1392" s="1">
        <f ca="1">IFERROR(__xludf.DUMMYFUNCTION("IFERROR(GOOGLEFINANCE(TRIM(F1392)&amp;"":"" &amp; TRIM(B1392),""low52""),AE1392)"),0)</f>
        <v>0</v>
      </c>
      <c r="AI1392" s="1">
        <f ca="1">IFERROR(__xludf.DUMMYFUNCTION("IFERROR(GOOGLEFINANCE(B1392,""eps""),0)"),0)</f>
        <v>0</v>
      </c>
      <c r="AJ1392" s="1"/>
      <c r="AK1392" s="1" t="s">
        <v>4196</v>
      </c>
      <c r="AL1392" s="9">
        <f t="shared" si="186"/>
        <v>1</v>
      </c>
    </row>
    <row r="1393" spans="1:38" ht="15" x14ac:dyDescent="0.25">
      <c r="A1393" s="1" t="s">
        <v>4197</v>
      </c>
      <c r="B1393" s="1" t="s">
        <v>4198</v>
      </c>
      <c r="C1393" s="1" t="s">
        <v>125</v>
      </c>
      <c r="D1393" s="1" t="s">
        <v>125</v>
      </c>
      <c r="E1393" s="6">
        <v>106645.9</v>
      </c>
      <c r="F1393" s="1" t="s">
        <v>40</v>
      </c>
      <c r="G1393" s="6">
        <f ca="1">IFERROR(__xludf.DUMMYFUNCTION("iferror(GOOGLEFINANCE(TRIM(F1393)&amp;"":"" &amp; TRIM(B1393), ""price""),0
)"),1278.9)</f>
        <v>1278.9000000000001</v>
      </c>
      <c r="H1393" s="6">
        <v>1707.1</v>
      </c>
      <c r="I1393" s="6">
        <f t="shared" ca="1" si="0"/>
        <v>1278.9000000000001</v>
      </c>
      <c r="J1393" s="6">
        <f ca="1">IFERROR(__xludf.DUMMYFUNCTION("IFERROR(GOOGLEFINANCE(B1393, ""volume""), 0)"),823663)</f>
        <v>823663</v>
      </c>
      <c r="K1393" s="6">
        <v>0.34</v>
      </c>
      <c r="L1393" s="6">
        <f ca="1">IFERROR(__xludf.DUMMYFUNCTION("IFERROR(GOOGLEFINANCE(B1393,""changepct""),K1393)"),0.11)</f>
        <v>0.11</v>
      </c>
      <c r="M1393" s="6">
        <f ca="1">IFERROR(__xludf.DUMMYFUNCTION("IFERROR(GOOGLEFINANCE(B1393,""change""),0)"),1.4)</f>
        <v>1.4</v>
      </c>
      <c r="N1393" s="6">
        <v>2</v>
      </c>
      <c r="O1393" s="7">
        <v>45536</v>
      </c>
      <c r="P1393" s="9"/>
      <c r="Q1393" s="6">
        <v>103457.60000000001</v>
      </c>
      <c r="R1393" s="7">
        <v>45536</v>
      </c>
      <c r="S1393" s="6">
        <v>20201.400000000001</v>
      </c>
      <c r="T1393" s="6">
        <v>1409.89</v>
      </c>
      <c r="U1393" s="7">
        <v>45536</v>
      </c>
      <c r="V1393" s="6">
        <v>75.599999999999994</v>
      </c>
      <c r="W1393" s="6">
        <f ca="1">IFERROR(__xludf.DUMMYFUNCTION("IFERROR(GOOGLEFINANCE(B1393,""pe""),V1393)"),53.97)</f>
        <v>53.97</v>
      </c>
      <c r="X1393" s="6">
        <v>7.53</v>
      </c>
      <c r="Y1393" s="6">
        <v>13.68</v>
      </c>
      <c r="Z1393" s="6">
        <v>2</v>
      </c>
      <c r="AA1393" s="8">
        <v>45352</v>
      </c>
      <c r="AB1393" s="4">
        <v>0</v>
      </c>
      <c r="AC1393" s="6">
        <v>18.07</v>
      </c>
      <c r="AD1393" s="6">
        <v>25.46</v>
      </c>
      <c r="AE1393" s="1">
        <v>0</v>
      </c>
      <c r="AF1393" s="1">
        <f ca="1">IFERROR(__xludf.DUMMYFUNCTION("IFERROR(GOOGLEFINANCE(TRIM(F1393)&amp;"":"" &amp; TRIM(B1393),""high52""),AE1393)"),1712.85)</f>
        <v>1712.85</v>
      </c>
      <c r="AG1393" s="1">
        <v>0</v>
      </c>
      <c r="AH1393" s="1">
        <f ca="1">IFERROR(__xludf.DUMMYFUNCTION("IFERROR(GOOGLEFINANCE(TRIM(F1393)&amp;"":"" &amp; TRIM(B1393),""low52""),AE1393)"),1250.1)</f>
        <v>1250.0999999999999</v>
      </c>
      <c r="AI1393" s="1">
        <f ca="1">IFERROR(__xludf.DUMMYFUNCTION("IFERROR(GOOGLEFINANCE(B1393,""eps""),0)"),23.69)</f>
        <v>23.69</v>
      </c>
      <c r="AJ1393" s="1"/>
      <c r="AK1393" s="9"/>
      <c r="AL1393" s="9">
        <f t="shared" si="186"/>
        <v>1</v>
      </c>
    </row>
    <row r="1394" spans="1:38" ht="15" x14ac:dyDescent="0.25">
      <c r="A1394" s="1" t="s">
        <v>4199</v>
      </c>
      <c r="B1394" s="1" t="s">
        <v>4200</v>
      </c>
      <c r="C1394" s="1" t="s">
        <v>208</v>
      </c>
      <c r="D1394" s="1" t="s">
        <v>208</v>
      </c>
      <c r="E1394" s="6">
        <v>82.58</v>
      </c>
      <c r="F1394" s="1" t="s">
        <v>40</v>
      </c>
      <c r="G1394" s="6">
        <f ca="1">IFERROR(__xludf.DUMMYFUNCTION("iferror(GOOGLEFINANCE(TRIM(F1394)&amp;"":"" &amp; TRIM(B1394), ""price""),0
)"),63.69)</f>
        <v>63.69</v>
      </c>
      <c r="H1394" s="6">
        <v>119.61</v>
      </c>
      <c r="I1394" s="6">
        <f t="shared" ca="1" si="0"/>
        <v>63.69</v>
      </c>
      <c r="J1394" s="6">
        <f ca="1">IFERROR(__xludf.DUMMYFUNCTION("IFERROR(GOOGLEFINANCE(B1394, ""volume""), 0)"),1862)</f>
        <v>1862</v>
      </c>
      <c r="K1394" s="6">
        <v>2.46</v>
      </c>
      <c r="L1394" s="6">
        <f ca="1">IFERROR(__xludf.DUMMYFUNCTION("IFERROR(GOOGLEFINANCE(B1394,""changepct""),K1394)"),1.92)</f>
        <v>1.92</v>
      </c>
      <c r="M1394" s="6">
        <f ca="1">IFERROR(__xludf.DUMMYFUNCTION("IFERROR(GOOGLEFINANCE(B1394,""change""),0)"),1.2)</f>
        <v>1.2</v>
      </c>
      <c r="N1394" s="6">
        <v>2</v>
      </c>
      <c r="O1394" s="7">
        <v>45536</v>
      </c>
      <c r="P1394" s="6">
        <v>23.66</v>
      </c>
      <c r="Q1394" s="7">
        <v>45536</v>
      </c>
      <c r="R1394" s="6">
        <v>3.49</v>
      </c>
      <c r="S1394" s="6">
        <v>7.0000000000000007E-2</v>
      </c>
      <c r="T1394" s="6">
        <v>0.76</v>
      </c>
      <c r="U1394" s="6">
        <v>2</v>
      </c>
      <c r="V1394" s="7">
        <v>45352</v>
      </c>
      <c r="W1394" s="10">
        <f ca="1">IFERROR(__xludf.DUMMYFUNCTION("IFERROR(GOOGLEFINANCE(B1394,""pe""),V1394)"),45352)</f>
        <v>45352</v>
      </c>
      <c r="X1394" s="6">
        <v>0.01</v>
      </c>
      <c r="Y1394" s="6">
        <v>44.68</v>
      </c>
      <c r="Z1394" s="6">
        <v>48.33</v>
      </c>
      <c r="AA1394" s="3" t="s">
        <v>4201</v>
      </c>
      <c r="AB1394" s="11"/>
      <c r="AC1394" s="9"/>
      <c r="AD1394" s="9"/>
      <c r="AE1394" s="1">
        <v>0</v>
      </c>
      <c r="AF1394" s="1">
        <f ca="1">IFERROR(__xludf.DUMMYFUNCTION("IFERROR(GOOGLEFINANCE(TRIM(F1394)&amp;"":"" &amp; TRIM(B1394),""high52""),AE1394)"),137)</f>
        <v>137</v>
      </c>
      <c r="AG1394" s="1">
        <v>0</v>
      </c>
      <c r="AH1394" s="1">
        <f ca="1">IFERROR(__xludf.DUMMYFUNCTION("IFERROR(GOOGLEFINANCE(TRIM(F1394)&amp;"":"" &amp; TRIM(B1394),""low52""),AE1394)"),60.3)</f>
        <v>60.3</v>
      </c>
      <c r="AI1394" s="1">
        <f ca="1">IFERROR(__xludf.DUMMYFUNCTION("IFERROR(GOOGLEFINANCE(B1394,""eps""),0)"),-22.02)</f>
        <v>-22.02</v>
      </c>
      <c r="AJ1394" s="1"/>
      <c r="AK1394" s="1" t="s">
        <v>4202</v>
      </c>
      <c r="AL1394" s="9">
        <f t="shared" si="186"/>
        <v>1</v>
      </c>
    </row>
    <row r="1395" spans="1:38" ht="15" x14ac:dyDescent="0.25">
      <c r="A1395" s="1" t="s">
        <v>4203</v>
      </c>
      <c r="B1395" s="1" t="s">
        <v>4204</v>
      </c>
      <c r="C1395" s="1" t="s">
        <v>679</v>
      </c>
      <c r="D1395" s="1" t="s">
        <v>679</v>
      </c>
      <c r="E1395" s="6">
        <v>17384.28</v>
      </c>
      <c r="F1395" s="1" t="s">
        <v>40</v>
      </c>
      <c r="G1395" s="6">
        <f ca="1">IFERROR(__xludf.DUMMYFUNCTION("iferror(GOOGLEFINANCE(TRIM(F1395)&amp;"":"" &amp; TRIM(B1395), ""price""),0
)"),776.8)</f>
        <v>776.8</v>
      </c>
      <c r="H1395" s="6">
        <v>628.35</v>
      </c>
      <c r="I1395" s="6">
        <f t="shared" ca="1" si="0"/>
        <v>776.8</v>
      </c>
      <c r="J1395" s="6">
        <f ca="1">IFERROR(__xludf.DUMMYFUNCTION("IFERROR(GOOGLEFINANCE(B1395, ""volume""), 0)"),1071008)</f>
        <v>1071008</v>
      </c>
      <c r="K1395" s="6">
        <v>0.26</v>
      </c>
      <c r="L1395" s="6">
        <f ca="1">IFERROR(__xludf.DUMMYFUNCTION("IFERROR(GOOGLEFINANCE(B1395,""changepct""),K1395)"),2.09)</f>
        <v>2.09</v>
      </c>
      <c r="M1395" s="6">
        <f ca="1">IFERROR(__xludf.DUMMYFUNCTION("IFERROR(GOOGLEFINANCE(B1395,""change""),0)"),15.9)</f>
        <v>15.9</v>
      </c>
      <c r="N1395" s="6">
        <v>2</v>
      </c>
      <c r="O1395" s="7">
        <v>45536</v>
      </c>
      <c r="P1395" s="6">
        <v>55.93</v>
      </c>
      <c r="Q1395" s="6">
        <v>17230.189999999999</v>
      </c>
      <c r="R1395" s="7">
        <v>45536</v>
      </c>
      <c r="S1395" s="6">
        <v>2250.42</v>
      </c>
      <c r="T1395" s="6">
        <v>295.85000000000002</v>
      </c>
      <c r="U1395" s="7">
        <v>45536</v>
      </c>
      <c r="V1395" s="6">
        <v>53.03</v>
      </c>
      <c r="W1395" s="6">
        <f ca="1">IFERROR(__xludf.DUMMYFUNCTION("IFERROR(GOOGLEFINANCE(B1395,""pe""),V1395)"),55.29)</f>
        <v>55.29</v>
      </c>
      <c r="X1395" s="6">
        <v>0.8</v>
      </c>
      <c r="Y1395" s="6">
        <v>12.66</v>
      </c>
      <c r="Z1395" s="6">
        <v>2</v>
      </c>
      <c r="AA1395" s="8">
        <v>45352</v>
      </c>
      <c r="AB1395" s="4">
        <v>0.05</v>
      </c>
      <c r="AC1395" s="6">
        <v>25.81</v>
      </c>
      <c r="AD1395" s="6">
        <v>33.76</v>
      </c>
      <c r="AE1395" s="1">
        <v>0</v>
      </c>
      <c r="AF1395" s="1">
        <f ca="1">IFERROR(__xludf.DUMMYFUNCTION("IFERROR(GOOGLEFINANCE(TRIM(F1395)&amp;"":"" &amp; TRIM(B1395),""high52""),AE1395)"),1122)</f>
        <v>1122</v>
      </c>
      <c r="AG1395" s="1">
        <v>0</v>
      </c>
      <c r="AH1395" s="1">
        <f ca="1">IFERROR(__xludf.DUMMYFUNCTION("IFERROR(GOOGLEFINANCE(TRIM(F1395)&amp;"":"" &amp; TRIM(B1395),""low52""),AE1395)"),405)</f>
        <v>405</v>
      </c>
      <c r="AI1395" s="1">
        <f ca="1">IFERROR(__xludf.DUMMYFUNCTION("IFERROR(GOOGLEFINANCE(B1395,""eps""),0)"),11.81)</f>
        <v>11.81</v>
      </c>
      <c r="AJ1395" s="1"/>
      <c r="AK1395" s="1" t="s">
        <v>4205</v>
      </c>
      <c r="AL1395" s="1" t="b">
        <f>ISNUMBER(AA1395)</f>
        <v>1</v>
      </c>
    </row>
    <row r="1396" spans="1:38" ht="15" x14ac:dyDescent="0.25">
      <c r="A1396" s="1" t="s">
        <v>4206</v>
      </c>
      <c r="B1396" s="1" t="s">
        <v>4207</v>
      </c>
      <c r="C1396" s="1" t="s">
        <v>2185</v>
      </c>
      <c r="D1396" s="1" t="s">
        <v>2185</v>
      </c>
      <c r="E1396" s="6">
        <v>534.30999999999995</v>
      </c>
      <c r="F1396" s="1" t="s">
        <v>40</v>
      </c>
      <c r="G1396" s="6">
        <f ca="1">IFERROR(__xludf.DUMMYFUNCTION("iferror(GOOGLEFINANCE(TRIM(F1396)&amp;"":"" &amp; TRIM(B1396), ""price""),0
)"),12.4)</f>
        <v>12.4</v>
      </c>
      <c r="H1396" s="6">
        <v>16.239999999999998</v>
      </c>
      <c r="I1396" s="6">
        <f t="shared" ca="1" si="0"/>
        <v>12.4</v>
      </c>
      <c r="J1396" s="6">
        <f ca="1">IFERROR(__xludf.DUMMYFUNCTION("IFERROR(GOOGLEFINANCE(B1396, ""volume""), 0)"),351994)</f>
        <v>351994</v>
      </c>
      <c r="K1396" s="6">
        <v>0.31</v>
      </c>
      <c r="L1396" s="6">
        <f ca="1">IFERROR(__xludf.DUMMYFUNCTION("IFERROR(GOOGLEFINANCE(B1396,""changepct""),K1396)"),-4.83)</f>
        <v>-4.83</v>
      </c>
      <c r="M1396" s="6">
        <f ca="1">IFERROR(__xludf.DUMMYFUNCTION("IFERROR(GOOGLEFINANCE(B1396,""change""),0)"),-0.63)</f>
        <v>-0.63</v>
      </c>
      <c r="N1396" s="6">
        <v>2</v>
      </c>
      <c r="O1396" s="7">
        <v>45536</v>
      </c>
      <c r="P1396" s="6">
        <v>355</v>
      </c>
      <c r="Q1396" s="6">
        <v>724.47</v>
      </c>
      <c r="R1396" s="7">
        <v>45536</v>
      </c>
      <c r="S1396" s="6">
        <v>29.14</v>
      </c>
      <c r="T1396" s="6">
        <v>-26.8</v>
      </c>
      <c r="U1396" s="7">
        <v>45536</v>
      </c>
      <c r="V1396" s="6">
        <v>0</v>
      </c>
      <c r="W1396" s="6">
        <f ca="1">IFERROR(__xludf.DUMMYFUNCTION("IFERROR(GOOGLEFINANCE(B1396,""pe""),V1396)"),0)</f>
        <v>0</v>
      </c>
      <c r="X1396" s="6">
        <v>0</v>
      </c>
      <c r="Y1396" s="6">
        <v>-1.9</v>
      </c>
      <c r="Z1396" s="6">
        <v>2</v>
      </c>
      <c r="AA1396" s="8">
        <v>45352</v>
      </c>
      <c r="AB1396" s="4">
        <v>-1.32</v>
      </c>
      <c r="AC1396" s="6">
        <v>0</v>
      </c>
      <c r="AD1396" s="6">
        <v>-15.23</v>
      </c>
      <c r="AE1396" s="1">
        <v>0</v>
      </c>
      <c r="AF1396" s="1">
        <f ca="1">IFERROR(__xludf.DUMMYFUNCTION("IFERROR(GOOGLEFINANCE(TRIM(F1396)&amp;"":"" &amp; TRIM(B1396),""high52""),AE1396)"),24.5)</f>
        <v>24.5</v>
      </c>
      <c r="AG1396" s="1">
        <v>0</v>
      </c>
      <c r="AH1396" s="1">
        <f ca="1">IFERROR(__xludf.DUMMYFUNCTION("IFERROR(GOOGLEFINANCE(TRIM(F1396)&amp;"":"" &amp; TRIM(B1396),""low52""),AE1396)"),11.75)</f>
        <v>11.75</v>
      </c>
      <c r="AI1396" s="1">
        <f ca="1">IFERROR(__xludf.DUMMYFUNCTION("IFERROR(GOOGLEFINANCE(B1396,""eps""),0)"),-0.59)</f>
        <v>-0.59</v>
      </c>
      <c r="AJ1396" s="1"/>
      <c r="AK1396" s="1" t="s">
        <v>4208</v>
      </c>
      <c r="AL1396" s="9">
        <f t="shared" ref="AL1396:AL1401" si="187">IF(AA1396&lt;&gt;AB1396,1,0)</f>
        <v>1</v>
      </c>
    </row>
    <row r="1397" spans="1:38" ht="15" x14ac:dyDescent="0.25">
      <c r="A1397" s="1" t="s">
        <v>4209</v>
      </c>
      <c r="B1397" s="1" t="s">
        <v>4210</v>
      </c>
      <c r="C1397" s="1" t="s">
        <v>57</v>
      </c>
      <c r="D1397" s="1" t="s">
        <v>57</v>
      </c>
      <c r="E1397" s="6">
        <v>534971.9</v>
      </c>
      <c r="F1397" s="1" t="s">
        <v>40</v>
      </c>
      <c r="G1397" s="6">
        <f ca="1">IFERROR(__xludf.DUMMYFUNCTION("iferror(GOOGLEFINANCE(TRIM(F1397)&amp;"":"" &amp; TRIM(B1397), ""price""),0
)"),1675)</f>
        <v>1675</v>
      </c>
      <c r="H1397" s="6">
        <v>1963.55</v>
      </c>
      <c r="I1397" s="6">
        <f t="shared" ca="1" si="0"/>
        <v>1675</v>
      </c>
      <c r="J1397" s="6">
        <f ca="1">IFERROR(__xludf.DUMMYFUNCTION("IFERROR(GOOGLEFINANCE(B1397, ""volume""), 0)"),1916380)</f>
        <v>1916380</v>
      </c>
      <c r="K1397" s="6">
        <v>-0.44</v>
      </c>
      <c r="L1397" s="6">
        <f ca="1">IFERROR(__xludf.DUMMYFUNCTION("IFERROR(GOOGLEFINANCE(B1397,""changepct""),K1397)"),0.53)</f>
        <v>0.53</v>
      </c>
      <c r="M1397" s="6">
        <f ca="1">IFERROR(__xludf.DUMMYFUNCTION("IFERROR(GOOGLEFINANCE(B1397,""change""),0)"),8.8)</f>
        <v>8.8000000000000007</v>
      </c>
      <c r="N1397" s="6">
        <v>2</v>
      </c>
      <c r="O1397" s="7">
        <v>45536</v>
      </c>
      <c r="P1397" s="6">
        <v>2297</v>
      </c>
      <c r="Q1397" s="6">
        <v>517755.9</v>
      </c>
      <c r="R1397" s="7">
        <v>45536</v>
      </c>
      <c r="S1397" s="6">
        <v>113864</v>
      </c>
      <c r="T1397" s="6">
        <v>16842</v>
      </c>
      <c r="U1397" s="7">
        <v>45536</v>
      </c>
      <c r="V1397" s="6">
        <v>31.79</v>
      </c>
      <c r="W1397" s="6">
        <f ca="1">IFERROR(__xludf.DUMMYFUNCTION("IFERROR(GOOGLEFINANCE(B1397,""pe""),V1397)"),27.6)</f>
        <v>27.6</v>
      </c>
      <c r="X1397" s="6">
        <v>3.46</v>
      </c>
      <c r="Y1397" s="6">
        <v>7.77</v>
      </c>
      <c r="Z1397" s="6">
        <v>2</v>
      </c>
      <c r="AA1397" s="8">
        <v>45352</v>
      </c>
      <c r="AB1397" s="4">
        <v>0.03</v>
      </c>
      <c r="AC1397" s="6">
        <v>23.69</v>
      </c>
      <c r="AD1397" s="6">
        <v>31.13</v>
      </c>
      <c r="AE1397" s="1">
        <v>0</v>
      </c>
      <c r="AF1397" s="1">
        <f ca="1">IFERROR(__xludf.DUMMYFUNCTION("IFERROR(GOOGLEFINANCE(TRIM(F1397)&amp;"":"" &amp; TRIM(B1397),""high52""),AE1397)"),1752.5)</f>
        <v>1752.5</v>
      </c>
      <c r="AG1397" s="1">
        <v>0</v>
      </c>
      <c r="AH1397" s="1">
        <f ca="1">IFERROR(__xludf.DUMMYFUNCTION("IFERROR(GOOGLEFINANCE(TRIM(F1397)&amp;"":"" &amp; TRIM(B1397),""low52""),AE1397)"),1302.75)</f>
        <v>1302.75</v>
      </c>
      <c r="AI1397" s="1">
        <f ca="1">IFERROR(__xludf.DUMMYFUNCTION("IFERROR(GOOGLEFINANCE(B1397,""eps""),0)"),60.69)</f>
        <v>60.69</v>
      </c>
      <c r="AJ1397" s="1"/>
      <c r="AK1397" s="1" t="s">
        <v>4211</v>
      </c>
      <c r="AL1397" s="9">
        <f t="shared" si="187"/>
        <v>1</v>
      </c>
    </row>
    <row r="1398" spans="1:38" ht="15" x14ac:dyDescent="0.25">
      <c r="A1398" s="1" t="s">
        <v>4212</v>
      </c>
      <c r="B1398" s="1" t="s">
        <v>4213</v>
      </c>
      <c r="C1398" s="1" t="s">
        <v>386</v>
      </c>
      <c r="D1398" s="1" t="s">
        <v>386</v>
      </c>
      <c r="E1398" s="6">
        <v>91516.74</v>
      </c>
      <c r="F1398" s="1" t="s">
        <v>40</v>
      </c>
      <c r="G1398" s="6">
        <f ca="1">IFERROR(__xludf.DUMMYFUNCTION("iferror(GOOGLEFINANCE(TRIM(F1398)&amp;"":"" &amp; TRIM(B1398), ""price""),0
)"),2565)</f>
        <v>2565</v>
      </c>
      <c r="H1398" s="6">
        <v>4218.45</v>
      </c>
      <c r="I1398" s="6">
        <f t="shared" ca="1" si="0"/>
        <v>2565</v>
      </c>
      <c r="J1398" s="6">
        <f ca="1">IFERROR(__xludf.DUMMYFUNCTION("IFERROR(GOOGLEFINANCE(B1398, ""volume""), 0)"),1442403)</f>
        <v>1442403</v>
      </c>
      <c r="K1398" s="6">
        <v>-1.48</v>
      </c>
      <c r="L1398" s="6">
        <f ca="1">IFERROR(__xludf.DUMMYFUNCTION("IFERROR(GOOGLEFINANCE(B1398,""changepct""),K1398)"),4.24)</f>
        <v>4.24</v>
      </c>
      <c r="M1398" s="6">
        <f ca="1">IFERROR(__xludf.DUMMYFUNCTION("IFERROR(GOOGLEFINANCE(B1398,""change""),0)"),104.4)</f>
        <v>104.4</v>
      </c>
      <c r="N1398" s="6">
        <v>2</v>
      </c>
      <c r="O1398" s="7">
        <v>45536</v>
      </c>
      <c r="P1398" s="6">
        <v>2209.13</v>
      </c>
      <c r="Q1398" s="7">
        <v>45536</v>
      </c>
      <c r="R1398" s="6">
        <v>41.43</v>
      </c>
      <c r="S1398" s="9"/>
      <c r="T1398" s="6">
        <v>13.47</v>
      </c>
      <c r="U1398" s="6">
        <v>2</v>
      </c>
      <c r="V1398" s="7">
        <v>45352</v>
      </c>
      <c r="W1398" s="6">
        <f ca="1">IFERROR(__xludf.DUMMYFUNCTION("IFERROR(GOOGLEFINANCE(B1398,""pe""),V1398)"),38.31)</f>
        <v>38.31</v>
      </c>
      <c r="X1398" s="6">
        <v>0</v>
      </c>
      <c r="Y1398" s="6">
        <v>30.09</v>
      </c>
      <c r="Z1398" s="6">
        <v>37.69</v>
      </c>
      <c r="AA1398" s="3" t="s">
        <v>4214</v>
      </c>
      <c r="AB1398" s="3"/>
      <c r="AC1398" s="9"/>
      <c r="AD1398" s="9"/>
      <c r="AE1398" s="1">
        <v>0</v>
      </c>
      <c r="AF1398" s="1">
        <f ca="1">IFERROR(__xludf.DUMMYFUNCTION("IFERROR(GOOGLEFINANCE(TRIM(F1398)&amp;"":"" &amp; TRIM(B1398),""high52""),AE1398)"),2967.25)</f>
        <v>2967.25</v>
      </c>
      <c r="AG1398" s="1">
        <v>0</v>
      </c>
      <c r="AH1398" s="1">
        <f ca="1">IFERROR(__xludf.DUMMYFUNCTION("IFERROR(GOOGLEFINANCE(TRIM(F1398)&amp;"":"" &amp; TRIM(B1398),""low52""),AE1398)"),1781.53)</f>
        <v>1781.53</v>
      </c>
      <c r="AI1398" s="1">
        <f ca="1">IFERROR(__xludf.DUMMYFUNCTION("IFERROR(GOOGLEFINANCE(B1398,""eps""),0)"),66.96)</f>
        <v>66.959999999999994</v>
      </c>
      <c r="AJ1398" s="1"/>
      <c r="AK1398" s="1" t="s">
        <v>4215</v>
      </c>
      <c r="AL1398" s="9">
        <f t="shared" si="187"/>
        <v>1</v>
      </c>
    </row>
    <row r="1399" spans="1:38" ht="15" x14ac:dyDescent="0.25">
      <c r="A1399" s="1" t="s">
        <v>4216</v>
      </c>
      <c r="B1399" s="1" t="s">
        <v>4217</v>
      </c>
      <c r="C1399" s="1" t="s">
        <v>86</v>
      </c>
      <c r="D1399" s="1" t="s">
        <v>86</v>
      </c>
      <c r="E1399" s="6">
        <v>48.6</v>
      </c>
      <c r="F1399" s="1" t="s">
        <v>53</v>
      </c>
      <c r="G1399" s="6">
        <f ca="1">IFERROR(__xludf.DUMMYFUNCTION("iferror(GOOGLEFINANCE(TRIM(F1399)&amp;"":"" &amp; TRIM(B1399), ""price""),0
)"),0)</f>
        <v>0</v>
      </c>
      <c r="H1399" s="6">
        <v>25.17</v>
      </c>
      <c r="I1399" s="6">
        <f t="shared" ca="1" si="0"/>
        <v>25.17</v>
      </c>
      <c r="J1399" s="6">
        <f ca="1">IFERROR(__xludf.DUMMYFUNCTION("IFERROR(GOOGLEFINANCE(B1399, ""volume""), 0)"),0)</f>
        <v>0</v>
      </c>
      <c r="K1399" s="6">
        <v>2.48</v>
      </c>
      <c r="L1399" s="6">
        <f ca="1">IFERROR(__xludf.DUMMYFUNCTION("IFERROR(GOOGLEFINANCE(B1399,""changepct""),K1399)"),2.48)</f>
        <v>2.48</v>
      </c>
      <c r="M1399" s="6">
        <f ca="1">IFERROR(__xludf.DUMMYFUNCTION("IFERROR(GOOGLEFINANCE(B1399,""change""),0)"),0)</f>
        <v>0</v>
      </c>
      <c r="N1399" s="6">
        <v>1</v>
      </c>
      <c r="O1399" s="7">
        <v>45536</v>
      </c>
      <c r="P1399" s="9"/>
      <c r="Q1399" s="6">
        <v>48.6</v>
      </c>
      <c r="R1399" s="7">
        <v>45536</v>
      </c>
      <c r="S1399" s="6">
        <v>52.06</v>
      </c>
      <c r="T1399" s="6">
        <v>2.12</v>
      </c>
      <c r="U1399" s="7">
        <v>45536</v>
      </c>
      <c r="V1399" s="6">
        <v>22.94</v>
      </c>
      <c r="W1399" s="6">
        <f ca="1">IFERROR(__xludf.DUMMYFUNCTION("IFERROR(GOOGLEFINANCE(B1399,""pe""),V1399)"),22.94)</f>
        <v>22.94</v>
      </c>
      <c r="X1399" s="6">
        <v>0.25</v>
      </c>
      <c r="Y1399" s="6">
        <v>1.1200000000000001</v>
      </c>
      <c r="Z1399" s="6">
        <v>1</v>
      </c>
      <c r="AA1399" s="8">
        <v>45352</v>
      </c>
      <c r="AB1399" s="4">
        <v>0</v>
      </c>
      <c r="AC1399" s="6">
        <v>0.12</v>
      </c>
      <c r="AD1399" s="6">
        <v>0.19</v>
      </c>
      <c r="AE1399" s="1">
        <v>0</v>
      </c>
      <c r="AF1399" s="1">
        <f ca="1">IFERROR(__xludf.DUMMYFUNCTION("IFERROR(GOOGLEFINANCE(TRIM(F1399)&amp;"":"" &amp; TRIM(B1399),""high52""),AE1399)"),0)</f>
        <v>0</v>
      </c>
      <c r="AG1399" s="1">
        <v>0</v>
      </c>
      <c r="AH1399" s="1">
        <f ca="1">IFERROR(__xludf.DUMMYFUNCTION("IFERROR(GOOGLEFINANCE(TRIM(F1399)&amp;"":"" &amp; TRIM(B1399),""low52""),AE1399)"),0)</f>
        <v>0</v>
      </c>
      <c r="AI1399" s="1">
        <f ca="1">IFERROR(__xludf.DUMMYFUNCTION("IFERROR(GOOGLEFINANCE(B1399,""eps""),0)"),0)</f>
        <v>0</v>
      </c>
      <c r="AJ1399" s="1"/>
      <c r="AK1399" s="1" t="s">
        <v>4218</v>
      </c>
      <c r="AL1399" s="9">
        <f t="shared" si="187"/>
        <v>1</v>
      </c>
    </row>
    <row r="1400" spans="1:38" ht="15" x14ac:dyDescent="0.25">
      <c r="A1400" s="1" t="s">
        <v>4219</v>
      </c>
      <c r="B1400" s="1" t="s">
        <v>4220</v>
      </c>
      <c r="C1400" s="1" t="s">
        <v>86</v>
      </c>
      <c r="D1400" s="1" t="s">
        <v>86</v>
      </c>
      <c r="E1400" s="6">
        <v>1351.94</v>
      </c>
      <c r="F1400" s="1" t="s">
        <v>53</v>
      </c>
      <c r="G1400" s="6">
        <f ca="1">IFERROR(__xludf.DUMMYFUNCTION("iferror(GOOGLEFINANCE(TRIM(F1400)&amp;"":"" &amp; TRIM(B1400), ""price""),0
)"),0)</f>
        <v>0</v>
      </c>
      <c r="H1400" s="6">
        <v>348.75</v>
      </c>
      <c r="I1400" s="6">
        <f t="shared" ca="1" si="0"/>
        <v>348.75</v>
      </c>
      <c r="J1400" s="6">
        <f ca="1">IFERROR(__xludf.DUMMYFUNCTION("IFERROR(GOOGLEFINANCE(B1400, ""volume""), 0)"),0)</f>
        <v>0</v>
      </c>
      <c r="K1400" s="6">
        <v>-1.69</v>
      </c>
      <c r="L1400" s="6">
        <f ca="1">IFERROR(__xludf.DUMMYFUNCTION("IFERROR(GOOGLEFINANCE(B1400,""changepct""),K1400)"),-1.69)</f>
        <v>-1.69</v>
      </c>
      <c r="M1400" s="6">
        <f ca="1">IFERROR(__xludf.DUMMYFUNCTION("IFERROR(GOOGLEFINANCE(B1400,""change""),0)"),0)</f>
        <v>0</v>
      </c>
      <c r="N1400" s="6">
        <v>2</v>
      </c>
      <c r="O1400" s="7">
        <v>45536</v>
      </c>
      <c r="P1400" s="12"/>
      <c r="Q1400" s="6">
        <v>1351.94</v>
      </c>
      <c r="R1400" s="7">
        <v>45536</v>
      </c>
      <c r="S1400" s="6">
        <v>602.42999999999995</v>
      </c>
      <c r="T1400" s="6">
        <v>1.38</v>
      </c>
      <c r="U1400" s="7">
        <v>45536</v>
      </c>
      <c r="V1400" s="6">
        <v>981.09</v>
      </c>
      <c r="W1400" s="6">
        <f ca="1">IFERROR(__xludf.DUMMYFUNCTION("IFERROR(GOOGLEFINANCE(B1400,""pe""),V1400)"),981.09)</f>
        <v>981.09</v>
      </c>
      <c r="X1400" s="9"/>
      <c r="Y1400" s="6">
        <v>13.38</v>
      </c>
      <c r="Z1400" s="6">
        <v>2</v>
      </c>
      <c r="AA1400" s="8">
        <v>45352</v>
      </c>
      <c r="AB1400" s="4">
        <v>7.0000000000000007E-2</v>
      </c>
      <c r="AC1400" s="6">
        <v>20.58</v>
      </c>
      <c r="AD1400" s="6">
        <v>13.36</v>
      </c>
      <c r="AE1400" s="1">
        <v>0</v>
      </c>
      <c r="AF1400" s="1">
        <f ca="1">IFERROR(__xludf.DUMMYFUNCTION("IFERROR(GOOGLEFINANCE(TRIM(F1400)&amp;"":"" &amp; TRIM(B1400),""high52""),AE1400)"),0)</f>
        <v>0</v>
      </c>
      <c r="AG1400" s="1">
        <v>0</v>
      </c>
      <c r="AH1400" s="1">
        <f ca="1">IFERROR(__xludf.DUMMYFUNCTION("IFERROR(GOOGLEFINANCE(TRIM(F1400)&amp;"":"" &amp; TRIM(B1400),""low52""),AE1400)"),0)</f>
        <v>0</v>
      </c>
      <c r="AI1400" s="1">
        <f ca="1">IFERROR(__xludf.DUMMYFUNCTION("IFERROR(GOOGLEFINANCE(B1400,""eps""),0)"),0)</f>
        <v>0</v>
      </c>
      <c r="AJ1400" s="1"/>
      <c r="AK1400" s="1" t="s">
        <v>4221</v>
      </c>
      <c r="AL1400" s="9">
        <f t="shared" si="187"/>
        <v>1</v>
      </c>
    </row>
    <row r="1401" spans="1:38" ht="15" x14ac:dyDescent="0.25">
      <c r="A1401" s="1" t="s">
        <v>4222</v>
      </c>
      <c r="B1401" s="1" t="s">
        <v>4223</v>
      </c>
      <c r="C1401" s="1" t="s">
        <v>86</v>
      </c>
      <c r="D1401" s="1" t="s">
        <v>86</v>
      </c>
      <c r="E1401" s="6">
        <v>89</v>
      </c>
      <c r="F1401" s="1" t="s">
        <v>53</v>
      </c>
      <c r="G1401" s="6">
        <f ca="1">IFERROR(__xludf.DUMMYFUNCTION("iferror(GOOGLEFINANCE(TRIM(F1401)&amp;"":"" &amp; TRIM(B1401), ""price""),0
)"),0)</f>
        <v>0</v>
      </c>
      <c r="H1401" s="6">
        <v>17.8</v>
      </c>
      <c r="I1401" s="6">
        <f t="shared" ca="1" si="0"/>
        <v>17.8</v>
      </c>
      <c r="J1401" s="6">
        <f ca="1">IFERROR(__xludf.DUMMYFUNCTION("IFERROR(GOOGLEFINANCE(B1401, ""volume""), 0)"),0)</f>
        <v>0</v>
      </c>
      <c r="K1401" s="6">
        <v>2.83</v>
      </c>
      <c r="L1401" s="6">
        <f ca="1">IFERROR(__xludf.DUMMYFUNCTION("IFERROR(GOOGLEFINANCE(B1401,""changepct""),K1401)"),2.83)</f>
        <v>2.83</v>
      </c>
      <c r="M1401" s="6">
        <f ca="1">IFERROR(__xludf.DUMMYFUNCTION("IFERROR(GOOGLEFINANCE(B1401,""change""),0)"),0)</f>
        <v>0</v>
      </c>
      <c r="N1401" s="6">
        <v>1</v>
      </c>
      <c r="O1401" s="7">
        <v>45536</v>
      </c>
      <c r="P1401" s="9"/>
      <c r="Q1401" s="6">
        <v>89</v>
      </c>
      <c r="R1401" s="7">
        <v>45536</v>
      </c>
      <c r="S1401" s="6">
        <v>28.82</v>
      </c>
      <c r="T1401" s="6">
        <v>0.94</v>
      </c>
      <c r="U1401" s="7">
        <v>45536</v>
      </c>
      <c r="V1401" s="6">
        <v>94.18</v>
      </c>
      <c r="W1401" s="6">
        <f ca="1">IFERROR(__xludf.DUMMYFUNCTION("IFERROR(GOOGLEFINANCE(B1401,""pe""),V1401)"),94.18)</f>
        <v>94.18</v>
      </c>
      <c r="X1401" s="6">
        <v>1.51</v>
      </c>
      <c r="Y1401" s="6">
        <v>0.77</v>
      </c>
      <c r="Z1401" s="6">
        <v>1</v>
      </c>
      <c r="AA1401" s="8">
        <v>45352</v>
      </c>
      <c r="AB1401" s="4">
        <v>0</v>
      </c>
      <c r="AC1401" s="6">
        <v>0.11</v>
      </c>
      <c r="AD1401" s="6">
        <v>0.19</v>
      </c>
      <c r="AE1401" s="1">
        <v>0</v>
      </c>
      <c r="AF1401" s="1">
        <f ca="1">IFERROR(__xludf.DUMMYFUNCTION("IFERROR(GOOGLEFINANCE(TRIM(F1401)&amp;"":"" &amp; TRIM(B1401),""high52""),AE1401)"),0)</f>
        <v>0</v>
      </c>
      <c r="AG1401" s="1">
        <v>0</v>
      </c>
      <c r="AH1401" s="1">
        <f ca="1">IFERROR(__xludf.DUMMYFUNCTION("IFERROR(GOOGLEFINANCE(TRIM(F1401)&amp;"":"" &amp; TRIM(B1401),""low52""),AE1401)"),0)</f>
        <v>0</v>
      </c>
      <c r="AI1401" s="1">
        <f ca="1">IFERROR(__xludf.DUMMYFUNCTION("IFERROR(GOOGLEFINANCE(B1401,""eps""),0)"),0)</f>
        <v>0</v>
      </c>
      <c r="AJ1401" s="1"/>
      <c r="AK1401" s="1" t="s">
        <v>4224</v>
      </c>
      <c r="AL1401" s="9">
        <f t="shared" si="187"/>
        <v>1</v>
      </c>
    </row>
    <row r="1402" spans="1:38" ht="15" x14ac:dyDescent="0.25">
      <c r="A1402" s="1" t="s">
        <v>4225</v>
      </c>
      <c r="B1402" s="1" t="s">
        <v>4226</v>
      </c>
      <c r="C1402" s="1" t="s">
        <v>1067</v>
      </c>
      <c r="D1402" s="1" t="s">
        <v>1067</v>
      </c>
      <c r="E1402" s="6">
        <v>1371611</v>
      </c>
      <c r="F1402" s="1" t="s">
        <v>40</v>
      </c>
      <c r="G1402" s="6">
        <f ca="1">IFERROR(__xludf.DUMMYFUNCTION("iferror(GOOGLEFINANCE(TRIM(F1402)&amp;"":"" &amp; TRIM(B1402), ""price""),0
)"),928.1)</f>
        <v>928.1</v>
      </c>
      <c r="H1402" s="6">
        <v>1764.3</v>
      </c>
      <c r="I1402" s="6">
        <f t="shared" ca="1" si="0"/>
        <v>928.1</v>
      </c>
      <c r="J1402" s="6">
        <f ca="1">IFERROR(__xludf.DUMMYFUNCTION("IFERROR(GOOGLEFINANCE(B1402, ""volume""), 0)"),28032106)</f>
        <v>28032106</v>
      </c>
      <c r="K1402" s="6">
        <v>-1.64</v>
      </c>
      <c r="L1402" s="6">
        <f ca="1">IFERROR(__xludf.DUMMYFUNCTION("IFERROR(GOOGLEFINANCE(B1402,""changepct""),K1402)"),0.65)</f>
        <v>0.65</v>
      </c>
      <c r="M1402" s="6">
        <f ca="1">IFERROR(__xludf.DUMMYFUNCTION("IFERROR(GOOGLEFINANCE(B1402,""change""),0)"),6)</f>
        <v>6</v>
      </c>
      <c r="N1402" s="6">
        <v>2</v>
      </c>
      <c r="O1402" s="7">
        <v>45536</v>
      </c>
      <c r="P1402" s="6">
        <v>321989.7</v>
      </c>
      <c r="Q1402" s="6">
        <v>71546.36</v>
      </c>
      <c r="R1402" s="7">
        <v>45536</v>
      </c>
      <c r="S1402" s="6">
        <v>19.829999999999998</v>
      </c>
      <c r="T1402" s="6">
        <v>0.85</v>
      </c>
      <c r="U1402" s="6">
        <v>2.87</v>
      </c>
      <c r="V1402" s="6">
        <v>2</v>
      </c>
      <c r="W1402" s="6">
        <f ca="1">IFERROR(__xludf.DUMMYFUNCTION("IFERROR(GOOGLEFINANCE(B1402,""pe""),V1402)"),19.2)</f>
        <v>19.2</v>
      </c>
      <c r="X1402" s="7">
        <v>45352</v>
      </c>
      <c r="Y1402" s="6">
        <v>17.64</v>
      </c>
      <c r="Z1402" s="6">
        <v>1</v>
      </c>
      <c r="AA1402" s="8">
        <v>45352</v>
      </c>
      <c r="AB1402" s="4">
        <v>0.33</v>
      </c>
      <c r="AC1402" s="6">
        <v>3.19</v>
      </c>
      <c r="AD1402" s="6">
        <v>10.4</v>
      </c>
      <c r="AE1402" s="1">
        <v>0</v>
      </c>
      <c r="AF1402" s="1">
        <f ca="1">IFERROR(__xludf.DUMMYFUNCTION("IFERROR(GOOGLEFINANCE(TRIM(F1402)&amp;"":"" &amp; TRIM(B1402),""high52""),AE1402)"),1020.5)</f>
        <v>1020.5</v>
      </c>
      <c r="AG1402" s="1">
        <v>0</v>
      </c>
      <c r="AH1402" s="1">
        <f ca="1">IFERROR(__xludf.DUMMYFUNCTION("IFERROR(GOOGLEFINANCE(TRIM(F1402)&amp;"":"" &amp; TRIM(B1402),""low52""),AE1402)"),830.55)</f>
        <v>830.55</v>
      </c>
      <c r="AI1402" s="1">
        <f ca="1">IFERROR(__xludf.DUMMYFUNCTION("IFERROR(GOOGLEFINANCE(B1402,""eps""),0)"),48.34)</f>
        <v>48.34</v>
      </c>
      <c r="AJ1402" s="1"/>
      <c r="AK1402" s="1" t="s">
        <v>4227</v>
      </c>
      <c r="AL1402" s="1" t="b">
        <f>ISNUMBER(AA1402)</f>
        <v>1</v>
      </c>
    </row>
    <row r="1403" spans="1:38" ht="15" x14ac:dyDescent="0.25">
      <c r="A1403" s="1" t="s">
        <v>4228</v>
      </c>
      <c r="B1403" s="1" t="s">
        <v>4229</v>
      </c>
      <c r="C1403" s="1" t="s">
        <v>3720</v>
      </c>
      <c r="D1403" s="1" t="s">
        <v>3720</v>
      </c>
      <c r="E1403" s="6">
        <v>133473.79999999999</v>
      </c>
      <c r="F1403" s="1" t="s">
        <v>40</v>
      </c>
      <c r="G1403" s="6">
        <f ca="1">IFERROR(__xludf.DUMMYFUNCTION("iferror(GOOGLEFINANCE(TRIM(F1403)&amp;"":"" &amp; TRIM(B1403), ""price""),0
)"),717)</f>
        <v>717</v>
      </c>
      <c r="H1403" s="6">
        <v>618</v>
      </c>
      <c r="I1403" s="6">
        <f t="shared" ca="1" si="0"/>
        <v>717</v>
      </c>
      <c r="J1403" s="6">
        <f ca="1">IFERROR(__xludf.DUMMYFUNCTION("IFERROR(GOOGLEFINANCE(B1403, ""volume""), 0)"),1824473)</f>
        <v>1824473</v>
      </c>
      <c r="K1403" s="6">
        <v>-0.35</v>
      </c>
      <c r="L1403" s="6">
        <f ca="1">IFERROR(__xludf.DUMMYFUNCTION("IFERROR(GOOGLEFINANCE(B1403,""changepct""),K1403)"),0.24)</f>
        <v>0.24</v>
      </c>
      <c r="M1403" s="6">
        <f ca="1">IFERROR(__xludf.DUMMYFUNCTION("IFERROR(GOOGLEFINANCE(B1403,""change""),0)"),1.7)</f>
        <v>1.7</v>
      </c>
      <c r="N1403" s="6">
        <v>2</v>
      </c>
      <c r="O1403" s="7">
        <v>45536</v>
      </c>
      <c r="P1403" s="6">
        <v>1693.33</v>
      </c>
      <c r="Q1403" s="7">
        <v>45536</v>
      </c>
      <c r="R1403" s="6">
        <v>78.819999999999993</v>
      </c>
      <c r="S1403" s="6">
        <v>18.5</v>
      </c>
      <c r="T1403" s="6">
        <v>8.56</v>
      </c>
      <c r="U1403" s="6">
        <v>2</v>
      </c>
      <c r="V1403" s="7">
        <v>45352</v>
      </c>
      <c r="W1403" s="6">
        <f ca="1">IFERROR(__xludf.DUMMYFUNCTION("IFERROR(GOOGLEFINANCE(B1403,""pe""),V1403)"),81.81)</f>
        <v>81.81</v>
      </c>
      <c r="X1403" s="6">
        <v>7.0000000000000007E-2</v>
      </c>
      <c r="Y1403" s="6">
        <v>11.58</v>
      </c>
      <c r="Z1403" s="6">
        <v>10.79</v>
      </c>
      <c r="AA1403" s="3" t="s">
        <v>4230</v>
      </c>
      <c r="AB1403" s="3"/>
      <c r="AC1403" s="9"/>
      <c r="AD1403" s="9"/>
      <c r="AE1403" s="1">
        <v>0</v>
      </c>
      <c r="AF1403" s="1">
        <f ca="1">IFERROR(__xludf.DUMMYFUNCTION("IFERROR(GOOGLEFINANCE(TRIM(F1403)&amp;"":"" &amp; TRIM(B1403),""high52""),AE1403)"),820.75)</f>
        <v>820.75</v>
      </c>
      <c r="AG1403" s="1">
        <v>0</v>
      </c>
      <c r="AH1403" s="1">
        <f ca="1">IFERROR(__xludf.DUMMYFUNCTION("IFERROR(GOOGLEFINANCE(TRIM(F1403)&amp;"":"" &amp; TRIM(B1403),""low52""),AE1403)"),600.35)</f>
        <v>600.35</v>
      </c>
      <c r="AI1403" s="1">
        <f ca="1">IFERROR(__xludf.DUMMYFUNCTION("IFERROR(GOOGLEFINANCE(B1403,""eps""),0)"),8.76)</f>
        <v>8.76</v>
      </c>
      <c r="AJ1403" s="1"/>
      <c r="AK1403" s="1" t="s">
        <v>4231</v>
      </c>
      <c r="AL1403" s="9">
        <f t="shared" ref="AL1403:AL1408" si="188">IF(AA1403&lt;&gt;AB1403,1,0)</f>
        <v>1</v>
      </c>
    </row>
    <row r="1404" spans="1:38" ht="15" x14ac:dyDescent="0.25">
      <c r="A1404" s="1" t="s">
        <v>4232</v>
      </c>
      <c r="B1404" s="1" t="s">
        <v>4233</v>
      </c>
      <c r="C1404" s="1" t="s">
        <v>359</v>
      </c>
      <c r="D1404" s="1" t="s">
        <v>359</v>
      </c>
      <c r="E1404" s="6">
        <v>26.54</v>
      </c>
      <c r="F1404" s="1" t="s">
        <v>40</v>
      </c>
      <c r="G1404" s="6">
        <f ca="1">IFERROR(__xludf.DUMMYFUNCTION("iferror(GOOGLEFINANCE(TRIM(F1404)&amp;"":"" &amp; TRIM(B1404), ""price""),0
)"),8.21)</f>
        <v>8.2100000000000009</v>
      </c>
      <c r="H1404" s="6">
        <v>11.93</v>
      </c>
      <c r="I1404" s="6">
        <f t="shared" ca="1" si="0"/>
        <v>8.2100000000000009</v>
      </c>
      <c r="J1404" s="6">
        <f ca="1">IFERROR(__xludf.DUMMYFUNCTION("IFERROR(GOOGLEFINANCE(B1404, ""volume""), 0)"),30455)</f>
        <v>30455</v>
      </c>
      <c r="K1404" s="6">
        <v>-0.42</v>
      </c>
      <c r="L1404" s="6">
        <f ca="1">IFERROR(__xludf.DUMMYFUNCTION("IFERROR(GOOGLEFINANCE(B1404,""changepct""),K1404)"),-0.24)</f>
        <v>-0.24</v>
      </c>
      <c r="M1404" s="6">
        <f ca="1">IFERROR(__xludf.DUMMYFUNCTION("IFERROR(GOOGLEFINANCE(B1404,""change""),0)"),-0.02)</f>
        <v>-0.02</v>
      </c>
      <c r="N1404" s="6">
        <v>1</v>
      </c>
      <c r="O1404" s="7">
        <v>45536</v>
      </c>
      <c r="P1404" s="9"/>
      <c r="Q1404" s="6">
        <v>26.54</v>
      </c>
      <c r="R1404" s="7">
        <v>45536</v>
      </c>
      <c r="S1404" s="6">
        <v>0.16</v>
      </c>
      <c r="T1404" s="6">
        <v>-2.64</v>
      </c>
      <c r="U1404" s="7">
        <v>45536</v>
      </c>
      <c r="V1404" s="6">
        <v>0</v>
      </c>
      <c r="W1404" s="6">
        <f ca="1">IFERROR(__xludf.DUMMYFUNCTION("IFERROR(GOOGLEFINANCE(B1404,""pe""),V1404)"),0)</f>
        <v>0</v>
      </c>
      <c r="X1404" s="9"/>
      <c r="Y1404" s="6">
        <v>1.9</v>
      </c>
      <c r="Z1404" s="6">
        <v>1</v>
      </c>
      <c r="AA1404" s="8">
        <v>45352</v>
      </c>
      <c r="AB1404" s="4">
        <v>0</v>
      </c>
      <c r="AC1404" s="6">
        <v>-26.9</v>
      </c>
      <c r="AD1404" s="6">
        <v>-26.89</v>
      </c>
      <c r="AE1404" s="1">
        <v>0</v>
      </c>
      <c r="AF1404" s="1">
        <f ca="1">IFERROR(__xludf.DUMMYFUNCTION("IFERROR(GOOGLEFINANCE(TRIM(F1404)&amp;"":"" &amp; TRIM(B1404),""high52""),AE1404)"),14.48)</f>
        <v>14.48</v>
      </c>
      <c r="AG1404" s="1">
        <v>0</v>
      </c>
      <c r="AH1404" s="1">
        <f ca="1">IFERROR(__xludf.DUMMYFUNCTION("IFERROR(GOOGLEFINANCE(TRIM(F1404)&amp;"":"" &amp; TRIM(B1404),""low52""),AE1404)"),7.42)</f>
        <v>7.42</v>
      </c>
      <c r="AI1404" s="1">
        <f ca="1">IFERROR(__xludf.DUMMYFUNCTION("IFERROR(GOOGLEFINANCE(B1404,""eps""),0)"),0)</f>
        <v>0</v>
      </c>
      <c r="AJ1404" s="1"/>
      <c r="AK1404" s="1" t="s">
        <v>4234</v>
      </c>
      <c r="AL1404" s="9">
        <f t="shared" si="188"/>
        <v>1</v>
      </c>
    </row>
    <row r="1405" spans="1:38" ht="15" x14ac:dyDescent="0.25">
      <c r="A1405" s="1" t="s">
        <v>4235</v>
      </c>
      <c r="B1405" s="1" t="s">
        <v>4236</v>
      </c>
      <c r="C1405" s="1" t="s">
        <v>163</v>
      </c>
      <c r="D1405" s="1" t="s">
        <v>163</v>
      </c>
      <c r="E1405" s="6">
        <v>6759.64</v>
      </c>
      <c r="F1405" s="1" t="s">
        <v>40</v>
      </c>
      <c r="G1405" s="6">
        <f ca="1">IFERROR(__xludf.DUMMYFUNCTION("iferror(GOOGLEFINANCE(TRIM(F1405)&amp;"":"" &amp; TRIM(B1405), ""price""),0
)"),590)</f>
        <v>590</v>
      </c>
      <c r="H1405" s="6">
        <v>485</v>
      </c>
      <c r="I1405" s="6">
        <f t="shared" ca="1" si="0"/>
        <v>590</v>
      </c>
      <c r="J1405" s="6">
        <f ca="1">IFERROR(__xludf.DUMMYFUNCTION("IFERROR(GOOGLEFINANCE(B1405, ""volume""), 0)"),0)</f>
        <v>0</v>
      </c>
      <c r="K1405" s="6">
        <v>0.13</v>
      </c>
      <c r="L1405" s="6">
        <f ca="1">IFERROR(__xludf.DUMMYFUNCTION("IFERROR(GOOGLEFINANCE(B1405,""changepct""),K1405)"),-0.21)</f>
        <v>-0.21</v>
      </c>
      <c r="M1405" s="6">
        <f ca="1">IFERROR(__xludf.DUMMYFUNCTION("IFERROR(GOOGLEFINANCE(B1405,""change""),0)"),0)</f>
        <v>0</v>
      </c>
      <c r="N1405" s="6">
        <v>2</v>
      </c>
      <c r="O1405" s="7">
        <v>45536</v>
      </c>
      <c r="P1405" s="6">
        <v>749.89</v>
      </c>
      <c r="Q1405" s="6">
        <v>7219.38</v>
      </c>
      <c r="R1405" s="7">
        <v>45536</v>
      </c>
      <c r="S1405" s="6">
        <v>2043.62</v>
      </c>
      <c r="T1405" s="6">
        <v>61.19</v>
      </c>
      <c r="U1405" s="7">
        <v>45536</v>
      </c>
      <c r="V1405" s="6">
        <v>118.53</v>
      </c>
      <c r="W1405" s="6">
        <f ca="1">IFERROR(__xludf.DUMMYFUNCTION("IFERROR(GOOGLEFINANCE(B1405,""pe""),V1405)"),118.53)</f>
        <v>118.53</v>
      </c>
      <c r="X1405" s="6">
        <v>3.83</v>
      </c>
      <c r="Y1405" s="6">
        <v>7.84</v>
      </c>
      <c r="Z1405" s="6">
        <v>2</v>
      </c>
      <c r="AA1405" s="8">
        <v>45352</v>
      </c>
      <c r="AB1405" s="4">
        <v>0.83</v>
      </c>
      <c r="AC1405" s="6">
        <v>4.99</v>
      </c>
      <c r="AD1405" s="6">
        <v>12.79</v>
      </c>
      <c r="AE1405" s="1">
        <v>0</v>
      </c>
      <c r="AF1405" s="1">
        <f ca="1">IFERROR(__xludf.DUMMYFUNCTION("IFERROR(GOOGLEFINANCE(TRIM(F1405)&amp;"":"" &amp; TRIM(B1405),""high52""),AE1405)"),804.65)</f>
        <v>804.65</v>
      </c>
      <c r="AG1405" s="1">
        <v>0</v>
      </c>
      <c r="AH1405" s="1">
        <f ca="1">IFERROR(__xludf.DUMMYFUNCTION("IFERROR(GOOGLEFINANCE(TRIM(F1405)&amp;"":"" &amp; TRIM(B1405),""low52""),AE1405)"),472.55)</f>
        <v>472.55</v>
      </c>
      <c r="AI1405" s="1">
        <f ca="1">IFERROR(__xludf.DUMMYFUNCTION("IFERROR(GOOGLEFINANCE(B1405,""eps""),0)"),0)</f>
        <v>0</v>
      </c>
      <c r="AJ1405" s="1"/>
      <c r="AK1405" s="1" t="s">
        <v>4237</v>
      </c>
      <c r="AL1405" s="9">
        <f t="shared" si="188"/>
        <v>1</v>
      </c>
    </row>
    <row r="1406" spans="1:38" ht="15" x14ac:dyDescent="0.25">
      <c r="A1406" s="1" t="s">
        <v>4238</v>
      </c>
      <c r="B1406" s="1" t="s">
        <v>4239</v>
      </c>
      <c r="C1406" s="1" t="s">
        <v>86</v>
      </c>
      <c r="D1406" s="1" t="s">
        <v>86</v>
      </c>
      <c r="E1406" s="6">
        <v>124.4</v>
      </c>
      <c r="F1406" s="1" t="s">
        <v>40</v>
      </c>
      <c r="G1406" s="6">
        <f ca="1">IFERROR(__xludf.DUMMYFUNCTION("iferror(GOOGLEFINANCE(TRIM(F1406)&amp;"":"" &amp; TRIM(B1406), ""price""),0
)"),114.1)</f>
        <v>114.1</v>
      </c>
      <c r="H1406" s="6">
        <v>121.25</v>
      </c>
      <c r="I1406" s="6">
        <f t="shared" ca="1" si="0"/>
        <v>114.1</v>
      </c>
      <c r="J1406" s="6">
        <f ca="1">IFERROR(__xludf.DUMMYFUNCTION("IFERROR(GOOGLEFINANCE(B1406, ""volume""), 0)"),7235)</f>
        <v>7235</v>
      </c>
      <c r="K1406" s="6">
        <v>-1.18</v>
      </c>
      <c r="L1406" s="6">
        <f ca="1">IFERROR(__xludf.DUMMYFUNCTION("IFERROR(GOOGLEFINANCE(B1406,""changepct""),K1406)"),1.54)</f>
        <v>1.54</v>
      </c>
      <c r="M1406" s="6">
        <f ca="1">IFERROR(__xludf.DUMMYFUNCTION("IFERROR(GOOGLEFINANCE(B1406,""change""),0)"),1.73)</f>
        <v>1.73</v>
      </c>
      <c r="N1406" s="6">
        <v>1</v>
      </c>
      <c r="O1406" s="7">
        <v>45536</v>
      </c>
      <c r="P1406" s="6">
        <v>45.32</v>
      </c>
      <c r="Q1406" s="6">
        <v>169.71</v>
      </c>
      <c r="R1406" s="7">
        <v>45536</v>
      </c>
      <c r="S1406" s="6">
        <v>83.32</v>
      </c>
      <c r="T1406" s="6">
        <v>6.1</v>
      </c>
      <c r="U1406" s="7">
        <v>45536</v>
      </c>
      <c r="V1406" s="6">
        <v>20.39</v>
      </c>
      <c r="W1406" s="6">
        <f ca="1">IFERROR(__xludf.DUMMYFUNCTION("IFERROR(GOOGLEFINANCE(B1406,""pe""),V1406)"),20.39)</f>
        <v>20.39</v>
      </c>
      <c r="X1406" s="6">
        <v>1.06</v>
      </c>
      <c r="Y1406" s="6">
        <v>3.37</v>
      </c>
      <c r="Z1406" s="6">
        <v>1</v>
      </c>
      <c r="AA1406" s="8">
        <v>45352</v>
      </c>
      <c r="AB1406" s="4">
        <v>0.87</v>
      </c>
      <c r="AC1406" s="6">
        <v>14.51</v>
      </c>
      <c r="AD1406" s="6">
        <v>13.34</v>
      </c>
      <c r="AE1406" s="1">
        <v>0</v>
      </c>
      <c r="AF1406" s="1">
        <f ca="1">IFERROR(__xludf.DUMMYFUNCTION("IFERROR(GOOGLEFINANCE(TRIM(F1406)&amp;"":"" &amp; TRIM(B1406),""high52""),AE1406)"),184.1)</f>
        <v>184.1</v>
      </c>
      <c r="AG1406" s="1">
        <v>0</v>
      </c>
      <c r="AH1406" s="1">
        <f ca="1">IFERROR(__xludf.DUMMYFUNCTION("IFERROR(GOOGLEFINANCE(TRIM(F1406)&amp;"":"" &amp; TRIM(B1406),""low52""),AE1406)"),82.01)</f>
        <v>82.01</v>
      </c>
      <c r="AI1406" s="1">
        <f ca="1">IFERROR(__xludf.DUMMYFUNCTION("IFERROR(GOOGLEFINANCE(B1406,""eps""),0)"),0)</f>
        <v>0</v>
      </c>
      <c r="AJ1406" s="1"/>
      <c r="AK1406" s="1" t="s">
        <v>4240</v>
      </c>
      <c r="AL1406" s="9">
        <f t="shared" si="188"/>
        <v>1</v>
      </c>
    </row>
    <row r="1407" spans="1:38" ht="15" x14ac:dyDescent="0.25">
      <c r="A1407" s="1" t="s">
        <v>4241</v>
      </c>
      <c r="B1407" s="1" t="s">
        <v>4242</v>
      </c>
      <c r="C1407" s="1" t="s">
        <v>398</v>
      </c>
      <c r="D1407" s="1" t="s">
        <v>398</v>
      </c>
      <c r="E1407" s="6">
        <v>10272.19</v>
      </c>
      <c r="F1407" s="1" t="s">
        <v>40</v>
      </c>
      <c r="G1407" s="6">
        <f ca="1">IFERROR(__xludf.DUMMYFUNCTION("iferror(GOOGLEFINANCE(TRIM(F1407)&amp;"":"" &amp; TRIM(B1407), ""price""),0
)"),529.7)</f>
        <v>529.70000000000005</v>
      </c>
      <c r="H1407" s="6">
        <v>542.20000000000005</v>
      </c>
      <c r="I1407" s="6">
        <f t="shared" ca="1" si="0"/>
        <v>529.70000000000005</v>
      </c>
      <c r="J1407" s="6">
        <f ca="1">IFERROR(__xludf.DUMMYFUNCTION("IFERROR(GOOGLEFINANCE(B1407, ""volume""), 0)"),573117)</f>
        <v>573117</v>
      </c>
      <c r="K1407" s="6">
        <v>1.73</v>
      </c>
      <c r="L1407" s="6">
        <f ca="1">IFERROR(__xludf.DUMMYFUNCTION("IFERROR(GOOGLEFINANCE(B1407,""changepct""),K1407)"),1.22)</f>
        <v>1.22</v>
      </c>
      <c r="M1407" s="6">
        <f ca="1">IFERROR(__xludf.DUMMYFUNCTION("IFERROR(GOOGLEFINANCE(B1407,""change""),0)"),6.4)</f>
        <v>6.4</v>
      </c>
      <c r="N1407" s="6">
        <v>2</v>
      </c>
      <c r="O1407" s="7">
        <v>45536</v>
      </c>
      <c r="P1407" s="6">
        <v>561.41999999999996</v>
      </c>
      <c r="Q1407" s="6">
        <v>10682.82</v>
      </c>
      <c r="R1407" s="7">
        <v>45536</v>
      </c>
      <c r="S1407" s="6">
        <v>2248.36</v>
      </c>
      <c r="T1407" s="6">
        <v>135.91999999999999</v>
      </c>
      <c r="U1407" s="7">
        <v>45536</v>
      </c>
      <c r="V1407" s="6">
        <v>56.47</v>
      </c>
      <c r="W1407" s="6">
        <f ca="1">IFERROR(__xludf.DUMMYFUNCTION("IFERROR(GOOGLEFINANCE(B1407,""pe""),V1407)"),39.64)</f>
        <v>39.64</v>
      </c>
      <c r="X1407" s="6">
        <v>-1.55</v>
      </c>
      <c r="Y1407" s="6">
        <v>2.31</v>
      </c>
      <c r="Z1407" s="6">
        <v>2</v>
      </c>
      <c r="AA1407" s="8">
        <v>45352</v>
      </c>
      <c r="AB1407" s="4">
        <v>0.14000000000000001</v>
      </c>
      <c r="AC1407" s="6">
        <v>7.16</v>
      </c>
      <c r="AD1407" s="6">
        <v>8.56</v>
      </c>
      <c r="AE1407" s="1">
        <v>0</v>
      </c>
      <c r="AF1407" s="1">
        <f ca="1">IFERROR(__xludf.DUMMYFUNCTION("IFERROR(GOOGLEFINANCE(TRIM(F1407)&amp;"":"" &amp; TRIM(B1407),""high52""),AE1407)"),672)</f>
        <v>672</v>
      </c>
      <c r="AG1407" s="1">
        <v>0</v>
      </c>
      <c r="AH1407" s="1">
        <f ca="1">IFERROR(__xludf.DUMMYFUNCTION("IFERROR(GOOGLEFINANCE(TRIM(F1407)&amp;"":"" &amp; TRIM(B1407),""low52""),AE1407)"),331.25)</f>
        <v>331.25</v>
      </c>
      <c r="AI1407" s="1">
        <f ca="1">IFERROR(__xludf.DUMMYFUNCTION("IFERROR(GOOGLEFINANCE(B1407,""eps""),0)"),13.36)</f>
        <v>13.36</v>
      </c>
      <c r="AJ1407" s="1"/>
      <c r="AK1407" s="9"/>
      <c r="AL1407" s="9">
        <f t="shared" si="188"/>
        <v>1</v>
      </c>
    </row>
    <row r="1408" spans="1:38" ht="15" x14ac:dyDescent="0.25">
      <c r="A1408" s="1" t="s">
        <v>4243</v>
      </c>
      <c r="B1408" s="1" t="s">
        <v>4244</v>
      </c>
      <c r="C1408" s="1" t="s">
        <v>86</v>
      </c>
      <c r="D1408" s="1" t="s">
        <v>86</v>
      </c>
      <c r="E1408" s="6">
        <v>1072.5899999999999</v>
      </c>
      <c r="F1408" s="1" t="s">
        <v>53</v>
      </c>
      <c r="G1408" s="6">
        <f ca="1">IFERROR(__xludf.DUMMYFUNCTION("iferror(GOOGLEFINANCE(TRIM(F1408)&amp;"":"" &amp; TRIM(B1408), ""price""),0
)"),0)</f>
        <v>0</v>
      </c>
      <c r="H1408" s="6">
        <v>339.95</v>
      </c>
      <c r="I1408" s="6">
        <f t="shared" ca="1" si="0"/>
        <v>339.95</v>
      </c>
      <c r="J1408" s="6">
        <f ca="1">IFERROR(__xludf.DUMMYFUNCTION("IFERROR(GOOGLEFINANCE(B1408, ""volume""), 0)"),0)</f>
        <v>0</v>
      </c>
      <c r="K1408" s="6">
        <v>-1.99</v>
      </c>
      <c r="L1408" s="6">
        <f ca="1">IFERROR(__xludf.DUMMYFUNCTION("IFERROR(GOOGLEFINANCE(B1408,""changepct""),K1408)"),-1.99)</f>
        <v>-1.99</v>
      </c>
      <c r="M1408" s="6">
        <f ca="1">IFERROR(__xludf.DUMMYFUNCTION("IFERROR(GOOGLEFINANCE(B1408,""change""),0)"),0)</f>
        <v>0</v>
      </c>
      <c r="N1408" s="6">
        <v>1</v>
      </c>
      <c r="O1408" s="7">
        <v>45536</v>
      </c>
      <c r="P1408" s="6">
        <v>12.15</v>
      </c>
      <c r="Q1408" s="6">
        <v>1070.51</v>
      </c>
      <c r="R1408" s="7">
        <v>45536</v>
      </c>
      <c r="S1408" s="6">
        <v>10.65</v>
      </c>
      <c r="T1408" s="6">
        <v>3.37</v>
      </c>
      <c r="U1408" s="7">
        <v>45536</v>
      </c>
      <c r="V1408" s="6">
        <v>317.89999999999998</v>
      </c>
      <c r="W1408" s="6">
        <f ca="1">IFERROR(__xludf.DUMMYFUNCTION("IFERROR(GOOGLEFINANCE(B1408,""pe""),V1408)"),317.9)</f>
        <v>317.89999999999998</v>
      </c>
      <c r="X1408" s="6">
        <v>19.46</v>
      </c>
      <c r="Y1408" s="6">
        <v>2.95</v>
      </c>
      <c r="Z1408" s="6">
        <v>1</v>
      </c>
      <c r="AA1408" s="8">
        <v>45352</v>
      </c>
      <c r="AB1408" s="4">
        <v>0.42</v>
      </c>
      <c r="AC1408" s="6">
        <v>2.29</v>
      </c>
      <c r="AD1408" s="6">
        <v>2.19</v>
      </c>
      <c r="AE1408" s="1">
        <v>0</v>
      </c>
      <c r="AF1408" s="1">
        <f ca="1">IFERROR(__xludf.DUMMYFUNCTION("IFERROR(GOOGLEFINANCE(TRIM(F1408)&amp;"":"" &amp; TRIM(B1408),""high52""),AE1408)"),0)</f>
        <v>0</v>
      </c>
      <c r="AG1408" s="1">
        <v>0</v>
      </c>
      <c r="AH1408" s="1">
        <f ca="1">IFERROR(__xludf.DUMMYFUNCTION("IFERROR(GOOGLEFINANCE(TRIM(F1408)&amp;"":"" &amp; TRIM(B1408),""low52""),AE1408)"),0)</f>
        <v>0</v>
      </c>
      <c r="AI1408" s="1">
        <f ca="1">IFERROR(__xludf.DUMMYFUNCTION("IFERROR(GOOGLEFINANCE(B1408,""eps""),0)"),0)</f>
        <v>0</v>
      </c>
      <c r="AJ1408" s="1"/>
      <c r="AK1408" s="1" t="s">
        <v>4245</v>
      </c>
      <c r="AL1408" s="9">
        <f t="shared" si="188"/>
        <v>1</v>
      </c>
    </row>
    <row r="1409" spans="1:38" ht="15" x14ac:dyDescent="0.25">
      <c r="A1409" s="1" t="s">
        <v>4246</v>
      </c>
      <c r="B1409" s="1" t="s">
        <v>4247</v>
      </c>
      <c r="C1409" s="1" t="s">
        <v>239</v>
      </c>
      <c r="D1409" s="1" t="s">
        <v>239</v>
      </c>
      <c r="E1409" s="6">
        <v>4771.34</v>
      </c>
      <c r="F1409" s="1" t="s">
        <v>40</v>
      </c>
      <c r="G1409" s="6">
        <f ca="1">IFERROR(__xludf.DUMMYFUNCTION("iferror(GOOGLEFINANCE(TRIM(F1409)&amp;"":"" &amp; TRIM(B1409), ""price""),0
)"),168.8)</f>
        <v>168.8</v>
      </c>
      <c r="H1409" s="6">
        <v>211.01</v>
      </c>
      <c r="I1409" s="6">
        <f t="shared" ca="1" si="0"/>
        <v>168.8</v>
      </c>
      <c r="J1409" s="6">
        <f ca="1">IFERROR(__xludf.DUMMYFUNCTION("IFERROR(GOOGLEFINANCE(B1409, ""volume""), 0)"),21947)</f>
        <v>21947</v>
      </c>
      <c r="K1409" s="6">
        <v>0.2</v>
      </c>
      <c r="L1409" s="6">
        <f ca="1">IFERROR(__xludf.DUMMYFUNCTION("IFERROR(GOOGLEFINANCE(B1409,""changepct""),K1409)"),0.9)</f>
        <v>0.9</v>
      </c>
      <c r="M1409" s="6">
        <f ca="1">IFERROR(__xludf.DUMMYFUNCTION("IFERROR(GOOGLEFINANCE(B1409,""change""),0)"),1.5)</f>
        <v>1.5</v>
      </c>
      <c r="N1409" s="6">
        <v>1</v>
      </c>
      <c r="O1409" s="7">
        <v>45536</v>
      </c>
      <c r="P1409" s="6">
        <v>130.31</v>
      </c>
      <c r="Q1409" s="6">
        <v>4468.66</v>
      </c>
      <c r="R1409" s="7">
        <v>45536</v>
      </c>
      <c r="S1409" s="6">
        <v>2197.2800000000002</v>
      </c>
      <c r="T1409" s="6">
        <v>130.74</v>
      </c>
      <c r="U1409" s="7">
        <v>45536</v>
      </c>
      <c r="V1409" s="6">
        <v>36.49</v>
      </c>
      <c r="W1409" s="6">
        <f ca="1">IFERROR(__xludf.DUMMYFUNCTION("IFERROR(GOOGLEFINANCE(B1409,""pe""),V1409)"),29.62)</f>
        <v>29.62</v>
      </c>
      <c r="X1409" s="6">
        <v>-6.83</v>
      </c>
      <c r="Y1409" s="6">
        <v>3.56</v>
      </c>
      <c r="Z1409" s="6">
        <v>1</v>
      </c>
      <c r="AA1409" s="8">
        <v>45352</v>
      </c>
      <c r="AB1409" s="4">
        <v>0.09</v>
      </c>
      <c r="AC1409" s="6">
        <v>11.45</v>
      </c>
      <c r="AD1409" s="6">
        <v>16.2</v>
      </c>
      <c r="AE1409" s="1">
        <v>0</v>
      </c>
      <c r="AF1409" s="1">
        <f ca="1">IFERROR(__xludf.DUMMYFUNCTION("IFERROR(GOOGLEFINANCE(TRIM(F1409)&amp;"":"" &amp; TRIM(B1409),""high52""),AE1409)"),224.8)</f>
        <v>224.8</v>
      </c>
      <c r="AG1409" s="1">
        <v>0</v>
      </c>
      <c r="AH1409" s="1">
        <f ca="1">IFERROR(__xludf.DUMMYFUNCTION("IFERROR(GOOGLEFINANCE(TRIM(F1409)&amp;"":"" &amp; TRIM(B1409),""low52""),AE1409)"),160)</f>
        <v>160</v>
      </c>
      <c r="AI1409" s="1">
        <f ca="1">IFERROR(__xludf.DUMMYFUNCTION("IFERROR(GOOGLEFINANCE(B1409,""eps""),0)"),5.7)</f>
        <v>5.7</v>
      </c>
      <c r="AJ1409" s="1"/>
      <c r="AK1409" s="1" t="s">
        <v>4248</v>
      </c>
      <c r="AL1409" s="1" t="b">
        <f>ISNUMBER(AA1409)</f>
        <v>1</v>
      </c>
    </row>
    <row r="1410" spans="1:38" ht="15" x14ac:dyDescent="0.25">
      <c r="A1410" s="1" t="s">
        <v>4249</v>
      </c>
      <c r="B1410" s="1" t="s">
        <v>4250</v>
      </c>
      <c r="C1410" s="1" t="s">
        <v>86</v>
      </c>
      <c r="D1410" s="1" t="s">
        <v>86</v>
      </c>
      <c r="E1410" s="6">
        <v>429.98</v>
      </c>
      <c r="F1410" s="1" t="s">
        <v>53</v>
      </c>
      <c r="G1410" s="6">
        <f ca="1">IFERROR(__xludf.DUMMYFUNCTION("iferror(GOOGLEFINANCE(TRIM(F1410)&amp;"":"" &amp; TRIM(B1410), ""price""),0
)"),0)</f>
        <v>0</v>
      </c>
      <c r="H1410" s="6">
        <v>16.3</v>
      </c>
      <c r="I1410" s="6">
        <f t="shared" ca="1" si="0"/>
        <v>16.3</v>
      </c>
      <c r="J1410" s="6">
        <f ca="1">IFERROR(__xludf.DUMMYFUNCTION("IFERROR(GOOGLEFINANCE(B1410, ""volume""), 0)"),0)</f>
        <v>0</v>
      </c>
      <c r="K1410" s="6">
        <v>2.19</v>
      </c>
      <c r="L1410" s="6">
        <f ca="1">IFERROR(__xludf.DUMMYFUNCTION("IFERROR(GOOGLEFINANCE(B1410,""changepct""),K1410)"),2.19)</f>
        <v>2.19</v>
      </c>
      <c r="M1410" s="6">
        <f ca="1">IFERROR(__xludf.DUMMYFUNCTION("IFERROR(GOOGLEFINANCE(B1410,""change""),0)"),0)</f>
        <v>0</v>
      </c>
      <c r="N1410" s="6">
        <v>2</v>
      </c>
      <c r="O1410" s="7">
        <v>45536</v>
      </c>
      <c r="P1410" s="6">
        <v>168.42</v>
      </c>
      <c r="Q1410" s="6">
        <v>553.6</v>
      </c>
      <c r="R1410" s="7">
        <v>45536</v>
      </c>
      <c r="S1410" s="6">
        <v>393.22</v>
      </c>
      <c r="T1410" s="6">
        <v>18.920000000000002</v>
      </c>
      <c r="U1410" s="7">
        <v>45536</v>
      </c>
      <c r="V1410" s="6">
        <v>24.96</v>
      </c>
      <c r="W1410" s="6">
        <f ca="1">IFERROR(__xludf.DUMMYFUNCTION("IFERROR(GOOGLEFINANCE(B1410,""pe""),V1410)"),24.96)</f>
        <v>24.96</v>
      </c>
      <c r="X1410" s="6">
        <v>0.75</v>
      </c>
      <c r="Y1410" s="6">
        <v>2.17</v>
      </c>
      <c r="Z1410" s="6">
        <v>2</v>
      </c>
      <c r="AA1410" s="8">
        <v>45352</v>
      </c>
      <c r="AB1410" s="4">
        <v>0.81</v>
      </c>
      <c r="AC1410" s="6">
        <v>12.5</v>
      </c>
      <c r="AD1410" s="6">
        <v>13.58</v>
      </c>
      <c r="AE1410" s="1">
        <v>0</v>
      </c>
      <c r="AF1410" s="1">
        <f ca="1">IFERROR(__xludf.DUMMYFUNCTION("IFERROR(GOOGLEFINANCE(TRIM(F1410)&amp;"":"" &amp; TRIM(B1410),""high52""),AE1410)"),0)</f>
        <v>0</v>
      </c>
      <c r="AG1410" s="1">
        <v>0</v>
      </c>
      <c r="AH1410" s="1">
        <f ca="1">IFERROR(__xludf.DUMMYFUNCTION("IFERROR(GOOGLEFINANCE(TRIM(F1410)&amp;"":"" &amp; TRIM(B1410),""low52""),AE1410)"),0)</f>
        <v>0</v>
      </c>
      <c r="AI1410" s="1">
        <f ca="1">IFERROR(__xludf.DUMMYFUNCTION("IFERROR(GOOGLEFINANCE(B1410,""eps""),0)"),0)</f>
        <v>0</v>
      </c>
      <c r="AJ1410" s="1"/>
      <c r="AK1410" s="1" t="s">
        <v>4251</v>
      </c>
      <c r="AL1410" s="9">
        <f t="shared" ref="AL1410:AL1414" si="189">IF(AA1410&lt;&gt;AB1410,1,0)</f>
        <v>1</v>
      </c>
    </row>
    <row r="1411" spans="1:38" ht="15" x14ac:dyDescent="0.25">
      <c r="A1411" s="1" t="s">
        <v>4252</v>
      </c>
      <c r="B1411" s="1" t="s">
        <v>4253</v>
      </c>
      <c r="C1411" s="1" t="s">
        <v>487</v>
      </c>
      <c r="D1411" s="1" t="s">
        <v>487</v>
      </c>
      <c r="E1411" s="6">
        <v>5003.18</v>
      </c>
      <c r="F1411" s="1" t="s">
        <v>40</v>
      </c>
      <c r="G1411" s="6">
        <f ca="1">IFERROR(__xludf.DUMMYFUNCTION("iferror(GOOGLEFINANCE(TRIM(F1411)&amp;"":"" &amp; TRIM(B1411), ""price""),0
)"),130.2)</f>
        <v>130.19999999999999</v>
      </c>
      <c r="H1411" s="6">
        <v>176.17</v>
      </c>
      <c r="I1411" s="6">
        <f t="shared" ca="1" si="0"/>
        <v>130.19999999999999</v>
      </c>
      <c r="J1411" s="6">
        <f ca="1">IFERROR(__xludf.DUMMYFUNCTION("IFERROR(GOOGLEFINANCE(B1411, ""volume""), 0)"),289808)</f>
        <v>289808</v>
      </c>
      <c r="K1411" s="6">
        <v>0.18</v>
      </c>
      <c r="L1411" s="6">
        <f ca="1">IFERROR(__xludf.DUMMYFUNCTION("IFERROR(GOOGLEFINANCE(B1411,""changepct""),K1411)"),0.03)</f>
        <v>0.03</v>
      </c>
      <c r="M1411" s="6">
        <f ca="1">IFERROR(__xludf.DUMMYFUNCTION("IFERROR(GOOGLEFINANCE(B1411,""change""),0)"),0.04)</f>
        <v>0.04</v>
      </c>
      <c r="N1411" s="6">
        <v>1</v>
      </c>
      <c r="O1411" s="7">
        <v>45536</v>
      </c>
      <c r="P1411" s="6">
        <v>63.56</v>
      </c>
      <c r="Q1411" s="6">
        <v>5066.74</v>
      </c>
      <c r="R1411" s="7">
        <v>45536</v>
      </c>
      <c r="S1411" s="6">
        <v>0.7</v>
      </c>
      <c r="T1411" s="6">
        <v>-10.31</v>
      </c>
      <c r="U1411" s="7">
        <v>45536</v>
      </c>
      <c r="V1411" s="6">
        <v>0</v>
      </c>
      <c r="W1411" s="6">
        <f ca="1">IFERROR(__xludf.DUMMYFUNCTION("IFERROR(GOOGLEFINANCE(B1411,""pe""),V1411)"),0)</f>
        <v>0</v>
      </c>
      <c r="X1411" s="9"/>
      <c r="Y1411" s="6">
        <v>14.22</v>
      </c>
      <c r="Z1411" s="6">
        <v>1</v>
      </c>
      <c r="AA1411" s="8">
        <v>45352</v>
      </c>
      <c r="AB1411" s="4">
        <v>0.18</v>
      </c>
      <c r="AC1411" s="6">
        <v>-2.72</v>
      </c>
      <c r="AD1411" s="6">
        <v>-1.37</v>
      </c>
      <c r="AE1411" s="1">
        <v>0</v>
      </c>
      <c r="AF1411" s="1">
        <f ca="1">IFERROR(__xludf.DUMMYFUNCTION("IFERROR(GOOGLEFINANCE(TRIM(F1411)&amp;"":"" &amp; TRIM(B1411),""high52""),AE1411)"),190.69)</f>
        <v>190.69</v>
      </c>
      <c r="AG1411" s="1">
        <v>0</v>
      </c>
      <c r="AH1411" s="1">
        <f ca="1">IFERROR(__xludf.DUMMYFUNCTION("IFERROR(GOOGLEFINANCE(TRIM(F1411)&amp;"":"" &amp; TRIM(B1411),""low52""),AE1411)"),111.03)</f>
        <v>111.03</v>
      </c>
      <c r="AI1411" s="1">
        <f ca="1">IFERROR(__xludf.DUMMYFUNCTION("IFERROR(GOOGLEFINANCE(B1411,""eps""),0)"),-0.33)</f>
        <v>-0.33</v>
      </c>
      <c r="AJ1411" s="1"/>
      <c r="AK1411" s="9"/>
      <c r="AL1411" s="9">
        <f t="shared" si="189"/>
        <v>1</v>
      </c>
    </row>
    <row r="1412" spans="1:38" ht="15" x14ac:dyDescent="0.25">
      <c r="A1412" s="1" t="s">
        <v>4254</v>
      </c>
      <c r="B1412" s="1" t="s">
        <v>4255</v>
      </c>
      <c r="C1412" s="1" t="s">
        <v>697</v>
      </c>
      <c r="D1412" s="1" t="s">
        <v>697</v>
      </c>
      <c r="E1412" s="6">
        <v>1662.36</v>
      </c>
      <c r="F1412" s="1" t="s">
        <v>40</v>
      </c>
      <c r="G1412" s="6">
        <f ca="1">IFERROR(__xludf.DUMMYFUNCTION("iferror(GOOGLEFINANCE(TRIM(F1412)&amp;"":"" &amp; TRIM(B1412), ""price""),0
)"),223.45)</f>
        <v>223.45</v>
      </c>
      <c r="H1412" s="6">
        <v>418.2</v>
      </c>
      <c r="I1412" s="6">
        <f t="shared" ca="1" si="0"/>
        <v>223.45</v>
      </c>
      <c r="J1412" s="6">
        <f ca="1">IFERROR(__xludf.DUMMYFUNCTION("IFERROR(GOOGLEFINANCE(B1412, ""volume""), 0)"),30181)</f>
        <v>30181</v>
      </c>
      <c r="K1412" s="6">
        <v>0.52</v>
      </c>
      <c r="L1412" s="6">
        <f ca="1">IFERROR(__xludf.DUMMYFUNCTION("IFERROR(GOOGLEFINANCE(B1412,""changepct""),K1412)"),3.32)</f>
        <v>3.32</v>
      </c>
      <c r="M1412" s="6">
        <f ca="1">IFERROR(__xludf.DUMMYFUNCTION("IFERROR(GOOGLEFINANCE(B1412,""change""),0)"),7.17)</f>
        <v>7.17</v>
      </c>
      <c r="N1412" s="6">
        <v>2</v>
      </c>
      <c r="O1412" s="7">
        <v>45536</v>
      </c>
      <c r="P1412" s="6">
        <v>233.04</v>
      </c>
      <c r="Q1412" s="6">
        <v>1856.89</v>
      </c>
      <c r="R1412" s="7">
        <v>45536</v>
      </c>
      <c r="S1412" s="6">
        <v>1291.23</v>
      </c>
      <c r="T1412" s="6">
        <v>67.47</v>
      </c>
      <c r="U1412" s="7">
        <v>45536</v>
      </c>
      <c r="V1412" s="6">
        <v>24.33</v>
      </c>
      <c r="W1412" s="6">
        <f ca="1">IFERROR(__xludf.DUMMYFUNCTION("IFERROR(GOOGLEFINANCE(B1412,""pe""),V1412)"),24.33)</f>
        <v>24.33</v>
      </c>
      <c r="X1412" s="12"/>
      <c r="Y1412" s="6">
        <v>1.86</v>
      </c>
      <c r="Z1412" s="6">
        <v>2</v>
      </c>
      <c r="AA1412" s="8">
        <v>45352</v>
      </c>
      <c r="AB1412" s="4">
        <v>0.19</v>
      </c>
      <c r="AC1412" s="6">
        <v>4.17</v>
      </c>
      <c r="AD1412" s="6">
        <v>6.79</v>
      </c>
      <c r="AE1412" s="1">
        <v>0</v>
      </c>
      <c r="AF1412" s="1">
        <f ca="1">IFERROR(__xludf.DUMMYFUNCTION("IFERROR(GOOGLEFINANCE(TRIM(F1412)&amp;"":"" &amp; TRIM(B1412),""high52""),AE1412)"),403.7)</f>
        <v>403.7</v>
      </c>
      <c r="AG1412" s="1">
        <v>0</v>
      </c>
      <c r="AH1412" s="1">
        <f ca="1">IFERROR(__xludf.DUMMYFUNCTION("IFERROR(GOOGLEFINANCE(TRIM(F1412)&amp;"":"" &amp; TRIM(B1412),""low52""),AE1412)"),204)</f>
        <v>204</v>
      </c>
      <c r="AI1412" s="1">
        <f ca="1">IFERROR(__xludf.DUMMYFUNCTION("IFERROR(GOOGLEFINANCE(B1412,""eps""),0)"),-11.74)</f>
        <v>-11.74</v>
      </c>
      <c r="AJ1412" s="1"/>
      <c r="AK1412" s="1" t="s">
        <v>4256</v>
      </c>
      <c r="AL1412" s="9">
        <f t="shared" si="189"/>
        <v>1</v>
      </c>
    </row>
    <row r="1413" spans="1:38" ht="15" x14ac:dyDescent="0.25">
      <c r="A1413" s="1" t="s">
        <v>4257</v>
      </c>
      <c r="B1413" s="1" t="s">
        <v>4258</v>
      </c>
      <c r="C1413" s="1" t="s">
        <v>416</v>
      </c>
      <c r="D1413" s="1" t="s">
        <v>416</v>
      </c>
      <c r="E1413" s="6">
        <v>723.04</v>
      </c>
      <c r="F1413" s="1" t="s">
        <v>40</v>
      </c>
      <c r="G1413" s="6">
        <f ca="1">IFERROR(__xludf.DUMMYFUNCTION("iferror(GOOGLEFINANCE(TRIM(F1413)&amp;"":"" &amp; TRIM(B1413), ""price""),0
)"),0)</f>
        <v>0</v>
      </c>
      <c r="H1413" s="6">
        <v>220.79</v>
      </c>
      <c r="I1413" s="6">
        <f t="shared" ca="1" si="0"/>
        <v>220.79</v>
      </c>
      <c r="J1413" s="6">
        <f ca="1">IFERROR(__xludf.DUMMYFUNCTION("IFERROR(GOOGLEFINANCE(B1413, ""volume""), 0)"),0)</f>
        <v>0</v>
      </c>
      <c r="K1413" s="6">
        <v>-2.2599999999999998</v>
      </c>
      <c r="L1413" s="6">
        <f ca="1">IFERROR(__xludf.DUMMYFUNCTION("IFERROR(GOOGLEFINANCE(B1413,""changepct""),K1413)"),-2.26)</f>
        <v>-2.2599999999999998</v>
      </c>
      <c r="M1413" s="6">
        <f ca="1">IFERROR(__xludf.DUMMYFUNCTION("IFERROR(GOOGLEFINANCE(B1413,""change""),0)"),0)</f>
        <v>0</v>
      </c>
      <c r="N1413" s="6">
        <v>1</v>
      </c>
      <c r="O1413" s="7">
        <v>45536</v>
      </c>
      <c r="P1413" s="9"/>
      <c r="Q1413" s="6">
        <v>723.04</v>
      </c>
      <c r="R1413" s="7">
        <v>45536</v>
      </c>
      <c r="S1413" s="6">
        <v>135.38</v>
      </c>
      <c r="T1413" s="6">
        <v>30.87</v>
      </c>
      <c r="U1413" s="7">
        <v>45536</v>
      </c>
      <c r="V1413" s="6">
        <v>23.42</v>
      </c>
      <c r="W1413" s="6">
        <f ca="1">IFERROR(__xludf.DUMMYFUNCTION("IFERROR(GOOGLEFINANCE(B1413,""pe""),V1413)"),23.42)</f>
        <v>23.42</v>
      </c>
      <c r="X1413" s="12"/>
      <c r="Y1413" s="6">
        <v>0.83</v>
      </c>
      <c r="Z1413" s="6">
        <v>2</v>
      </c>
      <c r="AA1413" s="8">
        <v>45352</v>
      </c>
      <c r="AB1413" s="4">
        <v>0</v>
      </c>
      <c r="AC1413" s="6">
        <v>4.3499999999999996</v>
      </c>
      <c r="AD1413" s="6">
        <v>5.7</v>
      </c>
      <c r="AE1413" s="1">
        <v>0</v>
      </c>
      <c r="AF1413" s="1">
        <f ca="1">IFERROR(__xludf.DUMMYFUNCTION("IFERROR(GOOGLEFINANCE(TRIM(F1413)&amp;"":"" &amp; TRIM(B1413),""high52""),AE1413)"),0)</f>
        <v>0</v>
      </c>
      <c r="AG1413" s="1">
        <v>0</v>
      </c>
      <c r="AH1413" s="1">
        <f ca="1">IFERROR(__xludf.DUMMYFUNCTION("IFERROR(GOOGLEFINANCE(TRIM(F1413)&amp;"":"" &amp; TRIM(B1413),""low52""),AE1413)"),0)</f>
        <v>0</v>
      </c>
      <c r="AI1413" s="1">
        <f ca="1">IFERROR(__xludf.DUMMYFUNCTION("IFERROR(GOOGLEFINANCE(B1413,""eps""),0)"),0)</f>
        <v>0</v>
      </c>
      <c r="AJ1413" s="1"/>
      <c r="AK1413" s="1" t="s">
        <v>4259</v>
      </c>
      <c r="AL1413" s="9">
        <f t="shared" si="189"/>
        <v>1</v>
      </c>
    </row>
    <row r="1414" spans="1:38" ht="15" x14ac:dyDescent="0.25">
      <c r="A1414" s="1" t="s">
        <v>4260</v>
      </c>
      <c r="B1414" s="1" t="s">
        <v>4261</v>
      </c>
      <c r="C1414" s="1" t="s">
        <v>324</v>
      </c>
      <c r="D1414" s="1" t="s">
        <v>324</v>
      </c>
      <c r="E1414" s="6">
        <v>4509.42</v>
      </c>
      <c r="F1414" s="1" t="s">
        <v>40</v>
      </c>
      <c r="G1414" s="6">
        <f ca="1">IFERROR(__xludf.DUMMYFUNCTION("iferror(GOOGLEFINANCE(TRIM(F1414)&amp;"":"" &amp; TRIM(B1414), ""price""),0
)"),346.45)</f>
        <v>346.45</v>
      </c>
      <c r="H1414" s="6">
        <v>485.6</v>
      </c>
      <c r="I1414" s="6">
        <f t="shared" ca="1" si="0"/>
        <v>346.45</v>
      </c>
      <c r="J1414" s="6">
        <f ca="1">IFERROR(__xludf.DUMMYFUNCTION("IFERROR(GOOGLEFINANCE(B1414, ""volume""), 0)"),311642)</f>
        <v>311642</v>
      </c>
      <c r="K1414" s="6">
        <v>-0.04</v>
      </c>
      <c r="L1414" s="6">
        <f ca="1">IFERROR(__xludf.DUMMYFUNCTION("IFERROR(GOOGLEFINANCE(B1414,""changepct""),K1414)"),-1.92)</f>
        <v>-1.92</v>
      </c>
      <c r="M1414" s="6">
        <f ca="1">IFERROR(__xludf.DUMMYFUNCTION("IFERROR(GOOGLEFINANCE(B1414,""change""),0)"),-6.8)</f>
        <v>-6.8</v>
      </c>
      <c r="N1414" s="6">
        <v>2</v>
      </c>
      <c r="O1414" s="7">
        <v>45536</v>
      </c>
      <c r="P1414" s="6">
        <v>104.43</v>
      </c>
      <c r="Q1414" s="6">
        <v>4529.6400000000003</v>
      </c>
      <c r="R1414" s="7">
        <v>45536</v>
      </c>
      <c r="S1414" s="6">
        <v>3943.86</v>
      </c>
      <c r="T1414" s="6">
        <v>181.25</v>
      </c>
      <c r="U1414" s="7">
        <v>45536</v>
      </c>
      <c r="V1414" s="6">
        <v>25.85</v>
      </c>
      <c r="W1414" s="6">
        <f ca="1">IFERROR(__xludf.DUMMYFUNCTION("IFERROR(GOOGLEFINANCE(B1414,""pe""),V1414)"),19.56)</f>
        <v>19.559999999999999</v>
      </c>
      <c r="X1414" s="6">
        <v>4.68</v>
      </c>
      <c r="Y1414" s="6">
        <v>5.0599999999999996</v>
      </c>
      <c r="Z1414" s="6">
        <v>2</v>
      </c>
      <c r="AA1414" s="8">
        <v>45352</v>
      </c>
      <c r="AB1414" s="4">
        <v>0.12</v>
      </c>
      <c r="AC1414" s="6">
        <v>13.95</v>
      </c>
      <c r="AD1414" s="6">
        <v>17.55</v>
      </c>
      <c r="AE1414" s="1">
        <v>0</v>
      </c>
      <c r="AF1414" s="1">
        <f ca="1">IFERROR(__xludf.DUMMYFUNCTION("IFERROR(GOOGLEFINANCE(TRIM(F1414)&amp;"":"" &amp; TRIM(B1414),""high52""),AE1414)"),540)</f>
        <v>540</v>
      </c>
      <c r="AG1414" s="1">
        <v>0</v>
      </c>
      <c r="AH1414" s="1">
        <f ca="1">IFERROR(__xludf.DUMMYFUNCTION("IFERROR(GOOGLEFINANCE(TRIM(F1414)&amp;"":"" &amp; TRIM(B1414),""low52""),AE1414)"),341.5)</f>
        <v>341.5</v>
      </c>
      <c r="AI1414" s="1">
        <f ca="1">IFERROR(__xludf.DUMMYFUNCTION("IFERROR(GOOGLEFINANCE(B1414,""eps""),0)"),17.71)</f>
        <v>17.71</v>
      </c>
      <c r="AJ1414" s="1"/>
      <c r="AK1414" s="1" t="s">
        <v>4262</v>
      </c>
      <c r="AL1414" s="9">
        <f t="shared" si="189"/>
        <v>1</v>
      </c>
    </row>
    <row r="1415" spans="1:38" ht="15" x14ac:dyDescent="0.25">
      <c r="A1415" s="1" t="s">
        <v>4263</v>
      </c>
      <c r="B1415" s="1" t="s">
        <v>4264</v>
      </c>
      <c r="C1415" s="1" t="s">
        <v>669</v>
      </c>
      <c r="D1415" s="1" t="s">
        <v>669</v>
      </c>
      <c r="E1415" s="6">
        <v>86210.8</v>
      </c>
      <c r="F1415" s="1" t="s">
        <v>40</v>
      </c>
      <c r="G1415" s="6">
        <f ca="1">IFERROR(__xludf.DUMMYFUNCTION("iferror(GOOGLEFINANCE(TRIM(F1415)&amp;"":"" &amp; TRIM(B1415), ""price""),0
)"),5636)</f>
        <v>5636</v>
      </c>
      <c r="H1415" s="6">
        <v>4222.8500000000004</v>
      </c>
      <c r="I1415" s="6">
        <f t="shared" ca="1" si="0"/>
        <v>5636</v>
      </c>
      <c r="J1415" s="6">
        <f ca="1">IFERROR(__xludf.DUMMYFUNCTION("IFERROR(GOOGLEFINANCE(B1415, ""volume""), 0)"),449861)</f>
        <v>449861</v>
      </c>
      <c r="K1415" s="6">
        <v>-2.06</v>
      </c>
      <c r="L1415" s="6">
        <f ca="1">IFERROR(__xludf.DUMMYFUNCTION("IFERROR(GOOGLEFINANCE(B1415,""changepct""),K1415)"),2.43)</f>
        <v>2.4300000000000002</v>
      </c>
      <c r="M1415" s="6">
        <f ca="1">IFERROR(__xludf.DUMMYFUNCTION("IFERROR(GOOGLEFINANCE(B1415,""change""),0)"),133.5)</f>
        <v>133.5</v>
      </c>
      <c r="N1415" s="6">
        <v>2</v>
      </c>
      <c r="O1415" s="7">
        <v>45536</v>
      </c>
      <c r="P1415" s="6">
        <v>357.31</v>
      </c>
      <c r="Q1415" s="6">
        <v>86268.92</v>
      </c>
      <c r="R1415" s="7">
        <v>45536</v>
      </c>
      <c r="S1415" s="6">
        <v>40098.26</v>
      </c>
      <c r="T1415" s="6">
        <v>4303.96</v>
      </c>
      <c r="U1415" s="7">
        <v>45536</v>
      </c>
      <c r="V1415" s="6">
        <v>20.83</v>
      </c>
      <c r="W1415" s="6">
        <f ca="1">IFERROR(__xludf.DUMMYFUNCTION("IFERROR(GOOGLEFINANCE(B1415,""pe""),V1415)"),21.36)</f>
        <v>21.36</v>
      </c>
      <c r="X1415" s="6">
        <v>8.98</v>
      </c>
      <c r="Y1415" s="6">
        <v>4.53</v>
      </c>
      <c r="Z1415" s="6">
        <v>2</v>
      </c>
      <c r="AA1415" s="8">
        <v>45352</v>
      </c>
      <c r="AB1415" s="4">
        <v>0.02</v>
      </c>
      <c r="AC1415" s="6">
        <v>21.84</v>
      </c>
      <c r="AD1415" s="6">
        <v>29.5</v>
      </c>
      <c r="AE1415" s="1">
        <v>0</v>
      </c>
      <c r="AF1415" s="1">
        <f ca="1">IFERROR(__xludf.DUMMYFUNCTION("IFERROR(GOOGLEFINANCE(TRIM(F1415)&amp;"":"" &amp; TRIM(B1415),""high52""),AE1415)"),6388.5)</f>
        <v>6388.5</v>
      </c>
      <c r="AG1415" s="1">
        <v>0</v>
      </c>
      <c r="AH1415" s="1">
        <f ca="1">IFERROR(__xludf.DUMMYFUNCTION("IFERROR(GOOGLEFINANCE(TRIM(F1415)&amp;"":"" &amp; TRIM(B1415),""low52""),AE1415)"),3344)</f>
        <v>3344</v>
      </c>
      <c r="AI1415" s="1">
        <f ca="1">IFERROR(__xludf.DUMMYFUNCTION("IFERROR(GOOGLEFINANCE(B1415,""eps""),0)"),263.83)</f>
        <v>263.83</v>
      </c>
      <c r="AJ1415" s="1"/>
      <c r="AK1415" s="9"/>
      <c r="AL1415" s="1" t="b">
        <f>ISBLANK(AB1415)</f>
        <v>0</v>
      </c>
    </row>
    <row r="1416" spans="1:38" ht="15" x14ac:dyDescent="0.25">
      <c r="A1416" s="1" t="s">
        <v>4265</v>
      </c>
      <c r="B1416" s="1" t="s">
        <v>4266</v>
      </c>
      <c r="C1416" s="1" t="s">
        <v>86</v>
      </c>
      <c r="D1416" s="1" t="s">
        <v>86</v>
      </c>
      <c r="E1416" s="6">
        <v>461.33</v>
      </c>
      <c r="F1416" s="1" t="s">
        <v>53</v>
      </c>
      <c r="G1416" s="6">
        <f ca="1">IFERROR(__xludf.DUMMYFUNCTION("iferror(GOOGLEFINANCE(TRIM(F1416)&amp;"":"" &amp; TRIM(B1416), ""price""),0
)"),0)</f>
        <v>0</v>
      </c>
      <c r="H1416" s="6">
        <v>8.74</v>
      </c>
      <c r="I1416" s="6">
        <f t="shared" ca="1" si="0"/>
        <v>8.74</v>
      </c>
      <c r="J1416" s="6">
        <f ca="1">IFERROR(__xludf.DUMMYFUNCTION("IFERROR(GOOGLEFINANCE(B1416, ""volume""), 0)"),0)</f>
        <v>0</v>
      </c>
      <c r="K1416" s="6">
        <v>-0.56999999999999995</v>
      </c>
      <c r="L1416" s="6">
        <f ca="1">IFERROR(__xludf.DUMMYFUNCTION("IFERROR(GOOGLEFINANCE(B1416,""changepct""),K1416)"),-0.57)</f>
        <v>-0.56999999999999995</v>
      </c>
      <c r="M1416" s="6">
        <f ca="1">IFERROR(__xludf.DUMMYFUNCTION("IFERROR(GOOGLEFINANCE(B1416,""change""),0)"),0)</f>
        <v>0</v>
      </c>
      <c r="N1416" s="6">
        <v>2</v>
      </c>
      <c r="O1416" s="7">
        <v>45536</v>
      </c>
      <c r="P1416" s="6">
        <v>50.27</v>
      </c>
      <c r="Q1416" s="6">
        <v>511.6</v>
      </c>
      <c r="R1416" s="7">
        <v>45536</v>
      </c>
      <c r="S1416" s="6">
        <v>8.51</v>
      </c>
      <c r="T1416" s="6">
        <v>6.72</v>
      </c>
      <c r="U1416" s="7">
        <v>45536</v>
      </c>
      <c r="V1416" s="6">
        <v>77.150000000000006</v>
      </c>
      <c r="W1416" s="6">
        <f ca="1">IFERROR(__xludf.DUMMYFUNCTION("IFERROR(GOOGLEFINANCE(B1416,""pe""),V1416)"),77.15)</f>
        <v>77.150000000000006</v>
      </c>
      <c r="X1416" s="6">
        <v>4.3099999999999996</v>
      </c>
      <c r="Y1416" s="6">
        <v>9.8699999999999992</v>
      </c>
      <c r="Z1416" s="6">
        <v>2</v>
      </c>
      <c r="AA1416" s="8">
        <v>45352</v>
      </c>
      <c r="AB1416" s="4">
        <v>3.62</v>
      </c>
      <c r="AC1416" s="6">
        <v>16.649999999999999</v>
      </c>
      <c r="AD1416" s="6">
        <v>5.21</v>
      </c>
      <c r="AE1416" s="1">
        <v>0</v>
      </c>
      <c r="AF1416" s="1">
        <f ca="1">IFERROR(__xludf.DUMMYFUNCTION("IFERROR(GOOGLEFINANCE(TRIM(F1416)&amp;"":"" &amp; TRIM(B1416),""high52""),AE1416)"),0)</f>
        <v>0</v>
      </c>
      <c r="AG1416" s="1">
        <v>0</v>
      </c>
      <c r="AH1416" s="1">
        <f ca="1">IFERROR(__xludf.DUMMYFUNCTION("IFERROR(GOOGLEFINANCE(TRIM(F1416)&amp;"":"" &amp; TRIM(B1416),""low52""),AE1416)"),0)</f>
        <v>0</v>
      </c>
      <c r="AI1416" s="1">
        <f ca="1">IFERROR(__xludf.DUMMYFUNCTION("IFERROR(GOOGLEFINANCE(B1416,""eps""),0)"),0)</f>
        <v>0</v>
      </c>
      <c r="AJ1416" s="1"/>
      <c r="AK1416" s="1" t="s">
        <v>4267</v>
      </c>
      <c r="AL1416" s="9">
        <f t="shared" ref="AL1416:AL1423" si="190">IF(AA1416&lt;&gt;AB1416,1,0)</f>
        <v>1</v>
      </c>
    </row>
    <row r="1417" spans="1:38" ht="15" x14ac:dyDescent="0.25">
      <c r="A1417" s="1" t="s">
        <v>4268</v>
      </c>
      <c r="B1417" s="1" t="s">
        <v>4269</v>
      </c>
      <c r="C1417" s="1" t="s">
        <v>106</v>
      </c>
      <c r="D1417" s="1" t="s">
        <v>106</v>
      </c>
      <c r="E1417" s="6">
        <v>2027.91</v>
      </c>
      <c r="F1417" s="1" t="s">
        <v>40</v>
      </c>
      <c r="G1417" s="6">
        <f ca="1">IFERROR(__xludf.DUMMYFUNCTION("iferror(GOOGLEFINANCE(TRIM(F1417)&amp;"":"" &amp; TRIM(B1417), ""price""),0
)"),1505)</f>
        <v>1505</v>
      </c>
      <c r="H1417" s="6">
        <v>2395</v>
      </c>
      <c r="I1417" s="6">
        <f t="shared" ca="1" si="0"/>
        <v>1505</v>
      </c>
      <c r="J1417" s="6">
        <f ca="1">IFERROR(__xludf.DUMMYFUNCTION("IFERROR(GOOGLEFINANCE(B1417, ""volume""), 0)"),2644)</f>
        <v>2644</v>
      </c>
      <c r="K1417" s="6">
        <v>1.33</v>
      </c>
      <c r="L1417" s="6">
        <f ca="1">IFERROR(__xludf.DUMMYFUNCTION("IFERROR(GOOGLEFINANCE(B1417,""changepct""),K1417)"),-0.46)</f>
        <v>-0.46</v>
      </c>
      <c r="M1417" s="6">
        <f ca="1">IFERROR(__xludf.DUMMYFUNCTION("IFERROR(GOOGLEFINANCE(B1417,""change""),0)"),-7)</f>
        <v>-7</v>
      </c>
      <c r="N1417" s="6">
        <v>2</v>
      </c>
      <c r="O1417" s="7">
        <v>45536</v>
      </c>
      <c r="P1417" s="6">
        <v>239.08</v>
      </c>
      <c r="Q1417" s="6">
        <v>2250.21</v>
      </c>
      <c r="R1417" s="7">
        <v>45536</v>
      </c>
      <c r="S1417" s="6">
        <v>312.2</v>
      </c>
      <c r="T1417" s="6">
        <v>22.79</v>
      </c>
      <c r="U1417" s="7">
        <v>45536</v>
      </c>
      <c r="V1417" s="6">
        <v>86.41</v>
      </c>
      <c r="W1417" s="6">
        <f ca="1">IFERROR(__xludf.DUMMYFUNCTION("IFERROR(GOOGLEFINANCE(B1417,""pe""),V1417)"),39.94)</f>
        <v>39.94</v>
      </c>
      <c r="X1417" s="6">
        <v>-5.92</v>
      </c>
      <c r="Y1417" s="6">
        <v>6.72</v>
      </c>
      <c r="Z1417" s="6">
        <v>2</v>
      </c>
      <c r="AA1417" s="8">
        <v>45352</v>
      </c>
      <c r="AB1417" s="4">
        <v>0.82</v>
      </c>
      <c r="AC1417" s="6">
        <v>7.41</v>
      </c>
      <c r="AD1417" s="6">
        <v>9.59</v>
      </c>
      <c r="AE1417" s="1">
        <v>0</v>
      </c>
      <c r="AF1417" s="1">
        <f ca="1">IFERROR(__xludf.DUMMYFUNCTION("IFERROR(GOOGLEFINANCE(TRIM(F1417)&amp;"":"" &amp; TRIM(B1417),""high52""),AE1417)"),2350)</f>
        <v>2350</v>
      </c>
      <c r="AG1417" s="1">
        <v>0</v>
      </c>
      <c r="AH1417" s="1">
        <f ca="1">IFERROR(__xludf.DUMMYFUNCTION("IFERROR(GOOGLEFINANCE(TRIM(F1417)&amp;"":"" &amp; TRIM(B1417),""low52""),AE1417)"),1242.95)</f>
        <v>1242.95</v>
      </c>
      <c r="AI1417" s="1">
        <f ca="1">IFERROR(__xludf.DUMMYFUNCTION("IFERROR(GOOGLEFINANCE(B1417,""eps""),0)"),37.69)</f>
        <v>37.69</v>
      </c>
      <c r="AJ1417" s="1"/>
      <c r="AK1417" s="1" t="s">
        <v>4270</v>
      </c>
      <c r="AL1417" s="9">
        <f t="shared" si="190"/>
        <v>1</v>
      </c>
    </row>
    <row r="1418" spans="1:38" ht="15" x14ac:dyDescent="0.25">
      <c r="A1418" s="1" t="s">
        <v>4271</v>
      </c>
      <c r="B1418" s="1" t="s">
        <v>4272</v>
      </c>
      <c r="C1418" s="1" t="s">
        <v>86</v>
      </c>
      <c r="D1418" s="1" t="s">
        <v>86</v>
      </c>
      <c r="E1418" s="6">
        <v>4490.58</v>
      </c>
      <c r="F1418" s="1" t="s">
        <v>53</v>
      </c>
      <c r="G1418" s="6">
        <f ca="1">IFERROR(__xludf.DUMMYFUNCTION("iferror(GOOGLEFINANCE(TRIM(F1418)&amp;"":"" &amp; TRIM(B1418), ""price""),0
)"),0)</f>
        <v>0</v>
      </c>
      <c r="H1418" s="6">
        <v>496</v>
      </c>
      <c r="I1418" s="6">
        <f t="shared" ca="1" si="0"/>
        <v>496</v>
      </c>
      <c r="J1418" s="6">
        <f ca="1">IFERROR(__xludf.DUMMYFUNCTION("IFERROR(GOOGLEFINANCE(B1418, ""volume""), 0)"),0)</f>
        <v>0</v>
      </c>
      <c r="K1418" s="6">
        <v>-0.46</v>
      </c>
      <c r="L1418" s="6">
        <f ca="1">IFERROR(__xludf.DUMMYFUNCTION("IFERROR(GOOGLEFINANCE(B1418,""changepct""),K1418)"),-0.46)</f>
        <v>-0.46</v>
      </c>
      <c r="M1418" s="6">
        <f ca="1">IFERROR(__xludf.DUMMYFUNCTION("IFERROR(GOOGLEFINANCE(B1418,""change""),0)"),0)</f>
        <v>0</v>
      </c>
      <c r="N1418" s="6">
        <v>1</v>
      </c>
      <c r="O1418" s="7">
        <v>45536</v>
      </c>
      <c r="P1418" s="6">
        <v>1145.8399999999999</v>
      </c>
      <c r="Q1418" s="6">
        <v>5407.91</v>
      </c>
      <c r="R1418" s="7">
        <v>45536</v>
      </c>
      <c r="S1418" s="6">
        <v>622.16</v>
      </c>
      <c r="T1418" s="6">
        <v>209.61</v>
      </c>
      <c r="U1418" s="7">
        <v>45536</v>
      </c>
      <c r="V1418" s="6">
        <v>21.42</v>
      </c>
      <c r="W1418" s="6">
        <f ca="1">IFERROR(__xludf.DUMMYFUNCTION("IFERROR(GOOGLEFINANCE(B1418,""pe""),V1418)"),21.42)</f>
        <v>21.42</v>
      </c>
      <c r="X1418" s="6">
        <v>0.81</v>
      </c>
      <c r="Y1418" s="6">
        <v>11.81</v>
      </c>
      <c r="Z1418" s="6">
        <v>1</v>
      </c>
      <c r="AA1418" s="8">
        <v>45352</v>
      </c>
      <c r="AB1418" s="4">
        <v>3.07</v>
      </c>
      <c r="AC1418" s="6">
        <v>53.06</v>
      </c>
      <c r="AD1418" s="6">
        <v>27.73</v>
      </c>
      <c r="AE1418" s="1">
        <v>0</v>
      </c>
      <c r="AF1418" s="1">
        <f ca="1">IFERROR(__xludf.DUMMYFUNCTION("IFERROR(GOOGLEFINANCE(TRIM(F1418)&amp;"":"" &amp; TRIM(B1418),""high52""),AE1418)"),0)</f>
        <v>0</v>
      </c>
      <c r="AG1418" s="1">
        <v>0</v>
      </c>
      <c r="AH1418" s="1">
        <f ca="1">IFERROR(__xludf.DUMMYFUNCTION("IFERROR(GOOGLEFINANCE(TRIM(F1418)&amp;"":"" &amp; TRIM(B1418),""low52""),AE1418)"),0)</f>
        <v>0</v>
      </c>
      <c r="AI1418" s="1">
        <f ca="1">IFERROR(__xludf.DUMMYFUNCTION("IFERROR(GOOGLEFINANCE(B1418,""eps""),0)"),0)</f>
        <v>0</v>
      </c>
      <c r="AJ1418" s="1"/>
      <c r="AK1418" s="1" t="s">
        <v>4273</v>
      </c>
      <c r="AL1418" s="9">
        <f t="shared" si="190"/>
        <v>1</v>
      </c>
    </row>
    <row r="1419" spans="1:38" ht="15" x14ac:dyDescent="0.25">
      <c r="A1419" s="1" t="s">
        <v>4274</v>
      </c>
      <c r="B1419" s="1" t="s">
        <v>4275</v>
      </c>
      <c r="C1419" s="1" t="s">
        <v>86</v>
      </c>
      <c r="D1419" s="1" t="s">
        <v>86</v>
      </c>
      <c r="E1419" s="6">
        <v>229.02</v>
      </c>
      <c r="F1419" s="1" t="s">
        <v>53</v>
      </c>
      <c r="G1419" s="6">
        <f ca="1">IFERROR(__xludf.DUMMYFUNCTION("iferror(GOOGLEFINANCE(TRIM(F1419)&amp;"":"" &amp; TRIM(B1419), ""price""),0
)"),0)</f>
        <v>0</v>
      </c>
      <c r="H1419" s="6">
        <v>11.69</v>
      </c>
      <c r="I1419" s="6">
        <f t="shared" ca="1" si="0"/>
        <v>11.69</v>
      </c>
      <c r="J1419" s="6">
        <f ca="1">IFERROR(__xludf.DUMMYFUNCTION("IFERROR(GOOGLEFINANCE(B1419, ""volume""), 0)"),216488)</f>
        <v>216488</v>
      </c>
      <c r="K1419" s="6">
        <v>-4.96</v>
      </c>
      <c r="L1419" s="6">
        <f ca="1">IFERROR(__xludf.DUMMYFUNCTION("IFERROR(GOOGLEFINANCE(B1419,""changepct""),K1419)"),0.78)</f>
        <v>0.78</v>
      </c>
      <c r="M1419" s="6">
        <f ca="1">IFERROR(__xludf.DUMMYFUNCTION("IFERROR(GOOGLEFINANCE(B1419,""change""),0)"),0.03)</f>
        <v>0.03</v>
      </c>
      <c r="N1419" s="6">
        <v>2</v>
      </c>
      <c r="O1419" s="7">
        <v>45536</v>
      </c>
      <c r="P1419" s="6">
        <v>66.709999999999994</v>
      </c>
      <c r="Q1419" s="6">
        <v>251.11</v>
      </c>
      <c r="R1419" s="7">
        <v>45536</v>
      </c>
      <c r="S1419" s="6">
        <v>33.950000000000003</v>
      </c>
      <c r="T1419" s="6">
        <v>-24.74</v>
      </c>
      <c r="U1419" s="7">
        <v>45536</v>
      </c>
      <c r="V1419" s="6">
        <v>0</v>
      </c>
      <c r="W1419" s="6">
        <f ca="1">IFERROR(__xludf.DUMMYFUNCTION("IFERROR(GOOGLEFINANCE(B1419,""pe""),V1419)"),0)</f>
        <v>0</v>
      </c>
      <c r="X1419" s="6">
        <v>0</v>
      </c>
      <c r="Y1419" s="6">
        <v>1.18</v>
      </c>
      <c r="Z1419" s="6">
        <v>2</v>
      </c>
      <c r="AA1419" s="8">
        <v>45352</v>
      </c>
      <c r="AB1419" s="4">
        <v>0.33</v>
      </c>
      <c r="AC1419" s="6">
        <v>-14.37</v>
      </c>
      <c r="AD1419" s="6">
        <v>-11.03</v>
      </c>
      <c r="AE1419" s="1">
        <v>0</v>
      </c>
      <c r="AF1419" s="1">
        <f ca="1">IFERROR(__xludf.DUMMYFUNCTION("IFERROR(GOOGLEFINANCE(TRIM(F1419)&amp;"":"" &amp; TRIM(B1419),""high52""),AE1419)"),0)</f>
        <v>0</v>
      </c>
      <c r="AG1419" s="1">
        <v>0</v>
      </c>
      <c r="AH1419" s="1">
        <f ca="1">IFERROR(__xludf.DUMMYFUNCTION("IFERROR(GOOGLEFINANCE(TRIM(F1419)&amp;"":"" &amp; TRIM(B1419),""low52""),AE1419)"),0)</f>
        <v>0</v>
      </c>
      <c r="AI1419" s="1">
        <f ca="1">IFERROR(__xludf.DUMMYFUNCTION("IFERROR(GOOGLEFINANCE(B1419,""eps""),0)"),-12.09)</f>
        <v>-12.09</v>
      </c>
      <c r="AJ1419" s="1"/>
      <c r="AK1419" s="9"/>
      <c r="AL1419" s="9">
        <f t="shared" si="190"/>
        <v>1</v>
      </c>
    </row>
    <row r="1420" spans="1:38" ht="15" x14ac:dyDescent="0.25">
      <c r="A1420" s="1" t="s">
        <v>4276</v>
      </c>
      <c r="B1420" s="1" t="s">
        <v>4277</v>
      </c>
      <c r="C1420" s="1" t="s">
        <v>135</v>
      </c>
      <c r="D1420" s="1" t="s">
        <v>135</v>
      </c>
      <c r="E1420" s="6">
        <v>1264.77</v>
      </c>
      <c r="F1420" s="1" t="s">
        <v>40</v>
      </c>
      <c r="G1420" s="6">
        <f ca="1">IFERROR(__xludf.DUMMYFUNCTION("iferror(GOOGLEFINANCE(TRIM(F1420)&amp;"":"" &amp; TRIM(B1420), ""price""),0
)"),0)</f>
        <v>0</v>
      </c>
      <c r="H1420" s="6">
        <v>551.45000000000005</v>
      </c>
      <c r="I1420" s="6">
        <f t="shared" ca="1" si="0"/>
        <v>551.45000000000005</v>
      </c>
      <c r="J1420" s="6">
        <f ca="1">IFERROR(__xludf.DUMMYFUNCTION("IFERROR(GOOGLEFINANCE(B1420, ""volume""), 0)"),0)</f>
        <v>0</v>
      </c>
      <c r="K1420" s="6">
        <v>0.68</v>
      </c>
      <c r="L1420" s="6">
        <f ca="1">IFERROR(__xludf.DUMMYFUNCTION("IFERROR(GOOGLEFINANCE(B1420,""changepct""),K1420)"),0.68)</f>
        <v>0.68</v>
      </c>
      <c r="M1420" s="6">
        <f ca="1">IFERROR(__xludf.DUMMYFUNCTION("IFERROR(GOOGLEFINANCE(B1420,""change""),0)"),0)</f>
        <v>0</v>
      </c>
      <c r="N1420" s="6">
        <v>1</v>
      </c>
      <c r="O1420" s="7">
        <v>45536</v>
      </c>
      <c r="P1420" s="9"/>
      <c r="Q1420" s="6">
        <v>1156.0999999999999</v>
      </c>
      <c r="R1420" s="7">
        <v>45536</v>
      </c>
      <c r="S1420" s="6">
        <v>772.8</v>
      </c>
      <c r="T1420" s="6">
        <v>35.81</v>
      </c>
      <c r="U1420" s="7">
        <v>45536</v>
      </c>
      <c r="V1420" s="6">
        <v>35.32</v>
      </c>
      <c r="W1420" s="6">
        <f ca="1">IFERROR(__xludf.DUMMYFUNCTION("IFERROR(GOOGLEFINANCE(B1420,""pe""),V1420)"),35.32)</f>
        <v>35.32</v>
      </c>
      <c r="X1420" s="6">
        <v>2.0499999999999998</v>
      </c>
      <c r="Y1420" s="6">
        <v>2.56</v>
      </c>
      <c r="Z1420" s="6">
        <v>1</v>
      </c>
      <c r="AA1420" s="8">
        <v>45352</v>
      </c>
      <c r="AB1420" s="4">
        <v>0</v>
      </c>
      <c r="AC1420" s="6">
        <v>9.09</v>
      </c>
      <c r="AD1420" s="6">
        <v>12.86</v>
      </c>
      <c r="AE1420" s="1">
        <v>0</v>
      </c>
      <c r="AF1420" s="1">
        <f ca="1">IFERROR(__xludf.DUMMYFUNCTION("IFERROR(GOOGLEFINANCE(TRIM(F1420)&amp;"":"" &amp; TRIM(B1420),""high52""),AE1420)"),0)</f>
        <v>0</v>
      </c>
      <c r="AG1420" s="1">
        <v>0</v>
      </c>
      <c r="AH1420" s="1">
        <f ca="1">IFERROR(__xludf.DUMMYFUNCTION("IFERROR(GOOGLEFINANCE(TRIM(F1420)&amp;"":"" &amp; TRIM(B1420),""low52""),AE1420)"),0)</f>
        <v>0</v>
      </c>
      <c r="AI1420" s="1">
        <f ca="1">IFERROR(__xludf.DUMMYFUNCTION("IFERROR(GOOGLEFINANCE(B1420,""eps""),0)"),0)</f>
        <v>0</v>
      </c>
      <c r="AJ1420" s="1"/>
      <c r="AK1420" s="1" t="s">
        <v>4278</v>
      </c>
      <c r="AL1420" s="9">
        <f t="shared" si="190"/>
        <v>1</v>
      </c>
    </row>
    <row r="1421" spans="1:38" ht="15" x14ac:dyDescent="0.25">
      <c r="A1421" s="1" t="s">
        <v>4279</v>
      </c>
      <c r="B1421" s="1" t="s">
        <v>4280</v>
      </c>
      <c r="C1421" s="1" t="s">
        <v>227</v>
      </c>
      <c r="D1421" s="1" t="s">
        <v>227</v>
      </c>
      <c r="E1421" s="6">
        <v>1526.13</v>
      </c>
      <c r="F1421" s="1" t="s">
        <v>40</v>
      </c>
      <c r="G1421" s="6">
        <f ca="1">IFERROR(__xludf.DUMMYFUNCTION("iferror(GOOGLEFINANCE(TRIM(F1421)&amp;"":"" &amp; TRIM(B1421), ""price""),0
)"),158)</f>
        <v>158</v>
      </c>
      <c r="H1421" s="6">
        <v>277.95</v>
      </c>
      <c r="I1421" s="6">
        <f t="shared" ca="1" si="0"/>
        <v>158</v>
      </c>
      <c r="J1421" s="6">
        <f ca="1">IFERROR(__xludf.DUMMYFUNCTION("IFERROR(GOOGLEFINANCE(B1421, ""volume""), 0)"),943)</f>
        <v>943</v>
      </c>
      <c r="K1421" s="6">
        <v>-0.04</v>
      </c>
      <c r="L1421" s="6">
        <f ca="1">IFERROR(__xludf.DUMMYFUNCTION("IFERROR(GOOGLEFINANCE(B1421,""changepct""),K1421)"),0.46)</f>
        <v>0.46</v>
      </c>
      <c r="M1421" s="6">
        <f ca="1">IFERROR(__xludf.DUMMYFUNCTION("IFERROR(GOOGLEFINANCE(B1421,""change""),0)"),0.73)</f>
        <v>0.73</v>
      </c>
      <c r="N1421" s="6">
        <v>2</v>
      </c>
      <c r="O1421" s="7">
        <v>45536</v>
      </c>
      <c r="P1421" s="6">
        <v>47.75</v>
      </c>
      <c r="Q1421" s="6">
        <v>1573.89</v>
      </c>
      <c r="R1421" s="7">
        <v>45536</v>
      </c>
      <c r="S1421" s="6">
        <v>39.700000000000003</v>
      </c>
      <c r="T1421" s="6">
        <v>-19.52</v>
      </c>
      <c r="U1421" s="7">
        <v>45536</v>
      </c>
      <c r="V1421" s="6">
        <v>0</v>
      </c>
      <c r="W1421" s="6">
        <f ca="1">IFERROR(__xludf.DUMMYFUNCTION("IFERROR(GOOGLEFINANCE(B1421,""pe""),V1421)"),40.69)</f>
        <v>40.69</v>
      </c>
      <c r="X1421" s="6">
        <v>0</v>
      </c>
      <c r="Y1421" s="6">
        <v>0.3</v>
      </c>
      <c r="Z1421" s="6">
        <v>2</v>
      </c>
      <c r="AA1421" s="8">
        <v>45352</v>
      </c>
      <c r="AB1421" s="4">
        <v>0.01</v>
      </c>
      <c r="AC1421" s="6">
        <v>3.03</v>
      </c>
      <c r="AD1421" s="6">
        <v>3.87</v>
      </c>
      <c r="AE1421" s="1">
        <v>0</v>
      </c>
      <c r="AF1421" s="1">
        <f ca="1">IFERROR(__xludf.DUMMYFUNCTION("IFERROR(GOOGLEFINANCE(TRIM(F1421)&amp;"":"" &amp; TRIM(B1421),""high52""),AE1421)"),241.56)</f>
        <v>241.56</v>
      </c>
      <c r="AG1421" s="1">
        <v>0</v>
      </c>
      <c r="AH1421" s="1">
        <f ca="1">IFERROR(__xludf.DUMMYFUNCTION("IFERROR(GOOGLEFINANCE(TRIM(F1421)&amp;"":"" &amp; TRIM(B1421),""low52""),AE1421)"),155)</f>
        <v>155</v>
      </c>
      <c r="AI1421" s="1">
        <f ca="1">IFERROR(__xludf.DUMMYFUNCTION("IFERROR(GOOGLEFINANCE(B1421,""eps""),0)"),3.88)</f>
        <v>3.88</v>
      </c>
      <c r="AJ1421" s="1"/>
      <c r="AK1421" s="1" t="s">
        <v>4281</v>
      </c>
      <c r="AL1421" s="9">
        <f t="shared" si="190"/>
        <v>1</v>
      </c>
    </row>
    <row r="1422" spans="1:38" ht="15" x14ac:dyDescent="0.25">
      <c r="A1422" s="1" t="s">
        <v>4282</v>
      </c>
      <c r="B1422" s="1" t="s">
        <v>4283</v>
      </c>
      <c r="C1422" s="1" t="s">
        <v>86</v>
      </c>
      <c r="D1422" s="1" t="s">
        <v>86</v>
      </c>
      <c r="E1422" s="6">
        <v>19.59</v>
      </c>
      <c r="F1422" s="1" t="s">
        <v>53</v>
      </c>
      <c r="G1422" s="6">
        <f ca="1">IFERROR(__xludf.DUMMYFUNCTION("iferror(GOOGLEFINANCE(TRIM(F1422)&amp;"":"" &amp; TRIM(B1422), ""price""),0
)"),0)</f>
        <v>0</v>
      </c>
      <c r="H1422" s="6">
        <v>14.22</v>
      </c>
      <c r="I1422" s="6">
        <f t="shared" ca="1" si="0"/>
        <v>14.22</v>
      </c>
      <c r="J1422" s="6">
        <f ca="1">IFERROR(__xludf.DUMMYFUNCTION("IFERROR(GOOGLEFINANCE(B1422, ""volume""), 0)"),0)</f>
        <v>0</v>
      </c>
      <c r="K1422" s="6">
        <v>-2</v>
      </c>
      <c r="L1422" s="6">
        <f ca="1">IFERROR(__xludf.DUMMYFUNCTION("IFERROR(GOOGLEFINANCE(B1422,""changepct""),K1422)"),-2)</f>
        <v>-2</v>
      </c>
      <c r="M1422" s="6">
        <f ca="1">IFERROR(__xludf.DUMMYFUNCTION("IFERROR(GOOGLEFINANCE(B1422,""change""),0)"),0)</f>
        <v>0</v>
      </c>
      <c r="N1422" s="6">
        <v>1</v>
      </c>
      <c r="O1422" s="7">
        <v>45536</v>
      </c>
      <c r="P1422" s="6">
        <v>406.94</v>
      </c>
      <c r="Q1422" s="6">
        <v>426.53</v>
      </c>
      <c r="R1422" s="7">
        <v>45536</v>
      </c>
      <c r="S1422" s="6">
        <v>53.88</v>
      </c>
      <c r="T1422" s="6">
        <v>1.63</v>
      </c>
      <c r="U1422" s="7">
        <v>45536</v>
      </c>
      <c r="V1422" s="6">
        <v>12.03</v>
      </c>
      <c r="W1422" s="6">
        <f ca="1">IFERROR(__xludf.DUMMYFUNCTION("IFERROR(GOOGLEFINANCE(B1422,""pe""),V1422)"),12.03)</f>
        <v>12.03</v>
      </c>
      <c r="X1422" s="6">
        <v>0.46</v>
      </c>
      <c r="Y1422" s="6">
        <v>-0.17</v>
      </c>
      <c r="Z1422" s="6">
        <v>1</v>
      </c>
      <c r="AA1422" s="8">
        <v>45352</v>
      </c>
      <c r="AB1422" s="4">
        <v>-3.47</v>
      </c>
      <c r="AC1422" s="6">
        <v>0</v>
      </c>
      <c r="AD1422" s="6">
        <v>0.59</v>
      </c>
      <c r="AE1422" s="1">
        <v>0</v>
      </c>
      <c r="AF1422" s="1">
        <f ca="1">IFERROR(__xludf.DUMMYFUNCTION("IFERROR(GOOGLEFINANCE(TRIM(F1422)&amp;"":"" &amp; TRIM(B1422),""high52""),AE1422)"),0)</f>
        <v>0</v>
      </c>
      <c r="AG1422" s="1">
        <v>0</v>
      </c>
      <c r="AH1422" s="1">
        <f ca="1">IFERROR(__xludf.DUMMYFUNCTION("IFERROR(GOOGLEFINANCE(TRIM(F1422)&amp;"":"" &amp; TRIM(B1422),""low52""),AE1422)"),0)</f>
        <v>0</v>
      </c>
      <c r="AI1422" s="1">
        <f ca="1">IFERROR(__xludf.DUMMYFUNCTION("IFERROR(GOOGLEFINANCE(B1422,""eps""),0)"),0)</f>
        <v>0</v>
      </c>
      <c r="AJ1422" s="1"/>
      <c r="AK1422" s="9"/>
      <c r="AL1422" s="9">
        <f t="shared" si="190"/>
        <v>1</v>
      </c>
    </row>
    <row r="1423" spans="1:38" ht="15" x14ac:dyDescent="0.25">
      <c r="A1423" s="1" t="s">
        <v>4284</v>
      </c>
      <c r="B1423" s="1" t="s">
        <v>4285</v>
      </c>
      <c r="C1423" s="1" t="s">
        <v>4084</v>
      </c>
      <c r="D1423" s="1" t="s">
        <v>4084</v>
      </c>
      <c r="E1423" s="6">
        <v>16518.599999999999</v>
      </c>
      <c r="F1423" s="1" t="s">
        <v>40</v>
      </c>
      <c r="G1423" s="6">
        <f ca="1">IFERROR(__xludf.DUMMYFUNCTION("iferror(GOOGLEFINANCE(TRIM(F1423)&amp;"":"" &amp; TRIM(B1423), ""price""),0
)"),66.52)</f>
        <v>66.52</v>
      </c>
      <c r="H1423" s="6">
        <v>115.35</v>
      </c>
      <c r="I1423" s="6">
        <f t="shared" ca="1" si="0"/>
        <v>66.52</v>
      </c>
      <c r="J1423" s="6">
        <f ca="1">IFERROR(__xludf.DUMMYFUNCTION("IFERROR(GOOGLEFINANCE(B1423, ""volume""), 0)"),12970736)</f>
        <v>12970736</v>
      </c>
      <c r="K1423" s="6">
        <v>0.71</v>
      </c>
      <c r="L1423" s="6">
        <f ca="1">IFERROR(__xludf.DUMMYFUNCTION("IFERROR(GOOGLEFINANCE(B1423,""changepct""),K1423)"),1.03)</f>
        <v>1.03</v>
      </c>
      <c r="M1423" s="6">
        <f ca="1">IFERROR(__xludf.DUMMYFUNCTION("IFERROR(GOOGLEFINANCE(B1423,""change""),0)"),0.68)</f>
        <v>0.68</v>
      </c>
      <c r="N1423" s="6">
        <v>2</v>
      </c>
      <c r="O1423" s="7">
        <v>45536</v>
      </c>
      <c r="P1423" s="6">
        <v>1198.32</v>
      </c>
      <c r="Q1423" s="6">
        <v>17311.650000000001</v>
      </c>
      <c r="R1423" s="7">
        <v>45536</v>
      </c>
      <c r="S1423" s="6">
        <v>4610.22</v>
      </c>
      <c r="T1423" s="6">
        <v>374.78</v>
      </c>
      <c r="U1423" s="7">
        <v>45536</v>
      </c>
      <c r="V1423" s="6">
        <v>43.76</v>
      </c>
      <c r="W1423" s="6">
        <f ca="1">IFERROR(__xludf.DUMMYFUNCTION("IFERROR(GOOGLEFINANCE(B1423,""pe""),V1423)"),347.33)</f>
        <v>347.33</v>
      </c>
      <c r="X1423" s="6">
        <v>5.18</v>
      </c>
      <c r="Y1423" s="6">
        <v>3.94</v>
      </c>
      <c r="Z1423" s="6">
        <v>2</v>
      </c>
      <c r="AA1423" s="8">
        <v>45352</v>
      </c>
      <c r="AB1423" s="4">
        <v>0.25</v>
      </c>
      <c r="AC1423" s="6">
        <v>9.6</v>
      </c>
      <c r="AD1423" s="6">
        <v>13.43</v>
      </c>
      <c r="AE1423" s="1">
        <v>0</v>
      </c>
      <c r="AF1423" s="1">
        <f ca="1">IFERROR(__xludf.DUMMYFUNCTION("IFERROR(GOOGLEFINANCE(TRIM(F1423)&amp;"":"" &amp; TRIM(B1423),""high52""),AE1423)"),105.11)</f>
        <v>105.11</v>
      </c>
      <c r="AG1423" s="1">
        <v>0</v>
      </c>
      <c r="AH1423" s="1">
        <f ca="1">IFERROR(__xludf.DUMMYFUNCTION("IFERROR(GOOGLEFINANCE(TRIM(F1423)&amp;"":"" &amp; TRIM(B1423),""low52""),AE1423)"),59.82)</f>
        <v>59.82</v>
      </c>
      <c r="AI1423" s="1">
        <f ca="1">IFERROR(__xludf.DUMMYFUNCTION("IFERROR(GOOGLEFINANCE(B1423,""eps""),0)"),0.19)</f>
        <v>0.19</v>
      </c>
      <c r="AJ1423" s="1"/>
      <c r="AK1423" s="1" t="s">
        <v>4286</v>
      </c>
      <c r="AL1423" s="9">
        <f t="shared" si="190"/>
        <v>1</v>
      </c>
    </row>
    <row r="1424" spans="1:38" ht="15" x14ac:dyDescent="0.25">
      <c r="A1424" s="1" t="s">
        <v>4287</v>
      </c>
      <c r="B1424" s="1" t="s">
        <v>4288</v>
      </c>
      <c r="C1424" s="1" t="s">
        <v>3892</v>
      </c>
      <c r="D1424" s="1" t="s">
        <v>3892</v>
      </c>
      <c r="E1424" s="6">
        <v>666.48</v>
      </c>
      <c r="F1424" s="1" t="s">
        <v>40</v>
      </c>
      <c r="G1424" s="6">
        <f ca="1">IFERROR(__xludf.DUMMYFUNCTION("iferror(GOOGLEFINANCE(TRIM(F1424)&amp;"":"" &amp; TRIM(B1424), ""price""),0
)"),0)</f>
        <v>0</v>
      </c>
      <c r="H1424" s="6">
        <v>280</v>
      </c>
      <c r="I1424" s="6">
        <f t="shared" ca="1" si="0"/>
        <v>280</v>
      </c>
      <c r="J1424" s="6">
        <f ca="1">IFERROR(__xludf.DUMMYFUNCTION("IFERROR(GOOGLEFINANCE(B1424, ""volume""), 0)"),0)</f>
        <v>0</v>
      </c>
      <c r="K1424" s="6">
        <v>4.99</v>
      </c>
      <c r="L1424" s="6">
        <f ca="1">IFERROR(__xludf.DUMMYFUNCTION("IFERROR(GOOGLEFINANCE(B1424,""changepct""),K1424)"),4.99)</f>
        <v>4.99</v>
      </c>
      <c r="M1424" s="6">
        <f ca="1">IFERROR(__xludf.DUMMYFUNCTION("IFERROR(GOOGLEFINANCE(B1424,""change""),0)"),0)</f>
        <v>0</v>
      </c>
      <c r="N1424" s="6">
        <v>1</v>
      </c>
      <c r="O1424" s="7">
        <v>45536</v>
      </c>
      <c r="P1424" s="6">
        <v>27.77</v>
      </c>
      <c r="Q1424" s="6">
        <v>694.26</v>
      </c>
      <c r="R1424" s="7">
        <v>45352</v>
      </c>
      <c r="S1424" s="6">
        <v>70.25</v>
      </c>
      <c r="T1424" s="6">
        <v>10.28</v>
      </c>
      <c r="U1424" s="7">
        <v>45352</v>
      </c>
      <c r="V1424" s="6">
        <v>64.86</v>
      </c>
      <c r="W1424" s="6">
        <f ca="1">IFERROR(__xludf.DUMMYFUNCTION("IFERROR(GOOGLEFINANCE(B1424,""pe""),V1424)"),64.86)</f>
        <v>64.86</v>
      </c>
      <c r="X1424" s="9"/>
      <c r="Y1424" s="6">
        <v>8.83</v>
      </c>
      <c r="Z1424" s="6">
        <v>2</v>
      </c>
      <c r="AA1424" s="8">
        <v>45352</v>
      </c>
      <c r="AB1424" s="4">
        <v>0.32</v>
      </c>
      <c r="AC1424" s="6">
        <v>20.6</v>
      </c>
      <c r="AD1424" s="6">
        <v>22.08</v>
      </c>
      <c r="AE1424" s="1">
        <v>0</v>
      </c>
      <c r="AF1424" s="1">
        <f ca="1">IFERROR(__xludf.DUMMYFUNCTION("IFERROR(GOOGLEFINANCE(TRIM(F1424)&amp;"":"" &amp; TRIM(B1424),""high52""),AE1424)"),0)</f>
        <v>0</v>
      </c>
      <c r="AG1424" s="1">
        <v>0</v>
      </c>
      <c r="AH1424" s="1">
        <f ca="1">IFERROR(__xludf.DUMMYFUNCTION("IFERROR(GOOGLEFINANCE(TRIM(F1424)&amp;"":"" &amp; TRIM(B1424),""low52""),AE1424)"),0)</f>
        <v>0</v>
      </c>
      <c r="AI1424" s="1">
        <f ca="1">IFERROR(__xludf.DUMMYFUNCTION("IFERROR(GOOGLEFINANCE(B1424,""eps""),0)"),0)</f>
        <v>0</v>
      </c>
      <c r="AJ1424" s="1"/>
      <c r="AK1424" s="1" t="s">
        <v>4289</v>
      </c>
      <c r="AL1424" s="1" t="b">
        <f>ISNUMBER(AA1424)</f>
        <v>1</v>
      </c>
    </row>
    <row r="1425" spans="1:38" ht="15" x14ac:dyDescent="0.25">
      <c r="A1425" s="1" t="s">
        <v>4290</v>
      </c>
      <c r="B1425" s="1" t="s">
        <v>4291</v>
      </c>
      <c r="C1425" s="1" t="s">
        <v>219</v>
      </c>
      <c r="D1425" s="1" t="s">
        <v>219</v>
      </c>
      <c r="E1425" s="6">
        <v>3198.95</v>
      </c>
      <c r="F1425" s="1" t="s">
        <v>40</v>
      </c>
      <c r="G1425" s="6">
        <f ca="1">IFERROR(__xludf.DUMMYFUNCTION("iferror(GOOGLEFINANCE(TRIM(F1425)&amp;"":"" &amp; TRIM(B1425), ""price""),0
)"),73.7)</f>
        <v>73.7</v>
      </c>
      <c r="H1425" s="6">
        <v>159.24</v>
      </c>
      <c r="I1425" s="6">
        <f t="shared" ca="1" si="0"/>
        <v>73.7</v>
      </c>
      <c r="J1425" s="6">
        <f ca="1">IFERROR(__xludf.DUMMYFUNCTION("IFERROR(GOOGLEFINANCE(B1425, ""volume""), 0)"),817515)</f>
        <v>817515</v>
      </c>
      <c r="K1425" s="6">
        <v>1.07</v>
      </c>
      <c r="L1425" s="6">
        <f ca="1">IFERROR(__xludf.DUMMYFUNCTION("IFERROR(GOOGLEFINANCE(B1425,""changepct""),K1425)"),-0.49)</f>
        <v>-0.49</v>
      </c>
      <c r="M1425" s="6">
        <f ca="1">IFERROR(__xludf.DUMMYFUNCTION("IFERROR(GOOGLEFINANCE(B1425,""change""),0)"),-0.36)</f>
        <v>-0.36</v>
      </c>
      <c r="N1425" s="6">
        <v>2</v>
      </c>
      <c r="O1425" s="7">
        <v>45536</v>
      </c>
      <c r="P1425" s="6">
        <v>326.99</v>
      </c>
      <c r="Q1425" s="6">
        <v>3491.46</v>
      </c>
      <c r="R1425" s="7">
        <v>45536</v>
      </c>
      <c r="S1425" s="6">
        <v>2884</v>
      </c>
      <c r="T1425" s="6">
        <v>61.61</v>
      </c>
      <c r="U1425" s="7">
        <v>45536</v>
      </c>
      <c r="V1425" s="6">
        <v>51.92</v>
      </c>
      <c r="W1425" s="6">
        <f ca="1">IFERROR(__xludf.DUMMYFUNCTION("IFERROR(GOOGLEFINANCE(B1425,""pe""),V1425)"),18.42)</f>
        <v>18.420000000000002</v>
      </c>
      <c r="X1425" s="6">
        <v>5.22</v>
      </c>
      <c r="Y1425" s="6">
        <v>2.56</v>
      </c>
      <c r="Z1425" s="6">
        <v>2</v>
      </c>
      <c r="AA1425" s="8">
        <v>45352</v>
      </c>
      <c r="AB1425" s="4">
        <v>0.76</v>
      </c>
      <c r="AC1425" s="6">
        <v>10.23</v>
      </c>
      <c r="AD1425" s="6">
        <v>12.04</v>
      </c>
      <c r="AE1425" s="1">
        <v>0</v>
      </c>
      <c r="AF1425" s="1">
        <f ca="1">IFERROR(__xludf.DUMMYFUNCTION("IFERROR(GOOGLEFINANCE(TRIM(F1425)&amp;"":"" &amp; TRIM(B1425),""high52""),AE1425)"),134.63)</f>
        <v>134.63</v>
      </c>
      <c r="AG1425" s="1">
        <v>0</v>
      </c>
      <c r="AH1425" s="1">
        <f ca="1">IFERROR(__xludf.DUMMYFUNCTION("IFERROR(GOOGLEFINANCE(TRIM(F1425)&amp;"":"" &amp; TRIM(B1425),""low52""),AE1425)"),70.7)</f>
        <v>70.7</v>
      </c>
      <c r="AI1425" s="1">
        <f ca="1">IFERROR(__xludf.DUMMYFUNCTION("IFERROR(GOOGLEFINANCE(B1425,""eps""),0)"),4)</f>
        <v>4</v>
      </c>
      <c r="AJ1425" s="1"/>
      <c r="AK1425" s="1" t="s">
        <v>4292</v>
      </c>
      <c r="AL1425" s="9">
        <f t="shared" ref="AL1425:AL1429" si="191">IF(AA1425&lt;&gt;AB1425,1,0)</f>
        <v>1</v>
      </c>
    </row>
    <row r="1426" spans="1:38" ht="15" x14ac:dyDescent="0.25">
      <c r="A1426" s="1" t="s">
        <v>4293</v>
      </c>
      <c r="B1426" s="1" t="s">
        <v>4294</v>
      </c>
      <c r="C1426" s="1" t="s">
        <v>86</v>
      </c>
      <c r="D1426" s="1" t="s">
        <v>86</v>
      </c>
      <c r="E1426" s="6">
        <v>188.69</v>
      </c>
      <c r="F1426" s="1" t="s">
        <v>53</v>
      </c>
      <c r="G1426" s="6">
        <f ca="1">IFERROR(__xludf.DUMMYFUNCTION("iferror(GOOGLEFINANCE(TRIM(F1426)&amp;"":"" &amp; TRIM(B1426), ""price""),0
)"),0)</f>
        <v>0</v>
      </c>
      <c r="H1426" s="6">
        <v>132</v>
      </c>
      <c r="I1426" s="6">
        <f t="shared" ca="1" si="0"/>
        <v>132</v>
      </c>
      <c r="J1426" s="6">
        <f ca="1">IFERROR(__xludf.DUMMYFUNCTION("IFERROR(GOOGLEFINANCE(B1426, ""volume""), 0)"),0)</f>
        <v>0</v>
      </c>
      <c r="K1426" s="6">
        <v>-3.12</v>
      </c>
      <c r="L1426" s="6">
        <f ca="1">IFERROR(__xludf.DUMMYFUNCTION("IFERROR(GOOGLEFINANCE(B1426,""changepct""),K1426)"),-3.12)</f>
        <v>-3.12</v>
      </c>
      <c r="M1426" s="6">
        <f ca="1">IFERROR(__xludf.DUMMYFUNCTION("IFERROR(GOOGLEFINANCE(B1426,""change""),0)"),0)</f>
        <v>0</v>
      </c>
      <c r="N1426" s="6">
        <v>1</v>
      </c>
      <c r="O1426" s="7">
        <v>45536</v>
      </c>
      <c r="P1426" s="6">
        <v>23.67</v>
      </c>
      <c r="Q1426" s="6">
        <v>211.47</v>
      </c>
      <c r="R1426" s="7">
        <v>45536</v>
      </c>
      <c r="S1426" s="6">
        <v>48.49</v>
      </c>
      <c r="T1426" s="6">
        <v>0.15</v>
      </c>
      <c r="U1426" s="7">
        <v>45536</v>
      </c>
      <c r="V1426" s="6">
        <v>0</v>
      </c>
      <c r="W1426" s="6">
        <f ca="1">IFERROR(__xludf.DUMMYFUNCTION("IFERROR(GOOGLEFINANCE(B1426,""pe""),V1426)"),0)</f>
        <v>0</v>
      </c>
      <c r="X1426" s="6">
        <v>0</v>
      </c>
      <c r="Y1426" s="6">
        <v>15.82</v>
      </c>
      <c r="Z1426" s="6">
        <v>1</v>
      </c>
      <c r="AA1426" s="8">
        <v>45352</v>
      </c>
      <c r="AB1426" s="4">
        <v>1.3</v>
      </c>
      <c r="AC1426" s="6">
        <v>10.3</v>
      </c>
      <c r="AD1426" s="6">
        <v>9.85</v>
      </c>
      <c r="AE1426" s="1">
        <v>0</v>
      </c>
      <c r="AF1426" s="1">
        <f ca="1">IFERROR(__xludf.DUMMYFUNCTION("IFERROR(GOOGLEFINANCE(TRIM(F1426)&amp;"":"" &amp; TRIM(B1426),""high52""),AE1426)"),0)</f>
        <v>0</v>
      </c>
      <c r="AG1426" s="1">
        <v>0</v>
      </c>
      <c r="AH1426" s="1">
        <f ca="1">IFERROR(__xludf.DUMMYFUNCTION("IFERROR(GOOGLEFINANCE(TRIM(F1426)&amp;"":"" &amp; TRIM(B1426),""low52""),AE1426)"),0)</f>
        <v>0</v>
      </c>
      <c r="AI1426" s="1">
        <f ca="1">IFERROR(__xludf.DUMMYFUNCTION("IFERROR(GOOGLEFINANCE(B1426,""eps""),0)"),0)</f>
        <v>0</v>
      </c>
      <c r="AJ1426" s="1"/>
      <c r="AK1426" s="1" t="s">
        <v>4295</v>
      </c>
      <c r="AL1426" s="9">
        <f t="shared" si="191"/>
        <v>1</v>
      </c>
    </row>
    <row r="1427" spans="1:38" ht="15" x14ac:dyDescent="0.25">
      <c r="A1427" s="1" t="s">
        <v>4296</v>
      </c>
      <c r="B1427" s="1" t="s">
        <v>4297</v>
      </c>
      <c r="C1427" s="1" t="s">
        <v>4298</v>
      </c>
      <c r="D1427" s="1" t="s">
        <v>4298</v>
      </c>
      <c r="E1427" s="6">
        <v>0</v>
      </c>
      <c r="F1427" s="1" t="s">
        <v>40</v>
      </c>
      <c r="G1427" s="6">
        <f ca="1">IFERROR(__xludf.DUMMYFUNCTION("iferror(GOOGLEFINANCE(TRIM(F1427)&amp;"":"" &amp; TRIM(B1427), ""price""),0
)"),0)</f>
        <v>0</v>
      </c>
      <c r="H1427" s="9"/>
      <c r="I1427" s="6">
        <f t="shared" ca="1" si="0"/>
        <v>0</v>
      </c>
      <c r="J1427" s="6">
        <f ca="1">IFERROR(__xludf.DUMMYFUNCTION("IFERROR(GOOGLEFINANCE(B1427, ""volume""), 0)"),0)</f>
        <v>0</v>
      </c>
      <c r="K1427" s="9"/>
      <c r="L1427" s="6" t="str">
        <f ca="1">IFERROR(__xludf.DUMMYFUNCTION("IFERROR(GOOGLEFINANCE(B1427,""changepct""),K1427)"),"")</f>
        <v/>
      </c>
      <c r="M1427" s="6">
        <f ca="1">IFERROR(__xludf.DUMMYFUNCTION("IFERROR(GOOGLEFINANCE(B1427,""change""),0)"),0)</f>
        <v>0</v>
      </c>
      <c r="N1427" s="6">
        <v>1</v>
      </c>
      <c r="O1427" s="14"/>
      <c r="P1427" s="9"/>
      <c r="Q1427" s="7">
        <v>44986</v>
      </c>
      <c r="R1427" s="14"/>
      <c r="S1427" s="9"/>
      <c r="T1427" s="9"/>
      <c r="U1427" s="6">
        <v>2</v>
      </c>
      <c r="V1427" s="7">
        <v>45352</v>
      </c>
      <c r="W1427" s="10">
        <f ca="1">IFERROR(__xludf.DUMMYFUNCTION("IFERROR(GOOGLEFINANCE(B1427,""pe""),V1427)"),45352)</f>
        <v>45352</v>
      </c>
      <c r="X1427" s="6">
        <v>1.44</v>
      </c>
      <c r="Y1427" s="6">
        <v>-13.24</v>
      </c>
      <c r="Z1427" s="6">
        <v>2.0699999999999998</v>
      </c>
      <c r="AA1427" s="3" t="s">
        <v>4299</v>
      </c>
      <c r="AB1427" s="3"/>
      <c r="AC1427" s="9"/>
      <c r="AD1427" s="9"/>
      <c r="AE1427" s="1">
        <v>0</v>
      </c>
      <c r="AF1427" s="1">
        <f ca="1">IFERROR(__xludf.DUMMYFUNCTION("IFERROR(GOOGLEFINANCE(TRIM(F1427)&amp;"":"" &amp; TRIM(B1427),""high52""),AE1427)"),0)</f>
        <v>0</v>
      </c>
      <c r="AG1427" s="1">
        <v>0</v>
      </c>
      <c r="AH1427" s="1">
        <f ca="1">IFERROR(__xludf.DUMMYFUNCTION("IFERROR(GOOGLEFINANCE(TRIM(F1427)&amp;"":"" &amp; TRIM(B1427),""low52""),AE1427)"),0)</f>
        <v>0</v>
      </c>
      <c r="AI1427" s="1">
        <f ca="1">IFERROR(__xludf.DUMMYFUNCTION("IFERROR(GOOGLEFINANCE(B1427,""eps""),0)"),0)</f>
        <v>0</v>
      </c>
      <c r="AJ1427" s="1"/>
      <c r="AK1427" s="1" t="s">
        <v>4300</v>
      </c>
      <c r="AL1427" s="9">
        <f t="shared" si="191"/>
        <v>1</v>
      </c>
    </row>
    <row r="1428" spans="1:38" ht="15" x14ac:dyDescent="0.25">
      <c r="A1428" s="1" t="s">
        <v>4301</v>
      </c>
      <c r="B1428" s="1" t="s">
        <v>4302</v>
      </c>
      <c r="C1428" s="1" t="s">
        <v>106</v>
      </c>
      <c r="D1428" s="1" t="s">
        <v>106</v>
      </c>
      <c r="E1428" s="6">
        <v>4881.4799999999996</v>
      </c>
      <c r="F1428" s="1" t="s">
        <v>40</v>
      </c>
      <c r="G1428" s="6">
        <f ca="1">IFERROR(__xludf.DUMMYFUNCTION("iferror(GOOGLEFINANCE(TRIM(F1428)&amp;"":"" &amp; TRIM(B1428), ""price""),0
)"),186.45)</f>
        <v>186.45</v>
      </c>
      <c r="H1428" s="6">
        <v>394.35</v>
      </c>
      <c r="I1428" s="6">
        <f t="shared" ca="1" si="0"/>
        <v>186.45</v>
      </c>
      <c r="J1428" s="6">
        <f ca="1">IFERROR(__xludf.DUMMYFUNCTION("IFERROR(GOOGLEFINANCE(B1428, ""volume""), 0)"),192491)</f>
        <v>192491</v>
      </c>
      <c r="K1428" s="6">
        <v>-0.3</v>
      </c>
      <c r="L1428" s="6">
        <f ca="1">IFERROR(__xludf.DUMMYFUNCTION("IFERROR(GOOGLEFINANCE(B1428,""changepct""),K1428)"),-1.93)</f>
        <v>-1.93</v>
      </c>
      <c r="M1428" s="6">
        <f ca="1">IFERROR(__xludf.DUMMYFUNCTION("IFERROR(GOOGLEFINANCE(B1428,""change""),0)"),-3.66)</f>
        <v>-3.66</v>
      </c>
      <c r="N1428" s="6">
        <v>2</v>
      </c>
      <c r="O1428" s="7">
        <v>45536</v>
      </c>
      <c r="P1428" s="6">
        <v>772.7</v>
      </c>
      <c r="Q1428" s="6">
        <v>5625.68</v>
      </c>
      <c r="R1428" s="7">
        <v>45536</v>
      </c>
      <c r="S1428" s="6">
        <v>1821.37</v>
      </c>
      <c r="T1428" s="6">
        <v>73.510000000000005</v>
      </c>
      <c r="U1428" s="7">
        <v>45536</v>
      </c>
      <c r="V1428" s="6">
        <v>66.41</v>
      </c>
      <c r="W1428" s="6">
        <f ca="1">IFERROR(__xludf.DUMMYFUNCTION("IFERROR(GOOGLEFINANCE(B1428,""pe""),V1428)"),226.93)</f>
        <v>226.93</v>
      </c>
      <c r="X1428" s="6">
        <v>-8.8000000000000007</v>
      </c>
      <c r="Y1428" s="6">
        <v>4.0599999999999996</v>
      </c>
      <c r="Z1428" s="6">
        <v>2</v>
      </c>
      <c r="AA1428" s="8">
        <v>45352</v>
      </c>
      <c r="AB1428" s="4">
        <v>0.69</v>
      </c>
      <c r="AC1428" s="6">
        <v>6</v>
      </c>
      <c r="AD1428" s="6">
        <v>7.82</v>
      </c>
      <c r="AE1428" s="1">
        <v>0</v>
      </c>
      <c r="AF1428" s="1">
        <f ca="1">IFERROR(__xludf.DUMMYFUNCTION("IFERROR(GOOGLEFINANCE(TRIM(F1428)&amp;"":"" &amp; TRIM(B1428),""high52""),AE1428)"),456.75)</f>
        <v>456.75</v>
      </c>
      <c r="AG1428" s="1">
        <v>0</v>
      </c>
      <c r="AH1428" s="1">
        <f ca="1">IFERROR(__xludf.DUMMYFUNCTION("IFERROR(GOOGLEFINANCE(TRIM(F1428)&amp;"":"" &amp; TRIM(B1428),""low52""),AE1428)"),182)</f>
        <v>182</v>
      </c>
      <c r="AI1428" s="1">
        <f ca="1">IFERROR(__xludf.DUMMYFUNCTION("IFERROR(GOOGLEFINANCE(B1428,""eps""),0)"),0.82)</f>
        <v>0.82</v>
      </c>
      <c r="AJ1428" s="1"/>
      <c r="AK1428" s="1" t="s">
        <v>4303</v>
      </c>
      <c r="AL1428" s="9">
        <f t="shared" si="191"/>
        <v>1</v>
      </c>
    </row>
    <row r="1429" spans="1:38" ht="15" x14ac:dyDescent="0.25">
      <c r="A1429" s="1" t="s">
        <v>4304</v>
      </c>
      <c r="B1429" s="1" t="s">
        <v>4305</v>
      </c>
      <c r="C1429" s="1" t="s">
        <v>86</v>
      </c>
      <c r="D1429" s="1" t="s">
        <v>86</v>
      </c>
      <c r="E1429" s="6">
        <v>371.49</v>
      </c>
      <c r="F1429" s="1" t="s">
        <v>53</v>
      </c>
      <c r="G1429" s="6">
        <f ca="1">IFERROR(__xludf.DUMMYFUNCTION("iferror(GOOGLEFINANCE(TRIM(F1429)&amp;"":"" &amp; TRIM(B1429), ""price""),0
)"),0)</f>
        <v>0</v>
      </c>
      <c r="H1429" s="6">
        <v>834.65</v>
      </c>
      <c r="I1429" s="6">
        <f t="shared" ca="1" si="0"/>
        <v>834.65</v>
      </c>
      <c r="J1429" s="6">
        <f ca="1">IFERROR(__xludf.DUMMYFUNCTION("IFERROR(GOOGLEFINANCE(B1429, ""volume""), 0)"),0)</f>
        <v>0</v>
      </c>
      <c r="K1429" s="6">
        <v>0.91</v>
      </c>
      <c r="L1429" s="6">
        <f ca="1">IFERROR(__xludf.DUMMYFUNCTION("IFERROR(GOOGLEFINANCE(B1429,""changepct""),K1429)"),0.91)</f>
        <v>0.91</v>
      </c>
      <c r="M1429" s="6">
        <f ca="1">IFERROR(__xludf.DUMMYFUNCTION("IFERROR(GOOGLEFINANCE(B1429,""change""),0)"),0)</f>
        <v>0</v>
      </c>
      <c r="N1429" s="6">
        <v>2</v>
      </c>
      <c r="O1429" s="7">
        <v>45536</v>
      </c>
      <c r="P1429" s="6">
        <v>435.11</v>
      </c>
      <c r="Q1429" s="6">
        <v>799.86</v>
      </c>
      <c r="R1429" s="7">
        <v>45536</v>
      </c>
      <c r="S1429" s="6">
        <v>70.37</v>
      </c>
      <c r="T1429" s="6">
        <v>-42.59</v>
      </c>
      <c r="U1429" s="7">
        <v>45536</v>
      </c>
      <c r="V1429" s="6">
        <v>0</v>
      </c>
      <c r="W1429" s="6">
        <f ca="1">IFERROR(__xludf.DUMMYFUNCTION("IFERROR(GOOGLEFINANCE(B1429,""pe""),V1429)"),0)</f>
        <v>0</v>
      </c>
      <c r="X1429" s="9"/>
      <c r="Y1429" s="6">
        <v>-44.56</v>
      </c>
      <c r="Z1429" s="6">
        <v>2</v>
      </c>
      <c r="AA1429" s="8">
        <v>45352</v>
      </c>
      <c r="AB1429" s="4">
        <v>32.57</v>
      </c>
      <c r="AC1429" s="6">
        <v>-136.57</v>
      </c>
      <c r="AD1429" s="6">
        <v>7.08</v>
      </c>
      <c r="AE1429" s="1">
        <v>0</v>
      </c>
      <c r="AF1429" s="1">
        <f ca="1">IFERROR(__xludf.DUMMYFUNCTION("IFERROR(GOOGLEFINANCE(TRIM(F1429)&amp;"":"" &amp; TRIM(B1429),""high52""),AE1429)"),0)</f>
        <v>0</v>
      </c>
      <c r="AG1429" s="1">
        <v>0</v>
      </c>
      <c r="AH1429" s="1">
        <f ca="1">IFERROR(__xludf.DUMMYFUNCTION("IFERROR(GOOGLEFINANCE(TRIM(F1429)&amp;"":"" &amp; TRIM(B1429),""low52""),AE1429)"),0)</f>
        <v>0</v>
      </c>
      <c r="AI1429" s="1">
        <f ca="1">IFERROR(__xludf.DUMMYFUNCTION("IFERROR(GOOGLEFINANCE(B1429,""eps""),0)"),0)</f>
        <v>0</v>
      </c>
      <c r="AJ1429" s="1"/>
      <c r="AK1429" s="1" t="s">
        <v>4306</v>
      </c>
      <c r="AL1429" s="9">
        <f t="shared" si="191"/>
        <v>1</v>
      </c>
    </row>
    <row r="1430" spans="1:38" ht="15" x14ac:dyDescent="0.25">
      <c r="A1430" s="1" t="s">
        <v>4307</v>
      </c>
      <c r="B1430" s="1" t="s">
        <v>4308</v>
      </c>
      <c r="C1430" s="1" t="s">
        <v>239</v>
      </c>
      <c r="D1430" s="1" t="s">
        <v>239</v>
      </c>
      <c r="E1430" s="6">
        <v>1888.96</v>
      </c>
      <c r="F1430" s="1" t="s">
        <v>40</v>
      </c>
      <c r="G1430" s="6">
        <f ca="1">IFERROR(__xludf.DUMMYFUNCTION("iferror(GOOGLEFINANCE(TRIM(F1430)&amp;"":"" &amp; TRIM(B1430), ""price""),0
)"),0)</f>
        <v>0</v>
      </c>
      <c r="H1430" s="6">
        <v>2527</v>
      </c>
      <c r="I1430" s="6">
        <f t="shared" ca="1" si="0"/>
        <v>2527</v>
      </c>
      <c r="J1430" s="6">
        <f ca="1">IFERROR(__xludf.DUMMYFUNCTION("IFERROR(GOOGLEFINANCE(B1430, ""volume""), 0)"),0)</f>
        <v>0</v>
      </c>
      <c r="K1430" s="6">
        <v>0.57999999999999996</v>
      </c>
      <c r="L1430" s="6">
        <f ca="1">IFERROR(__xludf.DUMMYFUNCTION("IFERROR(GOOGLEFINANCE(B1430,""changepct""),K1430)"),0.58)</f>
        <v>0.57999999999999996</v>
      </c>
      <c r="M1430" s="6">
        <f ca="1">IFERROR(__xludf.DUMMYFUNCTION("IFERROR(GOOGLEFINANCE(B1430,""change""),0)"),0)</f>
        <v>0</v>
      </c>
      <c r="N1430" s="6">
        <v>2</v>
      </c>
      <c r="O1430" s="7">
        <v>45536</v>
      </c>
      <c r="P1430" s="6">
        <v>684.47</v>
      </c>
      <c r="Q1430" s="6">
        <v>2524.0300000000002</v>
      </c>
      <c r="R1430" s="7">
        <v>45536</v>
      </c>
      <c r="S1430" s="6">
        <v>3517.32</v>
      </c>
      <c r="T1430" s="6">
        <v>20.63</v>
      </c>
      <c r="U1430" s="7">
        <v>45536</v>
      </c>
      <c r="V1430" s="6">
        <v>94.45</v>
      </c>
      <c r="W1430" s="6">
        <f ca="1">IFERROR(__xludf.DUMMYFUNCTION("IFERROR(GOOGLEFINANCE(B1430,""pe""),V1430)"),94.45)</f>
        <v>94.45</v>
      </c>
      <c r="X1430" s="9"/>
      <c r="Y1430" s="6">
        <v>1.48</v>
      </c>
      <c r="Z1430" s="6">
        <v>2</v>
      </c>
      <c r="AA1430" s="8">
        <v>45352</v>
      </c>
      <c r="AB1430" s="4">
        <v>0.44</v>
      </c>
      <c r="AC1430" s="6">
        <v>2.79</v>
      </c>
      <c r="AD1430" s="6">
        <v>4.1100000000000003</v>
      </c>
      <c r="AE1430" s="1">
        <v>0</v>
      </c>
      <c r="AF1430" s="1">
        <f ca="1">IFERROR(__xludf.DUMMYFUNCTION("IFERROR(GOOGLEFINANCE(TRIM(F1430)&amp;"":"" &amp; TRIM(B1430),""high52""),AE1430)"),0)</f>
        <v>0</v>
      </c>
      <c r="AG1430" s="1">
        <v>0</v>
      </c>
      <c r="AH1430" s="1">
        <f ca="1">IFERROR(__xludf.DUMMYFUNCTION("IFERROR(GOOGLEFINANCE(TRIM(F1430)&amp;"":"" &amp; TRIM(B1430),""low52""),AE1430)"),0)</f>
        <v>0</v>
      </c>
      <c r="AI1430" s="1">
        <f ca="1">IFERROR(__xludf.DUMMYFUNCTION("IFERROR(GOOGLEFINANCE(B1430,""eps""),0)"),0)</f>
        <v>0</v>
      </c>
      <c r="AJ1430" s="1"/>
      <c r="AK1430" s="6">
        <v>42.99</v>
      </c>
      <c r="AL1430" s="1" t="b">
        <f>ISNUMBER(AA1430)</f>
        <v>1</v>
      </c>
    </row>
    <row r="1431" spans="1:38" ht="15" x14ac:dyDescent="0.25">
      <c r="A1431" s="1" t="s">
        <v>4309</v>
      </c>
      <c r="B1431" s="1" t="s">
        <v>4310</v>
      </c>
      <c r="C1431" s="1" t="s">
        <v>1528</v>
      </c>
      <c r="D1431" s="1" t="s">
        <v>1528</v>
      </c>
      <c r="E1431" s="6">
        <v>275.56</v>
      </c>
      <c r="F1431" s="1" t="s">
        <v>40</v>
      </c>
      <c r="G1431" s="6">
        <f ca="1">IFERROR(__xludf.DUMMYFUNCTION("iferror(GOOGLEFINANCE(TRIM(F1431)&amp;"":"" &amp; TRIM(B1431), ""price""),0
)"),26.5)</f>
        <v>26.5</v>
      </c>
      <c r="H1431" s="6">
        <v>103.75</v>
      </c>
      <c r="I1431" s="6">
        <f t="shared" ca="1" si="0"/>
        <v>26.5</v>
      </c>
      <c r="J1431" s="6">
        <f ca="1">IFERROR(__xludf.DUMMYFUNCTION("IFERROR(GOOGLEFINANCE(B1431, ""volume""), 0)"),141728)</f>
        <v>141728</v>
      </c>
      <c r="K1431" s="6">
        <v>-2.46</v>
      </c>
      <c r="L1431" s="6">
        <f ca="1">IFERROR(__xludf.DUMMYFUNCTION("IFERROR(GOOGLEFINANCE(B1431,""changepct""),K1431)"),-2.18)</f>
        <v>-2.1800000000000002</v>
      </c>
      <c r="M1431" s="6">
        <f ca="1">IFERROR(__xludf.DUMMYFUNCTION("IFERROR(GOOGLEFINANCE(B1431,""change""),0)"),-0.59)</f>
        <v>-0.59</v>
      </c>
      <c r="N1431" s="6">
        <v>1</v>
      </c>
      <c r="O1431" s="7">
        <v>45536</v>
      </c>
      <c r="P1431" s="6">
        <v>64.13</v>
      </c>
      <c r="Q1431" s="6">
        <v>339.69</v>
      </c>
      <c r="R1431" s="7">
        <v>45536</v>
      </c>
      <c r="S1431" s="6">
        <v>153.36000000000001</v>
      </c>
      <c r="T1431" s="6">
        <v>3.86</v>
      </c>
      <c r="U1431" s="7">
        <v>45536</v>
      </c>
      <c r="V1431" s="6">
        <v>71.44</v>
      </c>
      <c r="W1431" s="6">
        <f ca="1">IFERROR(__xludf.DUMMYFUNCTION("IFERROR(GOOGLEFINANCE(B1431,""pe""),V1431)"),8.63)</f>
        <v>8.6300000000000008</v>
      </c>
      <c r="X1431" s="6">
        <v>2.1</v>
      </c>
      <c r="Y1431" s="6">
        <v>2.08</v>
      </c>
      <c r="Z1431" s="6">
        <v>1</v>
      </c>
      <c r="AA1431" s="8">
        <v>45352</v>
      </c>
      <c r="AB1431" s="4">
        <v>0.56000000000000005</v>
      </c>
      <c r="AC1431" s="6">
        <v>7.23</v>
      </c>
      <c r="AD1431" s="6">
        <v>9.7100000000000009</v>
      </c>
      <c r="AE1431" s="1">
        <v>0</v>
      </c>
      <c r="AF1431" s="1">
        <f ca="1">IFERROR(__xludf.DUMMYFUNCTION("IFERROR(GOOGLEFINANCE(TRIM(F1431)&amp;"":"" &amp; TRIM(B1431),""high52""),AE1431)"),84.49)</f>
        <v>84.49</v>
      </c>
      <c r="AG1431" s="1">
        <v>0</v>
      </c>
      <c r="AH1431" s="1">
        <f ca="1">IFERROR(__xludf.DUMMYFUNCTION("IFERROR(GOOGLEFINANCE(TRIM(F1431)&amp;"":"" &amp; TRIM(B1431),""low52""),AE1431)"),25.67)</f>
        <v>25.67</v>
      </c>
      <c r="AI1431" s="1">
        <f ca="1">IFERROR(__xludf.DUMMYFUNCTION("IFERROR(GOOGLEFINANCE(B1431,""eps""),0)"),3.07)</f>
        <v>3.07</v>
      </c>
      <c r="AJ1431" s="1"/>
      <c r="AK1431" s="1" t="s">
        <v>4311</v>
      </c>
      <c r="AL1431" s="9">
        <f t="shared" ref="AL1431:AL1440" si="192">IF(AA1431&lt;&gt;AB1431,1,0)</f>
        <v>1</v>
      </c>
    </row>
    <row r="1432" spans="1:38" ht="15" x14ac:dyDescent="0.25">
      <c r="A1432" s="1" t="s">
        <v>4312</v>
      </c>
      <c r="B1432" s="1" t="s">
        <v>4313</v>
      </c>
      <c r="C1432" s="1" t="s">
        <v>135</v>
      </c>
      <c r="D1432" s="1" t="s">
        <v>135</v>
      </c>
      <c r="E1432" s="6">
        <v>28974.15</v>
      </c>
      <c r="F1432" s="1" t="s">
        <v>40</v>
      </c>
      <c r="G1432" s="6">
        <f ca="1">IFERROR(__xludf.DUMMYFUNCTION("iferror(GOOGLEFINANCE(TRIM(F1432)&amp;"":"" &amp; TRIM(B1432), ""price""),0
)"),460)</f>
        <v>460</v>
      </c>
      <c r="H1432" s="6">
        <v>590.25</v>
      </c>
      <c r="I1432" s="6">
        <f t="shared" ca="1" si="0"/>
        <v>460</v>
      </c>
      <c r="J1432" s="6">
        <f ca="1">IFERROR(__xludf.DUMMYFUNCTION("IFERROR(GOOGLEFINANCE(B1432, ""volume""), 0)"),3185438)</f>
        <v>3185438</v>
      </c>
      <c r="K1432" s="6">
        <v>0.47</v>
      </c>
      <c r="L1432" s="6">
        <f ca="1">IFERROR(__xludf.DUMMYFUNCTION("IFERROR(GOOGLEFINANCE(B1432,""changepct""),K1432)"),3.24)</f>
        <v>3.24</v>
      </c>
      <c r="M1432" s="6">
        <f ca="1">IFERROR(__xludf.DUMMYFUNCTION("IFERROR(GOOGLEFINANCE(B1432,""change""),0)"),14.45)</f>
        <v>14.45</v>
      </c>
      <c r="N1432" s="6">
        <v>2</v>
      </c>
      <c r="O1432" s="7">
        <v>45536</v>
      </c>
      <c r="P1432" s="6">
        <v>341.89</v>
      </c>
      <c r="Q1432" s="6">
        <v>28743.93</v>
      </c>
      <c r="R1432" s="7">
        <v>45536</v>
      </c>
      <c r="S1432" s="6">
        <v>4566.79</v>
      </c>
      <c r="T1432" s="6">
        <v>482.44</v>
      </c>
      <c r="U1432" s="7">
        <v>45536</v>
      </c>
      <c r="V1432" s="6">
        <v>60.12</v>
      </c>
      <c r="W1432" s="6">
        <f ca="1">IFERROR(__xludf.DUMMYFUNCTION("IFERROR(GOOGLEFINANCE(B1432,""pe""),V1432)"),32.57)</f>
        <v>32.57</v>
      </c>
      <c r="X1432" s="6">
        <v>12.42</v>
      </c>
      <c r="Y1432" s="6">
        <v>8.5</v>
      </c>
      <c r="Z1432" s="6">
        <v>2</v>
      </c>
      <c r="AA1432" s="8">
        <v>45352</v>
      </c>
      <c r="AB1432" s="4">
        <v>0.2</v>
      </c>
      <c r="AC1432" s="6">
        <v>15.74</v>
      </c>
      <c r="AD1432" s="6">
        <v>18.86</v>
      </c>
      <c r="AE1432" s="1">
        <v>0</v>
      </c>
      <c r="AF1432" s="1">
        <f ca="1">IFERROR(__xludf.DUMMYFUNCTION("IFERROR(GOOGLEFINANCE(TRIM(F1432)&amp;"":"" &amp; TRIM(B1432),""high52""),AE1432)"),534.45)</f>
        <v>534.45000000000005</v>
      </c>
      <c r="AG1432" s="1">
        <v>0</v>
      </c>
      <c r="AH1432" s="1">
        <f ca="1">IFERROR(__xludf.DUMMYFUNCTION("IFERROR(GOOGLEFINANCE(TRIM(F1432)&amp;"":"" &amp; TRIM(B1432),""low52""),AE1432)"),365.35)</f>
        <v>365.35</v>
      </c>
      <c r="AI1432" s="1">
        <f ca="1">IFERROR(__xludf.DUMMYFUNCTION("IFERROR(GOOGLEFINANCE(B1432,""eps""),0)"),14.13)</f>
        <v>14.13</v>
      </c>
      <c r="AJ1432" s="1"/>
      <c r="AK1432" s="1" t="s">
        <v>4314</v>
      </c>
      <c r="AL1432" s="9">
        <f t="shared" si="192"/>
        <v>1</v>
      </c>
    </row>
    <row r="1433" spans="1:38" ht="15" x14ac:dyDescent="0.25">
      <c r="A1433" s="1" t="s">
        <v>4315</v>
      </c>
      <c r="B1433" s="1" t="s">
        <v>4316</v>
      </c>
      <c r="C1433" s="1" t="s">
        <v>186</v>
      </c>
      <c r="D1433" s="1" t="s">
        <v>186</v>
      </c>
      <c r="E1433" s="6">
        <v>2558.23</v>
      </c>
      <c r="F1433" s="1" t="s">
        <v>40</v>
      </c>
      <c r="G1433" s="6">
        <f ca="1">IFERROR(__xludf.DUMMYFUNCTION("iferror(GOOGLEFINANCE(TRIM(F1433)&amp;"":"" &amp; TRIM(B1433), ""price""),0
)"),102.65)</f>
        <v>102.65</v>
      </c>
      <c r="H1433" s="6">
        <v>203.97</v>
      </c>
      <c r="I1433" s="6">
        <f t="shared" ca="1" si="0"/>
        <v>102.65</v>
      </c>
      <c r="J1433" s="6">
        <f ca="1">IFERROR(__xludf.DUMMYFUNCTION("IFERROR(GOOGLEFINANCE(B1433, ""volume""), 0)"),219384)</f>
        <v>219384</v>
      </c>
      <c r="K1433" s="6">
        <v>0.21</v>
      </c>
      <c r="L1433" s="6">
        <f ca="1">IFERROR(__xludf.DUMMYFUNCTION("IFERROR(GOOGLEFINANCE(B1433,""changepct""),K1433)"),-2.01)</f>
        <v>-2.0099999999999998</v>
      </c>
      <c r="M1433" s="6">
        <f ca="1">IFERROR(__xludf.DUMMYFUNCTION("IFERROR(GOOGLEFINANCE(B1433,""change""),0)"),-2.11)</f>
        <v>-2.11</v>
      </c>
      <c r="N1433" s="6">
        <v>2</v>
      </c>
      <c r="O1433" s="7">
        <v>45536</v>
      </c>
      <c r="P1433" s="6">
        <v>2783.45</v>
      </c>
      <c r="Q1433" s="6">
        <v>5239.51</v>
      </c>
      <c r="R1433" s="7">
        <v>45536</v>
      </c>
      <c r="S1433" s="6">
        <v>2849.96</v>
      </c>
      <c r="T1433" s="6">
        <v>97.16</v>
      </c>
      <c r="U1433" s="7">
        <v>45536</v>
      </c>
      <c r="V1433" s="6">
        <v>26.33</v>
      </c>
      <c r="W1433" s="6">
        <f ca="1">IFERROR(__xludf.DUMMYFUNCTION("IFERROR(GOOGLEFINANCE(B1433,""pe""),V1433)"),13.42)</f>
        <v>13.42</v>
      </c>
      <c r="X1433" s="6">
        <v>-2.5</v>
      </c>
      <c r="Y1433" s="6">
        <v>1.28</v>
      </c>
      <c r="Z1433" s="6">
        <v>2</v>
      </c>
      <c r="AA1433" s="8">
        <v>45352</v>
      </c>
      <c r="AB1433" s="4">
        <v>1.79</v>
      </c>
      <c r="AC1433" s="6">
        <v>7.5</v>
      </c>
      <c r="AD1433" s="6">
        <v>10.8</v>
      </c>
      <c r="AE1433" s="1">
        <v>0</v>
      </c>
      <c r="AF1433" s="1">
        <f ca="1">IFERROR(__xludf.DUMMYFUNCTION("IFERROR(GOOGLEFINANCE(TRIM(F1433)&amp;"":"" &amp; TRIM(B1433),""high52""),AE1433)"),168.66)</f>
        <v>168.66</v>
      </c>
      <c r="AG1433" s="1">
        <v>0</v>
      </c>
      <c r="AH1433" s="1">
        <f ca="1">IFERROR(__xludf.DUMMYFUNCTION("IFERROR(GOOGLEFINANCE(TRIM(F1433)&amp;"":"" &amp; TRIM(B1433),""low52""),AE1433)"),94.22)</f>
        <v>94.22</v>
      </c>
      <c r="AI1433" s="1">
        <f ca="1">IFERROR(__xludf.DUMMYFUNCTION("IFERROR(GOOGLEFINANCE(B1433,""eps""),0)"),7.65)</f>
        <v>7.65</v>
      </c>
      <c r="AJ1433" s="1"/>
      <c r="AK1433" s="1" t="s">
        <v>4317</v>
      </c>
      <c r="AL1433" s="9">
        <f t="shared" si="192"/>
        <v>1</v>
      </c>
    </row>
    <row r="1434" spans="1:38" ht="15" x14ac:dyDescent="0.25">
      <c r="A1434" s="1" t="s">
        <v>4318</v>
      </c>
      <c r="B1434" s="1" t="s">
        <v>4319</v>
      </c>
      <c r="C1434" s="1" t="s">
        <v>125</v>
      </c>
      <c r="D1434" s="1" t="s">
        <v>125</v>
      </c>
      <c r="E1434" s="6">
        <v>2414.36</v>
      </c>
      <c r="F1434" s="1" t="s">
        <v>40</v>
      </c>
      <c r="G1434" s="6">
        <f ca="1">IFERROR(__xludf.DUMMYFUNCTION("iferror(GOOGLEFINANCE(TRIM(F1434)&amp;"":"" &amp; TRIM(B1434), ""price""),0
)"),1244.9)</f>
        <v>1244.9000000000001</v>
      </c>
      <c r="H1434" s="6">
        <v>1422.85</v>
      </c>
      <c r="I1434" s="6">
        <f t="shared" ca="1" si="0"/>
        <v>1244.9000000000001</v>
      </c>
      <c r="J1434" s="6">
        <f ca="1">IFERROR(__xludf.DUMMYFUNCTION("IFERROR(GOOGLEFINANCE(B1434, ""volume""), 0)"),15066)</f>
        <v>15066</v>
      </c>
      <c r="K1434" s="6">
        <v>1.18</v>
      </c>
      <c r="L1434" s="6">
        <f ca="1">IFERROR(__xludf.DUMMYFUNCTION("IFERROR(GOOGLEFINANCE(B1434,""changepct""),K1434)"),0.27)</f>
        <v>0.27</v>
      </c>
      <c r="M1434" s="6">
        <f ca="1">IFERROR(__xludf.DUMMYFUNCTION("IFERROR(GOOGLEFINANCE(B1434,""change""),0)"),3.3)</f>
        <v>3.3</v>
      </c>
      <c r="N1434" s="6">
        <v>1</v>
      </c>
      <c r="O1434" s="7">
        <v>45536</v>
      </c>
      <c r="P1434" s="6">
        <v>122.94</v>
      </c>
      <c r="Q1434" s="6">
        <v>2535.5100000000002</v>
      </c>
      <c r="R1434" s="7">
        <v>45536</v>
      </c>
      <c r="S1434" s="6">
        <v>589.36</v>
      </c>
      <c r="T1434" s="6">
        <v>23.75</v>
      </c>
      <c r="U1434" s="7">
        <v>45536</v>
      </c>
      <c r="V1434" s="6">
        <v>101.67</v>
      </c>
      <c r="W1434" s="6">
        <f ca="1">IFERROR(__xludf.DUMMYFUNCTION("IFERROR(GOOGLEFINANCE(B1434,""pe""),V1434)"),45.05)</f>
        <v>45.05</v>
      </c>
      <c r="X1434" s="6">
        <v>11.61</v>
      </c>
      <c r="Y1434" s="6">
        <v>17.27</v>
      </c>
      <c r="Z1434" s="6">
        <v>1</v>
      </c>
      <c r="AA1434" s="8">
        <v>45352</v>
      </c>
      <c r="AB1434" s="4">
        <v>1.04</v>
      </c>
      <c r="AC1434" s="6">
        <v>10.65</v>
      </c>
      <c r="AD1434" s="6">
        <v>13.23</v>
      </c>
      <c r="AE1434" s="1">
        <v>0</v>
      </c>
      <c r="AF1434" s="1">
        <f ca="1">IFERROR(__xludf.DUMMYFUNCTION("IFERROR(GOOGLEFINANCE(TRIM(F1434)&amp;"":"" &amp; TRIM(B1434),""high52""),AE1434)"),2108.5)</f>
        <v>2108.5</v>
      </c>
      <c r="AG1434" s="1">
        <v>0</v>
      </c>
      <c r="AH1434" s="1">
        <f ca="1">IFERROR(__xludf.DUMMYFUNCTION("IFERROR(GOOGLEFINANCE(TRIM(F1434)&amp;"":"" &amp; TRIM(B1434),""low52""),AE1434)"),799)</f>
        <v>799</v>
      </c>
      <c r="AI1434" s="1">
        <f ca="1">IFERROR(__xludf.DUMMYFUNCTION("IFERROR(GOOGLEFINANCE(B1434,""eps""),0)"),27.63)</f>
        <v>27.63</v>
      </c>
      <c r="AJ1434" s="1"/>
      <c r="AK1434" s="1" t="s">
        <v>4320</v>
      </c>
      <c r="AL1434" s="9">
        <f t="shared" si="192"/>
        <v>1</v>
      </c>
    </row>
    <row r="1435" spans="1:38" ht="15" x14ac:dyDescent="0.25">
      <c r="A1435" s="1" t="s">
        <v>4321</v>
      </c>
      <c r="B1435" s="1" t="s">
        <v>4322</v>
      </c>
      <c r="C1435" s="1" t="s">
        <v>86</v>
      </c>
      <c r="D1435" s="1" t="s">
        <v>86</v>
      </c>
      <c r="E1435" s="6">
        <v>74.849999999999994</v>
      </c>
      <c r="F1435" s="1" t="s">
        <v>53</v>
      </c>
      <c r="G1435" s="6">
        <f ca="1">IFERROR(__xludf.DUMMYFUNCTION("iferror(GOOGLEFINANCE(TRIM(F1435)&amp;"":"" &amp; TRIM(B1435), ""price""),0
)"),0)</f>
        <v>0</v>
      </c>
      <c r="H1435" s="6">
        <v>67.5</v>
      </c>
      <c r="I1435" s="6">
        <f t="shared" ca="1" si="0"/>
        <v>67.5</v>
      </c>
      <c r="J1435" s="6">
        <f ca="1">IFERROR(__xludf.DUMMYFUNCTION("IFERROR(GOOGLEFINANCE(B1435, ""volume""), 0)"),0)</f>
        <v>0</v>
      </c>
      <c r="K1435" s="12"/>
      <c r="L1435" s="6" t="str">
        <f ca="1">IFERROR(__xludf.DUMMYFUNCTION("IFERROR(GOOGLEFINANCE(B1435,""changepct""),K1435)"),"")</f>
        <v/>
      </c>
      <c r="M1435" s="6">
        <f ca="1">IFERROR(__xludf.DUMMYFUNCTION("IFERROR(GOOGLEFINANCE(B1435,""change""),0)"),0)</f>
        <v>0</v>
      </c>
      <c r="N1435" s="6">
        <v>1</v>
      </c>
      <c r="O1435" s="7">
        <v>45536</v>
      </c>
      <c r="P1435" s="6">
        <v>32.15</v>
      </c>
      <c r="Q1435" s="6">
        <v>107</v>
      </c>
      <c r="R1435" s="7">
        <v>45536</v>
      </c>
      <c r="S1435" s="6">
        <v>9.9600000000000009</v>
      </c>
      <c r="T1435" s="6">
        <v>2.17</v>
      </c>
      <c r="U1435" s="7">
        <v>45536</v>
      </c>
      <c r="V1435" s="6">
        <v>34.44</v>
      </c>
      <c r="W1435" s="6">
        <f ca="1">IFERROR(__xludf.DUMMYFUNCTION("IFERROR(GOOGLEFINANCE(B1435,""pe""),V1435)"),34.44)</f>
        <v>34.44</v>
      </c>
      <c r="X1435" s="6">
        <v>0.3</v>
      </c>
      <c r="Y1435" s="6">
        <v>1.08</v>
      </c>
      <c r="Z1435" s="6">
        <v>1</v>
      </c>
      <c r="AA1435" s="8">
        <v>45352</v>
      </c>
      <c r="AB1435" s="4">
        <v>0.39</v>
      </c>
      <c r="AC1435" s="6">
        <v>17.2</v>
      </c>
      <c r="AD1435" s="6">
        <v>16.46</v>
      </c>
      <c r="AE1435" s="1">
        <v>0</v>
      </c>
      <c r="AF1435" s="1">
        <f ca="1">IFERROR(__xludf.DUMMYFUNCTION("IFERROR(GOOGLEFINANCE(TRIM(F1435)&amp;"":"" &amp; TRIM(B1435),""high52""),AE1435)"),0)</f>
        <v>0</v>
      </c>
      <c r="AG1435" s="1">
        <v>0</v>
      </c>
      <c r="AH1435" s="1">
        <f ca="1">IFERROR(__xludf.DUMMYFUNCTION("IFERROR(GOOGLEFINANCE(TRIM(F1435)&amp;"":"" &amp; TRIM(B1435),""low52""),AE1435)"),0)</f>
        <v>0</v>
      </c>
      <c r="AI1435" s="1">
        <f ca="1">IFERROR(__xludf.DUMMYFUNCTION("IFERROR(GOOGLEFINANCE(B1435,""eps""),0)"),0)</f>
        <v>0</v>
      </c>
      <c r="AJ1435" s="1"/>
      <c r="AK1435" s="1" t="s">
        <v>4323</v>
      </c>
      <c r="AL1435" s="9">
        <f t="shared" si="192"/>
        <v>1</v>
      </c>
    </row>
    <row r="1436" spans="1:38" ht="15" x14ac:dyDescent="0.25">
      <c r="A1436" s="1" t="s">
        <v>4324</v>
      </c>
      <c r="B1436" s="1" t="s">
        <v>4325</v>
      </c>
      <c r="C1436" s="1" t="s">
        <v>1497</v>
      </c>
      <c r="D1436" s="1" t="s">
        <v>1497</v>
      </c>
      <c r="E1436" s="6">
        <v>134620.1</v>
      </c>
      <c r="F1436" s="1" t="s">
        <v>40</v>
      </c>
      <c r="G1436" s="6">
        <f ca="1">IFERROR(__xludf.DUMMYFUNCTION("iferror(GOOGLEFINANCE(TRIM(F1436)&amp;"":"" &amp; TRIM(B1436), ""price""),0
)"),936.1)</f>
        <v>936.1</v>
      </c>
      <c r="H1436" s="6">
        <v>591.85</v>
      </c>
      <c r="I1436" s="6">
        <f t="shared" ca="1" si="0"/>
        <v>936.1</v>
      </c>
      <c r="J1436" s="6">
        <f ca="1">IFERROR(__xludf.DUMMYFUNCTION("IFERROR(GOOGLEFINANCE(B1436, ""volume""), 0)"),9659915)</f>
        <v>9659915</v>
      </c>
      <c r="K1436" s="6">
        <v>-1.19</v>
      </c>
      <c r="L1436" s="6">
        <f ca="1">IFERROR(__xludf.DUMMYFUNCTION("IFERROR(GOOGLEFINANCE(B1436,""changepct""),K1436)"),3.07)</f>
        <v>3.07</v>
      </c>
      <c r="M1436" s="6">
        <f ca="1">IFERROR(__xludf.DUMMYFUNCTION("IFERROR(GOOGLEFINANCE(B1436,""change""),0)"),27.9)</f>
        <v>27.9</v>
      </c>
      <c r="N1436" s="6">
        <v>2</v>
      </c>
      <c r="O1436" s="7">
        <v>45536</v>
      </c>
      <c r="P1436" s="6">
        <v>59121</v>
      </c>
      <c r="Q1436" s="6">
        <v>183056.1</v>
      </c>
      <c r="R1436" s="7">
        <v>45536</v>
      </c>
      <c r="S1436" s="6">
        <v>224018</v>
      </c>
      <c r="T1436" s="6">
        <v>12486</v>
      </c>
      <c r="U1436" s="7">
        <v>45536</v>
      </c>
      <c r="V1436" s="6">
        <v>10.78</v>
      </c>
      <c r="W1436" s="6">
        <f ca="1">IFERROR(__xludf.DUMMYFUNCTION("IFERROR(GOOGLEFINANCE(B1436,""pe""),V1436)"),11.72)</f>
        <v>11.72</v>
      </c>
      <c r="X1436" s="6">
        <v>0.83</v>
      </c>
      <c r="Y1436" s="6">
        <v>1.17</v>
      </c>
      <c r="Z1436" s="6">
        <v>2</v>
      </c>
      <c r="AA1436" s="8">
        <v>45352</v>
      </c>
      <c r="AB1436" s="4">
        <v>0.55000000000000004</v>
      </c>
      <c r="AC1436" s="6">
        <v>10.08</v>
      </c>
      <c r="AD1436" s="6">
        <v>11.03</v>
      </c>
      <c r="AE1436" s="1">
        <v>0</v>
      </c>
      <c r="AF1436" s="1">
        <f ca="1">IFERROR(__xludf.DUMMYFUNCTION("IFERROR(GOOGLEFINANCE(TRIM(F1436)&amp;"":"" &amp; TRIM(B1436),""high52""),AE1436)"),1029.8)</f>
        <v>1029.8</v>
      </c>
      <c r="AG1436" s="1">
        <v>0</v>
      </c>
      <c r="AH1436" s="1">
        <f ca="1">IFERROR(__xludf.DUMMYFUNCTION("IFERROR(GOOGLEFINANCE(TRIM(F1436)&amp;"":"" &amp; TRIM(B1436),""low52""),AE1436)"),546.45)</f>
        <v>546.45000000000005</v>
      </c>
      <c r="AI1436" s="1">
        <f ca="1">IFERROR(__xludf.DUMMYFUNCTION("IFERROR(GOOGLEFINANCE(B1436,""eps""),0)"),79.86)</f>
        <v>79.86</v>
      </c>
      <c r="AJ1436" s="1"/>
      <c r="AK1436" s="1" t="s">
        <v>4326</v>
      </c>
      <c r="AL1436" s="9">
        <f t="shared" si="192"/>
        <v>1</v>
      </c>
    </row>
    <row r="1437" spans="1:38" ht="15" x14ac:dyDescent="0.25">
      <c r="A1437" s="1" t="s">
        <v>4327</v>
      </c>
      <c r="B1437" s="1" t="s">
        <v>4328</v>
      </c>
      <c r="C1437" s="1" t="s">
        <v>86</v>
      </c>
      <c r="D1437" s="1" t="s">
        <v>86</v>
      </c>
      <c r="E1437" s="6">
        <v>6.49</v>
      </c>
      <c r="F1437" s="1" t="s">
        <v>53</v>
      </c>
      <c r="G1437" s="6">
        <f ca="1">IFERROR(__xludf.DUMMYFUNCTION("iferror(GOOGLEFINANCE(TRIM(F1437)&amp;"":"" &amp; TRIM(B1437), ""price""),0
)"),0)</f>
        <v>0</v>
      </c>
      <c r="H1437" s="6">
        <v>19.09</v>
      </c>
      <c r="I1437" s="6">
        <f t="shared" ca="1" si="0"/>
        <v>19.09</v>
      </c>
      <c r="J1437" s="6">
        <f ca="1">IFERROR(__xludf.DUMMYFUNCTION("IFERROR(GOOGLEFINANCE(B1437, ""volume""), 0)"),0)</f>
        <v>0</v>
      </c>
      <c r="K1437" s="6">
        <v>4.95</v>
      </c>
      <c r="L1437" s="6">
        <f ca="1">IFERROR(__xludf.DUMMYFUNCTION("IFERROR(GOOGLEFINANCE(B1437,""changepct""),K1437)"),4.95)</f>
        <v>4.95</v>
      </c>
      <c r="M1437" s="6">
        <f ca="1">IFERROR(__xludf.DUMMYFUNCTION("IFERROR(GOOGLEFINANCE(B1437,""change""),0)"),0)</f>
        <v>0</v>
      </c>
      <c r="N1437" s="6">
        <v>1</v>
      </c>
      <c r="O1437" s="7">
        <v>45536</v>
      </c>
      <c r="P1437" s="6">
        <v>17.34</v>
      </c>
      <c r="Q1437" s="6">
        <v>23.4</v>
      </c>
      <c r="R1437" s="7">
        <v>45536</v>
      </c>
      <c r="S1437" s="6">
        <v>2.13</v>
      </c>
      <c r="T1437" s="6">
        <v>-0.03</v>
      </c>
      <c r="U1437" s="7">
        <v>45536</v>
      </c>
      <c r="V1437" s="6">
        <v>0</v>
      </c>
      <c r="W1437" s="6">
        <f ca="1">IFERROR(__xludf.DUMMYFUNCTION("IFERROR(GOOGLEFINANCE(B1437,""pe""),V1437)"),0)</f>
        <v>0</v>
      </c>
      <c r="X1437" s="9"/>
      <c r="Y1437" s="6">
        <v>1.81</v>
      </c>
      <c r="Z1437" s="6">
        <v>1</v>
      </c>
      <c r="AA1437" s="8">
        <v>45352</v>
      </c>
      <c r="AB1437" s="4">
        <v>4.92</v>
      </c>
      <c r="AC1437" s="6">
        <v>-5.43</v>
      </c>
      <c r="AD1437" s="6">
        <v>-0.51</v>
      </c>
      <c r="AE1437" s="1">
        <v>0</v>
      </c>
      <c r="AF1437" s="1">
        <f ca="1">IFERROR(__xludf.DUMMYFUNCTION("IFERROR(GOOGLEFINANCE(TRIM(F1437)&amp;"":"" &amp; TRIM(B1437),""high52""),AE1437)"),0)</f>
        <v>0</v>
      </c>
      <c r="AG1437" s="1">
        <v>0</v>
      </c>
      <c r="AH1437" s="1">
        <f ca="1">IFERROR(__xludf.DUMMYFUNCTION("IFERROR(GOOGLEFINANCE(TRIM(F1437)&amp;"":"" &amp; TRIM(B1437),""low52""),AE1437)"),0)</f>
        <v>0</v>
      </c>
      <c r="AI1437" s="1">
        <f ca="1">IFERROR(__xludf.DUMMYFUNCTION("IFERROR(GOOGLEFINANCE(B1437,""eps""),0)"),0)</f>
        <v>0</v>
      </c>
      <c r="AJ1437" s="1"/>
      <c r="AK1437" s="1" t="s">
        <v>4329</v>
      </c>
      <c r="AL1437" s="9">
        <f t="shared" si="192"/>
        <v>1</v>
      </c>
    </row>
    <row r="1438" spans="1:38" ht="15" x14ac:dyDescent="0.25">
      <c r="A1438" s="1" t="s">
        <v>4330</v>
      </c>
      <c r="B1438" s="1" t="s">
        <v>4331</v>
      </c>
      <c r="C1438" s="1" t="s">
        <v>86</v>
      </c>
      <c r="D1438" s="1" t="s">
        <v>86</v>
      </c>
      <c r="E1438" s="6">
        <v>7.9</v>
      </c>
      <c r="F1438" s="1" t="s">
        <v>53</v>
      </c>
      <c r="G1438" s="6">
        <f ca="1">IFERROR(__xludf.DUMMYFUNCTION("iferror(GOOGLEFINANCE(TRIM(F1438)&amp;"":"" &amp; TRIM(B1438), ""price""),0
)"),0)</f>
        <v>0</v>
      </c>
      <c r="H1438" s="6">
        <v>18.5</v>
      </c>
      <c r="I1438" s="6">
        <f t="shared" ca="1" si="0"/>
        <v>18.5</v>
      </c>
      <c r="J1438" s="6">
        <f ca="1">IFERROR(__xludf.DUMMYFUNCTION("IFERROR(GOOGLEFINANCE(B1438, ""volume""), 0)"),0)</f>
        <v>0</v>
      </c>
      <c r="K1438" s="6">
        <v>-3.09</v>
      </c>
      <c r="L1438" s="6">
        <f ca="1">IFERROR(__xludf.DUMMYFUNCTION("IFERROR(GOOGLEFINANCE(B1438,""changepct""),K1438)"),-3.09)</f>
        <v>-3.09</v>
      </c>
      <c r="M1438" s="6">
        <f ca="1">IFERROR(__xludf.DUMMYFUNCTION("IFERROR(GOOGLEFINANCE(B1438,""change""),0)"),0)</f>
        <v>0</v>
      </c>
      <c r="N1438" s="6">
        <v>1</v>
      </c>
      <c r="O1438" s="7">
        <v>45536</v>
      </c>
      <c r="P1438" s="9"/>
      <c r="Q1438" s="6">
        <v>7.9</v>
      </c>
      <c r="R1438" s="7">
        <v>45536</v>
      </c>
      <c r="S1438" s="6">
        <v>0</v>
      </c>
      <c r="T1438" s="6">
        <v>-0.61</v>
      </c>
      <c r="U1438" s="7">
        <v>45536</v>
      </c>
      <c r="V1438" s="6">
        <v>0</v>
      </c>
      <c r="W1438" s="6">
        <f ca="1">IFERROR(__xludf.DUMMYFUNCTION("IFERROR(GOOGLEFINANCE(B1438,""pe""),V1438)"),0)</f>
        <v>0</v>
      </c>
      <c r="X1438" s="9"/>
      <c r="Y1438" s="6">
        <v>-4.29</v>
      </c>
      <c r="Z1438" s="6">
        <v>1</v>
      </c>
      <c r="AA1438" s="8">
        <v>45352</v>
      </c>
      <c r="AB1438" s="4">
        <v>0</v>
      </c>
      <c r="AC1438" s="6">
        <v>0</v>
      </c>
      <c r="AD1438" s="6">
        <v>0</v>
      </c>
      <c r="AE1438" s="1">
        <v>0</v>
      </c>
      <c r="AF1438" s="1">
        <f ca="1">IFERROR(__xludf.DUMMYFUNCTION("IFERROR(GOOGLEFINANCE(TRIM(F1438)&amp;"":"" &amp; TRIM(B1438),""high52""),AE1438)"),0)</f>
        <v>0</v>
      </c>
      <c r="AG1438" s="1">
        <v>0</v>
      </c>
      <c r="AH1438" s="1">
        <f ca="1">IFERROR(__xludf.DUMMYFUNCTION("IFERROR(GOOGLEFINANCE(TRIM(F1438)&amp;"":"" &amp; TRIM(B1438),""low52""),AE1438)"),0)</f>
        <v>0</v>
      </c>
      <c r="AI1438" s="1">
        <f ca="1">IFERROR(__xludf.DUMMYFUNCTION("IFERROR(GOOGLEFINANCE(B1438,""eps""),0)"),0)</f>
        <v>0</v>
      </c>
      <c r="AJ1438" s="1"/>
      <c r="AK1438" s="1" t="s">
        <v>4332</v>
      </c>
      <c r="AL1438" s="9">
        <f t="shared" si="192"/>
        <v>1</v>
      </c>
    </row>
    <row r="1439" spans="1:38" ht="15" x14ac:dyDescent="0.25">
      <c r="A1439" s="1" t="s">
        <v>4333</v>
      </c>
      <c r="B1439" s="1" t="s">
        <v>4334</v>
      </c>
      <c r="C1439" s="1" t="s">
        <v>135</v>
      </c>
      <c r="D1439" s="1" t="s">
        <v>135</v>
      </c>
      <c r="E1439" s="6">
        <v>229.59</v>
      </c>
      <c r="F1439" s="1" t="s">
        <v>40</v>
      </c>
      <c r="G1439" s="6">
        <f ca="1">IFERROR(__xludf.DUMMYFUNCTION("iferror(GOOGLEFINANCE(TRIM(F1439)&amp;"":"" &amp; TRIM(B1439), ""price""),0
)"),21.58)</f>
        <v>21.58</v>
      </c>
      <c r="H1439" s="6">
        <v>44.99</v>
      </c>
      <c r="I1439" s="6">
        <f t="shared" ca="1" si="0"/>
        <v>21.58</v>
      </c>
      <c r="J1439" s="6">
        <f ca="1">IFERROR(__xludf.DUMMYFUNCTION("IFERROR(GOOGLEFINANCE(B1439, ""volume""), 0)"),20704)</f>
        <v>20704</v>
      </c>
      <c r="K1439" s="6">
        <v>0.31</v>
      </c>
      <c r="L1439" s="6">
        <f ca="1">IFERROR(__xludf.DUMMYFUNCTION("IFERROR(GOOGLEFINANCE(B1439,""changepct""),K1439)"),-6.01)</f>
        <v>-6.01</v>
      </c>
      <c r="M1439" s="6">
        <f ca="1">IFERROR(__xludf.DUMMYFUNCTION("IFERROR(GOOGLEFINANCE(B1439,""change""),0)"),-1.38)</f>
        <v>-1.38</v>
      </c>
      <c r="N1439" s="6">
        <v>2</v>
      </c>
      <c r="O1439" s="7">
        <v>45536</v>
      </c>
      <c r="P1439" s="6">
        <v>0.61</v>
      </c>
      <c r="Q1439" s="6">
        <v>219.71</v>
      </c>
      <c r="R1439" s="7">
        <v>45536</v>
      </c>
      <c r="S1439" s="6">
        <v>53.65</v>
      </c>
      <c r="T1439" s="6">
        <v>4.71</v>
      </c>
      <c r="U1439" s="7">
        <v>45536</v>
      </c>
      <c r="V1439" s="6">
        <v>49.13</v>
      </c>
      <c r="W1439" s="6">
        <f ca="1">IFERROR(__xludf.DUMMYFUNCTION("IFERROR(GOOGLEFINANCE(B1439,""pe""),V1439)"),20.91)</f>
        <v>20.91</v>
      </c>
      <c r="X1439" s="6">
        <v>2.89</v>
      </c>
      <c r="Y1439" s="6">
        <v>4.22</v>
      </c>
      <c r="Z1439" s="6">
        <v>2</v>
      </c>
      <c r="AA1439" s="8">
        <v>45352</v>
      </c>
      <c r="AB1439" s="4">
        <v>0</v>
      </c>
      <c r="AC1439" s="6">
        <v>13.5</v>
      </c>
      <c r="AD1439" s="6">
        <v>18.07</v>
      </c>
      <c r="AE1439" s="1">
        <v>0</v>
      </c>
      <c r="AF1439" s="1">
        <f ca="1">IFERROR(__xludf.DUMMYFUNCTION("IFERROR(GOOGLEFINANCE(TRIM(F1439)&amp;"":"" &amp; TRIM(B1439),""high52""),AE1439)"),43.39)</f>
        <v>43.39</v>
      </c>
      <c r="AG1439" s="1">
        <v>0</v>
      </c>
      <c r="AH1439" s="1">
        <f ca="1">IFERROR(__xludf.DUMMYFUNCTION("IFERROR(GOOGLEFINANCE(TRIM(F1439)&amp;"":"" &amp; TRIM(B1439),""low52""),AE1439)"),19.61)</f>
        <v>19.61</v>
      </c>
      <c r="AI1439" s="1">
        <f ca="1">IFERROR(__xludf.DUMMYFUNCTION("IFERROR(GOOGLEFINANCE(B1439,""eps""),0)"),1.03)</f>
        <v>1.03</v>
      </c>
      <c r="AJ1439" s="1"/>
      <c r="AK1439" s="1" t="s">
        <v>4335</v>
      </c>
      <c r="AL1439" s="9">
        <f t="shared" si="192"/>
        <v>1</v>
      </c>
    </row>
    <row r="1440" spans="1:38" ht="15" x14ac:dyDescent="0.25">
      <c r="A1440" s="1" t="s">
        <v>4336</v>
      </c>
      <c r="B1440" s="1" t="s">
        <v>4337</v>
      </c>
      <c r="C1440" s="1" t="s">
        <v>584</v>
      </c>
      <c r="D1440" s="1" t="s">
        <v>584</v>
      </c>
      <c r="E1440" s="6">
        <v>175.76</v>
      </c>
      <c r="F1440" s="1" t="s">
        <v>40</v>
      </c>
      <c r="G1440" s="6">
        <f ca="1">IFERROR(__xludf.DUMMYFUNCTION("iferror(GOOGLEFINANCE(TRIM(F1440)&amp;"":"" &amp; TRIM(B1440), ""price""),0
)"),127)</f>
        <v>127</v>
      </c>
      <c r="H1440" s="6">
        <v>147.24</v>
      </c>
      <c r="I1440" s="6">
        <f t="shared" ca="1" si="0"/>
        <v>127</v>
      </c>
      <c r="J1440" s="6">
        <f ca="1">IFERROR(__xludf.DUMMYFUNCTION("IFERROR(GOOGLEFINANCE(B1440, ""volume""), 0)"),133033)</f>
        <v>133033</v>
      </c>
      <c r="K1440" s="6">
        <v>-4.0999999999999996</v>
      </c>
      <c r="L1440" s="6">
        <f ca="1">IFERROR(__xludf.DUMMYFUNCTION("IFERROR(GOOGLEFINANCE(B1440,""changepct""),K1440)"),0)</f>
        <v>0</v>
      </c>
      <c r="M1440" s="6">
        <f ca="1">IFERROR(__xludf.DUMMYFUNCTION("IFERROR(GOOGLEFINANCE(B1440,""change""),0)"),0)</f>
        <v>0</v>
      </c>
      <c r="N1440" s="6">
        <v>1</v>
      </c>
      <c r="O1440" s="7">
        <v>45536</v>
      </c>
      <c r="P1440" s="6">
        <v>23.92</v>
      </c>
      <c r="Q1440" s="6">
        <v>198.99</v>
      </c>
      <c r="R1440" s="7">
        <v>45536</v>
      </c>
      <c r="S1440" s="6">
        <v>84.74</v>
      </c>
      <c r="T1440" s="6">
        <v>1.87</v>
      </c>
      <c r="U1440" s="7">
        <v>45536</v>
      </c>
      <c r="V1440" s="6">
        <v>94.19</v>
      </c>
      <c r="W1440" s="6">
        <f ca="1">IFERROR(__xludf.DUMMYFUNCTION("IFERROR(GOOGLEFINANCE(B1440,""pe""),V1440)"),94.19)</f>
        <v>94.19</v>
      </c>
      <c r="X1440" s="9"/>
      <c r="Y1440" s="6">
        <v>3.45</v>
      </c>
      <c r="Z1440" s="6">
        <v>2</v>
      </c>
      <c r="AA1440" s="8">
        <v>45352</v>
      </c>
      <c r="AB1440" s="4">
        <v>0.45</v>
      </c>
      <c r="AC1440" s="6">
        <v>3.42</v>
      </c>
      <c r="AD1440" s="6">
        <v>6.99</v>
      </c>
      <c r="AE1440" s="1">
        <v>0</v>
      </c>
      <c r="AF1440" s="1">
        <f ca="1">IFERROR(__xludf.DUMMYFUNCTION("IFERROR(GOOGLEFINANCE(TRIM(F1440)&amp;"":"" &amp; TRIM(B1440),""high52""),AE1440)"),175.88)</f>
        <v>175.88</v>
      </c>
      <c r="AG1440" s="1">
        <v>0</v>
      </c>
      <c r="AH1440" s="1">
        <f ca="1">IFERROR(__xludf.DUMMYFUNCTION("IFERROR(GOOGLEFINANCE(TRIM(F1440)&amp;"":"" &amp; TRIM(B1440),""low52""),AE1440)"),110.4)</f>
        <v>110.4</v>
      </c>
      <c r="AI1440" s="1">
        <f ca="1">IFERROR(__xludf.DUMMYFUNCTION("IFERROR(GOOGLEFINANCE(B1440,""eps""),0)"),0)</f>
        <v>0</v>
      </c>
      <c r="AJ1440" s="1"/>
      <c r="AK1440" s="1" t="s">
        <v>4338</v>
      </c>
      <c r="AL1440" s="9">
        <f t="shared" si="192"/>
        <v>1</v>
      </c>
    </row>
    <row r="1441" spans="1:38" ht="15" x14ac:dyDescent="0.25">
      <c r="A1441" s="1" t="s">
        <v>4339</v>
      </c>
      <c r="B1441" s="1" t="s">
        <v>4340</v>
      </c>
      <c r="C1441" s="1" t="s">
        <v>90</v>
      </c>
      <c r="D1441" s="1" t="s">
        <v>90</v>
      </c>
      <c r="E1441" s="6">
        <v>3259.91</v>
      </c>
      <c r="F1441" s="1" t="s">
        <v>40</v>
      </c>
      <c r="G1441" s="6">
        <f ca="1">IFERROR(__xludf.DUMMYFUNCTION("iferror(GOOGLEFINANCE(TRIM(F1441)&amp;"":"" &amp; TRIM(B1441), ""price""),0
)"),400)</f>
        <v>400</v>
      </c>
      <c r="H1441" s="6">
        <v>703.95</v>
      </c>
      <c r="I1441" s="6">
        <f t="shared" ca="1" si="0"/>
        <v>400</v>
      </c>
      <c r="J1441" s="6">
        <f ca="1">IFERROR(__xludf.DUMMYFUNCTION("IFERROR(GOOGLEFINANCE(B1441, ""volume""), 0)"),12787)</f>
        <v>12787</v>
      </c>
      <c r="K1441" s="6">
        <v>0.49</v>
      </c>
      <c r="L1441" s="6">
        <f ca="1">IFERROR(__xludf.DUMMYFUNCTION("IFERROR(GOOGLEFINANCE(B1441,""changepct""),K1441)"),-1.05)</f>
        <v>-1.05</v>
      </c>
      <c r="M1441" s="6">
        <f ca="1">IFERROR(__xludf.DUMMYFUNCTION("IFERROR(GOOGLEFINANCE(B1441,""change""),0)"),-4.25)</f>
        <v>-4.25</v>
      </c>
      <c r="N1441" s="6">
        <v>2</v>
      </c>
      <c r="O1441" s="7">
        <v>45536</v>
      </c>
      <c r="P1441" s="6">
        <v>1257.0999999999999</v>
      </c>
      <c r="Q1441" s="6">
        <v>3699.85</v>
      </c>
      <c r="R1441" s="7">
        <v>45536</v>
      </c>
      <c r="S1441" s="6">
        <v>4481.4399999999996</v>
      </c>
      <c r="T1441" s="6">
        <v>-11.43</v>
      </c>
      <c r="U1441" s="7">
        <v>45536</v>
      </c>
      <c r="V1441" s="6">
        <v>14.76</v>
      </c>
      <c r="W1441" s="6">
        <f ca="1">IFERROR(__xludf.DUMMYFUNCTION("IFERROR(GOOGLEFINANCE(B1441,""pe""),V1441)"),14.76)</f>
        <v>14.76</v>
      </c>
      <c r="X1441" s="6">
        <v>-2.66</v>
      </c>
      <c r="Y1441" s="6">
        <v>0.43</v>
      </c>
      <c r="Z1441" s="6">
        <v>2</v>
      </c>
      <c r="AA1441" s="8">
        <v>45352</v>
      </c>
      <c r="AB1441" s="4">
        <v>0.22</v>
      </c>
      <c r="AC1441" s="6">
        <v>1.64</v>
      </c>
      <c r="AD1441" s="6">
        <v>3.27</v>
      </c>
      <c r="AE1441" s="1">
        <v>0</v>
      </c>
      <c r="AF1441" s="1">
        <f ca="1">IFERROR(__xludf.DUMMYFUNCTION("IFERROR(GOOGLEFINANCE(TRIM(F1441)&amp;"":"" &amp; TRIM(B1441),""high52""),AE1441)"),632.85)</f>
        <v>632.85</v>
      </c>
      <c r="AG1441" s="1">
        <v>0</v>
      </c>
      <c r="AH1441" s="1">
        <f ca="1">IFERROR(__xludf.DUMMYFUNCTION("IFERROR(GOOGLEFINANCE(TRIM(F1441)&amp;"":"" &amp; TRIM(B1441),""low52""),AE1441)"),390)</f>
        <v>390</v>
      </c>
      <c r="AI1441" s="1">
        <f ca="1">IFERROR(__xludf.DUMMYFUNCTION("IFERROR(GOOGLEFINANCE(B1441,""eps""),0)"),-0.2)</f>
        <v>-0.2</v>
      </c>
      <c r="AJ1441" s="1"/>
      <c r="AK1441" s="1" t="s">
        <v>4341</v>
      </c>
      <c r="AL1441" s="1" t="b">
        <f>ISNUMBER(AA1441)</f>
        <v>1</v>
      </c>
    </row>
    <row r="1442" spans="1:38" ht="15" x14ac:dyDescent="0.25">
      <c r="A1442" s="1" t="s">
        <v>4342</v>
      </c>
      <c r="B1442" s="1" t="s">
        <v>4343</v>
      </c>
      <c r="C1442" s="1" t="s">
        <v>1019</v>
      </c>
      <c r="D1442" s="1" t="s">
        <v>1019</v>
      </c>
      <c r="E1442" s="6">
        <v>283263</v>
      </c>
      <c r="F1442" s="1" t="s">
        <v>40</v>
      </c>
      <c r="G1442" s="6">
        <f ca="1">IFERROR(__xludf.DUMMYFUNCTION("iferror(GOOGLEFINANCE(TRIM(F1442)&amp;"":"" &amp; TRIM(B1442), ""price""),0
)"),4348)</f>
        <v>4348</v>
      </c>
      <c r="H1442" s="6">
        <v>4225.25</v>
      </c>
      <c r="I1442" s="6">
        <f t="shared" ca="1" si="0"/>
        <v>4348</v>
      </c>
      <c r="J1442" s="6">
        <f ca="1">IFERROR(__xludf.DUMMYFUNCTION("IFERROR(GOOGLEFINANCE(B1442, ""volume""), 0)"),122819)</f>
        <v>122819</v>
      </c>
      <c r="K1442" s="6">
        <v>-0.25</v>
      </c>
      <c r="L1442" s="6">
        <f ca="1">IFERROR(__xludf.DUMMYFUNCTION("IFERROR(GOOGLEFINANCE(B1442,""changepct""),K1442)"),0.39)</f>
        <v>0.39</v>
      </c>
      <c r="M1442" s="6">
        <f ca="1">IFERROR(__xludf.DUMMYFUNCTION("IFERROR(GOOGLEFINANCE(B1442,""change""),0)"),0.13)</f>
        <v>0.13</v>
      </c>
      <c r="N1442" s="6">
        <v>2</v>
      </c>
      <c r="O1442" s="7">
        <v>45536</v>
      </c>
      <c r="P1442" s="9"/>
      <c r="Q1442" s="6">
        <v>254354.7</v>
      </c>
      <c r="R1442" s="7">
        <v>45536</v>
      </c>
      <c r="S1442" s="6">
        <v>31153.82</v>
      </c>
      <c r="T1442" s="6">
        <v>8481.2999999999993</v>
      </c>
      <c r="U1442" s="7">
        <v>45536</v>
      </c>
      <c r="V1442" s="6">
        <v>33.26</v>
      </c>
      <c r="W1442" s="6">
        <f ca="1">IFERROR(__xludf.DUMMYFUNCTION("IFERROR(GOOGLEFINANCE(B1442,""pe""),V1442)"),22.29)</f>
        <v>22.29</v>
      </c>
      <c r="X1442" s="6">
        <v>1.24</v>
      </c>
      <c r="Y1442" s="6">
        <v>9.08</v>
      </c>
      <c r="Z1442" s="6">
        <v>2</v>
      </c>
      <c r="AA1442" s="8">
        <v>45352</v>
      </c>
      <c r="AB1442" s="4">
        <v>0</v>
      </c>
      <c r="AC1442" s="6">
        <v>28.92</v>
      </c>
      <c r="AD1442" s="6">
        <v>38.89</v>
      </c>
      <c r="AE1442" s="1">
        <v>0</v>
      </c>
      <c r="AF1442" s="1">
        <f ca="1">IFERROR(__xludf.DUMMYFUNCTION("IFERROR(GOOGLEFINANCE(TRIM(F1442)&amp;"":"" &amp; TRIM(B1442),""high52""),AE1442)"),5165)</f>
        <v>5165</v>
      </c>
      <c r="AG1442" s="1">
        <v>0</v>
      </c>
      <c r="AH1442" s="1">
        <f ca="1">IFERROR(__xludf.DUMMYFUNCTION("IFERROR(GOOGLEFINANCE(TRIM(F1442)&amp;"":"" &amp; TRIM(B1442),""low52""),AE1442)"),3046.05)</f>
        <v>3046.05</v>
      </c>
      <c r="AI1442" s="1">
        <f ca="1">IFERROR(__xludf.DUMMYFUNCTION("IFERROR(GOOGLEFINANCE(B1442,""eps""),0)"),1.5)</f>
        <v>1.5</v>
      </c>
      <c r="AJ1442" s="1"/>
      <c r="AK1442" s="1" t="s">
        <v>4344</v>
      </c>
      <c r="AL1442" s="9">
        <f>IF(AA1442&lt;&gt;AB1442,1,0)</f>
        <v>1</v>
      </c>
    </row>
    <row r="1443" spans="1:38" ht="15" x14ac:dyDescent="0.25">
      <c r="A1443" s="1" t="s">
        <v>4345</v>
      </c>
      <c r="B1443" s="1" t="s">
        <v>4346</v>
      </c>
      <c r="C1443" s="1" t="s">
        <v>355</v>
      </c>
      <c r="D1443" s="1" t="s">
        <v>355</v>
      </c>
      <c r="E1443" s="6">
        <v>827.65</v>
      </c>
      <c r="F1443" s="1" t="s">
        <v>40</v>
      </c>
      <c r="G1443" s="6">
        <f ca="1">IFERROR(__xludf.DUMMYFUNCTION("iferror(GOOGLEFINANCE(TRIM(F1443)&amp;"":"" &amp; TRIM(B1443), ""price""),0
)"),400.9)</f>
        <v>400.9</v>
      </c>
      <c r="H1443" s="6">
        <v>563.6</v>
      </c>
      <c r="I1443" s="6">
        <f t="shared" ca="1" si="0"/>
        <v>400.9</v>
      </c>
      <c r="J1443" s="6">
        <f ca="1">IFERROR(__xludf.DUMMYFUNCTION("IFERROR(GOOGLEFINANCE(B1443, ""volume""), 0)"),2340)</f>
        <v>2340</v>
      </c>
      <c r="K1443" s="6">
        <v>0.66</v>
      </c>
      <c r="L1443" s="6">
        <f ca="1">IFERROR(__xludf.DUMMYFUNCTION("IFERROR(GOOGLEFINANCE(B1443,""changepct""),K1443)"),-0.91)</f>
        <v>-0.91</v>
      </c>
      <c r="M1443" s="6">
        <f ca="1">IFERROR(__xludf.DUMMYFUNCTION("IFERROR(GOOGLEFINANCE(B1443,""change""),0)"),-3.7)</f>
        <v>-3.7</v>
      </c>
      <c r="N1443" s="6">
        <v>2</v>
      </c>
      <c r="O1443" s="7">
        <v>45536</v>
      </c>
      <c r="P1443" s="6">
        <v>7.0000000000000007E-2</v>
      </c>
      <c r="Q1443" s="6">
        <v>822.35</v>
      </c>
      <c r="R1443" s="7">
        <v>45536</v>
      </c>
      <c r="S1443" s="6">
        <v>304.36</v>
      </c>
      <c r="T1443" s="6">
        <v>32.39</v>
      </c>
      <c r="U1443" s="7">
        <v>45536</v>
      </c>
      <c r="V1443" s="6">
        <v>25.55</v>
      </c>
      <c r="W1443" s="6">
        <f ca="1">IFERROR(__xludf.DUMMYFUNCTION("IFERROR(GOOGLEFINANCE(B1443,""pe""),V1443)"),19.88)</f>
        <v>19.88</v>
      </c>
      <c r="X1443" s="6">
        <v>1.77</v>
      </c>
      <c r="Y1443" s="6">
        <v>0.77</v>
      </c>
      <c r="Z1443" s="6">
        <v>2</v>
      </c>
      <c r="AA1443" s="8">
        <v>45352</v>
      </c>
      <c r="AB1443" s="4">
        <v>0</v>
      </c>
      <c r="AC1443" s="6">
        <v>3.61</v>
      </c>
      <c r="AD1443" s="6">
        <v>4.47</v>
      </c>
      <c r="AE1443" s="1">
        <v>0</v>
      </c>
      <c r="AF1443" s="1">
        <f ca="1">IFERROR(__xludf.DUMMYFUNCTION("IFERROR(GOOGLEFINANCE(TRIM(F1443)&amp;"":"" &amp; TRIM(B1443),""high52""),AE1443)"),537.75)</f>
        <v>537.75</v>
      </c>
      <c r="AG1443" s="1">
        <v>0</v>
      </c>
      <c r="AH1443" s="1">
        <f ca="1">IFERROR(__xludf.DUMMYFUNCTION("IFERROR(GOOGLEFINANCE(TRIM(F1443)&amp;"":"" &amp; TRIM(B1443),""low52""),AE1443)"),395)</f>
        <v>395</v>
      </c>
      <c r="AI1443" s="1">
        <f ca="1">IFERROR(__xludf.DUMMYFUNCTION("IFERROR(GOOGLEFINANCE(B1443,""eps""),0)"),20.16)</f>
        <v>20.16</v>
      </c>
      <c r="AJ1443" s="1"/>
      <c r="AK1443" s="1" t="s">
        <v>4347</v>
      </c>
      <c r="AL1443" s="1" t="b">
        <f>ISNUMBER(AA1443)</f>
        <v>1</v>
      </c>
    </row>
    <row r="1444" spans="1:38" ht="15" x14ac:dyDescent="0.25">
      <c r="A1444" s="1" t="s">
        <v>4348</v>
      </c>
      <c r="B1444" s="1" t="s">
        <v>4349</v>
      </c>
      <c r="C1444" s="1" t="s">
        <v>86</v>
      </c>
      <c r="D1444" s="1" t="s">
        <v>86</v>
      </c>
      <c r="E1444" s="6">
        <v>7350.31</v>
      </c>
      <c r="F1444" s="1" t="s">
        <v>40</v>
      </c>
      <c r="G1444" s="6">
        <f ca="1">IFERROR(__xludf.DUMMYFUNCTION("iferror(GOOGLEFINANCE(TRIM(F1444)&amp;"":"" &amp; TRIM(B1444), ""price""),0
)"),19.34)</f>
        <v>19.34</v>
      </c>
      <c r="H1444" s="6">
        <v>40.83</v>
      </c>
      <c r="I1444" s="6">
        <f t="shared" ca="1" si="0"/>
        <v>19.34</v>
      </c>
      <c r="J1444" s="6">
        <f ca="1">IFERROR(__xludf.DUMMYFUNCTION("IFERROR(GOOGLEFINANCE(B1444, ""volume""), 0)"),31)</f>
        <v>31</v>
      </c>
      <c r="K1444" s="6">
        <v>1.1399999999999999</v>
      </c>
      <c r="L1444" s="6">
        <f ca="1">IFERROR(__xludf.DUMMYFUNCTION("IFERROR(GOOGLEFINANCE(B1444,""changepct""),K1444)"),-3.03)</f>
        <v>-3.03</v>
      </c>
      <c r="M1444" s="6">
        <f ca="1">IFERROR(__xludf.DUMMYFUNCTION("IFERROR(GOOGLEFINANCE(B1444,""change""),0)"),-2.79)</f>
        <v>-2.79</v>
      </c>
      <c r="N1444" s="6">
        <v>2</v>
      </c>
      <c r="O1444" s="7">
        <v>45536</v>
      </c>
      <c r="P1444" s="6">
        <v>2118.5100000000002</v>
      </c>
      <c r="Q1444" s="6">
        <v>8836.73</v>
      </c>
      <c r="R1444" s="7">
        <v>45536</v>
      </c>
      <c r="S1444" s="6">
        <v>6470.46</v>
      </c>
      <c r="T1444" s="6">
        <v>473.92</v>
      </c>
      <c r="U1444" s="7">
        <v>45536</v>
      </c>
      <c r="V1444" s="6">
        <v>15.01</v>
      </c>
      <c r="W1444" s="6">
        <f ca="1">IFERROR(__xludf.DUMMYFUNCTION("IFERROR(GOOGLEFINANCE(B1444,""pe""),V1444)"),133.78)</f>
        <v>133.78</v>
      </c>
      <c r="X1444" s="6">
        <v>1.95</v>
      </c>
      <c r="Y1444" s="6">
        <v>8.51</v>
      </c>
      <c r="Z1444" s="6">
        <v>2</v>
      </c>
      <c r="AA1444" s="8">
        <v>45352</v>
      </c>
      <c r="AB1444" s="4">
        <v>-12.5</v>
      </c>
      <c r="AC1444" s="6">
        <v>0</v>
      </c>
      <c r="AD1444" s="6">
        <v>48.8</v>
      </c>
      <c r="AE1444" s="1">
        <v>0</v>
      </c>
      <c r="AF1444" s="1">
        <f ca="1">IFERROR(__xludf.DUMMYFUNCTION("IFERROR(GOOGLEFINANCE(TRIM(F1444)&amp;"":"" &amp; TRIM(B1444),""high52""),AE1444)"),31.46)</f>
        <v>31.46</v>
      </c>
      <c r="AG1444" s="1">
        <v>0</v>
      </c>
      <c r="AH1444" s="1">
        <f ca="1">IFERROR(__xludf.DUMMYFUNCTION("IFERROR(GOOGLEFINANCE(TRIM(F1444)&amp;"":"" &amp; TRIM(B1444),""low52""),AE1444)"),16.92)</f>
        <v>16.920000000000002</v>
      </c>
      <c r="AI1444" s="1">
        <f ca="1">IFERROR(__xludf.DUMMYFUNCTION("IFERROR(GOOGLEFINANCE(B1444,""eps""),0)"),0.67)</f>
        <v>0.67</v>
      </c>
      <c r="AJ1444" s="1"/>
      <c r="AK1444" s="1" t="s">
        <v>4350</v>
      </c>
      <c r="AL1444" s="9">
        <f t="shared" ref="AL1444:AL1447" si="193">IF(AA1444&lt;&gt;AB1444,1,0)</f>
        <v>1</v>
      </c>
    </row>
    <row r="1445" spans="1:38" ht="15" x14ac:dyDescent="0.25">
      <c r="A1445" s="1" t="s">
        <v>4351</v>
      </c>
      <c r="B1445" s="1" t="s">
        <v>4352</v>
      </c>
      <c r="C1445" s="1" t="s">
        <v>1497</v>
      </c>
      <c r="D1445" s="1" t="s">
        <v>1497</v>
      </c>
      <c r="E1445" s="6">
        <v>24141.75</v>
      </c>
      <c r="F1445" s="1" t="s">
        <v>40</v>
      </c>
      <c r="G1445" s="6">
        <f ca="1">IFERROR(__xludf.DUMMYFUNCTION("iferror(GOOGLEFINANCE(TRIM(F1445)&amp;"":"" &amp; TRIM(B1445), ""price""),0
)"),610)</f>
        <v>610</v>
      </c>
      <c r="H1445" s="6">
        <v>249.85</v>
      </c>
      <c r="I1445" s="6">
        <f t="shared" ca="1" si="0"/>
        <v>610</v>
      </c>
      <c r="J1445" s="6">
        <f ca="1">IFERROR(__xludf.DUMMYFUNCTION("IFERROR(GOOGLEFINANCE(B1445, ""volume""), 0)"),70707887)</f>
        <v>70707887</v>
      </c>
      <c r="K1445" s="6">
        <v>0.04</v>
      </c>
      <c r="L1445" s="6">
        <f ca="1">IFERROR(__xludf.DUMMYFUNCTION("IFERROR(GOOGLEFINANCE(B1445,""changepct""),K1445)"),1.79)</f>
        <v>1.79</v>
      </c>
      <c r="M1445" s="6">
        <f ca="1">IFERROR(__xludf.DUMMYFUNCTION("IFERROR(GOOGLEFINANCE(B1445,""change""),0)"),10.75)</f>
        <v>10.75</v>
      </c>
      <c r="N1445" s="6">
        <v>2</v>
      </c>
      <c r="O1445" s="7">
        <v>45536</v>
      </c>
      <c r="P1445" s="6">
        <v>91.5</v>
      </c>
      <c r="Q1445" s="6">
        <v>24090.52</v>
      </c>
      <c r="R1445" s="7">
        <v>45536</v>
      </c>
      <c r="S1445" s="6">
        <v>1976.45</v>
      </c>
      <c r="T1445" s="6">
        <v>402.82</v>
      </c>
      <c r="U1445" s="7">
        <v>45536</v>
      </c>
      <c r="V1445" s="6">
        <v>59.99</v>
      </c>
      <c r="W1445" s="6">
        <f ca="1">IFERROR(__xludf.DUMMYFUNCTION("IFERROR(GOOGLEFINANCE(B1445,""pe""),V1445)"),104.2)</f>
        <v>104.2</v>
      </c>
      <c r="X1445" s="6">
        <v>3.94</v>
      </c>
      <c r="Y1445" s="6">
        <v>10.029999999999999</v>
      </c>
      <c r="Z1445" s="6">
        <v>2</v>
      </c>
      <c r="AA1445" s="8">
        <v>45352</v>
      </c>
      <c r="AB1445" s="4">
        <v>0.1</v>
      </c>
      <c r="AC1445" s="6">
        <v>13.54</v>
      </c>
      <c r="AD1445" s="6">
        <v>18.010000000000002</v>
      </c>
      <c r="AE1445" s="1">
        <v>0</v>
      </c>
      <c r="AF1445" s="1">
        <f ca="1">IFERROR(__xludf.DUMMYFUNCTION("IFERROR(GOOGLEFINANCE(TRIM(F1445)&amp;"":"" &amp; TRIM(B1445),""high52""),AE1445)"),760.05)</f>
        <v>760.05</v>
      </c>
      <c r="AG1445" s="1">
        <v>0</v>
      </c>
      <c r="AH1445" s="1">
        <f ca="1">IFERROR(__xludf.DUMMYFUNCTION("IFERROR(GOOGLEFINANCE(TRIM(F1445)&amp;"":"" &amp; TRIM(B1445),""low52""),AE1445)"),183.82)</f>
        <v>183.82</v>
      </c>
      <c r="AI1445" s="1">
        <f ca="1">IFERROR(__xludf.DUMMYFUNCTION("IFERROR(GOOGLEFINANCE(B1445,""eps""),0)"),5.85)</f>
        <v>5.85</v>
      </c>
      <c r="AJ1445" s="1"/>
      <c r="AK1445" s="1" t="s">
        <v>4353</v>
      </c>
      <c r="AL1445" s="9">
        <f t="shared" si="193"/>
        <v>1</v>
      </c>
    </row>
    <row r="1446" spans="1:38" ht="15" x14ac:dyDescent="0.25">
      <c r="A1446" s="1" t="s">
        <v>4354</v>
      </c>
      <c r="B1446" s="1" t="s">
        <v>4355</v>
      </c>
      <c r="C1446" s="1" t="s">
        <v>324</v>
      </c>
      <c r="D1446" s="1" t="s">
        <v>324</v>
      </c>
      <c r="E1446" s="6">
        <v>6128.93</v>
      </c>
      <c r="F1446" s="1" t="s">
        <v>40</v>
      </c>
      <c r="G1446" s="6">
        <f ca="1">IFERROR(__xludf.DUMMYFUNCTION("iferror(GOOGLEFINANCE(TRIM(F1446)&amp;"":"" &amp; TRIM(B1446), ""price""),0
)"),466)</f>
        <v>466</v>
      </c>
      <c r="H1446" s="6">
        <v>519.85</v>
      </c>
      <c r="I1446" s="6">
        <f t="shared" ca="1" si="0"/>
        <v>466</v>
      </c>
      <c r="J1446" s="6">
        <f ca="1">IFERROR(__xludf.DUMMYFUNCTION("IFERROR(GOOGLEFINANCE(B1446, ""volume""), 0)"),46144)</f>
        <v>46144</v>
      </c>
      <c r="K1446" s="6">
        <v>-0.26</v>
      </c>
      <c r="L1446" s="6">
        <f ca="1">IFERROR(__xludf.DUMMYFUNCTION("IFERROR(GOOGLEFINANCE(B1446,""changepct""),K1446)"),1.51)</f>
        <v>1.51</v>
      </c>
      <c r="M1446" s="6">
        <f ca="1">IFERROR(__xludf.DUMMYFUNCTION("IFERROR(GOOGLEFINANCE(B1446,""change""),0)"),6.95)</f>
        <v>6.95</v>
      </c>
      <c r="N1446" s="6">
        <v>2</v>
      </c>
      <c r="O1446" s="7">
        <v>45536</v>
      </c>
      <c r="P1446" s="6">
        <v>752.65</v>
      </c>
      <c r="Q1446" s="6">
        <v>6810.91</v>
      </c>
      <c r="R1446" s="7">
        <v>45536</v>
      </c>
      <c r="S1446" s="6">
        <v>3211.39</v>
      </c>
      <c r="T1446" s="6">
        <v>95.15</v>
      </c>
      <c r="U1446" s="7">
        <v>45536</v>
      </c>
      <c r="V1446" s="6">
        <v>64.41</v>
      </c>
      <c r="W1446" s="6">
        <f ca="1">IFERROR(__xludf.DUMMYFUNCTION("IFERROR(GOOGLEFINANCE(B1446,""pe""),V1446)"),42.7)</f>
        <v>42.7</v>
      </c>
      <c r="X1446" s="6">
        <v>1.27</v>
      </c>
      <c r="Y1446" s="6">
        <v>7.08</v>
      </c>
      <c r="Z1446" s="6">
        <v>2</v>
      </c>
      <c r="AA1446" s="8">
        <v>45352</v>
      </c>
      <c r="AB1446" s="4">
        <v>1.2</v>
      </c>
      <c r="AC1446" s="6">
        <v>19.66</v>
      </c>
      <c r="AD1446" s="6">
        <v>15.84</v>
      </c>
      <c r="AE1446" s="1">
        <v>0</v>
      </c>
      <c r="AF1446" s="1">
        <f ca="1">IFERROR(__xludf.DUMMYFUNCTION("IFERROR(GOOGLEFINANCE(TRIM(F1446)&amp;"":"" &amp; TRIM(B1446),""high52""),AE1446)"),608)</f>
        <v>608</v>
      </c>
      <c r="AG1446" s="1">
        <v>0</v>
      </c>
      <c r="AH1446" s="1">
        <f ca="1">IFERROR(__xludf.DUMMYFUNCTION("IFERROR(GOOGLEFINANCE(TRIM(F1446)&amp;"":"" &amp; TRIM(B1446),""low52""),AE1446)"),421.5)</f>
        <v>421.5</v>
      </c>
      <c r="AI1446" s="1">
        <f ca="1">IFERROR(__xludf.DUMMYFUNCTION("IFERROR(GOOGLEFINANCE(B1446,""eps""),0)"),10.91)</f>
        <v>10.91</v>
      </c>
      <c r="AJ1446" s="1"/>
      <c r="AK1446" s="1" t="s">
        <v>4356</v>
      </c>
      <c r="AL1446" s="9">
        <f t="shared" si="193"/>
        <v>1</v>
      </c>
    </row>
    <row r="1447" spans="1:38" ht="15" x14ac:dyDescent="0.25">
      <c r="A1447" s="1" t="s">
        <v>4357</v>
      </c>
      <c r="B1447" s="1" t="s">
        <v>4358</v>
      </c>
      <c r="C1447" s="1" t="s">
        <v>778</v>
      </c>
      <c r="D1447" s="1" t="s">
        <v>778</v>
      </c>
      <c r="E1447" s="6">
        <v>690.45</v>
      </c>
      <c r="F1447" s="1" t="s">
        <v>40</v>
      </c>
      <c r="G1447" s="6">
        <f ca="1">IFERROR(__xludf.DUMMYFUNCTION("iferror(GOOGLEFINANCE(TRIM(F1447)&amp;"":"" &amp; TRIM(B1447), ""price""),0
)"),71.3)</f>
        <v>71.3</v>
      </c>
      <c r="H1447" s="6">
        <v>95.85</v>
      </c>
      <c r="I1447" s="6">
        <f t="shared" ca="1" si="0"/>
        <v>71.3</v>
      </c>
      <c r="J1447" s="6">
        <f ca="1">IFERROR(__xludf.DUMMYFUNCTION("IFERROR(GOOGLEFINANCE(B1447, ""volume""), 0)"),20915)</f>
        <v>20915</v>
      </c>
      <c r="K1447" s="6">
        <v>2.29</v>
      </c>
      <c r="L1447" s="6">
        <f ca="1">IFERROR(__xludf.DUMMYFUNCTION("IFERROR(GOOGLEFINANCE(B1447,""changepct""),K1447)"),0.32)</f>
        <v>0.32</v>
      </c>
      <c r="M1447" s="6">
        <f ca="1">IFERROR(__xludf.DUMMYFUNCTION("IFERROR(GOOGLEFINANCE(B1447,""change""),0)"),0.23)</f>
        <v>0.23</v>
      </c>
      <c r="N1447" s="6">
        <v>2</v>
      </c>
      <c r="O1447" s="7">
        <v>45536</v>
      </c>
      <c r="P1447" s="6">
        <v>48.23</v>
      </c>
      <c r="Q1447" s="6">
        <v>687.03</v>
      </c>
      <c r="R1447" s="7">
        <v>45536</v>
      </c>
      <c r="S1447" s="6">
        <v>705.17</v>
      </c>
      <c r="T1447" s="6">
        <v>24.25</v>
      </c>
      <c r="U1447" s="7">
        <v>45536</v>
      </c>
      <c r="V1447" s="6">
        <v>28.4</v>
      </c>
      <c r="W1447" s="6">
        <f ca="1">IFERROR(__xludf.DUMMYFUNCTION("IFERROR(GOOGLEFINANCE(B1447,""pe""),V1447)"),7.9)</f>
        <v>7.9</v>
      </c>
      <c r="X1447" s="6">
        <v>-0.75</v>
      </c>
      <c r="Y1447" s="6">
        <v>0.46</v>
      </c>
      <c r="Z1447" s="6">
        <v>2</v>
      </c>
      <c r="AA1447" s="8">
        <v>45352</v>
      </c>
      <c r="AB1447" s="4">
        <v>0.04</v>
      </c>
      <c r="AC1447" s="6">
        <v>0.67</v>
      </c>
      <c r="AD1447" s="6">
        <v>0.37</v>
      </c>
      <c r="AE1447" s="1">
        <v>0</v>
      </c>
      <c r="AF1447" s="1">
        <f ca="1">IFERROR(__xludf.DUMMYFUNCTION("IFERROR(GOOGLEFINANCE(TRIM(F1447)&amp;"":"" &amp; TRIM(B1447),""high52""),AE1447)"),103.4)</f>
        <v>103.4</v>
      </c>
      <c r="AG1447" s="1">
        <v>0</v>
      </c>
      <c r="AH1447" s="1">
        <f ca="1">IFERROR(__xludf.DUMMYFUNCTION("IFERROR(GOOGLEFINANCE(TRIM(F1447)&amp;"":"" &amp; TRIM(B1447),""low52""),AE1447)"),61.76)</f>
        <v>61.76</v>
      </c>
      <c r="AI1447" s="1">
        <f ca="1">IFERROR(__xludf.DUMMYFUNCTION("IFERROR(GOOGLEFINANCE(B1447,""eps""),0)"),9.02)</f>
        <v>9.02</v>
      </c>
      <c r="AJ1447" s="1"/>
      <c r="AK1447" s="9"/>
      <c r="AL1447" s="9">
        <f t="shared" si="193"/>
        <v>1</v>
      </c>
    </row>
    <row r="1448" spans="1:38" ht="15" x14ac:dyDescent="0.25">
      <c r="A1448" s="1" t="s">
        <v>4359</v>
      </c>
      <c r="B1448" s="1" t="s">
        <v>4360</v>
      </c>
      <c r="C1448" s="1" t="s">
        <v>719</v>
      </c>
      <c r="D1448" s="1" t="s">
        <v>719</v>
      </c>
      <c r="E1448" s="6">
        <v>625.14</v>
      </c>
      <c r="F1448" s="1" t="s">
        <v>40</v>
      </c>
      <c r="G1448" s="6">
        <f ca="1">IFERROR(__xludf.DUMMYFUNCTION("iferror(GOOGLEFINANCE(TRIM(F1448)&amp;"":"" &amp; TRIM(B1448), ""price""),0
)"),0)</f>
        <v>0</v>
      </c>
      <c r="H1448" s="6">
        <v>29.77</v>
      </c>
      <c r="I1448" s="6">
        <f t="shared" ca="1" si="0"/>
        <v>29.77</v>
      </c>
      <c r="J1448" s="6">
        <f ca="1">IFERROR(__xludf.DUMMYFUNCTION("IFERROR(GOOGLEFINANCE(B1448, ""volume""), 0)"),0)</f>
        <v>0</v>
      </c>
      <c r="K1448" s="6">
        <v>-0.8</v>
      </c>
      <c r="L1448" s="6">
        <f ca="1">IFERROR(__xludf.DUMMYFUNCTION("IFERROR(GOOGLEFINANCE(B1448,""changepct""),K1448)"),-0.8)</f>
        <v>-0.8</v>
      </c>
      <c r="M1448" s="6">
        <f ca="1">IFERROR(__xludf.DUMMYFUNCTION("IFERROR(GOOGLEFINANCE(B1448,""change""),0)"),0)</f>
        <v>0</v>
      </c>
      <c r="N1448" s="6">
        <v>1</v>
      </c>
      <c r="O1448" s="7">
        <v>45536</v>
      </c>
      <c r="P1448" s="9"/>
      <c r="Q1448" s="6">
        <v>625.14</v>
      </c>
      <c r="R1448" s="7">
        <v>45536</v>
      </c>
      <c r="S1448" s="6">
        <v>4.91</v>
      </c>
      <c r="T1448" s="6">
        <v>40.26</v>
      </c>
      <c r="U1448" s="7">
        <v>45536</v>
      </c>
      <c r="V1448" s="6">
        <v>15.53</v>
      </c>
      <c r="W1448" s="6">
        <f ca="1">IFERROR(__xludf.DUMMYFUNCTION("IFERROR(GOOGLEFINANCE(B1448,""pe""),V1448)"),15.53)</f>
        <v>15.53</v>
      </c>
      <c r="X1448" s="6">
        <v>-15.68</v>
      </c>
      <c r="Y1448" s="6">
        <v>28.3</v>
      </c>
      <c r="Z1448" s="6">
        <v>1</v>
      </c>
      <c r="AA1448" s="8">
        <v>45352</v>
      </c>
      <c r="AB1448" s="4">
        <v>1.94</v>
      </c>
      <c r="AC1448" s="6">
        <v>0</v>
      </c>
      <c r="AD1448" s="6">
        <v>175.12</v>
      </c>
      <c r="AE1448" s="1">
        <v>0</v>
      </c>
      <c r="AF1448" s="1">
        <f ca="1">IFERROR(__xludf.DUMMYFUNCTION("IFERROR(GOOGLEFINANCE(TRIM(F1448)&amp;"":"" &amp; TRIM(B1448),""high52""),AE1448)"),0)</f>
        <v>0</v>
      </c>
      <c r="AG1448" s="1">
        <v>0</v>
      </c>
      <c r="AH1448" s="1">
        <f ca="1">IFERROR(__xludf.DUMMYFUNCTION("IFERROR(GOOGLEFINANCE(TRIM(F1448)&amp;"":"" &amp; TRIM(B1448),""low52""),AE1448)"),0)</f>
        <v>0</v>
      </c>
      <c r="AI1448" s="1">
        <f ca="1">IFERROR(__xludf.DUMMYFUNCTION("IFERROR(GOOGLEFINANCE(B1448,""eps""),0)"),0)</f>
        <v>0</v>
      </c>
      <c r="AJ1448" s="1"/>
      <c r="AK1448" s="1" t="s">
        <v>4361</v>
      </c>
      <c r="AL1448" s="1" t="b">
        <f>ISNUMBER(AA1448)</f>
        <v>1</v>
      </c>
    </row>
    <row r="1449" spans="1:38" ht="15" x14ac:dyDescent="0.25">
      <c r="A1449" s="1" t="s">
        <v>4362</v>
      </c>
      <c r="B1449" s="1" t="s">
        <v>4363</v>
      </c>
      <c r="C1449" s="1" t="s">
        <v>86</v>
      </c>
      <c r="D1449" s="1" t="s">
        <v>86</v>
      </c>
      <c r="E1449" s="6">
        <v>8.41</v>
      </c>
      <c r="F1449" s="1" t="s">
        <v>53</v>
      </c>
      <c r="G1449" s="6">
        <f ca="1">IFERROR(__xludf.DUMMYFUNCTION("iferror(GOOGLEFINANCE(TRIM(F1449)&amp;"":"" &amp; TRIM(B1449), ""price""),0
)"),0)</f>
        <v>0</v>
      </c>
      <c r="H1449" s="6">
        <v>11.75</v>
      </c>
      <c r="I1449" s="6">
        <f t="shared" ca="1" si="0"/>
        <v>11.75</v>
      </c>
      <c r="J1449" s="6">
        <f ca="1">IFERROR(__xludf.DUMMYFUNCTION("IFERROR(GOOGLEFINANCE(B1449, ""volume""), 0)"),0)</f>
        <v>0</v>
      </c>
      <c r="K1449" s="9"/>
      <c r="L1449" s="6" t="str">
        <f ca="1">IFERROR(__xludf.DUMMYFUNCTION("IFERROR(GOOGLEFINANCE(B1449,""changepct""),K1449)"),"")</f>
        <v/>
      </c>
      <c r="M1449" s="6">
        <f ca="1">IFERROR(__xludf.DUMMYFUNCTION("IFERROR(GOOGLEFINANCE(B1449,""change""),0)"),0)</f>
        <v>0</v>
      </c>
      <c r="N1449" s="6">
        <v>1</v>
      </c>
      <c r="O1449" s="7">
        <v>45536</v>
      </c>
      <c r="P1449" s="6">
        <v>15.42</v>
      </c>
      <c r="Q1449" s="6">
        <v>23.83</v>
      </c>
      <c r="R1449" s="7">
        <v>45536</v>
      </c>
      <c r="S1449" s="6">
        <v>0</v>
      </c>
      <c r="T1449" s="6">
        <v>-11.25</v>
      </c>
      <c r="U1449" s="7">
        <v>45536</v>
      </c>
      <c r="V1449" s="6">
        <v>0</v>
      </c>
      <c r="W1449" s="6">
        <f ca="1">IFERROR(__xludf.DUMMYFUNCTION("IFERROR(GOOGLEFINANCE(B1449,""pe""),V1449)"),0)</f>
        <v>0</v>
      </c>
      <c r="X1449" s="12"/>
      <c r="Y1449" s="6">
        <v>-0.42</v>
      </c>
      <c r="Z1449" s="6">
        <v>1</v>
      </c>
      <c r="AA1449" s="8">
        <v>45352</v>
      </c>
      <c r="AB1449" s="4">
        <v>-1.58</v>
      </c>
      <c r="AC1449" s="6">
        <v>0</v>
      </c>
      <c r="AD1449" s="6">
        <v>-17.579999999999998</v>
      </c>
      <c r="AE1449" s="1">
        <v>0</v>
      </c>
      <c r="AF1449" s="1">
        <f ca="1">IFERROR(__xludf.DUMMYFUNCTION("IFERROR(GOOGLEFINANCE(TRIM(F1449)&amp;"":"" &amp; TRIM(B1449),""high52""),AE1449)"),0)</f>
        <v>0</v>
      </c>
      <c r="AG1449" s="1">
        <v>0</v>
      </c>
      <c r="AH1449" s="1">
        <f ca="1">IFERROR(__xludf.DUMMYFUNCTION("IFERROR(GOOGLEFINANCE(TRIM(F1449)&amp;"":"" &amp; TRIM(B1449),""low52""),AE1449)"),0)</f>
        <v>0</v>
      </c>
      <c r="AI1449" s="1">
        <f ca="1">IFERROR(__xludf.DUMMYFUNCTION("IFERROR(GOOGLEFINANCE(B1449,""eps""),0)"),0)</f>
        <v>0</v>
      </c>
      <c r="AJ1449" s="1"/>
      <c r="AK1449" s="1" t="s">
        <v>4364</v>
      </c>
      <c r="AL1449" s="9">
        <f t="shared" ref="AL1449:AL1481" si="194">IF(AA1449&lt;&gt;AB1449,1,0)</f>
        <v>1</v>
      </c>
    </row>
    <row r="1450" spans="1:38" ht="15" x14ac:dyDescent="0.25">
      <c r="A1450" s="1" t="s">
        <v>4365</v>
      </c>
      <c r="B1450" s="1" t="s">
        <v>4366</v>
      </c>
      <c r="C1450" s="1" t="s">
        <v>103</v>
      </c>
      <c r="D1450" s="1" t="s">
        <v>103</v>
      </c>
      <c r="E1450" s="6">
        <v>2562.87</v>
      </c>
      <c r="F1450" s="1" t="s">
        <v>40</v>
      </c>
      <c r="G1450" s="6">
        <f ca="1">IFERROR(__xludf.DUMMYFUNCTION("iferror(GOOGLEFINANCE(TRIM(F1450)&amp;"":"" &amp; TRIM(B1450), ""price""),0
)"),152.09)</f>
        <v>152.09</v>
      </c>
      <c r="H1450" s="6">
        <v>198.05</v>
      </c>
      <c r="I1450" s="6">
        <f t="shared" ca="1" si="0"/>
        <v>152.09</v>
      </c>
      <c r="J1450" s="6">
        <f ca="1">IFERROR(__xludf.DUMMYFUNCTION("IFERROR(GOOGLEFINANCE(B1450, ""volume""), 0)"),360058)</f>
        <v>360058</v>
      </c>
      <c r="K1450" s="6">
        <v>2.29</v>
      </c>
      <c r="L1450" s="6">
        <f ca="1">IFERROR(__xludf.DUMMYFUNCTION("IFERROR(GOOGLEFINANCE(B1450,""changepct""),K1450)"),-2.58)</f>
        <v>-2.58</v>
      </c>
      <c r="M1450" s="6">
        <f ca="1">IFERROR(__xludf.DUMMYFUNCTION("IFERROR(GOOGLEFINANCE(B1450,""change""),0)"),-4.02)</f>
        <v>-4.0199999999999996</v>
      </c>
      <c r="N1450" s="6">
        <v>2</v>
      </c>
      <c r="O1450" s="7">
        <v>45536</v>
      </c>
      <c r="P1450" s="6">
        <v>145.12</v>
      </c>
      <c r="Q1450" s="6">
        <v>2571.7800000000002</v>
      </c>
      <c r="R1450" s="7">
        <v>45536</v>
      </c>
      <c r="S1450" s="6">
        <v>699.65</v>
      </c>
      <c r="T1450" s="6">
        <v>168.65</v>
      </c>
      <c r="U1450" s="7">
        <v>45536</v>
      </c>
      <c r="V1450" s="6">
        <v>15.08</v>
      </c>
      <c r="W1450" s="6">
        <f ca="1">IFERROR(__xludf.DUMMYFUNCTION("IFERROR(GOOGLEFINANCE(B1450,""pe""),V1450)"),14.24)</f>
        <v>14.24</v>
      </c>
      <c r="X1450" s="6">
        <v>3.03</v>
      </c>
      <c r="Y1450" s="6">
        <v>2.09</v>
      </c>
      <c r="Z1450" s="6">
        <v>2</v>
      </c>
      <c r="AA1450" s="8">
        <v>45352</v>
      </c>
      <c r="AB1450" s="4">
        <v>0.15</v>
      </c>
      <c r="AC1450" s="6">
        <v>21.35</v>
      </c>
      <c r="AD1450" s="6">
        <v>21.08</v>
      </c>
      <c r="AE1450" s="1">
        <v>0</v>
      </c>
      <c r="AF1450" s="1">
        <f ca="1">IFERROR(__xludf.DUMMYFUNCTION("IFERROR(GOOGLEFINANCE(TRIM(F1450)&amp;"":"" &amp; TRIM(B1450),""high52""),AE1450)"),218.8)</f>
        <v>218.8</v>
      </c>
      <c r="AG1450" s="1">
        <v>0</v>
      </c>
      <c r="AH1450" s="1">
        <f ca="1">IFERROR(__xludf.DUMMYFUNCTION("IFERROR(GOOGLEFINANCE(TRIM(F1450)&amp;"":"" &amp; TRIM(B1450),""low52""),AE1450)"),135.7)</f>
        <v>135.69999999999999</v>
      </c>
      <c r="AI1450" s="1">
        <f ca="1">IFERROR(__xludf.DUMMYFUNCTION("IFERROR(GOOGLEFINANCE(B1450,""eps""),0)"),10.68)</f>
        <v>10.68</v>
      </c>
      <c r="AJ1450" s="1"/>
      <c r="AK1450" s="1" t="s">
        <v>4367</v>
      </c>
      <c r="AL1450" s="9">
        <f t="shared" si="194"/>
        <v>1</v>
      </c>
    </row>
    <row r="1451" spans="1:38" ht="15" x14ac:dyDescent="0.25">
      <c r="A1451" s="1" t="s">
        <v>4368</v>
      </c>
      <c r="B1451" s="1" t="s">
        <v>4369</v>
      </c>
      <c r="C1451" s="1" t="s">
        <v>1546</v>
      </c>
      <c r="D1451" s="1" t="s">
        <v>1546</v>
      </c>
      <c r="E1451" s="6">
        <v>87762.04</v>
      </c>
      <c r="F1451" s="1" t="s">
        <v>40</v>
      </c>
      <c r="G1451" s="6">
        <f ca="1">IFERROR(__xludf.DUMMYFUNCTION("iferror(GOOGLEFINANCE(TRIM(F1451)&amp;"":"" &amp; TRIM(B1451), ""price""),0
)"),453.65)</f>
        <v>453.65</v>
      </c>
      <c r="H1451" s="6">
        <v>408.15</v>
      </c>
      <c r="I1451" s="6">
        <f t="shared" ca="1" si="0"/>
        <v>453.65</v>
      </c>
      <c r="J1451" s="6">
        <f ca="1">IFERROR(__xludf.DUMMYFUNCTION("IFERROR(GOOGLEFINANCE(B1451, ""volume""), 0)"),12394412)</f>
        <v>12394412</v>
      </c>
      <c r="K1451" s="6">
        <v>-1.1000000000000001</v>
      </c>
      <c r="L1451" s="6">
        <f ca="1">IFERROR(__xludf.DUMMYFUNCTION("IFERROR(GOOGLEFINANCE(B1451,""changepct""),K1451)"),5.15)</f>
        <v>5.15</v>
      </c>
      <c r="M1451" s="6">
        <f ca="1">IFERROR(__xludf.DUMMYFUNCTION("IFERROR(GOOGLEFINANCE(B1451,""change""),0)"),22.2)</f>
        <v>22.2</v>
      </c>
      <c r="N1451" s="6">
        <v>2</v>
      </c>
      <c r="O1451" s="7">
        <v>45536</v>
      </c>
      <c r="P1451" s="6">
        <v>68528.479999999996</v>
      </c>
      <c r="Q1451" s="6">
        <v>155770.4</v>
      </c>
      <c r="R1451" s="7">
        <v>45536</v>
      </c>
      <c r="S1451" s="6">
        <v>469348.5</v>
      </c>
      <c r="T1451" s="6">
        <v>3793.39</v>
      </c>
      <c r="U1451" s="7">
        <v>45536</v>
      </c>
      <c r="V1451" s="6">
        <v>20.9</v>
      </c>
      <c r="W1451" s="6">
        <f ca="1">IFERROR(__xludf.DUMMYFUNCTION("IFERROR(GOOGLEFINANCE(B1451,""pe""),V1451)"),6.27)</f>
        <v>6.27</v>
      </c>
      <c r="X1451" s="6">
        <v>1.1000000000000001</v>
      </c>
      <c r="Y1451" s="6">
        <v>1.91</v>
      </c>
      <c r="Z1451" s="6">
        <v>2</v>
      </c>
      <c r="AA1451" s="8">
        <v>45352</v>
      </c>
      <c r="AB1451" s="4">
        <v>1.34</v>
      </c>
      <c r="AC1451" s="6">
        <v>40.450000000000003</v>
      </c>
      <c r="AD1451" s="6">
        <v>22.06</v>
      </c>
      <c r="AE1451" s="1">
        <v>0</v>
      </c>
      <c r="AF1451" s="1">
        <f ca="1">IFERROR(__xludf.DUMMYFUNCTION("IFERROR(GOOGLEFINANCE(TRIM(F1451)&amp;"":"" &amp; TRIM(B1451),""high52""),AE1451)"),508.45)</f>
        <v>508.45</v>
      </c>
      <c r="AG1451" s="1">
        <v>0</v>
      </c>
      <c r="AH1451" s="1">
        <f ca="1">IFERROR(__xludf.DUMMYFUNCTION("IFERROR(GOOGLEFINANCE(TRIM(F1451)&amp;"":"" &amp; TRIM(B1451),""low52""),AE1451)"),287.55)</f>
        <v>287.55</v>
      </c>
      <c r="AI1451" s="1">
        <f ca="1">IFERROR(__xludf.DUMMYFUNCTION("IFERROR(GOOGLEFINANCE(B1451,""eps""),0)"),72.37)</f>
        <v>72.37</v>
      </c>
      <c r="AJ1451" s="1"/>
      <c r="AK1451" s="1" t="s">
        <v>4370</v>
      </c>
      <c r="AL1451" s="9">
        <f t="shared" si="194"/>
        <v>1</v>
      </c>
    </row>
    <row r="1452" spans="1:38" ht="15" x14ac:dyDescent="0.25">
      <c r="A1452" s="1" t="s">
        <v>4371</v>
      </c>
      <c r="B1452" s="1" t="s">
        <v>4372</v>
      </c>
      <c r="C1452" s="1" t="s">
        <v>86</v>
      </c>
      <c r="D1452" s="1" t="s">
        <v>86</v>
      </c>
      <c r="E1452" s="6">
        <v>47.25</v>
      </c>
      <c r="F1452" s="1" t="s">
        <v>53</v>
      </c>
      <c r="G1452" s="6">
        <f ca="1">IFERROR(__xludf.DUMMYFUNCTION("iferror(GOOGLEFINANCE(TRIM(F1452)&amp;"":"" &amp; TRIM(B1452), ""price""),0
)"),0)</f>
        <v>0</v>
      </c>
      <c r="H1452" s="6">
        <v>3.79</v>
      </c>
      <c r="I1452" s="6">
        <f t="shared" ca="1" si="0"/>
        <v>3.79</v>
      </c>
      <c r="J1452" s="6">
        <f ca="1">IFERROR(__xludf.DUMMYFUNCTION("IFERROR(GOOGLEFINANCE(B1452, ""volume""), 0)"),0)</f>
        <v>0</v>
      </c>
      <c r="K1452" s="6">
        <v>0.26</v>
      </c>
      <c r="L1452" s="6">
        <f ca="1">IFERROR(__xludf.DUMMYFUNCTION("IFERROR(GOOGLEFINANCE(B1452,""changepct""),K1452)"),0.26)</f>
        <v>0.26</v>
      </c>
      <c r="M1452" s="6">
        <f ca="1">IFERROR(__xludf.DUMMYFUNCTION("IFERROR(GOOGLEFINANCE(B1452,""change""),0)"),0)</f>
        <v>0</v>
      </c>
      <c r="N1452" s="6">
        <v>2</v>
      </c>
      <c r="O1452" s="7">
        <v>45536</v>
      </c>
      <c r="P1452" s="6">
        <v>15.25</v>
      </c>
      <c r="Q1452" s="6">
        <v>62.5</v>
      </c>
      <c r="R1452" s="7">
        <v>45536</v>
      </c>
      <c r="S1452" s="6">
        <v>19.05</v>
      </c>
      <c r="T1452" s="6">
        <v>0.21</v>
      </c>
      <c r="U1452" s="7">
        <v>45536</v>
      </c>
      <c r="V1452" s="6">
        <v>228.26</v>
      </c>
      <c r="W1452" s="6">
        <f ca="1">IFERROR(__xludf.DUMMYFUNCTION("IFERROR(GOOGLEFINANCE(B1452,""pe""),V1452)"),228.26)</f>
        <v>228.26</v>
      </c>
      <c r="X1452" s="9"/>
      <c r="Y1452" s="6">
        <v>2.8</v>
      </c>
      <c r="Z1452" s="6">
        <v>2</v>
      </c>
      <c r="AA1452" s="8">
        <v>45352</v>
      </c>
      <c r="AB1452" s="4">
        <v>0.94</v>
      </c>
      <c r="AC1452" s="6">
        <v>5.63</v>
      </c>
      <c r="AD1452" s="6">
        <v>5</v>
      </c>
      <c r="AE1452" s="1">
        <v>0</v>
      </c>
      <c r="AF1452" s="1">
        <f ca="1">IFERROR(__xludf.DUMMYFUNCTION("IFERROR(GOOGLEFINANCE(TRIM(F1452)&amp;"":"" &amp; TRIM(B1452),""high52""),AE1452)"),0)</f>
        <v>0</v>
      </c>
      <c r="AG1452" s="1">
        <v>0</v>
      </c>
      <c r="AH1452" s="1">
        <f ca="1">IFERROR(__xludf.DUMMYFUNCTION("IFERROR(GOOGLEFINANCE(TRIM(F1452)&amp;"":"" &amp; TRIM(B1452),""low52""),AE1452)"),0)</f>
        <v>0</v>
      </c>
      <c r="AI1452" s="1">
        <f ca="1">IFERROR(__xludf.DUMMYFUNCTION("IFERROR(GOOGLEFINANCE(B1452,""eps""),0)"),0)</f>
        <v>0</v>
      </c>
      <c r="AJ1452" s="1"/>
      <c r="AK1452" s="1" t="s">
        <v>4373</v>
      </c>
      <c r="AL1452" s="9">
        <f t="shared" si="194"/>
        <v>1</v>
      </c>
    </row>
    <row r="1453" spans="1:38" ht="15" x14ac:dyDescent="0.25">
      <c r="A1453" s="1" t="s">
        <v>4374</v>
      </c>
      <c r="B1453" s="1" t="s">
        <v>4375</v>
      </c>
      <c r="C1453" s="1" t="s">
        <v>86</v>
      </c>
      <c r="D1453" s="1" t="s">
        <v>86</v>
      </c>
      <c r="E1453" s="6">
        <v>80.400000000000006</v>
      </c>
      <c r="F1453" s="1" t="s">
        <v>53</v>
      </c>
      <c r="G1453" s="6">
        <f ca="1">IFERROR(__xludf.DUMMYFUNCTION("iferror(GOOGLEFINANCE(TRIM(F1453)&amp;"":"" &amp; TRIM(B1453), ""price""),0
)"),0)</f>
        <v>0</v>
      </c>
      <c r="H1453" s="6">
        <v>52</v>
      </c>
      <c r="I1453" s="6">
        <f t="shared" ca="1" si="0"/>
        <v>52</v>
      </c>
      <c r="J1453" s="6">
        <f ca="1">IFERROR(__xludf.DUMMYFUNCTION("IFERROR(GOOGLEFINANCE(B1453, ""volume""), 0)"),0)</f>
        <v>0</v>
      </c>
      <c r="K1453" s="6">
        <v>6.34</v>
      </c>
      <c r="L1453" s="6">
        <f ca="1">IFERROR(__xludf.DUMMYFUNCTION("IFERROR(GOOGLEFINANCE(B1453,""changepct""),K1453)"),6.34)</f>
        <v>6.34</v>
      </c>
      <c r="M1453" s="6">
        <f ca="1">IFERROR(__xludf.DUMMYFUNCTION("IFERROR(GOOGLEFINANCE(B1453,""change""),0)"),0)</f>
        <v>0</v>
      </c>
      <c r="N1453" s="6">
        <v>1</v>
      </c>
      <c r="O1453" s="7">
        <v>45536</v>
      </c>
      <c r="P1453" s="6">
        <v>34.97</v>
      </c>
      <c r="Q1453" s="6">
        <v>115.37</v>
      </c>
      <c r="R1453" s="7">
        <v>45536</v>
      </c>
      <c r="S1453" s="6">
        <v>0.22</v>
      </c>
      <c r="T1453" s="6">
        <v>35.28</v>
      </c>
      <c r="U1453" s="7">
        <v>45536</v>
      </c>
      <c r="V1453" s="6">
        <v>2.2799999999999998</v>
      </c>
      <c r="W1453" s="6">
        <f ca="1">IFERROR(__xludf.DUMMYFUNCTION("IFERROR(GOOGLEFINANCE(B1453,""pe""),V1453)"),2.28)</f>
        <v>2.2799999999999998</v>
      </c>
      <c r="X1453" s="6">
        <v>0.16</v>
      </c>
      <c r="Y1453" s="6">
        <v>7.5</v>
      </c>
      <c r="Z1453" s="6">
        <v>1</v>
      </c>
      <c r="AA1453" s="8">
        <v>45352</v>
      </c>
      <c r="AB1453" s="4">
        <v>-1.72</v>
      </c>
      <c r="AC1453" s="6">
        <v>0</v>
      </c>
      <c r="AD1453" s="6">
        <v>0</v>
      </c>
      <c r="AE1453" s="1">
        <v>0</v>
      </c>
      <c r="AF1453" s="1">
        <f ca="1">IFERROR(__xludf.DUMMYFUNCTION("IFERROR(GOOGLEFINANCE(TRIM(F1453)&amp;"":"" &amp; TRIM(B1453),""high52""),AE1453)"),0)</f>
        <v>0</v>
      </c>
      <c r="AG1453" s="1">
        <v>0</v>
      </c>
      <c r="AH1453" s="1">
        <f ca="1">IFERROR(__xludf.DUMMYFUNCTION("IFERROR(GOOGLEFINANCE(TRIM(F1453)&amp;"":"" &amp; TRIM(B1453),""low52""),AE1453)"),0)</f>
        <v>0</v>
      </c>
      <c r="AI1453" s="1">
        <f ca="1">IFERROR(__xludf.DUMMYFUNCTION("IFERROR(GOOGLEFINANCE(B1453,""eps""),0)"),0)</f>
        <v>0</v>
      </c>
      <c r="AJ1453" s="1"/>
      <c r="AK1453" s="1" t="s">
        <v>4376</v>
      </c>
      <c r="AL1453" s="9">
        <f t="shared" si="194"/>
        <v>1</v>
      </c>
    </row>
    <row r="1454" spans="1:38" ht="15" x14ac:dyDescent="0.25">
      <c r="A1454" s="1" t="s">
        <v>4377</v>
      </c>
      <c r="B1454" s="1" t="s">
        <v>4378</v>
      </c>
      <c r="C1454" s="1" t="s">
        <v>151</v>
      </c>
      <c r="D1454" s="1" t="s">
        <v>151</v>
      </c>
      <c r="E1454" s="6">
        <v>556876.6</v>
      </c>
      <c r="F1454" s="1" t="s">
        <v>40</v>
      </c>
      <c r="G1454" s="6">
        <f ca="1">IFERROR(__xludf.DUMMYFUNCTION("iferror(GOOGLEFINANCE(TRIM(F1454)&amp;"":"" &amp; TRIM(B1454), ""price""),0
)"),2351)</f>
        <v>2351</v>
      </c>
      <c r="H1454" s="6">
        <v>2370.0500000000002</v>
      </c>
      <c r="I1454" s="6">
        <f t="shared" ca="1" si="0"/>
        <v>2351</v>
      </c>
      <c r="J1454" s="6">
        <f ca="1">IFERROR(__xludf.DUMMYFUNCTION("IFERROR(GOOGLEFINANCE(B1454, ""volume""), 0)"),1375089)</f>
        <v>1375089</v>
      </c>
      <c r="K1454" s="6">
        <v>0</v>
      </c>
      <c r="L1454" s="6">
        <f ca="1">IFERROR(__xludf.DUMMYFUNCTION("IFERROR(GOOGLEFINANCE(B1454,""changepct""),K1454)"),0.01)</f>
        <v>0.01</v>
      </c>
      <c r="M1454" s="6">
        <f ca="1">IFERROR(__xludf.DUMMYFUNCTION("IFERROR(GOOGLEFINANCE(B1454,""change""),0)"),0.3)</f>
        <v>0.3</v>
      </c>
      <c r="N1454" s="6">
        <v>2</v>
      </c>
      <c r="O1454" s="7">
        <v>45536</v>
      </c>
      <c r="P1454" s="6">
        <v>13</v>
      </c>
      <c r="Q1454" s="6">
        <v>548246.6</v>
      </c>
      <c r="R1454" s="7">
        <v>45536</v>
      </c>
      <c r="S1454" s="6">
        <v>62410</v>
      </c>
      <c r="T1454" s="6">
        <v>10285</v>
      </c>
      <c r="U1454" s="7">
        <v>45536</v>
      </c>
      <c r="V1454" s="6">
        <v>54.23</v>
      </c>
      <c r="W1454" s="6">
        <f ca="1">IFERROR(__xludf.DUMMYFUNCTION("IFERROR(GOOGLEFINANCE(B1454,""pe""),V1454)"),50.73)</f>
        <v>50.73</v>
      </c>
      <c r="X1454" s="6">
        <v>5.13</v>
      </c>
      <c r="Y1454" s="6">
        <v>10.97</v>
      </c>
      <c r="Z1454" s="6">
        <v>2</v>
      </c>
      <c r="AA1454" s="8">
        <v>45352</v>
      </c>
      <c r="AB1454" s="4">
        <v>0</v>
      </c>
      <c r="AC1454" s="6">
        <v>20.260000000000002</v>
      </c>
      <c r="AD1454" s="6">
        <v>28.06</v>
      </c>
      <c r="AE1454" s="1">
        <v>0</v>
      </c>
      <c r="AF1454" s="1">
        <f ca="1">IFERROR(__xludf.DUMMYFUNCTION("IFERROR(GOOGLEFINANCE(TRIM(F1454)&amp;"":"" &amp; TRIM(B1454),""high52""),AE1454)"),2750)</f>
        <v>2750</v>
      </c>
      <c r="AG1454" s="1">
        <v>0</v>
      </c>
      <c r="AH1454" s="1">
        <f ca="1">IFERROR(__xludf.DUMMYFUNCTION("IFERROR(GOOGLEFINANCE(TRIM(F1454)&amp;"":"" &amp; TRIM(B1454),""low52""),AE1454)"),2136)</f>
        <v>2136</v>
      </c>
      <c r="AI1454" s="1">
        <f ca="1">IFERROR(__xludf.DUMMYFUNCTION("IFERROR(GOOGLEFINANCE(B1454,""eps""),0)"),46.34)</f>
        <v>46.34</v>
      </c>
      <c r="AJ1454" s="1"/>
      <c r="AK1454" s="1" t="s">
        <v>4379</v>
      </c>
      <c r="AL1454" s="9">
        <f t="shared" si="194"/>
        <v>1</v>
      </c>
    </row>
    <row r="1455" spans="1:38" ht="15" x14ac:dyDescent="0.25">
      <c r="A1455" s="1" t="s">
        <v>4380</v>
      </c>
      <c r="B1455" s="1" t="s">
        <v>4381</v>
      </c>
      <c r="C1455" s="1" t="s">
        <v>1497</v>
      </c>
      <c r="D1455" s="1" t="s">
        <v>1497</v>
      </c>
      <c r="E1455" s="6">
        <v>191343.6</v>
      </c>
      <c r="F1455" s="1" t="s">
        <v>40</v>
      </c>
      <c r="G1455" s="6">
        <f ca="1">IFERROR(__xludf.DUMMYFUNCTION("iferror(GOOGLEFINANCE(TRIM(F1455)&amp;"":"" &amp; TRIM(B1455), ""price""),0
)"),613.5)</f>
        <v>613.5</v>
      </c>
      <c r="H1455" s="6">
        <v>461.2</v>
      </c>
      <c r="I1455" s="6">
        <f t="shared" ca="1" si="0"/>
        <v>613.5</v>
      </c>
      <c r="J1455" s="6">
        <f ca="1">IFERROR(__xludf.DUMMYFUNCTION("IFERROR(GOOGLEFINANCE(B1455, ""volume""), 0)"),37031059)</f>
        <v>37031059</v>
      </c>
      <c r="K1455" s="6">
        <v>1.92</v>
      </c>
      <c r="L1455" s="6">
        <f ca="1">IFERROR(__xludf.DUMMYFUNCTION("IFERROR(GOOGLEFINANCE(B1455,""changepct""),K1455)"),7.61)</f>
        <v>7.61</v>
      </c>
      <c r="M1455" s="6">
        <f ca="1">IFERROR(__xludf.DUMMYFUNCTION("IFERROR(GOOGLEFINANCE(B1455,""change""),0)"),43.4)</f>
        <v>43.4</v>
      </c>
      <c r="N1455" s="6">
        <v>2</v>
      </c>
      <c r="O1455" s="7">
        <v>45536</v>
      </c>
      <c r="P1455" s="6">
        <v>13669</v>
      </c>
      <c r="Q1455" s="6">
        <v>204794.6</v>
      </c>
      <c r="R1455" s="7">
        <v>45536</v>
      </c>
      <c r="S1455" s="6">
        <v>31241</v>
      </c>
      <c r="T1455" s="6">
        <v>8738</v>
      </c>
      <c r="U1455" s="7">
        <v>45536</v>
      </c>
      <c r="V1455" s="6">
        <v>21.9</v>
      </c>
      <c r="W1455" s="6">
        <f ca="1">IFERROR(__xludf.DUMMYFUNCTION("IFERROR(GOOGLEFINANCE(B1455,""pe""),V1455)"),21.99)</f>
        <v>21.99</v>
      </c>
      <c r="X1455" s="12"/>
      <c r="Y1455" s="6">
        <v>25.11</v>
      </c>
      <c r="Z1455" s="6">
        <v>2</v>
      </c>
      <c r="AA1455" s="8">
        <v>45352</v>
      </c>
      <c r="AB1455" s="4">
        <v>0.57999999999999996</v>
      </c>
      <c r="AC1455" s="6">
        <v>55.17</v>
      </c>
      <c r="AD1455" s="6">
        <v>45.85</v>
      </c>
      <c r="AE1455" s="1">
        <v>0</v>
      </c>
      <c r="AF1455" s="1">
        <f ca="1">IFERROR(__xludf.DUMMYFUNCTION("IFERROR(GOOGLEFINANCE(TRIM(F1455)&amp;"":"" &amp; TRIM(B1455),""high52""),AE1455)"),733)</f>
        <v>733</v>
      </c>
      <c r="AG1455" s="1">
        <v>0</v>
      </c>
      <c r="AH1455" s="1">
        <f ca="1">IFERROR(__xludf.DUMMYFUNCTION("IFERROR(GOOGLEFINANCE(TRIM(F1455)&amp;"":"" &amp; TRIM(B1455),""low52""),AE1455)"),378.15)</f>
        <v>378.15</v>
      </c>
      <c r="AI1455" s="1">
        <f ca="1">IFERROR(__xludf.DUMMYFUNCTION("IFERROR(GOOGLEFINANCE(B1455,""eps""),0)"),27.9)</f>
        <v>27.9</v>
      </c>
      <c r="AJ1455" s="1"/>
      <c r="AK1455" s="1" t="s">
        <v>4382</v>
      </c>
      <c r="AL1455" s="9">
        <f t="shared" si="194"/>
        <v>1</v>
      </c>
    </row>
    <row r="1456" spans="1:38" ht="15" x14ac:dyDescent="0.25">
      <c r="A1456" s="1" t="s">
        <v>4383</v>
      </c>
      <c r="B1456" s="1" t="s">
        <v>4384</v>
      </c>
      <c r="C1456" s="1" t="s">
        <v>473</v>
      </c>
      <c r="D1456" s="1" t="s">
        <v>473</v>
      </c>
      <c r="E1456" s="6">
        <v>214.93</v>
      </c>
      <c r="F1456" s="1" t="s">
        <v>40</v>
      </c>
      <c r="G1456" s="6">
        <f ca="1">IFERROR(__xludf.DUMMYFUNCTION("iferror(GOOGLEFINANCE(TRIM(F1456)&amp;"":"" &amp; TRIM(B1456), ""price""),0
)"),0)</f>
        <v>0</v>
      </c>
      <c r="H1456" s="6">
        <v>24.47</v>
      </c>
      <c r="I1456" s="6">
        <f t="shared" ca="1" si="0"/>
        <v>24.47</v>
      </c>
      <c r="J1456" s="6">
        <f ca="1">IFERROR(__xludf.DUMMYFUNCTION("IFERROR(GOOGLEFINANCE(B1456, ""volume""), 0)"),0)</f>
        <v>0</v>
      </c>
      <c r="K1456" s="6">
        <v>3.12</v>
      </c>
      <c r="L1456" s="6">
        <f ca="1">IFERROR(__xludf.DUMMYFUNCTION("IFERROR(GOOGLEFINANCE(B1456,""changepct""),K1456)"),3.12)</f>
        <v>3.12</v>
      </c>
      <c r="M1456" s="6">
        <f ca="1">IFERROR(__xludf.DUMMYFUNCTION("IFERROR(GOOGLEFINANCE(B1456,""change""),0)"),0)</f>
        <v>0</v>
      </c>
      <c r="N1456" s="6">
        <v>1</v>
      </c>
      <c r="O1456" s="7">
        <v>45536</v>
      </c>
      <c r="P1456" s="6">
        <v>2263.65</v>
      </c>
      <c r="Q1456" s="6">
        <v>1993.84</v>
      </c>
      <c r="R1456" s="7">
        <v>45536</v>
      </c>
      <c r="S1456" s="6">
        <v>2227.34</v>
      </c>
      <c r="T1456" s="6">
        <v>69.95</v>
      </c>
      <c r="U1456" s="7">
        <v>45536</v>
      </c>
      <c r="V1456" s="6">
        <v>3.07</v>
      </c>
      <c r="W1456" s="6">
        <f ca="1">IFERROR(__xludf.DUMMYFUNCTION("IFERROR(GOOGLEFINANCE(B1456,""pe""),V1456)"),3.07)</f>
        <v>3.07</v>
      </c>
      <c r="X1456" s="6">
        <v>0.13</v>
      </c>
      <c r="Y1456" s="6">
        <v>-0.28000000000000003</v>
      </c>
      <c r="Z1456" s="6">
        <v>1</v>
      </c>
      <c r="AA1456" s="8">
        <v>45352</v>
      </c>
      <c r="AB1456" s="4">
        <v>-2.72</v>
      </c>
      <c r="AC1456" s="6">
        <v>0</v>
      </c>
      <c r="AD1456" s="6">
        <v>12.37</v>
      </c>
      <c r="AE1456" s="1">
        <v>0</v>
      </c>
      <c r="AF1456" s="1">
        <f ca="1">IFERROR(__xludf.DUMMYFUNCTION("IFERROR(GOOGLEFINANCE(TRIM(F1456)&amp;"":"" &amp; TRIM(B1456),""high52""),AE1456)"),0)</f>
        <v>0</v>
      </c>
      <c r="AG1456" s="1">
        <v>0</v>
      </c>
      <c r="AH1456" s="1">
        <f ca="1">IFERROR(__xludf.DUMMYFUNCTION("IFERROR(GOOGLEFINANCE(TRIM(F1456)&amp;"":"" &amp; TRIM(B1456),""low52""),AE1456)"),0)</f>
        <v>0</v>
      </c>
      <c r="AI1456" s="1">
        <f ca="1">IFERROR(__xludf.DUMMYFUNCTION("IFERROR(GOOGLEFINANCE(B1456,""eps""),0)"),0)</f>
        <v>0</v>
      </c>
      <c r="AJ1456" s="1"/>
      <c r="AK1456" s="1" t="s">
        <v>4385</v>
      </c>
      <c r="AL1456" s="9">
        <f t="shared" si="194"/>
        <v>1</v>
      </c>
    </row>
    <row r="1457" spans="1:38" ht="15" x14ac:dyDescent="0.25">
      <c r="A1457" s="1" t="s">
        <v>4386</v>
      </c>
      <c r="B1457" s="1" t="s">
        <v>4387</v>
      </c>
      <c r="C1457" s="1" t="s">
        <v>1265</v>
      </c>
      <c r="D1457" s="1" t="s">
        <v>1265</v>
      </c>
      <c r="E1457" s="6">
        <v>2306.5500000000002</v>
      </c>
      <c r="F1457" s="1" t="s">
        <v>40</v>
      </c>
      <c r="G1457" s="6">
        <f ca="1">IFERROR(__xludf.DUMMYFUNCTION("iferror(GOOGLEFINANCE(TRIM(F1457)&amp;"":"" &amp; TRIM(B1457), ""price""),0
)"),225.4)</f>
        <v>225.4</v>
      </c>
      <c r="H1457" s="6">
        <v>282.55</v>
      </c>
      <c r="I1457" s="6">
        <f t="shared" ca="1" si="0"/>
        <v>225.4</v>
      </c>
      <c r="J1457" s="6">
        <f ca="1">IFERROR(__xludf.DUMMYFUNCTION("IFERROR(GOOGLEFINANCE(B1457, ""volume""), 0)"),49316)</f>
        <v>49316</v>
      </c>
      <c r="K1457" s="6">
        <v>2.5</v>
      </c>
      <c r="L1457" s="6">
        <f ca="1">IFERROR(__xludf.DUMMYFUNCTION("IFERROR(GOOGLEFINANCE(B1457,""changepct""),K1457)"),-2.87)</f>
        <v>-2.87</v>
      </c>
      <c r="M1457" s="6">
        <f ca="1">IFERROR(__xludf.DUMMYFUNCTION("IFERROR(GOOGLEFINANCE(B1457,""change""),0)"),-6.65)</f>
        <v>-6.65</v>
      </c>
      <c r="N1457" s="6">
        <v>2</v>
      </c>
      <c r="O1457" s="7">
        <v>45536</v>
      </c>
      <c r="P1457" s="6">
        <v>866.6</v>
      </c>
      <c r="Q1457" s="6">
        <v>3167.24</v>
      </c>
      <c r="R1457" s="7">
        <v>45536</v>
      </c>
      <c r="S1457" s="6">
        <v>2696.34</v>
      </c>
      <c r="T1457" s="6">
        <v>2.4700000000000002</v>
      </c>
      <c r="U1457" s="7">
        <v>45536</v>
      </c>
      <c r="V1457" s="6">
        <v>0</v>
      </c>
      <c r="W1457" s="6">
        <f ca="1">IFERROR(__xludf.DUMMYFUNCTION("IFERROR(GOOGLEFINANCE(B1457,""pe""),V1457)"),0)</f>
        <v>0</v>
      </c>
      <c r="X1457" s="6">
        <v>0</v>
      </c>
      <c r="Y1457" s="6">
        <v>2.8</v>
      </c>
      <c r="Z1457" s="6">
        <v>2</v>
      </c>
      <c r="AA1457" s="8">
        <v>45352</v>
      </c>
      <c r="AB1457" s="4">
        <v>1.4</v>
      </c>
      <c r="AC1457" s="6">
        <v>6.26</v>
      </c>
      <c r="AD1457" s="6">
        <v>11.16</v>
      </c>
      <c r="AE1457" s="1">
        <v>0</v>
      </c>
      <c r="AF1457" s="1">
        <f ca="1">IFERROR(__xludf.DUMMYFUNCTION("IFERROR(GOOGLEFINANCE(TRIM(F1457)&amp;"":"" &amp; TRIM(B1457),""high52""),AE1457)"),392.7)</f>
        <v>392.7</v>
      </c>
      <c r="AG1457" s="1">
        <v>0</v>
      </c>
      <c r="AH1457" s="1">
        <f ca="1">IFERROR(__xludf.DUMMYFUNCTION("IFERROR(GOOGLEFINANCE(TRIM(F1457)&amp;"":"" &amp; TRIM(B1457),""low52""),AE1457)"),177.42)</f>
        <v>177.42</v>
      </c>
      <c r="AI1457" s="1">
        <f ca="1">IFERROR(__xludf.DUMMYFUNCTION("IFERROR(GOOGLEFINANCE(B1457,""eps""),0)"),-8.88)</f>
        <v>-8.8800000000000008</v>
      </c>
      <c r="AJ1457" s="1"/>
      <c r="AK1457" s="1" t="s">
        <v>4388</v>
      </c>
      <c r="AL1457" s="9">
        <f t="shared" si="194"/>
        <v>1</v>
      </c>
    </row>
    <row r="1458" spans="1:38" ht="15" x14ac:dyDescent="0.25">
      <c r="A1458" s="1" t="s">
        <v>4389</v>
      </c>
      <c r="B1458" s="1" t="s">
        <v>4390</v>
      </c>
      <c r="C1458" s="1" t="s">
        <v>219</v>
      </c>
      <c r="D1458" s="1" t="s">
        <v>219</v>
      </c>
      <c r="E1458" s="6">
        <v>118.1</v>
      </c>
      <c r="F1458" s="1" t="s">
        <v>40</v>
      </c>
      <c r="G1458" s="6">
        <f ca="1">IFERROR(__xludf.DUMMYFUNCTION("iferror(GOOGLEFINANCE(TRIM(F1458)&amp;"":"" &amp; TRIM(B1458), ""price""),0
)"),158.55)</f>
        <v>158.55000000000001</v>
      </c>
      <c r="H1458" s="6">
        <v>219.99</v>
      </c>
      <c r="I1458" s="6">
        <f t="shared" ca="1" si="0"/>
        <v>158.55000000000001</v>
      </c>
      <c r="J1458" s="6">
        <f ca="1">IFERROR(__xludf.DUMMYFUNCTION("IFERROR(GOOGLEFINANCE(B1458, ""volume""), 0)"),248)</f>
        <v>248</v>
      </c>
      <c r="K1458" s="6">
        <v>0.57999999999999996</v>
      </c>
      <c r="L1458" s="6">
        <f ca="1">IFERROR(__xludf.DUMMYFUNCTION("IFERROR(GOOGLEFINANCE(B1458,""changepct""),K1458)"),-1.79)</f>
        <v>-1.79</v>
      </c>
      <c r="M1458" s="6">
        <f ca="1">IFERROR(__xludf.DUMMYFUNCTION("IFERROR(GOOGLEFINANCE(B1458,""change""),0)"),-2.89)</f>
        <v>-2.89</v>
      </c>
      <c r="N1458" s="6">
        <v>1</v>
      </c>
      <c r="O1458" s="7">
        <v>45536</v>
      </c>
      <c r="P1458" s="6">
        <v>68.48</v>
      </c>
      <c r="Q1458" s="6">
        <v>182.26</v>
      </c>
      <c r="R1458" s="7">
        <v>45536</v>
      </c>
      <c r="S1458" s="6">
        <v>242.52</v>
      </c>
      <c r="T1458" s="6">
        <v>4.57</v>
      </c>
      <c r="U1458" s="7">
        <v>45536</v>
      </c>
      <c r="V1458" s="6">
        <v>25.84</v>
      </c>
      <c r="W1458" s="6">
        <f ca="1">IFERROR(__xludf.DUMMYFUNCTION("IFERROR(GOOGLEFINANCE(B1458,""pe""),V1458)"),34.71)</f>
        <v>34.71</v>
      </c>
      <c r="X1458" s="6">
        <v>6.48</v>
      </c>
      <c r="Y1458" s="6">
        <v>1.9</v>
      </c>
      <c r="Z1458" s="6">
        <v>1</v>
      </c>
      <c r="AA1458" s="8">
        <v>45352</v>
      </c>
      <c r="AB1458" s="4">
        <v>1.34</v>
      </c>
      <c r="AC1458" s="6">
        <v>11.3</v>
      </c>
      <c r="AD1458" s="6">
        <v>11.19</v>
      </c>
      <c r="AE1458" s="1">
        <v>0</v>
      </c>
      <c r="AF1458" s="1">
        <f ca="1">IFERROR(__xludf.DUMMYFUNCTION("IFERROR(GOOGLEFINANCE(TRIM(F1458)&amp;"":"" &amp; TRIM(B1458),""high52""),AE1458)"),224.1)</f>
        <v>224.1</v>
      </c>
      <c r="AG1458" s="1">
        <v>0</v>
      </c>
      <c r="AH1458" s="1">
        <f ca="1">IFERROR(__xludf.DUMMYFUNCTION("IFERROR(GOOGLEFINANCE(TRIM(F1458)&amp;"":"" &amp; TRIM(B1458),""low52""),AE1458)"),148.5)</f>
        <v>148.5</v>
      </c>
      <c r="AI1458" s="1">
        <f ca="1">IFERROR(__xludf.DUMMYFUNCTION("IFERROR(GOOGLEFINANCE(B1458,""eps""),0)"),4.57)</f>
        <v>4.57</v>
      </c>
      <c r="AJ1458" s="1"/>
      <c r="AK1458" s="1" t="s">
        <v>4391</v>
      </c>
      <c r="AL1458" s="9">
        <f t="shared" si="194"/>
        <v>1</v>
      </c>
    </row>
    <row r="1459" spans="1:38" ht="15" x14ac:dyDescent="0.25">
      <c r="A1459" s="1" t="s">
        <v>4392</v>
      </c>
      <c r="B1459" s="1" t="s">
        <v>4393</v>
      </c>
      <c r="C1459" s="1" t="s">
        <v>125</v>
      </c>
      <c r="D1459" s="1" t="s">
        <v>125</v>
      </c>
      <c r="E1459" s="6">
        <v>64312.71</v>
      </c>
      <c r="F1459" s="1" t="s">
        <v>40</v>
      </c>
      <c r="G1459" s="6">
        <f ca="1">IFERROR(__xludf.DUMMYFUNCTION("iferror(GOOGLEFINANCE(TRIM(F1459)&amp;"":"" &amp; TRIM(B1459), ""price""),0
)"),19040)</f>
        <v>19040</v>
      </c>
      <c r="H1459" s="6">
        <v>15284.55</v>
      </c>
      <c r="I1459" s="6">
        <f t="shared" ca="1" si="0"/>
        <v>19040</v>
      </c>
      <c r="J1459" s="6">
        <f ca="1">IFERROR(__xludf.DUMMYFUNCTION("IFERROR(GOOGLEFINANCE(B1459, ""volume""), 0)"),174818)</f>
        <v>174818</v>
      </c>
      <c r="K1459" s="6">
        <v>0.76</v>
      </c>
      <c r="L1459" s="6">
        <f ca="1">IFERROR(__xludf.DUMMYFUNCTION("IFERROR(GOOGLEFINANCE(B1459,""changepct""),K1459)"),5.15)</f>
        <v>5.15</v>
      </c>
      <c r="M1459" s="6">
        <f ca="1">IFERROR(__xludf.DUMMYFUNCTION("IFERROR(GOOGLEFINANCE(B1459,""change""),0)"),933)</f>
        <v>933</v>
      </c>
      <c r="N1459" s="6">
        <v>1</v>
      </c>
      <c r="O1459" s="7">
        <v>45536</v>
      </c>
      <c r="P1459" s="6">
        <v>270</v>
      </c>
      <c r="Q1459" s="6">
        <v>64504.37</v>
      </c>
      <c r="R1459" s="7">
        <v>45536</v>
      </c>
      <c r="S1459" s="6">
        <v>5850.46</v>
      </c>
      <c r="T1459" s="6">
        <v>199.34</v>
      </c>
      <c r="U1459" s="7">
        <v>45536</v>
      </c>
      <c r="V1459" s="6">
        <v>322.63</v>
      </c>
      <c r="W1459" s="6">
        <f ca="1">IFERROR(__xludf.DUMMYFUNCTION("IFERROR(GOOGLEFINANCE(B1459,""pe""),V1459)"),115.97)</f>
        <v>115.97</v>
      </c>
      <c r="X1459" s="12"/>
      <c r="Y1459" s="6">
        <v>45.85</v>
      </c>
      <c r="Z1459" s="6">
        <v>1</v>
      </c>
      <c r="AA1459" s="8">
        <v>45352</v>
      </c>
      <c r="AB1459" s="4">
        <v>0.11</v>
      </c>
      <c r="AC1459" s="6">
        <v>12.72</v>
      </c>
      <c r="AD1459" s="6">
        <v>18.55</v>
      </c>
      <c r="AE1459" s="1">
        <v>0</v>
      </c>
      <c r="AF1459" s="1">
        <f ca="1">IFERROR(__xludf.DUMMYFUNCTION("IFERROR(GOOGLEFINANCE(TRIM(F1459)&amp;"":"" &amp; TRIM(B1459),""high52""),AE1459)"),22840)</f>
        <v>22840</v>
      </c>
      <c r="AG1459" s="1">
        <v>0</v>
      </c>
      <c r="AH1459" s="1">
        <f ca="1">IFERROR(__xludf.DUMMYFUNCTION("IFERROR(GOOGLEFINANCE(TRIM(F1459)&amp;"":"" &amp; TRIM(B1459),""low52""),AE1459)"),10300)</f>
        <v>10300</v>
      </c>
      <c r="AI1459" s="1">
        <f ca="1">IFERROR(__xludf.DUMMYFUNCTION("IFERROR(GOOGLEFINANCE(B1459,""eps""),0)"),164.18)</f>
        <v>164.18</v>
      </c>
      <c r="AJ1459" s="1"/>
      <c r="AK1459" s="1" t="s">
        <v>4394</v>
      </c>
      <c r="AL1459" s="9">
        <f t="shared" si="194"/>
        <v>1</v>
      </c>
    </row>
    <row r="1460" spans="1:38" ht="15" x14ac:dyDescent="0.25">
      <c r="A1460" s="1" t="s">
        <v>4395</v>
      </c>
      <c r="B1460" s="1" t="s">
        <v>4396</v>
      </c>
      <c r="C1460" s="1" t="s">
        <v>82</v>
      </c>
      <c r="D1460" s="1" t="s">
        <v>82</v>
      </c>
      <c r="E1460" s="6">
        <v>408.61</v>
      </c>
      <c r="F1460" s="1" t="s">
        <v>40</v>
      </c>
      <c r="G1460" s="6">
        <f ca="1">IFERROR(__xludf.DUMMYFUNCTION("iferror(GOOGLEFINANCE(TRIM(F1460)&amp;"":"" &amp; TRIM(B1460), ""price""),0
)"),151.75)</f>
        <v>151.75</v>
      </c>
      <c r="H1460" s="6">
        <v>238</v>
      </c>
      <c r="I1460" s="6">
        <f t="shared" ca="1" si="0"/>
        <v>151.75</v>
      </c>
      <c r="J1460" s="6">
        <f ca="1">IFERROR(__xludf.DUMMYFUNCTION("IFERROR(GOOGLEFINANCE(B1460, ""volume""), 0)"),4176)</f>
        <v>4176</v>
      </c>
      <c r="K1460" s="6">
        <v>-0.66</v>
      </c>
      <c r="L1460" s="6">
        <f ca="1">IFERROR(__xludf.DUMMYFUNCTION("IFERROR(GOOGLEFINANCE(B1460,""changepct""),K1460)"),-0.88)</f>
        <v>-0.88</v>
      </c>
      <c r="M1460" s="6">
        <f ca="1">IFERROR(__xludf.DUMMYFUNCTION("IFERROR(GOOGLEFINANCE(B1460,""change""),0)"),-1.35)</f>
        <v>-1.35</v>
      </c>
      <c r="N1460" s="6">
        <v>2</v>
      </c>
      <c r="O1460" s="7">
        <v>45536</v>
      </c>
      <c r="P1460" s="6">
        <v>79.95</v>
      </c>
      <c r="Q1460" s="6">
        <v>487.49</v>
      </c>
      <c r="R1460" s="7">
        <v>42248</v>
      </c>
      <c r="S1460" s="6">
        <v>422.42</v>
      </c>
      <c r="T1460" s="6">
        <v>10.3</v>
      </c>
      <c r="U1460" s="7">
        <v>42248</v>
      </c>
      <c r="V1460" s="6">
        <v>38.479999999999997</v>
      </c>
      <c r="W1460" s="6">
        <f ca="1">IFERROR(__xludf.DUMMYFUNCTION("IFERROR(GOOGLEFINANCE(B1460,""pe""),V1460)"),23.97)</f>
        <v>23.97</v>
      </c>
      <c r="X1460" s="6">
        <v>1.47</v>
      </c>
      <c r="Y1460" s="9"/>
      <c r="Z1460" s="6">
        <v>1</v>
      </c>
      <c r="AA1460" s="8">
        <v>45352</v>
      </c>
      <c r="AB1460" s="4">
        <v>0.27</v>
      </c>
      <c r="AC1460" s="6">
        <v>8.69</v>
      </c>
      <c r="AD1460" s="6">
        <v>13.86</v>
      </c>
      <c r="AE1460" s="1">
        <v>0</v>
      </c>
      <c r="AF1460" s="1">
        <f ca="1">IFERROR(__xludf.DUMMYFUNCTION("IFERROR(GOOGLEFINANCE(TRIM(F1460)&amp;"":"" &amp; TRIM(B1460),""high52""),AE1460)"),231.8)</f>
        <v>231.8</v>
      </c>
      <c r="AG1460" s="1">
        <v>0</v>
      </c>
      <c r="AH1460" s="1">
        <f ca="1">IFERROR(__xludf.DUMMYFUNCTION("IFERROR(GOOGLEFINANCE(TRIM(F1460)&amp;"":"" &amp; TRIM(B1460),""low52""),AE1460)"),148.26)</f>
        <v>148.26</v>
      </c>
      <c r="AI1460" s="1">
        <f ca="1">IFERROR(__xludf.DUMMYFUNCTION("IFERROR(GOOGLEFINANCE(B1460,""eps""),0)"),6.33)</f>
        <v>6.33</v>
      </c>
      <c r="AJ1460" s="1"/>
      <c r="AK1460" s="1" t="s">
        <v>4397</v>
      </c>
      <c r="AL1460" s="9">
        <f t="shared" si="194"/>
        <v>1</v>
      </c>
    </row>
    <row r="1461" spans="1:38" ht="15" x14ac:dyDescent="0.25">
      <c r="A1461" s="1" t="s">
        <v>4398</v>
      </c>
      <c r="B1461" s="1" t="s">
        <v>4399</v>
      </c>
      <c r="C1461" s="1" t="s">
        <v>86</v>
      </c>
      <c r="D1461" s="1" t="s">
        <v>86</v>
      </c>
      <c r="E1461" s="6">
        <v>82.51</v>
      </c>
      <c r="F1461" s="1" t="s">
        <v>53</v>
      </c>
      <c r="G1461" s="6">
        <f ca="1">IFERROR(__xludf.DUMMYFUNCTION("iferror(GOOGLEFINANCE(TRIM(F1461)&amp;"":"" &amp; TRIM(B1461), ""price""),0
)"),0)</f>
        <v>0</v>
      </c>
      <c r="H1461" s="6">
        <v>79.989999999999995</v>
      </c>
      <c r="I1461" s="6">
        <f t="shared" ca="1" si="0"/>
        <v>79.989999999999995</v>
      </c>
      <c r="J1461" s="6">
        <f ca="1">IFERROR(__xludf.DUMMYFUNCTION("IFERROR(GOOGLEFINANCE(B1461, ""volume""), 0)"),0)</f>
        <v>0</v>
      </c>
      <c r="K1461" s="6">
        <v>2.04</v>
      </c>
      <c r="L1461" s="6">
        <f ca="1">IFERROR(__xludf.DUMMYFUNCTION("IFERROR(GOOGLEFINANCE(B1461,""changepct""),K1461)"),2.04)</f>
        <v>2.04</v>
      </c>
      <c r="M1461" s="6">
        <f ca="1">IFERROR(__xludf.DUMMYFUNCTION("IFERROR(GOOGLEFINANCE(B1461,""change""),0)"),0)</f>
        <v>0</v>
      </c>
      <c r="N1461" s="6">
        <v>1</v>
      </c>
      <c r="O1461" s="7">
        <v>45352</v>
      </c>
      <c r="P1461" s="6">
        <v>6.43</v>
      </c>
      <c r="Q1461" s="6">
        <v>87.07</v>
      </c>
      <c r="R1461" s="14"/>
      <c r="S1461" s="9"/>
      <c r="T1461" s="9"/>
      <c r="U1461" s="7">
        <v>45352</v>
      </c>
      <c r="V1461" s="6">
        <v>26.04</v>
      </c>
      <c r="W1461" s="6">
        <f ca="1">IFERROR(__xludf.DUMMYFUNCTION("IFERROR(GOOGLEFINANCE(B1461,""pe""),V1461)"),26.04)</f>
        <v>26.04</v>
      </c>
      <c r="X1461" s="9"/>
      <c r="Y1461" s="6">
        <v>3.75</v>
      </c>
      <c r="Z1461" s="6">
        <v>1</v>
      </c>
      <c r="AA1461" s="8">
        <v>45352</v>
      </c>
      <c r="AB1461" s="4">
        <v>0.54</v>
      </c>
      <c r="AC1461" s="6">
        <v>35.57</v>
      </c>
      <c r="AD1461" s="6">
        <v>40.08</v>
      </c>
      <c r="AE1461" s="1">
        <v>0</v>
      </c>
      <c r="AF1461" s="1">
        <f ca="1">IFERROR(__xludf.DUMMYFUNCTION("IFERROR(GOOGLEFINANCE(TRIM(F1461)&amp;"":"" &amp; TRIM(B1461),""high52""),AE1461)"),0)</f>
        <v>0</v>
      </c>
      <c r="AG1461" s="1">
        <v>0</v>
      </c>
      <c r="AH1461" s="1">
        <f ca="1">IFERROR(__xludf.DUMMYFUNCTION("IFERROR(GOOGLEFINANCE(TRIM(F1461)&amp;"":"" &amp; TRIM(B1461),""low52""),AE1461)"),0)</f>
        <v>0</v>
      </c>
      <c r="AI1461" s="1">
        <f ca="1">IFERROR(__xludf.DUMMYFUNCTION("IFERROR(GOOGLEFINANCE(B1461,""eps""),0)"),0)</f>
        <v>0</v>
      </c>
      <c r="AJ1461" s="1"/>
      <c r="AK1461" s="1" t="s">
        <v>4400</v>
      </c>
      <c r="AL1461" s="9">
        <f t="shared" si="194"/>
        <v>1</v>
      </c>
    </row>
    <row r="1462" spans="1:38" ht="15" x14ac:dyDescent="0.25">
      <c r="A1462" s="1" t="s">
        <v>4401</v>
      </c>
      <c r="B1462" s="1" t="s">
        <v>4402</v>
      </c>
      <c r="C1462" s="1" t="s">
        <v>86</v>
      </c>
      <c r="D1462" s="1" t="s">
        <v>86</v>
      </c>
      <c r="E1462" s="6">
        <v>72.53</v>
      </c>
      <c r="F1462" s="1" t="s">
        <v>53</v>
      </c>
      <c r="G1462" s="6">
        <f ca="1">IFERROR(__xludf.DUMMYFUNCTION("iferror(GOOGLEFINANCE(TRIM(F1462)&amp;"":"" &amp; TRIM(B1462), ""price""),0
)"),0)</f>
        <v>0</v>
      </c>
      <c r="H1462" s="6">
        <v>35.590000000000003</v>
      </c>
      <c r="I1462" s="6">
        <f t="shared" ca="1" si="0"/>
        <v>35.590000000000003</v>
      </c>
      <c r="J1462" s="6">
        <f ca="1">IFERROR(__xludf.DUMMYFUNCTION("IFERROR(GOOGLEFINANCE(B1462, ""volume""), 0)"),0)</f>
        <v>0</v>
      </c>
      <c r="K1462" s="12"/>
      <c r="L1462" s="6">
        <f ca="1">IFERROR(__xludf.DUMMYFUNCTION("IFERROR(GOOGLEFINANCE(B1462,""changepct""),K1462)"),0.24)</f>
        <v>0.24</v>
      </c>
      <c r="M1462" s="6">
        <f ca="1">IFERROR(__xludf.DUMMYFUNCTION("IFERROR(GOOGLEFINANCE(B1462,""change""),0)"),0.02)</f>
        <v>0.02</v>
      </c>
      <c r="N1462" s="6">
        <v>1</v>
      </c>
      <c r="O1462" s="7">
        <v>45536</v>
      </c>
      <c r="P1462" s="6">
        <v>8.61</v>
      </c>
      <c r="Q1462" s="6">
        <v>81.13</v>
      </c>
      <c r="R1462" s="9"/>
      <c r="S1462" s="9"/>
      <c r="T1462" s="9"/>
      <c r="U1462" s="7">
        <v>45352</v>
      </c>
      <c r="V1462" s="6">
        <v>20.86</v>
      </c>
      <c r="W1462" s="6">
        <f ca="1">IFERROR(__xludf.DUMMYFUNCTION("IFERROR(GOOGLEFINANCE(B1462,""pe""),V1462)"),20.86)</f>
        <v>20.86</v>
      </c>
      <c r="X1462" s="9"/>
      <c r="Y1462" s="6">
        <v>1.69</v>
      </c>
      <c r="Z1462" s="6">
        <v>1</v>
      </c>
      <c r="AA1462" s="8">
        <v>45352</v>
      </c>
      <c r="AB1462" s="4">
        <v>0.68</v>
      </c>
      <c r="AC1462" s="6">
        <v>18.32</v>
      </c>
      <c r="AD1462" s="6">
        <v>19.14</v>
      </c>
      <c r="AE1462" s="1">
        <v>0</v>
      </c>
      <c r="AF1462" s="1">
        <f ca="1">IFERROR(__xludf.DUMMYFUNCTION("IFERROR(GOOGLEFINANCE(TRIM(F1462)&amp;"":"" &amp; TRIM(B1462),""high52""),AE1462)"),0)</f>
        <v>0</v>
      </c>
      <c r="AG1462" s="1">
        <v>0</v>
      </c>
      <c r="AH1462" s="1">
        <f ca="1">IFERROR(__xludf.DUMMYFUNCTION("IFERROR(GOOGLEFINANCE(TRIM(F1462)&amp;"":"" &amp; TRIM(B1462),""low52""),AE1462)"),0)</f>
        <v>0</v>
      </c>
      <c r="AI1462" s="1">
        <f ca="1">IFERROR(__xludf.DUMMYFUNCTION("IFERROR(GOOGLEFINANCE(B1462,""eps""),0)"),0)</f>
        <v>0</v>
      </c>
      <c r="AJ1462" s="1"/>
      <c r="AK1462" s="1" t="s">
        <v>4403</v>
      </c>
      <c r="AL1462" s="9">
        <f t="shared" si="194"/>
        <v>1</v>
      </c>
    </row>
    <row r="1463" spans="1:38" ht="15" x14ac:dyDescent="0.25">
      <c r="A1463" s="1" t="s">
        <v>4404</v>
      </c>
      <c r="B1463" s="1" t="s">
        <v>4405</v>
      </c>
      <c r="C1463" s="1" t="s">
        <v>416</v>
      </c>
      <c r="D1463" s="1" t="s">
        <v>416</v>
      </c>
      <c r="E1463" s="6">
        <v>2539.8200000000002</v>
      </c>
      <c r="F1463" s="1" t="s">
        <v>40</v>
      </c>
      <c r="G1463" s="6">
        <f ca="1">IFERROR(__xludf.DUMMYFUNCTION("iferror(GOOGLEFINANCE(TRIM(F1463)&amp;"":"" &amp; TRIM(B1463), ""price""),0
)"),372)</f>
        <v>372</v>
      </c>
      <c r="H1463" s="6">
        <v>371.95</v>
      </c>
      <c r="I1463" s="6">
        <f t="shared" ca="1" si="0"/>
        <v>372</v>
      </c>
      <c r="J1463" s="6">
        <f ca="1">IFERROR(__xludf.DUMMYFUNCTION("IFERROR(GOOGLEFINANCE(B1463, ""volume""), 0)"),160642)</f>
        <v>160642</v>
      </c>
      <c r="K1463" s="6">
        <v>-0.03</v>
      </c>
      <c r="L1463" s="6">
        <f ca="1">IFERROR(__xludf.DUMMYFUNCTION("IFERROR(GOOGLEFINANCE(B1463,""changepct""),K1463)"),-1.37)</f>
        <v>-1.37</v>
      </c>
      <c r="M1463" s="6">
        <f ca="1">IFERROR(__xludf.DUMMYFUNCTION("IFERROR(GOOGLEFINANCE(B1463,""change""),0)"),-5.15)</f>
        <v>-5.15</v>
      </c>
      <c r="N1463" s="6">
        <v>2</v>
      </c>
      <c r="O1463" s="7">
        <v>45536</v>
      </c>
      <c r="P1463" s="6">
        <v>328.21</v>
      </c>
      <c r="Q1463" s="6">
        <v>2818.15</v>
      </c>
      <c r="R1463" s="7">
        <v>45536</v>
      </c>
      <c r="S1463" s="6">
        <v>1009.05</v>
      </c>
      <c r="T1463" s="6">
        <v>40.619999999999997</v>
      </c>
      <c r="U1463" s="7">
        <v>45536</v>
      </c>
      <c r="V1463" s="6">
        <v>87.5</v>
      </c>
      <c r="W1463" s="6">
        <f ca="1">IFERROR(__xludf.DUMMYFUNCTION("IFERROR(GOOGLEFINANCE(B1463,""pe""),V1463)"),40.74)</f>
        <v>40.74</v>
      </c>
      <c r="X1463" s="6">
        <v>6.58</v>
      </c>
      <c r="Y1463" s="6">
        <v>5.89</v>
      </c>
      <c r="Z1463" s="6">
        <v>2</v>
      </c>
      <c r="AA1463" s="8">
        <v>45352</v>
      </c>
      <c r="AB1463" s="4">
        <v>0.87</v>
      </c>
      <c r="AC1463" s="6">
        <v>11.99</v>
      </c>
      <c r="AD1463" s="6">
        <v>14.07</v>
      </c>
      <c r="AE1463" s="1">
        <v>0</v>
      </c>
      <c r="AF1463" s="1">
        <f ca="1">IFERROR(__xludf.DUMMYFUNCTION("IFERROR(GOOGLEFINANCE(TRIM(F1463)&amp;"":"" &amp; TRIM(B1463),""high52""),AE1463)"),661.95)</f>
        <v>661.95</v>
      </c>
      <c r="AG1463" s="1">
        <v>0</v>
      </c>
      <c r="AH1463" s="1">
        <f ca="1">IFERROR(__xludf.DUMMYFUNCTION("IFERROR(GOOGLEFINANCE(TRIM(F1463)&amp;"":"" &amp; TRIM(B1463),""low52""),AE1463)"),217.83)</f>
        <v>217.83</v>
      </c>
      <c r="AI1463" s="1">
        <f ca="1">IFERROR(__xludf.DUMMYFUNCTION("IFERROR(GOOGLEFINANCE(B1463,""eps""),0)"),9.13)</f>
        <v>9.1300000000000008</v>
      </c>
      <c r="AJ1463" s="1"/>
      <c r="AK1463" s="9"/>
      <c r="AL1463" s="9">
        <f t="shared" si="194"/>
        <v>1</v>
      </c>
    </row>
    <row r="1464" spans="1:38" ht="15" x14ac:dyDescent="0.25">
      <c r="A1464" s="1" t="s">
        <v>4406</v>
      </c>
      <c r="B1464" s="1" t="s">
        <v>4407</v>
      </c>
      <c r="C1464" s="1" t="s">
        <v>410</v>
      </c>
      <c r="D1464" s="1" t="s">
        <v>410</v>
      </c>
      <c r="E1464" s="6">
        <v>1235.45</v>
      </c>
      <c r="F1464" s="1" t="s">
        <v>40</v>
      </c>
      <c r="G1464" s="6">
        <f ca="1">IFERROR(__xludf.DUMMYFUNCTION("iferror(GOOGLEFINANCE(TRIM(F1464)&amp;"":"" &amp; TRIM(B1464), ""price""),0
)"),8.21)</f>
        <v>8.2100000000000009</v>
      </c>
      <c r="H1464" s="6">
        <v>19.100000000000001</v>
      </c>
      <c r="I1464" s="6">
        <f t="shared" ca="1" si="0"/>
        <v>8.2100000000000009</v>
      </c>
      <c r="J1464" s="6">
        <f ca="1">IFERROR(__xludf.DUMMYFUNCTION("IFERROR(GOOGLEFINANCE(B1464, ""volume""), 0)"),367958)</f>
        <v>367958</v>
      </c>
      <c r="K1464" s="6">
        <v>1.98</v>
      </c>
      <c r="L1464" s="6">
        <f ca="1">IFERROR(__xludf.DUMMYFUNCTION("IFERROR(GOOGLEFINANCE(B1464,""changepct""),K1464)"),-3.3)</f>
        <v>-3.3</v>
      </c>
      <c r="M1464" s="6">
        <f ca="1">IFERROR(__xludf.DUMMYFUNCTION("IFERROR(GOOGLEFINANCE(B1464,""change""),0)"),-0.28)</f>
        <v>-0.28000000000000003</v>
      </c>
      <c r="N1464" s="6">
        <v>1</v>
      </c>
      <c r="O1464" s="7">
        <v>45536</v>
      </c>
      <c r="P1464" s="6">
        <v>9.7899999999999991</v>
      </c>
      <c r="Q1464" s="6">
        <v>1119.97</v>
      </c>
      <c r="R1464" s="7">
        <v>45536</v>
      </c>
      <c r="S1464" s="6">
        <v>201.43</v>
      </c>
      <c r="T1464" s="6">
        <v>24.99</v>
      </c>
      <c r="U1464" s="7">
        <v>45536</v>
      </c>
      <c r="V1464" s="6">
        <v>49.44</v>
      </c>
      <c r="W1464" s="6">
        <f ca="1">IFERROR(__xludf.DUMMYFUNCTION("IFERROR(GOOGLEFINANCE(B1464,""pe""),V1464)"),29.02)</f>
        <v>29.02</v>
      </c>
      <c r="X1464" s="6">
        <v>2.78</v>
      </c>
      <c r="Y1464" s="6">
        <v>2.75</v>
      </c>
      <c r="Z1464" s="6">
        <v>1</v>
      </c>
      <c r="AA1464" s="8">
        <v>45352</v>
      </c>
      <c r="AB1464" s="4">
        <v>0.03</v>
      </c>
      <c r="AC1464" s="6">
        <v>5.52</v>
      </c>
      <c r="AD1464" s="6">
        <v>5.94</v>
      </c>
      <c r="AE1464" s="1">
        <v>0</v>
      </c>
      <c r="AF1464" s="1">
        <f ca="1">IFERROR(__xludf.DUMMYFUNCTION("IFERROR(GOOGLEFINANCE(TRIM(F1464)&amp;"":"" &amp; TRIM(B1464),""high52""),AE1464)"),16.92)</f>
        <v>16.920000000000002</v>
      </c>
      <c r="AG1464" s="1">
        <v>0</v>
      </c>
      <c r="AH1464" s="1">
        <f ca="1">IFERROR(__xludf.DUMMYFUNCTION("IFERROR(GOOGLEFINANCE(TRIM(F1464)&amp;"":"" &amp; TRIM(B1464),""low52""),AE1464)"),7.8)</f>
        <v>7.8</v>
      </c>
      <c r="AI1464" s="1">
        <f ca="1">IFERROR(__xludf.DUMMYFUNCTION("IFERROR(GOOGLEFINANCE(B1464,""eps""),0)"),0.28)</f>
        <v>0.28000000000000003</v>
      </c>
      <c r="AJ1464" s="1"/>
      <c r="AK1464" s="1" t="s">
        <v>4408</v>
      </c>
      <c r="AL1464" s="9">
        <f t="shared" si="194"/>
        <v>1</v>
      </c>
    </row>
    <row r="1465" spans="1:38" ht="15" x14ac:dyDescent="0.25">
      <c r="A1465" s="1" t="s">
        <v>4409</v>
      </c>
      <c r="B1465" s="1" t="s">
        <v>4410</v>
      </c>
      <c r="C1465" s="1" t="s">
        <v>324</v>
      </c>
      <c r="D1465" s="1" t="s">
        <v>324</v>
      </c>
      <c r="E1465" s="6">
        <v>2062.67</v>
      </c>
      <c r="F1465" s="1" t="s">
        <v>40</v>
      </c>
      <c r="G1465" s="6">
        <f ca="1">IFERROR(__xludf.DUMMYFUNCTION("iferror(GOOGLEFINANCE(TRIM(F1465)&amp;"":"" &amp; TRIM(B1465), ""price""),0
)"),25.9)</f>
        <v>25.9</v>
      </c>
      <c r="H1465" s="6">
        <v>41.26</v>
      </c>
      <c r="I1465" s="6">
        <f t="shared" ca="1" si="0"/>
        <v>25.9</v>
      </c>
      <c r="J1465" s="6">
        <f ca="1">IFERROR(__xludf.DUMMYFUNCTION("IFERROR(GOOGLEFINANCE(B1465, ""volume""), 0)"),124509)</f>
        <v>124509</v>
      </c>
      <c r="K1465" s="6">
        <v>0.27</v>
      </c>
      <c r="L1465" s="6">
        <f ca="1">IFERROR(__xludf.DUMMYFUNCTION("IFERROR(GOOGLEFINANCE(B1465,""changepct""),K1465)"),2.17)</f>
        <v>2.17</v>
      </c>
      <c r="M1465" s="6">
        <f ca="1">IFERROR(__xludf.DUMMYFUNCTION("IFERROR(GOOGLEFINANCE(B1465,""change""),0)"),0.55)</f>
        <v>0.55000000000000004</v>
      </c>
      <c r="N1465" s="6">
        <v>2</v>
      </c>
      <c r="O1465" s="7">
        <v>45536</v>
      </c>
      <c r="P1465" s="6">
        <v>542.25</v>
      </c>
      <c r="Q1465" s="6">
        <v>2604.92</v>
      </c>
      <c r="R1465" s="7">
        <v>45536</v>
      </c>
      <c r="S1465" s="6">
        <v>4820.34</v>
      </c>
      <c r="T1465" s="6">
        <v>104.8</v>
      </c>
      <c r="U1465" s="7">
        <v>45536</v>
      </c>
      <c r="V1465" s="6">
        <v>20.56</v>
      </c>
      <c r="W1465" s="6">
        <f ca="1">IFERROR(__xludf.DUMMYFUNCTION("IFERROR(GOOGLEFINANCE(B1465,""pe""),V1465)"),10.43)</f>
        <v>10.43</v>
      </c>
      <c r="X1465" s="12"/>
      <c r="Y1465" s="6">
        <v>2.73</v>
      </c>
      <c r="Z1465" s="6">
        <v>2</v>
      </c>
      <c r="AA1465" s="8">
        <v>45352</v>
      </c>
      <c r="AB1465" s="4">
        <v>0.68</v>
      </c>
      <c r="AC1465" s="6">
        <v>16.88</v>
      </c>
      <c r="AD1465" s="6">
        <v>14.87</v>
      </c>
      <c r="AE1465" s="1">
        <v>0</v>
      </c>
      <c r="AF1465" s="1">
        <f ca="1">IFERROR(__xludf.DUMMYFUNCTION("IFERROR(GOOGLEFINANCE(TRIM(F1465)&amp;"":"" &amp; TRIM(B1465),""high52""),AE1465)"),39.5)</f>
        <v>39.5</v>
      </c>
      <c r="AG1465" s="1">
        <v>0</v>
      </c>
      <c r="AH1465" s="1">
        <f ca="1">IFERROR(__xludf.DUMMYFUNCTION("IFERROR(GOOGLEFINANCE(TRIM(F1465)&amp;"":"" &amp; TRIM(B1465),""low52""),AE1465)"),24.78)</f>
        <v>24.78</v>
      </c>
      <c r="AI1465" s="1">
        <f ca="1">IFERROR(__xludf.DUMMYFUNCTION("IFERROR(GOOGLEFINANCE(B1465,""eps""),0)"),2.48)</f>
        <v>2.48</v>
      </c>
      <c r="AJ1465" s="1"/>
      <c r="AK1465" s="1" t="s">
        <v>4411</v>
      </c>
      <c r="AL1465" s="9">
        <f t="shared" si="194"/>
        <v>1</v>
      </c>
    </row>
    <row r="1466" spans="1:38" ht="15" x14ac:dyDescent="0.25">
      <c r="A1466" s="1" t="s">
        <v>4412</v>
      </c>
      <c r="B1466" s="1" t="s">
        <v>4413</v>
      </c>
      <c r="C1466" s="1" t="s">
        <v>86</v>
      </c>
      <c r="D1466" s="1" t="s">
        <v>86</v>
      </c>
      <c r="E1466" s="6">
        <v>594.28</v>
      </c>
      <c r="F1466" s="1" t="s">
        <v>53</v>
      </c>
      <c r="G1466" s="6">
        <f ca="1">IFERROR(__xludf.DUMMYFUNCTION("iferror(GOOGLEFINANCE(TRIM(F1466)&amp;"":"" &amp; TRIM(B1466), ""price""),0
)"),0)</f>
        <v>0</v>
      </c>
      <c r="H1466" s="6">
        <v>237</v>
      </c>
      <c r="I1466" s="6">
        <f t="shared" ca="1" si="0"/>
        <v>237</v>
      </c>
      <c r="J1466" s="6">
        <f ca="1">IFERROR(__xludf.DUMMYFUNCTION("IFERROR(GOOGLEFINANCE(B1466, ""volume""), 0)"),0)</f>
        <v>0</v>
      </c>
      <c r="K1466" s="6">
        <v>-0.42</v>
      </c>
      <c r="L1466" s="6">
        <f ca="1">IFERROR(__xludf.DUMMYFUNCTION("IFERROR(GOOGLEFINANCE(B1466,""changepct""),K1466)"),-0.42)</f>
        <v>-0.42</v>
      </c>
      <c r="M1466" s="6">
        <f ca="1">IFERROR(__xludf.DUMMYFUNCTION("IFERROR(GOOGLEFINANCE(B1466,""change""),0)"),0)</f>
        <v>0</v>
      </c>
      <c r="N1466" s="6">
        <v>1</v>
      </c>
      <c r="O1466" s="7">
        <v>45536</v>
      </c>
      <c r="P1466" s="6">
        <v>37.24</v>
      </c>
      <c r="Q1466" s="6">
        <v>631.52</v>
      </c>
      <c r="R1466" s="14"/>
      <c r="S1466" s="9"/>
      <c r="T1466" s="9"/>
      <c r="U1466" s="7">
        <v>45352</v>
      </c>
      <c r="V1466" s="6">
        <v>33.42</v>
      </c>
      <c r="W1466" s="6">
        <f ca="1">IFERROR(__xludf.DUMMYFUNCTION("IFERROR(GOOGLEFINANCE(B1466,""pe""),V1466)"),33.42)</f>
        <v>33.42</v>
      </c>
      <c r="X1466" s="12"/>
      <c r="Y1466" s="6">
        <v>4.24</v>
      </c>
      <c r="Z1466" s="6">
        <v>2</v>
      </c>
      <c r="AA1466" s="8">
        <v>45352</v>
      </c>
      <c r="AB1466" s="4">
        <v>0.4</v>
      </c>
      <c r="AC1466" s="6">
        <v>21.36</v>
      </c>
      <c r="AD1466" s="6">
        <v>23.28</v>
      </c>
      <c r="AE1466" s="1">
        <v>0</v>
      </c>
      <c r="AF1466" s="1">
        <f ca="1">IFERROR(__xludf.DUMMYFUNCTION("IFERROR(GOOGLEFINANCE(TRIM(F1466)&amp;"":"" &amp; TRIM(B1466),""high52""),AE1466)"),0)</f>
        <v>0</v>
      </c>
      <c r="AG1466" s="1">
        <v>0</v>
      </c>
      <c r="AH1466" s="1">
        <f ca="1">IFERROR(__xludf.DUMMYFUNCTION("IFERROR(GOOGLEFINANCE(TRIM(F1466)&amp;"":"" &amp; TRIM(B1466),""low52""),AE1466)"),0)</f>
        <v>0</v>
      </c>
      <c r="AI1466" s="1">
        <f ca="1">IFERROR(__xludf.DUMMYFUNCTION("IFERROR(GOOGLEFINANCE(B1466,""eps""),0)"),0)</f>
        <v>0</v>
      </c>
      <c r="AJ1466" s="1"/>
      <c r="AK1466" s="1" t="s">
        <v>4414</v>
      </c>
      <c r="AL1466" s="9">
        <f t="shared" si="194"/>
        <v>1</v>
      </c>
    </row>
    <row r="1467" spans="1:38" ht="15" x14ac:dyDescent="0.25">
      <c r="A1467" s="1" t="s">
        <v>4415</v>
      </c>
      <c r="B1467" s="1" t="s">
        <v>4416</v>
      </c>
      <c r="C1467" s="1" t="s">
        <v>416</v>
      </c>
      <c r="D1467" s="1" t="s">
        <v>416</v>
      </c>
      <c r="E1467" s="6">
        <v>7650.8</v>
      </c>
      <c r="F1467" s="1" t="s">
        <v>40</v>
      </c>
      <c r="G1467" s="6">
        <f ca="1">IFERROR(__xludf.DUMMYFUNCTION("iferror(GOOGLEFINANCE(TRIM(F1467)&amp;"":"" &amp; TRIM(B1467), ""price""),0
)"),43.95)</f>
        <v>43.95</v>
      </c>
      <c r="H1467" s="6">
        <v>64.25</v>
      </c>
      <c r="I1467" s="6">
        <f t="shared" ca="1" si="0"/>
        <v>43.95</v>
      </c>
      <c r="J1467" s="6">
        <f ca="1">IFERROR(__xludf.DUMMYFUNCTION("IFERROR(GOOGLEFINANCE(B1467, ""volume""), 0)"),10)</f>
        <v>10</v>
      </c>
      <c r="K1467" s="6">
        <v>0.31</v>
      </c>
      <c r="L1467" s="6">
        <f ca="1">IFERROR(__xludf.DUMMYFUNCTION("IFERROR(GOOGLEFINANCE(B1467,""changepct""),K1467)"),0)</f>
        <v>0</v>
      </c>
      <c r="M1467" s="6">
        <f ca="1">IFERROR(__xludf.DUMMYFUNCTION("IFERROR(GOOGLEFINANCE(B1467,""change""),0)"),0)</f>
        <v>0</v>
      </c>
      <c r="N1467" s="6">
        <v>2</v>
      </c>
      <c r="O1467" s="7">
        <v>45536</v>
      </c>
      <c r="P1467" s="6">
        <v>1062.4000000000001</v>
      </c>
      <c r="Q1467" s="6">
        <v>8478.3700000000008</v>
      </c>
      <c r="R1467" s="7">
        <v>45536</v>
      </c>
      <c r="S1467" s="6">
        <v>154.52000000000001</v>
      </c>
      <c r="T1467" s="6">
        <v>-127.39</v>
      </c>
      <c r="U1467" s="7">
        <v>45536</v>
      </c>
      <c r="V1467" s="6">
        <v>3</v>
      </c>
      <c r="W1467" s="6">
        <f ca="1">IFERROR(__xludf.DUMMYFUNCTION("IFERROR(GOOGLEFINANCE(B1467,""pe""),V1467)"),11.02)</f>
        <v>11.02</v>
      </c>
      <c r="X1467" s="6">
        <v>0.04</v>
      </c>
      <c r="Y1467" s="6">
        <v>-7.97</v>
      </c>
      <c r="Z1467" s="6">
        <v>2</v>
      </c>
      <c r="AA1467" s="8">
        <v>45352</v>
      </c>
      <c r="AB1467" s="4">
        <v>-0.61</v>
      </c>
      <c r="AC1467" s="6">
        <v>0</v>
      </c>
      <c r="AD1467" s="6">
        <v>0</v>
      </c>
      <c r="AE1467" s="1">
        <v>0</v>
      </c>
      <c r="AF1467" s="1">
        <f ca="1">IFERROR(__xludf.DUMMYFUNCTION("IFERROR(GOOGLEFINANCE(TRIM(F1467)&amp;"":"" &amp; TRIM(B1467),""high52""),AE1467)"),75.49)</f>
        <v>75.489999999999995</v>
      </c>
      <c r="AG1467" s="1">
        <v>0</v>
      </c>
      <c r="AH1467" s="1">
        <f ca="1">IFERROR(__xludf.DUMMYFUNCTION("IFERROR(GOOGLEFINANCE(TRIM(F1467)&amp;"":"" &amp; TRIM(B1467),""low52""),AE1467)"),41)</f>
        <v>41</v>
      </c>
      <c r="AI1467" s="1">
        <f ca="1">IFERROR(__xludf.DUMMYFUNCTION("IFERROR(GOOGLEFINANCE(B1467,""eps""),0)"),0.09)</f>
        <v>0.09</v>
      </c>
      <c r="AJ1467" s="1"/>
      <c r="AK1467" s="1" t="s">
        <v>4417</v>
      </c>
      <c r="AL1467" s="9">
        <f t="shared" si="194"/>
        <v>1</v>
      </c>
    </row>
    <row r="1468" spans="1:38" ht="15" x14ac:dyDescent="0.25">
      <c r="A1468" s="1" t="s">
        <v>4418</v>
      </c>
      <c r="B1468" s="1" t="s">
        <v>4419</v>
      </c>
      <c r="C1468" s="1" t="s">
        <v>324</v>
      </c>
      <c r="D1468" s="1" t="s">
        <v>324</v>
      </c>
      <c r="E1468" s="6">
        <v>54.57</v>
      </c>
      <c r="F1468" s="1" t="s">
        <v>40</v>
      </c>
      <c r="G1468" s="6">
        <f ca="1">IFERROR(__xludf.DUMMYFUNCTION("iferror(GOOGLEFINANCE(TRIM(F1468)&amp;"":"" &amp; TRIM(B1468), ""price""),0
)"),0)</f>
        <v>0</v>
      </c>
      <c r="H1468" s="6">
        <v>142</v>
      </c>
      <c r="I1468" s="6">
        <f t="shared" ca="1" si="0"/>
        <v>142</v>
      </c>
      <c r="J1468" s="6">
        <f ca="1">IFERROR(__xludf.DUMMYFUNCTION("IFERROR(GOOGLEFINANCE(B1468, ""volume""), 0)"),0)</f>
        <v>0</v>
      </c>
      <c r="K1468" s="9"/>
      <c r="L1468" s="6" t="str">
        <f ca="1">IFERROR(__xludf.DUMMYFUNCTION("IFERROR(GOOGLEFINANCE(B1468,""changepct""),K1468)"),"")</f>
        <v/>
      </c>
      <c r="M1468" s="6">
        <f ca="1">IFERROR(__xludf.DUMMYFUNCTION("IFERROR(GOOGLEFINANCE(B1468,""change""),0)"),0)</f>
        <v>0</v>
      </c>
      <c r="N1468" s="6">
        <v>1</v>
      </c>
      <c r="O1468" s="7">
        <v>45536</v>
      </c>
      <c r="P1468" s="6">
        <v>0.74</v>
      </c>
      <c r="Q1468" s="6">
        <v>55.32</v>
      </c>
      <c r="R1468" s="7">
        <v>45352</v>
      </c>
      <c r="S1468" s="6">
        <v>15.63</v>
      </c>
      <c r="T1468" s="6">
        <v>1.02</v>
      </c>
      <c r="U1468" s="7">
        <v>45352</v>
      </c>
      <c r="V1468" s="6">
        <v>53.32</v>
      </c>
      <c r="W1468" s="6">
        <f ca="1">IFERROR(__xludf.DUMMYFUNCTION("IFERROR(GOOGLEFINANCE(B1468,""pe""),V1468)"),53.32)</f>
        <v>53.32</v>
      </c>
      <c r="X1468" s="9"/>
      <c r="Y1468" s="6">
        <v>6.13</v>
      </c>
      <c r="Z1468" s="6">
        <v>1</v>
      </c>
      <c r="AA1468" s="8">
        <v>45352</v>
      </c>
      <c r="AB1468" s="4">
        <v>0.67</v>
      </c>
      <c r="AC1468" s="6">
        <v>42.31</v>
      </c>
      <c r="AD1468" s="6">
        <v>37.79</v>
      </c>
      <c r="AE1468" s="1">
        <v>0</v>
      </c>
      <c r="AF1468" s="1">
        <f ca="1">IFERROR(__xludf.DUMMYFUNCTION("IFERROR(GOOGLEFINANCE(TRIM(F1468)&amp;"":"" &amp; TRIM(B1468),""high52""),AE1468)"),0)</f>
        <v>0</v>
      </c>
      <c r="AG1468" s="1">
        <v>0</v>
      </c>
      <c r="AH1468" s="1">
        <f ca="1">IFERROR(__xludf.DUMMYFUNCTION("IFERROR(GOOGLEFINANCE(TRIM(F1468)&amp;"":"" &amp; TRIM(B1468),""low52""),AE1468)"),0)</f>
        <v>0</v>
      </c>
      <c r="AI1468" s="1">
        <f ca="1">IFERROR(__xludf.DUMMYFUNCTION("IFERROR(GOOGLEFINANCE(B1468,""eps""),0)"),0)</f>
        <v>0</v>
      </c>
      <c r="AJ1468" s="1"/>
      <c r="AK1468" s="1" t="s">
        <v>4420</v>
      </c>
      <c r="AL1468" s="9">
        <f t="shared" si="194"/>
        <v>1</v>
      </c>
    </row>
    <row r="1469" spans="1:38" ht="15" x14ac:dyDescent="0.25">
      <c r="A1469" s="1" t="s">
        <v>4421</v>
      </c>
      <c r="B1469" s="1" t="s">
        <v>4422</v>
      </c>
      <c r="C1469" s="1" t="s">
        <v>4423</v>
      </c>
      <c r="D1469" s="1" t="s">
        <v>4423</v>
      </c>
      <c r="E1469" s="6">
        <v>175.62</v>
      </c>
      <c r="F1469" s="1" t="s">
        <v>40</v>
      </c>
      <c r="G1469" s="6">
        <f ca="1">IFERROR(__xludf.DUMMYFUNCTION("iferror(GOOGLEFINANCE(TRIM(F1469)&amp;"":"" &amp; TRIM(B1469), ""price""),0
)"),0)</f>
        <v>0</v>
      </c>
      <c r="H1469" s="6">
        <v>166.15</v>
      </c>
      <c r="I1469" s="6">
        <f t="shared" ca="1" si="0"/>
        <v>166.15</v>
      </c>
      <c r="J1469" s="6">
        <f ca="1">IFERROR(__xludf.DUMMYFUNCTION("IFERROR(GOOGLEFINANCE(B1469, ""volume""), 0)"),0)</f>
        <v>0</v>
      </c>
      <c r="K1469" s="6">
        <v>-4.92</v>
      </c>
      <c r="L1469" s="6">
        <f ca="1">IFERROR(__xludf.DUMMYFUNCTION("IFERROR(GOOGLEFINANCE(B1469,""changepct""),K1469)"),-4.92)</f>
        <v>-4.92</v>
      </c>
      <c r="M1469" s="6">
        <f ca="1">IFERROR(__xludf.DUMMYFUNCTION("IFERROR(GOOGLEFINANCE(B1469,""change""),0)"),0)</f>
        <v>0</v>
      </c>
      <c r="N1469" s="6">
        <v>1</v>
      </c>
      <c r="O1469" s="7">
        <v>45536</v>
      </c>
      <c r="P1469" s="6">
        <v>0.01</v>
      </c>
      <c r="Q1469" s="6">
        <v>175.64</v>
      </c>
      <c r="R1469" s="7">
        <v>45352</v>
      </c>
      <c r="S1469" s="6">
        <v>33.46</v>
      </c>
      <c r="T1469" s="6">
        <v>3.43</v>
      </c>
      <c r="U1469" s="7">
        <v>45352</v>
      </c>
      <c r="V1469" s="6">
        <v>51.16</v>
      </c>
      <c r="W1469" s="6">
        <f ca="1">IFERROR(__xludf.DUMMYFUNCTION("IFERROR(GOOGLEFINANCE(B1469,""pe""),V1469)"),51.16)</f>
        <v>51.16</v>
      </c>
      <c r="X1469" s="12"/>
      <c r="Y1469" s="6">
        <v>7.37</v>
      </c>
      <c r="Z1469" s="6">
        <v>1</v>
      </c>
      <c r="AA1469" s="8">
        <v>45352</v>
      </c>
      <c r="AB1469" s="4">
        <v>0</v>
      </c>
      <c r="AC1469" s="6">
        <v>19.38</v>
      </c>
      <c r="AD1469" s="6">
        <v>26.03</v>
      </c>
      <c r="AE1469" s="1">
        <v>0</v>
      </c>
      <c r="AF1469" s="1">
        <f ca="1">IFERROR(__xludf.DUMMYFUNCTION("IFERROR(GOOGLEFINANCE(TRIM(F1469)&amp;"":"" &amp; TRIM(B1469),""high52""),AE1469)"),0)</f>
        <v>0</v>
      </c>
      <c r="AG1469" s="1">
        <v>0</v>
      </c>
      <c r="AH1469" s="1">
        <f ca="1">IFERROR(__xludf.DUMMYFUNCTION("IFERROR(GOOGLEFINANCE(TRIM(F1469)&amp;"":"" &amp; TRIM(B1469),""low52""),AE1469)"),0)</f>
        <v>0</v>
      </c>
      <c r="AI1469" s="1">
        <f ca="1">IFERROR(__xludf.DUMMYFUNCTION("IFERROR(GOOGLEFINANCE(B1469,""eps""),0)"),0)</f>
        <v>0</v>
      </c>
      <c r="AJ1469" s="1"/>
      <c r="AK1469" s="1" t="s">
        <v>4424</v>
      </c>
      <c r="AL1469" s="9">
        <f t="shared" si="194"/>
        <v>1</v>
      </c>
    </row>
    <row r="1470" spans="1:38" ht="15" x14ac:dyDescent="0.25">
      <c r="A1470" s="1" t="s">
        <v>4425</v>
      </c>
      <c r="B1470" s="1" t="s">
        <v>4426</v>
      </c>
      <c r="C1470" s="1" t="s">
        <v>416</v>
      </c>
      <c r="D1470" s="1" t="s">
        <v>416</v>
      </c>
      <c r="E1470" s="6">
        <v>254.73</v>
      </c>
      <c r="F1470" s="1" t="s">
        <v>53</v>
      </c>
      <c r="G1470" s="6">
        <f ca="1">IFERROR(__xludf.DUMMYFUNCTION("iferror(GOOGLEFINANCE(TRIM(F1470)&amp;"":"" &amp; TRIM(B1470), ""price""),0
)"),0)</f>
        <v>0</v>
      </c>
      <c r="H1470" s="6">
        <v>225</v>
      </c>
      <c r="I1470" s="6">
        <f t="shared" ca="1" si="0"/>
        <v>225</v>
      </c>
      <c r="J1470" s="6">
        <f ca="1">IFERROR(__xludf.DUMMYFUNCTION("IFERROR(GOOGLEFINANCE(B1470, ""volume""), 0)"),0)</f>
        <v>0</v>
      </c>
      <c r="K1470" s="6">
        <v>-10</v>
      </c>
      <c r="L1470" s="6">
        <f ca="1">IFERROR(__xludf.DUMMYFUNCTION("IFERROR(GOOGLEFINANCE(B1470,""changepct""),K1470)"),-10)</f>
        <v>-10</v>
      </c>
      <c r="M1470" s="6">
        <f ca="1">IFERROR(__xludf.DUMMYFUNCTION("IFERROR(GOOGLEFINANCE(B1470,""change""),0)"),0)</f>
        <v>0</v>
      </c>
      <c r="N1470" s="6">
        <v>1</v>
      </c>
      <c r="O1470" s="7">
        <v>45536</v>
      </c>
      <c r="P1470" s="6">
        <v>3.42</v>
      </c>
      <c r="Q1470" s="6">
        <v>258.14999999999998</v>
      </c>
      <c r="R1470" s="7">
        <v>45352</v>
      </c>
      <c r="S1470" s="6">
        <v>47.54</v>
      </c>
      <c r="T1470" s="6">
        <v>2.35</v>
      </c>
      <c r="U1470" s="7">
        <v>45352</v>
      </c>
      <c r="V1470" s="6">
        <v>108.44</v>
      </c>
      <c r="W1470" s="6">
        <f ca="1">IFERROR(__xludf.DUMMYFUNCTION("IFERROR(GOOGLEFINANCE(B1470,""pe""),V1470)"),108.44)</f>
        <v>108.44</v>
      </c>
      <c r="X1470" s="12"/>
      <c r="Y1470" s="6">
        <v>13.36</v>
      </c>
      <c r="Z1470" s="6">
        <v>1</v>
      </c>
      <c r="AA1470" s="8">
        <v>45352</v>
      </c>
      <c r="AB1470" s="4">
        <v>0.08</v>
      </c>
      <c r="AC1470" s="6">
        <v>20.079999999999998</v>
      </c>
      <c r="AD1470" s="6">
        <v>23.62</v>
      </c>
      <c r="AE1470" s="1">
        <v>0</v>
      </c>
      <c r="AF1470" s="1">
        <f ca="1">IFERROR(__xludf.DUMMYFUNCTION("IFERROR(GOOGLEFINANCE(TRIM(F1470)&amp;"":"" &amp; TRIM(B1470),""high52""),AE1470)"),0)</f>
        <v>0</v>
      </c>
      <c r="AG1470" s="1">
        <v>0</v>
      </c>
      <c r="AH1470" s="1">
        <f ca="1">IFERROR(__xludf.DUMMYFUNCTION("IFERROR(GOOGLEFINANCE(TRIM(F1470)&amp;"":"" &amp; TRIM(B1470),""low52""),AE1470)"),0)</f>
        <v>0</v>
      </c>
      <c r="AI1470" s="1">
        <f ca="1">IFERROR(__xludf.DUMMYFUNCTION("IFERROR(GOOGLEFINANCE(B1470,""eps""),0)"),0)</f>
        <v>0</v>
      </c>
      <c r="AJ1470" s="1"/>
      <c r="AK1470" s="1" t="s">
        <v>4427</v>
      </c>
      <c r="AL1470" s="9">
        <f t="shared" si="194"/>
        <v>1</v>
      </c>
    </row>
    <row r="1471" spans="1:38" ht="15" x14ac:dyDescent="0.25">
      <c r="A1471" s="1" t="s">
        <v>4428</v>
      </c>
      <c r="B1471" s="1" t="s">
        <v>4429</v>
      </c>
      <c r="C1471" s="1" t="s">
        <v>94</v>
      </c>
      <c r="D1471" s="1" t="s">
        <v>94</v>
      </c>
      <c r="E1471" s="6">
        <v>9646.85</v>
      </c>
      <c r="F1471" s="1" t="s">
        <v>40</v>
      </c>
      <c r="G1471" s="6">
        <f ca="1">IFERROR(__xludf.DUMMYFUNCTION("iferror(GOOGLEFINANCE(TRIM(F1471)&amp;"":"" &amp; TRIM(B1471), ""price""),0
)"),1129.9)</f>
        <v>1129.9000000000001</v>
      </c>
      <c r="H1471" s="6">
        <v>1083.3499999999999</v>
      </c>
      <c r="I1471" s="6">
        <f t="shared" ca="1" si="0"/>
        <v>1129.9000000000001</v>
      </c>
      <c r="J1471" s="6">
        <f ca="1">IFERROR(__xludf.DUMMYFUNCTION("IFERROR(GOOGLEFINANCE(B1471, ""volume""), 0)"),223335)</f>
        <v>223335</v>
      </c>
      <c r="K1471" s="6">
        <v>0.67</v>
      </c>
      <c r="L1471" s="6">
        <f ca="1">IFERROR(__xludf.DUMMYFUNCTION("IFERROR(GOOGLEFINANCE(B1471,""changepct""),K1471)"),0.97)</f>
        <v>0.97</v>
      </c>
      <c r="M1471" s="6">
        <f ca="1">IFERROR(__xludf.DUMMYFUNCTION("IFERROR(GOOGLEFINANCE(B1471,""change""),0)"),10.8)</f>
        <v>10.8</v>
      </c>
      <c r="N1471" s="6">
        <v>1</v>
      </c>
      <c r="O1471" s="7">
        <v>45536</v>
      </c>
      <c r="P1471" s="6">
        <v>342.28</v>
      </c>
      <c r="Q1471" s="7">
        <v>45536</v>
      </c>
      <c r="R1471" s="6">
        <v>28.18</v>
      </c>
      <c r="S1471" s="9"/>
      <c r="T1471" s="6">
        <v>4.21</v>
      </c>
      <c r="U1471" s="6">
        <v>1</v>
      </c>
      <c r="V1471" s="7">
        <v>45352</v>
      </c>
      <c r="W1471" s="6">
        <f ca="1">IFERROR(__xludf.DUMMYFUNCTION("IFERROR(GOOGLEFINANCE(B1471,""pe""),V1471)"),23.1)</f>
        <v>23.1</v>
      </c>
      <c r="X1471" s="6">
        <v>3.51</v>
      </c>
      <c r="Y1471" s="6">
        <v>15.78</v>
      </c>
      <c r="Z1471" s="6">
        <v>11.25</v>
      </c>
      <c r="AA1471" s="3" t="s">
        <v>4430</v>
      </c>
      <c r="AB1471" s="3"/>
      <c r="AC1471" s="9"/>
      <c r="AD1471" s="9"/>
      <c r="AE1471" s="1">
        <v>0</v>
      </c>
      <c r="AF1471" s="1">
        <f ca="1">IFERROR(__xludf.DUMMYFUNCTION("IFERROR(GOOGLEFINANCE(TRIM(F1471)&amp;"":"" &amp; TRIM(B1471),""high52""),AE1471)"),1519)</f>
        <v>1519</v>
      </c>
      <c r="AG1471" s="1">
        <v>0</v>
      </c>
      <c r="AH1471" s="1">
        <f ca="1">IFERROR(__xludf.DUMMYFUNCTION("IFERROR(GOOGLEFINANCE(TRIM(F1471)&amp;"":"" &amp; TRIM(B1471),""low52""),AE1471)"),878.4)</f>
        <v>878.4</v>
      </c>
      <c r="AI1471" s="1">
        <f ca="1">IFERROR(__xludf.DUMMYFUNCTION("IFERROR(GOOGLEFINANCE(B1471,""eps""),0)"),48.92)</f>
        <v>48.92</v>
      </c>
      <c r="AJ1471" s="1"/>
      <c r="AK1471" s="1" t="s">
        <v>4431</v>
      </c>
      <c r="AL1471" s="9">
        <f t="shared" si="194"/>
        <v>1</v>
      </c>
    </row>
    <row r="1472" spans="1:38" ht="15" x14ac:dyDescent="0.25">
      <c r="A1472" s="1" t="s">
        <v>4432</v>
      </c>
      <c r="B1472" s="1" t="s">
        <v>4433</v>
      </c>
      <c r="C1472" s="1" t="s">
        <v>416</v>
      </c>
      <c r="D1472" s="1" t="s">
        <v>416</v>
      </c>
      <c r="E1472" s="6">
        <v>130.97</v>
      </c>
      <c r="F1472" s="1" t="s">
        <v>53</v>
      </c>
      <c r="G1472" s="6">
        <f ca="1">IFERROR(__xludf.DUMMYFUNCTION("iferror(GOOGLEFINANCE(TRIM(F1472)&amp;"":"" &amp; TRIM(B1472), ""price""),0
)"),0)</f>
        <v>0</v>
      </c>
      <c r="H1472" s="6">
        <v>96.05</v>
      </c>
      <c r="I1472" s="6">
        <f t="shared" ca="1" si="0"/>
        <v>96.05</v>
      </c>
      <c r="J1472" s="6">
        <f ca="1">IFERROR(__xludf.DUMMYFUNCTION("IFERROR(GOOGLEFINANCE(B1472, ""volume""), 0)"),0)</f>
        <v>0</v>
      </c>
      <c r="K1472" s="6">
        <v>-0.26</v>
      </c>
      <c r="L1472" s="6">
        <f ca="1">IFERROR(__xludf.DUMMYFUNCTION("IFERROR(GOOGLEFINANCE(B1472,""changepct""),K1472)"),-0.26)</f>
        <v>-0.26</v>
      </c>
      <c r="M1472" s="6">
        <f ca="1">IFERROR(__xludf.DUMMYFUNCTION("IFERROR(GOOGLEFINANCE(B1472,""change""),0)"),0)</f>
        <v>0</v>
      </c>
      <c r="N1472" s="6">
        <v>1</v>
      </c>
      <c r="O1472" s="7">
        <v>45536</v>
      </c>
      <c r="P1472" s="6">
        <v>5.45</v>
      </c>
      <c r="Q1472" s="6">
        <v>136.41999999999999</v>
      </c>
      <c r="R1472" s="7">
        <v>45352</v>
      </c>
      <c r="S1472" s="6">
        <v>67.680000000000007</v>
      </c>
      <c r="T1472" s="6">
        <v>6.13</v>
      </c>
      <c r="U1472" s="7">
        <v>45352</v>
      </c>
      <c r="V1472" s="6">
        <v>21.35</v>
      </c>
      <c r="W1472" s="6">
        <f ca="1">IFERROR(__xludf.DUMMYFUNCTION("IFERROR(GOOGLEFINANCE(B1472,""pe""),V1472)"),21.35)</f>
        <v>21.35</v>
      </c>
      <c r="X1472" s="9"/>
      <c r="Y1472" s="6">
        <v>2.88</v>
      </c>
      <c r="Z1472" s="6">
        <v>1</v>
      </c>
      <c r="AA1472" s="8">
        <v>45352</v>
      </c>
      <c r="AB1472" s="4">
        <v>0.32</v>
      </c>
      <c r="AC1472" s="6">
        <v>33.299999999999997</v>
      </c>
      <c r="AD1472" s="6">
        <v>35.4</v>
      </c>
      <c r="AE1472" s="1">
        <v>0</v>
      </c>
      <c r="AF1472" s="1">
        <f ca="1">IFERROR(__xludf.DUMMYFUNCTION("IFERROR(GOOGLEFINANCE(TRIM(F1472)&amp;"":"" &amp; TRIM(B1472),""high52""),AE1472)"),0)</f>
        <v>0</v>
      </c>
      <c r="AG1472" s="1">
        <v>0</v>
      </c>
      <c r="AH1472" s="1">
        <f ca="1">IFERROR(__xludf.DUMMYFUNCTION("IFERROR(GOOGLEFINANCE(TRIM(F1472)&amp;"":"" &amp; TRIM(B1472),""low52""),AE1472)"),0)</f>
        <v>0</v>
      </c>
      <c r="AI1472" s="1">
        <f ca="1">IFERROR(__xludf.DUMMYFUNCTION("IFERROR(GOOGLEFINANCE(B1472,""eps""),0)"),0)</f>
        <v>0</v>
      </c>
      <c r="AJ1472" s="1"/>
      <c r="AK1472" s="1" t="s">
        <v>4434</v>
      </c>
      <c r="AL1472" s="9">
        <f t="shared" si="194"/>
        <v>1</v>
      </c>
    </row>
    <row r="1473" spans="1:38" ht="15" x14ac:dyDescent="0.25">
      <c r="A1473" s="1" t="s">
        <v>4435</v>
      </c>
      <c r="B1473" s="1" t="s">
        <v>4436</v>
      </c>
      <c r="C1473" s="1" t="s">
        <v>416</v>
      </c>
      <c r="D1473" s="1" t="s">
        <v>416</v>
      </c>
      <c r="E1473" s="6">
        <v>1049.53</v>
      </c>
      <c r="F1473" s="1" t="s">
        <v>53</v>
      </c>
      <c r="G1473" s="6">
        <f ca="1">IFERROR(__xludf.DUMMYFUNCTION("iferror(GOOGLEFINANCE(TRIM(F1473)&amp;"":"" &amp; TRIM(B1473), ""price""),0
)"),0)</f>
        <v>0</v>
      </c>
      <c r="H1473" s="6">
        <v>1642.6</v>
      </c>
      <c r="I1473" s="6">
        <f t="shared" ca="1" si="0"/>
        <v>1642.6</v>
      </c>
      <c r="J1473" s="6">
        <f ca="1">IFERROR(__xludf.DUMMYFUNCTION("IFERROR(GOOGLEFINANCE(B1473, ""volume""), 0)"),0)</f>
        <v>0</v>
      </c>
      <c r="K1473" s="6">
        <v>-1.39</v>
      </c>
      <c r="L1473" s="6">
        <f ca="1">IFERROR(__xludf.DUMMYFUNCTION("IFERROR(GOOGLEFINANCE(B1473,""changepct""),K1473)"),-1.39)</f>
        <v>-1.39</v>
      </c>
      <c r="M1473" s="6">
        <f ca="1">IFERROR(__xludf.DUMMYFUNCTION("IFERROR(GOOGLEFINANCE(B1473,""change""),0)"),0)</f>
        <v>0</v>
      </c>
      <c r="N1473" s="6">
        <v>1</v>
      </c>
      <c r="O1473" s="7">
        <v>45536</v>
      </c>
      <c r="P1473" s="6">
        <v>1.23</v>
      </c>
      <c r="Q1473" s="6">
        <v>1050.76</v>
      </c>
      <c r="R1473" s="7">
        <v>45352</v>
      </c>
      <c r="S1473" s="6">
        <v>65.52</v>
      </c>
      <c r="T1473" s="6">
        <v>13.04</v>
      </c>
      <c r="U1473" s="7">
        <v>45352</v>
      </c>
      <c r="V1473" s="6">
        <v>80.47</v>
      </c>
      <c r="W1473" s="6">
        <f ca="1">IFERROR(__xludf.DUMMYFUNCTION("IFERROR(GOOGLEFINANCE(B1473,""pe""),V1473)"),80.47)</f>
        <v>80.47</v>
      </c>
      <c r="X1473" s="9"/>
      <c r="Y1473" s="6">
        <v>10.88</v>
      </c>
      <c r="Z1473" s="6">
        <v>2</v>
      </c>
      <c r="AA1473" s="8">
        <v>45352</v>
      </c>
      <c r="AB1473" s="4">
        <v>0.06</v>
      </c>
      <c r="AC1473" s="6">
        <v>37.99</v>
      </c>
      <c r="AD1473" s="6">
        <v>47.98</v>
      </c>
      <c r="AE1473" s="1">
        <v>0</v>
      </c>
      <c r="AF1473" s="1">
        <f ca="1">IFERROR(__xludf.DUMMYFUNCTION("IFERROR(GOOGLEFINANCE(TRIM(F1473)&amp;"":"" &amp; TRIM(B1473),""high52""),AE1473)"),0)</f>
        <v>0</v>
      </c>
      <c r="AG1473" s="1">
        <v>0</v>
      </c>
      <c r="AH1473" s="1">
        <f ca="1">IFERROR(__xludf.DUMMYFUNCTION("IFERROR(GOOGLEFINANCE(TRIM(F1473)&amp;"":"" &amp; TRIM(B1473),""low52""),AE1473)"),0)</f>
        <v>0</v>
      </c>
      <c r="AI1473" s="1">
        <f ca="1">IFERROR(__xludf.DUMMYFUNCTION("IFERROR(GOOGLEFINANCE(B1473,""eps""),0)"),0)</f>
        <v>0</v>
      </c>
      <c r="AJ1473" s="1"/>
      <c r="AK1473" s="1" t="s">
        <v>4437</v>
      </c>
      <c r="AL1473" s="9">
        <f t="shared" si="194"/>
        <v>1</v>
      </c>
    </row>
    <row r="1474" spans="1:38" ht="15" x14ac:dyDescent="0.25">
      <c r="A1474" s="1" t="s">
        <v>4438</v>
      </c>
      <c r="B1474" s="1" t="s">
        <v>4439</v>
      </c>
      <c r="C1474" s="1" t="s">
        <v>487</v>
      </c>
      <c r="D1474" s="1" t="s">
        <v>487</v>
      </c>
      <c r="E1474" s="6">
        <v>162.80000000000001</v>
      </c>
      <c r="F1474" s="1" t="s">
        <v>40</v>
      </c>
      <c r="G1474" s="6">
        <f ca="1">IFERROR(__xludf.DUMMYFUNCTION("iferror(GOOGLEFINANCE(TRIM(F1474)&amp;"":"" &amp; TRIM(B1474), ""price""),0
)"),0)</f>
        <v>0</v>
      </c>
      <c r="H1474" s="6">
        <v>532.85</v>
      </c>
      <c r="I1474" s="6">
        <f t="shared" ca="1" si="0"/>
        <v>532.85</v>
      </c>
      <c r="J1474" s="6">
        <f ca="1">IFERROR(__xludf.DUMMYFUNCTION("IFERROR(GOOGLEFINANCE(B1474, ""volume""), 0)"),0)</f>
        <v>0</v>
      </c>
      <c r="K1474" s="9"/>
      <c r="L1474" s="6" t="str">
        <f ca="1">IFERROR(__xludf.DUMMYFUNCTION("IFERROR(GOOGLEFINANCE(B1474,""changepct""),K1474)"),"")</f>
        <v/>
      </c>
      <c r="M1474" s="6">
        <f ca="1">IFERROR(__xludf.DUMMYFUNCTION("IFERROR(GOOGLEFINANCE(B1474,""change""),0)"),0)</f>
        <v>0</v>
      </c>
      <c r="N1474" s="6">
        <v>1</v>
      </c>
      <c r="O1474" s="7">
        <v>45536</v>
      </c>
      <c r="P1474" s="6">
        <v>0.22</v>
      </c>
      <c r="Q1474" s="6">
        <v>163.02000000000001</v>
      </c>
      <c r="R1474" s="7">
        <v>45352</v>
      </c>
      <c r="S1474" s="6">
        <v>60.39</v>
      </c>
      <c r="T1474" s="6">
        <v>3.75</v>
      </c>
      <c r="U1474" s="7">
        <v>45352</v>
      </c>
      <c r="V1474" s="6">
        <v>43.45</v>
      </c>
      <c r="W1474" s="6">
        <f ca="1">IFERROR(__xludf.DUMMYFUNCTION("IFERROR(GOOGLEFINANCE(B1474,""pe""),V1474)"),43.45)</f>
        <v>43.45</v>
      </c>
      <c r="X1474" s="9"/>
      <c r="Y1474" s="6">
        <v>4.04</v>
      </c>
      <c r="Z1474" s="6">
        <v>2</v>
      </c>
      <c r="AA1474" s="8">
        <v>45352</v>
      </c>
      <c r="AB1474" s="4">
        <v>0</v>
      </c>
      <c r="AC1474" s="6">
        <v>7.17</v>
      </c>
      <c r="AD1474" s="6">
        <v>10.38</v>
      </c>
      <c r="AE1474" s="1">
        <v>0</v>
      </c>
      <c r="AF1474" s="1">
        <f ca="1">IFERROR(__xludf.DUMMYFUNCTION("IFERROR(GOOGLEFINANCE(TRIM(F1474)&amp;"":"" &amp; TRIM(B1474),""high52""),AE1474)"),0)</f>
        <v>0</v>
      </c>
      <c r="AG1474" s="1">
        <v>0</v>
      </c>
      <c r="AH1474" s="1">
        <f ca="1">IFERROR(__xludf.DUMMYFUNCTION("IFERROR(GOOGLEFINANCE(TRIM(F1474)&amp;"":"" &amp; TRIM(B1474),""low52""),AE1474)"),0)</f>
        <v>0</v>
      </c>
      <c r="AI1474" s="1">
        <f ca="1">IFERROR(__xludf.DUMMYFUNCTION("IFERROR(GOOGLEFINANCE(B1474,""eps""),0)"),0)</f>
        <v>0</v>
      </c>
      <c r="AJ1474" s="1"/>
      <c r="AK1474" s="1" t="s">
        <v>4440</v>
      </c>
      <c r="AL1474" s="9">
        <f t="shared" si="194"/>
        <v>1</v>
      </c>
    </row>
    <row r="1475" spans="1:38" ht="15" x14ac:dyDescent="0.25">
      <c r="A1475" s="1" t="s">
        <v>4441</v>
      </c>
      <c r="B1475" s="1" t="s">
        <v>4442</v>
      </c>
      <c r="C1475" s="1" t="s">
        <v>227</v>
      </c>
      <c r="D1475" s="1" t="s">
        <v>227</v>
      </c>
      <c r="E1475" s="6">
        <v>8123.85</v>
      </c>
      <c r="F1475" s="1" t="s">
        <v>40</v>
      </c>
      <c r="G1475" s="6">
        <f ca="1">IFERROR(__xludf.DUMMYFUNCTION("iferror(GOOGLEFINANCE(TRIM(F1475)&amp;"":"" &amp; TRIM(B1475), ""price""),0
)"),274.1)</f>
        <v>274.10000000000002</v>
      </c>
      <c r="H1475" s="6">
        <v>252.45</v>
      </c>
      <c r="I1475" s="6">
        <f t="shared" ca="1" si="0"/>
        <v>274.10000000000002</v>
      </c>
      <c r="J1475" s="6">
        <f ca="1">IFERROR(__xludf.DUMMYFUNCTION("IFERROR(GOOGLEFINANCE(B1475, ""volume""), 0)"),148900)</f>
        <v>148900</v>
      </c>
      <c r="K1475" s="6">
        <v>0.94</v>
      </c>
      <c r="L1475" s="6">
        <f ca="1">IFERROR(__xludf.DUMMYFUNCTION("IFERROR(GOOGLEFINANCE(B1475,""changepct""),K1475)"),-0.69)</f>
        <v>-0.69</v>
      </c>
      <c r="M1475" s="6">
        <f ca="1">IFERROR(__xludf.DUMMYFUNCTION("IFERROR(GOOGLEFINANCE(B1475,""change""),0)"),-1.9)</f>
        <v>-1.9</v>
      </c>
      <c r="N1475" s="6">
        <v>2</v>
      </c>
      <c r="O1475" s="7">
        <v>45536</v>
      </c>
      <c r="P1475" s="12"/>
      <c r="Q1475" s="6">
        <v>7685.06</v>
      </c>
      <c r="R1475" s="7">
        <v>45536</v>
      </c>
      <c r="S1475" s="6">
        <v>1975.19</v>
      </c>
      <c r="T1475" s="6">
        <v>78.06</v>
      </c>
      <c r="U1475" s="7">
        <v>45536</v>
      </c>
      <c r="V1475" s="6">
        <v>104.07</v>
      </c>
      <c r="W1475" s="6">
        <f ca="1">IFERROR(__xludf.DUMMYFUNCTION("IFERROR(GOOGLEFINANCE(B1475,""pe""),V1475)"),68.28)</f>
        <v>68.28</v>
      </c>
      <c r="X1475" s="12"/>
      <c r="Y1475" s="6">
        <v>7.22</v>
      </c>
      <c r="Z1475" s="6">
        <v>2</v>
      </c>
      <c r="AA1475" s="8">
        <v>45352</v>
      </c>
      <c r="AB1475" s="4">
        <v>0</v>
      </c>
      <c r="AC1475" s="6">
        <v>0</v>
      </c>
      <c r="AD1475" s="6">
        <v>18.32</v>
      </c>
      <c r="AE1475" s="1">
        <v>0</v>
      </c>
      <c r="AF1475" s="1">
        <f ca="1">IFERROR(__xludf.DUMMYFUNCTION("IFERROR(GOOGLEFINANCE(TRIM(F1475)&amp;"":"" &amp; TRIM(B1475),""high52""),AE1475)"),334.2)</f>
        <v>334.2</v>
      </c>
      <c r="AG1475" s="1">
        <v>0</v>
      </c>
      <c r="AH1475" s="1">
        <f ca="1">IFERROR(__xludf.DUMMYFUNCTION("IFERROR(GOOGLEFINANCE(TRIM(F1475)&amp;"":"" &amp; TRIM(B1475),""low52""),AE1475)"),197.51)</f>
        <v>197.51</v>
      </c>
      <c r="AI1475" s="1">
        <f ca="1">IFERROR(__xludf.DUMMYFUNCTION("IFERROR(GOOGLEFINANCE(B1475,""eps""),0)"),4.01)</f>
        <v>4.01</v>
      </c>
      <c r="AJ1475" s="1"/>
      <c r="AK1475" s="1" t="s">
        <v>4443</v>
      </c>
      <c r="AL1475" s="9">
        <f t="shared" si="194"/>
        <v>1</v>
      </c>
    </row>
    <row r="1476" spans="1:38" ht="15" x14ac:dyDescent="0.25">
      <c r="A1476" s="1" t="s">
        <v>4444</v>
      </c>
      <c r="B1476" s="1" t="s">
        <v>4445</v>
      </c>
      <c r="C1476" s="1" t="s">
        <v>125</v>
      </c>
      <c r="D1476" s="1" t="s">
        <v>125</v>
      </c>
      <c r="E1476" s="6">
        <v>2922.47</v>
      </c>
      <c r="F1476" s="1" t="s">
        <v>40</v>
      </c>
      <c r="G1476" s="6">
        <f ca="1">IFERROR(__xludf.DUMMYFUNCTION("iferror(GOOGLEFINANCE(TRIM(F1476)&amp;"":"" &amp; TRIM(B1476), ""price""),0
)"),2046)</f>
        <v>2046</v>
      </c>
      <c r="H1476" s="6">
        <v>2903.6</v>
      </c>
      <c r="I1476" s="6">
        <f t="shared" ca="1" si="0"/>
        <v>2046</v>
      </c>
      <c r="J1476" s="6">
        <f ca="1">IFERROR(__xludf.DUMMYFUNCTION("IFERROR(GOOGLEFINANCE(B1476, ""volume""), 0)"),4559)</f>
        <v>4559</v>
      </c>
      <c r="K1476" s="6">
        <v>0.65</v>
      </c>
      <c r="L1476" s="6">
        <f ca="1">IFERROR(__xludf.DUMMYFUNCTION("IFERROR(GOOGLEFINANCE(B1476,""changepct""),K1476)"),0.28)</f>
        <v>0.28000000000000003</v>
      </c>
      <c r="M1476" s="6">
        <f ca="1">IFERROR(__xludf.DUMMYFUNCTION("IFERROR(GOOGLEFINANCE(B1476,""change""),0)"),5.8)</f>
        <v>5.8</v>
      </c>
      <c r="N1476" s="6">
        <v>1</v>
      </c>
      <c r="O1476" s="7">
        <v>45536</v>
      </c>
      <c r="P1476" s="9"/>
      <c r="Q1476" s="6">
        <v>2402.39</v>
      </c>
      <c r="R1476" s="7">
        <v>45536</v>
      </c>
      <c r="S1476" s="6">
        <v>815.91</v>
      </c>
      <c r="T1476" s="6">
        <v>68.81</v>
      </c>
      <c r="U1476" s="7">
        <v>45536</v>
      </c>
      <c r="V1476" s="6">
        <v>42.47</v>
      </c>
      <c r="W1476" s="6">
        <f ca="1">IFERROR(__xludf.DUMMYFUNCTION("IFERROR(GOOGLEFINANCE(B1476,""pe""),V1476)"),27.34)</f>
        <v>27.34</v>
      </c>
      <c r="X1476" s="6">
        <v>4.42</v>
      </c>
      <c r="Y1476" s="6">
        <v>3.57</v>
      </c>
      <c r="Z1476" s="6">
        <v>1</v>
      </c>
      <c r="AA1476" s="8">
        <v>45352</v>
      </c>
      <c r="AB1476" s="4">
        <v>0</v>
      </c>
      <c r="AC1476" s="6">
        <v>11.91</v>
      </c>
      <c r="AD1476" s="6">
        <v>16.05</v>
      </c>
      <c r="AE1476" s="1">
        <v>0</v>
      </c>
      <c r="AF1476" s="1">
        <f ca="1">IFERROR(__xludf.DUMMYFUNCTION("IFERROR(GOOGLEFINANCE(TRIM(F1476)&amp;"":"" &amp; TRIM(B1476),""high52""),AE1476)"),3256)</f>
        <v>3256</v>
      </c>
      <c r="AG1476" s="1">
        <v>0</v>
      </c>
      <c r="AH1476" s="1">
        <f ca="1">IFERROR(__xludf.DUMMYFUNCTION("IFERROR(GOOGLEFINANCE(TRIM(F1476)&amp;"":"" &amp; TRIM(B1476),""low52""),AE1476)"),1815)</f>
        <v>1815</v>
      </c>
      <c r="AI1476" s="1">
        <f ca="1">IFERROR(__xludf.DUMMYFUNCTION("IFERROR(GOOGLEFINANCE(B1476,""eps""),0)"),74.84)</f>
        <v>74.84</v>
      </c>
      <c r="AJ1476" s="1"/>
      <c r="AK1476" s="1" t="s">
        <v>4446</v>
      </c>
      <c r="AL1476" s="9">
        <f t="shared" si="194"/>
        <v>1</v>
      </c>
    </row>
    <row r="1477" spans="1:38" ht="15" x14ac:dyDescent="0.25">
      <c r="A1477" s="1" t="s">
        <v>4447</v>
      </c>
      <c r="B1477" s="1" t="s">
        <v>4448</v>
      </c>
      <c r="C1477" s="1" t="s">
        <v>860</v>
      </c>
      <c r="D1477" s="1" t="s">
        <v>860</v>
      </c>
      <c r="E1477" s="6">
        <v>37512.370000000003</v>
      </c>
      <c r="F1477" s="1" t="s">
        <v>40</v>
      </c>
      <c r="G1477" s="6">
        <f ca="1">IFERROR(__xludf.DUMMYFUNCTION("iferror(GOOGLEFINANCE(TRIM(F1477)&amp;"":"" &amp; TRIM(B1477), ""price""),0
)"),33800)</f>
        <v>33800</v>
      </c>
      <c r="H1477" s="6">
        <v>43549</v>
      </c>
      <c r="I1477" s="6">
        <f t="shared" ca="1" si="0"/>
        <v>33800</v>
      </c>
      <c r="J1477" s="6">
        <f ca="1">IFERROR(__xludf.DUMMYFUNCTION("IFERROR(GOOGLEFINANCE(B1477, ""volume""), 0)"),3290)</f>
        <v>3290</v>
      </c>
      <c r="K1477" s="6">
        <v>2.78</v>
      </c>
      <c r="L1477" s="6">
        <f ca="1">IFERROR(__xludf.DUMMYFUNCTION("IFERROR(GOOGLEFINANCE(B1477,""changepct""),K1477)"),2.61)</f>
        <v>2.61</v>
      </c>
      <c r="M1477" s="6">
        <f ca="1">IFERROR(__xludf.DUMMYFUNCTION("IFERROR(GOOGLEFINANCE(B1477,""change""),0)"),860)</f>
        <v>860</v>
      </c>
      <c r="N1477" s="6">
        <v>1</v>
      </c>
      <c r="O1477" s="7">
        <v>45536</v>
      </c>
      <c r="P1477" s="9"/>
      <c r="Q1477" s="6">
        <v>34639.67</v>
      </c>
      <c r="R1477" s="7">
        <v>45536</v>
      </c>
      <c r="S1477" s="6">
        <v>4006</v>
      </c>
      <c r="T1477" s="6">
        <v>527.70000000000005</v>
      </c>
      <c r="U1477" s="7">
        <v>45536</v>
      </c>
      <c r="V1477" s="6">
        <v>71.09</v>
      </c>
      <c r="W1477" s="6">
        <f ca="1">IFERROR(__xludf.DUMMYFUNCTION("IFERROR(GOOGLEFINANCE(B1477,""pe""),V1477)"),57.9)</f>
        <v>57.9</v>
      </c>
      <c r="X1477" s="6">
        <v>10.27</v>
      </c>
      <c r="Y1477" s="6">
        <v>9.9499999999999993</v>
      </c>
      <c r="Z1477" s="6">
        <v>1</v>
      </c>
      <c r="AA1477" s="8">
        <v>45352</v>
      </c>
      <c r="AB1477" s="4">
        <v>0</v>
      </c>
      <c r="AC1477" s="6">
        <v>14.82</v>
      </c>
      <c r="AD1477" s="6">
        <v>20.04</v>
      </c>
      <c r="AE1477" s="1">
        <v>0</v>
      </c>
      <c r="AF1477" s="1">
        <f ca="1">IFERROR(__xludf.DUMMYFUNCTION("IFERROR(GOOGLEFINANCE(TRIM(F1477)&amp;"":"" &amp; TRIM(B1477),""high52""),AE1477)"),41450)</f>
        <v>41450</v>
      </c>
      <c r="AG1477" s="1">
        <v>0</v>
      </c>
      <c r="AH1477" s="1">
        <f ca="1">IFERROR(__xludf.DUMMYFUNCTION("IFERROR(GOOGLEFINANCE(TRIM(F1477)&amp;"":"" &amp; TRIM(B1477),""low52""),AE1477)"),30590)</f>
        <v>30590</v>
      </c>
      <c r="AI1477" s="1">
        <f ca="1">IFERROR(__xludf.DUMMYFUNCTION("IFERROR(GOOGLEFINANCE(B1477,""eps""),0)"),583.75)</f>
        <v>583.75</v>
      </c>
      <c r="AJ1477" s="1"/>
      <c r="AK1477" s="1" t="s">
        <v>4449</v>
      </c>
      <c r="AL1477" s="9">
        <f t="shared" si="194"/>
        <v>1</v>
      </c>
    </row>
    <row r="1478" spans="1:38" ht="15" x14ac:dyDescent="0.25">
      <c r="A1478" s="1" t="s">
        <v>4450</v>
      </c>
      <c r="B1478" s="1" t="s">
        <v>4451</v>
      </c>
      <c r="C1478" s="1" t="s">
        <v>416</v>
      </c>
      <c r="D1478" s="1" t="s">
        <v>416</v>
      </c>
      <c r="E1478" s="6">
        <v>1522.29</v>
      </c>
      <c r="F1478" s="1" t="s">
        <v>53</v>
      </c>
      <c r="G1478" s="6">
        <f ca="1">IFERROR(__xludf.DUMMYFUNCTION("iferror(GOOGLEFINANCE(TRIM(F1478)&amp;"":"" &amp; TRIM(B1478), ""price""),0
)"),0)</f>
        <v>0</v>
      </c>
      <c r="H1478" s="6">
        <v>292</v>
      </c>
      <c r="I1478" s="6">
        <f t="shared" ca="1" si="0"/>
        <v>292</v>
      </c>
      <c r="J1478" s="6">
        <f ca="1">IFERROR(__xludf.DUMMYFUNCTION("IFERROR(GOOGLEFINANCE(B1478, ""volume""), 0)"),0)</f>
        <v>0</v>
      </c>
      <c r="K1478" s="6">
        <v>-1.03</v>
      </c>
      <c r="L1478" s="6">
        <f ca="1">IFERROR(__xludf.DUMMYFUNCTION("IFERROR(GOOGLEFINANCE(B1478,""changepct""),K1478)"),-1.03)</f>
        <v>-1.03</v>
      </c>
      <c r="M1478" s="6">
        <f ca="1">IFERROR(__xludf.DUMMYFUNCTION("IFERROR(GOOGLEFINANCE(B1478,""change""),0)"),0)</f>
        <v>0</v>
      </c>
      <c r="N1478" s="6">
        <v>1</v>
      </c>
      <c r="O1478" s="7">
        <v>45536</v>
      </c>
      <c r="P1478" s="6">
        <v>4.21</v>
      </c>
      <c r="Q1478" s="6">
        <v>1526.5</v>
      </c>
      <c r="R1478" s="7">
        <v>45352</v>
      </c>
      <c r="S1478" s="6">
        <v>228.5</v>
      </c>
      <c r="T1478" s="6">
        <v>29.71</v>
      </c>
      <c r="U1478" s="7">
        <v>45352</v>
      </c>
      <c r="V1478" s="6">
        <v>51.24</v>
      </c>
      <c r="W1478" s="6">
        <f ca="1">IFERROR(__xludf.DUMMYFUNCTION("IFERROR(GOOGLEFINANCE(B1478,""pe""),V1478)"),51.24)</f>
        <v>51.24</v>
      </c>
      <c r="X1478" s="12"/>
      <c r="Y1478" s="6">
        <v>10.19</v>
      </c>
      <c r="Z1478" s="6">
        <v>1</v>
      </c>
      <c r="AA1478" s="8">
        <v>45352</v>
      </c>
      <c r="AB1478" s="4">
        <v>0.04</v>
      </c>
      <c r="AC1478" s="6">
        <v>43.12</v>
      </c>
      <c r="AD1478" s="6">
        <v>57.24</v>
      </c>
      <c r="AE1478" s="1">
        <v>0</v>
      </c>
      <c r="AF1478" s="1">
        <f ca="1">IFERROR(__xludf.DUMMYFUNCTION("IFERROR(GOOGLEFINANCE(TRIM(F1478)&amp;"":"" &amp; TRIM(B1478),""high52""),AE1478)"),0)</f>
        <v>0</v>
      </c>
      <c r="AG1478" s="1">
        <v>0</v>
      </c>
      <c r="AH1478" s="1">
        <f ca="1">IFERROR(__xludf.DUMMYFUNCTION("IFERROR(GOOGLEFINANCE(TRIM(F1478)&amp;"":"" &amp; TRIM(B1478),""low52""),AE1478)"),0)</f>
        <v>0</v>
      </c>
      <c r="AI1478" s="1">
        <f ca="1">IFERROR(__xludf.DUMMYFUNCTION("IFERROR(GOOGLEFINANCE(B1478,""eps""),0)"),0)</f>
        <v>0</v>
      </c>
      <c r="AJ1478" s="1"/>
      <c r="AK1478" s="1" t="s">
        <v>4452</v>
      </c>
      <c r="AL1478" s="9">
        <f t="shared" si="194"/>
        <v>1</v>
      </c>
    </row>
    <row r="1479" spans="1:38" ht="15" x14ac:dyDescent="0.25">
      <c r="A1479" s="1" t="s">
        <v>4453</v>
      </c>
      <c r="B1479" s="1" t="s">
        <v>4454</v>
      </c>
      <c r="C1479" s="1" t="s">
        <v>94</v>
      </c>
      <c r="D1479" s="1" t="s">
        <v>94</v>
      </c>
      <c r="E1479" s="6">
        <v>48516.05</v>
      </c>
      <c r="F1479" s="1" t="s">
        <v>40</v>
      </c>
      <c r="G1479" s="6">
        <f ca="1">IFERROR(__xludf.DUMMYFUNCTION("iferror(GOOGLEFINANCE(TRIM(F1479)&amp;"":"" &amp; TRIM(B1479), ""price""),0
)"),188.3)</f>
        <v>188.3</v>
      </c>
      <c r="H1479" s="6">
        <v>247</v>
      </c>
      <c r="I1479" s="6">
        <f t="shared" ca="1" si="0"/>
        <v>188.3</v>
      </c>
      <c r="J1479" s="6">
        <f ca="1">IFERROR(__xludf.DUMMYFUNCTION("IFERROR(GOOGLEFINANCE(B1479, ""volume""), 0)"),11857108)</f>
        <v>11857108</v>
      </c>
      <c r="K1479" s="6">
        <v>1.97</v>
      </c>
      <c r="L1479" s="6">
        <f ca="1">IFERROR(__xludf.DUMMYFUNCTION("IFERROR(GOOGLEFINANCE(B1479,""changepct""),K1479)"),-2.18)</f>
        <v>-2.1800000000000002</v>
      </c>
      <c r="M1479" s="6">
        <f ca="1">IFERROR(__xludf.DUMMYFUNCTION("IFERROR(GOOGLEFINANCE(B1479,""change""),0)"),-4.2)</f>
        <v>-4.2</v>
      </c>
      <c r="N1479" s="6">
        <v>2</v>
      </c>
      <c r="O1479" s="7">
        <v>45536</v>
      </c>
      <c r="P1479" s="6">
        <v>2465.7199999999998</v>
      </c>
      <c r="Q1479" s="7">
        <v>45536</v>
      </c>
      <c r="R1479" s="6">
        <v>19.68</v>
      </c>
      <c r="S1479" s="6">
        <v>1.59</v>
      </c>
      <c r="T1479" s="6">
        <v>2.83</v>
      </c>
      <c r="U1479" s="6">
        <v>2</v>
      </c>
      <c r="V1479" s="7">
        <v>45352</v>
      </c>
      <c r="W1479" s="6">
        <f ca="1">IFERROR(__xludf.DUMMYFUNCTION("IFERROR(GOOGLEFINANCE(B1479,""pe""),V1479)"),13.55)</f>
        <v>13.55</v>
      </c>
      <c r="X1479" s="6">
        <v>4.45</v>
      </c>
      <c r="Y1479" s="6">
        <v>13.21</v>
      </c>
      <c r="Z1479" s="6">
        <v>9.24</v>
      </c>
      <c r="AA1479" s="3" t="s">
        <v>4455</v>
      </c>
      <c r="AB1479" s="11"/>
      <c r="AC1479" s="9"/>
      <c r="AD1479" s="9"/>
      <c r="AE1479" s="1">
        <v>0</v>
      </c>
      <c r="AF1479" s="1">
        <f ca="1">IFERROR(__xludf.DUMMYFUNCTION("IFERROR(GOOGLEFINANCE(TRIM(F1479)&amp;"":"" &amp; TRIM(B1479),""high52""),AE1479)"),253.73)</f>
        <v>253.73</v>
      </c>
      <c r="AG1479" s="1">
        <v>0</v>
      </c>
      <c r="AH1479" s="1">
        <f ca="1">IFERROR(__xludf.DUMMYFUNCTION("IFERROR(GOOGLEFINANCE(TRIM(F1479)&amp;"":"" &amp; TRIM(B1479),""low52""),AE1479)"),158.85)</f>
        <v>158.85</v>
      </c>
      <c r="AI1479" s="1">
        <f ca="1">IFERROR(__xludf.DUMMYFUNCTION("IFERROR(GOOGLEFINANCE(B1479,""eps""),0)"),13.89)</f>
        <v>13.89</v>
      </c>
      <c r="AJ1479" s="1"/>
      <c r="AK1479" s="9"/>
      <c r="AL1479" s="9">
        <f t="shared" si="194"/>
        <v>1</v>
      </c>
    </row>
    <row r="1480" spans="1:38" ht="15" x14ac:dyDescent="0.25">
      <c r="A1480" s="1" t="s">
        <v>4456</v>
      </c>
      <c r="B1480" s="1" t="s">
        <v>4457</v>
      </c>
      <c r="C1480" s="1" t="s">
        <v>487</v>
      </c>
      <c r="D1480" s="1" t="s">
        <v>487</v>
      </c>
      <c r="E1480" s="6">
        <v>185.81</v>
      </c>
      <c r="F1480" s="1" t="s">
        <v>40</v>
      </c>
      <c r="G1480" s="6">
        <f ca="1">IFERROR(__xludf.DUMMYFUNCTION("iferror(GOOGLEFINANCE(TRIM(F1480)&amp;"":"" &amp; TRIM(B1480), ""price""),0
)"),2.15)</f>
        <v>2.15</v>
      </c>
      <c r="H1480" s="6">
        <v>3.9</v>
      </c>
      <c r="I1480" s="6">
        <f t="shared" ca="1" si="0"/>
        <v>2.15</v>
      </c>
      <c r="J1480" s="6">
        <f ca="1">IFERROR(__xludf.DUMMYFUNCTION("IFERROR(GOOGLEFINANCE(B1480, ""volume""), 0)"),294916)</f>
        <v>294916</v>
      </c>
      <c r="K1480" s="6">
        <v>0.26</v>
      </c>
      <c r="L1480" s="6">
        <f ca="1">IFERROR(__xludf.DUMMYFUNCTION("IFERROR(GOOGLEFINANCE(B1480,""changepct""),K1480)"),2.87)</f>
        <v>2.87</v>
      </c>
      <c r="M1480" s="6">
        <f ca="1">IFERROR(__xludf.DUMMYFUNCTION("IFERROR(GOOGLEFINANCE(B1480,""change""),0)"),0.06)</f>
        <v>0.06</v>
      </c>
      <c r="N1480" s="6">
        <v>1</v>
      </c>
      <c r="O1480" s="7">
        <v>45536</v>
      </c>
      <c r="P1480" s="6">
        <v>2483.64</v>
      </c>
      <c r="Q1480" s="6">
        <v>2655.15</v>
      </c>
      <c r="R1480" s="7">
        <v>45536</v>
      </c>
      <c r="S1480" s="6">
        <v>20.350000000000001</v>
      </c>
      <c r="T1480" s="6">
        <v>-10.5</v>
      </c>
      <c r="U1480" s="7">
        <v>45536</v>
      </c>
      <c r="V1480" s="6">
        <v>0</v>
      </c>
      <c r="W1480" s="6">
        <f ca="1">IFERROR(__xludf.DUMMYFUNCTION("IFERROR(GOOGLEFINANCE(B1480,""pe""),V1480)"),0)</f>
        <v>0</v>
      </c>
      <c r="X1480" s="9"/>
      <c r="Y1480" s="6">
        <v>-0.08</v>
      </c>
      <c r="Z1480" s="6">
        <v>1</v>
      </c>
      <c r="AA1480" s="8">
        <v>43525</v>
      </c>
      <c r="AB1480" s="4">
        <v>0.13</v>
      </c>
      <c r="AC1480" s="6">
        <v>0.83</v>
      </c>
      <c r="AD1480" s="6">
        <v>2.35</v>
      </c>
      <c r="AE1480" s="1">
        <v>0</v>
      </c>
      <c r="AF1480" s="1">
        <f ca="1">IFERROR(__xludf.DUMMYFUNCTION("IFERROR(GOOGLEFINANCE(TRIM(F1480)&amp;"":"" &amp; TRIM(B1480),""high52""),AE1480)"),4.04)</f>
        <v>4.04</v>
      </c>
      <c r="AG1480" s="1">
        <v>0</v>
      </c>
      <c r="AH1480" s="1">
        <f ca="1">IFERROR(__xludf.DUMMYFUNCTION("IFERROR(GOOGLEFINANCE(TRIM(F1480)&amp;"":"" &amp; TRIM(B1480),""low52""),AE1480)"),1.92)</f>
        <v>1.92</v>
      </c>
      <c r="AI1480" s="1">
        <f ca="1">IFERROR(__xludf.DUMMYFUNCTION("IFERROR(GOOGLEFINANCE(B1480,""eps""),0)"),0)</f>
        <v>0</v>
      </c>
      <c r="AJ1480" s="1"/>
      <c r="AK1480" s="1" t="s">
        <v>4458</v>
      </c>
      <c r="AL1480" s="9">
        <f t="shared" si="194"/>
        <v>1</v>
      </c>
    </row>
    <row r="1481" spans="1:38" ht="15" x14ac:dyDescent="0.25">
      <c r="A1481" s="1" t="s">
        <v>4459</v>
      </c>
      <c r="B1481" s="1" t="s">
        <v>4460</v>
      </c>
      <c r="C1481" s="1" t="s">
        <v>416</v>
      </c>
      <c r="D1481" s="1" t="s">
        <v>416</v>
      </c>
      <c r="E1481" s="6">
        <v>2315.5100000000002</v>
      </c>
      <c r="F1481" s="1" t="s">
        <v>53</v>
      </c>
      <c r="G1481" s="6">
        <f ca="1">IFERROR(__xludf.DUMMYFUNCTION("iferror(GOOGLEFINANCE(TRIM(F1481)&amp;"":"" &amp; TRIM(B1481), ""price""),0
)"),0)</f>
        <v>0</v>
      </c>
      <c r="H1481" s="6">
        <v>485.2</v>
      </c>
      <c r="I1481" s="6">
        <f t="shared" ca="1" si="0"/>
        <v>485.2</v>
      </c>
      <c r="J1481" s="6">
        <f ca="1">IFERROR(__xludf.DUMMYFUNCTION("IFERROR(GOOGLEFINANCE(B1481, ""volume""), 0)"),0)</f>
        <v>0</v>
      </c>
      <c r="K1481" s="6">
        <v>-0.49</v>
      </c>
      <c r="L1481" s="6">
        <f ca="1">IFERROR(__xludf.DUMMYFUNCTION("IFERROR(GOOGLEFINANCE(B1481,""changepct""),K1481)"),-0.49)</f>
        <v>-0.49</v>
      </c>
      <c r="M1481" s="6">
        <f ca="1">IFERROR(__xludf.DUMMYFUNCTION("IFERROR(GOOGLEFINANCE(B1481,""change""),0)"),0)</f>
        <v>0</v>
      </c>
      <c r="N1481" s="6">
        <v>2</v>
      </c>
      <c r="O1481" s="7">
        <v>45536</v>
      </c>
      <c r="P1481" s="6">
        <v>78.3</v>
      </c>
      <c r="Q1481" s="6">
        <v>2373.4</v>
      </c>
      <c r="R1481" s="7">
        <v>45352</v>
      </c>
      <c r="S1481" s="6">
        <v>329.48</v>
      </c>
      <c r="T1481" s="6">
        <v>50.54</v>
      </c>
      <c r="U1481" s="7">
        <v>45352</v>
      </c>
      <c r="V1481" s="6">
        <v>45.81</v>
      </c>
      <c r="W1481" s="6">
        <f ca="1">IFERROR(__xludf.DUMMYFUNCTION("IFERROR(GOOGLEFINANCE(B1481,""pe""),V1481)"),45.81)</f>
        <v>45.81</v>
      </c>
      <c r="X1481" s="9"/>
      <c r="Y1481" s="6">
        <v>5.93</v>
      </c>
      <c r="Z1481" s="6">
        <v>2</v>
      </c>
      <c r="AA1481" s="8">
        <v>45352</v>
      </c>
      <c r="AB1481" s="4">
        <v>0.36</v>
      </c>
      <c r="AC1481" s="6">
        <v>21.87</v>
      </c>
      <c r="AD1481" s="6">
        <v>22.72</v>
      </c>
      <c r="AE1481" s="1">
        <v>0</v>
      </c>
      <c r="AF1481" s="1">
        <f ca="1">IFERROR(__xludf.DUMMYFUNCTION("IFERROR(GOOGLEFINANCE(TRIM(F1481)&amp;"":"" &amp; TRIM(B1481),""high52""),AE1481)"),0)</f>
        <v>0</v>
      </c>
      <c r="AG1481" s="1">
        <v>0</v>
      </c>
      <c r="AH1481" s="1">
        <f ca="1">IFERROR(__xludf.DUMMYFUNCTION("IFERROR(GOOGLEFINANCE(TRIM(F1481)&amp;"":"" &amp; TRIM(B1481),""low52""),AE1481)"),0)</f>
        <v>0</v>
      </c>
      <c r="AI1481" s="1">
        <f ca="1">IFERROR(__xludf.DUMMYFUNCTION("IFERROR(GOOGLEFINANCE(B1481,""eps""),0)"),0)</f>
        <v>0</v>
      </c>
      <c r="AJ1481" s="1"/>
      <c r="AK1481" s="1" t="s">
        <v>4461</v>
      </c>
      <c r="AL1481" s="9">
        <f t="shared" si="194"/>
        <v>1</v>
      </c>
    </row>
    <row r="1482" spans="1:38" ht="15" x14ac:dyDescent="0.25">
      <c r="A1482" s="1" t="s">
        <v>4462</v>
      </c>
      <c r="B1482" s="1" t="s">
        <v>4463</v>
      </c>
      <c r="C1482" s="1" t="s">
        <v>90</v>
      </c>
      <c r="D1482" s="1" t="s">
        <v>90</v>
      </c>
      <c r="E1482" s="6">
        <v>101.52</v>
      </c>
      <c r="F1482" s="1" t="s">
        <v>40</v>
      </c>
      <c r="G1482" s="6">
        <f ca="1">IFERROR(__xludf.DUMMYFUNCTION("iferror(GOOGLEFINANCE(TRIM(F1482)&amp;"":"" &amp; TRIM(B1482), ""price""),0
)"),0)</f>
        <v>0</v>
      </c>
      <c r="H1482" s="6">
        <v>81.010000000000005</v>
      </c>
      <c r="I1482" s="6">
        <f t="shared" ca="1" si="0"/>
        <v>81.010000000000005</v>
      </c>
      <c r="J1482" s="6">
        <f ca="1">IFERROR(__xludf.DUMMYFUNCTION("IFERROR(GOOGLEFINANCE(B1482, ""volume""), 0)"),0)</f>
        <v>0</v>
      </c>
      <c r="K1482" s="6">
        <v>-0.26</v>
      </c>
      <c r="L1482" s="6">
        <f ca="1">IFERROR(__xludf.DUMMYFUNCTION("IFERROR(GOOGLEFINANCE(B1482,""changepct""),K1482)"),-0.26)</f>
        <v>-0.26</v>
      </c>
      <c r="M1482" s="6">
        <f ca="1">IFERROR(__xludf.DUMMYFUNCTION("IFERROR(GOOGLEFINANCE(B1482,""change""),0)"),0)</f>
        <v>0</v>
      </c>
      <c r="N1482" s="6">
        <v>2</v>
      </c>
      <c r="O1482" s="7">
        <v>45536</v>
      </c>
      <c r="P1482" s="9"/>
      <c r="Q1482" s="6">
        <v>96.14</v>
      </c>
      <c r="R1482" s="7">
        <v>45536</v>
      </c>
      <c r="S1482" s="6">
        <v>19.420000000000002</v>
      </c>
      <c r="T1482" s="6">
        <v>3.02</v>
      </c>
      <c r="U1482" s="7">
        <v>45536</v>
      </c>
      <c r="V1482" s="6">
        <v>33.69</v>
      </c>
      <c r="W1482" s="6">
        <f ca="1">IFERROR(__xludf.DUMMYFUNCTION("IFERROR(GOOGLEFINANCE(B1482,""pe""),V1482)"),33.69)</f>
        <v>33.69</v>
      </c>
      <c r="X1482" s="6">
        <v>0.46</v>
      </c>
      <c r="Y1482" s="6">
        <v>4.34</v>
      </c>
      <c r="Z1482" s="6">
        <v>2</v>
      </c>
      <c r="AA1482" s="8">
        <v>45352</v>
      </c>
      <c r="AB1482" s="4">
        <v>0.02</v>
      </c>
      <c r="AC1482" s="6">
        <v>11.66</v>
      </c>
      <c r="AD1482" s="6">
        <v>16.41</v>
      </c>
      <c r="AE1482" s="1">
        <v>0</v>
      </c>
      <c r="AF1482" s="1">
        <f ca="1">IFERROR(__xludf.DUMMYFUNCTION("IFERROR(GOOGLEFINANCE(TRIM(F1482)&amp;"":"" &amp; TRIM(B1482),""high52""),AE1482)"),0)</f>
        <v>0</v>
      </c>
      <c r="AG1482" s="1">
        <v>0</v>
      </c>
      <c r="AH1482" s="1">
        <f ca="1">IFERROR(__xludf.DUMMYFUNCTION("IFERROR(GOOGLEFINANCE(TRIM(F1482)&amp;"":"" &amp; TRIM(B1482),""low52""),AE1482)"),0)</f>
        <v>0</v>
      </c>
      <c r="AI1482" s="1">
        <f ca="1">IFERROR(__xludf.DUMMYFUNCTION("IFERROR(GOOGLEFINANCE(B1482,""eps""),0)"),0)</f>
        <v>0</v>
      </c>
      <c r="AJ1482" s="1"/>
      <c r="AK1482" s="1" t="s">
        <v>4464</v>
      </c>
      <c r="AL1482" s="1" t="b">
        <f>ISNUMBER(AA1482)</f>
        <v>1</v>
      </c>
    </row>
    <row r="1483" spans="1:38" ht="15" x14ac:dyDescent="0.25">
      <c r="A1483" s="1" t="s">
        <v>4465</v>
      </c>
      <c r="B1483" s="1" t="s">
        <v>4466</v>
      </c>
      <c r="C1483" s="1" t="s">
        <v>416</v>
      </c>
      <c r="D1483" s="1" t="s">
        <v>416</v>
      </c>
      <c r="E1483" s="6">
        <v>35.58</v>
      </c>
      <c r="F1483" s="1" t="s">
        <v>53</v>
      </c>
      <c r="G1483" s="6">
        <f ca="1">IFERROR(__xludf.DUMMYFUNCTION("iferror(GOOGLEFINANCE(TRIM(F1483)&amp;"":"" &amp; TRIM(B1483), ""price""),0
)"),0)</f>
        <v>0</v>
      </c>
      <c r="H1483" s="6">
        <v>95.7</v>
      </c>
      <c r="I1483" s="6">
        <f t="shared" ca="1" si="0"/>
        <v>95.7</v>
      </c>
      <c r="J1483" s="6">
        <f ca="1">IFERROR(__xludf.DUMMYFUNCTION("IFERROR(GOOGLEFINANCE(B1483, ""volume""), 0)"),0)</f>
        <v>0</v>
      </c>
      <c r="K1483" s="6">
        <v>4.99</v>
      </c>
      <c r="L1483" s="6">
        <f ca="1">IFERROR(__xludf.DUMMYFUNCTION("IFERROR(GOOGLEFINANCE(B1483,""changepct""),K1483)"),4.99)</f>
        <v>4.99</v>
      </c>
      <c r="M1483" s="6">
        <f ca="1">IFERROR(__xludf.DUMMYFUNCTION("IFERROR(GOOGLEFINANCE(B1483,""change""),0)"),0)</f>
        <v>0</v>
      </c>
      <c r="N1483" s="6">
        <v>1</v>
      </c>
      <c r="O1483" s="7">
        <v>45536</v>
      </c>
      <c r="P1483" s="6">
        <v>18.54</v>
      </c>
      <c r="Q1483" s="6">
        <v>54.12</v>
      </c>
      <c r="R1483" s="7">
        <v>45352</v>
      </c>
      <c r="S1483" s="6">
        <v>44.31</v>
      </c>
      <c r="T1483" s="6">
        <v>1</v>
      </c>
      <c r="U1483" s="7">
        <v>45352</v>
      </c>
      <c r="V1483" s="6">
        <v>35.54</v>
      </c>
      <c r="W1483" s="6">
        <f ca="1">IFERROR(__xludf.DUMMYFUNCTION("IFERROR(GOOGLEFINANCE(B1483,""pe""),V1483)"),35.54)</f>
        <v>35.54</v>
      </c>
      <c r="X1483" s="6">
        <v>0.5</v>
      </c>
      <c r="Y1483" s="6">
        <v>4.46</v>
      </c>
      <c r="Z1483" s="6">
        <v>1</v>
      </c>
      <c r="AA1483" s="8">
        <v>45352</v>
      </c>
      <c r="AB1483" s="4">
        <v>2.78</v>
      </c>
      <c r="AC1483" s="6">
        <v>13.74</v>
      </c>
      <c r="AD1483" s="6">
        <v>12.26</v>
      </c>
      <c r="AE1483" s="1">
        <v>0</v>
      </c>
      <c r="AF1483" s="1">
        <f ca="1">IFERROR(__xludf.DUMMYFUNCTION("IFERROR(GOOGLEFINANCE(TRIM(F1483)&amp;"":"" &amp; TRIM(B1483),""high52""),AE1483)"),0)</f>
        <v>0</v>
      </c>
      <c r="AG1483" s="1">
        <v>0</v>
      </c>
      <c r="AH1483" s="1">
        <f ca="1">IFERROR(__xludf.DUMMYFUNCTION("IFERROR(GOOGLEFINANCE(TRIM(F1483)&amp;"":"" &amp; TRIM(B1483),""low52""),AE1483)"),0)</f>
        <v>0</v>
      </c>
      <c r="AI1483" s="1">
        <f ca="1">IFERROR(__xludf.DUMMYFUNCTION("IFERROR(GOOGLEFINANCE(B1483,""eps""),0)"),0)</f>
        <v>0</v>
      </c>
      <c r="AJ1483" s="1"/>
      <c r="AK1483" s="1" t="s">
        <v>4467</v>
      </c>
      <c r="AL1483" s="9">
        <f t="shared" ref="AL1483:AL1488" si="195">IF(AA1483&lt;&gt;AB1483,1,0)</f>
        <v>1</v>
      </c>
    </row>
    <row r="1484" spans="1:38" ht="15" x14ac:dyDescent="0.25">
      <c r="A1484" s="1" t="s">
        <v>4468</v>
      </c>
      <c r="B1484" s="1" t="s">
        <v>4469</v>
      </c>
      <c r="C1484" s="1" t="s">
        <v>135</v>
      </c>
      <c r="D1484" s="1" t="s">
        <v>135</v>
      </c>
      <c r="E1484" s="6">
        <v>728.29</v>
      </c>
      <c r="F1484" s="1" t="s">
        <v>40</v>
      </c>
      <c r="G1484" s="6">
        <f ca="1">IFERROR(__xludf.DUMMYFUNCTION("iferror(GOOGLEFINANCE(TRIM(F1484)&amp;"":"" &amp; TRIM(B1484), ""price""),0
)"),37.74)</f>
        <v>37.74</v>
      </c>
      <c r="H1484" s="6">
        <v>79.56</v>
      </c>
      <c r="I1484" s="6">
        <f t="shared" ca="1" si="0"/>
        <v>37.74</v>
      </c>
      <c r="J1484" s="6">
        <f ca="1">IFERROR(__xludf.DUMMYFUNCTION("IFERROR(GOOGLEFINANCE(B1484, ""volume""), 0)"),46730)</f>
        <v>46730</v>
      </c>
      <c r="K1484" s="6">
        <v>0.56999999999999995</v>
      </c>
      <c r="L1484" s="6">
        <f ca="1">IFERROR(__xludf.DUMMYFUNCTION("IFERROR(GOOGLEFINANCE(B1484,""changepct""),K1484)"),-2.68)</f>
        <v>-2.68</v>
      </c>
      <c r="M1484" s="6">
        <f ca="1">IFERROR(__xludf.DUMMYFUNCTION("IFERROR(GOOGLEFINANCE(B1484,""change""),0)"),-1.04)</f>
        <v>-1.04</v>
      </c>
      <c r="N1484" s="6">
        <v>1</v>
      </c>
      <c r="O1484" s="7">
        <v>45536</v>
      </c>
      <c r="P1484" s="6">
        <v>0.85</v>
      </c>
      <c r="Q1484" s="6">
        <v>717.47</v>
      </c>
      <c r="R1484" s="7">
        <v>45536</v>
      </c>
      <c r="S1484" s="6">
        <v>233.49</v>
      </c>
      <c r="T1484" s="6">
        <v>20.57</v>
      </c>
      <c r="U1484" s="7">
        <v>45536</v>
      </c>
      <c r="V1484" s="6">
        <v>35.409999999999997</v>
      </c>
      <c r="W1484" s="6">
        <f ca="1">IFERROR(__xludf.DUMMYFUNCTION("IFERROR(GOOGLEFINANCE(B1484,""pe""),V1484)"),21.38)</f>
        <v>21.38</v>
      </c>
      <c r="X1484" s="9"/>
      <c r="Y1484" s="6">
        <v>4.1399999999999997</v>
      </c>
      <c r="Z1484" s="6">
        <v>1</v>
      </c>
      <c r="AA1484" s="8">
        <v>45352</v>
      </c>
      <c r="AB1484" s="4">
        <v>0</v>
      </c>
      <c r="AC1484" s="6">
        <v>12.97</v>
      </c>
      <c r="AD1484" s="6">
        <v>18.61</v>
      </c>
      <c r="AE1484" s="1">
        <v>0</v>
      </c>
      <c r="AF1484" s="1">
        <f ca="1">IFERROR(__xludf.DUMMYFUNCTION("IFERROR(GOOGLEFINANCE(TRIM(F1484)&amp;"":"" &amp; TRIM(B1484),""high52""),AE1484)"),71)</f>
        <v>71</v>
      </c>
      <c r="AG1484" s="1">
        <v>0</v>
      </c>
      <c r="AH1484" s="1">
        <f ca="1">IFERROR(__xludf.DUMMYFUNCTION("IFERROR(GOOGLEFINANCE(TRIM(F1484)&amp;"":"" &amp; TRIM(B1484),""low52""),AE1484)"),36.3)</f>
        <v>36.299999999999997</v>
      </c>
      <c r="AI1484" s="1">
        <f ca="1">IFERROR(__xludf.DUMMYFUNCTION("IFERROR(GOOGLEFINANCE(B1484,""eps""),0)"),1.77)</f>
        <v>1.77</v>
      </c>
      <c r="AJ1484" s="1"/>
      <c r="AK1484" s="1" t="s">
        <v>4470</v>
      </c>
      <c r="AL1484" s="9">
        <f t="shared" si="195"/>
        <v>1</v>
      </c>
    </row>
    <row r="1485" spans="1:38" ht="15" x14ac:dyDescent="0.25">
      <c r="A1485" s="1" t="s">
        <v>4471</v>
      </c>
      <c r="B1485" s="1" t="s">
        <v>4472</v>
      </c>
      <c r="C1485" s="1" t="s">
        <v>416</v>
      </c>
      <c r="D1485" s="1" t="s">
        <v>416</v>
      </c>
      <c r="E1485" s="6">
        <v>482.59</v>
      </c>
      <c r="F1485" s="1" t="s">
        <v>53</v>
      </c>
      <c r="G1485" s="6">
        <f ca="1">IFERROR(__xludf.DUMMYFUNCTION("iferror(GOOGLEFINANCE(TRIM(F1485)&amp;"":"" &amp; TRIM(B1485), ""price""),0
)"),0)</f>
        <v>0</v>
      </c>
      <c r="H1485" s="6">
        <v>544</v>
      </c>
      <c r="I1485" s="6">
        <f t="shared" ca="1" si="0"/>
        <v>544</v>
      </c>
      <c r="J1485" s="6">
        <f ca="1">IFERROR(__xludf.DUMMYFUNCTION("IFERROR(GOOGLEFINANCE(B1485, ""volume""), 0)"),0)</f>
        <v>0</v>
      </c>
      <c r="K1485" s="6">
        <v>2.02</v>
      </c>
      <c r="L1485" s="6">
        <f ca="1">IFERROR(__xludf.DUMMYFUNCTION("IFERROR(GOOGLEFINANCE(B1485,""changepct""),K1485)"),2.02)</f>
        <v>2.02</v>
      </c>
      <c r="M1485" s="6">
        <f ca="1">IFERROR(__xludf.DUMMYFUNCTION("IFERROR(GOOGLEFINANCE(B1485,""change""),0)"),0)</f>
        <v>0</v>
      </c>
      <c r="N1485" s="6">
        <v>1</v>
      </c>
      <c r="O1485" s="7">
        <v>45536</v>
      </c>
      <c r="P1485" s="6">
        <v>5.42</v>
      </c>
      <c r="Q1485" s="6">
        <v>472.48</v>
      </c>
      <c r="R1485" s="7">
        <v>45352</v>
      </c>
      <c r="S1485" s="6">
        <v>71.02</v>
      </c>
      <c r="T1485" s="6">
        <v>9.86</v>
      </c>
      <c r="U1485" s="7">
        <v>45352</v>
      </c>
      <c r="V1485" s="6">
        <v>48.97</v>
      </c>
      <c r="W1485" s="6">
        <f ca="1">IFERROR(__xludf.DUMMYFUNCTION("IFERROR(GOOGLEFINANCE(B1485,""pe""),V1485)"),48.97)</f>
        <v>48.97</v>
      </c>
      <c r="X1485" s="12"/>
      <c r="Y1485" s="6">
        <v>5.5</v>
      </c>
      <c r="Z1485" s="6">
        <v>1</v>
      </c>
      <c r="AA1485" s="8">
        <v>45352</v>
      </c>
      <c r="AB1485" s="4">
        <v>0.04</v>
      </c>
      <c r="AC1485" s="6">
        <v>11.83</v>
      </c>
      <c r="AD1485" s="6">
        <v>16.100000000000001</v>
      </c>
      <c r="AE1485" s="1">
        <v>0</v>
      </c>
      <c r="AF1485" s="1">
        <f ca="1">IFERROR(__xludf.DUMMYFUNCTION("IFERROR(GOOGLEFINANCE(TRIM(F1485)&amp;"":"" &amp; TRIM(B1485),""high52""),AE1485)"),0)</f>
        <v>0</v>
      </c>
      <c r="AG1485" s="1">
        <v>0</v>
      </c>
      <c r="AH1485" s="1">
        <f ca="1">IFERROR(__xludf.DUMMYFUNCTION("IFERROR(GOOGLEFINANCE(TRIM(F1485)&amp;"":"" &amp; TRIM(B1485),""low52""),AE1485)"),0)</f>
        <v>0</v>
      </c>
      <c r="AI1485" s="1">
        <f ca="1">IFERROR(__xludf.DUMMYFUNCTION("IFERROR(GOOGLEFINANCE(B1485,""eps""),0)"),0)</f>
        <v>0</v>
      </c>
      <c r="AJ1485" s="1"/>
      <c r="AK1485" s="1" t="s">
        <v>4473</v>
      </c>
      <c r="AL1485" s="9">
        <f t="shared" si="195"/>
        <v>1</v>
      </c>
    </row>
    <row r="1486" spans="1:38" ht="15" x14ac:dyDescent="0.25">
      <c r="A1486" s="1" t="s">
        <v>4474</v>
      </c>
      <c r="B1486" s="1" t="s">
        <v>4475</v>
      </c>
      <c r="C1486" s="1" t="s">
        <v>416</v>
      </c>
      <c r="D1486" s="1" t="s">
        <v>416</v>
      </c>
      <c r="E1486" s="6">
        <v>128.03</v>
      </c>
      <c r="F1486" s="1" t="s">
        <v>53</v>
      </c>
      <c r="G1486" s="6">
        <f ca="1">IFERROR(__xludf.DUMMYFUNCTION("iferror(GOOGLEFINANCE(TRIM(F1486)&amp;"":"" &amp; TRIM(B1486), ""price""),0
)"),0)</f>
        <v>0</v>
      </c>
      <c r="H1486" s="6">
        <v>157</v>
      </c>
      <c r="I1486" s="6">
        <f t="shared" ca="1" si="0"/>
        <v>157</v>
      </c>
      <c r="J1486" s="6">
        <f ca="1">IFERROR(__xludf.DUMMYFUNCTION("IFERROR(GOOGLEFINANCE(B1486, ""volume""), 0)"),0)</f>
        <v>0</v>
      </c>
      <c r="K1486" s="9"/>
      <c r="L1486" s="6" t="str">
        <f ca="1">IFERROR(__xludf.DUMMYFUNCTION("IFERROR(GOOGLEFINANCE(B1486,""changepct""),K1486)"),"")</f>
        <v/>
      </c>
      <c r="M1486" s="6">
        <f ca="1">IFERROR(__xludf.DUMMYFUNCTION("IFERROR(GOOGLEFINANCE(B1486,""change""),0)"),0)</f>
        <v>0</v>
      </c>
      <c r="N1486" s="6">
        <v>1</v>
      </c>
      <c r="O1486" s="7">
        <v>45536</v>
      </c>
      <c r="P1486" s="6">
        <v>25.31</v>
      </c>
      <c r="Q1486" s="6">
        <v>153.34</v>
      </c>
      <c r="R1486" s="7">
        <v>45352</v>
      </c>
      <c r="S1486" s="6">
        <v>82.56</v>
      </c>
      <c r="T1486" s="6">
        <v>8.32</v>
      </c>
      <c r="U1486" s="7">
        <v>45352</v>
      </c>
      <c r="V1486" s="6">
        <v>15.38</v>
      </c>
      <c r="W1486" s="6">
        <f ca="1">IFERROR(__xludf.DUMMYFUNCTION("IFERROR(GOOGLEFINANCE(B1486,""pe""),V1486)"),15.38)</f>
        <v>15.38</v>
      </c>
      <c r="X1486" s="9"/>
      <c r="Y1486" s="6">
        <v>3.38</v>
      </c>
      <c r="Z1486" s="6">
        <v>1</v>
      </c>
      <c r="AA1486" s="8">
        <v>45352</v>
      </c>
      <c r="AB1486" s="4">
        <v>0.81</v>
      </c>
      <c r="AC1486" s="6">
        <v>36.36</v>
      </c>
      <c r="AD1486" s="6">
        <v>24.21</v>
      </c>
      <c r="AE1486" s="1">
        <v>0</v>
      </c>
      <c r="AF1486" s="1">
        <f ca="1">IFERROR(__xludf.DUMMYFUNCTION("IFERROR(GOOGLEFINANCE(TRIM(F1486)&amp;"":"" &amp; TRIM(B1486),""high52""),AE1486)"),0)</f>
        <v>0</v>
      </c>
      <c r="AG1486" s="1">
        <v>0</v>
      </c>
      <c r="AH1486" s="1">
        <f ca="1">IFERROR(__xludf.DUMMYFUNCTION("IFERROR(GOOGLEFINANCE(TRIM(F1486)&amp;"":"" &amp; TRIM(B1486),""low52""),AE1486)"),0)</f>
        <v>0</v>
      </c>
      <c r="AI1486" s="1">
        <f ca="1">IFERROR(__xludf.DUMMYFUNCTION("IFERROR(GOOGLEFINANCE(B1486,""eps""),0)"),0)</f>
        <v>0</v>
      </c>
      <c r="AJ1486" s="1"/>
      <c r="AK1486" s="1" t="s">
        <v>4476</v>
      </c>
      <c r="AL1486" s="9">
        <f t="shared" si="195"/>
        <v>1</v>
      </c>
    </row>
    <row r="1487" spans="1:38" ht="15" x14ac:dyDescent="0.25">
      <c r="A1487" s="1" t="s">
        <v>4477</v>
      </c>
      <c r="B1487" s="1" t="s">
        <v>4478</v>
      </c>
      <c r="C1487" s="1" t="s">
        <v>125</v>
      </c>
      <c r="D1487" s="1" t="s">
        <v>125</v>
      </c>
      <c r="E1487" s="6">
        <v>3645.52</v>
      </c>
      <c r="F1487" s="1" t="s">
        <v>40</v>
      </c>
      <c r="G1487" s="6">
        <f ca="1">IFERROR(__xludf.DUMMYFUNCTION("iferror(GOOGLEFINANCE(TRIM(F1487)&amp;"":"" &amp; TRIM(B1487), ""price""),0
)"),329)</f>
        <v>329</v>
      </c>
      <c r="H1487" s="6">
        <v>581.29999999999995</v>
      </c>
      <c r="I1487" s="6">
        <f t="shared" ca="1" si="0"/>
        <v>329</v>
      </c>
      <c r="J1487" s="6">
        <f ca="1">IFERROR(__xludf.DUMMYFUNCTION("IFERROR(GOOGLEFINANCE(B1487, ""volume""), 0)"),1000)</f>
        <v>1000</v>
      </c>
      <c r="K1487" s="6">
        <v>2.5</v>
      </c>
      <c r="L1487" s="6">
        <f ca="1">IFERROR(__xludf.DUMMYFUNCTION("IFERROR(GOOGLEFINANCE(B1487,""changepct""),K1487)"),0)</f>
        <v>0</v>
      </c>
      <c r="M1487" s="6">
        <f ca="1">IFERROR(__xludf.DUMMYFUNCTION("IFERROR(GOOGLEFINANCE(B1487,""change""),0)"),0)</f>
        <v>0</v>
      </c>
      <c r="N1487" s="6">
        <v>2</v>
      </c>
      <c r="O1487" s="7">
        <v>45536</v>
      </c>
      <c r="P1487" s="6">
        <v>643.45000000000005</v>
      </c>
      <c r="Q1487" s="6">
        <v>4227.7</v>
      </c>
      <c r="R1487" s="7">
        <v>45536</v>
      </c>
      <c r="S1487" s="6">
        <v>1604.89</v>
      </c>
      <c r="T1487" s="6">
        <v>64.28</v>
      </c>
      <c r="U1487" s="7">
        <v>45536</v>
      </c>
      <c r="V1487" s="6">
        <v>56.79</v>
      </c>
      <c r="W1487" s="6">
        <f ca="1">IFERROR(__xludf.DUMMYFUNCTION("IFERROR(GOOGLEFINANCE(B1487,""pe""),V1487)"),56.79)</f>
        <v>56.79</v>
      </c>
      <c r="X1487" s="6">
        <v>9.43</v>
      </c>
      <c r="Y1487" s="6">
        <v>4.21</v>
      </c>
      <c r="Z1487" s="6">
        <v>2</v>
      </c>
      <c r="AA1487" s="8">
        <v>45352</v>
      </c>
      <c r="AB1487" s="4">
        <v>0.75</v>
      </c>
      <c r="AC1487" s="6">
        <v>5.38</v>
      </c>
      <c r="AD1487" s="6">
        <v>11.1</v>
      </c>
      <c r="AE1487" s="1">
        <v>0</v>
      </c>
      <c r="AF1487" s="1">
        <f ca="1">IFERROR(__xludf.DUMMYFUNCTION("IFERROR(GOOGLEFINANCE(TRIM(F1487)&amp;"":"" &amp; TRIM(B1487),""high52""),AE1487)"),639.9)</f>
        <v>639.9</v>
      </c>
      <c r="AG1487" s="1">
        <v>0</v>
      </c>
      <c r="AH1487" s="1">
        <f ca="1">IFERROR(__xludf.DUMMYFUNCTION("IFERROR(GOOGLEFINANCE(TRIM(F1487)&amp;"":"" &amp; TRIM(B1487),""low52""),AE1487)"),307.9)</f>
        <v>307.89999999999998</v>
      </c>
      <c r="AI1487" s="1">
        <f ca="1">IFERROR(__xludf.DUMMYFUNCTION("IFERROR(GOOGLEFINANCE(B1487,""eps""),0)"),-0.06)</f>
        <v>-0.06</v>
      </c>
      <c r="AJ1487" s="1"/>
      <c r="AK1487" s="1" t="s">
        <v>4479</v>
      </c>
      <c r="AL1487" s="9">
        <f t="shared" si="195"/>
        <v>1</v>
      </c>
    </row>
    <row r="1488" spans="1:38" ht="15" x14ac:dyDescent="0.25">
      <c r="A1488" s="1" t="s">
        <v>4480</v>
      </c>
      <c r="B1488" s="1" t="s">
        <v>4481</v>
      </c>
      <c r="C1488" s="1" t="s">
        <v>416</v>
      </c>
      <c r="D1488" s="1" t="s">
        <v>416</v>
      </c>
      <c r="E1488" s="6">
        <v>200.3</v>
      </c>
      <c r="F1488" s="1" t="s">
        <v>53</v>
      </c>
      <c r="G1488" s="6">
        <f ca="1">IFERROR(__xludf.DUMMYFUNCTION("iferror(GOOGLEFINANCE(TRIM(F1488)&amp;"":"" &amp; TRIM(B1488), ""price""),0
)"),0)</f>
        <v>0</v>
      </c>
      <c r="H1488" s="6">
        <v>156</v>
      </c>
      <c r="I1488" s="6">
        <f t="shared" ca="1" si="0"/>
        <v>156</v>
      </c>
      <c r="J1488" s="6">
        <f ca="1">IFERROR(__xludf.DUMMYFUNCTION("IFERROR(GOOGLEFINANCE(B1488, ""volume""), 0)"),0)</f>
        <v>0</v>
      </c>
      <c r="K1488" s="9"/>
      <c r="L1488" s="6">
        <f ca="1">IFERROR(__xludf.DUMMYFUNCTION("IFERROR(GOOGLEFINANCE(B1488,""changepct""),K1488)"),0)</f>
        <v>0</v>
      </c>
      <c r="M1488" s="6">
        <f ca="1">IFERROR(__xludf.DUMMYFUNCTION("IFERROR(GOOGLEFINANCE(B1488,""change""),0)"),0)</f>
        <v>0</v>
      </c>
      <c r="N1488" s="6">
        <v>1</v>
      </c>
      <c r="O1488" s="7">
        <v>45536</v>
      </c>
      <c r="P1488" s="6">
        <v>7.64</v>
      </c>
      <c r="Q1488" s="6">
        <v>207.95</v>
      </c>
      <c r="R1488" s="7">
        <v>45352</v>
      </c>
      <c r="S1488" s="6">
        <v>88.88</v>
      </c>
      <c r="T1488" s="6">
        <v>5.81</v>
      </c>
      <c r="U1488" s="7">
        <v>45352</v>
      </c>
      <c r="V1488" s="6">
        <v>34.47</v>
      </c>
      <c r="W1488" s="6">
        <f ca="1">IFERROR(__xludf.DUMMYFUNCTION("IFERROR(GOOGLEFINANCE(B1488,""pe""),V1488)"),34.47)</f>
        <v>34.47</v>
      </c>
      <c r="X1488" s="12"/>
      <c r="Y1488" s="6">
        <v>4.8600000000000003</v>
      </c>
      <c r="Z1488" s="6">
        <v>2</v>
      </c>
      <c r="AA1488" s="8">
        <v>45352</v>
      </c>
      <c r="AB1488" s="4">
        <v>1.52</v>
      </c>
      <c r="AC1488" s="6">
        <v>67.95</v>
      </c>
      <c r="AD1488" s="6">
        <v>46</v>
      </c>
      <c r="AE1488" s="1">
        <v>0</v>
      </c>
      <c r="AF1488" s="1">
        <f ca="1">IFERROR(__xludf.DUMMYFUNCTION("IFERROR(GOOGLEFINANCE(TRIM(F1488)&amp;"":"" &amp; TRIM(B1488),""high52""),AE1488)"),0)</f>
        <v>0</v>
      </c>
      <c r="AG1488" s="1">
        <v>0</v>
      </c>
      <c r="AH1488" s="1">
        <f ca="1">IFERROR(__xludf.DUMMYFUNCTION("IFERROR(GOOGLEFINANCE(TRIM(F1488)&amp;"":"" &amp; TRIM(B1488),""low52""),AE1488)"),0)</f>
        <v>0</v>
      </c>
      <c r="AI1488" s="1">
        <f ca="1">IFERROR(__xludf.DUMMYFUNCTION("IFERROR(GOOGLEFINANCE(B1488,""eps""),0)"),-0.02)</f>
        <v>-0.02</v>
      </c>
      <c r="AJ1488" s="1"/>
      <c r="AK1488" s="1" t="s">
        <v>4482</v>
      </c>
      <c r="AL1488" s="9">
        <f t="shared" si="195"/>
        <v>1</v>
      </c>
    </row>
    <row r="1489" spans="1:38" ht="15" x14ac:dyDescent="0.25">
      <c r="A1489" s="1" t="s">
        <v>4483</v>
      </c>
      <c r="B1489" s="1" t="s">
        <v>4484</v>
      </c>
      <c r="C1489" s="1" t="s">
        <v>90</v>
      </c>
      <c r="D1489" s="1" t="s">
        <v>90</v>
      </c>
      <c r="E1489" s="6">
        <v>132.31</v>
      </c>
      <c r="F1489" s="1" t="s">
        <v>40</v>
      </c>
      <c r="G1489" s="6">
        <f ca="1">IFERROR(__xludf.DUMMYFUNCTION("iferror(GOOGLEFINANCE(TRIM(F1489)&amp;"":"" &amp; TRIM(B1489), ""price""),0
)"),0)</f>
        <v>0</v>
      </c>
      <c r="H1489" s="6">
        <v>100.2</v>
      </c>
      <c r="I1489" s="6">
        <f t="shared" ca="1" si="0"/>
        <v>100.2</v>
      </c>
      <c r="J1489" s="6">
        <f ca="1">IFERROR(__xludf.DUMMYFUNCTION("IFERROR(GOOGLEFINANCE(B1489, ""volume""), 0)"),0)</f>
        <v>0</v>
      </c>
      <c r="K1489" s="9"/>
      <c r="L1489" s="6" t="str">
        <f ca="1">IFERROR(__xludf.DUMMYFUNCTION("IFERROR(GOOGLEFINANCE(B1489,""changepct""),K1489)"),"")</f>
        <v/>
      </c>
      <c r="M1489" s="6">
        <f ca="1">IFERROR(__xludf.DUMMYFUNCTION("IFERROR(GOOGLEFINANCE(B1489,""change""),0)"),0)</f>
        <v>0</v>
      </c>
      <c r="N1489" s="6">
        <v>1</v>
      </c>
      <c r="O1489" s="7">
        <v>45536</v>
      </c>
      <c r="P1489" s="6">
        <v>15.99</v>
      </c>
      <c r="Q1489" s="6">
        <v>148.30000000000001</v>
      </c>
      <c r="R1489" s="7">
        <v>45352</v>
      </c>
      <c r="S1489" s="6">
        <v>45.37</v>
      </c>
      <c r="T1489" s="6">
        <v>1.84</v>
      </c>
      <c r="U1489" s="7">
        <v>45352</v>
      </c>
      <c r="V1489" s="6">
        <v>71.790000000000006</v>
      </c>
      <c r="W1489" s="6">
        <f ca="1">IFERROR(__xludf.DUMMYFUNCTION("IFERROR(GOOGLEFINANCE(B1489,""pe""),V1489)"),71.79)</f>
        <v>71.790000000000006</v>
      </c>
      <c r="X1489" s="9"/>
      <c r="Y1489" s="6">
        <v>3.58</v>
      </c>
      <c r="Z1489" s="6">
        <v>1</v>
      </c>
      <c r="AA1489" s="8">
        <v>45352</v>
      </c>
      <c r="AB1489" s="4">
        <v>0.48</v>
      </c>
      <c r="AC1489" s="6">
        <v>11.73</v>
      </c>
      <c r="AD1489" s="6">
        <v>17.010000000000002</v>
      </c>
      <c r="AE1489" s="1">
        <v>0</v>
      </c>
      <c r="AF1489" s="1">
        <f ca="1">IFERROR(__xludf.DUMMYFUNCTION("IFERROR(GOOGLEFINANCE(TRIM(F1489)&amp;"":"" &amp; TRIM(B1489),""high52""),AE1489)"),0)</f>
        <v>0</v>
      </c>
      <c r="AG1489" s="1">
        <v>0</v>
      </c>
      <c r="AH1489" s="1">
        <f ca="1">IFERROR(__xludf.DUMMYFUNCTION("IFERROR(GOOGLEFINANCE(TRIM(F1489)&amp;"":"" &amp; TRIM(B1489),""low52""),AE1489)"),0)</f>
        <v>0</v>
      </c>
      <c r="AI1489" s="1">
        <f ca="1">IFERROR(__xludf.DUMMYFUNCTION("IFERROR(GOOGLEFINANCE(B1489,""eps""),0)"),0)</f>
        <v>0</v>
      </c>
      <c r="AJ1489" s="1"/>
      <c r="AK1489" s="1" t="s">
        <v>4485</v>
      </c>
      <c r="AL1489" s="1" t="b">
        <f>ISNUMBER(AA1489)</f>
        <v>1</v>
      </c>
    </row>
    <row r="1490" spans="1:38" ht="15" x14ac:dyDescent="0.25">
      <c r="A1490" s="1" t="s">
        <v>4486</v>
      </c>
      <c r="B1490" s="1" t="s">
        <v>4487</v>
      </c>
      <c r="C1490" s="1" t="s">
        <v>416</v>
      </c>
      <c r="D1490" s="1" t="s">
        <v>416</v>
      </c>
      <c r="E1490" s="6">
        <v>51.84</v>
      </c>
      <c r="F1490" s="1" t="s">
        <v>53</v>
      </c>
      <c r="G1490" s="6">
        <f ca="1">IFERROR(__xludf.DUMMYFUNCTION("iferror(GOOGLEFINANCE(TRIM(F1490)&amp;"":"" &amp; TRIM(B1490), ""price""),0
)"),0)</f>
        <v>0</v>
      </c>
      <c r="H1490" s="6">
        <v>810</v>
      </c>
      <c r="I1490" s="6">
        <f t="shared" ca="1" si="0"/>
        <v>810</v>
      </c>
      <c r="J1490" s="6">
        <f ca="1">IFERROR(__xludf.DUMMYFUNCTION("IFERROR(GOOGLEFINANCE(B1490, ""volume""), 0)"),0)</f>
        <v>0</v>
      </c>
      <c r="K1490" s="9"/>
      <c r="L1490" s="6" t="str">
        <f ca="1">IFERROR(__xludf.DUMMYFUNCTION("IFERROR(GOOGLEFINANCE(B1490,""changepct""),K1490)"),"")</f>
        <v/>
      </c>
      <c r="M1490" s="6">
        <f ca="1">IFERROR(__xludf.DUMMYFUNCTION("IFERROR(GOOGLEFINANCE(B1490,""change""),0)"),0)</f>
        <v>0</v>
      </c>
      <c r="N1490" s="6">
        <v>1</v>
      </c>
      <c r="O1490" s="7">
        <v>45536</v>
      </c>
      <c r="P1490" s="9"/>
      <c r="Q1490" s="6">
        <v>51.84</v>
      </c>
      <c r="R1490" s="7">
        <v>45536</v>
      </c>
      <c r="S1490" s="6">
        <v>0</v>
      </c>
      <c r="T1490" s="6">
        <v>-0.45</v>
      </c>
      <c r="U1490" s="7">
        <v>45536</v>
      </c>
      <c r="V1490" s="6">
        <v>0</v>
      </c>
      <c r="W1490" s="6">
        <f ca="1">IFERROR(__xludf.DUMMYFUNCTION("IFERROR(GOOGLEFINANCE(B1490,""pe""),V1490)"),0)</f>
        <v>0</v>
      </c>
      <c r="X1490" s="6">
        <v>0</v>
      </c>
      <c r="Y1490" s="6">
        <v>2.33</v>
      </c>
      <c r="Z1490" s="6">
        <v>1</v>
      </c>
      <c r="AA1490" s="8">
        <v>45352</v>
      </c>
      <c r="AB1490" s="4">
        <v>0</v>
      </c>
      <c r="AC1490" s="6">
        <v>4.5</v>
      </c>
      <c r="AD1490" s="6">
        <v>2.66</v>
      </c>
      <c r="AE1490" s="1">
        <v>0</v>
      </c>
      <c r="AF1490" s="1">
        <f ca="1">IFERROR(__xludf.DUMMYFUNCTION("IFERROR(GOOGLEFINANCE(TRIM(F1490)&amp;"":"" &amp; TRIM(B1490),""high52""),AE1490)"),0)</f>
        <v>0</v>
      </c>
      <c r="AG1490" s="1">
        <v>0</v>
      </c>
      <c r="AH1490" s="1">
        <f ca="1">IFERROR(__xludf.DUMMYFUNCTION("IFERROR(GOOGLEFINANCE(TRIM(F1490)&amp;"":"" &amp; TRIM(B1490),""low52""),AE1490)"),0)</f>
        <v>0</v>
      </c>
      <c r="AI1490" s="1">
        <f ca="1">IFERROR(__xludf.DUMMYFUNCTION("IFERROR(GOOGLEFINANCE(B1490,""eps""),0)"),0)</f>
        <v>0</v>
      </c>
      <c r="AJ1490" s="1"/>
      <c r="AK1490" s="1" t="s">
        <v>4488</v>
      </c>
      <c r="AL1490" s="9">
        <f t="shared" ref="AL1490:AL1509" si="196">IF(AA1490&lt;&gt;AB1490,1,0)</f>
        <v>1</v>
      </c>
    </row>
    <row r="1491" spans="1:38" ht="15" x14ac:dyDescent="0.25">
      <c r="A1491" s="1" t="s">
        <v>4489</v>
      </c>
      <c r="B1491" s="1" t="s">
        <v>4490</v>
      </c>
      <c r="C1491" s="1" t="s">
        <v>416</v>
      </c>
      <c r="D1491" s="1" t="s">
        <v>416</v>
      </c>
      <c r="E1491" s="6">
        <v>33.81</v>
      </c>
      <c r="F1491" s="1" t="s">
        <v>53</v>
      </c>
      <c r="G1491" s="6">
        <f ca="1">IFERROR(__xludf.DUMMYFUNCTION("iferror(GOOGLEFINANCE(TRIM(F1491)&amp;"":"" &amp; TRIM(B1491), ""price""),0
)"),0)</f>
        <v>0</v>
      </c>
      <c r="H1491" s="6">
        <v>34.11</v>
      </c>
      <c r="I1491" s="6">
        <f t="shared" ca="1" si="0"/>
        <v>34.11</v>
      </c>
      <c r="J1491" s="6">
        <f ca="1">IFERROR(__xludf.DUMMYFUNCTION("IFERROR(GOOGLEFINANCE(B1491, ""volume""), 0)"),0)</f>
        <v>0</v>
      </c>
      <c r="K1491" s="12"/>
      <c r="L1491" s="6" t="str">
        <f ca="1">IFERROR(__xludf.DUMMYFUNCTION("IFERROR(GOOGLEFINANCE(B1491,""changepct""),K1491)"),"")</f>
        <v/>
      </c>
      <c r="M1491" s="6">
        <f ca="1">IFERROR(__xludf.DUMMYFUNCTION("IFERROR(GOOGLEFINANCE(B1491,""change""),0)"),0)</f>
        <v>0</v>
      </c>
      <c r="N1491" s="6">
        <v>1</v>
      </c>
      <c r="O1491" s="7">
        <v>45536</v>
      </c>
      <c r="P1491" s="6">
        <v>4.46</v>
      </c>
      <c r="Q1491" s="6">
        <v>38.270000000000003</v>
      </c>
      <c r="R1491" s="7">
        <v>45536</v>
      </c>
      <c r="S1491" s="6">
        <v>20.16</v>
      </c>
      <c r="T1491" s="6">
        <v>0.53</v>
      </c>
      <c r="U1491" s="7">
        <v>45536</v>
      </c>
      <c r="V1491" s="6">
        <v>63.67</v>
      </c>
      <c r="W1491" s="6">
        <f ca="1">IFERROR(__xludf.DUMMYFUNCTION("IFERROR(GOOGLEFINANCE(B1491,""pe""),V1491)"),63.67)</f>
        <v>63.67</v>
      </c>
      <c r="X1491" s="6">
        <v>3.17</v>
      </c>
      <c r="Y1491" s="6">
        <v>21.09</v>
      </c>
      <c r="Z1491" s="6">
        <v>1</v>
      </c>
      <c r="AA1491" s="8">
        <v>45352</v>
      </c>
      <c r="AB1491" s="4">
        <v>3.08</v>
      </c>
      <c r="AC1491" s="6">
        <v>39.869999999999997</v>
      </c>
      <c r="AD1491" s="6">
        <v>11.61</v>
      </c>
      <c r="AE1491" s="1">
        <v>0</v>
      </c>
      <c r="AF1491" s="1">
        <f ca="1">IFERROR(__xludf.DUMMYFUNCTION("IFERROR(GOOGLEFINANCE(TRIM(F1491)&amp;"":"" &amp; TRIM(B1491),""high52""),AE1491)"),0)</f>
        <v>0</v>
      </c>
      <c r="AG1491" s="1">
        <v>0</v>
      </c>
      <c r="AH1491" s="1">
        <f ca="1">IFERROR(__xludf.DUMMYFUNCTION("IFERROR(GOOGLEFINANCE(TRIM(F1491)&amp;"":"" &amp; TRIM(B1491),""low52""),AE1491)"),0)</f>
        <v>0</v>
      </c>
      <c r="AI1491" s="1">
        <f ca="1">IFERROR(__xludf.DUMMYFUNCTION("IFERROR(GOOGLEFINANCE(B1491,""eps""),0)"),0)</f>
        <v>0</v>
      </c>
      <c r="AJ1491" s="1"/>
      <c r="AK1491" s="1" t="s">
        <v>4491</v>
      </c>
      <c r="AL1491" s="9">
        <f t="shared" si="196"/>
        <v>1</v>
      </c>
    </row>
    <row r="1492" spans="1:38" ht="15" x14ac:dyDescent="0.25">
      <c r="A1492" s="1" t="s">
        <v>4492</v>
      </c>
      <c r="B1492" s="1" t="s">
        <v>4493</v>
      </c>
      <c r="C1492" s="1" t="s">
        <v>416</v>
      </c>
      <c r="D1492" s="1" t="s">
        <v>416</v>
      </c>
      <c r="E1492" s="6">
        <v>1713.68</v>
      </c>
      <c r="F1492" s="1" t="s">
        <v>53</v>
      </c>
      <c r="G1492" s="6">
        <f ca="1">IFERROR(__xludf.DUMMYFUNCTION("iferror(GOOGLEFINANCE(TRIM(F1492)&amp;"":"" &amp; TRIM(B1492), ""price""),0
)"),0)</f>
        <v>0</v>
      </c>
      <c r="H1492" s="6">
        <v>1612</v>
      </c>
      <c r="I1492" s="6">
        <f t="shared" ca="1" si="0"/>
        <v>1612</v>
      </c>
      <c r="J1492" s="6">
        <f ca="1">IFERROR(__xludf.DUMMYFUNCTION("IFERROR(GOOGLEFINANCE(B1492, ""volume""), 0)"),18068)</f>
        <v>18068</v>
      </c>
      <c r="K1492" s="6">
        <v>1.6</v>
      </c>
      <c r="L1492" s="6">
        <f ca="1">IFERROR(__xludf.DUMMYFUNCTION("IFERROR(GOOGLEFINANCE(B1492,""changepct""),K1492)"),-0.77)</f>
        <v>-0.77</v>
      </c>
      <c r="M1492" s="6">
        <f ca="1">IFERROR(__xludf.DUMMYFUNCTION("IFERROR(GOOGLEFINANCE(B1492,""change""),0)"),-11.2)</f>
        <v>-11.2</v>
      </c>
      <c r="N1492" s="6">
        <v>2</v>
      </c>
      <c r="O1492" s="7">
        <v>45536</v>
      </c>
      <c r="P1492" s="6">
        <v>41.57</v>
      </c>
      <c r="Q1492" s="6">
        <v>1671.01</v>
      </c>
      <c r="R1492" s="7">
        <v>45536</v>
      </c>
      <c r="S1492" s="6">
        <v>238.34</v>
      </c>
      <c r="T1492" s="6">
        <v>24.31</v>
      </c>
      <c r="U1492" s="7">
        <v>45536</v>
      </c>
      <c r="V1492" s="6">
        <v>69.319999999999993</v>
      </c>
      <c r="W1492" s="6">
        <f ca="1">IFERROR(__xludf.DUMMYFUNCTION("IFERROR(GOOGLEFINANCE(B1492,""pe""),V1492)"),39.21)</f>
        <v>39.21</v>
      </c>
      <c r="X1492" s="9"/>
      <c r="Y1492" s="6">
        <v>9.99</v>
      </c>
      <c r="Z1492" s="6">
        <v>2</v>
      </c>
      <c r="AA1492" s="8">
        <v>45352</v>
      </c>
      <c r="AB1492" s="4">
        <v>0.75</v>
      </c>
      <c r="AC1492" s="6">
        <v>36.69</v>
      </c>
      <c r="AD1492" s="6">
        <v>38.369999999999997</v>
      </c>
      <c r="AE1492" s="1">
        <v>0</v>
      </c>
      <c r="AF1492" s="1">
        <f ca="1">IFERROR(__xludf.DUMMYFUNCTION("IFERROR(GOOGLEFINANCE(TRIM(F1492)&amp;"":"" &amp; TRIM(B1492),""high52""),AE1492)"),0)</f>
        <v>0</v>
      </c>
      <c r="AG1492" s="1">
        <v>0</v>
      </c>
      <c r="AH1492" s="1">
        <f ca="1">IFERROR(__xludf.DUMMYFUNCTION("IFERROR(GOOGLEFINANCE(TRIM(F1492)&amp;"":"" &amp; TRIM(B1492),""low52""),AE1492)"),0)</f>
        <v>0</v>
      </c>
      <c r="AI1492" s="1">
        <f ca="1">IFERROR(__xludf.DUMMYFUNCTION("IFERROR(GOOGLEFINANCE(B1492,""eps""),0)"),36.62)</f>
        <v>36.619999999999997</v>
      </c>
      <c r="AJ1492" s="1"/>
      <c r="AK1492" s="1" t="s">
        <v>4494</v>
      </c>
      <c r="AL1492" s="9">
        <f t="shared" si="196"/>
        <v>1</v>
      </c>
    </row>
    <row r="1493" spans="1:38" ht="15" x14ac:dyDescent="0.25">
      <c r="A1493" s="1" t="s">
        <v>4495</v>
      </c>
      <c r="B1493" s="1" t="s">
        <v>4496</v>
      </c>
      <c r="C1493" s="1" t="s">
        <v>416</v>
      </c>
      <c r="D1493" s="1" t="s">
        <v>416</v>
      </c>
      <c r="E1493" s="6">
        <v>65.77</v>
      </c>
      <c r="F1493" s="1" t="s">
        <v>53</v>
      </c>
      <c r="G1493" s="6">
        <f ca="1">IFERROR(__xludf.DUMMYFUNCTION("iferror(GOOGLEFINANCE(TRIM(F1493)&amp;"":"" &amp; TRIM(B1493), ""price""),0
)"),0)</f>
        <v>0</v>
      </c>
      <c r="H1493" s="6">
        <v>41.58</v>
      </c>
      <c r="I1493" s="6">
        <f t="shared" ca="1" si="0"/>
        <v>41.58</v>
      </c>
      <c r="J1493" s="6">
        <f ca="1">IFERROR(__xludf.DUMMYFUNCTION("IFERROR(GOOGLEFINANCE(B1493, ""volume""), 0)"),0)</f>
        <v>0</v>
      </c>
      <c r="K1493" s="6">
        <v>1.51</v>
      </c>
      <c r="L1493" s="6">
        <f ca="1">IFERROR(__xludf.DUMMYFUNCTION("IFERROR(GOOGLEFINANCE(B1493,""changepct""),K1493)"),1.51)</f>
        <v>1.51</v>
      </c>
      <c r="M1493" s="6">
        <f ca="1">IFERROR(__xludf.DUMMYFUNCTION("IFERROR(GOOGLEFINANCE(B1493,""change""),0)"),0)</f>
        <v>0</v>
      </c>
      <c r="N1493" s="6">
        <v>2</v>
      </c>
      <c r="O1493" s="7">
        <v>45536</v>
      </c>
      <c r="P1493" s="6">
        <v>11.42</v>
      </c>
      <c r="Q1493" s="6">
        <v>68.89</v>
      </c>
      <c r="R1493" s="7">
        <v>45536</v>
      </c>
      <c r="S1493" s="6">
        <v>15.33</v>
      </c>
      <c r="T1493" s="6">
        <v>-7.0000000000000007E-2</v>
      </c>
      <c r="U1493" s="7">
        <v>45536</v>
      </c>
      <c r="V1493" s="6">
        <v>0</v>
      </c>
      <c r="W1493" s="6">
        <f ca="1">IFERROR(__xludf.DUMMYFUNCTION("IFERROR(GOOGLEFINANCE(B1493,""pe""),V1493)"),0)</f>
        <v>0</v>
      </c>
      <c r="X1493" s="12"/>
      <c r="Y1493" s="6">
        <v>0.65</v>
      </c>
      <c r="Z1493" s="6">
        <v>2</v>
      </c>
      <c r="AA1493" s="8">
        <v>45352</v>
      </c>
      <c r="AB1493" s="4">
        <v>0.09</v>
      </c>
      <c r="AC1493" s="6">
        <v>-2.0099999999999998</v>
      </c>
      <c r="AD1493" s="6">
        <v>-1.01</v>
      </c>
      <c r="AE1493" s="1">
        <v>0</v>
      </c>
      <c r="AF1493" s="1">
        <f ca="1">IFERROR(__xludf.DUMMYFUNCTION("IFERROR(GOOGLEFINANCE(TRIM(F1493)&amp;"":"" &amp; TRIM(B1493),""high52""),AE1493)"),0)</f>
        <v>0</v>
      </c>
      <c r="AG1493" s="1">
        <v>0</v>
      </c>
      <c r="AH1493" s="1">
        <f ca="1">IFERROR(__xludf.DUMMYFUNCTION("IFERROR(GOOGLEFINANCE(TRIM(F1493)&amp;"":"" &amp; TRIM(B1493),""low52""),AE1493)"),0)</f>
        <v>0</v>
      </c>
      <c r="AI1493" s="1">
        <f ca="1">IFERROR(__xludf.DUMMYFUNCTION("IFERROR(GOOGLEFINANCE(B1493,""eps""),0)"),0)</f>
        <v>0</v>
      </c>
      <c r="AJ1493" s="1"/>
      <c r="AK1493" s="1" t="s">
        <v>4497</v>
      </c>
      <c r="AL1493" s="9">
        <f t="shared" si="196"/>
        <v>1</v>
      </c>
    </row>
    <row r="1494" spans="1:38" ht="15" x14ac:dyDescent="0.25">
      <c r="A1494" s="1" t="s">
        <v>4498</v>
      </c>
      <c r="B1494" s="1" t="s">
        <v>4499</v>
      </c>
      <c r="C1494" s="1" t="s">
        <v>778</v>
      </c>
      <c r="D1494" s="1" t="s">
        <v>778</v>
      </c>
      <c r="E1494" s="6">
        <v>547.66</v>
      </c>
      <c r="F1494" s="1" t="s">
        <v>40</v>
      </c>
      <c r="G1494" s="6">
        <f ca="1">IFERROR(__xludf.DUMMYFUNCTION("iferror(GOOGLEFINANCE(TRIM(F1494)&amp;"":"" &amp; TRIM(B1494), ""price""),0
)"),21.79)</f>
        <v>21.79</v>
      </c>
      <c r="H1494" s="6">
        <v>23.69</v>
      </c>
      <c r="I1494" s="6">
        <f t="shared" ca="1" si="0"/>
        <v>21.79</v>
      </c>
      <c r="J1494" s="6">
        <f ca="1">IFERROR(__xludf.DUMMYFUNCTION("IFERROR(GOOGLEFINANCE(B1494, ""volume""), 0)"),94318)</f>
        <v>94318</v>
      </c>
      <c r="K1494" s="6">
        <v>0.89</v>
      </c>
      <c r="L1494" s="6">
        <f ca="1">IFERROR(__xludf.DUMMYFUNCTION("IFERROR(GOOGLEFINANCE(B1494,""changepct""),K1494)"),-1.49)</f>
        <v>-1.49</v>
      </c>
      <c r="M1494" s="6">
        <f ca="1">IFERROR(__xludf.DUMMYFUNCTION("IFERROR(GOOGLEFINANCE(B1494,""change""),0)"),-0.33)</f>
        <v>-0.33</v>
      </c>
      <c r="N1494" s="6">
        <v>2</v>
      </c>
      <c r="O1494" s="7">
        <v>45536</v>
      </c>
      <c r="P1494" s="6">
        <v>692.4</v>
      </c>
      <c r="Q1494" s="6">
        <v>1097.23</v>
      </c>
      <c r="R1494" s="7">
        <v>45536</v>
      </c>
      <c r="S1494" s="6">
        <v>1709.57</v>
      </c>
      <c r="T1494" s="6">
        <v>-49.43</v>
      </c>
      <c r="U1494" s="7">
        <v>45536</v>
      </c>
      <c r="V1494" s="6">
        <v>0</v>
      </c>
      <c r="W1494" s="6">
        <f ca="1">IFERROR(__xludf.DUMMYFUNCTION("IFERROR(GOOGLEFINANCE(B1494,""pe""),V1494)"),30.43)</f>
        <v>30.43</v>
      </c>
      <c r="X1494" s="6">
        <v>0</v>
      </c>
      <c r="Y1494" s="6">
        <v>0.33</v>
      </c>
      <c r="Z1494" s="6">
        <v>2</v>
      </c>
      <c r="AA1494" s="8">
        <v>45352</v>
      </c>
      <c r="AB1494" s="4">
        <v>0.43</v>
      </c>
      <c r="AC1494" s="6">
        <v>-5.2</v>
      </c>
      <c r="AD1494" s="6">
        <v>-2.5299999999999998</v>
      </c>
      <c r="AE1494" s="1">
        <v>0</v>
      </c>
      <c r="AF1494" s="1">
        <f ca="1">IFERROR(__xludf.DUMMYFUNCTION("IFERROR(GOOGLEFINANCE(TRIM(F1494)&amp;"":"" &amp; TRIM(B1494),""high52""),AE1494)"),28.64)</f>
        <v>28.64</v>
      </c>
      <c r="AG1494" s="1">
        <v>0</v>
      </c>
      <c r="AH1494" s="1">
        <f ca="1">IFERROR(__xludf.DUMMYFUNCTION("IFERROR(GOOGLEFINANCE(TRIM(F1494)&amp;"":"" &amp; TRIM(B1494),""low52""),AE1494)"),15.1)</f>
        <v>15.1</v>
      </c>
      <c r="AI1494" s="1">
        <f ca="1">IFERROR(__xludf.DUMMYFUNCTION("IFERROR(GOOGLEFINANCE(B1494,""eps""),0)"),0.72)</f>
        <v>0.72</v>
      </c>
      <c r="AJ1494" s="1"/>
      <c r="AK1494" s="1" t="s">
        <v>4500</v>
      </c>
      <c r="AL1494" s="9">
        <f t="shared" si="196"/>
        <v>1</v>
      </c>
    </row>
    <row r="1495" spans="1:38" ht="15" x14ac:dyDescent="0.25">
      <c r="A1495" s="1" t="s">
        <v>4501</v>
      </c>
      <c r="B1495" s="1" t="s">
        <v>4502</v>
      </c>
      <c r="C1495" s="1" t="s">
        <v>416</v>
      </c>
      <c r="D1495" s="1" t="s">
        <v>416</v>
      </c>
      <c r="E1495" s="6">
        <v>2169.1999999999998</v>
      </c>
      <c r="F1495" s="1" t="s">
        <v>53</v>
      </c>
      <c r="G1495" s="6">
        <f ca="1">IFERROR(__xludf.DUMMYFUNCTION("iferror(GOOGLEFINANCE(TRIM(F1495)&amp;"":"" &amp; TRIM(B1495), ""price""),0
)"),0)</f>
        <v>0</v>
      </c>
      <c r="H1495" s="6">
        <v>1470</v>
      </c>
      <c r="I1495" s="6">
        <f t="shared" ca="1" si="0"/>
        <v>1470</v>
      </c>
      <c r="J1495" s="6">
        <f ca="1">IFERROR(__xludf.DUMMYFUNCTION("IFERROR(GOOGLEFINANCE(B1495, ""volume""), 0)"),0)</f>
        <v>0</v>
      </c>
      <c r="K1495" s="6">
        <v>-1.17</v>
      </c>
      <c r="L1495" s="6">
        <f ca="1">IFERROR(__xludf.DUMMYFUNCTION("IFERROR(GOOGLEFINANCE(B1495,""changepct""),K1495)"),-1.17)</f>
        <v>-1.17</v>
      </c>
      <c r="M1495" s="6">
        <f ca="1">IFERROR(__xludf.DUMMYFUNCTION("IFERROR(GOOGLEFINANCE(B1495,""change""),0)"),0)</f>
        <v>0</v>
      </c>
      <c r="N1495" s="6">
        <v>1</v>
      </c>
      <c r="O1495" s="7">
        <v>45536</v>
      </c>
      <c r="P1495" s="6">
        <v>28.05</v>
      </c>
      <c r="Q1495" s="6">
        <v>2197.0700000000002</v>
      </c>
      <c r="R1495" s="7">
        <v>45536</v>
      </c>
      <c r="S1495" s="6">
        <v>80.489999999999995</v>
      </c>
      <c r="T1495" s="6">
        <v>11.72</v>
      </c>
      <c r="U1495" s="7">
        <v>45536</v>
      </c>
      <c r="V1495" s="6">
        <v>185.07</v>
      </c>
      <c r="W1495" s="6">
        <f ca="1">IFERROR(__xludf.DUMMYFUNCTION("IFERROR(GOOGLEFINANCE(B1495,""pe""),V1495)"),185.07)</f>
        <v>185.07</v>
      </c>
      <c r="X1495" s="6">
        <v>2.92</v>
      </c>
      <c r="Y1495" s="6">
        <v>44.97</v>
      </c>
      <c r="Z1495" s="6">
        <v>1</v>
      </c>
      <c r="AA1495" s="8">
        <v>45352</v>
      </c>
      <c r="AB1495" s="4">
        <v>0.47</v>
      </c>
      <c r="AC1495" s="6">
        <v>24.96</v>
      </c>
      <c r="AD1495" s="6">
        <v>22.61</v>
      </c>
      <c r="AE1495" s="1">
        <v>0</v>
      </c>
      <c r="AF1495" s="1">
        <f ca="1">IFERROR(__xludf.DUMMYFUNCTION("IFERROR(GOOGLEFINANCE(TRIM(F1495)&amp;"":"" &amp; TRIM(B1495),""high52""),AE1495)"),0)</f>
        <v>0</v>
      </c>
      <c r="AG1495" s="1">
        <v>0</v>
      </c>
      <c r="AH1495" s="1">
        <f ca="1">IFERROR(__xludf.DUMMYFUNCTION("IFERROR(GOOGLEFINANCE(TRIM(F1495)&amp;"":"" &amp; TRIM(B1495),""low52""),AE1495)"),0)</f>
        <v>0</v>
      </c>
      <c r="AI1495" s="1">
        <f ca="1">IFERROR(__xludf.DUMMYFUNCTION("IFERROR(GOOGLEFINANCE(B1495,""eps""),0)"),0)</f>
        <v>0</v>
      </c>
      <c r="AJ1495" s="1"/>
      <c r="AK1495" s="1" t="s">
        <v>4503</v>
      </c>
      <c r="AL1495" s="9">
        <f t="shared" si="196"/>
        <v>1</v>
      </c>
    </row>
    <row r="1496" spans="1:38" ht="15" x14ac:dyDescent="0.25">
      <c r="A1496" s="1" t="s">
        <v>4504</v>
      </c>
      <c r="B1496" s="1" t="s">
        <v>4505</v>
      </c>
      <c r="C1496" s="1" t="s">
        <v>416</v>
      </c>
      <c r="D1496" s="1" t="s">
        <v>416</v>
      </c>
      <c r="E1496" s="6">
        <v>376.39</v>
      </c>
      <c r="F1496" s="1" t="s">
        <v>53</v>
      </c>
      <c r="G1496" s="6">
        <f ca="1">IFERROR(__xludf.DUMMYFUNCTION("iferror(GOOGLEFINANCE(TRIM(F1496)&amp;"":"" &amp; TRIM(B1496), ""price""),0
)"),0)</f>
        <v>0</v>
      </c>
      <c r="H1496" s="6">
        <v>9.34</v>
      </c>
      <c r="I1496" s="6">
        <f t="shared" ca="1" si="0"/>
        <v>9.34</v>
      </c>
      <c r="J1496" s="6">
        <f ca="1">IFERROR(__xludf.DUMMYFUNCTION("IFERROR(GOOGLEFINANCE(B1496, ""volume""), 0)"),592552)</f>
        <v>592552</v>
      </c>
      <c r="K1496" s="6">
        <v>-1.99</v>
      </c>
      <c r="L1496" s="6">
        <f ca="1">IFERROR(__xludf.DUMMYFUNCTION("IFERROR(GOOGLEFINANCE(B1496,""changepct""),K1496)"),0)</f>
        <v>0</v>
      </c>
      <c r="M1496" s="6">
        <f ca="1">IFERROR(__xludf.DUMMYFUNCTION("IFERROR(GOOGLEFINANCE(B1496,""change""),0)"),0)</f>
        <v>0</v>
      </c>
      <c r="N1496" s="6">
        <v>1</v>
      </c>
      <c r="O1496" s="7">
        <v>45536</v>
      </c>
      <c r="P1496" s="6">
        <v>254.85</v>
      </c>
      <c r="Q1496" s="6">
        <v>626.41</v>
      </c>
      <c r="R1496" s="7">
        <v>45536</v>
      </c>
      <c r="S1496" s="6">
        <v>81.5</v>
      </c>
      <c r="T1496" s="6">
        <v>-74.92</v>
      </c>
      <c r="U1496" s="7">
        <v>45536</v>
      </c>
      <c r="V1496" s="6">
        <v>0</v>
      </c>
      <c r="W1496" s="6">
        <f ca="1">IFERROR(__xludf.DUMMYFUNCTION("IFERROR(GOOGLEFINANCE(B1496,""pe""),V1496)"),0)</f>
        <v>0</v>
      </c>
      <c r="X1496" s="6">
        <v>0</v>
      </c>
      <c r="Y1496" s="6">
        <v>-1.89</v>
      </c>
      <c r="Z1496" s="6">
        <v>1</v>
      </c>
      <c r="AA1496" s="8">
        <v>45352</v>
      </c>
      <c r="AB1496" s="4">
        <v>-1.44</v>
      </c>
      <c r="AC1496" s="6">
        <v>0</v>
      </c>
      <c r="AD1496" s="6">
        <v>110.09</v>
      </c>
      <c r="AE1496" s="1">
        <v>0</v>
      </c>
      <c r="AF1496" s="1">
        <f ca="1">IFERROR(__xludf.DUMMYFUNCTION("IFERROR(GOOGLEFINANCE(TRIM(F1496)&amp;"":"" &amp; TRIM(B1496),""high52""),AE1496)"),0)</f>
        <v>0</v>
      </c>
      <c r="AG1496" s="1">
        <v>0</v>
      </c>
      <c r="AH1496" s="1">
        <f ca="1">IFERROR(__xludf.DUMMYFUNCTION("IFERROR(GOOGLEFINANCE(TRIM(F1496)&amp;"":"" &amp; TRIM(B1496),""low52""),AE1496)"),0)</f>
        <v>0</v>
      </c>
      <c r="AI1496" s="1">
        <f ca="1">IFERROR(__xludf.DUMMYFUNCTION("IFERROR(GOOGLEFINANCE(B1496,""eps""),0)"),-0.03)</f>
        <v>-0.03</v>
      </c>
      <c r="AJ1496" s="1"/>
      <c r="AK1496" s="1" t="s">
        <v>4506</v>
      </c>
      <c r="AL1496" s="9">
        <f t="shared" si="196"/>
        <v>1</v>
      </c>
    </row>
    <row r="1497" spans="1:38" ht="15" x14ac:dyDescent="0.25">
      <c r="A1497" s="1" t="s">
        <v>4507</v>
      </c>
      <c r="B1497" s="1" t="s">
        <v>4508</v>
      </c>
      <c r="C1497" s="1" t="s">
        <v>416</v>
      </c>
      <c r="D1497" s="1" t="s">
        <v>416</v>
      </c>
      <c r="E1497" s="6">
        <v>265.3</v>
      </c>
      <c r="F1497" s="1" t="s">
        <v>53</v>
      </c>
      <c r="G1497" s="6">
        <f ca="1">IFERROR(__xludf.DUMMYFUNCTION("iferror(GOOGLEFINANCE(TRIM(F1497)&amp;"":"" &amp; TRIM(B1497), ""price""),0
)"),0)</f>
        <v>0</v>
      </c>
      <c r="H1497" s="6">
        <v>212.7</v>
      </c>
      <c r="I1497" s="6">
        <f t="shared" ca="1" si="0"/>
        <v>212.7</v>
      </c>
      <c r="J1497" s="6">
        <f ca="1">IFERROR(__xludf.DUMMYFUNCTION("IFERROR(GOOGLEFINANCE(B1497, ""volume""), 0)"),2124718)</f>
        <v>2124718</v>
      </c>
      <c r="K1497" s="6">
        <v>1.5</v>
      </c>
      <c r="L1497" s="6">
        <f ca="1">IFERROR(__xludf.DUMMYFUNCTION("IFERROR(GOOGLEFINANCE(B1497,""changepct""),K1497)"),0.32)</f>
        <v>0.32</v>
      </c>
      <c r="M1497" s="6">
        <f ca="1">IFERROR(__xludf.DUMMYFUNCTION("IFERROR(GOOGLEFINANCE(B1497,""change""),0)"),0.01)</f>
        <v>0.01</v>
      </c>
      <c r="N1497" s="6">
        <v>1</v>
      </c>
      <c r="O1497" s="7">
        <v>45536</v>
      </c>
      <c r="P1497" s="6">
        <v>2.06</v>
      </c>
      <c r="Q1497" s="6">
        <v>264.88</v>
      </c>
      <c r="R1497" s="7">
        <v>45536</v>
      </c>
      <c r="S1497" s="6">
        <v>311.33</v>
      </c>
      <c r="T1497" s="6">
        <v>6.84</v>
      </c>
      <c r="U1497" s="7">
        <v>45536</v>
      </c>
      <c r="V1497" s="6">
        <v>38.81</v>
      </c>
      <c r="W1497" s="6">
        <f ca="1">IFERROR(__xludf.DUMMYFUNCTION("IFERROR(GOOGLEFINANCE(B1497,""pe""),V1497)"),38.81)</f>
        <v>38.81</v>
      </c>
      <c r="X1497" s="6">
        <v>0.95</v>
      </c>
      <c r="Y1497" s="6">
        <v>6.82</v>
      </c>
      <c r="Z1497" s="6">
        <v>1</v>
      </c>
      <c r="AA1497" s="8">
        <v>45352</v>
      </c>
      <c r="AB1497" s="4">
        <v>0.33</v>
      </c>
      <c r="AC1497" s="6">
        <v>18.78</v>
      </c>
      <c r="AD1497" s="6">
        <v>21.85</v>
      </c>
      <c r="AE1497" s="1">
        <v>0</v>
      </c>
      <c r="AF1497" s="1">
        <f ca="1">IFERROR(__xludf.DUMMYFUNCTION("IFERROR(GOOGLEFINANCE(TRIM(F1497)&amp;"":"" &amp; TRIM(B1497),""high52""),AE1497)"),0)</f>
        <v>0</v>
      </c>
      <c r="AG1497" s="1">
        <v>0</v>
      </c>
      <c r="AH1497" s="1">
        <f ca="1">IFERROR(__xludf.DUMMYFUNCTION("IFERROR(GOOGLEFINANCE(TRIM(F1497)&amp;"":"" &amp; TRIM(B1497),""low52""),AE1497)"),0)</f>
        <v>0</v>
      </c>
      <c r="AI1497" s="1">
        <f ca="1">IFERROR(__xludf.DUMMYFUNCTION("IFERROR(GOOGLEFINANCE(B1497,""eps""),0)"),-0.17)</f>
        <v>-0.17</v>
      </c>
      <c r="AJ1497" s="1"/>
      <c r="AK1497" s="1" t="s">
        <v>4509</v>
      </c>
      <c r="AL1497" s="9">
        <f t="shared" si="196"/>
        <v>1</v>
      </c>
    </row>
    <row r="1498" spans="1:38" ht="15" x14ac:dyDescent="0.25">
      <c r="A1498" s="1" t="s">
        <v>4510</v>
      </c>
      <c r="B1498" s="1" t="s">
        <v>4511</v>
      </c>
      <c r="C1498" s="1" t="s">
        <v>416</v>
      </c>
      <c r="D1498" s="1" t="s">
        <v>416</v>
      </c>
      <c r="E1498" s="6">
        <v>48.35</v>
      </c>
      <c r="F1498" s="1" t="s">
        <v>53</v>
      </c>
      <c r="G1498" s="6">
        <f ca="1">IFERROR(__xludf.DUMMYFUNCTION("iferror(GOOGLEFINANCE(TRIM(F1498)&amp;"":"" &amp; TRIM(B1498), ""price""),0
)"),0)</f>
        <v>0</v>
      </c>
      <c r="H1498" s="6">
        <v>79.239999999999995</v>
      </c>
      <c r="I1498" s="6">
        <f t="shared" ca="1" si="0"/>
        <v>79.239999999999995</v>
      </c>
      <c r="J1498" s="6">
        <f ca="1">IFERROR(__xludf.DUMMYFUNCTION("IFERROR(GOOGLEFINANCE(B1498, ""volume""), 0)"),0)</f>
        <v>0</v>
      </c>
      <c r="K1498" s="9"/>
      <c r="L1498" s="6" t="str">
        <f ca="1">IFERROR(__xludf.DUMMYFUNCTION("IFERROR(GOOGLEFINANCE(B1498,""changepct""),K1498)"),"")</f>
        <v/>
      </c>
      <c r="M1498" s="6">
        <f ca="1">IFERROR(__xludf.DUMMYFUNCTION("IFERROR(GOOGLEFINANCE(B1498,""change""),0)"),0)</f>
        <v>0</v>
      </c>
      <c r="N1498" s="6">
        <v>1</v>
      </c>
      <c r="O1498" s="7">
        <v>45536</v>
      </c>
      <c r="P1498" s="9"/>
      <c r="Q1498" s="6">
        <v>48.35</v>
      </c>
      <c r="R1498" s="7">
        <v>45536</v>
      </c>
      <c r="S1498" s="6">
        <v>1.23</v>
      </c>
      <c r="T1498" s="6">
        <v>0.04</v>
      </c>
      <c r="U1498" s="7">
        <v>45536</v>
      </c>
      <c r="V1498" s="6">
        <v>0</v>
      </c>
      <c r="W1498" s="6">
        <f ca="1">IFERROR(__xludf.DUMMYFUNCTION("IFERROR(GOOGLEFINANCE(B1498,""pe""),V1498)"),0)</f>
        <v>0</v>
      </c>
      <c r="X1498" s="6">
        <v>0</v>
      </c>
      <c r="Y1498" s="6">
        <v>4.6100000000000003</v>
      </c>
      <c r="Z1498" s="6">
        <v>1</v>
      </c>
      <c r="AA1498" s="8">
        <v>45352</v>
      </c>
      <c r="AB1498" s="4">
        <v>0</v>
      </c>
      <c r="AC1498" s="6">
        <v>2.2599999999999998</v>
      </c>
      <c r="AD1498" s="6">
        <v>2.68</v>
      </c>
      <c r="AE1498" s="1">
        <v>0</v>
      </c>
      <c r="AF1498" s="1">
        <f ca="1">IFERROR(__xludf.DUMMYFUNCTION("IFERROR(GOOGLEFINANCE(TRIM(F1498)&amp;"":"" &amp; TRIM(B1498),""high52""),AE1498)"),0)</f>
        <v>0</v>
      </c>
      <c r="AG1498" s="1">
        <v>0</v>
      </c>
      <c r="AH1498" s="1">
        <f ca="1">IFERROR(__xludf.DUMMYFUNCTION("IFERROR(GOOGLEFINANCE(TRIM(F1498)&amp;"":"" &amp; TRIM(B1498),""low52""),AE1498)"),0)</f>
        <v>0</v>
      </c>
      <c r="AI1498" s="1">
        <f ca="1">IFERROR(__xludf.DUMMYFUNCTION("IFERROR(GOOGLEFINANCE(B1498,""eps""),0)"),0)</f>
        <v>0</v>
      </c>
      <c r="AJ1498" s="1"/>
      <c r="AK1498" s="1" t="s">
        <v>4512</v>
      </c>
      <c r="AL1498" s="9">
        <f t="shared" si="196"/>
        <v>1</v>
      </c>
    </row>
    <row r="1499" spans="1:38" ht="15" x14ac:dyDescent="0.25">
      <c r="A1499" s="1" t="s">
        <v>4513</v>
      </c>
      <c r="B1499" s="1" t="s">
        <v>4514</v>
      </c>
      <c r="C1499" s="1" t="s">
        <v>416</v>
      </c>
      <c r="D1499" s="1" t="s">
        <v>416</v>
      </c>
      <c r="E1499" s="6">
        <v>686.9</v>
      </c>
      <c r="F1499" s="1" t="s">
        <v>53</v>
      </c>
      <c r="G1499" s="6">
        <f ca="1">IFERROR(__xludf.DUMMYFUNCTION("iferror(GOOGLEFINANCE(TRIM(F1499)&amp;"":"" &amp; TRIM(B1499), ""price""),0
)"),0)</f>
        <v>0</v>
      </c>
      <c r="H1499" s="6">
        <v>183.05</v>
      </c>
      <c r="I1499" s="6">
        <f t="shared" ca="1" si="0"/>
        <v>183.05</v>
      </c>
      <c r="J1499" s="6">
        <f ca="1">IFERROR(__xludf.DUMMYFUNCTION("IFERROR(GOOGLEFINANCE(B1499, ""volume""), 0)"),0)</f>
        <v>0</v>
      </c>
      <c r="K1499" s="6">
        <v>-1.61</v>
      </c>
      <c r="L1499" s="6">
        <f ca="1">IFERROR(__xludf.DUMMYFUNCTION("IFERROR(GOOGLEFINANCE(B1499,""changepct""),K1499)"),-1.61)</f>
        <v>-1.61</v>
      </c>
      <c r="M1499" s="6">
        <f ca="1">IFERROR(__xludf.DUMMYFUNCTION("IFERROR(GOOGLEFINANCE(B1499,""change""),0)"),0)</f>
        <v>0</v>
      </c>
      <c r="N1499" s="6">
        <v>1</v>
      </c>
      <c r="O1499" s="7">
        <v>45536</v>
      </c>
      <c r="P1499" s="6">
        <v>54.81</v>
      </c>
      <c r="Q1499" s="6">
        <v>741.65</v>
      </c>
      <c r="R1499" s="7">
        <v>45536</v>
      </c>
      <c r="S1499" s="6">
        <v>100.6</v>
      </c>
      <c r="T1499" s="6">
        <v>-1.69</v>
      </c>
      <c r="U1499" s="7">
        <v>45536</v>
      </c>
      <c r="V1499" s="6">
        <v>0</v>
      </c>
      <c r="W1499" s="6">
        <f ca="1">IFERROR(__xludf.DUMMYFUNCTION("IFERROR(GOOGLEFINANCE(B1499,""pe""),V1499)"),0)</f>
        <v>0</v>
      </c>
      <c r="X1499" s="6">
        <v>0</v>
      </c>
      <c r="Y1499" s="6">
        <v>-266.05</v>
      </c>
      <c r="Z1499" s="6">
        <v>1</v>
      </c>
      <c r="AA1499" s="8">
        <v>45352</v>
      </c>
      <c r="AB1499" s="4">
        <v>65.87</v>
      </c>
      <c r="AC1499" s="6">
        <v>0</v>
      </c>
      <c r="AD1499" s="6">
        <v>24.03</v>
      </c>
      <c r="AE1499" s="1">
        <v>0</v>
      </c>
      <c r="AF1499" s="1">
        <f ca="1">IFERROR(__xludf.DUMMYFUNCTION("IFERROR(GOOGLEFINANCE(TRIM(F1499)&amp;"":"" &amp; TRIM(B1499),""high52""),AE1499)"),0)</f>
        <v>0</v>
      </c>
      <c r="AG1499" s="1">
        <v>0</v>
      </c>
      <c r="AH1499" s="1">
        <f ca="1">IFERROR(__xludf.DUMMYFUNCTION("IFERROR(GOOGLEFINANCE(TRIM(F1499)&amp;"":"" &amp; TRIM(B1499),""low52""),AE1499)"),0)</f>
        <v>0</v>
      </c>
      <c r="AI1499" s="1">
        <f ca="1">IFERROR(__xludf.DUMMYFUNCTION("IFERROR(GOOGLEFINANCE(B1499,""eps""),0)"),0)</f>
        <v>0</v>
      </c>
      <c r="AJ1499" s="1"/>
      <c r="AK1499" s="1" t="s">
        <v>4515</v>
      </c>
      <c r="AL1499" s="9">
        <f t="shared" si="196"/>
        <v>1</v>
      </c>
    </row>
    <row r="1500" spans="1:38" ht="15" x14ac:dyDescent="0.25">
      <c r="A1500" s="1" t="s">
        <v>4516</v>
      </c>
      <c r="B1500" s="1" t="s">
        <v>4517</v>
      </c>
      <c r="C1500" s="1" t="s">
        <v>487</v>
      </c>
      <c r="D1500" s="1" t="s">
        <v>487</v>
      </c>
      <c r="E1500" s="6">
        <v>3388.99</v>
      </c>
      <c r="F1500" s="1" t="s">
        <v>40</v>
      </c>
      <c r="G1500" s="6">
        <f ca="1">IFERROR(__xludf.DUMMYFUNCTION("iferror(GOOGLEFINANCE(TRIM(F1500)&amp;"":"" &amp; TRIM(B1500), ""price""),0
)"),205)</f>
        <v>205</v>
      </c>
      <c r="H1500" s="6">
        <v>275.75</v>
      </c>
      <c r="I1500" s="6">
        <f t="shared" ca="1" si="0"/>
        <v>205</v>
      </c>
      <c r="J1500" s="6">
        <f ca="1">IFERROR(__xludf.DUMMYFUNCTION("IFERROR(GOOGLEFINANCE(B1500, ""volume""), 0)"),353385)</f>
        <v>353385</v>
      </c>
      <c r="K1500" s="6">
        <v>4.99</v>
      </c>
      <c r="L1500" s="6">
        <f ca="1">IFERROR(__xludf.DUMMYFUNCTION("IFERROR(GOOGLEFINANCE(B1500,""changepct""),K1500)"),-0.1)</f>
        <v>-0.1</v>
      </c>
      <c r="M1500" s="6">
        <f ca="1">IFERROR(__xludf.DUMMYFUNCTION("IFERROR(GOOGLEFINANCE(B1500,""change""),0)"),-0.21)</f>
        <v>-0.21</v>
      </c>
      <c r="N1500" s="6">
        <v>2</v>
      </c>
      <c r="O1500" s="7">
        <v>45536</v>
      </c>
      <c r="P1500" s="6">
        <v>828.48</v>
      </c>
      <c r="Q1500" s="6">
        <v>3629.46</v>
      </c>
      <c r="R1500" s="7">
        <v>45536</v>
      </c>
      <c r="S1500" s="6">
        <v>356.16</v>
      </c>
      <c r="T1500" s="6">
        <v>-48.82</v>
      </c>
      <c r="U1500" s="7">
        <v>45536</v>
      </c>
      <c r="V1500" s="6">
        <v>0</v>
      </c>
      <c r="W1500" s="6">
        <f ca="1">IFERROR(__xludf.DUMMYFUNCTION("IFERROR(GOOGLEFINANCE(B1500,""pe""),V1500)"),21.84)</f>
        <v>21.84</v>
      </c>
      <c r="X1500" s="9"/>
      <c r="Y1500" s="6">
        <v>1.49</v>
      </c>
      <c r="Z1500" s="6">
        <v>2</v>
      </c>
      <c r="AA1500" s="8">
        <v>45352</v>
      </c>
      <c r="AB1500" s="4">
        <v>0.75</v>
      </c>
      <c r="AC1500" s="6">
        <v>-5.94</v>
      </c>
      <c r="AD1500" s="6">
        <v>-0.04</v>
      </c>
      <c r="AE1500" s="1">
        <v>0</v>
      </c>
      <c r="AF1500" s="1">
        <f ca="1">IFERROR(__xludf.DUMMYFUNCTION("IFERROR(GOOGLEFINANCE(TRIM(F1500)&amp;"":"" &amp; TRIM(B1500),""high52""),AE1500)"),365.7)</f>
        <v>365.7</v>
      </c>
      <c r="AG1500" s="1">
        <v>0</v>
      </c>
      <c r="AH1500" s="1">
        <f ca="1">IFERROR(__xludf.DUMMYFUNCTION("IFERROR(GOOGLEFINANCE(TRIM(F1500)&amp;"":"" &amp; TRIM(B1500),""low52""),AE1500)"),162.05)</f>
        <v>162.05000000000001</v>
      </c>
      <c r="AI1500" s="1">
        <f ca="1">IFERROR(__xludf.DUMMYFUNCTION("IFERROR(GOOGLEFINANCE(B1500,""eps""),0)"),9.39)</f>
        <v>9.39</v>
      </c>
      <c r="AJ1500" s="1"/>
      <c r="AK1500" s="1" t="s">
        <v>4518</v>
      </c>
      <c r="AL1500" s="9">
        <f t="shared" si="196"/>
        <v>1</v>
      </c>
    </row>
    <row r="1501" spans="1:38" ht="15" x14ac:dyDescent="0.25">
      <c r="A1501" s="1" t="s">
        <v>4519</v>
      </c>
      <c r="B1501" s="1" t="s">
        <v>4520</v>
      </c>
      <c r="C1501" s="1" t="s">
        <v>416</v>
      </c>
      <c r="D1501" s="1" t="s">
        <v>416</v>
      </c>
      <c r="E1501" s="6">
        <v>237.54</v>
      </c>
      <c r="F1501" s="1" t="s">
        <v>53</v>
      </c>
      <c r="G1501" s="6">
        <f ca="1">IFERROR(__xludf.DUMMYFUNCTION("iferror(GOOGLEFINANCE(TRIM(F1501)&amp;"":"" &amp; TRIM(B1501), ""price""),0
)"),0)</f>
        <v>0</v>
      </c>
      <c r="H1501" s="6">
        <v>46.31</v>
      </c>
      <c r="I1501" s="6">
        <f t="shared" ca="1" si="0"/>
        <v>46.31</v>
      </c>
      <c r="J1501" s="6">
        <f ca="1">IFERROR(__xludf.DUMMYFUNCTION("IFERROR(GOOGLEFINANCE(B1501, ""volume""), 0)"),0)</f>
        <v>0</v>
      </c>
      <c r="K1501" s="6">
        <v>3.56</v>
      </c>
      <c r="L1501" s="6">
        <f ca="1">IFERROR(__xludf.DUMMYFUNCTION("IFERROR(GOOGLEFINANCE(B1501,""changepct""),K1501)"),3.56)</f>
        <v>3.56</v>
      </c>
      <c r="M1501" s="6">
        <f ca="1">IFERROR(__xludf.DUMMYFUNCTION("IFERROR(GOOGLEFINANCE(B1501,""change""),0)"),0)</f>
        <v>0</v>
      </c>
      <c r="N1501" s="6">
        <v>1</v>
      </c>
      <c r="O1501" s="7">
        <v>45536</v>
      </c>
      <c r="P1501" s="6">
        <v>47</v>
      </c>
      <c r="Q1501" s="6">
        <v>284.54000000000002</v>
      </c>
      <c r="R1501" s="7">
        <v>45536</v>
      </c>
      <c r="S1501" s="6">
        <v>68.05</v>
      </c>
      <c r="T1501" s="6">
        <v>5.9</v>
      </c>
      <c r="U1501" s="7">
        <v>45536</v>
      </c>
      <c r="V1501" s="6">
        <v>40.26</v>
      </c>
      <c r="W1501" s="6">
        <f ca="1">IFERROR(__xludf.DUMMYFUNCTION("IFERROR(GOOGLEFINANCE(B1501,""pe""),V1501)"),40.26)</f>
        <v>40.26</v>
      </c>
      <c r="X1501" s="6">
        <v>1.58</v>
      </c>
      <c r="Y1501" s="6">
        <v>1.17</v>
      </c>
      <c r="Z1501" s="6">
        <v>1</v>
      </c>
      <c r="AA1501" s="8">
        <v>45352</v>
      </c>
      <c r="AB1501" s="4">
        <v>0.25</v>
      </c>
      <c r="AC1501" s="6">
        <v>3.31</v>
      </c>
      <c r="AD1501" s="6">
        <v>2.59</v>
      </c>
      <c r="AE1501" s="1">
        <v>0</v>
      </c>
      <c r="AF1501" s="1">
        <f ca="1">IFERROR(__xludf.DUMMYFUNCTION("IFERROR(GOOGLEFINANCE(TRIM(F1501)&amp;"":"" &amp; TRIM(B1501),""high52""),AE1501)"),0)</f>
        <v>0</v>
      </c>
      <c r="AG1501" s="1">
        <v>0</v>
      </c>
      <c r="AH1501" s="1">
        <f ca="1">IFERROR(__xludf.DUMMYFUNCTION("IFERROR(GOOGLEFINANCE(TRIM(F1501)&amp;"":"" &amp; TRIM(B1501),""low52""),AE1501)"),0)</f>
        <v>0</v>
      </c>
      <c r="AI1501" s="1">
        <f ca="1">IFERROR(__xludf.DUMMYFUNCTION("IFERROR(GOOGLEFINANCE(B1501,""eps""),0)"),0)</f>
        <v>0</v>
      </c>
      <c r="AJ1501" s="1"/>
      <c r="AK1501" s="1" t="s">
        <v>4521</v>
      </c>
      <c r="AL1501" s="9">
        <f t="shared" si="196"/>
        <v>1</v>
      </c>
    </row>
    <row r="1502" spans="1:38" ht="15" x14ac:dyDescent="0.25">
      <c r="A1502" s="1" t="s">
        <v>4522</v>
      </c>
      <c r="B1502" s="1" t="s">
        <v>4523</v>
      </c>
      <c r="C1502" s="1" t="s">
        <v>416</v>
      </c>
      <c r="D1502" s="1" t="s">
        <v>416</v>
      </c>
      <c r="E1502" s="6">
        <v>785.61</v>
      </c>
      <c r="F1502" s="1" t="s">
        <v>53</v>
      </c>
      <c r="G1502" s="6">
        <f ca="1">IFERROR(__xludf.DUMMYFUNCTION("iferror(GOOGLEFINANCE(TRIM(F1502)&amp;"":"" &amp; TRIM(B1502), ""price""),0
)"),0)</f>
        <v>0</v>
      </c>
      <c r="H1502" s="6">
        <v>488.45</v>
      </c>
      <c r="I1502" s="6">
        <f t="shared" ca="1" si="0"/>
        <v>488.45</v>
      </c>
      <c r="J1502" s="6">
        <f ca="1">IFERROR(__xludf.DUMMYFUNCTION("IFERROR(GOOGLEFINANCE(B1502, ""volume""), 0)"),0)</f>
        <v>0</v>
      </c>
      <c r="K1502" s="6">
        <v>0.44</v>
      </c>
      <c r="L1502" s="6">
        <f ca="1">IFERROR(__xludf.DUMMYFUNCTION("IFERROR(GOOGLEFINANCE(B1502,""changepct""),K1502)"),0.44)</f>
        <v>0.44</v>
      </c>
      <c r="M1502" s="6">
        <f ca="1">IFERROR(__xludf.DUMMYFUNCTION("IFERROR(GOOGLEFINANCE(B1502,""change""),0)"),0)</f>
        <v>0</v>
      </c>
      <c r="N1502" s="6">
        <v>1</v>
      </c>
      <c r="O1502" s="7">
        <v>45536</v>
      </c>
      <c r="P1502" s="9"/>
      <c r="Q1502" s="6">
        <v>785.61</v>
      </c>
      <c r="R1502" s="7">
        <v>45536</v>
      </c>
      <c r="S1502" s="6">
        <v>206.49</v>
      </c>
      <c r="T1502" s="6">
        <v>24.9</v>
      </c>
      <c r="U1502" s="7">
        <v>45536</v>
      </c>
      <c r="V1502" s="6">
        <v>31.55</v>
      </c>
      <c r="W1502" s="6">
        <f ca="1">IFERROR(__xludf.DUMMYFUNCTION("IFERROR(GOOGLEFINANCE(B1502,""pe""),V1502)"),31.55)</f>
        <v>31.55</v>
      </c>
      <c r="X1502" s="6">
        <v>1.71</v>
      </c>
      <c r="Y1502" s="6">
        <v>6.4</v>
      </c>
      <c r="Z1502" s="6">
        <v>1</v>
      </c>
      <c r="AA1502" s="8">
        <v>45352</v>
      </c>
      <c r="AB1502" s="4">
        <v>0</v>
      </c>
      <c r="AC1502" s="6">
        <v>30.73</v>
      </c>
      <c r="AD1502" s="6">
        <v>42.53</v>
      </c>
      <c r="AE1502" s="1">
        <v>0</v>
      </c>
      <c r="AF1502" s="1">
        <f ca="1">IFERROR(__xludf.DUMMYFUNCTION("IFERROR(GOOGLEFINANCE(TRIM(F1502)&amp;"":"" &amp; TRIM(B1502),""high52""),AE1502)"),0)</f>
        <v>0</v>
      </c>
      <c r="AG1502" s="1">
        <v>0</v>
      </c>
      <c r="AH1502" s="1">
        <f ca="1">IFERROR(__xludf.DUMMYFUNCTION("IFERROR(GOOGLEFINANCE(TRIM(F1502)&amp;"":"" &amp; TRIM(B1502),""low52""),AE1502)"),0)</f>
        <v>0</v>
      </c>
      <c r="AI1502" s="1">
        <f ca="1">IFERROR(__xludf.DUMMYFUNCTION("IFERROR(GOOGLEFINANCE(B1502,""eps""),0)"),0)</f>
        <v>0</v>
      </c>
      <c r="AJ1502" s="1"/>
      <c r="AK1502" s="1" t="s">
        <v>4524</v>
      </c>
      <c r="AL1502" s="9">
        <f t="shared" si="196"/>
        <v>1</v>
      </c>
    </row>
    <row r="1503" spans="1:38" ht="15" x14ac:dyDescent="0.25">
      <c r="A1503" s="1" t="s">
        <v>4525</v>
      </c>
      <c r="B1503" s="1" t="s">
        <v>4526</v>
      </c>
      <c r="C1503" s="1" t="s">
        <v>82</v>
      </c>
      <c r="D1503" s="1" t="s">
        <v>82</v>
      </c>
      <c r="E1503" s="6">
        <v>2095.73</v>
      </c>
      <c r="F1503" s="1" t="s">
        <v>40</v>
      </c>
      <c r="G1503" s="6">
        <f ca="1">IFERROR(__xludf.DUMMYFUNCTION("iferror(GOOGLEFINANCE(TRIM(F1503)&amp;"":"" &amp; TRIM(B1503), ""price""),0
)"),183.69)</f>
        <v>183.69</v>
      </c>
      <c r="H1503" s="6">
        <v>279.14999999999998</v>
      </c>
      <c r="I1503" s="6">
        <f t="shared" ca="1" si="0"/>
        <v>183.69</v>
      </c>
      <c r="J1503" s="6">
        <f ca="1">IFERROR(__xludf.DUMMYFUNCTION("IFERROR(GOOGLEFINANCE(B1503, ""volume""), 0)"),111233)</f>
        <v>111233</v>
      </c>
      <c r="K1503" s="6">
        <v>0.85</v>
      </c>
      <c r="L1503" s="6">
        <f ca="1">IFERROR(__xludf.DUMMYFUNCTION("IFERROR(GOOGLEFINANCE(B1503,""changepct""),K1503)"),0.25)</f>
        <v>0.25</v>
      </c>
      <c r="M1503" s="6">
        <f ca="1">IFERROR(__xludf.DUMMYFUNCTION("IFERROR(GOOGLEFINANCE(B1503,""change""),0)"),0.45)</f>
        <v>0.45</v>
      </c>
      <c r="N1503" s="6">
        <v>1</v>
      </c>
      <c r="O1503" s="7">
        <v>45444</v>
      </c>
      <c r="P1503" s="6">
        <v>208.78</v>
      </c>
      <c r="Q1503" s="6">
        <v>2075.23</v>
      </c>
      <c r="R1503" s="7">
        <v>45536</v>
      </c>
      <c r="S1503" s="6">
        <v>2505.8000000000002</v>
      </c>
      <c r="T1503" s="6">
        <v>403.7</v>
      </c>
      <c r="U1503" s="7">
        <v>45536</v>
      </c>
      <c r="V1503" s="6">
        <v>5.19</v>
      </c>
      <c r="W1503" s="6">
        <f ca="1">IFERROR(__xludf.DUMMYFUNCTION("IFERROR(GOOGLEFINANCE(B1503,""pe""),V1503)"),14.03)</f>
        <v>14.03</v>
      </c>
      <c r="X1503" s="6">
        <v>0.21</v>
      </c>
      <c r="Y1503" s="6">
        <v>1.76</v>
      </c>
      <c r="Z1503" s="6">
        <v>1</v>
      </c>
      <c r="AA1503" s="8">
        <v>45261</v>
      </c>
      <c r="AB1503" s="4">
        <v>0.17</v>
      </c>
      <c r="AC1503" s="6">
        <v>43.2</v>
      </c>
      <c r="AD1503" s="6">
        <v>43</v>
      </c>
      <c r="AE1503" s="1">
        <v>0</v>
      </c>
      <c r="AF1503" s="1">
        <f ca="1">IFERROR(__xludf.DUMMYFUNCTION("IFERROR(GOOGLEFINANCE(TRIM(F1503)&amp;"":"" &amp; TRIM(B1503),""high52""),AE1503)"),272.65)</f>
        <v>272.64999999999998</v>
      </c>
      <c r="AG1503" s="1">
        <v>0</v>
      </c>
      <c r="AH1503" s="1">
        <f ca="1">IFERROR(__xludf.DUMMYFUNCTION("IFERROR(GOOGLEFINANCE(TRIM(F1503)&amp;"":"" &amp; TRIM(B1503),""low52""),AE1503)"),170.56)</f>
        <v>170.56</v>
      </c>
      <c r="AI1503" s="1">
        <f ca="1">IFERROR(__xludf.DUMMYFUNCTION("IFERROR(GOOGLEFINANCE(B1503,""eps""),0)"),13.09)</f>
        <v>13.09</v>
      </c>
      <c r="AJ1503" s="1"/>
      <c r="AK1503" s="1" t="s">
        <v>4527</v>
      </c>
      <c r="AL1503" s="9">
        <f t="shared" si="196"/>
        <v>1</v>
      </c>
    </row>
    <row r="1504" spans="1:38" ht="15" x14ac:dyDescent="0.25">
      <c r="A1504" s="1" t="s">
        <v>4528</v>
      </c>
      <c r="B1504" s="1" t="s">
        <v>4529</v>
      </c>
      <c r="C1504" s="1" t="s">
        <v>416</v>
      </c>
      <c r="D1504" s="1" t="s">
        <v>416</v>
      </c>
      <c r="E1504" s="6">
        <v>1893.22</v>
      </c>
      <c r="F1504" s="1" t="s">
        <v>53</v>
      </c>
      <c r="G1504" s="6">
        <f ca="1">IFERROR(__xludf.DUMMYFUNCTION("iferror(GOOGLEFINANCE(TRIM(F1504)&amp;"":"" &amp; TRIM(B1504), ""price""),0
)"),0)</f>
        <v>0</v>
      </c>
      <c r="H1504" s="6">
        <v>912</v>
      </c>
      <c r="I1504" s="6">
        <f t="shared" ca="1" si="0"/>
        <v>912</v>
      </c>
      <c r="J1504" s="6">
        <f ca="1">IFERROR(__xludf.DUMMYFUNCTION("IFERROR(GOOGLEFINANCE(B1504, ""volume""), 0)"),0)</f>
        <v>0</v>
      </c>
      <c r="K1504" s="6">
        <v>0.2</v>
      </c>
      <c r="L1504" s="6">
        <f ca="1">IFERROR(__xludf.DUMMYFUNCTION("IFERROR(GOOGLEFINANCE(B1504,""changepct""),K1504)"),0.2)</f>
        <v>0.2</v>
      </c>
      <c r="M1504" s="6">
        <f ca="1">IFERROR(__xludf.DUMMYFUNCTION("IFERROR(GOOGLEFINANCE(B1504,""change""),0)"),0)</f>
        <v>0</v>
      </c>
      <c r="N1504" s="6">
        <v>2</v>
      </c>
      <c r="O1504" s="7">
        <v>45536</v>
      </c>
      <c r="P1504" s="6">
        <v>54.77</v>
      </c>
      <c r="Q1504" s="6">
        <v>1877.22</v>
      </c>
      <c r="R1504" s="7">
        <v>45536</v>
      </c>
      <c r="S1504" s="6">
        <v>592.99</v>
      </c>
      <c r="T1504" s="6">
        <v>85.17</v>
      </c>
      <c r="U1504" s="7">
        <v>45536</v>
      </c>
      <c r="V1504" s="6">
        <v>22.23</v>
      </c>
      <c r="W1504" s="6">
        <f ca="1">IFERROR(__xludf.DUMMYFUNCTION("IFERROR(GOOGLEFINANCE(B1504,""pe""),V1504)"),22.23)</f>
        <v>22.23</v>
      </c>
      <c r="X1504" s="6">
        <v>0.66</v>
      </c>
      <c r="Y1504" s="6">
        <v>5.21</v>
      </c>
      <c r="Z1504" s="6">
        <v>2</v>
      </c>
      <c r="AA1504" s="8">
        <v>45352</v>
      </c>
      <c r="AB1504" s="4">
        <v>0.17</v>
      </c>
      <c r="AC1504" s="6">
        <v>19.489999999999998</v>
      </c>
      <c r="AD1504" s="6">
        <v>24.13</v>
      </c>
      <c r="AE1504" s="1">
        <v>0</v>
      </c>
      <c r="AF1504" s="1">
        <f ca="1">IFERROR(__xludf.DUMMYFUNCTION("IFERROR(GOOGLEFINANCE(TRIM(F1504)&amp;"":"" &amp; TRIM(B1504),""high52""),AE1504)"),0)</f>
        <v>0</v>
      </c>
      <c r="AG1504" s="1">
        <v>0</v>
      </c>
      <c r="AH1504" s="1">
        <f ca="1">IFERROR(__xludf.DUMMYFUNCTION("IFERROR(GOOGLEFINANCE(TRIM(F1504)&amp;"":"" &amp; TRIM(B1504),""low52""),AE1504)"),0)</f>
        <v>0</v>
      </c>
      <c r="AI1504" s="1">
        <f ca="1">IFERROR(__xludf.DUMMYFUNCTION("IFERROR(GOOGLEFINANCE(B1504,""eps""),0)"),0)</f>
        <v>0</v>
      </c>
      <c r="AJ1504" s="1"/>
      <c r="AK1504" s="1" t="s">
        <v>4530</v>
      </c>
      <c r="AL1504" s="9">
        <f t="shared" si="196"/>
        <v>1</v>
      </c>
    </row>
    <row r="1505" spans="1:38" ht="15" x14ac:dyDescent="0.25">
      <c r="A1505" s="1" t="s">
        <v>4531</v>
      </c>
      <c r="B1505" s="1" t="s">
        <v>4532</v>
      </c>
      <c r="C1505" s="1" t="s">
        <v>1663</v>
      </c>
      <c r="D1505" s="1" t="s">
        <v>1663</v>
      </c>
      <c r="E1505" s="6">
        <v>221.59</v>
      </c>
      <c r="F1505" s="1" t="s">
        <v>40</v>
      </c>
      <c r="G1505" s="6">
        <f ca="1">IFERROR(__xludf.DUMMYFUNCTION("iferror(GOOGLEFINANCE(TRIM(F1505)&amp;"":"" &amp; TRIM(B1505), ""price""),0
)"),0)</f>
        <v>0</v>
      </c>
      <c r="H1505" s="6">
        <v>925.05</v>
      </c>
      <c r="I1505" s="6">
        <f t="shared" ca="1" si="0"/>
        <v>925.05</v>
      </c>
      <c r="J1505" s="6">
        <f ca="1">IFERROR(__xludf.DUMMYFUNCTION("IFERROR(GOOGLEFINANCE(B1505, ""volume""), 0)"),0)</f>
        <v>0</v>
      </c>
      <c r="K1505" s="6">
        <v>15.92</v>
      </c>
      <c r="L1505" s="6">
        <f ca="1">IFERROR(__xludf.DUMMYFUNCTION("IFERROR(GOOGLEFINANCE(B1505,""changepct""),K1505)"),15.92)</f>
        <v>15.92</v>
      </c>
      <c r="M1505" s="6">
        <f ca="1">IFERROR(__xludf.DUMMYFUNCTION("IFERROR(GOOGLEFINANCE(B1505,""change""),0)"),0)</f>
        <v>0</v>
      </c>
      <c r="N1505" s="6">
        <v>1</v>
      </c>
      <c r="O1505" s="7">
        <v>45536</v>
      </c>
      <c r="P1505" s="6">
        <v>29.34</v>
      </c>
      <c r="Q1505" s="6">
        <v>250.93</v>
      </c>
      <c r="R1505" s="14"/>
      <c r="S1505" s="9"/>
      <c r="T1505" s="9"/>
      <c r="U1505" s="7">
        <v>45352</v>
      </c>
      <c r="V1505" s="6">
        <v>23.6</v>
      </c>
      <c r="W1505" s="6">
        <f ca="1">IFERROR(__xludf.DUMMYFUNCTION("IFERROR(GOOGLEFINANCE(B1505,""pe""),V1505)"),23.6)</f>
        <v>23.6</v>
      </c>
      <c r="X1505" s="9"/>
      <c r="Y1505" s="6">
        <v>3.38</v>
      </c>
      <c r="Z1505" s="6">
        <v>1</v>
      </c>
      <c r="AA1505" s="8">
        <v>45352</v>
      </c>
      <c r="AB1505" s="4">
        <v>0.8</v>
      </c>
      <c r="AC1505" s="6">
        <v>39.29</v>
      </c>
      <c r="AD1505" s="6">
        <v>31.79</v>
      </c>
      <c r="AE1505" s="1">
        <v>0</v>
      </c>
      <c r="AF1505" s="1">
        <f ca="1">IFERROR(__xludf.DUMMYFUNCTION("IFERROR(GOOGLEFINANCE(TRIM(F1505)&amp;"":"" &amp; TRIM(B1505),""high52""),AE1505)"),0)</f>
        <v>0</v>
      </c>
      <c r="AG1505" s="1">
        <v>0</v>
      </c>
      <c r="AH1505" s="1">
        <f ca="1">IFERROR(__xludf.DUMMYFUNCTION("IFERROR(GOOGLEFINANCE(TRIM(F1505)&amp;"":"" &amp; TRIM(B1505),""low52""),AE1505)"),0)</f>
        <v>0</v>
      </c>
      <c r="AI1505" s="1">
        <f ca="1">IFERROR(__xludf.DUMMYFUNCTION("IFERROR(GOOGLEFINANCE(B1505,""eps""),0)"),0)</f>
        <v>0</v>
      </c>
      <c r="AJ1505" s="1"/>
      <c r="AK1505" s="1" t="s">
        <v>4533</v>
      </c>
      <c r="AL1505" s="9">
        <f t="shared" si="196"/>
        <v>1</v>
      </c>
    </row>
    <row r="1506" spans="1:38" ht="15" x14ac:dyDescent="0.25">
      <c r="A1506" s="1" t="s">
        <v>4534</v>
      </c>
      <c r="B1506" s="1" t="s">
        <v>4535</v>
      </c>
      <c r="C1506" s="1" t="s">
        <v>416</v>
      </c>
      <c r="D1506" s="1" t="s">
        <v>416</v>
      </c>
      <c r="E1506" s="6">
        <v>451.69</v>
      </c>
      <c r="F1506" s="1" t="s">
        <v>53</v>
      </c>
      <c r="G1506" s="6">
        <f ca="1">IFERROR(__xludf.DUMMYFUNCTION("iferror(GOOGLEFINANCE(TRIM(F1506)&amp;"":"" &amp; TRIM(B1506), ""price""),0
)"),0)</f>
        <v>0</v>
      </c>
      <c r="H1506" s="6">
        <v>131.85</v>
      </c>
      <c r="I1506" s="6">
        <f t="shared" ca="1" si="0"/>
        <v>131.85</v>
      </c>
      <c r="J1506" s="6">
        <f ca="1">IFERROR(__xludf.DUMMYFUNCTION("IFERROR(GOOGLEFINANCE(B1506, ""volume""), 0)"),0)</f>
        <v>0</v>
      </c>
      <c r="K1506" s="6">
        <v>0.15</v>
      </c>
      <c r="L1506" s="6">
        <f ca="1">IFERROR(__xludf.DUMMYFUNCTION("IFERROR(GOOGLEFINANCE(B1506,""changepct""),K1506)"),0.15)</f>
        <v>0.15</v>
      </c>
      <c r="M1506" s="6">
        <f ca="1">IFERROR(__xludf.DUMMYFUNCTION("IFERROR(GOOGLEFINANCE(B1506,""change""),0)"),0)</f>
        <v>0</v>
      </c>
      <c r="N1506" s="6">
        <v>2</v>
      </c>
      <c r="O1506" s="7">
        <v>45536</v>
      </c>
      <c r="P1506" s="6">
        <v>63.26</v>
      </c>
      <c r="Q1506" s="6">
        <v>504.1</v>
      </c>
      <c r="R1506" s="7">
        <v>45536</v>
      </c>
      <c r="S1506" s="6">
        <v>301.83999999999997</v>
      </c>
      <c r="T1506" s="6">
        <v>11.61</v>
      </c>
      <c r="U1506" s="7">
        <v>45536</v>
      </c>
      <c r="V1506" s="6">
        <v>38.89</v>
      </c>
      <c r="W1506" s="6">
        <f ca="1">IFERROR(__xludf.DUMMYFUNCTION("IFERROR(GOOGLEFINANCE(B1506,""pe""),V1506)"),38.89)</f>
        <v>38.89</v>
      </c>
      <c r="X1506" s="6">
        <v>-5.91</v>
      </c>
      <c r="Y1506" s="6">
        <v>2.16</v>
      </c>
      <c r="Z1506" s="6">
        <v>2</v>
      </c>
      <c r="AA1506" s="8">
        <v>45352</v>
      </c>
      <c r="AB1506" s="4">
        <v>0.53</v>
      </c>
      <c r="AC1506" s="6">
        <v>6.51</v>
      </c>
      <c r="AD1506" s="6">
        <v>8.68</v>
      </c>
      <c r="AE1506" s="1">
        <v>0</v>
      </c>
      <c r="AF1506" s="1">
        <f ca="1">IFERROR(__xludf.DUMMYFUNCTION("IFERROR(GOOGLEFINANCE(TRIM(F1506)&amp;"":"" &amp; TRIM(B1506),""high52""),AE1506)"),0)</f>
        <v>0</v>
      </c>
      <c r="AG1506" s="1">
        <v>0</v>
      </c>
      <c r="AH1506" s="1">
        <f ca="1">IFERROR(__xludf.DUMMYFUNCTION("IFERROR(GOOGLEFINANCE(TRIM(F1506)&amp;"":"" &amp; TRIM(B1506),""low52""),AE1506)"),0)</f>
        <v>0</v>
      </c>
      <c r="AI1506" s="1">
        <f ca="1">IFERROR(__xludf.DUMMYFUNCTION("IFERROR(GOOGLEFINANCE(B1506,""eps""),0)"),0)</f>
        <v>0</v>
      </c>
      <c r="AJ1506" s="1"/>
      <c r="AK1506" s="1" t="s">
        <v>4536</v>
      </c>
      <c r="AL1506" s="9">
        <f t="shared" si="196"/>
        <v>1</v>
      </c>
    </row>
    <row r="1507" spans="1:38" ht="15" x14ac:dyDescent="0.25">
      <c r="A1507" s="1" t="s">
        <v>4537</v>
      </c>
      <c r="B1507" s="1" t="s">
        <v>4538</v>
      </c>
      <c r="C1507" s="1" t="s">
        <v>416</v>
      </c>
      <c r="D1507" s="1" t="s">
        <v>416</v>
      </c>
      <c r="E1507" s="6">
        <v>167.99</v>
      </c>
      <c r="F1507" s="1" t="s">
        <v>53</v>
      </c>
      <c r="G1507" s="6">
        <f ca="1">IFERROR(__xludf.DUMMYFUNCTION("iferror(GOOGLEFINANCE(TRIM(F1507)&amp;"":"" &amp; TRIM(B1507), ""price""),0
)"),0)</f>
        <v>0</v>
      </c>
      <c r="H1507" s="6">
        <v>100.9</v>
      </c>
      <c r="I1507" s="6">
        <f t="shared" ca="1" si="0"/>
        <v>100.9</v>
      </c>
      <c r="J1507" s="6">
        <f ca="1">IFERROR(__xludf.DUMMYFUNCTION("IFERROR(GOOGLEFINANCE(B1507, ""volume""), 0)"),0)</f>
        <v>0</v>
      </c>
      <c r="K1507" s="6">
        <v>0.45</v>
      </c>
      <c r="L1507" s="6">
        <f ca="1">IFERROR(__xludf.DUMMYFUNCTION("IFERROR(GOOGLEFINANCE(B1507,""changepct""),K1507)"),0.01)</f>
        <v>0.01</v>
      </c>
      <c r="M1507" s="6">
        <f ca="1">IFERROR(__xludf.DUMMYFUNCTION("IFERROR(GOOGLEFINANCE(B1507,""change""),0)"),0)</f>
        <v>0</v>
      </c>
      <c r="N1507" s="6">
        <v>2</v>
      </c>
      <c r="O1507" s="7">
        <v>45536</v>
      </c>
      <c r="P1507" s="6">
        <v>52.59</v>
      </c>
      <c r="Q1507" s="6">
        <v>213.87</v>
      </c>
      <c r="R1507" s="7">
        <v>45536</v>
      </c>
      <c r="S1507" s="6">
        <v>90.14</v>
      </c>
      <c r="T1507" s="6">
        <v>5.36</v>
      </c>
      <c r="U1507" s="7">
        <v>45536</v>
      </c>
      <c r="V1507" s="6">
        <v>30.78</v>
      </c>
      <c r="W1507" s="6">
        <f ca="1">IFERROR(__xludf.DUMMYFUNCTION("IFERROR(GOOGLEFINANCE(B1507,""pe""),V1507)"),30.78)</f>
        <v>30.78</v>
      </c>
      <c r="X1507" s="12"/>
      <c r="Y1507" s="6">
        <v>1.83</v>
      </c>
      <c r="Z1507" s="6">
        <v>2</v>
      </c>
      <c r="AA1507" s="8">
        <v>45352</v>
      </c>
      <c r="AB1507" s="4">
        <v>0.45</v>
      </c>
      <c r="AC1507" s="6">
        <v>6.18</v>
      </c>
      <c r="AD1507" s="6">
        <v>9.35</v>
      </c>
      <c r="AE1507" s="1">
        <v>0</v>
      </c>
      <c r="AF1507" s="1">
        <f ca="1">IFERROR(__xludf.DUMMYFUNCTION("IFERROR(GOOGLEFINANCE(TRIM(F1507)&amp;"":"" &amp; TRIM(B1507),""high52""),AE1507)"),0)</f>
        <v>0</v>
      </c>
      <c r="AG1507" s="1">
        <v>0</v>
      </c>
      <c r="AH1507" s="1">
        <f ca="1">IFERROR(__xludf.DUMMYFUNCTION("IFERROR(GOOGLEFINANCE(TRIM(F1507)&amp;"":"" &amp; TRIM(B1507),""low52""),AE1507)"),0)</f>
        <v>0</v>
      </c>
      <c r="AI1507" s="1">
        <f ca="1">IFERROR(__xludf.DUMMYFUNCTION("IFERROR(GOOGLEFINANCE(B1507,""eps""),0)"),0)</f>
        <v>0</v>
      </c>
      <c r="AJ1507" s="1"/>
      <c r="AK1507" s="1" t="s">
        <v>4539</v>
      </c>
      <c r="AL1507" s="9">
        <f t="shared" si="196"/>
        <v>1</v>
      </c>
    </row>
    <row r="1508" spans="1:38" ht="15" x14ac:dyDescent="0.25">
      <c r="A1508" s="1" t="s">
        <v>4540</v>
      </c>
      <c r="B1508" s="1" t="s">
        <v>4541</v>
      </c>
      <c r="C1508" s="1" t="s">
        <v>416</v>
      </c>
      <c r="D1508" s="1" t="s">
        <v>416</v>
      </c>
      <c r="E1508" s="6">
        <v>302.89999999999998</v>
      </c>
      <c r="F1508" s="1" t="s">
        <v>53</v>
      </c>
      <c r="G1508" s="6">
        <f ca="1">IFERROR(__xludf.DUMMYFUNCTION("iferror(GOOGLEFINANCE(TRIM(F1508)&amp;"":"" &amp; TRIM(B1508), ""price""),0
)"),0)</f>
        <v>0</v>
      </c>
      <c r="H1508" s="6">
        <v>1405</v>
      </c>
      <c r="I1508" s="6">
        <f t="shared" ca="1" si="0"/>
        <v>1405</v>
      </c>
      <c r="J1508" s="6">
        <f ca="1">IFERROR(__xludf.DUMMYFUNCTION("IFERROR(GOOGLEFINANCE(B1508, ""volume""), 0)"),0)</f>
        <v>0</v>
      </c>
      <c r="K1508" s="6">
        <v>1.43</v>
      </c>
      <c r="L1508" s="6">
        <f ca="1">IFERROR(__xludf.DUMMYFUNCTION("IFERROR(GOOGLEFINANCE(B1508,""changepct""),K1508)"),1.43)</f>
        <v>1.43</v>
      </c>
      <c r="M1508" s="6">
        <f ca="1">IFERROR(__xludf.DUMMYFUNCTION("IFERROR(GOOGLEFINANCE(B1508,""change""),0)"),0)</f>
        <v>0</v>
      </c>
      <c r="N1508" s="6">
        <v>2</v>
      </c>
      <c r="O1508" s="7">
        <v>45536</v>
      </c>
      <c r="P1508" s="6">
        <v>22.66</v>
      </c>
      <c r="Q1508" s="6">
        <v>319.89999999999998</v>
      </c>
      <c r="R1508" s="7">
        <v>45536</v>
      </c>
      <c r="S1508" s="6">
        <v>80.89</v>
      </c>
      <c r="T1508" s="6">
        <v>7.28</v>
      </c>
      <c r="U1508" s="7">
        <v>45536</v>
      </c>
      <c r="V1508" s="6">
        <v>41.58</v>
      </c>
      <c r="W1508" s="6">
        <f ca="1">IFERROR(__xludf.DUMMYFUNCTION("IFERROR(GOOGLEFINANCE(B1508,""pe""),V1508)"),41.58)</f>
        <v>41.58</v>
      </c>
      <c r="X1508" s="6">
        <v>0.82</v>
      </c>
      <c r="Y1508" s="6">
        <v>4.9000000000000004</v>
      </c>
      <c r="Z1508" s="6">
        <v>2</v>
      </c>
      <c r="AA1508" s="8">
        <v>45352</v>
      </c>
      <c r="AB1508" s="4">
        <v>0.4</v>
      </c>
      <c r="AC1508" s="6">
        <v>15.54</v>
      </c>
      <c r="AD1508" s="6">
        <v>19.71</v>
      </c>
      <c r="AE1508" s="1">
        <v>0</v>
      </c>
      <c r="AF1508" s="1">
        <f ca="1">IFERROR(__xludf.DUMMYFUNCTION("IFERROR(GOOGLEFINANCE(TRIM(F1508)&amp;"":"" &amp; TRIM(B1508),""high52""),AE1508)"),0)</f>
        <v>0</v>
      </c>
      <c r="AG1508" s="1">
        <v>0</v>
      </c>
      <c r="AH1508" s="1">
        <f ca="1">IFERROR(__xludf.DUMMYFUNCTION("IFERROR(GOOGLEFINANCE(TRIM(F1508)&amp;"":"" &amp; TRIM(B1508),""low52""),AE1508)"),0)</f>
        <v>0</v>
      </c>
      <c r="AI1508" s="1">
        <f ca="1">IFERROR(__xludf.DUMMYFUNCTION("IFERROR(GOOGLEFINANCE(B1508,""eps""),0)"),0)</f>
        <v>0</v>
      </c>
      <c r="AJ1508" s="1"/>
      <c r="AK1508" s="1" t="s">
        <v>4542</v>
      </c>
      <c r="AL1508" s="9">
        <f t="shared" si="196"/>
        <v>1</v>
      </c>
    </row>
    <row r="1509" spans="1:38" ht="15" x14ac:dyDescent="0.25">
      <c r="A1509" s="1" t="s">
        <v>4543</v>
      </c>
      <c r="B1509" s="1" t="s">
        <v>4544</v>
      </c>
      <c r="C1509" s="1" t="s">
        <v>208</v>
      </c>
      <c r="D1509" s="1" t="s">
        <v>208</v>
      </c>
      <c r="E1509" s="6">
        <v>45.54</v>
      </c>
      <c r="F1509" s="1" t="s">
        <v>40</v>
      </c>
      <c r="G1509" s="6">
        <f ca="1">IFERROR(__xludf.DUMMYFUNCTION("iferror(GOOGLEFINANCE(TRIM(F1509)&amp;"":"" &amp; TRIM(B1509), ""price""),0
)"),22)</f>
        <v>22</v>
      </c>
      <c r="H1509" s="6">
        <v>14.78</v>
      </c>
      <c r="I1509" s="6">
        <f t="shared" ca="1" si="0"/>
        <v>22</v>
      </c>
      <c r="J1509" s="6">
        <f ca="1">IFERROR(__xludf.DUMMYFUNCTION("IFERROR(GOOGLEFINANCE(B1509, ""volume""), 0)"),18195)</f>
        <v>18195</v>
      </c>
      <c r="K1509" s="6">
        <v>-2.0499999999999998</v>
      </c>
      <c r="L1509" s="6">
        <f ca="1">IFERROR(__xludf.DUMMYFUNCTION("IFERROR(GOOGLEFINANCE(B1509,""changepct""),K1509)"),1.38)</f>
        <v>1.38</v>
      </c>
      <c r="M1509" s="6">
        <f ca="1">IFERROR(__xludf.DUMMYFUNCTION("IFERROR(GOOGLEFINANCE(B1509,""change""),0)"),0.3)</f>
        <v>0.3</v>
      </c>
      <c r="N1509" s="6">
        <v>2</v>
      </c>
      <c r="O1509" s="7">
        <v>45536</v>
      </c>
      <c r="P1509" s="6">
        <v>3.65</v>
      </c>
      <c r="Q1509" s="7">
        <v>45536</v>
      </c>
      <c r="R1509" s="6">
        <v>12.47</v>
      </c>
      <c r="S1509" s="6">
        <v>0.54</v>
      </c>
      <c r="T1509" s="6">
        <v>1.08</v>
      </c>
      <c r="U1509" s="6">
        <v>2</v>
      </c>
      <c r="V1509" s="7">
        <v>45352</v>
      </c>
      <c r="W1509" s="6">
        <f ca="1">IFERROR(__xludf.DUMMYFUNCTION("IFERROR(GOOGLEFINANCE(B1509,""pe""),V1509)"),20.12)</f>
        <v>20.12</v>
      </c>
      <c r="X1509" s="6">
        <v>7.0000000000000007E-2</v>
      </c>
      <c r="Y1509" s="6">
        <v>7.34</v>
      </c>
      <c r="Z1509" s="6">
        <v>7.65</v>
      </c>
      <c r="AA1509" s="3" t="s">
        <v>4545</v>
      </c>
      <c r="AB1509" s="3"/>
      <c r="AC1509" s="9"/>
      <c r="AD1509" s="9"/>
      <c r="AE1509" s="1">
        <v>0</v>
      </c>
      <c r="AF1509" s="1">
        <f ca="1">IFERROR(__xludf.DUMMYFUNCTION("IFERROR(GOOGLEFINANCE(TRIM(F1509)&amp;"":"" &amp; TRIM(B1509),""high52""),AE1509)"),33.62)</f>
        <v>33.619999999999997</v>
      </c>
      <c r="AG1509" s="1">
        <v>0</v>
      </c>
      <c r="AH1509" s="1">
        <f ca="1">IFERROR(__xludf.DUMMYFUNCTION("IFERROR(GOOGLEFINANCE(TRIM(F1509)&amp;"":"" &amp; TRIM(B1509),""low52""),AE1509)"),10.05)</f>
        <v>10.050000000000001</v>
      </c>
      <c r="AI1509" s="1">
        <f ca="1">IFERROR(__xludf.DUMMYFUNCTION("IFERROR(GOOGLEFINANCE(B1509,""eps""),0)"),1.09)</f>
        <v>1.0900000000000001</v>
      </c>
      <c r="AJ1509" s="1"/>
      <c r="AK1509" s="1" t="s">
        <v>4546</v>
      </c>
      <c r="AL1509" s="9">
        <f t="shared" si="196"/>
        <v>1</v>
      </c>
    </row>
    <row r="1510" spans="1:38" ht="15" x14ac:dyDescent="0.25">
      <c r="A1510" s="1" t="s">
        <v>4547</v>
      </c>
      <c r="B1510" s="1" t="s">
        <v>4548</v>
      </c>
      <c r="C1510" s="1" t="s">
        <v>719</v>
      </c>
      <c r="D1510" s="1" t="s">
        <v>719</v>
      </c>
      <c r="E1510" s="6">
        <v>147642.79999999999</v>
      </c>
      <c r="F1510" s="1" t="s">
        <v>40</v>
      </c>
      <c r="G1510" s="6">
        <f ca="1">IFERROR(__xludf.DUMMYFUNCTION("iferror(GOOGLEFINANCE(TRIM(F1510)&amp;"":"" &amp; TRIM(B1510), ""price""),0
)"),2208.8)</f>
        <v>2208.8000000000002</v>
      </c>
      <c r="H1510" s="6">
        <v>1826.3</v>
      </c>
      <c r="I1510" s="6">
        <f t="shared" ca="1" si="0"/>
        <v>2208.8000000000002</v>
      </c>
      <c r="J1510" s="6">
        <f ca="1">IFERROR(__xludf.DUMMYFUNCTION("IFERROR(GOOGLEFINANCE(B1510, ""volume""), 0)"),745805)</f>
        <v>745805</v>
      </c>
      <c r="K1510" s="6">
        <v>0.42</v>
      </c>
      <c r="L1510" s="6">
        <f ca="1">IFERROR(__xludf.DUMMYFUNCTION("IFERROR(GOOGLEFINANCE(B1510,""changepct""),K1510)"),1.54)</f>
        <v>1.54</v>
      </c>
      <c r="M1510" s="6">
        <f ca="1">IFERROR(__xludf.DUMMYFUNCTION("IFERROR(GOOGLEFINANCE(B1510,""change""),0)"),33.4)</f>
        <v>33.4</v>
      </c>
      <c r="N1510" s="6">
        <v>1</v>
      </c>
      <c r="O1510" s="7">
        <v>45536</v>
      </c>
      <c r="P1510" s="6">
        <v>997.85</v>
      </c>
      <c r="Q1510" s="6">
        <v>140211.5</v>
      </c>
      <c r="R1510" s="14"/>
      <c r="S1510" s="9"/>
      <c r="T1510" s="9"/>
      <c r="U1510" s="7">
        <v>45352</v>
      </c>
      <c r="V1510" s="6">
        <v>24.8</v>
      </c>
      <c r="W1510" s="6">
        <f ca="1">IFERROR(__xludf.DUMMYFUNCTION("IFERROR(GOOGLEFINANCE(B1510,""pe""),V1510)"),31.4)</f>
        <v>31.4</v>
      </c>
      <c r="X1510" s="12"/>
      <c r="Y1510" s="6">
        <v>3.62</v>
      </c>
      <c r="Z1510" s="6">
        <v>2</v>
      </c>
      <c r="AA1510" s="8">
        <v>45352</v>
      </c>
      <c r="AB1510" s="4">
        <v>7.0000000000000007E-2</v>
      </c>
      <c r="AC1510" s="6">
        <v>39.450000000000003</v>
      </c>
      <c r="AD1510" s="6">
        <v>51.43</v>
      </c>
      <c r="AE1510" s="1">
        <v>0</v>
      </c>
      <c r="AF1510" s="1">
        <f ca="1">IFERROR(__xludf.DUMMYFUNCTION("IFERROR(GOOGLEFINANCE(TRIM(F1510)&amp;"":"" &amp; TRIM(B1510),""high52""),AE1510)"),2890)</f>
        <v>2890</v>
      </c>
      <c r="AG1510" s="1">
        <v>0</v>
      </c>
      <c r="AH1510" s="1">
        <f ca="1">IFERROR(__xludf.DUMMYFUNCTION("IFERROR(GOOGLEFINANCE(TRIM(F1510)&amp;"":"" &amp; TRIM(B1510),""low52""),AE1510)"),1541.7)</f>
        <v>1541.7</v>
      </c>
      <c r="AI1510" s="1">
        <f ca="1">IFERROR(__xludf.DUMMYFUNCTION("IFERROR(GOOGLEFINANCE(B1510,""eps""),0)"),70.35)</f>
        <v>70.349999999999994</v>
      </c>
      <c r="AJ1510" s="1"/>
      <c r="AK1510" s="1" t="s">
        <v>4549</v>
      </c>
      <c r="AL1510" s="1" t="b">
        <f>ISNUMBER(AA1510)</f>
        <v>1</v>
      </c>
    </row>
    <row r="1511" spans="1:38" ht="15" x14ac:dyDescent="0.25">
      <c r="A1511" s="1" t="s">
        <v>4550</v>
      </c>
      <c r="B1511" s="1" t="s">
        <v>4551</v>
      </c>
      <c r="C1511" s="1" t="s">
        <v>416</v>
      </c>
      <c r="D1511" s="1" t="s">
        <v>416</v>
      </c>
      <c r="E1511" s="6">
        <v>414.8</v>
      </c>
      <c r="F1511" s="1" t="s">
        <v>53</v>
      </c>
      <c r="G1511" s="6">
        <f ca="1">IFERROR(__xludf.DUMMYFUNCTION("iferror(GOOGLEFINANCE(TRIM(F1511)&amp;"":"" &amp; TRIM(B1511), ""price""),0
)"),0)</f>
        <v>0</v>
      </c>
      <c r="H1511" s="6">
        <v>62.65</v>
      </c>
      <c r="I1511" s="6">
        <f t="shared" ca="1" si="0"/>
        <v>62.65</v>
      </c>
      <c r="J1511" s="6">
        <f ca="1">IFERROR(__xludf.DUMMYFUNCTION("IFERROR(GOOGLEFINANCE(B1511, ""volume""), 0)"),0)</f>
        <v>0</v>
      </c>
      <c r="K1511" s="6">
        <v>-0.33</v>
      </c>
      <c r="L1511" s="6">
        <f ca="1">IFERROR(__xludf.DUMMYFUNCTION("IFERROR(GOOGLEFINANCE(B1511,""changepct""),K1511)"),-0.33)</f>
        <v>-0.33</v>
      </c>
      <c r="M1511" s="6">
        <f ca="1">IFERROR(__xludf.DUMMYFUNCTION("IFERROR(GOOGLEFINANCE(B1511,""change""),0)"),0)</f>
        <v>0</v>
      </c>
      <c r="N1511" s="6">
        <v>2</v>
      </c>
      <c r="O1511" s="7">
        <v>45536</v>
      </c>
      <c r="P1511" s="6">
        <v>48.41</v>
      </c>
      <c r="Q1511" s="6">
        <v>444.39</v>
      </c>
      <c r="R1511" s="7">
        <v>45536</v>
      </c>
      <c r="S1511" s="6">
        <v>230.47</v>
      </c>
      <c r="T1511" s="6">
        <v>6.74</v>
      </c>
      <c r="U1511" s="7">
        <v>45536</v>
      </c>
      <c r="V1511" s="6">
        <v>61.5</v>
      </c>
      <c r="W1511" s="6">
        <f ca="1">IFERROR(__xludf.DUMMYFUNCTION("IFERROR(GOOGLEFINANCE(B1511,""pe""),V1511)"),61.5)</f>
        <v>61.5</v>
      </c>
      <c r="X1511" s="9"/>
      <c r="Y1511" s="6">
        <v>2.83</v>
      </c>
      <c r="Z1511" s="6">
        <v>2</v>
      </c>
      <c r="AA1511" s="8">
        <v>45352</v>
      </c>
      <c r="AB1511" s="4">
        <v>0.3</v>
      </c>
      <c r="AC1511" s="6">
        <v>6.82</v>
      </c>
      <c r="AD1511" s="6">
        <v>11.32</v>
      </c>
      <c r="AE1511" s="1">
        <v>0</v>
      </c>
      <c r="AF1511" s="1">
        <f ca="1">IFERROR(__xludf.DUMMYFUNCTION("IFERROR(GOOGLEFINANCE(TRIM(F1511)&amp;"":"" &amp; TRIM(B1511),""high52""),AE1511)"),0)</f>
        <v>0</v>
      </c>
      <c r="AG1511" s="1">
        <v>0</v>
      </c>
      <c r="AH1511" s="1">
        <f ca="1">IFERROR(__xludf.DUMMYFUNCTION("IFERROR(GOOGLEFINANCE(TRIM(F1511)&amp;"":"" &amp; TRIM(B1511),""low52""),AE1511)"),0)</f>
        <v>0</v>
      </c>
      <c r="AI1511" s="1">
        <f ca="1">IFERROR(__xludf.DUMMYFUNCTION("IFERROR(GOOGLEFINANCE(B1511,""eps""),0)"),0)</f>
        <v>0</v>
      </c>
      <c r="AJ1511" s="1"/>
      <c r="AK1511" s="1" t="s">
        <v>4552</v>
      </c>
      <c r="AL1511" s="9">
        <f t="shared" ref="AL1511:AL1522" si="197">IF(AA1511&lt;&gt;AB1511,1,0)</f>
        <v>1</v>
      </c>
    </row>
    <row r="1512" spans="1:38" ht="15" x14ac:dyDescent="0.25">
      <c r="A1512" s="1" t="s">
        <v>4553</v>
      </c>
      <c r="B1512" s="1" t="s">
        <v>4554</v>
      </c>
      <c r="C1512" s="1" t="s">
        <v>208</v>
      </c>
      <c r="D1512" s="1" t="s">
        <v>208</v>
      </c>
      <c r="E1512" s="6">
        <v>133.66999999999999</v>
      </c>
      <c r="F1512" s="1" t="s">
        <v>40</v>
      </c>
      <c r="G1512" s="6">
        <f ca="1">IFERROR(__xludf.DUMMYFUNCTION("iferror(GOOGLEFINANCE(TRIM(F1512)&amp;"":"" &amp; TRIM(B1512), ""price""),0
)"),0)</f>
        <v>0</v>
      </c>
      <c r="H1512" s="6">
        <v>53.15</v>
      </c>
      <c r="I1512" s="6">
        <f t="shared" ca="1" si="0"/>
        <v>53.15</v>
      </c>
      <c r="J1512" s="6">
        <f ca="1">IFERROR(__xludf.DUMMYFUNCTION("IFERROR(GOOGLEFINANCE(B1512, ""volume""), 0)"),0)</f>
        <v>0</v>
      </c>
      <c r="K1512" s="6">
        <v>-1.67</v>
      </c>
      <c r="L1512" s="6">
        <f ca="1">IFERROR(__xludf.DUMMYFUNCTION("IFERROR(GOOGLEFINANCE(B1512,""changepct""),K1512)"),-1.67)</f>
        <v>-1.67</v>
      </c>
      <c r="M1512" s="6">
        <f ca="1">IFERROR(__xludf.DUMMYFUNCTION("IFERROR(GOOGLEFINANCE(B1512,""change""),0)"),0)</f>
        <v>0</v>
      </c>
      <c r="N1512" s="6">
        <v>1</v>
      </c>
      <c r="O1512" s="7">
        <v>45352</v>
      </c>
      <c r="P1512" s="6">
        <v>2.2799999999999998</v>
      </c>
      <c r="Q1512" s="7">
        <v>45352</v>
      </c>
      <c r="R1512" s="6">
        <v>58.55</v>
      </c>
      <c r="S1512" s="9"/>
      <c r="T1512" s="6">
        <v>2.37</v>
      </c>
      <c r="U1512" s="6">
        <v>1</v>
      </c>
      <c r="V1512" s="7">
        <v>45352</v>
      </c>
      <c r="W1512" s="10">
        <f ca="1">IFERROR(__xludf.DUMMYFUNCTION("IFERROR(GOOGLEFINANCE(B1512,""pe""),V1512)"),45352)</f>
        <v>45352</v>
      </c>
      <c r="X1512" s="6">
        <v>0.09</v>
      </c>
      <c r="Y1512" s="6">
        <v>5.93</v>
      </c>
      <c r="Z1512" s="6">
        <v>8.4600000000000009</v>
      </c>
      <c r="AA1512" s="3" t="s">
        <v>4555</v>
      </c>
      <c r="AB1512" s="11"/>
      <c r="AC1512" s="9"/>
      <c r="AD1512" s="9"/>
      <c r="AE1512" s="1">
        <v>0</v>
      </c>
      <c r="AF1512" s="1">
        <f ca="1">IFERROR(__xludf.DUMMYFUNCTION("IFERROR(GOOGLEFINANCE(TRIM(F1512)&amp;"":"" &amp; TRIM(B1512),""high52""),AE1512)"),0)</f>
        <v>0</v>
      </c>
      <c r="AG1512" s="1">
        <v>0</v>
      </c>
      <c r="AH1512" s="1">
        <f ca="1">IFERROR(__xludf.DUMMYFUNCTION("IFERROR(GOOGLEFINANCE(TRIM(F1512)&amp;"":"" &amp; TRIM(B1512),""low52""),AE1512)"),0)</f>
        <v>0</v>
      </c>
      <c r="AI1512" s="1">
        <f ca="1">IFERROR(__xludf.DUMMYFUNCTION("IFERROR(GOOGLEFINANCE(B1512,""eps""),0)"),0)</f>
        <v>0</v>
      </c>
      <c r="AJ1512" s="1"/>
      <c r="AK1512" s="1" t="s">
        <v>4556</v>
      </c>
      <c r="AL1512" s="9">
        <f t="shared" si="197"/>
        <v>1</v>
      </c>
    </row>
    <row r="1513" spans="1:38" ht="15" x14ac:dyDescent="0.25">
      <c r="A1513" s="1" t="s">
        <v>4557</v>
      </c>
      <c r="B1513" s="1" t="s">
        <v>4558</v>
      </c>
      <c r="C1513" s="1" t="s">
        <v>416</v>
      </c>
      <c r="D1513" s="1" t="s">
        <v>416</v>
      </c>
      <c r="E1513" s="6">
        <v>233.26</v>
      </c>
      <c r="F1513" s="1" t="s">
        <v>53</v>
      </c>
      <c r="G1513" s="6">
        <f ca="1">IFERROR(__xludf.DUMMYFUNCTION("iferror(GOOGLEFINANCE(TRIM(F1513)&amp;"":"" &amp; TRIM(B1513), ""price""),0
)"),0)</f>
        <v>0</v>
      </c>
      <c r="H1513" s="6">
        <v>492</v>
      </c>
      <c r="I1513" s="6">
        <f t="shared" ca="1" si="0"/>
        <v>492</v>
      </c>
      <c r="J1513" s="6">
        <f ca="1">IFERROR(__xludf.DUMMYFUNCTION("IFERROR(GOOGLEFINANCE(B1513, ""volume""), 0)"),0)</f>
        <v>0</v>
      </c>
      <c r="K1513" s="6">
        <v>-1.65</v>
      </c>
      <c r="L1513" s="6">
        <f ca="1">IFERROR(__xludf.DUMMYFUNCTION("IFERROR(GOOGLEFINANCE(B1513,""changepct""),K1513)"),-1.65)</f>
        <v>-1.65</v>
      </c>
      <c r="M1513" s="6">
        <f ca="1">IFERROR(__xludf.DUMMYFUNCTION("IFERROR(GOOGLEFINANCE(B1513,""change""),0)"),0)</f>
        <v>0</v>
      </c>
      <c r="N1513" s="6">
        <v>1</v>
      </c>
      <c r="O1513" s="7">
        <v>45536</v>
      </c>
      <c r="P1513" s="6">
        <v>2.76</v>
      </c>
      <c r="Q1513" s="6">
        <v>232.83</v>
      </c>
      <c r="R1513" s="7">
        <v>45536</v>
      </c>
      <c r="S1513" s="6">
        <v>75.930000000000007</v>
      </c>
      <c r="T1513" s="6">
        <v>8.91</v>
      </c>
      <c r="U1513" s="7">
        <v>45536</v>
      </c>
      <c r="V1513" s="6">
        <v>26.17</v>
      </c>
      <c r="W1513" s="6">
        <f ca="1">IFERROR(__xludf.DUMMYFUNCTION("IFERROR(GOOGLEFINANCE(B1513,""pe""),V1513)"),26.17)</f>
        <v>26.17</v>
      </c>
      <c r="X1513" s="6">
        <v>1.77</v>
      </c>
      <c r="Y1513" s="6">
        <v>3.87</v>
      </c>
      <c r="Z1513" s="6">
        <v>1</v>
      </c>
      <c r="AA1513" s="8">
        <v>45352</v>
      </c>
      <c r="AB1513" s="4">
        <v>0.08</v>
      </c>
      <c r="AC1513" s="6">
        <v>17.399999999999999</v>
      </c>
      <c r="AD1513" s="6">
        <v>22.47</v>
      </c>
      <c r="AE1513" s="1">
        <v>0</v>
      </c>
      <c r="AF1513" s="1">
        <f ca="1">IFERROR(__xludf.DUMMYFUNCTION("IFERROR(GOOGLEFINANCE(TRIM(F1513)&amp;"":"" &amp; TRIM(B1513),""high52""),AE1513)"),0)</f>
        <v>0</v>
      </c>
      <c r="AG1513" s="1">
        <v>0</v>
      </c>
      <c r="AH1513" s="1">
        <f ca="1">IFERROR(__xludf.DUMMYFUNCTION("IFERROR(GOOGLEFINANCE(TRIM(F1513)&amp;"":"" &amp; TRIM(B1513),""low52""),AE1513)"),0)</f>
        <v>0</v>
      </c>
      <c r="AI1513" s="1">
        <f ca="1">IFERROR(__xludf.DUMMYFUNCTION("IFERROR(GOOGLEFINANCE(B1513,""eps""),0)"),0)</f>
        <v>0</v>
      </c>
      <c r="AJ1513" s="1"/>
      <c r="AK1513" s="1" t="s">
        <v>4559</v>
      </c>
      <c r="AL1513" s="9">
        <f t="shared" si="197"/>
        <v>1</v>
      </c>
    </row>
    <row r="1514" spans="1:38" ht="15" x14ac:dyDescent="0.25">
      <c r="A1514" s="1" t="s">
        <v>4560</v>
      </c>
      <c r="B1514" s="1" t="s">
        <v>4561</v>
      </c>
      <c r="C1514" s="1" t="s">
        <v>416</v>
      </c>
      <c r="D1514" s="1" t="s">
        <v>416</v>
      </c>
      <c r="E1514" s="6">
        <v>366.69</v>
      </c>
      <c r="F1514" s="1" t="s">
        <v>53</v>
      </c>
      <c r="G1514" s="6">
        <f ca="1">IFERROR(__xludf.DUMMYFUNCTION("iferror(GOOGLEFINANCE(TRIM(F1514)&amp;"":"" &amp; TRIM(B1514), ""price""),0
)"),0)</f>
        <v>0</v>
      </c>
      <c r="H1514" s="6">
        <v>217</v>
      </c>
      <c r="I1514" s="6">
        <f t="shared" ca="1" si="0"/>
        <v>217</v>
      </c>
      <c r="J1514" s="6">
        <f ca="1">IFERROR(__xludf.DUMMYFUNCTION("IFERROR(GOOGLEFINANCE(B1514, ""volume""), 0)"),0)</f>
        <v>0</v>
      </c>
      <c r="K1514" s="6">
        <v>0.23</v>
      </c>
      <c r="L1514" s="6">
        <f ca="1">IFERROR(__xludf.DUMMYFUNCTION("IFERROR(GOOGLEFINANCE(B1514,""changepct""),K1514)"),0.23)</f>
        <v>0.23</v>
      </c>
      <c r="M1514" s="6">
        <f ca="1">IFERROR(__xludf.DUMMYFUNCTION("IFERROR(GOOGLEFINANCE(B1514,""change""),0)"),0)</f>
        <v>0</v>
      </c>
      <c r="N1514" s="6">
        <v>1</v>
      </c>
      <c r="O1514" s="7">
        <v>45536</v>
      </c>
      <c r="P1514" s="6">
        <v>2.83</v>
      </c>
      <c r="Q1514" s="6">
        <v>369.52</v>
      </c>
      <c r="R1514" s="7">
        <v>45536</v>
      </c>
      <c r="S1514" s="6">
        <v>40.61</v>
      </c>
      <c r="T1514" s="6">
        <v>5.97</v>
      </c>
      <c r="U1514" s="7">
        <v>45536</v>
      </c>
      <c r="V1514" s="6">
        <v>61.38</v>
      </c>
      <c r="W1514" s="6">
        <f ca="1">IFERROR(__xludf.DUMMYFUNCTION("IFERROR(GOOGLEFINANCE(B1514,""pe""),V1514)"),61.38)</f>
        <v>61.38</v>
      </c>
      <c r="X1514" s="6">
        <v>0.79</v>
      </c>
      <c r="Y1514" s="6">
        <v>2.73</v>
      </c>
      <c r="Z1514" s="6">
        <v>1</v>
      </c>
      <c r="AA1514" s="8">
        <v>45352</v>
      </c>
      <c r="AB1514" s="4">
        <v>0.15</v>
      </c>
      <c r="AC1514" s="6">
        <v>18.46</v>
      </c>
      <c r="AD1514" s="6">
        <v>16.82</v>
      </c>
      <c r="AE1514" s="1">
        <v>0</v>
      </c>
      <c r="AF1514" s="1">
        <f ca="1">IFERROR(__xludf.DUMMYFUNCTION("IFERROR(GOOGLEFINANCE(TRIM(F1514)&amp;"":"" &amp; TRIM(B1514),""high52""),AE1514)"),0)</f>
        <v>0</v>
      </c>
      <c r="AG1514" s="1">
        <v>0</v>
      </c>
      <c r="AH1514" s="1">
        <f ca="1">IFERROR(__xludf.DUMMYFUNCTION("IFERROR(GOOGLEFINANCE(TRIM(F1514)&amp;"":"" &amp; TRIM(B1514),""low52""),AE1514)"),0)</f>
        <v>0</v>
      </c>
      <c r="AI1514" s="1">
        <f ca="1">IFERROR(__xludf.DUMMYFUNCTION("IFERROR(GOOGLEFINANCE(B1514,""eps""),0)"),0)</f>
        <v>0</v>
      </c>
      <c r="AJ1514" s="1"/>
      <c r="AK1514" s="1" t="s">
        <v>4562</v>
      </c>
      <c r="AL1514" s="9">
        <f t="shared" si="197"/>
        <v>1</v>
      </c>
    </row>
    <row r="1515" spans="1:38" ht="15" x14ac:dyDescent="0.25">
      <c r="A1515" s="1" t="s">
        <v>4563</v>
      </c>
      <c r="B1515" s="1" t="s">
        <v>4564</v>
      </c>
      <c r="C1515" s="1" t="s">
        <v>416</v>
      </c>
      <c r="D1515" s="1" t="s">
        <v>416</v>
      </c>
      <c r="E1515" s="6">
        <v>84.24</v>
      </c>
      <c r="F1515" s="1" t="s">
        <v>53</v>
      </c>
      <c r="G1515" s="6">
        <f ca="1">IFERROR(__xludf.DUMMYFUNCTION("iferror(GOOGLEFINANCE(TRIM(F1515)&amp;"":"" &amp; TRIM(B1515), ""price""),0
)"),0)</f>
        <v>0</v>
      </c>
      <c r="H1515" s="6">
        <v>147</v>
      </c>
      <c r="I1515" s="6">
        <f t="shared" ca="1" si="0"/>
        <v>147</v>
      </c>
      <c r="J1515" s="6">
        <f ca="1">IFERROR(__xludf.DUMMYFUNCTION("IFERROR(GOOGLEFINANCE(B1515, ""volume""), 0)"),0)</f>
        <v>0</v>
      </c>
      <c r="K1515" s="6">
        <v>4.7</v>
      </c>
      <c r="L1515" s="6">
        <f ca="1">IFERROR(__xludf.DUMMYFUNCTION("IFERROR(GOOGLEFINANCE(B1515,""changepct""),K1515)"),4.7)</f>
        <v>4.7</v>
      </c>
      <c r="M1515" s="6">
        <f ca="1">IFERROR(__xludf.DUMMYFUNCTION("IFERROR(GOOGLEFINANCE(B1515,""change""),0)"),0)</f>
        <v>0</v>
      </c>
      <c r="N1515" s="6">
        <v>2</v>
      </c>
      <c r="O1515" s="7">
        <v>45536</v>
      </c>
      <c r="P1515" s="6">
        <v>29.15</v>
      </c>
      <c r="Q1515" s="6">
        <v>110.43</v>
      </c>
      <c r="R1515" s="7">
        <v>45536</v>
      </c>
      <c r="S1515" s="6">
        <v>60.46</v>
      </c>
      <c r="T1515" s="6">
        <v>1.87</v>
      </c>
      <c r="U1515" s="7">
        <v>45536</v>
      </c>
      <c r="V1515" s="6">
        <v>45.02</v>
      </c>
      <c r="W1515" s="6">
        <f ca="1">IFERROR(__xludf.DUMMYFUNCTION("IFERROR(GOOGLEFINANCE(B1515,""pe""),V1515)"),45.02)</f>
        <v>45.02</v>
      </c>
      <c r="X1515" s="6">
        <v>2.23</v>
      </c>
      <c r="Y1515" s="6">
        <v>7.19</v>
      </c>
      <c r="Z1515" s="6">
        <v>2</v>
      </c>
      <c r="AA1515" s="8">
        <v>45352</v>
      </c>
      <c r="AB1515" s="4">
        <v>2.5099999999999998</v>
      </c>
      <c r="AC1515" s="6">
        <v>14.91</v>
      </c>
      <c r="AD1515" s="6">
        <v>10.09</v>
      </c>
      <c r="AE1515" s="1">
        <v>0</v>
      </c>
      <c r="AF1515" s="1">
        <f ca="1">IFERROR(__xludf.DUMMYFUNCTION("IFERROR(GOOGLEFINANCE(TRIM(F1515)&amp;"":"" &amp; TRIM(B1515),""high52""),AE1515)"),0)</f>
        <v>0</v>
      </c>
      <c r="AG1515" s="1">
        <v>0</v>
      </c>
      <c r="AH1515" s="1">
        <f ca="1">IFERROR(__xludf.DUMMYFUNCTION("IFERROR(GOOGLEFINANCE(TRIM(F1515)&amp;"":"" &amp; TRIM(B1515),""low52""),AE1515)"),0)</f>
        <v>0</v>
      </c>
      <c r="AI1515" s="1">
        <f ca="1">IFERROR(__xludf.DUMMYFUNCTION("IFERROR(GOOGLEFINANCE(B1515,""eps""),0)"),0)</f>
        <v>0</v>
      </c>
      <c r="AJ1515" s="1"/>
      <c r="AK1515" s="1" t="s">
        <v>4565</v>
      </c>
      <c r="AL1515" s="9">
        <f t="shared" si="197"/>
        <v>1</v>
      </c>
    </row>
    <row r="1516" spans="1:38" ht="15" x14ac:dyDescent="0.25">
      <c r="A1516" s="1" t="s">
        <v>4566</v>
      </c>
      <c r="B1516" s="1" t="s">
        <v>4567</v>
      </c>
      <c r="C1516" s="1" t="s">
        <v>416</v>
      </c>
      <c r="D1516" s="1" t="s">
        <v>416</v>
      </c>
      <c r="E1516" s="6">
        <v>171.13</v>
      </c>
      <c r="F1516" s="1" t="s">
        <v>53</v>
      </c>
      <c r="G1516" s="6">
        <f ca="1">IFERROR(__xludf.DUMMYFUNCTION("iferror(GOOGLEFINANCE(TRIM(F1516)&amp;"":"" &amp; TRIM(B1516), ""price""),0
)"),0)</f>
        <v>0</v>
      </c>
      <c r="H1516" s="6">
        <v>565</v>
      </c>
      <c r="I1516" s="6">
        <f t="shared" ca="1" si="0"/>
        <v>565</v>
      </c>
      <c r="J1516" s="6">
        <f ca="1">IFERROR(__xludf.DUMMYFUNCTION("IFERROR(GOOGLEFINANCE(B1516, ""volume""), 0)"),0)</f>
        <v>0</v>
      </c>
      <c r="K1516" s="6">
        <v>-0.96</v>
      </c>
      <c r="L1516" s="6">
        <f ca="1">IFERROR(__xludf.DUMMYFUNCTION("IFERROR(GOOGLEFINANCE(B1516,""changepct""),K1516)"),-0.96)</f>
        <v>-0.96</v>
      </c>
      <c r="M1516" s="6">
        <f ca="1">IFERROR(__xludf.DUMMYFUNCTION("IFERROR(GOOGLEFINANCE(B1516,""change""),0)"),0)</f>
        <v>0</v>
      </c>
      <c r="N1516" s="6">
        <v>1</v>
      </c>
      <c r="O1516" s="7">
        <v>45536</v>
      </c>
      <c r="P1516" s="9"/>
      <c r="Q1516" s="6">
        <v>171.13</v>
      </c>
      <c r="R1516" s="7">
        <v>45536</v>
      </c>
      <c r="S1516" s="6">
        <v>49.28</v>
      </c>
      <c r="T1516" s="6">
        <v>1.78</v>
      </c>
      <c r="U1516" s="7">
        <v>45536</v>
      </c>
      <c r="V1516" s="6">
        <v>96.41</v>
      </c>
      <c r="W1516" s="6">
        <f ca="1">IFERROR(__xludf.DUMMYFUNCTION("IFERROR(GOOGLEFINANCE(B1516,""pe""),V1516)"),96.41)</f>
        <v>96.41</v>
      </c>
      <c r="X1516" s="6">
        <v>5.71</v>
      </c>
      <c r="Y1516" s="6">
        <v>0.69</v>
      </c>
      <c r="Z1516" s="6">
        <v>1</v>
      </c>
      <c r="AA1516" s="8">
        <v>45352</v>
      </c>
      <c r="AB1516" s="4">
        <v>0.02</v>
      </c>
      <c r="AC1516" s="6">
        <v>13.55</v>
      </c>
      <c r="AD1516" s="6">
        <v>15.54</v>
      </c>
      <c r="AE1516" s="1">
        <v>0</v>
      </c>
      <c r="AF1516" s="1">
        <f ca="1">IFERROR(__xludf.DUMMYFUNCTION("IFERROR(GOOGLEFINANCE(TRIM(F1516)&amp;"":"" &amp; TRIM(B1516),""high52""),AE1516)"),0)</f>
        <v>0</v>
      </c>
      <c r="AG1516" s="1">
        <v>0</v>
      </c>
      <c r="AH1516" s="1">
        <f ca="1">IFERROR(__xludf.DUMMYFUNCTION("IFERROR(GOOGLEFINANCE(TRIM(F1516)&amp;"":"" &amp; TRIM(B1516),""low52""),AE1516)"),0)</f>
        <v>0</v>
      </c>
      <c r="AI1516" s="1">
        <f ca="1">IFERROR(__xludf.DUMMYFUNCTION("IFERROR(GOOGLEFINANCE(B1516,""eps""),0)"),0)</f>
        <v>0</v>
      </c>
      <c r="AJ1516" s="1"/>
      <c r="AK1516" s="1" t="s">
        <v>4568</v>
      </c>
      <c r="AL1516" s="9">
        <f t="shared" si="197"/>
        <v>1</v>
      </c>
    </row>
    <row r="1517" spans="1:38" ht="15" x14ac:dyDescent="0.25">
      <c r="A1517" s="1" t="s">
        <v>4569</v>
      </c>
      <c r="B1517" s="1" t="s">
        <v>4570</v>
      </c>
      <c r="C1517" s="1" t="s">
        <v>416</v>
      </c>
      <c r="D1517" s="1" t="s">
        <v>416</v>
      </c>
      <c r="E1517" s="6">
        <v>2484.0700000000002</v>
      </c>
      <c r="F1517" s="1" t="s">
        <v>53</v>
      </c>
      <c r="G1517" s="6">
        <f ca="1">IFERROR(__xludf.DUMMYFUNCTION("iferror(GOOGLEFINANCE(TRIM(F1517)&amp;"":"" &amp; TRIM(B1517), ""price""),0
)"),0)</f>
        <v>0</v>
      </c>
      <c r="H1517" s="6">
        <v>17000</v>
      </c>
      <c r="I1517" s="6">
        <f t="shared" ca="1" si="0"/>
        <v>17000</v>
      </c>
      <c r="J1517" s="6">
        <f ca="1">IFERROR(__xludf.DUMMYFUNCTION("IFERROR(GOOGLEFINANCE(B1517, ""volume""), 0)"),0)</f>
        <v>0</v>
      </c>
      <c r="K1517" s="6">
        <v>-0.48</v>
      </c>
      <c r="L1517" s="6">
        <f ca="1">IFERROR(__xludf.DUMMYFUNCTION("IFERROR(GOOGLEFINANCE(B1517,""changepct""),K1517)"),-0.48)</f>
        <v>-0.48</v>
      </c>
      <c r="M1517" s="6">
        <f ca="1">IFERROR(__xludf.DUMMYFUNCTION("IFERROR(GOOGLEFINANCE(B1517,""change""),0)"),0)</f>
        <v>0</v>
      </c>
      <c r="N1517" s="6">
        <v>2</v>
      </c>
      <c r="O1517" s="7">
        <v>45536</v>
      </c>
      <c r="P1517" s="9"/>
      <c r="Q1517" s="6">
        <v>2257.7800000000002</v>
      </c>
      <c r="R1517" s="7">
        <v>45536</v>
      </c>
      <c r="S1517" s="6">
        <v>340.08</v>
      </c>
      <c r="T1517" s="6">
        <v>46.59</v>
      </c>
      <c r="U1517" s="7">
        <v>45536</v>
      </c>
      <c r="V1517" s="6">
        <v>53.32</v>
      </c>
      <c r="W1517" s="6">
        <f ca="1">IFERROR(__xludf.DUMMYFUNCTION("IFERROR(GOOGLEFINANCE(B1517,""pe""),V1517)"),53.32)</f>
        <v>53.32</v>
      </c>
      <c r="X1517" s="6">
        <v>5.69</v>
      </c>
      <c r="Y1517" s="6">
        <v>9.6</v>
      </c>
      <c r="Z1517" s="6">
        <v>2</v>
      </c>
      <c r="AA1517" s="8">
        <v>45352</v>
      </c>
      <c r="AB1517" s="4">
        <v>0</v>
      </c>
      <c r="AC1517" s="6">
        <v>18.43</v>
      </c>
      <c r="AD1517" s="6">
        <v>25.1</v>
      </c>
      <c r="AE1517" s="1">
        <v>0</v>
      </c>
      <c r="AF1517" s="1">
        <f ca="1">IFERROR(__xludf.DUMMYFUNCTION("IFERROR(GOOGLEFINANCE(TRIM(F1517)&amp;"":"" &amp; TRIM(B1517),""high52""),AE1517)"),0)</f>
        <v>0</v>
      </c>
      <c r="AG1517" s="1">
        <v>0</v>
      </c>
      <c r="AH1517" s="1">
        <f ca="1">IFERROR(__xludf.DUMMYFUNCTION("IFERROR(GOOGLEFINANCE(TRIM(F1517)&amp;"":"" &amp; TRIM(B1517),""low52""),AE1517)"),0)</f>
        <v>0</v>
      </c>
      <c r="AI1517" s="1">
        <f ca="1">IFERROR(__xludf.DUMMYFUNCTION("IFERROR(GOOGLEFINANCE(B1517,""eps""),0)"),0)</f>
        <v>0</v>
      </c>
      <c r="AJ1517" s="1"/>
      <c r="AK1517" s="1" t="s">
        <v>4571</v>
      </c>
      <c r="AL1517" s="9">
        <f t="shared" si="197"/>
        <v>1</v>
      </c>
    </row>
    <row r="1518" spans="1:38" ht="15" x14ac:dyDescent="0.25">
      <c r="A1518" s="1" t="s">
        <v>4572</v>
      </c>
      <c r="B1518" s="1" t="s">
        <v>4573</v>
      </c>
      <c r="C1518" s="1" t="s">
        <v>416</v>
      </c>
      <c r="D1518" s="1" t="s">
        <v>416</v>
      </c>
      <c r="E1518" s="6">
        <v>195.65</v>
      </c>
      <c r="F1518" s="1" t="s">
        <v>53</v>
      </c>
      <c r="G1518" s="6">
        <f ca="1">IFERROR(__xludf.DUMMYFUNCTION("iferror(GOOGLEFINANCE(TRIM(F1518)&amp;"":"" &amp; TRIM(B1518), ""price""),0
)"),0)</f>
        <v>0</v>
      </c>
      <c r="H1518" s="6">
        <v>522.75</v>
      </c>
      <c r="I1518" s="6">
        <f t="shared" ca="1" si="0"/>
        <v>522.75</v>
      </c>
      <c r="J1518" s="6">
        <f ca="1">IFERROR(__xludf.DUMMYFUNCTION("IFERROR(GOOGLEFINANCE(B1518, ""volume""), 0)"),0)</f>
        <v>0</v>
      </c>
      <c r="K1518" s="6">
        <v>-1.25</v>
      </c>
      <c r="L1518" s="6">
        <f ca="1">IFERROR(__xludf.DUMMYFUNCTION("IFERROR(GOOGLEFINANCE(B1518,""changepct""),K1518)"),-1.25)</f>
        <v>-1.25</v>
      </c>
      <c r="M1518" s="6">
        <f ca="1">IFERROR(__xludf.DUMMYFUNCTION("IFERROR(GOOGLEFINANCE(B1518,""change""),0)"),0)</f>
        <v>0</v>
      </c>
      <c r="N1518" s="6">
        <v>1</v>
      </c>
      <c r="O1518" s="7">
        <v>45536</v>
      </c>
      <c r="P1518" s="6">
        <v>3.45</v>
      </c>
      <c r="Q1518" s="6">
        <v>191.62</v>
      </c>
      <c r="R1518" s="7">
        <v>45536</v>
      </c>
      <c r="S1518" s="6">
        <v>77.66</v>
      </c>
      <c r="T1518" s="6">
        <v>6.51</v>
      </c>
      <c r="U1518" s="7">
        <v>45536</v>
      </c>
      <c r="V1518" s="6">
        <v>30.05</v>
      </c>
      <c r="W1518" s="6">
        <f ca="1">IFERROR(__xludf.DUMMYFUNCTION("IFERROR(GOOGLEFINANCE(B1518,""pe""),V1518)"),30.05)</f>
        <v>30.05</v>
      </c>
      <c r="X1518" s="6">
        <v>1.51</v>
      </c>
      <c r="Y1518" s="6">
        <v>3.56</v>
      </c>
      <c r="Z1518" s="6">
        <v>1</v>
      </c>
      <c r="AA1518" s="8">
        <v>45352</v>
      </c>
      <c r="AB1518" s="4">
        <v>0.01</v>
      </c>
      <c r="AC1518" s="6">
        <v>13.84</v>
      </c>
      <c r="AD1518" s="6">
        <v>18.5</v>
      </c>
      <c r="AE1518" s="1">
        <v>0</v>
      </c>
      <c r="AF1518" s="1">
        <f ca="1">IFERROR(__xludf.DUMMYFUNCTION("IFERROR(GOOGLEFINANCE(TRIM(F1518)&amp;"":"" &amp; TRIM(B1518),""high52""),AE1518)"),0)</f>
        <v>0</v>
      </c>
      <c r="AG1518" s="1">
        <v>0</v>
      </c>
      <c r="AH1518" s="1">
        <f ca="1">IFERROR(__xludf.DUMMYFUNCTION("IFERROR(GOOGLEFINANCE(TRIM(F1518)&amp;"":"" &amp; TRIM(B1518),""low52""),AE1518)"),0)</f>
        <v>0</v>
      </c>
      <c r="AI1518" s="1">
        <f ca="1">IFERROR(__xludf.DUMMYFUNCTION("IFERROR(GOOGLEFINANCE(B1518,""eps""),0)"),0)</f>
        <v>0</v>
      </c>
      <c r="AJ1518" s="1"/>
      <c r="AK1518" s="1" t="s">
        <v>4574</v>
      </c>
      <c r="AL1518" s="9">
        <f t="shared" si="197"/>
        <v>1</v>
      </c>
    </row>
    <row r="1519" spans="1:38" ht="15" x14ac:dyDescent="0.25">
      <c r="A1519" s="1" t="s">
        <v>4575</v>
      </c>
      <c r="B1519" s="1" t="s">
        <v>4576</v>
      </c>
      <c r="C1519" s="1" t="s">
        <v>208</v>
      </c>
      <c r="D1519" s="1" t="s">
        <v>208</v>
      </c>
      <c r="E1519" s="6">
        <v>81.5</v>
      </c>
      <c r="F1519" s="1" t="s">
        <v>40</v>
      </c>
      <c r="G1519" s="6">
        <f ca="1">IFERROR(__xludf.DUMMYFUNCTION("iferror(GOOGLEFINANCE(TRIM(F1519)&amp;"":"" &amp; TRIM(B1519), ""price""),0
)"),38.5)</f>
        <v>38.5</v>
      </c>
      <c r="H1519" s="6">
        <v>61</v>
      </c>
      <c r="I1519" s="6">
        <f t="shared" ca="1" si="0"/>
        <v>38.5</v>
      </c>
      <c r="J1519" s="6">
        <f ca="1">IFERROR(__xludf.DUMMYFUNCTION("IFERROR(GOOGLEFINANCE(B1519, ""volume""), 0)"),213)</f>
        <v>213</v>
      </c>
      <c r="K1519" s="6">
        <v>-2.42</v>
      </c>
      <c r="L1519" s="6">
        <f ca="1">IFERROR(__xludf.DUMMYFUNCTION("IFERROR(GOOGLEFINANCE(B1519,""changepct""),K1519)"),-0.77)</f>
        <v>-0.77</v>
      </c>
      <c r="M1519" s="6">
        <f ca="1">IFERROR(__xludf.DUMMYFUNCTION("IFERROR(GOOGLEFINANCE(B1519,""change""),0)"),-0.3)</f>
        <v>-0.3</v>
      </c>
      <c r="N1519" s="6">
        <v>2</v>
      </c>
      <c r="O1519" s="7">
        <v>45536</v>
      </c>
      <c r="P1519" s="6">
        <v>1.59</v>
      </c>
      <c r="Q1519" s="7">
        <v>45536</v>
      </c>
      <c r="R1519" s="6">
        <v>51.32</v>
      </c>
      <c r="S1519" s="6">
        <v>2.0299999999999998</v>
      </c>
      <c r="T1519" s="6">
        <v>3.2</v>
      </c>
      <c r="U1519" s="6">
        <v>2</v>
      </c>
      <c r="V1519" s="7">
        <v>45352</v>
      </c>
      <c r="W1519" s="6">
        <f ca="1">IFERROR(__xludf.DUMMYFUNCTION("IFERROR(GOOGLEFINANCE(B1519,""pe""),V1519)"),44.36)</f>
        <v>44.36</v>
      </c>
      <c r="X1519" s="6">
        <v>0.01</v>
      </c>
      <c r="Y1519" s="6">
        <v>8.8000000000000007</v>
      </c>
      <c r="Z1519" s="6">
        <v>10.44</v>
      </c>
      <c r="AA1519" s="3" t="s">
        <v>4577</v>
      </c>
      <c r="AB1519" s="11"/>
      <c r="AC1519" s="9"/>
      <c r="AD1519" s="9"/>
      <c r="AE1519" s="1">
        <v>0</v>
      </c>
      <c r="AF1519" s="1">
        <f ca="1">IFERROR(__xludf.DUMMYFUNCTION("IFERROR(GOOGLEFINANCE(TRIM(F1519)&amp;"":"" &amp; TRIM(B1519),""high52""),AE1519)"),68.49)</f>
        <v>68.489999999999995</v>
      </c>
      <c r="AG1519" s="1">
        <v>0</v>
      </c>
      <c r="AH1519" s="1">
        <f ca="1">IFERROR(__xludf.DUMMYFUNCTION("IFERROR(GOOGLEFINANCE(TRIM(F1519)&amp;"":"" &amp; TRIM(B1519),""low52""),AE1519)"),37.13)</f>
        <v>37.130000000000003</v>
      </c>
      <c r="AI1519" s="1">
        <f ca="1">IFERROR(__xludf.DUMMYFUNCTION("IFERROR(GOOGLEFINANCE(B1519,""eps""),0)"),0.87)</f>
        <v>0.87</v>
      </c>
      <c r="AJ1519" s="1"/>
      <c r="AK1519" s="1" t="s">
        <v>4578</v>
      </c>
      <c r="AL1519" s="9">
        <f t="shared" si="197"/>
        <v>1</v>
      </c>
    </row>
    <row r="1520" spans="1:38" ht="15" x14ac:dyDescent="0.25">
      <c r="A1520" s="1" t="s">
        <v>4579</v>
      </c>
      <c r="B1520" s="1" t="s">
        <v>4580</v>
      </c>
      <c r="C1520" s="1" t="s">
        <v>525</v>
      </c>
      <c r="D1520" s="1" t="s">
        <v>525</v>
      </c>
      <c r="E1520" s="6">
        <v>1197.8399999999999</v>
      </c>
      <c r="F1520" s="1" t="s">
        <v>40</v>
      </c>
      <c r="G1520" s="6">
        <f ca="1">IFERROR(__xludf.DUMMYFUNCTION("iferror(GOOGLEFINANCE(TRIM(F1520)&amp;"":"" &amp; TRIM(B1520), ""price""),0
)"),716.55)</f>
        <v>716.55</v>
      </c>
      <c r="H1520" s="6">
        <v>773.1</v>
      </c>
      <c r="I1520" s="6">
        <f t="shared" ca="1" si="0"/>
        <v>716.55</v>
      </c>
      <c r="J1520" s="6">
        <f ca="1">IFERROR(__xludf.DUMMYFUNCTION("IFERROR(GOOGLEFINANCE(B1520, ""volume""), 0)"),14913)</f>
        <v>14913</v>
      </c>
      <c r="K1520" s="6">
        <v>1.84</v>
      </c>
      <c r="L1520" s="6">
        <f ca="1">IFERROR(__xludf.DUMMYFUNCTION("IFERROR(GOOGLEFINANCE(B1520,""changepct""),K1520)"),-0.47)</f>
        <v>-0.47</v>
      </c>
      <c r="M1520" s="6">
        <f ca="1">IFERROR(__xludf.DUMMYFUNCTION("IFERROR(GOOGLEFINANCE(B1520,""change""),0)"),-3.35)</f>
        <v>-3.35</v>
      </c>
      <c r="N1520" s="6">
        <v>2</v>
      </c>
      <c r="O1520" s="7">
        <v>45536</v>
      </c>
      <c r="P1520" s="6">
        <v>76.94</v>
      </c>
      <c r="Q1520" s="6">
        <v>1270.0899999999999</v>
      </c>
      <c r="R1520" s="7">
        <v>45536</v>
      </c>
      <c r="S1520" s="6">
        <v>410.96</v>
      </c>
      <c r="T1520" s="6">
        <v>24.72</v>
      </c>
      <c r="U1520" s="7">
        <v>45536</v>
      </c>
      <c r="V1520" s="6">
        <v>48.1</v>
      </c>
      <c r="W1520" s="6">
        <f ca="1">IFERROR(__xludf.DUMMYFUNCTION("IFERROR(GOOGLEFINANCE(B1520,""pe""),V1520)"),74.58)</f>
        <v>74.58</v>
      </c>
      <c r="X1520" s="6">
        <v>1.68</v>
      </c>
      <c r="Y1520" s="6">
        <v>10.64</v>
      </c>
      <c r="Z1520" s="6">
        <v>2</v>
      </c>
      <c r="AA1520" s="8">
        <v>45352</v>
      </c>
      <c r="AB1520" s="4">
        <v>0.24</v>
      </c>
      <c r="AC1520" s="6">
        <v>28.21</v>
      </c>
      <c r="AD1520" s="6">
        <v>34.94</v>
      </c>
      <c r="AE1520" s="1">
        <v>0</v>
      </c>
      <c r="AF1520" s="1">
        <f ca="1">IFERROR(__xludf.DUMMYFUNCTION("IFERROR(GOOGLEFINANCE(TRIM(F1520)&amp;"":"" &amp; TRIM(B1520),""high52""),AE1520)"),1088.75)</f>
        <v>1088.75</v>
      </c>
      <c r="AG1520" s="1">
        <v>0</v>
      </c>
      <c r="AH1520" s="1">
        <f ca="1">IFERROR(__xludf.DUMMYFUNCTION("IFERROR(GOOGLEFINANCE(TRIM(F1520)&amp;"":"" &amp; TRIM(B1520),""low52""),AE1520)"),575.15)</f>
        <v>575.15</v>
      </c>
      <c r="AI1520" s="1">
        <f ca="1">IFERROR(__xludf.DUMMYFUNCTION("IFERROR(GOOGLEFINANCE(B1520,""eps""),0)"),9.61)</f>
        <v>9.61</v>
      </c>
      <c r="AJ1520" s="1"/>
      <c r="AK1520" s="1" t="s">
        <v>4581</v>
      </c>
      <c r="AL1520" s="9">
        <f t="shared" si="197"/>
        <v>1</v>
      </c>
    </row>
    <row r="1521" spans="1:38" ht="15" x14ac:dyDescent="0.25">
      <c r="A1521" s="1" t="s">
        <v>4582</v>
      </c>
      <c r="B1521" s="1" t="s">
        <v>4583</v>
      </c>
      <c r="C1521" s="1" t="s">
        <v>416</v>
      </c>
      <c r="D1521" s="1" t="s">
        <v>416</v>
      </c>
      <c r="E1521" s="6">
        <v>13.23</v>
      </c>
      <c r="F1521" s="1" t="s">
        <v>53</v>
      </c>
      <c r="G1521" s="6">
        <f ca="1">IFERROR(__xludf.DUMMYFUNCTION("iferror(GOOGLEFINANCE(TRIM(F1521)&amp;"":"" &amp; TRIM(B1521), ""price""),0
)"),0)</f>
        <v>0</v>
      </c>
      <c r="H1521" s="6">
        <v>131.6</v>
      </c>
      <c r="I1521" s="6">
        <f t="shared" ca="1" si="0"/>
        <v>131.6</v>
      </c>
      <c r="J1521" s="6">
        <f ca="1">IFERROR(__xludf.DUMMYFUNCTION("IFERROR(GOOGLEFINANCE(B1521, ""volume""), 0)"),0)</f>
        <v>0</v>
      </c>
      <c r="K1521" s="9"/>
      <c r="L1521" s="6" t="str">
        <f ca="1">IFERROR(__xludf.DUMMYFUNCTION("IFERROR(GOOGLEFINANCE(B1521,""changepct""),K1521)"),"")</f>
        <v/>
      </c>
      <c r="M1521" s="6">
        <f ca="1">IFERROR(__xludf.DUMMYFUNCTION("IFERROR(GOOGLEFINANCE(B1521,""change""),0)"),0)</f>
        <v>0</v>
      </c>
      <c r="N1521" s="6">
        <v>1</v>
      </c>
      <c r="O1521" s="7">
        <v>45536</v>
      </c>
      <c r="P1521" s="6">
        <v>1.43</v>
      </c>
      <c r="Q1521" s="6">
        <v>14.66</v>
      </c>
      <c r="R1521" s="7">
        <v>45536</v>
      </c>
      <c r="S1521" s="6">
        <v>0</v>
      </c>
      <c r="T1521" s="6">
        <v>-0.52</v>
      </c>
      <c r="U1521" s="7">
        <v>45536</v>
      </c>
      <c r="V1521" s="6">
        <v>0</v>
      </c>
      <c r="W1521" s="6">
        <f ca="1">IFERROR(__xludf.DUMMYFUNCTION("IFERROR(GOOGLEFINANCE(B1521,""pe""),V1521)"),0)</f>
        <v>0</v>
      </c>
      <c r="X1521" s="9"/>
      <c r="Y1521" s="6">
        <v>-9.56</v>
      </c>
      <c r="Z1521" s="6">
        <v>1</v>
      </c>
      <c r="AA1521" s="8">
        <v>45352</v>
      </c>
      <c r="AB1521" s="4">
        <v>-1.06</v>
      </c>
      <c r="AC1521" s="6">
        <v>0</v>
      </c>
      <c r="AD1521" s="6">
        <v>-360.17</v>
      </c>
      <c r="AE1521" s="1">
        <v>0</v>
      </c>
      <c r="AF1521" s="1">
        <f ca="1">IFERROR(__xludf.DUMMYFUNCTION("IFERROR(GOOGLEFINANCE(TRIM(F1521)&amp;"":"" &amp; TRIM(B1521),""high52""),AE1521)"),0)</f>
        <v>0</v>
      </c>
      <c r="AG1521" s="1">
        <v>0</v>
      </c>
      <c r="AH1521" s="1">
        <f ca="1">IFERROR(__xludf.DUMMYFUNCTION("IFERROR(GOOGLEFINANCE(TRIM(F1521)&amp;"":"" &amp; TRIM(B1521),""low52""),AE1521)"),0)</f>
        <v>0</v>
      </c>
      <c r="AI1521" s="1">
        <f ca="1">IFERROR(__xludf.DUMMYFUNCTION("IFERROR(GOOGLEFINANCE(B1521,""eps""),0)"),0)</f>
        <v>0</v>
      </c>
      <c r="AJ1521" s="1"/>
      <c r="AK1521" s="9"/>
      <c r="AL1521" s="9">
        <f t="shared" si="197"/>
        <v>1</v>
      </c>
    </row>
    <row r="1522" spans="1:38" ht="15" x14ac:dyDescent="0.25">
      <c r="A1522" s="1" t="s">
        <v>4584</v>
      </c>
      <c r="B1522" s="1" t="s">
        <v>4585</v>
      </c>
      <c r="C1522" s="1" t="s">
        <v>416</v>
      </c>
      <c r="D1522" s="1" t="s">
        <v>416</v>
      </c>
      <c r="E1522" s="6">
        <v>61.22</v>
      </c>
      <c r="F1522" s="1" t="s">
        <v>53</v>
      </c>
      <c r="G1522" s="6">
        <f ca="1">IFERROR(__xludf.DUMMYFUNCTION("iferror(GOOGLEFINANCE(TRIM(F1522)&amp;"":"" &amp; TRIM(B1522), ""price""),0
)"),0)</f>
        <v>0</v>
      </c>
      <c r="H1522" s="6">
        <v>137.19999999999999</v>
      </c>
      <c r="I1522" s="6">
        <f t="shared" ca="1" si="0"/>
        <v>137.19999999999999</v>
      </c>
      <c r="J1522" s="6">
        <f ca="1">IFERROR(__xludf.DUMMYFUNCTION("IFERROR(GOOGLEFINANCE(B1522, ""volume""), 0)"),0)</f>
        <v>0</v>
      </c>
      <c r="K1522" s="6">
        <v>3.98</v>
      </c>
      <c r="L1522" s="6">
        <f ca="1">IFERROR(__xludf.DUMMYFUNCTION("IFERROR(GOOGLEFINANCE(B1522,""changepct""),K1522)"),3.98)</f>
        <v>3.98</v>
      </c>
      <c r="M1522" s="6">
        <f ca="1">IFERROR(__xludf.DUMMYFUNCTION("IFERROR(GOOGLEFINANCE(B1522,""change""),0)"),0)</f>
        <v>0</v>
      </c>
      <c r="N1522" s="6">
        <v>1</v>
      </c>
      <c r="O1522" s="7">
        <v>45536</v>
      </c>
      <c r="P1522" s="9"/>
      <c r="Q1522" s="6">
        <v>54.93</v>
      </c>
      <c r="R1522" s="7">
        <v>45536</v>
      </c>
      <c r="S1522" s="6">
        <v>0</v>
      </c>
      <c r="T1522" s="6">
        <v>-0.34</v>
      </c>
      <c r="U1522" s="7">
        <v>45536</v>
      </c>
      <c r="V1522" s="6">
        <v>0</v>
      </c>
      <c r="W1522" s="6">
        <f ca="1">IFERROR(__xludf.DUMMYFUNCTION("IFERROR(GOOGLEFINANCE(B1522,""pe""),V1522)"),0)</f>
        <v>0</v>
      </c>
      <c r="X1522" s="6">
        <v>0</v>
      </c>
      <c r="Y1522" s="6">
        <v>7.57</v>
      </c>
      <c r="Z1522" s="6">
        <v>1</v>
      </c>
      <c r="AA1522" s="8">
        <v>45352</v>
      </c>
      <c r="AB1522" s="4">
        <v>0</v>
      </c>
      <c r="AC1522" s="6">
        <v>-10.039999999999999</v>
      </c>
      <c r="AD1522" s="6">
        <v>-12.4</v>
      </c>
      <c r="AE1522" s="1">
        <v>0</v>
      </c>
      <c r="AF1522" s="1">
        <f ca="1">IFERROR(__xludf.DUMMYFUNCTION("IFERROR(GOOGLEFINANCE(TRIM(F1522)&amp;"":"" &amp; TRIM(B1522),""high52""),AE1522)"),0)</f>
        <v>0</v>
      </c>
      <c r="AG1522" s="1">
        <v>0</v>
      </c>
      <c r="AH1522" s="1">
        <f ca="1">IFERROR(__xludf.DUMMYFUNCTION("IFERROR(GOOGLEFINANCE(TRIM(F1522)&amp;"":"" &amp; TRIM(B1522),""low52""),AE1522)"),0)</f>
        <v>0</v>
      </c>
      <c r="AI1522" s="1">
        <f ca="1">IFERROR(__xludf.DUMMYFUNCTION("IFERROR(GOOGLEFINANCE(B1522,""eps""),0)"),0)</f>
        <v>0</v>
      </c>
      <c r="AJ1522" s="1"/>
      <c r="AK1522" s="1" t="s">
        <v>4586</v>
      </c>
      <c r="AL1522" s="9">
        <f t="shared" si="197"/>
        <v>1</v>
      </c>
    </row>
    <row r="1523" spans="1:38" ht="15" x14ac:dyDescent="0.25">
      <c r="A1523" s="1" t="s">
        <v>4587</v>
      </c>
      <c r="B1523" s="1" t="s">
        <v>4588</v>
      </c>
      <c r="C1523" s="1" t="s">
        <v>1067</v>
      </c>
      <c r="D1523" s="1" t="s">
        <v>1067</v>
      </c>
      <c r="E1523" s="6">
        <v>911877.6</v>
      </c>
      <c r="F1523" s="1" t="s">
        <v>40</v>
      </c>
      <c r="G1523" s="6">
        <f ca="1">IFERROR(__xludf.DUMMYFUNCTION("iferror(GOOGLEFINANCE(TRIM(F1523)&amp;"":"" &amp; TRIM(B1523), ""price""),0
)"),1351)</f>
        <v>1351</v>
      </c>
      <c r="H1523" s="6">
        <v>1272.3499999999999</v>
      </c>
      <c r="I1523" s="6">
        <f t="shared" ca="1" si="0"/>
        <v>1351</v>
      </c>
      <c r="J1523" s="6">
        <f ca="1">IFERROR(__xludf.DUMMYFUNCTION("IFERROR(GOOGLEFINANCE(B1523, ""volume""), 0)"),12800245)</f>
        <v>12800245</v>
      </c>
      <c r="K1523" s="6">
        <v>-1.41</v>
      </c>
      <c r="L1523" s="6">
        <f ca="1">IFERROR(__xludf.DUMMYFUNCTION("IFERROR(GOOGLEFINANCE(B1523,""changepct""),K1523)"),1.26)</f>
        <v>1.26</v>
      </c>
      <c r="M1523" s="6">
        <f ca="1">IFERROR(__xludf.DUMMYFUNCTION("IFERROR(GOOGLEFINANCE(B1523,""change""),0)"),16.8)</f>
        <v>16.8</v>
      </c>
      <c r="N1523" s="6">
        <v>2</v>
      </c>
      <c r="O1523" s="7">
        <v>45536</v>
      </c>
      <c r="P1523" s="6">
        <v>174379.4</v>
      </c>
      <c r="Q1523" s="6">
        <v>49494.66</v>
      </c>
      <c r="R1523" s="7">
        <v>45536</v>
      </c>
      <c r="S1523" s="6">
        <v>19.25</v>
      </c>
      <c r="T1523" s="6">
        <v>0.32</v>
      </c>
      <c r="U1523" s="6">
        <v>3.31</v>
      </c>
      <c r="V1523" s="6">
        <v>2</v>
      </c>
      <c r="W1523" s="6">
        <f ca="1">IFERROR(__xludf.DUMMYFUNCTION("IFERROR(GOOGLEFINANCE(B1523,""pe""),V1523)"),18.43)</f>
        <v>18.43</v>
      </c>
      <c r="X1523" s="7">
        <v>45352</v>
      </c>
      <c r="Y1523" s="6">
        <v>19.47</v>
      </c>
      <c r="Z1523" s="6">
        <v>1</v>
      </c>
      <c r="AA1523" s="8">
        <v>45352</v>
      </c>
      <c r="AB1523" s="4">
        <v>0.45</v>
      </c>
      <c r="AC1523" s="6">
        <v>4.16</v>
      </c>
      <c r="AD1523" s="6">
        <v>12.06</v>
      </c>
      <c r="AE1523" s="1">
        <v>0</v>
      </c>
      <c r="AF1523" s="1">
        <f ca="1">IFERROR(__xludf.DUMMYFUNCTION("IFERROR(GOOGLEFINANCE(TRIM(F1523)&amp;"":"" &amp; TRIM(B1523),""high52""),AE1523)"),1500)</f>
        <v>1500</v>
      </c>
      <c r="AG1523" s="1">
        <v>0</v>
      </c>
      <c r="AH1523" s="1">
        <f ca="1">IFERROR(__xludf.DUMMYFUNCTION("IFERROR(GOOGLEFINANCE(TRIM(F1523)&amp;"":"" &amp; TRIM(B1523),""low52""),AE1523)"),1200.1)</f>
        <v>1200.0999999999999</v>
      </c>
      <c r="AI1523" s="1">
        <f ca="1">IFERROR(__xludf.DUMMYFUNCTION("IFERROR(GOOGLEFINANCE(B1523,""eps""),0)"),73.31)</f>
        <v>73.31</v>
      </c>
      <c r="AJ1523" s="1"/>
      <c r="AK1523" s="1" t="s">
        <v>4589</v>
      </c>
      <c r="AL1523" s="1" t="b">
        <f>ISNUMBER(AA1523)</f>
        <v>1</v>
      </c>
    </row>
    <row r="1524" spans="1:38" ht="15" x14ac:dyDescent="0.25">
      <c r="A1524" s="1" t="s">
        <v>4590</v>
      </c>
      <c r="B1524" s="1" t="s">
        <v>4591</v>
      </c>
      <c r="C1524" s="1" t="s">
        <v>416</v>
      </c>
      <c r="D1524" s="1" t="s">
        <v>416</v>
      </c>
      <c r="E1524" s="6">
        <v>529.16</v>
      </c>
      <c r="F1524" s="1" t="s">
        <v>53</v>
      </c>
      <c r="G1524" s="6">
        <f ca="1">IFERROR(__xludf.DUMMYFUNCTION("iferror(GOOGLEFINANCE(TRIM(F1524)&amp;"":"" &amp; TRIM(B1524), ""price""),0
)"),0)</f>
        <v>0</v>
      </c>
      <c r="H1524" s="6">
        <v>1110.75</v>
      </c>
      <c r="I1524" s="6">
        <f t="shared" ca="1" si="0"/>
        <v>1110.75</v>
      </c>
      <c r="J1524" s="6">
        <f ca="1">IFERROR(__xludf.DUMMYFUNCTION("IFERROR(GOOGLEFINANCE(B1524, ""volume""), 0)"),0)</f>
        <v>0</v>
      </c>
      <c r="K1524" s="6">
        <v>3.42</v>
      </c>
      <c r="L1524" s="6">
        <f ca="1">IFERROR(__xludf.DUMMYFUNCTION("IFERROR(GOOGLEFINANCE(B1524,""changepct""),K1524)"),3.42)</f>
        <v>3.42</v>
      </c>
      <c r="M1524" s="6">
        <f ca="1">IFERROR(__xludf.DUMMYFUNCTION("IFERROR(GOOGLEFINANCE(B1524,""change""),0)"),0)</f>
        <v>0</v>
      </c>
      <c r="N1524" s="6">
        <v>1</v>
      </c>
      <c r="O1524" s="7">
        <v>45536</v>
      </c>
      <c r="P1524" s="12"/>
      <c r="Q1524" s="6">
        <v>525.74</v>
      </c>
      <c r="R1524" s="7">
        <v>45536</v>
      </c>
      <c r="S1524" s="6">
        <v>62.88</v>
      </c>
      <c r="T1524" s="6">
        <v>17.18</v>
      </c>
      <c r="U1524" s="7">
        <v>45536</v>
      </c>
      <c r="V1524" s="6">
        <v>30.8</v>
      </c>
      <c r="W1524" s="6">
        <f ca="1">IFERROR(__xludf.DUMMYFUNCTION("IFERROR(GOOGLEFINANCE(B1524,""pe""),V1524)"),30.8)</f>
        <v>30.8</v>
      </c>
      <c r="X1524" s="9"/>
      <c r="Y1524" s="6">
        <v>7.58</v>
      </c>
      <c r="Z1524" s="6">
        <v>2</v>
      </c>
      <c r="AA1524" s="8">
        <v>44986</v>
      </c>
      <c r="AB1524" s="4">
        <v>0</v>
      </c>
      <c r="AC1524" s="6">
        <v>21.26</v>
      </c>
      <c r="AD1524" s="6">
        <v>28.54</v>
      </c>
      <c r="AE1524" s="1">
        <v>0</v>
      </c>
      <c r="AF1524" s="1">
        <f ca="1">IFERROR(__xludf.DUMMYFUNCTION("IFERROR(GOOGLEFINANCE(TRIM(F1524)&amp;"":"" &amp; TRIM(B1524),""high52""),AE1524)"),0)</f>
        <v>0</v>
      </c>
      <c r="AG1524" s="1">
        <v>0</v>
      </c>
      <c r="AH1524" s="1">
        <f ca="1">IFERROR(__xludf.DUMMYFUNCTION("IFERROR(GOOGLEFINANCE(TRIM(F1524)&amp;"":"" &amp; TRIM(B1524),""low52""),AE1524)"),0)</f>
        <v>0</v>
      </c>
      <c r="AI1524" s="1">
        <f ca="1">IFERROR(__xludf.DUMMYFUNCTION("IFERROR(GOOGLEFINANCE(B1524,""eps""),0)"),0)</f>
        <v>0</v>
      </c>
      <c r="AJ1524" s="1"/>
      <c r="AK1524" s="1" t="s">
        <v>4592</v>
      </c>
      <c r="AL1524" s="9">
        <f t="shared" ref="AL1524:AL1532" si="198">IF(AA1524&lt;&gt;AB1524,1,0)</f>
        <v>1</v>
      </c>
    </row>
    <row r="1525" spans="1:38" ht="15" x14ac:dyDescent="0.25">
      <c r="A1525" s="1" t="s">
        <v>4593</v>
      </c>
      <c r="B1525" s="1" t="s">
        <v>4594</v>
      </c>
      <c r="C1525" s="1" t="s">
        <v>416</v>
      </c>
      <c r="D1525" s="1" t="s">
        <v>416</v>
      </c>
      <c r="E1525" s="6">
        <v>606.42999999999995</v>
      </c>
      <c r="F1525" s="1" t="s">
        <v>53</v>
      </c>
      <c r="G1525" s="6">
        <f ca="1">IFERROR(__xludf.DUMMYFUNCTION("iferror(GOOGLEFINANCE(TRIM(F1525)&amp;"":"" &amp; TRIM(B1525), ""price""),0
)"),0)</f>
        <v>0</v>
      </c>
      <c r="H1525" s="6">
        <v>469</v>
      </c>
      <c r="I1525" s="6">
        <f t="shared" ca="1" si="0"/>
        <v>469</v>
      </c>
      <c r="J1525" s="6">
        <f ca="1">IFERROR(__xludf.DUMMYFUNCTION("IFERROR(GOOGLEFINANCE(B1525, ""volume""), 0)"),0)</f>
        <v>0</v>
      </c>
      <c r="K1525" s="6">
        <v>-0.24</v>
      </c>
      <c r="L1525" s="6">
        <f ca="1">IFERROR(__xludf.DUMMYFUNCTION("IFERROR(GOOGLEFINANCE(B1525,""changepct""),K1525)"),-0.24)</f>
        <v>-0.24</v>
      </c>
      <c r="M1525" s="6">
        <f ca="1">IFERROR(__xludf.DUMMYFUNCTION("IFERROR(GOOGLEFINANCE(B1525,""change""),0)"),0)</f>
        <v>0</v>
      </c>
      <c r="N1525" s="6">
        <v>2</v>
      </c>
      <c r="O1525" s="7">
        <v>45536</v>
      </c>
      <c r="P1525" s="6">
        <v>4.2300000000000004</v>
      </c>
      <c r="Q1525" s="6">
        <v>583.96</v>
      </c>
      <c r="R1525" s="7">
        <v>45536</v>
      </c>
      <c r="S1525" s="6">
        <v>229.66</v>
      </c>
      <c r="T1525" s="6">
        <v>26.58</v>
      </c>
      <c r="U1525" s="7">
        <v>45536</v>
      </c>
      <c r="V1525" s="6">
        <v>24.61</v>
      </c>
      <c r="W1525" s="6">
        <f ca="1">IFERROR(__xludf.DUMMYFUNCTION("IFERROR(GOOGLEFINANCE(B1525,""pe""),V1525)"),24.61)</f>
        <v>24.61</v>
      </c>
      <c r="X1525" s="6">
        <v>1.81</v>
      </c>
      <c r="Y1525" s="6">
        <v>3.29</v>
      </c>
      <c r="Z1525" s="6">
        <v>2</v>
      </c>
      <c r="AA1525" s="8">
        <v>45352</v>
      </c>
      <c r="AB1525" s="4">
        <v>0.84</v>
      </c>
      <c r="AC1525" s="6">
        <v>15.67</v>
      </c>
      <c r="AD1525" s="6">
        <v>12.33</v>
      </c>
      <c r="AE1525" s="1">
        <v>0</v>
      </c>
      <c r="AF1525" s="1">
        <f ca="1">IFERROR(__xludf.DUMMYFUNCTION("IFERROR(GOOGLEFINANCE(TRIM(F1525)&amp;"":"" &amp; TRIM(B1525),""high52""),AE1525)"),0)</f>
        <v>0</v>
      </c>
      <c r="AG1525" s="1">
        <v>0</v>
      </c>
      <c r="AH1525" s="1">
        <f ca="1">IFERROR(__xludf.DUMMYFUNCTION("IFERROR(GOOGLEFINANCE(TRIM(F1525)&amp;"":"" &amp; TRIM(B1525),""low52""),AE1525)"),0)</f>
        <v>0</v>
      </c>
      <c r="AI1525" s="1">
        <f ca="1">IFERROR(__xludf.DUMMYFUNCTION("IFERROR(GOOGLEFINANCE(B1525,""eps""),0)"),0)</f>
        <v>0</v>
      </c>
      <c r="AJ1525" s="1"/>
      <c r="AK1525" s="1" t="s">
        <v>4595</v>
      </c>
      <c r="AL1525" s="9">
        <f t="shared" si="198"/>
        <v>1</v>
      </c>
    </row>
    <row r="1526" spans="1:38" ht="15" x14ac:dyDescent="0.25">
      <c r="A1526" s="1" t="s">
        <v>4596</v>
      </c>
      <c r="B1526" s="1" t="s">
        <v>4597</v>
      </c>
      <c r="C1526" s="1" t="s">
        <v>416</v>
      </c>
      <c r="D1526" s="1" t="s">
        <v>416</v>
      </c>
      <c r="E1526" s="6">
        <v>54.45</v>
      </c>
      <c r="F1526" s="1" t="s">
        <v>53</v>
      </c>
      <c r="G1526" s="6">
        <f ca="1">IFERROR(__xludf.DUMMYFUNCTION("iferror(GOOGLEFINANCE(TRIM(F1526)&amp;"":"" &amp; TRIM(B1526), ""price""),0
)"),0)</f>
        <v>0</v>
      </c>
      <c r="H1526" s="6">
        <v>114.25</v>
      </c>
      <c r="I1526" s="6">
        <f t="shared" ca="1" si="0"/>
        <v>114.25</v>
      </c>
      <c r="J1526" s="6">
        <f ca="1">IFERROR(__xludf.DUMMYFUNCTION("IFERROR(GOOGLEFINANCE(B1526, ""volume""), 0)"),0)</f>
        <v>0</v>
      </c>
      <c r="K1526" s="9"/>
      <c r="L1526" s="6" t="str">
        <f ca="1">IFERROR(__xludf.DUMMYFUNCTION("IFERROR(GOOGLEFINANCE(B1526,""changepct""),K1526)"),"")</f>
        <v/>
      </c>
      <c r="M1526" s="6">
        <f ca="1">IFERROR(__xludf.DUMMYFUNCTION("IFERROR(GOOGLEFINANCE(B1526,""change""),0)"),0)</f>
        <v>0</v>
      </c>
      <c r="N1526" s="6">
        <v>2</v>
      </c>
      <c r="O1526" s="7">
        <v>45536</v>
      </c>
      <c r="P1526" s="6">
        <v>4.24</v>
      </c>
      <c r="Q1526" s="6">
        <v>52.79</v>
      </c>
      <c r="R1526" s="7">
        <v>45536</v>
      </c>
      <c r="S1526" s="6">
        <v>2.75</v>
      </c>
      <c r="T1526" s="6">
        <v>-5.2</v>
      </c>
      <c r="U1526" s="7">
        <v>45536</v>
      </c>
      <c r="V1526" s="6">
        <v>0</v>
      </c>
      <c r="W1526" s="6">
        <f ca="1">IFERROR(__xludf.DUMMYFUNCTION("IFERROR(GOOGLEFINANCE(B1526,""pe""),V1526)"),0)</f>
        <v>0</v>
      </c>
      <c r="X1526" s="6">
        <v>0</v>
      </c>
      <c r="Y1526" s="6">
        <v>1.1200000000000001</v>
      </c>
      <c r="Z1526" s="6">
        <v>2</v>
      </c>
      <c r="AA1526" s="8">
        <v>45352</v>
      </c>
      <c r="AB1526" s="4">
        <v>0.09</v>
      </c>
      <c r="AC1526" s="6">
        <v>-8.7799999999999994</v>
      </c>
      <c r="AD1526" s="6">
        <v>-1.29</v>
      </c>
      <c r="AE1526" s="1">
        <v>0</v>
      </c>
      <c r="AF1526" s="1">
        <f ca="1">IFERROR(__xludf.DUMMYFUNCTION("IFERROR(GOOGLEFINANCE(TRIM(F1526)&amp;"":"" &amp; TRIM(B1526),""high52""),AE1526)"),0)</f>
        <v>0</v>
      </c>
      <c r="AG1526" s="1">
        <v>0</v>
      </c>
      <c r="AH1526" s="1">
        <f ca="1">IFERROR(__xludf.DUMMYFUNCTION("IFERROR(GOOGLEFINANCE(TRIM(F1526)&amp;"":"" &amp; TRIM(B1526),""low52""),AE1526)"),0)</f>
        <v>0</v>
      </c>
      <c r="AI1526" s="1">
        <f ca="1">IFERROR(__xludf.DUMMYFUNCTION("IFERROR(GOOGLEFINANCE(B1526,""eps""),0)"),0)</f>
        <v>0</v>
      </c>
      <c r="AJ1526" s="1"/>
      <c r="AK1526" s="1" t="s">
        <v>4598</v>
      </c>
      <c r="AL1526" s="9">
        <f t="shared" si="198"/>
        <v>1</v>
      </c>
    </row>
    <row r="1527" spans="1:38" ht="15" x14ac:dyDescent="0.25">
      <c r="A1527" s="1" t="s">
        <v>4599</v>
      </c>
      <c r="B1527" s="1" t="s">
        <v>4600</v>
      </c>
      <c r="C1527" s="1" t="s">
        <v>3720</v>
      </c>
      <c r="D1527" s="1" t="s">
        <v>3720</v>
      </c>
      <c r="E1527" s="6">
        <v>90927.52</v>
      </c>
      <c r="F1527" s="1" t="s">
        <v>40</v>
      </c>
      <c r="G1527" s="6">
        <f ca="1">IFERROR(__xludf.DUMMYFUNCTION("iferror(GOOGLEFINANCE(TRIM(F1527)&amp;"":"" &amp; TRIM(B1527), ""price""),0
)"),1831)</f>
        <v>1831</v>
      </c>
      <c r="H1527" s="6">
        <v>1836.7</v>
      </c>
      <c r="I1527" s="6">
        <f t="shared" ca="1" si="0"/>
        <v>1831</v>
      </c>
      <c r="J1527" s="6">
        <f ca="1">IFERROR(__xludf.DUMMYFUNCTION("IFERROR(GOOGLEFINANCE(B1527, ""volume""), 0)"),1115519)</f>
        <v>1115519</v>
      </c>
      <c r="K1527" s="6">
        <v>0.21</v>
      </c>
      <c r="L1527" s="6">
        <f ca="1">IFERROR(__xludf.DUMMYFUNCTION("IFERROR(GOOGLEFINANCE(B1527,""changepct""),K1527)"),0.1)</f>
        <v>0.1</v>
      </c>
      <c r="M1527" s="6">
        <f ca="1">IFERROR(__xludf.DUMMYFUNCTION("IFERROR(GOOGLEFINANCE(B1527,""change""),0)"),1.8)</f>
        <v>1.8</v>
      </c>
      <c r="N1527" s="6">
        <v>1</v>
      </c>
      <c r="O1527" s="7">
        <v>45536</v>
      </c>
      <c r="P1527" s="6">
        <v>2225.2800000000002</v>
      </c>
      <c r="Q1527" s="7">
        <v>45536</v>
      </c>
      <c r="R1527" s="6">
        <v>40.86</v>
      </c>
      <c r="S1527" s="6">
        <v>3.18</v>
      </c>
      <c r="T1527" s="6">
        <v>6.89</v>
      </c>
      <c r="U1527" s="6">
        <v>1</v>
      </c>
      <c r="V1527" s="7">
        <v>45352</v>
      </c>
      <c r="W1527" s="6">
        <f ca="1">IFERROR(__xludf.DUMMYFUNCTION("IFERROR(GOOGLEFINANCE(B1527,""pe""),V1527)"),33.5)</f>
        <v>33.5</v>
      </c>
      <c r="X1527" s="6">
        <v>0</v>
      </c>
      <c r="Y1527" s="6">
        <v>17.170000000000002</v>
      </c>
      <c r="Z1527" s="6">
        <v>22.79</v>
      </c>
      <c r="AA1527" s="3" t="s">
        <v>4601</v>
      </c>
      <c r="AB1527" s="11"/>
      <c r="AC1527" s="9"/>
      <c r="AD1527" s="9"/>
      <c r="AE1527" s="1">
        <v>0</v>
      </c>
      <c r="AF1527" s="1">
        <f ca="1">IFERROR(__xludf.DUMMYFUNCTION("IFERROR(GOOGLEFINANCE(TRIM(F1527)&amp;"":"" &amp; TRIM(B1527),""high52""),AE1527)"),2068.7)</f>
        <v>2068.6999999999998</v>
      </c>
      <c r="AG1527" s="1">
        <v>0</v>
      </c>
      <c r="AH1527" s="1">
        <f ca="1">IFERROR(__xludf.DUMMYFUNCTION("IFERROR(GOOGLEFINANCE(TRIM(F1527)&amp;"":"" &amp; TRIM(B1527),""low52""),AE1527)"),1613.7)</f>
        <v>1613.7</v>
      </c>
      <c r="AI1527" s="1">
        <f ca="1">IFERROR(__xludf.DUMMYFUNCTION("IFERROR(GOOGLEFINANCE(B1527,""eps""),0)"),54.66)</f>
        <v>54.66</v>
      </c>
      <c r="AJ1527" s="1"/>
      <c r="AK1527" s="1" t="s">
        <v>4602</v>
      </c>
      <c r="AL1527" s="9">
        <f t="shared" si="198"/>
        <v>1</v>
      </c>
    </row>
    <row r="1528" spans="1:38" ht="15" x14ac:dyDescent="0.25">
      <c r="A1528" s="1" t="s">
        <v>4603</v>
      </c>
      <c r="B1528" s="1" t="s">
        <v>4604</v>
      </c>
      <c r="C1528" s="1" t="s">
        <v>416</v>
      </c>
      <c r="D1528" s="1" t="s">
        <v>416</v>
      </c>
      <c r="E1528" s="6">
        <v>158.65</v>
      </c>
      <c r="F1528" s="1" t="s">
        <v>53</v>
      </c>
      <c r="G1528" s="6">
        <f ca="1">IFERROR(__xludf.DUMMYFUNCTION("iferror(GOOGLEFINANCE(TRIM(F1528)&amp;"":"" &amp; TRIM(B1528), ""price""),0
)"),0)</f>
        <v>0</v>
      </c>
      <c r="H1528" s="6">
        <v>162.1</v>
      </c>
      <c r="I1528" s="6">
        <f t="shared" ca="1" si="0"/>
        <v>162.1</v>
      </c>
      <c r="J1528" s="6">
        <f ca="1">IFERROR(__xludf.DUMMYFUNCTION("IFERROR(GOOGLEFINANCE(B1528, ""volume""), 0)"),0)</f>
        <v>0</v>
      </c>
      <c r="K1528" s="6">
        <v>-2.93</v>
      </c>
      <c r="L1528" s="6">
        <f ca="1">IFERROR(__xludf.DUMMYFUNCTION("IFERROR(GOOGLEFINANCE(B1528,""changepct""),K1528)"),-2.93)</f>
        <v>-2.93</v>
      </c>
      <c r="M1528" s="6">
        <f ca="1">IFERROR(__xludf.DUMMYFUNCTION("IFERROR(GOOGLEFINANCE(B1528,""change""),0)"),0)</f>
        <v>0</v>
      </c>
      <c r="N1528" s="6">
        <v>1</v>
      </c>
      <c r="O1528" s="7">
        <v>45536</v>
      </c>
      <c r="P1528" s="6">
        <v>23.16</v>
      </c>
      <c r="Q1528" s="6">
        <v>179.49</v>
      </c>
      <c r="R1528" s="7">
        <v>45536</v>
      </c>
      <c r="S1528" s="6">
        <v>100.5</v>
      </c>
      <c r="T1528" s="6">
        <v>5.24</v>
      </c>
      <c r="U1528" s="7">
        <v>45536</v>
      </c>
      <c r="V1528" s="6">
        <v>30.28</v>
      </c>
      <c r="W1528" s="6">
        <f ca="1">IFERROR(__xludf.DUMMYFUNCTION("IFERROR(GOOGLEFINANCE(B1528,""pe""),V1528)"),30.28)</f>
        <v>30.28</v>
      </c>
      <c r="X1528" s="6">
        <v>7.09</v>
      </c>
      <c r="Y1528" s="6">
        <v>3.97</v>
      </c>
      <c r="Z1528" s="6">
        <v>1</v>
      </c>
      <c r="AA1528" s="8">
        <v>45352</v>
      </c>
      <c r="AB1528" s="4">
        <v>0.93</v>
      </c>
      <c r="AC1528" s="6">
        <v>17.18</v>
      </c>
      <c r="AD1528" s="6">
        <v>14.87</v>
      </c>
      <c r="AE1528" s="1">
        <v>0</v>
      </c>
      <c r="AF1528" s="1">
        <f ca="1">IFERROR(__xludf.DUMMYFUNCTION("IFERROR(GOOGLEFINANCE(TRIM(F1528)&amp;"":"" &amp; TRIM(B1528),""high52""),AE1528)"),0)</f>
        <v>0</v>
      </c>
      <c r="AG1528" s="1">
        <v>0</v>
      </c>
      <c r="AH1528" s="1">
        <f ca="1">IFERROR(__xludf.DUMMYFUNCTION("IFERROR(GOOGLEFINANCE(TRIM(F1528)&amp;"":"" &amp; TRIM(B1528),""low52""),AE1528)"),0)</f>
        <v>0</v>
      </c>
      <c r="AI1528" s="1">
        <f ca="1">IFERROR(__xludf.DUMMYFUNCTION("IFERROR(GOOGLEFINANCE(B1528,""eps""),0)"),0)</f>
        <v>0</v>
      </c>
      <c r="AJ1528" s="1"/>
      <c r="AK1528" s="1" t="s">
        <v>4605</v>
      </c>
      <c r="AL1528" s="9">
        <f t="shared" si="198"/>
        <v>1</v>
      </c>
    </row>
    <row r="1529" spans="1:38" ht="15" x14ac:dyDescent="0.25">
      <c r="A1529" s="1" t="s">
        <v>4606</v>
      </c>
      <c r="B1529" s="1" t="s">
        <v>4607</v>
      </c>
      <c r="C1529" s="1" t="s">
        <v>3720</v>
      </c>
      <c r="D1529" s="1" t="s">
        <v>3720</v>
      </c>
      <c r="E1529" s="6">
        <v>95745.15</v>
      </c>
      <c r="F1529" s="1" t="s">
        <v>40</v>
      </c>
      <c r="G1529" s="6">
        <f ca="1">IFERROR(__xludf.DUMMYFUNCTION("iferror(GOOGLEFINANCE(TRIM(F1529)&amp;"":"" &amp; TRIM(B1529), ""price""),0
)"),642.9)</f>
        <v>642.9</v>
      </c>
      <c r="H1529" s="6">
        <v>670.95</v>
      </c>
      <c r="I1529" s="6">
        <f t="shared" ca="1" si="0"/>
        <v>642.9</v>
      </c>
      <c r="J1529" s="6">
        <f ca="1">IFERROR(__xludf.DUMMYFUNCTION("IFERROR(GOOGLEFINANCE(B1529, ""volume""), 0)"),632919)</f>
        <v>632919</v>
      </c>
      <c r="K1529" s="6">
        <v>1.34</v>
      </c>
      <c r="L1529" s="6">
        <f ca="1">IFERROR(__xludf.DUMMYFUNCTION("IFERROR(GOOGLEFINANCE(B1529,""changepct""),K1529)"),-0.09)</f>
        <v>-0.09</v>
      </c>
      <c r="M1529" s="6">
        <f ca="1">IFERROR(__xludf.DUMMYFUNCTION("IFERROR(GOOGLEFINANCE(B1529,""change""),0)"),-0.55)</f>
        <v>-0.55000000000000004</v>
      </c>
      <c r="N1529" s="6">
        <v>2</v>
      </c>
      <c r="O1529" s="7">
        <v>45536</v>
      </c>
      <c r="P1529" s="6">
        <v>875.92</v>
      </c>
      <c r="Q1529" s="7">
        <v>45536</v>
      </c>
      <c r="R1529" s="6">
        <v>109.31</v>
      </c>
      <c r="S1529" s="6">
        <v>-19.28</v>
      </c>
      <c r="T1529" s="6">
        <v>8.32</v>
      </c>
      <c r="U1529" s="6">
        <v>2</v>
      </c>
      <c r="V1529" s="7">
        <v>45352</v>
      </c>
      <c r="W1529" s="6">
        <f ca="1">IFERROR(__xludf.DUMMYFUNCTION("IFERROR(GOOGLEFINANCE(B1529,""pe""),V1529)"),68.54)</f>
        <v>68.540000000000006</v>
      </c>
      <c r="X1529" s="6">
        <v>0.11</v>
      </c>
      <c r="Y1529" s="6">
        <v>8.34</v>
      </c>
      <c r="Z1529" s="6">
        <v>8.08</v>
      </c>
      <c r="AA1529" s="3" t="s">
        <v>4608</v>
      </c>
      <c r="AB1529" s="3"/>
      <c r="AC1529" s="9"/>
      <c r="AD1529" s="9"/>
      <c r="AE1529" s="1">
        <v>0</v>
      </c>
      <c r="AF1529" s="1">
        <f ca="1">IFERROR(__xludf.DUMMYFUNCTION("IFERROR(GOOGLEFINANCE(TRIM(F1529)&amp;"":"" &amp; TRIM(B1529),""high52""),AE1529)"),706.8)</f>
        <v>706.8</v>
      </c>
      <c r="AG1529" s="1">
        <v>0</v>
      </c>
      <c r="AH1529" s="1">
        <f ca="1">IFERROR(__xludf.DUMMYFUNCTION("IFERROR(GOOGLEFINANCE(TRIM(F1529)&amp;"":"" &amp; TRIM(B1529),""low52""),AE1529)"),525.8)</f>
        <v>525.79999999999995</v>
      </c>
      <c r="AI1529" s="1">
        <f ca="1">IFERROR(__xludf.DUMMYFUNCTION("IFERROR(GOOGLEFINANCE(B1529,""eps""),0)"),9.38)</f>
        <v>9.3800000000000008</v>
      </c>
      <c r="AJ1529" s="1"/>
      <c r="AK1529" s="1" t="s">
        <v>4609</v>
      </c>
      <c r="AL1529" s="9">
        <f t="shared" si="198"/>
        <v>1</v>
      </c>
    </row>
    <row r="1530" spans="1:38" ht="15" x14ac:dyDescent="0.25">
      <c r="A1530" s="1" t="s">
        <v>4610</v>
      </c>
      <c r="B1530" s="1" t="s">
        <v>4611</v>
      </c>
      <c r="C1530" s="1" t="s">
        <v>75</v>
      </c>
      <c r="D1530" s="1" t="s">
        <v>75</v>
      </c>
      <c r="E1530" s="6">
        <v>27975.29</v>
      </c>
      <c r="F1530" s="1" t="s">
        <v>40</v>
      </c>
      <c r="G1530" s="6">
        <f ca="1">IFERROR(__xludf.DUMMYFUNCTION("iferror(GOOGLEFINANCE(TRIM(F1530)&amp;"":"" &amp; TRIM(B1530), ""price""),0
)"),0)</f>
        <v>0</v>
      </c>
      <c r="H1530" s="6">
        <v>851.95</v>
      </c>
      <c r="I1530" s="6">
        <f t="shared" ca="1" si="0"/>
        <v>851.95</v>
      </c>
      <c r="J1530" s="6">
        <f ca="1">IFERROR(__xludf.DUMMYFUNCTION("IFERROR(GOOGLEFINANCE(B1530, ""volume""), 0)"),8284)</f>
        <v>8284</v>
      </c>
      <c r="K1530" s="6">
        <v>-1.1499999999999999</v>
      </c>
      <c r="L1530" s="6">
        <f ca="1">IFERROR(__xludf.DUMMYFUNCTION("IFERROR(GOOGLEFINANCE(B1530,""changepct""),K1530)"),0.03)</f>
        <v>0.03</v>
      </c>
      <c r="M1530" s="6">
        <f ca="1">IFERROR(__xludf.DUMMYFUNCTION("IFERROR(GOOGLEFINANCE(B1530,""change""),0)"),0.03)</f>
        <v>0.03</v>
      </c>
      <c r="N1530" s="6">
        <v>2</v>
      </c>
      <c r="O1530" s="7">
        <v>45536</v>
      </c>
      <c r="P1530" s="6">
        <v>2058.17</v>
      </c>
      <c r="Q1530" s="7">
        <v>45536</v>
      </c>
      <c r="R1530" s="6">
        <v>13.59</v>
      </c>
      <c r="S1530" s="6">
        <v>0.48</v>
      </c>
      <c r="T1530" s="6">
        <v>6.26</v>
      </c>
      <c r="U1530" s="6">
        <v>2</v>
      </c>
      <c r="V1530" s="7">
        <v>45352</v>
      </c>
      <c r="W1530" s="10">
        <f ca="1">IFERROR(__xludf.DUMMYFUNCTION("IFERROR(GOOGLEFINANCE(B1530,""pe""),V1530)"),45352)</f>
        <v>45352</v>
      </c>
      <c r="X1530" s="6">
        <v>4.3499999999999996</v>
      </c>
      <c r="Y1530" s="6">
        <v>51.1</v>
      </c>
      <c r="Z1530" s="6">
        <v>19.93</v>
      </c>
      <c r="AA1530" s="3" t="s">
        <v>4612</v>
      </c>
      <c r="AB1530" s="11"/>
      <c r="AC1530" s="9"/>
      <c r="AD1530" s="9"/>
      <c r="AE1530" s="1">
        <v>0</v>
      </c>
      <c r="AF1530" s="1">
        <f ca="1">IFERROR(__xludf.DUMMYFUNCTION("IFERROR(GOOGLEFINANCE(TRIM(F1530)&amp;"":"" &amp; TRIM(B1530),""high52""),AE1530)"),0)</f>
        <v>0</v>
      </c>
      <c r="AG1530" s="1">
        <v>0</v>
      </c>
      <c r="AH1530" s="1">
        <f ca="1">IFERROR(__xludf.DUMMYFUNCTION("IFERROR(GOOGLEFINANCE(TRIM(F1530)&amp;"":"" &amp; TRIM(B1530),""low52""),AE1530)"),0)</f>
        <v>0</v>
      </c>
      <c r="AI1530" s="1">
        <f ca="1">IFERROR(__xludf.DUMMYFUNCTION("IFERROR(GOOGLEFINANCE(B1530,""eps""),0)"),0)</f>
        <v>0</v>
      </c>
      <c r="AJ1530" s="1"/>
      <c r="AK1530" s="1" t="s">
        <v>4613</v>
      </c>
      <c r="AL1530" s="9">
        <f t="shared" si="198"/>
        <v>1</v>
      </c>
    </row>
    <row r="1531" spans="1:38" ht="15" x14ac:dyDescent="0.25">
      <c r="A1531" s="1" t="s">
        <v>4614</v>
      </c>
      <c r="B1531" s="1" t="s">
        <v>4615</v>
      </c>
      <c r="C1531" s="1" t="s">
        <v>1876</v>
      </c>
      <c r="D1531" s="1" t="s">
        <v>1876</v>
      </c>
      <c r="E1531" s="6">
        <v>6148.75</v>
      </c>
      <c r="F1531" s="1" t="s">
        <v>40</v>
      </c>
      <c r="G1531" s="6">
        <f ca="1">IFERROR(__xludf.DUMMYFUNCTION("iferror(GOOGLEFINANCE(TRIM(F1531)&amp;"":"" &amp; TRIM(B1531), ""price""),0
)"),6081)</f>
        <v>6081</v>
      </c>
      <c r="H1531" s="6">
        <v>6422.6</v>
      </c>
      <c r="I1531" s="6">
        <f t="shared" ca="1" si="0"/>
        <v>6081</v>
      </c>
      <c r="J1531" s="6">
        <f ca="1">IFERROR(__xludf.DUMMYFUNCTION("IFERROR(GOOGLEFINANCE(B1531, ""volume""), 0)"),6240)</f>
        <v>6240</v>
      </c>
      <c r="K1531" s="6">
        <v>0.53</v>
      </c>
      <c r="L1531" s="6">
        <f ca="1">IFERROR(__xludf.DUMMYFUNCTION("IFERROR(GOOGLEFINANCE(B1531,""changepct""),K1531)"),-2.06)</f>
        <v>-2.06</v>
      </c>
      <c r="M1531" s="6">
        <f ca="1">IFERROR(__xludf.DUMMYFUNCTION("IFERROR(GOOGLEFINANCE(B1531,""change""),0)"),-128)</f>
        <v>-128</v>
      </c>
      <c r="N1531" s="6">
        <v>2</v>
      </c>
      <c r="O1531" s="7">
        <v>45536</v>
      </c>
      <c r="P1531" s="6">
        <v>2.16</v>
      </c>
      <c r="Q1531" s="6">
        <v>5932.97</v>
      </c>
      <c r="R1531" s="7">
        <v>45536</v>
      </c>
      <c r="S1531" s="6">
        <v>479.49</v>
      </c>
      <c r="T1531" s="6">
        <v>152.46</v>
      </c>
      <c r="U1531" s="7">
        <v>45536</v>
      </c>
      <c r="V1531" s="6">
        <v>40.65</v>
      </c>
      <c r="W1531" s="6">
        <f ca="1">IFERROR(__xludf.DUMMYFUNCTION("IFERROR(GOOGLEFINANCE(B1531,""pe""),V1531)"),31.17)</f>
        <v>31.17</v>
      </c>
      <c r="X1531" s="6">
        <v>5.44</v>
      </c>
      <c r="Y1531" s="6">
        <v>6.44</v>
      </c>
      <c r="Z1531" s="6">
        <v>2</v>
      </c>
      <c r="AA1531" s="8">
        <v>45352</v>
      </c>
      <c r="AB1531" s="4">
        <v>0</v>
      </c>
      <c r="AC1531" s="6">
        <v>15.82</v>
      </c>
      <c r="AD1531" s="6">
        <v>21.81</v>
      </c>
      <c r="AE1531" s="1">
        <v>0</v>
      </c>
      <c r="AF1531" s="1">
        <f ca="1">IFERROR(__xludf.DUMMYFUNCTION("IFERROR(GOOGLEFINANCE(TRIM(F1531)&amp;"":"" &amp; TRIM(B1531),""high52""),AE1531)"),7130)</f>
        <v>7130</v>
      </c>
      <c r="AG1531" s="1">
        <v>0</v>
      </c>
      <c r="AH1531" s="1">
        <f ca="1">IFERROR(__xludf.DUMMYFUNCTION("IFERROR(GOOGLEFINANCE(TRIM(F1531)&amp;"":"" &amp; TRIM(B1531),""low52""),AE1531)"),5015.1)</f>
        <v>5015.1000000000004</v>
      </c>
      <c r="AI1531" s="1">
        <f ca="1">IFERROR(__xludf.DUMMYFUNCTION("IFERROR(GOOGLEFINANCE(B1531,""eps""),0)"),195.1)</f>
        <v>195.1</v>
      </c>
      <c r="AJ1531" s="1"/>
      <c r="AK1531" s="1" t="s">
        <v>4616</v>
      </c>
      <c r="AL1531" s="9">
        <f t="shared" si="198"/>
        <v>1</v>
      </c>
    </row>
    <row r="1532" spans="1:38" ht="15" x14ac:dyDescent="0.25">
      <c r="A1532" s="1" t="s">
        <v>4617</v>
      </c>
      <c r="B1532" s="1" t="s">
        <v>4618</v>
      </c>
      <c r="C1532" s="1" t="s">
        <v>416</v>
      </c>
      <c r="D1532" s="1" t="s">
        <v>416</v>
      </c>
      <c r="E1532" s="6">
        <v>97.49</v>
      </c>
      <c r="F1532" s="1" t="s">
        <v>53</v>
      </c>
      <c r="G1532" s="6">
        <f ca="1">IFERROR(__xludf.DUMMYFUNCTION("iferror(GOOGLEFINANCE(TRIM(F1532)&amp;"":"" &amp; TRIM(B1532), ""price""),0
)"),0)</f>
        <v>0</v>
      </c>
      <c r="H1532" s="6">
        <v>172.55</v>
      </c>
      <c r="I1532" s="6">
        <f t="shared" ca="1" si="0"/>
        <v>172.55</v>
      </c>
      <c r="J1532" s="6">
        <f ca="1">IFERROR(__xludf.DUMMYFUNCTION("IFERROR(GOOGLEFINANCE(B1532, ""volume""), 0)"),0)</f>
        <v>0</v>
      </c>
      <c r="K1532" s="12"/>
      <c r="L1532" s="6" t="str">
        <f ca="1">IFERROR(__xludf.DUMMYFUNCTION("IFERROR(GOOGLEFINANCE(B1532,""changepct""),K1532)"),"")</f>
        <v/>
      </c>
      <c r="M1532" s="6">
        <f ca="1">IFERROR(__xludf.DUMMYFUNCTION("IFERROR(GOOGLEFINANCE(B1532,""change""),0)"),0)</f>
        <v>0</v>
      </c>
      <c r="N1532" s="6">
        <v>1</v>
      </c>
      <c r="O1532" s="7">
        <v>45536</v>
      </c>
      <c r="P1532" s="6">
        <v>23.09</v>
      </c>
      <c r="Q1532" s="6">
        <v>120.17</v>
      </c>
      <c r="R1532" s="7">
        <v>45536</v>
      </c>
      <c r="S1532" s="6">
        <v>152.87</v>
      </c>
      <c r="T1532" s="6">
        <v>8.59</v>
      </c>
      <c r="U1532" s="7">
        <v>45536</v>
      </c>
      <c r="V1532" s="6">
        <v>11.35</v>
      </c>
      <c r="W1532" s="6">
        <f ca="1">IFERROR(__xludf.DUMMYFUNCTION("IFERROR(GOOGLEFINANCE(B1532,""pe""),V1532)"),11.35)</f>
        <v>11.35</v>
      </c>
      <c r="X1532" s="6">
        <v>0.2</v>
      </c>
      <c r="Y1532" s="6">
        <v>2.06</v>
      </c>
      <c r="Z1532" s="6">
        <v>1</v>
      </c>
      <c r="AA1532" s="8">
        <v>45352</v>
      </c>
      <c r="AB1532" s="4">
        <v>0.56000000000000005</v>
      </c>
      <c r="AC1532" s="6">
        <v>23.14</v>
      </c>
      <c r="AD1532" s="6">
        <v>22.93</v>
      </c>
      <c r="AE1532" s="1">
        <v>0</v>
      </c>
      <c r="AF1532" s="1">
        <f ca="1">IFERROR(__xludf.DUMMYFUNCTION("IFERROR(GOOGLEFINANCE(TRIM(F1532)&amp;"":"" &amp; TRIM(B1532),""high52""),AE1532)"),0)</f>
        <v>0</v>
      </c>
      <c r="AG1532" s="1">
        <v>0</v>
      </c>
      <c r="AH1532" s="1">
        <f ca="1">IFERROR(__xludf.DUMMYFUNCTION("IFERROR(GOOGLEFINANCE(TRIM(F1532)&amp;"":"" &amp; TRIM(B1532),""low52""),AE1532)"),0)</f>
        <v>0</v>
      </c>
      <c r="AI1532" s="1">
        <f ca="1">IFERROR(__xludf.DUMMYFUNCTION("IFERROR(GOOGLEFINANCE(B1532,""eps""),0)"),0)</f>
        <v>0</v>
      </c>
      <c r="AJ1532" s="1"/>
      <c r="AK1532" s="9"/>
      <c r="AL1532" s="9">
        <f t="shared" si="198"/>
        <v>1</v>
      </c>
    </row>
    <row r="1533" spans="1:38" ht="15" x14ac:dyDescent="0.25">
      <c r="A1533" s="1" t="s">
        <v>4619</v>
      </c>
      <c r="B1533" s="1" t="s">
        <v>4620</v>
      </c>
      <c r="C1533" s="1" t="s">
        <v>1067</v>
      </c>
      <c r="D1533" s="1" t="s">
        <v>1067</v>
      </c>
      <c r="E1533" s="6">
        <v>82395.66</v>
      </c>
      <c r="F1533" s="1" t="s">
        <v>40</v>
      </c>
      <c r="G1533" s="6">
        <f ca="1">IFERROR(__xludf.DUMMYFUNCTION("iferror(GOOGLEFINANCE(TRIM(F1533)&amp;"":"" &amp; TRIM(B1533), ""price""),0
)"),99.9)</f>
        <v>99.9</v>
      </c>
      <c r="H1533" s="6">
        <v>77.930000000000007</v>
      </c>
      <c r="I1533" s="6">
        <f t="shared" ca="1" si="0"/>
        <v>99.9</v>
      </c>
      <c r="J1533" s="6">
        <f ca="1">IFERROR(__xludf.DUMMYFUNCTION("IFERROR(GOOGLEFINANCE(B1533, ""volume""), 0)"),13509064)</f>
        <v>13509064</v>
      </c>
      <c r="K1533" s="6">
        <v>1.7</v>
      </c>
      <c r="L1533" s="6">
        <f ca="1">IFERROR(__xludf.DUMMYFUNCTION("IFERROR(GOOGLEFINANCE(B1533,""changepct""),K1533)"),1.57)</f>
        <v>1.57</v>
      </c>
      <c r="M1533" s="6">
        <f ca="1">IFERROR(__xludf.DUMMYFUNCTION("IFERROR(GOOGLEFINANCE(B1533,""change""),0)"),1.54)</f>
        <v>1.54</v>
      </c>
      <c r="N1533" s="6">
        <v>2</v>
      </c>
      <c r="O1533" s="7">
        <v>45536</v>
      </c>
      <c r="P1533" s="6">
        <v>27658.53</v>
      </c>
      <c r="Q1533" s="6">
        <v>6723.78</v>
      </c>
      <c r="R1533" s="7">
        <v>45536</v>
      </c>
      <c r="S1533" s="6">
        <v>12.17</v>
      </c>
      <c r="T1533" s="6">
        <v>0.64</v>
      </c>
      <c r="U1533" s="6">
        <v>1.76</v>
      </c>
      <c r="V1533" s="6">
        <v>2</v>
      </c>
      <c r="W1533" s="6">
        <f ca="1">IFERROR(__xludf.DUMMYFUNCTION("IFERROR(GOOGLEFINANCE(B1533,""pe""),V1533)"),11.57)</f>
        <v>11.57</v>
      </c>
      <c r="X1533" s="7">
        <v>45352</v>
      </c>
      <c r="Y1533" s="6">
        <v>14.19</v>
      </c>
      <c r="Z1533" s="6">
        <v>1</v>
      </c>
      <c r="AA1533" s="8">
        <v>45352</v>
      </c>
      <c r="AB1533" s="4">
        <v>0.34</v>
      </c>
      <c r="AC1533" s="6">
        <v>4.3099999999999996</v>
      </c>
      <c r="AD1533" s="6">
        <v>14.01</v>
      </c>
      <c r="AE1533" s="1">
        <v>0</v>
      </c>
      <c r="AF1533" s="1">
        <f ca="1">IFERROR(__xludf.DUMMYFUNCTION("IFERROR(GOOGLEFINANCE(TRIM(F1533)&amp;"":"" &amp; TRIM(B1533),""high52""),AE1533)"),118.38)</f>
        <v>118.38</v>
      </c>
      <c r="AG1533" s="1">
        <v>0</v>
      </c>
      <c r="AH1533" s="1">
        <f ca="1">IFERROR(__xludf.DUMMYFUNCTION("IFERROR(GOOGLEFINANCE(TRIM(F1533)&amp;"":"" &amp; TRIM(B1533),""low52""),AE1533)"),66.5)</f>
        <v>66.5</v>
      </c>
      <c r="AI1533" s="1">
        <f ca="1">IFERROR(__xludf.DUMMYFUNCTION("IFERROR(GOOGLEFINANCE(B1533,""eps""),0)"),8.64)</f>
        <v>8.64</v>
      </c>
      <c r="AJ1533" s="1"/>
      <c r="AK1533" s="1" t="s">
        <v>4621</v>
      </c>
      <c r="AL1533" s="1" t="b">
        <f>ISNUMBER(AA1533)</f>
        <v>1</v>
      </c>
    </row>
    <row r="1534" spans="1:38" ht="15" x14ac:dyDescent="0.25">
      <c r="A1534" s="1" t="s">
        <v>4622</v>
      </c>
      <c r="B1534" s="1" t="s">
        <v>4623</v>
      </c>
      <c r="C1534" s="1" t="s">
        <v>416</v>
      </c>
      <c r="D1534" s="1" t="s">
        <v>416</v>
      </c>
      <c r="E1534" s="6">
        <v>212.34</v>
      </c>
      <c r="F1534" s="1" t="s">
        <v>53</v>
      </c>
      <c r="G1534" s="6">
        <f ca="1">IFERROR(__xludf.DUMMYFUNCTION("iferror(GOOGLEFINANCE(TRIM(F1534)&amp;"":"" &amp; TRIM(B1534), ""price""),0
)"),0)</f>
        <v>0</v>
      </c>
      <c r="H1534" s="6">
        <v>4.38</v>
      </c>
      <c r="I1534" s="6">
        <f t="shared" ca="1" si="0"/>
        <v>4.38</v>
      </c>
      <c r="J1534" s="6">
        <f ca="1">IFERROR(__xludf.DUMMYFUNCTION("IFERROR(GOOGLEFINANCE(B1534, ""volume""), 0)"),0)</f>
        <v>0</v>
      </c>
      <c r="K1534" s="6">
        <v>4.78</v>
      </c>
      <c r="L1534" s="6">
        <f ca="1">IFERROR(__xludf.DUMMYFUNCTION("IFERROR(GOOGLEFINANCE(B1534,""changepct""),K1534)"),4.78)</f>
        <v>4.78</v>
      </c>
      <c r="M1534" s="6">
        <f ca="1">IFERROR(__xludf.DUMMYFUNCTION("IFERROR(GOOGLEFINANCE(B1534,""change""),0)"),0)</f>
        <v>0</v>
      </c>
      <c r="N1534" s="6">
        <v>1</v>
      </c>
      <c r="O1534" s="7">
        <v>45536</v>
      </c>
      <c r="P1534" s="6">
        <v>0.55000000000000004</v>
      </c>
      <c r="Q1534" s="6">
        <v>212.89</v>
      </c>
      <c r="R1534" s="7">
        <v>45536</v>
      </c>
      <c r="S1534" s="6">
        <v>41.9</v>
      </c>
      <c r="T1534" s="6">
        <v>5.95</v>
      </c>
      <c r="U1534" s="7">
        <v>45536</v>
      </c>
      <c r="V1534" s="6">
        <v>35.68</v>
      </c>
      <c r="W1534" s="6">
        <f ca="1">IFERROR(__xludf.DUMMYFUNCTION("IFERROR(GOOGLEFINANCE(B1534,""pe""),V1534)"),35.68)</f>
        <v>35.68</v>
      </c>
      <c r="X1534" s="6">
        <v>0.9</v>
      </c>
      <c r="Y1534" s="6">
        <v>3.47</v>
      </c>
      <c r="Z1534" s="6">
        <v>1</v>
      </c>
      <c r="AA1534" s="8">
        <v>45352</v>
      </c>
      <c r="AB1534" s="4">
        <v>0.06</v>
      </c>
      <c r="AC1534" s="6">
        <v>13.56</v>
      </c>
      <c r="AD1534" s="6">
        <v>16.45</v>
      </c>
      <c r="AE1534" s="1">
        <v>0</v>
      </c>
      <c r="AF1534" s="1">
        <f ca="1">IFERROR(__xludf.DUMMYFUNCTION("IFERROR(GOOGLEFINANCE(TRIM(F1534)&amp;"":"" &amp; TRIM(B1534),""high52""),AE1534)"),0)</f>
        <v>0</v>
      </c>
      <c r="AG1534" s="1">
        <v>0</v>
      </c>
      <c r="AH1534" s="1">
        <f ca="1">IFERROR(__xludf.DUMMYFUNCTION("IFERROR(GOOGLEFINANCE(TRIM(F1534)&amp;"":"" &amp; TRIM(B1534),""low52""),AE1534)"),0)</f>
        <v>0</v>
      </c>
      <c r="AI1534" s="1">
        <f ca="1">IFERROR(__xludf.DUMMYFUNCTION("IFERROR(GOOGLEFINANCE(B1534,""eps""),0)"),0)</f>
        <v>0</v>
      </c>
      <c r="AJ1534" s="1"/>
      <c r="AK1534" s="1" t="s">
        <v>4624</v>
      </c>
      <c r="AL1534" s="9">
        <f t="shared" ref="AL1534:AL1540" si="199">IF(AA1534&lt;&gt;AB1534,1,0)</f>
        <v>1</v>
      </c>
    </row>
    <row r="1535" spans="1:38" ht="15" x14ac:dyDescent="0.25">
      <c r="A1535" s="1" t="s">
        <v>4625</v>
      </c>
      <c r="B1535" s="1" t="s">
        <v>4626</v>
      </c>
      <c r="C1535" s="1" t="s">
        <v>416</v>
      </c>
      <c r="D1535" s="1" t="s">
        <v>416</v>
      </c>
      <c r="E1535" s="6">
        <v>74.41</v>
      </c>
      <c r="F1535" s="1" t="s">
        <v>53</v>
      </c>
      <c r="G1535" s="6">
        <f ca="1">IFERROR(__xludf.DUMMYFUNCTION("iferror(GOOGLEFINANCE(TRIM(F1535)&amp;"":"" &amp; TRIM(B1535), ""price""),0
)"),0)</f>
        <v>0</v>
      </c>
      <c r="H1535" s="6">
        <v>213</v>
      </c>
      <c r="I1535" s="6">
        <f t="shared" ca="1" si="0"/>
        <v>213</v>
      </c>
      <c r="J1535" s="6">
        <f ca="1">IFERROR(__xludf.DUMMYFUNCTION("IFERROR(GOOGLEFINANCE(B1535, ""volume""), 0)"),0)</f>
        <v>0</v>
      </c>
      <c r="K1535" s="6">
        <v>0.95</v>
      </c>
      <c r="L1535" s="6">
        <f ca="1">IFERROR(__xludf.DUMMYFUNCTION("IFERROR(GOOGLEFINANCE(B1535,""changepct""),K1535)"),0.95)</f>
        <v>0.95</v>
      </c>
      <c r="M1535" s="6">
        <f ca="1">IFERROR(__xludf.DUMMYFUNCTION("IFERROR(GOOGLEFINANCE(B1535,""change""),0)"),0)</f>
        <v>0</v>
      </c>
      <c r="N1535" s="6">
        <v>1</v>
      </c>
      <c r="O1535" s="7">
        <v>45536</v>
      </c>
      <c r="P1535" s="6">
        <v>1.62</v>
      </c>
      <c r="Q1535" s="6">
        <v>76.03</v>
      </c>
      <c r="R1535" s="7">
        <v>45536</v>
      </c>
      <c r="S1535" s="6">
        <v>129.01</v>
      </c>
      <c r="T1535" s="6">
        <v>2.68</v>
      </c>
      <c r="U1535" s="7">
        <v>45536</v>
      </c>
      <c r="V1535" s="6">
        <v>27.79</v>
      </c>
      <c r="W1535" s="6">
        <f ca="1">IFERROR(__xludf.DUMMYFUNCTION("IFERROR(GOOGLEFINANCE(B1535,""pe""),V1535)"),27.79)</f>
        <v>27.79</v>
      </c>
      <c r="X1535" s="6">
        <v>1.42</v>
      </c>
      <c r="Y1535" s="6">
        <v>3.78</v>
      </c>
      <c r="Z1535" s="6">
        <v>1</v>
      </c>
      <c r="AA1535" s="8">
        <v>45352</v>
      </c>
      <c r="AB1535" s="4">
        <v>1.05</v>
      </c>
      <c r="AC1535" s="6">
        <v>10.38</v>
      </c>
      <c r="AD1535" s="6">
        <v>14.71</v>
      </c>
      <c r="AE1535" s="1">
        <v>0</v>
      </c>
      <c r="AF1535" s="1">
        <f ca="1">IFERROR(__xludf.DUMMYFUNCTION("IFERROR(GOOGLEFINANCE(TRIM(F1535)&amp;"":"" &amp; TRIM(B1535),""high52""),AE1535)"),0)</f>
        <v>0</v>
      </c>
      <c r="AG1535" s="1">
        <v>0</v>
      </c>
      <c r="AH1535" s="1">
        <f ca="1">IFERROR(__xludf.DUMMYFUNCTION("IFERROR(GOOGLEFINANCE(TRIM(F1535)&amp;"":"" &amp; TRIM(B1535),""low52""),AE1535)"),0)</f>
        <v>0</v>
      </c>
      <c r="AI1535" s="1">
        <f ca="1">IFERROR(__xludf.DUMMYFUNCTION("IFERROR(GOOGLEFINANCE(B1535,""eps""),0)"),0)</f>
        <v>0</v>
      </c>
      <c r="AJ1535" s="1"/>
      <c r="AK1535" s="1" t="s">
        <v>4627</v>
      </c>
      <c r="AL1535" s="9">
        <f t="shared" si="199"/>
        <v>1</v>
      </c>
    </row>
    <row r="1536" spans="1:38" ht="15" x14ac:dyDescent="0.25">
      <c r="A1536" s="1" t="s">
        <v>4628</v>
      </c>
      <c r="B1536" s="1" t="s">
        <v>4629</v>
      </c>
      <c r="C1536" s="1" t="s">
        <v>416</v>
      </c>
      <c r="D1536" s="1" t="s">
        <v>416</v>
      </c>
      <c r="E1536" s="6">
        <v>2667.65</v>
      </c>
      <c r="F1536" s="1" t="s">
        <v>40</v>
      </c>
      <c r="G1536" s="6">
        <f ca="1">IFERROR(__xludf.DUMMYFUNCTION("iferror(GOOGLEFINANCE(TRIM(F1536)&amp;"":"" &amp; TRIM(B1536), ""price""),0
)"),433)</f>
        <v>433</v>
      </c>
      <c r="H1536" s="6">
        <v>640.54999999999995</v>
      </c>
      <c r="I1536" s="6">
        <f t="shared" ca="1" si="0"/>
        <v>433</v>
      </c>
      <c r="J1536" s="6">
        <f ca="1">IFERROR(__xludf.DUMMYFUNCTION("IFERROR(GOOGLEFINANCE(B1536, ""volume""), 0)"),298985)</f>
        <v>298985</v>
      </c>
      <c r="K1536" s="6">
        <v>3.12</v>
      </c>
      <c r="L1536" s="6">
        <f ca="1">IFERROR(__xludf.DUMMYFUNCTION("IFERROR(GOOGLEFINANCE(B1536,""changepct""),K1536)"),-1.57)</f>
        <v>-1.57</v>
      </c>
      <c r="M1536" s="6">
        <f ca="1">IFERROR(__xludf.DUMMYFUNCTION("IFERROR(GOOGLEFINANCE(B1536,""change""),0)"),-6.9)</f>
        <v>-6.9</v>
      </c>
      <c r="N1536" s="6">
        <v>2</v>
      </c>
      <c r="O1536" s="7">
        <v>45536</v>
      </c>
      <c r="P1536" s="9"/>
      <c r="Q1536" s="6">
        <v>2483.34</v>
      </c>
      <c r="R1536" s="7">
        <v>45536</v>
      </c>
      <c r="S1536" s="6">
        <v>316.49</v>
      </c>
      <c r="T1536" s="6">
        <v>12.58</v>
      </c>
      <c r="U1536" s="7">
        <v>45536</v>
      </c>
      <c r="V1536" s="6">
        <v>212.09</v>
      </c>
      <c r="W1536" s="6">
        <f ca="1">IFERROR(__xludf.DUMMYFUNCTION("IFERROR(GOOGLEFINANCE(B1536,""pe""),V1536)"),212.09)</f>
        <v>212.09</v>
      </c>
      <c r="X1536" s="12"/>
      <c r="Y1536" s="6">
        <v>4.08</v>
      </c>
      <c r="Z1536" s="6">
        <v>2</v>
      </c>
      <c r="AA1536" s="8">
        <v>45352</v>
      </c>
      <c r="AB1536" s="4">
        <v>0</v>
      </c>
      <c r="AC1536" s="6">
        <v>9.58</v>
      </c>
      <c r="AD1536" s="6">
        <v>12.27</v>
      </c>
      <c r="AE1536" s="1">
        <v>0</v>
      </c>
      <c r="AF1536" s="1">
        <f ca="1">IFERROR(__xludf.DUMMYFUNCTION("IFERROR(GOOGLEFINANCE(TRIM(F1536)&amp;"":"" &amp; TRIM(B1536),""high52""),AE1536)"),659.85)</f>
        <v>659.85</v>
      </c>
      <c r="AG1536" s="1">
        <v>0</v>
      </c>
      <c r="AH1536" s="1">
        <f ca="1">IFERROR(__xludf.DUMMYFUNCTION("IFERROR(GOOGLEFINANCE(TRIM(F1536)&amp;"":"" &amp; TRIM(B1536),""low52""),AE1536)"),304.2)</f>
        <v>304.2</v>
      </c>
      <c r="AI1536" s="1">
        <f ca="1">IFERROR(__xludf.DUMMYFUNCTION("IFERROR(GOOGLEFINANCE(B1536,""eps""),0)"),-23.57)</f>
        <v>-23.57</v>
      </c>
      <c r="AJ1536" s="1"/>
      <c r="AK1536" s="1" t="s">
        <v>4630</v>
      </c>
      <c r="AL1536" s="9">
        <f t="shared" si="199"/>
        <v>1</v>
      </c>
    </row>
    <row r="1537" spans="1:38" ht="15" x14ac:dyDescent="0.25">
      <c r="A1537" s="1" t="s">
        <v>4631</v>
      </c>
      <c r="B1537" s="1" t="s">
        <v>4632</v>
      </c>
      <c r="C1537" s="1" t="s">
        <v>416</v>
      </c>
      <c r="D1537" s="1" t="s">
        <v>416</v>
      </c>
      <c r="E1537" s="6">
        <v>214.08</v>
      </c>
      <c r="F1537" s="1" t="s">
        <v>53</v>
      </c>
      <c r="G1537" s="6">
        <f ca="1">IFERROR(__xludf.DUMMYFUNCTION("iferror(GOOGLEFINANCE(TRIM(F1537)&amp;"":"" &amp; TRIM(B1537), ""price""),0
)"),0)</f>
        <v>0</v>
      </c>
      <c r="H1537" s="6">
        <v>208.4</v>
      </c>
      <c r="I1537" s="6">
        <f t="shared" ca="1" si="0"/>
        <v>208.4</v>
      </c>
      <c r="J1537" s="6">
        <f ca="1">IFERROR(__xludf.DUMMYFUNCTION("IFERROR(GOOGLEFINANCE(B1537, ""volume""), 0)"),0)</f>
        <v>0</v>
      </c>
      <c r="K1537" s="6">
        <v>1.24</v>
      </c>
      <c r="L1537" s="6">
        <f ca="1">IFERROR(__xludf.DUMMYFUNCTION("IFERROR(GOOGLEFINANCE(B1537,""changepct""),K1537)"),1.24)</f>
        <v>1.24</v>
      </c>
      <c r="M1537" s="6">
        <f ca="1">IFERROR(__xludf.DUMMYFUNCTION("IFERROR(GOOGLEFINANCE(B1537,""change""),0)"),0)</f>
        <v>0</v>
      </c>
      <c r="N1537" s="6">
        <v>1</v>
      </c>
      <c r="O1537" s="7">
        <v>45536</v>
      </c>
      <c r="P1537" s="6">
        <v>75.239999999999995</v>
      </c>
      <c r="Q1537" s="6">
        <v>288.51</v>
      </c>
      <c r="R1537" s="7">
        <v>45536</v>
      </c>
      <c r="S1537" s="6">
        <v>402.38</v>
      </c>
      <c r="T1537" s="6">
        <v>14.12</v>
      </c>
      <c r="U1537" s="7">
        <v>45536</v>
      </c>
      <c r="V1537" s="6">
        <v>15.17</v>
      </c>
      <c r="W1537" s="6">
        <f ca="1">IFERROR(__xludf.DUMMYFUNCTION("IFERROR(GOOGLEFINANCE(B1537,""pe""),V1537)"),15.17)</f>
        <v>15.17</v>
      </c>
      <c r="X1537" s="6">
        <v>0.91</v>
      </c>
      <c r="Y1537" s="6">
        <v>1.02</v>
      </c>
      <c r="Z1537" s="6">
        <v>1</v>
      </c>
      <c r="AA1537" s="8">
        <v>45352</v>
      </c>
      <c r="AB1537" s="4">
        <v>0.4</v>
      </c>
      <c r="AC1537" s="6">
        <v>8.65</v>
      </c>
      <c r="AD1537" s="6">
        <v>11.1</v>
      </c>
      <c r="AE1537" s="1">
        <v>0</v>
      </c>
      <c r="AF1537" s="1">
        <f ca="1">IFERROR(__xludf.DUMMYFUNCTION("IFERROR(GOOGLEFINANCE(TRIM(F1537)&amp;"":"" &amp; TRIM(B1537),""high52""),AE1537)"),0)</f>
        <v>0</v>
      </c>
      <c r="AG1537" s="1">
        <v>0</v>
      </c>
      <c r="AH1537" s="1">
        <f ca="1">IFERROR(__xludf.DUMMYFUNCTION("IFERROR(GOOGLEFINANCE(TRIM(F1537)&amp;"":"" &amp; TRIM(B1537),""low52""),AE1537)"),0)</f>
        <v>0</v>
      </c>
      <c r="AI1537" s="1">
        <f ca="1">IFERROR(__xludf.DUMMYFUNCTION("IFERROR(GOOGLEFINANCE(B1537,""eps""),0)"),0)</f>
        <v>0</v>
      </c>
      <c r="AJ1537" s="1"/>
      <c r="AK1537" s="9"/>
      <c r="AL1537" s="9">
        <f t="shared" si="199"/>
        <v>1</v>
      </c>
    </row>
    <row r="1538" spans="1:38" ht="15" x14ac:dyDescent="0.25">
      <c r="A1538" s="1" t="s">
        <v>4633</v>
      </c>
      <c r="B1538" s="1" t="s">
        <v>4634</v>
      </c>
      <c r="C1538" s="1" t="s">
        <v>416</v>
      </c>
      <c r="D1538" s="1" t="s">
        <v>416</v>
      </c>
      <c r="E1538" s="6">
        <v>8.77</v>
      </c>
      <c r="F1538" s="1" t="s">
        <v>53</v>
      </c>
      <c r="G1538" s="6">
        <f ca="1">IFERROR(__xludf.DUMMYFUNCTION("iferror(GOOGLEFINANCE(TRIM(F1538)&amp;"":"" &amp; TRIM(B1538), ""price""),0
)"),0)</f>
        <v>0</v>
      </c>
      <c r="H1538" s="6">
        <v>14.25</v>
      </c>
      <c r="I1538" s="6">
        <f t="shared" ca="1" si="0"/>
        <v>14.25</v>
      </c>
      <c r="J1538" s="6">
        <f ca="1">IFERROR(__xludf.DUMMYFUNCTION("IFERROR(GOOGLEFINANCE(B1538, ""volume""), 0)"),0)</f>
        <v>0</v>
      </c>
      <c r="K1538" s="6">
        <v>7.0000000000000007E-2</v>
      </c>
      <c r="L1538" s="6">
        <f ca="1">IFERROR(__xludf.DUMMYFUNCTION("IFERROR(GOOGLEFINANCE(B1538,""changepct""),K1538)"),0.07)</f>
        <v>7.0000000000000007E-2</v>
      </c>
      <c r="M1538" s="6">
        <f ca="1">IFERROR(__xludf.DUMMYFUNCTION("IFERROR(GOOGLEFINANCE(B1538,""change""),0)"),0)</f>
        <v>0</v>
      </c>
      <c r="N1538" s="6">
        <v>1</v>
      </c>
      <c r="O1538" s="7">
        <v>45536</v>
      </c>
      <c r="P1538" s="6">
        <v>5.08</v>
      </c>
      <c r="Q1538" s="6">
        <v>13.85</v>
      </c>
      <c r="R1538" s="7">
        <v>45536</v>
      </c>
      <c r="S1538" s="6">
        <v>5.59</v>
      </c>
      <c r="T1538" s="6">
        <v>-0.5</v>
      </c>
      <c r="U1538" s="7">
        <v>45536</v>
      </c>
      <c r="V1538" s="6">
        <v>0</v>
      </c>
      <c r="W1538" s="6">
        <f ca="1">IFERROR(__xludf.DUMMYFUNCTION("IFERROR(GOOGLEFINANCE(B1538,""pe""),V1538)"),0)</f>
        <v>0</v>
      </c>
      <c r="X1538" s="6">
        <v>0</v>
      </c>
      <c r="Y1538" s="6">
        <v>3.28</v>
      </c>
      <c r="Z1538" s="6">
        <v>1</v>
      </c>
      <c r="AA1538" s="17">
        <v>45352</v>
      </c>
      <c r="AB1538" s="18">
        <v>1.1399999999999999</v>
      </c>
      <c r="AC1538" s="6">
        <v>6.1</v>
      </c>
      <c r="AD1538" s="6">
        <v>7.35</v>
      </c>
      <c r="AE1538" s="1">
        <v>0</v>
      </c>
      <c r="AF1538" s="1">
        <f ca="1">IFERROR(__xludf.DUMMYFUNCTION("IFERROR(GOOGLEFINANCE(TRIM(F1538)&amp;"":"" &amp; TRIM(B1538),""high52""),AE1538)"),0)</f>
        <v>0</v>
      </c>
      <c r="AG1538" s="1">
        <v>0</v>
      </c>
      <c r="AH1538" s="1">
        <f ca="1">IFERROR(__xludf.DUMMYFUNCTION("IFERROR(GOOGLEFINANCE(TRIM(F1538)&amp;"":"" &amp; TRIM(B1538),""low52""),AE1538)"),0)</f>
        <v>0</v>
      </c>
      <c r="AI1538" s="1">
        <f ca="1">IFERROR(__xludf.DUMMYFUNCTION("IFERROR(GOOGLEFINANCE(B1538,""eps""),0)"),0)</f>
        <v>0</v>
      </c>
      <c r="AJ1538" s="1"/>
      <c r="AK1538" s="6">
        <v>38.19</v>
      </c>
      <c r="AL1538" s="9">
        <f t="shared" si="199"/>
        <v>1</v>
      </c>
    </row>
    <row r="1539" spans="1:38" ht="15" x14ac:dyDescent="0.25">
      <c r="A1539" s="1" t="s">
        <v>4635</v>
      </c>
      <c r="B1539" s="1" t="s">
        <v>4636</v>
      </c>
      <c r="C1539" s="1" t="s">
        <v>483</v>
      </c>
      <c r="D1539" s="1" t="s">
        <v>483</v>
      </c>
      <c r="E1539" s="6">
        <v>61.5</v>
      </c>
      <c r="F1539" s="1" t="s">
        <v>40</v>
      </c>
      <c r="G1539" s="6">
        <f ca="1">IFERROR(__xludf.DUMMYFUNCTION("iferror(GOOGLEFINANCE(TRIM(F1539)&amp;"":"" &amp; TRIM(B1539), ""price""),0
)"),0)</f>
        <v>0</v>
      </c>
      <c r="H1539" s="6">
        <v>123.5</v>
      </c>
      <c r="I1539" s="6">
        <f t="shared" ca="1" si="0"/>
        <v>123.5</v>
      </c>
      <c r="J1539" s="6">
        <f ca="1">IFERROR(__xludf.DUMMYFUNCTION("IFERROR(GOOGLEFINANCE(B1539, ""volume""), 0)"),0)</f>
        <v>0</v>
      </c>
      <c r="K1539" s="6">
        <v>0.41</v>
      </c>
      <c r="L1539" s="6">
        <f ca="1">IFERROR(__xludf.DUMMYFUNCTION("IFERROR(GOOGLEFINANCE(B1539,""changepct""),K1539)"),0.41)</f>
        <v>0.41</v>
      </c>
      <c r="M1539" s="6">
        <f ca="1">IFERROR(__xludf.DUMMYFUNCTION("IFERROR(GOOGLEFINANCE(B1539,""change""),0)"),0)</f>
        <v>0</v>
      </c>
      <c r="N1539" s="6">
        <v>1</v>
      </c>
      <c r="O1539" s="14"/>
      <c r="P1539" s="9"/>
      <c r="Q1539" s="6">
        <v>61.5</v>
      </c>
      <c r="R1539" s="14"/>
      <c r="S1539" s="9"/>
      <c r="T1539" s="9"/>
      <c r="U1539" s="6">
        <v>0</v>
      </c>
      <c r="V1539" s="9"/>
      <c r="W1539" s="6" t="str">
        <f ca="1">IFERROR(__xludf.DUMMYFUNCTION("IFERROR(GOOGLEFINANCE(B1539,""pe""),V1539)"),"")</f>
        <v/>
      </c>
      <c r="X1539" s="9"/>
      <c r="Y1539" s="6">
        <v>12.3</v>
      </c>
      <c r="Z1539" s="6">
        <v>1</v>
      </c>
      <c r="AA1539" s="3">
        <v>0</v>
      </c>
      <c r="AB1539" s="11"/>
      <c r="AC1539" s="9"/>
      <c r="AD1539" s="9"/>
      <c r="AE1539" s="1">
        <v>0</v>
      </c>
      <c r="AF1539" s="1">
        <f ca="1">IFERROR(__xludf.DUMMYFUNCTION("IFERROR(GOOGLEFINANCE(TRIM(F1539)&amp;"":"" &amp; TRIM(B1539),""high52""),AE1539)"),0)</f>
        <v>0</v>
      </c>
      <c r="AG1539" s="1">
        <v>0</v>
      </c>
      <c r="AH1539" s="1">
        <f ca="1">IFERROR(__xludf.DUMMYFUNCTION("IFERROR(GOOGLEFINANCE(TRIM(F1539)&amp;"":"" &amp; TRIM(B1539),""low52""),AE1539)"),0)</f>
        <v>0</v>
      </c>
      <c r="AI1539" s="1">
        <f ca="1">IFERROR(__xludf.DUMMYFUNCTION("IFERROR(GOOGLEFINANCE(B1539,""eps""),0)"),0)</f>
        <v>0</v>
      </c>
      <c r="AJ1539" s="1"/>
      <c r="AK1539" s="1" t="s">
        <v>4637</v>
      </c>
      <c r="AL1539" s="9">
        <f t="shared" si="199"/>
        <v>0</v>
      </c>
    </row>
    <row r="1540" spans="1:38" ht="15" x14ac:dyDescent="0.25">
      <c r="A1540" s="1" t="s">
        <v>4638</v>
      </c>
      <c r="B1540" s="1" t="s">
        <v>4639</v>
      </c>
      <c r="C1540" s="1" t="s">
        <v>1229</v>
      </c>
      <c r="D1540" s="1" t="s">
        <v>1229</v>
      </c>
      <c r="E1540" s="6">
        <v>108.42</v>
      </c>
      <c r="F1540" s="1" t="s">
        <v>40</v>
      </c>
      <c r="G1540" s="6">
        <f ca="1">IFERROR(__xludf.DUMMYFUNCTION("iferror(GOOGLEFINANCE(TRIM(F1540)&amp;"":"" &amp; TRIM(B1540), ""price""),0
)"),0)</f>
        <v>0</v>
      </c>
      <c r="H1540" s="6">
        <v>80.099999999999994</v>
      </c>
      <c r="I1540" s="6">
        <f t="shared" ca="1" si="0"/>
        <v>80.099999999999994</v>
      </c>
      <c r="J1540" s="6">
        <f ca="1">IFERROR(__xludf.DUMMYFUNCTION("IFERROR(GOOGLEFINANCE(B1540, ""volume""), 0)"),0)</f>
        <v>0</v>
      </c>
      <c r="K1540" s="6">
        <v>3.62</v>
      </c>
      <c r="L1540" s="6">
        <f ca="1">IFERROR(__xludf.DUMMYFUNCTION("IFERROR(GOOGLEFINANCE(B1540,""changepct""),K1540)"),3.62)</f>
        <v>3.62</v>
      </c>
      <c r="M1540" s="6">
        <f ca="1">IFERROR(__xludf.DUMMYFUNCTION("IFERROR(GOOGLEFINANCE(B1540,""change""),0)"),0)</f>
        <v>0</v>
      </c>
      <c r="N1540" s="6">
        <v>1</v>
      </c>
      <c r="O1540" s="7">
        <v>45352</v>
      </c>
      <c r="P1540" s="6">
        <v>0.19</v>
      </c>
      <c r="Q1540" s="6">
        <v>106.81</v>
      </c>
      <c r="R1540" s="14"/>
      <c r="S1540" s="9"/>
      <c r="T1540" s="9"/>
      <c r="U1540" s="7">
        <v>45352</v>
      </c>
      <c r="V1540" s="6">
        <v>20.28</v>
      </c>
      <c r="W1540" s="6">
        <f ca="1">IFERROR(__xludf.DUMMYFUNCTION("IFERROR(GOOGLEFINANCE(B1540,""pe""),V1540)"),20.28)</f>
        <v>20.28</v>
      </c>
      <c r="X1540" s="12"/>
      <c r="Y1540" s="6">
        <v>3.06</v>
      </c>
      <c r="Z1540" s="6">
        <v>1</v>
      </c>
      <c r="AA1540" s="17">
        <v>45352</v>
      </c>
      <c r="AB1540" s="18">
        <v>0.02</v>
      </c>
      <c r="AC1540" s="6">
        <v>71.66</v>
      </c>
      <c r="AD1540" s="6">
        <v>97.85</v>
      </c>
      <c r="AE1540" s="1">
        <v>0</v>
      </c>
      <c r="AF1540" s="1">
        <f ca="1">IFERROR(__xludf.DUMMYFUNCTION("IFERROR(GOOGLEFINANCE(TRIM(F1540)&amp;"":"" &amp; TRIM(B1540),""high52""),AE1540)"),0)</f>
        <v>0</v>
      </c>
      <c r="AG1540" s="1">
        <v>0</v>
      </c>
      <c r="AH1540" s="1">
        <f ca="1">IFERROR(__xludf.DUMMYFUNCTION("IFERROR(GOOGLEFINANCE(TRIM(F1540)&amp;"":"" &amp; TRIM(B1540),""low52""),AE1540)"),0)</f>
        <v>0</v>
      </c>
      <c r="AI1540" s="1">
        <f ca="1">IFERROR(__xludf.DUMMYFUNCTION("IFERROR(GOOGLEFINANCE(B1540,""eps""),0)"),0)</f>
        <v>0</v>
      </c>
      <c r="AJ1540" s="1"/>
      <c r="AK1540" s="1" t="s">
        <v>4640</v>
      </c>
      <c r="AL1540" s="9">
        <f t="shared" si="199"/>
        <v>1</v>
      </c>
    </row>
    <row r="1541" spans="1:38" ht="15" x14ac:dyDescent="0.25">
      <c r="A1541" s="1" t="s">
        <v>4641</v>
      </c>
      <c r="B1541" s="1" t="s">
        <v>4642</v>
      </c>
      <c r="C1541" s="1" t="s">
        <v>1067</v>
      </c>
      <c r="D1541" s="1" t="s">
        <v>1067</v>
      </c>
      <c r="E1541" s="6">
        <v>47360.69</v>
      </c>
      <c r="F1541" s="1" t="s">
        <v>40</v>
      </c>
      <c r="G1541" s="6">
        <f ca="1">IFERROR(__xludf.DUMMYFUNCTION("iferror(GOOGLEFINANCE(TRIM(F1541)&amp;"":"" &amp; TRIM(B1541), ""price""),0
)"),81.43)</f>
        <v>81.430000000000007</v>
      </c>
      <c r="H1541" s="6">
        <v>64.42</v>
      </c>
      <c r="I1541" s="6">
        <f t="shared" ca="1" si="0"/>
        <v>81.430000000000007</v>
      </c>
      <c r="J1541" s="6">
        <f ca="1">IFERROR(__xludf.DUMMYFUNCTION("IFERROR(GOOGLEFINANCE(B1541, ""volume""), 0)"),35455846)</f>
        <v>35455846</v>
      </c>
      <c r="K1541" s="6">
        <v>-0.4</v>
      </c>
      <c r="L1541" s="6">
        <f ca="1">IFERROR(__xludf.DUMMYFUNCTION("IFERROR(GOOGLEFINANCE(B1541,""changepct""),K1541)"),-0.73)</f>
        <v>-0.73</v>
      </c>
      <c r="M1541" s="6">
        <f ca="1">IFERROR(__xludf.DUMMYFUNCTION("IFERROR(GOOGLEFINANCE(B1541,""change""),0)"),-0.6)</f>
        <v>-0.6</v>
      </c>
      <c r="N1541" s="6">
        <v>2</v>
      </c>
      <c r="O1541" s="7">
        <v>45536</v>
      </c>
      <c r="P1541" s="6">
        <v>33845.69</v>
      </c>
      <c r="Q1541" s="6">
        <v>2318.5700000000002</v>
      </c>
      <c r="R1541" s="7">
        <v>45536</v>
      </c>
      <c r="S1541" s="6">
        <v>20.43</v>
      </c>
      <c r="T1541" s="6">
        <v>0.36</v>
      </c>
      <c r="U1541" s="6">
        <v>1.29</v>
      </c>
      <c r="V1541" s="6">
        <v>2</v>
      </c>
      <c r="W1541" s="6">
        <f ca="1">IFERROR(__xludf.DUMMYFUNCTION("IFERROR(GOOGLEFINANCE(B1541,""pe""),V1541)"),41.85)</f>
        <v>41.85</v>
      </c>
      <c r="X1541" s="7">
        <v>45352</v>
      </c>
      <c r="Y1541" s="6">
        <v>10.14</v>
      </c>
      <c r="Z1541" s="6">
        <v>1</v>
      </c>
      <c r="AA1541" s="8">
        <v>45352</v>
      </c>
      <c r="AB1541" s="4">
        <v>0.6</v>
      </c>
      <c r="AC1541" s="6">
        <v>5.84</v>
      </c>
      <c r="AD1541" s="6">
        <v>15.58</v>
      </c>
      <c r="AE1541" s="1">
        <v>0</v>
      </c>
      <c r="AF1541" s="1">
        <f ca="1">IFERROR(__xludf.DUMMYFUNCTION("IFERROR(GOOGLEFINANCE(TRIM(F1541)&amp;"":"" &amp; TRIM(B1541),""high52""),AE1541)"),87)</f>
        <v>87</v>
      </c>
      <c r="AG1541" s="1">
        <v>0</v>
      </c>
      <c r="AH1541" s="1">
        <f ca="1">IFERROR(__xludf.DUMMYFUNCTION("IFERROR(GOOGLEFINANCE(TRIM(F1541)&amp;"":"" &amp; TRIM(B1541),""low52""),AE1541)"),52.46)</f>
        <v>52.46</v>
      </c>
      <c r="AI1541" s="1">
        <f ca="1">IFERROR(__xludf.DUMMYFUNCTION("IFERROR(GOOGLEFINANCE(B1541,""eps""),0)"),1.95)</f>
        <v>1.95</v>
      </c>
      <c r="AJ1541" s="1"/>
      <c r="AK1541" s="1" t="s">
        <v>4643</v>
      </c>
      <c r="AL1541" s="1" t="b">
        <f>ISNUMBER(AA1541)</f>
        <v>1</v>
      </c>
    </row>
    <row r="1542" spans="1:38" ht="15" x14ac:dyDescent="0.25">
      <c r="A1542" s="1" t="s">
        <v>4644</v>
      </c>
      <c r="B1542" s="1" t="s">
        <v>4645</v>
      </c>
      <c r="C1542" s="1" t="s">
        <v>416</v>
      </c>
      <c r="D1542" s="1" t="s">
        <v>416</v>
      </c>
      <c r="E1542" s="6">
        <v>6.23</v>
      </c>
      <c r="F1542" s="1" t="s">
        <v>53</v>
      </c>
      <c r="G1542" s="6">
        <f ca="1">IFERROR(__xludf.DUMMYFUNCTION("iferror(GOOGLEFINANCE(TRIM(F1542)&amp;"":"" &amp; TRIM(B1542), ""price""),0
)"),0)</f>
        <v>0</v>
      </c>
      <c r="H1542" s="6">
        <v>14.4</v>
      </c>
      <c r="I1542" s="6">
        <f t="shared" ca="1" si="0"/>
        <v>14.4</v>
      </c>
      <c r="J1542" s="6">
        <f ca="1">IFERROR(__xludf.DUMMYFUNCTION("IFERROR(GOOGLEFINANCE(B1542, ""volume""), 0)"),0)</f>
        <v>0</v>
      </c>
      <c r="K1542" s="6">
        <v>0</v>
      </c>
      <c r="L1542" s="6">
        <f ca="1">IFERROR(__xludf.DUMMYFUNCTION("IFERROR(GOOGLEFINANCE(B1542,""changepct""),K1542)"),0)</f>
        <v>0</v>
      </c>
      <c r="M1542" s="6">
        <f ca="1">IFERROR(__xludf.DUMMYFUNCTION("IFERROR(GOOGLEFINANCE(B1542,""change""),0)"),0)</f>
        <v>0</v>
      </c>
      <c r="N1542" s="6">
        <v>1</v>
      </c>
      <c r="O1542" s="7">
        <v>45536</v>
      </c>
      <c r="P1542" s="6">
        <v>0.63</v>
      </c>
      <c r="Q1542" s="6">
        <v>6.86</v>
      </c>
      <c r="R1542" s="7">
        <v>45536</v>
      </c>
      <c r="S1542" s="6">
        <v>0</v>
      </c>
      <c r="T1542" s="6">
        <v>-0.47</v>
      </c>
      <c r="U1542" s="7">
        <v>45536</v>
      </c>
      <c r="V1542" s="6">
        <v>0</v>
      </c>
      <c r="W1542" s="6">
        <f ca="1">IFERROR(__xludf.DUMMYFUNCTION("IFERROR(GOOGLEFINANCE(B1542,""pe""),V1542)"),0)</f>
        <v>0</v>
      </c>
      <c r="X1542" s="9"/>
      <c r="Y1542" s="6">
        <v>-3.95</v>
      </c>
      <c r="Z1542" s="6">
        <v>1</v>
      </c>
      <c r="AA1542" s="8">
        <v>45352</v>
      </c>
      <c r="AB1542" s="4">
        <v>9.57</v>
      </c>
      <c r="AC1542" s="6">
        <v>0</v>
      </c>
      <c r="AD1542" s="6">
        <v>-72.349999999999994</v>
      </c>
      <c r="AE1542" s="1">
        <v>0</v>
      </c>
      <c r="AF1542" s="1">
        <f ca="1">IFERROR(__xludf.DUMMYFUNCTION("IFERROR(GOOGLEFINANCE(TRIM(F1542)&amp;"":"" &amp; TRIM(B1542),""high52""),AE1542)"),0)</f>
        <v>0</v>
      </c>
      <c r="AG1542" s="1">
        <v>0</v>
      </c>
      <c r="AH1542" s="1">
        <f ca="1">IFERROR(__xludf.DUMMYFUNCTION("IFERROR(GOOGLEFINANCE(TRIM(F1542)&amp;"":"" &amp; TRIM(B1542),""low52""),AE1542)"),0)</f>
        <v>0</v>
      </c>
      <c r="AI1542" s="1">
        <f ca="1">IFERROR(__xludf.DUMMYFUNCTION("IFERROR(GOOGLEFINANCE(B1542,""eps""),0)"),0)</f>
        <v>0</v>
      </c>
      <c r="AJ1542" s="1"/>
      <c r="AK1542" s="1" t="s">
        <v>4646</v>
      </c>
      <c r="AL1542" s="9">
        <f t="shared" ref="AL1542:AL1563" si="200">IF(AA1542&lt;&gt;AB1542,1,0)</f>
        <v>1</v>
      </c>
    </row>
    <row r="1543" spans="1:38" ht="15" x14ac:dyDescent="0.25">
      <c r="A1543" s="1" t="s">
        <v>4647</v>
      </c>
      <c r="B1543" s="1" t="s">
        <v>4648</v>
      </c>
      <c r="C1543" s="1" t="s">
        <v>324</v>
      </c>
      <c r="D1543" s="1" t="s">
        <v>324</v>
      </c>
      <c r="E1543" s="6">
        <v>551.72</v>
      </c>
      <c r="F1543" s="1" t="s">
        <v>40</v>
      </c>
      <c r="G1543" s="6">
        <f ca="1">IFERROR(__xludf.DUMMYFUNCTION("iferror(GOOGLEFINANCE(TRIM(F1543)&amp;"":"" &amp; TRIM(B1543), ""price""),0
)"),1177.7)</f>
        <v>1177.7</v>
      </c>
      <c r="H1543" s="6">
        <v>588.29999999999995</v>
      </c>
      <c r="I1543" s="6">
        <f t="shared" ca="1" si="0"/>
        <v>1177.7</v>
      </c>
      <c r="J1543" s="6">
        <f ca="1">IFERROR(__xludf.DUMMYFUNCTION("IFERROR(GOOGLEFINANCE(B1543, ""volume""), 0)"),2114)</f>
        <v>2114</v>
      </c>
      <c r="K1543" s="6">
        <v>0.57999999999999996</v>
      </c>
      <c r="L1543" s="6">
        <f ca="1">IFERROR(__xludf.DUMMYFUNCTION("IFERROR(GOOGLEFINANCE(B1543,""changepct""),K1543)"),-4.99)</f>
        <v>-4.99</v>
      </c>
      <c r="M1543" s="6">
        <f ca="1">IFERROR(__xludf.DUMMYFUNCTION("IFERROR(GOOGLEFINANCE(B1543,""change""),0)"),-61.9)</f>
        <v>-61.9</v>
      </c>
      <c r="N1543" s="6">
        <v>2</v>
      </c>
      <c r="O1543" s="7">
        <v>45536</v>
      </c>
      <c r="P1543" s="6">
        <v>17.260000000000002</v>
      </c>
      <c r="Q1543" s="6">
        <v>552.08000000000004</v>
      </c>
      <c r="R1543" s="7">
        <v>45536</v>
      </c>
      <c r="S1543" s="6">
        <v>1456.24</v>
      </c>
      <c r="T1543" s="6">
        <v>2.5499999999999998</v>
      </c>
      <c r="U1543" s="7">
        <v>45536</v>
      </c>
      <c r="V1543" s="6">
        <v>216.36</v>
      </c>
      <c r="W1543" s="6">
        <f ca="1">IFERROR(__xludf.DUMMYFUNCTION("IFERROR(GOOGLEFINANCE(B1543,""pe""),V1543)"),21.3)</f>
        <v>21.3</v>
      </c>
      <c r="X1543" s="12"/>
      <c r="Y1543" s="6">
        <v>0.97</v>
      </c>
      <c r="Z1543" s="6">
        <v>2</v>
      </c>
      <c r="AA1543" s="8">
        <v>45352</v>
      </c>
      <c r="AB1543" s="4">
        <v>0.02</v>
      </c>
      <c r="AC1543" s="6">
        <v>-1.47</v>
      </c>
      <c r="AD1543" s="6">
        <v>-2.37</v>
      </c>
      <c r="AE1543" s="1">
        <v>0</v>
      </c>
      <c r="AF1543" s="1">
        <f ca="1">IFERROR(__xludf.DUMMYFUNCTION("IFERROR(GOOGLEFINANCE(TRIM(F1543)&amp;"":"" &amp; TRIM(B1543),""high52""),AE1543)"),1790)</f>
        <v>1790</v>
      </c>
      <c r="AG1543" s="1">
        <v>0</v>
      </c>
      <c r="AH1543" s="1">
        <f ca="1">IFERROR(__xludf.DUMMYFUNCTION("IFERROR(GOOGLEFINANCE(TRIM(F1543)&amp;"":"" &amp; TRIM(B1543),""low52""),AE1543)"),440)</f>
        <v>440</v>
      </c>
      <c r="AI1543" s="1">
        <f ca="1">IFERROR(__xludf.DUMMYFUNCTION("IFERROR(GOOGLEFINANCE(B1543,""eps""),0)"),55.29)</f>
        <v>55.29</v>
      </c>
      <c r="AJ1543" s="1"/>
      <c r="AK1543" s="1" t="s">
        <v>4649</v>
      </c>
      <c r="AL1543" s="9">
        <f t="shared" si="200"/>
        <v>1</v>
      </c>
    </row>
    <row r="1544" spans="1:38" ht="15" x14ac:dyDescent="0.25">
      <c r="A1544" s="1" t="s">
        <v>4650</v>
      </c>
      <c r="B1544" s="1" t="s">
        <v>4651</v>
      </c>
      <c r="C1544" s="1" t="s">
        <v>416</v>
      </c>
      <c r="D1544" s="1" t="s">
        <v>416</v>
      </c>
      <c r="E1544" s="6">
        <v>847.62</v>
      </c>
      <c r="F1544" s="1" t="s">
        <v>53</v>
      </c>
      <c r="G1544" s="6">
        <f ca="1">IFERROR(__xludf.DUMMYFUNCTION("iferror(GOOGLEFINANCE(TRIM(F1544)&amp;"":"" &amp; TRIM(B1544), ""price""),0
)"),0)</f>
        <v>0</v>
      </c>
      <c r="H1544" s="6">
        <v>249.1</v>
      </c>
      <c r="I1544" s="6">
        <f t="shared" ca="1" si="0"/>
        <v>249.1</v>
      </c>
      <c r="J1544" s="6">
        <f ca="1">IFERROR(__xludf.DUMMYFUNCTION("IFERROR(GOOGLEFINANCE(B1544, ""volume""), 0)"),0)</f>
        <v>0</v>
      </c>
      <c r="K1544" s="6">
        <v>0.99</v>
      </c>
      <c r="L1544" s="6">
        <f ca="1">IFERROR(__xludf.DUMMYFUNCTION("IFERROR(GOOGLEFINANCE(B1544,""changepct""),K1544)"),0.99)</f>
        <v>0.99</v>
      </c>
      <c r="M1544" s="6">
        <f ca="1">IFERROR(__xludf.DUMMYFUNCTION("IFERROR(GOOGLEFINANCE(B1544,""change""),0)"),0)</f>
        <v>0</v>
      </c>
      <c r="N1544" s="6">
        <v>2</v>
      </c>
      <c r="O1544" s="7">
        <v>45536</v>
      </c>
      <c r="P1544" s="6">
        <v>30.08</v>
      </c>
      <c r="Q1544" s="6">
        <v>866.38</v>
      </c>
      <c r="R1544" s="7">
        <v>45536</v>
      </c>
      <c r="S1544" s="6">
        <v>150.65</v>
      </c>
      <c r="T1544" s="6">
        <v>15.13</v>
      </c>
      <c r="U1544" s="7">
        <v>45536</v>
      </c>
      <c r="V1544" s="6">
        <v>56.02</v>
      </c>
      <c r="W1544" s="6">
        <f ca="1">IFERROR(__xludf.DUMMYFUNCTION("IFERROR(GOOGLEFINANCE(B1544,""pe""),V1544)"),56.02)</f>
        <v>56.02</v>
      </c>
      <c r="X1544" s="6">
        <v>10.199999999999999</v>
      </c>
      <c r="Y1544" s="6">
        <v>9.9600000000000009</v>
      </c>
      <c r="Z1544" s="6">
        <v>2</v>
      </c>
      <c r="AA1544" s="8">
        <v>45352</v>
      </c>
      <c r="AB1544" s="4">
        <v>0.32</v>
      </c>
      <c r="AC1544" s="6">
        <v>20.93</v>
      </c>
      <c r="AD1544" s="6">
        <v>24.27</v>
      </c>
      <c r="AE1544" s="1">
        <v>0</v>
      </c>
      <c r="AF1544" s="1">
        <f ca="1">IFERROR(__xludf.DUMMYFUNCTION("IFERROR(GOOGLEFINANCE(TRIM(F1544)&amp;"":"" &amp; TRIM(B1544),""high52""),AE1544)"),0)</f>
        <v>0</v>
      </c>
      <c r="AG1544" s="1">
        <v>0</v>
      </c>
      <c r="AH1544" s="1">
        <f ca="1">IFERROR(__xludf.DUMMYFUNCTION("IFERROR(GOOGLEFINANCE(TRIM(F1544)&amp;"":"" &amp; TRIM(B1544),""low52""),AE1544)"),0)</f>
        <v>0</v>
      </c>
      <c r="AI1544" s="1">
        <f ca="1">IFERROR(__xludf.DUMMYFUNCTION("IFERROR(GOOGLEFINANCE(B1544,""eps""),0)"),0)</f>
        <v>0</v>
      </c>
      <c r="AJ1544" s="1"/>
      <c r="AK1544" s="1" t="s">
        <v>4652</v>
      </c>
      <c r="AL1544" s="9">
        <f t="shared" si="200"/>
        <v>1</v>
      </c>
    </row>
    <row r="1545" spans="1:38" ht="15" x14ac:dyDescent="0.25">
      <c r="A1545" s="1" t="s">
        <v>4653</v>
      </c>
      <c r="B1545" s="1" t="s">
        <v>4654</v>
      </c>
      <c r="C1545" s="1" t="s">
        <v>416</v>
      </c>
      <c r="D1545" s="1" t="s">
        <v>416</v>
      </c>
      <c r="E1545" s="6">
        <v>227.73</v>
      </c>
      <c r="F1545" s="1" t="s">
        <v>53</v>
      </c>
      <c r="G1545" s="6">
        <f ca="1">IFERROR(__xludf.DUMMYFUNCTION("iferror(GOOGLEFINANCE(TRIM(F1545)&amp;"":"" &amp; TRIM(B1545), ""price""),0
)"),0)</f>
        <v>0</v>
      </c>
      <c r="H1545" s="6">
        <v>973.5</v>
      </c>
      <c r="I1545" s="6">
        <f t="shared" ca="1" si="0"/>
        <v>973.5</v>
      </c>
      <c r="J1545" s="6">
        <f ca="1">IFERROR(__xludf.DUMMYFUNCTION("IFERROR(GOOGLEFINANCE(B1545, ""volume""), 0)"),0)</f>
        <v>0</v>
      </c>
      <c r="K1545" s="6">
        <v>2.1800000000000002</v>
      </c>
      <c r="L1545" s="6">
        <f ca="1">IFERROR(__xludf.DUMMYFUNCTION("IFERROR(GOOGLEFINANCE(B1545,""changepct""),K1545)"),2.18)</f>
        <v>2.1800000000000002</v>
      </c>
      <c r="M1545" s="6">
        <f ca="1">IFERROR(__xludf.DUMMYFUNCTION("IFERROR(GOOGLEFINANCE(B1545,""change""),0)"),0)</f>
        <v>0</v>
      </c>
      <c r="N1545" s="6">
        <v>1</v>
      </c>
      <c r="O1545" s="7">
        <v>45536</v>
      </c>
      <c r="P1545" s="6">
        <v>41.44</v>
      </c>
      <c r="Q1545" s="6">
        <v>263.01</v>
      </c>
      <c r="R1545" s="15">
        <v>45536</v>
      </c>
      <c r="S1545" s="6">
        <v>277.99</v>
      </c>
      <c r="T1545" s="6">
        <v>11.21</v>
      </c>
      <c r="U1545" s="7">
        <v>45536</v>
      </c>
      <c r="V1545" s="6">
        <v>20.32</v>
      </c>
      <c r="W1545" s="6">
        <f ca="1">IFERROR(__xludf.DUMMYFUNCTION("IFERROR(GOOGLEFINANCE(B1545,""pe""),V1545)"),20.32)</f>
        <v>20.32</v>
      </c>
      <c r="X1545" s="6">
        <v>0.49</v>
      </c>
      <c r="Y1545" s="6">
        <v>1.88</v>
      </c>
      <c r="Z1545" s="6">
        <v>1</v>
      </c>
      <c r="AA1545" s="8">
        <v>45352</v>
      </c>
      <c r="AB1545" s="4">
        <v>0.26</v>
      </c>
      <c r="AC1545" s="6">
        <v>17.98</v>
      </c>
      <c r="AD1545" s="6">
        <v>26.42</v>
      </c>
      <c r="AE1545" s="1">
        <v>0</v>
      </c>
      <c r="AF1545" s="1">
        <f ca="1">IFERROR(__xludf.DUMMYFUNCTION("IFERROR(GOOGLEFINANCE(TRIM(F1545)&amp;"":"" &amp; TRIM(B1545),""high52""),AE1545)"),0)</f>
        <v>0</v>
      </c>
      <c r="AG1545" s="1">
        <v>0</v>
      </c>
      <c r="AH1545" s="1">
        <f ca="1">IFERROR(__xludf.DUMMYFUNCTION("IFERROR(GOOGLEFINANCE(TRIM(F1545)&amp;"":"" &amp; TRIM(B1545),""low52""),AE1545)"),0)</f>
        <v>0</v>
      </c>
      <c r="AI1545" s="1">
        <f ca="1">IFERROR(__xludf.DUMMYFUNCTION("IFERROR(GOOGLEFINANCE(B1545,""eps""),0)"),0)</f>
        <v>0</v>
      </c>
      <c r="AJ1545" s="1"/>
      <c r="AK1545" s="1" t="s">
        <v>4655</v>
      </c>
      <c r="AL1545" s="9">
        <f t="shared" si="200"/>
        <v>1</v>
      </c>
    </row>
    <row r="1546" spans="1:38" ht="15" x14ac:dyDescent="0.25">
      <c r="A1546" s="1" t="s">
        <v>4656</v>
      </c>
      <c r="B1546" s="1" t="s">
        <v>4657</v>
      </c>
      <c r="C1546" s="1" t="s">
        <v>1265</v>
      </c>
      <c r="D1546" s="1" t="s">
        <v>1265</v>
      </c>
      <c r="E1546" s="6">
        <v>7730.58</v>
      </c>
      <c r="F1546" s="1" t="s">
        <v>40</v>
      </c>
      <c r="G1546" s="6">
        <f ca="1">IFERROR(__xludf.DUMMYFUNCTION("iferror(GOOGLEFINANCE(TRIM(F1546)&amp;"":"" &amp; TRIM(B1546), ""price""),0
)"),1090)</f>
        <v>1090</v>
      </c>
      <c r="H1546" s="6">
        <v>1905.05</v>
      </c>
      <c r="I1546" s="6">
        <f t="shared" ca="1" si="0"/>
        <v>1090</v>
      </c>
      <c r="J1546" s="6">
        <f ca="1">IFERROR(__xludf.DUMMYFUNCTION("IFERROR(GOOGLEFINANCE(B1546, ""volume""), 0)"),72413)</f>
        <v>72413</v>
      </c>
      <c r="K1546" s="6">
        <v>-0.16</v>
      </c>
      <c r="L1546" s="6">
        <f ca="1">IFERROR(__xludf.DUMMYFUNCTION("IFERROR(GOOGLEFINANCE(B1546,""changepct""),K1546)"),-1.45)</f>
        <v>-1.45</v>
      </c>
      <c r="M1546" s="6">
        <f ca="1">IFERROR(__xludf.DUMMYFUNCTION("IFERROR(GOOGLEFINANCE(B1546,""change""),0)"),-16)</f>
        <v>-16</v>
      </c>
      <c r="N1546" s="6">
        <v>2</v>
      </c>
      <c r="O1546" s="7">
        <v>45536</v>
      </c>
      <c r="P1546" s="6">
        <v>65.239999999999995</v>
      </c>
      <c r="Q1546" s="6">
        <v>7687.89</v>
      </c>
      <c r="R1546" s="7">
        <v>45536</v>
      </c>
      <c r="S1546" s="6">
        <v>4739.5200000000004</v>
      </c>
      <c r="T1546" s="6">
        <v>118.06</v>
      </c>
      <c r="U1546" s="7">
        <v>45536</v>
      </c>
      <c r="V1546" s="6">
        <v>78.56</v>
      </c>
      <c r="W1546" s="6">
        <f ca="1">IFERROR(__xludf.DUMMYFUNCTION("IFERROR(GOOGLEFINANCE(B1546,""pe""),V1546)"),36.88)</f>
        <v>36.880000000000003</v>
      </c>
      <c r="X1546" s="6">
        <v>-27.09</v>
      </c>
      <c r="Y1546" s="6">
        <v>9.8000000000000007</v>
      </c>
      <c r="Z1546" s="6">
        <v>2</v>
      </c>
      <c r="AA1546" s="8">
        <v>45352</v>
      </c>
      <c r="AB1546" s="4">
        <v>0.1</v>
      </c>
      <c r="AC1546" s="6">
        <v>7.28</v>
      </c>
      <c r="AD1546" s="6">
        <v>12.5</v>
      </c>
      <c r="AE1546" s="1">
        <v>0</v>
      </c>
      <c r="AF1546" s="1">
        <f ca="1">IFERROR(__xludf.DUMMYFUNCTION("IFERROR(GOOGLEFINANCE(TRIM(F1546)&amp;"":"" &amp; TRIM(B1546),""high52""),AE1546)"),2019.8)</f>
        <v>2019.8</v>
      </c>
      <c r="AG1546" s="1">
        <v>0</v>
      </c>
      <c r="AH1546" s="1">
        <f ca="1">IFERROR(__xludf.DUMMYFUNCTION("IFERROR(GOOGLEFINANCE(TRIM(F1546)&amp;"":"" &amp; TRIM(B1546),""low52""),AE1546)"),1058.5)</f>
        <v>1058.5</v>
      </c>
      <c r="AI1546" s="1">
        <f ca="1">IFERROR(__xludf.DUMMYFUNCTION("IFERROR(GOOGLEFINANCE(B1546,""eps""),0)"),29.56)</f>
        <v>29.56</v>
      </c>
      <c r="AJ1546" s="1"/>
      <c r="AK1546" s="1" t="s">
        <v>4658</v>
      </c>
      <c r="AL1546" s="9">
        <f t="shared" si="200"/>
        <v>1</v>
      </c>
    </row>
    <row r="1547" spans="1:38" ht="15" x14ac:dyDescent="0.25">
      <c r="A1547" s="1" t="s">
        <v>4659</v>
      </c>
      <c r="B1547" s="1" t="s">
        <v>4660</v>
      </c>
      <c r="C1547" s="1" t="s">
        <v>4298</v>
      </c>
      <c r="D1547" s="1" t="s">
        <v>4298</v>
      </c>
      <c r="E1547" s="6">
        <v>16204.26</v>
      </c>
      <c r="F1547" s="1" t="s">
        <v>40</v>
      </c>
      <c r="G1547" s="6">
        <f ca="1">IFERROR(__xludf.DUMMYFUNCTION("iferror(GOOGLEFINANCE(TRIM(F1547)&amp;"":"" &amp; TRIM(B1547), ""price""),0
)"),56.1)</f>
        <v>56.1</v>
      </c>
      <c r="H1547" s="6">
        <v>62.43</v>
      </c>
      <c r="I1547" s="6">
        <f t="shared" ca="1" si="0"/>
        <v>56.1</v>
      </c>
      <c r="J1547" s="6">
        <f ca="1">IFERROR(__xludf.DUMMYFUNCTION("IFERROR(GOOGLEFINANCE(B1547, ""volume""), 0)"),18171506)</f>
        <v>18171506</v>
      </c>
      <c r="K1547" s="6">
        <v>0.66</v>
      </c>
      <c r="L1547" s="6">
        <f ca="1">IFERROR(__xludf.DUMMYFUNCTION("IFERROR(GOOGLEFINANCE(B1547,""changepct""),K1547)"),-2.32)</f>
        <v>-2.3199999999999998</v>
      </c>
      <c r="M1547" s="6">
        <f ca="1">IFERROR(__xludf.DUMMYFUNCTION("IFERROR(GOOGLEFINANCE(B1547,""change""),0)"),-1.33)</f>
        <v>-1.33</v>
      </c>
      <c r="N1547" s="6">
        <v>2</v>
      </c>
      <c r="O1547" s="7">
        <v>45536</v>
      </c>
      <c r="P1547" s="6">
        <v>293.56</v>
      </c>
      <c r="Q1547" s="7">
        <v>45536</v>
      </c>
      <c r="R1547" s="6">
        <v>128.96</v>
      </c>
      <c r="S1547" s="6">
        <v>7.5</v>
      </c>
      <c r="T1547" s="6">
        <v>2.6</v>
      </c>
      <c r="U1547" s="6">
        <v>2</v>
      </c>
      <c r="V1547" s="7">
        <v>45352</v>
      </c>
      <c r="W1547" s="6">
        <f ca="1">IFERROR(__xludf.DUMMYFUNCTION("IFERROR(GOOGLEFINANCE(B1547,""pe""),V1547)"),39.11)</f>
        <v>39.11</v>
      </c>
      <c r="X1547" s="6">
        <v>1.33</v>
      </c>
      <c r="Y1547" s="6">
        <v>6.51</v>
      </c>
      <c r="Z1547" s="6">
        <v>13.43</v>
      </c>
      <c r="AA1547" s="3" t="s">
        <v>4661</v>
      </c>
      <c r="AB1547" s="11"/>
      <c r="AC1547" s="9"/>
      <c r="AD1547" s="9"/>
      <c r="AE1547" s="1">
        <v>0</v>
      </c>
      <c r="AF1547" s="1">
        <f ca="1">IFERROR(__xludf.DUMMYFUNCTION("IFERROR(GOOGLEFINANCE(TRIM(F1547)&amp;"":"" &amp; TRIM(B1547),""high52""),AE1547)"),74.5)</f>
        <v>74.5</v>
      </c>
      <c r="AG1547" s="1">
        <v>0</v>
      </c>
      <c r="AH1547" s="1">
        <f ca="1">IFERROR(__xludf.DUMMYFUNCTION("IFERROR(GOOGLEFINANCE(TRIM(F1547)&amp;"":"" &amp; TRIM(B1547),""low52""),AE1547)"),36.2)</f>
        <v>36.200000000000003</v>
      </c>
      <c r="AI1547" s="1">
        <f ca="1">IFERROR(__xludf.DUMMYFUNCTION("IFERROR(GOOGLEFINANCE(B1547,""eps""),0)"),1.43)</f>
        <v>1.43</v>
      </c>
      <c r="AJ1547" s="1"/>
      <c r="AK1547" s="1" t="s">
        <v>4662</v>
      </c>
      <c r="AL1547" s="9">
        <f t="shared" si="200"/>
        <v>1</v>
      </c>
    </row>
    <row r="1548" spans="1:38" ht="15" x14ac:dyDescent="0.25">
      <c r="A1548" s="1" t="s">
        <v>4663</v>
      </c>
      <c r="B1548" s="1" t="s">
        <v>4664</v>
      </c>
      <c r="C1548" s="1" t="s">
        <v>416</v>
      </c>
      <c r="D1548" s="1" t="s">
        <v>416</v>
      </c>
      <c r="E1548" s="6">
        <v>142.34</v>
      </c>
      <c r="F1548" s="1" t="s">
        <v>53</v>
      </c>
      <c r="G1548" s="6">
        <f ca="1">IFERROR(__xludf.DUMMYFUNCTION("iferror(GOOGLEFINANCE(TRIM(F1548)&amp;"":"" &amp; TRIM(B1548), ""price""),0
)"),0)</f>
        <v>0</v>
      </c>
      <c r="H1548" s="6">
        <v>445</v>
      </c>
      <c r="I1548" s="6">
        <f t="shared" ca="1" si="0"/>
        <v>445</v>
      </c>
      <c r="J1548" s="6">
        <f ca="1">IFERROR(__xludf.DUMMYFUNCTION("IFERROR(GOOGLEFINANCE(B1548, ""volume""), 0)"),0)</f>
        <v>0</v>
      </c>
      <c r="K1548" s="6">
        <v>0.18</v>
      </c>
      <c r="L1548" s="6">
        <f ca="1">IFERROR(__xludf.DUMMYFUNCTION("IFERROR(GOOGLEFINANCE(B1548,""changepct""),K1548)"),0.18)</f>
        <v>0.18</v>
      </c>
      <c r="M1548" s="6">
        <f ca="1">IFERROR(__xludf.DUMMYFUNCTION("IFERROR(GOOGLEFINANCE(B1548,""change""),0)"),0)</f>
        <v>0</v>
      </c>
      <c r="N1548" s="6">
        <v>2</v>
      </c>
      <c r="O1548" s="7">
        <v>45536</v>
      </c>
      <c r="P1548" s="6">
        <v>21.99</v>
      </c>
      <c r="Q1548" s="6">
        <v>161.94</v>
      </c>
      <c r="R1548" s="7">
        <v>45536</v>
      </c>
      <c r="S1548" s="6">
        <v>169.58</v>
      </c>
      <c r="T1548" s="6">
        <v>9.9600000000000009</v>
      </c>
      <c r="U1548" s="7">
        <v>45536</v>
      </c>
      <c r="V1548" s="6">
        <v>14.67</v>
      </c>
      <c r="W1548" s="6">
        <f ca="1">IFERROR(__xludf.DUMMYFUNCTION("IFERROR(GOOGLEFINANCE(B1548,""pe""),V1548)"),14.67)</f>
        <v>14.67</v>
      </c>
      <c r="X1548" s="6">
        <v>2.29</v>
      </c>
      <c r="Y1548" s="6">
        <v>1.88</v>
      </c>
      <c r="Z1548" s="6">
        <v>2</v>
      </c>
      <c r="AA1548" s="8">
        <v>45352</v>
      </c>
      <c r="AB1548" s="4">
        <v>0.22</v>
      </c>
      <c r="AC1548" s="6">
        <v>14.15</v>
      </c>
      <c r="AD1548" s="6">
        <v>17.27</v>
      </c>
      <c r="AE1548" s="1">
        <v>0</v>
      </c>
      <c r="AF1548" s="1">
        <f ca="1">IFERROR(__xludf.DUMMYFUNCTION("IFERROR(GOOGLEFINANCE(TRIM(F1548)&amp;"":"" &amp; TRIM(B1548),""high52""),AE1548)"),0)</f>
        <v>0</v>
      </c>
      <c r="AG1548" s="1">
        <v>0</v>
      </c>
      <c r="AH1548" s="1">
        <f ca="1">IFERROR(__xludf.DUMMYFUNCTION("IFERROR(GOOGLEFINANCE(TRIM(F1548)&amp;"":"" &amp; TRIM(B1548),""low52""),AE1548)"),0)</f>
        <v>0</v>
      </c>
      <c r="AI1548" s="1">
        <f ca="1">IFERROR(__xludf.DUMMYFUNCTION("IFERROR(GOOGLEFINANCE(B1548,""eps""),0)"),0)</f>
        <v>0</v>
      </c>
      <c r="AJ1548" s="1"/>
      <c r="AK1548" s="9"/>
      <c r="AL1548" s="9">
        <f t="shared" si="200"/>
        <v>1</v>
      </c>
    </row>
    <row r="1549" spans="1:38" ht="15" x14ac:dyDescent="0.25">
      <c r="A1549" s="1" t="s">
        <v>4665</v>
      </c>
      <c r="B1549" s="1" t="s">
        <v>4666</v>
      </c>
      <c r="C1549" s="1" t="s">
        <v>416</v>
      </c>
      <c r="D1549" s="1" t="s">
        <v>416</v>
      </c>
      <c r="E1549" s="6">
        <v>37.15</v>
      </c>
      <c r="F1549" s="1" t="s">
        <v>53</v>
      </c>
      <c r="G1549" s="6">
        <f ca="1">IFERROR(__xludf.DUMMYFUNCTION("iferror(GOOGLEFINANCE(TRIM(F1549)&amp;"":"" &amp; TRIM(B1549), ""price""),0
)"),0)</f>
        <v>0</v>
      </c>
      <c r="H1549" s="6">
        <v>248.25</v>
      </c>
      <c r="I1549" s="6">
        <f t="shared" ca="1" si="0"/>
        <v>248.25</v>
      </c>
      <c r="J1549" s="6">
        <f ca="1">IFERROR(__xludf.DUMMYFUNCTION("IFERROR(GOOGLEFINANCE(B1549, ""volume""), 0)"),0)</f>
        <v>0</v>
      </c>
      <c r="K1549" s="6">
        <v>0</v>
      </c>
      <c r="L1549" s="6">
        <f ca="1">IFERROR(__xludf.DUMMYFUNCTION("IFERROR(GOOGLEFINANCE(B1549,""changepct""),K1549)"),0)</f>
        <v>0</v>
      </c>
      <c r="M1549" s="6">
        <f ca="1">IFERROR(__xludf.DUMMYFUNCTION("IFERROR(GOOGLEFINANCE(B1549,""change""),0)"),0)</f>
        <v>0</v>
      </c>
      <c r="N1549" s="6">
        <v>1</v>
      </c>
      <c r="O1549" s="7">
        <v>45536</v>
      </c>
      <c r="P1549" s="6">
        <v>8.0500000000000007</v>
      </c>
      <c r="Q1549" s="6">
        <v>44.69</v>
      </c>
      <c r="R1549" s="7">
        <v>45536</v>
      </c>
      <c r="S1549" s="6">
        <v>22.38</v>
      </c>
      <c r="T1549" s="6">
        <v>0.66</v>
      </c>
      <c r="U1549" s="7">
        <v>45536</v>
      </c>
      <c r="V1549" s="6">
        <v>56.11</v>
      </c>
      <c r="W1549" s="6">
        <f ca="1">IFERROR(__xludf.DUMMYFUNCTION("IFERROR(GOOGLEFINANCE(B1549,""pe""),V1549)"),56.11)</f>
        <v>56.11</v>
      </c>
      <c r="X1549" s="6">
        <v>-17.87</v>
      </c>
      <c r="Y1549" s="6">
        <v>5.07</v>
      </c>
      <c r="Z1549" s="6">
        <v>1</v>
      </c>
      <c r="AA1549" s="8">
        <v>45352</v>
      </c>
      <c r="AB1549" s="4">
        <v>0.59</v>
      </c>
      <c r="AC1549" s="6">
        <v>7.47</v>
      </c>
      <c r="AD1549" s="6">
        <v>10.66</v>
      </c>
      <c r="AE1549" s="1">
        <v>0</v>
      </c>
      <c r="AF1549" s="1">
        <f ca="1">IFERROR(__xludf.DUMMYFUNCTION("IFERROR(GOOGLEFINANCE(TRIM(F1549)&amp;"":"" &amp; TRIM(B1549),""high52""),AE1549)"),0)</f>
        <v>0</v>
      </c>
      <c r="AG1549" s="1">
        <v>0</v>
      </c>
      <c r="AH1549" s="1">
        <f ca="1">IFERROR(__xludf.DUMMYFUNCTION("IFERROR(GOOGLEFINANCE(TRIM(F1549)&amp;"":"" &amp; TRIM(B1549),""low52""),AE1549)"),0)</f>
        <v>0</v>
      </c>
      <c r="AI1549" s="1">
        <f ca="1">IFERROR(__xludf.DUMMYFUNCTION("IFERROR(GOOGLEFINANCE(B1549,""eps""),0)"),0)</f>
        <v>0</v>
      </c>
      <c r="AJ1549" s="1"/>
      <c r="AK1549" s="1" t="s">
        <v>4667</v>
      </c>
      <c r="AL1549" s="9">
        <f t="shared" si="200"/>
        <v>1</v>
      </c>
    </row>
    <row r="1550" spans="1:38" ht="15" x14ac:dyDescent="0.25">
      <c r="A1550" s="1" t="s">
        <v>4668</v>
      </c>
      <c r="B1550" s="1" t="s">
        <v>4669</v>
      </c>
      <c r="C1550" s="1" t="s">
        <v>416</v>
      </c>
      <c r="D1550" s="1" t="s">
        <v>416</v>
      </c>
      <c r="E1550" s="6">
        <v>278.51</v>
      </c>
      <c r="F1550" s="1" t="s">
        <v>53</v>
      </c>
      <c r="G1550" s="6">
        <f ca="1">IFERROR(__xludf.DUMMYFUNCTION("iferror(GOOGLEFINANCE(TRIM(F1550)&amp;"":"" &amp; TRIM(B1550), ""price""),0
)"),0)</f>
        <v>0</v>
      </c>
      <c r="H1550" s="6">
        <v>621.9</v>
      </c>
      <c r="I1550" s="6">
        <f t="shared" ca="1" si="0"/>
        <v>621.9</v>
      </c>
      <c r="J1550" s="6">
        <f ca="1">IFERROR(__xludf.DUMMYFUNCTION("IFERROR(GOOGLEFINANCE(B1550, ""volume""), 0)"),0)</f>
        <v>0</v>
      </c>
      <c r="K1550" s="6">
        <v>1.2</v>
      </c>
      <c r="L1550" s="6">
        <f ca="1">IFERROR(__xludf.DUMMYFUNCTION("IFERROR(GOOGLEFINANCE(B1550,""changepct""),K1550)"),1.2)</f>
        <v>1.2</v>
      </c>
      <c r="M1550" s="6">
        <f ca="1">IFERROR(__xludf.DUMMYFUNCTION("IFERROR(GOOGLEFINANCE(B1550,""change""),0)"),0)</f>
        <v>0</v>
      </c>
      <c r="N1550" s="6">
        <v>1</v>
      </c>
      <c r="O1550" s="7">
        <v>45536</v>
      </c>
      <c r="P1550" s="6">
        <v>0.09</v>
      </c>
      <c r="Q1550" s="6">
        <v>204.47</v>
      </c>
      <c r="R1550" s="7">
        <v>45536</v>
      </c>
      <c r="S1550" s="6">
        <v>55.43</v>
      </c>
      <c r="T1550" s="6">
        <v>15.8</v>
      </c>
      <c r="U1550" s="7">
        <v>45536</v>
      </c>
      <c r="V1550" s="6">
        <v>17.63</v>
      </c>
      <c r="W1550" s="6">
        <f ca="1">IFERROR(__xludf.DUMMYFUNCTION("IFERROR(GOOGLEFINANCE(B1550,""pe""),V1550)"),17.63)</f>
        <v>17.63</v>
      </c>
      <c r="X1550" s="9"/>
      <c r="Y1550" s="6">
        <v>3.3</v>
      </c>
      <c r="Z1550" s="6">
        <v>1</v>
      </c>
      <c r="AA1550" s="8">
        <v>45352</v>
      </c>
      <c r="AB1550" s="4">
        <v>0</v>
      </c>
      <c r="AC1550" s="6">
        <v>22.93</v>
      </c>
      <c r="AD1550" s="6">
        <v>30.82</v>
      </c>
      <c r="AE1550" s="1">
        <v>0</v>
      </c>
      <c r="AF1550" s="1">
        <f ca="1">IFERROR(__xludf.DUMMYFUNCTION("IFERROR(GOOGLEFINANCE(TRIM(F1550)&amp;"":"" &amp; TRIM(B1550),""high52""),AE1550)"),0)</f>
        <v>0</v>
      </c>
      <c r="AG1550" s="1">
        <v>0</v>
      </c>
      <c r="AH1550" s="1">
        <f ca="1">IFERROR(__xludf.DUMMYFUNCTION("IFERROR(GOOGLEFINANCE(TRIM(F1550)&amp;"":"" &amp; TRIM(B1550),""low52""),AE1550)"),0)</f>
        <v>0</v>
      </c>
      <c r="AI1550" s="1">
        <f ca="1">IFERROR(__xludf.DUMMYFUNCTION("IFERROR(GOOGLEFINANCE(B1550,""eps""),0)"),0)</f>
        <v>0</v>
      </c>
      <c r="AJ1550" s="1"/>
      <c r="AK1550" s="1" t="s">
        <v>4670</v>
      </c>
      <c r="AL1550" s="9">
        <f t="shared" si="200"/>
        <v>1</v>
      </c>
    </row>
    <row r="1551" spans="1:38" ht="15" x14ac:dyDescent="0.25">
      <c r="A1551" s="1" t="s">
        <v>4671</v>
      </c>
      <c r="B1551" s="1" t="s">
        <v>4672</v>
      </c>
      <c r="C1551" s="1" t="s">
        <v>4673</v>
      </c>
      <c r="D1551" s="1" t="s">
        <v>4673</v>
      </c>
      <c r="E1551" s="6">
        <v>1648.98</v>
      </c>
      <c r="F1551" s="1" t="s">
        <v>40</v>
      </c>
      <c r="G1551" s="6">
        <f ca="1">IFERROR(__xludf.DUMMYFUNCTION("iferror(GOOGLEFINANCE(TRIM(F1551)&amp;"":"" &amp; TRIM(B1551), ""price""),0
)"),173.62)</f>
        <v>173.62</v>
      </c>
      <c r="H1551" s="6">
        <v>457.25</v>
      </c>
      <c r="I1551" s="6">
        <f t="shared" ca="1" si="0"/>
        <v>173.62</v>
      </c>
      <c r="J1551" s="6">
        <f ca="1">IFERROR(__xludf.DUMMYFUNCTION("IFERROR(GOOGLEFINANCE(B1551, ""volume""), 0)"),13313)</f>
        <v>13313</v>
      </c>
      <c r="K1551" s="6">
        <v>0.01</v>
      </c>
      <c r="L1551" s="6">
        <f ca="1">IFERROR(__xludf.DUMMYFUNCTION("IFERROR(GOOGLEFINANCE(B1551,""changepct""),K1551)"),-2.46)</f>
        <v>-2.46</v>
      </c>
      <c r="M1551" s="6">
        <f ca="1">IFERROR(__xludf.DUMMYFUNCTION("IFERROR(GOOGLEFINANCE(B1551,""change""),0)"),-4.38)</f>
        <v>-4.38</v>
      </c>
      <c r="N1551" s="6">
        <v>2</v>
      </c>
      <c r="O1551" s="7">
        <v>45536</v>
      </c>
      <c r="P1551" s="6">
        <v>178</v>
      </c>
      <c r="Q1551" s="6">
        <v>1747.61</v>
      </c>
      <c r="R1551" s="7">
        <v>45536</v>
      </c>
      <c r="S1551" s="6">
        <v>1585.78</v>
      </c>
      <c r="T1551" s="6">
        <v>50.79</v>
      </c>
      <c r="U1551" s="7">
        <v>45536</v>
      </c>
      <c r="V1551" s="6">
        <v>32.47</v>
      </c>
      <c r="W1551" s="6">
        <f ca="1">IFERROR(__xludf.DUMMYFUNCTION("IFERROR(GOOGLEFINANCE(B1551,""pe""),V1551)"),42.06)</f>
        <v>42.06</v>
      </c>
      <c r="X1551" s="6">
        <v>3.21</v>
      </c>
      <c r="Y1551" s="6">
        <v>1.49</v>
      </c>
      <c r="Z1551" s="6">
        <v>2</v>
      </c>
      <c r="AA1551" s="8">
        <v>45352</v>
      </c>
      <c r="AB1551" s="4">
        <v>0.15</v>
      </c>
      <c r="AC1551" s="6">
        <v>7.86</v>
      </c>
      <c r="AD1551" s="6">
        <v>9.1199999999999992</v>
      </c>
      <c r="AE1551" s="1">
        <v>0</v>
      </c>
      <c r="AF1551" s="1">
        <f ca="1">IFERROR(__xludf.DUMMYFUNCTION("IFERROR(GOOGLEFINANCE(TRIM(F1551)&amp;"":"" &amp; TRIM(B1551),""high52""),AE1551)"),338)</f>
        <v>338</v>
      </c>
      <c r="AG1551" s="1">
        <v>0</v>
      </c>
      <c r="AH1551" s="1">
        <f ca="1">IFERROR(__xludf.DUMMYFUNCTION("IFERROR(GOOGLEFINANCE(TRIM(F1551)&amp;"":"" &amp; TRIM(B1551),""low52""),AE1551)"),163.03)</f>
        <v>163.03</v>
      </c>
      <c r="AI1551" s="1">
        <f ca="1">IFERROR(__xludf.DUMMYFUNCTION("IFERROR(GOOGLEFINANCE(B1551,""eps""),0)"),4.13)</f>
        <v>4.13</v>
      </c>
      <c r="AJ1551" s="1"/>
      <c r="AK1551" s="1" t="s">
        <v>4674</v>
      </c>
      <c r="AL1551" s="9">
        <f t="shared" si="200"/>
        <v>1</v>
      </c>
    </row>
    <row r="1552" spans="1:38" ht="15" x14ac:dyDescent="0.25">
      <c r="A1552" s="1" t="s">
        <v>4675</v>
      </c>
      <c r="B1552" s="1" t="s">
        <v>4676</v>
      </c>
      <c r="C1552" s="1" t="s">
        <v>416</v>
      </c>
      <c r="D1552" s="1" t="s">
        <v>416</v>
      </c>
      <c r="E1552" s="6">
        <v>2092.67</v>
      </c>
      <c r="F1552" s="1" t="s">
        <v>53</v>
      </c>
      <c r="G1552" s="6">
        <f ca="1">IFERROR(__xludf.DUMMYFUNCTION("iferror(GOOGLEFINANCE(TRIM(F1552)&amp;"":"" &amp; TRIM(B1552), ""price""),0
)"),0)</f>
        <v>0</v>
      </c>
      <c r="H1552" s="6">
        <v>4244.95</v>
      </c>
      <c r="I1552" s="6">
        <f t="shared" ca="1" si="0"/>
        <v>4244.95</v>
      </c>
      <c r="J1552" s="6">
        <f ca="1">IFERROR(__xludf.DUMMYFUNCTION("IFERROR(GOOGLEFINANCE(B1552, ""volume""), 0)"),0)</f>
        <v>0</v>
      </c>
      <c r="K1552" s="6">
        <v>0.16</v>
      </c>
      <c r="L1552" s="6">
        <f ca="1">IFERROR(__xludf.DUMMYFUNCTION("IFERROR(GOOGLEFINANCE(B1552,""changepct""),K1552)"),0.16)</f>
        <v>0.16</v>
      </c>
      <c r="M1552" s="6">
        <f ca="1">IFERROR(__xludf.DUMMYFUNCTION("IFERROR(GOOGLEFINANCE(B1552,""change""),0)"),0)</f>
        <v>0</v>
      </c>
      <c r="N1552" s="6">
        <v>1</v>
      </c>
      <c r="O1552" s="7">
        <v>45444</v>
      </c>
      <c r="P1552" s="9"/>
      <c r="Q1552" s="6">
        <v>2015.18</v>
      </c>
      <c r="R1552" s="7">
        <v>45536</v>
      </c>
      <c r="S1552" s="6">
        <v>570.29</v>
      </c>
      <c r="T1552" s="6">
        <v>6.41</v>
      </c>
      <c r="U1552" s="7">
        <v>45536</v>
      </c>
      <c r="V1552" s="6">
        <v>326.37</v>
      </c>
      <c r="W1552" s="6">
        <f ca="1">IFERROR(__xludf.DUMMYFUNCTION("IFERROR(GOOGLEFINANCE(B1552,""pe""),V1552)"),326.37)</f>
        <v>326.37</v>
      </c>
      <c r="X1552" s="6">
        <v>23.48</v>
      </c>
      <c r="Y1552" s="6">
        <v>10.25</v>
      </c>
      <c r="Z1552" s="6">
        <v>1</v>
      </c>
      <c r="AA1552" s="8">
        <v>45261</v>
      </c>
      <c r="AB1552" s="4">
        <v>0</v>
      </c>
      <c r="AC1552" s="6">
        <v>10.72</v>
      </c>
      <c r="AD1552" s="6">
        <v>14.07</v>
      </c>
      <c r="AE1552" s="1">
        <v>0</v>
      </c>
      <c r="AF1552" s="1">
        <f ca="1">IFERROR(__xludf.DUMMYFUNCTION("IFERROR(GOOGLEFINANCE(TRIM(F1552)&amp;"":"" &amp; TRIM(B1552),""high52""),AE1552)"),0)</f>
        <v>0</v>
      </c>
      <c r="AG1552" s="1">
        <v>0</v>
      </c>
      <c r="AH1552" s="1">
        <f ca="1">IFERROR(__xludf.DUMMYFUNCTION("IFERROR(GOOGLEFINANCE(TRIM(F1552)&amp;"":"" &amp; TRIM(B1552),""low52""),AE1552)"),0)</f>
        <v>0</v>
      </c>
      <c r="AI1552" s="1">
        <f ca="1">IFERROR(__xludf.DUMMYFUNCTION("IFERROR(GOOGLEFINANCE(B1552,""eps""),0)"),0)</f>
        <v>0</v>
      </c>
      <c r="AJ1552" s="1"/>
      <c r="AK1552" s="1" t="s">
        <v>4677</v>
      </c>
      <c r="AL1552" s="9">
        <f t="shared" si="200"/>
        <v>1</v>
      </c>
    </row>
    <row r="1553" spans="1:38" ht="15" x14ac:dyDescent="0.25">
      <c r="A1553" s="1" t="s">
        <v>4678</v>
      </c>
      <c r="B1553" s="1" t="s">
        <v>4679</v>
      </c>
      <c r="C1553" s="1" t="s">
        <v>416</v>
      </c>
      <c r="D1553" s="1" t="s">
        <v>416</v>
      </c>
      <c r="E1553" s="6">
        <v>621.87</v>
      </c>
      <c r="F1553" s="1" t="s">
        <v>53</v>
      </c>
      <c r="G1553" s="6">
        <f ca="1">IFERROR(__xludf.DUMMYFUNCTION("iferror(GOOGLEFINANCE(TRIM(F1553)&amp;"":"" &amp; TRIM(B1553), ""price""),0
)"),0)</f>
        <v>0</v>
      </c>
      <c r="H1553" s="6">
        <v>632.15</v>
      </c>
      <c r="I1553" s="6">
        <f t="shared" ca="1" si="0"/>
        <v>632.15</v>
      </c>
      <c r="J1553" s="6">
        <f ca="1">IFERROR(__xludf.DUMMYFUNCTION("IFERROR(GOOGLEFINANCE(B1553, ""volume""), 0)"),0)</f>
        <v>0</v>
      </c>
      <c r="K1553" s="6">
        <v>1.44</v>
      </c>
      <c r="L1553" s="6">
        <f ca="1">IFERROR(__xludf.DUMMYFUNCTION("IFERROR(GOOGLEFINANCE(B1553,""changepct""),K1553)"),1.44)</f>
        <v>1.44</v>
      </c>
      <c r="M1553" s="6">
        <f ca="1">IFERROR(__xludf.DUMMYFUNCTION("IFERROR(GOOGLEFINANCE(B1553,""change""),0)"),0)</f>
        <v>0</v>
      </c>
      <c r="N1553" s="6">
        <v>2</v>
      </c>
      <c r="O1553" s="7">
        <v>45536</v>
      </c>
      <c r="P1553" s="6">
        <v>11.77</v>
      </c>
      <c r="Q1553" s="6">
        <v>626.91</v>
      </c>
      <c r="R1553" s="7">
        <v>45536</v>
      </c>
      <c r="S1553" s="6">
        <v>227.26</v>
      </c>
      <c r="T1553" s="6">
        <v>15.29</v>
      </c>
      <c r="U1553" s="7">
        <v>45536</v>
      </c>
      <c r="V1553" s="6">
        <v>40.67</v>
      </c>
      <c r="W1553" s="6">
        <f ca="1">IFERROR(__xludf.DUMMYFUNCTION("IFERROR(GOOGLEFINANCE(B1553,""pe""),V1553)"),40.67)</f>
        <v>40.67</v>
      </c>
      <c r="X1553" s="6">
        <v>1.64</v>
      </c>
      <c r="Y1553" s="6">
        <v>8.7799999999999994</v>
      </c>
      <c r="Z1553" s="6">
        <v>2</v>
      </c>
      <c r="AA1553" s="8">
        <v>45352</v>
      </c>
      <c r="AB1553" s="4">
        <v>0.28000000000000003</v>
      </c>
      <c r="AC1553" s="6">
        <v>20.83</v>
      </c>
      <c r="AD1553" s="6">
        <v>26.11</v>
      </c>
      <c r="AE1553" s="1">
        <v>0</v>
      </c>
      <c r="AF1553" s="1">
        <f ca="1">IFERROR(__xludf.DUMMYFUNCTION("IFERROR(GOOGLEFINANCE(TRIM(F1553)&amp;"":"" &amp; TRIM(B1553),""high52""),AE1553)"),0)</f>
        <v>0</v>
      </c>
      <c r="AG1553" s="1">
        <v>0</v>
      </c>
      <c r="AH1553" s="1">
        <f ca="1">IFERROR(__xludf.DUMMYFUNCTION("IFERROR(GOOGLEFINANCE(TRIM(F1553)&amp;"":"" &amp; TRIM(B1553),""low52""),AE1553)"),0)</f>
        <v>0</v>
      </c>
      <c r="AI1553" s="1">
        <f ca="1">IFERROR(__xludf.DUMMYFUNCTION("IFERROR(GOOGLEFINANCE(B1553,""eps""),0)"),0)</f>
        <v>0</v>
      </c>
      <c r="AJ1553" s="1"/>
      <c r="AK1553" s="1" t="s">
        <v>4680</v>
      </c>
      <c r="AL1553" s="9">
        <f t="shared" si="200"/>
        <v>1</v>
      </c>
    </row>
    <row r="1554" spans="1:38" ht="15" x14ac:dyDescent="0.25">
      <c r="A1554" s="1" t="s">
        <v>4681</v>
      </c>
      <c r="B1554" s="1" t="s">
        <v>4682</v>
      </c>
      <c r="C1554" s="1" t="s">
        <v>135</v>
      </c>
      <c r="D1554" s="1" t="s">
        <v>135</v>
      </c>
      <c r="E1554" s="6">
        <v>1790.26</v>
      </c>
      <c r="F1554" s="1" t="s">
        <v>40</v>
      </c>
      <c r="G1554" s="6">
        <f ca="1">IFERROR(__xludf.DUMMYFUNCTION("iferror(GOOGLEFINANCE(TRIM(F1554)&amp;"":"" &amp; TRIM(B1554), ""price""),0
)"),346.6)</f>
        <v>346.6</v>
      </c>
      <c r="H1554" s="6">
        <v>559.20000000000005</v>
      </c>
      <c r="I1554" s="6">
        <f t="shared" ca="1" si="0"/>
        <v>346.6</v>
      </c>
      <c r="J1554" s="6">
        <f ca="1">IFERROR(__xludf.DUMMYFUNCTION("IFERROR(GOOGLEFINANCE(B1554, ""volume""), 0)"),15622)</f>
        <v>15622</v>
      </c>
      <c r="K1554" s="6">
        <v>-3.69</v>
      </c>
      <c r="L1554" s="6">
        <f ca="1">IFERROR(__xludf.DUMMYFUNCTION("IFERROR(GOOGLEFINANCE(B1554,""changepct""),K1554)"),0.13)</f>
        <v>0.13</v>
      </c>
      <c r="M1554" s="6">
        <f ca="1">IFERROR(__xludf.DUMMYFUNCTION("IFERROR(GOOGLEFINANCE(B1554,""change""),0)"),0.45)</f>
        <v>0.45</v>
      </c>
      <c r="N1554" s="6">
        <v>2</v>
      </c>
      <c r="O1554" s="7">
        <v>45536</v>
      </c>
      <c r="P1554" s="6">
        <v>407.96</v>
      </c>
      <c r="Q1554" s="6">
        <v>2023.55</v>
      </c>
      <c r="R1554" s="7">
        <v>45536</v>
      </c>
      <c r="S1554" s="6">
        <v>2210.13</v>
      </c>
      <c r="T1554" s="6">
        <v>54.99</v>
      </c>
      <c r="U1554" s="7">
        <v>45536</v>
      </c>
      <c r="V1554" s="6">
        <v>32.549999999999997</v>
      </c>
      <c r="W1554" s="6">
        <f ca="1">IFERROR(__xludf.DUMMYFUNCTION("IFERROR(GOOGLEFINANCE(B1554,""pe""),V1554)"),32.83)</f>
        <v>32.83</v>
      </c>
      <c r="X1554" s="6">
        <v>-1.61</v>
      </c>
      <c r="Y1554" s="6">
        <v>1.38</v>
      </c>
      <c r="Z1554" s="6">
        <v>2</v>
      </c>
      <c r="AA1554" s="8">
        <v>45352</v>
      </c>
      <c r="AB1554" s="4">
        <v>0.28999999999999998</v>
      </c>
      <c r="AC1554" s="6">
        <v>3.18</v>
      </c>
      <c r="AD1554" s="6">
        <v>5.42</v>
      </c>
      <c r="AE1554" s="1">
        <v>0</v>
      </c>
      <c r="AF1554" s="1">
        <f ca="1">IFERROR(__xludf.DUMMYFUNCTION("IFERROR(GOOGLEFINANCE(TRIM(F1554)&amp;"":"" &amp; TRIM(B1554),""high52""),AE1554)"),519.8)</f>
        <v>519.79999999999995</v>
      </c>
      <c r="AG1554" s="1">
        <v>0</v>
      </c>
      <c r="AH1554" s="1">
        <f ca="1">IFERROR(__xludf.DUMMYFUNCTION("IFERROR(GOOGLEFINANCE(TRIM(F1554)&amp;"":"" &amp; TRIM(B1554),""low52""),AE1554)"),344)</f>
        <v>344</v>
      </c>
      <c r="AI1554" s="1">
        <f ca="1">IFERROR(__xludf.DUMMYFUNCTION("IFERROR(GOOGLEFINANCE(B1554,""eps""),0)"),10.56)</f>
        <v>10.56</v>
      </c>
      <c r="AJ1554" s="1"/>
      <c r="AK1554" s="1" t="s">
        <v>4683</v>
      </c>
      <c r="AL1554" s="9">
        <f t="shared" si="200"/>
        <v>1</v>
      </c>
    </row>
    <row r="1555" spans="1:38" ht="15" x14ac:dyDescent="0.25">
      <c r="A1555" s="1" t="s">
        <v>4684</v>
      </c>
      <c r="B1555" s="1" t="s">
        <v>4685</v>
      </c>
      <c r="C1555" s="1" t="s">
        <v>125</v>
      </c>
      <c r="D1555" s="1" t="s">
        <v>125</v>
      </c>
      <c r="E1555" s="6">
        <v>2342.69</v>
      </c>
      <c r="F1555" s="1" t="s">
        <v>40</v>
      </c>
      <c r="G1555" s="6">
        <f ca="1">IFERROR(__xludf.DUMMYFUNCTION("iferror(GOOGLEFINANCE(TRIM(F1555)&amp;"":"" &amp; TRIM(B1555), ""price""),0
)"),380)</f>
        <v>380</v>
      </c>
      <c r="H1555" s="6">
        <v>746.2</v>
      </c>
      <c r="I1555" s="6">
        <f t="shared" ca="1" si="0"/>
        <v>380</v>
      </c>
      <c r="J1555" s="6">
        <f ca="1">IFERROR(__xludf.DUMMYFUNCTION("IFERROR(GOOGLEFINANCE(B1555, ""volume""), 0)"),68815)</f>
        <v>68815</v>
      </c>
      <c r="K1555" s="6">
        <v>0.12</v>
      </c>
      <c r="L1555" s="6">
        <f ca="1">IFERROR(__xludf.DUMMYFUNCTION("IFERROR(GOOGLEFINANCE(B1555,""changepct""),K1555)"),-4.2)</f>
        <v>-4.2</v>
      </c>
      <c r="M1555" s="6">
        <f ca="1">IFERROR(__xludf.DUMMYFUNCTION("IFERROR(GOOGLEFINANCE(B1555,""change""),0)"),-16.65)</f>
        <v>-16.649999999999999</v>
      </c>
      <c r="N1555" s="6">
        <v>1</v>
      </c>
      <c r="O1555" s="7">
        <v>45536</v>
      </c>
      <c r="P1555" s="6">
        <v>124.91</v>
      </c>
      <c r="Q1555" s="6">
        <v>2462.2800000000002</v>
      </c>
      <c r="R1555" s="7">
        <v>45536</v>
      </c>
      <c r="S1555" s="6">
        <v>816.5</v>
      </c>
      <c r="T1555" s="6">
        <v>22.64</v>
      </c>
      <c r="U1555" s="7">
        <v>45536</v>
      </c>
      <c r="V1555" s="6">
        <v>103.46</v>
      </c>
      <c r="W1555" s="6">
        <f ca="1">IFERROR(__xludf.DUMMYFUNCTION("IFERROR(GOOGLEFINANCE(B1555,""pe""),V1555)"),78.34)</f>
        <v>78.34</v>
      </c>
      <c r="X1555" s="6">
        <v>-3.44</v>
      </c>
      <c r="Y1555" s="6">
        <v>5.09</v>
      </c>
      <c r="Z1555" s="6">
        <v>1</v>
      </c>
      <c r="AA1555" s="8">
        <v>45352</v>
      </c>
      <c r="AB1555" s="4">
        <v>0.25</v>
      </c>
      <c r="AC1555" s="6">
        <v>2.16</v>
      </c>
      <c r="AD1555" s="6">
        <v>4.9800000000000004</v>
      </c>
      <c r="AE1555" s="1">
        <v>0</v>
      </c>
      <c r="AF1555" s="1">
        <f ca="1">IFERROR(__xludf.DUMMYFUNCTION("IFERROR(GOOGLEFINANCE(TRIM(F1555)&amp;"":"" &amp; TRIM(B1555),""high52""),AE1555)"),689.75)</f>
        <v>689.75</v>
      </c>
      <c r="AG1555" s="1">
        <v>0</v>
      </c>
      <c r="AH1555" s="1">
        <f ca="1">IFERROR(__xludf.DUMMYFUNCTION("IFERROR(GOOGLEFINANCE(TRIM(F1555)&amp;"":"" &amp; TRIM(B1555),""low52""),AE1555)"),354.3)</f>
        <v>354.3</v>
      </c>
      <c r="AI1555" s="1">
        <f ca="1">IFERROR(__xludf.DUMMYFUNCTION("IFERROR(GOOGLEFINANCE(B1555,""eps""),0)"),4.85)</f>
        <v>4.8499999999999996</v>
      </c>
      <c r="AJ1555" s="1"/>
      <c r="AK1555" s="9"/>
      <c r="AL1555" s="9">
        <f t="shared" si="200"/>
        <v>1</v>
      </c>
    </row>
    <row r="1556" spans="1:38" ht="15" x14ac:dyDescent="0.25">
      <c r="A1556" s="1" t="s">
        <v>4686</v>
      </c>
      <c r="B1556" s="1" t="s">
        <v>4687</v>
      </c>
      <c r="C1556" s="1" t="s">
        <v>43</v>
      </c>
      <c r="D1556" s="1" t="s">
        <v>43</v>
      </c>
      <c r="E1556" s="6">
        <v>10681.2</v>
      </c>
      <c r="F1556" s="1" t="s">
        <v>40</v>
      </c>
      <c r="G1556" s="6">
        <f ca="1">IFERROR(__xludf.DUMMYFUNCTION("iferror(GOOGLEFINANCE(TRIM(F1556)&amp;"":"" &amp; TRIM(B1556), ""price""),0
)"),309.8)</f>
        <v>309.8</v>
      </c>
      <c r="H1556" s="6">
        <v>346.95</v>
      </c>
      <c r="I1556" s="6">
        <f t="shared" ca="1" si="0"/>
        <v>309.8</v>
      </c>
      <c r="J1556" s="6">
        <f ca="1">IFERROR(__xludf.DUMMYFUNCTION("IFERROR(GOOGLEFINANCE(B1556, ""volume""), 0)"),891649)</f>
        <v>891649</v>
      </c>
      <c r="K1556" s="6">
        <v>0.54</v>
      </c>
      <c r="L1556" s="6">
        <f ca="1">IFERROR(__xludf.DUMMYFUNCTION("IFERROR(GOOGLEFINANCE(B1556,""changepct""),K1556)"),1.91)</f>
        <v>1.91</v>
      </c>
      <c r="M1556" s="6">
        <f ca="1">IFERROR(__xludf.DUMMYFUNCTION("IFERROR(GOOGLEFINANCE(B1556,""change""),0)"),5.8)</f>
        <v>5.8</v>
      </c>
      <c r="N1556" s="6">
        <v>2</v>
      </c>
      <c r="O1556" s="7">
        <v>45536</v>
      </c>
      <c r="P1556" s="6">
        <v>718.7</v>
      </c>
      <c r="Q1556" s="7">
        <v>45536</v>
      </c>
      <c r="R1556" s="6">
        <v>14.9</v>
      </c>
      <c r="S1556" s="6">
        <v>0.61</v>
      </c>
      <c r="T1556" s="6">
        <v>4.8099999999999996</v>
      </c>
      <c r="U1556" s="6">
        <v>2</v>
      </c>
      <c r="V1556" s="7">
        <v>45352</v>
      </c>
      <c r="W1556" s="6">
        <f ca="1">IFERROR(__xludf.DUMMYFUNCTION("IFERROR(GOOGLEFINANCE(B1556,""pe""),V1556)"),17.29)</f>
        <v>17.29</v>
      </c>
      <c r="X1556" s="6">
        <v>0.65</v>
      </c>
      <c r="Y1556" s="6">
        <v>32.979999999999997</v>
      </c>
      <c r="Z1556" s="6">
        <v>34.880000000000003</v>
      </c>
      <c r="AA1556" s="3" t="s">
        <v>4688</v>
      </c>
      <c r="AB1556" s="11"/>
      <c r="AC1556" s="9"/>
      <c r="AD1556" s="9"/>
      <c r="AE1556" s="1">
        <v>0</v>
      </c>
      <c r="AF1556" s="1">
        <f ca="1">IFERROR(__xludf.DUMMYFUNCTION("IFERROR(GOOGLEFINANCE(TRIM(F1556)&amp;"":"" &amp; TRIM(B1556),""high52""),AE1556)"),411.3)</f>
        <v>411.3</v>
      </c>
      <c r="AG1556" s="1">
        <v>0</v>
      </c>
      <c r="AH1556" s="1">
        <f ca="1">IFERROR(__xludf.DUMMYFUNCTION("IFERROR(GOOGLEFINANCE(TRIM(F1556)&amp;"":"" &amp; TRIM(B1556),""low52""),AE1556)"),180)</f>
        <v>180</v>
      </c>
      <c r="AI1556" s="1">
        <f ca="1">IFERROR(__xludf.DUMMYFUNCTION("IFERROR(GOOGLEFINANCE(B1556,""eps""),0)"),17.92)</f>
        <v>17.920000000000002</v>
      </c>
      <c r="AJ1556" s="1"/>
      <c r="AK1556" s="1" t="s">
        <v>4689</v>
      </c>
      <c r="AL1556" s="9">
        <f t="shared" si="200"/>
        <v>1</v>
      </c>
    </row>
    <row r="1557" spans="1:38" ht="15" x14ac:dyDescent="0.25">
      <c r="A1557" s="1" t="s">
        <v>4690</v>
      </c>
      <c r="B1557" s="1" t="s">
        <v>4691</v>
      </c>
      <c r="C1557" s="1" t="s">
        <v>43</v>
      </c>
      <c r="D1557" s="1" t="s">
        <v>43</v>
      </c>
      <c r="E1557" s="6">
        <v>18299.310000000001</v>
      </c>
      <c r="F1557" s="1" t="s">
        <v>40</v>
      </c>
      <c r="G1557" s="6">
        <f ca="1">IFERROR(__xludf.DUMMYFUNCTION("iferror(GOOGLEFINANCE(TRIM(F1557)&amp;"":"" &amp; TRIM(B1557), ""price""),0
)"),499.4)</f>
        <v>499.4</v>
      </c>
      <c r="H1557" s="6">
        <v>434.35</v>
      </c>
      <c r="I1557" s="6">
        <f t="shared" ca="1" si="0"/>
        <v>499.4</v>
      </c>
      <c r="J1557" s="6">
        <f ca="1">IFERROR(__xludf.DUMMYFUNCTION("IFERROR(GOOGLEFINANCE(B1557, ""volume""), 0)"),3339983)</f>
        <v>3339983</v>
      </c>
      <c r="K1557" s="6">
        <v>0.66</v>
      </c>
      <c r="L1557" s="6">
        <f ca="1">IFERROR(__xludf.DUMMYFUNCTION("IFERROR(GOOGLEFINANCE(B1557,""changepct""),K1557)"),4.97)</f>
        <v>4.97</v>
      </c>
      <c r="M1557" s="6">
        <f ca="1">IFERROR(__xludf.DUMMYFUNCTION("IFERROR(GOOGLEFINANCE(B1557,""change""),0)"),23.65)</f>
        <v>23.65</v>
      </c>
      <c r="N1557" s="6">
        <v>2</v>
      </c>
      <c r="O1557" s="7">
        <v>45536</v>
      </c>
      <c r="P1557" s="6">
        <v>1220.9100000000001</v>
      </c>
      <c r="Q1557" s="7">
        <v>45536</v>
      </c>
      <c r="R1557" s="6">
        <v>18.41</v>
      </c>
      <c r="S1557" s="6">
        <v>0.94</v>
      </c>
      <c r="T1557" s="6">
        <v>1.51</v>
      </c>
      <c r="U1557" s="6">
        <v>2</v>
      </c>
      <c r="V1557" s="7">
        <v>45352</v>
      </c>
      <c r="W1557" s="6">
        <f ca="1">IFERROR(__xludf.DUMMYFUNCTION("IFERROR(GOOGLEFINANCE(B1557,""pe""),V1557)"),16.72)</f>
        <v>16.72</v>
      </c>
      <c r="X1557" s="6">
        <v>4.42</v>
      </c>
      <c r="Y1557" s="6">
        <v>20.190000000000001</v>
      </c>
      <c r="Z1557" s="6">
        <v>12.5</v>
      </c>
      <c r="AA1557" s="3" t="s">
        <v>4692</v>
      </c>
      <c r="AB1557" s="11"/>
      <c r="AC1557" s="9"/>
      <c r="AD1557" s="9"/>
      <c r="AE1557" s="1">
        <v>0</v>
      </c>
      <c r="AF1557" s="1">
        <f ca="1">IFERROR(__xludf.DUMMYFUNCTION("IFERROR(GOOGLEFINANCE(TRIM(F1557)&amp;"":"" &amp; TRIM(B1557),""high52""),AE1557)"),675)</f>
        <v>675</v>
      </c>
      <c r="AG1557" s="1">
        <v>0</v>
      </c>
      <c r="AH1557" s="1">
        <f ca="1">IFERROR(__xludf.DUMMYFUNCTION("IFERROR(GOOGLEFINANCE(TRIM(F1557)&amp;"":"" &amp; TRIM(B1557),""low52""),AE1557)"),279.8)</f>
        <v>279.8</v>
      </c>
      <c r="AI1557" s="1">
        <f ca="1">IFERROR(__xludf.DUMMYFUNCTION("IFERROR(GOOGLEFINANCE(B1557,""eps""),0)"),29.87)</f>
        <v>29.87</v>
      </c>
      <c r="AJ1557" s="1"/>
      <c r="AK1557" s="1" t="s">
        <v>4693</v>
      </c>
      <c r="AL1557" s="9">
        <f t="shared" si="200"/>
        <v>1</v>
      </c>
    </row>
    <row r="1558" spans="1:38" ht="15" x14ac:dyDescent="0.25">
      <c r="A1558" s="1" t="s">
        <v>4694</v>
      </c>
      <c r="B1558" s="1" t="s">
        <v>4695</v>
      </c>
      <c r="C1558" s="1" t="s">
        <v>525</v>
      </c>
      <c r="D1558" s="1" t="s">
        <v>525</v>
      </c>
      <c r="E1558" s="6">
        <v>1933.18</v>
      </c>
      <c r="F1558" s="1" t="s">
        <v>40</v>
      </c>
      <c r="G1558" s="6">
        <f ca="1">IFERROR(__xludf.DUMMYFUNCTION("iferror(GOOGLEFINANCE(TRIM(F1558)&amp;"":"" &amp; TRIM(B1558), ""price""),0
)"),146.5)</f>
        <v>146.5</v>
      </c>
      <c r="H1558" s="6">
        <v>252.45</v>
      </c>
      <c r="I1558" s="6">
        <f t="shared" ca="1" si="0"/>
        <v>146.5</v>
      </c>
      <c r="J1558" s="6">
        <f ca="1">IFERROR(__xludf.DUMMYFUNCTION("IFERROR(GOOGLEFINANCE(B1558, ""volume""), 0)"),416532)</f>
        <v>416532</v>
      </c>
      <c r="K1558" s="6">
        <v>1</v>
      </c>
      <c r="L1558" s="6">
        <f ca="1">IFERROR(__xludf.DUMMYFUNCTION("IFERROR(GOOGLEFINANCE(B1558,""changepct""),K1558)"),-4.3)</f>
        <v>-4.3</v>
      </c>
      <c r="M1558" s="6">
        <f ca="1">IFERROR(__xludf.DUMMYFUNCTION("IFERROR(GOOGLEFINANCE(B1558,""change""),0)"),-6.59)</f>
        <v>-6.59</v>
      </c>
      <c r="N1558" s="6">
        <v>2</v>
      </c>
      <c r="O1558" s="7">
        <v>45536</v>
      </c>
      <c r="P1558" s="6">
        <v>28.41</v>
      </c>
      <c r="Q1558" s="6">
        <v>1817.04</v>
      </c>
      <c r="R1558" s="7">
        <v>45536</v>
      </c>
      <c r="S1558" s="6">
        <v>463.75</v>
      </c>
      <c r="T1558" s="6">
        <v>53.77</v>
      </c>
      <c r="U1558" s="7">
        <v>45536</v>
      </c>
      <c r="V1558" s="6">
        <v>35.89</v>
      </c>
      <c r="W1558" s="6">
        <f ca="1">IFERROR(__xludf.DUMMYFUNCTION("IFERROR(GOOGLEFINANCE(B1558,""pe""),V1558)"),55.88)</f>
        <v>55.88</v>
      </c>
      <c r="X1558" s="12"/>
      <c r="Y1558" s="6">
        <v>3.51</v>
      </c>
      <c r="Z1558" s="6">
        <v>2</v>
      </c>
      <c r="AA1558" s="8">
        <v>45352</v>
      </c>
      <c r="AB1558" s="4">
        <v>0.08</v>
      </c>
      <c r="AC1558" s="6">
        <v>17.43</v>
      </c>
      <c r="AD1558" s="6">
        <v>22.51</v>
      </c>
      <c r="AE1558" s="1">
        <v>0</v>
      </c>
      <c r="AF1558" s="1">
        <f ca="1">IFERROR(__xludf.DUMMYFUNCTION("IFERROR(GOOGLEFINANCE(TRIM(F1558)&amp;"":"" &amp; TRIM(B1558),""high52""),AE1558)"),304)</f>
        <v>304</v>
      </c>
      <c r="AG1558" s="1">
        <v>0</v>
      </c>
      <c r="AH1558" s="1">
        <f ca="1">IFERROR(__xludf.DUMMYFUNCTION("IFERROR(GOOGLEFINANCE(TRIM(F1558)&amp;"":"" &amp; TRIM(B1558),""low52""),AE1558)"),142.53)</f>
        <v>142.53</v>
      </c>
      <c r="AI1558" s="1">
        <f ca="1">IFERROR(__xludf.DUMMYFUNCTION("IFERROR(GOOGLEFINANCE(B1558,""eps""),0)"),2.62)</f>
        <v>2.62</v>
      </c>
      <c r="AJ1558" s="1"/>
      <c r="AK1558" s="1" t="s">
        <v>4696</v>
      </c>
      <c r="AL1558" s="9">
        <f t="shared" si="200"/>
        <v>1</v>
      </c>
    </row>
    <row r="1559" spans="1:38" ht="15" x14ac:dyDescent="0.25">
      <c r="A1559" s="1" t="s">
        <v>4697</v>
      </c>
      <c r="B1559" s="1" t="s">
        <v>4698</v>
      </c>
      <c r="C1559" s="1" t="s">
        <v>416</v>
      </c>
      <c r="D1559" s="1" t="s">
        <v>416</v>
      </c>
      <c r="E1559" s="6">
        <v>338.57</v>
      </c>
      <c r="F1559" s="1" t="s">
        <v>53</v>
      </c>
      <c r="G1559" s="6">
        <f ca="1">IFERROR(__xludf.DUMMYFUNCTION("iferror(GOOGLEFINANCE(TRIM(F1559)&amp;"":"" &amp; TRIM(B1559), ""price""),0
)"),0)</f>
        <v>0</v>
      </c>
      <c r="H1559" s="6">
        <v>1021</v>
      </c>
      <c r="I1559" s="6">
        <f t="shared" ca="1" si="0"/>
        <v>1021</v>
      </c>
      <c r="J1559" s="6">
        <f ca="1">IFERROR(__xludf.DUMMYFUNCTION("IFERROR(GOOGLEFINANCE(B1559, ""volume""), 0)"),13434)</f>
        <v>13434</v>
      </c>
      <c r="K1559" s="6">
        <v>2.5299999999999998</v>
      </c>
      <c r="L1559" s="6">
        <f ca="1">IFERROR(__xludf.DUMMYFUNCTION("IFERROR(GOOGLEFINANCE(B1559,""changepct""),K1559)"),0)</f>
        <v>0</v>
      </c>
      <c r="M1559" s="6">
        <f ca="1">IFERROR(__xludf.DUMMYFUNCTION("IFERROR(GOOGLEFINANCE(B1559,""change""),0)"),0)</f>
        <v>0</v>
      </c>
      <c r="N1559" s="6">
        <v>1</v>
      </c>
      <c r="O1559" s="7">
        <v>45536</v>
      </c>
      <c r="P1559" s="6">
        <v>38.93</v>
      </c>
      <c r="Q1559" s="6">
        <v>374.79</v>
      </c>
      <c r="R1559" s="7">
        <v>45536</v>
      </c>
      <c r="S1559" s="6">
        <v>162.41</v>
      </c>
      <c r="T1559" s="6">
        <v>14.52</v>
      </c>
      <c r="U1559" s="7">
        <v>45536</v>
      </c>
      <c r="V1559" s="6">
        <v>23.32</v>
      </c>
      <c r="W1559" s="6">
        <f ca="1">IFERROR(__xludf.DUMMYFUNCTION("IFERROR(GOOGLEFINANCE(B1559,""pe""),V1559)"),25.98)</f>
        <v>25.98</v>
      </c>
      <c r="X1559" s="6">
        <v>0.85</v>
      </c>
      <c r="Y1559" s="6">
        <v>5.41</v>
      </c>
      <c r="Z1559" s="6">
        <v>1</v>
      </c>
      <c r="AA1559" s="8">
        <v>45352</v>
      </c>
      <c r="AB1559" s="4">
        <v>0.64</v>
      </c>
      <c r="AC1559" s="6">
        <v>24.31</v>
      </c>
      <c r="AD1559" s="6">
        <v>24.83</v>
      </c>
      <c r="AE1559" s="1">
        <v>0</v>
      </c>
      <c r="AF1559" s="1">
        <f ca="1">IFERROR(__xludf.DUMMYFUNCTION("IFERROR(GOOGLEFINANCE(TRIM(F1559)&amp;"":"" &amp; TRIM(B1559),""high52""),AE1559)"),0)</f>
        <v>0</v>
      </c>
      <c r="AG1559" s="1">
        <v>0</v>
      </c>
      <c r="AH1559" s="1">
        <f ca="1">IFERROR(__xludf.DUMMYFUNCTION("IFERROR(GOOGLEFINANCE(TRIM(F1559)&amp;"":"" &amp; TRIM(B1559),""low52""),AE1559)"),0)</f>
        <v>0</v>
      </c>
      <c r="AI1559" s="1">
        <f ca="1">IFERROR(__xludf.DUMMYFUNCTION("IFERROR(GOOGLEFINANCE(B1559,""eps""),0)"),0.39)</f>
        <v>0.39</v>
      </c>
      <c r="AJ1559" s="1"/>
      <c r="AK1559" s="1" t="s">
        <v>4699</v>
      </c>
      <c r="AL1559" s="9">
        <f t="shared" si="200"/>
        <v>1</v>
      </c>
    </row>
    <row r="1560" spans="1:38" ht="15" x14ac:dyDescent="0.25">
      <c r="A1560" s="1" t="s">
        <v>4700</v>
      </c>
      <c r="B1560" s="1" t="s">
        <v>4701</v>
      </c>
      <c r="C1560" s="1" t="s">
        <v>86</v>
      </c>
      <c r="D1560" s="1" t="s">
        <v>86</v>
      </c>
      <c r="E1560" s="6">
        <v>573</v>
      </c>
      <c r="F1560" s="1" t="s">
        <v>40</v>
      </c>
      <c r="G1560" s="6">
        <f ca="1">IFERROR(__xludf.DUMMYFUNCTION("iferror(GOOGLEFINANCE(TRIM(F1560)&amp;"":"" &amp; TRIM(B1560), ""price""),0
)"),22.4)</f>
        <v>22.4</v>
      </c>
      <c r="H1560" s="6">
        <v>43.01</v>
      </c>
      <c r="I1560" s="6">
        <f t="shared" ca="1" si="0"/>
        <v>22.4</v>
      </c>
      <c r="J1560" s="6">
        <f ca="1">IFERROR(__xludf.DUMMYFUNCTION("IFERROR(GOOGLEFINANCE(B1560, ""volume""), 0)"),7107)</f>
        <v>7107</v>
      </c>
      <c r="K1560" s="6">
        <v>-2.74</v>
      </c>
      <c r="L1560" s="6">
        <f ca="1">IFERROR(__xludf.DUMMYFUNCTION("IFERROR(GOOGLEFINANCE(B1560,""changepct""),K1560)"),-2.48)</f>
        <v>-2.48</v>
      </c>
      <c r="M1560" s="6">
        <f ca="1">IFERROR(__xludf.DUMMYFUNCTION("IFERROR(GOOGLEFINANCE(B1560,""change""),0)"),-0.57)</f>
        <v>-0.56999999999999995</v>
      </c>
      <c r="N1560" s="6">
        <v>2</v>
      </c>
      <c r="O1560" s="7">
        <v>45536</v>
      </c>
      <c r="P1560" s="6">
        <v>2667.99</v>
      </c>
      <c r="Q1560" s="6">
        <v>2917.49</v>
      </c>
      <c r="R1560" s="7">
        <v>45536</v>
      </c>
      <c r="S1560" s="6">
        <v>283.08</v>
      </c>
      <c r="T1560" s="6">
        <v>-104.36</v>
      </c>
      <c r="U1560" s="7">
        <v>45536</v>
      </c>
      <c r="V1560" s="6">
        <v>0</v>
      </c>
      <c r="W1560" s="6">
        <f ca="1">IFERROR(__xludf.DUMMYFUNCTION("IFERROR(GOOGLEFINANCE(B1560,""pe""),V1560)"),0)</f>
        <v>0</v>
      </c>
      <c r="X1560" s="6">
        <v>0</v>
      </c>
      <c r="Y1560" s="6">
        <v>-0.18</v>
      </c>
      <c r="Z1560" s="6">
        <v>2</v>
      </c>
      <c r="AA1560" s="8">
        <v>45352</v>
      </c>
      <c r="AB1560" s="4">
        <v>-0.84</v>
      </c>
      <c r="AC1560" s="6">
        <v>0</v>
      </c>
      <c r="AD1560" s="6">
        <v>0</v>
      </c>
      <c r="AE1560" s="1">
        <v>0</v>
      </c>
      <c r="AF1560" s="1">
        <f ca="1">IFERROR(__xludf.DUMMYFUNCTION("IFERROR(GOOGLEFINANCE(TRIM(F1560)&amp;"":"" &amp; TRIM(B1560),""high52""),AE1560)"),45.84)</f>
        <v>45.84</v>
      </c>
      <c r="AG1560" s="1">
        <v>0</v>
      </c>
      <c r="AH1560" s="1">
        <f ca="1">IFERROR(__xludf.DUMMYFUNCTION("IFERROR(GOOGLEFINANCE(TRIM(F1560)&amp;"":"" &amp; TRIM(B1560),""low52""),AE1560)"),21.2)</f>
        <v>21.2</v>
      </c>
      <c r="AI1560" s="1">
        <f ca="1">IFERROR(__xludf.DUMMYFUNCTION("IFERROR(GOOGLEFINANCE(B1560,""eps""),0)"),-0.13)</f>
        <v>-0.13</v>
      </c>
      <c r="AJ1560" s="1"/>
      <c r="AK1560" s="1" t="s">
        <v>4702</v>
      </c>
      <c r="AL1560" s="9">
        <f t="shared" si="200"/>
        <v>1</v>
      </c>
    </row>
    <row r="1561" spans="1:38" ht="15" x14ac:dyDescent="0.25">
      <c r="A1561" s="1" t="s">
        <v>4703</v>
      </c>
      <c r="B1561" s="1" t="s">
        <v>4704</v>
      </c>
      <c r="C1561" s="1" t="s">
        <v>416</v>
      </c>
      <c r="D1561" s="1" t="s">
        <v>416</v>
      </c>
      <c r="E1561" s="6">
        <v>289.44</v>
      </c>
      <c r="F1561" s="1" t="s">
        <v>53</v>
      </c>
      <c r="G1561" s="6">
        <f ca="1">IFERROR(__xludf.DUMMYFUNCTION("iferror(GOOGLEFINANCE(TRIM(F1561)&amp;"":"" &amp; TRIM(B1561), ""price""),0
)"),0)</f>
        <v>0</v>
      </c>
      <c r="H1561" s="6">
        <v>273</v>
      </c>
      <c r="I1561" s="6">
        <f t="shared" ca="1" si="0"/>
        <v>273</v>
      </c>
      <c r="J1561" s="6">
        <f ca="1">IFERROR(__xludf.DUMMYFUNCTION("IFERROR(GOOGLEFINANCE(B1561, ""volume""), 0)"),0)</f>
        <v>0</v>
      </c>
      <c r="K1561" s="6">
        <v>1.77</v>
      </c>
      <c r="L1561" s="6">
        <f ca="1">IFERROR(__xludf.DUMMYFUNCTION("IFERROR(GOOGLEFINANCE(B1561,""changepct""),K1561)"),0)</f>
        <v>0</v>
      </c>
      <c r="M1561" s="6">
        <f ca="1">IFERROR(__xludf.DUMMYFUNCTION("IFERROR(GOOGLEFINANCE(B1561,""change""),0)"),0)</f>
        <v>0</v>
      </c>
      <c r="N1561" s="6">
        <v>1</v>
      </c>
      <c r="O1561" s="7">
        <v>45536</v>
      </c>
      <c r="P1561" s="6">
        <v>2.99</v>
      </c>
      <c r="Q1561" s="6">
        <v>292.43</v>
      </c>
      <c r="R1561" s="7">
        <v>45536</v>
      </c>
      <c r="S1561" s="6">
        <v>68.38</v>
      </c>
      <c r="T1561" s="6">
        <v>9.44</v>
      </c>
      <c r="U1561" s="7">
        <v>45536</v>
      </c>
      <c r="V1561" s="6">
        <v>30.66</v>
      </c>
      <c r="W1561" s="6">
        <f ca="1">IFERROR(__xludf.DUMMYFUNCTION("IFERROR(GOOGLEFINANCE(B1561,""pe""),V1561)"),30.66)</f>
        <v>30.66</v>
      </c>
      <c r="X1561" s="6">
        <v>3.23</v>
      </c>
      <c r="Y1561" s="6">
        <v>8.4600000000000009</v>
      </c>
      <c r="Z1561" s="6">
        <v>1</v>
      </c>
      <c r="AA1561" s="8">
        <v>45352</v>
      </c>
      <c r="AB1561" s="4">
        <v>0.41</v>
      </c>
      <c r="AC1561" s="6">
        <v>27.2</v>
      </c>
      <c r="AD1561" s="6">
        <v>28.53</v>
      </c>
      <c r="AE1561" s="1">
        <v>0</v>
      </c>
      <c r="AF1561" s="1">
        <f ca="1">IFERROR(__xludf.DUMMYFUNCTION("IFERROR(GOOGLEFINANCE(TRIM(F1561)&amp;"":"" &amp; TRIM(B1561),""high52""),AE1561)"),0)</f>
        <v>0</v>
      </c>
      <c r="AG1561" s="1">
        <v>0</v>
      </c>
      <c r="AH1561" s="1">
        <f ca="1">IFERROR(__xludf.DUMMYFUNCTION("IFERROR(GOOGLEFINANCE(TRIM(F1561)&amp;"":"" &amp; TRIM(B1561),""low52""),AE1561)"),0)</f>
        <v>0</v>
      </c>
      <c r="AI1561" s="1">
        <f ca="1">IFERROR(__xludf.DUMMYFUNCTION("IFERROR(GOOGLEFINANCE(B1561,""eps""),0)"),-1.5)</f>
        <v>-1.5</v>
      </c>
      <c r="AJ1561" s="1"/>
      <c r="AK1561" s="1" t="s">
        <v>4705</v>
      </c>
      <c r="AL1561" s="9">
        <f t="shared" si="200"/>
        <v>1</v>
      </c>
    </row>
    <row r="1562" spans="1:38" ht="15" x14ac:dyDescent="0.25">
      <c r="A1562" s="1" t="s">
        <v>4706</v>
      </c>
      <c r="B1562" s="1" t="s">
        <v>4707</v>
      </c>
      <c r="C1562" s="1" t="s">
        <v>43</v>
      </c>
      <c r="D1562" s="1" t="s">
        <v>43</v>
      </c>
      <c r="E1562" s="6">
        <v>351.09</v>
      </c>
      <c r="F1562" s="1" t="s">
        <v>40</v>
      </c>
      <c r="G1562" s="6">
        <f ca="1">IFERROR(__xludf.DUMMYFUNCTION("iferror(GOOGLEFINANCE(TRIM(F1562)&amp;"":"" &amp; TRIM(B1562), ""price""),0
)"),7.58)</f>
        <v>7.58</v>
      </c>
      <c r="H1562" s="6">
        <v>11.16</v>
      </c>
      <c r="I1562" s="6">
        <f t="shared" ca="1" si="0"/>
        <v>7.58</v>
      </c>
      <c r="J1562" s="6">
        <f ca="1">IFERROR(__xludf.DUMMYFUNCTION("IFERROR(GOOGLEFINANCE(B1562, ""volume""), 0)"),228100)</f>
        <v>228100</v>
      </c>
      <c r="K1562" s="6">
        <v>-0.53</v>
      </c>
      <c r="L1562" s="6">
        <f ca="1">IFERROR(__xludf.DUMMYFUNCTION("IFERROR(GOOGLEFINANCE(B1562,""changepct""),K1562)"),-0.79)</f>
        <v>-0.79</v>
      </c>
      <c r="M1562" s="6">
        <f ca="1">IFERROR(__xludf.DUMMYFUNCTION("IFERROR(GOOGLEFINANCE(B1562,""change""),0)"),-0.06)</f>
        <v>-0.06</v>
      </c>
      <c r="N1562" s="6">
        <v>2</v>
      </c>
      <c r="O1562" s="7">
        <v>45536</v>
      </c>
      <c r="P1562" s="6">
        <v>4.9400000000000004</v>
      </c>
      <c r="Q1562" s="7">
        <v>45536</v>
      </c>
      <c r="R1562" s="6">
        <v>91.88</v>
      </c>
      <c r="S1562" s="6">
        <v>-4.46</v>
      </c>
      <c r="T1562" s="6">
        <v>1.95</v>
      </c>
      <c r="U1562" s="6">
        <v>2</v>
      </c>
      <c r="V1562" s="7">
        <v>45352</v>
      </c>
      <c r="W1562" s="6">
        <f ca="1">IFERROR(__xludf.DUMMYFUNCTION("IFERROR(GOOGLEFINANCE(B1562,""pe""),V1562)"),13.76)</f>
        <v>13.76</v>
      </c>
      <c r="X1562" s="6">
        <v>0</v>
      </c>
      <c r="Y1562" s="6">
        <v>5.75</v>
      </c>
      <c r="Z1562" s="6">
        <v>7.45</v>
      </c>
      <c r="AA1562" s="3" t="s">
        <v>4708</v>
      </c>
      <c r="AB1562" s="16"/>
      <c r="AC1562" s="12"/>
      <c r="AD1562" s="12"/>
      <c r="AE1562" s="1">
        <v>0</v>
      </c>
      <c r="AF1562" s="1">
        <f ca="1">IFERROR(__xludf.DUMMYFUNCTION("IFERROR(GOOGLEFINANCE(TRIM(F1562)&amp;"":"" &amp; TRIM(B1562),""high52""),AE1562)"),10.56)</f>
        <v>10.56</v>
      </c>
      <c r="AG1562" s="1">
        <v>0</v>
      </c>
      <c r="AH1562" s="1">
        <f ca="1">IFERROR(__xludf.DUMMYFUNCTION("IFERROR(GOOGLEFINANCE(TRIM(F1562)&amp;"":"" &amp; TRIM(B1562),""low52""),AE1562)"),7.05)</f>
        <v>7.05</v>
      </c>
      <c r="AI1562" s="1">
        <f ca="1">IFERROR(__xludf.DUMMYFUNCTION("IFERROR(GOOGLEFINANCE(B1562,""eps""),0)"),0.55)</f>
        <v>0.55000000000000004</v>
      </c>
      <c r="AJ1562" s="1"/>
      <c r="AK1562" s="1" t="s">
        <v>4709</v>
      </c>
      <c r="AL1562" s="9">
        <f t="shared" si="200"/>
        <v>1</v>
      </c>
    </row>
    <row r="1563" spans="1:38" ht="15" x14ac:dyDescent="0.25">
      <c r="A1563" s="1" t="s">
        <v>4710</v>
      </c>
      <c r="B1563" s="1" t="s">
        <v>4711</v>
      </c>
      <c r="C1563" s="1" t="s">
        <v>86</v>
      </c>
      <c r="D1563" s="1" t="s">
        <v>86</v>
      </c>
      <c r="E1563" s="6">
        <v>193.43</v>
      </c>
      <c r="F1563" s="1" t="s">
        <v>40</v>
      </c>
      <c r="G1563" s="6">
        <f ca="1">IFERROR(__xludf.DUMMYFUNCTION("iferror(GOOGLEFINANCE(TRIM(F1563)&amp;"":"" &amp; TRIM(B1563), ""price""),0
)"),2.61)</f>
        <v>2.61</v>
      </c>
      <c r="H1563" s="6">
        <v>5.52</v>
      </c>
      <c r="I1563" s="6">
        <f t="shared" ca="1" si="0"/>
        <v>2.61</v>
      </c>
      <c r="J1563" s="6">
        <f ca="1">IFERROR(__xludf.DUMMYFUNCTION("IFERROR(GOOGLEFINANCE(B1563, ""volume""), 0)"),39159)</f>
        <v>39159</v>
      </c>
      <c r="K1563" s="6">
        <v>-3.5</v>
      </c>
      <c r="L1563" s="6">
        <f ca="1">IFERROR(__xludf.DUMMYFUNCTION("IFERROR(GOOGLEFINANCE(B1563,""changepct""),K1563)"),-1.51)</f>
        <v>-1.51</v>
      </c>
      <c r="M1563" s="6">
        <f ca="1">IFERROR(__xludf.DUMMYFUNCTION("IFERROR(GOOGLEFINANCE(B1563,""change""),0)"),-0.04)</f>
        <v>-0.04</v>
      </c>
      <c r="N1563" s="6">
        <v>1</v>
      </c>
      <c r="O1563" s="7">
        <v>43891</v>
      </c>
      <c r="P1563" s="6">
        <v>15512.54</v>
      </c>
      <c r="Q1563" s="6">
        <v>15406.22</v>
      </c>
      <c r="R1563" s="7">
        <v>43891</v>
      </c>
      <c r="S1563" s="6">
        <v>99.51</v>
      </c>
      <c r="T1563" s="6">
        <v>-972.95</v>
      </c>
      <c r="U1563" s="7">
        <v>43891</v>
      </c>
      <c r="V1563" s="6">
        <v>0</v>
      </c>
      <c r="W1563" s="6">
        <f ca="1">IFERROR(__xludf.DUMMYFUNCTION("IFERROR(GOOGLEFINANCE(B1563,""pe""),V1563)"),0)</f>
        <v>0</v>
      </c>
      <c r="X1563" s="9"/>
      <c r="Y1563" s="9"/>
      <c r="Z1563" s="6">
        <v>1</v>
      </c>
      <c r="AA1563" s="8">
        <v>43891</v>
      </c>
      <c r="AB1563" s="4">
        <v>-1.04</v>
      </c>
      <c r="AC1563" s="6">
        <v>0</v>
      </c>
      <c r="AD1563" s="6">
        <v>-89.99</v>
      </c>
      <c r="AE1563" s="1">
        <v>0</v>
      </c>
      <c r="AF1563" s="1">
        <f ca="1">IFERROR(__xludf.DUMMYFUNCTION("IFERROR(GOOGLEFINANCE(TRIM(F1563)&amp;"":"" &amp; TRIM(B1563),""high52""),AE1563)"),4.75)</f>
        <v>4.75</v>
      </c>
      <c r="AG1563" s="1">
        <v>0</v>
      </c>
      <c r="AH1563" s="1">
        <f ca="1">IFERROR(__xludf.DUMMYFUNCTION("IFERROR(GOOGLEFINANCE(TRIM(F1563)&amp;"":"" &amp; TRIM(B1563),""low52""),AE1563)"),2.42)</f>
        <v>2.42</v>
      </c>
      <c r="AI1563" s="1">
        <f ca="1">IFERROR(__xludf.DUMMYFUNCTION("IFERROR(GOOGLEFINANCE(B1563,""eps""),0)"),0)</f>
        <v>0</v>
      </c>
      <c r="AJ1563" s="1"/>
      <c r="AK1563" s="9"/>
      <c r="AL1563" s="9">
        <f t="shared" si="200"/>
        <v>1</v>
      </c>
    </row>
    <row r="1564" spans="1:38" ht="15" x14ac:dyDescent="0.25">
      <c r="A1564" s="1" t="s">
        <v>4712</v>
      </c>
      <c r="B1564" s="1" t="s">
        <v>4713</v>
      </c>
      <c r="C1564" s="1" t="s">
        <v>313</v>
      </c>
      <c r="D1564" s="1" t="s">
        <v>313</v>
      </c>
      <c r="E1564" s="6">
        <v>3804.98</v>
      </c>
      <c r="F1564" s="1" t="s">
        <v>40</v>
      </c>
      <c r="G1564" s="6">
        <f ca="1">IFERROR(__xludf.DUMMYFUNCTION("iferror(GOOGLEFINANCE(TRIM(F1564)&amp;"":"" &amp; TRIM(B1564), ""price""),0
)"),50.26)</f>
        <v>50.26</v>
      </c>
      <c r="H1564" s="6">
        <v>71.41</v>
      </c>
      <c r="I1564" s="6">
        <f t="shared" ca="1" si="0"/>
        <v>50.26</v>
      </c>
      <c r="J1564" s="6">
        <f ca="1">IFERROR(__xludf.DUMMYFUNCTION("IFERROR(GOOGLEFINANCE(B1564, ""volume""), 0)"),320475)</f>
        <v>320475</v>
      </c>
      <c r="K1564" s="6">
        <v>1.05</v>
      </c>
      <c r="L1564" s="6">
        <f ca="1">IFERROR(__xludf.DUMMYFUNCTION("IFERROR(GOOGLEFINANCE(B1564,""changepct""),K1564)"),-0.69)</f>
        <v>-0.69</v>
      </c>
      <c r="M1564" s="6">
        <f ca="1">IFERROR(__xludf.DUMMYFUNCTION("IFERROR(GOOGLEFINANCE(B1564,""change""),0)"),-0.35)</f>
        <v>-0.35</v>
      </c>
      <c r="N1564" s="6">
        <v>2</v>
      </c>
      <c r="O1564" s="7">
        <v>45536</v>
      </c>
      <c r="P1564" s="6">
        <v>96.14</v>
      </c>
      <c r="Q1564" s="6">
        <v>3867.66</v>
      </c>
      <c r="R1564" s="7">
        <v>45536</v>
      </c>
      <c r="S1564" s="6">
        <v>344.79</v>
      </c>
      <c r="T1564" s="6">
        <v>68.69</v>
      </c>
      <c r="U1564" s="7">
        <v>45536</v>
      </c>
      <c r="V1564" s="6">
        <v>55.39</v>
      </c>
      <c r="W1564" s="6">
        <f ca="1">IFERROR(__xludf.DUMMYFUNCTION("IFERROR(GOOGLEFINANCE(B1564,""pe""),V1564)"),55.39)</f>
        <v>55.39</v>
      </c>
      <c r="X1564" s="6">
        <v>3.47</v>
      </c>
      <c r="Y1564" s="6">
        <v>3.54</v>
      </c>
      <c r="Z1564" s="6">
        <v>2</v>
      </c>
      <c r="AA1564" s="8">
        <v>45352</v>
      </c>
      <c r="AB1564" s="4">
        <v>0.32</v>
      </c>
      <c r="AC1564" s="6">
        <v>105.3</v>
      </c>
      <c r="AD1564" s="6">
        <v>52.18</v>
      </c>
      <c r="AE1564" s="1">
        <v>0</v>
      </c>
      <c r="AF1564" s="1">
        <f ca="1">IFERROR(__xludf.DUMMYFUNCTION("IFERROR(GOOGLEFINANCE(TRIM(F1564)&amp;"":"" &amp; TRIM(B1564),""high52""),AE1564)"),76.3)</f>
        <v>76.3</v>
      </c>
      <c r="AG1564" s="1">
        <v>0</v>
      </c>
      <c r="AH1564" s="1">
        <f ca="1">IFERROR(__xludf.DUMMYFUNCTION("IFERROR(GOOGLEFINANCE(TRIM(F1564)&amp;"":"" &amp; TRIM(B1564),""low52""),AE1564)"),43.9)</f>
        <v>43.9</v>
      </c>
      <c r="AI1564" s="1">
        <f ca="1">IFERROR(__xludf.DUMMYFUNCTION("IFERROR(GOOGLEFINANCE(B1564,""eps""),0)"),-43.76)</f>
        <v>-43.76</v>
      </c>
      <c r="AJ1564" s="1"/>
      <c r="AK1564" s="1" t="s">
        <v>4714</v>
      </c>
      <c r="AL1564" s="1" t="b">
        <f>ISNUMBER(AA1564)</f>
        <v>1</v>
      </c>
    </row>
    <row r="1565" spans="1:38" ht="15" x14ac:dyDescent="0.25">
      <c r="A1565" s="1" t="s">
        <v>4715</v>
      </c>
      <c r="B1565" s="1" t="s">
        <v>4716</v>
      </c>
      <c r="C1565" s="1" t="s">
        <v>219</v>
      </c>
      <c r="D1565" s="1" t="s">
        <v>219</v>
      </c>
      <c r="E1565" s="6">
        <v>220.26</v>
      </c>
      <c r="F1565" s="1" t="s">
        <v>40</v>
      </c>
      <c r="G1565" s="6">
        <f ca="1">IFERROR(__xludf.DUMMYFUNCTION("iferror(GOOGLEFINANCE(TRIM(F1565)&amp;"":"" &amp; TRIM(B1565), ""price""),0
)"),36.34)</f>
        <v>36.340000000000003</v>
      </c>
      <c r="H1565" s="6">
        <v>46.63</v>
      </c>
      <c r="I1565" s="6">
        <f t="shared" ca="1" si="0"/>
        <v>36.340000000000003</v>
      </c>
      <c r="J1565" s="6">
        <f ca="1">IFERROR(__xludf.DUMMYFUNCTION("IFERROR(GOOGLEFINANCE(B1565, ""volume""), 0)"),15180)</f>
        <v>15180</v>
      </c>
      <c r="K1565" s="6">
        <v>-0.85</v>
      </c>
      <c r="L1565" s="6">
        <f ca="1">IFERROR(__xludf.DUMMYFUNCTION("IFERROR(GOOGLEFINANCE(B1565,""changepct""),K1565)"),-0.06)</f>
        <v>-0.06</v>
      </c>
      <c r="M1565" s="6">
        <f ca="1">IFERROR(__xludf.DUMMYFUNCTION("IFERROR(GOOGLEFINANCE(B1565,""change""),0)"),-0.02)</f>
        <v>-0.02</v>
      </c>
      <c r="N1565" s="6">
        <v>1</v>
      </c>
      <c r="O1565" s="7">
        <v>45536</v>
      </c>
      <c r="P1565" s="6">
        <v>24.41</v>
      </c>
      <c r="Q1565" s="6">
        <v>241.61</v>
      </c>
      <c r="R1565" s="7">
        <v>45536</v>
      </c>
      <c r="S1565" s="6">
        <v>745.07</v>
      </c>
      <c r="T1565" s="6">
        <v>7.72</v>
      </c>
      <c r="U1565" s="7">
        <v>45536</v>
      </c>
      <c r="V1565" s="6">
        <v>28.51</v>
      </c>
      <c r="W1565" s="6">
        <f ca="1">IFERROR(__xludf.DUMMYFUNCTION("IFERROR(GOOGLEFINANCE(B1565,""pe""),V1565)"),209.41)</f>
        <v>209.41</v>
      </c>
      <c r="X1565" s="6">
        <v>3.04</v>
      </c>
      <c r="Y1565" s="6">
        <v>1.62</v>
      </c>
      <c r="Z1565" s="6">
        <v>1</v>
      </c>
      <c r="AA1565" s="8">
        <v>45352</v>
      </c>
      <c r="AB1565" s="4">
        <v>0.27</v>
      </c>
      <c r="AC1565" s="6">
        <v>4.5999999999999996</v>
      </c>
      <c r="AD1565" s="6">
        <v>9.52</v>
      </c>
      <c r="AE1565" s="1">
        <v>0</v>
      </c>
      <c r="AF1565" s="1">
        <f ca="1">IFERROR(__xludf.DUMMYFUNCTION("IFERROR(GOOGLEFINANCE(TRIM(F1565)&amp;"":"" &amp; TRIM(B1565),""high52""),AE1565)"),52.87)</f>
        <v>52.87</v>
      </c>
      <c r="AG1565" s="1">
        <v>0</v>
      </c>
      <c r="AH1565" s="1">
        <f ca="1">IFERROR(__xludf.DUMMYFUNCTION("IFERROR(GOOGLEFINANCE(TRIM(F1565)&amp;"":"" &amp; TRIM(B1565),""low52""),AE1565)"),28.5)</f>
        <v>28.5</v>
      </c>
      <c r="AI1565" s="1">
        <f ca="1">IFERROR(__xludf.DUMMYFUNCTION("IFERROR(GOOGLEFINANCE(B1565,""eps""),0)"),0.14)</f>
        <v>0.14000000000000001</v>
      </c>
      <c r="AJ1565" s="1"/>
      <c r="AK1565" s="1" t="s">
        <v>4717</v>
      </c>
      <c r="AL1565" s="9">
        <f t="shared" ref="AL1565:AL1580" si="201">IF(AA1565&lt;&gt;AB1565,1,0)</f>
        <v>1</v>
      </c>
    </row>
    <row r="1566" spans="1:38" ht="15" x14ac:dyDescent="0.25">
      <c r="A1566" s="1" t="s">
        <v>4718</v>
      </c>
      <c r="B1566" s="1" t="s">
        <v>4719</v>
      </c>
      <c r="C1566" s="1" t="s">
        <v>106</v>
      </c>
      <c r="D1566" s="1" t="s">
        <v>106</v>
      </c>
      <c r="E1566" s="6">
        <v>651.14</v>
      </c>
      <c r="F1566" s="1" t="s">
        <v>40</v>
      </c>
      <c r="G1566" s="6">
        <f ca="1">IFERROR(__xludf.DUMMYFUNCTION("iferror(GOOGLEFINANCE(TRIM(F1566)&amp;"":"" &amp; TRIM(B1566), ""price""),0
)"),108.25)</f>
        <v>108.25</v>
      </c>
      <c r="H1566" s="6">
        <v>111.05</v>
      </c>
      <c r="I1566" s="6">
        <f t="shared" ca="1" si="0"/>
        <v>108.25</v>
      </c>
      <c r="J1566" s="6">
        <f ca="1">IFERROR(__xludf.DUMMYFUNCTION("IFERROR(GOOGLEFINANCE(B1566, ""volume""), 0)"),187213)</f>
        <v>187213</v>
      </c>
      <c r="K1566" s="6">
        <v>0</v>
      </c>
      <c r="L1566" s="6">
        <f ca="1">IFERROR(__xludf.DUMMYFUNCTION("IFERROR(GOOGLEFINANCE(B1566,""changepct""),K1566)"),-3.97)</f>
        <v>-3.97</v>
      </c>
      <c r="M1566" s="6">
        <f ca="1">IFERROR(__xludf.DUMMYFUNCTION("IFERROR(GOOGLEFINANCE(B1566,""change""),0)"),-4.48)</f>
        <v>-4.4800000000000004</v>
      </c>
      <c r="N1566" s="6">
        <v>2</v>
      </c>
      <c r="O1566" s="7">
        <v>45536</v>
      </c>
      <c r="P1566" s="6">
        <v>16.399999999999999</v>
      </c>
      <c r="Q1566" s="6">
        <v>667.53</v>
      </c>
      <c r="R1566" s="7">
        <v>45536</v>
      </c>
      <c r="S1566" s="6">
        <v>725.97</v>
      </c>
      <c r="T1566" s="6">
        <v>259.81</v>
      </c>
      <c r="U1566" s="7">
        <v>45536</v>
      </c>
      <c r="V1566" s="6">
        <v>2.5099999999999998</v>
      </c>
      <c r="W1566" s="6">
        <f ca="1">IFERROR(__xludf.DUMMYFUNCTION("IFERROR(GOOGLEFINANCE(B1566,""pe""),V1566)"),2.91)</f>
        <v>2.91</v>
      </c>
      <c r="X1566" s="6">
        <v>0.04</v>
      </c>
      <c r="Y1566" s="6">
        <v>0.64</v>
      </c>
      <c r="Z1566" s="6">
        <v>2</v>
      </c>
      <c r="AA1566" s="8">
        <v>45352</v>
      </c>
      <c r="AB1566" s="4">
        <v>0.01</v>
      </c>
      <c r="AC1566" s="6">
        <v>58.97</v>
      </c>
      <c r="AD1566" s="6">
        <v>55.13</v>
      </c>
      <c r="AE1566" s="1">
        <v>0</v>
      </c>
      <c r="AF1566" s="1">
        <f ca="1">IFERROR(__xludf.DUMMYFUNCTION("IFERROR(GOOGLEFINANCE(TRIM(F1566)&amp;"":"" &amp; TRIM(B1566),""high52""),AE1566)"),124)</f>
        <v>124</v>
      </c>
      <c r="AG1566" s="1">
        <v>0</v>
      </c>
      <c r="AH1566" s="1">
        <f ca="1">IFERROR(__xludf.DUMMYFUNCTION("IFERROR(GOOGLEFINANCE(TRIM(F1566)&amp;"":"" &amp; TRIM(B1566),""low52""),AE1566)"),68.72)</f>
        <v>68.72</v>
      </c>
      <c r="AI1566" s="1">
        <f ca="1">IFERROR(__xludf.DUMMYFUNCTION("IFERROR(GOOGLEFINANCE(B1566,""eps""),0)"),37.15)</f>
        <v>37.15</v>
      </c>
      <c r="AJ1566" s="1"/>
      <c r="AK1566" s="1" t="s">
        <v>4720</v>
      </c>
      <c r="AL1566" s="9">
        <f t="shared" si="201"/>
        <v>1</v>
      </c>
    </row>
    <row r="1567" spans="1:38" ht="15" x14ac:dyDescent="0.25">
      <c r="A1567" s="1" t="s">
        <v>4721</v>
      </c>
      <c r="B1567" s="1" t="s">
        <v>4722</v>
      </c>
      <c r="C1567" s="1" t="s">
        <v>416</v>
      </c>
      <c r="D1567" s="1" t="s">
        <v>416</v>
      </c>
      <c r="E1567" s="6">
        <v>170.9</v>
      </c>
      <c r="F1567" s="1" t="s">
        <v>53</v>
      </c>
      <c r="G1567" s="6">
        <f ca="1">IFERROR(__xludf.DUMMYFUNCTION("iferror(GOOGLEFINANCE(TRIM(F1567)&amp;"":"" &amp; TRIM(B1567), ""price""),0
)"),0)</f>
        <v>0</v>
      </c>
      <c r="H1567" s="6">
        <v>14.11</v>
      </c>
      <c r="I1567" s="6">
        <f t="shared" ca="1" si="0"/>
        <v>14.11</v>
      </c>
      <c r="J1567" s="6">
        <f ca="1">IFERROR(__xludf.DUMMYFUNCTION("IFERROR(GOOGLEFINANCE(B1567, ""volume""), 0)"),784)</f>
        <v>784</v>
      </c>
      <c r="K1567" s="6">
        <v>9.98</v>
      </c>
      <c r="L1567" s="6">
        <f ca="1">IFERROR(__xludf.DUMMYFUNCTION("IFERROR(GOOGLEFINANCE(B1567,""changepct""),K1567)"),2.33)</f>
        <v>2.33</v>
      </c>
      <c r="M1567" s="6">
        <f ca="1">IFERROR(__xludf.DUMMYFUNCTION("IFERROR(GOOGLEFINANCE(B1567,""change""),0)"),2.5)</f>
        <v>2.5</v>
      </c>
      <c r="N1567" s="6">
        <v>2</v>
      </c>
      <c r="O1567" s="7">
        <v>45536</v>
      </c>
      <c r="P1567" s="6">
        <v>151.16999999999999</v>
      </c>
      <c r="Q1567" s="6">
        <v>304.61</v>
      </c>
      <c r="R1567" s="7">
        <v>45536</v>
      </c>
      <c r="S1567" s="6">
        <v>356.17</v>
      </c>
      <c r="T1567" s="6">
        <v>15.73</v>
      </c>
      <c r="U1567" s="7">
        <v>45536</v>
      </c>
      <c r="V1567" s="6">
        <v>10.86</v>
      </c>
      <c r="W1567" s="6">
        <f ca="1">IFERROR(__xludf.DUMMYFUNCTION("IFERROR(GOOGLEFINANCE(B1567,""pe""),V1567)"),10.86)</f>
        <v>10.86</v>
      </c>
      <c r="X1567" s="9"/>
      <c r="Y1567" s="6">
        <v>5.97</v>
      </c>
      <c r="Z1567" s="6">
        <v>2</v>
      </c>
      <c r="AA1567" s="8">
        <v>45352</v>
      </c>
      <c r="AB1567" s="4">
        <v>9.44</v>
      </c>
      <c r="AC1567" s="6">
        <v>88.79</v>
      </c>
      <c r="AD1567" s="6">
        <v>15.82</v>
      </c>
      <c r="AE1567" s="1">
        <v>0</v>
      </c>
      <c r="AF1567" s="1">
        <f ca="1">IFERROR(__xludf.DUMMYFUNCTION("IFERROR(GOOGLEFINANCE(TRIM(F1567)&amp;"":"" &amp; TRIM(B1567),""high52""),AE1567)"),0)</f>
        <v>0</v>
      </c>
      <c r="AG1567" s="1">
        <v>0</v>
      </c>
      <c r="AH1567" s="1">
        <f ca="1">IFERROR(__xludf.DUMMYFUNCTION("IFERROR(GOOGLEFINANCE(TRIM(F1567)&amp;"":"" &amp; TRIM(B1567),""low52""),AE1567)"),0)</f>
        <v>0</v>
      </c>
      <c r="AI1567" s="1">
        <f ca="1">IFERROR(__xludf.DUMMYFUNCTION("IFERROR(GOOGLEFINANCE(B1567,""eps""),0)"),-0.31)</f>
        <v>-0.31</v>
      </c>
      <c r="AJ1567" s="1"/>
      <c r="AK1567" s="9"/>
      <c r="AL1567" s="9">
        <f t="shared" si="201"/>
        <v>1</v>
      </c>
    </row>
    <row r="1568" spans="1:38" ht="15" x14ac:dyDescent="0.25">
      <c r="A1568" s="1" t="s">
        <v>4723</v>
      </c>
      <c r="B1568" s="1" t="s">
        <v>4724</v>
      </c>
      <c r="C1568" s="1" t="s">
        <v>106</v>
      </c>
      <c r="D1568" s="1" t="s">
        <v>106</v>
      </c>
      <c r="E1568" s="6">
        <v>171.59</v>
      </c>
      <c r="F1568" s="1" t="s">
        <v>40</v>
      </c>
      <c r="G1568" s="6">
        <f ca="1">IFERROR(__xludf.DUMMYFUNCTION("iferror(GOOGLEFINANCE(TRIM(F1568)&amp;"":"" &amp; TRIM(B1568), ""price""),0
)"),0)</f>
        <v>0</v>
      </c>
      <c r="H1568" s="6">
        <v>30</v>
      </c>
      <c r="I1568" s="6">
        <f t="shared" ca="1" si="0"/>
        <v>30</v>
      </c>
      <c r="J1568" s="6">
        <f ca="1">IFERROR(__xludf.DUMMYFUNCTION("IFERROR(GOOGLEFINANCE(B1568, ""volume""), 0)"),0)</f>
        <v>0</v>
      </c>
      <c r="K1568" s="6">
        <v>-5</v>
      </c>
      <c r="L1568" s="6">
        <f ca="1">IFERROR(__xludf.DUMMYFUNCTION("IFERROR(GOOGLEFINANCE(B1568,""changepct""),K1568)"),-5)</f>
        <v>-5</v>
      </c>
      <c r="M1568" s="6">
        <f ca="1">IFERROR(__xludf.DUMMYFUNCTION("IFERROR(GOOGLEFINANCE(B1568,""change""),0)"),0)</f>
        <v>0</v>
      </c>
      <c r="N1568" s="6">
        <v>2</v>
      </c>
      <c r="O1568" s="7">
        <v>45536</v>
      </c>
      <c r="P1568" s="6">
        <v>1023.48</v>
      </c>
      <c r="Q1568" s="6">
        <v>1195.07</v>
      </c>
      <c r="R1568" s="7">
        <v>45536</v>
      </c>
      <c r="S1568" s="6">
        <v>487.99</v>
      </c>
      <c r="T1568" s="6">
        <v>54.92</v>
      </c>
      <c r="U1568" s="7">
        <v>45536</v>
      </c>
      <c r="V1568" s="6">
        <v>3.12</v>
      </c>
      <c r="W1568" s="6">
        <f ca="1">IFERROR(__xludf.DUMMYFUNCTION("IFERROR(GOOGLEFINANCE(B1568,""pe""),V1568)"),3.12)</f>
        <v>3.12</v>
      </c>
      <c r="X1568" s="9"/>
      <c r="Y1568" s="6">
        <v>-0.26</v>
      </c>
      <c r="Z1568" s="6">
        <v>2</v>
      </c>
      <c r="AA1568" s="17">
        <v>45352</v>
      </c>
      <c r="AB1568" s="18">
        <v>-1.47</v>
      </c>
      <c r="AC1568" s="6">
        <v>0</v>
      </c>
      <c r="AD1568" s="6">
        <v>25.99</v>
      </c>
      <c r="AE1568" s="1">
        <v>0</v>
      </c>
      <c r="AF1568" s="1">
        <f ca="1">IFERROR(__xludf.DUMMYFUNCTION("IFERROR(GOOGLEFINANCE(TRIM(F1568)&amp;"":"" &amp; TRIM(B1568),""high52""),AE1568)"),0)</f>
        <v>0</v>
      </c>
      <c r="AG1568" s="1">
        <v>0</v>
      </c>
      <c r="AH1568" s="1">
        <f ca="1">IFERROR(__xludf.DUMMYFUNCTION("IFERROR(GOOGLEFINANCE(TRIM(F1568)&amp;"":"" &amp; TRIM(B1568),""low52""),AE1568)"),0)</f>
        <v>0</v>
      </c>
      <c r="AI1568" s="1">
        <f ca="1">IFERROR(__xludf.DUMMYFUNCTION("IFERROR(GOOGLEFINANCE(B1568,""eps""),0)"),0)</f>
        <v>0</v>
      </c>
      <c r="AJ1568" s="1"/>
      <c r="AK1568" s="1" t="s">
        <v>4725</v>
      </c>
      <c r="AL1568" s="9">
        <f t="shared" si="201"/>
        <v>1</v>
      </c>
    </row>
    <row r="1569" spans="1:38" ht="15" x14ac:dyDescent="0.25">
      <c r="A1569" s="1" t="s">
        <v>4726</v>
      </c>
      <c r="B1569" s="1" t="s">
        <v>4727</v>
      </c>
      <c r="C1569" s="1" t="s">
        <v>416</v>
      </c>
      <c r="D1569" s="1" t="s">
        <v>416</v>
      </c>
      <c r="E1569" s="6">
        <v>32.619999999999997</v>
      </c>
      <c r="F1569" s="1" t="s">
        <v>53</v>
      </c>
      <c r="G1569" s="6">
        <f ca="1">IFERROR(__xludf.DUMMYFUNCTION("iferror(GOOGLEFINANCE(TRIM(F1569)&amp;"":"" &amp; TRIM(B1569), ""price""),0
)"),0)</f>
        <v>0</v>
      </c>
      <c r="H1569" s="6">
        <v>108.6</v>
      </c>
      <c r="I1569" s="6">
        <f t="shared" ca="1" si="0"/>
        <v>108.6</v>
      </c>
      <c r="J1569" s="6">
        <f ca="1">IFERROR(__xludf.DUMMYFUNCTION("IFERROR(GOOGLEFINANCE(B1569, ""volume""), 0)"),0)</f>
        <v>0</v>
      </c>
      <c r="K1569" s="6">
        <v>0</v>
      </c>
      <c r="L1569" s="6">
        <f ca="1">IFERROR(__xludf.DUMMYFUNCTION("IFERROR(GOOGLEFINANCE(B1569,""changepct""),K1569)"),0)</f>
        <v>0</v>
      </c>
      <c r="M1569" s="6">
        <f ca="1">IFERROR(__xludf.DUMMYFUNCTION("IFERROR(GOOGLEFINANCE(B1569,""change""),0)"),0)</f>
        <v>0</v>
      </c>
      <c r="N1569" s="6">
        <v>1</v>
      </c>
      <c r="O1569" s="7">
        <v>45536</v>
      </c>
      <c r="P1569" s="6">
        <v>2.5499999999999998</v>
      </c>
      <c r="Q1569" s="6">
        <v>35.159999999999997</v>
      </c>
      <c r="R1569" s="7">
        <v>45536</v>
      </c>
      <c r="S1569" s="6">
        <v>0.82</v>
      </c>
      <c r="T1569" s="6">
        <v>-0.03</v>
      </c>
      <c r="U1569" s="7">
        <v>45536</v>
      </c>
      <c r="V1569" s="6">
        <v>0</v>
      </c>
      <c r="W1569" s="6">
        <f ca="1">IFERROR(__xludf.DUMMYFUNCTION("IFERROR(GOOGLEFINANCE(B1569,""pe""),V1569)"),0)</f>
        <v>0</v>
      </c>
      <c r="X1569" s="9"/>
      <c r="Y1569" s="6">
        <v>-6.26</v>
      </c>
      <c r="Z1569" s="6">
        <v>1</v>
      </c>
      <c r="AA1569" s="8">
        <v>45352</v>
      </c>
      <c r="AB1569" s="4">
        <v>-0.46</v>
      </c>
      <c r="AC1569" s="6">
        <v>0</v>
      </c>
      <c r="AD1569" s="6">
        <v>0</v>
      </c>
      <c r="AE1569" s="1">
        <v>0</v>
      </c>
      <c r="AF1569" s="1">
        <f ca="1">IFERROR(__xludf.DUMMYFUNCTION("IFERROR(GOOGLEFINANCE(TRIM(F1569)&amp;"":"" &amp; TRIM(B1569),""high52""),AE1569)"),0)</f>
        <v>0</v>
      </c>
      <c r="AG1569" s="1">
        <v>0</v>
      </c>
      <c r="AH1569" s="1">
        <f ca="1">IFERROR(__xludf.DUMMYFUNCTION("IFERROR(GOOGLEFINANCE(TRIM(F1569)&amp;"":"" &amp; TRIM(B1569),""low52""),AE1569)"),0)</f>
        <v>0</v>
      </c>
      <c r="AI1569" s="1">
        <f ca="1">IFERROR(__xludf.DUMMYFUNCTION("IFERROR(GOOGLEFINANCE(B1569,""eps""),0)"),0)</f>
        <v>0</v>
      </c>
      <c r="AJ1569" s="1"/>
      <c r="AK1569" s="1" t="s">
        <v>4728</v>
      </c>
      <c r="AL1569" s="9">
        <f t="shared" si="201"/>
        <v>1</v>
      </c>
    </row>
    <row r="1570" spans="1:38" ht="15" x14ac:dyDescent="0.25">
      <c r="A1570" s="1" t="s">
        <v>4729</v>
      </c>
      <c r="B1570" s="1" t="s">
        <v>4730</v>
      </c>
      <c r="C1570" s="1" t="s">
        <v>75</v>
      </c>
      <c r="D1570" s="1" t="s">
        <v>75</v>
      </c>
      <c r="E1570" s="6">
        <v>207.02</v>
      </c>
      <c r="F1570" s="1" t="s">
        <v>40</v>
      </c>
      <c r="G1570" s="6">
        <f ca="1">IFERROR(__xludf.DUMMYFUNCTION("iferror(GOOGLEFINANCE(TRIM(F1570)&amp;"":"" &amp; TRIM(B1570), ""price""),0
)"),34.99)</f>
        <v>34.99</v>
      </c>
      <c r="H1570" s="6">
        <v>47.13</v>
      </c>
      <c r="I1570" s="6">
        <f t="shared" ca="1" si="0"/>
        <v>34.99</v>
      </c>
      <c r="J1570" s="6">
        <f ca="1">IFERROR(__xludf.DUMMYFUNCTION("IFERROR(GOOGLEFINANCE(B1570, ""volume""), 0)"),38789)</f>
        <v>38789</v>
      </c>
      <c r="K1570" s="6">
        <v>0.66</v>
      </c>
      <c r="L1570" s="6">
        <f ca="1">IFERROR(__xludf.DUMMYFUNCTION("IFERROR(GOOGLEFINANCE(B1570,""changepct""),K1570)"),0.4)</f>
        <v>0.4</v>
      </c>
      <c r="M1570" s="6">
        <f ca="1">IFERROR(__xludf.DUMMYFUNCTION("IFERROR(GOOGLEFINANCE(B1570,""change""),0)"),0.14)</f>
        <v>0.14000000000000001</v>
      </c>
      <c r="N1570" s="6">
        <v>1</v>
      </c>
      <c r="O1570" s="7">
        <v>45536</v>
      </c>
      <c r="P1570" s="6">
        <v>10.25</v>
      </c>
      <c r="Q1570" s="7">
        <v>45536</v>
      </c>
      <c r="R1570" s="6">
        <v>20.190000000000001</v>
      </c>
      <c r="S1570" s="6">
        <v>0.51</v>
      </c>
      <c r="T1570" s="6">
        <v>2.31</v>
      </c>
      <c r="U1570" s="6">
        <v>1</v>
      </c>
      <c r="V1570" s="7">
        <v>45352</v>
      </c>
      <c r="W1570" s="6">
        <f ca="1">IFERROR(__xludf.DUMMYFUNCTION("IFERROR(GOOGLEFINANCE(B1570,""pe""),V1570)"),22.05)</f>
        <v>22.05</v>
      </c>
      <c r="X1570" s="6">
        <v>0</v>
      </c>
      <c r="Y1570" s="6">
        <v>10.18</v>
      </c>
      <c r="Z1570" s="6">
        <v>14.6</v>
      </c>
      <c r="AA1570" s="3" t="s">
        <v>4731</v>
      </c>
      <c r="AB1570" s="3"/>
      <c r="AC1570" s="9"/>
      <c r="AD1570" s="9"/>
      <c r="AE1570" s="1">
        <v>0</v>
      </c>
      <c r="AF1570" s="1">
        <f ca="1">IFERROR(__xludf.DUMMYFUNCTION("IFERROR(GOOGLEFINANCE(TRIM(F1570)&amp;"":"" &amp; TRIM(B1570),""high52""),AE1570)"),47.15)</f>
        <v>47.15</v>
      </c>
      <c r="AG1570" s="1">
        <v>0</v>
      </c>
      <c r="AH1570" s="1">
        <f ca="1">IFERROR(__xludf.DUMMYFUNCTION("IFERROR(GOOGLEFINANCE(TRIM(F1570)&amp;"":"" &amp; TRIM(B1570),""low52""),AE1570)"),25.5)</f>
        <v>25.5</v>
      </c>
      <c r="AI1570" s="1">
        <f ca="1">IFERROR(__xludf.DUMMYFUNCTION("IFERROR(GOOGLEFINANCE(B1570,""eps""),0)"),1.59)</f>
        <v>1.59</v>
      </c>
      <c r="AJ1570" s="1"/>
      <c r="AK1570" s="1" t="s">
        <v>4732</v>
      </c>
      <c r="AL1570" s="9">
        <f t="shared" si="201"/>
        <v>1</v>
      </c>
    </row>
    <row r="1571" spans="1:38" ht="15" x14ac:dyDescent="0.25">
      <c r="A1571" s="1" t="s">
        <v>4733</v>
      </c>
      <c r="B1571" s="1" t="s">
        <v>4734</v>
      </c>
      <c r="C1571" s="1" t="s">
        <v>106</v>
      </c>
      <c r="D1571" s="1" t="s">
        <v>106</v>
      </c>
      <c r="E1571" s="6">
        <v>14393.22</v>
      </c>
      <c r="F1571" s="1" t="s">
        <v>40</v>
      </c>
      <c r="G1571" s="6">
        <f ca="1">IFERROR(__xludf.DUMMYFUNCTION("iferror(GOOGLEFINANCE(TRIM(F1571)&amp;"":"" &amp; TRIM(B1571), ""price""),0
)"),490)</f>
        <v>490</v>
      </c>
      <c r="H1571" s="6">
        <v>604.65</v>
      </c>
      <c r="I1571" s="6">
        <f t="shared" ca="1" si="0"/>
        <v>490</v>
      </c>
      <c r="J1571" s="6">
        <f ca="1">IFERROR(__xludf.DUMMYFUNCTION("IFERROR(GOOGLEFINANCE(B1571, ""volume""), 0)"),222869)</f>
        <v>222869</v>
      </c>
      <c r="K1571" s="6">
        <v>0.51</v>
      </c>
      <c r="L1571" s="6">
        <f ca="1">IFERROR(__xludf.DUMMYFUNCTION("IFERROR(GOOGLEFINANCE(B1571,""changepct""),K1571)"),2)</f>
        <v>2</v>
      </c>
      <c r="M1571" s="6">
        <f ca="1">IFERROR(__xludf.DUMMYFUNCTION("IFERROR(GOOGLEFINANCE(B1571,""change""),0)"),9.6)</f>
        <v>9.6</v>
      </c>
      <c r="N1571" s="6">
        <v>2</v>
      </c>
      <c r="O1571" s="7">
        <v>45536</v>
      </c>
      <c r="P1571" s="9"/>
      <c r="Q1571" s="6">
        <v>13843.52</v>
      </c>
      <c r="R1571" s="7">
        <v>45352</v>
      </c>
      <c r="S1571" s="6">
        <v>2589.6</v>
      </c>
      <c r="T1571" s="6">
        <v>336.7</v>
      </c>
      <c r="U1571" s="7">
        <v>45352</v>
      </c>
      <c r="V1571" s="6">
        <v>42.75</v>
      </c>
      <c r="W1571" s="6">
        <f ca="1">IFERROR(__xludf.DUMMYFUNCTION("IFERROR(GOOGLEFINANCE(B1571,""pe""),V1571)"),26.89)</f>
        <v>26.89</v>
      </c>
      <c r="X1571" s="12"/>
      <c r="Y1571" s="6">
        <v>6.1</v>
      </c>
      <c r="Z1571" s="6">
        <v>2</v>
      </c>
      <c r="AA1571" s="8">
        <v>45352</v>
      </c>
      <c r="AB1571" s="4">
        <v>0.28999999999999998</v>
      </c>
      <c r="AC1571" s="6">
        <v>27.56</v>
      </c>
      <c r="AD1571" s="6">
        <v>30.88</v>
      </c>
      <c r="AE1571" s="1">
        <v>0</v>
      </c>
      <c r="AF1571" s="1">
        <f ca="1">IFERROR(__xludf.DUMMYFUNCTION("IFERROR(GOOGLEFINANCE(TRIM(F1571)&amp;"":"" &amp; TRIM(B1571),""high52""),AE1571)"),640.1)</f>
        <v>640.1</v>
      </c>
      <c r="AG1571" s="1">
        <v>0</v>
      </c>
      <c r="AH1571" s="1">
        <f ca="1">IFERROR(__xludf.DUMMYFUNCTION("IFERROR(GOOGLEFINANCE(TRIM(F1571)&amp;"":"" &amp; TRIM(B1571),""low52""),AE1571)"),455.6)</f>
        <v>455.6</v>
      </c>
      <c r="AI1571" s="1">
        <f ca="1">IFERROR(__xludf.DUMMYFUNCTION("IFERROR(GOOGLEFINANCE(B1571,""eps""),0)"),18.23)</f>
        <v>18.23</v>
      </c>
      <c r="AJ1571" s="1"/>
      <c r="AK1571" s="1" t="s">
        <v>4735</v>
      </c>
      <c r="AL1571" s="9">
        <f t="shared" si="201"/>
        <v>1</v>
      </c>
    </row>
    <row r="1572" spans="1:38" ht="15" x14ac:dyDescent="0.25">
      <c r="A1572" s="1" t="s">
        <v>4736</v>
      </c>
      <c r="B1572" s="1" t="s">
        <v>4737</v>
      </c>
      <c r="C1572" s="1" t="s">
        <v>416</v>
      </c>
      <c r="D1572" s="1" t="s">
        <v>416</v>
      </c>
      <c r="E1572" s="6">
        <v>357.1</v>
      </c>
      <c r="F1572" s="1" t="s">
        <v>53</v>
      </c>
      <c r="G1572" s="6">
        <f ca="1">IFERROR(__xludf.DUMMYFUNCTION("iferror(GOOGLEFINANCE(TRIM(F1572)&amp;"":"" &amp; TRIM(B1572), ""price""),0
)"),0)</f>
        <v>0</v>
      </c>
      <c r="H1572" s="6">
        <v>639.95000000000005</v>
      </c>
      <c r="I1572" s="6">
        <f t="shared" ca="1" si="0"/>
        <v>639.95000000000005</v>
      </c>
      <c r="J1572" s="6">
        <f ca="1">IFERROR(__xludf.DUMMYFUNCTION("IFERROR(GOOGLEFINANCE(B1572, ""volume""), 0)"),0)</f>
        <v>0</v>
      </c>
      <c r="K1572" s="6">
        <v>-1.97</v>
      </c>
      <c r="L1572" s="6">
        <f ca="1">IFERROR(__xludf.DUMMYFUNCTION("IFERROR(GOOGLEFINANCE(B1572,""changepct""),K1572)"),-1.97)</f>
        <v>-1.97</v>
      </c>
      <c r="M1572" s="6">
        <f ca="1">IFERROR(__xludf.DUMMYFUNCTION("IFERROR(GOOGLEFINANCE(B1572,""change""),0)"),0)</f>
        <v>0</v>
      </c>
      <c r="N1572" s="6">
        <v>1</v>
      </c>
      <c r="O1572" s="7">
        <v>45536</v>
      </c>
      <c r="P1572" s="6">
        <v>94.66</v>
      </c>
      <c r="Q1572" s="6">
        <v>451.76</v>
      </c>
      <c r="R1572" s="7">
        <v>45536</v>
      </c>
      <c r="S1572" s="6">
        <v>398.09</v>
      </c>
      <c r="T1572" s="6">
        <v>16.38</v>
      </c>
      <c r="U1572" s="7">
        <v>45536</v>
      </c>
      <c r="V1572" s="6">
        <v>21.8</v>
      </c>
      <c r="W1572" s="6">
        <f ca="1">IFERROR(__xludf.DUMMYFUNCTION("IFERROR(GOOGLEFINANCE(B1572,""pe""),V1572)"),21.8)</f>
        <v>21.8</v>
      </c>
      <c r="X1572" s="9"/>
      <c r="Y1572" s="6">
        <v>2.39</v>
      </c>
      <c r="Z1572" s="6">
        <v>2</v>
      </c>
      <c r="AA1572" s="8">
        <v>45352</v>
      </c>
      <c r="AB1572" s="4">
        <v>0.65</v>
      </c>
      <c r="AC1572" s="6">
        <v>10.84</v>
      </c>
      <c r="AD1572" s="6">
        <v>14.37</v>
      </c>
      <c r="AE1572" s="1">
        <v>0</v>
      </c>
      <c r="AF1572" s="1">
        <f ca="1">IFERROR(__xludf.DUMMYFUNCTION("IFERROR(GOOGLEFINANCE(TRIM(F1572)&amp;"":"" &amp; TRIM(B1572),""high52""),AE1572)"),0)</f>
        <v>0</v>
      </c>
      <c r="AG1572" s="1">
        <v>0</v>
      </c>
      <c r="AH1572" s="1">
        <f ca="1">IFERROR(__xludf.DUMMYFUNCTION("IFERROR(GOOGLEFINANCE(TRIM(F1572)&amp;"":"" &amp; TRIM(B1572),""low52""),AE1572)"),0)</f>
        <v>0</v>
      </c>
      <c r="AI1572" s="1">
        <f ca="1">IFERROR(__xludf.DUMMYFUNCTION("IFERROR(GOOGLEFINANCE(B1572,""eps""),0)"),0)</f>
        <v>0</v>
      </c>
      <c r="AJ1572" s="1"/>
      <c r="AK1572" s="1" t="s">
        <v>4738</v>
      </c>
      <c r="AL1572" s="9">
        <f t="shared" si="201"/>
        <v>1</v>
      </c>
    </row>
    <row r="1573" spans="1:38" ht="15" x14ac:dyDescent="0.25">
      <c r="A1573" s="1" t="s">
        <v>4739</v>
      </c>
      <c r="B1573" s="1" t="s">
        <v>4740</v>
      </c>
      <c r="C1573" s="1" t="s">
        <v>135</v>
      </c>
      <c r="D1573" s="1" t="s">
        <v>135</v>
      </c>
      <c r="E1573" s="6">
        <v>4015.86</v>
      </c>
      <c r="F1573" s="1" t="s">
        <v>40</v>
      </c>
      <c r="G1573" s="6">
        <f ca="1">IFERROR(__xludf.DUMMYFUNCTION("iferror(GOOGLEFINANCE(TRIM(F1573)&amp;"":"" &amp; TRIM(B1573), ""price""),0
)"),867.9)</f>
        <v>867.9</v>
      </c>
      <c r="H1573" s="6">
        <v>1339.6</v>
      </c>
      <c r="I1573" s="6">
        <f t="shared" ca="1" si="0"/>
        <v>867.9</v>
      </c>
      <c r="J1573" s="6">
        <f ca="1">IFERROR(__xludf.DUMMYFUNCTION("IFERROR(GOOGLEFINANCE(B1573, ""volume""), 0)"),83684)</f>
        <v>83684</v>
      </c>
      <c r="K1573" s="6">
        <v>3.09</v>
      </c>
      <c r="L1573" s="6">
        <f ca="1">IFERROR(__xludf.DUMMYFUNCTION("IFERROR(GOOGLEFINANCE(B1573,""changepct""),K1573)"),-1.8)</f>
        <v>-1.8</v>
      </c>
      <c r="M1573" s="6">
        <f ca="1">IFERROR(__xludf.DUMMYFUNCTION("IFERROR(GOOGLEFINANCE(B1573,""change""),0)"),-15.95)</f>
        <v>-15.95</v>
      </c>
      <c r="N1573" s="6">
        <v>2</v>
      </c>
      <c r="O1573" s="7">
        <v>45536</v>
      </c>
      <c r="P1573" s="6">
        <v>1631.01</v>
      </c>
      <c r="Q1573" s="6">
        <v>5543.72</v>
      </c>
      <c r="R1573" s="7">
        <v>45536</v>
      </c>
      <c r="S1573" s="6">
        <v>8584.31</v>
      </c>
      <c r="T1573" s="6">
        <v>162.62</v>
      </c>
      <c r="U1573" s="7">
        <v>45536</v>
      </c>
      <c r="V1573" s="6">
        <v>20.71</v>
      </c>
      <c r="W1573" s="6">
        <f ca="1">IFERROR(__xludf.DUMMYFUNCTION("IFERROR(GOOGLEFINANCE(B1573,""pe""),V1573)"),20.74)</f>
        <v>20.74</v>
      </c>
      <c r="X1573" s="6">
        <v>3.79</v>
      </c>
      <c r="Y1573" s="6">
        <v>1.88</v>
      </c>
      <c r="Z1573" s="6">
        <v>2</v>
      </c>
      <c r="AA1573" s="8">
        <v>45352</v>
      </c>
      <c r="AB1573" s="4">
        <v>0.64</v>
      </c>
      <c r="AC1573" s="6">
        <v>8.76</v>
      </c>
      <c r="AD1573" s="6">
        <v>10.89</v>
      </c>
      <c r="AE1573" s="1">
        <v>0</v>
      </c>
      <c r="AF1573" s="1">
        <f ca="1">IFERROR(__xludf.DUMMYFUNCTION("IFERROR(GOOGLEFINANCE(TRIM(F1573)&amp;"":"" &amp; TRIM(B1573),""high52""),AE1573)"),1222)</f>
        <v>1222</v>
      </c>
      <c r="AG1573" s="1">
        <v>0</v>
      </c>
      <c r="AH1573" s="1">
        <f ca="1">IFERROR(__xludf.DUMMYFUNCTION("IFERROR(GOOGLEFINANCE(TRIM(F1573)&amp;"":"" &amp; TRIM(B1573),""low52""),AE1573)"),503.53)</f>
        <v>503.53</v>
      </c>
      <c r="AI1573" s="1">
        <f ca="1">IFERROR(__xludf.DUMMYFUNCTION("IFERROR(GOOGLEFINANCE(B1573,""eps""),0)"),41.85)</f>
        <v>41.85</v>
      </c>
      <c r="AJ1573" s="1"/>
      <c r="AK1573" s="1" t="s">
        <v>4741</v>
      </c>
      <c r="AL1573" s="9">
        <f t="shared" si="201"/>
        <v>1</v>
      </c>
    </row>
    <row r="1574" spans="1:38" ht="15" x14ac:dyDescent="0.25">
      <c r="A1574" s="1" t="s">
        <v>4742</v>
      </c>
      <c r="B1574" s="1" t="s">
        <v>4743</v>
      </c>
      <c r="C1574" s="1" t="s">
        <v>416</v>
      </c>
      <c r="D1574" s="1" t="s">
        <v>416</v>
      </c>
      <c r="E1574" s="6">
        <v>39.61</v>
      </c>
      <c r="F1574" s="1" t="s">
        <v>53</v>
      </c>
      <c r="G1574" s="6">
        <f ca="1">IFERROR(__xludf.DUMMYFUNCTION("iferror(GOOGLEFINANCE(TRIM(F1574)&amp;"":"" &amp; TRIM(B1574), ""price""),0
)"),0)</f>
        <v>0</v>
      </c>
      <c r="H1574" s="6">
        <v>70.33</v>
      </c>
      <c r="I1574" s="6">
        <f t="shared" ca="1" si="0"/>
        <v>70.33</v>
      </c>
      <c r="J1574" s="6">
        <f ca="1">IFERROR(__xludf.DUMMYFUNCTION("IFERROR(GOOGLEFINANCE(B1574, ""volume""), 0)"),0)</f>
        <v>0</v>
      </c>
      <c r="K1574" s="6">
        <v>-0.54</v>
      </c>
      <c r="L1574" s="6">
        <f ca="1">IFERROR(__xludf.DUMMYFUNCTION("IFERROR(GOOGLEFINANCE(B1574,""changepct""),K1574)"),-0.54)</f>
        <v>-0.54</v>
      </c>
      <c r="M1574" s="6">
        <f ca="1">IFERROR(__xludf.DUMMYFUNCTION("IFERROR(GOOGLEFINANCE(B1574,""change""),0)"),0)</f>
        <v>0</v>
      </c>
      <c r="N1574" s="6">
        <v>2</v>
      </c>
      <c r="O1574" s="7">
        <v>45536</v>
      </c>
      <c r="P1574" s="6">
        <v>2.4</v>
      </c>
      <c r="Q1574" s="6">
        <v>39.29</v>
      </c>
      <c r="R1574" s="7">
        <v>45536</v>
      </c>
      <c r="S1574" s="6">
        <v>61.79</v>
      </c>
      <c r="T1574" s="6">
        <v>1.1000000000000001</v>
      </c>
      <c r="U1574" s="7">
        <v>45536</v>
      </c>
      <c r="V1574" s="6">
        <v>44.21</v>
      </c>
      <c r="W1574" s="6">
        <f ca="1">IFERROR(__xludf.DUMMYFUNCTION("IFERROR(GOOGLEFINANCE(B1574,""pe""),V1574)"),44.21)</f>
        <v>44.21</v>
      </c>
      <c r="X1574" s="9"/>
      <c r="Y1574" s="6">
        <v>1.58</v>
      </c>
      <c r="Z1574" s="6">
        <v>2</v>
      </c>
      <c r="AA1574" s="8">
        <v>45352</v>
      </c>
      <c r="AB1574" s="4">
        <v>0.04</v>
      </c>
      <c r="AC1574" s="6">
        <v>3.37</v>
      </c>
      <c r="AD1574" s="6">
        <v>5.71</v>
      </c>
      <c r="AE1574" s="1">
        <v>0</v>
      </c>
      <c r="AF1574" s="1">
        <f ca="1">IFERROR(__xludf.DUMMYFUNCTION("IFERROR(GOOGLEFINANCE(TRIM(F1574)&amp;"":"" &amp; TRIM(B1574),""high52""),AE1574)"),0)</f>
        <v>0</v>
      </c>
      <c r="AG1574" s="1">
        <v>0</v>
      </c>
      <c r="AH1574" s="1">
        <f ca="1">IFERROR(__xludf.DUMMYFUNCTION("IFERROR(GOOGLEFINANCE(TRIM(F1574)&amp;"":"" &amp; TRIM(B1574),""low52""),AE1574)"),0)</f>
        <v>0</v>
      </c>
      <c r="AI1574" s="1">
        <f ca="1">IFERROR(__xludf.DUMMYFUNCTION("IFERROR(GOOGLEFINANCE(B1574,""eps""),0)"),0)</f>
        <v>0</v>
      </c>
      <c r="AJ1574" s="1"/>
      <c r="AK1574" s="1" t="s">
        <v>4744</v>
      </c>
      <c r="AL1574" s="9">
        <f t="shared" si="201"/>
        <v>1</v>
      </c>
    </row>
    <row r="1575" spans="1:38" ht="15" x14ac:dyDescent="0.25">
      <c r="A1575" s="1" t="s">
        <v>4745</v>
      </c>
      <c r="B1575" s="1" t="s">
        <v>4746</v>
      </c>
      <c r="C1575" s="1" t="s">
        <v>416</v>
      </c>
      <c r="D1575" s="1" t="s">
        <v>416</v>
      </c>
      <c r="E1575" s="6">
        <v>486.93</v>
      </c>
      <c r="F1575" s="1" t="s">
        <v>53</v>
      </c>
      <c r="G1575" s="6">
        <f ca="1">IFERROR(__xludf.DUMMYFUNCTION("iferror(GOOGLEFINANCE(TRIM(F1575)&amp;"":"" &amp; TRIM(B1575), ""price""),0
)"),0)</f>
        <v>0</v>
      </c>
      <c r="H1575" s="6">
        <v>277.35000000000002</v>
      </c>
      <c r="I1575" s="6">
        <f t="shared" ca="1" si="0"/>
        <v>277.35000000000002</v>
      </c>
      <c r="J1575" s="6">
        <f ca="1">IFERROR(__xludf.DUMMYFUNCTION("IFERROR(GOOGLEFINANCE(B1575, ""volume""), 0)"),0)</f>
        <v>0</v>
      </c>
      <c r="K1575" s="6">
        <v>-1.63</v>
      </c>
      <c r="L1575" s="6">
        <f ca="1">IFERROR(__xludf.DUMMYFUNCTION("IFERROR(GOOGLEFINANCE(B1575,""changepct""),K1575)"),-1.63)</f>
        <v>-1.63</v>
      </c>
      <c r="M1575" s="6">
        <f ca="1">IFERROR(__xludf.DUMMYFUNCTION("IFERROR(GOOGLEFINANCE(B1575,""change""),0)"),0)</f>
        <v>0</v>
      </c>
      <c r="N1575" s="6">
        <v>2</v>
      </c>
      <c r="O1575" s="7">
        <v>45536</v>
      </c>
      <c r="P1575" s="6">
        <v>54.84</v>
      </c>
      <c r="Q1575" s="6">
        <v>539.13</v>
      </c>
      <c r="R1575" s="7">
        <v>45536</v>
      </c>
      <c r="S1575" s="6">
        <v>292.91000000000003</v>
      </c>
      <c r="T1575" s="6">
        <v>28.14</v>
      </c>
      <c r="U1575" s="7">
        <v>45536</v>
      </c>
      <c r="V1575" s="6">
        <v>17.309999999999999</v>
      </c>
      <c r="W1575" s="6">
        <f ca="1">IFERROR(__xludf.DUMMYFUNCTION("IFERROR(GOOGLEFINANCE(B1575,""pe""),V1575)"),17.31)</f>
        <v>17.309999999999999</v>
      </c>
      <c r="X1575" s="6">
        <v>0.91</v>
      </c>
      <c r="Y1575" s="6">
        <v>3.94</v>
      </c>
      <c r="Z1575" s="6">
        <v>2</v>
      </c>
      <c r="AA1575" s="8">
        <v>45352</v>
      </c>
      <c r="AB1575" s="4">
        <v>0.63</v>
      </c>
      <c r="AC1575" s="6">
        <v>21.39</v>
      </c>
      <c r="AD1575" s="6">
        <v>20.11</v>
      </c>
      <c r="AE1575" s="1">
        <v>0</v>
      </c>
      <c r="AF1575" s="1">
        <f ca="1">IFERROR(__xludf.DUMMYFUNCTION("IFERROR(GOOGLEFINANCE(TRIM(F1575)&amp;"":"" &amp; TRIM(B1575),""high52""),AE1575)"),0)</f>
        <v>0</v>
      </c>
      <c r="AG1575" s="1">
        <v>0</v>
      </c>
      <c r="AH1575" s="1">
        <f ca="1">IFERROR(__xludf.DUMMYFUNCTION("IFERROR(GOOGLEFINANCE(TRIM(F1575)&amp;"":"" &amp; TRIM(B1575),""low52""),AE1575)"),0)</f>
        <v>0</v>
      </c>
      <c r="AI1575" s="1">
        <f ca="1">IFERROR(__xludf.DUMMYFUNCTION("IFERROR(GOOGLEFINANCE(B1575,""eps""),0)"),0)</f>
        <v>0</v>
      </c>
      <c r="AJ1575" s="1"/>
      <c r="AK1575" s="1" t="s">
        <v>4747</v>
      </c>
      <c r="AL1575" s="9">
        <f t="shared" si="201"/>
        <v>1</v>
      </c>
    </row>
    <row r="1576" spans="1:38" ht="15" x14ac:dyDescent="0.25">
      <c r="A1576" s="1" t="s">
        <v>4748</v>
      </c>
      <c r="B1576" s="1" t="s">
        <v>4749</v>
      </c>
      <c r="C1576" s="1" t="s">
        <v>43</v>
      </c>
      <c r="D1576" s="1" t="s">
        <v>43</v>
      </c>
      <c r="E1576" s="6">
        <v>0</v>
      </c>
      <c r="F1576" s="1" t="s">
        <v>40</v>
      </c>
      <c r="G1576" s="6">
        <f ca="1">IFERROR(__xludf.DUMMYFUNCTION("iferror(GOOGLEFINANCE(TRIM(F1576)&amp;"":"" &amp; TRIM(B1576), ""price""),0
)"),0)</f>
        <v>0</v>
      </c>
      <c r="H1576" s="6">
        <v>143.83000000000001</v>
      </c>
      <c r="I1576" s="6">
        <f t="shared" ca="1" si="0"/>
        <v>143.83000000000001</v>
      </c>
      <c r="J1576" s="6">
        <f ca="1">IFERROR(__xludf.DUMMYFUNCTION("IFERROR(GOOGLEFINANCE(B1576, ""volume""), 0)"),0)</f>
        <v>0</v>
      </c>
      <c r="K1576" s="6">
        <v>0.21</v>
      </c>
      <c r="L1576" s="6">
        <f ca="1">IFERROR(__xludf.DUMMYFUNCTION("IFERROR(GOOGLEFINANCE(B1576,""changepct""),K1576)"),0.21)</f>
        <v>0.21</v>
      </c>
      <c r="M1576" s="6">
        <f ca="1">IFERROR(__xludf.DUMMYFUNCTION("IFERROR(GOOGLEFINANCE(B1576,""change""),0)"),0)</f>
        <v>0</v>
      </c>
      <c r="N1576" s="6">
        <v>1</v>
      </c>
      <c r="O1576" s="7">
        <v>43525</v>
      </c>
      <c r="P1576" s="6">
        <v>211.24</v>
      </c>
      <c r="Q1576" s="7">
        <v>45352</v>
      </c>
      <c r="R1576" s="14"/>
      <c r="S1576" s="9"/>
      <c r="T1576" s="9"/>
      <c r="U1576" s="6">
        <v>2</v>
      </c>
      <c r="V1576" s="7">
        <v>45352</v>
      </c>
      <c r="W1576" s="10">
        <f ca="1">IFERROR(__xludf.DUMMYFUNCTION("IFERROR(GOOGLEFINANCE(B1576,""pe""),V1576)"),45352)</f>
        <v>45352</v>
      </c>
      <c r="X1576" s="6">
        <v>3.64</v>
      </c>
      <c r="Y1576" s="6">
        <v>5.79</v>
      </c>
      <c r="Z1576" s="6">
        <v>7.37</v>
      </c>
      <c r="AA1576" s="3" t="s">
        <v>4750</v>
      </c>
      <c r="AB1576" s="3"/>
      <c r="AC1576" s="9"/>
      <c r="AD1576" s="9"/>
      <c r="AE1576" s="1">
        <v>0</v>
      </c>
      <c r="AF1576" s="1">
        <f ca="1">IFERROR(__xludf.DUMMYFUNCTION("IFERROR(GOOGLEFINANCE(TRIM(F1576)&amp;"":"" &amp; TRIM(B1576),""high52""),AE1576)"),0)</f>
        <v>0</v>
      </c>
      <c r="AG1576" s="1">
        <v>0</v>
      </c>
      <c r="AH1576" s="1">
        <f ca="1">IFERROR(__xludf.DUMMYFUNCTION("IFERROR(GOOGLEFINANCE(TRIM(F1576)&amp;"":"" &amp; TRIM(B1576),""low52""),AE1576)"),0)</f>
        <v>0</v>
      </c>
      <c r="AI1576" s="1">
        <f ca="1">IFERROR(__xludf.DUMMYFUNCTION("IFERROR(GOOGLEFINANCE(B1576,""eps""),0)"),0)</f>
        <v>0</v>
      </c>
      <c r="AJ1576" s="1"/>
      <c r="AK1576" s="1" t="s">
        <v>4751</v>
      </c>
      <c r="AL1576" s="9">
        <f t="shared" si="201"/>
        <v>1</v>
      </c>
    </row>
    <row r="1577" spans="1:38" ht="15" x14ac:dyDescent="0.25">
      <c r="A1577" s="1" t="s">
        <v>4752</v>
      </c>
      <c r="B1577" s="1" t="s">
        <v>4753</v>
      </c>
      <c r="C1577" s="1" t="s">
        <v>227</v>
      </c>
      <c r="D1577" s="1" t="s">
        <v>227</v>
      </c>
      <c r="E1577" s="6">
        <v>1541.53</v>
      </c>
      <c r="F1577" s="1" t="s">
        <v>40</v>
      </c>
      <c r="G1577" s="6">
        <f ca="1">IFERROR(__xludf.DUMMYFUNCTION("iferror(GOOGLEFINANCE(TRIM(F1577)&amp;"":"" &amp; TRIM(B1577), ""price""),0
)"),1068)</f>
        <v>1068</v>
      </c>
      <c r="H1577" s="6">
        <v>1220</v>
      </c>
      <c r="I1577" s="6">
        <f t="shared" ca="1" si="0"/>
        <v>1068</v>
      </c>
      <c r="J1577" s="6">
        <f ca="1">IFERROR(__xludf.DUMMYFUNCTION("IFERROR(GOOGLEFINANCE(B1577, ""volume""), 0)"),5568)</f>
        <v>5568</v>
      </c>
      <c r="K1577" s="6">
        <v>-0.68</v>
      </c>
      <c r="L1577" s="6">
        <f ca="1">IFERROR(__xludf.DUMMYFUNCTION("IFERROR(GOOGLEFINANCE(B1577,""changepct""),K1577)"),-0.15)</f>
        <v>-0.15</v>
      </c>
      <c r="M1577" s="6">
        <f ca="1">IFERROR(__xludf.DUMMYFUNCTION("IFERROR(GOOGLEFINANCE(B1577,""change""),0)"),-1.6)</f>
        <v>-1.6</v>
      </c>
      <c r="N1577" s="6">
        <v>2</v>
      </c>
      <c r="O1577" s="7">
        <v>45536</v>
      </c>
      <c r="P1577" s="9"/>
      <c r="Q1577" s="6">
        <v>1497.83</v>
      </c>
      <c r="R1577" s="7">
        <v>45536</v>
      </c>
      <c r="S1577" s="6">
        <v>753.23</v>
      </c>
      <c r="T1577" s="6">
        <v>78.45</v>
      </c>
      <c r="U1577" s="7">
        <v>45536</v>
      </c>
      <c r="V1577" s="6">
        <v>19.649999999999999</v>
      </c>
      <c r="W1577" s="6">
        <f ca="1">IFERROR(__xludf.DUMMYFUNCTION("IFERROR(GOOGLEFINANCE(B1577,""pe""),V1577)"),15.32)</f>
        <v>15.32</v>
      </c>
      <c r="X1577" s="6">
        <v>1.59</v>
      </c>
      <c r="Y1577" s="6">
        <v>0.61</v>
      </c>
      <c r="Z1577" s="6">
        <v>2</v>
      </c>
      <c r="AA1577" s="8">
        <v>45352</v>
      </c>
      <c r="AB1577" s="4">
        <v>0</v>
      </c>
      <c r="AC1577" s="6">
        <v>4.3</v>
      </c>
      <c r="AD1577" s="6">
        <v>5.3</v>
      </c>
      <c r="AE1577" s="1">
        <v>0</v>
      </c>
      <c r="AF1577" s="1">
        <f ca="1">IFERROR(__xludf.DUMMYFUNCTION("IFERROR(GOOGLEFINANCE(TRIM(F1577)&amp;"":"" &amp; TRIM(B1577),""high52""),AE1577)"),1184.5)</f>
        <v>1184.5</v>
      </c>
      <c r="AG1577" s="1">
        <v>0</v>
      </c>
      <c r="AH1577" s="1">
        <f ca="1">IFERROR(__xludf.DUMMYFUNCTION("IFERROR(GOOGLEFINANCE(TRIM(F1577)&amp;"":"" &amp; TRIM(B1577),""low52""),AE1577)"),870.1)</f>
        <v>870.1</v>
      </c>
      <c r="AI1577" s="1">
        <f ca="1">IFERROR(__xludf.DUMMYFUNCTION("IFERROR(GOOGLEFINANCE(B1577,""eps""),0)"),69.73)</f>
        <v>69.73</v>
      </c>
      <c r="AJ1577" s="1"/>
      <c r="AK1577" s="1" t="s">
        <v>4754</v>
      </c>
      <c r="AL1577" s="9">
        <f t="shared" si="201"/>
        <v>1</v>
      </c>
    </row>
    <row r="1578" spans="1:38" ht="15" x14ac:dyDescent="0.25">
      <c r="A1578" s="1" t="s">
        <v>4755</v>
      </c>
      <c r="B1578" s="1" t="s">
        <v>4756</v>
      </c>
      <c r="C1578" s="1" t="s">
        <v>416</v>
      </c>
      <c r="D1578" s="1" t="s">
        <v>416</v>
      </c>
      <c r="E1578" s="6">
        <v>3769.46</v>
      </c>
      <c r="F1578" s="1" t="s">
        <v>53</v>
      </c>
      <c r="G1578" s="6">
        <f ca="1">IFERROR(__xludf.DUMMYFUNCTION("iferror(GOOGLEFINANCE(TRIM(F1578)&amp;"":"" &amp; TRIM(B1578), ""price""),0
)"),0)</f>
        <v>0</v>
      </c>
      <c r="H1578" s="6">
        <v>230.9</v>
      </c>
      <c r="I1578" s="6">
        <f t="shared" ca="1" si="0"/>
        <v>230.9</v>
      </c>
      <c r="J1578" s="6">
        <f ca="1">IFERROR(__xludf.DUMMYFUNCTION("IFERROR(GOOGLEFINANCE(B1578, ""volume""), 0)"),739858)</f>
        <v>739858</v>
      </c>
      <c r="K1578" s="6">
        <v>0.46</v>
      </c>
      <c r="L1578" s="6">
        <f ca="1">IFERROR(__xludf.DUMMYFUNCTION("IFERROR(GOOGLEFINANCE(B1578,""changepct""),K1578)"),-0.25)</f>
        <v>-0.25</v>
      </c>
      <c r="M1578" s="6">
        <f ca="1">IFERROR(__xludf.DUMMYFUNCTION("IFERROR(GOOGLEFINANCE(B1578,""change""),0)"),-0.15)</f>
        <v>-0.15</v>
      </c>
      <c r="N1578" s="6">
        <v>2</v>
      </c>
      <c r="O1578" s="7">
        <v>45536</v>
      </c>
      <c r="P1578" s="9"/>
      <c r="Q1578" s="6">
        <v>3679.08</v>
      </c>
      <c r="R1578" s="7">
        <v>45536</v>
      </c>
      <c r="S1578" s="6">
        <v>220.36</v>
      </c>
      <c r="T1578" s="6">
        <v>24.53</v>
      </c>
      <c r="U1578" s="7">
        <v>45536</v>
      </c>
      <c r="V1578" s="6">
        <v>141.80000000000001</v>
      </c>
      <c r="W1578" s="6">
        <f ca="1">IFERROR(__xludf.DUMMYFUNCTION("IFERROR(GOOGLEFINANCE(B1578,""pe""),V1578)"),15.96)</f>
        <v>15.96</v>
      </c>
      <c r="X1578" s="9"/>
      <c r="Y1578" s="6">
        <v>26.15</v>
      </c>
      <c r="Z1578" s="6">
        <v>2</v>
      </c>
      <c r="AA1578" s="8">
        <v>45352</v>
      </c>
      <c r="AB1578" s="4">
        <v>0.01</v>
      </c>
      <c r="AC1578" s="6">
        <v>16.73</v>
      </c>
      <c r="AD1578" s="6">
        <v>22.72</v>
      </c>
      <c r="AE1578" s="1">
        <v>0</v>
      </c>
      <c r="AF1578" s="1">
        <f ca="1">IFERROR(__xludf.DUMMYFUNCTION("IFERROR(GOOGLEFINANCE(TRIM(F1578)&amp;"":"" &amp; TRIM(B1578),""high52""),AE1578)"),0)</f>
        <v>0</v>
      </c>
      <c r="AG1578" s="1">
        <v>0</v>
      </c>
      <c r="AH1578" s="1">
        <f ca="1">IFERROR(__xludf.DUMMYFUNCTION("IFERROR(GOOGLEFINANCE(TRIM(F1578)&amp;"":"" &amp; TRIM(B1578),""low52""),AE1578)"),0)</f>
        <v>0</v>
      </c>
      <c r="AI1578" s="1">
        <f ca="1">IFERROR(__xludf.DUMMYFUNCTION("IFERROR(GOOGLEFINANCE(B1578,""eps""),0)"),3.79)</f>
        <v>3.79</v>
      </c>
      <c r="AJ1578" s="1"/>
      <c r="AK1578" s="1" t="s">
        <v>4757</v>
      </c>
      <c r="AL1578" s="9">
        <f t="shared" si="201"/>
        <v>1</v>
      </c>
    </row>
    <row r="1579" spans="1:38" ht="15" x14ac:dyDescent="0.25">
      <c r="A1579" s="1" t="s">
        <v>4758</v>
      </c>
      <c r="B1579" s="1" t="s">
        <v>4759</v>
      </c>
      <c r="C1579" s="1" t="s">
        <v>416</v>
      </c>
      <c r="D1579" s="1" t="s">
        <v>416</v>
      </c>
      <c r="E1579" s="6">
        <v>60.72</v>
      </c>
      <c r="F1579" s="1" t="s">
        <v>53</v>
      </c>
      <c r="G1579" s="6">
        <f ca="1">IFERROR(__xludf.DUMMYFUNCTION("iferror(GOOGLEFINANCE(TRIM(F1579)&amp;"":"" &amp; TRIM(B1579), ""price""),0
)"),0)</f>
        <v>0</v>
      </c>
      <c r="H1579" s="6">
        <v>117.95</v>
      </c>
      <c r="I1579" s="6">
        <f t="shared" ca="1" si="0"/>
        <v>117.95</v>
      </c>
      <c r="J1579" s="6">
        <f ca="1">IFERROR(__xludf.DUMMYFUNCTION("IFERROR(GOOGLEFINANCE(B1579, ""volume""), 0)"),0)</f>
        <v>0</v>
      </c>
      <c r="K1579" s="6">
        <v>4.33</v>
      </c>
      <c r="L1579" s="6">
        <f ca="1">IFERROR(__xludf.DUMMYFUNCTION("IFERROR(GOOGLEFINANCE(B1579,""changepct""),K1579)"),4.33)</f>
        <v>4.33</v>
      </c>
      <c r="M1579" s="6">
        <f ca="1">IFERROR(__xludf.DUMMYFUNCTION("IFERROR(GOOGLEFINANCE(B1579,""change""),0)"),0)</f>
        <v>0</v>
      </c>
      <c r="N1579" s="6">
        <v>1</v>
      </c>
      <c r="O1579" s="7">
        <v>45536</v>
      </c>
      <c r="P1579" s="6">
        <v>10.38</v>
      </c>
      <c r="Q1579" s="6">
        <v>70.89</v>
      </c>
      <c r="R1579" s="7">
        <v>45536</v>
      </c>
      <c r="S1579" s="6">
        <v>52.02</v>
      </c>
      <c r="T1579" s="6">
        <v>-0.05</v>
      </c>
      <c r="U1579" s="7">
        <v>45536</v>
      </c>
      <c r="V1579" s="6">
        <v>0</v>
      </c>
      <c r="W1579" s="6">
        <f ca="1">IFERROR(__xludf.DUMMYFUNCTION("IFERROR(GOOGLEFINANCE(B1579,""pe""),V1579)"),0)</f>
        <v>0</v>
      </c>
      <c r="X1579" s="6">
        <v>0</v>
      </c>
      <c r="Y1579" s="6">
        <v>2.91</v>
      </c>
      <c r="Z1579" s="6">
        <v>1</v>
      </c>
      <c r="AA1579" s="8">
        <v>45352</v>
      </c>
      <c r="AB1579" s="4">
        <v>0.06</v>
      </c>
      <c r="AC1579" s="6">
        <v>2.2599999999999998</v>
      </c>
      <c r="AD1579" s="6">
        <v>4.34</v>
      </c>
      <c r="AE1579" s="1">
        <v>0</v>
      </c>
      <c r="AF1579" s="1">
        <f ca="1">IFERROR(__xludf.DUMMYFUNCTION("IFERROR(GOOGLEFINANCE(TRIM(F1579)&amp;"":"" &amp; TRIM(B1579),""high52""),AE1579)"),0)</f>
        <v>0</v>
      </c>
      <c r="AG1579" s="1">
        <v>0</v>
      </c>
      <c r="AH1579" s="1">
        <f ca="1">IFERROR(__xludf.DUMMYFUNCTION("IFERROR(GOOGLEFINANCE(TRIM(F1579)&amp;"":"" &amp; TRIM(B1579),""low52""),AE1579)"),0)</f>
        <v>0</v>
      </c>
      <c r="AI1579" s="1">
        <f ca="1">IFERROR(__xludf.DUMMYFUNCTION("IFERROR(GOOGLEFINANCE(B1579,""eps""),0)"),0)</f>
        <v>0</v>
      </c>
      <c r="AJ1579" s="1"/>
      <c r="AK1579" s="1" t="s">
        <v>4760</v>
      </c>
      <c r="AL1579" s="9">
        <f t="shared" si="201"/>
        <v>1</v>
      </c>
    </row>
    <row r="1580" spans="1:38" ht="15" x14ac:dyDescent="0.25">
      <c r="A1580" s="1" t="s">
        <v>4761</v>
      </c>
      <c r="B1580" s="1" t="s">
        <v>4762</v>
      </c>
      <c r="C1580" s="1" t="s">
        <v>416</v>
      </c>
      <c r="D1580" s="1" t="s">
        <v>416</v>
      </c>
      <c r="E1580" s="6">
        <v>140.65</v>
      </c>
      <c r="F1580" s="1" t="s">
        <v>53</v>
      </c>
      <c r="G1580" s="6">
        <f ca="1">IFERROR(__xludf.DUMMYFUNCTION("iferror(GOOGLEFINANCE(TRIM(F1580)&amp;"":"" &amp; TRIM(B1580), ""price""),0
)"),0)</f>
        <v>0</v>
      </c>
      <c r="H1580" s="6">
        <v>151.85</v>
      </c>
      <c r="I1580" s="6">
        <f t="shared" ca="1" si="0"/>
        <v>151.85</v>
      </c>
      <c r="J1580" s="6">
        <f ca="1">IFERROR(__xludf.DUMMYFUNCTION("IFERROR(GOOGLEFINANCE(B1580, ""volume""), 0)"),0)</f>
        <v>0</v>
      </c>
      <c r="K1580" s="6">
        <v>-0.75</v>
      </c>
      <c r="L1580" s="6">
        <f ca="1">IFERROR(__xludf.DUMMYFUNCTION("IFERROR(GOOGLEFINANCE(B1580,""changepct""),K1580)"),-0.75)</f>
        <v>-0.75</v>
      </c>
      <c r="M1580" s="6">
        <f ca="1">IFERROR(__xludf.DUMMYFUNCTION("IFERROR(GOOGLEFINANCE(B1580,""change""),0)"),0)</f>
        <v>0</v>
      </c>
      <c r="N1580" s="6">
        <v>1</v>
      </c>
      <c r="O1580" s="7">
        <v>45536</v>
      </c>
      <c r="P1580" s="6">
        <v>11.23</v>
      </c>
      <c r="Q1580" s="6">
        <v>146.09</v>
      </c>
      <c r="R1580" s="7">
        <v>45536</v>
      </c>
      <c r="S1580" s="6">
        <v>142</v>
      </c>
      <c r="T1580" s="6">
        <v>8.34</v>
      </c>
      <c r="U1580" s="7">
        <v>45536</v>
      </c>
      <c r="V1580" s="6">
        <v>16.86</v>
      </c>
      <c r="W1580" s="6">
        <f ca="1">IFERROR(__xludf.DUMMYFUNCTION("IFERROR(GOOGLEFINANCE(B1580,""pe""),V1580)"),16.86)</f>
        <v>16.86</v>
      </c>
      <c r="X1580" s="6">
        <v>0.15</v>
      </c>
      <c r="Y1580" s="6">
        <v>4.99</v>
      </c>
      <c r="Z1580" s="6">
        <v>2</v>
      </c>
      <c r="AA1580" s="8">
        <v>44986</v>
      </c>
      <c r="AB1580" s="4">
        <v>0.47</v>
      </c>
      <c r="AC1580" s="6">
        <v>38.96</v>
      </c>
      <c r="AD1580" s="6">
        <v>34.090000000000003</v>
      </c>
      <c r="AE1580" s="1">
        <v>0</v>
      </c>
      <c r="AF1580" s="1">
        <f ca="1">IFERROR(__xludf.DUMMYFUNCTION("IFERROR(GOOGLEFINANCE(TRIM(F1580)&amp;"":"" &amp; TRIM(B1580),""high52""),AE1580)"),0)</f>
        <v>0</v>
      </c>
      <c r="AG1580" s="1">
        <v>0</v>
      </c>
      <c r="AH1580" s="1">
        <f ca="1">IFERROR(__xludf.DUMMYFUNCTION("IFERROR(GOOGLEFINANCE(TRIM(F1580)&amp;"":"" &amp; TRIM(B1580),""low52""),AE1580)"),0)</f>
        <v>0</v>
      </c>
      <c r="AI1580" s="1">
        <f ca="1">IFERROR(__xludf.DUMMYFUNCTION("IFERROR(GOOGLEFINANCE(B1580,""eps""),0)"),0)</f>
        <v>0</v>
      </c>
      <c r="AJ1580" s="1"/>
      <c r="AK1580" s="1" t="s">
        <v>4763</v>
      </c>
      <c r="AL1580" s="9">
        <f t="shared" si="201"/>
        <v>1</v>
      </c>
    </row>
    <row r="1581" spans="1:38" ht="15" x14ac:dyDescent="0.25">
      <c r="A1581" s="1" t="s">
        <v>4764</v>
      </c>
      <c r="B1581" s="1" t="s">
        <v>4765</v>
      </c>
      <c r="C1581" s="1" t="s">
        <v>355</v>
      </c>
      <c r="D1581" s="1" t="s">
        <v>355</v>
      </c>
      <c r="E1581" s="6">
        <v>1627.84</v>
      </c>
      <c r="F1581" s="1" t="s">
        <v>40</v>
      </c>
      <c r="G1581" s="6">
        <f ca="1">IFERROR(__xludf.DUMMYFUNCTION("iferror(GOOGLEFINANCE(TRIM(F1581)&amp;"":"" &amp; TRIM(B1581), ""price""),0
)"),710.1)</f>
        <v>710.1</v>
      </c>
      <c r="H1581" s="6">
        <v>733</v>
      </c>
      <c r="I1581" s="6">
        <f t="shared" ca="1" si="0"/>
        <v>710.1</v>
      </c>
      <c r="J1581" s="6">
        <f ca="1">IFERROR(__xludf.DUMMYFUNCTION("IFERROR(GOOGLEFINANCE(B1581, ""volume""), 0)"),9527)</f>
        <v>9527</v>
      </c>
      <c r="K1581" s="6">
        <v>1.77</v>
      </c>
      <c r="L1581" s="6">
        <f ca="1">IFERROR(__xludf.DUMMYFUNCTION("IFERROR(GOOGLEFINANCE(B1581,""changepct""),K1581)"),-1.78)</f>
        <v>-1.78</v>
      </c>
      <c r="M1581" s="6">
        <f ca="1">IFERROR(__xludf.DUMMYFUNCTION("IFERROR(GOOGLEFINANCE(B1581,""change""),0)"),-12.9)</f>
        <v>-12.9</v>
      </c>
      <c r="N1581" s="6">
        <v>2</v>
      </c>
      <c r="O1581" s="7">
        <v>45536</v>
      </c>
      <c r="P1581" s="12"/>
      <c r="Q1581" s="6">
        <v>1610.49</v>
      </c>
      <c r="R1581" s="7">
        <v>45536</v>
      </c>
      <c r="S1581" s="6">
        <v>770.94</v>
      </c>
      <c r="T1581" s="6">
        <v>71.8</v>
      </c>
      <c r="U1581" s="7">
        <v>45536</v>
      </c>
      <c r="V1581" s="6">
        <v>22.67</v>
      </c>
      <c r="W1581" s="6">
        <f ca="1">IFERROR(__xludf.DUMMYFUNCTION("IFERROR(GOOGLEFINANCE(B1581,""pe""),V1581)"),18.02)</f>
        <v>18.02</v>
      </c>
      <c r="X1581" s="6">
        <v>90.69</v>
      </c>
      <c r="Y1581" s="6">
        <v>2.4500000000000002</v>
      </c>
      <c r="Z1581" s="6">
        <v>2</v>
      </c>
      <c r="AA1581" s="8">
        <v>45352</v>
      </c>
      <c r="AB1581" s="4">
        <v>0</v>
      </c>
      <c r="AC1581" s="6">
        <v>10.02</v>
      </c>
      <c r="AD1581" s="6">
        <v>12.87</v>
      </c>
      <c r="AE1581" s="1">
        <v>0</v>
      </c>
      <c r="AF1581" s="1">
        <f ca="1">IFERROR(__xludf.DUMMYFUNCTION("IFERROR(GOOGLEFINANCE(TRIM(F1581)&amp;"":"" &amp; TRIM(B1581),""high52""),AE1581)"),1099.9)</f>
        <v>1099.9000000000001</v>
      </c>
      <c r="AG1581" s="1">
        <v>0</v>
      </c>
      <c r="AH1581" s="1">
        <f ca="1">IFERROR(__xludf.DUMMYFUNCTION("IFERROR(GOOGLEFINANCE(TRIM(F1581)&amp;"":"" &amp; TRIM(B1581),""low52""),AE1581)"),545.3)</f>
        <v>545.29999999999995</v>
      </c>
      <c r="AI1581" s="1">
        <f ca="1">IFERROR(__xludf.DUMMYFUNCTION("IFERROR(GOOGLEFINANCE(B1581,""eps""),0)"),39.41)</f>
        <v>39.409999999999997</v>
      </c>
      <c r="AJ1581" s="1"/>
      <c r="AK1581" s="1" t="s">
        <v>4766</v>
      </c>
      <c r="AL1581" s="1" t="b">
        <f>ISNUMBER(AA1581)</f>
        <v>1</v>
      </c>
    </row>
    <row r="1582" spans="1:38" ht="15" x14ac:dyDescent="0.25">
      <c r="A1582" s="1" t="s">
        <v>4767</v>
      </c>
      <c r="B1582" s="1" t="s">
        <v>4768</v>
      </c>
      <c r="C1582" s="1" t="s">
        <v>416</v>
      </c>
      <c r="D1582" s="1" t="s">
        <v>416</v>
      </c>
      <c r="E1582" s="6">
        <v>157.24</v>
      </c>
      <c r="F1582" s="1" t="s">
        <v>53</v>
      </c>
      <c r="G1582" s="6">
        <f ca="1">IFERROR(__xludf.DUMMYFUNCTION("iferror(GOOGLEFINANCE(TRIM(F1582)&amp;"":"" &amp; TRIM(B1582), ""price""),0
)"),0)</f>
        <v>0</v>
      </c>
      <c r="H1582" s="6">
        <v>78.930000000000007</v>
      </c>
      <c r="I1582" s="6">
        <f t="shared" ca="1" si="0"/>
        <v>78.930000000000007</v>
      </c>
      <c r="J1582" s="6">
        <f ca="1">IFERROR(__xludf.DUMMYFUNCTION("IFERROR(GOOGLEFINANCE(B1582, ""volume""), 0)"),0)</f>
        <v>0</v>
      </c>
      <c r="K1582" s="6">
        <v>0</v>
      </c>
      <c r="L1582" s="6">
        <f ca="1">IFERROR(__xludf.DUMMYFUNCTION("IFERROR(GOOGLEFINANCE(B1582,""changepct""),K1582)"),0)</f>
        <v>0</v>
      </c>
      <c r="M1582" s="6">
        <f ca="1">IFERROR(__xludf.DUMMYFUNCTION("IFERROR(GOOGLEFINANCE(B1582,""change""),0)"),0)</f>
        <v>0</v>
      </c>
      <c r="N1582" s="6">
        <v>1</v>
      </c>
      <c r="O1582" s="7">
        <v>45536</v>
      </c>
      <c r="P1582" s="6">
        <v>18.739999999999998</v>
      </c>
      <c r="Q1582" s="6">
        <v>175.98</v>
      </c>
      <c r="R1582" s="7">
        <v>45536</v>
      </c>
      <c r="S1582" s="6">
        <v>177.25</v>
      </c>
      <c r="T1582" s="6">
        <v>6.1</v>
      </c>
      <c r="U1582" s="7">
        <v>45536</v>
      </c>
      <c r="V1582" s="6">
        <v>25.77</v>
      </c>
      <c r="W1582" s="6">
        <f ca="1">IFERROR(__xludf.DUMMYFUNCTION("IFERROR(GOOGLEFINANCE(B1582,""pe""),V1582)"),25.77)</f>
        <v>25.77</v>
      </c>
      <c r="X1582" s="6">
        <v>0.45</v>
      </c>
      <c r="Y1582" s="6">
        <v>1.74</v>
      </c>
      <c r="Z1582" s="6">
        <v>1</v>
      </c>
      <c r="AA1582" s="8">
        <v>45352</v>
      </c>
      <c r="AB1582" s="4">
        <v>0.13</v>
      </c>
      <c r="AC1582" s="6">
        <v>6.9</v>
      </c>
      <c r="AD1582" s="6">
        <v>9.52</v>
      </c>
      <c r="AE1582" s="1">
        <v>0</v>
      </c>
      <c r="AF1582" s="1">
        <f ca="1">IFERROR(__xludf.DUMMYFUNCTION("IFERROR(GOOGLEFINANCE(TRIM(F1582)&amp;"":"" &amp; TRIM(B1582),""high52""),AE1582)"),0)</f>
        <v>0</v>
      </c>
      <c r="AG1582" s="1">
        <v>0</v>
      </c>
      <c r="AH1582" s="1">
        <f ca="1">IFERROR(__xludf.DUMMYFUNCTION("IFERROR(GOOGLEFINANCE(TRIM(F1582)&amp;"":"" &amp; TRIM(B1582),""low52""),AE1582)"),0)</f>
        <v>0</v>
      </c>
      <c r="AI1582" s="1">
        <f ca="1">IFERROR(__xludf.DUMMYFUNCTION("IFERROR(GOOGLEFINANCE(B1582,""eps""),0)"),0)</f>
        <v>0</v>
      </c>
      <c r="AJ1582" s="1"/>
      <c r="AK1582" s="1" t="s">
        <v>4769</v>
      </c>
      <c r="AL1582" s="9">
        <f t="shared" ref="AL1582:AL1597" si="202">IF(AA1582&lt;&gt;AB1582,1,0)</f>
        <v>1</v>
      </c>
    </row>
    <row r="1583" spans="1:38" ht="15" x14ac:dyDescent="0.25">
      <c r="A1583" s="1" t="s">
        <v>4770</v>
      </c>
      <c r="B1583" s="1" t="s">
        <v>4771</v>
      </c>
      <c r="C1583" s="1" t="s">
        <v>697</v>
      </c>
      <c r="D1583" s="1" t="s">
        <v>697</v>
      </c>
      <c r="E1583" s="6">
        <v>2081.58</v>
      </c>
      <c r="F1583" s="1" t="s">
        <v>40</v>
      </c>
      <c r="G1583" s="6">
        <f ca="1">IFERROR(__xludf.DUMMYFUNCTION("iferror(GOOGLEFINANCE(TRIM(F1583)&amp;"":"" &amp; TRIM(B1583), ""price""),0
)"),159)</f>
        <v>159</v>
      </c>
      <c r="H1583" s="6">
        <v>181.77</v>
      </c>
      <c r="I1583" s="6">
        <f t="shared" ca="1" si="0"/>
        <v>159</v>
      </c>
      <c r="J1583" s="6">
        <f ca="1">IFERROR(__xludf.DUMMYFUNCTION("IFERROR(GOOGLEFINANCE(B1583, ""volume""), 0)"),69856)</f>
        <v>69856</v>
      </c>
      <c r="K1583" s="6">
        <v>0.49</v>
      </c>
      <c r="L1583" s="6">
        <f ca="1">IFERROR(__xludf.DUMMYFUNCTION("IFERROR(GOOGLEFINANCE(B1583,""changepct""),K1583)"),0.73)</f>
        <v>0.73</v>
      </c>
      <c r="M1583" s="6">
        <f ca="1">IFERROR(__xludf.DUMMYFUNCTION("IFERROR(GOOGLEFINANCE(B1583,""change""),0)"),1.16)</f>
        <v>1.1599999999999999</v>
      </c>
      <c r="N1583" s="6">
        <v>2</v>
      </c>
      <c r="O1583" s="7">
        <v>45536</v>
      </c>
      <c r="P1583" s="6">
        <v>20.18</v>
      </c>
      <c r="Q1583" s="6">
        <v>2012.88</v>
      </c>
      <c r="R1583" s="7">
        <v>45536</v>
      </c>
      <c r="S1583" s="6">
        <v>726.14</v>
      </c>
      <c r="T1583" s="6">
        <v>70.44</v>
      </c>
      <c r="U1583" s="7">
        <v>45536</v>
      </c>
      <c r="V1583" s="6">
        <v>29.55</v>
      </c>
      <c r="W1583" s="6">
        <f ca="1">IFERROR(__xludf.DUMMYFUNCTION("IFERROR(GOOGLEFINANCE(B1583,""pe""),V1583)"),17.83)</f>
        <v>17.829999999999998</v>
      </c>
      <c r="X1583" s="9"/>
      <c r="Y1583" s="6">
        <v>2.41</v>
      </c>
      <c r="Z1583" s="6">
        <v>2</v>
      </c>
      <c r="AA1583" s="8">
        <v>45352</v>
      </c>
      <c r="AB1583" s="4">
        <v>0.02</v>
      </c>
      <c r="AC1583" s="6">
        <v>7.53</v>
      </c>
      <c r="AD1583" s="6">
        <v>10.7</v>
      </c>
      <c r="AE1583" s="1">
        <v>0</v>
      </c>
      <c r="AF1583" s="1">
        <f ca="1">IFERROR(__xludf.DUMMYFUNCTION("IFERROR(GOOGLEFINANCE(TRIM(F1583)&amp;"":"" &amp; TRIM(B1583),""high52""),AE1583)"),245.84)</f>
        <v>245.84</v>
      </c>
      <c r="AG1583" s="1">
        <v>0</v>
      </c>
      <c r="AH1583" s="1">
        <f ca="1">IFERROR(__xludf.DUMMYFUNCTION("IFERROR(GOOGLEFINANCE(TRIM(F1583)&amp;"":"" &amp; TRIM(B1583),""low52""),AE1583)"),119.79)</f>
        <v>119.79</v>
      </c>
      <c r="AI1583" s="1">
        <f ca="1">IFERROR(__xludf.DUMMYFUNCTION("IFERROR(GOOGLEFINANCE(B1583,""eps""),0)"),8.92)</f>
        <v>8.92</v>
      </c>
      <c r="AJ1583" s="1"/>
      <c r="AK1583" s="1" t="s">
        <v>4772</v>
      </c>
      <c r="AL1583" s="9">
        <f t="shared" si="202"/>
        <v>1</v>
      </c>
    </row>
    <row r="1584" spans="1:38" ht="15" x14ac:dyDescent="0.25">
      <c r="A1584" s="1" t="s">
        <v>4773</v>
      </c>
      <c r="B1584" s="1" t="s">
        <v>4774</v>
      </c>
      <c r="C1584" s="1" t="s">
        <v>268</v>
      </c>
      <c r="D1584" s="1" t="s">
        <v>268</v>
      </c>
      <c r="E1584" s="6">
        <v>1657.39</v>
      </c>
      <c r="F1584" s="1" t="s">
        <v>40</v>
      </c>
      <c r="G1584" s="6">
        <f ca="1">IFERROR(__xludf.DUMMYFUNCTION("iferror(GOOGLEFINANCE(TRIM(F1584)&amp;"":"" &amp; TRIM(B1584), ""price""),0
)"),9.09)</f>
        <v>9.09</v>
      </c>
      <c r="H1584" s="6">
        <v>17.23</v>
      </c>
      <c r="I1584" s="6">
        <f t="shared" ca="1" si="0"/>
        <v>9.09</v>
      </c>
      <c r="J1584" s="6">
        <f ca="1">IFERROR(__xludf.DUMMYFUNCTION("IFERROR(GOOGLEFINANCE(B1584, ""volume""), 0)"),108858)</f>
        <v>108858</v>
      </c>
      <c r="K1584" s="6">
        <v>1.23</v>
      </c>
      <c r="L1584" s="6">
        <f ca="1">IFERROR(__xludf.DUMMYFUNCTION("IFERROR(GOOGLEFINANCE(B1584,""changepct""),K1584)"),1.22)</f>
        <v>1.22</v>
      </c>
      <c r="M1584" s="6">
        <f ca="1">IFERROR(__xludf.DUMMYFUNCTION("IFERROR(GOOGLEFINANCE(B1584,""change""),0)"),0.11)</f>
        <v>0.11</v>
      </c>
      <c r="N1584" s="6">
        <v>2</v>
      </c>
      <c r="O1584" s="7">
        <v>45536</v>
      </c>
      <c r="P1584" s="6">
        <v>169.99</v>
      </c>
      <c r="Q1584" s="6">
        <v>1788.28</v>
      </c>
      <c r="R1584" s="7">
        <v>45536</v>
      </c>
      <c r="S1584" s="6">
        <v>630.32000000000005</v>
      </c>
      <c r="T1584" s="6">
        <v>17.39</v>
      </c>
      <c r="U1584" s="7">
        <v>45536</v>
      </c>
      <c r="V1584" s="6">
        <v>93.14</v>
      </c>
      <c r="W1584" s="6">
        <f ca="1">IFERROR(__xludf.DUMMYFUNCTION("IFERROR(GOOGLEFINANCE(B1584,""pe""),V1584)"),136.02)</f>
        <v>136.02000000000001</v>
      </c>
      <c r="X1584" s="6">
        <v>40.32</v>
      </c>
      <c r="Y1584" s="6">
        <v>3.04</v>
      </c>
      <c r="Z1584" s="6">
        <v>2</v>
      </c>
      <c r="AA1584" s="8">
        <v>45352</v>
      </c>
      <c r="AB1584" s="4">
        <v>0.39</v>
      </c>
      <c r="AC1584" s="6">
        <v>3.24</v>
      </c>
      <c r="AD1584" s="6">
        <v>6.58</v>
      </c>
      <c r="AE1584" s="1">
        <v>0</v>
      </c>
      <c r="AF1584" s="1">
        <f ca="1">IFERROR(__xludf.DUMMYFUNCTION("IFERROR(GOOGLEFINANCE(TRIM(F1584)&amp;"":"" &amp; TRIM(B1584),""high52""),AE1584)"),15.48)</f>
        <v>15.48</v>
      </c>
      <c r="AG1584" s="1">
        <v>0</v>
      </c>
      <c r="AH1584" s="1">
        <f ca="1">IFERROR(__xludf.DUMMYFUNCTION("IFERROR(GOOGLEFINANCE(TRIM(F1584)&amp;"":"" &amp; TRIM(B1584),""low52""),AE1584)"),8)</f>
        <v>8</v>
      </c>
      <c r="AI1584" s="1">
        <f ca="1">IFERROR(__xludf.DUMMYFUNCTION("IFERROR(GOOGLEFINANCE(B1584,""eps""),0)"),0.07)</f>
        <v>7.0000000000000007E-2</v>
      </c>
      <c r="AJ1584" s="1"/>
      <c r="AK1584" s="1" t="s">
        <v>4775</v>
      </c>
      <c r="AL1584" s="9">
        <f t="shared" si="202"/>
        <v>1</v>
      </c>
    </row>
    <row r="1585" spans="1:38" ht="15" x14ac:dyDescent="0.25">
      <c r="A1585" s="1" t="s">
        <v>4776</v>
      </c>
      <c r="B1585" s="1" t="s">
        <v>4777</v>
      </c>
      <c r="C1585" s="1" t="s">
        <v>416</v>
      </c>
      <c r="D1585" s="1" t="s">
        <v>416</v>
      </c>
      <c r="E1585" s="6">
        <v>174.93</v>
      </c>
      <c r="F1585" s="1" t="s">
        <v>53</v>
      </c>
      <c r="G1585" s="6">
        <f ca="1">IFERROR(__xludf.DUMMYFUNCTION("iferror(GOOGLEFINANCE(TRIM(F1585)&amp;"":"" &amp; TRIM(B1585), ""price""),0
)"),0)</f>
        <v>0</v>
      </c>
      <c r="H1585" s="6">
        <v>191</v>
      </c>
      <c r="I1585" s="6">
        <f t="shared" ca="1" si="0"/>
        <v>191</v>
      </c>
      <c r="J1585" s="6">
        <f ca="1">IFERROR(__xludf.DUMMYFUNCTION("IFERROR(GOOGLEFINANCE(B1585, ""volume""), 0)"),0)</f>
        <v>0</v>
      </c>
      <c r="K1585" s="6">
        <v>-1.7</v>
      </c>
      <c r="L1585" s="6">
        <f ca="1">IFERROR(__xludf.DUMMYFUNCTION("IFERROR(GOOGLEFINANCE(B1585,""changepct""),K1585)"),-1.7)</f>
        <v>-1.7</v>
      </c>
      <c r="M1585" s="6">
        <f ca="1">IFERROR(__xludf.DUMMYFUNCTION("IFERROR(GOOGLEFINANCE(B1585,""change""),0)"),0)</f>
        <v>0</v>
      </c>
      <c r="N1585" s="6">
        <v>1</v>
      </c>
      <c r="O1585" s="7">
        <v>45536</v>
      </c>
      <c r="P1585" s="6">
        <v>56.39</v>
      </c>
      <c r="Q1585" s="6">
        <v>224.38</v>
      </c>
      <c r="R1585" s="7">
        <v>45536</v>
      </c>
      <c r="S1585" s="6">
        <v>224.05</v>
      </c>
      <c r="T1585" s="6">
        <v>5.51</v>
      </c>
      <c r="U1585" s="7">
        <v>45536</v>
      </c>
      <c r="V1585" s="6">
        <v>31.75</v>
      </c>
      <c r="W1585" s="6">
        <f ca="1">IFERROR(__xludf.DUMMYFUNCTION("IFERROR(GOOGLEFINANCE(B1585,""pe""),V1585)"),31.75)</f>
        <v>31.75</v>
      </c>
      <c r="X1585" s="6">
        <v>1.31</v>
      </c>
      <c r="Y1585" s="6">
        <v>2.96</v>
      </c>
      <c r="Z1585" s="6">
        <v>1</v>
      </c>
      <c r="AA1585" s="8">
        <v>45352</v>
      </c>
      <c r="AB1585" s="4">
        <v>1.1499999999999999</v>
      </c>
      <c r="AC1585" s="6">
        <v>12.23</v>
      </c>
      <c r="AD1585" s="6">
        <v>15.04</v>
      </c>
      <c r="AE1585" s="1">
        <v>0</v>
      </c>
      <c r="AF1585" s="1">
        <f ca="1">IFERROR(__xludf.DUMMYFUNCTION("IFERROR(GOOGLEFINANCE(TRIM(F1585)&amp;"":"" &amp; TRIM(B1585),""high52""),AE1585)"),0)</f>
        <v>0</v>
      </c>
      <c r="AG1585" s="1">
        <v>0</v>
      </c>
      <c r="AH1585" s="1">
        <f ca="1">IFERROR(__xludf.DUMMYFUNCTION("IFERROR(GOOGLEFINANCE(TRIM(F1585)&amp;"":"" &amp; TRIM(B1585),""low52""),AE1585)"),0)</f>
        <v>0</v>
      </c>
      <c r="AI1585" s="1">
        <f ca="1">IFERROR(__xludf.DUMMYFUNCTION("IFERROR(GOOGLEFINANCE(B1585,""eps""),0)"),0)</f>
        <v>0</v>
      </c>
      <c r="AJ1585" s="1"/>
      <c r="AK1585" s="1" t="s">
        <v>4778</v>
      </c>
      <c r="AL1585" s="9">
        <f t="shared" si="202"/>
        <v>1</v>
      </c>
    </row>
    <row r="1586" spans="1:38" ht="15" x14ac:dyDescent="0.25">
      <c r="A1586" s="1" t="s">
        <v>4779</v>
      </c>
      <c r="B1586" s="1" t="s">
        <v>4780</v>
      </c>
      <c r="C1586" s="1" t="s">
        <v>416</v>
      </c>
      <c r="D1586" s="1" t="s">
        <v>416</v>
      </c>
      <c r="E1586" s="6">
        <v>205.1</v>
      </c>
      <c r="F1586" s="1" t="s">
        <v>53</v>
      </c>
      <c r="G1586" s="6">
        <f ca="1">IFERROR(__xludf.DUMMYFUNCTION("iferror(GOOGLEFINANCE(TRIM(F1586)&amp;"":"" &amp; TRIM(B1586), ""price""),0
)"),0)</f>
        <v>0</v>
      </c>
      <c r="H1586" s="6">
        <v>340</v>
      </c>
      <c r="I1586" s="6">
        <f t="shared" ca="1" si="0"/>
        <v>340</v>
      </c>
      <c r="J1586" s="6">
        <f ca="1">IFERROR(__xludf.DUMMYFUNCTION("IFERROR(GOOGLEFINANCE(B1586, ""volume""), 0)"),0)</f>
        <v>0</v>
      </c>
      <c r="K1586" s="6">
        <v>1.95</v>
      </c>
      <c r="L1586" s="6">
        <f ca="1">IFERROR(__xludf.DUMMYFUNCTION("IFERROR(GOOGLEFINANCE(B1586,""changepct""),K1586)"),1.95)</f>
        <v>1.95</v>
      </c>
      <c r="M1586" s="6">
        <f ca="1">IFERROR(__xludf.DUMMYFUNCTION("IFERROR(GOOGLEFINANCE(B1586,""change""),0)"),0)</f>
        <v>0</v>
      </c>
      <c r="N1586" s="6">
        <v>2</v>
      </c>
      <c r="O1586" s="7">
        <v>45536</v>
      </c>
      <c r="P1586" s="6">
        <v>3.7</v>
      </c>
      <c r="Q1586" s="6">
        <v>206.89</v>
      </c>
      <c r="R1586" s="7">
        <v>45536</v>
      </c>
      <c r="S1586" s="6">
        <v>89.1</v>
      </c>
      <c r="T1586" s="6">
        <v>10.54</v>
      </c>
      <c r="U1586" s="7">
        <v>45536</v>
      </c>
      <c r="V1586" s="6">
        <v>19.46</v>
      </c>
      <c r="W1586" s="6">
        <f ca="1">IFERROR(__xludf.DUMMYFUNCTION("IFERROR(GOOGLEFINANCE(B1586,""pe""),V1586)"),19.46)</f>
        <v>19.46</v>
      </c>
      <c r="X1586" s="9"/>
      <c r="Y1586" s="6">
        <v>2.0099999999999998</v>
      </c>
      <c r="Z1586" s="6">
        <v>2</v>
      </c>
      <c r="AA1586" s="8">
        <v>45352</v>
      </c>
      <c r="AB1586" s="4">
        <v>0.03</v>
      </c>
      <c r="AC1586" s="6">
        <v>12.42</v>
      </c>
      <c r="AD1586" s="6">
        <v>16.09</v>
      </c>
      <c r="AE1586" s="1">
        <v>0</v>
      </c>
      <c r="AF1586" s="1">
        <f ca="1">IFERROR(__xludf.DUMMYFUNCTION("IFERROR(GOOGLEFINANCE(TRIM(F1586)&amp;"":"" &amp; TRIM(B1586),""high52""),AE1586)"),0)</f>
        <v>0</v>
      </c>
      <c r="AG1586" s="1">
        <v>0</v>
      </c>
      <c r="AH1586" s="1">
        <f ca="1">IFERROR(__xludf.DUMMYFUNCTION("IFERROR(GOOGLEFINANCE(TRIM(F1586)&amp;"":"" &amp; TRIM(B1586),""low52""),AE1586)"),0)</f>
        <v>0</v>
      </c>
      <c r="AI1586" s="1">
        <f ca="1">IFERROR(__xludf.DUMMYFUNCTION("IFERROR(GOOGLEFINANCE(B1586,""eps""),0)"),0)</f>
        <v>0</v>
      </c>
      <c r="AJ1586" s="1"/>
      <c r="AK1586" s="1" t="s">
        <v>4781</v>
      </c>
      <c r="AL1586" s="9">
        <f t="shared" si="202"/>
        <v>1</v>
      </c>
    </row>
    <row r="1587" spans="1:38" ht="15" x14ac:dyDescent="0.25">
      <c r="A1587" s="1" t="s">
        <v>4782</v>
      </c>
      <c r="B1587" s="1" t="s">
        <v>4783</v>
      </c>
      <c r="C1587" s="1" t="s">
        <v>416</v>
      </c>
      <c r="D1587" s="1" t="s">
        <v>416</v>
      </c>
      <c r="E1587" s="6">
        <v>458.55</v>
      </c>
      <c r="F1587" s="1" t="s">
        <v>53</v>
      </c>
      <c r="G1587" s="6">
        <f ca="1">IFERROR(__xludf.DUMMYFUNCTION("iferror(GOOGLEFINANCE(TRIM(F1587)&amp;"":"" &amp; TRIM(B1587), ""price""),0
)"),0)</f>
        <v>0</v>
      </c>
      <c r="H1587" s="6">
        <v>231.5</v>
      </c>
      <c r="I1587" s="6">
        <f t="shared" ca="1" si="0"/>
        <v>231.5</v>
      </c>
      <c r="J1587" s="6">
        <f ca="1">IFERROR(__xludf.DUMMYFUNCTION("IFERROR(GOOGLEFINANCE(B1587, ""volume""), 0)"),0)</f>
        <v>0</v>
      </c>
      <c r="K1587" s="6">
        <v>1.98</v>
      </c>
      <c r="L1587" s="6">
        <f ca="1">IFERROR(__xludf.DUMMYFUNCTION("IFERROR(GOOGLEFINANCE(B1587,""changepct""),K1587)"),1.98)</f>
        <v>1.98</v>
      </c>
      <c r="M1587" s="6">
        <f ca="1">IFERROR(__xludf.DUMMYFUNCTION("IFERROR(GOOGLEFINANCE(B1587,""change""),0)"),0)</f>
        <v>0</v>
      </c>
      <c r="N1587" s="6">
        <v>2</v>
      </c>
      <c r="O1587" s="7">
        <v>45536</v>
      </c>
      <c r="P1587" s="6">
        <v>58.27</v>
      </c>
      <c r="Q1587" s="6">
        <v>516.83000000000004</v>
      </c>
      <c r="R1587" s="7">
        <v>45536</v>
      </c>
      <c r="S1587" s="6">
        <v>133.44</v>
      </c>
      <c r="T1587" s="6">
        <v>12.7</v>
      </c>
      <c r="U1587" s="7">
        <v>45536</v>
      </c>
      <c r="V1587" s="6">
        <v>36.159999999999997</v>
      </c>
      <c r="W1587" s="6">
        <f ca="1">IFERROR(__xludf.DUMMYFUNCTION("IFERROR(GOOGLEFINANCE(B1587,""pe""),V1587)"),36.16)</f>
        <v>36.159999999999997</v>
      </c>
      <c r="X1587" s="9"/>
      <c r="Y1587" s="6">
        <v>7.06</v>
      </c>
      <c r="Z1587" s="6">
        <v>2</v>
      </c>
      <c r="AA1587" s="8">
        <v>45352</v>
      </c>
      <c r="AB1587" s="4">
        <v>1.89</v>
      </c>
      <c r="AC1587" s="6">
        <v>25.11</v>
      </c>
      <c r="AD1587" s="6">
        <v>8.64</v>
      </c>
      <c r="AE1587" s="1">
        <v>0</v>
      </c>
      <c r="AF1587" s="1">
        <f ca="1">IFERROR(__xludf.DUMMYFUNCTION("IFERROR(GOOGLEFINANCE(TRIM(F1587)&amp;"":"" &amp; TRIM(B1587),""high52""),AE1587)"),0)</f>
        <v>0</v>
      </c>
      <c r="AG1587" s="1">
        <v>0</v>
      </c>
      <c r="AH1587" s="1">
        <f ca="1">IFERROR(__xludf.DUMMYFUNCTION("IFERROR(GOOGLEFINANCE(TRIM(F1587)&amp;"":"" &amp; TRIM(B1587),""low52""),AE1587)"),0)</f>
        <v>0</v>
      </c>
      <c r="AI1587" s="1">
        <f ca="1">IFERROR(__xludf.DUMMYFUNCTION("IFERROR(GOOGLEFINANCE(B1587,""eps""),0)"),0)</f>
        <v>0</v>
      </c>
      <c r="AJ1587" s="1"/>
      <c r="AK1587" s="1" t="s">
        <v>4784</v>
      </c>
      <c r="AL1587" s="9">
        <f t="shared" si="202"/>
        <v>1</v>
      </c>
    </row>
    <row r="1588" spans="1:38" ht="15" x14ac:dyDescent="0.25">
      <c r="A1588" s="1" t="s">
        <v>4785</v>
      </c>
      <c r="B1588" s="1" t="s">
        <v>4786</v>
      </c>
      <c r="C1588" s="1" t="s">
        <v>416</v>
      </c>
      <c r="D1588" s="1" t="s">
        <v>416</v>
      </c>
      <c r="E1588" s="6">
        <v>191.34</v>
      </c>
      <c r="F1588" s="1" t="s">
        <v>53</v>
      </c>
      <c r="G1588" s="6">
        <f ca="1">IFERROR(__xludf.DUMMYFUNCTION("iferror(GOOGLEFINANCE(TRIM(F1588)&amp;"":"" &amp; TRIM(B1588), ""price""),0
)"),0)</f>
        <v>0</v>
      </c>
      <c r="H1588" s="6">
        <v>214.3</v>
      </c>
      <c r="I1588" s="6">
        <f t="shared" ca="1" si="0"/>
        <v>214.3</v>
      </c>
      <c r="J1588" s="6">
        <f ca="1">IFERROR(__xludf.DUMMYFUNCTION("IFERROR(GOOGLEFINANCE(B1588, ""volume""), 0)"),0)</f>
        <v>0</v>
      </c>
      <c r="K1588" s="6">
        <v>0.8</v>
      </c>
      <c r="L1588" s="6">
        <f ca="1">IFERROR(__xludf.DUMMYFUNCTION("IFERROR(GOOGLEFINANCE(B1588,""changepct""),K1588)"),0.8)</f>
        <v>0.8</v>
      </c>
      <c r="M1588" s="6">
        <f ca="1">IFERROR(__xludf.DUMMYFUNCTION("IFERROR(GOOGLEFINANCE(B1588,""change""),0)"),0)</f>
        <v>0</v>
      </c>
      <c r="N1588" s="6">
        <v>2</v>
      </c>
      <c r="O1588" s="7">
        <v>45536</v>
      </c>
      <c r="P1588" s="6">
        <v>72.16</v>
      </c>
      <c r="Q1588" s="6">
        <v>262.51</v>
      </c>
      <c r="R1588" s="7">
        <v>45536</v>
      </c>
      <c r="S1588" s="6">
        <v>561.41999999999996</v>
      </c>
      <c r="T1588" s="6">
        <v>2.35</v>
      </c>
      <c r="U1588" s="7">
        <v>45536</v>
      </c>
      <c r="V1588" s="6">
        <v>5.24</v>
      </c>
      <c r="W1588" s="6">
        <f ca="1">IFERROR(__xludf.DUMMYFUNCTION("IFERROR(GOOGLEFINANCE(B1588,""pe""),V1588)"),5.24)</f>
        <v>5.24</v>
      </c>
      <c r="X1588" s="6">
        <v>0.33</v>
      </c>
      <c r="Y1588" s="6">
        <v>0.61</v>
      </c>
      <c r="Z1588" s="6">
        <v>2</v>
      </c>
      <c r="AA1588" s="8">
        <v>45352</v>
      </c>
      <c r="AB1588" s="4">
        <v>0.2</v>
      </c>
      <c r="AC1588" s="6">
        <v>1.1299999999999999</v>
      </c>
      <c r="AD1588" s="6">
        <v>1.78</v>
      </c>
      <c r="AE1588" s="1">
        <v>0</v>
      </c>
      <c r="AF1588" s="1">
        <f ca="1">IFERROR(__xludf.DUMMYFUNCTION("IFERROR(GOOGLEFINANCE(TRIM(F1588)&amp;"":"" &amp; TRIM(B1588),""high52""),AE1588)"),0)</f>
        <v>0</v>
      </c>
      <c r="AG1588" s="1">
        <v>0</v>
      </c>
      <c r="AH1588" s="1">
        <f ca="1">IFERROR(__xludf.DUMMYFUNCTION("IFERROR(GOOGLEFINANCE(TRIM(F1588)&amp;"":"" &amp; TRIM(B1588),""low52""),AE1588)"),0)</f>
        <v>0</v>
      </c>
      <c r="AI1588" s="1">
        <f ca="1">IFERROR(__xludf.DUMMYFUNCTION("IFERROR(GOOGLEFINANCE(B1588,""eps""),0)"),0)</f>
        <v>0</v>
      </c>
      <c r="AJ1588" s="1"/>
      <c r="AK1588" s="1" t="s">
        <v>4787</v>
      </c>
      <c r="AL1588" s="9">
        <f t="shared" si="202"/>
        <v>1</v>
      </c>
    </row>
    <row r="1589" spans="1:38" ht="15" x14ac:dyDescent="0.25">
      <c r="A1589" s="1" t="s">
        <v>4788</v>
      </c>
      <c r="B1589" s="1" t="s">
        <v>4789</v>
      </c>
      <c r="C1589" s="1" t="s">
        <v>94</v>
      </c>
      <c r="D1589" s="1" t="s">
        <v>94</v>
      </c>
      <c r="E1589" s="6">
        <v>7512.5</v>
      </c>
      <c r="F1589" s="1" t="s">
        <v>40</v>
      </c>
      <c r="G1589" s="6">
        <f ca="1">IFERROR(__xludf.DUMMYFUNCTION("iferror(GOOGLEFINANCE(TRIM(F1589)&amp;"":"" &amp; TRIM(B1589), ""price""),0
)"),788)</f>
        <v>788</v>
      </c>
      <c r="H1589" s="6">
        <v>699.85</v>
      </c>
      <c r="I1589" s="6">
        <f t="shared" ca="1" si="0"/>
        <v>788</v>
      </c>
      <c r="J1589" s="6">
        <f ca="1">IFERROR(__xludf.DUMMYFUNCTION("IFERROR(GOOGLEFINANCE(B1589, ""volume""), 0)"),127492)</f>
        <v>127492</v>
      </c>
      <c r="K1589" s="6">
        <v>0.28000000000000003</v>
      </c>
      <c r="L1589" s="6">
        <f ca="1">IFERROR(__xludf.DUMMYFUNCTION("IFERROR(GOOGLEFINANCE(B1589,""changepct""),K1589)"),-3.12)</f>
        <v>-3.12</v>
      </c>
      <c r="M1589" s="6">
        <f ca="1">IFERROR(__xludf.DUMMYFUNCTION("IFERROR(GOOGLEFINANCE(B1589,""change""),0)"),-25.4)</f>
        <v>-25.4</v>
      </c>
      <c r="N1589" s="6">
        <v>2</v>
      </c>
      <c r="O1589" s="7">
        <v>45536</v>
      </c>
      <c r="P1589" s="6">
        <v>313.85000000000002</v>
      </c>
      <c r="Q1589" s="7">
        <v>45536</v>
      </c>
      <c r="R1589" s="6">
        <v>23.94</v>
      </c>
      <c r="S1589" s="9"/>
      <c r="T1589" s="6">
        <v>3.02</v>
      </c>
      <c r="U1589" s="6">
        <v>2</v>
      </c>
      <c r="V1589" s="7">
        <v>45352</v>
      </c>
      <c r="W1589" s="6">
        <f ca="1">IFERROR(__xludf.DUMMYFUNCTION("IFERROR(GOOGLEFINANCE(B1589,""pe""),V1589)"),19.76)</f>
        <v>19.760000000000002</v>
      </c>
      <c r="X1589" s="6">
        <v>1.5</v>
      </c>
      <c r="Y1589" s="6">
        <v>14.12</v>
      </c>
      <c r="Z1589" s="6">
        <v>12.31</v>
      </c>
      <c r="AA1589" s="3" t="s">
        <v>4790</v>
      </c>
      <c r="AB1589" s="3"/>
      <c r="AC1589" s="9"/>
      <c r="AD1589" s="9"/>
      <c r="AE1589" s="1">
        <v>0</v>
      </c>
      <c r="AF1589" s="1">
        <f ca="1">IFERROR(__xludf.DUMMYFUNCTION("IFERROR(GOOGLEFINANCE(TRIM(F1589)&amp;"":"" &amp; TRIM(B1589),""high52""),AE1589)"),1011.75)</f>
        <v>1011.75</v>
      </c>
      <c r="AG1589" s="1">
        <v>0</v>
      </c>
      <c r="AH1589" s="1">
        <f ca="1">IFERROR(__xludf.DUMMYFUNCTION("IFERROR(GOOGLEFINANCE(TRIM(F1589)&amp;"":"" &amp; TRIM(B1589),""low52""),AE1589)"),607)</f>
        <v>607</v>
      </c>
      <c r="AI1589" s="1">
        <f ca="1">IFERROR(__xludf.DUMMYFUNCTION("IFERROR(GOOGLEFINANCE(B1589,""eps""),0)"),39.88)</f>
        <v>39.880000000000003</v>
      </c>
      <c r="AJ1589" s="1"/>
      <c r="AK1589" s="1" t="s">
        <v>4791</v>
      </c>
      <c r="AL1589" s="9">
        <f t="shared" si="202"/>
        <v>1</v>
      </c>
    </row>
    <row r="1590" spans="1:38" ht="15" x14ac:dyDescent="0.25">
      <c r="A1590" s="1" t="s">
        <v>4792</v>
      </c>
      <c r="B1590" s="1" t="s">
        <v>4793</v>
      </c>
      <c r="C1590" s="1" t="s">
        <v>416</v>
      </c>
      <c r="D1590" s="1" t="s">
        <v>416</v>
      </c>
      <c r="E1590" s="6">
        <v>1104.27</v>
      </c>
      <c r="F1590" s="1" t="s">
        <v>53</v>
      </c>
      <c r="G1590" s="6">
        <f ca="1">IFERROR(__xludf.DUMMYFUNCTION("iferror(GOOGLEFINANCE(TRIM(F1590)&amp;"":"" &amp; TRIM(B1590), ""price""),0
)"),0)</f>
        <v>0</v>
      </c>
      <c r="H1590" s="6">
        <v>2589.9</v>
      </c>
      <c r="I1590" s="6">
        <f t="shared" ca="1" si="0"/>
        <v>2589.9</v>
      </c>
      <c r="J1590" s="6">
        <f ca="1">IFERROR(__xludf.DUMMYFUNCTION("IFERROR(GOOGLEFINANCE(B1590, ""volume""), 0)"),118)</f>
        <v>118</v>
      </c>
      <c r="K1590" s="6">
        <v>-0.55000000000000004</v>
      </c>
      <c r="L1590" s="6">
        <f ca="1">IFERROR(__xludf.DUMMYFUNCTION("IFERROR(GOOGLEFINANCE(B1590,""changepct""),K1590)"),0.37)</f>
        <v>0.37</v>
      </c>
      <c r="M1590" s="6">
        <f ca="1">IFERROR(__xludf.DUMMYFUNCTION("IFERROR(GOOGLEFINANCE(B1590,""change""),0)"),0.6)</f>
        <v>0.6</v>
      </c>
      <c r="N1590" s="6">
        <v>2</v>
      </c>
      <c r="O1590" s="7">
        <v>45536</v>
      </c>
      <c r="P1590" s="9"/>
      <c r="Q1590" s="6">
        <v>1074.0999999999999</v>
      </c>
      <c r="R1590" s="7">
        <v>45536</v>
      </c>
      <c r="S1590" s="6">
        <v>126.82</v>
      </c>
      <c r="T1590" s="6">
        <v>22.23</v>
      </c>
      <c r="U1590" s="7">
        <v>45536</v>
      </c>
      <c r="V1590" s="6">
        <v>49.63</v>
      </c>
      <c r="W1590" s="6">
        <f ca="1">IFERROR(__xludf.DUMMYFUNCTION("IFERROR(GOOGLEFINANCE(B1590,""pe""),V1590)"),49.63)</f>
        <v>49.63</v>
      </c>
      <c r="X1590" s="6">
        <v>1.42</v>
      </c>
      <c r="Y1590" s="6">
        <v>10.07</v>
      </c>
      <c r="Z1590" s="6">
        <v>2</v>
      </c>
      <c r="AA1590" s="8">
        <v>45352</v>
      </c>
      <c r="AB1590" s="4">
        <v>0</v>
      </c>
      <c r="AC1590" s="6">
        <v>20.55</v>
      </c>
      <c r="AD1590" s="6">
        <v>27.72</v>
      </c>
      <c r="AE1590" s="1">
        <v>0</v>
      </c>
      <c r="AF1590" s="1">
        <f ca="1">IFERROR(__xludf.DUMMYFUNCTION("IFERROR(GOOGLEFINANCE(TRIM(F1590)&amp;"":"" &amp; TRIM(B1590),""high52""),AE1590)"),0)</f>
        <v>0</v>
      </c>
      <c r="AG1590" s="1">
        <v>0</v>
      </c>
      <c r="AH1590" s="1">
        <f ca="1">IFERROR(__xludf.DUMMYFUNCTION("IFERROR(GOOGLEFINANCE(TRIM(F1590)&amp;"":"" &amp; TRIM(B1590),""low52""),AE1590)"),0)</f>
        <v>0</v>
      </c>
      <c r="AI1590" s="1">
        <f ca="1">IFERROR(__xludf.DUMMYFUNCTION("IFERROR(GOOGLEFINANCE(B1590,""eps""),0)"),0)</f>
        <v>0</v>
      </c>
      <c r="AJ1590" s="1"/>
      <c r="AK1590" s="1" t="s">
        <v>4794</v>
      </c>
      <c r="AL1590" s="9">
        <f t="shared" si="202"/>
        <v>1</v>
      </c>
    </row>
    <row r="1591" spans="1:38" ht="15" x14ac:dyDescent="0.25">
      <c r="A1591" s="1" t="s">
        <v>4795</v>
      </c>
      <c r="B1591" s="1" t="s">
        <v>4796</v>
      </c>
      <c r="C1591" s="1" t="s">
        <v>410</v>
      </c>
      <c r="D1591" s="1" t="s">
        <v>410</v>
      </c>
      <c r="E1591" s="6">
        <v>5383.32</v>
      </c>
      <c r="F1591" s="1" t="s">
        <v>40</v>
      </c>
      <c r="G1591" s="6">
        <f ca="1">IFERROR(__xludf.DUMMYFUNCTION("iferror(GOOGLEFINANCE(TRIM(F1591)&amp;"":"" &amp; TRIM(B1591), ""price""),0
)"),534)</f>
        <v>534</v>
      </c>
      <c r="H1591" s="6">
        <v>673.9</v>
      </c>
      <c r="I1591" s="6">
        <f t="shared" ca="1" si="0"/>
        <v>534</v>
      </c>
      <c r="J1591" s="6">
        <f ca="1">IFERROR(__xludf.DUMMYFUNCTION("IFERROR(GOOGLEFINANCE(B1591, ""volume""), 0)"),0)</f>
        <v>0</v>
      </c>
      <c r="K1591" s="6">
        <v>7.18</v>
      </c>
      <c r="L1591" s="6">
        <f ca="1">IFERROR(__xludf.DUMMYFUNCTION("IFERROR(GOOGLEFINANCE(B1591,""changepct""),K1591)"),-0.54)</f>
        <v>-0.54</v>
      </c>
      <c r="M1591" s="6">
        <f ca="1">IFERROR(__xludf.DUMMYFUNCTION("IFERROR(GOOGLEFINANCE(B1591,""change""),0)"),-0.19)</f>
        <v>-0.19</v>
      </c>
      <c r="N1591" s="6">
        <v>2</v>
      </c>
      <c r="O1591" s="7">
        <v>45536</v>
      </c>
      <c r="P1591" s="6">
        <v>0.64</v>
      </c>
      <c r="Q1591" s="6">
        <v>5263.13</v>
      </c>
      <c r="R1591" s="7">
        <v>45536</v>
      </c>
      <c r="S1591" s="6">
        <v>521.38</v>
      </c>
      <c r="T1591" s="6">
        <v>69.89</v>
      </c>
      <c r="U1591" s="7">
        <v>45536</v>
      </c>
      <c r="V1591" s="6">
        <v>77.59</v>
      </c>
      <c r="W1591" s="6">
        <f ca="1">IFERROR(__xludf.DUMMYFUNCTION("IFERROR(GOOGLEFINANCE(B1591,""pe""),V1591)"),77.59)</f>
        <v>77.59</v>
      </c>
      <c r="X1591" s="6">
        <v>3.19</v>
      </c>
      <c r="Y1591" s="6">
        <v>13.39</v>
      </c>
      <c r="Z1591" s="6">
        <v>2</v>
      </c>
      <c r="AA1591" s="8">
        <v>45352</v>
      </c>
      <c r="AB1591" s="4">
        <v>0</v>
      </c>
      <c r="AC1591" s="6">
        <v>19.440000000000001</v>
      </c>
      <c r="AD1591" s="6">
        <v>30.51</v>
      </c>
      <c r="AE1591" s="1">
        <v>0</v>
      </c>
      <c r="AF1591" s="1">
        <f ca="1">IFERROR(__xludf.DUMMYFUNCTION("IFERROR(GOOGLEFINANCE(TRIM(F1591)&amp;"":"" &amp; TRIM(B1591),""high52""),AE1591)"),712.8)</f>
        <v>712.8</v>
      </c>
      <c r="AG1591" s="1">
        <v>0</v>
      </c>
      <c r="AH1591" s="1">
        <f ca="1">IFERROR(__xludf.DUMMYFUNCTION("IFERROR(GOOGLEFINANCE(TRIM(F1591)&amp;"":"" &amp; TRIM(B1591),""low52""),AE1591)"),467.05)</f>
        <v>467.05</v>
      </c>
      <c r="AI1591" s="1">
        <f ca="1">IFERROR(__xludf.DUMMYFUNCTION("IFERROR(GOOGLEFINANCE(B1591,""eps""),0)"),0)</f>
        <v>0</v>
      </c>
      <c r="AJ1591" s="1"/>
      <c r="AK1591" s="1" t="s">
        <v>4797</v>
      </c>
      <c r="AL1591" s="9">
        <f t="shared" si="202"/>
        <v>1</v>
      </c>
    </row>
    <row r="1592" spans="1:38" ht="15" x14ac:dyDescent="0.25">
      <c r="A1592" s="1" t="s">
        <v>4798</v>
      </c>
      <c r="B1592" s="1" t="s">
        <v>4799</v>
      </c>
      <c r="C1592" s="1" t="s">
        <v>416</v>
      </c>
      <c r="D1592" s="1" t="s">
        <v>416</v>
      </c>
      <c r="E1592" s="6">
        <v>51.71</v>
      </c>
      <c r="F1592" s="1" t="s">
        <v>53</v>
      </c>
      <c r="G1592" s="6">
        <f ca="1">IFERROR(__xludf.DUMMYFUNCTION("iferror(GOOGLEFINANCE(TRIM(F1592)&amp;"":"" &amp; TRIM(B1592), ""price""),0
)"),0)</f>
        <v>0</v>
      </c>
      <c r="H1592" s="6">
        <v>113.5</v>
      </c>
      <c r="I1592" s="6">
        <f t="shared" ca="1" si="0"/>
        <v>113.5</v>
      </c>
      <c r="J1592" s="6">
        <f ca="1">IFERROR(__xludf.DUMMYFUNCTION("IFERROR(GOOGLEFINANCE(B1592, ""volume""), 0)"),0)</f>
        <v>0</v>
      </c>
      <c r="K1592" s="6">
        <v>-0.31</v>
      </c>
      <c r="L1592" s="6">
        <f ca="1">IFERROR(__xludf.DUMMYFUNCTION("IFERROR(GOOGLEFINANCE(B1592,""changepct""),K1592)"),-0.31)</f>
        <v>-0.31</v>
      </c>
      <c r="M1592" s="6">
        <f ca="1">IFERROR(__xludf.DUMMYFUNCTION("IFERROR(GOOGLEFINANCE(B1592,""change""),0)"),0)</f>
        <v>0</v>
      </c>
      <c r="N1592" s="6">
        <v>1</v>
      </c>
      <c r="O1592" s="7">
        <v>45536</v>
      </c>
      <c r="P1592" s="6">
        <v>4.07</v>
      </c>
      <c r="Q1592" s="6">
        <v>55.26</v>
      </c>
      <c r="R1592" s="7">
        <v>45536</v>
      </c>
      <c r="S1592" s="6">
        <v>20.87</v>
      </c>
      <c r="T1592" s="6">
        <v>1.95</v>
      </c>
      <c r="U1592" s="7">
        <v>45536</v>
      </c>
      <c r="V1592" s="6">
        <v>26.53</v>
      </c>
      <c r="W1592" s="6">
        <f ca="1">IFERROR(__xludf.DUMMYFUNCTION("IFERROR(GOOGLEFINANCE(B1592,""pe""),V1592)"),26.53)</f>
        <v>26.53</v>
      </c>
      <c r="X1592" s="6">
        <v>3.89</v>
      </c>
      <c r="Y1592" s="6">
        <v>2.85</v>
      </c>
      <c r="Z1592" s="6">
        <v>1</v>
      </c>
      <c r="AA1592" s="8">
        <v>45352</v>
      </c>
      <c r="AB1592" s="4">
        <v>0.11</v>
      </c>
      <c r="AC1592" s="6">
        <v>10.29</v>
      </c>
      <c r="AD1592" s="6">
        <v>13.58</v>
      </c>
      <c r="AE1592" s="1">
        <v>0</v>
      </c>
      <c r="AF1592" s="1">
        <f ca="1">IFERROR(__xludf.DUMMYFUNCTION("IFERROR(GOOGLEFINANCE(TRIM(F1592)&amp;"":"" &amp; TRIM(B1592),""high52""),AE1592)"),0)</f>
        <v>0</v>
      </c>
      <c r="AG1592" s="1">
        <v>0</v>
      </c>
      <c r="AH1592" s="1">
        <f ca="1">IFERROR(__xludf.DUMMYFUNCTION("IFERROR(GOOGLEFINANCE(TRIM(F1592)&amp;"":"" &amp; TRIM(B1592),""low52""),AE1592)"),0)</f>
        <v>0</v>
      </c>
      <c r="AI1592" s="1">
        <f ca="1">IFERROR(__xludf.DUMMYFUNCTION("IFERROR(GOOGLEFINANCE(B1592,""eps""),0)"),0)</f>
        <v>0</v>
      </c>
      <c r="AJ1592" s="1"/>
      <c r="AK1592" s="1" t="s">
        <v>4800</v>
      </c>
      <c r="AL1592" s="9">
        <f t="shared" si="202"/>
        <v>1</v>
      </c>
    </row>
    <row r="1593" spans="1:38" ht="15" x14ac:dyDescent="0.25">
      <c r="A1593" s="1" t="s">
        <v>4801</v>
      </c>
      <c r="B1593" s="1" t="s">
        <v>4802</v>
      </c>
      <c r="C1593" s="1" t="s">
        <v>416</v>
      </c>
      <c r="D1593" s="1" t="s">
        <v>416</v>
      </c>
      <c r="E1593" s="6">
        <v>112.76</v>
      </c>
      <c r="F1593" s="1" t="s">
        <v>53</v>
      </c>
      <c r="G1593" s="6">
        <f ca="1">IFERROR(__xludf.DUMMYFUNCTION("iferror(GOOGLEFINANCE(TRIM(F1593)&amp;"":"" &amp; TRIM(B1593), ""price""),0
)"),0)</f>
        <v>0</v>
      </c>
      <c r="H1593" s="6">
        <v>10.6</v>
      </c>
      <c r="I1593" s="6">
        <f t="shared" ca="1" si="0"/>
        <v>10.6</v>
      </c>
      <c r="J1593" s="6">
        <f ca="1">IFERROR(__xludf.DUMMYFUNCTION("IFERROR(GOOGLEFINANCE(B1593, ""volume""), 0)"),0)</f>
        <v>0</v>
      </c>
      <c r="K1593" s="6">
        <v>-0.66</v>
      </c>
      <c r="L1593" s="6">
        <f ca="1">IFERROR(__xludf.DUMMYFUNCTION("IFERROR(GOOGLEFINANCE(B1593,""changepct""),K1593)"),-0.66)</f>
        <v>-0.66</v>
      </c>
      <c r="M1593" s="6">
        <f ca="1">IFERROR(__xludf.DUMMYFUNCTION("IFERROR(GOOGLEFINANCE(B1593,""change""),0)"),0)</f>
        <v>0</v>
      </c>
      <c r="N1593" s="6">
        <v>2</v>
      </c>
      <c r="O1593" s="7">
        <v>45536</v>
      </c>
      <c r="P1593" s="6">
        <v>52.09</v>
      </c>
      <c r="Q1593" s="6">
        <v>164.85</v>
      </c>
      <c r="R1593" s="7">
        <v>45536</v>
      </c>
      <c r="S1593" s="6">
        <v>116.87</v>
      </c>
      <c r="T1593" s="6">
        <v>8.4</v>
      </c>
      <c r="U1593" s="7">
        <v>45536</v>
      </c>
      <c r="V1593" s="6">
        <v>17.579999999999998</v>
      </c>
      <c r="W1593" s="6">
        <f ca="1">IFERROR(__xludf.DUMMYFUNCTION("IFERROR(GOOGLEFINANCE(B1593,""pe""),V1593)"),17.58)</f>
        <v>17.579999999999998</v>
      </c>
      <c r="X1593" s="9"/>
      <c r="Y1593" s="6">
        <v>2.5</v>
      </c>
      <c r="Z1593" s="6">
        <v>2</v>
      </c>
      <c r="AA1593" s="8">
        <v>45352</v>
      </c>
      <c r="AB1593" s="4">
        <v>1.17</v>
      </c>
      <c r="AC1593" s="6">
        <v>30.18</v>
      </c>
      <c r="AD1593" s="6">
        <v>21.55</v>
      </c>
      <c r="AE1593" s="1">
        <v>0</v>
      </c>
      <c r="AF1593" s="1">
        <f ca="1">IFERROR(__xludf.DUMMYFUNCTION("IFERROR(GOOGLEFINANCE(TRIM(F1593)&amp;"":"" &amp; TRIM(B1593),""high52""),AE1593)"),0)</f>
        <v>0</v>
      </c>
      <c r="AG1593" s="1">
        <v>0</v>
      </c>
      <c r="AH1593" s="1">
        <f ca="1">IFERROR(__xludf.DUMMYFUNCTION("IFERROR(GOOGLEFINANCE(TRIM(F1593)&amp;"":"" &amp; TRIM(B1593),""low52""),AE1593)"),0)</f>
        <v>0</v>
      </c>
      <c r="AI1593" s="1">
        <f ca="1">IFERROR(__xludf.DUMMYFUNCTION("IFERROR(GOOGLEFINANCE(B1593,""eps""),0)"),0)</f>
        <v>0</v>
      </c>
      <c r="AJ1593" s="1"/>
      <c r="AK1593" s="1" t="s">
        <v>4803</v>
      </c>
      <c r="AL1593" s="9">
        <f t="shared" si="202"/>
        <v>1</v>
      </c>
    </row>
    <row r="1594" spans="1:38" ht="15" x14ac:dyDescent="0.25">
      <c r="A1594" s="1" t="s">
        <v>4804</v>
      </c>
      <c r="B1594" s="1" t="s">
        <v>4805</v>
      </c>
      <c r="C1594" s="1" t="s">
        <v>416</v>
      </c>
      <c r="D1594" s="1" t="s">
        <v>416</v>
      </c>
      <c r="E1594" s="6">
        <v>37.76</v>
      </c>
      <c r="F1594" s="1" t="s">
        <v>53</v>
      </c>
      <c r="G1594" s="6">
        <f ca="1">IFERROR(__xludf.DUMMYFUNCTION("iferror(GOOGLEFINANCE(TRIM(F1594)&amp;"":"" &amp; TRIM(B1594), ""price""),0
)"),0)</f>
        <v>0</v>
      </c>
      <c r="H1594" s="6">
        <v>75.34</v>
      </c>
      <c r="I1594" s="6">
        <f t="shared" ca="1" si="0"/>
        <v>75.34</v>
      </c>
      <c r="J1594" s="6">
        <f ca="1">IFERROR(__xludf.DUMMYFUNCTION("IFERROR(GOOGLEFINANCE(B1594, ""volume""), 0)"),0)</f>
        <v>0</v>
      </c>
      <c r="K1594" s="6">
        <v>4.99</v>
      </c>
      <c r="L1594" s="6">
        <f ca="1">IFERROR(__xludf.DUMMYFUNCTION("IFERROR(GOOGLEFINANCE(B1594,""changepct""),K1594)"),4.99)</f>
        <v>4.99</v>
      </c>
      <c r="M1594" s="6">
        <f ca="1">IFERROR(__xludf.DUMMYFUNCTION("IFERROR(GOOGLEFINANCE(B1594,""change""),0)"),0)</f>
        <v>0</v>
      </c>
      <c r="N1594" s="6">
        <v>1</v>
      </c>
      <c r="O1594" s="7">
        <v>45536</v>
      </c>
      <c r="P1594" s="6">
        <v>2.13</v>
      </c>
      <c r="Q1594" s="6">
        <v>39.9</v>
      </c>
      <c r="R1594" s="7">
        <v>45536</v>
      </c>
      <c r="S1594" s="6">
        <v>17.53</v>
      </c>
      <c r="T1594" s="6">
        <v>3.08</v>
      </c>
      <c r="U1594" s="7">
        <v>45536</v>
      </c>
      <c r="V1594" s="6">
        <v>12.25</v>
      </c>
      <c r="W1594" s="6">
        <f ca="1">IFERROR(__xludf.DUMMYFUNCTION("IFERROR(GOOGLEFINANCE(B1594,""pe""),V1594)"),12.25)</f>
        <v>12.25</v>
      </c>
      <c r="X1594" s="6">
        <v>0.28000000000000003</v>
      </c>
      <c r="Y1594" s="6">
        <v>49.04</v>
      </c>
      <c r="Z1594" s="6">
        <v>1</v>
      </c>
      <c r="AA1594" s="8">
        <v>45352</v>
      </c>
      <c r="AB1594" s="4">
        <v>17.07</v>
      </c>
      <c r="AC1594" s="6">
        <v>0</v>
      </c>
      <c r="AD1594" s="6">
        <v>113.94</v>
      </c>
      <c r="AE1594" s="1">
        <v>0</v>
      </c>
      <c r="AF1594" s="1">
        <f ca="1">IFERROR(__xludf.DUMMYFUNCTION("IFERROR(GOOGLEFINANCE(TRIM(F1594)&amp;"":"" &amp; TRIM(B1594),""high52""),AE1594)"),0)</f>
        <v>0</v>
      </c>
      <c r="AG1594" s="1">
        <v>0</v>
      </c>
      <c r="AH1594" s="1">
        <f ca="1">IFERROR(__xludf.DUMMYFUNCTION("IFERROR(GOOGLEFINANCE(TRIM(F1594)&amp;"":"" &amp; TRIM(B1594),""low52""),AE1594)"),0)</f>
        <v>0</v>
      </c>
      <c r="AI1594" s="1">
        <f ca="1">IFERROR(__xludf.DUMMYFUNCTION("IFERROR(GOOGLEFINANCE(B1594,""eps""),0)"),0)</f>
        <v>0</v>
      </c>
      <c r="AJ1594" s="1"/>
      <c r="AK1594" s="1" t="s">
        <v>4806</v>
      </c>
      <c r="AL1594" s="9">
        <f t="shared" si="202"/>
        <v>1</v>
      </c>
    </row>
    <row r="1595" spans="1:38" ht="15" x14ac:dyDescent="0.25">
      <c r="A1595" s="1" t="s">
        <v>4807</v>
      </c>
      <c r="B1595" s="1" t="s">
        <v>4808</v>
      </c>
      <c r="C1595" s="1" t="s">
        <v>416</v>
      </c>
      <c r="D1595" s="1" t="s">
        <v>416</v>
      </c>
      <c r="E1595" s="6">
        <v>101.4</v>
      </c>
      <c r="F1595" s="1" t="s">
        <v>53</v>
      </c>
      <c r="G1595" s="6">
        <f ca="1">IFERROR(__xludf.DUMMYFUNCTION("iferror(GOOGLEFINANCE(TRIM(F1595)&amp;"":"" &amp; TRIM(B1595), ""price""),0
)"),0)</f>
        <v>0</v>
      </c>
      <c r="H1595" s="6">
        <v>202.05</v>
      </c>
      <c r="I1595" s="6">
        <f t="shared" ca="1" si="0"/>
        <v>202.05</v>
      </c>
      <c r="J1595" s="6">
        <f ca="1">IFERROR(__xludf.DUMMYFUNCTION("IFERROR(GOOGLEFINANCE(B1595, ""volume""), 0)"),0)</f>
        <v>0</v>
      </c>
      <c r="K1595" s="6">
        <v>0.97</v>
      </c>
      <c r="L1595" s="6">
        <f ca="1">IFERROR(__xludf.DUMMYFUNCTION("IFERROR(GOOGLEFINANCE(B1595,""changepct""),K1595)"),0.97)</f>
        <v>0.97</v>
      </c>
      <c r="M1595" s="6">
        <f ca="1">IFERROR(__xludf.DUMMYFUNCTION("IFERROR(GOOGLEFINANCE(B1595,""change""),0)"),0)</f>
        <v>0</v>
      </c>
      <c r="N1595" s="6">
        <v>1</v>
      </c>
      <c r="O1595" s="7">
        <v>45536</v>
      </c>
      <c r="P1595" s="9"/>
      <c r="Q1595" s="6">
        <v>101.4</v>
      </c>
      <c r="R1595" s="7">
        <v>45536</v>
      </c>
      <c r="S1595" s="6">
        <v>112.05</v>
      </c>
      <c r="T1595" s="6">
        <v>5.5</v>
      </c>
      <c r="U1595" s="7">
        <v>45536</v>
      </c>
      <c r="V1595" s="6">
        <v>18.440000000000001</v>
      </c>
      <c r="W1595" s="6">
        <f ca="1">IFERROR(__xludf.DUMMYFUNCTION("IFERROR(GOOGLEFINANCE(B1595,""pe""),V1595)"),18.44)</f>
        <v>18.440000000000001</v>
      </c>
      <c r="X1595" s="6">
        <v>2.67</v>
      </c>
      <c r="Y1595" s="6">
        <v>1.1599999999999999</v>
      </c>
      <c r="Z1595" s="6">
        <v>1</v>
      </c>
      <c r="AA1595" s="8">
        <v>45352</v>
      </c>
      <c r="AB1595" s="4">
        <v>0</v>
      </c>
      <c r="AC1595" s="6">
        <v>12.69</v>
      </c>
      <c r="AD1595" s="6">
        <v>17.989999999999998</v>
      </c>
      <c r="AE1595" s="1">
        <v>0</v>
      </c>
      <c r="AF1595" s="1">
        <f ca="1">IFERROR(__xludf.DUMMYFUNCTION("IFERROR(GOOGLEFINANCE(TRIM(F1595)&amp;"":"" &amp; TRIM(B1595),""high52""),AE1595)"),0)</f>
        <v>0</v>
      </c>
      <c r="AG1595" s="1">
        <v>0</v>
      </c>
      <c r="AH1595" s="1">
        <f ca="1">IFERROR(__xludf.DUMMYFUNCTION("IFERROR(GOOGLEFINANCE(TRIM(F1595)&amp;"":"" &amp; TRIM(B1595),""low52""),AE1595)"),0)</f>
        <v>0</v>
      </c>
      <c r="AI1595" s="1">
        <f ca="1">IFERROR(__xludf.DUMMYFUNCTION("IFERROR(GOOGLEFINANCE(B1595,""eps""),0)"),0)</f>
        <v>0</v>
      </c>
      <c r="AJ1595" s="1"/>
      <c r="AK1595" s="1" t="s">
        <v>4809</v>
      </c>
      <c r="AL1595" s="9">
        <f t="shared" si="202"/>
        <v>1</v>
      </c>
    </row>
    <row r="1596" spans="1:38" ht="15" x14ac:dyDescent="0.25">
      <c r="A1596" s="1" t="s">
        <v>4810</v>
      </c>
      <c r="B1596" s="1" t="s">
        <v>4811</v>
      </c>
      <c r="C1596" s="1" t="s">
        <v>71</v>
      </c>
      <c r="D1596" s="1" t="s">
        <v>71</v>
      </c>
      <c r="E1596" s="6">
        <v>384.77</v>
      </c>
      <c r="F1596" s="1" t="s">
        <v>40</v>
      </c>
      <c r="G1596" s="6">
        <f ca="1">IFERROR(__xludf.DUMMYFUNCTION("iferror(GOOGLEFINANCE(TRIM(F1596)&amp;"":"" &amp; TRIM(B1596), ""price""),0
)"),0)</f>
        <v>0</v>
      </c>
      <c r="H1596" s="6">
        <v>19.93</v>
      </c>
      <c r="I1596" s="6">
        <f t="shared" ca="1" si="0"/>
        <v>19.93</v>
      </c>
      <c r="J1596" s="6">
        <f ca="1">IFERROR(__xludf.DUMMYFUNCTION("IFERROR(GOOGLEFINANCE(B1596, ""volume""), 0)"),2222571)</f>
        <v>2222571</v>
      </c>
      <c r="K1596" s="6">
        <v>2</v>
      </c>
      <c r="L1596" s="6">
        <f ca="1">IFERROR(__xludf.DUMMYFUNCTION("IFERROR(GOOGLEFINANCE(B1596,""changepct""),K1596)"),-4.91)</f>
        <v>-4.91</v>
      </c>
      <c r="M1596" s="6">
        <f ca="1">IFERROR(__xludf.DUMMYFUNCTION("IFERROR(GOOGLEFINANCE(B1596,""change""),0)"),-0.31)</f>
        <v>-0.31</v>
      </c>
      <c r="N1596" s="6">
        <v>2</v>
      </c>
      <c r="O1596" s="7">
        <v>45536</v>
      </c>
      <c r="P1596" s="6">
        <v>257.32</v>
      </c>
      <c r="Q1596" s="6">
        <v>639.26</v>
      </c>
      <c r="R1596" s="7">
        <v>45536</v>
      </c>
      <c r="S1596" s="6">
        <v>56.59</v>
      </c>
      <c r="T1596" s="6">
        <v>-37.119999999999997</v>
      </c>
      <c r="U1596" s="7">
        <v>45536</v>
      </c>
      <c r="V1596" s="6">
        <v>0</v>
      </c>
      <c r="W1596" s="6">
        <f ca="1">IFERROR(__xludf.DUMMYFUNCTION("IFERROR(GOOGLEFINANCE(B1596,""pe""),V1596)"),37.68)</f>
        <v>37.68</v>
      </c>
      <c r="X1596" s="12"/>
      <c r="Y1596" s="6">
        <v>1.68</v>
      </c>
      <c r="Z1596" s="6">
        <v>2</v>
      </c>
      <c r="AA1596" s="8">
        <v>45352</v>
      </c>
      <c r="AB1596" s="4">
        <v>1.02</v>
      </c>
      <c r="AC1596" s="6">
        <v>-10.51</v>
      </c>
      <c r="AD1596" s="6">
        <v>-4.95</v>
      </c>
      <c r="AE1596" s="1">
        <v>0</v>
      </c>
      <c r="AF1596" s="1">
        <f ca="1">IFERROR(__xludf.DUMMYFUNCTION("IFERROR(GOOGLEFINANCE(TRIM(F1596)&amp;"":"" &amp; TRIM(B1596),""high52""),AE1596)"),0)</f>
        <v>0</v>
      </c>
      <c r="AG1596" s="1">
        <v>0</v>
      </c>
      <c r="AH1596" s="1">
        <f ca="1">IFERROR(__xludf.DUMMYFUNCTION("IFERROR(GOOGLEFINANCE(TRIM(F1596)&amp;"":"" &amp; TRIM(B1596),""low52""),AE1596)"),0)</f>
        <v>0</v>
      </c>
      <c r="AI1596" s="1">
        <f ca="1">IFERROR(__xludf.DUMMYFUNCTION("IFERROR(GOOGLEFINANCE(B1596,""eps""),0)"),0.16)</f>
        <v>0.16</v>
      </c>
      <c r="AJ1596" s="1"/>
      <c r="AK1596" s="9"/>
      <c r="AL1596" s="9">
        <f t="shared" si="202"/>
        <v>1</v>
      </c>
    </row>
    <row r="1597" spans="1:38" ht="15" x14ac:dyDescent="0.25">
      <c r="A1597" s="1" t="s">
        <v>4812</v>
      </c>
      <c r="B1597" s="1" t="s">
        <v>4813</v>
      </c>
      <c r="C1597" s="1" t="s">
        <v>1739</v>
      </c>
      <c r="D1597" s="1" t="s">
        <v>1739</v>
      </c>
      <c r="E1597" s="6">
        <v>13847.92</v>
      </c>
      <c r="F1597" s="1" t="s">
        <v>40</v>
      </c>
      <c r="G1597" s="6">
        <f ca="1">IFERROR(__xludf.DUMMYFUNCTION("iferror(GOOGLEFINANCE(TRIM(F1597)&amp;"":"" &amp; TRIM(B1597), ""price""),0
)"),2201)</f>
        <v>2201</v>
      </c>
      <c r="H1597" s="6">
        <v>2308.9499999999998</v>
      </c>
      <c r="I1597" s="6">
        <f t="shared" ca="1" si="0"/>
        <v>2201</v>
      </c>
      <c r="J1597" s="6">
        <f ca="1">IFERROR(__xludf.DUMMYFUNCTION("IFERROR(GOOGLEFINANCE(B1597, ""volume""), 0)"),131863)</f>
        <v>131863</v>
      </c>
      <c r="K1597" s="6">
        <v>0.05</v>
      </c>
      <c r="L1597" s="6">
        <f ca="1">IFERROR(__xludf.DUMMYFUNCTION("IFERROR(GOOGLEFINANCE(B1597,""changepct""),K1597)"),-0.34)</f>
        <v>-0.34</v>
      </c>
      <c r="M1597" s="6">
        <f ca="1">IFERROR(__xludf.DUMMYFUNCTION("IFERROR(GOOGLEFINANCE(B1597,""change""),0)"),-7.4)</f>
        <v>-7.4</v>
      </c>
      <c r="N1597" s="6">
        <v>2</v>
      </c>
      <c r="O1597" s="7">
        <v>45536</v>
      </c>
      <c r="P1597" s="9"/>
      <c r="Q1597" s="6">
        <v>13808.12</v>
      </c>
      <c r="R1597" s="7">
        <v>45536</v>
      </c>
      <c r="S1597" s="6">
        <v>1299</v>
      </c>
      <c r="T1597" s="6">
        <v>473.3</v>
      </c>
      <c r="U1597" s="7">
        <v>45536</v>
      </c>
      <c r="V1597" s="6">
        <v>32.159999999999997</v>
      </c>
      <c r="W1597" s="6">
        <f ca="1">IFERROR(__xludf.DUMMYFUNCTION("IFERROR(GOOGLEFINANCE(B1597,""pe""),V1597)"),21.9)</f>
        <v>21.9</v>
      </c>
      <c r="X1597" s="6">
        <v>0.43</v>
      </c>
      <c r="Y1597" s="6">
        <v>7.38</v>
      </c>
      <c r="Z1597" s="6">
        <v>2</v>
      </c>
      <c r="AA1597" s="8">
        <v>45352</v>
      </c>
      <c r="AB1597" s="4">
        <v>0</v>
      </c>
      <c r="AC1597" s="6">
        <v>17.899999999999999</v>
      </c>
      <c r="AD1597" s="6">
        <v>24.42</v>
      </c>
      <c r="AE1597" s="1">
        <v>0</v>
      </c>
      <c r="AF1597" s="1">
        <f ca="1">IFERROR(__xludf.DUMMYFUNCTION("IFERROR(GOOGLEFINANCE(TRIM(F1597)&amp;"":"" &amp; TRIM(B1597),""high52""),AE1597)"),2799)</f>
        <v>2799</v>
      </c>
      <c r="AG1597" s="1">
        <v>0</v>
      </c>
      <c r="AH1597" s="1">
        <f ca="1">IFERROR(__xludf.DUMMYFUNCTION("IFERROR(GOOGLEFINANCE(TRIM(F1597)&amp;"":"" &amp; TRIM(B1597),""low52""),AE1597)"),1900.1)</f>
        <v>1900.1</v>
      </c>
      <c r="AI1597" s="1">
        <f ca="1">IFERROR(__xludf.DUMMYFUNCTION("IFERROR(GOOGLEFINANCE(B1597,""eps""),0)"),100.5)</f>
        <v>100.5</v>
      </c>
      <c r="AJ1597" s="1"/>
      <c r="AK1597" s="9"/>
      <c r="AL1597" s="9">
        <f t="shared" si="202"/>
        <v>1</v>
      </c>
    </row>
    <row r="1598" spans="1:38" ht="15" x14ac:dyDescent="0.25">
      <c r="A1598" s="1" t="s">
        <v>4814</v>
      </c>
      <c r="B1598" s="1" t="s">
        <v>4815</v>
      </c>
      <c r="C1598" s="1" t="s">
        <v>1379</v>
      </c>
      <c r="D1598" s="1" t="s">
        <v>1379</v>
      </c>
      <c r="E1598" s="6">
        <v>70520.3</v>
      </c>
      <c r="F1598" s="1" t="s">
        <v>40</v>
      </c>
      <c r="G1598" s="6">
        <f ca="1">IFERROR(__xludf.DUMMYFUNCTION("iferror(GOOGLEFINANCE(TRIM(F1598)&amp;"":"" &amp; TRIM(B1598), ""price""),0
)"),837.4)</f>
        <v>837.4</v>
      </c>
      <c r="H1598" s="6">
        <v>526.35</v>
      </c>
      <c r="I1598" s="6">
        <f t="shared" ca="1" si="0"/>
        <v>837.4</v>
      </c>
      <c r="J1598" s="6">
        <f ca="1">IFERROR(__xludf.DUMMYFUNCTION("IFERROR(GOOGLEFINANCE(B1598, ""volume""), 0)"),4129175)</f>
        <v>4129175</v>
      </c>
      <c r="K1598" s="6">
        <v>0.56999999999999995</v>
      </c>
      <c r="L1598" s="6">
        <f ca="1">IFERROR(__xludf.DUMMYFUNCTION("IFERROR(GOOGLEFINANCE(B1598,""changepct""),K1598)"),-0.68)</f>
        <v>-0.68</v>
      </c>
      <c r="M1598" s="6">
        <f ca="1">IFERROR(__xludf.DUMMYFUNCTION("IFERROR(GOOGLEFINANCE(B1598,""change""),0)"),-5.75)</f>
        <v>-5.75</v>
      </c>
      <c r="N1598" s="6">
        <v>2</v>
      </c>
      <c r="O1598" s="7">
        <v>45536</v>
      </c>
      <c r="P1598" s="6">
        <v>59245.63</v>
      </c>
      <c r="Q1598" s="6">
        <v>9553.9699999999993</v>
      </c>
      <c r="R1598" s="7">
        <v>45536</v>
      </c>
      <c r="S1598" s="6">
        <v>7.14</v>
      </c>
      <c r="T1598" s="6">
        <v>0.08</v>
      </c>
      <c r="U1598" s="6">
        <v>1.17</v>
      </c>
      <c r="V1598" s="6">
        <v>2</v>
      </c>
      <c r="W1598" s="6">
        <f ca="1">IFERROR(__xludf.DUMMYFUNCTION("IFERROR(GOOGLEFINANCE(B1598,""pe""),V1598)"),9.8)</f>
        <v>9.8000000000000007</v>
      </c>
      <c r="X1598" s="7">
        <v>45352</v>
      </c>
      <c r="Y1598" s="6">
        <v>16.649999999999999</v>
      </c>
      <c r="Z1598" s="6">
        <v>1</v>
      </c>
      <c r="AA1598" s="8">
        <v>45352</v>
      </c>
      <c r="AB1598" s="4">
        <v>0.43</v>
      </c>
      <c r="AC1598" s="6">
        <v>3.02</v>
      </c>
      <c r="AD1598" s="6">
        <v>10.8</v>
      </c>
      <c r="AE1598" s="1">
        <v>0</v>
      </c>
      <c r="AF1598" s="1">
        <f ca="1">IFERROR(__xludf.DUMMYFUNCTION("IFERROR(GOOGLEFINANCE(TRIM(F1598)&amp;"":"" &amp; TRIM(B1598),""high52""),AE1598)"),923)</f>
        <v>923</v>
      </c>
      <c r="AG1598" s="1">
        <v>0</v>
      </c>
      <c r="AH1598" s="1">
        <f ca="1">IFERROR(__xludf.DUMMYFUNCTION("IFERROR(GOOGLEFINANCE(TRIM(F1598)&amp;"":"" &amp; TRIM(B1598),""low52""),AE1598)"),478)</f>
        <v>478</v>
      </c>
      <c r="AI1598" s="1">
        <f ca="1">IFERROR(__xludf.DUMMYFUNCTION("IFERROR(GOOGLEFINANCE(B1598,""eps""),0)"),85.47)</f>
        <v>85.47</v>
      </c>
      <c r="AJ1598" s="1"/>
      <c r="AK1598" s="9"/>
      <c r="AL1598" s="1" t="b">
        <f>ISBLANK(AB1598)</f>
        <v>0</v>
      </c>
    </row>
    <row r="1599" spans="1:38" ht="15" x14ac:dyDescent="0.25">
      <c r="A1599" s="1" t="s">
        <v>4816</v>
      </c>
      <c r="B1599" s="1" t="s">
        <v>4817</v>
      </c>
      <c r="C1599" s="1" t="s">
        <v>416</v>
      </c>
      <c r="D1599" s="1" t="s">
        <v>416</v>
      </c>
      <c r="E1599" s="6">
        <v>24.24</v>
      </c>
      <c r="F1599" s="1" t="s">
        <v>53</v>
      </c>
      <c r="G1599" s="6">
        <f ca="1">IFERROR(__xludf.DUMMYFUNCTION("iferror(GOOGLEFINANCE(TRIM(F1599)&amp;"":"" &amp; TRIM(B1599), ""price""),0
)"),0)</f>
        <v>0</v>
      </c>
      <c r="H1599" s="6">
        <v>34</v>
      </c>
      <c r="I1599" s="6">
        <f t="shared" ca="1" si="0"/>
        <v>34</v>
      </c>
      <c r="J1599" s="6">
        <f ca="1">IFERROR(__xludf.DUMMYFUNCTION("IFERROR(GOOGLEFINANCE(B1599, ""volume""), 0)"),0)</f>
        <v>0</v>
      </c>
      <c r="K1599" s="6">
        <v>2.16</v>
      </c>
      <c r="L1599" s="6">
        <f ca="1">IFERROR(__xludf.DUMMYFUNCTION("IFERROR(GOOGLEFINANCE(B1599,""changepct""),K1599)"),2.16)</f>
        <v>2.16</v>
      </c>
      <c r="M1599" s="6">
        <f ca="1">IFERROR(__xludf.DUMMYFUNCTION("IFERROR(GOOGLEFINANCE(B1599,""change""),0)"),0)</f>
        <v>0</v>
      </c>
      <c r="N1599" s="6">
        <v>1</v>
      </c>
      <c r="O1599" s="7">
        <v>45536</v>
      </c>
      <c r="P1599" s="9"/>
      <c r="Q1599" s="6">
        <v>24.24</v>
      </c>
      <c r="R1599" s="7">
        <v>45536</v>
      </c>
      <c r="S1599" s="6">
        <v>0</v>
      </c>
      <c r="T1599" s="6">
        <v>0.92</v>
      </c>
      <c r="U1599" s="7">
        <v>45536</v>
      </c>
      <c r="V1599" s="6">
        <v>26.34</v>
      </c>
      <c r="W1599" s="6">
        <f ca="1">IFERROR(__xludf.DUMMYFUNCTION("IFERROR(GOOGLEFINANCE(B1599,""pe""),V1599)"),26.34)</f>
        <v>26.34</v>
      </c>
      <c r="X1599" s="6">
        <v>6.5</v>
      </c>
      <c r="Y1599" s="6">
        <v>0.63</v>
      </c>
      <c r="Z1599" s="6">
        <v>1</v>
      </c>
      <c r="AA1599" s="8">
        <v>45352</v>
      </c>
      <c r="AB1599" s="4">
        <v>0</v>
      </c>
      <c r="AC1599" s="6">
        <v>2.86</v>
      </c>
      <c r="AD1599" s="6">
        <v>2.99</v>
      </c>
      <c r="AE1599" s="1">
        <v>0</v>
      </c>
      <c r="AF1599" s="1">
        <f ca="1">IFERROR(__xludf.DUMMYFUNCTION("IFERROR(GOOGLEFINANCE(TRIM(F1599)&amp;"":"" &amp; TRIM(B1599),""high52""),AE1599)"),0)</f>
        <v>0</v>
      </c>
      <c r="AG1599" s="1">
        <v>0</v>
      </c>
      <c r="AH1599" s="1">
        <f ca="1">IFERROR(__xludf.DUMMYFUNCTION("IFERROR(GOOGLEFINANCE(TRIM(F1599)&amp;"":"" &amp; TRIM(B1599),""low52""),AE1599)"),0)</f>
        <v>0</v>
      </c>
      <c r="AI1599" s="1">
        <f ca="1">IFERROR(__xludf.DUMMYFUNCTION("IFERROR(GOOGLEFINANCE(B1599,""eps""),0)"),0)</f>
        <v>0</v>
      </c>
      <c r="AJ1599" s="1"/>
      <c r="AK1599" s="1" t="s">
        <v>4818</v>
      </c>
      <c r="AL1599" s="9">
        <f t="shared" ref="AL1599:AL1601" si="203">IF(AA1599&lt;&gt;AB1599,1,0)</f>
        <v>1</v>
      </c>
    </row>
    <row r="1600" spans="1:38" ht="15" x14ac:dyDescent="0.25">
      <c r="A1600" s="1" t="s">
        <v>4819</v>
      </c>
      <c r="B1600" s="1" t="s">
        <v>4820</v>
      </c>
      <c r="C1600" s="1" t="s">
        <v>416</v>
      </c>
      <c r="D1600" s="1" t="s">
        <v>416</v>
      </c>
      <c r="E1600" s="6">
        <v>79.290000000000006</v>
      </c>
      <c r="F1600" s="1" t="s">
        <v>53</v>
      </c>
      <c r="G1600" s="6">
        <f ca="1">IFERROR(__xludf.DUMMYFUNCTION("iferror(GOOGLEFINANCE(TRIM(F1600)&amp;"":"" &amp; TRIM(B1600), ""price""),0
)"),0)</f>
        <v>0</v>
      </c>
      <c r="H1600" s="6">
        <v>22.54</v>
      </c>
      <c r="I1600" s="6">
        <f t="shared" ca="1" si="0"/>
        <v>22.54</v>
      </c>
      <c r="J1600" s="6">
        <f ca="1">IFERROR(__xludf.DUMMYFUNCTION("IFERROR(GOOGLEFINANCE(B1600, ""volume""), 0)"),0)</f>
        <v>0</v>
      </c>
      <c r="K1600" s="6">
        <v>0.99</v>
      </c>
      <c r="L1600" s="6">
        <f ca="1">IFERROR(__xludf.DUMMYFUNCTION("IFERROR(GOOGLEFINANCE(B1600,""changepct""),K1600)"),0.99)</f>
        <v>0.99</v>
      </c>
      <c r="M1600" s="6">
        <f ca="1">IFERROR(__xludf.DUMMYFUNCTION("IFERROR(GOOGLEFINANCE(B1600,""change""),0)"),0)</f>
        <v>0</v>
      </c>
      <c r="N1600" s="6">
        <v>1</v>
      </c>
      <c r="O1600" s="7">
        <v>45536</v>
      </c>
      <c r="P1600" s="6">
        <v>30.73</v>
      </c>
      <c r="Q1600" s="6">
        <v>110.03</v>
      </c>
      <c r="R1600" s="7">
        <v>45536</v>
      </c>
      <c r="S1600" s="6">
        <v>52.68</v>
      </c>
      <c r="T1600" s="6">
        <v>2.11</v>
      </c>
      <c r="U1600" s="7">
        <v>45536</v>
      </c>
      <c r="V1600" s="6">
        <v>37.58</v>
      </c>
      <c r="W1600" s="6">
        <f ca="1">IFERROR(__xludf.DUMMYFUNCTION("IFERROR(GOOGLEFINANCE(B1600,""pe""),V1600)"),37.58)</f>
        <v>37.58</v>
      </c>
      <c r="X1600" s="6">
        <v>1.04</v>
      </c>
      <c r="Y1600" s="6">
        <v>3.9</v>
      </c>
      <c r="Z1600" s="6">
        <v>1</v>
      </c>
      <c r="AA1600" s="8">
        <v>45352</v>
      </c>
      <c r="AB1600" s="4">
        <v>1.44</v>
      </c>
      <c r="AC1600" s="6">
        <v>26.93</v>
      </c>
      <c r="AD1600" s="6">
        <v>13.81</v>
      </c>
      <c r="AE1600" s="1">
        <v>0</v>
      </c>
      <c r="AF1600" s="1">
        <f ca="1">IFERROR(__xludf.DUMMYFUNCTION("IFERROR(GOOGLEFINANCE(TRIM(F1600)&amp;"":"" &amp; TRIM(B1600),""high52""),AE1600)"),0)</f>
        <v>0</v>
      </c>
      <c r="AG1600" s="1">
        <v>0</v>
      </c>
      <c r="AH1600" s="1">
        <f ca="1">IFERROR(__xludf.DUMMYFUNCTION("IFERROR(GOOGLEFINANCE(TRIM(F1600)&amp;"":"" &amp; TRIM(B1600),""low52""),AE1600)"),0)</f>
        <v>0</v>
      </c>
      <c r="AI1600" s="1">
        <f ca="1">IFERROR(__xludf.DUMMYFUNCTION("IFERROR(GOOGLEFINANCE(B1600,""eps""),0)"),0)</f>
        <v>0</v>
      </c>
      <c r="AJ1600" s="1"/>
      <c r="AK1600" s="1" t="s">
        <v>4821</v>
      </c>
      <c r="AL1600" s="9">
        <f t="shared" si="203"/>
        <v>1</v>
      </c>
    </row>
    <row r="1601" spans="1:38" ht="15" x14ac:dyDescent="0.25">
      <c r="A1601" s="1" t="s">
        <v>4822</v>
      </c>
      <c r="B1601" s="1" t="s">
        <v>4823</v>
      </c>
      <c r="C1601" s="1" t="s">
        <v>4824</v>
      </c>
      <c r="D1601" s="1" t="s">
        <v>4824</v>
      </c>
      <c r="E1601" s="6">
        <v>189.97</v>
      </c>
      <c r="F1601" s="1" t="s">
        <v>40</v>
      </c>
      <c r="G1601" s="6">
        <f ca="1">IFERROR(__xludf.DUMMYFUNCTION("iferror(GOOGLEFINANCE(TRIM(F1601)&amp;"":"" &amp; TRIM(B1601), ""price""),0
)"),221.5)</f>
        <v>221.5</v>
      </c>
      <c r="H1601" s="6">
        <v>323</v>
      </c>
      <c r="I1601" s="6">
        <f t="shared" ca="1" si="0"/>
        <v>221.5</v>
      </c>
      <c r="J1601" s="6">
        <f ca="1">IFERROR(__xludf.DUMMYFUNCTION("IFERROR(GOOGLEFINANCE(B1601, ""volume""), 0)"),806)</f>
        <v>806</v>
      </c>
      <c r="K1601" s="6">
        <v>2.4300000000000002</v>
      </c>
      <c r="L1601" s="6">
        <f ca="1">IFERROR(__xludf.DUMMYFUNCTION("IFERROR(GOOGLEFINANCE(B1601,""changepct""),K1601)"),0.07)</f>
        <v>7.0000000000000007E-2</v>
      </c>
      <c r="M1601" s="6">
        <f ca="1">IFERROR(__xludf.DUMMYFUNCTION("IFERROR(GOOGLEFINANCE(B1601,""change""),0)"),0.15)</f>
        <v>0.15</v>
      </c>
      <c r="N1601" s="6">
        <v>2</v>
      </c>
      <c r="O1601" s="7">
        <v>45536</v>
      </c>
      <c r="P1601" s="6">
        <v>21.15</v>
      </c>
      <c r="Q1601" s="6">
        <v>189.41</v>
      </c>
      <c r="R1601" s="7">
        <v>45536</v>
      </c>
      <c r="S1601" s="6">
        <v>46.15</v>
      </c>
      <c r="T1601" s="6">
        <v>75.28</v>
      </c>
      <c r="U1601" s="7">
        <v>45536</v>
      </c>
      <c r="V1601" s="6">
        <v>2.52</v>
      </c>
      <c r="W1601" s="6">
        <f ca="1">IFERROR(__xludf.DUMMYFUNCTION("IFERROR(GOOGLEFINANCE(B1601,""pe""),V1601)"),5.28)</f>
        <v>5.28</v>
      </c>
      <c r="X1601" s="6">
        <v>0.13</v>
      </c>
      <c r="Y1601" s="6">
        <v>0.59</v>
      </c>
      <c r="Z1601" s="6">
        <v>2</v>
      </c>
      <c r="AA1601" s="8">
        <v>45352</v>
      </c>
      <c r="AB1601" s="4">
        <v>0.09</v>
      </c>
      <c r="AC1601" s="6">
        <v>3.29</v>
      </c>
      <c r="AD1601" s="6">
        <v>3.65</v>
      </c>
      <c r="AE1601" s="1">
        <v>0</v>
      </c>
      <c r="AF1601" s="1">
        <f ca="1">IFERROR(__xludf.DUMMYFUNCTION("IFERROR(GOOGLEFINANCE(TRIM(F1601)&amp;"":"" &amp; TRIM(B1601),""high52""),AE1601)"),384)</f>
        <v>384</v>
      </c>
      <c r="AG1601" s="1">
        <v>0</v>
      </c>
      <c r="AH1601" s="1">
        <f ca="1">IFERROR(__xludf.DUMMYFUNCTION("IFERROR(GOOGLEFINANCE(TRIM(F1601)&amp;"":"" &amp; TRIM(B1601),""low52""),AE1601)"),213.01)</f>
        <v>213.01</v>
      </c>
      <c r="AI1601" s="1">
        <f ca="1">IFERROR(__xludf.DUMMYFUNCTION("IFERROR(GOOGLEFINANCE(B1601,""eps""),0)"),41.95)</f>
        <v>41.95</v>
      </c>
      <c r="AJ1601" s="1"/>
      <c r="AK1601" s="1" t="s">
        <v>4825</v>
      </c>
      <c r="AL1601" s="9">
        <f t="shared" si="203"/>
        <v>1</v>
      </c>
    </row>
    <row r="1602" spans="1:38" ht="15" x14ac:dyDescent="0.25">
      <c r="A1602" s="1" t="s">
        <v>4826</v>
      </c>
      <c r="B1602" s="1" t="s">
        <v>4827</v>
      </c>
      <c r="C1602" s="1" t="s">
        <v>135</v>
      </c>
      <c r="D1602" s="1" t="s">
        <v>135</v>
      </c>
      <c r="E1602" s="6">
        <v>276.83</v>
      </c>
      <c r="F1602" s="1" t="s">
        <v>40</v>
      </c>
      <c r="G1602" s="6">
        <f ca="1">IFERROR(__xludf.DUMMYFUNCTION("iferror(GOOGLEFINANCE(TRIM(F1602)&amp;"":"" &amp; TRIM(B1602), ""price""),0
)"),0)</f>
        <v>0</v>
      </c>
      <c r="H1602" s="6">
        <v>233.9</v>
      </c>
      <c r="I1602" s="6">
        <f t="shared" ca="1" si="0"/>
        <v>233.9</v>
      </c>
      <c r="J1602" s="6">
        <f ca="1">IFERROR(__xludf.DUMMYFUNCTION("IFERROR(GOOGLEFINANCE(B1602, ""volume""), 0)"),74)</f>
        <v>74</v>
      </c>
      <c r="K1602" s="6">
        <v>3.27</v>
      </c>
      <c r="L1602" s="6">
        <f ca="1">IFERROR(__xludf.DUMMYFUNCTION("IFERROR(GOOGLEFINANCE(B1602,""changepct""),K1602)"),-0.34)</f>
        <v>-0.34</v>
      </c>
      <c r="M1602" s="6">
        <f ca="1">IFERROR(__xludf.DUMMYFUNCTION("IFERROR(GOOGLEFINANCE(B1602,""change""),0)"),-0.16)</f>
        <v>-0.16</v>
      </c>
      <c r="N1602" s="6">
        <v>1</v>
      </c>
      <c r="O1602" s="7">
        <v>45536</v>
      </c>
      <c r="P1602" s="6">
        <v>27.2</v>
      </c>
      <c r="Q1602" s="6">
        <v>304.02999999999997</v>
      </c>
      <c r="R1602" s="7">
        <v>45352</v>
      </c>
      <c r="S1602" s="6">
        <v>66.680000000000007</v>
      </c>
      <c r="T1602" s="6">
        <v>8.82</v>
      </c>
      <c r="U1602" s="7">
        <v>45352</v>
      </c>
      <c r="V1602" s="6">
        <v>31.37</v>
      </c>
      <c r="W1602" s="6">
        <f ca="1">IFERROR(__xludf.DUMMYFUNCTION("IFERROR(GOOGLEFINANCE(B1602,""pe""),V1602)"),31.37)</f>
        <v>31.37</v>
      </c>
      <c r="X1602" s="9"/>
      <c r="Y1602" s="6">
        <v>3.91</v>
      </c>
      <c r="Z1602" s="6">
        <v>1</v>
      </c>
      <c r="AA1602" s="8">
        <v>45352</v>
      </c>
      <c r="AB1602" s="4">
        <v>0.83</v>
      </c>
      <c r="AC1602" s="6">
        <v>45.98</v>
      </c>
      <c r="AD1602" s="6">
        <v>31.14</v>
      </c>
      <c r="AE1602" s="1">
        <v>0</v>
      </c>
      <c r="AF1602" s="1">
        <f ca="1">IFERROR(__xludf.DUMMYFUNCTION("IFERROR(GOOGLEFINANCE(TRIM(F1602)&amp;"":"" &amp; TRIM(B1602),""high52""),AE1602)"),0)</f>
        <v>0</v>
      </c>
      <c r="AG1602" s="1">
        <v>0</v>
      </c>
      <c r="AH1602" s="1">
        <f ca="1">IFERROR(__xludf.DUMMYFUNCTION("IFERROR(GOOGLEFINANCE(TRIM(F1602)&amp;"":"" &amp; TRIM(B1602),""low52""),AE1602)"),0)</f>
        <v>0</v>
      </c>
      <c r="AI1602" s="1">
        <f ca="1">IFERROR(__xludf.DUMMYFUNCTION("IFERROR(GOOGLEFINANCE(B1602,""eps""),0)"),0)</f>
        <v>0</v>
      </c>
      <c r="AJ1602" s="1"/>
      <c r="AK1602" s="1" t="s">
        <v>4828</v>
      </c>
      <c r="AL1602" s="1" t="b">
        <f>ISNUMBER(AA1602)</f>
        <v>1</v>
      </c>
    </row>
    <row r="1603" spans="1:38" ht="15" x14ac:dyDescent="0.25">
      <c r="A1603" s="1" t="s">
        <v>4829</v>
      </c>
      <c r="B1603" s="1" t="s">
        <v>4830</v>
      </c>
      <c r="C1603" s="1" t="s">
        <v>268</v>
      </c>
      <c r="D1603" s="1" t="s">
        <v>268</v>
      </c>
      <c r="E1603" s="6">
        <v>16148.56</v>
      </c>
      <c r="F1603" s="1" t="s">
        <v>40</v>
      </c>
      <c r="G1603" s="6">
        <f ca="1">IFERROR(__xludf.DUMMYFUNCTION("iferror(GOOGLEFINANCE(TRIM(F1603)&amp;"":"" &amp; TRIM(B1603), ""price""),0
)"),123)</f>
        <v>123</v>
      </c>
      <c r="H1603" s="6">
        <v>181.05</v>
      </c>
      <c r="I1603" s="6">
        <f t="shared" ca="1" si="0"/>
        <v>123</v>
      </c>
      <c r="J1603" s="6">
        <f ca="1">IFERROR(__xludf.DUMMYFUNCTION("IFERROR(GOOGLEFINANCE(B1603, ""volume""), 0)"),102)</f>
        <v>102</v>
      </c>
      <c r="K1603" s="6">
        <v>-0.08</v>
      </c>
      <c r="L1603" s="6">
        <f ca="1">IFERROR(__xludf.DUMMYFUNCTION("IFERROR(GOOGLEFINANCE(B1603,""changepct""),K1603)"),-0.53)</f>
        <v>-0.53</v>
      </c>
      <c r="M1603" s="6">
        <f ca="1">IFERROR(__xludf.DUMMYFUNCTION("IFERROR(GOOGLEFINANCE(B1603,""change""),0)"),-1.06)</f>
        <v>-1.06</v>
      </c>
      <c r="N1603" s="6">
        <v>2</v>
      </c>
      <c r="O1603" s="7">
        <v>45536</v>
      </c>
      <c r="P1603" s="9"/>
      <c r="Q1603" s="6">
        <v>16084.85</v>
      </c>
      <c r="R1603" s="7">
        <v>45536</v>
      </c>
      <c r="S1603" s="6">
        <v>499.54</v>
      </c>
      <c r="T1603" s="6">
        <v>381.23</v>
      </c>
      <c r="U1603" s="7">
        <v>45536</v>
      </c>
      <c r="V1603" s="6">
        <v>41.06</v>
      </c>
      <c r="W1603" s="6">
        <f ca="1">IFERROR(__xludf.DUMMYFUNCTION("IFERROR(GOOGLEFINANCE(B1603,""pe""),V1603)"),31.39)</f>
        <v>31.39</v>
      </c>
      <c r="X1603" s="6">
        <v>2.52</v>
      </c>
      <c r="Y1603" s="6">
        <v>15.46</v>
      </c>
      <c r="Z1603" s="6">
        <v>2</v>
      </c>
      <c r="AA1603" s="8">
        <v>45352</v>
      </c>
      <c r="AB1603" s="4">
        <v>0</v>
      </c>
      <c r="AC1603" s="6">
        <v>40.35</v>
      </c>
      <c r="AD1603" s="6">
        <v>52.95</v>
      </c>
      <c r="AE1603" s="1">
        <v>0</v>
      </c>
      <c r="AF1603" s="1">
        <f ca="1">IFERROR(__xludf.DUMMYFUNCTION("IFERROR(GOOGLEFINANCE(TRIM(F1603)&amp;"":"" &amp; TRIM(B1603),""high52""),AE1603)"),215.4)</f>
        <v>215.4</v>
      </c>
      <c r="AG1603" s="1">
        <v>0</v>
      </c>
      <c r="AH1603" s="1">
        <f ca="1">IFERROR(__xludf.DUMMYFUNCTION("IFERROR(GOOGLEFINANCE(TRIM(F1603)&amp;"":"" &amp; TRIM(B1603),""low52""),AE1603)"),119)</f>
        <v>119</v>
      </c>
      <c r="AI1603" s="1">
        <f ca="1">IFERROR(__xludf.DUMMYFUNCTION("IFERROR(GOOGLEFINANCE(B1603,""eps""),0)"),6.33)</f>
        <v>6.33</v>
      </c>
      <c r="AJ1603" s="1"/>
      <c r="AK1603" s="9"/>
      <c r="AL1603" s="9">
        <f t="shared" ref="AL1603:AL1607" si="204">IF(AA1603&lt;&gt;AB1603,1,0)</f>
        <v>1</v>
      </c>
    </row>
    <row r="1604" spans="1:38" ht="15" x14ac:dyDescent="0.25">
      <c r="A1604" s="1" t="s">
        <v>4831</v>
      </c>
      <c r="B1604" s="1" t="s">
        <v>4832</v>
      </c>
      <c r="C1604" s="1" t="s">
        <v>86</v>
      </c>
      <c r="D1604" s="1" t="s">
        <v>86</v>
      </c>
      <c r="E1604" s="6">
        <v>1998.48</v>
      </c>
      <c r="F1604" s="1" t="s">
        <v>40</v>
      </c>
      <c r="G1604" s="6">
        <f ca="1">IFERROR(__xludf.DUMMYFUNCTION("iferror(GOOGLEFINANCE(TRIM(F1604)&amp;"":"" &amp; TRIM(B1604), ""price""),0
)"),374)</f>
        <v>374</v>
      </c>
      <c r="H1604" s="6">
        <v>382.05</v>
      </c>
      <c r="I1604" s="6">
        <f t="shared" ca="1" si="0"/>
        <v>374</v>
      </c>
      <c r="J1604" s="6">
        <f ca="1">IFERROR(__xludf.DUMMYFUNCTION("IFERROR(GOOGLEFINANCE(B1604, ""volume""), 0)"),10939)</f>
        <v>10939</v>
      </c>
      <c r="K1604" s="6">
        <v>0.9</v>
      </c>
      <c r="L1604" s="6">
        <f ca="1">IFERROR(__xludf.DUMMYFUNCTION("IFERROR(GOOGLEFINANCE(B1604,""changepct""),K1604)"),-1.64)</f>
        <v>-1.64</v>
      </c>
      <c r="M1604" s="6">
        <f ca="1">IFERROR(__xludf.DUMMYFUNCTION("IFERROR(GOOGLEFINANCE(B1604,""change""),0)"),-6.25)</f>
        <v>-6.25</v>
      </c>
      <c r="N1604" s="6">
        <v>1</v>
      </c>
      <c r="O1604" s="7">
        <v>45536</v>
      </c>
      <c r="P1604" s="6">
        <v>596.96</v>
      </c>
      <c r="Q1604" s="6">
        <v>2547.4499999999998</v>
      </c>
      <c r="R1604" s="7">
        <v>45536</v>
      </c>
      <c r="S1604" s="6">
        <v>1441.33</v>
      </c>
      <c r="T1604" s="6">
        <v>103.23</v>
      </c>
      <c r="U1604" s="7">
        <v>45536</v>
      </c>
      <c r="V1604" s="6">
        <v>19.36</v>
      </c>
      <c r="W1604" s="6">
        <f ca="1">IFERROR(__xludf.DUMMYFUNCTION("IFERROR(GOOGLEFINANCE(B1604,""pe""),V1604)"),3.46)</f>
        <v>3.46</v>
      </c>
      <c r="X1604" s="6">
        <v>-9.2200000000000006</v>
      </c>
      <c r="Y1604" s="6">
        <v>2.31</v>
      </c>
      <c r="Z1604" s="6">
        <v>1</v>
      </c>
      <c r="AA1604" s="8">
        <v>45352</v>
      </c>
      <c r="AB1604" s="4">
        <v>0.6</v>
      </c>
      <c r="AC1604" s="6">
        <v>10.18</v>
      </c>
      <c r="AD1604" s="6">
        <v>13.34</v>
      </c>
      <c r="AE1604" s="1">
        <v>0</v>
      </c>
      <c r="AF1604" s="1">
        <f ca="1">IFERROR(__xludf.DUMMYFUNCTION("IFERROR(GOOGLEFINANCE(TRIM(F1604)&amp;"":"" &amp; TRIM(B1604),""high52""),AE1604)"),479)</f>
        <v>479</v>
      </c>
      <c r="AG1604" s="1">
        <v>0</v>
      </c>
      <c r="AH1604" s="1">
        <f ca="1">IFERROR(__xludf.DUMMYFUNCTION("IFERROR(GOOGLEFINANCE(TRIM(F1604)&amp;"":"" &amp; TRIM(B1604),""low52""),AE1604)"),281.05)</f>
        <v>281.05</v>
      </c>
      <c r="AI1604" s="1">
        <f ca="1">IFERROR(__xludf.DUMMYFUNCTION("IFERROR(GOOGLEFINANCE(B1604,""eps""),0)"),108.2)</f>
        <v>108.2</v>
      </c>
      <c r="AJ1604" s="1"/>
      <c r="AK1604" s="1" t="s">
        <v>4833</v>
      </c>
      <c r="AL1604" s="9">
        <f t="shared" si="204"/>
        <v>1</v>
      </c>
    </row>
    <row r="1605" spans="1:38" ht="15" x14ac:dyDescent="0.25">
      <c r="A1605" s="1" t="s">
        <v>4834</v>
      </c>
      <c r="B1605" s="1" t="s">
        <v>4835</v>
      </c>
      <c r="C1605" s="1" t="s">
        <v>416</v>
      </c>
      <c r="D1605" s="1" t="s">
        <v>416</v>
      </c>
      <c r="E1605" s="6">
        <v>175.27</v>
      </c>
      <c r="F1605" s="1" t="s">
        <v>53</v>
      </c>
      <c r="G1605" s="6">
        <f ca="1">IFERROR(__xludf.DUMMYFUNCTION("iferror(GOOGLEFINANCE(TRIM(F1605)&amp;"":"" &amp; TRIM(B1605), ""price""),0
)"),0)</f>
        <v>0</v>
      </c>
      <c r="H1605" s="6">
        <v>127.9</v>
      </c>
      <c r="I1605" s="6">
        <f t="shared" ca="1" si="0"/>
        <v>127.9</v>
      </c>
      <c r="J1605" s="6">
        <f ca="1">IFERROR(__xludf.DUMMYFUNCTION("IFERROR(GOOGLEFINANCE(B1605, ""volume""), 0)"),0)</f>
        <v>0</v>
      </c>
      <c r="K1605" s="6">
        <v>0.63</v>
      </c>
      <c r="L1605" s="6">
        <f ca="1">IFERROR(__xludf.DUMMYFUNCTION("IFERROR(GOOGLEFINANCE(B1605,""changepct""),K1605)"),0.63)</f>
        <v>0.63</v>
      </c>
      <c r="M1605" s="6">
        <f ca="1">IFERROR(__xludf.DUMMYFUNCTION("IFERROR(GOOGLEFINANCE(B1605,""change""),0)"),0)</f>
        <v>0</v>
      </c>
      <c r="N1605" s="6">
        <v>1</v>
      </c>
      <c r="O1605" s="7">
        <v>45536</v>
      </c>
      <c r="P1605" s="6">
        <v>26.1</v>
      </c>
      <c r="Q1605" s="6">
        <v>201.37</v>
      </c>
      <c r="R1605" s="7">
        <v>45536</v>
      </c>
      <c r="S1605" s="6">
        <v>24.88</v>
      </c>
      <c r="T1605" s="6">
        <v>3.02</v>
      </c>
      <c r="U1605" s="7">
        <v>45536</v>
      </c>
      <c r="V1605" s="6">
        <v>58.08</v>
      </c>
      <c r="W1605" s="6">
        <f ca="1">IFERROR(__xludf.DUMMYFUNCTION("IFERROR(GOOGLEFINANCE(B1605,""pe""),V1605)"),58.08)</f>
        <v>58.08</v>
      </c>
      <c r="X1605" s="6">
        <v>2.5299999999999998</v>
      </c>
      <c r="Y1605" s="6">
        <v>3.43</v>
      </c>
      <c r="Z1605" s="6">
        <v>1</v>
      </c>
      <c r="AA1605" s="8">
        <v>45352</v>
      </c>
      <c r="AB1605" s="4">
        <v>0.73</v>
      </c>
      <c r="AC1605" s="6">
        <v>4.78</v>
      </c>
      <c r="AD1605" s="6">
        <v>8.1</v>
      </c>
      <c r="AE1605" s="1">
        <v>0</v>
      </c>
      <c r="AF1605" s="1">
        <f ca="1">IFERROR(__xludf.DUMMYFUNCTION("IFERROR(GOOGLEFINANCE(TRIM(F1605)&amp;"":"" &amp; TRIM(B1605),""high52""),AE1605)"),0)</f>
        <v>0</v>
      </c>
      <c r="AG1605" s="1">
        <v>0</v>
      </c>
      <c r="AH1605" s="1">
        <f ca="1">IFERROR(__xludf.DUMMYFUNCTION("IFERROR(GOOGLEFINANCE(TRIM(F1605)&amp;"":"" &amp; TRIM(B1605),""low52""),AE1605)"),0)</f>
        <v>0</v>
      </c>
      <c r="AI1605" s="1">
        <f ca="1">IFERROR(__xludf.DUMMYFUNCTION("IFERROR(GOOGLEFINANCE(B1605,""eps""),0)"),0)</f>
        <v>0</v>
      </c>
      <c r="AJ1605" s="1"/>
      <c r="AK1605" s="1" t="s">
        <v>4836</v>
      </c>
      <c r="AL1605" s="9">
        <f t="shared" si="204"/>
        <v>1</v>
      </c>
    </row>
    <row r="1606" spans="1:38" ht="15" x14ac:dyDescent="0.25">
      <c r="A1606" s="1" t="s">
        <v>4837</v>
      </c>
      <c r="B1606" s="1" t="s">
        <v>4838</v>
      </c>
      <c r="C1606" s="1" t="s">
        <v>416</v>
      </c>
      <c r="D1606" s="1" t="s">
        <v>416</v>
      </c>
      <c r="E1606" s="6">
        <v>187.98</v>
      </c>
      <c r="F1606" s="1" t="s">
        <v>53</v>
      </c>
      <c r="G1606" s="6">
        <f ca="1">IFERROR(__xludf.DUMMYFUNCTION("iferror(GOOGLEFINANCE(TRIM(F1606)&amp;"":"" &amp; TRIM(B1606), ""price""),0
)"),0)</f>
        <v>0</v>
      </c>
      <c r="H1606" s="6">
        <v>79.400000000000006</v>
      </c>
      <c r="I1606" s="6">
        <f t="shared" ca="1" si="0"/>
        <v>79.400000000000006</v>
      </c>
      <c r="J1606" s="6">
        <f ca="1">IFERROR(__xludf.DUMMYFUNCTION("IFERROR(GOOGLEFINANCE(B1606, ""volume""), 0)"),0)</f>
        <v>0</v>
      </c>
      <c r="K1606" s="6">
        <v>-2</v>
      </c>
      <c r="L1606" s="6">
        <f ca="1">IFERROR(__xludf.DUMMYFUNCTION("IFERROR(GOOGLEFINANCE(B1606,""changepct""),K1606)"),-2)</f>
        <v>-2</v>
      </c>
      <c r="M1606" s="6">
        <f ca="1">IFERROR(__xludf.DUMMYFUNCTION("IFERROR(GOOGLEFINANCE(B1606,""change""),0)"),0)</f>
        <v>0</v>
      </c>
      <c r="N1606" s="6">
        <v>1</v>
      </c>
      <c r="O1606" s="7">
        <v>45536</v>
      </c>
      <c r="P1606" s="6">
        <v>1.68</v>
      </c>
      <c r="Q1606" s="6">
        <v>189.66</v>
      </c>
      <c r="R1606" s="7">
        <v>45536</v>
      </c>
      <c r="S1606" s="6">
        <v>47.31</v>
      </c>
      <c r="T1606" s="6">
        <v>8.16</v>
      </c>
      <c r="U1606" s="7">
        <v>45536</v>
      </c>
      <c r="V1606" s="6">
        <v>23.04</v>
      </c>
      <c r="W1606" s="6">
        <f ca="1">IFERROR(__xludf.DUMMYFUNCTION("IFERROR(GOOGLEFINANCE(B1606,""pe""),V1606)"),23.04)</f>
        <v>23.04</v>
      </c>
      <c r="X1606" s="6">
        <v>0.21</v>
      </c>
      <c r="Y1606" s="6">
        <v>14.28</v>
      </c>
      <c r="Z1606" s="6">
        <v>1</v>
      </c>
      <c r="AA1606" s="8">
        <v>45352</v>
      </c>
      <c r="AB1606" s="4">
        <v>0.13</v>
      </c>
      <c r="AC1606" s="6">
        <v>123.81</v>
      </c>
      <c r="AD1606" s="6">
        <v>128.83000000000001</v>
      </c>
      <c r="AE1606" s="1">
        <v>0</v>
      </c>
      <c r="AF1606" s="1">
        <f ca="1">IFERROR(__xludf.DUMMYFUNCTION("IFERROR(GOOGLEFINANCE(TRIM(F1606)&amp;"":"" &amp; TRIM(B1606),""high52""),AE1606)"),0)</f>
        <v>0</v>
      </c>
      <c r="AG1606" s="1">
        <v>0</v>
      </c>
      <c r="AH1606" s="1">
        <f ca="1">IFERROR(__xludf.DUMMYFUNCTION("IFERROR(GOOGLEFINANCE(TRIM(F1606)&amp;"":"" &amp; TRIM(B1606),""low52""),AE1606)"),0)</f>
        <v>0</v>
      </c>
      <c r="AI1606" s="1">
        <f ca="1">IFERROR(__xludf.DUMMYFUNCTION("IFERROR(GOOGLEFINANCE(B1606,""eps""),0)"),0)</f>
        <v>0</v>
      </c>
      <c r="AJ1606" s="1"/>
      <c r="AK1606" s="1" t="s">
        <v>4839</v>
      </c>
      <c r="AL1606" s="9">
        <f t="shared" si="204"/>
        <v>1</v>
      </c>
    </row>
    <row r="1607" spans="1:38" ht="15" x14ac:dyDescent="0.25">
      <c r="A1607" s="1" t="s">
        <v>4840</v>
      </c>
      <c r="B1607" s="1" t="s">
        <v>4841</v>
      </c>
      <c r="C1607" s="1" t="s">
        <v>1546</v>
      </c>
      <c r="D1607" s="1" t="s">
        <v>1546</v>
      </c>
      <c r="E1607" s="6">
        <v>194731.9</v>
      </c>
      <c r="F1607" s="1" t="s">
        <v>40</v>
      </c>
      <c r="G1607" s="6">
        <f ca="1">IFERROR(__xludf.DUMMYFUNCTION("iferror(GOOGLEFINANCE(TRIM(F1607)&amp;"":"" &amp; TRIM(B1607), ""price""),0
)"),164.74)</f>
        <v>164.74</v>
      </c>
      <c r="H1607" s="6">
        <v>137.52000000000001</v>
      </c>
      <c r="I1607" s="6">
        <f t="shared" ca="1" si="0"/>
        <v>164.74</v>
      </c>
      <c r="J1607" s="6">
        <f ca="1">IFERROR(__xludf.DUMMYFUNCTION("IFERROR(GOOGLEFINANCE(B1607, ""volume""), 0)"),3060)</f>
        <v>3060</v>
      </c>
      <c r="K1607" s="6">
        <v>-0.32</v>
      </c>
      <c r="L1607" s="6">
        <f ca="1">IFERROR(__xludf.DUMMYFUNCTION("IFERROR(GOOGLEFINANCE(B1607,""changepct""),K1607)"),0.69)</f>
        <v>0.69</v>
      </c>
      <c r="M1607" s="6">
        <f ca="1">IFERROR(__xludf.DUMMYFUNCTION("IFERROR(GOOGLEFINANCE(B1607,""change""),0)"),0.08)</f>
        <v>0.08</v>
      </c>
      <c r="N1607" s="6">
        <v>2</v>
      </c>
      <c r="O1607" s="7">
        <v>45536</v>
      </c>
      <c r="P1607" s="6">
        <v>153463.70000000001</v>
      </c>
      <c r="Q1607" s="6">
        <v>344975.3</v>
      </c>
      <c r="R1607" s="7">
        <v>45536</v>
      </c>
      <c r="S1607" s="6">
        <v>869022.1</v>
      </c>
      <c r="T1607" s="6">
        <v>15856.05</v>
      </c>
      <c r="U1607" s="7">
        <v>45536</v>
      </c>
      <c r="V1607" s="6">
        <v>11.1</v>
      </c>
      <c r="W1607" s="6">
        <f ca="1">IFERROR(__xludf.DUMMYFUNCTION("IFERROR(GOOGLEFINANCE(B1607,""pe""),V1607)"),11.1)</f>
        <v>11.1</v>
      </c>
      <c r="X1607" s="6">
        <v>0.57999999999999996</v>
      </c>
      <c r="Y1607" s="6">
        <v>1.07</v>
      </c>
      <c r="Z1607" s="6">
        <v>2</v>
      </c>
      <c r="AA1607" s="8">
        <v>45352</v>
      </c>
      <c r="AB1607" s="4">
        <v>0.67</v>
      </c>
      <c r="AC1607" s="6">
        <v>26.71</v>
      </c>
      <c r="AD1607" s="6">
        <v>22.22</v>
      </c>
      <c r="AE1607" s="1">
        <v>0</v>
      </c>
      <c r="AF1607" s="1">
        <f ca="1">IFERROR(__xludf.DUMMYFUNCTION("IFERROR(GOOGLEFINANCE(TRIM(F1607)&amp;"":"" &amp; TRIM(B1607),""high52""),AE1607)"),174.5)</f>
        <v>174.5</v>
      </c>
      <c r="AG1607" s="1">
        <v>0</v>
      </c>
      <c r="AH1607" s="1">
        <f ca="1">IFERROR(__xludf.DUMMYFUNCTION("IFERROR(GOOGLEFINANCE(TRIM(F1607)&amp;"":"" &amp; TRIM(B1607),""low52""),AE1607)"),110.72)</f>
        <v>110.72</v>
      </c>
      <c r="AI1607" s="1">
        <f ca="1">IFERROR(__xludf.DUMMYFUNCTION("IFERROR(GOOGLEFINANCE(B1607,""eps""),0)"),0)</f>
        <v>0</v>
      </c>
      <c r="AJ1607" s="1"/>
      <c r="AK1607" s="1" t="s">
        <v>4842</v>
      </c>
      <c r="AL1607" s="9">
        <f t="shared" si="204"/>
        <v>1</v>
      </c>
    </row>
    <row r="1608" spans="1:38" ht="15" x14ac:dyDescent="0.25">
      <c r="A1608" s="1" t="s">
        <v>4843</v>
      </c>
      <c r="B1608" s="1" t="s">
        <v>4844</v>
      </c>
      <c r="C1608" s="1" t="s">
        <v>1379</v>
      </c>
      <c r="D1608" s="1" t="s">
        <v>1379</v>
      </c>
      <c r="E1608" s="6">
        <v>98519.37</v>
      </c>
      <c r="F1608" s="1" t="s">
        <v>40</v>
      </c>
      <c r="G1608" s="6">
        <f ca="1">IFERROR(__xludf.DUMMYFUNCTION("iferror(GOOGLEFINANCE(TRIM(F1608)&amp;"":"" &amp; TRIM(B1608), ""price""),0
)"),34.69)</f>
        <v>34.69</v>
      </c>
      <c r="H1608" s="6">
        <v>53.31</v>
      </c>
      <c r="I1608" s="6">
        <f t="shared" ca="1" si="0"/>
        <v>34.69</v>
      </c>
      <c r="J1608" s="6">
        <f ca="1">IFERROR(__xludf.DUMMYFUNCTION("IFERROR(GOOGLEFINANCE(B1608, ""volume""), 0)"),0)</f>
        <v>0</v>
      </c>
      <c r="K1608" s="6">
        <v>2.2400000000000002</v>
      </c>
      <c r="L1608" s="6">
        <f ca="1">IFERROR(__xludf.DUMMYFUNCTION("IFERROR(GOOGLEFINANCE(B1608,""changepct""),K1608)"),-1.33)</f>
        <v>-1.33</v>
      </c>
      <c r="M1608" s="6">
        <f ca="1">IFERROR(__xludf.DUMMYFUNCTION("IFERROR(GOOGLEFINANCE(B1608,""change""),0)"),-0.2)</f>
        <v>-0.2</v>
      </c>
      <c r="N1608" s="6">
        <v>2</v>
      </c>
      <c r="O1608" s="7">
        <v>45536</v>
      </c>
      <c r="P1608" s="6">
        <v>26206.28</v>
      </c>
      <c r="Q1608" s="6">
        <v>2962.83</v>
      </c>
      <c r="R1608" s="7">
        <v>45536</v>
      </c>
      <c r="S1608" s="6">
        <v>33.25</v>
      </c>
      <c r="T1608" s="9"/>
      <c r="U1608" s="6">
        <v>3.88</v>
      </c>
      <c r="V1608" s="6">
        <v>2</v>
      </c>
      <c r="W1608" s="6">
        <f ca="1">IFERROR(__xludf.DUMMYFUNCTION("IFERROR(GOOGLEFINANCE(B1608,""pe""),V1608)"),26.21)</f>
        <v>26.21</v>
      </c>
      <c r="X1608" s="7">
        <v>45352</v>
      </c>
      <c r="Y1608" s="6">
        <v>11.35</v>
      </c>
      <c r="Z1608" s="6">
        <v>1</v>
      </c>
      <c r="AA1608" s="8">
        <v>45352</v>
      </c>
      <c r="AB1608" s="4">
        <v>0.56999999999999995</v>
      </c>
      <c r="AC1608" s="6">
        <v>2.97</v>
      </c>
      <c r="AD1608" s="6">
        <v>11.27</v>
      </c>
      <c r="AE1608" s="1">
        <v>0</v>
      </c>
      <c r="AF1608" s="1">
        <f ca="1">IFERROR(__xludf.DUMMYFUNCTION("IFERROR(GOOGLEFINANCE(TRIM(F1608)&amp;"":"" &amp; TRIM(B1608),""high52""),AE1608)"),52.41)</f>
        <v>52.41</v>
      </c>
      <c r="AG1608" s="1">
        <v>0</v>
      </c>
      <c r="AH1608" s="1">
        <f ca="1">IFERROR(__xludf.DUMMYFUNCTION("IFERROR(GOOGLEFINANCE(TRIM(F1608)&amp;"":"" &amp; TRIM(B1608),""low52""),AE1608)"),33.5)</f>
        <v>33.5</v>
      </c>
      <c r="AI1608" s="1">
        <f ca="1">IFERROR(__xludf.DUMMYFUNCTION("IFERROR(GOOGLEFINANCE(B1608,""eps""),0)"),0.57)</f>
        <v>0.56999999999999995</v>
      </c>
      <c r="AJ1608" s="1"/>
      <c r="AK1608" s="1" t="s">
        <v>4845</v>
      </c>
      <c r="AL1608" s="1" t="b">
        <f>ISNUMBER(AA1608)</f>
        <v>1</v>
      </c>
    </row>
    <row r="1609" spans="1:38" ht="15" x14ac:dyDescent="0.25">
      <c r="A1609" s="1" t="s">
        <v>4846</v>
      </c>
      <c r="B1609" s="1" t="s">
        <v>4847</v>
      </c>
      <c r="C1609" s="1" t="s">
        <v>502</v>
      </c>
      <c r="D1609" s="1" t="s">
        <v>502</v>
      </c>
      <c r="E1609" s="6">
        <v>201.17</v>
      </c>
      <c r="F1609" s="1" t="s">
        <v>40</v>
      </c>
      <c r="G1609" s="6">
        <f ca="1">IFERROR(__xludf.DUMMYFUNCTION("iferror(GOOGLEFINANCE(TRIM(F1609)&amp;"":"" &amp; TRIM(B1609), ""price""),0
)"),0)</f>
        <v>0</v>
      </c>
      <c r="H1609" s="6">
        <v>80.5</v>
      </c>
      <c r="I1609" s="6">
        <f t="shared" ca="1" si="0"/>
        <v>80.5</v>
      </c>
      <c r="J1609" s="6">
        <f ca="1">IFERROR(__xludf.DUMMYFUNCTION("IFERROR(GOOGLEFINANCE(B1609, ""volume""), 0)"),0)</f>
        <v>0</v>
      </c>
      <c r="K1609" s="6">
        <v>0</v>
      </c>
      <c r="L1609" s="6">
        <f ca="1">IFERROR(__xludf.DUMMYFUNCTION("IFERROR(GOOGLEFINANCE(B1609,""changepct""),K1609)"),0)</f>
        <v>0</v>
      </c>
      <c r="M1609" s="6">
        <f ca="1">IFERROR(__xludf.DUMMYFUNCTION("IFERROR(GOOGLEFINANCE(B1609,""change""),0)"),0)</f>
        <v>0</v>
      </c>
      <c r="N1609" s="6">
        <v>1</v>
      </c>
      <c r="O1609" s="7">
        <v>45536</v>
      </c>
      <c r="P1609" s="6">
        <v>16.420000000000002</v>
      </c>
      <c r="Q1609" s="6">
        <v>217.58</v>
      </c>
      <c r="R1609" s="14"/>
      <c r="S1609" s="9"/>
      <c r="T1609" s="9"/>
      <c r="U1609" s="7">
        <v>45352</v>
      </c>
      <c r="V1609" s="6">
        <v>14.93</v>
      </c>
      <c r="W1609" s="6">
        <f ca="1">IFERROR(__xludf.DUMMYFUNCTION("IFERROR(GOOGLEFINANCE(B1609,""pe""),V1609)"),14.93)</f>
        <v>14.93</v>
      </c>
      <c r="X1609" s="12"/>
      <c r="Y1609" s="6">
        <v>1.36</v>
      </c>
      <c r="Z1609" s="6">
        <v>2</v>
      </c>
      <c r="AA1609" s="8">
        <v>45352</v>
      </c>
      <c r="AB1609" s="4">
        <v>1.0900000000000001</v>
      </c>
      <c r="AC1609" s="6">
        <v>15.01</v>
      </c>
      <c r="AD1609" s="6">
        <v>13.69</v>
      </c>
      <c r="AE1609" s="1">
        <v>0</v>
      </c>
      <c r="AF1609" s="1">
        <f ca="1">IFERROR(__xludf.DUMMYFUNCTION("IFERROR(GOOGLEFINANCE(TRIM(F1609)&amp;"":"" &amp; TRIM(B1609),""high52""),AE1609)"),0)</f>
        <v>0</v>
      </c>
      <c r="AG1609" s="1">
        <v>0</v>
      </c>
      <c r="AH1609" s="1">
        <f ca="1">IFERROR(__xludf.DUMMYFUNCTION("IFERROR(GOOGLEFINANCE(TRIM(F1609)&amp;"":"" &amp; TRIM(B1609),""low52""),AE1609)"),0)</f>
        <v>0</v>
      </c>
      <c r="AI1609" s="1">
        <f ca="1">IFERROR(__xludf.DUMMYFUNCTION("IFERROR(GOOGLEFINANCE(B1609,""eps""),0)"),0)</f>
        <v>0</v>
      </c>
      <c r="AJ1609" s="1"/>
      <c r="AK1609" s="1" t="s">
        <v>4848</v>
      </c>
      <c r="AL1609" s="9">
        <f t="shared" ref="AL1609:AL1621" si="205">IF(AA1609&lt;&gt;AB1609,1,0)</f>
        <v>1</v>
      </c>
    </row>
    <row r="1610" spans="1:38" ht="15" x14ac:dyDescent="0.25">
      <c r="A1610" s="1" t="s">
        <v>4849</v>
      </c>
      <c r="B1610" s="1" t="s">
        <v>4850</v>
      </c>
      <c r="C1610" s="1" t="s">
        <v>1644</v>
      </c>
      <c r="D1610" s="1" t="s">
        <v>1644</v>
      </c>
      <c r="E1610" s="6">
        <v>63568</v>
      </c>
      <c r="F1610" s="1" t="s">
        <v>40</v>
      </c>
      <c r="G1610" s="6">
        <f ca="1">IFERROR(__xludf.DUMMYFUNCTION("iferror(GOOGLEFINANCE(TRIM(F1610)&amp;"":"" &amp; TRIM(B1610), ""price""),0
)"),612.5)</f>
        <v>612.5</v>
      </c>
      <c r="H1610" s="6">
        <v>798.4</v>
      </c>
      <c r="I1610" s="6">
        <f t="shared" ca="1" si="0"/>
        <v>612.5</v>
      </c>
      <c r="J1610" s="6">
        <f ca="1">IFERROR(__xludf.DUMMYFUNCTION("IFERROR(GOOGLEFINANCE(B1610, ""volume""), 0)"),1313814)</f>
        <v>1313814</v>
      </c>
      <c r="K1610" s="6">
        <v>0.49</v>
      </c>
      <c r="L1610" s="6">
        <f ca="1">IFERROR(__xludf.DUMMYFUNCTION("IFERROR(GOOGLEFINANCE(B1610,""changepct""),K1610)"),1.01)</f>
        <v>1.01</v>
      </c>
      <c r="M1610" s="6">
        <f ca="1">IFERROR(__xludf.DUMMYFUNCTION("IFERROR(GOOGLEFINANCE(B1610,""change""),0)"),6.15)</f>
        <v>6.15</v>
      </c>
      <c r="N1610" s="6">
        <v>2</v>
      </c>
      <c r="O1610" s="7">
        <v>45536</v>
      </c>
      <c r="P1610" s="9"/>
      <c r="Q1610" s="6">
        <v>61147.42</v>
      </c>
      <c r="R1610" s="7">
        <v>45352</v>
      </c>
      <c r="S1610" s="6">
        <v>4270.18</v>
      </c>
      <c r="T1610" s="6">
        <v>1111.08</v>
      </c>
      <c r="U1610" s="7">
        <v>45352</v>
      </c>
      <c r="V1610" s="6">
        <v>57.21</v>
      </c>
      <c r="W1610" s="6">
        <f ca="1">IFERROR(__xludf.DUMMYFUNCTION("IFERROR(GOOGLEFINANCE(B1610,""pe""),V1610)"),35.72)</f>
        <v>35.72</v>
      </c>
      <c r="X1610" s="12"/>
      <c r="Y1610" s="6">
        <v>18.04</v>
      </c>
      <c r="Z1610" s="6">
        <v>2</v>
      </c>
      <c r="AA1610" s="8">
        <v>45352</v>
      </c>
      <c r="AB1610" s="4">
        <v>0</v>
      </c>
      <c r="AC1610" s="6">
        <v>38.93</v>
      </c>
      <c r="AD1610" s="6">
        <v>53.07</v>
      </c>
      <c r="AE1610" s="1">
        <v>0</v>
      </c>
      <c r="AF1610" s="1">
        <f ca="1">IFERROR(__xludf.DUMMYFUNCTION("IFERROR(GOOGLEFINANCE(TRIM(F1610)&amp;"":"" &amp; TRIM(B1610),""high52""),AE1610)"),820.25)</f>
        <v>820.25</v>
      </c>
      <c r="AG1610" s="1">
        <v>0</v>
      </c>
      <c r="AH1610" s="1">
        <f ca="1">IFERROR(__xludf.DUMMYFUNCTION("IFERROR(GOOGLEFINANCE(TRIM(F1610)&amp;"":"" &amp; TRIM(B1610),""low52""),AE1610)"),596)</f>
        <v>596</v>
      </c>
      <c r="AI1610" s="1">
        <f ca="1">IFERROR(__xludf.DUMMYFUNCTION("IFERROR(GOOGLEFINANCE(B1610,""eps""),0)"),17.15)</f>
        <v>17.149999999999999</v>
      </c>
      <c r="AJ1610" s="1"/>
      <c r="AK1610" s="9"/>
      <c r="AL1610" s="9">
        <f t="shared" si="205"/>
        <v>1</v>
      </c>
    </row>
    <row r="1611" spans="1:38" ht="15" x14ac:dyDescent="0.25">
      <c r="A1611" s="1" t="s">
        <v>4851</v>
      </c>
      <c r="B1611" s="1" t="s">
        <v>4852</v>
      </c>
      <c r="C1611" s="1" t="s">
        <v>4298</v>
      </c>
      <c r="D1611" s="1" t="s">
        <v>4298</v>
      </c>
      <c r="E1611" s="6">
        <v>198641.3</v>
      </c>
      <c r="F1611" s="1" t="s">
        <v>40</v>
      </c>
      <c r="G1611" s="6">
        <f ca="1">IFERROR(__xludf.DUMMYFUNCTION("iferror(GOOGLEFINANCE(TRIM(F1611)&amp;"":"" &amp; TRIM(B1611), ""price""),0
)"),115.32)</f>
        <v>115.32</v>
      </c>
      <c r="H1611" s="6">
        <v>153.33000000000001</v>
      </c>
      <c r="I1611" s="6">
        <f t="shared" ca="1" si="0"/>
        <v>115.32</v>
      </c>
      <c r="J1611" s="6">
        <f ca="1">IFERROR(__xludf.DUMMYFUNCTION("IFERROR(GOOGLEFINANCE(B1611, ""volume""), 0)"),26935344)</f>
        <v>26935344</v>
      </c>
      <c r="K1611" s="6">
        <v>0.85</v>
      </c>
      <c r="L1611" s="6">
        <f ca="1">IFERROR(__xludf.DUMMYFUNCTION("IFERROR(GOOGLEFINANCE(B1611,""changepct""),K1611)"),1.57)</f>
        <v>1.57</v>
      </c>
      <c r="M1611" s="6">
        <f ca="1">IFERROR(__xludf.DUMMYFUNCTION("IFERROR(GOOGLEFINANCE(B1611,""change""),0)"),1.78)</f>
        <v>1.78</v>
      </c>
      <c r="N1611" s="6">
        <v>1</v>
      </c>
      <c r="O1611" s="7">
        <v>45536</v>
      </c>
      <c r="P1611" s="6">
        <v>6511.03</v>
      </c>
      <c r="Q1611" s="7">
        <v>45536</v>
      </c>
      <c r="R1611" s="6">
        <v>30.51</v>
      </c>
      <c r="S1611" s="9"/>
      <c r="T1611" s="6">
        <v>3.86</v>
      </c>
      <c r="U1611" s="6">
        <v>1</v>
      </c>
      <c r="V1611" s="7">
        <v>45352</v>
      </c>
      <c r="W1611" s="6">
        <f ca="1">IFERROR(__xludf.DUMMYFUNCTION("IFERROR(GOOGLEFINANCE(B1611,""pe""),V1611)"),21.49)</f>
        <v>21.49</v>
      </c>
      <c r="X1611" s="6">
        <v>8.3800000000000008</v>
      </c>
      <c r="Y1611" s="6">
        <v>13.66</v>
      </c>
      <c r="Z1611" s="6">
        <v>5.73</v>
      </c>
      <c r="AA1611" s="3" t="s">
        <v>4853</v>
      </c>
      <c r="AB1611" s="11"/>
      <c r="AC1611" s="9"/>
      <c r="AD1611" s="9"/>
      <c r="AE1611" s="1">
        <v>0</v>
      </c>
      <c r="AF1611" s="1">
        <f ca="1">IFERROR(__xludf.DUMMYFUNCTION("IFERROR(GOOGLEFINANCE(TRIM(F1611)&amp;"":"" &amp; TRIM(B1611),""high52""),AE1611)"),148.95)</f>
        <v>148.94999999999999</v>
      </c>
      <c r="AG1611" s="1">
        <v>0</v>
      </c>
      <c r="AH1611" s="1">
        <f ca="1">IFERROR(__xludf.DUMMYFUNCTION("IFERROR(GOOGLEFINANCE(TRIM(F1611)&amp;"":"" &amp; TRIM(B1611),""low52""),AE1611)"),108.04)</f>
        <v>108.04</v>
      </c>
      <c r="AI1611" s="1">
        <f ca="1">IFERROR(__xludf.DUMMYFUNCTION("IFERROR(GOOGLEFINANCE(B1611,""eps""),0)"),5.37)</f>
        <v>5.37</v>
      </c>
      <c r="AJ1611" s="1"/>
      <c r="AK1611" s="1" t="s">
        <v>4854</v>
      </c>
      <c r="AL1611" s="9">
        <f t="shared" si="205"/>
        <v>1</v>
      </c>
    </row>
    <row r="1612" spans="1:38" ht="15" x14ac:dyDescent="0.25">
      <c r="A1612" s="1" t="s">
        <v>4855</v>
      </c>
      <c r="B1612" s="1" t="s">
        <v>4856</v>
      </c>
      <c r="C1612" s="1" t="s">
        <v>208</v>
      </c>
      <c r="D1612" s="1" t="s">
        <v>208</v>
      </c>
      <c r="E1612" s="6">
        <v>59749.01</v>
      </c>
      <c r="F1612" s="1" t="s">
        <v>40</v>
      </c>
      <c r="G1612" s="6">
        <f ca="1">IFERROR(__xludf.DUMMYFUNCTION("iferror(GOOGLEFINANCE(TRIM(F1612)&amp;"":"" &amp; TRIM(B1612), ""price""),0
)"),128.3)</f>
        <v>128.30000000000001</v>
      </c>
      <c r="H1612" s="6">
        <v>222.4</v>
      </c>
      <c r="I1612" s="6">
        <f t="shared" ca="1" si="0"/>
        <v>128.30000000000001</v>
      </c>
      <c r="J1612" s="6">
        <f ca="1">IFERROR(__xludf.DUMMYFUNCTION("IFERROR(GOOGLEFINANCE(B1612, ""volume""), 0)"),9565522)</f>
        <v>9565522</v>
      </c>
      <c r="K1612" s="6">
        <v>-0.03</v>
      </c>
      <c r="L1612" s="6">
        <f ca="1">IFERROR(__xludf.DUMMYFUNCTION("IFERROR(GOOGLEFINANCE(B1612,""changepct""),K1612)"),0.05)</f>
        <v>0.05</v>
      </c>
      <c r="M1612" s="6">
        <f ca="1">IFERROR(__xludf.DUMMYFUNCTION("IFERROR(GOOGLEFINANCE(B1612,""change""),0)"),0.06)</f>
        <v>0.06</v>
      </c>
      <c r="N1612" s="6">
        <v>1</v>
      </c>
      <c r="O1612" s="7">
        <v>45536</v>
      </c>
      <c r="P1612" s="6">
        <v>1444.36</v>
      </c>
      <c r="Q1612" s="7">
        <v>45536</v>
      </c>
      <c r="R1612" s="6">
        <v>41.37</v>
      </c>
      <c r="S1612" s="9"/>
      <c r="T1612" s="6">
        <v>6.4</v>
      </c>
      <c r="U1612" s="6">
        <v>1</v>
      </c>
      <c r="V1612" s="7">
        <v>45352</v>
      </c>
      <c r="W1612" s="6">
        <f ca="1">IFERROR(__xludf.DUMMYFUNCTION("IFERROR(GOOGLEFINANCE(B1612,""pe""),V1612)"),18.76)</f>
        <v>18.760000000000002</v>
      </c>
      <c r="X1612" s="6">
        <v>5.8</v>
      </c>
      <c r="Y1612" s="6">
        <v>17.28</v>
      </c>
      <c r="Z1612" s="6">
        <v>9.2899999999999991</v>
      </c>
      <c r="AA1612" s="3" t="s">
        <v>4857</v>
      </c>
      <c r="AB1612" s="11"/>
      <c r="AC1612" s="9"/>
      <c r="AD1612" s="9"/>
      <c r="AE1612" s="1">
        <v>0</v>
      </c>
      <c r="AF1612" s="1">
        <f ca="1">IFERROR(__xludf.DUMMYFUNCTION("IFERROR(GOOGLEFINANCE(TRIM(F1612)&amp;"":"" &amp; TRIM(B1612),""high52""),AE1612)"),196.4)</f>
        <v>196.4</v>
      </c>
      <c r="AG1612" s="1">
        <v>0</v>
      </c>
      <c r="AH1612" s="1">
        <f ca="1">IFERROR(__xludf.DUMMYFUNCTION("IFERROR(GOOGLEFINANCE(TRIM(F1612)&amp;"":"" &amp; TRIM(B1612),""low52""),AE1612)"),124.11)</f>
        <v>124.11</v>
      </c>
      <c r="AI1612" s="1">
        <f ca="1">IFERROR(__xludf.DUMMYFUNCTION("IFERROR(GOOGLEFINANCE(B1612,""eps""),0)"),6.84)</f>
        <v>6.84</v>
      </c>
      <c r="AJ1612" s="1"/>
      <c r="AK1612" s="1" t="s">
        <v>4858</v>
      </c>
      <c r="AL1612" s="9">
        <f t="shared" si="205"/>
        <v>1</v>
      </c>
    </row>
    <row r="1613" spans="1:38" ht="15" x14ac:dyDescent="0.25">
      <c r="A1613" s="1" t="s">
        <v>4859</v>
      </c>
      <c r="B1613" s="1" t="s">
        <v>4860</v>
      </c>
      <c r="C1613" s="1" t="s">
        <v>186</v>
      </c>
      <c r="D1613" s="1" t="s">
        <v>186</v>
      </c>
      <c r="E1613" s="6">
        <v>223.43</v>
      </c>
      <c r="F1613" s="1" t="s">
        <v>40</v>
      </c>
      <c r="G1613" s="6">
        <f ca="1">IFERROR(__xludf.DUMMYFUNCTION("iferror(GOOGLEFINANCE(TRIM(F1613)&amp;"":"" &amp; TRIM(B1613), ""price""),0
)"),33.95)</f>
        <v>33.950000000000003</v>
      </c>
      <c r="H1613" s="6">
        <v>49.4</v>
      </c>
      <c r="I1613" s="6">
        <f t="shared" ca="1" si="0"/>
        <v>33.950000000000003</v>
      </c>
      <c r="J1613" s="6">
        <f ca="1">IFERROR(__xludf.DUMMYFUNCTION("IFERROR(GOOGLEFINANCE(B1613, ""volume""), 0)"),4659)</f>
        <v>4659</v>
      </c>
      <c r="K1613" s="6">
        <v>1.1100000000000001</v>
      </c>
      <c r="L1613" s="6">
        <f ca="1">IFERROR(__xludf.DUMMYFUNCTION("IFERROR(GOOGLEFINANCE(B1613,""changepct""),K1613)"),2.57)</f>
        <v>2.57</v>
      </c>
      <c r="M1613" s="6">
        <f ca="1">IFERROR(__xludf.DUMMYFUNCTION("IFERROR(GOOGLEFINANCE(B1613,""change""),0)"),0.85)</f>
        <v>0.85</v>
      </c>
      <c r="N1613" s="6">
        <v>1</v>
      </c>
      <c r="O1613" s="7">
        <v>45536</v>
      </c>
      <c r="P1613" s="6">
        <v>93.13</v>
      </c>
      <c r="Q1613" s="6">
        <v>285.41000000000003</v>
      </c>
      <c r="R1613" s="7">
        <v>45536</v>
      </c>
      <c r="S1613" s="6">
        <v>377.56</v>
      </c>
      <c r="T1613" s="6">
        <v>-40.94</v>
      </c>
      <c r="U1613" s="7">
        <v>45536</v>
      </c>
      <c r="V1613" s="6">
        <v>0</v>
      </c>
      <c r="W1613" s="6">
        <f ca="1">IFERROR(__xludf.DUMMYFUNCTION("IFERROR(GOOGLEFINANCE(B1613,""pe""),V1613)"),0)</f>
        <v>0</v>
      </c>
      <c r="X1613" s="9"/>
      <c r="Y1613" s="6">
        <v>1.32</v>
      </c>
      <c r="Z1613" s="6">
        <v>1</v>
      </c>
      <c r="AA1613" s="8">
        <v>45352</v>
      </c>
      <c r="AB1613" s="4">
        <v>0.48</v>
      </c>
      <c r="AC1613" s="6">
        <v>-7.31</v>
      </c>
      <c r="AD1613" s="6">
        <v>4.22</v>
      </c>
      <c r="AE1613" s="1">
        <v>0</v>
      </c>
      <c r="AF1613" s="1">
        <f ca="1">IFERROR(__xludf.DUMMYFUNCTION("IFERROR(GOOGLEFINANCE(TRIM(F1613)&amp;"":"" &amp; TRIM(B1613),""high52""),AE1613)"),45)</f>
        <v>45</v>
      </c>
      <c r="AG1613" s="1">
        <v>0</v>
      </c>
      <c r="AH1613" s="1">
        <f ca="1">IFERROR(__xludf.DUMMYFUNCTION("IFERROR(GOOGLEFINANCE(TRIM(F1613)&amp;"":"" &amp; TRIM(B1613),""low52""),AE1613)"),29.65)</f>
        <v>29.65</v>
      </c>
      <c r="AI1613" s="1">
        <f ca="1">IFERROR(__xludf.DUMMYFUNCTION("IFERROR(GOOGLEFINANCE(B1613,""eps""),0)"),-2.56)</f>
        <v>-2.56</v>
      </c>
      <c r="AJ1613" s="1"/>
      <c r="AK1613" s="1" t="s">
        <v>4861</v>
      </c>
      <c r="AL1613" s="9">
        <f t="shared" si="205"/>
        <v>1</v>
      </c>
    </row>
    <row r="1614" spans="1:38" ht="15" x14ac:dyDescent="0.25">
      <c r="A1614" s="1" t="s">
        <v>4862</v>
      </c>
      <c r="B1614" s="1" t="s">
        <v>4863</v>
      </c>
      <c r="C1614" s="1" t="s">
        <v>86</v>
      </c>
      <c r="D1614" s="1" t="s">
        <v>86</v>
      </c>
      <c r="E1614" s="6">
        <v>19.54</v>
      </c>
      <c r="F1614" s="1" t="s">
        <v>40</v>
      </c>
      <c r="G1614" s="6">
        <f ca="1">IFERROR(__xludf.DUMMYFUNCTION("iferror(GOOGLEFINANCE(TRIM(F1614)&amp;"":"" &amp; TRIM(B1614), ""price""),0
)"),0)</f>
        <v>0</v>
      </c>
      <c r="H1614" s="6">
        <v>26.8</v>
      </c>
      <c r="I1614" s="6">
        <f t="shared" ca="1" si="0"/>
        <v>26.8</v>
      </c>
      <c r="J1614" s="6">
        <f ca="1">IFERROR(__xludf.DUMMYFUNCTION("IFERROR(GOOGLEFINANCE(B1614, ""volume""), 0)"),0)</f>
        <v>0</v>
      </c>
      <c r="K1614" s="9"/>
      <c r="L1614" s="6" t="str">
        <f ca="1">IFERROR(__xludf.DUMMYFUNCTION("IFERROR(GOOGLEFINANCE(B1614,""changepct""),K1614)"),"")</f>
        <v/>
      </c>
      <c r="M1614" s="6">
        <f ca="1">IFERROR(__xludf.DUMMYFUNCTION("IFERROR(GOOGLEFINANCE(B1614,""change""),0)"),0)</f>
        <v>0</v>
      </c>
      <c r="N1614" s="6">
        <v>1</v>
      </c>
      <c r="O1614" s="7">
        <v>45536</v>
      </c>
      <c r="P1614" s="9"/>
      <c r="Q1614" s="6">
        <v>19.54</v>
      </c>
      <c r="R1614" s="7">
        <v>45352</v>
      </c>
      <c r="S1614" s="6">
        <v>9.86</v>
      </c>
      <c r="T1614" s="6">
        <v>-1.19</v>
      </c>
      <c r="U1614" s="7">
        <v>45352</v>
      </c>
      <c r="V1614" s="6">
        <v>0</v>
      </c>
      <c r="W1614" s="6">
        <f ca="1">IFERROR(__xludf.DUMMYFUNCTION("IFERROR(GOOGLEFINANCE(B1614,""pe""),V1614)"),0)</f>
        <v>0</v>
      </c>
      <c r="X1614" s="9"/>
      <c r="Y1614" s="6">
        <v>1.08</v>
      </c>
      <c r="Z1614" s="6">
        <v>1</v>
      </c>
      <c r="AA1614" s="8">
        <v>45352</v>
      </c>
      <c r="AB1614" s="4">
        <v>0</v>
      </c>
      <c r="AC1614" s="6">
        <v>-11.96</v>
      </c>
      <c r="AD1614" s="6">
        <v>-11.6</v>
      </c>
      <c r="AE1614" s="1">
        <v>0</v>
      </c>
      <c r="AF1614" s="1">
        <f ca="1">IFERROR(__xludf.DUMMYFUNCTION("IFERROR(GOOGLEFINANCE(TRIM(F1614)&amp;"":"" &amp; TRIM(B1614),""high52""),AE1614)"),0)</f>
        <v>0</v>
      </c>
      <c r="AG1614" s="1">
        <v>0</v>
      </c>
      <c r="AH1614" s="1">
        <f ca="1">IFERROR(__xludf.DUMMYFUNCTION("IFERROR(GOOGLEFINANCE(TRIM(F1614)&amp;"":"" &amp; TRIM(B1614),""low52""),AE1614)"),0)</f>
        <v>0</v>
      </c>
      <c r="AI1614" s="1">
        <f ca="1">IFERROR(__xludf.DUMMYFUNCTION("IFERROR(GOOGLEFINANCE(B1614,""eps""),0)"),0)</f>
        <v>0</v>
      </c>
      <c r="AJ1614" s="1"/>
      <c r="AK1614" s="9"/>
      <c r="AL1614" s="9">
        <f t="shared" si="205"/>
        <v>1</v>
      </c>
    </row>
    <row r="1615" spans="1:38" ht="15" x14ac:dyDescent="0.25">
      <c r="A1615" s="1" t="s">
        <v>4864</v>
      </c>
      <c r="B1615" s="1" t="s">
        <v>4865</v>
      </c>
      <c r="C1615" s="1" t="s">
        <v>593</v>
      </c>
      <c r="D1615" s="1" t="s">
        <v>593</v>
      </c>
      <c r="E1615" s="6">
        <v>6729.12</v>
      </c>
      <c r="F1615" s="1" t="s">
        <v>40</v>
      </c>
      <c r="G1615" s="6">
        <f ca="1">IFERROR(__xludf.DUMMYFUNCTION("iferror(GOOGLEFINANCE(TRIM(F1615)&amp;"":"" &amp; TRIM(B1615), ""price""),0
)"),1030)</f>
        <v>1030</v>
      </c>
      <c r="H1615" s="6">
        <v>1405.5</v>
      </c>
      <c r="I1615" s="6">
        <f t="shared" ca="1" si="0"/>
        <v>1030</v>
      </c>
      <c r="J1615" s="6">
        <f ca="1">IFERROR(__xludf.DUMMYFUNCTION("IFERROR(GOOGLEFINANCE(B1615, ""volume""), 0)"),40507)</f>
        <v>40507</v>
      </c>
      <c r="K1615" s="6">
        <v>-0.41</v>
      </c>
      <c r="L1615" s="6">
        <f ca="1">IFERROR(__xludf.DUMMYFUNCTION("IFERROR(GOOGLEFINANCE(B1615,""changepct""),K1615)"),-0.16)</f>
        <v>-0.16</v>
      </c>
      <c r="M1615" s="6">
        <f ca="1">IFERROR(__xludf.DUMMYFUNCTION("IFERROR(GOOGLEFINANCE(B1615,""change""),0)"),-1.6)</f>
        <v>-1.6</v>
      </c>
      <c r="N1615" s="6">
        <v>2</v>
      </c>
      <c r="O1615" s="7">
        <v>45536</v>
      </c>
      <c r="P1615" s="6">
        <v>5.77</v>
      </c>
      <c r="Q1615" s="6">
        <v>6715.51</v>
      </c>
      <c r="R1615" s="7">
        <v>45536</v>
      </c>
      <c r="S1615" s="6">
        <v>1349.14</v>
      </c>
      <c r="T1615" s="6">
        <v>140.9</v>
      </c>
      <c r="U1615" s="7">
        <v>45536</v>
      </c>
      <c r="V1615" s="6">
        <v>48.14</v>
      </c>
      <c r="W1615" s="6">
        <f ca="1">IFERROR(__xludf.DUMMYFUNCTION("IFERROR(GOOGLEFINANCE(B1615,""pe""),V1615)"),34.18)</f>
        <v>34.18</v>
      </c>
      <c r="X1615" s="12"/>
      <c r="Y1615" s="6">
        <v>7.17</v>
      </c>
      <c r="Z1615" s="6">
        <v>2</v>
      </c>
      <c r="AA1615" s="8">
        <v>45352</v>
      </c>
      <c r="AB1615" s="4">
        <v>0</v>
      </c>
      <c r="AC1615" s="6">
        <v>17.98</v>
      </c>
      <c r="AD1615" s="6">
        <v>23.87</v>
      </c>
      <c r="AE1615" s="1">
        <v>0</v>
      </c>
      <c r="AF1615" s="1">
        <f ca="1">IFERROR(__xludf.DUMMYFUNCTION("IFERROR(GOOGLEFINANCE(TRIM(F1615)&amp;"":"" &amp; TRIM(B1615),""high52""),AE1615)"),1345.9)</f>
        <v>1345.9</v>
      </c>
      <c r="AG1615" s="1">
        <v>0</v>
      </c>
      <c r="AH1615" s="1">
        <f ca="1">IFERROR(__xludf.DUMMYFUNCTION("IFERROR(GOOGLEFINANCE(TRIM(F1615)&amp;"":"" &amp; TRIM(B1615),""low52""),AE1615)"),910)</f>
        <v>910</v>
      </c>
      <c r="AI1615" s="1">
        <f ca="1">IFERROR(__xludf.DUMMYFUNCTION("IFERROR(GOOGLEFINANCE(B1615,""eps""),0)"),30.13)</f>
        <v>30.13</v>
      </c>
      <c r="AJ1615" s="1"/>
      <c r="AK1615" s="1" t="s">
        <v>4866</v>
      </c>
      <c r="AL1615" s="9">
        <f t="shared" si="205"/>
        <v>1</v>
      </c>
    </row>
    <row r="1616" spans="1:38" ht="15" x14ac:dyDescent="0.25">
      <c r="A1616" s="1" t="s">
        <v>4867</v>
      </c>
      <c r="B1616" s="1" t="s">
        <v>4868</v>
      </c>
      <c r="C1616" s="1" t="s">
        <v>135</v>
      </c>
      <c r="D1616" s="1" t="s">
        <v>135</v>
      </c>
      <c r="E1616" s="6">
        <v>1288.07</v>
      </c>
      <c r="F1616" s="1" t="s">
        <v>40</v>
      </c>
      <c r="G1616" s="6">
        <f ca="1">IFERROR(__xludf.DUMMYFUNCTION("iferror(GOOGLEFINANCE(TRIM(F1616)&amp;"":"" &amp; TRIM(B1616), ""price""),0
)"),112.05)</f>
        <v>112.05</v>
      </c>
      <c r="H1616" s="6">
        <v>176.52</v>
      </c>
      <c r="I1616" s="6">
        <f t="shared" ca="1" si="0"/>
        <v>112.05</v>
      </c>
      <c r="J1616" s="6">
        <f ca="1">IFERROR(__xludf.DUMMYFUNCTION("IFERROR(GOOGLEFINANCE(B1616, ""volume""), 0)"),36209)</f>
        <v>36209</v>
      </c>
      <c r="K1616" s="6">
        <v>-0.32</v>
      </c>
      <c r="L1616" s="6">
        <f ca="1">IFERROR(__xludf.DUMMYFUNCTION("IFERROR(GOOGLEFINANCE(B1616,""changepct""),K1616)"),-1.05)</f>
        <v>-1.05</v>
      </c>
      <c r="M1616" s="6">
        <f ca="1">IFERROR(__xludf.DUMMYFUNCTION("IFERROR(GOOGLEFINANCE(B1616,""change""),0)"),-1.19)</f>
        <v>-1.19</v>
      </c>
      <c r="N1616" s="6">
        <v>2</v>
      </c>
      <c r="O1616" s="7">
        <v>45536</v>
      </c>
      <c r="P1616" s="6">
        <v>266.98</v>
      </c>
      <c r="Q1616" s="6">
        <v>1525.01</v>
      </c>
      <c r="R1616" s="7">
        <v>45536</v>
      </c>
      <c r="S1616" s="6">
        <v>981.26</v>
      </c>
      <c r="T1616" s="6">
        <v>51.84</v>
      </c>
      <c r="U1616" s="7">
        <v>45536</v>
      </c>
      <c r="V1616" s="6">
        <v>24.85</v>
      </c>
      <c r="W1616" s="6">
        <f ca="1">IFERROR(__xludf.DUMMYFUNCTION("IFERROR(GOOGLEFINANCE(B1616,""pe""),V1616)"),11.64)</f>
        <v>11.64</v>
      </c>
      <c r="X1616" s="6">
        <v>2.23</v>
      </c>
      <c r="Y1616" s="6">
        <v>4.38</v>
      </c>
      <c r="Z1616" s="6">
        <v>2</v>
      </c>
      <c r="AA1616" s="8">
        <v>45352</v>
      </c>
      <c r="AB1616" s="4">
        <v>0.82</v>
      </c>
      <c r="AC1616" s="6">
        <v>17.579999999999998</v>
      </c>
      <c r="AD1616" s="6">
        <v>17.16</v>
      </c>
      <c r="AE1616" s="1">
        <v>0</v>
      </c>
      <c r="AF1616" s="1">
        <f ca="1">IFERROR(__xludf.DUMMYFUNCTION("IFERROR(GOOGLEFINANCE(TRIM(F1616)&amp;"":"" &amp; TRIM(B1616),""high52""),AE1616)"),176.25)</f>
        <v>176.25</v>
      </c>
      <c r="AG1616" s="1">
        <v>0</v>
      </c>
      <c r="AH1616" s="1">
        <f ca="1">IFERROR(__xludf.DUMMYFUNCTION("IFERROR(GOOGLEFINANCE(TRIM(F1616)&amp;"":"" &amp; TRIM(B1616),""low52""),AE1616)"),105)</f>
        <v>105</v>
      </c>
      <c r="AI1616" s="1">
        <f ca="1">IFERROR(__xludf.DUMMYFUNCTION("IFERROR(GOOGLEFINANCE(B1616,""eps""),0)"),9.62)</f>
        <v>9.6199999999999992</v>
      </c>
      <c r="AJ1616" s="1"/>
      <c r="AK1616" s="1" t="s">
        <v>4869</v>
      </c>
      <c r="AL1616" s="9">
        <f t="shared" si="205"/>
        <v>1</v>
      </c>
    </row>
    <row r="1617" spans="1:38" ht="15" x14ac:dyDescent="0.25">
      <c r="A1617" s="1" t="s">
        <v>4870</v>
      </c>
      <c r="B1617" s="1" t="s">
        <v>4871</v>
      </c>
      <c r="C1617" s="1" t="s">
        <v>135</v>
      </c>
      <c r="D1617" s="1" t="s">
        <v>135</v>
      </c>
      <c r="E1617" s="6">
        <v>585.79999999999995</v>
      </c>
      <c r="F1617" s="1" t="s">
        <v>40</v>
      </c>
      <c r="G1617" s="6">
        <f ca="1">IFERROR(__xludf.DUMMYFUNCTION("iferror(GOOGLEFINANCE(TRIM(F1617)&amp;"":"" &amp; TRIM(B1617), ""price""),0
)"),245.04)</f>
        <v>245.04</v>
      </c>
      <c r="H1617" s="6">
        <v>183.23</v>
      </c>
      <c r="I1617" s="6">
        <f t="shared" ca="1" si="0"/>
        <v>245.04</v>
      </c>
      <c r="J1617" s="6">
        <f ca="1">IFERROR(__xludf.DUMMYFUNCTION("IFERROR(GOOGLEFINANCE(B1617, ""volume""), 0)"),51243)</f>
        <v>51243</v>
      </c>
      <c r="K1617" s="6">
        <v>0.19</v>
      </c>
      <c r="L1617" s="6">
        <f ca="1">IFERROR(__xludf.DUMMYFUNCTION("IFERROR(GOOGLEFINANCE(B1617,""changepct""),K1617)"),0.69)</f>
        <v>0.69</v>
      </c>
      <c r="M1617" s="6">
        <f ca="1">IFERROR(__xludf.DUMMYFUNCTION("IFERROR(GOOGLEFINANCE(B1617,""change""),0)"),1.68)</f>
        <v>1.68</v>
      </c>
      <c r="N1617" s="6">
        <v>2</v>
      </c>
      <c r="O1617" s="7">
        <v>45536</v>
      </c>
      <c r="P1617" s="6">
        <v>9.5399999999999991</v>
      </c>
      <c r="Q1617" s="6">
        <v>475.29</v>
      </c>
      <c r="R1617" s="7">
        <v>45536</v>
      </c>
      <c r="S1617" s="6">
        <v>177.16</v>
      </c>
      <c r="T1617" s="6">
        <v>42.86</v>
      </c>
      <c r="U1617" s="7">
        <v>45536</v>
      </c>
      <c r="V1617" s="6">
        <v>13.67</v>
      </c>
      <c r="W1617" s="6">
        <f ca="1">IFERROR(__xludf.DUMMYFUNCTION("IFERROR(GOOGLEFINANCE(B1617,""pe""),V1617)"),17.09)</f>
        <v>17.09</v>
      </c>
      <c r="X1617" s="6">
        <v>0.79</v>
      </c>
      <c r="Y1617" s="6">
        <v>1.86</v>
      </c>
      <c r="Z1617" s="6">
        <v>2</v>
      </c>
      <c r="AA1617" s="8">
        <v>45352</v>
      </c>
      <c r="AB1617" s="4">
        <v>0</v>
      </c>
      <c r="AC1617" s="6">
        <v>14.21</v>
      </c>
      <c r="AD1617" s="6">
        <v>19.059999999999999</v>
      </c>
      <c r="AE1617" s="1">
        <v>0</v>
      </c>
      <c r="AF1617" s="1">
        <f ca="1">IFERROR(__xludf.DUMMYFUNCTION("IFERROR(GOOGLEFINANCE(TRIM(F1617)&amp;"":"" &amp; TRIM(B1617),""high52""),AE1617)"),301.85)</f>
        <v>301.85000000000002</v>
      </c>
      <c r="AG1617" s="1">
        <v>0</v>
      </c>
      <c r="AH1617" s="1">
        <f ca="1">IFERROR(__xludf.DUMMYFUNCTION("IFERROR(GOOGLEFINANCE(TRIM(F1617)&amp;"":"" &amp; TRIM(B1617),""low52""),AE1617)"),142.35)</f>
        <v>142.35</v>
      </c>
      <c r="AI1617" s="1">
        <f ca="1">IFERROR(__xludf.DUMMYFUNCTION("IFERROR(GOOGLEFINANCE(B1617,""eps""),0)"),14.34)</f>
        <v>14.34</v>
      </c>
      <c r="AJ1617" s="1"/>
      <c r="AK1617" s="1" t="s">
        <v>4872</v>
      </c>
      <c r="AL1617" s="9">
        <f t="shared" si="205"/>
        <v>1</v>
      </c>
    </row>
    <row r="1618" spans="1:38" ht="15" x14ac:dyDescent="0.25">
      <c r="A1618" s="1" t="s">
        <v>4873</v>
      </c>
      <c r="B1618" s="1" t="s">
        <v>4874</v>
      </c>
      <c r="C1618" s="1" t="s">
        <v>186</v>
      </c>
      <c r="D1618" s="1" t="s">
        <v>186</v>
      </c>
      <c r="E1618" s="6">
        <v>6974.48</v>
      </c>
      <c r="F1618" s="1" t="s">
        <v>40</v>
      </c>
      <c r="G1618" s="6">
        <f ca="1">IFERROR(__xludf.DUMMYFUNCTION("iferror(GOOGLEFINANCE(TRIM(F1618)&amp;"":"" &amp; TRIM(B1618), ""price""),0
)"),238.98)</f>
        <v>238.98</v>
      </c>
      <c r="H1618" s="6">
        <v>347</v>
      </c>
      <c r="I1618" s="6">
        <f t="shared" ca="1" si="0"/>
        <v>238.98</v>
      </c>
      <c r="J1618" s="6">
        <f ca="1">IFERROR(__xludf.DUMMYFUNCTION("IFERROR(GOOGLEFINANCE(B1618, ""volume""), 0)"),228491)</f>
        <v>228491</v>
      </c>
      <c r="K1618" s="6">
        <v>-1.27</v>
      </c>
      <c r="L1618" s="6">
        <f ca="1">IFERROR(__xludf.DUMMYFUNCTION("IFERROR(GOOGLEFINANCE(B1618,""changepct""),K1618)"),4.14)</f>
        <v>4.1399999999999997</v>
      </c>
      <c r="M1618" s="6">
        <f ca="1">IFERROR(__xludf.DUMMYFUNCTION("IFERROR(GOOGLEFINANCE(B1618,""change""),0)"),9.5)</f>
        <v>9.5</v>
      </c>
      <c r="N1618" s="6">
        <v>2</v>
      </c>
      <c r="O1618" s="7">
        <v>45536</v>
      </c>
      <c r="P1618" s="6">
        <v>1410.59</v>
      </c>
      <c r="Q1618" s="6">
        <v>8148.47</v>
      </c>
      <c r="R1618" s="7">
        <v>45536</v>
      </c>
      <c r="S1618" s="6">
        <v>3783.96</v>
      </c>
      <c r="T1618" s="6">
        <v>309.33999999999997</v>
      </c>
      <c r="U1618" s="7">
        <v>45536</v>
      </c>
      <c r="V1618" s="6">
        <v>22.55</v>
      </c>
      <c r="W1618" s="6">
        <f ca="1">IFERROR(__xludf.DUMMYFUNCTION("IFERROR(GOOGLEFINANCE(B1618,""pe""),V1618)"),28.95)</f>
        <v>28.95</v>
      </c>
      <c r="X1618" s="6">
        <v>0.54</v>
      </c>
      <c r="Y1618" s="6">
        <v>3.17</v>
      </c>
      <c r="Z1618" s="6">
        <v>2</v>
      </c>
      <c r="AA1618" s="17">
        <v>45352</v>
      </c>
      <c r="AB1618" s="18">
        <v>0.44</v>
      </c>
      <c r="AC1618" s="6">
        <v>17.41</v>
      </c>
      <c r="AD1618" s="6">
        <v>18.46</v>
      </c>
      <c r="AE1618" s="1">
        <v>0</v>
      </c>
      <c r="AF1618" s="1">
        <f ca="1">IFERROR(__xludf.DUMMYFUNCTION("IFERROR(GOOGLEFINANCE(TRIM(F1618)&amp;"":"" &amp; TRIM(B1618),""high52""),AE1618)"),355.5)</f>
        <v>355.5</v>
      </c>
      <c r="AG1618" s="1">
        <v>0</v>
      </c>
      <c r="AH1618" s="1">
        <f ca="1">IFERROR(__xludf.DUMMYFUNCTION("IFERROR(GOOGLEFINANCE(TRIM(F1618)&amp;"":"" &amp; TRIM(B1618),""low52""),AE1618)"),213.55)</f>
        <v>213.55</v>
      </c>
      <c r="AI1618" s="1">
        <f ca="1">IFERROR(__xludf.DUMMYFUNCTION("IFERROR(GOOGLEFINANCE(B1618,""eps""),0)"),8.25)</f>
        <v>8.25</v>
      </c>
      <c r="AJ1618" s="1"/>
      <c r="AK1618" s="6">
        <v>29.64</v>
      </c>
      <c r="AL1618" s="9">
        <f t="shared" si="205"/>
        <v>1</v>
      </c>
    </row>
    <row r="1619" spans="1:38" ht="15" x14ac:dyDescent="0.25">
      <c r="A1619" s="1" t="s">
        <v>4875</v>
      </c>
      <c r="B1619" s="1" t="s">
        <v>4876</v>
      </c>
      <c r="C1619" s="1" t="s">
        <v>1400</v>
      </c>
      <c r="D1619" s="1" t="s">
        <v>1400</v>
      </c>
      <c r="E1619" s="6">
        <v>1073.18</v>
      </c>
      <c r="F1619" s="1" t="s">
        <v>40</v>
      </c>
      <c r="G1619" s="6">
        <f ca="1">IFERROR(__xludf.DUMMYFUNCTION("iferror(GOOGLEFINANCE(TRIM(F1619)&amp;"":"" &amp; TRIM(B1619), ""price""),0
)"),40.02)</f>
        <v>40.020000000000003</v>
      </c>
      <c r="H1619" s="6">
        <v>41.8</v>
      </c>
      <c r="I1619" s="6">
        <f t="shared" ca="1" si="0"/>
        <v>40.020000000000003</v>
      </c>
      <c r="J1619" s="6">
        <f ca="1">IFERROR(__xludf.DUMMYFUNCTION("IFERROR(GOOGLEFINANCE(B1619, ""volume""), 0)"),123599)</f>
        <v>123599</v>
      </c>
      <c r="K1619" s="6">
        <v>1.43</v>
      </c>
      <c r="L1619" s="6">
        <f ca="1">IFERROR(__xludf.DUMMYFUNCTION("IFERROR(GOOGLEFINANCE(B1619,""changepct""),K1619)"),1.44)</f>
        <v>1.44</v>
      </c>
      <c r="M1619" s="6">
        <f ca="1">IFERROR(__xludf.DUMMYFUNCTION("IFERROR(GOOGLEFINANCE(B1619,""change""),0)"),0.57)</f>
        <v>0.56999999999999995</v>
      </c>
      <c r="N1619" s="6">
        <v>2</v>
      </c>
      <c r="O1619" s="7">
        <v>45536</v>
      </c>
      <c r="P1619" s="6">
        <v>1213.27</v>
      </c>
      <c r="Q1619" s="6">
        <v>2269.08</v>
      </c>
      <c r="R1619" s="7">
        <v>45536</v>
      </c>
      <c r="S1619" s="6">
        <v>3739.07</v>
      </c>
      <c r="T1619" s="6">
        <v>-202.75</v>
      </c>
      <c r="U1619" s="7">
        <v>45536</v>
      </c>
      <c r="V1619" s="6">
        <v>0</v>
      </c>
      <c r="W1619" s="6">
        <f ca="1">IFERROR(__xludf.DUMMYFUNCTION("IFERROR(GOOGLEFINANCE(B1619,""pe""),V1619)"),7.34)</f>
        <v>7.34</v>
      </c>
      <c r="X1619" s="12"/>
      <c r="Y1619" s="6">
        <v>3.52</v>
      </c>
      <c r="Z1619" s="6">
        <v>2</v>
      </c>
      <c r="AA1619" s="8">
        <v>45352</v>
      </c>
      <c r="AB1619" s="4">
        <v>3.58</v>
      </c>
      <c r="AC1619" s="6">
        <v>-43.25</v>
      </c>
      <c r="AD1619" s="6">
        <v>-4.5999999999999996</v>
      </c>
      <c r="AE1619" s="1">
        <v>0</v>
      </c>
      <c r="AF1619" s="1">
        <f ca="1">IFERROR(__xludf.DUMMYFUNCTION("IFERROR(GOOGLEFINANCE(TRIM(F1619)&amp;"":"" &amp; TRIM(B1619),""high52""),AE1619)"),75)</f>
        <v>75</v>
      </c>
      <c r="AG1619" s="1">
        <v>0</v>
      </c>
      <c r="AH1619" s="1">
        <f ca="1">IFERROR(__xludf.DUMMYFUNCTION("IFERROR(GOOGLEFINANCE(TRIM(F1619)&amp;"":"" &amp; TRIM(B1619),""low52""),AE1619)"),32)</f>
        <v>32</v>
      </c>
      <c r="AI1619" s="1">
        <f ca="1">IFERROR(__xludf.DUMMYFUNCTION("IFERROR(GOOGLEFINANCE(B1619,""eps""),0)"),5.45)</f>
        <v>5.45</v>
      </c>
      <c r="AJ1619" s="1"/>
      <c r="AK1619" s="1" t="s">
        <v>4877</v>
      </c>
      <c r="AL1619" s="9">
        <f t="shared" si="205"/>
        <v>1</v>
      </c>
    </row>
    <row r="1620" spans="1:38" ht="15" x14ac:dyDescent="0.25">
      <c r="A1620" s="1" t="s">
        <v>4878</v>
      </c>
      <c r="B1620" s="1" t="s">
        <v>4879</v>
      </c>
      <c r="C1620" s="1" t="s">
        <v>125</v>
      </c>
      <c r="D1620" s="1" t="s">
        <v>125</v>
      </c>
      <c r="E1620" s="6">
        <v>3398.08</v>
      </c>
      <c r="F1620" s="1" t="s">
        <v>40</v>
      </c>
      <c r="G1620" s="6">
        <f ca="1">IFERROR(__xludf.DUMMYFUNCTION("iferror(GOOGLEFINANCE(TRIM(F1620)&amp;"":"" &amp; TRIM(B1620), ""price""),0
)"),1269)</f>
        <v>1269</v>
      </c>
      <c r="H1620" s="6">
        <v>3360.65</v>
      </c>
      <c r="I1620" s="6">
        <f t="shared" ca="1" si="0"/>
        <v>1269</v>
      </c>
      <c r="J1620" s="6">
        <f ca="1">IFERROR(__xludf.DUMMYFUNCTION("IFERROR(GOOGLEFINANCE(B1620, ""volume""), 0)"),30218)</f>
        <v>30218</v>
      </c>
      <c r="K1620" s="6">
        <v>5</v>
      </c>
      <c r="L1620" s="6">
        <f ca="1">IFERROR(__xludf.DUMMYFUNCTION("IFERROR(GOOGLEFINANCE(B1620,""changepct""),K1620)"),1.39)</f>
        <v>1.39</v>
      </c>
      <c r="M1620" s="6">
        <f ca="1">IFERROR(__xludf.DUMMYFUNCTION("IFERROR(GOOGLEFINANCE(B1620,""change""),0)"),17.4)</f>
        <v>17.399999999999999</v>
      </c>
      <c r="N1620" s="6">
        <v>1</v>
      </c>
      <c r="O1620" s="7">
        <v>45536</v>
      </c>
      <c r="P1620" s="6">
        <v>4.37</v>
      </c>
      <c r="Q1620" s="6">
        <v>3335.08</v>
      </c>
      <c r="R1620" s="7">
        <v>45536</v>
      </c>
      <c r="S1620" s="6">
        <v>542.96</v>
      </c>
      <c r="T1620" s="6">
        <v>59.88</v>
      </c>
      <c r="U1620" s="7">
        <v>45536</v>
      </c>
      <c r="V1620" s="6">
        <v>56.75</v>
      </c>
      <c r="W1620" s="6">
        <f ca="1">IFERROR(__xludf.DUMMYFUNCTION("IFERROR(GOOGLEFINANCE(B1620,""pe""),V1620)"),16.01)</f>
        <v>16.010000000000002</v>
      </c>
      <c r="X1620" s="6">
        <v>1.1399999999999999</v>
      </c>
      <c r="Y1620" s="6">
        <v>14.13</v>
      </c>
      <c r="Z1620" s="6">
        <v>1</v>
      </c>
      <c r="AA1620" s="8">
        <v>45352</v>
      </c>
      <c r="AB1620" s="4">
        <v>0.02</v>
      </c>
      <c r="AC1620" s="6">
        <v>24.15</v>
      </c>
      <c r="AD1620" s="6">
        <v>34.49</v>
      </c>
      <c r="AE1620" s="1">
        <v>0</v>
      </c>
      <c r="AF1620" s="1">
        <f ca="1">IFERROR(__xludf.DUMMYFUNCTION("IFERROR(GOOGLEFINANCE(TRIM(F1620)&amp;"":"" &amp; TRIM(B1620),""high52""),AE1620)"),2787.4)</f>
        <v>2787.4</v>
      </c>
      <c r="AG1620" s="1">
        <v>0</v>
      </c>
      <c r="AH1620" s="1">
        <f ca="1">IFERROR(__xludf.DUMMYFUNCTION("IFERROR(GOOGLEFINANCE(TRIM(F1620)&amp;"":"" &amp; TRIM(B1620),""low52""),AE1620)"),1148)</f>
        <v>1148</v>
      </c>
      <c r="AI1620" s="1">
        <f ca="1">IFERROR(__xludf.DUMMYFUNCTION("IFERROR(GOOGLEFINANCE(B1620,""eps""),0)"),79.28)</f>
        <v>79.28</v>
      </c>
      <c r="AJ1620" s="1"/>
      <c r="AK1620" s="1" t="s">
        <v>4880</v>
      </c>
      <c r="AL1620" s="9">
        <f t="shared" si="205"/>
        <v>1</v>
      </c>
    </row>
    <row r="1621" spans="1:38" ht="15" x14ac:dyDescent="0.25">
      <c r="A1621" s="1" t="s">
        <v>4881</v>
      </c>
      <c r="B1621" s="1" t="s">
        <v>4882</v>
      </c>
      <c r="C1621" s="1" t="s">
        <v>43</v>
      </c>
      <c r="D1621" s="1" t="s">
        <v>43</v>
      </c>
      <c r="E1621" s="6">
        <v>1426.08</v>
      </c>
      <c r="F1621" s="1" t="s">
        <v>40</v>
      </c>
      <c r="G1621" s="6">
        <f ca="1">IFERROR(__xludf.DUMMYFUNCTION("iferror(GOOGLEFINANCE(TRIM(F1621)&amp;"":"" &amp; TRIM(B1621), ""price""),0
)"),241)</f>
        <v>241</v>
      </c>
      <c r="H1621" s="6">
        <v>1440</v>
      </c>
      <c r="I1621" s="6">
        <f t="shared" ca="1" si="0"/>
        <v>241</v>
      </c>
      <c r="J1621" s="6">
        <f ca="1">IFERROR(__xludf.DUMMYFUNCTION("IFERROR(GOOGLEFINANCE(B1621, ""volume""), 0)"),336479)</f>
        <v>336479</v>
      </c>
      <c r="K1621" s="6">
        <v>2.4500000000000002</v>
      </c>
      <c r="L1621" s="6">
        <f ca="1">IFERROR(__xludf.DUMMYFUNCTION("IFERROR(GOOGLEFINANCE(B1621,""changepct""),K1621)"),0.2)</f>
        <v>0.2</v>
      </c>
      <c r="M1621" s="6">
        <f ca="1">IFERROR(__xludf.DUMMYFUNCTION("IFERROR(GOOGLEFINANCE(B1621,""change""),0)"),0.48)</f>
        <v>0.48</v>
      </c>
      <c r="N1621" s="6">
        <v>2</v>
      </c>
      <c r="O1621" s="7">
        <v>45536</v>
      </c>
      <c r="P1621" s="6">
        <v>17.39</v>
      </c>
      <c r="Q1621" s="7">
        <v>45536</v>
      </c>
      <c r="R1621" s="6">
        <v>81.66</v>
      </c>
      <c r="S1621" s="6">
        <v>1.1399999999999999</v>
      </c>
      <c r="T1621" s="6">
        <v>14.48</v>
      </c>
      <c r="U1621" s="6">
        <v>2</v>
      </c>
      <c r="V1621" s="7">
        <v>45352</v>
      </c>
      <c r="W1621" s="6">
        <f ca="1">IFERROR(__xludf.DUMMYFUNCTION("IFERROR(GOOGLEFINANCE(B1621,""pe""),V1621)"),79.72)</f>
        <v>79.72</v>
      </c>
      <c r="X1621" s="6">
        <v>0.08</v>
      </c>
      <c r="Y1621" s="6">
        <v>23.28</v>
      </c>
      <c r="Z1621" s="6">
        <v>29.26</v>
      </c>
      <c r="AA1621" s="3" t="s">
        <v>4883</v>
      </c>
      <c r="AB1621" s="3"/>
      <c r="AC1621" s="9"/>
      <c r="AD1621" s="9"/>
      <c r="AE1621" s="1">
        <v>0</v>
      </c>
      <c r="AF1621" s="1">
        <f ca="1">IFERROR(__xludf.DUMMYFUNCTION("IFERROR(GOOGLEFINANCE(TRIM(F1621)&amp;"":"" &amp; TRIM(B1621),""high52""),AE1621)"),466.35)</f>
        <v>466.35</v>
      </c>
      <c r="AG1621" s="1">
        <v>0</v>
      </c>
      <c r="AH1621" s="1">
        <f ca="1">IFERROR(__xludf.DUMMYFUNCTION("IFERROR(GOOGLEFINANCE(TRIM(F1621)&amp;"":"" &amp; TRIM(B1621),""low52""),AE1621)"),143.65)</f>
        <v>143.65</v>
      </c>
      <c r="AI1621" s="1">
        <f ca="1">IFERROR(__xludf.DUMMYFUNCTION("IFERROR(GOOGLEFINANCE(B1621,""eps""),0)"),3.02)</f>
        <v>3.02</v>
      </c>
      <c r="AJ1621" s="1"/>
      <c r="AK1621" s="9"/>
      <c r="AL1621" s="9">
        <f t="shared" si="205"/>
        <v>1</v>
      </c>
    </row>
    <row r="1622" spans="1:38" ht="15" x14ac:dyDescent="0.25">
      <c r="A1622" s="1" t="s">
        <v>4884</v>
      </c>
      <c r="B1622" s="1" t="s">
        <v>4885</v>
      </c>
      <c r="C1622" s="1" t="s">
        <v>99</v>
      </c>
      <c r="D1622" s="1" t="s">
        <v>99</v>
      </c>
      <c r="E1622" s="6">
        <v>575.49</v>
      </c>
      <c r="F1622" s="1" t="s">
        <v>40</v>
      </c>
      <c r="G1622" s="6">
        <f ca="1">IFERROR(__xludf.DUMMYFUNCTION("iferror(GOOGLEFINANCE(TRIM(F1622)&amp;"":"" &amp; TRIM(B1622), ""price""),0
)"),125.4)</f>
        <v>125.4</v>
      </c>
      <c r="H1622" s="6">
        <v>285.05</v>
      </c>
      <c r="I1622" s="6">
        <f t="shared" ca="1" si="0"/>
        <v>125.4</v>
      </c>
      <c r="J1622" s="6">
        <f ca="1">IFERROR(__xludf.DUMMYFUNCTION("IFERROR(GOOGLEFINANCE(B1622, ""volume""), 0)"),325627)</f>
        <v>325627</v>
      </c>
      <c r="K1622" s="6">
        <v>0.3</v>
      </c>
      <c r="L1622" s="6">
        <f ca="1">IFERROR(__xludf.DUMMYFUNCTION("IFERROR(GOOGLEFINANCE(B1622,""changepct""),K1622)"),4.88)</f>
        <v>4.88</v>
      </c>
      <c r="M1622" s="6">
        <f ca="1">IFERROR(__xludf.DUMMYFUNCTION("IFERROR(GOOGLEFINANCE(B1622,""change""),0)"),5.84)</f>
        <v>5.84</v>
      </c>
      <c r="N1622" s="6">
        <v>1</v>
      </c>
      <c r="O1622" s="7">
        <v>45536</v>
      </c>
      <c r="P1622" s="6">
        <v>15.13</v>
      </c>
      <c r="Q1622" s="6">
        <v>590.63</v>
      </c>
      <c r="R1622" s="7">
        <v>45536</v>
      </c>
      <c r="S1622" s="6">
        <v>84.77</v>
      </c>
      <c r="T1622" s="6">
        <v>11.74</v>
      </c>
      <c r="U1622" s="7">
        <v>45536</v>
      </c>
      <c r="V1622" s="6">
        <v>49.03</v>
      </c>
      <c r="W1622" s="6">
        <f ca="1">IFERROR(__xludf.DUMMYFUNCTION("IFERROR(GOOGLEFINANCE(B1622,""pe""),V1622)"),16.91)</f>
        <v>16.91</v>
      </c>
      <c r="X1622" s="6">
        <v>1.55</v>
      </c>
      <c r="Y1622" s="6">
        <v>8.19</v>
      </c>
      <c r="Z1622" s="6">
        <v>1</v>
      </c>
      <c r="AA1622" s="8">
        <v>45352</v>
      </c>
      <c r="AB1622" s="4">
        <v>0.23</v>
      </c>
      <c r="AC1622" s="6">
        <v>14.08</v>
      </c>
      <c r="AD1622" s="6">
        <v>14.42</v>
      </c>
      <c r="AE1622" s="1">
        <v>0</v>
      </c>
      <c r="AF1622" s="1">
        <f ca="1">IFERROR(__xludf.DUMMYFUNCTION("IFERROR(GOOGLEFINANCE(TRIM(F1622)&amp;"":"" &amp; TRIM(B1622),""high52""),AE1622)"),235)</f>
        <v>235</v>
      </c>
      <c r="AG1622" s="1">
        <v>0</v>
      </c>
      <c r="AH1622" s="1">
        <f ca="1">IFERROR(__xludf.DUMMYFUNCTION("IFERROR(GOOGLEFINANCE(TRIM(F1622)&amp;"":"" &amp; TRIM(B1622),""low52""),AE1622)"),105)</f>
        <v>105</v>
      </c>
      <c r="AI1622" s="1">
        <f ca="1">IFERROR(__xludf.DUMMYFUNCTION("IFERROR(GOOGLEFINANCE(B1622,""eps""),0)"),7.42)</f>
        <v>7.42</v>
      </c>
      <c r="AJ1622" s="1"/>
      <c r="AK1622" s="1" t="s">
        <v>4886</v>
      </c>
      <c r="AL1622" s="1" t="b">
        <f t="shared" ref="AL1622:AL1623" si="206">ISNUMBER(AA1622)</f>
        <v>1</v>
      </c>
    </row>
    <row r="1623" spans="1:38" ht="15" x14ac:dyDescent="0.25">
      <c r="A1623" s="1" t="s">
        <v>4887</v>
      </c>
      <c r="B1623" s="1" t="s">
        <v>4888</v>
      </c>
      <c r="C1623" s="1" t="s">
        <v>679</v>
      </c>
      <c r="D1623" s="1" t="s">
        <v>679</v>
      </c>
      <c r="E1623" s="6">
        <v>418.09</v>
      </c>
      <c r="F1623" s="1" t="s">
        <v>40</v>
      </c>
      <c r="G1623" s="6">
        <f ca="1">IFERROR(__xludf.DUMMYFUNCTION("iferror(GOOGLEFINANCE(TRIM(F1623)&amp;"":"" &amp; TRIM(B1623), ""price""),0
)"),377.7)</f>
        <v>377.7</v>
      </c>
      <c r="H1623" s="6">
        <v>567.5</v>
      </c>
      <c r="I1623" s="6">
        <f t="shared" ca="1" si="0"/>
        <v>377.7</v>
      </c>
      <c r="J1623" s="6">
        <f ca="1">IFERROR(__xludf.DUMMYFUNCTION("IFERROR(GOOGLEFINANCE(B1623, ""volume""), 0)"),655)</f>
        <v>655</v>
      </c>
      <c r="K1623" s="6">
        <v>1.66</v>
      </c>
      <c r="L1623" s="6">
        <f ca="1">IFERROR(__xludf.DUMMYFUNCTION("IFERROR(GOOGLEFINANCE(B1623,""changepct""),K1623)"),1.37)</f>
        <v>1.37</v>
      </c>
      <c r="M1623" s="6">
        <f ca="1">IFERROR(__xludf.DUMMYFUNCTION("IFERROR(GOOGLEFINANCE(B1623,""change""),0)"),5.1)</f>
        <v>5.0999999999999996</v>
      </c>
      <c r="N1623" s="6">
        <v>2</v>
      </c>
      <c r="O1623" s="7">
        <v>45536</v>
      </c>
      <c r="P1623" s="6">
        <v>36.47</v>
      </c>
      <c r="Q1623" s="6">
        <v>405.52</v>
      </c>
      <c r="R1623" s="7">
        <v>45536</v>
      </c>
      <c r="S1623" s="6">
        <v>585.98</v>
      </c>
      <c r="T1623" s="6">
        <v>148.86000000000001</v>
      </c>
      <c r="U1623" s="7">
        <v>45536</v>
      </c>
      <c r="V1623" s="6">
        <v>2.95</v>
      </c>
      <c r="W1623" s="6">
        <f ca="1">IFERROR(__xludf.DUMMYFUNCTION("IFERROR(GOOGLEFINANCE(B1623,""pe""),V1623)"),2.95)</f>
        <v>2.95</v>
      </c>
      <c r="X1623" s="6">
        <v>-0.24</v>
      </c>
      <c r="Y1623" s="6">
        <v>0.93</v>
      </c>
      <c r="Z1623" s="6">
        <v>2</v>
      </c>
      <c r="AA1623" s="8">
        <v>45352</v>
      </c>
      <c r="AB1623" s="4">
        <v>0.59</v>
      </c>
      <c r="AC1623" s="6">
        <v>6.26</v>
      </c>
      <c r="AD1623" s="6">
        <v>8.98</v>
      </c>
      <c r="AE1623" s="1">
        <v>0</v>
      </c>
      <c r="AF1623" s="1">
        <f ca="1">IFERROR(__xludf.DUMMYFUNCTION("IFERROR(GOOGLEFINANCE(TRIM(F1623)&amp;"":"" &amp; TRIM(B1623),""high52""),AE1623)"),550)</f>
        <v>550</v>
      </c>
      <c r="AG1623" s="1">
        <v>0</v>
      </c>
      <c r="AH1623" s="1">
        <f ca="1">IFERROR(__xludf.DUMMYFUNCTION("IFERROR(GOOGLEFINANCE(TRIM(F1623)&amp;"":"" &amp; TRIM(B1623),""low52""),AE1623)"),370)</f>
        <v>370</v>
      </c>
      <c r="AI1623" s="1">
        <f ca="1">IFERROR(__xludf.DUMMYFUNCTION("IFERROR(GOOGLEFINANCE(B1623,""eps""),0)"),-12.76)</f>
        <v>-12.76</v>
      </c>
      <c r="AJ1623" s="1"/>
      <c r="AK1623" s="1" t="s">
        <v>4889</v>
      </c>
      <c r="AL1623" s="1" t="b">
        <f t="shared" si="206"/>
        <v>1</v>
      </c>
    </row>
    <row r="1624" spans="1:38" ht="15" x14ac:dyDescent="0.25">
      <c r="A1624" s="1" t="s">
        <v>4890</v>
      </c>
      <c r="B1624" s="1" t="s">
        <v>4891</v>
      </c>
      <c r="C1624" s="1" t="s">
        <v>1663</v>
      </c>
      <c r="D1624" s="1" t="s">
        <v>1663</v>
      </c>
      <c r="E1624" s="6">
        <v>65.73</v>
      </c>
      <c r="F1624" s="1" t="s">
        <v>53</v>
      </c>
      <c r="G1624" s="6">
        <f ca="1">IFERROR(__xludf.DUMMYFUNCTION("iferror(GOOGLEFINANCE(TRIM(F1624)&amp;"":"" &amp; TRIM(B1624), ""price""),0
)"),0)</f>
        <v>0</v>
      </c>
      <c r="H1624" s="6">
        <v>165</v>
      </c>
      <c r="I1624" s="6">
        <f t="shared" ca="1" si="0"/>
        <v>165</v>
      </c>
      <c r="J1624" s="6">
        <f ca="1">IFERROR(__xludf.DUMMYFUNCTION("IFERROR(GOOGLEFINANCE(B1624, ""volume""), 0)"),0)</f>
        <v>0</v>
      </c>
      <c r="K1624" s="12"/>
      <c r="L1624" s="6" t="str">
        <f ca="1">IFERROR(__xludf.DUMMYFUNCTION("IFERROR(GOOGLEFINANCE(B1624,""changepct""),K1624)"),"")</f>
        <v/>
      </c>
      <c r="M1624" s="6">
        <f ca="1">IFERROR(__xludf.DUMMYFUNCTION("IFERROR(GOOGLEFINANCE(B1624,""change""),0)"),0)</f>
        <v>0</v>
      </c>
      <c r="N1624" s="6">
        <v>1</v>
      </c>
      <c r="O1624" s="7">
        <v>45536</v>
      </c>
      <c r="P1624" s="6">
        <v>0.09</v>
      </c>
      <c r="Q1624" s="6">
        <v>65.819999999999993</v>
      </c>
      <c r="R1624" s="7">
        <v>45352</v>
      </c>
      <c r="S1624" s="6">
        <v>7.02</v>
      </c>
      <c r="T1624" s="6">
        <v>1.55</v>
      </c>
      <c r="U1624" s="7">
        <v>45352</v>
      </c>
      <c r="V1624" s="6">
        <v>42.56</v>
      </c>
      <c r="W1624" s="6">
        <f ca="1">IFERROR(__xludf.DUMMYFUNCTION("IFERROR(GOOGLEFINANCE(B1624,""pe""),V1624)"),42.56)</f>
        <v>42.56</v>
      </c>
      <c r="X1624" s="9"/>
      <c r="Y1624" s="6">
        <v>6.32</v>
      </c>
      <c r="Z1624" s="6">
        <v>2</v>
      </c>
      <c r="AA1624" s="8">
        <v>45352</v>
      </c>
      <c r="AB1624" s="4">
        <v>0.03</v>
      </c>
      <c r="AC1624" s="6">
        <v>22.83</v>
      </c>
      <c r="AD1624" s="6">
        <v>29.76</v>
      </c>
      <c r="AE1624" s="1">
        <v>0</v>
      </c>
      <c r="AF1624" s="1">
        <f ca="1">IFERROR(__xludf.DUMMYFUNCTION("IFERROR(GOOGLEFINANCE(TRIM(F1624)&amp;"":"" &amp; TRIM(B1624),""high52""),AE1624)"),0)</f>
        <v>0</v>
      </c>
      <c r="AG1624" s="1">
        <v>0</v>
      </c>
      <c r="AH1624" s="1">
        <f ca="1">IFERROR(__xludf.DUMMYFUNCTION("IFERROR(GOOGLEFINANCE(TRIM(F1624)&amp;"":"" &amp; TRIM(B1624),""low52""),AE1624)"),0)</f>
        <v>0</v>
      </c>
      <c r="AI1624" s="1">
        <f ca="1">IFERROR(__xludf.DUMMYFUNCTION("IFERROR(GOOGLEFINANCE(B1624,""eps""),0)"),0)</f>
        <v>0</v>
      </c>
      <c r="AJ1624" s="1"/>
      <c r="AK1624" s="1" t="s">
        <v>4892</v>
      </c>
      <c r="AL1624" s="9">
        <f t="shared" ref="AL1624:AL1634" si="207">IF(AA1624&lt;&gt;AB1624,1,0)</f>
        <v>1</v>
      </c>
    </row>
    <row r="1625" spans="1:38" ht="15" x14ac:dyDescent="0.25">
      <c r="A1625" s="1" t="s">
        <v>4893</v>
      </c>
      <c r="B1625" s="1" t="s">
        <v>4894</v>
      </c>
      <c r="C1625" s="1" t="s">
        <v>1663</v>
      </c>
      <c r="D1625" s="1" t="s">
        <v>1663</v>
      </c>
      <c r="E1625" s="6">
        <v>45.53</v>
      </c>
      <c r="F1625" s="1" t="s">
        <v>53</v>
      </c>
      <c r="G1625" s="6">
        <f ca="1">IFERROR(__xludf.DUMMYFUNCTION("iferror(GOOGLEFINANCE(TRIM(F1625)&amp;"":"" &amp; TRIM(B1625), ""price""),0
)"),0)</f>
        <v>0</v>
      </c>
      <c r="H1625" s="6">
        <v>41.5</v>
      </c>
      <c r="I1625" s="6">
        <f t="shared" ca="1" si="0"/>
        <v>41.5</v>
      </c>
      <c r="J1625" s="6">
        <f ca="1">IFERROR(__xludf.DUMMYFUNCTION("IFERROR(GOOGLEFINANCE(B1625, ""volume""), 0)"),0)</f>
        <v>0</v>
      </c>
      <c r="K1625" s="12"/>
      <c r="L1625" s="6" t="str">
        <f ca="1">IFERROR(__xludf.DUMMYFUNCTION("IFERROR(GOOGLEFINANCE(B1625,""changepct""),K1625)"),"")</f>
        <v/>
      </c>
      <c r="M1625" s="6">
        <f ca="1">IFERROR(__xludf.DUMMYFUNCTION("IFERROR(GOOGLEFINANCE(B1625,""change""),0)"),0)</f>
        <v>0</v>
      </c>
      <c r="N1625" s="6">
        <v>1</v>
      </c>
      <c r="O1625" s="7">
        <v>45536</v>
      </c>
      <c r="P1625" s="9"/>
      <c r="Q1625" s="6">
        <v>45.53</v>
      </c>
      <c r="R1625" s="7">
        <v>45352</v>
      </c>
      <c r="S1625" s="6">
        <v>19.63</v>
      </c>
      <c r="T1625" s="6">
        <v>2.38</v>
      </c>
      <c r="U1625" s="7">
        <v>45352</v>
      </c>
      <c r="V1625" s="6">
        <v>19.12</v>
      </c>
      <c r="W1625" s="6">
        <f ca="1">IFERROR(__xludf.DUMMYFUNCTION("IFERROR(GOOGLEFINANCE(B1625,""pe""),V1625)"),19.12)</f>
        <v>19.12</v>
      </c>
      <c r="X1625" s="6">
        <v>-5.25</v>
      </c>
      <c r="Y1625" s="6">
        <v>1.51</v>
      </c>
      <c r="Z1625" s="6">
        <v>1</v>
      </c>
      <c r="AA1625" s="8">
        <v>45352</v>
      </c>
      <c r="AB1625" s="4">
        <v>0</v>
      </c>
      <c r="AC1625" s="6">
        <v>8.23</v>
      </c>
      <c r="AD1625" s="6">
        <v>11.31</v>
      </c>
      <c r="AE1625" s="1">
        <v>0</v>
      </c>
      <c r="AF1625" s="1">
        <f ca="1">IFERROR(__xludf.DUMMYFUNCTION("IFERROR(GOOGLEFINANCE(TRIM(F1625)&amp;"":"" &amp; TRIM(B1625),""high52""),AE1625)"),0)</f>
        <v>0</v>
      </c>
      <c r="AG1625" s="1">
        <v>0</v>
      </c>
      <c r="AH1625" s="1">
        <f ca="1">IFERROR(__xludf.DUMMYFUNCTION("IFERROR(GOOGLEFINANCE(TRIM(F1625)&amp;"":"" &amp; TRIM(B1625),""low52""),AE1625)"),0)</f>
        <v>0</v>
      </c>
      <c r="AI1625" s="1">
        <f ca="1">IFERROR(__xludf.DUMMYFUNCTION("IFERROR(GOOGLEFINANCE(B1625,""eps""),0)"),0)</f>
        <v>0</v>
      </c>
      <c r="AJ1625" s="1"/>
      <c r="AK1625" s="1" t="s">
        <v>4895</v>
      </c>
      <c r="AL1625" s="9">
        <f t="shared" si="207"/>
        <v>1</v>
      </c>
    </row>
    <row r="1626" spans="1:38" ht="15" x14ac:dyDescent="0.25">
      <c r="A1626" s="1" t="s">
        <v>4896</v>
      </c>
      <c r="B1626" s="1" t="s">
        <v>4897</v>
      </c>
      <c r="C1626" s="1" t="s">
        <v>106</v>
      </c>
      <c r="D1626" s="1" t="s">
        <v>106</v>
      </c>
      <c r="E1626" s="6">
        <v>3114.84</v>
      </c>
      <c r="F1626" s="1" t="s">
        <v>40</v>
      </c>
      <c r="G1626" s="6">
        <f ca="1">IFERROR(__xludf.DUMMYFUNCTION("iferror(GOOGLEFINANCE(TRIM(F1626)&amp;"":"" &amp; TRIM(B1626), ""price""),0
)"),213.3)</f>
        <v>213.3</v>
      </c>
      <c r="H1626" s="6">
        <v>340.15</v>
      </c>
      <c r="I1626" s="6">
        <f t="shared" ca="1" si="0"/>
        <v>213.3</v>
      </c>
      <c r="J1626" s="6">
        <f ca="1">IFERROR(__xludf.DUMMYFUNCTION("IFERROR(GOOGLEFINANCE(B1626, ""volume""), 0)"),17147)</f>
        <v>17147</v>
      </c>
      <c r="K1626" s="6">
        <v>0.76</v>
      </c>
      <c r="L1626" s="6">
        <f ca="1">IFERROR(__xludf.DUMMYFUNCTION("IFERROR(GOOGLEFINANCE(B1626,""changepct""),K1626)"),-0.79)</f>
        <v>-0.79</v>
      </c>
      <c r="M1626" s="6">
        <f ca="1">IFERROR(__xludf.DUMMYFUNCTION("IFERROR(GOOGLEFINANCE(B1626,""change""),0)"),-1.69)</f>
        <v>-1.69</v>
      </c>
      <c r="N1626" s="6">
        <v>2</v>
      </c>
      <c r="O1626" s="7">
        <v>45536</v>
      </c>
      <c r="P1626" s="6">
        <v>818.89</v>
      </c>
      <c r="Q1626" s="6">
        <v>3904.6</v>
      </c>
      <c r="R1626" s="7">
        <v>45536</v>
      </c>
      <c r="S1626" s="6">
        <v>1773.21</v>
      </c>
      <c r="T1626" s="6">
        <v>29.4</v>
      </c>
      <c r="U1626" s="7">
        <v>45536</v>
      </c>
      <c r="V1626" s="6">
        <v>97.16</v>
      </c>
      <c r="W1626" s="6">
        <f ca="1">IFERROR(__xludf.DUMMYFUNCTION("IFERROR(GOOGLEFINANCE(B1626,""pe""),V1626)"),97.16)</f>
        <v>97.16</v>
      </c>
      <c r="X1626" s="6">
        <v>0.96</v>
      </c>
      <c r="Y1626" s="6">
        <v>2.86</v>
      </c>
      <c r="Z1626" s="6">
        <v>2</v>
      </c>
      <c r="AA1626" s="8">
        <v>45352</v>
      </c>
      <c r="AB1626" s="4">
        <v>0.59</v>
      </c>
      <c r="AC1626" s="6">
        <v>9.09</v>
      </c>
      <c r="AD1626" s="6">
        <v>11.25</v>
      </c>
      <c r="AE1626" s="1">
        <v>0</v>
      </c>
      <c r="AF1626" s="1">
        <f ca="1">IFERROR(__xludf.DUMMYFUNCTION("IFERROR(GOOGLEFINANCE(TRIM(F1626)&amp;"":"" &amp; TRIM(B1626),""high52""),AE1626)"),349.8)</f>
        <v>349.8</v>
      </c>
      <c r="AG1626" s="1">
        <v>0</v>
      </c>
      <c r="AH1626" s="1">
        <f ca="1">IFERROR(__xludf.DUMMYFUNCTION("IFERROR(GOOGLEFINANCE(TRIM(F1626)&amp;"":"" &amp; TRIM(B1626),""low52""),AE1626)"),190)</f>
        <v>190</v>
      </c>
      <c r="AI1626" s="1">
        <f ca="1">IFERROR(__xludf.DUMMYFUNCTION("IFERROR(GOOGLEFINANCE(B1626,""eps""),0)"),-12.4)</f>
        <v>-12.4</v>
      </c>
      <c r="AJ1626" s="1"/>
      <c r="AK1626" s="1" t="s">
        <v>4898</v>
      </c>
      <c r="AL1626" s="9">
        <f t="shared" si="207"/>
        <v>1</v>
      </c>
    </row>
    <row r="1627" spans="1:38" ht="15" x14ac:dyDescent="0.25">
      <c r="A1627" s="1" t="s">
        <v>4899</v>
      </c>
      <c r="B1627" s="1" t="s">
        <v>4900</v>
      </c>
      <c r="C1627" s="1" t="s">
        <v>208</v>
      </c>
      <c r="D1627" s="1" t="s">
        <v>208</v>
      </c>
      <c r="E1627" s="6">
        <v>3702.96</v>
      </c>
      <c r="F1627" s="1" t="s">
        <v>40</v>
      </c>
      <c r="G1627" s="6">
        <f ca="1">IFERROR(__xludf.DUMMYFUNCTION("iferror(GOOGLEFINANCE(TRIM(F1627)&amp;"":"" &amp; TRIM(B1627), ""price""),0
)"),192.01)</f>
        <v>192.01</v>
      </c>
      <c r="H1627" s="6">
        <v>276.89999999999998</v>
      </c>
      <c r="I1627" s="6">
        <f t="shared" ca="1" si="0"/>
        <v>192.01</v>
      </c>
      <c r="J1627" s="6">
        <f ca="1">IFERROR(__xludf.DUMMYFUNCTION("IFERROR(GOOGLEFINANCE(B1627, ""volume""), 0)"),144270)</f>
        <v>144270</v>
      </c>
      <c r="K1627" s="6">
        <v>1.73</v>
      </c>
      <c r="L1627" s="6">
        <f ca="1">IFERROR(__xludf.DUMMYFUNCTION("IFERROR(GOOGLEFINANCE(B1627,""changepct""),K1627)"),-2.1)</f>
        <v>-2.1</v>
      </c>
      <c r="M1627" s="6">
        <f ca="1">IFERROR(__xludf.DUMMYFUNCTION("IFERROR(GOOGLEFINANCE(B1627,""change""),0)"),-4.12)</f>
        <v>-4.12</v>
      </c>
      <c r="N1627" s="6">
        <v>2</v>
      </c>
      <c r="O1627" s="7">
        <v>45536</v>
      </c>
      <c r="P1627" s="6">
        <v>94.9</v>
      </c>
      <c r="Q1627" s="7">
        <v>45536</v>
      </c>
      <c r="R1627" s="6">
        <v>34.049999999999997</v>
      </c>
      <c r="S1627" s="6">
        <v>-2.5</v>
      </c>
      <c r="T1627" s="6">
        <v>1.1000000000000001</v>
      </c>
      <c r="U1627" s="6">
        <v>2</v>
      </c>
      <c r="V1627" s="7">
        <v>45352</v>
      </c>
      <c r="W1627" s="6">
        <f ca="1">IFERROR(__xludf.DUMMYFUNCTION("IFERROR(GOOGLEFINANCE(B1627,""pe""),V1627)"),4.4)</f>
        <v>4.4000000000000004</v>
      </c>
      <c r="X1627" s="6">
        <v>2.36</v>
      </c>
      <c r="Y1627" s="6">
        <v>3.67</v>
      </c>
      <c r="Z1627" s="6">
        <v>8.35</v>
      </c>
      <c r="AA1627" s="3" t="s">
        <v>4901</v>
      </c>
      <c r="AB1627" s="3"/>
      <c r="AC1627" s="9"/>
      <c r="AD1627" s="9"/>
      <c r="AE1627" s="1">
        <v>0</v>
      </c>
      <c r="AF1627" s="1">
        <f ca="1">IFERROR(__xludf.DUMMYFUNCTION("IFERROR(GOOGLEFINANCE(TRIM(F1627)&amp;"":"" &amp; TRIM(B1627),""high52""),AE1627)"),366.3)</f>
        <v>366.3</v>
      </c>
      <c r="AG1627" s="1">
        <v>0</v>
      </c>
      <c r="AH1627" s="1">
        <f ca="1">IFERROR(__xludf.DUMMYFUNCTION("IFERROR(GOOGLEFINANCE(TRIM(F1627)&amp;"":"" &amp; TRIM(B1627),""low52""),AE1627)"),185.1)</f>
        <v>185.1</v>
      </c>
      <c r="AI1627" s="1">
        <f ca="1">IFERROR(__xludf.DUMMYFUNCTION("IFERROR(GOOGLEFINANCE(B1627,""eps""),0)"),43.68)</f>
        <v>43.68</v>
      </c>
      <c r="AJ1627" s="1"/>
      <c r="AK1627" s="1" t="s">
        <v>4902</v>
      </c>
      <c r="AL1627" s="9">
        <f t="shared" si="207"/>
        <v>1</v>
      </c>
    </row>
    <row r="1628" spans="1:38" ht="15" x14ac:dyDescent="0.25">
      <c r="A1628" s="1" t="s">
        <v>4903</v>
      </c>
      <c r="B1628" s="1" t="s">
        <v>4904</v>
      </c>
      <c r="C1628" s="1" t="s">
        <v>1663</v>
      </c>
      <c r="D1628" s="1" t="s">
        <v>1663</v>
      </c>
      <c r="E1628" s="6">
        <v>59.61</v>
      </c>
      <c r="F1628" s="1" t="s">
        <v>53</v>
      </c>
      <c r="G1628" s="6">
        <f ca="1">IFERROR(__xludf.DUMMYFUNCTION("iferror(GOOGLEFINANCE(TRIM(F1628)&amp;"":"" &amp; TRIM(B1628), ""price""),0
)"),0)</f>
        <v>0</v>
      </c>
      <c r="H1628" s="6">
        <v>82.39</v>
      </c>
      <c r="I1628" s="6">
        <f t="shared" ca="1" si="0"/>
        <v>82.39</v>
      </c>
      <c r="J1628" s="6">
        <f ca="1">IFERROR(__xludf.DUMMYFUNCTION("IFERROR(GOOGLEFINANCE(B1628, ""volume""), 0)"),0)</f>
        <v>0</v>
      </c>
      <c r="K1628" s="6">
        <v>0.55000000000000004</v>
      </c>
      <c r="L1628" s="6">
        <f ca="1">IFERROR(__xludf.DUMMYFUNCTION("IFERROR(GOOGLEFINANCE(B1628,""changepct""),K1628)"),0.55)</f>
        <v>0.55000000000000004</v>
      </c>
      <c r="M1628" s="6">
        <f ca="1">IFERROR(__xludf.DUMMYFUNCTION("IFERROR(GOOGLEFINANCE(B1628,""change""),0)"),0)</f>
        <v>0</v>
      </c>
      <c r="N1628" s="6">
        <v>1</v>
      </c>
      <c r="O1628" s="7">
        <v>45536</v>
      </c>
      <c r="P1628" s="6">
        <v>12.34</v>
      </c>
      <c r="Q1628" s="6">
        <v>68.7</v>
      </c>
      <c r="R1628" s="7">
        <v>45536</v>
      </c>
      <c r="S1628" s="6">
        <v>23.47</v>
      </c>
      <c r="T1628" s="6">
        <v>5.26</v>
      </c>
      <c r="U1628" s="7">
        <v>45536</v>
      </c>
      <c r="V1628" s="6">
        <v>11.34</v>
      </c>
      <c r="W1628" s="6">
        <f ca="1">IFERROR(__xludf.DUMMYFUNCTION("IFERROR(GOOGLEFINANCE(B1628,""pe""),V1628)"),11.34)</f>
        <v>11.34</v>
      </c>
      <c r="X1628" s="6">
        <v>0.36</v>
      </c>
      <c r="Y1628" s="6">
        <v>0.95</v>
      </c>
      <c r="Z1628" s="6">
        <v>1</v>
      </c>
      <c r="AA1628" s="8">
        <v>45352</v>
      </c>
      <c r="AB1628" s="4">
        <v>0.17</v>
      </c>
      <c r="AC1628" s="6">
        <v>9.11</v>
      </c>
      <c r="AD1628" s="6">
        <v>9.98</v>
      </c>
      <c r="AE1628" s="1">
        <v>0</v>
      </c>
      <c r="AF1628" s="1">
        <f ca="1">IFERROR(__xludf.DUMMYFUNCTION("IFERROR(GOOGLEFINANCE(TRIM(F1628)&amp;"":"" &amp; TRIM(B1628),""high52""),AE1628)"),0)</f>
        <v>0</v>
      </c>
      <c r="AG1628" s="1">
        <v>0</v>
      </c>
      <c r="AH1628" s="1">
        <f ca="1">IFERROR(__xludf.DUMMYFUNCTION("IFERROR(GOOGLEFINANCE(TRIM(F1628)&amp;"":"" &amp; TRIM(B1628),""low52""),AE1628)"),0)</f>
        <v>0</v>
      </c>
      <c r="AI1628" s="1">
        <f ca="1">IFERROR(__xludf.DUMMYFUNCTION("IFERROR(GOOGLEFINANCE(B1628,""eps""),0)"),0)</f>
        <v>0</v>
      </c>
      <c r="AJ1628" s="1"/>
      <c r="AK1628" s="1" t="s">
        <v>4905</v>
      </c>
      <c r="AL1628" s="9">
        <f t="shared" si="207"/>
        <v>1</v>
      </c>
    </row>
    <row r="1629" spans="1:38" ht="15" x14ac:dyDescent="0.25">
      <c r="A1629" s="1" t="s">
        <v>4906</v>
      </c>
      <c r="B1629" s="1" t="s">
        <v>4907</v>
      </c>
      <c r="C1629" s="1" t="s">
        <v>268</v>
      </c>
      <c r="D1629" s="1" t="s">
        <v>268</v>
      </c>
      <c r="E1629" s="6">
        <v>346.35</v>
      </c>
      <c r="F1629" s="1" t="s">
        <v>40</v>
      </c>
      <c r="G1629" s="6">
        <f ca="1">IFERROR(__xludf.DUMMYFUNCTION("iferror(GOOGLEFINANCE(TRIM(F1629)&amp;"":"" &amp; TRIM(B1629), ""price""),0
)"),11.4)</f>
        <v>11.4</v>
      </c>
      <c r="H1629" s="6">
        <v>27.6</v>
      </c>
      <c r="I1629" s="6">
        <f t="shared" ca="1" si="0"/>
        <v>11.4</v>
      </c>
      <c r="J1629" s="6">
        <f ca="1">IFERROR(__xludf.DUMMYFUNCTION("IFERROR(GOOGLEFINANCE(B1629, ""volume""), 0)"),2792813)</f>
        <v>2792813</v>
      </c>
      <c r="K1629" s="6">
        <v>2.76</v>
      </c>
      <c r="L1629" s="6">
        <f ca="1">IFERROR(__xludf.DUMMYFUNCTION("IFERROR(GOOGLEFINANCE(B1629,""changepct""),K1629)"),0.44)</f>
        <v>0.44</v>
      </c>
      <c r="M1629" s="6">
        <f ca="1">IFERROR(__xludf.DUMMYFUNCTION("IFERROR(GOOGLEFINANCE(B1629,""change""),0)"),0.05)</f>
        <v>0.05</v>
      </c>
      <c r="N1629" s="6">
        <v>2</v>
      </c>
      <c r="O1629" s="7">
        <v>45536</v>
      </c>
      <c r="P1629" s="6">
        <v>19.28</v>
      </c>
      <c r="Q1629" s="6">
        <v>340.57</v>
      </c>
      <c r="R1629" s="7">
        <v>45536</v>
      </c>
      <c r="S1629" s="6">
        <v>32.97</v>
      </c>
      <c r="T1629" s="6">
        <v>6.67</v>
      </c>
      <c r="U1629" s="7">
        <v>45536</v>
      </c>
      <c r="V1629" s="6">
        <v>51.37</v>
      </c>
      <c r="W1629" s="6">
        <f ca="1">IFERROR(__xludf.DUMMYFUNCTION("IFERROR(GOOGLEFINANCE(B1629,""pe""),V1629)"),55.28)</f>
        <v>55.28</v>
      </c>
      <c r="X1629" s="6">
        <v>2.33</v>
      </c>
      <c r="Y1629" s="6">
        <v>1.2</v>
      </c>
      <c r="Z1629" s="6">
        <v>2</v>
      </c>
      <c r="AA1629" s="8">
        <v>45352</v>
      </c>
      <c r="AB1629" s="4">
        <v>0.23</v>
      </c>
      <c r="AC1629" s="6">
        <v>3.13</v>
      </c>
      <c r="AD1629" s="6">
        <v>3.4</v>
      </c>
      <c r="AE1629" s="1">
        <v>0</v>
      </c>
      <c r="AF1629" s="1">
        <f ca="1">IFERROR(__xludf.DUMMYFUNCTION("IFERROR(GOOGLEFINANCE(TRIM(F1629)&amp;"":"" &amp; TRIM(B1629),""high52""),AE1629)"),24.18)</f>
        <v>24.18</v>
      </c>
      <c r="AG1629" s="1">
        <v>0</v>
      </c>
      <c r="AH1629" s="1">
        <f ca="1">IFERROR(__xludf.DUMMYFUNCTION("IFERROR(GOOGLEFINANCE(TRIM(F1629)&amp;"":"" &amp; TRIM(B1629),""low52""),AE1629)"),10.92)</f>
        <v>10.92</v>
      </c>
      <c r="AI1629" s="1">
        <f ca="1">IFERROR(__xludf.DUMMYFUNCTION("IFERROR(GOOGLEFINANCE(B1629,""eps""),0)"),0.21)</f>
        <v>0.21</v>
      </c>
      <c r="AJ1629" s="1"/>
      <c r="AK1629" s="9"/>
      <c r="AL1629" s="9">
        <f t="shared" si="207"/>
        <v>1</v>
      </c>
    </row>
    <row r="1630" spans="1:38" ht="15" x14ac:dyDescent="0.25">
      <c r="A1630" s="1" t="s">
        <v>4908</v>
      </c>
      <c r="B1630" s="1" t="s">
        <v>4909</v>
      </c>
      <c r="C1630" s="1" t="s">
        <v>309</v>
      </c>
      <c r="D1630" s="1" t="s">
        <v>309</v>
      </c>
      <c r="E1630" s="6">
        <v>29883.03</v>
      </c>
      <c r="F1630" s="1" t="s">
        <v>40</v>
      </c>
      <c r="G1630" s="6">
        <f ca="1">IFERROR(__xludf.DUMMYFUNCTION("iferror(GOOGLEFINANCE(TRIM(F1630)&amp;"":"" &amp; TRIM(B1630), ""price""),0
)"),173)</f>
        <v>173</v>
      </c>
      <c r="H1630" s="6">
        <v>436.45</v>
      </c>
      <c r="I1630" s="6">
        <f t="shared" ca="1" si="0"/>
        <v>173</v>
      </c>
      <c r="J1630" s="6">
        <f ca="1">IFERROR(__xludf.DUMMYFUNCTION("IFERROR(GOOGLEFINANCE(B1630, ""volume""), 0)"),156307)</f>
        <v>156307</v>
      </c>
      <c r="K1630" s="6">
        <v>2.5299999999999998</v>
      </c>
      <c r="L1630" s="6">
        <f ca="1">IFERROR(__xludf.DUMMYFUNCTION("IFERROR(GOOGLEFINANCE(B1630,""changepct""),K1630)"),0.66)</f>
        <v>0.66</v>
      </c>
      <c r="M1630" s="6">
        <f ca="1">IFERROR(__xludf.DUMMYFUNCTION("IFERROR(GOOGLEFINANCE(B1630,""change""),0)"),0.02)</f>
        <v>0.02</v>
      </c>
      <c r="N1630" s="6">
        <v>2</v>
      </c>
      <c r="O1630" s="7">
        <v>45536</v>
      </c>
      <c r="P1630" s="9"/>
      <c r="Q1630" s="6">
        <v>28058.400000000001</v>
      </c>
      <c r="R1630" s="7">
        <v>45536</v>
      </c>
      <c r="S1630" s="6">
        <v>15870.48</v>
      </c>
      <c r="T1630" s="6">
        <v>1504.57</v>
      </c>
      <c r="U1630" s="7">
        <v>45536</v>
      </c>
      <c r="V1630" s="6">
        <v>16.18</v>
      </c>
      <c r="W1630" s="6">
        <f ca="1">IFERROR(__xludf.DUMMYFUNCTION("IFERROR(GOOGLEFINANCE(B1630,""pe""),V1630)"),10.14)</f>
        <v>10.14</v>
      </c>
      <c r="X1630" s="6">
        <v>0.86</v>
      </c>
      <c r="Y1630" s="6">
        <v>2.83</v>
      </c>
      <c r="Z1630" s="6">
        <v>2</v>
      </c>
      <c r="AA1630" s="8">
        <v>45352</v>
      </c>
      <c r="AB1630" s="4">
        <v>0</v>
      </c>
      <c r="AC1630" s="6">
        <v>22.58</v>
      </c>
      <c r="AD1630" s="6">
        <v>29.26</v>
      </c>
      <c r="AE1630" s="1">
        <v>0</v>
      </c>
      <c r="AF1630" s="1">
        <f ca="1">IFERROR(__xludf.DUMMYFUNCTION("IFERROR(GOOGLEFINANCE(TRIM(F1630)&amp;"":"" &amp; TRIM(B1630),""high52""),AE1630)"),229)</f>
        <v>229</v>
      </c>
      <c r="AG1630" s="1">
        <v>0</v>
      </c>
      <c r="AH1630" s="1">
        <f ca="1">IFERROR(__xludf.DUMMYFUNCTION("IFERROR(GOOGLEFINANCE(TRIM(F1630)&amp;"":"" &amp; TRIM(B1630),""low52""),AE1630)"),170.12)</f>
        <v>170.12</v>
      </c>
      <c r="AI1630" s="1">
        <f ca="1">IFERROR(__xludf.DUMMYFUNCTION("IFERROR(GOOGLEFINANCE(B1630,""eps""),0)"),0.3)</f>
        <v>0.3</v>
      </c>
      <c r="AJ1630" s="1"/>
      <c r="AK1630" s="1" t="s">
        <v>4910</v>
      </c>
      <c r="AL1630" s="9">
        <f t="shared" si="207"/>
        <v>1</v>
      </c>
    </row>
    <row r="1631" spans="1:38" ht="15" x14ac:dyDescent="0.25">
      <c r="A1631" s="1" t="s">
        <v>4911</v>
      </c>
      <c r="B1631" s="1" t="s">
        <v>4912</v>
      </c>
      <c r="C1631" s="1" t="s">
        <v>163</v>
      </c>
      <c r="D1631" s="1" t="s">
        <v>163</v>
      </c>
      <c r="E1631" s="6">
        <v>5021.8500000000004</v>
      </c>
      <c r="F1631" s="1" t="s">
        <v>40</v>
      </c>
      <c r="G1631" s="6">
        <f ca="1">IFERROR(__xludf.DUMMYFUNCTION("iferror(GOOGLEFINANCE(TRIM(F1631)&amp;"":"" &amp; TRIM(B1631), ""price""),0
)"),376.8)</f>
        <v>376.8</v>
      </c>
      <c r="H1631" s="6">
        <v>543</v>
      </c>
      <c r="I1631" s="6">
        <f t="shared" ca="1" si="0"/>
        <v>376.8</v>
      </c>
      <c r="J1631" s="6">
        <f ca="1">IFERROR(__xludf.DUMMYFUNCTION("IFERROR(GOOGLEFINANCE(B1631, ""volume""), 0)"),253841)</f>
        <v>253841</v>
      </c>
      <c r="K1631" s="6">
        <v>-0.96</v>
      </c>
      <c r="L1631" s="6">
        <f ca="1">IFERROR(__xludf.DUMMYFUNCTION("IFERROR(GOOGLEFINANCE(B1631,""changepct""),K1631)"),1.58)</f>
        <v>1.58</v>
      </c>
      <c r="M1631" s="6">
        <f ca="1">IFERROR(__xludf.DUMMYFUNCTION("IFERROR(GOOGLEFINANCE(B1631,""change""),0)"),5.85)</f>
        <v>5.85</v>
      </c>
      <c r="N1631" s="6">
        <v>1</v>
      </c>
      <c r="O1631" s="7">
        <v>45536</v>
      </c>
      <c r="P1631" s="9"/>
      <c r="Q1631" s="6">
        <v>4712.5</v>
      </c>
      <c r="R1631" s="7">
        <v>45536</v>
      </c>
      <c r="S1631" s="6">
        <v>1318.87</v>
      </c>
      <c r="T1631" s="6">
        <v>147.78</v>
      </c>
      <c r="U1631" s="7">
        <v>45536</v>
      </c>
      <c r="V1631" s="6">
        <v>33.979999999999997</v>
      </c>
      <c r="W1631" s="6">
        <f ca="1">IFERROR(__xludf.DUMMYFUNCTION("IFERROR(GOOGLEFINANCE(B1631,""pe""),V1631)"),19.77)</f>
        <v>19.77</v>
      </c>
      <c r="X1631" s="6">
        <v>0.99</v>
      </c>
      <c r="Y1631" s="6">
        <v>9.58</v>
      </c>
      <c r="Z1631" s="6">
        <v>1</v>
      </c>
      <c r="AA1631" s="8">
        <v>45352</v>
      </c>
      <c r="AB1631" s="4">
        <v>0</v>
      </c>
      <c r="AC1631" s="6">
        <v>28.92</v>
      </c>
      <c r="AD1631" s="6">
        <v>39.700000000000003</v>
      </c>
      <c r="AE1631" s="1">
        <v>0</v>
      </c>
      <c r="AF1631" s="1">
        <f ca="1">IFERROR(__xludf.DUMMYFUNCTION("IFERROR(GOOGLEFINANCE(TRIM(F1631)&amp;"":"" &amp; TRIM(B1631),""high52""),AE1631)"),640.85)</f>
        <v>640.85</v>
      </c>
      <c r="AG1631" s="1">
        <v>0</v>
      </c>
      <c r="AH1631" s="1">
        <f ca="1">IFERROR(__xludf.DUMMYFUNCTION("IFERROR(GOOGLEFINANCE(TRIM(F1631)&amp;"":"" &amp; TRIM(B1631),""low52""),AE1631)"),307.25)</f>
        <v>307.25</v>
      </c>
      <c r="AI1631" s="1">
        <f ca="1">IFERROR(__xludf.DUMMYFUNCTION("IFERROR(GOOGLEFINANCE(B1631,""eps""),0)"),19.06)</f>
        <v>19.059999999999999</v>
      </c>
      <c r="AJ1631" s="1"/>
      <c r="AK1631" s="12"/>
      <c r="AL1631" s="9">
        <f t="shared" si="207"/>
        <v>1</v>
      </c>
    </row>
    <row r="1632" spans="1:38" ht="15" x14ac:dyDescent="0.25">
      <c r="A1632" s="1" t="s">
        <v>4913</v>
      </c>
      <c r="B1632" s="1" t="s">
        <v>4914</v>
      </c>
      <c r="C1632" s="1" t="s">
        <v>255</v>
      </c>
      <c r="D1632" s="1" t="s">
        <v>255</v>
      </c>
      <c r="E1632" s="6">
        <v>91465.1</v>
      </c>
      <c r="F1632" s="1" t="s">
        <v>40</v>
      </c>
      <c r="G1632" s="6">
        <f ca="1">IFERROR(__xludf.DUMMYFUNCTION("iferror(GOOGLEFINANCE(TRIM(F1632)&amp;"":"" &amp; TRIM(B1632), ""price""),0
)"),432.5)</f>
        <v>432.5</v>
      </c>
      <c r="H1632" s="6">
        <v>347.1</v>
      </c>
      <c r="I1632" s="6">
        <f t="shared" ca="1" si="0"/>
        <v>432.5</v>
      </c>
      <c r="J1632" s="6">
        <f ca="1">IFERROR(__xludf.DUMMYFUNCTION("IFERROR(GOOGLEFINANCE(B1632, ""volume""), 0)"),9268964)</f>
        <v>9268964</v>
      </c>
      <c r="K1632" s="6">
        <v>0.2</v>
      </c>
      <c r="L1632" s="6">
        <f ca="1">IFERROR(__xludf.DUMMYFUNCTION("IFERROR(GOOGLEFINANCE(B1632,""changepct""),K1632)"),2.02)</f>
        <v>2.02</v>
      </c>
      <c r="M1632" s="6">
        <f ca="1">IFERROR(__xludf.DUMMYFUNCTION("IFERROR(GOOGLEFINANCE(B1632,""change""),0)"),8.55)</f>
        <v>8.5500000000000007</v>
      </c>
      <c r="N1632" s="6">
        <v>2</v>
      </c>
      <c r="O1632" s="7">
        <v>45536</v>
      </c>
      <c r="P1632" s="6">
        <v>3951.1</v>
      </c>
      <c r="Q1632" s="6">
        <v>95416.2</v>
      </c>
      <c r="R1632" s="7">
        <v>45536</v>
      </c>
      <c r="S1632" s="6">
        <v>29240.5</v>
      </c>
      <c r="T1632" s="6">
        <v>7543</v>
      </c>
      <c r="U1632" s="7">
        <v>45536</v>
      </c>
      <c r="V1632" s="6">
        <v>12.13</v>
      </c>
      <c r="W1632" s="6">
        <f ca="1">IFERROR(__xludf.DUMMYFUNCTION("IFERROR(GOOGLEFINANCE(B1632,""pe""),V1632)"),15.51)</f>
        <v>15.51</v>
      </c>
      <c r="X1632" s="6">
        <v>0.63</v>
      </c>
      <c r="Y1632" s="6">
        <v>3.22</v>
      </c>
      <c r="Z1632" s="6">
        <v>2</v>
      </c>
      <c r="AA1632" s="8">
        <v>45352</v>
      </c>
      <c r="AB1632" s="4">
        <v>0.16</v>
      </c>
      <c r="AC1632" s="6">
        <v>25.09</v>
      </c>
      <c r="AD1632" s="6">
        <v>34.93</v>
      </c>
      <c r="AE1632" s="1">
        <v>0</v>
      </c>
      <c r="AF1632" s="1">
        <f ca="1">IFERROR(__xludf.DUMMYFUNCTION("IFERROR(GOOGLEFINANCE(TRIM(F1632)&amp;"":"" &amp; TRIM(B1632),""high52""),AE1632)"),454.95)</f>
        <v>454.95</v>
      </c>
      <c r="AG1632" s="1">
        <v>0</v>
      </c>
      <c r="AH1632" s="1">
        <f ca="1">IFERROR(__xludf.DUMMYFUNCTION("IFERROR(GOOGLEFINANCE(TRIM(F1632)&amp;"":"" &amp; TRIM(B1632),""low52""),AE1632)"),312.55)</f>
        <v>312.55</v>
      </c>
      <c r="AI1632" s="1">
        <f ca="1">IFERROR(__xludf.DUMMYFUNCTION("IFERROR(GOOGLEFINANCE(B1632,""eps""),0)"),15.6)</f>
        <v>15.6</v>
      </c>
      <c r="AJ1632" s="1"/>
      <c r="AK1632" s="1" t="s">
        <v>4915</v>
      </c>
      <c r="AL1632" s="9">
        <f t="shared" si="207"/>
        <v>1</v>
      </c>
    </row>
    <row r="1633" spans="1:38" ht="15" x14ac:dyDescent="0.25">
      <c r="A1633" s="1" t="s">
        <v>4916</v>
      </c>
      <c r="B1633" s="1" t="s">
        <v>4917</v>
      </c>
      <c r="C1633" s="1" t="s">
        <v>782</v>
      </c>
      <c r="D1633" s="1" t="s">
        <v>782</v>
      </c>
      <c r="E1633" s="6">
        <v>328.45</v>
      </c>
      <c r="F1633" s="1" t="s">
        <v>53</v>
      </c>
      <c r="G1633" s="6">
        <f ca="1">IFERROR(__xludf.DUMMYFUNCTION("iferror(GOOGLEFINANCE(TRIM(F1633)&amp;"":"" &amp; TRIM(B1633), ""price""),0
)"),0)</f>
        <v>0</v>
      </c>
      <c r="H1633" s="6">
        <v>150.85</v>
      </c>
      <c r="I1633" s="6">
        <f t="shared" ca="1" si="0"/>
        <v>150.85</v>
      </c>
      <c r="J1633" s="6">
        <f ca="1">IFERROR(__xludf.DUMMYFUNCTION("IFERROR(GOOGLEFINANCE(B1633, ""volume""), 0)"),0)</f>
        <v>0</v>
      </c>
      <c r="K1633" s="6">
        <v>3.57</v>
      </c>
      <c r="L1633" s="6">
        <f ca="1">IFERROR(__xludf.DUMMYFUNCTION("IFERROR(GOOGLEFINANCE(B1633,""changepct""),K1633)"),3.57)</f>
        <v>3.57</v>
      </c>
      <c r="M1633" s="6">
        <f ca="1">IFERROR(__xludf.DUMMYFUNCTION("IFERROR(GOOGLEFINANCE(B1633,""change""),0)"),0)</f>
        <v>0</v>
      </c>
      <c r="N1633" s="6">
        <v>1</v>
      </c>
      <c r="O1633" s="7">
        <v>45536</v>
      </c>
      <c r="P1633" s="12"/>
      <c r="Q1633" s="6">
        <v>328.45</v>
      </c>
      <c r="R1633" s="7">
        <v>45352</v>
      </c>
      <c r="S1633" s="6">
        <v>34.28</v>
      </c>
      <c r="T1633" s="6">
        <v>11.3</v>
      </c>
      <c r="U1633" s="7">
        <v>45352</v>
      </c>
      <c r="V1633" s="6">
        <v>29.07</v>
      </c>
      <c r="W1633" s="6">
        <f ca="1">IFERROR(__xludf.DUMMYFUNCTION("IFERROR(GOOGLEFINANCE(B1633,""pe""),V1633)"),29.07)</f>
        <v>29.07</v>
      </c>
      <c r="X1633" s="9"/>
      <c r="Y1633" s="6">
        <v>4.28</v>
      </c>
      <c r="Z1633" s="6">
        <v>1</v>
      </c>
      <c r="AA1633" s="8">
        <v>45352</v>
      </c>
      <c r="AB1633" s="4">
        <v>0</v>
      </c>
      <c r="AC1633" s="6">
        <v>38.729999999999997</v>
      </c>
      <c r="AD1633" s="6">
        <v>52.44</v>
      </c>
      <c r="AE1633" s="1">
        <v>0</v>
      </c>
      <c r="AF1633" s="1">
        <f ca="1">IFERROR(__xludf.DUMMYFUNCTION("IFERROR(GOOGLEFINANCE(TRIM(F1633)&amp;"":"" &amp; TRIM(B1633),""high52""),AE1633)"),0)</f>
        <v>0</v>
      </c>
      <c r="AG1633" s="1">
        <v>0</v>
      </c>
      <c r="AH1633" s="1">
        <f ca="1">IFERROR(__xludf.DUMMYFUNCTION("IFERROR(GOOGLEFINANCE(TRIM(F1633)&amp;"":"" &amp; TRIM(B1633),""low52""),AE1633)"),0)</f>
        <v>0</v>
      </c>
      <c r="AI1633" s="1">
        <f ca="1">IFERROR(__xludf.DUMMYFUNCTION("IFERROR(GOOGLEFINANCE(B1633,""eps""),0)"),0)</f>
        <v>0</v>
      </c>
      <c r="AJ1633" s="1"/>
      <c r="AK1633" s="1" t="s">
        <v>4918</v>
      </c>
      <c r="AL1633" s="9">
        <f t="shared" si="207"/>
        <v>1</v>
      </c>
    </row>
    <row r="1634" spans="1:38" ht="15" x14ac:dyDescent="0.25">
      <c r="A1634" s="1" t="s">
        <v>4919</v>
      </c>
      <c r="B1634" s="1" t="s">
        <v>4920</v>
      </c>
      <c r="C1634" s="1" t="s">
        <v>782</v>
      </c>
      <c r="D1634" s="1" t="s">
        <v>782</v>
      </c>
      <c r="E1634" s="6">
        <v>249.6</v>
      </c>
      <c r="F1634" s="1" t="s">
        <v>53</v>
      </c>
      <c r="G1634" s="6">
        <f ca="1">IFERROR(__xludf.DUMMYFUNCTION("iferror(GOOGLEFINANCE(TRIM(F1634)&amp;"":"" &amp; TRIM(B1634), ""price""),0
)"),0)</f>
        <v>0</v>
      </c>
      <c r="H1634" s="6">
        <v>119</v>
      </c>
      <c r="I1634" s="6">
        <f t="shared" ca="1" si="0"/>
        <v>119</v>
      </c>
      <c r="J1634" s="6">
        <f ca="1">IFERROR(__xludf.DUMMYFUNCTION("IFERROR(GOOGLEFINANCE(B1634, ""volume""), 0)"),0)</f>
        <v>0</v>
      </c>
      <c r="K1634" s="6">
        <v>0</v>
      </c>
      <c r="L1634" s="6">
        <f ca="1">IFERROR(__xludf.DUMMYFUNCTION("IFERROR(GOOGLEFINANCE(B1634,""changepct""),K1634)"),0)</f>
        <v>0</v>
      </c>
      <c r="M1634" s="6">
        <f ca="1">IFERROR(__xludf.DUMMYFUNCTION("IFERROR(GOOGLEFINANCE(B1634,""change""),0)"),0)</f>
        <v>0</v>
      </c>
      <c r="N1634" s="6">
        <v>1</v>
      </c>
      <c r="O1634" s="7">
        <v>45536</v>
      </c>
      <c r="P1634" s="6">
        <v>5.59</v>
      </c>
      <c r="Q1634" s="6">
        <v>255.19</v>
      </c>
      <c r="R1634" s="7">
        <v>45352</v>
      </c>
      <c r="S1634" s="6">
        <v>45.5</v>
      </c>
      <c r="T1634" s="6">
        <v>6.57</v>
      </c>
      <c r="U1634" s="7">
        <v>45352</v>
      </c>
      <c r="V1634" s="6">
        <v>38</v>
      </c>
      <c r="W1634" s="6">
        <f ca="1">IFERROR(__xludf.DUMMYFUNCTION("IFERROR(GOOGLEFINANCE(B1634,""pe""),V1634)"),38)</f>
        <v>38</v>
      </c>
      <c r="X1634" s="9"/>
      <c r="Y1634" s="6">
        <v>5.03</v>
      </c>
      <c r="Z1634" s="6">
        <v>1</v>
      </c>
      <c r="AA1634" s="8">
        <v>45352</v>
      </c>
      <c r="AB1634" s="4">
        <v>0.17</v>
      </c>
      <c r="AC1634" s="6">
        <v>14.18</v>
      </c>
      <c r="AD1634" s="6">
        <v>18.27</v>
      </c>
      <c r="AE1634" s="1">
        <v>0</v>
      </c>
      <c r="AF1634" s="1">
        <f ca="1">IFERROR(__xludf.DUMMYFUNCTION("IFERROR(GOOGLEFINANCE(TRIM(F1634)&amp;"":"" &amp; TRIM(B1634),""high52""),AE1634)"),0)</f>
        <v>0</v>
      </c>
      <c r="AG1634" s="1">
        <v>0</v>
      </c>
      <c r="AH1634" s="1">
        <f ca="1">IFERROR(__xludf.DUMMYFUNCTION("IFERROR(GOOGLEFINANCE(TRIM(F1634)&amp;"":"" &amp; TRIM(B1634),""low52""),AE1634)"),0)</f>
        <v>0</v>
      </c>
      <c r="AI1634" s="1">
        <f ca="1">IFERROR(__xludf.DUMMYFUNCTION("IFERROR(GOOGLEFINANCE(B1634,""eps""),0)"),0)</f>
        <v>0</v>
      </c>
      <c r="AJ1634" s="1"/>
      <c r="AK1634" s="1" t="s">
        <v>4921</v>
      </c>
      <c r="AL1634" s="9">
        <f t="shared" si="207"/>
        <v>1</v>
      </c>
    </row>
    <row r="1635" spans="1:38" ht="15" x14ac:dyDescent="0.25">
      <c r="A1635" s="1" t="s">
        <v>4922</v>
      </c>
      <c r="B1635" s="1" t="s">
        <v>4923</v>
      </c>
      <c r="C1635" s="1" t="s">
        <v>1067</v>
      </c>
      <c r="D1635" s="1" t="s">
        <v>1067</v>
      </c>
      <c r="E1635" s="6">
        <v>77348.149999999994</v>
      </c>
      <c r="F1635" s="1" t="s">
        <v>40</v>
      </c>
      <c r="G1635" s="6">
        <f ca="1">IFERROR(__xludf.DUMMYFUNCTION("iferror(GOOGLEFINANCE(TRIM(F1635)&amp;"":"" &amp; TRIM(B1635), ""price""),0
)"),908)</f>
        <v>908</v>
      </c>
      <c r="H1635" s="6">
        <v>997.45</v>
      </c>
      <c r="I1635" s="6">
        <f t="shared" ca="1" si="0"/>
        <v>908</v>
      </c>
      <c r="J1635" s="6">
        <f ca="1">IFERROR(__xludf.DUMMYFUNCTION("IFERROR(GOOGLEFINANCE(B1635, ""volume""), 0)"),3762702)</f>
        <v>3762702</v>
      </c>
      <c r="K1635" s="6">
        <v>0.62</v>
      </c>
      <c r="L1635" s="6">
        <f ca="1">IFERROR(__xludf.DUMMYFUNCTION("IFERROR(GOOGLEFINANCE(B1635,""changepct""),K1635)"),1.38)</f>
        <v>1.38</v>
      </c>
      <c r="M1635" s="6">
        <f ca="1">IFERROR(__xludf.DUMMYFUNCTION("IFERROR(GOOGLEFINANCE(B1635,""change""),0)"),12.4)</f>
        <v>12.4</v>
      </c>
      <c r="N1635" s="6">
        <v>2</v>
      </c>
      <c r="O1635" s="7">
        <v>45536</v>
      </c>
      <c r="P1635" s="6">
        <v>49003.83</v>
      </c>
      <c r="Q1635" s="6">
        <v>8152.48</v>
      </c>
      <c r="R1635" s="7">
        <v>45536</v>
      </c>
      <c r="S1635" s="6">
        <v>9.49</v>
      </c>
      <c r="T1635" s="6">
        <v>0.43</v>
      </c>
      <c r="U1635" s="6">
        <v>1.18</v>
      </c>
      <c r="V1635" s="6">
        <v>2</v>
      </c>
      <c r="W1635" s="6">
        <f ca="1">IFERROR(__xludf.DUMMYFUNCTION("IFERROR(GOOGLEFINANCE(B1635,""pe""),V1635)"),2)</f>
        <v>2</v>
      </c>
      <c r="X1635" s="7">
        <v>45352</v>
      </c>
      <c r="Y1635" s="6">
        <v>15.28</v>
      </c>
      <c r="Z1635" s="6">
        <v>1</v>
      </c>
      <c r="AA1635" s="8">
        <v>45352</v>
      </c>
      <c r="AB1635" s="4">
        <v>0.56999999999999995</v>
      </c>
      <c r="AC1635" s="6">
        <v>4.24</v>
      </c>
      <c r="AD1635" s="6">
        <v>13.33</v>
      </c>
      <c r="AE1635" s="1">
        <v>0</v>
      </c>
      <c r="AF1635" s="1">
        <f ca="1">IFERROR(__xludf.DUMMYFUNCTION("IFERROR(GOOGLEFINANCE(TRIM(F1635)&amp;"":"" &amp; TRIM(B1635),""high52""),AE1635)"),1086.55)</f>
        <v>1086.55</v>
      </c>
      <c r="AG1635" s="1">
        <v>0</v>
      </c>
      <c r="AH1635" s="1">
        <f ca="1">IFERROR(__xludf.DUMMYFUNCTION("IFERROR(GOOGLEFINANCE(TRIM(F1635)&amp;"":"" &amp; TRIM(B1635),""low52""),AE1635)"),606)</f>
        <v>606</v>
      </c>
      <c r="AI1635" s="1">
        <f ca="1">IFERROR(__xludf.DUMMYFUNCTION("IFERROR(GOOGLEFINANCE(B1635,""eps""),0)"),-26.16)</f>
        <v>-26.16</v>
      </c>
      <c r="AJ1635" s="1"/>
      <c r="AK1635" s="1" t="s">
        <v>4924</v>
      </c>
      <c r="AL1635" s="1" t="b">
        <f>ISNUMBER(AA1635)</f>
        <v>1</v>
      </c>
    </row>
    <row r="1636" spans="1:38" ht="15" x14ac:dyDescent="0.25">
      <c r="A1636" s="1" t="s">
        <v>4925</v>
      </c>
      <c r="B1636" s="1" t="s">
        <v>4926</v>
      </c>
      <c r="C1636" s="1" t="s">
        <v>208</v>
      </c>
      <c r="D1636" s="1" t="s">
        <v>208</v>
      </c>
      <c r="E1636" s="6">
        <v>777.44</v>
      </c>
      <c r="F1636" s="1" t="s">
        <v>40</v>
      </c>
      <c r="G1636" s="6">
        <f ca="1">IFERROR(__xludf.DUMMYFUNCTION("iferror(GOOGLEFINANCE(TRIM(F1636)&amp;"":"" &amp; TRIM(B1636), ""price""),0
)"),135)</f>
        <v>135</v>
      </c>
      <c r="H1636" s="6">
        <v>327.14999999999998</v>
      </c>
      <c r="I1636" s="6">
        <f t="shared" ca="1" si="0"/>
        <v>135</v>
      </c>
      <c r="J1636" s="6">
        <f ca="1">IFERROR(__xludf.DUMMYFUNCTION("IFERROR(GOOGLEFINANCE(B1636, ""volume""), 0)"),13557)</f>
        <v>13557</v>
      </c>
      <c r="K1636" s="6">
        <v>-4.99</v>
      </c>
      <c r="L1636" s="6">
        <f ca="1">IFERROR(__xludf.DUMMYFUNCTION("IFERROR(GOOGLEFINANCE(B1636,""changepct""),K1636)"),-2.82)</f>
        <v>-2.82</v>
      </c>
      <c r="M1636" s="6">
        <f ca="1">IFERROR(__xludf.DUMMYFUNCTION("IFERROR(GOOGLEFINANCE(B1636,""change""),0)"),-3.92)</f>
        <v>-3.92</v>
      </c>
      <c r="N1636" s="6">
        <v>2</v>
      </c>
      <c r="O1636" s="7">
        <v>45536</v>
      </c>
      <c r="P1636" s="6">
        <v>81.290000000000006</v>
      </c>
      <c r="Q1636" s="7">
        <v>45536</v>
      </c>
      <c r="R1636" s="6">
        <v>10.08</v>
      </c>
      <c r="S1636" s="6">
        <v>0.41</v>
      </c>
      <c r="T1636" s="6">
        <v>1.71</v>
      </c>
      <c r="U1636" s="6">
        <v>2</v>
      </c>
      <c r="V1636" s="7">
        <v>45352</v>
      </c>
      <c r="W1636" s="10">
        <f ca="1">IFERROR(__xludf.DUMMYFUNCTION("IFERROR(GOOGLEFINANCE(B1636,""pe""),V1636)"),45352)</f>
        <v>45352</v>
      </c>
      <c r="X1636" s="6">
        <v>0</v>
      </c>
      <c r="Y1636" s="6">
        <v>17.52</v>
      </c>
      <c r="Z1636" s="6">
        <v>18.93</v>
      </c>
      <c r="AA1636" s="3" t="s">
        <v>4927</v>
      </c>
      <c r="AB1636" s="11"/>
      <c r="AC1636" s="9"/>
      <c r="AD1636" s="9"/>
      <c r="AE1636" s="1">
        <v>0</v>
      </c>
      <c r="AF1636" s="1">
        <f ca="1">IFERROR(__xludf.DUMMYFUNCTION("IFERROR(GOOGLEFINANCE(TRIM(F1636)&amp;"":"" &amp; TRIM(B1636),""high52""),AE1636)"),399)</f>
        <v>399</v>
      </c>
      <c r="AG1636" s="1">
        <v>0</v>
      </c>
      <c r="AH1636" s="1">
        <f ca="1">IFERROR(__xludf.DUMMYFUNCTION("IFERROR(GOOGLEFINANCE(TRIM(F1636)&amp;"":"" &amp; TRIM(B1636),""low52""),AE1636)"),125.01)</f>
        <v>125.01</v>
      </c>
      <c r="AI1636" s="1">
        <f ca="1">IFERROR(__xludf.DUMMYFUNCTION("IFERROR(GOOGLEFINANCE(B1636,""eps""),0)"),-2.53)</f>
        <v>-2.5299999999999998</v>
      </c>
      <c r="AJ1636" s="1"/>
      <c r="AK1636" s="1" t="s">
        <v>4928</v>
      </c>
      <c r="AL1636" s="9">
        <f t="shared" ref="AL1636:AL1638" si="208">IF(AA1636&lt;&gt;AB1636,1,0)</f>
        <v>1</v>
      </c>
    </row>
    <row r="1637" spans="1:38" ht="15" x14ac:dyDescent="0.25">
      <c r="A1637" s="1" t="s">
        <v>4929</v>
      </c>
      <c r="B1637" s="1" t="s">
        <v>4930</v>
      </c>
      <c r="C1637" s="1" t="s">
        <v>782</v>
      </c>
      <c r="D1637" s="1" t="s">
        <v>782</v>
      </c>
      <c r="E1637" s="6">
        <v>1839.08</v>
      </c>
      <c r="F1637" s="1" t="s">
        <v>53</v>
      </c>
      <c r="G1637" s="6">
        <f ca="1">IFERROR(__xludf.DUMMYFUNCTION("iferror(GOOGLEFINANCE(TRIM(F1637)&amp;"":"" &amp; TRIM(B1637), ""price""),0
)"),0)</f>
        <v>0</v>
      </c>
      <c r="H1637" s="6">
        <v>958</v>
      </c>
      <c r="I1637" s="6">
        <f t="shared" ca="1" si="0"/>
        <v>958</v>
      </c>
      <c r="J1637" s="6">
        <f ca="1">IFERROR(__xludf.DUMMYFUNCTION("IFERROR(GOOGLEFINANCE(B1637, ""volume""), 0)"),0)</f>
        <v>0</v>
      </c>
      <c r="K1637" s="6">
        <v>0.52</v>
      </c>
      <c r="L1637" s="6">
        <f ca="1">IFERROR(__xludf.DUMMYFUNCTION("IFERROR(GOOGLEFINANCE(B1637,""changepct""),K1637)"),0.52)</f>
        <v>0.52</v>
      </c>
      <c r="M1637" s="6">
        <f ca="1">IFERROR(__xludf.DUMMYFUNCTION("IFERROR(GOOGLEFINANCE(B1637,""change""),0)"),0)</f>
        <v>0</v>
      </c>
      <c r="N1637" s="6">
        <v>2</v>
      </c>
      <c r="O1637" s="7">
        <v>45536</v>
      </c>
      <c r="P1637" s="6">
        <v>3.42</v>
      </c>
      <c r="Q1637" s="6">
        <v>1842.5</v>
      </c>
      <c r="R1637" s="7">
        <v>45536</v>
      </c>
      <c r="S1637" s="6">
        <v>39.79</v>
      </c>
      <c r="T1637" s="6">
        <v>23.73</v>
      </c>
      <c r="U1637" s="7">
        <v>45536</v>
      </c>
      <c r="V1637" s="6">
        <v>79</v>
      </c>
      <c r="W1637" s="6">
        <f ca="1">IFERROR(__xludf.DUMMYFUNCTION("IFERROR(GOOGLEFINANCE(B1637,""pe""),V1637)"),79)</f>
        <v>79</v>
      </c>
      <c r="X1637" s="6">
        <v>1.05</v>
      </c>
      <c r="Y1637" s="6">
        <v>23.06</v>
      </c>
      <c r="Z1637" s="6">
        <v>2</v>
      </c>
      <c r="AA1637" s="17">
        <v>45352</v>
      </c>
      <c r="AB1637" s="18">
        <v>0</v>
      </c>
      <c r="AC1637" s="6">
        <v>33.76</v>
      </c>
      <c r="AD1637" s="6">
        <v>42.45</v>
      </c>
      <c r="AE1637" s="1">
        <v>0</v>
      </c>
      <c r="AF1637" s="1">
        <f ca="1">IFERROR(__xludf.DUMMYFUNCTION("IFERROR(GOOGLEFINANCE(TRIM(F1637)&amp;"":"" &amp; TRIM(B1637),""high52""),AE1637)"),0)</f>
        <v>0</v>
      </c>
      <c r="AG1637" s="1">
        <v>0</v>
      </c>
      <c r="AH1637" s="1">
        <f ca="1">IFERROR(__xludf.DUMMYFUNCTION("IFERROR(GOOGLEFINANCE(TRIM(F1637)&amp;"":"" &amp; TRIM(B1637),""low52""),AE1637)"),0)</f>
        <v>0</v>
      </c>
      <c r="AI1637" s="1">
        <f ca="1">IFERROR(__xludf.DUMMYFUNCTION("IFERROR(GOOGLEFINANCE(B1637,""eps""),0)"),0)</f>
        <v>0</v>
      </c>
      <c r="AJ1637" s="1"/>
      <c r="AK1637" s="1" t="s">
        <v>4931</v>
      </c>
      <c r="AL1637" s="9">
        <f t="shared" si="208"/>
        <v>1</v>
      </c>
    </row>
    <row r="1638" spans="1:38" ht="15" x14ac:dyDescent="0.25">
      <c r="A1638" s="1" t="s">
        <v>4932</v>
      </c>
      <c r="B1638" s="1" t="s">
        <v>4933</v>
      </c>
      <c r="C1638" s="1" t="s">
        <v>4934</v>
      </c>
      <c r="D1638" s="1" t="s">
        <v>4934</v>
      </c>
      <c r="E1638" s="6">
        <v>7366.13</v>
      </c>
      <c r="F1638" s="1" t="s">
        <v>40</v>
      </c>
      <c r="G1638" s="6">
        <f ca="1">IFERROR(__xludf.DUMMYFUNCTION("iferror(GOOGLEFINANCE(TRIM(F1638)&amp;"":"" &amp; TRIM(B1638), ""price""),0
)"),16.84)</f>
        <v>16.84</v>
      </c>
      <c r="H1638" s="6">
        <v>26.43</v>
      </c>
      <c r="I1638" s="6">
        <f t="shared" ca="1" si="0"/>
        <v>16.84</v>
      </c>
      <c r="J1638" s="6">
        <f ca="1">IFERROR(__xludf.DUMMYFUNCTION("IFERROR(GOOGLEFINANCE(B1638, ""volume""), 0)"),12536736)</f>
        <v>12536736</v>
      </c>
      <c r="K1638" s="6">
        <v>-0.04</v>
      </c>
      <c r="L1638" s="6">
        <f ca="1">IFERROR(__xludf.DUMMYFUNCTION("IFERROR(GOOGLEFINANCE(B1638,""changepct""),K1638)"),1.32)</f>
        <v>1.32</v>
      </c>
      <c r="M1638" s="6">
        <f ca="1">IFERROR(__xludf.DUMMYFUNCTION("IFERROR(GOOGLEFINANCE(B1638,""change""),0)"),0.22)</f>
        <v>0.22</v>
      </c>
      <c r="N1638" s="6">
        <v>2</v>
      </c>
      <c r="O1638" s="7">
        <v>45536</v>
      </c>
      <c r="P1638" s="6">
        <v>117.58</v>
      </c>
      <c r="Q1638" s="6">
        <v>7140.38</v>
      </c>
      <c r="R1638" s="7">
        <v>45536</v>
      </c>
      <c r="S1638" s="6">
        <v>3408.21</v>
      </c>
      <c r="T1638" s="6">
        <v>204.88</v>
      </c>
      <c r="U1638" s="7">
        <v>45536</v>
      </c>
      <c r="V1638" s="6">
        <v>35.9</v>
      </c>
      <c r="W1638" s="6">
        <f ca="1">IFERROR(__xludf.DUMMYFUNCTION("IFERROR(GOOGLEFINANCE(B1638,""pe""),V1638)"),21.28)</f>
        <v>21.28</v>
      </c>
      <c r="X1638" s="6">
        <v>2.92</v>
      </c>
      <c r="Y1638" s="6">
        <v>2.04</v>
      </c>
      <c r="Z1638" s="6">
        <v>2</v>
      </c>
      <c r="AA1638" s="8">
        <v>45352</v>
      </c>
      <c r="AB1638" s="4">
        <v>0.02</v>
      </c>
      <c r="AC1638" s="6">
        <v>4.8600000000000003</v>
      </c>
      <c r="AD1638" s="6">
        <v>6.29</v>
      </c>
      <c r="AE1638" s="1">
        <v>0</v>
      </c>
      <c r="AF1638" s="1">
        <f ca="1">IFERROR(__xludf.DUMMYFUNCTION("IFERROR(GOOGLEFINANCE(TRIM(F1638)&amp;"":"" &amp; TRIM(B1638),""high52""),AE1638)"),22.02)</f>
        <v>22.02</v>
      </c>
      <c r="AG1638" s="1">
        <v>0</v>
      </c>
      <c r="AH1638" s="1">
        <f ca="1">IFERROR(__xludf.DUMMYFUNCTION("IFERROR(GOOGLEFINANCE(TRIM(F1638)&amp;"":"" &amp; TRIM(B1638),""low52""),AE1638)"),13.64)</f>
        <v>13.64</v>
      </c>
      <c r="AI1638" s="1">
        <f ca="1">IFERROR(__xludf.DUMMYFUNCTION("IFERROR(GOOGLEFINANCE(B1638,""eps""),0)"),0.79)</f>
        <v>0.79</v>
      </c>
      <c r="AJ1638" s="1"/>
      <c r="AK1638" s="1" t="s">
        <v>4935</v>
      </c>
      <c r="AL1638" s="9">
        <f t="shared" si="208"/>
        <v>1</v>
      </c>
    </row>
    <row r="1639" spans="1:38" ht="15" x14ac:dyDescent="0.25">
      <c r="A1639" s="1" t="s">
        <v>4936</v>
      </c>
      <c r="B1639" s="1" t="s">
        <v>4937</v>
      </c>
      <c r="C1639" s="1" t="s">
        <v>135</v>
      </c>
      <c r="D1639" s="1" t="s">
        <v>135</v>
      </c>
      <c r="E1639" s="6">
        <v>428.62</v>
      </c>
      <c r="F1639" s="1" t="s">
        <v>40</v>
      </c>
      <c r="G1639" s="6">
        <f ca="1">IFERROR(__xludf.DUMMYFUNCTION("iferror(GOOGLEFINANCE(TRIM(F1639)&amp;"":"" &amp; TRIM(B1639), ""price""),0
)"),0)</f>
        <v>0</v>
      </c>
      <c r="H1639" s="6">
        <v>311.5</v>
      </c>
      <c r="I1639" s="6">
        <f t="shared" ca="1" si="0"/>
        <v>311.5</v>
      </c>
      <c r="J1639" s="6">
        <f ca="1">IFERROR(__xludf.DUMMYFUNCTION("IFERROR(GOOGLEFINANCE(B1639, ""volume""), 0)"),0)</f>
        <v>0</v>
      </c>
      <c r="K1639" s="6">
        <v>1.1399999999999999</v>
      </c>
      <c r="L1639" s="6">
        <f ca="1">IFERROR(__xludf.DUMMYFUNCTION("IFERROR(GOOGLEFINANCE(B1639,""changepct""),K1639)"),1.14)</f>
        <v>1.1399999999999999</v>
      </c>
      <c r="M1639" s="6">
        <f ca="1">IFERROR(__xludf.DUMMYFUNCTION("IFERROR(GOOGLEFINANCE(B1639,""change""),0)"),0)</f>
        <v>0</v>
      </c>
      <c r="N1639" s="6">
        <v>1</v>
      </c>
      <c r="O1639" s="7">
        <v>45536</v>
      </c>
      <c r="P1639" s="9"/>
      <c r="Q1639" s="6">
        <v>416.57</v>
      </c>
      <c r="R1639" s="7">
        <v>45352</v>
      </c>
      <c r="S1639" s="6">
        <v>122.36</v>
      </c>
      <c r="T1639" s="6">
        <v>11.09</v>
      </c>
      <c r="U1639" s="7">
        <v>45352</v>
      </c>
      <c r="V1639" s="6">
        <v>38.64</v>
      </c>
      <c r="W1639" s="6">
        <f ca="1">IFERROR(__xludf.DUMMYFUNCTION("IFERROR(GOOGLEFINANCE(B1639,""pe""),V1639)"),38.64)</f>
        <v>38.64</v>
      </c>
      <c r="X1639" s="9"/>
      <c r="Y1639" s="6">
        <v>7.42</v>
      </c>
      <c r="Z1639" s="6">
        <v>2</v>
      </c>
      <c r="AA1639" s="8">
        <v>45352</v>
      </c>
      <c r="AB1639" s="4">
        <v>0.19</v>
      </c>
      <c r="AC1639" s="6">
        <v>28.28</v>
      </c>
      <c r="AD1639" s="6">
        <v>28.57</v>
      </c>
      <c r="AE1639" s="1">
        <v>0</v>
      </c>
      <c r="AF1639" s="1">
        <f ca="1">IFERROR(__xludf.DUMMYFUNCTION("IFERROR(GOOGLEFINANCE(TRIM(F1639)&amp;"":"" &amp; TRIM(B1639),""high52""),AE1639)"),0)</f>
        <v>0</v>
      </c>
      <c r="AG1639" s="1">
        <v>0</v>
      </c>
      <c r="AH1639" s="1">
        <f ca="1">IFERROR(__xludf.DUMMYFUNCTION("IFERROR(GOOGLEFINANCE(TRIM(F1639)&amp;"":"" &amp; TRIM(B1639),""low52""),AE1639)"),0)</f>
        <v>0</v>
      </c>
      <c r="AI1639" s="1">
        <f ca="1">IFERROR(__xludf.DUMMYFUNCTION("IFERROR(GOOGLEFINANCE(B1639,""eps""),0)"),0)</f>
        <v>0</v>
      </c>
      <c r="AJ1639" s="1"/>
      <c r="AK1639" s="1" t="s">
        <v>4938</v>
      </c>
      <c r="AL1639" s="1" t="b">
        <f t="shared" ref="AL1639:AL1640" si="209">ISNUMBER(AA1639)</f>
        <v>1</v>
      </c>
    </row>
    <row r="1640" spans="1:38" ht="15" x14ac:dyDescent="0.25">
      <c r="A1640" s="1" t="s">
        <v>4939</v>
      </c>
      <c r="B1640" s="1" t="s">
        <v>4940</v>
      </c>
      <c r="C1640" s="1" t="s">
        <v>90</v>
      </c>
      <c r="D1640" s="1" t="s">
        <v>90</v>
      </c>
      <c r="E1640" s="6">
        <v>114822.5</v>
      </c>
      <c r="F1640" s="1" t="s">
        <v>40</v>
      </c>
      <c r="G1640" s="6">
        <f ca="1">IFERROR(__xludf.DUMMYFUNCTION("iferror(GOOGLEFINANCE(TRIM(F1640)&amp;"":"" &amp; TRIM(B1640), ""price""),0
)"),1237.1)</f>
        <v>1237.0999999999999</v>
      </c>
      <c r="H1640" s="6">
        <v>9004.6</v>
      </c>
      <c r="I1640" s="6">
        <f t="shared" ca="1" si="0"/>
        <v>1237.0999999999999</v>
      </c>
      <c r="J1640" s="6">
        <f ca="1">IFERROR(__xludf.DUMMYFUNCTION("IFERROR(GOOGLEFINANCE(B1640, ""volume""), 0)"),2434794)</f>
        <v>2434794</v>
      </c>
      <c r="K1640" s="6">
        <v>1.42</v>
      </c>
      <c r="L1640" s="6">
        <f ca="1">IFERROR(__xludf.DUMMYFUNCTION("IFERROR(GOOGLEFINANCE(B1640,""changepct""),K1640)"),-1.4)</f>
        <v>-1.4</v>
      </c>
      <c r="M1640" s="6">
        <f ca="1">IFERROR(__xludf.DUMMYFUNCTION("IFERROR(GOOGLEFINANCE(B1640,""change""),0)"),-17.6)</f>
        <v>-17.600000000000001</v>
      </c>
      <c r="N1640" s="6">
        <v>2</v>
      </c>
      <c r="O1640" s="7">
        <v>45536</v>
      </c>
      <c r="P1640" s="6">
        <v>1.92</v>
      </c>
      <c r="Q1640" s="6">
        <v>114386.6</v>
      </c>
      <c r="R1640" s="7">
        <v>45536</v>
      </c>
      <c r="S1640" s="6">
        <v>2662.08</v>
      </c>
      <c r="T1640" s="6">
        <v>687.1</v>
      </c>
      <c r="U1640" s="7">
        <v>45536</v>
      </c>
      <c r="V1640" s="6">
        <v>245.54</v>
      </c>
      <c r="W1640" s="6">
        <f ca="1">IFERROR(__xludf.DUMMYFUNCTION("IFERROR(GOOGLEFINANCE(B1640,""pe""),V1640)"),60.88)</f>
        <v>60.88</v>
      </c>
      <c r="X1640" s="6">
        <v>4.07</v>
      </c>
      <c r="Y1640" s="6">
        <v>2.75</v>
      </c>
      <c r="Z1640" s="6">
        <v>2</v>
      </c>
      <c r="AA1640" s="8">
        <v>45352</v>
      </c>
      <c r="AB1640" s="4">
        <v>0</v>
      </c>
      <c r="AC1640" s="6">
        <v>2.75</v>
      </c>
      <c r="AD1640" s="6">
        <v>4.18</v>
      </c>
      <c r="AE1640" s="1">
        <v>0</v>
      </c>
      <c r="AF1640" s="1">
        <f ca="1">IFERROR(__xludf.DUMMYFUNCTION("IFERROR(GOOGLEFINANCE(TRIM(F1640)&amp;"":"" &amp; TRIM(B1640),""high52""),AE1640)"),1637)</f>
        <v>1637</v>
      </c>
      <c r="AG1640" s="1">
        <v>0</v>
      </c>
      <c r="AH1640" s="1">
        <f ca="1">IFERROR(__xludf.DUMMYFUNCTION("IFERROR(GOOGLEFINANCE(TRIM(F1640)&amp;"":"" &amp; TRIM(B1640),""low52""),AE1640)"),1157)</f>
        <v>1157</v>
      </c>
      <c r="AI1640" s="1">
        <f ca="1">IFERROR(__xludf.DUMMYFUNCTION("IFERROR(GOOGLEFINANCE(B1640,""eps""),0)"),20.32)</f>
        <v>20.32</v>
      </c>
      <c r="AJ1640" s="1"/>
      <c r="AK1640" s="1" t="s">
        <v>4941</v>
      </c>
      <c r="AL1640" s="1" t="b">
        <f t="shared" si="209"/>
        <v>1</v>
      </c>
    </row>
    <row r="1641" spans="1:38" ht="15" x14ac:dyDescent="0.25">
      <c r="A1641" s="1" t="s">
        <v>4942</v>
      </c>
      <c r="B1641" s="1" t="s">
        <v>4943</v>
      </c>
      <c r="C1641" s="1" t="s">
        <v>57</v>
      </c>
      <c r="D1641" s="1" t="s">
        <v>57</v>
      </c>
      <c r="E1641" s="6">
        <v>1033.1199999999999</v>
      </c>
      <c r="F1641" s="1" t="s">
        <v>40</v>
      </c>
      <c r="G1641" s="6">
        <f ca="1">IFERROR(__xludf.DUMMYFUNCTION("iferror(GOOGLEFINANCE(TRIM(F1641)&amp;"":"" &amp; TRIM(B1641), ""price""),0
)"),865)</f>
        <v>865</v>
      </c>
      <c r="H1641" s="6">
        <v>428.6</v>
      </c>
      <c r="I1641" s="6">
        <f t="shared" ca="1" si="0"/>
        <v>865</v>
      </c>
      <c r="J1641" s="6">
        <f ca="1">IFERROR(__xludf.DUMMYFUNCTION("IFERROR(GOOGLEFINANCE(B1641, ""volume""), 0)"),435639)</f>
        <v>435639</v>
      </c>
      <c r="K1641" s="6">
        <v>1.36</v>
      </c>
      <c r="L1641" s="6">
        <f ca="1">IFERROR(__xludf.DUMMYFUNCTION("IFERROR(GOOGLEFINANCE(B1641,""changepct""),K1641)"),1.65)</f>
        <v>1.65</v>
      </c>
      <c r="M1641" s="6">
        <f ca="1">IFERROR(__xludf.DUMMYFUNCTION("IFERROR(GOOGLEFINANCE(B1641,""change""),0)"),14)</f>
        <v>14</v>
      </c>
      <c r="N1641" s="6">
        <v>2</v>
      </c>
      <c r="O1641" s="7">
        <v>45536</v>
      </c>
      <c r="P1641" s="9"/>
      <c r="Q1641" s="6">
        <v>1033.1199999999999</v>
      </c>
      <c r="R1641" s="7">
        <v>45536</v>
      </c>
      <c r="S1641" s="6">
        <v>381.27</v>
      </c>
      <c r="T1641" s="6">
        <v>35.21</v>
      </c>
      <c r="U1641" s="7">
        <v>45536</v>
      </c>
      <c r="V1641" s="6">
        <v>29.34</v>
      </c>
      <c r="W1641" s="6">
        <f ca="1">IFERROR(__xludf.DUMMYFUNCTION("IFERROR(GOOGLEFINANCE(B1641,""pe""),V1641)"),27.85)</f>
        <v>27.85</v>
      </c>
      <c r="X1641" s="6">
        <v>8.31</v>
      </c>
      <c r="Y1641" s="6">
        <v>3.29</v>
      </c>
      <c r="Z1641" s="6">
        <v>2</v>
      </c>
      <c r="AA1641" s="8">
        <v>45352</v>
      </c>
      <c r="AB1641" s="4">
        <v>0</v>
      </c>
      <c r="AC1641" s="6">
        <v>8.07</v>
      </c>
      <c r="AD1641" s="6">
        <v>12.93</v>
      </c>
      <c r="AE1641" s="1">
        <v>0</v>
      </c>
      <c r="AF1641" s="1">
        <f ca="1">IFERROR(__xludf.DUMMYFUNCTION("IFERROR(GOOGLEFINANCE(TRIM(F1641)&amp;"":"" &amp; TRIM(B1641),""high52""),AE1641)"),1030)</f>
        <v>1030</v>
      </c>
      <c r="AG1641" s="1">
        <v>0</v>
      </c>
      <c r="AH1641" s="1">
        <f ca="1">IFERROR(__xludf.DUMMYFUNCTION("IFERROR(GOOGLEFINANCE(TRIM(F1641)&amp;"":"" &amp; TRIM(B1641),""low52""),AE1641)"),270.55)</f>
        <v>270.55</v>
      </c>
      <c r="AI1641" s="1">
        <f ca="1">IFERROR(__xludf.DUMMYFUNCTION("IFERROR(GOOGLEFINANCE(B1641,""eps""),0)"),31.06)</f>
        <v>31.06</v>
      </c>
      <c r="AJ1641" s="1"/>
      <c r="AK1641" s="1" t="s">
        <v>4944</v>
      </c>
      <c r="AL1641" s="9">
        <f>IF(AA1641&lt;&gt;AB1641,1,0)</f>
        <v>1</v>
      </c>
    </row>
    <row r="1642" spans="1:38" ht="15" x14ac:dyDescent="0.25">
      <c r="A1642" s="1" t="s">
        <v>4945</v>
      </c>
      <c r="B1642" s="1" t="s">
        <v>4946</v>
      </c>
      <c r="C1642" s="1" t="s">
        <v>223</v>
      </c>
      <c r="D1642" s="1" t="s">
        <v>223</v>
      </c>
      <c r="E1642" s="6">
        <v>405.08</v>
      </c>
      <c r="F1642" s="1" t="s">
        <v>40</v>
      </c>
      <c r="G1642" s="6">
        <f ca="1">IFERROR(__xludf.DUMMYFUNCTION("iferror(GOOGLEFINANCE(TRIM(F1642)&amp;"":"" &amp; TRIM(B1642), ""price""),0
)"),0)</f>
        <v>0</v>
      </c>
      <c r="H1642" s="6">
        <v>416</v>
      </c>
      <c r="I1642" s="6">
        <f t="shared" ca="1" si="0"/>
        <v>416</v>
      </c>
      <c r="J1642" s="6">
        <f ca="1">IFERROR(__xludf.DUMMYFUNCTION("IFERROR(GOOGLEFINANCE(B1642, ""volume""), 0)"),0)</f>
        <v>0</v>
      </c>
      <c r="K1642" s="6">
        <v>-0.48</v>
      </c>
      <c r="L1642" s="6">
        <f ca="1">IFERROR(__xludf.DUMMYFUNCTION("IFERROR(GOOGLEFINANCE(B1642,""changepct""),K1642)"),-0.48)</f>
        <v>-0.48</v>
      </c>
      <c r="M1642" s="6">
        <f ca="1">IFERROR(__xludf.DUMMYFUNCTION("IFERROR(GOOGLEFINANCE(B1642,""change""),0)"),0)</f>
        <v>0</v>
      </c>
      <c r="N1642" s="6">
        <v>1</v>
      </c>
      <c r="O1642" s="7">
        <v>45536</v>
      </c>
      <c r="P1642" s="9"/>
      <c r="Q1642" s="6">
        <v>405.08</v>
      </c>
      <c r="R1642" s="7">
        <v>45352</v>
      </c>
      <c r="S1642" s="6">
        <v>51.75</v>
      </c>
      <c r="T1642" s="6">
        <v>8.57</v>
      </c>
      <c r="U1642" s="7">
        <v>45352</v>
      </c>
      <c r="V1642" s="6">
        <v>47.28</v>
      </c>
      <c r="W1642" s="6">
        <f ca="1">IFERROR(__xludf.DUMMYFUNCTION("IFERROR(GOOGLEFINANCE(B1642,""pe""),V1642)"),47.28)</f>
        <v>47.28</v>
      </c>
      <c r="X1642" s="9"/>
      <c r="Y1642" s="6">
        <v>9.8000000000000007</v>
      </c>
      <c r="Z1642" s="6">
        <v>1</v>
      </c>
      <c r="AA1642" s="8">
        <v>45352</v>
      </c>
      <c r="AB1642" s="4">
        <v>0</v>
      </c>
      <c r="AC1642" s="6">
        <v>31.76</v>
      </c>
      <c r="AD1642" s="6">
        <v>43.49</v>
      </c>
      <c r="AE1642" s="1">
        <v>0</v>
      </c>
      <c r="AF1642" s="1">
        <f ca="1">IFERROR(__xludf.DUMMYFUNCTION("IFERROR(GOOGLEFINANCE(TRIM(F1642)&amp;"":"" &amp; TRIM(B1642),""high52""),AE1642)"),0)</f>
        <v>0</v>
      </c>
      <c r="AG1642" s="1">
        <v>0</v>
      </c>
      <c r="AH1642" s="1">
        <f ca="1">IFERROR(__xludf.DUMMYFUNCTION("IFERROR(GOOGLEFINANCE(TRIM(F1642)&amp;"":"" &amp; TRIM(B1642),""low52""),AE1642)"),0)</f>
        <v>0</v>
      </c>
      <c r="AI1642" s="1">
        <f ca="1">IFERROR(__xludf.DUMMYFUNCTION("IFERROR(GOOGLEFINANCE(B1642,""eps""),0)"),0)</f>
        <v>0</v>
      </c>
      <c r="AJ1642" s="1"/>
      <c r="AK1642" s="1" t="s">
        <v>4947</v>
      </c>
      <c r="AL1642" s="1" t="b">
        <f>ISNUMBER(AA1642)</f>
        <v>1</v>
      </c>
    </row>
    <row r="1643" spans="1:38" ht="15" x14ac:dyDescent="0.25">
      <c r="A1643" s="1" t="s">
        <v>4948</v>
      </c>
      <c r="B1643" s="1" t="s">
        <v>4949</v>
      </c>
      <c r="C1643" s="1" t="s">
        <v>4950</v>
      </c>
      <c r="D1643" s="1" t="s">
        <v>4950</v>
      </c>
      <c r="E1643" s="6">
        <v>171.75</v>
      </c>
      <c r="F1643" s="1" t="s">
        <v>53</v>
      </c>
      <c r="G1643" s="6">
        <f ca="1">IFERROR(__xludf.DUMMYFUNCTION("iferror(GOOGLEFINANCE(TRIM(F1643)&amp;"":"" &amp; TRIM(B1643), ""price""),0
)"),0)</f>
        <v>0</v>
      </c>
      <c r="H1643" s="6">
        <v>156.44999999999999</v>
      </c>
      <c r="I1643" s="6">
        <f t="shared" ca="1" si="0"/>
        <v>156.44999999999999</v>
      </c>
      <c r="J1643" s="6">
        <f ca="1">IFERROR(__xludf.DUMMYFUNCTION("IFERROR(GOOGLEFINANCE(B1643, ""volume""), 0)"),0)</f>
        <v>0</v>
      </c>
      <c r="K1643" s="6">
        <v>2.02</v>
      </c>
      <c r="L1643" s="6">
        <f ca="1">IFERROR(__xludf.DUMMYFUNCTION("IFERROR(GOOGLEFINANCE(B1643,""changepct""),K1643)"),2.02)</f>
        <v>2.02</v>
      </c>
      <c r="M1643" s="6">
        <f ca="1">IFERROR(__xludf.DUMMYFUNCTION("IFERROR(GOOGLEFINANCE(B1643,""change""),0)"),0)</f>
        <v>0</v>
      </c>
      <c r="N1643" s="6">
        <v>2</v>
      </c>
      <c r="O1643" s="7">
        <v>45536</v>
      </c>
      <c r="P1643" s="6">
        <v>38.61</v>
      </c>
      <c r="Q1643" s="6">
        <v>209.65</v>
      </c>
      <c r="R1643" s="7">
        <v>45536</v>
      </c>
      <c r="S1643" s="6">
        <v>199.98</v>
      </c>
      <c r="T1643" s="6">
        <v>6.9</v>
      </c>
      <c r="U1643" s="7">
        <v>45536</v>
      </c>
      <c r="V1643" s="6">
        <v>24.78</v>
      </c>
      <c r="W1643" s="6">
        <f ca="1">IFERROR(__xludf.DUMMYFUNCTION("IFERROR(GOOGLEFINANCE(B1643,""pe""),V1643)"),24.78)</f>
        <v>24.78</v>
      </c>
      <c r="X1643" s="6">
        <v>-1.38</v>
      </c>
      <c r="Y1643" s="6">
        <v>4.2699999999999996</v>
      </c>
      <c r="Z1643" s="6">
        <v>2</v>
      </c>
      <c r="AA1643" s="8">
        <v>45352</v>
      </c>
      <c r="AB1643" s="4">
        <v>1.33</v>
      </c>
      <c r="AC1643" s="6">
        <v>9.3000000000000007</v>
      </c>
      <c r="AD1643" s="6">
        <v>15.14</v>
      </c>
      <c r="AE1643" s="1">
        <v>0</v>
      </c>
      <c r="AF1643" s="1">
        <f ca="1">IFERROR(__xludf.DUMMYFUNCTION("IFERROR(GOOGLEFINANCE(TRIM(F1643)&amp;"":"" &amp; TRIM(B1643),""high52""),AE1643)"),0)</f>
        <v>0</v>
      </c>
      <c r="AG1643" s="1">
        <v>0</v>
      </c>
      <c r="AH1643" s="1">
        <f ca="1">IFERROR(__xludf.DUMMYFUNCTION("IFERROR(GOOGLEFINANCE(TRIM(F1643)&amp;"":"" &amp; TRIM(B1643),""low52""),AE1643)"),0)</f>
        <v>0</v>
      </c>
      <c r="AI1643" s="1">
        <f ca="1">IFERROR(__xludf.DUMMYFUNCTION("IFERROR(GOOGLEFINANCE(B1643,""eps""),0)"),0)</f>
        <v>0</v>
      </c>
      <c r="AJ1643" s="1"/>
      <c r="AK1643" s="9"/>
      <c r="AL1643" s="9">
        <f t="shared" ref="AL1643:AL1669" si="210">IF(AA1643&lt;&gt;AB1643,1,0)</f>
        <v>1</v>
      </c>
    </row>
    <row r="1644" spans="1:38" ht="15" x14ac:dyDescent="0.25">
      <c r="A1644" s="1" t="s">
        <v>4951</v>
      </c>
      <c r="B1644" s="1" t="s">
        <v>4952</v>
      </c>
      <c r="C1644" s="1" t="s">
        <v>778</v>
      </c>
      <c r="D1644" s="1" t="s">
        <v>778</v>
      </c>
      <c r="E1644" s="6">
        <v>35.49</v>
      </c>
      <c r="F1644" s="1" t="s">
        <v>40</v>
      </c>
      <c r="G1644" s="6">
        <f ca="1">IFERROR(__xludf.DUMMYFUNCTION("iferror(GOOGLEFINANCE(TRIM(F1644)&amp;"":"" &amp; TRIM(B1644), ""price""),0
)"),5.97)</f>
        <v>5.97</v>
      </c>
      <c r="H1644" s="6">
        <v>6.94</v>
      </c>
      <c r="I1644" s="6">
        <f t="shared" ca="1" si="0"/>
        <v>5.97</v>
      </c>
      <c r="J1644" s="6">
        <f ca="1">IFERROR(__xludf.DUMMYFUNCTION("IFERROR(GOOGLEFINANCE(B1644, ""volume""), 0)"),2449)</f>
        <v>2449</v>
      </c>
      <c r="K1644" s="6">
        <v>1.31</v>
      </c>
      <c r="L1644" s="6">
        <f ca="1">IFERROR(__xludf.DUMMYFUNCTION("IFERROR(GOOGLEFINANCE(B1644,""changepct""),K1644)"),0.34)</f>
        <v>0.34</v>
      </c>
      <c r="M1644" s="6">
        <f ca="1">IFERROR(__xludf.DUMMYFUNCTION("IFERROR(GOOGLEFINANCE(B1644,""change""),0)"),0.02)</f>
        <v>0.02</v>
      </c>
      <c r="N1644" s="6">
        <v>1</v>
      </c>
      <c r="O1644" s="7">
        <v>45536</v>
      </c>
      <c r="P1644" s="6">
        <v>37.630000000000003</v>
      </c>
      <c r="Q1644" s="6">
        <v>72.53</v>
      </c>
      <c r="R1644" s="7">
        <v>45536</v>
      </c>
      <c r="S1644" s="6">
        <v>0</v>
      </c>
      <c r="T1644" s="6">
        <v>-2.86</v>
      </c>
      <c r="U1644" s="7">
        <v>45536</v>
      </c>
      <c r="V1644" s="6">
        <v>0</v>
      </c>
      <c r="W1644" s="6">
        <f ca="1">IFERROR(__xludf.DUMMYFUNCTION("IFERROR(GOOGLEFINANCE(B1644,""pe""),V1644)"),0)</f>
        <v>0</v>
      </c>
      <c r="X1644" s="6">
        <v>0</v>
      </c>
      <c r="Y1644" s="6">
        <v>-0.63</v>
      </c>
      <c r="Z1644" s="6">
        <v>1</v>
      </c>
      <c r="AA1644" s="8">
        <v>45352</v>
      </c>
      <c r="AB1644" s="4">
        <v>-0.68</v>
      </c>
      <c r="AC1644" s="6">
        <v>0</v>
      </c>
      <c r="AD1644" s="6">
        <v>0</v>
      </c>
      <c r="AE1644" s="1">
        <v>0</v>
      </c>
      <c r="AF1644" s="1">
        <f ca="1">IFERROR(__xludf.DUMMYFUNCTION("IFERROR(GOOGLEFINANCE(TRIM(F1644)&amp;"":"" &amp; TRIM(B1644),""high52""),AE1644)"),9.89)</f>
        <v>9.89</v>
      </c>
      <c r="AG1644" s="1">
        <v>0</v>
      </c>
      <c r="AH1644" s="1">
        <f ca="1">IFERROR(__xludf.DUMMYFUNCTION("IFERROR(GOOGLEFINANCE(TRIM(F1644)&amp;"":"" &amp; TRIM(B1644),""low52""),AE1644)"),5.51)</f>
        <v>5.51</v>
      </c>
      <c r="AI1644" s="1">
        <f ca="1">IFERROR(__xludf.DUMMYFUNCTION("IFERROR(GOOGLEFINANCE(B1644,""eps""),0)"),-0.61)</f>
        <v>-0.61</v>
      </c>
      <c r="AJ1644" s="1"/>
      <c r="AK1644" s="1" t="s">
        <v>4953</v>
      </c>
      <c r="AL1644" s="9">
        <f t="shared" si="210"/>
        <v>1</v>
      </c>
    </row>
    <row r="1645" spans="1:38" ht="15" x14ac:dyDescent="0.25">
      <c r="A1645" s="1" t="s">
        <v>4954</v>
      </c>
      <c r="B1645" s="1" t="s">
        <v>4955</v>
      </c>
      <c r="C1645" s="1" t="s">
        <v>57</v>
      </c>
      <c r="D1645" s="1" t="s">
        <v>57</v>
      </c>
      <c r="E1645" s="6">
        <v>812869</v>
      </c>
      <c r="F1645" s="1" t="s">
        <v>40</v>
      </c>
      <c r="G1645" s="6">
        <f ca="1">IFERROR(__xludf.DUMMYFUNCTION("iferror(GOOGLEFINANCE(TRIM(F1645)&amp;"":"" &amp; TRIM(B1645), ""price""),0
)"),1627)</f>
        <v>1627</v>
      </c>
      <c r="H1645" s="6">
        <v>1937.15</v>
      </c>
      <c r="I1645" s="6">
        <f t="shared" ca="1" si="0"/>
        <v>1627</v>
      </c>
      <c r="J1645" s="6">
        <f ca="1">IFERROR(__xludf.DUMMYFUNCTION("IFERROR(GOOGLEFINANCE(B1645, ""volume""), 0)"),133)</f>
        <v>133</v>
      </c>
      <c r="K1645" s="6">
        <v>-1.06</v>
      </c>
      <c r="L1645" s="6">
        <f ca="1">IFERROR(__xludf.DUMMYFUNCTION("IFERROR(GOOGLEFINANCE(B1645,""changepct""),K1645)"),-0.93)</f>
        <v>-0.93</v>
      </c>
      <c r="M1645" s="6">
        <f ca="1">IFERROR(__xludf.DUMMYFUNCTION("IFERROR(GOOGLEFINANCE(B1645,""change""),0)"),-0.17)</f>
        <v>-0.17</v>
      </c>
      <c r="N1645" s="6">
        <v>2</v>
      </c>
      <c r="O1645" s="7">
        <v>45536</v>
      </c>
      <c r="P1645" s="9"/>
      <c r="Q1645" s="6">
        <v>812869</v>
      </c>
      <c r="R1645" s="7">
        <v>45536</v>
      </c>
      <c r="S1645" s="6">
        <v>157045</v>
      </c>
      <c r="T1645" s="6">
        <v>26978</v>
      </c>
      <c r="U1645" s="7">
        <v>45536</v>
      </c>
      <c r="V1645" s="6">
        <v>30.16</v>
      </c>
      <c r="W1645" s="6">
        <f ca="1">IFERROR(__xludf.DUMMYFUNCTION("IFERROR(GOOGLEFINANCE(B1645,""pe""),V1645)"),23.88)</f>
        <v>23.88</v>
      </c>
      <c r="X1645" s="6">
        <v>2.68</v>
      </c>
      <c r="Y1645" s="6">
        <v>8.99</v>
      </c>
      <c r="Z1645" s="6">
        <v>2</v>
      </c>
      <c r="AA1645" s="17">
        <v>45352</v>
      </c>
      <c r="AB1645" s="18">
        <v>0</v>
      </c>
      <c r="AC1645" s="6">
        <v>32.46</v>
      </c>
      <c r="AD1645" s="6">
        <v>44.59</v>
      </c>
      <c r="AE1645" s="1">
        <v>0</v>
      </c>
      <c r="AF1645" s="1">
        <f ca="1">IFERROR(__xludf.DUMMYFUNCTION("IFERROR(GOOGLEFINANCE(TRIM(F1645)&amp;"":"" &amp; TRIM(B1645),""high52""),AE1645)"),1924)</f>
        <v>1924</v>
      </c>
      <c r="AG1645" s="1">
        <v>0</v>
      </c>
      <c r="AH1645" s="1">
        <f ca="1">IFERROR(__xludf.DUMMYFUNCTION("IFERROR(GOOGLEFINANCE(TRIM(F1645)&amp;"":"" &amp; TRIM(B1645),""low52""),AE1645)"),1307)</f>
        <v>1307</v>
      </c>
      <c r="AI1645" s="1">
        <f ca="1">IFERROR(__xludf.DUMMYFUNCTION("IFERROR(GOOGLEFINANCE(B1645,""eps""),0)"),0.74)</f>
        <v>0.74</v>
      </c>
      <c r="AJ1645" s="1"/>
      <c r="AK1645" s="1" t="s">
        <v>4956</v>
      </c>
      <c r="AL1645" s="9">
        <f t="shared" si="210"/>
        <v>1</v>
      </c>
    </row>
    <row r="1646" spans="1:38" ht="15" x14ac:dyDescent="0.25">
      <c r="A1646" s="1" t="s">
        <v>4957</v>
      </c>
      <c r="B1646" s="1" t="s">
        <v>4958</v>
      </c>
      <c r="C1646" s="1" t="s">
        <v>1751</v>
      </c>
      <c r="D1646" s="1" t="s">
        <v>1751</v>
      </c>
      <c r="E1646" s="6">
        <v>13393.36</v>
      </c>
      <c r="F1646" s="1" t="s">
        <v>40</v>
      </c>
      <c r="G1646" s="6">
        <f ca="1">IFERROR(__xludf.DUMMYFUNCTION("iferror(GOOGLEFINANCE(TRIM(F1646)&amp;"":"" &amp; TRIM(B1646), ""price""),0
)"),3333)</f>
        <v>3333</v>
      </c>
      <c r="H1646" s="6">
        <v>4198</v>
      </c>
      <c r="I1646" s="6">
        <f t="shared" ca="1" si="0"/>
        <v>3333</v>
      </c>
      <c r="J1646" s="6">
        <f ca="1">IFERROR(__xludf.DUMMYFUNCTION("IFERROR(GOOGLEFINANCE(B1646, ""volume""), 0)"),5900)</f>
        <v>5900</v>
      </c>
      <c r="K1646" s="6">
        <v>-1.19</v>
      </c>
      <c r="L1646" s="6">
        <f ca="1">IFERROR(__xludf.DUMMYFUNCTION("IFERROR(GOOGLEFINANCE(B1646,""changepct""),K1646)"),-1.43)</f>
        <v>-1.43</v>
      </c>
      <c r="M1646" s="6">
        <f ca="1">IFERROR(__xludf.DUMMYFUNCTION("IFERROR(GOOGLEFINANCE(B1646,""change""),0)"),-48.5)</f>
        <v>-48.5</v>
      </c>
      <c r="N1646" s="6">
        <v>1</v>
      </c>
      <c r="O1646" s="7">
        <v>45536</v>
      </c>
      <c r="P1646" s="9"/>
      <c r="Q1646" s="6">
        <v>13102.87</v>
      </c>
      <c r="R1646" s="7">
        <v>45536</v>
      </c>
      <c r="S1646" s="6">
        <v>1272.69</v>
      </c>
      <c r="T1646" s="6">
        <v>241.16</v>
      </c>
      <c r="U1646" s="7">
        <v>45536</v>
      </c>
      <c r="V1646" s="6">
        <v>55.54</v>
      </c>
      <c r="W1646" s="6">
        <f ca="1">IFERROR(__xludf.DUMMYFUNCTION("IFERROR(GOOGLEFINANCE(B1646,""pe""),V1646)"),39.76)</f>
        <v>39.76</v>
      </c>
      <c r="X1646" s="6">
        <v>2.48</v>
      </c>
      <c r="Y1646" s="6">
        <v>20.95</v>
      </c>
      <c r="Z1646" s="6">
        <v>1</v>
      </c>
      <c r="AA1646" s="8">
        <v>45352</v>
      </c>
      <c r="AB1646" s="4">
        <v>0</v>
      </c>
      <c r="AC1646" s="6">
        <v>38.549999999999997</v>
      </c>
      <c r="AD1646" s="6">
        <v>51.82</v>
      </c>
      <c r="AE1646" s="1">
        <v>0</v>
      </c>
      <c r="AF1646" s="1">
        <f ca="1">IFERROR(__xludf.DUMMYFUNCTION("IFERROR(GOOGLEFINANCE(TRIM(F1646)&amp;"":"" &amp; TRIM(B1646),""high52""),AE1646)"),4477.8)</f>
        <v>4477.8</v>
      </c>
      <c r="AG1646" s="1">
        <v>0</v>
      </c>
      <c r="AH1646" s="1">
        <f ca="1">IFERROR(__xludf.DUMMYFUNCTION("IFERROR(GOOGLEFINANCE(TRIM(F1646)&amp;"":"" &amp; TRIM(B1646),""low52""),AE1646)"),3055)</f>
        <v>3055</v>
      </c>
      <c r="AI1646" s="1">
        <f ca="1">IFERROR(__xludf.DUMMYFUNCTION("IFERROR(GOOGLEFINANCE(B1646,""eps""),0)"),83.83)</f>
        <v>83.83</v>
      </c>
      <c r="AJ1646" s="1"/>
      <c r="AK1646" s="1" t="s">
        <v>4959</v>
      </c>
      <c r="AL1646" s="9">
        <f t="shared" si="210"/>
        <v>1</v>
      </c>
    </row>
    <row r="1647" spans="1:38" ht="15" x14ac:dyDescent="0.25">
      <c r="A1647" s="1" t="s">
        <v>4960</v>
      </c>
      <c r="B1647" s="1" t="s">
        <v>4961</v>
      </c>
      <c r="C1647" s="1" t="s">
        <v>502</v>
      </c>
      <c r="D1647" s="1" t="s">
        <v>502</v>
      </c>
      <c r="E1647" s="6">
        <v>169.2</v>
      </c>
      <c r="F1647" s="1" t="s">
        <v>53</v>
      </c>
      <c r="G1647" s="6">
        <f ca="1">IFERROR(__xludf.DUMMYFUNCTION("iferror(GOOGLEFINANCE(TRIM(F1647)&amp;"":"" &amp; TRIM(B1647), ""price""),0
)"),0)</f>
        <v>0</v>
      </c>
      <c r="H1647" s="6">
        <v>18.7</v>
      </c>
      <c r="I1647" s="6">
        <f t="shared" ca="1" si="0"/>
        <v>18.7</v>
      </c>
      <c r="J1647" s="6">
        <f ca="1">IFERROR(__xludf.DUMMYFUNCTION("IFERROR(GOOGLEFINANCE(B1647, ""volume""), 0)"),0)</f>
        <v>0</v>
      </c>
      <c r="K1647" s="6">
        <v>0.16</v>
      </c>
      <c r="L1647" s="6">
        <f ca="1">IFERROR(__xludf.DUMMYFUNCTION("IFERROR(GOOGLEFINANCE(B1647,""changepct""),K1647)"),0.16)</f>
        <v>0.16</v>
      </c>
      <c r="M1647" s="6">
        <f ca="1">IFERROR(__xludf.DUMMYFUNCTION("IFERROR(GOOGLEFINANCE(B1647,""change""),0)"),0)</f>
        <v>0</v>
      </c>
      <c r="N1647" s="6">
        <v>1</v>
      </c>
      <c r="O1647" s="7">
        <v>45536</v>
      </c>
      <c r="P1647" s="6">
        <v>131.16</v>
      </c>
      <c r="Q1647" s="6">
        <v>299.8</v>
      </c>
      <c r="R1647" s="7">
        <v>45536</v>
      </c>
      <c r="S1647" s="6">
        <v>421.47</v>
      </c>
      <c r="T1647" s="6">
        <v>8.2899999999999991</v>
      </c>
      <c r="U1647" s="7">
        <v>45536</v>
      </c>
      <c r="V1647" s="6">
        <v>20.420000000000002</v>
      </c>
      <c r="W1647" s="6">
        <f ca="1">IFERROR(__xludf.DUMMYFUNCTION("IFERROR(GOOGLEFINANCE(B1647,""pe""),V1647)"),20.42)</f>
        <v>20.420000000000002</v>
      </c>
      <c r="X1647" s="6">
        <v>-1.81</v>
      </c>
      <c r="Y1647" s="6">
        <v>0.96</v>
      </c>
      <c r="Z1647" s="6">
        <v>1</v>
      </c>
      <c r="AA1647" s="8">
        <v>45352</v>
      </c>
      <c r="AB1647" s="4">
        <v>0.9</v>
      </c>
      <c r="AC1647" s="6">
        <v>2.29</v>
      </c>
      <c r="AD1647" s="6">
        <v>6.32</v>
      </c>
      <c r="AE1647" s="1">
        <v>0</v>
      </c>
      <c r="AF1647" s="1">
        <f ca="1">IFERROR(__xludf.DUMMYFUNCTION("IFERROR(GOOGLEFINANCE(TRIM(F1647)&amp;"":"" &amp; TRIM(B1647),""high52""),AE1647)"),0)</f>
        <v>0</v>
      </c>
      <c r="AG1647" s="1">
        <v>0</v>
      </c>
      <c r="AH1647" s="1">
        <f ca="1">IFERROR(__xludf.DUMMYFUNCTION("IFERROR(GOOGLEFINANCE(TRIM(F1647)&amp;"":"" &amp; TRIM(B1647),""low52""),AE1647)"),0)</f>
        <v>0</v>
      </c>
      <c r="AI1647" s="1">
        <f ca="1">IFERROR(__xludf.DUMMYFUNCTION("IFERROR(GOOGLEFINANCE(B1647,""eps""),0)"),0)</f>
        <v>0</v>
      </c>
      <c r="AJ1647" s="1"/>
      <c r="AK1647" s="6">
        <v>50.43</v>
      </c>
      <c r="AL1647" s="9">
        <f t="shared" si="210"/>
        <v>1</v>
      </c>
    </row>
    <row r="1648" spans="1:38" ht="15" x14ac:dyDescent="0.25">
      <c r="A1648" s="1" t="s">
        <v>4962</v>
      </c>
      <c r="B1648" s="1" t="s">
        <v>4963</v>
      </c>
      <c r="C1648" s="1" t="s">
        <v>502</v>
      </c>
      <c r="D1648" s="1" t="s">
        <v>502</v>
      </c>
      <c r="E1648" s="6">
        <v>378.28</v>
      </c>
      <c r="F1648" s="1" t="s">
        <v>53</v>
      </c>
      <c r="G1648" s="6">
        <f ca="1">IFERROR(__xludf.DUMMYFUNCTION("iferror(GOOGLEFINANCE(TRIM(F1648)&amp;"":"" &amp; TRIM(B1648), ""price""),0
)"),0)</f>
        <v>0</v>
      </c>
      <c r="H1648" s="6">
        <v>72.47</v>
      </c>
      <c r="I1648" s="6">
        <f t="shared" ca="1" si="0"/>
        <v>72.47</v>
      </c>
      <c r="J1648" s="6">
        <f ca="1">IFERROR(__xludf.DUMMYFUNCTION("IFERROR(GOOGLEFINANCE(B1648, ""volume""), 0)"),0)</f>
        <v>0</v>
      </c>
      <c r="K1648" s="6">
        <v>1.26</v>
      </c>
      <c r="L1648" s="6">
        <f ca="1">IFERROR(__xludf.DUMMYFUNCTION("IFERROR(GOOGLEFINANCE(B1648,""changepct""),K1648)"),1.26)</f>
        <v>1.26</v>
      </c>
      <c r="M1648" s="6">
        <f ca="1">IFERROR(__xludf.DUMMYFUNCTION("IFERROR(GOOGLEFINANCE(B1648,""change""),0)"),0)</f>
        <v>0</v>
      </c>
      <c r="N1648" s="6">
        <v>1</v>
      </c>
      <c r="O1648" s="7">
        <v>45536</v>
      </c>
      <c r="P1648" s="6">
        <v>58.27</v>
      </c>
      <c r="Q1648" s="6">
        <v>435.31</v>
      </c>
      <c r="R1648" s="7">
        <v>45536</v>
      </c>
      <c r="S1648" s="6">
        <v>22.83</v>
      </c>
      <c r="T1648" s="6">
        <v>-1.1000000000000001</v>
      </c>
      <c r="U1648" s="7">
        <v>45536</v>
      </c>
      <c r="V1648" s="6">
        <v>0</v>
      </c>
      <c r="W1648" s="6">
        <f ca="1">IFERROR(__xludf.DUMMYFUNCTION("IFERROR(GOOGLEFINANCE(B1648,""pe""),V1648)"),0)</f>
        <v>0</v>
      </c>
      <c r="X1648" s="9"/>
      <c r="Y1648" s="6">
        <v>8.11</v>
      </c>
      <c r="Z1648" s="6">
        <v>2</v>
      </c>
      <c r="AA1648" s="8">
        <v>44986</v>
      </c>
      <c r="AB1648" s="4">
        <v>0.53</v>
      </c>
      <c r="AC1648" s="6">
        <v>-14.94</v>
      </c>
      <c r="AD1648" s="6">
        <v>-6.08</v>
      </c>
      <c r="AE1648" s="1">
        <v>0</v>
      </c>
      <c r="AF1648" s="1">
        <f ca="1">IFERROR(__xludf.DUMMYFUNCTION("IFERROR(GOOGLEFINANCE(TRIM(F1648)&amp;"":"" &amp; TRIM(B1648),""high52""),AE1648)"),0)</f>
        <v>0</v>
      </c>
      <c r="AG1648" s="1">
        <v>0</v>
      </c>
      <c r="AH1648" s="1">
        <f ca="1">IFERROR(__xludf.DUMMYFUNCTION("IFERROR(GOOGLEFINANCE(TRIM(F1648)&amp;"":"" &amp; TRIM(B1648),""low52""),AE1648)"),0)</f>
        <v>0</v>
      </c>
      <c r="AI1648" s="1">
        <f ca="1">IFERROR(__xludf.DUMMYFUNCTION("IFERROR(GOOGLEFINANCE(B1648,""eps""),0)"),0)</f>
        <v>0</v>
      </c>
      <c r="AJ1648" s="1"/>
      <c r="AK1648" s="1" t="s">
        <v>4964</v>
      </c>
      <c r="AL1648" s="9">
        <f t="shared" si="210"/>
        <v>1</v>
      </c>
    </row>
    <row r="1649" spans="1:38" ht="15" x14ac:dyDescent="0.25">
      <c r="A1649" s="1" t="s">
        <v>4965</v>
      </c>
      <c r="B1649" s="1" t="s">
        <v>4966</v>
      </c>
      <c r="C1649" s="1" t="s">
        <v>4967</v>
      </c>
      <c r="D1649" s="1" t="s">
        <v>4967</v>
      </c>
      <c r="E1649" s="6">
        <v>226.91</v>
      </c>
      <c r="F1649" s="1" t="s">
        <v>40</v>
      </c>
      <c r="G1649" s="6">
        <f ca="1">IFERROR(__xludf.DUMMYFUNCTION("iferror(GOOGLEFINANCE(TRIM(F1649)&amp;"":"" &amp; TRIM(B1649), ""price""),0
)"),0)</f>
        <v>0</v>
      </c>
      <c r="H1649" s="6">
        <v>183.5</v>
      </c>
      <c r="I1649" s="6">
        <f t="shared" ca="1" si="0"/>
        <v>183.5</v>
      </c>
      <c r="J1649" s="6">
        <f ca="1">IFERROR(__xludf.DUMMYFUNCTION("IFERROR(GOOGLEFINANCE(B1649, ""volume""), 0)"),0)</f>
        <v>0</v>
      </c>
      <c r="K1649" s="6">
        <v>4.6500000000000004</v>
      </c>
      <c r="L1649" s="6">
        <f ca="1">IFERROR(__xludf.DUMMYFUNCTION("IFERROR(GOOGLEFINANCE(B1649,""changepct""),K1649)"),4.65)</f>
        <v>4.6500000000000004</v>
      </c>
      <c r="M1649" s="6">
        <f ca="1">IFERROR(__xludf.DUMMYFUNCTION("IFERROR(GOOGLEFINANCE(B1649,""change""),0)"),0)</f>
        <v>0</v>
      </c>
      <c r="N1649" s="6">
        <v>1</v>
      </c>
      <c r="O1649" s="7">
        <v>45536</v>
      </c>
      <c r="P1649" s="6">
        <v>13.04</v>
      </c>
      <c r="Q1649" s="6">
        <v>239.95</v>
      </c>
      <c r="R1649" s="14"/>
      <c r="S1649" s="9"/>
      <c r="T1649" s="9"/>
      <c r="U1649" s="7">
        <v>45352</v>
      </c>
      <c r="V1649" s="6">
        <v>90.07</v>
      </c>
      <c r="W1649" s="6">
        <f ca="1">IFERROR(__xludf.DUMMYFUNCTION("IFERROR(GOOGLEFINANCE(B1649,""pe""),V1649)"),90.07)</f>
        <v>90.07</v>
      </c>
      <c r="X1649" s="12"/>
      <c r="Y1649" s="6">
        <v>4.63</v>
      </c>
      <c r="Z1649" s="6">
        <v>1</v>
      </c>
      <c r="AA1649" s="8">
        <v>45352</v>
      </c>
      <c r="AB1649" s="4">
        <v>0.43</v>
      </c>
      <c r="AC1649" s="6">
        <v>23.13</v>
      </c>
      <c r="AD1649" s="6">
        <v>29.66</v>
      </c>
      <c r="AE1649" s="1">
        <v>0</v>
      </c>
      <c r="AF1649" s="1">
        <f ca="1">IFERROR(__xludf.DUMMYFUNCTION("IFERROR(GOOGLEFINANCE(TRIM(F1649)&amp;"":"" &amp; TRIM(B1649),""high52""),AE1649)"),0)</f>
        <v>0</v>
      </c>
      <c r="AG1649" s="1">
        <v>0</v>
      </c>
      <c r="AH1649" s="1">
        <f ca="1">IFERROR(__xludf.DUMMYFUNCTION("IFERROR(GOOGLEFINANCE(TRIM(F1649)&amp;"":"" &amp; TRIM(B1649),""low52""),AE1649)"),0)</f>
        <v>0</v>
      </c>
      <c r="AI1649" s="1">
        <f ca="1">IFERROR(__xludf.DUMMYFUNCTION("IFERROR(GOOGLEFINANCE(B1649,""eps""),0)"),0)</f>
        <v>0</v>
      </c>
      <c r="AJ1649" s="1"/>
      <c r="AK1649" s="1" t="s">
        <v>4968</v>
      </c>
      <c r="AL1649" s="9">
        <f t="shared" si="210"/>
        <v>1</v>
      </c>
    </row>
    <row r="1650" spans="1:38" ht="15" x14ac:dyDescent="0.25">
      <c r="A1650" s="1" t="s">
        <v>4969</v>
      </c>
      <c r="B1650" s="1" t="s">
        <v>4970</v>
      </c>
      <c r="C1650" s="1" t="s">
        <v>106</v>
      </c>
      <c r="D1650" s="1" t="s">
        <v>106</v>
      </c>
      <c r="E1650" s="6">
        <v>6521.93</v>
      </c>
      <c r="F1650" s="1" t="s">
        <v>40</v>
      </c>
      <c r="G1650" s="6">
        <f ca="1">IFERROR(__xludf.DUMMYFUNCTION("iferror(GOOGLEFINANCE(TRIM(F1650)&amp;"":"" &amp; TRIM(B1650), ""price""),0
)"),689)</f>
        <v>689</v>
      </c>
      <c r="H1650" s="6">
        <v>1197.3499999999999</v>
      </c>
      <c r="I1650" s="6">
        <f t="shared" ca="1" si="0"/>
        <v>689</v>
      </c>
      <c r="J1650" s="6">
        <f ca="1">IFERROR(__xludf.DUMMYFUNCTION("IFERROR(GOOGLEFINANCE(B1650, ""volume""), 0)"),20063)</f>
        <v>20063</v>
      </c>
      <c r="K1650" s="6">
        <v>5.14</v>
      </c>
      <c r="L1650" s="6">
        <f ca="1">IFERROR(__xludf.DUMMYFUNCTION("IFERROR(GOOGLEFINANCE(B1650,""changepct""),K1650)"),-0.71)</f>
        <v>-0.71</v>
      </c>
      <c r="M1650" s="6">
        <f ca="1">IFERROR(__xludf.DUMMYFUNCTION("IFERROR(GOOGLEFINANCE(B1650,""change""),0)"),-4.9)</f>
        <v>-4.9000000000000004</v>
      </c>
      <c r="N1650" s="6">
        <v>2</v>
      </c>
      <c r="O1650" s="7">
        <v>45536</v>
      </c>
      <c r="P1650" s="6">
        <v>258.66000000000003</v>
      </c>
      <c r="Q1650" s="6">
        <v>6762.45</v>
      </c>
      <c r="R1650" s="7">
        <v>45536</v>
      </c>
      <c r="S1650" s="6">
        <v>1177.5899999999999</v>
      </c>
      <c r="T1650" s="6">
        <v>118.33</v>
      </c>
      <c r="U1650" s="7">
        <v>45536</v>
      </c>
      <c r="V1650" s="6">
        <v>55.12</v>
      </c>
      <c r="W1650" s="6">
        <f ca="1">IFERROR(__xludf.DUMMYFUNCTION("IFERROR(GOOGLEFINANCE(B1650,""pe""),V1650)"),29.78)</f>
        <v>29.78</v>
      </c>
      <c r="X1650" s="9"/>
      <c r="Y1650" s="6">
        <v>7.28</v>
      </c>
      <c r="Z1650" s="6">
        <v>2</v>
      </c>
      <c r="AA1650" s="8">
        <v>45352</v>
      </c>
      <c r="AB1650" s="4">
        <v>0.28999999999999998</v>
      </c>
      <c r="AC1650" s="6">
        <v>17.04</v>
      </c>
      <c r="AD1650" s="6">
        <v>19.059999999999999</v>
      </c>
      <c r="AE1650" s="1">
        <v>0</v>
      </c>
      <c r="AF1650" s="1">
        <f ca="1">IFERROR(__xludf.DUMMYFUNCTION("IFERROR(GOOGLEFINANCE(TRIM(F1650)&amp;"":"" &amp; TRIM(B1650),""high52""),AE1650)"),1024)</f>
        <v>1024</v>
      </c>
      <c r="AG1650" s="1">
        <v>0</v>
      </c>
      <c r="AH1650" s="1">
        <f ca="1">IFERROR(__xludf.DUMMYFUNCTION("IFERROR(GOOGLEFINANCE(TRIM(F1650)&amp;"":"" &amp; TRIM(B1650),""low52""),AE1650)"),624)</f>
        <v>624</v>
      </c>
      <c r="AI1650" s="1">
        <f ca="1">IFERROR(__xludf.DUMMYFUNCTION("IFERROR(GOOGLEFINANCE(B1650,""eps""),0)"),23.13)</f>
        <v>23.13</v>
      </c>
      <c r="AJ1650" s="1"/>
      <c r="AK1650" s="1" t="s">
        <v>4971</v>
      </c>
      <c r="AL1650" s="9">
        <f t="shared" si="210"/>
        <v>1</v>
      </c>
    </row>
    <row r="1651" spans="1:38" ht="15" x14ac:dyDescent="0.25">
      <c r="A1651" s="1" t="s">
        <v>4972</v>
      </c>
      <c r="B1651" s="1" t="s">
        <v>4973</v>
      </c>
      <c r="C1651" s="1" t="s">
        <v>57</v>
      </c>
      <c r="D1651" s="1" t="s">
        <v>57</v>
      </c>
      <c r="E1651" s="6">
        <v>865.61</v>
      </c>
      <c r="F1651" s="1" t="s">
        <v>40</v>
      </c>
      <c r="G1651" s="6">
        <f ca="1">IFERROR(__xludf.DUMMYFUNCTION("iferror(GOOGLEFINANCE(TRIM(F1651)&amp;"":"" &amp; TRIM(B1651), ""price""),0
)"),339.9)</f>
        <v>339.9</v>
      </c>
      <c r="H1651" s="6">
        <v>423.05</v>
      </c>
      <c r="I1651" s="6">
        <f t="shared" ca="1" si="0"/>
        <v>339.9</v>
      </c>
      <c r="J1651" s="6">
        <f ca="1">IFERROR(__xludf.DUMMYFUNCTION("IFERROR(GOOGLEFINANCE(B1651, ""volume""), 0)"),4347)</f>
        <v>4347</v>
      </c>
      <c r="K1651" s="6">
        <v>0.87</v>
      </c>
      <c r="L1651" s="6">
        <f ca="1">IFERROR(__xludf.DUMMYFUNCTION("IFERROR(GOOGLEFINANCE(B1651,""changepct""),K1651)"),0.41)</f>
        <v>0.41</v>
      </c>
      <c r="M1651" s="6">
        <f ca="1">IFERROR(__xludf.DUMMYFUNCTION("IFERROR(GOOGLEFINANCE(B1651,""change""),0)"),1.4)</f>
        <v>1.4</v>
      </c>
      <c r="N1651" s="6">
        <v>2</v>
      </c>
      <c r="O1651" s="7">
        <v>45536</v>
      </c>
      <c r="P1651" s="6">
        <v>11.44</v>
      </c>
      <c r="Q1651" s="6">
        <v>868.07</v>
      </c>
      <c r="R1651" s="7">
        <v>45536</v>
      </c>
      <c r="S1651" s="6">
        <v>95.51</v>
      </c>
      <c r="T1651" s="6">
        <v>40</v>
      </c>
      <c r="U1651" s="7">
        <v>45536</v>
      </c>
      <c r="V1651" s="6">
        <v>21.01</v>
      </c>
      <c r="W1651" s="6">
        <f ca="1">IFERROR(__xludf.DUMMYFUNCTION("IFERROR(GOOGLEFINANCE(B1651,""pe""),V1651)"),15.7)</f>
        <v>15.7</v>
      </c>
      <c r="X1651" s="6">
        <v>0.68</v>
      </c>
      <c r="Y1651" s="6">
        <v>4.7</v>
      </c>
      <c r="Z1651" s="6">
        <v>2</v>
      </c>
      <c r="AA1651" s="8">
        <v>45352</v>
      </c>
      <c r="AB1651" s="4">
        <v>0.05</v>
      </c>
      <c r="AC1651" s="6">
        <v>30.06</v>
      </c>
      <c r="AD1651" s="6">
        <v>38.56</v>
      </c>
      <c r="AE1651" s="1">
        <v>0</v>
      </c>
      <c r="AF1651" s="1">
        <f ca="1">IFERROR(__xludf.DUMMYFUNCTION("IFERROR(GOOGLEFINANCE(TRIM(F1651)&amp;"":"" &amp; TRIM(B1651),""high52""),AE1651)"),649.5)</f>
        <v>649.5</v>
      </c>
      <c r="AG1651" s="1">
        <v>0</v>
      </c>
      <c r="AH1651" s="1">
        <f ca="1">IFERROR(__xludf.DUMMYFUNCTION("IFERROR(GOOGLEFINANCE(TRIM(F1651)&amp;"":"" &amp; TRIM(B1651),""low52""),AE1651)"),270.5)</f>
        <v>270.5</v>
      </c>
      <c r="AI1651" s="1">
        <f ca="1">IFERROR(__xludf.DUMMYFUNCTION("IFERROR(GOOGLEFINANCE(B1651,""eps""),0)"),21.65)</f>
        <v>21.65</v>
      </c>
      <c r="AJ1651" s="1"/>
      <c r="AK1651" s="9"/>
      <c r="AL1651" s="9">
        <f t="shared" si="210"/>
        <v>1</v>
      </c>
    </row>
    <row r="1652" spans="1:38" ht="15" x14ac:dyDescent="0.25">
      <c r="A1652" s="1" t="s">
        <v>4974</v>
      </c>
      <c r="B1652" s="1" t="s">
        <v>4975</v>
      </c>
      <c r="C1652" s="1" t="s">
        <v>828</v>
      </c>
      <c r="D1652" s="1" t="s">
        <v>828</v>
      </c>
      <c r="E1652" s="6">
        <v>22.5</v>
      </c>
      <c r="F1652" s="1" t="s">
        <v>40</v>
      </c>
      <c r="G1652" s="6">
        <f ca="1">IFERROR(__xludf.DUMMYFUNCTION("iferror(GOOGLEFINANCE(TRIM(F1652)&amp;"":"" &amp; TRIM(B1652), ""price""),0
)"),0)</f>
        <v>0</v>
      </c>
      <c r="H1652" s="6">
        <v>22.5</v>
      </c>
      <c r="I1652" s="6">
        <f t="shared" ca="1" si="0"/>
        <v>22.5</v>
      </c>
      <c r="J1652" s="6">
        <f ca="1">IFERROR(__xludf.DUMMYFUNCTION("IFERROR(GOOGLEFINANCE(B1652, ""volume""), 0)"),0)</f>
        <v>0</v>
      </c>
      <c r="K1652" s="12"/>
      <c r="L1652" s="6" t="str">
        <f ca="1">IFERROR(__xludf.DUMMYFUNCTION("IFERROR(GOOGLEFINANCE(B1652,""changepct""),K1652)"),"")</f>
        <v/>
      </c>
      <c r="M1652" s="6">
        <f ca="1">IFERROR(__xludf.DUMMYFUNCTION("IFERROR(GOOGLEFINANCE(B1652,""change""),0)"),0)</f>
        <v>0</v>
      </c>
      <c r="N1652" s="6">
        <v>1</v>
      </c>
      <c r="O1652" s="7">
        <v>45536</v>
      </c>
      <c r="P1652" s="6">
        <v>37.89</v>
      </c>
      <c r="Q1652" s="6">
        <v>60.39</v>
      </c>
      <c r="R1652" s="7">
        <v>45352</v>
      </c>
      <c r="S1652" s="6">
        <v>14.18</v>
      </c>
      <c r="T1652" s="6">
        <v>34.5</v>
      </c>
      <c r="U1652" s="7">
        <v>45352</v>
      </c>
      <c r="V1652" s="6">
        <v>0.65</v>
      </c>
      <c r="W1652" s="6">
        <f ca="1">IFERROR(__xludf.DUMMYFUNCTION("IFERROR(GOOGLEFINANCE(B1652,""pe""),V1652)"),0.65)</f>
        <v>0.65</v>
      </c>
      <c r="X1652" s="12"/>
      <c r="Y1652" s="6">
        <v>-0.9</v>
      </c>
      <c r="Z1652" s="6">
        <v>1</v>
      </c>
      <c r="AA1652" s="8">
        <v>45352</v>
      </c>
      <c r="AB1652" s="4">
        <v>-2.0499999999999998</v>
      </c>
      <c r="AC1652" s="6">
        <v>0</v>
      </c>
      <c r="AD1652" s="6">
        <v>499.9</v>
      </c>
      <c r="AE1652" s="1">
        <v>0</v>
      </c>
      <c r="AF1652" s="1">
        <f ca="1">IFERROR(__xludf.DUMMYFUNCTION("IFERROR(GOOGLEFINANCE(TRIM(F1652)&amp;"":"" &amp; TRIM(B1652),""high52""),AE1652)"),0)</f>
        <v>0</v>
      </c>
      <c r="AG1652" s="1">
        <v>0</v>
      </c>
      <c r="AH1652" s="1">
        <f ca="1">IFERROR(__xludf.DUMMYFUNCTION("IFERROR(GOOGLEFINANCE(TRIM(F1652)&amp;"":"" &amp; TRIM(B1652),""low52""),AE1652)"),0)</f>
        <v>0</v>
      </c>
      <c r="AI1652" s="1">
        <f ca="1">IFERROR(__xludf.DUMMYFUNCTION("IFERROR(GOOGLEFINANCE(B1652,""eps""),0)"),0)</f>
        <v>0</v>
      </c>
      <c r="AJ1652" s="1"/>
      <c r="AK1652" s="1" t="s">
        <v>4976</v>
      </c>
      <c r="AL1652" s="9">
        <f t="shared" si="210"/>
        <v>1</v>
      </c>
    </row>
    <row r="1653" spans="1:38" ht="15" x14ac:dyDescent="0.25">
      <c r="A1653" s="1" t="s">
        <v>4977</v>
      </c>
      <c r="B1653" s="1" t="s">
        <v>4978</v>
      </c>
      <c r="C1653" s="1" t="s">
        <v>112</v>
      </c>
      <c r="D1653" s="1" t="s">
        <v>112</v>
      </c>
      <c r="E1653" s="6">
        <v>6461.33</v>
      </c>
      <c r="F1653" s="1" t="s">
        <v>40</v>
      </c>
      <c r="G1653" s="6">
        <f ca="1">IFERROR(__xludf.DUMMYFUNCTION("iferror(GOOGLEFINANCE(TRIM(F1653)&amp;"":"" &amp; TRIM(B1653), ""price""),0
)"),171.39)</f>
        <v>171.39</v>
      </c>
      <c r="H1653" s="6">
        <v>176</v>
      </c>
      <c r="I1653" s="6">
        <f t="shared" ca="1" si="0"/>
        <v>171.39</v>
      </c>
      <c r="J1653" s="6">
        <f ca="1">IFERROR(__xludf.DUMMYFUNCTION("IFERROR(GOOGLEFINANCE(B1653, ""volume""), 0)"),787358)</f>
        <v>787358</v>
      </c>
      <c r="K1653" s="6">
        <v>0.15</v>
      </c>
      <c r="L1653" s="6">
        <f ca="1">IFERROR(__xludf.DUMMYFUNCTION("IFERROR(GOOGLEFINANCE(B1653,""changepct""),K1653)"),3.33)</f>
        <v>3.33</v>
      </c>
      <c r="M1653" s="6">
        <f ca="1">IFERROR(__xludf.DUMMYFUNCTION("IFERROR(GOOGLEFINANCE(B1653,""change""),0)"),5.52)</f>
        <v>5.52</v>
      </c>
      <c r="N1653" s="6">
        <v>2</v>
      </c>
      <c r="O1653" s="7">
        <v>45536</v>
      </c>
      <c r="P1653" s="6">
        <v>167.42</v>
      </c>
      <c r="Q1653" s="6">
        <v>6616.76</v>
      </c>
      <c r="R1653" s="7">
        <v>45536</v>
      </c>
      <c r="S1653" s="6">
        <v>218.43</v>
      </c>
      <c r="T1653" s="6">
        <v>29.33</v>
      </c>
      <c r="U1653" s="7">
        <v>45536</v>
      </c>
      <c r="V1653" s="6">
        <v>215.88</v>
      </c>
      <c r="W1653" s="6">
        <f ca="1">IFERROR(__xludf.DUMMYFUNCTION("IFERROR(GOOGLEFINANCE(B1653,""pe""),V1653)"),102.31)</f>
        <v>102.31</v>
      </c>
      <c r="X1653" s="9"/>
      <c r="Y1653" s="6">
        <v>3.6</v>
      </c>
      <c r="Z1653" s="6">
        <v>2</v>
      </c>
      <c r="AA1653" s="8">
        <v>45352</v>
      </c>
      <c r="AB1653" s="4">
        <v>0.13</v>
      </c>
      <c r="AC1653" s="6">
        <v>2.67</v>
      </c>
      <c r="AD1653" s="6">
        <v>3.68</v>
      </c>
      <c r="AE1653" s="1">
        <v>0</v>
      </c>
      <c r="AF1653" s="1">
        <f ca="1">IFERROR(__xludf.DUMMYFUNCTION("IFERROR(GOOGLEFINANCE(TRIM(F1653)&amp;"":"" &amp; TRIM(B1653),""high52""),AE1653)"),279)</f>
        <v>279</v>
      </c>
      <c r="AG1653" s="1">
        <v>0</v>
      </c>
      <c r="AH1653" s="1">
        <f ca="1">IFERROR(__xludf.DUMMYFUNCTION("IFERROR(GOOGLEFINANCE(TRIM(F1653)&amp;"":"" &amp; TRIM(B1653),""low52""),AE1653)"),104)</f>
        <v>104</v>
      </c>
      <c r="AI1653" s="1">
        <f ca="1">IFERROR(__xludf.DUMMYFUNCTION("IFERROR(GOOGLEFINANCE(B1653,""eps""),0)"),1.68)</f>
        <v>1.68</v>
      </c>
      <c r="AJ1653" s="1"/>
      <c r="AK1653" s="9"/>
      <c r="AL1653" s="9">
        <f t="shared" si="210"/>
        <v>1</v>
      </c>
    </row>
    <row r="1654" spans="1:38" ht="15" x14ac:dyDescent="0.25">
      <c r="A1654" s="1" t="s">
        <v>4979</v>
      </c>
      <c r="B1654" s="1" t="s">
        <v>4980</v>
      </c>
      <c r="C1654" s="1" t="s">
        <v>416</v>
      </c>
      <c r="D1654" s="1" t="s">
        <v>416</v>
      </c>
      <c r="E1654" s="6">
        <v>10027.549999999999</v>
      </c>
      <c r="F1654" s="1" t="s">
        <v>40</v>
      </c>
      <c r="G1654" s="6">
        <f ca="1">IFERROR(__xludf.DUMMYFUNCTION("iferror(GOOGLEFINANCE(TRIM(F1654)&amp;"":"" &amp; TRIM(B1654), ""price""),0
)"),1106)</f>
        <v>1106</v>
      </c>
      <c r="H1654" s="6">
        <v>1110</v>
      </c>
      <c r="I1654" s="6">
        <f t="shared" ca="1" si="0"/>
        <v>1106</v>
      </c>
      <c r="J1654" s="6">
        <f ca="1">IFERROR(__xludf.DUMMYFUNCTION("IFERROR(GOOGLEFINANCE(B1654, ""volume""), 0)"),40407)</f>
        <v>40407</v>
      </c>
      <c r="K1654" s="6">
        <v>0.38</v>
      </c>
      <c r="L1654" s="6">
        <f ca="1">IFERROR(__xludf.DUMMYFUNCTION("IFERROR(GOOGLEFINANCE(B1654,""changepct""),K1654)"),0.55)</f>
        <v>0.55000000000000004</v>
      </c>
      <c r="M1654" s="6">
        <f ca="1">IFERROR(__xludf.DUMMYFUNCTION("IFERROR(GOOGLEFINANCE(B1654,""change""),0)"),6.1)</f>
        <v>6.1</v>
      </c>
      <c r="N1654" s="6">
        <v>2</v>
      </c>
      <c r="O1654" s="7">
        <v>45536</v>
      </c>
      <c r="P1654" s="6">
        <v>87</v>
      </c>
      <c r="Q1654" s="6">
        <v>10097.450000000001</v>
      </c>
      <c r="R1654" s="7">
        <v>45536</v>
      </c>
      <c r="S1654" s="6">
        <v>1169.53</v>
      </c>
      <c r="T1654" s="6">
        <v>194.8</v>
      </c>
      <c r="U1654" s="7">
        <v>45536</v>
      </c>
      <c r="V1654" s="6">
        <v>51.47</v>
      </c>
      <c r="W1654" s="6">
        <f ca="1">IFERROR(__xludf.DUMMYFUNCTION("IFERROR(GOOGLEFINANCE(B1654,""pe""),V1654)"),40.96)</f>
        <v>40.96</v>
      </c>
      <c r="X1654" s="9"/>
      <c r="Y1654" s="6">
        <v>13.36</v>
      </c>
      <c r="Z1654" s="6">
        <v>2</v>
      </c>
      <c r="AA1654" s="8">
        <v>45352</v>
      </c>
      <c r="AB1654" s="4">
        <v>0.01</v>
      </c>
      <c r="AC1654" s="6">
        <v>32.85</v>
      </c>
      <c r="AD1654" s="6">
        <v>43.78</v>
      </c>
      <c r="AE1654" s="1">
        <v>0</v>
      </c>
      <c r="AF1654" s="1">
        <f ca="1">IFERROR(__xludf.DUMMYFUNCTION("IFERROR(GOOGLEFINANCE(TRIM(F1654)&amp;"":"" &amp; TRIM(B1654),""high52""),AE1654)"),1288)</f>
        <v>1288</v>
      </c>
      <c r="AG1654" s="1">
        <v>0</v>
      </c>
      <c r="AH1654" s="1">
        <f ca="1">IFERROR(__xludf.DUMMYFUNCTION("IFERROR(GOOGLEFINANCE(TRIM(F1654)&amp;"":"" &amp; TRIM(B1654),""low52""),AE1654)"),885.1)</f>
        <v>885.1</v>
      </c>
      <c r="AI1654" s="1">
        <f ca="1">IFERROR(__xludf.DUMMYFUNCTION("IFERROR(GOOGLEFINANCE(B1654,""eps""),0)"),27)</f>
        <v>27</v>
      </c>
      <c r="AJ1654" s="1"/>
      <c r="AK1654" s="1" t="s">
        <v>4981</v>
      </c>
      <c r="AL1654" s="9">
        <f t="shared" si="210"/>
        <v>1</v>
      </c>
    </row>
    <row r="1655" spans="1:38" ht="15" x14ac:dyDescent="0.25">
      <c r="A1655" s="1" t="s">
        <v>4982</v>
      </c>
      <c r="B1655" s="1" t="s">
        <v>4983</v>
      </c>
      <c r="C1655" s="1" t="s">
        <v>502</v>
      </c>
      <c r="D1655" s="1" t="s">
        <v>502</v>
      </c>
      <c r="E1655" s="6">
        <v>5.43</v>
      </c>
      <c r="F1655" s="1" t="s">
        <v>53</v>
      </c>
      <c r="G1655" s="6">
        <f ca="1">IFERROR(__xludf.DUMMYFUNCTION("iferror(GOOGLEFINANCE(TRIM(F1655)&amp;"":"" &amp; TRIM(B1655), ""price""),0
)"),0)</f>
        <v>0</v>
      </c>
      <c r="H1655" s="6">
        <v>8.23</v>
      </c>
      <c r="I1655" s="6">
        <f t="shared" ca="1" si="0"/>
        <v>8.23</v>
      </c>
      <c r="J1655" s="6">
        <f ca="1">IFERROR(__xludf.DUMMYFUNCTION("IFERROR(GOOGLEFINANCE(B1655, ""volume""), 0)"),0)</f>
        <v>0</v>
      </c>
      <c r="K1655" s="6">
        <v>-1.91</v>
      </c>
      <c r="L1655" s="6">
        <f ca="1">IFERROR(__xludf.DUMMYFUNCTION("IFERROR(GOOGLEFINANCE(B1655,""changepct""),K1655)"),-1.91)</f>
        <v>-1.91</v>
      </c>
      <c r="M1655" s="6">
        <f ca="1">IFERROR(__xludf.DUMMYFUNCTION("IFERROR(GOOGLEFINANCE(B1655,""change""),0)"),0)</f>
        <v>0</v>
      </c>
      <c r="N1655" s="6">
        <v>1</v>
      </c>
      <c r="O1655" s="7">
        <v>45536</v>
      </c>
      <c r="P1655" s="6">
        <v>5.33</v>
      </c>
      <c r="Q1655" s="6">
        <v>10.76</v>
      </c>
      <c r="R1655" s="7">
        <v>45536</v>
      </c>
      <c r="S1655" s="6">
        <v>0.33</v>
      </c>
      <c r="T1655" s="6">
        <v>-0.09</v>
      </c>
      <c r="U1655" s="7">
        <v>45536</v>
      </c>
      <c r="V1655" s="6">
        <v>0</v>
      </c>
      <c r="W1655" s="6">
        <f ca="1">IFERROR(__xludf.DUMMYFUNCTION("IFERROR(GOOGLEFINANCE(B1655,""pe""),V1655)"),0)</f>
        <v>0</v>
      </c>
      <c r="X1655" s="6">
        <v>0</v>
      </c>
      <c r="Y1655" s="6">
        <v>-0.81</v>
      </c>
      <c r="Z1655" s="6">
        <v>1</v>
      </c>
      <c r="AA1655" s="8">
        <v>45352</v>
      </c>
      <c r="AB1655" s="4">
        <v>-0.46</v>
      </c>
      <c r="AC1655" s="6">
        <v>0</v>
      </c>
      <c r="AD1655" s="6">
        <v>-32.74</v>
      </c>
      <c r="AE1655" s="1">
        <v>0</v>
      </c>
      <c r="AF1655" s="1">
        <f ca="1">IFERROR(__xludf.DUMMYFUNCTION("IFERROR(GOOGLEFINANCE(TRIM(F1655)&amp;"":"" &amp; TRIM(B1655),""high52""),AE1655)"),0)</f>
        <v>0</v>
      </c>
      <c r="AG1655" s="1">
        <v>0</v>
      </c>
      <c r="AH1655" s="1">
        <f ca="1">IFERROR(__xludf.DUMMYFUNCTION("IFERROR(GOOGLEFINANCE(TRIM(F1655)&amp;"":"" &amp; TRIM(B1655),""low52""),AE1655)"),0)</f>
        <v>0</v>
      </c>
      <c r="AI1655" s="1">
        <f ca="1">IFERROR(__xludf.DUMMYFUNCTION("IFERROR(GOOGLEFINANCE(B1655,""eps""),0)"),0)</f>
        <v>0</v>
      </c>
      <c r="AJ1655" s="1"/>
      <c r="AK1655" s="1" t="s">
        <v>4984</v>
      </c>
      <c r="AL1655" s="9">
        <f t="shared" si="210"/>
        <v>1</v>
      </c>
    </row>
    <row r="1656" spans="1:38" ht="15" x14ac:dyDescent="0.25">
      <c r="A1656" s="1" t="s">
        <v>4985</v>
      </c>
      <c r="B1656" s="1" t="s">
        <v>4986</v>
      </c>
      <c r="C1656" s="1" t="s">
        <v>268</v>
      </c>
      <c r="D1656" s="1" t="s">
        <v>268</v>
      </c>
      <c r="E1656" s="6">
        <v>12417.49</v>
      </c>
      <c r="F1656" s="1" t="s">
        <v>40</v>
      </c>
      <c r="G1656" s="6">
        <f ca="1">IFERROR(__xludf.DUMMYFUNCTION("iferror(GOOGLEFINANCE(TRIM(F1656)&amp;"":"" &amp; TRIM(B1656), ""price""),0
)"),0)</f>
        <v>0</v>
      </c>
      <c r="H1656" s="6">
        <v>10266.700000000001</v>
      </c>
      <c r="I1656" s="6">
        <f t="shared" ca="1" si="0"/>
        <v>10266.700000000001</v>
      </c>
      <c r="J1656" s="6">
        <f ca="1">IFERROR(__xludf.DUMMYFUNCTION("IFERROR(GOOGLEFINANCE(B1656, ""volume""), 0)"),0)</f>
        <v>0</v>
      </c>
      <c r="K1656" s="6">
        <v>-0.54</v>
      </c>
      <c r="L1656" s="6">
        <f ca="1">IFERROR(__xludf.DUMMYFUNCTION("IFERROR(GOOGLEFINANCE(B1656,""changepct""),K1656)"),-0.54)</f>
        <v>-0.54</v>
      </c>
      <c r="M1656" s="6">
        <f ca="1">IFERROR(__xludf.DUMMYFUNCTION("IFERROR(GOOGLEFINANCE(B1656,""change""),0)"),0)</f>
        <v>0</v>
      </c>
      <c r="N1656" s="6">
        <v>2</v>
      </c>
      <c r="O1656" s="7">
        <v>45536</v>
      </c>
      <c r="P1656" s="6">
        <v>1464.42</v>
      </c>
      <c r="Q1656" s="6">
        <v>13349.97</v>
      </c>
      <c r="R1656" s="7">
        <v>45536</v>
      </c>
      <c r="S1656" s="6">
        <v>2405.29</v>
      </c>
      <c r="T1656" s="6">
        <v>157.32</v>
      </c>
      <c r="U1656" s="7">
        <v>45536</v>
      </c>
      <c r="V1656" s="6">
        <v>263.31</v>
      </c>
      <c r="W1656" s="6">
        <f ca="1">IFERROR(__xludf.DUMMYFUNCTION("IFERROR(GOOGLEFINANCE(B1656,""pe""),V1656)"),263.31)</f>
        <v>263.31</v>
      </c>
      <c r="X1656" s="9"/>
      <c r="Y1656" s="6">
        <v>4.17</v>
      </c>
      <c r="Z1656" s="6">
        <v>2</v>
      </c>
      <c r="AA1656" s="8">
        <v>45352</v>
      </c>
      <c r="AB1656" s="4">
        <v>1.1200000000000001</v>
      </c>
      <c r="AC1656" s="6">
        <v>-6.17</v>
      </c>
      <c r="AD1656" s="6">
        <v>5.41</v>
      </c>
      <c r="AE1656" s="1">
        <v>0</v>
      </c>
      <c r="AF1656" s="1">
        <f ca="1">IFERROR(__xludf.DUMMYFUNCTION("IFERROR(GOOGLEFINANCE(TRIM(F1656)&amp;"":"" &amp; TRIM(B1656),""high52""),AE1656)"),0)</f>
        <v>0</v>
      </c>
      <c r="AG1656" s="1">
        <v>0</v>
      </c>
      <c r="AH1656" s="1">
        <f ca="1">IFERROR(__xludf.DUMMYFUNCTION("IFERROR(GOOGLEFINANCE(TRIM(F1656)&amp;"":"" &amp; TRIM(B1656),""low52""),AE1656)"),0)</f>
        <v>0</v>
      </c>
      <c r="AI1656" s="1">
        <f ca="1">IFERROR(__xludf.DUMMYFUNCTION("IFERROR(GOOGLEFINANCE(B1656,""eps""),0)"),0)</f>
        <v>0</v>
      </c>
      <c r="AJ1656" s="1"/>
      <c r="AK1656" s="1" t="s">
        <v>4987</v>
      </c>
      <c r="AL1656" s="9">
        <f t="shared" si="210"/>
        <v>1</v>
      </c>
    </row>
    <row r="1657" spans="1:38" ht="15" x14ac:dyDescent="0.25">
      <c r="A1657" s="1" t="s">
        <v>4988</v>
      </c>
      <c r="B1657" s="1" t="s">
        <v>4989</v>
      </c>
      <c r="C1657" s="1" t="s">
        <v>502</v>
      </c>
      <c r="D1657" s="1" t="s">
        <v>502</v>
      </c>
      <c r="E1657" s="6">
        <v>408.01</v>
      </c>
      <c r="F1657" s="1" t="s">
        <v>53</v>
      </c>
      <c r="G1657" s="6">
        <f ca="1">IFERROR(__xludf.DUMMYFUNCTION("iferror(GOOGLEFINANCE(TRIM(F1657)&amp;"":"" &amp; TRIM(B1657), ""price""),0
)"),0)</f>
        <v>0</v>
      </c>
      <c r="H1657" s="6">
        <v>84.74</v>
      </c>
      <c r="I1657" s="6">
        <f t="shared" ca="1" si="0"/>
        <v>84.74</v>
      </c>
      <c r="J1657" s="6">
        <f ca="1">IFERROR(__xludf.DUMMYFUNCTION("IFERROR(GOOGLEFINANCE(B1657, ""volume""), 0)"),0)</f>
        <v>0</v>
      </c>
      <c r="K1657" s="6">
        <v>2</v>
      </c>
      <c r="L1657" s="6">
        <f ca="1">IFERROR(__xludf.DUMMYFUNCTION("IFERROR(GOOGLEFINANCE(B1657,""changepct""),K1657)"),2)</f>
        <v>2</v>
      </c>
      <c r="M1657" s="6">
        <f ca="1">IFERROR(__xludf.DUMMYFUNCTION("IFERROR(GOOGLEFINANCE(B1657,""change""),0)"),0)</f>
        <v>0</v>
      </c>
      <c r="N1657" s="6">
        <v>2</v>
      </c>
      <c r="O1657" s="7">
        <v>45536</v>
      </c>
      <c r="P1657" s="6">
        <v>11.11</v>
      </c>
      <c r="Q1657" s="6">
        <v>417.65</v>
      </c>
      <c r="R1657" s="7">
        <v>45536</v>
      </c>
      <c r="S1657" s="6">
        <v>40.82</v>
      </c>
      <c r="T1657" s="6">
        <v>-19.22</v>
      </c>
      <c r="U1657" s="7">
        <v>45536</v>
      </c>
      <c r="V1657" s="6">
        <v>0</v>
      </c>
      <c r="W1657" s="6">
        <f ca="1">IFERROR(__xludf.DUMMYFUNCTION("IFERROR(GOOGLEFINANCE(B1657,""pe""),V1657)"),0)</f>
        <v>0</v>
      </c>
      <c r="X1657" s="6">
        <v>0</v>
      </c>
      <c r="Y1657" s="6">
        <v>12.4</v>
      </c>
      <c r="Z1657" s="6">
        <v>2</v>
      </c>
      <c r="AA1657" s="8">
        <v>45352</v>
      </c>
      <c r="AB1657" s="4">
        <v>-2.4</v>
      </c>
      <c r="AC1657" s="6">
        <v>0</v>
      </c>
      <c r="AD1657" s="6">
        <v>375.36</v>
      </c>
      <c r="AE1657" s="1">
        <v>0</v>
      </c>
      <c r="AF1657" s="1">
        <f ca="1">IFERROR(__xludf.DUMMYFUNCTION("IFERROR(GOOGLEFINANCE(TRIM(F1657)&amp;"":"" &amp; TRIM(B1657),""high52""),AE1657)"),0)</f>
        <v>0</v>
      </c>
      <c r="AG1657" s="1">
        <v>0</v>
      </c>
      <c r="AH1657" s="1">
        <f ca="1">IFERROR(__xludf.DUMMYFUNCTION("IFERROR(GOOGLEFINANCE(TRIM(F1657)&amp;"":"" &amp; TRIM(B1657),""low52""),AE1657)"),0)</f>
        <v>0</v>
      </c>
      <c r="AI1657" s="1">
        <f ca="1">IFERROR(__xludf.DUMMYFUNCTION("IFERROR(GOOGLEFINANCE(B1657,""eps""),0)"),0)</f>
        <v>0</v>
      </c>
      <c r="AJ1657" s="1"/>
      <c r="AK1657" s="1" t="s">
        <v>4990</v>
      </c>
      <c r="AL1657" s="9">
        <f t="shared" si="210"/>
        <v>1</v>
      </c>
    </row>
    <row r="1658" spans="1:38" ht="15" x14ac:dyDescent="0.25">
      <c r="A1658" s="1" t="s">
        <v>4991</v>
      </c>
      <c r="B1658" s="1" t="s">
        <v>4992</v>
      </c>
      <c r="C1658" s="1" t="s">
        <v>125</v>
      </c>
      <c r="D1658" s="1" t="s">
        <v>125</v>
      </c>
      <c r="E1658" s="6">
        <v>24596.07</v>
      </c>
      <c r="F1658" s="1" t="s">
        <v>40</v>
      </c>
      <c r="G1658" s="6">
        <f ca="1">IFERROR(__xludf.DUMMYFUNCTION("iferror(GOOGLEFINANCE(TRIM(F1658)&amp;"":"" &amp; TRIM(B1658), ""price""),0
)"),104.8)</f>
        <v>104.8</v>
      </c>
      <c r="H1658" s="6">
        <v>190.88</v>
      </c>
      <c r="I1658" s="6">
        <f t="shared" ca="1" si="0"/>
        <v>104.8</v>
      </c>
      <c r="J1658" s="6">
        <f ca="1">IFERROR(__xludf.DUMMYFUNCTION("IFERROR(GOOGLEFINANCE(B1658, ""volume""), 0)"),4914576)</f>
        <v>4914576</v>
      </c>
      <c r="K1658" s="6">
        <v>1.1299999999999999</v>
      </c>
      <c r="L1658" s="6">
        <f ca="1">IFERROR(__xludf.DUMMYFUNCTION("IFERROR(GOOGLEFINANCE(B1658,""changepct""),K1658)"),0.48)</f>
        <v>0.48</v>
      </c>
      <c r="M1658" s="6">
        <f ca="1">IFERROR(__xludf.DUMMYFUNCTION("IFERROR(GOOGLEFINANCE(B1658,""change""),0)"),0.5)</f>
        <v>0.5</v>
      </c>
      <c r="N1658" s="6">
        <v>2</v>
      </c>
      <c r="O1658" s="7">
        <v>45536</v>
      </c>
      <c r="P1658" s="6">
        <v>3531.81</v>
      </c>
      <c r="Q1658" s="6">
        <v>27596</v>
      </c>
      <c r="R1658" s="7">
        <v>45536</v>
      </c>
      <c r="S1658" s="6">
        <v>2402.23</v>
      </c>
      <c r="T1658" s="6">
        <v>178.98</v>
      </c>
      <c r="U1658" s="7">
        <v>45536</v>
      </c>
      <c r="V1658" s="6">
        <v>127.9</v>
      </c>
      <c r="W1658" s="6">
        <f ca="1">IFERROR(__xludf.DUMMYFUNCTION("IFERROR(GOOGLEFINANCE(B1658,""pe""),V1658)"),31.73)</f>
        <v>31.73</v>
      </c>
      <c r="X1658" s="6">
        <v>13.98</v>
      </c>
      <c r="Y1658" s="6">
        <v>9.2200000000000006</v>
      </c>
      <c r="Z1658" s="6">
        <v>2</v>
      </c>
      <c r="AA1658" s="8">
        <v>45352</v>
      </c>
      <c r="AB1658" s="4">
        <v>1.91</v>
      </c>
      <c r="AC1658" s="6">
        <v>-2.98</v>
      </c>
      <c r="AD1658" s="6">
        <v>4.4400000000000004</v>
      </c>
      <c r="AE1658" s="1">
        <v>0</v>
      </c>
      <c r="AF1658" s="1">
        <f ca="1">IFERROR(__xludf.DUMMYFUNCTION("IFERROR(GOOGLEFINANCE(TRIM(F1658)&amp;"":"" &amp; TRIM(B1658),""high52""),AE1658)"),198.14)</f>
        <v>198.14</v>
      </c>
      <c r="AG1658" s="1">
        <v>0</v>
      </c>
      <c r="AH1658" s="1">
        <f ca="1">IFERROR(__xludf.DUMMYFUNCTION("IFERROR(GOOGLEFINANCE(TRIM(F1658)&amp;"":"" &amp; TRIM(B1658),""low52""),AE1658)"),101.26)</f>
        <v>101.26</v>
      </c>
      <c r="AI1658" s="1">
        <f ca="1">IFERROR(__xludf.DUMMYFUNCTION("IFERROR(GOOGLEFINANCE(B1658,""eps""),0)"),3.3)</f>
        <v>3.3</v>
      </c>
      <c r="AJ1658" s="1"/>
      <c r="AK1658" s="1" t="s">
        <v>4993</v>
      </c>
      <c r="AL1658" s="9">
        <f t="shared" si="210"/>
        <v>1</v>
      </c>
    </row>
    <row r="1659" spans="1:38" ht="15" x14ac:dyDescent="0.25">
      <c r="A1659" s="1" t="s">
        <v>4994</v>
      </c>
      <c r="B1659" s="1" t="s">
        <v>4995</v>
      </c>
      <c r="C1659" s="1" t="s">
        <v>697</v>
      </c>
      <c r="D1659" s="1" t="s">
        <v>697</v>
      </c>
      <c r="E1659" s="6">
        <v>1983.31</v>
      </c>
      <c r="F1659" s="1" t="s">
        <v>40</v>
      </c>
      <c r="G1659" s="6">
        <f ca="1">IFERROR(__xludf.DUMMYFUNCTION("iferror(GOOGLEFINANCE(TRIM(F1659)&amp;"":"" &amp; TRIM(B1659), ""price""),0
)"),608)</f>
        <v>608</v>
      </c>
      <c r="H1659" s="6">
        <v>679</v>
      </c>
      <c r="I1659" s="6">
        <f t="shared" ca="1" si="0"/>
        <v>608</v>
      </c>
      <c r="J1659" s="6">
        <f ca="1">IFERROR(__xludf.DUMMYFUNCTION("IFERROR(GOOGLEFINANCE(B1659, ""volume""), 0)"),29687)</f>
        <v>29687</v>
      </c>
      <c r="K1659" s="6">
        <v>-0.34</v>
      </c>
      <c r="L1659" s="6">
        <f ca="1">IFERROR(__xludf.DUMMYFUNCTION("IFERROR(GOOGLEFINANCE(B1659,""changepct""),K1659)"),-0.08)</f>
        <v>-0.08</v>
      </c>
      <c r="M1659" s="6">
        <f ca="1">IFERROR(__xludf.DUMMYFUNCTION("IFERROR(GOOGLEFINANCE(B1659,""change""),0)"),-0.5)</f>
        <v>-0.5</v>
      </c>
      <c r="N1659" s="6">
        <v>2</v>
      </c>
      <c r="O1659" s="7">
        <v>45536</v>
      </c>
      <c r="P1659" s="6">
        <v>61.18</v>
      </c>
      <c r="Q1659" s="6">
        <v>1972.92</v>
      </c>
      <c r="R1659" s="7">
        <v>45536</v>
      </c>
      <c r="S1659" s="6">
        <v>1914.22</v>
      </c>
      <c r="T1659" s="6">
        <v>130.22999999999999</v>
      </c>
      <c r="U1659" s="7">
        <v>45536</v>
      </c>
      <c r="V1659" s="6">
        <v>15.19</v>
      </c>
      <c r="W1659" s="6">
        <f ca="1">IFERROR(__xludf.DUMMYFUNCTION("IFERROR(GOOGLEFINANCE(B1659,""pe""),V1659)"),12.5)</f>
        <v>12.5</v>
      </c>
      <c r="X1659" s="6">
        <v>-4.24</v>
      </c>
      <c r="Y1659" s="6">
        <v>1.77</v>
      </c>
      <c r="Z1659" s="6">
        <v>2</v>
      </c>
      <c r="AA1659" s="8">
        <v>45352</v>
      </c>
      <c r="AB1659" s="4">
        <v>0.08</v>
      </c>
      <c r="AC1659" s="6">
        <v>10.6</v>
      </c>
      <c r="AD1659" s="6">
        <v>13.16</v>
      </c>
      <c r="AE1659" s="1">
        <v>0</v>
      </c>
      <c r="AF1659" s="1">
        <f ca="1">IFERROR(__xludf.DUMMYFUNCTION("IFERROR(GOOGLEFINANCE(TRIM(F1659)&amp;"":"" &amp; TRIM(B1659),""high52""),AE1659)"),1098)</f>
        <v>1098</v>
      </c>
      <c r="AG1659" s="1">
        <v>0</v>
      </c>
      <c r="AH1659" s="1">
        <f ca="1">IFERROR(__xludf.DUMMYFUNCTION("IFERROR(GOOGLEFINANCE(TRIM(F1659)&amp;"":"" &amp; TRIM(B1659),""low52""),AE1659)"),542.55)</f>
        <v>542.54999999999995</v>
      </c>
      <c r="AI1659" s="1">
        <f ca="1">IFERROR(__xludf.DUMMYFUNCTION("IFERROR(GOOGLEFINANCE(B1659,""eps""),0)"),48.65)</f>
        <v>48.65</v>
      </c>
      <c r="AJ1659" s="1"/>
      <c r="AK1659" s="1" t="s">
        <v>4996</v>
      </c>
      <c r="AL1659" s="9">
        <f t="shared" si="210"/>
        <v>1</v>
      </c>
    </row>
    <row r="1660" spans="1:38" ht="15" x14ac:dyDescent="0.25">
      <c r="A1660" s="1" t="s">
        <v>4997</v>
      </c>
      <c r="B1660" s="1" t="s">
        <v>4998</v>
      </c>
      <c r="C1660" s="1" t="s">
        <v>1682</v>
      </c>
      <c r="D1660" s="1" t="s">
        <v>1682</v>
      </c>
      <c r="E1660" s="6">
        <v>37.83</v>
      </c>
      <c r="F1660" s="1" t="s">
        <v>40</v>
      </c>
      <c r="G1660" s="6">
        <f ca="1">IFERROR(__xludf.DUMMYFUNCTION("iferror(GOOGLEFINANCE(TRIM(F1660)&amp;"":"" &amp; TRIM(B1660), ""price""),0
)"),0)</f>
        <v>0</v>
      </c>
      <c r="H1660" s="6">
        <v>29.15</v>
      </c>
      <c r="I1660" s="6">
        <f t="shared" ca="1" si="0"/>
        <v>29.15</v>
      </c>
      <c r="J1660" s="6">
        <f ca="1">IFERROR(__xludf.DUMMYFUNCTION("IFERROR(GOOGLEFINANCE(B1660, ""volume""), 0)"),0)</f>
        <v>0</v>
      </c>
      <c r="K1660" s="6">
        <v>4.8600000000000003</v>
      </c>
      <c r="L1660" s="6">
        <f ca="1">IFERROR(__xludf.DUMMYFUNCTION("IFERROR(GOOGLEFINANCE(B1660,""changepct""),K1660)"),4.86)</f>
        <v>4.8600000000000003</v>
      </c>
      <c r="M1660" s="6">
        <f ca="1">IFERROR(__xludf.DUMMYFUNCTION("IFERROR(GOOGLEFINANCE(B1660,""change""),0)"),0)</f>
        <v>0</v>
      </c>
      <c r="N1660" s="6">
        <v>1</v>
      </c>
      <c r="O1660" s="7">
        <v>45536</v>
      </c>
      <c r="P1660" s="6">
        <v>9.64</v>
      </c>
      <c r="Q1660" s="6">
        <v>47.47</v>
      </c>
      <c r="R1660" s="7">
        <v>45352</v>
      </c>
      <c r="S1660" s="6">
        <v>30.37</v>
      </c>
      <c r="T1660" s="6">
        <v>2.57</v>
      </c>
      <c r="U1660" s="7">
        <v>45352</v>
      </c>
      <c r="V1660" s="6">
        <v>14.73</v>
      </c>
      <c r="W1660" s="6">
        <f ca="1">IFERROR(__xludf.DUMMYFUNCTION("IFERROR(GOOGLEFINANCE(B1660,""pe""),V1660)"),14.73)</f>
        <v>14.73</v>
      </c>
      <c r="X1660" s="9"/>
      <c r="Y1660" s="6">
        <v>1.1200000000000001</v>
      </c>
      <c r="Z1660" s="6">
        <v>1</v>
      </c>
      <c r="AA1660" s="8">
        <v>45352</v>
      </c>
      <c r="AB1660" s="4">
        <v>0.21</v>
      </c>
      <c r="AC1660" s="6">
        <v>10.97</v>
      </c>
      <c r="AD1660" s="6">
        <v>16.63</v>
      </c>
      <c r="AE1660" s="1">
        <v>0</v>
      </c>
      <c r="AF1660" s="1">
        <f ca="1">IFERROR(__xludf.DUMMYFUNCTION("IFERROR(GOOGLEFINANCE(TRIM(F1660)&amp;"":"" &amp; TRIM(B1660),""high52""),AE1660)"),0)</f>
        <v>0</v>
      </c>
      <c r="AG1660" s="1">
        <v>0</v>
      </c>
      <c r="AH1660" s="1">
        <f ca="1">IFERROR(__xludf.DUMMYFUNCTION("IFERROR(GOOGLEFINANCE(TRIM(F1660)&amp;"":"" &amp; TRIM(B1660),""low52""),AE1660)"),0)</f>
        <v>0</v>
      </c>
      <c r="AI1660" s="1">
        <f ca="1">IFERROR(__xludf.DUMMYFUNCTION("IFERROR(GOOGLEFINANCE(B1660,""eps""),0)"),0)</f>
        <v>0</v>
      </c>
      <c r="AJ1660" s="1"/>
      <c r="AK1660" s="9"/>
      <c r="AL1660" s="9">
        <f t="shared" si="210"/>
        <v>1</v>
      </c>
    </row>
    <row r="1661" spans="1:38" ht="15" x14ac:dyDescent="0.25">
      <c r="A1661" s="1" t="s">
        <v>4999</v>
      </c>
      <c r="B1661" s="1" t="s">
        <v>5000</v>
      </c>
      <c r="C1661" s="1" t="s">
        <v>57</v>
      </c>
      <c r="D1661" s="1" t="s">
        <v>57</v>
      </c>
      <c r="E1661" s="6">
        <v>438.56</v>
      </c>
      <c r="F1661" s="1" t="s">
        <v>40</v>
      </c>
      <c r="G1661" s="6">
        <f ca="1">IFERROR(__xludf.DUMMYFUNCTION("iferror(GOOGLEFINANCE(TRIM(F1661)&amp;"":"" &amp; TRIM(B1661), ""price""),0
)"),83.94)</f>
        <v>83.94</v>
      </c>
      <c r="H1661" s="6">
        <v>111</v>
      </c>
      <c r="I1661" s="6">
        <f t="shared" ca="1" si="0"/>
        <v>83.94</v>
      </c>
      <c r="J1661" s="6">
        <f ca="1">IFERROR(__xludf.DUMMYFUNCTION("IFERROR(GOOGLEFINANCE(B1661, ""volume""), 0)"),12951)</f>
        <v>12951</v>
      </c>
      <c r="K1661" s="6">
        <v>0.26</v>
      </c>
      <c r="L1661" s="6">
        <f ca="1">IFERROR(__xludf.DUMMYFUNCTION("IFERROR(GOOGLEFINANCE(B1661,""changepct""),K1661)"),-1.35)</f>
        <v>-1.35</v>
      </c>
      <c r="M1661" s="6">
        <f ca="1">IFERROR(__xludf.DUMMYFUNCTION("IFERROR(GOOGLEFINANCE(B1661,""change""),0)"),-1.15)</f>
        <v>-1.1499999999999999</v>
      </c>
      <c r="N1661" s="6">
        <v>2</v>
      </c>
      <c r="O1661" s="7">
        <v>45536</v>
      </c>
      <c r="P1661" s="6">
        <v>87.88</v>
      </c>
      <c r="Q1661" s="6">
        <v>490.65</v>
      </c>
      <c r="R1661" s="7">
        <v>45536</v>
      </c>
      <c r="S1661" s="6">
        <v>408.52</v>
      </c>
      <c r="T1661" s="6">
        <v>13.36</v>
      </c>
      <c r="U1661" s="7">
        <v>45536</v>
      </c>
      <c r="V1661" s="6">
        <v>32.369999999999997</v>
      </c>
      <c r="W1661" s="6">
        <f ca="1">IFERROR(__xludf.DUMMYFUNCTION("IFERROR(GOOGLEFINANCE(B1661,""pe""),V1661)"),8.53)</f>
        <v>8.5299999999999994</v>
      </c>
      <c r="X1661" s="6">
        <v>0.8</v>
      </c>
      <c r="Y1661" s="6">
        <v>12.34</v>
      </c>
      <c r="Z1661" s="6">
        <v>2</v>
      </c>
      <c r="AA1661" s="8">
        <v>45352</v>
      </c>
      <c r="AB1661" s="4">
        <v>2.98</v>
      </c>
      <c r="AC1661" s="6">
        <v>147.80000000000001</v>
      </c>
      <c r="AD1661" s="6">
        <v>29.42</v>
      </c>
      <c r="AE1661" s="1">
        <v>0</v>
      </c>
      <c r="AF1661" s="1">
        <f ca="1">IFERROR(__xludf.DUMMYFUNCTION("IFERROR(GOOGLEFINANCE(TRIM(F1661)&amp;"":"" &amp; TRIM(B1661),""high52""),AE1661)"),120.74)</f>
        <v>120.74</v>
      </c>
      <c r="AG1661" s="1">
        <v>0</v>
      </c>
      <c r="AH1661" s="1">
        <f ca="1">IFERROR(__xludf.DUMMYFUNCTION("IFERROR(GOOGLEFINANCE(TRIM(F1661)&amp;"":"" &amp; TRIM(B1661),""low52""),AE1661)"),66.55)</f>
        <v>66.55</v>
      </c>
      <c r="AI1661" s="1">
        <f ca="1">IFERROR(__xludf.DUMMYFUNCTION("IFERROR(GOOGLEFINANCE(B1661,""eps""),0)"),9.84)</f>
        <v>9.84</v>
      </c>
      <c r="AJ1661" s="1"/>
      <c r="AK1661" s="1" t="s">
        <v>5001</v>
      </c>
      <c r="AL1661" s="9">
        <f t="shared" si="210"/>
        <v>1</v>
      </c>
    </row>
    <row r="1662" spans="1:38" ht="15" x14ac:dyDescent="0.25">
      <c r="A1662" s="1" t="s">
        <v>5002</v>
      </c>
      <c r="B1662" s="1" t="s">
        <v>5003</v>
      </c>
      <c r="C1662" s="1" t="s">
        <v>502</v>
      </c>
      <c r="D1662" s="1" t="s">
        <v>502</v>
      </c>
      <c r="E1662" s="6">
        <v>5.68</v>
      </c>
      <c r="F1662" s="1" t="s">
        <v>53</v>
      </c>
      <c r="G1662" s="6">
        <f ca="1">IFERROR(__xludf.DUMMYFUNCTION("iferror(GOOGLEFINANCE(TRIM(F1662)&amp;"":"" &amp; TRIM(B1662), ""price""),0
)"),0)</f>
        <v>0</v>
      </c>
      <c r="H1662" s="6">
        <v>10.15</v>
      </c>
      <c r="I1662" s="6">
        <f t="shared" ca="1" si="0"/>
        <v>10.15</v>
      </c>
      <c r="J1662" s="6">
        <f ca="1">IFERROR(__xludf.DUMMYFUNCTION("IFERROR(GOOGLEFINANCE(B1662, ""volume""), 0)"),0)</f>
        <v>0</v>
      </c>
      <c r="K1662" s="6">
        <v>3.78</v>
      </c>
      <c r="L1662" s="6">
        <f ca="1">IFERROR(__xludf.DUMMYFUNCTION("IFERROR(GOOGLEFINANCE(B1662,""changepct""),K1662)"),3.78)</f>
        <v>3.78</v>
      </c>
      <c r="M1662" s="6">
        <f ca="1">IFERROR(__xludf.DUMMYFUNCTION("IFERROR(GOOGLEFINANCE(B1662,""change""),0)"),0)</f>
        <v>0</v>
      </c>
      <c r="N1662" s="6">
        <v>1</v>
      </c>
      <c r="O1662" s="7">
        <v>45536</v>
      </c>
      <c r="P1662" s="9"/>
      <c r="Q1662" s="6">
        <v>5.68</v>
      </c>
      <c r="R1662" s="7">
        <v>45536</v>
      </c>
      <c r="S1662" s="6">
        <v>0.42</v>
      </c>
      <c r="T1662" s="6">
        <v>7.0000000000000007E-2</v>
      </c>
      <c r="U1662" s="7">
        <v>45536</v>
      </c>
      <c r="V1662" s="6">
        <v>77.760000000000005</v>
      </c>
      <c r="W1662" s="6">
        <f ca="1">IFERROR(__xludf.DUMMYFUNCTION("IFERROR(GOOGLEFINANCE(B1662,""pe""),V1662)"),77.76)</f>
        <v>77.760000000000005</v>
      </c>
      <c r="X1662" s="6">
        <v>-8.8800000000000008</v>
      </c>
      <c r="Y1662" s="6">
        <v>0.96</v>
      </c>
      <c r="Z1662" s="6">
        <v>1</v>
      </c>
      <c r="AA1662" s="8">
        <v>45352</v>
      </c>
      <c r="AB1662" s="4">
        <v>0</v>
      </c>
      <c r="AC1662" s="6">
        <v>0.75</v>
      </c>
      <c r="AD1662" s="6">
        <v>0.99</v>
      </c>
      <c r="AE1662" s="1">
        <v>0</v>
      </c>
      <c r="AF1662" s="1">
        <f ca="1">IFERROR(__xludf.DUMMYFUNCTION("IFERROR(GOOGLEFINANCE(TRIM(F1662)&amp;"":"" &amp; TRIM(B1662),""high52""),AE1662)"),0)</f>
        <v>0</v>
      </c>
      <c r="AG1662" s="1">
        <v>0</v>
      </c>
      <c r="AH1662" s="1">
        <f ca="1">IFERROR(__xludf.DUMMYFUNCTION("IFERROR(GOOGLEFINANCE(TRIM(F1662)&amp;"":"" &amp; TRIM(B1662),""low52""),AE1662)"),0)</f>
        <v>0</v>
      </c>
      <c r="AI1662" s="1">
        <f ca="1">IFERROR(__xludf.DUMMYFUNCTION("IFERROR(GOOGLEFINANCE(B1662,""eps""),0)"),0)</f>
        <v>0</v>
      </c>
      <c r="AJ1662" s="1"/>
      <c r="AK1662" s="9"/>
      <c r="AL1662" s="9">
        <f t="shared" si="210"/>
        <v>1</v>
      </c>
    </row>
    <row r="1663" spans="1:38" ht="15" x14ac:dyDescent="0.25">
      <c r="A1663" s="1" t="s">
        <v>5004</v>
      </c>
      <c r="B1663" s="1" t="s">
        <v>5005</v>
      </c>
      <c r="C1663" s="1" t="s">
        <v>186</v>
      </c>
      <c r="D1663" s="1" t="s">
        <v>186</v>
      </c>
      <c r="E1663" s="6">
        <v>367.29</v>
      </c>
      <c r="F1663" s="1" t="s">
        <v>40</v>
      </c>
      <c r="G1663" s="6">
        <f ca="1">IFERROR(__xludf.DUMMYFUNCTION("iferror(GOOGLEFINANCE(TRIM(F1663)&amp;"":"" &amp; TRIM(B1663), ""price""),0
)"),1.53)</f>
        <v>1.53</v>
      </c>
      <c r="H1663" s="6">
        <v>3.41</v>
      </c>
      <c r="I1663" s="6">
        <f t="shared" ca="1" si="0"/>
        <v>1.53</v>
      </c>
      <c r="J1663" s="6">
        <f ca="1">IFERROR(__xludf.DUMMYFUNCTION("IFERROR(GOOGLEFINANCE(B1663, ""volume""), 0)"),3108055)</f>
        <v>3108055</v>
      </c>
      <c r="K1663" s="6">
        <v>-0.28999999999999998</v>
      </c>
      <c r="L1663" s="6">
        <f ca="1">IFERROR(__xludf.DUMMYFUNCTION("IFERROR(GOOGLEFINANCE(B1663,""changepct""),K1663)"),-6.71)</f>
        <v>-6.71</v>
      </c>
      <c r="M1663" s="6">
        <f ca="1">IFERROR(__xludf.DUMMYFUNCTION("IFERROR(GOOGLEFINANCE(B1663,""change""),0)"),-0.11)</f>
        <v>-0.11</v>
      </c>
      <c r="N1663" s="6">
        <v>2</v>
      </c>
      <c r="O1663" s="7">
        <v>45536</v>
      </c>
      <c r="P1663" s="6">
        <v>11.6</v>
      </c>
      <c r="Q1663" s="6">
        <v>378.88</v>
      </c>
      <c r="R1663" s="7">
        <v>45536</v>
      </c>
      <c r="S1663" s="6">
        <v>372.53</v>
      </c>
      <c r="T1663" s="6">
        <v>9.31</v>
      </c>
      <c r="U1663" s="7">
        <v>45536</v>
      </c>
      <c r="V1663" s="6">
        <v>39.229999999999997</v>
      </c>
      <c r="W1663" s="6">
        <f ca="1">IFERROR(__xludf.DUMMYFUNCTION("IFERROR(GOOGLEFINANCE(B1663,""pe""),V1663)"),62.3)</f>
        <v>62.3</v>
      </c>
      <c r="X1663" s="12"/>
      <c r="Y1663" s="6">
        <v>2.1800000000000002</v>
      </c>
      <c r="Z1663" s="6">
        <v>2</v>
      </c>
      <c r="AA1663" s="8">
        <v>45352</v>
      </c>
      <c r="AB1663" s="4">
        <v>0.06</v>
      </c>
      <c r="AC1663" s="6">
        <v>16.03</v>
      </c>
      <c r="AD1663" s="6">
        <v>17.23</v>
      </c>
      <c r="AE1663" s="1">
        <v>0</v>
      </c>
      <c r="AF1663" s="1">
        <f ca="1">IFERROR(__xludf.DUMMYFUNCTION("IFERROR(GOOGLEFINANCE(TRIM(F1663)&amp;"":"" &amp; TRIM(B1663),""high52""),AE1663)"),3.2)</f>
        <v>3.2</v>
      </c>
      <c r="AG1663" s="1">
        <v>0</v>
      </c>
      <c r="AH1663" s="1">
        <f ca="1">IFERROR(__xludf.DUMMYFUNCTION("IFERROR(GOOGLEFINANCE(TRIM(F1663)&amp;"":"" &amp; TRIM(B1663),""low52""),AE1663)"),1.16)</f>
        <v>1.1599999999999999</v>
      </c>
      <c r="AI1663" s="1">
        <f ca="1">IFERROR(__xludf.DUMMYFUNCTION("IFERROR(GOOGLEFINANCE(B1663,""eps""),0)"),0.02)</f>
        <v>0.02</v>
      </c>
      <c r="AJ1663" s="1"/>
      <c r="AK1663" s="1" t="s">
        <v>5006</v>
      </c>
      <c r="AL1663" s="9">
        <f t="shared" si="210"/>
        <v>1</v>
      </c>
    </row>
    <row r="1664" spans="1:38" ht="15" x14ac:dyDescent="0.25">
      <c r="A1664" s="1" t="s">
        <v>5007</v>
      </c>
      <c r="B1664" s="1" t="s">
        <v>5008</v>
      </c>
      <c r="C1664" s="1" t="s">
        <v>159</v>
      </c>
      <c r="D1664" s="1" t="s">
        <v>159</v>
      </c>
      <c r="E1664" s="6">
        <v>273.88</v>
      </c>
      <c r="F1664" s="1" t="s">
        <v>40</v>
      </c>
      <c r="G1664" s="6">
        <f ca="1">IFERROR(__xludf.DUMMYFUNCTION("iferror(GOOGLEFINANCE(TRIM(F1664)&amp;"":"" &amp; TRIM(B1664), ""price""),0
)"),0)</f>
        <v>0</v>
      </c>
      <c r="H1664" s="6">
        <v>328.4</v>
      </c>
      <c r="I1664" s="6">
        <f t="shared" ca="1" si="0"/>
        <v>328.4</v>
      </c>
      <c r="J1664" s="6">
        <f ca="1">IFERROR(__xludf.DUMMYFUNCTION("IFERROR(GOOGLEFINANCE(B1664, ""volume""), 0)"),0)</f>
        <v>0</v>
      </c>
      <c r="K1664" s="9"/>
      <c r="L1664" s="6" t="str">
        <f ca="1">IFERROR(__xludf.DUMMYFUNCTION("IFERROR(GOOGLEFINANCE(B1664,""changepct""),K1664)"),"")</f>
        <v/>
      </c>
      <c r="M1664" s="6">
        <f ca="1">IFERROR(__xludf.DUMMYFUNCTION("IFERROR(GOOGLEFINANCE(B1664,""change""),0)"),0)</f>
        <v>0</v>
      </c>
      <c r="N1664" s="6">
        <v>1</v>
      </c>
      <c r="O1664" s="7">
        <v>45536</v>
      </c>
      <c r="P1664" s="6">
        <v>30.64</v>
      </c>
      <c r="Q1664" s="6">
        <v>300.13</v>
      </c>
      <c r="R1664" s="7">
        <v>45352</v>
      </c>
      <c r="S1664" s="6">
        <v>205.73</v>
      </c>
      <c r="T1664" s="6">
        <v>3.92</v>
      </c>
      <c r="U1664" s="7">
        <v>45352</v>
      </c>
      <c r="V1664" s="6">
        <v>69.94</v>
      </c>
      <c r="W1664" s="6">
        <f ca="1">IFERROR(__xludf.DUMMYFUNCTION("IFERROR(GOOGLEFINANCE(B1664,""pe""),V1664)"),69.94)</f>
        <v>69.94</v>
      </c>
      <c r="X1664" s="9"/>
      <c r="Y1664" s="6">
        <v>6.64</v>
      </c>
      <c r="Z1664" s="6">
        <v>2</v>
      </c>
      <c r="AA1664" s="8">
        <v>45352</v>
      </c>
      <c r="AB1664" s="4">
        <v>0.82</v>
      </c>
      <c r="AC1664" s="6">
        <v>15.33</v>
      </c>
      <c r="AD1664" s="6">
        <v>15.83</v>
      </c>
      <c r="AE1664" s="1">
        <v>0</v>
      </c>
      <c r="AF1664" s="1">
        <f ca="1">IFERROR(__xludf.DUMMYFUNCTION("IFERROR(GOOGLEFINANCE(TRIM(F1664)&amp;"":"" &amp; TRIM(B1664),""high52""),AE1664)"),0)</f>
        <v>0</v>
      </c>
      <c r="AG1664" s="1">
        <v>0</v>
      </c>
      <c r="AH1664" s="1">
        <f ca="1">IFERROR(__xludf.DUMMYFUNCTION("IFERROR(GOOGLEFINANCE(TRIM(F1664)&amp;"":"" &amp; TRIM(B1664),""low52""),AE1664)"),0)</f>
        <v>0</v>
      </c>
      <c r="AI1664" s="1">
        <f ca="1">IFERROR(__xludf.DUMMYFUNCTION("IFERROR(GOOGLEFINANCE(B1664,""eps""),0)"),0)</f>
        <v>0</v>
      </c>
      <c r="AJ1664" s="1"/>
      <c r="AK1664" s="1" t="s">
        <v>5009</v>
      </c>
      <c r="AL1664" s="9">
        <f t="shared" si="210"/>
        <v>1</v>
      </c>
    </row>
    <row r="1665" spans="1:38" ht="15" x14ac:dyDescent="0.25">
      <c r="A1665" s="1" t="s">
        <v>5010</v>
      </c>
      <c r="B1665" s="1" t="s">
        <v>5011</v>
      </c>
      <c r="C1665" s="1" t="s">
        <v>57</v>
      </c>
      <c r="D1665" s="1" t="s">
        <v>57</v>
      </c>
      <c r="E1665" s="6">
        <v>13248.63</v>
      </c>
      <c r="F1665" s="1" t="s">
        <v>40</v>
      </c>
      <c r="G1665" s="6">
        <f ca="1">IFERROR(__xludf.DUMMYFUNCTION("iferror(GOOGLEFINANCE(TRIM(F1665)&amp;"":"" &amp; TRIM(B1665), ""price""),0
)"),831)</f>
        <v>831</v>
      </c>
      <c r="H1665" s="6">
        <v>988.95</v>
      </c>
      <c r="I1665" s="6">
        <f t="shared" ca="1" si="0"/>
        <v>831</v>
      </c>
      <c r="J1665" s="6">
        <f ca="1">IFERROR(__xludf.DUMMYFUNCTION("IFERROR(GOOGLEFINANCE(B1665, ""volume""), 0)"),1184840)</f>
        <v>1184840</v>
      </c>
      <c r="K1665" s="6">
        <v>3.45</v>
      </c>
      <c r="L1665" s="6">
        <f ca="1">IFERROR(__xludf.DUMMYFUNCTION("IFERROR(GOOGLEFINANCE(B1665,""changepct""),K1665)"),-6.1)</f>
        <v>-6.1</v>
      </c>
      <c r="M1665" s="6">
        <f ca="1">IFERROR(__xludf.DUMMYFUNCTION("IFERROR(GOOGLEFINANCE(B1665,""change""),0)"),-54)</f>
        <v>-54</v>
      </c>
      <c r="N1665" s="6">
        <v>2</v>
      </c>
      <c r="O1665" s="7">
        <v>45536</v>
      </c>
      <c r="P1665" s="9"/>
      <c r="Q1665" s="6">
        <v>13046.89</v>
      </c>
      <c r="R1665" s="7">
        <v>45536</v>
      </c>
      <c r="S1665" s="6">
        <v>2412.48</v>
      </c>
      <c r="T1665" s="6">
        <v>282.11</v>
      </c>
      <c r="U1665" s="7">
        <v>45536</v>
      </c>
      <c r="V1665" s="6">
        <v>46.56</v>
      </c>
      <c r="W1665" s="6">
        <f ca="1">IFERROR(__xludf.DUMMYFUNCTION("IFERROR(GOOGLEFINANCE(B1665,""pe""),V1665)"),29.07)</f>
        <v>29.07</v>
      </c>
      <c r="X1665" s="6">
        <v>2.38</v>
      </c>
      <c r="Y1665" s="6">
        <v>5.16</v>
      </c>
      <c r="Z1665" s="6">
        <v>2</v>
      </c>
      <c r="AA1665" s="13">
        <v>45352</v>
      </c>
      <c r="AB1665" s="4">
        <v>0</v>
      </c>
      <c r="AC1665" s="6">
        <v>15.21</v>
      </c>
      <c r="AD1665" s="6">
        <v>20.76</v>
      </c>
      <c r="AE1665" s="1">
        <v>0</v>
      </c>
      <c r="AF1665" s="1">
        <f ca="1">IFERROR(__xludf.DUMMYFUNCTION("IFERROR(GOOGLEFINANCE(TRIM(F1665)&amp;"":"" &amp; TRIM(B1665),""high52""),AE1665)"),1255)</f>
        <v>1255</v>
      </c>
      <c r="AG1665" s="1">
        <v>0</v>
      </c>
      <c r="AH1665" s="1">
        <f ca="1">IFERROR(__xludf.DUMMYFUNCTION("IFERROR(GOOGLEFINANCE(TRIM(F1665)&amp;"":"" &amp; TRIM(B1665),""low52""),AE1665)"),577.4)</f>
        <v>577.4</v>
      </c>
      <c r="AI1665" s="1">
        <f ca="1">IFERROR(__xludf.DUMMYFUNCTION("IFERROR(GOOGLEFINANCE(B1665,""eps""),0)"),28.59)</f>
        <v>28.59</v>
      </c>
      <c r="AJ1665" s="1"/>
      <c r="AK1665" s="1" t="s">
        <v>5012</v>
      </c>
      <c r="AL1665" s="9">
        <f t="shared" si="210"/>
        <v>1</v>
      </c>
    </row>
    <row r="1666" spans="1:38" ht="15" x14ac:dyDescent="0.25">
      <c r="A1666" s="1" t="s">
        <v>5013</v>
      </c>
      <c r="B1666" s="1" t="s">
        <v>5014</v>
      </c>
      <c r="C1666" s="1" t="s">
        <v>57</v>
      </c>
      <c r="D1666" s="1" t="s">
        <v>57</v>
      </c>
      <c r="E1666" s="6">
        <v>311.89</v>
      </c>
      <c r="F1666" s="1" t="s">
        <v>40</v>
      </c>
      <c r="G1666" s="6">
        <f ca="1">IFERROR(__xludf.DUMMYFUNCTION("iferror(GOOGLEFINANCE(TRIM(F1666)&amp;"":"" &amp; TRIM(B1666), ""price""),0
)"),112.97)</f>
        <v>112.97</v>
      </c>
      <c r="H1666" s="6">
        <v>132.09</v>
      </c>
      <c r="I1666" s="6">
        <f t="shared" ca="1" si="0"/>
        <v>112.97</v>
      </c>
      <c r="J1666" s="6">
        <f ca="1">IFERROR(__xludf.DUMMYFUNCTION("IFERROR(GOOGLEFINANCE(B1666, ""volume""), 0)"),19774)</f>
        <v>19774</v>
      </c>
      <c r="K1666" s="6">
        <v>-0.16</v>
      </c>
      <c r="L1666" s="6">
        <f ca="1">IFERROR(__xludf.DUMMYFUNCTION("IFERROR(GOOGLEFINANCE(B1666,""changepct""),K1666)"),-1.6)</f>
        <v>-1.6</v>
      </c>
      <c r="M1666" s="6">
        <f ca="1">IFERROR(__xludf.DUMMYFUNCTION("IFERROR(GOOGLEFINANCE(B1666,""change""),0)"),-1.84)</f>
        <v>-1.84</v>
      </c>
      <c r="N1666" s="6">
        <v>2</v>
      </c>
      <c r="O1666" s="7">
        <v>45536</v>
      </c>
      <c r="P1666" s="6">
        <v>0.19</v>
      </c>
      <c r="Q1666" s="6">
        <v>312.08999999999997</v>
      </c>
      <c r="R1666" s="7">
        <v>45536</v>
      </c>
      <c r="S1666" s="6">
        <v>139.49</v>
      </c>
      <c r="T1666" s="6">
        <v>17.82</v>
      </c>
      <c r="U1666" s="7">
        <v>45536</v>
      </c>
      <c r="V1666" s="6">
        <v>17.5</v>
      </c>
      <c r="W1666" s="6">
        <f ca="1">IFERROR(__xludf.DUMMYFUNCTION("IFERROR(GOOGLEFINANCE(B1666,""pe""),V1666)"),28.58)</f>
        <v>28.58</v>
      </c>
      <c r="X1666" s="6">
        <v>1.42</v>
      </c>
      <c r="Y1666" s="6">
        <v>2.2200000000000002</v>
      </c>
      <c r="Z1666" s="6">
        <v>2</v>
      </c>
      <c r="AA1666" s="8">
        <v>45352</v>
      </c>
      <c r="AB1666" s="4">
        <v>0</v>
      </c>
      <c r="AC1666" s="6">
        <v>13.18</v>
      </c>
      <c r="AD1666" s="6">
        <v>16.84</v>
      </c>
      <c r="AE1666" s="1">
        <v>0</v>
      </c>
      <c r="AF1666" s="1">
        <f ca="1">IFERROR(__xludf.DUMMYFUNCTION("IFERROR(GOOGLEFINANCE(TRIM(F1666)&amp;"":"" &amp; TRIM(B1666),""high52""),AE1666)"),149.9)</f>
        <v>149.9</v>
      </c>
      <c r="AG1666" s="1">
        <v>0</v>
      </c>
      <c r="AH1666" s="1">
        <f ca="1">IFERROR(__xludf.DUMMYFUNCTION("IFERROR(GOOGLEFINANCE(TRIM(F1666)&amp;"":"" &amp; TRIM(B1666),""low52""),AE1666)"),79.5)</f>
        <v>79.5</v>
      </c>
      <c r="AI1666" s="1">
        <f ca="1">IFERROR(__xludf.DUMMYFUNCTION("IFERROR(GOOGLEFINANCE(B1666,""eps""),0)"),3.95)</f>
        <v>3.95</v>
      </c>
      <c r="AJ1666" s="1"/>
      <c r="AK1666" s="1" t="s">
        <v>5015</v>
      </c>
      <c r="AL1666" s="9">
        <f t="shared" si="210"/>
        <v>1</v>
      </c>
    </row>
    <row r="1667" spans="1:38" ht="15" x14ac:dyDescent="0.25">
      <c r="A1667" s="1" t="s">
        <v>5016</v>
      </c>
      <c r="B1667" s="1" t="s">
        <v>5017</v>
      </c>
      <c r="C1667" s="1" t="s">
        <v>86</v>
      </c>
      <c r="D1667" s="1" t="s">
        <v>86</v>
      </c>
      <c r="E1667" s="6">
        <v>3027.56</v>
      </c>
      <c r="F1667" s="1" t="s">
        <v>40</v>
      </c>
      <c r="G1667" s="6">
        <f ca="1">IFERROR(__xludf.DUMMYFUNCTION("iferror(GOOGLEFINANCE(TRIM(F1667)&amp;"":"" &amp; TRIM(B1667), ""price""),0
)"),2105)</f>
        <v>2105</v>
      </c>
      <c r="H1667" s="6">
        <v>1827</v>
      </c>
      <c r="I1667" s="6">
        <f t="shared" ca="1" si="0"/>
        <v>2105</v>
      </c>
      <c r="J1667" s="6">
        <f ca="1">IFERROR(__xludf.DUMMYFUNCTION("IFERROR(GOOGLEFINANCE(B1667, ""volume""), 0)"),154961)</f>
        <v>154961</v>
      </c>
      <c r="K1667" s="6">
        <v>0.46</v>
      </c>
      <c r="L1667" s="6">
        <f ca="1">IFERROR(__xludf.DUMMYFUNCTION("IFERROR(GOOGLEFINANCE(B1667,""changepct""),K1667)"),2.03)</f>
        <v>2.0299999999999998</v>
      </c>
      <c r="M1667" s="6">
        <f ca="1">IFERROR(__xludf.DUMMYFUNCTION("IFERROR(GOOGLEFINANCE(B1667,""change""),0)"),41.9)</f>
        <v>41.9</v>
      </c>
      <c r="N1667" s="6">
        <v>1</v>
      </c>
      <c r="O1667" s="7">
        <v>45536</v>
      </c>
      <c r="P1667" s="6">
        <v>17.23</v>
      </c>
      <c r="Q1667" s="6">
        <v>2659.06</v>
      </c>
      <c r="R1667" s="14"/>
      <c r="S1667" s="9"/>
      <c r="T1667" s="9"/>
      <c r="U1667" s="7">
        <v>45352</v>
      </c>
      <c r="V1667" s="6">
        <v>35.1</v>
      </c>
      <c r="W1667" s="6">
        <f ca="1">IFERROR(__xludf.DUMMYFUNCTION("IFERROR(GOOGLEFINANCE(B1667,""pe""),V1667)"),27.95)</f>
        <v>27.95</v>
      </c>
      <c r="X1667" s="9"/>
      <c r="Y1667" s="6">
        <v>4.4800000000000004</v>
      </c>
      <c r="Z1667" s="6">
        <v>1</v>
      </c>
      <c r="AA1667" s="8">
        <v>45352</v>
      </c>
      <c r="AB1667" s="4">
        <v>0.02</v>
      </c>
      <c r="AC1667" s="6">
        <v>20.440000000000001</v>
      </c>
      <c r="AD1667" s="6">
        <v>28.86</v>
      </c>
      <c r="AE1667" s="1">
        <v>0</v>
      </c>
      <c r="AF1667" s="1">
        <f ca="1">IFERROR(__xludf.DUMMYFUNCTION("IFERROR(GOOGLEFINANCE(TRIM(F1667)&amp;"":"" &amp; TRIM(B1667),""high52""),AE1667)"),2762.6)</f>
        <v>2762.6</v>
      </c>
      <c r="AG1667" s="1">
        <v>0</v>
      </c>
      <c r="AH1667" s="1">
        <f ca="1">IFERROR(__xludf.DUMMYFUNCTION("IFERROR(GOOGLEFINANCE(TRIM(F1667)&amp;"":"" &amp; TRIM(B1667),""low52""),AE1667)"),1264)</f>
        <v>1264</v>
      </c>
      <c r="AI1667" s="1">
        <f ca="1">IFERROR(__xludf.DUMMYFUNCTION("IFERROR(GOOGLEFINANCE(B1667,""eps""),0)"),75.32)</f>
        <v>75.319999999999993</v>
      </c>
      <c r="AJ1667" s="1"/>
      <c r="AK1667" s="1" t="s">
        <v>5018</v>
      </c>
      <c r="AL1667" s="9">
        <f t="shared" si="210"/>
        <v>1</v>
      </c>
    </row>
    <row r="1668" spans="1:38" ht="15" x14ac:dyDescent="0.25">
      <c r="A1668" s="1" t="s">
        <v>5019</v>
      </c>
      <c r="B1668" s="1" t="s">
        <v>5020</v>
      </c>
      <c r="C1668" s="1" t="s">
        <v>502</v>
      </c>
      <c r="D1668" s="1" t="s">
        <v>502</v>
      </c>
      <c r="E1668" s="6">
        <v>4.2300000000000004</v>
      </c>
      <c r="F1668" s="1" t="s">
        <v>53</v>
      </c>
      <c r="G1668" s="6">
        <f ca="1">IFERROR(__xludf.DUMMYFUNCTION("iferror(GOOGLEFINANCE(TRIM(F1668)&amp;"":"" &amp; TRIM(B1668), ""price""),0
)"),0)</f>
        <v>0</v>
      </c>
      <c r="H1668" s="6">
        <v>4.05</v>
      </c>
      <c r="I1668" s="6">
        <f t="shared" ca="1" si="0"/>
        <v>4.05</v>
      </c>
      <c r="J1668" s="6">
        <f ca="1">IFERROR(__xludf.DUMMYFUNCTION("IFERROR(GOOGLEFINANCE(B1668, ""volume""), 0)"),0)</f>
        <v>0</v>
      </c>
      <c r="K1668" s="6">
        <v>2.79</v>
      </c>
      <c r="L1668" s="6">
        <f ca="1">IFERROR(__xludf.DUMMYFUNCTION("IFERROR(GOOGLEFINANCE(B1668,""changepct""),K1668)"),2.79)</f>
        <v>2.79</v>
      </c>
      <c r="M1668" s="6">
        <f ca="1">IFERROR(__xludf.DUMMYFUNCTION("IFERROR(GOOGLEFINANCE(B1668,""change""),0)"),0)</f>
        <v>0</v>
      </c>
      <c r="N1668" s="6">
        <v>1</v>
      </c>
      <c r="O1668" s="7">
        <v>45536</v>
      </c>
      <c r="P1668" s="6">
        <v>2.33</v>
      </c>
      <c r="Q1668" s="6">
        <v>6.56</v>
      </c>
      <c r="R1668" s="7">
        <v>45536</v>
      </c>
      <c r="S1668" s="6">
        <v>0</v>
      </c>
      <c r="T1668" s="6">
        <v>-0.03</v>
      </c>
      <c r="U1668" s="7">
        <v>45536</v>
      </c>
      <c r="V1668" s="6">
        <v>0</v>
      </c>
      <c r="W1668" s="6">
        <f ca="1">IFERROR(__xludf.DUMMYFUNCTION("IFERROR(GOOGLEFINANCE(B1668,""pe""),V1668)"),0)</f>
        <v>0</v>
      </c>
      <c r="X1668" s="9"/>
      <c r="Y1668" s="6">
        <v>-1.94</v>
      </c>
      <c r="Z1668" s="6">
        <v>1</v>
      </c>
      <c r="AA1668" s="8">
        <v>45352</v>
      </c>
      <c r="AB1668" s="4">
        <v>-1.07</v>
      </c>
      <c r="AC1668" s="6">
        <v>0</v>
      </c>
      <c r="AD1668" s="6">
        <v>-7.61</v>
      </c>
      <c r="AE1668" s="1">
        <v>0</v>
      </c>
      <c r="AF1668" s="1">
        <f ca="1">IFERROR(__xludf.DUMMYFUNCTION("IFERROR(GOOGLEFINANCE(TRIM(F1668)&amp;"":"" &amp; TRIM(B1668),""high52""),AE1668)"),0)</f>
        <v>0</v>
      </c>
      <c r="AG1668" s="1">
        <v>0</v>
      </c>
      <c r="AH1668" s="1">
        <f ca="1">IFERROR(__xludf.DUMMYFUNCTION("IFERROR(GOOGLEFINANCE(TRIM(F1668)&amp;"":"" &amp; TRIM(B1668),""low52""),AE1668)"),0)</f>
        <v>0</v>
      </c>
      <c r="AI1668" s="1">
        <f ca="1">IFERROR(__xludf.DUMMYFUNCTION("IFERROR(GOOGLEFINANCE(B1668,""eps""),0)"),0)</f>
        <v>0</v>
      </c>
      <c r="AJ1668" s="1"/>
      <c r="AK1668" s="12"/>
      <c r="AL1668" s="9">
        <f t="shared" si="210"/>
        <v>1</v>
      </c>
    </row>
    <row r="1669" spans="1:38" ht="15" x14ac:dyDescent="0.25">
      <c r="A1669" s="1" t="s">
        <v>5021</v>
      </c>
      <c r="B1669" s="1" t="s">
        <v>5022</v>
      </c>
      <c r="C1669" s="1" t="s">
        <v>502</v>
      </c>
      <c r="D1669" s="1" t="s">
        <v>502</v>
      </c>
      <c r="E1669" s="6">
        <v>44.95</v>
      </c>
      <c r="F1669" s="1" t="s">
        <v>53</v>
      </c>
      <c r="G1669" s="6">
        <f ca="1">IFERROR(__xludf.DUMMYFUNCTION("iferror(GOOGLEFINANCE(TRIM(F1669)&amp;"":"" &amp; TRIM(B1669), ""price""),0
)"),0)</f>
        <v>0</v>
      </c>
      <c r="H1669" s="6">
        <v>44.5</v>
      </c>
      <c r="I1669" s="6">
        <f t="shared" ca="1" si="0"/>
        <v>44.5</v>
      </c>
      <c r="J1669" s="6">
        <f ca="1">IFERROR(__xludf.DUMMYFUNCTION("IFERROR(GOOGLEFINANCE(B1669, ""volume""), 0)"),0)</f>
        <v>0</v>
      </c>
      <c r="K1669" s="6">
        <v>-1.07</v>
      </c>
      <c r="L1669" s="6">
        <f ca="1">IFERROR(__xludf.DUMMYFUNCTION("IFERROR(GOOGLEFINANCE(B1669,""changepct""),K1669)"),-1.07)</f>
        <v>-1.07</v>
      </c>
      <c r="M1669" s="6">
        <f ca="1">IFERROR(__xludf.DUMMYFUNCTION("IFERROR(GOOGLEFINANCE(B1669,""change""),0)"),0)</f>
        <v>0</v>
      </c>
      <c r="N1669" s="6">
        <v>2</v>
      </c>
      <c r="O1669" s="7">
        <v>45536</v>
      </c>
      <c r="P1669" s="6">
        <v>84.59</v>
      </c>
      <c r="Q1669" s="6">
        <v>112.03</v>
      </c>
      <c r="R1669" s="7">
        <v>45536</v>
      </c>
      <c r="S1669" s="6">
        <v>376.88</v>
      </c>
      <c r="T1669" s="6">
        <v>-27.29</v>
      </c>
      <c r="U1669" s="7">
        <v>45536</v>
      </c>
      <c r="V1669" s="6">
        <v>0</v>
      </c>
      <c r="W1669" s="6">
        <f ca="1">IFERROR(__xludf.DUMMYFUNCTION("IFERROR(GOOGLEFINANCE(B1669,""pe""),V1669)"),0)</f>
        <v>0</v>
      </c>
      <c r="X1669" s="9"/>
      <c r="Y1669" s="6">
        <v>0.51</v>
      </c>
      <c r="Z1669" s="6">
        <v>2</v>
      </c>
      <c r="AA1669" s="8">
        <v>45352</v>
      </c>
      <c r="AB1669" s="4">
        <v>1.17</v>
      </c>
      <c r="AC1669" s="6">
        <v>-24.7</v>
      </c>
      <c r="AD1669" s="6">
        <v>-9.49</v>
      </c>
      <c r="AE1669" s="1">
        <v>0</v>
      </c>
      <c r="AF1669" s="1">
        <f ca="1">IFERROR(__xludf.DUMMYFUNCTION("IFERROR(GOOGLEFINANCE(TRIM(F1669)&amp;"":"" &amp; TRIM(B1669),""high52""),AE1669)"),0)</f>
        <v>0</v>
      </c>
      <c r="AG1669" s="1">
        <v>0</v>
      </c>
      <c r="AH1669" s="1">
        <f ca="1">IFERROR(__xludf.DUMMYFUNCTION("IFERROR(GOOGLEFINANCE(TRIM(F1669)&amp;"":"" &amp; TRIM(B1669),""low52""),AE1669)"),0)</f>
        <v>0</v>
      </c>
      <c r="AI1669" s="1">
        <f ca="1">IFERROR(__xludf.DUMMYFUNCTION("IFERROR(GOOGLEFINANCE(B1669,""eps""),0)"),0)</f>
        <v>0</v>
      </c>
      <c r="AJ1669" s="1"/>
      <c r="AK1669" s="1" t="s">
        <v>5023</v>
      </c>
      <c r="AL1669" s="9">
        <f t="shared" si="210"/>
        <v>1</v>
      </c>
    </row>
    <row r="1670" spans="1:38" ht="15" x14ac:dyDescent="0.25">
      <c r="A1670" s="1" t="s">
        <v>5024</v>
      </c>
      <c r="B1670" s="1" t="s">
        <v>5025</v>
      </c>
      <c r="C1670" s="1" t="s">
        <v>235</v>
      </c>
      <c r="D1670" s="1" t="s">
        <v>235</v>
      </c>
      <c r="E1670" s="6">
        <v>175280.2</v>
      </c>
      <c r="F1670" s="1" t="s">
        <v>40</v>
      </c>
      <c r="G1670" s="6">
        <f ca="1">IFERROR(__xludf.DUMMYFUNCTION("iferror(GOOGLEFINANCE(TRIM(F1670)&amp;"":"" &amp; TRIM(B1670), ""price""),0
)"),4690)</f>
        <v>4690</v>
      </c>
      <c r="H1670" s="6">
        <v>4451.3500000000004</v>
      </c>
      <c r="I1670" s="6">
        <f t="shared" ca="1" si="0"/>
        <v>4690</v>
      </c>
      <c r="J1670" s="6">
        <f ca="1">IFERROR(__xludf.DUMMYFUNCTION("IFERROR(GOOGLEFINANCE(B1670, ""volume""), 0)"),1309113)</f>
        <v>1309113</v>
      </c>
      <c r="K1670" s="6">
        <v>-1.9</v>
      </c>
      <c r="L1670" s="6">
        <f ca="1">IFERROR(__xludf.DUMMYFUNCTION("IFERROR(GOOGLEFINANCE(B1670,""changepct""),K1670)"),2.19)</f>
        <v>2.19</v>
      </c>
      <c r="M1670" s="6">
        <f ca="1">IFERROR(__xludf.DUMMYFUNCTION("IFERROR(GOOGLEFINANCE(B1670,""change""),0)"),100.5)</f>
        <v>100.5</v>
      </c>
      <c r="N1670" s="6">
        <v>2</v>
      </c>
      <c r="O1670" s="7">
        <v>45536</v>
      </c>
      <c r="P1670" s="6">
        <v>1800</v>
      </c>
      <c r="Q1670" s="6">
        <v>160440.9</v>
      </c>
      <c r="R1670" s="7">
        <v>45536</v>
      </c>
      <c r="S1670" s="6">
        <v>73817.72</v>
      </c>
      <c r="T1670" s="6">
        <v>6635.04</v>
      </c>
      <c r="U1670" s="7">
        <v>45536</v>
      </c>
      <c r="V1670" s="6">
        <v>26.42</v>
      </c>
      <c r="W1670" s="6">
        <f ca="1">IFERROR(__xludf.DUMMYFUNCTION("IFERROR(GOOGLEFINANCE(B1670,""pe""),V1670)"),56.56)</f>
        <v>56.56</v>
      </c>
      <c r="X1670" s="6">
        <v>0.22</v>
      </c>
      <c r="Y1670" s="6">
        <v>45.9</v>
      </c>
      <c r="Z1670" s="6">
        <v>2</v>
      </c>
      <c r="AA1670" s="8">
        <v>45352</v>
      </c>
      <c r="AB1670" s="4">
        <v>0.98</v>
      </c>
      <c r="AC1670" s="6">
        <v>0</v>
      </c>
      <c r="AD1670" s="6">
        <v>0</v>
      </c>
      <c r="AE1670" s="1">
        <v>0</v>
      </c>
      <c r="AF1670" s="1">
        <f ca="1">IFERROR(__xludf.DUMMYFUNCTION("IFERROR(GOOGLEFINANCE(TRIM(F1670)&amp;"":"" &amp; TRIM(B1670),""high52""),AE1670)"),6232.5)</f>
        <v>6232.5</v>
      </c>
      <c r="AG1670" s="1">
        <v>0</v>
      </c>
      <c r="AH1670" s="1">
        <f ca="1">IFERROR(__xludf.DUMMYFUNCTION("IFERROR(GOOGLEFINANCE(TRIM(F1670)&amp;"":"" &amp; TRIM(B1670),""low52""),AE1670)"),4157.85)</f>
        <v>4157.8500000000004</v>
      </c>
      <c r="AI1670" s="1">
        <f ca="1">IFERROR(__xludf.DUMMYFUNCTION("IFERROR(GOOGLEFINANCE(B1670,""eps""),0)"),82.92)</f>
        <v>82.92</v>
      </c>
      <c r="AJ1670" s="1"/>
      <c r="AK1670" s="1" t="s">
        <v>5026</v>
      </c>
      <c r="AL1670" s="1" t="b">
        <f>ISNUMBER(AA1670)</f>
        <v>1</v>
      </c>
    </row>
    <row r="1671" spans="1:38" ht="15" x14ac:dyDescent="0.25">
      <c r="A1671" s="1" t="s">
        <v>5027</v>
      </c>
      <c r="B1671" s="1" t="s">
        <v>5028</v>
      </c>
      <c r="C1671" s="1" t="s">
        <v>502</v>
      </c>
      <c r="D1671" s="1" t="s">
        <v>502</v>
      </c>
      <c r="E1671" s="6">
        <v>61.71</v>
      </c>
      <c r="F1671" s="1" t="s">
        <v>53</v>
      </c>
      <c r="G1671" s="6">
        <f ca="1">IFERROR(__xludf.DUMMYFUNCTION("iferror(GOOGLEFINANCE(TRIM(F1671)&amp;"":"" &amp; TRIM(B1671), ""price""),0
)"),0)</f>
        <v>0</v>
      </c>
      <c r="H1671" s="6">
        <v>110</v>
      </c>
      <c r="I1671" s="6">
        <f t="shared" ca="1" si="0"/>
        <v>110</v>
      </c>
      <c r="J1671" s="6">
        <f ca="1">IFERROR(__xludf.DUMMYFUNCTION("IFERROR(GOOGLEFINANCE(B1671, ""volume""), 0)"),0)</f>
        <v>0</v>
      </c>
      <c r="K1671" s="9"/>
      <c r="L1671" s="6" t="str">
        <f ca="1">IFERROR(__xludf.DUMMYFUNCTION("IFERROR(GOOGLEFINANCE(B1671,""changepct""),K1671)"),"")</f>
        <v/>
      </c>
      <c r="M1671" s="6">
        <f ca="1">IFERROR(__xludf.DUMMYFUNCTION("IFERROR(GOOGLEFINANCE(B1671,""change""),0)"),0)</f>
        <v>0</v>
      </c>
      <c r="N1671" s="6">
        <v>1</v>
      </c>
      <c r="O1671" s="7">
        <v>45536</v>
      </c>
      <c r="P1671" s="6">
        <v>5.26</v>
      </c>
      <c r="Q1671" s="6">
        <v>66.97</v>
      </c>
      <c r="R1671" s="7">
        <v>45536</v>
      </c>
      <c r="S1671" s="6">
        <v>170.93</v>
      </c>
      <c r="T1671" s="6">
        <v>3.9</v>
      </c>
      <c r="U1671" s="7">
        <v>45536</v>
      </c>
      <c r="V1671" s="6">
        <v>15.82</v>
      </c>
      <c r="W1671" s="6">
        <f ca="1">IFERROR(__xludf.DUMMYFUNCTION("IFERROR(GOOGLEFINANCE(B1671,""pe""),V1671)"),15.82)</f>
        <v>15.82</v>
      </c>
      <c r="X1671" s="6">
        <v>0.56999999999999995</v>
      </c>
      <c r="Y1671" s="6">
        <v>0.55000000000000004</v>
      </c>
      <c r="Z1671" s="6">
        <v>1</v>
      </c>
      <c r="AA1671" s="8">
        <v>45352</v>
      </c>
      <c r="AB1671" s="4">
        <v>0.12</v>
      </c>
      <c r="AC1671" s="6">
        <v>3.31</v>
      </c>
      <c r="AD1671" s="6">
        <v>4.88</v>
      </c>
      <c r="AE1671" s="1">
        <v>0</v>
      </c>
      <c r="AF1671" s="1">
        <f ca="1">IFERROR(__xludf.DUMMYFUNCTION("IFERROR(GOOGLEFINANCE(TRIM(F1671)&amp;"":"" &amp; TRIM(B1671),""high52""),AE1671)"),0)</f>
        <v>0</v>
      </c>
      <c r="AG1671" s="1">
        <v>0</v>
      </c>
      <c r="AH1671" s="1">
        <f ca="1">IFERROR(__xludf.DUMMYFUNCTION("IFERROR(GOOGLEFINANCE(TRIM(F1671)&amp;"":"" &amp; TRIM(B1671),""low52""),AE1671)"),0)</f>
        <v>0</v>
      </c>
      <c r="AI1671" s="1">
        <f ca="1">IFERROR(__xludf.DUMMYFUNCTION("IFERROR(GOOGLEFINANCE(B1671,""eps""),0)"),0)</f>
        <v>0</v>
      </c>
      <c r="AJ1671" s="1"/>
      <c r="AK1671" s="1" t="s">
        <v>5029</v>
      </c>
      <c r="AL1671" s="9">
        <f t="shared" ref="AL1671:AL1674" si="211">IF(AA1671&lt;&gt;AB1671,1,0)</f>
        <v>1</v>
      </c>
    </row>
    <row r="1672" spans="1:38" ht="15" x14ac:dyDescent="0.25">
      <c r="A1672" s="1" t="s">
        <v>5030</v>
      </c>
      <c r="B1672" s="1" t="s">
        <v>5031</v>
      </c>
      <c r="C1672" s="1" t="s">
        <v>535</v>
      </c>
      <c r="D1672" s="1" t="s">
        <v>535</v>
      </c>
      <c r="E1672" s="6">
        <v>230.85</v>
      </c>
      <c r="F1672" s="1" t="s">
        <v>40</v>
      </c>
      <c r="G1672" s="6">
        <f ca="1">IFERROR(__xludf.DUMMYFUNCTION("iferror(GOOGLEFINANCE(TRIM(F1672)&amp;"":"" &amp; TRIM(B1672), ""price""),0
)"),0)</f>
        <v>0</v>
      </c>
      <c r="H1672" s="6">
        <v>330</v>
      </c>
      <c r="I1672" s="6">
        <f t="shared" ca="1" si="0"/>
        <v>330</v>
      </c>
      <c r="J1672" s="6">
        <f ca="1">IFERROR(__xludf.DUMMYFUNCTION("IFERROR(GOOGLEFINANCE(B1672, ""volume""), 0)"),288)</f>
        <v>288</v>
      </c>
      <c r="K1672" s="6">
        <v>0</v>
      </c>
      <c r="L1672" s="6">
        <f ca="1">IFERROR(__xludf.DUMMYFUNCTION("IFERROR(GOOGLEFINANCE(B1672,""changepct""),K1672)"),2.8)</f>
        <v>2.8</v>
      </c>
      <c r="M1672" s="6">
        <f ca="1">IFERROR(__xludf.DUMMYFUNCTION("IFERROR(GOOGLEFINANCE(B1672,""change""),0)"),0.03)</f>
        <v>0.03</v>
      </c>
      <c r="N1672" s="6">
        <v>1</v>
      </c>
      <c r="O1672" s="7">
        <v>45536</v>
      </c>
      <c r="P1672" s="6">
        <v>7.29</v>
      </c>
      <c r="Q1672" s="6">
        <v>238.14</v>
      </c>
      <c r="R1672" s="7">
        <v>45352</v>
      </c>
      <c r="S1672" s="6">
        <v>32.25</v>
      </c>
      <c r="T1672" s="6">
        <v>8.01</v>
      </c>
      <c r="U1672" s="7">
        <v>45352</v>
      </c>
      <c r="V1672" s="6">
        <v>28.81</v>
      </c>
      <c r="W1672" s="6">
        <f ca="1">IFERROR(__xludf.DUMMYFUNCTION("IFERROR(GOOGLEFINANCE(B1672,""pe""),V1672)"),28.81)</f>
        <v>28.81</v>
      </c>
      <c r="X1672" s="12"/>
      <c r="Y1672" s="6">
        <v>4.1100000000000003</v>
      </c>
      <c r="Z1672" s="6">
        <v>2</v>
      </c>
      <c r="AA1672" s="8">
        <v>45352</v>
      </c>
      <c r="AB1672" s="4">
        <v>0.02</v>
      </c>
      <c r="AC1672" s="6">
        <v>21.63</v>
      </c>
      <c r="AD1672" s="6">
        <v>28.71</v>
      </c>
      <c r="AE1672" s="1">
        <v>0</v>
      </c>
      <c r="AF1672" s="1">
        <f ca="1">IFERROR(__xludf.DUMMYFUNCTION("IFERROR(GOOGLEFINANCE(TRIM(F1672)&amp;"":"" &amp; TRIM(B1672),""high52""),AE1672)"),0)</f>
        <v>0</v>
      </c>
      <c r="AG1672" s="1">
        <v>0</v>
      </c>
      <c r="AH1672" s="1">
        <f ca="1">IFERROR(__xludf.DUMMYFUNCTION("IFERROR(GOOGLEFINANCE(TRIM(F1672)&amp;"":"" &amp; TRIM(B1672),""low52""),AE1672)"),0)</f>
        <v>0</v>
      </c>
      <c r="AI1672" s="1">
        <f ca="1">IFERROR(__xludf.DUMMYFUNCTION("IFERROR(GOOGLEFINANCE(B1672,""eps""),0)"),-7.21)</f>
        <v>-7.21</v>
      </c>
      <c r="AJ1672" s="1"/>
      <c r="AK1672" s="1" t="s">
        <v>5032</v>
      </c>
      <c r="AL1672" s="9">
        <f t="shared" si="211"/>
        <v>1</v>
      </c>
    </row>
    <row r="1673" spans="1:38" ht="15" x14ac:dyDescent="0.25">
      <c r="A1673" s="1" t="s">
        <v>5033</v>
      </c>
      <c r="B1673" s="1" t="s">
        <v>5034</v>
      </c>
      <c r="C1673" s="1" t="s">
        <v>502</v>
      </c>
      <c r="D1673" s="1" t="s">
        <v>502</v>
      </c>
      <c r="E1673" s="6">
        <v>54.13</v>
      </c>
      <c r="F1673" s="1" t="s">
        <v>53</v>
      </c>
      <c r="G1673" s="6">
        <f ca="1">IFERROR(__xludf.DUMMYFUNCTION("iferror(GOOGLEFINANCE(TRIM(F1673)&amp;"":"" &amp; TRIM(B1673), ""price""),0
)"),0)</f>
        <v>0</v>
      </c>
      <c r="H1673" s="6">
        <v>150.05000000000001</v>
      </c>
      <c r="I1673" s="6">
        <f t="shared" ca="1" si="0"/>
        <v>150.05000000000001</v>
      </c>
      <c r="J1673" s="6">
        <f ca="1">IFERROR(__xludf.DUMMYFUNCTION("IFERROR(GOOGLEFINANCE(B1673, ""volume""), 0)"),0)</f>
        <v>0</v>
      </c>
      <c r="K1673" s="9"/>
      <c r="L1673" s="6" t="str">
        <f ca="1">IFERROR(__xludf.DUMMYFUNCTION("IFERROR(GOOGLEFINANCE(B1673,""changepct""),K1673)"),"")</f>
        <v/>
      </c>
      <c r="M1673" s="6">
        <f ca="1">IFERROR(__xludf.DUMMYFUNCTION("IFERROR(GOOGLEFINANCE(B1673,""change""),0)"),0)</f>
        <v>0</v>
      </c>
      <c r="N1673" s="6">
        <v>1</v>
      </c>
      <c r="O1673" s="7">
        <v>45536</v>
      </c>
      <c r="P1673" s="6">
        <v>19.760000000000002</v>
      </c>
      <c r="Q1673" s="6">
        <v>71.25</v>
      </c>
      <c r="R1673" s="7">
        <v>45536</v>
      </c>
      <c r="S1673" s="6">
        <v>114.02</v>
      </c>
      <c r="T1673" s="6">
        <v>-1.74</v>
      </c>
      <c r="U1673" s="7">
        <v>45536</v>
      </c>
      <c r="V1673" s="6">
        <v>0</v>
      </c>
      <c r="W1673" s="6">
        <f ca="1">IFERROR(__xludf.DUMMYFUNCTION("IFERROR(GOOGLEFINANCE(B1673,""pe""),V1673)"),0)</f>
        <v>0</v>
      </c>
      <c r="X1673" s="6">
        <v>0</v>
      </c>
      <c r="Y1673" s="6">
        <v>0.67</v>
      </c>
      <c r="Z1673" s="6">
        <v>2</v>
      </c>
      <c r="AA1673" s="8">
        <v>45352</v>
      </c>
      <c r="AB1673" s="4">
        <v>0.24</v>
      </c>
      <c r="AC1673" s="6">
        <v>2.4</v>
      </c>
      <c r="AD1673" s="6">
        <v>5.92</v>
      </c>
      <c r="AE1673" s="1">
        <v>0</v>
      </c>
      <c r="AF1673" s="1">
        <f ca="1">IFERROR(__xludf.DUMMYFUNCTION("IFERROR(GOOGLEFINANCE(TRIM(F1673)&amp;"":"" &amp; TRIM(B1673),""high52""),AE1673)"),0)</f>
        <v>0</v>
      </c>
      <c r="AG1673" s="1">
        <v>0</v>
      </c>
      <c r="AH1673" s="1">
        <f ca="1">IFERROR(__xludf.DUMMYFUNCTION("IFERROR(GOOGLEFINANCE(TRIM(F1673)&amp;"":"" &amp; TRIM(B1673),""low52""),AE1673)"),0)</f>
        <v>0</v>
      </c>
      <c r="AI1673" s="1">
        <f ca="1">IFERROR(__xludf.DUMMYFUNCTION("IFERROR(GOOGLEFINANCE(B1673,""eps""),0)"),0)</f>
        <v>0</v>
      </c>
      <c r="AJ1673" s="1"/>
      <c r="AK1673" s="9"/>
      <c r="AL1673" s="9">
        <f t="shared" si="211"/>
        <v>1</v>
      </c>
    </row>
    <row r="1674" spans="1:38" ht="15" x14ac:dyDescent="0.25">
      <c r="A1674" s="1" t="s">
        <v>5035</v>
      </c>
      <c r="B1674" s="1" t="s">
        <v>5036</v>
      </c>
      <c r="C1674" s="1" t="s">
        <v>416</v>
      </c>
      <c r="D1674" s="1" t="s">
        <v>416</v>
      </c>
      <c r="E1674" s="6">
        <v>569.71</v>
      </c>
      <c r="F1674" s="1" t="s">
        <v>40</v>
      </c>
      <c r="G1674" s="6">
        <f ca="1">IFERROR(__xludf.DUMMYFUNCTION("iferror(GOOGLEFINANCE(TRIM(F1674)&amp;"":"" &amp; TRIM(B1674), ""price""),0
)"),74.34)</f>
        <v>74.34</v>
      </c>
      <c r="H1674" s="6">
        <v>90.12</v>
      </c>
      <c r="I1674" s="6">
        <f t="shared" ca="1" si="0"/>
        <v>74.34</v>
      </c>
      <c r="J1674" s="6">
        <f ca="1">IFERROR(__xludf.DUMMYFUNCTION("IFERROR(GOOGLEFINANCE(B1674, ""volume""), 0)"),61232)</f>
        <v>61232</v>
      </c>
      <c r="K1674" s="6">
        <v>0.24</v>
      </c>
      <c r="L1674" s="6">
        <f ca="1">IFERROR(__xludf.DUMMYFUNCTION("IFERROR(GOOGLEFINANCE(B1674,""changepct""),K1674)"),-0.91)</f>
        <v>-0.91</v>
      </c>
      <c r="M1674" s="6">
        <f ca="1">IFERROR(__xludf.DUMMYFUNCTION("IFERROR(GOOGLEFINANCE(B1674,""change""),0)"),-0.68)</f>
        <v>-0.68</v>
      </c>
      <c r="N1674" s="6">
        <v>2</v>
      </c>
      <c r="O1674" s="7">
        <v>45536</v>
      </c>
      <c r="P1674" s="6">
        <v>91.66</v>
      </c>
      <c r="Q1674" s="6">
        <v>652.62</v>
      </c>
      <c r="R1674" s="7">
        <v>45536</v>
      </c>
      <c r="S1674" s="6">
        <v>119.67</v>
      </c>
      <c r="T1674" s="6">
        <v>84.06</v>
      </c>
      <c r="U1674" s="7">
        <v>45536</v>
      </c>
      <c r="V1674" s="6">
        <v>6.78</v>
      </c>
      <c r="W1674" s="6">
        <f ca="1">IFERROR(__xludf.DUMMYFUNCTION("IFERROR(GOOGLEFINANCE(B1674,""pe""),V1674)"),6.95)</f>
        <v>6.95</v>
      </c>
      <c r="X1674" s="6">
        <v>0.1</v>
      </c>
      <c r="Y1674" s="6">
        <v>1.71</v>
      </c>
      <c r="Z1674" s="6">
        <v>2</v>
      </c>
      <c r="AA1674" s="8">
        <v>45352</v>
      </c>
      <c r="AB1674" s="4">
        <v>0.46</v>
      </c>
      <c r="AC1674" s="6">
        <v>25.69</v>
      </c>
      <c r="AD1674" s="6">
        <v>25.4</v>
      </c>
      <c r="AE1674" s="1">
        <v>0</v>
      </c>
      <c r="AF1674" s="1">
        <f ca="1">IFERROR(__xludf.DUMMYFUNCTION("IFERROR(GOOGLEFINANCE(TRIM(F1674)&amp;"":"" &amp; TRIM(B1674),""high52""),AE1674)"),114.54)</f>
        <v>114.54</v>
      </c>
      <c r="AG1674" s="1">
        <v>0</v>
      </c>
      <c r="AH1674" s="1">
        <f ca="1">IFERROR(__xludf.DUMMYFUNCTION("IFERROR(GOOGLEFINANCE(TRIM(F1674)&amp;"":"" &amp; TRIM(B1674),""low52""),AE1674)"),61.2)</f>
        <v>61.2</v>
      </c>
      <c r="AI1674" s="1">
        <f ca="1">IFERROR(__xludf.DUMMYFUNCTION("IFERROR(GOOGLEFINANCE(B1674,""eps""),0)"),10.7)</f>
        <v>10.7</v>
      </c>
      <c r="AJ1674" s="1"/>
      <c r="AK1674" s="1" t="s">
        <v>5037</v>
      </c>
      <c r="AL1674" s="9">
        <f t="shared" si="211"/>
        <v>1</v>
      </c>
    </row>
    <row r="1675" spans="1:38" ht="15" x14ac:dyDescent="0.25">
      <c r="A1675" s="1" t="s">
        <v>5038</v>
      </c>
      <c r="B1675" s="1" t="s">
        <v>5039</v>
      </c>
      <c r="C1675" s="1" t="s">
        <v>223</v>
      </c>
      <c r="D1675" s="1" t="s">
        <v>223</v>
      </c>
      <c r="E1675" s="6">
        <v>25806.42</v>
      </c>
      <c r="F1675" s="1" t="s">
        <v>40</v>
      </c>
      <c r="G1675" s="6">
        <f ca="1">IFERROR(__xludf.DUMMYFUNCTION("iferror(GOOGLEFINANCE(TRIM(F1675)&amp;"":"" &amp; TRIM(B1675), ""price""),0
)"),308.55)</f>
        <v>308.55</v>
      </c>
      <c r="H1675" s="6">
        <v>616.65</v>
      </c>
      <c r="I1675" s="6">
        <f t="shared" ca="1" si="0"/>
        <v>308.55</v>
      </c>
      <c r="J1675" s="6">
        <f ca="1">IFERROR(__xludf.DUMMYFUNCTION("IFERROR(GOOGLEFINANCE(B1675, ""volume""), 0)"),2091)</f>
        <v>2091</v>
      </c>
      <c r="K1675" s="6">
        <v>3.25</v>
      </c>
      <c r="L1675" s="6">
        <f ca="1">IFERROR(__xludf.DUMMYFUNCTION("IFERROR(GOOGLEFINANCE(B1675,""changepct""),K1675)"),0)</f>
        <v>0</v>
      </c>
      <c r="M1675" s="6">
        <f ca="1">IFERROR(__xludf.DUMMYFUNCTION("IFERROR(GOOGLEFINANCE(B1675,""change""),0)"),0)</f>
        <v>0</v>
      </c>
      <c r="N1675" s="6">
        <v>1</v>
      </c>
      <c r="O1675" s="7">
        <v>45261</v>
      </c>
      <c r="P1675" s="6">
        <v>0</v>
      </c>
      <c r="Q1675" s="6">
        <v>25568.03</v>
      </c>
      <c r="R1675" s="9"/>
      <c r="S1675" s="9"/>
      <c r="T1675" s="9"/>
      <c r="U1675" s="15">
        <v>45261</v>
      </c>
      <c r="V1675" s="6">
        <v>78.28</v>
      </c>
      <c r="W1675" s="6">
        <f ca="1">IFERROR(__xludf.DUMMYFUNCTION("IFERROR(GOOGLEFINANCE(B1675,""pe""),V1675)"),78.28)</f>
        <v>78.28</v>
      </c>
      <c r="X1675" s="9"/>
      <c r="Y1675" s="6">
        <v>5.37</v>
      </c>
      <c r="Z1675" s="6">
        <v>2</v>
      </c>
      <c r="AA1675" s="13">
        <v>45261</v>
      </c>
      <c r="AB1675" s="4">
        <v>0</v>
      </c>
      <c r="AC1675" s="6">
        <v>76.58</v>
      </c>
      <c r="AD1675" s="6">
        <v>105.44</v>
      </c>
      <c r="AE1675" s="1">
        <v>0</v>
      </c>
      <c r="AF1675" s="1">
        <f ca="1">IFERROR(__xludf.DUMMYFUNCTION("IFERROR(GOOGLEFINANCE(TRIM(F1675)&amp;"":"" &amp; TRIM(B1675),""high52""),AE1675)"),542.05)</f>
        <v>542.04999999999995</v>
      </c>
      <c r="AG1675" s="1">
        <v>0</v>
      </c>
      <c r="AH1675" s="1">
        <f ca="1">IFERROR(__xludf.DUMMYFUNCTION("IFERROR(GOOGLEFINANCE(TRIM(F1675)&amp;"":"" &amp; TRIM(B1675),""low52""),AE1675)"),282)</f>
        <v>282</v>
      </c>
      <c r="AI1675" s="1">
        <f ca="1">IFERROR(__xludf.DUMMYFUNCTION("IFERROR(GOOGLEFINANCE(B1675,""eps""),0)"),0)</f>
        <v>0</v>
      </c>
      <c r="AJ1675" s="1"/>
      <c r="AK1675" s="1" t="s">
        <v>5040</v>
      </c>
      <c r="AL1675" s="1" t="b">
        <f t="shared" ref="AL1675:AL1676" si="212">ISNUMBER(AA1675)</f>
        <v>1</v>
      </c>
    </row>
    <row r="1676" spans="1:38" ht="15" x14ac:dyDescent="0.25">
      <c r="A1676" s="1" t="s">
        <v>5041</v>
      </c>
      <c r="B1676" s="1" t="s">
        <v>5042</v>
      </c>
      <c r="C1676" s="1" t="s">
        <v>90</v>
      </c>
      <c r="D1676" s="1" t="s">
        <v>90</v>
      </c>
      <c r="E1676" s="6">
        <v>250.87</v>
      </c>
      <c r="F1676" s="1" t="s">
        <v>40</v>
      </c>
      <c r="G1676" s="6">
        <f ca="1">IFERROR(__xludf.DUMMYFUNCTION("iferror(GOOGLEFINANCE(TRIM(F1676)&amp;"":"" &amp; TRIM(B1676), ""price""),0
)"),86.45)</f>
        <v>86.45</v>
      </c>
      <c r="H1676" s="6">
        <v>154.88</v>
      </c>
      <c r="I1676" s="6">
        <f t="shared" ca="1" si="0"/>
        <v>86.45</v>
      </c>
      <c r="J1676" s="6">
        <f ca="1">IFERROR(__xludf.DUMMYFUNCTION("IFERROR(GOOGLEFINANCE(B1676, ""volume""), 0)"),0)</f>
        <v>0</v>
      </c>
      <c r="K1676" s="6">
        <v>0.32</v>
      </c>
      <c r="L1676" s="6">
        <f ca="1">IFERROR(__xludf.DUMMYFUNCTION("IFERROR(GOOGLEFINANCE(B1676,""changepct""),K1676)"),0)</f>
        <v>0</v>
      </c>
      <c r="M1676" s="6">
        <f ca="1">IFERROR(__xludf.DUMMYFUNCTION("IFERROR(GOOGLEFINANCE(B1676,""change""),0)"),0)</f>
        <v>0</v>
      </c>
      <c r="N1676" s="6">
        <v>2</v>
      </c>
      <c r="O1676" s="7">
        <v>45536</v>
      </c>
      <c r="P1676" s="6">
        <v>13.57</v>
      </c>
      <c r="Q1676" s="6">
        <v>258.27999999999997</v>
      </c>
      <c r="R1676" s="7">
        <v>45536</v>
      </c>
      <c r="S1676" s="6">
        <v>493.31</v>
      </c>
      <c r="T1676" s="6">
        <v>12.21</v>
      </c>
      <c r="U1676" s="7">
        <v>45536</v>
      </c>
      <c r="V1676" s="6">
        <v>20.56</v>
      </c>
      <c r="W1676" s="6">
        <f ca="1">IFERROR(__xludf.DUMMYFUNCTION("IFERROR(GOOGLEFINANCE(B1676,""pe""),V1676)"),20.56)</f>
        <v>20.56</v>
      </c>
      <c r="X1676" s="6">
        <v>1.77</v>
      </c>
      <c r="Y1676" s="6">
        <v>1.1499999999999999</v>
      </c>
      <c r="Z1676" s="6">
        <v>2</v>
      </c>
      <c r="AA1676" s="8">
        <v>45352</v>
      </c>
      <c r="AB1676" s="4">
        <v>0.66</v>
      </c>
      <c r="AC1676" s="6">
        <v>5.03</v>
      </c>
      <c r="AD1676" s="6">
        <v>7.64</v>
      </c>
      <c r="AE1676" s="1">
        <v>0</v>
      </c>
      <c r="AF1676" s="1">
        <f ca="1">IFERROR(__xludf.DUMMYFUNCTION("IFERROR(GOOGLEFINANCE(TRIM(F1676)&amp;"":"" &amp; TRIM(B1676),""high52""),AE1676)"),138.8)</f>
        <v>138.80000000000001</v>
      </c>
      <c r="AG1676" s="1">
        <v>0</v>
      </c>
      <c r="AH1676" s="1">
        <f ca="1">IFERROR(__xludf.DUMMYFUNCTION("IFERROR(GOOGLEFINANCE(TRIM(F1676)&amp;"":"" &amp; TRIM(B1676),""low52""),AE1676)"),83.05)</f>
        <v>83.05</v>
      </c>
      <c r="AI1676" s="1">
        <f ca="1">IFERROR(__xludf.DUMMYFUNCTION("IFERROR(GOOGLEFINANCE(B1676,""eps""),0)"),0)</f>
        <v>0</v>
      </c>
      <c r="AJ1676" s="1"/>
      <c r="AK1676" s="1" t="s">
        <v>5043</v>
      </c>
      <c r="AL1676" s="1" t="b">
        <f t="shared" si="212"/>
        <v>1</v>
      </c>
    </row>
    <row r="1677" spans="1:38" ht="15" x14ac:dyDescent="0.25">
      <c r="A1677" s="1" t="s">
        <v>5044</v>
      </c>
      <c r="B1677" s="1" t="s">
        <v>5045</v>
      </c>
      <c r="C1677" s="1" t="s">
        <v>1229</v>
      </c>
      <c r="D1677" s="1" t="s">
        <v>1229</v>
      </c>
      <c r="E1677" s="6">
        <v>7.51</v>
      </c>
      <c r="F1677" s="1" t="s">
        <v>53</v>
      </c>
      <c r="G1677" s="6">
        <f ca="1">IFERROR(__xludf.DUMMYFUNCTION("iferror(GOOGLEFINANCE(TRIM(F1677)&amp;"":"" &amp; TRIM(B1677), ""price""),0
)"),0)</f>
        <v>0</v>
      </c>
      <c r="H1677" s="6">
        <v>4</v>
      </c>
      <c r="I1677" s="6">
        <f t="shared" ca="1" si="0"/>
        <v>4</v>
      </c>
      <c r="J1677" s="6">
        <f ca="1">IFERROR(__xludf.DUMMYFUNCTION("IFERROR(GOOGLEFINANCE(B1677, ""volume""), 0)"),0)</f>
        <v>0</v>
      </c>
      <c r="K1677" s="6">
        <v>6.38</v>
      </c>
      <c r="L1677" s="6">
        <f ca="1">IFERROR(__xludf.DUMMYFUNCTION("IFERROR(GOOGLEFINANCE(B1677,""changepct""),K1677)"),6.38)</f>
        <v>6.38</v>
      </c>
      <c r="M1677" s="6">
        <f ca="1">IFERROR(__xludf.DUMMYFUNCTION("IFERROR(GOOGLEFINANCE(B1677,""change""),0)"),0)</f>
        <v>0</v>
      </c>
      <c r="N1677" s="6">
        <v>1</v>
      </c>
      <c r="O1677" s="7">
        <v>45536</v>
      </c>
      <c r="P1677" s="6">
        <v>1.06</v>
      </c>
      <c r="Q1677" s="6">
        <v>8.52</v>
      </c>
      <c r="R1677" s="15">
        <v>45261</v>
      </c>
      <c r="S1677" s="6">
        <v>23.01</v>
      </c>
      <c r="T1677" s="6">
        <v>-1.04</v>
      </c>
      <c r="U1677" s="7">
        <v>45352</v>
      </c>
      <c r="V1677" s="6">
        <v>606.52</v>
      </c>
      <c r="W1677" s="6">
        <f ca="1">IFERROR(__xludf.DUMMYFUNCTION("IFERROR(GOOGLEFINANCE(B1677,""pe""),V1677)"),606.52)</f>
        <v>606.52</v>
      </c>
      <c r="X1677" s="6">
        <v>-28.73</v>
      </c>
      <c r="Y1677" s="6">
        <v>0.8</v>
      </c>
      <c r="Z1677" s="6">
        <v>1</v>
      </c>
      <c r="AA1677" s="8">
        <v>45352</v>
      </c>
      <c r="AB1677" s="4">
        <v>0.11</v>
      </c>
      <c r="AC1677" s="6">
        <v>0.13</v>
      </c>
      <c r="AD1677" s="6">
        <v>0.56999999999999995</v>
      </c>
      <c r="AE1677" s="1">
        <v>0</v>
      </c>
      <c r="AF1677" s="1">
        <f ca="1">IFERROR(__xludf.DUMMYFUNCTION("IFERROR(GOOGLEFINANCE(TRIM(F1677)&amp;"":"" &amp; TRIM(B1677),""high52""),AE1677)"),0)</f>
        <v>0</v>
      </c>
      <c r="AG1677" s="1">
        <v>0</v>
      </c>
      <c r="AH1677" s="1">
        <f ca="1">IFERROR(__xludf.DUMMYFUNCTION("IFERROR(GOOGLEFINANCE(TRIM(F1677)&amp;"":"" &amp; TRIM(B1677),""low52""),AE1677)"),0)</f>
        <v>0</v>
      </c>
      <c r="AI1677" s="1">
        <f ca="1">IFERROR(__xludf.DUMMYFUNCTION("IFERROR(GOOGLEFINANCE(B1677,""eps""),0)"),0)</f>
        <v>0</v>
      </c>
      <c r="AJ1677" s="1"/>
      <c r="AK1677" s="9"/>
      <c r="AL1677" s="9">
        <f t="shared" ref="AL1677:AL1702" si="213">IF(AA1677&lt;&gt;AB1677,1,0)</f>
        <v>1</v>
      </c>
    </row>
    <row r="1678" spans="1:38" ht="15" x14ac:dyDescent="0.25">
      <c r="A1678" s="1" t="s">
        <v>5046</v>
      </c>
      <c r="B1678" s="1" t="s">
        <v>5047</v>
      </c>
      <c r="C1678" s="1" t="s">
        <v>75</v>
      </c>
      <c r="D1678" s="1" t="s">
        <v>75</v>
      </c>
      <c r="E1678" s="6">
        <v>229.95</v>
      </c>
      <c r="F1678" s="1" t="s">
        <v>40</v>
      </c>
      <c r="G1678" s="6">
        <f ca="1">IFERROR(__xludf.DUMMYFUNCTION("iferror(GOOGLEFINANCE(TRIM(F1678)&amp;"":"" &amp; TRIM(B1678), ""price""),0
)"),1.08)</f>
        <v>1.08</v>
      </c>
      <c r="H1678" s="6">
        <v>2.15</v>
      </c>
      <c r="I1678" s="6">
        <f t="shared" ca="1" si="0"/>
        <v>1.08</v>
      </c>
      <c r="J1678" s="6">
        <f ca="1">IFERROR(__xludf.DUMMYFUNCTION("IFERROR(GOOGLEFINANCE(B1678, ""volume""), 0)"),581076)</f>
        <v>581076</v>
      </c>
      <c r="K1678" s="6">
        <v>-1.38</v>
      </c>
      <c r="L1678" s="6">
        <f ca="1">IFERROR(__xludf.DUMMYFUNCTION("IFERROR(GOOGLEFINANCE(B1678,""changepct""),K1678)"),-1.82)</f>
        <v>-1.82</v>
      </c>
      <c r="M1678" s="6">
        <f ca="1">IFERROR(__xludf.DUMMYFUNCTION("IFERROR(GOOGLEFINANCE(B1678,""change""),0)"),-0.02)</f>
        <v>-0.02</v>
      </c>
      <c r="N1678" s="6">
        <v>2</v>
      </c>
      <c r="O1678" s="7">
        <v>45536</v>
      </c>
      <c r="P1678" s="6">
        <v>14.45</v>
      </c>
      <c r="Q1678" s="7">
        <v>45536</v>
      </c>
      <c r="R1678" s="6">
        <v>15.92</v>
      </c>
      <c r="S1678" s="6">
        <v>0.37</v>
      </c>
      <c r="T1678" s="6">
        <v>0.83</v>
      </c>
      <c r="U1678" s="6">
        <v>2</v>
      </c>
      <c r="V1678" s="7">
        <v>45352</v>
      </c>
      <c r="W1678" s="6">
        <f ca="1">IFERROR(__xludf.DUMMYFUNCTION("IFERROR(GOOGLEFINANCE(B1678,""pe""),V1678)"),27.96)</f>
        <v>27.96</v>
      </c>
      <c r="X1678" s="6">
        <v>0.11</v>
      </c>
      <c r="Y1678" s="6">
        <v>5.58</v>
      </c>
      <c r="Z1678" s="6">
        <v>8.41</v>
      </c>
      <c r="AA1678" s="3" t="s">
        <v>5048</v>
      </c>
      <c r="AB1678" s="3"/>
      <c r="AC1678" s="9"/>
      <c r="AD1678" s="9"/>
      <c r="AE1678" s="1">
        <v>0</v>
      </c>
      <c r="AF1678" s="1">
        <f ca="1">IFERROR(__xludf.DUMMYFUNCTION("IFERROR(GOOGLEFINANCE(TRIM(F1678)&amp;"":"" &amp; TRIM(B1678),""high52""),AE1678)"),2.04)</f>
        <v>2.04</v>
      </c>
      <c r="AG1678" s="1">
        <v>0</v>
      </c>
      <c r="AH1678" s="1">
        <f ca="1">IFERROR(__xludf.DUMMYFUNCTION("IFERROR(GOOGLEFINANCE(TRIM(F1678)&amp;"":"" &amp; TRIM(B1678),""low52""),AE1678)"),1.03)</f>
        <v>1.03</v>
      </c>
      <c r="AI1678" s="1">
        <f ca="1">IFERROR(__xludf.DUMMYFUNCTION("IFERROR(GOOGLEFINANCE(B1678,""eps""),0)"),0.04)</f>
        <v>0.04</v>
      </c>
      <c r="AJ1678" s="1"/>
      <c r="AK1678" s="9"/>
      <c r="AL1678" s="9">
        <f t="shared" si="213"/>
        <v>1</v>
      </c>
    </row>
    <row r="1679" spans="1:38" ht="15" x14ac:dyDescent="0.25">
      <c r="A1679" s="1" t="s">
        <v>5049</v>
      </c>
      <c r="B1679" s="1" t="s">
        <v>5050</v>
      </c>
      <c r="C1679" s="1" t="s">
        <v>71</v>
      </c>
      <c r="D1679" s="1" t="s">
        <v>71</v>
      </c>
      <c r="E1679" s="6">
        <v>33179.68</v>
      </c>
      <c r="F1679" s="1" t="s">
        <v>40</v>
      </c>
      <c r="G1679" s="6">
        <f ca="1">IFERROR(__xludf.DUMMYFUNCTION("iferror(GOOGLEFINANCE(TRIM(F1679)&amp;"":"" &amp; TRIM(B1679), ""price""),0
)"),1599)</f>
        <v>1599</v>
      </c>
      <c r="H1679" s="6">
        <v>1937</v>
      </c>
      <c r="I1679" s="6">
        <f t="shared" ca="1" si="0"/>
        <v>1599</v>
      </c>
      <c r="J1679" s="6">
        <f ca="1">IFERROR(__xludf.DUMMYFUNCTION("IFERROR(GOOGLEFINANCE(B1679, ""volume""), 0)"),86588)</f>
        <v>86588</v>
      </c>
      <c r="K1679" s="6">
        <v>0.03</v>
      </c>
      <c r="L1679" s="6">
        <f ca="1">IFERROR(__xludf.DUMMYFUNCTION("IFERROR(GOOGLEFINANCE(B1679,""changepct""),K1679)"),1.81)</f>
        <v>1.81</v>
      </c>
      <c r="M1679" s="6">
        <f ca="1">IFERROR(__xludf.DUMMYFUNCTION("IFERROR(GOOGLEFINANCE(B1679,""change""),0)"),28.4)</f>
        <v>28.4</v>
      </c>
      <c r="N1679" s="6">
        <v>1</v>
      </c>
      <c r="O1679" s="7">
        <v>45352</v>
      </c>
      <c r="P1679" s="6">
        <v>1178.3599999999999</v>
      </c>
      <c r="Q1679" s="6">
        <v>34026.22</v>
      </c>
      <c r="R1679" s="14"/>
      <c r="S1679" s="9"/>
      <c r="T1679" s="9"/>
      <c r="U1679" s="7">
        <v>45352</v>
      </c>
      <c r="V1679" s="6">
        <v>98.48</v>
      </c>
      <c r="W1679" s="6">
        <f ca="1">IFERROR(__xludf.DUMMYFUNCTION("IFERROR(GOOGLEFINANCE(B1679,""pe""),V1679)"),56.64)</f>
        <v>56.64</v>
      </c>
      <c r="X1679" s="9"/>
      <c r="Y1679" s="6">
        <v>9.85</v>
      </c>
      <c r="Z1679" s="6">
        <v>2</v>
      </c>
      <c r="AA1679" s="8">
        <v>45352</v>
      </c>
      <c r="AB1679" s="4">
        <v>1.03</v>
      </c>
      <c r="AC1679" s="6">
        <v>37.630000000000003</v>
      </c>
      <c r="AD1679" s="6">
        <v>31.77</v>
      </c>
      <c r="AE1679" s="1">
        <v>0</v>
      </c>
      <c r="AF1679" s="1">
        <f ca="1">IFERROR(__xludf.DUMMYFUNCTION("IFERROR(GOOGLEFINANCE(TRIM(F1679)&amp;"":"" &amp; TRIM(B1679),""high52""),AE1679)"),1929)</f>
        <v>1929</v>
      </c>
      <c r="AG1679" s="1">
        <v>0</v>
      </c>
      <c r="AH1679" s="1">
        <f ca="1">IFERROR(__xludf.DUMMYFUNCTION("IFERROR(GOOGLEFINANCE(TRIM(F1679)&amp;"":"" &amp; TRIM(B1679),""low52""),AE1679)"),1236.8)</f>
        <v>1236.8</v>
      </c>
      <c r="AI1679" s="1">
        <f ca="1">IFERROR(__xludf.DUMMYFUNCTION("IFERROR(GOOGLEFINANCE(B1679,""eps""),0)"),28.23)</f>
        <v>28.23</v>
      </c>
      <c r="AJ1679" s="1"/>
      <c r="AK1679" s="9"/>
      <c r="AL1679" s="9">
        <f t="shared" si="213"/>
        <v>1</v>
      </c>
    </row>
    <row r="1680" spans="1:38" ht="15" x14ac:dyDescent="0.25">
      <c r="A1680" s="1" t="s">
        <v>5051</v>
      </c>
      <c r="B1680" s="1" t="s">
        <v>5052</v>
      </c>
      <c r="C1680" s="1" t="s">
        <v>106</v>
      </c>
      <c r="D1680" s="1" t="s">
        <v>106</v>
      </c>
      <c r="E1680" s="6">
        <v>2512.0100000000002</v>
      </c>
      <c r="F1680" s="1" t="s">
        <v>40</v>
      </c>
      <c r="G1680" s="6">
        <f ca="1">IFERROR(__xludf.DUMMYFUNCTION("iferror(GOOGLEFINANCE(TRIM(F1680)&amp;"":"" &amp; TRIM(B1680), ""price""),0
)"),72.51)</f>
        <v>72.510000000000005</v>
      </c>
      <c r="H1680" s="6">
        <v>429.4</v>
      </c>
      <c r="I1680" s="6">
        <f t="shared" ca="1" si="0"/>
        <v>72.510000000000005</v>
      </c>
      <c r="J1680" s="6">
        <f ca="1">IFERROR(__xludf.DUMMYFUNCTION("IFERROR(GOOGLEFINANCE(B1680, ""volume""), 0)"),588226)</f>
        <v>588226</v>
      </c>
      <c r="K1680" s="6">
        <v>0.53</v>
      </c>
      <c r="L1680" s="6">
        <f ca="1">IFERROR(__xludf.DUMMYFUNCTION("IFERROR(GOOGLEFINANCE(B1680,""changepct""),K1680)"),-1.05)</f>
        <v>-1.05</v>
      </c>
      <c r="M1680" s="6">
        <f ca="1">IFERROR(__xludf.DUMMYFUNCTION("IFERROR(GOOGLEFINANCE(B1680,""change""),0)"),-0.77)</f>
        <v>-0.77</v>
      </c>
      <c r="N1680" s="6">
        <v>2</v>
      </c>
      <c r="O1680" s="7">
        <v>45536</v>
      </c>
      <c r="P1680" s="6">
        <v>128.41999999999999</v>
      </c>
      <c r="Q1680" s="6">
        <v>2489.5500000000002</v>
      </c>
      <c r="R1680" s="7">
        <v>45536</v>
      </c>
      <c r="S1680" s="6">
        <v>2052.44</v>
      </c>
      <c r="T1680" s="6">
        <v>99.82</v>
      </c>
      <c r="U1680" s="7">
        <v>45536</v>
      </c>
      <c r="V1680" s="6">
        <v>25.17</v>
      </c>
      <c r="W1680" s="6">
        <f ca="1">IFERROR(__xludf.DUMMYFUNCTION("IFERROR(GOOGLEFINANCE(B1680,""pe""),V1680)"),18.36)</f>
        <v>18.36</v>
      </c>
      <c r="X1680" s="9"/>
      <c r="Y1680" s="6">
        <v>1.51</v>
      </c>
      <c r="Z1680" s="6">
        <v>2</v>
      </c>
      <c r="AA1680" s="8">
        <v>45352</v>
      </c>
      <c r="AB1680" s="4">
        <v>0.02</v>
      </c>
      <c r="AC1680" s="6">
        <v>8.6199999999999992</v>
      </c>
      <c r="AD1680" s="6">
        <v>12.24</v>
      </c>
      <c r="AE1680" s="1">
        <v>0</v>
      </c>
      <c r="AF1680" s="1">
        <f ca="1">IFERROR(__xludf.DUMMYFUNCTION("IFERROR(GOOGLEFINANCE(TRIM(F1680)&amp;"":"" &amp; TRIM(B1680),""high52""),AE1680)"),126.66)</f>
        <v>126.66</v>
      </c>
      <c r="AG1680" s="1">
        <v>0</v>
      </c>
      <c r="AH1680" s="1">
        <f ca="1">IFERROR(__xludf.DUMMYFUNCTION("IFERROR(GOOGLEFINANCE(TRIM(F1680)&amp;"":"" &amp; TRIM(B1680),""low52""),AE1680)"),57.5)</f>
        <v>57.5</v>
      </c>
      <c r="AI1680" s="1">
        <f ca="1">IFERROR(__xludf.DUMMYFUNCTION("IFERROR(GOOGLEFINANCE(B1680,""eps""),0)"),3.95)</f>
        <v>3.95</v>
      </c>
      <c r="AJ1680" s="1"/>
      <c r="AK1680" s="1" t="s">
        <v>5053</v>
      </c>
      <c r="AL1680" s="9">
        <f t="shared" si="213"/>
        <v>1</v>
      </c>
    </row>
    <row r="1681" spans="1:38" ht="15" x14ac:dyDescent="0.25">
      <c r="A1681" s="1" t="s">
        <v>5054</v>
      </c>
      <c r="B1681" s="1" t="s">
        <v>5055</v>
      </c>
      <c r="C1681" s="1" t="s">
        <v>416</v>
      </c>
      <c r="D1681" s="1" t="s">
        <v>416</v>
      </c>
      <c r="E1681" s="6">
        <v>9654.33</v>
      </c>
      <c r="F1681" s="1" t="s">
        <v>40</v>
      </c>
      <c r="G1681" s="6">
        <f ca="1">IFERROR(__xludf.DUMMYFUNCTION("iferror(GOOGLEFINANCE(TRIM(F1681)&amp;"":"" &amp; TRIM(B1681), ""price""),0
)"),349)</f>
        <v>349</v>
      </c>
      <c r="H1681" s="6">
        <v>665.4</v>
      </c>
      <c r="I1681" s="6">
        <f t="shared" ca="1" si="0"/>
        <v>349</v>
      </c>
      <c r="J1681" s="6">
        <f ca="1">IFERROR(__xludf.DUMMYFUNCTION("IFERROR(GOOGLEFINANCE(B1681, ""volume""), 0)"),582258)</f>
        <v>582258</v>
      </c>
      <c r="K1681" s="6">
        <v>1.1000000000000001</v>
      </c>
      <c r="L1681" s="6">
        <f ca="1">IFERROR(__xludf.DUMMYFUNCTION("IFERROR(GOOGLEFINANCE(B1681,""changepct""),K1681)"),-0.41)</f>
        <v>-0.41</v>
      </c>
      <c r="M1681" s="6">
        <f ca="1">IFERROR(__xludf.DUMMYFUNCTION("IFERROR(GOOGLEFINANCE(B1681,""change""),0)"),-1.45)</f>
        <v>-1.45</v>
      </c>
      <c r="N1681" s="6">
        <v>2</v>
      </c>
      <c r="O1681" s="7">
        <v>45536</v>
      </c>
      <c r="P1681" s="6">
        <v>194.53</v>
      </c>
      <c r="Q1681" s="6">
        <v>9358.7000000000007</v>
      </c>
      <c r="R1681" s="7">
        <v>45536</v>
      </c>
      <c r="S1681" s="6">
        <v>2547.6999999999998</v>
      </c>
      <c r="T1681" s="6">
        <v>214.15</v>
      </c>
      <c r="U1681" s="7">
        <v>45536</v>
      </c>
      <c r="V1681" s="6">
        <v>44.66</v>
      </c>
      <c r="W1681" s="6">
        <f ca="1">IFERROR(__xludf.DUMMYFUNCTION("IFERROR(GOOGLEFINANCE(B1681,""pe""),V1681)"),22.75)</f>
        <v>22.75</v>
      </c>
      <c r="X1681" s="6">
        <v>1.82</v>
      </c>
      <c r="Y1681" s="6">
        <v>8.81</v>
      </c>
      <c r="Z1681" s="6">
        <v>2</v>
      </c>
      <c r="AA1681" s="8">
        <v>45352</v>
      </c>
      <c r="AB1681" s="4">
        <v>0.14000000000000001</v>
      </c>
      <c r="AC1681" s="6">
        <v>21.1</v>
      </c>
      <c r="AD1681" s="6">
        <v>27.86</v>
      </c>
      <c r="AE1681" s="1">
        <v>0</v>
      </c>
      <c r="AF1681" s="1">
        <f ca="1">IFERROR(__xludf.DUMMYFUNCTION("IFERROR(GOOGLEFINANCE(TRIM(F1681)&amp;"":"" &amp; TRIM(B1681),""high52""),AE1681)"),581.25)</f>
        <v>581.25</v>
      </c>
      <c r="AG1681" s="1">
        <v>0</v>
      </c>
      <c r="AH1681" s="1">
        <f ca="1">IFERROR(__xludf.DUMMYFUNCTION("IFERROR(GOOGLEFINANCE(TRIM(F1681)&amp;"":"" &amp; TRIM(B1681),""low52""),AE1681)"),322.1)</f>
        <v>322.10000000000002</v>
      </c>
      <c r="AI1681" s="1">
        <f ca="1">IFERROR(__xludf.DUMMYFUNCTION("IFERROR(GOOGLEFINANCE(B1681,""eps""),0)"),15.34)</f>
        <v>15.34</v>
      </c>
      <c r="AJ1681" s="1"/>
      <c r="AK1681" s="9"/>
      <c r="AL1681" s="9">
        <f t="shared" si="213"/>
        <v>1</v>
      </c>
    </row>
    <row r="1682" spans="1:38" ht="15" x14ac:dyDescent="0.25">
      <c r="A1682" s="1" t="s">
        <v>5056</v>
      </c>
      <c r="B1682" s="1" t="s">
        <v>5057</v>
      </c>
      <c r="C1682" s="1" t="s">
        <v>1229</v>
      </c>
      <c r="D1682" s="1" t="s">
        <v>1229</v>
      </c>
      <c r="E1682" s="6">
        <v>309.66000000000003</v>
      </c>
      <c r="F1682" s="1" t="s">
        <v>53</v>
      </c>
      <c r="G1682" s="6">
        <f ca="1">IFERROR(__xludf.DUMMYFUNCTION("iferror(GOOGLEFINANCE(TRIM(F1682)&amp;"":"" &amp; TRIM(B1682), ""price""),0
)"),0)</f>
        <v>0</v>
      </c>
      <c r="H1682" s="6">
        <v>164.8</v>
      </c>
      <c r="I1682" s="6">
        <f t="shared" ca="1" si="0"/>
        <v>164.8</v>
      </c>
      <c r="J1682" s="6">
        <f ca="1">IFERROR(__xludf.DUMMYFUNCTION("IFERROR(GOOGLEFINANCE(B1682, ""volume""), 0)"),0)</f>
        <v>0</v>
      </c>
      <c r="K1682" s="6">
        <v>1.98</v>
      </c>
      <c r="L1682" s="6">
        <f ca="1">IFERROR(__xludf.DUMMYFUNCTION("IFERROR(GOOGLEFINANCE(B1682,""changepct""),K1682)"),1.98)</f>
        <v>1.98</v>
      </c>
      <c r="M1682" s="6">
        <f ca="1">IFERROR(__xludf.DUMMYFUNCTION("IFERROR(GOOGLEFINANCE(B1682,""change""),0)"),0)</f>
        <v>0</v>
      </c>
      <c r="N1682" s="6">
        <v>2</v>
      </c>
      <c r="O1682" s="7">
        <v>45536</v>
      </c>
      <c r="P1682" s="6">
        <v>11.15</v>
      </c>
      <c r="Q1682" s="6">
        <v>320.8</v>
      </c>
      <c r="R1682" s="7">
        <v>45352</v>
      </c>
      <c r="S1682" s="6">
        <v>13.99</v>
      </c>
      <c r="T1682" s="6">
        <v>-0.71</v>
      </c>
      <c r="U1682" s="7">
        <v>45352</v>
      </c>
      <c r="V1682" s="6">
        <v>0</v>
      </c>
      <c r="W1682" s="6">
        <f ca="1">IFERROR(__xludf.DUMMYFUNCTION("IFERROR(GOOGLEFINANCE(B1682,""pe""),V1682)"),0)</f>
        <v>0</v>
      </c>
      <c r="X1682" s="9"/>
      <c r="Y1682" s="6">
        <v>20.72</v>
      </c>
      <c r="Z1682" s="6">
        <v>2</v>
      </c>
      <c r="AA1682" s="8">
        <v>45352</v>
      </c>
      <c r="AB1682" s="4">
        <v>0.01</v>
      </c>
      <c r="AC1682" s="6">
        <v>-4.2300000000000004</v>
      </c>
      <c r="AD1682" s="6">
        <v>-8.06</v>
      </c>
      <c r="AE1682" s="1">
        <v>0</v>
      </c>
      <c r="AF1682" s="1">
        <f ca="1">IFERROR(__xludf.DUMMYFUNCTION("IFERROR(GOOGLEFINANCE(TRIM(F1682)&amp;"":"" &amp; TRIM(B1682),""high52""),AE1682)"),0)</f>
        <v>0</v>
      </c>
      <c r="AG1682" s="1">
        <v>0</v>
      </c>
      <c r="AH1682" s="1">
        <f ca="1">IFERROR(__xludf.DUMMYFUNCTION("IFERROR(GOOGLEFINANCE(TRIM(F1682)&amp;"":"" &amp; TRIM(B1682),""low52""),AE1682)"),0)</f>
        <v>0</v>
      </c>
      <c r="AI1682" s="1">
        <f ca="1">IFERROR(__xludf.DUMMYFUNCTION("IFERROR(GOOGLEFINANCE(B1682,""eps""),0)"),0)</f>
        <v>0</v>
      </c>
      <c r="AJ1682" s="1"/>
      <c r="AK1682" s="9"/>
      <c r="AL1682" s="9">
        <f t="shared" si="213"/>
        <v>1</v>
      </c>
    </row>
    <row r="1683" spans="1:38" ht="15" x14ac:dyDescent="0.25">
      <c r="A1683" s="1" t="s">
        <v>5058</v>
      </c>
      <c r="B1683" s="1" t="s">
        <v>5059</v>
      </c>
      <c r="C1683" s="1" t="s">
        <v>1229</v>
      </c>
      <c r="D1683" s="1" t="s">
        <v>1229</v>
      </c>
      <c r="E1683" s="6">
        <v>6.66</v>
      </c>
      <c r="F1683" s="1" t="s">
        <v>53</v>
      </c>
      <c r="G1683" s="6">
        <f ca="1">IFERROR(__xludf.DUMMYFUNCTION("iferror(GOOGLEFINANCE(TRIM(F1683)&amp;"":"" &amp; TRIM(B1683), ""price""),0
)"),0)</f>
        <v>0</v>
      </c>
      <c r="H1683" s="6">
        <v>13.03</v>
      </c>
      <c r="I1683" s="6">
        <f t="shared" ca="1" si="0"/>
        <v>13.03</v>
      </c>
      <c r="J1683" s="6">
        <f ca="1">IFERROR(__xludf.DUMMYFUNCTION("IFERROR(GOOGLEFINANCE(B1683, ""volume""), 0)"),0)</f>
        <v>0</v>
      </c>
      <c r="K1683" s="6">
        <v>1.96</v>
      </c>
      <c r="L1683" s="6">
        <f ca="1">IFERROR(__xludf.DUMMYFUNCTION("IFERROR(GOOGLEFINANCE(B1683,""changepct""),K1683)"),1.96)</f>
        <v>1.96</v>
      </c>
      <c r="M1683" s="6">
        <f ca="1">IFERROR(__xludf.DUMMYFUNCTION("IFERROR(GOOGLEFINANCE(B1683,""change""),0)"),0)</f>
        <v>0</v>
      </c>
      <c r="N1683" s="6">
        <v>1</v>
      </c>
      <c r="O1683" s="7">
        <v>45536</v>
      </c>
      <c r="P1683" s="12"/>
      <c r="Q1683" s="6">
        <v>6.66</v>
      </c>
      <c r="R1683" s="7">
        <v>45352</v>
      </c>
      <c r="S1683" s="6">
        <v>0</v>
      </c>
      <c r="T1683" s="6">
        <v>1.1200000000000001</v>
      </c>
      <c r="U1683" s="7">
        <v>45352</v>
      </c>
      <c r="V1683" s="6">
        <v>5.99</v>
      </c>
      <c r="W1683" s="6">
        <f ca="1">IFERROR(__xludf.DUMMYFUNCTION("IFERROR(GOOGLEFINANCE(B1683,""pe""),V1683)"),5.99)</f>
        <v>5.99</v>
      </c>
      <c r="X1683" s="6">
        <v>0.1</v>
      </c>
      <c r="Y1683" s="6">
        <v>0.36</v>
      </c>
      <c r="Z1683" s="6">
        <v>1</v>
      </c>
      <c r="AA1683" s="17">
        <v>45352</v>
      </c>
      <c r="AB1683" s="18">
        <v>0</v>
      </c>
      <c r="AC1683" s="6">
        <v>10.74</v>
      </c>
      <c r="AD1683" s="6">
        <v>2.0099999999999998</v>
      </c>
      <c r="AE1683" s="1">
        <v>0</v>
      </c>
      <c r="AF1683" s="1">
        <f ca="1">IFERROR(__xludf.DUMMYFUNCTION("IFERROR(GOOGLEFINANCE(TRIM(F1683)&amp;"":"" &amp; TRIM(B1683),""high52""),AE1683)"),0)</f>
        <v>0</v>
      </c>
      <c r="AG1683" s="1">
        <v>0</v>
      </c>
      <c r="AH1683" s="1">
        <f ca="1">IFERROR(__xludf.DUMMYFUNCTION("IFERROR(GOOGLEFINANCE(TRIM(F1683)&amp;"":"" &amp; TRIM(B1683),""low52""),AE1683)"),0)</f>
        <v>0</v>
      </c>
      <c r="AI1683" s="1">
        <f ca="1">IFERROR(__xludf.DUMMYFUNCTION("IFERROR(GOOGLEFINANCE(B1683,""eps""),0)"),0)</f>
        <v>0</v>
      </c>
      <c r="AJ1683" s="1"/>
      <c r="AK1683" s="1" t="s">
        <v>5060</v>
      </c>
      <c r="AL1683" s="9">
        <f t="shared" si="213"/>
        <v>1</v>
      </c>
    </row>
    <row r="1684" spans="1:38" ht="15" x14ac:dyDescent="0.25">
      <c r="A1684" s="1" t="s">
        <v>5061</v>
      </c>
      <c r="B1684" s="1" t="s">
        <v>5062</v>
      </c>
      <c r="C1684" s="1" t="s">
        <v>1229</v>
      </c>
      <c r="D1684" s="1" t="s">
        <v>1229</v>
      </c>
      <c r="E1684" s="6">
        <v>6.21</v>
      </c>
      <c r="F1684" s="1" t="s">
        <v>53</v>
      </c>
      <c r="G1684" s="6">
        <f ca="1">IFERROR(__xludf.DUMMYFUNCTION("iferror(GOOGLEFINANCE(TRIM(F1684)&amp;"":"" &amp; TRIM(B1684), ""price""),0
)"),0)</f>
        <v>0</v>
      </c>
      <c r="H1684" s="6">
        <v>9.57</v>
      </c>
      <c r="I1684" s="6">
        <f t="shared" ca="1" si="0"/>
        <v>9.57</v>
      </c>
      <c r="J1684" s="6">
        <f ca="1">IFERROR(__xludf.DUMMYFUNCTION("IFERROR(GOOGLEFINANCE(B1684, ""volume""), 0)"),0)</f>
        <v>0</v>
      </c>
      <c r="K1684" s="9"/>
      <c r="L1684" s="6" t="str">
        <f ca="1">IFERROR(__xludf.DUMMYFUNCTION("IFERROR(GOOGLEFINANCE(B1684,""changepct""),K1684)"),"")</f>
        <v/>
      </c>
      <c r="M1684" s="6">
        <f ca="1">IFERROR(__xludf.DUMMYFUNCTION("IFERROR(GOOGLEFINANCE(B1684,""change""),0)"),0)</f>
        <v>0</v>
      </c>
      <c r="N1684" s="6">
        <v>1</v>
      </c>
      <c r="O1684" s="7">
        <v>45536</v>
      </c>
      <c r="P1684" s="6">
        <v>10.47</v>
      </c>
      <c r="Q1684" s="6">
        <v>16.68</v>
      </c>
      <c r="R1684" s="7">
        <v>45352</v>
      </c>
      <c r="S1684" s="6">
        <v>10.37</v>
      </c>
      <c r="T1684" s="6">
        <v>-3</v>
      </c>
      <c r="U1684" s="7">
        <v>45352</v>
      </c>
      <c r="V1684" s="6">
        <v>0</v>
      </c>
      <c r="W1684" s="6">
        <f ca="1">IFERROR(__xludf.DUMMYFUNCTION("IFERROR(GOOGLEFINANCE(B1684,""pe""),V1684)"),0)</f>
        <v>0</v>
      </c>
      <c r="X1684" s="9"/>
      <c r="Y1684" s="6">
        <v>1.28</v>
      </c>
      <c r="Z1684" s="6">
        <v>1</v>
      </c>
      <c r="AA1684" s="8">
        <v>45352</v>
      </c>
      <c r="AB1684" s="4">
        <v>6.16</v>
      </c>
      <c r="AC1684" s="6">
        <v>-89.83</v>
      </c>
      <c r="AD1684" s="6">
        <v>-10.31</v>
      </c>
      <c r="AE1684" s="1">
        <v>0</v>
      </c>
      <c r="AF1684" s="1">
        <f ca="1">IFERROR(__xludf.DUMMYFUNCTION("IFERROR(GOOGLEFINANCE(TRIM(F1684)&amp;"":"" &amp; TRIM(B1684),""high52""),AE1684)"),0)</f>
        <v>0</v>
      </c>
      <c r="AG1684" s="1">
        <v>0</v>
      </c>
      <c r="AH1684" s="1">
        <f ca="1">IFERROR(__xludf.DUMMYFUNCTION("IFERROR(GOOGLEFINANCE(TRIM(F1684)&amp;"":"" &amp; TRIM(B1684),""low52""),AE1684)"),0)</f>
        <v>0</v>
      </c>
      <c r="AI1684" s="1">
        <f ca="1">IFERROR(__xludf.DUMMYFUNCTION("IFERROR(GOOGLEFINANCE(B1684,""eps""),0)"),0)</f>
        <v>0</v>
      </c>
      <c r="AJ1684" s="1"/>
      <c r="AK1684" s="9"/>
      <c r="AL1684" s="9">
        <f t="shared" si="213"/>
        <v>1</v>
      </c>
    </row>
    <row r="1685" spans="1:38" ht="15" x14ac:dyDescent="0.25">
      <c r="A1685" s="1" t="s">
        <v>5063</v>
      </c>
      <c r="B1685" s="1" t="s">
        <v>5064</v>
      </c>
      <c r="C1685" s="1" t="s">
        <v>106</v>
      </c>
      <c r="D1685" s="1" t="s">
        <v>106</v>
      </c>
      <c r="E1685" s="6">
        <v>44226.99</v>
      </c>
      <c r="F1685" s="1" t="s">
        <v>40</v>
      </c>
      <c r="G1685" s="6">
        <f ca="1">IFERROR(__xludf.DUMMYFUNCTION("iferror(GOOGLEFINANCE(TRIM(F1685)&amp;"":"" &amp; TRIM(B1685), ""price""),0
)"),1445.2)</f>
        <v>1445.2</v>
      </c>
      <c r="H1685" s="6">
        <v>1727.75</v>
      </c>
      <c r="I1685" s="6">
        <f t="shared" ca="1" si="0"/>
        <v>1445.2</v>
      </c>
      <c r="J1685" s="6">
        <f ca="1">IFERROR(__xludf.DUMMYFUNCTION("IFERROR(GOOGLEFINANCE(B1685, ""volume""), 0)"),499424)</f>
        <v>499424</v>
      </c>
      <c r="K1685" s="6">
        <v>-0.93</v>
      </c>
      <c r="L1685" s="6">
        <f ca="1">IFERROR(__xludf.DUMMYFUNCTION("IFERROR(GOOGLEFINANCE(B1685,""changepct""),K1685)"),2.93)</f>
        <v>2.93</v>
      </c>
      <c r="M1685" s="6">
        <f ca="1">IFERROR(__xludf.DUMMYFUNCTION("IFERROR(GOOGLEFINANCE(B1685,""change""),0)"),41.2)</f>
        <v>41.2</v>
      </c>
      <c r="N1685" s="6">
        <v>2</v>
      </c>
      <c r="O1685" s="7">
        <v>45536</v>
      </c>
      <c r="P1685" s="6">
        <v>1156.45</v>
      </c>
      <c r="Q1685" s="6">
        <v>45086.400000000001</v>
      </c>
      <c r="R1685" s="7">
        <v>45536</v>
      </c>
      <c r="S1685" s="6">
        <v>8533.4</v>
      </c>
      <c r="T1685" s="6">
        <v>669.98</v>
      </c>
      <c r="U1685" s="7">
        <v>45536</v>
      </c>
      <c r="V1685" s="6">
        <v>66.89</v>
      </c>
      <c r="W1685" s="6">
        <f ca="1">IFERROR(__xludf.DUMMYFUNCTION("IFERROR(GOOGLEFINANCE(B1685,""pe""),V1685)"),44.08)</f>
        <v>44.08</v>
      </c>
      <c r="X1685" s="6">
        <v>10</v>
      </c>
      <c r="Y1685" s="6">
        <v>6.6</v>
      </c>
      <c r="Z1685" s="6">
        <v>2</v>
      </c>
      <c r="AA1685" s="8">
        <v>45352</v>
      </c>
      <c r="AB1685" s="4">
        <v>0.22</v>
      </c>
      <c r="AC1685" s="6">
        <v>8.6999999999999993</v>
      </c>
      <c r="AD1685" s="6">
        <v>13.1</v>
      </c>
      <c r="AE1685" s="1">
        <v>0</v>
      </c>
      <c r="AF1685" s="1">
        <f ca="1">IFERROR(__xludf.DUMMYFUNCTION("IFERROR(GOOGLEFINANCE(TRIM(F1685)&amp;"":"" &amp; TRIM(B1685),""high52""),AE1685)"),1595)</f>
        <v>1595</v>
      </c>
      <c r="AG1685" s="1">
        <v>0</v>
      </c>
      <c r="AH1685" s="1">
        <f ca="1">IFERROR(__xludf.DUMMYFUNCTION("IFERROR(GOOGLEFINANCE(TRIM(F1685)&amp;"":"" &amp; TRIM(B1685),""low52""),AE1685)"),1168.2)</f>
        <v>1168.2</v>
      </c>
      <c r="AI1685" s="1">
        <f ca="1">IFERROR(__xludf.DUMMYFUNCTION("IFERROR(GOOGLEFINANCE(B1685,""eps""),0)"),32.78)</f>
        <v>32.78</v>
      </c>
      <c r="AJ1685" s="1"/>
      <c r="AK1685" s="9"/>
      <c r="AL1685" s="9">
        <f t="shared" si="213"/>
        <v>1</v>
      </c>
    </row>
    <row r="1686" spans="1:38" ht="15" x14ac:dyDescent="0.25">
      <c r="A1686" s="1" t="s">
        <v>5065</v>
      </c>
      <c r="B1686" s="1" t="s">
        <v>5066</v>
      </c>
      <c r="C1686" s="1" t="s">
        <v>1229</v>
      </c>
      <c r="D1686" s="1" t="s">
        <v>1229</v>
      </c>
      <c r="E1686" s="6">
        <v>9.49</v>
      </c>
      <c r="F1686" s="1" t="s">
        <v>53</v>
      </c>
      <c r="G1686" s="6">
        <f ca="1">IFERROR(__xludf.DUMMYFUNCTION("iferror(GOOGLEFINANCE(TRIM(F1686)&amp;"":"" &amp; TRIM(B1686), ""price""),0
)"),0)</f>
        <v>0</v>
      </c>
      <c r="H1686" s="6">
        <v>1.28</v>
      </c>
      <c r="I1686" s="6">
        <f t="shared" ca="1" si="0"/>
        <v>1.28</v>
      </c>
      <c r="J1686" s="6">
        <f ca="1">IFERROR(__xludf.DUMMYFUNCTION("IFERROR(GOOGLEFINANCE(B1686, ""volume""), 0)"),0)</f>
        <v>0</v>
      </c>
      <c r="K1686" s="6">
        <v>-4.4800000000000004</v>
      </c>
      <c r="L1686" s="6">
        <f ca="1">IFERROR(__xludf.DUMMYFUNCTION("IFERROR(GOOGLEFINANCE(B1686,""changepct""),K1686)"),-4.48)</f>
        <v>-4.4800000000000004</v>
      </c>
      <c r="M1686" s="6">
        <f ca="1">IFERROR(__xludf.DUMMYFUNCTION("IFERROR(GOOGLEFINANCE(B1686,""change""),0)"),0)</f>
        <v>0</v>
      </c>
      <c r="N1686" s="6">
        <v>2</v>
      </c>
      <c r="O1686" s="7">
        <v>45352</v>
      </c>
      <c r="P1686" s="6">
        <v>0</v>
      </c>
      <c r="Q1686" s="6">
        <v>9.44</v>
      </c>
      <c r="R1686" s="7">
        <v>45352</v>
      </c>
      <c r="S1686" s="6">
        <v>1.58</v>
      </c>
      <c r="T1686" s="6">
        <v>-0.11</v>
      </c>
      <c r="U1686" s="7">
        <v>45352</v>
      </c>
      <c r="V1686" s="6">
        <v>0</v>
      </c>
      <c r="W1686" s="6">
        <f ca="1">IFERROR(__xludf.DUMMYFUNCTION("IFERROR(GOOGLEFINANCE(B1686,""pe""),V1686)"),0)</f>
        <v>0</v>
      </c>
      <c r="X1686" s="6">
        <v>0</v>
      </c>
      <c r="Y1686" s="6">
        <v>1.26</v>
      </c>
      <c r="Z1686" s="6">
        <v>2</v>
      </c>
      <c r="AA1686" s="8">
        <v>45352</v>
      </c>
      <c r="AB1686" s="4">
        <v>0</v>
      </c>
      <c r="AC1686" s="6">
        <v>-1.41</v>
      </c>
      <c r="AD1686" s="6">
        <v>-1.35</v>
      </c>
      <c r="AE1686" s="1">
        <v>0</v>
      </c>
      <c r="AF1686" s="1">
        <f ca="1">IFERROR(__xludf.DUMMYFUNCTION("IFERROR(GOOGLEFINANCE(TRIM(F1686)&amp;"":"" &amp; TRIM(B1686),""high52""),AE1686)"),0)</f>
        <v>0</v>
      </c>
      <c r="AG1686" s="1">
        <v>0</v>
      </c>
      <c r="AH1686" s="1">
        <f ca="1">IFERROR(__xludf.DUMMYFUNCTION("IFERROR(GOOGLEFINANCE(TRIM(F1686)&amp;"":"" &amp; TRIM(B1686),""low52""),AE1686)"),0)</f>
        <v>0</v>
      </c>
      <c r="AI1686" s="1">
        <f ca="1">IFERROR(__xludf.DUMMYFUNCTION("IFERROR(GOOGLEFINANCE(B1686,""eps""),0)"),0)</f>
        <v>0</v>
      </c>
      <c r="AJ1686" s="1"/>
      <c r="AK1686" s="1" t="s">
        <v>5067</v>
      </c>
      <c r="AL1686" s="9">
        <f t="shared" si="213"/>
        <v>1</v>
      </c>
    </row>
    <row r="1687" spans="1:38" ht="15" x14ac:dyDescent="0.25">
      <c r="A1687" s="1" t="s">
        <v>5068</v>
      </c>
      <c r="B1687" s="1" t="s">
        <v>5069</v>
      </c>
      <c r="C1687" s="1" t="s">
        <v>1229</v>
      </c>
      <c r="D1687" s="1" t="s">
        <v>1229</v>
      </c>
      <c r="E1687" s="6">
        <v>29.89</v>
      </c>
      <c r="F1687" s="1" t="s">
        <v>53</v>
      </c>
      <c r="G1687" s="6">
        <f ca="1">IFERROR(__xludf.DUMMYFUNCTION("iferror(GOOGLEFINANCE(TRIM(F1687)&amp;"":"" &amp; TRIM(B1687), ""price""),0
)"),0)</f>
        <v>0</v>
      </c>
      <c r="H1687" s="6">
        <v>26.1</v>
      </c>
      <c r="I1687" s="6">
        <f t="shared" ca="1" si="0"/>
        <v>26.1</v>
      </c>
      <c r="J1687" s="6">
        <f ca="1">IFERROR(__xludf.DUMMYFUNCTION("IFERROR(GOOGLEFINANCE(B1687, ""volume""), 0)"),0)</f>
        <v>0</v>
      </c>
      <c r="K1687" s="6">
        <v>-4.1500000000000004</v>
      </c>
      <c r="L1687" s="6">
        <f ca="1">IFERROR(__xludf.DUMMYFUNCTION("IFERROR(GOOGLEFINANCE(B1687,""changepct""),K1687)"),-4.15)</f>
        <v>-4.1500000000000004</v>
      </c>
      <c r="M1687" s="6">
        <f ca="1">IFERROR(__xludf.DUMMYFUNCTION("IFERROR(GOOGLEFINANCE(B1687,""change""),0)"),0)</f>
        <v>0</v>
      </c>
      <c r="N1687" s="6">
        <v>1</v>
      </c>
      <c r="O1687" s="7">
        <v>45536</v>
      </c>
      <c r="P1687" s="6">
        <v>6.83</v>
      </c>
      <c r="Q1687" s="6">
        <v>33.85</v>
      </c>
      <c r="R1687" s="7">
        <v>45352</v>
      </c>
      <c r="S1687" s="6">
        <v>12.4</v>
      </c>
      <c r="T1687" s="6">
        <v>-0.61</v>
      </c>
      <c r="U1687" s="7">
        <v>45352</v>
      </c>
      <c r="V1687" s="6">
        <v>0</v>
      </c>
      <c r="W1687" s="6">
        <f ca="1">IFERROR(__xludf.DUMMYFUNCTION("IFERROR(GOOGLEFINANCE(B1687,""pe""),V1687)"),0)</f>
        <v>0</v>
      </c>
      <c r="X1687" s="9"/>
      <c r="Y1687" s="6">
        <v>2.7</v>
      </c>
      <c r="Z1687" s="6">
        <v>1</v>
      </c>
      <c r="AA1687" s="8">
        <v>45352</v>
      </c>
      <c r="AB1687" s="4">
        <v>0.81</v>
      </c>
      <c r="AC1687" s="6">
        <v>-5.17</v>
      </c>
      <c r="AD1687" s="6">
        <v>-0.24</v>
      </c>
      <c r="AE1687" s="1">
        <v>0</v>
      </c>
      <c r="AF1687" s="1">
        <f ca="1">IFERROR(__xludf.DUMMYFUNCTION("IFERROR(GOOGLEFINANCE(TRIM(F1687)&amp;"":"" &amp; TRIM(B1687),""high52""),AE1687)"),0)</f>
        <v>0</v>
      </c>
      <c r="AG1687" s="1">
        <v>0</v>
      </c>
      <c r="AH1687" s="1">
        <f ca="1">IFERROR(__xludf.DUMMYFUNCTION("IFERROR(GOOGLEFINANCE(TRIM(F1687)&amp;"":"" &amp; TRIM(B1687),""low52""),AE1687)"),0)</f>
        <v>0</v>
      </c>
      <c r="AI1687" s="1">
        <f ca="1">IFERROR(__xludf.DUMMYFUNCTION("IFERROR(GOOGLEFINANCE(B1687,""eps""),0)"),0)</f>
        <v>0</v>
      </c>
      <c r="AJ1687" s="1"/>
      <c r="AK1687" s="1" t="s">
        <v>5070</v>
      </c>
      <c r="AL1687" s="9">
        <f t="shared" si="213"/>
        <v>1</v>
      </c>
    </row>
    <row r="1688" spans="1:38" ht="15" x14ac:dyDescent="0.25">
      <c r="A1688" s="1" t="s">
        <v>5071</v>
      </c>
      <c r="B1688" s="1" t="s">
        <v>5072</v>
      </c>
      <c r="C1688" s="1" t="s">
        <v>1229</v>
      </c>
      <c r="D1688" s="1" t="s">
        <v>1229</v>
      </c>
      <c r="E1688" s="6">
        <v>7.15</v>
      </c>
      <c r="F1688" s="1" t="s">
        <v>53</v>
      </c>
      <c r="G1688" s="6">
        <f ca="1">IFERROR(__xludf.DUMMYFUNCTION("iferror(GOOGLEFINANCE(TRIM(F1688)&amp;"":"" &amp; TRIM(B1688), ""price""),0
)"),0)</f>
        <v>0</v>
      </c>
      <c r="H1688" s="6">
        <v>2.0499999999999998</v>
      </c>
      <c r="I1688" s="6">
        <f t="shared" ca="1" si="0"/>
        <v>2.0499999999999998</v>
      </c>
      <c r="J1688" s="6">
        <f ca="1">IFERROR(__xludf.DUMMYFUNCTION("IFERROR(GOOGLEFINANCE(B1688, ""volume""), 0)"),0)</f>
        <v>0</v>
      </c>
      <c r="K1688" s="6">
        <v>0</v>
      </c>
      <c r="L1688" s="6">
        <f ca="1">IFERROR(__xludf.DUMMYFUNCTION("IFERROR(GOOGLEFINANCE(B1688,""changepct""),K1688)"),0)</f>
        <v>0</v>
      </c>
      <c r="M1688" s="6">
        <f ca="1">IFERROR(__xludf.DUMMYFUNCTION("IFERROR(GOOGLEFINANCE(B1688,""change""),0)"),0)</f>
        <v>0</v>
      </c>
      <c r="N1688" s="6">
        <v>1</v>
      </c>
      <c r="O1688" s="7">
        <v>45536</v>
      </c>
      <c r="P1688" s="6">
        <v>3.71</v>
      </c>
      <c r="Q1688" s="6">
        <v>10.86</v>
      </c>
      <c r="R1688" s="7">
        <v>45536</v>
      </c>
      <c r="S1688" s="6">
        <v>0.28000000000000003</v>
      </c>
      <c r="T1688" s="6">
        <v>0.16</v>
      </c>
      <c r="U1688" s="7">
        <v>45536</v>
      </c>
      <c r="V1688" s="6">
        <v>43.87</v>
      </c>
      <c r="W1688" s="6">
        <f ca="1">IFERROR(__xludf.DUMMYFUNCTION("IFERROR(GOOGLEFINANCE(B1688,""pe""),V1688)"),43.87)</f>
        <v>43.87</v>
      </c>
      <c r="X1688" s="6">
        <v>2.82</v>
      </c>
      <c r="Y1688" s="6">
        <v>0.45</v>
      </c>
      <c r="Z1688" s="6">
        <v>1</v>
      </c>
      <c r="AA1688" s="8">
        <v>45352</v>
      </c>
      <c r="AB1688" s="4">
        <v>0.23</v>
      </c>
      <c r="AC1688" s="6">
        <v>1.07</v>
      </c>
      <c r="AD1688" s="6">
        <v>0.87</v>
      </c>
      <c r="AE1688" s="1">
        <v>0</v>
      </c>
      <c r="AF1688" s="1">
        <f ca="1">IFERROR(__xludf.DUMMYFUNCTION("IFERROR(GOOGLEFINANCE(TRIM(F1688)&amp;"":"" &amp; TRIM(B1688),""high52""),AE1688)"),0)</f>
        <v>0</v>
      </c>
      <c r="AG1688" s="1">
        <v>0</v>
      </c>
      <c r="AH1688" s="1">
        <f ca="1">IFERROR(__xludf.DUMMYFUNCTION("IFERROR(GOOGLEFINANCE(TRIM(F1688)&amp;"":"" &amp; TRIM(B1688),""low52""),AE1688)"),0)</f>
        <v>0</v>
      </c>
      <c r="AI1688" s="1">
        <f ca="1">IFERROR(__xludf.DUMMYFUNCTION("IFERROR(GOOGLEFINANCE(B1688,""eps""),0)"),0)</f>
        <v>0</v>
      </c>
      <c r="AJ1688" s="1"/>
      <c r="AK1688" s="9"/>
      <c r="AL1688" s="9">
        <f t="shared" si="213"/>
        <v>1</v>
      </c>
    </row>
    <row r="1689" spans="1:38" ht="15" x14ac:dyDescent="0.25">
      <c r="A1689" s="1" t="s">
        <v>5073</v>
      </c>
      <c r="B1689" s="1" t="s">
        <v>5074</v>
      </c>
      <c r="C1689" s="1" t="s">
        <v>86</v>
      </c>
      <c r="D1689" s="1" t="s">
        <v>86</v>
      </c>
      <c r="E1689" s="6">
        <v>36276.269999999997</v>
      </c>
      <c r="F1689" s="1" t="s">
        <v>40</v>
      </c>
      <c r="G1689" s="6">
        <f ca="1">IFERROR(__xludf.DUMMYFUNCTION("iferror(GOOGLEFINANCE(TRIM(F1689)&amp;"":"" &amp; TRIM(B1689), ""price""),0
)"),41.32)</f>
        <v>41.32</v>
      </c>
      <c r="H1689" s="6">
        <v>59.75</v>
      </c>
      <c r="I1689" s="6">
        <f t="shared" ca="1" si="0"/>
        <v>41.32</v>
      </c>
      <c r="J1689" s="6">
        <f ca="1">IFERROR(__xludf.DUMMYFUNCTION("IFERROR(GOOGLEFINANCE(B1689, ""volume""), 0)"),7174745)</f>
        <v>7174745</v>
      </c>
      <c r="K1689" s="6">
        <v>-0.56999999999999995</v>
      </c>
      <c r="L1689" s="6">
        <f ca="1">IFERROR(__xludf.DUMMYFUNCTION("IFERROR(GOOGLEFINANCE(B1689,""changepct""),K1689)"),1.77)</f>
        <v>1.77</v>
      </c>
      <c r="M1689" s="6">
        <f ca="1">IFERROR(__xludf.DUMMYFUNCTION("IFERROR(GOOGLEFINANCE(B1689,""change""),0)"),0.72)</f>
        <v>0.72</v>
      </c>
      <c r="N1689" s="6">
        <v>2</v>
      </c>
      <c r="O1689" s="7">
        <v>45536</v>
      </c>
      <c r="P1689" s="6">
        <v>18836.240000000002</v>
      </c>
      <c r="Q1689" s="6">
        <v>53414.73</v>
      </c>
      <c r="R1689" s="7">
        <v>45536</v>
      </c>
      <c r="S1689" s="6">
        <v>7468.56</v>
      </c>
      <c r="T1689" s="6">
        <v>939.32</v>
      </c>
      <c r="U1689" s="7">
        <v>45536</v>
      </c>
      <c r="V1689" s="6">
        <v>58.88</v>
      </c>
      <c r="W1689" s="6">
        <f ca="1">IFERROR(__xludf.DUMMYFUNCTION("IFERROR(GOOGLEFINANCE(B1689,""pe""),V1689)"),3.79)</f>
        <v>3.79</v>
      </c>
      <c r="X1689" s="6">
        <v>-8.99</v>
      </c>
      <c r="Y1689" s="6">
        <v>2.6</v>
      </c>
      <c r="Z1689" s="6">
        <v>2</v>
      </c>
      <c r="AA1689" s="17">
        <v>45352</v>
      </c>
      <c r="AB1689" s="18">
        <v>1.27</v>
      </c>
      <c r="AC1689" s="6">
        <v>4.47</v>
      </c>
      <c r="AD1689" s="6">
        <v>9.36</v>
      </c>
      <c r="AE1689" s="1">
        <v>0</v>
      </c>
      <c r="AF1689" s="1">
        <f ca="1">IFERROR(__xludf.DUMMYFUNCTION("IFERROR(GOOGLEFINANCE(TRIM(F1689)&amp;"":"" &amp; TRIM(B1689),""high52""),AE1689)"),55.15)</f>
        <v>55.15</v>
      </c>
      <c r="AG1689" s="1">
        <v>0</v>
      </c>
      <c r="AH1689" s="1">
        <f ca="1">IFERROR(__xludf.DUMMYFUNCTION("IFERROR(GOOGLEFINANCE(TRIM(F1689)&amp;"":"" &amp; TRIM(B1689),""low52""),AE1689)"),38.57)</f>
        <v>38.57</v>
      </c>
      <c r="AI1689" s="1">
        <f ca="1">IFERROR(__xludf.DUMMYFUNCTION("IFERROR(GOOGLEFINANCE(B1689,""eps""),0)"),10.9)</f>
        <v>10.9</v>
      </c>
      <c r="AJ1689" s="1"/>
      <c r="AK1689" s="1" t="s">
        <v>5075</v>
      </c>
      <c r="AL1689" s="9">
        <f t="shared" si="213"/>
        <v>1</v>
      </c>
    </row>
    <row r="1690" spans="1:38" ht="15" x14ac:dyDescent="0.25">
      <c r="A1690" s="1" t="s">
        <v>5076</v>
      </c>
      <c r="B1690" s="1" t="s">
        <v>5077</v>
      </c>
      <c r="C1690" s="1" t="s">
        <v>1229</v>
      </c>
      <c r="D1690" s="1" t="s">
        <v>1229</v>
      </c>
      <c r="E1690" s="6">
        <v>66.47</v>
      </c>
      <c r="F1690" s="1" t="s">
        <v>53</v>
      </c>
      <c r="G1690" s="6">
        <f ca="1">IFERROR(__xludf.DUMMYFUNCTION("iferror(GOOGLEFINANCE(TRIM(F1690)&amp;"":"" &amp; TRIM(B1690), ""price""),0
)"),0)</f>
        <v>0</v>
      </c>
      <c r="H1690" s="6">
        <v>12.88</v>
      </c>
      <c r="I1690" s="6">
        <f t="shared" ca="1" si="0"/>
        <v>12.88</v>
      </c>
      <c r="J1690" s="6">
        <f ca="1">IFERROR(__xludf.DUMMYFUNCTION("IFERROR(GOOGLEFINANCE(B1690, ""volume""), 0)"),137426)</f>
        <v>137426</v>
      </c>
      <c r="K1690" s="6">
        <v>1.74</v>
      </c>
      <c r="L1690" s="6">
        <f ca="1">IFERROR(__xludf.DUMMYFUNCTION("IFERROR(GOOGLEFINANCE(B1690,""changepct""),K1690)"),-2.69)</f>
        <v>-2.69</v>
      </c>
      <c r="M1690" s="6">
        <f ca="1">IFERROR(__xludf.DUMMYFUNCTION("IFERROR(GOOGLEFINANCE(B1690,""change""),0)"),-4.69)</f>
        <v>-4.6900000000000004</v>
      </c>
      <c r="N1690" s="6">
        <v>1</v>
      </c>
      <c r="O1690" s="7">
        <v>45536</v>
      </c>
      <c r="P1690" s="9"/>
      <c r="Q1690" s="6">
        <v>48.51</v>
      </c>
      <c r="R1690" s="7">
        <v>45536</v>
      </c>
      <c r="S1690" s="6">
        <v>7.54</v>
      </c>
      <c r="T1690" s="6">
        <v>2.2599999999999998</v>
      </c>
      <c r="U1690" s="7">
        <v>45536</v>
      </c>
      <c r="V1690" s="6">
        <v>29.45</v>
      </c>
      <c r="W1690" s="6">
        <f ca="1">IFERROR(__xludf.DUMMYFUNCTION("IFERROR(GOOGLEFINANCE(B1690,""pe""),V1690)"),22.52)</f>
        <v>22.52</v>
      </c>
      <c r="X1690" s="6">
        <v>4.0599999999999996</v>
      </c>
      <c r="Y1690" s="6">
        <v>2.5499999999999998</v>
      </c>
      <c r="Z1690" s="6">
        <v>1</v>
      </c>
      <c r="AA1690" s="8">
        <v>45352</v>
      </c>
      <c r="AB1690" s="4">
        <v>0</v>
      </c>
      <c r="AC1690" s="6">
        <v>8.1</v>
      </c>
      <c r="AD1690" s="6">
        <v>11.19</v>
      </c>
      <c r="AE1690" s="1">
        <v>0</v>
      </c>
      <c r="AF1690" s="1">
        <f ca="1">IFERROR(__xludf.DUMMYFUNCTION("IFERROR(GOOGLEFINANCE(TRIM(F1690)&amp;"":"" &amp; TRIM(B1690),""high52""),AE1690)"),0)</f>
        <v>0</v>
      </c>
      <c r="AG1690" s="1">
        <v>0</v>
      </c>
      <c r="AH1690" s="1">
        <f ca="1">IFERROR(__xludf.DUMMYFUNCTION("IFERROR(GOOGLEFINANCE(TRIM(F1690)&amp;"":"" &amp; TRIM(B1690),""low52""),AE1690)"),0)</f>
        <v>0</v>
      </c>
      <c r="AI1690" s="1">
        <f ca="1">IFERROR(__xludf.DUMMYFUNCTION("IFERROR(GOOGLEFINANCE(B1690,""eps""),0)"),7.53)</f>
        <v>7.53</v>
      </c>
      <c r="AJ1690" s="1"/>
      <c r="AK1690" s="9"/>
      <c r="AL1690" s="9">
        <f t="shared" si="213"/>
        <v>1</v>
      </c>
    </row>
    <row r="1691" spans="1:38" ht="15" x14ac:dyDescent="0.25">
      <c r="A1691" s="1" t="s">
        <v>5078</v>
      </c>
      <c r="B1691" s="1" t="s">
        <v>5079</v>
      </c>
      <c r="C1691" s="1" t="s">
        <v>5080</v>
      </c>
      <c r="D1691" s="1" t="s">
        <v>5080</v>
      </c>
      <c r="E1691" s="6">
        <v>0</v>
      </c>
      <c r="F1691" s="1" t="s">
        <v>40</v>
      </c>
      <c r="G1691" s="6">
        <f ca="1">IFERROR(__xludf.DUMMYFUNCTION("iferror(GOOGLEFINANCE(TRIM(F1691)&amp;"":"" &amp; TRIM(B1691), ""price""),0
)"),0)</f>
        <v>0</v>
      </c>
      <c r="H1691" s="6">
        <v>220.22</v>
      </c>
      <c r="I1691" s="6">
        <f t="shared" ca="1" si="0"/>
        <v>220.22</v>
      </c>
      <c r="J1691" s="6">
        <f ca="1">IFERROR(__xludf.DUMMYFUNCTION("IFERROR(GOOGLEFINANCE(B1691, ""volume""), 0)"),0)</f>
        <v>0</v>
      </c>
      <c r="K1691" s="9"/>
      <c r="L1691" s="6" t="str">
        <f ca="1">IFERROR(__xludf.DUMMYFUNCTION("IFERROR(GOOGLEFINANCE(B1691,""changepct""),K1691)"),"")</f>
        <v/>
      </c>
      <c r="M1691" s="6">
        <f ca="1">IFERROR(__xludf.DUMMYFUNCTION("IFERROR(GOOGLEFINANCE(B1691,""change""),0)"),0)</f>
        <v>0</v>
      </c>
      <c r="N1691" s="6">
        <v>1</v>
      </c>
      <c r="O1691" s="14"/>
      <c r="P1691" s="9"/>
      <c r="Q1691" s="6">
        <v>0</v>
      </c>
      <c r="R1691" s="14"/>
      <c r="S1691" s="9"/>
      <c r="T1691" s="9"/>
      <c r="U1691" s="6">
        <v>0</v>
      </c>
      <c r="V1691" s="9"/>
      <c r="W1691" s="6" t="str">
        <f ca="1">IFERROR(__xludf.DUMMYFUNCTION("IFERROR(GOOGLEFINANCE(B1691,""pe""),V1691)"),"")</f>
        <v/>
      </c>
      <c r="X1691" s="12"/>
      <c r="Y1691" s="9"/>
      <c r="Z1691" s="6">
        <v>1</v>
      </c>
      <c r="AA1691" s="3">
        <v>0</v>
      </c>
      <c r="AB1691" s="11"/>
      <c r="AC1691" s="9"/>
      <c r="AD1691" s="9"/>
      <c r="AE1691" s="1">
        <v>0</v>
      </c>
      <c r="AF1691" s="1">
        <f ca="1">IFERROR(__xludf.DUMMYFUNCTION("IFERROR(GOOGLEFINANCE(TRIM(F1691)&amp;"":"" &amp; TRIM(B1691),""high52""),AE1691)"),0)</f>
        <v>0</v>
      </c>
      <c r="AG1691" s="1">
        <v>0</v>
      </c>
      <c r="AH1691" s="1">
        <f ca="1">IFERROR(__xludf.DUMMYFUNCTION("IFERROR(GOOGLEFINANCE(TRIM(F1691)&amp;"":"" &amp; TRIM(B1691),""low52""),AE1691)"),0)</f>
        <v>0</v>
      </c>
      <c r="AI1691" s="1">
        <f ca="1">IFERROR(__xludf.DUMMYFUNCTION("IFERROR(GOOGLEFINANCE(B1691,""eps""),0)"),0)</f>
        <v>0</v>
      </c>
      <c r="AJ1691" s="1"/>
      <c r="AK1691" s="1" t="s">
        <v>5081</v>
      </c>
      <c r="AL1691" s="9">
        <f t="shared" si="213"/>
        <v>0</v>
      </c>
    </row>
    <row r="1692" spans="1:38" ht="15" x14ac:dyDescent="0.25">
      <c r="A1692" s="1" t="s">
        <v>5082</v>
      </c>
      <c r="B1692" s="1" t="s">
        <v>5083</v>
      </c>
      <c r="C1692" s="1" t="s">
        <v>1229</v>
      </c>
      <c r="D1692" s="1" t="s">
        <v>1229</v>
      </c>
      <c r="E1692" s="6">
        <v>8.17</v>
      </c>
      <c r="F1692" s="1" t="s">
        <v>53</v>
      </c>
      <c r="G1692" s="6">
        <f ca="1">IFERROR(__xludf.DUMMYFUNCTION("iferror(GOOGLEFINANCE(TRIM(F1692)&amp;"":"" &amp; TRIM(B1692), ""price""),0
)"),0)</f>
        <v>0</v>
      </c>
      <c r="H1692" s="6">
        <v>7.56</v>
      </c>
      <c r="I1692" s="6">
        <f t="shared" ca="1" si="0"/>
        <v>7.56</v>
      </c>
      <c r="J1692" s="6">
        <f ca="1">IFERROR(__xludf.DUMMYFUNCTION("IFERROR(GOOGLEFINANCE(B1692, ""volume""), 0)"),0)</f>
        <v>0</v>
      </c>
      <c r="K1692" s="6">
        <v>4.8499999999999996</v>
      </c>
      <c r="L1692" s="6">
        <f ca="1">IFERROR(__xludf.DUMMYFUNCTION("IFERROR(GOOGLEFINANCE(B1692,""changepct""),K1692)"),4.85)</f>
        <v>4.8499999999999996</v>
      </c>
      <c r="M1692" s="6">
        <f ca="1">IFERROR(__xludf.DUMMYFUNCTION("IFERROR(GOOGLEFINANCE(B1692,""change""),0)"),0)</f>
        <v>0</v>
      </c>
      <c r="N1692" s="6">
        <v>1</v>
      </c>
      <c r="O1692" s="7">
        <v>45536</v>
      </c>
      <c r="P1692" s="6">
        <v>1.51</v>
      </c>
      <c r="Q1692" s="6">
        <v>9.67</v>
      </c>
      <c r="R1692" s="7">
        <v>45536</v>
      </c>
      <c r="S1692" s="6">
        <v>0</v>
      </c>
      <c r="T1692" s="6">
        <v>-0.42</v>
      </c>
      <c r="U1692" s="7">
        <v>45536</v>
      </c>
      <c r="V1692" s="6">
        <v>0</v>
      </c>
      <c r="W1692" s="6">
        <f ca="1">IFERROR(__xludf.DUMMYFUNCTION("IFERROR(GOOGLEFINANCE(B1692,""pe""),V1692)"),0)</f>
        <v>0</v>
      </c>
      <c r="X1692" s="9"/>
      <c r="Y1692" s="6">
        <v>0.43</v>
      </c>
      <c r="Z1692" s="6">
        <v>1</v>
      </c>
      <c r="AA1692" s="8">
        <v>45352</v>
      </c>
      <c r="AB1692" s="4">
        <v>0.06</v>
      </c>
      <c r="AC1692" s="6">
        <v>-3.38</v>
      </c>
      <c r="AD1692" s="6">
        <v>-4.37</v>
      </c>
      <c r="AE1692" s="1">
        <v>0</v>
      </c>
      <c r="AF1692" s="1">
        <f ca="1">IFERROR(__xludf.DUMMYFUNCTION("IFERROR(GOOGLEFINANCE(TRIM(F1692)&amp;"":"" &amp; TRIM(B1692),""high52""),AE1692)"),0)</f>
        <v>0</v>
      </c>
      <c r="AG1692" s="1">
        <v>0</v>
      </c>
      <c r="AH1692" s="1">
        <f ca="1">IFERROR(__xludf.DUMMYFUNCTION("IFERROR(GOOGLEFINANCE(TRIM(F1692)&amp;"":"" &amp; TRIM(B1692),""low52""),AE1692)"),0)</f>
        <v>0</v>
      </c>
      <c r="AI1692" s="1">
        <f ca="1">IFERROR(__xludf.DUMMYFUNCTION("IFERROR(GOOGLEFINANCE(B1692,""eps""),0)"),0)</f>
        <v>0</v>
      </c>
      <c r="AJ1692" s="1"/>
      <c r="AK1692" s="1" t="s">
        <v>5084</v>
      </c>
      <c r="AL1692" s="9">
        <f t="shared" si="213"/>
        <v>1</v>
      </c>
    </row>
    <row r="1693" spans="1:38" ht="15" x14ac:dyDescent="0.25">
      <c r="A1693" s="1" t="s">
        <v>5085</v>
      </c>
      <c r="B1693" s="1" t="s">
        <v>5086</v>
      </c>
      <c r="C1693" s="1" t="s">
        <v>43</v>
      </c>
      <c r="D1693" s="1" t="s">
        <v>43</v>
      </c>
      <c r="E1693" s="6">
        <v>0</v>
      </c>
      <c r="F1693" s="1" t="s">
        <v>40</v>
      </c>
      <c r="G1693" s="6">
        <f ca="1">IFERROR(__xludf.DUMMYFUNCTION("iferror(GOOGLEFINANCE(TRIM(F1693)&amp;"":"" &amp; TRIM(B1693), ""price""),0
)"),0)</f>
        <v>0</v>
      </c>
      <c r="H1693" s="6">
        <v>60.49</v>
      </c>
      <c r="I1693" s="6">
        <f t="shared" ca="1" si="0"/>
        <v>60.49</v>
      </c>
      <c r="J1693" s="6">
        <f ca="1">IFERROR(__xludf.DUMMYFUNCTION("IFERROR(GOOGLEFINANCE(B1693, ""volume""), 0)"),0)</f>
        <v>0</v>
      </c>
      <c r="K1693" s="6">
        <v>-0.31</v>
      </c>
      <c r="L1693" s="6">
        <f ca="1">IFERROR(__xludf.DUMMYFUNCTION("IFERROR(GOOGLEFINANCE(B1693,""changepct""),K1693)"),-0.31)</f>
        <v>-0.31</v>
      </c>
      <c r="M1693" s="6">
        <f ca="1">IFERROR(__xludf.DUMMYFUNCTION("IFERROR(GOOGLEFINANCE(B1693,""change""),0)"),0)</f>
        <v>0</v>
      </c>
      <c r="N1693" s="6">
        <v>1</v>
      </c>
      <c r="O1693" s="7">
        <v>43525</v>
      </c>
      <c r="P1693" s="6">
        <v>485.9</v>
      </c>
      <c r="Q1693" s="7">
        <v>45352</v>
      </c>
      <c r="R1693" s="14"/>
      <c r="S1693" s="9"/>
      <c r="T1693" s="9"/>
      <c r="U1693" s="6">
        <v>2</v>
      </c>
      <c r="V1693" s="7">
        <v>45352</v>
      </c>
      <c r="W1693" s="10">
        <f ca="1">IFERROR(__xludf.DUMMYFUNCTION("IFERROR(GOOGLEFINANCE(B1693,""pe""),V1693)"),45352)</f>
        <v>45352</v>
      </c>
      <c r="X1693" s="6">
        <v>0.78</v>
      </c>
      <c r="Y1693" s="6">
        <v>9.42</v>
      </c>
      <c r="Z1693" s="6">
        <v>9.3699999999999992</v>
      </c>
      <c r="AA1693" s="3" t="s">
        <v>5087</v>
      </c>
      <c r="AB1693" s="11"/>
      <c r="AC1693" s="9"/>
      <c r="AD1693" s="9"/>
      <c r="AE1693" s="1">
        <v>0</v>
      </c>
      <c r="AF1693" s="1">
        <f ca="1">IFERROR(__xludf.DUMMYFUNCTION("IFERROR(GOOGLEFINANCE(TRIM(F1693)&amp;"":"" &amp; TRIM(B1693),""high52""),AE1693)"),0)</f>
        <v>0</v>
      </c>
      <c r="AG1693" s="1">
        <v>0</v>
      </c>
      <c r="AH1693" s="1">
        <f ca="1">IFERROR(__xludf.DUMMYFUNCTION("IFERROR(GOOGLEFINANCE(TRIM(F1693)&amp;"":"" &amp; TRIM(B1693),""low52""),AE1693)"),0)</f>
        <v>0</v>
      </c>
      <c r="AI1693" s="1">
        <f ca="1">IFERROR(__xludf.DUMMYFUNCTION("IFERROR(GOOGLEFINANCE(B1693,""eps""),0)"),0)</f>
        <v>0</v>
      </c>
      <c r="AJ1693" s="1"/>
      <c r="AK1693" s="1" t="s">
        <v>5088</v>
      </c>
      <c r="AL1693" s="9">
        <f t="shared" si="213"/>
        <v>1</v>
      </c>
    </row>
    <row r="1694" spans="1:38" ht="15" x14ac:dyDescent="0.25">
      <c r="A1694" s="1" t="s">
        <v>5089</v>
      </c>
      <c r="B1694" s="1" t="s">
        <v>5090</v>
      </c>
      <c r="C1694" s="1" t="s">
        <v>86</v>
      </c>
      <c r="D1694" s="1" t="s">
        <v>86</v>
      </c>
      <c r="E1694" s="6">
        <v>20493.84</v>
      </c>
      <c r="F1694" s="1" t="s">
        <v>40</v>
      </c>
      <c r="G1694" s="6">
        <f ca="1">IFERROR(__xludf.DUMMYFUNCTION("iferror(GOOGLEFINANCE(TRIM(F1694)&amp;"":"" &amp; TRIM(B1694), ""price""),0
)"),154.41)</f>
        <v>154.41</v>
      </c>
      <c r="H1694" s="6">
        <v>219.83</v>
      </c>
      <c r="I1694" s="6">
        <f t="shared" ca="1" si="0"/>
        <v>154.41</v>
      </c>
      <c r="J1694" s="6">
        <f ca="1">IFERROR(__xludf.DUMMYFUNCTION("IFERROR(GOOGLEFINANCE(B1694, ""volume""), 0)"),4326765)</f>
        <v>4326765</v>
      </c>
      <c r="K1694" s="6">
        <v>0.88</v>
      </c>
      <c r="L1694" s="6">
        <f ca="1">IFERROR(__xludf.DUMMYFUNCTION("IFERROR(GOOGLEFINANCE(B1694,""changepct""),K1694)"),0.44)</f>
        <v>0.44</v>
      </c>
      <c r="M1694" s="6">
        <f ca="1">IFERROR(__xludf.DUMMYFUNCTION("IFERROR(GOOGLEFINANCE(B1694,""change""),0)"),0.67)</f>
        <v>0.67</v>
      </c>
      <c r="N1694" s="6">
        <v>2</v>
      </c>
      <c r="O1694" s="7">
        <v>45536</v>
      </c>
      <c r="P1694" s="6">
        <v>3362.43</v>
      </c>
      <c r="Q1694" s="6">
        <v>20051.78</v>
      </c>
      <c r="R1694" s="7">
        <v>45536</v>
      </c>
      <c r="S1694" s="6">
        <v>11361.58</v>
      </c>
      <c r="T1694" s="6">
        <v>838.25</v>
      </c>
      <c r="U1694" s="7">
        <v>45536</v>
      </c>
      <c r="V1694" s="6">
        <v>22.24</v>
      </c>
      <c r="W1694" s="6">
        <f ca="1">IFERROR(__xludf.DUMMYFUNCTION("IFERROR(GOOGLEFINANCE(B1694,""pe""),V1694)"),24.18)</f>
        <v>24.18</v>
      </c>
      <c r="X1694" s="6">
        <v>1.42</v>
      </c>
      <c r="Y1694" s="6">
        <v>3.32</v>
      </c>
      <c r="Z1694" s="6">
        <v>2</v>
      </c>
      <c r="AA1694" s="8">
        <v>45352</v>
      </c>
      <c r="AB1694" s="4">
        <v>0.44</v>
      </c>
      <c r="AC1694" s="6">
        <v>16.77</v>
      </c>
      <c r="AD1694" s="6">
        <v>20.12</v>
      </c>
      <c r="AE1694" s="1">
        <v>0</v>
      </c>
      <c r="AF1694" s="1">
        <f ca="1">IFERROR(__xludf.DUMMYFUNCTION("IFERROR(GOOGLEFINANCE(TRIM(F1694)&amp;"":"" &amp; TRIM(B1694),""high52""),AE1694)"),225.52)</f>
        <v>225.52</v>
      </c>
      <c r="AG1694" s="1">
        <v>0</v>
      </c>
      <c r="AH1694" s="1">
        <f ca="1">IFERROR(__xludf.DUMMYFUNCTION("IFERROR(GOOGLEFINANCE(TRIM(F1694)&amp;"":"" &amp; TRIM(B1694),""low52""),AE1694)"),134.24)</f>
        <v>134.24</v>
      </c>
      <c r="AI1694" s="1">
        <f ca="1">IFERROR(__xludf.DUMMYFUNCTION("IFERROR(GOOGLEFINANCE(B1694,""eps""),0)"),6.38)</f>
        <v>6.38</v>
      </c>
      <c r="AJ1694" s="1"/>
      <c r="AK1694" s="1" t="s">
        <v>5091</v>
      </c>
      <c r="AL1694" s="9">
        <f t="shared" si="213"/>
        <v>1</v>
      </c>
    </row>
    <row r="1695" spans="1:38" ht="15" x14ac:dyDescent="0.25">
      <c r="A1695" s="1" t="s">
        <v>5092</v>
      </c>
      <c r="B1695" s="1" t="s">
        <v>5093</v>
      </c>
      <c r="C1695" s="1" t="s">
        <v>1229</v>
      </c>
      <c r="D1695" s="1" t="s">
        <v>1229</v>
      </c>
      <c r="E1695" s="6">
        <v>16.88</v>
      </c>
      <c r="F1695" s="1" t="s">
        <v>53</v>
      </c>
      <c r="G1695" s="6">
        <f ca="1">IFERROR(__xludf.DUMMYFUNCTION("iferror(GOOGLEFINANCE(TRIM(F1695)&amp;"":"" &amp; TRIM(B1695), ""price""),0
)"),0)</f>
        <v>0</v>
      </c>
      <c r="H1695" s="6">
        <v>5.79</v>
      </c>
      <c r="I1695" s="6">
        <f t="shared" ca="1" si="0"/>
        <v>5.79</v>
      </c>
      <c r="J1695" s="6">
        <f ca="1">IFERROR(__xludf.DUMMYFUNCTION("IFERROR(GOOGLEFINANCE(B1695, ""volume""), 0)"),0)</f>
        <v>0</v>
      </c>
      <c r="K1695" s="6">
        <v>4.8899999999999997</v>
      </c>
      <c r="L1695" s="6">
        <f ca="1">IFERROR(__xludf.DUMMYFUNCTION("IFERROR(GOOGLEFINANCE(B1695,""changepct""),K1695)"),4.89)</f>
        <v>4.8899999999999997</v>
      </c>
      <c r="M1695" s="6">
        <f ca="1">IFERROR(__xludf.DUMMYFUNCTION("IFERROR(GOOGLEFINANCE(B1695,""change""),0)"),0)</f>
        <v>0</v>
      </c>
      <c r="N1695" s="6">
        <v>1</v>
      </c>
      <c r="O1695" s="7">
        <v>45536</v>
      </c>
      <c r="P1695" s="6">
        <v>0</v>
      </c>
      <c r="Q1695" s="6">
        <v>16.87</v>
      </c>
      <c r="R1695" s="7">
        <v>45536</v>
      </c>
      <c r="S1695" s="6">
        <v>3.2</v>
      </c>
      <c r="T1695" s="6">
        <v>0.92</v>
      </c>
      <c r="U1695" s="7">
        <v>45536</v>
      </c>
      <c r="V1695" s="6">
        <v>18.3</v>
      </c>
      <c r="W1695" s="6">
        <f ca="1">IFERROR(__xludf.DUMMYFUNCTION("IFERROR(GOOGLEFINANCE(B1695,""pe""),V1695)"),18.3)</f>
        <v>18.3</v>
      </c>
      <c r="X1695" s="6">
        <v>0.22</v>
      </c>
      <c r="Y1695" s="6">
        <v>5.61</v>
      </c>
      <c r="Z1695" s="6">
        <v>1</v>
      </c>
      <c r="AA1695" s="8">
        <v>45352</v>
      </c>
      <c r="AB1695" s="4">
        <v>0</v>
      </c>
      <c r="AC1695" s="6">
        <v>3.05</v>
      </c>
      <c r="AD1695" s="6">
        <v>3.08</v>
      </c>
      <c r="AE1695" s="1">
        <v>0</v>
      </c>
      <c r="AF1695" s="1">
        <f ca="1">IFERROR(__xludf.DUMMYFUNCTION("IFERROR(GOOGLEFINANCE(TRIM(F1695)&amp;"":"" &amp; TRIM(B1695),""high52""),AE1695)"),0)</f>
        <v>0</v>
      </c>
      <c r="AG1695" s="1">
        <v>0</v>
      </c>
      <c r="AH1695" s="1">
        <f ca="1">IFERROR(__xludf.DUMMYFUNCTION("IFERROR(GOOGLEFINANCE(TRIM(F1695)&amp;"":"" &amp; TRIM(B1695),""low52""),AE1695)"),0)</f>
        <v>0</v>
      </c>
      <c r="AI1695" s="1">
        <f ca="1">IFERROR(__xludf.DUMMYFUNCTION("IFERROR(GOOGLEFINANCE(B1695,""eps""),0)"),0)</f>
        <v>0</v>
      </c>
      <c r="AJ1695" s="1"/>
      <c r="AK1695" s="1" t="s">
        <v>5094</v>
      </c>
      <c r="AL1695" s="9">
        <f t="shared" si="213"/>
        <v>1</v>
      </c>
    </row>
    <row r="1696" spans="1:38" ht="15" x14ac:dyDescent="0.25">
      <c r="A1696" s="1" t="s">
        <v>5095</v>
      </c>
      <c r="B1696" s="1" t="s">
        <v>5096</v>
      </c>
      <c r="C1696" s="1" t="s">
        <v>1229</v>
      </c>
      <c r="D1696" s="1" t="s">
        <v>1229</v>
      </c>
      <c r="E1696" s="6">
        <v>249.31</v>
      </c>
      <c r="F1696" s="1" t="s">
        <v>53</v>
      </c>
      <c r="G1696" s="6">
        <f ca="1">IFERROR(__xludf.DUMMYFUNCTION("iferror(GOOGLEFINANCE(TRIM(F1696)&amp;"":"" &amp; TRIM(B1696), ""price""),0
)"),0)</f>
        <v>0</v>
      </c>
      <c r="H1696" s="6">
        <v>53.5</v>
      </c>
      <c r="I1696" s="6">
        <f t="shared" ca="1" si="0"/>
        <v>53.5</v>
      </c>
      <c r="J1696" s="6">
        <f ca="1">IFERROR(__xludf.DUMMYFUNCTION("IFERROR(GOOGLEFINANCE(B1696, ""volume""), 0)"),0)</f>
        <v>0</v>
      </c>
      <c r="K1696" s="6">
        <v>-3.57</v>
      </c>
      <c r="L1696" s="6">
        <f ca="1">IFERROR(__xludf.DUMMYFUNCTION("IFERROR(GOOGLEFINANCE(B1696,""changepct""),K1696)"),-3.57)</f>
        <v>-3.57</v>
      </c>
      <c r="M1696" s="6">
        <f ca="1">IFERROR(__xludf.DUMMYFUNCTION("IFERROR(GOOGLEFINANCE(B1696,""change""),0)"),0)</f>
        <v>0</v>
      </c>
      <c r="N1696" s="6">
        <v>1</v>
      </c>
      <c r="O1696" s="7">
        <v>45352</v>
      </c>
      <c r="P1696" s="6">
        <v>17.37</v>
      </c>
      <c r="Q1696" s="6">
        <v>266.41000000000003</v>
      </c>
      <c r="R1696" s="7">
        <v>45536</v>
      </c>
      <c r="S1696" s="6">
        <v>9.6300000000000008</v>
      </c>
      <c r="T1696" s="6">
        <v>-4.6500000000000004</v>
      </c>
      <c r="U1696" s="7">
        <v>45536</v>
      </c>
      <c r="V1696" s="6">
        <v>0</v>
      </c>
      <c r="W1696" s="6">
        <f ca="1">IFERROR(__xludf.DUMMYFUNCTION("IFERROR(GOOGLEFINANCE(B1696,""pe""),V1696)"),0)</f>
        <v>0</v>
      </c>
      <c r="X1696" s="6">
        <v>0</v>
      </c>
      <c r="Y1696" s="6">
        <v>-12.29</v>
      </c>
      <c r="Z1696" s="6">
        <v>1</v>
      </c>
      <c r="AA1696" s="8">
        <v>45352</v>
      </c>
      <c r="AB1696" s="4">
        <v>-0.81</v>
      </c>
      <c r="AC1696" s="6">
        <v>0</v>
      </c>
      <c r="AD1696" s="6">
        <v>0</v>
      </c>
      <c r="AE1696" s="1">
        <v>0</v>
      </c>
      <c r="AF1696" s="1">
        <f ca="1">IFERROR(__xludf.DUMMYFUNCTION("IFERROR(GOOGLEFINANCE(TRIM(F1696)&amp;"":"" &amp; TRIM(B1696),""high52""),AE1696)"),0)</f>
        <v>0</v>
      </c>
      <c r="AG1696" s="1">
        <v>0</v>
      </c>
      <c r="AH1696" s="1">
        <f ca="1">IFERROR(__xludf.DUMMYFUNCTION("IFERROR(GOOGLEFINANCE(TRIM(F1696)&amp;"":"" &amp; TRIM(B1696),""low52""),AE1696)"),0)</f>
        <v>0</v>
      </c>
      <c r="AI1696" s="1">
        <f ca="1">IFERROR(__xludf.DUMMYFUNCTION("IFERROR(GOOGLEFINANCE(B1696,""eps""),0)"),0)</f>
        <v>0</v>
      </c>
      <c r="AJ1696" s="1"/>
      <c r="AK1696" s="9"/>
      <c r="AL1696" s="9">
        <f t="shared" si="213"/>
        <v>1</v>
      </c>
    </row>
    <row r="1697" spans="1:38" ht="15" x14ac:dyDescent="0.25">
      <c r="A1697" s="1" t="s">
        <v>5097</v>
      </c>
      <c r="B1697" s="1" t="s">
        <v>5098</v>
      </c>
      <c r="C1697" s="1" t="s">
        <v>1229</v>
      </c>
      <c r="D1697" s="1" t="s">
        <v>1229</v>
      </c>
      <c r="E1697" s="6">
        <v>136.12</v>
      </c>
      <c r="F1697" s="1" t="s">
        <v>53</v>
      </c>
      <c r="G1697" s="6">
        <f ca="1">IFERROR(__xludf.DUMMYFUNCTION("iferror(GOOGLEFINANCE(TRIM(F1697)&amp;"":"" &amp; TRIM(B1697), ""price""),0
)"),0)</f>
        <v>0</v>
      </c>
      <c r="H1697" s="6">
        <v>0.74</v>
      </c>
      <c r="I1697" s="6">
        <f t="shared" ca="1" si="0"/>
        <v>0.74</v>
      </c>
      <c r="J1697" s="6">
        <f ca="1">IFERROR(__xludf.DUMMYFUNCTION("IFERROR(GOOGLEFINANCE(B1697, ""volume""), 0)"),0)</f>
        <v>0</v>
      </c>
      <c r="K1697" s="6">
        <v>1.37</v>
      </c>
      <c r="L1697" s="6">
        <f ca="1">IFERROR(__xludf.DUMMYFUNCTION("IFERROR(GOOGLEFINANCE(B1697,""changepct""),K1697)"),1.37)</f>
        <v>1.37</v>
      </c>
      <c r="M1697" s="6">
        <f ca="1">IFERROR(__xludf.DUMMYFUNCTION("IFERROR(GOOGLEFINANCE(B1697,""change""),0)"),0)</f>
        <v>0</v>
      </c>
      <c r="N1697" s="6">
        <v>2</v>
      </c>
      <c r="O1697" s="7">
        <v>45536</v>
      </c>
      <c r="P1697" s="6">
        <v>15.86</v>
      </c>
      <c r="Q1697" s="6">
        <v>151.97999999999999</v>
      </c>
      <c r="R1697" s="7">
        <v>45536</v>
      </c>
      <c r="S1697" s="6">
        <v>0</v>
      </c>
      <c r="T1697" s="6">
        <v>-2.11</v>
      </c>
      <c r="U1697" s="7">
        <v>45536</v>
      </c>
      <c r="V1697" s="6">
        <v>0</v>
      </c>
      <c r="W1697" s="6">
        <f ca="1">IFERROR(__xludf.DUMMYFUNCTION("IFERROR(GOOGLEFINANCE(B1697,""pe""),V1697)"),0)</f>
        <v>0</v>
      </c>
      <c r="X1697" s="6">
        <v>0</v>
      </c>
      <c r="Y1697" s="6">
        <v>1.2</v>
      </c>
      <c r="Z1697" s="6">
        <v>2</v>
      </c>
      <c r="AA1697" s="17">
        <v>45352</v>
      </c>
      <c r="AB1697" s="18">
        <v>0.76</v>
      </c>
      <c r="AC1697" s="6">
        <v>-2.0699999999999998</v>
      </c>
      <c r="AD1697" s="6">
        <v>-2.42</v>
      </c>
      <c r="AE1697" s="1">
        <v>0</v>
      </c>
      <c r="AF1697" s="1">
        <f ca="1">IFERROR(__xludf.DUMMYFUNCTION("IFERROR(GOOGLEFINANCE(TRIM(F1697)&amp;"":"" &amp; TRIM(B1697),""high52""),AE1697)"),0)</f>
        <v>0</v>
      </c>
      <c r="AG1697" s="1">
        <v>0</v>
      </c>
      <c r="AH1697" s="1">
        <f ca="1">IFERROR(__xludf.DUMMYFUNCTION("IFERROR(GOOGLEFINANCE(TRIM(F1697)&amp;"":"" &amp; TRIM(B1697),""low52""),AE1697)"),0)</f>
        <v>0</v>
      </c>
      <c r="AI1697" s="1">
        <f ca="1">IFERROR(__xludf.DUMMYFUNCTION("IFERROR(GOOGLEFINANCE(B1697,""eps""),0)"),0)</f>
        <v>0</v>
      </c>
      <c r="AJ1697" s="1"/>
      <c r="AK1697" s="1" t="s">
        <v>5099</v>
      </c>
      <c r="AL1697" s="9">
        <f t="shared" si="213"/>
        <v>1</v>
      </c>
    </row>
    <row r="1698" spans="1:38" ht="15" x14ac:dyDescent="0.25">
      <c r="A1698" s="1" t="s">
        <v>5100</v>
      </c>
      <c r="B1698" s="1" t="s">
        <v>5101</v>
      </c>
      <c r="C1698" s="1" t="s">
        <v>1229</v>
      </c>
      <c r="D1698" s="1" t="s">
        <v>1229</v>
      </c>
      <c r="E1698" s="6">
        <v>35.99</v>
      </c>
      <c r="F1698" s="1" t="s">
        <v>53</v>
      </c>
      <c r="G1698" s="6">
        <f ca="1">IFERROR(__xludf.DUMMYFUNCTION("iferror(GOOGLEFINANCE(TRIM(F1698)&amp;"":"" &amp; TRIM(B1698), ""price""),0
)"),0)</f>
        <v>0</v>
      </c>
      <c r="H1698" s="6">
        <v>12.23</v>
      </c>
      <c r="I1698" s="6">
        <f t="shared" ca="1" si="0"/>
        <v>12.23</v>
      </c>
      <c r="J1698" s="6">
        <f ca="1">IFERROR(__xludf.DUMMYFUNCTION("IFERROR(GOOGLEFINANCE(B1698, ""volume""), 0)"),0)</f>
        <v>0</v>
      </c>
      <c r="K1698" s="6">
        <v>-1.92</v>
      </c>
      <c r="L1698" s="6">
        <f ca="1">IFERROR(__xludf.DUMMYFUNCTION("IFERROR(GOOGLEFINANCE(B1698,""changepct""),K1698)"),-1.92)</f>
        <v>-1.92</v>
      </c>
      <c r="M1698" s="6">
        <f ca="1">IFERROR(__xludf.DUMMYFUNCTION("IFERROR(GOOGLEFINANCE(B1698,""change""),0)"),0)</f>
        <v>0</v>
      </c>
      <c r="N1698" s="6">
        <v>1</v>
      </c>
      <c r="O1698" s="7">
        <v>45536</v>
      </c>
      <c r="P1698" s="9"/>
      <c r="Q1698" s="6">
        <v>35.72</v>
      </c>
      <c r="R1698" s="7">
        <v>45536</v>
      </c>
      <c r="S1698" s="6">
        <v>7.35</v>
      </c>
      <c r="T1698" s="6">
        <v>0.79</v>
      </c>
      <c r="U1698" s="7">
        <v>45536</v>
      </c>
      <c r="V1698" s="6">
        <v>45.38</v>
      </c>
      <c r="W1698" s="6">
        <f ca="1">IFERROR(__xludf.DUMMYFUNCTION("IFERROR(GOOGLEFINANCE(B1698,""pe""),V1698)"),45.38)</f>
        <v>45.38</v>
      </c>
      <c r="X1698" s="6">
        <v>1.23</v>
      </c>
      <c r="Y1698" s="6">
        <v>0.95</v>
      </c>
      <c r="Z1698" s="6">
        <v>1</v>
      </c>
      <c r="AA1698" s="8">
        <v>45352</v>
      </c>
      <c r="AB1698" s="4">
        <v>0</v>
      </c>
      <c r="AC1698" s="6">
        <v>5.85</v>
      </c>
      <c r="AD1698" s="6">
        <v>8.3699999999999992</v>
      </c>
      <c r="AE1698" s="1">
        <v>0</v>
      </c>
      <c r="AF1698" s="1">
        <f ca="1">IFERROR(__xludf.DUMMYFUNCTION("IFERROR(GOOGLEFINANCE(TRIM(F1698)&amp;"":"" &amp; TRIM(B1698),""high52""),AE1698)"),0)</f>
        <v>0</v>
      </c>
      <c r="AG1698" s="1">
        <v>0</v>
      </c>
      <c r="AH1698" s="1">
        <f ca="1">IFERROR(__xludf.DUMMYFUNCTION("IFERROR(GOOGLEFINANCE(TRIM(F1698)&amp;"":"" &amp; TRIM(B1698),""low52""),AE1698)"),0)</f>
        <v>0</v>
      </c>
      <c r="AI1698" s="1">
        <f ca="1">IFERROR(__xludf.DUMMYFUNCTION("IFERROR(GOOGLEFINANCE(B1698,""eps""),0)"),0)</f>
        <v>0</v>
      </c>
      <c r="AJ1698" s="1"/>
      <c r="AK1698" s="1" t="s">
        <v>5102</v>
      </c>
      <c r="AL1698" s="9">
        <f t="shared" si="213"/>
        <v>1</v>
      </c>
    </row>
    <row r="1699" spans="1:38" ht="15" x14ac:dyDescent="0.25">
      <c r="A1699" s="1" t="s">
        <v>5103</v>
      </c>
      <c r="B1699" s="1" t="s">
        <v>5104</v>
      </c>
      <c r="C1699" s="1" t="s">
        <v>1229</v>
      </c>
      <c r="D1699" s="1" t="s">
        <v>1229</v>
      </c>
      <c r="E1699" s="6">
        <v>5.75</v>
      </c>
      <c r="F1699" s="1" t="s">
        <v>53</v>
      </c>
      <c r="G1699" s="6">
        <f ca="1">IFERROR(__xludf.DUMMYFUNCTION("iferror(GOOGLEFINANCE(TRIM(F1699)&amp;"":"" &amp; TRIM(B1699), ""price""),0
)"),0)</f>
        <v>0</v>
      </c>
      <c r="H1699" s="6">
        <v>5.42</v>
      </c>
      <c r="I1699" s="6">
        <f t="shared" ca="1" si="0"/>
        <v>5.42</v>
      </c>
      <c r="J1699" s="6">
        <f ca="1">IFERROR(__xludf.DUMMYFUNCTION("IFERROR(GOOGLEFINANCE(B1699, ""volume""), 0)"),0)</f>
        <v>0</v>
      </c>
      <c r="K1699" s="6">
        <v>1.88</v>
      </c>
      <c r="L1699" s="6">
        <f ca="1">IFERROR(__xludf.DUMMYFUNCTION("IFERROR(GOOGLEFINANCE(B1699,""changepct""),K1699)"),1.88)</f>
        <v>1.88</v>
      </c>
      <c r="M1699" s="6">
        <f ca="1">IFERROR(__xludf.DUMMYFUNCTION("IFERROR(GOOGLEFINANCE(B1699,""change""),0)"),0)</f>
        <v>0</v>
      </c>
      <c r="N1699" s="6">
        <v>1</v>
      </c>
      <c r="O1699" s="7">
        <v>45536</v>
      </c>
      <c r="P1699" s="9"/>
      <c r="Q1699" s="6">
        <v>5.75</v>
      </c>
      <c r="R1699" s="7">
        <v>45536</v>
      </c>
      <c r="S1699" s="6">
        <v>2.75</v>
      </c>
      <c r="T1699" s="6">
        <v>-0.79</v>
      </c>
      <c r="U1699" s="7">
        <v>45536</v>
      </c>
      <c r="V1699" s="6">
        <v>0</v>
      </c>
      <c r="W1699" s="6">
        <f ca="1">IFERROR(__xludf.DUMMYFUNCTION("IFERROR(GOOGLEFINANCE(B1699,""pe""),V1699)"),0)</f>
        <v>0</v>
      </c>
      <c r="X1699" s="6">
        <v>0</v>
      </c>
      <c r="Y1699" s="6">
        <v>5.4</v>
      </c>
      <c r="Z1699" s="6">
        <v>1</v>
      </c>
      <c r="AA1699" s="8">
        <v>44986</v>
      </c>
      <c r="AB1699" s="4">
        <v>0.38</v>
      </c>
      <c r="AC1699" s="6">
        <v>-7.58</v>
      </c>
      <c r="AD1699" s="6">
        <v>-7.55</v>
      </c>
      <c r="AE1699" s="1">
        <v>0</v>
      </c>
      <c r="AF1699" s="1">
        <f ca="1">IFERROR(__xludf.DUMMYFUNCTION("IFERROR(GOOGLEFINANCE(TRIM(F1699)&amp;"":"" &amp; TRIM(B1699),""high52""),AE1699)"),0)</f>
        <v>0</v>
      </c>
      <c r="AG1699" s="1">
        <v>0</v>
      </c>
      <c r="AH1699" s="1">
        <f ca="1">IFERROR(__xludf.DUMMYFUNCTION("IFERROR(GOOGLEFINANCE(TRIM(F1699)&amp;"":"" &amp; TRIM(B1699),""low52""),AE1699)"),0)</f>
        <v>0</v>
      </c>
      <c r="AI1699" s="1">
        <f ca="1">IFERROR(__xludf.DUMMYFUNCTION("IFERROR(GOOGLEFINANCE(B1699,""eps""),0)"),0)</f>
        <v>0</v>
      </c>
      <c r="AJ1699" s="1"/>
      <c r="AK1699" s="1" t="s">
        <v>5105</v>
      </c>
      <c r="AL1699" s="9">
        <f t="shared" si="213"/>
        <v>1</v>
      </c>
    </row>
    <row r="1700" spans="1:38" ht="15" x14ac:dyDescent="0.25">
      <c r="A1700" s="1" t="s">
        <v>5106</v>
      </c>
      <c r="B1700" s="1" t="s">
        <v>5107</v>
      </c>
      <c r="C1700" s="1" t="s">
        <v>1229</v>
      </c>
      <c r="D1700" s="1" t="s">
        <v>1229</v>
      </c>
      <c r="E1700" s="6">
        <v>609.94000000000005</v>
      </c>
      <c r="F1700" s="1" t="s">
        <v>53</v>
      </c>
      <c r="G1700" s="6">
        <f ca="1">IFERROR(__xludf.DUMMYFUNCTION("iferror(GOOGLEFINANCE(TRIM(F1700)&amp;"":"" &amp; TRIM(B1700), ""price""),0
)"),0)</f>
        <v>0</v>
      </c>
      <c r="H1700" s="6">
        <v>260</v>
      </c>
      <c r="I1700" s="6">
        <f t="shared" ca="1" si="0"/>
        <v>260</v>
      </c>
      <c r="J1700" s="6">
        <f ca="1">IFERROR(__xludf.DUMMYFUNCTION("IFERROR(GOOGLEFINANCE(B1700, ""volume""), 0)"),0)</f>
        <v>0</v>
      </c>
      <c r="K1700" s="6">
        <v>4.3499999999999996</v>
      </c>
      <c r="L1700" s="6">
        <f ca="1">IFERROR(__xludf.DUMMYFUNCTION("IFERROR(GOOGLEFINANCE(B1700,""changepct""),K1700)"),4.35)</f>
        <v>4.3499999999999996</v>
      </c>
      <c r="M1700" s="6">
        <f ca="1">IFERROR(__xludf.DUMMYFUNCTION("IFERROR(GOOGLEFINANCE(B1700,""change""),0)"),0)</f>
        <v>0</v>
      </c>
      <c r="N1700" s="6">
        <v>2</v>
      </c>
      <c r="O1700" s="7">
        <v>45536</v>
      </c>
      <c r="P1700" s="6">
        <v>9.92</v>
      </c>
      <c r="Q1700" s="6">
        <v>619.85</v>
      </c>
      <c r="R1700" s="7">
        <v>45536</v>
      </c>
      <c r="S1700" s="6">
        <v>5.38</v>
      </c>
      <c r="T1700" s="6">
        <v>-0.18</v>
      </c>
      <c r="U1700" s="7">
        <v>45536</v>
      </c>
      <c r="V1700" s="6">
        <v>0</v>
      </c>
      <c r="W1700" s="6">
        <f ca="1">IFERROR(__xludf.DUMMYFUNCTION("IFERROR(GOOGLEFINANCE(B1700,""pe""),V1700)"),0)</f>
        <v>0</v>
      </c>
      <c r="X1700" s="6">
        <v>0</v>
      </c>
      <c r="Y1700" s="6">
        <v>23.68</v>
      </c>
      <c r="Z1700" s="6">
        <v>2</v>
      </c>
      <c r="AA1700" s="8">
        <v>45352</v>
      </c>
      <c r="AB1700" s="4">
        <v>0.36</v>
      </c>
      <c r="AC1700" s="6">
        <v>18.64</v>
      </c>
      <c r="AD1700" s="6">
        <v>13.62</v>
      </c>
      <c r="AE1700" s="1">
        <v>0</v>
      </c>
      <c r="AF1700" s="1">
        <f ca="1">IFERROR(__xludf.DUMMYFUNCTION("IFERROR(GOOGLEFINANCE(TRIM(F1700)&amp;"":"" &amp; TRIM(B1700),""high52""),AE1700)"),0)</f>
        <v>0</v>
      </c>
      <c r="AG1700" s="1">
        <v>0</v>
      </c>
      <c r="AH1700" s="1">
        <f ca="1">IFERROR(__xludf.DUMMYFUNCTION("IFERROR(GOOGLEFINANCE(TRIM(F1700)&amp;"":"" &amp; TRIM(B1700),""low52""),AE1700)"),0)</f>
        <v>0</v>
      </c>
      <c r="AI1700" s="1">
        <f ca="1">IFERROR(__xludf.DUMMYFUNCTION("IFERROR(GOOGLEFINANCE(B1700,""eps""),0)"),0)</f>
        <v>0</v>
      </c>
      <c r="AJ1700" s="1"/>
      <c r="AK1700" s="1" t="s">
        <v>5108</v>
      </c>
      <c r="AL1700" s="9">
        <f t="shared" si="213"/>
        <v>1</v>
      </c>
    </row>
    <row r="1701" spans="1:38" ht="15" x14ac:dyDescent="0.25">
      <c r="A1701" s="1" t="s">
        <v>5109</v>
      </c>
      <c r="B1701" s="1" t="s">
        <v>5110</v>
      </c>
      <c r="C1701" s="1" t="s">
        <v>1229</v>
      </c>
      <c r="D1701" s="1" t="s">
        <v>1229</v>
      </c>
      <c r="E1701" s="6">
        <v>1841.84</v>
      </c>
      <c r="F1701" s="1" t="s">
        <v>53</v>
      </c>
      <c r="G1701" s="6">
        <f ca="1">IFERROR(__xludf.DUMMYFUNCTION("iferror(GOOGLEFINANCE(TRIM(F1701)&amp;"":"" &amp; TRIM(B1701), ""price""),0
)"),0)</f>
        <v>0</v>
      </c>
      <c r="H1701" s="6">
        <v>16.45</v>
      </c>
      <c r="I1701" s="6">
        <f t="shared" ca="1" si="0"/>
        <v>16.45</v>
      </c>
      <c r="J1701" s="6">
        <f ca="1">IFERROR(__xludf.DUMMYFUNCTION("IFERROR(GOOGLEFINANCE(B1701, ""volume""), 0)"),0)</f>
        <v>0</v>
      </c>
      <c r="K1701" s="6">
        <v>1.17</v>
      </c>
      <c r="L1701" s="6">
        <f ca="1">IFERROR(__xludf.DUMMYFUNCTION("IFERROR(GOOGLEFINANCE(B1701,""changepct""),K1701)"),1.17)</f>
        <v>1.17</v>
      </c>
      <c r="M1701" s="6">
        <f ca="1">IFERROR(__xludf.DUMMYFUNCTION("IFERROR(GOOGLEFINANCE(B1701,""change""),0)"),0)</f>
        <v>0</v>
      </c>
      <c r="N1701" s="6">
        <v>2</v>
      </c>
      <c r="O1701" s="7">
        <v>45536</v>
      </c>
      <c r="P1701" s="12"/>
      <c r="Q1701" s="6">
        <v>1836.2</v>
      </c>
      <c r="R1701" s="7">
        <v>45536</v>
      </c>
      <c r="S1701" s="6">
        <v>1834.62</v>
      </c>
      <c r="T1701" s="6">
        <v>7.85</v>
      </c>
      <c r="U1701" s="7">
        <v>45536</v>
      </c>
      <c r="V1701" s="6">
        <v>310.86</v>
      </c>
      <c r="W1701" s="6">
        <f ca="1">IFERROR(__xludf.DUMMYFUNCTION("IFERROR(GOOGLEFINANCE(B1701,""pe""),V1701)"),310.86)</f>
        <v>310.86</v>
      </c>
      <c r="X1701" s="6">
        <v>21.2</v>
      </c>
      <c r="Y1701" s="6">
        <v>7.45</v>
      </c>
      <c r="Z1701" s="6">
        <v>2</v>
      </c>
      <c r="AA1701" s="8">
        <v>45352</v>
      </c>
      <c r="AB1701" s="4">
        <v>0.43</v>
      </c>
      <c r="AC1701" s="6">
        <v>3.56</v>
      </c>
      <c r="AD1701" s="6">
        <v>5.88</v>
      </c>
      <c r="AE1701" s="1">
        <v>0</v>
      </c>
      <c r="AF1701" s="1">
        <f ca="1">IFERROR(__xludf.DUMMYFUNCTION("IFERROR(GOOGLEFINANCE(TRIM(F1701)&amp;"":"" &amp; TRIM(B1701),""high52""),AE1701)"),0)</f>
        <v>0</v>
      </c>
      <c r="AG1701" s="1">
        <v>0</v>
      </c>
      <c r="AH1701" s="1">
        <f ca="1">IFERROR(__xludf.DUMMYFUNCTION("IFERROR(GOOGLEFINANCE(TRIM(F1701)&amp;"":"" &amp; TRIM(B1701),""low52""),AE1701)"),0)</f>
        <v>0</v>
      </c>
      <c r="AI1701" s="1">
        <f ca="1">IFERROR(__xludf.DUMMYFUNCTION("IFERROR(GOOGLEFINANCE(B1701,""eps""),0)"),0)</f>
        <v>0</v>
      </c>
      <c r="AJ1701" s="1"/>
      <c r="AK1701" s="1" t="s">
        <v>5111</v>
      </c>
      <c r="AL1701" s="9">
        <f t="shared" si="213"/>
        <v>1</v>
      </c>
    </row>
    <row r="1702" spans="1:38" ht="15" x14ac:dyDescent="0.25">
      <c r="A1702" s="1" t="s">
        <v>5112</v>
      </c>
      <c r="B1702" s="1" t="s">
        <v>5113</v>
      </c>
      <c r="C1702" s="1" t="s">
        <v>1229</v>
      </c>
      <c r="D1702" s="1" t="s">
        <v>1229</v>
      </c>
      <c r="E1702" s="6">
        <v>45.96</v>
      </c>
      <c r="F1702" s="1" t="s">
        <v>53</v>
      </c>
      <c r="G1702" s="6">
        <f ca="1">IFERROR(__xludf.DUMMYFUNCTION("iferror(GOOGLEFINANCE(TRIM(F1702)&amp;"":"" &amp; TRIM(B1702), ""price""),0
)"),0)</f>
        <v>0</v>
      </c>
      <c r="H1702" s="6">
        <v>32.5</v>
      </c>
      <c r="I1702" s="6">
        <f t="shared" ca="1" si="0"/>
        <v>32.5</v>
      </c>
      <c r="J1702" s="6">
        <f ca="1">IFERROR(__xludf.DUMMYFUNCTION("IFERROR(GOOGLEFINANCE(B1702, ""volume""), 0)"),0)</f>
        <v>0</v>
      </c>
      <c r="K1702" s="6">
        <v>4.0999999999999996</v>
      </c>
      <c r="L1702" s="6">
        <f ca="1">IFERROR(__xludf.DUMMYFUNCTION("IFERROR(GOOGLEFINANCE(B1702,""changepct""),K1702)"),4.1)</f>
        <v>4.0999999999999996</v>
      </c>
      <c r="M1702" s="6">
        <f ca="1">IFERROR(__xludf.DUMMYFUNCTION("IFERROR(GOOGLEFINANCE(B1702,""change""),0)"),0)</f>
        <v>0</v>
      </c>
      <c r="N1702" s="6">
        <v>1</v>
      </c>
      <c r="O1702" s="7">
        <v>45536</v>
      </c>
      <c r="P1702" s="6">
        <v>34.18</v>
      </c>
      <c r="Q1702" s="6">
        <v>80.14</v>
      </c>
      <c r="R1702" s="7">
        <v>45536</v>
      </c>
      <c r="S1702" s="6">
        <v>31.75</v>
      </c>
      <c r="T1702" s="6">
        <v>4.1900000000000004</v>
      </c>
      <c r="U1702" s="7">
        <v>45536</v>
      </c>
      <c r="V1702" s="6">
        <v>10.95</v>
      </c>
      <c r="W1702" s="6">
        <f ca="1">IFERROR(__xludf.DUMMYFUNCTION("IFERROR(GOOGLEFINANCE(B1702,""pe""),V1702)"),10.95)</f>
        <v>10.95</v>
      </c>
      <c r="X1702" s="6">
        <v>0.54</v>
      </c>
      <c r="Y1702" s="6">
        <v>-1.5</v>
      </c>
      <c r="Z1702" s="6">
        <v>1</v>
      </c>
      <c r="AA1702" s="8">
        <v>45352</v>
      </c>
      <c r="AB1702" s="4">
        <v>-0.99</v>
      </c>
      <c r="AC1702" s="6">
        <v>0</v>
      </c>
      <c r="AD1702" s="6">
        <v>0</v>
      </c>
      <c r="AE1702" s="1">
        <v>0</v>
      </c>
      <c r="AF1702" s="1">
        <f ca="1">IFERROR(__xludf.DUMMYFUNCTION("IFERROR(GOOGLEFINANCE(TRIM(F1702)&amp;"":"" &amp; TRIM(B1702),""high52""),AE1702)"),0)</f>
        <v>0</v>
      </c>
      <c r="AG1702" s="1">
        <v>0</v>
      </c>
      <c r="AH1702" s="1">
        <f ca="1">IFERROR(__xludf.DUMMYFUNCTION("IFERROR(GOOGLEFINANCE(TRIM(F1702)&amp;"":"" &amp; TRIM(B1702),""low52""),AE1702)"),0)</f>
        <v>0</v>
      </c>
      <c r="AI1702" s="1">
        <f ca="1">IFERROR(__xludf.DUMMYFUNCTION("IFERROR(GOOGLEFINANCE(B1702,""eps""),0)"),0)</f>
        <v>0</v>
      </c>
      <c r="AJ1702" s="1"/>
      <c r="AK1702" s="6">
        <v>40.770000000000003</v>
      </c>
      <c r="AL1702" s="9">
        <f t="shared" si="213"/>
        <v>1</v>
      </c>
    </row>
    <row r="1703" spans="1:38" ht="15" x14ac:dyDescent="0.25">
      <c r="A1703" s="1" t="s">
        <v>5114</v>
      </c>
      <c r="B1703" s="1" t="s">
        <v>5115</v>
      </c>
      <c r="C1703" s="1" t="s">
        <v>90</v>
      </c>
      <c r="D1703" s="1" t="s">
        <v>90</v>
      </c>
      <c r="E1703" s="6">
        <v>891.76</v>
      </c>
      <c r="F1703" s="1" t="s">
        <v>40</v>
      </c>
      <c r="G1703" s="6">
        <f ca="1">IFERROR(__xludf.DUMMYFUNCTION("iferror(GOOGLEFINANCE(TRIM(F1703)&amp;"":"" &amp; TRIM(B1703), ""price""),0
)"),288.5)</f>
        <v>288.5</v>
      </c>
      <c r="H1703" s="6">
        <v>452.1</v>
      </c>
      <c r="I1703" s="6">
        <f t="shared" ca="1" si="0"/>
        <v>288.5</v>
      </c>
      <c r="J1703" s="6">
        <f ca="1">IFERROR(__xludf.DUMMYFUNCTION("IFERROR(GOOGLEFINANCE(B1703, ""volume""), 0)"),0)</f>
        <v>0</v>
      </c>
      <c r="K1703" s="6">
        <v>-0.42</v>
      </c>
      <c r="L1703" s="6">
        <f ca="1">IFERROR(__xludf.DUMMYFUNCTION("IFERROR(GOOGLEFINANCE(B1703,""changepct""),K1703)"),-0.42)</f>
        <v>-0.42</v>
      </c>
      <c r="M1703" s="6">
        <f ca="1">IFERROR(__xludf.DUMMYFUNCTION("IFERROR(GOOGLEFINANCE(B1703,""change""),0)"),0)</f>
        <v>0</v>
      </c>
      <c r="N1703" s="6">
        <v>2</v>
      </c>
      <c r="O1703" s="7">
        <v>45536</v>
      </c>
      <c r="P1703" s="6">
        <v>3.59</v>
      </c>
      <c r="Q1703" s="6">
        <v>872.79</v>
      </c>
      <c r="R1703" s="7">
        <v>45536</v>
      </c>
      <c r="S1703" s="6">
        <v>116.19</v>
      </c>
      <c r="T1703" s="6">
        <v>13.26</v>
      </c>
      <c r="U1703" s="7">
        <v>45536</v>
      </c>
      <c r="V1703" s="6">
        <v>68.03</v>
      </c>
      <c r="W1703" s="6">
        <f ca="1">IFERROR(__xludf.DUMMYFUNCTION("IFERROR(GOOGLEFINANCE(B1703,""pe""),V1703)"),68.03)</f>
        <v>68.03</v>
      </c>
      <c r="X1703" s="6">
        <v>2.44</v>
      </c>
      <c r="Y1703" s="6">
        <v>15.48</v>
      </c>
      <c r="Z1703" s="6">
        <v>2</v>
      </c>
      <c r="AA1703" s="8">
        <v>45352</v>
      </c>
      <c r="AB1703" s="4">
        <v>0.14000000000000001</v>
      </c>
      <c r="AC1703" s="6">
        <v>24.78</v>
      </c>
      <c r="AD1703" s="6">
        <v>27.25</v>
      </c>
      <c r="AE1703" s="1">
        <v>0</v>
      </c>
      <c r="AF1703" s="1">
        <f ca="1">IFERROR(__xludf.DUMMYFUNCTION("IFERROR(GOOGLEFINANCE(TRIM(F1703)&amp;"":"" &amp; TRIM(B1703),""high52""),AE1703)"),447.45)</f>
        <v>447.45</v>
      </c>
      <c r="AG1703" s="1">
        <v>0</v>
      </c>
      <c r="AH1703" s="1">
        <f ca="1">IFERROR(__xludf.DUMMYFUNCTION("IFERROR(GOOGLEFINANCE(TRIM(F1703)&amp;"":"" &amp; TRIM(B1703),""low52""),AE1703)"),228.05)</f>
        <v>228.05</v>
      </c>
      <c r="AI1703" s="1">
        <f ca="1">IFERROR(__xludf.DUMMYFUNCTION("IFERROR(GOOGLEFINANCE(B1703,""eps""),0)"),0)</f>
        <v>0</v>
      </c>
      <c r="AJ1703" s="1"/>
      <c r="AK1703" s="1" t="s">
        <v>5116</v>
      </c>
      <c r="AL1703" s="1" t="b">
        <f>ISNUMBER(AA1703)</f>
        <v>1</v>
      </c>
    </row>
    <row r="1704" spans="1:38" ht="15" x14ac:dyDescent="0.25">
      <c r="A1704" s="1" t="s">
        <v>5117</v>
      </c>
      <c r="B1704" s="1" t="s">
        <v>5118</v>
      </c>
      <c r="C1704" s="1" t="s">
        <v>1229</v>
      </c>
      <c r="D1704" s="1" t="s">
        <v>1229</v>
      </c>
      <c r="E1704" s="6">
        <v>11.32</v>
      </c>
      <c r="F1704" s="1" t="s">
        <v>53</v>
      </c>
      <c r="G1704" s="6">
        <f ca="1">IFERROR(__xludf.DUMMYFUNCTION("iferror(GOOGLEFINANCE(TRIM(F1704)&amp;"":"" &amp; TRIM(B1704), ""price""),0
)"),0)</f>
        <v>0</v>
      </c>
      <c r="H1704" s="6">
        <v>0.62</v>
      </c>
      <c r="I1704" s="6">
        <f t="shared" ca="1" si="0"/>
        <v>0.62</v>
      </c>
      <c r="J1704" s="6">
        <f ca="1">IFERROR(__xludf.DUMMYFUNCTION("IFERROR(GOOGLEFINANCE(B1704, ""volume""), 0)"),0)</f>
        <v>0</v>
      </c>
      <c r="K1704" s="6">
        <v>1.64</v>
      </c>
      <c r="L1704" s="6">
        <f ca="1">IFERROR(__xludf.DUMMYFUNCTION("IFERROR(GOOGLEFINANCE(B1704,""changepct""),K1704)"),1.64)</f>
        <v>1.64</v>
      </c>
      <c r="M1704" s="6">
        <f ca="1">IFERROR(__xludf.DUMMYFUNCTION("IFERROR(GOOGLEFINANCE(B1704,""change""),0)"),0)</f>
        <v>0</v>
      </c>
      <c r="N1704" s="6">
        <v>1</v>
      </c>
      <c r="O1704" s="7">
        <v>45536</v>
      </c>
      <c r="P1704" s="6">
        <v>9.0399999999999991</v>
      </c>
      <c r="Q1704" s="6">
        <v>20.190000000000001</v>
      </c>
      <c r="R1704" s="7">
        <v>45536</v>
      </c>
      <c r="S1704" s="6">
        <v>0</v>
      </c>
      <c r="T1704" s="6">
        <v>0.44</v>
      </c>
      <c r="U1704" s="7">
        <v>45536</v>
      </c>
      <c r="V1704" s="6">
        <v>25.6</v>
      </c>
      <c r="W1704" s="6">
        <f ca="1">IFERROR(__xludf.DUMMYFUNCTION("IFERROR(GOOGLEFINANCE(B1704,""pe""),V1704)"),25.6)</f>
        <v>25.6</v>
      </c>
      <c r="X1704" s="9"/>
      <c r="Y1704" s="6">
        <v>1.71</v>
      </c>
      <c r="Z1704" s="6">
        <v>1</v>
      </c>
      <c r="AA1704" s="8">
        <v>45352</v>
      </c>
      <c r="AB1704" s="4">
        <v>1.33</v>
      </c>
      <c r="AC1704" s="6">
        <v>-3.56</v>
      </c>
      <c r="AD1704" s="6">
        <v>-0.96</v>
      </c>
      <c r="AE1704" s="1">
        <v>0</v>
      </c>
      <c r="AF1704" s="1">
        <f ca="1">IFERROR(__xludf.DUMMYFUNCTION("IFERROR(GOOGLEFINANCE(TRIM(F1704)&amp;"":"" &amp; TRIM(B1704),""high52""),AE1704)"),0)</f>
        <v>0</v>
      </c>
      <c r="AG1704" s="1">
        <v>0</v>
      </c>
      <c r="AH1704" s="1">
        <f ca="1">IFERROR(__xludf.DUMMYFUNCTION("IFERROR(GOOGLEFINANCE(TRIM(F1704)&amp;"":"" &amp; TRIM(B1704),""low52""),AE1704)"),0)</f>
        <v>0</v>
      </c>
      <c r="AI1704" s="1">
        <f ca="1">IFERROR(__xludf.DUMMYFUNCTION("IFERROR(GOOGLEFINANCE(B1704,""eps""),0)"),0)</f>
        <v>0</v>
      </c>
      <c r="AJ1704" s="1"/>
      <c r="AK1704" s="1" t="s">
        <v>5119</v>
      </c>
      <c r="AL1704" s="9">
        <f t="shared" ref="AL1704:AL1741" si="214">IF(AA1704&lt;&gt;AB1704,1,0)</f>
        <v>1</v>
      </c>
    </row>
    <row r="1705" spans="1:38" ht="15" x14ac:dyDescent="0.25">
      <c r="A1705" s="1" t="s">
        <v>5120</v>
      </c>
      <c r="B1705" s="1" t="s">
        <v>5121</v>
      </c>
      <c r="C1705" s="1" t="s">
        <v>1229</v>
      </c>
      <c r="D1705" s="1" t="s">
        <v>1229</v>
      </c>
      <c r="E1705" s="6">
        <v>90.25</v>
      </c>
      <c r="F1705" s="1" t="s">
        <v>53</v>
      </c>
      <c r="G1705" s="6">
        <f ca="1">IFERROR(__xludf.DUMMYFUNCTION("iferror(GOOGLEFINANCE(TRIM(F1705)&amp;"":"" &amp; TRIM(B1705), ""price""),0
)"),0)</f>
        <v>0</v>
      </c>
      <c r="H1705" s="6">
        <v>36.71</v>
      </c>
      <c r="I1705" s="6">
        <f t="shared" ca="1" si="0"/>
        <v>36.71</v>
      </c>
      <c r="J1705" s="6">
        <f ca="1">IFERROR(__xludf.DUMMYFUNCTION("IFERROR(GOOGLEFINANCE(B1705, ""volume""), 0)"),0)</f>
        <v>0</v>
      </c>
      <c r="K1705" s="6">
        <v>-0.22</v>
      </c>
      <c r="L1705" s="6">
        <f ca="1">IFERROR(__xludf.DUMMYFUNCTION("IFERROR(GOOGLEFINANCE(B1705,""changepct""),K1705)"),-0.22)</f>
        <v>-0.22</v>
      </c>
      <c r="M1705" s="6">
        <f ca="1">IFERROR(__xludf.DUMMYFUNCTION("IFERROR(GOOGLEFINANCE(B1705,""change""),0)"),0)</f>
        <v>0</v>
      </c>
      <c r="N1705" s="6">
        <v>1</v>
      </c>
      <c r="O1705" s="7">
        <v>45536</v>
      </c>
      <c r="P1705" s="6">
        <v>3.36</v>
      </c>
      <c r="Q1705" s="6">
        <v>93.61</v>
      </c>
      <c r="R1705" s="7">
        <v>45536</v>
      </c>
      <c r="S1705" s="6">
        <v>12.63</v>
      </c>
      <c r="T1705" s="6">
        <v>0.59</v>
      </c>
      <c r="U1705" s="7">
        <v>45536</v>
      </c>
      <c r="V1705" s="6">
        <v>152.44</v>
      </c>
      <c r="W1705" s="6">
        <f ca="1">IFERROR(__xludf.DUMMYFUNCTION("IFERROR(GOOGLEFINANCE(B1705,""pe""),V1705)"),152.44)</f>
        <v>152.44</v>
      </c>
      <c r="X1705" s="6">
        <v>-6.87</v>
      </c>
      <c r="Y1705" s="6">
        <v>3.48</v>
      </c>
      <c r="Z1705" s="6">
        <v>1</v>
      </c>
      <c r="AA1705" s="8">
        <v>45352</v>
      </c>
      <c r="AB1705" s="4">
        <v>0.26</v>
      </c>
      <c r="AC1705" s="6">
        <v>1.45</v>
      </c>
      <c r="AD1705" s="6">
        <v>5.14</v>
      </c>
      <c r="AE1705" s="1">
        <v>0</v>
      </c>
      <c r="AF1705" s="1">
        <f ca="1">IFERROR(__xludf.DUMMYFUNCTION("IFERROR(GOOGLEFINANCE(TRIM(F1705)&amp;"":"" &amp; TRIM(B1705),""high52""),AE1705)"),0)</f>
        <v>0</v>
      </c>
      <c r="AG1705" s="1">
        <v>0</v>
      </c>
      <c r="AH1705" s="1">
        <f ca="1">IFERROR(__xludf.DUMMYFUNCTION("IFERROR(GOOGLEFINANCE(TRIM(F1705)&amp;"":"" &amp; TRIM(B1705),""low52""),AE1705)"),0)</f>
        <v>0</v>
      </c>
      <c r="AI1705" s="1">
        <f ca="1">IFERROR(__xludf.DUMMYFUNCTION("IFERROR(GOOGLEFINANCE(B1705,""eps""),0)"),0)</f>
        <v>0</v>
      </c>
      <c r="AJ1705" s="1"/>
      <c r="AK1705" s="1" t="s">
        <v>5122</v>
      </c>
      <c r="AL1705" s="9">
        <f t="shared" si="214"/>
        <v>1</v>
      </c>
    </row>
    <row r="1706" spans="1:38" ht="15" x14ac:dyDescent="0.25">
      <c r="A1706" s="1" t="s">
        <v>5123</v>
      </c>
      <c r="B1706" s="1" t="s">
        <v>5124</v>
      </c>
      <c r="C1706" s="1" t="s">
        <v>1229</v>
      </c>
      <c r="D1706" s="1" t="s">
        <v>1229</v>
      </c>
      <c r="E1706" s="6">
        <v>1542.21</v>
      </c>
      <c r="F1706" s="1" t="s">
        <v>53</v>
      </c>
      <c r="G1706" s="6">
        <f ca="1">IFERROR(__xludf.DUMMYFUNCTION("iferror(GOOGLEFINANCE(TRIM(F1706)&amp;"":"" &amp; TRIM(B1706), ""price""),0
)"),0)</f>
        <v>0</v>
      </c>
      <c r="H1706" s="6">
        <v>220.05</v>
      </c>
      <c r="I1706" s="6">
        <f t="shared" ca="1" si="0"/>
        <v>220.05</v>
      </c>
      <c r="J1706" s="6">
        <f ca="1">IFERROR(__xludf.DUMMYFUNCTION("IFERROR(GOOGLEFINANCE(B1706, ""volume""), 0)"),0)</f>
        <v>0</v>
      </c>
      <c r="K1706" s="6">
        <v>1.22</v>
      </c>
      <c r="L1706" s="6">
        <f ca="1">IFERROR(__xludf.DUMMYFUNCTION("IFERROR(GOOGLEFINANCE(B1706,""changepct""),K1706)"),1.22)</f>
        <v>1.22</v>
      </c>
      <c r="M1706" s="6">
        <f ca="1">IFERROR(__xludf.DUMMYFUNCTION("IFERROR(GOOGLEFINANCE(B1706,""change""),0)"),0)</f>
        <v>0</v>
      </c>
      <c r="N1706" s="6">
        <v>2</v>
      </c>
      <c r="O1706" s="7">
        <v>45536</v>
      </c>
      <c r="P1706" s="6">
        <v>64.25</v>
      </c>
      <c r="Q1706" s="6">
        <v>1599.76</v>
      </c>
      <c r="R1706" s="7">
        <v>45536</v>
      </c>
      <c r="S1706" s="6">
        <v>434.24</v>
      </c>
      <c r="T1706" s="6">
        <v>37.229999999999997</v>
      </c>
      <c r="U1706" s="7">
        <v>45536</v>
      </c>
      <c r="V1706" s="6">
        <v>37.94</v>
      </c>
      <c r="W1706" s="6">
        <f ca="1">IFERROR(__xludf.DUMMYFUNCTION("IFERROR(GOOGLEFINANCE(B1706,""pe""),V1706)"),37.94)</f>
        <v>37.94</v>
      </c>
      <c r="X1706" s="6">
        <v>0.35</v>
      </c>
      <c r="Y1706" s="6">
        <v>10.130000000000001</v>
      </c>
      <c r="Z1706" s="6">
        <v>2</v>
      </c>
      <c r="AA1706" s="8">
        <v>45352</v>
      </c>
      <c r="AB1706" s="4">
        <v>0.26</v>
      </c>
      <c r="AC1706" s="6">
        <v>41.32</v>
      </c>
      <c r="AD1706" s="6">
        <v>48.32</v>
      </c>
      <c r="AE1706" s="1">
        <v>0</v>
      </c>
      <c r="AF1706" s="1">
        <f ca="1">IFERROR(__xludf.DUMMYFUNCTION("IFERROR(GOOGLEFINANCE(TRIM(F1706)&amp;"":"" &amp; TRIM(B1706),""high52""),AE1706)"),0)</f>
        <v>0</v>
      </c>
      <c r="AG1706" s="1">
        <v>0</v>
      </c>
      <c r="AH1706" s="1">
        <f ca="1">IFERROR(__xludf.DUMMYFUNCTION("IFERROR(GOOGLEFINANCE(TRIM(F1706)&amp;"":"" &amp; TRIM(B1706),""low52""),AE1706)"),0)</f>
        <v>0</v>
      </c>
      <c r="AI1706" s="1">
        <f ca="1">IFERROR(__xludf.DUMMYFUNCTION("IFERROR(GOOGLEFINANCE(B1706,""eps""),0)"),0)</f>
        <v>0</v>
      </c>
      <c r="AJ1706" s="1"/>
      <c r="AK1706" s="1" t="s">
        <v>5125</v>
      </c>
      <c r="AL1706" s="9">
        <f t="shared" si="214"/>
        <v>1</v>
      </c>
    </row>
    <row r="1707" spans="1:38" ht="15" x14ac:dyDescent="0.25">
      <c r="A1707" s="1" t="s">
        <v>5126</v>
      </c>
      <c r="B1707" s="1" t="s">
        <v>5127</v>
      </c>
      <c r="C1707" s="1" t="s">
        <v>1229</v>
      </c>
      <c r="D1707" s="1" t="s">
        <v>1229</v>
      </c>
      <c r="E1707" s="6">
        <v>50.16</v>
      </c>
      <c r="F1707" s="1" t="s">
        <v>53</v>
      </c>
      <c r="G1707" s="6">
        <f ca="1">IFERROR(__xludf.DUMMYFUNCTION("iferror(GOOGLEFINANCE(TRIM(F1707)&amp;"":"" &amp; TRIM(B1707), ""price""),0
)"),0)</f>
        <v>0</v>
      </c>
      <c r="H1707" s="6">
        <v>9.25</v>
      </c>
      <c r="I1707" s="6">
        <f t="shared" ca="1" si="0"/>
        <v>9.25</v>
      </c>
      <c r="J1707" s="6">
        <f ca="1">IFERROR(__xludf.DUMMYFUNCTION("IFERROR(GOOGLEFINANCE(B1707, ""volume""), 0)"),0)</f>
        <v>0</v>
      </c>
      <c r="K1707" s="6">
        <v>-3.65</v>
      </c>
      <c r="L1707" s="6">
        <f ca="1">IFERROR(__xludf.DUMMYFUNCTION("IFERROR(GOOGLEFINANCE(B1707,""changepct""),K1707)"),-3.65)</f>
        <v>-3.65</v>
      </c>
      <c r="M1707" s="6">
        <f ca="1">IFERROR(__xludf.DUMMYFUNCTION("IFERROR(GOOGLEFINANCE(B1707,""change""),0)"),0)</f>
        <v>0</v>
      </c>
      <c r="N1707" s="6">
        <v>2</v>
      </c>
      <c r="O1707" s="7">
        <v>45536</v>
      </c>
      <c r="P1707" s="6">
        <v>258.66000000000003</v>
      </c>
      <c r="Q1707" s="6">
        <v>308.82</v>
      </c>
      <c r="R1707" s="7">
        <v>45536</v>
      </c>
      <c r="S1707" s="6">
        <v>0.02</v>
      </c>
      <c r="T1707" s="6">
        <v>-0.73</v>
      </c>
      <c r="U1707" s="7">
        <v>45536</v>
      </c>
      <c r="V1707" s="6">
        <v>0</v>
      </c>
      <c r="W1707" s="6">
        <f ca="1">IFERROR(__xludf.DUMMYFUNCTION("IFERROR(GOOGLEFINANCE(B1707,""pe""),V1707)"),0)</f>
        <v>0</v>
      </c>
      <c r="X1707" s="6">
        <v>0</v>
      </c>
      <c r="Y1707" s="6">
        <v>-0.69</v>
      </c>
      <c r="Z1707" s="6">
        <v>2</v>
      </c>
      <c r="AA1707" s="8">
        <v>45352</v>
      </c>
      <c r="AB1707" s="4">
        <v>-3.47</v>
      </c>
      <c r="AC1707" s="6">
        <v>0</v>
      </c>
      <c r="AD1707" s="6">
        <v>5.82</v>
      </c>
      <c r="AE1707" s="1">
        <v>0</v>
      </c>
      <c r="AF1707" s="1">
        <f ca="1">IFERROR(__xludf.DUMMYFUNCTION("IFERROR(GOOGLEFINANCE(TRIM(F1707)&amp;"":"" &amp; TRIM(B1707),""high52""),AE1707)"),0)</f>
        <v>0</v>
      </c>
      <c r="AG1707" s="1">
        <v>0</v>
      </c>
      <c r="AH1707" s="1">
        <f ca="1">IFERROR(__xludf.DUMMYFUNCTION("IFERROR(GOOGLEFINANCE(TRIM(F1707)&amp;"":"" &amp; TRIM(B1707),""low52""),AE1707)"),0)</f>
        <v>0</v>
      </c>
      <c r="AI1707" s="1">
        <f ca="1">IFERROR(__xludf.DUMMYFUNCTION("IFERROR(GOOGLEFINANCE(B1707,""eps""),0)"),0)</f>
        <v>0</v>
      </c>
      <c r="AJ1707" s="1"/>
      <c r="AK1707" s="9"/>
      <c r="AL1707" s="9">
        <f t="shared" si="214"/>
        <v>1</v>
      </c>
    </row>
    <row r="1708" spans="1:38" ht="15" x14ac:dyDescent="0.25">
      <c r="A1708" s="1" t="s">
        <v>5128</v>
      </c>
      <c r="B1708" s="1" t="s">
        <v>5129</v>
      </c>
      <c r="C1708" s="1" t="s">
        <v>186</v>
      </c>
      <c r="D1708" s="1" t="s">
        <v>186</v>
      </c>
      <c r="E1708" s="6">
        <v>521.4</v>
      </c>
      <c r="F1708" s="1" t="s">
        <v>40</v>
      </c>
      <c r="G1708" s="6">
        <f ca="1">IFERROR(__xludf.DUMMYFUNCTION("iferror(GOOGLEFINANCE(TRIM(F1708)&amp;"":"" &amp; TRIM(B1708), ""price""),0
)"),34)</f>
        <v>34</v>
      </c>
      <c r="H1708" s="6">
        <v>63.92</v>
      </c>
      <c r="I1708" s="6">
        <f t="shared" ca="1" si="0"/>
        <v>34</v>
      </c>
      <c r="J1708" s="6">
        <f ca="1">IFERROR(__xludf.DUMMYFUNCTION("IFERROR(GOOGLEFINANCE(B1708, ""volume""), 0)"),461807)</f>
        <v>461807</v>
      </c>
      <c r="K1708" s="6">
        <v>0</v>
      </c>
      <c r="L1708" s="6">
        <f ca="1">IFERROR(__xludf.DUMMYFUNCTION("IFERROR(GOOGLEFINANCE(B1708,""changepct""),K1708)"),2.69)</f>
        <v>2.69</v>
      </c>
      <c r="M1708" s="6">
        <f ca="1">IFERROR(__xludf.DUMMYFUNCTION("IFERROR(GOOGLEFINANCE(B1708,""change""),0)"),0.89)</f>
        <v>0.89</v>
      </c>
      <c r="N1708" s="6">
        <v>1</v>
      </c>
      <c r="O1708" s="7">
        <v>45536</v>
      </c>
      <c r="P1708" s="6">
        <v>33.119999999999997</v>
      </c>
      <c r="Q1708" s="6">
        <v>553.65</v>
      </c>
      <c r="R1708" s="7">
        <v>45536</v>
      </c>
      <c r="S1708" s="6">
        <v>138.29</v>
      </c>
      <c r="T1708" s="6">
        <v>11.74</v>
      </c>
      <c r="U1708" s="7">
        <v>45536</v>
      </c>
      <c r="V1708" s="6">
        <v>44.41</v>
      </c>
      <c r="W1708" s="6">
        <f ca="1">IFERROR(__xludf.DUMMYFUNCTION("IFERROR(GOOGLEFINANCE(B1708,""pe""),V1708)"),35.17)</f>
        <v>35.17</v>
      </c>
      <c r="X1708" s="6">
        <v>2.2999999999999998</v>
      </c>
      <c r="Y1708" s="6">
        <v>6.91</v>
      </c>
      <c r="Z1708" s="6">
        <v>1</v>
      </c>
      <c r="AA1708" s="8">
        <v>45352</v>
      </c>
      <c r="AB1708" s="4">
        <v>0.5</v>
      </c>
      <c r="AC1708" s="6">
        <v>19.37</v>
      </c>
      <c r="AD1708" s="6">
        <v>21.52</v>
      </c>
      <c r="AE1708" s="1">
        <v>0</v>
      </c>
      <c r="AF1708" s="1">
        <f ca="1">IFERROR(__xludf.DUMMYFUNCTION("IFERROR(GOOGLEFINANCE(TRIM(F1708)&amp;"":"" &amp; TRIM(B1708),""high52""),AE1708)"),39.49)</f>
        <v>39.49</v>
      </c>
      <c r="AG1708" s="1">
        <v>0</v>
      </c>
      <c r="AH1708" s="1">
        <f ca="1">IFERROR(__xludf.DUMMYFUNCTION("IFERROR(GOOGLEFINANCE(TRIM(F1708)&amp;"":"" &amp; TRIM(B1708),""low52""),AE1708)"),16.21)</f>
        <v>16.21</v>
      </c>
      <c r="AI1708" s="1">
        <f ca="1">IFERROR(__xludf.DUMMYFUNCTION("IFERROR(GOOGLEFINANCE(B1708,""eps""),0)"),0.97)</f>
        <v>0.97</v>
      </c>
      <c r="AJ1708" s="1"/>
      <c r="AK1708" s="1" t="s">
        <v>5130</v>
      </c>
      <c r="AL1708" s="9">
        <f t="shared" si="214"/>
        <v>1</v>
      </c>
    </row>
    <row r="1709" spans="1:38" ht="15" x14ac:dyDescent="0.25">
      <c r="A1709" s="1" t="s">
        <v>5131</v>
      </c>
      <c r="B1709" s="1" t="s">
        <v>5132</v>
      </c>
      <c r="C1709" s="1" t="s">
        <v>2222</v>
      </c>
      <c r="D1709" s="1" t="s">
        <v>2222</v>
      </c>
      <c r="E1709" s="6">
        <v>1499.91</v>
      </c>
      <c r="F1709" s="1" t="s">
        <v>40</v>
      </c>
      <c r="G1709" s="6">
        <f ca="1">IFERROR(__xludf.DUMMYFUNCTION("iferror(GOOGLEFINANCE(TRIM(F1709)&amp;"":"" &amp; TRIM(B1709), ""price""),0
)"),232.64)</f>
        <v>232.64</v>
      </c>
      <c r="H1709" s="6">
        <v>366.45</v>
      </c>
      <c r="I1709" s="6">
        <f t="shared" ca="1" si="0"/>
        <v>232.64</v>
      </c>
      <c r="J1709" s="6">
        <f ca="1">IFERROR(__xludf.DUMMYFUNCTION("IFERROR(GOOGLEFINANCE(B1709, ""volume""), 0)"),119318)</f>
        <v>119318</v>
      </c>
      <c r="K1709" s="6">
        <v>0.37</v>
      </c>
      <c r="L1709" s="6">
        <f ca="1">IFERROR(__xludf.DUMMYFUNCTION("IFERROR(GOOGLEFINANCE(B1709,""changepct""),K1709)"),-5.42)</f>
        <v>-5.42</v>
      </c>
      <c r="M1709" s="6">
        <f ca="1">IFERROR(__xludf.DUMMYFUNCTION("IFERROR(GOOGLEFINANCE(B1709,""change""),0)"),-13.33)</f>
        <v>-13.33</v>
      </c>
      <c r="N1709" s="6">
        <v>2</v>
      </c>
      <c r="O1709" s="7">
        <v>45536</v>
      </c>
      <c r="P1709" s="6">
        <v>177.82</v>
      </c>
      <c r="Q1709" s="6">
        <v>1297.3599999999999</v>
      </c>
      <c r="R1709" s="7">
        <v>45536</v>
      </c>
      <c r="S1709" s="6">
        <v>968.59</v>
      </c>
      <c r="T1709" s="6">
        <v>67.28</v>
      </c>
      <c r="U1709" s="7">
        <v>45536</v>
      </c>
      <c r="V1709" s="6">
        <v>23.63</v>
      </c>
      <c r="W1709" s="6">
        <f ca="1">IFERROR(__xludf.DUMMYFUNCTION("IFERROR(GOOGLEFINANCE(B1709,""pe""),V1709)"),23.31)</f>
        <v>23.31</v>
      </c>
      <c r="X1709" s="9"/>
      <c r="Y1709" s="6">
        <v>1.58</v>
      </c>
      <c r="Z1709" s="6">
        <v>2</v>
      </c>
      <c r="AA1709" s="8">
        <v>45352</v>
      </c>
      <c r="AB1709" s="4">
        <v>0.23</v>
      </c>
      <c r="AC1709" s="6">
        <v>14.32</v>
      </c>
      <c r="AD1709" s="6">
        <v>16.309999999999999</v>
      </c>
      <c r="AE1709" s="1">
        <v>0</v>
      </c>
      <c r="AF1709" s="1">
        <f ca="1">IFERROR(__xludf.DUMMYFUNCTION("IFERROR(GOOGLEFINANCE(TRIM(F1709)&amp;"":"" &amp; TRIM(B1709),""high52""),AE1709)"),393)</f>
        <v>393</v>
      </c>
      <c r="AG1709" s="1">
        <v>0</v>
      </c>
      <c r="AH1709" s="1">
        <f ca="1">IFERROR(__xludf.DUMMYFUNCTION("IFERROR(GOOGLEFINANCE(TRIM(F1709)&amp;"":"" &amp; TRIM(B1709),""low52""),AE1709)"),229)</f>
        <v>229</v>
      </c>
      <c r="AI1709" s="1">
        <f ca="1">IFERROR(__xludf.DUMMYFUNCTION("IFERROR(GOOGLEFINANCE(B1709,""eps""),0)"),9.98)</f>
        <v>9.98</v>
      </c>
      <c r="AJ1709" s="1"/>
      <c r="AK1709" s="9"/>
      <c r="AL1709" s="9">
        <f t="shared" si="214"/>
        <v>1</v>
      </c>
    </row>
    <row r="1710" spans="1:38" ht="15" x14ac:dyDescent="0.25">
      <c r="A1710" s="1" t="s">
        <v>5133</v>
      </c>
      <c r="B1710" s="1" t="s">
        <v>5134</v>
      </c>
      <c r="C1710" s="1" t="s">
        <v>1229</v>
      </c>
      <c r="D1710" s="1" t="s">
        <v>1229</v>
      </c>
      <c r="E1710" s="6">
        <v>4.3099999999999996</v>
      </c>
      <c r="F1710" s="1" t="s">
        <v>53</v>
      </c>
      <c r="G1710" s="6">
        <f ca="1">IFERROR(__xludf.DUMMYFUNCTION("iferror(GOOGLEFINANCE(TRIM(F1710)&amp;"":"" &amp; TRIM(B1710), ""price""),0
)"),0)</f>
        <v>0</v>
      </c>
      <c r="H1710" s="6">
        <v>5</v>
      </c>
      <c r="I1710" s="6">
        <f t="shared" ca="1" si="0"/>
        <v>5</v>
      </c>
      <c r="J1710" s="6">
        <f ca="1">IFERROR(__xludf.DUMMYFUNCTION("IFERROR(GOOGLEFINANCE(B1710, ""volume""), 0)"),0)</f>
        <v>0</v>
      </c>
      <c r="K1710" s="6">
        <v>0.2</v>
      </c>
      <c r="L1710" s="6">
        <f ca="1">IFERROR(__xludf.DUMMYFUNCTION("IFERROR(GOOGLEFINANCE(B1710,""changepct""),K1710)"),0.2)</f>
        <v>0.2</v>
      </c>
      <c r="M1710" s="6">
        <f ca="1">IFERROR(__xludf.DUMMYFUNCTION("IFERROR(GOOGLEFINANCE(B1710,""change""),0)"),0)</f>
        <v>0</v>
      </c>
      <c r="N1710" s="6">
        <v>1</v>
      </c>
      <c r="O1710" s="7">
        <v>45536</v>
      </c>
      <c r="P1710" s="6">
        <v>8.6</v>
      </c>
      <c r="Q1710" s="6">
        <v>8.81</v>
      </c>
      <c r="R1710" s="7">
        <v>45536</v>
      </c>
      <c r="S1710" s="6">
        <v>0</v>
      </c>
      <c r="T1710" s="6">
        <v>0.22</v>
      </c>
      <c r="U1710" s="7">
        <v>45536</v>
      </c>
      <c r="V1710" s="6">
        <v>20.07</v>
      </c>
      <c r="W1710" s="6">
        <f ca="1">IFERROR(__xludf.DUMMYFUNCTION("IFERROR(GOOGLEFINANCE(B1710,""pe""),V1710)"),20.07)</f>
        <v>20.07</v>
      </c>
      <c r="X1710" s="6">
        <v>0.84</v>
      </c>
      <c r="Y1710" s="6">
        <v>0.43</v>
      </c>
      <c r="Z1710" s="6">
        <v>1</v>
      </c>
      <c r="AA1710" s="8">
        <v>45352</v>
      </c>
      <c r="AB1710" s="4">
        <v>1.19</v>
      </c>
      <c r="AC1710" s="6">
        <v>1.23</v>
      </c>
      <c r="AD1710" s="6">
        <v>4</v>
      </c>
      <c r="AE1710" s="1">
        <v>0</v>
      </c>
      <c r="AF1710" s="1">
        <f ca="1">IFERROR(__xludf.DUMMYFUNCTION("IFERROR(GOOGLEFINANCE(TRIM(F1710)&amp;"":"" &amp; TRIM(B1710),""high52""),AE1710)"),0)</f>
        <v>0</v>
      </c>
      <c r="AG1710" s="1">
        <v>0</v>
      </c>
      <c r="AH1710" s="1">
        <f ca="1">IFERROR(__xludf.DUMMYFUNCTION("IFERROR(GOOGLEFINANCE(TRIM(F1710)&amp;"":"" &amp; TRIM(B1710),""low52""),AE1710)"),0)</f>
        <v>0</v>
      </c>
      <c r="AI1710" s="1">
        <f ca="1">IFERROR(__xludf.DUMMYFUNCTION("IFERROR(GOOGLEFINANCE(B1710,""eps""),0)"),0)</f>
        <v>0</v>
      </c>
      <c r="AJ1710" s="1"/>
      <c r="AK1710" s="1" t="s">
        <v>5135</v>
      </c>
      <c r="AL1710" s="9">
        <f t="shared" si="214"/>
        <v>1</v>
      </c>
    </row>
    <row r="1711" spans="1:38" ht="15" x14ac:dyDescent="0.25">
      <c r="A1711" s="1" t="s">
        <v>5136</v>
      </c>
      <c r="B1711" s="1" t="s">
        <v>5137</v>
      </c>
      <c r="C1711" s="1" t="s">
        <v>86</v>
      </c>
      <c r="D1711" s="1" t="s">
        <v>86</v>
      </c>
      <c r="E1711" s="6">
        <v>10950.01</v>
      </c>
      <c r="F1711" s="1" t="s">
        <v>40</v>
      </c>
      <c r="G1711" s="6">
        <f ca="1">IFERROR(__xludf.DUMMYFUNCTION("iferror(GOOGLEFINANCE(TRIM(F1711)&amp;"":"" &amp; TRIM(B1711), ""price""),0
)"),730.2)</f>
        <v>730.2</v>
      </c>
      <c r="H1711" s="6">
        <v>1484.9</v>
      </c>
      <c r="I1711" s="6">
        <f t="shared" ca="1" si="0"/>
        <v>730.2</v>
      </c>
      <c r="J1711" s="6">
        <f ca="1">IFERROR(__xludf.DUMMYFUNCTION("IFERROR(GOOGLEFINANCE(B1711, ""volume""), 0)"),46033)</f>
        <v>46033</v>
      </c>
      <c r="K1711" s="6">
        <v>-0.13</v>
      </c>
      <c r="L1711" s="6">
        <f ca="1">IFERROR(__xludf.DUMMYFUNCTION("IFERROR(GOOGLEFINANCE(B1711,""changepct""),K1711)"),-3.02)</f>
        <v>-3.02</v>
      </c>
      <c r="M1711" s="6">
        <f ca="1">IFERROR(__xludf.DUMMYFUNCTION("IFERROR(GOOGLEFINANCE(B1711,""change""),0)"),-22.75)</f>
        <v>-22.75</v>
      </c>
      <c r="N1711" s="6">
        <v>2</v>
      </c>
      <c r="O1711" s="7">
        <v>45536</v>
      </c>
      <c r="P1711" s="6">
        <v>692.78</v>
      </c>
      <c r="Q1711" s="6">
        <v>11463.63</v>
      </c>
      <c r="R1711" s="7">
        <v>45536</v>
      </c>
      <c r="S1711" s="6">
        <v>6544.06</v>
      </c>
      <c r="T1711" s="6">
        <v>301.39999999999998</v>
      </c>
      <c r="U1711" s="7">
        <v>45536</v>
      </c>
      <c r="V1711" s="6">
        <v>37.6</v>
      </c>
      <c r="W1711" s="6">
        <f ca="1">IFERROR(__xludf.DUMMYFUNCTION("IFERROR(GOOGLEFINANCE(B1711,""pe""),V1711)"),28.65)</f>
        <v>28.65</v>
      </c>
      <c r="X1711" s="6">
        <v>3.33</v>
      </c>
      <c r="Y1711" s="6">
        <v>4.13</v>
      </c>
      <c r="Z1711" s="6">
        <v>2</v>
      </c>
      <c r="AA1711" s="8">
        <v>45352</v>
      </c>
      <c r="AB1711" s="4">
        <v>0.31</v>
      </c>
      <c r="AC1711" s="6">
        <v>10.56</v>
      </c>
      <c r="AD1711" s="6">
        <v>12.87</v>
      </c>
      <c r="AE1711" s="1">
        <v>0</v>
      </c>
      <c r="AF1711" s="1">
        <f ca="1">IFERROR(__xludf.DUMMYFUNCTION("IFERROR(GOOGLEFINANCE(TRIM(F1711)&amp;"":"" &amp; TRIM(B1711),""high52""),AE1711)"),1281.3)</f>
        <v>1281.3</v>
      </c>
      <c r="AG1711" s="1">
        <v>0</v>
      </c>
      <c r="AH1711" s="1">
        <f ca="1">IFERROR(__xludf.DUMMYFUNCTION("IFERROR(GOOGLEFINANCE(TRIM(F1711)&amp;"":"" &amp; TRIM(B1711),""low52""),AE1711)"),683.95)</f>
        <v>683.95</v>
      </c>
      <c r="AI1711" s="1">
        <f ca="1">IFERROR(__xludf.DUMMYFUNCTION("IFERROR(GOOGLEFINANCE(B1711,""eps""),0)"),25.49)</f>
        <v>25.49</v>
      </c>
      <c r="AJ1711" s="1"/>
      <c r="AK1711" s="1" t="s">
        <v>5138</v>
      </c>
      <c r="AL1711" s="9">
        <f t="shared" si="214"/>
        <v>1</v>
      </c>
    </row>
    <row r="1712" spans="1:38" ht="15" x14ac:dyDescent="0.25">
      <c r="A1712" s="1" t="s">
        <v>5139</v>
      </c>
      <c r="B1712" s="1" t="s">
        <v>5140</v>
      </c>
      <c r="C1712" s="1" t="s">
        <v>1229</v>
      </c>
      <c r="D1712" s="1" t="s">
        <v>1229</v>
      </c>
      <c r="E1712" s="6">
        <v>9.2899999999999991</v>
      </c>
      <c r="F1712" s="1" t="s">
        <v>53</v>
      </c>
      <c r="G1712" s="6">
        <f ca="1">IFERROR(__xludf.DUMMYFUNCTION("iferror(GOOGLEFINANCE(TRIM(F1712)&amp;"":"" &amp; TRIM(B1712), ""price""),0
)"),0)</f>
        <v>0</v>
      </c>
      <c r="H1712" s="6">
        <v>31.5</v>
      </c>
      <c r="I1712" s="6">
        <f t="shared" ca="1" si="0"/>
        <v>31.5</v>
      </c>
      <c r="J1712" s="6">
        <f ca="1">IFERROR(__xludf.DUMMYFUNCTION("IFERROR(GOOGLEFINANCE(B1712, ""volume""), 0)"),0)</f>
        <v>0</v>
      </c>
      <c r="K1712" s="6">
        <v>2.94</v>
      </c>
      <c r="L1712" s="6">
        <f ca="1">IFERROR(__xludf.DUMMYFUNCTION("IFERROR(GOOGLEFINANCE(B1712,""changepct""),K1712)"),2.94)</f>
        <v>2.94</v>
      </c>
      <c r="M1712" s="6">
        <f ca="1">IFERROR(__xludf.DUMMYFUNCTION("IFERROR(GOOGLEFINANCE(B1712,""change""),0)"),0)</f>
        <v>0</v>
      </c>
      <c r="N1712" s="6">
        <v>1</v>
      </c>
      <c r="O1712" s="7">
        <v>45536</v>
      </c>
      <c r="P1712" s="6">
        <v>2.25</v>
      </c>
      <c r="Q1712" s="6">
        <v>11.53</v>
      </c>
      <c r="R1712" s="7">
        <v>45536</v>
      </c>
      <c r="S1712" s="6">
        <v>0</v>
      </c>
      <c r="T1712" s="6">
        <v>3.35</v>
      </c>
      <c r="U1712" s="7">
        <v>45536</v>
      </c>
      <c r="V1712" s="6">
        <v>2.77</v>
      </c>
      <c r="W1712" s="6">
        <f ca="1">IFERROR(__xludf.DUMMYFUNCTION("IFERROR(GOOGLEFINANCE(B1712,""pe""),V1712)"),2.77)</f>
        <v>2.77</v>
      </c>
      <c r="X1712" s="6">
        <v>0.05</v>
      </c>
      <c r="Y1712" s="6">
        <v>-1.18</v>
      </c>
      <c r="Z1712" s="6">
        <v>1</v>
      </c>
      <c r="AA1712" s="8">
        <v>45352</v>
      </c>
      <c r="AB1712" s="4">
        <v>-0.56999999999999995</v>
      </c>
      <c r="AC1712" s="6">
        <v>0</v>
      </c>
      <c r="AD1712" s="6">
        <v>0</v>
      </c>
      <c r="AE1712" s="1">
        <v>0</v>
      </c>
      <c r="AF1712" s="1">
        <f ca="1">IFERROR(__xludf.DUMMYFUNCTION("IFERROR(GOOGLEFINANCE(TRIM(F1712)&amp;"":"" &amp; TRIM(B1712),""high52""),AE1712)"),0)</f>
        <v>0</v>
      </c>
      <c r="AG1712" s="1">
        <v>0</v>
      </c>
      <c r="AH1712" s="1">
        <f ca="1">IFERROR(__xludf.DUMMYFUNCTION("IFERROR(GOOGLEFINANCE(TRIM(F1712)&amp;"":"" &amp; TRIM(B1712),""low52""),AE1712)"),0)</f>
        <v>0</v>
      </c>
      <c r="AI1712" s="1">
        <f ca="1">IFERROR(__xludf.DUMMYFUNCTION("IFERROR(GOOGLEFINANCE(B1712,""eps""),0)"),0)</f>
        <v>0</v>
      </c>
      <c r="AJ1712" s="1"/>
      <c r="AK1712" s="9"/>
      <c r="AL1712" s="9">
        <f t="shared" si="214"/>
        <v>1</v>
      </c>
    </row>
    <row r="1713" spans="1:38" ht="15" x14ac:dyDescent="0.25">
      <c r="A1713" s="1" t="s">
        <v>5141</v>
      </c>
      <c r="B1713" s="1" t="s">
        <v>5142</v>
      </c>
      <c r="C1713" s="1" t="s">
        <v>112</v>
      </c>
      <c r="D1713" s="1" t="s">
        <v>112</v>
      </c>
      <c r="E1713" s="6">
        <v>42.17</v>
      </c>
      <c r="F1713" s="1" t="s">
        <v>40</v>
      </c>
      <c r="G1713" s="6">
        <f ca="1">IFERROR(__xludf.DUMMYFUNCTION("iferror(GOOGLEFINANCE(TRIM(F1713)&amp;"":"" &amp; TRIM(B1713), ""price""),0
)"),0)</f>
        <v>0</v>
      </c>
      <c r="H1713" s="6">
        <v>1.95</v>
      </c>
      <c r="I1713" s="6">
        <f t="shared" ca="1" si="0"/>
        <v>1.95</v>
      </c>
      <c r="J1713" s="6">
        <f ca="1">IFERROR(__xludf.DUMMYFUNCTION("IFERROR(GOOGLEFINANCE(B1713, ""volume""), 0)"),0)</f>
        <v>0</v>
      </c>
      <c r="K1713" s="6">
        <v>0</v>
      </c>
      <c r="L1713" s="6">
        <f ca="1">IFERROR(__xludf.DUMMYFUNCTION("IFERROR(GOOGLEFINANCE(B1713,""changepct""),K1713)"),0)</f>
        <v>0</v>
      </c>
      <c r="M1713" s="6">
        <f ca="1">IFERROR(__xludf.DUMMYFUNCTION("IFERROR(GOOGLEFINANCE(B1713,""change""),0)"),0)</f>
        <v>0</v>
      </c>
      <c r="N1713" s="6">
        <v>1</v>
      </c>
      <c r="O1713" s="7">
        <v>45536</v>
      </c>
      <c r="P1713" s="6">
        <v>5.69</v>
      </c>
      <c r="Q1713" s="6">
        <v>43.28</v>
      </c>
      <c r="R1713" s="7">
        <v>45352</v>
      </c>
      <c r="S1713" s="6">
        <v>30.13</v>
      </c>
      <c r="T1713" s="6">
        <v>0.56999999999999995</v>
      </c>
      <c r="U1713" s="7">
        <v>45352</v>
      </c>
      <c r="V1713" s="6">
        <v>73.680000000000007</v>
      </c>
      <c r="W1713" s="6">
        <f ca="1">IFERROR(__xludf.DUMMYFUNCTION("IFERROR(GOOGLEFINANCE(B1713,""pe""),V1713)"),73.68)</f>
        <v>73.680000000000007</v>
      </c>
      <c r="X1713" s="12"/>
      <c r="Y1713" s="6">
        <v>1.78</v>
      </c>
      <c r="Z1713" s="6">
        <v>2</v>
      </c>
      <c r="AA1713" s="8">
        <v>44986</v>
      </c>
      <c r="AB1713" s="4">
        <v>0.2</v>
      </c>
      <c r="AC1713" s="6">
        <v>3.45</v>
      </c>
      <c r="AD1713" s="6">
        <v>6.15</v>
      </c>
      <c r="AE1713" s="1">
        <v>0</v>
      </c>
      <c r="AF1713" s="1">
        <f ca="1">IFERROR(__xludf.DUMMYFUNCTION("IFERROR(GOOGLEFINANCE(TRIM(F1713)&amp;"":"" &amp; TRIM(B1713),""high52""),AE1713)"),0)</f>
        <v>0</v>
      </c>
      <c r="AG1713" s="1">
        <v>0</v>
      </c>
      <c r="AH1713" s="1">
        <f ca="1">IFERROR(__xludf.DUMMYFUNCTION("IFERROR(GOOGLEFINANCE(TRIM(F1713)&amp;"":"" &amp; TRIM(B1713),""low52""),AE1713)"),0)</f>
        <v>0</v>
      </c>
      <c r="AI1713" s="1">
        <f ca="1">IFERROR(__xludf.DUMMYFUNCTION("IFERROR(GOOGLEFINANCE(B1713,""eps""),0)"),0)</f>
        <v>0</v>
      </c>
      <c r="AJ1713" s="1"/>
      <c r="AK1713" s="9"/>
      <c r="AL1713" s="9">
        <f t="shared" si="214"/>
        <v>1</v>
      </c>
    </row>
    <row r="1714" spans="1:38" ht="15" x14ac:dyDescent="0.25">
      <c r="A1714" s="1" t="s">
        <v>5143</v>
      </c>
      <c r="B1714" s="1" t="s">
        <v>5144</v>
      </c>
      <c r="C1714" s="1" t="s">
        <v>324</v>
      </c>
      <c r="D1714" s="1" t="s">
        <v>324</v>
      </c>
      <c r="E1714" s="6">
        <v>63.25</v>
      </c>
      <c r="F1714" s="1" t="s">
        <v>40</v>
      </c>
      <c r="G1714" s="6">
        <f ca="1">IFERROR(__xludf.DUMMYFUNCTION("iferror(GOOGLEFINANCE(TRIM(F1714)&amp;"":"" &amp; TRIM(B1714), ""price""),0
)"),0)</f>
        <v>0</v>
      </c>
      <c r="H1714" s="6">
        <v>42.8</v>
      </c>
      <c r="I1714" s="6">
        <f t="shared" ca="1" si="0"/>
        <v>42.8</v>
      </c>
      <c r="J1714" s="6">
        <f ca="1">IFERROR(__xludf.DUMMYFUNCTION("IFERROR(GOOGLEFINANCE(B1714, ""volume""), 0)"),0)</f>
        <v>0</v>
      </c>
      <c r="K1714" s="6">
        <v>0</v>
      </c>
      <c r="L1714" s="6">
        <f ca="1">IFERROR(__xludf.DUMMYFUNCTION("IFERROR(GOOGLEFINANCE(B1714,""changepct""),K1714)"),0)</f>
        <v>0</v>
      </c>
      <c r="M1714" s="6">
        <f ca="1">IFERROR(__xludf.DUMMYFUNCTION("IFERROR(GOOGLEFINANCE(B1714,""change""),0)"),0)</f>
        <v>0</v>
      </c>
      <c r="N1714" s="6">
        <v>1</v>
      </c>
      <c r="O1714" s="7">
        <v>45536</v>
      </c>
      <c r="P1714" s="6">
        <v>17.79</v>
      </c>
      <c r="Q1714" s="6">
        <v>81.040000000000006</v>
      </c>
      <c r="R1714" s="7">
        <v>45352</v>
      </c>
      <c r="S1714" s="6">
        <v>73.62</v>
      </c>
      <c r="T1714" s="6">
        <v>3.09</v>
      </c>
      <c r="U1714" s="7">
        <v>45352</v>
      </c>
      <c r="V1714" s="6">
        <v>20.440000000000001</v>
      </c>
      <c r="W1714" s="6">
        <f ca="1">IFERROR(__xludf.DUMMYFUNCTION("IFERROR(GOOGLEFINANCE(B1714,""pe""),V1714)"),20.44)</f>
        <v>20.440000000000001</v>
      </c>
      <c r="X1714" s="9"/>
      <c r="Y1714" s="6">
        <v>1.55</v>
      </c>
      <c r="Z1714" s="6">
        <v>1</v>
      </c>
      <c r="AA1714" s="13">
        <v>45352</v>
      </c>
      <c r="AB1714" s="4">
        <v>0.42</v>
      </c>
      <c r="AC1714" s="6">
        <v>11.89</v>
      </c>
      <c r="AD1714" s="6">
        <v>14.73</v>
      </c>
      <c r="AE1714" s="1">
        <v>0</v>
      </c>
      <c r="AF1714" s="1">
        <f ca="1">IFERROR(__xludf.DUMMYFUNCTION("IFERROR(GOOGLEFINANCE(TRIM(F1714)&amp;"":"" &amp; TRIM(B1714),""high52""),AE1714)"),0)</f>
        <v>0</v>
      </c>
      <c r="AG1714" s="1">
        <v>0</v>
      </c>
      <c r="AH1714" s="1">
        <f ca="1">IFERROR(__xludf.DUMMYFUNCTION("IFERROR(GOOGLEFINANCE(TRIM(F1714)&amp;"":"" &amp; TRIM(B1714),""low52""),AE1714)"),0)</f>
        <v>0</v>
      </c>
      <c r="AI1714" s="1">
        <f ca="1">IFERROR(__xludf.DUMMYFUNCTION("IFERROR(GOOGLEFINANCE(B1714,""eps""),0)"),0)</f>
        <v>0</v>
      </c>
      <c r="AJ1714" s="1"/>
      <c r="AK1714" s="9"/>
      <c r="AL1714" s="9">
        <f t="shared" si="214"/>
        <v>1</v>
      </c>
    </row>
    <row r="1715" spans="1:38" ht="15" x14ac:dyDescent="0.25">
      <c r="A1715" s="1" t="s">
        <v>5145</v>
      </c>
      <c r="B1715" s="1" t="s">
        <v>5146</v>
      </c>
      <c r="C1715" s="1" t="s">
        <v>1229</v>
      </c>
      <c r="D1715" s="1" t="s">
        <v>1229</v>
      </c>
      <c r="E1715" s="6">
        <v>58.08</v>
      </c>
      <c r="F1715" s="1" t="s">
        <v>53</v>
      </c>
      <c r="G1715" s="6">
        <f ca="1">IFERROR(__xludf.DUMMYFUNCTION("iferror(GOOGLEFINANCE(TRIM(F1715)&amp;"":"" &amp; TRIM(B1715), ""price""),0
)"),0)</f>
        <v>0</v>
      </c>
      <c r="H1715" s="6">
        <v>0.59</v>
      </c>
      <c r="I1715" s="6">
        <f t="shared" ca="1" si="0"/>
        <v>0.59</v>
      </c>
      <c r="J1715" s="6">
        <f ca="1">IFERROR(__xludf.DUMMYFUNCTION("IFERROR(GOOGLEFINANCE(B1715, ""volume""), 0)"),0)</f>
        <v>0</v>
      </c>
      <c r="K1715" s="6">
        <v>0</v>
      </c>
      <c r="L1715" s="6">
        <f ca="1">IFERROR(__xludf.DUMMYFUNCTION("IFERROR(GOOGLEFINANCE(B1715,""changepct""),K1715)"),0)</f>
        <v>0</v>
      </c>
      <c r="M1715" s="6">
        <f ca="1">IFERROR(__xludf.DUMMYFUNCTION("IFERROR(GOOGLEFINANCE(B1715,""change""),0)"),0)</f>
        <v>0</v>
      </c>
      <c r="N1715" s="6">
        <v>1</v>
      </c>
      <c r="O1715" s="7">
        <v>45536</v>
      </c>
      <c r="P1715" s="6">
        <v>36.25</v>
      </c>
      <c r="Q1715" s="6">
        <v>94.22</v>
      </c>
      <c r="R1715" s="7">
        <v>45536</v>
      </c>
      <c r="S1715" s="6">
        <v>3.61</v>
      </c>
      <c r="T1715" s="6">
        <v>0.49</v>
      </c>
      <c r="U1715" s="7">
        <v>45536</v>
      </c>
      <c r="V1715" s="6">
        <v>118.28</v>
      </c>
      <c r="W1715" s="6">
        <f ca="1">IFERROR(__xludf.DUMMYFUNCTION("IFERROR(GOOGLEFINANCE(B1715,""pe""),V1715)"),118.28)</f>
        <v>118.28</v>
      </c>
      <c r="X1715" s="6">
        <v>2.9</v>
      </c>
      <c r="Y1715" s="6">
        <v>0.56999999999999995</v>
      </c>
      <c r="Z1715" s="6">
        <v>1</v>
      </c>
      <c r="AA1715" s="8">
        <v>45352</v>
      </c>
      <c r="AB1715" s="4">
        <v>0.01</v>
      </c>
      <c r="AC1715" s="6">
        <v>7.0000000000000007E-2</v>
      </c>
      <c r="AD1715" s="6">
        <v>0.1</v>
      </c>
      <c r="AE1715" s="1">
        <v>0</v>
      </c>
      <c r="AF1715" s="1">
        <f ca="1">IFERROR(__xludf.DUMMYFUNCTION("IFERROR(GOOGLEFINANCE(TRIM(F1715)&amp;"":"" &amp; TRIM(B1715),""high52""),AE1715)"),0)</f>
        <v>0</v>
      </c>
      <c r="AG1715" s="1">
        <v>0</v>
      </c>
      <c r="AH1715" s="1">
        <f ca="1">IFERROR(__xludf.DUMMYFUNCTION("IFERROR(GOOGLEFINANCE(TRIM(F1715)&amp;"":"" &amp; TRIM(B1715),""low52""),AE1715)"),0)</f>
        <v>0</v>
      </c>
      <c r="AI1715" s="1">
        <f ca="1">IFERROR(__xludf.DUMMYFUNCTION("IFERROR(GOOGLEFINANCE(B1715,""eps""),0)"),0)</f>
        <v>0</v>
      </c>
      <c r="AJ1715" s="1"/>
      <c r="AK1715" s="1" t="s">
        <v>5147</v>
      </c>
      <c r="AL1715" s="9">
        <f t="shared" si="214"/>
        <v>1</v>
      </c>
    </row>
    <row r="1716" spans="1:38" ht="15" x14ac:dyDescent="0.25">
      <c r="A1716" s="1" t="s">
        <v>5148</v>
      </c>
      <c r="B1716" s="1" t="s">
        <v>5149</v>
      </c>
      <c r="C1716" s="1" t="s">
        <v>2124</v>
      </c>
      <c r="D1716" s="1" t="s">
        <v>2124</v>
      </c>
      <c r="E1716" s="6">
        <v>612135.4</v>
      </c>
      <c r="F1716" s="1" t="s">
        <v>40</v>
      </c>
      <c r="G1716" s="6">
        <f ca="1">IFERROR(__xludf.DUMMYFUNCTION("iferror(GOOGLEFINANCE(TRIM(F1716)&amp;"":"" &amp; TRIM(B1716), ""price""),0
)"),314.55)</f>
        <v>314.55</v>
      </c>
      <c r="H1716" s="6">
        <v>483.75</v>
      </c>
      <c r="I1716" s="6">
        <f t="shared" ca="1" si="0"/>
        <v>314.55</v>
      </c>
      <c r="J1716" s="6">
        <f ca="1">IFERROR(__xludf.DUMMYFUNCTION("IFERROR(GOOGLEFINANCE(B1716, ""volume""), 0)"),0)</f>
        <v>0</v>
      </c>
      <c r="K1716" s="6">
        <v>-1.08</v>
      </c>
      <c r="L1716" s="6">
        <f ca="1">IFERROR(__xludf.DUMMYFUNCTION("IFERROR(GOOGLEFINANCE(B1716,""changepct""),K1716)"),-1.08)</f>
        <v>-1.08</v>
      </c>
      <c r="M1716" s="6">
        <f ca="1">IFERROR(__xludf.DUMMYFUNCTION("IFERROR(GOOGLEFINANCE(B1716,""change""),0)"),0)</f>
        <v>0</v>
      </c>
      <c r="N1716" s="6">
        <v>2</v>
      </c>
      <c r="O1716" s="7">
        <v>45536</v>
      </c>
      <c r="P1716" s="6">
        <v>26.78</v>
      </c>
      <c r="Q1716" s="6">
        <v>606430.5</v>
      </c>
      <c r="R1716" s="7">
        <v>45536</v>
      </c>
      <c r="S1716" s="6">
        <v>81242.48</v>
      </c>
      <c r="T1716" s="6">
        <v>20803.419999999998</v>
      </c>
      <c r="U1716" s="7">
        <v>45536</v>
      </c>
      <c r="V1716" s="6">
        <v>29.8</v>
      </c>
      <c r="W1716" s="6">
        <f ca="1">IFERROR(__xludf.DUMMYFUNCTION("IFERROR(GOOGLEFINANCE(B1716,""pe""),V1716)"),29.8)</f>
        <v>29.8</v>
      </c>
      <c r="X1716" s="6">
        <v>2.92</v>
      </c>
      <c r="Y1716" s="6">
        <v>8.1300000000000008</v>
      </c>
      <c r="Z1716" s="6">
        <v>2</v>
      </c>
      <c r="AA1716" s="8">
        <v>45352</v>
      </c>
      <c r="AB1716" s="4">
        <v>0</v>
      </c>
      <c r="AC1716" s="6">
        <v>29.14</v>
      </c>
      <c r="AD1716" s="6">
        <v>37.880000000000003</v>
      </c>
      <c r="AE1716" s="1">
        <v>0</v>
      </c>
      <c r="AF1716" s="1">
        <f ca="1">IFERROR(__xludf.DUMMYFUNCTION("IFERROR(GOOGLEFINANCE(TRIM(F1716)&amp;"":"" &amp; TRIM(B1716),""high52""),AE1716)"),465.2)</f>
        <v>465.2</v>
      </c>
      <c r="AG1716" s="1">
        <v>0</v>
      </c>
      <c r="AH1716" s="1">
        <f ca="1">IFERROR(__xludf.DUMMYFUNCTION("IFERROR(GOOGLEFINANCE(TRIM(F1716)&amp;"":"" &amp; TRIM(B1716),""low52""),AE1716)"),302)</f>
        <v>302</v>
      </c>
      <c r="AI1716" s="1">
        <f ca="1">IFERROR(__xludf.DUMMYFUNCTION("IFERROR(GOOGLEFINANCE(B1716,""eps""),0)"),0)</f>
        <v>0</v>
      </c>
      <c r="AJ1716" s="1"/>
      <c r="AK1716" s="9"/>
      <c r="AL1716" s="9">
        <f t="shared" si="214"/>
        <v>1</v>
      </c>
    </row>
    <row r="1717" spans="1:38" ht="15" x14ac:dyDescent="0.25">
      <c r="A1717" s="1" t="s">
        <v>5150</v>
      </c>
      <c r="B1717" s="1" t="s">
        <v>5151</v>
      </c>
      <c r="C1717" s="1" t="s">
        <v>86</v>
      </c>
      <c r="D1717" s="1" t="s">
        <v>86</v>
      </c>
      <c r="E1717" s="6">
        <v>9282.5400000000009</v>
      </c>
      <c r="F1717" s="1" t="s">
        <v>40</v>
      </c>
      <c r="G1717" s="6">
        <f ca="1">IFERROR(__xludf.DUMMYFUNCTION("iferror(GOOGLEFINANCE(TRIM(F1717)&amp;"":"" &amp; TRIM(B1717), ""price""),0
)"),0)</f>
        <v>0</v>
      </c>
      <c r="H1717" s="6">
        <v>547.85</v>
      </c>
      <c r="I1717" s="6">
        <f t="shared" ca="1" si="0"/>
        <v>547.85</v>
      </c>
      <c r="J1717" s="6">
        <f ca="1">IFERROR(__xludf.DUMMYFUNCTION("IFERROR(GOOGLEFINANCE(B1717, ""volume""), 0)"),0)</f>
        <v>0</v>
      </c>
      <c r="K1717" s="6">
        <v>1.34</v>
      </c>
      <c r="L1717" s="6">
        <f ca="1">IFERROR(__xludf.DUMMYFUNCTION("IFERROR(GOOGLEFINANCE(B1717,""changepct""),K1717)"),1.34)</f>
        <v>1.34</v>
      </c>
      <c r="M1717" s="6">
        <f ca="1">IFERROR(__xludf.DUMMYFUNCTION("IFERROR(GOOGLEFINANCE(B1717,""change""),0)"),0)</f>
        <v>0</v>
      </c>
      <c r="N1717" s="6">
        <v>2</v>
      </c>
      <c r="O1717" s="7">
        <v>45536</v>
      </c>
      <c r="P1717" s="6">
        <v>950.11</v>
      </c>
      <c r="Q1717" s="6">
        <v>9784.59</v>
      </c>
      <c r="R1717" s="7">
        <v>45536</v>
      </c>
      <c r="S1717" s="6">
        <v>8647.24</v>
      </c>
      <c r="T1717" s="6">
        <v>337.45</v>
      </c>
      <c r="U1717" s="7">
        <v>45536</v>
      </c>
      <c r="V1717" s="6">
        <v>27.29</v>
      </c>
      <c r="W1717" s="6">
        <f ca="1">IFERROR(__xludf.DUMMYFUNCTION("IFERROR(GOOGLEFINANCE(B1717,""pe""),V1717)"),27.29)</f>
        <v>27.29</v>
      </c>
      <c r="X1717" s="6">
        <v>1</v>
      </c>
      <c r="Y1717" s="6">
        <v>5.69</v>
      </c>
      <c r="Z1717" s="6">
        <v>2</v>
      </c>
      <c r="AA1717" s="8">
        <v>45352</v>
      </c>
      <c r="AB1717" s="4">
        <v>0.57999999999999996</v>
      </c>
      <c r="AC1717" s="6">
        <v>20.079999999999998</v>
      </c>
      <c r="AD1717" s="6">
        <v>27.84</v>
      </c>
      <c r="AE1717" s="1">
        <v>0</v>
      </c>
      <c r="AF1717" s="1">
        <f ca="1">IFERROR(__xludf.DUMMYFUNCTION("IFERROR(GOOGLEFINANCE(TRIM(F1717)&amp;"":"" &amp; TRIM(B1717),""high52""),AE1717)"),0)</f>
        <v>0</v>
      </c>
      <c r="AG1717" s="1">
        <v>0</v>
      </c>
      <c r="AH1717" s="1">
        <f ca="1">IFERROR(__xludf.DUMMYFUNCTION("IFERROR(GOOGLEFINANCE(TRIM(F1717)&amp;"":"" &amp; TRIM(B1717),""low52""),AE1717)"),0)</f>
        <v>0</v>
      </c>
      <c r="AI1717" s="1">
        <f ca="1">IFERROR(__xludf.DUMMYFUNCTION("IFERROR(GOOGLEFINANCE(B1717,""eps""),0)"),0)</f>
        <v>0</v>
      </c>
      <c r="AJ1717" s="1"/>
      <c r="AK1717" s="9"/>
      <c r="AL1717" s="9">
        <f t="shared" si="214"/>
        <v>1</v>
      </c>
    </row>
    <row r="1718" spans="1:38" ht="15" x14ac:dyDescent="0.25">
      <c r="A1718" s="1" t="s">
        <v>5152</v>
      </c>
      <c r="B1718" s="1" t="s">
        <v>5153</v>
      </c>
      <c r="C1718" s="1" t="s">
        <v>1129</v>
      </c>
      <c r="D1718" s="1" t="s">
        <v>1129</v>
      </c>
      <c r="E1718" s="6">
        <v>36614.6</v>
      </c>
      <c r="F1718" s="1" t="s">
        <v>40</v>
      </c>
      <c r="G1718" s="6">
        <f ca="1">IFERROR(__xludf.DUMMYFUNCTION("iferror(GOOGLEFINANCE(TRIM(F1718)&amp;"":"" &amp; TRIM(B1718), ""price""),0
)"),285)</f>
        <v>285</v>
      </c>
      <c r="H1718" s="6">
        <v>385.55</v>
      </c>
      <c r="I1718" s="6">
        <f t="shared" ca="1" si="0"/>
        <v>285</v>
      </c>
      <c r="J1718" s="6">
        <f ca="1">IFERROR(__xludf.DUMMYFUNCTION("IFERROR(GOOGLEFINANCE(B1718, ""volume""), 0)"),406319)</f>
        <v>406319</v>
      </c>
      <c r="K1718" s="6">
        <v>1.21</v>
      </c>
      <c r="L1718" s="6">
        <f ca="1">IFERROR(__xludf.DUMMYFUNCTION("IFERROR(GOOGLEFINANCE(B1718,""changepct""),K1718)"),0.78)</f>
        <v>0.78</v>
      </c>
      <c r="M1718" s="6">
        <f ca="1">IFERROR(__xludf.DUMMYFUNCTION("IFERROR(GOOGLEFINANCE(B1718,""change""),0)"),2.2)</f>
        <v>2.2000000000000002</v>
      </c>
      <c r="N1718" s="6">
        <v>2</v>
      </c>
      <c r="O1718" s="7">
        <v>45536</v>
      </c>
      <c r="P1718" s="6">
        <v>1700.73</v>
      </c>
      <c r="Q1718" s="6">
        <v>37751.089999999997</v>
      </c>
      <c r="R1718" s="7">
        <v>45536</v>
      </c>
      <c r="S1718" s="6">
        <v>2396.3000000000002</v>
      </c>
      <c r="T1718" s="6">
        <v>-501.82</v>
      </c>
      <c r="U1718" s="7">
        <v>45536</v>
      </c>
      <c r="V1718" s="6">
        <v>0</v>
      </c>
      <c r="W1718" s="6">
        <f ca="1">IFERROR(__xludf.DUMMYFUNCTION("IFERROR(GOOGLEFINANCE(B1718,""pe""),V1718)"),0)</f>
        <v>0</v>
      </c>
      <c r="X1718" s="9"/>
      <c r="Y1718" s="6">
        <v>22.56</v>
      </c>
      <c r="Z1718" s="6">
        <v>2</v>
      </c>
      <c r="AA1718" s="8">
        <v>45352</v>
      </c>
      <c r="AB1718" s="4">
        <v>1.01</v>
      </c>
      <c r="AC1718" s="6">
        <v>-28.08</v>
      </c>
      <c r="AD1718" s="6">
        <v>-8.3699999999999992</v>
      </c>
      <c r="AE1718" s="1">
        <v>0</v>
      </c>
      <c r="AF1718" s="1">
        <f ca="1">IFERROR(__xludf.DUMMYFUNCTION("IFERROR(GOOGLEFINANCE(TRIM(F1718)&amp;"":"" &amp; TRIM(B1718),""high52""),AE1718)"),372.85)</f>
        <v>372.85</v>
      </c>
      <c r="AG1718" s="1">
        <v>0</v>
      </c>
      <c r="AH1718" s="1">
        <f ca="1">IFERROR(__xludf.DUMMYFUNCTION("IFERROR(GOOGLEFINANCE(TRIM(F1718)&amp;"":"" &amp; TRIM(B1718),""low52""),AE1718)"),234.04)</f>
        <v>234.04</v>
      </c>
      <c r="AI1718" s="1">
        <f ca="1">IFERROR(__xludf.DUMMYFUNCTION("IFERROR(GOOGLEFINANCE(B1718,""eps""),0)"),-1.78)</f>
        <v>-1.78</v>
      </c>
      <c r="AJ1718" s="1"/>
      <c r="AK1718" s="1" t="s">
        <v>5154</v>
      </c>
      <c r="AL1718" s="9">
        <f t="shared" si="214"/>
        <v>1</v>
      </c>
    </row>
    <row r="1719" spans="1:38" ht="15" x14ac:dyDescent="0.25">
      <c r="A1719" s="1" t="s">
        <v>5155</v>
      </c>
      <c r="B1719" s="1" t="s">
        <v>5156</v>
      </c>
      <c r="C1719" s="1" t="s">
        <v>1229</v>
      </c>
      <c r="D1719" s="1" t="s">
        <v>1229</v>
      </c>
      <c r="E1719" s="6">
        <v>75.849999999999994</v>
      </c>
      <c r="F1719" s="1" t="s">
        <v>53</v>
      </c>
      <c r="G1719" s="6">
        <f ca="1">IFERROR(__xludf.DUMMYFUNCTION("iferror(GOOGLEFINANCE(TRIM(F1719)&amp;"":"" &amp; TRIM(B1719), ""price""),0
)"),0)</f>
        <v>0</v>
      </c>
      <c r="H1719" s="6">
        <v>1.57</v>
      </c>
      <c r="I1719" s="6">
        <f t="shared" ca="1" si="0"/>
        <v>1.57</v>
      </c>
      <c r="J1719" s="6">
        <f ca="1">IFERROR(__xludf.DUMMYFUNCTION("IFERROR(GOOGLEFINANCE(B1719, ""volume""), 0)"),0)</f>
        <v>0</v>
      </c>
      <c r="K1719" s="6">
        <v>-1.88</v>
      </c>
      <c r="L1719" s="6">
        <f ca="1">IFERROR(__xludf.DUMMYFUNCTION("IFERROR(GOOGLEFINANCE(B1719,""changepct""),K1719)"),-1.88)</f>
        <v>-1.88</v>
      </c>
      <c r="M1719" s="6">
        <f ca="1">IFERROR(__xludf.DUMMYFUNCTION("IFERROR(GOOGLEFINANCE(B1719,""change""),0)"),0)</f>
        <v>0</v>
      </c>
      <c r="N1719" s="6">
        <v>1</v>
      </c>
      <c r="O1719" s="7">
        <v>45536</v>
      </c>
      <c r="P1719" s="6">
        <v>0.3</v>
      </c>
      <c r="Q1719" s="6">
        <v>76.150000000000006</v>
      </c>
      <c r="R1719" s="7">
        <v>45536</v>
      </c>
      <c r="S1719" s="6">
        <v>5.17</v>
      </c>
      <c r="T1719" s="6">
        <v>0.28999999999999998</v>
      </c>
      <c r="U1719" s="7">
        <v>45536</v>
      </c>
      <c r="V1719" s="6">
        <v>262.45</v>
      </c>
      <c r="W1719" s="6">
        <f ca="1">IFERROR(__xludf.DUMMYFUNCTION("IFERROR(GOOGLEFINANCE(B1719,""pe""),V1719)"),262.45)</f>
        <v>262.45</v>
      </c>
      <c r="X1719" s="6">
        <v>11.69</v>
      </c>
      <c r="Y1719" s="6">
        <v>0.5</v>
      </c>
      <c r="Z1719" s="6">
        <v>1</v>
      </c>
      <c r="AA1719" s="8">
        <v>44986</v>
      </c>
      <c r="AB1719" s="4">
        <v>0.01</v>
      </c>
      <c r="AC1719" s="6">
        <v>12.59</v>
      </c>
      <c r="AD1719" s="6">
        <v>10.69</v>
      </c>
      <c r="AE1719" s="1">
        <v>0</v>
      </c>
      <c r="AF1719" s="1">
        <f ca="1">IFERROR(__xludf.DUMMYFUNCTION("IFERROR(GOOGLEFINANCE(TRIM(F1719)&amp;"":"" &amp; TRIM(B1719),""high52""),AE1719)"),0)</f>
        <v>0</v>
      </c>
      <c r="AG1719" s="1">
        <v>0</v>
      </c>
      <c r="AH1719" s="1">
        <f ca="1">IFERROR(__xludf.DUMMYFUNCTION("IFERROR(GOOGLEFINANCE(TRIM(F1719)&amp;"":"" &amp; TRIM(B1719),""low52""),AE1719)"),0)</f>
        <v>0</v>
      </c>
      <c r="AI1719" s="1">
        <f ca="1">IFERROR(__xludf.DUMMYFUNCTION("IFERROR(GOOGLEFINANCE(B1719,""eps""),0)"),0)</f>
        <v>0</v>
      </c>
      <c r="AJ1719" s="1"/>
      <c r="AK1719" s="1" t="s">
        <v>5157</v>
      </c>
      <c r="AL1719" s="9">
        <f t="shared" si="214"/>
        <v>1</v>
      </c>
    </row>
    <row r="1720" spans="1:38" ht="15" x14ac:dyDescent="0.25">
      <c r="A1720" s="1" t="s">
        <v>5158</v>
      </c>
      <c r="B1720" s="1" t="s">
        <v>5159</v>
      </c>
      <c r="C1720" s="1" t="s">
        <v>135</v>
      </c>
      <c r="D1720" s="1" t="s">
        <v>135</v>
      </c>
      <c r="E1720" s="6">
        <v>219.28</v>
      </c>
      <c r="F1720" s="1" t="s">
        <v>40</v>
      </c>
      <c r="G1720" s="6">
        <f ca="1">IFERROR(__xludf.DUMMYFUNCTION("iferror(GOOGLEFINANCE(TRIM(F1720)&amp;"":"" &amp; TRIM(B1720), ""price""),0
)"),141.3)</f>
        <v>141.30000000000001</v>
      </c>
      <c r="H1720" s="6">
        <v>216.5</v>
      </c>
      <c r="I1720" s="6">
        <f t="shared" ca="1" si="0"/>
        <v>141.30000000000001</v>
      </c>
      <c r="J1720" s="6">
        <f ca="1">IFERROR(__xludf.DUMMYFUNCTION("IFERROR(GOOGLEFINANCE(B1720, ""volume""), 0)"),13169)</f>
        <v>13169</v>
      </c>
      <c r="K1720" s="6">
        <v>1.56</v>
      </c>
      <c r="L1720" s="6">
        <f ca="1">IFERROR(__xludf.DUMMYFUNCTION("IFERROR(GOOGLEFINANCE(B1720,""changepct""),K1720)"),-2.11)</f>
        <v>-2.11</v>
      </c>
      <c r="M1720" s="6">
        <f ca="1">IFERROR(__xludf.DUMMYFUNCTION("IFERROR(GOOGLEFINANCE(B1720,""change""),0)"),-3.04)</f>
        <v>-3.04</v>
      </c>
      <c r="N1720" s="6">
        <v>1</v>
      </c>
      <c r="O1720" s="7">
        <v>45536</v>
      </c>
      <c r="P1720" s="6">
        <v>97.67</v>
      </c>
      <c r="Q1720" s="6">
        <v>315.77999999999997</v>
      </c>
      <c r="R1720" s="7">
        <v>45536</v>
      </c>
      <c r="S1720" s="6">
        <v>524.83000000000004</v>
      </c>
      <c r="T1720" s="6">
        <v>12.04</v>
      </c>
      <c r="U1720" s="7">
        <v>45536</v>
      </c>
      <c r="V1720" s="6">
        <v>18.21</v>
      </c>
      <c r="W1720" s="6">
        <f ca="1">IFERROR(__xludf.DUMMYFUNCTION("IFERROR(GOOGLEFINANCE(B1720,""pe""),V1720)"),10.71)</f>
        <v>10.71</v>
      </c>
      <c r="X1720" s="6">
        <v>0.62</v>
      </c>
      <c r="Y1720" s="6">
        <v>1.64</v>
      </c>
      <c r="Z1720" s="6">
        <v>1</v>
      </c>
      <c r="AA1720" s="8">
        <v>45352</v>
      </c>
      <c r="AB1720" s="4">
        <v>0.69</v>
      </c>
      <c r="AC1720" s="6">
        <v>9.89</v>
      </c>
      <c r="AD1720" s="6">
        <v>11.08</v>
      </c>
      <c r="AE1720" s="1">
        <v>0</v>
      </c>
      <c r="AF1720" s="1">
        <f ca="1">IFERROR(__xludf.DUMMYFUNCTION("IFERROR(GOOGLEFINANCE(TRIM(F1720)&amp;"":"" &amp; TRIM(B1720),""high52""),AE1720)"),206.99)</f>
        <v>206.99</v>
      </c>
      <c r="AG1720" s="1">
        <v>0</v>
      </c>
      <c r="AH1720" s="1">
        <f ca="1">IFERROR(__xludf.DUMMYFUNCTION("IFERROR(GOOGLEFINANCE(TRIM(F1720)&amp;"":"" &amp; TRIM(B1720),""low52""),AE1720)"),126.35)</f>
        <v>126.35</v>
      </c>
      <c r="AI1720" s="1">
        <f ca="1">IFERROR(__xludf.DUMMYFUNCTION("IFERROR(GOOGLEFINANCE(B1720,""eps""),0)"),13.2)</f>
        <v>13.2</v>
      </c>
      <c r="AJ1720" s="1"/>
      <c r="AK1720" s="1" t="s">
        <v>5160</v>
      </c>
      <c r="AL1720" s="9">
        <f t="shared" si="214"/>
        <v>1</v>
      </c>
    </row>
    <row r="1721" spans="1:38" ht="15" x14ac:dyDescent="0.25">
      <c r="A1721" s="1" t="s">
        <v>5161</v>
      </c>
      <c r="B1721" s="1" t="s">
        <v>5162</v>
      </c>
      <c r="C1721" s="1" t="s">
        <v>57</v>
      </c>
      <c r="D1721" s="1" t="s">
        <v>57</v>
      </c>
      <c r="E1721" s="6">
        <v>833.95</v>
      </c>
      <c r="F1721" s="1" t="s">
        <v>40</v>
      </c>
      <c r="G1721" s="6">
        <f ca="1">IFERROR(__xludf.DUMMYFUNCTION("iferror(GOOGLEFINANCE(TRIM(F1721)&amp;"":"" &amp; TRIM(B1721), ""price""),0
)"),627)</f>
        <v>627</v>
      </c>
      <c r="H1721" s="6">
        <v>557</v>
      </c>
      <c r="I1721" s="6">
        <f t="shared" ca="1" si="0"/>
        <v>627</v>
      </c>
      <c r="J1721" s="6">
        <f ca="1">IFERROR(__xludf.DUMMYFUNCTION("IFERROR(GOOGLEFINANCE(B1721, ""volume""), 0)"),154775)</f>
        <v>154775</v>
      </c>
      <c r="K1721" s="6">
        <v>-0.32</v>
      </c>
      <c r="L1721" s="6">
        <f ca="1">IFERROR(__xludf.DUMMYFUNCTION("IFERROR(GOOGLEFINANCE(B1721,""changepct""),K1721)"),9.29)</f>
        <v>9.2899999999999991</v>
      </c>
      <c r="M1721" s="6">
        <f ca="1">IFERROR(__xludf.DUMMYFUNCTION("IFERROR(GOOGLEFINANCE(B1721,""change""),0)"),53.3)</f>
        <v>53.3</v>
      </c>
      <c r="N1721" s="6">
        <v>2</v>
      </c>
      <c r="O1721" s="7">
        <v>45536</v>
      </c>
      <c r="P1721" s="6">
        <v>3.59</v>
      </c>
      <c r="Q1721" s="6">
        <v>837.54</v>
      </c>
      <c r="R1721" s="7">
        <v>45536</v>
      </c>
      <c r="S1721" s="6">
        <v>206.63</v>
      </c>
      <c r="T1721" s="6">
        <v>51.85</v>
      </c>
      <c r="U1721" s="7">
        <v>45536</v>
      </c>
      <c r="V1721" s="6">
        <v>16.079999999999998</v>
      </c>
      <c r="W1721" s="6">
        <f ca="1">IFERROR(__xludf.DUMMYFUNCTION("IFERROR(GOOGLEFINANCE(B1721,""pe""),V1721)"),29.63)</f>
        <v>29.63</v>
      </c>
      <c r="X1721" s="6">
        <v>0.52</v>
      </c>
      <c r="Y1721" s="6">
        <v>2.42</v>
      </c>
      <c r="Z1721" s="6">
        <v>2</v>
      </c>
      <c r="AA1721" s="8">
        <v>45352</v>
      </c>
      <c r="AB1721" s="4">
        <v>0.03</v>
      </c>
      <c r="AC1721" s="6">
        <v>9.0299999999999994</v>
      </c>
      <c r="AD1721" s="6">
        <v>9.5299999999999994</v>
      </c>
      <c r="AE1721" s="1">
        <v>0</v>
      </c>
      <c r="AF1721" s="1">
        <f ca="1">IFERROR(__xludf.DUMMYFUNCTION("IFERROR(GOOGLEFINANCE(TRIM(F1721)&amp;"":"" &amp; TRIM(B1721),""high52""),AE1721)"),1374.7)</f>
        <v>1374.7</v>
      </c>
      <c r="AG1721" s="1">
        <v>0</v>
      </c>
      <c r="AH1721" s="1">
        <f ca="1">IFERROR(__xludf.DUMMYFUNCTION("IFERROR(GOOGLEFINANCE(TRIM(F1721)&amp;"":"" &amp; TRIM(B1721),""low52""),AE1721)"),229.7)</f>
        <v>229.7</v>
      </c>
      <c r="AI1721" s="1">
        <f ca="1">IFERROR(__xludf.DUMMYFUNCTION("IFERROR(GOOGLEFINANCE(B1721,""eps""),0)"),21.16)</f>
        <v>21.16</v>
      </c>
      <c r="AJ1721" s="1"/>
      <c r="AK1721" s="1" t="s">
        <v>5163</v>
      </c>
      <c r="AL1721" s="9">
        <f t="shared" si="214"/>
        <v>1</v>
      </c>
    </row>
    <row r="1722" spans="1:38" ht="15" x14ac:dyDescent="0.25">
      <c r="A1722" s="1" t="s">
        <v>5164</v>
      </c>
      <c r="B1722" s="1" t="s">
        <v>5165</v>
      </c>
      <c r="C1722" s="1" t="s">
        <v>86</v>
      </c>
      <c r="D1722" s="1" t="s">
        <v>86</v>
      </c>
      <c r="E1722" s="6">
        <v>5809.98</v>
      </c>
      <c r="F1722" s="1" t="s">
        <v>40</v>
      </c>
      <c r="G1722" s="6">
        <f ca="1">IFERROR(__xludf.DUMMYFUNCTION("iferror(GOOGLEFINANCE(TRIM(F1722)&amp;"":"" &amp; TRIM(B1722), ""price""),0
)"),566.05)</f>
        <v>566.04999999999995</v>
      </c>
      <c r="H1722" s="6">
        <v>769.25</v>
      </c>
      <c r="I1722" s="6">
        <f t="shared" ca="1" si="0"/>
        <v>566.04999999999995</v>
      </c>
      <c r="J1722" s="6">
        <f ca="1">IFERROR(__xludf.DUMMYFUNCTION("IFERROR(GOOGLEFINANCE(B1722, ""volume""), 0)"),39137)</f>
        <v>39137</v>
      </c>
      <c r="K1722" s="6">
        <v>0.2</v>
      </c>
      <c r="L1722" s="6">
        <f ca="1">IFERROR(__xludf.DUMMYFUNCTION("IFERROR(GOOGLEFINANCE(B1722,""changepct""),K1722)"),-0.11)</f>
        <v>-0.11</v>
      </c>
      <c r="M1722" s="6">
        <f ca="1">IFERROR(__xludf.DUMMYFUNCTION("IFERROR(GOOGLEFINANCE(B1722,""change""),0)"),-0.65)</f>
        <v>-0.65</v>
      </c>
      <c r="N1722" s="6">
        <v>2</v>
      </c>
      <c r="O1722" s="7">
        <v>45536</v>
      </c>
      <c r="P1722" s="6">
        <v>769.55</v>
      </c>
      <c r="Q1722" s="6">
        <v>6026.27</v>
      </c>
      <c r="R1722" s="7">
        <v>45352</v>
      </c>
      <c r="S1722" s="6">
        <v>4879.2</v>
      </c>
      <c r="T1722" s="6">
        <v>328.59</v>
      </c>
      <c r="U1722" s="7">
        <v>45352</v>
      </c>
      <c r="V1722" s="6">
        <v>17.57</v>
      </c>
      <c r="W1722" s="6">
        <f ca="1">IFERROR(__xludf.DUMMYFUNCTION("IFERROR(GOOGLEFINANCE(B1722,""pe""),V1722)"),10.49)</f>
        <v>10.49</v>
      </c>
      <c r="X1722" s="9"/>
      <c r="Y1722" s="6">
        <v>2.08</v>
      </c>
      <c r="Z1722" s="6">
        <v>2</v>
      </c>
      <c r="AA1722" s="8">
        <v>45352</v>
      </c>
      <c r="AB1722" s="4">
        <v>0.22</v>
      </c>
      <c r="AC1722" s="6">
        <v>13.19</v>
      </c>
      <c r="AD1722" s="6">
        <v>18.579999999999998</v>
      </c>
      <c r="AE1722" s="1">
        <v>0</v>
      </c>
      <c r="AF1722" s="1">
        <f ca="1">IFERROR(__xludf.DUMMYFUNCTION("IFERROR(GOOGLEFINANCE(TRIM(F1722)&amp;"":"" &amp; TRIM(B1722),""high52""),AE1722)"),776.35)</f>
        <v>776.35</v>
      </c>
      <c r="AG1722" s="1">
        <v>0</v>
      </c>
      <c r="AH1722" s="1">
        <f ca="1">IFERROR(__xludf.DUMMYFUNCTION("IFERROR(GOOGLEFINANCE(TRIM(F1722)&amp;"":"" &amp; TRIM(B1722),""low52""),AE1722)"),540)</f>
        <v>540</v>
      </c>
      <c r="AI1722" s="1">
        <f ca="1">IFERROR(__xludf.DUMMYFUNCTION("IFERROR(GOOGLEFINANCE(B1722,""eps""),0)"),53.94)</f>
        <v>53.94</v>
      </c>
      <c r="AJ1722" s="1"/>
      <c r="AK1722" s="1" t="s">
        <v>5166</v>
      </c>
      <c r="AL1722" s="9">
        <f t="shared" si="214"/>
        <v>1</v>
      </c>
    </row>
    <row r="1723" spans="1:38" ht="15" x14ac:dyDescent="0.25">
      <c r="A1723" s="1" t="s">
        <v>5167</v>
      </c>
      <c r="B1723" s="1" t="s">
        <v>5168</v>
      </c>
      <c r="C1723" s="1" t="s">
        <v>1229</v>
      </c>
      <c r="D1723" s="1" t="s">
        <v>1229</v>
      </c>
      <c r="E1723" s="6">
        <v>7.12</v>
      </c>
      <c r="F1723" s="1" t="s">
        <v>53</v>
      </c>
      <c r="G1723" s="6">
        <f ca="1">IFERROR(__xludf.DUMMYFUNCTION("iferror(GOOGLEFINANCE(TRIM(F1723)&amp;"":"" &amp; TRIM(B1723), ""price""),0
)"),0)</f>
        <v>0</v>
      </c>
      <c r="H1723" s="6">
        <v>6.79</v>
      </c>
      <c r="I1723" s="6">
        <f t="shared" ca="1" si="0"/>
        <v>6.79</v>
      </c>
      <c r="J1723" s="6">
        <f ca="1">IFERROR(__xludf.DUMMYFUNCTION("IFERROR(GOOGLEFINANCE(B1723, ""volume""), 0)"),0)</f>
        <v>0</v>
      </c>
      <c r="K1723" s="6">
        <v>-4.9000000000000004</v>
      </c>
      <c r="L1723" s="6">
        <f ca="1">IFERROR(__xludf.DUMMYFUNCTION("IFERROR(GOOGLEFINANCE(B1723,""changepct""),K1723)"),-4.9)</f>
        <v>-4.9000000000000004</v>
      </c>
      <c r="M1723" s="6">
        <f ca="1">IFERROR(__xludf.DUMMYFUNCTION("IFERROR(GOOGLEFINANCE(B1723,""change""),0)"),0)</f>
        <v>0</v>
      </c>
      <c r="N1723" s="6">
        <v>2</v>
      </c>
      <c r="O1723" s="7">
        <v>45536</v>
      </c>
      <c r="P1723" s="9"/>
      <c r="Q1723" s="6">
        <v>7.12</v>
      </c>
      <c r="R1723" s="7">
        <v>45536</v>
      </c>
      <c r="S1723" s="6">
        <v>1.34</v>
      </c>
      <c r="T1723" s="6">
        <v>0.63</v>
      </c>
      <c r="U1723" s="7">
        <v>45536</v>
      </c>
      <c r="V1723" s="6">
        <v>11.37</v>
      </c>
      <c r="W1723" s="6">
        <f ca="1">IFERROR(__xludf.DUMMYFUNCTION("IFERROR(GOOGLEFINANCE(B1723,""pe""),V1723)"),11.37)</f>
        <v>11.37</v>
      </c>
      <c r="X1723" s="6">
        <v>0.2</v>
      </c>
      <c r="Y1723" s="6">
        <v>0.99</v>
      </c>
      <c r="Z1723" s="6">
        <v>2</v>
      </c>
      <c r="AA1723" s="8">
        <v>45352</v>
      </c>
      <c r="AB1723" s="4">
        <v>0</v>
      </c>
      <c r="AC1723" s="6">
        <v>5.25</v>
      </c>
      <c r="AD1723" s="6">
        <v>5.25</v>
      </c>
      <c r="AE1723" s="1">
        <v>0</v>
      </c>
      <c r="AF1723" s="1">
        <f ca="1">IFERROR(__xludf.DUMMYFUNCTION("IFERROR(GOOGLEFINANCE(TRIM(F1723)&amp;"":"" &amp; TRIM(B1723),""high52""),AE1723)"),0)</f>
        <v>0</v>
      </c>
      <c r="AG1723" s="1">
        <v>0</v>
      </c>
      <c r="AH1723" s="1">
        <f ca="1">IFERROR(__xludf.DUMMYFUNCTION("IFERROR(GOOGLEFINANCE(TRIM(F1723)&amp;"":"" &amp; TRIM(B1723),""low52""),AE1723)"),0)</f>
        <v>0</v>
      </c>
      <c r="AI1723" s="1">
        <f ca="1">IFERROR(__xludf.DUMMYFUNCTION("IFERROR(GOOGLEFINANCE(B1723,""eps""),0)"),0)</f>
        <v>0</v>
      </c>
      <c r="AJ1723" s="1"/>
      <c r="AK1723" s="1" t="s">
        <v>5169</v>
      </c>
      <c r="AL1723" s="9">
        <f t="shared" si="214"/>
        <v>1</v>
      </c>
    </row>
    <row r="1724" spans="1:38" ht="15" x14ac:dyDescent="0.25">
      <c r="A1724" s="1" t="s">
        <v>5170</v>
      </c>
      <c r="B1724" s="1" t="s">
        <v>5171</v>
      </c>
      <c r="C1724" s="1" t="s">
        <v>1229</v>
      </c>
      <c r="D1724" s="1" t="s">
        <v>1229</v>
      </c>
      <c r="E1724" s="6">
        <v>702.96</v>
      </c>
      <c r="F1724" s="1" t="s">
        <v>53</v>
      </c>
      <c r="G1724" s="6">
        <f ca="1">IFERROR(__xludf.DUMMYFUNCTION("iferror(GOOGLEFINANCE(TRIM(F1724)&amp;"":"" &amp; TRIM(B1724), ""price""),0
)"),0)</f>
        <v>0</v>
      </c>
      <c r="H1724" s="6">
        <v>125.9</v>
      </c>
      <c r="I1724" s="6">
        <f t="shared" ca="1" si="0"/>
        <v>125.9</v>
      </c>
      <c r="J1724" s="6">
        <f ca="1">IFERROR(__xludf.DUMMYFUNCTION("IFERROR(GOOGLEFINANCE(B1724, ""volume""), 0)"),0)</f>
        <v>0</v>
      </c>
      <c r="K1724" s="6">
        <v>-0.71</v>
      </c>
      <c r="L1724" s="6">
        <f ca="1">IFERROR(__xludf.DUMMYFUNCTION("IFERROR(GOOGLEFINANCE(B1724,""changepct""),K1724)"),-0.71)</f>
        <v>-0.71</v>
      </c>
      <c r="M1724" s="6">
        <f ca="1">IFERROR(__xludf.DUMMYFUNCTION("IFERROR(GOOGLEFINANCE(B1724,""change""),0)"),0)</f>
        <v>0</v>
      </c>
      <c r="N1724" s="6">
        <v>2</v>
      </c>
      <c r="O1724" s="7">
        <v>45536</v>
      </c>
      <c r="P1724" s="6">
        <v>12.54</v>
      </c>
      <c r="Q1724" s="6">
        <v>715.5</v>
      </c>
      <c r="R1724" s="7">
        <v>45536</v>
      </c>
      <c r="S1724" s="6">
        <v>38.130000000000003</v>
      </c>
      <c r="T1724" s="6">
        <v>12.09</v>
      </c>
      <c r="U1724" s="7">
        <v>45536</v>
      </c>
      <c r="V1724" s="6">
        <v>57.92</v>
      </c>
      <c r="W1724" s="6">
        <f ca="1">IFERROR(__xludf.DUMMYFUNCTION("IFERROR(GOOGLEFINANCE(B1724,""pe""),V1724)"),57.92)</f>
        <v>57.92</v>
      </c>
      <c r="X1724" s="6">
        <v>0.46</v>
      </c>
      <c r="Y1724" s="6">
        <v>5.2</v>
      </c>
      <c r="Z1724" s="6">
        <v>2</v>
      </c>
      <c r="AA1724" s="8">
        <v>45352</v>
      </c>
      <c r="AB1724" s="4">
        <v>0.47</v>
      </c>
      <c r="AC1724" s="6">
        <v>17.309999999999999</v>
      </c>
      <c r="AD1724" s="6">
        <v>18.329999999999998</v>
      </c>
      <c r="AE1724" s="1">
        <v>0</v>
      </c>
      <c r="AF1724" s="1">
        <f ca="1">IFERROR(__xludf.DUMMYFUNCTION("IFERROR(GOOGLEFINANCE(TRIM(F1724)&amp;"":"" &amp; TRIM(B1724),""high52""),AE1724)"),0)</f>
        <v>0</v>
      </c>
      <c r="AG1724" s="1">
        <v>0</v>
      </c>
      <c r="AH1724" s="1">
        <f ca="1">IFERROR(__xludf.DUMMYFUNCTION("IFERROR(GOOGLEFINANCE(TRIM(F1724)&amp;"":"" &amp; TRIM(B1724),""low52""),AE1724)"),0)</f>
        <v>0</v>
      </c>
      <c r="AI1724" s="1">
        <f ca="1">IFERROR(__xludf.DUMMYFUNCTION("IFERROR(GOOGLEFINANCE(B1724,""eps""),0)"),0)</f>
        <v>0</v>
      </c>
      <c r="AJ1724" s="1"/>
      <c r="AK1724" s="1" t="s">
        <v>5172</v>
      </c>
      <c r="AL1724" s="9">
        <f t="shared" si="214"/>
        <v>1</v>
      </c>
    </row>
    <row r="1725" spans="1:38" ht="15" x14ac:dyDescent="0.25">
      <c r="A1725" s="1" t="s">
        <v>5173</v>
      </c>
      <c r="B1725" s="1" t="s">
        <v>5174</v>
      </c>
      <c r="C1725" s="1" t="s">
        <v>1229</v>
      </c>
      <c r="D1725" s="1" t="s">
        <v>1229</v>
      </c>
      <c r="E1725" s="6">
        <v>43.18</v>
      </c>
      <c r="F1725" s="1" t="s">
        <v>53</v>
      </c>
      <c r="G1725" s="6">
        <f ca="1">IFERROR(__xludf.DUMMYFUNCTION("iferror(GOOGLEFINANCE(TRIM(F1725)&amp;"":"" &amp; TRIM(B1725), ""price""),0
)"),0)</f>
        <v>0</v>
      </c>
      <c r="H1725" s="6">
        <v>4.4000000000000004</v>
      </c>
      <c r="I1725" s="6">
        <f t="shared" ca="1" si="0"/>
        <v>4.4000000000000004</v>
      </c>
      <c r="J1725" s="6">
        <f ca="1">IFERROR(__xludf.DUMMYFUNCTION("IFERROR(GOOGLEFINANCE(B1725, ""volume""), 0)"),0)</f>
        <v>0</v>
      </c>
      <c r="K1725" s="6">
        <v>1.85</v>
      </c>
      <c r="L1725" s="6">
        <f ca="1">IFERROR(__xludf.DUMMYFUNCTION("IFERROR(GOOGLEFINANCE(B1725,""changepct""),K1725)"),1.85)</f>
        <v>1.85</v>
      </c>
      <c r="M1725" s="6">
        <f ca="1">IFERROR(__xludf.DUMMYFUNCTION("IFERROR(GOOGLEFINANCE(B1725,""change""),0)"),0)</f>
        <v>0</v>
      </c>
      <c r="N1725" s="6">
        <v>1</v>
      </c>
      <c r="O1725" s="7">
        <v>45536</v>
      </c>
      <c r="P1725" s="6">
        <v>0.34</v>
      </c>
      <c r="Q1725" s="6">
        <v>43.52</v>
      </c>
      <c r="R1725" s="7">
        <v>45536</v>
      </c>
      <c r="S1725" s="6">
        <v>0</v>
      </c>
      <c r="T1725" s="6">
        <v>-0.27</v>
      </c>
      <c r="U1725" s="7">
        <v>45536</v>
      </c>
      <c r="V1725" s="6">
        <v>0</v>
      </c>
      <c r="W1725" s="6">
        <f ca="1">IFERROR(__xludf.DUMMYFUNCTION("IFERROR(GOOGLEFINANCE(B1725,""pe""),V1725)"),0)</f>
        <v>0</v>
      </c>
      <c r="X1725" s="9"/>
      <c r="Y1725" s="6">
        <v>2.1800000000000002</v>
      </c>
      <c r="Z1725" s="6">
        <v>1</v>
      </c>
      <c r="AA1725" s="8">
        <v>45352</v>
      </c>
      <c r="AB1725" s="4">
        <v>0.02</v>
      </c>
      <c r="AC1725" s="6">
        <v>-1.41</v>
      </c>
      <c r="AD1725" s="6">
        <v>-0.83</v>
      </c>
      <c r="AE1725" s="1">
        <v>0</v>
      </c>
      <c r="AF1725" s="1">
        <f ca="1">IFERROR(__xludf.DUMMYFUNCTION("IFERROR(GOOGLEFINANCE(TRIM(F1725)&amp;"":"" &amp; TRIM(B1725),""high52""),AE1725)"),0)</f>
        <v>0</v>
      </c>
      <c r="AG1725" s="1">
        <v>0</v>
      </c>
      <c r="AH1725" s="1">
        <f ca="1">IFERROR(__xludf.DUMMYFUNCTION("IFERROR(GOOGLEFINANCE(TRIM(F1725)&amp;"":"" &amp; TRIM(B1725),""low52""),AE1725)"),0)</f>
        <v>0</v>
      </c>
      <c r="AI1725" s="1">
        <f ca="1">IFERROR(__xludf.DUMMYFUNCTION("IFERROR(GOOGLEFINANCE(B1725,""eps""),0)"),0)</f>
        <v>0</v>
      </c>
      <c r="AJ1725" s="1"/>
      <c r="AK1725" s="1" t="s">
        <v>5175</v>
      </c>
      <c r="AL1725" s="9">
        <f t="shared" si="214"/>
        <v>1</v>
      </c>
    </row>
    <row r="1726" spans="1:38" ht="15" x14ac:dyDescent="0.25">
      <c r="A1726" s="1" t="s">
        <v>5176</v>
      </c>
      <c r="B1726" s="1" t="s">
        <v>5177</v>
      </c>
      <c r="C1726" s="1" t="s">
        <v>778</v>
      </c>
      <c r="D1726" s="1" t="s">
        <v>778</v>
      </c>
      <c r="E1726" s="6">
        <v>1819.81</v>
      </c>
      <c r="F1726" s="1" t="s">
        <v>40</v>
      </c>
      <c r="G1726" s="6">
        <f ca="1">IFERROR(__xludf.DUMMYFUNCTION("iferror(GOOGLEFINANCE(TRIM(F1726)&amp;"":"" &amp; TRIM(B1726), ""price""),0
)"),66.3)</f>
        <v>66.3</v>
      </c>
      <c r="H1726" s="6">
        <v>84.06</v>
      </c>
      <c r="I1726" s="6">
        <f t="shared" ca="1" si="0"/>
        <v>66.3</v>
      </c>
      <c r="J1726" s="6">
        <f ca="1">IFERROR(__xludf.DUMMYFUNCTION("IFERROR(GOOGLEFINANCE(B1726, ""volume""), 0)"),114867)</f>
        <v>114867</v>
      </c>
      <c r="K1726" s="6">
        <v>0.62</v>
      </c>
      <c r="L1726" s="6">
        <f ca="1">IFERROR(__xludf.DUMMYFUNCTION("IFERROR(GOOGLEFINANCE(B1726,""changepct""),K1726)"),-1.24)</f>
        <v>-1.24</v>
      </c>
      <c r="M1726" s="6">
        <f ca="1">IFERROR(__xludf.DUMMYFUNCTION("IFERROR(GOOGLEFINANCE(B1726,""change""),0)"),-0.83)</f>
        <v>-0.83</v>
      </c>
      <c r="N1726" s="6">
        <v>2</v>
      </c>
      <c r="O1726" s="7">
        <v>45536</v>
      </c>
      <c r="P1726" s="6">
        <v>120.32</v>
      </c>
      <c r="Q1726" s="6">
        <v>1723.66</v>
      </c>
      <c r="R1726" s="7">
        <v>45536</v>
      </c>
      <c r="S1726" s="6">
        <v>1911.23</v>
      </c>
      <c r="T1726" s="6">
        <v>161.75</v>
      </c>
      <c r="U1726" s="7">
        <v>45536</v>
      </c>
      <c r="V1726" s="6">
        <v>10.06</v>
      </c>
      <c r="W1726" s="6">
        <f ca="1">IFERROR(__xludf.DUMMYFUNCTION("IFERROR(GOOGLEFINANCE(B1726,""pe""),V1726)"),8.36)</f>
        <v>8.36</v>
      </c>
      <c r="X1726" s="6">
        <v>-1.49</v>
      </c>
      <c r="Y1726" s="6">
        <v>0.96</v>
      </c>
      <c r="Z1726" s="6">
        <v>2</v>
      </c>
      <c r="AA1726" s="8">
        <v>45352</v>
      </c>
      <c r="AB1726" s="4">
        <v>0.09</v>
      </c>
      <c r="AC1726" s="6">
        <v>8.9700000000000006</v>
      </c>
      <c r="AD1726" s="6">
        <v>11.86</v>
      </c>
      <c r="AE1726" s="1">
        <v>0</v>
      </c>
      <c r="AF1726" s="1">
        <f ca="1">IFERROR(__xludf.DUMMYFUNCTION("IFERROR(GOOGLEFINANCE(TRIM(F1726)&amp;"":"" &amp; TRIM(B1726),""high52""),AE1726)"),83.8)</f>
        <v>83.8</v>
      </c>
      <c r="AG1726" s="1">
        <v>0</v>
      </c>
      <c r="AH1726" s="1">
        <f ca="1">IFERROR(__xludf.DUMMYFUNCTION("IFERROR(GOOGLEFINANCE(TRIM(F1726)&amp;"":"" &amp; TRIM(B1726),""low52""),AE1726)"),65.01)</f>
        <v>65.010000000000005</v>
      </c>
      <c r="AI1726" s="1">
        <f ca="1">IFERROR(__xludf.DUMMYFUNCTION("IFERROR(GOOGLEFINANCE(B1726,""eps""),0)"),7.93)</f>
        <v>7.93</v>
      </c>
      <c r="AJ1726" s="1"/>
      <c r="AK1726" s="1" t="s">
        <v>5178</v>
      </c>
      <c r="AL1726" s="9">
        <f t="shared" si="214"/>
        <v>1</v>
      </c>
    </row>
    <row r="1727" spans="1:38" ht="15" x14ac:dyDescent="0.25">
      <c r="A1727" s="1" t="s">
        <v>5179</v>
      </c>
      <c r="B1727" s="1" t="s">
        <v>5180</v>
      </c>
      <c r="C1727" s="1" t="s">
        <v>106</v>
      </c>
      <c r="D1727" s="1" t="s">
        <v>106</v>
      </c>
      <c r="E1727" s="6">
        <v>1748.05</v>
      </c>
      <c r="F1727" s="1" t="s">
        <v>40</v>
      </c>
      <c r="G1727" s="6">
        <f ca="1">IFERROR(__xludf.DUMMYFUNCTION("iferror(GOOGLEFINANCE(TRIM(F1727)&amp;"":"" &amp; TRIM(B1727), ""price""),0
)"),170)</f>
        <v>170</v>
      </c>
      <c r="H1727" s="6">
        <v>657</v>
      </c>
      <c r="I1727" s="6">
        <f t="shared" ca="1" si="0"/>
        <v>170</v>
      </c>
      <c r="J1727" s="6">
        <f ca="1">IFERROR(__xludf.DUMMYFUNCTION("IFERROR(GOOGLEFINANCE(B1727, ""volume""), 0)"),38053)</f>
        <v>38053</v>
      </c>
      <c r="K1727" s="6">
        <v>-0.62</v>
      </c>
      <c r="L1727" s="6">
        <f ca="1">IFERROR(__xludf.DUMMYFUNCTION("IFERROR(GOOGLEFINANCE(B1727,""changepct""),K1727)"),0.55)</f>
        <v>0.55000000000000004</v>
      </c>
      <c r="M1727" s="6">
        <f ca="1">IFERROR(__xludf.DUMMYFUNCTION("IFERROR(GOOGLEFINANCE(B1727,""change""),0)"),0.93)</f>
        <v>0.93</v>
      </c>
      <c r="N1727" s="6">
        <v>1</v>
      </c>
      <c r="O1727" s="7">
        <v>45536</v>
      </c>
      <c r="P1727" s="9"/>
      <c r="Q1727" s="6">
        <v>1670.21</v>
      </c>
      <c r="R1727" s="7">
        <v>45536</v>
      </c>
      <c r="S1727" s="6">
        <v>226.85</v>
      </c>
      <c r="T1727" s="6">
        <v>24.3</v>
      </c>
      <c r="U1727" s="7">
        <v>45536</v>
      </c>
      <c r="V1727" s="6">
        <v>71.94</v>
      </c>
      <c r="W1727" s="6">
        <f ca="1">IFERROR(__xludf.DUMMYFUNCTION("IFERROR(GOOGLEFINANCE(B1727,""pe""),V1727)"),28)</f>
        <v>28</v>
      </c>
      <c r="X1727" s="6">
        <v>2.82</v>
      </c>
      <c r="Y1727" s="6">
        <v>8.8699999999999992</v>
      </c>
      <c r="Z1727" s="6">
        <v>1</v>
      </c>
      <c r="AA1727" s="8">
        <v>45352</v>
      </c>
      <c r="AB1727" s="4">
        <v>0</v>
      </c>
      <c r="AC1727" s="6">
        <v>14.02</v>
      </c>
      <c r="AD1727" s="6">
        <v>17.72</v>
      </c>
      <c r="AE1727" s="1">
        <v>0</v>
      </c>
      <c r="AF1727" s="1">
        <f ca="1">IFERROR(__xludf.DUMMYFUNCTION("IFERROR(GOOGLEFINANCE(TRIM(F1727)&amp;"":"" &amp; TRIM(B1727),""high52""),AE1727)"),301.65)</f>
        <v>301.64999999999998</v>
      </c>
      <c r="AG1727" s="1">
        <v>0</v>
      </c>
      <c r="AH1727" s="1">
        <f ca="1">IFERROR(__xludf.DUMMYFUNCTION("IFERROR(GOOGLEFINANCE(TRIM(F1727)&amp;"":"" &amp; TRIM(B1727),""low52""),AE1727)"),155)</f>
        <v>155</v>
      </c>
      <c r="AI1727" s="1">
        <f ca="1">IFERROR(__xludf.DUMMYFUNCTION("IFERROR(GOOGLEFINANCE(B1727,""eps""),0)"),6.07)</f>
        <v>6.07</v>
      </c>
      <c r="AJ1727" s="1"/>
      <c r="AK1727" s="1" t="s">
        <v>5181</v>
      </c>
      <c r="AL1727" s="9">
        <f t="shared" si="214"/>
        <v>1</v>
      </c>
    </row>
    <row r="1728" spans="1:38" ht="15" x14ac:dyDescent="0.25">
      <c r="A1728" s="1" t="s">
        <v>5182</v>
      </c>
      <c r="B1728" s="1" t="s">
        <v>5183</v>
      </c>
      <c r="C1728" s="1" t="s">
        <v>386</v>
      </c>
      <c r="D1728" s="1" t="s">
        <v>386</v>
      </c>
      <c r="E1728" s="6">
        <v>748.28</v>
      </c>
      <c r="F1728" s="1" t="s">
        <v>53</v>
      </c>
      <c r="G1728" s="6">
        <f ca="1">IFERROR(__xludf.DUMMYFUNCTION("iferror(GOOGLEFINANCE(TRIM(F1728)&amp;"":"" &amp; TRIM(B1728), ""price""),0
)"),0)</f>
        <v>0</v>
      </c>
      <c r="H1728" s="6">
        <v>570.1</v>
      </c>
      <c r="I1728" s="6">
        <f t="shared" ca="1" si="0"/>
        <v>570.1</v>
      </c>
      <c r="J1728" s="6">
        <f ca="1">IFERROR(__xludf.DUMMYFUNCTION("IFERROR(GOOGLEFINANCE(B1728, ""volume""), 0)"),0)</f>
        <v>0</v>
      </c>
      <c r="K1728" s="6">
        <v>-0.83</v>
      </c>
      <c r="L1728" s="6">
        <f ca="1">IFERROR(__xludf.DUMMYFUNCTION("IFERROR(GOOGLEFINANCE(B1728,""changepct""),K1728)"),-0.83)</f>
        <v>-0.83</v>
      </c>
      <c r="M1728" s="6">
        <f ca="1">IFERROR(__xludf.DUMMYFUNCTION("IFERROR(GOOGLEFINANCE(B1728,""change""),0)"),0)</f>
        <v>0</v>
      </c>
      <c r="N1728" s="6">
        <v>1</v>
      </c>
      <c r="O1728" s="7">
        <v>45536</v>
      </c>
      <c r="P1728" s="6">
        <v>-9.9</v>
      </c>
      <c r="Q1728" s="7">
        <v>45536</v>
      </c>
      <c r="R1728" s="6">
        <v>0</v>
      </c>
      <c r="S1728" s="9"/>
      <c r="T1728" s="6">
        <v>10.3</v>
      </c>
      <c r="U1728" s="6">
        <v>1</v>
      </c>
      <c r="V1728" s="7">
        <v>45352</v>
      </c>
      <c r="W1728" s="10">
        <f ca="1">IFERROR(__xludf.DUMMYFUNCTION("IFERROR(GOOGLEFINANCE(B1728,""pe""),V1728)"),45352)</f>
        <v>45352</v>
      </c>
      <c r="X1728" s="6">
        <v>0</v>
      </c>
      <c r="Y1728" s="6">
        <v>-17.71</v>
      </c>
      <c r="Z1728" s="6">
        <v>-7.18</v>
      </c>
      <c r="AA1728" s="3" t="s">
        <v>5184</v>
      </c>
      <c r="AB1728" s="11"/>
      <c r="AC1728" s="9"/>
      <c r="AD1728" s="9"/>
      <c r="AE1728" s="1">
        <v>0</v>
      </c>
      <c r="AF1728" s="1">
        <f ca="1">IFERROR(__xludf.DUMMYFUNCTION("IFERROR(GOOGLEFINANCE(TRIM(F1728)&amp;"":"" &amp; TRIM(B1728),""high52""),AE1728)"),0)</f>
        <v>0</v>
      </c>
      <c r="AG1728" s="1">
        <v>0</v>
      </c>
      <c r="AH1728" s="1">
        <f ca="1">IFERROR(__xludf.DUMMYFUNCTION("IFERROR(GOOGLEFINANCE(TRIM(F1728)&amp;"":"" &amp; TRIM(B1728),""low52""),AE1728)"),0)</f>
        <v>0</v>
      </c>
      <c r="AI1728" s="1">
        <f ca="1">IFERROR(__xludf.DUMMYFUNCTION("IFERROR(GOOGLEFINANCE(B1728,""eps""),0)"),0)</f>
        <v>0</v>
      </c>
      <c r="AJ1728" s="1"/>
      <c r="AK1728" s="9"/>
      <c r="AL1728" s="9">
        <f t="shared" si="214"/>
        <v>1</v>
      </c>
    </row>
    <row r="1729" spans="1:38" ht="15" x14ac:dyDescent="0.25">
      <c r="A1729" s="1" t="s">
        <v>5185</v>
      </c>
      <c r="B1729" s="1" t="s">
        <v>5186</v>
      </c>
      <c r="C1729" s="1" t="s">
        <v>2018</v>
      </c>
      <c r="D1729" s="1" t="s">
        <v>2018</v>
      </c>
      <c r="E1729" s="6">
        <v>16452.45</v>
      </c>
      <c r="F1729" s="1" t="s">
        <v>40</v>
      </c>
      <c r="G1729" s="6">
        <f ca="1">IFERROR(__xludf.DUMMYFUNCTION("iferror(GOOGLEFINANCE(TRIM(F1729)&amp;"":"" &amp; TRIM(B1729), ""price""),0
)"),69.9)</f>
        <v>69.900000000000006</v>
      </c>
      <c r="H1729" s="6">
        <v>907</v>
      </c>
      <c r="I1729" s="6">
        <f t="shared" ca="1" si="0"/>
        <v>69.900000000000006</v>
      </c>
      <c r="J1729" s="6">
        <f ca="1">IFERROR(__xludf.DUMMYFUNCTION("IFERROR(GOOGLEFINANCE(B1729, ""volume""), 0)"),3579962)</f>
        <v>3579962</v>
      </c>
      <c r="K1729" s="6">
        <v>0.48</v>
      </c>
      <c r="L1729" s="6">
        <f ca="1">IFERROR(__xludf.DUMMYFUNCTION("IFERROR(GOOGLEFINANCE(B1729,""changepct""),K1729)"),3.14)</f>
        <v>3.14</v>
      </c>
      <c r="M1729" s="6">
        <f ca="1">IFERROR(__xludf.DUMMYFUNCTION("IFERROR(GOOGLEFINANCE(B1729,""change""),0)"),2.13)</f>
        <v>2.13</v>
      </c>
      <c r="N1729" s="6">
        <v>2</v>
      </c>
      <c r="O1729" s="7">
        <v>45536</v>
      </c>
      <c r="P1729" s="6">
        <v>431.37</v>
      </c>
      <c r="Q1729" s="6">
        <v>16798.13</v>
      </c>
      <c r="R1729" s="7">
        <v>45536</v>
      </c>
      <c r="S1729" s="6">
        <v>6659.47</v>
      </c>
      <c r="T1729" s="6">
        <v>869.56</v>
      </c>
      <c r="U1729" s="7">
        <v>45536</v>
      </c>
      <c r="V1729" s="6">
        <v>18.920000000000002</v>
      </c>
      <c r="W1729" s="6">
        <f ca="1">IFERROR(__xludf.DUMMYFUNCTION("IFERROR(GOOGLEFINANCE(B1729,""pe""),V1729)"),32.45)</f>
        <v>32.450000000000003</v>
      </c>
      <c r="X1729" s="6">
        <v>0.37</v>
      </c>
      <c r="Y1729" s="6">
        <v>8.5299999999999994</v>
      </c>
      <c r="Z1729" s="6">
        <v>2</v>
      </c>
      <c r="AA1729" s="17">
        <v>45352</v>
      </c>
      <c r="AB1729" s="18">
        <v>0.32</v>
      </c>
      <c r="AC1729" s="6">
        <v>88.19</v>
      </c>
      <c r="AD1729" s="6">
        <v>61.07</v>
      </c>
      <c r="AE1729" s="1">
        <v>0</v>
      </c>
      <c r="AF1729" s="1">
        <f ca="1">IFERROR(__xludf.DUMMYFUNCTION("IFERROR(GOOGLEFINANCE(TRIM(F1729)&amp;"":"" &amp; TRIM(B1729),""high52""),AE1729)"),161.45)</f>
        <v>161.44999999999999</v>
      </c>
      <c r="AG1729" s="1">
        <v>0</v>
      </c>
      <c r="AH1729" s="1">
        <f ca="1">IFERROR(__xludf.DUMMYFUNCTION("IFERROR(GOOGLEFINANCE(TRIM(F1729)&amp;"":"" &amp; TRIM(B1729),""low52""),AE1729)"),59.9)</f>
        <v>59.9</v>
      </c>
      <c r="AI1729" s="1">
        <f ca="1">IFERROR(__xludf.DUMMYFUNCTION("IFERROR(GOOGLEFINANCE(B1729,""eps""),0)"),2.15)</f>
        <v>2.15</v>
      </c>
      <c r="AJ1729" s="1"/>
      <c r="AK1729" s="1" t="s">
        <v>5187</v>
      </c>
      <c r="AL1729" s="9">
        <f t="shared" si="214"/>
        <v>1</v>
      </c>
    </row>
    <row r="1730" spans="1:38" ht="15" x14ac:dyDescent="0.25">
      <c r="A1730" s="1" t="s">
        <v>5188</v>
      </c>
      <c r="B1730" s="1" t="s">
        <v>5189</v>
      </c>
      <c r="C1730" s="1" t="s">
        <v>82</v>
      </c>
      <c r="D1730" s="1" t="s">
        <v>82</v>
      </c>
      <c r="E1730" s="6">
        <v>4350.7700000000004</v>
      </c>
      <c r="F1730" s="1" t="s">
        <v>40</v>
      </c>
      <c r="G1730" s="6">
        <f ca="1">IFERROR(__xludf.DUMMYFUNCTION("iferror(GOOGLEFINANCE(TRIM(F1730)&amp;"":"" &amp; TRIM(B1730), ""price""),0
)"),111.39)</f>
        <v>111.39</v>
      </c>
      <c r="H1730" s="6">
        <v>226.9</v>
      </c>
      <c r="I1730" s="6">
        <f t="shared" ca="1" si="0"/>
        <v>111.39</v>
      </c>
      <c r="J1730" s="6">
        <f ca="1">IFERROR(__xludf.DUMMYFUNCTION("IFERROR(GOOGLEFINANCE(B1730, ""volume""), 0)"),520837)</f>
        <v>520837</v>
      </c>
      <c r="K1730" s="6">
        <v>-8.66</v>
      </c>
      <c r="L1730" s="6">
        <f ca="1">IFERROR(__xludf.DUMMYFUNCTION("IFERROR(GOOGLEFINANCE(B1730,""changepct""),K1730)"),1.27)</f>
        <v>1.27</v>
      </c>
      <c r="M1730" s="6">
        <f ca="1">IFERROR(__xludf.DUMMYFUNCTION("IFERROR(GOOGLEFINANCE(B1730,""change""),0)"),1.4)</f>
        <v>1.4</v>
      </c>
      <c r="N1730" s="6">
        <v>2</v>
      </c>
      <c r="O1730" s="7">
        <v>45536</v>
      </c>
      <c r="P1730" s="9"/>
      <c r="Q1730" s="6">
        <v>4343.83</v>
      </c>
      <c r="R1730" s="7">
        <v>45536</v>
      </c>
      <c r="S1730" s="6">
        <v>485.92</v>
      </c>
      <c r="T1730" s="6">
        <v>67.8</v>
      </c>
      <c r="U1730" s="7">
        <v>45536</v>
      </c>
      <c r="V1730" s="6">
        <v>65.650000000000006</v>
      </c>
      <c r="W1730" s="6">
        <f ca="1">IFERROR(__xludf.DUMMYFUNCTION("IFERROR(GOOGLEFINANCE(B1730,""pe""),V1730)"),11.72)</f>
        <v>11.72</v>
      </c>
      <c r="X1730" s="6">
        <v>68.39</v>
      </c>
      <c r="Y1730" s="6">
        <v>3.18</v>
      </c>
      <c r="Z1730" s="6">
        <v>2</v>
      </c>
      <c r="AA1730" s="8">
        <v>45352</v>
      </c>
      <c r="AB1730" s="4">
        <v>0</v>
      </c>
      <c r="AC1730" s="6">
        <v>3.62</v>
      </c>
      <c r="AD1730" s="6">
        <v>4.9400000000000004</v>
      </c>
      <c r="AE1730" s="1">
        <v>0</v>
      </c>
      <c r="AF1730" s="1">
        <f ca="1">IFERROR(__xludf.DUMMYFUNCTION("IFERROR(GOOGLEFINANCE(TRIM(F1730)&amp;"":"" &amp; TRIM(B1730),""high52""),AE1730)"),178.24)</f>
        <v>178.24</v>
      </c>
      <c r="AG1730" s="1">
        <v>0</v>
      </c>
      <c r="AH1730" s="1">
        <f ca="1">IFERROR(__xludf.DUMMYFUNCTION("IFERROR(GOOGLEFINANCE(TRIM(F1730)&amp;"":"" &amp; TRIM(B1730),""low52""),AE1730)"),81.49)</f>
        <v>81.489999999999995</v>
      </c>
      <c r="AI1730" s="1">
        <f ca="1">IFERROR(__xludf.DUMMYFUNCTION("IFERROR(GOOGLEFINANCE(B1730,""eps""),0)"),9.5)</f>
        <v>9.5</v>
      </c>
      <c r="AJ1730" s="1"/>
      <c r="AK1730" s="1" t="s">
        <v>5190</v>
      </c>
      <c r="AL1730" s="9">
        <f t="shared" si="214"/>
        <v>1</v>
      </c>
    </row>
    <row r="1731" spans="1:38" ht="15" x14ac:dyDescent="0.25">
      <c r="A1731" s="1" t="s">
        <v>5191</v>
      </c>
      <c r="B1731" s="1" t="s">
        <v>5192</v>
      </c>
      <c r="C1731" s="1" t="s">
        <v>82</v>
      </c>
      <c r="D1731" s="1" t="s">
        <v>82</v>
      </c>
      <c r="E1731" s="6">
        <v>4986.5600000000004</v>
      </c>
      <c r="F1731" s="1" t="s">
        <v>40</v>
      </c>
      <c r="G1731" s="6">
        <f ca="1">IFERROR(__xludf.DUMMYFUNCTION("iferror(GOOGLEFINANCE(TRIM(F1731)&amp;"":"" &amp; TRIM(B1731), ""price""),0
)"),36.05)</f>
        <v>36.049999999999997</v>
      </c>
      <c r="H1731" s="6">
        <v>73.709999999999994</v>
      </c>
      <c r="I1731" s="6">
        <f t="shared" ca="1" si="0"/>
        <v>36.049999999999997</v>
      </c>
      <c r="J1731" s="6">
        <f ca="1">IFERROR(__xludf.DUMMYFUNCTION("IFERROR(GOOGLEFINANCE(B1731, ""volume""), 0)"),1217791)</f>
        <v>1217791</v>
      </c>
      <c r="K1731" s="6">
        <v>-0.91</v>
      </c>
      <c r="L1731" s="6">
        <f ca="1">IFERROR(__xludf.DUMMYFUNCTION("IFERROR(GOOGLEFINANCE(B1731,""changepct""),K1731)"),-0.77)</f>
        <v>-0.77</v>
      </c>
      <c r="M1731" s="6">
        <f ca="1">IFERROR(__xludf.DUMMYFUNCTION("IFERROR(GOOGLEFINANCE(B1731,""change""),0)"),-0.28)</f>
        <v>-0.28000000000000003</v>
      </c>
      <c r="N1731" s="6">
        <v>2</v>
      </c>
      <c r="O1731" s="7">
        <v>45536</v>
      </c>
      <c r="P1731" s="6">
        <v>3854</v>
      </c>
      <c r="Q1731" s="6">
        <v>8762.0400000000009</v>
      </c>
      <c r="R1731" s="7">
        <v>45536</v>
      </c>
      <c r="S1731" s="6">
        <v>5754.17</v>
      </c>
      <c r="T1731" s="6">
        <v>36.76</v>
      </c>
      <c r="U1731" s="7">
        <v>45536</v>
      </c>
      <c r="V1731" s="6">
        <v>0</v>
      </c>
      <c r="W1731" s="6">
        <f ca="1">IFERROR(__xludf.DUMMYFUNCTION("IFERROR(GOOGLEFINANCE(B1731,""pe""),V1731)"),47.26)</f>
        <v>47.26</v>
      </c>
      <c r="X1731" s="6">
        <v>0</v>
      </c>
      <c r="Y1731" s="6">
        <v>0.91</v>
      </c>
      <c r="Z1731" s="6">
        <v>2</v>
      </c>
      <c r="AA1731" s="8">
        <v>45352</v>
      </c>
      <c r="AB1731" s="4">
        <v>0.73</v>
      </c>
      <c r="AC1731" s="6">
        <v>1.73</v>
      </c>
      <c r="AD1731" s="6">
        <v>5.92</v>
      </c>
      <c r="AE1731" s="1">
        <v>0</v>
      </c>
      <c r="AF1731" s="1">
        <f ca="1">IFERROR(__xludf.DUMMYFUNCTION("IFERROR(GOOGLEFINANCE(TRIM(F1731)&amp;"":"" &amp; TRIM(B1731),""high52""),AE1731)"),72.65)</f>
        <v>72.650000000000006</v>
      </c>
      <c r="AG1731" s="1">
        <v>0</v>
      </c>
      <c r="AH1731" s="1">
        <f ca="1">IFERROR(__xludf.DUMMYFUNCTION("IFERROR(GOOGLEFINANCE(TRIM(F1731)&amp;"":"" &amp; TRIM(B1731),""low52""),AE1731)"),33.4)</f>
        <v>33.4</v>
      </c>
      <c r="AI1731" s="1">
        <f ca="1">IFERROR(__xludf.DUMMYFUNCTION("IFERROR(GOOGLEFINANCE(B1731,""eps""),0)"),0.76)</f>
        <v>0.76</v>
      </c>
      <c r="AJ1731" s="1"/>
      <c r="AK1731" s="1" t="s">
        <v>5193</v>
      </c>
      <c r="AL1731" s="9">
        <f t="shared" si="214"/>
        <v>1</v>
      </c>
    </row>
    <row r="1732" spans="1:38" ht="15" x14ac:dyDescent="0.25">
      <c r="A1732" s="1" t="s">
        <v>5194</v>
      </c>
      <c r="B1732" s="1" t="s">
        <v>5195</v>
      </c>
      <c r="C1732" s="1" t="s">
        <v>82</v>
      </c>
      <c r="D1732" s="1" t="s">
        <v>82</v>
      </c>
      <c r="E1732" s="6">
        <v>73.7</v>
      </c>
      <c r="F1732" s="1" t="s">
        <v>40</v>
      </c>
      <c r="G1732" s="6">
        <f ca="1">IFERROR(__xludf.DUMMYFUNCTION("iferror(GOOGLEFINANCE(TRIM(F1732)&amp;"":"" &amp; TRIM(B1732), ""price""),0
)"),22.59)</f>
        <v>22.59</v>
      </c>
      <c r="H1732" s="6">
        <v>37.909999999999997</v>
      </c>
      <c r="I1732" s="6">
        <f t="shared" ca="1" si="0"/>
        <v>22.59</v>
      </c>
      <c r="J1732" s="6">
        <f ca="1">IFERROR(__xludf.DUMMYFUNCTION("IFERROR(GOOGLEFINANCE(B1732, ""volume""), 0)"),55067)</f>
        <v>55067</v>
      </c>
      <c r="K1732" s="6">
        <v>-0.97</v>
      </c>
      <c r="L1732" s="6">
        <f ca="1">IFERROR(__xludf.DUMMYFUNCTION("IFERROR(GOOGLEFINANCE(B1732,""changepct""),K1732)"),-3.59)</f>
        <v>-3.59</v>
      </c>
      <c r="M1732" s="6">
        <f ca="1">IFERROR(__xludf.DUMMYFUNCTION("IFERROR(GOOGLEFINANCE(B1732,""change""),0)"),-0.84)</f>
        <v>-0.84</v>
      </c>
      <c r="N1732" s="6">
        <v>1</v>
      </c>
      <c r="O1732" s="14"/>
      <c r="P1732" s="9"/>
      <c r="Q1732" s="6">
        <v>73.7</v>
      </c>
      <c r="R1732" s="7">
        <v>42430</v>
      </c>
      <c r="S1732" s="6">
        <v>4242.28</v>
      </c>
      <c r="T1732" s="6">
        <v>71.260000000000005</v>
      </c>
      <c r="U1732" s="7">
        <v>42430</v>
      </c>
      <c r="V1732" s="6">
        <v>1.03</v>
      </c>
      <c r="W1732" s="6">
        <f ca="1">IFERROR(__xludf.DUMMYFUNCTION("IFERROR(GOOGLEFINANCE(B1732,""pe""),V1732)"),1.03)</f>
        <v>1.03</v>
      </c>
      <c r="X1732" s="9"/>
      <c r="Y1732" s="9"/>
      <c r="Z1732" s="6">
        <v>1</v>
      </c>
      <c r="AA1732" s="3">
        <v>0</v>
      </c>
      <c r="AB1732" s="11"/>
      <c r="AC1732" s="9"/>
      <c r="AD1732" s="9"/>
      <c r="AE1732" s="1">
        <v>0</v>
      </c>
      <c r="AF1732" s="1">
        <f ca="1">IFERROR(__xludf.DUMMYFUNCTION("IFERROR(GOOGLEFINANCE(TRIM(F1732)&amp;"":"" &amp; TRIM(B1732),""high52""),AE1732)"),36.9)</f>
        <v>36.9</v>
      </c>
      <c r="AG1732" s="1">
        <v>0</v>
      </c>
      <c r="AH1732" s="1">
        <f ca="1">IFERROR(__xludf.DUMMYFUNCTION("IFERROR(GOOGLEFINANCE(TRIM(F1732)&amp;"":"" &amp; TRIM(B1732),""low52""),AE1732)"),21.95)</f>
        <v>21.95</v>
      </c>
      <c r="AI1732" s="1">
        <f ca="1">IFERROR(__xludf.DUMMYFUNCTION("IFERROR(GOOGLEFINANCE(B1732,""eps""),0)"),0)</f>
        <v>0</v>
      </c>
      <c r="AJ1732" s="1"/>
      <c r="AK1732" s="1" t="s">
        <v>5196</v>
      </c>
      <c r="AL1732" s="9">
        <f t="shared" si="214"/>
        <v>0</v>
      </c>
    </row>
    <row r="1733" spans="1:38" ht="15" x14ac:dyDescent="0.25">
      <c r="A1733" s="1" t="s">
        <v>5197</v>
      </c>
      <c r="B1733" s="1" t="s">
        <v>5198</v>
      </c>
      <c r="C1733" s="1" t="s">
        <v>386</v>
      </c>
      <c r="D1733" s="1" t="s">
        <v>386</v>
      </c>
      <c r="E1733" s="6">
        <v>23</v>
      </c>
      <c r="F1733" s="1" t="s">
        <v>53</v>
      </c>
      <c r="G1733" s="6">
        <f ca="1">IFERROR(__xludf.DUMMYFUNCTION("iferror(GOOGLEFINANCE(TRIM(F1733)&amp;"":"" &amp; TRIM(B1733), ""price""),0
)"),0)</f>
        <v>0</v>
      </c>
      <c r="H1733" s="6">
        <v>83.27</v>
      </c>
      <c r="I1733" s="6">
        <f t="shared" ca="1" si="0"/>
        <v>83.27</v>
      </c>
      <c r="J1733" s="6">
        <f ca="1">IFERROR(__xludf.DUMMYFUNCTION("IFERROR(GOOGLEFINANCE(B1733, ""volume""), 0)"),0)</f>
        <v>0</v>
      </c>
      <c r="K1733" s="9"/>
      <c r="L1733" s="6" t="str">
        <f ca="1">IFERROR(__xludf.DUMMYFUNCTION("IFERROR(GOOGLEFINANCE(B1733,""changepct""),K1733)"),"")</f>
        <v/>
      </c>
      <c r="M1733" s="6">
        <f ca="1">IFERROR(__xludf.DUMMYFUNCTION("IFERROR(GOOGLEFINANCE(B1733,""change""),0)"),0)</f>
        <v>0</v>
      </c>
      <c r="N1733" s="6">
        <v>1</v>
      </c>
      <c r="O1733" s="7">
        <v>45352</v>
      </c>
      <c r="P1733" s="6">
        <v>0.24</v>
      </c>
      <c r="Q1733" s="7">
        <v>45352</v>
      </c>
      <c r="R1733" s="6">
        <v>97.85</v>
      </c>
      <c r="S1733" s="9"/>
      <c r="T1733" s="6">
        <v>4.2300000000000004</v>
      </c>
      <c r="U1733" s="6">
        <v>2</v>
      </c>
      <c r="V1733" s="7">
        <v>45352</v>
      </c>
      <c r="W1733" s="10">
        <f ca="1">IFERROR(__xludf.DUMMYFUNCTION("IFERROR(GOOGLEFINANCE(B1733,""pe""),V1733)"),45352)</f>
        <v>45352</v>
      </c>
      <c r="X1733" s="6">
        <v>0</v>
      </c>
      <c r="Y1733" s="6">
        <v>5.18</v>
      </c>
      <c r="Z1733" s="6">
        <v>7.22</v>
      </c>
      <c r="AA1733" s="3" t="s">
        <v>5199</v>
      </c>
      <c r="AB1733" s="11"/>
      <c r="AC1733" s="9"/>
      <c r="AD1733" s="9"/>
      <c r="AE1733" s="1">
        <v>0</v>
      </c>
      <c r="AF1733" s="1">
        <f ca="1">IFERROR(__xludf.DUMMYFUNCTION("IFERROR(GOOGLEFINANCE(TRIM(F1733)&amp;"":"" &amp; TRIM(B1733),""high52""),AE1733)"),0)</f>
        <v>0</v>
      </c>
      <c r="AG1733" s="1">
        <v>0</v>
      </c>
      <c r="AH1733" s="1">
        <f ca="1">IFERROR(__xludf.DUMMYFUNCTION("IFERROR(GOOGLEFINANCE(TRIM(F1733)&amp;"":"" &amp; TRIM(B1733),""low52""),AE1733)"),0)</f>
        <v>0</v>
      </c>
      <c r="AI1733" s="1">
        <f ca="1">IFERROR(__xludf.DUMMYFUNCTION("IFERROR(GOOGLEFINANCE(B1733,""eps""),0)"),0)</f>
        <v>0</v>
      </c>
      <c r="AJ1733" s="1"/>
      <c r="AK1733" s="1" t="s">
        <v>5200</v>
      </c>
      <c r="AL1733" s="9">
        <f t="shared" si="214"/>
        <v>1</v>
      </c>
    </row>
    <row r="1734" spans="1:38" ht="15" x14ac:dyDescent="0.25">
      <c r="A1734" s="1" t="s">
        <v>5201</v>
      </c>
      <c r="B1734" s="1" t="s">
        <v>5202</v>
      </c>
      <c r="C1734" s="1" t="s">
        <v>386</v>
      </c>
      <c r="D1734" s="1" t="s">
        <v>386</v>
      </c>
      <c r="E1734" s="6">
        <v>1227.21</v>
      </c>
      <c r="F1734" s="1" t="s">
        <v>53</v>
      </c>
      <c r="G1734" s="6">
        <f ca="1">IFERROR(__xludf.DUMMYFUNCTION("iferror(GOOGLEFINANCE(TRIM(F1734)&amp;"":"" &amp; TRIM(B1734), ""price""),0
)"),0)</f>
        <v>0</v>
      </c>
      <c r="H1734" s="6">
        <v>488.3</v>
      </c>
      <c r="I1734" s="6">
        <f t="shared" ca="1" si="0"/>
        <v>488.3</v>
      </c>
      <c r="J1734" s="6">
        <f ca="1">IFERROR(__xludf.DUMMYFUNCTION("IFERROR(GOOGLEFINANCE(B1734, ""volume""), 0)"),0)</f>
        <v>0</v>
      </c>
      <c r="K1734" s="6">
        <v>-4.99</v>
      </c>
      <c r="L1734" s="6">
        <f ca="1">IFERROR(__xludf.DUMMYFUNCTION("IFERROR(GOOGLEFINANCE(B1734,""changepct""),K1734)"),-4.99)</f>
        <v>-4.99</v>
      </c>
      <c r="M1734" s="6">
        <f ca="1">IFERROR(__xludf.DUMMYFUNCTION("IFERROR(GOOGLEFINANCE(B1734,""change""),0)"),0)</f>
        <v>0</v>
      </c>
      <c r="N1734" s="6">
        <v>1</v>
      </c>
      <c r="O1734" s="14"/>
      <c r="P1734" s="9"/>
      <c r="Q1734" s="6">
        <v>0</v>
      </c>
      <c r="R1734" s="14"/>
      <c r="S1734" s="9"/>
      <c r="T1734" s="9"/>
      <c r="U1734" s="6">
        <v>2</v>
      </c>
      <c r="V1734" s="7">
        <v>45352</v>
      </c>
      <c r="W1734" s="10">
        <f ca="1">IFERROR(__xludf.DUMMYFUNCTION("IFERROR(GOOGLEFINANCE(B1734,""pe""),V1734)"),45352)</f>
        <v>45352</v>
      </c>
      <c r="X1734" s="6">
        <v>0.23</v>
      </c>
      <c r="Y1734" s="6">
        <v>110.69</v>
      </c>
      <c r="Z1734" s="6">
        <v>103.12</v>
      </c>
      <c r="AA1734" s="3" t="s">
        <v>5203</v>
      </c>
      <c r="AB1734" s="11"/>
      <c r="AC1734" s="9"/>
      <c r="AD1734" s="9"/>
      <c r="AE1734" s="1">
        <v>0</v>
      </c>
      <c r="AF1734" s="1">
        <f ca="1">IFERROR(__xludf.DUMMYFUNCTION("IFERROR(GOOGLEFINANCE(TRIM(F1734)&amp;"":"" &amp; TRIM(B1734),""high52""),AE1734)"),0)</f>
        <v>0</v>
      </c>
      <c r="AG1734" s="1">
        <v>0</v>
      </c>
      <c r="AH1734" s="1">
        <f ca="1">IFERROR(__xludf.DUMMYFUNCTION("IFERROR(GOOGLEFINANCE(TRIM(F1734)&amp;"":"" &amp; TRIM(B1734),""low52""),AE1734)"),0)</f>
        <v>0</v>
      </c>
      <c r="AI1734" s="1">
        <f ca="1">IFERROR(__xludf.DUMMYFUNCTION("IFERROR(GOOGLEFINANCE(B1734,""eps""),0)"),0)</f>
        <v>0</v>
      </c>
      <c r="AJ1734" s="1"/>
      <c r="AK1734" s="1" t="s">
        <v>5204</v>
      </c>
      <c r="AL1734" s="9">
        <f t="shared" si="214"/>
        <v>1</v>
      </c>
    </row>
    <row r="1735" spans="1:38" ht="15" x14ac:dyDescent="0.25">
      <c r="A1735" s="1" t="s">
        <v>5205</v>
      </c>
      <c r="B1735" s="1" t="s">
        <v>5206</v>
      </c>
      <c r="C1735" s="1" t="s">
        <v>94</v>
      </c>
      <c r="D1735" s="1" t="s">
        <v>94</v>
      </c>
      <c r="E1735" s="6">
        <v>50.01</v>
      </c>
      <c r="F1735" s="1" t="s">
        <v>53</v>
      </c>
      <c r="G1735" s="6">
        <f ca="1">IFERROR(__xludf.DUMMYFUNCTION("iferror(GOOGLEFINANCE(TRIM(F1735)&amp;"":"" &amp; TRIM(B1735), ""price""),0
)"),0)</f>
        <v>0</v>
      </c>
      <c r="H1735" s="6">
        <v>51.47</v>
      </c>
      <c r="I1735" s="6">
        <f t="shared" ca="1" si="0"/>
        <v>51.47</v>
      </c>
      <c r="J1735" s="6">
        <f ca="1">IFERROR(__xludf.DUMMYFUNCTION("IFERROR(GOOGLEFINANCE(B1735, ""volume""), 0)"),0)</f>
        <v>0</v>
      </c>
      <c r="K1735" s="9"/>
      <c r="L1735" s="6" t="str">
        <f ca="1">IFERROR(__xludf.DUMMYFUNCTION("IFERROR(GOOGLEFINANCE(B1735,""changepct""),K1735)"),"")</f>
        <v/>
      </c>
      <c r="M1735" s="6">
        <f ca="1">IFERROR(__xludf.DUMMYFUNCTION("IFERROR(GOOGLEFINANCE(B1735,""change""),0)"),0)</f>
        <v>0</v>
      </c>
      <c r="N1735" s="6">
        <v>1</v>
      </c>
      <c r="O1735" s="7">
        <v>45536</v>
      </c>
      <c r="P1735" s="6">
        <v>-0.35</v>
      </c>
      <c r="Q1735" s="7">
        <v>45536</v>
      </c>
      <c r="R1735" s="6">
        <v>0</v>
      </c>
      <c r="S1735" s="9"/>
      <c r="T1735" s="6">
        <v>-0.41</v>
      </c>
      <c r="U1735" s="6">
        <v>1</v>
      </c>
      <c r="V1735" s="7">
        <v>45352</v>
      </c>
      <c r="W1735" s="10">
        <f ca="1">IFERROR(__xludf.DUMMYFUNCTION("IFERROR(GOOGLEFINANCE(B1735,""pe""),V1735)"),45352)</f>
        <v>45352</v>
      </c>
      <c r="X1735" s="6">
        <v>-1.07</v>
      </c>
      <c r="Y1735" s="6">
        <v>0</v>
      </c>
      <c r="Z1735" s="6">
        <v>-7.87</v>
      </c>
      <c r="AA1735" s="3" t="s">
        <v>5207</v>
      </c>
      <c r="AB1735" s="11"/>
      <c r="AC1735" s="9"/>
      <c r="AD1735" s="9"/>
      <c r="AE1735" s="1">
        <v>0</v>
      </c>
      <c r="AF1735" s="1">
        <f ca="1">IFERROR(__xludf.DUMMYFUNCTION("IFERROR(GOOGLEFINANCE(TRIM(F1735)&amp;"":"" &amp; TRIM(B1735),""high52""),AE1735)"),0)</f>
        <v>0</v>
      </c>
      <c r="AG1735" s="1">
        <v>0</v>
      </c>
      <c r="AH1735" s="1">
        <f ca="1">IFERROR(__xludf.DUMMYFUNCTION("IFERROR(GOOGLEFINANCE(TRIM(F1735)&amp;"":"" &amp; TRIM(B1735),""low52""),AE1735)"),0)</f>
        <v>0</v>
      </c>
      <c r="AI1735" s="1">
        <f ca="1">IFERROR(__xludf.DUMMYFUNCTION("IFERROR(GOOGLEFINANCE(B1735,""eps""),0)"),0)</f>
        <v>0</v>
      </c>
      <c r="AJ1735" s="1"/>
      <c r="AK1735" s="9"/>
      <c r="AL1735" s="9">
        <f t="shared" si="214"/>
        <v>1</v>
      </c>
    </row>
    <row r="1736" spans="1:38" ht="15" x14ac:dyDescent="0.25">
      <c r="A1736" s="1" t="s">
        <v>5208</v>
      </c>
      <c r="B1736" s="1" t="s">
        <v>5209</v>
      </c>
      <c r="C1736" s="1" t="s">
        <v>94</v>
      </c>
      <c r="D1736" s="1" t="s">
        <v>94</v>
      </c>
      <c r="E1736" s="6">
        <v>51.27</v>
      </c>
      <c r="F1736" s="1" t="s">
        <v>53</v>
      </c>
      <c r="G1736" s="6">
        <f ca="1">IFERROR(__xludf.DUMMYFUNCTION("iferror(GOOGLEFINANCE(TRIM(F1736)&amp;"":"" &amp; TRIM(B1736), ""price""),0
)"),0)</f>
        <v>0</v>
      </c>
      <c r="H1736" s="6">
        <v>37</v>
      </c>
      <c r="I1736" s="6">
        <f t="shared" ca="1" si="0"/>
        <v>37</v>
      </c>
      <c r="J1736" s="6">
        <f ca="1">IFERROR(__xludf.DUMMYFUNCTION("IFERROR(GOOGLEFINANCE(B1736, ""volume""), 0)"),0)</f>
        <v>0</v>
      </c>
      <c r="K1736" s="6">
        <v>3.06</v>
      </c>
      <c r="L1736" s="6">
        <f ca="1">IFERROR(__xludf.DUMMYFUNCTION("IFERROR(GOOGLEFINANCE(B1736,""changepct""),K1736)"),3.06)</f>
        <v>3.06</v>
      </c>
      <c r="M1736" s="6">
        <f ca="1">IFERROR(__xludf.DUMMYFUNCTION("IFERROR(GOOGLEFINANCE(B1736,""change""),0)"),0)</f>
        <v>0</v>
      </c>
      <c r="N1736" s="6">
        <v>1</v>
      </c>
      <c r="O1736" s="7">
        <v>45536</v>
      </c>
      <c r="P1736" s="6">
        <v>-3.11</v>
      </c>
      <c r="Q1736" s="7">
        <v>45536</v>
      </c>
      <c r="R1736" s="6">
        <v>0</v>
      </c>
      <c r="S1736" s="9"/>
      <c r="T1736" s="6">
        <v>1.24</v>
      </c>
      <c r="U1736" s="6">
        <v>1</v>
      </c>
      <c r="V1736" s="7">
        <v>45352</v>
      </c>
      <c r="W1736" s="10">
        <f ca="1">IFERROR(__xludf.DUMMYFUNCTION("IFERROR(GOOGLEFINANCE(B1736,""pe""),V1736)"),45352)</f>
        <v>45352</v>
      </c>
      <c r="X1736" s="6">
        <v>1.38</v>
      </c>
      <c r="Y1736" s="6">
        <v>-8.0299999999999994</v>
      </c>
      <c r="Z1736" s="6">
        <v>5.26</v>
      </c>
      <c r="AA1736" s="19" t="s">
        <v>5210</v>
      </c>
      <c r="AB1736" s="20"/>
      <c r="AC1736" s="9"/>
      <c r="AD1736" s="9"/>
      <c r="AE1736" s="1">
        <v>0</v>
      </c>
      <c r="AF1736" s="1">
        <f ca="1">IFERROR(__xludf.DUMMYFUNCTION("IFERROR(GOOGLEFINANCE(TRIM(F1736)&amp;"":"" &amp; TRIM(B1736),""high52""),AE1736)"),0)</f>
        <v>0</v>
      </c>
      <c r="AG1736" s="1">
        <v>0</v>
      </c>
      <c r="AH1736" s="1">
        <f ca="1">IFERROR(__xludf.DUMMYFUNCTION("IFERROR(GOOGLEFINANCE(TRIM(F1736)&amp;"":"" &amp; TRIM(B1736),""low52""),AE1736)"),0)</f>
        <v>0</v>
      </c>
      <c r="AI1736" s="1">
        <f ca="1">IFERROR(__xludf.DUMMYFUNCTION("IFERROR(GOOGLEFINANCE(B1736,""eps""),0)"),0)</f>
        <v>0</v>
      </c>
      <c r="AJ1736" s="1"/>
      <c r="AK1736" s="1" t="s">
        <v>5211</v>
      </c>
      <c r="AL1736" s="9">
        <f t="shared" si="214"/>
        <v>1</v>
      </c>
    </row>
    <row r="1737" spans="1:38" ht="15" x14ac:dyDescent="0.25">
      <c r="A1737" s="1" t="s">
        <v>5212</v>
      </c>
      <c r="B1737" s="1" t="s">
        <v>5213</v>
      </c>
      <c r="C1737" s="1" t="s">
        <v>94</v>
      </c>
      <c r="D1737" s="1" t="s">
        <v>94</v>
      </c>
      <c r="E1737" s="6">
        <v>57.02</v>
      </c>
      <c r="F1737" s="1" t="s">
        <v>53</v>
      </c>
      <c r="G1737" s="6">
        <f ca="1">IFERROR(__xludf.DUMMYFUNCTION("iferror(GOOGLEFINANCE(TRIM(F1737)&amp;"":"" &amp; TRIM(B1737), ""price""),0
)"),0)</f>
        <v>0</v>
      </c>
      <c r="H1737" s="6">
        <v>178</v>
      </c>
      <c r="I1737" s="6">
        <f t="shared" ca="1" si="0"/>
        <v>178</v>
      </c>
      <c r="J1737" s="6">
        <f ca="1">IFERROR(__xludf.DUMMYFUNCTION("IFERROR(GOOGLEFINANCE(B1737, ""volume""), 0)"),0)</f>
        <v>0</v>
      </c>
      <c r="K1737" s="6">
        <v>-3.78</v>
      </c>
      <c r="L1737" s="6">
        <f ca="1">IFERROR(__xludf.DUMMYFUNCTION("IFERROR(GOOGLEFINANCE(B1737,""changepct""),K1737)"),-3.78)</f>
        <v>-3.78</v>
      </c>
      <c r="M1737" s="6">
        <f ca="1">IFERROR(__xludf.DUMMYFUNCTION("IFERROR(GOOGLEFINANCE(B1737,""change""),0)"),0)</f>
        <v>0</v>
      </c>
      <c r="N1737" s="6">
        <v>2</v>
      </c>
      <c r="O1737" s="7">
        <v>45352</v>
      </c>
      <c r="P1737" s="6">
        <v>-0.2</v>
      </c>
      <c r="Q1737" s="7">
        <v>45352</v>
      </c>
      <c r="R1737" s="6">
        <v>0</v>
      </c>
      <c r="S1737" s="9"/>
      <c r="T1737" s="6">
        <v>14.85</v>
      </c>
      <c r="U1737" s="6">
        <v>2</v>
      </c>
      <c r="V1737" s="7">
        <v>45352</v>
      </c>
      <c r="W1737" s="10">
        <f ca="1">IFERROR(__xludf.DUMMYFUNCTION("IFERROR(GOOGLEFINANCE(B1737,""pe""),V1737)"),45352)</f>
        <v>45352</v>
      </c>
      <c r="X1737" s="6">
        <v>0</v>
      </c>
      <c r="Y1737" s="6">
        <v>-6.88</v>
      </c>
      <c r="Z1737" s="6">
        <v>-6.88</v>
      </c>
      <c r="AA1737" s="3" t="s">
        <v>5214</v>
      </c>
      <c r="AB1737" s="11"/>
      <c r="AC1737" s="9"/>
      <c r="AD1737" s="9"/>
      <c r="AE1737" s="1">
        <v>0</v>
      </c>
      <c r="AF1737" s="1">
        <f ca="1">IFERROR(__xludf.DUMMYFUNCTION("IFERROR(GOOGLEFINANCE(TRIM(F1737)&amp;"":"" &amp; TRIM(B1737),""high52""),AE1737)"),0)</f>
        <v>0</v>
      </c>
      <c r="AG1737" s="1">
        <v>0</v>
      </c>
      <c r="AH1737" s="1">
        <f ca="1">IFERROR(__xludf.DUMMYFUNCTION("IFERROR(GOOGLEFINANCE(TRIM(F1737)&amp;"":"" &amp; TRIM(B1737),""low52""),AE1737)"),0)</f>
        <v>0</v>
      </c>
      <c r="AI1737" s="1">
        <f ca="1">IFERROR(__xludf.DUMMYFUNCTION("IFERROR(GOOGLEFINANCE(B1737,""eps""),0)"),0)</f>
        <v>0</v>
      </c>
      <c r="AJ1737" s="1"/>
      <c r="AK1737" s="1" t="s">
        <v>5215</v>
      </c>
      <c r="AL1737" s="9">
        <f t="shared" si="214"/>
        <v>1</v>
      </c>
    </row>
    <row r="1738" spans="1:38" ht="15" x14ac:dyDescent="0.25">
      <c r="A1738" s="1" t="s">
        <v>5216</v>
      </c>
      <c r="B1738" s="1" t="s">
        <v>5217</v>
      </c>
      <c r="C1738" s="1" t="s">
        <v>86</v>
      </c>
      <c r="D1738" s="1" t="s">
        <v>86</v>
      </c>
      <c r="E1738" s="6">
        <v>1539.03</v>
      </c>
      <c r="F1738" s="1" t="s">
        <v>40</v>
      </c>
      <c r="G1738" s="6">
        <f ca="1">IFERROR(__xludf.DUMMYFUNCTION("iferror(GOOGLEFINANCE(TRIM(F1738)&amp;"":"" &amp; TRIM(B1738), ""price""),0
)"),3)</f>
        <v>3</v>
      </c>
      <c r="H1738" s="6">
        <v>6.15</v>
      </c>
      <c r="I1738" s="6">
        <f t="shared" ca="1" si="0"/>
        <v>3</v>
      </c>
      <c r="J1738" s="6">
        <f ca="1">IFERROR(__xludf.DUMMYFUNCTION("IFERROR(GOOGLEFINANCE(B1738, ""volume""), 0)"),16943248)</f>
        <v>16943248</v>
      </c>
      <c r="K1738" s="9"/>
      <c r="L1738" s="6">
        <f ca="1">IFERROR(__xludf.DUMMYFUNCTION("IFERROR(GOOGLEFINANCE(B1738,""changepct""),K1738)"),-2.91)</f>
        <v>-2.91</v>
      </c>
      <c r="M1738" s="6">
        <f ca="1">IFERROR(__xludf.DUMMYFUNCTION("IFERROR(GOOGLEFINANCE(B1738,""change""),0)"),-0.09)</f>
        <v>-0.09</v>
      </c>
      <c r="N1738" s="6">
        <v>2</v>
      </c>
      <c r="O1738" s="7">
        <v>45536</v>
      </c>
      <c r="P1738" s="6">
        <v>14713.13</v>
      </c>
      <c r="Q1738" s="6">
        <v>15080.41</v>
      </c>
      <c r="R1738" s="7">
        <v>45536</v>
      </c>
      <c r="S1738" s="6">
        <v>6287.94</v>
      </c>
      <c r="T1738" s="6">
        <v>-2170.83</v>
      </c>
      <c r="U1738" s="7">
        <v>45536</v>
      </c>
      <c r="V1738" s="6">
        <v>0</v>
      </c>
      <c r="W1738" s="6">
        <f ca="1">IFERROR(__xludf.DUMMYFUNCTION("IFERROR(GOOGLEFINANCE(B1738,""pe""),V1738)"),0)</f>
        <v>0</v>
      </c>
      <c r="X1738" s="6">
        <v>0</v>
      </c>
      <c r="Y1738" s="6">
        <v>-0.39</v>
      </c>
      <c r="Z1738" s="6">
        <v>2</v>
      </c>
      <c r="AA1738" s="8">
        <v>45352</v>
      </c>
      <c r="AB1738" s="4">
        <v>-5.75</v>
      </c>
      <c r="AC1738" s="6">
        <v>0</v>
      </c>
      <c r="AD1738" s="6">
        <v>0.84</v>
      </c>
      <c r="AE1738" s="1">
        <v>0</v>
      </c>
      <c r="AF1738" s="1">
        <f ca="1">IFERROR(__xludf.DUMMYFUNCTION("IFERROR(GOOGLEFINANCE(TRIM(F1738)&amp;"":"" &amp; TRIM(B1738),""high52""),AE1738)"),5.37)</f>
        <v>5.37</v>
      </c>
      <c r="AG1738" s="1">
        <v>0</v>
      </c>
      <c r="AH1738" s="1">
        <f ca="1">IFERROR(__xludf.DUMMYFUNCTION("IFERROR(GOOGLEFINANCE(TRIM(F1738)&amp;"":"" &amp; TRIM(B1738),""low52""),AE1738)"),2.56)</f>
        <v>2.56</v>
      </c>
      <c r="AI1738" s="1">
        <f ca="1">IFERROR(__xludf.DUMMYFUNCTION("IFERROR(GOOGLEFINANCE(B1738,""eps""),0)"),-5.11)</f>
        <v>-5.1100000000000003</v>
      </c>
      <c r="AJ1738" s="1"/>
      <c r="AK1738" s="1" t="s">
        <v>5218</v>
      </c>
      <c r="AL1738" s="9">
        <f t="shared" si="214"/>
        <v>1</v>
      </c>
    </row>
    <row r="1739" spans="1:38" ht="15" x14ac:dyDescent="0.25">
      <c r="A1739" s="1" t="s">
        <v>5219</v>
      </c>
      <c r="B1739" s="1" t="s">
        <v>5220</v>
      </c>
      <c r="C1739" s="1" t="s">
        <v>268</v>
      </c>
      <c r="D1739" s="1" t="s">
        <v>268</v>
      </c>
      <c r="E1739" s="6">
        <v>12151.18</v>
      </c>
      <c r="F1739" s="1" t="s">
        <v>40</v>
      </c>
      <c r="G1739" s="6">
        <f ca="1">IFERROR(__xludf.DUMMYFUNCTION("iferror(GOOGLEFINANCE(TRIM(F1739)&amp;"":"" &amp; TRIM(B1739), ""price""),0
)"),15.02)</f>
        <v>15.02</v>
      </c>
      <c r="H1739" s="6">
        <v>17.940000000000001</v>
      </c>
      <c r="I1739" s="6">
        <f t="shared" ca="1" si="0"/>
        <v>15.02</v>
      </c>
      <c r="J1739" s="6">
        <f ca="1">IFERROR(__xludf.DUMMYFUNCTION("IFERROR(GOOGLEFINANCE(B1739, ""volume""), 0)"),31447817)</f>
        <v>31447817</v>
      </c>
      <c r="K1739" s="6">
        <v>1.18</v>
      </c>
      <c r="L1739" s="6">
        <f ca="1">IFERROR(__xludf.DUMMYFUNCTION("IFERROR(GOOGLEFINANCE(B1739,""changepct""),K1739)"),0.94)</f>
        <v>0.94</v>
      </c>
      <c r="M1739" s="6">
        <f ca="1">IFERROR(__xludf.DUMMYFUNCTION("IFERROR(GOOGLEFINANCE(B1739,""change""),0)"),0.14)</f>
        <v>0.14000000000000001</v>
      </c>
      <c r="N1739" s="6">
        <v>2</v>
      </c>
      <c r="O1739" s="7">
        <v>45536</v>
      </c>
      <c r="P1739" s="6">
        <v>4000.62</v>
      </c>
      <c r="Q1739" s="6">
        <v>14876.55</v>
      </c>
      <c r="R1739" s="7">
        <v>45536</v>
      </c>
      <c r="S1739" s="6">
        <v>6686.26</v>
      </c>
      <c r="T1739" s="6">
        <v>1292.8399999999999</v>
      </c>
      <c r="U1739" s="7">
        <v>45536</v>
      </c>
      <c r="V1739" s="6">
        <v>9.4</v>
      </c>
      <c r="W1739" s="6">
        <f ca="1">IFERROR(__xludf.DUMMYFUNCTION("IFERROR(GOOGLEFINANCE(B1739,""pe""),V1739)"),5.17)</f>
        <v>5.17</v>
      </c>
      <c r="X1739" s="6">
        <v>0.24</v>
      </c>
      <c r="Y1739" s="6">
        <v>1.48</v>
      </c>
      <c r="Z1739" s="6">
        <v>2</v>
      </c>
      <c r="AA1739" s="8">
        <v>45352</v>
      </c>
      <c r="AB1739" s="4">
        <v>0.37</v>
      </c>
      <c r="AC1739" s="6">
        <v>14.29</v>
      </c>
      <c r="AD1739" s="6">
        <v>10.99</v>
      </c>
      <c r="AE1739" s="1">
        <v>0</v>
      </c>
      <c r="AF1739" s="1">
        <f ca="1">IFERROR(__xludf.DUMMYFUNCTION("IFERROR(GOOGLEFINANCE(TRIM(F1739)&amp;"":"" &amp; TRIM(B1739),""high52""),AE1739)"),27.7)</f>
        <v>27.7</v>
      </c>
      <c r="AG1739" s="1">
        <v>0</v>
      </c>
      <c r="AH1739" s="1">
        <f ca="1">IFERROR(__xludf.DUMMYFUNCTION("IFERROR(GOOGLEFINANCE(TRIM(F1739)&amp;"":"" &amp; TRIM(B1739),""low52""),AE1739)"),12.36)</f>
        <v>12.36</v>
      </c>
      <c r="AI1739" s="1">
        <f ca="1">IFERROR(__xludf.DUMMYFUNCTION("IFERROR(GOOGLEFINANCE(B1739,""eps""),0)"),2.91)</f>
        <v>2.91</v>
      </c>
      <c r="AJ1739" s="1"/>
      <c r="AK1739" s="1" t="s">
        <v>5221</v>
      </c>
      <c r="AL1739" s="9">
        <f t="shared" si="214"/>
        <v>1</v>
      </c>
    </row>
    <row r="1740" spans="1:38" ht="15" x14ac:dyDescent="0.25">
      <c r="A1740" s="1" t="s">
        <v>5222</v>
      </c>
      <c r="B1740" s="1" t="s">
        <v>5223</v>
      </c>
      <c r="C1740" s="1" t="s">
        <v>186</v>
      </c>
      <c r="D1740" s="1" t="s">
        <v>186</v>
      </c>
      <c r="E1740" s="6">
        <v>18.86</v>
      </c>
      <c r="F1740" s="1" t="s">
        <v>40</v>
      </c>
      <c r="G1740" s="6">
        <f ca="1">IFERROR(__xludf.DUMMYFUNCTION("iferror(GOOGLEFINANCE(TRIM(F1740)&amp;"":"" &amp; TRIM(B1740), ""price""),0
)"),0)</f>
        <v>0</v>
      </c>
      <c r="H1740" s="6">
        <v>46.4</v>
      </c>
      <c r="I1740" s="6">
        <f t="shared" ca="1" si="0"/>
        <v>46.4</v>
      </c>
      <c r="J1740" s="6">
        <f ca="1">IFERROR(__xludf.DUMMYFUNCTION("IFERROR(GOOGLEFINANCE(B1740, ""volume""), 0)"),0)</f>
        <v>0</v>
      </c>
      <c r="K1740" s="9"/>
      <c r="L1740" s="6" t="str">
        <f ca="1">IFERROR(__xludf.DUMMYFUNCTION("IFERROR(GOOGLEFINANCE(B1740,""changepct""),K1740)"),"")</f>
        <v/>
      </c>
      <c r="M1740" s="6">
        <f ca="1">IFERROR(__xludf.DUMMYFUNCTION("IFERROR(GOOGLEFINANCE(B1740,""change""),0)"),0)</f>
        <v>0</v>
      </c>
      <c r="N1740" s="6">
        <v>1</v>
      </c>
      <c r="O1740" s="7">
        <v>45536</v>
      </c>
      <c r="P1740" s="6">
        <v>9.5299999999999994</v>
      </c>
      <c r="Q1740" s="6">
        <v>28.39</v>
      </c>
      <c r="R1740" s="7">
        <v>45352</v>
      </c>
      <c r="S1740" s="6">
        <v>88.8</v>
      </c>
      <c r="T1740" s="6">
        <v>0.9</v>
      </c>
      <c r="U1740" s="7">
        <v>45352</v>
      </c>
      <c r="V1740" s="6">
        <v>56</v>
      </c>
      <c r="W1740" s="6">
        <f ca="1">IFERROR(__xludf.DUMMYFUNCTION("IFERROR(GOOGLEFINANCE(B1740,""pe""),V1740)"),56)</f>
        <v>56</v>
      </c>
      <c r="X1740" s="6">
        <v>-2.39</v>
      </c>
      <c r="Y1740" s="6">
        <v>1</v>
      </c>
      <c r="Z1740" s="6">
        <v>2</v>
      </c>
      <c r="AA1740" s="8">
        <v>45352</v>
      </c>
      <c r="AB1740" s="4">
        <v>0.61</v>
      </c>
      <c r="AC1740" s="6">
        <v>1.8</v>
      </c>
      <c r="AD1740" s="6">
        <v>7.78</v>
      </c>
      <c r="AE1740" s="1">
        <v>0</v>
      </c>
      <c r="AF1740" s="1">
        <f ca="1">IFERROR(__xludf.DUMMYFUNCTION("IFERROR(GOOGLEFINANCE(TRIM(F1740)&amp;"":"" &amp; TRIM(B1740),""high52""),AE1740)"),0)</f>
        <v>0</v>
      </c>
      <c r="AG1740" s="1">
        <v>0</v>
      </c>
      <c r="AH1740" s="1">
        <f ca="1">IFERROR(__xludf.DUMMYFUNCTION("IFERROR(GOOGLEFINANCE(TRIM(F1740)&amp;"":"" &amp; TRIM(B1740),""low52""),AE1740)"),0)</f>
        <v>0</v>
      </c>
      <c r="AI1740" s="1">
        <f ca="1">IFERROR(__xludf.DUMMYFUNCTION("IFERROR(GOOGLEFINANCE(B1740,""eps""),0)"),0)</f>
        <v>0</v>
      </c>
      <c r="AJ1740" s="1"/>
      <c r="AK1740" s="1" t="s">
        <v>5224</v>
      </c>
      <c r="AL1740" s="9">
        <f t="shared" si="214"/>
        <v>1</v>
      </c>
    </row>
    <row r="1741" spans="1:38" ht="15" x14ac:dyDescent="0.25">
      <c r="A1741" s="1" t="s">
        <v>5225</v>
      </c>
      <c r="B1741" s="1" t="s">
        <v>5226</v>
      </c>
      <c r="C1741" s="1" t="s">
        <v>259</v>
      </c>
      <c r="D1741" s="1" t="s">
        <v>259</v>
      </c>
      <c r="E1741" s="6">
        <v>14.17</v>
      </c>
      <c r="F1741" s="1" t="s">
        <v>40</v>
      </c>
      <c r="G1741" s="6">
        <f ca="1">IFERROR(__xludf.DUMMYFUNCTION("iferror(GOOGLEFINANCE(TRIM(F1741)&amp;"":"" &amp; TRIM(B1741), ""price""),0
)"),0)</f>
        <v>0</v>
      </c>
      <c r="H1741" s="6">
        <v>9.85</v>
      </c>
      <c r="I1741" s="6">
        <f t="shared" ca="1" si="0"/>
        <v>9.85</v>
      </c>
      <c r="J1741" s="6">
        <f ca="1">IFERROR(__xludf.DUMMYFUNCTION("IFERROR(GOOGLEFINANCE(B1741, ""volume""), 0)"),0)</f>
        <v>0</v>
      </c>
      <c r="K1741" s="6">
        <v>1.03</v>
      </c>
      <c r="L1741" s="6">
        <f ca="1">IFERROR(__xludf.DUMMYFUNCTION("IFERROR(GOOGLEFINANCE(B1741,""changepct""),K1741)"),1.03)</f>
        <v>1.03</v>
      </c>
      <c r="M1741" s="6">
        <f ca="1">IFERROR(__xludf.DUMMYFUNCTION("IFERROR(GOOGLEFINANCE(B1741,""change""),0)"),0)</f>
        <v>0</v>
      </c>
      <c r="N1741" s="6">
        <v>1</v>
      </c>
      <c r="O1741" s="7">
        <v>45536</v>
      </c>
      <c r="P1741" s="6">
        <v>33.479999999999997</v>
      </c>
      <c r="Q1741" s="6">
        <v>47.65</v>
      </c>
      <c r="R1741" s="7">
        <v>45352</v>
      </c>
      <c r="S1741" s="6">
        <v>5.37</v>
      </c>
      <c r="T1741" s="6">
        <v>-15.62</v>
      </c>
      <c r="U1741" s="7">
        <v>45352</v>
      </c>
      <c r="V1741" s="6">
        <v>0</v>
      </c>
      <c r="W1741" s="6">
        <f ca="1">IFERROR(__xludf.DUMMYFUNCTION("IFERROR(GOOGLEFINANCE(B1741,""pe""),V1741)"),0)</f>
        <v>0</v>
      </c>
      <c r="X1741" s="6">
        <v>0</v>
      </c>
      <c r="Y1741" s="6">
        <v>-0.35</v>
      </c>
      <c r="Z1741" s="6">
        <v>1</v>
      </c>
      <c r="AA1741" s="8">
        <v>45352</v>
      </c>
      <c r="AB1741" s="4">
        <v>-1</v>
      </c>
      <c r="AC1741" s="6">
        <v>0</v>
      </c>
      <c r="AD1741" s="6">
        <v>-174.68</v>
      </c>
      <c r="AE1741" s="1">
        <v>0</v>
      </c>
      <c r="AF1741" s="1">
        <f ca="1">IFERROR(__xludf.DUMMYFUNCTION("IFERROR(GOOGLEFINANCE(TRIM(F1741)&amp;"":"" &amp; TRIM(B1741),""high52""),AE1741)"),0)</f>
        <v>0</v>
      </c>
      <c r="AG1741" s="1">
        <v>0</v>
      </c>
      <c r="AH1741" s="1">
        <f ca="1">IFERROR(__xludf.DUMMYFUNCTION("IFERROR(GOOGLEFINANCE(TRIM(F1741)&amp;"":"" &amp; TRIM(B1741),""low52""),AE1741)"),0)</f>
        <v>0</v>
      </c>
      <c r="AI1741" s="1">
        <f ca="1">IFERROR(__xludf.DUMMYFUNCTION("IFERROR(GOOGLEFINANCE(B1741,""eps""),0)"),0)</f>
        <v>0</v>
      </c>
      <c r="AJ1741" s="1"/>
      <c r="AK1741" s="1" t="s">
        <v>5227</v>
      </c>
      <c r="AL1741" s="9">
        <f t="shared" si="214"/>
        <v>1</v>
      </c>
    </row>
    <row r="1742" spans="1:38" ht="15" x14ac:dyDescent="0.25">
      <c r="A1742" s="1" t="s">
        <v>5228</v>
      </c>
      <c r="B1742" s="1" t="s">
        <v>5229</v>
      </c>
      <c r="C1742" s="1" t="s">
        <v>355</v>
      </c>
      <c r="D1742" s="1" t="s">
        <v>355</v>
      </c>
      <c r="E1742" s="6">
        <v>4141.18</v>
      </c>
      <c r="F1742" s="1" t="s">
        <v>40</v>
      </c>
      <c r="G1742" s="6">
        <f ca="1">IFERROR(__xludf.DUMMYFUNCTION("iferror(GOOGLEFINANCE(TRIM(F1742)&amp;"":"" &amp; TRIM(B1742), ""price""),0
)"),122.7)</f>
        <v>122.7</v>
      </c>
      <c r="H1742" s="6">
        <v>103.47</v>
      </c>
      <c r="I1742" s="6">
        <f t="shared" ca="1" si="0"/>
        <v>122.7</v>
      </c>
      <c r="J1742" s="6">
        <f ca="1">IFERROR(__xludf.DUMMYFUNCTION("IFERROR(GOOGLEFINANCE(B1742, ""volume""), 0)"),1364897)</f>
        <v>1364897</v>
      </c>
      <c r="K1742" s="6">
        <v>-0.16</v>
      </c>
      <c r="L1742" s="6">
        <f ca="1">IFERROR(__xludf.DUMMYFUNCTION("IFERROR(GOOGLEFINANCE(B1742,""changepct""),K1742)"),-2.59)</f>
        <v>-2.59</v>
      </c>
      <c r="M1742" s="6">
        <f ca="1">IFERROR(__xludf.DUMMYFUNCTION("IFERROR(GOOGLEFINANCE(B1742,""change""),0)"),-3.26)</f>
        <v>-3.26</v>
      </c>
      <c r="N1742" s="6">
        <v>2</v>
      </c>
      <c r="O1742" s="7">
        <v>45536</v>
      </c>
      <c r="P1742" s="6">
        <v>105.67</v>
      </c>
      <c r="Q1742" s="6">
        <v>4197.33</v>
      </c>
      <c r="R1742" s="7">
        <v>45536</v>
      </c>
      <c r="S1742" s="6">
        <v>2314.1</v>
      </c>
      <c r="T1742" s="6">
        <v>195.88</v>
      </c>
      <c r="U1742" s="7">
        <v>45536</v>
      </c>
      <c r="V1742" s="6">
        <v>21.14</v>
      </c>
      <c r="W1742" s="6">
        <f ca="1">IFERROR(__xludf.DUMMYFUNCTION("IFERROR(GOOGLEFINANCE(B1742,""pe""),V1742)"),27.28)</f>
        <v>27.28</v>
      </c>
      <c r="X1742" s="6">
        <v>2.5299999999999998</v>
      </c>
      <c r="Y1742" s="6">
        <v>4.42</v>
      </c>
      <c r="Z1742" s="6">
        <v>2</v>
      </c>
      <c r="AA1742" s="8">
        <v>45352</v>
      </c>
      <c r="AB1742" s="4">
        <v>0.18</v>
      </c>
      <c r="AC1742" s="6">
        <v>24.46</v>
      </c>
      <c r="AD1742" s="6">
        <v>30.93</v>
      </c>
      <c r="AE1742" s="1">
        <v>0</v>
      </c>
      <c r="AF1742" s="1">
        <f ca="1">IFERROR(__xludf.DUMMYFUNCTION("IFERROR(GOOGLEFINANCE(TRIM(F1742)&amp;"":"" &amp; TRIM(B1742),""high52""),AE1742)"),138.5)</f>
        <v>138.5</v>
      </c>
      <c r="AG1742" s="1">
        <v>0</v>
      </c>
      <c r="AH1742" s="1">
        <f ca="1">IFERROR(__xludf.DUMMYFUNCTION("IFERROR(GOOGLEFINANCE(TRIM(F1742)&amp;"":"" &amp; TRIM(B1742),""low52""),AE1742)"),68.57)</f>
        <v>68.569999999999993</v>
      </c>
      <c r="AI1742" s="1">
        <f ca="1">IFERROR(__xludf.DUMMYFUNCTION("IFERROR(GOOGLEFINANCE(B1742,""eps""),0)"),4.5)</f>
        <v>4.5</v>
      </c>
      <c r="AJ1742" s="1"/>
      <c r="AK1742" s="9"/>
      <c r="AL1742" s="1" t="b">
        <f>ISBLANK(AB1742)</f>
        <v>0</v>
      </c>
    </row>
    <row r="1743" spans="1:38" ht="15" x14ac:dyDescent="0.25">
      <c r="A1743" s="1" t="s">
        <v>5230</v>
      </c>
      <c r="B1743" s="1" t="s">
        <v>5231</v>
      </c>
      <c r="C1743" s="1" t="s">
        <v>1067</v>
      </c>
      <c r="D1743" s="1" t="s">
        <v>1067</v>
      </c>
      <c r="E1743" s="6">
        <v>4276.1099999999997</v>
      </c>
      <c r="F1743" s="1" t="s">
        <v>40</v>
      </c>
      <c r="G1743" s="6">
        <f ca="1">IFERROR(__xludf.DUMMYFUNCTION("iferror(GOOGLEFINANCE(TRIM(F1743)&amp;"":"" &amp; TRIM(B1743), ""price""),0
)"),350.9)</f>
        <v>350.9</v>
      </c>
      <c r="H1743" s="6">
        <v>407.05</v>
      </c>
      <c r="I1743" s="6">
        <f t="shared" ca="1" si="0"/>
        <v>350.9</v>
      </c>
      <c r="J1743" s="6">
        <f ca="1">IFERROR(__xludf.DUMMYFUNCTION("IFERROR(GOOGLEFINANCE(B1743, ""volume""), 0)"),241802)</f>
        <v>241802</v>
      </c>
      <c r="K1743" s="6">
        <v>-0.49</v>
      </c>
      <c r="L1743" s="6">
        <f ca="1">IFERROR(__xludf.DUMMYFUNCTION("IFERROR(GOOGLEFINANCE(B1743,""changepct""),K1743)"),-3.48)</f>
        <v>-3.48</v>
      </c>
      <c r="M1743" s="6">
        <f ca="1">IFERROR(__xludf.DUMMYFUNCTION("IFERROR(GOOGLEFINANCE(B1743,""change""),0)"),-12.65)</f>
        <v>-12.65</v>
      </c>
      <c r="N1743" s="6">
        <v>1</v>
      </c>
      <c r="O1743" s="7">
        <v>45536</v>
      </c>
      <c r="P1743" s="6">
        <v>4482.21</v>
      </c>
      <c r="Q1743" s="6">
        <v>723.6</v>
      </c>
      <c r="R1743" s="7">
        <v>45536</v>
      </c>
      <c r="S1743" s="6">
        <v>5.91</v>
      </c>
      <c r="T1743" s="9"/>
      <c r="U1743" s="6">
        <v>1.1100000000000001</v>
      </c>
      <c r="V1743" s="6">
        <v>1</v>
      </c>
      <c r="W1743" s="6">
        <f ca="1">IFERROR(__xludf.DUMMYFUNCTION("IFERROR(GOOGLEFINANCE(B1743,""pe""),V1743)"),9)</f>
        <v>9</v>
      </c>
      <c r="X1743" s="7">
        <v>45352</v>
      </c>
      <c r="Y1743" s="6">
        <v>26.39</v>
      </c>
      <c r="Z1743" s="6">
        <v>1</v>
      </c>
      <c r="AA1743" s="8">
        <v>45352</v>
      </c>
      <c r="AB1743" s="4">
        <v>0.56000000000000005</v>
      </c>
      <c r="AC1743" s="6">
        <v>6.67</v>
      </c>
      <c r="AD1743" s="6">
        <v>17.36</v>
      </c>
      <c r="AE1743" s="1">
        <v>0</v>
      </c>
      <c r="AF1743" s="1">
        <f ca="1">IFERROR(__xludf.DUMMYFUNCTION("IFERROR(GOOGLEFINANCE(TRIM(F1743)&amp;"":"" &amp; TRIM(B1743),""high52""),AE1743)"),552.5)</f>
        <v>552.5</v>
      </c>
      <c r="AG1743" s="1">
        <v>0</v>
      </c>
      <c r="AH1743" s="1">
        <f ca="1">IFERROR(__xludf.DUMMYFUNCTION("IFERROR(GOOGLEFINANCE(TRIM(F1743)&amp;"":"" &amp; TRIM(B1743),""low52""),AE1743)"),339.8)</f>
        <v>339.8</v>
      </c>
      <c r="AI1743" s="1">
        <f ca="1">IFERROR(__xludf.DUMMYFUNCTION("IFERROR(GOOGLEFINANCE(B1743,""eps""),0)"),38.97)</f>
        <v>38.97</v>
      </c>
      <c r="AJ1743" s="1"/>
      <c r="AK1743" s="1" t="s">
        <v>5232</v>
      </c>
      <c r="AL1743" s="1" t="b">
        <f>ISNUMBER(AA1743)</f>
        <v>1</v>
      </c>
    </row>
    <row r="1744" spans="1:38" ht="15" x14ac:dyDescent="0.25">
      <c r="A1744" s="1" t="s">
        <v>5233</v>
      </c>
      <c r="B1744" s="1" t="s">
        <v>5234</v>
      </c>
      <c r="C1744" s="1" t="s">
        <v>416</v>
      </c>
      <c r="D1744" s="1" t="s">
        <v>416</v>
      </c>
      <c r="E1744" s="6">
        <v>3786.3</v>
      </c>
      <c r="F1744" s="1" t="s">
        <v>40</v>
      </c>
      <c r="G1744" s="6">
        <f ca="1">IFERROR(__xludf.DUMMYFUNCTION("iferror(GOOGLEFINANCE(TRIM(F1744)&amp;"":"" &amp; TRIM(B1744), ""price""),0
)"),388)</f>
        <v>388</v>
      </c>
      <c r="H1744" s="6">
        <v>608.1</v>
      </c>
      <c r="I1744" s="6">
        <f t="shared" ca="1" si="0"/>
        <v>388</v>
      </c>
      <c r="J1744" s="6">
        <f ca="1">IFERROR(__xludf.DUMMYFUNCTION("IFERROR(GOOGLEFINANCE(B1744, ""volume""), 0)"),51828)</f>
        <v>51828</v>
      </c>
      <c r="K1744" s="6">
        <v>0.48</v>
      </c>
      <c r="L1744" s="6">
        <f ca="1">IFERROR(__xludf.DUMMYFUNCTION("IFERROR(GOOGLEFINANCE(B1744,""changepct""),K1744)"),0.69)</f>
        <v>0.69</v>
      </c>
      <c r="M1744" s="6">
        <f ca="1">IFERROR(__xludf.DUMMYFUNCTION("IFERROR(GOOGLEFINANCE(B1744,""change""),0)"),2.65)</f>
        <v>2.65</v>
      </c>
      <c r="N1744" s="6">
        <v>2</v>
      </c>
      <c r="O1744" s="7">
        <v>45536</v>
      </c>
      <c r="P1744" s="6">
        <v>91.77</v>
      </c>
      <c r="Q1744" s="6">
        <v>3778.41</v>
      </c>
      <c r="R1744" s="7">
        <v>45536</v>
      </c>
      <c r="S1744" s="6">
        <v>610.42999999999995</v>
      </c>
      <c r="T1744" s="6">
        <v>78.040000000000006</v>
      </c>
      <c r="U1744" s="7">
        <v>45536</v>
      </c>
      <c r="V1744" s="6">
        <v>48.48</v>
      </c>
      <c r="W1744" s="6">
        <f ca="1">IFERROR(__xludf.DUMMYFUNCTION("IFERROR(GOOGLEFINANCE(B1744,""pe""),V1744)"),31.6)</f>
        <v>31.6</v>
      </c>
      <c r="X1744" s="6">
        <v>0.9</v>
      </c>
      <c r="Y1744" s="6">
        <v>10.41</v>
      </c>
      <c r="Z1744" s="6">
        <v>2</v>
      </c>
      <c r="AA1744" s="8">
        <v>45352</v>
      </c>
      <c r="AB1744" s="4">
        <v>0.21</v>
      </c>
      <c r="AC1744" s="6">
        <v>22.89</v>
      </c>
      <c r="AD1744" s="6">
        <v>25.56</v>
      </c>
      <c r="AE1744" s="1">
        <v>0</v>
      </c>
      <c r="AF1744" s="1">
        <f ca="1">IFERROR(__xludf.DUMMYFUNCTION("IFERROR(GOOGLEFINANCE(TRIM(F1744)&amp;"":"" &amp; TRIM(B1744),""high52""),AE1744)"),698.95)</f>
        <v>698.95</v>
      </c>
      <c r="AG1744" s="1">
        <v>0</v>
      </c>
      <c r="AH1744" s="1">
        <f ca="1">IFERROR(__xludf.DUMMYFUNCTION("IFERROR(GOOGLEFINANCE(TRIM(F1744)&amp;"":"" &amp; TRIM(B1744),""low52""),AE1744)"),351.1)</f>
        <v>351.1</v>
      </c>
      <c r="AI1744" s="1">
        <f ca="1">IFERROR(__xludf.DUMMYFUNCTION("IFERROR(GOOGLEFINANCE(B1744,""eps""),0)"),12.28)</f>
        <v>12.28</v>
      </c>
      <c r="AJ1744" s="1"/>
      <c r="AK1744" s="1" t="s">
        <v>5235</v>
      </c>
      <c r="AL1744" s="9">
        <f t="shared" ref="AL1744:AL1745" si="215">IF(AA1744&lt;&gt;AB1744,1,0)</f>
        <v>1</v>
      </c>
    </row>
    <row r="1745" spans="1:38" ht="15" x14ac:dyDescent="0.25">
      <c r="A1745" s="1" t="s">
        <v>5236</v>
      </c>
      <c r="B1745" s="1" t="s">
        <v>5237</v>
      </c>
      <c r="C1745" s="1" t="s">
        <v>125</v>
      </c>
      <c r="D1745" s="1" t="s">
        <v>125</v>
      </c>
      <c r="E1745" s="6">
        <v>841.66</v>
      </c>
      <c r="F1745" s="1" t="s">
        <v>40</v>
      </c>
      <c r="G1745" s="6">
        <f ca="1">IFERROR(__xludf.DUMMYFUNCTION("iferror(GOOGLEFINANCE(TRIM(F1745)&amp;"":"" &amp; TRIM(B1745), ""price""),0
)"),0)</f>
        <v>0</v>
      </c>
      <c r="H1745" s="6">
        <v>373</v>
      </c>
      <c r="I1745" s="6">
        <f t="shared" ca="1" si="0"/>
        <v>373</v>
      </c>
      <c r="J1745" s="6">
        <f ca="1">IFERROR(__xludf.DUMMYFUNCTION("IFERROR(GOOGLEFINANCE(B1745, ""volume""), 0)"),0)</f>
        <v>0</v>
      </c>
      <c r="K1745" s="6">
        <v>0.01</v>
      </c>
      <c r="L1745" s="6">
        <f ca="1">IFERROR(__xludf.DUMMYFUNCTION("IFERROR(GOOGLEFINANCE(B1745,""changepct""),K1745)"),0.01)</f>
        <v>0.01</v>
      </c>
      <c r="M1745" s="6">
        <f ca="1">IFERROR(__xludf.DUMMYFUNCTION("IFERROR(GOOGLEFINANCE(B1745,""change""),0)"),0)</f>
        <v>0</v>
      </c>
      <c r="N1745" s="6">
        <v>1</v>
      </c>
      <c r="O1745" s="7">
        <v>45536</v>
      </c>
      <c r="P1745" s="6">
        <v>25.2</v>
      </c>
      <c r="Q1745" s="6">
        <v>866.85</v>
      </c>
      <c r="R1745" s="14"/>
      <c r="S1745" s="9"/>
      <c r="T1745" s="9"/>
      <c r="U1745" s="7">
        <v>45352</v>
      </c>
      <c r="V1745" s="6">
        <v>43.49</v>
      </c>
      <c r="W1745" s="6">
        <f ca="1">IFERROR(__xludf.DUMMYFUNCTION("IFERROR(GOOGLEFINANCE(B1745,""pe""),V1745)"),43.49)</f>
        <v>43.49</v>
      </c>
      <c r="X1745" s="12"/>
      <c r="Y1745" s="6">
        <v>5.6</v>
      </c>
      <c r="Z1745" s="6">
        <v>1</v>
      </c>
      <c r="AA1745" s="8">
        <v>45352</v>
      </c>
      <c r="AB1745" s="4">
        <v>0.38</v>
      </c>
      <c r="AC1745" s="6">
        <v>36.42</v>
      </c>
      <c r="AD1745" s="6">
        <v>39.549999999999997</v>
      </c>
      <c r="AE1745" s="1">
        <v>0</v>
      </c>
      <c r="AF1745" s="1">
        <f ca="1">IFERROR(__xludf.DUMMYFUNCTION("IFERROR(GOOGLEFINANCE(TRIM(F1745)&amp;"":"" &amp; TRIM(B1745),""high52""),AE1745)"),0)</f>
        <v>0</v>
      </c>
      <c r="AG1745" s="1">
        <v>0</v>
      </c>
      <c r="AH1745" s="1">
        <f ca="1">IFERROR(__xludf.DUMMYFUNCTION("IFERROR(GOOGLEFINANCE(TRIM(F1745)&amp;"":"" &amp; TRIM(B1745),""low52""),AE1745)"),0)</f>
        <v>0</v>
      </c>
      <c r="AI1745" s="1">
        <f ca="1">IFERROR(__xludf.DUMMYFUNCTION("IFERROR(GOOGLEFINANCE(B1745,""eps""),0)"),0)</f>
        <v>0</v>
      </c>
      <c r="AJ1745" s="1"/>
      <c r="AK1745" s="1" t="s">
        <v>5238</v>
      </c>
      <c r="AL1745" s="9">
        <f t="shared" si="215"/>
        <v>1</v>
      </c>
    </row>
    <row r="1746" spans="1:38" ht="15" x14ac:dyDescent="0.25">
      <c r="A1746" s="1" t="s">
        <v>5239</v>
      </c>
      <c r="B1746" s="1" t="s">
        <v>5240</v>
      </c>
      <c r="C1746" s="1" t="s">
        <v>355</v>
      </c>
      <c r="D1746" s="1" t="s">
        <v>355</v>
      </c>
      <c r="E1746" s="6">
        <v>966.13</v>
      </c>
      <c r="F1746" s="1" t="s">
        <v>40</v>
      </c>
      <c r="G1746" s="6">
        <f ca="1">IFERROR(__xludf.DUMMYFUNCTION("iferror(GOOGLEFINANCE(TRIM(F1746)&amp;"":"" &amp; TRIM(B1746), ""price""),0
)"),84.5)</f>
        <v>84.5</v>
      </c>
      <c r="H1746" s="6">
        <v>88.55</v>
      </c>
      <c r="I1746" s="6">
        <f t="shared" ca="1" si="0"/>
        <v>84.5</v>
      </c>
      <c r="J1746" s="6">
        <f ca="1">IFERROR(__xludf.DUMMYFUNCTION("IFERROR(GOOGLEFINANCE(B1746, ""volume""), 0)"),87147)</f>
        <v>87147</v>
      </c>
      <c r="K1746" s="6">
        <v>-0.77</v>
      </c>
      <c r="L1746" s="6">
        <f ca="1">IFERROR(__xludf.DUMMYFUNCTION("IFERROR(GOOGLEFINANCE(B1746,""changepct""),K1746)"),-1.48)</f>
        <v>-1.48</v>
      </c>
      <c r="M1746" s="6">
        <f ca="1">IFERROR(__xludf.DUMMYFUNCTION("IFERROR(GOOGLEFINANCE(B1746,""change""),0)"),-1.27)</f>
        <v>-1.27</v>
      </c>
      <c r="N1746" s="6">
        <v>2</v>
      </c>
      <c r="O1746" s="7">
        <v>45536</v>
      </c>
      <c r="P1746" s="6">
        <v>444.7</v>
      </c>
      <c r="Q1746" s="6">
        <v>1407.78</v>
      </c>
      <c r="R1746" s="7">
        <v>45536</v>
      </c>
      <c r="S1746" s="6">
        <v>2234.41</v>
      </c>
      <c r="T1746" s="6">
        <v>25.8</v>
      </c>
      <c r="U1746" s="7">
        <v>45536</v>
      </c>
      <c r="V1746" s="6">
        <v>36.630000000000003</v>
      </c>
      <c r="W1746" s="6">
        <f ca="1">IFERROR(__xludf.DUMMYFUNCTION("IFERROR(GOOGLEFINANCE(B1746,""pe""),V1746)"),13.82)</f>
        <v>13.82</v>
      </c>
      <c r="X1746" s="6">
        <v>-4</v>
      </c>
      <c r="Y1746" s="6">
        <v>1.79</v>
      </c>
      <c r="Z1746" s="6">
        <v>2</v>
      </c>
      <c r="AA1746" s="8">
        <v>45352</v>
      </c>
      <c r="AB1746" s="4">
        <v>0.61</v>
      </c>
      <c r="AC1746" s="6">
        <v>6.15</v>
      </c>
      <c r="AD1746" s="6">
        <v>10.210000000000001</v>
      </c>
      <c r="AE1746" s="1">
        <v>0</v>
      </c>
      <c r="AF1746" s="1">
        <f ca="1">IFERROR(__xludf.DUMMYFUNCTION("IFERROR(GOOGLEFINANCE(TRIM(F1746)&amp;"":"" &amp; TRIM(B1746),""high52""),AE1746)"),111.85)</f>
        <v>111.85</v>
      </c>
      <c r="AG1746" s="1">
        <v>0</v>
      </c>
      <c r="AH1746" s="1">
        <f ca="1">IFERROR(__xludf.DUMMYFUNCTION("IFERROR(GOOGLEFINANCE(TRIM(F1746)&amp;"":"" &amp; TRIM(B1746),""low52""),AE1746)"),55.5)</f>
        <v>55.5</v>
      </c>
      <c r="AI1746" s="1">
        <f ca="1">IFERROR(__xludf.DUMMYFUNCTION("IFERROR(GOOGLEFINANCE(B1746,""eps""),0)"),6.11)</f>
        <v>6.11</v>
      </c>
      <c r="AJ1746" s="1"/>
      <c r="AK1746" s="1" t="s">
        <v>5241</v>
      </c>
      <c r="AL1746" s="1" t="b">
        <f>ISNUMBER(AA1746)</f>
        <v>1</v>
      </c>
    </row>
    <row r="1747" spans="1:38" ht="15" x14ac:dyDescent="0.25">
      <c r="A1747" s="1" t="s">
        <v>5242</v>
      </c>
      <c r="B1747" s="1" t="s">
        <v>2905</v>
      </c>
      <c r="C1747" s="1" t="s">
        <v>359</v>
      </c>
      <c r="D1747" s="1" t="s">
        <v>359</v>
      </c>
      <c r="E1747" s="6">
        <v>422.99</v>
      </c>
      <c r="F1747" s="1" t="s">
        <v>40</v>
      </c>
      <c r="G1747" s="6">
        <f ca="1">IFERROR(__xludf.DUMMYFUNCTION("iferror(GOOGLEFINANCE(TRIM(F1747)&amp;"":"" &amp; TRIM(B1747), ""price""),0
)"),0)</f>
        <v>0</v>
      </c>
      <c r="H1747" s="6">
        <v>359.85</v>
      </c>
      <c r="I1747" s="6">
        <f t="shared" ca="1" si="0"/>
        <v>359.85</v>
      </c>
      <c r="J1747" s="6">
        <f ca="1">IFERROR(__xludf.DUMMYFUNCTION("IFERROR(GOOGLEFINANCE(B1747, ""volume""), 0)"),0)</f>
        <v>0</v>
      </c>
      <c r="K1747" s="6">
        <v>1.02</v>
      </c>
      <c r="L1747" s="6">
        <f ca="1">IFERROR(__xludf.DUMMYFUNCTION("IFERROR(GOOGLEFINANCE(B1747,""changepct""),K1747)"),0.81)</f>
        <v>0.81</v>
      </c>
      <c r="M1747" s="6">
        <f ca="1">IFERROR(__xludf.DUMMYFUNCTION("IFERROR(GOOGLEFINANCE(B1747,""change""),0)"),0.04)</f>
        <v>0.04</v>
      </c>
      <c r="N1747" s="6">
        <v>1</v>
      </c>
      <c r="O1747" s="7">
        <v>45536</v>
      </c>
      <c r="P1747" s="6">
        <v>42.4</v>
      </c>
      <c r="Q1747" s="6">
        <v>465.39</v>
      </c>
      <c r="R1747" s="7">
        <v>45352</v>
      </c>
      <c r="S1747" s="6">
        <v>538.72</v>
      </c>
      <c r="T1747" s="6">
        <v>4.8600000000000003</v>
      </c>
      <c r="U1747" s="7">
        <v>45352</v>
      </c>
      <c r="V1747" s="6">
        <v>87</v>
      </c>
      <c r="W1747" s="6">
        <f ca="1">IFERROR(__xludf.DUMMYFUNCTION("IFERROR(GOOGLEFINANCE(B1747,""pe""),V1747)"),87)</f>
        <v>87</v>
      </c>
      <c r="X1747" s="9"/>
      <c r="Y1747" s="6">
        <v>7.27</v>
      </c>
      <c r="Z1747" s="6">
        <v>2</v>
      </c>
      <c r="AA1747" s="8">
        <v>45352</v>
      </c>
      <c r="AB1747" s="4">
        <v>1.85</v>
      </c>
      <c r="AC1747" s="6">
        <v>14.79</v>
      </c>
      <c r="AD1747" s="6">
        <v>15.26</v>
      </c>
      <c r="AE1747" s="1">
        <v>0</v>
      </c>
      <c r="AF1747" s="1">
        <f ca="1">IFERROR(__xludf.DUMMYFUNCTION("IFERROR(GOOGLEFINANCE(TRIM(F1747)&amp;"":"" &amp; TRIM(B1747),""high52""),AE1747)"),0)</f>
        <v>0</v>
      </c>
      <c r="AG1747" s="1">
        <v>0</v>
      </c>
      <c r="AH1747" s="1">
        <f ca="1">IFERROR(__xludf.DUMMYFUNCTION("IFERROR(GOOGLEFINANCE(TRIM(F1747)&amp;"":"" &amp; TRIM(B1747),""low52""),AE1747)"),0)</f>
        <v>0</v>
      </c>
      <c r="AI1747" s="1">
        <f ca="1">IFERROR(__xludf.DUMMYFUNCTION("IFERROR(GOOGLEFINANCE(B1747,""eps""),0)"),-3.58)</f>
        <v>-3.58</v>
      </c>
      <c r="AJ1747" s="1"/>
      <c r="AK1747" s="1" t="s">
        <v>5243</v>
      </c>
      <c r="AL1747" s="9">
        <f t="shared" ref="AL1747:AL1751" si="216">IF(AA1747&lt;&gt;AB1747,1,0)</f>
        <v>1</v>
      </c>
    </row>
    <row r="1748" spans="1:38" ht="15" x14ac:dyDescent="0.25">
      <c r="A1748" s="1" t="s">
        <v>5244</v>
      </c>
      <c r="B1748" s="1" t="s">
        <v>5245</v>
      </c>
      <c r="C1748" s="1" t="s">
        <v>1913</v>
      </c>
      <c r="D1748" s="1" t="s">
        <v>1913</v>
      </c>
      <c r="E1748" s="6">
        <v>370.21</v>
      </c>
      <c r="F1748" s="1" t="s">
        <v>40</v>
      </c>
      <c r="G1748" s="6">
        <f ca="1">IFERROR(__xludf.DUMMYFUNCTION("iferror(GOOGLEFINANCE(TRIM(F1748)&amp;"":"" &amp; TRIM(B1748), ""price""),0
)"),80.69)</f>
        <v>80.69</v>
      </c>
      <c r="H1748" s="6">
        <v>129.15</v>
      </c>
      <c r="I1748" s="6">
        <f t="shared" ca="1" si="0"/>
        <v>80.69</v>
      </c>
      <c r="J1748" s="6">
        <f ca="1">IFERROR(__xludf.DUMMYFUNCTION("IFERROR(GOOGLEFINANCE(B1748, ""volume""), 0)"),18107)</f>
        <v>18107</v>
      </c>
      <c r="K1748" s="6">
        <v>0.6</v>
      </c>
      <c r="L1748" s="6">
        <f ca="1">IFERROR(__xludf.DUMMYFUNCTION("IFERROR(GOOGLEFINANCE(B1748,""changepct""),K1748)"),0.27)</f>
        <v>0.27</v>
      </c>
      <c r="M1748" s="6">
        <f ca="1">IFERROR(__xludf.DUMMYFUNCTION("IFERROR(GOOGLEFINANCE(B1748,""change""),0)"),0.22)</f>
        <v>0.22</v>
      </c>
      <c r="N1748" s="6">
        <v>2</v>
      </c>
      <c r="O1748" s="7">
        <v>45536</v>
      </c>
      <c r="P1748" s="6">
        <v>323.01</v>
      </c>
      <c r="Q1748" s="6">
        <v>688.37</v>
      </c>
      <c r="R1748" s="7">
        <v>45536</v>
      </c>
      <c r="S1748" s="6">
        <v>809.23</v>
      </c>
      <c r="T1748" s="6">
        <v>12.67</v>
      </c>
      <c r="U1748" s="7">
        <v>45536</v>
      </c>
      <c r="V1748" s="6">
        <v>55.92</v>
      </c>
      <c r="W1748" s="6">
        <f ca="1">IFERROR(__xludf.DUMMYFUNCTION("IFERROR(GOOGLEFINANCE(B1748,""pe""),V1748)"),2.01)</f>
        <v>2.0099999999999998</v>
      </c>
      <c r="X1748" s="6">
        <v>0.31</v>
      </c>
      <c r="Y1748" s="6">
        <v>1.17</v>
      </c>
      <c r="Z1748" s="6">
        <v>2</v>
      </c>
      <c r="AA1748" s="8">
        <v>45352</v>
      </c>
      <c r="AB1748" s="4">
        <v>1.1000000000000001</v>
      </c>
      <c r="AC1748" s="6">
        <v>5.07</v>
      </c>
      <c r="AD1748" s="6">
        <v>6.48</v>
      </c>
      <c r="AE1748" s="1">
        <v>0</v>
      </c>
      <c r="AF1748" s="1">
        <f ca="1">IFERROR(__xludf.DUMMYFUNCTION("IFERROR(GOOGLEFINANCE(TRIM(F1748)&amp;"":"" &amp; TRIM(B1748),""high52""),AE1748)"),122.71)</f>
        <v>122.71</v>
      </c>
      <c r="AG1748" s="1">
        <v>0</v>
      </c>
      <c r="AH1748" s="1">
        <f ca="1">IFERROR(__xludf.DUMMYFUNCTION("IFERROR(GOOGLEFINANCE(TRIM(F1748)&amp;"":"" &amp; TRIM(B1748),""low52""),AE1748)"),78.11)</f>
        <v>78.11</v>
      </c>
      <c r="AI1748" s="1">
        <f ca="1">IFERROR(__xludf.DUMMYFUNCTION("IFERROR(GOOGLEFINANCE(B1748,""eps""),0)"),40.05)</f>
        <v>40.049999999999997</v>
      </c>
      <c r="AJ1748" s="1"/>
      <c r="AK1748" s="9"/>
      <c r="AL1748" s="9">
        <f t="shared" si="216"/>
        <v>1</v>
      </c>
    </row>
    <row r="1749" spans="1:38" ht="15" x14ac:dyDescent="0.25">
      <c r="A1749" s="1" t="s">
        <v>5246</v>
      </c>
      <c r="B1749" s="1" t="s">
        <v>5247</v>
      </c>
      <c r="C1749" s="1" t="s">
        <v>135</v>
      </c>
      <c r="D1749" s="1" t="s">
        <v>135</v>
      </c>
      <c r="E1749" s="6">
        <v>832.5</v>
      </c>
      <c r="F1749" s="1" t="s">
        <v>40</v>
      </c>
      <c r="G1749" s="6">
        <f ca="1">IFERROR(__xludf.DUMMYFUNCTION("iferror(GOOGLEFINANCE(TRIM(F1749)&amp;"":"" &amp; TRIM(B1749), ""price""),0
)"),176.3)</f>
        <v>176.3</v>
      </c>
      <c r="H1749" s="6">
        <v>280.3</v>
      </c>
      <c r="I1749" s="6">
        <f t="shared" ca="1" si="0"/>
        <v>176.3</v>
      </c>
      <c r="J1749" s="6">
        <f ca="1">IFERROR(__xludf.DUMMYFUNCTION("IFERROR(GOOGLEFINANCE(B1749, ""volume""), 0)"),11224)</f>
        <v>11224</v>
      </c>
      <c r="K1749" s="6">
        <v>0.99</v>
      </c>
      <c r="L1749" s="6">
        <f ca="1">IFERROR(__xludf.DUMMYFUNCTION("IFERROR(GOOGLEFINANCE(B1749,""changepct""),K1749)"),1.14)</f>
        <v>1.1399999999999999</v>
      </c>
      <c r="M1749" s="6">
        <f ca="1">IFERROR(__xludf.DUMMYFUNCTION("IFERROR(GOOGLEFINANCE(B1749,""change""),0)"),1.98)</f>
        <v>1.98</v>
      </c>
      <c r="N1749" s="6">
        <v>2</v>
      </c>
      <c r="O1749" s="7">
        <v>45536</v>
      </c>
      <c r="P1749" s="6">
        <v>251.59</v>
      </c>
      <c r="Q1749" s="6">
        <v>1073.6400000000001</v>
      </c>
      <c r="R1749" s="7">
        <v>45536</v>
      </c>
      <c r="S1749" s="6">
        <v>2369.29</v>
      </c>
      <c r="T1749" s="6">
        <v>56</v>
      </c>
      <c r="U1749" s="7">
        <v>45536</v>
      </c>
      <c r="V1749" s="6">
        <v>14.96</v>
      </c>
      <c r="W1749" s="6">
        <f ca="1">IFERROR(__xludf.DUMMYFUNCTION("IFERROR(GOOGLEFINANCE(B1749,""pe""),V1749)"),10.28)</f>
        <v>10.28</v>
      </c>
      <c r="X1749" s="6">
        <v>-13.48</v>
      </c>
      <c r="Y1749" s="6">
        <v>1.51</v>
      </c>
      <c r="Z1749" s="6">
        <v>2</v>
      </c>
      <c r="AA1749" s="8">
        <v>45352</v>
      </c>
      <c r="AB1749" s="4">
        <v>0.28000000000000003</v>
      </c>
      <c r="AC1749" s="6">
        <v>10.57</v>
      </c>
      <c r="AD1749" s="6">
        <v>12.86</v>
      </c>
      <c r="AE1749" s="1">
        <v>0</v>
      </c>
      <c r="AF1749" s="1">
        <f ca="1">IFERROR(__xludf.DUMMYFUNCTION("IFERROR(GOOGLEFINANCE(TRIM(F1749)&amp;"":"" &amp; TRIM(B1749),""high52""),AE1749)"),308.85)</f>
        <v>308.85000000000002</v>
      </c>
      <c r="AG1749" s="1">
        <v>0</v>
      </c>
      <c r="AH1749" s="1">
        <f ca="1">IFERROR(__xludf.DUMMYFUNCTION("IFERROR(GOOGLEFINANCE(TRIM(F1749)&amp;"":"" &amp; TRIM(B1749),""low52""),AE1749)"),172.01)</f>
        <v>172.01</v>
      </c>
      <c r="AI1749" s="1">
        <f ca="1">IFERROR(__xludf.DUMMYFUNCTION("IFERROR(GOOGLEFINANCE(B1749,""eps""),0)"),17.14)</f>
        <v>17.14</v>
      </c>
      <c r="AJ1749" s="1"/>
      <c r="AK1749" s="1" t="s">
        <v>5248</v>
      </c>
      <c r="AL1749" s="9">
        <f t="shared" si="216"/>
        <v>1</v>
      </c>
    </row>
    <row r="1750" spans="1:38" ht="15" x14ac:dyDescent="0.25">
      <c r="A1750" s="1" t="s">
        <v>5249</v>
      </c>
      <c r="B1750" s="1" t="s">
        <v>5250</v>
      </c>
      <c r="C1750" s="1" t="s">
        <v>219</v>
      </c>
      <c r="D1750" s="1" t="s">
        <v>219</v>
      </c>
      <c r="E1750" s="6">
        <v>3883.02</v>
      </c>
      <c r="F1750" s="1" t="s">
        <v>40</v>
      </c>
      <c r="G1750" s="6">
        <f ca="1">IFERROR(__xludf.DUMMYFUNCTION("iferror(GOOGLEFINANCE(TRIM(F1750)&amp;"":"" &amp; TRIM(B1750), ""price""),0
)"),72.71)</f>
        <v>72.709999999999994</v>
      </c>
      <c r="H1750" s="6">
        <v>44.18</v>
      </c>
      <c r="I1750" s="6">
        <f t="shared" ca="1" si="0"/>
        <v>72.709999999999994</v>
      </c>
      <c r="J1750" s="6">
        <f ca="1">IFERROR(__xludf.DUMMYFUNCTION("IFERROR(GOOGLEFINANCE(B1750, ""volume""), 0)"),3265738)</f>
        <v>3265738</v>
      </c>
      <c r="K1750" s="6">
        <v>10.89</v>
      </c>
      <c r="L1750" s="6">
        <f ca="1">IFERROR(__xludf.DUMMYFUNCTION("IFERROR(GOOGLEFINANCE(B1750,""changepct""),K1750)"),3.5)</f>
        <v>3.5</v>
      </c>
      <c r="M1750" s="6">
        <f ca="1">IFERROR(__xludf.DUMMYFUNCTION("IFERROR(GOOGLEFINANCE(B1750,""change""),0)"),2.46)</f>
        <v>2.46</v>
      </c>
      <c r="N1750" s="6">
        <v>1</v>
      </c>
      <c r="O1750" s="7">
        <v>45536</v>
      </c>
      <c r="P1750" s="6">
        <v>3120.34</v>
      </c>
      <c r="Q1750" s="6">
        <v>6841.99</v>
      </c>
      <c r="R1750" s="7">
        <v>45536</v>
      </c>
      <c r="S1750" s="6">
        <v>5635.24</v>
      </c>
      <c r="T1750" s="6">
        <v>24.9</v>
      </c>
      <c r="U1750" s="7">
        <v>45536</v>
      </c>
      <c r="V1750" s="6">
        <v>155.94</v>
      </c>
      <c r="W1750" s="6">
        <f ca="1">IFERROR(__xludf.DUMMYFUNCTION("IFERROR(GOOGLEFINANCE(B1750,""pe""),V1750)"),18.34)</f>
        <v>18.34</v>
      </c>
      <c r="X1750" s="6">
        <v>7.74</v>
      </c>
      <c r="Y1750" s="6">
        <v>1.77</v>
      </c>
      <c r="Z1750" s="6">
        <v>1</v>
      </c>
      <c r="AA1750" s="8">
        <v>45352</v>
      </c>
      <c r="AB1750" s="4">
        <v>1.42</v>
      </c>
      <c r="AC1750" s="6">
        <v>9.7200000000000006</v>
      </c>
      <c r="AD1750" s="6">
        <v>13.9</v>
      </c>
      <c r="AE1750" s="1">
        <v>0</v>
      </c>
      <c r="AF1750" s="1">
        <f ca="1">IFERROR(__xludf.DUMMYFUNCTION("IFERROR(GOOGLEFINANCE(TRIM(F1750)&amp;"":"" &amp; TRIM(B1750),""high52""),AE1750)"),94.3)</f>
        <v>94.3</v>
      </c>
      <c r="AG1750" s="1">
        <v>0</v>
      </c>
      <c r="AH1750" s="1">
        <f ca="1">IFERROR(__xludf.DUMMYFUNCTION("IFERROR(GOOGLEFINANCE(TRIM(F1750)&amp;"":"" &amp; TRIM(B1750),""low52""),AE1750)"),28)</f>
        <v>28</v>
      </c>
      <c r="AI1750" s="1">
        <f ca="1">IFERROR(__xludf.DUMMYFUNCTION("IFERROR(GOOGLEFINANCE(B1750,""eps""),0)"),3.96)</f>
        <v>3.96</v>
      </c>
      <c r="AJ1750" s="1"/>
      <c r="AK1750" s="1" t="s">
        <v>5251</v>
      </c>
      <c r="AL1750" s="9">
        <f t="shared" si="216"/>
        <v>1</v>
      </c>
    </row>
    <row r="1751" spans="1:38" ht="15" x14ac:dyDescent="0.25">
      <c r="A1751" s="1" t="s">
        <v>5252</v>
      </c>
      <c r="B1751" s="1" t="s">
        <v>5253</v>
      </c>
      <c r="C1751" s="1" t="s">
        <v>106</v>
      </c>
      <c r="D1751" s="1" t="s">
        <v>106</v>
      </c>
      <c r="E1751" s="6">
        <v>28976.39</v>
      </c>
      <c r="F1751" s="1" t="s">
        <v>40</v>
      </c>
      <c r="G1751" s="6">
        <f ca="1">IFERROR(__xludf.DUMMYFUNCTION("iferror(GOOGLEFINANCE(TRIM(F1751)&amp;"":"" &amp; TRIM(B1751), ""price""),0
)"),1880)</f>
        <v>1880</v>
      </c>
      <c r="H1751" s="6">
        <v>1871.05</v>
      </c>
      <c r="I1751" s="6">
        <f t="shared" ca="1" si="0"/>
        <v>1880</v>
      </c>
      <c r="J1751" s="6">
        <f ca="1">IFERROR(__xludf.DUMMYFUNCTION("IFERROR(GOOGLEFINANCE(B1751, ""volume""), 0)"),294521)</f>
        <v>294521</v>
      </c>
      <c r="K1751" s="6">
        <v>0.35</v>
      </c>
      <c r="L1751" s="6">
        <f ca="1">IFERROR(__xludf.DUMMYFUNCTION("IFERROR(GOOGLEFINANCE(B1751,""changepct""),K1751)"),0.23)</f>
        <v>0.23</v>
      </c>
      <c r="M1751" s="6">
        <f ca="1">IFERROR(__xludf.DUMMYFUNCTION("IFERROR(GOOGLEFINANCE(B1751,""change""),0)"),4.3)</f>
        <v>4.3</v>
      </c>
      <c r="N1751" s="6">
        <v>2</v>
      </c>
      <c r="O1751" s="7">
        <v>45536</v>
      </c>
      <c r="P1751" s="6">
        <v>81.64</v>
      </c>
      <c r="Q1751" s="6">
        <v>28960.57</v>
      </c>
      <c r="R1751" s="7">
        <v>45536</v>
      </c>
      <c r="S1751" s="6">
        <v>3711.26</v>
      </c>
      <c r="T1751" s="6">
        <v>611.13</v>
      </c>
      <c r="U1751" s="7">
        <v>45536</v>
      </c>
      <c r="V1751" s="6">
        <v>47.41</v>
      </c>
      <c r="W1751" s="6">
        <f ca="1">IFERROR(__xludf.DUMMYFUNCTION("IFERROR(GOOGLEFINANCE(B1751,""pe""),V1751)"),39.63)</f>
        <v>39.630000000000003</v>
      </c>
      <c r="X1751" s="6">
        <v>2.0299999999999998</v>
      </c>
      <c r="Y1751" s="6">
        <v>9.02</v>
      </c>
      <c r="Z1751" s="6">
        <v>2</v>
      </c>
      <c r="AA1751" s="8">
        <v>45352</v>
      </c>
      <c r="AB1751" s="4">
        <v>0.13</v>
      </c>
      <c r="AC1751" s="6">
        <v>21.49</v>
      </c>
      <c r="AD1751" s="6">
        <v>25.23</v>
      </c>
      <c r="AE1751" s="1">
        <v>0</v>
      </c>
      <c r="AF1751" s="1">
        <f ca="1">IFERROR(__xludf.DUMMYFUNCTION("IFERROR(GOOGLEFINANCE(TRIM(F1751)&amp;"":"" &amp; TRIM(B1751),""high52""),AE1751)"),1939)</f>
        <v>1939</v>
      </c>
      <c r="AG1751" s="1">
        <v>0</v>
      </c>
      <c r="AH1751" s="1">
        <f ca="1">IFERROR(__xludf.DUMMYFUNCTION("IFERROR(GOOGLEFINANCE(TRIM(F1751)&amp;"":"" &amp; TRIM(B1751),""low52""),AE1751)"),1385.75)</f>
        <v>1385.75</v>
      </c>
      <c r="AI1751" s="1">
        <f ca="1">IFERROR(__xludf.DUMMYFUNCTION("IFERROR(GOOGLEFINANCE(B1751,""eps""),0)"),47.44)</f>
        <v>47.44</v>
      </c>
      <c r="AJ1751" s="1"/>
      <c r="AK1751" s="9"/>
      <c r="AL1751" s="9">
        <f t="shared" si="216"/>
        <v>1</v>
      </c>
    </row>
    <row r="1752" spans="1:38" ht="15" x14ac:dyDescent="0.25">
      <c r="A1752" s="1" t="s">
        <v>5254</v>
      </c>
      <c r="B1752" s="1" t="s">
        <v>5255</v>
      </c>
      <c r="C1752" s="1" t="s">
        <v>355</v>
      </c>
      <c r="D1752" s="1" t="s">
        <v>355</v>
      </c>
      <c r="E1752" s="6">
        <v>18758.73</v>
      </c>
      <c r="F1752" s="1" t="s">
        <v>40</v>
      </c>
      <c r="G1752" s="6">
        <f ca="1">IFERROR(__xludf.DUMMYFUNCTION("iferror(GOOGLEFINANCE(TRIM(F1752)&amp;"":"" &amp; TRIM(B1752), ""price""),0
)"),558.95)</f>
        <v>558.95000000000005</v>
      </c>
      <c r="H1752" s="6">
        <v>1596.1</v>
      </c>
      <c r="I1752" s="6">
        <f t="shared" ca="1" si="0"/>
        <v>558.95000000000005</v>
      </c>
      <c r="J1752" s="6">
        <f ca="1">IFERROR(__xludf.DUMMYFUNCTION("IFERROR(GOOGLEFINANCE(B1752, ""volume""), 0)"),502013)</f>
        <v>502013</v>
      </c>
      <c r="K1752" s="6">
        <v>0.68</v>
      </c>
      <c r="L1752" s="6">
        <f ca="1">IFERROR(__xludf.DUMMYFUNCTION("IFERROR(GOOGLEFINANCE(B1752,""changepct""),K1752)"),0.81)</f>
        <v>0.81</v>
      </c>
      <c r="M1752" s="6">
        <f ca="1">IFERROR(__xludf.DUMMYFUNCTION("IFERROR(GOOGLEFINANCE(B1752,""change""),0)"),4.5)</f>
        <v>4.5</v>
      </c>
      <c r="N1752" s="6">
        <v>2</v>
      </c>
      <c r="O1752" s="7">
        <v>45536</v>
      </c>
      <c r="P1752" s="6">
        <v>2611.89</v>
      </c>
      <c r="Q1752" s="6">
        <v>21255</v>
      </c>
      <c r="R1752" s="7">
        <v>45536</v>
      </c>
      <c r="S1752" s="6">
        <v>5262.6</v>
      </c>
      <c r="T1752" s="6">
        <v>207.11</v>
      </c>
      <c r="U1752" s="7">
        <v>45536</v>
      </c>
      <c r="V1752" s="6">
        <v>100.13</v>
      </c>
      <c r="W1752" s="6">
        <f ca="1">IFERROR(__xludf.DUMMYFUNCTION("IFERROR(GOOGLEFINANCE(B1752,""pe""),V1752)"),62.6)</f>
        <v>62.6</v>
      </c>
      <c r="X1752" s="6">
        <v>7.85</v>
      </c>
      <c r="Y1752" s="6">
        <v>15.22</v>
      </c>
      <c r="Z1752" s="6">
        <v>2</v>
      </c>
      <c r="AA1752" s="8">
        <v>45352</v>
      </c>
      <c r="AB1752" s="4">
        <v>1.8</v>
      </c>
      <c r="AC1752" s="6">
        <v>17.63</v>
      </c>
      <c r="AD1752" s="6">
        <v>14.8</v>
      </c>
      <c r="AE1752" s="1">
        <v>0</v>
      </c>
      <c r="AF1752" s="1">
        <f ca="1">IFERROR(__xludf.DUMMYFUNCTION("IFERROR(GOOGLEFINANCE(TRIM(F1752)&amp;"":"" &amp; TRIM(B1752),""high52""),AE1752)"),790)</f>
        <v>790</v>
      </c>
      <c r="AG1752" s="1">
        <v>0</v>
      </c>
      <c r="AH1752" s="1">
        <f ca="1">IFERROR(__xludf.DUMMYFUNCTION("IFERROR(GOOGLEFINANCE(TRIM(F1752)&amp;"":"" &amp; TRIM(B1752),""low52""),AE1752)"),489.8)</f>
        <v>489.8</v>
      </c>
      <c r="AI1752" s="1">
        <f ca="1">IFERROR(__xludf.DUMMYFUNCTION("IFERROR(GOOGLEFINANCE(B1752,""eps""),0)"),8.93)</f>
        <v>8.93</v>
      </c>
      <c r="AJ1752" s="1"/>
      <c r="AK1752" s="1" t="s">
        <v>5256</v>
      </c>
      <c r="AL1752" s="1" t="b">
        <f>ISNUMBER(AA1752)</f>
        <v>1</v>
      </c>
    </row>
    <row r="1753" spans="1:38" ht="15" x14ac:dyDescent="0.25">
      <c r="A1753" s="1" t="s">
        <v>5257</v>
      </c>
      <c r="B1753" s="1" t="s">
        <v>5258</v>
      </c>
      <c r="C1753" s="1" t="s">
        <v>94</v>
      </c>
      <c r="D1753" s="1" t="s">
        <v>94</v>
      </c>
      <c r="E1753" s="6">
        <v>29.4</v>
      </c>
      <c r="F1753" s="1" t="s">
        <v>53</v>
      </c>
      <c r="G1753" s="6">
        <f ca="1">IFERROR(__xludf.DUMMYFUNCTION("iferror(GOOGLEFINANCE(TRIM(F1753)&amp;"":"" &amp; TRIM(B1753), ""price""),0
)"),0)</f>
        <v>0</v>
      </c>
      <c r="H1753" s="6">
        <v>41.5</v>
      </c>
      <c r="I1753" s="6">
        <f t="shared" ca="1" si="0"/>
        <v>41.5</v>
      </c>
      <c r="J1753" s="6">
        <f ca="1">IFERROR(__xludf.DUMMYFUNCTION("IFERROR(GOOGLEFINANCE(B1753, ""volume""), 0)"),0)</f>
        <v>0</v>
      </c>
      <c r="K1753" s="6">
        <v>-1.19</v>
      </c>
      <c r="L1753" s="6">
        <f ca="1">IFERROR(__xludf.DUMMYFUNCTION("IFERROR(GOOGLEFINANCE(B1753,""changepct""),K1753)"),-1.19)</f>
        <v>-1.19</v>
      </c>
      <c r="M1753" s="6">
        <f ca="1">IFERROR(__xludf.DUMMYFUNCTION("IFERROR(GOOGLEFINANCE(B1753,""change""),0)"),0)</f>
        <v>0</v>
      </c>
      <c r="N1753" s="6">
        <v>1</v>
      </c>
      <c r="O1753" s="7">
        <v>45536</v>
      </c>
      <c r="P1753" s="6">
        <v>1</v>
      </c>
      <c r="Q1753" s="7">
        <v>45536</v>
      </c>
      <c r="R1753" s="6">
        <v>29.28</v>
      </c>
      <c r="S1753" s="6">
        <v>-2.5099999999999998</v>
      </c>
      <c r="T1753" s="6">
        <v>0.56000000000000005</v>
      </c>
      <c r="U1753" s="6">
        <v>1</v>
      </c>
      <c r="V1753" s="7">
        <v>45352</v>
      </c>
      <c r="W1753" s="10">
        <f ca="1">IFERROR(__xludf.DUMMYFUNCTION("IFERROR(GOOGLEFINANCE(B1753,""pe""),V1753)"),45352)</f>
        <v>45352</v>
      </c>
      <c r="X1753" s="6">
        <v>0.88</v>
      </c>
      <c r="Y1753" s="6">
        <v>2.75</v>
      </c>
      <c r="Z1753" s="6">
        <v>5.62</v>
      </c>
      <c r="AA1753" s="3" t="s">
        <v>5259</v>
      </c>
      <c r="AB1753" s="11"/>
      <c r="AC1753" s="9"/>
      <c r="AD1753" s="9"/>
      <c r="AE1753" s="1">
        <v>0</v>
      </c>
      <c r="AF1753" s="1">
        <f ca="1">IFERROR(__xludf.DUMMYFUNCTION("IFERROR(GOOGLEFINANCE(TRIM(F1753)&amp;"":"" &amp; TRIM(B1753),""high52""),AE1753)"),0)</f>
        <v>0</v>
      </c>
      <c r="AG1753" s="1">
        <v>0</v>
      </c>
      <c r="AH1753" s="1">
        <f ca="1">IFERROR(__xludf.DUMMYFUNCTION("IFERROR(GOOGLEFINANCE(TRIM(F1753)&amp;"":"" &amp; TRIM(B1753),""low52""),AE1753)"),0)</f>
        <v>0</v>
      </c>
      <c r="AI1753" s="1">
        <f ca="1">IFERROR(__xludf.DUMMYFUNCTION("IFERROR(GOOGLEFINANCE(B1753,""eps""),0)"),0)</f>
        <v>0</v>
      </c>
      <c r="AJ1753" s="1"/>
      <c r="AK1753" s="1" t="s">
        <v>5260</v>
      </c>
      <c r="AL1753" s="9">
        <f t="shared" ref="AL1753:AL1778" si="217">IF(AA1753&lt;&gt;AB1753,1,0)</f>
        <v>1</v>
      </c>
    </row>
    <row r="1754" spans="1:38" ht="15" x14ac:dyDescent="0.25">
      <c r="A1754" s="1" t="s">
        <v>5261</v>
      </c>
      <c r="B1754" s="1" t="s">
        <v>5262</v>
      </c>
      <c r="C1754" s="1" t="s">
        <v>94</v>
      </c>
      <c r="D1754" s="1" t="s">
        <v>94</v>
      </c>
      <c r="E1754" s="6">
        <v>388.11</v>
      </c>
      <c r="F1754" s="1" t="s">
        <v>53</v>
      </c>
      <c r="G1754" s="6">
        <f ca="1">IFERROR(__xludf.DUMMYFUNCTION("iferror(GOOGLEFINANCE(TRIM(F1754)&amp;"":"" &amp; TRIM(B1754), ""price""),0
)"),0)</f>
        <v>0</v>
      </c>
      <c r="H1754" s="6">
        <v>49.5</v>
      </c>
      <c r="I1754" s="6">
        <f t="shared" ca="1" si="0"/>
        <v>49.5</v>
      </c>
      <c r="J1754" s="6">
        <f ca="1">IFERROR(__xludf.DUMMYFUNCTION("IFERROR(GOOGLEFINANCE(B1754, ""volume""), 0)"),0)</f>
        <v>0</v>
      </c>
      <c r="K1754" s="6">
        <v>0.71</v>
      </c>
      <c r="L1754" s="6">
        <f ca="1">IFERROR(__xludf.DUMMYFUNCTION("IFERROR(GOOGLEFINANCE(B1754,""changepct""),K1754)"),0.71)</f>
        <v>0.71</v>
      </c>
      <c r="M1754" s="6">
        <f ca="1">IFERROR(__xludf.DUMMYFUNCTION("IFERROR(GOOGLEFINANCE(B1754,""change""),0)"),0)</f>
        <v>0</v>
      </c>
      <c r="N1754" s="6">
        <v>1</v>
      </c>
      <c r="O1754" s="7">
        <v>45536</v>
      </c>
      <c r="P1754" s="6">
        <v>11.34</v>
      </c>
      <c r="Q1754" s="7">
        <v>45536</v>
      </c>
      <c r="R1754" s="6">
        <v>34.22</v>
      </c>
      <c r="S1754" s="6">
        <v>2.0499999999999998</v>
      </c>
      <c r="T1754" s="6">
        <v>2.78</v>
      </c>
      <c r="U1754" s="6">
        <v>1</v>
      </c>
      <c r="V1754" s="7">
        <v>45352</v>
      </c>
      <c r="W1754" s="10">
        <f ca="1">IFERROR(__xludf.DUMMYFUNCTION("IFERROR(GOOGLEFINANCE(B1754,""pe""),V1754)"),45352)</f>
        <v>45352</v>
      </c>
      <c r="X1754" s="6">
        <v>2.78</v>
      </c>
      <c r="Y1754" s="6">
        <v>8.1199999999999992</v>
      </c>
      <c r="Z1754" s="6">
        <v>10.9</v>
      </c>
      <c r="AA1754" s="3" t="s">
        <v>5263</v>
      </c>
      <c r="AB1754" s="11"/>
      <c r="AC1754" s="9"/>
      <c r="AD1754" s="9"/>
      <c r="AE1754" s="1">
        <v>0</v>
      </c>
      <c r="AF1754" s="1">
        <f ca="1">IFERROR(__xludf.DUMMYFUNCTION("IFERROR(GOOGLEFINANCE(TRIM(F1754)&amp;"":"" &amp; TRIM(B1754),""high52""),AE1754)"),0)</f>
        <v>0</v>
      </c>
      <c r="AG1754" s="1">
        <v>0</v>
      </c>
      <c r="AH1754" s="1">
        <f ca="1">IFERROR(__xludf.DUMMYFUNCTION("IFERROR(GOOGLEFINANCE(TRIM(F1754)&amp;"":"" &amp; TRIM(B1754),""low52""),AE1754)"),0)</f>
        <v>0</v>
      </c>
      <c r="AI1754" s="1">
        <f ca="1">IFERROR(__xludf.DUMMYFUNCTION("IFERROR(GOOGLEFINANCE(B1754,""eps""),0)"),0)</f>
        <v>0</v>
      </c>
      <c r="AJ1754" s="1"/>
      <c r="AK1754" s="1" t="s">
        <v>5264</v>
      </c>
      <c r="AL1754" s="9">
        <f t="shared" si="217"/>
        <v>1</v>
      </c>
    </row>
    <row r="1755" spans="1:38" ht="15" x14ac:dyDescent="0.25">
      <c r="A1755" s="1" t="s">
        <v>5265</v>
      </c>
      <c r="B1755" s="1" t="s">
        <v>5266</v>
      </c>
      <c r="C1755" s="1" t="s">
        <v>94</v>
      </c>
      <c r="D1755" s="1" t="s">
        <v>94</v>
      </c>
      <c r="E1755" s="6">
        <v>42.78</v>
      </c>
      <c r="F1755" s="1" t="s">
        <v>53</v>
      </c>
      <c r="G1755" s="6">
        <f ca="1">IFERROR(__xludf.DUMMYFUNCTION("iferror(GOOGLEFINANCE(TRIM(F1755)&amp;"":"" &amp; TRIM(B1755), ""price""),0
)"),0)</f>
        <v>0</v>
      </c>
      <c r="H1755" s="6">
        <v>143.4</v>
      </c>
      <c r="I1755" s="6">
        <f t="shared" ca="1" si="0"/>
        <v>143.4</v>
      </c>
      <c r="J1755" s="6">
        <f ca="1">IFERROR(__xludf.DUMMYFUNCTION("IFERROR(GOOGLEFINANCE(B1755, ""volume""), 0)"),0)</f>
        <v>0</v>
      </c>
      <c r="K1755" s="6">
        <v>4.9800000000000004</v>
      </c>
      <c r="L1755" s="6">
        <f ca="1">IFERROR(__xludf.DUMMYFUNCTION("IFERROR(GOOGLEFINANCE(B1755,""changepct""),K1755)"),4.98)</f>
        <v>4.9800000000000004</v>
      </c>
      <c r="M1755" s="6">
        <f ca="1">IFERROR(__xludf.DUMMYFUNCTION("IFERROR(GOOGLEFINANCE(B1755,""change""),0)"),0)</f>
        <v>0</v>
      </c>
      <c r="N1755" s="6">
        <v>1</v>
      </c>
      <c r="O1755" s="7">
        <v>45536</v>
      </c>
      <c r="P1755" s="6">
        <v>0.75</v>
      </c>
      <c r="Q1755" s="7">
        <v>45536</v>
      </c>
      <c r="R1755" s="6">
        <v>57.12</v>
      </c>
      <c r="S1755" s="6">
        <v>16.41</v>
      </c>
      <c r="T1755" s="6">
        <v>3.55</v>
      </c>
      <c r="U1755" s="6">
        <v>1</v>
      </c>
      <c r="V1755" s="7">
        <v>45352</v>
      </c>
      <c r="W1755" s="10">
        <f ca="1">IFERROR(__xludf.DUMMYFUNCTION("IFERROR(GOOGLEFINANCE(B1755,""pe""),V1755)"),45352)</f>
        <v>45352</v>
      </c>
      <c r="X1755" s="6">
        <v>0.04</v>
      </c>
      <c r="Y1755" s="6">
        <v>4.55</v>
      </c>
      <c r="Z1755" s="6">
        <v>4.68</v>
      </c>
      <c r="AA1755" s="3" t="s">
        <v>5267</v>
      </c>
      <c r="AB1755" s="11"/>
      <c r="AC1755" s="9"/>
      <c r="AD1755" s="9"/>
      <c r="AE1755" s="1">
        <v>0</v>
      </c>
      <c r="AF1755" s="1">
        <f ca="1">IFERROR(__xludf.DUMMYFUNCTION("IFERROR(GOOGLEFINANCE(TRIM(F1755)&amp;"":"" &amp; TRIM(B1755),""high52""),AE1755)"),0)</f>
        <v>0</v>
      </c>
      <c r="AG1755" s="1">
        <v>0</v>
      </c>
      <c r="AH1755" s="1">
        <f ca="1">IFERROR(__xludf.DUMMYFUNCTION("IFERROR(GOOGLEFINANCE(TRIM(F1755)&amp;"":"" &amp; TRIM(B1755),""low52""),AE1755)"),0)</f>
        <v>0</v>
      </c>
      <c r="AI1755" s="1">
        <f ca="1">IFERROR(__xludf.DUMMYFUNCTION("IFERROR(GOOGLEFINANCE(B1755,""eps""),0)"),0)</f>
        <v>0</v>
      </c>
      <c r="AJ1755" s="1"/>
      <c r="AK1755" s="1" t="s">
        <v>5268</v>
      </c>
      <c r="AL1755" s="9">
        <f t="shared" si="217"/>
        <v>1</v>
      </c>
    </row>
    <row r="1756" spans="1:38" ht="15" x14ac:dyDescent="0.25">
      <c r="A1756" s="1" t="s">
        <v>5269</v>
      </c>
      <c r="B1756" s="1" t="s">
        <v>5270</v>
      </c>
      <c r="C1756" s="1" t="s">
        <v>227</v>
      </c>
      <c r="D1756" s="1" t="s">
        <v>227</v>
      </c>
      <c r="E1756" s="6">
        <v>5468.11</v>
      </c>
      <c r="F1756" s="1" t="s">
        <v>40</v>
      </c>
      <c r="G1756" s="6">
        <f ca="1">IFERROR(__xludf.DUMMYFUNCTION("iferror(GOOGLEFINANCE(TRIM(F1756)&amp;"":"" &amp; TRIM(B1756), ""price""),0
)"),649.95)</f>
        <v>649.95000000000005</v>
      </c>
      <c r="H1756" s="6">
        <v>2149.5</v>
      </c>
      <c r="I1756" s="6">
        <f t="shared" ca="1" si="0"/>
        <v>649.95000000000005</v>
      </c>
      <c r="J1756" s="6">
        <f ca="1">IFERROR(__xludf.DUMMYFUNCTION("IFERROR(GOOGLEFINANCE(B1756, ""volume""), 0)"),129758)</f>
        <v>129758</v>
      </c>
      <c r="K1756" s="6">
        <v>-2.2799999999999998</v>
      </c>
      <c r="L1756" s="6">
        <f ca="1">IFERROR(__xludf.DUMMYFUNCTION("IFERROR(GOOGLEFINANCE(B1756,""changepct""),K1756)"),-2.21)</f>
        <v>-2.21</v>
      </c>
      <c r="M1756" s="6">
        <f ca="1">IFERROR(__xludf.DUMMYFUNCTION("IFERROR(GOOGLEFINANCE(B1756,""change""),0)"),-14.7)</f>
        <v>-14.7</v>
      </c>
      <c r="N1756" s="6">
        <v>1</v>
      </c>
      <c r="O1756" s="7">
        <v>45536</v>
      </c>
      <c r="P1756" s="6">
        <v>0.43</v>
      </c>
      <c r="Q1756" s="6">
        <v>5468.55</v>
      </c>
      <c r="R1756" s="15">
        <v>45352</v>
      </c>
      <c r="S1756" s="6">
        <v>324.41000000000003</v>
      </c>
      <c r="T1756" s="6">
        <v>69.209999999999994</v>
      </c>
      <c r="U1756" s="7">
        <v>45352</v>
      </c>
      <c r="V1756" s="6">
        <v>79.010000000000005</v>
      </c>
      <c r="W1756" s="6">
        <f ca="1">IFERROR(__xludf.DUMMYFUNCTION("IFERROR(GOOGLEFINANCE(B1756,""pe""),V1756)"),52.55)</f>
        <v>52.55</v>
      </c>
      <c r="X1756" s="12"/>
      <c r="Y1756" s="6">
        <v>28.44</v>
      </c>
      <c r="Z1756" s="6">
        <v>2</v>
      </c>
      <c r="AA1756" s="8">
        <v>44986</v>
      </c>
      <c r="AB1756" s="4">
        <v>0.01</v>
      </c>
      <c r="AC1756" s="6">
        <v>41.31</v>
      </c>
      <c r="AD1756" s="6">
        <v>53.05</v>
      </c>
      <c r="AE1756" s="1">
        <v>0</v>
      </c>
      <c r="AF1756" s="1">
        <f ca="1">IFERROR(__xludf.DUMMYFUNCTION("IFERROR(GOOGLEFINANCE(TRIM(F1756)&amp;"":"" &amp; TRIM(B1756),""high52""),AE1756)"),849.5)</f>
        <v>849.5</v>
      </c>
      <c r="AG1756" s="1">
        <v>0</v>
      </c>
      <c r="AH1756" s="1">
        <f ca="1">IFERROR(__xludf.DUMMYFUNCTION("IFERROR(GOOGLEFINANCE(TRIM(F1756)&amp;"":"" &amp; TRIM(B1756),""low52""),AE1756)"),510.3)</f>
        <v>510.3</v>
      </c>
      <c r="AI1756" s="1">
        <f ca="1">IFERROR(__xludf.DUMMYFUNCTION("IFERROR(GOOGLEFINANCE(B1756,""eps""),0)"),12.37)</f>
        <v>12.37</v>
      </c>
      <c r="AJ1756" s="1"/>
      <c r="AK1756" s="1" t="s">
        <v>5271</v>
      </c>
      <c r="AL1756" s="9">
        <f t="shared" si="217"/>
        <v>1</v>
      </c>
    </row>
    <row r="1757" spans="1:38" ht="15" x14ac:dyDescent="0.25">
      <c r="A1757" s="1" t="s">
        <v>5272</v>
      </c>
      <c r="B1757" s="1" t="s">
        <v>5273</v>
      </c>
      <c r="C1757" s="1" t="s">
        <v>43</v>
      </c>
      <c r="D1757" s="1" t="s">
        <v>43</v>
      </c>
      <c r="E1757" s="6">
        <v>13.99</v>
      </c>
      <c r="F1757" s="1" t="s">
        <v>53</v>
      </c>
      <c r="G1757" s="6">
        <f ca="1">IFERROR(__xludf.DUMMYFUNCTION("iferror(GOOGLEFINANCE(TRIM(F1757)&amp;"":"" &amp; TRIM(B1757), ""price""),0
)"),0)</f>
        <v>0</v>
      </c>
      <c r="H1757" s="6">
        <v>15.17</v>
      </c>
      <c r="I1757" s="6">
        <f t="shared" ca="1" si="0"/>
        <v>15.17</v>
      </c>
      <c r="J1757" s="6">
        <f ca="1">IFERROR(__xludf.DUMMYFUNCTION("IFERROR(GOOGLEFINANCE(B1757, ""volume""), 0)"),0)</f>
        <v>0</v>
      </c>
      <c r="K1757" s="6">
        <v>1</v>
      </c>
      <c r="L1757" s="6">
        <f ca="1">IFERROR(__xludf.DUMMYFUNCTION("IFERROR(GOOGLEFINANCE(B1757,""changepct""),K1757)"),1)</f>
        <v>1</v>
      </c>
      <c r="M1757" s="6">
        <f ca="1">IFERROR(__xludf.DUMMYFUNCTION("IFERROR(GOOGLEFINANCE(B1757,""change""),0)"),0)</f>
        <v>0</v>
      </c>
      <c r="N1757" s="6">
        <v>1</v>
      </c>
      <c r="O1757" s="7">
        <v>45536</v>
      </c>
      <c r="P1757" s="6">
        <v>-0.1</v>
      </c>
      <c r="Q1757" s="7">
        <v>45536</v>
      </c>
      <c r="R1757" s="6">
        <v>0</v>
      </c>
      <c r="S1757" s="9"/>
      <c r="T1757" s="6">
        <v>0.83</v>
      </c>
      <c r="U1757" s="6">
        <v>1</v>
      </c>
      <c r="V1757" s="7">
        <v>44986</v>
      </c>
      <c r="W1757" s="10">
        <f ca="1">IFERROR(__xludf.DUMMYFUNCTION("IFERROR(GOOGLEFINANCE(B1757,""pe""),V1757)"),44986)</f>
        <v>44986</v>
      </c>
      <c r="X1757" s="6">
        <v>0</v>
      </c>
      <c r="Y1757" s="6">
        <v>-0.1</v>
      </c>
      <c r="Z1757" s="6">
        <v>-0.09</v>
      </c>
      <c r="AA1757" s="3" t="s">
        <v>5274</v>
      </c>
      <c r="AB1757" s="11"/>
      <c r="AC1757" s="9"/>
      <c r="AD1757" s="9"/>
      <c r="AE1757" s="1">
        <v>0</v>
      </c>
      <c r="AF1757" s="1">
        <f ca="1">IFERROR(__xludf.DUMMYFUNCTION("IFERROR(GOOGLEFINANCE(TRIM(F1757)&amp;"":"" &amp; TRIM(B1757),""high52""),AE1757)"),0)</f>
        <v>0</v>
      </c>
      <c r="AG1757" s="1">
        <v>0</v>
      </c>
      <c r="AH1757" s="1">
        <f ca="1">IFERROR(__xludf.DUMMYFUNCTION("IFERROR(GOOGLEFINANCE(TRIM(F1757)&amp;"":"" &amp; TRIM(B1757),""low52""),AE1757)"),0)</f>
        <v>0</v>
      </c>
      <c r="AI1757" s="1">
        <f ca="1">IFERROR(__xludf.DUMMYFUNCTION("IFERROR(GOOGLEFINANCE(B1757,""eps""),0)"),0)</f>
        <v>0</v>
      </c>
      <c r="AJ1757" s="1"/>
      <c r="AK1757" s="1" t="s">
        <v>5275</v>
      </c>
      <c r="AL1757" s="9">
        <f t="shared" si="217"/>
        <v>1</v>
      </c>
    </row>
    <row r="1758" spans="1:38" ht="15" x14ac:dyDescent="0.25">
      <c r="A1758" s="1" t="s">
        <v>5276</v>
      </c>
      <c r="B1758" s="1" t="s">
        <v>5277</v>
      </c>
      <c r="C1758" s="1" t="s">
        <v>43</v>
      </c>
      <c r="D1758" s="1" t="s">
        <v>43</v>
      </c>
      <c r="E1758" s="6">
        <v>8.19</v>
      </c>
      <c r="F1758" s="1" t="s">
        <v>53</v>
      </c>
      <c r="G1758" s="6">
        <f ca="1">IFERROR(__xludf.DUMMYFUNCTION("iferror(GOOGLEFINANCE(TRIM(F1758)&amp;"":"" &amp; TRIM(B1758), ""price""),0
)"),0)</f>
        <v>0</v>
      </c>
      <c r="H1758" s="6">
        <v>1.23</v>
      </c>
      <c r="I1758" s="6">
        <f t="shared" ca="1" si="0"/>
        <v>1.23</v>
      </c>
      <c r="J1758" s="6">
        <f ca="1">IFERROR(__xludf.DUMMYFUNCTION("IFERROR(GOOGLEFINANCE(B1758, ""volume""), 0)"),0)</f>
        <v>0</v>
      </c>
      <c r="K1758" s="6">
        <v>-0.81</v>
      </c>
      <c r="L1758" s="6">
        <f ca="1">IFERROR(__xludf.DUMMYFUNCTION("IFERROR(GOOGLEFINANCE(B1758,""changepct""),K1758)"),-0.81)</f>
        <v>-0.81</v>
      </c>
      <c r="M1758" s="6">
        <f ca="1">IFERROR(__xludf.DUMMYFUNCTION("IFERROR(GOOGLEFINANCE(B1758,""change""),0)"),0)</f>
        <v>0</v>
      </c>
      <c r="N1758" s="6">
        <v>1</v>
      </c>
      <c r="O1758" s="7">
        <v>45536</v>
      </c>
      <c r="P1758" s="6">
        <v>-0.12</v>
      </c>
      <c r="Q1758" s="7">
        <v>45536</v>
      </c>
      <c r="R1758" s="6">
        <v>0</v>
      </c>
      <c r="S1758" s="9"/>
      <c r="T1758" s="6">
        <v>1.55</v>
      </c>
      <c r="U1758" s="6">
        <v>1</v>
      </c>
      <c r="V1758" s="7">
        <v>45352</v>
      </c>
      <c r="W1758" s="10">
        <f ca="1">IFERROR(__xludf.DUMMYFUNCTION("IFERROR(GOOGLEFINANCE(B1758,""pe""),V1758)"),45352)</f>
        <v>45352</v>
      </c>
      <c r="X1758" s="6">
        <v>0</v>
      </c>
      <c r="Y1758" s="6">
        <v>-2.68</v>
      </c>
      <c r="Z1758" s="6">
        <v>-2.65</v>
      </c>
      <c r="AA1758" s="3" t="s">
        <v>5278</v>
      </c>
      <c r="AB1758" s="11"/>
      <c r="AC1758" s="9"/>
      <c r="AD1758" s="9"/>
      <c r="AE1758" s="1">
        <v>0</v>
      </c>
      <c r="AF1758" s="1">
        <f ca="1">IFERROR(__xludf.DUMMYFUNCTION("IFERROR(GOOGLEFINANCE(TRIM(F1758)&amp;"":"" &amp; TRIM(B1758),""high52""),AE1758)"),0)</f>
        <v>0</v>
      </c>
      <c r="AG1758" s="1">
        <v>0</v>
      </c>
      <c r="AH1758" s="1">
        <f ca="1">IFERROR(__xludf.DUMMYFUNCTION("IFERROR(GOOGLEFINANCE(TRIM(F1758)&amp;"":"" &amp; TRIM(B1758),""low52""),AE1758)"),0)</f>
        <v>0</v>
      </c>
      <c r="AI1758" s="1">
        <f ca="1">IFERROR(__xludf.DUMMYFUNCTION("IFERROR(GOOGLEFINANCE(B1758,""eps""),0)"),0)</f>
        <v>0</v>
      </c>
      <c r="AJ1758" s="1"/>
      <c r="AK1758" s="1" t="s">
        <v>5279</v>
      </c>
      <c r="AL1758" s="9">
        <f t="shared" si="217"/>
        <v>1</v>
      </c>
    </row>
    <row r="1759" spans="1:38" ht="15" x14ac:dyDescent="0.25">
      <c r="A1759" s="1" t="s">
        <v>5280</v>
      </c>
      <c r="B1759" s="1" t="s">
        <v>5281</v>
      </c>
      <c r="C1759" s="1" t="s">
        <v>43</v>
      </c>
      <c r="D1759" s="1" t="s">
        <v>43</v>
      </c>
      <c r="E1759" s="6">
        <v>38.700000000000003</v>
      </c>
      <c r="F1759" s="1" t="s">
        <v>53</v>
      </c>
      <c r="G1759" s="6">
        <f ca="1">IFERROR(__xludf.DUMMYFUNCTION("iferror(GOOGLEFINANCE(TRIM(F1759)&amp;"":"" &amp; TRIM(B1759), ""price""),0
)"),0)</f>
        <v>0</v>
      </c>
      <c r="H1759" s="6">
        <v>23.02</v>
      </c>
      <c r="I1759" s="6">
        <f t="shared" ca="1" si="0"/>
        <v>23.02</v>
      </c>
      <c r="J1759" s="6">
        <f ca="1">IFERROR(__xludf.DUMMYFUNCTION("IFERROR(GOOGLEFINANCE(B1759, ""volume""), 0)"),0)</f>
        <v>0</v>
      </c>
      <c r="K1759" s="6">
        <v>-3.64</v>
      </c>
      <c r="L1759" s="6">
        <f ca="1">IFERROR(__xludf.DUMMYFUNCTION("IFERROR(GOOGLEFINANCE(B1759,""changepct""),K1759)"),-3.64)</f>
        <v>-3.64</v>
      </c>
      <c r="M1759" s="6">
        <f ca="1">IFERROR(__xludf.DUMMYFUNCTION("IFERROR(GOOGLEFINANCE(B1759,""change""),0)"),0)</f>
        <v>0</v>
      </c>
      <c r="N1759" s="6">
        <v>1</v>
      </c>
      <c r="O1759" s="7">
        <v>45536</v>
      </c>
      <c r="P1759" s="6">
        <v>-1.92</v>
      </c>
      <c r="Q1759" s="7">
        <v>45536</v>
      </c>
      <c r="R1759" s="6">
        <v>0</v>
      </c>
      <c r="S1759" s="6">
        <v>0</v>
      </c>
      <c r="T1759" s="6">
        <v>3.91</v>
      </c>
      <c r="U1759" s="6">
        <v>2</v>
      </c>
      <c r="V1759" s="7">
        <v>44986</v>
      </c>
      <c r="W1759" s="10">
        <f ca="1">IFERROR(__xludf.DUMMYFUNCTION("IFERROR(GOOGLEFINANCE(B1759,""pe""),V1759)"),44986)</f>
        <v>44986</v>
      </c>
      <c r="X1759" s="6">
        <v>0.01</v>
      </c>
      <c r="Y1759" s="6">
        <v>1.78</v>
      </c>
      <c r="Z1759" s="6">
        <v>1.79</v>
      </c>
      <c r="AA1759" s="3" t="s">
        <v>5282</v>
      </c>
      <c r="AB1759" s="11"/>
      <c r="AC1759" s="9"/>
      <c r="AD1759" s="9"/>
      <c r="AE1759" s="1">
        <v>0</v>
      </c>
      <c r="AF1759" s="1">
        <f ca="1">IFERROR(__xludf.DUMMYFUNCTION("IFERROR(GOOGLEFINANCE(TRIM(F1759)&amp;"":"" &amp; TRIM(B1759),""high52""),AE1759)"),0)</f>
        <v>0</v>
      </c>
      <c r="AG1759" s="1">
        <v>0</v>
      </c>
      <c r="AH1759" s="1">
        <f ca="1">IFERROR(__xludf.DUMMYFUNCTION("IFERROR(GOOGLEFINANCE(TRIM(F1759)&amp;"":"" &amp; TRIM(B1759),""low52""),AE1759)"),0)</f>
        <v>0</v>
      </c>
      <c r="AI1759" s="1">
        <f ca="1">IFERROR(__xludf.DUMMYFUNCTION("IFERROR(GOOGLEFINANCE(B1759,""eps""),0)"),0)</f>
        <v>0</v>
      </c>
      <c r="AJ1759" s="1"/>
      <c r="AK1759" s="1" t="s">
        <v>5283</v>
      </c>
      <c r="AL1759" s="9">
        <f t="shared" si="217"/>
        <v>1</v>
      </c>
    </row>
    <row r="1760" spans="1:38" ht="15" x14ac:dyDescent="0.25">
      <c r="A1760" s="1" t="s">
        <v>5284</v>
      </c>
      <c r="B1760" s="1" t="s">
        <v>5285</v>
      </c>
      <c r="C1760" s="1" t="s">
        <v>43</v>
      </c>
      <c r="D1760" s="1" t="s">
        <v>43</v>
      </c>
      <c r="E1760" s="6">
        <v>8.67</v>
      </c>
      <c r="F1760" s="1" t="s">
        <v>53</v>
      </c>
      <c r="G1760" s="6">
        <f ca="1">IFERROR(__xludf.DUMMYFUNCTION("iferror(GOOGLEFINANCE(TRIM(F1760)&amp;"":"" &amp; TRIM(B1760), ""price""),0
)"),0)</f>
        <v>0</v>
      </c>
      <c r="H1760" s="6">
        <v>5.7</v>
      </c>
      <c r="I1760" s="6">
        <f t="shared" ca="1" si="0"/>
        <v>5.7</v>
      </c>
      <c r="J1760" s="6">
        <f ca="1">IFERROR(__xludf.DUMMYFUNCTION("IFERROR(GOOGLEFINANCE(B1760, ""volume""), 0)"),0)</f>
        <v>0</v>
      </c>
      <c r="K1760" s="6">
        <v>-0.35</v>
      </c>
      <c r="L1760" s="6">
        <f ca="1">IFERROR(__xludf.DUMMYFUNCTION("IFERROR(GOOGLEFINANCE(B1760,""changepct""),K1760)"),-0.35)</f>
        <v>-0.35</v>
      </c>
      <c r="M1760" s="6">
        <f ca="1">IFERROR(__xludf.DUMMYFUNCTION("IFERROR(GOOGLEFINANCE(B1760,""change""),0)"),0)</f>
        <v>0</v>
      </c>
      <c r="N1760" s="6">
        <v>1</v>
      </c>
      <c r="O1760" s="7">
        <v>45536</v>
      </c>
      <c r="P1760" s="6">
        <v>-0.35</v>
      </c>
      <c r="Q1760" s="7">
        <v>45536</v>
      </c>
      <c r="R1760" s="6">
        <v>0</v>
      </c>
      <c r="S1760" s="6">
        <v>0</v>
      </c>
      <c r="T1760" s="6">
        <v>-11.24</v>
      </c>
      <c r="U1760" s="6">
        <v>1</v>
      </c>
      <c r="V1760" s="7">
        <v>45352</v>
      </c>
      <c r="W1760" s="10">
        <f ca="1">IFERROR(__xludf.DUMMYFUNCTION("IFERROR(GOOGLEFINANCE(B1760,""pe""),V1760)"),45352)</f>
        <v>45352</v>
      </c>
      <c r="X1760" s="6">
        <v>-5.82</v>
      </c>
      <c r="Y1760" s="6">
        <v>0</v>
      </c>
      <c r="Z1760" s="6">
        <v>-3.42</v>
      </c>
      <c r="AA1760" s="3" t="s">
        <v>5286</v>
      </c>
      <c r="AB1760" s="11"/>
      <c r="AC1760" s="9"/>
      <c r="AD1760" s="9"/>
      <c r="AE1760" s="1">
        <v>0</v>
      </c>
      <c r="AF1760" s="1">
        <f ca="1">IFERROR(__xludf.DUMMYFUNCTION("IFERROR(GOOGLEFINANCE(TRIM(F1760)&amp;"":"" &amp; TRIM(B1760),""high52""),AE1760)"),0)</f>
        <v>0</v>
      </c>
      <c r="AG1760" s="1">
        <v>0</v>
      </c>
      <c r="AH1760" s="1">
        <f ca="1">IFERROR(__xludf.DUMMYFUNCTION("IFERROR(GOOGLEFINANCE(TRIM(F1760)&amp;"":"" &amp; TRIM(B1760),""low52""),AE1760)"),0)</f>
        <v>0</v>
      </c>
      <c r="AI1760" s="1">
        <f ca="1">IFERROR(__xludf.DUMMYFUNCTION("IFERROR(GOOGLEFINANCE(B1760,""eps""),0)"),0)</f>
        <v>0</v>
      </c>
      <c r="AJ1760" s="1"/>
      <c r="AK1760" s="1" t="s">
        <v>5287</v>
      </c>
      <c r="AL1760" s="9">
        <f t="shared" si="217"/>
        <v>1</v>
      </c>
    </row>
    <row r="1761" spans="1:38" ht="15" x14ac:dyDescent="0.25">
      <c r="A1761" s="1" t="s">
        <v>5288</v>
      </c>
      <c r="B1761" s="1" t="s">
        <v>5289</v>
      </c>
      <c r="C1761" s="1" t="s">
        <v>259</v>
      </c>
      <c r="D1761" s="1" t="s">
        <v>259</v>
      </c>
      <c r="E1761" s="6">
        <v>82.37</v>
      </c>
      <c r="F1761" s="1" t="s">
        <v>40</v>
      </c>
      <c r="G1761" s="6">
        <f ca="1">IFERROR(__xludf.DUMMYFUNCTION("iferror(GOOGLEFINANCE(TRIM(F1761)&amp;"":"" &amp; TRIM(B1761), ""price""),0
)"),17.5)</f>
        <v>17.5</v>
      </c>
      <c r="H1761" s="6">
        <v>17.64</v>
      </c>
      <c r="I1761" s="6">
        <f t="shared" ca="1" si="0"/>
        <v>17.5</v>
      </c>
      <c r="J1761" s="6">
        <f ca="1">IFERROR(__xludf.DUMMYFUNCTION("IFERROR(GOOGLEFINANCE(B1761, ""volume""), 0)"),89885)</f>
        <v>89885</v>
      </c>
      <c r="K1761" s="6">
        <v>-0.34</v>
      </c>
      <c r="L1761" s="6">
        <f ca="1">IFERROR(__xludf.DUMMYFUNCTION("IFERROR(GOOGLEFINANCE(B1761,""changepct""),K1761)"),1.86)</f>
        <v>1.86</v>
      </c>
      <c r="M1761" s="6">
        <f ca="1">IFERROR(__xludf.DUMMYFUNCTION("IFERROR(GOOGLEFINANCE(B1761,""change""),0)"),0.32)</f>
        <v>0.32</v>
      </c>
      <c r="N1761" s="6">
        <v>2</v>
      </c>
      <c r="O1761" s="7">
        <v>45536</v>
      </c>
      <c r="P1761" s="6">
        <v>58.67</v>
      </c>
      <c r="Q1761" s="6">
        <v>130.02000000000001</v>
      </c>
      <c r="R1761" s="7">
        <v>45536</v>
      </c>
      <c r="S1761" s="6">
        <v>427.62</v>
      </c>
      <c r="T1761" s="6">
        <v>8.51</v>
      </c>
      <c r="U1761" s="7">
        <v>45536</v>
      </c>
      <c r="V1761" s="6">
        <v>9.68</v>
      </c>
      <c r="W1761" s="6">
        <f ca="1">IFERROR(__xludf.DUMMYFUNCTION("IFERROR(GOOGLEFINANCE(B1761,""pe""),V1761)"),17.55)</f>
        <v>17.55</v>
      </c>
      <c r="X1761" s="9"/>
      <c r="Y1761" s="6">
        <v>1.31</v>
      </c>
      <c r="Z1761" s="6">
        <v>2</v>
      </c>
      <c r="AA1761" s="8">
        <v>45352</v>
      </c>
      <c r="AB1761" s="4">
        <v>0.9</v>
      </c>
      <c r="AC1761" s="6">
        <v>0.27</v>
      </c>
      <c r="AD1761" s="6">
        <v>5.22</v>
      </c>
      <c r="AE1761" s="1">
        <v>0</v>
      </c>
      <c r="AF1761" s="1">
        <f ca="1">IFERROR(__xludf.DUMMYFUNCTION("IFERROR(GOOGLEFINANCE(TRIM(F1761)&amp;"":"" &amp; TRIM(B1761),""high52""),AE1761)"),21.4)</f>
        <v>21.4</v>
      </c>
      <c r="AG1761" s="1">
        <v>0</v>
      </c>
      <c r="AH1761" s="1">
        <f ca="1">IFERROR(__xludf.DUMMYFUNCTION("IFERROR(GOOGLEFINANCE(TRIM(F1761)&amp;"":"" &amp; TRIM(B1761),""low52""),AE1761)"),10.44)</f>
        <v>10.44</v>
      </c>
      <c r="AI1761" s="1">
        <f ca="1">IFERROR(__xludf.DUMMYFUNCTION("IFERROR(GOOGLEFINANCE(B1761,""eps""),0)"),1)</f>
        <v>1</v>
      </c>
      <c r="AJ1761" s="1"/>
      <c r="AK1761" s="1" t="s">
        <v>5290</v>
      </c>
      <c r="AL1761" s="9">
        <f t="shared" si="217"/>
        <v>1</v>
      </c>
    </row>
    <row r="1762" spans="1:38" ht="15" x14ac:dyDescent="0.25">
      <c r="A1762" s="1" t="s">
        <v>5291</v>
      </c>
      <c r="B1762" s="1" t="s">
        <v>5292</v>
      </c>
      <c r="C1762" s="1" t="s">
        <v>43</v>
      </c>
      <c r="D1762" s="1" t="s">
        <v>43</v>
      </c>
      <c r="E1762" s="6">
        <v>6.12</v>
      </c>
      <c r="F1762" s="1" t="s">
        <v>53</v>
      </c>
      <c r="G1762" s="6">
        <f ca="1">IFERROR(__xludf.DUMMYFUNCTION("iferror(GOOGLEFINANCE(TRIM(F1762)&amp;"":"" &amp; TRIM(B1762), ""price""),0
)"),0)</f>
        <v>0</v>
      </c>
      <c r="H1762" s="6">
        <v>9.17</v>
      </c>
      <c r="I1762" s="6">
        <f t="shared" ca="1" si="0"/>
        <v>9.17</v>
      </c>
      <c r="J1762" s="6">
        <f ca="1">IFERROR(__xludf.DUMMYFUNCTION("IFERROR(GOOGLEFINANCE(B1762, ""volume""), 0)"),0)</f>
        <v>0</v>
      </c>
      <c r="K1762" s="6">
        <v>-3.17</v>
      </c>
      <c r="L1762" s="6">
        <f ca="1">IFERROR(__xludf.DUMMYFUNCTION("IFERROR(GOOGLEFINANCE(B1762,""changepct""),K1762)"),-3.17)</f>
        <v>-3.17</v>
      </c>
      <c r="M1762" s="6">
        <f ca="1">IFERROR(__xludf.DUMMYFUNCTION("IFERROR(GOOGLEFINANCE(B1762,""change""),0)"),0)</f>
        <v>0</v>
      </c>
      <c r="N1762" s="6">
        <v>1</v>
      </c>
      <c r="O1762" s="7">
        <v>45536</v>
      </c>
      <c r="P1762" s="6">
        <v>-1.1000000000000001</v>
      </c>
      <c r="Q1762" s="7">
        <v>45536</v>
      </c>
      <c r="R1762" s="6">
        <v>0</v>
      </c>
      <c r="S1762" s="6">
        <v>0</v>
      </c>
      <c r="T1762" s="6">
        <v>2.0499999999999998</v>
      </c>
      <c r="U1762" s="6">
        <v>1</v>
      </c>
      <c r="V1762" s="7">
        <v>45352</v>
      </c>
      <c r="W1762" s="10">
        <f ca="1">IFERROR(__xludf.DUMMYFUNCTION("IFERROR(GOOGLEFINANCE(B1762,""pe""),V1762)"),45352)</f>
        <v>45352</v>
      </c>
      <c r="X1762" s="6">
        <v>3.93</v>
      </c>
      <c r="Y1762" s="6">
        <v>21.39</v>
      </c>
      <c r="Z1762" s="6">
        <v>10.83</v>
      </c>
      <c r="AA1762" s="3" t="s">
        <v>5293</v>
      </c>
      <c r="AB1762" s="11"/>
      <c r="AC1762" s="9"/>
      <c r="AD1762" s="9"/>
      <c r="AE1762" s="1">
        <v>0</v>
      </c>
      <c r="AF1762" s="1">
        <f ca="1">IFERROR(__xludf.DUMMYFUNCTION("IFERROR(GOOGLEFINANCE(TRIM(F1762)&amp;"":"" &amp; TRIM(B1762),""high52""),AE1762)"),0)</f>
        <v>0</v>
      </c>
      <c r="AG1762" s="1">
        <v>0</v>
      </c>
      <c r="AH1762" s="1">
        <f ca="1">IFERROR(__xludf.DUMMYFUNCTION("IFERROR(GOOGLEFINANCE(TRIM(F1762)&amp;"":"" &amp; TRIM(B1762),""low52""),AE1762)"),0)</f>
        <v>0</v>
      </c>
      <c r="AI1762" s="1">
        <f ca="1">IFERROR(__xludf.DUMMYFUNCTION("IFERROR(GOOGLEFINANCE(B1762,""eps""),0)"),0)</f>
        <v>0</v>
      </c>
      <c r="AJ1762" s="1"/>
      <c r="AK1762" s="1" t="s">
        <v>5294</v>
      </c>
      <c r="AL1762" s="9">
        <f t="shared" si="217"/>
        <v>1</v>
      </c>
    </row>
    <row r="1763" spans="1:38" ht="15" x14ac:dyDescent="0.25">
      <c r="A1763" s="1" t="s">
        <v>5295</v>
      </c>
      <c r="B1763" s="1" t="s">
        <v>5296</v>
      </c>
      <c r="C1763" s="1" t="s">
        <v>186</v>
      </c>
      <c r="D1763" s="1" t="s">
        <v>186</v>
      </c>
      <c r="E1763" s="6">
        <v>48.48</v>
      </c>
      <c r="F1763" s="1" t="s">
        <v>40</v>
      </c>
      <c r="G1763" s="6">
        <f ca="1">IFERROR(__xludf.DUMMYFUNCTION("iferror(GOOGLEFINANCE(TRIM(F1763)&amp;"":"" &amp; TRIM(B1763), ""price""),0
)"),0)</f>
        <v>0</v>
      </c>
      <c r="H1763" s="6">
        <v>110</v>
      </c>
      <c r="I1763" s="6">
        <f t="shared" ca="1" si="0"/>
        <v>110</v>
      </c>
      <c r="J1763" s="6">
        <f ca="1">IFERROR(__xludf.DUMMYFUNCTION("IFERROR(GOOGLEFINANCE(B1763, ""volume""), 0)"),0)</f>
        <v>0</v>
      </c>
      <c r="K1763" s="9"/>
      <c r="L1763" s="6" t="str">
        <f ca="1">IFERROR(__xludf.DUMMYFUNCTION("IFERROR(GOOGLEFINANCE(B1763,""changepct""),K1763)"),"")</f>
        <v/>
      </c>
      <c r="M1763" s="6">
        <f ca="1">IFERROR(__xludf.DUMMYFUNCTION("IFERROR(GOOGLEFINANCE(B1763,""change""),0)"),0)</f>
        <v>0</v>
      </c>
      <c r="N1763" s="6">
        <v>1</v>
      </c>
      <c r="O1763" s="7">
        <v>45536</v>
      </c>
      <c r="P1763" s="6">
        <v>13.71</v>
      </c>
      <c r="Q1763" s="6">
        <v>62.19</v>
      </c>
      <c r="R1763" s="7">
        <v>45352</v>
      </c>
      <c r="S1763" s="6">
        <v>32.75</v>
      </c>
      <c r="T1763" s="6">
        <v>0.55000000000000004</v>
      </c>
      <c r="U1763" s="7">
        <v>45352</v>
      </c>
      <c r="V1763" s="6">
        <v>88.79</v>
      </c>
      <c r="W1763" s="6">
        <f ca="1">IFERROR(__xludf.DUMMYFUNCTION("IFERROR(GOOGLEFINANCE(B1763,""pe""),V1763)"),88.79)</f>
        <v>88.79</v>
      </c>
      <c r="X1763" s="6">
        <v>-4.99</v>
      </c>
      <c r="Y1763" s="6">
        <v>2.16</v>
      </c>
      <c r="Z1763" s="6">
        <v>1</v>
      </c>
      <c r="AA1763" s="8">
        <v>45352</v>
      </c>
      <c r="AB1763" s="4">
        <v>0.56000000000000005</v>
      </c>
      <c r="AC1763" s="6">
        <v>2.46</v>
      </c>
      <c r="AD1763" s="6">
        <v>5.1100000000000003</v>
      </c>
      <c r="AE1763" s="1">
        <v>0</v>
      </c>
      <c r="AF1763" s="1">
        <f ca="1">IFERROR(__xludf.DUMMYFUNCTION("IFERROR(GOOGLEFINANCE(TRIM(F1763)&amp;"":"" &amp; TRIM(B1763),""high52""),AE1763)"),0)</f>
        <v>0</v>
      </c>
      <c r="AG1763" s="1">
        <v>0</v>
      </c>
      <c r="AH1763" s="1">
        <f ca="1">IFERROR(__xludf.DUMMYFUNCTION("IFERROR(GOOGLEFINANCE(TRIM(F1763)&amp;"":"" &amp; TRIM(B1763),""low52""),AE1763)"),0)</f>
        <v>0</v>
      </c>
      <c r="AI1763" s="1">
        <f ca="1">IFERROR(__xludf.DUMMYFUNCTION("IFERROR(GOOGLEFINANCE(B1763,""eps""),0)"),0)</f>
        <v>0</v>
      </c>
      <c r="AJ1763" s="1"/>
      <c r="AK1763" s="1" t="s">
        <v>5297</v>
      </c>
      <c r="AL1763" s="9">
        <f t="shared" si="217"/>
        <v>1</v>
      </c>
    </row>
    <row r="1764" spans="1:38" ht="15" x14ac:dyDescent="0.25">
      <c r="A1764" s="1" t="s">
        <v>5298</v>
      </c>
      <c r="B1764" s="1" t="s">
        <v>5299</v>
      </c>
      <c r="C1764" s="1" t="s">
        <v>43</v>
      </c>
      <c r="D1764" s="1" t="s">
        <v>43</v>
      </c>
      <c r="E1764" s="6">
        <v>43.57</v>
      </c>
      <c r="F1764" s="1" t="s">
        <v>53</v>
      </c>
      <c r="G1764" s="6">
        <f ca="1">IFERROR(__xludf.DUMMYFUNCTION("iferror(GOOGLEFINANCE(TRIM(F1764)&amp;"":"" &amp; TRIM(B1764), ""price""),0
)"),0)</f>
        <v>0</v>
      </c>
      <c r="H1764" s="6">
        <v>38.409999999999997</v>
      </c>
      <c r="I1764" s="6">
        <f t="shared" ca="1" si="0"/>
        <v>38.409999999999997</v>
      </c>
      <c r="J1764" s="6">
        <f ca="1">IFERROR(__xludf.DUMMYFUNCTION("IFERROR(GOOGLEFINANCE(B1764, ""volume""), 0)"),0)</f>
        <v>0</v>
      </c>
      <c r="K1764" s="6">
        <v>0</v>
      </c>
      <c r="L1764" s="6">
        <f ca="1">IFERROR(__xludf.DUMMYFUNCTION("IFERROR(GOOGLEFINANCE(B1764,""changepct""),K1764)"),0)</f>
        <v>0</v>
      </c>
      <c r="M1764" s="6">
        <f ca="1">IFERROR(__xludf.DUMMYFUNCTION("IFERROR(GOOGLEFINANCE(B1764,""change""),0)"),0)</f>
        <v>0</v>
      </c>
      <c r="N1764" s="6">
        <v>1</v>
      </c>
      <c r="O1764" s="7">
        <v>45536</v>
      </c>
      <c r="P1764" s="6">
        <v>-0.17</v>
      </c>
      <c r="Q1764" s="7">
        <v>45536</v>
      </c>
      <c r="R1764" s="6">
        <v>0</v>
      </c>
      <c r="S1764" s="9"/>
      <c r="T1764" s="6">
        <v>-8.06</v>
      </c>
      <c r="U1764" s="6">
        <v>1</v>
      </c>
      <c r="V1764" s="7">
        <v>45352</v>
      </c>
      <c r="W1764" s="10">
        <f ca="1">IFERROR(__xludf.DUMMYFUNCTION("IFERROR(GOOGLEFINANCE(B1764,""pe""),V1764)"),45352)</f>
        <v>45352</v>
      </c>
      <c r="X1764" s="6">
        <v>-1</v>
      </c>
      <c r="Y1764" s="6">
        <v>0</v>
      </c>
      <c r="Z1764" s="6">
        <v>-371.02</v>
      </c>
      <c r="AA1764" s="3" t="s">
        <v>5300</v>
      </c>
      <c r="AB1764" s="11"/>
      <c r="AC1764" s="9"/>
      <c r="AD1764" s="9"/>
      <c r="AE1764" s="1">
        <v>0</v>
      </c>
      <c r="AF1764" s="1">
        <f ca="1">IFERROR(__xludf.DUMMYFUNCTION("IFERROR(GOOGLEFINANCE(TRIM(F1764)&amp;"":"" &amp; TRIM(B1764),""high52""),AE1764)"),0)</f>
        <v>0</v>
      </c>
      <c r="AG1764" s="1">
        <v>0</v>
      </c>
      <c r="AH1764" s="1">
        <f ca="1">IFERROR(__xludf.DUMMYFUNCTION("IFERROR(GOOGLEFINANCE(TRIM(F1764)&amp;"":"" &amp; TRIM(B1764),""low52""),AE1764)"),0)</f>
        <v>0</v>
      </c>
      <c r="AI1764" s="1">
        <f ca="1">IFERROR(__xludf.DUMMYFUNCTION("IFERROR(GOOGLEFINANCE(B1764,""eps""),0)"),0)</f>
        <v>0</v>
      </c>
      <c r="AJ1764" s="1"/>
      <c r="AK1764" s="1" t="s">
        <v>5301</v>
      </c>
      <c r="AL1764" s="9">
        <f t="shared" si="217"/>
        <v>1</v>
      </c>
    </row>
    <row r="1765" spans="1:38" ht="15" x14ac:dyDescent="0.25">
      <c r="A1765" s="1" t="s">
        <v>5302</v>
      </c>
      <c r="B1765" s="1" t="s">
        <v>5303</v>
      </c>
      <c r="C1765" s="1" t="s">
        <v>43</v>
      </c>
      <c r="D1765" s="1" t="s">
        <v>43</v>
      </c>
      <c r="E1765" s="6">
        <v>15.56</v>
      </c>
      <c r="F1765" s="1" t="s">
        <v>53</v>
      </c>
      <c r="G1765" s="6">
        <f ca="1">IFERROR(__xludf.DUMMYFUNCTION("iferror(GOOGLEFINANCE(TRIM(F1765)&amp;"":"" &amp; TRIM(B1765), ""price""),0
)"),0)</f>
        <v>0</v>
      </c>
      <c r="H1765" s="6">
        <v>46.69</v>
      </c>
      <c r="I1765" s="6">
        <f t="shared" ca="1" si="0"/>
        <v>46.69</v>
      </c>
      <c r="J1765" s="6">
        <f ca="1">IFERROR(__xludf.DUMMYFUNCTION("IFERROR(GOOGLEFINANCE(B1765, ""volume""), 0)"),0)</f>
        <v>0</v>
      </c>
      <c r="K1765" s="6">
        <v>4.99</v>
      </c>
      <c r="L1765" s="6">
        <f ca="1">IFERROR(__xludf.DUMMYFUNCTION("IFERROR(GOOGLEFINANCE(B1765,""changepct""),K1765)"),4.99)</f>
        <v>4.99</v>
      </c>
      <c r="M1765" s="6">
        <f ca="1">IFERROR(__xludf.DUMMYFUNCTION("IFERROR(GOOGLEFINANCE(B1765,""change""),0)"),0)</f>
        <v>0</v>
      </c>
      <c r="N1765" s="6">
        <v>1</v>
      </c>
      <c r="O1765" s="7">
        <v>45536</v>
      </c>
      <c r="P1765" s="6">
        <v>-0.06</v>
      </c>
      <c r="Q1765" s="7">
        <v>45536</v>
      </c>
      <c r="R1765" s="6">
        <v>0</v>
      </c>
      <c r="S1765" s="6">
        <v>0</v>
      </c>
      <c r="T1765" s="6">
        <v>1.24</v>
      </c>
      <c r="U1765" s="6">
        <v>1</v>
      </c>
      <c r="V1765" s="7">
        <v>45352</v>
      </c>
      <c r="W1765" s="10">
        <f ca="1">IFERROR(__xludf.DUMMYFUNCTION("IFERROR(GOOGLEFINANCE(B1765,""pe""),V1765)"),45352)</f>
        <v>45352</v>
      </c>
      <c r="X1765" s="6">
        <v>7.0000000000000007E-2</v>
      </c>
      <c r="Y1765" s="6">
        <v>-0.22</v>
      </c>
      <c r="Z1765" s="6">
        <v>0.14000000000000001</v>
      </c>
      <c r="AA1765" s="3" t="s">
        <v>5304</v>
      </c>
      <c r="AB1765" s="11"/>
      <c r="AC1765" s="9"/>
      <c r="AD1765" s="9"/>
      <c r="AE1765" s="1">
        <v>0</v>
      </c>
      <c r="AF1765" s="1">
        <f ca="1">IFERROR(__xludf.DUMMYFUNCTION("IFERROR(GOOGLEFINANCE(TRIM(F1765)&amp;"":"" &amp; TRIM(B1765),""high52""),AE1765)"),0)</f>
        <v>0</v>
      </c>
      <c r="AG1765" s="1">
        <v>0</v>
      </c>
      <c r="AH1765" s="1">
        <f ca="1">IFERROR(__xludf.DUMMYFUNCTION("IFERROR(GOOGLEFINANCE(TRIM(F1765)&amp;"":"" &amp; TRIM(B1765),""low52""),AE1765)"),0)</f>
        <v>0</v>
      </c>
      <c r="AI1765" s="1">
        <f ca="1">IFERROR(__xludf.DUMMYFUNCTION("IFERROR(GOOGLEFINANCE(B1765,""eps""),0)"),0)</f>
        <v>0</v>
      </c>
      <c r="AJ1765" s="1"/>
      <c r="AK1765" s="1" t="s">
        <v>5305</v>
      </c>
      <c r="AL1765" s="9">
        <f t="shared" si="217"/>
        <v>1</v>
      </c>
    </row>
    <row r="1766" spans="1:38" ht="15" x14ac:dyDescent="0.25">
      <c r="A1766" s="1" t="s">
        <v>5306</v>
      </c>
      <c r="B1766" s="1" t="s">
        <v>5307</v>
      </c>
      <c r="C1766" s="1" t="s">
        <v>43</v>
      </c>
      <c r="D1766" s="1" t="s">
        <v>43</v>
      </c>
      <c r="E1766" s="6">
        <v>27.19</v>
      </c>
      <c r="F1766" s="1" t="s">
        <v>53</v>
      </c>
      <c r="G1766" s="6">
        <f ca="1">IFERROR(__xludf.DUMMYFUNCTION("iferror(GOOGLEFINANCE(TRIM(F1766)&amp;"":"" &amp; TRIM(B1766), ""price""),0
)"),0)</f>
        <v>0</v>
      </c>
      <c r="H1766" s="6">
        <v>52</v>
      </c>
      <c r="I1766" s="6">
        <f t="shared" ca="1" si="0"/>
        <v>52</v>
      </c>
      <c r="J1766" s="6">
        <f ca="1">IFERROR(__xludf.DUMMYFUNCTION("IFERROR(GOOGLEFINANCE(B1766, ""volume""), 0)"),0)</f>
        <v>0</v>
      </c>
      <c r="K1766" s="9"/>
      <c r="L1766" s="6" t="str">
        <f ca="1">IFERROR(__xludf.DUMMYFUNCTION("IFERROR(GOOGLEFINANCE(B1766,""changepct""),K1766)"),"")</f>
        <v/>
      </c>
      <c r="M1766" s="6">
        <f ca="1">IFERROR(__xludf.DUMMYFUNCTION("IFERROR(GOOGLEFINANCE(B1766,""change""),0)"),0)</f>
        <v>0</v>
      </c>
      <c r="N1766" s="6">
        <v>1</v>
      </c>
      <c r="O1766" s="7">
        <v>45536</v>
      </c>
      <c r="P1766" s="6">
        <v>-0.16</v>
      </c>
      <c r="Q1766" s="7">
        <v>45536</v>
      </c>
      <c r="R1766" s="6">
        <v>0</v>
      </c>
      <c r="S1766" s="6">
        <v>0</v>
      </c>
      <c r="T1766" s="6">
        <v>1.25</v>
      </c>
      <c r="U1766" s="6">
        <v>1</v>
      </c>
      <c r="V1766" s="7">
        <v>45352</v>
      </c>
      <c r="W1766" s="10">
        <f ca="1">IFERROR(__xludf.DUMMYFUNCTION("IFERROR(GOOGLEFINANCE(B1766,""pe""),V1766)"),45352)</f>
        <v>45352</v>
      </c>
      <c r="X1766" s="6">
        <v>0</v>
      </c>
      <c r="Y1766" s="6">
        <v>3.41</v>
      </c>
      <c r="Z1766" s="6">
        <v>3.24</v>
      </c>
      <c r="AA1766" s="3" t="s">
        <v>5308</v>
      </c>
      <c r="AB1766" s="11"/>
      <c r="AC1766" s="9"/>
      <c r="AD1766" s="9"/>
      <c r="AE1766" s="1">
        <v>0</v>
      </c>
      <c r="AF1766" s="1">
        <f ca="1">IFERROR(__xludf.DUMMYFUNCTION("IFERROR(GOOGLEFINANCE(TRIM(F1766)&amp;"":"" &amp; TRIM(B1766),""high52""),AE1766)"),0)</f>
        <v>0</v>
      </c>
      <c r="AG1766" s="1">
        <v>0</v>
      </c>
      <c r="AH1766" s="1">
        <f ca="1">IFERROR(__xludf.DUMMYFUNCTION("IFERROR(GOOGLEFINANCE(TRIM(F1766)&amp;"":"" &amp; TRIM(B1766),""low52""),AE1766)"),0)</f>
        <v>0</v>
      </c>
      <c r="AI1766" s="1">
        <f ca="1">IFERROR(__xludf.DUMMYFUNCTION("IFERROR(GOOGLEFINANCE(B1766,""eps""),0)"),0)</f>
        <v>0</v>
      </c>
      <c r="AJ1766" s="1"/>
      <c r="AK1766" s="1" t="s">
        <v>5309</v>
      </c>
      <c r="AL1766" s="9">
        <f t="shared" si="217"/>
        <v>1</v>
      </c>
    </row>
    <row r="1767" spans="1:38" ht="15" x14ac:dyDescent="0.25">
      <c r="A1767" s="1" t="s">
        <v>5310</v>
      </c>
      <c r="B1767" s="1" t="s">
        <v>5311</v>
      </c>
      <c r="C1767" s="1" t="s">
        <v>43</v>
      </c>
      <c r="D1767" s="1" t="s">
        <v>43</v>
      </c>
      <c r="E1767" s="6">
        <v>35.22</v>
      </c>
      <c r="F1767" s="1" t="s">
        <v>53</v>
      </c>
      <c r="G1767" s="6">
        <f ca="1">IFERROR(__xludf.DUMMYFUNCTION("iferror(GOOGLEFINANCE(TRIM(F1767)&amp;"":"" &amp; TRIM(B1767), ""price""),0
)"),0)</f>
        <v>0</v>
      </c>
      <c r="H1767" s="6">
        <v>4.32</v>
      </c>
      <c r="I1767" s="6">
        <f t="shared" ca="1" si="0"/>
        <v>4.32</v>
      </c>
      <c r="J1767" s="6">
        <f ca="1">IFERROR(__xludf.DUMMYFUNCTION("IFERROR(GOOGLEFINANCE(B1767, ""volume""), 0)"),0)</f>
        <v>0</v>
      </c>
      <c r="K1767" s="6">
        <v>4.8499999999999996</v>
      </c>
      <c r="L1767" s="6">
        <f ca="1">IFERROR(__xludf.DUMMYFUNCTION("IFERROR(GOOGLEFINANCE(B1767,""changepct""),K1767)"),4.85)</f>
        <v>4.8499999999999996</v>
      </c>
      <c r="M1767" s="6">
        <f ca="1">IFERROR(__xludf.DUMMYFUNCTION("IFERROR(GOOGLEFINANCE(B1767,""change""),0)"),0)</f>
        <v>0</v>
      </c>
      <c r="N1767" s="6">
        <v>1</v>
      </c>
      <c r="O1767" s="7">
        <v>45536</v>
      </c>
      <c r="P1767" s="6">
        <v>-1.01</v>
      </c>
      <c r="Q1767" s="7">
        <v>45536</v>
      </c>
      <c r="R1767" s="6">
        <v>0</v>
      </c>
      <c r="S1767" s="9"/>
      <c r="T1767" s="6">
        <v>1.82</v>
      </c>
      <c r="U1767" s="6">
        <v>1</v>
      </c>
      <c r="V1767" s="7">
        <v>45352</v>
      </c>
      <c r="W1767" s="10">
        <f ca="1">IFERROR(__xludf.DUMMYFUNCTION("IFERROR(GOOGLEFINANCE(B1767,""pe""),V1767)"),45352)</f>
        <v>45352</v>
      </c>
      <c r="X1767" s="6">
        <v>0.16</v>
      </c>
      <c r="Y1767" s="6">
        <v>-6.23</v>
      </c>
      <c r="Z1767" s="6">
        <v>-3.76</v>
      </c>
      <c r="AA1767" s="3" t="s">
        <v>5312</v>
      </c>
      <c r="AB1767" s="11"/>
      <c r="AC1767" s="9"/>
      <c r="AD1767" s="9"/>
      <c r="AE1767" s="1">
        <v>0</v>
      </c>
      <c r="AF1767" s="1">
        <f ca="1">IFERROR(__xludf.DUMMYFUNCTION("IFERROR(GOOGLEFINANCE(TRIM(F1767)&amp;"":"" &amp; TRIM(B1767),""high52""),AE1767)"),0)</f>
        <v>0</v>
      </c>
      <c r="AG1767" s="1">
        <v>0</v>
      </c>
      <c r="AH1767" s="1">
        <f ca="1">IFERROR(__xludf.DUMMYFUNCTION("IFERROR(GOOGLEFINANCE(TRIM(F1767)&amp;"":"" &amp; TRIM(B1767),""low52""),AE1767)"),0)</f>
        <v>0</v>
      </c>
      <c r="AI1767" s="1">
        <f ca="1">IFERROR(__xludf.DUMMYFUNCTION("IFERROR(GOOGLEFINANCE(B1767,""eps""),0)"),0)</f>
        <v>0</v>
      </c>
      <c r="AJ1767" s="1"/>
      <c r="AK1767" s="1" t="s">
        <v>5313</v>
      </c>
      <c r="AL1767" s="9">
        <f t="shared" si="217"/>
        <v>1</v>
      </c>
    </row>
    <row r="1768" spans="1:38" ht="15" x14ac:dyDescent="0.25">
      <c r="A1768" s="1" t="s">
        <v>5314</v>
      </c>
      <c r="B1768" s="1" t="s">
        <v>5315</v>
      </c>
      <c r="C1768" s="1" t="s">
        <v>43</v>
      </c>
      <c r="D1768" s="1" t="s">
        <v>43</v>
      </c>
      <c r="E1768" s="6">
        <v>328.69</v>
      </c>
      <c r="F1768" s="1" t="s">
        <v>53</v>
      </c>
      <c r="G1768" s="6">
        <f ca="1">IFERROR(__xludf.DUMMYFUNCTION("iferror(GOOGLEFINANCE(TRIM(F1768)&amp;"":"" &amp; TRIM(B1768), ""price""),0
)"),0)</f>
        <v>0</v>
      </c>
      <c r="H1768" s="6">
        <v>172</v>
      </c>
      <c r="I1768" s="6">
        <f t="shared" ca="1" si="0"/>
        <v>172</v>
      </c>
      <c r="J1768" s="6">
        <f ca="1">IFERROR(__xludf.DUMMYFUNCTION("IFERROR(GOOGLEFINANCE(B1768, ""volume""), 0)"),0)</f>
        <v>0</v>
      </c>
      <c r="K1768" s="6">
        <v>2.75</v>
      </c>
      <c r="L1768" s="6">
        <f ca="1">IFERROR(__xludf.DUMMYFUNCTION("IFERROR(GOOGLEFINANCE(B1768,""changepct""),K1768)"),2.75)</f>
        <v>2.75</v>
      </c>
      <c r="M1768" s="6">
        <f ca="1">IFERROR(__xludf.DUMMYFUNCTION("IFERROR(GOOGLEFINANCE(B1768,""change""),0)"),0)</f>
        <v>0</v>
      </c>
      <c r="N1768" s="6">
        <v>2</v>
      </c>
      <c r="O1768" s="7">
        <v>45536</v>
      </c>
      <c r="P1768" s="6">
        <v>-3.56</v>
      </c>
      <c r="Q1768" s="7">
        <v>45536</v>
      </c>
      <c r="R1768" s="6">
        <v>0</v>
      </c>
      <c r="S1768" s="6">
        <v>0</v>
      </c>
      <c r="T1768" s="6">
        <v>11.46</v>
      </c>
      <c r="U1768" s="6">
        <v>2</v>
      </c>
      <c r="V1768" s="7">
        <v>45352</v>
      </c>
      <c r="W1768" s="10">
        <f ca="1">IFERROR(__xludf.DUMMYFUNCTION("IFERROR(GOOGLEFINANCE(B1768,""pe""),V1768)"),45352)</f>
        <v>45352</v>
      </c>
      <c r="X1768" s="6">
        <v>0.18</v>
      </c>
      <c r="Y1768" s="6">
        <v>-20.16</v>
      </c>
      <c r="Z1768" s="6">
        <v>-13.85</v>
      </c>
      <c r="AA1768" s="3" t="s">
        <v>5316</v>
      </c>
      <c r="AB1768" s="11"/>
      <c r="AC1768" s="9"/>
      <c r="AD1768" s="9"/>
      <c r="AE1768" s="1">
        <v>0</v>
      </c>
      <c r="AF1768" s="1">
        <f ca="1">IFERROR(__xludf.DUMMYFUNCTION("IFERROR(GOOGLEFINANCE(TRIM(F1768)&amp;"":"" &amp; TRIM(B1768),""high52""),AE1768)"),0)</f>
        <v>0</v>
      </c>
      <c r="AG1768" s="1">
        <v>0</v>
      </c>
      <c r="AH1768" s="1">
        <f ca="1">IFERROR(__xludf.DUMMYFUNCTION("IFERROR(GOOGLEFINANCE(TRIM(F1768)&amp;"":"" &amp; TRIM(B1768),""low52""),AE1768)"),0)</f>
        <v>0</v>
      </c>
      <c r="AI1768" s="1">
        <f ca="1">IFERROR(__xludf.DUMMYFUNCTION("IFERROR(GOOGLEFINANCE(B1768,""eps""),0)"),0)</f>
        <v>0</v>
      </c>
      <c r="AJ1768" s="1"/>
      <c r="AK1768" s="1" t="s">
        <v>5317</v>
      </c>
      <c r="AL1768" s="9">
        <f t="shared" si="217"/>
        <v>1</v>
      </c>
    </row>
    <row r="1769" spans="1:38" ht="15" x14ac:dyDescent="0.25">
      <c r="A1769" s="1" t="s">
        <v>5318</v>
      </c>
      <c r="B1769" s="1" t="s">
        <v>5319</v>
      </c>
      <c r="C1769" s="1" t="s">
        <v>324</v>
      </c>
      <c r="D1769" s="1" t="s">
        <v>324</v>
      </c>
      <c r="E1769" s="6">
        <v>277.86</v>
      </c>
      <c r="F1769" s="1" t="s">
        <v>40</v>
      </c>
      <c r="G1769" s="6">
        <f ca="1">IFERROR(__xludf.DUMMYFUNCTION("iferror(GOOGLEFINANCE(TRIM(F1769)&amp;"":"" &amp; TRIM(B1769), ""price""),0
)"),0)</f>
        <v>0</v>
      </c>
      <c r="H1769" s="6">
        <v>59.4</v>
      </c>
      <c r="I1769" s="6">
        <f t="shared" ca="1" si="0"/>
        <v>59.4</v>
      </c>
      <c r="J1769" s="6">
        <f ca="1">IFERROR(__xludf.DUMMYFUNCTION("IFERROR(GOOGLEFINANCE(B1769, ""volume""), 0)"),0)</f>
        <v>0</v>
      </c>
      <c r="K1769" s="6">
        <v>1.54</v>
      </c>
      <c r="L1769" s="6">
        <f ca="1">IFERROR(__xludf.DUMMYFUNCTION("IFERROR(GOOGLEFINANCE(B1769,""changepct""),K1769)"),1.54)</f>
        <v>1.54</v>
      </c>
      <c r="M1769" s="6">
        <f ca="1">IFERROR(__xludf.DUMMYFUNCTION("IFERROR(GOOGLEFINANCE(B1769,""change""),0)"),0)</f>
        <v>0</v>
      </c>
      <c r="N1769" s="6">
        <v>1</v>
      </c>
      <c r="O1769" s="7">
        <v>45536</v>
      </c>
      <c r="P1769" s="6">
        <v>77.64</v>
      </c>
      <c r="Q1769" s="6">
        <v>355.49</v>
      </c>
      <c r="R1769" s="14"/>
      <c r="S1769" s="9"/>
      <c r="T1769" s="9"/>
      <c r="U1769" s="7">
        <v>45352</v>
      </c>
      <c r="V1769" s="6">
        <v>18.41</v>
      </c>
      <c r="W1769" s="6">
        <f ca="1">IFERROR(__xludf.DUMMYFUNCTION("IFERROR(GOOGLEFINANCE(B1769,""pe""),V1769)"),18.41)</f>
        <v>18.41</v>
      </c>
      <c r="X1769" s="9"/>
      <c r="Y1769" s="6">
        <v>1.72</v>
      </c>
      <c r="Z1769" s="6">
        <v>1</v>
      </c>
      <c r="AA1769" s="8">
        <v>45352</v>
      </c>
      <c r="AB1769" s="4">
        <v>1.2</v>
      </c>
      <c r="AC1769" s="6">
        <v>20.76</v>
      </c>
      <c r="AD1769" s="6">
        <v>17.34</v>
      </c>
      <c r="AE1769" s="1">
        <v>0</v>
      </c>
      <c r="AF1769" s="1">
        <f ca="1">IFERROR(__xludf.DUMMYFUNCTION("IFERROR(GOOGLEFINANCE(TRIM(F1769)&amp;"":"" &amp; TRIM(B1769),""high52""),AE1769)"),0)</f>
        <v>0</v>
      </c>
      <c r="AG1769" s="1">
        <v>0</v>
      </c>
      <c r="AH1769" s="1">
        <f ca="1">IFERROR(__xludf.DUMMYFUNCTION("IFERROR(GOOGLEFINANCE(TRIM(F1769)&amp;"":"" &amp; TRIM(B1769),""low52""),AE1769)"),0)</f>
        <v>0</v>
      </c>
      <c r="AI1769" s="1">
        <f ca="1">IFERROR(__xludf.DUMMYFUNCTION("IFERROR(GOOGLEFINANCE(B1769,""eps""),0)"),0)</f>
        <v>0</v>
      </c>
      <c r="AJ1769" s="1"/>
      <c r="AK1769" s="1" t="s">
        <v>5320</v>
      </c>
      <c r="AL1769" s="9">
        <f t="shared" si="217"/>
        <v>1</v>
      </c>
    </row>
    <row r="1770" spans="1:38" ht="15" x14ac:dyDescent="0.25">
      <c r="A1770" s="1" t="s">
        <v>5321</v>
      </c>
      <c r="B1770" s="1" t="s">
        <v>5322</v>
      </c>
      <c r="C1770" s="1" t="s">
        <v>43</v>
      </c>
      <c r="D1770" s="1" t="s">
        <v>43</v>
      </c>
      <c r="E1770" s="6">
        <v>352.26</v>
      </c>
      <c r="F1770" s="1" t="s">
        <v>53</v>
      </c>
      <c r="G1770" s="6">
        <f ca="1">IFERROR(__xludf.DUMMYFUNCTION("iferror(GOOGLEFINANCE(TRIM(F1770)&amp;"":"" &amp; TRIM(B1770), ""price""),0
)"),0)</f>
        <v>0</v>
      </c>
      <c r="H1770" s="6">
        <v>25.95</v>
      </c>
      <c r="I1770" s="6">
        <f t="shared" ca="1" si="0"/>
        <v>25.95</v>
      </c>
      <c r="J1770" s="6">
        <f ca="1">IFERROR(__xludf.DUMMYFUNCTION("IFERROR(GOOGLEFINANCE(B1770, ""volume""), 0)"),0)</f>
        <v>0</v>
      </c>
      <c r="K1770" s="6">
        <v>1.92</v>
      </c>
      <c r="L1770" s="6">
        <f ca="1">IFERROR(__xludf.DUMMYFUNCTION("IFERROR(GOOGLEFINANCE(B1770,""changepct""),K1770)"),1.92)</f>
        <v>1.92</v>
      </c>
      <c r="M1770" s="6">
        <f ca="1">IFERROR(__xludf.DUMMYFUNCTION("IFERROR(GOOGLEFINANCE(B1770,""change""),0)"),0)</f>
        <v>0</v>
      </c>
      <c r="N1770" s="6">
        <v>2</v>
      </c>
      <c r="O1770" s="7">
        <v>45536</v>
      </c>
      <c r="P1770" s="6">
        <v>0.42</v>
      </c>
      <c r="Q1770" s="7">
        <v>45536</v>
      </c>
      <c r="R1770" s="6">
        <v>0</v>
      </c>
      <c r="S1770" s="9"/>
      <c r="T1770" s="6">
        <v>6.21</v>
      </c>
      <c r="U1770" s="6">
        <v>2</v>
      </c>
      <c r="V1770" s="7">
        <v>45352</v>
      </c>
      <c r="W1770" s="10">
        <f ca="1">IFERROR(__xludf.DUMMYFUNCTION("IFERROR(GOOGLEFINANCE(B1770,""pe""),V1770)"),45352)</f>
        <v>45352</v>
      </c>
      <c r="X1770" s="6">
        <v>0.25</v>
      </c>
      <c r="Y1770" s="6">
        <v>14.62</v>
      </c>
      <c r="Z1770" s="6">
        <v>27.05</v>
      </c>
      <c r="AA1770" s="3" t="s">
        <v>5323</v>
      </c>
      <c r="AB1770" s="11"/>
      <c r="AC1770" s="9"/>
      <c r="AD1770" s="9"/>
      <c r="AE1770" s="1">
        <v>0</v>
      </c>
      <c r="AF1770" s="1">
        <f ca="1">IFERROR(__xludf.DUMMYFUNCTION("IFERROR(GOOGLEFINANCE(TRIM(F1770)&amp;"":"" &amp; TRIM(B1770),""high52""),AE1770)"),0)</f>
        <v>0</v>
      </c>
      <c r="AG1770" s="1">
        <v>0</v>
      </c>
      <c r="AH1770" s="1">
        <f ca="1">IFERROR(__xludf.DUMMYFUNCTION("IFERROR(GOOGLEFINANCE(TRIM(F1770)&amp;"":"" &amp; TRIM(B1770),""low52""),AE1770)"),0)</f>
        <v>0</v>
      </c>
      <c r="AI1770" s="1">
        <f ca="1">IFERROR(__xludf.DUMMYFUNCTION("IFERROR(GOOGLEFINANCE(B1770,""eps""),0)"),0)</f>
        <v>0</v>
      </c>
      <c r="AJ1770" s="1"/>
      <c r="AK1770" s="1" t="s">
        <v>5324</v>
      </c>
      <c r="AL1770" s="9">
        <f t="shared" si="217"/>
        <v>1</v>
      </c>
    </row>
    <row r="1771" spans="1:38" ht="15" x14ac:dyDescent="0.25">
      <c r="A1771" s="1" t="s">
        <v>5325</v>
      </c>
      <c r="B1771" s="1" t="s">
        <v>5326</v>
      </c>
      <c r="C1771" s="1" t="s">
        <v>43</v>
      </c>
      <c r="D1771" s="1" t="s">
        <v>43</v>
      </c>
      <c r="E1771" s="6">
        <v>23.26</v>
      </c>
      <c r="F1771" s="1" t="s">
        <v>53</v>
      </c>
      <c r="G1771" s="6">
        <f ca="1">IFERROR(__xludf.DUMMYFUNCTION("iferror(GOOGLEFINANCE(TRIM(F1771)&amp;"":"" &amp; TRIM(B1771), ""price""),0
)"),0)</f>
        <v>0</v>
      </c>
      <c r="H1771" s="6">
        <v>0.8</v>
      </c>
      <c r="I1771" s="6">
        <f t="shared" ca="1" si="0"/>
        <v>0.8</v>
      </c>
      <c r="J1771" s="6">
        <f ca="1">IFERROR(__xludf.DUMMYFUNCTION("IFERROR(GOOGLEFINANCE(B1771, ""volume""), 0)"),0)</f>
        <v>0</v>
      </c>
      <c r="K1771" s="6">
        <v>0</v>
      </c>
      <c r="L1771" s="6">
        <f ca="1">IFERROR(__xludf.DUMMYFUNCTION("IFERROR(GOOGLEFINANCE(B1771,""changepct""),K1771)"),0)</f>
        <v>0</v>
      </c>
      <c r="M1771" s="6">
        <f ca="1">IFERROR(__xludf.DUMMYFUNCTION("IFERROR(GOOGLEFINANCE(B1771,""change""),0)"),0)</f>
        <v>0</v>
      </c>
      <c r="N1771" s="6">
        <v>1</v>
      </c>
      <c r="O1771" s="7">
        <v>45536</v>
      </c>
      <c r="P1771" s="6">
        <v>-0.06</v>
      </c>
      <c r="Q1771" s="7">
        <v>45536</v>
      </c>
      <c r="R1771" s="6">
        <v>0</v>
      </c>
      <c r="S1771" s="9"/>
      <c r="T1771" s="6">
        <v>0.73</v>
      </c>
      <c r="U1771" s="6">
        <v>1</v>
      </c>
      <c r="V1771" s="7">
        <v>45352</v>
      </c>
      <c r="W1771" s="10">
        <f ca="1">IFERROR(__xludf.DUMMYFUNCTION("IFERROR(GOOGLEFINANCE(B1771,""pe""),V1771)"),45352)</f>
        <v>45352</v>
      </c>
      <c r="X1771" s="6">
        <v>0</v>
      </c>
      <c r="Y1771" s="6">
        <v>-0.37</v>
      </c>
      <c r="Z1771" s="6">
        <v>-0.36</v>
      </c>
      <c r="AA1771" s="3" t="s">
        <v>5327</v>
      </c>
      <c r="AB1771" s="11"/>
      <c r="AC1771" s="9"/>
      <c r="AD1771" s="9"/>
      <c r="AE1771" s="1">
        <v>0</v>
      </c>
      <c r="AF1771" s="1">
        <f ca="1">IFERROR(__xludf.DUMMYFUNCTION("IFERROR(GOOGLEFINANCE(TRIM(F1771)&amp;"":"" &amp; TRIM(B1771),""high52""),AE1771)"),0)</f>
        <v>0</v>
      </c>
      <c r="AG1771" s="1">
        <v>0</v>
      </c>
      <c r="AH1771" s="1">
        <f ca="1">IFERROR(__xludf.DUMMYFUNCTION("IFERROR(GOOGLEFINANCE(TRIM(F1771)&amp;"":"" &amp; TRIM(B1771),""low52""),AE1771)"),0)</f>
        <v>0</v>
      </c>
      <c r="AI1771" s="1">
        <f ca="1">IFERROR(__xludf.DUMMYFUNCTION("IFERROR(GOOGLEFINANCE(B1771,""eps""),0)"),0)</f>
        <v>0</v>
      </c>
      <c r="AJ1771" s="1"/>
      <c r="AK1771" s="1" t="s">
        <v>5328</v>
      </c>
      <c r="AL1771" s="9">
        <f t="shared" si="217"/>
        <v>1</v>
      </c>
    </row>
    <row r="1772" spans="1:38" ht="15" x14ac:dyDescent="0.25">
      <c r="A1772" s="1" t="s">
        <v>5329</v>
      </c>
      <c r="B1772" s="1" t="s">
        <v>5330</v>
      </c>
      <c r="C1772" s="1" t="s">
        <v>43</v>
      </c>
      <c r="D1772" s="1" t="s">
        <v>43</v>
      </c>
      <c r="E1772" s="6">
        <v>12.86</v>
      </c>
      <c r="F1772" s="1" t="s">
        <v>53</v>
      </c>
      <c r="G1772" s="6">
        <f ca="1">IFERROR(__xludf.DUMMYFUNCTION("iferror(GOOGLEFINANCE(TRIM(F1772)&amp;"":"" &amp; TRIM(B1772), ""price""),0
)"),0)</f>
        <v>0</v>
      </c>
      <c r="H1772" s="6">
        <v>44.49</v>
      </c>
      <c r="I1772" s="6">
        <f t="shared" ca="1" si="0"/>
        <v>44.49</v>
      </c>
      <c r="J1772" s="6">
        <f ca="1">IFERROR(__xludf.DUMMYFUNCTION("IFERROR(GOOGLEFINANCE(B1772, ""volume""), 0)"),496)</f>
        <v>496</v>
      </c>
      <c r="K1772" s="6">
        <v>4.07</v>
      </c>
      <c r="L1772" s="6">
        <f ca="1">IFERROR(__xludf.DUMMYFUNCTION("IFERROR(GOOGLEFINANCE(B1772,""changepct""),K1772)"),-0.21)</f>
        <v>-0.21</v>
      </c>
      <c r="M1772" s="6">
        <f ca="1">IFERROR(__xludf.DUMMYFUNCTION("IFERROR(GOOGLEFINANCE(B1772,""change""),0)"),-0.75)</f>
        <v>-0.75</v>
      </c>
      <c r="N1772" s="6">
        <v>1</v>
      </c>
      <c r="O1772" s="7">
        <v>45536</v>
      </c>
      <c r="P1772" s="6">
        <v>-0.18</v>
      </c>
      <c r="Q1772" s="7">
        <v>45536</v>
      </c>
      <c r="R1772" s="6">
        <v>0</v>
      </c>
      <c r="S1772" s="9"/>
      <c r="T1772" s="6">
        <v>1.51</v>
      </c>
      <c r="U1772" s="6">
        <v>1</v>
      </c>
      <c r="V1772" s="7">
        <v>45352</v>
      </c>
      <c r="W1772" s="6">
        <f ca="1">IFERROR(__xludf.DUMMYFUNCTION("IFERROR(GOOGLEFINANCE(B1772,""pe""),V1772)"),27.41)</f>
        <v>27.41</v>
      </c>
      <c r="X1772" s="6">
        <v>7.0000000000000007E-2</v>
      </c>
      <c r="Y1772" s="6">
        <v>-1.94</v>
      </c>
      <c r="Z1772" s="6">
        <v>-2.19</v>
      </c>
      <c r="AA1772" s="3" t="s">
        <v>5331</v>
      </c>
      <c r="AB1772" s="11"/>
      <c r="AC1772" s="9"/>
      <c r="AD1772" s="9"/>
      <c r="AE1772" s="1">
        <v>0</v>
      </c>
      <c r="AF1772" s="1">
        <f ca="1">IFERROR(__xludf.DUMMYFUNCTION("IFERROR(GOOGLEFINANCE(TRIM(F1772)&amp;"":"" &amp; TRIM(B1772),""high52""),AE1772)"),0)</f>
        <v>0</v>
      </c>
      <c r="AG1772" s="1">
        <v>0</v>
      </c>
      <c r="AH1772" s="1">
        <f ca="1">IFERROR(__xludf.DUMMYFUNCTION("IFERROR(GOOGLEFINANCE(TRIM(F1772)&amp;"":"" &amp; TRIM(B1772),""low52""),AE1772)"),0)</f>
        <v>0</v>
      </c>
      <c r="AI1772" s="1">
        <f ca="1">IFERROR(__xludf.DUMMYFUNCTION("IFERROR(GOOGLEFINANCE(B1772,""eps""),0)"),13.06)</f>
        <v>13.06</v>
      </c>
      <c r="AJ1772" s="1"/>
      <c r="AK1772" s="1" t="s">
        <v>5332</v>
      </c>
      <c r="AL1772" s="9">
        <f t="shared" si="217"/>
        <v>1</v>
      </c>
    </row>
    <row r="1773" spans="1:38" ht="15" x14ac:dyDescent="0.25">
      <c r="A1773" s="1" t="s">
        <v>5333</v>
      </c>
      <c r="B1773" s="1" t="s">
        <v>5334</v>
      </c>
      <c r="C1773" s="1" t="s">
        <v>43</v>
      </c>
      <c r="D1773" s="1" t="s">
        <v>43</v>
      </c>
      <c r="E1773" s="6">
        <v>6.44</v>
      </c>
      <c r="F1773" s="1" t="s">
        <v>53</v>
      </c>
      <c r="G1773" s="6">
        <f ca="1">IFERROR(__xludf.DUMMYFUNCTION("iferror(GOOGLEFINANCE(TRIM(F1773)&amp;"":"" &amp; TRIM(B1773), ""price""),0
)"),0)</f>
        <v>0</v>
      </c>
      <c r="H1773" s="6">
        <v>167</v>
      </c>
      <c r="I1773" s="6">
        <f t="shared" ca="1" si="0"/>
        <v>167</v>
      </c>
      <c r="J1773" s="6">
        <f ca="1">IFERROR(__xludf.DUMMYFUNCTION("IFERROR(GOOGLEFINANCE(B1773, ""volume""), 0)"),0)</f>
        <v>0</v>
      </c>
      <c r="K1773" s="6">
        <v>3.69</v>
      </c>
      <c r="L1773" s="6">
        <f ca="1">IFERROR(__xludf.DUMMYFUNCTION("IFERROR(GOOGLEFINANCE(B1773,""changepct""),K1773)"),3.69)</f>
        <v>3.69</v>
      </c>
      <c r="M1773" s="6">
        <f ca="1">IFERROR(__xludf.DUMMYFUNCTION("IFERROR(GOOGLEFINANCE(B1773,""change""),0)"),0)</f>
        <v>0</v>
      </c>
      <c r="N1773" s="6">
        <v>1</v>
      </c>
      <c r="O1773" s="7">
        <v>45536</v>
      </c>
      <c r="P1773" s="6">
        <v>-4.4400000000000004</v>
      </c>
      <c r="Q1773" s="7">
        <v>45536</v>
      </c>
      <c r="R1773" s="6">
        <v>0</v>
      </c>
      <c r="S1773" s="6">
        <v>0</v>
      </c>
      <c r="T1773" s="6">
        <v>0.3</v>
      </c>
      <c r="U1773" s="6">
        <v>1</v>
      </c>
      <c r="V1773" s="7">
        <v>45352</v>
      </c>
      <c r="W1773" s="10">
        <f ca="1">IFERROR(__xludf.DUMMYFUNCTION("IFERROR(GOOGLEFINANCE(B1773,""pe""),V1773)"),45352)</f>
        <v>45352</v>
      </c>
      <c r="X1773" s="6">
        <v>0.11</v>
      </c>
      <c r="Y1773" s="6">
        <v>-19.75</v>
      </c>
      <c r="Z1773" s="6">
        <v>-18.079999999999998</v>
      </c>
      <c r="AA1773" s="3" t="s">
        <v>5335</v>
      </c>
      <c r="AB1773" s="11"/>
      <c r="AC1773" s="9"/>
      <c r="AD1773" s="9"/>
      <c r="AE1773" s="1">
        <v>0</v>
      </c>
      <c r="AF1773" s="1">
        <f ca="1">IFERROR(__xludf.DUMMYFUNCTION("IFERROR(GOOGLEFINANCE(TRIM(F1773)&amp;"":"" &amp; TRIM(B1773),""high52""),AE1773)"),0)</f>
        <v>0</v>
      </c>
      <c r="AG1773" s="1">
        <v>0</v>
      </c>
      <c r="AH1773" s="1">
        <f ca="1">IFERROR(__xludf.DUMMYFUNCTION("IFERROR(GOOGLEFINANCE(TRIM(F1773)&amp;"":"" &amp; TRIM(B1773),""low52""),AE1773)"),0)</f>
        <v>0</v>
      </c>
      <c r="AI1773" s="1">
        <f ca="1">IFERROR(__xludf.DUMMYFUNCTION("IFERROR(GOOGLEFINANCE(B1773,""eps""),0)"),0)</f>
        <v>0</v>
      </c>
      <c r="AJ1773" s="1"/>
      <c r="AK1773" s="1" t="s">
        <v>5336</v>
      </c>
      <c r="AL1773" s="9">
        <f t="shared" si="217"/>
        <v>1</v>
      </c>
    </row>
    <row r="1774" spans="1:38" ht="15" x14ac:dyDescent="0.25">
      <c r="A1774" s="1" t="s">
        <v>5337</v>
      </c>
      <c r="B1774" s="1" t="s">
        <v>5338</v>
      </c>
      <c r="C1774" s="1" t="s">
        <v>43</v>
      </c>
      <c r="D1774" s="1" t="s">
        <v>43</v>
      </c>
      <c r="E1774" s="6">
        <v>22.01</v>
      </c>
      <c r="F1774" s="1" t="s">
        <v>53</v>
      </c>
      <c r="G1774" s="6">
        <f ca="1">IFERROR(__xludf.DUMMYFUNCTION("iferror(GOOGLEFINANCE(TRIM(F1774)&amp;"":"" &amp; TRIM(B1774), ""price""),0
)"),0)</f>
        <v>0</v>
      </c>
      <c r="H1774" s="6">
        <v>2.1800000000000002</v>
      </c>
      <c r="I1774" s="6">
        <f t="shared" ca="1" si="0"/>
        <v>2.1800000000000002</v>
      </c>
      <c r="J1774" s="6">
        <f ca="1">IFERROR(__xludf.DUMMYFUNCTION("IFERROR(GOOGLEFINANCE(B1774, ""volume""), 0)"),0)</f>
        <v>0</v>
      </c>
      <c r="K1774" s="6">
        <v>-0.46</v>
      </c>
      <c r="L1774" s="6">
        <f ca="1">IFERROR(__xludf.DUMMYFUNCTION("IFERROR(GOOGLEFINANCE(B1774,""changepct""),K1774)"),-0.46)</f>
        <v>-0.46</v>
      </c>
      <c r="M1774" s="6">
        <f ca="1">IFERROR(__xludf.DUMMYFUNCTION("IFERROR(GOOGLEFINANCE(B1774,""change""),0)"),0)</f>
        <v>0</v>
      </c>
      <c r="N1774" s="6">
        <v>1</v>
      </c>
      <c r="O1774" s="7">
        <v>45536</v>
      </c>
      <c r="P1774" s="6">
        <v>-2.63</v>
      </c>
      <c r="Q1774" s="7">
        <v>45536</v>
      </c>
      <c r="R1774" s="6">
        <v>0</v>
      </c>
      <c r="S1774" s="9"/>
      <c r="T1774" s="6">
        <v>1.97</v>
      </c>
      <c r="U1774" s="6">
        <v>1</v>
      </c>
      <c r="V1774" s="7">
        <v>45352</v>
      </c>
      <c r="W1774" s="10">
        <f ca="1">IFERROR(__xludf.DUMMYFUNCTION("IFERROR(GOOGLEFINANCE(B1774,""pe""),V1774)"),45352)</f>
        <v>45352</v>
      </c>
      <c r="X1774" s="6">
        <v>1.31</v>
      </c>
      <c r="Y1774" s="6">
        <v>-13.09</v>
      </c>
      <c r="Z1774" s="6">
        <v>0.06</v>
      </c>
      <c r="AA1774" s="3" t="s">
        <v>5339</v>
      </c>
      <c r="AB1774" s="11"/>
      <c r="AC1774" s="9"/>
      <c r="AD1774" s="9"/>
      <c r="AE1774" s="1">
        <v>0</v>
      </c>
      <c r="AF1774" s="1">
        <f ca="1">IFERROR(__xludf.DUMMYFUNCTION("IFERROR(GOOGLEFINANCE(TRIM(F1774)&amp;"":"" &amp; TRIM(B1774),""high52""),AE1774)"),0)</f>
        <v>0</v>
      </c>
      <c r="AG1774" s="1">
        <v>0</v>
      </c>
      <c r="AH1774" s="1">
        <f ca="1">IFERROR(__xludf.DUMMYFUNCTION("IFERROR(GOOGLEFINANCE(TRIM(F1774)&amp;"":"" &amp; TRIM(B1774),""low52""),AE1774)"),0)</f>
        <v>0</v>
      </c>
      <c r="AI1774" s="1">
        <f ca="1">IFERROR(__xludf.DUMMYFUNCTION("IFERROR(GOOGLEFINANCE(B1774,""eps""),0)"),0)</f>
        <v>0</v>
      </c>
      <c r="AJ1774" s="1"/>
      <c r="AK1774" s="1" t="s">
        <v>5340</v>
      </c>
      <c r="AL1774" s="9">
        <f t="shared" si="217"/>
        <v>1</v>
      </c>
    </row>
    <row r="1775" spans="1:38" ht="15" x14ac:dyDescent="0.25">
      <c r="A1775" s="1" t="s">
        <v>5341</v>
      </c>
      <c r="B1775" s="1" t="s">
        <v>5342</v>
      </c>
      <c r="C1775" s="1" t="s">
        <v>43</v>
      </c>
      <c r="D1775" s="1" t="s">
        <v>43</v>
      </c>
      <c r="E1775" s="6">
        <v>20.92</v>
      </c>
      <c r="F1775" s="1" t="s">
        <v>53</v>
      </c>
      <c r="G1775" s="6">
        <f ca="1">IFERROR(__xludf.DUMMYFUNCTION("iferror(GOOGLEFINANCE(TRIM(F1775)&amp;"":"" &amp; TRIM(B1775), ""price""),0
)"),0)</f>
        <v>0</v>
      </c>
      <c r="H1775" s="6">
        <v>10.86</v>
      </c>
      <c r="I1775" s="6">
        <f t="shared" ca="1" si="0"/>
        <v>10.86</v>
      </c>
      <c r="J1775" s="6">
        <f ca="1">IFERROR(__xludf.DUMMYFUNCTION("IFERROR(GOOGLEFINANCE(B1775, ""volume""), 0)"),0)</f>
        <v>0</v>
      </c>
      <c r="K1775" s="6">
        <v>-4.99</v>
      </c>
      <c r="L1775" s="6">
        <f ca="1">IFERROR(__xludf.DUMMYFUNCTION("IFERROR(GOOGLEFINANCE(B1775,""changepct""),K1775)"),-4.99)</f>
        <v>-4.99</v>
      </c>
      <c r="M1775" s="6">
        <f ca="1">IFERROR(__xludf.DUMMYFUNCTION("IFERROR(GOOGLEFINANCE(B1775,""change""),0)"),0)</f>
        <v>0</v>
      </c>
      <c r="N1775" s="6">
        <v>2</v>
      </c>
      <c r="O1775" s="7">
        <v>45536</v>
      </c>
      <c r="P1775" s="6">
        <v>0</v>
      </c>
      <c r="Q1775" s="7">
        <v>45536</v>
      </c>
      <c r="R1775" s="6">
        <v>0</v>
      </c>
      <c r="S1775" s="6">
        <v>0</v>
      </c>
      <c r="T1775" s="6">
        <v>0.76</v>
      </c>
      <c r="U1775" s="6">
        <v>2</v>
      </c>
      <c r="V1775" s="7">
        <v>45352</v>
      </c>
      <c r="W1775" s="10">
        <f ca="1">IFERROR(__xludf.DUMMYFUNCTION("IFERROR(GOOGLEFINANCE(B1775,""pe""),V1775)"),45352)</f>
        <v>45352</v>
      </c>
      <c r="X1775" s="6">
        <v>0.36</v>
      </c>
      <c r="Y1775" s="6">
        <v>-0.34</v>
      </c>
      <c r="Z1775" s="6">
        <v>-0.22</v>
      </c>
      <c r="AA1775" s="3" t="s">
        <v>5343</v>
      </c>
      <c r="AB1775" s="11"/>
      <c r="AC1775" s="9"/>
      <c r="AD1775" s="9"/>
      <c r="AE1775" s="1">
        <v>0</v>
      </c>
      <c r="AF1775" s="1">
        <f ca="1">IFERROR(__xludf.DUMMYFUNCTION("IFERROR(GOOGLEFINANCE(TRIM(F1775)&amp;"":"" &amp; TRIM(B1775),""high52""),AE1775)"),0)</f>
        <v>0</v>
      </c>
      <c r="AG1775" s="1">
        <v>0</v>
      </c>
      <c r="AH1775" s="1">
        <f ca="1">IFERROR(__xludf.DUMMYFUNCTION("IFERROR(GOOGLEFINANCE(TRIM(F1775)&amp;"":"" &amp; TRIM(B1775),""low52""),AE1775)"),0)</f>
        <v>0</v>
      </c>
      <c r="AI1775" s="1">
        <f ca="1">IFERROR(__xludf.DUMMYFUNCTION("IFERROR(GOOGLEFINANCE(B1775,""eps""),0)"),0)</f>
        <v>0</v>
      </c>
      <c r="AJ1775" s="1"/>
      <c r="AK1775" s="1" t="s">
        <v>5344</v>
      </c>
      <c r="AL1775" s="9">
        <f t="shared" si="217"/>
        <v>1</v>
      </c>
    </row>
    <row r="1776" spans="1:38" ht="15" x14ac:dyDescent="0.25">
      <c r="A1776" s="1" t="s">
        <v>5345</v>
      </c>
      <c r="B1776" s="1" t="s">
        <v>5346</v>
      </c>
      <c r="C1776" s="1" t="s">
        <v>43</v>
      </c>
      <c r="D1776" s="1" t="s">
        <v>43</v>
      </c>
      <c r="E1776" s="6">
        <v>30.2</v>
      </c>
      <c r="F1776" s="1" t="s">
        <v>53</v>
      </c>
      <c r="G1776" s="6">
        <f ca="1">IFERROR(__xludf.DUMMYFUNCTION("iferror(GOOGLEFINANCE(TRIM(F1776)&amp;"":"" &amp; TRIM(B1776), ""price""),0
)"),0)</f>
        <v>0</v>
      </c>
      <c r="H1776" s="6">
        <v>27.55</v>
      </c>
      <c r="I1776" s="6">
        <f t="shared" ca="1" si="0"/>
        <v>27.55</v>
      </c>
      <c r="J1776" s="6">
        <f ca="1">IFERROR(__xludf.DUMMYFUNCTION("IFERROR(GOOGLEFINANCE(B1776, ""volume""), 0)"),0)</f>
        <v>0</v>
      </c>
      <c r="K1776" s="6">
        <v>1.21</v>
      </c>
      <c r="L1776" s="6">
        <f ca="1">IFERROR(__xludf.DUMMYFUNCTION("IFERROR(GOOGLEFINANCE(B1776,""changepct""),K1776)"),1.21)</f>
        <v>1.21</v>
      </c>
      <c r="M1776" s="6">
        <f ca="1">IFERROR(__xludf.DUMMYFUNCTION("IFERROR(GOOGLEFINANCE(B1776,""change""),0)"),0)</f>
        <v>0</v>
      </c>
      <c r="N1776" s="6">
        <v>1</v>
      </c>
      <c r="O1776" s="7">
        <v>45536</v>
      </c>
      <c r="P1776" s="6">
        <v>-0.19</v>
      </c>
      <c r="Q1776" s="7">
        <v>45536</v>
      </c>
      <c r="R1776" s="6">
        <v>0</v>
      </c>
      <c r="S1776" s="6">
        <v>0</v>
      </c>
      <c r="T1776" s="6">
        <v>0.28000000000000003</v>
      </c>
      <c r="U1776" s="6">
        <v>1</v>
      </c>
      <c r="V1776" s="7">
        <v>45352</v>
      </c>
      <c r="W1776" s="10">
        <f ca="1">IFERROR(__xludf.DUMMYFUNCTION("IFERROR(GOOGLEFINANCE(B1776,""pe""),V1776)"),45352)</f>
        <v>45352</v>
      </c>
      <c r="X1776" s="6">
        <v>0</v>
      </c>
      <c r="Y1776" s="6">
        <v>0.11</v>
      </c>
      <c r="Z1776" s="6">
        <v>0.14000000000000001</v>
      </c>
      <c r="AA1776" s="3" t="s">
        <v>5347</v>
      </c>
      <c r="AB1776" s="11"/>
      <c r="AC1776" s="9"/>
      <c r="AD1776" s="9"/>
      <c r="AE1776" s="1">
        <v>0</v>
      </c>
      <c r="AF1776" s="1">
        <f ca="1">IFERROR(__xludf.DUMMYFUNCTION("IFERROR(GOOGLEFINANCE(TRIM(F1776)&amp;"":"" &amp; TRIM(B1776),""high52""),AE1776)"),0)</f>
        <v>0</v>
      </c>
      <c r="AG1776" s="1">
        <v>0</v>
      </c>
      <c r="AH1776" s="1">
        <f ca="1">IFERROR(__xludf.DUMMYFUNCTION("IFERROR(GOOGLEFINANCE(TRIM(F1776)&amp;"":"" &amp; TRIM(B1776),""low52""),AE1776)"),0)</f>
        <v>0</v>
      </c>
      <c r="AI1776" s="1">
        <f ca="1">IFERROR(__xludf.DUMMYFUNCTION("IFERROR(GOOGLEFINANCE(B1776,""eps""),0)"),0)</f>
        <v>0</v>
      </c>
      <c r="AJ1776" s="1"/>
      <c r="AK1776" s="1" t="s">
        <v>5348</v>
      </c>
      <c r="AL1776" s="9">
        <f t="shared" si="217"/>
        <v>1</v>
      </c>
    </row>
    <row r="1777" spans="1:38" ht="15" x14ac:dyDescent="0.25">
      <c r="A1777" s="1" t="s">
        <v>5349</v>
      </c>
      <c r="B1777" s="1" t="s">
        <v>5350</v>
      </c>
      <c r="C1777" s="1" t="s">
        <v>43</v>
      </c>
      <c r="D1777" s="1" t="s">
        <v>43</v>
      </c>
      <c r="E1777" s="6">
        <v>11.9</v>
      </c>
      <c r="F1777" s="1" t="s">
        <v>53</v>
      </c>
      <c r="G1777" s="6">
        <f ca="1">IFERROR(__xludf.DUMMYFUNCTION("iferror(GOOGLEFINANCE(TRIM(F1777)&amp;"":"" &amp; TRIM(B1777), ""price""),0
)"),0)</f>
        <v>0</v>
      </c>
      <c r="H1777" s="6">
        <v>2.48</v>
      </c>
      <c r="I1777" s="6">
        <f t="shared" ca="1" si="0"/>
        <v>2.48</v>
      </c>
      <c r="J1777" s="6">
        <f ca="1">IFERROR(__xludf.DUMMYFUNCTION("IFERROR(GOOGLEFINANCE(B1777, ""volume""), 0)"),0)</f>
        <v>0</v>
      </c>
      <c r="K1777" s="6">
        <v>4.2</v>
      </c>
      <c r="L1777" s="6">
        <f ca="1">IFERROR(__xludf.DUMMYFUNCTION("IFERROR(GOOGLEFINANCE(B1777,""changepct""),K1777)"),4.2)</f>
        <v>4.2</v>
      </c>
      <c r="M1777" s="6">
        <f ca="1">IFERROR(__xludf.DUMMYFUNCTION("IFERROR(GOOGLEFINANCE(B1777,""change""),0)"),0)</f>
        <v>0</v>
      </c>
      <c r="N1777" s="6">
        <v>2</v>
      </c>
      <c r="O1777" s="7">
        <v>45536</v>
      </c>
      <c r="P1777" s="6">
        <v>-0.28000000000000003</v>
      </c>
      <c r="Q1777" s="7">
        <v>45536</v>
      </c>
      <c r="R1777" s="6">
        <v>0</v>
      </c>
      <c r="S1777" s="9"/>
      <c r="T1777" s="6">
        <v>2.87</v>
      </c>
      <c r="U1777" s="6">
        <v>2</v>
      </c>
      <c r="V1777" s="7">
        <v>45352</v>
      </c>
      <c r="W1777" s="10">
        <f ca="1">IFERROR(__xludf.DUMMYFUNCTION("IFERROR(GOOGLEFINANCE(B1777,""pe""),V1777)"),45352)</f>
        <v>45352</v>
      </c>
      <c r="X1777" s="6">
        <v>0.42</v>
      </c>
      <c r="Y1777" s="6">
        <v>-6.23</v>
      </c>
      <c r="Z1777" s="6">
        <v>-5.28</v>
      </c>
      <c r="AA1777" s="3" t="s">
        <v>5351</v>
      </c>
      <c r="AB1777" s="11"/>
      <c r="AC1777" s="9"/>
      <c r="AD1777" s="9"/>
      <c r="AE1777" s="1">
        <v>0</v>
      </c>
      <c r="AF1777" s="1">
        <f ca="1">IFERROR(__xludf.DUMMYFUNCTION("IFERROR(GOOGLEFINANCE(TRIM(F1777)&amp;"":"" &amp; TRIM(B1777),""high52""),AE1777)"),0)</f>
        <v>0</v>
      </c>
      <c r="AG1777" s="1">
        <v>0</v>
      </c>
      <c r="AH1777" s="1">
        <f ca="1">IFERROR(__xludf.DUMMYFUNCTION("IFERROR(GOOGLEFINANCE(TRIM(F1777)&amp;"":"" &amp; TRIM(B1777),""low52""),AE1777)"),0)</f>
        <v>0</v>
      </c>
      <c r="AI1777" s="1">
        <f ca="1">IFERROR(__xludf.DUMMYFUNCTION("IFERROR(GOOGLEFINANCE(B1777,""eps""),0)"),0)</f>
        <v>0</v>
      </c>
      <c r="AJ1777" s="1"/>
      <c r="AK1777" s="12"/>
      <c r="AL1777" s="9">
        <f t="shared" si="217"/>
        <v>1</v>
      </c>
    </row>
    <row r="1778" spans="1:38" ht="15" x14ac:dyDescent="0.25">
      <c r="A1778" s="1" t="s">
        <v>5352</v>
      </c>
      <c r="B1778" s="1" t="s">
        <v>5353</v>
      </c>
      <c r="C1778" s="1" t="s">
        <v>106</v>
      </c>
      <c r="D1778" s="1" t="s">
        <v>106</v>
      </c>
      <c r="E1778" s="6">
        <v>101.46</v>
      </c>
      <c r="F1778" s="1" t="s">
        <v>40</v>
      </c>
      <c r="G1778" s="6">
        <f ca="1">IFERROR(__xludf.DUMMYFUNCTION("iferror(GOOGLEFINANCE(TRIM(F1778)&amp;"":"" &amp; TRIM(B1778), ""price""),0
)"),0)</f>
        <v>0</v>
      </c>
      <c r="H1778" s="6">
        <v>30.75</v>
      </c>
      <c r="I1778" s="6">
        <f t="shared" ca="1" si="0"/>
        <v>30.75</v>
      </c>
      <c r="J1778" s="6">
        <f ca="1">IFERROR(__xludf.DUMMYFUNCTION("IFERROR(GOOGLEFINANCE(B1778, ""volume""), 0)"),0)</f>
        <v>0</v>
      </c>
      <c r="K1778" s="9"/>
      <c r="L1778" s="6" t="str">
        <f ca="1">IFERROR(__xludf.DUMMYFUNCTION("IFERROR(GOOGLEFINANCE(B1778,""changepct""),K1778)"),"")</f>
        <v/>
      </c>
      <c r="M1778" s="6">
        <f ca="1">IFERROR(__xludf.DUMMYFUNCTION("IFERROR(GOOGLEFINANCE(B1778,""change""),0)"),0)</f>
        <v>0</v>
      </c>
      <c r="N1778" s="6">
        <v>1</v>
      </c>
      <c r="O1778" s="7">
        <v>45536</v>
      </c>
      <c r="P1778" s="6">
        <v>10.49</v>
      </c>
      <c r="Q1778" s="6">
        <v>111.95</v>
      </c>
      <c r="R1778" s="7">
        <v>45352</v>
      </c>
      <c r="S1778" s="6">
        <v>46.55</v>
      </c>
      <c r="T1778" s="6">
        <v>3.31</v>
      </c>
      <c r="U1778" s="7">
        <v>45352</v>
      </c>
      <c r="V1778" s="6">
        <v>30.67</v>
      </c>
      <c r="W1778" s="6">
        <f ca="1">IFERROR(__xludf.DUMMYFUNCTION("IFERROR(GOOGLEFINANCE(B1778,""pe""),V1778)"),30.67)</f>
        <v>30.67</v>
      </c>
      <c r="X1778" s="12"/>
      <c r="Y1778" s="6">
        <v>1.76</v>
      </c>
      <c r="Z1778" s="6">
        <v>1</v>
      </c>
      <c r="AA1778" s="8">
        <v>45352</v>
      </c>
      <c r="AB1778" s="4">
        <v>0.16</v>
      </c>
      <c r="AC1778" s="6">
        <v>9.75</v>
      </c>
      <c r="AD1778" s="6">
        <v>11.46</v>
      </c>
      <c r="AE1778" s="1">
        <v>0</v>
      </c>
      <c r="AF1778" s="1">
        <f ca="1">IFERROR(__xludf.DUMMYFUNCTION("IFERROR(GOOGLEFINANCE(TRIM(F1778)&amp;"":"" &amp; TRIM(B1778),""high52""),AE1778)"),0)</f>
        <v>0</v>
      </c>
      <c r="AG1778" s="1">
        <v>0</v>
      </c>
      <c r="AH1778" s="1">
        <f ca="1">IFERROR(__xludf.DUMMYFUNCTION("IFERROR(GOOGLEFINANCE(TRIM(F1778)&amp;"":"" &amp; TRIM(B1778),""low52""),AE1778)"),0)</f>
        <v>0</v>
      </c>
      <c r="AI1778" s="1">
        <f ca="1">IFERROR(__xludf.DUMMYFUNCTION("IFERROR(GOOGLEFINANCE(B1778,""eps""),0)"),0)</f>
        <v>0</v>
      </c>
      <c r="AJ1778" s="1"/>
      <c r="AK1778" s="1" t="s">
        <v>5354</v>
      </c>
      <c r="AL1778" s="9">
        <f t="shared" si="217"/>
        <v>1</v>
      </c>
    </row>
    <row r="1779" spans="1:38" ht="15" x14ac:dyDescent="0.25">
      <c r="A1779" s="1" t="s">
        <v>5355</v>
      </c>
      <c r="B1779" s="1" t="s">
        <v>5356</v>
      </c>
      <c r="C1779" s="1" t="s">
        <v>135</v>
      </c>
      <c r="D1779" s="1" t="s">
        <v>135</v>
      </c>
      <c r="E1779" s="6">
        <v>1605.65</v>
      </c>
      <c r="F1779" s="1" t="s">
        <v>40</v>
      </c>
      <c r="G1779" s="6">
        <f ca="1">IFERROR(__xludf.DUMMYFUNCTION("iferror(GOOGLEFINANCE(TRIM(F1779)&amp;"":"" &amp; TRIM(B1779), ""price""),0
)"),311.6)</f>
        <v>311.60000000000002</v>
      </c>
      <c r="H1779" s="6">
        <v>414.2</v>
      </c>
      <c r="I1779" s="6">
        <f t="shared" ca="1" si="0"/>
        <v>311.60000000000002</v>
      </c>
      <c r="J1779" s="6">
        <f ca="1">IFERROR(__xludf.DUMMYFUNCTION("IFERROR(GOOGLEFINANCE(B1779, ""volume""), 0)"),46323)</f>
        <v>46323</v>
      </c>
      <c r="K1779" s="6">
        <v>1.1000000000000001</v>
      </c>
      <c r="L1779" s="6">
        <f ca="1">IFERROR(__xludf.DUMMYFUNCTION("IFERROR(GOOGLEFINANCE(B1779,""changepct""),K1779)"),-2.3)</f>
        <v>-2.2999999999999998</v>
      </c>
      <c r="M1779" s="6">
        <f ca="1">IFERROR(__xludf.DUMMYFUNCTION("IFERROR(GOOGLEFINANCE(B1779,""change""),0)"),-7.35)</f>
        <v>-7.35</v>
      </c>
      <c r="N1779" s="6">
        <v>2</v>
      </c>
      <c r="O1779" s="7">
        <v>45536</v>
      </c>
      <c r="P1779" s="6">
        <v>12.88</v>
      </c>
      <c r="Q1779" s="6">
        <v>1496.86</v>
      </c>
      <c r="R1779" s="7">
        <v>45352</v>
      </c>
      <c r="S1779" s="6">
        <v>667.69</v>
      </c>
      <c r="T1779" s="6">
        <v>32.11</v>
      </c>
      <c r="U1779" s="7">
        <v>45352</v>
      </c>
      <c r="V1779" s="6">
        <v>52.04</v>
      </c>
      <c r="W1779" s="6">
        <f ca="1">IFERROR(__xludf.DUMMYFUNCTION("IFERROR(GOOGLEFINANCE(B1779,""pe""),V1779)"),19.54)</f>
        <v>19.54</v>
      </c>
      <c r="X1779" s="12"/>
      <c r="Y1779" s="6">
        <v>3.68</v>
      </c>
      <c r="Z1779" s="6">
        <v>2</v>
      </c>
      <c r="AA1779" s="8">
        <v>45352</v>
      </c>
      <c r="AB1779" s="4">
        <v>0.03</v>
      </c>
      <c r="AC1779" s="6">
        <v>10.6</v>
      </c>
      <c r="AD1779" s="6">
        <v>13.65</v>
      </c>
      <c r="AE1779" s="1">
        <v>0</v>
      </c>
      <c r="AF1779" s="1">
        <f ca="1">IFERROR(__xludf.DUMMYFUNCTION("IFERROR(GOOGLEFINANCE(TRIM(F1779)&amp;"":"" &amp; TRIM(B1779),""high52""),AE1779)"),558)</f>
        <v>558</v>
      </c>
      <c r="AG1779" s="1">
        <v>0</v>
      </c>
      <c r="AH1779" s="1">
        <f ca="1">IFERROR(__xludf.DUMMYFUNCTION("IFERROR(GOOGLEFINANCE(TRIM(F1779)&amp;"":"" &amp; TRIM(B1779),""low52""),AE1779)"),280.45)</f>
        <v>280.45</v>
      </c>
      <c r="AI1779" s="1">
        <f ca="1">IFERROR(__xludf.DUMMYFUNCTION("IFERROR(GOOGLEFINANCE(B1779,""eps""),0)"),15.95)</f>
        <v>15.95</v>
      </c>
      <c r="AJ1779" s="1"/>
      <c r="AK1779" s="1" t="s">
        <v>5357</v>
      </c>
      <c r="AL1779" s="1" t="b">
        <f>ISNUMBER(AA1779)</f>
        <v>1</v>
      </c>
    </row>
    <row r="1780" spans="1:38" ht="15" x14ac:dyDescent="0.25">
      <c r="A1780" s="1" t="s">
        <v>5358</v>
      </c>
      <c r="B1780" s="1" t="s">
        <v>5359</v>
      </c>
      <c r="C1780" s="1" t="s">
        <v>43</v>
      </c>
      <c r="D1780" s="1" t="s">
        <v>43</v>
      </c>
      <c r="E1780" s="6">
        <v>33.89</v>
      </c>
      <c r="F1780" s="1" t="s">
        <v>53</v>
      </c>
      <c r="G1780" s="6">
        <f ca="1">IFERROR(__xludf.DUMMYFUNCTION("iferror(GOOGLEFINANCE(TRIM(F1780)&amp;"":"" &amp; TRIM(B1780), ""price""),0
)"),0)</f>
        <v>0</v>
      </c>
      <c r="H1780" s="6">
        <v>66</v>
      </c>
      <c r="I1780" s="6">
        <f t="shared" ca="1" si="0"/>
        <v>66</v>
      </c>
      <c r="J1780" s="6">
        <f ca="1">IFERROR(__xludf.DUMMYFUNCTION("IFERROR(GOOGLEFINANCE(B1780, ""volume""), 0)"),0)</f>
        <v>0</v>
      </c>
      <c r="K1780" s="9"/>
      <c r="L1780" s="6" t="str">
        <f ca="1">IFERROR(__xludf.DUMMYFUNCTION("IFERROR(GOOGLEFINANCE(B1780,""changepct""),K1780)"),"")</f>
        <v/>
      </c>
      <c r="M1780" s="6">
        <f ca="1">IFERROR(__xludf.DUMMYFUNCTION("IFERROR(GOOGLEFINANCE(B1780,""change""),0)"),0)</f>
        <v>0</v>
      </c>
      <c r="N1780" s="6">
        <v>1</v>
      </c>
      <c r="O1780" s="7">
        <v>45536</v>
      </c>
      <c r="P1780" s="6">
        <v>-0.4</v>
      </c>
      <c r="Q1780" s="7">
        <v>45536</v>
      </c>
      <c r="R1780" s="6">
        <v>0</v>
      </c>
      <c r="S1780" s="6">
        <v>0</v>
      </c>
      <c r="T1780" s="6">
        <v>4.6399999999999997</v>
      </c>
      <c r="U1780" s="6">
        <v>1</v>
      </c>
      <c r="V1780" s="7">
        <v>45352</v>
      </c>
      <c r="W1780" s="10">
        <f ca="1">IFERROR(__xludf.DUMMYFUNCTION("IFERROR(GOOGLEFINANCE(B1780,""pe""),V1780)"),45352)</f>
        <v>45352</v>
      </c>
      <c r="X1780" s="6">
        <v>0.08</v>
      </c>
      <c r="Y1780" s="6">
        <v>2.71</v>
      </c>
      <c r="Z1780" s="6">
        <v>2.5299999999999998</v>
      </c>
      <c r="AA1780" s="3" t="s">
        <v>5360</v>
      </c>
      <c r="AB1780" s="11"/>
      <c r="AC1780" s="9"/>
      <c r="AD1780" s="9"/>
      <c r="AE1780" s="1">
        <v>0</v>
      </c>
      <c r="AF1780" s="1">
        <f ca="1">IFERROR(__xludf.DUMMYFUNCTION("IFERROR(GOOGLEFINANCE(TRIM(F1780)&amp;"":"" &amp; TRIM(B1780),""high52""),AE1780)"),0)</f>
        <v>0</v>
      </c>
      <c r="AG1780" s="1">
        <v>0</v>
      </c>
      <c r="AH1780" s="1">
        <f ca="1">IFERROR(__xludf.DUMMYFUNCTION("IFERROR(GOOGLEFINANCE(TRIM(F1780)&amp;"":"" &amp; TRIM(B1780),""low52""),AE1780)"),0)</f>
        <v>0</v>
      </c>
      <c r="AI1780" s="1">
        <f ca="1">IFERROR(__xludf.DUMMYFUNCTION("IFERROR(GOOGLEFINANCE(B1780,""eps""),0)"),0)</f>
        <v>0</v>
      </c>
      <c r="AJ1780" s="1"/>
      <c r="AK1780" s="1" t="s">
        <v>5361</v>
      </c>
      <c r="AL1780" s="9">
        <f t="shared" ref="AL1780:AL1837" si="218">IF(AA1780&lt;&gt;AB1780,1,0)</f>
        <v>1</v>
      </c>
    </row>
    <row r="1781" spans="1:38" ht="15" x14ac:dyDescent="0.25">
      <c r="A1781" s="1" t="s">
        <v>5362</v>
      </c>
      <c r="B1781" s="1" t="s">
        <v>5363</v>
      </c>
      <c r="C1781" s="1" t="s">
        <v>43</v>
      </c>
      <c r="D1781" s="1" t="s">
        <v>43</v>
      </c>
      <c r="E1781" s="6">
        <v>5.45</v>
      </c>
      <c r="F1781" s="1" t="s">
        <v>53</v>
      </c>
      <c r="G1781" s="6">
        <f ca="1">IFERROR(__xludf.DUMMYFUNCTION("iferror(GOOGLEFINANCE(TRIM(F1781)&amp;"":"" &amp; TRIM(B1781), ""price""),0
)"),0)</f>
        <v>0</v>
      </c>
      <c r="H1781" s="6">
        <v>16.239999999999998</v>
      </c>
      <c r="I1781" s="6">
        <f t="shared" ca="1" si="0"/>
        <v>16.239999999999998</v>
      </c>
      <c r="J1781" s="6">
        <f ca="1">IFERROR(__xludf.DUMMYFUNCTION("IFERROR(GOOGLEFINANCE(B1781, ""volume""), 0)"),0)</f>
        <v>0</v>
      </c>
      <c r="K1781" s="6">
        <v>1.95</v>
      </c>
      <c r="L1781" s="6">
        <f ca="1">IFERROR(__xludf.DUMMYFUNCTION("IFERROR(GOOGLEFINANCE(B1781,""changepct""),K1781)"),1.95)</f>
        <v>1.95</v>
      </c>
      <c r="M1781" s="6">
        <f ca="1">IFERROR(__xludf.DUMMYFUNCTION("IFERROR(GOOGLEFINANCE(B1781,""change""),0)"),0)</f>
        <v>0</v>
      </c>
      <c r="N1781" s="6">
        <v>1</v>
      </c>
      <c r="O1781" s="7">
        <v>45536</v>
      </c>
      <c r="P1781" s="6">
        <v>-0.02</v>
      </c>
      <c r="Q1781" s="7">
        <v>45536</v>
      </c>
      <c r="R1781" s="6">
        <v>0</v>
      </c>
      <c r="S1781" s="9"/>
      <c r="T1781" s="6">
        <v>3.97</v>
      </c>
      <c r="U1781" s="6">
        <v>1</v>
      </c>
      <c r="V1781" s="7">
        <v>45352</v>
      </c>
      <c r="W1781" s="10">
        <f ca="1">IFERROR(__xludf.DUMMYFUNCTION("IFERROR(GOOGLEFINANCE(B1781,""pe""),V1781)"),45352)</f>
        <v>45352</v>
      </c>
      <c r="X1781" s="6">
        <v>0.38</v>
      </c>
      <c r="Y1781" s="6">
        <v>-10.4</v>
      </c>
      <c r="Z1781" s="6">
        <v>-7.7</v>
      </c>
      <c r="AA1781" s="3" t="s">
        <v>5364</v>
      </c>
      <c r="AB1781" s="11"/>
      <c r="AC1781" s="9"/>
      <c r="AD1781" s="9"/>
      <c r="AE1781" s="1">
        <v>0</v>
      </c>
      <c r="AF1781" s="1">
        <f ca="1">IFERROR(__xludf.DUMMYFUNCTION("IFERROR(GOOGLEFINANCE(TRIM(F1781)&amp;"":"" &amp; TRIM(B1781),""high52""),AE1781)"),0)</f>
        <v>0</v>
      </c>
      <c r="AG1781" s="1">
        <v>0</v>
      </c>
      <c r="AH1781" s="1">
        <f ca="1">IFERROR(__xludf.DUMMYFUNCTION("IFERROR(GOOGLEFINANCE(TRIM(F1781)&amp;"":"" &amp; TRIM(B1781),""low52""),AE1781)"),0)</f>
        <v>0</v>
      </c>
      <c r="AI1781" s="1">
        <f ca="1">IFERROR(__xludf.DUMMYFUNCTION("IFERROR(GOOGLEFINANCE(B1781,""eps""),0)"),0)</f>
        <v>0</v>
      </c>
      <c r="AJ1781" s="1"/>
      <c r="AK1781" s="1" t="s">
        <v>5365</v>
      </c>
      <c r="AL1781" s="9">
        <f t="shared" si="218"/>
        <v>1</v>
      </c>
    </row>
    <row r="1782" spans="1:38" ht="15" x14ac:dyDescent="0.25">
      <c r="A1782" s="1" t="s">
        <v>5366</v>
      </c>
      <c r="B1782" s="1" t="s">
        <v>5367</v>
      </c>
      <c r="C1782" s="1" t="s">
        <v>43</v>
      </c>
      <c r="D1782" s="1" t="s">
        <v>43</v>
      </c>
      <c r="E1782" s="6">
        <v>679.81</v>
      </c>
      <c r="F1782" s="1" t="s">
        <v>53</v>
      </c>
      <c r="G1782" s="6">
        <f ca="1">IFERROR(__xludf.DUMMYFUNCTION("iferror(GOOGLEFINANCE(TRIM(F1782)&amp;"":"" &amp; TRIM(B1782), ""price""),0
)"),0)</f>
        <v>0</v>
      </c>
      <c r="H1782" s="6">
        <v>72.209999999999994</v>
      </c>
      <c r="I1782" s="6">
        <f t="shared" ca="1" si="0"/>
        <v>72.209999999999994</v>
      </c>
      <c r="J1782" s="6">
        <f ca="1">IFERROR(__xludf.DUMMYFUNCTION("IFERROR(GOOGLEFINANCE(B1782, ""volume""), 0)"),0)</f>
        <v>0</v>
      </c>
      <c r="K1782" s="6">
        <v>1.1299999999999999</v>
      </c>
      <c r="L1782" s="6">
        <f ca="1">IFERROR(__xludf.DUMMYFUNCTION("IFERROR(GOOGLEFINANCE(B1782,""changepct""),K1782)"),1.13)</f>
        <v>1.1299999999999999</v>
      </c>
      <c r="M1782" s="6">
        <f ca="1">IFERROR(__xludf.DUMMYFUNCTION("IFERROR(GOOGLEFINANCE(B1782,""change""),0)"),0)</f>
        <v>0</v>
      </c>
      <c r="N1782" s="6">
        <v>2</v>
      </c>
      <c r="O1782" s="15">
        <v>45536</v>
      </c>
      <c r="P1782" s="6">
        <v>-22.49</v>
      </c>
      <c r="Q1782" s="7">
        <v>45536</v>
      </c>
      <c r="R1782" s="6">
        <v>0</v>
      </c>
      <c r="S1782" s="9"/>
      <c r="T1782" s="6">
        <v>2.5</v>
      </c>
      <c r="U1782" s="6">
        <v>2</v>
      </c>
      <c r="V1782" s="7">
        <v>45352</v>
      </c>
      <c r="W1782" s="10">
        <f ca="1">IFERROR(__xludf.DUMMYFUNCTION("IFERROR(GOOGLEFINANCE(B1782,""pe""),V1782)"),45352)</f>
        <v>45352</v>
      </c>
      <c r="X1782" s="6">
        <v>0.22</v>
      </c>
      <c r="Y1782" s="6">
        <v>-9.93</v>
      </c>
      <c r="Z1782" s="6">
        <v>-6.82</v>
      </c>
      <c r="AA1782" s="3" t="s">
        <v>5368</v>
      </c>
      <c r="AB1782" s="11"/>
      <c r="AC1782" s="9"/>
      <c r="AD1782" s="9"/>
      <c r="AE1782" s="1">
        <v>0</v>
      </c>
      <c r="AF1782" s="1">
        <f ca="1">IFERROR(__xludf.DUMMYFUNCTION("IFERROR(GOOGLEFINANCE(TRIM(F1782)&amp;"":"" &amp; TRIM(B1782),""high52""),AE1782)"),0)</f>
        <v>0</v>
      </c>
      <c r="AG1782" s="1">
        <v>0</v>
      </c>
      <c r="AH1782" s="1">
        <f ca="1">IFERROR(__xludf.DUMMYFUNCTION("IFERROR(GOOGLEFINANCE(TRIM(F1782)&amp;"":"" &amp; TRIM(B1782),""low52""),AE1782)"),0)</f>
        <v>0</v>
      </c>
      <c r="AI1782" s="1">
        <f ca="1">IFERROR(__xludf.DUMMYFUNCTION("IFERROR(GOOGLEFINANCE(B1782,""eps""),0)"),0)</f>
        <v>0</v>
      </c>
      <c r="AJ1782" s="1"/>
      <c r="AK1782" s="9"/>
      <c r="AL1782" s="9">
        <f t="shared" si="218"/>
        <v>1</v>
      </c>
    </row>
    <row r="1783" spans="1:38" ht="15" x14ac:dyDescent="0.25">
      <c r="A1783" s="1" t="s">
        <v>5369</v>
      </c>
      <c r="B1783" s="1" t="s">
        <v>5370</v>
      </c>
      <c r="C1783" s="1" t="s">
        <v>151</v>
      </c>
      <c r="D1783" s="1" t="s">
        <v>151</v>
      </c>
      <c r="E1783" s="6">
        <v>189.87</v>
      </c>
      <c r="F1783" s="1" t="s">
        <v>40</v>
      </c>
      <c r="G1783" s="6">
        <f ca="1">IFERROR(__xludf.DUMMYFUNCTION("iferror(GOOGLEFINANCE(TRIM(F1783)&amp;"":"" &amp; TRIM(B1783), ""price""),0
)"),10.3)</f>
        <v>10.3</v>
      </c>
      <c r="H1783" s="6">
        <v>22.16</v>
      </c>
      <c r="I1783" s="6">
        <f t="shared" ca="1" si="0"/>
        <v>10.3</v>
      </c>
      <c r="J1783" s="6">
        <f ca="1">IFERROR(__xludf.DUMMYFUNCTION("IFERROR(GOOGLEFINANCE(B1783, ""volume""), 0)"),0)</f>
        <v>0</v>
      </c>
      <c r="K1783" s="6">
        <v>-0.18</v>
      </c>
      <c r="L1783" s="6">
        <f ca="1">IFERROR(__xludf.DUMMYFUNCTION("IFERROR(GOOGLEFINANCE(B1783,""changepct""),K1783)"),-0.34)</f>
        <v>-0.34</v>
      </c>
      <c r="M1783" s="6">
        <f ca="1">IFERROR(__xludf.DUMMYFUNCTION("IFERROR(GOOGLEFINANCE(B1783,""change""),0)"),-0.04)</f>
        <v>-0.04</v>
      </c>
      <c r="N1783" s="6">
        <v>2</v>
      </c>
      <c r="O1783" s="7">
        <v>45536</v>
      </c>
      <c r="P1783" s="6">
        <v>2.94</v>
      </c>
      <c r="Q1783" s="6">
        <v>186.99</v>
      </c>
      <c r="R1783" s="7">
        <v>45536</v>
      </c>
      <c r="S1783" s="6">
        <v>80.13</v>
      </c>
      <c r="T1783" s="6">
        <v>-11.69</v>
      </c>
      <c r="U1783" s="7">
        <v>45536</v>
      </c>
      <c r="V1783" s="6">
        <v>0</v>
      </c>
      <c r="W1783" s="6">
        <f ca="1">IFERROR(__xludf.DUMMYFUNCTION("IFERROR(GOOGLEFINANCE(B1783,""pe""),V1783)"),0)</f>
        <v>0</v>
      </c>
      <c r="X1783" s="9"/>
      <c r="Y1783" s="6">
        <v>1.05</v>
      </c>
      <c r="Z1783" s="6">
        <v>2</v>
      </c>
      <c r="AA1783" s="8">
        <v>45352</v>
      </c>
      <c r="AB1783" s="4">
        <v>0.02</v>
      </c>
      <c r="AC1783" s="6">
        <v>-2.36</v>
      </c>
      <c r="AD1783" s="6">
        <v>-1.71</v>
      </c>
      <c r="AE1783" s="1">
        <v>0</v>
      </c>
      <c r="AF1783" s="1">
        <f ca="1">IFERROR(__xludf.DUMMYFUNCTION("IFERROR(GOOGLEFINANCE(TRIM(F1783)&amp;"":"" &amp; TRIM(B1783),""high52""),AE1783)"),20.69)</f>
        <v>20.69</v>
      </c>
      <c r="AG1783" s="1">
        <v>0</v>
      </c>
      <c r="AH1783" s="1">
        <f ca="1">IFERROR(__xludf.DUMMYFUNCTION("IFERROR(GOOGLEFINANCE(TRIM(F1783)&amp;"":"" &amp; TRIM(B1783),""low52""),AE1783)"),8.66)</f>
        <v>8.66</v>
      </c>
      <c r="AI1783" s="1">
        <f ca="1">IFERROR(__xludf.DUMMYFUNCTION("IFERROR(GOOGLEFINANCE(B1783,""eps""),0)"),0)</f>
        <v>0</v>
      </c>
      <c r="AJ1783" s="1"/>
      <c r="AK1783" s="1" t="s">
        <v>5371</v>
      </c>
      <c r="AL1783" s="9">
        <f t="shared" si="218"/>
        <v>1</v>
      </c>
    </row>
    <row r="1784" spans="1:38" ht="15" x14ac:dyDescent="0.25">
      <c r="A1784" s="1" t="s">
        <v>5372</v>
      </c>
      <c r="B1784" s="1" t="s">
        <v>5373</v>
      </c>
      <c r="C1784" s="1" t="s">
        <v>359</v>
      </c>
      <c r="D1784" s="1" t="s">
        <v>359</v>
      </c>
      <c r="E1784" s="6">
        <v>26.75</v>
      </c>
      <c r="F1784" s="1" t="s">
        <v>40</v>
      </c>
      <c r="G1784" s="6">
        <f ca="1">IFERROR(__xludf.DUMMYFUNCTION("iferror(GOOGLEFINANCE(TRIM(F1784)&amp;"":"" &amp; TRIM(B1784), ""price""),0
)"),24.01)</f>
        <v>24.01</v>
      </c>
      <c r="H1784" s="6">
        <v>42.95</v>
      </c>
      <c r="I1784" s="6">
        <f t="shared" ca="1" si="0"/>
        <v>24.01</v>
      </c>
      <c r="J1784" s="6">
        <f ca="1">IFERROR(__xludf.DUMMYFUNCTION("IFERROR(GOOGLEFINANCE(B1784, ""volume""), 0)"),454)</f>
        <v>454</v>
      </c>
      <c r="K1784" s="6">
        <v>4.0199999999999996</v>
      </c>
      <c r="L1784" s="6">
        <f ca="1">IFERROR(__xludf.DUMMYFUNCTION("IFERROR(GOOGLEFINANCE(B1784,""changepct""),K1784)"),-5.84)</f>
        <v>-5.84</v>
      </c>
      <c r="M1784" s="6">
        <f ca="1">IFERROR(__xludf.DUMMYFUNCTION("IFERROR(GOOGLEFINANCE(B1784,""change""),0)"),-1.49)</f>
        <v>-1.49</v>
      </c>
      <c r="N1784" s="6">
        <v>1</v>
      </c>
      <c r="O1784" s="7">
        <v>45536</v>
      </c>
      <c r="P1784" s="12"/>
      <c r="Q1784" s="6">
        <v>26.75</v>
      </c>
      <c r="R1784" s="7">
        <v>45352</v>
      </c>
      <c r="S1784" s="6">
        <v>13.05</v>
      </c>
      <c r="T1784" s="6">
        <v>0.25</v>
      </c>
      <c r="U1784" s="7">
        <v>45352</v>
      </c>
      <c r="V1784" s="6">
        <v>104.97</v>
      </c>
      <c r="W1784" s="6">
        <f ca="1">IFERROR(__xludf.DUMMYFUNCTION("IFERROR(GOOGLEFINANCE(B1784,""pe""),V1784)"),104.97)</f>
        <v>104.97</v>
      </c>
      <c r="X1784" s="12"/>
      <c r="Y1784" s="6">
        <v>3.98</v>
      </c>
      <c r="Z1784" s="6">
        <v>1</v>
      </c>
      <c r="AA1784" s="8">
        <v>45352</v>
      </c>
      <c r="AB1784" s="4">
        <v>0</v>
      </c>
      <c r="AC1784" s="6">
        <v>4.05</v>
      </c>
      <c r="AD1784" s="6">
        <v>9.67</v>
      </c>
      <c r="AE1784" s="1">
        <v>0</v>
      </c>
      <c r="AF1784" s="1">
        <f ca="1">IFERROR(__xludf.DUMMYFUNCTION("IFERROR(GOOGLEFINANCE(TRIM(F1784)&amp;"":"" &amp; TRIM(B1784),""high52""),AE1784)"),44.45)</f>
        <v>44.45</v>
      </c>
      <c r="AG1784" s="1">
        <v>0</v>
      </c>
      <c r="AH1784" s="1">
        <f ca="1">IFERROR(__xludf.DUMMYFUNCTION("IFERROR(GOOGLEFINANCE(TRIM(F1784)&amp;"":"" &amp; TRIM(B1784),""low52""),AE1784)"),23)</f>
        <v>23</v>
      </c>
      <c r="AI1784" s="1">
        <f ca="1">IFERROR(__xludf.DUMMYFUNCTION("IFERROR(GOOGLEFINANCE(B1784,""eps""),0)"),-0.27)</f>
        <v>-0.27</v>
      </c>
      <c r="AJ1784" s="1"/>
      <c r="AK1784" s="1" t="s">
        <v>5374</v>
      </c>
      <c r="AL1784" s="9">
        <f t="shared" si="218"/>
        <v>1</v>
      </c>
    </row>
    <row r="1785" spans="1:38" ht="15" x14ac:dyDescent="0.25">
      <c r="A1785" s="1" t="s">
        <v>5375</v>
      </c>
      <c r="B1785" s="1" t="s">
        <v>5376</v>
      </c>
      <c r="C1785" s="1" t="s">
        <v>43</v>
      </c>
      <c r="D1785" s="1" t="s">
        <v>43</v>
      </c>
      <c r="E1785" s="6">
        <v>20.010000000000002</v>
      </c>
      <c r="F1785" s="1" t="s">
        <v>53</v>
      </c>
      <c r="G1785" s="6">
        <f ca="1">IFERROR(__xludf.DUMMYFUNCTION("iferror(GOOGLEFINANCE(TRIM(F1785)&amp;"":"" &amp; TRIM(B1785), ""price""),0
)"),0)</f>
        <v>0</v>
      </c>
      <c r="H1785" s="6">
        <v>43.42</v>
      </c>
      <c r="I1785" s="6">
        <f t="shared" ca="1" si="0"/>
        <v>43.42</v>
      </c>
      <c r="J1785" s="6">
        <f ca="1">IFERROR(__xludf.DUMMYFUNCTION("IFERROR(GOOGLEFINANCE(B1785, ""volume""), 0)"),0)</f>
        <v>0</v>
      </c>
      <c r="K1785" s="6">
        <v>2</v>
      </c>
      <c r="L1785" s="6">
        <f ca="1">IFERROR(__xludf.DUMMYFUNCTION("IFERROR(GOOGLEFINANCE(B1785,""changepct""),K1785)"),2)</f>
        <v>2</v>
      </c>
      <c r="M1785" s="6">
        <f ca="1">IFERROR(__xludf.DUMMYFUNCTION("IFERROR(GOOGLEFINANCE(B1785,""change""),0)"),0)</f>
        <v>0</v>
      </c>
      <c r="N1785" s="6">
        <v>1</v>
      </c>
      <c r="O1785" s="7">
        <v>45536</v>
      </c>
      <c r="P1785" s="6">
        <v>-0.39</v>
      </c>
      <c r="Q1785" s="7">
        <v>45536</v>
      </c>
      <c r="R1785" s="6">
        <v>0</v>
      </c>
      <c r="S1785" s="9"/>
      <c r="T1785" s="6">
        <v>-36.96</v>
      </c>
      <c r="U1785" s="6">
        <v>1</v>
      </c>
      <c r="V1785" s="7">
        <v>45352</v>
      </c>
      <c r="W1785" s="10">
        <f ca="1">IFERROR(__xludf.DUMMYFUNCTION("IFERROR(GOOGLEFINANCE(B1785,""pe""),V1785)"),45352)</f>
        <v>45352</v>
      </c>
      <c r="X1785" s="6">
        <v>-0.98</v>
      </c>
      <c r="Y1785" s="6">
        <v>0</v>
      </c>
      <c r="Z1785" s="6">
        <v>0</v>
      </c>
      <c r="AA1785" s="3" t="s">
        <v>5377</v>
      </c>
      <c r="AB1785" s="11"/>
      <c r="AC1785" s="9"/>
      <c r="AD1785" s="9"/>
      <c r="AE1785" s="1">
        <v>0</v>
      </c>
      <c r="AF1785" s="1">
        <f ca="1">IFERROR(__xludf.DUMMYFUNCTION("IFERROR(GOOGLEFINANCE(TRIM(F1785)&amp;"":"" &amp; TRIM(B1785),""high52""),AE1785)"),0)</f>
        <v>0</v>
      </c>
      <c r="AG1785" s="1">
        <v>0</v>
      </c>
      <c r="AH1785" s="1">
        <f ca="1">IFERROR(__xludf.DUMMYFUNCTION("IFERROR(GOOGLEFINANCE(TRIM(F1785)&amp;"":"" &amp; TRIM(B1785),""low52""),AE1785)"),0)</f>
        <v>0</v>
      </c>
      <c r="AI1785" s="1">
        <f ca="1">IFERROR(__xludf.DUMMYFUNCTION("IFERROR(GOOGLEFINANCE(B1785,""eps""),0)"),0)</f>
        <v>0</v>
      </c>
      <c r="AJ1785" s="1"/>
      <c r="AK1785" s="1" t="s">
        <v>5378</v>
      </c>
      <c r="AL1785" s="9">
        <f t="shared" si="218"/>
        <v>1</v>
      </c>
    </row>
    <row r="1786" spans="1:38" ht="15" x14ac:dyDescent="0.25">
      <c r="A1786" s="1" t="s">
        <v>5379</v>
      </c>
      <c r="B1786" s="1" t="s">
        <v>5380</v>
      </c>
      <c r="C1786" s="1" t="s">
        <v>43</v>
      </c>
      <c r="D1786" s="1" t="s">
        <v>43</v>
      </c>
      <c r="E1786" s="6">
        <v>4.38</v>
      </c>
      <c r="F1786" s="1" t="s">
        <v>53</v>
      </c>
      <c r="G1786" s="6">
        <f ca="1">IFERROR(__xludf.DUMMYFUNCTION("iferror(GOOGLEFINANCE(TRIM(F1786)&amp;"":"" &amp; TRIM(B1786), ""price""),0
)"),0)</f>
        <v>0</v>
      </c>
      <c r="H1786" s="6">
        <v>218.8</v>
      </c>
      <c r="I1786" s="6">
        <f t="shared" ca="1" si="0"/>
        <v>218.8</v>
      </c>
      <c r="J1786" s="6">
        <f ca="1">IFERROR(__xludf.DUMMYFUNCTION("IFERROR(GOOGLEFINANCE(B1786, ""volume""), 0)"),0)</f>
        <v>0</v>
      </c>
      <c r="K1786" s="9"/>
      <c r="L1786" s="6" t="str">
        <f ca="1">IFERROR(__xludf.DUMMYFUNCTION("IFERROR(GOOGLEFINANCE(B1786,""changepct""),K1786)"),"")</f>
        <v/>
      </c>
      <c r="M1786" s="6">
        <f ca="1">IFERROR(__xludf.DUMMYFUNCTION("IFERROR(GOOGLEFINANCE(B1786,""change""),0)"),0)</f>
        <v>0</v>
      </c>
      <c r="N1786" s="6">
        <v>1</v>
      </c>
      <c r="O1786" s="7">
        <v>45536</v>
      </c>
      <c r="P1786" s="6">
        <v>-0.02</v>
      </c>
      <c r="Q1786" s="7">
        <v>45536</v>
      </c>
      <c r="R1786" s="6">
        <v>0</v>
      </c>
      <c r="S1786" s="9"/>
      <c r="T1786" s="6">
        <v>86.34</v>
      </c>
      <c r="U1786" s="6">
        <v>1</v>
      </c>
      <c r="V1786" s="7">
        <v>45352</v>
      </c>
      <c r="W1786" s="10">
        <f ca="1">IFERROR(__xludf.DUMMYFUNCTION("IFERROR(GOOGLEFINANCE(B1786,""pe""),V1786)"),45352)</f>
        <v>45352</v>
      </c>
      <c r="X1786" s="6">
        <v>0</v>
      </c>
      <c r="Y1786" s="6">
        <v>-4.28</v>
      </c>
      <c r="Z1786" s="6">
        <v>-4.1900000000000004</v>
      </c>
      <c r="AA1786" s="3" t="s">
        <v>5381</v>
      </c>
      <c r="AB1786" s="16"/>
      <c r="AC1786" s="12"/>
      <c r="AD1786" s="12"/>
      <c r="AE1786" s="1">
        <v>0</v>
      </c>
      <c r="AF1786" s="1">
        <f ca="1">IFERROR(__xludf.DUMMYFUNCTION("IFERROR(GOOGLEFINANCE(TRIM(F1786)&amp;"":"" &amp; TRIM(B1786),""high52""),AE1786)"),0)</f>
        <v>0</v>
      </c>
      <c r="AG1786" s="1">
        <v>0</v>
      </c>
      <c r="AH1786" s="1">
        <f ca="1">IFERROR(__xludf.DUMMYFUNCTION("IFERROR(GOOGLEFINANCE(TRIM(F1786)&amp;"":"" &amp; TRIM(B1786),""low52""),AE1786)"),0)</f>
        <v>0</v>
      </c>
      <c r="AI1786" s="1">
        <f ca="1">IFERROR(__xludf.DUMMYFUNCTION("IFERROR(GOOGLEFINANCE(B1786,""eps""),0)"),0)</f>
        <v>0</v>
      </c>
      <c r="AJ1786" s="1"/>
      <c r="AK1786" s="1" t="s">
        <v>5382</v>
      </c>
      <c r="AL1786" s="9">
        <f t="shared" si="218"/>
        <v>1</v>
      </c>
    </row>
    <row r="1787" spans="1:38" ht="15" x14ac:dyDescent="0.25">
      <c r="A1787" s="1" t="s">
        <v>5383</v>
      </c>
      <c r="B1787" s="1" t="s">
        <v>5384</v>
      </c>
      <c r="C1787" s="1" t="s">
        <v>43</v>
      </c>
      <c r="D1787" s="1" t="s">
        <v>43</v>
      </c>
      <c r="E1787" s="6">
        <v>25.12</v>
      </c>
      <c r="F1787" s="1" t="s">
        <v>53</v>
      </c>
      <c r="G1787" s="6">
        <f ca="1">IFERROR(__xludf.DUMMYFUNCTION("iferror(GOOGLEFINANCE(TRIM(F1787)&amp;"":"" &amp; TRIM(B1787), ""price""),0
)"),0)</f>
        <v>0</v>
      </c>
      <c r="H1787" s="6">
        <v>48.24</v>
      </c>
      <c r="I1787" s="6">
        <f t="shared" ca="1" si="0"/>
        <v>48.24</v>
      </c>
      <c r="J1787" s="6">
        <f ca="1">IFERROR(__xludf.DUMMYFUNCTION("IFERROR(GOOGLEFINANCE(B1787, ""volume""), 0)"),0)</f>
        <v>0</v>
      </c>
      <c r="K1787" s="6">
        <v>-1.99</v>
      </c>
      <c r="L1787" s="6">
        <f ca="1">IFERROR(__xludf.DUMMYFUNCTION("IFERROR(GOOGLEFINANCE(B1787,""changepct""),K1787)"),-1.99)</f>
        <v>-1.99</v>
      </c>
      <c r="M1787" s="6">
        <f ca="1">IFERROR(__xludf.DUMMYFUNCTION("IFERROR(GOOGLEFINANCE(B1787,""change""),0)"),0)</f>
        <v>0</v>
      </c>
      <c r="N1787" s="6">
        <v>1</v>
      </c>
      <c r="O1787" s="7">
        <v>45536</v>
      </c>
      <c r="P1787" s="6">
        <v>-0.03</v>
      </c>
      <c r="Q1787" s="7">
        <v>45536</v>
      </c>
      <c r="R1787" s="6">
        <v>0</v>
      </c>
      <c r="S1787" s="6">
        <v>0</v>
      </c>
      <c r="T1787" s="6">
        <v>2.2999999999999998</v>
      </c>
      <c r="U1787" s="6">
        <v>1</v>
      </c>
      <c r="V1787" s="7">
        <v>45352</v>
      </c>
      <c r="W1787" s="10">
        <f ca="1">IFERROR(__xludf.DUMMYFUNCTION("IFERROR(GOOGLEFINANCE(B1787,""pe""),V1787)"),45352)</f>
        <v>45352</v>
      </c>
      <c r="X1787" s="6">
        <v>0</v>
      </c>
      <c r="Y1787" s="6">
        <v>1.67</v>
      </c>
      <c r="Z1787" s="6">
        <v>2.25</v>
      </c>
      <c r="AA1787" s="3" t="s">
        <v>5385</v>
      </c>
      <c r="AB1787" s="11"/>
      <c r="AC1787" s="9"/>
      <c r="AD1787" s="9"/>
      <c r="AE1787" s="1">
        <v>0</v>
      </c>
      <c r="AF1787" s="1">
        <f ca="1">IFERROR(__xludf.DUMMYFUNCTION("IFERROR(GOOGLEFINANCE(TRIM(F1787)&amp;"":"" &amp; TRIM(B1787),""high52""),AE1787)"),0)</f>
        <v>0</v>
      </c>
      <c r="AG1787" s="1">
        <v>0</v>
      </c>
      <c r="AH1787" s="1">
        <f ca="1">IFERROR(__xludf.DUMMYFUNCTION("IFERROR(GOOGLEFINANCE(TRIM(F1787)&amp;"":"" &amp; TRIM(B1787),""low52""),AE1787)"),0)</f>
        <v>0</v>
      </c>
      <c r="AI1787" s="1">
        <f ca="1">IFERROR(__xludf.DUMMYFUNCTION("IFERROR(GOOGLEFINANCE(B1787,""eps""),0)"),0)</f>
        <v>0</v>
      </c>
      <c r="AJ1787" s="1"/>
      <c r="AK1787" s="1" t="s">
        <v>5386</v>
      </c>
      <c r="AL1787" s="9">
        <f t="shared" si="218"/>
        <v>1</v>
      </c>
    </row>
    <row r="1788" spans="1:38" ht="15" x14ac:dyDescent="0.25">
      <c r="A1788" s="1" t="s">
        <v>5387</v>
      </c>
      <c r="B1788" s="1" t="s">
        <v>5388</v>
      </c>
      <c r="C1788" s="1" t="s">
        <v>43</v>
      </c>
      <c r="D1788" s="1" t="s">
        <v>43</v>
      </c>
      <c r="E1788" s="6">
        <v>10.76</v>
      </c>
      <c r="F1788" s="1" t="s">
        <v>53</v>
      </c>
      <c r="G1788" s="6">
        <f ca="1">IFERROR(__xludf.DUMMYFUNCTION("iferror(GOOGLEFINANCE(TRIM(F1788)&amp;"":"" &amp; TRIM(B1788), ""price""),0
)"),0)</f>
        <v>0</v>
      </c>
      <c r="H1788" s="6">
        <v>14.1</v>
      </c>
      <c r="I1788" s="6">
        <f t="shared" ca="1" si="0"/>
        <v>14.1</v>
      </c>
      <c r="J1788" s="6">
        <f ca="1">IFERROR(__xludf.DUMMYFUNCTION("IFERROR(GOOGLEFINANCE(B1788, ""volume""), 0)"),0)</f>
        <v>0</v>
      </c>
      <c r="K1788" s="6">
        <v>-4.99</v>
      </c>
      <c r="L1788" s="6">
        <f ca="1">IFERROR(__xludf.DUMMYFUNCTION("IFERROR(GOOGLEFINANCE(B1788,""changepct""),K1788)"),-4.99)</f>
        <v>-4.99</v>
      </c>
      <c r="M1788" s="6">
        <f ca="1">IFERROR(__xludf.DUMMYFUNCTION("IFERROR(GOOGLEFINANCE(B1788,""change""),0)"),0)</f>
        <v>0</v>
      </c>
      <c r="N1788" s="6">
        <v>1</v>
      </c>
      <c r="O1788" s="7">
        <v>45536</v>
      </c>
      <c r="P1788" s="6">
        <v>-0.08</v>
      </c>
      <c r="Q1788" s="7">
        <v>45536</v>
      </c>
      <c r="R1788" s="6">
        <v>0</v>
      </c>
      <c r="S1788" s="9"/>
      <c r="T1788" s="6">
        <v>1.47</v>
      </c>
      <c r="U1788" s="6">
        <v>1</v>
      </c>
      <c r="V1788" s="7">
        <v>45352</v>
      </c>
      <c r="W1788" s="10">
        <f ca="1">IFERROR(__xludf.DUMMYFUNCTION("IFERROR(GOOGLEFINANCE(B1788,""pe""),V1788)"),45352)</f>
        <v>45352</v>
      </c>
      <c r="X1788" s="6">
        <v>0.2</v>
      </c>
      <c r="Y1788" s="6">
        <v>-1.18</v>
      </c>
      <c r="Z1788" s="6">
        <v>-0.98</v>
      </c>
      <c r="AA1788" s="3" t="s">
        <v>5389</v>
      </c>
      <c r="AB1788" s="11"/>
      <c r="AC1788" s="9"/>
      <c r="AD1788" s="9"/>
      <c r="AE1788" s="1">
        <v>0</v>
      </c>
      <c r="AF1788" s="1">
        <f ca="1">IFERROR(__xludf.DUMMYFUNCTION("IFERROR(GOOGLEFINANCE(TRIM(F1788)&amp;"":"" &amp; TRIM(B1788),""high52""),AE1788)"),0)</f>
        <v>0</v>
      </c>
      <c r="AG1788" s="1">
        <v>0</v>
      </c>
      <c r="AH1788" s="1">
        <f ca="1">IFERROR(__xludf.DUMMYFUNCTION("IFERROR(GOOGLEFINANCE(TRIM(F1788)&amp;"":"" &amp; TRIM(B1788),""low52""),AE1788)"),0)</f>
        <v>0</v>
      </c>
      <c r="AI1788" s="1">
        <f ca="1">IFERROR(__xludf.DUMMYFUNCTION("IFERROR(GOOGLEFINANCE(B1788,""eps""),0)"),0)</f>
        <v>0</v>
      </c>
      <c r="AJ1788" s="1"/>
      <c r="AK1788" s="9"/>
      <c r="AL1788" s="9">
        <f t="shared" si="218"/>
        <v>1</v>
      </c>
    </row>
    <row r="1789" spans="1:38" ht="15" x14ac:dyDescent="0.25">
      <c r="A1789" s="1" t="s">
        <v>5390</v>
      </c>
      <c r="B1789" s="1" t="s">
        <v>5391</v>
      </c>
      <c r="C1789" s="1" t="s">
        <v>43</v>
      </c>
      <c r="D1789" s="1" t="s">
        <v>43</v>
      </c>
      <c r="E1789" s="6">
        <v>49.45</v>
      </c>
      <c r="F1789" s="1" t="s">
        <v>53</v>
      </c>
      <c r="G1789" s="6">
        <f ca="1">IFERROR(__xludf.DUMMYFUNCTION("iferror(GOOGLEFINANCE(TRIM(F1789)&amp;"":"" &amp; TRIM(B1789), ""price""),0
)"),0)</f>
        <v>0</v>
      </c>
      <c r="H1789" s="6">
        <v>8.4600000000000009</v>
      </c>
      <c r="I1789" s="6">
        <f t="shared" ca="1" si="0"/>
        <v>8.4600000000000009</v>
      </c>
      <c r="J1789" s="6">
        <f ca="1">IFERROR(__xludf.DUMMYFUNCTION("IFERROR(GOOGLEFINANCE(B1789, ""volume""), 0)"),0)</f>
        <v>0</v>
      </c>
      <c r="K1789" s="6">
        <v>0</v>
      </c>
      <c r="L1789" s="6">
        <f ca="1">IFERROR(__xludf.DUMMYFUNCTION("IFERROR(GOOGLEFINANCE(B1789,""changepct""),K1789)"),0)</f>
        <v>0</v>
      </c>
      <c r="M1789" s="6">
        <f ca="1">IFERROR(__xludf.DUMMYFUNCTION("IFERROR(GOOGLEFINANCE(B1789,""change""),0)"),0)</f>
        <v>0</v>
      </c>
      <c r="N1789" s="6">
        <v>1</v>
      </c>
      <c r="O1789" s="7">
        <v>45536</v>
      </c>
      <c r="P1789" s="6">
        <v>0</v>
      </c>
      <c r="Q1789" s="7">
        <v>45536</v>
      </c>
      <c r="R1789" s="6">
        <v>0</v>
      </c>
      <c r="S1789" s="6">
        <v>0</v>
      </c>
      <c r="T1789" s="6">
        <v>10.41</v>
      </c>
      <c r="U1789" s="6">
        <v>1</v>
      </c>
      <c r="V1789" s="7">
        <v>45352</v>
      </c>
      <c r="W1789" s="10">
        <f ca="1">IFERROR(__xludf.DUMMYFUNCTION("IFERROR(GOOGLEFINANCE(B1789,""pe""),V1789)"),45352)</f>
        <v>45352</v>
      </c>
      <c r="X1789" s="6">
        <v>0.24</v>
      </c>
      <c r="Y1789" s="6">
        <v>3.26</v>
      </c>
      <c r="Z1789" s="6">
        <v>2.0099999999999998</v>
      </c>
      <c r="AA1789" s="3" t="s">
        <v>5392</v>
      </c>
      <c r="AB1789" s="11"/>
      <c r="AC1789" s="9"/>
      <c r="AD1789" s="9"/>
      <c r="AE1789" s="1">
        <v>0</v>
      </c>
      <c r="AF1789" s="1">
        <f ca="1">IFERROR(__xludf.DUMMYFUNCTION("IFERROR(GOOGLEFINANCE(TRIM(F1789)&amp;"":"" &amp; TRIM(B1789),""high52""),AE1789)"),0)</f>
        <v>0</v>
      </c>
      <c r="AG1789" s="1">
        <v>0</v>
      </c>
      <c r="AH1789" s="1">
        <f ca="1">IFERROR(__xludf.DUMMYFUNCTION("IFERROR(GOOGLEFINANCE(TRIM(F1789)&amp;"":"" &amp; TRIM(B1789),""low52""),AE1789)"),0)</f>
        <v>0</v>
      </c>
      <c r="AI1789" s="1">
        <f ca="1">IFERROR(__xludf.DUMMYFUNCTION("IFERROR(GOOGLEFINANCE(B1789,""eps""),0)"),0)</f>
        <v>0</v>
      </c>
      <c r="AJ1789" s="1"/>
      <c r="AK1789" s="1" t="s">
        <v>5393</v>
      </c>
      <c r="AL1789" s="9">
        <f t="shared" si="218"/>
        <v>1</v>
      </c>
    </row>
    <row r="1790" spans="1:38" ht="15" x14ac:dyDescent="0.25">
      <c r="A1790" s="1" t="s">
        <v>5394</v>
      </c>
      <c r="B1790" s="1" t="s">
        <v>5395</v>
      </c>
      <c r="C1790" s="1" t="s">
        <v>43</v>
      </c>
      <c r="D1790" s="1" t="s">
        <v>43</v>
      </c>
      <c r="E1790" s="6">
        <v>21.57</v>
      </c>
      <c r="F1790" s="1" t="s">
        <v>53</v>
      </c>
      <c r="G1790" s="6">
        <f ca="1">IFERROR(__xludf.DUMMYFUNCTION("iferror(GOOGLEFINANCE(TRIM(F1790)&amp;"":"" &amp; TRIM(B1790), ""price""),0
)"),0)</f>
        <v>0</v>
      </c>
      <c r="H1790" s="6">
        <v>19.5</v>
      </c>
      <c r="I1790" s="6">
        <f t="shared" ca="1" si="0"/>
        <v>19.5</v>
      </c>
      <c r="J1790" s="6">
        <f ca="1">IFERROR(__xludf.DUMMYFUNCTION("IFERROR(GOOGLEFINANCE(B1790, ""volume""), 0)"),0)</f>
        <v>0</v>
      </c>
      <c r="K1790" s="6">
        <v>0</v>
      </c>
      <c r="L1790" s="6">
        <f ca="1">IFERROR(__xludf.DUMMYFUNCTION("IFERROR(GOOGLEFINANCE(B1790,""changepct""),K1790)"),0)</f>
        <v>0</v>
      </c>
      <c r="M1790" s="6">
        <f ca="1">IFERROR(__xludf.DUMMYFUNCTION("IFERROR(GOOGLEFINANCE(B1790,""change""),0)"),0)</f>
        <v>0</v>
      </c>
      <c r="N1790" s="6">
        <v>2</v>
      </c>
      <c r="O1790" s="7">
        <v>45536</v>
      </c>
      <c r="P1790" s="6">
        <v>-0.04</v>
      </c>
      <c r="Q1790" s="7">
        <v>45536</v>
      </c>
      <c r="R1790" s="6">
        <v>0</v>
      </c>
      <c r="S1790" s="6">
        <v>0</v>
      </c>
      <c r="T1790" s="6">
        <v>0.47</v>
      </c>
      <c r="U1790" s="6">
        <v>2</v>
      </c>
      <c r="V1790" s="7">
        <v>45352</v>
      </c>
      <c r="W1790" s="10">
        <f ca="1">IFERROR(__xludf.DUMMYFUNCTION("IFERROR(GOOGLEFINANCE(B1790,""pe""),V1790)"),45352)</f>
        <v>45352</v>
      </c>
      <c r="X1790" s="6">
        <v>0.22</v>
      </c>
      <c r="Y1790" s="6">
        <v>0.94</v>
      </c>
      <c r="Z1790" s="6">
        <v>2.7</v>
      </c>
      <c r="AA1790" s="3" t="s">
        <v>5396</v>
      </c>
      <c r="AB1790" s="11"/>
      <c r="AC1790" s="9"/>
      <c r="AD1790" s="9"/>
      <c r="AE1790" s="1">
        <v>0</v>
      </c>
      <c r="AF1790" s="1">
        <f ca="1">IFERROR(__xludf.DUMMYFUNCTION("IFERROR(GOOGLEFINANCE(TRIM(F1790)&amp;"":"" &amp; TRIM(B1790),""high52""),AE1790)"),0)</f>
        <v>0</v>
      </c>
      <c r="AG1790" s="1">
        <v>0</v>
      </c>
      <c r="AH1790" s="1">
        <f ca="1">IFERROR(__xludf.DUMMYFUNCTION("IFERROR(GOOGLEFINANCE(TRIM(F1790)&amp;"":"" &amp; TRIM(B1790),""low52""),AE1790)"),0)</f>
        <v>0</v>
      </c>
      <c r="AI1790" s="1">
        <f ca="1">IFERROR(__xludf.DUMMYFUNCTION("IFERROR(GOOGLEFINANCE(B1790,""eps""),0)"),0)</f>
        <v>0</v>
      </c>
      <c r="AJ1790" s="1"/>
      <c r="AK1790" s="1" t="s">
        <v>5397</v>
      </c>
      <c r="AL1790" s="9">
        <f t="shared" si="218"/>
        <v>1</v>
      </c>
    </row>
    <row r="1791" spans="1:38" ht="15" x14ac:dyDescent="0.25">
      <c r="A1791" s="1" t="s">
        <v>5398</v>
      </c>
      <c r="B1791" s="1" t="s">
        <v>5399</v>
      </c>
      <c r="C1791" s="1" t="s">
        <v>43</v>
      </c>
      <c r="D1791" s="1" t="s">
        <v>43</v>
      </c>
      <c r="E1791" s="6">
        <v>93.85</v>
      </c>
      <c r="F1791" s="1" t="s">
        <v>53</v>
      </c>
      <c r="G1791" s="6">
        <f ca="1">IFERROR(__xludf.DUMMYFUNCTION("iferror(GOOGLEFINANCE(TRIM(F1791)&amp;"":"" &amp; TRIM(B1791), ""price""),0
)"),0)</f>
        <v>0</v>
      </c>
      <c r="H1791" s="6">
        <v>309.7</v>
      </c>
      <c r="I1791" s="6">
        <f t="shared" ca="1" si="0"/>
        <v>309.7</v>
      </c>
      <c r="J1791" s="6">
        <f ca="1">IFERROR(__xludf.DUMMYFUNCTION("IFERROR(GOOGLEFINANCE(B1791, ""volume""), 0)"),0)</f>
        <v>0</v>
      </c>
      <c r="K1791" s="6">
        <v>-4.99</v>
      </c>
      <c r="L1791" s="6">
        <f ca="1">IFERROR(__xludf.DUMMYFUNCTION("IFERROR(GOOGLEFINANCE(B1791,""changepct""),K1791)"),-4.99)</f>
        <v>-4.99</v>
      </c>
      <c r="M1791" s="6">
        <f ca="1">IFERROR(__xludf.DUMMYFUNCTION("IFERROR(GOOGLEFINANCE(B1791,""change""),0)"),0)</f>
        <v>0</v>
      </c>
      <c r="N1791" s="6">
        <v>2</v>
      </c>
      <c r="O1791" s="7">
        <v>45536</v>
      </c>
      <c r="P1791" s="6">
        <v>-11.5</v>
      </c>
      <c r="Q1791" s="7">
        <v>45536</v>
      </c>
      <c r="R1791" s="6">
        <v>0</v>
      </c>
      <c r="S1791" s="9"/>
      <c r="T1791" s="6">
        <v>0.27</v>
      </c>
      <c r="U1791" s="6">
        <v>2</v>
      </c>
      <c r="V1791" s="7">
        <v>45352</v>
      </c>
      <c r="W1791" s="10">
        <f ca="1">IFERROR(__xludf.DUMMYFUNCTION("IFERROR(GOOGLEFINANCE(B1791,""pe""),V1791)"),45352)</f>
        <v>45352</v>
      </c>
      <c r="X1791" s="6">
        <v>0.05</v>
      </c>
      <c r="Y1791" s="6">
        <v>-3.76</v>
      </c>
      <c r="Z1791" s="6">
        <v>-2.02</v>
      </c>
      <c r="AA1791" s="3" t="s">
        <v>5400</v>
      </c>
      <c r="AB1791" s="11"/>
      <c r="AC1791" s="9"/>
      <c r="AD1791" s="9"/>
      <c r="AE1791" s="1">
        <v>0</v>
      </c>
      <c r="AF1791" s="1">
        <f ca="1">IFERROR(__xludf.DUMMYFUNCTION("IFERROR(GOOGLEFINANCE(TRIM(F1791)&amp;"":"" &amp; TRIM(B1791),""high52""),AE1791)"),0)</f>
        <v>0</v>
      </c>
      <c r="AG1791" s="1">
        <v>0</v>
      </c>
      <c r="AH1791" s="1">
        <f ca="1">IFERROR(__xludf.DUMMYFUNCTION("IFERROR(GOOGLEFINANCE(TRIM(F1791)&amp;"":"" &amp; TRIM(B1791),""low52""),AE1791)"),0)</f>
        <v>0</v>
      </c>
      <c r="AI1791" s="1">
        <f ca="1">IFERROR(__xludf.DUMMYFUNCTION("IFERROR(GOOGLEFINANCE(B1791,""eps""),0)"),0)</f>
        <v>0</v>
      </c>
      <c r="AJ1791" s="1"/>
      <c r="AK1791" s="1" t="s">
        <v>5401</v>
      </c>
      <c r="AL1791" s="9">
        <f t="shared" si="218"/>
        <v>1</v>
      </c>
    </row>
    <row r="1792" spans="1:38" ht="15" x14ac:dyDescent="0.25">
      <c r="A1792" s="1" t="s">
        <v>5402</v>
      </c>
      <c r="B1792" s="1" t="s">
        <v>5403</v>
      </c>
      <c r="C1792" s="1" t="s">
        <v>43</v>
      </c>
      <c r="D1792" s="1" t="s">
        <v>43</v>
      </c>
      <c r="E1792" s="6">
        <v>699.35</v>
      </c>
      <c r="F1792" s="1" t="s">
        <v>53</v>
      </c>
      <c r="G1792" s="6">
        <f ca="1">IFERROR(__xludf.DUMMYFUNCTION("iferror(GOOGLEFINANCE(TRIM(F1792)&amp;"":"" &amp; TRIM(B1792), ""price""),0
)"),0)</f>
        <v>0</v>
      </c>
      <c r="H1792" s="6">
        <v>104.9</v>
      </c>
      <c r="I1792" s="6">
        <f t="shared" ca="1" si="0"/>
        <v>104.9</v>
      </c>
      <c r="J1792" s="6">
        <f ca="1">IFERROR(__xludf.DUMMYFUNCTION("IFERROR(GOOGLEFINANCE(B1792, ""volume""), 0)"),0)</f>
        <v>0</v>
      </c>
      <c r="K1792" s="6">
        <v>4.57</v>
      </c>
      <c r="L1792" s="6">
        <f ca="1">IFERROR(__xludf.DUMMYFUNCTION("IFERROR(GOOGLEFINANCE(B1792,""changepct""),K1792)"),4.57)</f>
        <v>4.57</v>
      </c>
      <c r="M1792" s="6">
        <f ca="1">IFERROR(__xludf.DUMMYFUNCTION("IFERROR(GOOGLEFINANCE(B1792,""change""),0)"),0)</f>
        <v>0</v>
      </c>
      <c r="N1792" s="6">
        <v>1</v>
      </c>
      <c r="O1792" s="7">
        <v>45536</v>
      </c>
      <c r="P1792" s="6">
        <v>-0.02</v>
      </c>
      <c r="Q1792" s="7">
        <v>45536</v>
      </c>
      <c r="R1792" s="6">
        <v>0</v>
      </c>
      <c r="S1792" s="6">
        <v>0</v>
      </c>
      <c r="T1792" s="6">
        <v>6.8</v>
      </c>
      <c r="U1792" s="6">
        <v>1</v>
      </c>
      <c r="V1792" s="7">
        <v>45352</v>
      </c>
      <c r="W1792" s="10">
        <f ca="1">IFERROR(__xludf.DUMMYFUNCTION("IFERROR(GOOGLEFINANCE(B1792,""pe""),V1792)"),45352)</f>
        <v>45352</v>
      </c>
      <c r="X1792" s="6">
        <v>0</v>
      </c>
      <c r="Y1792" s="6">
        <v>-1.82</v>
      </c>
      <c r="Z1792" s="6">
        <v>-1.83</v>
      </c>
      <c r="AA1792" s="3" t="s">
        <v>5404</v>
      </c>
      <c r="AB1792" s="11"/>
      <c r="AC1792" s="9"/>
      <c r="AD1792" s="9"/>
      <c r="AE1792" s="1">
        <v>0</v>
      </c>
      <c r="AF1792" s="1">
        <f ca="1">IFERROR(__xludf.DUMMYFUNCTION("IFERROR(GOOGLEFINANCE(TRIM(F1792)&amp;"":"" &amp; TRIM(B1792),""high52""),AE1792)"),0)</f>
        <v>0</v>
      </c>
      <c r="AG1792" s="1">
        <v>0</v>
      </c>
      <c r="AH1792" s="1">
        <f ca="1">IFERROR(__xludf.DUMMYFUNCTION("IFERROR(GOOGLEFINANCE(TRIM(F1792)&amp;"":"" &amp; TRIM(B1792),""low52""),AE1792)"),0)</f>
        <v>0</v>
      </c>
      <c r="AI1792" s="1">
        <f ca="1">IFERROR(__xludf.DUMMYFUNCTION("IFERROR(GOOGLEFINANCE(B1792,""eps""),0)"),0)</f>
        <v>0</v>
      </c>
      <c r="AJ1792" s="1"/>
      <c r="AK1792" s="1" t="s">
        <v>5405</v>
      </c>
      <c r="AL1792" s="9">
        <f t="shared" si="218"/>
        <v>1</v>
      </c>
    </row>
    <row r="1793" spans="1:38" ht="15" x14ac:dyDescent="0.25">
      <c r="A1793" s="1" t="s">
        <v>5406</v>
      </c>
      <c r="B1793" s="1" t="s">
        <v>5407</v>
      </c>
      <c r="C1793" s="1" t="s">
        <v>43</v>
      </c>
      <c r="D1793" s="1" t="s">
        <v>43</v>
      </c>
      <c r="E1793" s="6">
        <v>27.93</v>
      </c>
      <c r="F1793" s="1" t="s">
        <v>53</v>
      </c>
      <c r="G1793" s="6">
        <f ca="1">IFERROR(__xludf.DUMMYFUNCTION("iferror(GOOGLEFINANCE(TRIM(F1793)&amp;"":"" &amp; TRIM(B1793), ""price""),0
)"),0)</f>
        <v>0</v>
      </c>
      <c r="H1793" s="6">
        <v>0.36</v>
      </c>
      <c r="I1793" s="6">
        <f t="shared" ca="1" si="0"/>
        <v>0.36</v>
      </c>
      <c r="J1793" s="6">
        <f ca="1">IFERROR(__xludf.DUMMYFUNCTION("IFERROR(GOOGLEFINANCE(B1793, ""volume""), 0)"),0)</f>
        <v>0</v>
      </c>
      <c r="K1793" s="6">
        <v>2.86</v>
      </c>
      <c r="L1793" s="6">
        <f ca="1">IFERROR(__xludf.DUMMYFUNCTION("IFERROR(GOOGLEFINANCE(B1793,""changepct""),K1793)"),2.86)</f>
        <v>2.86</v>
      </c>
      <c r="M1793" s="6">
        <f ca="1">IFERROR(__xludf.DUMMYFUNCTION("IFERROR(GOOGLEFINANCE(B1793,""change""),0)"),0)</f>
        <v>0</v>
      </c>
      <c r="N1793" s="6">
        <v>1</v>
      </c>
      <c r="O1793" s="7">
        <v>45536</v>
      </c>
      <c r="P1793" s="6">
        <v>-59.43</v>
      </c>
      <c r="Q1793" s="7">
        <v>45536</v>
      </c>
      <c r="R1793" s="6">
        <v>0</v>
      </c>
      <c r="S1793" s="9"/>
      <c r="T1793" s="6">
        <v>3.13</v>
      </c>
      <c r="U1793" s="6">
        <v>1</v>
      </c>
      <c r="V1793" s="7">
        <v>45352</v>
      </c>
      <c r="W1793" s="10">
        <f ca="1">IFERROR(__xludf.DUMMYFUNCTION("IFERROR(GOOGLEFINANCE(B1793,""pe""),V1793)"),45352)</f>
        <v>45352</v>
      </c>
      <c r="X1793" s="6">
        <v>0</v>
      </c>
      <c r="Y1793" s="6">
        <v>-363.41</v>
      </c>
      <c r="Z1793" s="6">
        <v>-363.41</v>
      </c>
      <c r="AA1793" s="3" t="s">
        <v>5408</v>
      </c>
      <c r="AB1793" s="11"/>
      <c r="AC1793" s="9"/>
      <c r="AD1793" s="9"/>
      <c r="AE1793" s="1">
        <v>0</v>
      </c>
      <c r="AF1793" s="1">
        <f ca="1">IFERROR(__xludf.DUMMYFUNCTION("IFERROR(GOOGLEFINANCE(TRIM(F1793)&amp;"":"" &amp; TRIM(B1793),""high52""),AE1793)"),0)</f>
        <v>0</v>
      </c>
      <c r="AG1793" s="1">
        <v>0</v>
      </c>
      <c r="AH1793" s="1">
        <f ca="1">IFERROR(__xludf.DUMMYFUNCTION("IFERROR(GOOGLEFINANCE(TRIM(F1793)&amp;"":"" &amp; TRIM(B1793),""low52""),AE1793)"),0)</f>
        <v>0</v>
      </c>
      <c r="AI1793" s="1">
        <f ca="1">IFERROR(__xludf.DUMMYFUNCTION("IFERROR(GOOGLEFINANCE(B1793,""eps""),0)"),0)</f>
        <v>0</v>
      </c>
      <c r="AJ1793" s="1"/>
      <c r="AK1793" s="1" t="s">
        <v>5409</v>
      </c>
      <c r="AL1793" s="9">
        <f t="shared" si="218"/>
        <v>1</v>
      </c>
    </row>
    <row r="1794" spans="1:38" ht="15" x14ac:dyDescent="0.25">
      <c r="A1794" s="1" t="s">
        <v>5410</v>
      </c>
      <c r="B1794" s="1" t="s">
        <v>5411</v>
      </c>
      <c r="C1794" s="1" t="s">
        <v>43</v>
      </c>
      <c r="D1794" s="1" t="s">
        <v>43</v>
      </c>
      <c r="E1794" s="6">
        <v>32.26</v>
      </c>
      <c r="F1794" s="1" t="s">
        <v>53</v>
      </c>
      <c r="G1794" s="6">
        <f ca="1">IFERROR(__xludf.DUMMYFUNCTION("iferror(GOOGLEFINANCE(TRIM(F1794)&amp;"":"" &amp; TRIM(B1794), ""price""),0
)"),0)</f>
        <v>0</v>
      </c>
      <c r="H1794" s="6">
        <v>82.98</v>
      </c>
      <c r="I1794" s="6">
        <f t="shared" ca="1" si="0"/>
        <v>82.98</v>
      </c>
      <c r="J1794" s="6">
        <f ca="1">IFERROR(__xludf.DUMMYFUNCTION("IFERROR(GOOGLEFINANCE(B1794, ""volume""), 0)"),0)</f>
        <v>0</v>
      </c>
      <c r="K1794" s="6">
        <v>2.0499999999999998</v>
      </c>
      <c r="L1794" s="6">
        <f ca="1">IFERROR(__xludf.DUMMYFUNCTION("IFERROR(GOOGLEFINANCE(B1794,""changepct""),K1794)"),2.05)</f>
        <v>2.0499999999999998</v>
      </c>
      <c r="M1794" s="6">
        <f ca="1">IFERROR(__xludf.DUMMYFUNCTION("IFERROR(GOOGLEFINANCE(B1794,""change""),0)"),0)</f>
        <v>0</v>
      </c>
      <c r="N1794" s="6">
        <v>2</v>
      </c>
      <c r="O1794" s="7">
        <v>45536</v>
      </c>
      <c r="P1794" s="6">
        <v>-7.57</v>
      </c>
      <c r="Q1794" s="7">
        <v>45536</v>
      </c>
      <c r="R1794" s="6">
        <v>0</v>
      </c>
      <c r="S1794" s="6">
        <v>0</v>
      </c>
      <c r="T1794" s="6">
        <v>0.6</v>
      </c>
      <c r="U1794" s="6">
        <v>2</v>
      </c>
      <c r="V1794" s="7">
        <v>45352</v>
      </c>
      <c r="W1794" s="10">
        <f ca="1">IFERROR(__xludf.DUMMYFUNCTION("IFERROR(GOOGLEFINANCE(B1794,""pe""),V1794)"),45352)</f>
        <v>45352</v>
      </c>
      <c r="X1794" s="6">
        <v>0.04</v>
      </c>
      <c r="Y1794" s="6">
        <v>-13.97</v>
      </c>
      <c r="Z1794" s="6">
        <v>-13.6</v>
      </c>
      <c r="AA1794" s="3" t="s">
        <v>5412</v>
      </c>
      <c r="AB1794" s="11"/>
      <c r="AC1794" s="9"/>
      <c r="AD1794" s="9"/>
      <c r="AE1794" s="1">
        <v>0</v>
      </c>
      <c r="AF1794" s="1">
        <f ca="1">IFERROR(__xludf.DUMMYFUNCTION("IFERROR(GOOGLEFINANCE(TRIM(F1794)&amp;"":"" &amp; TRIM(B1794),""high52""),AE1794)"),0)</f>
        <v>0</v>
      </c>
      <c r="AG1794" s="1">
        <v>0</v>
      </c>
      <c r="AH1794" s="1">
        <f ca="1">IFERROR(__xludf.DUMMYFUNCTION("IFERROR(GOOGLEFINANCE(TRIM(F1794)&amp;"":"" &amp; TRIM(B1794),""low52""),AE1794)"),0)</f>
        <v>0</v>
      </c>
      <c r="AI1794" s="1">
        <f ca="1">IFERROR(__xludf.DUMMYFUNCTION("IFERROR(GOOGLEFINANCE(B1794,""eps""),0)"),0)</f>
        <v>0</v>
      </c>
      <c r="AJ1794" s="1"/>
      <c r="AK1794" s="1" t="s">
        <v>5413</v>
      </c>
      <c r="AL1794" s="9">
        <f t="shared" si="218"/>
        <v>1</v>
      </c>
    </row>
    <row r="1795" spans="1:38" ht="15" x14ac:dyDescent="0.25">
      <c r="A1795" s="1" t="s">
        <v>5414</v>
      </c>
      <c r="B1795" s="1" t="s">
        <v>5415</v>
      </c>
      <c r="C1795" s="1" t="s">
        <v>43</v>
      </c>
      <c r="D1795" s="1" t="s">
        <v>43</v>
      </c>
      <c r="E1795" s="6">
        <v>16.02</v>
      </c>
      <c r="F1795" s="1" t="s">
        <v>53</v>
      </c>
      <c r="G1795" s="6">
        <f ca="1">IFERROR(__xludf.DUMMYFUNCTION("iferror(GOOGLEFINANCE(TRIM(F1795)&amp;"":"" &amp; TRIM(B1795), ""price""),0
)"),0)</f>
        <v>0</v>
      </c>
      <c r="H1795" s="6">
        <v>10.45</v>
      </c>
      <c r="I1795" s="6">
        <f t="shared" ca="1" si="0"/>
        <v>10.45</v>
      </c>
      <c r="J1795" s="6">
        <f ca="1">IFERROR(__xludf.DUMMYFUNCTION("IFERROR(GOOGLEFINANCE(B1795, ""volume""), 0)"),0)</f>
        <v>0</v>
      </c>
      <c r="K1795" s="6">
        <v>-3.78</v>
      </c>
      <c r="L1795" s="6">
        <f ca="1">IFERROR(__xludf.DUMMYFUNCTION("IFERROR(GOOGLEFINANCE(B1795,""changepct""),K1795)"),-3.78)</f>
        <v>-3.78</v>
      </c>
      <c r="M1795" s="6">
        <f ca="1">IFERROR(__xludf.DUMMYFUNCTION("IFERROR(GOOGLEFINANCE(B1795,""change""),0)"),0)</f>
        <v>0</v>
      </c>
      <c r="N1795" s="6">
        <v>1</v>
      </c>
      <c r="O1795" s="7">
        <v>45536</v>
      </c>
      <c r="P1795" s="6">
        <v>-0.16</v>
      </c>
      <c r="Q1795" s="7">
        <v>45536</v>
      </c>
      <c r="R1795" s="6">
        <v>0</v>
      </c>
      <c r="S1795" s="9"/>
      <c r="T1795" s="6">
        <v>0.28000000000000003</v>
      </c>
      <c r="U1795" s="6">
        <v>1</v>
      </c>
      <c r="V1795" s="7">
        <v>45352</v>
      </c>
      <c r="W1795" s="10">
        <f ca="1">IFERROR(__xludf.DUMMYFUNCTION("IFERROR(GOOGLEFINANCE(B1795,""pe""),V1795)"),45352)</f>
        <v>45352</v>
      </c>
      <c r="X1795" s="6">
        <v>0</v>
      </c>
      <c r="Y1795" s="6">
        <v>-0.01</v>
      </c>
      <c r="Z1795" s="6">
        <v>0.1</v>
      </c>
      <c r="AA1795" s="3" t="s">
        <v>5416</v>
      </c>
      <c r="AB1795" s="11"/>
      <c r="AC1795" s="9"/>
      <c r="AD1795" s="9"/>
      <c r="AE1795" s="1">
        <v>0</v>
      </c>
      <c r="AF1795" s="1">
        <f ca="1">IFERROR(__xludf.DUMMYFUNCTION("IFERROR(GOOGLEFINANCE(TRIM(F1795)&amp;"":"" &amp; TRIM(B1795),""high52""),AE1795)"),0)</f>
        <v>0</v>
      </c>
      <c r="AG1795" s="1">
        <v>0</v>
      </c>
      <c r="AH1795" s="1">
        <f ca="1">IFERROR(__xludf.DUMMYFUNCTION("IFERROR(GOOGLEFINANCE(TRIM(F1795)&amp;"":"" &amp; TRIM(B1795),""low52""),AE1795)"),0)</f>
        <v>0</v>
      </c>
      <c r="AI1795" s="1">
        <f ca="1">IFERROR(__xludf.DUMMYFUNCTION("IFERROR(GOOGLEFINANCE(B1795,""eps""),0)"),0)</f>
        <v>0</v>
      </c>
      <c r="AJ1795" s="1"/>
      <c r="AK1795" s="1" t="s">
        <v>5417</v>
      </c>
      <c r="AL1795" s="9">
        <f t="shared" si="218"/>
        <v>1</v>
      </c>
    </row>
    <row r="1796" spans="1:38" ht="15" x14ac:dyDescent="0.25">
      <c r="A1796" s="1" t="s">
        <v>5418</v>
      </c>
      <c r="B1796" s="1" t="s">
        <v>5419</v>
      </c>
      <c r="C1796" s="1" t="s">
        <v>43</v>
      </c>
      <c r="D1796" s="1" t="s">
        <v>43</v>
      </c>
      <c r="E1796" s="6">
        <v>5</v>
      </c>
      <c r="F1796" s="1" t="s">
        <v>53</v>
      </c>
      <c r="G1796" s="6">
        <f ca="1">IFERROR(__xludf.DUMMYFUNCTION("iferror(GOOGLEFINANCE(TRIM(F1796)&amp;"":"" &amp; TRIM(B1796), ""price""),0
)"),0)</f>
        <v>0</v>
      </c>
      <c r="H1796" s="6">
        <v>9.75</v>
      </c>
      <c r="I1796" s="6">
        <f t="shared" ca="1" si="0"/>
        <v>9.75</v>
      </c>
      <c r="J1796" s="6">
        <f ca="1">IFERROR(__xludf.DUMMYFUNCTION("IFERROR(GOOGLEFINANCE(B1796, ""volume""), 0)"),0)</f>
        <v>0</v>
      </c>
      <c r="K1796" s="6">
        <v>-2.5</v>
      </c>
      <c r="L1796" s="6">
        <f ca="1">IFERROR(__xludf.DUMMYFUNCTION("IFERROR(GOOGLEFINANCE(B1796,""changepct""),K1796)"),-2.5)</f>
        <v>-2.5</v>
      </c>
      <c r="M1796" s="6">
        <f ca="1">IFERROR(__xludf.DUMMYFUNCTION("IFERROR(GOOGLEFINANCE(B1796,""change""),0)"),0)</f>
        <v>0</v>
      </c>
      <c r="N1796" s="6">
        <v>1</v>
      </c>
      <c r="O1796" s="7">
        <v>45536</v>
      </c>
      <c r="P1796" s="6">
        <v>-0.06</v>
      </c>
      <c r="Q1796" s="7">
        <v>45536</v>
      </c>
      <c r="R1796" s="6">
        <v>0</v>
      </c>
      <c r="S1796" s="9"/>
      <c r="T1796" s="6">
        <v>0.56999999999999995</v>
      </c>
      <c r="U1796" s="6">
        <v>1</v>
      </c>
      <c r="V1796" s="7">
        <v>45352</v>
      </c>
      <c r="W1796" s="10">
        <f ca="1">IFERROR(__xludf.DUMMYFUNCTION("IFERROR(GOOGLEFINANCE(B1796,""pe""),V1796)"),45352)</f>
        <v>45352</v>
      </c>
      <c r="X1796" s="6">
        <v>0</v>
      </c>
      <c r="Y1796" s="6">
        <v>-0.41</v>
      </c>
      <c r="Z1796" s="6">
        <v>-0.46</v>
      </c>
      <c r="AA1796" s="3" t="s">
        <v>5420</v>
      </c>
      <c r="AB1796" s="16"/>
      <c r="AC1796" s="12"/>
      <c r="AD1796" s="12"/>
      <c r="AE1796" s="1">
        <v>0</v>
      </c>
      <c r="AF1796" s="1">
        <f ca="1">IFERROR(__xludf.DUMMYFUNCTION("IFERROR(GOOGLEFINANCE(TRIM(F1796)&amp;"":"" &amp; TRIM(B1796),""high52""),AE1796)"),0)</f>
        <v>0</v>
      </c>
      <c r="AG1796" s="1">
        <v>0</v>
      </c>
      <c r="AH1796" s="1">
        <f ca="1">IFERROR(__xludf.DUMMYFUNCTION("IFERROR(GOOGLEFINANCE(TRIM(F1796)&amp;"":"" &amp; TRIM(B1796),""low52""),AE1796)"),0)</f>
        <v>0</v>
      </c>
      <c r="AI1796" s="1">
        <f ca="1">IFERROR(__xludf.DUMMYFUNCTION("IFERROR(GOOGLEFINANCE(B1796,""eps""),0)"),0)</f>
        <v>0</v>
      </c>
      <c r="AJ1796" s="1"/>
      <c r="AK1796" s="1" t="s">
        <v>5421</v>
      </c>
      <c r="AL1796" s="9">
        <f t="shared" si="218"/>
        <v>1</v>
      </c>
    </row>
    <row r="1797" spans="1:38" ht="15" x14ac:dyDescent="0.25">
      <c r="A1797" s="1" t="s">
        <v>5422</v>
      </c>
      <c r="B1797" s="1" t="s">
        <v>5423</v>
      </c>
      <c r="C1797" s="1" t="s">
        <v>43</v>
      </c>
      <c r="D1797" s="1" t="s">
        <v>43</v>
      </c>
      <c r="E1797" s="6">
        <v>583.03</v>
      </c>
      <c r="F1797" s="1" t="s">
        <v>53</v>
      </c>
      <c r="G1797" s="6">
        <f ca="1">IFERROR(__xludf.DUMMYFUNCTION("iferror(GOOGLEFINANCE(TRIM(F1797)&amp;"":"" &amp; TRIM(B1797), ""price""),0
)"),0)</f>
        <v>0</v>
      </c>
      <c r="H1797" s="6">
        <v>169.95</v>
      </c>
      <c r="I1797" s="6">
        <f t="shared" ca="1" si="0"/>
        <v>169.95</v>
      </c>
      <c r="J1797" s="6">
        <f ca="1">IFERROR(__xludf.DUMMYFUNCTION("IFERROR(GOOGLEFINANCE(B1797, ""volume""), 0)"),0)</f>
        <v>0</v>
      </c>
      <c r="K1797" s="6">
        <v>4.3899999999999997</v>
      </c>
      <c r="L1797" s="6">
        <f ca="1">IFERROR(__xludf.DUMMYFUNCTION("IFERROR(GOOGLEFINANCE(B1797,""changepct""),K1797)"),4.39)</f>
        <v>4.3899999999999997</v>
      </c>
      <c r="M1797" s="6">
        <f ca="1">IFERROR(__xludf.DUMMYFUNCTION("IFERROR(GOOGLEFINANCE(B1797,""change""),0)"),0)</f>
        <v>0</v>
      </c>
      <c r="N1797" s="6">
        <v>1</v>
      </c>
      <c r="O1797" s="7">
        <v>45536</v>
      </c>
      <c r="P1797" s="6">
        <v>-2.3199999999999998</v>
      </c>
      <c r="Q1797" s="7">
        <v>45536</v>
      </c>
      <c r="R1797" s="6">
        <v>0</v>
      </c>
      <c r="S1797" s="6">
        <v>0</v>
      </c>
      <c r="T1797" s="6">
        <v>10.19</v>
      </c>
      <c r="U1797" s="6">
        <v>1</v>
      </c>
      <c r="V1797" s="7">
        <v>45352</v>
      </c>
      <c r="W1797" s="10">
        <f ca="1">IFERROR(__xludf.DUMMYFUNCTION("IFERROR(GOOGLEFINANCE(B1797,""pe""),V1797)"),45352)</f>
        <v>45352</v>
      </c>
      <c r="X1797" s="6">
        <v>0</v>
      </c>
      <c r="Y1797" s="6">
        <v>5.38</v>
      </c>
      <c r="Z1797" s="6">
        <v>3.31</v>
      </c>
      <c r="AA1797" s="3" t="s">
        <v>5424</v>
      </c>
      <c r="AB1797" s="11"/>
      <c r="AC1797" s="9"/>
      <c r="AD1797" s="9"/>
      <c r="AE1797" s="1">
        <v>0</v>
      </c>
      <c r="AF1797" s="1">
        <f ca="1">IFERROR(__xludf.DUMMYFUNCTION("IFERROR(GOOGLEFINANCE(TRIM(F1797)&amp;"":"" &amp; TRIM(B1797),""high52""),AE1797)"),0)</f>
        <v>0</v>
      </c>
      <c r="AG1797" s="1">
        <v>0</v>
      </c>
      <c r="AH1797" s="1">
        <f ca="1">IFERROR(__xludf.DUMMYFUNCTION("IFERROR(GOOGLEFINANCE(TRIM(F1797)&amp;"":"" &amp; TRIM(B1797),""low52""),AE1797)"),0)</f>
        <v>0</v>
      </c>
      <c r="AI1797" s="1">
        <f ca="1">IFERROR(__xludf.DUMMYFUNCTION("IFERROR(GOOGLEFINANCE(B1797,""eps""),0)"),0)</f>
        <v>0</v>
      </c>
      <c r="AJ1797" s="1"/>
      <c r="AK1797" s="1" t="s">
        <v>5425</v>
      </c>
      <c r="AL1797" s="9">
        <f t="shared" si="218"/>
        <v>1</v>
      </c>
    </row>
    <row r="1798" spans="1:38" ht="15" x14ac:dyDescent="0.25">
      <c r="A1798" s="1" t="s">
        <v>5426</v>
      </c>
      <c r="B1798" s="1" t="s">
        <v>5427</v>
      </c>
      <c r="C1798" s="1" t="s">
        <v>43</v>
      </c>
      <c r="D1798" s="1" t="s">
        <v>43</v>
      </c>
      <c r="E1798" s="6">
        <v>234.25</v>
      </c>
      <c r="F1798" s="1" t="s">
        <v>53</v>
      </c>
      <c r="G1798" s="6">
        <f ca="1">IFERROR(__xludf.DUMMYFUNCTION("iferror(GOOGLEFINANCE(TRIM(F1798)&amp;"":"" &amp; TRIM(B1798), ""price""),0
)"),0)</f>
        <v>0</v>
      </c>
      <c r="H1798" s="6">
        <v>15.65</v>
      </c>
      <c r="I1798" s="6">
        <f t="shared" ca="1" si="0"/>
        <v>15.65</v>
      </c>
      <c r="J1798" s="6">
        <f ca="1">IFERROR(__xludf.DUMMYFUNCTION("IFERROR(GOOGLEFINANCE(B1798, ""volume""), 0)"),0)</f>
        <v>0</v>
      </c>
      <c r="K1798" s="6">
        <v>1.95</v>
      </c>
      <c r="L1798" s="6">
        <f ca="1">IFERROR(__xludf.DUMMYFUNCTION("IFERROR(GOOGLEFINANCE(B1798,""changepct""),K1798)"),1.95)</f>
        <v>1.95</v>
      </c>
      <c r="M1798" s="6">
        <f ca="1">IFERROR(__xludf.DUMMYFUNCTION("IFERROR(GOOGLEFINANCE(B1798,""change""),0)"),0)</f>
        <v>0</v>
      </c>
      <c r="N1798" s="6">
        <v>1</v>
      </c>
      <c r="O1798" s="7">
        <v>45536</v>
      </c>
      <c r="P1798" s="6">
        <v>-2.88</v>
      </c>
      <c r="Q1798" s="7">
        <v>45536</v>
      </c>
      <c r="R1798" s="6">
        <v>0</v>
      </c>
      <c r="S1798" s="6">
        <v>0</v>
      </c>
      <c r="T1798" s="6">
        <v>4.28</v>
      </c>
      <c r="U1798" s="6">
        <v>1</v>
      </c>
      <c r="V1798" s="7">
        <v>45352</v>
      </c>
      <c r="W1798" s="10">
        <f ca="1">IFERROR(__xludf.DUMMYFUNCTION("IFERROR(GOOGLEFINANCE(B1798,""pe""),V1798)"),45352)</f>
        <v>45352</v>
      </c>
      <c r="X1798" s="6">
        <v>0</v>
      </c>
      <c r="Y1798" s="6">
        <v>6.85</v>
      </c>
      <c r="Z1798" s="6">
        <v>6.99</v>
      </c>
      <c r="AA1798" s="3" t="s">
        <v>5428</v>
      </c>
      <c r="AB1798" s="11"/>
      <c r="AC1798" s="9"/>
      <c r="AD1798" s="9"/>
      <c r="AE1798" s="1">
        <v>0</v>
      </c>
      <c r="AF1798" s="1">
        <f ca="1">IFERROR(__xludf.DUMMYFUNCTION("IFERROR(GOOGLEFINANCE(TRIM(F1798)&amp;"":"" &amp; TRIM(B1798),""high52""),AE1798)"),0)</f>
        <v>0</v>
      </c>
      <c r="AG1798" s="1">
        <v>0</v>
      </c>
      <c r="AH1798" s="1">
        <f ca="1">IFERROR(__xludf.DUMMYFUNCTION("IFERROR(GOOGLEFINANCE(TRIM(F1798)&amp;"":"" &amp; TRIM(B1798),""low52""),AE1798)"),0)</f>
        <v>0</v>
      </c>
      <c r="AI1798" s="1">
        <f ca="1">IFERROR(__xludf.DUMMYFUNCTION("IFERROR(GOOGLEFINANCE(B1798,""eps""),0)"),0)</f>
        <v>0</v>
      </c>
      <c r="AJ1798" s="1"/>
      <c r="AK1798" s="1" t="s">
        <v>5429</v>
      </c>
      <c r="AL1798" s="9">
        <f t="shared" si="218"/>
        <v>1</v>
      </c>
    </row>
    <row r="1799" spans="1:38" ht="15" x14ac:dyDescent="0.25">
      <c r="A1799" s="1" t="s">
        <v>5430</v>
      </c>
      <c r="B1799" s="1" t="s">
        <v>5431</v>
      </c>
      <c r="C1799" s="1" t="s">
        <v>43</v>
      </c>
      <c r="D1799" s="1" t="s">
        <v>43</v>
      </c>
      <c r="E1799" s="6">
        <v>13.74</v>
      </c>
      <c r="F1799" s="1" t="s">
        <v>53</v>
      </c>
      <c r="G1799" s="6">
        <f ca="1">IFERROR(__xludf.DUMMYFUNCTION("iferror(GOOGLEFINANCE(TRIM(F1799)&amp;"":"" &amp; TRIM(B1799), ""price""),0
)"),0)</f>
        <v>0</v>
      </c>
      <c r="H1799" s="6">
        <v>45.03</v>
      </c>
      <c r="I1799" s="6">
        <f t="shared" ca="1" si="0"/>
        <v>45.03</v>
      </c>
      <c r="J1799" s="6">
        <f ca="1">IFERROR(__xludf.DUMMYFUNCTION("IFERROR(GOOGLEFINANCE(B1799, ""volume""), 0)"),0)</f>
        <v>0</v>
      </c>
      <c r="K1799" s="6">
        <v>0</v>
      </c>
      <c r="L1799" s="6">
        <f ca="1">IFERROR(__xludf.DUMMYFUNCTION("IFERROR(GOOGLEFINANCE(B1799,""changepct""),K1799)"),0)</f>
        <v>0</v>
      </c>
      <c r="M1799" s="6">
        <f ca="1">IFERROR(__xludf.DUMMYFUNCTION("IFERROR(GOOGLEFINANCE(B1799,""change""),0)"),0)</f>
        <v>0</v>
      </c>
      <c r="N1799" s="6">
        <v>1</v>
      </c>
      <c r="O1799" s="7">
        <v>45536</v>
      </c>
      <c r="P1799" s="6">
        <v>-7.0000000000000007E-2</v>
      </c>
      <c r="Q1799" s="7">
        <v>45536</v>
      </c>
      <c r="R1799" s="6">
        <v>0</v>
      </c>
      <c r="S1799" s="6">
        <v>0</v>
      </c>
      <c r="T1799" s="6">
        <v>3.25</v>
      </c>
      <c r="U1799" s="6">
        <v>1</v>
      </c>
      <c r="V1799" s="7">
        <v>45352</v>
      </c>
      <c r="W1799" s="10">
        <f ca="1">IFERROR(__xludf.DUMMYFUNCTION("IFERROR(GOOGLEFINANCE(B1799,""pe""),V1799)"),45352)</f>
        <v>45352</v>
      </c>
      <c r="X1799" s="6">
        <v>0</v>
      </c>
      <c r="Y1799" s="6">
        <v>0.46</v>
      </c>
      <c r="Z1799" s="6">
        <v>0.5</v>
      </c>
      <c r="AA1799" s="3" t="s">
        <v>5432</v>
      </c>
      <c r="AB1799" s="11"/>
      <c r="AC1799" s="9"/>
      <c r="AD1799" s="9"/>
      <c r="AE1799" s="1">
        <v>0</v>
      </c>
      <c r="AF1799" s="1">
        <f ca="1">IFERROR(__xludf.DUMMYFUNCTION("IFERROR(GOOGLEFINANCE(TRIM(F1799)&amp;"":"" &amp; TRIM(B1799),""high52""),AE1799)"),0)</f>
        <v>0</v>
      </c>
      <c r="AG1799" s="1">
        <v>0</v>
      </c>
      <c r="AH1799" s="1">
        <f ca="1">IFERROR(__xludf.DUMMYFUNCTION("IFERROR(GOOGLEFINANCE(TRIM(F1799)&amp;"":"" &amp; TRIM(B1799),""low52""),AE1799)"),0)</f>
        <v>0</v>
      </c>
      <c r="AI1799" s="1">
        <f ca="1">IFERROR(__xludf.DUMMYFUNCTION("IFERROR(GOOGLEFINANCE(B1799,""eps""),0)"),0)</f>
        <v>0</v>
      </c>
      <c r="AJ1799" s="1"/>
      <c r="AK1799" s="9"/>
      <c r="AL1799" s="9">
        <f t="shared" si="218"/>
        <v>1</v>
      </c>
    </row>
    <row r="1800" spans="1:38" ht="15" x14ac:dyDescent="0.25">
      <c r="A1800" s="1" t="s">
        <v>5433</v>
      </c>
      <c r="B1800" s="1" t="s">
        <v>5434</v>
      </c>
      <c r="C1800" s="1" t="s">
        <v>43</v>
      </c>
      <c r="D1800" s="1" t="s">
        <v>43</v>
      </c>
      <c r="E1800" s="6">
        <v>6.79</v>
      </c>
      <c r="F1800" s="1" t="s">
        <v>53</v>
      </c>
      <c r="G1800" s="6">
        <f ca="1">IFERROR(__xludf.DUMMYFUNCTION("iferror(GOOGLEFINANCE(TRIM(F1800)&amp;"":"" &amp; TRIM(B1800), ""price""),0
)"),0)</f>
        <v>0</v>
      </c>
      <c r="H1800" s="6">
        <v>1.42</v>
      </c>
      <c r="I1800" s="6">
        <f t="shared" ca="1" si="0"/>
        <v>1.42</v>
      </c>
      <c r="J1800" s="6">
        <f ca="1">IFERROR(__xludf.DUMMYFUNCTION("IFERROR(GOOGLEFINANCE(B1800, ""volume""), 0)"),0)</f>
        <v>0</v>
      </c>
      <c r="K1800" s="6">
        <v>-1.39</v>
      </c>
      <c r="L1800" s="6">
        <f ca="1">IFERROR(__xludf.DUMMYFUNCTION("IFERROR(GOOGLEFINANCE(B1800,""changepct""),K1800)"),-1.39)</f>
        <v>-1.39</v>
      </c>
      <c r="M1800" s="6">
        <f ca="1">IFERROR(__xludf.DUMMYFUNCTION("IFERROR(GOOGLEFINANCE(B1800,""change""),0)"),0)</f>
        <v>0</v>
      </c>
      <c r="N1800" s="6">
        <v>1</v>
      </c>
      <c r="O1800" s="7">
        <v>45536</v>
      </c>
      <c r="P1800" s="6">
        <v>-0.02</v>
      </c>
      <c r="Q1800" s="7">
        <v>45536</v>
      </c>
      <c r="R1800" s="6">
        <v>0</v>
      </c>
      <c r="S1800" s="9"/>
      <c r="T1800" s="6">
        <v>0.73</v>
      </c>
      <c r="U1800" s="6">
        <v>1</v>
      </c>
      <c r="V1800" s="7">
        <v>45352</v>
      </c>
      <c r="W1800" s="10">
        <f ca="1">IFERROR(__xludf.DUMMYFUNCTION("IFERROR(GOOGLEFINANCE(B1800,""pe""),V1800)"),45352)</f>
        <v>45352</v>
      </c>
      <c r="X1800" s="6">
        <v>0</v>
      </c>
      <c r="Y1800" s="6">
        <v>-0.06</v>
      </c>
      <c r="Z1800" s="6">
        <v>0.01</v>
      </c>
      <c r="AA1800" s="19" t="s">
        <v>5435</v>
      </c>
      <c r="AB1800" s="20"/>
      <c r="AC1800" s="9"/>
      <c r="AD1800" s="9"/>
      <c r="AE1800" s="1">
        <v>0</v>
      </c>
      <c r="AF1800" s="1">
        <f ca="1">IFERROR(__xludf.DUMMYFUNCTION("IFERROR(GOOGLEFINANCE(TRIM(F1800)&amp;"":"" &amp; TRIM(B1800),""high52""),AE1800)"),0)</f>
        <v>0</v>
      </c>
      <c r="AG1800" s="1">
        <v>0</v>
      </c>
      <c r="AH1800" s="1">
        <f ca="1">IFERROR(__xludf.DUMMYFUNCTION("IFERROR(GOOGLEFINANCE(TRIM(F1800)&amp;"":"" &amp; TRIM(B1800),""low52""),AE1800)"),0)</f>
        <v>0</v>
      </c>
      <c r="AI1800" s="1">
        <f ca="1">IFERROR(__xludf.DUMMYFUNCTION("IFERROR(GOOGLEFINANCE(B1800,""eps""),0)"),0)</f>
        <v>0</v>
      </c>
      <c r="AJ1800" s="1"/>
      <c r="AK1800" s="1" t="s">
        <v>5436</v>
      </c>
      <c r="AL1800" s="9">
        <f t="shared" si="218"/>
        <v>1</v>
      </c>
    </row>
    <row r="1801" spans="1:38" ht="15" x14ac:dyDescent="0.25">
      <c r="A1801" s="1" t="s">
        <v>5437</v>
      </c>
      <c r="B1801" s="1" t="s">
        <v>5438</v>
      </c>
      <c r="C1801" s="1" t="s">
        <v>43</v>
      </c>
      <c r="D1801" s="1" t="s">
        <v>43</v>
      </c>
      <c r="E1801" s="6">
        <v>18.22</v>
      </c>
      <c r="F1801" s="1" t="s">
        <v>53</v>
      </c>
      <c r="G1801" s="6">
        <f ca="1">IFERROR(__xludf.DUMMYFUNCTION("iferror(GOOGLEFINANCE(TRIM(F1801)&amp;"":"" &amp; TRIM(B1801), ""price""),0
)"),0)</f>
        <v>0</v>
      </c>
      <c r="H1801" s="6">
        <v>12.75</v>
      </c>
      <c r="I1801" s="6">
        <f t="shared" ca="1" si="0"/>
        <v>12.75</v>
      </c>
      <c r="J1801" s="6">
        <f ca="1">IFERROR(__xludf.DUMMYFUNCTION("IFERROR(GOOGLEFINANCE(B1801, ""volume""), 0)"),0)</f>
        <v>0</v>
      </c>
      <c r="K1801" s="6">
        <v>0</v>
      </c>
      <c r="L1801" s="6">
        <f ca="1">IFERROR(__xludf.DUMMYFUNCTION("IFERROR(GOOGLEFINANCE(B1801,""changepct""),K1801)"),0)</f>
        <v>0</v>
      </c>
      <c r="M1801" s="6">
        <f ca="1">IFERROR(__xludf.DUMMYFUNCTION("IFERROR(GOOGLEFINANCE(B1801,""change""),0)"),0)</f>
        <v>0</v>
      </c>
      <c r="N1801" s="6">
        <v>1</v>
      </c>
      <c r="O1801" s="7">
        <v>45536</v>
      </c>
      <c r="P1801" s="6">
        <v>-0.2</v>
      </c>
      <c r="Q1801" s="7">
        <v>45536</v>
      </c>
      <c r="R1801" s="6">
        <v>0</v>
      </c>
      <c r="S1801" s="9"/>
      <c r="T1801" s="6">
        <v>48.98</v>
      </c>
      <c r="U1801" s="6">
        <v>1</v>
      </c>
      <c r="V1801" s="7">
        <v>45352</v>
      </c>
      <c r="W1801" s="10">
        <f ca="1">IFERROR(__xludf.DUMMYFUNCTION("IFERROR(GOOGLEFINANCE(B1801,""pe""),V1801)"),45352)</f>
        <v>45352</v>
      </c>
      <c r="X1801" s="6">
        <v>0</v>
      </c>
      <c r="Y1801" s="6">
        <v>-53.76</v>
      </c>
      <c r="Z1801" s="6">
        <v>-53.86</v>
      </c>
      <c r="AA1801" s="3" t="s">
        <v>5439</v>
      </c>
      <c r="AB1801" s="11"/>
      <c r="AC1801" s="9"/>
      <c r="AD1801" s="9"/>
      <c r="AE1801" s="1">
        <v>0</v>
      </c>
      <c r="AF1801" s="1">
        <f ca="1">IFERROR(__xludf.DUMMYFUNCTION("IFERROR(GOOGLEFINANCE(TRIM(F1801)&amp;"":"" &amp; TRIM(B1801),""high52""),AE1801)"),0)</f>
        <v>0</v>
      </c>
      <c r="AG1801" s="1">
        <v>0</v>
      </c>
      <c r="AH1801" s="1">
        <f ca="1">IFERROR(__xludf.DUMMYFUNCTION("IFERROR(GOOGLEFINANCE(TRIM(F1801)&amp;"":"" &amp; TRIM(B1801),""low52""),AE1801)"),0)</f>
        <v>0</v>
      </c>
      <c r="AI1801" s="1">
        <f ca="1">IFERROR(__xludf.DUMMYFUNCTION("IFERROR(GOOGLEFINANCE(B1801,""eps""),0)"),0)</f>
        <v>0</v>
      </c>
      <c r="AJ1801" s="1"/>
      <c r="AK1801" s="1" t="s">
        <v>5440</v>
      </c>
      <c r="AL1801" s="9">
        <f t="shared" si="218"/>
        <v>1</v>
      </c>
    </row>
    <row r="1802" spans="1:38" ht="15" x14ac:dyDescent="0.25">
      <c r="A1802" s="1" t="s">
        <v>5441</v>
      </c>
      <c r="B1802" s="1" t="s">
        <v>5442</v>
      </c>
      <c r="C1802" s="1" t="s">
        <v>103</v>
      </c>
      <c r="D1802" s="1" t="s">
        <v>103</v>
      </c>
      <c r="E1802" s="6">
        <v>2293.71</v>
      </c>
      <c r="F1802" s="1" t="s">
        <v>40</v>
      </c>
      <c r="G1802" s="6">
        <f ca="1">IFERROR(__xludf.DUMMYFUNCTION("iferror(GOOGLEFINANCE(TRIM(F1802)&amp;"":"" &amp; TRIM(B1802), ""price""),0
)"),459)</f>
        <v>459</v>
      </c>
      <c r="H1802" s="6">
        <v>799</v>
      </c>
      <c r="I1802" s="6">
        <f t="shared" ca="1" si="0"/>
        <v>459</v>
      </c>
      <c r="J1802" s="6">
        <f ca="1">IFERROR(__xludf.DUMMYFUNCTION("IFERROR(GOOGLEFINANCE(B1802, ""volume""), 0)"),170693)</f>
        <v>170693</v>
      </c>
      <c r="K1802" s="6">
        <v>0.79</v>
      </c>
      <c r="L1802" s="6">
        <f ca="1">IFERROR(__xludf.DUMMYFUNCTION("IFERROR(GOOGLEFINANCE(B1802,""changepct""),K1802)"),-3.5)</f>
        <v>-3.5</v>
      </c>
      <c r="M1802" s="6">
        <f ca="1">IFERROR(__xludf.DUMMYFUNCTION("IFERROR(GOOGLEFINANCE(B1802,""change""),0)"),-16.65)</f>
        <v>-16.649999999999999</v>
      </c>
      <c r="N1802" s="6">
        <v>2</v>
      </c>
      <c r="O1802" s="7">
        <v>45536</v>
      </c>
      <c r="P1802" s="6">
        <v>202.24</v>
      </c>
      <c r="Q1802" s="6">
        <v>2402.62</v>
      </c>
      <c r="R1802" s="7">
        <v>45536</v>
      </c>
      <c r="S1802" s="6">
        <v>724.46</v>
      </c>
      <c r="T1802" s="6">
        <v>101.72</v>
      </c>
      <c r="U1802" s="7">
        <v>45536</v>
      </c>
      <c r="V1802" s="6">
        <v>24.08</v>
      </c>
      <c r="W1802" s="6">
        <f ca="1">IFERROR(__xludf.DUMMYFUNCTION("IFERROR(GOOGLEFINANCE(B1802,""pe""),V1802)"),5.85)</f>
        <v>5.85</v>
      </c>
      <c r="X1802" s="6">
        <v>-4.3099999999999996</v>
      </c>
      <c r="Y1802" s="6">
        <v>1.6</v>
      </c>
      <c r="Z1802" s="6">
        <v>2</v>
      </c>
      <c r="AA1802" s="8">
        <v>45352</v>
      </c>
      <c r="AB1802" s="4">
        <v>0.22</v>
      </c>
      <c r="AC1802" s="6">
        <v>3.83</v>
      </c>
      <c r="AD1802" s="6">
        <v>6.56</v>
      </c>
      <c r="AE1802" s="1">
        <v>0</v>
      </c>
      <c r="AF1802" s="1">
        <f ca="1">IFERROR(__xludf.DUMMYFUNCTION("IFERROR(GOOGLEFINANCE(TRIM(F1802)&amp;"":"" &amp; TRIM(B1802),""high52""),AE1802)"),990.35)</f>
        <v>990.35</v>
      </c>
      <c r="AG1802" s="1">
        <v>0</v>
      </c>
      <c r="AH1802" s="1">
        <f ca="1">IFERROR(__xludf.DUMMYFUNCTION("IFERROR(GOOGLEFINANCE(TRIM(F1802)&amp;"":"" &amp; TRIM(B1802),""low52""),AE1802)"),446.7)</f>
        <v>446.7</v>
      </c>
      <c r="AI1802" s="1">
        <f ca="1">IFERROR(__xludf.DUMMYFUNCTION("IFERROR(GOOGLEFINANCE(B1802,""eps""),0)"),78.4)</f>
        <v>78.400000000000006</v>
      </c>
      <c r="AJ1802" s="1"/>
      <c r="AK1802" s="1" t="s">
        <v>5443</v>
      </c>
      <c r="AL1802" s="9">
        <f t="shared" si="218"/>
        <v>1</v>
      </c>
    </row>
    <row r="1803" spans="1:38" ht="15" x14ac:dyDescent="0.25">
      <c r="A1803" s="1" t="s">
        <v>5444</v>
      </c>
      <c r="B1803" s="1" t="s">
        <v>5445</v>
      </c>
      <c r="C1803" s="1" t="s">
        <v>43</v>
      </c>
      <c r="D1803" s="1" t="s">
        <v>43</v>
      </c>
      <c r="E1803" s="6">
        <v>0.14000000000000001</v>
      </c>
      <c r="F1803" s="1" t="s">
        <v>53</v>
      </c>
      <c r="G1803" s="6">
        <f ca="1">IFERROR(__xludf.DUMMYFUNCTION("iferror(GOOGLEFINANCE(TRIM(F1803)&amp;"":"" &amp; TRIM(B1803), ""price""),0
)"),0)</f>
        <v>0</v>
      </c>
      <c r="H1803" s="6">
        <v>5.91</v>
      </c>
      <c r="I1803" s="6">
        <f t="shared" ca="1" si="0"/>
        <v>5.91</v>
      </c>
      <c r="J1803" s="6">
        <f ca="1">IFERROR(__xludf.DUMMYFUNCTION("IFERROR(GOOGLEFINANCE(B1803, ""volume""), 0)"),0)</f>
        <v>0</v>
      </c>
      <c r="K1803" s="9"/>
      <c r="L1803" s="6" t="str">
        <f ca="1">IFERROR(__xludf.DUMMYFUNCTION("IFERROR(GOOGLEFINANCE(B1803,""changepct""),K1803)"),"")</f>
        <v/>
      </c>
      <c r="M1803" s="6">
        <f ca="1">IFERROR(__xludf.DUMMYFUNCTION("IFERROR(GOOGLEFINANCE(B1803,""change""),0)"),0)</f>
        <v>0</v>
      </c>
      <c r="N1803" s="6">
        <v>1</v>
      </c>
      <c r="O1803" s="7">
        <v>45536</v>
      </c>
      <c r="P1803" s="6">
        <v>0.22</v>
      </c>
      <c r="Q1803" s="7">
        <v>45536</v>
      </c>
      <c r="R1803" s="6">
        <v>0.65</v>
      </c>
      <c r="S1803" s="6">
        <v>0.04</v>
      </c>
      <c r="T1803" s="6">
        <v>0.05</v>
      </c>
      <c r="U1803" s="6">
        <v>1</v>
      </c>
      <c r="V1803" s="7">
        <v>45352</v>
      </c>
      <c r="W1803" s="10">
        <f ca="1">IFERROR(__xludf.DUMMYFUNCTION("IFERROR(GOOGLEFINANCE(B1803,""pe""),V1803)"),45352)</f>
        <v>45352</v>
      </c>
      <c r="X1803" s="6">
        <v>0</v>
      </c>
      <c r="Y1803" s="6">
        <v>5.61</v>
      </c>
      <c r="Z1803" s="6">
        <v>6.94</v>
      </c>
      <c r="AA1803" s="3" t="s">
        <v>5446</v>
      </c>
      <c r="AB1803" s="11"/>
      <c r="AC1803" s="9"/>
      <c r="AD1803" s="9"/>
      <c r="AE1803" s="1">
        <v>0</v>
      </c>
      <c r="AF1803" s="1">
        <f ca="1">IFERROR(__xludf.DUMMYFUNCTION("IFERROR(GOOGLEFINANCE(TRIM(F1803)&amp;"":"" &amp; TRIM(B1803),""high52""),AE1803)"),0)</f>
        <v>0</v>
      </c>
      <c r="AG1803" s="1">
        <v>0</v>
      </c>
      <c r="AH1803" s="1">
        <f ca="1">IFERROR(__xludf.DUMMYFUNCTION("IFERROR(GOOGLEFINANCE(TRIM(F1803)&amp;"":"" &amp; TRIM(B1803),""low52""),AE1803)"),0)</f>
        <v>0</v>
      </c>
      <c r="AI1803" s="1">
        <f ca="1">IFERROR(__xludf.DUMMYFUNCTION("IFERROR(GOOGLEFINANCE(B1803,""eps""),0)"),0)</f>
        <v>0</v>
      </c>
      <c r="AJ1803" s="1"/>
      <c r="AK1803" s="1" t="s">
        <v>5447</v>
      </c>
      <c r="AL1803" s="9">
        <f t="shared" si="218"/>
        <v>1</v>
      </c>
    </row>
    <row r="1804" spans="1:38" ht="15" x14ac:dyDescent="0.25">
      <c r="A1804" s="1" t="s">
        <v>5448</v>
      </c>
      <c r="B1804" s="1" t="s">
        <v>5449</v>
      </c>
      <c r="C1804" s="1" t="s">
        <v>43</v>
      </c>
      <c r="D1804" s="1" t="s">
        <v>43</v>
      </c>
      <c r="E1804" s="6">
        <v>916.99</v>
      </c>
      <c r="F1804" s="1" t="s">
        <v>40</v>
      </c>
      <c r="G1804" s="6">
        <f ca="1">IFERROR(__xludf.DUMMYFUNCTION("iferror(GOOGLEFINANCE(TRIM(F1804)&amp;"":"" &amp; TRIM(B1804), ""price""),0
)"),1365)</f>
        <v>1365</v>
      </c>
      <c r="H1804" s="6">
        <v>898.5</v>
      </c>
      <c r="I1804" s="6">
        <f t="shared" ca="1" si="0"/>
        <v>1365</v>
      </c>
      <c r="J1804" s="6">
        <f ca="1">IFERROR(__xludf.DUMMYFUNCTION("IFERROR(GOOGLEFINANCE(B1804, ""volume""), 0)"),5814)</f>
        <v>5814</v>
      </c>
      <c r="K1804" s="6">
        <v>0.71</v>
      </c>
      <c r="L1804" s="6">
        <f ca="1">IFERROR(__xludf.DUMMYFUNCTION("IFERROR(GOOGLEFINANCE(B1804,""changepct""),K1804)"),-0.67)</f>
        <v>-0.67</v>
      </c>
      <c r="M1804" s="6">
        <f ca="1">IFERROR(__xludf.DUMMYFUNCTION("IFERROR(GOOGLEFINANCE(B1804,""change""),0)"),-9.2)</f>
        <v>-9.1999999999999993</v>
      </c>
      <c r="N1804" s="6">
        <v>2</v>
      </c>
      <c r="O1804" s="7">
        <v>45536</v>
      </c>
      <c r="P1804" s="6">
        <v>14.18</v>
      </c>
      <c r="Q1804" s="7">
        <v>45536</v>
      </c>
      <c r="R1804" s="6">
        <v>2.56</v>
      </c>
      <c r="S1804" s="6">
        <v>0.02</v>
      </c>
      <c r="T1804" s="6">
        <v>0.39</v>
      </c>
      <c r="U1804" s="6">
        <v>2</v>
      </c>
      <c r="V1804" s="7">
        <v>45352</v>
      </c>
      <c r="W1804" s="6">
        <f ca="1">IFERROR(__xludf.DUMMYFUNCTION("IFERROR(GOOGLEFINANCE(B1804,""pe""),V1804)"),9.11)</f>
        <v>9.11</v>
      </c>
      <c r="X1804" s="6">
        <v>0.02</v>
      </c>
      <c r="Y1804" s="6">
        <v>12.49</v>
      </c>
      <c r="Z1804" s="6">
        <v>12.34</v>
      </c>
      <c r="AA1804" s="3" t="s">
        <v>5450</v>
      </c>
      <c r="AB1804" s="3"/>
      <c r="AC1804" s="9"/>
      <c r="AD1804" s="9"/>
      <c r="AE1804" s="1">
        <v>0</v>
      </c>
      <c r="AF1804" s="1">
        <f ca="1">IFERROR(__xludf.DUMMYFUNCTION("IFERROR(GOOGLEFINANCE(TRIM(F1804)&amp;"":"" &amp; TRIM(B1804),""high52""),AE1804)"),1616.6)</f>
        <v>1616.6</v>
      </c>
      <c r="AG1804" s="1">
        <v>0</v>
      </c>
      <c r="AH1804" s="1">
        <f ca="1">IFERROR(__xludf.DUMMYFUNCTION("IFERROR(GOOGLEFINANCE(TRIM(F1804)&amp;"":"" &amp; TRIM(B1804),""low52""),AE1804)"),536)</f>
        <v>536</v>
      </c>
      <c r="AI1804" s="1">
        <f ca="1">IFERROR(__xludf.DUMMYFUNCTION("IFERROR(GOOGLEFINANCE(B1804,""eps""),0)"),149.78)</f>
        <v>149.78</v>
      </c>
      <c r="AJ1804" s="1"/>
      <c r="AK1804" s="1" t="s">
        <v>5451</v>
      </c>
      <c r="AL1804" s="9">
        <f t="shared" si="218"/>
        <v>1</v>
      </c>
    </row>
    <row r="1805" spans="1:38" ht="15" x14ac:dyDescent="0.25">
      <c r="A1805" s="1" t="s">
        <v>5452</v>
      </c>
      <c r="B1805" s="1" t="s">
        <v>5453</v>
      </c>
      <c r="C1805" s="1" t="s">
        <v>82</v>
      </c>
      <c r="D1805" s="1" t="s">
        <v>82</v>
      </c>
      <c r="E1805" s="6">
        <v>4259.32</v>
      </c>
      <c r="F1805" s="1" t="s">
        <v>40</v>
      </c>
      <c r="G1805" s="6">
        <f ca="1">IFERROR(__xludf.DUMMYFUNCTION("iferror(GOOGLEFINANCE(TRIM(F1805)&amp;"":"" &amp; TRIM(B1805), ""price""),0
)"),391)</f>
        <v>391</v>
      </c>
      <c r="H1805" s="6">
        <v>978.1</v>
      </c>
      <c r="I1805" s="6">
        <f t="shared" ca="1" si="0"/>
        <v>391</v>
      </c>
      <c r="J1805" s="6">
        <f ca="1">IFERROR(__xludf.DUMMYFUNCTION("IFERROR(GOOGLEFINANCE(B1805, ""volume""), 0)"),19284)</f>
        <v>19284</v>
      </c>
      <c r="K1805" s="6">
        <v>0.53</v>
      </c>
      <c r="L1805" s="6">
        <f ca="1">IFERROR(__xludf.DUMMYFUNCTION("IFERROR(GOOGLEFINANCE(B1805,""changepct""),K1805)"),-0.08)</f>
        <v>-0.08</v>
      </c>
      <c r="M1805" s="6">
        <f ca="1">IFERROR(__xludf.DUMMYFUNCTION("IFERROR(GOOGLEFINANCE(B1805,""change""),0)"),-0.3)</f>
        <v>-0.3</v>
      </c>
      <c r="N1805" s="6">
        <v>2</v>
      </c>
      <c r="O1805" s="7">
        <v>45536</v>
      </c>
      <c r="P1805" s="6">
        <v>4249.62</v>
      </c>
      <c r="Q1805" s="6">
        <v>8351.92</v>
      </c>
      <c r="R1805" s="7">
        <v>45536</v>
      </c>
      <c r="S1805" s="6">
        <v>4604.37</v>
      </c>
      <c r="T1805" s="6">
        <v>246.2</v>
      </c>
      <c r="U1805" s="7">
        <v>45536</v>
      </c>
      <c r="V1805" s="6">
        <v>17.29</v>
      </c>
      <c r="W1805" s="6">
        <f ca="1">IFERROR(__xludf.DUMMYFUNCTION("IFERROR(GOOGLEFINANCE(B1805,""pe""),V1805)"),17.29)</f>
        <v>17.29</v>
      </c>
      <c r="X1805" s="6">
        <v>-0.49</v>
      </c>
      <c r="Y1805" s="6">
        <v>1</v>
      </c>
      <c r="Z1805" s="6">
        <v>2</v>
      </c>
      <c r="AA1805" s="8">
        <v>45352</v>
      </c>
      <c r="AB1805" s="4">
        <v>1.1100000000000001</v>
      </c>
      <c r="AC1805" s="6">
        <v>1.74</v>
      </c>
      <c r="AD1805" s="6">
        <v>3.16</v>
      </c>
      <c r="AE1805" s="1">
        <v>0</v>
      </c>
      <c r="AF1805" s="1">
        <f ca="1">IFERROR(__xludf.DUMMYFUNCTION("IFERROR(GOOGLEFINANCE(TRIM(F1805)&amp;"":"" &amp; TRIM(B1805),""high52""),AE1805)"),914.95)</f>
        <v>914.95</v>
      </c>
      <c r="AG1805" s="1">
        <v>0</v>
      </c>
      <c r="AH1805" s="1">
        <f ca="1">IFERROR(__xludf.DUMMYFUNCTION("IFERROR(GOOGLEFINANCE(TRIM(F1805)&amp;"":"" &amp; TRIM(B1805),""low52""),AE1805)"),365)</f>
        <v>365</v>
      </c>
      <c r="AI1805" s="1">
        <f ca="1">IFERROR(__xludf.DUMMYFUNCTION("IFERROR(GOOGLEFINANCE(B1805,""eps""),0)"),-34.44)</f>
        <v>-34.44</v>
      </c>
      <c r="AJ1805" s="1"/>
      <c r="AK1805" s="9"/>
      <c r="AL1805" s="9">
        <f t="shared" si="218"/>
        <v>1</v>
      </c>
    </row>
    <row r="1806" spans="1:38" ht="15" x14ac:dyDescent="0.25">
      <c r="A1806" s="1" t="s">
        <v>5454</v>
      </c>
      <c r="B1806" s="1" t="s">
        <v>5455</v>
      </c>
      <c r="C1806" s="1" t="s">
        <v>43</v>
      </c>
      <c r="D1806" s="1" t="s">
        <v>43</v>
      </c>
      <c r="E1806" s="6">
        <v>939.24</v>
      </c>
      <c r="F1806" s="1" t="s">
        <v>40</v>
      </c>
      <c r="G1806" s="6">
        <f ca="1">IFERROR(__xludf.DUMMYFUNCTION("iferror(GOOGLEFINANCE(TRIM(F1806)&amp;"":"" &amp; TRIM(B1806), ""price""),0
)"),967)</f>
        <v>967</v>
      </c>
      <c r="H1806" s="6">
        <v>900.55</v>
      </c>
      <c r="I1806" s="6">
        <f t="shared" ca="1" si="0"/>
        <v>967</v>
      </c>
      <c r="J1806" s="6">
        <f ca="1">IFERROR(__xludf.DUMMYFUNCTION("IFERROR(GOOGLEFINANCE(B1806, ""volume""), 0)"),3661)</f>
        <v>3661</v>
      </c>
      <c r="K1806" s="6">
        <v>0.81</v>
      </c>
      <c r="L1806" s="6">
        <f ca="1">IFERROR(__xludf.DUMMYFUNCTION("IFERROR(GOOGLEFINANCE(B1806,""changepct""),K1806)"),-1.87)</f>
        <v>-1.87</v>
      </c>
      <c r="M1806" s="6">
        <f ca="1">IFERROR(__xludf.DUMMYFUNCTION("IFERROR(GOOGLEFINANCE(B1806,""change""),0)"),-18.4)</f>
        <v>-18.399999999999999</v>
      </c>
      <c r="N1806" s="6">
        <v>2</v>
      </c>
      <c r="O1806" s="7">
        <v>45536</v>
      </c>
      <c r="P1806" s="6">
        <v>33.049999999999997</v>
      </c>
      <c r="Q1806" s="7">
        <v>45536</v>
      </c>
      <c r="R1806" s="6">
        <v>2.38</v>
      </c>
      <c r="S1806" s="6">
        <v>0.09</v>
      </c>
      <c r="T1806" s="6">
        <v>0.34</v>
      </c>
      <c r="U1806" s="6">
        <v>2</v>
      </c>
      <c r="V1806" s="7">
        <v>45352</v>
      </c>
      <c r="W1806" s="6">
        <f ca="1">IFERROR(__xludf.DUMMYFUNCTION("IFERROR(GOOGLEFINANCE(B1806,""pe""),V1806)"),4.61)</f>
        <v>4.6100000000000003</v>
      </c>
      <c r="X1806" s="6">
        <v>0.01</v>
      </c>
      <c r="Y1806" s="6">
        <v>11.8</v>
      </c>
      <c r="Z1806" s="6">
        <v>11.82</v>
      </c>
      <c r="AA1806" s="3" t="s">
        <v>5456</v>
      </c>
      <c r="AB1806" s="3"/>
      <c r="AC1806" s="9"/>
      <c r="AD1806" s="9"/>
      <c r="AE1806" s="1">
        <v>0</v>
      </c>
      <c r="AF1806" s="1">
        <f ca="1">IFERROR(__xludf.DUMMYFUNCTION("IFERROR(GOOGLEFINANCE(TRIM(F1806)&amp;"":"" &amp; TRIM(B1806),""high52""),AE1806)"),1184.9)</f>
        <v>1184.9000000000001</v>
      </c>
      <c r="AG1806" s="1">
        <v>0</v>
      </c>
      <c r="AH1806" s="1">
        <f ca="1">IFERROR(__xludf.DUMMYFUNCTION("IFERROR(GOOGLEFINANCE(TRIM(F1806)&amp;"":"" &amp; TRIM(B1806),""low52""),AE1806)"),554.3)</f>
        <v>554.29999999999995</v>
      </c>
      <c r="AI1806" s="1">
        <f ca="1">IFERROR(__xludf.DUMMYFUNCTION("IFERROR(GOOGLEFINANCE(B1806,""eps""),0)"),209.66)</f>
        <v>209.66</v>
      </c>
      <c r="AJ1806" s="1"/>
      <c r="AK1806" s="1" t="s">
        <v>5457</v>
      </c>
      <c r="AL1806" s="9">
        <f t="shared" si="218"/>
        <v>1</v>
      </c>
    </row>
    <row r="1807" spans="1:38" ht="15" x14ac:dyDescent="0.25">
      <c r="A1807" s="1" t="s">
        <v>5458</v>
      </c>
      <c r="B1807" s="1" t="s">
        <v>5459</v>
      </c>
      <c r="C1807" s="1" t="s">
        <v>43</v>
      </c>
      <c r="D1807" s="1" t="s">
        <v>43</v>
      </c>
      <c r="E1807" s="6">
        <v>13.36</v>
      </c>
      <c r="F1807" s="1" t="s">
        <v>53</v>
      </c>
      <c r="G1807" s="6">
        <f ca="1">IFERROR(__xludf.DUMMYFUNCTION("iferror(GOOGLEFINANCE(TRIM(F1807)&amp;"":"" &amp; TRIM(B1807), ""price""),0
)"),0)</f>
        <v>0</v>
      </c>
      <c r="H1807" s="6">
        <v>14.02</v>
      </c>
      <c r="I1807" s="6">
        <f t="shared" ca="1" si="0"/>
        <v>14.02</v>
      </c>
      <c r="J1807" s="6">
        <f ca="1">IFERROR(__xludf.DUMMYFUNCTION("IFERROR(GOOGLEFINANCE(B1807, ""volume""), 0)"),0)</f>
        <v>0</v>
      </c>
      <c r="K1807" s="6">
        <v>4.9400000000000004</v>
      </c>
      <c r="L1807" s="6">
        <f ca="1">IFERROR(__xludf.DUMMYFUNCTION("IFERROR(GOOGLEFINANCE(B1807,""changepct""),K1807)"),4.94)</f>
        <v>4.9400000000000004</v>
      </c>
      <c r="M1807" s="6">
        <f ca="1">IFERROR(__xludf.DUMMYFUNCTION("IFERROR(GOOGLEFINANCE(B1807,""change""),0)"),0)</f>
        <v>0</v>
      </c>
      <c r="N1807" s="6">
        <v>1</v>
      </c>
      <c r="O1807" s="7">
        <v>45536</v>
      </c>
      <c r="P1807" s="6">
        <v>3.68</v>
      </c>
      <c r="Q1807" s="7">
        <v>45536</v>
      </c>
      <c r="R1807" s="6">
        <v>3.63</v>
      </c>
      <c r="S1807" s="6">
        <v>0.05</v>
      </c>
      <c r="T1807" s="6">
        <v>0.32</v>
      </c>
      <c r="U1807" s="6">
        <v>2</v>
      </c>
      <c r="V1807" s="7">
        <v>45352</v>
      </c>
      <c r="W1807" s="10">
        <f ca="1">IFERROR(__xludf.DUMMYFUNCTION("IFERROR(GOOGLEFINANCE(B1807,""pe""),V1807)"),45352)</f>
        <v>45352</v>
      </c>
      <c r="X1807" s="6">
        <v>0</v>
      </c>
      <c r="Y1807" s="6">
        <v>1.96</v>
      </c>
      <c r="Z1807" s="6">
        <v>1.92</v>
      </c>
      <c r="AA1807" s="3" t="s">
        <v>5460</v>
      </c>
      <c r="AB1807" s="11"/>
      <c r="AC1807" s="9"/>
      <c r="AD1807" s="9"/>
      <c r="AE1807" s="1">
        <v>0</v>
      </c>
      <c r="AF1807" s="1">
        <f ca="1">IFERROR(__xludf.DUMMYFUNCTION("IFERROR(GOOGLEFINANCE(TRIM(F1807)&amp;"":"" &amp; TRIM(B1807),""high52""),AE1807)"),0)</f>
        <v>0</v>
      </c>
      <c r="AG1807" s="1">
        <v>0</v>
      </c>
      <c r="AH1807" s="1">
        <f ca="1">IFERROR(__xludf.DUMMYFUNCTION("IFERROR(GOOGLEFINANCE(TRIM(F1807)&amp;"":"" &amp; TRIM(B1807),""low52""),AE1807)"),0)</f>
        <v>0</v>
      </c>
      <c r="AI1807" s="1">
        <f ca="1">IFERROR(__xludf.DUMMYFUNCTION("IFERROR(GOOGLEFINANCE(B1807,""eps""),0)"),0)</f>
        <v>0</v>
      </c>
      <c r="AJ1807" s="1"/>
      <c r="AK1807" s="1" t="s">
        <v>5461</v>
      </c>
      <c r="AL1807" s="9">
        <f t="shared" si="218"/>
        <v>1</v>
      </c>
    </row>
    <row r="1808" spans="1:38" ht="15" x14ac:dyDescent="0.25">
      <c r="A1808" s="1" t="s">
        <v>5462</v>
      </c>
      <c r="B1808" s="1" t="s">
        <v>5463</v>
      </c>
      <c r="C1808" s="1" t="s">
        <v>219</v>
      </c>
      <c r="D1808" s="1" t="s">
        <v>219</v>
      </c>
      <c r="E1808" s="6">
        <v>18174.82</v>
      </c>
      <c r="F1808" s="1" t="s">
        <v>40</v>
      </c>
      <c r="G1808" s="6">
        <f ca="1">IFERROR(__xludf.DUMMYFUNCTION("iferror(GOOGLEFINANCE(TRIM(F1808)&amp;"":"" &amp; TRIM(B1808), ""price""),0
)"),177.4)</f>
        <v>177.4</v>
      </c>
      <c r="H1808" s="6">
        <v>284.45</v>
      </c>
      <c r="I1808" s="6">
        <f t="shared" ca="1" si="0"/>
        <v>177.4</v>
      </c>
      <c r="J1808" s="6">
        <f ca="1">IFERROR(__xludf.DUMMYFUNCTION("IFERROR(GOOGLEFINANCE(B1808, ""volume""), 0)"),3005191)</f>
        <v>3005191</v>
      </c>
      <c r="K1808" s="6">
        <v>0.05</v>
      </c>
      <c r="L1808" s="6">
        <f ca="1">IFERROR(__xludf.DUMMYFUNCTION("IFERROR(GOOGLEFINANCE(B1808,""changepct""),K1808)"),2.88)</f>
        <v>2.88</v>
      </c>
      <c r="M1808" s="6">
        <f ca="1">IFERROR(__xludf.DUMMYFUNCTION("IFERROR(GOOGLEFINANCE(B1808,""change""),0)"),4.97)</f>
        <v>4.97</v>
      </c>
      <c r="N1808" s="6">
        <v>2</v>
      </c>
      <c r="O1808" s="7">
        <v>45536</v>
      </c>
      <c r="P1808" s="6">
        <v>5310.86</v>
      </c>
      <c r="Q1808" s="6">
        <v>22759.69</v>
      </c>
      <c r="R1808" s="7">
        <v>45536</v>
      </c>
      <c r="S1808" s="6">
        <v>21591.95</v>
      </c>
      <c r="T1808" s="6">
        <v>1872.13</v>
      </c>
      <c r="U1808" s="7">
        <v>45536</v>
      </c>
      <c r="V1808" s="6">
        <v>9.2100000000000009</v>
      </c>
      <c r="W1808" s="6">
        <f ca="1">IFERROR(__xludf.DUMMYFUNCTION("IFERROR(GOOGLEFINANCE(B1808,""pe""),V1808)"),10.06)</f>
        <v>10.06</v>
      </c>
      <c r="X1808" s="6">
        <v>0.37</v>
      </c>
      <c r="Y1808" s="6">
        <v>1.67</v>
      </c>
      <c r="Z1808" s="6">
        <v>2</v>
      </c>
      <c r="AA1808" s="8">
        <v>45352</v>
      </c>
      <c r="AB1808" s="4">
        <v>0.56000000000000005</v>
      </c>
      <c r="AC1808" s="6">
        <v>17.739999999999998</v>
      </c>
      <c r="AD1808" s="6">
        <v>20.58</v>
      </c>
      <c r="AE1808" s="1">
        <v>0</v>
      </c>
      <c r="AF1808" s="1">
        <f ca="1">IFERROR(__xludf.DUMMYFUNCTION("IFERROR(GOOGLEFINANCE(TRIM(F1808)&amp;"":"" &amp; TRIM(B1808),""high52""),AE1808)"),286.4)</f>
        <v>286.39999999999998</v>
      </c>
      <c r="AG1808" s="1">
        <v>0</v>
      </c>
      <c r="AH1808" s="1">
        <f ca="1">IFERROR(__xludf.DUMMYFUNCTION("IFERROR(GOOGLEFINANCE(TRIM(F1808)&amp;"":"" &amp; TRIM(B1808),""low52""),AE1808)"),153)</f>
        <v>153</v>
      </c>
      <c r="AI1808" s="1">
        <f ca="1">IFERROR(__xludf.DUMMYFUNCTION("IFERROR(GOOGLEFINANCE(B1808,""eps""),0)"),17.63)</f>
        <v>17.63</v>
      </c>
      <c r="AJ1808" s="1"/>
      <c r="AK1808" s="1" t="s">
        <v>5464</v>
      </c>
      <c r="AL1808" s="9">
        <f t="shared" si="218"/>
        <v>1</v>
      </c>
    </row>
    <row r="1809" spans="1:38" ht="15" x14ac:dyDescent="0.25">
      <c r="A1809" s="1" t="s">
        <v>5465</v>
      </c>
      <c r="B1809" s="1" t="s">
        <v>5466</v>
      </c>
      <c r="C1809" s="1" t="s">
        <v>43</v>
      </c>
      <c r="D1809" s="1" t="s">
        <v>43</v>
      </c>
      <c r="E1809" s="6">
        <v>16.55</v>
      </c>
      <c r="F1809" s="1" t="s">
        <v>53</v>
      </c>
      <c r="G1809" s="6">
        <f ca="1">IFERROR(__xludf.DUMMYFUNCTION("iferror(GOOGLEFINANCE(TRIM(F1809)&amp;"":"" &amp; TRIM(B1809), ""price""),0
)"),0)</f>
        <v>0</v>
      </c>
      <c r="H1809" s="6">
        <v>81.849999999999994</v>
      </c>
      <c r="I1809" s="6">
        <f t="shared" ca="1" si="0"/>
        <v>81.849999999999994</v>
      </c>
      <c r="J1809" s="6">
        <f ca="1">IFERROR(__xludf.DUMMYFUNCTION("IFERROR(GOOGLEFINANCE(B1809, ""volume""), 0)"),0)</f>
        <v>0</v>
      </c>
      <c r="K1809" s="6">
        <v>-3.52</v>
      </c>
      <c r="L1809" s="6">
        <f ca="1">IFERROR(__xludf.DUMMYFUNCTION("IFERROR(GOOGLEFINANCE(B1809,""changepct""),K1809)"),-3.52)</f>
        <v>-3.52</v>
      </c>
      <c r="M1809" s="6">
        <f ca="1">IFERROR(__xludf.DUMMYFUNCTION("IFERROR(GOOGLEFINANCE(B1809,""change""),0)"),0)</f>
        <v>0</v>
      </c>
      <c r="N1809" s="6">
        <v>1</v>
      </c>
      <c r="O1809" s="7">
        <v>45536</v>
      </c>
      <c r="P1809" s="6">
        <v>4.04</v>
      </c>
      <c r="Q1809" s="7">
        <v>45536</v>
      </c>
      <c r="R1809" s="6">
        <v>4.09</v>
      </c>
      <c r="S1809" s="6">
        <v>0.06</v>
      </c>
      <c r="T1809" s="6">
        <v>0.37</v>
      </c>
      <c r="U1809" s="6">
        <v>1</v>
      </c>
      <c r="V1809" s="7">
        <v>45352</v>
      </c>
      <c r="W1809" s="10">
        <f ca="1">IFERROR(__xludf.DUMMYFUNCTION("IFERROR(GOOGLEFINANCE(B1809,""pe""),V1809)"),45352)</f>
        <v>45352</v>
      </c>
      <c r="X1809" s="6">
        <v>0.2</v>
      </c>
      <c r="Y1809" s="6">
        <v>0.81</v>
      </c>
      <c r="Z1809" s="6">
        <v>1.5</v>
      </c>
      <c r="AA1809" s="3" t="s">
        <v>5467</v>
      </c>
      <c r="AB1809" s="11"/>
      <c r="AC1809" s="9"/>
      <c r="AD1809" s="9"/>
      <c r="AE1809" s="1">
        <v>0</v>
      </c>
      <c r="AF1809" s="1">
        <f ca="1">IFERROR(__xludf.DUMMYFUNCTION("IFERROR(GOOGLEFINANCE(TRIM(F1809)&amp;"":"" &amp; TRIM(B1809),""high52""),AE1809)"),0)</f>
        <v>0</v>
      </c>
      <c r="AG1809" s="1">
        <v>0</v>
      </c>
      <c r="AH1809" s="1">
        <f ca="1">IFERROR(__xludf.DUMMYFUNCTION("IFERROR(GOOGLEFINANCE(TRIM(F1809)&amp;"":"" &amp; TRIM(B1809),""low52""),AE1809)"),0)</f>
        <v>0</v>
      </c>
      <c r="AI1809" s="1">
        <f ca="1">IFERROR(__xludf.DUMMYFUNCTION("IFERROR(GOOGLEFINANCE(B1809,""eps""),0)"),0)</f>
        <v>0</v>
      </c>
      <c r="AJ1809" s="1"/>
      <c r="AK1809" s="1" t="s">
        <v>5468</v>
      </c>
      <c r="AL1809" s="9">
        <f t="shared" si="218"/>
        <v>1</v>
      </c>
    </row>
    <row r="1810" spans="1:38" ht="15" x14ac:dyDescent="0.25">
      <c r="A1810" s="1" t="s">
        <v>5469</v>
      </c>
      <c r="B1810" s="1" t="s">
        <v>5470</v>
      </c>
      <c r="C1810" s="1" t="s">
        <v>43</v>
      </c>
      <c r="D1810" s="1" t="s">
        <v>43</v>
      </c>
      <c r="E1810" s="6">
        <v>14.69</v>
      </c>
      <c r="F1810" s="1" t="s">
        <v>53</v>
      </c>
      <c r="G1810" s="6">
        <f ca="1">IFERROR(__xludf.DUMMYFUNCTION("iferror(GOOGLEFINANCE(TRIM(F1810)&amp;"":"" &amp; TRIM(B1810), ""price""),0
)"),0)</f>
        <v>0</v>
      </c>
      <c r="H1810" s="6">
        <v>1.08</v>
      </c>
      <c r="I1810" s="6">
        <f t="shared" ca="1" si="0"/>
        <v>1.08</v>
      </c>
      <c r="J1810" s="6">
        <f ca="1">IFERROR(__xludf.DUMMYFUNCTION("IFERROR(GOOGLEFINANCE(B1810, ""volume""), 0)"),0)</f>
        <v>0</v>
      </c>
      <c r="K1810" s="6">
        <v>-4.42</v>
      </c>
      <c r="L1810" s="6">
        <f ca="1">IFERROR(__xludf.DUMMYFUNCTION("IFERROR(GOOGLEFINANCE(B1810,""changepct""),K1810)"),-4.42)</f>
        <v>-4.42</v>
      </c>
      <c r="M1810" s="6">
        <f ca="1">IFERROR(__xludf.DUMMYFUNCTION("IFERROR(GOOGLEFINANCE(B1810,""change""),0)"),0)</f>
        <v>0</v>
      </c>
      <c r="N1810" s="6">
        <v>1</v>
      </c>
      <c r="O1810" s="7">
        <v>45536</v>
      </c>
      <c r="P1810" s="6">
        <v>3.58</v>
      </c>
      <c r="Q1810" s="7">
        <v>45536</v>
      </c>
      <c r="R1810" s="6">
        <v>4.1100000000000003</v>
      </c>
      <c r="S1810" s="6">
        <v>0.17</v>
      </c>
      <c r="T1810" s="6">
        <v>1.57</v>
      </c>
      <c r="U1810" s="6">
        <v>1</v>
      </c>
      <c r="V1810" s="7">
        <v>45352</v>
      </c>
      <c r="W1810" s="10">
        <f ca="1">IFERROR(__xludf.DUMMYFUNCTION("IFERROR(GOOGLEFINANCE(B1810,""pe""),V1810)"),45352)</f>
        <v>45352</v>
      </c>
      <c r="X1810" s="6">
        <v>0.71</v>
      </c>
      <c r="Y1810" s="6">
        <v>43.97</v>
      </c>
      <c r="Z1810" s="6">
        <v>23.71</v>
      </c>
      <c r="AA1810" s="3" t="s">
        <v>5471</v>
      </c>
      <c r="AB1810" s="11"/>
      <c r="AC1810" s="9"/>
      <c r="AD1810" s="9"/>
      <c r="AE1810" s="1">
        <v>0</v>
      </c>
      <c r="AF1810" s="1">
        <f ca="1">IFERROR(__xludf.DUMMYFUNCTION("IFERROR(GOOGLEFINANCE(TRIM(F1810)&amp;"":"" &amp; TRIM(B1810),""high52""),AE1810)"),0)</f>
        <v>0</v>
      </c>
      <c r="AG1810" s="1">
        <v>0</v>
      </c>
      <c r="AH1810" s="1">
        <f ca="1">IFERROR(__xludf.DUMMYFUNCTION("IFERROR(GOOGLEFINANCE(TRIM(F1810)&amp;"":"" &amp; TRIM(B1810),""low52""),AE1810)"),0)</f>
        <v>0</v>
      </c>
      <c r="AI1810" s="1">
        <f ca="1">IFERROR(__xludf.DUMMYFUNCTION("IFERROR(GOOGLEFINANCE(B1810,""eps""),0)"),0)</f>
        <v>0</v>
      </c>
      <c r="AJ1810" s="1"/>
      <c r="AK1810" s="1" t="s">
        <v>5472</v>
      </c>
      <c r="AL1810" s="9">
        <f t="shared" si="218"/>
        <v>1</v>
      </c>
    </row>
    <row r="1811" spans="1:38" ht="15" x14ac:dyDescent="0.25">
      <c r="A1811" s="1" t="s">
        <v>5473</v>
      </c>
      <c r="B1811" s="1" t="s">
        <v>5474</v>
      </c>
      <c r="C1811" s="1" t="s">
        <v>43</v>
      </c>
      <c r="D1811" s="1" t="s">
        <v>43</v>
      </c>
      <c r="E1811" s="6">
        <v>269.35000000000002</v>
      </c>
      <c r="F1811" s="1" t="s">
        <v>53</v>
      </c>
      <c r="G1811" s="6">
        <f ca="1">IFERROR(__xludf.DUMMYFUNCTION("iferror(GOOGLEFINANCE(TRIM(F1811)&amp;"":"" &amp; TRIM(B1811), ""price""),0
)"),0)</f>
        <v>0</v>
      </c>
      <c r="H1811" s="6">
        <v>214</v>
      </c>
      <c r="I1811" s="6">
        <f t="shared" ca="1" si="0"/>
        <v>214</v>
      </c>
      <c r="J1811" s="6">
        <f ca="1">IFERROR(__xludf.DUMMYFUNCTION("IFERROR(GOOGLEFINANCE(B1811, ""volume""), 0)"),0)</f>
        <v>0</v>
      </c>
      <c r="K1811" s="6">
        <v>-0.14000000000000001</v>
      </c>
      <c r="L1811" s="6">
        <f ca="1">IFERROR(__xludf.DUMMYFUNCTION("IFERROR(GOOGLEFINANCE(B1811,""changepct""),K1811)"),-0.14)</f>
        <v>-0.14000000000000001</v>
      </c>
      <c r="M1811" s="6">
        <f ca="1">IFERROR(__xludf.DUMMYFUNCTION("IFERROR(GOOGLEFINANCE(B1811,""change""),0)"),0)</f>
        <v>0</v>
      </c>
      <c r="N1811" s="6">
        <v>2</v>
      </c>
      <c r="O1811" s="7">
        <v>45536</v>
      </c>
      <c r="P1811" s="6">
        <v>56.33</v>
      </c>
      <c r="Q1811" s="7">
        <v>45536</v>
      </c>
      <c r="R1811" s="6">
        <v>4.78</v>
      </c>
      <c r="S1811" s="6">
        <v>0.19</v>
      </c>
      <c r="T1811" s="6">
        <v>0.7</v>
      </c>
      <c r="U1811" s="6">
        <v>2</v>
      </c>
      <c r="V1811" s="7">
        <v>45352</v>
      </c>
      <c r="W1811" s="10">
        <f ca="1">IFERROR(__xludf.DUMMYFUNCTION("IFERROR(GOOGLEFINANCE(B1811,""pe""),V1811)"),45352)</f>
        <v>45352</v>
      </c>
      <c r="X1811" s="6">
        <v>0.24</v>
      </c>
      <c r="Y1811" s="6">
        <v>18.18</v>
      </c>
      <c r="Z1811" s="6">
        <v>18.170000000000002</v>
      </c>
      <c r="AA1811" s="3" t="s">
        <v>5475</v>
      </c>
      <c r="AB1811" s="11"/>
      <c r="AC1811" s="9"/>
      <c r="AD1811" s="9"/>
      <c r="AE1811" s="1">
        <v>0</v>
      </c>
      <c r="AF1811" s="1">
        <f ca="1">IFERROR(__xludf.DUMMYFUNCTION("IFERROR(GOOGLEFINANCE(TRIM(F1811)&amp;"":"" &amp; TRIM(B1811),""high52""),AE1811)"),0)</f>
        <v>0</v>
      </c>
      <c r="AG1811" s="1">
        <v>0</v>
      </c>
      <c r="AH1811" s="1">
        <f ca="1">IFERROR(__xludf.DUMMYFUNCTION("IFERROR(GOOGLEFINANCE(TRIM(F1811)&amp;"":"" &amp; TRIM(B1811),""low52""),AE1811)"),0)</f>
        <v>0</v>
      </c>
      <c r="AI1811" s="1">
        <f ca="1">IFERROR(__xludf.DUMMYFUNCTION("IFERROR(GOOGLEFINANCE(B1811,""eps""),0)"),0)</f>
        <v>0</v>
      </c>
      <c r="AJ1811" s="1"/>
      <c r="AK1811" s="1" t="s">
        <v>5476</v>
      </c>
      <c r="AL1811" s="9">
        <f t="shared" si="218"/>
        <v>1</v>
      </c>
    </row>
    <row r="1812" spans="1:38" ht="15" x14ac:dyDescent="0.25">
      <c r="A1812" s="1" t="s">
        <v>5477</v>
      </c>
      <c r="B1812" s="1" t="s">
        <v>5478</v>
      </c>
      <c r="C1812" s="1" t="s">
        <v>43</v>
      </c>
      <c r="D1812" s="1" t="s">
        <v>43</v>
      </c>
      <c r="E1812" s="6">
        <v>102.69</v>
      </c>
      <c r="F1812" s="1" t="s">
        <v>53</v>
      </c>
      <c r="G1812" s="6">
        <f ca="1">IFERROR(__xludf.DUMMYFUNCTION("iferror(GOOGLEFINANCE(TRIM(F1812)&amp;"":"" &amp; TRIM(B1812), ""price""),0
)"),0)</f>
        <v>0</v>
      </c>
      <c r="H1812" s="6">
        <v>357.85</v>
      </c>
      <c r="I1812" s="6">
        <f t="shared" ca="1" si="0"/>
        <v>357.85</v>
      </c>
      <c r="J1812" s="6">
        <f ca="1">IFERROR(__xludf.DUMMYFUNCTION("IFERROR(GOOGLEFINANCE(B1812, ""volume""), 0)"),0)</f>
        <v>0</v>
      </c>
      <c r="K1812" s="6">
        <v>4.54</v>
      </c>
      <c r="L1812" s="6">
        <f ca="1">IFERROR(__xludf.DUMMYFUNCTION("IFERROR(GOOGLEFINANCE(B1812,""changepct""),K1812)"),4.54)</f>
        <v>4.54</v>
      </c>
      <c r="M1812" s="6">
        <f ca="1">IFERROR(__xludf.DUMMYFUNCTION("IFERROR(GOOGLEFINANCE(B1812,""change""),0)"),0)</f>
        <v>0</v>
      </c>
      <c r="N1812" s="6">
        <v>1</v>
      </c>
      <c r="O1812" s="7">
        <v>45536</v>
      </c>
      <c r="P1812" s="6">
        <v>21.09</v>
      </c>
      <c r="Q1812" s="7">
        <v>45536</v>
      </c>
      <c r="R1812" s="6">
        <v>4.87</v>
      </c>
      <c r="S1812" s="6">
        <v>0.04</v>
      </c>
      <c r="T1812" s="6">
        <v>1.74</v>
      </c>
      <c r="U1812" s="6">
        <v>1</v>
      </c>
      <c r="V1812" s="7">
        <v>45352</v>
      </c>
      <c r="W1812" s="10">
        <f ca="1">IFERROR(__xludf.DUMMYFUNCTION("IFERROR(GOOGLEFINANCE(B1812,""pe""),V1812)"),45352)</f>
        <v>45352</v>
      </c>
      <c r="X1812" s="6">
        <v>0.02</v>
      </c>
      <c r="Y1812" s="6">
        <v>55.29</v>
      </c>
      <c r="Z1812" s="6">
        <v>73.900000000000006</v>
      </c>
      <c r="AA1812" s="3" t="s">
        <v>5479</v>
      </c>
      <c r="AB1812" s="11"/>
      <c r="AC1812" s="9"/>
      <c r="AD1812" s="9"/>
      <c r="AE1812" s="1">
        <v>0</v>
      </c>
      <c r="AF1812" s="1">
        <f ca="1">IFERROR(__xludf.DUMMYFUNCTION("IFERROR(GOOGLEFINANCE(TRIM(F1812)&amp;"":"" &amp; TRIM(B1812),""high52""),AE1812)"),0)</f>
        <v>0</v>
      </c>
      <c r="AG1812" s="1">
        <v>0</v>
      </c>
      <c r="AH1812" s="1">
        <f ca="1">IFERROR(__xludf.DUMMYFUNCTION("IFERROR(GOOGLEFINANCE(TRIM(F1812)&amp;"":"" &amp; TRIM(B1812),""low52""),AE1812)"),0)</f>
        <v>0</v>
      </c>
      <c r="AI1812" s="1">
        <f ca="1">IFERROR(__xludf.DUMMYFUNCTION("IFERROR(GOOGLEFINANCE(B1812,""eps""),0)"),0)</f>
        <v>0</v>
      </c>
      <c r="AJ1812" s="1"/>
      <c r="AK1812" s="1" t="s">
        <v>5480</v>
      </c>
      <c r="AL1812" s="9">
        <f t="shared" si="218"/>
        <v>1</v>
      </c>
    </row>
    <row r="1813" spans="1:38" ht="15" x14ac:dyDescent="0.25">
      <c r="A1813" s="1" t="s">
        <v>5481</v>
      </c>
      <c r="B1813" s="1" t="s">
        <v>5482</v>
      </c>
      <c r="C1813" s="1" t="s">
        <v>219</v>
      </c>
      <c r="D1813" s="1" t="s">
        <v>219</v>
      </c>
      <c r="E1813" s="6">
        <v>56382.91</v>
      </c>
      <c r="F1813" s="1" t="s">
        <v>40</v>
      </c>
      <c r="G1813" s="6">
        <f ca="1">IFERROR(__xludf.DUMMYFUNCTION("iferror(GOOGLEFINANCE(TRIM(F1813)&amp;"":"" &amp; TRIM(B1813), ""price""),0
)"),807)</f>
        <v>807</v>
      </c>
      <c r="H1813" s="6">
        <v>679.95</v>
      </c>
      <c r="I1813" s="6">
        <f t="shared" ca="1" si="0"/>
        <v>807</v>
      </c>
      <c r="J1813" s="6">
        <f ca="1">IFERROR(__xludf.DUMMYFUNCTION("IFERROR(GOOGLEFINANCE(B1813, ""volume""), 0)"),648429)</f>
        <v>648429</v>
      </c>
      <c r="K1813" s="6">
        <v>-0.65</v>
      </c>
      <c r="L1813" s="6">
        <f ca="1">IFERROR(__xludf.DUMMYFUNCTION("IFERROR(GOOGLEFINANCE(B1813,""changepct""),K1813)"),2.42)</f>
        <v>2.42</v>
      </c>
      <c r="M1813" s="6">
        <f ca="1">IFERROR(__xludf.DUMMYFUNCTION("IFERROR(GOOGLEFINANCE(B1813,""change""),0)"),19.1)</f>
        <v>19.100000000000001</v>
      </c>
      <c r="N1813" s="6">
        <v>2</v>
      </c>
      <c r="O1813" s="7">
        <v>45536</v>
      </c>
      <c r="P1813" s="6">
        <v>6366.71</v>
      </c>
      <c r="Q1813" s="6">
        <v>60632.04</v>
      </c>
      <c r="R1813" s="7">
        <v>45536</v>
      </c>
      <c r="S1813" s="6">
        <v>37788.06</v>
      </c>
      <c r="T1813" s="6">
        <v>2435.4</v>
      </c>
      <c r="U1813" s="7">
        <v>45536</v>
      </c>
      <c r="V1813" s="6">
        <v>22.99</v>
      </c>
      <c r="W1813" s="6">
        <f ca="1">IFERROR(__xludf.DUMMYFUNCTION("IFERROR(GOOGLEFINANCE(B1813,""pe""),V1813)"),22.61)</f>
        <v>22.61</v>
      </c>
      <c r="X1813" s="6">
        <v>0.28999999999999998</v>
      </c>
      <c r="Y1813" s="6">
        <v>3.65</v>
      </c>
      <c r="Z1813" s="6">
        <v>2</v>
      </c>
      <c r="AA1813" s="8">
        <v>45352</v>
      </c>
      <c r="AB1813" s="4">
        <v>0.41</v>
      </c>
      <c r="AC1813" s="6">
        <v>20.5</v>
      </c>
      <c r="AD1813" s="6">
        <v>22.97</v>
      </c>
      <c r="AE1813" s="1">
        <v>0</v>
      </c>
      <c r="AF1813" s="1">
        <f ca="1">IFERROR(__xludf.DUMMYFUNCTION("IFERROR(GOOGLEFINANCE(TRIM(F1813)&amp;"":"" &amp; TRIM(B1813),""high52""),AE1813)"),884)</f>
        <v>884</v>
      </c>
      <c r="AG1813" s="1">
        <v>0</v>
      </c>
      <c r="AH1813" s="1">
        <f ca="1">IFERROR(__xludf.DUMMYFUNCTION("IFERROR(GOOGLEFINANCE(TRIM(F1813)&amp;"":"" &amp; TRIM(B1813),""low52""),AE1813)"),496.6)</f>
        <v>496.6</v>
      </c>
      <c r="AI1813" s="1">
        <f ca="1">IFERROR(__xludf.DUMMYFUNCTION("IFERROR(GOOGLEFINANCE(B1813,""eps""),0)"),35.69)</f>
        <v>35.69</v>
      </c>
      <c r="AJ1813" s="1"/>
      <c r="AK1813" s="1" t="s">
        <v>5483</v>
      </c>
      <c r="AL1813" s="9">
        <f t="shared" si="218"/>
        <v>1</v>
      </c>
    </row>
    <row r="1814" spans="1:38" ht="15" x14ac:dyDescent="0.25">
      <c r="A1814" s="1" t="s">
        <v>5484</v>
      </c>
      <c r="B1814" s="1" t="s">
        <v>5485</v>
      </c>
      <c r="C1814" s="1" t="s">
        <v>43</v>
      </c>
      <c r="D1814" s="1" t="s">
        <v>43</v>
      </c>
      <c r="E1814" s="6">
        <v>149.47</v>
      </c>
      <c r="F1814" s="1" t="s">
        <v>53</v>
      </c>
      <c r="G1814" s="6">
        <f ca="1">IFERROR(__xludf.DUMMYFUNCTION("iferror(GOOGLEFINANCE(TRIM(F1814)&amp;"":"" &amp; TRIM(B1814), ""price""),0
)"),0)</f>
        <v>0</v>
      </c>
      <c r="H1814" s="6">
        <v>66.78</v>
      </c>
      <c r="I1814" s="6">
        <f t="shared" ca="1" si="0"/>
        <v>66.78</v>
      </c>
      <c r="J1814" s="6">
        <f ca="1">IFERROR(__xludf.DUMMYFUNCTION("IFERROR(GOOGLEFINANCE(B1814, ""volume""), 0)"),0)</f>
        <v>0</v>
      </c>
      <c r="K1814" s="6">
        <v>2.34</v>
      </c>
      <c r="L1814" s="6">
        <f ca="1">IFERROR(__xludf.DUMMYFUNCTION("IFERROR(GOOGLEFINANCE(B1814,""changepct""),K1814)"),2.34)</f>
        <v>2.34</v>
      </c>
      <c r="M1814" s="6">
        <f ca="1">IFERROR(__xludf.DUMMYFUNCTION("IFERROR(GOOGLEFINANCE(B1814,""change""),0)"),0)</f>
        <v>0</v>
      </c>
      <c r="N1814" s="6">
        <v>2</v>
      </c>
      <c r="O1814" s="7">
        <v>45536</v>
      </c>
      <c r="P1814" s="6">
        <v>29.88</v>
      </c>
      <c r="Q1814" s="7">
        <v>45536</v>
      </c>
      <c r="R1814" s="6">
        <v>4.93</v>
      </c>
      <c r="S1814" s="6">
        <v>0.12</v>
      </c>
      <c r="T1814" s="6">
        <v>0.87</v>
      </c>
      <c r="U1814" s="6">
        <v>2</v>
      </c>
      <c r="V1814" s="7">
        <v>45352</v>
      </c>
      <c r="W1814" s="10">
        <f ca="1">IFERROR(__xludf.DUMMYFUNCTION("IFERROR(GOOGLEFINANCE(B1814,""pe""),V1814)"),45352)</f>
        <v>45352</v>
      </c>
      <c r="X1814" s="6">
        <v>0.2</v>
      </c>
      <c r="Y1814" s="6">
        <v>36.520000000000003</v>
      </c>
      <c r="Z1814" s="6">
        <v>33.58</v>
      </c>
      <c r="AA1814" s="3" t="s">
        <v>5486</v>
      </c>
      <c r="AB1814" s="11"/>
      <c r="AC1814" s="9"/>
      <c r="AD1814" s="9"/>
      <c r="AE1814" s="1">
        <v>0</v>
      </c>
      <c r="AF1814" s="1">
        <f ca="1">IFERROR(__xludf.DUMMYFUNCTION("IFERROR(GOOGLEFINANCE(TRIM(F1814)&amp;"":"" &amp; TRIM(B1814),""high52""),AE1814)"),0)</f>
        <v>0</v>
      </c>
      <c r="AG1814" s="1">
        <v>0</v>
      </c>
      <c r="AH1814" s="1">
        <f ca="1">IFERROR(__xludf.DUMMYFUNCTION("IFERROR(GOOGLEFINANCE(TRIM(F1814)&amp;"":"" &amp; TRIM(B1814),""low52""),AE1814)"),0)</f>
        <v>0</v>
      </c>
      <c r="AI1814" s="1">
        <f ca="1">IFERROR(__xludf.DUMMYFUNCTION("IFERROR(GOOGLEFINANCE(B1814,""eps""),0)"),0)</f>
        <v>0</v>
      </c>
      <c r="AJ1814" s="1"/>
      <c r="AK1814" s="1" t="s">
        <v>5487</v>
      </c>
      <c r="AL1814" s="9">
        <f t="shared" si="218"/>
        <v>1</v>
      </c>
    </row>
    <row r="1815" spans="1:38" ht="15" x14ac:dyDescent="0.25">
      <c r="A1815" s="1" t="s">
        <v>5488</v>
      </c>
      <c r="B1815" s="1" t="s">
        <v>5489</v>
      </c>
      <c r="C1815" s="1" t="s">
        <v>43</v>
      </c>
      <c r="D1815" s="1" t="s">
        <v>43</v>
      </c>
      <c r="E1815" s="6">
        <v>296.11</v>
      </c>
      <c r="F1815" s="1" t="s">
        <v>53</v>
      </c>
      <c r="G1815" s="6">
        <f ca="1">IFERROR(__xludf.DUMMYFUNCTION("iferror(GOOGLEFINANCE(TRIM(F1815)&amp;"":"" &amp; TRIM(B1815), ""price""),0
)"),0)</f>
        <v>0</v>
      </c>
      <c r="H1815" s="6">
        <v>968.8</v>
      </c>
      <c r="I1815" s="6">
        <f t="shared" ca="1" si="0"/>
        <v>968.8</v>
      </c>
      <c r="J1815" s="6">
        <f ca="1">IFERROR(__xludf.DUMMYFUNCTION("IFERROR(GOOGLEFINANCE(B1815, ""volume""), 0)"),0)</f>
        <v>0</v>
      </c>
      <c r="K1815" s="6">
        <v>0.9</v>
      </c>
      <c r="L1815" s="6">
        <f ca="1">IFERROR(__xludf.DUMMYFUNCTION("IFERROR(GOOGLEFINANCE(B1815,""changepct""),K1815)"),0.72)</f>
        <v>0.72</v>
      </c>
      <c r="M1815" s="6">
        <f ca="1">IFERROR(__xludf.DUMMYFUNCTION("IFERROR(GOOGLEFINANCE(B1815,""change""),0)"),0.05)</f>
        <v>0.05</v>
      </c>
      <c r="N1815" s="6">
        <v>2</v>
      </c>
      <c r="O1815" s="7">
        <v>45536</v>
      </c>
      <c r="P1815" s="6">
        <v>55.84</v>
      </c>
      <c r="Q1815" s="7">
        <v>45536</v>
      </c>
      <c r="R1815" s="6">
        <v>5.3</v>
      </c>
      <c r="S1815" s="6">
        <v>0.27</v>
      </c>
      <c r="T1815" s="6">
        <v>0.5</v>
      </c>
      <c r="U1815" s="6">
        <v>2</v>
      </c>
      <c r="V1815" s="7">
        <v>45352</v>
      </c>
      <c r="W1815" s="10">
        <f ca="1">IFERROR(__xludf.DUMMYFUNCTION("IFERROR(GOOGLEFINANCE(B1815,""pe""),V1815)"),45352)</f>
        <v>45352</v>
      </c>
      <c r="X1815" s="6">
        <v>0.87</v>
      </c>
      <c r="Y1815" s="6">
        <v>10.15</v>
      </c>
      <c r="Z1815" s="6">
        <v>12.3</v>
      </c>
      <c r="AA1815" s="3" t="s">
        <v>5490</v>
      </c>
      <c r="AB1815" s="11"/>
      <c r="AC1815" s="9"/>
      <c r="AD1815" s="9"/>
      <c r="AE1815" s="1">
        <v>0</v>
      </c>
      <c r="AF1815" s="1">
        <f ca="1">IFERROR(__xludf.DUMMYFUNCTION("IFERROR(GOOGLEFINANCE(TRIM(F1815)&amp;"":"" &amp; TRIM(B1815),""high52""),AE1815)"),0)</f>
        <v>0</v>
      </c>
      <c r="AG1815" s="1">
        <v>0</v>
      </c>
      <c r="AH1815" s="1">
        <f ca="1">IFERROR(__xludf.DUMMYFUNCTION("IFERROR(GOOGLEFINANCE(TRIM(F1815)&amp;"":"" &amp; TRIM(B1815),""low52""),AE1815)"),0)</f>
        <v>0</v>
      </c>
      <c r="AI1815" s="1">
        <f ca="1">IFERROR(__xludf.DUMMYFUNCTION("IFERROR(GOOGLEFINANCE(B1815,""eps""),0)"),0)</f>
        <v>0</v>
      </c>
      <c r="AJ1815" s="1"/>
      <c r="AK1815" s="1" t="s">
        <v>5491</v>
      </c>
      <c r="AL1815" s="9">
        <f t="shared" si="218"/>
        <v>1</v>
      </c>
    </row>
    <row r="1816" spans="1:38" ht="15" x14ac:dyDescent="0.25">
      <c r="A1816" s="1" t="s">
        <v>5492</v>
      </c>
      <c r="B1816" s="1" t="s">
        <v>5493</v>
      </c>
      <c r="C1816" s="1" t="s">
        <v>43</v>
      </c>
      <c r="D1816" s="1" t="s">
        <v>43</v>
      </c>
      <c r="E1816" s="6">
        <v>211.23</v>
      </c>
      <c r="F1816" s="1" t="s">
        <v>53</v>
      </c>
      <c r="G1816" s="6">
        <f ca="1">IFERROR(__xludf.DUMMYFUNCTION("iferror(GOOGLEFINANCE(TRIM(F1816)&amp;"":"" &amp; TRIM(B1816), ""price""),0
)"),0)</f>
        <v>0</v>
      </c>
      <c r="H1816" s="6">
        <v>222</v>
      </c>
      <c r="I1816" s="6">
        <f t="shared" ca="1" si="0"/>
        <v>222</v>
      </c>
      <c r="J1816" s="6">
        <f ca="1">IFERROR(__xludf.DUMMYFUNCTION("IFERROR(GOOGLEFINANCE(B1816, ""volume""), 0)"),0)</f>
        <v>0</v>
      </c>
      <c r="K1816" s="6">
        <v>1.81</v>
      </c>
      <c r="L1816" s="6">
        <f ca="1">IFERROR(__xludf.DUMMYFUNCTION("IFERROR(GOOGLEFINANCE(B1816,""changepct""),K1816)"),1.81)</f>
        <v>1.81</v>
      </c>
      <c r="M1816" s="6">
        <f ca="1">IFERROR(__xludf.DUMMYFUNCTION("IFERROR(GOOGLEFINANCE(B1816,""change""),0)"),0)</f>
        <v>0</v>
      </c>
      <c r="N1816" s="6">
        <v>1</v>
      </c>
      <c r="O1816" s="7">
        <v>45536</v>
      </c>
      <c r="P1816" s="6">
        <v>39.06</v>
      </c>
      <c r="Q1816" s="7">
        <v>45536</v>
      </c>
      <c r="R1816" s="6">
        <v>5.41</v>
      </c>
      <c r="S1816" s="6">
        <v>0.21</v>
      </c>
      <c r="T1816" s="6">
        <v>1.1499999999999999</v>
      </c>
      <c r="U1816" s="6">
        <v>1</v>
      </c>
      <c r="V1816" s="7">
        <v>45352</v>
      </c>
      <c r="W1816" s="10">
        <f ca="1">IFERROR(__xludf.DUMMYFUNCTION("IFERROR(GOOGLEFINANCE(B1816,""pe""),V1816)"),45352)</f>
        <v>45352</v>
      </c>
      <c r="X1816" s="6">
        <v>0</v>
      </c>
      <c r="Y1816" s="6">
        <v>22.04</v>
      </c>
      <c r="Z1816" s="6">
        <v>27.03</v>
      </c>
      <c r="AA1816" s="3" t="s">
        <v>5494</v>
      </c>
      <c r="AB1816" s="11"/>
      <c r="AC1816" s="9"/>
      <c r="AD1816" s="9"/>
      <c r="AE1816" s="1">
        <v>0</v>
      </c>
      <c r="AF1816" s="1">
        <f ca="1">IFERROR(__xludf.DUMMYFUNCTION("IFERROR(GOOGLEFINANCE(TRIM(F1816)&amp;"":"" &amp; TRIM(B1816),""high52""),AE1816)"),0)</f>
        <v>0</v>
      </c>
      <c r="AG1816" s="1">
        <v>0</v>
      </c>
      <c r="AH1816" s="1">
        <f ca="1">IFERROR(__xludf.DUMMYFUNCTION("IFERROR(GOOGLEFINANCE(TRIM(F1816)&amp;"":"" &amp; TRIM(B1816),""low52""),AE1816)"),0)</f>
        <v>0</v>
      </c>
      <c r="AI1816" s="1">
        <f ca="1">IFERROR(__xludf.DUMMYFUNCTION("IFERROR(GOOGLEFINANCE(B1816,""eps""),0)"),0)</f>
        <v>0</v>
      </c>
      <c r="AJ1816" s="1"/>
      <c r="AK1816" s="1" t="s">
        <v>5495</v>
      </c>
      <c r="AL1816" s="9">
        <f t="shared" si="218"/>
        <v>1</v>
      </c>
    </row>
    <row r="1817" spans="1:38" ht="15" x14ac:dyDescent="0.25">
      <c r="A1817" s="1" t="s">
        <v>5496</v>
      </c>
      <c r="B1817" s="1" t="s">
        <v>5497</v>
      </c>
      <c r="C1817" s="1" t="s">
        <v>2018</v>
      </c>
      <c r="D1817" s="1" t="s">
        <v>2018</v>
      </c>
      <c r="E1817" s="6">
        <v>96051.5</v>
      </c>
      <c r="F1817" s="1" t="s">
        <v>40</v>
      </c>
      <c r="G1817" s="6">
        <f ca="1">IFERROR(__xludf.DUMMYFUNCTION("iferror(GOOGLEFINANCE(TRIM(F1817)&amp;"":"" &amp; TRIM(B1817), ""price""),0
)"),1131.5)</f>
        <v>1131.5</v>
      </c>
      <c r="H1817" s="6">
        <v>942.15</v>
      </c>
      <c r="I1817" s="6">
        <f t="shared" ca="1" si="0"/>
        <v>1131.5</v>
      </c>
      <c r="J1817" s="6">
        <f ca="1">IFERROR(__xludf.DUMMYFUNCTION("IFERROR(GOOGLEFINANCE(B1817, ""volume""), 0)"),1460280)</f>
        <v>1460280</v>
      </c>
      <c r="K1817" s="6">
        <v>0.05</v>
      </c>
      <c r="L1817" s="6">
        <f ca="1">IFERROR(__xludf.DUMMYFUNCTION("IFERROR(GOOGLEFINANCE(B1817,""changepct""),K1817)"),2.68)</f>
        <v>2.68</v>
      </c>
      <c r="M1817" s="6">
        <f ca="1">IFERROR(__xludf.DUMMYFUNCTION("IFERROR(GOOGLEFINANCE(B1817,""change""),0)"),29.5)</f>
        <v>29.5</v>
      </c>
      <c r="N1817" s="6">
        <v>2</v>
      </c>
      <c r="O1817" s="7">
        <v>45536</v>
      </c>
      <c r="P1817" s="6">
        <v>16698.02</v>
      </c>
      <c r="Q1817" s="6">
        <v>109226.4</v>
      </c>
      <c r="R1817" s="7">
        <v>45536</v>
      </c>
      <c r="S1817" s="6">
        <v>50019.43</v>
      </c>
      <c r="T1817" s="6">
        <v>5059.5200000000004</v>
      </c>
      <c r="U1817" s="7">
        <v>45536</v>
      </c>
      <c r="V1817" s="6">
        <v>18.96</v>
      </c>
      <c r="W1817" s="6">
        <f ca="1">IFERROR(__xludf.DUMMYFUNCTION("IFERROR(GOOGLEFINANCE(B1817,""pe""),V1817)"),57.59)</f>
        <v>57.59</v>
      </c>
      <c r="X1817" s="6">
        <v>0.24</v>
      </c>
      <c r="Y1817" s="6">
        <v>2.0299999999999998</v>
      </c>
      <c r="Z1817" s="6">
        <v>2</v>
      </c>
      <c r="AA1817" s="8">
        <v>45352</v>
      </c>
      <c r="AB1817" s="4">
        <v>0.36</v>
      </c>
      <c r="AC1817" s="6">
        <v>14.32</v>
      </c>
      <c r="AD1817" s="6">
        <v>13.9</v>
      </c>
      <c r="AE1817" s="1">
        <v>0</v>
      </c>
      <c r="AF1817" s="1">
        <f ca="1">IFERROR(__xludf.DUMMYFUNCTION("IFERROR(GOOGLEFINANCE(TRIM(F1817)&amp;"":"" &amp; TRIM(B1817),""high52""),AE1817)"),1168)</f>
        <v>1168</v>
      </c>
      <c r="AG1817" s="1">
        <v>0</v>
      </c>
      <c r="AH1817" s="1">
        <f ca="1">IFERROR(__xludf.DUMMYFUNCTION("IFERROR(GOOGLEFINANCE(TRIM(F1817)&amp;"":"" &amp; TRIM(B1817),""low52""),AE1817)"),750.4)</f>
        <v>750.4</v>
      </c>
      <c r="AI1817" s="1">
        <f ca="1">IFERROR(__xludf.DUMMYFUNCTION("IFERROR(GOOGLEFINANCE(B1817,""eps""),0)"),19.65)</f>
        <v>19.649999999999999</v>
      </c>
      <c r="AJ1817" s="1"/>
      <c r="AK1817" s="1" t="s">
        <v>5498</v>
      </c>
      <c r="AL1817" s="9">
        <f t="shared" si="218"/>
        <v>1</v>
      </c>
    </row>
    <row r="1818" spans="1:38" ht="15" x14ac:dyDescent="0.25">
      <c r="A1818" s="1" t="s">
        <v>5499</v>
      </c>
      <c r="B1818" s="1" t="s">
        <v>5500</v>
      </c>
      <c r="C1818" s="1" t="s">
        <v>43</v>
      </c>
      <c r="D1818" s="1" t="s">
        <v>43</v>
      </c>
      <c r="E1818" s="6">
        <v>15.23</v>
      </c>
      <c r="F1818" s="1" t="s">
        <v>53</v>
      </c>
      <c r="G1818" s="6">
        <f ca="1">IFERROR(__xludf.DUMMYFUNCTION("iferror(GOOGLEFINANCE(TRIM(F1818)&amp;"":"" &amp; TRIM(B1818), ""price""),0
)"),0)</f>
        <v>0</v>
      </c>
      <c r="H1818" s="6">
        <v>8.24</v>
      </c>
      <c r="I1818" s="6">
        <f t="shared" ca="1" si="0"/>
        <v>8.24</v>
      </c>
      <c r="J1818" s="6">
        <f ca="1">IFERROR(__xludf.DUMMYFUNCTION("IFERROR(GOOGLEFINANCE(B1818, ""volume""), 0)"),0)</f>
        <v>0</v>
      </c>
      <c r="K1818" s="6">
        <v>0.98</v>
      </c>
      <c r="L1818" s="6">
        <f ca="1">IFERROR(__xludf.DUMMYFUNCTION("IFERROR(GOOGLEFINANCE(B1818,""changepct""),K1818)"),0.98)</f>
        <v>0.98</v>
      </c>
      <c r="M1818" s="6">
        <f ca="1">IFERROR(__xludf.DUMMYFUNCTION("IFERROR(GOOGLEFINANCE(B1818,""change""),0)"),0)</f>
        <v>0</v>
      </c>
      <c r="N1818" s="6">
        <v>1</v>
      </c>
      <c r="O1818" s="7">
        <v>45536</v>
      </c>
      <c r="P1818" s="6">
        <v>2.61</v>
      </c>
      <c r="Q1818" s="7">
        <v>45536</v>
      </c>
      <c r="R1818" s="6">
        <v>5.84</v>
      </c>
      <c r="S1818" s="6">
        <v>0.11</v>
      </c>
      <c r="T1818" s="6">
        <v>0.34</v>
      </c>
      <c r="U1818" s="6">
        <v>1</v>
      </c>
      <c r="V1818" s="7">
        <v>45352</v>
      </c>
      <c r="W1818" s="10">
        <f ca="1">IFERROR(__xludf.DUMMYFUNCTION("IFERROR(GOOGLEFINANCE(B1818,""pe""),V1818)"),45352)</f>
        <v>45352</v>
      </c>
      <c r="X1818" s="6">
        <v>0.67</v>
      </c>
      <c r="Y1818" s="6">
        <v>5.97</v>
      </c>
      <c r="Z1818" s="6">
        <v>9.67</v>
      </c>
      <c r="AA1818" s="3" t="s">
        <v>5501</v>
      </c>
      <c r="AB1818" s="11"/>
      <c r="AC1818" s="9"/>
      <c r="AD1818" s="9"/>
      <c r="AE1818" s="1">
        <v>0</v>
      </c>
      <c r="AF1818" s="1">
        <f ca="1">IFERROR(__xludf.DUMMYFUNCTION("IFERROR(GOOGLEFINANCE(TRIM(F1818)&amp;"":"" &amp; TRIM(B1818),""high52""),AE1818)"),0)</f>
        <v>0</v>
      </c>
      <c r="AG1818" s="1">
        <v>0</v>
      </c>
      <c r="AH1818" s="1">
        <f ca="1">IFERROR(__xludf.DUMMYFUNCTION("IFERROR(GOOGLEFINANCE(TRIM(F1818)&amp;"":"" &amp; TRIM(B1818),""low52""),AE1818)"),0)</f>
        <v>0</v>
      </c>
      <c r="AI1818" s="1">
        <f ca="1">IFERROR(__xludf.DUMMYFUNCTION("IFERROR(GOOGLEFINANCE(B1818,""eps""),0)"),0)</f>
        <v>0</v>
      </c>
      <c r="AJ1818" s="1"/>
      <c r="AK1818" s="1" t="s">
        <v>5502</v>
      </c>
      <c r="AL1818" s="9">
        <f t="shared" si="218"/>
        <v>1</v>
      </c>
    </row>
    <row r="1819" spans="1:38" ht="15" x14ac:dyDescent="0.25">
      <c r="A1819" s="1" t="s">
        <v>5503</v>
      </c>
      <c r="B1819" s="1" t="s">
        <v>5504</v>
      </c>
      <c r="C1819" s="1" t="s">
        <v>43</v>
      </c>
      <c r="D1819" s="1" t="s">
        <v>43</v>
      </c>
      <c r="E1819" s="6">
        <v>449.95</v>
      </c>
      <c r="F1819" s="1" t="s">
        <v>53</v>
      </c>
      <c r="G1819" s="6">
        <f ca="1">IFERROR(__xludf.DUMMYFUNCTION("iferror(GOOGLEFINANCE(TRIM(F1819)&amp;"":"" &amp; TRIM(B1819), ""price""),0
)"),0)</f>
        <v>0</v>
      </c>
      <c r="H1819" s="6">
        <v>30248</v>
      </c>
      <c r="I1819" s="6">
        <f t="shared" ca="1" si="0"/>
        <v>30248</v>
      </c>
      <c r="J1819" s="6">
        <f ca="1">IFERROR(__xludf.DUMMYFUNCTION("IFERROR(GOOGLEFINANCE(B1819, ""volume""), 0)"),0)</f>
        <v>0</v>
      </c>
      <c r="K1819" s="6">
        <v>0.84</v>
      </c>
      <c r="L1819" s="6">
        <f ca="1">IFERROR(__xludf.DUMMYFUNCTION("IFERROR(GOOGLEFINANCE(B1819,""changepct""),K1819)"),0.84)</f>
        <v>0.84</v>
      </c>
      <c r="M1819" s="6">
        <f ca="1">IFERROR(__xludf.DUMMYFUNCTION("IFERROR(GOOGLEFINANCE(B1819,""change""),0)"),0)</f>
        <v>0</v>
      </c>
      <c r="N1819" s="6">
        <v>1</v>
      </c>
      <c r="O1819" s="7">
        <v>45536</v>
      </c>
      <c r="P1819" s="6">
        <v>71.45</v>
      </c>
      <c r="Q1819" s="7">
        <v>45536</v>
      </c>
      <c r="R1819" s="6">
        <v>6.3</v>
      </c>
      <c r="S1819" s="6">
        <v>0.12</v>
      </c>
      <c r="T1819" s="6">
        <v>0.85</v>
      </c>
      <c r="U1819" s="6">
        <v>1</v>
      </c>
      <c r="V1819" s="7">
        <v>45352</v>
      </c>
      <c r="W1819" s="10">
        <f ca="1">IFERROR(__xludf.DUMMYFUNCTION("IFERROR(GOOGLEFINANCE(B1819,""pe""),V1819)"),45352)</f>
        <v>45352</v>
      </c>
      <c r="X1819" s="6">
        <v>0</v>
      </c>
      <c r="Y1819" s="6">
        <v>14.48</v>
      </c>
      <c r="Z1819" s="6">
        <v>17.66</v>
      </c>
      <c r="AA1819" s="3" t="s">
        <v>5505</v>
      </c>
      <c r="AB1819" s="11"/>
      <c r="AC1819" s="9"/>
      <c r="AD1819" s="9"/>
      <c r="AE1819" s="1">
        <v>0</v>
      </c>
      <c r="AF1819" s="1">
        <f ca="1">IFERROR(__xludf.DUMMYFUNCTION("IFERROR(GOOGLEFINANCE(TRIM(F1819)&amp;"":"" &amp; TRIM(B1819),""high52""),AE1819)"),0)</f>
        <v>0</v>
      </c>
      <c r="AG1819" s="1">
        <v>0</v>
      </c>
      <c r="AH1819" s="1">
        <f ca="1">IFERROR(__xludf.DUMMYFUNCTION("IFERROR(GOOGLEFINANCE(TRIM(F1819)&amp;"":"" &amp; TRIM(B1819),""low52""),AE1819)"),0)</f>
        <v>0</v>
      </c>
      <c r="AI1819" s="1">
        <f ca="1">IFERROR(__xludf.DUMMYFUNCTION("IFERROR(GOOGLEFINANCE(B1819,""eps""),0)"),0)</f>
        <v>0</v>
      </c>
      <c r="AJ1819" s="1"/>
      <c r="AK1819" s="9"/>
      <c r="AL1819" s="9">
        <f t="shared" si="218"/>
        <v>1</v>
      </c>
    </row>
    <row r="1820" spans="1:38" ht="15" x14ac:dyDescent="0.25">
      <c r="A1820" s="1" t="s">
        <v>5506</v>
      </c>
      <c r="B1820" s="1" t="s">
        <v>5507</v>
      </c>
      <c r="C1820" s="1" t="s">
        <v>43</v>
      </c>
      <c r="D1820" s="1" t="s">
        <v>43</v>
      </c>
      <c r="E1820" s="6">
        <v>136.12</v>
      </c>
      <c r="F1820" s="1" t="s">
        <v>53</v>
      </c>
      <c r="G1820" s="6">
        <f ca="1">IFERROR(__xludf.DUMMYFUNCTION("iferror(GOOGLEFINANCE(TRIM(F1820)&amp;"":"" &amp; TRIM(B1820), ""price""),0
)"),0)</f>
        <v>0</v>
      </c>
      <c r="H1820" s="6">
        <v>0.83</v>
      </c>
      <c r="I1820" s="6">
        <f t="shared" ca="1" si="0"/>
        <v>0.83</v>
      </c>
      <c r="J1820" s="6">
        <f ca="1">IFERROR(__xludf.DUMMYFUNCTION("IFERROR(GOOGLEFINANCE(B1820, ""volume""), 0)"),0)</f>
        <v>0</v>
      </c>
      <c r="K1820" s="6">
        <v>0</v>
      </c>
      <c r="L1820" s="6">
        <f ca="1">IFERROR(__xludf.DUMMYFUNCTION("IFERROR(GOOGLEFINANCE(B1820,""changepct""),K1820)"),0)</f>
        <v>0</v>
      </c>
      <c r="M1820" s="6">
        <f ca="1">IFERROR(__xludf.DUMMYFUNCTION("IFERROR(GOOGLEFINANCE(B1820,""change""),0)"),0)</f>
        <v>0</v>
      </c>
      <c r="N1820" s="6">
        <v>1</v>
      </c>
      <c r="O1820" s="7">
        <v>45536</v>
      </c>
      <c r="P1820" s="6">
        <v>20.79</v>
      </c>
      <c r="Q1820" s="7">
        <v>45536</v>
      </c>
      <c r="R1820" s="6">
        <v>6.55</v>
      </c>
      <c r="S1820" s="6">
        <v>0.15</v>
      </c>
      <c r="T1820" s="6">
        <v>0.75</v>
      </c>
      <c r="U1820" s="6">
        <v>1</v>
      </c>
      <c r="V1820" s="7">
        <v>45352</v>
      </c>
      <c r="W1820" s="10">
        <f ca="1">IFERROR(__xludf.DUMMYFUNCTION("IFERROR(GOOGLEFINANCE(B1820,""pe""),V1820)"),45352)</f>
        <v>45352</v>
      </c>
      <c r="X1820" s="6">
        <v>0.37</v>
      </c>
      <c r="Y1820" s="6">
        <v>1.77</v>
      </c>
      <c r="Z1820" s="6">
        <v>4.13</v>
      </c>
      <c r="AA1820" s="3" t="s">
        <v>5508</v>
      </c>
      <c r="AB1820" s="11"/>
      <c r="AC1820" s="9"/>
      <c r="AD1820" s="9"/>
      <c r="AE1820" s="1">
        <v>0</v>
      </c>
      <c r="AF1820" s="1">
        <f ca="1">IFERROR(__xludf.DUMMYFUNCTION("IFERROR(GOOGLEFINANCE(TRIM(F1820)&amp;"":"" &amp; TRIM(B1820),""high52""),AE1820)"),0)</f>
        <v>0</v>
      </c>
      <c r="AG1820" s="1">
        <v>0</v>
      </c>
      <c r="AH1820" s="1">
        <f ca="1">IFERROR(__xludf.DUMMYFUNCTION("IFERROR(GOOGLEFINANCE(TRIM(F1820)&amp;"":"" &amp; TRIM(B1820),""low52""),AE1820)"),0)</f>
        <v>0</v>
      </c>
      <c r="AI1820" s="1">
        <f ca="1">IFERROR(__xludf.DUMMYFUNCTION("IFERROR(GOOGLEFINANCE(B1820,""eps""),0)"),0)</f>
        <v>0</v>
      </c>
      <c r="AJ1820" s="1"/>
      <c r="AK1820" s="1" t="s">
        <v>5509</v>
      </c>
      <c r="AL1820" s="9">
        <f t="shared" si="218"/>
        <v>1</v>
      </c>
    </row>
    <row r="1821" spans="1:38" ht="15" x14ac:dyDescent="0.25">
      <c r="A1821" s="1" t="s">
        <v>5510</v>
      </c>
      <c r="B1821" s="1" t="s">
        <v>5511</v>
      </c>
      <c r="C1821" s="1" t="s">
        <v>43</v>
      </c>
      <c r="D1821" s="1" t="s">
        <v>43</v>
      </c>
      <c r="E1821" s="6">
        <v>187.97</v>
      </c>
      <c r="F1821" s="1" t="s">
        <v>53</v>
      </c>
      <c r="G1821" s="6">
        <f ca="1">IFERROR(__xludf.DUMMYFUNCTION("iferror(GOOGLEFINANCE(TRIM(F1821)&amp;"":"" &amp; TRIM(B1821), ""price""),0
)"),0)</f>
        <v>0</v>
      </c>
      <c r="H1821" s="6">
        <v>317.45</v>
      </c>
      <c r="I1821" s="6">
        <f t="shared" ca="1" si="0"/>
        <v>317.45</v>
      </c>
      <c r="J1821" s="6">
        <f ca="1">IFERROR(__xludf.DUMMYFUNCTION("IFERROR(GOOGLEFINANCE(B1821, ""volume""), 0)"),0)</f>
        <v>0</v>
      </c>
      <c r="K1821" s="6">
        <v>-1.99</v>
      </c>
      <c r="L1821" s="6">
        <f ca="1">IFERROR(__xludf.DUMMYFUNCTION("IFERROR(GOOGLEFINANCE(B1821,""changepct""),K1821)"),-1.99)</f>
        <v>-1.99</v>
      </c>
      <c r="M1821" s="6">
        <f ca="1">IFERROR(__xludf.DUMMYFUNCTION("IFERROR(GOOGLEFINANCE(B1821,""change""),0)"),0)</f>
        <v>0</v>
      </c>
      <c r="N1821" s="6">
        <v>2</v>
      </c>
      <c r="O1821" s="7">
        <v>45536</v>
      </c>
      <c r="P1821" s="6">
        <v>33.71</v>
      </c>
      <c r="Q1821" s="7">
        <v>45536</v>
      </c>
      <c r="R1821" s="6">
        <v>7.54</v>
      </c>
      <c r="S1821" s="6">
        <v>0.06</v>
      </c>
      <c r="T1821" s="6">
        <v>3.02</v>
      </c>
      <c r="U1821" s="6">
        <v>2</v>
      </c>
      <c r="V1821" s="7">
        <v>45352</v>
      </c>
      <c r="W1821" s="10">
        <f ca="1">IFERROR(__xludf.DUMMYFUNCTION("IFERROR(GOOGLEFINANCE(B1821,""pe""),V1821)"),45352)</f>
        <v>45352</v>
      </c>
      <c r="X1821" s="6">
        <v>0.49</v>
      </c>
      <c r="Y1821" s="6">
        <v>50.96</v>
      </c>
      <c r="Z1821" s="6">
        <v>48.77</v>
      </c>
      <c r="AA1821" s="3" t="s">
        <v>5512</v>
      </c>
      <c r="AB1821" s="11"/>
      <c r="AC1821" s="9"/>
      <c r="AD1821" s="9"/>
      <c r="AE1821" s="1">
        <v>0</v>
      </c>
      <c r="AF1821" s="1">
        <f ca="1">IFERROR(__xludf.DUMMYFUNCTION("IFERROR(GOOGLEFINANCE(TRIM(F1821)&amp;"":"" &amp; TRIM(B1821),""high52""),AE1821)"),0)</f>
        <v>0</v>
      </c>
      <c r="AG1821" s="1">
        <v>0</v>
      </c>
      <c r="AH1821" s="1">
        <f ca="1">IFERROR(__xludf.DUMMYFUNCTION("IFERROR(GOOGLEFINANCE(TRIM(F1821)&amp;"":"" &amp; TRIM(B1821),""low52""),AE1821)"),0)</f>
        <v>0</v>
      </c>
      <c r="AI1821" s="1">
        <f ca="1">IFERROR(__xludf.DUMMYFUNCTION("IFERROR(GOOGLEFINANCE(B1821,""eps""),0)"),0)</f>
        <v>0</v>
      </c>
      <c r="AJ1821" s="1"/>
      <c r="AK1821" s="1" t="s">
        <v>5513</v>
      </c>
      <c r="AL1821" s="9">
        <f t="shared" si="218"/>
        <v>1</v>
      </c>
    </row>
    <row r="1822" spans="1:38" ht="15" x14ac:dyDescent="0.25">
      <c r="A1822" s="1" t="s">
        <v>5514</v>
      </c>
      <c r="B1822" s="1" t="s">
        <v>5515</v>
      </c>
      <c r="C1822" s="1" t="s">
        <v>186</v>
      </c>
      <c r="D1822" s="1" t="s">
        <v>186</v>
      </c>
      <c r="E1822" s="6">
        <v>8693.56</v>
      </c>
      <c r="F1822" s="1" t="s">
        <v>40</v>
      </c>
      <c r="G1822" s="6">
        <f ca="1">IFERROR(__xludf.DUMMYFUNCTION("iferror(GOOGLEFINANCE(TRIM(F1822)&amp;"":"" &amp; TRIM(B1822), ""price""),0
)"),24.63)</f>
        <v>24.63</v>
      </c>
      <c r="H1822" s="6">
        <v>438.65</v>
      </c>
      <c r="I1822" s="6">
        <f t="shared" ca="1" si="0"/>
        <v>24.63</v>
      </c>
      <c r="J1822" s="6">
        <f ca="1">IFERROR(__xludf.DUMMYFUNCTION("IFERROR(GOOGLEFINANCE(B1822, ""volume""), 0)"),312260)</f>
        <v>312260</v>
      </c>
      <c r="K1822" s="6">
        <v>1.1499999999999999</v>
      </c>
      <c r="L1822" s="6">
        <f ca="1">IFERROR(__xludf.DUMMYFUNCTION("IFERROR(GOOGLEFINANCE(B1822,""changepct""),K1822)"),-1.64)</f>
        <v>-1.64</v>
      </c>
      <c r="M1822" s="6">
        <f ca="1">IFERROR(__xludf.DUMMYFUNCTION("IFERROR(GOOGLEFINANCE(B1822,""change""),0)"),-0.41)</f>
        <v>-0.41</v>
      </c>
      <c r="N1822" s="6">
        <v>2</v>
      </c>
      <c r="O1822" s="7">
        <v>45536</v>
      </c>
      <c r="P1822" s="6">
        <v>860.31</v>
      </c>
      <c r="Q1822" s="6">
        <v>9276.58</v>
      </c>
      <c r="R1822" s="7">
        <v>45536</v>
      </c>
      <c r="S1822" s="6">
        <v>2074.86</v>
      </c>
      <c r="T1822" s="6">
        <v>84.6</v>
      </c>
      <c r="U1822" s="7">
        <v>45536</v>
      </c>
      <c r="V1822" s="6">
        <v>102.76</v>
      </c>
      <c r="W1822" s="6">
        <f ca="1">IFERROR(__xludf.DUMMYFUNCTION("IFERROR(GOOGLEFINANCE(B1822,""pe""),V1822)"),35.57)</f>
        <v>35.57</v>
      </c>
      <c r="X1822" s="6">
        <v>5.2</v>
      </c>
      <c r="Y1822" s="6">
        <v>11.58</v>
      </c>
      <c r="Z1822" s="6">
        <v>2</v>
      </c>
      <c r="AA1822" s="8">
        <v>45352</v>
      </c>
      <c r="AB1822" s="4">
        <v>1.23</v>
      </c>
      <c r="AC1822" s="6">
        <v>11.05</v>
      </c>
      <c r="AD1822" s="6">
        <v>9.83</v>
      </c>
      <c r="AE1822" s="1">
        <v>0</v>
      </c>
      <c r="AF1822" s="1">
        <f ca="1">IFERROR(__xludf.DUMMYFUNCTION("IFERROR(GOOGLEFINANCE(TRIM(F1822)&amp;"":"" &amp; TRIM(B1822),""high52""),AE1822)"),88.13)</f>
        <v>88.13</v>
      </c>
      <c r="AG1822" s="1">
        <v>0</v>
      </c>
      <c r="AH1822" s="1">
        <f ca="1">IFERROR(__xludf.DUMMYFUNCTION("IFERROR(GOOGLEFINANCE(TRIM(F1822)&amp;"":"" &amp; TRIM(B1822),""low52""),AE1822)"),23.25)</f>
        <v>23.25</v>
      </c>
      <c r="AI1822" s="1">
        <f ca="1">IFERROR(__xludf.DUMMYFUNCTION("IFERROR(GOOGLEFINANCE(B1822,""eps""),0)"),0.69)</f>
        <v>0.69</v>
      </c>
      <c r="AJ1822" s="1"/>
      <c r="AK1822" s="1" t="s">
        <v>5516</v>
      </c>
      <c r="AL1822" s="9">
        <f t="shared" si="218"/>
        <v>1</v>
      </c>
    </row>
    <row r="1823" spans="1:38" ht="15" x14ac:dyDescent="0.25">
      <c r="A1823" s="1" t="s">
        <v>5517</v>
      </c>
      <c r="B1823" s="1" t="s">
        <v>5518</v>
      </c>
      <c r="C1823" s="1" t="s">
        <v>43</v>
      </c>
      <c r="D1823" s="1" t="s">
        <v>43</v>
      </c>
      <c r="E1823" s="6">
        <v>20.38</v>
      </c>
      <c r="F1823" s="1" t="s">
        <v>53</v>
      </c>
      <c r="G1823" s="6">
        <f ca="1">IFERROR(__xludf.DUMMYFUNCTION("iferror(GOOGLEFINANCE(TRIM(F1823)&amp;"":"" &amp; TRIM(B1823), ""price""),0
)"),0)</f>
        <v>0</v>
      </c>
      <c r="H1823" s="6">
        <v>129.1</v>
      </c>
      <c r="I1823" s="6">
        <f t="shared" ca="1" si="0"/>
        <v>129.1</v>
      </c>
      <c r="J1823" s="6">
        <f ca="1">IFERROR(__xludf.DUMMYFUNCTION("IFERROR(GOOGLEFINANCE(B1823, ""volume""), 0)"),0)</f>
        <v>0</v>
      </c>
      <c r="K1823" s="6">
        <v>-4.97</v>
      </c>
      <c r="L1823" s="6">
        <f ca="1">IFERROR(__xludf.DUMMYFUNCTION("IFERROR(GOOGLEFINANCE(B1823,""changepct""),K1823)"),-4.97)</f>
        <v>-4.97</v>
      </c>
      <c r="M1823" s="6">
        <f ca="1">IFERROR(__xludf.DUMMYFUNCTION("IFERROR(GOOGLEFINANCE(B1823,""change""),0)"),0)</f>
        <v>0</v>
      </c>
      <c r="N1823" s="6">
        <v>1</v>
      </c>
      <c r="O1823" s="7">
        <v>45536</v>
      </c>
      <c r="P1823" s="6">
        <v>2.48</v>
      </c>
      <c r="Q1823" s="7">
        <v>45536</v>
      </c>
      <c r="R1823" s="6">
        <v>8.23</v>
      </c>
      <c r="S1823" s="6">
        <v>0.17</v>
      </c>
      <c r="T1823" s="6">
        <v>1.35</v>
      </c>
      <c r="U1823" s="6">
        <v>1</v>
      </c>
      <c r="V1823" s="7">
        <v>45352</v>
      </c>
      <c r="W1823" s="10">
        <f ca="1">IFERROR(__xludf.DUMMYFUNCTION("IFERROR(GOOGLEFINANCE(B1823,""pe""),V1823)"),45352)</f>
        <v>45352</v>
      </c>
      <c r="X1823" s="6">
        <v>0.01</v>
      </c>
      <c r="Y1823" s="6">
        <v>12.46</v>
      </c>
      <c r="Z1823" s="6">
        <v>16.27</v>
      </c>
      <c r="AA1823" s="3" t="s">
        <v>5519</v>
      </c>
      <c r="AB1823" s="11"/>
      <c r="AC1823" s="9"/>
      <c r="AD1823" s="9"/>
      <c r="AE1823" s="1">
        <v>0</v>
      </c>
      <c r="AF1823" s="1">
        <f ca="1">IFERROR(__xludf.DUMMYFUNCTION("IFERROR(GOOGLEFINANCE(TRIM(F1823)&amp;"":"" &amp; TRIM(B1823),""high52""),AE1823)"),0)</f>
        <v>0</v>
      </c>
      <c r="AG1823" s="1">
        <v>0</v>
      </c>
      <c r="AH1823" s="1">
        <f ca="1">IFERROR(__xludf.DUMMYFUNCTION("IFERROR(GOOGLEFINANCE(TRIM(F1823)&amp;"":"" &amp; TRIM(B1823),""low52""),AE1823)"),0)</f>
        <v>0</v>
      </c>
      <c r="AI1823" s="1">
        <f ca="1">IFERROR(__xludf.DUMMYFUNCTION("IFERROR(GOOGLEFINANCE(B1823,""eps""),0)"),0)</f>
        <v>0</v>
      </c>
      <c r="AJ1823" s="1"/>
      <c r="AK1823" s="1" t="s">
        <v>5520</v>
      </c>
      <c r="AL1823" s="9">
        <f t="shared" si="218"/>
        <v>1</v>
      </c>
    </row>
    <row r="1824" spans="1:38" ht="15" x14ac:dyDescent="0.25">
      <c r="A1824" s="1" t="s">
        <v>5521</v>
      </c>
      <c r="B1824" s="1" t="s">
        <v>5522</v>
      </c>
      <c r="C1824" s="1" t="s">
        <v>43</v>
      </c>
      <c r="D1824" s="1" t="s">
        <v>43</v>
      </c>
      <c r="E1824" s="6">
        <v>74.09</v>
      </c>
      <c r="F1824" s="1" t="s">
        <v>53</v>
      </c>
      <c r="G1824" s="6">
        <f ca="1">IFERROR(__xludf.DUMMYFUNCTION("iferror(GOOGLEFINANCE(TRIM(F1824)&amp;"":"" &amp; TRIM(B1824), ""price""),0
)"),0)</f>
        <v>0</v>
      </c>
      <c r="H1824" s="6">
        <v>94.25</v>
      </c>
      <c r="I1824" s="6">
        <f t="shared" ca="1" si="0"/>
        <v>94.25</v>
      </c>
      <c r="J1824" s="6">
        <f ca="1">IFERROR(__xludf.DUMMYFUNCTION("IFERROR(GOOGLEFINANCE(B1824, ""volume""), 0)"),0)</f>
        <v>0</v>
      </c>
      <c r="K1824" s="6">
        <v>1.57</v>
      </c>
      <c r="L1824" s="6">
        <f ca="1">IFERROR(__xludf.DUMMYFUNCTION("IFERROR(GOOGLEFINANCE(B1824,""changepct""),K1824)"),1.57)</f>
        <v>1.57</v>
      </c>
      <c r="M1824" s="6">
        <f ca="1">IFERROR(__xludf.DUMMYFUNCTION("IFERROR(GOOGLEFINANCE(B1824,""change""),0)"),0)</f>
        <v>0</v>
      </c>
      <c r="N1824" s="6">
        <v>2</v>
      </c>
      <c r="O1824" s="7">
        <v>45536</v>
      </c>
      <c r="P1824" s="6">
        <v>8.76</v>
      </c>
      <c r="Q1824" s="7">
        <v>45536</v>
      </c>
      <c r="R1824" s="6">
        <v>8.81</v>
      </c>
      <c r="S1824" s="6">
        <v>0.79</v>
      </c>
      <c r="T1824" s="6">
        <v>1.2</v>
      </c>
      <c r="U1824" s="6">
        <v>2</v>
      </c>
      <c r="V1824" s="7">
        <v>45352</v>
      </c>
      <c r="W1824" s="10">
        <f ca="1">IFERROR(__xludf.DUMMYFUNCTION("IFERROR(GOOGLEFINANCE(B1824,""pe""),V1824)"),45352)</f>
        <v>45352</v>
      </c>
      <c r="X1824" s="6">
        <v>0</v>
      </c>
      <c r="Y1824" s="6">
        <v>14.14</v>
      </c>
      <c r="Z1824" s="6">
        <v>17</v>
      </c>
      <c r="AA1824" s="3" t="s">
        <v>5523</v>
      </c>
      <c r="AB1824" s="11"/>
      <c r="AC1824" s="9"/>
      <c r="AD1824" s="9"/>
      <c r="AE1824" s="1">
        <v>0</v>
      </c>
      <c r="AF1824" s="1">
        <f ca="1">IFERROR(__xludf.DUMMYFUNCTION("IFERROR(GOOGLEFINANCE(TRIM(F1824)&amp;"":"" &amp; TRIM(B1824),""high52""),AE1824)"),0)</f>
        <v>0</v>
      </c>
      <c r="AG1824" s="1">
        <v>0</v>
      </c>
      <c r="AH1824" s="1">
        <f ca="1">IFERROR(__xludf.DUMMYFUNCTION("IFERROR(GOOGLEFINANCE(TRIM(F1824)&amp;"":"" &amp; TRIM(B1824),""low52""),AE1824)"),0)</f>
        <v>0</v>
      </c>
      <c r="AI1824" s="1">
        <f ca="1">IFERROR(__xludf.DUMMYFUNCTION("IFERROR(GOOGLEFINANCE(B1824,""eps""),0)"),0)</f>
        <v>0</v>
      </c>
      <c r="AJ1824" s="1"/>
      <c r="AK1824" s="1" t="s">
        <v>5524</v>
      </c>
      <c r="AL1824" s="9">
        <f t="shared" si="218"/>
        <v>1</v>
      </c>
    </row>
    <row r="1825" spans="1:38" ht="15" x14ac:dyDescent="0.25">
      <c r="A1825" s="1" t="s">
        <v>5525</v>
      </c>
      <c r="B1825" s="1" t="s">
        <v>5526</v>
      </c>
      <c r="C1825" s="1" t="s">
        <v>43</v>
      </c>
      <c r="D1825" s="1" t="s">
        <v>43</v>
      </c>
      <c r="E1825" s="6">
        <v>103.24</v>
      </c>
      <c r="F1825" s="1" t="s">
        <v>53</v>
      </c>
      <c r="G1825" s="6">
        <f ca="1">IFERROR(__xludf.DUMMYFUNCTION("iferror(GOOGLEFINANCE(TRIM(F1825)&amp;"":"" &amp; TRIM(B1825), ""price""),0
)"),0)</f>
        <v>0</v>
      </c>
      <c r="H1825" s="6">
        <v>41.25</v>
      </c>
      <c r="I1825" s="6">
        <f t="shared" ca="1" si="0"/>
        <v>41.25</v>
      </c>
      <c r="J1825" s="6">
        <f ca="1">IFERROR(__xludf.DUMMYFUNCTION("IFERROR(GOOGLEFINANCE(B1825, ""volume""), 0)"),0)</f>
        <v>0</v>
      </c>
      <c r="K1825" s="6">
        <v>-0.05</v>
      </c>
      <c r="L1825" s="6">
        <f ca="1">IFERROR(__xludf.DUMMYFUNCTION("IFERROR(GOOGLEFINANCE(B1825,""changepct""),K1825)"),-0.05)</f>
        <v>-0.05</v>
      </c>
      <c r="M1825" s="6">
        <f ca="1">IFERROR(__xludf.DUMMYFUNCTION("IFERROR(GOOGLEFINANCE(B1825,""change""),0)"),0)</f>
        <v>0</v>
      </c>
      <c r="N1825" s="6">
        <v>2</v>
      </c>
      <c r="O1825" s="7">
        <v>45536</v>
      </c>
      <c r="P1825" s="6">
        <v>1.01</v>
      </c>
      <c r="Q1825" s="7">
        <v>45536</v>
      </c>
      <c r="R1825" s="6">
        <v>9.4600000000000009</v>
      </c>
      <c r="S1825" s="6">
        <v>0.19</v>
      </c>
      <c r="T1825" s="6">
        <v>1.06</v>
      </c>
      <c r="U1825" s="6">
        <v>2</v>
      </c>
      <c r="V1825" s="7">
        <v>45352</v>
      </c>
      <c r="W1825" s="10">
        <f ca="1">IFERROR(__xludf.DUMMYFUNCTION("IFERROR(GOOGLEFINANCE(B1825,""pe""),V1825)"),45352)</f>
        <v>45352</v>
      </c>
      <c r="X1825" s="6">
        <v>0</v>
      </c>
      <c r="Y1825" s="6">
        <v>1.28</v>
      </c>
      <c r="Z1825" s="6">
        <v>1.65</v>
      </c>
      <c r="AA1825" s="3" t="s">
        <v>5527</v>
      </c>
      <c r="AB1825" s="11"/>
      <c r="AC1825" s="9"/>
      <c r="AD1825" s="9"/>
      <c r="AE1825" s="1">
        <v>0</v>
      </c>
      <c r="AF1825" s="1">
        <f ca="1">IFERROR(__xludf.DUMMYFUNCTION("IFERROR(GOOGLEFINANCE(TRIM(F1825)&amp;"":"" &amp; TRIM(B1825),""high52""),AE1825)"),0)</f>
        <v>0</v>
      </c>
      <c r="AG1825" s="1">
        <v>0</v>
      </c>
      <c r="AH1825" s="1">
        <f ca="1">IFERROR(__xludf.DUMMYFUNCTION("IFERROR(GOOGLEFINANCE(TRIM(F1825)&amp;"":"" &amp; TRIM(B1825),""low52""),AE1825)"),0)</f>
        <v>0</v>
      </c>
      <c r="AI1825" s="1">
        <f ca="1">IFERROR(__xludf.DUMMYFUNCTION("IFERROR(GOOGLEFINANCE(B1825,""eps""),0)"),0)</f>
        <v>0</v>
      </c>
      <c r="AJ1825" s="1"/>
      <c r="AK1825" s="1" t="s">
        <v>5528</v>
      </c>
      <c r="AL1825" s="9">
        <f t="shared" si="218"/>
        <v>1</v>
      </c>
    </row>
    <row r="1826" spans="1:38" ht="15" x14ac:dyDescent="0.25">
      <c r="A1826" s="1" t="s">
        <v>5529</v>
      </c>
      <c r="B1826" s="1" t="s">
        <v>5530</v>
      </c>
      <c r="C1826" s="1" t="s">
        <v>43</v>
      </c>
      <c r="D1826" s="1" t="s">
        <v>43</v>
      </c>
      <c r="E1826" s="6">
        <v>894.89</v>
      </c>
      <c r="F1826" s="1" t="s">
        <v>53</v>
      </c>
      <c r="G1826" s="6">
        <f ca="1">IFERROR(__xludf.DUMMYFUNCTION("iferror(GOOGLEFINANCE(TRIM(F1826)&amp;"":"" &amp; TRIM(B1826), ""price""),0
)"),0)</f>
        <v>0</v>
      </c>
      <c r="H1826" s="6">
        <v>1374.85</v>
      </c>
      <c r="I1826" s="6">
        <f t="shared" ca="1" si="0"/>
        <v>1374.85</v>
      </c>
      <c r="J1826" s="6">
        <f ca="1">IFERROR(__xludf.DUMMYFUNCTION("IFERROR(GOOGLEFINANCE(B1826, ""volume""), 0)"),0)</f>
        <v>0</v>
      </c>
      <c r="K1826" s="6">
        <v>1.4</v>
      </c>
      <c r="L1826" s="6">
        <f ca="1">IFERROR(__xludf.DUMMYFUNCTION("IFERROR(GOOGLEFINANCE(B1826,""changepct""),K1826)"),1.4)</f>
        <v>1.4</v>
      </c>
      <c r="M1826" s="6">
        <f ca="1">IFERROR(__xludf.DUMMYFUNCTION("IFERROR(GOOGLEFINANCE(B1826,""change""),0)"),0)</f>
        <v>0</v>
      </c>
      <c r="N1826" s="6">
        <v>2</v>
      </c>
      <c r="O1826" s="7">
        <v>45536</v>
      </c>
      <c r="P1826" s="6">
        <v>93.21</v>
      </c>
      <c r="Q1826" s="7">
        <v>45536</v>
      </c>
      <c r="R1826" s="6">
        <v>9.69</v>
      </c>
      <c r="S1826" s="6">
        <v>1.89</v>
      </c>
      <c r="T1826" s="6">
        <v>0.95</v>
      </c>
      <c r="U1826" s="6">
        <v>2</v>
      </c>
      <c r="V1826" s="7">
        <v>45352</v>
      </c>
      <c r="W1826" s="10">
        <f ca="1">IFERROR(__xludf.DUMMYFUNCTION("IFERROR(GOOGLEFINANCE(B1826,""pe""),V1826)"),45352)</f>
        <v>45352</v>
      </c>
      <c r="X1826" s="6">
        <v>2.99</v>
      </c>
      <c r="Y1826" s="6">
        <v>10.52</v>
      </c>
      <c r="Z1826" s="6">
        <v>9.5500000000000007</v>
      </c>
      <c r="AA1826" s="3" t="s">
        <v>5531</v>
      </c>
      <c r="AB1826" s="11"/>
      <c r="AC1826" s="9"/>
      <c r="AD1826" s="9"/>
      <c r="AE1826" s="1">
        <v>0</v>
      </c>
      <c r="AF1826" s="1">
        <f ca="1">IFERROR(__xludf.DUMMYFUNCTION("IFERROR(GOOGLEFINANCE(TRIM(F1826)&amp;"":"" &amp; TRIM(B1826),""high52""),AE1826)"),0)</f>
        <v>0</v>
      </c>
      <c r="AG1826" s="1">
        <v>0</v>
      </c>
      <c r="AH1826" s="1">
        <f ca="1">IFERROR(__xludf.DUMMYFUNCTION("IFERROR(GOOGLEFINANCE(TRIM(F1826)&amp;"":"" &amp; TRIM(B1826),""low52""),AE1826)"),0)</f>
        <v>0</v>
      </c>
      <c r="AI1826" s="1">
        <f ca="1">IFERROR(__xludf.DUMMYFUNCTION("IFERROR(GOOGLEFINANCE(B1826,""eps""),0)"),0)</f>
        <v>0</v>
      </c>
      <c r="AJ1826" s="1"/>
      <c r="AK1826" s="1" t="s">
        <v>5532</v>
      </c>
      <c r="AL1826" s="9">
        <f t="shared" si="218"/>
        <v>1</v>
      </c>
    </row>
    <row r="1827" spans="1:38" ht="15" x14ac:dyDescent="0.25">
      <c r="A1827" s="1" t="s">
        <v>5533</v>
      </c>
      <c r="B1827" s="1" t="s">
        <v>5534</v>
      </c>
      <c r="C1827" s="1" t="s">
        <v>208</v>
      </c>
      <c r="D1827" s="1" t="s">
        <v>208</v>
      </c>
      <c r="E1827" s="6">
        <v>193743.4</v>
      </c>
      <c r="F1827" s="1" t="s">
        <v>40</v>
      </c>
      <c r="G1827" s="6">
        <f ca="1">IFERROR(__xludf.DUMMYFUNCTION("iferror(GOOGLEFINANCE(TRIM(F1827)&amp;"":"" &amp; TRIM(B1827), ""price""),0
)"),245.15)</f>
        <v>245.15</v>
      </c>
      <c r="H1827" s="6">
        <v>305</v>
      </c>
      <c r="I1827" s="6">
        <f t="shared" ca="1" si="0"/>
        <v>245.15</v>
      </c>
      <c r="J1827" s="6">
        <f ca="1">IFERROR(__xludf.DUMMYFUNCTION("IFERROR(GOOGLEFINANCE(B1827, ""volume""), 0)"),17248818)</f>
        <v>17248818</v>
      </c>
      <c r="K1827" s="6">
        <v>0.1</v>
      </c>
      <c r="L1827" s="6">
        <f ca="1">IFERROR(__xludf.DUMMYFUNCTION("IFERROR(GOOGLEFINANCE(B1827,""changepct""),K1827)"),1.18)</f>
        <v>1.18</v>
      </c>
      <c r="M1827" s="6">
        <f ca="1">IFERROR(__xludf.DUMMYFUNCTION("IFERROR(GOOGLEFINANCE(B1827,""change""),0)"),2.85)</f>
        <v>2.85</v>
      </c>
      <c r="N1827" s="6">
        <v>2</v>
      </c>
      <c r="O1827" s="7">
        <v>45536</v>
      </c>
      <c r="P1827" s="6">
        <v>1174.8</v>
      </c>
      <c r="Q1827" s="7">
        <v>45536</v>
      </c>
      <c r="R1827" s="6">
        <v>120.63</v>
      </c>
      <c r="S1827" s="9"/>
      <c r="T1827" s="6">
        <v>1.41</v>
      </c>
      <c r="U1827" s="6">
        <v>2</v>
      </c>
      <c r="V1827" s="7">
        <v>45352</v>
      </c>
      <c r="W1827" s="6">
        <f ca="1">IFERROR(__xludf.DUMMYFUNCTION("IFERROR(GOOGLEFINANCE(B1827,""pe""),V1827)"),96.94)</f>
        <v>96.94</v>
      </c>
      <c r="X1827" s="6">
        <v>0</v>
      </c>
      <c r="Y1827" s="6">
        <v>1.3</v>
      </c>
      <c r="Z1827" s="6">
        <v>1.59</v>
      </c>
      <c r="AA1827" s="3" t="s">
        <v>5535</v>
      </c>
      <c r="AB1827" s="11"/>
      <c r="AC1827" s="9"/>
      <c r="AD1827" s="9"/>
      <c r="AE1827" s="1">
        <v>0</v>
      </c>
      <c r="AF1827" s="1">
        <f ca="1">IFERROR(__xludf.DUMMYFUNCTION("IFERROR(GOOGLEFINANCE(TRIM(F1827)&amp;"":"" &amp; TRIM(B1827),""high52""),AE1827)"),338.6)</f>
        <v>338.6</v>
      </c>
      <c r="AG1827" s="1">
        <v>0</v>
      </c>
      <c r="AH1827" s="1">
        <f ca="1">IFERROR(__xludf.DUMMYFUNCTION("IFERROR(GOOGLEFINANCE(TRIM(F1827)&amp;"":"" &amp; TRIM(B1827),""low52""),AE1827)"),198.65)</f>
        <v>198.65</v>
      </c>
      <c r="AI1827" s="1">
        <f ca="1">IFERROR(__xludf.DUMMYFUNCTION("IFERROR(GOOGLEFINANCE(B1827,""eps""),0)"),2.53)</f>
        <v>2.5299999999999998</v>
      </c>
      <c r="AJ1827" s="1"/>
      <c r="AK1827" s="1" t="s">
        <v>5536</v>
      </c>
      <c r="AL1827" s="9">
        <f t="shared" si="218"/>
        <v>1</v>
      </c>
    </row>
    <row r="1828" spans="1:38" ht="15" x14ac:dyDescent="0.25">
      <c r="A1828" s="1" t="s">
        <v>5537</v>
      </c>
      <c r="B1828" s="1" t="s">
        <v>5538</v>
      </c>
      <c r="C1828" s="1" t="s">
        <v>43</v>
      </c>
      <c r="D1828" s="1" t="s">
        <v>43</v>
      </c>
      <c r="E1828" s="6">
        <v>53.45</v>
      </c>
      <c r="F1828" s="1" t="s">
        <v>53</v>
      </c>
      <c r="G1828" s="6">
        <f ca="1">IFERROR(__xludf.DUMMYFUNCTION("iferror(GOOGLEFINANCE(TRIM(F1828)&amp;"":"" &amp; TRIM(B1828), ""price""),0
)"),0)</f>
        <v>0</v>
      </c>
      <c r="H1828" s="6">
        <v>14.19</v>
      </c>
      <c r="I1828" s="6">
        <f t="shared" ca="1" si="0"/>
        <v>14.19</v>
      </c>
      <c r="J1828" s="6">
        <f ca="1">IFERROR(__xludf.DUMMYFUNCTION("IFERROR(GOOGLEFINANCE(B1828, ""volume""), 0)"),0)</f>
        <v>0</v>
      </c>
      <c r="K1828" s="6">
        <v>-0.21</v>
      </c>
      <c r="L1828" s="6">
        <f ca="1">IFERROR(__xludf.DUMMYFUNCTION("IFERROR(GOOGLEFINANCE(B1828,""changepct""),K1828)"),-0.21)</f>
        <v>-0.21</v>
      </c>
      <c r="M1828" s="6">
        <f ca="1">IFERROR(__xludf.DUMMYFUNCTION("IFERROR(GOOGLEFINANCE(B1828,""change""),0)"),0)</f>
        <v>0</v>
      </c>
      <c r="N1828" s="6">
        <v>2</v>
      </c>
      <c r="O1828" s="7">
        <v>45352</v>
      </c>
      <c r="P1828" s="6">
        <v>0.52</v>
      </c>
      <c r="Q1828" s="7">
        <v>45352</v>
      </c>
      <c r="R1828" s="6">
        <v>9.86</v>
      </c>
      <c r="S1828" s="6">
        <v>0.39</v>
      </c>
      <c r="T1828" s="6">
        <v>3.17</v>
      </c>
      <c r="U1828" s="6">
        <v>2</v>
      </c>
      <c r="V1828" s="7">
        <v>45352</v>
      </c>
      <c r="W1828" s="10">
        <f ca="1">IFERROR(__xludf.DUMMYFUNCTION("IFERROR(GOOGLEFINANCE(B1828,""pe""),V1828)"),45352)</f>
        <v>45352</v>
      </c>
      <c r="X1828" s="6">
        <v>3.37</v>
      </c>
      <c r="Y1828" s="6">
        <v>4.54</v>
      </c>
      <c r="Z1828" s="6">
        <v>19.79</v>
      </c>
      <c r="AA1828" s="3"/>
      <c r="AB1828" s="11"/>
      <c r="AC1828" s="9"/>
      <c r="AD1828" s="9"/>
      <c r="AE1828" s="1">
        <v>0</v>
      </c>
      <c r="AF1828" s="1">
        <f ca="1">IFERROR(__xludf.DUMMYFUNCTION("IFERROR(GOOGLEFINANCE(TRIM(F1828)&amp;"":"" &amp; TRIM(B1828),""high52""),AE1828)"),0)</f>
        <v>0</v>
      </c>
      <c r="AG1828" s="1">
        <v>0</v>
      </c>
      <c r="AH1828" s="1">
        <f ca="1">IFERROR(__xludf.DUMMYFUNCTION("IFERROR(GOOGLEFINANCE(TRIM(F1828)&amp;"":"" &amp; TRIM(B1828),""low52""),AE1828)"),0)</f>
        <v>0</v>
      </c>
      <c r="AI1828" s="1">
        <f ca="1">IFERROR(__xludf.DUMMYFUNCTION("IFERROR(GOOGLEFINANCE(B1828,""eps""),0)"),0)</f>
        <v>0</v>
      </c>
      <c r="AJ1828" s="1"/>
      <c r="AK1828" s="1" t="s">
        <v>5539</v>
      </c>
      <c r="AL1828" s="9">
        <f t="shared" si="218"/>
        <v>0</v>
      </c>
    </row>
    <row r="1829" spans="1:38" ht="15" x14ac:dyDescent="0.25">
      <c r="A1829" s="1" t="s">
        <v>5540</v>
      </c>
      <c r="B1829" s="1" t="s">
        <v>5541</v>
      </c>
      <c r="C1829" s="1" t="s">
        <v>43</v>
      </c>
      <c r="D1829" s="1" t="s">
        <v>43</v>
      </c>
      <c r="E1829" s="6">
        <v>7972.58</v>
      </c>
      <c r="F1829" s="1" t="s">
        <v>53</v>
      </c>
      <c r="G1829" s="6">
        <f ca="1">IFERROR(__xludf.DUMMYFUNCTION("iferror(GOOGLEFINANCE(TRIM(F1829)&amp;"":"" &amp; TRIM(B1829), ""price""),0
)"),0)</f>
        <v>0</v>
      </c>
      <c r="H1829" s="6">
        <v>2485.0500000000002</v>
      </c>
      <c r="I1829" s="6">
        <f t="shared" ca="1" si="0"/>
        <v>2485.0500000000002</v>
      </c>
      <c r="J1829" s="6">
        <f ca="1">IFERROR(__xludf.DUMMYFUNCTION("IFERROR(GOOGLEFINANCE(B1829, ""volume""), 0)"),0)</f>
        <v>0</v>
      </c>
      <c r="K1829" s="6">
        <v>0.03</v>
      </c>
      <c r="L1829" s="6">
        <f ca="1">IFERROR(__xludf.DUMMYFUNCTION("IFERROR(GOOGLEFINANCE(B1829,""changepct""),K1829)"),0.03)</f>
        <v>0.03</v>
      </c>
      <c r="M1829" s="6">
        <f ca="1">IFERROR(__xludf.DUMMYFUNCTION("IFERROR(GOOGLEFINANCE(B1829,""change""),0)"),0)</f>
        <v>0</v>
      </c>
      <c r="N1829" s="6">
        <v>2</v>
      </c>
      <c r="O1829" s="7">
        <v>45536</v>
      </c>
      <c r="P1829" s="6">
        <v>1332.48</v>
      </c>
      <c r="Q1829" s="7">
        <v>45536</v>
      </c>
      <c r="R1829" s="6">
        <v>10.37</v>
      </c>
      <c r="S1829" s="6">
        <v>0.5</v>
      </c>
      <c r="T1829" s="6">
        <v>1.1499999999999999</v>
      </c>
      <c r="U1829" s="6">
        <v>2</v>
      </c>
      <c r="V1829" s="7">
        <v>45352</v>
      </c>
      <c r="W1829" s="10">
        <f ca="1">IFERROR(__xludf.DUMMYFUNCTION("IFERROR(GOOGLEFINANCE(B1829,""pe""),V1829)"),45352)</f>
        <v>45352</v>
      </c>
      <c r="X1829" s="6">
        <v>0.75</v>
      </c>
      <c r="Y1829" s="6">
        <v>25</v>
      </c>
      <c r="Z1829" s="6">
        <v>20.52</v>
      </c>
      <c r="AA1829" s="3" t="s">
        <v>5542</v>
      </c>
      <c r="AB1829" s="11"/>
      <c r="AC1829" s="9"/>
      <c r="AD1829" s="9"/>
      <c r="AE1829" s="1">
        <v>0</v>
      </c>
      <c r="AF1829" s="1">
        <f ca="1">IFERROR(__xludf.DUMMYFUNCTION("IFERROR(GOOGLEFINANCE(TRIM(F1829)&amp;"":"" &amp; TRIM(B1829),""high52""),AE1829)"),0)</f>
        <v>0</v>
      </c>
      <c r="AG1829" s="1">
        <v>0</v>
      </c>
      <c r="AH1829" s="1">
        <f ca="1">IFERROR(__xludf.DUMMYFUNCTION("IFERROR(GOOGLEFINANCE(TRIM(F1829)&amp;"":"" &amp; TRIM(B1829),""low52""),AE1829)"),0)</f>
        <v>0</v>
      </c>
      <c r="AI1829" s="1">
        <f ca="1">IFERROR(__xludf.DUMMYFUNCTION("IFERROR(GOOGLEFINANCE(B1829,""eps""),0)"),0)</f>
        <v>0</v>
      </c>
      <c r="AJ1829" s="1"/>
      <c r="AK1829" s="1" t="s">
        <v>5543</v>
      </c>
      <c r="AL1829" s="9">
        <f t="shared" si="218"/>
        <v>1</v>
      </c>
    </row>
    <row r="1830" spans="1:38" ht="15" x14ac:dyDescent="0.25">
      <c r="A1830" s="1" t="s">
        <v>5544</v>
      </c>
      <c r="B1830" s="1" t="s">
        <v>5545</v>
      </c>
      <c r="C1830" s="1" t="s">
        <v>43</v>
      </c>
      <c r="D1830" s="1" t="s">
        <v>43</v>
      </c>
      <c r="E1830" s="6">
        <v>150.81</v>
      </c>
      <c r="F1830" s="1" t="s">
        <v>53</v>
      </c>
      <c r="G1830" s="6">
        <f ca="1">IFERROR(__xludf.DUMMYFUNCTION("iferror(GOOGLEFINANCE(TRIM(F1830)&amp;"":"" &amp; TRIM(B1830), ""price""),0
)"),0)</f>
        <v>0</v>
      </c>
      <c r="H1830" s="6">
        <v>221.5</v>
      </c>
      <c r="I1830" s="6">
        <f t="shared" ca="1" si="0"/>
        <v>221.5</v>
      </c>
      <c r="J1830" s="6">
        <f ca="1">IFERROR(__xludf.DUMMYFUNCTION("IFERROR(GOOGLEFINANCE(B1830, ""volume""), 0)"),0)</f>
        <v>0</v>
      </c>
      <c r="K1830" s="6">
        <v>0</v>
      </c>
      <c r="L1830" s="6">
        <f ca="1">IFERROR(__xludf.DUMMYFUNCTION("IFERROR(GOOGLEFINANCE(B1830,""changepct""),K1830)"),0)</f>
        <v>0</v>
      </c>
      <c r="M1830" s="6">
        <f ca="1">IFERROR(__xludf.DUMMYFUNCTION("IFERROR(GOOGLEFINANCE(B1830,""change""),0)"),0)</f>
        <v>0</v>
      </c>
      <c r="N1830" s="6">
        <v>1</v>
      </c>
      <c r="O1830" s="7">
        <v>45536</v>
      </c>
      <c r="P1830" s="6">
        <v>13.01</v>
      </c>
      <c r="Q1830" s="7">
        <v>45536</v>
      </c>
      <c r="R1830" s="6">
        <v>11.59</v>
      </c>
      <c r="S1830" s="6">
        <v>0.32</v>
      </c>
      <c r="T1830" s="6">
        <v>3.14</v>
      </c>
      <c r="U1830" s="6">
        <v>1</v>
      </c>
      <c r="V1830" s="7">
        <v>45352</v>
      </c>
      <c r="W1830" s="10">
        <f ca="1">IFERROR(__xludf.DUMMYFUNCTION("IFERROR(GOOGLEFINANCE(B1830,""pe""),V1830)"),45352)</f>
        <v>45352</v>
      </c>
      <c r="X1830" s="6">
        <v>0</v>
      </c>
      <c r="Y1830" s="6">
        <v>22.88</v>
      </c>
      <c r="Z1830" s="6">
        <v>30.31</v>
      </c>
      <c r="AA1830" s="3" t="s">
        <v>5546</v>
      </c>
      <c r="AB1830" s="11"/>
      <c r="AC1830" s="9"/>
      <c r="AD1830" s="9"/>
      <c r="AE1830" s="1">
        <v>0</v>
      </c>
      <c r="AF1830" s="1">
        <f ca="1">IFERROR(__xludf.DUMMYFUNCTION("IFERROR(GOOGLEFINANCE(TRIM(F1830)&amp;"":"" &amp; TRIM(B1830),""high52""),AE1830)"),0)</f>
        <v>0</v>
      </c>
      <c r="AG1830" s="1">
        <v>0</v>
      </c>
      <c r="AH1830" s="1">
        <f ca="1">IFERROR(__xludf.DUMMYFUNCTION("IFERROR(GOOGLEFINANCE(TRIM(F1830)&amp;"":"" &amp; TRIM(B1830),""low52""),AE1830)"),0)</f>
        <v>0</v>
      </c>
      <c r="AI1830" s="1">
        <f ca="1">IFERROR(__xludf.DUMMYFUNCTION("IFERROR(GOOGLEFINANCE(B1830,""eps""),0)"),0)</f>
        <v>0</v>
      </c>
      <c r="AJ1830" s="1"/>
      <c r="AK1830" s="9"/>
      <c r="AL1830" s="9">
        <f t="shared" si="218"/>
        <v>1</v>
      </c>
    </row>
    <row r="1831" spans="1:38" ht="15" x14ac:dyDescent="0.25">
      <c r="A1831" s="1" t="s">
        <v>5547</v>
      </c>
      <c r="B1831" s="1" t="s">
        <v>5548</v>
      </c>
      <c r="C1831" s="1" t="s">
        <v>259</v>
      </c>
      <c r="D1831" s="1" t="s">
        <v>259</v>
      </c>
      <c r="E1831" s="6">
        <v>1804.79</v>
      </c>
      <c r="F1831" s="1" t="s">
        <v>40</v>
      </c>
      <c r="G1831" s="6">
        <f ca="1">IFERROR(__xludf.DUMMYFUNCTION("iferror(GOOGLEFINANCE(TRIM(F1831)&amp;"":"" &amp; TRIM(B1831), ""price""),0
)"),270)</f>
        <v>270</v>
      </c>
      <c r="H1831" s="6">
        <v>710</v>
      </c>
      <c r="I1831" s="6">
        <f t="shared" ca="1" si="0"/>
        <v>270</v>
      </c>
      <c r="J1831" s="6">
        <f ca="1">IFERROR(__xludf.DUMMYFUNCTION("IFERROR(GOOGLEFINANCE(B1831, ""volume""), 0)"),14155)</f>
        <v>14155</v>
      </c>
      <c r="K1831" s="6">
        <v>1.1599999999999999</v>
      </c>
      <c r="L1831" s="6">
        <f ca="1">IFERROR(__xludf.DUMMYFUNCTION("IFERROR(GOOGLEFINANCE(B1831,""changepct""),K1831)"),-5.51)</f>
        <v>-5.51</v>
      </c>
      <c r="M1831" s="6">
        <f ca="1">IFERROR(__xludf.DUMMYFUNCTION("IFERROR(GOOGLEFINANCE(B1831,""change""),0)"),-15.75)</f>
        <v>-15.75</v>
      </c>
      <c r="N1831" s="6">
        <v>2</v>
      </c>
      <c r="O1831" s="7">
        <v>45536</v>
      </c>
      <c r="P1831" s="6">
        <v>3482.19</v>
      </c>
      <c r="Q1831" s="6">
        <v>4953.87</v>
      </c>
      <c r="R1831" s="7">
        <v>45536</v>
      </c>
      <c r="S1831" s="6">
        <v>2860.13</v>
      </c>
      <c r="T1831" s="6">
        <v>68.37</v>
      </c>
      <c r="U1831" s="7">
        <v>45536</v>
      </c>
      <c r="V1831" s="6">
        <v>13.26</v>
      </c>
      <c r="W1831" s="6">
        <f ca="1">IFERROR(__xludf.DUMMYFUNCTION("IFERROR(GOOGLEFINANCE(B1831,""pe""),V1831)"),13.26)</f>
        <v>13.26</v>
      </c>
      <c r="X1831" s="6">
        <v>0.77</v>
      </c>
      <c r="Y1831" s="6">
        <v>-3.23</v>
      </c>
      <c r="Z1831" s="6">
        <v>2</v>
      </c>
      <c r="AA1831" s="8">
        <v>45352</v>
      </c>
      <c r="AB1831" s="4">
        <v>-6.79</v>
      </c>
      <c r="AC1831" s="6">
        <v>0</v>
      </c>
      <c r="AD1831" s="6">
        <v>16.600000000000001</v>
      </c>
      <c r="AE1831" s="1">
        <v>0</v>
      </c>
      <c r="AF1831" s="1">
        <f ca="1">IFERROR(__xludf.DUMMYFUNCTION("IFERROR(GOOGLEFINANCE(TRIM(F1831)&amp;"":"" &amp; TRIM(B1831),""high52""),AE1831)"),538.95)</f>
        <v>538.95000000000005</v>
      </c>
      <c r="AG1831" s="1">
        <v>0</v>
      </c>
      <c r="AH1831" s="1">
        <f ca="1">IFERROR(__xludf.DUMMYFUNCTION("IFERROR(GOOGLEFINANCE(TRIM(F1831)&amp;"":"" &amp; TRIM(B1831),""low52""),AE1831)"),222.35)</f>
        <v>222.35</v>
      </c>
      <c r="AI1831" s="1">
        <f ca="1">IFERROR(__xludf.DUMMYFUNCTION("IFERROR(GOOGLEFINANCE(B1831,""eps""),0)"),-25.89)</f>
        <v>-25.89</v>
      </c>
      <c r="AJ1831" s="1"/>
      <c r="AK1831" s="1" t="s">
        <v>5549</v>
      </c>
      <c r="AL1831" s="9">
        <f t="shared" si="218"/>
        <v>1</v>
      </c>
    </row>
    <row r="1832" spans="1:38" ht="15" x14ac:dyDescent="0.25">
      <c r="A1832" s="1" t="s">
        <v>5550</v>
      </c>
      <c r="B1832" s="1" t="s">
        <v>5551</v>
      </c>
      <c r="C1832" s="1" t="s">
        <v>43</v>
      </c>
      <c r="D1832" s="1" t="s">
        <v>43</v>
      </c>
      <c r="E1832" s="6">
        <v>61.23</v>
      </c>
      <c r="F1832" s="1" t="s">
        <v>53</v>
      </c>
      <c r="G1832" s="6">
        <f ca="1">IFERROR(__xludf.DUMMYFUNCTION("iferror(GOOGLEFINANCE(TRIM(F1832)&amp;"":"" &amp; TRIM(B1832), ""price""),0
)"),0)</f>
        <v>0</v>
      </c>
      <c r="H1832" s="6">
        <v>125.7</v>
      </c>
      <c r="I1832" s="6">
        <f t="shared" ca="1" si="0"/>
        <v>125.7</v>
      </c>
      <c r="J1832" s="6">
        <f ca="1">IFERROR(__xludf.DUMMYFUNCTION("IFERROR(GOOGLEFINANCE(B1832, ""volume""), 0)"),0)</f>
        <v>0</v>
      </c>
      <c r="K1832" s="9"/>
      <c r="L1832" s="6" t="str">
        <f ca="1">IFERROR(__xludf.DUMMYFUNCTION("IFERROR(GOOGLEFINANCE(B1832,""changepct""),K1832)"),"")</f>
        <v/>
      </c>
      <c r="M1832" s="6">
        <f ca="1">IFERROR(__xludf.DUMMYFUNCTION("IFERROR(GOOGLEFINANCE(B1832,""change""),0)"),0)</f>
        <v>0</v>
      </c>
      <c r="N1832" s="6">
        <v>1</v>
      </c>
      <c r="O1832" s="7">
        <v>45536</v>
      </c>
      <c r="P1832" s="6">
        <v>5.17</v>
      </c>
      <c r="Q1832" s="7">
        <v>45536</v>
      </c>
      <c r="R1832" s="6">
        <v>11.84</v>
      </c>
      <c r="S1832" s="6">
        <v>0.23</v>
      </c>
      <c r="T1832" s="6">
        <v>0.7</v>
      </c>
      <c r="U1832" s="6">
        <v>1</v>
      </c>
      <c r="V1832" s="7">
        <v>45352</v>
      </c>
      <c r="W1832" s="10">
        <f ca="1">IFERROR(__xludf.DUMMYFUNCTION("IFERROR(GOOGLEFINANCE(B1832,""pe""),V1832)"),45352)</f>
        <v>45352</v>
      </c>
      <c r="X1832" s="6">
        <v>0</v>
      </c>
      <c r="Y1832" s="6">
        <v>4.7699999999999996</v>
      </c>
      <c r="Z1832" s="6">
        <v>5.71</v>
      </c>
      <c r="AA1832" s="3" t="s">
        <v>5552</v>
      </c>
      <c r="AB1832" s="11"/>
      <c r="AC1832" s="9"/>
      <c r="AD1832" s="9"/>
      <c r="AE1832" s="1">
        <v>0</v>
      </c>
      <c r="AF1832" s="1">
        <f ca="1">IFERROR(__xludf.DUMMYFUNCTION("IFERROR(GOOGLEFINANCE(TRIM(F1832)&amp;"":"" &amp; TRIM(B1832),""high52""),AE1832)"),0)</f>
        <v>0</v>
      </c>
      <c r="AG1832" s="1">
        <v>0</v>
      </c>
      <c r="AH1832" s="1">
        <f ca="1">IFERROR(__xludf.DUMMYFUNCTION("IFERROR(GOOGLEFINANCE(TRIM(F1832)&amp;"":"" &amp; TRIM(B1832),""low52""),AE1832)"),0)</f>
        <v>0</v>
      </c>
      <c r="AI1832" s="1">
        <f ca="1">IFERROR(__xludf.DUMMYFUNCTION("IFERROR(GOOGLEFINANCE(B1832,""eps""),0)"),0)</f>
        <v>0</v>
      </c>
      <c r="AJ1832" s="1"/>
      <c r="AK1832" s="1" t="s">
        <v>5553</v>
      </c>
      <c r="AL1832" s="9">
        <f t="shared" si="218"/>
        <v>1</v>
      </c>
    </row>
    <row r="1833" spans="1:38" ht="15" x14ac:dyDescent="0.25">
      <c r="A1833" s="1" t="s">
        <v>5554</v>
      </c>
      <c r="B1833" s="1" t="s">
        <v>5555</v>
      </c>
      <c r="C1833" s="1" t="s">
        <v>186</v>
      </c>
      <c r="D1833" s="1" t="s">
        <v>186</v>
      </c>
      <c r="E1833" s="6">
        <v>34.28</v>
      </c>
      <c r="F1833" s="1" t="s">
        <v>40</v>
      </c>
      <c r="G1833" s="6">
        <f ca="1">IFERROR(__xludf.DUMMYFUNCTION("iferror(GOOGLEFINANCE(TRIM(F1833)&amp;"":"" &amp; TRIM(B1833), ""price""),0
)"),0)</f>
        <v>0</v>
      </c>
      <c r="H1833" s="6">
        <v>13.95</v>
      </c>
      <c r="I1833" s="6">
        <f t="shared" ca="1" si="0"/>
        <v>13.95</v>
      </c>
      <c r="J1833" s="6">
        <f ca="1">IFERROR(__xludf.DUMMYFUNCTION("IFERROR(GOOGLEFINANCE(B1833, ""volume""), 0)"),0)</f>
        <v>0</v>
      </c>
      <c r="K1833" s="6">
        <v>0.72</v>
      </c>
      <c r="L1833" s="6">
        <f ca="1">IFERROR(__xludf.DUMMYFUNCTION("IFERROR(GOOGLEFINANCE(B1833,""changepct""),K1833)"),0.72)</f>
        <v>0.72</v>
      </c>
      <c r="M1833" s="6">
        <f ca="1">IFERROR(__xludf.DUMMYFUNCTION("IFERROR(GOOGLEFINANCE(B1833,""change""),0)"),0)</f>
        <v>0</v>
      </c>
      <c r="N1833" s="6">
        <v>1</v>
      </c>
      <c r="O1833" s="7">
        <v>45536</v>
      </c>
      <c r="P1833" s="6">
        <v>44.22</v>
      </c>
      <c r="Q1833" s="6">
        <v>78.5</v>
      </c>
      <c r="R1833" s="7">
        <v>45352</v>
      </c>
      <c r="S1833" s="6">
        <v>43.05</v>
      </c>
      <c r="T1833" s="6">
        <v>1.75</v>
      </c>
      <c r="U1833" s="7">
        <v>45352</v>
      </c>
      <c r="V1833" s="6">
        <v>19.559999999999999</v>
      </c>
      <c r="W1833" s="6">
        <f ca="1">IFERROR(__xludf.DUMMYFUNCTION("IFERROR(GOOGLEFINANCE(B1833,""pe""),V1833)"),19.56)</f>
        <v>19.559999999999999</v>
      </c>
      <c r="X1833" s="9"/>
      <c r="Y1833" s="6">
        <v>0.74</v>
      </c>
      <c r="Z1833" s="6">
        <v>1</v>
      </c>
      <c r="AA1833" s="8">
        <v>45352</v>
      </c>
      <c r="AB1833" s="4">
        <v>1.02</v>
      </c>
      <c r="AC1833" s="6">
        <v>4.55</v>
      </c>
      <c r="AD1833" s="6">
        <v>4.8499999999999996</v>
      </c>
      <c r="AE1833" s="1">
        <v>0</v>
      </c>
      <c r="AF1833" s="1">
        <f ca="1">IFERROR(__xludf.DUMMYFUNCTION("IFERROR(GOOGLEFINANCE(TRIM(F1833)&amp;"":"" &amp; TRIM(B1833),""high52""),AE1833)"),0)</f>
        <v>0</v>
      </c>
      <c r="AG1833" s="1">
        <v>0</v>
      </c>
      <c r="AH1833" s="1">
        <f ca="1">IFERROR(__xludf.DUMMYFUNCTION("IFERROR(GOOGLEFINANCE(TRIM(F1833)&amp;"":"" &amp; TRIM(B1833),""low52""),AE1833)"),0)</f>
        <v>0</v>
      </c>
      <c r="AI1833" s="1">
        <f ca="1">IFERROR(__xludf.DUMMYFUNCTION("IFERROR(GOOGLEFINANCE(B1833,""eps""),0)"),0)</f>
        <v>0</v>
      </c>
      <c r="AJ1833" s="1"/>
      <c r="AK1833" s="1" t="s">
        <v>5556</v>
      </c>
      <c r="AL1833" s="9">
        <f t="shared" si="218"/>
        <v>1</v>
      </c>
    </row>
    <row r="1834" spans="1:38" ht="15" x14ac:dyDescent="0.25">
      <c r="A1834" s="1" t="s">
        <v>5557</v>
      </c>
      <c r="B1834" s="1" t="s">
        <v>5558</v>
      </c>
      <c r="C1834" s="1" t="s">
        <v>43</v>
      </c>
      <c r="D1834" s="1" t="s">
        <v>43</v>
      </c>
      <c r="E1834" s="6">
        <v>3.66</v>
      </c>
      <c r="F1834" s="1" t="s">
        <v>53</v>
      </c>
      <c r="G1834" s="6">
        <f ca="1">IFERROR(__xludf.DUMMYFUNCTION("iferror(GOOGLEFINANCE(TRIM(F1834)&amp;"":"" &amp; TRIM(B1834), ""price""),0
)"),0)</f>
        <v>0</v>
      </c>
      <c r="H1834" s="6">
        <v>8.1999999999999993</v>
      </c>
      <c r="I1834" s="6">
        <f t="shared" ca="1" si="0"/>
        <v>8.1999999999999993</v>
      </c>
      <c r="J1834" s="6">
        <f ca="1">IFERROR(__xludf.DUMMYFUNCTION("IFERROR(GOOGLEFINANCE(B1834, ""volume""), 0)"),0)</f>
        <v>0</v>
      </c>
      <c r="K1834" s="6">
        <v>3.8</v>
      </c>
      <c r="L1834" s="6">
        <f ca="1">IFERROR(__xludf.DUMMYFUNCTION("IFERROR(GOOGLEFINANCE(B1834,""changepct""),K1834)"),3.8)</f>
        <v>3.8</v>
      </c>
      <c r="M1834" s="6">
        <f ca="1">IFERROR(__xludf.DUMMYFUNCTION("IFERROR(GOOGLEFINANCE(B1834,""change""),0)"),0)</f>
        <v>0</v>
      </c>
      <c r="N1834" s="6">
        <v>1</v>
      </c>
      <c r="O1834" s="7">
        <v>45536</v>
      </c>
      <c r="P1834" s="6">
        <v>0.28000000000000003</v>
      </c>
      <c r="Q1834" s="7">
        <v>45536</v>
      </c>
      <c r="R1834" s="6">
        <v>12.89</v>
      </c>
      <c r="S1834" s="6">
        <v>0.15</v>
      </c>
      <c r="T1834" s="6">
        <v>0.59</v>
      </c>
      <c r="U1834" s="6">
        <v>1</v>
      </c>
      <c r="V1834" s="7">
        <v>45352</v>
      </c>
      <c r="W1834" s="10">
        <f ca="1">IFERROR(__xludf.DUMMYFUNCTION("IFERROR(GOOGLEFINANCE(B1834,""pe""),V1834)"),45352)</f>
        <v>45352</v>
      </c>
      <c r="X1834" s="6">
        <v>2.08</v>
      </c>
      <c r="Y1834" s="6">
        <v>4.4400000000000004</v>
      </c>
      <c r="Z1834" s="6">
        <v>6.22</v>
      </c>
      <c r="AA1834" s="3" t="s">
        <v>5559</v>
      </c>
      <c r="AB1834" s="11"/>
      <c r="AC1834" s="9"/>
      <c r="AD1834" s="9"/>
      <c r="AE1834" s="1">
        <v>0</v>
      </c>
      <c r="AF1834" s="1">
        <f ca="1">IFERROR(__xludf.DUMMYFUNCTION("IFERROR(GOOGLEFINANCE(TRIM(F1834)&amp;"":"" &amp; TRIM(B1834),""high52""),AE1834)"),0)</f>
        <v>0</v>
      </c>
      <c r="AG1834" s="1">
        <v>0</v>
      </c>
      <c r="AH1834" s="1">
        <f ca="1">IFERROR(__xludf.DUMMYFUNCTION("IFERROR(GOOGLEFINANCE(TRIM(F1834)&amp;"":"" &amp; TRIM(B1834),""low52""),AE1834)"),0)</f>
        <v>0</v>
      </c>
      <c r="AI1834" s="1">
        <f ca="1">IFERROR(__xludf.DUMMYFUNCTION("IFERROR(GOOGLEFINANCE(B1834,""eps""),0)"),0)</f>
        <v>0</v>
      </c>
      <c r="AJ1834" s="1"/>
      <c r="AK1834" s="1" t="s">
        <v>5560</v>
      </c>
      <c r="AL1834" s="9">
        <f t="shared" si="218"/>
        <v>1</v>
      </c>
    </row>
    <row r="1835" spans="1:38" ht="15" x14ac:dyDescent="0.25">
      <c r="A1835" s="1" t="s">
        <v>5561</v>
      </c>
      <c r="B1835" s="1" t="s">
        <v>5562</v>
      </c>
      <c r="C1835" s="1" t="s">
        <v>43</v>
      </c>
      <c r="D1835" s="1" t="s">
        <v>43</v>
      </c>
      <c r="E1835" s="6">
        <v>42.45</v>
      </c>
      <c r="F1835" s="1" t="s">
        <v>53</v>
      </c>
      <c r="G1835" s="6">
        <f ca="1">IFERROR(__xludf.DUMMYFUNCTION("iferror(GOOGLEFINANCE(TRIM(F1835)&amp;"":"" &amp; TRIM(B1835), ""price""),0
)"),0)</f>
        <v>0</v>
      </c>
      <c r="H1835" s="6">
        <v>61.6</v>
      </c>
      <c r="I1835" s="6">
        <f t="shared" ca="1" si="0"/>
        <v>61.6</v>
      </c>
      <c r="J1835" s="6">
        <f ca="1">IFERROR(__xludf.DUMMYFUNCTION("IFERROR(GOOGLEFINANCE(B1835, ""volume""), 0)"),0)</f>
        <v>0</v>
      </c>
      <c r="K1835" s="6">
        <v>0.9</v>
      </c>
      <c r="L1835" s="6">
        <f ca="1">IFERROR(__xludf.DUMMYFUNCTION("IFERROR(GOOGLEFINANCE(B1835,""changepct""),K1835)"),0.9)</f>
        <v>0.9</v>
      </c>
      <c r="M1835" s="6">
        <f ca="1">IFERROR(__xludf.DUMMYFUNCTION("IFERROR(GOOGLEFINANCE(B1835,""change""),0)"),0)</f>
        <v>0</v>
      </c>
      <c r="N1835" s="6">
        <v>1</v>
      </c>
      <c r="O1835" s="7">
        <v>45536</v>
      </c>
      <c r="P1835" s="6">
        <v>3.2</v>
      </c>
      <c r="Q1835" s="7">
        <v>45536</v>
      </c>
      <c r="R1835" s="6">
        <v>13.28</v>
      </c>
      <c r="S1835" s="6">
        <v>0.1</v>
      </c>
      <c r="T1835" s="6">
        <v>2.5099999999999998</v>
      </c>
      <c r="U1835" s="6">
        <v>1</v>
      </c>
      <c r="V1835" s="7">
        <v>45352</v>
      </c>
      <c r="W1835" s="10">
        <f ca="1">IFERROR(__xludf.DUMMYFUNCTION("IFERROR(GOOGLEFINANCE(B1835,""pe""),V1835)"),45352)</f>
        <v>45352</v>
      </c>
      <c r="X1835" s="6">
        <v>5.16</v>
      </c>
      <c r="Y1835" s="6">
        <v>18.600000000000001</v>
      </c>
      <c r="Z1835" s="6">
        <v>13.98</v>
      </c>
      <c r="AA1835" s="3" t="s">
        <v>5563</v>
      </c>
      <c r="AB1835" s="11"/>
      <c r="AC1835" s="9"/>
      <c r="AD1835" s="9"/>
      <c r="AE1835" s="1">
        <v>0</v>
      </c>
      <c r="AF1835" s="1">
        <f ca="1">IFERROR(__xludf.DUMMYFUNCTION("IFERROR(GOOGLEFINANCE(TRIM(F1835)&amp;"":"" &amp; TRIM(B1835),""high52""),AE1835)"),0)</f>
        <v>0</v>
      </c>
      <c r="AG1835" s="1">
        <v>0</v>
      </c>
      <c r="AH1835" s="1">
        <f ca="1">IFERROR(__xludf.DUMMYFUNCTION("IFERROR(GOOGLEFINANCE(TRIM(F1835)&amp;"":"" &amp; TRIM(B1835),""low52""),AE1835)"),0)</f>
        <v>0</v>
      </c>
      <c r="AI1835" s="1">
        <f ca="1">IFERROR(__xludf.DUMMYFUNCTION("IFERROR(GOOGLEFINANCE(B1835,""eps""),0)"),0)</f>
        <v>0</v>
      </c>
      <c r="AJ1835" s="1"/>
      <c r="AK1835" s="1" t="s">
        <v>5564</v>
      </c>
      <c r="AL1835" s="9">
        <f t="shared" si="218"/>
        <v>1</v>
      </c>
    </row>
    <row r="1836" spans="1:38" ht="15" x14ac:dyDescent="0.25">
      <c r="A1836" s="1" t="s">
        <v>5565</v>
      </c>
      <c r="B1836" s="1" t="s">
        <v>5566</v>
      </c>
      <c r="C1836" s="1" t="s">
        <v>43</v>
      </c>
      <c r="D1836" s="1" t="s">
        <v>43</v>
      </c>
      <c r="E1836" s="6">
        <v>121.65</v>
      </c>
      <c r="F1836" s="1" t="s">
        <v>53</v>
      </c>
      <c r="G1836" s="6">
        <f ca="1">IFERROR(__xludf.DUMMYFUNCTION("iferror(GOOGLEFINANCE(TRIM(F1836)&amp;"":"" &amp; TRIM(B1836), ""price""),0
)"),0)</f>
        <v>0</v>
      </c>
      <c r="H1836" s="6">
        <v>121.85</v>
      </c>
      <c r="I1836" s="6">
        <f t="shared" ca="1" si="0"/>
        <v>121.85</v>
      </c>
      <c r="J1836" s="6">
        <f ca="1">IFERROR(__xludf.DUMMYFUNCTION("IFERROR(GOOGLEFINANCE(B1836, ""volume""), 0)"),0)</f>
        <v>0</v>
      </c>
      <c r="K1836" s="6">
        <v>0.25</v>
      </c>
      <c r="L1836" s="6">
        <f ca="1">IFERROR(__xludf.DUMMYFUNCTION("IFERROR(GOOGLEFINANCE(B1836,""changepct""),K1836)"),0.25)</f>
        <v>0.25</v>
      </c>
      <c r="M1836" s="6">
        <f ca="1">IFERROR(__xludf.DUMMYFUNCTION("IFERROR(GOOGLEFINANCE(B1836,""change""),0)"),0)</f>
        <v>0</v>
      </c>
      <c r="N1836" s="6">
        <v>1</v>
      </c>
      <c r="O1836" s="7">
        <v>45536</v>
      </c>
      <c r="P1836" s="6">
        <v>8.93</v>
      </c>
      <c r="Q1836" s="7">
        <v>45536</v>
      </c>
      <c r="R1836" s="6">
        <v>13.62</v>
      </c>
      <c r="S1836" s="6">
        <v>0.1</v>
      </c>
      <c r="T1836" s="6">
        <v>3.19</v>
      </c>
      <c r="U1836" s="6">
        <v>1</v>
      </c>
      <c r="V1836" s="7">
        <v>45352</v>
      </c>
      <c r="W1836" s="10">
        <f ca="1">IFERROR(__xludf.DUMMYFUNCTION("IFERROR(GOOGLEFINANCE(B1836,""pe""),V1836)"),45352)</f>
        <v>45352</v>
      </c>
      <c r="X1836" s="6">
        <v>0</v>
      </c>
      <c r="Y1836" s="6">
        <v>41.14</v>
      </c>
      <c r="Z1836" s="6">
        <v>46.58</v>
      </c>
      <c r="AA1836" s="3" t="s">
        <v>5567</v>
      </c>
      <c r="AB1836" s="11"/>
      <c r="AC1836" s="9"/>
      <c r="AD1836" s="9"/>
      <c r="AE1836" s="1">
        <v>0</v>
      </c>
      <c r="AF1836" s="1">
        <f ca="1">IFERROR(__xludf.DUMMYFUNCTION("IFERROR(GOOGLEFINANCE(TRIM(F1836)&amp;"":"" &amp; TRIM(B1836),""high52""),AE1836)"),0)</f>
        <v>0</v>
      </c>
      <c r="AG1836" s="1">
        <v>0</v>
      </c>
      <c r="AH1836" s="1">
        <f ca="1">IFERROR(__xludf.DUMMYFUNCTION("IFERROR(GOOGLEFINANCE(TRIM(F1836)&amp;"":"" &amp; TRIM(B1836),""low52""),AE1836)"),0)</f>
        <v>0</v>
      </c>
      <c r="AI1836" s="1">
        <f ca="1">IFERROR(__xludf.DUMMYFUNCTION("IFERROR(GOOGLEFINANCE(B1836,""eps""),0)"),0)</f>
        <v>0</v>
      </c>
      <c r="AJ1836" s="1"/>
      <c r="AK1836" s="9"/>
      <c r="AL1836" s="9">
        <f t="shared" si="218"/>
        <v>1</v>
      </c>
    </row>
    <row r="1837" spans="1:38" ht="15" x14ac:dyDescent="0.25">
      <c r="A1837" s="1" t="s">
        <v>5568</v>
      </c>
      <c r="B1837" s="1" t="s">
        <v>5569</v>
      </c>
      <c r="C1837" s="1" t="s">
        <v>43</v>
      </c>
      <c r="D1837" s="1" t="s">
        <v>43</v>
      </c>
      <c r="E1837" s="6">
        <v>42.1</v>
      </c>
      <c r="F1837" s="1" t="s">
        <v>53</v>
      </c>
      <c r="G1837" s="6">
        <f ca="1">IFERROR(__xludf.DUMMYFUNCTION("iferror(GOOGLEFINANCE(TRIM(F1837)&amp;"":"" &amp; TRIM(B1837), ""price""),0
)"),0)</f>
        <v>0</v>
      </c>
      <c r="H1837" s="6">
        <v>12.89</v>
      </c>
      <c r="I1837" s="6">
        <f t="shared" ca="1" si="0"/>
        <v>12.89</v>
      </c>
      <c r="J1837" s="6">
        <f ca="1">IFERROR(__xludf.DUMMYFUNCTION("IFERROR(GOOGLEFINANCE(B1837, ""volume""), 0)"),0)</f>
        <v>0</v>
      </c>
      <c r="K1837" s="6">
        <v>-1.98</v>
      </c>
      <c r="L1837" s="6">
        <f ca="1">IFERROR(__xludf.DUMMYFUNCTION("IFERROR(GOOGLEFINANCE(B1837,""changepct""),K1837)"),-1.98)</f>
        <v>-1.98</v>
      </c>
      <c r="M1837" s="6">
        <f ca="1">IFERROR(__xludf.DUMMYFUNCTION("IFERROR(GOOGLEFINANCE(B1837,""change""),0)"),0)</f>
        <v>0</v>
      </c>
      <c r="N1837" s="6">
        <v>1</v>
      </c>
      <c r="O1837" s="7">
        <v>45536</v>
      </c>
      <c r="P1837" s="6">
        <v>3.06</v>
      </c>
      <c r="Q1837" s="7">
        <v>45536</v>
      </c>
      <c r="R1837" s="6">
        <v>13.74</v>
      </c>
      <c r="S1837" s="6">
        <v>0.79</v>
      </c>
      <c r="T1837" s="6">
        <v>0.94</v>
      </c>
      <c r="U1837" s="6">
        <v>1</v>
      </c>
      <c r="V1837" s="7">
        <v>45352</v>
      </c>
      <c r="W1837" s="10">
        <f ca="1">IFERROR(__xludf.DUMMYFUNCTION("IFERROR(GOOGLEFINANCE(B1837,""pe""),V1837)"),45352)</f>
        <v>45352</v>
      </c>
      <c r="X1837" s="6">
        <v>1.83</v>
      </c>
      <c r="Y1837" s="6">
        <v>13.34</v>
      </c>
      <c r="Z1837" s="6">
        <v>5.08</v>
      </c>
      <c r="AA1837" s="3" t="s">
        <v>5570</v>
      </c>
      <c r="AB1837" s="11"/>
      <c r="AC1837" s="9"/>
      <c r="AD1837" s="9"/>
      <c r="AE1837" s="1">
        <v>0</v>
      </c>
      <c r="AF1837" s="1">
        <f ca="1">IFERROR(__xludf.DUMMYFUNCTION("IFERROR(GOOGLEFINANCE(TRIM(F1837)&amp;"":"" &amp; TRIM(B1837),""high52""),AE1837)"),0)</f>
        <v>0</v>
      </c>
      <c r="AG1837" s="1">
        <v>0</v>
      </c>
      <c r="AH1837" s="1">
        <f ca="1">IFERROR(__xludf.DUMMYFUNCTION("IFERROR(GOOGLEFINANCE(TRIM(F1837)&amp;"":"" &amp; TRIM(B1837),""low52""),AE1837)"),0)</f>
        <v>0</v>
      </c>
      <c r="AI1837" s="1">
        <f ca="1">IFERROR(__xludf.DUMMYFUNCTION("IFERROR(GOOGLEFINANCE(B1837,""eps""),0)"),0)</f>
        <v>0</v>
      </c>
      <c r="AJ1837" s="1"/>
      <c r="AK1837" s="1" t="s">
        <v>5571</v>
      </c>
      <c r="AL1837" s="9">
        <f t="shared" si="218"/>
        <v>1</v>
      </c>
    </row>
    <row r="1838" spans="1:38" ht="15" x14ac:dyDescent="0.25">
      <c r="A1838" s="1" t="s">
        <v>5572</v>
      </c>
      <c r="B1838" s="1" t="s">
        <v>5573</v>
      </c>
      <c r="C1838" s="1" t="s">
        <v>239</v>
      </c>
      <c r="D1838" s="1" t="s">
        <v>239</v>
      </c>
      <c r="E1838" s="6">
        <v>36629.4</v>
      </c>
      <c r="F1838" s="1" t="s">
        <v>40</v>
      </c>
      <c r="G1838" s="6">
        <f ca="1">IFERROR(__xludf.DUMMYFUNCTION("iferror(GOOGLEFINANCE(TRIM(F1838)&amp;"":"" &amp; TRIM(B1838), ""price""),0
)"),5465)</f>
        <v>5465</v>
      </c>
      <c r="H1838" s="6">
        <v>4723.8999999999996</v>
      </c>
      <c r="I1838" s="6">
        <f t="shared" ca="1" si="0"/>
        <v>5465</v>
      </c>
      <c r="J1838" s="6">
        <f ca="1">IFERROR(__xludf.DUMMYFUNCTION("IFERROR(GOOGLEFINANCE(B1838, ""volume""), 0)"),84732)</f>
        <v>84732</v>
      </c>
      <c r="K1838" s="6">
        <v>-0.45</v>
      </c>
      <c r="L1838" s="6">
        <f ca="1">IFERROR(__xludf.DUMMYFUNCTION("IFERROR(GOOGLEFINANCE(B1838,""changepct""),K1838)"),-0.23)</f>
        <v>-0.23</v>
      </c>
      <c r="M1838" s="6">
        <f ca="1">IFERROR(__xludf.DUMMYFUNCTION("IFERROR(GOOGLEFINANCE(B1838,""change""),0)"),-12.5)</f>
        <v>-12.5</v>
      </c>
      <c r="N1838" s="6">
        <v>2</v>
      </c>
      <c r="O1838" s="7">
        <v>45536</v>
      </c>
      <c r="P1838" s="6">
        <v>5605.09</v>
      </c>
      <c r="Q1838" s="6">
        <v>41815.910000000003</v>
      </c>
      <c r="R1838" s="7">
        <v>45536</v>
      </c>
      <c r="S1838" s="6">
        <v>11408.3</v>
      </c>
      <c r="T1838" s="6">
        <v>824.46</v>
      </c>
      <c r="U1838" s="7">
        <v>45536</v>
      </c>
      <c r="V1838" s="6">
        <v>44.96</v>
      </c>
      <c r="W1838" s="6">
        <f ca="1">IFERROR(__xludf.DUMMYFUNCTION("IFERROR(GOOGLEFINANCE(B1838,""pe""),V1838)"),41.42)</f>
        <v>41.42</v>
      </c>
      <c r="X1838" s="6">
        <v>1.82</v>
      </c>
      <c r="Y1838" s="6">
        <v>6.63</v>
      </c>
      <c r="Z1838" s="6">
        <v>2</v>
      </c>
      <c r="AA1838" s="8">
        <v>45352</v>
      </c>
      <c r="AB1838" s="4">
        <v>0.98</v>
      </c>
      <c r="AC1838" s="6">
        <v>15.72</v>
      </c>
      <c r="AD1838" s="6">
        <v>16.04</v>
      </c>
      <c r="AE1838" s="1">
        <v>0</v>
      </c>
      <c r="AF1838" s="1">
        <f ca="1">IFERROR(__xludf.DUMMYFUNCTION("IFERROR(GOOGLEFINANCE(TRIM(F1838)&amp;"":"" &amp; TRIM(B1838),""high52""),AE1838)"),7565.5)</f>
        <v>7565.5</v>
      </c>
      <c r="AG1838" s="1">
        <v>0</v>
      </c>
      <c r="AH1838" s="1">
        <f ca="1">IFERROR(__xludf.DUMMYFUNCTION("IFERROR(GOOGLEFINANCE(TRIM(F1838)&amp;"":"" &amp; TRIM(B1838),""low52""),AE1838)"),4218.9)</f>
        <v>4218.8999999999996</v>
      </c>
      <c r="AI1838" s="1">
        <f ca="1">IFERROR(__xludf.DUMMYFUNCTION("IFERROR(GOOGLEFINANCE(B1838,""eps""),0)"),131.93)</f>
        <v>131.93</v>
      </c>
      <c r="AJ1838" s="1"/>
      <c r="AK1838" s="1" t="s">
        <v>5574</v>
      </c>
      <c r="AL1838" s="1" t="b">
        <f>ISNUMBER(AA1838)</f>
        <v>1</v>
      </c>
    </row>
    <row r="1839" spans="1:38" ht="15" x14ac:dyDescent="0.25">
      <c r="A1839" s="1" t="s">
        <v>5575</v>
      </c>
      <c r="B1839" s="1" t="s">
        <v>5576</v>
      </c>
      <c r="C1839" s="1" t="s">
        <v>43</v>
      </c>
      <c r="D1839" s="1" t="s">
        <v>43</v>
      </c>
      <c r="E1839" s="6">
        <v>249.94</v>
      </c>
      <c r="F1839" s="1" t="s">
        <v>53</v>
      </c>
      <c r="G1839" s="6">
        <f ca="1">IFERROR(__xludf.DUMMYFUNCTION("iferror(GOOGLEFINANCE(TRIM(F1839)&amp;"":"" &amp; TRIM(B1839), ""price""),0
)"),0)</f>
        <v>0</v>
      </c>
      <c r="H1839" s="6">
        <v>3.56</v>
      </c>
      <c r="I1839" s="6">
        <f t="shared" ca="1" si="0"/>
        <v>3.56</v>
      </c>
      <c r="J1839" s="6">
        <f ca="1">IFERROR(__xludf.DUMMYFUNCTION("IFERROR(GOOGLEFINANCE(B1839, ""volume""), 0)"),0)</f>
        <v>0</v>
      </c>
      <c r="K1839" s="6">
        <v>1.42</v>
      </c>
      <c r="L1839" s="6">
        <f ca="1">IFERROR(__xludf.DUMMYFUNCTION("IFERROR(GOOGLEFINANCE(B1839,""changepct""),K1839)"),1.42)</f>
        <v>1.42</v>
      </c>
      <c r="M1839" s="6">
        <f ca="1">IFERROR(__xludf.DUMMYFUNCTION("IFERROR(GOOGLEFINANCE(B1839,""change""),0)"),0)</f>
        <v>0</v>
      </c>
      <c r="N1839" s="6">
        <v>1</v>
      </c>
      <c r="O1839" s="7">
        <v>45536</v>
      </c>
      <c r="P1839" s="6">
        <v>18.03</v>
      </c>
      <c r="Q1839" s="7">
        <v>45536</v>
      </c>
      <c r="R1839" s="6">
        <v>13.86</v>
      </c>
      <c r="S1839" s="6">
        <v>0.28999999999999998</v>
      </c>
      <c r="T1839" s="6">
        <v>1.45</v>
      </c>
      <c r="U1839" s="6">
        <v>1</v>
      </c>
      <c r="V1839" s="7">
        <v>45352</v>
      </c>
      <c r="W1839" s="10">
        <f ca="1">IFERROR(__xludf.DUMMYFUNCTION("IFERROR(GOOGLEFINANCE(B1839,""pe""),V1839)"),45352)</f>
        <v>45352</v>
      </c>
      <c r="X1839" s="6">
        <v>0.18</v>
      </c>
      <c r="Y1839" s="6">
        <v>11.56</v>
      </c>
      <c r="Z1839" s="6">
        <v>10.69</v>
      </c>
      <c r="AA1839" s="3" t="s">
        <v>5577</v>
      </c>
      <c r="AB1839" s="11"/>
      <c r="AC1839" s="9"/>
      <c r="AD1839" s="9"/>
      <c r="AE1839" s="1">
        <v>0</v>
      </c>
      <c r="AF1839" s="1">
        <f ca="1">IFERROR(__xludf.DUMMYFUNCTION("IFERROR(GOOGLEFINANCE(TRIM(F1839)&amp;"":"" &amp; TRIM(B1839),""high52""),AE1839)"),0)</f>
        <v>0</v>
      </c>
      <c r="AG1839" s="1">
        <v>0</v>
      </c>
      <c r="AH1839" s="1">
        <f ca="1">IFERROR(__xludf.DUMMYFUNCTION("IFERROR(GOOGLEFINANCE(TRIM(F1839)&amp;"":"" &amp; TRIM(B1839),""low52""),AE1839)"),0)</f>
        <v>0</v>
      </c>
      <c r="AI1839" s="1">
        <f ca="1">IFERROR(__xludf.DUMMYFUNCTION("IFERROR(GOOGLEFINANCE(B1839,""eps""),0)"),0)</f>
        <v>0</v>
      </c>
      <c r="AJ1839" s="1"/>
      <c r="AK1839" s="1" t="s">
        <v>5578</v>
      </c>
      <c r="AL1839" s="9">
        <f t="shared" ref="AL1839:AL1844" si="219">IF(AA1839&lt;&gt;AB1839,1,0)</f>
        <v>1</v>
      </c>
    </row>
    <row r="1840" spans="1:38" ht="15" x14ac:dyDescent="0.25">
      <c r="A1840" s="1" t="s">
        <v>5579</v>
      </c>
      <c r="B1840" s="1" t="s">
        <v>5580</v>
      </c>
      <c r="C1840" s="1" t="s">
        <v>43</v>
      </c>
      <c r="D1840" s="1" t="s">
        <v>43</v>
      </c>
      <c r="E1840" s="6">
        <v>17.84</v>
      </c>
      <c r="F1840" s="1" t="s">
        <v>53</v>
      </c>
      <c r="G1840" s="6">
        <f ca="1">IFERROR(__xludf.DUMMYFUNCTION("iferror(GOOGLEFINANCE(TRIM(F1840)&amp;"":"" &amp; TRIM(B1840), ""price""),0
)"),0)</f>
        <v>0</v>
      </c>
      <c r="H1840" s="6">
        <v>37</v>
      </c>
      <c r="I1840" s="6">
        <f t="shared" ca="1" si="0"/>
        <v>37</v>
      </c>
      <c r="J1840" s="6">
        <f ca="1">IFERROR(__xludf.DUMMYFUNCTION("IFERROR(GOOGLEFINANCE(B1840, ""volume""), 0)"),0)</f>
        <v>0</v>
      </c>
      <c r="K1840" s="6">
        <v>3.67</v>
      </c>
      <c r="L1840" s="6">
        <f ca="1">IFERROR(__xludf.DUMMYFUNCTION("IFERROR(GOOGLEFINANCE(B1840,""changepct""),K1840)"),3.67)</f>
        <v>3.67</v>
      </c>
      <c r="M1840" s="6">
        <f ca="1">IFERROR(__xludf.DUMMYFUNCTION("IFERROR(GOOGLEFINANCE(B1840,""change""),0)"),0)</f>
        <v>0</v>
      </c>
      <c r="N1840" s="6">
        <v>1</v>
      </c>
      <c r="O1840" s="7">
        <v>45536</v>
      </c>
      <c r="P1840" s="6">
        <v>1.28</v>
      </c>
      <c r="Q1840" s="7">
        <v>45536</v>
      </c>
      <c r="R1840" s="6">
        <v>13.94</v>
      </c>
      <c r="S1840" s="6">
        <v>0.27</v>
      </c>
      <c r="T1840" s="6">
        <v>1.07</v>
      </c>
      <c r="U1840" s="6">
        <v>1</v>
      </c>
      <c r="V1840" s="7">
        <v>45352</v>
      </c>
      <c r="W1840" s="10">
        <f ca="1">IFERROR(__xludf.DUMMYFUNCTION("IFERROR(GOOGLEFINANCE(B1840,""pe""),V1840)"),45352)</f>
        <v>45352</v>
      </c>
      <c r="X1840" s="6">
        <v>0.08</v>
      </c>
      <c r="Y1840" s="6">
        <v>10.02</v>
      </c>
      <c r="Z1840" s="6">
        <v>9.16</v>
      </c>
      <c r="AA1840" s="3" t="s">
        <v>5581</v>
      </c>
      <c r="AB1840" s="11"/>
      <c r="AC1840" s="9"/>
      <c r="AD1840" s="9"/>
      <c r="AE1840" s="1">
        <v>0</v>
      </c>
      <c r="AF1840" s="1">
        <f ca="1">IFERROR(__xludf.DUMMYFUNCTION("IFERROR(GOOGLEFINANCE(TRIM(F1840)&amp;"":"" &amp; TRIM(B1840),""high52""),AE1840)"),0)</f>
        <v>0</v>
      </c>
      <c r="AG1840" s="1">
        <v>0</v>
      </c>
      <c r="AH1840" s="1">
        <f ca="1">IFERROR(__xludf.DUMMYFUNCTION("IFERROR(GOOGLEFINANCE(TRIM(F1840)&amp;"":"" &amp; TRIM(B1840),""low52""),AE1840)"),0)</f>
        <v>0</v>
      </c>
      <c r="AI1840" s="1">
        <f ca="1">IFERROR(__xludf.DUMMYFUNCTION("IFERROR(GOOGLEFINANCE(B1840,""eps""),0)"),0)</f>
        <v>0</v>
      </c>
      <c r="AJ1840" s="1"/>
      <c r="AK1840" s="1" t="s">
        <v>5582</v>
      </c>
      <c r="AL1840" s="9">
        <f t="shared" si="219"/>
        <v>1</v>
      </c>
    </row>
    <row r="1841" spans="1:38" ht="15" x14ac:dyDescent="0.25">
      <c r="A1841" s="1" t="s">
        <v>5583</v>
      </c>
      <c r="B1841" s="1" t="s">
        <v>5584</v>
      </c>
      <c r="C1841" s="1" t="s">
        <v>43</v>
      </c>
      <c r="D1841" s="1" t="s">
        <v>43</v>
      </c>
      <c r="E1841" s="6">
        <v>98.71</v>
      </c>
      <c r="F1841" s="1" t="s">
        <v>53</v>
      </c>
      <c r="G1841" s="6">
        <f ca="1">IFERROR(__xludf.DUMMYFUNCTION("iferror(GOOGLEFINANCE(TRIM(F1841)&amp;"":"" &amp; TRIM(B1841), ""price""),0
)"),0)</f>
        <v>0</v>
      </c>
      <c r="H1841" s="6">
        <v>21.8</v>
      </c>
      <c r="I1841" s="6">
        <f t="shared" ca="1" si="0"/>
        <v>21.8</v>
      </c>
      <c r="J1841" s="6">
        <f ca="1">IFERROR(__xludf.DUMMYFUNCTION("IFERROR(GOOGLEFINANCE(B1841, ""volume""), 0)"),0)</f>
        <v>0</v>
      </c>
      <c r="K1841" s="6">
        <v>0.93</v>
      </c>
      <c r="L1841" s="6">
        <f ca="1">IFERROR(__xludf.DUMMYFUNCTION("IFERROR(GOOGLEFINANCE(B1841,""changepct""),K1841)"),0.93)</f>
        <v>0.93</v>
      </c>
      <c r="M1841" s="6">
        <f ca="1">IFERROR(__xludf.DUMMYFUNCTION("IFERROR(GOOGLEFINANCE(B1841,""change""),0)"),0)</f>
        <v>0</v>
      </c>
      <c r="N1841" s="6">
        <v>2</v>
      </c>
      <c r="O1841" s="7">
        <v>45536</v>
      </c>
      <c r="P1841" s="6">
        <v>7.62</v>
      </c>
      <c r="Q1841" s="7">
        <v>45536</v>
      </c>
      <c r="R1841" s="6">
        <v>14.18</v>
      </c>
      <c r="S1841" s="6">
        <v>0.33</v>
      </c>
      <c r="T1841" s="6">
        <v>4</v>
      </c>
      <c r="U1841" s="6">
        <v>2</v>
      </c>
      <c r="V1841" s="7">
        <v>45352</v>
      </c>
      <c r="W1841" s="10">
        <f ca="1">IFERROR(__xludf.DUMMYFUNCTION("IFERROR(GOOGLEFINANCE(B1841,""pe""),V1841)"),45352)</f>
        <v>45352</v>
      </c>
      <c r="X1841" s="6">
        <v>0.03</v>
      </c>
      <c r="Y1841" s="6">
        <v>47.17</v>
      </c>
      <c r="Z1841" s="6">
        <v>43.26</v>
      </c>
      <c r="AA1841" s="3" t="s">
        <v>5585</v>
      </c>
      <c r="AB1841" s="11"/>
      <c r="AC1841" s="9"/>
      <c r="AD1841" s="9"/>
      <c r="AE1841" s="1">
        <v>0</v>
      </c>
      <c r="AF1841" s="1">
        <f ca="1">IFERROR(__xludf.DUMMYFUNCTION("IFERROR(GOOGLEFINANCE(TRIM(F1841)&amp;"":"" &amp; TRIM(B1841),""high52""),AE1841)"),0)</f>
        <v>0</v>
      </c>
      <c r="AG1841" s="1">
        <v>0</v>
      </c>
      <c r="AH1841" s="1">
        <f ca="1">IFERROR(__xludf.DUMMYFUNCTION("IFERROR(GOOGLEFINANCE(TRIM(F1841)&amp;"":"" &amp; TRIM(B1841),""low52""),AE1841)"),0)</f>
        <v>0</v>
      </c>
      <c r="AI1841" s="1">
        <f ca="1">IFERROR(__xludf.DUMMYFUNCTION("IFERROR(GOOGLEFINANCE(B1841,""eps""),0)"),0)</f>
        <v>0</v>
      </c>
      <c r="AJ1841" s="1"/>
      <c r="AK1841" s="1" t="s">
        <v>5586</v>
      </c>
      <c r="AL1841" s="9">
        <f t="shared" si="219"/>
        <v>1</v>
      </c>
    </row>
    <row r="1842" spans="1:38" ht="15" x14ac:dyDescent="0.25">
      <c r="A1842" s="1" t="s">
        <v>5587</v>
      </c>
      <c r="B1842" s="1" t="s">
        <v>5588</v>
      </c>
      <c r="C1842" s="1" t="s">
        <v>43</v>
      </c>
      <c r="D1842" s="1" t="s">
        <v>43</v>
      </c>
      <c r="E1842" s="6">
        <v>87.28</v>
      </c>
      <c r="F1842" s="1" t="s">
        <v>53</v>
      </c>
      <c r="G1842" s="6">
        <f ca="1">IFERROR(__xludf.DUMMYFUNCTION("iferror(GOOGLEFINANCE(TRIM(F1842)&amp;"":"" &amp; TRIM(B1842), ""price""),0
)"),0)</f>
        <v>0</v>
      </c>
      <c r="H1842" s="6">
        <v>297.5</v>
      </c>
      <c r="I1842" s="6">
        <f t="shared" ca="1" si="0"/>
        <v>297.5</v>
      </c>
      <c r="J1842" s="6">
        <f ca="1">IFERROR(__xludf.DUMMYFUNCTION("IFERROR(GOOGLEFINANCE(B1842, ""volume""), 0)"),0)</f>
        <v>0</v>
      </c>
      <c r="K1842" s="6">
        <v>2.66</v>
      </c>
      <c r="L1842" s="6">
        <f ca="1">IFERROR(__xludf.DUMMYFUNCTION("IFERROR(GOOGLEFINANCE(B1842,""changepct""),K1842)"),2.66)</f>
        <v>2.66</v>
      </c>
      <c r="M1842" s="6">
        <f ca="1">IFERROR(__xludf.DUMMYFUNCTION("IFERROR(GOOGLEFINANCE(B1842,""change""),0)"),0)</f>
        <v>0</v>
      </c>
      <c r="N1842" s="6">
        <v>1</v>
      </c>
      <c r="O1842" s="7">
        <v>45536</v>
      </c>
      <c r="P1842" s="6">
        <v>6.09</v>
      </c>
      <c r="Q1842" s="7">
        <v>45536</v>
      </c>
      <c r="R1842" s="6">
        <v>14.33</v>
      </c>
      <c r="S1842" s="6">
        <v>0.25</v>
      </c>
      <c r="T1842" s="6">
        <v>0.51</v>
      </c>
      <c r="U1842" s="6">
        <v>1</v>
      </c>
      <c r="V1842" s="7">
        <v>45352</v>
      </c>
      <c r="W1842" s="10">
        <f ca="1">IFERROR(__xludf.DUMMYFUNCTION("IFERROR(GOOGLEFINANCE(B1842,""pe""),V1842)"),45352)</f>
        <v>45352</v>
      </c>
      <c r="X1842" s="6">
        <v>0</v>
      </c>
      <c r="Y1842" s="6">
        <v>3.78</v>
      </c>
      <c r="Z1842" s="6">
        <v>4.33</v>
      </c>
      <c r="AA1842" s="3" t="s">
        <v>5589</v>
      </c>
      <c r="AB1842" s="11"/>
      <c r="AC1842" s="9"/>
      <c r="AD1842" s="9"/>
      <c r="AE1842" s="1">
        <v>0</v>
      </c>
      <c r="AF1842" s="1">
        <f ca="1">IFERROR(__xludf.DUMMYFUNCTION("IFERROR(GOOGLEFINANCE(TRIM(F1842)&amp;"":"" &amp; TRIM(B1842),""high52""),AE1842)"),0)</f>
        <v>0</v>
      </c>
      <c r="AG1842" s="1">
        <v>0</v>
      </c>
      <c r="AH1842" s="1">
        <f ca="1">IFERROR(__xludf.DUMMYFUNCTION("IFERROR(GOOGLEFINANCE(TRIM(F1842)&amp;"":"" &amp; TRIM(B1842),""low52""),AE1842)"),0)</f>
        <v>0</v>
      </c>
      <c r="AI1842" s="1">
        <f ca="1">IFERROR(__xludf.DUMMYFUNCTION("IFERROR(GOOGLEFINANCE(B1842,""eps""),0)"),0)</f>
        <v>0</v>
      </c>
      <c r="AJ1842" s="1"/>
      <c r="AK1842" s="1" t="s">
        <v>5590</v>
      </c>
      <c r="AL1842" s="9">
        <f t="shared" si="219"/>
        <v>1</v>
      </c>
    </row>
    <row r="1843" spans="1:38" ht="15" x14ac:dyDescent="0.25">
      <c r="A1843" s="1" t="s">
        <v>5591</v>
      </c>
      <c r="B1843" s="1" t="s">
        <v>5592</v>
      </c>
      <c r="C1843" s="1" t="s">
        <v>43</v>
      </c>
      <c r="D1843" s="1" t="s">
        <v>43</v>
      </c>
      <c r="E1843" s="6">
        <v>95.81</v>
      </c>
      <c r="F1843" s="1" t="s">
        <v>53</v>
      </c>
      <c r="G1843" s="6">
        <f ca="1">IFERROR(__xludf.DUMMYFUNCTION("iferror(GOOGLEFINANCE(TRIM(F1843)&amp;"":"" &amp; TRIM(B1843), ""price""),0
)"),0)</f>
        <v>0</v>
      </c>
      <c r="H1843" s="6">
        <v>7.62</v>
      </c>
      <c r="I1843" s="6">
        <f t="shared" ca="1" si="0"/>
        <v>7.62</v>
      </c>
      <c r="J1843" s="6">
        <f ca="1">IFERROR(__xludf.DUMMYFUNCTION("IFERROR(GOOGLEFINANCE(B1843, ""volume""), 0)"),0)</f>
        <v>0</v>
      </c>
      <c r="K1843" s="6">
        <v>1.46</v>
      </c>
      <c r="L1843" s="6">
        <f ca="1">IFERROR(__xludf.DUMMYFUNCTION("IFERROR(GOOGLEFINANCE(B1843,""changepct""),K1843)"),1.46)</f>
        <v>1.46</v>
      </c>
      <c r="M1843" s="6">
        <f ca="1">IFERROR(__xludf.DUMMYFUNCTION("IFERROR(GOOGLEFINANCE(B1843,""change""),0)"),0)</f>
        <v>0</v>
      </c>
      <c r="N1843" s="6">
        <v>2</v>
      </c>
      <c r="O1843" s="7">
        <v>45536</v>
      </c>
      <c r="P1843" s="6">
        <v>7.38</v>
      </c>
      <c r="Q1843" s="7">
        <v>45536</v>
      </c>
      <c r="R1843" s="6">
        <v>14.53</v>
      </c>
      <c r="S1843" s="6">
        <v>4.0599999999999996</v>
      </c>
      <c r="T1843" s="6">
        <v>1.44</v>
      </c>
      <c r="U1843" s="6">
        <v>2</v>
      </c>
      <c r="V1843" s="7">
        <v>45352</v>
      </c>
      <c r="W1843" s="10">
        <f ca="1">IFERROR(__xludf.DUMMYFUNCTION("IFERROR(GOOGLEFINANCE(B1843,""pe""),V1843)"),45352)</f>
        <v>45352</v>
      </c>
      <c r="X1843" s="6">
        <v>0.87</v>
      </c>
      <c r="Y1843" s="6">
        <v>10.64</v>
      </c>
      <c r="Z1843" s="6">
        <v>14.43</v>
      </c>
      <c r="AA1843" s="3" t="s">
        <v>5593</v>
      </c>
      <c r="AB1843" s="11"/>
      <c r="AC1843" s="9"/>
      <c r="AD1843" s="9"/>
      <c r="AE1843" s="1">
        <v>0</v>
      </c>
      <c r="AF1843" s="1">
        <f ca="1">IFERROR(__xludf.DUMMYFUNCTION("IFERROR(GOOGLEFINANCE(TRIM(F1843)&amp;"":"" &amp; TRIM(B1843),""high52""),AE1843)"),0)</f>
        <v>0</v>
      </c>
      <c r="AG1843" s="1">
        <v>0</v>
      </c>
      <c r="AH1843" s="1">
        <f ca="1">IFERROR(__xludf.DUMMYFUNCTION("IFERROR(GOOGLEFINANCE(TRIM(F1843)&amp;"":"" &amp; TRIM(B1843),""low52""),AE1843)"),0)</f>
        <v>0</v>
      </c>
      <c r="AI1843" s="1">
        <f ca="1">IFERROR(__xludf.DUMMYFUNCTION("IFERROR(GOOGLEFINANCE(B1843,""eps""),0)"),0)</f>
        <v>0</v>
      </c>
      <c r="AJ1843" s="1"/>
      <c r="AK1843" s="1" t="s">
        <v>5594</v>
      </c>
      <c r="AL1843" s="9">
        <f t="shared" si="219"/>
        <v>1</v>
      </c>
    </row>
    <row r="1844" spans="1:38" ht="15" x14ac:dyDescent="0.25">
      <c r="A1844" s="1" t="s">
        <v>5595</v>
      </c>
      <c r="B1844" s="1" t="s">
        <v>5596</v>
      </c>
      <c r="C1844" s="1" t="s">
        <v>43</v>
      </c>
      <c r="D1844" s="1" t="s">
        <v>43</v>
      </c>
      <c r="E1844" s="6">
        <v>105.7</v>
      </c>
      <c r="F1844" s="1" t="s">
        <v>53</v>
      </c>
      <c r="G1844" s="6">
        <f ca="1">IFERROR(__xludf.DUMMYFUNCTION("iferror(GOOGLEFINANCE(TRIM(F1844)&amp;"":"" &amp; TRIM(B1844), ""price""),0
)"),0)</f>
        <v>0</v>
      </c>
      <c r="H1844" s="6">
        <v>86</v>
      </c>
      <c r="I1844" s="6">
        <f t="shared" ca="1" si="0"/>
        <v>86</v>
      </c>
      <c r="J1844" s="6">
        <f ca="1">IFERROR(__xludf.DUMMYFUNCTION("IFERROR(GOOGLEFINANCE(B1844, ""volume""), 0)"),0)</f>
        <v>0</v>
      </c>
      <c r="K1844" s="6">
        <v>0.05</v>
      </c>
      <c r="L1844" s="6">
        <f ca="1">IFERROR(__xludf.DUMMYFUNCTION("IFERROR(GOOGLEFINANCE(B1844,""changepct""),K1844)"),0.05)</f>
        <v>0.05</v>
      </c>
      <c r="M1844" s="6">
        <f ca="1">IFERROR(__xludf.DUMMYFUNCTION("IFERROR(GOOGLEFINANCE(B1844,""change""),0)"),0)</f>
        <v>0</v>
      </c>
      <c r="N1844" s="6">
        <v>2</v>
      </c>
      <c r="O1844" s="7">
        <v>45536</v>
      </c>
      <c r="P1844" s="6">
        <v>4.6399999999999997</v>
      </c>
      <c r="Q1844" s="7">
        <v>45536</v>
      </c>
      <c r="R1844" s="6">
        <v>14.68</v>
      </c>
      <c r="S1844" s="6">
        <v>0.19</v>
      </c>
      <c r="T1844" s="6">
        <v>0.71</v>
      </c>
      <c r="U1844" s="6">
        <v>2</v>
      </c>
      <c r="V1844" s="7">
        <v>45352</v>
      </c>
      <c r="W1844" s="10">
        <f ca="1">IFERROR(__xludf.DUMMYFUNCTION("IFERROR(GOOGLEFINANCE(B1844,""pe""),V1844)"),45352)</f>
        <v>45352</v>
      </c>
      <c r="X1844" s="6">
        <v>0.71</v>
      </c>
      <c r="Y1844" s="6">
        <v>2.85</v>
      </c>
      <c r="Z1844" s="6">
        <v>7.31</v>
      </c>
      <c r="AA1844" s="3" t="s">
        <v>5597</v>
      </c>
      <c r="AB1844" s="11"/>
      <c r="AC1844" s="9"/>
      <c r="AD1844" s="9"/>
      <c r="AE1844" s="1">
        <v>0</v>
      </c>
      <c r="AF1844" s="1">
        <f ca="1">IFERROR(__xludf.DUMMYFUNCTION("IFERROR(GOOGLEFINANCE(TRIM(F1844)&amp;"":"" &amp; TRIM(B1844),""high52""),AE1844)"),0)</f>
        <v>0</v>
      </c>
      <c r="AG1844" s="1">
        <v>0</v>
      </c>
      <c r="AH1844" s="1">
        <f ca="1">IFERROR(__xludf.DUMMYFUNCTION("IFERROR(GOOGLEFINANCE(TRIM(F1844)&amp;"":"" &amp; TRIM(B1844),""low52""),AE1844)"),0)</f>
        <v>0</v>
      </c>
      <c r="AI1844" s="1">
        <f ca="1">IFERROR(__xludf.DUMMYFUNCTION("IFERROR(GOOGLEFINANCE(B1844,""eps""),0)"),0)</f>
        <v>0</v>
      </c>
      <c r="AJ1844" s="1"/>
      <c r="AK1844" s="1" t="s">
        <v>5598</v>
      </c>
      <c r="AL1844" s="9">
        <f t="shared" si="219"/>
        <v>1</v>
      </c>
    </row>
    <row r="1845" spans="1:38" ht="15" x14ac:dyDescent="0.25">
      <c r="A1845" s="1" t="s">
        <v>5599</v>
      </c>
      <c r="B1845" s="1" t="s">
        <v>5600</v>
      </c>
      <c r="C1845" s="1" t="s">
        <v>239</v>
      </c>
      <c r="D1845" s="1" t="s">
        <v>239</v>
      </c>
      <c r="E1845" s="6">
        <v>9822.51</v>
      </c>
      <c r="F1845" s="1" t="s">
        <v>40</v>
      </c>
      <c r="G1845" s="6">
        <f ca="1">IFERROR(__xludf.DUMMYFUNCTION("iferror(GOOGLEFINANCE(TRIM(F1845)&amp;"":"" &amp; TRIM(B1845), ""price""),0
)"),774.8)</f>
        <v>774.8</v>
      </c>
      <c r="H1845" s="6">
        <v>835.25</v>
      </c>
      <c r="I1845" s="6">
        <f t="shared" ca="1" si="0"/>
        <v>774.8</v>
      </c>
      <c r="J1845" s="6">
        <f ca="1">IFERROR(__xludf.DUMMYFUNCTION("IFERROR(GOOGLEFINANCE(B1845, ""volume""), 0)"),100358)</f>
        <v>100358</v>
      </c>
      <c r="K1845" s="6">
        <v>0.04</v>
      </c>
      <c r="L1845" s="6">
        <f ca="1">IFERROR(__xludf.DUMMYFUNCTION("IFERROR(GOOGLEFINANCE(B1845,""changepct""),K1845)"),1.54)</f>
        <v>1.54</v>
      </c>
      <c r="M1845" s="6">
        <f ca="1">IFERROR(__xludf.DUMMYFUNCTION("IFERROR(GOOGLEFINANCE(B1845,""change""),0)"),11.75)</f>
        <v>11.75</v>
      </c>
      <c r="N1845" s="6">
        <v>2</v>
      </c>
      <c r="O1845" s="7">
        <v>45536</v>
      </c>
      <c r="P1845" s="6">
        <v>2199.04</v>
      </c>
      <c r="Q1845" s="6">
        <v>11762.4</v>
      </c>
      <c r="R1845" s="7">
        <v>45536</v>
      </c>
      <c r="S1845" s="6">
        <v>6281.86</v>
      </c>
      <c r="T1845" s="6">
        <v>366.53</v>
      </c>
      <c r="U1845" s="7">
        <v>45536</v>
      </c>
      <c r="V1845" s="6">
        <v>27.51</v>
      </c>
      <c r="W1845" s="6">
        <f ca="1">IFERROR(__xludf.DUMMYFUNCTION("IFERROR(GOOGLEFINANCE(B1845,""pe""),V1845)"),20.73)</f>
        <v>20.73</v>
      </c>
      <c r="X1845" s="6">
        <v>0.48</v>
      </c>
      <c r="Y1845" s="6">
        <v>3.02</v>
      </c>
      <c r="Z1845" s="6">
        <v>2</v>
      </c>
      <c r="AA1845" s="8">
        <v>45352</v>
      </c>
      <c r="AB1845" s="4">
        <v>0.64</v>
      </c>
      <c r="AC1845" s="6">
        <v>16.29</v>
      </c>
      <c r="AD1845" s="6">
        <v>17.91</v>
      </c>
      <c r="AE1845" s="1">
        <v>0</v>
      </c>
      <c r="AF1845" s="1">
        <f ca="1">IFERROR(__xludf.DUMMYFUNCTION("IFERROR(GOOGLEFINANCE(TRIM(F1845)&amp;"":"" &amp; TRIM(B1845),""high52""),AE1845)"),1021.2)</f>
        <v>1021.2</v>
      </c>
      <c r="AG1845" s="1">
        <v>0</v>
      </c>
      <c r="AH1845" s="1">
        <f ca="1">IFERROR(__xludf.DUMMYFUNCTION("IFERROR(GOOGLEFINANCE(TRIM(F1845)&amp;"":"" &amp; TRIM(B1845),""low52""),AE1845)"),660.5)</f>
        <v>660.5</v>
      </c>
      <c r="AI1845" s="1">
        <f ca="1">IFERROR(__xludf.DUMMYFUNCTION("IFERROR(GOOGLEFINANCE(B1845,""eps""),0)"),37.37)</f>
        <v>37.369999999999997</v>
      </c>
      <c r="AJ1845" s="1"/>
      <c r="AK1845" s="1" t="s">
        <v>5601</v>
      </c>
      <c r="AL1845" s="1" t="b">
        <f>ISNUMBER(AA1845)</f>
        <v>1</v>
      </c>
    </row>
    <row r="1846" spans="1:38" ht="15" x14ac:dyDescent="0.25">
      <c r="A1846" s="1" t="s">
        <v>5602</v>
      </c>
      <c r="B1846" s="1" t="s">
        <v>5603</v>
      </c>
      <c r="C1846" s="1" t="s">
        <v>43</v>
      </c>
      <c r="D1846" s="1" t="s">
        <v>43</v>
      </c>
      <c r="E1846" s="6">
        <v>50.57</v>
      </c>
      <c r="F1846" s="1" t="s">
        <v>53</v>
      </c>
      <c r="G1846" s="6">
        <f ca="1">IFERROR(__xludf.DUMMYFUNCTION("iferror(GOOGLEFINANCE(TRIM(F1846)&amp;"":"" &amp; TRIM(B1846), ""price""),0
)"),0)</f>
        <v>0</v>
      </c>
      <c r="H1846" s="6">
        <v>180</v>
      </c>
      <c r="I1846" s="6">
        <f t="shared" ca="1" si="0"/>
        <v>180</v>
      </c>
      <c r="J1846" s="6">
        <f ca="1">IFERROR(__xludf.DUMMYFUNCTION("IFERROR(GOOGLEFINANCE(B1846, ""volume""), 0)"),0)</f>
        <v>0</v>
      </c>
      <c r="K1846" s="6">
        <v>3.36</v>
      </c>
      <c r="L1846" s="6">
        <f ca="1">IFERROR(__xludf.DUMMYFUNCTION("IFERROR(GOOGLEFINANCE(B1846,""changepct""),K1846)"),3.36)</f>
        <v>3.36</v>
      </c>
      <c r="M1846" s="6">
        <f ca="1">IFERROR(__xludf.DUMMYFUNCTION("IFERROR(GOOGLEFINANCE(B1846,""change""),0)"),0)</f>
        <v>0</v>
      </c>
      <c r="N1846" s="6">
        <v>1</v>
      </c>
      <c r="O1846" s="7">
        <v>45536</v>
      </c>
      <c r="P1846" s="6">
        <v>3.37</v>
      </c>
      <c r="Q1846" s="7">
        <v>45536</v>
      </c>
      <c r="R1846" s="6">
        <v>15.01</v>
      </c>
      <c r="S1846" s="6">
        <v>0.49</v>
      </c>
      <c r="T1846" s="6">
        <v>1.89</v>
      </c>
      <c r="U1846" s="6">
        <v>1</v>
      </c>
      <c r="V1846" s="7">
        <v>45352</v>
      </c>
      <c r="W1846" s="10">
        <f ca="1">IFERROR(__xludf.DUMMYFUNCTION("IFERROR(GOOGLEFINANCE(B1846,""pe""),V1846)"),45352)</f>
        <v>45352</v>
      </c>
      <c r="X1846" s="6">
        <v>0.01</v>
      </c>
      <c r="Y1846" s="6">
        <v>14.09</v>
      </c>
      <c r="Z1846" s="6">
        <v>18.66</v>
      </c>
      <c r="AA1846" s="3" t="s">
        <v>5604</v>
      </c>
      <c r="AB1846" s="11"/>
      <c r="AC1846" s="9"/>
      <c r="AD1846" s="9"/>
      <c r="AE1846" s="1">
        <v>0</v>
      </c>
      <c r="AF1846" s="1">
        <f ca="1">IFERROR(__xludf.DUMMYFUNCTION("IFERROR(GOOGLEFINANCE(TRIM(F1846)&amp;"":"" &amp; TRIM(B1846),""high52""),AE1846)"),0)</f>
        <v>0</v>
      </c>
      <c r="AG1846" s="1">
        <v>0</v>
      </c>
      <c r="AH1846" s="1">
        <f ca="1">IFERROR(__xludf.DUMMYFUNCTION("IFERROR(GOOGLEFINANCE(TRIM(F1846)&amp;"":"" &amp; TRIM(B1846),""low52""),AE1846)"),0)</f>
        <v>0</v>
      </c>
      <c r="AI1846" s="1">
        <f ca="1">IFERROR(__xludf.DUMMYFUNCTION("IFERROR(GOOGLEFINANCE(B1846,""eps""),0)"),0)</f>
        <v>0</v>
      </c>
      <c r="AJ1846" s="1"/>
      <c r="AK1846" s="1" t="s">
        <v>5605</v>
      </c>
      <c r="AL1846" s="9">
        <f t="shared" ref="AL1846:AL1873" si="220">IF(AA1846&lt;&gt;AB1846,1,0)</f>
        <v>1</v>
      </c>
    </row>
    <row r="1847" spans="1:38" ht="15" x14ac:dyDescent="0.25">
      <c r="A1847" s="1" t="s">
        <v>5606</v>
      </c>
      <c r="B1847" s="1" t="s">
        <v>5607</v>
      </c>
      <c r="C1847" s="1" t="s">
        <v>43</v>
      </c>
      <c r="D1847" s="1" t="s">
        <v>43</v>
      </c>
      <c r="E1847" s="6">
        <v>3638.55</v>
      </c>
      <c r="F1847" s="1" t="s">
        <v>53</v>
      </c>
      <c r="G1847" s="6">
        <f ca="1">IFERROR(__xludf.DUMMYFUNCTION("iferror(GOOGLEFINANCE(TRIM(F1847)&amp;"":"" &amp; TRIM(B1847), ""price""),0
)"),0)</f>
        <v>0</v>
      </c>
      <c r="H1847" s="6">
        <v>183298</v>
      </c>
      <c r="I1847" s="6">
        <f t="shared" ca="1" si="0"/>
        <v>183298</v>
      </c>
      <c r="J1847" s="6">
        <f ca="1">IFERROR(__xludf.DUMMYFUNCTION("IFERROR(GOOGLEFINANCE(B1847, ""volume""), 0)"),0)</f>
        <v>0</v>
      </c>
      <c r="K1847" s="6">
        <v>0.75</v>
      </c>
      <c r="L1847" s="6">
        <f ca="1">IFERROR(__xludf.DUMMYFUNCTION("IFERROR(GOOGLEFINANCE(B1847,""changepct""),K1847)"),0.75)</f>
        <v>0.75</v>
      </c>
      <c r="M1847" s="6">
        <f ca="1">IFERROR(__xludf.DUMMYFUNCTION("IFERROR(GOOGLEFINANCE(B1847,""change""),0)"),0)</f>
        <v>0</v>
      </c>
      <c r="N1847" s="6">
        <v>2</v>
      </c>
      <c r="O1847" s="7">
        <v>45536</v>
      </c>
      <c r="P1847" s="6">
        <v>241.56</v>
      </c>
      <c r="Q1847" s="7">
        <v>45536</v>
      </c>
      <c r="R1847" s="6">
        <v>15.06</v>
      </c>
      <c r="S1847" s="6">
        <v>0.56999999999999995</v>
      </c>
      <c r="T1847" s="6">
        <v>0.27</v>
      </c>
      <c r="U1847" s="6">
        <v>2</v>
      </c>
      <c r="V1847" s="7">
        <v>45352</v>
      </c>
      <c r="W1847" s="10">
        <f ca="1">IFERROR(__xludf.DUMMYFUNCTION("IFERROR(GOOGLEFINANCE(B1847,""pe""),V1847)"),45352)</f>
        <v>45352</v>
      </c>
      <c r="X1847" s="6">
        <v>0</v>
      </c>
      <c r="Y1847" s="6">
        <v>1.54</v>
      </c>
      <c r="Z1847" s="6">
        <v>2.02</v>
      </c>
      <c r="AA1847" s="3" t="s">
        <v>5608</v>
      </c>
      <c r="AB1847" s="11"/>
      <c r="AC1847" s="9"/>
      <c r="AD1847" s="9"/>
      <c r="AE1847" s="1">
        <v>0</v>
      </c>
      <c r="AF1847" s="1">
        <f ca="1">IFERROR(__xludf.DUMMYFUNCTION("IFERROR(GOOGLEFINANCE(TRIM(F1847)&amp;"":"" &amp; TRIM(B1847),""high52""),AE1847)"),0)</f>
        <v>0</v>
      </c>
      <c r="AG1847" s="1">
        <v>0</v>
      </c>
      <c r="AH1847" s="1">
        <f ca="1">IFERROR(__xludf.DUMMYFUNCTION("IFERROR(GOOGLEFINANCE(TRIM(F1847)&amp;"":"" &amp; TRIM(B1847),""low52""),AE1847)"),0)</f>
        <v>0</v>
      </c>
      <c r="AI1847" s="1">
        <f ca="1">IFERROR(__xludf.DUMMYFUNCTION("IFERROR(GOOGLEFINANCE(B1847,""eps""),0)"),0)</f>
        <v>0</v>
      </c>
      <c r="AJ1847" s="1"/>
      <c r="AK1847" s="1" t="s">
        <v>5609</v>
      </c>
      <c r="AL1847" s="9">
        <f t="shared" si="220"/>
        <v>1</v>
      </c>
    </row>
    <row r="1848" spans="1:38" ht="15" x14ac:dyDescent="0.25">
      <c r="A1848" s="1" t="s">
        <v>5610</v>
      </c>
      <c r="B1848" s="1" t="s">
        <v>5611</v>
      </c>
      <c r="C1848" s="1" t="s">
        <v>373</v>
      </c>
      <c r="D1848" s="1" t="s">
        <v>373</v>
      </c>
      <c r="E1848" s="6">
        <v>7141.16</v>
      </c>
      <c r="F1848" s="1" t="s">
        <v>40</v>
      </c>
      <c r="G1848" s="6">
        <f ca="1">IFERROR(__xludf.DUMMYFUNCTION("iferror(GOOGLEFINANCE(TRIM(F1848)&amp;"":"" &amp; TRIM(B1848), ""price""),0
)"),324)</f>
        <v>324</v>
      </c>
      <c r="H1848" s="6">
        <v>422.7</v>
      </c>
      <c r="I1848" s="6">
        <f t="shared" ca="1" si="0"/>
        <v>324</v>
      </c>
      <c r="J1848" s="6">
        <f ca="1">IFERROR(__xludf.DUMMYFUNCTION("IFERROR(GOOGLEFINANCE(B1848, ""volume""), 0)"),195689)</f>
        <v>195689</v>
      </c>
      <c r="K1848" s="6">
        <v>0.24</v>
      </c>
      <c r="L1848" s="6">
        <f ca="1">IFERROR(__xludf.DUMMYFUNCTION("IFERROR(GOOGLEFINANCE(B1848,""changepct""),K1848)"),-0.31)</f>
        <v>-0.31</v>
      </c>
      <c r="M1848" s="6">
        <f ca="1">IFERROR(__xludf.DUMMYFUNCTION("IFERROR(GOOGLEFINANCE(B1848,""change""),0)"),-1)</f>
        <v>-1</v>
      </c>
      <c r="N1848" s="6">
        <v>2</v>
      </c>
      <c r="O1848" s="7">
        <v>45536</v>
      </c>
      <c r="P1848" s="6">
        <v>1949.55</v>
      </c>
      <c r="Q1848" s="6">
        <v>9053.9500000000007</v>
      </c>
      <c r="R1848" s="7">
        <v>45536</v>
      </c>
      <c r="S1848" s="6">
        <v>6821.41</v>
      </c>
      <c r="T1848" s="6">
        <v>784.6</v>
      </c>
      <c r="U1848" s="7">
        <v>45536</v>
      </c>
      <c r="V1848" s="6">
        <v>9.17</v>
      </c>
      <c r="W1848" s="6">
        <f ca="1">IFERROR(__xludf.DUMMYFUNCTION("IFERROR(GOOGLEFINANCE(B1848,""pe""),V1848)"),18.43)</f>
        <v>18.43</v>
      </c>
      <c r="X1848" s="6">
        <v>0.43</v>
      </c>
      <c r="Y1848" s="6">
        <v>1.36</v>
      </c>
      <c r="Z1848" s="6">
        <v>2</v>
      </c>
      <c r="AA1848" s="8">
        <v>45352</v>
      </c>
      <c r="AB1848" s="4">
        <v>0.42</v>
      </c>
      <c r="AC1848" s="6">
        <v>24.9</v>
      </c>
      <c r="AD1848" s="6">
        <v>21.91</v>
      </c>
      <c r="AE1848" s="1">
        <v>0</v>
      </c>
      <c r="AF1848" s="1">
        <f ca="1">IFERROR(__xludf.DUMMYFUNCTION("IFERROR(GOOGLEFINANCE(TRIM(F1848)&amp;"":"" &amp; TRIM(B1848),""high52""),AE1848)"),444.8)</f>
        <v>444.8</v>
      </c>
      <c r="AG1848" s="1">
        <v>0</v>
      </c>
      <c r="AH1848" s="1">
        <f ca="1">IFERROR(__xludf.DUMMYFUNCTION("IFERROR(GOOGLEFINANCE(TRIM(F1848)&amp;"":"" &amp; TRIM(B1848),""low52""),AE1848)"),275.75)</f>
        <v>275.75</v>
      </c>
      <c r="AI1848" s="1">
        <f ca="1">IFERROR(__xludf.DUMMYFUNCTION("IFERROR(GOOGLEFINANCE(B1848,""eps""),0)"),17.58)</f>
        <v>17.579999999999998</v>
      </c>
      <c r="AJ1848" s="1"/>
      <c r="AK1848" s="1" t="s">
        <v>5612</v>
      </c>
      <c r="AL1848" s="9">
        <f t="shared" si="220"/>
        <v>1</v>
      </c>
    </row>
    <row r="1849" spans="1:38" ht="15" x14ac:dyDescent="0.25">
      <c r="A1849" s="1" t="s">
        <v>5613</v>
      </c>
      <c r="B1849" s="1" t="s">
        <v>5614</v>
      </c>
      <c r="C1849" s="1" t="s">
        <v>43</v>
      </c>
      <c r="D1849" s="1" t="s">
        <v>43</v>
      </c>
      <c r="E1849" s="6">
        <v>117.33</v>
      </c>
      <c r="F1849" s="1" t="s">
        <v>53</v>
      </c>
      <c r="G1849" s="6">
        <f ca="1">IFERROR(__xludf.DUMMYFUNCTION("iferror(GOOGLEFINANCE(TRIM(F1849)&amp;"":"" &amp; TRIM(B1849), ""price""),0
)"),0)</f>
        <v>0</v>
      </c>
      <c r="H1849" s="6">
        <v>109</v>
      </c>
      <c r="I1849" s="6">
        <f t="shared" ca="1" si="0"/>
        <v>109</v>
      </c>
      <c r="J1849" s="6">
        <f ca="1">IFERROR(__xludf.DUMMYFUNCTION("IFERROR(GOOGLEFINANCE(B1849, ""volume""), 0)"),0)</f>
        <v>0</v>
      </c>
      <c r="K1849" s="6">
        <v>0</v>
      </c>
      <c r="L1849" s="6">
        <f ca="1">IFERROR(__xludf.DUMMYFUNCTION("IFERROR(GOOGLEFINANCE(B1849,""changepct""),K1849)"),0)</f>
        <v>0</v>
      </c>
      <c r="M1849" s="6">
        <f ca="1">IFERROR(__xludf.DUMMYFUNCTION("IFERROR(GOOGLEFINANCE(B1849,""change""),0)"),0)</f>
        <v>0</v>
      </c>
      <c r="N1849" s="6">
        <v>2</v>
      </c>
      <c r="O1849" s="7">
        <v>45536</v>
      </c>
      <c r="P1849" s="6">
        <v>5.1100000000000003</v>
      </c>
      <c r="Q1849" s="7">
        <v>45536</v>
      </c>
      <c r="R1849" s="6">
        <v>15.85</v>
      </c>
      <c r="S1849" s="6">
        <v>0.45</v>
      </c>
      <c r="T1849" s="6">
        <v>0.39</v>
      </c>
      <c r="U1849" s="6">
        <v>2</v>
      </c>
      <c r="V1849" s="7">
        <v>45352</v>
      </c>
      <c r="W1849" s="10">
        <f ca="1">IFERROR(__xludf.DUMMYFUNCTION("IFERROR(GOOGLEFINANCE(B1849,""pe""),V1849)"),45352)</f>
        <v>45352</v>
      </c>
      <c r="X1849" s="6">
        <v>0</v>
      </c>
      <c r="Y1849" s="6">
        <v>2.17</v>
      </c>
      <c r="Z1849" s="6">
        <v>3.4</v>
      </c>
      <c r="AA1849" s="3" t="s">
        <v>5615</v>
      </c>
      <c r="AB1849" s="11"/>
      <c r="AC1849" s="9"/>
      <c r="AD1849" s="9"/>
      <c r="AE1849" s="1">
        <v>0</v>
      </c>
      <c r="AF1849" s="1">
        <f ca="1">IFERROR(__xludf.DUMMYFUNCTION("IFERROR(GOOGLEFINANCE(TRIM(F1849)&amp;"":"" &amp; TRIM(B1849),""high52""),AE1849)"),0)</f>
        <v>0</v>
      </c>
      <c r="AG1849" s="1">
        <v>0</v>
      </c>
      <c r="AH1849" s="1">
        <f ca="1">IFERROR(__xludf.DUMMYFUNCTION("IFERROR(GOOGLEFINANCE(TRIM(F1849)&amp;"":"" &amp; TRIM(B1849),""low52""),AE1849)"),0)</f>
        <v>0</v>
      </c>
      <c r="AI1849" s="1">
        <f ca="1">IFERROR(__xludf.DUMMYFUNCTION("IFERROR(GOOGLEFINANCE(B1849,""eps""),0)"),0)</f>
        <v>0</v>
      </c>
      <c r="AJ1849" s="1"/>
      <c r="AK1849" s="1" t="s">
        <v>5616</v>
      </c>
      <c r="AL1849" s="9">
        <f t="shared" si="220"/>
        <v>1</v>
      </c>
    </row>
    <row r="1850" spans="1:38" ht="15" x14ac:dyDescent="0.25">
      <c r="A1850" s="1" t="s">
        <v>5617</v>
      </c>
      <c r="B1850" s="1" t="s">
        <v>5618</v>
      </c>
      <c r="C1850" s="1" t="s">
        <v>43</v>
      </c>
      <c r="D1850" s="1" t="s">
        <v>43</v>
      </c>
      <c r="E1850" s="6">
        <v>40.99</v>
      </c>
      <c r="F1850" s="1" t="s">
        <v>53</v>
      </c>
      <c r="G1850" s="6">
        <f ca="1">IFERROR(__xludf.DUMMYFUNCTION("iferror(GOOGLEFINANCE(TRIM(F1850)&amp;"":"" &amp; TRIM(B1850), ""price""),0
)"),0)</f>
        <v>0</v>
      </c>
      <c r="H1850" s="6">
        <v>72.95</v>
      </c>
      <c r="I1850" s="6">
        <f t="shared" ca="1" si="0"/>
        <v>72.95</v>
      </c>
      <c r="J1850" s="6">
        <f ca="1">IFERROR(__xludf.DUMMYFUNCTION("IFERROR(GOOGLEFINANCE(B1850, ""volume""), 0)"),0)</f>
        <v>0</v>
      </c>
      <c r="K1850" s="6">
        <v>4.96</v>
      </c>
      <c r="L1850" s="6">
        <f ca="1">IFERROR(__xludf.DUMMYFUNCTION("IFERROR(GOOGLEFINANCE(B1850,""changepct""),K1850)"),4.96)</f>
        <v>4.96</v>
      </c>
      <c r="M1850" s="6">
        <f ca="1">IFERROR(__xludf.DUMMYFUNCTION("IFERROR(GOOGLEFINANCE(B1850,""change""),0)"),0)</f>
        <v>0</v>
      </c>
      <c r="N1850" s="6">
        <v>1</v>
      </c>
      <c r="O1850" s="7">
        <v>45536</v>
      </c>
      <c r="P1850" s="6">
        <v>2.2799999999999998</v>
      </c>
      <c r="Q1850" s="7">
        <v>45536</v>
      </c>
      <c r="R1850" s="6">
        <v>17.96</v>
      </c>
      <c r="S1850" s="6">
        <v>2.06</v>
      </c>
      <c r="T1850" s="6">
        <v>0.95</v>
      </c>
      <c r="U1850" s="6">
        <v>1</v>
      </c>
      <c r="V1850" s="7">
        <v>45352</v>
      </c>
      <c r="W1850" s="10">
        <f ca="1">IFERROR(__xludf.DUMMYFUNCTION("IFERROR(GOOGLEFINANCE(B1850,""pe""),V1850)"),45352)</f>
        <v>45352</v>
      </c>
      <c r="X1850" s="6">
        <v>0.28000000000000003</v>
      </c>
      <c r="Y1850" s="6">
        <v>30.32</v>
      </c>
      <c r="Z1850" s="6">
        <v>23.46</v>
      </c>
      <c r="AA1850" s="3" t="s">
        <v>5619</v>
      </c>
      <c r="AB1850" s="11"/>
      <c r="AC1850" s="9"/>
      <c r="AD1850" s="9"/>
      <c r="AE1850" s="1">
        <v>0</v>
      </c>
      <c r="AF1850" s="1">
        <f ca="1">IFERROR(__xludf.DUMMYFUNCTION("IFERROR(GOOGLEFINANCE(TRIM(F1850)&amp;"":"" &amp; TRIM(B1850),""high52""),AE1850)"),0)</f>
        <v>0</v>
      </c>
      <c r="AG1850" s="1">
        <v>0</v>
      </c>
      <c r="AH1850" s="1">
        <f ca="1">IFERROR(__xludf.DUMMYFUNCTION("IFERROR(GOOGLEFINANCE(TRIM(F1850)&amp;"":"" &amp; TRIM(B1850),""low52""),AE1850)"),0)</f>
        <v>0</v>
      </c>
      <c r="AI1850" s="1">
        <f ca="1">IFERROR(__xludf.DUMMYFUNCTION("IFERROR(GOOGLEFINANCE(B1850,""eps""),0)"),0)</f>
        <v>0</v>
      </c>
      <c r="AJ1850" s="1"/>
      <c r="AK1850" s="1" t="s">
        <v>5620</v>
      </c>
      <c r="AL1850" s="9">
        <f t="shared" si="220"/>
        <v>1</v>
      </c>
    </row>
    <row r="1851" spans="1:38" ht="15" x14ac:dyDescent="0.25">
      <c r="A1851" s="1" t="s">
        <v>5621</v>
      </c>
      <c r="B1851" s="1" t="s">
        <v>5622</v>
      </c>
      <c r="C1851" s="1" t="s">
        <v>828</v>
      </c>
      <c r="D1851" s="1" t="s">
        <v>828</v>
      </c>
      <c r="E1851" s="6">
        <v>10662.12</v>
      </c>
      <c r="F1851" s="1" t="s">
        <v>40</v>
      </c>
      <c r="G1851" s="6">
        <f ca="1">IFERROR(__xludf.DUMMYFUNCTION("iferror(GOOGLEFINANCE(TRIM(F1851)&amp;"":"" &amp; TRIM(B1851), ""price""),0
)"),526.7)</f>
        <v>526.70000000000005</v>
      </c>
      <c r="H1851" s="6">
        <v>392.5</v>
      </c>
      <c r="I1851" s="6">
        <f t="shared" ca="1" si="0"/>
        <v>526.70000000000005</v>
      </c>
      <c r="J1851" s="6">
        <f ca="1">IFERROR(__xludf.DUMMYFUNCTION("IFERROR(GOOGLEFINANCE(B1851, ""volume""), 0)"),1402618)</f>
        <v>1402618</v>
      </c>
      <c r="K1851" s="6">
        <v>0.89</v>
      </c>
      <c r="L1851" s="6">
        <f ca="1">IFERROR(__xludf.DUMMYFUNCTION("IFERROR(GOOGLEFINANCE(B1851,""changepct""),K1851)"),5.49)</f>
        <v>5.49</v>
      </c>
      <c r="M1851" s="6">
        <f ca="1">IFERROR(__xludf.DUMMYFUNCTION("IFERROR(GOOGLEFINANCE(B1851,""change""),0)"),27.4)</f>
        <v>27.4</v>
      </c>
      <c r="N1851" s="6">
        <v>2</v>
      </c>
      <c r="O1851" s="7">
        <v>45536</v>
      </c>
      <c r="P1851" s="6">
        <v>5112.8599999999997</v>
      </c>
      <c r="Q1851" s="6">
        <v>15002.1</v>
      </c>
      <c r="R1851" s="7">
        <v>45536</v>
      </c>
      <c r="S1851" s="6">
        <v>14646.81</v>
      </c>
      <c r="T1851" s="6">
        <v>757.88</v>
      </c>
      <c r="U1851" s="7">
        <v>45536</v>
      </c>
      <c r="V1851" s="6">
        <v>14.47</v>
      </c>
      <c r="W1851" s="6">
        <f ca="1">IFERROR(__xludf.DUMMYFUNCTION("IFERROR(GOOGLEFINANCE(B1851,""pe""),V1851)"),26.96)</f>
        <v>26.96</v>
      </c>
      <c r="X1851" s="6">
        <v>0.52</v>
      </c>
      <c r="Y1851" s="6">
        <v>2.27</v>
      </c>
      <c r="Z1851" s="6">
        <v>2</v>
      </c>
      <c r="AA1851" s="8">
        <v>45352</v>
      </c>
      <c r="AB1851" s="4">
        <v>1</v>
      </c>
      <c r="AC1851" s="6">
        <v>20.61</v>
      </c>
      <c r="AD1851" s="6">
        <v>19.36</v>
      </c>
      <c r="AE1851" s="1">
        <v>0</v>
      </c>
      <c r="AF1851" s="1">
        <f ca="1">IFERROR(__xludf.DUMMYFUNCTION("IFERROR(GOOGLEFINANCE(TRIM(F1851)&amp;"":"" &amp; TRIM(B1851),""high52""),AE1851)"),528.95)</f>
        <v>528.95000000000005</v>
      </c>
      <c r="AG1851" s="1">
        <v>0</v>
      </c>
      <c r="AH1851" s="1">
        <f ca="1">IFERROR(__xludf.DUMMYFUNCTION("IFERROR(GOOGLEFINANCE(TRIM(F1851)&amp;"":"" &amp; TRIM(B1851),""low52""),AE1851)"),243)</f>
        <v>243</v>
      </c>
      <c r="AI1851" s="1">
        <f ca="1">IFERROR(__xludf.DUMMYFUNCTION("IFERROR(GOOGLEFINANCE(B1851,""eps""),0)"),19.53)</f>
        <v>19.53</v>
      </c>
      <c r="AJ1851" s="1"/>
      <c r="AK1851" s="1" t="s">
        <v>5623</v>
      </c>
      <c r="AL1851" s="9">
        <f t="shared" si="220"/>
        <v>1</v>
      </c>
    </row>
    <row r="1852" spans="1:38" ht="15" x14ac:dyDescent="0.25">
      <c r="A1852" s="1" t="s">
        <v>5624</v>
      </c>
      <c r="B1852" s="1" t="s">
        <v>5625</v>
      </c>
      <c r="C1852" s="1" t="s">
        <v>43</v>
      </c>
      <c r="D1852" s="1" t="s">
        <v>43</v>
      </c>
      <c r="E1852" s="6">
        <v>1506.71</v>
      </c>
      <c r="F1852" s="1" t="s">
        <v>53</v>
      </c>
      <c r="G1852" s="6">
        <f ca="1">IFERROR(__xludf.DUMMYFUNCTION("iferror(GOOGLEFINANCE(TRIM(F1852)&amp;"":"" &amp; TRIM(B1852), ""price""),0
)"),0)</f>
        <v>0</v>
      </c>
      <c r="H1852" s="6">
        <v>74.94</v>
      </c>
      <c r="I1852" s="6">
        <f t="shared" ca="1" si="0"/>
        <v>74.94</v>
      </c>
      <c r="J1852" s="6">
        <f ca="1">IFERROR(__xludf.DUMMYFUNCTION("IFERROR(GOOGLEFINANCE(B1852, ""volume""), 0)"),0)</f>
        <v>0</v>
      </c>
      <c r="K1852" s="6">
        <v>0.08</v>
      </c>
      <c r="L1852" s="6">
        <f ca="1">IFERROR(__xludf.DUMMYFUNCTION("IFERROR(GOOGLEFINANCE(B1852,""changepct""),K1852)"),0.08)</f>
        <v>0.08</v>
      </c>
      <c r="M1852" s="6">
        <f ca="1">IFERROR(__xludf.DUMMYFUNCTION("IFERROR(GOOGLEFINANCE(B1852,""change""),0)"),0)</f>
        <v>0</v>
      </c>
      <c r="N1852" s="6">
        <v>2</v>
      </c>
      <c r="O1852" s="7">
        <v>45536</v>
      </c>
      <c r="P1852" s="6">
        <v>81.150000000000006</v>
      </c>
      <c r="Q1852" s="7">
        <v>45536</v>
      </c>
      <c r="R1852" s="6">
        <v>18.57</v>
      </c>
      <c r="S1852" s="6">
        <v>0.15</v>
      </c>
      <c r="T1852" s="6">
        <v>2.44</v>
      </c>
      <c r="U1852" s="6">
        <v>2</v>
      </c>
      <c r="V1852" s="7">
        <v>45352</v>
      </c>
      <c r="W1852" s="10">
        <f ca="1">IFERROR(__xludf.DUMMYFUNCTION("IFERROR(GOOGLEFINANCE(B1852,""pe""),V1852)"),45352)</f>
        <v>45352</v>
      </c>
      <c r="X1852" s="6">
        <v>0.14000000000000001</v>
      </c>
      <c r="Y1852" s="6">
        <v>29.12</v>
      </c>
      <c r="Z1852" s="6">
        <v>26.82</v>
      </c>
      <c r="AA1852" s="3" t="s">
        <v>5626</v>
      </c>
      <c r="AB1852" s="11"/>
      <c r="AC1852" s="9"/>
      <c r="AD1852" s="9"/>
      <c r="AE1852" s="1">
        <v>0</v>
      </c>
      <c r="AF1852" s="1">
        <f ca="1">IFERROR(__xludf.DUMMYFUNCTION("IFERROR(GOOGLEFINANCE(TRIM(F1852)&amp;"":"" &amp; TRIM(B1852),""high52""),AE1852)"),0)</f>
        <v>0</v>
      </c>
      <c r="AG1852" s="1">
        <v>0</v>
      </c>
      <c r="AH1852" s="1">
        <f ca="1">IFERROR(__xludf.DUMMYFUNCTION("IFERROR(GOOGLEFINANCE(TRIM(F1852)&amp;"":"" &amp; TRIM(B1852),""low52""),AE1852)"),0)</f>
        <v>0</v>
      </c>
      <c r="AI1852" s="1">
        <f ca="1">IFERROR(__xludf.DUMMYFUNCTION("IFERROR(GOOGLEFINANCE(B1852,""eps""),0)"),0)</f>
        <v>0</v>
      </c>
      <c r="AJ1852" s="1"/>
      <c r="AK1852" s="1" t="s">
        <v>5627</v>
      </c>
      <c r="AL1852" s="9">
        <f t="shared" si="220"/>
        <v>1</v>
      </c>
    </row>
    <row r="1853" spans="1:38" ht="15" x14ac:dyDescent="0.25">
      <c r="A1853" s="1" t="s">
        <v>5628</v>
      </c>
      <c r="B1853" s="1" t="s">
        <v>5629</v>
      </c>
      <c r="C1853" s="1" t="s">
        <v>43</v>
      </c>
      <c r="D1853" s="1" t="s">
        <v>43</v>
      </c>
      <c r="E1853" s="6">
        <v>12716.46</v>
      </c>
      <c r="F1853" s="1" t="s">
        <v>40</v>
      </c>
      <c r="G1853" s="6">
        <f ca="1">IFERROR(__xludf.DUMMYFUNCTION("iferror(GOOGLEFINANCE(TRIM(F1853)&amp;"":"" &amp; TRIM(B1853), ""price""),0
)"),122.84)</f>
        <v>122.84</v>
      </c>
      <c r="H1853" s="6">
        <v>133.5</v>
      </c>
      <c r="I1853" s="6">
        <f t="shared" ca="1" si="0"/>
        <v>122.84</v>
      </c>
      <c r="J1853" s="6">
        <f ca="1">IFERROR(__xludf.DUMMYFUNCTION("IFERROR(GOOGLEFINANCE(B1853, ""volume""), 0)"),3237029)</f>
        <v>3237029</v>
      </c>
      <c r="K1853" s="6">
        <v>0.41</v>
      </c>
      <c r="L1853" s="6">
        <f ca="1">IFERROR(__xludf.DUMMYFUNCTION("IFERROR(GOOGLEFINANCE(B1853,""changepct""),K1853)"),0.99)</f>
        <v>0.99</v>
      </c>
      <c r="M1853" s="6">
        <f ca="1">IFERROR(__xludf.DUMMYFUNCTION("IFERROR(GOOGLEFINANCE(B1853,""change""),0)"),1.21)</f>
        <v>1.21</v>
      </c>
      <c r="N1853" s="6">
        <v>2</v>
      </c>
      <c r="O1853" s="7">
        <v>45536</v>
      </c>
      <c r="P1853" s="6">
        <v>-23.75</v>
      </c>
      <c r="Q1853" s="7">
        <v>45536</v>
      </c>
      <c r="R1853" s="6">
        <v>28.14</v>
      </c>
      <c r="S1853" s="6">
        <v>-7.77</v>
      </c>
      <c r="T1853" s="6">
        <v>1.46</v>
      </c>
      <c r="U1853" s="6">
        <v>2</v>
      </c>
      <c r="V1853" s="7">
        <v>45352</v>
      </c>
      <c r="W1853" s="6">
        <f ca="1">IFERROR(__xludf.DUMMYFUNCTION("IFERROR(GOOGLEFINANCE(B1853,""pe""),V1853)"),10.3)</f>
        <v>10.3</v>
      </c>
      <c r="X1853" s="6">
        <v>1.91</v>
      </c>
      <c r="Y1853" s="6">
        <v>0.33</v>
      </c>
      <c r="Z1853" s="6">
        <v>7.87</v>
      </c>
      <c r="AA1853" s="3" t="s">
        <v>5630</v>
      </c>
      <c r="AB1853" s="3"/>
      <c r="AC1853" s="9"/>
      <c r="AD1853" s="9"/>
      <c r="AE1853" s="1">
        <v>0</v>
      </c>
      <c r="AF1853" s="1">
        <f ca="1">IFERROR(__xludf.DUMMYFUNCTION("IFERROR(GOOGLEFINANCE(TRIM(F1853)&amp;"":"" &amp; TRIM(B1853),""high52""),AE1853)"),199.8)</f>
        <v>199.8</v>
      </c>
      <c r="AG1853" s="1">
        <v>0</v>
      </c>
      <c r="AH1853" s="1">
        <f ca="1">IFERROR(__xludf.DUMMYFUNCTION("IFERROR(GOOGLEFINANCE(TRIM(F1853)&amp;"":"" &amp; TRIM(B1853),""low52""),AE1853)"),80.2)</f>
        <v>80.2</v>
      </c>
      <c r="AI1853" s="1">
        <f ca="1">IFERROR(__xludf.DUMMYFUNCTION("IFERROR(GOOGLEFINANCE(B1853,""eps""),0)"),11.93)</f>
        <v>11.93</v>
      </c>
      <c r="AJ1853" s="1"/>
      <c r="AK1853" s="1" t="s">
        <v>5631</v>
      </c>
      <c r="AL1853" s="9">
        <f t="shared" si="220"/>
        <v>1</v>
      </c>
    </row>
    <row r="1854" spans="1:38" ht="15" x14ac:dyDescent="0.25">
      <c r="A1854" s="1" t="s">
        <v>5632</v>
      </c>
      <c r="B1854" s="1" t="s">
        <v>5633</v>
      </c>
      <c r="C1854" s="1" t="s">
        <v>43</v>
      </c>
      <c r="D1854" s="1" t="s">
        <v>43</v>
      </c>
      <c r="E1854" s="6">
        <v>47.86</v>
      </c>
      <c r="F1854" s="1" t="s">
        <v>53</v>
      </c>
      <c r="G1854" s="6">
        <f ca="1">IFERROR(__xludf.DUMMYFUNCTION("iferror(GOOGLEFINANCE(TRIM(F1854)&amp;"":"" &amp; TRIM(B1854), ""price""),0
)"),0)</f>
        <v>0</v>
      </c>
      <c r="H1854" s="6">
        <v>1.1000000000000001</v>
      </c>
      <c r="I1854" s="6">
        <f t="shared" ca="1" si="0"/>
        <v>1.1000000000000001</v>
      </c>
      <c r="J1854" s="6">
        <f ca="1">IFERROR(__xludf.DUMMYFUNCTION("IFERROR(GOOGLEFINANCE(B1854, ""volume""), 0)"),0)</f>
        <v>0</v>
      </c>
      <c r="K1854" s="6">
        <v>0.92</v>
      </c>
      <c r="L1854" s="6">
        <f ca="1">IFERROR(__xludf.DUMMYFUNCTION("IFERROR(GOOGLEFINANCE(B1854,""changepct""),K1854)"),0.92)</f>
        <v>0.92</v>
      </c>
      <c r="M1854" s="6">
        <f ca="1">IFERROR(__xludf.DUMMYFUNCTION("IFERROR(GOOGLEFINANCE(B1854,""change""),0)"),0)</f>
        <v>0</v>
      </c>
      <c r="N1854" s="6">
        <v>2</v>
      </c>
      <c r="O1854" s="7">
        <v>45536</v>
      </c>
      <c r="P1854" s="6">
        <v>2.4900000000000002</v>
      </c>
      <c r="Q1854" s="7">
        <v>45536</v>
      </c>
      <c r="R1854" s="6">
        <v>19.260000000000002</v>
      </c>
      <c r="S1854" s="9"/>
      <c r="T1854" s="6">
        <v>0.48</v>
      </c>
      <c r="U1854" s="6">
        <v>2</v>
      </c>
      <c r="V1854" s="7">
        <v>45352</v>
      </c>
      <c r="W1854" s="10">
        <f ca="1">IFERROR(__xludf.DUMMYFUNCTION("IFERROR(GOOGLEFINANCE(B1854,""pe""),V1854)"),45352)</f>
        <v>45352</v>
      </c>
      <c r="X1854" s="6">
        <v>0.01</v>
      </c>
      <c r="Y1854" s="6">
        <v>-15.72</v>
      </c>
      <c r="Z1854" s="6">
        <v>-14.49</v>
      </c>
      <c r="AA1854" s="3" t="s">
        <v>5634</v>
      </c>
      <c r="AB1854" s="11"/>
      <c r="AC1854" s="9"/>
      <c r="AD1854" s="9"/>
      <c r="AE1854" s="1">
        <v>0</v>
      </c>
      <c r="AF1854" s="1">
        <f ca="1">IFERROR(__xludf.DUMMYFUNCTION("IFERROR(GOOGLEFINANCE(TRIM(F1854)&amp;"":"" &amp; TRIM(B1854),""high52""),AE1854)"),0)</f>
        <v>0</v>
      </c>
      <c r="AG1854" s="1">
        <v>0</v>
      </c>
      <c r="AH1854" s="1">
        <f ca="1">IFERROR(__xludf.DUMMYFUNCTION("IFERROR(GOOGLEFINANCE(TRIM(F1854)&amp;"":"" &amp; TRIM(B1854),""low52""),AE1854)"),0)</f>
        <v>0</v>
      </c>
      <c r="AI1854" s="1">
        <f ca="1">IFERROR(__xludf.DUMMYFUNCTION("IFERROR(GOOGLEFINANCE(B1854,""eps""),0)"),0)</f>
        <v>0</v>
      </c>
      <c r="AJ1854" s="1"/>
      <c r="AK1854" s="6">
        <v>19.7</v>
      </c>
      <c r="AL1854" s="9">
        <f t="shared" si="220"/>
        <v>1</v>
      </c>
    </row>
    <row r="1855" spans="1:38" ht="15" x14ac:dyDescent="0.25">
      <c r="A1855" s="1" t="s">
        <v>5635</v>
      </c>
      <c r="B1855" s="1" t="s">
        <v>5636</v>
      </c>
      <c r="C1855" s="1" t="s">
        <v>416</v>
      </c>
      <c r="D1855" s="1" t="s">
        <v>416</v>
      </c>
      <c r="E1855" s="6">
        <v>3607.77</v>
      </c>
      <c r="F1855" s="1" t="s">
        <v>40</v>
      </c>
      <c r="G1855" s="6">
        <f ca="1">IFERROR(__xludf.DUMMYFUNCTION("iferror(GOOGLEFINANCE(TRIM(F1855)&amp;"":"" &amp; TRIM(B1855), ""price""),0
)"),222)</f>
        <v>222</v>
      </c>
      <c r="H1855" s="6">
        <v>654.85</v>
      </c>
      <c r="I1855" s="6">
        <f t="shared" ca="1" si="0"/>
        <v>222</v>
      </c>
      <c r="J1855" s="6">
        <f ca="1">IFERROR(__xludf.DUMMYFUNCTION("IFERROR(GOOGLEFINANCE(B1855, ""volume""), 0)"),96085)</f>
        <v>96085</v>
      </c>
      <c r="K1855" s="6">
        <v>1.37</v>
      </c>
      <c r="L1855" s="6">
        <f ca="1">IFERROR(__xludf.DUMMYFUNCTION("IFERROR(GOOGLEFINANCE(B1855,""changepct""),K1855)"),2.25)</f>
        <v>2.25</v>
      </c>
      <c r="M1855" s="6">
        <f ca="1">IFERROR(__xludf.DUMMYFUNCTION("IFERROR(GOOGLEFINANCE(B1855,""change""),0)"),4.88)</f>
        <v>4.88</v>
      </c>
      <c r="N1855" s="6">
        <v>2</v>
      </c>
      <c r="O1855" s="7">
        <v>45536</v>
      </c>
      <c r="P1855" s="6">
        <v>22.09</v>
      </c>
      <c r="Q1855" s="6">
        <v>3412.88</v>
      </c>
      <c r="R1855" s="7">
        <v>45352</v>
      </c>
      <c r="S1855" s="6">
        <v>480.24</v>
      </c>
      <c r="T1855" s="6">
        <v>62.65</v>
      </c>
      <c r="U1855" s="7">
        <v>45352</v>
      </c>
      <c r="V1855" s="6">
        <v>57.59</v>
      </c>
      <c r="W1855" s="6">
        <f ca="1">IFERROR(__xludf.DUMMYFUNCTION("IFERROR(GOOGLEFINANCE(B1855,""pe""),V1855)"),40.29)</f>
        <v>40.29</v>
      </c>
      <c r="X1855" s="12"/>
      <c r="Y1855" s="6">
        <v>7.23</v>
      </c>
      <c r="Z1855" s="6">
        <v>2</v>
      </c>
      <c r="AA1855" s="8">
        <v>45352</v>
      </c>
      <c r="AB1855" s="4">
        <v>0.3</v>
      </c>
      <c r="AC1855" s="6">
        <v>41.68</v>
      </c>
      <c r="AD1855" s="6">
        <v>48.67</v>
      </c>
      <c r="AE1855" s="1">
        <v>0</v>
      </c>
      <c r="AF1855" s="1">
        <f ca="1">IFERROR(__xludf.DUMMYFUNCTION("IFERROR(GOOGLEFINANCE(TRIM(F1855)&amp;"":"" &amp; TRIM(B1855),""high52""),AE1855)"),540.95)</f>
        <v>540.95000000000005</v>
      </c>
      <c r="AG1855" s="1">
        <v>0</v>
      </c>
      <c r="AH1855" s="1">
        <f ca="1">IFERROR(__xludf.DUMMYFUNCTION("IFERROR(GOOGLEFINANCE(TRIM(F1855)&amp;"":"" &amp; TRIM(B1855),""low52""),AE1855)"),200.92)</f>
        <v>200.92</v>
      </c>
      <c r="AI1855" s="1">
        <f ca="1">IFERROR(__xludf.DUMMYFUNCTION("IFERROR(GOOGLEFINANCE(B1855,""eps""),0)"),5.51)</f>
        <v>5.51</v>
      </c>
      <c r="AJ1855" s="1"/>
      <c r="AK1855" s="9"/>
      <c r="AL1855" s="9">
        <f t="shared" si="220"/>
        <v>1</v>
      </c>
    </row>
    <row r="1856" spans="1:38" ht="15" x14ac:dyDescent="0.25">
      <c r="A1856" s="1" t="s">
        <v>5637</v>
      </c>
      <c r="B1856" s="1" t="s">
        <v>5638</v>
      </c>
      <c r="C1856" s="1" t="s">
        <v>43</v>
      </c>
      <c r="D1856" s="1" t="s">
        <v>43</v>
      </c>
      <c r="E1856" s="6">
        <v>6.04</v>
      </c>
      <c r="F1856" s="1" t="s">
        <v>53</v>
      </c>
      <c r="G1856" s="6">
        <f ca="1">IFERROR(__xludf.DUMMYFUNCTION("iferror(GOOGLEFINANCE(TRIM(F1856)&amp;"":"" &amp; TRIM(B1856), ""price""),0
)"),0)</f>
        <v>0</v>
      </c>
      <c r="H1856" s="6">
        <v>11.51</v>
      </c>
      <c r="I1856" s="6">
        <f t="shared" ca="1" si="0"/>
        <v>11.51</v>
      </c>
      <c r="J1856" s="6">
        <f ca="1">IFERROR(__xludf.DUMMYFUNCTION("IFERROR(GOOGLEFINANCE(B1856, ""volume""), 0)"),0)</f>
        <v>0</v>
      </c>
      <c r="K1856" s="6">
        <v>-4.88</v>
      </c>
      <c r="L1856" s="6">
        <f ca="1">IFERROR(__xludf.DUMMYFUNCTION("IFERROR(GOOGLEFINANCE(B1856,""changepct""),K1856)"),-4.88)</f>
        <v>-4.88</v>
      </c>
      <c r="M1856" s="6">
        <f ca="1">IFERROR(__xludf.DUMMYFUNCTION("IFERROR(GOOGLEFINANCE(B1856,""change""),0)"),0)</f>
        <v>0</v>
      </c>
      <c r="N1856" s="6">
        <v>1</v>
      </c>
      <c r="O1856" s="7">
        <v>45536</v>
      </c>
      <c r="P1856" s="6">
        <v>0.3</v>
      </c>
      <c r="Q1856" s="7">
        <v>45536</v>
      </c>
      <c r="R1856" s="6">
        <v>19.88</v>
      </c>
      <c r="S1856" s="9"/>
      <c r="T1856" s="6">
        <v>0.67</v>
      </c>
      <c r="U1856" s="6">
        <v>1</v>
      </c>
      <c r="V1856" s="7">
        <v>45352</v>
      </c>
      <c r="W1856" s="10">
        <f ca="1">IFERROR(__xludf.DUMMYFUNCTION("IFERROR(GOOGLEFINANCE(B1856,""pe""),V1856)"),45352)</f>
        <v>45352</v>
      </c>
      <c r="X1856" s="6">
        <v>0</v>
      </c>
      <c r="Y1856" s="6">
        <v>-3.64</v>
      </c>
      <c r="Z1856" s="6">
        <v>-3.42</v>
      </c>
      <c r="AA1856" s="3" t="s">
        <v>5639</v>
      </c>
      <c r="AB1856" s="11"/>
      <c r="AC1856" s="9"/>
      <c r="AD1856" s="9"/>
      <c r="AE1856" s="1">
        <v>0</v>
      </c>
      <c r="AF1856" s="1">
        <f ca="1">IFERROR(__xludf.DUMMYFUNCTION("IFERROR(GOOGLEFINANCE(TRIM(F1856)&amp;"":"" &amp; TRIM(B1856),""high52""),AE1856)"),0)</f>
        <v>0</v>
      </c>
      <c r="AG1856" s="1">
        <v>0</v>
      </c>
      <c r="AH1856" s="1">
        <f ca="1">IFERROR(__xludf.DUMMYFUNCTION("IFERROR(GOOGLEFINANCE(TRIM(F1856)&amp;"":"" &amp; TRIM(B1856),""low52""),AE1856)"),0)</f>
        <v>0</v>
      </c>
      <c r="AI1856" s="1">
        <f ca="1">IFERROR(__xludf.DUMMYFUNCTION("IFERROR(GOOGLEFINANCE(B1856,""eps""),0)"),0)</f>
        <v>0</v>
      </c>
      <c r="AJ1856" s="1"/>
      <c r="AK1856" s="1" t="s">
        <v>5640</v>
      </c>
      <c r="AL1856" s="9">
        <f t="shared" si="220"/>
        <v>1</v>
      </c>
    </row>
    <row r="1857" spans="1:38" ht="15" x14ac:dyDescent="0.25">
      <c r="A1857" s="1" t="s">
        <v>5641</v>
      </c>
      <c r="B1857" s="1" t="s">
        <v>5642</v>
      </c>
      <c r="C1857" s="1" t="s">
        <v>43</v>
      </c>
      <c r="D1857" s="1" t="s">
        <v>43</v>
      </c>
      <c r="E1857" s="6">
        <v>16.41</v>
      </c>
      <c r="F1857" s="1" t="s">
        <v>53</v>
      </c>
      <c r="G1857" s="6">
        <f ca="1">IFERROR(__xludf.DUMMYFUNCTION("iferror(GOOGLEFINANCE(TRIM(F1857)&amp;"":"" &amp; TRIM(B1857), ""price""),0
)"),0)</f>
        <v>0</v>
      </c>
      <c r="H1857" s="6">
        <v>33.68</v>
      </c>
      <c r="I1857" s="6">
        <f t="shared" ca="1" si="0"/>
        <v>33.68</v>
      </c>
      <c r="J1857" s="6">
        <f ca="1">IFERROR(__xludf.DUMMYFUNCTION("IFERROR(GOOGLEFINANCE(B1857, ""volume""), 0)"),12582)</f>
        <v>12582</v>
      </c>
      <c r="K1857" s="6">
        <v>2.62</v>
      </c>
      <c r="L1857" s="6">
        <f ca="1">IFERROR(__xludf.DUMMYFUNCTION("IFERROR(GOOGLEFINANCE(B1857,""changepct""),K1857)"),-0.11)</f>
        <v>-0.11</v>
      </c>
      <c r="M1857" s="6">
        <f ca="1">IFERROR(__xludf.DUMMYFUNCTION("IFERROR(GOOGLEFINANCE(B1857,""change""),0)"),-0.05)</f>
        <v>-0.05</v>
      </c>
      <c r="N1857" s="6">
        <v>1</v>
      </c>
      <c r="O1857" s="7">
        <v>45536</v>
      </c>
      <c r="P1857" s="6">
        <v>0.82</v>
      </c>
      <c r="Q1857" s="7">
        <v>45536</v>
      </c>
      <c r="R1857" s="6">
        <v>20.09</v>
      </c>
      <c r="S1857" s="6">
        <v>0.41</v>
      </c>
      <c r="T1857" s="6">
        <v>0.4</v>
      </c>
      <c r="U1857" s="6">
        <v>1</v>
      </c>
      <c r="V1857" s="7">
        <v>45352</v>
      </c>
      <c r="W1857" s="10">
        <f ca="1">IFERROR(__xludf.DUMMYFUNCTION("IFERROR(GOOGLEFINANCE(B1857,""pe""),V1857)"),45352)</f>
        <v>45352</v>
      </c>
      <c r="X1857" s="6">
        <v>0</v>
      </c>
      <c r="Y1857" s="6">
        <v>3.4</v>
      </c>
      <c r="Z1857" s="6">
        <v>4.8099999999999996</v>
      </c>
      <c r="AA1857" s="3" t="s">
        <v>5643</v>
      </c>
      <c r="AB1857" s="11"/>
      <c r="AC1857" s="9"/>
      <c r="AD1857" s="9"/>
      <c r="AE1857" s="1">
        <v>0</v>
      </c>
      <c r="AF1857" s="1">
        <f ca="1">IFERROR(__xludf.DUMMYFUNCTION("IFERROR(GOOGLEFINANCE(TRIM(F1857)&amp;"":"" &amp; TRIM(B1857),""high52""),AE1857)"),0)</f>
        <v>0</v>
      </c>
      <c r="AG1857" s="1">
        <v>0</v>
      </c>
      <c r="AH1857" s="1">
        <f ca="1">IFERROR(__xludf.DUMMYFUNCTION("IFERROR(GOOGLEFINANCE(TRIM(F1857)&amp;"":"" &amp; TRIM(B1857),""low52""),AE1857)"),0)</f>
        <v>0</v>
      </c>
      <c r="AI1857" s="1">
        <f ca="1">IFERROR(__xludf.DUMMYFUNCTION("IFERROR(GOOGLEFINANCE(B1857,""eps""),0)"),-7.55)</f>
        <v>-7.55</v>
      </c>
      <c r="AJ1857" s="1"/>
      <c r="AK1857" s="1" t="s">
        <v>5644</v>
      </c>
      <c r="AL1857" s="9">
        <f t="shared" si="220"/>
        <v>1</v>
      </c>
    </row>
    <row r="1858" spans="1:38" ht="15" x14ac:dyDescent="0.25">
      <c r="A1858" s="1" t="s">
        <v>5645</v>
      </c>
      <c r="B1858" s="1" t="s">
        <v>5646</v>
      </c>
      <c r="C1858" s="1" t="s">
        <v>43</v>
      </c>
      <c r="D1858" s="1" t="s">
        <v>43</v>
      </c>
      <c r="E1858" s="6">
        <v>64.06</v>
      </c>
      <c r="F1858" s="1" t="s">
        <v>53</v>
      </c>
      <c r="G1858" s="6">
        <f ca="1">IFERROR(__xludf.DUMMYFUNCTION("iferror(GOOGLEFINANCE(TRIM(F1858)&amp;"":"" &amp; TRIM(B1858), ""price""),0
)"),0)</f>
        <v>0</v>
      </c>
      <c r="H1858" s="6">
        <v>42.28</v>
      </c>
      <c r="I1858" s="6">
        <f t="shared" ca="1" si="0"/>
        <v>42.28</v>
      </c>
      <c r="J1858" s="6">
        <f ca="1">IFERROR(__xludf.DUMMYFUNCTION("IFERROR(GOOGLEFINANCE(B1858, ""volume""), 0)"),0)</f>
        <v>0</v>
      </c>
      <c r="K1858" s="6">
        <v>1.98</v>
      </c>
      <c r="L1858" s="6">
        <f ca="1">IFERROR(__xludf.DUMMYFUNCTION("IFERROR(GOOGLEFINANCE(B1858,""changepct""),K1858)"),1.98)</f>
        <v>1.98</v>
      </c>
      <c r="M1858" s="6">
        <f ca="1">IFERROR(__xludf.DUMMYFUNCTION("IFERROR(GOOGLEFINANCE(B1858,""change""),0)"),0)</f>
        <v>0</v>
      </c>
      <c r="N1858" s="6">
        <v>1</v>
      </c>
      <c r="O1858" s="7">
        <v>45536</v>
      </c>
      <c r="P1858" s="6">
        <v>3.17</v>
      </c>
      <c r="Q1858" s="7">
        <v>45536</v>
      </c>
      <c r="R1858" s="6">
        <v>20.190000000000001</v>
      </c>
      <c r="S1858" s="6">
        <v>0.22</v>
      </c>
      <c r="T1858" s="6">
        <v>1.28</v>
      </c>
      <c r="U1858" s="6">
        <v>1</v>
      </c>
      <c r="V1858" s="7">
        <v>45352</v>
      </c>
      <c r="W1858" s="10">
        <f ca="1">IFERROR(__xludf.DUMMYFUNCTION("IFERROR(GOOGLEFINANCE(B1858,""pe""),V1858)"),45352)</f>
        <v>45352</v>
      </c>
      <c r="X1858" s="6">
        <v>-8.2799999999999994</v>
      </c>
      <c r="Y1858" s="6">
        <v>0</v>
      </c>
      <c r="Z1858" s="6">
        <v>215.29</v>
      </c>
      <c r="AA1858" s="3" t="s">
        <v>5647</v>
      </c>
      <c r="AB1858" s="11"/>
      <c r="AC1858" s="9"/>
      <c r="AD1858" s="9"/>
      <c r="AE1858" s="1">
        <v>0</v>
      </c>
      <c r="AF1858" s="1">
        <f ca="1">IFERROR(__xludf.DUMMYFUNCTION("IFERROR(GOOGLEFINANCE(TRIM(F1858)&amp;"":"" &amp; TRIM(B1858),""high52""),AE1858)"),0)</f>
        <v>0</v>
      </c>
      <c r="AG1858" s="1">
        <v>0</v>
      </c>
      <c r="AH1858" s="1">
        <f ca="1">IFERROR(__xludf.DUMMYFUNCTION("IFERROR(GOOGLEFINANCE(TRIM(F1858)&amp;"":"" &amp; TRIM(B1858),""low52""),AE1858)"),0)</f>
        <v>0</v>
      </c>
      <c r="AI1858" s="1">
        <f ca="1">IFERROR(__xludf.DUMMYFUNCTION("IFERROR(GOOGLEFINANCE(B1858,""eps""),0)"),0)</f>
        <v>0</v>
      </c>
      <c r="AJ1858" s="1"/>
      <c r="AK1858" s="1" t="s">
        <v>5648</v>
      </c>
      <c r="AL1858" s="9">
        <f t="shared" si="220"/>
        <v>1</v>
      </c>
    </row>
    <row r="1859" spans="1:38" ht="15" x14ac:dyDescent="0.25">
      <c r="A1859" s="1" t="s">
        <v>5649</v>
      </c>
      <c r="B1859" s="1" t="s">
        <v>5650</v>
      </c>
      <c r="C1859" s="1" t="s">
        <v>43</v>
      </c>
      <c r="D1859" s="1" t="s">
        <v>43</v>
      </c>
      <c r="E1859" s="6">
        <v>50.43</v>
      </c>
      <c r="F1859" s="1" t="s">
        <v>53</v>
      </c>
      <c r="G1859" s="6">
        <f ca="1">IFERROR(__xludf.DUMMYFUNCTION("iferror(GOOGLEFINANCE(TRIM(F1859)&amp;"":"" &amp; TRIM(B1859), ""price""),0
)"),0)</f>
        <v>0</v>
      </c>
      <c r="H1859" s="6">
        <v>88.5</v>
      </c>
      <c r="I1859" s="6">
        <f t="shared" ca="1" si="0"/>
        <v>88.5</v>
      </c>
      <c r="J1859" s="6">
        <f ca="1">IFERROR(__xludf.DUMMYFUNCTION("IFERROR(GOOGLEFINANCE(B1859, ""volume""), 0)"),0)</f>
        <v>0</v>
      </c>
      <c r="K1859" s="6">
        <v>3.13</v>
      </c>
      <c r="L1859" s="6">
        <f ca="1">IFERROR(__xludf.DUMMYFUNCTION("IFERROR(GOOGLEFINANCE(B1859,""changepct""),K1859)"),3.13)</f>
        <v>3.13</v>
      </c>
      <c r="M1859" s="6">
        <f ca="1">IFERROR(__xludf.DUMMYFUNCTION("IFERROR(GOOGLEFINANCE(B1859,""change""),0)"),0)</f>
        <v>0</v>
      </c>
      <c r="N1859" s="6">
        <v>2</v>
      </c>
      <c r="O1859" s="7">
        <v>45352</v>
      </c>
      <c r="P1859" s="6">
        <v>2.41</v>
      </c>
      <c r="Q1859" s="7">
        <v>45352</v>
      </c>
      <c r="R1859" s="6">
        <v>20.93</v>
      </c>
      <c r="S1859" s="6">
        <v>0.55000000000000004</v>
      </c>
      <c r="T1859" s="6">
        <v>0.31</v>
      </c>
      <c r="U1859" s="6">
        <v>2</v>
      </c>
      <c r="V1859" s="7">
        <v>45352</v>
      </c>
      <c r="W1859" s="10">
        <f ca="1">IFERROR(__xludf.DUMMYFUNCTION("IFERROR(GOOGLEFINANCE(B1859,""pe""),V1859)"),45352)</f>
        <v>45352</v>
      </c>
      <c r="X1859" s="6">
        <v>0</v>
      </c>
      <c r="Y1859" s="6">
        <v>1.96</v>
      </c>
      <c r="Z1859" s="6">
        <v>2.69</v>
      </c>
      <c r="AA1859" s="3" t="s">
        <v>5651</v>
      </c>
      <c r="AB1859" s="11"/>
      <c r="AC1859" s="9"/>
      <c r="AD1859" s="9"/>
      <c r="AE1859" s="1">
        <v>0</v>
      </c>
      <c r="AF1859" s="1">
        <f ca="1">IFERROR(__xludf.DUMMYFUNCTION("IFERROR(GOOGLEFINANCE(TRIM(F1859)&amp;"":"" &amp; TRIM(B1859),""high52""),AE1859)"),0)</f>
        <v>0</v>
      </c>
      <c r="AG1859" s="1">
        <v>0</v>
      </c>
      <c r="AH1859" s="1">
        <f ca="1">IFERROR(__xludf.DUMMYFUNCTION("IFERROR(GOOGLEFINANCE(TRIM(F1859)&amp;"":"" &amp; TRIM(B1859),""low52""),AE1859)"),0)</f>
        <v>0</v>
      </c>
      <c r="AI1859" s="1">
        <f ca="1">IFERROR(__xludf.DUMMYFUNCTION("IFERROR(GOOGLEFINANCE(B1859,""eps""),0)"),0)</f>
        <v>0</v>
      </c>
      <c r="AJ1859" s="1"/>
      <c r="AK1859" s="1" t="s">
        <v>5652</v>
      </c>
      <c r="AL1859" s="9">
        <f t="shared" si="220"/>
        <v>1</v>
      </c>
    </row>
    <row r="1860" spans="1:38" ht="15" x14ac:dyDescent="0.25">
      <c r="A1860" s="1" t="s">
        <v>5653</v>
      </c>
      <c r="B1860" s="1" t="s">
        <v>5654</v>
      </c>
      <c r="C1860" s="1" t="s">
        <v>43</v>
      </c>
      <c r="D1860" s="1" t="s">
        <v>43</v>
      </c>
      <c r="E1860" s="6">
        <v>158.66999999999999</v>
      </c>
      <c r="F1860" s="1" t="s">
        <v>53</v>
      </c>
      <c r="G1860" s="6">
        <f ca="1">IFERROR(__xludf.DUMMYFUNCTION("iferror(GOOGLEFINANCE(TRIM(F1860)&amp;"":"" &amp; TRIM(B1860), ""price""),0
)"),0)</f>
        <v>0</v>
      </c>
      <c r="H1860" s="6">
        <v>3.56</v>
      </c>
      <c r="I1860" s="6">
        <f t="shared" ca="1" si="0"/>
        <v>3.56</v>
      </c>
      <c r="J1860" s="6">
        <f ca="1">IFERROR(__xludf.DUMMYFUNCTION("IFERROR(GOOGLEFINANCE(B1860, ""volume""), 0)"),0)</f>
        <v>0</v>
      </c>
      <c r="K1860" s="6">
        <v>0</v>
      </c>
      <c r="L1860" s="6">
        <f ca="1">IFERROR(__xludf.DUMMYFUNCTION("IFERROR(GOOGLEFINANCE(B1860,""changepct""),K1860)"),0)</f>
        <v>0</v>
      </c>
      <c r="M1860" s="6">
        <f ca="1">IFERROR(__xludf.DUMMYFUNCTION("IFERROR(GOOGLEFINANCE(B1860,""change""),0)"),0)</f>
        <v>0</v>
      </c>
      <c r="N1860" s="6">
        <v>2</v>
      </c>
      <c r="O1860" s="7">
        <v>45536</v>
      </c>
      <c r="P1860" s="6">
        <v>7.23</v>
      </c>
      <c r="Q1860" s="7">
        <v>45536</v>
      </c>
      <c r="R1860" s="6">
        <v>21.63</v>
      </c>
      <c r="S1860" s="9"/>
      <c r="T1860" s="6">
        <v>1.51</v>
      </c>
      <c r="U1860" s="6">
        <v>2</v>
      </c>
      <c r="V1860" s="7">
        <v>45352</v>
      </c>
      <c r="W1860" s="10">
        <f ca="1">IFERROR(__xludf.DUMMYFUNCTION("IFERROR(GOOGLEFINANCE(B1860,""pe""),V1860)"),45352)</f>
        <v>45352</v>
      </c>
      <c r="X1860" s="6">
        <v>0.03</v>
      </c>
      <c r="Y1860" s="6">
        <v>6.82</v>
      </c>
      <c r="Z1860" s="6">
        <v>9.09</v>
      </c>
      <c r="AA1860" s="3" t="s">
        <v>5655</v>
      </c>
      <c r="AB1860" s="16"/>
      <c r="AC1860" s="12"/>
      <c r="AD1860" s="12"/>
      <c r="AE1860" s="1">
        <v>0</v>
      </c>
      <c r="AF1860" s="1">
        <f ca="1">IFERROR(__xludf.DUMMYFUNCTION("IFERROR(GOOGLEFINANCE(TRIM(F1860)&amp;"":"" &amp; TRIM(B1860),""high52""),AE1860)"),0)</f>
        <v>0</v>
      </c>
      <c r="AG1860" s="1">
        <v>0</v>
      </c>
      <c r="AH1860" s="1">
        <f ca="1">IFERROR(__xludf.DUMMYFUNCTION("IFERROR(GOOGLEFINANCE(TRIM(F1860)&amp;"":"" &amp; TRIM(B1860),""low52""),AE1860)"),0)</f>
        <v>0</v>
      </c>
      <c r="AI1860" s="1">
        <f ca="1">IFERROR(__xludf.DUMMYFUNCTION("IFERROR(GOOGLEFINANCE(B1860,""eps""),0)"),0)</f>
        <v>0</v>
      </c>
      <c r="AJ1860" s="1"/>
      <c r="AK1860" s="1" t="s">
        <v>5656</v>
      </c>
      <c r="AL1860" s="9">
        <f t="shared" si="220"/>
        <v>1</v>
      </c>
    </row>
    <row r="1861" spans="1:38" ht="15" x14ac:dyDescent="0.25">
      <c r="A1861" s="1" t="s">
        <v>5657</v>
      </c>
      <c r="B1861" s="1" t="s">
        <v>5658</v>
      </c>
      <c r="C1861" s="1" t="s">
        <v>43</v>
      </c>
      <c r="D1861" s="1" t="s">
        <v>43</v>
      </c>
      <c r="E1861" s="6">
        <v>23.53</v>
      </c>
      <c r="F1861" s="1" t="s">
        <v>53</v>
      </c>
      <c r="G1861" s="6">
        <f ca="1">IFERROR(__xludf.DUMMYFUNCTION("iferror(GOOGLEFINANCE(TRIM(F1861)&amp;"":"" &amp; TRIM(B1861), ""price""),0
)"),0)</f>
        <v>0</v>
      </c>
      <c r="H1861" s="6">
        <v>14.28</v>
      </c>
      <c r="I1861" s="6">
        <f t="shared" ca="1" si="0"/>
        <v>14.28</v>
      </c>
      <c r="J1861" s="6">
        <f ca="1">IFERROR(__xludf.DUMMYFUNCTION("IFERROR(GOOGLEFINANCE(B1861, ""volume""), 0)"),0)</f>
        <v>0</v>
      </c>
      <c r="K1861" s="6">
        <v>3.18</v>
      </c>
      <c r="L1861" s="6">
        <f ca="1">IFERROR(__xludf.DUMMYFUNCTION("IFERROR(GOOGLEFINANCE(B1861,""changepct""),K1861)"),3.18)</f>
        <v>3.18</v>
      </c>
      <c r="M1861" s="6">
        <f ca="1">IFERROR(__xludf.DUMMYFUNCTION("IFERROR(GOOGLEFINANCE(B1861,""change""),0)"),0)</f>
        <v>0</v>
      </c>
      <c r="N1861" s="6">
        <v>2</v>
      </c>
      <c r="O1861" s="7">
        <v>45536</v>
      </c>
      <c r="P1861" s="6">
        <v>2.2599999999999998</v>
      </c>
      <c r="Q1861" s="7">
        <v>45536</v>
      </c>
      <c r="R1861" s="6">
        <v>23.11</v>
      </c>
      <c r="S1861" s="9"/>
      <c r="T1861" s="6">
        <v>1.03</v>
      </c>
      <c r="U1861" s="6">
        <v>2</v>
      </c>
      <c r="V1861" s="7">
        <v>45352</v>
      </c>
      <c r="W1861" s="10">
        <f ca="1">IFERROR(__xludf.DUMMYFUNCTION("IFERROR(GOOGLEFINANCE(B1861,""pe""),V1861)"),45352)</f>
        <v>45352</v>
      </c>
      <c r="X1861" s="6">
        <v>0.17</v>
      </c>
      <c r="Y1861" s="6">
        <v>-7.06</v>
      </c>
      <c r="Z1861" s="6">
        <v>0.76</v>
      </c>
      <c r="AA1861" s="3" t="s">
        <v>5659</v>
      </c>
      <c r="AB1861" s="11"/>
      <c r="AC1861" s="9"/>
      <c r="AD1861" s="9"/>
      <c r="AE1861" s="1">
        <v>0</v>
      </c>
      <c r="AF1861" s="1">
        <f ca="1">IFERROR(__xludf.DUMMYFUNCTION("IFERROR(GOOGLEFINANCE(TRIM(F1861)&amp;"":"" &amp; TRIM(B1861),""high52""),AE1861)"),0)</f>
        <v>0</v>
      </c>
      <c r="AG1861" s="1">
        <v>0</v>
      </c>
      <c r="AH1861" s="1">
        <f ca="1">IFERROR(__xludf.DUMMYFUNCTION("IFERROR(GOOGLEFINANCE(TRIM(F1861)&amp;"":"" &amp; TRIM(B1861),""low52""),AE1861)"),0)</f>
        <v>0</v>
      </c>
      <c r="AI1861" s="1">
        <f ca="1">IFERROR(__xludf.DUMMYFUNCTION("IFERROR(GOOGLEFINANCE(B1861,""eps""),0)"),0)</f>
        <v>0</v>
      </c>
      <c r="AJ1861" s="1"/>
      <c r="AK1861" s="1" t="s">
        <v>5660</v>
      </c>
      <c r="AL1861" s="9">
        <f t="shared" si="220"/>
        <v>1</v>
      </c>
    </row>
    <row r="1862" spans="1:38" ht="15" x14ac:dyDescent="0.25">
      <c r="A1862" s="1" t="s">
        <v>5661</v>
      </c>
      <c r="B1862" s="1" t="s">
        <v>5662</v>
      </c>
      <c r="C1862" s="1" t="s">
        <v>43</v>
      </c>
      <c r="D1862" s="1" t="s">
        <v>43</v>
      </c>
      <c r="E1862" s="6">
        <v>11.93</v>
      </c>
      <c r="F1862" s="1" t="s">
        <v>53</v>
      </c>
      <c r="G1862" s="6">
        <f ca="1">IFERROR(__xludf.DUMMYFUNCTION("iferror(GOOGLEFINANCE(TRIM(F1862)&amp;"":"" &amp; TRIM(B1862), ""price""),0
)"),0)</f>
        <v>0</v>
      </c>
      <c r="H1862" s="6">
        <v>6.7</v>
      </c>
      <c r="I1862" s="6">
        <f t="shared" ca="1" si="0"/>
        <v>6.7</v>
      </c>
      <c r="J1862" s="6">
        <f ca="1">IFERROR(__xludf.DUMMYFUNCTION("IFERROR(GOOGLEFINANCE(B1862, ""volume""), 0)"),0)</f>
        <v>0</v>
      </c>
      <c r="K1862" s="6">
        <v>-4.83</v>
      </c>
      <c r="L1862" s="6">
        <f ca="1">IFERROR(__xludf.DUMMYFUNCTION("IFERROR(GOOGLEFINANCE(B1862,""changepct""),K1862)"),-4.83)</f>
        <v>-4.83</v>
      </c>
      <c r="M1862" s="6">
        <f ca="1">IFERROR(__xludf.DUMMYFUNCTION("IFERROR(GOOGLEFINANCE(B1862,""change""),0)"),0)</f>
        <v>0</v>
      </c>
      <c r="N1862" s="6">
        <v>1</v>
      </c>
      <c r="O1862" s="7">
        <v>45352</v>
      </c>
      <c r="P1862" s="6">
        <v>0.52</v>
      </c>
      <c r="Q1862" s="7">
        <v>45352</v>
      </c>
      <c r="R1862" s="6">
        <v>23.14</v>
      </c>
      <c r="S1862" s="6">
        <v>0.4</v>
      </c>
      <c r="T1862" s="6">
        <v>0.43</v>
      </c>
      <c r="U1862" s="6">
        <v>1</v>
      </c>
      <c r="V1862" s="7">
        <v>45352</v>
      </c>
      <c r="W1862" s="10">
        <f ca="1">IFERROR(__xludf.DUMMYFUNCTION("IFERROR(GOOGLEFINANCE(B1862,""pe""),V1862)"),45352)</f>
        <v>45352</v>
      </c>
      <c r="X1862" s="6">
        <v>0.03</v>
      </c>
      <c r="Y1862" s="6">
        <v>1.86</v>
      </c>
      <c r="Z1862" s="6">
        <v>2.29</v>
      </c>
      <c r="AA1862" s="3" t="s">
        <v>5663</v>
      </c>
      <c r="AB1862" s="11"/>
      <c r="AC1862" s="9"/>
      <c r="AD1862" s="9"/>
      <c r="AE1862" s="1">
        <v>0</v>
      </c>
      <c r="AF1862" s="1">
        <f ca="1">IFERROR(__xludf.DUMMYFUNCTION("IFERROR(GOOGLEFINANCE(TRIM(F1862)&amp;"":"" &amp; TRIM(B1862),""high52""),AE1862)"),0)</f>
        <v>0</v>
      </c>
      <c r="AG1862" s="1">
        <v>0</v>
      </c>
      <c r="AH1862" s="1">
        <f ca="1">IFERROR(__xludf.DUMMYFUNCTION("IFERROR(GOOGLEFINANCE(TRIM(F1862)&amp;"":"" &amp; TRIM(B1862),""low52""),AE1862)"),0)</f>
        <v>0</v>
      </c>
      <c r="AI1862" s="1">
        <f ca="1">IFERROR(__xludf.DUMMYFUNCTION("IFERROR(GOOGLEFINANCE(B1862,""eps""),0)"),0)</f>
        <v>0</v>
      </c>
      <c r="AJ1862" s="1"/>
      <c r="AK1862" s="1" t="s">
        <v>5664</v>
      </c>
      <c r="AL1862" s="9">
        <f t="shared" si="220"/>
        <v>1</v>
      </c>
    </row>
    <row r="1863" spans="1:38" ht="15" x14ac:dyDescent="0.25">
      <c r="A1863" s="1" t="s">
        <v>5665</v>
      </c>
      <c r="B1863" s="1" t="s">
        <v>5666</v>
      </c>
      <c r="C1863" s="1" t="s">
        <v>43</v>
      </c>
      <c r="D1863" s="1" t="s">
        <v>43</v>
      </c>
      <c r="E1863" s="6">
        <v>50.66</v>
      </c>
      <c r="F1863" s="1" t="s">
        <v>53</v>
      </c>
      <c r="G1863" s="6">
        <f ca="1">IFERROR(__xludf.DUMMYFUNCTION("iferror(GOOGLEFINANCE(TRIM(F1863)&amp;"":"" &amp; TRIM(B1863), ""price""),0
)"),0)</f>
        <v>0</v>
      </c>
      <c r="H1863" s="6">
        <v>3.42</v>
      </c>
      <c r="I1863" s="6">
        <f t="shared" ca="1" si="0"/>
        <v>3.42</v>
      </c>
      <c r="J1863" s="6">
        <f ca="1">IFERROR(__xludf.DUMMYFUNCTION("IFERROR(GOOGLEFINANCE(B1863, ""volume""), 0)"),0)</f>
        <v>0</v>
      </c>
      <c r="K1863" s="6">
        <v>0.59</v>
      </c>
      <c r="L1863" s="6">
        <f ca="1">IFERROR(__xludf.DUMMYFUNCTION("IFERROR(GOOGLEFINANCE(B1863,""changepct""),K1863)"),0.59)</f>
        <v>0.59</v>
      </c>
      <c r="M1863" s="6">
        <f ca="1">IFERROR(__xludf.DUMMYFUNCTION("IFERROR(GOOGLEFINANCE(B1863,""change""),0)"),0)</f>
        <v>0</v>
      </c>
      <c r="N1863" s="6">
        <v>2</v>
      </c>
      <c r="O1863" s="7">
        <v>45536</v>
      </c>
      <c r="P1863" s="6">
        <v>2.1800000000000002</v>
      </c>
      <c r="Q1863" s="7">
        <v>45536</v>
      </c>
      <c r="R1863" s="6">
        <v>23.52</v>
      </c>
      <c r="S1863" s="6">
        <v>2.44</v>
      </c>
      <c r="T1863" s="6">
        <v>1.4</v>
      </c>
      <c r="U1863" s="6">
        <v>2</v>
      </c>
      <c r="V1863" s="7">
        <v>45352</v>
      </c>
      <c r="W1863" s="10">
        <f ca="1">IFERROR(__xludf.DUMMYFUNCTION("IFERROR(GOOGLEFINANCE(B1863,""pe""),V1863)"),45352)</f>
        <v>45352</v>
      </c>
      <c r="X1863" s="6">
        <v>0.75</v>
      </c>
      <c r="Y1863" s="6">
        <v>6.63</v>
      </c>
      <c r="Z1863" s="6">
        <v>7.92</v>
      </c>
      <c r="AA1863" s="3" t="s">
        <v>5667</v>
      </c>
      <c r="AB1863" s="11"/>
      <c r="AC1863" s="9"/>
      <c r="AD1863" s="9"/>
      <c r="AE1863" s="1">
        <v>0</v>
      </c>
      <c r="AF1863" s="1">
        <f ca="1">IFERROR(__xludf.DUMMYFUNCTION("IFERROR(GOOGLEFINANCE(TRIM(F1863)&amp;"":"" &amp; TRIM(B1863),""high52""),AE1863)"),0)</f>
        <v>0</v>
      </c>
      <c r="AG1863" s="1">
        <v>0</v>
      </c>
      <c r="AH1863" s="1">
        <f ca="1">IFERROR(__xludf.DUMMYFUNCTION("IFERROR(GOOGLEFINANCE(TRIM(F1863)&amp;"":"" &amp; TRIM(B1863),""low52""),AE1863)"),0)</f>
        <v>0</v>
      </c>
      <c r="AI1863" s="1">
        <f ca="1">IFERROR(__xludf.DUMMYFUNCTION("IFERROR(GOOGLEFINANCE(B1863,""eps""),0)"),0)</f>
        <v>0</v>
      </c>
      <c r="AJ1863" s="1"/>
      <c r="AK1863" s="1" t="s">
        <v>5668</v>
      </c>
      <c r="AL1863" s="9">
        <f t="shared" si="220"/>
        <v>1</v>
      </c>
    </row>
    <row r="1864" spans="1:38" ht="15" x14ac:dyDescent="0.25">
      <c r="A1864" s="1" t="s">
        <v>5669</v>
      </c>
      <c r="B1864" s="1" t="s">
        <v>5670</v>
      </c>
      <c r="C1864" s="1" t="s">
        <v>43</v>
      </c>
      <c r="D1864" s="1" t="s">
        <v>43</v>
      </c>
      <c r="E1864" s="6">
        <v>36.28</v>
      </c>
      <c r="F1864" s="1" t="s">
        <v>53</v>
      </c>
      <c r="G1864" s="6">
        <f ca="1">IFERROR(__xludf.DUMMYFUNCTION("iferror(GOOGLEFINANCE(TRIM(F1864)&amp;"":"" &amp; TRIM(B1864), ""price""),0
)"),0)</f>
        <v>0</v>
      </c>
      <c r="H1864" s="6">
        <v>63.85</v>
      </c>
      <c r="I1864" s="6">
        <f t="shared" ca="1" si="0"/>
        <v>63.85</v>
      </c>
      <c r="J1864" s="6">
        <f ca="1">IFERROR(__xludf.DUMMYFUNCTION("IFERROR(GOOGLEFINANCE(B1864, ""volume""), 0)"),0)</f>
        <v>0</v>
      </c>
      <c r="K1864" s="6">
        <v>-4.96</v>
      </c>
      <c r="L1864" s="6">
        <f ca="1">IFERROR(__xludf.DUMMYFUNCTION("IFERROR(GOOGLEFINANCE(B1864,""changepct""),K1864)"),-4.96)</f>
        <v>-4.96</v>
      </c>
      <c r="M1864" s="6">
        <f ca="1">IFERROR(__xludf.DUMMYFUNCTION("IFERROR(GOOGLEFINANCE(B1864,""change""),0)"),0)</f>
        <v>0</v>
      </c>
      <c r="N1864" s="6">
        <v>1</v>
      </c>
      <c r="O1864" s="7">
        <v>45536</v>
      </c>
      <c r="P1864" s="6">
        <v>1.53</v>
      </c>
      <c r="Q1864" s="7">
        <v>45536</v>
      </c>
      <c r="R1864" s="6">
        <v>23.73</v>
      </c>
      <c r="S1864" s="6">
        <v>0.17</v>
      </c>
      <c r="T1864" s="6">
        <v>1.85</v>
      </c>
      <c r="U1864" s="6">
        <v>1</v>
      </c>
      <c r="V1864" s="7">
        <v>45352</v>
      </c>
      <c r="W1864" s="10">
        <f ca="1">IFERROR(__xludf.DUMMYFUNCTION("IFERROR(GOOGLEFINANCE(B1864,""pe""),V1864)"),45352)</f>
        <v>45352</v>
      </c>
      <c r="X1864" s="6">
        <v>0</v>
      </c>
      <c r="Y1864" s="6">
        <v>6.76</v>
      </c>
      <c r="Z1864" s="6">
        <v>5.14</v>
      </c>
      <c r="AA1864" s="3" t="s">
        <v>5671</v>
      </c>
      <c r="AB1864" s="11"/>
      <c r="AC1864" s="9"/>
      <c r="AD1864" s="9"/>
      <c r="AE1864" s="1">
        <v>0</v>
      </c>
      <c r="AF1864" s="1">
        <f ca="1">IFERROR(__xludf.DUMMYFUNCTION("IFERROR(GOOGLEFINANCE(TRIM(F1864)&amp;"":"" &amp; TRIM(B1864),""high52""),AE1864)"),0)</f>
        <v>0</v>
      </c>
      <c r="AG1864" s="1">
        <v>0</v>
      </c>
      <c r="AH1864" s="1">
        <f ca="1">IFERROR(__xludf.DUMMYFUNCTION("IFERROR(GOOGLEFINANCE(TRIM(F1864)&amp;"":"" &amp; TRIM(B1864),""low52""),AE1864)"),0)</f>
        <v>0</v>
      </c>
      <c r="AI1864" s="1">
        <f ca="1">IFERROR(__xludf.DUMMYFUNCTION("IFERROR(GOOGLEFINANCE(B1864,""eps""),0)"),0)</f>
        <v>0</v>
      </c>
      <c r="AJ1864" s="1"/>
      <c r="AK1864" s="1" t="s">
        <v>5672</v>
      </c>
      <c r="AL1864" s="9">
        <f t="shared" si="220"/>
        <v>1</v>
      </c>
    </row>
    <row r="1865" spans="1:38" ht="15" x14ac:dyDescent="0.25">
      <c r="A1865" s="1" t="s">
        <v>5673</v>
      </c>
      <c r="B1865" s="1" t="s">
        <v>5674</v>
      </c>
      <c r="C1865" s="1" t="s">
        <v>43</v>
      </c>
      <c r="D1865" s="1" t="s">
        <v>43</v>
      </c>
      <c r="E1865" s="6">
        <v>37.61</v>
      </c>
      <c r="F1865" s="1" t="s">
        <v>53</v>
      </c>
      <c r="G1865" s="6">
        <f ca="1">IFERROR(__xludf.DUMMYFUNCTION("iferror(GOOGLEFINANCE(TRIM(F1865)&amp;"":"" &amp; TRIM(B1865), ""price""),0
)"),0)</f>
        <v>0</v>
      </c>
      <c r="H1865" s="6">
        <v>11.74</v>
      </c>
      <c r="I1865" s="6">
        <f t="shared" ca="1" si="0"/>
        <v>11.74</v>
      </c>
      <c r="J1865" s="6">
        <f ca="1">IFERROR(__xludf.DUMMYFUNCTION("IFERROR(GOOGLEFINANCE(B1865, ""volume""), 0)"),0)</f>
        <v>0</v>
      </c>
      <c r="K1865" s="6">
        <v>4.92</v>
      </c>
      <c r="L1865" s="6">
        <f ca="1">IFERROR(__xludf.DUMMYFUNCTION("IFERROR(GOOGLEFINANCE(B1865,""changepct""),K1865)"),4.92)</f>
        <v>4.92</v>
      </c>
      <c r="M1865" s="6">
        <f ca="1">IFERROR(__xludf.DUMMYFUNCTION("IFERROR(GOOGLEFINANCE(B1865,""change""),0)"),0)</f>
        <v>0</v>
      </c>
      <c r="N1865" s="6">
        <v>1</v>
      </c>
      <c r="O1865" s="7">
        <v>45536</v>
      </c>
      <c r="P1865" s="6">
        <v>1.49</v>
      </c>
      <c r="Q1865" s="7">
        <v>45536</v>
      </c>
      <c r="R1865" s="6">
        <v>25.19</v>
      </c>
      <c r="S1865" s="6">
        <v>0.27</v>
      </c>
      <c r="T1865" s="6">
        <v>19.010000000000002</v>
      </c>
      <c r="U1865" s="6">
        <v>1</v>
      </c>
      <c r="V1865" s="7">
        <v>45352</v>
      </c>
      <c r="W1865" s="10">
        <f ca="1">IFERROR(__xludf.DUMMYFUNCTION("IFERROR(GOOGLEFINANCE(B1865,""pe""),V1865)"),45352)</f>
        <v>45352</v>
      </c>
      <c r="X1865" s="6">
        <v>0</v>
      </c>
      <c r="Y1865" s="6">
        <v>74.989999999999995</v>
      </c>
      <c r="Z1865" s="6">
        <v>99.39</v>
      </c>
      <c r="AA1865" s="3" t="s">
        <v>5675</v>
      </c>
      <c r="AB1865" s="16"/>
      <c r="AC1865" s="12"/>
      <c r="AD1865" s="12"/>
      <c r="AE1865" s="1">
        <v>0</v>
      </c>
      <c r="AF1865" s="1">
        <f ca="1">IFERROR(__xludf.DUMMYFUNCTION("IFERROR(GOOGLEFINANCE(TRIM(F1865)&amp;"":"" &amp; TRIM(B1865),""high52""),AE1865)"),0)</f>
        <v>0</v>
      </c>
      <c r="AG1865" s="1">
        <v>0</v>
      </c>
      <c r="AH1865" s="1">
        <f ca="1">IFERROR(__xludf.DUMMYFUNCTION("IFERROR(GOOGLEFINANCE(TRIM(F1865)&amp;"":"" &amp; TRIM(B1865),""low52""),AE1865)"),0)</f>
        <v>0</v>
      </c>
      <c r="AI1865" s="1">
        <f ca="1">IFERROR(__xludf.DUMMYFUNCTION("IFERROR(GOOGLEFINANCE(B1865,""eps""),0)"),0)</f>
        <v>0</v>
      </c>
      <c r="AJ1865" s="1"/>
      <c r="AK1865" s="1" t="s">
        <v>5676</v>
      </c>
      <c r="AL1865" s="9">
        <f t="shared" si="220"/>
        <v>1</v>
      </c>
    </row>
    <row r="1866" spans="1:38" ht="15" x14ac:dyDescent="0.25">
      <c r="A1866" s="1" t="s">
        <v>5677</v>
      </c>
      <c r="B1866" s="1" t="s">
        <v>5678</v>
      </c>
      <c r="C1866" s="1" t="s">
        <v>43</v>
      </c>
      <c r="D1866" s="1" t="s">
        <v>43</v>
      </c>
      <c r="E1866" s="6">
        <v>32.409999999999997</v>
      </c>
      <c r="F1866" s="1" t="s">
        <v>53</v>
      </c>
      <c r="G1866" s="6">
        <f ca="1">IFERROR(__xludf.DUMMYFUNCTION("iferror(GOOGLEFINANCE(TRIM(F1866)&amp;"":"" &amp; TRIM(B1866), ""price""),0
)"),0)</f>
        <v>0</v>
      </c>
      <c r="H1866" s="6">
        <v>45.85</v>
      </c>
      <c r="I1866" s="6">
        <f t="shared" ca="1" si="0"/>
        <v>45.85</v>
      </c>
      <c r="J1866" s="6">
        <f ca="1">IFERROR(__xludf.DUMMYFUNCTION("IFERROR(GOOGLEFINANCE(B1866, ""volume""), 0)"),0)</f>
        <v>0</v>
      </c>
      <c r="K1866" s="6">
        <v>1.98</v>
      </c>
      <c r="L1866" s="6">
        <f ca="1">IFERROR(__xludf.DUMMYFUNCTION("IFERROR(GOOGLEFINANCE(B1866,""changepct""),K1866)"),1.98)</f>
        <v>1.98</v>
      </c>
      <c r="M1866" s="6">
        <f ca="1">IFERROR(__xludf.DUMMYFUNCTION("IFERROR(GOOGLEFINANCE(B1866,""change""),0)"),0)</f>
        <v>0</v>
      </c>
      <c r="N1866" s="6">
        <v>1</v>
      </c>
      <c r="O1866" s="7">
        <v>45536</v>
      </c>
      <c r="P1866" s="6">
        <v>1.23</v>
      </c>
      <c r="Q1866" s="7">
        <v>45536</v>
      </c>
      <c r="R1866" s="6">
        <v>26.41</v>
      </c>
      <c r="S1866" s="6">
        <v>0.31</v>
      </c>
      <c r="T1866" s="6">
        <v>2.92</v>
      </c>
      <c r="U1866" s="6">
        <v>1</v>
      </c>
      <c r="V1866" s="7">
        <v>45352</v>
      </c>
      <c r="W1866" s="10">
        <f ca="1">IFERROR(__xludf.DUMMYFUNCTION("IFERROR(GOOGLEFINANCE(B1866,""pe""),V1866)"),45352)</f>
        <v>45352</v>
      </c>
      <c r="X1866" s="6">
        <v>0.45</v>
      </c>
      <c r="Y1866" s="6">
        <v>11.82</v>
      </c>
      <c r="Z1866" s="6">
        <v>14.6</v>
      </c>
      <c r="AA1866" s="3" t="s">
        <v>5679</v>
      </c>
      <c r="AB1866" s="11"/>
      <c r="AC1866" s="9"/>
      <c r="AD1866" s="9"/>
      <c r="AE1866" s="1">
        <v>0</v>
      </c>
      <c r="AF1866" s="1">
        <f ca="1">IFERROR(__xludf.DUMMYFUNCTION("IFERROR(GOOGLEFINANCE(TRIM(F1866)&amp;"":"" &amp; TRIM(B1866),""high52""),AE1866)"),0)</f>
        <v>0</v>
      </c>
      <c r="AG1866" s="1">
        <v>0</v>
      </c>
      <c r="AH1866" s="1">
        <f ca="1">IFERROR(__xludf.DUMMYFUNCTION("IFERROR(GOOGLEFINANCE(TRIM(F1866)&amp;"":"" &amp; TRIM(B1866),""low52""),AE1866)"),0)</f>
        <v>0</v>
      </c>
      <c r="AI1866" s="1">
        <f ca="1">IFERROR(__xludf.DUMMYFUNCTION("IFERROR(GOOGLEFINANCE(B1866,""eps""),0)"),0)</f>
        <v>0</v>
      </c>
      <c r="AJ1866" s="1"/>
      <c r="AK1866" s="9"/>
      <c r="AL1866" s="9">
        <f t="shared" si="220"/>
        <v>1</v>
      </c>
    </row>
    <row r="1867" spans="1:38" ht="15" x14ac:dyDescent="0.25">
      <c r="A1867" s="1" t="s">
        <v>5680</v>
      </c>
      <c r="B1867" s="1" t="s">
        <v>5681</v>
      </c>
      <c r="C1867" s="1" t="s">
        <v>43</v>
      </c>
      <c r="D1867" s="1" t="s">
        <v>43</v>
      </c>
      <c r="E1867" s="6">
        <v>44.64</v>
      </c>
      <c r="F1867" s="1" t="s">
        <v>53</v>
      </c>
      <c r="G1867" s="6">
        <f ca="1">IFERROR(__xludf.DUMMYFUNCTION("iferror(GOOGLEFINANCE(TRIM(F1867)&amp;"":"" &amp; TRIM(B1867), ""price""),0
)"),0)</f>
        <v>0</v>
      </c>
      <c r="H1867" s="6">
        <v>4.96</v>
      </c>
      <c r="I1867" s="6">
        <f t="shared" ca="1" si="0"/>
        <v>4.96</v>
      </c>
      <c r="J1867" s="6">
        <f ca="1">IFERROR(__xludf.DUMMYFUNCTION("IFERROR(GOOGLEFINANCE(B1867, ""volume""), 0)"),0)</f>
        <v>0</v>
      </c>
      <c r="K1867" s="6">
        <v>0</v>
      </c>
      <c r="L1867" s="6">
        <f ca="1">IFERROR(__xludf.DUMMYFUNCTION("IFERROR(GOOGLEFINANCE(B1867,""changepct""),K1867)"),0)</f>
        <v>0</v>
      </c>
      <c r="M1867" s="6">
        <f ca="1">IFERROR(__xludf.DUMMYFUNCTION("IFERROR(GOOGLEFINANCE(B1867,""change""),0)"),0)</f>
        <v>0</v>
      </c>
      <c r="N1867" s="6">
        <v>1</v>
      </c>
      <c r="O1867" s="7">
        <v>45536</v>
      </c>
      <c r="P1867" s="6">
        <v>1.64</v>
      </c>
      <c r="Q1867" s="7">
        <v>45536</v>
      </c>
      <c r="R1867" s="6">
        <v>27.22</v>
      </c>
      <c r="S1867" s="6">
        <v>1.6</v>
      </c>
      <c r="T1867" s="6">
        <v>2.27</v>
      </c>
      <c r="U1867" s="6">
        <v>1</v>
      </c>
      <c r="V1867" s="7">
        <v>45352</v>
      </c>
      <c r="W1867" s="10">
        <f ca="1">IFERROR(__xludf.DUMMYFUNCTION("IFERROR(GOOGLEFINANCE(B1867,""pe""),V1867)"),45352)</f>
        <v>45352</v>
      </c>
      <c r="X1867" s="6">
        <v>0</v>
      </c>
      <c r="Y1867" s="6">
        <v>9.6199999999999992</v>
      </c>
      <c r="Z1867" s="6">
        <v>10.76</v>
      </c>
      <c r="AA1867" s="3" t="s">
        <v>5682</v>
      </c>
      <c r="AB1867" s="11"/>
      <c r="AC1867" s="9"/>
      <c r="AD1867" s="9"/>
      <c r="AE1867" s="1">
        <v>0</v>
      </c>
      <c r="AF1867" s="1">
        <f ca="1">IFERROR(__xludf.DUMMYFUNCTION("IFERROR(GOOGLEFINANCE(TRIM(F1867)&amp;"":"" &amp; TRIM(B1867),""high52""),AE1867)"),0)</f>
        <v>0</v>
      </c>
      <c r="AG1867" s="1">
        <v>0</v>
      </c>
      <c r="AH1867" s="1">
        <f ca="1">IFERROR(__xludf.DUMMYFUNCTION("IFERROR(GOOGLEFINANCE(TRIM(F1867)&amp;"":"" &amp; TRIM(B1867),""low52""),AE1867)"),0)</f>
        <v>0</v>
      </c>
      <c r="AI1867" s="1">
        <f ca="1">IFERROR(__xludf.DUMMYFUNCTION("IFERROR(GOOGLEFINANCE(B1867,""eps""),0)"),0)</f>
        <v>0</v>
      </c>
      <c r="AJ1867" s="1"/>
      <c r="AK1867" s="1" t="s">
        <v>5683</v>
      </c>
      <c r="AL1867" s="9">
        <f t="shared" si="220"/>
        <v>1</v>
      </c>
    </row>
    <row r="1868" spans="1:38" ht="15" x14ac:dyDescent="0.25">
      <c r="A1868" s="1" t="s">
        <v>5684</v>
      </c>
      <c r="B1868" s="1" t="s">
        <v>5685</v>
      </c>
      <c r="C1868" s="1" t="s">
        <v>135</v>
      </c>
      <c r="D1868" s="1" t="s">
        <v>135</v>
      </c>
      <c r="E1868" s="6">
        <v>182.28</v>
      </c>
      <c r="F1868" s="1" t="s">
        <v>40</v>
      </c>
      <c r="G1868" s="6">
        <f ca="1">IFERROR(__xludf.DUMMYFUNCTION("iferror(GOOGLEFINANCE(TRIM(F1868)&amp;"":"" &amp; TRIM(B1868), ""price""),0
)"),123)</f>
        <v>123</v>
      </c>
      <c r="H1868" s="6">
        <v>205.61</v>
      </c>
      <c r="I1868" s="6">
        <f t="shared" ca="1" si="0"/>
        <v>123</v>
      </c>
      <c r="J1868" s="6">
        <f ca="1">IFERROR(__xludf.DUMMYFUNCTION("IFERROR(GOOGLEFINANCE(B1868, ""volume""), 0)"),5798)</f>
        <v>5798</v>
      </c>
      <c r="K1868" s="6">
        <v>0.18</v>
      </c>
      <c r="L1868" s="6">
        <f ca="1">IFERROR(__xludf.DUMMYFUNCTION("IFERROR(GOOGLEFINANCE(B1868,""changepct""),K1868)"),-1.96)</f>
        <v>-1.96</v>
      </c>
      <c r="M1868" s="6">
        <f ca="1">IFERROR(__xludf.DUMMYFUNCTION("IFERROR(GOOGLEFINANCE(B1868,""change""),0)"),-2.46)</f>
        <v>-2.46</v>
      </c>
      <c r="N1868" s="6">
        <v>1</v>
      </c>
      <c r="O1868" s="7">
        <v>45536</v>
      </c>
      <c r="P1868" s="6">
        <v>4.12</v>
      </c>
      <c r="Q1868" s="6">
        <v>170.12</v>
      </c>
      <c r="R1868" s="7">
        <v>45536</v>
      </c>
      <c r="S1868" s="6">
        <v>822.13</v>
      </c>
      <c r="T1868" s="6">
        <v>1.73</v>
      </c>
      <c r="U1868" s="7">
        <v>45536</v>
      </c>
      <c r="V1868" s="6">
        <v>105.3</v>
      </c>
      <c r="W1868" s="6">
        <f ca="1">IFERROR(__xludf.DUMMYFUNCTION("IFERROR(GOOGLEFINANCE(B1868,""pe""),V1868)"),57.08)</f>
        <v>57.08</v>
      </c>
      <c r="X1868" s="6">
        <v>-9.17</v>
      </c>
      <c r="Y1868" s="6">
        <v>0.85</v>
      </c>
      <c r="Z1868" s="6">
        <v>1</v>
      </c>
      <c r="AA1868" s="8">
        <v>45352</v>
      </c>
      <c r="AB1868" s="4">
        <v>0.03</v>
      </c>
      <c r="AC1868" s="6">
        <v>0.83</v>
      </c>
      <c r="AD1868" s="6">
        <v>1.4</v>
      </c>
      <c r="AE1868" s="1">
        <v>0</v>
      </c>
      <c r="AF1868" s="1">
        <f ca="1">IFERROR(__xludf.DUMMYFUNCTION("IFERROR(GOOGLEFINANCE(TRIM(F1868)&amp;"":"" &amp; TRIM(B1868),""high52""),AE1868)"),197.9)</f>
        <v>197.9</v>
      </c>
      <c r="AG1868" s="1">
        <v>0</v>
      </c>
      <c r="AH1868" s="1">
        <f ca="1">IFERROR(__xludf.DUMMYFUNCTION("IFERROR(GOOGLEFINANCE(TRIM(F1868)&amp;"":"" &amp; TRIM(B1868),""low52""),AE1868)"),120.65)</f>
        <v>120.65</v>
      </c>
      <c r="AI1868" s="1">
        <f ca="1">IFERROR(__xludf.DUMMYFUNCTION("IFERROR(GOOGLEFINANCE(B1868,""eps""),0)"),2.15)</f>
        <v>2.15</v>
      </c>
      <c r="AJ1868" s="1"/>
      <c r="AK1868" s="1" t="s">
        <v>5686</v>
      </c>
      <c r="AL1868" s="9">
        <f t="shared" si="220"/>
        <v>1</v>
      </c>
    </row>
    <row r="1869" spans="1:38" ht="15" x14ac:dyDescent="0.25">
      <c r="A1869" s="1" t="s">
        <v>5687</v>
      </c>
      <c r="B1869" s="1" t="s">
        <v>5688</v>
      </c>
      <c r="C1869" s="1" t="s">
        <v>43</v>
      </c>
      <c r="D1869" s="1" t="s">
        <v>43</v>
      </c>
      <c r="E1869" s="6">
        <v>5.55</v>
      </c>
      <c r="F1869" s="1" t="s">
        <v>53</v>
      </c>
      <c r="G1869" s="6">
        <f ca="1">IFERROR(__xludf.DUMMYFUNCTION("iferror(GOOGLEFINANCE(TRIM(F1869)&amp;"":"" &amp; TRIM(B1869), ""price""),0
)"),0)</f>
        <v>0</v>
      </c>
      <c r="H1869" s="6">
        <v>1.85</v>
      </c>
      <c r="I1869" s="6">
        <f t="shared" ca="1" si="0"/>
        <v>1.85</v>
      </c>
      <c r="J1869" s="6">
        <f ca="1">IFERROR(__xludf.DUMMYFUNCTION("IFERROR(GOOGLEFINANCE(B1869, ""volume""), 0)"),0)</f>
        <v>0</v>
      </c>
      <c r="K1869" s="6">
        <v>0</v>
      </c>
      <c r="L1869" s="6">
        <f ca="1">IFERROR(__xludf.DUMMYFUNCTION("IFERROR(GOOGLEFINANCE(B1869,""changepct""),K1869)"),0)</f>
        <v>0</v>
      </c>
      <c r="M1869" s="6">
        <f ca="1">IFERROR(__xludf.DUMMYFUNCTION("IFERROR(GOOGLEFINANCE(B1869,""change""),0)"),0)</f>
        <v>0</v>
      </c>
      <c r="N1869" s="6">
        <v>1</v>
      </c>
      <c r="O1869" s="7">
        <v>45536</v>
      </c>
      <c r="P1869" s="6">
        <v>0.2</v>
      </c>
      <c r="Q1869" s="7">
        <v>45536</v>
      </c>
      <c r="R1869" s="6">
        <v>28.33</v>
      </c>
      <c r="S1869" s="6">
        <v>-3.38</v>
      </c>
      <c r="T1869" s="6">
        <v>1.39</v>
      </c>
      <c r="U1869" s="6">
        <v>1</v>
      </c>
      <c r="V1869" s="7">
        <v>45352</v>
      </c>
      <c r="W1869" s="10">
        <f ca="1">IFERROR(__xludf.DUMMYFUNCTION("IFERROR(GOOGLEFINANCE(B1869,""pe""),V1869)"),45352)</f>
        <v>45352</v>
      </c>
      <c r="X1869" s="6">
        <v>11.72</v>
      </c>
      <c r="Y1869" s="6">
        <v>1.6</v>
      </c>
      <c r="Z1869" s="6">
        <v>0.18</v>
      </c>
      <c r="AA1869" s="3" t="s">
        <v>5689</v>
      </c>
      <c r="AB1869" s="11"/>
      <c r="AC1869" s="9"/>
      <c r="AD1869" s="9"/>
      <c r="AE1869" s="1">
        <v>0</v>
      </c>
      <c r="AF1869" s="1">
        <f ca="1">IFERROR(__xludf.DUMMYFUNCTION("IFERROR(GOOGLEFINANCE(TRIM(F1869)&amp;"":"" &amp; TRIM(B1869),""high52""),AE1869)"),0)</f>
        <v>0</v>
      </c>
      <c r="AG1869" s="1">
        <v>0</v>
      </c>
      <c r="AH1869" s="1">
        <f ca="1">IFERROR(__xludf.DUMMYFUNCTION("IFERROR(GOOGLEFINANCE(TRIM(F1869)&amp;"":"" &amp; TRIM(B1869),""low52""),AE1869)"),0)</f>
        <v>0</v>
      </c>
      <c r="AI1869" s="1">
        <f ca="1">IFERROR(__xludf.DUMMYFUNCTION("IFERROR(GOOGLEFINANCE(B1869,""eps""),0)"),0)</f>
        <v>0</v>
      </c>
      <c r="AJ1869" s="1"/>
      <c r="AK1869" s="1" t="s">
        <v>5690</v>
      </c>
      <c r="AL1869" s="9">
        <f t="shared" si="220"/>
        <v>1</v>
      </c>
    </row>
    <row r="1870" spans="1:38" ht="15" x14ac:dyDescent="0.25">
      <c r="A1870" s="1" t="s">
        <v>5691</v>
      </c>
      <c r="B1870" s="1" t="s">
        <v>5692</v>
      </c>
      <c r="C1870" s="1" t="s">
        <v>43</v>
      </c>
      <c r="D1870" s="1" t="s">
        <v>43</v>
      </c>
      <c r="E1870" s="6">
        <v>41.47</v>
      </c>
      <c r="F1870" s="1" t="s">
        <v>53</v>
      </c>
      <c r="G1870" s="6">
        <f ca="1">IFERROR(__xludf.DUMMYFUNCTION("iferror(GOOGLEFINANCE(TRIM(F1870)&amp;"":"" &amp; TRIM(B1870), ""price""),0
)"),0)</f>
        <v>0</v>
      </c>
      <c r="H1870" s="6">
        <v>66.650000000000006</v>
      </c>
      <c r="I1870" s="6">
        <f t="shared" ca="1" si="0"/>
        <v>66.650000000000006</v>
      </c>
      <c r="J1870" s="6">
        <f ca="1">IFERROR(__xludf.DUMMYFUNCTION("IFERROR(GOOGLEFINANCE(B1870, ""volume""), 0)"),0)</f>
        <v>0</v>
      </c>
      <c r="K1870" s="6">
        <v>-1.7</v>
      </c>
      <c r="L1870" s="6">
        <f ca="1">IFERROR(__xludf.DUMMYFUNCTION("IFERROR(GOOGLEFINANCE(B1870,""changepct""),K1870)"),-1.7)</f>
        <v>-1.7</v>
      </c>
      <c r="M1870" s="6">
        <f ca="1">IFERROR(__xludf.DUMMYFUNCTION("IFERROR(GOOGLEFINANCE(B1870,""change""),0)"),0)</f>
        <v>0</v>
      </c>
      <c r="N1870" s="6">
        <v>2</v>
      </c>
      <c r="O1870" s="7">
        <v>45536</v>
      </c>
      <c r="P1870" s="6">
        <v>1.48</v>
      </c>
      <c r="Q1870" s="7">
        <v>45536</v>
      </c>
      <c r="R1870" s="6">
        <v>28.6</v>
      </c>
      <c r="S1870" s="6">
        <v>0.21</v>
      </c>
      <c r="T1870" s="6">
        <v>1.73</v>
      </c>
      <c r="U1870" s="6">
        <v>2</v>
      </c>
      <c r="V1870" s="7">
        <v>45352</v>
      </c>
      <c r="W1870" s="10">
        <f ca="1">IFERROR(__xludf.DUMMYFUNCTION("IFERROR(GOOGLEFINANCE(B1870,""pe""),V1870)"),45352)</f>
        <v>45352</v>
      </c>
      <c r="X1870" s="6">
        <v>0.44</v>
      </c>
      <c r="Y1870" s="6">
        <v>5.82</v>
      </c>
      <c r="Z1870" s="6">
        <v>7.41</v>
      </c>
      <c r="AA1870" s="3" t="s">
        <v>5693</v>
      </c>
      <c r="AB1870" s="11"/>
      <c r="AC1870" s="9"/>
      <c r="AD1870" s="9"/>
      <c r="AE1870" s="1">
        <v>0</v>
      </c>
      <c r="AF1870" s="1">
        <f ca="1">IFERROR(__xludf.DUMMYFUNCTION("IFERROR(GOOGLEFINANCE(TRIM(F1870)&amp;"":"" &amp; TRIM(B1870),""high52""),AE1870)"),0)</f>
        <v>0</v>
      </c>
      <c r="AG1870" s="1">
        <v>0</v>
      </c>
      <c r="AH1870" s="1">
        <f ca="1">IFERROR(__xludf.DUMMYFUNCTION("IFERROR(GOOGLEFINANCE(TRIM(F1870)&amp;"":"" &amp; TRIM(B1870),""low52""),AE1870)"),0)</f>
        <v>0</v>
      </c>
      <c r="AI1870" s="1">
        <f ca="1">IFERROR(__xludf.DUMMYFUNCTION("IFERROR(GOOGLEFINANCE(B1870,""eps""),0)"),0)</f>
        <v>0</v>
      </c>
      <c r="AJ1870" s="1"/>
      <c r="AK1870" s="1" t="s">
        <v>5694</v>
      </c>
      <c r="AL1870" s="9">
        <f t="shared" si="220"/>
        <v>1</v>
      </c>
    </row>
    <row r="1871" spans="1:38" ht="15" x14ac:dyDescent="0.25">
      <c r="A1871" s="1" t="s">
        <v>5695</v>
      </c>
      <c r="B1871" s="1" t="s">
        <v>5696</v>
      </c>
      <c r="C1871" s="1" t="s">
        <v>43</v>
      </c>
      <c r="D1871" s="1" t="s">
        <v>43</v>
      </c>
      <c r="E1871" s="6">
        <v>6.4</v>
      </c>
      <c r="F1871" s="1" t="s">
        <v>53</v>
      </c>
      <c r="G1871" s="6">
        <f ca="1">IFERROR(__xludf.DUMMYFUNCTION("iferror(GOOGLEFINANCE(TRIM(F1871)&amp;"":"" &amp; TRIM(B1871), ""price""),0
)"),0)</f>
        <v>0</v>
      </c>
      <c r="H1871" s="6">
        <v>21.5</v>
      </c>
      <c r="I1871" s="6">
        <f t="shared" ca="1" si="0"/>
        <v>21.5</v>
      </c>
      <c r="J1871" s="6">
        <f ca="1">IFERROR(__xludf.DUMMYFUNCTION("IFERROR(GOOGLEFINANCE(B1871, ""volume""), 0)"),0)</f>
        <v>0</v>
      </c>
      <c r="K1871" s="6">
        <v>0.75</v>
      </c>
      <c r="L1871" s="6">
        <f ca="1">IFERROR(__xludf.DUMMYFUNCTION("IFERROR(GOOGLEFINANCE(B1871,""changepct""),K1871)"),0.75)</f>
        <v>0.75</v>
      </c>
      <c r="M1871" s="6">
        <f ca="1">IFERROR(__xludf.DUMMYFUNCTION("IFERROR(GOOGLEFINANCE(B1871,""change""),0)"),0)</f>
        <v>0</v>
      </c>
      <c r="N1871" s="6">
        <v>1</v>
      </c>
      <c r="O1871" s="7">
        <v>45536</v>
      </c>
      <c r="P1871" s="6">
        <v>0.22</v>
      </c>
      <c r="Q1871" s="7">
        <v>45536</v>
      </c>
      <c r="R1871" s="6">
        <v>29.64</v>
      </c>
      <c r="S1871" s="6">
        <v>6.19</v>
      </c>
      <c r="T1871" s="6">
        <v>1.46</v>
      </c>
      <c r="U1871" s="6">
        <v>1</v>
      </c>
      <c r="V1871" s="7">
        <v>45352</v>
      </c>
      <c r="W1871" s="10">
        <f ca="1">IFERROR(__xludf.DUMMYFUNCTION("IFERROR(GOOGLEFINANCE(B1871,""pe""),V1871)"),45352)</f>
        <v>45352</v>
      </c>
      <c r="X1871" s="6">
        <v>0.14000000000000001</v>
      </c>
      <c r="Y1871" s="6">
        <v>4.46</v>
      </c>
      <c r="Z1871" s="6">
        <v>5.92</v>
      </c>
      <c r="AA1871" s="3" t="s">
        <v>5697</v>
      </c>
      <c r="AB1871" s="11"/>
      <c r="AC1871" s="9"/>
      <c r="AD1871" s="9"/>
      <c r="AE1871" s="1">
        <v>0</v>
      </c>
      <c r="AF1871" s="1">
        <f ca="1">IFERROR(__xludf.DUMMYFUNCTION("IFERROR(GOOGLEFINANCE(TRIM(F1871)&amp;"":"" &amp; TRIM(B1871),""high52""),AE1871)"),0)</f>
        <v>0</v>
      </c>
      <c r="AG1871" s="1">
        <v>0</v>
      </c>
      <c r="AH1871" s="1">
        <f ca="1">IFERROR(__xludf.DUMMYFUNCTION("IFERROR(GOOGLEFINANCE(TRIM(F1871)&amp;"":"" &amp; TRIM(B1871),""low52""),AE1871)"),0)</f>
        <v>0</v>
      </c>
      <c r="AI1871" s="1">
        <f ca="1">IFERROR(__xludf.DUMMYFUNCTION("IFERROR(GOOGLEFINANCE(B1871,""eps""),0)"),0)</f>
        <v>0</v>
      </c>
      <c r="AJ1871" s="1"/>
      <c r="AK1871" s="1" t="s">
        <v>5698</v>
      </c>
      <c r="AL1871" s="9">
        <f t="shared" si="220"/>
        <v>1</v>
      </c>
    </row>
    <row r="1872" spans="1:38" ht="15" x14ac:dyDescent="0.25">
      <c r="A1872" s="1" t="s">
        <v>5699</v>
      </c>
      <c r="B1872" s="1" t="s">
        <v>5700</v>
      </c>
      <c r="C1872" s="1" t="s">
        <v>43</v>
      </c>
      <c r="D1872" s="1" t="s">
        <v>43</v>
      </c>
      <c r="E1872" s="6">
        <v>198.7</v>
      </c>
      <c r="F1872" s="1" t="s">
        <v>53</v>
      </c>
      <c r="G1872" s="6">
        <f ca="1">IFERROR(__xludf.DUMMYFUNCTION("iferror(GOOGLEFINANCE(TRIM(F1872)&amp;"":"" &amp; TRIM(B1872), ""price""),0
)"),0)</f>
        <v>0</v>
      </c>
      <c r="H1872" s="6">
        <v>204</v>
      </c>
      <c r="I1872" s="6">
        <f t="shared" ca="1" si="0"/>
        <v>204</v>
      </c>
      <c r="J1872" s="6">
        <f ca="1">IFERROR(__xludf.DUMMYFUNCTION("IFERROR(GOOGLEFINANCE(B1872, ""volume""), 0)"),0)</f>
        <v>0</v>
      </c>
      <c r="K1872" s="6">
        <v>1.85</v>
      </c>
      <c r="L1872" s="6">
        <f ca="1">IFERROR(__xludf.DUMMYFUNCTION("IFERROR(GOOGLEFINANCE(B1872,""changepct""),K1872)"),1.85)</f>
        <v>1.85</v>
      </c>
      <c r="M1872" s="6">
        <f ca="1">IFERROR(__xludf.DUMMYFUNCTION("IFERROR(GOOGLEFINANCE(B1872,""change""),0)"),0)</f>
        <v>0</v>
      </c>
      <c r="N1872" s="6">
        <v>2</v>
      </c>
      <c r="O1872" s="7">
        <v>45536</v>
      </c>
      <c r="P1872" s="6">
        <v>6.63</v>
      </c>
      <c r="Q1872" s="7">
        <v>45536</v>
      </c>
      <c r="R1872" s="6">
        <v>29.98</v>
      </c>
      <c r="S1872" s="6">
        <v>19.09</v>
      </c>
      <c r="T1872" s="6">
        <v>1.78</v>
      </c>
      <c r="U1872" s="6">
        <v>2</v>
      </c>
      <c r="V1872" s="7">
        <v>45352</v>
      </c>
      <c r="W1872" s="10">
        <f ca="1">IFERROR(__xludf.DUMMYFUNCTION("IFERROR(GOOGLEFINANCE(B1872,""pe""),V1872)"),45352)</f>
        <v>45352</v>
      </c>
      <c r="X1872" s="6">
        <v>0.03</v>
      </c>
      <c r="Y1872" s="6">
        <v>7.06</v>
      </c>
      <c r="Z1872" s="6">
        <v>10.130000000000001</v>
      </c>
      <c r="AA1872" s="3" t="s">
        <v>5701</v>
      </c>
      <c r="AB1872" s="11"/>
      <c r="AC1872" s="9"/>
      <c r="AD1872" s="9"/>
      <c r="AE1872" s="1">
        <v>0</v>
      </c>
      <c r="AF1872" s="1">
        <f ca="1">IFERROR(__xludf.DUMMYFUNCTION("IFERROR(GOOGLEFINANCE(TRIM(F1872)&amp;"":"" &amp; TRIM(B1872),""high52""),AE1872)"),0)</f>
        <v>0</v>
      </c>
      <c r="AG1872" s="1">
        <v>0</v>
      </c>
      <c r="AH1872" s="1">
        <f ca="1">IFERROR(__xludf.DUMMYFUNCTION("IFERROR(GOOGLEFINANCE(TRIM(F1872)&amp;"":"" &amp; TRIM(B1872),""low52""),AE1872)"),0)</f>
        <v>0</v>
      </c>
      <c r="AI1872" s="1">
        <f ca="1">IFERROR(__xludf.DUMMYFUNCTION("IFERROR(GOOGLEFINANCE(B1872,""eps""),0)"),0)</f>
        <v>0</v>
      </c>
      <c r="AJ1872" s="1"/>
      <c r="AK1872" s="1" t="s">
        <v>5702</v>
      </c>
      <c r="AL1872" s="9">
        <f t="shared" si="220"/>
        <v>1</v>
      </c>
    </row>
    <row r="1873" spans="1:38" ht="15" x14ac:dyDescent="0.25">
      <c r="A1873" s="1" t="s">
        <v>5703</v>
      </c>
      <c r="B1873" s="1" t="s">
        <v>5704</v>
      </c>
      <c r="C1873" s="1" t="s">
        <v>43</v>
      </c>
      <c r="D1873" s="1" t="s">
        <v>43</v>
      </c>
      <c r="E1873" s="6">
        <v>151.88999999999999</v>
      </c>
      <c r="F1873" s="1" t="s">
        <v>53</v>
      </c>
      <c r="G1873" s="6">
        <f ca="1">IFERROR(__xludf.DUMMYFUNCTION("iferror(GOOGLEFINANCE(TRIM(F1873)&amp;"":"" &amp; TRIM(B1873), ""price""),0
)"),0)</f>
        <v>0</v>
      </c>
      <c r="H1873" s="6">
        <v>297</v>
      </c>
      <c r="I1873" s="6">
        <f t="shared" ca="1" si="0"/>
        <v>297</v>
      </c>
      <c r="J1873" s="6">
        <f ca="1">IFERROR(__xludf.DUMMYFUNCTION("IFERROR(GOOGLEFINANCE(B1873, ""volume""), 0)"),0)</f>
        <v>0</v>
      </c>
      <c r="K1873" s="6">
        <v>1.85</v>
      </c>
      <c r="L1873" s="6">
        <f ca="1">IFERROR(__xludf.DUMMYFUNCTION("IFERROR(GOOGLEFINANCE(B1873,""changepct""),K1873)"),1.85)</f>
        <v>1.85</v>
      </c>
      <c r="M1873" s="6">
        <f ca="1">IFERROR(__xludf.DUMMYFUNCTION("IFERROR(GOOGLEFINANCE(B1873,""change""),0)"),0)</f>
        <v>0</v>
      </c>
      <c r="N1873" s="6">
        <v>1</v>
      </c>
      <c r="O1873" s="7">
        <v>45536</v>
      </c>
      <c r="P1873" s="6">
        <v>5.04</v>
      </c>
      <c r="Q1873" s="7">
        <v>45536</v>
      </c>
      <c r="R1873" s="6">
        <v>30.11</v>
      </c>
      <c r="S1873" s="6">
        <v>4.18</v>
      </c>
      <c r="T1873" s="6">
        <v>0.48</v>
      </c>
      <c r="U1873" s="6">
        <v>1</v>
      </c>
      <c r="V1873" s="7">
        <v>45352</v>
      </c>
      <c r="W1873" s="10">
        <f ca="1">IFERROR(__xludf.DUMMYFUNCTION("IFERROR(GOOGLEFINANCE(B1873,""pe""),V1873)"),45352)</f>
        <v>45352</v>
      </c>
      <c r="X1873" s="6">
        <v>0</v>
      </c>
      <c r="Y1873" s="6">
        <v>0.97</v>
      </c>
      <c r="Z1873" s="6">
        <v>1.3</v>
      </c>
      <c r="AA1873" s="3" t="s">
        <v>5705</v>
      </c>
      <c r="AB1873" s="11"/>
      <c r="AC1873" s="9"/>
      <c r="AD1873" s="9"/>
      <c r="AE1873" s="1">
        <v>0</v>
      </c>
      <c r="AF1873" s="1">
        <f ca="1">IFERROR(__xludf.DUMMYFUNCTION("IFERROR(GOOGLEFINANCE(TRIM(F1873)&amp;"":"" &amp; TRIM(B1873),""high52""),AE1873)"),0)</f>
        <v>0</v>
      </c>
      <c r="AG1873" s="1">
        <v>0</v>
      </c>
      <c r="AH1873" s="1">
        <f ca="1">IFERROR(__xludf.DUMMYFUNCTION("IFERROR(GOOGLEFINANCE(TRIM(F1873)&amp;"":"" &amp; TRIM(B1873),""low52""),AE1873)"),0)</f>
        <v>0</v>
      </c>
      <c r="AI1873" s="1">
        <f ca="1">IFERROR(__xludf.DUMMYFUNCTION("IFERROR(GOOGLEFINANCE(B1873,""eps""),0)"),0)</f>
        <v>0</v>
      </c>
      <c r="AJ1873" s="1"/>
      <c r="AK1873" s="1" t="s">
        <v>5706</v>
      </c>
      <c r="AL1873" s="9">
        <f t="shared" si="220"/>
        <v>1</v>
      </c>
    </row>
    <row r="1874" spans="1:38" ht="15" x14ac:dyDescent="0.25">
      <c r="A1874" s="1" t="s">
        <v>5707</v>
      </c>
      <c r="B1874" s="1" t="s">
        <v>5708</v>
      </c>
      <c r="C1874" s="1" t="s">
        <v>689</v>
      </c>
      <c r="D1874" s="1" t="s">
        <v>689</v>
      </c>
      <c r="E1874" s="6">
        <v>5054.51</v>
      </c>
      <c r="F1874" s="1" t="s">
        <v>40</v>
      </c>
      <c r="G1874" s="6">
        <f ca="1">IFERROR(__xludf.DUMMYFUNCTION("iferror(GOOGLEFINANCE(TRIM(F1874)&amp;"":"" &amp; TRIM(B1874), ""price""),0
)"),0)</f>
        <v>0</v>
      </c>
      <c r="H1874" s="6">
        <v>1935</v>
      </c>
      <c r="I1874" s="6">
        <f t="shared" ca="1" si="0"/>
        <v>1935</v>
      </c>
      <c r="J1874" s="6">
        <f ca="1">IFERROR(__xludf.DUMMYFUNCTION("IFERROR(GOOGLEFINANCE(B1874, ""volume""), 0)"),0)</f>
        <v>0</v>
      </c>
      <c r="K1874" s="6">
        <v>4.1900000000000004</v>
      </c>
      <c r="L1874" s="6">
        <f ca="1">IFERROR(__xludf.DUMMYFUNCTION("IFERROR(GOOGLEFINANCE(B1874,""changepct""),K1874)"),4.19)</f>
        <v>4.1900000000000004</v>
      </c>
      <c r="M1874" s="6">
        <f ca="1">IFERROR(__xludf.DUMMYFUNCTION("IFERROR(GOOGLEFINANCE(B1874,""change""),0)"),0)</f>
        <v>0</v>
      </c>
      <c r="N1874" s="6">
        <v>1</v>
      </c>
      <c r="O1874" s="7">
        <v>45536</v>
      </c>
      <c r="P1874" s="12"/>
      <c r="Q1874" s="6">
        <v>4821.78</v>
      </c>
      <c r="R1874" s="7">
        <v>45536</v>
      </c>
      <c r="S1874" s="6">
        <v>2463.61</v>
      </c>
      <c r="T1874" s="6">
        <v>27.8</v>
      </c>
      <c r="U1874" s="7">
        <v>45536</v>
      </c>
      <c r="V1874" s="6">
        <v>181.82</v>
      </c>
      <c r="W1874" s="6">
        <f ca="1">IFERROR(__xludf.DUMMYFUNCTION("IFERROR(GOOGLEFINANCE(B1874,""pe""),V1874)"),181.82)</f>
        <v>181.82</v>
      </c>
      <c r="X1874" s="9"/>
      <c r="Y1874" s="6">
        <v>8.58</v>
      </c>
      <c r="Z1874" s="6">
        <v>1</v>
      </c>
      <c r="AA1874" s="8">
        <v>45352</v>
      </c>
      <c r="AB1874" s="4">
        <v>0</v>
      </c>
      <c r="AC1874" s="6">
        <v>-12.19</v>
      </c>
      <c r="AD1874" s="6">
        <v>-11.89</v>
      </c>
      <c r="AE1874" s="1">
        <v>0</v>
      </c>
      <c r="AF1874" s="1">
        <f ca="1">IFERROR(__xludf.DUMMYFUNCTION("IFERROR(GOOGLEFINANCE(TRIM(F1874)&amp;"":"" &amp; TRIM(B1874),""high52""),AE1874)"),0)</f>
        <v>0</v>
      </c>
      <c r="AG1874" s="1">
        <v>0</v>
      </c>
      <c r="AH1874" s="1">
        <f ca="1">IFERROR(__xludf.DUMMYFUNCTION("IFERROR(GOOGLEFINANCE(TRIM(F1874)&amp;"":"" &amp; TRIM(B1874),""low52""),AE1874)"),0)</f>
        <v>0</v>
      </c>
      <c r="AI1874" s="1">
        <f ca="1">IFERROR(__xludf.DUMMYFUNCTION("IFERROR(GOOGLEFINANCE(B1874,""eps""),0)"),0)</f>
        <v>0</v>
      </c>
      <c r="AJ1874" s="1"/>
      <c r="AK1874" s="1" t="s">
        <v>5709</v>
      </c>
      <c r="AL1874" s="1" t="b">
        <f>ISNUMBER(AA1874)</f>
        <v>1</v>
      </c>
    </row>
    <row r="1875" spans="1:38" ht="15" x14ac:dyDescent="0.25">
      <c r="A1875" s="1" t="s">
        <v>5710</v>
      </c>
      <c r="B1875" s="1" t="s">
        <v>5711</v>
      </c>
      <c r="C1875" s="1" t="s">
        <v>268</v>
      </c>
      <c r="D1875" s="1" t="s">
        <v>268</v>
      </c>
      <c r="E1875" s="6">
        <v>112023.2</v>
      </c>
      <c r="F1875" s="1" t="s">
        <v>40</v>
      </c>
      <c r="G1875" s="6">
        <f ca="1">IFERROR(__xludf.DUMMYFUNCTION("iferror(GOOGLEFINANCE(TRIM(F1875)&amp;"":"" &amp; TRIM(B1875), ""price""),0
)"),452.45)</f>
        <v>452.45</v>
      </c>
      <c r="H1875" s="6">
        <v>639.15</v>
      </c>
      <c r="I1875" s="6">
        <f t="shared" ca="1" si="0"/>
        <v>452.45</v>
      </c>
      <c r="J1875" s="6">
        <f ca="1">IFERROR(__xludf.DUMMYFUNCTION("IFERROR(GOOGLEFINANCE(B1875, ""volume""), 0)"),1249736)</f>
        <v>1249736</v>
      </c>
      <c r="K1875" s="6">
        <v>-0.28999999999999998</v>
      </c>
      <c r="L1875" s="6">
        <f ca="1">IFERROR(__xludf.DUMMYFUNCTION("IFERROR(GOOGLEFINANCE(B1875,""changepct""),K1875)"),2.64)</f>
        <v>2.64</v>
      </c>
      <c r="M1875" s="6">
        <f ca="1">IFERROR(__xludf.DUMMYFUNCTION("IFERROR(GOOGLEFINANCE(B1875,""change""),0)"),11.65)</f>
        <v>11.65</v>
      </c>
      <c r="N1875" s="6">
        <v>2</v>
      </c>
      <c r="O1875" s="7">
        <v>45536</v>
      </c>
      <c r="P1875" s="6">
        <v>30593.91</v>
      </c>
      <c r="Q1875" s="6">
        <v>138705.60000000001</v>
      </c>
      <c r="R1875" s="7">
        <v>45536</v>
      </c>
      <c r="S1875" s="6">
        <v>11415.76</v>
      </c>
      <c r="T1875" s="6">
        <v>1967.75</v>
      </c>
      <c r="U1875" s="7">
        <v>45536</v>
      </c>
      <c r="V1875" s="6">
        <v>57.22</v>
      </c>
      <c r="W1875" s="6">
        <f ca="1">IFERROR(__xludf.DUMMYFUNCTION("IFERROR(GOOGLEFINANCE(B1875,""pe""),V1875)"),34.7)</f>
        <v>34.700000000000003</v>
      </c>
      <c r="X1875" s="6">
        <v>2.88</v>
      </c>
      <c r="Y1875" s="6">
        <v>4</v>
      </c>
      <c r="Z1875" s="6">
        <v>2</v>
      </c>
      <c r="AA1875" s="8">
        <v>45352</v>
      </c>
      <c r="AB1875" s="4">
        <v>1.51</v>
      </c>
      <c r="AC1875" s="6">
        <v>8.7799999999999994</v>
      </c>
      <c r="AD1875" s="6">
        <v>8.83</v>
      </c>
      <c r="AE1875" s="1">
        <v>0</v>
      </c>
      <c r="AF1875" s="1">
        <f ca="1">IFERROR(__xludf.DUMMYFUNCTION("IFERROR(GOOGLEFINANCE(TRIM(F1875)&amp;"":"" &amp; TRIM(B1875),""high52""),AE1875)"),579)</f>
        <v>579</v>
      </c>
      <c r="AG1875" s="1">
        <v>0</v>
      </c>
      <c r="AH1875" s="1">
        <f ca="1">IFERROR(__xludf.DUMMYFUNCTION("IFERROR(GOOGLEFINANCE(TRIM(F1875)&amp;"":"" &amp; TRIM(B1875),""low52""),AE1875)"),418.75)</f>
        <v>418.75</v>
      </c>
      <c r="AI1875" s="1">
        <f ca="1">IFERROR(__xludf.DUMMYFUNCTION("IFERROR(GOOGLEFINANCE(B1875,""eps""),0)"),13.04)</f>
        <v>13.04</v>
      </c>
      <c r="AJ1875" s="1"/>
      <c r="AK1875" s="1" t="s">
        <v>5712</v>
      </c>
      <c r="AL1875" s="9">
        <f t="shared" ref="AL1875:AL1884" si="221">IF(AA1875&lt;&gt;AB1875,1,0)</f>
        <v>1</v>
      </c>
    </row>
    <row r="1876" spans="1:38" ht="15" x14ac:dyDescent="0.25">
      <c r="A1876" s="1" t="s">
        <v>5713</v>
      </c>
      <c r="B1876" s="1" t="s">
        <v>5714</v>
      </c>
      <c r="C1876" s="1" t="s">
        <v>43</v>
      </c>
      <c r="D1876" s="1" t="s">
        <v>43</v>
      </c>
      <c r="E1876" s="6">
        <v>82.01</v>
      </c>
      <c r="F1876" s="1" t="s">
        <v>53</v>
      </c>
      <c r="G1876" s="6">
        <f ca="1">IFERROR(__xludf.DUMMYFUNCTION("iferror(GOOGLEFINANCE(TRIM(F1876)&amp;"":"" &amp; TRIM(B1876), ""price""),0
)"),0)</f>
        <v>0</v>
      </c>
      <c r="H1876" s="6">
        <v>1.55</v>
      </c>
      <c r="I1876" s="6">
        <f t="shared" ca="1" si="0"/>
        <v>1.55</v>
      </c>
      <c r="J1876" s="6">
        <f ca="1">IFERROR(__xludf.DUMMYFUNCTION("IFERROR(GOOGLEFINANCE(B1876, ""volume""), 0)"),0)</f>
        <v>0</v>
      </c>
      <c r="K1876" s="6">
        <v>-0.64</v>
      </c>
      <c r="L1876" s="6">
        <f ca="1">IFERROR(__xludf.DUMMYFUNCTION("IFERROR(GOOGLEFINANCE(B1876,""changepct""),K1876)"),-0.64)</f>
        <v>-0.64</v>
      </c>
      <c r="M1876" s="6">
        <f ca="1">IFERROR(__xludf.DUMMYFUNCTION("IFERROR(GOOGLEFINANCE(B1876,""change""),0)"),0)</f>
        <v>0</v>
      </c>
      <c r="N1876" s="6">
        <v>1</v>
      </c>
      <c r="O1876" s="7">
        <v>45536</v>
      </c>
      <c r="P1876" s="6">
        <v>2.6</v>
      </c>
      <c r="Q1876" s="7">
        <v>45536</v>
      </c>
      <c r="R1876" s="6">
        <v>31.53</v>
      </c>
      <c r="S1876" s="6">
        <v>4.66</v>
      </c>
      <c r="T1876" s="6">
        <v>1.17</v>
      </c>
      <c r="U1876" s="6">
        <v>1</v>
      </c>
      <c r="V1876" s="7">
        <v>45352</v>
      </c>
      <c r="W1876" s="10">
        <f ca="1">IFERROR(__xludf.DUMMYFUNCTION("IFERROR(GOOGLEFINANCE(B1876,""pe""),V1876)"),45352)</f>
        <v>45352</v>
      </c>
      <c r="X1876" s="6">
        <v>0</v>
      </c>
      <c r="Y1876" s="6">
        <v>0.37</v>
      </c>
      <c r="Z1876" s="6">
        <v>0.51</v>
      </c>
      <c r="AA1876" s="3" t="s">
        <v>5715</v>
      </c>
      <c r="AB1876" s="11"/>
      <c r="AC1876" s="9"/>
      <c r="AD1876" s="9"/>
      <c r="AE1876" s="1">
        <v>0</v>
      </c>
      <c r="AF1876" s="1">
        <f ca="1">IFERROR(__xludf.DUMMYFUNCTION("IFERROR(GOOGLEFINANCE(TRIM(F1876)&amp;"":"" &amp; TRIM(B1876),""high52""),AE1876)"),0)</f>
        <v>0</v>
      </c>
      <c r="AG1876" s="1">
        <v>0</v>
      </c>
      <c r="AH1876" s="1">
        <f ca="1">IFERROR(__xludf.DUMMYFUNCTION("IFERROR(GOOGLEFINANCE(TRIM(F1876)&amp;"":"" &amp; TRIM(B1876),""low52""),AE1876)"),0)</f>
        <v>0</v>
      </c>
      <c r="AI1876" s="1">
        <f ca="1">IFERROR(__xludf.DUMMYFUNCTION("IFERROR(GOOGLEFINANCE(B1876,""eps""),0)"),0)</f>
        <v>0</v>
      </c>
      <c r="AJ1876" s="1"/>
      <c r="AK1876" s="1" t="s">
        <v>5716</v>
      </c>
      <c r="AL1876" s="9">
        <f t="shared" si="221"/>
        <v>1</v>
      </c>
    </row>
    <row r="1877" spans="1:38" ht="15" x14ac:dyDescent="0.25">
      <c r="A1877" s="1" t="s">
        <v>5717</v>
      </c>
      <c r="B1877" s="1" t="s">
        <v>5718</v>
      </c>
      <c r="C1877" s="1" t="s">
        <v>43</v>
      </c>
      <c r="D1877" s="1" t="s">
        <v>43</v>
      </c>
      <c r="E1877" s="6">
        <v>18745.88</v>
      </c>
      <c r="F1877" s="1" t="s">
        <v>40</v>
      </c>
      <c r="G1877" s="6">
        <f ca="1">IFERROR(__xludf.DUMMYFUNCTION("iferror(GOOGLEFINANCE(TRIM(F1877)&amp;"":"" &amp; TRIM(B1877), ""price""),0
)"),17650)</f>
        <v>17650</v>
      </c>
      <c r="H1877" s="6">
        <v>17745.099999999999</v>
      </c>
      <c r="I1877" s="6">
        <f t="shared" ca="1" si="0"/>
        <v>17650</v>
      </c>
      <c r="J1877" s="6">
        <f ca="1">IFERROR(__xludf.DUMMYFUNCTION("IFERROR(GOOGLEFINANCE(B1877, ""volume""), 0)"),4044)</f>
        <v>4044</v>
      </c>
      <c r="K1877" s="6">
        <v>4.88</v>
      </c>
      <c r="L1877" s="6">
        <f ca="1">IFERROR(__xludf.DUMMYFUNCTION("IFERROR(GOOGLEFINANCE(B1877,""changepct""),K1877)"),1.66)</f>
        <v>1.66</v>
      </c>
      <c r="M1877" s="6">
        <f ca="1">IFERROR(__xludf.DUMMYFUNCTION("IFERROR(GOOGLEFINANCE(B1877,""change""),0)"),288)</f>
        <v>288</v>
      </c>
      <c r="N1877" s="6">
        <v>2</v>
      </c>
      <c r="O1877" s="7">
        <v>45536</v>
      </c>
      <c r="P1877" s="6">
        <v>173.86</v>
      </c>
      <c r="Q1877" s="7">
        <v>45536</v>
      </c>
      <c r="R1877" s="6">
        <v>78.040000000000006</v>
      </c>
      <c r="S1877" s="6">
        <v>8.4499999999999993</v>
      </c>
      <c r="T1877" s="6">
        <v>0.56999999999999995</v>
      </c>
      <c r="U1877" s="6">
        <v>2</v>
      </c>
      <c r="V1877" s="7">
        <v>45352</v>
      </c>
      <c r="W1877" s="6">
        <f ca="1">IFERROR(__xludf.DUMMYFUNCTION("IFERROR(GOOGLEFINANCE(B1877,""pe""),V1877)"),137.16)</f>
        <v>137.16</v>
      </c>
      <c r="X1877" s="6">
        <v>0</v>
      </c>
      <c r="Y1877" s="6">
        <v>0.53</v>
      </c>
      <c r="Z1877" s="6">
        <v>0.7</v>
      </c>
      <c r="AA1877" s="3" t="s">
        <v>5719</v>
      </c>
      <c r="AB1877" s="11"/>
      <c r="AC1877" s="9"/>
      <c r="AD1877" s="9"/>
      <c r="AE1877" s="1">
        <v>0</v>
      </c>
      <c r="AF1877" s="1">
        <f ca="1">IFERROR(__xludf.DUMMYFUNCTION("IFERROR(GOOGLEFINANCE(TRIM(F1877)&amp;"":"" &amp; TRIM(B1877),""high52""),AE1877)"),27740)</f>
        <v>27740</v>
      </c>
      <c r="AG1877" s="1">
        <v>0</v>
      </c>
      <c r="AH1877" s="1">
        <f ca="1">IFERROR(__xludf.DUMMYFUNCTION("IFERROR(GOOGLEFINANCE(TRIM(F1877)&amp;"":"" &amp; TRIM(B1877),""low52""),AE1877)"),14300.05)</f>
        <v>14300.05</v>
      </c>
      <c r="AI1877" s="1">
        <f ca="1">IFERROR(__xludf.DUMMYFUNCTION("IFERROR(GOOGLEFINANCE(B1877,""eps""),0)"),128.68)</f>
        <v>128.68</v>
      </c>
      <c r="AJ1877" s="1"/>
      <c r="AK1877" s="1" t="s">
        <v>5720</v>
      </c>
      <c r="AL1877" s="9">
        <f t="shared" si="221"/>
        <v>1</v>
      </c>
    </row>
    <row r="1878" spans="1:38" ht="15" x14ac:dyDescent="0.25">
      <c r="A1878" s="1" t="s">
        <v>5721</v>
      </c>
      <c r="B1878" s="1" t="s">
        <v>5722</v>
      </c>
      <c r="C1878" s="1" t="s">
        <v>43</v>
      </c>
      <c r="D1878" s="1" t="s">
        <v>43</v>
      </c>
      <c r="E1878" s="6">
        <v>7.58</v>
      </c>
      <c r="F1878" s="1" t="s">
        <v>53</v>
      </c>
      <c r="G1878" s="6">
        <f ca="1">IFERROR(__xludf.DUMMYFUNCTION("iferror(GOOGLEFINANCE(TRIM(F1878)&amp;"":"" &amp; TRIM(B1878), ""price""),0
)"),0)</f>
        <v>0</v>
      </c>
      <c r="H1878" s="6">
        <v>6.88</v>
      </c>
      <c r="I1878" s="6">
        <f t="shared" ca="1" si="0"/>
        <v>6.88</v>
      </c>
      <c r="J1878" s="6">
        <f ca="1">IFERROR(__xludf.DUMMYFUNCTION("IFERROR(GOOGLEFINANCE(B1878, ""volume""), 0)"),0)</f>
        <v>0</v>
      </c>
      <c r="K1878" s="6">
        <v>0</v>
      </c>
      <c r="L1878" s="6">
        <f ca="1">IFERROR(__xludf.DUMMYFUNCTION("IFERROR(GOOGLEFINANCE(B1878,""changepct""),K1878)"),0)</f>
        <v>0</v>
      </c>
      <c r="M1878" s="6">
        <f ca="1">IFERROR(__xludf.DUMMYFUNCTION("IFERROR(GOOGLEFINANCE(B1878,""change""),0)"),0)</f>
        <v>0</v>
      </c>
      <c r="N1878" s="6">
        <v>1</v>
      </c>
      <c r="O1878" s="7">
        <v>45536</v>
      </c>
      <c r="P1878" s="6">
        <v>0.23</v>
      </c>
      <c r="Q1878" s="7">
        <v>45536</v>
      </c>
      <c r="R1878" s="6">
        <v>32.65</v>
      </c>
      <c r="S1878" s="6">
        <v>2.04</v>
      </c>
      <c r="T1878" s="6">
        <v>0.72</v>
      </c>
      <c r="U1878" s="6">
        <v>1</v>
      </c>
      <c r="V1878" s="7">
        <v>45352</v>
      </c>
      <c r="W1878" s="10">
        <f ca="1">IFERROR(__xludf.DUMMYFUNCTION("IFERROR(GOOGLEFINANCE(B1878,""pe""),V1878)"),45352)</f>
        <v>45352</v>
      </c>
      <c r="X1878" s="6">
        <v>0.44</v>
      </c>
      <c r="Y1878" s="6">
        <v>0.19</v>
      </c>
      <c r="Z1878" s="6">
        <v>0.13</v>
      </c>
      <c r="AA1878" s="3" t="s">
        <v>5723</v>
      </c>
      <c r="AB1878" s="11"/>
      <c r="AC1878" s="9"/>
      <c r="AD1878" s="9"/>
      <c r="AE1878" s="1">
        <v>0</v>
      </c>
      <c r="AF1878" s="1">
        <f ca="1">IFERROR(__xludf.DUMMYFUNCTION("IFERROR(GOOGLEFINANCE(TRIM(F1878)&amp;"":"" &amp; TRIM(B1878),""high52""),AE1878)"),0)</f>
        <v>0</v>
      </c>
      <c r="AG1878" s="1">
        <v>0</v>
      </c>
      <c r="AH1878" s="1">
        <f ca="1">IFERROR(__xludf.DUMMYFUNCTION("IFERROR(GOOGLEFINANCE(TRIM(F1878)&amp;"":"" &amp; TRIM(B1878),""low52""),AE1878)"),0)</f>
        <v>0</v>
      </c>
      <c r="AI1878" s="1">
        <f ca="1">IFERROR(__xludf.DUMMYFUNCTION("IFERROR(GOOGLEFINANCE(B1878,""eps""),0)"),0)</f>
        <v>0</v>
      </c>
      <c r="AJ1878" s="1"/>
      <c r="AK1878" s="1" t="s">
        <v>5724</v>
      </c>
      <c r="AL1878" s="9">
        <f t="shared" si="221"/>
        <v>1</v>
      </c>
    </row>
    <row r="1879" spans="1:38" ht="15" x14ac:dyDescent="0.25">
      <c r="A1879" s="1" t="s">
        <v>5725</v>
      </c>
      <c r="B1879" s="1" t="s">
        <v>5726</v>
      </c>
      <c r="C1879" s="1" t="s">
        <v>43</v>
      </c>
      <c r="D1879" s="1" t="s">
        <v>43</v>
      </c>
      <c r="E1879" s="6">
        <v>16.3</v>
      </c>
      <c r="F1879" s="1" t="s">
        <v>53</v>
      </c>
      <c r="G1879" s="6">
        <f ca="1">IFERROR(__xludf.DUMMYFUNCTION("iferror(GOOGLEFINANCE(TRIM(F1879)&amp;"":"" &amp; TRIM(B1879), ""price""),0
)"),0)</f>
        <v>0</v>
      </c>
      <c r="H1879" s="6">
        <v>37.49</v>
      </c>
      <c r="I1879" s="6">
        <f t="shared" ca="1" si="0"/>
        <v>37.49</v>
      </c>
      <c r="J1879" s="6">
        <f ca="1">IFERROR(__xludf.DUMMYFUNCTION("IFERROR(GOOGLEFINANCE(B1879, ""volume""), 0)"),0)</f>
        <v>0</v>
      </c>
      <c r="K1879" s="6">
        <v>4.1399999999999997</v>
      </c>
      <c r="L1879" s="6">
        <f ca="1">IFERROR(__xludf.DUMMYFUNCTION("IFERROR(GOOGLEFINANCE(B1879,""changepct""),K1879)"),4.14)</f>
        <v>4.1399999999999997</v>
      </c>
      <c r="M1879" s="6">
        <f ca="1">IFERROR(__xludf.DUMMYFUNCTION("IFERROR(GOOGLEFINANCE(B1879,""change""),0)"),0)</f>
        <v>0</v>
      </c>
      <c r="N1879" s="6">
        <v>1</v>
      </c>
      <c r="O1879" s="7">
        <v>45536</v>
      </c>
      <c r="P1879" s="6">
        <v>0.5</v>
      </c>
      <c r="Q1879" s="7">
        <v>45536</v>
      </c>
      <c r="R1879" s="6">
        <v>32.729999999999997</v>
      </c>
      <c r="S1879" s="6">
        <v>57.42</v>
      </c>
      <c r="T1879" s="6">
        <v>1.39</v>
      </c>
      <c r="U1879" s="6">
        <v>1</v>
      </c>
      <c r="V1879" s="7">
        <v>45352</v>
      </c>
      <c r="W1879" s="10">
        <f ca="1">IFERROR(__xludf.DUMMYFUNCTION("IFERROR(GOOGLEFINANCE(B1879,""pe""),V1879)"),45352)</f>
        <v>45352</v>
      </c>
      <c r="X1879" s="6">
        <v>0</v>
      </c>
      <c r="Y1879" s="6">
        <v>4.16</v>
      </c>
      <c r="Z1879" s="6">
        <v>5.5</v>
      </c>
      <c r="AA1879" s="3" t="s">
        <v>5727</v>
      </c>
      <c r="AB1879" s="11"/>
      <c r="AC1879" s="9"/>
      <c r="AD1879" s="9"/>
      <c r="AE1879" s="1">
        <v>0</v>
      </c>
      <c r="AF1879" s="1">
        <f ca="1">IFERROR(__xludf.DUMMYFUNCTION("IFERROR(GOOGLEFINANCE(TRIM(F1879)&amp;"":"" &amp; TRIM(B1879),""high52""),AE1879)"),0)</f>
        <v>0</v>
      </c>
      <c r="AG1879" s="1">
        <v>0</v>
      </c>
      <c r="AH1879" s="1">
        <f ca="1">IFERROR(__xludf.DUMMYFUNCTION("IFERROR(GOOGLEFINANCE(TRIM(F1879)&amp;"":"" &amp; TRIM(B1879),""low52""),AE1879)"),0)</f>
        <v>0</v>
      </c>
      <c r="AI1879" s="1">
        <f ca="1">IFERROR(__xludf.DUMMYFUNCTION("IFERROR(GOOGLEFINANCE(B1879,""eps""),0)"),0)</f>
        <v>0</v>
      </c>
      <c r="AJ1879" s="1"/>
      <c r="AK1879" s="1" t="s">
        <v>5728</v>
      </c>
      <c r="AL1879" s="9">
        <f t="shared" si="221"/>
        <v>1</v>
      </c>
    </row>
    <row r="1880" spans="1:38" ht="15" x14ac:dyDescent="0.25">
      <c r="A1880" s="1" t="s">
        <v>5729</v>
      </c>
      <c r="B1880" s="1" t="s">
        <v>5730</v>
      </c>
      <c r="C1880" s="1" t="s">
        <v>43</v>
      </c>
      <c r="D1880" s="1" t="s">
        <v>43</v>
      </c>
      <c r="E1880" s="6">
        <v>18.43</v>
      </c>
      <c r="F1880" s="1" t="s">
        <v>53</v>
      </c>
      <c r="G1880" s="6">
        <f ca="1">IFERROR(__xludf.DUMMYFUNCTION("iferror(GOOGLEFINANCE(TRIM(F1880)&amp;"":"" &amp; TRIM(B1880), ""price""),0
)"),0)</f>
        <v>0</v>
      </c>
      <c r="H1880" s="6">
        <v>37</v>
      </c>
      <c r="I1880" s="6">
        <f t="shared" ca="1" si="0"/>
        <v>37</v>
      </c>
      <c r="J1880" s="6">
        <f ca="1">IFERROR(__xludf.DUMMYFUNCTION("IFERROR(GOOGLEFINANCE(B1880, ""volume""), 0)"),0)</f>
        <v>0</v>
      </c>
      <c r="K1880" s="9"/>
      <c r="L1880" s="6" t="str">
        <f ca="1">IFERROR(__xludf.DUMMYFUNCTION("IFERROR(GOOGLEFINANCE(B1880,""changepct""),K1880)"),"")</f>
        <v/>
      </c>
      <c r="M1880" s="6">
        <f ca="1">IFERROR(__xludf.DUMMYFUNCTION("IFERROR(GOOGLEFINANCE(B1880,""change""),0)"),0)</f>
        <v>0</v>
      </c>
      <c r="N1880" s="6">
        <v>1</v>
      </c>
      <c r="O1880" s="7">
        <v>45536</v>
      </c>
      <c r="P1880" s="6">
        <v>0.56000000000000005</v>
      </c>
      <c r="Q1880" s="7">
        <v>45536</v>
      </c>
      <c r="R1880" s="6">
        <v>33.200000000000003</v>
      </c>
      <c r="S1880" s="6">
        <v>0.83</v>
      </c>
      <c r="T1880" s="6">
        <v>3.82</v>
      </c>
      <c r="U1880" s="6">
        <v>1</v>
      </c>
      <c r="V1880" s="7">
        <v>45352</v>
      </c>
      <c r="W1880" s="10">
        <f ca="1">IFERROR(__xludf.DUMMYFUNCTION("IFERROR(GOOGLEFINANCE(B1880,""pe""),V1880)"),45352)</f>
        <v>45352</v>
      </c>
      <c r="X1880" s="6">
        <v>0</v>
      </c>
      <c r="Y1880" s="6">
        <v>8.84</v>
      </c>
      <c r="Z1880" s="6">
        <v>11.86</v>
      </c>
      <c r="AA1880" s="3" t="s">
        <v>5731</v>
      </c>
      <c r="AB1880" s="11"/>
      <c r="AC1880" s="9"/>
      <c r="AD1880" s="9"/>
      <c r="AE1880" s="1">
        <v>0</v>
      </c>
      <c r="AF1880" s="1">
        <f ca="1">IFERROR(__xludf.DUMMYFUNCTION("IFERROR(GOOGLEFINANCE(TRIM(F1880)&amp;"":"" &amp; TRIM(B1880),""high52""),AE1880)"),0)</f>
        <v>0</v>
      </c>
      <c r="AG1880" s="1">
        <v>0</v>
      </c>
      <c r="AH1880" s="1">
        <f ca="1">IFERROR(__xludf.DUMMYFUNCTION("IFERROR(GOOGLEFINANCE(TRIM(F1880)&amp;"":"" &amp; TRIM(B1880),""low52""),AE1880)"),0)</f>
        <v>0</v>
      </c>
      <c r="AI1880" s="1">
        <f ca="1">IFERROR(__xludf.DUMMYFUNCTION("IFERROR(GOOGLEFINANCE(B1880,""eps""),0)"),0)</f>
        <v>0</v>
      </c>
      <c r="AJ1880" s="1"/>
      <c r="AK1880" s="1" t="s">
        <v>5732</v>
      </c>
      <c r="AL1880" s="9">
        <f t="shared" si="221"/>
        <v>1</v>
      </c>
    </row>
    <row r="1881" spans="1:38" ht="15" x14ac:dyDescent="0.25">
      <c r="A1881" s="1" t="s">
        <v>5733</v>
      </c>
      <c r="B1881" s="1" t="s">
        <v>5734</v>
      </c>
      <c r="C1881" s="1" t="s">
        <v>43</v>
      </c>
      <c r="D1881" s="1" t="s">
        <v>43</v>
      </c>
      <c r="E1881" s="6">
        <v>99.8</v>
      </c>
      <c r="F1881" s="1" t="s">
        <v>53</v>
      </c>
      <c r="G1881" s="6">
        <f ca="1">IFERROR(__xludf.DUMMYFUNCTION("iferror(GOOGLEFINANCE(TRIM(F1881)&amp;"":"" &amp; TRIM(B1881), ""price""),0
)"),0)</f>
        <v>0</v>
      </c>
      <c r="H1881" s="6">
        <v>693.15</v>
      </c>
      <c r="I1881" s="6">
        <f t="shared" ca="1" si="0"/>
        <v>693.15</v>
      </c>
      <c r="J1881" s="6">
        <f ca="1">IFERROR(__xludf.DUMMYFUNCTION("IFERROR(GOOGLEFINANCE(B1881, ""volume""), 0)"),0)</f>
        <v>0</v>
      </c>
      <c r="K1881" s="6">
        <v>0</v>
      </c>
      <c r="L1881" s="6">
        <f ca="1">IFERROR(__xludf.DUMMYFUNCTION("IFERROR(GOOGLEFINANCE(B1881,""changepct""),K1881)"),0)</f>
        <v>0</v>
      </c>
      <c r="M1881" s="6">
        <f ca="1">IFERROR(__xludf.DUMMYFUNCTION("IFERROR(GOOGLEFINANCE(B1881,""change""),0)"),0)</f>
        <v>0</v>
      </c>
      <c r="N1881" s="6">
        <v>2</v>
      </c>
      <c r="O1881" s="7">
        <v>45536</v>
      </c>
      <c r="P1881" s="6">
        <v>3</v>
      </c>
      <c r="Q1881" s="7">
        <v>45536</v>
      </c>
      <c r="R1881" s="6">
        <v>33.340000000000003</v>
      </c>
      <c r="S1881" s="6">
        <v>-3.77</v>
      </c>
      <c r="T1881" s="6">
        <v>1.56</v>
      </c>
      <c r="U1881" s="6">
        <v>2</v>
      </c>
      <c r="V1881" s="7">
        <v>45352</v>
      </c>
      <c r="W1881" s="10">
        <f ca="1">IFERROR(__xludf.DUMMYFUNCTION("IFERROR(GOOGLEFINANCE(B1881,""pe""),V1881)"),45352)</f>
        <v>45352</v>
      </c>
      <c r="X1881" s="6">
        <v>0</v>
      </c>
      <c r="Y1881" s="6">
        <v>2.1800000000000002</v>
      </c>
      <c r="Z1881" s="6">
        <v>4.18</v>
      </c>
      <c r="AA1881" s="3" t="s">
        <v>5735</v>
      </c>
      <c r="AB1881" s="11"/>
      <c r="AC1881" s="9"/>
      <c r="AD1881" s="9"/>
      <c r="AE1881" s="1">
        <v>0</v>
      </c>
      <c r="AF1881" s="1">
        <f ca="1">IFERROR(__xludf.DUMMYFUNCTION("IFERROR(GOOGLEFINANCE(TRIM(F1881)&amp;"":"" &amp; TRIM(B1881),""high52""),AE1881)"),0)</f>
        <v>0</v>
      </c>
      <c r="AG1881" s="1">
        <v>0</v>
      </c>
      <c r="AH1881" s="1">
        <f ca="1">IFERROR(__xludf.DUMMYFUNCTION("IFERROR(GOOGLEFINANCE(TRIM(F1881)&amp;"":"" &amp; TRIM(B1881),""low52""),AE1881)"),0)</f>
        <v>0</v>
      </c>
      <c r="AI1881" s="1">
        <f ca="1">IFERROR(__xludf.DUMMYFUNCTION("IFERROR(GOOGLEFINANCE(B1881,""eps""),0)"),0)</f>
        <v>0</v>
      </c>
      <c r="AJ1881" s="1"/>
      <c r="AK1881" s="1" t="s">
        <v>5736</v>
      </c>
      <c r="AL1881" s="9">
        <f t="shared" si="221"/>
        <v>1</v>
      </c>
    </row>
    <row r="1882" spans="1:38" ht="15" x14ac:dyDescent="0.25">
      <c r="A1882" s="1" t="s">
        <v>5737</v>
      </c>
      <c r="B1882" s="1" t="s">
        <v>5738</v>
      </c>
      <c r="C1882" s="1" t="s">
        <v>288</v>
      </c>
      <c r="D1882" s="1" t="s">
        <v>288</v>
      </c>
      <c r="E1882" s="6">
        <v>69027.05</v>
      </c>
      <c r="F1882" s="1" t="s">
        <v>40</v>
      </c>
      <c r="G1882" s="6">
        <f ca="1">IFERROR(__xludf.DUMMYFUNCTION("iferror(GOOGLEFINANCE(TRIM(F1882)&amp;"":"" &amp; TRIM(B1882), ""price""),0
)"),259.85)</f>
        <v>259.85000000000002</v>
      </c>
      <c r="H1882" s="6">
        <v>330.7</v>
      </c>
      <c r="I1882" s="6">
        <f t="shared" ca="1" si="0"/>
        <v>259.85000000000002</v>
      </c>
      <c r="J1882" s="6">
        <f ca="1">IFERROR(__xludf.DUMMYFUNCTION("IFERROR(GOOGLEFINANCE(B1882, ""volume""), 0)"),1673716)</f>
        <v>1673716</v>
      </c>
      <c r="K1882" s="6">
        <v>0.76</v>
      </c>
      <c r="L1882" s="6">
        <f ca="1">IFERROR(__xludf.DUMMYFUNCTION("IFERROR(GOOGLEFINANCE(B1882,""changepct""),K1882)"),0.46)</f>
        <v>0.46</v>
      </c>
      <c r="M1882" s="6">
        <f ca="1">IFERROR(__xludf.DUMMYFUNCTION("IFERROR(GOOGLEFINANCE(B1882,""change""),0)"),1.2)</f>
        <v>1.2</v>
      </c>
      <c r="N1882" s="6">
        <v>2</v>
      </c>
      <c r="O1882" s="7">
        <v>45536</v>
      </c>
      <c r="P1882" s="6">
        <v>4414.22</v>
      </c>
      <c r="Q1882" s="6">
        <v>70551.59</v>
      </c>
      <c r="R1882" s="7">
        <v>45536</v>
      </c>
      <c r="S1882" s="6">
        <v>4047.62</v>
      </c>
      <c r="T1882" s="6">
        <v>1252.93</v>
      </c>
      <c r="U1882" s="7">
        <v>45536</v>
      </c>
      <c r="V1882" s="6">
        <v>55.46</v>
      </c>
      <c r="W1882" s="6">
        <f ca="1">IFERROR(__xludf.DUMMYFUNCTION("IFERROR(GOOGLEFINANCE(B1882,""pe""),V1882)"),33.67)</f>
        <v>33.67</v>
      </c>
      <c r="X1882" s="12"/>
      <c r="Y1882" s="6">
        <v>8.11</v>
      </c>
      <c r="Z1882" s="6">
        <v>2</v>
      </c>
      <c r="AA1882" s="8">
        <v>45352</v>
      </c>
      <c r="AB1882" s="4">
        <v>0.56000000000000005</v>
      </c>
      <c r="AC1882" s="6">
        <v>20.16</v>
      </c>
      <c r="AD1882" s="6">
        <v>17.41</v>
      </c>
      <c r="AE1882" s="1">
        <v>0</v>
      </c>
      <c r="AF1882" s="1">
        <f ca="1">IFERROR(__xludf.DUMMYFUNCTION("IFERROR(GOOGLEFINANCE(TRIM(F1882)&amp;"":"" &amp; TRIM(B1882),""high52""),AE1882)"),349)</f>
        <v>349</v>
      </c>
      <c r="AG1882" s="1">
        <v>0</v>
      </c>
      <c r="AH1882" s="1">
        <f ca="1">IFERROR(__xludf.DUMMYFUNCTION("IFERROR(GOOGLEFINANCE(TRIM(F1882)&amp;"":"" &amp; TRIM(B1882),""low52""),AE1882)"),218.2)</f>
        <v>218.2</v>
      </c>
      <c r="AI1882" s="1">
        <f ca="1">IFERROR(__xludf.DUMMYFUNCTION("IFERROR(GOOGLEFINANCE(B1882,""eps""),0)"),7.72)</f>
        <v>7.72</v>
      </c>
      <c r="AJ1882" s="1"/>
      <c r="AK1882" s="1" t="s">
        <v>5739</v>
      </c>
      <c r="AL1882" s="9">
        <f t="shared" si="221"/>
        <v>1</v>
      </c>
    </row>
    <row r="1883" spans="1:38" ht="15" x14ac:dyDescent="0.25">
      <c r="A1883" s="1" t="s">
        <v>5740</v>
      </c>
      <c r="B1883" s="1" t="s">
        <v>5741</v>
      </c>
      <c r="C1883" s="1" t="s">
        <v>43</v>
      </c>
      <c r="D1883" s="1" t="s">
        <v>43</v>
      </c>
      <c r="E1883" s="6">
        <v>513.95000000000005</v>
      </c>
      <c r="F1883" s="1" t="s">
        <v>53</v>
      </c>
      <c r="G1883" s="6">
        <f ca="1">IFERROR(__xludf.DUMMYFUNCTION("iferror(GOOGLEFINANCE(TRIM(F1883)&amp;"":"" &amp; TRIM(B1883), ""price""),0
)"),0)</f>
        <v>0</v>
      </c>
      <c r="H1883" s="6">
        <v>439.95</v>
      </c>
      <c r="I1883" s="6">
        <f t="shared" ca="1" si="0"/>
        <v>439.95</v>
      </c>
      <c r="J1883" s="6">
        <f ca="1">IFERROR(__xludf.DUMMYFUNCTION("IFERROR(GOOGLEFINANCE(B1883, ""volume""), 0)"),0)</f>
        <v>0</v>
      </c>
      <c r="K1883" s="9"/>
      <c r="L1883" s="6" t="str">
        <f ca="1">IFERROR(__xludf.DUMMYFUNCTION("IFERROR(GOOGLEFINANCE(B1883,""changepct""),K1883)"),"")</f>
        <v/>
      </c>
      <c r="M1883" s="6">
        <f ca="1">IFERROR(__xludf.DUMMYFUNCTION("IFERROR(GOOGLEFINANCE(B1883,""change""),0)"),0)</f>
        <v>0</v>
      </c>
      <c r="N1883" s="6">
        <v>2</v>
      </c>
      <c r="O1883" s="7">
        <v>45536</v>
      </c>
      <c r="P1883" s="6">
        <v>21.22</v>
      </c>
      <c r="Q1883" s="7">
        <v>45536</v>
      </c>
      <c r="R1883" s="6">
        <v>34.1</v>
      </c>
      <c r="S1883" s="6">
        <v>0.57999999999999996</v>
      </c>
      <c r="T1883" s="6">
        <v>5.98</v>
      </c>
      <c r="U1883" s="6">
        <v>2</v>
      </c>
      <c r="V1883" s="7">
        <v>45352</v>
      </c>
      <c r="W1883" s="10">
        <f ca="1">IFERROR(__xludf.DUMMYFUNCTION("IFERROR(GOOGLEFINANCE(B1883,""pe""),V1883)"),45352)</f>
        <v>45352</v>
      </c>
      <c r="X1883" s="6">
        <v>0.63</v>
      </c>
      <c r="Y1883" s="6">
        <v>42.65</v>
      </c>
      <c r="Z1883" s="6">
        <v>33.22</v>
      </c>
      <c r="AA1883" s="3" t="s">
        <v>5742</v>
      </c>
      <c r="AB1883" s="11"/>
      <c r="AC1883" s="9"/>
      <c r="AD1883" s="9"/>
      <c r="AE1883" s="1">
        <v>0</v>
      </c>
      <c r="AF1883" s="1">
        <f ca="1">IFERROR(__xludf.DUMMYFUNCTION("IFERROR(GOOGLEFINANCE(TRIM(F1883)&amp;"":"" &amp; TRIM(B1883),""high52""),AE1883)"),0)</f>
        <v>0</v>
      </c>
      <c r="AG1883" s="1">
        <v>0</v>
      </c>
      <c r="AH1883" s="1">
        <f ca="1">IFERROR(__xludf.DUMMYFUNCTION("IFERROR(GOOGLEFINANCE(TRIM(F1883)&amp;"":"" &amp; TRIM(B1883),""low52""),AE1883)"),0)</f>
        <v>0</v>
      </c>
      <c r="AI1883" s="1">
        <f ca="1">IFERROR(__xludf.DUMMYFUNCTION("IFERROR(GOOGLEFINANCE(B1883,""eps""),0)"),0)</f>
        <v>0</v>
      </c>
      <c r="AJ1883" s="1"/>
      <c r="AK1883" s="1" t="s">
        <v>5743</v>
      </c>
      <c r="AL1883" s="9">
        <f t="shared" si="221"/>
        <v>1</v>
      </c>
    </row>
    <row r="1884" spans="1:38" ht="15" x14ac:dyDescent="0.25">
      <c r="A1884" s="1" t="s">
        <v>5744</v>
      </c>
      <c r="B1884" s="1" t="s">
        <v>5745</v>
      </c>
      <c r="C1884" s="1" t="s">
        <v>219</v>
      </c>
      <c r="D1884" s="1" t="s">
        <v>219</v>
      </c>
      <c r="E1884" s="6">
        <v>223123.20000000001</v>
      </c>
      <c r="F1884" s="1" t="s">
        <v>40</v>
      </c>
      <c r="G1884" s="6">
        <f ca="1">IFERROR(__xludf.DUMMYFUNCTION("iferror(GOOGLEFINANCE(TRIM(F1884)&amp;"":"" &amp; TRIM(B1884), ""price""),0
)"),1198.1)</f>
        <v>1198.0999999999999</v>
      </c>
      <c r="H1884" s="6">
        <v>920.6</v>
      </c>
      <c r="I1884" s="6">
        <f t="shared" ca="1" si="0"/>
        <v>1198.0999999999999</v>
      </c>
      <c r="J1884" s="6">
        <f ca="1">IFERROR(__xludf.DUMMYFUNCTION("IFERROR(GOOGLEFINANCE(B1884, ""volume""), 0)"),1839134)</f>
        <v>1839134</v>
      </c>
      <c r="K1884" s="6">
        <v>0.89</v>
      </c>
      <c r="L1884" s="6">
        <f ca="1">IFERROR(__xludf.DUMMYFUNCTION("IFERROR(GOOGLEFINANCE(B1884,""changepct""),K1884)"),0.55)</f>
        <v>0.55000000000000004</v>
      </c>
      <c r="M1884" s="6">
        <f ca="1">IFERROR(__xludf.DUMMYFUNCTION("IFERROR(GOOGLEFINANCE(B1884,""change""),0)"),6.6)</f>
        <v>6.6</v>
      </c>
      <c r="N1884" s="6">
        <v>2</v>
      </c>
      <c r="O1884" s="7">
        <v>45536</v>
      </c>
      <c r="P1884" s="6">
        <v>92355</v>
      </c>
      <c r="Q1884" s="6">
        <v>306189.2</v>
      </c>
      <c r="R1884" s="7">
        <v>45536</v>
      </c>
      <c r="S1884" s="6">
        <v>170836</v>
      </c>
      <c r="T1884" s="6">
        <v>5231</v>
      </c>
      <c r="U1884" s="7">
        <v>45536</v>
      </c>
      <c r="V1884" s="6">
        <v>44.64</v>
      </c>
      <c r="W1884" s="6">
        <f ca="1">IFERROR(__xludf.DUMMYFUNCTION("IFERROR(GOOGLEFINANCE(B1884,""pe""),V1884)"),39.35)</f>
        <v>39.35</v>
      </c>
      <c r="X1884" s="6">
        <v>22.89</v>
      </c>
      <c r="Y1884" s="6">
        <v>2.8</v>
      </c>
      <c r="Z1884" s="6">
        <v>2</v>
      </c>
      <c r="AA1884" s="8">
        <v>45352</v>
      </c>
      <c r="AB1884" s="4">
        <v>1.1100000000000001</v>
      </c>
      <c r="AC1884" s="6">
        <v>12.6</v>
      </c>
      <c r="AD1884" s="6">
        <v>13.96</v>
      </c>
      <c r="AE1884" s="1">
        <v>0</v>
      </c>
      <c r="AF1884" s="1">
        <f ca="1">IFERROR(__xludf.DUMMYFUNCTION("IFERROR(GOOGLEFINANCE(TRIM(F1884)&amp;"":"" &amp; TRIM(B1884),""high52""),AE1884)"),1245)</f>
        <v>1245</v>
      </c>
      <c r="AG1884" s="1">
        <v>0</v>
      </c>
      <c r="AH1884" s="1">
        <f ca="1">IFERROR(__xludf.DUMMYFUNCTION("IFERROR(GOOGLEFINANCE(TRIM(F1884)&amp;"":"" &amp; TRIM(B1884),""low52""),AE1884)"),905.2)</f>
        <v>905.2</v>
      </c>
      <c r="AI1884" s="1">
        <f ca="1">IFERROR(__xludf.DUMMYFUNCTION("IFERROR(GOOGLEFINANCE(B1884,""eps""),0)"),30.45)</f>
        <v>30.45</v>
      </c>
      <c r="AJ1884" s="1"/>
      <c r="AK1884" s="1" t="s">
        <v>5746</v>
      </c>
      <c r="AL1884" s="9">
        <f t="shared" si="221"/>
        <v>1</v>
      </c>
    </row>
    <row r="1885" spans="1:38" ht="15" x14ac:dyDescent="0.25">
      <c r="A1885" s="1" t="s">
        <v>5747</v>
      </c>
      <c r="B1885" s="1" t="s">
        <v>5748</v>
      </c>
      <c r="C1885" s="1" t="s">
        <v>355</v>
      </c>
      <c r="D1885" s="1" t="s">
        <v>355</v>
      </c>
      <c r="E1885" s="6">
        <v>4261.74</v>
      </c>
      <c r="F1885" s="1" t="s">
        <v>40</v>
      </c>
      <c r="G1885" s="6">
        <f ca="1">IFERROR(__xludf.DUMMYFUNCTION("iferror(GOOGLEFINANCE(TRIM(F1885)&amp;"":"" &amp; TRIM(B1885), ""price""),0
)"),139)</f>
        <v>139</v>
      </c>
      <c r="H1885" s="6">
        <v>167.1</v>
      </c>
      <c r="I1885" s="6">
        <f t="shared" ca="1" si="0"/>
        <v>139</v>
      </c>
      <c r="J1885" s="6">
        <f ca="1">IFERROR(__xludf.DUMMYFUNCTION("IFERROR(GOOGLEFINANCE(B1885, ""volume""), 0)"),130048)</f>
        <v>130048</v>
      </c>
      <c r="K1885" s="6">
        <v>-0.32</v>
      </c>
      <c r="L1885" s="6">
        <f ca="1">IFERROR(__xludf.DUMMYFUNCTION("IFERROR(GOOGLEFINANCE(B1885,""changepct""),K1885)"),2.67)</f>
        <v>2.67</v>
      </c>
      <c r="M1885" s="6">
        <f ca="1">IFERROR(__xludf.DUMMYFUNCTION("IFERROR(GOOGLEFINANCE(B1885,""change""),0)"),3.61)</f>
        <v>3.61</v>
      </c>
      <c r="N1885" s="6">
        <v>1</v>
      </c>
      <c r="O1885" s="7">
        <v>45536</v>
      </c>
      <c r="P1885" s="6">
        <v>86.11</v>
      </c>
      <c r="Q1885" s="6">
        <v>4347.8500000000004</v>
      </c>
      <c r="R1885" s="7">
        <v>45536</v>
      </c>
      <c r="S1885" s="6">
        <v>2342.31</v>
      </c>
      <c r="T1885" s="6">
        <v>92.41</v>
      </c>
      <c r="U1885" s="7">
        <v>45536</v>
      </c>
      <c r="V1885" s="6">
        <v>46.12</v>
      </c>
      <c r="W1885" s="6">
        <f ca="1">IFERROR(__xludf.DUMMYFUNCTION("IFERROR(GOOGLEFINANCE(B1885,""pe""),V1885)"),51.95)</f>
        <v>51.95</v>
      </c>
      <c r="X1885" s="6">
        <v>8.19</v>
      </c>
      <c r="Y1885" s="6">
        <v>5.07</v>
      </c>
      <c r="Z1885" s="6">
        <v>2</v>
      </c>
      <c r="AA1885" s="8">
        <v>44986</v>
      </c>
      <c r="AB1885" s="4">
        <v>0.08</v>
      </c>
      <c r="AC1885" s="6">
        <v>13.06</v>
      </c>
      <c r="AD1885" s="6">
        <v>16.3</v>
      </c>
      <c r="AE1885" s="1">
        <v>0</v>
      </c>
      <c r="AF1885" s="1">
        <f ca="1">IFERROR(__xludf.DUMMYFUNCTION("IFERROR(GOOGLEFINANCE(TRIM(F1885)&amp;"":"" &amp; TRIM(B1885),""high52""),AE1885)"),188.5)</f>
        <v>188.5</v>
      </c>
      <c r="AG1885" s="1">
        <v>0</v>
      </c>
      <c r="AH1885" s="1">
        <f ca="1">IFERROR(__xludf.DUMMYFUNCTION("IFERROR(GOOGLEFINANCE(TRIM(F1885)&amp;"":"" &amp; TRIM(B1885),""low52""),AE1885)"),103.76)</f>
        <v>103.76</v>
      </c>
      <c r="AI1885" s="1">
        <f ca="1">IFERROR(__xludf.DUMMYFUNCTION("IFERROR(GOOGLEFINANCE(B1885,""eps""),0)"),2.68)</f>
        <v>2.68</v>
      </c>
      <c r="AJ1885" s="1"/>
      <c r="AK1885" s="1" t="s">
        <v>5749</v>
      </c>
      <c r="AL1885" s="1" t="b">
        <f>ISNUMBER(AA1885)</f>
        <v>1</v>
      </c>
    </row>
    <row r="1886" spans="1:38" ht="15" x14ac:dyDescent="0.25">
      <c r="A1886" s="1" t="s">
        <v>5750</v>
      </c>
      <c r="B1886" s="1" t="s">
        <v>5751</v>
      </c>
      <c r="C1886" s="1" t="s">
        <v>43</v>
      </c>
      <c r="D1886" s="1" t="s">
        <v>43</v>
      </c>
      <c r="E1886" s="6">
        <v>2521.86</v>
      </c>
      <c r="F1886" s="1" t="s">
        <v>53</v>
      </c>
      <c r="G1886" s="6">
        <f ca="1">IFERROR(__xludf.DUMMYFUNCTION("iferror(GOOGLEFINANCE(TRIM(F1886)&amp;"":"" &amp; TRIM(B1886), ""price""),0
)"),0)</f>
        <v>0</v>
      </c>
      <c r="H1886" s="6">
        <v>187.5</v>
      </c>
      <c r="I1886" s="6">
        <f t="shared" ca="1" si="0"/>
        <v>187.5</v>
      </c>
      <c r="J1886" s="6">
        <f ca="1">IFERROR(__xludf.DUMMYFUNCTION("IFERROR(GOOGLEFINANCE(B1886, ""volume""), 0)"),113575)</f>
        <v>113575</v>
      </c>
      <c r="K1886" s="6">
        <v>1.52</v>
      </c>
      <c r="L1886" s="6">
        <f ca="1">IFERROR(__xludf.DUMMYFUNCTION("IFERROR(GOOGLEFINANCE(B1886,""changepct""),K1886)"),0.21)</f>
        <v>0.21</v>
      </c>
      <c r="M1886" s="6">
        <f ca="1">IFERROR(__xludf.DUMMYFUNCTION("IFERROR(GOOGLEFINANCE(B1886,""change""),0)"),0.18)</f>
        <v>0.18</v>
      </c>
      <c r="N1886" s="6">
        <v>2</v>
      </c>
      <c r="O1886" s="7">
        <v>45536</v>
      </c>
      <c r="P1886" s="6">
        <v>71.010000000000005</v>
      </c>
      <c r="Q1886" s="7">
        <v>45536</v>
      </c>
      <c r="R1886" s="6">
        <v>35.520000000000003</v>
      </c>
      <c r="S1886" s="6">
        <v>0.43</v>
      </c>
      <c r="T1886" s="6">
        <v>14.37</v>
      </c>
      <c r="U1886" s="6">
        <v>2</v>
      </c>
      <c r="V1886" s="7">
        <v>45352</v>
      </c>
      <c r="W1886" s="6">
        <f ca="1">IFERROR(__xludf.DUMMYFUNCTION("IFERROR(GOOGLEFINANCE(B1886,""pe""),V1886)"),45.33)</f>
        <v>45.33</v>
      </c>
      <c r="X1886" s="6">
        <v>0.14000000000000001</v>
      </c>
      <c r="Y1886" s="6">
        <v>42.46</v>
      </c>
      <c r="Z1886" s="6">
        <v>48.35</v>
      </c>
      <c r="AA1886" s="3" t="s">
        <v>5752</v>
      </c>
      <c r="AB1886" s="11"/>
      <c r="AC1886" s="9"/>
      <c r="AD1886" s="9"/>
      <c r="AE1886" s="1">
        <v>0</v>
      </c>
      <c r="AF1886" s="1">
        <f ca="1">IFERROR(__xludf.DUMMYFUNCTION("IFERROR(GOOGLEFINANCE(TRIM(F1886)&amp;"":"" &amp; TRIM(B1886),""high52""),AE1886)"),0)</f>
        <v>0</v>
      </c>
      <c r="AG1886" s="1">
        <v>0</v>
      </c>
      <c r="AH1886" s="1">
        <f ca="1">IFERROR(__xludf.DUMMYFUNCTION("IFERROR(GOOGLEFINANCE(TRIM(F1886)&amp;"":"" &amp; TRIM(B1886),""low52""),AE1886)"),0)</f>
        <v>0</v>
      </c>
      <c r="AI1886" s="1">
        <f ca="1">IFERROR(__xludf.DUMMYFUNCTION("IFERROR(GOOGLEFINANCE(B1886,""eps""),0)"),1.87)</f>
        <v>1.87</v>
      </c>
      <c r="AJ1886" s="1"/>
      <c r="AK1886" s="1" t="s">
        <v>5753</v>
      </c>
      <c r="AL1886" s="9">
        <f t="shared" ref="AL1886:AL1894" si="222">IF(AA1886&lt;&gt;AB1886,1,0)</f>
        <v>1</v>
      </c>
    </row>
    <row r="1887" spans="1:38" ht="15" x14ac:dyDescent="0.25">
      <c r="A1887" s="1" t="s">
        <v>5754</v>
      </c>
      <c r="B1887" s="1" t="s">
        <v>5755</v>
      </c>
      <c r="C1887" s="1" t="s">
        <v>43</v>
      </c>
      <c r="D1887" s="1" t="s">
        <v>43</v>
      </c>
      <c r="E1887" s="6">
        <v>45.87</v>
      </c>
      <c r="F1887" s="1" t="s">
        <v>53</v>
      </c>
      <c r="G1887" s="6">
        <f ca="1">IFERROR(__xludf.DUMMYFUNCTION("iferror(GOOGLEFINANCE(TRIM(F1887)&amp;"":"" &amp; TRIM(B1887), ""price""),0
)"),0)</f>
        <v>0</v>
      </c>
      <c r="H1887" s="6">
        <v>81</v>
      </c>
      <c r="I1887" s="6">
        <f t="shared" ca="1" si="0"/>
        <v>81</v>
      </c>
      <c r="J1887" s="6">
        <f ca="1">IFERROR(__xludf.DUMMYFUNCTION("IFERROR(GOOGLEFINANCE(B1887, ""volume""), 0)"),0)</f>
        <v>0</v>
      </c>
      <c r="K1887" s="6">
        <v>1.04</v>
      </c>
      <c r="L1887" s="6">
        <f ca="1">IFERROR(__xludf.DUMMYFUNCTION("IFERROR(GOOGLEFINANCE(B1887,""changepct""),K1887)"),1.04)</f>
        <v>1.04</v>
      </c>
      <c r="M1887" s="6">
        <f ca="1">IFERROR(__xludf.DUMMYFUNCTION("IFERROR(GOOGLEFINANCE(B1887,""change""),0)"),0)</f>
        <v>0</v>
      </c>
      <c r="N1887" s="6">
        <v>1</v>
      </c>
      <c r="O1887" s="7">
        <v>45536</v>
      </c>
      <c r="P1887" s="6">
        <v>1.25</v>
      </c>
      <c r="Q1887" s="7">
        <v>45536</v>
      </c>
      <c r="R1887" s="6">
        <v>36.58</v>
      </c>
      <c r="S1887" s="9"/>
      <c r="T1887" s="6">
        <v>2.77</v>
      </c>
      <c r="U1887" s="6">
        <v>1</v>
      </c>
      <c r="V1887" s="7">
        <v>45352</v>
      </c>
      <c r="W1887" s="10">
        <f ca="1">IFERROR(__xludf.DUMMYFUNCTION("IFERROR(GOOGLEFINANCE(B1887,""pe""),V1887)"),45352)</f>
        <v>45352</v>
      </c>
      <c r="X1887" s="6">
        <v>0.33</v>
      </c>
      <c r="Y1887" s="6">
        <v>-1.06</v>
      </c>
      <c r="Z1887" s="6">
        <v>-0.77</v>
      </c>
      <c r="AA1887" s="3" t="s">
        <v>5756</v>
      </c>
      <c r="AB1887" s="11"/>
      <c r="AC1887" s="9"/>
      <c r="AD1887" s="9"/>
      <c r="AE1887" s="1">
        <v>0</v>
      </c>
      <c r="AF1887" s="1">
        <f ca="1">IFERROR(__xludf.DUMMYFUNCTION("IFERROR(GOOGLEFINANCE(TRIM(F1887)&amp;"":"" &amp; TRIM(B1887),""high52""),AE1887)"),0)</f>
        <v>0</v>
      </c>
      <c r="AG1887" s="1">
        <v>0</v>
      </c>
      <c r="AH1887" s="1">
        <f ca="1">IFERROR(__xludf.DUMMYFUNCTION("IFERROR(GOOGLEFINANCE(TRIM(F1887)&amp;"":"" &amp; TRIM(B1887),""low52""),AE1887)"),0)</f>
        <v>0</v>
      </c>
      <c r="AI1887" s="1">
        <f ca="1">IFERROR(__xludf.DUMMYFUNCTION("IFERROR(GOOGLEFINANCE(B1887,""eps""),0)"),0)</f>
        <v>0</v>
      </c>
      <c r="AJ1887" s="1"/>
      <c r="AK1887" s="1" t="s">
        <v>5757</v>
      </c>
      <c r="AL1887" s="9">
        <f t="shared" si="222"/>
        <v>1</v>
      </c>
    </row>
    <row r="1888" spans="1:38" ht="15" x14ac:dyDescent="0.25">
      <c r="A1888" s="1" t="s">
        <v>5758</v>
      </c>
      <c r="B1888" s="1" t="s">
        <v>5759</v>
      </c>
      <c r="C1888" s="1" t="s">
        <v>43</v>
      </c>
      <c r="D1888" s="1" t="s">
        <v>43</v>
      </c>
      <c r="E1888" s="6">
        <v>41.32</v>
      </c>
      <c r="F1888" s="1" t="s">
        <v>53</v>
      </c>
      <c r="G1888" s="6">
        <f ca="1">IFERROR(__xludf.DUMMYFUNCTION("iferror(GOOGLEFINANCE(TRIM(F1888)&amp;"":"" &amp; TRIM(B1888), ""price""),0
)"),0)</f>
        <v>0</v>
      </c>
      <c r="H1888" s="6">
        <v>2.7</v>
      </c>
      <c r="I1888" s="6">
        <f t="shared" ca="1" si="0"/>
        <v>2.7</v>
      </c>
      <c r="J1888" s="6">
        <f ca="1">IFERROR(__xludf.DUMMYFUNCTION("IFERROR(GOOGLEFINANCE(B1888, ""volume""), 0)"),0)</f>
        <v>0</v>
      </c>
      <c r="K1888" s="6">
        <v>4.6500000000000004</v>
      </c>
      <c r="L1888" s="6">
        <f ca="1">IFERROR(__xludf.DUMMYFUNCTION("IFERROR(GOOGLEFINANCE(B1888,""changepct""),K1888)"),4.65)</f>
        <v>4.6500000000000004</v>
      </c>
      <c r="M1888" s="6">
        <f ca="1">IFERROR(__xludf.DUMMYFUNCTION("IFERROR(GOOGLEFINANCE(B1888,""change""),0)"),0)</f>
        <v>0</v>
      </c>
      <c r="N1888" s="6">
        <v>1</v>
      </c>
      <c r="O1888" s="7">
        <v>45536</v>
      </c>
      <c r="P1888" s="6">
        <v>1.1200000000000001</v>
      </c>
      <c r="Q1888" s="7">
        <v>45536</v>
      </c>
      <c r="R1888" s="6">
        <v>36.89</v>
      </c>
      <c r="S1888" s="6">
        <v>-4.3</v>
      </c>
      <c r="T1888" s="6">
        <v>1.72</v>
      </c>
      <c r="U1888" s="6">
        <v>1</v>
      </c>
      <c r="V1888" s="7">
        <v>45352</v>
      </c>
      <c r="W1888" s="10">
        <f ca="1">IFERROR(__xludf.DUMMYFUNCTION("IFERROR(GOOGLEFINANCE(B1888,""pe""),V1888)"),45352)</f>
        <v>45352</v>
      </c>
      <c r="X1888" s="6">
        <v>0</v>
      </c>
      <c r="Y1888" s="6">
        <v>1.67</v>
      </c>
      <c r="Z1888" s="6">
        <v>3.93</v>
      </c>
      <c r="AA1888" s="3" t="s">
        <v>5760</v>
      </c>
      <c r="AB1888" s="11"/>
      <c r="AC1888" s="9"/>
      <c r="AD1888" s="9"/>
      <c r="AE1888" s="1">
        <v>0</v>
      </c>
      <c r="AF1888" s="1">
        <f ca="1">IFERROR(__xludf.DUMMYFUNCTION("IFERROR(GOOGLEFINANCE(TRIM(F1888)&amp;"":"" &amp; TRIM(B1888),""high52""),AE1888)"),0)</f>
        <v>0</v>
      </c>
      <c r="AG1888" s="1">
        <v>0</v>
      </c>
      <c r="AH1888" s="1">
        <f ca="1">IFERROR(__xludf.DUMMYFUNCTION("IFERROR(GOOGLEFINANCE(TRIM(F1888)&amp;"":"" &amp; TRIM(B1888),""low52""),AE1888)"),0)</f>
        <v>0</v>
      </c>
      <c r="AI1888" s="1">
        <f ca="1">IFERROR(__xludf.DUMMYFUNCTION("IFERROR(GOOGLEFINANCE(B1888,""eps""),0)"),0)</f>
        <v>0</v>
      </c>
      <c r="AJ1888" s="1"/>
      <c r="AK1888" s="9"/>
      <c r="AL1888" s="9">
        <f t="shared" si="222"/>
        <v>1</v>
      </c>
    </row>
    <row r="1889" spans="1:38" ht="15" x14ac:dyDescent="0.25">
      <c r="A1889" s="1" t="s">
        <v>5761</v>
      </c>
      <c r="B1889" s="1" t="s">
        <v>5762</v>
      </c>
      <c r="C1889" s="1" t="s">
        <v>43</v>
      </c>
      <c r="D1889" s="1" t="s">
        <v>43</v>
      </c>
      <c r="E1889" s="6">
        <v>296.64999999999998</v>
      </c>
      <c r="F1889" s="1" t="s">
        <v>53</v>
      </c>
      <c r="G1889" s="6">
        <f ca="1">IFERROR(__xludf.DUMMYFUNCTION("iferror(GOOGLEFINANCE(TRIM(F1889)&amp;"":"" &amp; TRIM(B1889), ""price""),0
)"),0)</f>
        <v>0</v>
      </c>
      <c r="H1889" s="6">
        <v>800</v>
      </c>
      <c r="I1889" s="6">
        <f t="shared" ca="1" si="0"/>
        <v>800</v>
      </c>
      <c r="J1889" s="6">
        <f ca="1">IFERROR(__xludf.DUMMYFUNCTION("IFERROR(GOOGLEFINANCE(B1889, ""volume""), 0)"),0)</f>
        <v>0</v>
      </c>
      <c r="K1889" s="6">
        <v>0.64</v>
      </c>
      <c r="L1889" s="6">
        <f ca="1">IFERROR(__xludf.DUMMYFUNCTION("IFERROR(GOOGLEFINANCE(B1889,""changepct""),K1889)"),0.64)</f>
        <v>0.64</v>
      </c>
      <c r="M1889" s="6">
        <f ca="1">IFERROR(__xludf.DUMMYFUNCTION("IFERROR(GOOGLEFINANCE(B1889,""change""),0)"),0)</f>
        <v>0</v>
      </c>
      <c r="N1889" s="6">
        <v>1</v>
      </c>
      <c r="O1889" s="7">
        <v>45536</v>
      </c>
      <c r="P1889" s="6">
        <v>8.0299999999999994</v>
      </c>
      <c r="Q1889" s="7">
        <v>45536</v>
      </c>
      <c r="R1889" s="6">
        <v>36.950000000000003</v>
      </c>
      <c r="S1889" s="6">
        <v>0.92</v>
      </c>
      <c r="T1889" s="6">
        <v>4.57</v>
      </c>
      <c r="U1889" s="6">
        <v>1</v>
      </c>
      <c r="V1889" s="7">
        <v>45352</v>
      </c>
      <c r="W1889" s="10">
        <f ca="1">IFERROR(__xludf.DUMMYFUNCTION("IFERROR(GOOGLEFINANCE(B1889,""pe""),V1889)"),45352)</f>
        <v>45352</v>
      </c>
      <c r="X1889" s="6">
        <v>0</v>
      </c>
      <c r="Y1889" s="6">
        <v>14.3</v>
      </c>
      <c r="Z1889" s="6">
        <v>18.57</v>
      </c>
      <c r="AA1889" s="3" t="s">
        <v>5763</v>
      </c>
      <c r="AB1889" s="11"/>
      <c r="AC1889" s="9"/>
      <c r="AD1889" s="9"/>
      <c r="AE1889" s="1">
        <v>0</v>
      </c>
      <c r="AF1889" s="1">
        <f ca="1">IFERROR(__xludf.DUMMYFUNCTION("IFERROR(GOOGLEFINANCE(TRIM(F1889)&amp;"":"" &amp; TRIM(B1889),""high52""),AE1889)"),0)</f>
        <v>0</v>
      </c>
      <c r="AG1889" s="1">
        <v>0</v>
      </c>
      <c r="AH1889" s="1">
        <f ca="1">IFERROR(__xludf.DUMMYFUNCTION("IFERROR(GOOGLEFINANCE(TRIM(F1889)&amp;"":"" &amp; TRIM(B1889),""low52""),AE1889)"),0)</f>
        <v>0</v>
      </c>
      <c r="AI1889" s="1">
        <f ca="1">IFERROR(__xludf.DUMMYFUNCTION("IFERROR(GOOGLEFINANCE(B1889,""eps""),0)"),0)</f>
        <v>0</v>
      </c>
      <c r="AJ1889" s="1"/>
      <c r="AK1889" s="1" t="s">
        <v>5764</v>
      </c>
      <c r="AL1889" s="9">
        <f t="shared" si="222"/>
        <v>1</v>
      </c>
    </row>
    <row r="1890" spans="1:38" ht="15" x14ac:dyDescent="0.25">
      <c r="A1890" s="1" t="s">
        <v>5765</v>
      </c>
      <c r="B1890" s="1" t="s">
        <v>5766</v>
      </c>
      <c r="C1890" s="1" t="s">
        <v>43</v>
      </c>
      <c r="D1890" s="1" t="s">
        <v>43</v>
      </c>
      <c r="E1890" s="6">
        <v>12.88</v>
      </c>
      <c r="F1890" s="1" t="s">
        <v>53</v>
      </c>
      <c r="G1890" s="6">
        <f ca="1">IFERROR(__xludf.DUMMYFUNCTION("iferror(GOOGLEFINANCE(TRIM(F1890)&amp;"":"" &amp; TRIM(B1890), ""price""),0
)"),0)</f>
        <v>0</v>
      </c>
      <c r="H1890" s="6">
        <v>40</v>
      </c>
      <c r="I1890" s="6">
        <f t="shared" ca="1" si="0"/>
        <v>40</v>
      </c>
      <c r="J1890" s="6">
        <f ca="1">IFERROR(__xludf.DUMMYFUNCTION("IFERROR(GOOGLEFINANCE(B1890, ""volume""), 0)"),0)</f>
        <v>0</v>
      </c>
      <c r="K1890" s="6">
        <v>-4.3499999999999996</v>
      </c>
      <c r="L1890" s="6">
        <f ca="1">IFERROR(__xludf.DUMMYFUNCTION("IFERROR(GOOGLEFINANCE(B1890,""changepct""),K1890)"),-4.35)</f>
        <v>-4.3499999999999996</v>
      </c>
      <c r="M1890" s="6">
        <f ca="1">IFERROR(__xludf.DUMMYFUNCTION("IFERROR(GOOGLEFINANCE(B1890,""change""),0)"),0)</f>
        <v>0</v>
      </c>
      <c r="N1890" s="6">
        <v>1</v>
      </c>
      <c r="O1890" s="7">
        <v>45536</v>
      </c>
      <c r="P1890" s="6">
        <v>0.35</v>
      </c>
      <c r="Q1890" s="7">
        <v>45536</v>
      </c>
      <c r="R1890" s="6">
        <v>37.01</v>
      </c>
      <c r="S1890" s="6">
        <v>0.41</v>
      </c>
      <c r="T1890" s="6">
        <v>3.31</v>
      </c>
      <c r="U1890" s="6">
        <v>1</v>
      </c>
      <c r="V1890" s="7">
        <v>45352</v>
      </c>
      <c r="W1890" s="10">
        <f ca="1">IFERROR(__xludf.DUMMYFUNCTION("IFERROR(GOOGLEFINANCE(B1890,""pe""),V1890)"),45352)</f>
        <v>45352</v>
      </c>
      <c r="X1890" s="6">
        <v>0</v>
      </c>
      <c r="Y1890" s="6">
        <v>15.04</v>
      </c>
      <c r="Z1890" s="6">
        <v>20.32</v>
      </c>
      <c r="AA1890" s="3" t="s">
        <v>5767</v>
      </c>
      <c r="AB1890" s="11"/>
      <c r="AC1890" s="9"/>
      <c r="AD1890" s="9"/>
      <c r="AE1890" s="1">
        <v>0</v>
      </c>
      <c r="AF1890" s="1">
        <f ca="1">IFERROR(__xludf.DUMMYFUNCTION("IFERROR(GOOGLEFINANCE(TRIM(F1890)&amp;"":"" &amp; TRIM(B1890),""high52""),AE1890)"),0)</f>
        <v>0</v>
      </c>
      <c r="AG1890" s="1">
        <v>0</v>
      </c>
      <c r="AH1890" s="1">
        <f ca="1">IFERROR(__xludf.DUMMYFUNCTION("IFERROR(GOOGLEFINANCE(TRIM(F1890)&amp;"":"" &amp; TRIM(B1890),""low52""),AE1890)"),0)</f>
        <v>0</v>
      </c>
      <c r="AI1890" s="1">
        <f ca="1">IFERROR(__xludf.DUMMYFUNCTION("IFERROR(GOOGLEFINANCE(B1890,""eps""),0)"),0)</f>
        <v>0</v>
      </c>
      <c r="AJ1890" s="1"/>
      <c r="AK1890" s="1" t="s">
        <v>5768</v>
      </c>
      <c r="AL1890" s="9">
        <f t="shared" si="222"/>
        <v>1</v>
      </c>
    </row>
    <row r="1891" spans="1:38" ht="15" x14ac:dyDescent="0.25">
      <c r="A1891" s="1" t="s">
        <v>5769</v>
      </c>
      <c r="B1891" s="1" t="s">
        <v>5770</v>
      </c>
      <c r="C1891" s="1" t="s">
        <v>43</v>
      </c>
      <c r="D1891" s="1" t="s">
        <v>43</v>
      </c>
      <c r="E1891" s="6">
        <v>40.36</v>
      </c>
      <c r="F1891" s="1" t="s">
        <v>53</v>
      </c>
      <c r="G1891" s="6">
        <f ca="1">IFERROR(__xludf.DUMMYFUNCTION("iferror(GOOGLEFINANCE(TRIM(F1891)&amp;"":"" &amp; TRIM(B1891), ""price""),0
)"),0)</f>
        <v>0</v>
      </c>
      <c r="H1891" s="6">
        <v>7.33</v>
      </c>
      <c r="I1891" s="6">
        <f t="shared" ca="1" si="0"/>
        <v>7.33</v>
      </c>
      <c r="J1891" s="6">
        <f ca="1">IFERROR(__xludf.DUMMYFUNCTION("IFERROR(GOOGLEFINANCE(B1891, ""volume""), 0)"),0)</f>
        <v>0</v>
      </c>
      <c r="K1891" s="6">
        <v>1.1000000000000001</v>
      </c>
      <c r="L1891" s="6">
        <f ca="1">IFERROR(__xludf.DUMMYFUNCTION("IFERROR(GOOGLEFINANCE(B1891,""changepct""),K1891)"),1.1)</f>
        <v>1.1000000000000001</v>
      </c>
      <c r="M1891" s="6">
        <f ca="1">IFERROR(__xludf.DUMMYFUNCTION("IFERROR(GOOGLEFINANCE(B1891,""change""),0)"),0)</f>
        <v>0</v>
      </c>
      <c r="N1891" s="6">
        <v>1</v>
      </c>
      <c r="O1891" s="7">
        <v>45536</v>
      </c>
      <c r="P1891" s="6">
        <v>1.06</v>
      </c>
      <c r="Q1891" s="7">
        <v>45536</v>
      </c>
      <c r="R1891" s="6">
        <v>38.22</v>
      </c>
      <c r="S1891" s="6">
        <v>1.63</v>
      </c>
      <c r="T1891" s="6">
        <v>0.55000000000000004</v>
      </c>
      <c r="U1891" s="6">
        <v>1</v>
      </c>
      <c r="V1891" s="7">
        <v>45352</v>
      </c>
      <c r="W1891" s="10">
        <f ca="1">IFERROR(__xludf.DUMMYFUNCTION("IFERROR(GOOGLEFINANCE(B1891,""pe""),V1891)"),45352)</f>
        <v>45352</v>
      </c>
      <c r="X1891" s="6">
        <v>0</v>
      </c>
      <c r="Y1891" s="6">
        <v>0.41</v>
      </c>
      <c r="Z1891" s="6">
        <v>1.75</v>
      </c>
      <c r="AA1891" s="3" t="s">
        <v>5771</v>
      </c>
      <c r="AB1891" s="11"/>
      <c r="AC1891" s="9"/>
      <c r="AD1891" s="9"/>
      <c r="AE1891" s="1">
        <v>0</v>
      </c>
      <c r="AF1891" s="1">
        <f ca="1">IFERROR(__xludf.DUMMYFUNCTION("IFERROR(GOOGLEFINANCE(TRIM(F1891)&amp;"":"" &amp; TRIM(B1891),""high52""),AE1891)"),0)</f>
        <v>0</v>
      </c>
      <c r="AG1891" s="1">
        <v>0</v>
      </c>
      <c r="AH1891" s="1">
        <f ca="1">IFERROR(__xludf.DUMMYFUNCTION("IFERROR(GOOGLEFINANCE(TRIM(F1891)&amp;"":"" &amp; TRIM(B1891),""low52""),AE1891)"),0)</f>
        <v>0</v>
      </c>
      <c r="AI1891" s="1">
        <f ca="1">IFERROR(__xludf.DUMMYFUNCTION("IFERROR(GOOGLEFINANCE(B1891,""eps""),0)"),0)</f>
        <v>0</v>
      </c>
      <c r="AJ1891" s="1"/>
      <c r="AK1891" s="9"/>
      <c r="AL1891" s="9">
        <f t="shared" si="222"/>
        <v>1</v>
      </c>
    </row>
    <row r="1892" spans="1:38" ht="15" x14ac:dyDescent="0.25">
      <c r="A1892" s="1" t="s">
        <v>5772</v>
      </c>
      <c r="B1892" s="1" t="s">
        <v>5773</v>
      </c>
      <c r="C1892" s="1" t="s">
        <v>219</v>
      </c>
      <c r="D1892" s="1" t="s">
        <v>219</v>
      </c>
      <c r="E1892" s="6">
        <v>3870.67</v>
      </c>
      <c r="F1892" s="1" t="s">
        <v>40</v>
      </c>
      <c r="G1892" s="6">
        <f ca="1">IFERROR(__xludf.DUMMYFUNCTION("iferror(GOOGLEFINANCE(TRIM(F1892)&amp;"":"" &amp; TRIM(B1892), ""price""),0
)"),71.46)</f>
        <v>71.459999999999994</v>
      </c>
      <c r="H1892" s="6">
        <v>96.3</v>
      </c>
      <c r="I1892" s="6">
        <f t="shared" ca="1" si="0"/>
        <v>71.459999999999994</v>
      </c>
      <c r="J1892" s="6">
        <f ca="1">IFERROR(__xludf.DUMMYFUNCTION("IFERROR(GOOGLEFINANCE(B1892, ""volume""), 0)"),4243358)</f>
        <v>4243358</v>
      </c>
      <c r="K1892" s="6">
        <v>-2.4</v>
      </c>
      <c r="L1892" s="6">
        <f ca="1">IFERROR(__xludf.DUMMYFUNCTION("IFERROR(GOOGLEFINANCE(B1892,""changepct""),K1892)"),1.58)</f>
        <v>1.58</v>
      </c>
      <c r="M1892" s="6">
        <f ca="1">IFERROR(__xludf.DUMMYFUNCTION("IFERROR(GOOGLEFINANCE(B1892,""change""),0)"),1.11)</f>
        <v>1.1100000000000001</v>
      </c>
      <c r="N1892" s="6">
        <v>2</v>
      </c>
      <c r="O1892" s="7">
        <v>45536</v>
      </c>
      <c r="P1892" s="6">
        <v>45.66</v>
      </c>
      <c r="Q1892" s="6">
        <v>3741.79</v>
      </c>
      <c r="R1892" s="7">
        <v>45536</v>
      </c>
      <c r="S1892" s="6">
        <v>2028.25</v>
      </c>
      <c r="T1892" s="6">
        <v>116.78</v>
      </c>
      <c r="U1892" s="7">
        <v>45536</v>
      </c>
      <c r="V1892" s="6">
        <v>33.14</v>
      </c>
      <c r="W1892" s="6">
        <f ca="1">IFERROR(__xludf.DUMMYFUNCTION("IFERROR(GOOGLEFINANCE(B1892,""pe""),V1892)"),36.13)</f>
        <v>36.130000000000003</v>
      </c>
      <c r="X1892" s="9"/>
      <c r="Y1892" s="6">
        <v>3.26</v>
      </c>
      <c r="Z1892" s="6">
        <v>2</v>
      </c>
      <c r="AA1892" s="8">
        <v>45352</v>
      </c>
      <c r="AB1892" s="4">
        <v>0.04</v>
      </c>
      <c r="AC1892" s="6">
        <v>26.52</v>
      </c>
      <c r="AD1892" s="6">
        <v>23.73</v>
      </c>
      <c r="AE1892" s="1">
        <v>0</v>
      </c>
      <c r="AF1892" s="1">
        <f ca="1">IFERROR(__xludf.DUMMYFUNCTION("IFERROR(GOOGLEFINANCE(TRIM(F1892)&amp;"":"" &amp; TRIM(B1892),""high52""),AE1892)"),103)</f>
        <v>103</v>
      </c>
      <c r="AG1892" s="1">
        <v>0</v>
      </c>
      <c r="AH1892" s="1">
        <f ca="1">IFERROR(__xludf.DUMMYFUNCTION("IFERROR(GOOGLEFINANCE(TRIM(F1892)&amp;"":"" &amp; TRIM(B1892),""low52""),AE1892)"),51.31)</f>
        <v>51.31</v>
      </c>
      <c r="AI1892" s="1">
        <f ca="1">IFERROR(__xludf.DUMMYFUNCTION("IFERROR(GOOGLEFINANCE(B1892,""eps""),0)"),1.98)</f>
        <v>1.98</v>
      </c>
      <c r="AJ1892" s="1"/>
      <c r="AK1892" s="9"/>
      <c r="AL1892" s="9">
        <f t="shared" si="222"/>
        <v>1</v>
      </c>
    </row>
    <row r="1893" spans="1:38" ht="15" x14ac:dyDescent="0.25">
      <c r="A1893" s="1" t="s">
        <v>5774</v>
      </c>
      <c r="B1893" s="1" t="s">
        <v>5775</v>
      </c>
      <c r="C1893" s="1" t="s">
        <v>43</v>
      </c>
      <c r="D1893" s="1" t="s">
        <v>43</v>
      </c>
      <c r="E1893" s="6">
        <v>27.59</v>
      </c>
      <c r="F1893" s="1" t="s">
        <v>53</v>
      </c>
      <c r="G1893" s="6">
        <f ca="1">IFERROR(__xludf.DUMMYFUNCTION("iferror(GOOGLEFINANCE(TRIM(F1893)&amp;"":"" &amp; TRIM(B1893), ""price""),0
)"),0)</f>
        <v>0</v>
      </c>
      <c r="H1893" s="6">
        <v>65.14</v>
      </c>
      <c r="I1893" s="6">
        <f t="shared" ca="1" si="0"/>
        <v>65.14</v>
      </c>
      <c r="J1893" s="6">
        <f ca="1">IFERROR(__xludf.DUMMYFUNCTION("IFERROR(GOOGLEFINANCE(B1893, ""volume""), 0)"),0)</f>
        <v>0</v>
      </c>
      <c r="K1893" s="6">
        <v>1.99</v>
      </c>
      <c r="L1893" s="6">
        <f ca="1">IFERROR(__xludf.DUMMYFUNCTION("IFERROR(GOOGLEFINANCE(B1893,""changepct""),K1893)"),1.99)</f>
        <v>1.99</v>
      </c>
      <c r="M1893" s="6">
        <f ca="1">IFERROR(__xludf.DUMMYFUNCTION("IFERROR(GOOGLEFINANCE(B1893,""change""),0)"),0)</f>
        <v>0</v>
      </c>
      <c r="N1893" s="6">
        <v>1</v>
      </c>
      <c r="O1893" s="7">
        <v>45536</v>
      </c>
      <c r="P1893" s="6">
        <v>0.59</v>
      </c>
      <c r="Q1893" s="7">
        <v>45536</v>
      </c>
      <c r="R1893" s="6">
        <v>46.92</v>
      </c>
      <c r="S1893" s="6">
        <v>6.01</v>
      </c>
      <c r="T1893" s="6">
        <v>1.36</v>
      </c>
      <c r="U1893" s="6">
        <v>1</v>
      </c>
      <c r="V1893" s="7">
        <v>45352</v>
      </c>
      <c r="W1893" s="10">
        <f ca="1">IFERROR(__xludf.DUMMYFUNCTION("IFERROR(GOOGLEFINANCE(B1893,""pe""),V1893)"),45352)</f>
        <v>45352</v>
      </c>
      <c r="X1893" s="6">
        <v>0</v>
      </c>
      <c r="Y1893" s="6">
        <v>3.11</v>
      </c>
      <c r="Z1893" s="6">
        <v>4.04</v>
      </c>
      <c r="AA1893" s="3" t="s">
        <v>5776</v>
      </c>
      <c r="AB1893" s="11"/>
      <c r="AC1893" s="9"/>
      <c r="AD1893" s="9"/>
      <c r="AE1893" s="1">
        <v>0</v>
      </c>
      <c r="AF1893" s="1">
        <f ca="1">IFERROR(__xludf.DUMMYFUNCTION("IFERROR(GOOGLEFINANCE(TRIM(F1893)&amp;"":"" &amp; TRIM(B1893),""high52""),AE1893)"),0)</f>
        <v>0</v>
      </c>
      <c r="AG1893" s="1">
        <v>0</v>
      </c>
      <c r="AH1893" s="1">
        <f ca="1">IFERROR(__xludf.DUMMYFUNCTION("IFERROR(GOOGLEFINANCE(TRIM(F1893)&amp;"":"" &amp; TRIM(B1893),""low52""),AE1893)"),0)</f>
        <v>0</v>
      </c>
      <c r="AI1893" s="1">
        <f ca="1">IFERROR(__xludf.DUMMYFUNCTION("IFERROR(GOOGLEFINANCE(B1893,""eps""),0)"),0)</f>
        <v>0</v>
      </c>
      <c r="AJ1893" s="1"/>
      <c r="AK1893" s="1" t="s">
        <v>5777</v>
      </c>
      <c r="AL1893" s="9">
        <f t="shared" si="222"/>
        <v>1</v>
      </c>
    </row>
    <row r="1894" spans="1:38" ht="15" x14ac:dyDescent="0.25">
      <c r="A1894" s="1" t="s">
        <v>5778</v>
      </c>
      <c r="B1894" s="1" t="s">
        <v>5779</v>
      </c>
      <c r="C1894" s="1" t="s">
        <v>324</v>
      </c>
      <c r="D1894" s="1" t="s">
        <v>324</v>
      </c>
      <c r="E1894" s="6">
        <v>49871.1</v>
      </c>
      <c r="F1894" s="1" t="s">
        <v>40</v>
      </c>
      <c r="G1894" s="6">
        <f ca="1">IFERROR(__xludf.DUMMYFUNCTION("iferror(GOOGLEFINANCE(TRIM(F1894)&amp;"":"" &amp; TRIM(B1894), ""price""),0
)"),495.25)</f>
        <v>495.25</v>
      </c>
      <c r="H1894" s="6">
        <v>761.6</v>
      </c>
      <c r="I1894" s="6">
        <f t="shared" ca="1" si="0"/>
        <v>495.25</v>
      </c>
      <c r="J1894" s="6">
        <f ca="1">IFERROR(__xludf.DUMMYFUNCTION("IFERROR(GOOGLEFINANCE(B1894, ""volume""), 0)"),779665)</f>
        <v>779665</v>
      </c>
      <c r="K1894" s="6">
        <v>0.72</v>
      </c>
      <c r="L1894" s="6">
        <f ca="1">IFERROR(__xludf.DUMMYFUNCTION("IFERROR(GOOGLEFINANCE(B1894,""changepct""),K1894)"),0.6)</f>
        <v>0.6</v>
      </c>
      <c r="M1894" s="6">
        <f ca="1">IFERROR(__xludf.DUMMYFUNCTION("IFERROR(GOOGLEFINANCE(B1894,""change""),0)"),2.95)</f>
        <v>2.95</v>
      </c>
      <c r="N1894" s="6">
        <v>2</v>
      </c>
      <c r="O1894" s="7">
        <v>45536</v>
      </c>
      <c r="P1894" s="6">
        <v>1493.76</v>
      </c>
      <c r="Q1894" s="6">
        <v>51243.94</v>
      </c>
      <c r="R1894" s="7">
        <v>45536</v>
      </c>
      <c r="S1894" s="6">
        <v>6838.69</v>
      </c>
      <c r="T1894" s="6">
        <v>390.13</v>
      </c>
      <c r="U1894" s="7">
        <v>45536</v>
      </c>
      <c r="V1894" s="6">
        <v>126.88</v>
      </c>
      <c r="W1894" s="6">
        <f ca="1">IFERROR(__xludf.DUMMYFUNCTION("IFERROR(GOOGLEFINANCE(B1894,""pe""),V1894)"),88.53)</f>
        <v>88.53</v>
      </c>
      <c r="X1894" s="6">
        <v>-31.25</v>
      </c>
      <c r="Y1894" s="6">
        <v>22.83</v>
      </c>
      <c r="Z1894" s="6">
        <v>2</v>
      </c>
      <c r="AA1894" s="8">
        <v>45352</v>
      </c>
      <c r="AB1894" s="4">
        <v>0.71</v>
      </c>
      <c r="AC1894" s="6">
        <v>19.3</v>
      </c>
      <c r="AD1894" s="6">
        <v>26.23</v>
      </c>
      <c r="AE1894" s="1">
        <v>0</v>
      </c>
      <c r="AF1894" s="1">
        <f ca="1">IFERROR(__xludf.DUMMYFUNCTION("IFERROR(GOOGLEFINANCE(TRIM(F1894)&amp;"":"" &amp; TRIM(B1894),""high52""),AE1894)"),760.5)</f>
        <v>760.5</v>
      </c>
      <c r="AG1894" s="1">
        <v>0</v>
      </c>
      <c r="AH1894" s="1">
        <f ca="1">IFERROR(__xludf.DUMMYFUNCTION("IFERROR(GOOGLEFINANCE(TRIM(F1894)&amp;"":"" &amp; TRIM(B1894),""low52""),AE1894)"),481.1)</f>
        <v>481.1</v>
      </c>
      <c r="AI1894" s="1">
        <f ca="1">IFERROR(__xludf.DUMMYFUNCTION("IFERROR(GOOGLEFINANCE(B1894,""eps""),0)"),5.59)</f>
        <v>5.59</v>
      </c>
      <c r="AJ1894" s="1"/>
      <c r="AK1894" s="1" t="s">
        <v>5780</v>
      </c>
      <c r="AL1894" s="9">
        <f t="shared" si="222"/>
        <v>1</v>
      </c>
    </row>
    <row r="1895" spans="1:38" ht="15" x14ac:dyDescent="0.25">
      <c r="A1895" s="1" t="s">
        <v>5781</v>
      </c>
      <c r="B1895" s="1" t="s">
        <v>5782</v>
      </c>
      <c r="C1895" s="1" t="s">
        <v>135</v>
      </c>
      <c r="D1895" s="1" t="s">
        <v>135</v>
      </c>
      <c r="E1895" s="6">
        <v>4199.1499999999996</v>
      </c>
      <c r="F1895" s="1" t="s">
        <v>40</v>
      </c>
      <c r="G1895" s="6">
        <f ca="1">IFERROR(__xludf.DUMMYFUNCTION("iferror(GOOGLEFINANCE(TRIM(F1895)&amp;"":"" &amp; TRIM(B1895), ""price""),0
)"),0)</f>
        <v>0</v>
      </c>
      <c r="H1895" s="6">
        <v>1633.5</v>
      </c>
      <c r="I1895" s="6">
        <f t="shared" ca="1" si="0"/>
        <v>1633.5</v>
      </c>
      <c r="J1895" s="6">
        <f ca="1">IFERROR(__xludf.DUMMYFUNCTION("IFERROR(GOOGLEFINANCE(B1895, ""volume""), 0)"),0)</f>
        <v>0</v>
      </c>
      <c r="K1895" s="9"/>
      <c r="L1895" s="6" t="str">
        <f ca="1">IFERROR(__xludf.DUMMYFUNCTION("IFERROR(GOOGLEFINANCE(B1895,""changepct""),K1895)"),"")</f>
        <v/>
      </c>
      <c r="M1895" s="6">
        <f ca="1">IFERROR(__xludf.DUMMYFUNCTION("IFERROR(GOOGLEFINANCE(B1895,""change""),0)"),0)</f>
        <v>0</v>
      </c>
      <c r="N1895" s="6">
        <v>1</v>
      </c>
      <c r="O1895" s="7">
        <v>45352</v>
      </c>
      <c r="P1895" s="6">
        <v>144.88999999999999</v>
      </c>
      <c r="Q1895" s="6">
        <v>4329.3100000000004</v>
      </c>
      <c r="R1895" s="7">
        <v>45444</v>
      </c>
      <c r="S1895" s="6">
        <v>0</v>
      </c>
      <c r="T1895" s="6">
        <v>0</v>
      </c>
      <c r="U1895" s="7">
        <v>45444</v>
      </c>
      <c r="V1895" s="9"/>
      <c r="W1895" s="6" t="str">
        <f ca="1">IFERROR(__xludf.DUMMYFUNCTION("IFERROR(GOOGLEFINANCE(B1895,""pe""),V1895)"),"")</f>
        <v/>
      </c>
      <c r="X1895" s="9"/>
      <c r="Y1895" s="6">
        <v>13.39</v>
      </c>
      <c r="Z1895" s="6">
        <v>2</v>
      </c>
      <c r="AA1895" s="8">
        <v>45352</v>
      </c>
      <c r="AB1895" s="4">
        <v>0.63</v>
      </c>
      <c r="AC1895" s="6">
        <v>13.58</v>
      </c>
      <c r="AD1895" s="6">
        <v>16.5</v>
      </c>
      <c r="AE1895" s="1">
        <v>0</v>
      </c>
      <c r="AF1895" s="1">
        <f ca="1">IFERROR(__xludf.DUMMYFUNCTION("IFERROR(GOOGLEFINANCE(TRIM(F1895)&amp;"":"" &amp; TRIM(B1895),""high52""),AE1895)"),0)</f>
        <v>0</v>
      </c>
      <c r="AG1895" s="1">
        <v>0</v>
      </c>
      <c r="AH1895" s="1">
        <f ca="1">IFERROR(__xludf.DUMMYFUNCTION("IFERROR(GOOGLEFINANCE(TRIM(F1895)&amp;"":"" &amp; TRIM(B1895),""low52""),AE1895)"),0)</f>
        <v>0</v>
      </c>
      <c r="AI1895" s="1">
        <f ca="1">IFERROR(__xludf.DUMMYFUNCTION("IFERROR(GOOGLEFINANCE(B1895,""eps""),0)"),0)</f>
        <v>0</v>
      </c>
      <c r="AJ1895" s="1"/>
      <c r="AK1895" s="1" t="s">
        <v>5783</v>
      </c>
      <c r="AL1895" s="1" t="b">
        <f>ISNUMBER(AA1895)</f>
        <v>1</v>
      </c>
    </row>
    <row r="1896" spans="1:38" ht="15" x14ac:dyDescent="0.25">
      <c r="A1896" s="1" t="s">
        <v>5784</v>
      </c>
      <c r="B1896" s="1" t="s">
        <v>5785</v>
      </c>
      <c r="C1896" s="1" t="s">
        <v>135</v>
      </c>
      <c r="D1896" s="1" t="s">
        <v>135</v>
      </c>
      <c r="E1896" s="6">
        <v>13103.26</v>
      </c>
      <c r="F1896" s="1" t="s">
        <v>40</v>
      </c>
      <c r="G1896" s="6">
        <f ca="1">IFERROR(__xludf.DUMMYFUNCTION("iferror(GOOGLEFINANCE(TRIM(F1896)&amp;"":"" &amp; TRIM(B1896), ""price""),0
)"),614.95)</f>
        <v>614.95000000000005</v>
      </c>
      <c r="H1896" s="6">
        <v>822.95</v>
      </c>
      <c r="I1896" s="6">
        <f t="shared" ca="1" si="0"/>
        <v>614.95000000000005</v>
      </c>
      <c r="J1896" s="6">
        <f ca="1">IFERROR(__xludf.DUMMYFUNCTION("IFERROR(GOOGLEFINANCE(B1896, ""volume""), 0)"),164827)</f>
        <v>164827</v>
      </c>
      <c r="K1896" s="6">
        <v>0.04</v>
      </c>
      <c r="L1896" s="6">
        <f ca="1">IFERROR(__xludf.DUMMYFUNCTION("IFERROR(GOOGLEFINANCE(B1896,""changepct""),K1896)"),-1.26)</f>
        <v>-1.26</v>
      </c>
      <c r="M1896" s="6">
        <f ca="1">IFERROR(__xludf.DUMMYFUNCTION("IFERROR(GOOGLEFINANCE(B1896,""change""),0)"),-7.85)</f>
        <v>-7.85</v>
      </c>
      <c r="N1896" s="6">
        <v>2</v>
      </c>
      <c r="O1896" s="7">
        <v>45536</v>
      </c>
      <c r="P1896" s="6">
        <v>712.84</v>
      </c>
      <c r="Q1896" s="6">
        <v>13753.48</v>
      </c>
      <c r="R1896" s="7">
        <v>45536</v>
      </c>
      <c r="S1896" s="6">
        <v>4110.42</v>
      </c>
      <c r="T1896" s="6">
        <v>175.63</v>
      </c>
      <c r="U1896" s="7">
        <v>45536</v>
      </c>
      <c r="V1896" s="6">
        <v>74.64</v>
      </c>
      <c r="W1896" s="6">
        <f ca="1">IFERROR(__xludf.DUMMYFUNCTION("IFERROR(GOOGLEFINANCE(B1896,""pe""),V1896)"),33.84)</f>
        <v>33.840000000000003</v>
      </c>
      <c r="X1896" s="12"/>
      <c r="Y1896" s="6">
        <v>4.6500000000000004</v>
      </c>
      <c r="Z1896" s="6">
        <v>2</v>
      </c>
      <c r="AA1896" s="17">
        <v>45352</v>
      </c>
      <c r="AB1896" s="18">
        <v>0.27</v>
      </c>
      <c r="AC1896" s="6">
        <v>6.79</v>
      </c>
      <c r="AD1896" s="6">
        <v>9.8000000000000007</v>
      </c>
      <c r="AE1896" s="1">
        <v>0</v>
      </c>
      <c r="AF1896" s="1">
        <f ca="1">IFERROR(__xludf.DUMMYFUNCTION("IFERROR(GOOGLEFINANCE(TRIM(F1896)&amp;"":"" &amp; TRIM(B1896),""high52""),AE1896)"),851.8)</f>
        <v>851.8</v>
      </c>
      <c r="AG1896" s="1">
        <v>0</v>
      </c>
      <c r="AH1896" s="1">
        <f ca="1">IFERROR(__xludf.DUMMYFUNCTION("IFERROR(GOOGLEFINANCE(TRIM(F1896)&amp;"":"" &amp; TRIM(B1896),""low52""),AE1896)"),535.2)</f>
        <v>535.20000000000005</v>
      </c>
      <c r="AI1896" s="1">
        <f ca="1">IFERROR(__xludf.DUMMYFUNCTION("IFERROR(GOOGLEFINANCE(B1896,""eps""),0)"),18.17)</f>
        <v>18.170000000000002</v>
      </c>
      <c r="AJ1896" s="1"/>
      <c r="AK1896" s="1" t="s">
        <v>5786</v>
      </c>
      <c r="AL1896" s="9">
        <f t="shared" ref="AL1896:AL1914" si="223">IF(AA1896&lt;&gt;AB1896,1,0)</f>
        <v>1</v>
      </c>
    </row>
    <row r="1897" spans="1:38" ht="15" x14ac:dyDescent="0.25">
      <c r="A1897" s="1" t="s">
        <v>5787</v>
      </c>
      <c r="B1897" s="1" t="s">
        <v>5788</v>
      </c>
      <c r="C1897" s="1" t="s">
        <v>106</v>
      </c>
      <c r="D1897" s="1" t="s">
        <v>106</v>
      </c>
      <c r="E1897" s="6">
        <v>17265.28</v>
      </c>
      <c r="F1897" s="1" t="s">
        <v>40</v>
      </c>
      <c r="G1897" s="6">
        <f ca="1">IFERROR(__xludf.DUMMYFUNCTION("iferror(GOOGLEFINANCE(TRIM(F1897)&amp;"":"" &amp; TRIM(B1897), ""price""),0
)"),959.15)</f>
        <v>959.15</v>
      </c>
      <c r="H1897" s="6">
        <v>1089</v>
      </c>
      <c r="I1897" s="6">
        <f t="shared" ca="1" si="0"/>
        <v>959.15</v>
      </c>
      <c r="J1897" s="6">
        <f ca="1">IFERROR(__xludf.DUMMYFUNCTION("IFERROR(GOOGLEFINANCE(B1897, ""volume""), 0)"),91369)</f>
        <v>91369</v>
      </c>
      <c r="K1897" s="6">
        <v>0.38</v>
      </c>
      <c r="L1897" s="6">
        <f ca="1">IFERROR(__xludf.DUMMYFUNCTION("IFERROR(GOOGLEFINANCE(B1897,""changepct""),K1897)"),-0.9)</f>
        <v>-0.9</v>
      </c>
      <c r="M1897" s="6">
        <f ca="1">IFERROR(__xludf.DUMMYFUNCTION("IFERROR(GOOGLEFINANCE(B1897,""change""),0)"),-8.7)</f>
        <v>-8.6999999999999993</v>
      </c>
      <c r="N1897" s="6">
        <v>2</v>
      </c>
      <c r="O1897" s="7">
        <v>45536</v>
      </c>
      <c r="P1897" s="6">
        <v>2825</v>
      </c>
      <c r="Q1897" s="6">
        <v>19012.88</v>
      </c>
      <c r="R1897" s="7">
        <v>45536</v>
      </c>
      <c r="S1897" s="6">
        <v>6919.7</v>
      </c>
      <c r="T1897" s="6">
        <v>572.5</v>
      </c>
      <c r="U1897" s="7">
        <v>45536</v>
      </c>
      <c r="V1897" s="6">
        <v>29.11</v>
      </c>
      <c r="W1897" s="6">
        <f ca="1">IFERROR(__xludf.DUMMYFUNCTION("IFERROR(GOOGLEFINANCE(B1897,""pe""),V1897)"),31.9)</f>
        <v>31.9</v>
      </c>
      <c r="X1897" s="6">
        <v>-0.99</v>
      </c>
      <c r="Y1897" s="6">
        <v>2.91</v>
      </c>
      <c r="Z1897" s="6">
        <v>2</v>
      </c>
      <c r="AA1897" s="8">
        <v>45352</v>
      </c>
      <c r="AB1897" s="4">
        <v>0.63</v>
      </c>
      <c r="AC1897" s="6">
        <v>1.34</v>
      </c>
      <c r="AD1897" s="6">
        <v>5.0199999999999996</v>
      </c>
      <c r="AE1897" s="1">
        <v>0</v>
      </c>
      <c r="AF1897" s="1">
        <f ca="1">IFERROR(__xludf.DUMMYFUNCTION("IFERROR(GOOGLEFINANCE(TRIM(F1897)&amp;"":"" &amp; TRIM(B1897),""high52""),AE1897)"),1248)</f>
        <v>1248</v>
      </c>
      <c r="AG1897" s="1">
        <v>0</v>
      </c>
      <c r="AH1897" s="1">
        <f ca="1">IFERROR(__xludf.DUMMYFUNCTION("IFERROR(GOOGLEFINANCE(TRIM(F1897)&amp;"":"" &amp; TRIM(B1897),""low52""),AE1897)"),802)</f>
        <v>802</v>
      </c>
      <c r="AI1897" s="1">
        <f ca="1">IFERROR(__xludf.DUMMYFUNCTION("IFERROR(GOOGLEFINANCE(B1897,""eps""),0)"),30.07)</f>
        <v>30.07</v>
      </c>
      <c r="AJ1897" s="1"/>
      <c r="AK1897" s="1" t="s">
        <v>5789</v>
      </c>
      <c r="AL1897" s="9">
        <f t="shared" si="223"/>
        <v>1</v>
      </c>
    </row>
    <row r="1898" spans="1:38" ht="15" x14ac:dyDescent="0.25">
      <c r="A1898" s="1" t="s">
        <v>5790</v>
      </c>
      <c r="B1898" s="1" t="s">
        <v>5791</v>
      </c>
      <c r="C1898" s="1" t="s">
        <v>43</v>
      </c>
      <c r="D1898" s="1" t="s">
        <v>43</v>
      </c>
      <c r="E1898" s="6">
        <v>28.08</v>
      </c>
      <c r="F1898" s="1" t="s">
        <v>53</v>
      </c>
      <c r="G1898" s="6">
        <f ca="1">IFERROR(__xludf.DUMMYFUNCTION("iferror(GOOGLEFINANCE(TRIM(F1898)&amp;"":"" &amp; TRIM(B1898), ""price""),0
)"),0)</f>
        <v>0</v>
      </c>
      <c r="H1898" s="6">
        <v>45.87</v>
      </c>
      <c r="I1898" s="6">
        <f t="shared" ca="1" si="0"/>
        <v>45.87</v>
      </c>
      <c r="J1898" s="6">
        <f ca="1">IFERROR(__xludf.DUMMYFUNCTION("IFERROR(GOOGLEFINANCE(B1898, ""volume""), 0)"),0)</f>
        <v>0</v>
      </c>
      <c r="K1898" s="6">
        <v>-1.99</v>
      </c>
      <c r="L1898" s="6">
        <f ca="1">IFERROR(__xludf.DUMMYFUNCTION("IFERROR(GOOGLEFINANCE(B1898,""changepct""),K1898)"),-1.99)</f>
        <v>-1.99</v>
      </c>
      <c r="M1898" s="6">
        <f ca="1">IFERROR(__xludf.DUMMYFUNCTION("IFERROR(GOOGLEFINANCE(B1898,""change""),0)"),0)</f>
        <v>0</v>
      </c>
      <c r="N1898" s="6">
        <v>1</v>
      </c>
      <c r="O1898" s="7">
        <v>45536</v>
      </c>
      <c r="P1898" s="6">
        <v>0.51</v>
      </c>
      <c r="Q1898" s="7">
        <v>45536</v>
      </c>
      <c r="R1898" s="6">
        <v>55.38</v>
      </c>
      <c r="S1898" s="6">
        <v>0.52</v>
      </c>
      <c r="T1898" s="6">
        <v>1.96</v>
      </c>
      <c r="U1898" s="6">
        <v>1</v>
      </c>
      <c r="V1898" s="7">
        <v>45352</v>
      </c>
      <c r="W1898" s="10">
        <f ca="1">IFERROR(__xludf.DUMMYFUNCTION("IFERROR(GOOGLEFINANCE(B1898,""pe""),V1898)"),45352)</f>
        <v>45352</v>
      </c>
      <c r="X1898" s="6">
        <v>0</v>
      </c>
      <c r="Y1898" s="6">
        <v>12.21</v>
      </c>
      <c r="Z1898" s="6">
        <v>11.78</v>
      </c>
      <c r="AA1898" s="19" t="s">
        <v>5792</v>
      </c>
      <c r="AB1898" s="20"/>
      <c r="AC1898" s="9"/>
      <c r="AD1898" s="9"/>
      <c r="AE1898" s="1">
        <v>0</v>
      </c>
      <c r="AF1898" s="1">
        <f ca="1">IFERROR(__xludf.DUMMYFUNCTION("IFERROR(GOOGLEFINANCE(TRIM(F1898)&amp;"":"" &amp; TRIM(B1898),""high52""),AE1898)"),0)</f>
        <v>0</v>
      </c>
      <c r="AG1898" s="1">
        <v>0</v>
      </c>
      <c r="AH1898" s="1">
        <f ca="1">IFERROR(__xludf.DUMMYFUNCTION("IFERROR(GOOGLEFINANCE(TRIM(F1898)&amp;"":"" &amp; TRIM(B1898),""low52""),AE1898)"),0)</f>
        <v>0</v>
      </c>
      <c r="AI1898" s="1">
        <f ca="1">IFERROR(__xludf.DUMMYFUNCTION("IFERROR(GOOGLEFINANCE(B1898,""eps""),0)"),0)</f>
        <v>0</v>
      </c>
      <c r="AJ1898" s="1"/>
      <c r="AK1898" s="1" t="s">
        <v>5793</v>
      </c>
      <c r="AL1898" s="9">
        <f t="shared" si="223"/>
        <v>1</v>
      </c>
    </row>
    <row r="1899" spans="1:38" ht="15" x14ac:dyDescent="0.25">
      <c r="A1899" s="1" t="s">
        <v>5794</v>
      </c>
      <c r="B1899" s="1" t="s">
        <v>5795</v>
      </c>
      <c r="C1899" s="1" t="s">
        <v>43</v>
      </c>
      <c r="D1899" s="1" t="s">
        <v>43</v>
      </c>
      <c r="E1899" s="6">
        <v>116.9</v>
      </c>
      <c r="F1899" s="1" t="s">
        <v>53</v>
      </c>
      <c r="G1899" s="6">
        <f ca="1">IFERROR(__xludf.DUMMYFUNCTION("iferror(GOOGLEFINANCE(TRIM(F1899)&amp;"":"" &amp; TRIM(B1899), ""price""),0
)"),0)</f>
        <v>0</v>
      </c>
      <c r="H1899" s="6">
        <v>84.17</v>
      </c>
      <c r="I1899" s="6">
        <f t="shared" ca="1" si="0"/>
        <v>84.17</v>
      </c>
      <c r="J1899" s="6">
        <f ca="1">IFERROR(__xludf.DUMMYFUNCTION("IFERROR(GOOGLEFINANCE(B1899, ""volume""), 0)"),0)</f>
        <v>0</v>
      </c>
      <c r="K1899" s="6">
        <v>-1.99</v>
      </c>
      <c r="L1899" s="6">
        <f ca="1">IFERROR(__xludf.DUMMYFUNCTION("IFERROR(GOOGLEFINANCE(B1899,""changepct""),K1899)"),-1.99)</f>
        <v>-1.99</v>
      </c>
      <c r="M1899" s="6">
        <f ca="1">IFERROR(__xludf.DUMMYFUNCTION("IFERROR(GOOGLEFINANCE(B1899,""change""),0)"),0)</f>
        <v>0</v>
      </c>
      <c r="N1899" s="6">
        <v>1</v>
      </c>
      <c r="O1899" s="7">
        <v>45536</v>
      </c>
      <c r="P1899" s="6">
        <v>1.96</v>
      </c>
      <c r="Q1899" s="7">
        <v>45536</v>
      </c>
      <c r="R1899" s="6">
        <v>59.49</v>
      </c>
      <c r="S1899" s="6">
        <v>0.72</v>
      </c>
      <c r="T1899" s="6">
        <v>1.89</v>
      </c>
      <c r="U1899" s="6">
        <v>1</v>
      </c>
      <c r="V1899" s="7">
        <v>45352</v>
      </c>
      <c r="W1899" s="10">
        <f ca="1">IFERROR(__xludf.DUMMYFUNCTION("IFERROR(GOOGLEFINANCE(B1899,""pe""),V1899)"),45352)</f>
        <v>45352</v>
      </c>
      <c r="X1899" s="6">
        <v>0</v>
      </c>
      <c r="Y1899" s="6">
        <v>19.18</v>
      </c>
      <c r="Z1899" s="6">
        <v>23.67</v>
      </c>
      <c r="AA1899" s="3" t="s">
        <v>5796</v>
      </c>
      <c r="AB1899" s="11"/>
      <c r="AC1899" s="9"/>
      <c r="AD1899" s="9"/>
      <c r="AE1899" s="1">
        <v>0</v>
      </c>
      <c r="AF1899" s="1">
        <f ca="1">IFERROR(__xludf.DUMMYFUNCTION("IFERROR(GOOGLEFINANCE(TRIM(F1899)&amp;"":"" &amp; TRIM(B1899),""high52""),AE1899)"),0)</f>
        <v>0</v>
      </c>
      <c r="AG1899" s="1">
        <v>0</v>
      </c>
      <c r="AH1899" s="1">
        <f ca="1">IFERROR(__xludf.DUMMYFUNCTION("IFERROR(GOOGLEFINANCE(TRIM(F1899)&amp;"":"" &amp; TRIM(B1899),""low52""),AE1899)"),0)</f>
        <v>0</v>
      </c>
      <c r="AI1899" s="1">
        <f ca="1">IFERROR(__xludf.DUMMYFUNCTION("IFERROR(GOOGLEFINANCE(B1899,""eps""),0)"),0)</f>
        <v>0</v>
      </c>
      <c r="AJ1899" s="1"/>
      <c r="AK1899" s="1" t="s">
        <v>5797</v>
      </c>
      <c r="AL1899" s="9">
        <f t="shared" si="223"/>
        <v>1</v>
      </c>
    </row>
    <row r="1900" spans="1:38" ht="15" x14ac:dyDescent="0.25">
      <c r="A1900" s="1" t="s">
        <v>5798</v>
      </c>
      <c r="B1900" s="1" t="s">
        <v>5799</v>
      </c>
      <c r="C1900" s="1" t="s">
        <v>43</v>
      </c>
      <c r="D1900" s="1" t="s">
        <v>43</v>
      </c>
      <c r="E1900" s="6">
        <v>11.82</v>
      </c>
      <c r="F1900" s="1" t="s">
        <v>53</v>
      </c>
      <c r="G1900" s="6">
        <f ca="1">IFERROR(__xludf.DUMMYFUNCTION("iferror(GOOGLEFINANCE(TRIM(F1900)&amp;"":"" &amp; TRIM(B1900), ""price""),0
)"),0)</f>
        <v>0</v>
      </c>
      <c r="H1900" s="6">
        <v>37.979999999999997</v>
      </c>
      <c r="I1900" s="6">
        <f t="shared" ca="1" si="0"/>
        <v>37.979999999999997</v>
      </c>
      <c r="J1900" s="6">
        <f ca="1">IFERROR(__xludf.DUMMYFUNCTION("IFERROR(GOOGLEFINANCE(B1900, ""volume""), 0)"),0)</f>
        <v>0</v>
      </c>
      <c r="K1900" s="6">
        <v>-1.99</v>
      </c>
      <c r="L1900" s="6">
        <f ca="1">IFERROR(__xludf.DUMMYFUNCTION("IFERROR(GOOGLEFINANCE(B1900,""changepct""),K1900)"),-1.99)</f>
        <v>-1.99</v>
      </c>
      <c r="M1900" s="6">
        <f ca="1">IFERROR(__xludf.DUMMYFUNCTION("IFERROR(GOOGLEFINANCE(B1900,""change""),0)"),0)</f>
        <v>0</v>
      </c>
      <c r="N1900" s="6">
        <v>1</v>
      </c>
      <c r="O1900" s="7">
        <v>45536</v>
      </c>
      <c r="P1900" s="6">
        <v>0.19</v>
      </c>
      <c r="Q1900" s="7">
        <v>45536</v>
      </c>
      <c r="R1900" s="6">
        <v>61.56</v>
      </c>
      <c r="S1900" s="9"/>
      <c r="T1900" s="6">
        <v>2.2599999999999998</v>
      </c>
      <c r="U1900" s="6">
        <v>1</v>
      </c>
      <c r="V1900" s="7">
        <v>45352</v>
      </c>
      <c r="W1900" s="10">
        <f ca="1">IFERROR(__xludf.DUMMYFUNCTION("IFERROR(GOOGLEFINANCE(B1900,""pe""),V1900)"),45352)</f>
        <v>45352</v>
      </c>
      <c r="X1900" s="6">
        <v>0.83</v>
      </c>
      <c r="Y1900" s="6">
        <v>-0.82</v>
      </c>
      <c r="Z1900" s="6">
        <v>-0.56999999999999995</v>
      </c>
      <c r="AA1900" s="3" t="s">
        <v>5800</v>
      </c>
      <c r="AB1900" s="11"/>
      <c r="AC1900" s="9"/>
      <c r="AD1900" s="9"/>
      <c r="AE1900" s="1">
        <v>0</v>
      </c>
      <c r="AF1900" s="1">
        <f ca="1">IFERROR(__xludf.DUMMYFUNCTION("IFERROR(GOOGLEFINANCE(TRIM(F1900)&amp;"":"" &amp; TRIM(B1900),""high52""),AE1900)"),0)</f>
        <v>0</v>
      </c>
      <c r="AG1900" s="1">
        <v>0</v>
      </c>
      <c r="AH1900" s="1">
        <f ca="1">IFERROR(__xludf.DUMMYFUNCTION("IFERROR(GOOGLEFINANCE(TRIM(F1900)&amp;"":"" &amp; TRIM(B1900),""low52""),AE1900)"),0)</f>
        <v>0</v>
      </c>
      <c r="AI1900" s="1">
        <f ca="1">IFERROR(__xludf.DUMMYFUNCTION("IFERROR(GOOGLEFINANCE(B1900,""eps""),0)"),0)</f>
        <v>0</v>
      </c>
      <c r="AJ1900" s="1"/>
      <c r="AK1900" s="1" t="s">
        <v>5801</v>
      </c>
      <c r="AL1900" s="9">
        <f t="shared" si="223"/>
        <v>1</v>
      </c>
    </row>
    <row r="1901" spans="1:38" ht="15" x14ac:dyDescent="0.25">
      <c r="A1901" s="1" t="s">
        <v>5802</v>
      </c>
      <c r="B1901" s="1" t="s">
        <v>5803</v>
      </c>
      <c r="C1901" s="1" t="s">
        <v>43</v>
      </c>
      <c r="D1901" s="1" t="s">
        <v>43</v>
      </c>
      <c r="E1901" s="6">
        <v>64.290000000000006</v>
      </c>
      <c r="F1901" s="1" t="s">
        <v>53</v>
      </c>
      <c r="G1901" s="6">
        <f ca="1">IFERROR(__xludf.DUMMYFUNCTION("iferror(GOOGLEFINANCE(TRIM(F1901)&amp;"":"" &amp; TRIM(B1901), ""price""),0
)"),0)</f>
        <v>0</v>
      </c>
      <c r="H1901" s="6">
        <v>60.37</v>
      </c>
      <c r="I1901" s="6">
        <f t="shared" ca="1" si="0"/>
        <v>60.37</v>
      </c>
      <c r="J1901" s="6">
        <f ca="1">IFERROR(__xludf.DUMMYFUNCTION("IFERROR(GOOGLEFINANCE(B1901, ""volume""), 0)"),0)</f>
        <v>0</v>
      </c>
      <c r="K1901" s="6">
        <v>0</v>
      </c>
      <c r="L1901" s="6">
        <f ca="1">IFERROR(__xludf.DUMMYFUNCTION("IFERROR(GOOGLEFINANCE(B1901,""changepct""),K1901)"),0)</f>
        <v>0</v>
      </c>
      <c r="M1901" s="6">
        <f ca="1">IFERROR(__xludf.DUMMYFUNCTION("IFERROR(GOOGLEFINANCE(B1901,""change""),0)"),0)</f>
        <v>0</v>
      </c>
      <c r="N1901" s="6">
        <v>1</v>
      </c>
      <c r="O1901" s="7">
        <v>45536</v>
      </c>
      <c r="P1901" s="6">
        <v>1.04</v>
      </c>
      <c r="Q1901" s="7">
        <v>45536</v>
      </c>
      <c r="R1901" s="6">
        <v>61.87</v>
      </c>
      <c r="S1901" s="9"/>
      <c r="T1901" s="6">
        <v>3.14</v>
      </c>
      <c r="U1901" s="6">
        <v>1</v>
      </c>
      <c r="V1901" s="7">
        <v>45352</v>
      </c>
      <c r="W1901" s="10">
        <f ca="1">IFERROR(__xludf.DUMMYFUNCTION("IFERROR(GOOGLEFINANCE(B1901,""pe""),V1901)"),45352)</f>
        <v>45352</v>
      </c>
      <c r="X1901" s="6">
        <v>0.36</v>
      </c>
      <c r="Y1901" s="6">
        <v>5.22</v>
      </c>
      <c r="Z1901" s="6">
        <v>8.15</v>
      </c>
      <c r="AA1901" s="3" t="s">
        <v>5804</v>
      </c>
      <c r="AB1901" s="11"/>
      <c r="AC1901" s="9"/>
      <c r="AD1901" s="9"/>
      <c r="AE1901" s="1">
        <v>0</v>
      </c>
      <c r="AF1901" s="1">
        <f ca="1">IFERROR(__xludf.DUMMYFUNCTION("IFERROR(GOOGLEFINANCE(TRIM(F1901)&amp;"":"" &amp; TRIM(B1901),""high52""),AE1901)"),0)</f>
        <v>0</v>
      </c>
      <c r="AG1901" s="1">
        <v>0</v>
      </c>
      <c r="AH1901" s="1">
        <f ca="1">IFERROR(__xludf.DUMMYFUNCTION("IFERROR(GOOGLEFINANCE(TRIM(F1901)&amp;"":"" &amp; TRIM(B1901),""low52""),AE1901)"),0)</f>
        <v>0</v>
      </c>
      <c r="AI1901" s="1">
        <f ca="1">IFERROR(__xludf.DUMMYFUNCTION("IFERROR(GOOGLEFINANCE(B1901,""eps""),0)"),0)</f>
        <v>0</v>
      </c>
      <c r="AJ1901" s="1"/>
      <c r="AK1901" s="1" t="s">
        <v>5805</v>
      </c>
      <c r="AL1901" s="9">
        <f t="shared" si="223"/>
        <v>1</v>
      </c>
    </row>
    <row r="1902" spans="1:38" ht="15" x14ac:dyDescent="0.25">
      <c r="A1902" s="1" t="s">
        <v>5806</v>
      </c>
      <c r="B1902" s="1" t="s">
        <v>5807</v>
      </c>
      <c r="C1902" s="1" t="s">
        <v>43</v>
      </c>
      <c r="D1902" s="1" t="s">
        <v>43</v>
      </c>
      <c r="E1902" s="6">
        <v>18.09</v>
      </c>
      <c r="F1902" s="1" t="s">
        <v>53</v>
      </c>
      <c r="G1902" s="6">
        <f ca="1">IFERROR(__xludf.DUMMYFUNCTION("iferror(GOOGLEFINANCE(TRIM(F1902)&amp;"":"" &amp; TRIM(B1902), ""price""),0
)"),0)</f>
        <v>0</v>
      </c>
      <c r="H1902" s="6">
        <v>14.49</v>
      </c>
      <c r="I1902" s="6">
        <f t="shared" ca="1" si="0"/>
        <v>14.49</v>
      </c>
      <c r="J1902" s="6">
        <f ca="1">IFERROR(__xludf.DUMMYFUNCTION("IFERROR(GOOGLEFINANCE(B1902, ""volume""), 0)"),0)</f>
        <v>0</v>
      </c>
      <c r="K1902" s="6">
        <v>5</v>
      </c>
      <c r="L1902" s="6">
        <f ca="1">IFERROR(__xludf.DUMMYFUNCTION("IFERROR(GOOGLEFINANCE(B1902,""changepct""),K1902)"),5)</f>
        <v>5</v>
      </c>
      <c r="M1902" s="6">
        <f ca="1">IFERROR(__xludf.DUMMYFUNCTION("IFERROR(GOOGLEFINANCE(B1902,""change""),0)"),0)</f>
        <v>0</v>
      </c>
      <c r="N1902" s="6">
        <v>1</v>
      </c>
      <c r="O1902" s="7">
        <v>45536</v>
      </c>
      <c r="P1902" s="6">
        <v>0.27</v>
      </c>
      <c r="Q1902" s="7">
        <v>45536</v>
      </c>
      <c r="R1902" s="6">
        <v>68</v>
      </c>
      <c r="S1902" s="6">
        <v>28.94</v>
      </c>
      <c r="T1902" s="6">
        <v>0.19</v>
      </c>
      <c r="U1902" s="6">
        <v>1</v>
      </c>
      <c r="V1902" s="7">
        <v>45352</v>
      </c>
      <c r="W1902" s="10">
        <f ca="1">IFERROR(__xludf.DUMMYFUNCTION("IFERROR(GOOGLEFINANCE(B1902,""pe""),V1902)"),45352)</f>
        <v>45352</v>
      </c>
      <c r="X1902" s="6">
        <v>0</v>
      </c>
      <c r="Y1902" s="6">
        <v>0.09</v>
      </c>
      <c r="Z1902" s="6">
        <v>0.11</v>
      </c>
      <c r="AA1902" s="3" t="s">
        <v>5808</v>
      </c>
      <c r="AB1902" s="11"/>
      <c r="AC1902" s="9"/>
      <c r="AD1902" s="9"/>
      <c r="AE1902" s="1">
        <v>0</v>
      </c>
      <c r="AF1902" s="1">
        <f ca="1">IFERROR(__xludf.DUMMYFUNCTION("IFERROR(GOOGLEFINANCE(TRIM(F1902)&amp;"":"" &amp; TRIM(B1902),""high52""),AE1902)"),0)</f>
        <v>0</v>
      </c>
      <c r="AG1902" s="1">
        <v>0</v>
      </c>
      <c r="AH1902" s="1">
        <f ca="1">IFERROR(__xludf.DUMMYFUNCTION("IFERROR(GOOGLEFINANCE(TRIM(F1902)&amp;"":"" &amp; TRIM(B1902),""low52""),AE1902)"),0)</f>
        <v>0</v>
      </c>
      <c r="AI1902" s="1">
        <f ca="1">IFERROR(__xludf.DUMMYFUNCTION("IFERROR(GOOGLEFINANCE(B1902,""eps""),0)"),0)</f>
        <v>0</v>
      </c>
      <c r="AJ1902" s="1"/>
      <c r="AK1902" s="9"/>
      <c r="AL1902" s="9">
        <f t="shared" si="223"/>
        <v>1</v>
      </c>
    </row>
    <row r="1903" spans="1:38" ht="15" x14ac:dyDescent="0.25">
      <c r="A1903" s="1" t="s">
        <v>5809</v>
      </c>
      <c r="B1903" s="1" t="s">
        <v>5810</v>
      </c>
      <c r="C1903" s="1" t="s">
        <v>43</v>
      </c>
      <c r="D1903" s="1" t="s">
        <v>43</v>
      </c>
      <c r="E1903" s="6">
        <v>150.79</v>
      </c>
      <c r="F1903" s="1" t="s">
        <v>53</v>
      </c>
      <c r="G1903" s="6">
        <f ca="1">IFERROR(__xludf.DUMMYFUNCTION("iferror(GOOGLEFINANCE(TRIM(F1903)&amp;"":"" &amp; TRIM(B1903), ""price""),0
)"),0)</f>
        <v>0</v>
      </c>
      <c r="H1903" s="6">
        <v>34.11</v>
      </c>
      <c r="I1903" s="6">
        <f t="shared" ca="1" si="0"/>
        <v>34.11</v>
      </c>
      <c r="J1903" s="6">
        <f ca="1">IFERROR(__xludf.DUMMYFUNCTION("IFERROR(GOOGLEFINANCE(B1903, ""volume""), 0)"),0)</f>
        <v>0</v>
      </c>
      <c r="K1903" s="6">
        <v>1.97</v>
      </c>
      <c r="L1903" s="6">
        <f ca="1">IFERROR(__xludf.DUMMYFUNCTION("IFERROR(GOOGLEFINANCE(B1903,""changepct""),K1903)"),1.97)</f>
        <v>1.97</v>
      </c>
      <c r="M1903" s="6">
        <f ca="1">IFERROR(__xludf.DUMMYFUNCTION("IFERROR(GOOGLEFINANCE(B1903,""change""),0)"),0)</f>
        <v>0</v>
      </c>
      <c r="N1903" s="6">
        <v>1</v>
      </c>
      <c r="O1903" s="7">
        <v>45444</v>
      </c>
      <c r="P1903" s="6">
        <v>2.16</v>
      </c>
      <c r="Q1903" s="7">
        <v>45444</v>
      </c>
      <c r="R1903" s="6">
        <v>69.91</v>
      </c>
      <c r="S1903" s="9"/>
      <c r="T1903" s="6">
        <v>3.34</v>
      </c>
      <c r="U1903" s="6">
        <v>1</v>
      </c>
      <c r="V1903" s="7">
        <v>45352</v>
      </c>
      <c r="W1903" s="10">
        <f ca="1">IFERROR(__xludf.DUMMYFUNCTION("IFERROR(GOOGLEFINANCE(B1903,""pe""),V1903)"),45352)</f>
        <v>45352</v>
      </c>
      <c r="X1903" s="6">
        <v>0</v>
      </c>
      <c r="Y1903" s="6">
        <v>4.9000000000000004</v>
      </c>
      <c r="Z1903" s="6">
        <v>6.5</v>
      </c>
      <c r="AA1903" s="3" t="s">
        <v>5811</v>
      </c>
      <c r="AB1903" s="11"/>
      <c r="AC1903" s="9"/>
      <c r="AD1903" s="9"/>
      <c r="AE1903" s="1">
        <v>0</v>
      </c>
      <c r="AF1903" s="1">
        <f ca="1">IFERROR(__xludf.DUMMYFUNCTION("IFERROR(GOOGLEFINANCE(TRIM(F1903)&amp;"":"" &amp; TRIM(B1903),""high52""),AE1903)"),0)</f>
        <v>0</v>
      </c>
      <c r="AG1903" s="1">
        <v>0</v>
      </c>
      <c r="AH1903" s="1">
        <f ca="1">IFERROR(__xludf.DUMMYFUNCTION("IFERROR(GOOGLEFINANCE(TRIM(F1903)&amp;"":"" &amp; TRIM(B1903),""low52""),AE1903)"),0)</f>
        <v>0</v>
      </c>
      <c r="AI1903" s="1">
        <f ca="1">IFERROR(__xludf.DUMMYFUNCTION("IFERROR(GOOGLEFINANCE(B1903,""eps""),0)"),0)</f>
        <v>0</v>
      </c>
      <c r="AJ1903" s="1"/>
      <c r="AK1903" s="1" t="s">
        <v>5812</v>
      </c>
      <c r="AL1903" s="9">
        <f t="shared" si="223"/>
        <v>1</v>
      </c>
    </row>
    <row r="1904" spans="1:38" ht="15" x14ac:dyDescent="0.25">
      <c r="A1904" s="1" t="s">
        <v>5813</v>
      </c>
      <c r="B1904" s="1" t="s">
        <v>5814</v>
      </c>
      <c r="C1904" s="1" t="s">
        <v>43</v>
      </c>
      <c r="D1904" s="1" t="s">
        <v>43</v>
      </c>
      <c r="E1904" s="6">
        <v>257.77</v>
      </c>
      <c r="F1904" s="1" t="s">
        <v>53</v>
      </c>
      <c r="G1904" s="6">
        <f ca="1">IFERROR(__xludf.DUMMYFUNCTION("iferror(GOOGLEFINANCE(TRIM(F1904)&amp;"":"" &amp; TRIM(B1904), ""price""),0
)"),0)</f>
        <v>0</v>
      </c>
      <c r="H1904" s="6">
        <v>192.95</v>
      </c>
      <c r="I1904" s="6">
        <f t="shared" ca="1" si="0"/>
        <v>192.95</v>
      </c>
      <c r="J1904" s="6">
        <f ca="1">IFERROR(__xludf.DUMMYFUNCTION("IFERROR(GOOGLEFINANCE(B1904, ""volume""), 0)"),0)</f>
        <v>0</v>
      </c>
      <c r="K1904" s="6">
        <v>1.98</v>
      </c>
      <c r="L1904" s="6">
        <f ca="1">IFERROR(__xludf.DUMMYFUNCTION("IFERROR(GOOGLEFINANCE(B1904,""changepct""),K1904)"),1.98)</f>
        <v>1.98</v>
      </c>
      <c r="M1904" s="6">
        <f ca="1">IFERROR(__xludf.DUMMYFUNCTION("IFERROR(GOOGLEFINANCE(B1904,""change""),0)"),0)</f>
        <v>0</v>
      </c>
      <c r="N1904" s="6">
        <v>1</v>
      </c>
      <c r="O1904" s="7">
        <v>45536</v>
      </c>
      <c r="P1904" s="6">
        <v>3.57</v>
      </c>
      <c r="Q1904" s="7">
        <v>45536</v>
      </c>
      <c r="R1904" s="6">
        <v>72.2</v>
      </c>
      <c r="S1904" s="9"/>
      <c r="T1904" s="6">
        <v>22.54</v>
      </c>
      <c r="U1904" s="6">
        <v>1</v>
      </c>
      <c r="V1904" s="7">
        <v>45352</v>
      </c>
      <c r="W1904" s="10">
        <f ca="1">IFERROR(__xludf.DUMMYFUNCTION("IFERROR(GOOGLEFINANCE(B1904,""pe""),V1904)"),45352)</f>
        <v>45352</v>
      </c>
      <c r="X1904" s="6">
        <v>-1.03</v>
      </c>
      <c r="Y1904" s="6">
        <v>0</v>
      </c>
      <c r="Z1904" s="6">
        <v>103.5</v>
      </c>
      <c r="AA1904" s="3" t="s">
        <v>5815</v>
      </c>
      <c r="AB1904" s="11"/>
      <c r="AC1904" s="9"/>
      <c r="AD1904" s="9"/>
      <c r="AE1904" s="1">
        <v>0</v>
      </c>
      <c r="AF1904" s="1">
        <f ca="1">IFERROR(__xludf.DUMMYFUNCTION("IFERROR(GOOGLEFINANCE(TRIM(F1904)&amp;"":"" &amp; TRIM(B1904),""high52""),AE1904)"),0)</f>
        <v>0</v>
      </c>
      <c r="AG1904" s="1">
        <v>0</v>
      </c>
      <c r="AH1904" s="1">
        <f ca="1">IFERROR(__xludf.DUMMYFUNCTION("IFERROR(GOOGLEFINANCE(TRIM(F1904)&amp;"":"" &amp; TRIM(B1904),""low52""),AE1904)"),0)</f>
        <v>0</v>
      </c>
      <c r="AI1904" s="1">
        <f ca="1">IFERROR(__xludf.DUMMYFUNCTION("IFERROR(GOOGLEFINANCE(B1904,""eps""),0)"),0)</f>
        <v>0</v>
      </c>
      <c r="AJ1904" s="1"/>
      <c r="AK1904" s="1" t="s">
        <v>5816</v>
      </c>
      <c r="AL1904" s="9">
        <f t="shared" si="223"/>
        <v>1</v>
      </c>
    </row>
    <row r="1905" spans="1:38" ht="15" x14ac:dyDescent="0.25">
      <c r="A1905" s="1" t="s">
        <v>5817</v>
      </c>
      <c r="B1905" s="1" t="s">
        <v>5818</v>
      </c>
      <c r="C1905" s="1" t="s">
        <v>227</v>
      </c>
      <c r="D1905" s="1" t="s">
        <v>227</v>
      </c>
      <c r="E1905" s="6">
        <v>222.93</v>
      </c>
      <c r="F1905" s="1" t="s">
        <v>40</v>
      </c>
      <c r="G1905" s="6">
        <f ca="1">IFERROR(__xludf.DUMMYFUNCTION("iferror(GOOGLEFINANCE(TRIM(F1905)&amp;"":"" &amp; TRIM(B1905), ""price""),0
)"),77.5)</f>
        <v>77.5</v>
      </c>
      <c r="H1905" s="6">
        <v>98.71</v>
      </c>
      <c r="I1905" s="6">
        <f t="shared" ca="1" si="0"/>
        <v>77.5</v>
      </c>
      <c r="J1905" s="6">
        <f ca="1">IFERROR(__xludf.DUMMYFUNCTION("IFERROR(GOOGLEFINANCE(B1905, ""volume""), 0)"),15045)</f>
        <v>15045</v>
      </c>
      <c r="K1905" s="6">
        <v>1.1399999999999999</v>
      </c>
      <c r="L1905" s="6">
        <f ca="1">IFERROR(__xludf.DUMMYFUNCTION("IFERROR(GOOGLEFINANCE(B1905,""changepct""),K1905)"),-0.48)</f>
        <v>-0.48</v>
      </c>
      <c r="M1905" s="6">
        <f ca="1">IFERROR(__xludf.DUMMYFUNCTION("IFERROR(GOOGLEFINANCE(B1905,""change""),0)"),-0.37)</f>
        <v>-0.37</v>
      </c>
      <c r="N1905" s="6">
        <v>2</v>
      </c>
      <c r="O1905" s="7">
        <v>45536</v>
      </c>
      <c r="P1905" s="9"/>
      <c r="Q1905" s="6">
        <v>206.17</v>
      </c>
      <c r="R1905" s="7">
        <v>45536</v>
      </c>
      <c r="S1905" s="6">
        <v>544.21</v>
      </c>
      <c r="T1905" s="6">
        <v>25.15</v>
      </c>
      <c r="U1905" s="7">
        <v>45536</v>
      </c>
      <c r="V1905" s="6">
        <v>9.01</v>
      </c>
      <c r="W1905" s="6">
        <f ca="1">IFERROR(__xludf.DUMMYFUNCTION("IFERROR(GOOGLEFINANCE(B1905,""pe""),V1905)"),6.34)</f>
        <v>6.34</v>
      </c>
      <c r="X1905" s="6">
        <v>0.91</v>
      </c>
      <c r="Y1905" s="6">
        <v>0.94</v>
      </c>
      <c r="Z1905" s="6">
        <v>2</v>
      </c>
      <c r="AA1905" s="8">
        <v>45352</v>
      </c>
      <c r="AB1905" s="4">
        <v>0</v>
      </c>
      <c r="AC1905" s="6">
        <v>12.03</v>
      </c>
      <c r="AD1905" s="6">
        <v>16.13</v>
      </c>
      <c r="AE1905" s="1">
        <v>0</v>
      </c>
      <c r="AF1905" s="1">
        <f ca="1">IFERROR(__xludf.DUMMYFUNCTION("IFERROR(GOOGLEFINANCE(TRIM(F1905)&amp;"":"" &amp; TRIM(B1905),""high52""),AE1905)"),111.99)</f>
        <v>111.99</v>
      </c>
      <c r="AG1905" s="1">
        <v>0</v>
      </c>
      <c r="AH1905" s="1">
        <f ca="1">IFERROR(__xludf.DUMMYFUNCTION("IFERROR(GOOGLEFINANCE(TRIM(F1905)&amp;"":"" &amp; TRIM(B1905),""low52""),AE1905)"),64.3)</f>
        <v>64.3</v>
      </c>
      <c r="AI1905" s="1">
        <f ca="1">IFERROR(__xludf.DUMMYFUNCTION("IFERROR(GOOGLEFINANCE(B1905,""eps""),0)"),12.22)</f>
        <v>12.22</v>
      </c>
      <c r="AJ1905" s="1"/>
      <c r="AK1905" s="1" t="s">
        <v>5819</v>
      </c>
      <c r="AL1905" s="9">
        <f t="shared" si="223"/>
        <v>1</v>
      </c>
    </row>
    <row r="1906" spans="1:38" ht="15" x14ac:dyDescent="0.25">
      <c r="A1906" s="1" t="s">
        <v>5820</v>
      </c>
      <c r="B1906" s="1" t="s">
        <v>5821</v>
      </c>
      <c r="C1906" s="1" t="s">
        <v>43</v>
      </c>
      <c r="D1906" s="1" t="s">
        <v>43</v>
      </c>
      <c r="E1906" s="6">
        <v>196.36</v>
      </c>
      <c r="F1906" s="1" t="s">
        <v>53</v>
      </c>
      <c r="G1906" s="6">
        <f ca="1">IFERROR(__xludf.DUMMYFUNCTION("iferror(GOOGLEFINANCE(TRIM(F1906)&amp;"":"" &amp; TRIM(B1906), ""price""),0
)"),0)</f>
        <v>0</v>
      </c>
      <c r="H1906" s="6">
        <v>41.76</v>
      </c>
      <c r="I1906" s="6">
        <f t="shared" ca="1" si="0"/>
        <v>41.76</v>
      </c>
      <c r="J1906" s="6">
        <f ca="1">IFERROR(__xludf.DUMMYFUNCTION("IFERROR(GOOGLEFINANCE(B1906, ""volume""), 0)"),0)</f>
        <v>0</v>
      </c>
      <c r="K1906" s="6">
        <v>1.98</v>
      </c>
      <c r="L1906" s="6">
        <f ca="1">IFERROR(__xludf.DUMMYFUNCTION("IFERROR(GOOGLEFINANCE(B1906,""changepct""),K1906)"),1.98)</f>
        <v>1.98</v>
      </c>
      <c r="M1906" s="6">
        <f ca="1">IFERROR(__xludf.DUMMYFUNCTION("IFERROR(GOOGLEFINANCE(B1906,""change""),0)"),0)</f>
        <v>0</v>
      </c>
      <c r="N1906" s="6">
        <v>1</v>
      </c>
      <c r="O1906" s="7">
        <v>45536</v>
      </c>
      <c r="P1906" s="6">
        <v>2.62</v>
      </c>
      <c r="Q1906" s="7">
        <v>45536</v>
      </c>
      <c r="R1906" s="6">
        <v>74.95</v>
      </c>
      <c r="S1906" s="6">
        <v>1.92</v>
      </c>
      <c r="T1906" s="6">
        <v>2.95</v>
      </c>
      <c r="U1906" s="6">
        <v>1</v>
      </c>
      <c r="V1906" s="7">
        <v>45352</v>
      </c>
      <c r="W1906" s="10">
        <f ca="1">IFERROR(__xludf.DUMMYFUNCTION("IFERROR(GOOGLEFINANCE(B1906,""pe""),V1906)"),45352)</f>
        <v>45352</v>
      </c>
      <c r="X1906" s="6">
        <v>1.93</v>
      </c>
      <c r="Y1906" s="6">
        <v>6.27</v>
      </c>
      <c r="Z1906" s="6">
        <v>9.2799999999999994</v>
      </c>
      <c r="AA1906" s="3" t="s">
        <v>5822</v>
      </c>
      <c r="AB1906" s="11"/>
      <c r="AC1906" s="9"/>
      <c r="AD1906" s="9"/>
      <c r="AE1906" s="1">
        <v>0</v>
      </c>
      <c r="AF1906" s="1">
        <f ca="1">IFERROR(__xludf.DUMMYFUNCTION("IFERROR(GOOGLEFINANCE(TRIM(F1906)&amp;"":"" &amp; TRIM(B1906),""high52""),AE1906)"),0)</f>
        <v>0</v>
      </c>
      <c r="AG1906" s="1">
        <v>0</v>
      </c>
      <c r="AH1906" s="1">
        <f ca="1">IFERROR(__xludf.DUMMYFUNCTION("IFERROR(GOOGLEFINANCE(TRIM(F1906)&amp;"":"" &amp; TRIM(B1906),""low52""),AE1906)"),0)</f>
        <v>0</v>
      </c>
      <c r="AI1906" s="1">
        <f ca="1">IFERROR(__xludf.DUMMYFUNCTION("IFERROR(GOOGLEFINANCE(B1906,""eps""),0)"),0)</f>
        <v>0</v>
      </c>
      <c r="AJ1906" s="1"/>
      <c r="AK1906" s="1" t="s">
        <v>5823</v>
      </c>
      <c r="AL1906" s="9">
        <f t="shared" si="223"/>
        <v>1</v>
      </c>
    </row>
    <row r="1907" spans="1:38" ht="15" x14ac:dyDescent="0.25">
      <c r="A1907" s="1" t="s">
        <v>5824</v>
      </c>
      <c r="B1907" s="1" t="s">
        <v>5825</v>
      </c>
      <c r="C1907" s="1" t="s">
        <v>43</v>
      </c>
      <c r="D1907" s="1" t="s">
        <v>43</v>
      </c>
      <c r="E1907" s="6">
        <v>103.87</v>
      </c>
      <c r="F1907" s="1" t="s">
        <v>53</v>
      </c>
      <c r="G1907" s="6">
        <f ca="1">IFERROR(__xludf.DUMMYFUNCTION("iferror(GOOGLEFINANCE(TRIM(F1907)&amp;"":"" &amp; TRIM(B1907), ""price""),0
)"),0)</f>
        <v>0</v>
      </c>
      <c r="H1907" s="6">
        <v>52</v>
      </c>
      <c r="I1907" s="6">
        <f t="shared" ca="1" si="0"/>
        <v>52</v>
      </c>
      <c r="J1907" s="6">
        <f ca="1">IFERROR(__xludf.DUMMYFUNCTION("IFERROR(GOOGLEFINANCE(B1907, ""volume""), 0)"),0)</f>
        <v>0</v>
      </c>
      <c r="K1907" s="6">
        <v>0</v>
      </c>
      <c r="L1907" s="6">
        <f ca="1">IFERROR(__xludf.DUMMYFUNCTION("IFERROR(GOOGLEFINANCE(B1907,""changepct""),K1907)"),0)</f>
        <v>0</v>
      </c>
      <c r="M1907" s="6">
        <f ca="1">IFERROR(__xludf.DUMMYFUNCTION("IFERROR(GOOGLEFINANCE(B1907,""change""),0)"),0)</f>
        <v>0</v>
      </c>
      <c r="N1907" s="6">
        <v>2</v>
      </c>
      <c r="O1907" s="7">
        <v>45536</v>
      </c>
      <c r="P1907" s="6">
        <v>1.22</v>
      </c>
      <c r="Q1907" s="7">
        <v>45536</v>
      </c>
      <c r="R1907" s="6">
        <v>75.489999999999995</v>
      </c>
      <c r="S1907" s="6">
        <v>-4.95</v>
      </c>
      <c r="T1907" s="6">
        <v>0.7</v>
      </c>
      <c r="U1907" s="6">
        <v>2</v>
      </c>
      <c r="V1907" s="7">
        <v>45352</v>
      </c>
      <c r="W1907" s="10">
        <f ca="1">IFERROR(__xludf.DUMMYFUNCTION("IFERROR(GOOGLEFINANCE(B1907,""pe""),V1907)"),45352)</f>
        <v>45352</v>
      </c>
      <c r="X1907" s="6">
        <v>0</v>
      </c>
      <c r="Y1907" s="6">
        <v>1.33</v>
      </c>
      <c r="Z1907" s="6">
        <v>1.78</v>
      </c>
      <c r="AA1907" s="3" t="s">
        <v>5826</v>
      </c>
      <c r="AB1907" s="11"/>
      <c r="AC1907" s="9"/>
      <c r="AD1907" s="9"/>
      <c r="AE1907" s="1">
        <v>0</v>
      </c>
      <c r="AF1907" s="1">
        <f ca="1">IFERROR(__xludf.DUMMYFUNCTION("IFERROR(GOOGLEFINANCE(TRIM(F1907)&amp;"":"" &amp; TRIM(B1907),""high52""),AE1907)"),0)</f>
        <v>0</v>
      </c>
      <c r="AG1907" s="1">
        <v>0</v>
      </c>
      <c r="AH1907" s="1">
        <f ca="1">IFERROR(__xludf.DUMMYFUNCTION("IFERROR(GOOGLEFINANCE(TRIM(F1907)&amp;"":"" &amp; TRIM(B1907),""low52""),AE1907)"),0)</f>
        <v>0</v>
      </c>
      <c r="AI1907" s="1">
        <f ca="1">IFERROR(__xludf.DUMMYFUNCTION("IFERROR(GOOGLEFINANCE(B1907,""eps""),0)"),0)</f>
        <v>0</v>
      </c>
      <c r="AJ1907" s="1"/>
      <c r="AK1907" s="1" t="s">
        <v>5827</v>
      </c>
      <c r="AL1907" s="9">
        <f t="shared" si="223"/>
        <v>1</v>
      </c>
    </row>
    <row r="1908" spans="1:38" ht="15" x14ac:dyDescent="0.25">
      <c r="A1908" s="1" t="s">
        <v>5828</v>
      </c>
      <c r="B1908" s="1" t="s">
        <v>5829</v>
      </c>
      <c r="C1908" s="1" t="s">
        <v>410</v>
      </c>
      <c r="D1908" s="1" t="s">
        <v>410</v>
      </c>
      <c r="E1908" s="6">
        <v>8172.51</v>
      </c>
      <c r="F1908" s="1" t="s">
        <v>40</v>
      </c>
      <c r="G1908" s="6">
        <f ca="1">IFERROR(__xludf.DUMMYFUNCTION("iferror(GOOGLEFINANCE(TRIM(F1908)&amp;"":"" &amp; TRIM(B1908), ""price""),0
)"),220)</f>
        <v>220</v>
      </c>
      <c r="H1908" s="6">
        <v>365</v>
      </c>
      <c r="I1908" s="6">
        <f t="shared" ca="1" si="0"/>
        <v>220</v>
      </c>
      <c r="J1908" s="6">
        <f ca="1">IFERROR(__xludf.DUMMYFUNCTION("IFERROR(GOOGLEFINANCE(B1908, ""volume""), 0)"),116277)</f>
        <v>116277</v>
      </c>
      <c r="K1908" s="6">
        <v>-0.05</v>
      </c>
      <c r="L1908" s="6">
        <f ca="1">IFERROR(__xludf.DUMMYFUNCTION("IFERROR(GOOGLEFINANCE(B1908,""changepct""),K1908)"),0.19)</f>
        <v>0.19</v>
      </c>
      <c r="M1908" s="6">
        <f ca="1">IFERROR(__xludf.DUMMYFUNCTION("IFERROR(GOOGLEFINANCE(B1908,""change""),0)"),0.42)</f>
        <v>0.42</v>
      </c>
      <c r="N1908" s="6">
        <v>2</v>
      </c>
      <c r="O1908" s="7">
        <v>45536</v>
      </c>
      <c r="P1908" s="6">
        <v>732.92</v>
      </c>
      <c r="Q1908" s="6">
        <v>8658.39</v>
      </c>
      <c r="R1908" s="7">
        <v>45536</v>
      </c>
      <c r="S1908" s="6">
        <v>895.76</v>
      </c>
      <c r="T1908" s="6">
        <v>34.14</v>
      </c>
      <c r="U1908" s="7">
        <v>45536</v>
      </c>
      <c r="V1908" s="6">
        <v>239.39</v>
      </c>
      <c r="W1908" s="6">
        <f ca="1">IFERROR(__xludf.DUMMYFUNCTION("IFERROR(GOOGLEFINANCE(B1908,""pe""),V1908)"),42.87)</f>
        <v>42.87</v>
      </c>
      <c r="X1908" s="9"/>
      <c r="Y1908" s="6">
        <v>3.1</v>
      </c>
      <c r="Z1908" s="6">
        <v>2</v>
      </c>
      <c r="AA1908" s="8">
        <v>45352</v>
      </c>
      <c r="AB1908" s="4">
        <v>0.32</v>
      </c>
      <c r="AC1908" s="6">
        <v>1.58</v>
      </c>
      <c r="AD1908" s="6">
        <v>7.75</v>
      </c>
      <c r="AE1908" s="1">
        <v>0</v>
      </c>
      <c r="AF1908" s="1">
        <f ca="1">IFERROR(__xludf.DUMMYFUNCTION("IFERROR(GOOGLEFINANCE(TRIM(F1908)&amp;"":"" &amp; TRIM(B1908),""high52""),AE1908)"),345.55)</f>
        <v>345.55</v>
      </c>
      <c r="AG1908" s="1">
        <v>0</v>
      </c>
      <c r="AH1908" s="1">
        <f ca="1">IFERROR(__xludf.DUMMYFUNCTION("IFERROR(GOOGLEFINANCE(TRIM(F1908)&amp;"":"" &amp; TRIM(B1908),""low52""),AE1908)"),205.75)</f>
        <v>205.75</v>
      </c>
      <c r="AI1908" s="1">
        <f ca="1">IFERROR(__xludf.DUMMYFUNCTION("IFERROR(GOOGLEFINANCE(B1908,""eps""),0)"),5.13)</f>
        <v>5.13</v>
      </c>
      <c r="AJ1908" s="1"/>
      <c r="AK1908" s="1" t="s">
        <v>5830</v>
      </c>
      <c r="AL1908" s="9">
        <f t="shared" si="223"/>
        <v>1</v>
      </c>
    </row>
    <row r="1909" spans="1:38" ht="15" x14ac:dyDescent="0.25">
      <c r="A1909" s="1" t="s">
        <v>5831</v>
      </c>
      <c r="B1909" s="1" t="s">
        <v>5832</v>
      </c>
      <c r="C1909" s="1" t="s">
        <v>43</v>
      </c>
      <c r="D1909" s="1" t="s">
        <v>43</v>
      </c>
      <c r="E1909" s="6">
        <v>22.47</v>
      </c>
      <c r="F1909" s="1" t="s">
        <v>53</v>
      </c>
      <c r="G1909" s="6">
        <f ca="1">IFERROR(__xludf.DUMMYFUNCTION("iferror(GOOGLEFINANCE(TRIM(F1909)&amp;"":"" &amp; TRIM(B1909), ""price""),0
)"),0)</f>
        <v>0</v>
      </c>
      <c r="H1909" s="6">
        <v>66.05</v>
      </c>
      <c r="I1909" s="6">
        <f t="shared" ca="1" si="0"/>
        <v>66.05</v>
      </c>
      <c r="J1909" s="6">
        <f ca="1">IFERROR(__xludf.DUMMYFUNCTION("IFERROR(GOOGLEFINANCE(B1909, ""volume""), 0)"),0)</f>
        <v>0</v>
      </c>
      <c r="K1909" s="6">
        <v>-0.63</v>
      </c>
      <c r="L1909" s="6">
        <f ca="1">IFERROR(__xludf.DUMMYFUNCTION("IFERROR(GOOGLEFINANCE(B1909,""changepct""),K1909)"),-0.63)</f>
        <v>-0.63</v>
      </c>
      <c r="M1909" s="6">
        <f ca="1">IFERROR(__xludf.DUMMYFUNCTION("IFERROR(GOOGLEFINANCE(B1909,""change""),0)"),0)</f>
        <v>0</v>
      </c>
      <c r="N1909" s="6">
        <v>1</v>
      </c>
      <c r="O1909" s="7">
        <v>45536</v>
      </c>
      <c r="P1909" s="6">
        <v>0.28000000000000003</v>
      </c>
      <c r="Q1909" s="7">
        <v>45536</v>
      </c>
      <c r="R1909" s="6">
        <v>79.400000000000006</v>
      </c>
      <c r="S1909" s="6">
        <v>3.59</v>
      </c>
      <c r="T1909" s="6">
        <v>0.86</v>
      </c>
      <c r="U1909" s="6">
        <v>1</v>
      </c>
      <c r="V1909" s="7">
        <v>45352</v>
      </c>
      <c r="W1909" s="10">
        <f ca="1">IFERROR(__xludf.DUMMYFUNCTION("IFERROR(GOOGLEFINANCE(B1909,""pe""),V1909)"),45352)</f>
        <v>45352</v>
      </c>
      <c r="X1909" s="6">
        <v>0</v>
      </c>
      <c r="Y1909" s="6">
        <v>1</v>
      </c>
      <c r="Z1909" s="6">
        <v>1.29</v>
      </c>
      <c r="AA1909" s="3" t="s">
        <v>5833</v>
      </c>
      <c r="AB1909" s="11"/>
      <c r="AC1909" s="9"/>
      <c r="AD1909" s="9"/>
      <c r="AE1909" s="1">
        <v>0</v>
      </c>
      <c r="AF1909" s="1">
        <f ca="1">IFERROR(__xludf.DUMMYFUNCTION("IFERROR(GOOGLEFINANCE(TRIM(F1909)&amp;"":"" &amp; TRIM(B1909),""high52""),AE1909)"),0)</f>
        <v>0</v>
      </c>
      <c r="AG1909" s="1">
        <v>0</v>
      </c>
      <c r="AH1909" s="1">
        <f ca="1">IFERROR(__xludf.DUMMYFUNCTION("IFERROR(GOOGLEFINANCE(TRIM(F1909)&amp;"":"" &amp; TRIM(B1909),""low52""),AE1909)"),0)</f>
        <v>0</v>
      </c>
      <c r="AI1909" s="1">
        <f ca="1">IFERROR(__xludf.DUMMYFUNCTION("IFERROR(GOOGLEFINANCE(B1909,""eps""),0)"),0)</f>
        <v>0</v>
      </c>
      <c r="AJ1909" s="1"/>
      <c r="AK1909" s="1" t="s">
        <v>5834</v>
      </c>
      <c r="AL1909" s="9">
        <f t="shared" si="223"/>
        <v>1</v>
      </c>
    </row>
    <row r="1910" spans="1:38" ht="15" x14ac:dyDescent="0.25">
      <c r="A1910" s="1" t="s">
        <v>5835</v>
      </c>
      <c r="B1910" s="1" t="s">
        <v>5836</v>
      </c>
      <c r="C1910" s="1" t="s">
        <v>43</v>
      </c>
      <c r="D1910" s="1" t="s">
        <v>43</v>
      </c>
      <c r="E1910" s="6">
        <v>44.69</v>
      </c>
      <c r="F1910" s="1" t="s">
        <v>53</v>
      </c>
      <c r="G1910" s="6">
        <f ca="1">IFERROR(__xludf.DUMMYFUNCTION("iferror(GOOGLEFINANCE(TRIM(F1910)&amp;"":"" &amp; TRIM(B1910), ""price""),0
)"),0)</f>
        <v>0</v>
      </c>
      <c r="H1910" s="6">
        <v>13.33</v>
      </c>
      <c r="I1910" s="6">
        <f t="shared" ca="1" si="0"/>
        <v>13.33</v>
      </c>
      <c r="J1910" s="6">
        <f ca="1">IFERROR(__xludf.DUMMYFUNCTION("IFERROR(GOOGLEFINANCE(B1910, ""volume""), 0)"),0)</f>
        <v>0</v>
      </c>
      <c r="K1910" s="6">
        <v>1.52</v>
      </c>
      <c r="L1910" s="6">
        <f ca="1">IFERROR(__xludf.DUMMYFUNCTION("IFERROR(GOOGLEFINANCE(B1910,""changepct""),K1910)"),1.52)</f>
        <v>1.52</v>
      </c>
      <c r="M1910" s="6">
        <f ca="1">IFERROR(__xludf.DUMMYFUNCTION("IFERROR(GOOGLEFINANCE(B1910,""change""),0)"),0)</f>
        <v>0</v>
      </c>
      <c r="N1910" s="6">
        <v>1</v>
      </c>
      <c r="O1910" s="7">
        <v>45536</v>
      </c>
      <c r="P1910" s="6">
        <v>0.56000000000000005</v>
      </c>
      <c r="Q1910" s="7">
        <v>45536</v>
      </c>
      <c r="R1910" s="6">
        <v>80.23</v>
      </c>
      <c r="S1910" s="6">
        <v>1.85</v>
      </c>
      <c r="T1910" s="6">
        <v>1.17</v>
      </c>
      <c r="U1910" s="6">
        <v>1</v>
      </c>
      <c r="V1910" s="7">
        <v>45352</v>
      </c>
      <c r="W1910" s="10">
        <f ca="1">IFERROR(__xludf.DUMMYFUNCTION("IFERROR(GOOGLEFINANCE(B1910,""pe""),V1910)"),45352)</f>
        <v>45352</v>
      </c>
      <c r="X1910" s="6">
        <v>0</v>
      </c>
      <c r="Y1910" s="6">
        <v>1.04</v>
      </c>
      <c r="Z1910" s="6">
        <v>1.29</v>
      </c>
      <c r="AA1910" s="3" t="s">
        <v>5837</v>
      </c>
      <c r="AB1910" s="11"/>
      <c r="AC1910" s="9"/>
      <c r="AD1910" s="9"/>
      <c r="AE1910" s="1">
        <v>0</v>
      </c>
      <c r="AF1910" s="1">
        <f ca="1">IFERROR(__xludf.DUMMYFUNCTION("IFERROR(GOOGLEFINANCE(TRIM(F1910)&amp;"":"" &amp; TRIM(B1910),""high52""),AE1910)"),0)</f>
        <v>0</v>
      </c>
      <c r="AG1910" s="1">
        <v>0</v>
      </c>
      <c r="AH1910" s="1">
        <f ca="1">IFERROR(__xludf.DUMMYFUNCTION("IFERROR(GOOGLEFINANCE(TRIM(F1910)&amp;"":"" &amp; TRIM(B1910),""low52""),AE1910)"),0)</f>
        <v>0</v>
      </c>
      <c r="AI1910" s="1">
        <f ca="1">IFERROR(__xludf.DUMMYFUNCTION("IFERROR(GOOGLEFINANCE(B1910,""eps""),0)"),0)</f>
        <v>0</v>
      </c>
      <c r="AJ1910" s="1"/>
      <c r="AK1910" s="1" t="s">
        <v>5838</v>
      </c>
      <c r="AL1910" s="9">
        <f t="shared" si="223"/>
        <v>1</v>
      </c>
    </row>
    <row r="1911" spans="1:38" ht="15" x14ac:dyDescent="0.25">
      <c r="A1911" s="1" t="s">
        <v>5839</v>
      </c>
      <c r="B1911" s="1" t="s">
        <v>5840</v>
      </c>
      <c r="C1911" s="1" t="s">
        <v>43</v>
      </c>
      <c r="D1911" s="1" t="s">
        <v>43</v>
      </c>
      <c r="E1911" s="6">
        <v>167.25</v>
      </c>
      <c r="F1911" s="1" t="s">
        <v>53</v>
      </c>
      <c r="G1911" s="6">
        <f ca="1">IFERROR(__xludf.DUMMYFUNCTION("iferror(GOOGLEFINANCE(TRIM(F1911)&amp;"":"" &amp; TRIM(B1911), ""price""),0
)"),0)</f>
        <v>0</v>
      </c>
      <c r="H1911" s="6">
        <v>1.33</v>
      </c>
      <c r="I1911" s="6">
        <f t="shared" ca="1" si="0"/>
        <v>1.33</v>
      </c>
      <c r="J1911" s="6">
        <f ca="1">IFERROR(__xludf.DUMMYFUNCTION("IFERROR(GOOGLEFINANCE(B1911, ""volume""), 0)"),0)</f>
        <v>0</v>
      </c>
      <c r="K1911" s="6">
        <v>0.76</v>
      </c>
      <c r="L1911" s="6">
        <f ca="1">IFERROR(__xludf.DUMMYFUNCTION("IFERROR(GOOGLEFINANCE(B1911,""changepct""),K1911)"),0.76)</f>
        <v>0.76</v>
      </c>
      <c r="M1911" s="6">
        <f ca="1">IFERROR(__xludf.DUMMYFUNCTION("IFERROR(GOOGLEFINANCE(B1911,""change""),0)"),0)</f>
        <v>0</v>
      </c>
      <c r="N1911" s="6">
        <v>1</v>
      </c>
      <c r="O1911" s="7">
        <v>45536</v>
      </c>
      <c r="P1911" s="6">
        <v>2.0499999999999998</v>
      </c>
      <c r="Q1911" s="7">
        <v>45536</v>
      </c>
      <c r="R1911" s="6">
        <v>81.55</v>
      </c>
      <c r="S1911" s="6">
        <v>5.14</v>
      </c>
      <c r="T1911" s="6">
        <v>0.59</v>
      </c>
      <c r="U1911" s="6">
        <v>1</v>
      </c>
      <c r="V1911" s="7">
        <v>45352</v>
      </c>
      <c r="W1911" s="10">
        <f ca="1">IFERROR(__xludf.DUMMYFUNCTION("IFERROR(GOOGLEFINANCE(B1911,""pe""),V1911)"),45352)</f>
        <v>45352</v>
      </c>
      <c r="X1911" s="6">
        <v>0</v>
      </c>
      <c r="Y1911" s="6">
        <v>0.68</v>
      </c>
      <c r="Z1911" s="6">
        <v>0.93</v>
      </c>
      <c r="AA1911" s="3" t="s">
        <v>5841</v>
      </c>
      <c r="AB1911" s="11"/>
      <c r="AC1911" s="9"/>
      <c r="AD1911" s="9"/>
      <c r="AE1911" s="1">
        <v>0</v>
      </c>
      <c r="AF1911" s="1">
        <f ca="1">IFERROR(__xludf.DUMMYFUNCTION("IFERROR(GOOGLEFINANCE(TRIM(F1911)&amp;"":"" &amp; TRIM(B1911),""high52""),AE1911)"),0)</f>
        <v>0</v>
      </c>
      <c r="AG1911" s="1">
        <v>0</v>
      </c>
      <c r="AH1911" s="1">
        <f ca="1">IFERROR(__xludf.DUMMYFUNCTION("IFERROR(GOOGLEFINANCE(TRIM(F1911)&amp;"":"" &amp; TRIM(B1911),""low52""),AE1911)"),0)</f>
        <v>0</v>
      </c>
      <c r="AI1911" s="1">
        <f ca="1">IFERROR(__xludf.DUMMYFUNCTION("IFERROR(GOOGLEFINANCE(B1911,""eps""),0)"),0)</f>
        <v>0</v>
      </c>
      <c r="AJ1911" s="1"/>
      <c r="AK1911" s="1" t="s">
        <v>5842</v>
      </c>
      <c r="AL1911" s="9">
        <f t="shared" si="223"/>
        <v>1</v>
      </c>
    </row>
    <row r="1912" spans="1:38" ht="15" x14ac:dyDescent="0.25">
      <c r="A1912" s="1" t="s">
        <v>5843</v>
      </c>
      <c r="B1912" s="1" t="s">
        <v>5844</v>
      </c>
      <c r="C1912" s="1" t="s">
        <v>163</v>
      </c>
      <c r="D1912" s="1" t="s">
        <v>163</v>
      </c>
      <c r="E1912" s="6">
        <v>10255.18</v>
      </c>
      <c r="F1912" s="1" t="s">
        <v>40</v>
      </c>
      <c r="G1912" s="6">
        <f ca="1">IFERROR(__xludf.DUMMYFUNCTION("iferror(GOOGLEFINANCE(TRIM(F1912)&amp;"":"" &amp; TRIM(B1912), ""price""),0
)"),1251.4)</f>
        <v>1251.4000000000001</v>
      </c>
      <c r="H1912" s="6">
        <v>1564.95</v>
      </c>
      <c r="I1912" s="6">
        <f t="shared" ca="1" si="0"/>
        <v>1251.4000000000001</v>
      </c>
      <c r="J1912" s="6">
        <f ca="1">IFERROR(__xludf.DUMMYFUNCTION("IFERROR(GOOGLEFINANCE(B1912, ""volume""), 0)"),34)</f>
        <v>34</v>
      </c>
      <c r="K1912" s="6">
        <v>0.04</v>
      </c>
      <c r="L1912" s="6">
        <f ca="1">IFERROR(__xludf.DUMMYFUNCTION("IFERROR(GOOGLEFINANCE(B1912,""changepct""),K1912)"),-7.73)</f>
        <v>-7.73</v>
      </c>
      <c r="M1912" s="6">
        <f ca="1">IFERROR(__xludf.DUMMYFUNCTION("IFERROR(GOOGLEFINANCE(B1912,""change""),0)"),-0.31)</f>
        <v>-0.31</v>
      </c>
      <c r="N1912" s="6">
        <v>2</v>
      </c>
      <c r="O1912" s="7">
        <v>45536</v>
      </c>
      <c r="P1912" s="9"/>
      <c r="Q1912" s="6">
        <v>10255.18</v>
      </c>
      <c r="R1912" s="7">
        <v>45536</v>
      </c>
      <c r="S1912" s="6">
        <v>1172.8</v>
      </c>
      <c r="T1912" s="6">
        <v>185.04</v>
      </c>
      <c r="U1912" s="7">
        <v>45536</v>
      </c>
      <c r="V1912" s="6">
        <v>55.42</v>
      </c>
      <c r="W1912" s="6">
        <f ca="1">IFERROR(__xludf.DUMMYFUNCTION("IFERROR(GOOGLEFINANCE(B1912,""pe""),V1912)"),27.68)</f>
        <v>27.68</v>
      </c>
      <c r="X1912" s="9"/>
      <c r="Y1912" s="6">
        <v>8.15</v>
      </c>
      <c r="Z1912" s="6">
        <v>2</v>
      </c>
      <c r="AA1912" s="8">
        <v>45352</v>
      </c>
      <c r="AB1912" s="4">
        <v>0</v>
      </c>
      <c r="AC1912" s="6">
        <v>23.02</v>
      </c>
      <c r="AD1912" s="6">
        <v>22.14</v>
      </c>
      <c r="AE1912" s="1">
        <v>0</v>
      </c>
      <c r="AF1912" s="1">
        <f ca="1">IFERROR(__xludf.DUMMYFUNCTION("IFERROR(GOOGLEFINANCE(TRIM(F1912)&amp;"":"" &amp; TRIM(B1912),""high52""),AE1912)"),1770)</f>
        <v>1770</v>
      </c>
      <c r="AG1912" s="1">
        <v>0</v>
      </c>
      <c r="AH1912" s="1">
        <f ca="1">IFERROR(__xludf.DUMMYFUNCTION("IFERROR(GOOGLEFINANCE(TRIM(F1912)&amp;"":"" &amp; TRIM(B1912),""low52""),AE1912)"),1242.1)</f>
        <v>1242.0999999999999</v>
      </c>
      <c r="AI1912" s="1">
        <f ca="1">IFERROR(__xludf.DUMMYFUNCTION("IFERROR(GOOGLEFINANCE(B1912,""eps""),0)"),0.13)</f>
        <v>0.13</v>
      </c>
      <c r="AJ1912" s="1"/>
      <c r="AK1912" s="1" t="s">
        <v>5845</v>
      </c>
      <c r="AL1912" s="9">
        <f t="shared" si="223"/>
        <v>1</v>
      </c>
    </row>
    <row r="1913" spans="1:38" ht="15" x14ac:dyDescent="0.25">
      <c r="A1913" s="1" t="s">
        <v>5846</v>
      </c>
      <c r="B1913" s="1" t="s">
        <v>5847</v>
      </c>
      <c r="C1913" s="1" t="s">
        <v>43</v>
      </c>
      <c r="D1913" s="1" t="s">
        <v>43</v>
      </c>
      <c r="E1913" s="6">
        <v>36.21</v>
      </c>
      <c r="F1913" s="1" t="s">
        <v>53</v>
      </c>
      <c r="G1913" s="6">
        <f ca="1">IFERROR(__xludf.DUMMYFUNCTION("iferror(GOOGLEFINANCE(TRIM(F1913)&amp;"":"" &amp; TRIM(B1913), ""price""),0
)"),0)</f>
        <v>0</v>
      </c>
      <c r="H1913" s="6">
        <v>0.76</v>
      </c>
      <c r="I1913" s="6">
        <f t="shared" ca="1" si="0"/>
        <v>0.76</v>
      </c>
      <c r="J1913" s="6">
        <f ca="1">IFERROR(__xludf.DUMMYFUNCTION("IFERROR(GOOGLEFINANCE(B1913, ""volume""), 0)"),0)</f>
        <v>0</v>
      </c>
      <c r="K1913" s="6">
        <v>-1.3</v>
      </c>
      <c r="L1913" s="6">
        <f ca="1">IFERROR(__xludf.DUMMYFUNCTION("IFERROR(GOOGLEFINANCE(B1913,""changepct""),K1913)"),-1.3)</f>
        <v>-1.3</v>
      </c>
      <c r="M1913" s="6">
        <f ca="1">IFERROR(__xludf.DUMMYFUNCTION("IFERROR(GOOGLEFINANCE(B1913,""change""),0)"),0)</f>
        <v>0</v>
      </c>
      <c r="N1913" s="6">
        <v>1</v>
      </c>
      <c r="O1913" s="7">
        <v>45536</v>
      </c>
      <c r="P1913" s="6">
        <v>0.44</v>
      </c>
      <c r="Q1913" s="7">
        <v>45536</v>
      </c>
      <c r="R1913" s="6">
        <v>82.67</v>
      </c>
      <c r="S1913" s="6">
        <v>2.5299999999999998</v>
      </c>
      <c r="T1913" s="6">
        <v>0.61</v>
      </c>
      <c r="U1913" s="6">
        <v>1</v>
      </c>
      <c r="V1913" s="7">
        <v>45352</v>
      </c>
      <c r="W1913" s="10">
        <f ca="1">IFERROR(__xludf.DUMMYFUNCTION("IFERROR(GOOGLEFINANCE(B1913,""pe""),V1913)"),45352)</f>
        <v>45352</v>
      </c>
      <c r="X1913" s="6">
        <v>0.14000000000000001</v>
      </c>
      <c r="Y1913" s="6">
        <v>0.56999999999999995</v>
      </c>
      <c r="Z1913" s="6">
        <v>1.17</v>
      </c>
      <c r="AA1913" s="19" t="s">
        <v>5848</v>
      </c>
      <c r="AB1913" s="20"/>
      <c r="AC1913" s="9"/>
      <c r="AD1913" s="9"/>
      <c r="AE1913" s="1">
        <v>0</v>
      </c>
      <c r="AF1913" s="1">
        <f ca="1">IFERROR(__xludf.DUMMYFUNCTION("IFERROR(GOOGLEFINANCE(TRIM(F1913)&amp;"":"" &amp; TRIM(B1913),""high52""),AE1913)"),0)</f>
        <v>0</v>
      </c>
      <c r="AG1913" s="1">
        <v>0</v>
      </c>
      <c r="AH1913" s="1">
        <f ca="1">IFERROR(__xludf.DUMMYFUNCTION("IFERROR(GOOGLEFINANCE(TRIM(F1913)&amp;"":"" &amp; TRIM(B1913),""low52""),AE1913)"),0)</f>
        <v>0</v>
      </c>
      <c r="AI1913" s="1">
        <f ca="1">IFERROR(__xludf.DUMMYFUNCTION("IFERROR(GOOGLEFINANCE(B1913,""eps""),0)"),0)</f>
        <v>0</v>
      </c>
      <c r="AJ1913" s="1"/>
      <c r="AK1913" s="1" t="s">
        <v>5849</v>
      </c>
      <c r="AL1913" s="9">
        <f t="shared" si="223"/>
        <v>1</v>
      </c>
    </row>
    <row r="1914" spans="1:38" ht="15" x14ac:dyDescent="0.25">
      <c r="A1914" s="1" t="s">
        <v>5850</v>
      </c>
      <c r="B1914" s="1" t="s">
        <v>5851</v>
      </c>
      <c r="C1914" s="1" t="s">
        <v>5852</v>
      </c>
      <c r="D1914" s="1" t="s">
        <v>5852</v>
      </c>
      <c r="E1914" s="6">
        <v>21494.46</v>
      </c>
      <c r="F1914" s="1" t="s">
        <v>40</v>
      </c>
      <c r="G1914" s="6">
        <f ca="1">IFERROR(__xludf.DUMMYFUNCTION("iferror(GOOGLEFINANCE(TRIM(F1914)&amp;"":"" &amp; TRIM(B1914), ""price""),0
)"),308)</f>
        <v>308</v>
      </c>
      <c r="H1914" s="6">
        <v>521.9</v>
      </c>
      <c r="I1914" s="6">
        <f t="shared" ca="1" si="0"/>
        <v>308</v>
      </c>
      <c r="J1914" s="6">
        <f ca="1">IFERROR(__xludf.DUMMYFUNCTION("IFERROR(GOOGLEFINANCE(B1914, ""volume""), 0)"),3029312)</f>
        <v>3029312</v>
      </c>
      <c r="K1914" s="6">
        <v>2.99</v>
      </c>
      <c r="L1914" s="6">
        <f ca="1">IFERROR(__xludf.DUMMYFUNCTION("IFERROR(GOOGLEFINANCE(B1914,""changepct""),K1914)"),1.67)</f>
        <v>1.67</v>
      </c>
      <c r="M1914" s="6">
        <f ca="1">IFERROR(__xludf.DUMMYFUNCTION("IFERROR(GOOGLEFINANCE(B1914,""change""),0)"),5.05)</f>
        <v>5.05</v>
      </c>
      <c r="N1914" s="6">
        <v>2</v>
      </c>
      <c r="O1914" s="7">
        <v>45536</v>
      </c>
      <c r="P1914" s="6">
        <v>439.14</v>
      </c>
      <c r="Q1914" s="6">
        <v>20959.14</v>
      </c>
      <c r="R1914" s="7">
        <v>45536</v>
      </c>
      <c r="S1914" s="6">
        <v>3900.15</v>
      </c>
      <c r="T1914" s="6">
        <v>370.77</v>
      </c>
      <c r="U1914" s="7">
        <v>45536</v>
      </c>
      <c r="V1914" s="6">
        <v>58.36</v>
      </c>
      <c r="W1914" s="6">
        <f ca="1">IFERROR(__xludf.DUMMYFUNCTION("IFERROR(GOOGLEFINANCE(B1914,""pe""),V1914)"),58.36)</f>
        <v>58.36</v>
      </c>
      <c r="X1914" s="9"/>
      <c r="Y1914" s="6">
        <v>8.41</v>
      </c>
      <c r="Z1914" s="6">
        <v>2</v>
      </c>
      <c r="AA1914" s="8">
        <v>45352</v>
      </c>
      <c r="AB1914" s="4">
        <v>0.21</v>
      </c>
      <c r="AC1914" s="6">
        <v>27.36</v>
      </c>
      <c r="AD1914" s="6">
        <v>31.72</v>
      </c>
      <c r="AE1914" s="1">
        <v>0</v>
      </c>
      <c r="AF1914" s="1">
        <f ca="1">IFERROR(__xludf.DUMMYFUNCTION("IFERROR(GOOGLEFINANCE(TRIM(F1914)&amp;"":"" &amp; TRIM(B1914),""high52""),AE1914)"),457)</f>
        <v>457</v>
      </c>
      <c r="AG1914" s="1">
        <v>0</v>
      </c>
      <c r="AH1914" s="1">
        <f ca="1">IFERROR(__xludf.DUMMYFUNCTION("IFERROR(GOOGLEFINANCE(TRIM(F1914)&amp;"":"" &amp; TRIM(B1914),""low52""),AE1914)"),247.15)</f>
        <v>247.15</v>
      </c>
      <c r="AI1914" s="1">
        <f ca="1">IFERROR(__xludf.DUMMYFUNCTION("IFERROR(GOOGLEFINANCE(B1914,""eps""),0)"),0)</f>
        <v>0</v>
      </c>
      <c r="AJ1914" s="1"/>
      <c r="AK1914" s="9"/>
      <c r="AL1914" s="9">
        <f t="shared" si="223"/>
        <v>1</v>
      </c>
    </row>
    <row r="1915" spans="1:38" ht="15" x14ac:dyDescent="0.25">
      <c r="A1915" s="1" t="s">
        <v>5853</v>
      </c>
      <c r="B1915" s="1" t="s">
        <v>5854</v>
      </c>
      <c r="C1915" s="1" t="s">
        <v>90</v>
      </c>
      <c r="D1915" s="1" t="s">
        <v>90</v>
      </c>
      <c r="E1915" s="6">
        <v>8588.64</v>
      </c>
      <c r="F1915" s="1" t="s">
        <v>40</v>
      </c>
      <c r="G1915" s="6">
        <f ca="1">IFERROR(__xludf.DUMMYFUNCTION("iferror(GOOGLEFINANCE(TRIM(F1915)&amp;"":"" &amp; TRIM(B1915), ""price""),0
)"),648)</f>
        <v>648</v>
      </c>
      <c r="H1915" s="6">
        <v>1060.7</v>
      </c>
      <c r="I1915" s="6">
        <f t="shared" ca="1" si="0"/>
        <v>648</v>
      </c>
      <c r="J1915" s="6">
        <f ca="1">IFERROR(__xludf.DUMMYFUNCTION("IFERROR(GOOGLEFINANCE(B1915, ""volume""), 0)"),70964)</f>
        <v>70964</v>
      </c>
      <c r="K1915" s="6">
        <v>5.08</v>
      </c>
      <c r="L1915" s="6">
        <f ca="1">IFERROR(__xludf.DUMMYFUNCTION("IFERROR(GOOGLEFINANCE(B1915,""changepct""),K1915)"),-0.74)</f>
        <v>-0.74</v>
      </c>
      <c r="M1915" s="6">
        <f ca="1">IFERROR(__xludf.DUMMYFUNCTION("IFERROR(GOOGLEFINANCE(B1915,""change""),0)"),-4.85)</f>
        <v>-4.8499999999999996</v>
      </c>
      <c r="N1915" s="6">
        <v>1</v>
      </c>
      <c r="O1915" s="7">
        <v>45536</v>
      </c>
      <c r="P1915" s="9"/>
      <c r="Q1915" s="6">
        <v>8434.5</v>
      </c>
      <c r="R1915" s="7">
        <v>45536</v>
      </c>
      <c r="S1915" s="6">
        <v>1100.72</v>
      </c>
      <c r="T1915" s="6">
        <v>502.95</v>
      </c>
      <c r="U1915" s="7">
        <v>45536</v>
      </c>
      <c r="V1915" s="6">
        <v>17.079999999999998</v>
      </c>
      <c r="W1915" s="6">
        <f ca="1">IFERROR(__xludf.DUMMYFUNCTION("IFERROR(GOOGLEFINANCE(B1915,""pe""),V1915)"),9.57)</f>
        <v>9.57</v>
      </c>
      <c r="X1915" s="6">
        <v>1.43</v>
      </c>
      <c r="Y1915" s="6">
        <v>1.99</v>
      </c>
      <c r="Z1915" s="6">
        <v>2</v>
      </c>
      <c r="AA1915" s="8">
        <v>45352</v>
      </c>
      <c r="AB1915" s="4">
        <v>0</v>
      </c>
      <c r="AC1915" s="6">
        <v>9.4700000000000006</v>
      </c>
      <c r="AD1915" s="6">
        <v>12.37</v>
      </c>
      <c r="AE1915" s="1">
        <v>0</v>
      </c>
      <c r="AF1915" s="1">
        <f ca="1">IFERROR(__xludf.DUMMYFUNCTION("IFERROR(GOOGLEFINANCE(TRIM(F1915)&amp;"":"" &amp; TRIM(B1915),""high52""),AE1915)"),1048.9)</f>
        <v>1048.9000000000001</v>
      </c>
      <c r="AG1915" s="1">
        <v>0</v>
      </c>
      <c r="AH1915" s="1">
        <f ca="1">IFERROR(__xludf.DUMMYFUNCTION("IFERROR(GOOGLEFINANCE(TRIM(F1915)&amp;"":"" &amp; TRIM(B1915),""low52""),AE1915)"),632.15)</f>
        <v>632.15</v>
      </c>
      <c r="AI1915" s="1">
        <f ca="1">IFERROR(__xludf.DUMMYFUNCTION("IFERROR(GOOGLEFINANCE(B1915,""eps""),0)"),67.69)</f>
        <v>67.69</v>
      </c>
      <c r="AJ1915" s="1"/>
      <c r="AK1915" s="1" t="s">
        <v>5855</v>
      </c>
      <c r="AL1915" s="1" t="b">
        <f>ISNUMBER(AA1915)</f>
        <v>1</v>
      </c>
    </row>
    <row r="1916" spans="1:38" ht="15" x14ac:dyDescent="0.25">
      <c r="A1916" s="1" t="s">
        <v>5856</v>
      </c>
      <c r="B1916" s="1" t="s">
        <v>5857</v>
      </c>
      <c r="C1916" s="1" t="s">
        <v>151</v>
      </c>
      <c r="D1916" s="1" t="s">
        <v>151</v>
      </c>
      <c r="E1916" s="6">
        <v>14888.47</v>
      </c>
      <c r="F1916" s="1" t="s">
        <v>40</v>
      </c>
      <c r="G1916" s="6">
        <f ca="1">IFERROR(__xludf.DUMMYFUNCTION("iferror(GOOGLEFINANCE(TRIM(F1916)&amp;"":"" &amp; TRIM(B1916), ""price""),0
)"),242.76)</f>
        <v>242.76</v>
      </c>
      <c r="H1916" s="6">
        <v>401.8</v>
      </c>
      <c r="I1916" s="6">
        <f t="shared" ca="1" si="0"/>
        <v>242.76</v>
      </c>
      <c r="J1916" s="6">
        <f ca="1">IFERROR(__xludf.DUMMYFUNCTION("IFERROR(GOOGLEFINANCE(B1916, ""volume""), 0)"),408955)</f>
        <v>408955</v>
      </c>
      <c r="K1916" s="6">
        <v>-0.96</v>
      </c>
      <c r="L1916" s="6">
        <f ca="1">IFERROR(__xludf.DUMMYFUNCTION("IFERROR(GOOGLEFINANCE(B1916,""changepct""),K1916)"),-1.92)</f>
        <v>-1.92</v>
      </c>
      <c r="M1916" s="6">
        <f ca="1">IFERROR(__xludf.DUMMYFUNCTION("IFERROR(GOOGLEFINANCE(B1916,""change""),0)"),-4.76)</f>
        <v>-4.76</v>
      </c>
      <c r="N1916" s="6">
        <v>2</v>
      </c>
      <c r="O1916" s="7">
        <v>45536</v>
      </c>
      <c r="P1916" s="12"/>
      <c r="Q1916" s="6">
        <v>14746.04</v>
      </c>
      <c r="R1916" s="7">
        <v>45536</v>
      </c>
      <c r="S1916" s="6">
        <v>2813.06</v>
      </c>
      <c r="T1916" s="6">
        <v>375.78</v>
      </c>
      <c r="U1916" s="7">
        <v>45536</v>
      </c>
      <c r="V1916" s="6">
        <v>39.619999999999997</v>
      </c>
      <c r="W1916" s="6">
        <f ca="1">IFERROR(__xludf.DUMMYFUNCTION("IFERROR(GOOGLEFINANCE(B1916,""pe""),V1916)"),25.59)</f>
        <v>25.59</v>
      </c>
      <c r="X1916" s="6">
        <v>3.17</v>
      </c>
      <c r="Y1916" s="6">
        <v>7.89</v>
      </c>
      <c r="Z1916" s="6">
        <v>2</v>
      </c>
      <c r="AA1916" s="8">
        <v>45352</v>
      </c>
      <c r="AB1916" s="4">
        <v>0</v>
      </c>
      <c r="AC1916" s="6">
        <v>22.01</v>
      </c>
      <c r="AD1916" s="6">
        <v>28.81</v>
      </c>
      <c r="AE1916" s="1">
        <v>0</v>
      </c>
      <c r="AF1916" s="1">
        <f ca="1">IFERROR(__xludf.DUMMYFUNCTION("IFERROR(GOOGLEFINANCE(TRIM(F1916)&amp;"":"" &amp; TRIM(B1916),""high52""),AE1916)"),423)</f>
        <v>423</v>
      </c>
      <c r="AG1916" s="1">
        <v>0</v>
      </c>
      <c r="AH1916" s="1">
        <f ca="1">IFERROR(__xludf.DUMMYFUNCTION("IFERROR(GOOGLEFINANCE(TRIM(F1916)&amp;"":"" &amp; TRIM(B1916),""low52""),AE1916)"),238.71)</f>
        <v>238.71</v>
      </c>
      <c r="AI1916" s="1">
        <f ca="1">IFERROR(__xludf.DUMMYFUNCTION("IFERROR(GOOGLEFINANCE(B1916,""eps""),0)"),9.49)</f>
        <v>9.49</v>
      </c>
      <c r="AJ1916" s="1"/>
      <c r="AK1916" s="1" t="s">
        <v>5858</v>
      </c>
      <c r="AL1916" s="9">
        <f t="shared" ref="AL1916:AL1935" si="224">IF(AA1916&lt;&gt;AB1916,1,0)</f>
        <v>1</v>
      </c>
    </row>
    <row r="1917" spans="1:38" ht="15" x14ac:dyDescent="0.25">
      <c r="A1917" s="1" t="s">
        <v>5859</v>
      </c>
      <c r="B1917" s="1" t="s">
        <v>5860</v>
      </c>
      <c r="C1917" s="1" t="s">
        <v>43</v>
      </c>
      <c r="D1917" s="1" t="s">
        <v>43</v>
      </c>
      <c r="E1917" s="6">
        <v>101.37</v>
      </c>
      <c r="F1917" s="1" t="s">
        <v>53</v>
      </c>
      <c r="G1917" s="6">
        <f ca="1">IFERROR(__xludf.DUMMYFUNCTION("iferror(GOOGLEFINANCE(TRIM(F1917)&amp;"":"" &amp; TRIM(B1917), ""price""),0
)"),0)</f>
        <v>0</v>
      </c>
      <c r="H1917" s="6">
        <v>4.5</v>
      </c>
      <c r="I1917" s="6">
        <f t="shared" ca="1" si="0"/>
        <v>4.5</v>
      </c>
      <c r="J1917" s="6">
        <f ca="1">IFERROR(__xludf.DUMMYFUNCTION("IFERROR(GOOGLEFINANCE(B1917, ""volume""), 0)"),0)</f>
        <v>0</v>
      </c>
      <c r="K1917" s="6">
        <v>-0.22</v>
      </c>
      <c r="L1917" s="6">
        <f ca="1">IFERROR(__xludf.DUMMYFUNCTION("IFERROR(GOOGLEFINANCE(B1917,""changepct""),K1917)"),-0.22)</f>
        <v>-0.22</v>
      </c>
      <c r="M1917" s="6">
        <f ca="1">IFERROR(__xludf.DUMMYFUNCTION("IFERROR(GOOGLEFINANCE(B1917,""change""),0)"),0)</f>
        <v>0</v>
      </c>
      <c r="N1917" s="6">
        <v>2</v>
      </c>
      <c r="O1917" s="7">
        <v>45352</v>
      </c>
      <c r="P1917" s="6">
        <v>0.96</v>
      </c>
      <c r="Q1917" s="7">
        <v>45352</v>
      </c>
      <c r="R1917" s="6">
        <v>105.54</v>
      </c>
      <c r="S1917" s="9"/>
      <c r="T1917" s="6">
        <v>1.58</v>
      </c>
      <c r="U1917" s="6">
        <v>2</v>
      </c>
      <c r="V1917" s="7">
        <v>45352</v>
      </c>
      <c r="W1917" s="10">
        <f ca="1">IFERROR(__xludf.DUMMYFUNCTION("IFERROR(GOOGLEFINANCE(B1917,""pe""),V1917)"),45352)</f>
        <v>45352</v>
      </c>
      <c r="X1917" s="6">
        <v>0.01</v>
      </c>
      <c r="Y1917" s="6">
        <v>5.52</v>
      </c>
      <c r="Z1917" s="6">
        <v>5.67</v>
      </c>
      <c r="AA1917" s="3" t="s">
        <v>5861</v>
      </c>
      <c r="AB1917" s="11"/>
      <c r="AC1917" s="9"/>
      <c r="AD1917" s="9"/>
      <c r="AE1917" s="1">
        <v>0</v>
      </c>
      <c r="AF1917" s="1">
        <f ca="1">IFERROR(__xludf.DUMMYFUNCTION("IFERROR(GOOGLEFINANCE(TRIM(F1917)&amp;"":"" &amp; TRIM(B1917),""high52""),AE1917)"),0)</f>
        <v>0</v>
      </c>
      <c r="AG1917" s="1">
        <v>0</v>
      </c>
      <c r="AH1917" s="1">
        <f ca="1">IFERROR(__xludf.DUMMYFUNCTION("IFERROR(GOOGLEFINANCE(TRIM(F1917)&amp;"":"" &amp; TRIM(B1917),""low52""),AE1917)"),0)</f>
        <v>0</v>
      </c>
      <c r="AI1917" s="1">
        <f ca="1">IFERROR(__xludf.DUMMYFUNCTION("IFERROR(GOOGLEFINANCE(B1917,""eps""),0)"),0)</f>
        <v>0</v>
      </c>
      <c r="AJ1917" s="1"/>
      <c r="AK1917" s="1" t="s">
        <v>5862</v>
      </c>
      <c r="AL1917" s="9">
        <f t="shared" si="224"/>
        <v>1</v>
      </c>
    </row>
    <row r="1918" spans="1:38" ht="15" x14ac:dyDescent="0.25">
      <c r="A1918" s="1" t="s">
        <v>5863</v>
      </c>
      <c r="B1918" s="1" t="s">
        <v>5864</v>
      </c>
      <c r="C1918" s="1" t="s">
        <v>43</v>
      </c>
      <c r="D1918" s="1" t="s">
        <v>43</v>
      </c>
      <c r="E1918" s="6">
        <v>6.56</v>
      </c>
      <c r="F1918" s="1" t="s">
        <v>53</v>
      </c>
      <c r="G1918" s="6">
        <f ca="1">IFERROR(__xludf.DUMMYFUNCTION("iferror(GOOGLEFINANCE(TRIM(F1918)&amp;"":"" &amp; TRIM(B1918), ""price""),0
)"),0)</f>
        <v>0</v>
      </c>
      <c r="H1918" s="6">
        <v>13.69</v>
      </c>
      <c r="I1918" s="6">
        <f t="shared" ca="1" si="0"/>
        <v>13.69</v>
      </c>
      <c r="J1918" s="6">
        <f ca="1">IFERROR(__xludf.DUMMYFUNCTION("IFERROR(GOOGLEFINANCE(B1918, ""volume""), 0)"),0)</f>
        <v>0</v>
      </c>
      <c r="K1918" s="6">
        <v>4.9800000000000004</v>
      </c>
      <c r="L1918" s="6">
        <f ca="1">IFERROR(__xludf.DUMMYFUNCTION("IFERROR(GOOGLEFINANCE(B1918,""changepct""),K1918)"),4.98)</f>
        <v>4.9800000000000004</v>
      </c>
      <c r="M1918" s="6">
        <f ca="1">IFERROR(__xludf.DUMMYFUNCTION("IFERROR(GOOGLEFINANCE(B1918,""change""),0)"),0)</f>
        <v>0</v>
      </c>
      <c r="N1918" s="6">
        <v>1</v>
      </c>
      <c r="O1918" s="7">
        <v>45536</v>
      </c>
      <c r="P1918" s="6">
        <v>0.05</v>
      </c>
      <c r="Q1918" s="7">
        <v>45536</v>
      </c>
      <c r="R1918" s="6">
        <v>121.47</v>
      </c>
      <c r="S1918" s="6">
        <v>6.01</v>
      </c>
      <c r="T1918" s="6">
        <v>2.02</v>
      </c>
      <c r="U1918" s="6">
        <v>1</v>
      </c>
      <c r="V1918" s="7">
        <v>45352</v>
      </c>
      <c r="W1918" s="10">
        <f ca="1">IFERROR(__xludf.DUMMYFUNCTION("IFERROR(GOOGLEFINANCE(B1918,""pe""),V1918)"),45352)</f>
        <v>45352</v>
      </c>
      <c r="X1918" s="6">
        <v>0</v>
      </c>
      <c r="Y1918" s="6">
        <v>1.76</v>
      </c>
      <c r="Z1918" s="6">
        <v>1.76</v>
      </c>
      <c r="AA1918" s="3" t="s">
        <v>5865</v>
      </c>
      <c r="AB1918" s="11"/>
      <c r="AC1918" s="9"/>
      <c r="AD1918" s="9"/>
      <c r="AE1918" s="1">
        <v>0</v>
      </c>
      <c r="AF1918" s="1">
        <f ca="1">IFERROR(__xludf.DUMMYFUNCTION("IFERROR(GOOGLEFINANCE(TRIM(F1918)&amp;"":"" &amp; TRIM(B1918),""high52""),AE1918)"),0)</f>
        <v>0</v>
      </c>
      <c r="AG1918" s="1">
        <v>0</v>
      </c>
      <c r="AH1918" s="1">
        <f ca="1">IFERROR(__xludf.DUMMYFUNCTION("IFERROR(GOOGLEFINANCE(TRIM(F1918)&amp;"":"" &amp; TRIM(B1918),""low52""),AE1918)"),0)</f>
        <v>0</v>
      </c>
      <c r="AI1918" s="1">
        <f ca="1">IFERROR(__xludf.DUMMYFUNCTION("IFERROR(GOOGLEFINANCE(B1918,""eps""),0)"),0)</f>
        <v>0</v>
      </c>
      <c r="AJ1918" s="1"/>
      <c r="AK1918" s="1" t="s">
        <v>5866</v>
      </c>
      <c r="AL1918" s="9">
        <f t="shared" si="224"/>
        <v>1</v>
      </c>
    </row>
    <row r="1919" spans="1:38" ht="15" x14ac:dyDescent="0.25">
      <c r="A1919" s="1" t="s">
        <v>5867</v>
      </c>
      <c r="B1919" s="1" t="s">
        <v>5868</v>
      </c>
      <c r="C1919" s="1" t="s">
        <v>416</v>
      </c>
      <c r="D1919" s="1" t="s">
        <v>416</v>
      </c>
      <c r="E1919" s="6">
        <v>31487.86</v>
      </c>
      <c r="F1919" s="1" t="s">
        <v>40</v>
      </c>
      <c r="G1919" s="6">
        <f ca="1">IFERROR(__xludf.DUMMYFUNCTION("iferror(GOOGLEFINANCE(TRIM(F1919)&amp;"":"" &amp; TRIM(B1919), ""price""),0
)"),773.15)</f>
        <v>773.15</v>
      </c>
      <c r="H1919" s="6">
        <v>1370.2</v>
      </c>
      <c r="I1919" s="6">
        <f t="shared" ca="1" si="0"/>
        <v>773.15</v>
      </c>
      <c r="J1919" s="6">
        <f ca="1">IFERROR(__xludf.DUMMYFUNCTION("IFERROR(GOOGLEFINANCE(B1919, ""volume""), 0)"),532673)</f>
        <v>532673</v>
      </c>
      <c r="K1919" s="6">
        <v>-0.82</v>
      </c>
      <c r="L1919" s="6">
        <f ca="1">IFERROR(__xludf.DUMMYFUNCTION("IFERROR(GOOGLEFINANCE(B1919,""changepct""),K1919)"),-3.07)</f>
        <v>-3.07</v>
      </c>
      <c r="M1919" s="6">
        <f ca="1">IFERROR(__xludf.DUMMYFUNCTION("IFERROR(GOOGLEFINANCE(B1919,""change""),0)"),-24.45)</f>
        <v>-24.45</v>
      </c>
      <c r="N1919" s="6">
        <v>2</v>
      </c>
      <c r="O1919" s="7">
        <v>45536</v>
      </c>
      <c r="P1919" s="6">
        <v>250.26</v>
      </c>
      <c r="Q1919" s="6">
        <v>31637.58</v>
      </c>
      <c r="R1919" s="7">
        <v>45536</v>
      </c>
      <c r="S1919" s="6">
        <v>1620.56</v>
      </c>
      <c r="T1919" s="6">
        <v>274.48</v>
      </c>
      <c r="U1919" s="7">
        <v>45536</v>
      </c>
      <c r="V1919" s="6">
        <v>114.72</v>
      </c>
      <c r="W1919" s="6">
        <f ca="1">IFERROR(__xludf.DUMMYFUNCTION("IFERROR(GOOGLEFINANCE(B1919,""pe""),V1919)"),50.77)</f>
        <v>50.77</v>
      </c>
      <c r="X1919" s="9"/>
      <c r="Y1919" s="6">
        <v>21.08</v>
      </c>
      <c r="Z1919" s="6">
        <v>2</v>
      </c>
      <c r="AA1919" s="8">
        <v>45352</v>
      </c>
      <c r="AB1919" s="4">
        <v>0.22</v>
      </c>
      <c r="AC1919" s="6">
        <v>20.86</v>
      </c>
      <c r="AD1919" s="6">
        <v>21.26</v>
      </c>
      <c r="AE1919" s="1">
        <v>0</v>
      </c>
      <c r="AF1919" s="1">
        <f ca="1">IFERROR(__xludf.DUMMYFUNCTION("IFERROR(GOOGLEFINANCE(TRIM(F1919)&amp;"":"" &amp; TRIM(B1919),""high52""),AE1919)"),1330)</f>
        <v>1330</v>
      </c>
      <c r="AG1919" s="1">
        <v>0</v>
      </c>
      <c r="AH1919" s="1">
        <f ca="1">IFERROR(__xludf.DUMMYFUNCTION("IFERROR(GOOGLEFINANCE(TRIM(F1919)&amp;"":"" &amp; TRIM(B1919),""low52""),AE1919)"),750)</f>
        <v>750</v>
      </c>
      <c r="AI1919" s="1">
        <f ca="1">IFERROR(__xludf.DUMMYFUNCTION("IFERROR(GOOGLEFINANCE(B1919,""eps""),0)"),15.23)</f>
        <v>15.23</v>
      </c>
      <c r="AJ1919" s="1"/>
      <c r="AK1919" s="1" t="s">
        <v>5869</v>
      </c>
      <c r="AL1919" s="9">
        <f t="shared" si="224"/>
        <v>1</v>
      </c>
    </row>
    <row r="1920" spans="1:38" ht="15" x14ac:dyDescent="0.25">
      <c r="A1920" s="1" t="s">
        <v>5870</v>
      </c>
      <c r="B1920" s="1" t="s">
        <v>5871</v>
      </c>
      <c r="C1920" s="1" t="s">
        <v>5872</v>
      </c>
      <c r="D1920" s="1" t="s">
        <v>5872</v>
      </c>
      <c r="E1920" s="6">
        <v>2483.52</v>
      </c>
      <c r="F1920" s="1" t="s">
        <v>40</v>
      </c>
      <c r="G1920" s="6">
        <f ca="1">IFERROR(__xludf.DUMMYFUNCTION("iferror(GOOGLEFINANCE(TRIM(F1920)&amp;"":"" &amp; TRIM(B1920), ""price""),0
)"),9.2)</f>
        <v>9.1999999999999993</v>
      </c>
      <c r="H1920" s="6">
        <v>28.05</v>
      </c>
      <c r="I1920" s="6">
        <f t="shared" ca="1" si="0"/>
        <v>9.1999999999999993</v>
      </c>
      <c r="J1920" s="6">
        <f ca="1">IFERROR(__xludf.DUMMYFUNCTION("IFERROR(GOOGLEFINANCE(B1920, ""volume""), 0)"),4823513)</f>
        <v>4823513</v>
      </c>
      <c r="K1920" s="6">
        <v>1.74</v>
      </c>
      <c r="L1920" s="6">
        <f ca="1">IFERROR(__xludf.DUMMYFUNCTION("IFERROR(GOOGLEFINANCE(B1920,""changepct""),K1920)"),-1.39)</f>
        <v>-1.39</v>
      </c>
      <c r="M1920" s="6">
        <f ca="1">IFERROR(__xludf.DUMMYFUNCTION("IFERROR(GOOGLEFINANCE(B1920,""change""),0)"),-0.13)</f>
        <v>-0.13</v>
      </c>
      <c r="N1920" s="6">
        <v>2</v>
      </c>
      <c r="O1920" s="7">
        <v>45536</v>
      </c>
      <c r="P1920" s="6">
        <v>1932.13</v>
      </c>
      <c r="Q1920" s="6">
        <v>4330.5200000000004</v>
      </c>
      <c r="R1920" s="7">
        <v>45536</v>
      </c>
      <c r="S1920" s="6">
        <v>380.54</v>
      </c>
      <c r="T1920" s="6">
        <v>27.35</v>
      </c>
      <c r="U1920" s="7">
        <v>45536</v>
      </c>
      <c r="V1920" s="6">
        <v>90.79</v>
      </c>
      <c r="W1920" s="6">
        <f ca="1">IFERROR(__xludf.DUMMYFUNCTION("IFERROR(GOOGLEFINANCE(B1920,""pe""),V1920)"),18.31)</f>
        <v>18.309999999999999</v>
      </c>
      <c r="X1920" s="6">
        <v>6.03</v>
      </c>
      <c r="Y1920" s="6">
        <v>37.36</v>
      </c>
      <c r="Z1920" s="6">
        <v>2</v>
      </c>
      <c r="AA1920" s="8">
        <v>45352</v>
      </c>
      <c r="AB1920" s="4">
        <v>-59.44</v>
      </c>
      <c r="AC1920" s="6">
        <v>0</v>
      </c>
      <c r="AD1920" s="6">
        <v>1.1499999999999999</v>
      </c>
      <c r="AE1920" s="1">
        <v>0</v>
      </c>
      <c r="AF1920" s="1">
        <f ca="1">IFERROR(__xludf.DUMMYFUNCTION("IFERROR(GOOGLEFINANCE(TRIM(F1920)&amp;"":"" &amp; TRIM(B1920),""high52""),AE1920)"),25.24)</f>
        <v>25.24</v>
      </c>
      <c r="AG1920" s="1">
        <v>0</v>
      </c>
      <c r="AH1920" s="1">
        <f ca="1">IFERROR(__xludf.DUMMYFUNCTION("IFERROR(GOOGLEFINANCE(TRIM(F1920)&amp;"":"" &amp; TRIM(B1920),""low52""),AE1920)"),7.94)</f>
        <v>7.94</v>
      </c>
      <c r="AI1920" s="1">
        <f ca="1">IFERROR(__xludf.DUMMYFUNCTION("IFERROR(GOOGLEFINANCE(B1920,""eps""),0)"),0.5)</f>
        <v>0.5</v>
      </c>
      <c r="AJ1920" s="1"/>
      <c r="AK1920" s="9"/>
      <c r="AL1920" s="9">
        <f t="shared" si="224"/>
        <v>1</v>
      </c>
    </row>
    <row r="1921" spans="1:38" ht="15" x14ac:dyDescent="0.25">
      <c r="A1921" s="1" t="s">
        <v>5873</v>
      </c>
      <c r="B1921" s="1" t="s">
        <v>5874</v>
      </c>
      <c r="C1921" s="1" t="s">
        <v>1118</v>
      </c>
      <c r="D1921" s="1" t="s">
        <v>1118</v>
      </c>
      <c r="E1921" s="6">
        <v>517.04</v>
      </c>
      <c r="F1921" s="1" t="s">
        <v>40</v>
      </c>
      <c r="G1921" s="6">
        <f ca="1">IFERROR(__xludf.DUMMYFUNCTION("iferror(GOOGLEFINANCE(TRIM(F1921)&amp;"":"" &amp; TRIM(B1921), ""price""),0
)"),23)</f>
        <v>23</v>
      </c>
      <c r="H1921" s="6">
        <v>45.72</v>
      </c>
      <c r="I1921" s="6">
        <f t="shared" ca="1" si="0"/>
        <v>23</v>
      </c>
      <c r="J1921" s="6">
        <f ca="1">IFERROR(__xludf.DUMMYFUNCTION("IFERROR(GOOGLEFINANCE(B1921, ""volume""), 0)"),55902)</f>
        <v>55902</v>
      </c>
      <c r="K1921" s="6">
        <v>0.18</v>
      </c>
      <c r="L1921" s="6">
        <f ca="1">IFERROR(__xludf.DUMMYFUNCTION("IFERROR(GOOGLEFINANCE(B1921,""changepct""),K1921)"),0.52)</f>
        <v>0.52</v>
      </c>
      <c r="M1921" s="6">
        <f ca="1">IFERROR(__xludf.DUMMYFUNCTION("IFERROR(GOOGLEFINANCE(B1921,""change""),0)"),0.12)</f>
        <v>0.12</v>
      </c>
      <c r="N1921" s="6">
        <v>2</v>
      </c>
      <c r="O1921" s="7">
        <v>45536</v>
      </c>
      <c r="P1921" s="6">
        <v>74.87</v>
      </c>
      <c r="Q1921" s="6">
        <v>543.6</v>
      </c>
      <c r="R1921" s="7">
        <v>45536</v>
      </c>
      <c r="S1921" s="6">
        <v>318.75</v>
      </c>
      <c r="T1921" s="6">
        <v>81.900000000000006</v>
      </c>
      <c r="U1921" s="7">
        <v>45536</v>
      </c>
      <c r="V1921" s="6">
        <v>6.31</v>
      </c>
      <c r="W1921" s="6">
        <f ca="1">IFERROR(__xludf.DUMMYFUNCTION("IFERROR(GOOGLEFINANCE(B1921,""pe""),V1921)"),6.31)</f>
        <v>6.31</v>
      </c>
      <c r="X1921" s="6">
        <v>0.21</v>
      </c>
      <c r="Y1921" s="6">
        <v>1.01</v>
      </c>
      <c r="Z1921" s="6">
        <v>2</v>
      </c>
      <c r="AA1921" s="8">
        <v>45352</v>
      </c>
      <c r="AB1921" s="4">
        <v>0.33</v>
      </c>
      <c r="AC1921" s="6">
        <v>16.329999999999998</v>
      </c>
      <c r="AD1921" s="6">
        <v>15.77</v>
      </c>
      <c r="AE1921" s="1">
        <v>0</v>
      </c>
      <c r="AF1921" s="1">
        <f ca="1">IFERROR(__xludf.DUMMYFUNCTION("IFERROR(GOOGLEFINANCE(TRIM(F1921)&amp;"":"" &amp; TRIM(B1921),""high52""),AE1921)"),42.05)</f>
        <v>42.05</v>
      </c>
      <c r="AG1921" s="1">
        <v>0</v>
      </c>
      <c r="AH1921" s="1">
        <f ca="1">IFERROR(__xludf.DUMMYFUNCTION("IFERROR(GOOGLEFINANCE(TRIM(F1921)&amp;"":"" &amp; TRIM(B1921),""low52""),AE1921)"),22.1)</f>
        <v>22.1</v>
      </c>
      <c r="AI1921" s="1">
        <f ca="1">IFERROR(__xludf.DUMMYFUNCTION("IFERROR(GOOGLEFINANCE(B1921,""eps""),0)"),-3.56)</f>
        <v>-3.56</v>
      </c>
      <c r="AJ1921" s="1"/>
      <c r="AK1921" s="1" t="s">
        <v>5875</v>
      </c>
      <c r="AL1921" s="9">
        <f t="shared" si="224"/>
        <v>1</v>
      </c>
    </row>
    <row r="1922" spans="1:38" ht="15" x14ac:dyDescent="0.25">
      <c r="A1922" s="1" t="s">
        <v>5876</v>
      </c>
      <c r="B1922" s="1" t="s">
        <v>5877</v>
      </c>
      <c r="C1922" s="1" t="s">
        <v>43</v>
      </c>
      <c r="D1922" s="1" t="s">
        <v>43</v>
      </c>
      <c r="E1922" s="6">
        <v>308.86</v>
      </c>
      <c r="F1922" s="1" t="s">
        <v>53</v>
      </c>
      <c r="G1922" s="6">
        <f ca="1">IFERROR(__xludf.DUMMYFUNCTION("iferror(GOOGLEFINANCE(TRIM(F1922)&amp;"":"" &amp; TRIM(B1922), ""price""),0
)"),0)</f>
        <v>0</v>
      </c>
      <c r="H1922" s="6">
        <v>29.68</v>
      </c>
      <c r="I1922" s="6">
        <f t="shared" ca="1" si="0"/>
        <v>29.68</v>
      </c>
      <c r="J1922" s="6">
        <f ca="1">IFERROR(__xludf.DUMMYFUNCTION("IFERROR(GOOGLEFINANCE(B1922, ""volume""), 0)"),0)</f>
        <v>0</v>
      </c>
      <c r="K1922" s="6">
        <v>-1.98</v>
      </c>
      <c r="L1922" s="6">
        <f ca="1">IFERROR(__xludf.DUMMYFUNCTION("IFERROR(GOOGLEFINANCE(B1922,""changepct""),K1922)"),-1.98)</f>
        <v>-1.98</v>
      </c>
      <c r="M1922" s="6">
        <f ca="1">IFERROR(__xludf.DUMMYFUNCTION("IFERROR(GOOGLEFINANCE(B1922,""change""),0)"),0)</f>
        <v>0</v>
      </c>
      <c r="N1922" s="6">
        <v>1</v>
      </c>
      <c r="O1922" s="7">
        <v>45536</v>
      </c>
      <c r="P1922" s="6">
        <v>2.0699999999999998</v>
      </c>
      <c r="Q1922" s="7">
        <v>45536</v>
      </c>
      <c r="R1922" s="6">
        <v>149.28</v>
      </c>
      <c r="S1922" s="6">
        <v>1.81</v>
      </c>
      <c r="T1922" s="6">
        <v>13.62</v>
      </c>
      <c r="U1922" s="6">
        <v>1</v>
      </c>
      <c r="V1922" s="7">
        <v>45352</v>
      </c>
      <c r="W1922" s="10">
        <f ca="1">IFERROR(__xludf.DUMMYFUNCTION("IFERROR(GOOGLEFINANCE(B1922,""pe""),V1922)"),45352)</f>
        <v>45352</v>
      </c>
      <c r="X1922" s="6">
        <v>0</v>
      </c>
      <c r="Y1922" s="6">
        <v>8.6</v>
      </c>
      <c r="Z1922" s="6">
        <v>8.64</v>
      </c>
      <c r="AA1922" s="3" t="s">
        <v>5878</v>
      </c>
      <c r="AB1922" s="11"/>
      <c r="AC1922" s="9"/>
      <c r="AD1922" s="9"/>
      <c r="AE1922" s="1">
        <v>0</v>
      </c>
      <c r="AF1922" s="1">
        <f ca="1">IFERROR(__xludf.DUMMYFUNCTION("IFERROR(GOOGLEFINANCE(TRIM(F1922)&amp;"":"" &amp; TRIM(B1922),""high52""),AE1922)"),0)</f>
        <v>0</v>
      </c>
      <c r="AG1922" s="1">
        <v>0</v>
      </c>
      <c r="AH1922" s="1">
        <f ca="1">IFERROR(__xludf.DUMMYFUNCTION("IFERROR(GOOGLEFINANCE(TRIM(F1922)&amp;"":"" &amp; TRIM(B1922),""low52""),AE1922)"),0)</f>
        <v>0</v>
      </c>
      <c r="AI1922" s="1">
        <f ca="1">IFERROR(__xludf.DUMMYFUNCTION("IFERROR(GOOGLEFINANCE(B1922,""eps""),0)"),0)</f>
        <v>0</v>
      </c>
      <c r="AJ1922" s="1"/>
      <c r="AK1922" s="1" t="s">
        <v>5879</v>
      </c>
      <c r="AL1922" s="9">
        <f t="shared" si="224"/>
        <v>1</v>
      </c>
    </row>
    <row r="1923" spans="1:38" ht="15" x14ac:dyDescent="0.25">
      <c r="A1923" s="1" t="s">
        <v>5880</v>
      </c>
      <c r="B1923" s="1" t="s">
        <v>5881</v>
      </c>
      <c r="C1923" s="1" t="s">
        <v>43</v>
      </c>
      <c r="D1923" s="1" t="s">
        <v>43</v>
      </c>
      <c r="E1923" s="6">
        <v>340.8</v>
      </c>
      <c r="F1923" s="1" t="s">
        <v>53</v>
      </c>
      <c r="G1923" s="6">
        <f ca="1">IFERROR(__xludf.DUMMYFUNCTION("iferror(GOOGLEFINANCE(TRIM(F1923)&amp;"":"" &amp; TRIM(B1923), ""price""),0
)"),0)</f>
        <v>0</v>
      </c>
      <c r="H1923" s="6">
        <v>191</v>
      </c>
      <c r="I1923" s="6">
        <f t="shared" ca="1" si="0"/>
        <v>191</v>
      </c>
      <c r="J1923" s="6">
        <f ca="1">IFERROR(__xludf.DUMMYFUNCTION("IFERROR(GOOGLEFINANCE(B1923, ""volume""), 0)"),0)</f>
        <v>0</v>
      </c>
      <c r="K1923" s="6">
        <v>4.46</v>
      </c>
      <c r="L1923" s="6">
        <f ca="1">IFERROR(__xludf.DUMMYFUNCTION("IFERROR(GOOGLEFINANCE(B1923,""changepct""),K1923)"),4.46)</f>
        <v>4.46</v>
      </c>
      <c r="M1923" s="6">
        <f ca="1">IFERROR(__xludf.DUMMYFUNCTION("IFERROR(GOOGLEFINANCE(B1923,""change""),0)"),0)</f>
        <v>0</v>
      </c>
      <c r="N1923" s="6">
        <v>1</v>
      </c>
      <c r="O1923" s="7">
        <v>45536</v>
      </c>
      <c r="P1923" s="6">
        <v>2.27</v>
      </c>
      <c r="Q1923" s="7">
        <v>45536</v>
      </c>
      <c r="R1923" s="6">
        <v>150.4</v>
      </c>
      <c r="S1923" s="9"/>
      <c r="T1923" s="6">
        <v>17.37</v>
      </c>
      <c r="U1923" s="6">
        <v>1</v>
      </c>
      <c r="V1923" s="7">
        <v>45352</v>
      </c>
      <c r="W1923" s="10">
        <f ca="1">IFERROR(__xludf.DUMMYFUNCTION("IFERROR(GOOGLEFINANCE(B1923,""pe""),V1923)"),45352)</f>
        <v>45352</v>
      </c>
      <c r="X1923" s="6">
        <v>28.73</v>
      </c>
      <c r="Y1923" s="6">
        <v>-17.97</v>
      </c>
      <c r="Z1923" s="6">
        <v>1.86</v>
      </c>
      <c r="AA1923" s="3" t="s">
        <v>5882</v>
      </c>
      <c r="AB1923" s="11"/>
      <c r="AC1923" s="9"/>
      <c r="AD1923" s="9"/>
      <c r="AE1923" s="1">
        <v>0</v>
      </c>
      <c r="AF1923" s="1">
        <f ca="1">IFERROR(__xludf.DUMMYFUNCTION("IFERROR(GOOGLEFINANCE(TRIM(F1923)&amp;"":"" &amp; TRIM(B1923),""high52""),AE1923)"),0)</f>
        <v>0</v>
      </c>
      <c r="AG1923" s="1">
        <v>0</v>
      </c>
      <c r="AH1923" s="1">
        <f ca="1">IFERROR(__xludf.DUMMYFUNCTION("IFERROR(GOOGLEFINANCE(TRIM(F1923)&amp;"":"" &amp; TRIM(B1923),""low52""),AE1923)"),0)</f>
        <v>0</v>
      </c>
      <c r="AI1923" s="1">
        <f ca="1">IFERROR(__xludf.DUMMYFUNCTION("IFERROR(GOOGLEFINANCE(B1923,""eps""),0)"),0)</f>
        <v>0</v>
      </c>
      <c r="AJ1923" s="1"/>
      <c r="AK1923" s="1" t="s">
        <v>5883</v>
      </c>
      <c r="AL1923" s="9">
        <f t="shared" si="224"/>
        <v>1</v>
      </c>
    </row>
    <row r="1924" spans="1:38" ht="15" x14ac:dyDescent="0.25">
      <c r="A1924" s="1" t="s">
        <v>5884</v>
      </c>
      <c r="B1924" s="1" t="s">
        <v>5885</v>
      </c>
      <c r="C1924" s="1" t="s">
        <v>43</v>
      </c>
      <c r="D1924" s="1" t="s">
        <v>43</v>
      </c>
      <c r="E1924" s="6">
        <v>296.52</v>
      </c>
      <c r="F1924" s="1" t="s">
        <v>53</v>
      </c>
      <c r="G1924" s="6">
        <f ca="1">IFERROR(__xludf.DUMMYFUNCTION("iferror(GOOGLEFINANCE(TRIM(F1924)&amp;"":"" &amp; TRIM(B1924), ""price""),0
)"),0)</f>
        <v>0</v>
      </c>
      <c r="H1924" s="6">
        <v>40.299999999999997</v>
      </c>
      <c r="I1924" s="6">
        <f t="shared" ca="1" si="0"/>
        <v>40.299999999999997</v>
      </c>
      <c r="J1924" s="6">
        <f ca="1">IFERROR(__xludf.DUMMYFUNCTION("IFERROR(GOOGLEFINANCE(B1924, ""volume""), 0)"),0)</f>
        <v>0</v>
      </c>
      <c r="K1924" s="6">
        <v>2</v>
      </c>
      <c r="L1924" s="6">
        <f ca="1">IFERROR(__xludf.DUMMYFUNCTION("IFERROR(GOOGLEFINANCE(B1924,""changepct""),K1924)"),2)</f>
        <v>2</v>
      </c>
      <c r="M1924" s="6">
        <f ca="1">IFERROR(__xludf.DUMMYFUNCTION("IFERROR(GOOGLEFINANCE(B1924,""change""),0)"),0)</f>
        <v>0</v>
      </c>
      <c r="N1924" s="6">
        <v>2</v>
      </c>
      <c r="O1924" s="7">
        <v>45536</v>
      </c>
      <c r="P1924" s="6">
        <v>3.63</v>
      </c>
      <c r="Q1924" s="7">
        <v>45536</v>
      </c>
      <c r="R1924" s="6">
        <v>166.02</v>
      </c>
      <c r="S1924" s="6">
        <v>9.2100000000000009</v>
      </c>
      <c r="T1924" s="6">
        <v>2.44</v>
      </c>
      <c r="U1924" s="6">
        <v>2</v>
      </c>
      <c r="V1924" s="7">
        <v>44986</v>
      </c>
      <c r="W1924" s="10">
        <f ca="1">IFERROR(__xludf.DUMMYFUNCTION("IFERROR(GOOGLEFINANCE(B1924,""pe""),V1924)"),44986)</f>
        <v>44986</v>
      </c>
      <c r="X1924" s="6">
        <v>0.03</v>
      </c>
      <c r="Y1924" s="6">
        <v>2.06</v>
      </c>
      <c r="Z1924" s="6">
        <v>2.16</v>
      </c>
      <c r="AA1924" s="3" t="s">
        <v>5886</v>
      </c>
      <c r="AB1924" s="11"/>
      <c r="AC1924" s="9"/>
      <c r="AD1924" s="9"/>
      <c r="AE1924" s="1">
        <v>0</v>
      </c>
      <c r="AF1924" s="1">
        <f ca="1">IFERROR(__xludf.DUMMYFUNCTION("IFERROR(GOOGLEFINANCE(TRIM(F1924)&amp;"":"" &amp; TRIM(B1924),""high52""),AE1924)"),0)</f>
        <v>0</v>
      </c>
      <c r="AG1924" s="1">
        <v>0</v>
      </c>
      <c r="AH1924" s="1">
        <f ca="1">IFERROR(__xludf.DUMMYFUNCTION("IFERROR(GOOGLEFINANCE(TRIM(F1924)&amp;"":"" &amp; TRIM(B1924),""low52""),AE1924)"),0)</f>
        <v>0</v>
      </c>
      <c r="AI1924" s="1">
        <f ca="1">IFERROR(__xludf.DUMMYFUNCTION("IFERROR(GOOGLEFINANCE(B1924,""eps""),0)"),0)</f>
        <v>0</v>
      </c>
      <c r="AJ1924" s="1"/>
      <c r="AK1924" s="1" t="s">
        <v>5887</v>
      </c>
      <c r="AL1924" s="9">
        <f t="shared" si="224"/>
        <v>1</v>
      </c>
    </row>
    <row r="1925" spans="1:38" ht="15" x14ac:dyDescent="0.25">
      <c r="A1925" s="1" t="s">
        <v>5888</v>
      </c>
      <c r="B1925" s="1" t="s">
        <v>5889</v>
      </c>
      <c r="C1925" s="1" t="s">
        <v>43</v>
      </c>
      <c r="D1925" s="1" t="s">
        <v>43</v>
      </c>
      <c r="E1925" s="6">
        <v>71.78</v>
      </c>
      <c r="F1925" s="1" t="s">
        <v>53</v>
      </c>
      <c r="G1925" s="6">
        <f ca="1">IFERROR(__xludf.DUMMYFUNCTION("iferror(GOOGLEFINANCE(TRIM(F1925)&amp;"":"" &amp; TRIM(B1925), ""price""),0
)"),0)</f>
        <v>0</v>
      </c>
      <c r="H1925" s="6">
        <v>3.39</v>
      </c>
      <c r="I1925" s="6">
        <f t="shared" ca="1" si="0"/>
        <v>3.39</v>
      </c>
      <c r="J1925" s="6">
        <f ca="1">IFERROR(__xludf.DUMMYFUNCTION("IFERROR(GOOGLEFINANCE(B1925, ""volume""), 0)"),0)</f>
        <v>0</v>
      </c>
      <c r="K1925" s="6">
        <v>1.19</v>
      </c>
      <c r="L1925" s="6">
        <f ca="1">IFERROR(__xludf.DUMMYFUNCTION("IFERROR(GOOGLEFINANCE(B1925,""changepct""),K1925)"),1.19)</f>
        <v>1.19</v>
      </c>
      <c r="M1925" s="6">
        <f ca="1">IFERROR(__xludf.DUMMYFUNCTION("IFERROR(GOOGLEFINANCE(B1925,""change""),0)"),0)</f>
        <v>0</v>
      </c>
      <c r="N1925" s="6">
        <v>1</v>
      </c>
      <c r="O1925" s="7">
        <v>45536</v>
      </c>
      <c r="P1925" s="6">
        <v>0.4</v>
      </c>
      <c r="Q1925" s="7">
        <v>45536</v>
      </c>
      <c r="R1925" s="6">
        <v>180.8</v>
      </c>
      <c r="S1925" s="9"/>
      <c r="T1925" s="6">
        <v>5.72</v>
      </c>
      <c r="U1925" s="6">
        <v>2</v>
      </c>
      <c r="V1925" s="7">
        <v>44986</v>
      </c>
      <c r="W1925" s="10">
        <f ca="1">IFERROR(__xludf.DUMMYFUNCTION("IFERROR(GOOGLEFINANCE(B1925,""pe""),V1925)"),44986)</f>
        <v>44986</v>
      </c>
      <c r="X1925" s="6">
        <v>0.02</v>
      </c>
      <c r="Y1925" s="6">
        <v>-7.11</v>
      </c>
      <c r="Z1925" s="6">
        <v>-7.03</v>
      </c>
      <c r="AA1925" s="3" t="s">
        <v>5890</v>
      </c>
      <c r="AB1925" s="11"/>
      <c r="AC1925" s="9"/>
      <c r="AD1925" s="9"/>
      <c r="AE1925" s="1">
        <v>0</v>
      </c>
      <c r="AF1925" s="1">
        <f ca="1">IFERROR(__xludf.DUMMYFUNCTION("IFERROR(GOOGLEFINANCE(TRIM(F1925)&amp;"":"" &amp; TRIM(B1925),""high52""),AE1925)"),0)</f>
        <v>0</v>
      </c>
      <c r="AG1925" s="1">
        <v>0</v>
      </c>
      <c r="AH1925" s="1">
        <f ca="1">IFERROR(__xludf.DUMMYFUNCTION("IFERROR(GOOGLEFINANCE(TRIM(F1925)&amp;"":"" &amp; TRIM(B1925),""low52""),AE1925)"),0)</f>
        <v>0</v>
      </c>
      <c r="AI1925" s="1">
        <f ca="1">IFERROR(__xludf.DUMMYFUNCTION("IFERROR(GOOGLEFINANCE(B1925,""eps""),0)"),0)</f>
        <v>0</v>
      </c>
      <c r="AJ1925" s="1"/>
      <c r="AK1925" s="1" t="s">
        <v>5891</v>
      </c>
      <c r="AL1925" s="9">
        <f t="shared" si="224"/>
        <v>1</v>
      </c>
    </row>
    <row r="1926" spans="1:38" ht="15" x14ac:dyDescent="0.25">
      <c r="A1926" s="1" t="s">
        <v>5892</v>
      </c>
      <c r="B1926" s="1" t="s">
        <v>5893</v>
      </c>
      <c r="C1926" s="1" t="s">
        <v>43</v>
      </c>
      <c r="D1926" s="1" t="s">
        <v>43</v>
      </c>
      <c r="E1926" s="6">
        <v>30.86</v>
      </c>
      <c r="F1926" s="1" t="s">
        <v>53</v>
      </c>
      <c r="G1926" s="6">
        <f ca="1">IFERROR(__xludf.DUMMYFUNCTION("iferror(GOOGLEFINANCE(TRIM(F1926)&amp;"":"" &amp; TRIM(B1926), ""price""),0
)"),0)</f>
        <v>0</v>
      </c>
      <c r="H1926" s="6">
        <v>104.9</v>
      </c>
      <c r="I1926" s="6">
        <f t="shared" ca="1" si="0"/>
        <v>104.9</v>
      </c>
      <c r="J1926" s="6">
        <f ca="1">IFERROR(__xludf.DUMMYFUNCTION("IFERROR(GOOGLEFINANCE(B1926, ""volume""), 0)"),0)</f>
        <v>0</v>
      </c>
      <c r="K1926" s="6">
        <v>1.99</v>
      </c>
      <c r="L1926" s="6">
        <f ca="1">IFERROR(__xludf.DUMMYFUNCTION("IFERROR(GOOGLEFINANCE(B1926,""changepct""),K1926)"),1.99)</f>
        <v>1.99</v>
      </c>
      <c r="M1926" s="6">
        <f ca="1">IFERROR(__xludf.DUMMYFUNCTION("IFERROR(GOOGLEFINANCE(B1926,""change""),0)"),0)</f>
        <v>0</v>
      </c>
      <c r="N1926" s="6">
        <v>2</v>
      </c>
      <c r="O1926" s="7">
        <v>45536</v>
      </c>
      <c r="P1926" s="6">
        <v>0.15</v>
      </c>
      <c r="Q1926" s="7">
        <v>45536</v>
      </c>
      <c r="R1926" s="6">
        <v>205.7</v>
      </c>
      <c r="S1926" s="9"/>
      <c r="T1926" s="6">
        <v>4.9000000000000004</v>
      </c>
      <c r="U1926" s="6">
        <v>2</v>
      </c>
      <c r="V1926" s="7">
        <v>45352</v>
      </c>
      <c r="W1926" s="10">
        <f ca="1">IFERROR(__xludf.DUMMYFUNCTION("IFERROR(GOOGLEFINANCE(B1926,""pe""),V1926)"),45352)</f>
        <v>45352</v>
      </c>
      <c r="X1926" s="6">
        <v>0.14000000000000001</v>
      </c>
      <c r="Y1926" s="6">
        <v>7.26</v>
      </c>
      <c r="Z1926" s="6">
        <v>10.92</v>
      </c>
      <c r="AA1926" s="3" t="s">
        <v>5894</v>
      </c>
      <c r="AB1926" s="11"/>
      <c r="AC1926" s="9"/>
      <c r="AD1926" s="9"/>
      <c r="AE1926" s="1">
        <v>0</v>
      </c>
      <c r="AF1926" s="1">
        <f ca="1">IFERROR(__xludf.DUMMYFUNCTION("IFERROR(GOOGLEFINANCE(TRIM(F1926)&amp;"":"" &amp; TRIM(B1926),""high52""),AE1926)"),0)</f>
        <v>0</v>
      </c>
      <c r="AG1926" s="1">
        <v>0</v>
      </c>
      <c r="AH1926" s="1">
        <f ca="1">IFERROR(__xludf.DUMMYFUNCTION("IFERROR(GOOGLEFINANCE(TRIM(F1926)&amp;"":"" &amp; TRIM(B1926),""low52""),AE1926)"),0)</f>
        <v>0</v>
      </c>
      <c r="AI1926" s="1">
        <f ca="1">IFERROR(__xludf.DUMMYFUNCTION("IFERROR(GOOGLEFINANCE(B1926,""eps""),0)"),0)</f>
        <v>0</v>
      </c>
      <c r="AJ1926" s="1"/>
      <c r="AK1926" s="9"/>
      <c r="AL1926" s="9">
        <f t="shared" si="224"/>
        <v>1</v>
      </c>
    </row>
    <row r="1927" spans="1:38" ht="15" x14ac:dyDescent="0.25">
      <c r="A1927" s="1" t="s">
        <v>5895</v>
      </c>
      <c r="B1927" s="1" t="s">
        <v>5896</v>
      </c>
      <c r="C1927" s="1" t="s">
        <v>43</v>
      </c>
      <c r="D1927" s="1" t="s">
        <v>43</v>
      </c>
      <c r="E1927" s="6">
        <v>19.13</v>
      </c>
      <c r="F1927" s="1" t="s">
        <v>53</v>
      </c>
      <c r="G1927" s="6">
        <f ca="1">IFERROR(__xludf.DUMMYFUNCTION("iferror(GOOGLEFINANCE(TRIM(F1927)&amp;"":"" &amp; TRIM(B1927), ""price""),0
)"),0)</f>
        <v>0</v>
      </c>
      <c r="H1927" s="6">
        <v>0.79</v>
      </c>
      <c r="I1927" s="6">
        <f t="shared" ca="1" si="0"/>
        <v>0.79</v>
      </c>
      <c r="J1927" s="6">
        <f ca="1">IFERROR(__xludf.DUMMYFUNCTION("IFERROR(GOOGLEFINANCE(B1927, ""volume""), 0)"),0)</f>
        <v>0</v>
      </c>
      <c r="K1927" s="6">
        <v>0</v>
      </c>
      <c r="L1927" s="6">
        <f ca="1">IFERROR(__xludf.DUMMYFUNCTION("IFERROR(GOOGLEFINANCE(B1927,""changepct""),K1927)"),0)</f>
        <v>0</v>
      </c>
      <c r="M1927" s="6">
        <f ca="1">IFERROR(__xludf.DUMMYFUNCTION("IFERROR(GOOGLEFINANCE(B1927,""change""),0)"),0)</f>
        <v>0</v>
      </c>
      <c r="N1927" s="6">
        <v>1</v>
      </c>
      <c r="O1927" s="7">
        <v>45536</v>
      </c>
      <c r="P1927" s="6">
        <v>7.0000000000000007E-2</v>
      </c>
      <c r="Q1927" s="7">
        <v>45536</v>
      </c>
      <c r="R1927" s="6">
        <v>277.18</v>
      </c>
      <c r="S1927" s="6">
        <v>-11.45</v>
      </c>
      <c r="T1927" s="6">
        <v>0.68</v>
      </c>
      <c r="U1927" s="6">
        <v>1</v>
      </c>
      <c r="V1927" s="7">
        <v>45352</v>
      </c>
      <c r="W1927" s="10">
        <f ca="1">IFERROR(__xludf.DUMMYFUNCTION("IFERROR(GOOGLEFINANCE(B1927,""pe""),V1927)"),45352)</f>
        <v>45352</v>
      </c>
      <c r="X1927" s="6">
        <v>0</v>
      </c>
      <c r="Y1927" s="6">
        <v>0</v>
      </c>
      <c r="Z1927" s="6">
        <v>0.06</v>
      </c>
      <c r="AA1927" s="3" t="s">
        <v>5897</v>
      </c>
      <c r="AB1927" s="11"/>
      <c r="AC1927" s="9"/>
      <c r="AD1927" s="9"/>
      <c r="AE1927" s="1">
        <v>0</v>
      </c>
      <c r="AF1927" s="1">
        <f ca="1">IFERROR(__xludf.DUMMYFUNCTION("IFERROR(GOOGLEFINANCE(TRIM(F1927)&amp;"":"" &amp; TRIM(B1927),""high52""),AE1927)"),0)</f>
        <v>0</v>
      </c>
      <c r="AG1927" s="1">
        <v>0</v>
      </c>
      <c r="AH1927" s="1">
        <f ca="1">IFERROR(__xludf.DUMMYFUNCTION("IFERROR(GOOGLEFINANCE(TRIM(F1927)&amp;"":"" &amp; TRIM(B1927),""low52""),AE1927)"),0)</f>
        <v>0</v>
      </c>
      <c r="AI1927" s="1">
        <f ca="1">IFERROR(__xludf.DUMMYFUNCTION("IFERROR(GOOGLEFINANCE(B1927,""eps""),0)"),0)</f>
        <v>0</v>
      </c>
      <c r="AJ1927" s="1"/>
      <c r="AK1927" s="1" t="s">
        <v>5898</v>
      </c>
      <c r="AL1927" s="9">
        <f t="shared" si="224"/>
        <v>1</v>
      </c>
    </row>
    <row r="1928" spans="1:38" ht="15" x14ac:dyDescent="0.25">
      <c r="A1928" s="1" t="s">
        <v>5899</v>
      </c>
      <c r="B1928" s="1" t="s">
        <v>5900</v>
      </c>
      <c r="C1928" s="1" t="s">
        <v>43</v>
      </c>
      <c r="D1928" s="1" t="s">
        <v>43</v>
      </c>
      <c r="E1928" s="6">
        <v>14.21</v>
      </c>
      <c r="F1928" s="1" t="s">
        <v>53</v>
      </c>
      <c r="G1928" s="6">
        <f ca="1">IFERROR(__xludf.DUMMYFUNCTION("iferror(GOOGLEFINANCE(TRIM(F1928)&amp;"":"" &amp; TRIM(B1928), ""price""),0
)"),0)</f>
        <v>0</v>
      </c>
      <c r="H1928" s="6">
        <v>23.9</v>
      </c>
      <c r="I1928" s="6">
        <f t="shared" ca="1" si="0"/>
        <v>23.9</v>
      </c>
      <c r="J1928" s="6">
        <f ca="1">IFERROR(__xludf.DUMMYFUNCTION("IFERROR(GOOGLEFINANCE(B1928, ""volume""), 0)"),0)</f>
        <v>0</v>
      </c>
      <c r="K1928" s="6">
        <v>1.96</v>
      </c>
      <c r="L1928" s="6">
        <f ca="1">IFERROR(__xludf.DUMMYFUNCTION("IFERROR(GOOGLEFINANCE(B1928,""changepct""),K1928)"),1.96)</f>
        <v>1.96</v>
      </c>
      <c r="M1928" s="6">
        <f ca="1">IFERROR(__xludf.DUMMYFUNCTION("IFERROR(GOOGLEFINANCE(B1928,""change""),0)"),0)</f>
        <v>0</v>
      </c>
      <c r="N1928" s="6">
        <v>1</v>
      </c>
      <c r="O1928" s="7">
        <v>45536</v>
      </c>
      <c r="P1928" s="6">
        <v>0.05</v>
      </c>
      <c r="Q1928" s="7">
        <v>45536</v>
      </c>
      <c r="R1928" s="6">
        <v>315.83999999999997</v>
      </c>
      <c r="S1928" s="9"/>
      <c r="T1928" s="6">
        <v>0.94</v>
      </c>
      <c r="U1928" s="6">
        <v>1</v>
      </c>
      <c r="V1928" s="7">
        <v>45352</v>
      </c>
      <c r="W1928" s="10">
        <f ca="1">IFERROR(__xludf.DUMMYFUNCTION("IFERROR(GOOGLEFINANCE(B1928,""pe""),V1928)"),45352)</f>
        <v>45352</v>
      </c>
      <c r="X1928" s="6">
        <v>0</v>
      </c>
      <c r="Y1928" s="6">
        <v>-0.14000000000000001</v>
      </c>
      <c r="Z1928" s="6">
        <v>-0.14000000000000001</v>
      </c>
      <c r="AA1928" s="3" t="s">
        <v>5901</v>
      </c>
      <c r="AB1928" s="11"/>
      <c r="AC1928" s="9"/>
      <c r="AD1928" s="9"/>
      <c r="AE1928" s="1">
        <v>0</v>
      </c>
      <c r="AF1928" s="1">
        <f ca="1">IFERROR(__xludf.DUMMYFUNCTION("IFERROR(GOOGLEFINANCE(TRIM(F1928)&amp;"":"" &amp; TRIM(B1928),""high52""),AE1928)"),0)</f>
        <v>0</v>
      </c>
      <c r="AG1928" s="1">
        <v>0</v>
      </c>
      <c r="AH1928" s="1">
        <f ca="1">IFERROR(__xludf.DUMMYFUNCTION("IFERROR(GOOGLEFINANCE(TRIM(F1928)&amp;"":"" &amp; TRIM(B1928),""low52""),AE1928)"),0)</f>
        <v>0</v>
      </c>
      <c r="AI1928" s="1">
        <f ca="1">IFERROR(__xludf.DUMMYFUNCTION("IFERROR(GOOGLEFINANCE(B1928,""eps""),0)"),0)</f>
        <v>0</v>
      </c>
      <c r="AJ1928" s="1"/>
      <c r="AK1928" s="1" t="s">
        <v>5902</v>
      </c>
      <c r="AL1928" s="9">
        <f t="shared" si="224"/>
        <v>1</v>
      </c>
    </row>
    <row r="1929" spans="1:38" ht="15" x14ac:dyDescent="0.25">
      <c r="A1929" s="1" t="s">
        <v>5903</v>
      </c>
      <c r="B1929" s="1" t="s">
        <v>5904</v>
      </c>
      <c r="C1929" s="1" t="s">
        <v>43</v>
      </c>
      <c r="D1929" s="1" t="s">
        <v>43</v>
      </c>
      <c r="E1929" s="6">
        <v>228.44</v>
      </c>
      <c r="F1929" s="1" t="s">
        <v>53</v>
      </c>
      <c r="G1929" s="6">
        <f ca="1">IFERROR(__xludf.DUMMYFUNCTION("iferror(GOOGLEFINANCE(TRIM(F1929)&amp;"":"" &amp; TRIM(B1929), ""price""),0
)"),0)</f>
        <v>0</v>
      </c>
      <c r="H1929" s="6">
        <v>108</v>
      </c>
      <c r="I1929" s="6">
        <f t="shared" ca="1" si="0"/>
        <v>108</v>
      </c>
      <c r="J1929" s="6">
        <f ca="1">IFERROR(__xludf.DUMMYFUNCTION("IFERROR(GOOGLEFINANCE(B1929, ""volume""), 0)"),0)</f>
        <v>0</v>
      </c>
      <c r="K1929" s="6">
        <v>1.84</v>
      </c>
      <c r="L1929" s="6">
        <f ca="1">IFERROR(__xludf.DUMMYFUNCTION("IFERROR(GOOGLEFINANCE(B1929,""changepct""),K1929)"),1.84)</f>
        <v>1.84</v>
      </c>
      <c r="M1929" s="6">
        <f ca="1">IFERROR(__xludf.DUMMYFUNCTION("IFERROR(GOOGLEFINANCE(B1929,""change""),0)"),0)</f>
        <v>0</v>
      </c>
      <c r="N1929" s="6">
        <v>1</v>
      </c>
      <c r="O1929" s="7">
        <v>45536</v>
      </c>
      <c r="P1929" s="6">
        <v>0.56999999999999995</v>
      </c>
      <c r="Q1929" s="7">
        <v>45536</v>
      </c>
      <c r="R1929" s="6">
        <v>403.61</v>
      </c>
      <c r="S1929" s="6">
        <v>25.53</v>
      </c>
      <c r="T1929" s="6">
        <v>6.68</v>
      </c>
      <c r="U1929" s="6">
        <v>1</v>
      </c>
      <c r="V1929" s="7">
        <v>45352</v>
      </c>
      <c r="W1929" s="10">
        <f ca="1">IFERROR(__xludf.DUMMYFUNCTION("IFERROR(GOOGLEFINANCE(B1929,""pe""),V1929)"),45352)</f>
        <v>45352</v>
      </c>
      <c r="X1929" s="6">
        <v>0.87</v>
      </c>
      <c r="Y1929" s="6">
        <v>0.11</v>
      </c>
      <c r="Z1929" s="6">
        <v>0.17</v>
      </c>
      <c r="AA1929" s="3" t="s">
        <v>5905</v>
      </c>
      <c r="AB1929" s="11"/>
      <c r="AC1929" s="9"/>
      <c r="AD1929" s="9"/>
      <c r="AE1929" s="1">
        <v>0</v>
      </c>
      <c r="AF1929" s="1">
        <f ca="1">IFERROR(__xludf.DUMMYFUNCTION("IFERROR(GOOGLEFINANCE(TRIM(F1929)&amp;"":"" &amp; TRIM(B1929),""high52""),AE1929)"),0)</f>
        <v>0</v>
      </c>
      <c r="AG1929" s="1">
        <v>0</v>
      </c>
      <c r="AH1929" s="1">
        <f ca="1">IFERROR(__xludf.DUMMYFUNCTION("IFERROR(GOOGLEFINANCE(TRIM(F1929)&amp;"":"" &amp; TRIM(B1929),""low52""),AE1929)"),0)</f>
        <v>0</v>
      </c>
      <c r="AI1929" s="1">
        <f ca="1">IFERROR(__xludf.DUMMYFUNCTION("IFERROR(GOOGLEFINANCE(B1929,""eps""),0)"),0)</f>
        <v>0</v>
      </c>
      <c r="AJ1929" s="1"/>
      <c r="AK1929" s="1" t="s">
        <v>5906</v>
      </c>
      <c r="AL1929" s="9">
        <f t="shared" si="224"/>
        <v>1</v>
      </c>
    </row>
    <row r="1930" spans="1:38" ht="15" x14ac:dyDescent="0.25">
      <c r="A1930" s="1" t="s">
        <v>5907</v>
      </c>
      <c r="B1930" s="1" t="s">
        <v>5908</v>
      </c>
      <c r="C1930" s="1" t="s">
        <v>43</v>
      </c>
      <c r="D1930" s="1" t="s">
        <v>43</v>
      </c>
      <c r="E1930" s="6">
        <v>1475.84</v>
      </c>
      <c r="F1930" s="1" t="s">
        <v>53</v>
      </c>
      <c r="G1930" s="6">
        <f ca="1">IFERROR(__xludf.DUMMYFUNCTION("iferror(GOOGLEFINANCE(TRIM(F1930)&amp;"":"" &amp; TRIM(B1930), ""price""),0
)"),0)</f>
        <v>0</v>
      </c>
      <c r="H1930" s="6">
        <v>190</v>
      </c>
      <c r="I1930" s="6">
        <f t="shared" ca="1" si="0"/>
        <v>190</v>
      </c>
      <c r="J1930" s="6">
        <f ca="1">IFERROR(__xludf.DUMMYFUNCTION("IFERROR(GOOGLEFINANCE(B1930, ""volume""), 0)"),109455)</f>
        <v>109455</v>
      </c>
      <c r="K1930" s="6">
        <v>0.11</v>
      </c>
      <c r="L1930" s="6">
        <f ca="1">IFERROR(__xludf.DUMMYFUNCTION("IFERROR(GOOGLEFINANCE(B1930,""changepct""),K1930)"),-2.7)</f>
        <v>-2.7</v>
      </c>
      <c r="M1930" s="6">
        <f ca="1">IFERROR(__xludf.DUMMYFUNCTION("IFERROR(GOOGLEFINANCE(B1930,""change""),0)"),-0.89)</f>
        <v>-0.89</v>
      </c>
      <c r="N1930" s="6">
        <v>2</v>
      </c>
      <c r="O1930" s="7">
        <v>45536</v>
      </c>
      <c r="P1930" s="6">
        <v>-11.92</v>
      </c>
      <c r="Q1930" s="7">
        <v>45536</v>
      </c>
      <c r="R1930" s="6">
        <v>577.63</v>
      </c>
      <c r="S1930" s="6">
        <v>10.050000000000001</v>
      </c>
      <c r="T1930" s="6">
        <v>2.36</v>
      </c>
      <c r="U1930" s="6">
        <v>2</v>
      </c>
      <c r="V1930" s="7">
        <v>45352</v>
      </c>
      <c r="W1930" s="6">
        <f ca="1">IFERROR(__xludf.DUMMYFUNCTION("IFERROR(GOOGLEFINANCE(B1930,""pe""),V1930)"),30.47)</f>
        <v>30.47</v>
      </c>
      <c r="X1930" s="6">
        <v>1.51</v>
      </c>
      <c r="Y1930" s="6">
        <v>-1.1100000000000001</v>
      </c>
      <c r="Z1930" s="6">
        <v>7.08</v>
      </c>
      <c r="AA1930" s="3" t="s">
        <v>5909</v>
      </c>
      <c r="AB1930" s="11"/>
      <c r="AC1930" s="9"/>
      <c r="AD1930" s="9"/>
      <c r="AE1930" s="1">
        <v>0</v>
      </c>
      <c r="AF1930" s="1">
        <f ca="1">IFERROR(__xludf.DUMMYFUNCTION("IFERROR(GOOGLEFINANCE(TRIM(F1930)&amp;"":"" &amp; TRIM(B1930),""high52""),AE1930)"),0)</f>
        <v>0</v>
      </c>
      <c r="AG1930" s="1">
        <v>0</v>
      </c>
      <c r="AH1930" s="1">
        <f ca="1">IFERROR(__xludf.DUMMYFUNCTION("IFERROR(GOOGLEFINANCE(TRIM(F1930)&amp;"":"" &amp; TRIM(B1930),""low52""),AE1930)"),0)</f>
        <v>0</v>
      </c>
      <c r="AI1930" s="1">
        <f ca="1">IFERROR(__xludf.DUMMYFUNCTION("IFERROR(GOOGLEFINANCE(B1930,""eps""),0)"),1.05)</f>
        <v>1.05</v>
      </c>
      <c r="AJ1930" s="1"/>
      <c r="AK1930" s="1" t="s">
        <v>5910</v>
      </c>
      <c r="AL1930" s="9">
        <f t="shared" si="224"/>
        <v>1</v>
      </c>
    </row>
    <row r="1931" spans="1:38" ht="15" x14ac:dyDescent="0.25">
      <c r="A1931" s="1" t="s">
        <v>5911</v>
      </c>
      <c r="B1931" s="1" t="s">
        <v>5912</v>
      </c>
      <c r="C1931" s="1" t="s">
        <v>43</v>
      </c>
      <c r="D1931" s="1" t="s">
        <v>43</v>
      </c>
      <c r="E1931" s="6">
        <v>16.2</v>
      </c>
      <c r="F1931" s="1" t="s">
        <v>53</v>
      </c>
      <c r="G1931" s="6">
        <f ca="1">IFERROR(__xludf.DUMMYFUNCTION("iferror(GOOGLEFINANCE(TRIM(F1931)&amp;"":"" &amp; TRIM(B1931), ""price""),0
)"),0)</f>
        <v>0</v>
      </c>
      <c r="H1931" s="6">
        <v>2.15</v>
      </c>
      <c r="I1931" s="6">
        <f t="shared" ca="1" si="0"/>
        <v>2.15</v>
      </c>
      <c r="J1931" s="6">
        <f ca="1">IFERROR(__xludf.DUMMYFUNCTION("IFERROR(GOOGLEFINANCE(B1931, ""volume""), 0)"),0)</f>
        <v>0</v>
      </c>
      <c r="K1931" s="6">
        <v>-4.4400000000000004</v>
      </c>
      <c r="L1931" s="6">
        <f ca="1">IFERROR(__xludf.DUMMYFUNCTION("IFERROR(GOOGLEFINANCE(B1931,""changepct""),K1931)"),-4.44)</f>
        <v>-4.4400000000000004</v>
      </c>
      <c r="M1931" s="6">
        <f ca="1">IFERROR(__xludf.DUMMYFUNCTION("IFERROR(GOOGLEFINANCE(B1931,""change""),0)"),0)</f>
        <v>0</v>
      </c>
      <c r="N1931" s="6">
        <v>1</v>
      </c>
      <c r="O1931" s="7">
        <v>45536</v>
      </c>
      <c r="P1931" s="6">
        <v>0.02</v>
      </c>
      <c r="Q1931" s="7">
        <v>45536</v>
      </c>
      <c r="R1931" s="6">
        <v>810</v>
      </c>
      <c r="S1931" s="6">
        <v>-16.010000000000002</v>
      </c>
      <c r="T1931" s="6">
        <v>1.56</v>
      </c>
      <c r="U1931" s="6">
        <v>1</v>
      </c>
      <c r="V1931" s="7">
        <v>45352</v>
      </c>
      <c r="W1931" s="10">
        <f ca="1">IFERROR(__xludf.DUMMYFUNCTION("IFERROR(GOOGLEFINANCE(B1931,""pe""),V1931)"),45352)</f>
        <v>45352</v>
      </c>
      <c r="X1931" s="6">
        <v>0.01</v>
      </c>
      <c r="Y1931" s="6">
        <v>0.02</v>
      </c>
      <c r="Z1931" s="6">
        <v>0.88</v>
      </c>
      <c r="AA1931" s="3" t="s">
        <v>5913</v>
      </c>
      <c r="AB1931" s="11"/>
      <c r="AC1931" s="9"/>
      <c r="AD1931" s="9"/>
      <c r="AE1931" s="1">
        <v>0</v>
      </c>
      <c r="AF1931" s="1">
        <f ca="1">IFERROR(__xludf.DUMMYFUNCTION("IFERROR(GOOGLEFINANCE(TRIM(F1931)&amp;"":"" &amp; TRIM(B1931),""high52""),AE1931)"),0)</f>
        <v>0</v>
      </c>
      <c r="AG1931" s="1">
        <v>0</v>
      </c>
      <c r="AH1931" s="1">
        <f ca="1">IFERROR(__xludf.DUMMYFUNCTION("IFERROR(GOOGLEFINANCE(TRIM(F1931)&amp;"":"" &amp; TRIM(B1931),""low52""),AE1931)"),0)</f>
        <v>0</v>
      </c>
      <c r="AI1931" s="1">
        <f ca="1">IFERROR(__xludf.DUMMYFUNCTION("IFERROR(GOOGLEFINANCE(B1931,""eps""),0)"),0)</f>
        <v>0</v>
      </c>
      <c r="AJ1931" s="1"/>
      <c r="AK1931" s="1" t="s">
        <v>5914</v>
      </c>
      <c r="AL1931" s="9">
        <f t="shared" si="224"/>
        <v>1</v>
      </c>
    </row>
    <row r="1932" spans="1:38" ht="15" x14ac:dyDescent="0.25">
      <c r="A1932" s="1" t="s">
        <v>5915</v>
      </c>
      <c r="B1932" s="1" t="s">
        <v>5916</v>
      </c>
      <c r="C1932" s="1" t="s">
        <v>1118</v>
      </c>
      <c r="D1932" s="1" t="s">
        <v>1118</v>
      </c>
      <c r="E1932" s="6">
        <v>302.5</v>
      </c>
      <c r="F1932" s="1" t="s">
        <v>40</v>
      </c>
      <c r="G1932" s="6">
        <f ca="1">IFERROR(__xludf.DUMMYFUNCTION("iferror(GOOGLEFINANCE(TRIM(F1932)&amp;"":"" &amp; TRIM(B1932), ""price""),0
)"),23.76)</f>
        <v>23.76</v>
      </c>
      <c r="H1932" s="6">
        <v>32.85</v>
      </c>
      <c r="I1932" s="6">
        <f t="shared" ca="1" si="0"/>
        <v>23.76</v>
      </c>
      <c r="J1932" s="6">
        <f ca="1">IFERROR(__xludf.DUMMYFUNCTION("IFERROR(GOOGLEFINANCE(B1932, ""volume""), 0)"),137546)</f>
        <v>137546</v>
      </c>
      <c r="K1932" s="6">
        <v>-0.06</v>
      </c>
      <c r="L1932" s="6">
        <f ca="1">IFERROR(__xludf.DUMMYFUNCTION("IFERROR(GOOGLEFINANCE(B1932,""changepct""),K1932)"),0.08)</f>
        <v>0.08</v>
      </c>
      <c r="M1932" s="6">
        <f ca="1">IFERROR(__xludf.DUMMYFUNCTION("IFERROR(GOOGLEFINANCE(B1932,""change""),0)"),0.02)</f>
        <v>0.02</v>
      </c>
      <c r="N1932" s="6">
        <v>2</v>
      </c>
      <c r="O1932" s="7">
        <v>45536</v>
      </c>
      <c r="P1932" s="6">
        <v>185.5</v>
      </c>
      <c r="Q1932" s="6">
        <v>483.29</v>
      </c>
      <c r="R1932" s="7">
        <v>45536</v>
      </c>
      <c r="S1932" s="6">
        <v>576.80999999999995</v>
      </c>
      <c r="T1932" s="6">
        <v>22.2</v>
      </c>
      <c r="U1932" s="7">
        <v>45536</v>
      </c>
      <c r="V1932" s="6">
        <v>13.63</v>
      </c>
      <c r="W1932" s="6">
        <f ca="1">IFERROR(__xludf.DUMMYFUNCTION("IFERROR(GOOGLEFINANCE(B1932,""pe""),V1932)"),4.62)</f>
        <v>4.62</v>
      </c>
      <c r="X1932" s="6">
        <v>4.45</v>
      </c>
      <c r="Y1932" s="6">
        <v>1.19</v>
      </c>
      <c r="Z1932" s="6">
        <v>2</v>
      </c>
      <c r="AA1932" s="8">
        <v>45352</v>
      </c>
      <c r="AB1932" s="4">
        <v>1.2</v>
      </c>
      <c r="AC1932" s="6">
        <v>12.29</v>
      </c>
      <c r="AD1932" s="6">
        <v>10.96</v>
      </c>
      <c r="AE1932" s="1">
        <v>0</v>
      </c>
      <c r="AF1932" s="1">
        <f ca="1">IFERROR(__xludf.DUMMYFUNCTION("IFERROR(GOOGLEFINANCE(TRIM(F1932)&amp;"":"" &amp; TRIM(B1932),""high52""),AE1932)"),34.65)</f>
        <v>34.65</v>
      </c>
      <c r="AG1932" s="1">
        <v>0</v>
      </c>
      <c r="AH1932" s="1">
        <f ca="1">IFERROR(__xludf.DUMMYFUNCTION("IFERROR(GOOGLEFINANCE(TRIM(F1932)&amp;"":"" &amp; TRIM(B1932),""low52""),AE1932)"),23)</f>
        <v>23</v>
      </c>
      <c r="AI1932" s="1">
        <f ca="1">IFERROR(__xludf.DUMMYFUNCTION("IFERROR(GOOGLEFINANCE(B1932,""eps""),0)"),5.15)</f>
        <v>5.15</v>
      </c>
      <c r="AJ1932" s="1"/>
      <c r="AK1932" s="1" t="s">
        <v>5917</v>
      </c>
      <c r="AL1932" s="9">
        <f t="shared" si="224"/>
        <v>1</v>
      </c>
    </row>
    <row r="1933" spans="1:38" ht="15" x14ac:dyDescent="0.25">
      <c r="A1933" s="1" t="s">
        <v>5918</v>
      </c>
      <c r="B1933" s="1" t="s">
        <v>5919</v>
      </c>
      <c r="C1933" s="1" t="s">
        <v>186</v>
      </c>
      <c r="D1933" s="1" t="s">
        <v>186</v>
      </c>
      <c r="E1933" s="6">
        <v>34721.47</v>
      </c>
      <c r="F1933" s="1" t="s">
        <v>40</v>
      </c>
      <c r="G1933" s="6">
        <f ca="1">IFERROR(__xludf.DUMMYFUNCTION("iferror(GOOGLEFINANCE(TRIM(F1933)&amp;"":"" &amp; TRIM(B1933), ""price""),0
)"),861)</f>
        <v>861</v>
      </c>
      <c r="H1933" s="6">
        <v>1022.5</v>
      </c>
      <c r="I1933" s="6">
        <f t="shared" ca="1" si="0"/>
        <v>861</v>
      </c>
      <c r="J1933" s="6">
        <f ca="1">IFERROR(__xludf.DUMMYFUNCTION("IFERROR(GOOGLEFINANCE(B1933, ""volume""), 0)"),406148)</f>
        <v>406148</v>
      </c>
      <c r="K1933" s="6">
        <v>0.71</v>
      </c>
      <c r="L1933" s="6">
        <f ca="1">IFERROR(__xludf.DUMMYFUNCTION("IFERROR(GOOGLEFINANCE(B1933,""changepct""),K1933)"),-3.01)</f>
        <v>-3.01</v>
      </c>
      <c r="M1933" s="6">
        <f ca="1">IFERROR(__xludf.DUMMYFUNCTION("IFERROR(GOOGLEFINANCE(B1933,""change""),0)"),-26.75)</f>
        <v>-26.75</v>
      </c>
      <c r="N1933" s="6">
        <v>2</v>
      </c>
      <c r="O1933" s="7">
        <v>45536</v>
      </c>
      <c r="P1933" s="6">
        <v>391.97</v>
      </c>
      <c r="Q1933" s="6">
        <v>34935.269999999997</v>
      </c>
      <c r="R1933" s="7">
        <v>45536</v>
      </c>
      <c r="S1933" s="6">
        <v>6027.71</v>
      </c>
      <c r="T1933" s="6">
        <v>808.98</v>
      </c>
      <c r="U1933" s="7">
        <v>45536</v>
      </c>
      <c r="V1933" s="6">
        <v>42.92</v>
      </c>
      <c r="W1933" s="6">
        <f ca="1">IFERROR(__xludf.DUMMYFUNCTION("IFERROR(GOOGLEFINANCE(B1933,""pe""),V1933)"),35.13)</f>
        <v>35.130000000000003</v>
      </c>
      <c r="X1933" s="6">
        <v>2.2400000000000002</v>
      </c>
      <c r="Y1933" s="6">
        <v>7.42</v>
      </c>
      <c r="Z1933" s="6">
        <v>2</v>
      </c>
      <c r="AA1933" s="8">
        <v>45352</v>
      </c>
      <c r="AB1933" s="4">
        <v>0.27</v>
      </c>
      <c r="AC1933" s="6">
        <v>19.97</v>
      </c>
      <c r="AD1933" s="6">
        <v>21.09</v>
      </c>
      <c r="AE1933" s="1">
        <v>0</v>
      </c>
      <c r="AF1933" s="1">
        <f ca="1">IFERROR(__xludf.DUMMYFUNCTION("IFERROR(GOOGLEFINANCE(TRIM(F1933)&amp;"":"" &amp; TRIM(B1933),""high52""),AE1933)"),1389)</f>
        <v>1389</v>
      </c>
      <c r="AG1933" s="1">
        <v>0</v>
      </c>
      <c r="AH1933" s="1">
        <f ca="1">IFERROR(__xludf.DUMMYFUNCTION("IFERROR(GOOGLEFINANCE(TRIM(F1933)&amp;"":"" &amp; TRIM(B1933),""low52""),AE1933)"),755.5)</f>
        <v>755.5</v>
      </c>
      <c r="AI1933" s="1">
        <f ca="1">IFERROR(__xludf.DUMMYFUNCTION("IFERROR(GOOGLEFINANCE(B1933,""eps""),0)"),24.51)</f>
        <v>24.51</v>
      </c>
      <c r="AJ1933" s="1"/>
      <c r="AK1933" s="1" t="s">
        <v>5920</v>
      </c>
      <c r="AL1933" s="9">
        <f t="shared" si="224"/>
        <v>1</v>
      </c>
    </row>
    <row r="1934" spans="1:38" ht="15" x14ac:dyDescent="0.25">
      <c r="A1934" s="1" t="s">
        <v>5921</v>
      </c>
      <c r="B1934" s="1" t="s">
        <v>5922</v>
      </c>
      <c r="C1934" s="1" t="s">
        <v>86</v>
      </c>
      <c r="D1934" s="1" t="s">
        <v>86</v>
      </c>
      <c r="E1934" s="6">
        <v>206.88</v>
      </c>
      <c r="F1934" s="1" t="s">
        <v>40</v>
      </c>
      <c r="G1934" s="6">
        <f ca="1">IFERROR(__xludf.DUMMYFUNCTION("iferror(GOOGLEFINANCE(TRIM(F1934)&amp;"":"" &amp; TRIM(B1934), ""price""),0
)"),0)</f>
        <v>0</v>
      </c>
      <c r="H1934" s="6">
        <v>158.80000000000001</v>
      </c>
      <c r="I1934" s="6">
        <f t="shared" ca="1" si="0"/>
        <v>158.80000000000001</v>
      </c>
      <c r="J1934" s="6">
        <f ca="1">IFERROR(__xludf.DUMMYFUNCTION("IFERROR(GOOGLEFINANCE(B1934, ""volume""), 0)"),0)</f>
        <v>0</v>
      </c>
      <c r="K1934" s="6">
        <v>-3.14</v>
      </c>
      <c r="L1934" s="6">
        <f ca="1">IFERROR(__xludf.DUMMYFUNCTION("IFERROR(GOOGLEFINANCE(B1934,""changepct""),K1934)"),-3.14)</f>
        <v>-3.14</v>
      </c>
      <c r="M1934" s="6">
        <f ca="1">IFERROR(__xludf.DUMMYFUNCTION("IFERROR(GOOGLEFINANCE(B1934,""change""),0)"),0)</f>
        <v>0</v>
      </c>
      <c r="N1934" s="6">
        <v>1</v>
      </c>
      <c r="O1934" s="7">
        <v>45536</v>
      </c>
      <c r="P1934" s="6">
        <v>24.06</v>
      </c>
      <c r="Q1934" s="6">
        <v>215.14</v>
      </c>
      <c r="R1934" s="7">
        <v>45352</v>
      </c>
      <c r="S1934" s="6">
        <v>108.72</v>
      </c>
      <c r="T1934" s="6">
        <v>12.5</v>
      </c>
      <c r="U1934" s="7">
        <v>45352</v>
      </c>
      <c r="V1934" s="6">
        <v>16.55</v>
      </c>
      <c r="W1934" s="6">
        <f ca="1">IFERROR(__xludf.DUMMYFUNCTION("IFERROR(GOOGLEFINANCE(B1934,""pe""),V1934)"),16.55)</f>
        <v>16.55</v>
      </c>
      <c r="X1934" s="9"/>
      <c r="Y1934" s="6">
        <v>2.86</v>
      </c>
      <c r="Z1934" s="6">
        <v>2</v>
      </c>
      <c r="AA1934" s="8">
        <v>45352</v>
      </c>
      <c r="AB1934" s="4">
        <v>0.8</v>
      </c>
      <c r="AC1934" s="6">
        <v>54.48</v>
      </c>
      <c r="AD1934" s="6">
        <v>35.94</v>
      </c>
      <c r="AE1934" s="1">
        <v>0</v>
      </c>
      <c r="AF1934" s="1">
        <f ca="1">IFERROR(__xludf.DUMMYFUNCTION("IFERROR(GOOGLEFINANCE(TRIM(F1934)&amp;"":"" &amp; TRIM(B1934),""high52""),AE1934)"),0)</f>
        <v>0</v>
      </c>
      <c r="AG1934" s="1">
        <v>0</v>
      </c>
      <c r="AH1934" s="1">
        <f ca="1">IFERROR(__xludf.DUMMYFUNCTION("IFERROR(GOOGLEFINANCE(TRIM(F1934)&amp;"":"" &amp; TRIM(B1934),""low52""),AE1934)"),0)</f>
        <v>0</v>
      </c>
      <c r="AI1934" s="1">
        <f ca="1">IFERROR(__xludf.DUMMYFUNCTION("IFERROR(GOOGLEFINANCE(B1934,""eps""),0)"),0)</f>
        <v>0</v>
      </c>
      <c r="AJ1934" s="1"/>
      <c r="AK1934" s="1" t="s">
        <v>5923</v>
      </c>
      <c r="AL1934" s="9">
        <f t="shared" si="224"/>
        <v>1</v>
      </c>
    </row>
    <row r="1935" spans="1:38" ht="15" x14ac:dyDescent="0.25">
      <c r="A1935" s="1" t="s">
        <v>5924</v>
      </c>
      <c r="B1935" s="1" t="s">
        <v>5925</v>
      </c>
      <c r="C1935" s="1" t="s">
        <v>416</v>
      </c>
      <c r="D1935" s="1" t="s">
        <v>416</v>
      </c>
      <c r="E1935" s="6">
        <v>1979.46</v>
      </c>
      <c r="F1935" s="1" t="s">
        <v>40</v>
      </c>
      <c r="G1935" s="6">
        <f ca="1">IFERROR(__xludf.DUMMYFUNCTION("iferror(GOOGLEFINANCE(TRIM(F1935)&amp;"":"" &amp; TRIM(B1935), ""price""),0
)"),197)</f>
        <v>197</v>
      </c>
      <c r="H1935" s="6">
        <v>568.15</v>
      </c>
      <c r="I1935" s="6">
        <f t="shared" ca="1" si="0"/>
        <v>197</v>
      </c>
      <c r="J1935" s="6">
        <f ca="1">IFERROR(__xludf.DUMMYFUNCTION("IFERROR(GOOGLEFINANCE(B1935, ""volume""), 0)"),42514)</f>
        <v>42514</v>
      </c>
      <c r="K1935" s="6">
        <v>0.41</v>
      </c>
      <c r="L1935" s="6">
        <f ca="1">IFERROR(__xludf.DUMMYFUNCTION("IFERROR(GOOGLEFINANCE(B1935,""changepct""),K1935)"),-0.59)</f>
        <v>-0.59</v>
      </c>
      <c r="M1935" s="6">
        <f ca="1">IFERROR(__xludf.DUMMYFUNCTION("IFERROR(GOOGLEFINANCE(B1935,""change""),0)"),-1.17)</f>
        <v>-1.17</v>
      </c>
      <c r="N1935" s="6">
        <v>2</v>
      </c>
      <c r="O1935" s="7">
        <v>45536</v>
      </c>
      <c r="P1935" s="6">
        <v>112.34</v>
      </c>
      <c r="Q1935" s="6">
        <v>2088.59</v>
      </c>
      <c r="R1935" s="7">
        <v>45536</v>
      </c>
      <c r="S1935" s="6">
        <v>508.05</v>
      </c>
      <c r="T1935" s="6">
        <v>35.159999999999997</v>
      </c>
      <c r="U1935" s="7">
        <v>45536</v>
      </c>
      <c r="V1935" s="6">
        <v>53.86</v>
      </c>
      <c r="W1935" s="6">
        <f ca="1">IFERROR(__xludf.DUMMYFUNCTION("IFERROR(GOOGLEFINANCE(B1935,""pe""),V1935)"),65.26)</f>
        <v>65.260000000000005</v>
      </c>
      <c r="X1935" s="6">
        <v>7.96</v>
      </c>
      <c r="Y1935" s="6">
        <v>4.28</v>
      </c>
      <c r="Z1935" s="6">
        <v>2</v>
      </c>
      <c r="AA1935" s="8">
        <v>45352</v>
      </c>
      <c r="AB1935" s="4">
        <v>0.19</v>
      </c>
      <c r="AC1935" s="6">
        <v>8.1</v>
      </c>
      <c r="AD1935" s="6">
        <v>10.88</v>
      </c>
      <c r="AE1935" s="1">
        <v>0</v>
      </c>
      <c r="AF1935" s="1">
        <f ca="1">IFERROR(__xludf.DUMMYFUNCTION("IFERROR(GOOGLEFINANCE(TRIM(F1935)&amp;"":"" &amp; TRIM(B1935),""high52""),AE1935)"),474.1)</f>
        <v>474.1</v>
      </c>
      <c r="AG1935" s="1">
        <v>0</v>
      </c>
      <c r="AH1935" s="1">
        <f ca="1">IFERROR(__xludf.DUMMYFUNCTION("IFERROR(GOOGLEFINANCE(TRIM(F1935)&amp;"":"" &amp; TRIM(B1935),""low52""),AE1935)"),180)</f>
        <v>180</v>
      </c>
      <c r="AI1935" s="1">
        <f ca="1">IFERROR(__xludf.DUMMYFUNCTION("IFERROR(GOOGLEFINANCE(B1935,""eps""),0)"),3.02)</f>
        <v>3.02</v>
      </c>
      <c r="AJ1935" s="1"/>
      <c r="AK1935" s="1" t="s">
        <v>5926</v>
      </c>
      <c r="AL1935" s="9">
        <f t="shared" si="224"/>
        <v>1</v>
      </c>
    </row>
    <row r="1936" spans="1:38" ht="15" x14ac:dyDescent="0.25">
      <c r="A1936" s="1" t="s">
        <v>5927</v>
      </c>
      <c r="B1936" s="1" t="s">
        <v>5928</v>
      </c>
      <c r="C1936" s="1" t="s">
        <v>889</v>
      </c>
      <c r="D1936" s="1" t="s">
        <v>889</v>
      </c>
      <c r="E1936" s="6">
        <v>18236.68</v>
      </c>
      <c r="F1936" s="1" t="s">
        <v>40</v>
      </c>
      <c r="G1936" s="6">
        <f ca="1">IFERROR(__xludf.DUMMYFUNCTION("iferror(GOOGLEFINANCE(TRIM(F1936)&amp;"":"" &amp; TRIM(B1936), ""price""),0
)"),894.65)</f>
        <v>894.65</v>
      </c>
      <c r="H1936" s="6">
        <v>1139.95</v>
      </c>
      <c r="I1936" s="6">
        <f t="shared" ca="1" si="0"/>
        <v>894.65</v>
      </c>
      <c r="J1936" s="6">
        <f ca="1">IFERROR(__xludf.DUMMYFUNCTION("IFERROR(GOOGLEFINANCE(B1936, ""volume""), 0)"),142972)</f>
        <v>142972</v>
      </c>
      <c r="K1936" s="6">
        <v>-0.41</v>
      </c>
      <c r="L1936" s="6">
        <f ca="1">IFERROR(__xludf.DUMMYFUNCTION("IFERROR(GOOGLEFINANCE(B1936,""changepct""),K1936)"),1.07)</f>
        <v>1.07</v>
      </c>
      <c r="M1936" s="6">
        <f ca="1">IFERROR(__xludf.DUMMYFUNCTION("IFERROR(GOOGLEFINANCE(B1936,""change""),0)"),9.45)</f>
        <v>9.4499999999999993</v>
      </c>
      <c r="N1936" s="6">
        <v>2</v>
      </c>
      <c r="O1936" s="7">
        <v>45536</v>
      </c>
      <c r="P1936" s="6">
        <v>170.02</v>
      </c>
      <c r="Q1936" s="6">
        <v>17962.14</v>
      </c>
      <c r="R1936" s="7">
        <v>45536</v>
      </c>
      <c r="S1936" s="6">
        <v>4685.53</v>
      </c>
      <c r="T1936" s="6">
        <v>396.31</v>
      </c>
      <c r="U1936" s="7">
        <v>45536</v>
      </c>
      <c r="V1936" s="6">
        <v>47.9</v>
      </c>
      <c r="W1936" s="6">
        <f ca="1">IFERROR(__xludf.DUMMYFUNCTION("IFERROR(GOOGLEFINANCE(B1936,""pe""),V1936)"),38.3)</f>
        <v>38.299999999999997</v>
      </c>
      <c r="X1936" s="6">
        <v>3.7</v>
      </c>
      <c r="Y1936" s="6">
        <v>6.76</v>
      </c>
      <c r="Z1936" s="6">
        <v>2</v>
      </c>
      <c r="AA1936" s="8">
        <v>45352</v>
      </c>
      <c r="AB1936" s="4">
        <v>7.0000000000000007E-2</v>
      </c>
      <c r="AC1936" s="6">
        <v>17.57</v>
      </c>
      <c r="AD1936" s="6">
        <v>22.42</v>
      </c>
      <c r="AE1936" s="1">
        <v>0</v>
      </c>
      <c r="AF1936" s="1">
        <f ca="1">IFERROR(__xludf.DUMMYFUNCTION("IFERROR(GOOGLEFINANCE(TRIM(F1936)&amp;"":"" &amp; TRIM(B1936),""high52""),AE1936)"),1321.9)</f>
        <v>1321.9</v>
      </c>
      <c r="AG1936" s="1">
        <v>0</v>
      </c>
      <c r="AH1936" s="1">
        <f ca="1">IFERROR(__xludf.DUMMYFUNCTION("IFERROR(GOOGLEFINANCE(TRIM(F1936)&amp;"":"" &amp; TRIM(B1936),""low52""),AE1936)"),758.7)</f>
        <v>758.7</v>
      </c>
      <c r="AI1936" s="1">
        <f ca="1">IFERROR(__xludf.DUMMYFUNCTION("IFERROR(GOOGLEFINANCE(B1936,""eps""),0)"),23.36)</f>
        <v>23.36</v>
      </c>
      <c r="AJ1936" s="1"/>
      <c r="AK1936" s="1" t="s">
        <v>5929</v>
      </c>
      <c r="AL1936" s="1" t="b">
        <f>ISNUMBER(AA1936)</f>
        <v>1</v>
      </c>
    </row>
    <row r="1937" spans="1:38" ht="15" x14ac:dyDescent="0.25">
      <c r="A1937" s="1" t="s">
        <v>5930</v>
      </c>
      <c r="B1937" s="1" t="s">
        <v>5931</v>
      </c>
      <c r="C1937" s="1" t="s">
        <v>43</v>
      </c>
      <c r="D1937" s="1" t="s">
        <v>43</v>
      </c>
      <c r="E1937" s="6">
        <v>0</v>
      </c>
      <c r="F1937" s="1" t="s">
        <v>53</v>
      </c>
      <c r="G1937" s="6">
        <f ca="1">IFERROR(__xludf.DUMMYFUNCTION("iferror(GOOGLEFINANCE(TRIM(F1937)&amp;"":"" &amp; TRIM(B1937), ""price""),0
)"),0)</f>
        <v>0</v>
      </c>
      <c r="H1937" s="6">
        <v>91</v>
      </c>
      <c r="I1937" s="6">
        <f t="shared" ca="1" si="0"/>
        <v>91</v>
      </c>
      <c r="J1937" s="6">
        <f ca="1">IFERROR(__xludf.DUMMYFUNCTION("IFERROR(GOOGLEFINANCE(B1937, ""volume""), 0)"),0)</f>
        <v>0</v>
      </c>
      <c r="K1937" s="9"/>
      <c r="L1937" s="6" t="str">
        <f ca="1">IFERROR(__xludf.DUMMYFUNCTION("IFERROR(GOOGLEFINANCE(B1937,""changepct""),K1937)"),"")</f>
        <v/>
      </c>
      <c r="M1937" s="6">
        <f ca="1">IFERROR(__xludf.DUMMYFUNCTION("IFERROR(GOOGLEFINANCE(B1937,""change""),0)"),0)</f>
        <v>0</v>
      </c>
      <c r="N1937" s="6">
        <v>1</v>
      </c>
      <c r="O1937" s="14"/>
      <c r="P1937" s="9"/>
      <c r="Q1937" s="6">
        <v>0</v>
      </c>
      <c r="R1937" s="14"/>
      <c r="S1937" s="9"/>
      <c r="T1937" s="9"/>
      <c r="U1937" s="6">
        <v>1</v>
      </c>
      <c r="V1937" s="6">
        <v>0</v>
      </c>
      <c r="W1937" s="6">
        <f ca="1">IFERROR(__xludf.DUMMYFUNCTION("IFERROR(GOOGLEFINANCE(B1937,""pe""),V1937)"),0)</f>
        <v>0</v>
      </c>
      <c r="X1937" s="9"/>
      <c r="Y1937" s="9"/>
      <c r="Z1937" s="9"/>
      <c r="AA1937" s="3" t="s">
        <v>5932</v>
      </c>
      <c r="AB1937" s="11"/>
      <c r="AC1937" s="9"/>
      <c r="AD1937" s="9"/>
      <c r="AE1937" s="1">
        <v>0</v>
      </c>
      <c r="AF1937" s="1">
        <f ca="1">IFERROR(__xludf.DUMMYFUNCTION("IFERROR(GOOGLEFINANCE(TRIM(F1937)&amp;"":"" &amp; TRIM(B1937),""high52""),AE1937)"),0)</f>
        <v>0</v>
      </c>
      <c r="AG1937" s="1">
        <v>0</v>
      </c>
      <c r="AH1937" s="1">
        <f ca="1">IFERROR(__xludf.DUMMYFUNCTION("IFERROR(GOOGLEFINANCE(TRIM(F1937)&amp;"":"" &amp; TRIM(B1937),""low52""),AE1937)"),0)</f>
        <v>0</v>
      </c>
      <c r="AI1937" s="1">
        <f ca="1">IFERROR(__xludf.DUMMYFUNCTION("IFERROR(GOOGLEFINANCE(B1937,""eps""),0)"),0)</f>
        <v>0</v>
      </c>
      <c r="AJ1937" s="1"/>
      <c r="AK1937" s="1" t="s">
        <v>5933</v>
      </c>
      <c r="AL1937" s="9">
        <f>IF(AA1937&lt;&gt;AB1937,1,0)</f>
        <v>1</v>
      </c>
    </row>
    <row r="1938" spans="1:38" ht="15" x14ac:dyDescent="0.25">
      <c r="A1938" s="1" t="s">
        <v>5934</v>
      </c>
      <c r="B1938" s="1" t="s">
        <v>5935</v>
      </c>
      <c r="C1938" s="1" t="s">
        <v>239</v>
      </c>
      <c r="D1938" s="1" t="s">
        <v>239</v>
      </c>
      <c r="E1938" s="6">
        <v>148.94999999999999</v>
      </c>
      <c r="F1938" s="1" t="s">
        <v>40</v>
      </c>
      <c r="G1938" s="6">
        <f ca="1">IFERROR(__xludf.DUMMYFUNCTION("iferror(GOOGLEFINANCE(TRIM(F1938)&amp;"":"" &amp; TRIM(B1938), ""price""),0
)"),111.12)</f>
        <v>111.12</v>
      </c>
      <c r="H1938" s="6">
        <v>190.21</v>
      </c>
      <c r="I1938" s="6">
        <f t="shared" ca="1" si="0"/>
        <v>111.12</v>
      </c>
      <c r="J1938" s="6">
        <f ca="1">IFERROR(__xludf.DUMMYFUNCTION("IFERROR(GOOGLEFINANCE(B1938, ""volume""), 0)"),1942)</f>
        <v>1942</v>
      </c>
      <c r="K1938" s="6">
        <v>-0.38</v>
      </c>
      <c r="L1938" s="6">
        <f ca="1">IFERROR(__xludf.DUMMYFUNCTION("IFERROR(GOOGLEFINANCE(B1938,""changepct""),K1938)"),-1.9)</f>
        <v>-1.9</v>
      </c>
      <c r="M1938" s="6">
        <f ca="1">IFERROR(__xludf.DUMMYFUNCTION("IFERROR(GOOGLEFINANCE(B1938,""change""),0)"),-2.15)</f>
        <v>-2.15</v>
      </c>
      <c r="N1938" s="6">
        <v>1</v>
      </c>
      <c r="O1938" s="7">
        <v>45536</v>
      </c>
      <c r="P1938" s="6">
        <v>81.99</v>
      </c>
      <c r="Q1938" s="6">
        <v>192.48</v>
      </c>
      <c r="R1938" s="7">
        <v>45536</v>
      </c>
      <c r="S1938" s="6">
        <v>129.94999999999999</v>
      </c>
      <c r="T1938" s="6">
        <v>-2.27</v>
      </c>
      <c r="U1938" s="7">
        <v>45536</v>
      </c>
      <c r="V1938" s="6">
        <v>0</v>
      </c>
      <c r="W1938" s="6">
        <f ca="1">IFERROR(__xludf.DUMMYFUNCTION("IFERROR(GOOGLEFINANCE(B1938,""pe""),V1938)"),0)</f>
        <v>0</v>
      </c>
      <c r="X1938" s="12"/>
      <c r="Y1938" s="6">
        <v>0.67</v>
      </c>
      <c r="Z1938" s="6">
        <v>1</v>
      </c>
      <c r="AA1938" s="8">
        <v>45352</v>
      </c>
      <c r="AB1938" s="4">
        <v>0.42</v>
      </c>
      <c r="AC1938" s="6">
        <v>-0.59</v>
      </c>
      <c r="AD1938" s="6">
        <v>1.1399999999999999</v>
      </c>
      <c r="AE1938" s="1">
        <v>0</v>
      </c>
      <c r="AF1938" s="1">
        <f ca="1">IFERROR(__xludf.DUMMYFUNCTION("IFERROR(GOOGLEFINANCE(TRIM(F1938)&amp;"":"" &amp; TRIM(B1938),""high52""),AE1938)"),179.29)</f>
        <v>179.29</v>
      </c>
      <c r="AG1938" s="1">
        <v>0</v>
      </c>
      <c r="AH1938" s="1">
        <f ca="1">IFERROR(__xludf.DUMMYFUNCTION("IFERROR(GOOGLEFINANCE(TRIM(F1938)&amp;"":"" &amp; TRIM(B1938),""low52""),AE1938)"),106.99)</f>
        <v>106.99</v>
      </c>
      <c r="AI1938" s="1">
        <f ca="1">IFERROR(__xludf.DUMMYFUNCTION("IFERROR(GOOGLEFINANCE(B1938,""eps""),0)"),-34.94)</f>
        <v>-34.94</v>
      </c>
      <c r="AJ1938" s="1"/>
      <c r="AK1938" s="1" t="s">
        <v>5936</v>
      </c>
      <c r="AL1938" s="1" t="b">
        <f>ISNUMBER(AA1938)</f>
        <v>1</v>
      </c>
    </row>
    <row r="1939" spans="1:38" ht="15" x14ac:dyDescent="0.25">
      <c r="A1939" s="1" t="s">
        <v>5937</v>
      </c>
      <c r="B1939" s="1" t="s">
        <v>5938</v>
      </c>
      <c r="C1939" s="1" t="s">
        <v>186</v>
      </c>
      <c r="D1939" s="1" t="s">
        <v>186</v>
      </c>
      <c r="E1939" s="6">
        <v>43.14</v>
      </c>
      <c r="F1939" s="1" t="s">
        <v>40</v>
      </c>
      <c r="G1939" s="6">
        <f ca="1">IFERROR(__xludf.DUMMYFUNCTION("iferror(GOOGLEFINANCE(TRIM(F1939)&amp;"":"" &amp; TRIM(B1939), ""price""),0
)"),0)</f>
        <v>0</v>
      </c>
      <c r="H1939" s="6">
        <v>26.35</v>
      </c>
      <c r="I1939" s="6">
        <f t="shared" ca="1" si="0"/>
        <v>26.35</v>
      </c>
      <c r="J1939" s="6">
        <f ca="1">IFERROR(__xludf.DUMMYFUNCTION("IFERROR(GOOGLEFINANCE(B1939, ""volume""), 0)"),0)</f>
        <v>0</v>
      </c>
      <c r="K1939" s="6">
        <v>4.9800000000000004</v>
      </c>
      <c r="L1939" s="6">
        <f ca="1">IFERROR(__xludf.DUMMYFUNCTION("IFERROR(GOOGLEFINANCE(B1939,""changepct""),K1939)"),4.98)</f>
        <v>4.9800000000000004</v>
      </c>
      <c r="M1939" s="6">
        <f ca="1">IFERROR(__xludf.DUMMYFUNCTION("IFERROR(GOOGLEFINANCE(B1939,""change""),0)"),0)</f>
        <v>0</v>
      </c>
      <c r="N1939" s="6">
        <v>1</v>
      </c>
      <c r="O1939" s="7">
        <v>45352</v>
      </c>
      <c r="P1939" s="6">
        <v>67.08</v>
      </c>
      <c r="Q1939" s="6">
        <v>110.22</v>
      </c>
      <c r="R1939" s="7">
        <v>45352</v>
      </c>
      <c r="S1939" s="6">
        <v>194.17</v>
      </c>
      <c r="T1939" s="6">
        <v>8.0500000000000007</v>
      </c>
      <c r="U1939" s="7">
        <v>45352</v>
      </c>
      <c r="V1939" s="6">
        <v>5.36</v>
      </c>
      <c r="W1939" s="6">
        <f ca="1">IFERROR(__xludf.DUMMYFUNCTION("IFERROR(GOOGLEFINANCE(B1939,""pe""),V1939)"),5.36)</f>
        <v>5.36</v>
      </c>
      <c r="X1939" s="9"/>
      <c r="Y1939" s="6">
        <v>0.89</v>
      </c>
      <c r="Z1939" s="6">
        <v>1</v>
      </c>
      <c r="AA1939" s="8">
        <v>44986</v>
      </c>
      <c r="AB1939" s="4">
        <v>3.37</v>
      </c>
      <c r="AC1939" s="6">
        <v>45.02</v>
      </c>
      <c r="AD1939" s="6">
        <v>18.91</v>
      </c>
      <c r="AE1939" s="1">
        <v>0</v>
      </c>
      <c r="AF1939" s="1">
        <f ca="1">IFERROR(__xludf.DUMMYFUNCTION("IFERROR(GOOGLEFINANCE(TRIM(F1939)&amp;"":"" &amp; TRIM(B1939),""high52""),AE1939)"),0)</f>
        <v>0</v>
      </c>
      <c r="AG1939" s="1">
        <v>0</v>
      </c>
      <c r="AH1939" s="1">
        <f ca="1">IFERROR(__xludf.DUMMYFUNCTION("IFERROR(GOOGLEFINANCE(TRIM(F1939)&amp;"":"" &amp; TRIM(B1939),""low52""),AE1939)"),0)</f>
        <v>0</v>
      </c>
      <c r="AI1939" s="1">
        <f ca="1">IFERROR(__xludf.DUMMYFUNCTION("IFERROR(GOOGLEFINANCE(B1939,""eps""),0)"),0)</f>
        <v>0</v>
      </c>
      <c r="AJ1939" s="1"/>
      <c r="AK1939" s="1" t="s">
        <v>5939</v>
      </c>
      <c r="AL1939" s="9">
        <f t="shared" ref="AL1939:AL1995" si="225">IF(AA1939&lt;&gt;AB1939,1,0)</f>
        <v>1</v>
      </c>
    </row>
    <row r="1940" spans="1:38" ht="15" x14ac:dyDescent="0.25">
      <c r="A1940" s="1" t="s">
        <v>5940</v>
      </c>
      <c r="B1940" s="1" t="s">
        <v>5941</v>
      </c>
      <c r="C1940" s="1" t="s">
        <v>219</v>
      </c>
      <c r="D1940" s="1" t="s">
        <v>219</v>
      </c>
      <c r="E1940" s="6">
        <v>57.5</v>
      </c>
      <c r="F1940" s="1" t="s">
        <v>40</v>
      </c>
      <c r="G1940" s="6">
        <f ca="1">IFERROR(__xludf.DUMMYFUNCTION("iferror(GOOGLEFINANCE(TRIM(F1940)&amp;"":"" &amp; TRIM(B1940), ""price""),0
)"),0)</f>
        <v>0</v>
      </c>
      <c r="H1940" s="6">
        <v>44.1</v>
      </c>
      <c r="I1940" s="6">
        <f t="shared" ca="1" si="0"/>
        <v>44.1</v>
      </c>
      <c r="J1940" s="6">
        <f ca="1">IFERROR(__xludf.DUMMYFUNCTION("IFERROR(GOOGLEFINANCE(B1940, ""volume""), 0)"),0)</f>
        <v>0</v>
      </c>
      <c r="K1940" s="6">
        <v>0</v>
      </c>
      <c r="L1940" s="6">
        <f ca="1">IFERROR(__xludf.DUMMYFUNCTION("IFERROR(GOOGLEFINANCE(B1940,""changepct""),K1940)"),0)</f>
        <v>0</v>
      </c>
      <c r="M1940" s="6">
        <f ca="1">IFERROR(__xludf.DUMMYFUNCTION("IFERROR(GOOGLEFINANCE(B1940,""change""),0)"),0)</f>
        <v>0</v>
      </c>
      <c r="N1940" s="6">
        <v>1</v>
      </c>
      <c r="O1940" s="7">
        <v>45536</v>
      </c>
      <c r="P1940" s="6">
        <v>0.71</v>
      </c>
      <c r="Q1940" s="6">
        <v>58.21</v>
      </c>
      <c r="R1940" s="14"/>
      <c r="S1940" s="9"/>
      <c r="T1940" s="9"/>
      <c r="U1940" s="7">
        <v>45352</v>
      </c>
      <c r="V1940" s="6">
        <v>24.29</v>
      </c>
      <c r="W1940" s="6">
        <f ca="1">IFERROR(__xludf.DUMMYFUNCTION("IFERROR(GOOGLEFINANCE(B1940,""pe""),V1940)"),24.29)</f>
        <v>24.29</v>
      </c>
      <c r="X1940" s="9"/>
      <c r="Y1940" s="6">
        <v>1.32</v>
      </c>
      <c r="Z1940" s="6">
        <v>1</v>
      </c>
      <c r="AA1940" s="8">
        <v>45352</v>
      </c>
      <c r="AB1940" s="4">
        <v>0.43</v>
      </c>
      <c r="AC1940" s="6">
        <v>31.12</v>
      </c>
      <c r="AD1940" s="6">
        <v>25.1</v>
      </c>
      <c r="AE1940" s="1">
        <v>0</v>
      </c>
      <c r="AF1940" s="1">
        <f ca="1">IFERROR(__xludf.DUMMYFUNCTION("IFERROR(GOOGLEFINANCE(TRIM(F1940)&amp;"":"" &amp; TRIM(B1940),""high52""),AE1940)"),0)</f>
        <v>0</v>
      </c>
      <c r="AG1940" s="1">
        <v>0</v>
      </c>
      <c r="AH1940" s="1">
        <f ca="1">IFERROR(__xludf.DUMMYFUNCTION("IFERROR(GOOGLEFINANCE(TRIM(F1940)&amp;"":"" &amp; TRIM(B1940),""low52""),AE1940)"),0)</f>
        <v>0</v>
      </c>
      <c r="AI1940" s="1">
        <f ca="1">IFERROR(__xludf.DUMMYFUNCTION("IFERROR(GOOGLEFINANCE(B1940,""eps""),0)"),0)</f>
        <v>0</v>
      </c>
      <c r="AJ1940" s="1"/>
      <c r="AK1940" s="1" t="s">
        <v>5942</v>
      </c>
      <c r="AL1940" s="9">
        <f t="shared" si="225"/>
        <v>1</v>
      </c>
    </row>
    <row r="1941" spans="1:38" ht="15" x14ac:dyDescent="0.25">
      <c r="A1941" s="1" t="s">
        <v>5943</v>
      </c>
      <c r="B1941" s="1" t="s">
        <v>5944</v>
      </c>
      <c r="C1941" s="1" t="s">
        <v>86</v>
      </c>
      <c r="D1941" s="1" t="s">
        <v>86</v>
      </c>
      <c r="E1941" s="6">
        <v>21795.7</v>
      </c>
      <c r="F1941" s="1" t="s">
        <v>40</v>
      </c>
      <c r="G1941" s="6">
        <f ca="1">IFERROR(__xludf.DUMMYFUNCTION("iferror(GOOGLEFINANCE(TRIM(F1941)&amp;"":"" &amp; TRIM(B1941), ""price""),0
)"),1127.3)</f>
        <v>1127.3</v>
      </c>
      <c r="H1941" s="6">
        <v>1306.3499999999999</v>
      </c>
      <c r="I1941" s="6">
        <f t="shared" ca="1" si="0"/>
        <v>1127.3</v>
      </c>
      <c r="J1941" s="6">
        <f ca="1">IFERROR(__xludf.DUMMYFUNCTION("IFERROR(GOOGLEFINANCE(B1941, ""volume""), 0)"),96493)</f>
        <v>96493</v>
      </c>
      <c r="K1941" s="6">
        <v>2.37</v>
      </c>
      <c r="L1941" s="6">
        <f ca="1">IFERROR(__xludf.DUMMYFUNCTION("IFERROR(GOOGLEFINANCE(B1941,""changepct""),K1941)"),-3.26)</f>
        <v>-3.26</v>
      </c>
      <c r="M1941" s="6">
        <f ca="1">IFERROR(__xludf.DUMMYFUNCTION("IFERROR(GOOGLEFINANCE(B1941,""change""),0)"),-38)</f>
        <v>-38</v>
      </c>
      <c r="N1941" s="6">
        <v>2</v>
      </c>
      <c r="O1941" s="7">
        <v>45536</v>
      </c>
      <c r="P1941" s="6">
        <v>4743.17</v>
      </c>
      <c r="Q1941" s="6">
        <v>25774.5</v>
      </c>
      <c r="R1941" s="7">
        <v>45536</v>
      </c>
      <c r="S1941" s="6">
        <v>20383.93</v>
      </c>
      <c r="T1941" s="6">
        <v>522.55999999999995</v>
      </c>
      <c r="U1941" s="7">
        <v>45536</v>
      </c>
      <c r="V1941" s="6">
        <v>41.56</v>
      </c>
      <c r="W1941" s="6">
        <f ca="1">IFERROR(__xludf.DUMMYFUNCTION("IFERROR(GOOGLEFINANCE(B1941,""pe""),V1941)"),41.56)</f>
        <v>41.56</v>
      </c>
      <c r="X1941" s="6">
        <v>23.35</v>
      </c>
      <c r="Y1941" s="6">
        <v>3.52</v>
      </c>
      <c r="Z1941" s="6">
        <v>2</v>
      </c>
      <c r="AA1941" s="8">
        <v>45352</v>
      </c>
      <c r="AB1941" s="4">
        <v>0.76</v>
      </c>
      <c r="AC1941" s="6">
        <v>10.47</v>
      </c>
      <c r="AD1941" s="6">
        <v>16.100000000000001</v>
      </c>
      <c r="AE1941" s="1">
        <v>0</v>
      </c>
      <c r="AF1941" s="1">
        <f ca="1">IFERROR(__xludf.DUMMYFUNCTION("IFERROR(GOOGLEFINANCE(TRIM(F1941)&amp;"":"" &amp; TRIM(B1941),""high52""),AE1941)"),1335.6)</f>
        <v>1335.6</v>
      </c>
      <c r="AG1941" s="1">
        <v>0</v>
      </c>
      <c r="AH1941" s="1">
        <f ca="1">IFERROR(__xludf.DUMMYFUNCTION("IFERROR(GOOGLEFINANCE(TRIM(F1941)&amp;"":"" &amp; TRIM(B1941),""low52""),AE1941)"),786.3)</f>
        <v>786.3</v>
      </c>
      <c r="AI1941" s="1">
        <f ca="1">IFERROR(__xludf.DUMMYFUNCTION("IFERROR(GOOGLEFINANCE(B1941,""eps""),0)"),0)</f>
        <v>0</v>
      </c>
      <c r="AJ1941" s="1"/>
      <c r="AK1941" s="1" t="s">
        <v>5945</v>
      </c>
      <c r="AL1941" s="9">
        <f t="shared" si="225"/>
        <v>1</v>
      </c>
    </row>
    <row r="1942" spans="1:38" ht="15" x14ac:dyDescent="0.25">
      <c r="A1942" s="1" t="s">
        <v>5946</v>
      </c>
      <c r="B1942" s="1" t="s">
        <v>5947</v>
      </c>
      <c r="C1942" s="1" t="s">
        <v>2432</v>
      </c>
      <c r="D1942" s="1" t="s">
        <v>2432</v>
      </c>
      <c r="E1942" s="6">
        <v>81251.320000000007</v>
      </c>
      <c r="F1942" s="1" t="s">
        <v>40</v>
      </c>
      <c r="G1942" s="6">
        <f ca="1">IFERROR(__xludf.DUMMYFUNCTION("iferror(GOOGLEFINANCE(TRIM(F1942)&amp;"":"" &amp; TRIM(B1942), ""price""),0
)"),367.95)</f>
        <v>367.95</v>
      </c>
      <c r="H1942" s="6">
        <v>775.75</v>
      </c>
      <c r="I1942" s="6">
        <f t="shared" ca="1" si="0"/>
        <v>367.95</v>
      </c>
      <c r="J1942" s="6">
        <f ca="1">IFERROR(__xludf.DUMMYFUNCTION("IFERROR(GOOGLEFINANCE(B1942, ""volume""), 0)"),4349733)</f>
        <v>4349733</v>
      </c>
      <c r="K1942" s="6">
        <v>-1.54</v>
      </c>
      <c r="L1942" s="6">
        <f ca="1">IFERROR(__xludf.DUMMYFUNCTION("IFERROR(GOOGLEFINANCE(B1942,""changepct""),K1942)"),-0.26)</f>
        <v>-0.26</v>
      </c>
      <c r="M1942" s="6">
        <f ca="1">IFERROR(__xludf.DUMMYFUNCTION("IFERROR(GOOGLEFINANCE(B1942,""change""),0)"),-0.95)</f>
        <v>-0.95</v>
      </c>
      <c r="N1942" s="6">
        <v>2</v>
      </c>
      <c r="O1942" s="7">
        <v>45536</v>
      </c>
      <c r="P1942" s="6">
        <v>3183.95</v>
      </c>
      <c r="Q1942" s="6">
        <v>83388.5</v>
      </c>
      <c r="R1942" s="7">
        <v>45536</v>
      </c>
      <c r="S1942" s="6">
        <v>21358.97</v>
      </c>
      <c r="T1942" s="6">
        <v>625.75</v>
      </c>
      <c r="U1942" s="7">
        <v>45536</v>
      </c>
      <c r="V1942" s="6">
        <v>129.66999999999999</v>
      </c>
      <c r="W1942" s="6">
        <f ca="1">IFERROR(__xludf.DUMMYFUNCTION("IFERROR(GOOGLEFINANCE(B1942,""pe""),V1942)"),40.79)</f>
        <v>40.79</v>
      </c>
      <c r="X1942" s="9"/>
      <c r="Y1942" s="6">
        <v>18.64</v>
      </c>
      <c r="Z1942" s="6">
        <v>2</v>
      </c>
      <c r="AA1942" s="8">
        <v>45352</v>
      </c>
      <c r="AB1942" s="4">
        <v>0.79</v>
      </c>
      <c r="AC1942" s="6">
        <v>15.26</v>
      </c>
      <c r="AD1942" s="6">
        <v>15.94</v>
      </c>
      <c r="AE1942" s="1">
        <v>0</v>
      </c>
      <c r="AF1942" s="1">
        <f ca="1">IFERROR(__xludf.DUMMYFUNCTION("IFERROR(GOOGLEFINANCE(TRIM(F1942)&amp;"":"" &amp; TRIM(B1942),""high52""),AE1942)"),617.7)</f>
        <v>617.70000000000005</v>
      </c>
      <c r="AG1942" s="1">
        <v>0</v>
      </c>
      <c r="AH1942" s="1">
        <f ca="1">IFERROR(__xludf.DUMMYFUNCTION("IFERROR(GOOGLEFINANCE(TRIM(F1942)&amp;"":"" &amp; TRIM(B1942),""low52""),AE1942)"),347.5)</f>
        <v>347.5</v>
      </c>
      <c r="AI1942" s="1">
        <f ca="1">IFERROR(__xludf.DUMMYFUNCTION("IFERROR(GOOGLEFINANCE(B1942,""eps""),0)"),9.02)</f>
        <v>9.02</v>
      </c>
      <c r="AJ1942" s="1"/>
      <c r="AK1942" s="1" t="s">
        <v>5948</v>
      </c>
      <c r="AL1942" s="9">
        <f t="shared" si="225"/>
        <v>1</v>
      </c>
    </row>
    <row r="1943" spans="1:38" ht="15" x14ac:dyDescent="0.25">
      <c r="A1943" s="1" t="s">
        <v>5949</v>
      </c>
      <c r="B1943" s="1" t="s">
        <v>5950</v>
      </c>
      <c r="C1943" s="1" t="s">
        <v>208</v>
      </c>
      <c r="D1943" s="1" t="s">
        <v>208</v>
      </c>
      <c r="E1943" s="6">
        <v>9.75</v>
      </c>
      <c r="F1943" s="1" t="s">
        <v>53</v>
      </c>
      <c r="G1943" s="6">
        <v>1.5</v>
      </c>
      <c r="H1943" s="6">
        <v>1.94</v>
      </c>
      <c r="I1943" s="6">
        <f t="shared" si="0"/>
        <v>1.5</v>
      </c>
      <c r="J1943" s="6">
        <f ca="1">IFERROR(__xludf.DUMMYFUNCTION("IFERROR(GOOGLEFINANCE(B1943, ""volume""), 0)"),0)</f>
        <v>0</v>
      </c>
      <c r="K1943" s="6">
        <v>-0.51</v>
      </c>
      <c r="L1943" s="6">
        <f ca="1">IFERROR(__xludf.DUMMYFUNCTION("IFERROR(GOOGLEFINANCE(B1943,""changepct""),K1943)"),-0.51)</f>
        <v>-0.51</v>
      </c>
      <c r="M1943" s="6">
        <f ca="1">IFERROR(__xludf.DUMMYFUNCTION("IFERROR(GOOGLEFINANCE(B1943,""change""),0)"),0)</f>
        <v>0</v>
      </c>
      <c r="N1943" s="6">
        <v>1</v>
      </c>
      <c r="O1943" s="7">
        <v>45536</v>
      </c>
      <c r="P1943" s="6">
        <v>-0.22</v>
      </c>
      <c r="Q1943" s="7">
        <v>45536</v>
      </c>
      <c r="R1943" s="6">
        <v>0</v>
      </c>
      <c r="S1943" s="6">
        <v>0</v>
      </c>
      <c r="T1943" s="6">
        <v>1.58</v>
      </c>
      <c r="U1943" s="6">
        <v>1</v>
      </c>
      <c r="V1943" s="7">
        <v>45352</v>
      </c>
      <c r="W1943" s="10">
        <f ca="1">IFERROR(__xludf.DUMMYFUNCTION("IFERROR(GOOGLEFINANCE(B1943,""pe""),V1943)"),45352)</f>
        <v>45352</v>
      </c>
      <c r="X1943" s="6">
        <v>5.13</v>
      </c>
      <c r="Y1943" s="6">
        <v>2.96</v>
      </c>
      <c r="Z1943" s="6">
        <v>5.69</v>
      </c>
      <c r="AA1943" s="3" t="s">
        <v>5951</v>
      </c>
      <c r="AB1943" s="11"/>
      <c r="AC1943" s="9"/>
      <c r="AD1943" s="9"/>
      <c r="AE1943" s="1">
        <v>0</v>
      </c>
      <c r="AF1943" s="1">
        <f ca="1">IFERROR(__xludf.DUMMYFUNCTION("IFERROR(GOOGLEFINANCE(TRIM(F1943)&amp;"":"" &amp; TRIM(B1943),""high52""),AE1943)"),0)</f>
        <v>0</v>
      </c>
      <c r="AG1943" s="1">
        <v>0</v>
      </c>
      <c r="AH1943" s="1">
        <f ca="1">IFERROR(__xludf.DUMMYFUNCTION("IFERROR(GOOGLEFINANCE(TRIM(F1943)&amp;"":"" &amp; TRIM(B1943),""low52""),AE1943)"),0)</f>
        <v>0</v>
      </c>
      <c r="AI1943" s="1">
        <f ca="1">IFERROR(__xludf.DUMMYFUNCTION("IFERROR(GOOGLEFINANCE(B1943,""eps""),0)"),0)</f>
        <v>0</v>
      </c>
      <c r="AJ1943" s="1"/>
      <c r="AK1943" s="1" t="s">
        <v>5952</v>
      </c>
      <c r="AL1943" s="9">
        <f t="shared" si="225"/>
        <v>1</v>
      </c>
    </row>
    <row r="1944" spans="1:38" ht="15" x14ac:dyDescent="0.25">
      <c r="A1944" s="1" t="s">
        <v>5953</v>
      </c>
      <c r="B1944" s="1" t="s">
        <v>5954</v>
      </c>
      <c r="C1944" s="1" t="s">
        <v>208</v>
      </c>
      <c r="D1944" s="1" t="s">
        <v>208</v>
      </c>
      <c r="E1944" s="6">
        <v>22.94</v>
      </c>
      <c r="F1944" s="1" t="s">
        <v>53</v>
      </c>
      <c r="G1944" s="6">
        <v>198.65</v>
      </c>
      <c r="H1944" s="6">
        <v>261.75</v>
      </c>
      <c r="I1944" s="6">
        <f t="shared" si="0"/>
        <v>198.65</v>
      </c>
      <c r="J1944" s="6">
        <f ca="1">IFERROR(__xludf.DUMMYFUNCTION("IFERROR(GOOGLEFINANCE(B1944, ""volume""), 0)"),0)</f>
        <v>0</v>
      </c>
      <c r="K1944" s="6">
        <v>-1.98</v>
      </c>
      <c r="L1944" s="6">
        <f ca="1">IFERROR(__xludf.DUMMYFUNCTION("IFERROR(GOOGLEFINANCE(B1944,""changepct""),K1944)"),-1.98)</f>
        <v>-1.98</v>
      </c>
      <c r="M1944" s="6">
        <f ca="1">IFERROR(__xludf.DUMMYFUNCTION("IFERROR(GOOGLEFINANCE(B1944,""change""),0)"),0)</f>
        <v>0</v>
      </c>
      <c r="N1944" s="6">
        <v>1</v>
      </c>
      <c r="O1944" s="7">
        <v>45536</v>
      </c>
      <c r="P1944" s="6">
        <v>-0.19</v>
      </c>
      <c r="Q1944" s="7">
        <v>45536</v>
      </c>
      <c r="R1944" s="6">
        <v>0</v>
      </c>
      <c r="S1944" s="6">
        <v>0</v>
      </c>
      <c r="T1944" s="6">
        <v>-11.4</v>
      </c>
      <c r="U1944" s="6">
        <v>1</v>
      </c>
      <c r="V1944" s="7">
        <v>45352</v>
      </c>
      <c r="W1944" s="10">
        <f ca="1">IFERROR(__xludf.DUMMYFUNCTION("IFERROR(GOOGLEFINANCE(B1944,""pe""),V1944)"),45352)</f>
        <v>45352</v>
      </c>
      <c r="X1944" s="6">
        <v>0</v>
      </c>
      <c r="Y1944" s="6">
        <v>-24.28</v>
      </c>
      <c r="Z1944" s="6">
        <v>-24.25</v>
      </c>
      <c r="AA1944" s="3" t="s">
        <v>5955</v>
      </c>
      <c r="AB1944" s="11"/>
      <c r="AC1944" s="9"/>
      <c r="AD1944" s="9"/>
      <c r="AE1944" s="1">
        <v>0</v>
      </c>
      <c r="AF1944" s="1">
        <f ca="1">IFERROR(__xludf.DUMMYFUNCTION("IFERROR(GOOGLEFINANCE(TRIM(F1944)&amp;"":"" &amp; TRIM(B1944),""high52""),AE1944)"),0)</f>
        <v>0</v>
      </c>
      <c r="AG1944" s="1">
        <v>0</v>
      </c>
      <c r="AH1944" s="1">
        <f ca="1">IFERROR(__xludf.DUMMYFUNCTION("IFERROR(GOOGLEFINANCE(TRIM(F1944)&amp;"":"" &amp; TRIM(B1944),""low52""),AE1944)"),0)</f>
        <v>0</v>
      </c>
      <c r="AI1944" s="1">
        <f ca="1">IFERROR(__xludf.DUMMYFUNCTION("IFERROR(GOOGLEFINANCE(B1944,""eps""),0)"),0)</f>
        <v>0</v>
      </c>
      <c r="AJ1944" s="1"/>
      <c r="AK1944" s="1" t="s">
        <v>5956</v>
      </c>
      <c r="AL1944" s="9">
        <f t="shared" si="225"/>
        <v>1</v>
      </c>
    </row>
    <row r="1945" spans="1:38" ht="15" x14ac:dyDescent="0.25">
      <c r="A1945" s="1" t="s">
        <v>5957</v>
      </c>
      <c r="B1945" s="1" t="s">
        <v>5958</v>
      </c>
      <c r="C1945" s="1" t="s">
        <v>43</v>
      </c>
      <c r="D1945" s="1" t="s">
        <v>208</v>
      </c>
      <c r="E1945" s="6">
        <v>156.6</v>
      </c>
      <c r="F1945" s="1" t="s">
        <v>53</v>
      </c>
      <c r="G1945" s="6">
        <f ca="1">IFERROR(__xludf.DUMMYFUNCTION("iferror(GOOGLEFINANCE(TRIM(F1945)&amp;"":"" &amp; TRIM(B1945), ""price""),0
)"),0)</f>
        <v>0</v>
      </c>
      <c r="H1945" s="6">
        <v>2030</v>
      </c>
      <c r="I1945" s="6">
        <f t="shared" ca="1" si="0"/>
        <v>2030</v>
      </c>
      <c r="J1945" s="6">
        <f ca="1">IFERROR(__xludf.DUMMYFUNCTION("IFERROR(GOOGLEFINANCE(B1945, ""volume""), 0)"),0)</f>
        <v>0</v>
      </c>
      <c r="K1945" s="9"/>
      <c r="L1945" s="6" t="str">
        <f ca="1">IFERROR(__xludf.DUMMYFUNCTION("IFERROR(GOOGLEFINANCE(B1945,""changepct""),K1945)"),"")</f>
        <v/>
      </c>
      <c r="M1945" s="6">
        <f ca="1">IFERROR(__xludf.DUMMYFUNCTION("IFERROR(GOOGLEFINANCE(B1945,""change""),0)"),0)</f>
        <v>0</v>
      </c>
      <c r="N1945" s="6">
        <v>2</v>
      </c>
      <c r="O1945" s="7">
        <v>45536</v>
      </c>
      <c r="P1945" s="6">
        <v>-0.36</v>
      </c>
      <c r="Q1945" s="7">
        <v>45536</v>
      </c>
      <c r="R1945" s="6">
        <v>0</v>
      </c>
      <c r="S1945" s="6">
        <v>0</v>
      </c>
      <c r="T1945" s="6">
        <v>1.28</v>
      </c>
      <c r="U1945" s="6">
        <v>2</v>
      </c>
      <c r="V1945" s="7">
        <v>45352</v>
      </c>
      <c r="W1945" s="10">
        <f ca="1">IFERROR(__xludf.DUMMYFUNCTION("IFERROR(GOOGLEFINANCE(B1945,""pe""),V1945)"),45352)</f>
        <v>45352</v>
      </c>
      <c r="X1945" s="6">
        <v>0</v>
      </c>
      <c r="Y1945" s="6">
        <v>0.6</v>
      </c>
      <c r="Z1945" s="6">
        <v>0.49</v>
      </c>
      <c r="AA1945" s="3" t="s">
        <v>5959</v>
      </c>
      <c r="AB1945" s="11"/>
      <c r="AC1945" s="9"/>
      <c r="AD1945" s="9"/>
      <c r="AE1945" s="1">
        <v>0</v>
      </c>
      <c r="AF1945" s="1">
        <f ca="1">IFERROR(__xludf.DUMMYFUNCTION("IFERROR(GOOGLEFINANCE(TRIM(F1945)&amp;"":"" &amp; TRIM(B1945),""high52""),AE1945)"),0)</f>
        <v>0</v>
      </c>
      <c r="AG1945" s="1">
        <v>0</v>
      </c>
      <c r="AH1945" s="1">
        <f ca="1">IFERROR(__xludf.DUMMYFUNCTION("IFERROR(GOOGLEFINANCE(TRIM(F1945)&amp;"":"" &amp; TRIM(B1945),""low52""),AE1945)"),0)</f>
        <v>0</v>
      </c>
      <c r="AI1945" s="1">
        <f ca="1">IFERROR(__xludf.DUMMYFUNCTION("IFERROR(GOOGLEFINANCE(B1945,""eps""),0)"),0)</f>
        <v>0</v>
      </c>
      <c r="AJ1945" s="1"/>
      <c r="AK1945" s="1" t="s">
        <v>5960</v>
      </c>
      <c r="AL1945" s="9">
        <f t="shared" si="225"/>
        <v>1</v>
      </c>
    </row>
    <row r="1946" spans="1:38" ht="15" x14ac:dyDescent="0.25">
      <c r="A1946" s="1" t="s">
        <v>5961</v>
      </c>
      <c r="B1946" s="1" t="s">
        <v>5962</v>
      </c>
      <c r="C1946" s="1" t="s">
        <v>208</v>
      </c>
      <c r="D1946" s="1" t="s">
        <v>208</v>
      </c>
      <c r="E1946" s="6">
        <v>18.29</v>
      </c>
      <c r="F1946" s="1" t="s">
        <v>53</v>
      </c>
      <c r="G1946" s="6">
        <f ca="1">IFERROR(__xludf.DUMMYFUNCTION("iferror(GOOGLEFINANCE(TRIM(F1946)&amp;"":"" &amp; TRIM(B1946), ""price""),0
)"),0)</f>
        <v>0</v>
      </c>
      <c r="H1946" s="6">
        <v>25.57</v>
      </c>
      <c r="I1946" s="6">
        <f t="shared" ca="1" si="0"/>
        <v>25.57</v>
      </c>
      <c r="J1946" s="6">
        <f ca="1">IFERROR(__xludf.DUMMYFUNCTION("IFERROR(GOOGLEFINANCE(B1946, ""volume""), 0)"),0)</f>
        <v>0</v>
      </c>
      <c r="K1946" s="6">
        <v>4.97</v>
      </c>
      <c r="L1946" s="6">
        <f ca="1">IFERROR(__xludf.DUMMYFUNCTION("IFERROR(GOOGLEFINANCE(B1946,""changepct""),K1946)"),4.97)</f>
        <v>4.97</v>
      </c>
      <c r="M1946" s="6">
        <f ca="1">IFERROR(__xludf.DUMMYFUNCTION("IFERROR(GOOGLEFINANCE(B1946,""change""),0)"),0)</f>
        <v>0</v>
      </c>
      <c r="N1946" s="6">
        <v>1</v>
      </c>
      <c r="O1946" s="7">
        <v>45536</v>
      </c>
      <c r="P1946" s="6">
        <v>-0.41</v>
      </c>
      <c r="Q1946" s="7">
        <v>45536</v>
      </c>
      <c r="R1946" s="6">
        <v>0</v>
      </c>
      <c r="S1946" s="9"/>
      <c r="T1946" s="6">
        <v>1.79</v>
      </c>
      <c r="U1946" s="6">
        <v>1</v>
      </c>
      <c r="V1946" s="7">
        <v>45352</v>
      </c>
      <c r="W1946" s="10">
        <f ca="1">IFERROR(__xludf.DUMMYFUNCTION("IFERROR(GOOGLEFINANCE(B1946,""pe""),V1946)"),45352)</f>
        <v>45352</v>
      </c>
      <c r="X1946" s="6">
        <v>0</v>
      </c>
      <c r="Y1946" s="6">
        <v>-3.76</v>
      </c>
      <c r="Z1946" s="6">
        <v>-3.76</v>
      </c>
      <c r="AA1946" s="3" t="s">
        <v>5963</v>
      </c>
      <c r="AB1946" s="11"/>
      <c r="AC1946" s="9"/>
      <c r="AD1946" s="9"/>
      <c r="AE1946" s="1">
        <v>0</v>
      </c>
      <c r="AF1946" s="1">
        <f ca="1">IFERROR(__xludf.DUMMYFUNCTION("IFERROR(GOOGLEFINANCE(TRIM(F1946)&amp;"":"" &amp; TRIM(B1946),""high52""),AE1946)"),0)</f>
        <v>0</v>
      </c>
      <c r="AG1946" s="1">
        <v>0</v>
      </c>
      <c r="AH1946" s="1">
        <f ca="1">IFERROR(__xludf.DUMMYFUNCTION("IFERROR(GOOGLEFINANCE(TRIM(F1946)&amp;"":"" &amp; TRIM(B1946),""low52""),AE1946)"),0)</f>
        <v>0</v>
      </c>
      <c r="AI1946" s="1">
        <f ca="1">IFERROR(__xludf.DUMMYFUNCTION("IFERROR(GOOGLEFINANCE(B1946,""eps""),0)"),0)</f>
        <v>0</v>
      </c>
      <c r="AJ1946" s="1"/>
      <c r="AK1946" s="1" t="s">
        <v>5964</v>
      </c>
      <c r="AL1946" s="9">
        <f t="shared" si="225"/>
        <v>1</v>
      </c>
    </row>
    <row r="1947" spans="1:38" ht="15" x14ac:dyDescent="0.25">
      <c r="A1947" s="1" t="s">
        <v>5965</v>
      </c>
      <c r="B1947" s="1" t="s">
        <v>5966</v>
      </c>
      <c r="C1947" s="1" t="s">
        <v>208</v>
      </c>
      <c r="D1947" s="1" t="s">
        <v>208</v>
      </c>
      <c r="E1947" s="6">
        <v>91.28</v>
      </c>
      <c r="F1947" s="1" t="s">
        <v>53</v>
      </c>
      <c r="G1947" s="6">
        <f ca="1">IFERROR(__xludf.DUMMYFUNCTION("iferror(GOOGLEFINANCE(TRIM(F1947)&amp;"":"" &amp; TRIM(B1947), ""price""),0
)"),0)</f>
        <v>0</v>
      </c>
      <c r="H1947" s="6">
        <v>10.25</v>
      </c>
      <c r="I1947" s="6">
        <f t="shared" ca="1" si="0"/>
        <v>10.25</v>
      </c>
      <c r="J1947" s="6">
        <f ca="1">IFERROR(__xludf.DUMMYFUNCTION("IFERROR(GOOGLEFINANCE(B1947, ""volume""), 0)"),0)</f>
        <v>0</v>
      </c>
      <c r="K1947" s="6">
        <v>0.59</v>
      </c>
      <c r="L1947" s="6">
        <f ca="1">IFERROR(__xludf.DUMMYFUNCTION("IFERROR(GOOGLEFINANCE(B1947,""changepct""),K1947)"),0.59)</f>
        <v>0.59</v>
      </c>
      <c r="M1947" s="6">
        <f ca="1">IFERROR(__xludf.DUMMYFUNCTION("IFERROR(GOOGLEFINANCE(B1947,""change""),0)"),0)</f>
        <v>0</v>
      </c>
      <c r="N1947" s="6">
        <v>2</v>
      </c>
      <c r="O1947" s="7">
        <v>45536</v>
      </c>
      <c r="P1947" s="6">
        <v>-38.700000000000003</v>
      </c>
      <c r="Q1947" s="7">
        <v>45536</v>
      </c>
      <c r="R1947" s="6">
        <v>0</v>
      </c>
      <c r="S1947" s="9"/>
      <c r="T1947" s="6">
        <v>0.51</v>
      </c>
      <c r="U1947" s="6">
        <v>2</v>
      </c>
      <c r="V1947" s="7">
        <v>45352</v>
      </c>
      <c r="W1947" s="10">
        <f ca="1">IFERROR(__xludf.DUMMYFUNCTION("IFERROR(GOOGLEFINANCE(B1947,""pe""),V1947)"),45352)</f>
        <v>45352</v>
      </c>
      <c r="X1947" s="6">
        <v>0.04</v>
      </c>
      <c r="Y1947" s="6">
        <v>1.46</v>
      </c>
      <c r="Z1947" s="6">
        <v>21.02</v>
      </c>
      <c r="AA1947" s="3" t="s">
        <v>5967</v>
      </c>
      <c r="AB1947" s="11"/>
      <c r="AC1947" s="9"/>
      <c r="AD1947" s="9"/>
      <c r="AE1947" s="1">
        <v>0</v>
      </c>
      <c r="AF1947" s="1">
        <f ca="1">IFERROR(__xludf.DUMMYFUNCTION("IFERROR(GOOGLEFINANCE(TRIM(F1947)&amp;"":"" &amp; TRIM(B1947),""high52""),AE1947)"),0)</f>
        <v>0</v>
      </c>
      <c r="AG1947" s="1">
        <v>0</v>
      </c>
      <c r="AH1947" s="1">
        <f ca="1">IFERROR(__xludf.DUMMYFUNCTION("IFERROR(GOOGLEFINANCE(TRIM(F1947)&amp;"":"" &amp; TRIM(B1947),""low52""),AE1947)"),0)</f>
        <v>0</v>
      </c>
      <c r="AI1947" s="1">
        <f ca="1">IFERROR(__xludf.DUMMYFUNCTION("IFERROR(GOOGLEFINANCE(B1947,""eps""),0)"),0)</f>
        <v>0</v>
      </c>
      <c r="AJ1947" s="1"/>
      <c r="AK1947" s="1" t="s">
        <v>5968</v>
      </c>
      <c r="AL1947" s="9">
        <f t="shared" si="225"/>
        <v>1</v>
      </c>
    </row>
    <row r="1948" spans="1:38" ht="15" x14ac:dyDescent="0.25">
      <c r="A1948" s="1" t="s">
        <v>5969</v>
      </c>
      <c r="B1948" s="1" t="s">
        <v>5970</v>
      </c>
      <c r="C1948" s="1" t="s">
        <v>208</v>
      </c>
      <c r="D1948" s="1" t="s">
        <v>208</v>
      </c>
      <c r="E1948" s="6">
        <v>11.08</v>
      </c>
      <c r="F1948" s="1" t="s">
        <v>53</v>
      </c>
      <c r="G1948" s="6">
        <f ca="1">IFERROR(__xludf.DUMMYFUNCTION("iferror(GOOGLEFINANCE(TRIM(F1948)&amp;"":"" &amp; TRIM(B1948), ""price""),0
)"),0)</f>
        <v>0</v>
      </c>
      <c r="H1948" s="6">
        <v>0.95</v>
      </c>
      <c r="I1948" s="6">
        <f t="shared" ca="1" si="0"/>
        <v>0.95</v>
      </c>
      <c r="J1948" s="6">
        <f ca="1">IFERROR(__xludf.DUMMYFUNCTION("IFERROR(GOOGLEFINANCE(B1948, ""volume""), 0)"),0)</f>
        <v>0</v>
      </c>
      <c r="K1948" s="6">
        <v>0</v>
      </c>
      <c r="L1948" s="6">
        <f ca="1">IFERROR(__xludf.DUMMYFUNCTION("IFERROR(GOOGLEFINANCE(B1948,""changepct""),K1948)"),0)</f>
        <v>0</v>
      </c>
      <c r="M1948" s="6">
        <f ca="1">IFERROR(__xludf.DUMMYFUNCTION("IFERROR(GOOGLEFINANCE(B1948,""change""),0)"),0)</f>
        <v>0</v>
      </c>
      <c r="N1948" s="6">
        <v>1</v>
      </c>
      <c r="O1948" s="7">
        <v>45444</v>
      </c>
      <c r="P1948" s="6">
        <v>-2.46</v>
      </c>
      <c r="Q1948" s="7">
        <v>45444</v>
      </c>
      <c r="R1948" s="6">
        <v>0</v>
      </c>
      <c r="S1948" s="9"/>
      <c r="T1948" s="6">
        <v>0.85</v>
      </c>
      <c r="U1948" s="6">
        <v>1</v>
      </c>
      <c r="V1948" s="7">
        <v>45352</v>
      </c>
      <c r="W1948" s="10">
        <f ca="1">IFERROR(__xludf.DUMMYFUNCTION("IFERROR(GOOGLEFINANCE(B1948,""pe""),V1948)"),45352)</f>
        <v>45352</v>
      </c>
      <c r="X1948" s="6">
        <v>0.1</v>
      </c>
      <c r="Y1948" s="6">
        <v>-18.14</v>
      </c>
      <c r="Z1948" s="6">
        <v>-17.3</v>
      </c>
      <c r="AA1948" s="3" t="s">
        <v>5971</v>
      </c>
      <c r="AB1948" s="11"/>
      <c r="AC1948" s="9"/>
      <c r="AD1948" s="9"/>
      <c r="AE1948" s="1">
        <v>0</v>
      </c>
      <c r="AF1948" s="1">
        <f ca="1">IFERROR(__xludf.DUMMYFUNCTION("IFERROR(GOOGLEFINANCE(TRIM(F1948)&amp;"":"" &amp; TRIM(B1948),""high52""),AE1948)"),0)</f>
        <v>0</v>
      </c>
      <c r="AG1948" s="1">
        <v>0</v>
      </c>
      <c r="AH1948" s="1">
        <f ca="1">IFERROR(__xludf.DUMMYFUNCTION("IFERROR(GOOGLEFINANCE(TRIM(F1948)&amp;"":"" &amp; TRIM(B1948),""low52""),AE1948)"),0)</f>
        <v>0</v>
      </c>
      <c r="AI1948" s="1">
        <f ca="1">IFERROR(__xludf.DUMMYFUNCTION("IFERROR(GOOGLEFINANCE(B1948,""eps""),0)"),0)</f>
        <v>0</v>
      </c>
      <c r="AJ1948" s="1"/>
      <c r="AK1948" s="1" t="s">
        <v>5972</v>
      </c>
      <c r="AL1948" s="9">
        <f t="shared" si="225"/>
        <v>1</v>
      </c>
    </row>
    <row r="1949" spans="1:38" ht="15" x14ac:dyDescent="0.25">
      <c r="A1949" s="1" t="s">
        <v>5973</v>
      </c>
      <c r="B1949" s="1" t="s">
        <v>5974</v>
      </c>
      <c r="C1949" s="1" t="s">
        <v>208</v>
      </c>
      <c r="D1949" s="1" t="s">
        <v>208</v>
      </c>
      <c r="E1949" s="6">
        <v>4.03</v>
      </c>
      <c r="F1949" s="1" t="s">
        <v>53</v>
      </c>
      <c r="G1949" s="6">
        <f ca="1">IFERROR(__xludf.DUMMYFUNCTION("iferror(GOOGLEFINANCE(TRIM(F1949)&amp;"":"" &amp; TRIM(B1949), ""price""),0
)"),0)</f>
        <v>0</v>
      </c>
      <c r="H1949" s="6">
        <v>4.03</v>
      </c>
      <c r="I1949" s="6">
        <f t="shared" ca="1" si="0"/>
        <v>4.03</v>
      </c>
      <c r="J1949" s="6">
        <f ca="1">IFERROR(__xludf.DUMMYFUNCTION("IFERROR(GOOGLEFINANCE(B1949, ""volume""), 0)"),0)</f>
        <v>0</v>
      </c>
      <c r="K1949" s="9"/>
      <c r="L1949" s="6" t="str">
        <f ca="1">IFERROR(__xludf.DUMMYFUNCTION("IFERROR(GOOGLEFINANCE(B1949,""changepct""),K1949)"),"")</f>
        <v/>
      </c>
      <c r="M1949" s="6">
        <f ca="1">IFERROR(__xludf.DUMMYFUNCTION("IFERROR(GOOGLEFINANCE(B1949,""change""),0)"),0)</f>
        <v>0</v>
      </c>
      <c r="N1949" s="6">
        <v>1</v>
      </c>
      <c r="O1949" s="7">
        <v>45536</v>
      </c>
      <c r="P1949" s="6">
        <v>-0.39</v>
      </c>
      <c r="Q1949" s="7">
        <v>45536</v>
      </c>
      <c r="R1949" s="6">
        <v>0</v>
      </c>
      <c r="S1949" s="6">
        <v>0</v>
      </c>
      <c r="T1949" s="6">
        <v>-7.1</v>
      </c>
      <c r="U1949" s="6">
        <v>1</v>
      </c>
      <c r="V1949" s="7">
        <v>45352</v>
      </c>
      <c r="W1949" s="10">
        <f ca="1">IFERROR(__xludf.DUMMYFUNCTION("IFERROR(GOOGLEFINANCE(B1949,""pe""),V1949)"),45352)</f>
        <v>45352</v>
      </c>
      <c r="X1949" s="6">
        <v>-6.1</v>
      </c>
      <c r="Y1949" s="6">
        <v>0</v>
      </c>
      <c r="Z1949" s="6">
        <v>7.35</v>
      </c>
      <c r="AA1949" s="3" t="s">
        <v>5975</v>
      </c>
      <c r="AB1949" s="11"/>
      <c r="AC1949" s="9"/>
      <c r="AD1949" s="9"/>
      <c r="AE1949" s="1">
        <v>0</v>
      </c>
      <c r="AF1949" s="1">
        <f ca="1">IFERROR(__xludf.DUMMYFUNCTION("IFERROR(GOOGLEFINANCE(TRIM(F1949)&amp;"":"" &amp; TRIM(B1949),""high52""),AE1949)"),0)</f>
        <v>0</v>
      </c>
      <c r="AG1949" s="1">
        <v>0</v>
      </c>
      <c r="AH1949" s="1">
        <f ca="1">IFERROR(__xludf.DUMMYFUNCTION("IFERROR(GOOGLEFINANCE(TRIM(F1949)&amp;"":"" &amp; TRIM(B1949),""low52""),AE1949)"),0)</f>
        <v>0</v>
      </c>
      <c r="AI1949" s="1">
        <f ca="1">IFERROR(__xludf.DUMMYFUNCTION("IFERROR(GOOGLEFINANCE(B1949,""eps""),0)"),0)</f>
        <v>0</v>
      </c>
      <c r="AJ1949" s="1"/>
      <c r="AK1949" s="1" t="s">
        <v>5976</v>
      </c>
      <c r="AL1949" s="9">
        <f t="shared" si="225"/>
        <v>1</v>
      </c>
    </row>
    <row r="1950" spans="1:38" ht="15" x14ac:dyDescent="0.25">
      <c r="A1950" s="1" t="s">
        <v>5977</v>
      </c>
      <c r="B1950" s="1" t="s">
        <v>5978</v>
      </c>
      <c r="C1950" s="1" t="s">
        <v>208</v>
      </c>
      <c r="D1950" s="1" t="s">
        <v>208</v>
      </c>
      <c r="E1950" s="6">
        <v>187.83</v>
      </c>
      <c r="F1950" s="1" t="s">
        <v>53</v>
      </c>
      <c r="G1950" s="6">
        <f ca="1">IFERROR(__xludf.DUMMYFUNCTION("iferror(GOOGLEFINANCE(TRIM(F1950)&amp;"":"" &amp; TRIM(B1950), ""price""),0
)"),0)</f>
        <v>0</v>
      </c>
      <c r="H1950" s="6">
        <v>35.75</v>
      </c>
      <c r="I1950" s="6">
        <f t="shared" ca="1" si="0"/>
        <v>35.75</v>
      </c>
      <c r="J1950" s="6">
        <f ca="1">IFERROR(__xludf.DUMMYFUNCTION("IFERROR(GOOGLEFINANCE(B1950, ""volume""), 0)"),0)</f>
        <v>0</v>
      </c>
      <c r="K1950" s="6">
        <v>-2.0499999999999998</v>
      </c>
      <c r="L1950" s="6">
        <f ca="1">IFERROR(__xludf.DUMMYFUNCTION("IFERROR(GOOGLEFINANCE(B1950,""changepct""),K1950)"),-2.05)</f>
        <v>-2.0499999999999998</v>
      </c>
      <c r="M1950" s="6">
        <f ca="1">IFERROR(__xludf.DUMMYFUNCTION("IFERROR(GOOGLEFINANCE(B1950,""change""),0)"),0)</f>
        <v>0</v>
      </c>
      <c r="N1950" s="6">
        <v>2</v>
      </c>
      <c r="O1950" s="7">
        <v>45536</v>
      </c>
      <c r="P1950" s="6">
        <v>-6.82</v>
      </c>
      <c r="Q1950" s="7">
        <v>45536</v>
      </c>
      <c r="R1950" s="6">
        <v>0</v>
      </c>
      <c r="S1950" s="9"/>
      <c r="T1950" s="6">
        <v>2.6</v>
      </c>
      <c r="U1950" s="6">
        <v>2</v>
      </c>
      <c r="V1950" s="7">
        <v>45352</v>
      </c>
      <c r="W1950" s="10">
        <f ca="1">IFERROR(__xludf.DUMMYFUNCTION("IFERROR(GOOGLEFINANCE(B1950,""pe""),V1950)"),45352)</f>
        <v>45352</v>
      </c>
      <c r="X1950" s="6">
        <v>0.28999999999999998</v>
      </c>
      <c r="Y1950" s="6">
        <v>2.75</v>
      </c>
      <c r="Z1950" s="6">
        <v>3.2</v>
      </c>
      <c r="AA1950" s="3" t="s">
        <v>5979</v>
      </c>
      <c r="AB1950" s="11"/>
      <c r="AC1950" s="9"/>
      <c r="AD1950" s="9"/>
      <c r="AE1950" s="1">
        <v>0</v>
      </c>
      <c r="AF1950" s="1">
        <f ca="1">IFERROR(__xludf.DUMMYFUNCTION("IFERROR(GOOGLEFINANCE(TRIM(F1950)&amp;"":"" &amp; TRIM(B1950),""high52""),AE1950)"),0)</f>
        <v>0</v>
      </c>
      <c r="AG1950" s="1">
        <v>0</v>
      </c>
      <c r="AH1950" s="1">
        <f ca="1">IFERROR(__xludf.DUMMYFUNCTION("IFERROR(GOOGLEFINANCE(TRIM(F1950)&amp;"":"" &amp; TRIM(B1950),""low52""),AE1950)"),0)</f>
        <v>0</v>
      </c>
      <c r="AI1950" s="1">
        <f ca="1">IFERROR(__xludf.DUMMYFUNCTION("IFERROR(GOOGLEFINANCE(B1950,""eps""),0)"),0)</f>
        <v>0</v>
      </c>
      <c r="AJ1950" s="1"/>
      <c r="AK1950" s="1" t="s">
        <v>5980</v>
      </c>
      <c r="AL1950" s="9">
        <f t="shared" si="225"/>
        <v>1</v>
      </c>
    </row>
    <row r="1951" spans="1:38" ht="15" x14ac:dyDescent="0.25">
      <c r="A1951" s="1" t="s">
        <v>5981</v>
      </c>
      <c r="B1951" s="1" t="s">
        <v>5982</v>
      </c>
      <c r="C1951" s="1" t="s">
        <v>208</v>
      </c>
      <c r="D1951" s="1" t="s">
        <v>208</v>
      </c>
      <c r="E1951" s="6">
        <v>6.85</v>
      </c>
      <c r="F1951" s="1" t="s">
        <v>53</v>
      </c>
      <c r="G1951" s="6">
        <f ca="1">IFERROR(__xludf.DUMMYFUNCTION("iferror(GOOGLEFINANCE(TRIM(F1951)&amp;"":"" &amp; TRIM(B1951), ""price""),0
)"),0)</f>
        <v>0</v>
      </c>
      <c r="H1951" s="6">
        <v>72.75</v>
      </c>
      <c r="I1951" s="6">
        <f t="shared" ca="1" si="0"/>
        <v>72.75</v>
      </c>
      <c r="J1951" s="6">
        <f ca="1">IFERROR(__xludf.DUMMYFUNCTION("IFERROR(GOOGLEFINANCE(B1951, ""volume""), 0)"),0)</f>
        <v>0</v>
      </c>
      <c r="K1951" s="6">
        <v>1.99</v>
      </c>
      <c r="L1951" s="6">
        <f ca="1">IFERROR(__xludf.DUMMYFUNCTION("IFERROR(GOOGLEFINANCE(B1951,""changepct""),K1951)"),1.99)</f>
        <v>1.99</v>
      </c>
      <c r="M1951" s="6">
        <f ca="1">IFERROR(__xludf.DUMMYFUNCTION("IFERROR(GOOGLEFINANCE(B1951,""change""),0)"),0)</f>
        <v>0</v>
      </c>
      <c r="N1951" s="6">
        <v>1</v>
      </c>
      <c r="O1951" s="7">
        <v>45536</v>
      </c>
      <c r="P1951" s="6">
        <v>-0.42</v>
      </c>
      <c r="Q1951" s="7">
        <v>45536</v>
      </c>
      <c r="R1951" s="6">
        <v>0</v>
      </c>
      <c r="S1951" s="6">
        <v>0</v>
      </c>
      <c r="T1951" s="6">
        <v>-4.12</v>
      </c>
      <c r="U1951" s="6">
        <v>1</v>
      </c>
      <c r="V1951" s="7">
        <v>45352</v>
      </c>
      <c r="W1951" s="10">
        <f ca="1">IFERROR(__xludf.DUMMYFUNCTION("IFERROR(GOOGLEFINANCE(B1951,""pe""),V1951)"),45352)</f>
        <v>45352</v>
      </c>
      <c r="X1951" s="6">
        <v>-1.8</v>
      </c>
      <c r="Y1951" s="6">
        <v>0</v>
      </c>
      <c r="Z1951" s="6">
        <v>-11.59</v>
      </c>
      <c r="AA1951" s="3" t="s">
        <v>5983</v>
      </c>
      <c r="AB1951" s="11"/>
      <c r="AC1951" s="9"/>
      <c r="AD1951" s="9"/>
      <c r="AE1951" s="1">
        <v>0</v>
      </c>
      <c r="AF1951" s="1">
        <f ca="1">IFERROR(__xludf.DUMMYFUNCTION("IFERROR(GOOGLEFINANCE(TRIM(F1951)&amp;"":"" &amp; TRIM(B1951),""high52""),AE1951)"),0)</f>
        <v>0</v>
      </c>
      <c r="AG1951" s="1">
        <v>0</v>
      </c>
      <c r="AH1951" s="1">
        <f ca="1">IFERROR(__xludf.DUMMYFUNCTION("IFERROR(GOOGLEFINANCE(TRIM(F1951)&amp;"":"" &amp; TRIM(B1951),""low52""),AE1951)"),0)</f>
        <v>0</v>
      </c>
      <c r="AI1951" s="1">
        <f ca="1">IFERROR(__xludf.DUMMYFUNCTION("IFERROR(GOOGLEFINANCE(B1951,""eps""),0)"),0)</f>
        <v>0</v>
      </c>
      <c r="AJ1951" s="1"/>
      <c r="AK1951" s="1" t="s">
        <v>5984</v>
      </c>
      <c r="AL1951" s="9">
        <f t="shared" si="225"/>
        <v>1</v>
      </c>
    </row>
    <row r="1952" spans="1:38" ht="15" x14ac:dyDescent="0.25">
      <c r="A1952" s="1" t="s">
        <v>5985</v>
      </c>
      <c r="B1952" s="1" t="s">
        <v>5986</v>
      </c>
      <c r="C1952" s="1" t="s">
        <v>1528</v>
      </c>
      <c r="D1952" s="1" t="s">
        <v>1528</v>
      </c>
      <c r="E1952" s="6">
        <v>248.62</v>
      </c>
      <c r="F1952" s="1" t="s">
        <v>40</v>
      </c>
      <c r="G1952" s="6">
        <f ca="1">IFERROR(__xludf.DUMMYFUNCTION("iferror(GOOGLEFINANCE(TRIM(F1952)&amp;"":"" &amp; TRIM(B1952), ""price""),0
)"),610)</f>
        <v>610</v>
      </c>
      <c r="H1952" s="6">
        <v>699.2</v>
      </c>
      <c r="I1952" s="6">
        <f t="shared" ca="1" si="0"/>
        <v>610</v>
      </c>
      <c r="J1952" s="6">
        <f ca="1">IFERROR(__xludf.DUMMYFUNCTION("IFERROR(GOOGLEFINANCE(B1952, ""volume""), 0)"),800)</f>
        <v>800</v>
      </c>
      <c r="K1952" s="6">
        <v>2.6</v>
      </c>
      <c r="L1952" s="6">
        <f ca="1">IFERROR(__xludf.DUMMYFUNCTION("IFERROR(GOOGLEFINANCE(B1952,""changepct""),K1952)"),-2.9)</f>
        <v>-2.9</v>
      </c>
      <c r="M1952" s="6">
        <f ca="1">IFERROR(__xludf.DUMMYFUNCTION("IFERROR(GOOGLEFINANCE(B1952,""change""),0)"),-18.25)</f>
        <v>-18.25</v>
      </c>
      <c r="N1952" s="6">
        <v>1</v>
      </c>
      <c r="O1952" s="7">
        <v>45536</v>
      </c>
      <c r="P1952" s="6">
        <v>65.23</v>
      </c>
      <c r="Q1952" s="6">
        <v>304.67</v>
      </c>
      <c r="R1952" s="7">
        <v>45536</v>
      </c>
      <c r="S1952" s="6">
        <v>235.59</v>
      </c>
      <c r="T1952" s="6">
        <v>6.49</v>
      </c>
      <c r="U1952" s="7">
        <v>45536</v>
      </c>
      <c r="V1952" s="6">
        <v>38.31</v>
      </c>
      <c r="W1952" s="6">
        <f ca="1">IFERROR(__xludf.DUMMYFUNCTION("IFERROR(GOOGLEFINANCE(B1952,""pe""),V1952)"),29.19)</f>
        <v>29.19</v>
      </c>
      <c r="X1952" s="6">
        <v>-4.7</v>
      </c>
      <c r="Y1952" s="6">
        <v>2.88</v>
      </c>
      <c r="Z1952" s="6">
        <v>1</v>
      </c>
      <c r="AA1952" s="8">
        <v>45352</v>
      </c>
      <c r="AB1952" s="4">
        <v>0.74</v>
      </c>
      <c r="AC1952" s="6">
        <v>5.7</v>
      </c>
      <c r="AD1952" s="6">
        <v>8.9</v>
      </c>
      <c r="AE1952" s="1">
        <v>0</v>
      </c>
      <c r="AF1952" s="1">
        <f ca="1">IFERROR(__xludf.DUMMYFUNCTION("IFERROR(GOOGLEFINANCE(TRIM(F1952)&amp;"":"" &amp; TRIM(B1952),""high52""),AE1952)"),890)</f>
        <v>890</v>
      </c>
      <c r="AG1952" s="1">
        <v>0</v>
      </c>
      <c r="AH1952" s="1">
        <f ca="1">IFERROR(__xludf.DUMMYFUNCTION("IFERROR(GOOGLEFINANCE(TRIM(F1952)&amp;"":"" &amp; TRIM(B1952),""low52""),AE1952)"),488.15)</f>
        <v>488.15</v>
      </c>
      <c r="AI1952" s="1">
        <f ca="1">IFERROR(__xludf.DUMMYFUNCTION("IFERROR(GOOGLEFINANCE(B1952,""eps""),0)"),20.89)</f>
        <v>20.89</v>
      </c>
      <c r="AJ1952" s="1"/>
      <c r="AK1952" s="1" t="s">
        <v>5987</v>
      </c>
      <c r="AL1952" s="9">
        <f t="shared" si="225"/>
        <v>1</v>
      </c>
    </row>
    <row r="1953" spans="1:38" ht="15" x14ac:dyDescent="0.25">
      <c r="A1953" s="1" t="s">
        <v>5988</v>
      </c>
      <c r="B1953" s="1" t="s">
        <v>5989</v>
      </c>
      <c r="C1953" s="1" t="s">
        <v>208</v>
      </c>
      <c r="D1953" s="1" t="s">
        <v>208</v>
      </c>
      <c r="E1953" s="6">
        <v>52.5</v>
      </c>
      <c r="F1953" s="1" t="s">
        <v>53</v>
      </c>
      <c r="G1953" s="6">
        <f ca="1">IFERROR(__xludf.DUMMYFUNCTION("iferror(GOOGLEFINANCE(TRIM(F1953)&amp;"":"" &amp; TRIM(B1953), ""price""),0
)"),0)</f>
        <v>0</v>
      </c>
      <c r="H1953" s="6">
        <v>43</v>
      </c>
      <c r="I1953" s="6">
        <f t="shared" ca="1" si="0"/>
        <v>43</v>
      </c>
      <c r="J1953" s="6">
        <f ca="1">IFERROR(__xludf.DUMMYFUNCTION("IFERROR(GOOGLEFINANCE(B1953, ""volume""), 0)"),0)</f>
        <v>0</v>
      </c>
      <c r="K1953" s="6">
        <v>-4.2300000000000004</v>
      </c>
      <c r="L1953" s="6">
        <f ca="1">IFERROR(__xludf.DUMMYFUNCTION("IFERROR(GOOGLEFINANCE(B1953,""changepct""),K1953)"),-4.23)</f>
        <v>-4.2300000000000004</v>
      </c>
      <c r="M1953" s="6">
        <f ca="1">IFERROR(__xludf.DUMMYFUNCTION("IFERROR(GOOGLEFINANCE(B1953,""change""),0)"),0)</f>
        <v>0</v>
      </c>
      <c r="N1953" s="6">
        <v>1</v>
      </c>
      <c r="O1953" s="7">
        <v>45536</v>
      </c>
      <c r="P1953" s="6">
        <v>-0.53</v>
      </c>
      <c r="Q1953" s="7">
        <v>45536</v>
      </c>
      <c r="R1953" s="6">
        <v>0</v>
      </c>
      <c r="S1953" s="6">
        <v>0</v>
      </c>
      <c r="T1953" s="6">
        <v>4.4400000000000004</v>
      </c>
      <c r="U1953" s="6">
        <v>1</v>
      </c>
      <c r="V1953" s="7">
        <v>45352</v>
      </c>
      <c r="W1953" s="10">
        <f ca="1">IFERROR(__xludf.DUMMYFUNCTION("IFERROR(GOOGLEFINANCE(B1953,""pe""),V1953)"),45352)</f>
        <v>45352</v>
      </c>
      <c r="X1953" s="6">
        <v>0.02</v>
      </c>
      <c r="Y1953" s="6">
        <v>0.09</v>
      </c>
      <c r="Z1953" s="6">
        <v>1.28</v>
      </c>
      <c r="AA1953" s="3" t="s">
        <v>5990</v>
      </c>
      <c r="AB1953" s="11"/>
      <c r="AC1953" s="9"/>
      <c r="AD1953" s="9"/>
      <c r="AE1953" s="1">
        <v>0</v>
      </c>
      <c r="AF1953" s="1">
        <f ca="1">IFERROR(__xludf.DUMMYFUNCTION("IFERROR(GOOGLEFINANCE(TRIM(F1953)&amp;"":"" &amp; TRIM(B1953),""high52""),AE1953)"),0)</f>
        <v>0</v>
      </c>
      <c r="AG1953" s="1">
        <v>0</v>
      </c>
      <c r="AH1953" s="1">
        <f ca="1">IFERROR(__xludf.DUMMYFUNCTION("IFERROR(GOOGLEFINANCE(TRIM(F1953)&amp;"":"" &amp; TRIM(B1953),""low52""),AE1953)"),0)</f>
        <v>0</v>
      </c>
      <c r="AI1953" s="1">
        <f ca="1">IFERROR(__xludf.DUMMYFUNCTION("IFERROR(GOOGLEFINANCE(B1953,""eps""),0)"),0)</f>
        <v>0</v>
      </c>
      <c r="AJ1953" s="1"/>
      <c r="AK1953" s="1" t="s">
        <v>5991</v>
      </c>
      <c r="AL1953" s="9">
        <f t="shared" si="225"/>
        <v>1</v>
      </c>
    </row>
    <row r="1954" spans="1:38" ht="15" x14ac:dyDescent="0.25">
      <c r="A1954" s="1" t="s">
        <v>5992</v>
      </c>
      <c r="B1954" s="1" t="s">
        <v>5993</v>
      </c>
      <c r="C1954" s="1" t="s">
        <v>43</v>
      </c>
      <c r="D1954" s="1" t="s">
        <v>43</v>
      </c>
      <c r="E1954" s="6">
        <v>2647.14</v>
      </c>
      <c r="F1954" s="1" t="s">
        <v>40</v>
      </c>
      <c r="G1954" s="6">
        <f ca="1">IFERROR(__xludf.DUMMYFUNCTION("iferror(GOOGLEFINANCE(TRIM(F1954)&amp;"":"" &amp; TRIM(B1954), ""price""),0
)"),4640)</f>
        <v>4640</v>
      </c>
      <c r="H1954" s="6">
        <v>6093.1</v>
      </c>
      <c r="I1954" s="6">
        <f t="shared" ca="1" si="0"/>
        <v>4640</v>
      </c>
      <c r="J1954" s="6">
        <f ca="1">IFERROR(__xludf.DUMMYFUNCTION("IFERROR(GOOGLEFINANCE(B1954, ""volume""), 0)"),2106)</f>
        <v>2106</v>
      </c>
      <c r="K1954" s="6">
        <v>0.63</v>
      </c>
      <c r="L1954" s="6">
        <f ca="1">IFERROR(__xludf.DUMMYFUNCTION("IFERROR(GOOGLEFINANCE(B1954,""changepct""),K1954)"),0.69)</f>
        <v>0.69</v>
      </c>
      <c r="M1954" s="6">
        <f ca="1">IFERROR(__xludf.DUMMYFUNCTION("IFERROR(GOOGLEFINANCE(B1954,""change""),0)"),31.7)</f>
        <v>31.7</v>
      </c>
      <c r="N1954" s="6">
        <v>2</v>
      </c>
      <c r="O1954" s="7">
        <v>45536</v>
      </c>
      <c r="P1954" s="6">
        <v>54.84</v>
      </c>
      <c r="Q1954" s="7">
        <v>45536</v>
      </c>
      <c r="R1954" s="6">
        <v>33.99</v>
      </c>
      <c r="S1954" s="6">
        <v>12.23</v>
      </c>
      <c r="T1954" s="6">
        <v>0.25</v>
      </c>
      <c r="U1954" s="6">
        <v>2</v>
      </c>
      <c r="V1954" s="7">
        <v>45352</v>
      </c>
      <c r="W1954" s="6">
        <f ca="1">IFERROR(__xludf.DUMMYFUNCTION("IFERROR(GOOGLEFINANCE(B1954,""pe""),V1954)"),45.36)</f>
        <v>45.36</v>
      </c>
      <c r="X1954" s="6">
        <v>0</v>
      </c>
      <c r="Y1954" s="6">
        <v>0.99</v>
      </c>
      <c r="Z1954" s="6">
        <v>1.29</v>
      </c>
      <c r="AA1954" s="3" t="s">
        <v>5994</v>
      </c>
      <c r="AB1954" s="11"/>
      <c r="AC1954" s="9"/>
      <c r="AD1954" s="9"/>
      <c r="AE1954" s="1">
        <v>0</v>
      </c>
      <c r="AF1954" s="1">
        <f ca="1">IFERROR(__xludf.DUMMYFUNCTION("IFERROR(GOOGLEFINANCE(TRIM(F1954)&amp;"":"" &amp; TRIM(B1954),""high52""),AE1954)"),6554.9)</f>
        <v>6554.9</v>
      </c>
      <c r="AG1954" s="1">
        <v>0</v>
      </c>
      <c r="AH1954" s="1">
        <f ca="1">IFERROR(__xludf.DUMMYFUNCTION("IFERROR(GOOGLEFINANCE(TRIM(F1954)&amp;"":"" &amp; TRIM(B1954),""low52""),AE1954)"),3470)</f>
        <v>3470</v>
      </c>
      <c r="AI1954" s="1">
        <f ca="1">IFERROR(__xludf.DUMMYFUNCTION("IFERROR(GOOGLEFINANCE(B1954,""eps""),0)"),102.29)</f>
        <v>102.29</v>
      </c>
      <c r="AJ1954" s="1"/>
      <c r="AK1954" s="1" t="s">
        <v>5995</v>
      </c>
      <c r="AL1954" s="9">
        <f t="shared" si="225"/>
        <v>1</v>
      </c>
    </row>
    <row r="1955" spans="1:38" ht="15" x14ac:dyDescent="0.25">
      <c r="A1955" s="1" t="s">
        <v>5996</v>
      </c>
      <c r="B1955" s="1" t="s">
        <v>5997</v>
      </c>
      <c r="C1955" s="1" t="s">
        <v>208</v>
      </c>
      <c r="D1955" s="1" t="s">
        <v>208</v>
      </c>
      <c r="E1955" s="6">
        <v>11.45</v>
      </c>
      <c r="F1955" s="1" t="s">
        <v>53</v>
      </c>
      <c r="G1955" s="6">
        <f ca="1">IFERROR(__xludf.DUMMYFUNCTION("iferror(GOOGLEFINANCE(TRIM(F1955)&amp;"":"" &amp; TRIM(B1955), ""price""),0
)"),0)</f>
        <v>0</v>
      </c>
      <c r="H1955" s="6">
        <v>22.5</v>
      </c>
      <c r="I1955" s="6">
        <f t="shared" ca="1" si="0"/>
        <v>22.5</v>
      </c>
      <c r="J1955" s="6">
        <f ca="1">IFERROR(__xludf.DUMMYFUNCTION("IFERROR(GOOGLEFINANCE(B1955, ""volume""), 0)"),0)</f>
        <v>0</v>
      </c>
      <c r="K1955" s="6">
        <v>-1.53</v>
      </c>
      <c r="L1955" s="6">
        <f ca="1">IFERROR(__xludf.DUMMYFUNCTION("IFERROR(GOOGLEFINANCE(B1955,""changepct""),K1955)"),-1.53)</f>
        <v>-1.53</v>
      </c>
      <c r="M1955" s="6">
        <f ca="1">IFERROR(__xludf.DUMMYFUNCTION("IFERROR(GOOGLEFINANCE(B1955,""change""),0)"),0)</f>
        <v>0</v>
      </c>
      <c r="N1955" s="6">
        <v>1</v>
      </c>
      <c r="O1955" s="7">
        <v>45536</v>
      </c>
      <c r="P1955" s="6">
        <v>-0.15</v>
      </c>
      <c r="Q1955" s="7">
        <v>45536</v>
      </c>
      <c r="R1955" s="6">
        <v>0</v>
      </c>
      <c r="S1955" s="6">
        <v>0</v>
      </c>
      <c r="T1955" s="6">
        <v>8.16</v>
      </c>
      <c r="U1955" s="6">
        <v>1</v>
      </c>
      <c r="V1955" s="7">
        <v>45352</v>
      </c>
      <c r="W1955" s="10">
        <f ca="1">IFERROR(__xludf.DUMMYFUNCTION("IFERROR(GOOGLEFINANCE(B1955,""pe""),V1955)"),45352)</f>
        <v>45352</v>
      </c>
      <c r="X1955" s="6">
        <v>0</v>
      </c>
      <c r="Y1955" s="6">
        <v>0.4</v>
      </c>
      <c r="Z1955" s="6">
        <v>0.4</v>
      </c>
      <c r="AA1955" s="3" t="s">
        <v>5998</v>
      </c>
      <c r="AB1955" s="11"/>
      <c r="AC1955" s="9"/>
      <c r="AD1955" s="9"/>
      <c r="AE1955" s="1">
        <v>0</v>
      </c>
      <c r="AF1955" s="1">
        <f ca="1">IFERROR(__xludf.DUMMYFUNCTION("IFERROR(GOOGLEFINANCE(TRIM(F1955)&amp;"":"" &amp; TRIM(B1955),""high52""),AE1955)"),0)</f>
        <v>0</v>
      </c>
      <c r="AG1955" s="1">
        <v>0</v>
      </c>
      <c r="AH1955" s="1">
        <f ca="1">IFERROR(__xludf.DUMMYFUNCTION("IFERROR(GOOGLEFINANCE(TRIM(F1955)&amp;"":"" &amp; TRIM(B1955),""low52""),AE1955)"),0)</f>
        <v>0</v>
      </c>
      <c r="AI1955" s="1">
        <f ca="1">IFERROR(__xludf.DUMMYFUNCTION("IFERROR(GOOGLEFINANCE(B1955,""eps""),0)"),0)</f>
        <v>0</v>
      </c>
      <c r="AJ1955" s="1"/>
      <c r="AK1955" s="1" t="s">
        <v>5999</v>
      </c>
      <c r="AL1955" s="9">
        <f t="shared" si="225"/>
        <v>1</v>
      </c>
    </row>
    <row r="1956" spans="1:38" ht="15" x14ac:dyDescent="0.25">
      <c r="A1956" s="1" t="s">
        <v>6000</v>
      </c>
      <c r="B1956" s="1" t="s">
        <v>6001</v>
      </c>
      <c r="C1956" s="1" t="s">
        <v>208</v>
      </c>
      <c r="D1956" s="1" t="s">
        <v>208</v>
      </c>
      <c r="E1956" s="6">
        <v>19.72</v>
      </c>
      <c r="F1956" s="1" t="s">
        <v>53</v>
      </c>
      <c r="G1956" s="6">
        <f ca="1">IFERROR(__xludf.DUMMYFUNCTION("iferror(GOOGLEFINANCE(TRIM(F1956)&amp;"":"" &amp; TRIM(B1956), ""price""),0
)"),0)</f>
        <v>0</v>
      </c>
      <c r="H1956" s="6">
        <v>16.989999999999998</v>
      </c>
      <c r="I1956" s="6">
        <f t="shared" ca="1" si="0"/>
        <v>16.989999999999998</v>
      </c>
      <c r="J1956" s="6">
        <f ca="1">IFERROR(__xludf.DUMMYFUNCTION("IFERROR(GOOGLEFINANCE(B1956, ""volume""), 0)"),0)</f>
        <v>0</v>
      </c>
      <c r="K1956" s="6">
        <v>1.07</v>
      </c>
      <c r="L1956" s="6">
        <f ca="1">IFERROR(__xludf.DUMMYFUNCTION("IFERROR(GOOGLEFINANCE(B1956,""changepct""),K1956)"),1.07)</f>
        <v>1.07</v>
      </c>
      <c r="M1956" s="6">
        <f ca="1">IFERROR(__xludf.DUMMYFUNCTION("IFERROR(GOOGLEFINANCE(B1956,""change""),0)"),0)</f>
        <v>0</v>
      </c>
      <c r="N1956" s="6">
        <v>1</v>
      </c>
      <c r="O1956" s="7">
        <v>45536</v>
      </c>
      <c r="P1956" s="6">
        <v>-1.88</v>
      </c>
      <c r="Q1956" s="7">
        <v>45536</v>
      </c>
      <c r="R1956" s="6">
        <v>0</v>
      </c>
      <c r="S1956" s="9"/>
      <c r="T1956" s="6">
        <v>0.26</v>
      </c>
      <c r="U1956" s="6">
        <v>1</v>
      </c>
      <c r="V1956" s="7">
        <v>45352</v>
      </c>
      <c r="W1956" s="10">
        <f ca="1">IFERROR(__xludf.DUMMYFUNCTION("IFERROR(GOOGLEFINANCE(B1956,""pe""),V1956)"),45352)</f>
        <v>45352</v>
      </c>
      <c r="X1956" s="6">
        <v>0</v>
      </c>
      <c r="Y1956" s="6">
        <v>-1.24</v>
      </c>
      <c r="Z1956" s="6">
        <v>0.06</v>
      </c>
      <c r="AA1956" s="3" t="s">
        <v>6002</v>
      </c>
      <c r="AB1956" s="11"/>
      <c r="AC1956" s="9"/>
      <c r="AD1956" s="9"/>
      <c r="AE1956" s="1">
        <v>0</v>
      </c>
      <c r="AF1956" s="1">
        <f ca="1">IFERROR(__xludf.DUMMYFUNCTION("IFERROR(GOOGLEFINANCE(TRIM(F1956)&amp;"":"" &amp; TRIM(B1956),""high52""),AE1956)"),0)</f>
        <v>0</v>
      </c>
      <c r="AG1956" s="1">
        <v>0</v>
      </c>
      <c r="AH1956" s="1">
        <f ca="1">IFERROR(__xludf.DUMMYFUNCTION("IFERROR(GOOGLEFINANCE(TRIM(F1956)&amp;"":"" &amp; TRIM(B1956),""low52""),AE1956)"),0)</f>
        <v>0</v>
      </c>
      <c r="AI1956" s="1">
        <f ca="1">IFERROR(__xludf.DUMMYFUNCTION("IFERROR(GOOGLEFINANCE(B1956,""eps""),0)"),0)</f>
        <v>0</v>
      </c>
      <c r="AJ1956" s="1"/>
      <c r="AK1956" s="1" t="s">
        <v>6003</v>
      </c>
      <c r="AL1956" s="9">
        <f t="shared" si="225"/>
        <v>1</v>
      </c>
    </row>
    <row r="1957" spans="1:38" ht="15" x14ac:dyDescent="0.25">
      <c r="A1957" s="1" t="s">
        <v>6004</v>
      </c>
      <c r="B1957" s="1" t="s">
        <v>6005</v>
      </c>
      <c r="C1957" s="1" t="s">
        <v>208</v>
      </c>
      <c r="D1957" s="1" t="s">
        <v>208</v>
      </c>
      <c r="E1957" s="6">
        <v>24.74</v>
      </c>
      <c r="F1957" s="1" t="s">
        <v>53</v>
      </c>
      <c r="G1957" s="6">
        <f ca="1">IFERROR(__xludf.DUMMYFUNCTION("iferror(GOOGLEFINANCE(TRIM(F1957)&amp;"":"" &amp; TRIM(B1957), ""price""),0
)"),0)</f>
        <v>0</v>
      </c>
      <c r="H1957" s="6">
        <v>3.36</v>
      </c>
      <c r="I1957" s="6">
        <f t="shared" ca="1" si="0"/>
        <v>3.36</v>
      </c>
      <c r="J1957" s="6">
        <f ca="1">IFERROR(__xludf.DUMMYFUNCTION("IFERROR(GOOGLEFINANCE(B1957, ""volume""), 0)"),0)</f>
        <v>0</v>
      </c>
      <c r="K1957" s="6">
        <v>1.51</v>
      </c>
      <c r="L1957" s="6">
        <f ca="1">IFERROR(__xludf.DUMMYFUNCTION("IFERROR(GOOGLEFINANCE(B1957,""changepct""),K1957)"),1.51)</f>
        <v>1.51</v>
      </c>
      <c r="M1957" s="6">
        <f ca="1">IFERROR(__xludf.DUMMYFUNCTION("IFERROR(GOOGLEFINANCE(B1957,""change""),0)"),0)</f>
        <v>0</v>
      </c>
      <c r="N1957" s="6">
        <v>1</v>
      </c>
      <c r="O1957" s="7">
        <v>45536</v>
      </c>
      <c r="P1957" s="6">
        <v>0.01</v>
      </c>
      <c r="Q1957" s="7">
        <v>45536</v>
      </c>
      <c r="R1957" s="6">
        <v>0</v>
      </c>
      <c r="S1957" s="6">
        <v>0</v>
      </c>
      <c r="T1957" s="6">
        <v>1</v>
      </c>
      <c r="U1957" s="6">
        <v>1</v>
      </c>
      <c r="V1957" s="7">
        <v>45352</v>
      </c>
      <c r="W1957" s="10">
        <f ca="1">IFERROR(__xludf.DUMMYFUNCTION("IFERROR(GOOGLEFINANCE(B1957,""pe""),V1957)"),45352)</f>
        <v>45352</v>
      </c>
      <c r="X1957" s="6">
        <v>0</v>
      </c>
      <c r="Y1957" s="6">
        <v>1.45</v>
      </c>
      <c r="Z1957" s="6">
        <v>2.0499999999999998</v>
      </c>
      <c r="AA1957" s="3" t="s">
        <v>6006</v>
      </c>
      <c r="AB1957" s="11"/>
      <c r="AC1957" s="9"/>
      <c r="AD1957" s="9"/>
      <c r="AE1957" s="1">
        <v>0</v>
      </c>
      <c r="AF1957" s="1">
        <f ca="1">IFERROR(__xludf.DUMMYFUNCTION("IFERROR(GOOGLEFINANCE(TRIM(F1957)&amp;"":"" &amp; TRIM(B1957),""high52""),AE1957)"),0)</f>
        <v>0</v>
      </c>
      <c r="AG1957" s="1">
        <v>0</v>
      </c>
      <c r="AH1957" s="1">
        <f ca="1">IFERROR(__xludf.DUMMYFUNCTION("IFERROR(GOOGLEFINANCE(TRIM(F1957)&amp;"":"" &amp; TRIM(B1957),""low52""),AE1957)"),0)</f>
        <v>0</v>
      </c>
      <c r="AI1957" s="1">
        <f ca="1">IFERROR(__xludf.DUMMYFUNCTION("IFERROR(GOOGLEFINANCE(B1957,""eps""),0)"),0)</f>
        <v>0</v>
      </c>
      <c r="AJ1957" s="1"/>
      <c r="AK1957" s="1" t="s">
        <v>6007</v>
      </c>
      <c r="AL1957" s="9">
        <f t="shared" si="225"/>
        <v>1</v>
      </c>
    </row>
    <row r="1958" spans="1:38" ht="15" x14ac:dyDescent="0.25">
      <c r="A1958" s="1" t="s">
        <v>6008</v>
      </c>
      <c r="B1958" s="1" t="s">
        <v>6009</v>
      </c>
      <c r="C1958" s="1" t="s">
        <v>208</v>
      </c>
      <c r="D1958" s="1" t="s">
        <v>208</v>
      </c>
      <c r="E1958" s="6">
        <v>8.3699999999999992</v>
      </c>
      <c r="F1958" s="1" t="s">
        <v>53</v>
      </c>
      <c r="G1958" s="6">
        <f ca="1">IFERROR(__xludf.DUMMYFUNCTION("iferror(GOOGLEFINANCE(TRIM(F1958)&amp;"":"" &amp; TRIM(B1958), ""price""),0
)"),0)</f>
        <v>0</v>
      </c>
      <c r="H1958" s="6">
        <v>15.76</v>
      </c>
      <c r="I1958" s="6">
        <f t="shared" ca="1" si="0"/>
        <v>15.76</v>
      </c>
      <c r="J1958" s="6">
        <f ca="1">IFERROR(__xludf.DUMMYFUNCTION("IFERROR(GOOGLEFINANCE(B1958, ""volume""), 0)"),0)</f>
        <v>0</v>
      </c>
      <c r="K1958" s="9"/>
      <c r="L1958" s="6" t="str">
        <f ca="1">IFERROR(__xludf.DUMMYFUNCTION("IFERROR(GOOGLEFINANCE(B1958,""changepct""),K1958)"),"")</f>
        <v/>
      </c>
      <c r="M1958" s="6">
        <f ca="1">IFERROR(__xludf.DUMMYFUNCTION("IFERROR(GOOGLEFINANCE(B1958,""change""),0)"),0)</f>
        <v>0</v>
      </c>
      <c r="N1958" s="6">
        <v>1</v>
      </c>
      <c r="O1958" s="7">
        <v>45536</v>
      </c>
      <c r="P1958" s="6">
        <v>-0.02</v>
      </c>
      <c r="Q1958" s="7">
        <v>45536</v>
      </c>
      <c r="R1958" s="6">
        <v>0</v>
      </c>
      <c r="S1958" s="6">
        <v>0</v>
      </c>
      <c r="T1958" s="6">
        <v>1.22</v>
      </c>
      <c r="U1958" s="6">
        <v>1</v>
      </c>
      <c r="V1958" s="7">
        <v>45352</v>
      </c>
      <c r="W1958" s="10">
        <f ca="1">IFERROR(__xludf.DUMMYFUNCTION("IFERROR(GOOGLEFINANCE(B1958,""pe""),V1958)"),45352)</f>
        <v>45352</v>
      </c>
      <c r="X1958" s="6">
        <v>0</v>
      </c>
      <c r="Y1958" s="6">
        <v>2.0699999999999998</v>
      </c>
      <c r="Z1958" s="6">
        <v>2.74</v>
      </c>
      <c r="AA1958" s="3" t="s">
        <v>6010</v>
      </c>
      <c r="AB1958" s="11"/>
      <c r="AC1958" s="9"/>
      <c r="AD1958" s="9"/>
      <c r="AE1958" s="1">
        <v>0</v>
      </c>
      <c r="AF1958" s="1">
        <f ca="1">IFERROR(__xludf.DUMMYFUNCTION("IFERROR(GOOGLEFINANCE(TRIM(F1958)&amp;"":"" &amp; TRIM(B1958),""high52""),AE1958)"),0)</f>
        <v>0</v>
      </c>
      <c r="AG1958" s="1">
        <v>0</v>
      </c>
      <c r="AH1958" s="1">
        <f ca="1">IFERROR(__xludf.DUMMYFUNCTION("IFERROR(GOOGLEFINANCE(TRIM(F1958)&amp;"":"" &amp; TRIM(B1958),""low52""),AE1958)"),0)</f>
        <v>0</v>
      </c>
      <c r="AI1958" s="1">
        <f ca="1">IFERROR(__xludf.DUMMYFUNCTION("IFERROR(GOOGLEFINANCE(B1958,""eps""),0)"),0)</f>
        <v>0</v>
      </c>
      <c r="AJ1958" s="1"/>
      <c r="AK1958" s="9"/>
      <c r="AL1958" s="9">
        <f t="shared" si="225"/>
        <v>1</v>
      </c>
    </row>
    <row r="1959" spans="1:38" ht="15" x14ac:dyDescent="0.25">
      <c r="A1959" s="1" t="s">
        <v>6011</v>
      </c>
      <c r="B1959" s="1" t="s">
        <v>6012</v>
      </c>
      <c r="C1959" s="1" t="s">
        <v>208</v>
      </c>
      <c r="D1959" s="1" t="s">
        <v>208</v>
      </c>
      <c r="E1959" s="6">
        <v>33.630000000000003</v>
      </c>
      <c r="F1959" s="1" t="s">
        <v>53</v>
      </c>
      <c r="G1959" s="6">
        <f ca="1">IFERROR(__xludf.DUMMYFUNCTION("iferror(GOOGLEFINANCE(TRIM(F1959)&amp;"":"" &amp; TRIM(B1959), ""price""),0
)"),0)</f>
        <v>0</v>
      </c>
      <c r="H1959" s="6">
        <v>0.92</v>
      </c>
      <c r="I1959" s="6">
        <f t="shared" ca="1" si="0"/>
        <v>0.92</v>
      </c>
      <c r="J1959" s="6">
        <f ca="1">IFERROR(__xludf.DUMMYFUNCTION("IFERROR(GOOGLEFINANCE(B1959, ""volume""), 0)"),0)</f>
        <v>0</v>
      </c>
      <c r="K1959" s="6">
        <v>0</v>
      </c>
      <c r="L1959" s="6">
        <f ca="1">IFERROR(__xludf.DUMMYFUNCTION("IFERROR(GOOGLEFINANCE(B1959,""changepct""),K1959)"),0)</f>
        <v>0</v>
      </c>
      <c r="M1959" s="6">
        <f ca="1">IFERROR(__xludf.DUMMYFUNCTION("IFERROR(GOOGLEFINANCE(B1959,""change""),0)"),0)</f>
        <v>0</v>
      </c>
      <c r="N1959" s="6">
        <v>1</v>
      </c>
      <c r="O1959" s="7">
        <v>45536</v>
      </c>
      <c r="P1959" s="6">
        <v>-0.89</v>
      </c>
      <c r="Q1959" s="7">
        <v>45536</v>
      </c>
      <c r="R1959" s="6">
        <v>0</v>
      </c>
      <c r="S1959" s="6">
        <v>0</v>
      </c>
      <c r="T1959" s="6">
        <v>0.57999999999999996</v>
      </c>
      <c r="U1959" s="6">
        <v>1</v>
      </c>
      <c r="V1959" s="7">
        <v>45352</v>
      </c>
      <c r="W1959" s="10">
        <f ca="1">IFERROR(__xludf.DUMMYFUNCTION("IFERROR(GOOGLEFINANCE(B1959,""pe""),V1959)"),45352)</f>
        <v>45352</v>
      </c>
      <c r="X1959" s="6">
        <v>0.6</v>
      </c>
      <c r="Y1959" s="6">
        <v>2</v>
      </c>
      <c r="Z1959" s="6">
        <v>4.26</v>
      </c>
      <c r="AA1959" s="3" t="s">
        <v>6013</v>
      </c>
      <c r="AB1959" s="11"/>
      <c r="AC1959" s="9"/>
      <c r="AD1959" s="9"/>
      <c r="AE1959" s="1">
        <v>0</v>
      </c>
      <c r="AF1959" s="1">
        <f ca="1">IFERROR(__xludf.DUMMYFUNCTION("IFERROR(GOOGLEFINANCE(TRIM(F1959)&amp;"":"" &amp; TRIM(B1959),""high52""),AE1959)"),0)</f>
        <v>0</v>
      </c>
      <c r="AG1959" s="1">
        <v>0</v>
      </c>
      <c r="AH1959" s="1">
        <f ca="1">IFERROR(__xludf.DUMMYFUNCTION("IFERROR(GOOGLEFINANCE(TRIM(F1959)&amp;"":"" &amp; TRIM(B1959),""low52""),AE1959)"),0)</f>
        <v>0</v>
      </c>
      <c r="AI1959" s="1">
        <f ca="1">IFERROR(__xludf.DUMMYFUNCTION("IFERROR(GOOGLEFINANCE(B1959,""eps""),0)"),0)</f>
        <v>0</v>
      </c>
      <c r="AJ1959" s="1"/>
      <c r="AK1959" s="1" t="s">
        <v>6014</v>
      </c>
      <c r="AL1959" s="9">
        <f t="shared" si="225"/>
        <v>1</v>
      </c>
    </row>
    <row r="1960" spans="1:38" ht="15" x14ac:dyDescent="0.25">
      <c r="A1960" s="1" t="s">
        <v>6015</v>
      </c>
      <c r="B1960" s="1" t="s">
        <v>6016</v>
      </c>
      <c r="C1960" s="1" t="s">
        <v>208</v>
      </c>
      <c r="D1960" s="1" t="s">
        <v>208</v>
      </c>
      <c r="E1960" s="6">
        <v>8.23</v>
      </c>
      <c r="F1960" s="1" t="s">
        <v>53</v>
      </c>
      <c r="G1960" s="6">
        <f ca="1">IFERROR(__xludf.DUMMYFUNCTION("iferror(GOOGLEFINANCE(TRIM(F1960)&amp;"":"" &amp; TRIM(B1960), ""price""),0
)"),0)</f>
        <v>0</v>
      </c>
      <c r="H1960" s="6">
        <v>7.59</v>
      </c>
      <c r="I1960" s="6">
        <f t="shared" ca="1" si="0"/>
        <v>7.59</v>
      </c>
      <c r="J1960" s="6">
        <f ca="1">IFERROR(__xludf.DUMMYFUNCTION("IFERROR(GOOGLEFINANCE(B1960, ""volume""), 0)"),0)</f>
        <v>0</v>
      </c>
      <c r="K1960" s="9"/>
      <c r="L1960" s="6" t="str">
        <f ca="1">IFERROR(__xludf.DUMMYFUNCTION("IFERROR(GOOGLEFINANCE(B1960,""changepct""),K1960)"),"")</f>
        <v/>
      </c>
      <c r="M1960" s="6">
        <f ca="1">IFERROR(__xludf.DUMMYFUNCTION("IFERROR(GOOGLEFINANCE(B1960,""change""),0)"),0)</f>
        <v>0</v>
      </c>
      <c r="N1960" s="6">
        <v>1</v>
      </c>
      <c r="O1960" s="7">
        <v>45536</v>
      </c>
      <c r="P1960" s="6">
        <v>-0.38</v>
      </c>
      <c r="Q1960" s="7">
        <v>45536</v>
      </c>
      <c r="R1960" s="6">
        <v>0</v>
      </c>
      <c r="S1960" s="9"/>
      <c r="T1960" s="6">
        <v>0.41</v>
      </c>
      <c r="U1960" s="6">
        <v>1</v>
      </c>
      <c r="V1960" s="7">
        <v>45352</v>
      </c>
      <c r="W1960" s="10">
        <f ca="1">IFERROR(__xludf.DUMMYFUNCTION("IFERROR(GOOGLEFINANCE(B1960,""pe""),V1960)"),45352)</f>
        <v>45352</v>
      </c>
      <c r="X1960" s="6">
        <v>0</v>
      </c>
      <c r="Y1960" s="6">
        <v>-2.48</v>
      </c>
      <c r="Z1960" s="6">
        <v>-2.67</v>
      </c>
      <c r="AA1960" s="3" t="s">
        <v>6017</v>
      </c>
      <c r="AB1960" s="11"/>
      <c r="AC1960" s="9"/>
      <c r="AD1960" s="9"/>
      <c r="AE1960" s="1">
        <v>0</v>
      </c>
      <c r="AF1960" s="1">
        <f ca="1">IFERROR(__xludf.DUMMYFUNCTION("IFERROR(GOOGLEFINANCE(TRIM(F1960)&amp;"":"" &amp; TRIM(B1960),""high52""),AE1960)"),0)</f>
        <v>0</v>
      </c>
      <c r="AG1960" s="1">
        <v>0</v>
      </c>
      <c r="AH1960" s="1">
        <f ca="1">IFERROR(__xludf.DUMMYFUNCTION("IFERROR(GOOGLEFINANCE(TRIM(F1960)&amp;"":"" &amp; TRIM(B1960),""low52""),AE1960)"),0)</f>
        <v>0</v>
      </c>
      <c r="AI1960" s="1">
        <f ca="1">IFERROR(__xludf.DUMMYFUNCTION("IFERROR(GOOGLEFINANCE(B1960,""eps""),0)"),0)</f>
        <v>0</v>
      </c>
      <c r="AJ1960" s="1"/>
      <c r="AK1960" s="1" t="s">
        <v>6018</v>
      </c>
      <c r="AL1960" s="9">
        <f t="shared" si="225"/>
        <v>1</v>
      </c>
    </row>
    <row r="1961" spans="1:38" ht="15" x14ac:dyDescent="0.25">
      <c r="A1961" s="1" t="s">
        <v>6019</v>
      </c>
      <c r="B1961" s="1" t="s">
        <v>6020</v>
      </c>
      <c r="C1961" s="1" t="s">
        <v>208</v>
      </c>
      <c r="D1961" s="1" t="s">
        <v>208</v>
      </c>
      <c r="E1961" s="6">
        <v>20.53</v>
      </c>
      <c r="F1961" s="1" t="s">
        <v>53</v>
      </c>
      <c r="G1961" s="6">
        <f ca="1">IFERROR(__xludf.DUMMYFUNCTION("iferror(GOOGLEFINANCE(TRIM(F1961)&amp;"":"" &amp; TRIM(B1961), ""price""),0
)"),0)</f>
        <v>0</v>
      </c>
      <c r="H1961" s="6">
        <v>18.100000000000001</v>
      </c>
      <c r="I1961" s="6">
        <f t="shared" ca="1" si="0"/>
        <v>18.100000000000001</v>
      </c>
      <c r="J1961" s="6">
        <f ca="1">IFERROR(__xludf.DUMMYFUNCTION("IFERROR(GOOGLEFINANCE(B1961, ""volume""), 0)"),0)</f>
        <v>0</v>
      </c>
      <c r="K1961" s="6">
        <v>-2.48</v>
      </c>
      <c r="L1961" s="6">
        <f ca="1">IFERROR(__xludf.DUMMYFUNCTION("IFERROR(GOOGLEFINANCE(B1961,""changepct""),K1961)"),-2.48)</f>
        <v>-2.48</v>
      </c>
      <c r="M1961" s="6">
        <f ca="1">IFERROR(__xludf.DUMMYFUNCTION("IFERROR(GOOGLEFINANCE(B1961,""change""),0)"),0)</f>
        <v>0</v>
      </c>
      <c r="N1961" s="6">
        <v>1</v>
      </c>
      <c r="O1961" s="7">
        <v>45536</v>
      </c>
      <c r="P1961" s="6">
        <v>-0.14000000000000001</v>
      </c>
      <c r="Q1961" s="7">
        <v>45536</v>
      </c>
      <c r="R1961" s="6">
        <v>0</v>
      </c>
      <c r="S1961" s="6">
        <v>0</v>
      </c>
      <c r="T1961" s="6">
        <v>8.41</v>
      </c>
      <c r="U1961" s="6">
        <v>1</v>
      </c>
      <c r="V1961" s="7">
        <v>45352</v>
      </c>
      <c r="W1961" s="10">
        <f ca="1">IFERROR(__xludf.DUMMYFUNCTION("IFERROR(GOOGLEFINANCE(B1961,""pe""),V1961)"),45352)</f>
        <v>45352</v>
      </c>
      <c r="X1961" s="6">
        <v>0.02</v>
      </c>
      <c r="Y1961" s="6">
        <v>3.09</v>
      </c>
      <c r="Z1961" s="6">
        <v>3.03</v>
      </c>
      <c r="AA1961" s="3" t="s">
        <v>6021</v>
      </c>
      <c r="AB1961" s="11"/>
      <c r="AC1961" s="9"/>
      <c r="AD1961" s="9"/>
      <c r="AE1961" s="1">
        <v>0</v>
      </c>
      <c r="AF1961" s="1">
        <f ca="1">IFERROR(__xludf.DUMMYFUNCTION("IFERROR(GOOGLEFINANCE(TRIM(F1961)&amp;"":"" &amp; TRIM(B1961),""high52""),AE1961)"),0)</f>
        <v>0</v>
      </c>
      <c r="AG1961" s="1">
        <v>0</v>
      </c>
      <c r="AH1961" s="1">
        <f ca="1">IFERROR(__xludf.DUMMYFUNCTION("IFERROR(GOOGLEFINANCE(TRIM(F1961)&amp;"":"" &amp; TRIM(B1961),""low52""),AE1961)"),0)</f>
        <v>0</v>
      </c>
      <c r="AI1961" s="1">
        <f ca="1">IFERROR(__xludf.DUMMYFUNCTION("IFERROR(GOOGLEFINANCE(B1961,""eps""),0)"),0)</f>
        <v>0</v>
      </c>
      <c r="AJ1961" s="1"/>
      <c r="AK1961" s="1" t="s">
        <v>6022</v>
      </c>
      <c r="AL1961" s="9">
        <f t="shared" si="225"/>
        <v>1</v>
      </c>
    </row>
    <row r="1962" spans="1:38" ht="15" x14ac:dyDescent="0.25">
      <c r="A1962" s="1" t="s">
        <v>6023</v>
      </c>
      <c r="B1962" s="1" t="s">
        <v>6024</v>
      </c>
      <c r="C1962" s="1" t="s">
        <v>208</v>
      </c>
      <c r="D1962" s="1" t="s">
        <v>208</v>
      </c>
      <c r="E1962" s="6">
        <v>17.899999999999999</v>
      </c>
      <c r="F1962" s="1" t="s">
        <v>53</v>
      </c>
      <c r="G1962" s="6">
        <f ca="1">IFERROR(__xludf.DUMMYFUNCTION("iferror(GOOGLEFINANCE(TRIM(F1962)&amp;"":"" &amp; TRIM(B1962), ""price""),0
)"),0)</f>
        <v>0</v>
      </c>
      <c r="H1962" s="6">
        <v>11.61</v>
      </c>
      <c r="I1962" s="6">
        <f t="shared" ca="1" si="0"/>
        <v>11.61</v>
      </c>
      <c r="J1962" s="6">
        <f ca="1">IFERROR(__xludf.DUMMYFUNCTION("IFERROR(GOOGLEFINANCE(B1962, ""volume""), 0)"),0)</f>
        <v>0</v>
      </c>
      <c r="K1962" s="6">
        <v>-4.68</v>
      </c>
      <c r="L1962" s="6">
        <f ca="1">IFERROR(__xludf.DUMMYFUNCTION("IFERROR(GOOGLEFINANCE(B1962,""changepct""),K1962)"),-4.68)</f>
        <v>-4.68</v>
      </c>
      <c r="M1962" s="6">
        <f ca="1">IFERROR(__xludf.DUMMYFUNCTION("IFERROR(GOOGLEFINANCE(B1962,""change""),0)"),0)</f>
        <v>0</v>
      </c>
      <c r="N1962" s="6">
        <v>1</v>
      </c>
      <c r="O1962" s="7">
        <v>45536</v>
      </c>
      <c r="P1962" s="6">
        <v>-0.13</v>
      </c>
      <c r="Q1962" s="7">
        <v>45536</v>
      </c>
      <c r="R1962" s="6">
        <v>0</v>
      </c>
      <c r="S1962" s="6">
        <v>0</v>
      </c>
      <c r="T1962" s="6">
        <v>1.63</v>
      </c>
      <c r="U1962" s="6">
        <v>1</v>
      </c>
      <c r="V1962" s="7">
        <v>45352</v>
      </c>
      <c r="W1962" s="10">
        <f ca="1">IFERROR(__xludf.DUMMYFUNCTION("IFERROR(GOOGLEFINANCE(B1962,""pe""),V1962)"),45352)</f>
        <v>45352</v>
      </c>
      <c r="X1962" s="6">
        <v>0</v>
      </c>
      <c r="Y1962" s="6">
        <v>-1.38</v>
      </c>
      <c r="Z1962" s="6">
        <v>-1.26</v>
      </c>
      <c r="AA1962" s="3" t="s">
        <v>6025</v>
      </c>
      <c r="AB1962" s="11"/>
      <c r="AC1962" s="9"/>
      <c r="AD1962" s="9"/>
      <c r="AE1962" s="1">
        <v>0</v>
      </c>
      <c r="AF1962" s="1">
        <f ca="1">IFERROR(__xludf.DUMMYFUNCTION("IFERROR(GOOGLEFINANCE(TRIM(F1962)&amp;"":"" &amp; TRIM(B1962),""high52""),AE1962)"),0)</f>
        <v>0</v>
      </c>
      <c r="AG1962" s="1">
        <v>0</v>
      </c>
      <c r="AH1962" s="1">
        <f ca="1">IFERROR(__xludf.DUMMYFUNCTION("IFERROR(GOOGLEFINANCE(TRIM(F1962)&amp;"":"" &amp; TRIM(B1962),""low52""),AE1962)"),0)</f>
        <v>0</v>
      </c>
      <c r="AI1962" s="1">
        <f ca="1">IFERROR(__xludf.DUMMYFUNCTION("IFERROR(GOOGLEFINANCE(B1962,""eps""),0)"),0)</f>
        <v>0</v>
      </c>
      <c r="AJ1962" s="1"/>
      <c r="AK1962" s="1" t="s">
        <v>6026</v>
      </c>
      <c r="AL1962" s="9">
        <f t="shared" si="225"/>
        <v>1</v>
      </c>
    </row>
    <row r="1963" spans="1:38" ht="15" x14ac:dyDescent="0.25">
      <c r="A1963" s="1" t="s">
        <v>6027</v>
      </c>
      <c r="B1963" s="1" t="s">
        <v>6028</v>
      </c>
      <c r="C1963" s="1" t="s">
        <v>208</v>
      </c>
      <c r="D1963" s="1" t="s">
        <v>208</v>
      </c>
      <c r="E1963" s="6">
        <v>261.74</v>
      </c>
      <c r="F1963" s="1" t="s">
        <v>53</v>
      </c>
      <c r="G1963" s="6">
        <f ca="1">IFERROR(__xludf.DUMMYFUNCTION("iferror(GOOGLEFINANCE(TRIM(F1963)&amp;"":"" &amp; TRIM(B1963), ""price""),0
)"),0)</f>
        <v>0</v>
      </c>
      <c r="H1963" s="6">
        <v>97.2</v>
      </c>
      <c r="I1963" s="6">
        <f t="shared" ca="1" si="0"/>
        <v>97.2</v>
      </c>
      <c r="J1963" s="6">
        <f ca="1">IFERROR(__xludf.DUMMYFUNCTION("IFERROR(GOOGLEFINANCE(B1963, ""volume""), 0)"),0)</f>
        <v>0</v>
      </c>
      <c r="K1963" s="6">
        <v>3.92</v>
      </c>
      <c r="L1963" s="6">
        <f ca="1">IFERROR(__xludf.DUMMYFUNCTION("IFERROR(GOOGLEFINANCE(B1963,""changepct""),K1963)"),3.92)</f>
        <v>3.92</v>
      </c>
      <c r="M1963" s="6">
        <f ca="1">IFERROR(__xludf.DUMMYFUNCTION("IFERROR(GOOGLEFINANCE(B1963,""change""),0)"),0)</f>
        <v>0</v>
      </c>
      <c r="N1963" s="6">
        <v>2</v>
      </c>
      <c r="O1963" s="7">
        <v>45536</v>
      </c>
      <c r="P1963" s="6">
        <v>-1.06</v>
      </c>
      <c r="Q1963" s="7">
        <v>45536</v>
      </c>
      <c r="R1963" s="6">
        <v>0</v>
      </c>
      <c r="S1963" s="9"/>
      <c r="T1963" s="6">
        <v>7.46</v>
      </c>
      <c r="U1963" s="6">
        <v>2</v>
      </c>
      <c r="V1963" s="7">
        <v>45352</v>
      </c>
      <c r="W1963" s="10">
        <f ca="1">IFERROR(__xludf.DUMMYFUNCTION("IFERROR(GOOGLEFINANCE(B1963,""pe""),V1963)"),45352)</f>
        <v>45352</v>
      </c>
      <c r="X1963" s="6">
        <v>0.1</v>
      </c>
      <c r="Y1963" s="6">
        <v>-2.31</v>
      </c>
      <c r="Z1963" s="6">
        <v>-1.25</v>
      </c>
      <c r="AA1963" s="3" t="s">
        <v>6029</v>
      </c>
      <c r="AB1963" s="11"/>
      <c r="AC1963" s="9"/>
      <c r="AD1963" s="9"/>
      <c r="AE1963" s="1">
        <v>0</v>
      </c>
      <c r="AF1963" s="1">
        <f ca="1">IFERROR(__xludf.DUMMYFUNCTION("IFERROR(GOOGLEFINANCE(TRIM(F1963)&amp;"":"" &amp; TRIM(B1963),""high52""),AE1963)"),0)</f>
        <v>0</v>
      </c>
      <c r="AG1963" s="1">
        <v>0</v>
      </c>
      <c r="AH1963" s="1">
        <f ca="1">IFERROR(__xludf.DUMMYFUNCTION("IFERROR(GOOGLEFINANCE(TRIM(F1963)&amp;"":"" &amp; TRIM(B1963),""low52""),AE1963)"),0)</f>
        <v>0</v>
      </c>
      <c r="AI1963" s="1">
        <f ca="1">IFERROR(__xludf.DUMMYFUNCTION("IFERROR(GOOGLEFINANCE(B1963,""eps""),0)"),0)</f>
        <v>0</v>
      </c>
      <c r="AJ1963" s="1"/>
      <c r="AK1963" s="1" t="s">
        <v>6030</v>
      </c>
      <c r="AL1963" s="9">
        <f t="shared" si="225"/>
        <v>1</v>
      </c>
    </row>
    <row r="1964" spans="1:38" ht="15" x14ac:dyDescent="0.25">
      <c r="A1964" s="1" t="s">
        <v>6031</v>
      </c>
      <c r="B1964" s="1" t="s">
        <v>6032</v>
      </c>
      <c r="C1964" s="1" t="s">
        <v>208</v>
      </c>
      <c r="D1964" s="1" t="s">
        <v>208</v>
      </c>
      <c r="E1964" s="6">
        <v>29.07</v>
      </c>
      <c r="F1964" s="1" t="s">
        <v>53</v>
      </c>
      <c r="G1964" s="6">
        <f ca="1">IFERROR(__xludf.DUMMYFUNCTION("iferror(GOOGLEFINANCE(TRIM(F1964)&amp;"":"" &amp; TRIM(B1964), ""price""),0
)"),0)</f>
        <v>0</v>
      </c>
      <c r="H1964" s="6">
        <v>16.34</v>
      </c>
      <c r="I1964" s="6">
        <f t="shared" ca="1" si="0"/>
        <v>16.34</v>
      </c>
      <c r="J1964" s="6">
        <f ca="1">IFERROR(__xludf.DUMMYFUNCTION("IFERROR(GOOGLEFINANCE(B1964, ""volume""), 0)"),0)</f>
        <v>0</v>
      </c>
      <c r="K1964" s="6">
        <v>3.22</v>
      </c>
      <c r="L1964" s="6">
        <f ca="1">IFERROR(__xludf.DUMMYFUNCTION("IFERROR(GOOGLEFINANCE(B1964,""changepct""),K1964)"),3.22)</f>
        <v>3.22</v>
      </c>
      <c r="M1964" s="6">
        <f ca="1">IFERROR(__xludf.DUMMYFUNCTION("IFERROR(GOOGLEFINANCE(B1964,""change""),0)"),0)</f>
        <v>0</v>
      </c>
      <c r="N1964" s="6">
        <v>2</v>
      </c>
      <c r="O1964" s="7">
        <v>45261</v>
      </c>
      <c r="P1964" s="6">
        <v>-28.67</v>
      </c>
      <c r="Q1964" s="7">
        <v>45352</v>
      </c>
      <c r="R1964" s="6">
        <v>0</v>
      </c>
      <c r="S1964" s="6">
        <v>0</v>
      </c>
      <c r="T1964" s="6">
        <v>0.91</v>
      </c>
      <c r="U1964" s="6">
        <v>2</v>
      </c>
      <c r="V1964" s="7">
        <v>45352</v>
      </c>
      <c r="W1964" s="10">
        <f ca="1">IFERROR(__xludf.DUMMYFUNCTION("IFERROR(GOOGLEFINANCE(B1964,""pe""),V1964)"),45352)</f>
        <v>45352</v>
      </c>
      <c r="X1964" s="6">
        <v>1.6</v>
      </c>
      <c r="Y1964" s="6">
        <v>-15.23</v>
      </c>
      <c r="Z1964" s="6">
        <v>-9.49</v>
      </c>
      <c r="AA1964" s="3" t="s">
        <v>6033</v>
      </c>
      <c r="AB1964" s="16"/>
      <c r="AC1964" s="12"/>
      <c r="AD1964" s="12"/>
      <c r="AE1964" s="1">
        <v>0</v>
      </c>
      <c r="AF1964" s="1">
        <f ca="1">IFERROR(__xludf.DUMMYFUNCTION("IFERROR(GOOGLEFINANCE(TRIM(F1964)&amp;"":"" &amp; TRIM(B1964),""high52""),AE1964)"),0)</f>
        <v>0</v>
      </c>
      <c r="AG1964" s="1">
        <v>0</v>
      </c>
      <c r="AH1964" s="1">
        <f ca="1">IFERROR(__xludf.DUMMYFUNCTION("IFERROR(GOOGLEFINANCE(TRIM(F1964)&amp;"":"" &amp; TRIM(B1964),""low52""),AE1964)"),0)</f>
        <v>0</v>
      </c>
      <c r="AI1964" s="1">
        <f ca="1">IFERROR(__xludf.DUMMYFUNCTION("IFERROR(GOOGLEFINANCE(B1964,""eps""),0)"),0)</f>
        <v>0</v>
      </c>
      <c r="AJ1964" s="1"/>
      <c r="AK1964" s="1" t="s">
        <v>6034</v>
      </c>
      <c r="AL1964" s="9">
        <f t="shared" si="225"/>
        <v>1</v>
      </c>
    </row>
    <row r="1965" spans="1:38" ht="15" x14ac:dyDescent="0.25">
      <c r="A1965" s="1" t="s">
        <v>6035</v>
      </c>
      <c r="B1965" s="1" t="s">
        <v>6036</v>
      </c>
      <c r="C1965" s="1" t="s">
        <v>208</v>
      </c>
      <c r="D1965" s="1" t="s">
        <v>208</v>
      </c>
      <c r="E1965" s="6">
        <v>17.36</v>
      </c>
      <c r="F1965" s="1" t="s">
        <v>53</v>
      </c>
      <c r="G1965" s="6">
        <f ca="1">IFERROR(__xludf.DUMMYFUNCTION("iferror(GOOGLEFINANCE(TRIM(F1965)&amp;"":"" &amp; TRIM(B1965), ""price""),0
)"),0)</f>
        <v>0</v>
      </c>
      <c r="H1965" s="6">
        <v>4.8</v>
      </c>
      <c r="I1965" s="6">
        <f t="shared" ca="1" si="0"/>
        <v>4.8</v>
      </c>
      <c r="J1965" s="6">
        <f ca="1">IFERROR(__xludf.DUMMYFUNCTION("IFERROR(GOOGLEFINANCE(B1965, ""volume""), 0)"),0)</f>
        <v>0</v>
      </c>
      <c r="K1965" s="6">
        <v>-1.64</v>
      </c>
      <c r="L1965" s="6">
        <f ca="1">IFERROR(__xludf.DUMMYFUNCTION("IFERROR(GOOGLEFINANCE(B1965,""changepct""),K1965)"),-1.64)</f>
        <v>-1.64</v>
      </c>
      <c r="M1965" s="6">
        <f ca="1">IFERROR(__xludf.DUMMYFUNCTION("IFERROR(GOOGLEFINANCE(B1965,""change""),0)"),0)</f>
        <v>0</v>
      </c>
      <c r="N1965" s="6">
        <v>2</v>
      </c>
      <c r="O1965" s="7">
        <v>45536</v>
      </c>
      <c r="P1965" s="6">
        <v>-0.21</v>
      </c>
      <c r="Q1965" s="7">
        <v>45536</v>
      </c>
      <c r="R1965" s="6">
        <v>0</v>
      </c>
      <c r="S1965" s="6">
        <v>0</v>
      </c>
      <c r="T1965" s="6">
        <v>2.27</v>
      </c>
      <c r="U1965" s="6">
        <v>2</v>
      </c>
      <c r="V1965" s="7">
        <v>45352</v>
      </c>
      <c r="W1965" s="10">
        <f ca="1">IFERROR(__xludf.DUMMYFUNCTION("IFERROR(GOOGLEFINANCE(B1965,""pe""),V1965)"),45352)</f>
        <v>45352</v>
      </c>
      <c r="X1965" s="6">
        <v>0.28000000000000003</v>
      </c>
      <c r="Y1965" s="6">
        <v>-0.3</v>
      </c>
      <c r="Z1965" s="6">
        <v>-0.78</v>
      </c>
      <c r="AA1965" s="3" t="s">
        <v>6037</v>
      </c>
      <c r="AB1965" s="11"/>
      <c r="AC1965" s="9"/>
      <c r="AD1965" s="9"/>
      <c r="AE1965" s="1">
        <v>0</v>
      </c>
      <c r="AF1965" s="1">
        <f ca="1">IFERROR(__xludf.DUMMYFUNCTION("IFERROR(GOOGLEFINANCE(TRIM(F1965)&amp;"":"" &amp; TRIM(B1965),""high52""),AE1965)"),0)</f>
        <v>0</v>
      </c>
      <c r="AG1965" s="1">
        <v>0</v>
      </c>
      <c r="AH1965" s="1">
        <f ca="1">IFERROR(__xludf.DUMMYFUNCTION("IFERROR(GOOGLEFINANCE(TRIM(F1965)&amp;"":"" &amp; TRIM(B1965),""low52""),AE1965)"),0)</f>
        <v>0</v>
      </c>
      <c r="AI1965" s="1">
        <f ca="1">IFERROR(__xludf.DUMMYFUNCTION("IFERROR(GOOGLEFINANCE(B1965,""eps""),0)"),0)</f>
        <v>0</v>
      </c>
      <c r="AJ1965" s="1"/>
      <c r="AK1965" s="1" t="s">
        <v>6038</v>
      </c>
      <c r="AL1965" s="9">
        <f t="shared" si="225"/>
        <v>1</v>
      </c>
    </row>
    <row r="1966" spans="1:38" ht="15" x14ac:dyDescent="0.25">
      <c r="A1966" s="1" t="s">
        <v>6039</v>
      </c>
      <c r="B1966" s="1" t="s">
        <v>6040</v>
      </c>
      <c r="C1966" s="1" t="s">
        <v>208</v>
      </c>
      <c r="D1966" s="1" t="s">
        <v>208</v>
      </c>
      <c r="E1966" s="6">
        <v>15.58</v>
      </c>
      <c r="F1966" s="1" t="s">
        <v>53</v>
      </c>
      <c r="G1966" s="6">
        <f ca="1">IFERROR(__xludf.DUMMYFUNCTION("iferror(GOOGLEFINANCE(TRIM(F1966)&amp;"":"" &amp; TRIM(B1966), ""price""),0
)"),0)</f>
        <v>0</v>
      </c>
      <c r="H1966" s="6">
        <v>1.66</v>
      </c>
      <c r="I1966" s="6">
        <f t="shared" ca="1" si="0"/>
        <v>1.66</v>
      </c>
      <c r="J1966" s="6">
        <f ca="1">IFERROR(__xludf.DUMMYFUNCTION("IFERROR(GOOGLEFINANCE(B1966, ""volume""), 0)"),0)</f>
        <v>0</v>
      </c>
      <c r="K1966" s="6">
        <v>1.22</v>
      </c>
      <c r="L1966" s="6">
        <f ca="1">IFERROR(__xludf.DUMMYFUNCTION("IFERROR(GOOGLEFINANCE(B1966,""changepct""),K1966)"),1.22)</f>
        <v>1.22</v>
      </c>
      <c r="M1966" s="6">
        <f ca="1">IFERROR(__xludf.DUMMYFUNCTION("IFERROR(GOOGLEFINANCE(B1966,""change""),0)"),0)</f>
        <v>0</v>
      </c>
      <c r="N1966" s="6">
        <v>1</v>
      </c>
      <c r="O1966" s="7">
        <v>45536</v>
      </c>
      <c r="P1966" s="6">
        <v>-0.73</v>
      </c>
      <c r="Q1966" s="7">
        <v>45536</v>
      </c>
      <c r="R1966" s="6">
        <v>0</v>
      </c>
      <c r="S1966" s="9"/>
      <c r="T1966" s="6">
        <v>1.1599999999999999</v>
      </c>
      <c r="U1966" s="6">
        <v>1</v>
      </c>
      <c r="V1966" s="7">
        <v>45352</v>
      </c>
      <c r="W1966" s="10">
        <f ca="1">IFERROR(__xludf.DUMMYFUNCTION("IFERROR(GOOGLEFINANCE(B1966,""pe""),V1966)"),45352)</f>
        <v>45352</v>
      </c>
      <c r="X1966" s="6">
        <v>0.37</v>
      </c>
      <c r="Y1966" s="6">
        <v>-5.35</v>
      </c>
      <c r="Z1966" s="6">
        <v>-3.75</v>
      </c>
      <c r="AA1966" s="3" t="s">
        <v>6041</v>
      </c>
      <c r="AB1966" s="11"/>
      <c r="AC1966" s="9"/>
      <c r="AD1966" s="9"/>
      <c r="AE1966" s="1">
        <v>0</v>
      </c>
      <c r="AF1966" s="1">
        <f ca="1">IFERROR(__xludf.DUMMYFUNCTION("IFERROR(GOOGLEFINANCE(TRIM(F1966)&amp;"":"" &amp; TRIM(B1966),""high52""),AE1966)"),0)</f>
        <v>0</v>
      </c>
      <c r="AG1966" s="1">
        <v>0</v>
      </c>
      <c r="AH1966" s="1">
        <f ca="1">IFERROR(__xludf.DUMMYFUNCTION("IFERROR(GOOGLEFINANCE(TRIM(F1966)&amp;"":"" &amp; TRIM(B1966),""low52""),AE1966)"),0)</f>
        <v>0</v>
      </c>
      <c r="AI1966" s="1">
        <f ca="1">IFERROR(__xludf.DUMMYFUNCTION("IFERROR(GOOGLEFINANCE(B1966,""eps""),0)"),0)</f>
        <v>0</v>
      </c>
      <c r="AJ1966" s="1"/>
      <c r="AK1966" s="1" t="s">
        <v>6042</v>
      </c>
      <c r="AL1966" s="9">
        <f t="shared" si="225"/>
        <v>1</v>
      </c>
    </row>
    <row r="1967" spans="1:38" ht="15" x14ac:dyDescent="0.25">
      <c r="A1967" s="1" t="s">
        <v>6043</v>
      </c>
      <c r="B1967" s="1" t="s">
        <v>6044</v>
      </c>
      <c r="C1967" s="1" t="s">
        <v>208</v>
      </c>
      <c r="D1967" s="1" t="s">
        <v>208</v>
      </c>
      <c r="E1967" s="6">
        <v>6.78</v>
      </c>
      <c r="F1967" s="1" t="s">
        <v>53</v>
      </c>
      <c r="G1967" s="6">
        <f ca="1">IFERROR(__xludf.DUMMYFUNCTION("iferror(GOOGLEFINANCE(TRIM(F1967)&amp;"":"" &amp; TRIM(B1967), ""price""),0
)"),0)</f>
        <v>0</v>
      </c>
      <c r="H1967" s="6">
        <v>13.55</v>
      </c>
      <c r="I1967" s="6">
        <f t="shared" ca="1" si="0"/>
        <v>13.55</v>
      </c>
      <c r="J1967" s="6">
        <f ca="1">IFERROR(__xludf.DUMMYFUNCTION("IFERROR(GOOGLEFINANCE(B1967, ""volume""), 0)"),0)</f>
        <v>0</v>
      </c>
      <c r="K1967" s="9"/>
      <c r="L1967" s="6" t="str">
        <f ca="1">IFERROR(__xludf.DUMMYFUNCTION("IFERROR(GOOGLEFINANCE(B1967,""changepct""),K1967)"),"")</f>
        <v/>
      </c>
      <c r="M1967" s="6">
        <f ca="1">IFERROR(__xludf.DUMMYFUNCTION("IFERROR(GOOGLEFINANCE(B1967,""change""),0)"),0)</f>
        <v>0</v>
      </c>
      <c r="N1967" s="6">
        <v>1</v>
      </c>
      <c r="O1967" s="7">
        <v>45261</v>
      </c>
      <c r="P1967" s="6">
        <v>-1.43</v>
      </c>
      <c r="Q1967" s="7">
        <v>45352</v>
      </c>
      <c r="R1967" s="6">
        <v>0</v>
      </c>
      <c r="S1967" s="6">
        <v>0</v>
      </c>
      <c r="T1967" s="6">
        <v>-0.11</v>
      </c>
      <c r="U1967" s="6">
        <v>1</v>
      </c>
      <c r="V1967" s="7">
        <v>45352</v>
      </c>
      <c r="W1967" s="10">
        <f ca="1">IFERROR(__xludf.DUMMYFUNCTION("IFERROR(GOOGLEFINANCE(B1967,""pe""),V1967)"),45352)</f>
        <v>45352</v>
      </c>
      <c r="X1967" s="6">
        <v>-0.99</v>
      </c>
      <c r="Y1967" s="6">
        <v>0</v>
      </c>
      <c r="Z1967" s="6">
        <v>0</v>
      </c>
      <c r="AA1967" s="3" t="s">
        <v>6045</v>
      </c>
      <c r="AB1967" s="11"/>
      <c r="AC1967" s="9"/>
      <c r="AD1967" s="9"/>
      <c r="AE1967" s="1">
        <v>0</v>
      </c>
      <c r="AF1967" s="1">
        <f ca="1">IFERROR(__xludf.DUMMYFUNCTION("IFERROR(GOOGLEFINANCE(TRIM(F1967)&amp;"":"" &amp; TRIM(B1967),""high52""),AE1967)"),0)</f>
        <v>0</v>
      </c>
      <c r="AG1967" s="1">
        <v>0</v>
      </c>
      <c r="AH1967" s="1">
        <f ca="1">IFERROR(__xludf.DUMMYFUNCTION("IFERROR(GOOGLEFINANCE(TRIM(F1967)&amp;"":"" &amp; TRIM(B1967),""low52""),AE1967)"),0)</f>
        <v>0</v>
      </c>
      <c r="AI1967" s="1">
        <f ca="1">IFERROR(__xludf.DUMMYFUNCTION("IFERROR(GOOGLEFINANCE(B1967,""eps""),0)"),0)</f>
        <v>0</v>
      </c>
      <c r="AJ1967" s="1"/>
      <c r="AK1967" s="1" t="s">
        <v>6046</v>
      </c>
      <c r="AL1967" s="9">
        <f t="shared" si="225"/>
        <v>1</v>
      </c>
    </row>
    <row r="1968" spans="1:38" ht="15" x14ac:dyDescent="0.25">
      <c r="A1968" s="1" t="s">
        <v>6047</v>
      </c>
      <c r="B1968" s="1" t="s">
        <v>6048</v>
      </c>
      <c r="C1968" s="1" t="s">
        <v>208</v>
      </c>
      <c r="D1968" s="1" t="s">
        <v>208</v>
      </c>
      <c r="E1968" s="6">
        <v>51.2</v>
      </c>
      <c r="F1968" s="1" t="s">
        <v>53</v>
      </c>
      <c r="G1968" s="6">
        <f ca="1">IFERROR(__xludf.DUMMYFUNCTION("iferror(GOOGLEFINANCE(TRIM(F1968)&amp;"":"" &amp; TRIM(B1968), ""price""),0
)"),0)</f>
        <v>0</v>
      </c>
      <c r="H1968" s="6">
        <v>46.8</v>
      </c>
      <c r="I1968" s="6">
        <f t="shared" ca="1" si="0"/>
        <v>46.8</v>
      </c>
      <c r="J1968" s="6">
        <f ca="1">IFERROR(__xludf.DUMMYFUNCTION("IFERROR(GOOGLEFINANCE(B1968, ""volume""), 0)"),0)</f>
        <v>0</v>
      </c>
      <c r="K1968" s="9"/>
      <c r="L1968" s="6" t="str">
        <f ca="1">IFERROR(__xludf.DUMMYFUNCTION("IFERROR(GOOGLEFINANCE(B1968,""changepct""),K1968)"),"")</f>
        <v/>
      </c>
      <c r="M1968" s="6">
        <f ca="1">IFERROR(__xludf.DUMMYFUNCTION("IFERROR(GOOGLEFINANCE(B1968,""change""),0)"),0)</f>
        <v>0</v>
      </c>
      <c r="N1968" s="6">
        <v>1</v>
      </c>
      <c r="O1968" s="7">
        <v>45536</v>
      </c>
      <c r="P1968" s="6">
        <v>-0.06</v>
      </c>
      <c r="Q1968" s="7">
        <v>45536</v>
      </c>
      <c r="R1968" s="6">
        <v>0</v>
      </c>
      <c r="S1968" s="9"/>
      <c r="T1968" s="6">
        <v>3.77</v>
      </c>
      <c r="U1968" s="6">
        <v>1</v>
      </c>
      <c r="V1968" s="7">
        <v>45352</v>
      </c>
      <c r="W1968" s="10">
        <f ca="1">IFERROR(__xludf.DUMMYFUNCTION("IFERROR(GOOGLEFINANCE(B1968,""pe""),V1968)"),45352)</f>
        <v>45352</v>
      </c>
      <c r="X1968" s="6">
        <v>0</v>
      </c>
      <c r="Y1968" s="6">
        <v>-0.17</v>
      </c>
      <c r="Z1968" s="6">
        <v>-0.19</v>
      </c>
      <c r="AA1968" s="3" t="s">
        <v>6049</v>
      </c>
      <c r="AB1968" s="11"/>
      <c r="AC1968" s="9"/>
      <c r="AD1968" s="9"/>
      <c r="AE1968" s="1">
        <v>0</v>
      </c>
      <c r="AF1968" s="1">
        <f ca="1">IFERROR(__xludf.DUMMYFUNCTION("IFERROR(GOOGLEFINANCE(TRIM(F1968)&amp;"":"" &amp; TRIM(B1968),""high52""),AE1968)"),0)</f>
        <v>0</v>
      </c>
      <c r="AG1968" s="1">
        <v>0</v>
      </c>
      <c r="AH1968" s="1">
        <f ca="1">IFERROR(__xludf.DUMMYFUNCTION("IFERROR(GOOGLEFINANCE(TRIM(F1968)&amp;"":"" &amp; TRIM(B1968),""low52""),AE1968)"),0)</f>
        <v>0</v>
      </c>
      <c r="AI1968" s="1">
        <f ca="1">IFERROR(__xludf.DUMMYFUNCTION("IFERROR(GOOGLEFINANCE(B1968,""eps""),0)"),0)</f>
        <v>0</v>
      </c>
      <c r="AJ1968" s="1"/>
      <c r="AK1968" s="1" t="s">
        <v>6050</v>
      </c>
      <c r="AL1968" s="9">
        <f t="shared" si="225"/>
        <v>1</v>
      </c>
    </row>
    <row r="1969" spans="1:38" ht="15" x14ac:dyDescent="0.25">
      <c r="A1969" s="1" t="s">
        <v>6051</v>
      </c>
      <c r="B1969" s="1" t="s">
        <v>6052</v>
      </c>
      <c r="C1969" s="1" t="s">
        <v>208</v>
      </c>
      <c r="D1969" s="1" t="s">
        <v>208</v>
      </c>
      <c r="E1969" s="6">
        <v>60.28</v>
      </c>
      <c r="F1969" s="1" t="s">
        <v>53</v>
      </c>
      <c r="G1969" s="6">
        <f ca="1">IFERROR(__xludf.DUMMYFUNCTION("iferror(GOOGLEFINANCE(TRIM(F1969)&amp;"":"" &amp; TRIM(B1969), ""price""),0
)"),0)</f>
        <v>0</v>
      </c>
      <c r="H1969" s="6">
        <v>29.81</v>
      </c>
      <c r="I1969" s="6">
        <f t="shared" ca="1" si="0"/>
        <v>29.81</v>
      </c>
      <c r="J1969" s="6">
        <f ca="1">IFERROR(__xludf.DUMMYFUNCTION("IFERROR(GOOGLEFINANCE(B1969, ""volume""), 0)"),0)</f>
        <v>0</v>
      </c>
      <c r="K1969" s="9"/>
      <c r="L1969" s="6" t="str">
        <f ca="1">IFERROR(__xludf.DUMMYFUNCTION("IFERROR(GOOGLEFINANCE(B1969,""changepct""),K1969)"),"")</f>
        <v/>
      </c>
      <c r="M1969" s="6">
        <f ca="1">IFERROR(__xludf.DUMMYFUNCTION("IFERROR(GOOGLEFINANCE(B1969,""change""),0)"),0)</f>
        <v>0</v>
      </c>
      <c r="N1969" s="6">
        <v>1</v>
      </c>
      <c r="O1969" s="7">
        <v>45536</v>
      </c>
      <c r="P1969" s="6">
        <v>-0.99</v>
      </c>
      <c r="Q1969" s="7">
        <v>45536</v>
      </c>
      <c r="R1969" s="6">
        <v>0</v>
      </c>
      <c r="S1969" s="6">
        <v>0</v>
      </c>
      <c r="T1969" s="6">
        <v>1.65</v>
      </c>
      <c r="U1969" s="6">
        <v>1</v>
      </c>
      <c r="V1969" s="7">
        <v>45352</v>
      </c>
      <c r="W1969" s="10">
        <f ca="1">IFERROR(__xludf.DUMMYFUNCTION("IFERROR(GOOGLEFINANCE(B1969,""pe""),V1969)"),45352)</f>
        <v>45352</v>
      </c>
      <c r="X1969" s="6">
        <v>0.85</v>
      </c>
      <c r="Y1969" s="6">
        <v>2.54</v>
      </c>
      <c r="Z1969" s="6">
        <v>4.6100000000000003</v>
      </c>
      <c r="AA1969" s="3" t="s">
        <v>6053</v>
      </c>
      <c r="AB1969" s="11"/>
      <c r="AC1969" s="9"/>
      <c r="AD1969" s="9"/>
      <c r="AE1969" s="1">
        <v>0</v>
      </c>
      <c r="AF1969" s="1">
        <f ca="1">IFERROR(__xludf.DUMMYFUNCTION("IFERROR(GOOGLEFINANCE(TRIM(F1969)&amp;"":"" &amp; TRIM(B1969),""high52""),AE1969)"),0)</f>
        <v>0</v>
      </c>
      <c r="AG1969" s="1">
        <v>0</v>
      </c>
      <c r="AH1969" s="1">
        <f ca="1">IFERROR(__xludf.DUMMYFUNCTION("IFERROR(GOOGLEFINANCE(TRIM(F1969)&amp;"":"" &amp; TRIM(B1969),""low52""),AE1969)"),0)</f>
        <v>0</v>
      </c>
      <c r="AI1969" s="1">
        <f ca="1">IFERROR(__xludf.DUMMYFUNCTION("IFERROR(GOOGLEFINANCE(B1969,""eps""),0)"),0)</f>
        <v>0</v>
      </c>
      <c r="AJ1969" s="1"/>
      <c r="AK1969" s="9"/>
      <c r="AL1969" s="9">
        <f t="shared" si="225"/>
        <v>1</v>
      </c>
    </row>
    <row r="1970" spans="1:38" ht="15" x14ac:dyDescent="0.25">
      <c r="A1970" s="1" t="s">
        <v>6054</v>
      </c>
      <c r="B1970" s="1" t="s">
        <v>6055</v>
      </c>
      <c r="C1970" s="1" t="s">
        <v>208</v>
      </c>
      <c r="D1970" s="1" t="s">
        <v>208</v>
      </c>
      <c r="E1970" s="6">
        <v>8.64</v>
      </c>
      <c r="F1970" s="1" t="s">
        <v>53</v>
      </c>
      <c r="G1970" s="6">
        <f ca="1">IFERROR(__xludf.DUMMYFUNCTION("iferror(GOOGLEFINANCE(TRIM(F1970)&amp;"":"" &amp; TRIM(B1970), ""price""),0
)"),0)</f>
        <v>0</v>
      </c>
      <c r="H1970" s="6">
        <v>19.09</v>
      </c>
      <c r="I1970" s="6">
        <f t="shared" ca="1" si="0"/>
        <v>19.09</v>
      </c>
      <c r="J1970" s="6">
        <f ca="1">IFERROR(__xludf.DUMMYFUNCTION("IFERROR(GOOGLEFINANCE(B1970, ""volume""), 0)"),0)</f>
        <v>0</v>
      </c>
      <c r="K1970" s="6">
        <v>4.95</v>
      </c>
      <c r="L1970" s="6">
        <f ca="1">IFERROR(__xludf.DUMMYFUNCTION("IFERROR(GOOGLEFINANCE(B1970,""changepct""),K1970)"),4.95)</f>
        <v>4.95</v>
      </c>
      <c r="M1970" s="6">
        <f ca="1">IFERROR(__xludf.DUMMYFUNCTION("IFERROR(GOOGLEFINANCE(B1970,""change""),0)"),0)</f>
        <v>0</v>
      </c>
      <c r="N1970" s="6">
        <v>1</v>
      </c>
      <c r="O1970" s="7">
        <v>45536</v>
      </c>
      <c r="P1970" s="6">
        <v>-1.82</v>
      </c>
      <c r="Q1970" s="7">
        <v>45536</v>
      </c>
      <c r="R1970" s="6">
        <v>0</v>
      </c>
      <c r="S1970" s="6">
        <v>0</v>
      </c>
      <c r="T1970" s="6">
        <v>3.16</v>
      </c>
      <c r="U1970" s="6">
        <v>1</v>
      </c>
      <c r="V1970" s="7">
        <v>45352</v>
      </c>
      <c r="W1970" s="10">
        <f ca="1">IFERROR(__xludf.DUMMYFUNCTION("IFERROR(GOOGLEFINANCE(B1970,""pe""),V1970)"),45352)</f>
        <v>45352</v>
      </c>
      <c r="X1970" s="6">
        <v>0</v>
      </c>
      <c r="Y1970" s="6">
        <v>-50.76</v>
      </c>
      <c r="Z1970" s="6">
        <v>-48.69</v>
      </c>
      <c r="AA1970" s="3" t="s">
        <v>6056</v>
      </c>
      <c r="AB1970" s="11"/>
      <c r="AC1970" s="9"/>
      <c r="AD1970" s="9"/>
      <c r="AE1970" s="1">
        <v>0</v>
      </c>
      <c r="AF1970" s="1">
        <f ca="1">IFERROR(__xludf.DUMMYFUNCTION("IFERROR(GOOGLEFINANCE(TRIM(F1970)&amp;"":"" &amp; TRIM(B1970),""high52""),AE1970)"),0)</f>
        <v>0</v>
      </c>
      <c r="AG1970" s="1">
        <v>0</v>
      </c>
      <c r="AH1970" s="1">
        <f ca="1">IFERROR(__xludf.DUMMYFUNCTION("IFERROR(GOOGLEFINANCE(TRIM(F1970)&amp;"":"" &amp; TRIM(B1970),""low52""),AE1970)"),0)</f>
        <v>0</v>
      </c>
      <c r="AI1970" s="1">
        <f ca="1">IFERROR(__xludf.DUMMYFUNCTION("IFERROR(GOOGLEFINANCE(B1970,""eps""),0)"),0)</f>
        <v>0</v>
      </c>
      <c r="AJ1970" s="1"/>
      <c r="AK1970" s="1" t="s">
        <v>6057</v>
      </c>
      <c r="AL1970" s="9">
        <f t="shared" si="225"/>
        <v>1</v>
      </c>
    </row>
    <row r="1971" spans="1:38" ht="15" x14ac:dyDescent="0.25">
      <c r="A1971" s="1" t="s">
        <v>6058</v>
      </c>
      <c r="B1971" s="1" t="s">
        <v>6059</v>
      </c>
      <c r="C1971" s="1" t="s">
        <v>208</v>
      </c>
      <c r="D1971" s="1" t="s">
        <v>208</v>
      </c>
      <c r="E1971" s="6">
        <v>77.86</v>
      </c>
      <c r="F1971" s="1" t="s">
        <v>53</v>
      </c>
      <c r="G1971" s="6">
        <f ca="1">IFERROR(__xludf.DUMMYFUNCTION("iferror(GOOGLEFINANCE(TRIM(F1971)&amp;"":"" &amp; TRIM(B1971), ""price""),0
)"),0)</f>
        <v>0</v>
      </c>
      <c r="H1971" s="6">
        <v>74.900000000000006</v>
      </c>
      <c r="I1971" s="6">
        <f t="shared" ca="1" si="0"/>
        <v>74.900000000000006</v>
      </c>
      <c r="J1971" s="6">
        <f ca="1">IFERROR(__xludf.DUMMYFUNCTION("IFERROR(GOOGLEFINANCE(B1971, ""volume""), 0)"),0)</f>
        <v>0</v>
      </c>
      <c r="K1971" s="6">
        <v>1.99</v>
      </c>
      <c r="L1971" s="6">
        <f ca="1">IFERROR(__xludf.DUMMYFUNCTION("IFERROR(GOOGLEFINANCE(B1971,""changepct""),K1971)"),1.99)</f>
        <v>1.99</v>
      </c>
      <c r="M1971" s="6">
        <f ca="1">IFERROR(__xludf.DUMMYFUNCTION("IFERROR(GOOGLEFINANCE(B1971,""change""),0)"),0)</f>
        <v>0</v>
      </c>
      <c r="N1971" s="6">
        <v>2</v>
      </c>
      <c r="O1971" s="7">
        <v>45536</v>
      </c>
      <c r="P1971" s="6">
        <v>-1.87</v>
      </c>
      <c r="Q1971" s="7">
        <v>45536</v>
      </c>
      <c r="R1971" s="6">
        <v>0</v>
      </c>
      <c r="S1971" s="9"/>
      <c r="T1971" s="6">
        <v>0.96</v>
      </c>
      <c r="U1971" s="6">
        <v>2</v>
      </c>
      <c r="V1971" s="7">
        <v>45352</v>
      </c>
      <c r="W1971" s="10">
        <f ca="1">IFERROR(__xludf.DUMMYFUNCTION("IFERROR(GOOGLEFINANCE(B1971,""pe""),V1971)"),45352)</f>
        <v>45352</v>
      </c>
      <c r="X1971" s="6">
        <v>0.16</v>
      </c>
      <c r="Y1971" s="6">
        <v>-5.35</v>
      </c>
      <c r="Z1971" s="6">
        <v>3.55</v>
      </c>
      <c r="AA1971" s="3" t="s">
        <v>6060</v>
      </c>
      <c r="AB1971" s="11"/>
      <c r="AC1971" s="9"/>
      <c r="AD1971" s="9"/>
      <c r="AE1971" s="1">
        <v>0</v>
      </c>
      <c r="AF1971" s="1">
        <f ca="1">IFERROR(__xludf.DUMMYFUNCTION("IFERROR(GOOGLEFINANCE(TRIM(F1971)&amp;"":"" &amp; TRIM(B1971),""high52""),AE1971)"),0)</f>
        <v>0</v>
      </c>
      <c r="AG1971" s="1">
        <v>0</v>
      </c>
      <c r="AH1971" s="1">
        <f ca="1">IFERROR(__xludf.DUMMYFUNCTION("IFERROR(GOOGLEFINANCE(TRIM(F1971)&amp;"":"" &amp; TRIM(B1971),""low52""),AE1971)"),0)</f>
        <v>0</v>
      </c>
      <c r="AI1971" s="1">
        <f ca="1">IFERROR(__xludf.DUMMYFUNCTION("IFERROR(GOOGLEFINANCE(B1971,""eps""),0)"),0)</f>
        <v>0</v>
      </c>
      <c r="AJ1971" s="1"/>
      <c r="AK1971" s="1" t="s">
        <v>6061</v>
      </c>
      <c r="AL1971" s="9">
        <f t="shared" si="225"/>
        <v>1</v>
      </c>
    </row>
    <row r="1972" spans="1:38" ht="15" x14ac:dyDescent="0.25">
      <c r="A1972" s="1" t="s">
        <v>6062</v>
      </c>
      <c r="B1972" s="1" t="s">
        <v>6063</v>
      </c>
      <c r="C1972" s="1" t="s">
        <v>208</v>
      </c>
      <c r="D1972" s="1" t="s">
        <v>208</v>
      </c>
      <c r="E1972" s="6">
        <v>11.99</v>
      </c>
      <c r="F1972" s="1" t="s">
        <v>53</v>
      </c>
      <c r="G1972" s="6">
        <f ca="1">IFERROR(__xludf.DUMMYFUNCTION("iferror(GOOGLEFINANCE(TRIM(F1972)&amp;"":"" &amp; TRIM(B1972), ""price""),0
)"),0)</f>
        <v>0</v>
      </c>
      <c r="H1972" s="6">
        <v>26.13</v>
      </c>
      <c r="I1972" s="6">
        <f t="shared" ca="1" si="0"/>
        <v>26.13</v>
      </c>
      <c r="J1972" s="6">
        <f ca="1">IFERROR(__xludf.DUMMYFUNCTION("IFERROR(GOOGLEFINANCE(B1972, ""volume""), 0)"),0)</f>
        <v>0</v>
      </c>
      <c r="K1972" s="6">
        <v>1.99</v>
      </c>
      <c r="L1972" s="6">
        <f ca="1">IFERROR(__xludf.DUMMYFUNCTION("IFERROR(GOOGLEFINANCE(B1972,""changepct""),K1972)"),1.99)</f>
        <v>1.99</v>
      </c>
      <c r="M1972" s="6">
        <f ca="1">IFERROR(__xludf.DUMMYFUNCTION("IFERROR(GOOGLEFINANCE(B1972,""change""),0)"),0)</f>
        <v>0</v>
      </c>
      <c r="N1972" s="6">
        <v>1</v>
      </c>
      <c r="O1972" s="7">
        <v>45536</v>
      </c>
      <c r="P1972" s="6">
        <v>-0.4</v>
      </c>
      <c r="Q1972" s="7">
        <v>45536</v>
      </c>
      <c r="R1972" s="6">
        <v>0</v>
      </c>
      <c r="S1972" s="6">
        <v>0</v>
      </c>
      <c r="T1972" s="6">
        <v>2.15</v>
      </c>
      <c r="U1972" s="6">
        <v>1</v>
      </c>
      <c r="V1972" s="7">
        <v>45352</v>
      </c>
      <c r="W1972" s="10">
        <f ca="1">IFERROR(__xludf.DUMMYFUNCTION("IFERROR(GOOGLEFINANCE(B1972,""pe""),V1972)"),45352)</f>
        <v>45352</v>
      </c>
      <c r="X1972" s="6">
        <v>1.35</v>
      </c>
      <c r="Y1972" s="6">
        <v>-0.33</v>
      </c>
      <c r="Z1972" s="6">
        <v>4.8</v>
      </c>
      <c r="AA1972" s="3" t="s">
        <v>6064</v>
      </c>
      <c r="AB1972" s="11"/>
      <c r="AC1972" s="9"/>
      <c r="AD1972" s="9"/>
      <c r="AE1972" s="1">
        <v>0</v>
      </c>
      <c r="AF1972" s="1">
        <f ca="1">IFERROR(__xludf.DUMMYFUNCTION("IFERROR(GOOGLEFINANCE(TRIM(F1972)&amp;"":"" &amp; TRIM(B1972),""high52""),AE1972)"),0)</f>
        <v>0</v>
      </c>
      <c r="AG1972" s="1">
        <v>0</v>
      </c>
      <c r="AH1972" s="1">
        <f ca="1">IFERROR(__xludf.DUMMYFUNCTION("IFERROR(GOOGLEFINANCE(TRIM(F1972)&amp;"":"" &amp; TRIM(B1972),""low52""),AE1972)"),0)</f>
        <v>0</v>
      </c>
      <c r="AI1972" s="1">
        <f ca="1">IFERROR(__xludf.DUMMYFUNCTION("IFERROR(GOOGLEFINANCE(B1972,""eps""),0)"),0)</f>
        <v>0</v>
      </c>
      <c r="AJ1972" s="1"/>
      <c r="AK1972" s="1" t="s">
        <v>6065</v>
      </c>
      <c r="AL1972" s="9">
        <f t="shared" si="225"/>
        <v>1</v>
      </c>
    </row>
    <row r="1973" spans="1:38" ht="15" x14ac:dyDescent="0.25">
      <c r="A1973" s="1" t="s">
        <v>6066</v>
      </c>
      <c r="B1973" s="1" t="s">
        <v>6067</v>
      </c>
      <c r="C1973" s="1" t="s">
        <v>208</v>
      </c>
      <c r="D1973" s="1" t="s">
        <v>208</v>
      </c>
      <c r="E1973" s="6">
        <v>33.99</v>
      </c>
      <c r="F1973" s="1" t="s">
        <v>53</v>
      </c>
      <c r="G1973" s="6">
        <f ca="1">IFERROR(__xludf.DUMMYFUNCTION("iferror(GOOGLEFINANCE(TRIM(F1973)&amp;"":"" &amp; TRIM(B1973), ""price""),0
)"),0)</f>
        <v>0</v>
      </c>
      <c r="H1973" s="6">
        <v>33.99</v>
      </c>
      <c r="I1973" s="6">
        <f t="shared" ca="1" si="0"/>
        <v>33.99</v>
      </c>
      <c r="J1973" s="6">
        <f ca="1">IFERROR(__xludf.DUMMYFUNCTION("IFERROR(GOOGLEFINANCE(B1973, ""volume""), 0)"),0)</f>
        <v>0</v>
      </c>
      <c r="K1973" s="12"/>
      <c r="L1973" s="6" t="str">
        <f ca="1">IFERROR(__xludf.DUMMYFUNCTION("IFERROR(GOOGLEFINANCE(B1973,""changepct""),K1973)"),"")</f>
        <v/>
      </c>
      <c r="M1973" s="6">
        <f ca="1">IFERROR(__xludf.DUMMYFUNCTION("IFERROR(GOOGLEFINANCE(B1973,""change""),0)"),0)</f>
        <v>0</v>
      </c>
      <c r="N1973" s="6">
        <v>1</v>
      </c>
      <c r="O1973" s="7">
        <v>45536</v>
      </c>
      <c r="P1973" s="6">
        <v>-0.04</v>
      </c>
      <c r="Q1973" s="7">
        <v>45536</v>
      </c>
      <c r="R1973" s="6">
        <v>0</v>
      </c>
      <c r="S1973" s="6">
        <v>0</v>
      </c>
      <c r="T1973" s="6">
        <v>1.92</v>
      </c>
      <c r="U1973" s="6">
        <v>1</v>
      </c>
      <c r="V1973" s="7">
        <v>45352</v>
      </c>
      <c r="W1973" s="10">
        <f ca="1">IFERROR(__xludf.DUMMYFUNCTION("IFERROR(GOOGLEFINANCE(B1973,""pe""),V1973)"),45352)</f>
        <v>45352</v>
      </c>
      <c r="X1973" s="6">
        <v>2.57</v>
      </c>
      <c r="Y1973" s="6">
        <v>2.0699999999999998</v>
      </c>
      <c r="Z1973" s="6">
        <v>7.99</v>
      </c>
      <c r="AA1973" s="3" t="s">
        <v>6068</v>
      </c>
      <c r="AB1973" s="11"/>
      <c r="AC1973" s="9"/>
      <c r="AD1973" s="9"/>
      <c r="AE1973" s="1">
        <v>0</v>
      </c>
      <c r="AF1973" s="1">
        <f ca="1">IFERROR(__xludf.DUMMYFUNCTION("IFERROR(GOOGLEFINANCE(TRIM(F1973)&amp;"":"" &amp; TRIM(B1973),""high52""),AE1973)"),0)</f>
        <v>0</v>
      </c>
      <c r="AG1973" s="1">
        <v>0</v>
      </c>
      <c r="AH1973" s="1">
        <f ca="1">IFERROR(__xludf.DUMMYFUNCTION("IFERROR(GOOGLEFINANCE(TRIM(F1973)&amp;"":"" &amp; TRIM(B1973),""low52""),AE1973)"),0)</f>
        <v>0</v>
      </c>
      <c r="AI1973" s="1">
        <f ca="1">IFERROR(__xludf.DUMMYFUNCTION("IFERROR(GOOGLEFINANCE(B1973,""eps""),0)"),0)</f>
        <v>0</v>
      </c>
      <c r="AJ1973" s="1"/>
      <c r="AK1973" s="9"/>
      <c r="AL1973" s="9">
        <f t="shared" si="225"/>
        <v>1</v>
      </c>
    </row>
    <row r="1974" spans="1:38" ht="15" x14ac:dyDescent="0.25">
      <c r="A1974" s="1" t="s">
        <v>6069</v>
      </c>
      <c r="B1974" s="1" t="s">
        <v>6070</v>
      </c>
      <c r="C1974" s="1" t="s">
        <v>219</v>
      </c>
      <c r="D1974" s="1" t="s">
        <v>219</v>
      </c>
      <c r="E1974" s="6">
        <v>4998.28</v>
      </c>
      <c r="F1974" s="1" t="s">
        <v>40</v>
      </c>
      <c r="G1974" s="6">
        <f ca="1">IFERROR(__xludf.DUMMYFUNCTION("iferror(GOOGLEFINANCE(TRIM(F1974)&amp;"":"" &amp; TRIM(B1974), ""price""),0
)"),700)</f>
        <v>700</v>
      </c>
      <c r="H1974" s="6">
        <v>1158.1500000000001</v>
      </c>
      <c r="I1974" s="6">
        <f t="shared" ca="1" si="0"/>
        <v>700</v>
      </c>
      <c r="J1974" s="6">
        <f ca="1">IFERROR(__xludf.DUMMYFUNCTION("IFERROR(GOOGLEFINANCE(B1974, ""volume""), 0)"),116694)</f>
        <v>116694</v>
      </c>
      <c r="K1974" s="6">
        <v>0.38</v>
      </c>
      <c r="L1974" s="6">
        <f ca="1">IFERROR(__xludf.DUMMYFUNCTION("IFERROR(GOOGLEFINANCE(B1974,""changepct""),K1974)"),-0.81)</f>
        <v>-0.81</v>
      </c>
      <c r="M1974" s="6">
        <f ca="1">IFERROR(__xludf.DUMMYFUNCTION("IFERROR(GOOGLEFINANCE(B1974,""change""),0)"),-0.01)</f>
        <v>-0.01</v>
      </c>
      <c r="N1974" s="6">
        <v>2</v>
      </c>
      <c r="O1974" s="7">
        <v>45536</v>
      </c>
      <c r="P1974" s="6">
        <v>559.78</v>
      </c>
      <c r="Q1974" s="6">
        <v>4920.99</v>
      </c>
      <c r="R1974" s="7">
        <v>45352</v>
      </c>
      <c r="S1974" s="6">
        <v>1959.49</v>
      </c>
      <c r="T1974" s="6">
        <v>248.78</v>
      </c>
      <c r="U1974" s="7">
        <v>45352</v>
      </c>
      <c r="V1974" s="6">
        <v>20.09</v>
      </c>
      <c r="W1974" s="6">
        <f ca="1">IFERROR(__xludf.DUMMYFUNCTION("IFERROR(GOOGLEFINANCE(B1974,""pe""),V1974)"),9.63)</f>
        <v>9.6300000000000008</v>
      </c>
      <c r="X1974" s="6">
        <v>1.35</v>
      </c>
      <c r="Y1974" s="6">
        <v>2.85</v>
      </c>
      <c r="Z1974" s="6">
        <v>2</v>
      </c>
      <c r="AA1974" s="8">
        <v>45352</v>
      </c>
      <c r="AB1974" s="4">
        <v>0.35</v>
      </c>
      <c r="AC1974" s="6">
        <v>16.329999999999998</v>
      </c>
      <c r="AD1974" s="6">
        <v>18.02</v>
      </c>
      <c r="AE1974" s="1">
        <v>0</v>
      </c>
      <c r="AF1974" s="1">
        <f ca="1">IFERROR(__xludf.DUMMYFUNCTION("IFERROR(GOOGLEFINANCE(TRIM(F1974)&amp;"":"" &amp; TRIM(B1974),""high52""),AE1974)"),988.8)</f>
        <v>988.8</v>
      </c>
      <c r="AG1974" s="1">
        <v>0</v>
      </c>
      <c r="AH1974" s="1">
        <f ca="1">IFERROR(__xludf.DUMMYFUNCTION("IFERROR(GOOGLEFINANCE(TRIM(F1974)&amp;"":"" &amp; TRIM(B1974),""low52""),AE1974)"),660.2)</f>
        <v>660.2</v>
      </c>
      <c r="AI1974" s="1">
        <f ca="1">IFERROR(__xludf.DUMMYFUNCTION("IFERROR(GOOGLEFINANCE(B1974,""eps""),0)"),0.13)</f>
        <v>0.13</v>
      </c>
      <c r="AJ1974" s="1"/>
      <c r="AK1974" s="9"/>
      <c r="AL1974" s="9">
        <f t="shared" si="225"/>
        <v>1</v>
      </c>
    </row>
    <row r="1975" spans="1:38" ht="15" x14ac:dyDescent="0.25">
      <c r="A1975" s="1" t="s">
        <v>6071</v>
      </c>
      <c r="B1975" s="1" t="s">
        <v>6072</v>
      </c>
      <c r="C1975" s="1" t="s">
        <v>208</v>
      </c>
      <c r="D1975" s="1" t="s">
        <v>208</v>
      </c>
      <c r="E1975" s="6">
        <v>22.38</v>
      </c>
      <c r="F1975" s="1" t="s">
        <v>53</v>
      </c>
      <c r="G1975" s="6">
        <f ca="1">IFERROR(__xludf.DUMMYFUNCTION("iferror(GOOGLEFINANCE(TRIM(F1975)&amp;"":"" &amp; TRIM(B1975), ""price""),0
)"),0)</f>
        <v>0</v>
      </c>
      <c r="H1975" s="6">
        <v>6.34</v>
      </c>
      <c r="I1975" s="6">
        <f t="shared" ca="1" si="0"/>
        <v>6.34</v>
      </c>
      <c r="J1975" s="6">
        <f ca="1">IFERROR(__xludf.DUMMYFUNCTION("IFERROR(GOOGLEFINANCE(B1975, ""volume""), 0)"),0)</f>
        <v>0</v>
      </c>
      <c r="K1975" s="6">
        <v>4.97</v>
      </c>
      <c r="L1975" s="6">
        <f ca="1">IFERROR(__xludf.DUMMYFUNCTION("IFERROR(GOOGLEFINANCE(B1975,""changepct""),K1975)"),4.97)</f>
        <v>4.97</v>
      </c>
      <c r="M1975" s="6">
        <f ca="1">IFERROR(__xludf.DUMMYFUNCTION("IFERROR(GOOGLEFINANCE(B1975,""change""),0)"),0)</f>
        <v>0</v>
      </c>
      <c r="N1975" s="6">
        <v>1</v>
      </c>
      <c r="O1975" s="7">
        <v>45536</v>
      </c>
      <c r="P1975" s="6">
        <v>-12.54</v>
      </c>
      <c r="Q1975" s="7">
        <v>45536</v>
      </c>
      <c r="R1975" s="6">
        <v>0</v>
      </c>
      <c r="S1975" s="9"/>
      <c r="T1975" s="6">
        <v>3.28</v>
      </c>
      <c r="U1975" s="6">
        <v>1</v>
      </c>
      <c r="V1975" s="7">
        <v>45352</v>
      </c>
      <c r="W1975" s="10">
        <f ca="1">IFERROR(__xludf.DUMMYFUNCTION("IFERROR(GOOGLEFINANCE(B1975,""pe""),V1975)"),45352)</f>
        <v>45352</v>
      </c>
      <c r="X1975" s="6">
        <v>7.0000000000000007E-2</v>
      </c>
      <c r="Y1975" s="6">
        <v>-94.88</v>
      </c>
      <c r="Z1975" s="6">
        <v>-92.01</v>
      </c>
      <c r="AA1975" s="3" t="s">
        <v>6073</v>
      </c>
      <c r="AB1975" s="11"/>
      <c r="AC1975" s="9"/>
      <c r="AD1975" s="9"/>
      <c r="AE1975" s="1">
        <v>0</v>
      </c>
      <c r="AF1975" s="1">
        <f ca="1">IFERROR(__xludf.DUMMYFUNCTION("IFERROR(GOOGLEFINANCE(TRIM(F1975)&amp;"":"" &amp; TRIM(B1975),""high52""),AE1975)"),0)</f>
        <v>0</v>
      </c>
      <c r="AG1975" s="1">
        <v>0</v>
      </c>
      <c r="AH1975" s="1">
        <f ca="1">IFERROR(__xludf.DUMMYFUNCTION("IFERROR(GOOGLEFINANCE(TRIM(F1975)&amp;"":"" &amp; TRIM(B1975),""low52""),AE1975)"),0)</f>
        <v>0</v>
      </c>
      <c r="AI1975" s="1">
        <f ca="1">IFERROR(__xludf.DUMMYFUNCTION("IFERROR(GOOGLEFINANCE(B1975,""eps""),0)"),0)</f>
        <v>0</v>
      </c>
      <c r="AJ1975" s="1"/>
      <c r="AK1975" s="9"/>
      <c r="AL1975" s="9">
        <f t="shared" si="225"/>
        <v>1</v>
      </c>
    </row>
    <row r="1976" spans="1:38" ht="15" x14ac:dyDescent="0.25">
      <c r="A1976" s="1" t="s">
        <v>6074</v>
      </c>
      <c r="B1976" s="1" t="s">
        <v>6075</v>
      </c>
      <c r="C1976" s="1" t="s">
        <v>208</v>
      </c>
      <c r="D1976" s="1" t="s">
        <v>208</v>
      </c>
      <c r="E1976" s="6">
        <v>8.15</v>
      </c>
      <c r="F1976" s="1" t="s">
        <v>53</v>
      </c>
      <c r="G1976" s="6">
        <f ca="1">IFERROR(__xludf.DUMMYFUNCTION("iferror(GOOGLEFINANCE(TRIM(F1976)&amp;"":"" &amp; TRIM(B1976), ""price""),0
)"),0)</f>
        <v>0</v>
      </c>
      <c r="H1976" s="6">
        <v>7.75</v>
      </c>
      <c r="I1976" s="6">
        <f t="shared" ca="1" si="0"/>
        <v>7.75</v>
      </c>
      <c r="J1976" s="6">
        <f ca="1">IFERROR(__xludf.DUMMYFUNCTION("IFERROR(GOOGLEFINANCE(B1976, ""volume""), 0)"),0)</f>
        <v>0</v>
      </c>
      <c r="K1976" s="6">
        <v>-4.91</v>
      </c>
      <c r="L1976" s="6">
        <f ca="1">IFERROR(__xludf.DUMMYFUNCTION("IFERROR(GOOGLEFINANCE(B1976,""changepct""),K1976)"),-4.91)</f>
        <v>-4.91</v>
      </c>
      <c r="M1976" s="6">
        <f ca="1">IFERROR(__xludf.DUMMYFUNCTION("IFERROR(GOOGLEFINANCE(B1976,""change""),0)"),0)</f>
        <v>0</v>
      </c>
      <c r="N1976" s="6">
        <v>1</v>
      </c>
      <c r="O1976" s="7">
        <v>45536</v>
      </c>
      <c r="P1976" s="6">
        <v>-0.16</v>
      </c>
      <c r="Q1976" s="7">
        <v>45536</v>
      </c>
      <c r="R1976" s="6">
        <v>0</v>
      </c>
      <c r="S1976" s="6">
        <v>0</v>
      </c>
      <c r="T1976" s="6">
        <v>0.84</v>
      </c>
      <c r="U1976" s="6">
        <v>1</v>
      </c>
      <c r="V1976" s="7">
        <v>45352</v>
      </c>
      <c r="W1976" s="10">
        <f ca="1">IFERROR(__xludf.DUMMYFUNCTION("IFERROR(GOOGLEFINANCE(B1976,""pe""),V1976)"),45352)</f>
        <v>45352</v>
      </c>
      <c r="X1976" s="6">
        <v>0.02</v>
      </c>
      <c r="Y1976" s="6">
        <v>0.13</v>
      </c>
      <c r="Z1976" s="6">
        <v>0.42</v>
      </c>
      <c r="AA1976" s="3" t="s">
        <v>6076</v>
      </c>
      <c r="AB1976" s="11"/>
      <c r="AC1976" s="9"/>
      <c r="AD1976" s="9"/>
      <c r="AE1976" s="1">
        <v>0</v>
      </c>
      <c r="AF1976" s="1">
        <f ca="1">IFERROR(__xludf.DUMMYFUNCTION("IFERROR(GOOGLEFINANCE(TRIM(F1976)&amp;"":"" &amp; TRIM(B1976),""high52""),AE1976)"),0)</f>
        <v>0</v>
      </c>
      <c r="AG1976" s="1">
        <v>0</v>
      </c>
      <c r="AH1976" s="1">
        <f ca="1">IFERROR(__xludf.DUMMYFUNCTION("IFERROR(GOOGLEFINANCE(TRIM(F1976)&amp;"":"" &amp; TRIM(B1976),""low52""),AE1976)"),0)</f>
        <v>0</v>
      </c>
      <c r="AI1976" s="1">
        <f ca="1">IFERROR(__xludf.DUMMYFUNCTION("IFERROR(GOOGLEFINANCE(B1976,""eps""),0)"),0)</f>
        <v>0</v>
      </c>
      <c r="AJ1976" s="1"/>
      <c r="AK1976" s="1" t="s">
        <v>6077</v>
      </c>
      <c r="AL1976" s="9">
        <f t="shared" si="225"/>
        <v>1</v>
      </c>
    </row>
    <row r="1977" spans="1:38" ht="15" x14ac:dyDescent="0.25">
      <c r="A1977" s="1" t="s">
        <v>6078</v>
      </c>
      <c r="B1977" s="1" t="s">
        <v>6079</v>
      </c>
      <c r="C1977" s="1" t="s">
        <v>208</v>
      </c>
      <c r="D1977" s="1" t="s">
        <v>208</v>
      </c>
      <c r="E1977" s="6">
        <v>304.45999999999998</v>
      </c>
      <c r="F1977" s="1" t="s">
        <v>53</v>
      </c>
      <c r="G1977" s="6">
        <f ca="1">IFERROR(__xludf.DUMMYFUNCTION("iferror(GOOGLEFINANCE(TRIM(F1977)&amp;"":"" &amp; TRIM(B1977), ""price""),0
)"),0)</f>
        <v>0</v>
      </c>
      <c r="H1977" s="6">
        <v>68.2</v>
      </c>
      <c r="I1977" s="6">
        <f t="shared" ca="1" si="0"/>
        <v>68.2</v>
      </c>
      <c r="J1977" s="6">
        <f ca="1">IFERROR(__xludf.DUMMYFUNCTION("IFERROR(GOOGLEFINANCE(B1977, ""volume""), 0)"),0)</f>
        <v>0</v>
      </c>
      <c r="K1977" s="6">
        <v>0.4</v>
      </c>
      <c r="L1977" s="6">
        <f ca="1">IFERROR(__xludf.DUMMYFUNCTION("IFERROR(GOOGLEFINANCE(B1977,""changepct""),K1977)"),0.4)</f>
        <v>0.4</v>
      </c>
      <c r="M1977" s="6">
        <f ca="1">IFERROR(__xludf.DUMMYFUNCTION("IFERROR(GOOGLEFINANCE(B1977,""change""),0)"),0)</f>
        <v>0</v>
      </c>
      <c r="N1977" s="6">
        <v>1</v>
      </c>
      <c r="O1977" s="7">
        <v>45352</v>
      </c>
      <c r="P1977" s="6">
        <v>-7.61</v>
      </c>
      <c r="Q1977" s="7">
        <v>45352</v>
      </c>
      <c r="R1977" s="6">
        <v>0</v>
      </c>
      <c r="S1977" s="9"/>
      <c r="T1977" s="6">
        <v>6.09</v>
      </c>
      <c r="U1977" s="6">
        <v>1</v>
      </c>
      <c r="V1977" s="7">
        <v>45352</v>
      </c>
      <c r="W1977" s="10">
        <f ca="1">IFERROR(__xludf.DUMMYFUNCTION("IFERROR(GOOGLEFINANCE(B1977,""pe""),V1977)"),45352)</f>
        <v>45352</v>
      </c>
      <c r="X1977" s="6">
        <v>0.46</v>
      </c>
      <c r="Y1977" s="6">
        <v>-23.53</v>
      </c>
      <c r="Z1977" s="6">
        <v>-27.74</v>
      </c>
      <c r="AA1977" s="3" t="s">
        <v>6080</v>
      </c>
      <c r="AB1977" s="11"/>
      <c r="AC1977" s="9"/>
      <c r="AD1977" s="9"/>
      <c r="AE1977" s="1">
        <v>0</v>
      </c>
      <c r="AF1977" s="1">
        <f ca="1">IFERROR(__xludf.DUMMYFUNCTION("IFERROR(GOOGLEFINANCE(TRIM(F1977)&amp;"":"" &amp; TRIM(B1977),""high52""),AE1977)"),0)</f>
        <v>0</v>
      </c>
      <c r="AG1977" s="1">
        <v>0</v>
      </c>
      <c r="AH1977" s="1">
        <f ca="1">IFERROR(__xludf.DUMMYFUNCTION("IFERROR(GOOGLEFINANCE(TRIM(F1977)&amp;"":"" &amp; TRIM(B1977),""low52""),AE1977)"),0)</f>
        <v>0</v>
      </c>
      <c r="AI1977" s="1">
        <f ca="1">IFERROR(__xludf.DUMMYFUNCTION("IFERROR(GOOGLEFINANCE(B1977,""eps""),0)"),0)</f>
        <v>0</v>
      </c>
      <c r="AJ1977" s="1"/>
      <c r="AK1977" s="1" t="s">
        <v>6081</v>
      </c>
      <c r="AL1977" s="9">
        <f t="shared" si="225"/>
        <v>1</v>
      </c>
    </row>
    <row r="1978" spans="1:38" ht="15" x14ac:dyDescent="0.25">
      <c r="A1978" s="1" t="s">
        <v>6082</v>
      </c>
      <c r="B1978" s="1" t="s">
        <v>6083</v>
      </c>
      <c r="C1978" s="1" t="s">
        <v>208</v>
      </c>
      <c r="D1978" s="1" t="s">
        <v>208</v>
      </c>
      <c r="E1978" s="6">
        <v>18.32</v>
      </c>
      <c r="F1978" s="1" t="s">
        <v>53</v>
      </c>
      <c r="G1978" s="6">
        <f ca="1">IFERROR(__xludf.DUMMYFUNCTION("iferror(GOOGLEFINANCE(TRIM(F1978)&amp;"":"" &amp; TRIM(B1978), ""price""),0
)"),0)</f>
        <v>0</v>
      </c>
      <c r="H1978" s="6">
        <v>3.65</v>
      </c>
      <c r="I1978" s="6">
        <f t="shared" ca="1" si="0"/>
        <v>3.65</v>
      </c>
      <c r="J1978" s="6">
        <f ca="1">IFERROR(__xludf.DUMMYFUNCTION("IFERROR(GOOGLEFINANCE(B1978, ""volume""), 0)"),0)</f>
        <v>0</v>
      </c>
      <c r="K1978" s="6">
        <v>1.96</v>
      </c>
      <c r="L1978" s="6">
        <f ca="1">IFERROR(__xludf.DUMMYFUNCTION("IFERROR(GOOGLEFINANCE(B1978,""changepct""),K1978)"),1.96)</f>
        <v>1.96</v>
      </c>
      <c r="M1978" s="6">
        <f ca="1">IFERROR(__xludf.DUMMYFUNCTION("IFERROR(GOOGLEFINANCE(B1978,""change""),0)"),0)</f>
        <v>0</v>
      </c>
      <c r="N1978" s="6">
        <v>1</v>
      </c>
      <c r="O1978" s="7">
        <v>45536</v>
      </c>
      <c r="P1978" s="6">
        <v>0.02</v>
      </c>
      <c r="Q1978" s="7">
        <v>45536</v>
      </c>
      <c r="R1978" s="6">
        <v>0</v>
      </c>
      <c r="S1978" s="6">
        <v>0</v>
      </c>
      <c r="T1978" s="6">
        <v>3.34</v>
      </c>
      <c r="U1978" s="6">
        <v>1</v>
      </c>
      <c r="V1978" s="7">
        <v>45352</v>
      </c>
      <c r="W1978" s="10">
        <f ca="1">IFERROR(__xludf.DUMMYFUNCTION("IFERROR(GOOGLEFINANCE(B1978,""pe""),V1978)"),45352)</f>
        <v>45352</v>
      </c>
      <c r="X1978" s="6">
        <v>0.06</v>
      </c>
      <c r="Y1978" s="6">
        <v>0.3</v>
      </c>
      <c r="Z1978" s="6">
        <v>0.3</v>
      </c>
      <c r="AA1978" s="3" t="s">
        <v>6084</v>
      </c>
      <c r="AB1978" s="11"/>
      <c r="AC1978" s="9"/>
      <c r="AD1978" s="9"/>
      <c r="AE1978" s="1">
        <v>0</v>
      </c>
      <c r="AF1978" s="1">
        <f ca="1">IFERROR(__xludf.DUMMYFUNCTION("IFERROR(GOOGLEFINANCE(TRIM(F1978)&amp;"":"" &amp; TRIM(B1978),""high52""),AE1978)"),0)</f>
        <v>0</v>
      </c>
      <c r="AG1978" s="1">
        <v>0</v>
      </c>
      <c r="AH1978" s="1">
        <f ca="1">IFERROR(__xludf.DUMMYFUNCTION("IFERROR(GOOGLEFINANCE(TRIM(F1978)&amp;"":"" &amp; TRIM(B1978),""low52""),AE1978)"),0)</f>
        <v>0</v>
      </c>
      <c r="AI1978" s="1">
        <f ca="1">IFERROR(__xludf.DUMMYFUNCTION("IFERROR(GOOGLEFINANCE(B1978,""eps""),0)"),0)</f>
        <v>0</v>
      </c>
      <c r="AJ1978" s="1"/>
      <c r="AK1978" s="1" t="s">
        <v>6085</v>
      </c>
      <c r="AL1978" s="9">
        <f t="shared" si="225"/>
        <v>1</v>
      </c>
    </row>
    <row r="1979" spans="1:38" ht="15" x14ac:dyDescent="0.25">
      <c r="A1979" s="1" t="s">
        <v>6086</v>
      </c>
      <c r="B1979" s="1" t="s">
        <v>6087</v>
      </c>
      <c r="C1979" s="1" t="s">
        <v>208</v>
      </c>
      <c r="D1979" s="1" t="s">
        <v>208</v>
      </c>
      <c r="E1979" s="6">
        <v>17.420000000000002</v>
      </c>
      <c r="F1979" s="1" t="s">
        <v>53</v>
      </c>
      <c r="G1979" s="6">
        <f ca="1">IFERROR(__xludf.DUMMYFUNCTION("iferror(GOOGLEFINANCE(TRIM(F1979)&amp;"":"" &amp; TRIM(B1979), ""price""),0
)"),0)</f>
        <v>0</v>
      </c>
      <c r="H1979" s="6">
        <v>57.95</v>
      </c>
      <c r="I1979" s="6">
        <f t="shared" ca="1" si="0"/>
        <v>57.95</v>
      </c>
      <c r="J1979" s="6">
        <f ca="1">IFERROR(__xludf.DUMMYFUNCTION("IFERROR(GOOGLEFINANCE(B1979, ""volume""), 0)"),0)</f>
        <v>0</v>
      </c>
      <c r="K1979" s="9"/>
      <c r="L1979" s="6" t="str">
        <f ca="1">IFERROR(__xludf.DUMMYFUNCTION("IFERROR(GOOGLEFINANCE(B1979,""changepct""),K1979)"),"")</f>
        <v/>
      </c>
      <c r="M1979" s="6">
        <f ca="1">IFERROR(__xludf.DUMMYFUNCTION("IFERROR(GOOGLEFINANCE(B1979,""change""),0)"),0)</f>
        <v>0</v>
      </c>
      <c r="N1979" s="6">
        <v>1</v>
      </c>
      <c r="O1979" s="7">
        <v>45536</v>
      </c>
      <c r="P1979" s="6">
        <v>-0.03</v>
      </c>
      <c r="Q1979" s="7">
        <v>45536</v>
      </c>
      <c r="R1979" s="6">
        <v>0</v>
      </c>
      <c r="S1979" s="6">
        <v>0</v>
      </c>
      <c r="T1979" s="6">
        <v>1.6</v>
      </c>
      <c r="U1979" s="6">
        <v>1</v>
      </c>
      <c r="V1979" s="7">
        <v>45352</v>
      </c>
      <c r="W1979" s="10">
        <f ca="1">IFERROR(__xludf.DUMMYFUNCTION("IFERROR(GOOGLEFINANCE(B1979,""pe""),V1979)"),45352)</f>
        <v>45352</v>
      </c>
      <c r="X1979" s="6">
        <v>0.01</v>
      </c>
      <c r="Y1979" s="6">
        <v>31.89</v>
      </c>
      <c r="Z1979" s="6">
        <v>30.9</v>
      </c>
      <c r="AA1979" s="3" t="s">
        <v>6088</v>
      </c>
      <c r="AB1979" s="11"/>
      <c r="AC1979" s="9"/>
      <c r="AD1979" s="9"/>
      <c r="AE1979" s="1">
        <v>0</v>
      </c>
      <c r="AF1979" s="1">
        <f ca="1">IFERROR(__xludf.DUMMYFUNCTION("IFERROR(GOOGLEFINANCE(TRIM(F1979)&amp;"":"" &amp; TRIM(B1979),""high52""),AE1979)"),0)</f>
        <v>0</v>
      </c>
      <c r="AG1979" s="1">
        <v>0</v>
      </c>
      <c r="AH1979" s="1">
        <f ca="1">IFERROR(__xludf.DUMMYFUNCTION("IFERROR(GOOGLEFINANCE(TRIM(F1979)&amp;"":"" &amp; TRIM(B1979),""low52""),AE1979)"),0)</f>
        <v>0</v>
      </c>
      <c r="AI1979" s="1">
        <f ca="1">IFERROR(__xludf.DUMMYFUNCTION("IFERROR(GOOGLEFINANCE(B1979,""eps""),0)"),0)</f>
        <v>0</v>
      </c>
      <c r="AJ1979" s="1"/>
      <c r="AK1979" s="1" t="s">
        <v>6089</v>
      </c>
      <c r="AL1979" s="9">
        <f t="shared" si="225"/>
        <v>1</v>
      </c>
    </row>
    <row r="1980" spans="1:38" ht="15" x14ac:dyDescent="0.25">
      <c r="A1980" s="1" t="s">
        <v>6090</v>
      </c>
      <c r="B1980" s="1" t="s">
        <v>6091</v>
      </c>
      <c r="C1980" s="1" t="s">
        <v>208</v>
      </c>
      <c r="D1980" s="1" t="s">
        <v>208</v>
      </c>
      <c r="E1980" s="6">
        <v>263.27999999999997</v>
      </c>
      <c r="F1980" s="1" t="s">
        <v>53</v>
      </c>
      <c r="G1980" s="6">
        <f ca="1">IFERROR(__xludf.DUMMYFUNCTION("iferror(GOOGLEFINANCE(TRIM(F1980)&amp;"":"" &amp; TRIM(B1980), ""price""),0
)"),0)</f>
        <v>0</v>
      </c>
      <c r="H1980" s="6">
        <v>155</v>
      </c>
      <c r="I1980" s="6">
        <f t="shared" ca="1" si="0"/>
        <v>155</v>
      </c>
      <c r="J1980" s="6">
        <f ca="1">IFERROR(__xludf.DUMMYFUNCTION("IFERROR(GOOGLEFINANCE(B1980, ""volume""), 0)"),0)</f>
        <v>0</v>
      </c>
      <c r="K1980" s="6">
        <v>1.31</v>
      </c>
      <c r="L1980" s="6">
        <f ca="1">IFERROR(__xludf.DUMMYFUNCTION("IFERROR(GOOGLEFINANCE(B1980,""changepct""),K1980)"),1.31)</f>
        <v>1.31</v>
      </c>
      <c r="M1980" s="6">
        <f ca="1">IFERROR(__xludf.DUMMYFUNCTION("IFERROR(GOOGLEFINANCE(B1980,""change""),0)"),0)</f>
        <v>0</v>
      </c>
      <c r="N1980" s="6">
        <v>1</v>
      </c>
      <c r="O1980" s="7">
        <v>45536</v>
      </c>
      <c r="P1980" s="6">
        <v>-0.3</v>
      </c>
      <c r="Q1980" s="7">
        <v>45536</v>
      </c>
      <c r="R1980" s="6">
        <v>0</v>
      </c>
      <c r="S1980" s="9"/>
      <c r="T1980" s="6">
        <v>10.039999999999999</v>
      </c>
      <c r="U1980" s="6">
        <v>1</v>
      </c>
      <c r="V1980" s="7">
        <v>45352</v>
      </c>
      <c r="W1980" s="10">
        <f ca="1">IFERROR(__xludf.DUMMYFUNCTION("IFERROR(GOOGLEFINANCE(B1980,""pe""),V1980)"),45352)</f>
        <v>45352</v>
      </c>
      <c r="X1980" s="6">
        <v>0</v>
      </c>
      <c r="Y1980" s="6">
        <v>-4.34</v>
      </c>
      <c r="Z1980" s="6">
        <v>-4.04</v>
      </c>
      <c r="AA1980" s="3" t="s">
        <v>6092</v>
      </c>
      <c r="AB1980" s="11"/>
      <c r="AC1980" s="9"/>
      <c r="AD1980" s="9"/>
      <c r="AE1980" s="1">
        <v>0</v>
      </c>
      <c r="AF1980" s="1">
        <f ca="1">IFERROR(__xludf.DUMMYFUNCTION("IFERROR(GOOGLEFINANCE(TRIM(F1980)&amp;"":"" &amp; TRIM(B1980),""high52""),AE1980)"),0)</f>
        <v>0</v>
      </c>
      <c r="AG1980" s="1">
        <v>0</v>
      </c>
      <c r="AH1980" s="1">
        <f ca="1">IFERROR(__xludf.DUMMYFUNCTION("IFERROR(GOOGLEFINANCE(TRIM(F1980)&amp;"":"" &amp; TRIM(B1980),""low52""),AE1980)"),0)</f>
        <v>0</v>
      </c>
      <c r="AI1980" s="1">
        <f ca="1">IFERROR(__xludf.DUMMYFUNCTION("IFERROR(GOOGLEFINANCE(B1980,""eps""),0)"),0)</f>
        <v>0</v>
      </c>
      <c r="AJ1980" s="1"/>
      <c r="AK1980" s="1" t="s">
        <v>6093</v>
      </c>
      <c r="AL1980" s="9">
        <f t="shared" si="225"/>
        <v>1</v>
      </c>
    </row>
    <row r="1981" spans="1:38" ht="15" x14ac:dyDescent="0.25">
      <c r="A1981" s="1" t="s">
        <v>6094</v>
      </c>
      <c r="B1981" s="1" t="s">
        <v>6095</v>
      </c>
      <c r="C1981" s="1" t="s">
        <v>410</v>
      </c>
      <c r="D1981" s="1" t="s">
        <v>410</v>
      </c>
      <c r="E1981" s="6">
        <v>705.9</v>
      </c>
      <c r="F1981" s="1" t="s">
        <v>40</v>
      </c>
      <c r="G1981" s="6">
        <f ca="1">IFERROR(__xludf.DUMMYFUNCTION("iferror(GOOGLEFINANCE(TRIM(F1981)&amp;"":"" &amp; TRIM(B1981), ""price""),0
)"),217.5)</f>
        <v>217.5</v>
      </c>
      <c r="H1981" s="6">
        <v>240.15</v>
      </c>
      <c r="I1981" s="6">
        <f t="shared" ca="1" si="0"/>
        <v>217.5</v>
      </c>
      <c r="J1981" s="6">
        <f ca="1">IFERROR(__xludf.DUMMYFUNCTION("IFERROR(GOOGLEFINANCE(B1981, ""volume""), 0)"),23507)</f>
        <v>23507</v>
      </c>
      <c r="K1981" s="6">
        <v>0.28000000000000003</v>
      </c>
      <c r="L1981" s="6">
        <f ca="1">IFERROR(__xludf.DUMMYFUNCTION("IFERROR(GOOGLEFINANCE(B1981,""changepct""),K1981)"),-0.47)</f>
        <v>-0.47</v>
      </c>
      <c r="M1981" s="6">
        <f ca="1">IFERROR(__xludf.DUMMYFUNCTION("IFERROR(GOOGLEFINANCE(B1981,""change""),0)"),-1.03)</f>
        <v>-1.03</v>
      </c>
      <c r="N1981" s="6">
        <v>2</v>
      </c>
      <c r="O1981" s="7">
        <v>45536</v>
      </c>
      <c r="P1981" s="6">
        <v>150.28</v>
      </c>
      <c r="Q1981" s="6">
        <v>835.45</v>
      </c>
      <c r="R1981" s="7">
        <v>45536</v>
      </c>
      <c r="S1981" s="6">
        <v>329.72</v>
      </c>
      <c r="T1981" s="6">
        <v>52.7</v>
      </c>
      <c r="U1981" s="7">
        <v>45536</v>
      </c>
      <c r="V1981" s="6">
        <v>13.29</v>
      </c>
      <c r="W1981" s="6">
        <f ca="1">IFERROR(__xludf.DUMMYFUNCTION("IFERROR(GOOGLEFINANCE(B1981,""pe""),V1981)"),17.17)</f>
        <v>17.170000000000002</v>
      </c>
      <c r="X1981" s="6">
        <v>-37.97</v>
      </c>
      <c r="Y1981" s="6">
        <v>2.93</v>
      </c>
      <c r="Z1981" s="6">
        <v>2</v>
      </c>
      <c r="AA1981" s="8">
        <v>45352</v>
      </c>
      <c r="AB1981" s="4">
        <v>1.01</v>
      </c>
      <c r="AC1981" s="6">
        <v>26.52</v>
      </c>
      <c r="AD1981" s="6">
        <v>25.82</v>
      </c>
      <c r="AE1981" s="1">
        <v>0</v>
      </c>
      <c r="AF1981" s="1">
        <f ca="1">IFERROR(__xludf.DUMMYFUNCTION("IFERROR(GOOGLEFINANCE(TRIM(F1981)&amp;"":"" &amp; TRIM(B1981),""high52""),AE1981)"),353.6)</f>
        <v>353.6</v>
      </c>
      <c r="AG1981" s="1">
        <v>0</v>
      </c>
      <c r="AH1981" s="1">
        <f ca="1">IFERROR(__xludf.DUMMYFUNCTION("IFERROR(GOOGLEFINANCE(TRIM(F1981)&amp;"":"" &amp; TRIM(B1981),""low52""),AE1981)"),200)</f>
        <v>200</v>
      </c>
      <c r="AI1981" s="1">
        <f ca="1">IFERROR(__xludf.DUMMYFUNCTION("IFERROR(GOOGLEFINANCE(B1981,""eps""),0)"),12.67)</f>
        <v>12.67</v>
      </c>
      <c r="AJ1981" s="1"/>
      <c r="AK1981" s="9"/>
      <c r="AL1981" s="9">
        <f t="shared" si="225"/>
        <v>1</v>
      </c>
    </row>
    <row r="1982" spans="1:38" ht="15" x14ac:dyDescent="0.25">
      <c r="A1982" s="1" t="s">
        <v>6096</v>
      </c>
      <c r="B1982" s="1" t="s">
        <v>6097</v>
      </c>
      <c r="C1982" s="1" t="s">
        <v>208</v>
      </c>
      <c r="D1982" s="1" t="s">
        <v>208</v>
      </c>
      <c r="E1982" s="6">
        <v>34.47</v>
      </c>
      <c r="F1982" s="1" t="s">
        <v>53</v>
      </c>
      <c r="G1982" s="6">
        <f ca="1">IFERROR(__xludf.DUMMYFUNCTION("iferror(GOOGLEFINANCE(TRIM(F1982)&amp;"":"" &amp; TRIM(B1982), ""price""),0
)"),0)</f>
        <v>0</v>
      </c>
      <c r="H1982" s="6">
        <v>34.47</v>
      </c>
      <c r="I1982" s="6">
        <f t="shared" ca="1" si="0"/>
        <v>34.47</v>
      </c>
      <c r="J1982" s="6">
        <f ca="1">IFERROR(__xludf.DUMMYFUNCTION("IFERROR(GOOGLEFINANCE(B1982, ""volume""), 0)"),0)</f>
        <v>0</v>
      </c>
      <c r="K1982" s="9"/>
      <c r="L1982" s="6" t="str">
        <f ca="1">IFERROR(__xludf.DUMMYFUNCTION("IFERROR(GOOGLEFINANCE(B1982,""changepct""),K1982)"),"")</f>
        <v/>
      </c>
      <c r="M1982" s="6">
        <f ca="1">IFERROR(__xludf.DUMMYFUNCTION("IFERROR(GOOGLEFINANCE(B1982,""change""),0)"),0)</f>
        <v>0</v>
      </c>
      <c r="N1982" s="6">
        <v>1</v>
      </c>
      <c r="O1982" s="7">
        <v>45536</v>
      </c>
      <c r="P1982" s="6">
        <v>-0.17</v>
      </c>
      <c r="Q1982" s="7">
        <v>45536</v>
      </c>
      <c r="R1982" s="6">
        <v>0</v>
      </c>
      <c r="S1982" s="6">
        <v>0</v>
      </c>
      <c r="T1982" s="6">
        <v>-7.54</v>
      </c>
      <c r="U1982" s="6">
        <v>1</v>
      </c>
      <c r="V1982" s="7">
        <v>45352</v>
      </c>
      <c r="W1982" s="10">
        <f ca="1">IFERROR(__xludf.DUMMYFUNCTION("IFERROR(GOOGLEFINANCE(B1982,""pe""),V1982)"),45352)</f>
        <v>45352</v>
      </c>
      <c r="X1982" s="6">
        <v>-1.03</v>
      </c>
      <c r="Y1982" s="6">
        <v>0</v>
      </c>
      <c r="Z1982" s="6">
        <v>-173.43</v>
      </c>
      <c r="AA1982" s="3" t="s">
        <v>6098</v>
      </c>
      <c r="AB1982" s="11"/>
      <c r="AC1982" s="9"/>
      <c r="AD1982" s="9"/>
      <c r="AE1982" s="1">
        <v>0</v>
      </c>
      <c r="AF1982" s="1">
        <f ca="1">IFERROR(__xludf.DUMMYFUNCTION("IFERROR(GOOGLEFINANCE(TRIM(F1982)&amp;"":"" &amp; TRIM(B1982),""high52""),AE1982)"),0)</f>
        <v>0</v>
      </c>
      <c r="AG1982" s="1">
        <v>0</v>
      </c>
      <c r="AH1982" s="1">
        <f ca="1">IFERROR(__xludf.DUMMYFUNCTION("IFERROR(GOOGLEFINANCE(TRIM(F1982)&amp;"":"" &amp; TRIM(B1982),""low52""),AE1982)"),0)</f>
        <v>0</v>
      </c>
      <c r="AI1982" s="1">
        <f ca="1">IFERROR(__xludf.DUMMYFUNCTION("IFERROR(GOOGLEFINANCE(B1982,""eps""),0)"),0)</f>
        <v>0</v>
      </c>
      <c r="AJ1982" s="1"/>
      <c r="AK1982" s="1" t="s">
        <v>6099</v>
      </c>
      <c r="AL1982" s="9">
        <f t="shared" si="225"/>
        <v>1</v>
      </c>
    </row>
    <row r="1983" spans="1:38" ht="15" x14ac:dyDescent="0.25">
      <c r="A1983" s="1" t="s">
        <v>6100</v>
      </c>
      <c r="B1983" s="1" t="s">
        <v>6101</v>
      </c>
      <c r="C1983" s="1" t="s">
        <v>208</v>
      </c>
      <c r="D1983" s="1" t="s">
        <v>208</v>
      </c>
      <c r="E1983" s="6">
        <v>60.74</v>
      </c>
      <c r="F1983" s="1" t="s">
        <v>53</v>
      </c>
      <c r="G1983" s="6">
        <f ca="1">IFERROR(__xludf.DUMMYFUNCTION("iferror(GOOGLEFINANCE(TRIM(F1983)&amp;"":"" &amp; TRIM(B1983), ""price""),0
)"),0)</f>
        <v>0</v>
      </c>
      <c r="H1983" s="6">
        <v>50.69</v>
      </c>
      <c r="I1983" s="6">
        <f t="shared" ca="1" si="0"/>
        <v>50.69</v>
      </c>
      <c r="J1983" s="6">
        <f ca="1">IFERROR(__xludf.DUMMYFUNCTION("IFERROR(GOOGLEFINANCE(B1983, ""volume""), 0)"),0)</f>
        <v>0</v>
      </c>
      <c r="K1983" s="6">
        <v>-4.32</v>
      </c>
      <c r="L1983" s="6">
        <f ca="1">IFERROR(__xludf.DUMMYFUNCTION("IFERROR(GOOGLEFINANCE(B1983,""changepct""),K1983)"),-4.32)</f>
        <v>-4.32</v>
      </c>
      <c r="M1983" s="6">
        <f ca="1">IFERROR(__xludf.DUMMYFUNCTION("IFERROR(GOOGLEFINANCE(B1983,""change""),0)"),0)</f>
        <v>0</v>
      </c>
      <c r="N1983" s="6">
        <v>1</v>
      </c>
      <c r="O1983" s="7">
        <v>45536</v>
      </c>
      <c r="P1983" s="6">
        <v>-3.91</v>
      </c>
      <c r="Q1983" s="7">
        <v>45536</v>
      </c>
      <c r="R1983" s="6">
        <v>0</v>
      </c>
      <c r="S1983" s="9"/>
      <c r="T1983" s="6">
        <v>2.77</v>
      </c>
      <c r="U1983" s="6">
        <v>1</v>
      </c>
      <c r="V1983" s="7">
        <v>45352</v>
      </c>
      <c r="W1983" s="10">
        <f ca="1">IFERROR(__xludf.DUMMYFUNCTION("IFERROR(GOOGLEFINANCE(B1983,""pe""),V1983)"),45352)</f>
        <v>45352</v>
      </c>
      <c r="X1983" s="6">
        <v>0.76</v>
      </c>
      <c r="Y1983" s="6">
        <v>-7.29</v>
      </c>
      <c r="Z1983" s="6">
        <v>-0.4</v>
      </c>
      <c r="AA1983" s="3" t="s">
        <v>6102</v>
      </c>
      <c r="AB1983" s="11"/>
      <c r="AC1983" s="9"/>
      <c r="AD1983" s="9"/>
      <c r="AE1983" s="1">
        <v>0</v>
      </c>
      <c r="AF1983" s="1">
        <f ca="1">IFERROR(__xludf.DUMMYFUNCTION("IFERROR(GOOGLEFINANCE(TRIM(F1983)&amp;"":"" &amp; TRIM(B1983),""high52""),AE1983)"),0)</f>
        <v>0</v>
      </c>
      <c r="AG1983" s="1">
        <v>0</v>
      </c>
      <c r="AH1983" s="1">
        <f ca="1">IFERROR(__xludf.DUMMYFUNCTION("IFERROR(GOOGLEFINANCE(TRIM(F1983)&amp;"":"" &amp; TRIM(B1983),""low52""),AE1983)"),0)</f>
        <v>0</v>
      </c>
      <c r="AI1983" s="1">
        <f ca="1">IFERROR(__xludf.DUMMYFUNCTION("IFERROR(GOOGLEFINANCE(B1983,""eps""),0)"),0)</f>
        <v>0</v>
      </c>
      <c r="AJ1983" s="1"/>
      <c r="AK1983" s="1" t="s">
        <v>6103</v>
      </c>
      <c r="AL1983" s="9">
        <f t="shared" si="225"/>
        <v>1</v>
      </c>
    </row>
    <row r="1984" spans="1:38" ht="15" x14ac:dyDescent="0.25">
      <c r="A1984" s="1" t="s">
        <v>6104</v>
      </c>
      <c r="B1984" s="1" t="s">
        <v>6105</v>
      </c>
      <c r="C1984" s="1" t="s">
        <v>219</v>
      </c>
      <c r="D1984" s="1" t="s">
        <v>219</v>
      </c>
      <c r="E1984" s="6">
        <v>1423.25</v>
      </c>
      <c r="F1984" s="1" t="s">
        <v>40</v>
      </c>
      <c r="G1984" s="6">
        <f ca="1">IFERROR(__xludf.DUMMYFUNCTION("iferror(GOOGLEFINANCE(TRIM(F1984)&amp;"":"" &amp; TRIM(B1984), ""price""),0
)"),21.2)</f>
        <v>21.2</v>
      </c>
      <c r="H1984" s="6">
        <v>514.6</v>
      </c>
      <c r="I1984" s="6">
        <f t="shared" ca="1" si="0"/>
        <v>21.2</v>
      </c>
      <c r="J1984" s="6">
        <f ca="1">IFERROR(__xludf.DUMMYFUNCTION("IFERROR(GOOGLEFINANCE(B1984, ""volume""), 0)"),1677737)</f>
        <v>1677737</v>
      </c>
      <c r="K1984" s="6">
        <v>0.18</v>
      </c>
      <c r="L1984" s="6">
        <f ca="1">IFERROR(__xludf.DUMMYFUNCTION("IFERROR(GOOGLEFINANCE(B1984,""changepct""),K1984)"),-1.26)</f>
        <v>-1.26</v>
      </c>
      <c r="M1984" s="6">
        <f ca="1">IFERROR(__xludf.DUMMYFUNCTION("IFERROR(GOOGLEFINANCE(B1984,""change""),0)"),-0.27)</f>
        <v>-0.27</v>
      </c>
      <c r="N1984" s="6">
        <v>1</v>
      </c>
      <c r="O1984" s="7">
        <v>45536</v>
      </c>
      <c r="P1984" s="9"/>
      <c r="Q1984" s="6">
        <v>1410.36</v>
      </c>
      <c r="R1984" s="7">
        <v>45536</v>
      </c>
      <c r="S1984" s="6">
        <v>705.78</v>
      </c>
      <c r="T1984" s="6">
        <v>59.22</v>
      </c>
      <c r="U1984" s="7">
        <v>45536</v>
      </c>
      <c r="V1984" s="6">
        <v>24.03</v>
      </c>
      <c r="W1984" s="6">
        <f ca="1">IFERROR(__xludf.DUMMYFUNCTION("IFERROR(GOOGLEFINANCE(B1984,""pe""),V1984)"),8.51)</f>
        <v>8.51</v>
      </c>
      <c r="X1984" s="6">
        <v>1.38</v>
      </c>
      <c r="Y1984" s="6">
        <v>5.33</v>
      </c>
      <c r="Z1984" s="6">
        <v>1</v>
      </c>
      <c r="AA1984" s="8">
        <v>45352</v>
      </c>
      <c r="AB1984" s="4">
        <v>0</v>
      </c>
      <c r="AC1984" s="6">
        <v>26.4</v>
      </c>
      <c r="AD1984" s="6">
        <v>33.43</v>
      </c>
      <c r="AE1984" s="1">
        <v>0</v>
      </c>
      <c r="AF1984" s="1">
        <f ca="1">IFERROR(__xludf.DUMMYFUNCTION("IFERROR(GOOGLEFINANCE(TRIM(F1984)&amp;"":"" &amp; TRIM(B1984),""high52""),AE1984)"),41.2)</f>
        <v>41.2</v>
      </c>
      <c r="AG1984" s="1">
        <v>0</v>
      </c>
      <c r="AH1984" s="1">
        <f ca="1">IFERROR(__xludf.DUMMYFUNCTION("IFERROR(GOOGLEFINANCE(TRIM(F1984)&amp;"":"" &amp; TRIM(B1984),""low52""),AE1984)"),20.5)</f>
        <v>20.5</v>
      </c>
      <c r="AI1984" s="1">
        <f ca="1">IFERROR(__xludf.DUMMYFUNCTION("IFERROR(GOOGLEFINANCE(B1984,""eps""),0)"),2.49)</f>
        <v>2.4900000000000002</v>
      </c>
      <c r="AJ1984" s="1"/>
      <c r="AK1984" s="1" t="s">
        <v>6106</v>
      </c>
      <c r="AL1984" s="9">
        <f t="shared" si="225"/>
        <v>1</v>
      </c>
    </row>
    <row r="1985" spans="1:38" ht="15" x14ac:dyDescent="0.25">
      <c r="A1985" s="1" t="s">
        <v>6107</v>
      </c>
      <c r="B1985" s="1" t="s">
        <v>6108</v>
      </c>
      <c r="C1985" s="1" t="s">
        <v>208</v>
      </c>
      <c r="D1985" s="1" t="s">
        <v>208</v>
      </c>
      <c r="E1985" s="6">
        <v>73.599999999999994</v>
      </c>
      <c r="F1985" s="1" t="s">
        <v>53</v>
      </c>
      <c r="G1985" s="6">
        <f ca="1">IFERROR(__xludf.DUMMYFUNCTION("iferror(GOOGLEFINANCE(TRIM(F1985)&amp;"":"" &amp; TRIM(B1985), ""price""),0
)"),0)</f>
        <v>0</v>
      </c>
      <c r="H1985" s="6">
        <v>23.2</v>
      </c>
      <c r="I1985" s="6">
        <f t="shared" ca="1" si="0"/>
        <v>23.2</v>
      </c>
      <c r="J1985" s="6">
        <f ca="1">IFERROR(__xludf.DUMMYFUNCTION("IFERROR(GOOGLEFINANCE(B1985, ""volume""), 0)"),0)</f>
        <v>0</v>
      </c>
      <c r="K1985" s="6">
        <v>0.87</v>
      </c>
      <c r="L1985" s="6">
        <f ca="1">IFERROR(__xludf.DUMMYFUNCTION("IFERROR(GOOGLEFINANCE(B1985,""changepct""),K1985)"),0.87)</f>
        <v>0.87</v>
      </c>
      <c r="M1985" s="6">
        <f ca="1">IFERROR(__xludf.DUMMYFUNCTION("IFERROR(GOOGLEFINANCE(B1985,""change""),0)"),0)</f>
        <v>0</v>
      </c>
      <c r="N1985" s="6">
        <v>1</v>
      </c>
      <c r="O1985" s="7">
        <v>45536</v>
      </c>
      <c r="P1985" s="6">
        <v>-4.51</v>
      </c>
      <c r="Q1985" s="7">
        <v>45536</v>
      </c>
      <c r="R1985" s="6">
        <v>0</v>
      </c>
      <c r="S1985" s="9"/>
      <c r="T1985" s="6">
        <v>1.76</v>
      </c>
      <c r="U1985" s="6">
        <v>1</v>
      </c>
      <c r="V1985" s="7">
        <v>45352</v>
      </c>
      <c r="W1985" s="10">
        <f ca="1">IFERROR(__xludf.DUMMYFUNCTION("IFERROR(GOOGLEFINANCE(B1985,""pe""),V1985)"),45352)</f>
        <v>45352</v>
      </c>
      <c r="X1985" s="6">
        <v>21.7</v>
      </c>
      <c r="Y1985" s="6">
        <v>-181.49</v>
      </c>
      <c r="Z1985" s="6">
        <v>-87.39</v>
      </c>
      <c r="AA1985" s="3" t="s">
        <v>6109</v>
      </c>
      <c r="AB1985" s="11"/>
      <c r="AC1985" s="9"/>
      <c r="AD1985" s="9"/>
      <c r="AE1985" s="1">
        <v>0</v>
      </c>
      <c r="AF1985" s="1">
        <f ca="1">IFERROR(__xludf.DUMMYFUNCTION("IFERROR(GOOGLEFINANCE(TRIM(F1985)&amp;"":"" &amp; TRIM(B1985),""high52""),AE1985)"),0)</f>
        <v>0</v>
      </c>
      <c r="AG1985" s="1">
        <v>0</v>
      </c>
      <c r="AH1985" s="1">
        <f ca="1">IFERROR(__xludf.DUMMYFUNCTION("IFERROR(GOOGLEFINANCE(TRIM(F1985)&amp;"":"" &amp; TRIM(B1985),""low52""),AE1985)"),0)</f>
        <v>0</v>
      </c>
      <c r="AI1985" s="1">
        <f ca="1">IFERROR(__xludf.DUMMYFUNCTION("IFERROR(GOOGLEFINANCE(B1985,""eps""),0)"),0)</f>
        <v>0</v>
      </c>
      <c r="AJ1985" s="1"/>
      <c r="AK1985" s="1" t="s">
        <v>6110</v>
      </c>
      <c r="AL1985" s="9">
        <f t="shared" si="225"/>
        <v>1</v>
      </c>
    </row>
    <row r="1986" spans="1:38" ht="15" x14ac:dyDescent="0.25">
      <c r="A1986" s="1" t="s">
        <v>6111</v>
      </c>
      <c r="B1986" s="1" t="s">
        <v>6112</v>
      </c>
      <c r="C1986" s="1" t="s">
        <v>208</v>
      </c>
      <c r="D1986" s="1" t="s">
        <v>208</v>
      </c>
      <c r="E1986" s="6">
        <v>14.19</v>
      </c>
      <c r="F1986" s="1" t="s">
        <v>53</v>
      </c>
      <c r="G1986" s="6">
        <f ca="1">IFERROR(__xludf.DUMMYFUNCTION("iferror(GOOGLEFINANCE(TRIM(F1986)&amp;"":"" &amp; TRIM(B1986), ""price""),0
)"),0)</f>
        <v>0</v>
      </c>
      <c r="H1986" s="6">
        <v>10.9</v>
      </c>
      <c r="I1986" s="6">
        <f t="shared" ca="1" si="0"/>
        <v>10.9</v>
      </c>
      <c r="J1986" s="6">
        <f ca="1">IFERROR(__xludf.DUMMYFUNCTION("IFERROR(GOOGLEFINANCE(B1986, ""volume""), 0)"),0)</f>
        <v>0</v>
      </c>
      <c r="K1986" s="6">
        <v>3.71</v>
      </c>
      <c r="L1986" s="6">
        <f ca="1">IFERROR(__xludf.DUMMYFUNCTION("IFERROR(GOOGLEFINANCE(B1986,""changepct""),K1986)"),3.71)</f>
        <v>3.71</v>
      </c>
      <c r="M1986" s="6">
        <f ca="1">IFERROR(__xludf.DUMMYFUNCTION("IFERROR(GOOGLEFINANCE(B1986,""change""),0)"),0)</f>
        <v>0</v>
      </c>
      <c r="N1986" s="6">
        <v>1</v>
      </c>
      <c r="O1986" s="7">
        <v>45536</v>
      </c>
      <c r="P1986" s="6">
        <v>-0.5</v>
      </c>
      <c r="Q1986" s="7">
        <v>45536</v>
      </c>
      <c r="R1986" s="6">
        <v>0</v>
      </c>
      <c r="S1986" s="6">
        <v>0</v>
      </c>
      <c r="T1986" s="6">
        <v>2.09</v>
      </c>
      <c r="U1986" s="6">
        <v>1</v>
      </c>
      <c r="V1986" s="7">
        <v>45352</v>
      </c>
      <c r="W1986" s="10">
        <f ca="1">IFERROR(__xludf.DUMMYFUNCTION("IFERROR(GOOGLEFINANCE(B1986,""pe""),V1986)"),45352)</f>
        <v>45352</v>
      </c>
      <c r="X1986" s="6">
        <v>0.09</v>
      </c>
      <c r="Y1986" s="6">
        <v>-7.54</v>
      </c>
      <c r="Z1986" s="6">
        <v>-6.93</v>
      </c>
      <c r="AA1986" s="3" t="s">
        <v>6113</v>
      </c>
      <c r="AB1986" s="11"/>
      <c r="AC1986" s="9"/>
      <c r="AD1986" s="9"/>
      <c r="AE1986" s="1">
        <v>0</v>
      </c>
      <c r="AF1986" s="1">
        <f ca="1">IFERROR(__xludf.DUMMYFUNCTION("IFERROR(GOOGLEFINANCE(TRIM(F1986)&amp;"":"" &amp; TRIM(B1986),""high52""),AE1986)"),0)</f>
        <v>0</v>
      </c>
      <c r="AG1986" s="1">
        <v>0</v>
      </c>
      <c r="AH1986" s="1">
        <f ca="1">IFERROR(__xludf.DUMMYFUNCTION("IFERROR(GOOGLEFINANCE(TRIM(F1986)&amp;"":"" &amp; TRIM(B1986),""low52""),AE1986)"),0)</f>
        <v>0</v>
      </c>
      <c r="AI1986" s="1">
        <f ca="1">IFERROR(__xludf.DUMMYFUNCTION("IFERROR(GOOGLEFINANCE(B1986,""eps""),0)"),0)</f>
        <v>0</v>
      </c>
      <c r="AJ1986" s="1"/>
      <c r="AK1986" s="1" t="s">
        <v>6114</v>
      </c>
      <c r="AL1986" s="9">
        <f t="shared" si="225"/>
        <v>1</v>
      </c>
    </row>
    <row r="1987" spans="1:38" ht="15" x14ac:dyDescent="0.25">
      <c r="A1987" s="1" t="s">
        <v>6115</v>
      </c>
      <c r="B1987" s="1" t="s">
        <v>6116</v>
      </c>
      <c r="C1987" s="1" t="s">
        <v>208</v>
      </c>
      <c r="D1987" s="1" t="s">
        <v>208</v>
      </c>
      <c r="E1987" s="6">
        <v>15.48</v>
      </c>
      <c r="F1987" s="1" t="s">
        <v>53</v>
      </c>
      <c r="G1987" s="6">
        <f ca="1">IFERROR(__xludf.DUMMYFUNCTION("iferror(GOOGLEFINANCE(TRIM(F1987)&amp;"":"" &amp; TRIM(B1987), ""price""),0
)"),0)</f>
        <v>0</v>
      </c>
      <c r="H1987" s="6">
        <v>6.15</v>
      </c>
      <c r="I1987" s="6">
        <f t="shared" ca="1" si="0"/>
        <v>6.15</v>
      </c>
      <c r="J1987" s="6">
        <f ca="1">IFERROR(__xludf.DUMMYFUNCTION("IFERROR(GOOGLEFINANCE(B1987, ""volume""), 0)"),0)</f>
        <v>0</v>
      </c>
      <c r="K1987" s="9"/>
      <c r="L1987" s="6" t="str">
        <f ca="1">IFERROR(__xludf.DUMMYFUNCTION("IFERROR(GOOGLEFINANCE(B1987,""changepct""),K1987)"),"")</f>
        <v/>
      </c>
      <c r="M1987" s="6">
        <f ca="1">IFERROR(__xludf.DUMMYFUNCTION("IFERROR(GOOGLEFINANCE(B1987,""change""),0)"),0)</f>
        <v>0</v>
      </c>
      <c r="N1987" s="6">
        <v>1</v>
      </c>
      <c r="O1987" s="7">
        <v>45352</v>
      </c>
      <c r="P1987" s="6">
        <v>-0.77</v>
      </c>
      <c r="Q1987" s="7">
        <v>45352</v>
      </c>
      <c r="R1987" s="6">
        <v>0</v>
      </c>
      <c r="S1987" s="9"/>
      <c r="T1987" s="6">
        <v>0.33</v>
      </c>
      <c r="U1987" s="6">
        <v>1</v>
      </c>
      <c r="V1987" s="7">
        <v>45352</v>
      </c>
      <c r="W1987" s="10">
        <f ca="1">IFERROR(__xludf.DUMMYFUNCTION("IFERROR(GOOGLEFINANCE(B1987,""pe""),V1987)"),45352)</f>
        <v>45352</v>
      </c>
      <c r="X1987" s="6">
        <v>0</v>
      </c>
      <c r="Y1987" s="6">
        <v>-1.65</v>
      </c>
      <c r="Z1987" s="6">
        <v>-1.6</v>
      </c>
      <c r="AA1987" s="3" t="s">
        <v>6117</v>
      </c>
      <c r="AB1987" s="11"/>
      <c r="AC1987" s="9"/>
      <c r="AD1987" s="9"/>
      <c r="AE1987" s="1">
        <v>0</v>
      </c>
      <c r="AF1987" s="1">
        <f ca="1">IFERROR(__xludf.DUMMYFUNCTION("IFERROR(GOOGLEFINANCE(TRIM(F1987)&amp;"":"" &amp; TRIM(B1987),""high52""),AE1987)"),0)</f>
        <v>0</v>
      </c>
      <c r="AG1987" s="1">
        <v>0</v>
      </c>
      <c r="AH1987" s="1">
        <f ca="1">IFERROR(__xludf.DUMMYFUNCTION("IFERROR(GOOGLEFINANCE(TRIM(F1987)&amp;"":"" &amp; TRIM(B1987),""low52""),AE1987)"),0)</f>
        <v>0</v>
      </c>
      <c r="AI1987" s="1">
        <f ca="1">IFERROR(__xludf.DUMMYFUNCTION("IFERROR(GOOGLEFINANCE(B1987,""eps""),0)"),0)</f>
        <v>0</v>
      </c>
      <c r="AJ1987" s="1"/>
      <c r="AK1987" s="1" t="s">
        <v>6118</v>
      </c>
      <c r="AL1987" s="9">
        <f t="shared" si="225"/>
        <v>1</v>
      </c>
    </row>
    <row r="1988" spans="1:38" ht="15" x14ac:dyDescent="0.25">
      <c r="A1988" s="1" t="s">
        <v>6119</v>
      </c>
      <c r="B1988" s="1" t="s">
        <v>6120</v>
      </c>
      <c r="C1988" s="1" t="s">
        <v>208</v>
      </c>
      <c r="D1988" s="1" t="s">
        <v>208</v>
      </c>
      <c r="E1988" s="6">
        <v>14.23</v>
      </c>
      <c r="F1988" s="1" t="s">
        <v>53</v>
      </c>
      <c r="G1988" s="6">
        <f ca="1">IFERROR(__xludf.DUMMYFUNCTION("iferror(GOOGLEFINANCE(TRIM(F1988)&amp;"":"" &amp; TRIM(B1988), ""price""),0
)"),0)</f>
        <v>0</v>
      </c>
      <c r="H1988" s="6">
        <v>33.51</v>
      </c>
      <c r="I1988" s="6">
        <f t="shared" ca="1" si="0"/>
        <v>33.51</v>
      </c>
      <c r="J1988" s="6">
        <f ca="1">IFERROR(__xludf.DUMMYFUNCTION("IFERROR(GOOGLEFINANCE(B1988, ""volume""), 0)"),0)</f>
        <v>0</v>
      </c>
      <c r="K1988" s="9"/>
      <c r="L1988" s="6" t="str">
        <f ca="1">IFERROR(__xludf.DUMMYFUNCTION("IFERROR(GOOGLEFINANCE(B1988,""changepct""),K1988)"),"")</f>
        <v/>
      </c>
      <c r="M1988" s="6">
        <f ca="1">IFERROR(__xludf.DUMMYFUNCTION("IFERROR(GOOGLEFINANCE(B1988,""change""),0)"),0)</f>
        <v>0</v>
      </c>
      <c r="N1988" s="6">
        <v>1</v>
      </c>
      <c r="O1988" s="7">
        <v>45536</v>
      </c>
      <c r="P1988" s="6">
        <v>-1.64</v>
      </c>
      <c r="Q1988" s="7">
        <v>45536</v>
      </c>
      <c r="R1988" s="6">
        <v>0</v>
      </c>
      <c r="S1988" s="9"/>
      <c r="T1988" s="6">
        <v>3.07</v>
      </c>
      <c r="U1988" s="6">
        <v>1</v>
      </c>
      <c r="V1988" s="7">
        <v>45352</v>
      </c>
      <c r="W1988" s="10">
        <f ca="1">IFERROR(__xludf.DUMMYFUNCTION("IFERROR(GOOGLEFINANCE(B1988,""pe""),V1988)"),45352)</f>
        <v>45352</v>
      </c>
      <c r="X1988" s="6">
        <v>0</v>
      </c>
      <c r="Y1988" s="6">
        <v>-5.48</v>
      </c>
      <c r="Z1988" s="6">
        <v>-8.0299999999999994</v>
      </c>
      <c r="AA1988" s="3" t="s">
        <v>6121</v>
      </c>
      <c r="AB1988" s="11"/>
      <c r="AC1988" s="9"/>
      <c r="AD1988" s="9"/>
      <c r="AE1988" s="1">
        <v>0</v>
      </c>
      <c r="AF1988" s="1">
        <f ca="1">IFERROR(__xludf.DUMMYFUNCTION("IFERROR(GOOGLEFINANCE(TRIM(F1988)&amp;"":"" &amp; TRIM(B1988),""high52""),AE1988)"),0)</f>
        <v>0</v>
      </c>
      <c r="AG1988" s="1">
        <v>0</v>
      </c>
      <c r="AH1988" s="1">
        <f ca="1">IFERROR(__xludf.DUMMYFUNCTION("IFERROR(GOOGLEFINANCE(TRIM(F1988)&amp;"":"" &amp; TRIM(B1988),""low52""),AE1988)"),0)</f>
        <v>0</v>
      </c>
      <c r="AI1988" s="1">
        <f ca="1">IFERROR(__xludf.DUMMYFUNCTION("IFERROR(GOOGLEFINANCE(B1988,""eps""),0)"),0)</f>
        <v>0</v>
      </c>
      <c r="AJ1988" s="1"/>
      <c r="AK1988" s="1" t="s">
        <v>6122</v>
      </c>
      <c r="AL1988" s="9">
        <f t="shared" si="225"/>
        <v>1</v>
      </c>
    </row>
    <row r="1989" spans="1:38" ht="15" x14ac:dyDescent="0.25">
      <c r="A1989" s="1" t="s">
        <v>6123</v>
      </c>
      <c r="B1989" s="1" t="s">
        <v>6124</v>
      </c>
      <c r="C1989" s="1" t="s">
        <v>208</v>
      </c>
      <c r="D1989" s="1" t="s">
        <v>208</v>
      </c>
      <c r="E1989" s="6">
        <v>711.17</v>
      </c>
      <c r="F1989" s="1" t="s">
        <v>53</v>
      </c>
      <c r="G1989" s="6">
        <f ca="1">IFERROR(__xludf.DUMMYFUNCTION("iferror(GOOGLEFINANCE(TRIM(F1989)&amp;"":"" &amp; TRIM(B1989), ""price""),0
)"),0)</f>
        <v>0</v>
      </c>
      <c r="H1989" s="6">
        <v>1.31</v>
      </c>
      <c r="I1989" s="6">
        <f t="shared" ca="1" si="0"/>
        <v>1.31</v>
      </c>
      <c r="J1989" s="6">
        <f ca="1">IFERROR(__xludf.DUMMYFUNCTION("IFERROR(GOOGLEFINANCE(B1989, ""volume""), 0)"),0)</f>
        <v>0</v>
      </c>
      <c r="K1989" s="6">
        <v>-3.68</v>
      </c>
      <c r="L1989" s="6">
        <f ca="1">IFERROR(__xludf.DUMMYFUNCTION("IFERROR(GOOGLEFINANCE(B1989,""changepct""),K1989)"),1.07)</f>
        <v>1.07</v>
      </c>
      <c r="M1989" s="6">
        <f ca="1">IFERROR(__xludf.DUMMYFUNCTION("IFERROR(GOOGLEFINANCE(B1989,""change""),0)"),0.61)</f>
        <v>0.61</v>
      </c>
      <c r="N1989" s="6">
        <v>2</v>
      </c>
      <c r="O1989" s="7">
        <v>45352</v>
      </c>
      <c r="P1989" s="6">
        <v>-47.21</v>
      </c>
      <c r="Q1989" s="7">
        <v>45352</v>
      </c>
      <c r="R1989" s="6">
        <v>0</v>
      </c>
      <c r="S1989" s="9"/>
      <c r="T1989" s="6">
        <v>0.97</v>
      </c>
      <c r="U1989" s="6">
        <v>2</v>
      </c>
      <c r="V1989" s="7">
        <v>45352</v>
      </c>
      <c r="W1989" s="6">
        <f ca="1">IFERROR(__xludf.DUMMYFUNCTION("IFERROR(GOOGLEFINANCE(B1989,""pe""),V1989)"),29.15)</f>
        <v>29.15</v>
      </c>
      <c r="X1989" s="6">
        <v>12.1</v>
      </c>
      <c r="Y1989" s="6">
        <v>-59.79</v>
      </c>
      <c r="Z1989" s="6">
        <v>-11.37</v>
      </c>
      <c r="AA1989" s="3" t="s">
        <v>6125</v>
      </c>
      <c r="AB1989" s="11"/>
      <c r="AC1989" s="9"/>
      <c r="AD1989" s="9"/>
      <c r="AE1989" s="1">
        <v>0</v>
      </c>
      <c r="AF1989" s="1">
        <f ca="1">IFERROR(__xludf.DUMMYFUNCTION("IFERROR(GOOGLEFINANCE(TRIM(F1989)&amp;"":"" &amp; TRIM(B1989),""high52""),AE1989)"),0)</f>
        <v>0</v>
      </c>
      <c r="AG1989" s="1">
        <v>0</v>
      </c>
      <c r="AH1989" s="1">
        <f ca="1">IFERROR(__xludf.DUMMYFUNCTION("IFERROR(GOOGLEFINANCE(TRIM(F1989)&amp;"":"" &amp; TRIM(B1989),""low52""),AE1989)"),0)</f>
        <v>0</v>
      </c>
      <c r="AI1989" s="1">
        <f ca="1">IFERROR(__xludf.DUMMYFUNCTION("IFERROR(GOOGLEFINANCE(B1989,""eps""),0)"),1.98)</f>
        <v>1.98</v>
      </c>
      <c r="AJ1989" s="1"/>
      <c r="AK1989" s="1" t="s">
        <v>6126</v>
      </c>
      <c r="AL1989" s="9">
        <f t="shared" si="225"/>
        <v>1</v>
      </c>
    </row>
    <row r="1990" spans="1:38" ht="15" x14ac:dyDescent="0.25">
      <c r="A1990" s="1" t="s">
        <v>6127</v>
      </c>
      <c r="B1990" s="1" t="s">
        <v>6128</v>
      </c>
      <c r="C1990" s="1" t="s">
        <v>227</v>
      </c>
      <c r="D1990" s="1" t="s">
        <v>227</v>
      </c>
      <c r="E1990" s="6">
        <v>570.54999999999995</v>
      </c>
      <c r="F1990" s="1" t="s">
        <v>40</v>
      </c>
      <c r="G1990" s="6">
        <f ca="1">IFERROR(__xludf.DUMMYFUNCTION("iferror(GOOGLEFINANCE(TRIM(F1990)&amp;"":"" &amp; TRIM(B1990), ""price""),0
)"),5.42)</f>
        <v>5.42</v>
      </c>
      <c r="H1990" s="6">
        <v>17.93</v>
      </c>
      <c r="I1990" s="6">
        <f t="shared" ca="1" si="0"/>
        <v>5.42</v>
      </c>
      <c r="J1990" s="6">
        <f ca="1">IFERROR(__xludf.DUMMYFUNCTION("IFERROR(GOOGLEFINANCE(B1990, ""volume""), 0)"),1123396)</f>
        <v>1123396</v>
      </c>
      <c r="K1990" s="6">
        <v>-0.94</v>
      </c>
      <c r="L1990" s="6">
        <f ca="1">IFERROR(__xludf.DUMMYFUNCTION("IFERROR(GOOGLEFINANCE(B1990,""changepct""),K1990)"),-3.56)</f>
        <v>-3.56</v>
      </c>
      <c r="M1990" s="6">
        <f ca="1">IFERROR(__xludf.DUMMYFUNCTION("IFERROR(GOOGLEFINANCE(B1990,""change""),0)"),-0.2)</f>
        <v>-0.2</v>
      </c>
      <c r="N1990" s="6">
        <v>2</v>
      </c>
      <c r="O1990" s="7">
        <v>45536</v>
      </c>
      <c r="P1990" s="6">
        <v>18.96</v>
      </c>
      <c r="Q1990" s="6">
        <v>580.89</v>
      </c>
      <c r="R1990" s="7">
        <v>45536</v>
      </c>
      <c r="S1990" s="6">
        <v>273.51</v>
      </c>
      <c r="T1990" s="6">
        <v>11.06</v>
      </c>
      <c r="U1990" s="7">
        <v>45536</v>
      </c>
      <c r="V1990" s="6">
        <v>51.59</v>
      </c>
      <c r="W1990" s="6">
        <f ca="1">IFERROR(__xludf.DUMMYFUNCTION("IFERROR(GOOGLEFINANCE(B1990,""pe""),V1990)"),29.73)</f>
        <v>29.73</v>
      </c>
      <c r="X1990" s="12"/>
      <c r="Y1990" s="6">
        <v>3.52</v>
      </c>
      <c r="Z1990" s="6">
        <v>2</v>
      </c>
      <c r="AA1990" s="8">
        <v>45352</v>
      </c>
      <c r="AB1990" s="4">
        <v>0.12</v>
      </c>
      <c r="AC1990" s="6">
        <v>11.55</v>
      </c>
      <c r="AD1990" s="6">
        <v>11.99</v>
      </c>
      <c r="AE1990" s="1">
        <v>0</v>
      </c>
      <c r="AF1990" s="1">
        <f ca="1">IFERROR(__xludf.DUMMYFUNCTION("IFERROR(GOOGLEFINANCE(TRIM(F1990)&amp;"":"" &amp; TRIM(B1990),""high52""),AE1990)"),15.75)</f>
        <v>15.75</v>
      </c>
      <c r="AG1990" s="1">
        <v>0</v>
      </c>
      <c r="AH1990" s="1">
        <f ca="1">IFERROR(__xludf.DUMMYFUNCTION("IFERROR(GOOGLEFINANCE(TRIM(F1990)&amp;"":"" &amp; TRIM(B1990),""low52""),AE1990)"),5.36)</f>
        <v>5.36</v>
      </c>
      <c r="AI1990" s="1">
        <f ca="1">IFERROR(__xludf.DUMMYFUNCTION("IFERROR(GOOGLEFINANCE(B1990,""eps""),0)"),0.18)</f>
        <v>0.18</v>
      </c>
      <c r="AJ1990" s="1"/>
      <c r="AK1990" s="1" t="s">
        <v>6129</v>
      </c>
      <c r="AL1990" s="9">
        <f t="shared" si="225"/>
        <v>1</v>
      </c>
    </row>
    <row r="1991" spans="1:38" ht="15" x14ac:dyDescent="0.25">
      <c r="A1991" s="1" t="s">
        <v>6130</v>
      </c>
      <c r="B1991" s="1" t="s">
        <v>6131</v>
      </c>
      <c r="C1991" s="1" t="s">
        <v>208</v>
      </c>
      <c r="D1991" s="1" t="s">
        <v>208</v>
      </c>
      <c r="E1991" s="6">
        <v>7.9</v>
      </c>
      <c r="F1991" s="1" t="s">
        <v>53</v>
      </c>
      <c r="G1991" s="6">
        <f ca="1">IFERROR(__xludf.DUMMYFUNCTION("iferror(GOOGLEFINANCE(TRIM(F1991)&amp;"":"" &amp; TRIM(B1991), ""price""),0
)"),0)</f>
        <v>0</v>
      </c>
      <c r="H1991" s="6">
        <v>3.91</v>
      </c>
      <c r="I1991" s="6">
        <f t="shared" ca="1" si="0"/>
        <v>3.91</v>
      </c>
      <c r="J1991" s="6">
        <f ca="1">IFERROR(__xludf.DUMMYFUNCTION("IFERROR(GOOGLEFINANCE(B1991, ""volume""), 0)"),0)</f>
        <v>0</v>
      </c>
      <c r="K1991" s="6">
        <v>0</v>
      </c>
      <c r="L1991" s="6">
        <f ca="1">IFERROR(__xludf.DUMMYFUNCTION("IFERROR(GOOGLEFINANCE(B1991,""changepct""),K1991)"),0)</f>
        <v>0</v>
      </c>
      <c r="M1991" s="6">
        <f ca="1">IFERROR(__xludf.DUMMYFUNCTION("IFERROR(GOOGLEFINANCE(B1991,""change""),0)"),0)</f>
        <v>0</v>
      </c>
      <c r="N1991" s="6">
        <v>1</v>
      </c>
      <c r="O1991" s="7">
        <v>45536</v>
      </c>
      <c r="P1991" s="6">
        <v>-6.42</v>
      </c>
      <c r="Q1991" s="7">
        <v>45536</v>
      </c>
      <c r="R1991" s="6">
        <v>0</v>
      </c>
      <c r="S1991" s="9"/>
      <c r="T1991" s="6">
        <v>0.67</v>
      </c>
      <c r="U1991" s="6">
        <v>1</v>
      </c>
      <c r="V1991" s="7">
        <v>45352</v>
      </c>
      <c r="W1991" s="10">
        <f ca="1">IFERROR(__xludf.DUMMYFUNCTION("IFERROR(GOOGLEFINANCE(B1991,""pe""),V1991)"),45352)</f>
        <v>45352</v>
      </c>
      <c r="X1991" s="6">
        <v>0</v>
      </c>
      <c r="Y1991" s="6">
        <v>-41.13</v>
      </c>
      <c r="Z1991" s="6">
        <v>-41.13</v>
      </c>
      <c r="AA1991" s="3" t="s">
        <v>6132</v>
      </c>
      <c r="AB1991" s="11"/>
      <c r="AC1991" s="9"/>
      <c r="AD1991" s="9"/>
      <c r="AE1991" s="1">
        <v>0</v>
      </c>
      <c r="AF1991" s="1">
        <f ca="1">IFERROR(__xludf.DUMMYFUNCTION("IFERROR(GOOGLEFINANCE(TRIM(F1991)&amp;"":"" &amp; TRIM(B1991),""high52""),AE1991)"),0)</f>
        <v>0</v>
      </c>
      <c r="AG1991" s="1">
        <v>0</v>
      </c>
      <c r="AH1991" s="1">
        <f ca="1">IFERROR(__xludf.DUMMYFUNCTION("IFERROR(GOOGLEFINANCE(TRIM(F1991)&amp;"":"" &amp; TRIM(B1991),""low52""),AE1991)"),0)</f>
        <v>0</v>
      </c>
      <c r="AI1991" s="1">
        <f ca="1">IFERROR(__xludf.DUMMYFUNCTION("IFERROR(GOOGLEFINANCE(B1991,""eps""),0)"),0)</f>
        <v>0</v>
      </c>
      <c r="AJ1991" s="1"/>
      <c r="AK1991" s="9"/>
      <c r="AL1991" s="9">
        <f t="shared" si="225"/>
        <v>1</v>
      </c>
    </row>
    <row r="1992" spans="1:38" ht="15" x14ac:dyDescent="0.25">
      <c r="A1992" s="1" t="s">
        <v>6133</v>
      </c>
      <c r="B1992" s="1" t="s">
        <v>6134</v>
      </c>
      <c r="C1992" s="1" t="s">
        <v>208</v>
      </c>
      <c r="D1992" s="1" t="s">
        <v>208</v>
      </c>
      <c r="E1992" s="6">
        <v>20.190000000000001</v>
      </c>
      <c r="F1992" s="1" t="s">
        <v>53</v>
      </c>
      <c r="G1992" s="6">
        <f ca="1">IFERROR(__xludf.DUMMYFUNCTION("iferror(GOOGLEFINANCE(TRIM(F1992)&amp;"":"" &amp; TRIM(B1992), ""price""),0
)"),0)</f>
        <v>0</v>
      </c>
      <c r="H1992" s="6">
        <v>30.88</v>
      </c>
      <c r="I1992" s="6">
        <f t="shared" ca="1" si="0"/>
        <v>30.88</v>
      </c>
      <c r="J1992" s="6">
        <f ca="1">IFERROR(__xludf.DUMMYFUNCTION("IFERROR(GOOGLEFINANCE(B1992, ""volume""), 0)"),0)</f>
        <v>0</v>
      </c>
      <c r="K1992" s="12"/>
      <c r="L1992" s="6" t="str">
        <f ca="1">IFERROR(__xludf.DUMMYFUNCTION("IFERROR(GOOGLEFINANCE(B1992,""changepct""),K1992)"),"")</f>
        <v/>
      </c>
      <c r="M1992" s="6">
        <f ca="1">IFERROR(__xludf.DUMMYFUNCTION("IFERROR(GOOGLEFINANCE(B1992,""change""),0)"),0)</f>
        <v>0</v>
      </c>
      <c r="N1992" s="6">
        <v>1</v>
      </c>
      <c r="O1992" s="7">
        <v>45536</v>
      </c>
      <c r="P1992" s="6">
        <v>-0.11</v>
      </c>
      <c r="Q1992" s="7">
        <v>45536</v>
      </c>
      <c r="R1992" s="6">
        <v>0</v>
      </c>
      <c r="S1992" s="9"/>
      <c r="T1992" s="6">
        <v>-24.23</v>
      </c>
      <c r="U1992" s="6">
        <v>1</v>
      </c>
      <c r="V1992" s="7">
        <v>45352</v>
      </c>
      <c r="W1992" s="10">
        <f ca="1">IFERROR(__xludf.DUMMYFUNCTION("IFERROR(GOOGLEFINANCE(B1992,""pe""),V1992)"),45352)</f>
        <v>45352</v>
      </c>
      <c r="X1992" s="6">
        <v>-1.01</v>
      </c>
      <c r="Y1992" s="6">
        <v>0</v>
      </c>
      <c r="Z1992" s="6">
        <v>-767.01</v>
      </c>
      <c r="AA1992" s="3" t="s">
        <v>6135</v>
      </c>
      <c r="AB1992" s="11"/>
      <c r="AC1992" s="9"/>
      <c r="AD1992" s="9"/>
      <c r="AE1992" s="1">
        <v>0</v>
      </c>
      <c r="AF1992" s="1">
        <f ca="1">IFERROR(__xludf.DUMMYFUNCTION("IFERROR(GOOGLEFINANCE(TRIM(F1992)&amp;"":"" &amp; TRIM(B1992),""high52""),AE1992)"),0)</f>
        <v>0</v>
      </c>
      <c r="AG1992" s="1">
        <v>0</v>
      </c>
      <c r="AH1992" s="1">
        <f ca="1">IFERROR(__xludf.DUMMYFUNCTION("IFERROR(GOOGLEFINANCE(TRIM(F1992)&amp;"":"" &amp; TRIM(B1992),""low52""),AE1992)"),0)</f>
        <v>0</v>
      </c>
      <c r="AI1992" s="1">
        <f ca="1">IFERROR(__xludf.DUMMYFUNCTION("IFERROR(GOOGLEFINANCE(B1992,""eps""),0)"),0)</f>
        <v>0</v>
      </c>
      <c r="AJ1992" s="1"/>
      <c r="AK1992" s="1" t="s">
        <v>6136</v>
      </c>
      <c r="AL1992" s="9">
        <f t="shared" si="225"/>
        <v>1</v>
      </c>
    </row>
    <row r="1993" spans="1:38" ht="15" x14ac:dyDescent="0.25">
      <c r="A1993" s="1" t="s">
        <v>6137</v>
      </c>
      <c r="B1993" s="1" t="s">
        <v>6138</v>
      </c>
      <c r="C1993" s="1" t="s">
        <v>2432</v>
      </c>
      <c r="D1993" s="1" t="s">
        <v>2432</v>
      </c>
      <c r="E1993" s="6">
        <v>53.62</v>
      </c>
      <c r="F1993" s="1" t="s">
        <v>40</v>
      </c>
      <c r="G1993" s="6">
        <f ca="1">IFERROR(__xludf.DUMMYFUNCTION("iferror(GOOGLEFINANCE(TRIM(F1993)&amp;"":"" &amp; TRIM(B1993), ""price""),0
)"),1.56)</f>
        <v>1.56</v>
      </c>
      <c r="H1993" s="6">
        <v>2.73</v>
      </c>
      <c r="I1993" s="6">
        <f t="shared" ca="1" si="0"/>
        <v>1.56</v>
      </c>
      <c r="J1993" s="6">
        <f ca="1">IFERROR(__xludf.DUMMYFUNCTION("IFERROR(GOOGLEFINANCE(B1993, ""volume""), 0)"),187184)</f>
        <v>187184</v>
      </c>
      <c r="K1993" s="6">
        <v>0.74</v>
      </c>
      <c r="L1993" s="6">
        <f ca="1">IFERROR(__xludf.DUMMYFUNCTION("IFERROR(GOOGLEFINANCE(B1993,""changepct""),K1993)"),0)</f>
        <v>0</v>
      </c>
      <c r="M1993" s="6">
        <f ca="1">IFERROR(__xludf.DUMMYFUNCTION("IFERROR(GOOGLEFINANCE(B1993,""change""),0)"),0)</f>
        <v>0</v>
      </c>
      <c r="N1993" s="6">
        <v>2</v>
      </c>
      <c r="O1993" s="7">
        <v>45536</v>
      </c>
      <c r="P1993" s="9"/>
      <c r="Q1993" s="6">
        <v>53.62</v>
      </c>
      <c r="R1993" s="7">
        <v>45536</v>
      </c>
      <c r="S1993" s="6">
        <v>189.18</v>
      </c>
      <c r="T1993" s="6">
        <v>0.26</v>
      </c>
      <c r="U1993" s="7">
        <v>45536</v>
      </c>
      <c r="V1993" s="6">
        <v>202.35</v>
      </c>
      <c r="W1993" s="6">
        <f ca="1">IFERROR(__xludf.DUMMYFUNCTION("IFERROR(GOOGLEFINANCE(B1993,""pe""),V1993)"),14.66)</f>
        <v>14.66</v>
      </c>
      <c r="X1993" s="6">
        <v>-9.07</v>
      </c>
      <c r="Y1993" s="6">
        <v>0.84</v>
      </c>
      <c r="Z1993" s="6">
        <v>2</v>
      </c>
      <c r="AA1993" s="8">
        <v>45352</v>
      </c>
      <c r="AB1993" s="4">
        <v>0.09</v>
      </c>
      <c r="AC1993" s="6">
        <v>0.98</v>
      </c>
      <c r="AD1993" s="6">
        <v>1.8</v>
      </c>
      <c r="AE1993" s="1">
        <v>0</v>
      </c>
      <c r="AF1993" s="1">
        <f ca="1">IFERROR(__xludf.DUMMYFUNCTION("IFERROR(GOOGLEFINANCE(TRIM(F1993)&amp;"":"" &amp; TRIM(B1993),""high52""),AE1993)"),2.72)</f>
        <v>2.72</v>
      </c>
      <c r="AG1993" s="1">
        <v>0</v>
      </c>
      <c r="AH1993" s="1">
        <f ca="1">IFERROR(__xludf.DUMMYFUNCTION("IFERROR(GOOGLEFINANCE(TRIM(F1993)&amp;"":"" &amp; TRIM(B1993),""low52""),AE1993)"),1.42)</f>
        <v>1.42</v>
      </c>
      <c r="AI1993" s="1">
        <f ca="1">IFERROR(__xludf.DUMMYFUNCTION("IFERROR(GOOGLEFINANCE(B1993,""eps""),0)"),0.11)</f>
        <v>0.11</v>
      </c>
      <c r="AJ1993" s="1"/>
      <c r="AK1993" s="1" t="s">
        <v>6139</v>
      </c>
      <c r="AL1993" s="9">
        <f t="shared" si="225"/>
        <v>1</v>
      </c>
    </row>
    <row r="1994" spans="1:38" ht="15" x14ac:dyDescent="0.25">
      <c r="A1994" s="1" t="s">
        <v>6140</v>
      </c>
      <c r="B1994" s="1" t="s">
        <v>6141</v>
      </c>
      <c r="C1994" s="1" t="s">
        <v>208</v>
      </c>
      <c r="D1994" s="1" t="s">
        <v>208</v>
      </c>
      <c r="E1994" s="6">
        <v>88.27</v>
      </c>
      <c r="F1994" s="1" t="s">
        <v>53</v>
      </c>
      <c r="G1994" s="6">
        <f ca="1">IFERROR(__xludf.DUMMYFUNCTION("iferror(GOOGLEFINANCE(TRIM(F1994)&amp;"":"" &amp; TRIM(B1994), ""price""),0
)"),0)</f>
        <v>0</v>
      </c>
      <c r="H1994" s="6">
        <v>64.599999999999994</v>
      </c>
      <c r="I1994" s="6">
        <f t="shared" ca="1" si="0"/>
        <v>64.599999999999994</v>
      </c>
      <c r="J1994" s="6">
        <f ca="1">IFERROR(__xludf.DUMMYFUNCTION("IFERROR(GOOGLEFINANCE(B1994, ""volume""), 0)"),0)</f>
        <v>0</v>
      </c>
      <c r="K1994" s="6">
        <v>-5</v>
      </c>
      <c r="L1994" s="6">
        <f ca="1">IFERROR(__xludf.DUMMYFUNCTION("IFERROR(GOOGLEFINANCE(B1994,""changepct""),K1994)"),-5)</f>
        <v>-5</v>
      </c>
      <c r="M1994" s="6">
        <f ca="1">IFERROR(__xludf.DUMMYFUNCTION("IFERROR(GOOGLEFINANCE(B1994,""change""),0)"),0)</f>
        <v>0</v>
      </c>
      <c r="N1994" s="6">
        <v>1</v>
      </c>
      <c r="O1994" s="7">
        <v>45536</v>
      </c>
      <c r="P1994" s="6">
        <v>-0.52</v>
      </c>
      <c r="Q1994" s="7">
        <v>45536</v>
      </c>
      <c r="R1994" s="6">
        <v>0</v>
      </c>
      <c r="S1994" s="9"/>
      <c r="T1994" s="6">
        <v>5.67</v>
      </c>
      <c r="U1994" s="6">
        <v>1</v>
      </c>
      <c r="V1994" s="7">
        <v>45352</v>
      </c>
      <c r="W1994" s="10">
        <f ca="1">IFERROR(__xludf.DUMMYFUNCTION("IFERROR(GOOGLEFINANCE(B1994,""pe""),V1994)"),45352)</f>
        <v>45352</v>
      </c>
      <c r="X1994" s="6">
        <v>0.05</v>
      </c>
      <c r="Y1994" s="6">
        <v>-0.83</v>
      </c>
      <c r="Z1994" s="6">
        <v>-0.33</v>
      </c>
      <c r="AA1994" s="3" t="s">
        <v>6142</v>
      </c>
      <c r="AB1994" s="11"/>
      <c r="AC1994" s="9"/>
      <c r="AD1994" s="9"/>
      <c r="AE1994" s="1">
        <v>0</v>
      </c>
      <c r="AF1994" s="1">
        <f ca="1">IFERROR(__xludf.DUMMYFUNCTION("IFERROR(GOOGLEFINANCE(TRIM(F1994)&amp;"":"" &amp; TRIM(B1994),""high52""),AE1994)"),0)</f>
        <v>0</v>
      </c>
      <c r="AG1994" s="1">
        <v>0</v>
      </c>
      <c r="AH1994" s="1">
        <f ca="1">IFERROR(__xludf.DUMMYFUNCTION("IFERROR(GOOGLEFINANCE(TRIM(F1994)&amp;"":"" &amp; TRIM(B1994),""low52""),AE1994)"),0)</f>
        <v>0</v>
      </c>
      <c r="AI1994" s="1">
        <f ca="1">IFERROR(__xludf.DUMMYFUNCTION("IFERROR(GOOGLEFINANCE(B1994,""eps""),0)"),0)</f>
        <v>0</v>
      </c>
      <c r="AJ1994" s="1"/>
      <c r="AK1994" s="1" t="s">
        <v>6143</v>
      </c>
      <c r="AL1994" s="9">
        <f t="shared" si="225"/>
        <v>1</v>
      </c>
    </row>
    <row r="1995" spans="1:38" ht="15" x14ac:dyDescent="0.25">
      <c r="A1995" s="1" t="s">
        <v>6144</v>
      </c>
      <c r="B1995" s="1" t="s">
        <v>6145</v>
      </c>
      <c r="C1995" s="1" t="s">
        <v>208</v>
      </c>
      <c r="D1995" s="1" t="s">
        <v>208</v>
      </c>
      <c r="E1995" s="6">
        <v>44.38</v>
      </c>
      <c r="F1995" s="1" t="s">
        <v>53</v>
      </c>
      <c r="G1995" s="6">
        <f ca="1">IFERROR(__xludf.DUMMYFUNCTION("iferror(GOOGLEFINANCE(TRIM(F1995)&amp;"":"" &amp; TRIM(B1995), ""price""),0
)"),0)</f>
        <v>0</v>
      </c>
      <c r="H1995" s="6">
        <v>0.76</v>
      </c>
      <c r="I1995" s="6">
        <f t="shared" ca="1" si="0"/>
        <v>0.76</v>
      </c>
      <c r="J1995" s="6">
        <f ca="1">IFERROR(__xludf.DUMMYFUNCTION("IFERROR(GOOGLEFINANCE(B1995, ""volume""), 0)"),0)</f>
        <v>0</v>
      </c>
      <c r="K1995" s="6">
        <v>0</v>
      </c>
      <c r="L1995" s="6">
        <f ca="1">IFERROR(__xludf.DUMMYFUNCTION("IFERROR(GOOGLEFINANCE(B1995,""changepct""),K1995)"),0)</f>
        <v>0</v>
      </c>
      <c r="M1995" s="6">
        <f ca="1">IFERROR(__xludf.DUMMYFUNCTION("IFERROR(GOOGLEFINANCE(B1995,""change""),0)"),0)</f>
        <v>0</v>
      </c>
      <c r="N1995" s="6">
        <v>1</v>
      </c>
      <c r="O1995" s="7">
        <v>45536</v>
      </c>
      <c r="P1995" s="6">
        <v>-3.28</v>
      </c>
      <c r="Q1995" s="7">
        <v>45536</v>
      </c>
      <c r="R1995" s="6">
        <v>0</v>
      </c>
      <c r="S1995" s="9"/>
      <c r="T1995" s="6">
        <v>0.72</v>
      </c>
      <c r="U1995" s="6">
        <v>1</v>
      </c>
      <c r="V1995" s="7">
        <v>45352</v>
      </c>
      <c r="W1995" s="10">
        <f ca="1">IFERROR(__xludf.DUMMYFUNCTION("IFERROR(GOOGLEFINANCE(B1995,""pe""),V1995)"),45352)</f>
        <v>45352</v>
      </c>
      <c r="X1995" s="6">
        <v>0.69</v>
      </c>
      <c r="Y1995" s="6">
        <v>-1.89</v>
      </c>
      <c r="Z1995" s="6">
        <v>-0.04</v>
      </c>
      <c r="AA1995" s="3" t="s">
        <v>6146</v>
      </c>
      <c r="AB1995" s="11"/>
      <c r="AC1995" s="9"/>
      <c r="AD1995" s="9"/>
      <c r="AE1995" s="1">
        <v>0</v>
      </c>
      <c r="AF1995" s="1">
        <f ca="1">IFERROR(__xludf.DUMMYFUNCTION("IFERROR(GOOGLEFINANCE(TRIM(F1995)&amp;"":"" &amp; TRIM(B1995),""high52""),AE1995)"),0)</f>
        <v>0</v>
      </c>
      <c r="AG1995" s="1">
        <v>0</v>
      </c>
      <c r="AH1995" s="1">
        <f ca="1">IFERROR(__xludf.DUMMYFUNCTION("IFERROR(GOOGLEFINANCE(TRIM(F1995)&amp;"":"" &amp; TRIM(B1995),""low52""),AE1995)"),0)</f>
        <v>0</v>
      </c>
      <c r="AI1995" s="1">
        <f ca="1">IFERROR(__xludf.DUMMYFUNCTION("IFERROR(GOOGLEFINANCE(B1995,""eps""),0)"),0)</f>
        <v>0</v>
      </c>
      <c r="AJ1995" s="1"/>
      <c r="AK1995" s="1" t="s">
        <v>6147</v>
      </c>
      <c r="AL1995" s="9">
        <f t="shared" si="225"/>
        <v>1</v>
      </c>
    </row>
    <row r="1996" spans="1:38" ht="15" x14ac:dyDescent="0.25">
      <c r="A1996" s="1" t="s">
        <v>6148</v>
      </c>
      <c r="B1996" s="1" t="s">
        <v>6149</v>
      </c>
      <c r="C1996" s="1" t="s">
        <v>90</v>
      </c>
      <c r="D1996" s="1" t="s">
        <v>90</v>
      </c>
      <c r="E1996" s="6">
        <v>43.25</v>
      </c>
      <c r="F1996" s="1" t="s">
        <v>40</v>
      </c>
      <c r="G1996" s="6">
        <f ca="1">IFERROR(__xludf.DUMMYFUNCTION("iferror(GOOGLEFINANCE(TRIM(F1996)&amp;"":"" &amp; TRIM(B1996), ""price""),0
)"),0)</f>
        <v>0</v>
      </c>
      <c r="H1996" s="6">
        <v>48.2</v>
      </c>
      <c r="I1996" s="6">
        <f t="shared" ca="1" si="0"/>
        <v>48.2</v>
      </c>
      <c r="J1996" s="6">
        <f ca="1">IFERROR(__xludf.DUMMYFUNCTION("IFERROR(GOOGLEFINANCE(B1996, ""volume""), 0)"),0)</f>
        <v>0</v>
      </c>
      <c r="K1996" s="9"/>
      <c r="L1996" s="6" t="str">
        <f ca="1">IFERROR(__xludf.DUMMYFUNCTION("IFERROR(GOOGLEFINANCE(B1996,""changepct""),K1996)"),"")</f>
        <v/>
      </c>
      <c r="M1996" s="6">
        <f ca="1">IFERROR(__xludf.DUMMYFUNCTION("IFERROR(GOOGLEFINANCE(B1996,""change""),0)"),0)</f>
        <v>0</v>
      </c>
      <c r="N1996" s="6">
        <v>1</v>
      </c>
      <c r="O1996" s="7">
        <v>45536</v>
      </c>
      <c r="P1996" s="6">
        <v>4.5</v>
      </c>
      <c r="Q1996" s="6">
        <v>47.75</v>
      </c>
      <c r="R1996" s="7">
        <v>45352</v>
      </c>
      <c r="S1996" s="6">
        <v>16.510000000000002</v>
      </c>
      <c r="T1996" s="6">
        <v>1.01</v>
      </c>
      <c r="U1996" s="7">
        <v>45352</v>
      </c>
      <c r="V1996" s="6">
        <v>42.72</v>
      </c>
      <c r="W1996" s="6">
        <f ca="1">IFERROR(__xludf.DUMMYFUNCTION("IFERROR(GOOGLEFINANCE(B1996,""pe""),V1996)"),42.72)</f>
        <v>42.72</v>
      </c>
      <c r="X1996" s="9"/>
      <c r="Y1996" s="6">
        <v>2.41</v>
      </c>
      <c r="Z1996" s="6">
        <v>1</v>
      </c>
      <c r="AA1996" s="8">
        <v>45352</v>
      </c>
      <c r="AB1996" s="4">
        <v>0.27</v>
      </c>
      <c r="AC1996" s="6">
        <v>5.82</v>
      </c>
      <c r="AD1996" s="6">
        <v>9.7200000000000006</v>
      </c>
      <c r="AE1996" s="1">
        <v>0</v>
      </c>
      <c r="AF1996" s="1">
        <f ca="1">IFERROR(__xludf.DUMMYFUNCTION("IFERROR(GOOGLEFINANCE(TRIM(F1996)&amp;"":"" &amp; TRIM(B1996),""high52""),AE1996)"),0)</f>
        <v>0</v>
      </c>
      <c r="AG1996" s="1">
        <v>0</v>
      </c>
      <c r="AH1996" s="1">
        <f ca="1">IFERROR(__xludf.DUMMYFUNCTION("IFERROR(GOOGLEFINANCE(TRIM(F1996)&amp;"":"" &amp; TRIM(B1996),""low52""),AE1996)"),0)</f>
        <v>0</v>
      </c>
      <c r="AI1996" s="1">
        <f ca="1">IFERROR(__xludf.DUMMYFUNCTION("IFERROR(GOOGLEFINANCE(B1996,""eps""),0)"),0)</f>
        <v>0</v>
      </c>
      <c r="AJ1996" s="1"/>
      <c r="AK1996" s="1" t="s">
        <v>6150</v>
      </c>
      <c r="AL1996" s="1" t="b">
        <f>ISNUMBER(AA1996)</f>
        <v>1</v>
      </c>
    </row>
    <row r="1997" spans="1:38" ht="15" x14ac:dyDescent="0.25">
      <c r="A1997" s="1" t="s">
        <v>6151</v>
      </c>
      <c r="B1997" s="1" t="s">
        <v>6152</v>
      </c>
      <c r="C1997" s="1" t="s">
        <v>208</v>
      </c>
      <c r="D1997" s="1" t="s">
        <v>208</v>
      </c>
      <c r="E1997" s="6">
        <v>166.11</v>
      </c>
      <c r="F1997" s="1" t="s">
        <v>53</v>
      </c>
      <c r="G1997" s="6">
        <f ca="1">IFERROR(__xludf.DUMMYFUNCTION("iferror(GOOGLEFINANCE(TRIM(F1997)&amp;"":"" &amp; TRIM(B1997), ""price""),0
)"),0)</f>
        <v>0</v>
      </c>
      <c r="H1997" s="6">
        <v>55</v>
      </c>
      <c r="I1997" s="6">
        <f t="shared" ca="1" si="0"/>
        <v>55</v>
      </c>
      <c r="J1997" s="6">
        <f ca="1">IFERROR(__xludf.DUMMYFUNCTION("IFERROR(GOOGLEFINANCE(B1997, ""volume""), 0)"),0)</f>
        <v>0</v>
      </c>
      <c r="K1997" s="6">
        <v>-0.67</v>
      </c>
      <c r="L1997" s="6">
        <f ca="1">IFERROR(__xludf.DUMMYFUNCTION("IFERROR(GOOGLEFINANCE(B1997,""changepct""),K1997)"),-0.67)</f>
        <v>-0.67</v>
      </c>
      <c r="M1997" s="6">
        <f ca="1">IFERROR(__xludf.DUMMYFUNCTION("IFERROR(GOOGLEFINANCE(B1997,""change""),0)"),0)</f>
        <v>0</v>
      </c>
      <c r="N1997" s="6">
        <v>1</v>
      </c>
      <c r="O1997" s="7">
        <v>45536</v>
      </c>
      <c r="P1997" s="6">
        <v>-0.21</v>
      </c>
      <c r="Q1997" s="7">
        <v>45536</v>
      </c>
      <c r="R1997" s="6">
        <v>0</v>
      </c>
      <c r="S1997" s="9"/>
      <c r="T1997" s="6">
        <v>2.29</v>
      </c>
      <c r="U1997" s="6">
        <v>1</v>
      </c>
      <c r="V1997" s="7">
        <v>45352</v>
      </c>
      <c r="W1997" s="10">
        <f ca="1">IFERROR(__xludf.DUMMYFUNCTION("IFERROR(GOOGLEFINANCE(B1997,""pe""),V1997)"),45352)</f>
        <v>45352</v>
      </c>
      <c r="X1997" s="6">
        <v>0.35</v>
      </c>
      <c r="Y1997" s="6">
        <v>-1.19</v>
      </c>
      <c r="Z1997" s="6">
        <v>-0.96</v>
      </c>
      <c r="AA1997" s="3" t="s">
        <v>6153</v>
      </c>
      <c r="AB1997" s="11"/>
      <c r="AC1997" s="9"/>
      <c r="AD1997" s="9"/>
      <c r="AE1997" s="1">
        <v>0</v>
      </c>
      <c r="AF1997" s="1">
        <f ca="1">IFERROR(__xludf.DUMMYFUNCTION("IFERROR(GOOGLEFINANCE(TRIM(F1997)&amp;"":"" &amp; TRIM(B1997),""high52""),AE1997)"),0)</f>
        <v>0</v>
      </c>
      <c r="AG1997" s="1">
        <v>0</v>
      </c>
      <c r="AH1997" s="1">
        <f ca="1">IFERROR(__xludf.DUMMYFUNCTION("IFERROR(GOOGLEFINANCE(TRIM(F1997)&amp;"":"" &amp; TRIM(B1997),""low52""),AE1997)"),0)</f>
        <v>0</v>
      </c>
      <c r="AI1997" s="1">
        <f ca="1">IFERROR(__xludf.DUMMYFUNCTION("IFERROR(GOOGLEFINANCE(B1997,""eps""),0)"),0)</f>
        <v>0</v>
      </c>
      <c r="AJ1997" s="1"/>
      <c r="AK1997" s="1" t="s">
        <v>6154</v>
      </c>
      <c r="AL1997" s="9">
        <f t="shared" ref="AL1997:AL2020" si="226">IF(AA1997&lt;&gt;AB1997,1,0)</f>
        <v>1</v>
      </c>
    </row>
    <row r="1998" spans="1:38" ht="15" x14ac:dyDescent="0.25">
      <c r="A1998" s="1" t="s">
        <v>6155</v>
      </c>
      <c r="B1998" s="1" t="s">
        <v>6156</v>
      </c>
      <c r="C1998" s="1" t="s">
        <v>208</v>
      </c>
      <c r="D1998" s="1" t="s">
        <v>208</v>
      </c>
      <c r="E1998" s="6">
        <v>22.87</v>
      </c>
      <c r="F1998" s="1" t="s">
        <v>53</v>
      </c>
      <c r="G1998" s="6">
        <f ca="1">IFERROR(__xludf.DUMMYFUNCTION("iferror(GOOGLEFINANCE(TRIM(F1998)&amp;"":"" &amp; TRIM(B1998), ""price""),0
)"),0)</f>
        <v>0</v>
      </c>
      <c r="H1998" s="6">
        <v>22.44</v>
      </c>
      <c r="I1998" s="6">
        <f t="shared" ca="1" si="0"/>
        <v>22.44</v>
      </c>
      <c r="J1998" s="6">
        <f ca="1">IFERROR(__xludf.DUMMYFUNCTION("IFERROR(GOOGLEFINANCE(B1998, ""volume""), 0)"),0)</f>
        <v>0</v>
      </c>
      <c r="K1998" s="6">
        <v>0.13</v>
      </c>
      <c r="L1998" s="6">
        <f ca="1">IFERROR(__xludf.DUMMYFUNCTION("IFERROR(GOOGLEFINANCE(B1998,""changepct""),K1998)"),0.13)</f>
        <v>0.13</v>
      </c>
      <c r="M1998" s="6">
        <f ca="1">IFERROR(__xludf.DUMMYFUNCTION("IFERROR(GOOGLEFINANCE(B1998,""change""),0)"),0)</f>
        <v>0</v>
      </c>
      <c r="N1998" s="6">
        <v>1</v>
      </c>
      <c r="O1998" s="7">
        <v>45536</v>
      </c>
      <c r="P1998" s="6">
        <v>9.18</v>
      </c>
      <c r="Q1998" s="7">
        <v>45536</v>
      </c>
      <c r="R1998" s="6">
        <v>2.4900000000000002</v>
      </c>
      <c r="S1998" s="6">
        <v>0.03</v>
      </c>
      <c r="T1998" s="6">
        <v>0.96</v>
      </c>
      <c r="U1998" s="6">
        <v>1</v>
      </c>
      <c r="V1998" s="7">
        <v>45352</v>
      </c>
      <c r="W1998" s="10">
        <f ca="1">IFERROR(__xludf.DUMMYFUNCTION("IFERROR(GOOGLEFINANCE(B1998,""pe""),V1998)"),45352)</f>
        <v>45352</v>
      </c>
      <c r="X1998" s="6">
        <v>0.28999999999999998</v>
      </c>
      <c r="Y1998" s="6">
        <v>17.190000000000001</v>
      </c>
      <c r="Z1998" s="6">
        <v>20.85</v>
      </c>
      <c r="AA1998" s="3" t="s">
        <v>6157</v>
      </c>
      <c r="AB1998" s="11"/>
      <c r="AC1998" s="9"/>
      <c r="AD1998" s="9"/>
      <c r="AE1998" s="1">
        <v>0</v>
      </c>
      <c r="AF1998" s="1">
        <f ca="1">IFERROR(__xludf.DUMMYFUNCTION("IFERROR(GOOGLEFINANCE(TRIM(F1998)&amp;"":"" &amp; TRIM(B1998),""high52""),AE1998)"),0)</f>
        <v>0</v>
      </c>
      <c r="AG1998" s="1">
        <v>0</v>
      </c>
      <c r="AH1998" s="1">
        <f ca="1">IFERROR(__xludf.DUMMYFUNCTION("IFERROR(GOOGLEFINANCE(TRIM(F1998)&amp;"":"" &amp; TRIM(B1998),""low52""),AE1998)"),0)</f>
        <v>0</v>
      </c>
      <c r="AI1998" s="1">
        <f ca="1">IFERROR(__xludf.DUMMYFUNCTION("IFERROR(GOOGLEFINANCE(B1998,""eps""),0)"),0)</f>
        <v>0</v>
      </c>
      <c r="AJ1998" s="1"/>
      <c r="AK1998" s="6">
        <v>30.39</v>
      </c>
      <c r="AL1998" s="9">
        <f t="shared" si="226"/>
        <v>1</v>
      </c>
    </row>
    <row r="1999" spans="1:38" ht="15" x14ac:dyDescent="0.25">
      <c r="A1999" s="1" t="s">
        <v>6158</v>
      </c>
      <c r="B1999" s="1" t="s">
        <v>6159</v>
      </c>
      <c r="C1999" s="1" t="s">
        <v>208</v>
      </c>
      <c r="D1999" s="1" t="s">
        <v>208</v>
      </c>
      <c r="E1999" s="6">
        <v>189.6</v>
      </c>
      <c r="F1999" s="1" t="s">
        <v>53</v>
      </c>
      <c r="G1999" s="6">
        <f ca="1">IFERROR(__xludf.DUMMYFUNCTION("iferror(GOOGLEFINANCE(TRIM(F1999)&amp;"":"" &amp; TRIM(B1999), ""price""),0
)"),0)</f>
        <v>0</v>
      </c>
      <c r="H1999" s="6">
        <v>320</v>
      </c>
      <c r="I1999" s="6">
        <f t="shared" ca="1" si="0"/>
        <v>320</v>
      </c>
      <c r="J1999" s="6">
        <f ca="1">IFERROR(__xludf.DUMMYFUNCTION("IFERROR(GOOGLEFINANCE(B1999, ""volume""), 0)"),0)</f>
        <v>0</v>
      </c>
      <c r="K1999" s="6">
        <v>1.27</v>
      </c>
      <c r="L1999" s="6">
        <f ca="1">IFERROR(__xludf.DUMMYFUNCTION("IFERROR(GOOGLEFINANCE(B1999,""changepct""),K1999)"),1.27)</f>
        <v>1.27</v>
      </c>
      <c r="M1999" s="6">
        <f ca="1">IFERROR(__xludf.DUMMYFUNCTION("IFERROR(GOOGLEFINANCE(B1999,""change""),0)"),0)</f>
        <v>0</v>
      </c>
      <c r="N1999" s="6">
        <v>1</v>
      </c>
      <c r="O1999" s="7">
        <v>45536</v>
      </c>
      <c r="P1999" s="6">
        <v>75.72</v>
      </c>
      <c r="Q1999" s="7">
        <v>45536</v>
      </c>
      <c r="R1999" s="6">
        <v>2.5</v>
      </c>
      <c r="S1999" s="6">
        <v>0.03</v>
      </c>
      <c r="T1999" s="6">
        <v>2.4500000000000002</v>
      </c>
      <c r="U1999" s="6">
        <v>1</v>
      </c>
      <c r="V1999" s="7">
        <v>45352</v>
      </c>
      <c r="W1999" s="10">
        <f ca="1">IFERROR(__xludf.DUMMYFUNCTION("IFERROR(GOOGLEFINANCE(B1999,""pe""),V1999)"),45352)</f>
        <v>45352</v>
      </c>
      <c r="X1999" s="6">
        <v>0</v>
      </c>
      <c r="Y1999" s="6">
        <v>57.25</v>
      </c>
      <c r="Z1999" s="6">
        <v>57.24</v>
      </c>
      <c r="AA1999" s="3" t="s">
        <v>6160</v>
      </c>
      <c r="AB1999" s="11"/>
      <c r="AC1999" s="9"/>
      <c r="AD1999" s="9"/>
      <c r="AE1999" s="1">
        <v>0</v>
      </c>
      <c r="AF1999" s="1">
        <f ca="1">IFERROR(__xludf.DUMMYFUNCTION("IFERROR(GOOGLEFINANCE(TRIM(F1999)&amp;"":"" &amp; TRIM(B1999),""high52""),AE1999)"),0)</f>
        <v>0</v>
      </c>
      <c r="AG1999" s="1">
        <v>0</v>
      </c>
      <c r="AH1999" s="1">
        <f ca="1">IFERROR(__xludf.DUMMYFUNCTION("IFERROR(GOOGLEFINANCE(TRIM(F1999)&amp;"":"" &amp; TRIM(B1999),""low52""),AE1999)"),0)</f>
        <v>0</v>
      </c>
      <c r="AI1999" s="1">
        <f ca="1">IFERROR(__xludf.DUMMYFUNCTION("IFERROR(GOOGLEFINANCE(B1999,""eps""),0)"),0)</f>
        <v>0</v>
      </c>
      <c r="AJ1999" s="1"/>
      <c r="AK1999" s="1" t="s">
        <v>6161</v>
      </c>
      <c r="AL1999" s="9">
        <f t="shared" si="226"/>
        <v>1</v>
      </c>
    </row>
    <row r="2000" spans="1:38" ht="15" x14ac:dyDescent="0.25">
      <c r="A2000" s="1" t="s">
        <v>6162</v>
      </c>
      <c r="B2000" s="1" t="s">
        <v>6163</v>
      </c>
      <c r="C2000" s="1" t="s">
        <v>135</v>
      </c>
      <c r="D2000" s="1" t="s">
        <v>135</v>
      </c>
      <c r="E2000" s="6">
        <v>502.47</v>
      </c>
      <c r="F2000" s="1" t="s">
        <v>40</v>
      </c>
      <c r="G2000" s="6">
        <f ca="1">IFERROR(__xludf.DUMMYFUNCTION("iferror(GOOGLEFINANCE(TRIM(F2000)&amp;"":"" &amp; TRIM(B2000), ""price""),0
)"),67.2)</f>
        <v>67.2</v>
      </c>
      <c r="H2000" s="6">
        <v>117.16</v>
      </c>
      <c r="I2000" s="6">
        <f t="shared" ca="1" si="0"/>
        <v>67.2</v>
      </c>
      <c r="J2000" s="6">
        <f ca="1">IFERROR(__xludf.DUMMYFUNCTION("IFERROR(GOOGLEFINANCE(B2000, ""volume""), 0)"),9358)</f>
        <v>9358</v>
      </c>
      <c r="K2000" s="6">
        <v>1.38</v>
      </c>
      <c r="L2000" s="6">
        <f ca="1">IFERROR(__xludf.DUMMYFUNCTION("IFERROR(GOOGLEFINANCE(B2000,""changepct""),K2000)"),-3.04)</f>
        <v>-3.04</v>
      </c>
      <c r="M2000" s="6">
        <f ca="1">IFERROR(__xludf.DUMMYFUNCTION("IFERROR(GOOGLEFINANCE(B2000,""change""),0)"),-2.11)</f>
        <v>-2.11</v>
      </c>
      <c r="N2000" s="6">
        <v>2</v>
      </c>
      <c r="O2000" s="7">
        <v>45536</v>
      </c>
      <c r="P2000" s="6">
        <v>542.54</v>
      </c>
      <c r="Q2000" s="6">
        <v>1031.43</v>
      </c>
      <c r="R2000" s="7">
        <v>45536</v>
      </c>
      <c r="S2000" s="6">
        <v>1461.6</v>
      </c>
      <c r="T2000" s="6">
        <v>-71.39</v>
      </c>
      <c r="U2000" s="7">
        <v>45536</v>
      </c>
      <c r="V2000" s="6">
        <v>0</v>
      </c>
      <c r="W2000" s="6">
        <f ca="1">IFERROR(__xludf.DUMMYFUNCTION("IFERROR(GOOGLEFINANCE(B2000,""pe""),V2000)"),9.02)</f>
        <v>9.02</v>
      </c>
      <c r="X2000" s="12"/>
      <c r="Y2000" s="6">
        <v>0.88</v>
      </c>
      <c r="Z2000" s="6">
        <v>2</v>
      </c>
      <c r="AA2000" s="8">
        <v>45352</v>
      </c>
      <c r="AB2000" s="4">
        <v>0.84</v>
      </c>
      <c r="AC2000" s="6">
        <v>-9.16</v>
      </c>
      <c r="AD2000" s="6">
        <v>0.64</v>
      </c>
      <c r="AE2000" s="1">
        <v>0</v>
      </c>
      <c r="AF2000" s="1">
        <f ca="1">IFERROR(__xludf.DUMMYFUNCTION("IFERROR(GOOGLEFINANCE(TRIM(F2000)&amp;"":"" &amp; TRIM(B2000),""high52""),AE2000)"),108.5)</f>
        <v>108.5</v>
      </c>
      <c r="AG2000" s="1">
        <v>0</v>
      </c>
      <c r="AH2000" s="1">
        <f ca="1">IFERROR(__xludf.DUMMYFUNCTION("IFERROR(GOOGLEFINANCE(TRIM(F2000)&amp;"":"" &amp; TRIM(B2000),""low52""),AE2000)"),64.77)</f>
        <v>64.77</v>
      </c>
      <c r="AI2000" s="1">
        <f ca="1">IFERROR(__xludf.DUMMYFUNCTION("IFERROR(GOOGLEFINANCE(B2000,""eps""),0)"),7.45)</f>
        <v>7.45</v>
      </c>
      <c r="AJ2000" s="1"/>
      <c r="AK2000" s="9"/>
      <c r="AL2000" s="9">
        <f t="shared" si="226"/>
        <v>1</v>
      </c>
    </row>
    <row r="2001" spans="1:38" ht="15" x14ac:dyDescent="0.25">
      <c r="A2001" s="1" t="s">
        <v>6164</v>
      </c>
      <c r="B2001" s="1" t="s">
        <v>6165</v>
      </c>
      <c r="C2001" s="1" t="s">
        <v>208</v>
      </c>
      <c r="D2001" s="1" t="s">
        <v>208</v>
      </c>
      <c r="E2001" s="6">
        <v>345.29</v>
      </c>
      <c r="F2001" s="1" t="s">
        <v>53</v>
      </c>
      <c r="G2001" s="6">
        <f ca="1">IFERROR(__xludf.DUMMYFUNCTION("iferror(GOOGLEFINANCE(TRIM(F2001)&amp;"":"" &amp; TRIM(B2001), ""price""),0
)"),0)</f>
        <v>0</v>
      </c>
      <c r="H2001" s="6">
        <v>337.45</v>
      </c>
      <c r="I2001" s="6">
        <f t="shared" ca="1" si="0"/>
        <v>337.45</v>
      </c>
      <c r="J2001" s="6">
        <f ca="1">IFERROR(__xludf.DUMMYFUNCTION("IFERROR(GOOGLEFINANCE(B2001, ""volume""), 0)"),0)</f>
        <v>0</v>
      </c>
      <c r="K2001" s="6">
        <v>-0.28000000000000003</v>
      </c>
      <c r="L2001" s="6">
        <f ca="1">IFERROR(__xludf.DUMMYFUNCTION("IFERROR(GOOGLEFINANCE(B2001,""changepct""),K2001)"),-0.28)</f>
        <v>-0.28000000000000003</v>
      </c>
      <c r="M2001" s="6">
        <f ca="1">IFERROR(__xludf.DUMMYFUNCTION("IFERROR(GOOGLEFINANCE(B2001,""change""),0)"),0)</f>
        <v>0</v>
      </c>
      <c r="N2001" s="6">
        <v>2</v>
      </c>
      <c r="O2001" s="7">
        <v>45536</v>
      </c>
      <c r="P2001" s="6">
        <v>0.24</v>
      </c>
      <c r="Q2001" s="7">
        <v>45536</v>
      </c>
      <c r="R2001" s="6">
        <v>2.6</v>
      </c>
      <c r="S2001" s="6">
        <v>0.09</v>
      </c>
      <c r="T2001" s="6">
        <v>0.3</v>
      </c>
      <c r="U2001" s="6">
        <v>2</v>
      </c>
      <c r="V2001" s="7">
        <v>45352</v>
      </c>
      <c r="W2001" s="10">
        <f ca="1">IFERROR(__xludf.DUMMYFUNCTION("IFERROR(GOOGLEFINANCE(B2001,""pe""),V2001)"),45352)</f>
        <v>45352</v>
      </c>
      <c r="X2001" s="6">
        <v>0</v>
      </c>
      <c r="Y2001" s="6">
        <v>0.02</v>
      </c>
      <c r="Z2001" s="6">
        <v>0.03</v>
      </c>
      <c r="AA2001" s="3" t="s">
        <v>6166</v>
      </c>
      <c r="AB2001" s="11"/>
      <c r="AC2001" s="9"/>
      <c r="AD2001" s="9"/>
      <c r="AE2001" s="1">
        <v>0</v>
      </c>
      <c r="AF2001" s="1">
        <f ca="1">IFERROR(__xludf.DUMMYFUNCTION("IFERROR(GOOGLEFINANCE(TRIM(F2001)&amp;"":"" &amp; TRIM(B2001),""high52""),AE2001)"),0)</f>
        <v>0</v>
      </c>
      <c r="AG2001" s="1">
        <v>0</v>
      </c>
      <c r="AH2001" s="1">
        <f ca="1">IFERROR(__xludf.DUMMYFUNCTION("IFERROR(GOOGLEFINANCE(TRIM(F2001)&amp;"":"" &amp; TRIM(B2001),""low52""),AE2001)"),0)</f>
        <v>0</v>
      </c>
      <c r="AI2001" s="1">
        <f ca="1">IFERROR(__xludf.DUMMYFUNCTION("IFERROR(GOOGLEFINANCE(B2001,""eps""),0)"),0)</f>
        <v>0</v>
      </c>
      <c r="AJ2001" s="1"/>
      <c r="AK2001" s="1" t="s">
        <v>6167</v>
      </c>
      <c r="AL2001" s="9">
        <f t="shared" si="226"/>
        <v>1</v>
      </c>
    </row>
    <row r="2002" spans="1:38" ht="15" x14ac:dyDescent="0.25">
      <c r="A2002" s="1" t="s">
        <v>6168</v>
      </c>
      <c r="B2002" s="1" t="s">
        <v>6169</v>
      </c>
      <c r="C2002" s="1" t="s">
        <v>208</v>
      </c>
      <c r="D2002" s="1" t="s">
        <v>208</v>
      </c>
      <c r="E2002" s="6">
        <v>26.45</v>
      </c>
      <c r="F2002" s="1" t="s">
        <v>53</v>
      </c>
      <c r="G2002" s="6">
        <f ca="1">IFERROR(__xludf.DUMMYFUNCTION("iferror(GOOGLEFINANCE(TRIM(F2002)&amp;"":"" &amp; TRIM(B2002), ""price""),0
)"),0)</f>
        <v>0</v>
      </c>
      <c r="H2002" s="6">
        <v>42.87</v>
      </c>
      <c r="I2002" s="6">
        <f t="shared" ca="1" si="0"/>
        <v>42.87</v>
      </c>
      <c r="J2002" s="6">
        <f ca="1">IFERROR(__xludf.DUMMYFUNCTION("IFERROR(GOOGLEFINANCE(B2002, ""volume""), 0)"),0)</f>
        <v>0</v>
      </c>
      <c r="K2002" s="6">
        <v>1.83</v>
      </c>
      <c r="L2002" s="6">
        <f ca="1">IFERROR(__xludf.DUMMYFUNCTION("IFERROR(GOOGLEFINANCE(B2002,""changepct""),K2002)"),1.83)</f>
        <v>1.83</v>
      </c>
      <c r="M2002" s="6">
        <f ca="1">IFERROR(__xludf.DUMMYFUNCTION("IFERROR(GOOGLEFINANCE(B2002,""change""),0)"),0)</f>
        <v>0</v>
      </c>
      <c r="N2002" s="6">
        <v>1</v>
      </c>
      <c r="O2002" s="7">
        <v>45536</v>
      </c>
      <c r="P2002" s="6">
        <v>9.75</v>
      </c>
      <c r="Q2002" s="7">
        <v>45536</v>
      </c>
      <c r="R2002" s="6">
        <v>2.71</v>
      </c>
      <c r="S2002" s="6">
        <v>0.03</v>
      </c>
      <c r="T2002" s="6">
        <v>0.62</v>
      </c>
      <c r="U2002" s="6">
        <v>1</v>
      </c>
      <c r="V2002" s="7">
        <v>45352</v>
      </c>
      <c r="W2002" s="10">
        <f ca="1">IFERROR(__xludf.DUMMYFUNCTION("IFERROR(GOOGLEFINANCE(B2002,""pe""),V2002)"),45352)</f>
        <v>45352</v>
      </c>
      <c r="X2002" s="6">
        <v>1.1499999999999999</v>
      </c>
      <c r="Y2002" s="6">
        <v>25.07</v>
      </c>
      <c r="Z2002" s="6">
        <v>16.850000000000001</v>
      </c>
      <c r="AA2002" s="3" t="s">
        <v>6170</v>
      </c>
      <c r="AB2002" s="11"/>
      <c r="AC2002" s="9"/>
      <c r="AD2002" s="9"/>
      <c r="AE2002" s="1">
        <v>0</v>
      </c>
      <c r="AF2002" s="1">
        <f ca="1">IFERROR(__xludf.DUMMYFUNCTION("IFERROR(GOOGLEFINANCE(TRIM(F2002)&amp;"":"" &amp; TRIM(B2002),""high52""),AE2002)"),0)</f>
        <v>0</v>
      </c>
      <c r="AG2002" s="1">
        <v>0</v>
      </c>
      <c r="AH2002" s="1">
        <f ca="1">IFERROR(__xludf.DUMMYFUNCTION("IFERROR(GOOGLEFINANCE(TRIM(F2002)&amp;"":"" &amp; TRIM(B2002),""low52""),AE2002)"),0)</f>
        <v>0</v>
      </c>
      <c r="AI2002" s="1">
        <f ca="1">IFERROR(__xludf.DUMMYFUNCTION("IFERROR(GOOGLEFINANCE(B2002,""eps""),0)"),0)</f>
        <v>0</v>
      </c>
      <c r="AJ2002" s="1"/>
      <c r="AK2002" s="1" t="s">
        <v>6171</v>
      </c>
      <c r="AL2002" s="9">
        <f t="shared" si="226"/>
        <v>1</v>
      </c>
    </row>
    <row r="2003" spans="1:38" ht="15" x14ac:dyDescent="0.25">
      <c r="A2003" s="1" t="s">
        <v>6172</v>
      </c>
      <c r="B2003" s="1" t="s">
        <v>6173</v>
      </c>
      <c r="C2003" s="1" t="s">
        <v>208</v>
      </c>
      <c r="D2003" s="1" t="s">
        <v>208</v>
      </c>
      <c r="E2003" s="6">
        <v>10513.66</v>
      </c>
      <c r="F2003" s="1" t="s">
        <v>53</v>
      </c>
      <c r="G2003" s="6">
        <f ca="1">IFERROR(__xludf.DUMMYFUNCTION("iferror(GOOGLEFINANCE(TRIM(F2003)&amp;"":"" &amp; TRIM(B2003), ""price""),0
)"),0)</f>
        <v>0</v>
      </c>
      <c r="H2003" s="6">
        <v>9239</v>
      </c>
      <c r="I2003" s="6">
        <f t="shared" ca="1" si="0"/>
        <v>9239</v>
      </c>
      <c r="J2003" s="6">
        <f ca="1">IFERROR(__xludf.DUMMYFUNCTION("IFERROR(GOOGLEFINANCE(B2003, ""volume""), 0)"),0)</f>
        <v>0</v>
      </c>
      <c r="K2003" s="6">
        <v>-0.73</v>
      </c>
      <c r="L2003" s="6">
        <f ca="1">IFERROR(__xludf.DUMMYFUNCTION("IFERROR(GOOGLEFINANCE(B2003,""changepct""),K2003)"),-0.73)</f>
        <v>-0.73</v>
      </c>
      <c r="M2003" s="6">
        <f ca="1">IFERROR(__xludf.DUMMYFUNCTION("IFERROR(GOOGLEFINANCE(B2003,""change""),0)"),0)</f>
        <v>0</v>
      </c>
      <c r="N2003" s="6">
        <v>2</v>
      </c>
      <c r="O2003" s="7">
        <v>45536</v>
      </c>
      <c r="P2003" s="6">
        <v>3136.73</v>
      </c>
      <c r="Q2003" s="7">
        <v>45536</v>
      </c>
      <c r="R2003" s="6">
        <v>2.88</v>
      </c>
      <c r="S2003" s="6">
        <v>0.1</v>
      </c>
      <c r="T2003" s="6">
        <v>1.1200000000000001</v>
      </c>
      <c r="U2003" s="6">
        <v>2</v>
      </c>
      <c r="V2003" s="7">
        <v>45352</v>
      </c>
      <c r="W2003" s="10">
        <f ca="1">IFERROR(__xludf.DUMMYFUNCTION("IFERROR(GOOGLEFINANCE(B2003,""pe""),V2003)"),45352)</f>
        <v>45352</v>
      </c>
      <c r="X2003" s="6">
        <v>0.05</v>
      </c>
      <c r="Y2003" s="6">
        <v>47.6</v>
      </c>
      <c r="Z2003" s="6">
        <v>44.36</v>
      </c>
      <c r="AA2003" s="3" t="s">
        <v>6174</v>
      </c>
      <c r="AB2003" s="11"/>
      <c r="AC2003" s="9"/>
      <c r="AD2003" s="9"/>
      <c r="AE2003" s="1">
        <v>0</v>
      </c>
      <c r="AF2003" s="1">
        <f ca="1">IFERROR(__xludf.DUMMYFUNCTION("IFERROR(GOOGLEFINANCE(TRIM(F2003)&amp;"":"" &amp; TRIM(B2003),""high52""),AE2003)"),0)</f>
        <v>0</v>
      </c>
      <c r="AG2003" s="1">
        <v>0</v>
      </c>
      <c r="AH2003" s="1">
        <f ca="1">IFERROR(__xludf.DUMMYFUNCTION("IFERROR(GOOGLEFINANCE(TRIM(F2003)&amp;"":"" &amp; TRIM(B2003),""low52""),AE2003)"),0)</f>
        <v>0</v>
      </c>
      <c r="AI2003" s="1">
        <f ca="1">IFERROR(__xludf.DUMMYFUNCTION("IFERROR(GOOGLEFINANCE(B2003,""eps""),0)"),0)</f>
        <v>0</v>
      </c>
      <c r="AJ2003" s="1"/>
      <c r="AK2003" s="1" t="s">
        <v>6175</v>
      </c>
      <c r="AL2003" s="9">
        <f t="shared" si="226"/>
        <v>1</v>
      </c>
    </row>
    <row r="2004" spans="1:38" ht="15" x14ac:dyDescent="0.25">
      <c r="A2004" s="1" t="s">
        <v>6176</v>
      </c>
      <c r="B2004" s="1" t="s">
        <v>6177</v>
      </c>
      <c r="C2004" s="1" t="s">
        <v>208</v>
      </c>
      <c r="D2004" s="1" t="s">
        <v>208</v>
      </c>
      <c r="E2004" s="6">
        <v>105.2</v>
      </c>
      <c r="F2004" s="1" t="s">
        <v>53</v>
      </c>
      <c r="G2004" s="6">
        <f ca="1">IFERROR(__xludf.DUMMYFUNCTION("iferror(GOOGLEFINANCE(TRIM(F2004)&amp;"":"" &amp; TRIM(B2004), ""price""),0
)"),0)</f>
        <v>0</v>
      </c>
      <c r="H2004" s="6">
        <v>439.45</v>
      </c>
      <c r="I2004" s="6">
        <f t="shared" ca="1" si="0"/>
        <v>439.45</v>
      </c>
      <c r="J2004" s="6">
        <f ca="1">IFERROR(__xludf.DUMMYFUNCTION("IFERROR(GOOGLEFINANCE(B2004, ""volume""), 0)"),0)</f>
        <v>0</v>
      </c>
      <c r="K2004" s="6">
        <v>0.25</v>
      </c>
      <c r="L2004" s="6">
        <f ca="1">IFERROR(__xludf.DUMMYFUNCTION("IFERROR(GOOGLEFINANCE(B2004,""changepct""),K2004)"),0.25)</f>
        <v>0.25</v>
      </c>
      <c r="M2004" s="6">
        <f ca="1">IFERROR(__xludf.DUMMYFUNCTION("IFERROR(GOOGLEFINANCE(B2004,""change""),0)"),0)</f>
        <v>0</v>
      </c>
      <c r="N2004" s="6">
        <v>1</v>
      </c>
      <c r="O2004" s="7">
        <v>45536</v>
      </c>
      <c r="P2004" s="6">
        <v>34.380000000000003</v>
      </c>
      <c r="Q2004" s="7">
        <v>45536</v>
      </c>
      <c r="R2004" s="6">
        <v>3.06</v>
      </c>
      <c r="S2004" s="6">
        <v>0.19</v>
      </c>
      <c r="T2004" s="6">
        <v>-17.79</v>
      </c>
      <c r="U2004" s="6">
        <v>1</v>
      </c>
      <c r="V2004" s="7">
        <v>45352</v>
      </c>
      <c r="W2004" s="10">
        <f ca="1">IFERROR(__xludf.DUMMYFUNCTION("IFERROR(GOOGLEFINANCE(B2004,""pe""),V2004)"),45352)</f>
        <v>45352</v>
      </c>
      <c r="X2004" s="6">
        <v>-6.56</v>
      </c>
      <c r="Y2004" s="6">
        <v>0</v>
      </c>
      <c r="Z2004" s="6">
        <v>62.36</v>
      </c>
      <c r="AA2004" s="3" t="s">
        <v>6178</v>
      </c>
      <c r="AB2004" s="11"/>
      <c r="AC2004" s="9"/>
      <c r="AD2004" s="9"/>
      <c r="AE2004" s="1">
        <v>0</v>
      </c>
      <c r="AF2004" s="1">
        <f ca="1">IFERROR(__xludf.DUMMYFUNCTION("IFERROR(GOOGLEFINANCE(TRIM(F2004)&amp;"":"" &amp; TRIM(B2004),""high52""),AE2004)"),0)</f>
        <v>0</v>
      </c>
      <c r="AG2004" s="1">
        <v>0</v>
      </c>
      <c r="AH2004" s="1">
        <f ca="1">IFERROR(__xludf.DUMMYFUNCTION("IFERROR(GOOGLEFINANCE(TRIM(F2004)&amp;"":"" &amp; TRIM(B2004),""low52""),AE2004)"),0)</f>
        <v>0</v>
      </c>
      <c r="AI2004" s="1">
        <f ca="1">IFERROR(__xludf.DUMMYFUNCTION("IFERROR(GOOGLEFINANCE(B2004,""eps""),0)"),0)</f>
        <v>0</v>
      </c>
      <c r="AJ2004" s="1"/>
      <c r="AK2004" s="1" t="s">
        <v>6179</v>
      </c>
      <c r="AL2004" s="9">
        <f t="shared" si="226"/>
        <v>1</v>
      </c>
    </row>
    <row r="2005" spans="1:38" ht="15" x14ac:dyDescent="0.25">
      <c r="A2005" s="1" t="s">
        <v>6180</v>
      </c>
      <c r="B2005" s="1" t="s">
        <v>6181</v>
      </c>
      <c r="C2005" s="1" t="s">
        <v>82</v>
      </c>
      <c r="D2005" s="1" t="s">
        <v>82</v>
      </c>
      <c r="E2005" s="6">
        <v>292.95999999999998</v>
      </c>
      <c r="F2005" s="1" t="s">
        <v>40</v>
      </c>
      <c r="G2005" s="6">
        <f ca="1">IFERROR(__xludf.DUMMYFUNCTION("iferror(GOOGLEFINANCE(TRIM(F2005)&amp;"":"" &amp; TRIM(B2005), ""price""),0
)"),165.01)</f>
        <v>165.01</v>
      </c>
      <c r="H2005" s="6">
        <v>130.77000000000001</v>
      </c>
      <c r="I2005" s="6">
        <f t="shared" ca="1" si="0"/>
        <v>165.01</v>
      </c>
      <c r="J2005" s="6">
        <f ca="1">IFERROR(__xludf.DUMMYFUNCTION("IFERROR(GOOGLEFINANCE(B2005, ""volume""), 0)"),5047)</f>
        <v>5047</v>
      </c>
      <c r="K2005" s="6">
        <v>0.4</v>
      </c>
      <c r="L2005" s="6">
        <f ca="1">IFERROR(__xludf.DUMMYFUNCTION("IFERROR(GOOGLEFINANCE(B2005,""changepct""),K2005)"),-1.88)</f>
        <v>-1.88</v>
      </c>
      <c r="M2005" s="6">
        <f ca="1">IFERROR(__xludf.DUMMYFUNCTION("IFERROR(GOOGLEFINANCE(B2005,""change""),0)"),-3.16)</f>
        <v>-3.16</v>
      </c>
      <c r="N2005" s="6">
        <v>2</v>
      </c>
      <c r="O2005" s="7">
        <v>45536</v>
      </c>
      <c r="P2005" s="6">
        <v>223.15</v>
      </c>
      <c r="Q2005" s="6">
        <v>513.13</v>
      </c>
      <c r="R2005" s="7">
        <v>45536</v>
      </c>
      <c r="S2005" s="6">
        <v>560.5</v>
      </c>
      <c r="T2005" s="6">
        <v>-3.21</v>
      </c>
      <c r="U2005" s="7">
        <v>45536</v>
      </c>
      <c r="V2005" s="6">
        <v>0</v>
      </c>
      <c r="W2005" s="6">
        <f ca="1">IFERROR(__xludf.DUMMYFUNCTION("IFERROR(GOOGLEFINANCE(B2005,""pe""),V2005)"),15.7)</f>
        <v>15.7</v>
      </c>
      <c r="X2005" s="9"/>
      <c r="Y2005" s="6">
        <v>1.53</v>
      </c>
      <c r="Z2005" s="6">
        <v>2</v>
      </c>
      <c r="AA2005" s="8">
        <v>45352</v>
      </c>
      <c r="AB2005" s="4">
        <v>1.25</v>
      </c>
      <c r="AC2005" s="6">
        <v>0.45</v>
      </c>
      <c r="AD2005" s="6">
        <v>4.8899999999999997</v>
      </c>
      <c r="AE2005" s="1">
        <v>0</v>
      </c>
      <c r="AF2005" s="1">
        <f ca="1">IFERROR(__xludf.DUMMYFUNCTION("IFERROR(GOOGLEFINANCE(TRIM(F2005)&amp;"":"" &amp; TRIM(B2005),""high52""),AE2005)"),249.5)</f>
        <v>249.5</v>
      </c>
      <c r="AG2005" s="1">
        <v>0</v>
      </c>
      <c r="AH2005" s="1">
        <f ca="1">IFERROR(__xludf.DUMMYFUNCTION("IFERROR(GOOGLEFINANCE(TRIM(F2005)&amp;"":"" &amp; TRIM(B2005),""low52""),AE2005)"),104.5)</f>
        <v>104.5</v>
      </c>
      <c r="AI2005" s="1">
        <f ca="1">IFERROR(__xludf.DUMMYFUNCTION("IFERROR(GOOGLEFINANCE(B2005,""eps""),0)"),10.51)</f>
        <v>10.51</v>
      </c>
      <c r="AJ2005" s="1"/>
      <c r="AK2005" s="9"/>
      <c r="AL2005" s="9">
        <f t="shared" si="226"/>
        <v>1</v>
      </c>
    </row>
    <row r="2006" spans="1:38" ht="15" x14ac:dyDescent="0.25">
      <c r="A2006" s="1" t="s">
        <v>6182</v>
      </c>
      <c r="B2006" s="1" t="s">
        <v>6183</v>
      </c>
      <c r="C2006" s="1" t="s">
        <v>208</v>
      </c>
      <c r="D2006" s="1" t="s">
        <v>208</v>
      </c>
      <c r="E2006" s="6">
        <v>766.43</v>
      </c>
      <c r="F2006" s="1" t="s">
        <v>53</v>
      </c>
      <c r="G2006" s="6">
        <f ca="1">IFERROR(__xludf.DUMMYFUNCTION("iferror(GOOGLEFINANCE(TRIM(F2006)&amp;"":"" &amp; TRIM(B2006), ""price""),0
)"),0)</f>
        <v>0</v>
      </c>
      <c r="H2006" s="6">
        <v>440</v>
      </c>
      <c r="I2006" s="6">
        <f t="shared" ca="1" si="0"/>
        <v>440</v>
      </c>
      <c r="J2006" s="6">
        <f ca="1">IFERROR(__xludf.DUMMYFUNCTION("IFERROR(GOOGLEFINANCE(B2006, ""volume""), 0)"),0)</f>
        <v>0</v>
      </c>
      <c r="K2006" s="6">
        <v>0.46</v>
      </c>
      <c r="L2006" s="6">
        <f ca="1">IFERROR(__xludf.DUMMYFUNCTION("IFERROR(GOOGLEFINANCE(B2006,""changepct""),K2006)"),0.46)</f>
        <v>0.46</v>
      </c>
      <c r="M2006" s="6">
        <f ca="1">IFERROR(__xludf.DUMMYFUNCTION("IFERROR(GOOGLEFINANCE(B2006,""change""),0)"),0)</f>
        <v>0</v>
      </c>
      <c r="N2006" s="6">
        <v>2</v>
      </c>
      <c r="O2006" s="7">
        <v>45536</v>
      </c>
      <c r="P2006" s="6">
        <v>199.71</v>
      </c>
      <c r="Q2006" s="7">
        <v>45536</v>
      </c>
      <c r="R2006" s="6">
        <v>3.84</v>
      </c>
      <c r="S2006" s="6">
        <v>0.02</v>
      </c>
      <c r="T2006" s="6">
        <v>0.94</v>
      </c>
      <c r="U2006" s="6">
        <v>2</v>
      </c>
      <c r="V2006" s="7">
        <v>45352</v>
      </c>
      <c r="W2006" s="10">
        <f ca="1">IFERROR(__xludf.DUMMYFUNCTION("IFERROR(GOOGLEFINANCE(B2006,""pe""),V2006)"),45352)</f>
        <v>45352</v>
      </c>
      <c r="X2006" s="6">
        <v>0.01</v>
      </c>
      <c r="Y2006" s="6">
        <v>17.510000000000002</v>
      </c>
      <c r="Z2006" s="6">
        <v>28.95</v>
      </c>
      <c r="AA2006" s="3" t="s">
        <v>6184</v>
      </c>
      <c r="AB2006" s="11"/>
      <c r="AC2006" s="9"/>
      <c r="AD2006" s="9"/>
      <c r="AE2006" s="1">
        <v>0</v>
      </c>
      <c r="AF2006" s="1">
        <f ca="1">IFERROR(__xludf.DUMMYFUNCTION("IFERROR(GOOGLEFINANCE(TRIM(F2006)&amp;"":"" &amp; TRIM(B2006),""high52""),AE2006)"),0)</f>
        <v>0</v>
      </c>
      <c r="AG2006" s="1">
        <v>0</v>
      </c>
      <c r="AH2006" s="1">
        <f ca="1">IFERROR(__xludf.DUMMYFUNCTION("IFERROR(GOOGLEFINANCE(TRIM(F2006)&amp;"":"" &amp; TRIM(B2006),""low52""),AE2006)"),0)</f>
        <v>0</v>
      </c>
      <c r="AI2006" s="1">
        <f ca="1">IFERROR(__xludf.DUMMYFUNCTION("IFERROR(GOOGLEFINANCE(B2006,""eps""),0)"),0)</f>
        <v>0</v>
      </c>
      <c r="AJ2006" s="1"/>
      <c r="AK2006" s="1" t="s">
        <v>6185</v>
      </c>
      <c r="AL2006" s="9">
        <f t="shared" si="226"/>
        <v>1</v>
      </c>
    </row>
    <row r="2007" spans="1:38" ht="15" x14ac:dyDescent="0.25">
      <c r="A2007" s="1" t="s">
        <v>6186</v>
      </c>
      <c r="B2007" s="1" t="s">
        <v>6187</v>
      </c>
      <c r="C2007" s="1" t="s">
        <v>593</v>
      </c>
      <c r="D2007" s="1" t="s">
        <v>593</v>
      </c>
      <c r="E2007" s="6">
        <v>21232.78</v>
      </c>
      <c r="F2007" s="1" t="s">
        <v>40</v>
      </c>
      <c r="G2007" s="6">
        <f ca="1">IFERROR(__xludf.DUMMYFUNCTION("iferror(GOOGLEFINANCE(TRIM(F2007)&amp;"":"" &amp; TRIM(B2007), ""price""),0
)"),233.76)</f>
        <v>233.76</v>
      </c>
      <c r="H2007" s="6">
        <v>262.3</v>
      </c>
      <c r="I2007" s="6">
        <f t="shared" ca="1" si="0"/>
        <v>233.76</v>
      </c>
      <c r="J2007" s="6">
        <f ca="1">IFERROR(__xludf.DUMMYFUNCTION("IFERROR(GOOGLEFINANCE(B2007, ""volume""), 0)"),812433)</f>
        <v>812433</v>
      </c>
      <c r="K2007" s="6">
        <v>-0.1</v>
      </c>
      <c r="L2007" s="6">
        <f ca="1">IFERROR(__xludf.DUMMYFUNCTION("IFERROR(GOOGLEFINANCE(B2007,""changepct""),K2007)"),3.72)</f>
        <v>3.72</v>
      </c>
      <c r="M2007" s="6">
        <f ca="1">IFERROR(__xludf.DUMMYFUNCTION("IFERROR(GOOGLEFINANCE(B2007,""change""),0)"),8.38)</f>
        <v>8.3800000000000008</v>
      </c>
      <c r="N2007" s="6">
        <v>2</v>
      </c>
      <c r="O2007" s="7">
        <v>45536</v>
      </c>
      <c r="P2007" s="6">
        <v>126.43</v>
      </c>
      <c r="Q2007" s="6">
        <v>21244.2</v>
      </c>
      <c r="R2007" s="15">
        <v>45536</v>
      </c>
      <c r="S2007" s="6">
        <v>7772.53</v>
      </c>
      <c r="T2007" s="6">
        <v>611.01</v>
      </c>
      <c r="U2007" s="7">
        <v>45536</v>
      </c>
      <c r="V2007" s="6">
        <v>34.03</v>
      </c>
      <c r="W2007" s="6">
        <f ca="1">IFERROR(__xludf.DUMMYFUNCTION("IFERROR(GOOGLEFINANCE(B2007,""pe""),V2007)"),16.52)</f>
        <v>16.52</v>
      </c>
      <c r="X2007" s="6">
        <v>3.91</v>
      </c>
      <c r="Y2007" s="6">
        <v>3.76</v>
      </c>
      <c r="Z2007" s="6">
        <v>2</v>
      </c>
      <c r="AA2007" s="8">
        <v>45352</v>
      </c>
      <c r="AB2007" s="4">
        <v>0.02</v>
      </c>
      <c r="AC2007" s="6">
        <v>23.29</v>
      </c>
      <c r="AD2007" s="6">
        <v>30.59</v>
      </c>
      <c r="AE2007" s="1">
        <v>0</v>
      </c>
      <c r="AF2007" s="1">
        <f ca="1">IFERROR(__xludf.DUMMYFUNCTION("IFERROR(GOOGLEFINANCE(TRIM(F2007)&amp;"":"" &amp; TRIM(B2007),""high52""),AE2007)"),271.18)</f>
        <v>271.18</v>
      </c>
      <c r="AG2007" s="1">
        <v>0</v>
      </c>
      <c r="AH2007" s="1">
        <f ca="1">IFERROR(__xludf.DUMMYFUNCTION("IFERROR(GOOGLEFINANCE(TRIM(F2007)&amp;"":"" &amp; TRIM(B2007),""low52""),AE2007)"),218.2)</f>
        <v>218.2</v>
      </c>
      <c r="AI2007" s="1">
        <f ca="1">IFERROR(__xludf.DUMMYFUNCTION("IFERROR(GOOGLEFINANCE(B2007,""eps""),0)"),14.15)</f>
        <v>14.15</v>
      </c>
      <c r="AJ2007" s="1"/>
      <c r="AK2007" s="1" t="s">
        <v>6188</v>
      </c>
      <c r="AL2007" s="9">
        <f t="shared" si="226"/>
        <v>1</v>
      </c>
    </row>
    <row r="2008" spans="1:38" ht="15" x14ac:dyDescent="0.25">
      <c r="A2008" s="1" t="s">
        <v>6189</v>
      </c>
      <c r="B2008" s="1" t="s">
        <v>6190</v>
      </c>
      <c r="C2008" s="1" t="s">
        <v>208</v>
      </c>
      <c r="D2008" s="1" t="s">
        <v>208</v>
      </c>
      <c r="E2008" s="6">
        <v>11.35</v>
      </c>
      <c r="F2008" s="1" t="s">
        <v>53</v>
      </c>
      <c r="G2008" s="6">
        <f ca="1">IFERROR(__xludf.DUMMYFUNCTION("iferror(GOOGLEFINANCE(TRIM(F2008)&amp;"":"" &amp; TRIM(B2008), ""price""),0
)"),0)</f>
        <v>0</v>
      </c>
      <c r="H2008" s="6">
        <v>37.33</v>
      </c>
      <c r="I2008" s="6">
        <f t="shared" ca="1" si="0"/>
        <v>37.33</v>
      </c>
      <c r="J2008" s="6">
        <f ca="1">IFERROR(__xludf.DUMMYFUNCTION("IFERROR(GOOGLEFINANCE(B2008, ""volume""), 0)"),0)</f>
        <v>0</v>
      </c>
      <c r="K2008" s="6">
        <v>0</v>
      </c>
      <c r="L2008" s="6">
        <f ca="1">IFERROR(__xludf.DUMMYFUNCTION("IFERROR(GOOGLEFINANCE(B2008,""changepct""),K2008)"),0)</f>
        <v>0</v>
      </c>
      <c r="M2008" s="6">
        <f ca="1">IFERROR(__xludf.DUMMYFUNCTION("IFERROR(GOOGLEFINANCE(B2008,""change""),0)"),0)</f>
        <v>0</v>
      </c>
      <c r="N2008" s="6">
        <v>1</v>
      </c>
      <c r="O2008" s="7">
        <v>45536</v>
      </c>
      <c r="P2008" s="6">
        <v>2.04</v>
      </c>
      <c r="Q2008" s="7">
        <v>45536</v>
      </c>
      <c r="R2008" s="6">
        <v>5.57</v>
      </c>
      <c r="S2008" s="6">
        <v>0.06</v>
      </c>
      <c r="T2008" s="6">
        <v>0.46</v>
      </c>
      <c r="U2008" s="6">
        <v>1</v>
      </c>
      <c r="V2008" s="7">
        <v>45352</v>
      </c>
      <c r="W2008" s="10">
        <f ca="1">IFERROR(__xludf.DUMMYFUNCTION("IFERROR(GOOGLEFINANCE(B2008,""pe""),V2008)"),45352)</f>
        <v>45352</v>
      </c>
      <c r="X2008" s="6">
        <v>0.35</v>
      </c>
      <c r="Y2008" s="6">
        <v>3.83</v>
      </c>
      <c r="Z2008" s="6">
        <v>5.65</v>
      </c>
      <c r="AA2008" s="3" t="s">
        <v>6191</v>
      </c>
      <c r="AB2008" s="11"/>
      <c r="AC2008" s="9"/>
      <c r="AD2008" s="9"/>
      <c r="AE2008" s="1">
        <v>0</v>
      </c>
      <c r="AF2008" s="1">
        <f ca="1">IFERROR(__xludf.DUMMYFUNCTION("IFERROR(GOOGLEFINANCE(TRIM(F2008)&amp;"":"" &amp; TRIM(B2008),""high52""),AE2008)"),0)</f>
        <v>0</v>
      </c>
      <c r="AG2008" s="1">
        <v>0</v>
      </c>
      <c r="AH2008" s="1">
        <f ca="1">IFERROR(__xludf.DUMMYFUNCTION("IFERROR(GOOGLEFINANCE(TRIM(F2008)&amp;"":"" &amp; TRIM(B2008),""low52""),AE2008)"),0)</f>
        <v>0</v>
      </c>
      <c r="AI2008" s="1">
        <f ca="1">IFERROR(__xludf.DUMMYFUNCTION("IFERROR(GOOGLEFINANCE(B2008,""eps""),0)"),0)</f>
        <v>0</v>
      </c>
      <c r="AJ2008" s="1"/>
      <c r="AK2008" s="1" t="s">
        <v>6192</v>
      </c>
      <c r="AL2008" s="9">
        <f t="shared" si="226"/>
        <v>1</v>
      </c>
    </row>
    <row r="2009" spans="1:38" ht="15" x14ac:dyDescent="0.25">
      <c r="A2009" s="1" t="s">
        <v>6193</v>
      </c>
      <c r="B2009" s="1" t="s">
        <v>6194</v>
      </c>
      <c r="C2009" s="1" t="s">
        <v>208</v>
      </c>
      <c r="D2009" s="1" t="s">
        <v>208</v>
      </c>
      <c r="E2009" s="6">
        <v>20.94</v>
      </c>
      <c r="F2009" s="1" t="s">
        <v>53</v>
      </c>
      <c r="G2009" s="6">
        <f ca="1">IFERROR(__xludf.DUMMYFUNCTION("iferror(GOOGLEFINANCE(TRIM(F2009)&amp;"":"" &amp; TRIM(B2009), ""price""),0
)"),0)</f>
        <v>0</v>
      </c>
      <c r="H2009" s="6">
        <v>46.06</v>
      </c>
      <c r="I2009" s="6">
        <f t="shared" ca="1" si="0"/>
        <v>46.06</v>
      </c>
      <c r="J2009" s="6">
        <f ca="1">IFERROR(__xludf.DUMMYFUNCTION("IFERROR(GOOGLEFINANCE(B2009, ""volume""), 0)"),0)</f>
        <v>0</v>
      </c>
      <c r="K2009" s="6">
        <v>9.98</v>
      </c>
      <c r="L2009" s="6">
        <f ca="1">IFERROR(__xludf.DUMMYFUNCTION("IFERROR(GOOGLEFINANCE(B2009,""changepct""),K2009)"),9.98)</f>
        <v>9.98</v>
      </c>
      <c r="M2009" s="6">
        <f ca="1">IFERROR(__xludf.DUMMYFUNCTION("IFERROR(GOOGLEFINANCE(B2009,""change""),0)"),0)</f>
        <v>0</v>
      </c>
      <c r="N2009" s="6">
        <v>2</v>
      </c>
      <c r="O2009" s="7">
        <v>45536</v>
      </c>
      <c r="P2009" s="6">
        <v>0.15</v>
      </c>
      <c r="Q2009" s="7">
        <v>45536</v>
      </c>
      <c r="R2009" s="6">
        <v>5.67</v>
      </c>
      <c r="S2009" s="6">
        <v>7.0000000000000007E-2</v>
      </c>
      <c r="T2009" s="6">
        <v>1.06</v>
      </c>
      <c r="U2009" s="6">
        <v>2</v>
      </c>
      <c r="V2009" s="7">
        <v>45352</v>
      </c>
      <c r="W2009" s="10">
        <f ca="1">IFERROR(__xludf.DUMMYFUNCTION("IFERROR(GOOGLEFINANCE(B2009,""pe""),V2009)"),45352)</f>
        <v>45352</v>
      </c>
      <c r="X2009" s="6">
        <v>0</v>
      </c>
      <c r="Y2009" s="6">
        <v>25.16</v>
      </c>
      <c r="Z2009" s="6">
        <v>25.32</v>
      </c>
      <c r="AA2009" s="3" t="s">
        <v>6195</v>
      </c>
      <c r="AB2009" s="11"/>
      <c r="AC2009" s="9"/>
      <c r="AD2009" s="9"/>
      <c r="AE2009" s="1">
        <v>0</v>
      </c>
      <c r="AF2009" s="1">
        <f ca="1">IFERROR(__xludf.DUMMYFUNCTION("IFERROR(GOOGLEFINANCE(TRIM(F2009)&amp;"":"" &amp; TRIM(B2009),""high52""),AE2009)"),0)</f>
        <v>0</v>
      </c>
      <c r="AG2009" s="1">
        <v>0</v>
      </c>
      <c r="AH2009" s="1">
        <f ca="1">IFERROR(__xludf.DUMMYFUNCTION("IFERROR(GOOGLEFINANCE(TRIM(F2009)&amp;"":"" &amp; TRIM(B2009),""low52""),AE2009)"),0)</f>
        <v>0</v>
      </c>
      <c r="AI2009" s="1">
        <f ca="1">IFERROR(__xludf.DUMMYFUNCTION("IFERROR(GOOGLEFINANCE(B2009,""eps""),0)"),0)</f>
        <v>0</v>
      </c>
      <c r="AJ2009" s="1"/>
      <c r="AK2009" s="1" t="s">
        <v>6196</v>
      </c>
      <c r="AL2009" s="9">
        <f t="shared" si="226"/>
        <v>1</v>
      </c>
    </row>
    <row r="2010" spans="1:38" ht="15" x14ac:dyDescent="0.25">
      <c r="A2010" s="1" t="s">
        <v>6197</v>
      </c>
      <c r="B2010" s="1" t="s">
        <v>6198</v>
      </c>
      <c r="C2010" s="1" t="s">
        <v>208</v>
      </c>
      <c r="D2010" s="1" t="s">
        <v>208</v>
      </c>
      <c r="E2010" s="6">
        <v>166.99</v>
      </c>
      <c r="F2010" s="1" t="s">
        <v>53</v>
      </c>
      <c r="G2010" s="6">
        <f ca="1">IFERROR(__xludf.DUMMYFUNCTION("iferror(GOOGLEFINANCE(TRIM(F2010)&amp;"":"" &amp; TRIM(B2010), ""price""),0
)"),0)</f>
        <v>0</v>
      </c>
      <c r="H2010" s="6">
        <v>115.45</v>
      </c>
      <c r="I2010" s="6">
        <f t="shared" ca="1" si="0"/>
        <v>115.45</v>
      </c>
      <c r="J2010" s="6">
        <f ca="1">IFERROR(__xludf.DUMMYFUNCTION("IFERROR(GOOGLEFINANCE(B2010, ""volume""), 0)"),0)</f>
        <v>0</v>
      </c>
      <c r="K2010" s="6">
        <v>1.9</v>
      </c>
      <c r="L2010" s="6">
        <f ca="1">IFERROR(__xludf.DUMMYFUNCTION("IFERROR(GOOGLEFINANCE(B2010,""changepct""),K2010)"),1.9)</f>
        <v>1.9</v>
      </c>
      <c r="M2010" s="6">
        <f ca="1">IFERROR(__xludf.DUMMYFUNCTION("IFERROR(GOOGLEFINANCE(B2010,""change""),0)"),0)</f>
        <v>0</v>
      </c>
      <c r="N2010" s="6">
        <v>2</v>
      </c>
      <c r="O2010" s="7">
        <v>45536</v>
      </c>
      <c r="P2010" s="6">
        <v>11.84</v>
      </c>
      <c r="Q2010" s="7">
        <v>45536</v>
      </c>
      <c r="R2010" s="6">
        <v>5.67</v>
      </c>
      <c r="S2010" s="6">
        <v>0.14000000000000001</v>
      </c>
      <c r="T2010" s="6">
        <v>0.51</v>
      </c>
      <c r="U2010" s="6">
        <v>2</v>
      </c>
      <c r="V2010" s="7">
        <v>45352</v>
      </c>
      <c r="W2010" s="10">
        <f ca="1">IFERROR(__xludf.DUMMYFUNCTION("IFERROR(GOOGLEFINANCE(B2010,""pe""),V2010)"),45352)</f>
        <v>45352</v>
      </c>
      <c r="X2010" s="6">
        <v>0.93</v>
      </c>
      <c r="Y2010" s="6">
        <v>3.88</v>
      </c>
      <c r="Z2010" s="6">
        <v>6.5</v>
      </c>
      <c r="AA2010" s="3" t="s">
        <v>6199</v>
      </c>
      <c r="AB2010" s="11"/>
      <c r="AC2010" s="9"/>
      <c r="AD2010" s="9"/>
      <c r="AE2010" s="1">
        <v>0</v>
      </c>
      <c r="AF2010" s="1">
        <f ca="1">IFERROR(__xludf.DUMMYFUNCTION("IFERROR(GOOGLEFINANCE(TRIM(F2010)&amp;"":"" &amp; TRIM(B2010),""high52""),AE2010)"),0)</f>
        <v>0</v>
      </c>
      <c r="AG2010" s="1">
        <v>0</v>
      </c>
      <c r="AH2010" s="1">
        <f ca="1">IFERROR(__xludf.DUMMYFUNCTION("IFERROR(GOOGLEFINANCE(TRIM(F2010)&amp;"":"" &amp; TRIM(B2010),""low52""),AE2010)"),0)</f>
        <v>0</v>
      </c>
      <c r="AI2010" s="1">
        <f ca="1">IFERROR(__xludf.DUMMYFUNCTION("IFERROR(GOOGLEFINANCE(B2010,""eps""),0)"),0)</f>
        <v>0</v>
      </c>
      <c r="AJ2010" s="1"/>
      <c r="AK2010" s="1" t="s">
        <v>6200</v>
      </c>
      <c r="AL2010" s="9">
        <f t="shared" si="226"/>
        <v>1</v>
      </c>
    </row>
    <row r="2011" spans="1:38" ht="15" x14ac:dyDescent="0.25">
      <c r="A2011" s="1" t="s">
        <v>6201</v>
      </c>
      <c r="B2011" s="1" t="s">
        <v>6202</v>
      </c>
      <c r="C2011" s="1" t="s">
        <v>208</v>
      </c>
      <c r="D2011" s="1" t="s">
        <v>208</v>
      </c>
      <c r="E2011" s="6">
        <v>8.36</v>
      </c>
      <c r="F2011" s="1" t="s">
        <v>53</v>
      </c>
      <c r="G2011" s="6">
        <f ca="1">IFERROR(__xludf.DUMMYFUNCTION("iferror(GOOGLEFINANCE(TRIM(F2011)&amp;"":"" &amp; TRIM(B2011), ""price""),0
)"),0)</f>
        <v>0</v>
      </c>
      <c r="H2011" s="6">
        <v>115.1</v>
      </c>
      <c r="I2011" s="6">
        <f t="shared" ca="1" si="0"/>
        <v>115.1</v>
      </c>
      <c r="J2011" s="6">
        <f ca="1">IFERROR(__xludf.DUMMYFUNCTION("IFERROR(GOOGLEFINANCE(B2011, ""volume""), 0)"),0)</f>
        <v>0</v>
      </c>
      <c r="K2011" s="6">
        <v>1.99</v>
      </c>
      <c r="L2011" s="6">
        <f ca="1">IFERROR(__xludf.DUMMYFUNCTION("IFERROR(GOOGLEFINANCE(B2011,""changepct""),K2011)"),1.99)</f>
        <v>1.99</v>
      </c>
      <c r="M2011" s="6">
        <f ca="1">IFERROR(__xludf.DUMMYFUNCTION("IFERROR(GOOGLEFINANCE(B2011,""change""),0)"),0)</f>
        <v>0</v>
      </c>
      <c r="N2011" s="6">
        <v>1</v>
      </c>
      <c r="O2011" s="7">
        <v>45536</v>
      </c>
      <c r="P2011" s="6">
        <v>1.31</v>
      </c>
      <c r="Q2011" s="7">
        <v>45536</v>
      </c>
      <c r="R2011" s="6">
        <v>6.38</v>
      </c>
      <c r="S2011" s="6">
        <v>0.36</v>
      </c>
      <c r="T2011" s="6">
        <v>4.74</v>
      </c>
      <c r="U2011" s="6">
        <v>2</v>
      </c>
      <c r="V2011" s="7">
        <v>44986</v>
      </c>
      <c r="W2011" s="10">
        <f ca="1">IFERROR(__xludf.DUMMYFUNCTION("IFERROR(GOOGLEFINANCE(B2011,""pe""),V2011)"),44986)</f>
        <v>44986</v>
      </c>
      <c r="X2011" s="6">
        <v>0</v>
      </c>
      <c r="Y2011" s="6">
        <v>-95.79</v>
      </c>
      <c r="Z2011" s="6">
        <v>-45.04</v>
      </c>
      <c r="AA2011" s="3" t="s">
        <v>6203</v>
      </c>
      <c r="AB2011" s="11"/>
      <c r="AC2011" s="9"/>
      <c r="AD2011" s="9"/>
      <c r="AE2011" s="1">
        <v>0</v>
      </c>
      <c r="AF2011" s="1">
        <f ca="1">IFERROR(__xludf.DUMMYFUNCTION("IFERROR(GOOGLEFINANCE(TRIM(F2011)&amp;"":"" &amp; TRIM(B2011),""high52""),AE2011)"),0)</f>
        <v>0</v>
      </c>
      <c r="AG2011" s="1">
        <v>0</v>
      </c>
      <c r="AH2011" s="1">
        <f ca="1">IFERROR(__xludf.DUMMYFUNCTION("IFERROR(GOOGLEFINANCE(TRIM(F2011)&amp;"":"" &amp; TRIM(B2011),""low52""),AE2011)"),0)</f>
        <v>0</v>
      </c>
      <c r="AI2011" s="1">
        <f ca="1">IFERROR(__xludf.DUMMYFUNCTION("IFERROR(GOOGLEFINANCE(B2011,""eps""),0)"),0)</f>
        <v>0</v>
      </c>
      <c r="AJ2011" s="1"/>
      <c r="AK2011" s="1" t="s">
        <v>6204</v>
      </c>
      <c r="AL2011" s="9">
        <f t="shared" si="226"/>
        <v>1</v>
      </c>
    </row>
    <row r="2012" spans="1:38" ht="15" x14ac:dyDescent="0.25">
      <c r="A2012" s="1" t="s">
        <v>6205</v>
      </c>
      <c r="B2012" s="1" t="s">
        <v>6206</v>
      </c>
      <c r="C2012" s="1" t="s">
        <v>208</v>
      </c>
      <c r="D2012" s="1" t="s">
        <v>208</v>
      </c>
      <c r="E2012" s="6">
        <v>324.55</v>
      </c>
      <c r="F2012" s="1" t="s">
        <v>53</v>
      </c>
      <c r="G2012" s="6">
        <f ca="1">IFERROR(__xludf.DUMMYFUNCTION("iferror(GOOGLEFINANCE(TRIM(F2012)&amp;"":"" &amp; TRIM(B2012), ""price""),0
)"),0)</f>
        <v>0</v>
      </c>
      <c r="H2012" s="6">
        <v>135.5</v>
      </c>
      <c r="I2012" s="6">
        <f t="shared" ca="1" si="0"/>
        <v>135.5</v>
      </c>
      <c r="J2012" s="6">
        <f ca="1">IFERROR(__xludf.DUMMYFUNCTION("IFERROR(GOOGLEFINANCE(B2012, ""volume""), 0)"),0)</f>
        <v>0</v>
      </c>
      <c r="K2012" s="6">
        <v>0.26</v>
      </c>
      <c r="L2012" s="6">
        <f ca="1">IFERROR(__xludf.DUMMYFUNCTION("IFERROR(GOOGLEFINANCE(B2012,""changepct""),K2012)"),0.26)</f>
        <v>0.26</v>
      </c>
      <c r="M2012" s="6">
        <f ca="1">IFERROR(__xludf.DUMMYFUNCTION("IFERROR(GOOGLEFINANCE(B2012,""change""),0)"),0)</f>
        <v>0</v>
      </c>
      <c r="N2012" s="6">
        <v>2</v>
      </c>
      <c r="O2012" s="7">
        <v>45536</v>
      </c>
      <c r="P2012" s="6">
        <v>46.53</v>
      </c>
      <c r="Q2012" s="7">
        <v>45536</v>
      </c>
      <c r="R2012" s="6">
        <v>6.98</v>
      </c>
      <c r="S2012" s="6">
        <v>0.05</v>
      </c>
      <c r="T2012" s="6">
        <v>2.67</v>
      </c>
      <c r="U2012" s="6">
        <v>2</v>
      </c>
      <c r="V2012" s="7">
        <v>45352</v>
      </c>
      <c r="W2012" s="10">
        <f ca="1">IFERROR(__xludf.DUMMYFUNCTION("IFERROR(GOOGLEFINANCE(B2012,""pe""),V2012)"),45352)</f>
        <v>45352</v>
      </c>
      <c r="X2012" s="6">
        <v>1.06</v>
      </c>
      <c r="Y2012" s="6">
        <v>43.83</v>
      </c>
      <c r="Z2012" s="6">
        <v>29.38</v>
      </c>
      <c r="AA2012" s="3" t="s">
        <v>6207</v>
      </c>
      <c r="AB2012" s="11"/>
      <c r="AC2012" s="9"/>
      <c r="AD2012" s="9"/>
      <c r="AE2012" s="1">
        <v>0</v>
      </c>
      <c r="AF2012" s="1">
        <f ca="1">IFERROR(__xludf.DUMMYFUNCTION("IFERROR(GOOGLEFINANCE(TRIM(F2012)&amp;"":"" &amp; TRIM(B2012),""high52""),AE2012)"),0)</f>
        <v>0</v>
      </c>
      <c r="AG2012" s="1">
        <v>0</v>
      </c>
      <c r="AH2012" s="1">
        <f ca="1">IFERROR(__xludf.DUMMYFUNCTION("IFERROR(GOOGLEFINANCE(TRIM(F2012)&amp;"":"" &amp; TRIM(B2012),""low52""),AE2012)"),0)</f>
        <v>0</v>
      </c>
      <c r="AI2012" s="1">
        <f ca="1">IFERROR(__xludf.DUMMYFUNCTION("IFERROR(GOOGLEFINANCE(B2012,""eps""),0)"),0)</f>
        <v>0</v>
      </c>
      <c r="AJ2012" s="1"/>
      <c r="AK2012" s="1" t="s">
        <v>6208</v>
      </c>
      <c r="AL2012" s="9">
        <f t="shared" si="226"/>
        <v>1</v>
      </c>
    </row>
    <row r="2013" spans="1:38" ht="15" x14ac:dyDescent="0.25">
      <c r="A2013" s="1" t="s">
        <v>6209</v>
      </c>
      <c r="B2013" s="1" t="s">
        <v>6210</v>
      </c>
      <c r="C2013" s="1" t="s">
        <v>208</v>
      </c>
      <c r="D2013" s="1" t="s">
        <v>208</v>
      </c>
      <c r="E2013" s="6">
        <v>35.33</v>
      </c>
      <c r="F2013" s="1" t="s">
        <v>53</v>
      </c>
      <c r="G2013" s="6">
        <f ca="1">IFERROR(__xludf.DUMMYFUNCTION("iferror(GOOGLEFINANCE(TRIM(F2013)&amp;"":"" &amp; TRIM(B2013), ""price""),0
)"),0)</f>
        <v>0</v>
      </c>
      <c r="H2013" s="6">
        <v>27.11</v>
      </c>
      <c r="I2013" s="6">
        <f t="shared" ca="1" si="0"/>
        <v>27.11</v>
      </c>
      <c r="J2013" s="6">
        <f ca="1">IFERROR(__xludf.DUMMYFUNCTION("IFERROR(GOOGLEFINANCE(B2013, ""volume""), 0)"),0)</f>
        <v>0</v>
      </c>
      <c r="K2013" s="6">
        <v>-1.78</v>
      </c>
      <c r="L2013" s="6">
        <f ca="1">IFERROR(__xludf.DUMMYFUNCTION("IFERROR(GOOGLEFINANCE(B2013,""changepct""),K2013)"),-1.78)</f>
        <v>-1.78</v>
      </c>
      <c r="M2013" s="6">
        <f ca="1">IFERROR(__xludf.DUMMYFUNCTION("IFERROR(GOOGLEFINANCE(B2013,""change""),0)"),0)</f>
        <v>0</v>
      </c>
      <c r="N2013" s="6">
        <v>1</v>
      </c>
      <c r="O2013" s="7">
        <v>45536</v>
      </c>
      <c r="P2013" s="6">
        <v>4.9800000000000004</v>
      </c>
      <c r="Q2013" s="7">
        <v>45536</v>
      </c>
      <c r="R2013" s="6">
        <v>7.1</v>
      </c>
      <c r="S2013" s="6">
        <v>0.11</v>
      </c>
      <c r="T2013" s="6">
        <v>1.76</v>
      </c>
      <c r="U2013" s="6">
        <v>1</v>
      </c>
      <c r="V2013" s="7">
        <v>45352</v>
      </c>
      <c r="W2013" s="10">
        <f ca="1">IFERROR(__xludf.DUMMYFUNCTION("IFERROR(GOOGLEFINANCE(B2013,""pe""),V2013)"),45352)</f>
        <v>45352</v>
      </c>
      <c r="X2013" s="6">
        <v>0</v>
      </c>
      <c r="Y2013" s="6">
        <v>15.15</v>
      </c>
      <c r="Z2013" s="6">
        <v>33.36</v>
      </c>
      <c r="AA2013" s="3" t="s">
        <v>6211</v>
      </c>
      <c r="AB2013" s="11"/>
      <c r="AC2013" s="9"/>
      <c r="AD2013" s="9"/>
      <c r="AE2013" s="1">
        <v>0</v>
      </c>
      <c r="AF2013" s="1">
        <f ca="1">IFERROR(__xludf.DUMMYFUNCTION("IFERROR(GOOGLEFINANCE(TRIM(F2013)&amp;"":"" &amp; TRIM(B2013),""high52""),AE2013)"),0)</f>
        <v>0</v>
      </c>
      <c r="AG2013" s="1">
        <v>0</v>
      </c>
      <c r="AH2013" s="1">
        <f ca="1">IFERROR(__xludf.DUMMYFUNCTION("IFERROR(GOOGLEFINANCE(TRIM(F2013)&amp;"":"" &amp; TRIM(B2013),""low52""),AE2013)"),0)</f>
        <v>0</v>
      </c>
      <c r="AI2013" s="1">
        <f ca="1">IFERROR(__xludf.DUMMYFUNCTION("IFERROR(GOOGLEFINANCE(B2013,""eps""),0)"),0)</f>
        <v>0</v>
      </c>
      <c r="AJ2013" s="1"/>
      <c r="AK2013" s="9"/>
      <c r="AL2013" s="9">
        <f t="shared" si="226"/>
        <v>1</v>
      </c>
    </row>
    <row r="2014" spans="1:38" ht="15" x14ac:dyDescent="0.25">
      <c r="A2014" s="1" t="s">
        <v>6212</v>
      </c>
      <c r="B2014" s="1" t="s">
        <v>6213</v>
      </c>
      <c r="C2014" s="1" t="s">
        <v>159</v>
      </c>
      <c r="D2014" s="1" t="s">
        <v>159</v>
      </c>
      <c r="E2014" s="6">
        <v>530.84</v>
      </c>
      <c r="F2014" s="1" t="s">
        <v>40</v>
      </c>
      <c r="G2014" s="6">
        <f ca="1">IFERROR(__xludf.DUMMYFUNCTION("iferror(GOOGLEFINANCE(TRIM(F2014)&amp;"":"" &amp; TRIM(B2014), ""price""),0
)"),402)</f>
        <v>402</v>
      </c>
      <c r="H2014" s="6">
        <v>261.7</v>
      </c>
      <c r="I2014" s="6">
        <f t="shared" ca="1" si="0"/>
        <v>402</v>
      </c>
      <c r="J2014" s="6">
        <f ca="1">IFERROR(__xludf.DUMMYFUNCTION("IFERROR(GOOGLEFINANCE(B2014, ""volume""), 0)"),8969)</f>
        <v>8969</v>
      </c>
      <c r="K2014" s="6">
        <v>0.02</v>
      </c>
      <c r="L2014" s="6">
        <f ca="1">IFERROR(__xludf.DUMMYFUNCTION("IFERROR(GOOGLEFINANCE(B2014,""changepct""),K2014)"),3.54)</f>
        <v>3.54</v>
      </c>
      <c r="M2014" s="6">
        <f ca="1">IFERROR(__xludf.DUMMYFUNCTION("IFERROR(GOOGLEFINANCE(B2014,""change""),0)"),13.75)</f>
        <v>13.75</v>
      </c>
      <c r="N2014" s="6">
        <v>1</v>
      </c>
      <c r="O2014" s="7">
        <v>45536</v>
      </c>
      <c r="P2014" s="6">
        <v>120.25</v>
      </c>
      <c r="Q2014" s="6">
        <v>642.65</v>
      </c>
      <c r="R2014" s="7">
        <v>45536</v>
      </c>
      <c r="S2014" s="6">
        <v>600.16</v>
      </c>
      <c r="T2014" s="6">
        <v>12.72</v>
      </c>
      <c r="U2014" s="7">
        <v>45536</v>
      </c>
      <c r="V2014" s="6">
        <v>41.75</v>
      </c>
      <c r="W2014" s="6">
        <f ca="1">IFERROR(__xludf.DUMMYFUNCTION("IFERROR(GOOGLEFINANCE(B2014,""pe""),V2014)"),34.33)</f>
        <v>34.33</v>
      </c>
      <c r="X2014" s="6">
        <v>5.22</v>
      </c>
      <c r="Y2014" s="6">
        <v>6.73</v>
      </c>
      <c r="Z2014" s="6">
        <v>1</v>
      </c>
      <c r="AA2014" s="8">
        <v>45352</v>
      </c>
      <c r="AB2014" s="4">
        <v>1.4</v>
      </c>
      <c r="AC2014" s="6">
        <v>19.3</v>
      </c>
      <c r="AD2014" s="6">
        <v>12.8</v>
      </c>
      <c r="AE2014" s="1">
        <v>0</v>
      </c>
      <c r="AF2014" s="1">
        <f ca="1">IFERROR(__xludf.DUMMYFUNCTION("IFERROR(GOOGLEFINANCE(TRIM(F2014)&amp;"":"" &amp; TRIM(B2014),""high52""),AE2014)"),433.5)</f>
        <v>433.5</v>
      </c>
      <c r="AG2014" s="1">
        <v>0</v>
      </c>
      <c r="AH2014" s="1">
        <f ca="1">IFERROR(__xludf.DUMMYFUNCTION("IFERROR(GOOGLEFINANCE(TRIM(F2014)&amp;"":"" &amp; TRIM(B2014),""low52""),AE2014)"),190)</f>
        <v>190</v>
      </c>
      <c r="AI2014" s="1">
        <f ca="1">IFERROR(__xludf.DUMMYFUNCTION("IFERROR(GOOGLEFINANCE(B2014,""eps""),0)"),11.71)</f>
        <v>11.71</v>
      </c>
      <c r="AJ2014" s="1"/>
      <c r="AK2014" s="1" t="s">
        <v>6214</v>
      </c>
      <c r="AL2014" s="9">
        <f t="shared" si="226"/>
        <v>1</v>
      </c>
    </row>
    <row r="2015" spans="1:38" ht="15" x14ac:dyDescent="0.25">
      <c r="A2015" s="1" t="s">
        <v>6215</v>
      </c>
      <c r="B2015" s="1" t="s">
        <v>6216</v>
      </c>
      <c r="C2015" s="1" t="s">
        <v>208</v>
      </c>
      <c r="D2015" s="1" t="s">
        <v>208</v>
      </c>
      <c r="E2015" s="6">
        <v>219.5</v>
      </c>
      <c r="F2015" s="1" t="s">
        <v>53</v>
      </c>
      <c r="G2015" s="6">
        <f ca="1">IFERROR(__xludf.DUMMYFUNCTION("iferror(GOOGLEFINANCE(TRIM(F2015)&amp;"":"" &amp; TRIM(B2015), ""price""),0
)"),0)</f>
        <v>0</v>
      </c>
      <c r="H2015" s="6">
        <v>333.65</v>
      </c>
      <c r="I2015" s="6">
        <f t="shared" ca="1" si="0"/>
        <v>333.65</v>
      </c>
      <c r="J2015" s="6">
        <f ca="1">IFERROR(__xludf.DUMMYFUNCTION("IFERROR(GOOGLEFINANCE(B2015, ""volume""), 0)"),0)</f>
        <v>0</v>
      </c>
      <c r="K2015" s="6">
        <v>4.99</v>
      </c>
      <c r="L2015" s="6">
        <f ca="1">IFERROR(__xludf.DUMMYFUNCTION("IFERROR(GOOGLEFINANCE(B2015,""changepct""),K2015)"),4.99)</f>
        <v>4.99</v>
      </c>
      <c r="M2015" s="6">
        <f ca="1">IFERROR(__xludf.DUMMYFUNCTION("IFERROR(GOOGLEFINANCE(B2015,""change""),0)"),0)</f>
        <v>0</v>
      </c>
      <c r="N2015" s="6">
        <v>1</v>
      </c>
      <c r="O2015" s="7">
        <v>45536</v>
      </c>
      <c r="P2015" s="6">
        <v>30.79</v>
      </c>
      <c r="Q2015" s="7">
        <v>45536</v>
      </c>
      <c r="R2015" s="6">
        <v>7.13</v>
      </c>
      <c r="S2015" s="6">
        <v>0.14000000000000001</v>
      </c>
      <c r="T2015" s="6">
        <v>1.64</v>
      </c>
      <c r="U2015" s="6">
        <v>1</v>
      </c>
      <c r="V2015" s="7">
        <v>45352</v>
      </c>
      <c r="W2015" s="10">
        <f ca="1">IFERROR(__xludf.DUMMYFUNCTION("IFERROR(GOOGLEFINANCE(B2015,""pe""),V2015)"),45352)</f>
        <v>45352</v>
      </c>
      <c r="X2015" s="6">
        <v>0</v>
      </c>
      <c r="Y2015" s="6">
        <v>21.73</v>
      </c>
      <c r="Z2015" s="6">
        <v>28.59</v>
      </c>
      <c r="AA2015" s="3" t="s">
        <v>6217</v>
      </c>
      <c r="AB2015" s="11"/>
      <c r="AC2015" s="9"/>
      <c r="AD2015" s="9"/>
      <c r="AE2015" s="1">
        <v>0</v>
      </c>
      <c r="AF2015" s="1">
        <f ca="1">IFERROR(__xludf.DUMMYFUNCTION("IFERROR(GOOGLEFINANCE(TRIM(F2015)&amp;"":"" &amp; TRIM(B2015),""high52""),AE2015)"),0)</f>
        <v>0</v>
      </c>
      <c r="AG2015" s="1">
        <v>0</v>
      </c>
      <c r="AH2015" s="1">
        <f ca="1">IFERROR(__xludf.DUMMYFUNCTION("IFERROR(GOOGLEFINANCE(TRIM(F2015)&amp;"":"" &amp; TRIM(B2015),""low52""),AE2015)"),0)</f>
        <v>0</v>
      </c>
      <c r="AI2015" s="1">
        <f ca="1">IFERROR(__xludf.DUMMYFUNCTION("IFERROR(GOOGLEFINANCE(B2015,""eps""),0)"),0)</f>
        <v>0</v>
      </c>
      <c r="AJ2015" s="1"/>
      <c r="AK2015" s="1" t="s">
        <v>6218</v>
      </c>
      <c r="AL2015" s="9">
        <f t="shared" si="226"/>
        <v>1</v>
      </c>
    </row>
    <row r="2016" spans="1:38" ht="15" x14ac:dyDescent="0.25">
      <c r="A2016" s="1" t="s">
        <v>6219</v>
      </c>
      <c r="B2016" s="1" t="s">
        <v>6220</v>
      </c>
      <c r="C2016" s="1" t="s">
        <v>268</v>
      </c>
      <c r="D2016" s="1" t="s">
        <v>268</v>
      </c>
      <c r="E2016" s="6">
        <v>83.08</v>
      </c>
      <c r="F2016" s="1" t="s">
        <v>40</v>
      </c>
      <c r="G2016" s="6">
        <f ca="1">IFERROR(__xludf.DUMMYFUNCTION("iferror(GOOGLEFINANCE(TRIM(F2016)&amp;"":"" &amp; TRIM(B2016), ""price""),0
)"),40.25)</f>
        <v>40.25</v>
      </c>
      <c r="H2016" s="6">
        <v>78.37</v>
      </c>
      <c r="I2016" s="6">
        <f t="shared" ca="1" si="0"/>
        <v>40.25</v>
      </c>
      <c r="J2016" s="6">
        <f ca="1">IFERROR(__xludf.DUMMYFUNCTION("IFERROR(GOOGLEFINANCE(B2016, ""volume""), 0)"),1682)</f>
        <v>1682</v>
      </c>
      <c r="K2016" s="6">
        <v>9.99</v>
      </c>
      <c r="L2016" s="6">
        <f ca="1">IFERROR(__xludf.DUMMYFUNCTION("IFERROR(GOOGLEFINANCE(B2016,""changepct""),K2016)"),4.25)</f>
        <v>4.25</v>
      </c>
      <c r="M2016" s="6">
        <f ca="1">IFERROR(__xludf.DUMMYFUNCTION("IFERROR(GOOGLEFINANCE(B2016,""change""),0)"),1.64)</f>
        <v>1.64</v>
      </c>
      <c r="N2016" s="6">
        <v>1</v>
      </c>
      <c r="O2016" s="7">
        <v>45536</v>
      </c>
      <c r="P2016" s="9"/>
      <c r="Q2016" s="6">
        <v>83.08</v>
      </c>
      <c r="R2016" s="7">
        <v>45536</v>
      </c>
      <c r="S2016" s="6">
        <v>9.35</v>
      </c>
      <c r="T2016" s="6">
        <v>-0.08</v>
      </c>
      <c r="U2016" s="7">
        <v>45536</v>
      </c>
      <c r="V2016" s="6">
        <v>0</v>
      </c>
      <c r="W2016" s="6">
        <f ca="1">IFERROR(__xludf.DUMMYFUNCTION("IFERROR(GOOGLEFINANCE(B2016,""pe""),V2016)"),80.76)</f>
        <v>80.760000000000005</v>
      </c>
      <c r="X2016" s="6">
        <v>0</v>
      </c>
      <c r="Y2016" s="6">
        <v>2.02</v>
      </c>
      <c r="Z2016" s="6">
        <v>1</v>
      </c>
      <c r="AA2016" s="8">
        <v>45352</v>
      </c>
      <c r="AB2016" s="4">
        <v>0</v>
      </c>
      <c r="AC2016" s="6">
        <v>0.32</v>
      </c>
      <c r="AD2016" s="6">
        <v>0.21</v>
      </c>
      <c r="AE2016" s="1">
        <v>0</v>
      </c>
      <c r="AF2016" s="1">
        <f ca="1">IFERROR(__xludf.DUMMYFUNCTION("IFERROR(GOOGLEFINANCE(TRIM(F2016)&amp;"":"" &amp; TRIM(B2016),""high52""),AE2016)"),86.93)</f>
        <v>86.93</v>
      </c>
      <c r="AG2016" s="1">
        <v>0</v>
      </c>
      <c r="AH2016" s="1">
        <f ca="1">IFERROR(__xludf.DUMMYFUNCTION("IFERROR(GOOGLEFINANCE(TRIM(F2016)&amp;"":"" &amp; TRIM(B2016),""low52""),AE2016)"),36.5)</f>
        <v>36.5</v>
      </c>
      <c r="AI2016" s="1">
        <f ca="1">IFERROR(__xludf.DUMMYFUNCTION("IFERROR(GOOGLEFINANCE(B2016,""eps""),0)"),0.5)</f>
        <v>0.5</v>
      </c>
      <c r="AJ2016" s="1"/>
      <c r="AK2016" s="1" t="s">
        <v>6221</v>
      </c>
      <c r="AL2016" s="9">
        <f t="shared" si="226"/>
        <v>1</v>
      </c>
    </row>
    <row r="2017" spans="1:38" ht="15" x14ac:dyDescent="0.25">
      <c r="A2017" s="1" t="s">
        <v>6222</v>
      </c>
      <c r="B2017" s="1" t="s">
        <v>6223</v>
      </c>
      <c r="C2017" s="1" t="s">
        <v>186</v>
      </c>
      <c r="D2017" s="1" t="s">
        <v>186</v>
      </c>
      <c r="E2017" s="6">
        <v>463.62</v>
      </c>
      <c r="F2017" s="1" t="s">
        <v>40</v>
      </c>
      <c r="G2017" s="6">
        <f ca="1">IFERROR(__xludf.DUMMYFUNCTION("iferror(GOOGLEFINANCE(TRIM(F2017)&amp;"":"" &amp; TRIM(B2017), ""price""),0
)"),0)</f>
        <v>0</v>
      </c>
      <c r="H2017" s="6">
        <v>373.9</v>
      </c>
      <c r="I2017" s="6">
        <f t="shared" ca="1" si="0"/>
        <v>373.9</v>
      </c>
      <c r="J2017" s="6">
        <f ca="1">IFERROR(__xludf.DUMMYFUNCTION("IFERROR(GOOGLEFINANCE(B2017, ""volume""), 0)"),0)</f>
        <v>0</v>
      </c>
      <c r="K2017" s="9"/>
      <c r="L2017" s="6" t="str">
        <f ca="1">IFERROR(__xludf.DUMMYFUNCTION("IFERROR(GOOGLEFINANCE(B2017,""changepct""),K2017)"),"")</f>
        <v/>
      </c>
      <c r="M2017" s="6">
        <f ca="1">IFERROR(__xludf.DUMMYFUNCTION("IFERROR(GOOGLEFINANCE(B2017,""change""),0)"),0)</f>
        <v>0</v>
      </c>
      <c r="N2017" s="6">
        <v>1</v>
      </c>
      <c r="O2017" s="7">
        <v>45536</v>
      </c>
      <c r="P2017" s="6">
        <v>46.47</v>
      </c>
      <c r="Q2017" s="6">
        <v>510.09</v>
      </c>
      <c r="R2017" s="7">
        <v>45352</v>
      </c>
      <c r="S2017" s="6">
        <v>127.27</v>
      </c>
      <c r="T2017" s="6">
        <v>10.1</v>
      </c>
      <c r="U2017" s="7">
        <v>45352</v>
      </c>
      <c r="V2017" s="6">
        <v>45.88</v>
      </c>
      <c r="W2017" s="6">
        <f ca="1">IFERROR(__xludf.DUMMYFUNCTION("IFERROR(GOOGLEFINANCE(B2017,""pe""),V2017)"),45.88)</f>
        <v>45.88</v>
      </c>
      <c r="X2017" s="12"/>
      <c r="Y2017" s="6">
        <v>8.73</v>
      </c>
      <c r="Z2017" s="6">
        <v>1</v>
      </c>
      <c r="AA2017" s="8">
        <v>45352</v>
      </c>
      <c r="AB2017" s="4">
        <v>0.98</v>
      </c>
      <c r="AC2017" s="6">
        <v>28.45</v>
      </c>
      <c r="AD2017" s="6">
        <v>21.08</v>
      </c>
      <c r="AE2017" s="1">
        <v>0</v>
      </c>
      <c r="AF2017" s="1">
        <f ca="1">IFERROR(__xludf.DUMMYFUNCTION("IFERROR(GOOGLEFINANCE(TRIM(F2017)&amp;"":"" &amp; TRIM(B2017),""high52""),AE2017)"),0)</f>
        <v>0</v>
      </c>
      <c r="AG2017" s="1">
        <v>0</v>
      </c>
      <c r="AH2017" s="1">
        <f ca="1">IFERROR(__xludf.DUMMYFUNCTION("IFERROR(GOOGLEFINANCE(TRIM(F2017)&amp;"":"" &amp; TRIM(B2017),""low52""),AE2017)"),0)</f>
        <v>0</v>
      </c>
      <c r="AI2017" s="1">
        <f ca="1">IFERROR(__xludf.DUMMYFUNCTION("IFERROR(GOOGLEFINANCE(B2017,""eps""),0)"),0)</f>
        <v>0</v>
      </c>
      <c r="AJ2017" s="1"/>
      <c r="AK2017" s="1" t="s">
        <v>6224</v>
      </c>
      <c r="AL2017" s="9">
        <f t="shared" si="226"/>
        <v>1</v>
      </c>
    </row>
    <row r="2018" spans="1:38" ht="15" x14ac:dyDescent="0.25">
      <c r="A2018" s="1" t="s">
        <v>6225</v>
      </c>
      <c r="B2018" s="1" t="s">
        <v>6226</v>
      </c>
      <c r="C2018" s="1" t="s">
        <v>208</v>
      </c>
      <c r="D2018" s="1" t="s">
        <v>208</v>
      </c>
      <c r="E2018" s="6">
        <v>7.52</v>
      </c>
      <c r="F2018" s="1" t="s">
        <v>53</v>
      </c>
      <c r="G2018" s="6">
        <f ca="1">IFERROR(__xludf.DUMMYFUNCTION("iferror(GOOGLEFINANCE(TRIM(F2018)&amp;"":"" &amp; TRIM(B2018), ""price""),0
)"),0)</f>
        <v>0</v>
      </c>
      <c r="H2018" s="6">
        <v>16</v>
      </c>
      <c r="I2018" s="6">
        <f t="shared" ca="1" si="0"/>
        <v>16</v>
      </c>
      <c r="J2018" s="6">
        <f ca="1">IFERROR(__xludf.DUMMYFUNCTION("IFERROR(GOOGLEFINANCE(B2018, ""volume""), 0)"),0)</f>
        <v>0</v>
      </c>
      <c r="K2018" s="9"/>
      <c r="L2018" s="6" t="str">
        <f ca="1">IFERROR(__xludf.DUMMYFUNCTION("IFERROR(GOOGLEFINANCE(B2018,""changepct""),K2018)"),"")</f>
        <v/>
      </c>
      <c r="M2018" s="6">
        <f ca="1">IFERROR(__xludf.DUMMYFUNCTION("IFERROR(GOOGLEFINANCE(B2018,""change""),0)"),0)</f>
        <v>0</v>
      </c>
      <c r="N2018" s="6">
        <v>1</v>
      </c>
      <c r="O2018" s="7">
        <v>45536</v>
      </c>
      <c r="P2018" s="6">
        <v>1.04</v>
      </c>
      <c r="Q2018" s="7">
        <v>45536</v>
      </c>
      <c r="R2018" s="6">
        <v>7.21</v>
      </c>
      <c r="S2018" s="6">
        <v>0.13</v>
      </c>
      <c r="T2018" s="6">
        <v>1.47</v>
      </c>
      <c r="U2018" s="6">
        <v>1</v>
      </c>
      <c r="V2018" s="7">
        <v>45352</v>
      </c>
      <c r="W2018" s="10">
        <f ca="1">IFERROR(__xludf.DUMMYFUNCTION("IFERROR(GOOGLEFINANCE(B2018,""pe""),V2018)"),45352)</f>
        <v>45352</v>
      </c>
      <c r="X2018" s="6">
        <v>0</v>
      </c>
      <c r="Y2018" s="6">
        <v>23.05</v>
      </c>
      <c r="Z2018" s="6">
        <v>22.61</v>
      </c>
      <c r="AA2018" s="3" t="s">
        <v>6227</v>
      </c>
      <c r="AB2018" s="11"/>
      <c r="AC2018" s="9"/>
      <c r="AD2018" s="9"/>
      <c r="AE2018" s="1">
        <v>0</v>
      </c>
      <c r="AF2018" s="1">
        <f ca="1">IFERROR(__xludf.DUMMYFUNCTION("IFERROR(GOOGLEFINANCE(TRIM(F2018)&amp;"":"" &amp; TRIM(B2018),""high52""),AE2018)"),0)</f>
        <v>0</v>
      </c>
      <c r="AG2018" s="1">
        <v>0</v>
      </c>
      <c r="AH2018" s="1">
        <f ca="1">IFERROR(__xludf.DUMMYFUNCTION("IFERROR(GOOGLEFINANCE(TRIM(F2018)&amp;"":"" &amp; TRIM(B2018),""low52""),AE2018)"),0)</f>
        <v>0</v>
      </c>
      <c r="AI2018" s="1">
        <f ca="1">IFERROR(__xludf.DUMMYFUNCTION("IFERROR(GOOGLEFINANCE(B2018,""eps""),0)"),0)</f>
        <v>0</v>
      </c>
      <c r="AJ2018" s="1"/>
      <c r="AK2018" s="1" t="s">
        <v>6228</v>
      </c>
      <c r="AL2018" s="9">
        <f t="shared" si="226"/>
        <v>1</v>
      </c>
    </row>
    <row r="2019" spans="1:38" ht="15" x14ac:dyDescent="0.25">
      <c r="A2019" s="1" t="s">
        <v>6229</v>
      </c>
      <c r="B2019" s="1" t="s">
        <v>6230</v>
      </c>
      <c r="C2019" s="1" t="s">
        <v>208</v>
      </c>
      <c r="D2019" s="1" t="s">
        <v>208</v>
      </c>
      <c r="E2019" s="6">
        <v>75</v>
      </c>
      <c r="F2019" s="1" t="s">
        <v>53</v>
      </c>
      <c r="G2019" s="6">
        <f ca="1">IFERROR(__xludf.DUMMYFUNCTION("iferror(GOOGLEFINANCE(TRIM(F2019)&amp;"":"" &amp; TRIM(B2019), ""price""),0
)"),0)</f>
        <v>0</v>
      </c>
      <c r="H2019" s="6">
        <v>74.89</v>
      </c>
      <c r="I2019" s="6">
        <f t="shared" ca="1" si="0"/>
        <v>74.89</v>
      </c>
      <c r="J2019" s="6">
        <f ca="1">IFERROR(__xludf.DUMMYFUNCTION("IFERROR(GOOGLEFINANCE(B2019, ""volume""), 0)"),0)</f>
        <v>0</v>
      </c>
      <c r="K2019" s="6">
        <v>-0.66</v>
      </c>
      <c r="L2019" s="6">
        <f ca="1">IFERROR(__xludf.DUMMYFUNCTION("IFERROR(GOOGLEFINANCE(B2019,""changepct""),K2019)"),-0.66)</f>
        <v>-0.66</v>
      </c>
      <c r="M2019" s="6">
        <f ca="1">IFERROR(__xludf.DUMMYFUNCTION("IFERROR(GOOGLEFINANCE(B2019,""change""),0)"),0)</f>
        <v>0</v>
      </c>
      <c r="N2019" s="6">
        <v>1</v>
      </c>
      <c r="O2019" s="7">
        <v>45536</v>
      </c>
      <c r="P2019" s="6">
        <v>10.37</v>
      </c>
      <c r="Q2019" s="7">
        <v>45536</v>
      </c>
      <c r="R2019" s="6">
        <v>7.23</v>
      </c>
      <c r="S2019" s="6">
        <v>0.28000000000000003</v>
      </c>
      <c r="T2019" s="6">
        <v>0.67</v>
      </c>
      <c r="U2019" s="6">
        <v>1</v>
      </c>
      <c r="V2019" s="7">
        <v>45352</v>
      </c>
      <c r="W2019" s="10">
        <f ca="1">IFERROR(__xludf.DUMMYFUNCTION("IFERROR(GOOGLEFINANCE(B2019,""pe""),V2019)"),45352)</f>
        <v>45352</v>
      </c>
      <c r="X2019" s="6">
        <v>0</v>
      </c>
      <c r="Y2019" s="6">
        <v>11.87</v>
      </c>
      <c r="Z2019" s="6">
        <v>15.56</v>
      </c>
      <c r="AA2019" s="3" t="s">
        <v>6231</v>
      </c>
      <c r="AB2019" s="11"/>
      <c r="AC2019" s="9"/>
      <c r="AD2019" s="9"/>
      <c r="AE2019" s="1">
        <v>0</v>
      </c>
      <c r="AF2019" s="1">
        <f ca="1">IFERROR(__xludf.DUMMYFUNCTION("IFERROR(GOOGLEFINANCE(TRIM(F2019)&amp;"":"" &amp; TRIM(B2019),""high52""),AE2019)"),0)</f>
        <v>0</v>
      </c>
      <c r="AG2019" s="1">
        <v>0</v>
      </c>
      <c r="AH2019" s="1">
        <f ca="1">IFERROR(__xludf.DUMMYFUNCTION("IFERROR(GOOGLEFINANCE(TRIM(F2019)&amp;"":"" &amp; TRIM(B2019),""low52""),AE2019)"),0)</f>
        <v>0</v>
      </c>
      <c r="AI2019" s="1">
        <f ca="1">IFERROR(__xludf.DUMMYFUNCTION("IFERROR(GOOGLEFINANCE(B2019,""eps""),0)"),0)</f>
        <v>0</v>
      </c>
      <c r="AJ2019" s="1"/>
      <c r="AK2019" s="1" t="s">
        <v>6232</v>
      </c>
      <c r="AL2019" s="9">
        <f t="shared" si="226"/>
        <v>1</v>
      </c>
    </row>
    <row r="2020" spans="1:38" ht="15" x14ac:dyDescent="0.25">
      <c r="A2020" s="1" t="s">
        <v>6233</v>
      </c>
      <c r="B2020" s="1" t="s">
        <v>6234</v>
      </c>
      <c r="C2020" s="1" t="s">
        <v>208</v>
      </c>
      <c r="D2020" s="1" t="s">
        <v>208</v>
      </c>
      <c r="E2020" s="6">
        <v>107.87</v>
      </c>
      <c r="F2020" s="1" t="s">
        <v>53</v>
      </c>
      <c r="G2020" s="6">
        <f ca="1">IFERROR(__xludf.DUMMYFUNCTION("iferror(GOOGLEFINANCE(TRIM(F2020)&amp;"":"" &amp; TRIM(B2020), ""price""),0
)"),0)</f>
        <v>0</v>
      </c>
      <c r="H2020" s="6">
        <v>44.32</v>
      </c>
      <c r="I2020" s="6">
        <f t="shared" ca="1" si="0"/>
        <v>44.32</v>
      </c>
      <c r="J2020" s="6">
        <f ca="1">IFERROR(__xludf.DUMMYFUNCTION("IFERROR(GOOGLEFINANCE(B2020, ""volume""), 0)"),0)</f>
        <v>0</v>
      </c>
      <c r="K2020" s="6">
        <v>-2.31</v>
      </c>
      <c r="L2020" s="6">
        <f ca="1">IFERROR(__xludf.DUMMYFUNCTION("IFERROR(GOOGLEFINANCE(B2020,""changepct""),K2020)"),-2.31)</f>
        <v>-2.31</v>
      </c>
      <c r="M2020" s="6">
        <f ca="1">IFERROR(__xludf.DUMMYFUNCTION("IFERROR(GOOGLEFINANCE(B2020,""change""),0)"),0)</f>
        <v>0</v>
      </c>
      <c r="N2020" s="6">
        <v>1</v>
      </c>
      <c r="O2020" s="7">
        <v>45536</v>
      </c>
      <c r="P2020" s="6">
        <v>14.84</v>
      </c>
      <c r="Q2020" s="7">
        <v>45536</v>
      </c>
      <c r="R2020" s="6">
        <v>7.27</v>
      </c>
      <c r="S2020" s="6">
        <v>7.0000000000000007E-2</v>
      </c>
      <c r="T2020" s="6">
        <v>1.72</v>
      </c>
      <c r="U2020" s="6">
        <v>1</v>
      </c>
      <c r="V2020" s="7">
        <v>45352</v>
      </c>
      <c r="W2020" s="10">
        <f ca="1">IFERROR(__xludf.DUMMYFUNCTION("IFERROR(GOOGLEFINANCE(B2020,""pe""),V2020)"),45352)</f>
        <v>45352</v>
      </c>
      <c r="X2020" s="6">
        <v>1.0900000000000001</v>
      </c>
      <c r="Y2020" s="6">
        <v>15.43</v>
      </c>
      <c r="Z2020" s="6">
        <v>15.04</v>
      </c>
      <c r="AA2020" s="3" t="s">
        <v>6235</v>
      </c>
      <c r="AB2020" s="11"/>
      <c r="AC2020" s="9"/>
      <c r="AD2020" s="9"/>
      <c r="AE2020" s="1">
        <v>0</v>
      </c>
      <c r="AF2020" s="1">
        <f ca="1">IFERROR(__xludf.DUMMYFUNCTION("IFERROR(GOOGLEFINANCE(TRIM(F2020)&amp;"":"" &amp; TRIM(B2020),""high52""),AE2020)"),0)</f>
        <v>0</v>
      </c>
      <c r="AG2020" s="1">
        <v>0</v>
      </c>
      <c r="AH2020" s="1">
        <f ca="1">IFERROR(__xludf.DUMMYFUNCTION("IFERROR(GOOGLEFINANCE(TRIM(F2020)&amp;"":"" &amp; TRIM(B2020),""low52""),AE2020)"),0)</f>
        <v>0</v>
      </c>
      <c r="AI2020" s="1">
        <f ca="1">IFERROR(__xludf.DUMMYFUNCTION("IFERROR(GOOGLEFINANCE(B2020,""eps""),0)"),0)</f>
        <v>0</v>
      </c>
      <c r="AJ2020" s="1"/>
      <c r="AK2020" s="1" t="s">
        <v>6236</v>
      </c>
      <c r="AL2020" s="9">
        <f t="shared" si="226"/>
        <v>1</v>
      </c>
    </row>
    <row r="2021" spans="1:38" ht="15" x14ac:dyDescent="0.25">
      <c r="A2021" s="1" t="s">
        <v>6237</v>
      </c>
      <c r="B2021" s="1" t="s">
        <v>6238</v>
      </c>
      <c r="C2021" s="1" t="s">
        <v>1067</v>
      </c>
      <c r="D2021" s="1" t="s">
        <v>1067</v>
      </c>
      <c r="E2021" s="6">
        <v>17926.03</v>
      </c>
      <c r="F2021" s="1" t="s">
        <v>40</v>
      </c>
      <c r="G2021" s="6">
        <f ca="1">IFERROR(__xludf.DUMMYFUNCTION("iferror(GOOGLEFINANCE(TRIM(F2021)&amp;"":"" &amp; TRIM(B2021), ""price""),0
)"),295.75)</f>
        <v>295.75</v>
      </c>
      <c r="H2021" s="6">
        <v>224.28</v>
      </c>
      <c r="I2021" s="6">
        <f t="shared" ca="1" si="0"/>
        <v>295.75</v>
      </c>
      <c r="J2021" s="6">
        <f ca="1">IFERROR(__xludf.DUMMYFUNCTION("IFERROR(GOOGLEFINANCE(B2021, ""volume""), 0)"),5627388)</f>
        <v>5627388</v>
      </c>
      <c r="K2021" s="6">
        <v>0.67</v>
      </c>
      <c r="L2021" s="6">
        <f ca="1">IFERROR(__xludf.DUMMYFUNCTION("IFERROR(GOOGLEFINANCE(B2021,""changepct""),K2021)"),3.39)</f>
        <v>3.39</v>
      </c>
      <c r="M2021" s="6">
        <f ca="1">IFERROR(__xludf.DUMMYFUNCTION("IFERROR(GOOGLEFINANCE(B2021,""change""),0)"),9.7)</f>
        <v>9.6999999999999993</v>
      </c>
      <c r="N2021" s="6">
        <v>1</v>
      </c>
      <c r="O2021" s="7">
        <v>45536</v>
      </c>
      <c r="P2021" s="6">
        <v>8992.48</v>
      </c>
      <c r="Q2021" s="6">
        <v>1799.98</v>
      </c>
      <c r="R2021" s="7">
        <v>45536</v>
      </c>
      <c r="S2021" s="6">
        <v>9.9600000000000009</v>
      </c>
      <c r="T2021" s="6">
        <v>0.2</v>
      </c>
      <c r="U2021" s="6">
        <v>1.64</v>
      </c>
      <c r="V2021" s="6">
        <v>1</v>
      </c>
      <c r="W2021" s="6">
        <f ca="1">IFERROR(__xludf.DUMMYFUNCTION("IFERROR(GOOGLEFINANCE(B2021,""pe""),V2021)"),12.43)</f>
        <v>12.43</v>
      </c>
      <c r="X2021" s="7">
        <v>45352</v>
      </c>
      <c r="Y2021" s="6">
        <v>17.239999999999998</v>
      </c>
      <c r="Z2021" s="6">
        <v>1</v>
      </c>
      <c r="AA2021" s="8">
        <v>45352</v>
      </c>
      <c r="AB2021" s="4">
        <v>0.4</v>
      </c>
      <c r="AC2021" s="6">
        <v>3.75</v>
      </c>
      <c r="AD2021" s="6">
        <v>11.14</v>
      </c>
      <c r="AE2021" s="1">
        <v>0</v>
      </c>
      <c r="AF2021" s="1">
        <f ca="1">IFERROR(__xludf.DUMMYFUNCTION("IFERROR(GOOGLEFINANCE(TRIM(F2021)&amp;"":"" &amp; TRIM(B2021),""high52""),AE2021)"),306)</f>
        <v>306</v>
      </c>
      <c r="AG2021" s="1">
        <v>0</v>
      </c>
      <c r="AH2021" s="1">
        <f ca="1">IFERROR(__xludf.DUMMYFUNCTION("IFERROR(GOOGLEFINANCE(TRIM(F2021)&amp;"":"" &amp; TRIM(B2021),""low52""),AE2021)"),154.62)</f>
        <v>154.62</v>
      </c>
      <c r="AI2021" s="1">
        <f ca="1">IFERROR(__xludf.DUMMYFUNCTION("IFERROR(GOOGLEFINANCE(B2021,""eps""),0)"),23.79)</f>
        <v>23.79</v>
      </c>
      <c r="AJ2021" s="1"/>
      <c r="AK2021" s="1" t="s">
        <v>6239</v>
      </c>
      <c r="AL2021" s="1" t="b">
        <f>ISNUMBER(AA2021)</f>
        <v>1</v>
      </c>
    </row>
    <row r="2022" spans="1:38" ht="15" x14ac:dyDescent="0.25">
      <c r="A2022" s="1" t="s">
        <v>6240</v>
      </c>
      <c r="B2022" s="1" t="s">
        <v>6241</v>
      </c>
      <c r="C2022" s="1" t="s">
        <v>208</v>
      </c>
      <c r="D2022" s="1" t="s">
        <v>208</v>
      </c>
      <c r="E2022" s="6">
        <v>129.33000000000001</v>
      </c>
      <c r="F2022" s="1" t="s">
        <v>53</v>
      </c>
      <c r="G2022" s="6">
        <f ca="1">IFERROR(__xludf.DUMMYFUNCTION("iferror(GOOGLEFINANCE(TRIM(F2022)&amp;"":"" &amp; TRIM(B2022), ""price""),0
)"),0)</f>
        <v>0</v>
      </c>
      <c r="H2022" s="6">
        <v>131</v>
      </c>
      <c r="I2022" s="6">
        <f t="shared" ca="1" si="0"/>
        <v>131</v>
      </c>
      <c r="J2022" s="6">
        <f ca="1">IFERROR(__xludf.DUMMYFUNCTION("IFERROR(GOOGLEFINANCE(B2022, ""volume""), 0)"),0)</f>
        <v>0</v>
      </c>
      <c r="K2022" s="6">
        <v>0.27</v>
      </c>
      <c r="L2022" s="6">
        <f ca="1">IFERROR(__xludf.DUMMYFUNCTION("IFERROR(GOOGLEFINANCE(B2022,""changepct""),K2022)"),0.27)</f>
        <v>0.27</v>
      </c>
      <c r="M2022" s="6">
        <f ca="1">IFERROR(__xludf.DUMMYFUNCTION("IFERROR(GOOGLEFINANCE(B2022,""change""),0)"),0)</f>
        <v>0</v>
      </c>
      <c r="N2022" s="6">
        <v>1</v>
      </c>
      <c r="O2022" s="7">
        <v>45536</v>
      </c>
      <c r="P2022" s="6">
        <v>17.149999999999999</v>
      </c>
      <c r="Q2022" s="7">
        <v>45536</v>
      </c>
      <c r="R2022" s="6">
        <v>7.54</v>
      </c>
      <c r="S2022" s="6">
        <v>0.17</v>
      </c>
      <c r="T2022" s="6">
        <v>1.74</v>
      </c>
      <c r="U2022" s="6">
        <v>1</v>
      </c>
      <c r="V2022" s="7">
        <v>45352</v>
      </c>
      <c r="W2022" s="10">
        <f ca="1">IFERROR(__xludf.DUMMYFUNCTION("IFERROR(GOOGLEFINANCE(B2022,""pe""),V2022)"),45352)</f>
        <v>45352</v>
      </c>
      <c r="X2022" s="6">
        <v>2.4500000000000002</v>
      </c>
      <c r="Y2022" s="6">
        <v>16.95</v>
      </c>
      <c r="Z2022" s="6">
        <v>10.51</v>
      </c>
      <c r="AA2022" s="3" t="s">
        <v>6242</v>
      </c>
      <c r="AB2022" s="11"/>
      <c r="AC2022" s="9"/>
      <c r="AD2022" s="9"/>
      <c r="AE2022" s="1">
        <v>0</v>
      </c>
      <c r="AF2022" s="1">
        <f ca="1">IFERROR(__xludf.DUMMYFUNCTION("IFERROR(GOOGLEFINANCE(TRIM(F2022)&amp;"":"" &amp; TRIM(B2022),""high52""),AE2022)"),0)</f>
        <v>0</v>
      </c>
      <c r="AG2022" s="1">
        <v>0</v>
      </c>
      <c r="AH2022" s="1">
        <f ca="1">IFERROR(__xludf.DUMMYFUNCTION("IFERROR(GOOGLEFINANCE(TRIM(F2022)&amp;"":"" &amp; TRIM(B2022),""low52""),AE2022)"),0)</f>
        <v>0</v>
      </c>
      <c r="AI2022" s="1">
        <f ca="1">IFERROR(__xludf.DUMMYFUNCTION("IFERROR(GOOGLEFINANCE(B2022,""eps""),0)"),0)</f>
        <v>0</v>
      </c>
      <c r="AJ2022" s="1"/>
      <c r="AK2022" s="1" t="s">
        <v>6243</v>
      </c>
      <c r="AL2022" s="9">
        <f t="shared" ref="AL2022:AL2031" si="227">IF(AA2022&lt;&gt;AB2022,1,0)</f>
        <v>1</v>
      </c>
    </row>
    <row r="2023" spans="1:38" ht="15" x14ac:dyDescent="0.25">
      <c r="A2023" s="1" t="s">
        <v>6244</v>
      </c>
      <c r="B2023" s="1" t="s">
        <v>6245</v>
      </c>
      <c r="C2023" s="1" t="s">
        <v>208</v>
      </c>
      <c r="D2023" s="1" t="s">
        <v>208</v>
      </c>
      <c r="E2023" s="6">
        <v>79.5</v>
      </c>
      <c r="F2023" s="1" t="s">
        <v>53</v>
      </c>
      <c r="G2023" s="6">
        <f ca="1">IFERROR(__xludf.DUMMYFUNCTION("iferror(GOOGLEFINANCE(TRIM(F2023)&amp;"":"" &amp; TRIM(B2023), ""price""),0
)"),0)</f>
        <v>0</v>
      </c>
      <c r="H2023" s="6">
        <v>106.94</v>
      </c>
      <c r="I2023" s="6">
        <f t="shared" ca="1" si="0"/>
        <v>106.94</v>
      </c>
      <c r="J2023" s="6">
        <f ca="1">IFERROR(__xludf.DUMMYFUNCTION("IFERROR(GOOGLEFINANCE(B2023, ""volume""), 0)"),0)</f>
        <v>0</v>
      </c>
      <c r="K2023" s="6">
        <v>0.89</v>
      </c>
      <c r="L2023" s="6">
        <f ca="1">IFERROR(__xludf.DUMMYFUNCTION("IFERROR(GOOGLEFINANCE(B2023,""changepct""),K2023)"),0.89)</f>
        <v>0.89</v>
      </c>
      <c r="M2023" s="6">
        <f ca="1">IFERROR(__xludf.DUMMYFUNCTION("IFERROR(GOOGLEFINANCE(B2023,""change""),0)"),0)</f>
        <v>0</v>
      </c>
      <c r="N2023" s="6">
        <v>1</v>
      </c>
      <c r="O2023" s="7">
        <v>45536</v>
      </c>
      <c r="P2023" s="6">
        <v>9.92</v>
      </c>
      <c r="Q2023" s="7">
        <v>45536</v>
      </c>
      <c r="R2023" s="6">
        <v>8.01</v>
      </c>
      <c r="S2023" s="6">
        <v>0.96</v>
      </c>
      <c r="T2023" s="6">
        <v>1.05</v>
      </c>
      <c r="U2023" s="6">
        <v>1</v>
      </c>
      <c r="V2023" s="7">
        <v>45352</v>
      </c>
      <c r="W2023" s="10">
        <f ca="1">IFERROR(__xludf.DUMMYFUNCTION("IFERROR(GOOGLEFINANCE(B2023,""pe""),V2023)"),45352)</f>
        <v>45352</v>
      </c>
      <c r="X2023" s="6">
        <v>0.11</v>
      </c>
      <c r="Y2023" s="6">
        <v>11.58</v>
      </c>
      <c r="Z2023" s="6">
        <v>15.67</v>
      </c>
      <c r="AA2023" s="3" t="s">
        <v>6246</v>
      </c>
      <c r="AB2023" s="11"/>
      <c r="AC2023" s="9"/>
      <c r="AD2023" s="9"/>
      <c r="AE2023" s="1">
        <v>0</v>
      </c>
      <c r="AF2023" s="1">
        <f ca="1">IFERROR(__xludf.DUMMYFUNCTION("IFERROR(GOOGLEFINANCE(TRIM(F2023)&amp;"":"" &amp; TRIM(B2023),""high52""),AE2023)"),0)</f>
        <v>0</v>
      </c>
      <c r="AG2023" s="1">
        <v>0</v>
      </c>
      <c r="AH2023" s="1">
        <f ca="1">IFERROR(__xludf.DUMMYFUNCTION("IFERROR(GOOGLEFINANCE(TRIM(F2023)&amp;"":"" &amp; TRIM(B2023),""low52""),AE2023)"),0)</f>
        <v>0</v>
      </c>
      <c r="AI2023" s="1">
        <f ca="1">IFERROR(__xludf.DUMMYFUNCTION("IFERROR(GOOGLEFINANCE(B2023,""eps""),0)"),0)</f>
        <v>0</v>
      </c>
      <c r="AJ2023" s="1"/>
      <c r="AK2023" s="1" t="s">
        <v>6247</v>
      </c>
      <c r="AL2023" s="9">
        <f t="shared" si="227"/>
        <v>1</v>
      </c>
    </row>
    <row r="2024" spans="1:38" ht="15" x14ac:dyDescent="0.25">
      <c r="A2024" s="1" t="s">
        <v>6248</v>
      </c>
      <c r="B2024" s="1" t="s">
        <v>6249</v>
      </c>
      <c r="C2024" s="1" t="s">
        <v>208</v>
      </c>
      <c r="D2024" s="1" t="s">
        <v>208</v>
      </c>
      <c r="E2024" s="6">
        <v>764.09</v>
      </c>
      <c r="F2024" s="1" t="s">
        <v>53</v>
      </c>
      <c r="G2024" s="6">
        <f ca="1">IFERROR(__xludf.DUMMYFUNCTION("iferror(GOOGLEFINANCE(TRIM(F2024)&amp;"":"" &amp; TRIM(B2024), ""price""),0
)"),0)</f>
        <v>0</v>
      </c>
      <c r="H2024" s="6">
        <v>279</v>
      </c>
      <c r="I2024" s="6">
        <f t="shared" ca="1" si="0"/>
        <v>279</v>
      </c>
      <c r="J2024" s="6">
        <f ca="1">IFERROR(__xludf.DUMMYFUNCTION("IFERROR(GOOGLEFINANCE(B2024, ""volume""), 0)"),0)</f>
        <v>0</v>
      </c>
      <c r="K2024" s="6">
        <v>-0.37</v>
      </c>
      <c r="L2024" s="6">
        <f ca="1">IFERROR(__xludf.DUMMYFUNCTION("IFERROR(GOOGLEFINANCE(B2024,""changepct""),K2024)"),-0.37)</f>
        <v>-0.37</v>
      </c>
      <c r="M2024" s="6">
        <f ca="1">IFERROR(__xludf.DUMMYFUNCTION("IFERROR(GOOGLEFINANCE(B2024,""change""),0)"),0)</f>
        <v>0</v>
      </c>
      <c r="N2024" s="6">
        <v>2</v>
      </c>
      <c r="O2024" s="7">
        <v>45536</v>
      </c>
      <c r="P2024" s="6">
        <v>56.67</v>
      </c>
      <c r="Q2024" s="7">
        <v>45536</v>
      </c>
      <c r="R2024" s="6">
        <v>9.17</v>
      </c>
      <c r="S2024" s="6">
        <v>0.51</v>
      </c>
      <c r="T2024" s="6">
        <v>0.38</v>
      </c>
      <c r="U2024" s="6">
        <v>2</v>
      </c>
      <c r="V2024" s="7">
        <v>45352</v>
      </c>
      <c r="W2024" s="10">
        <f ca="1">IFERROR(__xludf.DUMMYFUNCTION("IFERROR(GOOGLEFINANCE(B2024,""pe""),V2024)"),45352)</f>
        <v>45352</v>
      </c>
      <c r="X2024" s="6">
        <v>0.05</v>
      </c>
      <c r="Y2024" s="6">
        <v>3.19</v>
      </c>
      <c r="Z2024" s="6">
        <v>4.2300000000000004</v>
      </c>
      <c r="AA2024" s="3" t="s">
        <v>6250</v>
      </c>
      <c r="AB2024" s="11"/>
      <c r="AC2024" s="9"/>
      <c r="AD2024" s="9"/>
      <c r="AE2024" s="1">
        <v>0</v>
      </c>
      <c r="AF2024" s="1">
        <f ca="1">IFERROR(__xludf.DUMMYFUNCTION("IFERROR(GOOGLEFINANCE(TRIM(F2024)&amp;"":"" &amp; TRIM(B2024),""high52""),AE2024)"),0)</f>
        <v>0</v>
      </c>
      <c r="AG2024" s="1">
        <v>0</v>
      </c>
      <c r="AH2024" s="1">
        <f ca="1">IFERROR(__xludf.DUMMYFUNCTION("IFERROR(GOOGLEFINANCE(TRIM(F2024)&amp;"":"" &amp; TRIM(B2024),""low52""),AE2024)"),0)</f>
        <v>0</v>
      </c>
      <c r="AI2024" s="1">
        <f ca="1">IFERROR(__xludf.DUMMYFUNCTION("IFERROR(GOOGLEFINANCE(B2024,""eps""),0)"),0)</f>
        <v>0</v>
      </c>
      <c r="AJ2024" s="1"/>
      <c r="AK2024" s="1" t="s">
        <v>6251</v>
      </c>
      <c r="AL2024" s="9">
        <f t="shared" si="227"/>
        <v>1</v>
      </c>
    </row>
    <row r="2025" spans="1:38" ht="15" x14ac:dyDescent="0.25">
      <c r="A2025" s="1" t="s">
        <v>6252</v>
      </c>
      <c r="B2025" s="1" t="s">
        <v>6253</v>
      </c>
      <c r="C2025" s="1" t="s">
        <v>112</v>
      </c>
      <c r="D2025" s="1" t="s">
        <v>112</v>
      </c>
      <c r="E2025" s="6">
        <v>323.39999999999998</v>
      </c>
      <c r="F2025" s="1" t="s">
        <v>40</v>
      </c>
      <c r="G2025" s="6">
        <f ca="1">IFERROR(__xludf.DUMMYFUNCTION("iferror(GOOGLEFINANCE(TRIM(F2025)&amp;"":"" &amp; TRIM(B2025), ""price""),0
)"),0)</f>
        <v>0</v>
      </c>
      <c r="H2025" s="6">
        <v>152.25</v>
      </c>
      <c r="I2025" s="6">
        <f t="shared" ca="1" si="0"/>
        <v>152.25</v>
      </c>
      <c r="J2025" s="6">
        <f ca="1">IFERROR(__xludf.DUMMYFUNCTION("IFERROR(GOOGLEFINANCE(B2025, ""volume""), 0)"),0)</f>
        <v>0</v>
      </c>
      <c r="K2025" s="6">
        <v>1.36</v>
      </c>
      <c r="L2025" s="6">
        <f ca="1">IFERROR(__xludf.DUMMYFUNCTION("IFERROR(GOOGLEFINANCE(B2025,""changepct""),K2025)"),1.36)</f>
        <v>1.36</v>
      </c>
      <c r="M2025" s="6">
        <f ca="1">IFERROR(__xludf.DUMMYFUNCTION("IFERROR(GOOGLEFINANCE(B2025,""change""),0)"),0)</f>
        <v>0</v>
      </c>
      <c r="N2025" s="6">
        <v>1</v>
      </c>
      <c r="O2025" s="7">
        <v>45536</v>
      </c>
      <c r="P2025" s="6">
        <v>21.93</v>
      </c>
      <c r="Q2025" s="6">
        <v>345.33</v>
      </c>
      <c r="R2025" s="14"/>
      <c r="S2025" s="9"/>
      <c r="T2025" s="9"/>
      <c r="U2025" s="7">
        <v>45352</v>
      </c>
      <c r="V2025" s="6">
        <v>32.270000000000003</v>
      </c>
      <c r="W2025" s="6">
        <f ca="1">IFERROR(__xludf.DUMMYFUNCTION("IFERROR(GOOGLEFINANCE(B2025,""pe""),V2025)"),32.27)</f>
        <v>32.270000000000003</v>
      </c>
      <c r="X2025" s="12"/>
      <c r="Y2025" s="6">
        <v>3.22</v>
      </c>
      <c r="Z2025" s="6">
        <v>1</v>
      </c>
      <c r="AA2025" s="8">
        <v>45352</v>
      </c>
      <c r="AB2025" s="4">
        <v>1.38</v>
      </c>
      <c r="AC2025" s="6">
        <v>24.53</v>
      </c>
      <c r="AD2025" s="6">
        <v>18.86</v>
      </c>
      <c r="AE2025" s="1">
        <v>0</v>
      </c>
      <c r="AF2025" s="1">
        <f ca="1">IFERROR(__xludf.DUMMYFUNCTION("IFERROR(GOOGLEFINANCE(TRIM(F2025)&amp;"":"" &amp; TRIM(B2025),""high52""),AE2025)"),0)</f>
        <v>0</v>
      </c>
      <c r="AG2025" s="1">
        <v>0</v>
      </c>
      <c r="AH2025" s="1">
        <f ca="1">IFERROR(__xludf.DUMMYFUNCTION("IFERROR(GOOGLEFINANCE(TRIM(F2025)&amp;"":"" &amp; TRIM(B2025),""low52""),AE2025)"),0)</f>
        <v>0</v>
      </c>
      <c r="AI2025" s="1">
        <f ca="1">IFERROR(__xludf.DUMMYFUNCTION("IFERROR(GOOGLEFINANCE(B2025,""eps""),0)"),0)</f>
        <v>0</v>
      </c>
      <c r="AJ2025" s="1"/>
      <c r="AK2025" s="1" t="s">
        <v>6254</v>
      </c>
      <c r="AL2025" s="9">
        <f t="shared" si="227"/>
        <v>1</v>
      </c>
    </row>
    <row r="2026" spans="1:38" ht="15" x14ac:dyDescent="0.25">
      <c r="A2026" s="1" t="s">
        <v>6255</v>
      </c>
      <c r="B2026" s="1" t="s">
        <v>6256</v>
      </c>
      <c r="C2026" s="1" t="s">
        <v>86</v>
      </c>
      <c r="D2026" s="1" t="s">
        <v>86</v>
      </c>
      <c r="E2026" s="6">
        <v>40.22</v>
      </c>
      <c r="F2026" s="1" t="s">
        <v>40</v>
      </c>
      <c r="G2026" s="6">
        <f ca="1">IFERROR(__xludf.DUMMYFUNCTION("iferror(GOOGLEFINANCE(TRIM(F2026)&amp;"":"" &amp; TRIM(B2026), ""price""),0
)"),801)</f>
        <v>801</v>
      </c>
      <c r="H2026" s="6">
        <v>1231.3</v>
      </c>
      <c r="I2026" s="6">
        <f t="shared" ca="1" si="0"/>
        <v>801</v>
      </c>
      <c r="J2026" s="6">
        <f ca="1">IFERROR(__xludf.DUMMYFUNCTION("IFERROR(GOOGLEFINANCE(B2026, ""volume""), 0)"),158)</f>
        <v>158</v>
      </c>
      <c r="K2026" s="6">
        <v>5</v>
      </c>
      <c r="L2026" s="6">
        <f ca="1">IFERROR(__xludf.DUMMYFUNCTION("IFERROR(GOOGLEFINANCE(B2026,""changepct""),K2026)"),-0.47)</f>
        <v>-0.47</v>
      </c>
      <c r="M2026" s="6">
        <f ca="1">IFERROR(__xludf.DUMMYFUNCTION("IFERROR(GOOGLEFINANCE(B2026,""change""),0)"),-3.75)</f>
        <v>-3.75</v>
      </c>
      <c r="N2026" s="6">
        <v>2</v>
      </c>
      <c r="O2026" s="7">
        <v>45536</v>
      </c>
      <c r="P2026" s="9"/>
      <c r="Q2026" s="6">
        <v>39.6</v>
      </c>
      <c r="R2026" s="7">
        <v>45536</v>
      </c>
      <c r="S2026" s="6">
        <v>0.15</v>
      </c>
      <c r="T2026" s="6">
        <v>11.3</v>
      </c>
      <c r="U2026" s="7">
        <v>45536</v>
      </c>
      <c r="V2026" s="6">
        <v>2.3199999999999998</v>
      </c>
      <c r="W2026" s="6">
        <f ca="1">IFERROR(__xludf.DUMMYFUNCTION("IFERROR(GOOGLEFINANCE(B2026,""pe""),V2026)"),19.75)</f>
        <v>19.75</v>
      </c>
      <c r="X2026" s="6">
        <v>-0.3</v>
      </c>
      <c r="Y2026" s="6">
        <v>0.53</v>
      </c>
      <c r="Z2026" s="6">
        <v>2</v>
      </c>
      <c r="AA2026" s="8">
        <v>45352</v>
      </c>
      <c r="AB2026" s="4">
        <v>0</v>
      </c>
      <c r="AC2026" s="6">
        <v>23.42</v>
      </c>
      <c r="AD2026" s="6">
        <v>23.58</v>
      </c>
      <c r="AE2026" s="1">
        <v>0</v>
      </c>
      <c r="AF2026" s="1">
        <f ca="1">IFERROR(__xludf.DUMMYFUNCTION("IFERROR(GOOGLEFINANCE(TRIM(F2026)&amp;"":"" &amp; TRIM(B2026),""high52""),AE2026)"),1841.9)</f>
        <v>1841.9</v>
      </c>
      <c r="AG2026" s="1">
        <v>0</v>
      </c>
      <c r="AH2026" s="1">
        <f ca="1">IFERROR(__xludf.DUMMYFUNCTION("IFERROR(GOOGLEFINANCE(TRIM(F2026)&amp;"":"" &amp; TRIM(B2026),""low52""),AE2026)"),787.8)</f>
        <v>787.8</v>
      </c>
      <c r="AI2026" s="1">
        <f ca="1">IFERROR(__xludf.DUMMYFUNCTION("IFERROR(GOOGLEFINANCE(B2026,""eps""),0)"),40.56)</f>
        <v>40.56</v>
      </c>
      <c r="AJ2026" s="1"/>
      <c r="AK2026" s="1" t="s">
        <v>6257</v>
      </c>
      <c r="AL2026" s="9">
        <f t="shared" si="227"/>
        <v>1</v>
      </c>
    </row>
    <row r="2027" spans="1:38" ht="15" x14ac:dyDescent="0.25">
      <c r="A2027" s="1" t="s">
        <v>6258</v>
      </c>
      <c r="B2027" s="1" t="s">
        <v>6259</v>
      </c>
      <c r="C2027" s="1" t="s">
        <v>208</v>
      </c>
      <c r="D2027" s="1" t="s">
        <v>208</v>
      </c>
      <c r="E2027" s="6">
        <v>18.66</v>
      </c>
      <c r="F2027" s="1" t="s">
        <v>53</v>
      </c>
      <c r="G2027" s="6">
        <f ca="1">IFERROR(__xludf.DUMMYFUNCTION("iferror(GOOGLEFINANCE(TRIM(F2027)&amp;"":"" &amp; TRIM(B2027), ""price""),0
)"),0)</f>
        <v>0</v>
      </c>
      <c r="H2027" s="6">
        <v>33.950000000000003</v>
      </c>
      <c r="I2027" s="6">
        <f t="shared" ca="1" si="0"/>
        <v>33.950000000000003</v>
      </c>
      <c r="J2027" s="6">
        <f ca="1">IFERROR(__xludf.DUMMYFUNCTION("IFERROR(GOOGLEFINANCE(B2027, ""volume""), 0)"),0)</f>
        <v>0</v>
      </c>
      <c r="K2027" s="6">
        <v>0.09</v>
      </c>
      <c r="L2027" s="6">
        <f ca="1">IFERROR(__xludf.DUMMYFUNCTION("IFERROR(GOOGLEFINANCE(B2027,""changepct""),K2027)"),0.09)</f>
        <v>0.09</v>
      </c>
      <c r="M2027" s="6">
        <f ca="1">IFERROR(__xludf.DUMMYFUNCTION("IFERROR(GOOGLEFINANCE(B2027,""change""),0)"),0)</f>
        <v>0</v>
      </c>
      <c r="N2027" s="6">
        <v>1</v>
      </c>
      <c r="O2027" s="7">
        <v>45536</v>
      </c>
      <c r="P2027" s="6">
        <v>1.93</v>
      </c>
      <c r="Q2027" s="7">
        <v>45536</v>
      </c>
      <c r="R2027" s="6">
        <v>9.66</v>
      </c>
      <c r="S2027" s="6">
        <v>0.35</v>
      </c>
      <c r="T2027" s="6">
        <v>1.97</v>
      </c>
      <c r="U2027" s="6">
        <v>1</v>
      </c>
      <c r="V2027" s="7">
        <v>45352</v>
      </c>
      <c r="W2027" s="10">
        <f ca="1">IFERROR(__xludf.DUMMYFUNCTION("IFERROR(GOOGLEFINANCE(B2027,""pe""),V2027)"),45352)</f>
        <v>45352</v>
      </c>
      <c r="X2027" s="6">
        <v>0</v>
      </c>
      <c r="Y2027" s="6">
        <v>18.649999999999999</v>
      </c>
      <c r="Z2027" s="6">
        <v>23.51</v>
      </c>
      <c r="AA2027" s="3" t="s">
        <v>6260</v>
      </c>
      <c r="AB2027" s="11"/>
      <c r="AC2027" s="9"/>
      <c r="AD2027" s="9"/>
      <c r="AE2027" s="1">
        <v>0</v>
      </c>
      <c r="AF2027" s="1">
        <f ca="1">IFERROR(__xludf.DUMMYFUNCTION("IFERROR(GOOGLEFINANCE(TRIM(F2027)&amp;"":"" &amp; TRIM(B2027),""high52""),AE2027)"),0)</f>
        <v>0</v>
      </c>
      <c r="AG2027" s="1">
        <v>0</v>
      </c>
      <c r="AH2027" s="1">
        <f ca="1">IFERROR(__xludf.DUMMYFUNCTION("IFERROR(GOOGLEFINANCE(TRIM(F2027)&amp;"":"" &amp; TRIM(B2027),""low52""),AE2027)"),0)</f>
        <v>0</v>
      </c>
      <c r="AI2027" s="1">
        <f ca="1">IFERROR(__xludf.DUMMYFUNCTION("IFERROR(GOOGLEFINANCE(B2027,""eps""),0)"),0)</f>
        <v>0</v>
      </c>
      <c r="AJ2027" s="1"/>
      <c r="AK2027" s="1" t="s">
        <v>6261</v>
      </c>
      <c r="AL2027" s="9">
        <f t="shared" si="227"/>
        <v>1</v>
      </c>
    </row>
    <row r="2028" spans="1:38" ht="15" x14ac:dyDescent="0.25">
      <c r="A2028" s="1" t="s">
        <v>6262</v>
      </c>
      <c r="B2028" s="1" t="s">
        <v>6263</v>
      </c>
      <c r="C2028" s="1" t="s">
        <v>259</v>
      </c>
      <c r="D2028" s="1" t="s">
        <v>259</v>
      </c>
      <c r="E2028" s="6">
        <v>191.14</v>
      </c>
      <c r="F2028" s="1" t="s">
        <v>40</v>
      </c>
      <c r="G2028" s="6">
        <f ca="1">IFERROR(__xludf.DUMMYFUNCTION("iferror(GOOGLEFINANCE(TRIM(F2028)&amp;"":"" &amp; TRIM(B2028), ""price""),0
)"),0)</f>
        <v>0</v>
      </c>
      <c r="H2028" s="6">
        <v>104</v>
      </c>
      <c r="I2028" s="6">
        <f t="shared" ca="1" si="0"/>
        <v>104</v>
      </c>
      <c r="J2028" s="6">
        <f ca="1">IFERROR(__xludf.DUMMYFUNCTION("IFERROR(GOOGLEFINANCE(B2028, ""volume""), 0)"),0)</f>
        <v>0</v>
      </c>
      <c r="K2028" s="6">
        <v>0.82</v>
      </c>
      <c r="L2028" s="6">
        <f ca="1">IFERROR(__xludf.DUMMYFUNCTION("IFERROR(GOOGLEFINANCE(B2028,""changepct""),K2028)"),0.82)</f>
        <v>0.82</v>
      </c>
      <c r="M2028" s="6">
        <f ca="1">IFERROR(__xludf.DUMMYFUNCTION("IFERROR(GOOGLEFINANCE(B2028,""change""),0)"),0)</f>
        <v>0</v>
      </c>
      <c r="N2028" s="6">
        <v>1</v>
      </c>
      <c r="O2028" s="7">
        <v>45352</v>
      </c>
      <c r="P2028" s="6">
        <v>67.2</v>
      </c>
      <c r="Q2028" s="6">
        <v>247.71</v>
      </c>
      <c r="R2028" s="7">
        <v>45352</v>
      </c>
      <c r="S2028" s="6">
        <v>1465.95</v>
      </c>
      <c r="T2028" s="6">
        <v>9.1</v>
      </c>
      <c r="U2028" s="7">
        <v>45352</v>
      </c>
      <c r="V2028" s="6">
        <v>21.01</v>
      </c>
      <c r="W2028" s="6">
        <f ca="1">IFERROR(__xludf.DUMMYFUNCTION("IFERROR(GOOGLEFINANCE(B2028,""pe""),V2028)"),21.01)</f>
        <v>21.01</v>
      </c>
      <c r="X2028" s="9"/>
      <c r="Y2028" s="6">
        <v>3.94</v>
      </c>
      <c r="Z2028" s="6">
        <v>2</v>
      </c>
      <c r="AA2028" s="8">
        <v>45352</v>
      </c>
      <c r="AB2028" s="4">
        <v>1.38</v>
      </c>
      <c r="AC2028" s="6">
        <v>26.79</v>
      </c>
      <c r="AD2028" s="6">
        <v>20.57</v>
      </c>
      <c r="AE2028" s="1">
        <v>0</v>
      </c>
      <c r="AF2028" s="1">
        <f ca="1">IFERROR(__xludf.DUMMYFUNCTION("IFERROR(GOOGLEFINANCE(TRIM(F2028)&amp;"":"" &amp; TRIM(B2028),""high52""),AE2028)"),0)</f>
        <v>0</v>
      </c>
      <c r="AG2028" s="1">
        <v>0</v>
      </c>
      <c r="AH2028" s="1">
        <f ca="1">IFERROR(__xludf.DUMMYFUNCTION("IFERROR(GOOGLEFINANCE(TRIM(F2028)&amp;"":"" &amp; TRIM(B2028),""low52""),AE2028)"),0)</f>
        <v>0</v>
      </c>
      <c r="AI2028" s="1">
        <f ca="1">IFERROR(__xludf.DUMMYFUNCTION("IFERROR(GOOGLEFINANCE(B2028,""eps""),0)"),0)</f>
        <v>0</v>
      </c>
      <c r="AJ2028" s="1"/>
      <c r="AK2028" s="1" t="s">
        <v>6264</v>
      </c>
      <c r="AL2028" s="9">
        <f t="shared" si="227"/>
        <v>1</v>
      </c>
    </row>
    <row r="2029" spans="1:38" ht="15" x14ac:dyDescent="0.25">
      <c r="A2029" s="1" t="s">
        <v>6265</v>
      </c>
      <c r="B2029" s="1" t="s">
        <v>6266</v>
      </c>
      <c r="C2029" s="1" t="s">
        <v>208</v>
      </c>
      <c r="D2029" s="1" t="s">
        <v>208</v>
      </c>
      <c r="E2029" s="6">
        <v>17.7</v>
      </c>
      <c r="F2029" s="1" t="s">
        <v>53</v>
      </c>
      <c r="G2029" s="6">
        <f ca="1">IFERROR(__xludf.DUMMYFUNCTION("iferror(GOOGLEFINANCE(TRIM(F2029)&amp;"":"" &amp; TRIM(B2029), ""price""),0
)"),0)</f>
        <v>0</v>
      </c>
      <c r="H2029" s="6">
        <v>35.5</v>
      </c>
      <c r="I2029" s="6">
        <f t="shared" ca="1" si="0"/>
        <v>35.5</v>
      </c>
      <c r="J2029" s="6">
        <f ca="1">IFERROR(__xludf.DUMMYFUNCTION("IFERROR(GOOGLEFINANCE(B2029, ""volume""), 0)"),0)</f>
        <v>0</v>
      </c>
      <c r="K2029" s="6">
        <v>6.86</v>
      </c>
      <c r="L2029" s="6">
        <f ca="1">IFERROR(__xludf.DUMMYFUNCTION("IFERROR(GOOGLEFINANCE(B2029,""changepct""),K2029)"),6.86)</f>
        <v>6.86</v>
      </c>
      <c r="M2029" s="6">
        <f ca="1">IFERROR(__xludf.DUMMYFUNCTION("IFERROR(GOOGLEFINANCE(B2029,""change""),0)"),0)</f>
        <v>0</v>
      </c>
      <c r="N2029" s="6">
        <v>1</v>
      </c>
      <c r="O2029" s="7">
        <v>45536</v>
      </c>
      <c r="P2029" s="6">
        <v>1.81</v>
      </c>
      <c r="Q2029" s="7">
        <v>45536</v>
      </c>
      <c r="R2029" s="6">
        <v>9.76</v>
      </c>
      <c r="S2029" s="6">
        <v>-2.0299999999999998</v>
      </c>
      <c r="T2029" s="6">
        <v>0.6</v>
      </c>
      <c r="U2029" s="6">
        <v>1</v>
      </c>
      <c r="V2029" s="7">
        <v>45352</v>
      </c>
      <c r="W2029" s="10">
        <f ca="1">IFERROR(__xludf.DUMMYFUNCTION("IFERROR(GOOGLEFINANCE(B2029,""pe""),V2029)"),45352)</f>
        <v>45352</v>
      </c>
      <c r="X2029" s="6">
        <v>0</v>
      </c>
      <c r="Y2029" s="6">
        <v>5.84</v>
      </c>
      <c r="Z2029" s="6">
        <v>7.38</v>
      </c>
      <c r="AA2029" s="3" t="s">
        <v>6267</v>
      </c>
      <c r="AB2029" s="11"/>
      <c r="AC2029" s="9"/>
      <c r="AD2029" s="9"/>
      <c r="AE2029" s="1">
        <v>0</v>
      </c>
      <c r="AF2029" s="1">
        <f ca="1">IFERROR(__xludf.DUMMYFUNCTION("IFERROR(GOOGLEFINANCE(TRIM(F2029)&amp;"":"" &amp; TRIM(B2029),""high52""),AE2029)"),0)</f>
        <v>0</v>
      </c>
      <c r="AG2029" s="1">
        <v>0</v>
      </c>
      <c r="AH2029" s="1">
        <f ca="1">IFERROR(__xludf.DUMMYFUNCTION("IFERROR(GOOGLEFINANCE(TRIM(F2029)&amp;"":"" &amp; TRIM(B2029),""low52""),AE2029)"),0)</f>
        <v>0</v>
      </c>
      <c r="AI2029" s="1">
        <f ca="1">IFERROR(__xludf.DUMMYFUNCTION("IFERROR(GOOGLEFINANCE(B2029,""eps""),0)"),0)</f>
        <v>0</v>
      </c>
      <c r="AJ2029" s="1"/>
      <c r="AK2029" s="1" t="s">
        <v>6268</v>
      </c>
      <c r="AL2029" s="9">
        <f t="shared" si="227"/>
        <v>1</v>
      </c>
    </row>
    <row r="2030" spans="1:38" ht="15" x14ac:dyDescent="0.25">
      <c r="A2030" s="1" t="s">
        <v>6269</v>
      </c>
      <c r="B2030" s="1" t="s">
        <v>6270</v>
      </c>
      <c r="C2030" s="1" t="s">
        <v>208</v>
      </c>
      <c r="D2030" s="1" t="s">
        <v>208</v>
      </c>
      <c r="E2030" s="6">
        <v>1689.88</v>
      </c>
      <c r="F2030" s="1" t="s">
        <v>53</v>
      </c>
      <c r="G2030" s="6">
        <f ca="1">IFERROR(__xludf.DUMMYFUNCTION("iferror(GOOGLEFINANCE(TRIM(F2030)&amp;"":"" &amp; TRIM(B2030), ""price""),0
)"),0)</f>
        <v>0</v>
      </c>
      <c r="H2030" s="6">
        <v>76.55</v>
      </c>
      <c r="I2030" s="6">
        <f t="shared" ca="1" si="0"/>
        <v>76.55</v>
      </c>
      <c r="J2030" s="6">
        <f ca="1">IFERROR(__xludf.DUMMYFUNCTION("IFERROR(GOOGLEFINANCE(B2030, ""volume""), 0)"),0)</f>
        <v>0</v>
      </c>
      <c r="K2030" s="6">
        <v>0.55000000000000004</v>
      </c>
      <c r="L2030" s="6">
        <f ca="1">IFERROR(__xludf.DUMMYFUNCTION("IFERROR(GOOGLEFINANCE(B2030,""changepct""),K2030)"),0.55)</f>
        <v>0.55000000000000004</v>
      </c>
      <c r="M2030" s="6">
        <f ca="1">IFERROR(__xludf.DUMMYFUNCTION("IFERROR(GOOGLEFINANCE(B2030,""change""),0)"),0)</f>
        <v>0</v>
      </c>
      <c r="N2030" s="6">
        <v>2</v>
      </c>
      <c r="O2030" s="7">
        <v>45536</v>
      </c>
      <c r="P2030" s="6">
        <v>205.23</v>
      </c>
      <c r="Q2030" s="7">
        <v>45536</v>
      </c>
      <c r="R2030" s="6">
        <v>9.82</v>
      </c>
      <c r="S2030" s="9"/>
      <c r="T2030" s="6">
        <v>1.34</v>
      </c>
      <c r="U2030" s="6">
        <v>2</v>
      </c>
      <c r="V2030" s="7">
        <v>45352</v>
      </c>
      <c r="W2030" s="10">
        <f ca="1">IFERROR(__xludf.DUMMYFUNCTION("IFERROR(GOOGLEFINANCE(B2030,""pe""),V2030)"),45352)</f>
        <v>45352</v>
      </c>
      <c r="X2030" s="6">
        <v>0.06</v>
      </c>
      <c r="Y2030" s="6">
        <v>22.35</v>
      </c>
      <c r="Z2030" s="6">
        <v>28.75</v>
      </c>
      <c r="AA2030" s="3" t="s">
        <v>6271</v>
      </c>
      <c r="AB2030" s="11"/>
      <c r="AC2030" s="9"/>
      <c r="AD2030" s="9"/>
      <c r="AE2030" s="1">
        <v>0</v>
      </c>
      <c r="AF2030" s="1">
        <f ca="1">IFERROR(__xludf.DUMMYFUNCTION("IFERROR(GOOGLEFINANCE(TRIM(F2030)&amp;"":"" &amp; TRIM(B2030),""high52""),AE2030)"),0)</f>
        <v>0</v>
      </c>
      <c r="AG2030" s="1">
        <v>0</v>
      </c>
      <c r="AH2030" s="1">
        <f ca="1">IFERROR(__xludf.DUMMYFUNCTION("IFERROR(GOOGLEFINANCE(TRIM(F2030)&amp;"":"" &amp; TRIM(B2030),""low52""),AE2030)"),0)</f>
        <v>0</v>
      </c>
      <c r="AI2030" s="1">
        <f ca="1">IFERROR(__xludf.DUMMYFUNCTION("IFERROR(GOOGLEFINANCE(B2030,""eps""),0)"),0)</f>
        <v>0</v>
      </c>
      <c r="AJ2030" s="1"/>
      <c r="AK2030" s="1" t="s">
        <v>6272</v>
      </c>
      <c r="AL2030" s="9">
        <f t="shared" si="227"/>
        <v>1</v>
      </c>
    </row>
    <row r="2031" spans="1:38" ht="15" x14ac:dyDescent="0.25">
      <c r="A2031" s="1" t="s">
        <v>6273</v>
      </c>
      <c r="B2031" s="1" t="s">
        <v>6274</v>
      </c>
      <c r="C2031" s="1" t="s">
        <v>208</v>
      </c>
      <c r="D2031" s="1" t="s">
        <v>208</v>
      </c>
      <c r="E2031" s="6">
        <v>24.18</v>
      </c>
      <c r="F2031" s="1" t="s">
        <v>53</v>
      </c>
      <c r="G2031" s="6">
        <f ca="1">IFERROR(__xludf.DUMMYFUNCTION("iferror(GOOGLEFINANCE(TRIM(F2031)&amp;"":"" &amp; TRIM(B2031), ""price""),0
)"),0)</f>
        <v>0</v>
      </c>
      <c r="H2031" s="6">
        <v>18.23</v>
      </c>
      <c r="I2031" s="6">
        <f t="shared" ca="1" si="0"/>
        <v>18.23</v>
      </c>
      <c r="J2031" s="6">
        <f ca="1">IFERROR(__xludf.DUMMYFUNCTION("IFERROR(GOOGLEFINANCE(B2031, ""volume""), 0)"),0)</f>
        <v>0</v>
      </c>
      <c r="K2031" s="6">
        <v>-1.99</v>
      </c>
      <c r="L2031" s="6">
        <f ca="1">IFERROR(__xludf.DUMMYFUNCTION("IFERROR(GOOGLEFINANCE(B2031,""changepct""),K2031)"),-1.99)</f>
        <v>-1.99</v>
      </c>
      <c r="M2031" s="6">
        <f ca="1">IFERROR(__xludf.DUMMYFUNCTION("IFERROR(GOOGLEFINANCE(B2031,""change""),0)"),0)</f>
        <v>0</v>
      </c>
      <c r="N2031" s="6">
        <v>1</v>
      </c>
      <c r="O2031" s="7">
        <v>45536</v>
      </c>
      <c r="P2031" s="6">
        <v>2.46</v>
      </c>
      <c r="Q2031" s="7">
        <v>45536</v>
      </c>
      <c r="R2031" s="6">
        <v>9.83</v>
      </c>
      <c r="S2031" s="6">
        <v>0.28000000000000003</v>
      </c>
      <c r="T2031" s="6">
        <v>0.76</v>
      </c>
      <c r="U2031" s="6">
        <v>1</v>
      </c>
      <c r="V2031" s="7">
        <v>45352</v>
      </c>
      <c r="W2031" s="10">
        <f ca="1">IFERROR(__xludf.DUMMYFUNCTION("IFERROR(GOOGLEFINANCE(B2031,""pe""),V2031)"),45352)</f>
        <v>45352</v>
      </c>
      <c r="X2031" s="6">
        <v>0</v>
      </c>
      <c r="Y2031" s="6">
        <v>7.24</v>
      </c>
      <c r="Z2031" s="6">
        <v>51.82</v>
      </c>
      <c r="AA2031" s="3" t="s">
        <v>6275</v>
      </c>
      <c r="AB2031" s="11"/>
      <c r="AC2031" s="9"/>
      <c r="AD2031" s="9"/>
      <c r="AE2031" s="1">
        <v>0</v>
      </c>
      <c r="AF2031" s="1">
        <f ca="1">IFERROR(__xludf.DUMMYFUNCTION("IFERROR(GOOGLEFINANCE(TRIM(F2031)&amp;"":"" &amp; TRIM(B2031),""high52""),AE2031)"),0)</f>
        <v>0</v>
      </c>
      <c r="AG2031" s="1">
        <v>0</v>
      </c>
      <c r="AH2031" s="1">
        <f ca="1">IFERROR(__xludf.DUMMYFUNCTION("IFERROR(GOOGLEFINANCE(TRIM(F2031)&amp;"":"" &amp; TRIM(B2031),""low52""),AE2031)"),0)</f>
        <v>0</v>
      </c>
      <c r="AI2031" s="1">
        <f ca="1">IFERROR(__xludf.DUMMYFUNCTION("IFERROR(GOOGLEFINANCE(B2031,""eps""),0)"),0)</f>
        <v>0</v>
      </c>
      <c r="AJ2031" s="1"/>
      <c r="AK2031" s="1" t="s">
        <v>6276</v>
      </c>
      <c r="AL2031" s="9">
        <f t="shared" si="227"/>
        <v>1</v>
      </c>
    </row>
    <row r="2032" spans="1:38" ht="15" x14ac:dyDescent="0.25">
      <c r="A2032" s="1" t="s">
        <v>6277</v>
      </c>
      <c r="B2032" s="1" t="s">
        <v>6278</v>
      </c>
      <c r="C2032" s="1" t="s">
        <v>99</v>
      </c>
      <c r="D2032" s="1" t="s">
        <v>99</v>
      </c>
      <c r="E2032" s="1" t="s">
        <v>99</v>
      </c>
      <c r="F2032" s="1" t="s">
        <v>40</v>
      </c>
      <c r="G2032" s="6">
        <f ca="1">IFERROR(__xludf.DUMMYFUNCTION("iferror(GOOGLEFINANCE(TRIM(F2032)&amp;"":"" &amp; TRIM(B2032), ""price""),0
)"),910)</f>
        <v>910</v>
      </c>
      <c r="H2032" s="6">
        <v>873</v>
      </c>
      <c r="I2032" s="6">
        <f t="shared" ca="1" si="0"/>
        <v>910</v>
      </c>
      <c r="J2032" s="6">
        <f ca="1">IFERROR(__xludf.DUMMYFUNCTION("IFERROR(GOOGLEFINANCE(B2032, ""volume""), 0)"),79556)</f>
        <v>79556</v>
      </c>
      <c r="K2032" s="6">
        <v>-0.31</v>
      </c>
      <c r="L2032" s="6">
        <f ca="1">IFERROR(__xludf.DUMMYFUNCTION("IFERROR(GOOGLEFINANCE(B2032,""changepct""),K2032)"),2.43)</f>
        <v>2.4300000000000002</v>
      </c>
      <c r="M2032" s="6">
        <f ca="1">IFERROR(__xludf.DUMMYFUNCTION("IFERROR(GOOGLEFINANCE(B2032,""change""),0)"),21.6)</f>
        <v>21.6</v>
      </c>
      <c r="N2032" s="6">
        <v>2</v>
      </c>
      <c r="O2032" s="7">
        <v>45536</v>
      </c>
      <c r="P2032" s="9"/>
      <c r="Q2032" s="6">
        <v>4497.2700000000004</v>
      </c>
      <c r="R2032" s="7">
        <v>45536</v>
      </c>
      <c r="S2032" s="6">
        <v>1181.6500000000001</v>
      </c>
      <c r="T2032" s="6">
        <v>300.95</v>
      </c>
      <c r="U2032" s="7">
        <v>45536</v>
      </c>
      <c r="V2032" s="6">
        <v>15</v>
      </c>
      <c r="W2032" s="6">
        <f ca="1">IFERROR(__xludf.DUMMYFUNCTION("IFERROR(GOOGLEFINANCE(B2032,""pe""),V2032)"),15.37)</f>
        <v>15.37</v>
      </c>
      <c r="X2032" s="6">
        <v>2.29</v>
      </c>
      <c r="Y2032" s="6">
        <v>2.91</v>
      </c>
      <c r="Z2032" s="6">
        <v>2</v>
      </c>
      <c r="AA2032" s="8">
        <v>45352</v>
      </c>
      <c r="AB2032" s="4">
        <v>0</v>
      </c>
      <c r="AC2032" s="6">
        <v>23.09</v>
      </c>
      <c r="AD2032" s="6">
        <v>24.71</v>
      </c>
      <c r="AE2032" s="1">
        <v>0</v>
      </c>
      <c r="AF2032" s="1">
        <f ca="1">IFERROR(__xludf.DUMMYFUNCTION("IFERROR(GOOGLEFINANCE(TRIM(F2032)&amp;"":"" &amp; TRIM(B2032),""high52""),AE2032)"),1602)</f>
        <v>1602</v>
      </c>
      <c r="AG2032" s="1">
        <v>0</v>
      </c>
      <c r="AH2032" s="1">
        <f ca="1">IFERROR(__xludf.DUMMYFUNCTION("IFERROR(GOOGLEFINANCE(TRIM(F2032)&amp;"":"" &amp; TRIM(B2032),""low52""),AE2032)"),797)</f>
        <v>797</v>
      </c>
      <c r="AI2032" s="1">
        <f ca="1">IFERROR(__xludf.DUMMYFUNCTION("IFERROR(GOOGLEFINANCE(B2032,""eps""),0)"),59.22)</f>
        <v>59.22</v>
      </c>
      <c r="AJ2032" s="1"/>
      <c r="AK2032" s="1" t="s">
        <v>6279</v>
      </c>
      <c r="AL2032" s="1" t="b">
        <f>ISNUMBER(AA2032)</f>
        <v>1</v>
      </c>
    </row>
    <row r="2033" spans="1:38" ht="15" x14ac:dyDescent="0.25">
      <c r="A2033" s="1" t="s">
        <v>6280</v>
      </c>
      <c r="B2033" s="1" t="s">
        <v>6281</v>
      </c>
      <c r="C2033" s="1" t="s">
        <v>1129</v>
      </c>
      <c r="D2033" s="1" t="s">
        <v>1129</v>
      </c>
      <c r="E2033" s="6">
        <v>161.13999999999999</v>
      </c>
      <c r="F2033" s="1" t="s">
        <v>40</v>
      </c>
      <c r="G2033" s="6">
        <f ca="1">IFERROR(__xludf.DUMMYFUNCTION("iferror(GOOGLEFINANCE(TRIM(F2033)&amp;"":"" &amp; TRIM(B2033), ""price""),0
)"),0)</f>
        <v>0</v>
      </c>
      <c r="H2033" s="6">
        <v>63.32</v>
      </c>
      <c r="I2033" s="6">
        <f t="shared" ca="1" si="0"/>
        <v>63.32</v>
      </c>
      <c r="J2033" s="6">
        <f ca="1">IFERROR(__xludf.DUMMYFUNCTION("IFERROR(GOOGLEFINANCE(B2033, ""volume""), 0)"),0)</f>
        <v>0</v>
      </c>
      <c r="K2033" s="6">
        <v>-2.0099999999999998</v>
      </c>
      <c r="L2033" s="6">
        <f ca="1">IFERROR(__xludf.DUMMYFUNCTION("IFERROR(GOOGLEFINANCE(B2033,""changepct""),K2033)"),-2.01)</f>
        <v>-2.0099999999999998</v>
      </c>
      <c r="M2033" s="6">
        <f ca="1">IFERROR(__xludf.DUMMYFUNCTION("IFERROR(GOOGLEFINANCE(B2033,""change""),0)"),0)</f>
        <v>0</v>
      </c>
      <c r="N2033" s="6">
        <v>2</v>
      </c>
      <c r="O2033" s="7">
        <v>45536</v>
      </c>
      <c r="P2033" s="6">
        <v>5.84</v>
      </c>
      <c r="Q2033" s="6">
        <v>166.98</v>
      </c>
      <c r="R2033" s="7">
        <v>45536</v>
      </c>
      <c r="S2033" s="6">
        <v>2.72</v>
      </c>
      <c r="T2033" s="6">
        <v>-0.24</v>
      </c>
      <c r="U2033" s="7">
        <v>45536</v>
      </c>
      <c r="V2033" s="6">
        <v>0</v>
      </c>
      <c r="W2033" s="6">
        <f ca="1">IFERROR(__xludf.DUMMYFUNCTION("IFERROR(GOOGLEFINANCE(B2033,""pe""),V2033)"),0)</f>
        <v>0</v>
      </c>
      <c r="X2033" s="12"/>
      <c r="Y2033" s="6">
        <v>3.08</v>
      </c>
      <c r="Z2033" s="6">
        <v>2</v>
      </c>
      <c r="AA2033" s="8">
        <v>45352</v>
      </c>
      <c r="AB2033" s="4">
        <v>0</v>
      </c>
      <c r="AC2033" s="6">
        <v>-2.69</v>
      </c>
      <c r="AD2033" s="6">
        <v>-2.63</v>
      </c>
      <c r="AE2033" s="1">
        <v>0</v>
      </c>
      <c r="AF2033" s="1">
        <f ca="1">IFERROR(__xludf.DUMMYFUNCTION("IFERROR(GOOGLEFINANCE(TRIM(F2033)&amp;"":"" &amp; TRIM(B2033),""high52""),AE2033)"),0)</f>
        <v>0</v>
      </c>
      <c r="AG2033" s="1">
        <v>0</v>
      </c>
      <c r="AH2033" s="1">
        <f ca="1">IFERROR(__xludf.DUMMYFUNCTION("IFERROR(GOOGLEFINANCE(TRIM(F2033)&amp;"":"" &amp; TRIM(B2033),""low52""),AE2033)"),0)</f>
        <v>0</v>
      </c>
      <c r="AI2033" s="1">
        <f ca="1">IFERROR(__xludf.DUMMYFUNCTION("IFERROR(GOOGLEFINANCE(B2033,""eps""),0)"),0)</f>
        <v>0</v>
      </c>
      <c r="AJ2033" s="1"/>
      <c r="AK2033" s="1" t="s">
        <v>6282</v>
      </c>
      <c r="AL2033" s="9">
        <f t="shared" ref="AL2033:AL2051" si="228">IF(AA2033&lt;&gt;AB2033,1,0)</f>
        <v>1</v>
      </c>
    </row>
    <row r="2034" spans="1:38" ht="15" x14ac:dyDescent="0.25">
      <c r="A2034" s="1" t="s">
        <v>6283</v>
      </c>
      <c r="B2034" s="1" t="s">
        <v>6284</v>
      </c>
      <c r="C2034" s="1" t="s">
        <v>208</v>
      </c>
      <c r="D2034" s="1" t="s">
        <v>208</v>
      </c>
      <c r="E2034" s="6">
        <v>7.37</v>
      </c>
      <c r="F2034" s="1" t="s">
        <v>53</v>
      </c>
      <c r="G2034" s="6">
        <f ca="1">IFERROR(__xludf.DUMMYFUNCTION("iferror(GOOGLEFINANCE(TRIM(F2034)&amp;"":"" &amp; TRIM(B2034), ""price""),0
)"),0)</f>
        <v>0</v>
      </c>
      <c r="H2034" s="6">
        <v>1.57</v>
      </c>
      <c r="I2034" s="6">
        <f t="shared" ca="1" si="0"/>
        <v>1.57</v>
      </c>
      <c r="J2034" s="6">
        <f ca="1">IFERROR(__xludf.DUMMYFUNCTION("IFERROR(GOOGLEFINANCE(B2034, ""volume""), 0)"),0)</f>
        <v>0</v>
      </c>
      <c r="K2034" s="6">
        <v>0</v>
      </c>
      <c r="L2034" s="6">
        <f ca="1">IFERROR(__xludf.DUMMYFUNCTION("IFERROR(GOOGLEFINANCE(B2034,""changepct""),K2034)"),0)</f>
        <v>0</v>
      </c>
      <c r="M2034" s="6">
        <f ca="1">IFERROR(__xludf.DUMMYFUNCTION("IFERROR(GOOGLEFINANCE(B2034,""change""),0)"),0)</f>
        <v>0</v>
      </c>
      <c r="N2034" s="6">
        <v>1</v>
      </c>
      <c r="O2034" s="7">
        <v>45536</v>
      </c>
      <c r="P2034" s="6">
        <v>0.68</v>
      </c>
      <c r="Q2034" s="7">
        <v>45536</v>
      </c>
      <c r="R2034" s="6">
        <v>10.76</v>
      </c>
      <c r="S2034" s="6">
        <v>0.44</v>
      </c>
      <c r="T2034" s="6">
        <v>2.08</v>
      </c>
      <c r="U2034" s="6">
        <v>1</v>
      </c>
      <c r="V2034" s="7">
        <v>45352</v>
      </c>
      <c r="W2034" s="10">
        <f ca="1">IFERROR(__xludf.DUMMYFUNCTION("IFERROR(GOOGLEFINANCE(B2034,""pe""),V2034)"),45352)</f>
        <v>45352</v>
      </c>
      <c r="X2034" s="6">
        <v>0.35</v>
      </c>
      <c r="Y2034" s="6">
        <v>21.49</v>
      </c>
      <c r="Z2034" s="6">
        <v>22.6</v>
      </c>
      <c r="AA2034" s="3" t="s">
        <v>6285</v>
      </c>
      <c r="AB2034" s="11"/>
      <c r="AC2034" s="9"/>
      <c r="AD2034" s="9"/>
      <c r="AE2034" s="1">
        <v>0</v>
      </c>
      <c r="AF2034" s="1">
        <f ca="1">IFERROR(__xludf.DUMMYFUNCTION("IFERROR(GOOGLEFINANCE(TRIM(F2034)&amp;"":"" &amp; TRIM(B2034),""high52""),AE2034)"),0)</f>
        <v>0</v>
      </c>
      <c r="AG2034" s="1">
        <v>0</v>
      </c>
      <c r="AH2034" s="1">
        <f ca="1">IFERROR(__xludf.DUMMYFUNCTION("IFERROR(GOOGLEFINANCE(TRIM(F2034)&amp;"":"" &amp; TRIM(B2034),""low52""),AE2034)"),0)</f>
        <v>0</v>
      </c>
      <c r="AI2034" s="1">
        <f ca="1">IFERROR(__xludf.DUMMYFUNCTION("IFERROR(GOOGLEFINANCE(B2034,""eps""),0)"),0)</f>
        <v>0</v>
      </c>
      <c r="AJ2034" s="1"/>
      <c r="AK2034" s="1" t="s">
        <v>6286</v>
      </c>
      <c r="AL2034" s="9">
        <f t="shared" si="228"/>
        <v>1</v>
      </c>
    </row>
    <row r="2035" spans="1:38" ht="15" x14ac:dyDescent="0.25">
      <c r="A2035" s="1" t="s">
        <v>6287</v>
      </c>
      <c r="B2035" s="1" t="s">
        <v>6288</v>
      </c>
      <c r="C2035" s="1" t="s">
        <v>208</v>
      </c>
      <c r="D2035" s="1" t="s">
        <v>208</v>
      </c>
      <c r="E2035" s="6">
        <v>15.28</v>
      </c>
      <c r="F2035" s="1" t="s">
        <v>53</v>
      </c>
      <c r="G2035" s="6">
        <f ca="1">IFERROR(__xludf.DUMMYFUNCTION("iferror(GOOGLEFINANCE(TRIM(F2035)&amp;"":"" &amp; TRIM(B2035), ""price""),0
)"),0)</f>
        <v>0</v>
      </c>
      <c r="H2035" s="6">
        <v>17.920000000000002</v>
      </c>
      <c r="I2035" s="6">
        <f t="shared" ca="1" si="0"/>
        <v>17.920000000000002</v>
      </c>
      <c r="J2035" s="6">
        <f ca="1">IFERROR(__xludf.DUMMYFUNCTION("IFERROR(GOOGLEFINANCE(B2035, ""volume""), 0)"),0)</f>
        <v>0</v>
      </c>
      <c r="K2035" s="6">
        <v>-1.97</v>
      </c>
      <c r="L2035" s="6">
        <f ca="1">IFERROR(__xludf.DUMMYFUNCTION("IFERROR(GOOGLEFINANCE(B2035,""changepct""),K2035)"),-1.97)</f>
        <v>-1.97</v>
      </c>
      <c r="M2035" s="6">
        <f ca="1">IFERROR(__xludf.DUMMYFUNCTION("IFERROR(GOOGLEFINANCE(B2035,""change""),0)"),0)</f>
        <v>0</v>
      </c>
      <c r="N2035" s="6">
        <v>1</v>
      </c>
      <c r="O2035" s="7">
        <v>45536</v>
      </c>
      <c r="P2035" s="6">
        <v>1.4</v>
      </c>
      <c r="Q2035" s="7">
        <v>45536</v>
      </c>
      <c r="R2035" s="6">
        <v>10.89</v>
      </c>
      <c r="S2035" s="6">
        <v>0.79</v>
      </c>
      <c r="T2035" s="6">
        <v>-0.04</v>
      </c>
      <c r="U2035" s="6">
        <v>1</v>
      </c>
      <c r="V2035" s="7">
        <v>45352</v>
      </c>
      <c r="W2035" s="10">
        <f ca="1">IFERROR(__xludf.DUMMYFUNCTION("IFERROR(GOOGLEFINANCE(B2035,""pe""),V2035)"),45352)</f>
        <v>45352</v>
      </c>
      <c r="X2035" s="6">
        <v>-1.34</v>
      </c>
      <c r="Y2035" s="6">
        <v>0</v>
      </c>
      <c r="Z2035" s="6">
        <v>-3.76</v>
      </c>
      <c r="AA2035" s="3" t="s">
        <v>6289</v>
      </c>
      <c r="AB2035" s="11"/>
      <c r="AC2035" s="9"/>
      <c r="AD2035" s="9"/>
      <c r="AE2035" s="1">
        <v>0</v>
      </c>
      <c r="AF2035" s="1">
        <f ca="1">IFERROR(__xludf.DUMMYFUNCTION("IFERROR(GOOGLEFINANCE(TRIM(F2035)&amp;"":"" &amp; TRIM(B2035),""high52""),AE2035)"),0)</f>
        <v>0</v>
      </c>
      <c r="AG2035" s="1">
        <v>0</v>
      </c>
      <c r="AH2035" s="1">
        <f ca="1">IFERROR(__xludf.DUMMYFUNCTION("IFERROR(GOOGLEFINANCE(TRIM(F2035)&amp;"":"" &amp; TRIM(B2035),""low52""),AE2035)"),0)</f>
        <v>0</v>
      </c>
      <c r="AI2035" s="1">
        <f ca="1">IFERROR(__xludf.DUMMYFUNCTION("IFERROR(GOOGLEFINANCE(B2035,""eps""),0)"),0)</f>
        <v>0</v>
      </c>
      <c r="AJ2035" s="1"/>
      <c r="AK2035" s="1" t="s">
        <v>6290</v>
      </c>
      <c r="AL2035" s="9">
        <f t="shared" si="228"/>
        <v>1</v>
      </c>
    </row>
    <row r="2036" spans="1:38" ht="15" x14ac:dyDescent="0.25">
      <c r="A2036" s="1" t="s">
        <v>6291</v>
      </c>
      <c r="B2036" s="1" t="s">
        <v>6292</v>
      </c>
      <c r="C2036" s="1" t="s">
        <v>208</v>
      </c>
      <c r="D2036" s="1" t="s">
        <v>208</v>
      </c>
      <c r="E2036" s="6">
        <v>25.3</v>
      </c>
      <c r="F2036" s="1" t="s">
        <v>53</v>
      </c>
      <c r="G2036" s="6">
        <f ca="1">IFERROR(__xludf.DUMMYFUNCTION("iferror(GOOGLEFINANCE(TRIM(F2036)&amp;"":"" &amp; TRIM(B2036), ""price""),0
)"),0)</f>
        <v>0</v>
      </c>
      <c r="H2036" s="6">
        <v>71.58</v>
      </c>
      <c r="I2036" s="6">
        <f t="shared" ca="1" si="0"/>
        <v>71.58</v>
      </c>
      <c r="J2036" s="6">
        <f ca="1">IFERROR(__xludf.DUMMYFUNCTION("IFERROR(GOOGLEFINANCE(B2036, ""volume""), 0)"),0)</f>
        <v>0</v>
      </c>
      <c r="K2036" s="9"/>
      <c r="L2036" s="6" t="str">
        <f ca="1">IFERROR(__xludf.DUMMYFUNCTION("IFERROR(GOOGLEFINANCE(B2036,""changepct""),K2036)"),"")</f>
        <v/>
      </c>
      <c r="M2036" s="6">
        <f ca="1">IFERROR(__xludf.DUMMYFUNCTION("IFERROR(GOOGLEFINANCE(B2036,""change""),0)"),0)</f>
        <v>0</v>
      </c>
      <c r="N2036" s="6">
        <v>1</v>
      </c>
      <c r="O2036" s="7">
        <v>45536</v>
      </c>
      <c r="P2036" s="6">
        <v>2.2599999999999998</v>
      </c>
      <c r="Q2036" s="7">
        <v>45536</v>
      </c>
      <c r="R2036" s="6">
        <v>11.18</v>
      </c>
      <c r="S2036" s="6">
        <v>-0.84</v>
      </c>
      <c r="T2036" s="6">
        <v>0.7</v>
      </c>
      <c r="U2036" s="6">
        <v>1</v>
      </c>
      <c r="V2036" s="7">
        <v>45352</v>
      </c>
      <c r="W2036" s="10">
        <f ca="1">IFERROR(__xludf.DUMMYFUNCTION("IFERROR(GOOGLEFINANCE(B2036,""pe""),V2036)"),45352)</f>
        <v>45352</v>
      </c>
      <c r="X2036" s="6">
        <v>0.93</v>
      </c>
      <c r="Y2036" s="6">
        <v>6.17</v>
      </c>
      <c r="Z2036" s="6">
        <v>8.84</v>
      </c>
      <c r="AA2036" s="3" t="s">
        <v>6293</v>
      </c>
      <c r="AB2036" s="11"/>
      <c r="AC2036" s="9"/>
      <c r="AD2036" s="9"/>
      <c r="AE2036" s="1">
        <v>0</v>
      </c>
      <c r="AF2036" s="1">
        <f ca="1">IFERROR(__xludf.DUMMYFUNCTION("IFERROR(GOOGLEFINANCE(TRIM(F2036)&amp;"":"" &amp; TRIM(B2036),""high52""),AE2036)"),0)</f>
        <v>0</v>
      </c>
      <c r="AG2036" s="1">
        <v>0</v>
      </c>
      <c r="AH2036" s="1">
        <f ca="1">IFERROR(__xludf.DUMMYFUNCTION("IFERROR(GOOGLEFINANCE(TRIM(F2036)&amp;"":"" &amp; TRIM(B2036),""low52""),AE2036)"),0)</f>
        <v>0</v>
      </c>
      <c r="AI2036" s="1">
        <f ca="1">IFERROR(__xludf.DUMMYFUNCTION("IFERROR(GOOGLEFINANCE(B2036,""eps""),0)"),0)</f>
        <v>0</v>
      </c>
      <c r="AJ2036" s="1"/>
      <c r="AK2036" s="9"/>
      <c r="AL2036" s="9">
        <f t="shared" si="228"/>
        <v>1</v>
      </c>
    </row>
    <row r="2037" spans="1:38" ht="15" x14ac:dyDescent="0.25">
      <c r="A2037" s="1" t="s">
        <v>6294</v>
      </c>
      <c r="B2037" s="1" t="s">
        <v>6295</v>
      </c>
      <c r="C2037" s="1" t="s">
        <v>208</v>
      </c>
      <c r="D2037" s="1" t="s">
        <v>208</v>
      </c>
      <c r="E2037" s="6">
        <v>45.28</v>
      </c>
      <c r="F2037" s="1" t="s">
        <v>53</v>
      </c>
      <c r="G2037" s="6">
        <f ca="1">IFERROR(__xludf.DUMMYFUNCTION("iferror(GOOGLEFINANCE(TRIM(F2037)&amp;"":"" &amp; TRIM(B2037), ""price""),0
)"),0)</f>
        <v>0</v>
      </c>
      <c r="H2037" s="6">
        <v>70</v>
      </c>
      <c r="I2037" s="6">
        <f t="shared" ca="1" si="0"/>
        <v>70</v>
      </c>
      <c r="J2037" s="6">
        <f ca="1">IFERROR(__xludf.DUMMYFUNCTION("IFERROR(GOOGLEFINANCE(B2037, ""volume""), 0)"),0)</f>
        <v>0</v>
      </c>
      <c r="K2037" s="6">
        <v>1.39</v>
      </c>
      <c r="L2037" s="6">
        <f ca="1">IFERROR(__xludf.DUMMYFUNCTION("IFERROR(GOOGLEFINANCE(B2037,""changepct""),K2037)"),1.39)</f>
        <v>1.39</v>
      </c>
      <c r="M2037" s="6">
        <f ca="1">IFERROR(__xludf.DUMMYFUNCTION("IFERROR(GOOGLEFINANCE(B2037,""change""),0)"),0)</f>
        <v>0</v>
      </c>
      <c r="N2037" s="6">
        <v>1</v>
      </c>
      <c r="O2037" s="7">
        <v>45536</v>
      </c>
      <c r="P2037" s="6">
        <v>3.99</v>
      </c>
      <c r="Q2037" s="7">
        <v>45536</v>
      </c>
      <c r="R2037" s="6">
        <v>11.34</v>
      </c>
      <c r="S2037" s="6">
        <v>0.65</v>
      </c>
      <c r="T2037" s="6">
        <v>1.35</v>
      </c>
      <c r="U2037" s="6">
        <v>1</v>
      </c>
      <c r="V2037" s="7">
        <v>45352</v>
      </c>
      <c r="W2037" s="10">
        <f ca="1">IFERROR(__xludf.DUMMYFUNCTION("IFERROR(GOOGLEFINANCE(B2037,""pe""),V2037)"),45352)</f>
        <v>45352</v>
      </c>
      <c r="X2037" s="6">
        <v>0.12</v>
      </c>
      <c r="Y2037" s="6">
        <v>13</v>
      </c>
      <c r="Z2037" s="6">
        <v>17.43</v>
      </c>
      <c r="AA2037" s="3" t="s">
        <v>6296</v>
      </c>
      <c r="AB2037" s="11"/>
      <c r="AC2037" s="9"/>
      <c r="AD2037" s="9"/>
      <c r="AE2037" s="1">
        <v>0</v>
      </c>
      <c r="AF2037" s="1">
        <f ca="1">IFERROR(__xludf.DUMMYFUNCTION("IFERROR(GOOGLEFINANCE(TRIM(F2037)&amp;"":"" &amp; TRIM(B2037),""high52""),AE2037)"),0)</f>
        <v>0</v>
      </c>
      <c r="AG2037" s="1">
        <v>0</v>
      </c>
      <c r="AH2037" s="1">
        <f ca="1">IFERROR(__xludf.DUMMYFUNCTION("IFERROR(GOOGLEFINANCE(TRIM(F2037)&amp;"":"" &amp; TRIM(B2037),""low52""),AE2037)"),0)</f>
        <v>0</v>
      </c>
      <c r="AI2037" s="1">
        <f ca="1">IFERROR(__xludf.DUMMYFUNCTION("IFERROR(GOOGLEFINANCE(B2037,""eps""),0)"),0)</f>
        <v>0</v>
      </c>
      <c r="AJ2037" s="1"/>
      <c r="AK2037" s="9"/>
      <c r="AL2037" s="9">
        <f t="shared" si="228"/>
        <v>1</v>
      </c>
    </row>
    <row r="2038" spans="1:38" ht="15" x14ac:dyDescent="0.25">
      <c r="A2038" s="1" t="s">
        <v>6297</v>
      </c>
      <c r="B2038" s="1" t="s">
        <v>6298</v>
      </c>
      <c r="C2038" s="1" t="s">
        <v>86</v>
      </c>
      <c r="D2038" s="1" t="s">
        <v>86</v>
      </c>
      <c r="E2038" s="6">
        <v>383.05</v>
      </c>
      <c r="F2038" s="1" t="s">
        <v>40</v>
      </c>
      <c r="G2038" s="6">
        <f ca="1">IFERROR(__xludf.DUMMYFUNCTION("iferror(GOOGLEFINANCE(TRIM(F2038)&amp;"":"" &amp; TRIM(B2038), ""price""),0
)"),0)</f>
        <v>0</v>
      </c>
      <c r="H2038" s="6">
        <v>336.1</v>
      </c>
      <c r="I2038" s="6">
        <f t="shared" ca="1" si="0"/>
        <v>336.1</v>
      </c>
      <c r="J2038" s="6">
        <f ca="1">IFERROR(__xludf.DUMMYFUNCTION("IFERROR(GOOGLEFINANCE(B2038, ""volume""), 0)"),0)</f>
        <v>0</v>
      </c>
      <c r="K2038" s="6">
        <v>-3.83</v>
      </c>
      <c r="L2038" s="6">
        <f ca="1">IFERROR(__xludf.DUMMYFUNCTION("IFERROR(GOOGLEFINANCE(B2038,""changepct""),K2038)"),-3.83)</f>
        <v>-3.83</v>
      </c>
      <c r="M2038" s="6">
        <f ca="1">IFERROR(__xludf.DUMMYFUNCTION("IFERROR(GOOGLEFINANCE(B2038,""change""),0)"),0)</f>
        <v>0</v>
      </c>
      <c r="N2038" s="6">
        <v>1</v>
      </c>
      <c r="O2038" s="7">
        <v>45536</v>
      </c>
      <c r="P2038" s="6">
        <v>30.23</v>
      </c>
      <c r="Q2038" s="6">
        <v>413.28</v>
      </c>
      <c r="R2038" s="7">
        <v>45352</v>
      </c>
      <c r="S2038" s="6">
        <v>64.459999999999994</v>
      </c>
      <c r="T2038" s="6">
        <v>6.54</v>
      </c>
      <c r="U2038" s="7">
        <v>45352</v>
      </c>
      <c r="V2038" s="6">
        <v>58.52</v>
      </c>
      <c r="W2038" s="6">
        <f ca="1">IFERROR(__xludf.DUMMYFUNCTION("IFERROR(GOOGLEFINANCE(B2038,""pe""),V2038)"),58.52)</f>
        <v>58.52</v>
      </c>
      <c r="X2038" s="12"/>
      <c r="Y2038" s="6">
        <v>8.58</v>
      </c>
      <c r="Z2038" s="6">
        <v>1</v>
      </c>
      <c r="AA2038" s="17">
        <v>45352</v>
      </c>
      <c r="AB2038" s="18">
        <v>0.59</v>
      </c>
      <c r="AC2038" s="6">
        <v>19.600000000000001</v>
      </c>
      <c r="AD2038" s="6">
        <v>22.07</v>
      </c>
      <c r="AE2038" s="1">
        <v>0</v>
      </c>
      <c r="AF2038" s="1">
        <f ca="1">IFERROR(__xludf.DUMMYFUNCTION("IFERROR(GOOGLEFINANCE(TRIM(F2038)&amp;"":"" &amp; TRIM(B2038),""high52""),AE2038)"),0)</f>
        <v>0</v>
      </c>
      <c r="AG2038" s="1">
        <v>0</v>
      </c>
      <c r="AH2038" s="1">
        <f ca="1">IFERROR(__xludf.DUMMYFUNCTION("IFERROR(GOOGLEFINANCE(TRIM(F2038)&amp;"":"" &amp; TRIM(B2038),""low52""),AE2038)"),0)</f>
        <v>0</v>
      </c>
      <c r="AI2038" s="1">
        <f ca="1">IFERROR(__xludf.DUMMYFUNCTION("IFERROR(GOOGLEFINANCE(B2038,""eps""),0)"),0)</f>
        <v>0</v>
      </c>
      <c r="AJ2038" s="1"/>
      <c r="AK2038" s="1" t="s">
        <v>6299</v>
      </c>
      <c r="AL2038" s="9">
        <f t="shared" si="228"/>
        <v>1</v>
      </c>
    </row>
    <row r="2039" spans="1:38" ht="15" x14ac:dyDescent="0.25">
      <c r="A2039" s="1" t="s">
        <v>6300</v>
      </c>
      <c r="B2039" s="1" t="s">
        <v>6301</v>
      </c>
      <c r="C2039" s="1" t="s">
        <v>163</v>
      </c>
      <c r="D2039" s="1" t="s">
        <v>163</v>
      </c>
      <c r="E2039" s="6">
        <v>440.08</v>
      </c>
      <c r="F2039" s="1" t="s">
        <v>40</v>
      </c>
      <c r="G2039" s="6">
        <f ca="1">IFERROR(__xludf.DUMMYFUNCTION("iferror(GOOGLEFINANCE(TRIM(F2039)&amp;"":"" &amp; TRIM(B2039), ""price""),0
)"),346)</f>
        <v>346</v>
      </c>
      <c r="H2039" s="6">
        <v>338.9</v>
      </c>
      <c r="I2039" s="6">
        <f t="shared" ca="1" si="0"/>
        <v>346</v>
      </c>
      <c r="J2039" s="6">
        <f ca="1">IFERROR(__xludf.DUMMYFUNCTION("IFERROR(GOOGLEFINANCE(B2039, ""volume""), 0)"),6280)</f>
        <v>6280</v>
      </c>
      <c r="K2039" s="6">
        <v>-0.37</v>
      </c>
      <c r="L2039" s="6">
        <f ca="1">IFERROR(__xludf.DUMMYFUNCTION("IFERROR(GOOGLEFINANCE(B2039,""changepct""),K2039)"),2.85)</f>
        <v>2.85</v>
      </c>
      <c r="M2039" s="6">
        <f ca="1">IFERROR(__xludf.DUMMYFUNCTION("IFERROR(GOOGLEFINANCE(B2039,""change""),0)"),9.6)</f>
        <v>9.6</v>
      </c>
      <c r="N2039" s="6">
        <v>2</v>
      </c>
      <c r="O2039" s="7">
        <v>45536</v>
      </c>
      <c r="P2039" s="6">
        <v>127.53</v>
      </c>
      <c r="Q2039" s="6">
        <v>557.53</v>
      </c>
      <c r="R2039" s="7">
        <v>45536</v>
      </c>
      <c r="S2039" s="6">
        <v>311.5</v>
      </c>
      <c r="T2039" s="6">
        <v>-123.21</v>
      </c>
      <c r="U2039" s="7">
        <v>45536</v>
      </c>
      <c r="V2039" s="6">
        <v>0</v>
      </c>
      <c r="W2039" s="6">
        <f ca="1">IFERROR(__xludf.DUMMYFUNCTION("IFERROR(GOOGLEFINANCE(B2039,""pe""),V2039)"),0)</f>
        <v>0</v>
      </c>
      <c r="X2039" s="9"/>
      <c r="Y2039" s="6">
        <v>-1.8</v>
      </c>
      <c r="Z2039" s="6">
        <v>2</v>
      </c>
      <c r="AA2039" s="8">
        <v>45352</v>
      </c>
      <c r="AB2039" s="4">
        <v>-0.78</v>
      </c>
      <c r="AC2039" s="6">
        <v>0</v>
      </c>
      <c r="AD2039" s="6">
        <v>0</v>
      </c>
      <c r="AE2039" s="1">
        <v>0</v>
      </c>
      <c r="AF2039" s="1">
        <f ca="1">IFERROR(__xludf.DUMMYFUNCTION("IFERROR(GOOGLEFINANCE(TRIM(F2039)&amp;"":"" &amp; TRIM(B2039),""high52""),AE2039)"),487.9)</f>
        <v>487.9</v>
      </c>
      <c r="AG2039" s="1">
        <v>0</v>
      </c>
      <c r="AH2039" s="1">
        <f ca="1">IFERROR(__xludf.DUMMYFUNCTION("IFERROR(GOOGLEFINANCE(TRIM(F2039)&amp;"":"" &amp; TRIM(B2039),""low52""),AE2039)"),204.43)</f>
        <v>204.43</v>
      </c>
      <c r="AI2039" s="1">
        <f ca="1">IFERROR(__xludf.DUMMYFUNCTION("IFERROR(GOOGLEFINANCE(B2039,""eps""),0)"),-52.71)</f>
        <v>-52.71</v>
      </c>
      <c r="AJ2039" s="1"/>
      <c r="AK2039" s="1" t="s">
        <v>6302</v>
      </c>
      <c r="AL2039" s="9">
        <f t="shared" si="228"/>
        <v>1</v>
      </c>
    </row>
    <row r="2040" spans="1:38" ht="15" x14ac:dyDescent="0.25">
      <c r="A2040" s="1" t="s">
        <v>6303</v>
      </c>
      <c r="B2040" s="1" t="s">
        <v>6304</v>
      </c>
      <c r="C2040" s="1" t="s">
        <v>208</v>
      </c>
      <c r="D2040" s="1" t="s">
        <v>208</v>
      </c>
      <c r="E2040" s="6">
        <v>1956.88</v>
      </c>
      <c r="F2040" s="1" t="s">
        <v>53</v>
      </c>
      <c r="G2040" s="6">
        <f ca="1">IFERROR(__xludf.DUMMYFUNCTION("iferror(GOOGLEFINANCE(TRIM(F2040)&amp;"":"" &amp; TRIM(B2040), ""price""),0
)"),0)</f>
        <v>0</v>
      </c>
      <c r="H2040" s="6">
        <v>18998</v>
      </c>
      <c r="I2040" s="6">
        <f t="shared" ca="1" si="0"/>
        <v>18998</v>
      </c>
      <c r="J2040" s="6">
        <f ca="1">IFERROR(__xludf.DUMMYFUNCTION("IFERROR(GOOGLEFINANCE(B2040, ""volume""), 0)"),0)</f>
        <v>0</v>
      </c>
      <c r="K2040" s="6">
        <v>-0.01</v>
      </c>
      <c r="L2040" s="6">
        <f ca="1">IFERROR(__xludf.DUMMYFUNCTION("IFERROR(GOOGLEFINANCE(B2040,""changepct""),K2040)"),-0.01)</f>
        <v>-0.01</v>
      </c>
      <c r="M2040" s="6">
        <f ca="1">IFERROR(__xludf.DUMMYFUNCTION("IFERROR(GOOGLEFINANCE(B2040,""change""),0)"),0)</f>
        <v>0</v>
      </c>
      <c r="N2040" s="6">
        <v>2</v>
      </c>
      <c r="O2040" s="7">
        <v>45536</v>
      </c>
      <c r="P2040" s="6">
        <v>171.45</v>
      </c>
      <c r="Q2040" s="7">
        <v>45536</v>
      </c>
      <c r="R2040" s="6">
        <v>11.41</v>
      </c>
      <c r="S2040" s="6">
        <v>0.05</v>
      </c>
      <c r="T2040" s="6">
        <v>2.2799999999999998</v>
      </c>
      <c r="U2040" s="6">
        <v>2</v>
      </c>
      <c r="V2040" s="7">
        <v>45352</v>
      </c>
      <c r="W2040" s="10">
        <f ca="1">IFERROR(__xludf.DUMMYFUNCTION("IFERROR(GOOGLEFINANCE(B2040,""pe""),V2040)"),45352)</f>
        <v>45352</v>
      </c>
      <c r="X2040" s="6">
        <v>0</v>
      </c>
      <c r="Y2040" s="6">
        <v>18.3</v>
      </c>
      <c r="Z2040" s="6">
        <v>21.62</v>
      </c>
      <c r="AA2040" s="19" t="s">
        <v>6305</v>
      </c>
      <c r="AB2040" s="20"/>
      <c r="AC2040" s="9"/>
      <c r="AD2040" s="9"/>
      <c r="AE2040" s="1">
        <v>0</v>
      </c>
      <c r="AF2040" s="1">
        <f ca="1">IFERROR(__xludf.DUMMYFUNCTION("IFERROR(GOOGLEFINANCE(TRIM(F2040)&amp;"":"" &amp; TRIM(B2040),""high52""),AE2040)"),0)</f>
        <v>0</v>
      </c>
      <c r="AG2040" s="1">
        <v>0</v>
      </c>
      <c r="AH2040" s="1">
        <f ca="1">IFERROR(__xludf.DUMMYFUNCTION("IFERROR(GOOGLEFINANCE(TRIM(F2040)&amp;"":"" &amp; TRIM(B2040),""low52""),AE2040)"),0)</f>
        <v>0</v>
      </c>
      <c r="AI2040" s="1">
        <f ca="1">IFERROR(__xludf.DUMMYFUNCTION("IFERROR(GOOGLEFINANCE(B2040,""eps""),0)"),0)</f>
        <v>0</v>
      </c>
      <c r="AJ2040" s="1"/>
      <c r="AK2040" s="1" t="s">
        <v>6306</v>
      </c>
      <c r="AL2040" s="9">
        <f t="shared" si="228"/>
        <v>1</v>
      </c>
    </row>
    <row r="2041" spans="1:38" ht="15" x14ac:dyDescent="0.25">
      <c r="A2041" s="1" t="s">
        <v>6307</v>
      </c>
      <c r="B2041" s="1" t="s">
        <v>6308</v>
      </c>
      <c r="C2041" s="1" t="s">
        <v>525</v>
      </c>
      <c r="D2041" s="1" t="s">
        <v>525</v>
      </c>
      <c r="E2041" s="6">
        <v>47907.58</v>
      </c>
      <c r="F2041" s="1" t="s">
        <v>40</v>
      </c>
      <c r="G2041" s="6">
        <f ca="1">IFERROR(__xludf.DUMMYFUNCTION("iferror(GOOGLEFINANCE(TRIM(F2041)&amp;"":"" &amp; TRIM(B2041), ""price""),0
)"),3479.2)</f>
        <v>3479.2</v>
      </c>
      <c r="H2041" s="6">
        <v>7546.75</v>
      </c>
      <c r="I2041" s="6">
        <f t="shared" ca="1" si="0"/>
        <v>3479.2</v>
      </c>
      <c r="J2041" s="6">
        <f ca="1">IFERROR(__xludf.DUMMYFUNCTION("IFERROR(GOOGLEFINANCE(B2041, ""volume""), 0)"),2325340)</f>
        <v>2325340</v>
      </c>
      <c r="K2041" s="6">
        <v>0.84</v>
      </c>
      <c r="L2041" s="6">
        <f ca="1">IFERROR(__xludf.DUMMYFUNCTION("IFERROR(GOOGLEFINANCE(B2041,""changepct""),K2041)"),-2.27)</f>
        <v>-2.27</v>
      </c>
      <c r="M2041" s="6">
        <f ca="1">IFERROR(__xludf.DUMMYFUNCTION("IFERROR(GOOGLEFINANCE(B2041,""change""),0)"),-80.9)</f>
        <v>-80.900000000000006</v>
      </c>
      <c r="N2041" s="6">
        <v>2</v>
      </c>
      <c r="O2041" s="7">
        <v>45536</v>
      </c>
      <c r="P2041" s="6">
        <v>682.85</v>
      </c>
      <c r="Q2041" s="6">
        <v>47378.16</v>
      </c>
      <c r="R2041" s="7">
        <v>45536</v>
      </c>
      <c r="S2041" s="6">
        <v>2222.69</v>
      </c>
      <c r="T2041" s="6">
        <v>237.44</v>
      </c>
      <c r="U2041" s="7">
        <v>45536</v>
      </c>
      <c r="V2041" s="6">
        <v>201.77</v>
      </c>
      <c r="W2041" s="6">
        <f ca="1">IFERROR(__xludf.DUMMYFUNCTION("IFERROR(GOOGLEFINANCE(B2041,""pe""),V2041)"),59.58)</f>
        <v>59.58</v>
      </c>
      <c r="X2041" s="12"/>
      <c r="Y2041" s="6">
        <v>18.43</v>
      </c>
      <c r="Z2041" s="6">
        <v>2</v>
      </c>
      <c r="AA2041" s="8">
        <v>45352</v>
      </c>
      <c r="AB2041" s="4">
        <v>0.12</v>
      </c>
      <c r="AC2041" s="6">
        <v>10.64</v>
      </c>
      <c r="AD2041" s="6">
        <v>14.79</v>
      </c>
      <c r="AE2041" s="1">
        <v>0</v>
      </c>
      <c r="AF2041" s="1">
        <f ca="1">IFERROR(__xludf.DUMMYFUNCTION("IFERROR(GOOGLEFINANCE(TRIM(F2041)&amp;"":"" &amp; TRIM(B2041),""high52""),AE2041)"),7705)</f>
        <v>7705</v>
      </c>
      <c r="AG2041" s="1">
        <v>0</v>
      </c>
      <c r="AH2041" s="1">
        <f ca="1">IFERROR(__xludf.DUMMYFUNCTION("IFERROR(GOOGLEFINANCE(TRIM(F2041)&amp;"":"" &amp; TRIM(B2041),""low52""),AE2041)"),3294.9)</f>
        <v>3294.9</v>
      </c>
      <c r="AI2041" s="1">
        <f ca="1">IFERROR(__xludf.DUMMYFUNCTION("IFERROR(GOOGLEFINANCE(B2041,""eps""),0)"),58.4)</f>
        <v>58.4</v>
      </c>
      <c r="AJ2041" s="1"/>
      <c r="AK2041" s="9"/>
      <c r="AL2041" s="9">
        <f t="shared" si="228"/>
        <v>1</v>
      </c>
    </row>
    <row r="2042" spans="1:38" ht="15" x14ac:dyDescent="0.25">
      <c r="A2042" s="1" t="s">
        <v>6309</v>
      </c>
      <c r="B2042" s="1" t="s">
        <v>6310</v>
      </c>
      <c r="C2042" s="1" t="s">
        <v>208</v>
      </c>
      <c r="D2042" s="1" t="s">
        <v>208</v>
      </c>
      <c r="E2042" s="6">
        <v>76.319999999999993</v>
      </c>
      <c r="F2042" s="1" t="s">
        <v>53</v>
      </c>
      <c r="G2042" s="6">
        <f ca="1">IFERROR(__xludf.DUMMYFUNCTION("iferror(GOOGLEFINANCE(TRIM(F2042)&amp;"":"" &amp; TRIM(B2042), ""price""),0
)"),0)</f>
        <v>0</v>
      </c>
      <c r="H2042" s="6">
        <v>47</v>
      </c>
      <c r="I2042" s="6">
        <f t="shared" ca="1" si="0"/>
        <v>47</v>
      </c>
      <c r="J2042" s="6">
        <f ca="1">IFERROR(__xludf.DUMMYFUNCTION("IFERROR(GOOGLEFINANCE(B2042, ""volume""), 0)"),0)</f>
        <v>0</v>
      </c>
      <c r="K2042" s="6">
        <v>-1.24</v>
      </c>
      <c r="L2042" s="6">
        <f ca="1">IFERROR(__xludf.DUMMYFUNCTION("IFERROR(GOOGLEFINANCE(B2042,""changepct""),K2042)"),-1.24)</f>
        <v>-1.24</v>
      </c>
      <c r="M2042" s="6">
        <f ca="1">IFERROR(__xludf.DUMMYFUNCTION("IFERROR(GOOGLEFINANCE(B2042,""change""),0)"),0)</f>
        <v>0</v>
      </c>
      <c r="N2042" s="6">
        <v>1</v>
      </c>
      <c r="O2042" s="7">
        <v>45536</v>
      </c>
      <c r="P2042" s="6">
        <v>6.52</v>
      </c>
      <c r="Q2042" s="7">
        <v>45536</v>
      </c>
      <c r="R2042" s="6">
        <v>11.7</v>
      </c>
      <c r="S2042" s="6">
        <v>0.22</v>
      </c>
      <c r="T2042" s="6">
        <v>1.06</v>
      </c>
      <c r="U2042" s="6">
        <v>1</v>
      </c>
      <c r="V2042" s="7">
        <v>45352</v>
      </c>
      <c r="W2042" s="10">
        <f ca="1">IFERROR(__xludf.DUMMYFUNCTION("IFERROR(GOOGLEFINANCE(B2042,""pe""),V2042)"),45352)</f>
        <v>45352</v>
      </c>
      <c r="X2042" s="6">
        <v>1.07</v>
      </c>
      <c r="Y2042" s="6">
        <v>13.52</v>
      </c>
      <c r="Z2042" s="6">
        <v>9.3699999999999992</v>
      </c>
      <c r="AA2042" s="3" t="s">
        <v>6311</v>
      </c>
      <c r="AB2042" s="11"/>
      <c r="AC2042" s="9"/>
      <c r="AD2042" s="9"/>
      <c r="AE2042" s="1">
        <v>0</v>
      </c>
      <c r="AF2042" s="1">
        <f ca="1">IFERROR(__xludf.DUMMYFUNCTION("IFERROR(GOOGLEFINANCE(TRIM(F2042)&amp;"":"" &amp; TRIM(B2042),""high52""),AE2042)"),0)</f>
        <v>0</v>
      </c>
      <c r="AG2042" s="1">
        <v>0</v>
      </c>
      <c r="AH2042" s="1">
        <f ca="1">IFERROR(__xludf.DUMMYFUNCTION("IFERROR(GOOGLEFINANCE(TRIM(F2042)&amp;"":"" &amp; TRIM(B2042),""low52""),AE2042)"),0)</f>
        <v>0</v>
      </c>
      <c r="AI2042" s="1">
        <f ca="1">IFERROR(__xludf.DUMMYFUNCTION("IFERROR(GOOGLEFINANCE(B2042,""eps""),0)"),0)</f>
        <v>0</v>
      </c>
      <c r="AJ2042" s="1"/>
      <c r="AK2042" s="1" t="s">
        <v>6312</v>
      </c>
      <c r="AL2042" s="9">
        <f t="shared" si="228"/>
        <v>1</v>
      </c>
    </row>
    <row r="2043" spans="1:38" ht="15" x14ac:dyDescent="0.25">
      <c r="A2043" s="1" t="s">
        <v>6313</v>
      </c>
      <c r="B2043" s="1" t="s">
        <v>6314</v>
      </c>
      <c r="C2043" s="1" t="s">
        <v>208</v>
      </c>
      <c r="D2043" s="1" t="s">
        <v>208</v>
      </c>
      <c r="E2043" s="6">
        <v>25.46</v>
      </c>
      <c r="F2043" s="1" t="s">
        <v>53</v>
      </c>
      <c r="G2043" s="6">
        <f ca="1">IFERROR(__xludf.DUMMYFUNCTION("iferror(GOOGLEFINANCE(TRIM(F2043)&amp;"":"" &amp; TRIM(B2043), ""price""),0
)"),0)</f>
        <v>0</v>
      </c>
      <c r="H2043" s="6">
        <v>13.45</v>
      </c>
      <c r="I2043" s="6">
        <f t="shared" ca="1" si="0"/>
        <v>13.45</v>
      </c>
      <c r="J2043" s="6">
        <f ca="1">IFERROR(__xludf.DUMMYFUNCTION("IFERROR(GOOGLEFINANCE(B2043, ""volume""), 0)"),0)</f>
        <v>0</v>
      </c>
      <c r="K2043" s="6">
        <v>3.3</v>
      </c>
      <c r="L2043" s="6">
        <f ca="1">IFERROR(__xludf.DUMMYFUNCTION("IFERROR(GOOGLEFINANCE(B2043,""changepct""),K2043)"),3.3)</f>
        <v>3.3</v>
      </c>
      <c r="M2043" s="6">
        <f ca="1">IFERROR(__xludf.DUMMYFUNCTION("IFERROR(GOOGLEFINANCE(B2043,""change""),0)"),0)</f>
        <v>0</v>
      </c>
      <c r="N2043" s="6">
        <v>1</v>
      </c>
      <c r="O2043" s="7">
        <v>45536</v>
      </c>
      <c r="P2043" s="6">
        <v>2.11</v>
      </c>
      <c r="Q2043" s="7">
        <v>45536</v>
      </c>
      <c r="R2043" s="6">
        <v>12.05</v>
      </c>
      <c r="S2043" s="6">
        <v>0.43</v>
      </c>
      <c r="T2043" s="6">
        <v>0.44</v>
      </c>
      <c r="U2043" s="6">
        <v>1</v>
      </c>
      <c r="V2043" s="7">
        <v>45352</v>
      </c>
      <c r="W2043" s="10">
        <f ca="1">IFERROR(__xludf.DUMMYFUNCTION("IFERROR(GOOGLEFINANCE(B2043,""pe""),V2043)"),45352)</f>
        <v>45352</v>
      </c>
      <c r="X2043" s="6">
        <v>0</v>
      </c>
      <c r="Y2043" s="6">
        <v>4.47</v>
      </c>
      <c r="Z2043" s="6">
        <v>5</v>
      </c>
      <c r="AA2043" s="3" t="s">
        <v>6315</v>
      </c>
      <c r="AB2043" s="11"/>
      <c r="AC2043" s="9"/>
      <c r="AD2043" s="9"/>
      <c r="AE2043" s="1">
        <v>0</v>
      </c>
      <c r="AF2043" s="1">
        <f ca="1">IFERROR(__xludf.DUMMYFUNCTION("IFERROR(GOOGLEFINANCE(TRIM(F2043)&amp;"":"" &amp; TRIM(B2043),""high52""),AE2043)"),0)</f>
        <v>0</v>
      </c>
      <c r="AG2043" s="1">
        <v>0</v>
      </c>
      <c r="AH2043" s="1">
        <f ca="1">IFERROR(__xludf.DUMMYFUNCTION("IFERROR(GOOGLEFINANCE(TRIM(F2043)&amp;"":"" &amp; TRIM(B2043),""low52""),AE2043)"),0)</f>
        <v>0</v>
      </c>
      <c r="AI2043" s="1">
        <f ca="1">IFERROR(__xludf.DUMMYFUNCTION("IFERROR(GOOGLEFINANCE(B2043,""eps""),0)"),0)</f>
        <v>0</v>
      </c>
      <c r="AJ2043" s="1"/>
      <c r="AK2043" s="1" t="s">
        <v>6316</v>
      </c>
      <c r="AL2043" s="9">
        <f t="shared" si="228"/>
        <v>1</v>
      </c>
    </row>
    <row r="2044" spans="1:38" ht="15" x14ac:dyDescent="0.25">
      <c r="A2044" s="1" t="s">
        <v>6317</v>
      </c>
      <c r="B2044" s="1" t="s">
        <v>6318</v>
      </c>
      <c r="C2044" s="1" t="s">
        <v>487</v>
      </c>
      <c r="D2044" s="1" t="s">
        <v>487</v>
      </c>
      <c r="E2044" s="6">
        <v>481.05</v>
      </c>
      <c r="F2044" s="1" t="s">
        <v>40</v>
      </c>
      <c r="G2044" s="6">
        <f ca="1">IFERROR(__xludf.DUMMYFUNCTION("iferror(GOOGLEFINANCE(TRIM(F2044)&amp;"":"" &amp; TRIM(B2044), ""price""),0
)"),0)</f>
        <v>0</v>
      </c>
      <c r="H2044" s="6">
        <v>1.8</v>
      </c>
      <c r="I2044" s="6">
        <f t="shared" ca="1" si="0"/>
        <v>1.8</v>
      </c>
      <c r="J2044" s="6">
        <f ca="1">IFERROR(__xludf.DUMMYFUNCTION("IFERROR(GOOGLEFINANCE(B2044, ""volume""), 0)"),0)</f>
        <v>0</v>
      </c>
      <c r="K2044" s="6">
        <v>-2.17</v>
      </c>
      <c r="L2044" s="6">
        <f ca="1">IFERROR(__xludf.DUMMYFUNCTION("IFERROR(GOOGLEFINANCE(B2044,""changepct""),K2044)"),-2.17)</f>
        <v>-2.17</v>
      </c>
      <c r="M2044" s="6">
        <f ca="1">IFERROR(__xludf.DUMMYFUNCTION("IFERROR(GOOGLEFINANCE(B2044,""change""),0)"),0)</f>
        <v>0</v>
      </c>
      <c r="N2044" s="6">
        <v>2</v>
      </c>
      <c r="O2044" s="7">
        <v>45536</v>
      </c>
      <c r="P2044" s="6">
        <v>72.540000000000006</v>
      </c>
      <c r="Q2044" s="6">
        <v>553.59</v>
      </c>
      <c r="R2044" s="7">
        <v>45536</v>
      </c>
      <c r="S2044" s="6">
        <v>40.659999999999997</v>
      </c>
      <c r="T2044" s="6">
        <v>-50.43</v>
      </c>
      <c r="U2044" s="7">
        <v>45536</v>
      </c>
      <c r="V2044" s="6">
        <v>0</v>
      </c>
      <c r="W2044" s="6">
        <f ca="1">IFERROR(__xludf.DUMMYFUNCTION("IFERROR(GOOGLEFINANCE(B2044,""pe""),V2044)"),0)</f>
        <v>0</v>
      </c>
      <c r="X2044" s="9"/>
      <c r="Y2044" s="6">
        <v>0.44</v>
      </c>
      <c r="Z2044" s="6">
        <v>2</v>
      </c>
      <c r="AA2044" s="8">
        <v>45352</v>
      </c>
      <c r="AB2044" s="4">
        <v>0.08</v>
      </c>
      <c r="AC2044" s="6">
        <v>-4</v>
      </c>
      <c r="AD2044" s="6">
        <v>-2.54</v>
      </c>
      <c r="AE2044" s="1">
        <v>0</v>
      </c>
      <c r="AF2044" s="1">
        <f ca="1">IFERROR(__xludf.DUMMYFUNCTION("IFERROR(GOOGLEFINANCE(TRIM(F2044)&amp;"":"" &amp; TRIM(B2044),""high52""),AE2044)"),0)</f>
        <v>0</v>
      </c>
      <c r="AG2044" s="1">
        <v>0</v>
      </c>
      <c r="AH2044" s="1">
        <f ca="1">IFERROR(__xludf.DUMMYFUNCTION("IFERROR(GOOGLEFINANCE(TRIM(F2044)&amp;"":"" &amp; TRIM(B2044),""low52""),AE2044)"),0)</f>
        <v>0</v>
      </c>
      <c r="AI2044" s="1">
        <f ca="1">IFERROR(__xludf.DUMMYFUNCTION("IFERROR(GOOGLEFINANCE(B2044,""eps""),0)"),0)</f>
        <v>0</v>
      </c>
      <c r="AJ2044" s="1"/>
      <c r="AK2044" s="9"/>
      <c r="AL2044" s="9">
        <f t="shared" si="228"/>
        <v>1</v>
      </c>
    </row>
    <row r="2045" spans="1:38" ht="15" x14ac:dyDescent="0.25">
      <c r="A2045" s="1" t="s">
        <v>6319</v>
      </c>
      <c r="B2045" s="1" t="s">
        <v>6320</v>
      </c>
      <c r="C2045" s="1" t="s">
        <v>208</v>
      </c>
      <c r="D2045" s="1" t="s">
        <v>208</v>
      </c>
      <c r="E2045" s="6">
        <v>114.16</v>
      </c>
      <c r="F2045" s="1" t="s">
        <v>53</v>
      </c>
      <c r="G2045" s="6">
        <f ca="1">IFERROR(__xludf.DUMMYFUNCTION("iferror(GOOGLEFINANCE(TRIM(F2045)&amp;"":"" &amp; TRIM(B2045), ""price""),0
)"),0)</f>
        <v>0</v>
      </c>
      <c r="H2045" s="6">
        <v>127.45</v>
      </c>
      <c r="I2045" s="6">
        <f t="shared" ca="1" si="0"/>
        <v>127.45</v>
      </c>
      <c r="J2045" s="6">
        <f ca="1">IFERROR(__xludf.DUMMYFUNCTION("IFERROR(GOOGLEFINANCE(B2045, ""volume""), 0)"),0)</f>
        <v>0</v>
      </c>
      <c r="K2045" s="6">
        <v>0</v>
      </c>
      <c r="L2045" s="6">
        <f ca="1">IFERROR(__xludf.DUMMYFUNCTION("IFERROR(GOOGLEFINANCE(B2045,""changepct""),K2045)"),0)</f>
        <v>0</v>
      </c>
      <c r="M2045" s="6">
        <f ca="1">IFERROR(__xludf.DUMMYFUNCTION("IFERROR(GOOGLEFINANCE(B2045,""change""),0)"),0)</f>
        <v>0</v>
      </c>
      <c r="N2045" s="6">
        <v>1</v>
      </c>
      <c r="O2045" s="7">
        <v>45536</v>
      </c>
      <c r="P2045" s="6">
        <v>8.91</v>
      </c>
      <c r="Q2045" s="7">
        <v>45536</v>
      </c>
      <c r="R2045" s="6">
        <v>12.81</v>
      </c>
      <c r="S2045" s="6">
        <v>0.05</v>
      </c>
      <c r="T2045" s="6">
        <v>1.03</v>
      </c>
      <c r="U2045" s="6">
        <v>1</v>
      </c>
      <c r="V2045" s="7">
        <v>45352</v>
      </c>
      <c r="W2045" s="10">
        <f ca="1">IFERROR(__xludf.DUMMYFUNCTION("IFERROR(GOOGLEFINANCE(B2045,""pe""),V2045)"),45352)</f>
        <v>45352</v>
      </c>
      <c r="X2045" s="6">
        <v>0.04</v>
      </c>
      <c r="Y2045" s="6">
        <v>9.06</v>
      </c>
      <c r="Z2045" s="6">
        <v>13.9</v>
      </c>
      <c r="AA2045" s="3" t="s">
        <v>6321</v>
      </c>
      <c r="AB2045" s="11"/>
      <c r="AC2045" s="9"/>
      <c r="AD2045" s="9"/>
      <c r="AE2045" s="1">
        <v>0</v>
      </c>
      <c r="AF2045" s="1">
        <f ca="1">IFERROR(__xludf.DUMMYFUNCTION("IFERROR(GOOGLEFINANCE(TRIM(F2045)&amp;"":"" &amp; TRIM(B2045),""high52""),AE2045)"),0)</f>
        <v>0</v>
      </c>
      <c r="AG2045" s="1">
        <v>0</v>
      </c>
      <c r="AH2045" s="1">
        <f ca="1">IFERROR(__xludf.DUMMYFUNCTION("IFERROR(GOOGLEFINANCE(TRIM(F2045)&amp;"":"" &amp; TRIM(B2045),""low52""),AE2045)"),0)</f>
        <v>0</v>
      </c>
      <c r="AI2045" s="1">
        <f ca="1">IFERROR(__xludf.DUMMYFUNCTION("IFERROR(GOOGLEFINANCE(B2045,""eps""),0)"),0)</f>
        <v>0</v>
      </c>
      <c r="AJ2045" s="1"/>
      <c r="AK2045" s="1" t="s">
        <v>6322</v>
      </c>
      <c r="AL2045" s="9">
        <f t="shared" si="228"/>
        <v>1</v>
      </c>
    </row>
    <row r="2046" spans="1:38" ht="15" x14ac:dyDescent="0.25">
      <c r="A2046" s="1" t="s">
        <v>6323</v>
      </c>
      <c r="B2046" s="1" t="s">
        <v>6324</v>
      </c>
      <c r="C2046" s="1" t="s">
        <v>227</v>
      </c>
      <c r="D2046" s="1" t="s">
        <v>227</v>
      </c>
      <c r="E2046" s="6">
        <v>384.79</v>
      </c>
      <c r="F2046" s="1" t="s">
        <v>40</v>
      </c>
      <c r="G2046" s="6">
        <f ca="1">IFERROR(__xludf.DUMMYFUNCTION("iferror(GOOGLEFINANCE(TRIM(F2046)&amp;"":"" &amp; TRIM(B2046), ""price""),0
)"),0)</f>
        <v>0</v>
      </c>
      <c r="H2046" s="6">
        <v>60.5</v>
      </c>
      <c r="I2046" s="6">
        <f t="shared" ca="1" si="0"/>
        <v>60.5</v>
      </c>
      <c r="J2046" s="6">
        <f ca="1">IFERROR(__xludf.DUMMYFUNCTION("IFERROR(GOOGLEFINANCE(B2046, ""volume""), 0)"),0)</f>
        <v>0</v>
      </c>
      <c r="K2046" s="9"/>
      <c r="L2046" s="6" t="str">
        <f ca="1">IFERROR(__xludf.DUMMYFUNCTION("IFERROR(GOOGLEFINANCE(B2046,""changepct""),K2046)"),"")</f>
        <v/>
      </c>
      <c r="M2046" s="6">
        <f ca="1">IFERROR(__xludf.DUMMYFUNCTION("IFERROR(GOOGLEFINANCE(B2046,""change""),0)"),0)</f>
        <v>0</v>
      </c>
      <c r="N2046" s="6">
        <v>1</v>
      </c>
      <c r="O2046" s="7">
        <v>45536</v>
      </c>
      <c r="P2046" s="6">
        <v>13.96</v>
      </c>
      <c r="Q2046" s="6">
        <v>398.75</v>
      </c>
      <c r="R2046" s="7">
        <v>45352</v>
      </c>
      <c r="S2046" s="6">
        <v>76.7</v>
      </c>
      <c r="T2046" s="6">
        <v>1.6</v>
      </c>
      <c r="U2046" s="7">
        <v>45352</v>
      </c>
      <c r="V2046" s="6">
        <v>241.07</v>
      </c>
      <c r="W2046" s="6">
        <f ca="1">IFERROR(__xludf.DUMMYFUNCTION("IFERROR(GOOGLEFINANCE(B2046,""pe""),V2046)"),241.07)</f>
        <v>241.07</v>
      </c>
      <c r="X2046" s="12"/>
      <c r="Y2046" s="6">
        <v>15.48</v>
      </c>
      <c r="Z2046" s="6">
        <v>1</v>
      </c>
      <c r="AA2046" s="8">
        <v>45352</v>
      </c>
      <c r="AB2046" s="4">
        <v>1.1499999999999999</v>
      </c>
      <c r="AC2046" s="6">
        <v>10.26</v>
      </c>
      <c r="AD2046" s="6">
        <v>9.9700000000000006</v>
      </c>
      <c r="AE2046" s="1">
        <v>0</v>
      </c>
      <c r="AF2046" s="1">
        <f ca="1">IFERROR(__xludf.DUMMYFUNCTION("IFERROR(GOOGLEFINANCE(TRIM(F2046)&amp;"":"" &amp; TRIM(B2046),""high52""),AE2046)"),0)</f>
        <v>0</v>
      </c>
      <c r="AG2046" s="1">
        <v>0</v>
      </c>
      <c r="AH2046" s="1">
        <f ca="1">IFERROR(__xludf.DUMMYFUNCTION("IFERROR(GOOGLEFINANCE(TRIM(F2046)&amp;"":"" &amp; TRIM(B2046),""low52""),AE2046)"),0)</f>
        <v>0</v>
      </c>
      <c r="AI2046" s="1">
        <f ca="1">IFERROR(__xludf.DUMMYFUNCTION("IFERROR(GOOGLEFINANCE(B2046,""eps""),0)"),0)</f>
        <v>0</v>
      </c>
      <c r="AJ2046" s="1"/>
      <c r="AK2046" s="1" t="s">
        <v>6325</v>
      </c>
      <c r="AL2046" s="9">
        <f t="shared" si="228"/>
        <v>1</v>
      </c>
    </row>
    <row r="2047" spans="1:38" ht="15" x14ac:dyDescent="0.25">
      <c r="A2047" s="1" t="s">
        <v>6326</v>
      </c>
      <c r="B2047" s="1" t="s">
        <v>6327</v>
      </c>
      <c r="C2047" s="1" t="s">
        <v>208</v>
      </c>
      <c r="D2047" s="1" t="s">
        <v>208</v>
      </c>
      <c r="E2047" s="6">
        <v>21.42</v>
      </c>
      <c r="F2047" s="1" t="s">
        <v>53</v>
      </c>
      <c r="G2047" s="6">
        <f ca="1">IFERROR(__xludf.DUMMYFUNCTION("iferror(GOOGLEFINANCE(TRIM(F2047)&amp;"":"" &amp; TRIM(B2047), ""price""),0
)"),0)</f>
        <v>0</v>
      </c>
      <c r="H2047" s="6">
        <v>1.08</v>
      </c>
      <c r="I2047" s="6">
        <f t="shared" ca="1" si="0"/>
        <v>1.08</v>
      </c>
      <c r="J2047" s="6">
        <f ca="1">IFERROR(__xludf.DUMMYFUNCTION("IFERROR(GOOGLEFINANCE(B2047, ""volume""), 0)"),0)</f>
        <v>0</v>
      </c>
      <c r="K2047" s="6">
        <v>0</v>
      </c>
      <c r="L2047" s="6">
        <f ca="1">IFERROR(__xludf.DUMMYFUNCTION("IFERROR(GOOGLEFINANCE(B2047,""changepct""),K2047)"),0)</f>
        <v>0</v>
      </c>
      <c r="M2047" s="6">
        <f ca="1">IFERROR(__xludf.DUMMYFUNCTION("IFERROR(GOOGLEFINANCE(B2047,""change""),0)"),0)</f>
        <v>0</v>
      </c>
      <c r="N2047" s="6">
        <v>1</v>
      </c>
      <c r="O2047" s="7">
        <v>45536</v>
      </c>
      <c r="P2047" s="6">
        <v>1.67</v>
      </c>
      <c r="Q2047" s="7">
        <v>45536</v>
      </c>
      <c r="R2047" s="6">
        <v>12.83</v>
      </c>
      <c r="S2047" s="6">
        <v>0.17</v>
      </c>
      <c r="T2047" s="6">
        <v>0.98</v>
      </c>
      <c r="U2047" s="6">
        <v>1</v>
      </c>
      <c r="V2047" s="7">
        <v>45352</v>
      </c>
      <c r="W2047" s="10">
        <f ca="1">IFERROR(__xludf.DUMMYFUNCTION("IFERROR(GOOGLEFINANCE(B2047,""pe""),V2047)"),45352)</f>
        <v>45352</v>
      </c>
      <c r="X2047" s="6">
        <v>0</v>
      </c>
      <c r="Y2047" s="6">
        <v>2.86</v>
      </c>
      <c r="Z2047" s="6">
        <v>3.34</v>
      </c>
      <c r="AA2047" s="19" t="s">
        <v>6328</v>
      </c>
      <c r="AB2047" s="20"/>
      <c r="AC2047" s="9"/>
      <c r="AD2047" s="9"/>
      <c r="AE2047" s="1">
        <v>0</v>
      </c>
      <c r="AF2047" s="1">
        <f ca="1">IFERROR(__xludf.DUMMYFUNCTION("IFERROR(GOOGLEFINANCE(TRIM(F2047)&amp;"":"" &amp; TRIM(B2047),""high52""),AE2047)"),0)</f>
        <v>0</v>
      </c>
      <c r="AG2047" s="1">
        <v>0</v>
      </c>
      <c r="AH2047" s="1">
        <f ca="1">IFERROR(__xludf.DUMMYFUNCTION("IFERROR(GOOGLEFINANCE(TRIM(F2047)&amp;"":"" &amp; TRIM(B2047),""low52""),AE2047)"),0)</f>
        <v>0</v>
      </c>
      <c r="AI2047" s="1">
        <f ca="1">IFERROR(__xludf.DUMMYFUNCTION("IFERROR(GOOGLEFINANCE(B2047,""eps""),0)"),0)</f>
        <v>0</v>
      </c>
      <c r="AJ2047" s="1"/>
      <c r="AK2047" s="1" t="s">
        <v>6329</v>
      </c>
      <c r="AL2047" s="9">
        <f t="shared" si="228"/>
        <v>1</v>
      </c>
    </row>
    <row r="2048" spans="1:38" ht="15" x14ac:dyDescent="0.25">
      <c r="A2048" s="1" t="s">
        <v>6330</v>
      </c>
      <c r="B2048" s="1" t="s">
        <v>6331</v>
      </c>
      <c r="C2048" s="1" t="s">
        <v>208</v>
      </c>
      <c r="D2048" s="1" t="s">
        <v>208</v>
      </c>
      <c r="E2048" s="6">
        <v>30.43</v>
      </c>
      <c r="F2048" s="1" t="s">
        <v>53</v>
      </c>
      <c r="G2048" s="6">
        <f ca="1">IFERROR(__xludf.DUMMYFUNCTION("iferror(GOOGLEFINANCE(TRIM(F2048)&amp;"":"" &amp; TRIM(B2048), ""price""),0
)"),0)</f>
        <v>0</v>
      </c>
      <c r="H2048" s="6">
        <v>12</v>
      </c>
      <c r="I2048" s="6">
        <f t="shared" ca="1" si="0"/>
        <v>12</v>
      </c>
      <c r="J2048" s="6">
        <f ca="1">IFERROR(__xludf.DUMMYFUNCTION("IFERROR(GOOGLEFINANCE(B2048, ""volume""), 0)"),0)</f>
        <v>0</v>
      </c>
      <c r="K2048" s="6">
        <v>0.17</v>
      </c>
      <c r="L2048" s="6">
        <f ca="1">IFERROR(__xludf.DUMMYFUNCTION("IFERROR(GOOGLEFINANCE(B2048,""changepct""),K2048)"),0.17)</f>
        <v>0.17</v>
      </c>
      <c r="M2048" s="6">
        <f ca="1">IFERROR(__xludf.DUMMYFUNCTION("IFERROR(GOOGLEFINANCE(B2048,""change""),0)"),0)</f>
        <v>0</v>
      </c>
      <c r="N2048" s="6">
        <v>1</v>
      </c>
      <c r="O2048" s="7">
        <v>45536</v>
      </c>
      <c r="P2048" s="6">
        <v>2.37</v>
      </c>
      <c r="Q2048" s="7">
        <v>45536</v>
      </c>
      <c r="R2048" s="6">
        <v>12.84</v>
      </c>
      <c r="S2048" s="6">
        <v>0.53</v>
      </c>
      <c r="T2048" s="6">
        <v>1.0900000000000001</v>
      </c>
      <c r="U2048" s="6">
        <v>1</v>
      </c>
      <c r="V2048" s="7">
        <v>45352</v>
      </c>
      <c r="W2048" s="10">
        <f ca="1">IFERROR(__xludf.DUMMYFUNCTION("IFERROR(GOOGLEFINANCE(B2048,""pe""),V2048)"),45352)</f>
        <v>45352</v>
      </c>
      <c r="X2048" s="6">
        <v>0.05</v>
      </c>
      <c r="Y2048" s="6">
        <v>0.85</v>
      </c>
      <c r="Z2048" s="6">
        <v>1.05</v>
      </c>
      <c r="AA2048" s="3" t="s">
        <v>6332</v>
      </c>
      <c r="AB2048" s="11"/>
      <c r="AC2048" s="9"/>
      <c r="AD2048" s="9"/>
      <c r="AE2048" s="1">
        <v>0</v>
      </c>
      <c r="AF2048" s="1">
        <f ca="1">IFERROR(__xludf.DUMMYFUNCTION("IFERROR(GOOGLEFINANCE(TRIM(F2048)&amp;"":"" &amp; TRIM(B2048),""high52""),AE2048)"),0)</f>
        <v>0</v>
      </c>
      <c r="AG2048" s="1">
        <v>0</v>
      </c>
      <c r="AH2048" s="1">
        <f ca="1">IFERROR(__xludf.DUMMYFUNCTION("IFERROR(GOOGLEFINANCE(TRIM(F2048)&amp;"":"" &amp; TRIM(B2048),""low52""),AE2048)"),0)</f>
        <v>0</v>
      </c>
      <c r="AI2048" s="1">
        <f ca="1">IFERROR(__xludf.DUMMYFUNCTION("IFERROR(GOOGLEFINANCE(B2048,""eps""),0)"),0)</f>
        <v>0</v>
      </c>
      <c r="AJ2048" s="1"/>
      <c r="AK2048" s="1" t="s">
        <v>6333</v>
      </c>
      <c r="AL2048" s="9">
        <f t="shared" si="228"/>
        <v>1</v>
      </c>
    </row>
    <row r="2049" spans="1:38" ht="15" x14ac:dyDescent="0.25">
      <c r="A2049" s="1" t="s">
        <v>6334</v>
      </c>
      <c r="B2049" s="1" t="s">
        <v>6335</v>
      </c>
      <c r="C2049" s="1" t="s">
        <v>208</v>
      </c>
      <c r="D2049" s="1" t="s">
        <v>208</v>
      </c>
      <c r="E2049" s="6">
        <v>247.21</v>
      </c>
      <c r="F2049" s="1" t="s">
        <v>53</v>
      </c>
      <c r="G2049" s="6">
        <f ca="1">IFERROR(__xludf.DUMMYFUNCTION("iferror(GOOGLEFINANCE(TRIM(F2049)&amp;"":"" &amp; TRIM(B2049), ""price""),0
)"),0)</f>
        <v>0</v>
      </c>
      <c r="H2049" s="6">
        <v>194</v>
      </c>
      <c r="I2049" s="6">
        <f t="shared" ca="1" si="0"/>
        <v>194</v>
      </c>
      <c r="J2049" s="6">
        <f ca="1">IFERROR(__xludf.DUMMYFUNCTION("IFERROR(GOOGLEFINANCE(B2049, ""volume""), 0)"),0)</f>
        <v>0</v>
      </c>
      <c r="K2049" s="6">
        <v>1.6</v>
      </c>
      <c r="L2049" s="6">
        <f ca="1">IFERROR(__xludf.DUMMYFUNCTION("IFERROR(GOOGLEFINANCE(B2049,""changepct""),K2049)"),1.6)</f>
        <v>1.6</v>
      </c>
      <c r="M2049" s="6">
        <f ca="1">IFERROR(__xludf.DUMMYFUNCTION("IFERROR(GOOGLEFINANCE(B2049,""change""),0)"),0)</f>
        <v>0</v>
      </c>
      <c r="N2049" s="6">
        <v>2</v>
      </c>
      <c r="O2049" s="7">
        <v>45536</v>
      </c>
      <c r="P2049" s="6">
        <v>24.23</v>
      </c>
      <c r="Q2049" s="7">
        <v>45536</v>
      </c>
      <c r="R2049" s="6">
        <v>12.98</v>
      </c>
      <c r="S2049" s="6">
        <v>0.86</v>
      </c>
      <c r="T2049" s="6">
        <v>1.17</v>
      </c>
      <c r="U2049" s="6">
        <v>2</v>
      </c>
      <c r="V2049" s="7">
        <v>45352</v>
      </c>
      <c r="W2049" s="10">
        <f ca="1">IFERROR(__xludf.DUMMYFUNCTION("IFERROR(GOOGLEFINANCE(B2049,""pe""),V2049)"),45352)</f>
        <v>45352</v>
      </c>
      <c r="X2049" s="6">
        <v>0.13</v>
      </c>
      <c r="Y2049" s="6">
        <v>9.1199999999999992</v>
      </c>
      <c r="Z2049" s="6">
        <v>11.29</v>
      </c>
      <c r="AA2049" s="3" t="s">
        <v>6336</v>
      </c>
      <c r="AB2049" s="11"/>
      <c r="AC2049" s="9"/>
      <c r="AD2049" s="9"/>
      <c r="AE2049" s="1">
        <v>0</v>
      </c>
      <c r="AF2049" s="1">
        <f ca="1">IFERROR(__xludf.DUMMYFUNCTION("IFERROR(GOOGLEFINANCE(TRIM(F2049)&amp;"":"" &amp; TRIM(B2049),""high52""),AE2049)"),0)</f>
        <v>0</v>
      </c>
      <c r="AG2049" s="1">
        <v>0</v>
      </c>
      <c r="AH2049" s="1">
        <f ca="1">IFERROR(__xludf.DUMMYFUNCTION("IFERROR(GOOGLEFINANCE(TRIM(F2049)&amp;"":"" &amp; TRIM(B2049),""low52""),AE2049)"),0)</f>
        <v>0</v>
      </c>
      <c r="AI2049" s="1">
        <f ca="1">IFERROR(__xludf.DUMMYFUNCTION("IFERROR(GOOGLEFINANCE(B2049,""eps""),0)"),0)</f>
        <v>0</v>
      </c>
      <c r="AJ2049" s="1"/>
      <c r="AK2049" s="9"/>
      <c r="AL2049" s="9">
        <f t="shared" si="228"/>
        <v>1</v>
      </c>
    </row>
    <row r="2050" spans="1:38" ht="15" x14ac:dyDescent="0.25">
      <c r="A2050" s="1" t="s">
        <v>6337</v>
      </c>
      <c r="B2050" s="1" t="s">
        <v>6338</v>
      </c>
      <c r="C2050" s="1" t="s">
        <v>208</v>
      </c>
      <c r="D2050" s="1" t="s">
        <v>208</v>
      </c>
      <c r="E2050" s="6">
        <v>65.44</v>
      </c>
      <c r="F2050" s="1" t="s">
        <v>53</v>
      </c>
      <c r="G2050" s="6">
        <f ca="1">IFERROR(__xludf.DUMMYFUNCTION("iferror(GOOGLEFINANCE(TRIM(F2050)&amp;"":"" &amp; TRIM(B2050), ""price""),0
)"),0)</f>
        <v>0</v>
      </c>
      <c r="H2050" s="6">
        <v>10.54</v>
      </c>
      <c r="I2050" s="6">
        <f t="shared" ca="1" si="0"/>
        <v>10.54</v>
      </c>
      <c r="J2050" s="6">
        <f ca="1">IFERROR(__xludf.DUMMYFUNCTION("IFERROR(GOOGLEFINANCE(B2050, ""volume""), 0)"),0)</f>
        <v>0</v>
      </c>
      <c r="K2050" s="6">
        <v>0.48</v>
      </c>
      <c r="L2050" s="6">
        <f ca="1">IFERROR(__xludf.DUMMYFUNCTION("IFERROR(GOOGLEFINANCE(B2050,""changepct""),K2050)"),0.48)</f>
        <v>0.48</v>
      </c>
      <c r="M2050" s="6">
        <f ca="1">IFERROR(__xludf.DUMMYFUNCTION("IFERROR(GOOGLEFINANCE(B2050,""change""),0)"),0)</f>
        <v>0</v>
      </c>
      <c r="N2050" s="6">
        <v>2</v>
      </c>
      <c r="O2050" s="7">
        <v>45536</v>
      </c>
      <c r="P2050" s="6">
        <v>5</v>
      </c>
      <c r="Q2050" s="7">
        <v>45536</v>
      </c>
      <c r="R2050" s="6">
        <v>13.08</v>
      </c>
      <c r="S2050" s="6">
        <v>1</v>
      </c>
      <c r="T2050" s="6">
        <v>1.04</v>
      </c>
      <c r="U2050" s="6">
        <v>2</v>
      </c>
      <c r="V2050" s="7">
        <v>45352</v>
      </c>
      <c r="W2050" s="10">
        <f ca="1">IFERROR(__xludf.DUMMYFUNCTION("IFERROR(GOOGLEFINANCE(B2050,""pe""),V2050)"),45352)</f>
        <v>45352</v>
      </c>
      <c r="X2050" s="6">
        <v>0.47</v>
      </c>
      <c r="Y2050" s="6">
        <v>9.81</v>
      </c>
      <c r="Z2050" s="6">
        <v>12.53</v>
      </c>
      <c r="AA2050" s="3" t="s">
        <v>6339</v>
      </c>
      <c r="AB2050" s="11"/>
      <c r="AC2050" s="9"/>
      <c r="AD2050" s="9"/>
      <c r="AE2050" s="1">
        <v>0</v>
      </c>
      <c r="AF2050" s="1">
        <f ca="1">IFERROR(__xludf.DUMMYFUNCTION("IFERROR(GOOGLEFINANCE(TRIM(F2050)&amp;"":"" &amp; TRIM(B2050),""high52""),AE2050)"),0)</f>
        <v>0</v>
      </c>
      <c r="AG2050" s="1">
        <v>0</v>
      </c>
      <c r="AH2050" s="1">
        <f ca="1">IFERROR(__xludf.DUMMYFUNCTION("IFERROR(GOOGLEFINANCE(TRIM(F2050)&amp;"":"" &amp; TRIM(B2050),""low52""),AE2050)"),0)</f>
        <v>0</v>
      </c>
      <c r="AI2050" s="1">
        <f ca="1">IFERROR(__xludf.DUMMYFUNCTION("IFERROR(GOOGLEFINANCE(B2050,""eps""),0)"),0)</f>
        <v>0</v>
      </c>
      <c r="AJ2050" s="1"/>
      <c r="AK2050" s="1" t="s">
        <v>6340</v>
      </c>
      <c r="AL2050" s="9">
        <f t="shared" si="228"/>
        <v>1</v>
      </c>
    </row>
    <row r="2051" spans="1:38" ht="15" x14ac:dyDescent="0.25">
      <c r="A2051" s="1" t="s">
        <v>6341</v>
      </c>
      <c r="B2051" s="1" t="s">
        <v>6342</v>
      </c>
      <c r="C2051" s="1" t="s">
        <v>208</v>
      </c>
      <c r="D2051" s="1" t="s">
        <v>208</v>
      </c>
      <c r="E2051" s="6">
        <v>29.45</v>
      </c>
      <c r="F2051" s="1" t="s">
        <v>53</v>
      </c>
      <c r="G2051" s="6">
        <f ca="1">IFERROR(__xludf.DUMMYFUNCTION("iferror(GOOGLEFINANCE(TRIM(F2051)&amp;"":"" &amp; TRIM(B2051), ""price""),0
)"),0)</f>
        <v>0</v>
      </c>
      <c r="H2051" s="6">
        <v>31.89</v>
      </c>
      <c r="I2051" s="6">
        <f t="shared" ca="1" si="0"/>
        <v>31.89</v>
      </c>
      <c r="J2051" s="6">
        <f ca="1">IFERROR(__xludf.DUMMYFUNCTION("IFERROR(GOOGLEFINANCE(B2051, ""volume""), 0)"),0)</f>
        <v>0</v>
      </c>
      <c r="K2051" s="6">
        <v>-0.75</v>
      </c>
      <c r="L2051" s="6">
        <f ca="1">IFERROR(__xludf.DUMMYFUNCTION("IFERROR(GOOGLEFINANCE(B2051,""changepct""),K2051)"),-0.75)</f>
        <v>-0.75</v>
      </c>
      <c r="M2051" s="6">
        <f ca="1">IFERROR(__xludf.DUMMYFUNCTION("IFERROR(GOOGLEFINANCE(B2051,""change""),0)"),0)</f>
        <v>0</v>
      </c>
      <c r="N2051" s="6">
        <v>1</v>
      </c>
      <c r="O2051" s="7">
        <v>45536</v>
      </c>
      <c r="P2051" s="6">
        <v>2.17</v>
      </c>
      <c r="Q2051" s="7">
        <v>45536</v>
      </c>
      <c r="R2051" s="6">
        <v>13.54</v>
      </c>
      <c r="S2051" s="6">
        <v>0.35</v>
      </c>
      <c r="T2051" s="6">
        <v>1.27</v>
      </c>
      <c r="U2051" s="6">
        <v>1</v>
      </c>
      <c r="V2051" s="7">
        <v>45352</v>
      </c>
      <c r="W2051" s="10">
        <f ca="1">IFERROR(__xludf.DUMMYFUNCTION("IFERROR(GOOGLEFINANCE(B2051,""pe""),V2051)"),45352)</f>
        <v>45352</v>
      </c>
      <c r="X2051" s="6">
        <v>0</v>
      </c>
      <c r="Y2051" s="6">
        <v>31.53</v>
      </c>
      <c r="Z2051" s="6">
        <v>34.869999999999997</v>
      </c>
      <c r="AA2051" s="3" t="s">
        <v>6343</v>
      </c>
      <c r="AB2051" s="11"/>
      <c r="AC2051" s="9"/>
      <c r="AD2051" s="9"/>
      <c r="AE2051" s="1">
        <v>0</v>
      </c>
      <c r="AF2051" s="1">
        <f ca="1">IFERROR(__xludf.DUMMYFUNCTION("IFERROR(GOOGLEFINANCE(TRIM(F2051)&amp;"":"" &amp; TRIM(B2051),""high52""),AE2051)"),0)</f>
        <v>0</v>
      </c>
      <c r="AG2051" s="1">
        <v>0</v>
      </c>
      <c r="AH2051" s="1">
        <f ca="1">IFERROR(__xludf.DUMMYFUNCTION("IFERROR(GOOGLEFINANCE(TRIM(F2051)&amp;"":"" &amp; TRIM(B2051),""low52""),AE2051)"),0)</f>
        <v>0</v>
      </c>
      <c r="AI2051" s="1">
        <f ca="1">IFERROR(__xludf.DUMMYFUNCTION("IFERROR(GOOGLEFINANCE(B2051,""eps""),0)"),0)</f>
        <v>0</v>
      </c>
      <c r="AJ2051" s="1"/>
      <c r="AK2051" s="1" t="s">
        <v>6344</v>
      </c>
      <c r="AL2051" s="9">
        <f t="shared" si="228"/>
        <v>1</v>
      </c>
    </row>
    <row r="2052" spans="1:38" ht="15" x14ac:dyDescent="0.25">
      <c r="A2052" s="1" t="s">
        <v>6345</v>
      </c>
      <c r="B2052" s="1" t="s">
        <v>6346</v>
      </c>
      <c r="C2052" s="1" t="s">
        <v>239</v>
      </c>
      <c r="D2052" s="1" t="s">
        <v>239</v>
      </c>
      <c r="E2052" s="6">
        <v>3091.53</v>
      </c>
      <c r="F2052" s="1" t="s">
        <v>40</v>
      </c>
      <c r="G2052" s="6">
        <f ca="1">IFERROR(__xludf.DUMMYFUNCTION("iferror(GOOGLEFINANCE(TRIM(F2052)&amp;"":"" &amp; TRIM(B2052), ""price""),0
)"),170.5)</f>
        <v>170.5</v>
      </c>
      <c r="H2052" s="6">
        <v>240.49</v>
      </c>
      <c r="I2052" s="6">
        <f t="shared" ca="1" si="0"/>
        <v>170.5</v>
      </c>
      <c r="J2052" s="6">
        <f ca="1">IFERROR(__xludf.DUMMYFUNCTION("IFERROR(GOOGLEFINANCE(B2052, ""volume""), 0)"),773901)</f>
        <v>773901</v>
      </c>
      <c r="K2052" s="6">
        <v>0.33</v>
      </c>
      <c r="L2052" s="6">
        <f ca="1">IFERROR(__xludf.DUMMYFUNCTION("IFERROR(GOOGLEFINANCE(B2052,""changepct""),K2052)"),-13.89)</f>
        <v>-13.89</v>
      </c>
      <c r="M2052" s="6">
        <f ca="1">IFERROR(__xludf.DUMMYFUNCTION("IFERROR(GOOGLEFINANCE(B2052,""change""),0)"),-0.2)</f>
        <v>-0.2</v>
      </c>
      <c r="N2052" s="6">
        <v>2</v>
      </c>
      <c r="O2052" s="7">
        <v>45536</v>
      </c>
      <c r="P2052" s="6">
        <v>442.32</v>
      </c>
      <c r="Q2052" s="6">
        <v>2836.94</v>
      </c>
      <c r="R2052" s="7">
        <v>45536</v>
      </c>
      <c r="S2052" s="6">
        <v>2695.64</v>
      </c>
      <c r="T2052" s="6">
        <v>328.13</v>
      </c>
      <c r="U2052" s="7">
        <v>45536</v>
      </c>
      <c r="V2052" s="6">
        <v>14.11</v>
      </c>
      <c r="W2052" s="6">
        <f ca="1">IFERROR(__xludf.DUMMYFUNCTION("IFERROR(GOOGLEFINANCE(B2052,""pe""),V2052)"),14.11)</f>
        <v>14.11</v>
      </c>
      <c r="X2052" s="6">
        <v>0.78</v>
      </c>
      <c r="Y2052" s="6">
        <v>2.08</v>
      </c>
      <c r="Z2052" s="6">
        <v>2</v>
      </c>
      <c r="AA2052" s="8">
        <v>45352</v>
      </c>
      <c r="AB2052" s="4">
        <v>0.34</v>
      </c>
      <c r="AC2052" s="6">
        <v>20.97</v>
      </c>
      <c r="AD2052" s="6">
        <v>18.329999999999998</v>
      </c>
      <c r="AE2052" s="1">
        <v>0</v>
      </c>
      <c r="AF2052" s="1">
        <f ca="1">IFERROR(__xludf.DUMMYFUNCTION("IFERROR(GOOGLEFINANCE(TRIM(F2052)&amp;"":"" &amp; TRIM(B2052),""high52""),AE2052)"),230)</f>
        <v>230</v>
      </c>
      <c r="AG2052" s="1">
        <v>0</v>
      </c>
      <c r="AH2052" s="1">
        <f ca="1">IFERROR(__xludf.DUMMYFUNCTION("IFERROR(GOOGLEFINANCE(TRIM(F2052)&amp;"":"" &amp; TRIM(B2052),""low52""),AE2052)"),159.01)</f>
        <v>159.01</v>
      </c>
      <c r="AI2052" s="1">
        <f ca="1">IFERROR(__xludf.DUMMYFUNCTION("IFERROR(GOOGLEFINANCE(B2052,""eps""),0)"),-0.06)</f>
        <v>-0.06</v>
      </c>
      <c r="AJ2052" s="1"/>
      <c r="AK2052" s="1" t="s">
        <v>6347</v>
      </c>
      <c r="AL2052" s="1" t="b">
        <f>ISNUMBER(AA2052)</f>
        <v>1</v>
      </c>
    </row>
    <row r="2053" spans="1:38" ht="15" x14ac:dyDescent="0.25">
      <c r="A2053" s="1" t="s">
        <v>6348</v>
      </c>
      <c r="B2053" s="1" t="s">
        <v>6349</v>
      </c>
      <c r="C2053" s="1" t="s">
        <v>3477</v>
      </c>
      <c r="D2053" s="1" t="s">
        <v>3477</v>
      </c>
      <c r="E2053" s="6">
        <v>3723.48</v>
      </c>
      <c r="F2053" s="1" t="s">
        <v>40</v>
      </c>
      <c r="G2053" s="6">
        <f ca="1">IFERROR(__xludf.DUMMYFUNCTION("iferror(GOOGLEFINANCE(TRIM(F2053)&amp;"":"" &amp; TRIM(B2053), ""price""),0
)"),2338)</f>
        <v>2338</v>
      </c>
      <c r="H2053" s="6">
        <v>3022</v>
      </c>
      <c r="I2053" s="6">
        <f t="shared" ca="1" si="0"/>
        <v>2338</v>
      </c>
      <c r="J2053" s="6">
        <f ca="1">IFERROR(__xludf.DUMMYFUNCTION("IFERROR(GOOGLEFINANCE(B2053, ""volume""), 0)"),11204)</f>
        <v>11204</v>
      </c>
      <c r="K2053" s="6">
        <v>-0.46</v>
      </c>
      <c r="L2053" s="6">
        <f ca="1">IFERROR(__xludf.DUMMYFUNCTION("IFERROR(GOOGLEFINANCE(B2053,""changepct""),K2053)"),-1.31)</f>
        <v>-1.31</v>
      </c>
      <c r="M2053" s="6">
        <f ca="1">IFERROR(__xludf.DUMMYFUNCTION("IFERROR(GOOGLEFINANCE(B2053,""change""),0)"),-31.1)</f>
        <v>-31.1</v>
      </c>
      <c r="N2053" s="6">
        <v>2</v>
      </c>
      <c r="O2053" s="7">
        <v>45536</v>
      </c>
      <c r="P2053" s="6">
        <v>112.99</v>
      </c>
      <c r="Q2053" s="6">
        <v>3266.5</v>
      </c>
      <c r="R2053" s="7">
        <v>45536</v>
      </c>
      <c r="S2053" s="6">
        <v>1476.08</v>
      </c>
      <c r="T2053" s="6">
        <v>135.41999999999999</v>
      </c>
      <c r="U2053" s="7">
        <v>45536</v>
      </c>
      <c r="V2053" s="6">
        <v>39.92</v>
      </c>
      <c r="W2053" s="6">
        <f ca="1">IFERROR(__xludf.DUMMYFUNCTION("IFERROR(GOOGLEFINANCE(B2053,""pe""),V2053)"),31.18)</f>
        <v>31.18</v>
      </c>
      <c r="X2053" s="6">
        <v>1.1100000000000001</v>
      </c>
      <c r="Y2053" s="6">
        <v>4.38</v>
      </c>
      <c r="Z2053" s="6">
        <v>2</v>
      </c>
      <c r="AA2053" s="8">
        <v>45352</v>
      </c>
      <c r="AB2053" s="4">
        <v>0.14000000000000001</v>
      </c>
      <c r="AC2053" s="6">
        <v>23.1</v>
      </c>
      <c r="AD2053" s="6">
        <v>30.8</v>
      </c>
      <c r="AE2053" s="1">
        <v>0</v>
      </c>
      <c r="AF2053" s="1">
        <f ca="1">IFERROR(__xludf.DUMMYFUNCTION("IFERROR(GOOGLEFINANCE(TRIM(F2053)&amp;"":"" &amp; TRIM(B2053),""high52""),AE2053)"),3351)</f>
        <v>3351</v>
      </c>
      <c r="AG2053" s="1">
        <v>0</v>
      </c>
      <c r="AH2053" s="1">
        <f ca="1">IFERROR(__xludf.DUMMYFUNCTION("IFERROR(GOOGLEFINANCE(TRIM(F2053)&amp;"":"" &amp; TRIM(B2053),""low52""),AE2053)"),2050)</f>
        <v>2050</v>
      </c>
      <c r="AI2053" s="1">
        <f ca="1">IFERROR(__xludf.DUMMYFUNCTION("IFERROR(GOOGLEFINANCE(B2053,""eps""),0)"),74.98)</f>
        <v>74.98</v>
      </c>
      <c r="AJ2053" s="1"/>
      <c r="AK2053" s="1" t="s">
        <v>6350</v>
      </c>
      <c r="AL2053" s="9">
        <f t="shared" ref="AL2053:AL2055" si="229">IF(AA2053&lt;&gt;AB2053,1,0)</f>
        <v>1</v>
      </c>
    </row>
    <row r="2054" spans="1:38" ht="15" x14ac:dyDescent="0.25">
      <c r="A2054" s="1" t="s">
        <v>6351</v>
      </c>
      <c r="B2054" s="1" t="s">
        <v>6352</v>
      </c>
      <c r="C2054" s="1" t="s">
        <v>86</v>
      </c>
      <c r="D2054" s="1" t="s">
        <v>86</v>
      </c>
      <c r="E2054" s="6">
        <v>32259.45</v>
      </c>
      <c r="F2054" s="1" t="s">
        <v>40</v>
      </c>
      <c r="G2054" s="6">
        <f ca="1">IFERROR(__xludf.DUMMYFUNCTION("iferror(GOOGLEFINANCE(TRIM(F2054)&amp;"":"" &amp; TRIM(B2054), ""price""),0
)"),620)</f>
        <v>620</v>
      </c>
      <c r="H2054" s="6">
        <v>1218.4000000000001</v>
      </c>
      <c r="I2054" s="6">
        <f t="shared" ca="1" si="0"/>
        <v>620</v>
      </c>
      <c r="J2054" s="6">
        <f ca="1">IFERROR(__xludf.DUMMYFUNCTION("IFERROR(GOOGLEFINANCE(B2054, ""volume""), 0)"),0)</f>
        <v>0</v>
      </c>
      <c r="K2054" s="6">
        <v>0.54</v>
      </c>
      <c r="L2054" s="6">
        <f ca="1">IFERROR(__xludf.DUMMYFUNCTION("IFERROR(GOOGLEFINANCE(B2054,""changepct""),K2054)"),-0.85)</f>
        <v>-0.85</v>
      </c>
      <c r="M2054" s="6">
        <f ca="1">IFERROR(__xludf.DUMMYFUNCTION("IFERROR(GOOGLEFINANCE(B2054,""change""),0)"),0)</f>
        <v>0</v>
      </c>
      <c r="N2054" s="6">
        <v>2</v>
      </c>
      <c r="O2054" s="7">
        <v>45536</v>
      </c>
      <c r="P2054" s="6">
        <v>4070.97</v>
      </c>
      <c r="Q2054" s="6">
        <v>35813.89</v>
      </c>
      <c r="R2054" s="7">
        <v>45536</v>
      </c>
      <c r="S2054" s="6">
        <v>20796.75</v>
      </c>
      <c r="T2054" s="6">
        <v>421.61</v>
      </c>
      <c r="U2054" s="7">
        <v>45536</v>
      </c>
      <c r="V2054" s="6">
        <v>76.510000000000005</v>
      </c>
      <c r="W2054" s="6">
        <f ca="1">IFERROR(__xludf.DUMMYFUNCTION("IFERROR(GOOGLEFINANCE(B2054,""pe""),V2054)"),76.51)</f>
        <v>76.510000000000005</v>
      </c>
      <c r="X2054" s="6">
        <v>-11.09</v>
      </c>
      <c r="Y2054" s="6">
        <v>6.38</v>
      </c>
      <c r="Z2054" s="6">
        <v>2</v>
      </c>
      <c r="AA2054" s="8">
        <v>45352</v>
      </c>
      <c r="AB2054" s="4">
        <v>0.93</v>
      </c>
      <c r="AC2054" s="6">
        <v>8.82</v>
      </c>
      <c r="AD2054" s="6">
        <v>16.45</v>
      </c>
      <c r="AE2054" s="1">
        <v>0</v>
      </c>
      <c r="AF2054" s="1">
        <f ca="1">IFERROR(__xludf.DUMMYFUNCTION("IFERROR(GOOGLEFINANCE(TRIM(F2054)&amp;"":"" &amp; TRIM(B2054),""high52""),AE2054)"),947)</f>
        <v>947</v>
      </c>
      <c r="AG2054" s="1">
        <v>0</v>
      </c>
      <c r="AH2054" s="1">
        <f ca="1">IFERROR(__xludf.DUMMYFUNCTION("IFERROR(GOOGLEFINANCE(TRIM(F2054)&amp;"":"" &amp; TRIM(B2054),""low52""),AE2054)"),603.85)</f>
        <v>603.85</v>
      </c>
      <c r="AI2054" s="1">
        <f ca="1">IFERROR(__xludf.DUMMYFUNCTION("IFERROR(GOOGLEFINANCE(B2054,""eps""),0)"),0)</f>
        <v>0</v>
      </c>
      <c r="AJ2054" s="1"/>
      <c r="AK2054" s="1" t="s">
        <v>6353</v>
      </c>
      <c r="AL2054" s="9">
        <f t="shared" si="229"/>
        <v>1</v>
      </c>
    </row>
    <row r="2055" spans="1:38" ht="15" x14ac:dyDescent="0.25">
      <c r="A2055" s="1" t="s">
        <v>6354</v>
      </c>
      <c r="B2055" s="1" t="s">
        <v>6355</v>
      </c>
      <c r="C2055" s="1" t="s">
        <v>208</v>
      </c>
      <c r="D2055" s="1" t="s">
        <v>208</v>
      </c>
      <c r="E2055" s="6">
        <v>102.31</v>
      </c>
      <c r="F2055" s="1" t="s">
        <v>53</v>
      </c>
      <c r="G2055" s="6">
        <f ca="1">IFERROR(__xludf.DUMMYFUNCTION("iferror(GOOGLEFINANCE(TRIM(F2055)&amp;"":"" &amp; TRIM(B2055), ""price""),0
)"),0)</f>
        <v>0</v>
      </c>
      <c r="H2055" s="6">
        <v>305</v>
      </c>
      <c r="I2055" s="6">
        <f t="shared" ca="1" si="0"/>
        <v>305</v>
      </c>
      <c r="J2055" s="6">
        <f ca="1">IFERROR(__xludf.DUMMYFUNCTION("IFERROR(GOOGLEFINANCE(B2055, ""volume""), 0)"),0)</f>
        <v>0</v>
      </c>
      <c r="K2055" s="6">
        <v>2.85</v>
      </c>
      <c r="L2055" s="6">
        <f ca="1">IFERROR(__xludf.DUMMYFUNCTION("IFERROR(GOOGLEFINANCE(B2055,""changepct""),K2055)"),2.85)</f>
        <v>2.85</v>
      </c>
      <c r="M2055" s="6">
        <f ca="1">IFERROR(__xludf.DUMMYFUNCTION("IFERROR(GOOGLEFINANCE(B2055,""change""),0)"),0)</f>
        <v>0</v>
      </c>
      <c r="N2055" s="6">
        <v>1</v>
      </c>
      <c r="O2055" s="7">
        <v>45536</v>
      </c>
      <c r="P2055" s="6">
        <v>7.27</v>
      </c>
      <c r="Q2055" s="7">
        <v>45536</v>
      </c>
      <c r="R2055" s="6">
        <v>14.07</v>
      </c>
      <c r="S2055" s="6">
        <v>2.21</v>
      </c>
      <c r="T2055" s="6">
        <v>1.39</v>
      </c>
      <c r="U2055" s="6">
        <v>1</v>
      </c>
      <c r="V2055" s="7">
        <v>45352</v>
      </c>
      <c r="W2055" s="10">
        <f ca="1">IFERROR(__xludf.DUMMYFUNCTION("IFERROR(GOOGLEFINANCE(B2055,""pe""),V2055)"),45352)</f>
        <v>45352</v>
      </c>
      <c r="X2055" s="6">
        <v>0.48</v>
      </c>
      <c r="Y2055" s="6">
        <v>9.9</v>
      </c>
      <c r="Z2055" s="6">
        <v>12.65</v>
      </c>
      <c r="AA2055" s="3" t="s">
        <v>6356</v>
      </c>
      <c r="AB2055" s="11"/>
      <c r="AC2055" s="9"/>
      <c r="AD2055" s="9"/>
      <c r="AE2055" s="1">
        <v>0</v>
      </c>
      <c r="AF2055" s="1">
        <f ca="1">IFERROR(__xludf.DUMMYFUNCTION("IFERROR(GOOGLEFINANCE(TRIM(F2055)&amp;"":"" &amp; TRIM(B2055),""high52""),AE2055)"),0)</f>
        <v>0</v>
      </c>
      <c r="AG2055" s="1">
        <v>0</v>
      </c>
      <c r="AH2055" s="1">
        <f ca="1">IFERROR(__xludf.DUMMYFUNCTION("IFERROR(GOOGLEFINANCE(TRIM(F2055)&amp;"":"" &amp; TRIM(B2055),""low52""),AE2055)"),0)</f>
        <v>0</v>
      </c>
      <c r="AI2055" s="1">
        <f ca="1">IFERROR(__xludf.DUMMYFUNCTION("IFERROR(GOOGLEFINANCE(B2055,""eps""),0)"),0)</f>
        <v>0</v>
      </c>
      <c r="AJ2055" s="1"/>
      <c r="AK2055" s="1" t="s">
        <v>6357</v>
      </c>
      <c r="AL2055" s="9">
        <f t="shared" si="229"/>
        <v>1</v>
      </c>
    </row>
    <row r="2056" spans="1:38" ht="15" x14ac:dyDescent="0.25">
      <c r="A2056" s="1" t="s">
        <v>6358</v>
      </c>
      <c r="B2056" s="1" t="s">
        <v>6359</v>
      </c>
      <c r="C2056" s="1" t="s">
        <v>577</v>
      </c>
      <c r="D2056" s="1" t="s">
        <v>577</v>
      </c>
      <c r="E2056" s="6">
        <v>42769.34</v>
      </c>
      <c r="F2056" s="1" t="s">
        <v>40</v>
      </c>
      <c r="G2056" s="6">
        <f ca="1">IFERROR(__xludf.DUMMYFUNCTION("iferror(GOOGLEFINANCE(TRIM(F2056)&amp;"":"" &amp; TRIM(B2056), ""price""),0
)"),4096)</f>
        <v>4096</v>
      </c>
      <c r="H2056" s="6">
        <v>4456.3</v>
      </c>
      <c r="I2056" s="6">
        <f t="shared" ca="1" si="0"/>
        <v>4096</v>
      </c>
      <c r="J2056" s="6">
        <f ca="1">IFERROR(__xludf.DUMMYFUNCTION("IFERROR(GOOGLEFINANCE(B2056, ""volume""), 0)"),22263)</f>
        <v>22263</v>
      </c>
      <c r="K2056" s="6">
        <v>-0.48</v>
      </c>
      <c r="L2056" s="6">
        <f ca="1">IFERROR(__xludf.DUMMYFUNCTION("IFERROR(GOOGLEFINANCE(B2056,""changepct""),K2056)"),2.06)</f>
        <v>2.06</v>
      </c>
      <c r="M2056" s="6">
        <f ca="1">IFERROR(__xludf.DUMMYFUNCTION("IFERROR(GOOGLEFINANCE(B2056,""change""),0)"),0.11)</f>
        <v>0.11</v>
      </c>
      <c r="N2056" s="6">
        <v>2</v>
      </c>
      <c r="O2056" s="7">
        <v>45536</v>
      </c>
      <c r="P2056" s="6">
        <v>314.02</v>
      </c>
      <c r="Q2056" s="6">
        <v>42838.84</v>
      </c>
      <c r="R2056" s="7">
        <v>45536</v>
      </c>
      <c r="S2056" s="6">
        <v>8721.14</v>
      </c>
      <c r="T2056" s="6">
        <v>624.32000000000005</v>
      </c>
      <c r="U2056" s="7">
        <v>45536</v>
      </c>
      <c r="V2056" s="6">
        <v>68.52</v>
      </c>
      <c r="W2056" s="6">
        <f ca="1">IFERROR(__xludf.DUMMYFUNCTION("IFERROR(GOOGLEFINANCE(B2056,""pe""),V2056)"),8.23)</f>
        <v>8.23</v>
      </c>
      <c r="X2056" s="6">
        <v>2.61</v>
      </c>
      <c r="Y2056" s="6">
        <v>7.84</v>
      </c>
      <c r="Z2056" s="6">
        <v>2</v>
      </c>
      <c r="AA2056" s="8">
        <v>45352</v>
      </c>
      <c r="AB2056" s="4">
        <v>0.04</v>
      </c>
      <c r="AC2056" s="6">
        <v>20.309999999999999</v>
      </c>
      <c r="AD2056" s="6">
        <v>27.47</v>
      </c>
      <c r="AE2056" s="1">
        <v>0</v>
      </c>
      <c r="AF2056" s="1">
        <f ca="1">IFERROR(__xludf.DUMMYFUNCTION("IFERROR(GOOGLEFINANCE(TRIM(F2056)&amp;"":"" &amp; TRIM(B2056),""high52""),AE2056)"),4587.3)</f>
        <v>4587.3</v>
      </c>
      <c r="AG2056" s="1">
        <v>0</v>
      </c>
      <c r="AH2056" s="1">
        <f ca="1">IFERROR(__xludf.DUMMYFUNCTION("IFERROR(GOOGLEFINANCE(TRIM(F2056)&amp;"":"" &amp; TRIM(B2056),""low52""),AE2056)"),2424)</f>
        <v>2424</v>
      </c>
      <c r="AI2056" s="1">
        <f ca="1">IFERROR(__xludf.DUMMYFUNCTION("IFERROR(GOOGLEFINANCE(B2056,""eps""),0)"),0.66)</f>
        <v>0.66</v>
      </c>
      <c r="AJ2056" s="1"/>
      <c r="AK2056" s="1" t="s">
        <v>6360</v>
      </c>
      <c r="AL2056" s="1" t="b">
        <f>ISNUMBER(AA2056)</f>
        <v>1</v>
      </c>
    </row>
    <row r="2057" spans="1:38" ht="15" x14ac:dyDescent="0.25">
      <c r="A2057" s="1" t="s">
        <v>6361</v>
      </c>
      <c r="B2057" s="1" t="s">
        <v>6362</v>
      </c>
      <c r="C2057" s="1" t="s">
        <v>57</v>
      </c>
      <c r="D2057" s="1" t="s">
        <v>57</v>
      </c>
      <c r="E2057" s="6">
        <v>1537.14</v>
      </c>
      <c r="F2057" s="1" t="s">
        <v>40</v>
      </c>
      <c r="G2057" s="6">
        <f ca="1">IFERROR(__xludf.DUMMYFUNCTION("iferror(GOOGLEFINANCE(TRIM(F2057)&amp;"":"" &amp; TRIM(B2057), ""price""),0
)"),15.6)</f>
        <v>15.6</v>
      </c>
      <c r="H2057" s="6">
        <v>159.47</v>
      </c>
      <c r="I2057" s="6">
        <f t="shared" ca="1" si="0"/>
        <v>15.6</v>
      </c>
      <c r="J2057" s="6">
        <f ca="1">IFERROR(__xludf.DUMMYFUNCTION("IFERROR(GOOGLEFINANCE(B2057, ""volume""), 0)"),1748825)</f>
        <v>1748825</v>
      </c>
      <c r="K2057" s="6">
        <v>0.9</v>
      </c>
      <c r="L2057" s="6">
        <f ca="1">IFERROR(__xludf.DUMMYFUNCTION("IFERROR(GOOGLEFINANCE(B2057,""changepct""),K2057)"),-3.11)</f>
        <v>-3.11</v>
      </c>
      <c r="M2057" s="6">
        <f ca="1">IFERROR(__xludf.DUMMYFUNCTION("IFERROR(GOOGLEFINANCE(B2057,""change""),0)"),-0.5)</f>
        <v>-0.5</v>
      </c>
      <c r="N2057" s="6">
        <v>2</v>
      </c>
      <c r="O2057" s="7">
        <v>45536</v>
      </c>
      <c r="P2057" s="6">
        <v>133.81</v>
      </c>
      <c r="Q2057" s="6">
        <v>1670.95</v>
      </c>
      <c r="R2057" s="7">
        <v>45536</v>
      </c>
      <c r="S2057" s="6">
        <v>1025.9000000000001</v>
      </c>
      <c r="T2057" s="6">
        <v>71.67</v>
      </c>
      <c r="U2057" s="7">
        <v>45536</v>
      </c>
      <c r="V2057" s="6">
        <v>21.45</v>
      </c>
      <c r="W2057" s="6">
        <f ca="1">IFERROR(__xludf.DUMMYFUNCTION("IFERROR(GOOGLEFINANCE(B2057,""pe""),V2057)"),9.21)</f>
        <v>9.2100000000000009</v>
      </c>
      <c r="X2057" s="6">
        <v>-5.94</v>
      </c>
      <c r="Y2057" s="6">
        <v>3.15</v>
      </c>
      <c r="Z2057" s="6">
        <v>2</v>
      </c>
      <c r="AA2057" s="8">
        <v>45352</v>
      </c>
      <c r="AB2057" s="4">
        <v>0.33</v>
      </c>
      <c r="AC2057" s="6">
        <v>15.77</v>
      </c>
      <c r="AD2057" s="6">
        <v>16.22</v>
      </c>
      <c r="AE2057" s="1">
        <v>0</v>
      </c>
      <c r="AF2057" s="1">
        <f ca="1">IFERROR(__xludf.DUMMYFUNCTION("IFERROR(GOOGLEFINANCE(TRIM(F2057)&amp;"":"" &amp; TRIM(B2057),""high52""),AE2057)"),33.15)</f>
        <v>33.15</v>
      </c>
      <c r="AG2057" s="1">
        <v>0</v>
      </c>
      <c r="AH2057" s="1">
        <f ca="1">IFERROR(__xludf.DUMMYFUNCTION("IFERROR(GOOGLEFINANCE(TRIM(F2057)&amp;"":"" &amp; TRIM(B2057),""low52""),AE2057)"),14.6)</f>
        <v>14.6</v>
      </c>
      <c r="AI2057" s="1">
        <f ca="1">IFERROR(__xludf.DUMMYFUNCTION("IFERROR(GOOGLEFINANCE(B2057,""eps""),0)"),1.69)</f>
        <v>1.69</v>
      </c>
      <c r="AJ2057" s="1"/>
      <c r="AK2057" s="1" t="s">
        <v>6363</v>
      </c>
      <c r="AL2057" s="9">
        <f t="shared" ref="AL2057:AL2060" si="230">IF(AA2057&lt;&gt;AB2057,1,0)</f>
        <v>1</v>
      </c>
    </row>
    <row r="2058" spans="1:38" ht="15" x14ac:dyDescent="0.25">
      <c r="A2058" s="1" t="s">
        <v>6364</v>
      </c>
      <c r="B2058" s="1" t="s">
        <v>6365</v>
      </c>
      <c r="C2058" s="1" t="s">
        <v>525</v>
      </c>
      <c r="D2058" s="1" t="s">
        <v>525</v>
      </c>
      <c r="E2058" s="6">
        <v>2385.37</v>
      </c>
      <c r="F2058" s="1" t="s">
        <v>40</v>
      </c>
      <c r="G2058" s="6">
        <f ca="1">IFERROR(__xludf.DUMMYFUNCTION("iferror(GOOGLEFINANCE(TRIM(F2058)&amp;"":"" &amp; TRIM(B2058), ""price""),0
)"),1189.1)</f>
        <v>1189.0999999999999</v>
      </c>
      <c r="H2058" s="6">
        <v>1400.05</v>
      </c>
      <c r="I2058" s="6">
        <f t="shared" ca="1" si="0"/>
        <v>1189.0999999999999</v>
      </c>
      <c r="J2058" s="6">
        <f ca="1">IFERROR(__xludf.DUMMYFUNCTION("IFERROR(GOOGLEFINANCE(B2058, ""volume""), 0)"),128711)</f>
        <v>128711</v>
      </c>
      <c r="K2058" s="6">
        <v>-1.95</v>
      </c>
      <c r="L2058" s="6">
        <f ca="1">IFERROR(__xludf.DUMMYFUNCTION("IFERROR(GOOGLEFINANCE(B2058,""changepct""),K2058)"),-1.34)</f>
        <v>-1.34</v>
      </c>
      <c r="M2058" s="6">
        <f ca="1">IFERROR(__xludf.DUMMYFUNCTION("IFERROR(GOOGLEFINANCE(B2058,""change""),0)"),-16.1)</f>
        <v>-16.100000000000001</v>
      </c>
      <c r="N2058" s="6">
        <v>2</v>
      </c>
      <c r="O2058" s="7">
        <v>45536</v>
      </c>
      <c r="P2058" s="6">
        <v>31.86</v>
      </c>
      <c r="Q2058" s="6">
        <v>2393.08</v>
      </c>
      <c r="R2058" s="7">
        <v>45536</v>
      </c>
      <c r="S2058" s="6">
        <v>87.12</v>
      </c>
      <c r="T2058" s="6">
        <v>-10.85</v>
      </c>
      <c r="U2058" s="7">
        <v>45536</v>
      </c>
      <c r="V2058" s="6">
        <v>0</v>
      </c>
      <c r="W2058" s="6">
        <f ca="1">IFERROR(__xludf.DUMMYFUNCTION("IFERROR(GOOGLEFINANCE(B2058,""pe""),V2058)"),37.19)</f>
        <v>37.19</v>
      </c>
      <c r="X2058" s="12"/>
      <c r="Y2058" s="6">
        <v>20.399999999999999</v>
      </c>
      <c r="Z2058" s="6">
        <v>2</v>
      </c>
      <c r="AA2058" s="8">
        <v>45352</v>
      </c>
      <c r="AB2058" s="4">
        <v>0.26</v>
      </c>
      <c r="AC2058" s="6">
        <v>-28.3</v>
      </c>
      <c r="AD2058" s="6">
        <v>-21.02</v>
      </c>
      <c r="AE2058" s="1">
        <v>0</v>
      </c>
      <c r="AF2058" s="1">
        <f ca="1">IFERROR(__xludf.DUMMYFUNCTION("IFERROR(GOOGLEFINANCE(TRIM(F2058)&amp;"":"" &amp; TRIM(B2058),""high52""),AE2058)"),1425)</f>
        <v>1425</v>
      </c>
      <c r="AG2058" s="1">
        <v>0</v>
      </c>
      <c r="AH2058" s="1">
        <f ca="1">IFERROR(__xludf.DUMMYFUNCTION("IFERROR(GOOGLEFINANCE(TRIM(F2058)&amp;"":"" &amp; TRIM(B2058),""low52""),AE2058)"),621.55)</f>
        <v>621.54999999999995</v>
      </c>
      <c r="AI2058" s="1">
        <f ca="1">IFERROR(__xludf.DUMMYFUNCTION("IFERROR(GOOGLEFINANCE(B2058,""eps""),0)"),31.97)</f>
        <v>31.97</v>
      </c>
      <c r="AJ2058" s="1"/>
      <c r="AK2058" s="9"/>
      <c r="AL2058" s="9">
        <f t="shared" si="230"/>
        <v>1</v>
      </c>
    </row>
    <row r="2059" spans="1:38" ht="15" x14ac:dyDescent="0.25">
      <c r="A2059" s="1" t="s">
        <v>6366</v>
      </c>
      <c r="B2059" s="1" t="s">
        <v>6367</v>
      </c>
      <c r="C2059" s="1" t="s">
        <v>208</v>
      </c>
      <c r="D2059" s="1" t="s">
        <v>208</v>
      </c>
      <c r="E2059" s="6">
        <v>42.44</v>
      </c>
      <c r="F2059" s="1" t="s">
        <v>53</v>
      </c>
      <c r="G2059" s="6">
        <f ca="1">IFERROR(__xludf.DUMMYFUNCTION("iferror(GOOGLEFINANCE(TRIM(F2059)&amp;"":"" &amp; TRIM(B2059), ""price""),0
)"),0)</f>
        <v>0</v>
      </c>
      <c r="H2059" s="6">
        <v>184.4</v>
      </c>
      <c r="I2059" s="6">
        <f t="shared" ca="1" si="0"/>
        <v>184.4</v>
      </c>
      <c r="J2059" s="6">
        <f ca="1">IFERROR(__xludf.DUMMYFUNCTION("IFERROR(GOOGLEFINANCE(B2059, ""volume""), 0)"),0)</f>
        <v>0</v>
      </c>
      <c r="K2059" s="6">
        <v>-1.99</v>
      </c>
      <c r="L2059" s="6">
        <f ca="1">IFERROR(__xludf.DUMMYFUNCTION("IFERROR(GOOGLEFINANCE(B2059,""changepct""),K2059)"),-1.99)</f>
        <v>-1.99</v>
      </c>
      <c r="M2059" s="6">
        <f ca="1">IFERROR(__xludf.DUMMYFUNCTION("IFERROR(GOOGLEFINANCE(B2059,""change""),0)"),0)</f>
        <v>0</v>
      </c>
      <c r="N2059" s="6">
        <v>1</v>
      </c>
      <c r="O2059" s="7">
        <v>45536</v>
      </c>
      <c r="P2059" s="6">
        <v>2.9</v>
      </c>
      <c r="Q2059" s="7">
        <v>45536</v>
      </c>
      <c r="R2059" s="6">
        <v>14.66</v>
      </c>
      <c r="S2059" s="6">
        <v>0.17</v>
      </c>
      <c r="T2059" s="6">
        <v>1</v>
      </c>
      <c r="U2059" s="6">
        <v>1</v>
      </c>
      <c r="V2059" s="7">
        <v>45352</v>
      </c>
      <c r="W2059" s="10">
        <f ca="1">IFERROR(__xludf.DUMMYFUNCTION("IFERROR(GOOGLEFINANCE(B2059,""pe""),V2059)"),45352)</f>
        <v>45352</v>
      </c>
      <c r="X2059" s="6">
        <v>0.19</v>
      </c>
      <c r="Y2059" s="6">
        <v>6.32</v>
      </c>
      <c r="Z2059" s="6">
        <v>10.97</v>
      </c>
      <c r="AA2059" s="3" t="s">
        <v>6368</v>
      </c>
      <c r="AB2059" s="11"/>
      <c r="AC2059" s="9"/>
      <c r="AD2059" s="9"/>
      <c r="AE2059" s="1">
        <v>0</v>
      </c>
      <c r="AF2059" s="1">
        <f ca="1">IFERROR(__xludf.DUMMYFUNCTION("IFERROR(GOOGLEFINANCE(TRIM(F2059)&amp;"":"" &amp; TRIM(B2059),""high52""),AE2059)"),0)</f>
        <v>0</v>
      </c>
      <c r="AG2059" s="1">
        <v>0</v>
      </c>
      <c r="AH2059" s="1">
        <f ca="1">IFERROR(__xludf.DUMMYFUNCTION("IFERROR(GOOGLEFINANCE(TRIM(F2059)&amp;"":"" &amp; TRIM(B2059),""low52""),AE2059)"),0)</f>
        <v>0</v>
      </c>
      <c r="AI2059" s="1">
        <f ca="1">IFERROR(__xludf.DUMMYFUNCTION("IFERROR(GOOGLEFINANCE(B2059,""eps""),0)"),0)</f>
        <v>0</v>
      </c>
      <c r="AJ2059" s="1"/>
      <c r="AK2059" s="1" t="s">
        <v>6369</v>
      </c>
      <c r="AL2059" s="9">
        <f t="shared" si="230"/>
        <v>1</v>
      </c>
    </row>
    <row r="2060" spans="1:38" ht="15" x14ac:dyDescent="0.25">
      <c r="A2060" s="1" t="s">
        <v>6370</v>
      </c>
      <c r="B2060" s="1" t="s">
        <v>6371</v>
      </c>
      <c r="C2060" s="1" t="s">
        <v>208</v>
      </c>
      <c r="D2060" s="1" t="s">
        <v>208</v>
      </c>
      <c r="E2060" s="6">
        <v>5.9</v>
      </c>
      <c r="F2060" s="1" t="s">
        <v>53</v>
      </c>
      <c r="G2060" s="6">
        <f ca="1">IFERROR(__xludf.DUMMYFUNCTION("iferror(GOOGLEFINANCE(TRIM(F2060)&amp;"":"" &amp; TRIM(B2060), ""price""),0
)"),0)</f>
        <v>0</v>
      </c>
      <c r="H2060" s="6">
        <v>14.33</v>
      </c>
      <c r="I2060" s="6">
        <f t="shared" ca="1" si="0"/>
        <v>14.33</v>
      </c>
      <c r="J2060" s="6">
        <f ca="1">IFERROR(__xludf.DUMMYFUNCTION("IFERROR(GOOGLEFINANCE(B2060, ""volume""), 0)"),0)</f>
        <v>0</v>
      </c>
      <c r="K2060" s="6">
        <v>0</v>
      </c>
      <c r="L2060" s="6">
        <f ca="1">IFERROR(__xludf.DUMMYFUNCTION("IFERROR(GOOGLEFINANCE(B2060,""changepct""),K2060)"),0)</f>
        <v>0</v>
      </c>
      <c r="M2060" s="6">
        <f ca="1">IFERROR(__xludf.DUMMYFUNCTION("IFERROR(GOOGLEFINANCE(B2060,""change""),0)"),0)</f>
        <v>0</v>
      </c>
      <c r="N2060" s="6">
        <v>1</v>
      </c>
      <c r="O2060" s="7">
        <v>45536</v>
      </c>
      <c r="P2060" s="6">
        <v>0.4</v>
      </c>
      <c r="Q2060" s="7">
        <v>45536</v>
      </c>
      <c r="R2060" s="6">
        <v>14.83</v>
      </c>
      <c r="S2060" s="9"/>
      <c r="T2060" s="6">
        <v>0.28999999999999998</v>
      </c>
      <c r="U2060" s="6">
        <v>1</v>
      </c>
      <c r="V2060" s="7">
        <v>45352</v>
      </c>
      <c r="W2060" s="10">
        <f ca="1">IFERROR(__xludf.DUMMYFUNCTION("IFERROR(GOOGLEFINANCE(B2060,""pe""),V2060)"),45352)</f>
        <v>45352</v>
      </c>
      <c r="X2060" s="6">
        <v>0</v>
      </c>
      <c r="Y2060" s="6">
        <v>-1.02</v>
      </c>
      <c r="Z2060" s="6">
        <v>-1.01</v>
      </c>
      <c r="AA2060" s="3" t="s">
        <v>6372</v>
      </c>
      <c r="AB2060" s="11"/>
      <c r="AC2060" s="9"/>
      <c r="AD2060" s="9"/>
      <c r="AE2060" s="1">
        <v>0</v>
      </c>
      <c r="AF2060" s="1">
        <f ca="1">IFERROR(__xludf.DUMMYFUNCTION("IFERROR(GOOGLEFINANCE(TRIM(F2060)&amp;"":"" &amp; TRIM(B2060),""high52""),AE2060)"),0)</f>
        <v>0</v>
      </c>
      <c r="AG2060" s="1">
        <v>0</v>
      </c>
      <c r="AH2060" s="1">
        <f ca="1">IFERROR(__xludf.DUMMYFUNCTION("IFERROR(GOOGLEFINANCE(TRIM(F2060)&amp;"":"" &amp; TRIM(B2060),""low52""),AE2060)"),0)</f>
        <v>0</v>
      </c>
      <c r="AI2060" s="1">
        <f ca="1">IFERROR(__xludf.DUMMYFUNCTION("IFERROR(GOOGLEFINANCE(B2060,""eps""),0)"),0)</f>
        <v>0</v>
      </c>
      <c r="AJ2060" s="1"/>
      <c r="AK2060" s="1" t="s">
        <v>6373</v>
      </c>
      <c r="AL2060" s="9">
        <f t="shared" si="230"/>
        <v>1</v>
      </c>
    </row>
    <row r="2061" spans="1:38" ht="15" x14ac:dyDescent="0.25">
      <c r="A2061" s="1" t="s">
        <v>6374</v>
      </c>
      <c r="B2061" s="1" t="s">
        <v>6375</v>
      </c>
      <c r="C2061" s="1" t="s">
        <v>239</v>
      </c>
      <c r="D2061" s="1" t="s">
        <v>239</v>
      </c>
      <c r="E2061" s="6">
        <v>7059.83</v>
      </c>
      <c r="F2061" s="1" t="s">
        <v>40</v>
      </c>
      <c r="G2061" s="6">
        <f ca="1">IFERROR(__xludf.DUMMYFUNCTION("iferror(GOOGLEFINANCE(TRIM(F2061)&amp;"":"" &amp; TRIM(B2061), ""price""),0
)"),9.23)</f>
        <v>9.23</v>
      </c>
      <c r="H2061" s="6">
        <v>226.79</v>
      </c>
      <c r="I2061" s="6">
        <f t="shared" ca="1" si="0"/>
        <v>9.23</v>
      </c>
      <c r="J2061" s="6">
        <f ca="1">IFERROR(__xludf.DUMMYFUNCTION("IFERROR(GOOGLEFINANCE(B2061, ""volume""), 0)"),827952)</f>
        <v>827952</v>
      </c>
      <c r="K2061" s="6">
        <v>-0.13</v>
      </c>
      <c r="L2061" s="6">
        <f ca="1">IFERROR(__xludf.DUMMYFUNCTION("IFERROR(GOOGLEFINANCE(B2061,""changepct""),K2061)"),2.33)</f>
        <v>2.33</v>
      </c>
      <c r="M2061" s="6">
        <f ca="1">IFERROR(__xludf.DUMMYFUNCTION("IFERROR(GOOGLEFINANCE(B2061,""change""),0)"),0.21)</f>
        <v>0.21</v>
      </c>
      <c r="N2061" s="6">
        <v>2</v>
      </c>
      <c r="O2061" s="7">
        <v>45536</v>
      </c>
      <c r="P2061" s="6">
        <v>247.15</v>
      </c>
      <c r="Q2061" s="6">
        <v>7300.21</v>
      </c>
      <c r="R2061" s="7">
        <v>45536</v>
      </c>
      <c r="S2061" s="6">
        <v>2971.83</v>
      </c>
      <c r="T2061" s="6">
        <v>-379.25</v>
      </c>
      <c r="U2061" s="7">
        <v>45536</v>
      </c>
      <c r="V2061" s="6">
        <v>0</v>
      </c>
      <c r="W2061" s="6">
        <f ca="1">IFERROR(__xludf.DUMMYFUNCTION("IFERROR(GOOGLEFINANCE(B2061,""pe""),V2061)"),0.05)</f>
        <v>0.05</v>
      </c>
      <c r="X2061" s="6">
        <v>0</v>
      </c>
      <c r="Y2061" s="6">
        <v>797.37</v>
      </c>
      <c r="Z2061" s="6">
        <v>2</v>
      </c>
      <c r="AA2061" s="8">
        <v>45352</v>
      </c>
      <c r="AB2061" s="4">
        <v>23.91</v>
      </c>
      <c r="AC2061" s="6">
        <v>-135.24</v>
      </c>
      <c r="AD2061" s="6">
        <v>8.99</v>
      </c>
      <c r="AE2061" s="1">
        <v>0</v>
      </c>
      <c r="AF2061" s="1">
        <f ca="1">IFERROR(__xludf.DUMMYFUNCTION("IFERROR(GOOGLEFINANCE(TRIM(F2061)&amp;"":"" &amp; TRIM(B2061),""high52""),AE2061)"),13.94)</f>
        <v>13.94</v>
      </c>
      <c r="AG2061" s="1">
        <v>0</v>
      </c>
      <c r="AH2061" s="1">
        <f ca="1">IFERROR(__xludf.DUMMYFUNCTION("IFERROR(GOOGLEFINANCE(TRIM(F2061)&amp;"":"" &amp; TRIM(B2061),""low52""),AE2061)"),2.84)</f>
        <v>2.84</v>
      </c>
      <c r="AI2061" s="1">
        <f ca="1">IFERROR(__xludf.DUMMYFUNCTION("IFERROR(GOOGLEFINANCE(B2061,""eps""),0)"),181.98)</f>
        <v>181.98</v>
      </c>
      <c r="AJ2061" s="1"/>
      <c r="AK2061" s="1" t="s">
        <v>6376</v>
      </c>
      <c r="AL2061" s="1" t="b">
        <f>ISNUMBER(AA2061)</f>
        <v>1</v>
      </c>
    </row>
    <row r="2062" spans="1:38" ht="15" x14ac:dyDescent="0.25">
      <c r="A2062" s="1" t="s">
        <v>6377</v>
      </c>
      <c r="B2062" s="1" t="s">
        <v>6378</v>
      </c>
      <c r="C2062" s="1" t="s">
        <v>208</v>
      </c>
      <c r="D2062" s="1" t="s">
        <v>208</v>
      </c>
      <c r="E2062" s="6">
        <v>6.13</v>
      </c>
      <c r="F2062" s="1" t="s">
        <v>53</v>
      </c>
      <c r="G2062" s="6">
        <f ca="1">IFERROR(__xludf.DUMMYFUNCTION("iferror(GOOGLEFINANCE(TRIM(F2062)&amp;"":"" &amp; TRIM(B2062), ""price""),0
)"),0)</f>
        <v>0</v>
      </c>
      <c r="H2062" s="6">
        <v>60.06</v>
      </c>
      <c r="I2062" s="6">
        <f t="shared" ca="1" si="0"/>
        <v>60.06</v>
      </c>
      <c r="J2062" s="6">
        <f ca="1">IFERROR(__xludf.DUMMYFUNCTION("IFERROR(GOOGLEFINANCE(B2062, ""volume""), 0)"),0)</f>
        <v>0</v>
      </c>
      <c r="K2062" s="6">
        <v>-1.99</v>
      </c>
      <c r="L2062" s="6">
        <f ca="1">IFERROR(__xludf.DUMMYFUNCTION("IFERROR(GOOGLEFINANCE(B2062,""changepct""),K2062)"),-1.99)</f>
        <v>-1.99</v>
      </c>
      <c r="M2062" s="6">
        <f ca="1">IFERROR(__xludf.DUMMYFUNCTION("IFERROR(GOOGLEFINANCE(B2062,""change""),0)"),0)</f>
        <v>0</v>
      </c>
      <c r="N2062" s="6">
        <v>1</v>
      </c>
      <c r="O2062" s="7">
        <v>45536</v>
      </c>
      <c r="P2062" s="6">
        <v>0.39</v>
      </c>
      <c r="Q2062" s="7">
        <v>45536</v>
      </c>
      <c r="R2062" s="6">
        <v>15.88</v>
      </c>
      <c r="S2062" s="6">
        <v>0.54</v>
      </c>
      <c r="T2062" s="6">
        <v>1.28</v>
      </c>
      <c r="U2062" s="6">
        <v>1</v>
      </c>
      <c r="V2062" s="7">
        <v>45352</v>
      </c>
      <c r="W2062" s="10">
        <f ca="1">IFERROR(__xludf.DUMMYFUNCTION("IFERROR(GOOGLEFINANCE(B2062,""pe""),V2062)"),45352)</f>
        <v>45352</v>
      </c>
      <c r="X2062" s="6">
        <v>4.66</v>
      </c>
      <c r="Y2062" s="6">
        <v>1.21</v>
      </c>
      <c r="Z2062" s="6">
        <v>0.51</v>
      </c>
      <c r="AA2062" s="3" t="s">
        <v>6379</v>
      </c>
      <c r="AB2062" s="11"/>
      <c r="AC2062" s="9"/>
      <c r="AD2062" s="9"/>
      <c r="AE2062" s="1">
        <v>0</v>
      </c>
      <c r="AF2062" s="1">
        <f ca="1">IFERROR(__xludf.DUMMYFUNCTION("IFERROR(GOOGLEFINANCE(TRIM(F2062)&amp;"":"" &amp; TRIM(B2062),""high52""),AE2062)"),0)</f>
        <v>0</v>
      </c>
      <c r="AG2062" s="1">
        <v>0</v>
      </c>
      <c r="AH2062" s="1">
        <f ca="1">IFERROR(__xludf.DUMMYFUNCTION("IFERROR(GOOGLEFINANCE(TRIM(F2062)&amp;"":"" &amp; TRIM(B2062),""low52""),AE2062)"),0)</f>
        <v>0</v>
      </c>
      <c r="AI2062" s="1">
        <f ca="1">IFERROR(__xludf.DUMMYFUNCTION("IFERROR(GOOGLEFINANCE(B2062,""eps""),0)"),0)</f>
        <v>0</v>
      </c>
      <c r="AJ2062" s="1"/>
      <c r="AK2062" s="1" t="s">
        <v>6380</v>
      </c>
      <c r="AL2062" s="9">
        <f t="shared" ref="AL2062:AL2151" si="231">IF(AA2062&lt;&gt;AB2062,1,0)</f>
        <v>1</v>
      </c>
    </row>
    <row r="2063" spans="1:38" ht="15" x14ac:dyDescent="0.25">
      <c r="A2063" s="1" t="s">
        <v>6381</v>
      </c>
      <c r="B2063" s="1" t="s">
        <v>6382</v>
      </c>
      <c r="C2063" s="1" t="s">
        <v>208</v>
      </c>
      <c r="D2063" s="1" t="s">
        <v>208</v>
      </c>
      <c r="E2063" s="6">
        <v>171.27</v>
      </c>
      <c r="F2063" s="1" t="s">
        <v>53</v>
      </c>
      <c r="G2063" s="6">
        <f ca="1">IFERROR(__xludf.DUMMYFUNCTION("iferror(GOOGLEFINANCE(TRIM(F2063)&amp;"":"" &amp; TRIM(B2063), ""price""),0
)"),0)</f>
        <v>0</v>
      </c>
      <c r="H2063" s="6">
        <v>0.98</v>
      </c>
      <c r="I2063" s="6">
        <f t="shared" ca="1" si="0"/>
        <v>0.98</v>
      </c>
      <c r="J2063" s="6">
        <f ca="1">IFERROR(__xludf.DUMMYFUNCTION("IFERROR(GOOGLEFINANCE(B2063, ""volume""), 0)"),0)</f>
        <v>0</v>
      </c>
      <c r="K2063" s="6">
        <v>-1.01</v>
      </c>
      <c r="L2063" s="6">
        <f ca="1">IFERROR(__xludf.DUMMYFUNCTION("IFERROR(GOOGLEFINANCE(B2063,""changepct""),K2063)"),-1.01)</f>
        <v>-1.01</v>
      </c>
      <c r="M2063" s="6">
        <f ca="1">IFERROR(__xludf.DUMMYFUNCTION("IFERROR(GOOGLEFINANCE(B2063,""change""),0)"),0)</f>
        <v>0</v>
      </c>
      <c r="N2063" s="6">
        <v>2</v>
      </c>
      <c r="O2063" s="7">
        <v>45352</v>
      </c>
      <c r="P2063" s="6">
        <v>10.71</v>
      </c>
      <c r="Q2063" s="7">
        <v>45352</v>
      </c>
      <c r="R2063" s="6">
        <v>15.99</v>
      </c>
      <c r="S2063" s="9"/>
      <c r="T2063" s="6">
        <v>0.74</v>
      </c>
      <c r="U2063" s="6">
        <v>2</v>
      </c>
      <c r="V2063" s="7">
        <v>45352</v>
      </c>
      <c r="W2063" s="10">
        <f ca="1">IFERROR(__xludf.DUMMYFUNCTION("IFERROR(GOOGLEFINANCE(B2063,""pe""),V2063)"),45352)</f>
        <v>45352</v>
      </c>
      <c r="X2063" s="6">
        <v>1.54</v>
      </c>
      <c r="Y2063" s="6">
        <v>6.65</v>
      </c>
      <c r="Z2063" s="6">
        <v>6.48</v>
      </c>
      <c r="AA2063" s="3" t="s">
        <v>6383</v>
      </c>
      <c r="AB2063" s="11"/>
      <c r="AC2063" s="9"/>
      <c r="AD2063" s="9"/>
      <c r="AE2063" s="1">
        <v>0</v>
      </c>
      <c r="AF2063" s="1">
        <f ca="1">IFERROR(__xludf.DUMMYFUNCTION("IFERROR(GOOGLEFINANCE(TRIM(F2063)&amp;"":"" &amp; TRIM(B2063),""high52""),AE2063)"),0)</f>
        <v>0</v>
      </c>
      <c r="AG2063" s="1">
        <v>0</v>
      </c>
      <c r="AH2063" s="1">
        <f ca="1">IFERROR(__xludf.DUMMYFUNCTION("IFERROR(GOOGLEFINANCE(TRIM(F2063)&amp;"":"" &amp; TRIM(B2063),""low52""),AE2063)"),0)</f>
        <v>0</v>
      </c>
      <c r="AI2063" s="1">
        <f ca="1">IFERROR(__xludf.DUMMYFUNCTION("IFERROR(GOOGLEFINANCE(B2063,""eps""),0)"),0)</f>
        <v>0</v>
      </c>
      <c r="AJ2063" s="1"/>
      <c r="AK2063" s="1" t="s">
        <v>6384</v>
      </c>
      <c r="AL2063" s="9">
        <f t="shared" si="231"/>
        <v>1</v>
      </c>
    </row>
    <row r="2064" spans="1:38" ht="15" x14ac:dyDescent="0.25">
      <c r="A2064" s="1" t="s">
        <v>6385</v>
      </c>
      <c r="B2064" s="1" t="s">
        <v>6386</v>
      </c>
      <c r="C2064" s="1" t="s">
        <v>186</v>
      </c>
      <c r="D2064" s="1" t="s">
        <v>186</v>
      </c>
      <c r="E2064" s="6">
        <v>3753.9</v>
      </c>
      <c r="F2064" s="1" t="s">
        <v>40</v>
      </c>
      <c r="G2064" s="6">
        <f ca="1">IFERROR(__xludf.DUMMYFUNCTION("iferror(GOOGLEFINANCE(TRIM(F2064)&amp;"":"" &amp; TRIM(B2064), ""price""),0
)"),455)</f>
        <v>455</v>
      </c>
      <c r="H2064" s="6">
        <v>602.54999999999995</v>
      </c>
      <c r="I2064" s="6">
        <f t="shared" ca="1" si="0"/>
        <v>455</v>
      </c>
      <c r="J2064" s="6">
        <f ca="1">IFERROR(__xludf.DUMMYFUNCTION("IFERROR(GOOGLEFINANCE(B2064, ""volume""), 0)"),12081)</f>
        <v>12081</v>
      </c>
      <c r="K2064" s="6">
        <v>-1.18</v>
      </c>
      <c r="L2064" s="6">
        <f ca="1">IFERROR(__xludf.DUMMYFUNCTION("IFERROR(GOOGLEFINANCE(B2064,""changepct""),K2064)"),1.59)</f>
        <v>1.59</v>
      </c>
      <c r="M2064" s="6">
        <f ca="1">IFERROR(__xludf.DUMMYFUNCTION("IFERROR(GOOGLEFINANCE(B2064,""change""),0)"),7.1)</f>
        <v>7.1</v>
      </c>
      <c r="N2064" s="6">
        <v>2</v>
      </c>
      <c r="O2064" s="7">
        <v>45536</v>
      </c>
      <c r="P2064" s="6">
        <v>61.77</v>
      </c>
      <c r="Q2064" s="6">
        <v>3652.34</v>
      </c>
      <c r="R2064" s="7">
        <v>45536</v>
      </c>
      <c r="S2064" s="6">
        <v>879.1</v>
      </c>
      <c r="T2064" s="6">
        <v>163.99</v>
      </c>
      <c r="U2064" s="7">
        <v>45536</v>
      </c>
      <c r="V2064" s="6">
        <v>23.2</v>
      </c>
      <c r="W2064" s="6">
        <f ca="1">IFERROR(__xludf.DUMMYFUNCTION("IFERROR(GOOGLEFINANCE(B2064,""pe""),V2064)"),20.82)</f>
        <v>20.82</v>
      </c>
      <c r="X2064" s="6">
        <v>1.67</v>
      </c>
      <c r="Y2064" s="6">
        <v>4.9000000000000004</v>
      </c>
      <c r="Z2064" s="6">
        <v>2</v>
      </c>
      <c r="AA2064" s="8">
        <v>45352</v>
      </c>
      <c r="AB2064" s="4">
        <v>0</v>
      </c>
      <c r="AC2064" s="6">
        <v>25.2</v>
      </c>
      <c r="AD2064" s="6">
        <v>31.91</v>
      </c>
      <c r="AE2064" s="1">
        <v>0</v>
      </c>
      <c r="AF2064" s="1">
        <f ca="1">IFERROR(__xludf.DUMMYFUNCTION("IFERROR(GOOGLEFINANCE(TRIM(F2064)&amp;"":"" &amp; TRIM(B2064),""high52""),AE2064)"),595)</f>
        <v>595</v>
      </c>
      <c r="AG2064" s="1">
        <v>0</v>
      </c>
      <c r="AH2064" s="1">
        <f ca="1">IFERROR(__xludf.DUMMYFUNCTION("IFERROR(GOOGLEFINANCE(TRIM(F2064)&amp;"":"" &amp; TRIM(B2064),""low52""),AE2064)"),410.6)</f>
        <v>410.6</v>
      </c>
      <c r="AI2064" s="1">
        <f ca="1">IFERROR(__xludf.DUMMYFUNCTION("IFERROR(GOOGLEFINANCE(B2064,""eps""),0)"),21.85)</f>
        <v>21.85</v>
      </c>
      <c r="AJ2064" s="1"/>
      <c r="AK2064" s="1" t="s">
        <v>6387</v>
      </c>
      <c r="AL2064" s="9">
        <f t="shared" si="231"/>
        <v>1</v>
      </c>
    </row>
    <row r="2065" spans="1:38" ht="15" x14ac:dyDescent="0.25">
      <c r="A2065" s="1" t="s">
        <v>6388</v>
      </c>
      <c r="B2065" s="1" t="s">
        <v>6389</v>
      </c>
      <c r="C2065" s="1" t="s">
        <v>208</v>
      </c>
      <c r="D2065" s="1" t="s">
        <v>208</v>
      </c>
      <c r="E2065" s="6">
        <v>40.19</v>
      </c>
      <c r="F2065" s="1" t="s">
        <v>53</v>
      </c>
      <c r="G2065" s="6">
        <f ca="1">IFERROR(__xludf.DUMMYFUNCTION("iferror(GOOGLEFINANCE(TRIM(F2065)&amp;"":"" &amp; TRIM(B2065), ""price""),0
)"),0)</f>
        <v>0</v>
      </c>
      <c r="H2065" s="6">
        <v>140.6</v>
      </c>
      <c r="I2065" s="6">
        <f t="shared" ca="1" si="0"/>
        <v>140.6</v>
      </c>
      <c r="J2065" s="6">
        <f ca="1">IFERROR(__xludf.DUMMYFUNCTION("IFERROR(GOOGLEFINANCE(B2065, ""volume""), 0)"),0)</f>
        <v>0</v>
      </c>
      <c r="K2065" s="6">
        <v>4.96</v>
      </c>
      <c r="L2065" s="6">
        <f ca="1">IFERROR(__xludf.DUMMYFUNCTION("IFERROR(GOOGLEFINANCE(B2065,""changepct""),K2065)"),4.96)</f>
        <v>4.96</v>
      </c>
      <c r="M2065" s="6">
        <f ca="1">IFERROR(__xludf.DUMMYFUNCTION("IFERROR(GOOGLEFINANCE(B2065,""change""),0)"),0)</f>
        <v>0</v>
      </c>
      <c r="N2065" s="6">
        <v>1</v>
      </c>
      <c r="O2065" s="7">
        <v>45536</v>
      </c>
      <c r="P2065" s="6">
        <v>2.36</v>
      </c>
      <c r="Q2065" s="7">
        <v>45536</v>
      </c>
      <c r="R2065" s="6">
        <v>17.03</v>
      </c>
      <c r="S2065" s="6">
        <v>0.17</v>
      </c>
      <c r="T2065" s="6">
        <v>2.56</v>
      </c>
      <c r="U2065" s="6">
        <v>1</v>
      </c>
      <c r="V2065" s="7">
        <v>45352</v>
      </c>
      <c r="W2065" s="10">
        <f ca="1">IFERROR(__xludf.DUMMYFUNCTION("IFERROR(GOOGLEFINANCE(B2065,""pe""),V2065)"),45352)</f>
        <v>45352</v>
      </c>
      <c r="X2065" s="6">
        <v>0</v>
      </c>
      <c r="Y2065" s="6">
        <v>21.74</v>
      </c>
      <c r="Z2065" s="6">
        <v>22.83</v>
      </c>
      <c r="AA2065" s="3" t="s">
        <v>6390</v>
      </c>
      <c r="AB2065" s="11"/>
      <c r="AC2065" s="9"/>
      <c r="AD2065" s="9"/>
      <c r="AE2065" s="1">
        <v>0</v>
      </c>
      <c r="AF2065" s="1">
        <f ca="1">IFERROR(__xludf.DUMMYFUNCTION("IFERROR(GOOGLEFINANCE(TRIM(F2065)&amp;"":"" &amp; TRIM(B2065),""high52""),AE2065)"),0)</f>
        <v>0</v>
      </c>
      <c r="AG2065" s="1">
        <v>0</v>
      </c>
      <c r="AH2065" s="1">
        <f ca="1">IFERROR(__xludf.DUMMYFUNCTION("IFERROR(GOOGLEFINANCE(TRIM(F2065)&amp;"":"" &amp; TRIM(B2065),""low52""),AE2065)"),0)</f>
        <v>0</v>
      </c>
      <c r="AI2065" s="1">
        <f ca="1">IFERROR(__xludf.DUMMYFUNCTION("IFERROR(GOOGLEFINANCE(B2065,""eps""),0)"),0)</f>
        <v>0</v>
      </c>
      <c r="AJ2065" s="1"/>
      <c r="AK2065" s="1" t="s">
        <v>6391</v>
      </c>
      <c r="AL2065" s="9">
        <f t="shared" si="231"/>
        <v>1</v>
      </c>
    </row>
    <row r="2066" spans="1:38" ht="15" x14ac:dyDescent="0.25">
      <c r="A2066" s="1" t="s">
        <v>6392</v>
      </c>
      <c r="B2066" s="1" t="s">
        <v>6393</v>
      </c>
      <c r="C2066" s="1" t="s">
        <v>208</v>
      </c>
      <c r="D2066" s="1" t="s">
        <v>208</v>
      </c>
      <c r="E2066" s="6">
        <v>12.66</v>
      </c>
      <c r="F2066" s="1" t="s">
        <v>53</v>
      </c>
      <c r="G2066" s="6">
        <f ca="1">IFERROR(__xludf.DUMMYFUNCTION("iferror(GOOGLEFINANCE(TRIM(F2066)&amp;"":"" &amp; TRIM(B2066), ""price""),0
)"),0)</f>
        <v>0</v>
      </c>
      <c r="H2066" s="6">
        <v>44.9</v>
      </c>
      <c r="I2066" s="6">
        <f t="shared" ca="1" si="0"/>
        <v>44.9</v>
      </c>
      <c r="J2066" s="6">
        <f ca="1">IFERROR(__xludf.DUMMYFUNCTION("IFERROR(GOOGLEFINANCE(B2066, ""volume""), 0)"),0)</f>
        <v>0</v>
      </c>
      <c r="K2066" s="6">
        <v>0</v>
      </c>
      <c r="L2066" s="6">
        <f ca="1">IFERROR(__xludf.DUMMYFUNCTION("IFERROR(GOOGLEFINANCE(B2066,""changepct""),K2066)"),0)</f>
        <v>0</v>
      </c>
      <c r="M2066" s="6">
        <f ca="1">IFERROR(__xludf.DUMMYFUNCTION("IFERROR(GOOGLEFINANCE(B2066,""change""),0)"),0)</f>
        <v>0</v>
      </c>
      <c r="N2066" s="6">
        <v>1</v>
      </c>
      <c r="O2066" s="7">
        <v>45536</v>
      </c>
      <c r="P2066" s="6">
        <v>0.73</v>
      </c>
      <c r="Q2066" s="7">
        <v>45536</v>
      </c>
      <c r="R2066" s="6">
        <v>17.27</v>
      </c>
      <c r="S2066" s="6">
        <v>2.2000000000000002</v>
      </c>
      <c r="T2066" s="6">
        <v>1.21</v>
      </c>
      <c r="U2066" s="6">
        <v>1</v>
      </c>
      <c r="V2066" s="7">
        <v>45352</v>
      </c>
      <c r="W2066" s="10">
        <f ca="1">IFERROR(__xludf.DUMMYFUNCTION("IFERROR(GOOGLEFINANCE(B2066,""pe""),V2066)"),45352)</f>
        <v>45352</v>
      </c>
      <c r="X2066" s="6">
        <v>0</v>
      </c>
      <c r="Y2066" s="6">
        <v>3.96</v>
      </c>
      <c r="Z2066" s="6">
        <v>5.18</v>
      </c>
      <c r="AA2066" s="3" t="s">
        <v>6394</v>
      </c>
      <c r="AB2066" s="11"/>
      <c r="AC2066" s="9"/>
      <c r="AD2066" s="9"/>
      <c r="AE2066" s="1">
        <v>0</v>
      </c>
      <c r="AF2066" s="1">
        <f ca="1">IFERROR(__xludf.DUMMYFUNCTION("IFERROR(GOOGLEFINANCE(TRIM(F2066)&amp;"":"" &amp; TRIM(B2066),""high52""),AE2066)"),0)</f>
        <v>0</v>
      </c>
      <c r="AG2066" s="1">
        <v>0</v>
      </c>
      <c r="AH2066" s="1">
        <f ca="1">IFERROR(__xludf.DUMMYFUNCTION("IFERROR(GOOGLEFINANCE(TRIM(F2066)&amp;"":"" &amp; TRIM(B2066),""low52""),AE2066)"),0)</f>
        <v>0</v>
      </c>
      <c r="AI2066" s="1">
        <f ca="1">IFERROR(__xludf.DUMMYFUNCTION("IFERROR(GOOGLEFINANCE(B2066,""eps""),0)"),0)</f>
        <v>0</v>
      </c>
      <c r="AJ2066" s="1"/>
      <c r="AK2066" s="1" t="s">
        <v>6395</v>
      </c>
      <c r="AL2066" s="9">
        <f t="shared" si="231"/>
        <v>1</v>
      </c>
    </row>
    <row r="2067" spans="1:38" ht="15" x14ac:dyDescent="0.25">
      <c r="A2067" s="1" t="s">
        <v>6396</v>
      </c>
      <c r="B2067" s="1" t="s">
        <v>6397</v>
      </c>
      <c r="C2067" s="1" t="s">
        <v>43</v>
      </c>
      <c r="D2067" s="1" t="s">
        <v>43</v>
      </c>
      <c r="E2067" s="6">
        <v>175.42</v>
      </c>
      <c r="F2067" s="1" t="s">
        <v>40</v>
      </c>
      <c r="G2067" s="6">
        <f ca="1">IFERROR(__xludf.DUMMYFUNCTION("iferror(GOOGLEFINANCE(TRIM(F2067)&amp;"":"" &amp; TRIM(B2067), ""price""),0
)"),276.65)</f>
        <v>276.64999999999998</v>
      </c>
      <c r="H2067" s="6">
        <v>247</v>
      </c>
      <c r="I2067" s="6">
        <f t="shared" ca="1" si="0"/>
        <v>276.64999999999998</v>
      </c>
      <c r="J2067" s="6">
        <f ca="1">IFERROR(__xludf.DUMMYFUNCTION("IFERROR(GOOGLEFINANCE(B2067, ""volume""), 0)"),552)</f>
        <v>552</v>
      </c>
      <c r="K2067" s="6">
        <v>0.41</v>
      </c>
      <c r="L2067" s="6">
        <f ca="1">IFERROR(__xludf.DUMMYFUNCTION("IFERROR(GOOGLEFINANCE(B2067,""changepct""),K2067)"),-0.16)</f>
        <v>-0.16</v>
      </c>
      <c r="M2067" s="6">
        <f ca="1">IFERROR(__xludf.DUMMYFUNCTION("IFERROR(GOOGLEFINANCE(B2067,""change""),0)"),-0.45)</f>
        <v>-0.45</v>
      </c>
      <c r="N2067" s="6">
        <v>2</v>
      </c>
      <c r="O2067" s="7">
        <v>45536</v>
      </c>
      <c r="P2067" s="6">
        <v>28.9</v>
      </c>
      <c r="Q2067" s="7">
        <v>45536</v>
      </c>
      <c r="R2067" s="6">
        <v>5.7</v>
      </c>
      <c r="S2067" s="6">
        <v>0.06</v>
      </c>
      <c r="T2067" s="6">
        <v>1.24</v>
      </c>
      <c r="U2067" s="6">
        <v>2</v>
      </c>
      <c r="V2067" s="7">
        <v>45352</v>
      </c>
      <c r="W2067" s="6">
        <f ca="1">IFERROR(__xludf.DUMMYFUNCTION("IFERROR(GOOGLEFINANCE(B2067,""pe""),V2067)"),3.92)</f>
        <v>3.92</v>
      </c>
      <c r="X2067" s="6">
        <v>0.01</v>
      </c>
      <c r="Y2067" s="6">
        <v>25</v>
      </c>
      <c r="Z2067" s="6">
        <v>31.73</v>
      </c>
      <c r="AA2067" s="3" t="s">
        <v>6398</v>
      </c>
      <c r="AB2067" s="3"/>
      <c r="AC2067" s="9"/>
      <c r="AD2067" s="9"/>
      <c r="AE2067" s="1">
        <v>0</v>
      </c>
      <c r="AF2067" s="1">
        <f ca="1">IFERROR(__xludf.DUMMYFUNCTION("IFERROR(GOOGLEFINANCE(TRIM(F2067)&amp;"":"" &amp; TRIM(B2067),""high52""),AE2067)"),479)</f>
        <v>479</v>
      </c>
      <c r="AG2067" s="1">
        <v>0</v>
      </c>
      <c r="AH2067" s="1">
        <f ca="1">IFERROR(__xludf.DUMMYFUNCTION("IFERROR(GOOGLEFINANCE(TRIM(F2067)&amp;"":"" &amp; TRIM(B2067),""low52""),AE2067)"),170.1)</f>
        <v>170.1</v>
      </c>
      <c r="AI2067" s="1">
        <f ca="1">IFERROR(__xludf.DUMMYFUNCTION("IFERROR(GOOGLEFINANCE(B2067,""eps""),0)"),10.26)</f>
        <v>10.26</v>
      </c>
      <c r="AJ2067" s="1"/>
      <c r="AK2067" s="1" t="s">
        <v>6399</v>
      </c>
      <c r="AL2067" s="9">
        <f t="shared" si="231"/>
        <v>1</v>
      </c>
    </row>
    <row r="2068" spans="1:38" ht="15" x14ac:dyDescent="0.25">
      <c r="A2068" s="1" t="s">
        <v>6400</v>
      </c>
      <c r="B2068" s="1" t="s">
        <v>6401</v>
      </c>
      <c r="C2068" s="1" t="s">
        <v>208</v>
      </c>
      <c r="D2068" s="1" t="s">
        <v>208</v>
      </c>
      <c r="E2068" s="6">
        <v>57.08</v>
      </c>
      <c r="F2068" s="1" t="s">
        <v>53</v>
      </c>
      <c r="G2068" s="6">
        <f ca="1">IFERROR(__xludf.DUMMYFUNCTION("iferror(GOOGLEFINANCE(TRIM(F2068)&amp;"":"" &amp; TRIM(B2068), ""price""),0
)"),0)</f>
        <v>0</v>
      </c>
      <c r="H2068" s="6">
        <v>15.75</v>
      </c>
      <c r="I2068" s="6">
        <f t="shared" ca="1" si="0"/>
        <v>15.75</v>
      </c>
      <c r="J2068" s="6">
        <f ca="1">IFERROR(__xludf.DUMMYFUNCTION("IFERROR(GOOGLEFINANCE(B2068, ""volume""), 0)"),0)</f>
        <v>0</v>
      </c>
      <c r="K2068" s="6">
        <v>4.17</v>
      </c>
      <c r="L2068" s="6">
        <f ca="1">IFERROR(__xludf.DUMMYFUNCTION("IFERROR(GOOGLEFINANCE(B2068,""changepct""),K2068)"),4.17)</f>
        <v>4.17</v>
      </c>
      <c r="M2068" s="6">
        <f ca="1">IFERROR(__xludf.DUMMYFUNCTION("IFERROR(GOOGLEFINANCE(B2068,""change""),0)"),0)</f>
        <v>0</v>
      </c>
      <c r="N2068" s="6">
        <v>2</v>
      </c>
      <c r="O2068" s="7">
        <v>45536</v>
      </c>
      <c r="P2068" s="6">
        <v>3.26</v>
      </c>
      <c r="Q2068" s="7">
        <v>45536</v>
      </c>
      <c r="R2068" s="6">
        <v>17.53</v>
      </c>
      <c r="S2068" s="6">
        <v>-1.3</v>
      </c>
      <c r="T2068" s="6">
        <v>-1.87</v>
      </c>
      <c r="U2068" s="6">
        <v>2</v>
      </c>
      <c r="V2068" s="7">
        <v>45352</v>
      </c>
      <c r="W2068" s="10">
        <f ca="1">IFERROR(__xludf.DUMMYFUNCTION("IFERROR(GOOGLEFINANCE(B2068,""pe""),V2068)"),45352)</f>
        <v>45352</v>
      </c>
      <c r="X2068" s="6">
        <v>-3.6</v>
      </c>
      <c r="Y2068" s="6">
        <v>0</v>
      </c>
      <c r="Z2068" s="6">
        <v>3.84</v>
      </c>
      <c r="AA2068" s="3" t="s">
        <v>6402</v>
      </c>
      <c r="AB2068" s="11"/>
      <c r="AC2068" s="9"/>
      <c r="AD2068" s="9"/>
      <c r="AE2068" s="1">
        <v>0</v>
      </c>
      <c r="AF2068" s="1">
        <f ca="1">IFERROR(__xludf.DUMMYFUNCTION("IFERROR(GOOGLEFINANCE(TRIM(F2068)&amp;"":"" &amp; TRIM(B2068),""high52""),AE2068)"),0)</f>
        <v>0</v>
      </c>
      <c r="AG2068" s="1">
        <v>0</v>
      </c>
      <c r="AH2068" s="1">
        <f ca="1">IFERROR(__xludf.DUMMYFUNCTION("IFERROR(GOOGLEFINANCE(TRIM(F2068)&amp;"":"" &amp; TRIM(B2068),""low52""),AE2068)"),0)</f>
        <v>0</v>
      </c>
      <c r="AI2068" s="1">
        <f ca="1">IFERROR(__xludf.DUMMYFUNCTION("IFERROR(GOOGLEFINANCE(B2068,""eps""),0)"),0)</f>
        <v>0</v>
      </c>
      <c r="AJ2068" s="1"/>
      <c r="AK2068" s="1" t="s">
        <v>6403</v>
      </c>
      <c r="AL2068" s="9">
        <f t="shared" si="231"/>
        <v>1</v>
      </c>
    </row>
    <row r="2069" spans="1:38" ht="15" x14ac:dyDescent="0.25">
      <c r="A2069" s="1" t="s">
        <v>6404</v>
      </c>
      <c r="B2069" s="1" t="s">
        <v>6405</v>
      </c>
      <c r="C2069" s="1" t="s">
        <v>487</v>
      </c>
      <c r="D2069" s="1" t="s">
        <v>487</v>
      </c>
      <c r="E2069" s="6">
        <v>8625.74</v>
      </c>
      <c r="F2069" s="1" t="s">
        <v>40</v>
      </c>
      <c r="G2069" s="6">
        <f ca="1">IFERROR(__xludf.DUMMYFUNCTION("iferror(GOOGLEFINANCE(TRIM(F2069)&amp;"":"" &amp; TRIM(B2069), ""price""),0
)"),479)</f>
        <v>479</v>
      </c>
      <c r="H2069" s="6">
        <v>681</v>
      </c>
      <c r="I2069" s="6">
        <f t="shared" ca="1" si="0"/>
        <v>479</v>
      </c>
      <c r="J2069" s="6">
        <f ca="1">IFERROR(__xludf.DUMMYFUNCTION("IFERROR(GOOGLEFINANCE(B2069, ""volume""), 0)"),34164)</f>
        <v>34164</v>
      </c>
      <c r="K2069" s="6">
        <v>-0.28999999999999998</v>
      </c>
      <c r="L2069" s="6">
        <f ca="1">IFERROR(__xludf.DUMMYFUNCTION("IFERROR(GOOGLEFINANCE(B2069,""changepct""),K2069)"),-1.91)</f>
        <v>-1.91</v>
      </c>
      <c r="M2069" s="6">
        <f ca="1">IFERROR(__xludf.DUMMYFUNCTION("IFERROR(GOOGLEFINANCE(B2069,""change""),0)"),-9.35)</f>
        <v>-9.35</v>
      </c>
      <c r="N2069" s="6">
        <v>2</v>
      </c>
      <c r="O2069" s="7">
        <v>45536</v>
      </c>
      <c r="P2069" s="6">
        <v>840.93</v>
      </c>
      <c r="Q2069" s="6">
        <v>8550.35</v>
      </c>
      <c r="R2069" s="7">
        <v>45536</v>
      </c>
      <c r="S2069" s="6">
        <v>2287.48</v>
      </c>
      <c r="T2069" s="6">
        <v>137.03</v>
      </c>
      <c r="U2069" s="7">
        <v>45536</v>
      </c>
      <c r="V2069" s="6">
        <v>56.38</v>
      </c>
      <c r="W2069" s="6">
        <f ca="1">IFERROR(__xludf.DUMMYFUNCTION("IFERROR(GOOGLEFINANCE(B2069,""pe""),V2069)"),59.2)</f>
        <v>59.2</v>
      </c>
      <c r="X2069" s="12"/>
      <c r="Y2069" s="6">
        <v>3.22</v>
      </c>
      <c r="Z2069" s="6">
        <v>2</v>
      </c>
      <c r="AA2069" s="8">
        <v>45352</v>
      </c>
      <c r="AB2069" s="4">
        <v>0.61</v>
      </c>
      <c r="AC2069" s="6">
        <v>6.45</v>
      </c>
      <c r="AD2069" s="6">
        <v>6.62</v>
      </c>
      <c r="AE2069" s="1">
        <v>0</v>
      </c>
      <c r="AF2069" s="1">
        <f ca="1">IFERROR(__xludf.DUMMYFUNCTION("IFERROR(GOOGLEFINANCE(TRIM(F2069)&amp;"":"" &amp; TRIM(B2069),""high52""),AE2069)"),697)</f>
        <v>697</v>
      </c>
      <c r="AG2069" s="1">
        <v>0</v>
      </c>
      <c r="AH2069" s="1">
        <f ca="1">IFERROR(__xludf.DUMMYFUNCTION("IFERROR(GOOGLEFINANCE(TRIM(F2069)&amp;"":"" &amp; TRIM(B2069),""low52""),AE2069)"),456.55)</f>
        <v>456.55</v>
      </c>
      <c r="AI2069" s="1">
        <f ca="1">IFERROR(__xludf.DUMMYFUNCTION("IFERROR(GOOGLEFINANCE(B2069,""eps""),0)"),8.09)</f>
        <v>8.09</v>
      </c>
      <c r="AJ2069" s="1"/>
      <c r="AK2069" s="1" t="s">
        <v>6406</v>
      </c>
      <c r="AL2069" s="9">
        <f t="shared" si="231"/>
        <v>1</v>
      </c>
    </row>
    <row r="2070" spans="1:38" ht="15" x14ac:dyDescent="0.25">
      <c r="A2070" s="1" t="s">
        <v>6407</v>
      </c>
      <c r="B2070" s="1" t="s">
        <v>6408</v>
      </c>
      <c r="C2070" s="1" t="s">
        <v>208</v>
      </c>
      <c r="D2070" s="1" t="s">
        <v>208</v>
      </c>
      <c r="E2070" s="6">
        <v>19.489999999999998</v>
      </c>
      <c r="F2070" s="1" t="s">
        <v>53</v>
      </c>
      <c r="G2070" s="6">
        <f ca="1">IFERROR(__xludf.DUMMYFUNCTION("iferror(GOOGLEFINANCE(TRIM(F2070)&amp;"":"" &amp; TRIM(B2070), ""price""),0
)"),0)</f>
        <v>0</v>
      </c>
      <c r="H2070" s="6">
        <v>3.1</v>
      </c>
      <c r="I2070" s="6">
        <f t="shared" ca="1" si="0"/>
        <v>3.1</v>
      </c>
      <c r="J2070" s="6">
        <f ca="1">IFERROR(__xludf.DUMMYFUNCTION("IFERROR(GOOGLEFINANCE(B2070, ""volume""), 0)"),0)</f>
        <v>0</v>
      </c>
      <c r="K2070" s="6">
        <v>3.68</v>
      </c>
      <c r="L2070" s="6">
        <f ca="1">IFERROR(__xludf.DUMMYFUNCTION("IFERROR(GOOGLEFINANCE(B2070,""changepct""),K2070)"),3.68)</f>
        <v>3.68</v>
      </c>
      <c r="M2070" s="6">
        <f ca="1">IFERROR(__xludf.DUMMYFUNCTION("IFERROR(GOOGLEFINANCE(B2070,""change""),0)"),0)</f>
        <v>0</v>
      </c>
      <c r="N2070" s="6">
        <v>1</v>
      </c>
      <c r="O2070" s="7">
        <v>45536</v>
      </c>
      <c r="P2070" s="6">
        <v>1.0900000000000001</v>
      </c>
      <c r="Q2070" s="7">
        <v>45536</v>
      </c>
      <c r="R2070" s="6">
        <v>17.829999999999998</v>
      </c>
      <c r="S2070" s="6">
        <v>0.81</v>
      </c>
      <c r="T2070" s="6">
        <v>1.3</v>
      </c>
      <c r="U2070" s="6">
        <v>1</v>
      </c>
      <c r="V2070" s="7">
        <v>45352</v>
      </c>
      <c r="W2070" s="10">
        <f ca="1">IFERROR(__xludf.DUMMYFUNCTION("IFERROR(GOOGLEFINANCE(B2070,""pe""),V2070)"),45352)</f>
        <v>45352</v>
      </c>
      <c r="X2070" s="6">
        <v>0</v>
      </c>
      <c r="Y2070" s="6">
        <v>8.19</v>
      </c>
      <c r="Z2070" s="6">
        <v>9.1</v>
      </c>
      <c r="AA2070" s="3" t="s">
        <v>6409</v>
      </c>
      <c r="AB2070" s="11"/>
      <c r="AC2070" s="9"/>
      <c r="AD2070" s="9"/>
      <c r="AE2070" s="1">
        <v>0</v>
      </c>
      <c r="AF2070" s="1">
        <f ca="1">IFERROR(__xludf.DUMMYFUNCTION("IFERROR(GOOGLEFINANCE(TRIM(F2070)&amp;"":"" &amp; TRIM(B2070),""high52""),AE2070)"),0)</f>
        <v>0</v>
      </c>
      <c r="AG2070" s="1">
        <v>0</v>
      </c>
      <c r="AH2070" s="1">
        <f ca="1">IFERROR(__xludf.DUMMYFUNCTION("IFERROR(GOOGLEFINANCE(TRIM(F2070)&amp;"":"" &amp; TRIM(B2070),""low52""),AE2070)"),0)</f>
        <v>0</v>
      </c>
      <c r="AI2070" s="1">
        <f ca="1">IFERROR(__xludf.DUMMYFUNCTION("IFERROR(GOOGLEFINANCE(B2070,""eps""),0)"),0)</f>
        <v>0</v>
      </c>
      <c r="AJ2070" s="1"/>
      <c r="AK2070" s="1" t="s">
        <v>6410</v>
      </c>
      <c r="AL2070" s="9">
        <f t="shared" si="231"/>
        <v>1</v>
      </c>
    </row>
    <row r="2071" spans="1:38" ht="15" x14ac:dyDescent="0.25">
      <c r="A2071" s="1" t="s">
        <v>6411</v>
      </c>
      <c r="B2071" s="1" t="s">
        <v>6412</v>
      </c>
      <c r="C2071" s="1" t="s">
        <v>1954</v>
      </c>
      <c r="D2071" s="1" t="s">
        <v>1954</v>
      </c>
      <c r="E2071" s="6">
        <v>25665.84</v>
      </c>
      <c r="F2071" s="1" t="s">
        <v>40</v>
      </c>
      <c r="G2071" s="6">
        <f ca="1">IFERROR(__xludf.DUMMYFUNCTION("iferror(GOOGLEFINANCE(TRIM(F2071)&amp;"":"" &amp; TRIM(B2071), ""price""),0
)"),1001.9)</f>
        <v>1001.9</v>
      </c>
      <c r="H2071" s="6">
        <v>1504.95</v>
      </c>
      <c r="I2071" s="6">
        <f t="shared" ca="1" si="0"/>
        <v>1001.9</v>
      </c>
      <c r="J2071" s="6">
        <f ca="1">IFERROR(__xludf.DUMMYFUNCTION("IFERROR(GOOGLEFINANCE(B2071, ""volume""), 0)"),732546)</f>
        <v>732546</v>
      </c>
      <c r="K2071" s="6">
        <v>0.83</v>
      </c>
      <c r="L2071" s="6">
        <f ca="1">IFERROR(__xludf.DUMMYFUNCTION("IFERROR(GOOGLEFINANCE(B2071,""changepct""),K2071)"),1.86)</f>
        <v>1.86</v>
      </c>
      <c r="M2071" s="6">
        <f ca="1">IFERROR(__xludf.DUMMYFUNCTION("IFERROR(GOOGLEFINANCE(B2071,""change""),0)"),18.3)</f>
        <v>18.3</v>
      </c>
      <c r="N2071" s="6">
        <v>2</v>
      </c>
      <c r="O2071" s="7">
        <v>45536</v>
      </c>
      <c r="P2071" s="6">
        <v>300.11</v>
      </c>
      <c r="Q2071" s="7">
        <v>45536</v>
      </c>
      <c r="R2071" s="6">
        <v>85.93</v>
      </c>
      <c r="S2071" s="9"/>
      <c r="T2071" s="6">
        <v>21.1</v>
      </c>
      <c r="U2071" s="6">
        <v>2</v>
      </c>
      <c r="V2071" s="7">
        <v>45352</v>
      </c>
      <c r="W2071" s="6">
        <f ca="1">IFERROR(__xludf.DUMMYFUNCTION("IFERROR(GOOGLEFINANCE(B2071,""pe""),V2071)"),50.08)</f>
        <v>50.08</v>
      </c>
      <c r="X2071" s="6">
        <v>0</v>
      </c>
      <c r="Y2071" s="6">
        <v>24.77</v>
      </c>
      <c r="Z2071" s="6">
        <v>31.37</v>
      </c>
      <c r="AA2071" s="3" t="s">
        <v>6413</v>
      </c>
      <c r="AB2071" s="3"/>
      <c r="AC2071" s="9"/>
      <c r="AD2071" s="9"/>
      <c r="AE2071" s="1">
        <v>0</v>
      </c>
      <c r="AF2071" s="1">
        <f ca="1">IFERROR(__xludf.DUMMYFUNCTION("IFERROR(GOOGLEFINANCE(TRIM(F2071)&amp;"":"" &amp; TRIM(B2071),""high52""),AE2071)"),1388.5)</f>
        <v>1388.5</v>
      </c>
      <c r="AG2071" s="1">
        <v>0</v>
      </c>
      <c r="AH2071" s="1">
        <f ca="1">IFERROR(__xludf.DUMMYFUNCTION("IFERROR(GOOGLEFINANCE(TRIM(F2071)&amp;"":"" &amp; TRIM(B2071),""low52""),AE2071)"),784.15)</f>
        <v>784.15</v>
      </c>
      <c r="AI2071" s="1">
        <f ca="1">IFERROR(__xludf.DUMMYFUNCTION("IFERROR(GOOGLEFINANCE(B2071,""eps""),0)"),20.01)</f>
        <v>20.010000000000002</v>
      </c>
      <c r="AJ2071" s="1"/>
      <c r="AK2071" s="1" t="s">
        <v>6414</v>
      </c>
      <c r="AL2071" s="9">
        <f t="shared" si="231"/>
        <v>1</v>
      </c>
    </row>
    <row r="2072" spans="1:38" ht="15" x14ac:dyDescent="0.25">
      <c r="A2072" s="1" t="s">
        <v>6415</v>
      </c>
      <c r="B2072" s="1" t="s">
        <v>6416</v>
      </c>
      <c r="C2072" s="1" t="s">
        <v>208</v>
      </c>
      <c r="D2072" s="1" t="s">
        <v>208</v>
      </c>
      <c r="E2072" s="6">
        <v>421.36</v>
      </c>
      <c r="F2072" s="1" t="s">
        <v>53</v>
      </c>
      <c r="G2072" s="6">
        <f ca="1">IFERROR(__xludf.DUMMYFUNCTION("iferror(GOOGLEFINANCE(TRIM(F2072)&amp;"":"" &amp; TRIM(B2072), ""price""),0
)"),0)</f>
        <v>0</v>
      </c>
      <c r="H2072" s="6">
        <v>13.17</v>
      </c>
      <c r="I2072" s="6">
        <f t="shared" ca="1" si="0"/>
        <v>13.17</v>
      </c>
      <c r="J2072" s="6">
        <f ca="1">IFERROR(__xludf.DUMMYFUNCTION("IFERROR(GOOGLEFINANCE(B2072, ""volume""), 0)"),0)</f>
        <v>0</v>
      </c>
      <c r="K2072" s="6">
        <v>0</v>
      </c>
      <c r="L2072" s="6">
        <f ca="1">IFERROR(__xludf.DUMMYFUNCTION("IFERROR(GOOGLEFINANCE(B2072,""changepct""),K2072)"),0)</f>
        <v>0</v>
      </c>
      <c r="M2072" s="6">
        <f ca="1">IFERROR(__xludf.DUMMYFUNCTION("IFERROR(GOOGLEFINANCE(B2072,""change""),0)"),0)</f>
        <v>0</v>
      </c>
      <c r="N2072" s="6">
        <v>2</v>
      </c>
      <c r="O2072" s="7">
        <v>45536</v>
      </c>
      <c r="P2072" s="6">
        <v>7.54</v>
      </c>
      <c r="Q2072" s="7">
        <v>45536</v>
      </c>
      <c r="R2072" s="6">
        <v>18.489999999999998</v>
      </c>
      <c r="S2072" s="6">
        <v>0.11</v>
      </c>
      <c r="T2072" s="6">
        <v>2.1800000000000002</v>
      </c>
      <c r="U2072" s="6">
        <v>2</v>
      </c>
      <c r="V2072" s="7">
        <v>45352</v>
      </c>
      <c r="W2072" s="10">
        <f ca="1">IFERROR(__xludf.DUMMYFUNCTION("IFERROR(GOOGLEFINANCE(B2072,""pe""),V2072)"),45352)</f>
        <v>45352</v>
      </c>
      <c r="X2072" s="6">
        <v>0.17</v>
      </c>
      <c r="Y2072" s="6">
        <v>4.67</v>
      </c>
      <c r="Z2072" s="6">
        <v>6.77</v>
      </c>
      <c r="AA2072" s="3" t="s">
        <v>6417</v>
      </c>
      <c r="AB2072" s="11"/>
      <c r="AC2072" s="9"/>
      <c r="AD2072" s="9"/>
      <c r="AE2072" s="1">
        <v>0</v>
      </c>
      <c r="AF2072" s="1">
        <f ca="1">IFERROR(__xludf.DUMMYFUNCTION("IFERROR(GOOGLEFINANCE(TRIM(F2072)&amp;"":"" &amp; TRIM(B2072),""high52""),AE2072)"),0)</f>
        <v>0</v>
      </c>
      <c r="AG2072" s="1">
        <v>0</v>
      </c>
      <c r="AH2072" s="1">
        <f ca="1">IFERROR(__xludf.DUMMYFUNCTION("IFERROR(GOOGLEFINANCE(TRIM(F2072)&amp;"":"" &amp; TRIM(B2072),""low52""),AE2072)"),0)</f>
        <v>0</v>
      </c>
      <c r="AI2072" s="1">
        <f ca="1">IFERROR(__xludf.DUMMYFUNCTION("IFERROR(GOOGLEFINANCE(B2072,""eps""),0)"),0)</f>
        <v>0</v>
      </c>
      <c r="AJ2072" s="1"/>
      <c r="AK2072" s="1" t="s">
        <v>6418</v>
      </c>
      <c r="AL2072" s="9">
        <f t="shared" si="231"/>
        <v>1</v>
      </c>
    </row>
    <row r="2073" spans="1:38" ht="15" x14ac:dyDescent="0.25">
      <c r="A2073" s="1" t="s">
        <v>6419</v>
      </c>
      <c r="B2073" s="1" t="s">
        <v>6420</v>
      </c>
      <c r="C2073" s="1" t="s">
        <v>1425</v>
      </c>
      <c r="D2073" s="1" t="s">
        <v>1425</v>
      </c>
      <c r="E2073" s="6">
        <v>684.23</v>
      </c>
      <c r="F2073" s="1" t="s">
        <v>40</v>
      </c>
      <c r="G2073" s="6">
        <f ca="1">IFERROR(__xludf.DUMMYFUNCTION("iferror(GOOGLEFINANCE(TRIM(F2073)&amp;"":"" &amp; TRIM(B2073), ""price""),0
)"),164.49)</f>
        <v>164.49</v>
      </c>
      <c r="H2073" s="6">
        <v>367.45</v>
      </c>
      <c r="I2073" s="6">
        <f t="shared" ca="1" si="0"/>
        <v>164.49</v>
      </c>
      <c r="J2073" s="6">
        <f ca="1">IFERROR(__xludf.DUMMYFUNCTION("IFERROR(GOOGLEFINANCE(B2073, ""volume""), 0)"),28352)</f>
        <v>28352</v>
      </c>
      <c r="K2073" s="6">
        <v>-0.54</v>
      </c>
      <c r="L2073" s="6">
        <f ca="1">IFERROR(__xludf.DUMMYFUNCTION("IFERROR(GOOGLEFINANCE(B2073,""changepct""),K2073)"),-1.54)</f>
        <v>-1.54</v>
      </c>
      <c r="M2073" s="6">
        <f ca="1">IFERROR(__xludf.DUMMYFUNCTION("IFERROR(GOOGLEFINANCE(B2073,""change""),0)"),-2.57)</f>
        <v>-2.57</v>
      </c>
      <c r="N2073" s="6">
        <v>2</v>
      </c>
      <c r="O2073" s="7">
        <v>45536</v>
      </c>
      <c r="P2073" s="6">
        <v>119.25</v>
      </c>
      <c r="Q2073" s="6">
        <v>779.02</v>
      </c>
      <c r="R2073" s="7">
        <v>45536</v>
      </c>
      <c r="S2073" s="6">
        <v>614.30999999999995</v>
      </c>
      <c r="T2073" s="6">
        <v>5.82</v>
      </c>
      <c r="U2073" s="7">
        <v>45536</v>
      </c>
      <c r="V2073" s="6">
        <v>117.46</v>
      </c>
      <c r="W2073" s="6">
        <f ca="1">IFERROR(__xludf.DUMMYFUNCTION("IFERROR(GOOGLEFINANCE(B2073,""pe""),V2073)"),65.93)</f>
        <v>65.930000000000007</v>
      </c>
      <c r="X2073" s="6">
        <v>-5.44</v>
      </c>
      <c r="Y2073" s="6">
        <v>2.75</v>
      </c>
      <c r="Z2073" s="6">
        <v>2</v>
      </c>
      <c r="AA2073" s="8">
        <v>45352</v>
      </c>
      <c r="AB2073" s="4">
        <v>0.52</v>
      </c>
      <c r="AC2073" s="6">
        <v>2.73</v>
      </c>
      <c r="AD2073" s="6">
        <v>11.96</v>
      </c>
      <c r="AE2073" s="1">
        <v>0</v>
      </c>
      <c r="AF2073" s="1">
        <f ca="1">IFERROR(__xludf.DUMMYFUNCTION("IFERROR(GOOGLEFINANCE(TRIM(F2073)&amp;"":"" &amp; TRIM(B2073),""high52""),AE2073)"),342.86)</f>
        <v>342.86</v>
      </c>
      <c r="AG2073" s="1">
        <v>0</v>
      </c>
      <c r="AH2073" s="1">
        <f ca="1">IFERROR(__xludf.DUMMYFUNCTION("IFERROR(GOOGLEFINANCE(TRIM(F2073)&amp;"":"" &amp; TRIM(B2073),""low52""),AE2073)"),153.27)</f>
        <v>153.27000000000001</v>
      </c>
      <c r="AI2073" s="1">
        <f ca="1">IFERROR(__xludf.DUMMYFUNCTION("IFERROR(GOOGLEFINANCE(B2073,""eps""),0)"),2.49)</f>
        <v>2.4900000000000002</v>
      </c>
      <c r="AJ2073" s="1"/>
      <c r="AK2073" s="1" t="s">
        <v>6421</v>
      </c>
      <c r="AL2073" s="9">
        <f t="shared" si="231"/>
        <v>1</v>
      </c>
    </row>
    <row r="2074" spans="1:38" ht="15" x14ac:dyDescent="0.25">
      <c r="A2074" s="1" t="s">
        <v>6422</v>
      </c>
      <c r="B2074" s="1" t="s">
        <v>6423</v>
      </c>
      <c r="C2074" s="1" t="s">
        <v>860</v>
      </c>
      <c r="D2074" s="1" t="s">
        <v>860</v>
      </c>
      <c r="E2074" s="6">
        <v>41.58</v>
      </c>
      <c r="F2074" s="1" t="s">
        <v>40</v>
      </c>
      <c r="G2074" s="6">
        <f ca="1">IFERROR(__xludf.DUMMYFUNCTION("iferror(GOOGLEFINANCE(TRIM(F2074)&amp;"":"" &amp; TRIM(B2074), ""price""),0
)"),96.5)</f>
        <v>96.5</v>
      </c>
      <c r="H2074" s="6">
        <v>89.09</v>
      </c>
      <c r="I2074" s="6">
        <f t="shared" ca="1" si="0"/>
        <v>96.5</v>
      </c>
      <c r="J2074" s="6">
        <f ca="1">IFERROR(__xludf.DUMMYFUNCTION("IFERROR(GOOGLEFINANCE(B2074, ""volume""), 0)"),4990)</f>
        <v>4990</v>
      </c>
      <c r="K2074" s="6">
        <v>2.02</v>
      </c>
      <c r="L2074" s="6">
        <f ca="1">IFERROR(__xludf.DUMMYFUNCTION("IFERROR(GOOGLEFINANCE(B2074,""changepct""),K2074)"),-2.56)</f>
        <v>-2.56</v>
      </c>
      <c r="M2074" s="6">
        <f ca="1">IFERROR(__xludf.DUMMYFUNCTION("IFERROR(GOOGLEFINANCE(B2074,""change""),0)"),-2.54)</f>
        <v>-2.54</v>
      </c>
      <c r="N2074" s="6">
        <v>1</v>
      </c>
      <c r="O2074" s="7">
        <v>45536</v>
      </c>
      <c r="P2074" s="6">
        <v>9.8800000000000008</v>
      </c>
      <c r="Q2074" s="6">
        <v>51.46</v>
      </c>
      <c r="R2074" s="7">
        <v>45536</v>
      </c>
      <c r="S2074" s="6">
        <v>63.84</v>
      </c>
      <c r="T2074" s="6">
        <v>4.3099999999999996</v>
      </c>
      <c r="U2074" s="7">
        <v>45536</v>
      </c>
      <c r="V2074" s="6">
        <v>9.64</v>
      </c>
      <c r="W2074" s="6">
        <f ca="1">IFERROR(__xludf.DUMMYFUNCTION("IFERROR(GOOGLEFINANCE(B2074,""pe""),V2074)"),7.51)</f>
        <v>7.51</v>
      </c>
      <c r="X2074" s="6">
        <v>0.54</v>
      </c>
      <c r="Y2074" s="6">
        <v>1.81</v>
      </c>
      <c r="Z2074" s="6">
        <v>1</v>
      </c>
      <c r="AA2074" s="8">
        <v>45352</v>
      </c>
      <c r="AB2074" s="4">
        <v>0.57999999999999996</v>
      </c>
      <c r="AC2074" s="6">
        <v>6.89</v>
      </c>
      <c r="AD2074" s="6">
        <v>15.56</v>
      </c>
      <c r="AE2074" s="1">
        <v>0</v>
      </c>
      <c r="AF2074" s="1">
        <f ca="1">IFERROR(__xludf.DUMMYFUNCTION("IFERROR(GOOGLEFINANCE(TRIM(F2074)&amp;"":"" &amp; TRIM(B2074),""high52""),AE2074)"),167.5)</f>
        <v>167.5</v>
      </c>
      <c r="AG2074" s="1">
        <v>0</v>
      </c>
      <c r="AH2074" s="1">
        <f ca="1">IFERROR(__xludf.DUMMYFUNCTION("IFERROR(GOOGLEFINANCE(TRIM(F2074)&amp;"":"" &amp; TRIM(B2074),""low52""),AE2074)"),71.56)</f>
        <v>71.56</v>
      </c>
      <c r="AI2074" s="1">
        <f ca="1">IFERROR(__xludf.DUMMYFUNCTION("IFERROR(GOOGLEFINANCE(B2074,""eps""),0)"),12.86)</f>
        <v>12.86</v>
      </c>
      <c r="AJ2074" s="1"/>
      <c r="AK2074" s="1" t="s">
        <v>6424</v>
      </c>
      <c r="AL2074" s="9">
        <f t="shared" si="231"/>
        <v>1</v>
      </c>
    </row>
    <row r="2075" spans="1:38" ht="15" x14ac:dyDescent="0.25">
      <c r="A2075" s="1" t="s">
        <v>6425</v>
      </c>
      <c r="B2075" s="1" t="s">
        <v>6426</v>
      </c>
      <c r="C2075" s="1" t="s">
        <v>208</v>
      </c>
      <c r="D2075" s="1" t="s">
        <v>208</v>
      </c>
      <c r="E2075" s="6">
        <v>367.11</v>
      </c>
      <c r="F2075" s="1" t="s">
        <v>53</v>
      </c>
      <c r="G2075" s="6">
        <f ca="1">IFERROR(__xludf.DUMMYFUNCTION("iferror(GOOGLEFINANCE(TRIM(F2075)&amp;"":"" &amp; TRIM(B2075), ""price""),0
)"),0)</f>
        <v>0</v>
      </c>
      <c r="H2075" s="6">
        <v>181</v>
      </c>
      <c r="I2075" s="6">
        <f t="shared" ca="1" si="0"/>
        <v>181</v>
      </c>
      <c r="J2075" s="6">
        <f ca="1">IFERROR(__xludf.DUMMYFUNCTION("IFERROR(GOOGLEFINANCE(B2075, ""volume""), 0)"),0)</f>
        <v>0</v>
      </c>
      <c r="K2075" s="6">
        <v>-1.04</v>
      </c>
      <c r="L2075" s="6">
        <f ca="1">IFERROR(__xludf.DUMMYFUNCTION("IFERROR(GOOGLEFINANCE(B2075,""changepct""),K2075)"),-1.04)</f>
        <v>-1.04</v>
      </c>
      <c r="M2075" s="6">
        <f ca="1">IFERROR(__xludf.DUMMYFUNCTION("IFERROR(GOOGLEFINANCE(B2075,""change""),0)"),0)</f>
        <v>0</v>
      </c>
      <c r="N2075" s="6">
        <v>1</v>
      </c>
      <c r="O2075" s="7">
        <v>45536</v>
      </c>
      <c r="P2075" s="6">
        <v>19.11</v>
      </c>
      <c r="Q2075" s="7">
        <v>45536</v>
      </c>
      <c r="R2075" s="6">
        <v>19.21</v>
      </c>
      <c r="S2075" s="6">
        <v>0.33</v>
      </c>
      <c r="T2075" s="6">
        <v>3.57</v>
      </c>
      <c r="U2075" s="6">
        <v>1</v>
      </c>
      <c r="V2075" s="7">
        <v>45352</v>
      </c>
      <c r="W2075" s="10">
        <f ca="1">IFERROR(__xludf.DUMMYFUNCTION("IFERROR(GOOGLEFINANCE(B2075,""pe""),V2075)"),45352)</f>
        <v>45352</v>
      </c>
      <c r="X2075" s="6">
        <v>7.0000000000000007E-2</v>
      </c>
      <c r="Y2075" s="6">
        <v>26.54</v>
      </c>
      <c r="Z2075" s="6">
        <v>29.48</v>
      </c>
      <c r="AA2075" s="3" t="s">
        <v>6427</v>
      </c>
      <c r="AB2075" s="11"/>
      <c r="AC2075" s="9"/>
      <c r="AD2075" s="9"/>
      <c r="AE2075" s="1">
        <v>0</v>
      </c>
      <c r="AF2075" s="1">
        <f ca="1">IFERROR(__xludf.DUMMYFUNCTION("IFERROR(GOOGLEFINANCE(TRIM(F2075)&amp;"":"" &amp; TRIM(B2075),""high52""),AE2075)"),0)</f>
        <v>0</v>
      </c>
      <c r="AG2075" s="1">
        <v>0</v>
      </c>
      <c r="AH2075" s="1">
        <f ca="1">IFERROR(__xludf.DUMMYFUNCTION("IFERROR(GOOGLEFINANCE(TRIM(F2075)&amp;"":"" &amp; TRIM(B2075),""low52""),AE2075)"),0)</f>
        <v>0</v>
      </c>
      <c r="AI2075" s="1">
        <f ca="1">IFERROR(__xludf.DUMMYFUNCTION("IFERROR(GOOGLEFINANCE(B2075,""eps""),0)"),0)</f>
        <v>0</v>
      </c>
      <c r="AJ2075" s="1"/>
      <c r="AK2075" s="1" t="s">
        <v>6428</v>
      </c>
      <c r="AL2075" s="9">
        <f t="shared" si="231"/>
        <v>1</v>
      </c>
    </row>
    <row r="2076" spans="1:38" ht="15" x14ac:dyDescent="0.25">
      <c r="A2076" s="1" t="s">
        <v>6429</v>
      </c>
      <c r="B2076" s="1" t="s">
        <v>6430</v>
      </c>
      <c r="C2076" s="1" t="s">
        <v>208</v>
      </c>
      <c r="D2076" s="1" t="s">
        <v>208</v>
      </c>
      <c r="E2076" s="6">
        <v>5.94</v>
      </c>
      <c r="F2076" s="1" t="s">
        <v>53</v>
      </c>
      <c r="G2076" s="6">
        <f ca="1">IFERROR(__xludf.DUMMYFUNCTION("iferror(GOOGLEFINANCE(TRIM(F2076)&amp;"":"" &amp; TRIM(B2076), ""price""),0
)"),0)</f>
        <v>0</v>
      </c>
      <c r="H2076" s="6">
        <v>10.199999999999999</v>
      </c>
      <c r="I2076" s="6">
        <f t="shared" ca="1" si="0"/>
        <v>10.199999999999999</v>
      </c>
      <c r="J2076" s="6">
        <f ca="1">IFERROR(__xludf.DUMMYFUNCTION("IFERROR(GOOGLEFINANCE(B2076, ""volume""), 0)"),0)</f>
        <v>0</v>
      </c>
      <c r="K2076" s="6">
        <v>3.03</v>
      </c>
      <c r="L2076" s="6">
        <f ca="1">IFERROR(__xludf.DUMMYFUNCTION("IFERROR(GOOGLEFINANCE(B2076,""changepct""),K2076)"),3.03)</f>
        <v>3.03</v>
      </c>
      <c r="M2076" s="6">
        <f ca="1">IFERROR(__xludf.DUMMYFUNCTION("IFERROR(GOOGLEFINANCE(B2076,""change""),0)"),0)</f>
        <v>0</v>
      </c>
      <c r="N2076" s="6">
        <v>2</v>
      </c>
      <c r="O2076" s="7">
        <v>45536</v>
      </c>
      <c r="P2076" s="6">
        <v>0.31</v>
      </c>
      <c r="Q2076" s="7">
        <v>45536</v>
      </c>
      <c r="R2076" s="6">
        <v>19.22</v>
      </c>
      <c r="S2076" s="6">
        <v>1.1599999999999999</v>
      </c>
      <c r="T2076" s="6">
        <v>0.68</v>
      </c>
      <c r="U2076" s="6">
        <v>2</v>
      </c>
      <c r="V2076" s="7">
        <v>45352</v>
      </c>
      <c r="W2076" s="10">
        <f ca="1">IFERROR(__xludf.DUMMYFUNCTION("IFERROR(GOOGLEFINANCE(B2076,""pe""),V2076)"),45352)</f>
        <v>45352</v>
      </c>
      <c r="X2076" s="6">
        <v>0.18</v>
      </c>
      <c r="Y2076" s="6">
        <v>7.39</v>
      </c>
      <c r="Z2076" s="6">
        <v>10.6</v>
      </c>
      <c r="AA2076" s="3" t="s">
        <v>6431</v>
      </c>
      <c r="AB2076" s="11"/>
      <c r="AC2076" s="9"/>
      <c r="AD2076" s="9"/>
      <c r="AE2076" s="1">
        <v>0</v>
      </c>
      <c r="AF2076" s="1">
        <f ca="1">IFERROR(__xludf.DUMMYFUNCTION("IFERROR(GOOGLEFINANCE(TRIM(F2076)&amp;"":"" &amp; TRIM(B2076),""high52""),AE2076)"),0)</f>
        <v>0</v>
      </c>
      <c r="AG2076" s="1">
        <v>0</v>
      </c>
      <c r="AH2076" s="1">
        <f ca="1">IFERROR(__xludf.DUMMYFUNCTION("IFERROR(GOOGLEFINANCE(TRIM(F2076)&amp;"":"" &amp; TRIM(B2076),""low52""),AE2076)"),0)</f>
        <v>0</v>
      </c>
      <c r="AI2076" s="1">
        <f ca="1">IFERROR(__xludf.DUMMYFUNCTION("IFERROR(GOOGLEFINANCE(B2076,""eps""),0)"),0)</f>
        <v>0</v>
      </c>
      <c r="AJ2076" s="1"/>
      <c r="AK2076" s="9"/>
      <c r="AL2076" s="9">
        <f t="shared" si="231"/>
        <v>1</v>
      </c>
    </row>
    <row r="2077" spans="1:38" ht="15" x14ac:dyDescent="0.25">
      <c r="A2077" s="1" t="s">
        <v>6432</v>
      </c>
      <c r="B2077" s="1" t="s">
        <v>6433</v>
      </c>
      <c r="C2077" s="1" t="s">
        <v>502</v>
      </c>
      <c r="D2077" s="1" t="s">
        <v>502</v>
      </c>
      <c r="E2077" s="6">
        <v>695.32</v>
      </c>
      <c r="F2077" s="1" t="s">
        <v>40</v>
      </c>
      <c r="G2077" s="6">
        <f ca="1">IFERROR(__xludf.DUMMYFUNCTION("iferror(GOOGLEFINANCE(TRIM(F2077)&amp;"":"" &amp; TRIM(B2077), ""price""),0
)"),63.7)</f>
        <v>63.7</v>
      </c>
      <c r="H2077" s="6">
        <v>71.989999999999995</v>
      </c>
      <c r="I2077" s="6">
        <f t="shared" ca="1" si="0"/>
        <v>63.7</v>
      </c>
      <c r="J2077" s="6">
        <f ca="1">IFERROR(__xludf.DUMMYFUNCTION("IFERROR(GOOGLEFINANCE(B2077, ""volume""), 0)"),221063)</f>
        <v>221063</v>
      </c>
      <c r="K2077" s="6">
        <v>0.56000000000000005</v>
      </c>
      <c r="L2077" s="6">
        <f ca="1">IFERROR(__xludf.DUMMYFUNCTION("IFERROR(GOOGLEFINANCE(B2077,""changepct""),K2077)"),-0.36)</f>
        <v>-0.36</v>
      </c>
      <c r="M2077" s="6">
        <f ca="1">IFERROR(__xludf.DUMMYFUNCTION("IFERROR(GOOGLEFINANCE(B2077,""change""),0)"),-0.23)</f>
        <v>-0.23</v>
      </c>
      <c r="N2077" s="6">
        <v>1</v>
      </c>
      <c r="O2077" s="7">
        <v>45536</v>
      </c>
      <c r="P2077" s="6">
        <v>285.83999999999997</v>
      </c>
      <c r="Q2077" s="6">
        <v>972.99</v>
      </c>
      <c r="R2077" s="7">
        <v>45536</v>
      </c>
      <c r="S2077" s="6">
        <v>538.95000000000005</v>
      </c>
      <c r="T2077" s="6">
        <v>-84.16</v>
      </c>
      <c r="U2077" s="7">
        <v>45536</v>
      </c>
      <c r="V2077" s="6">
        <v>0</v>
      </c>
      <c r="W2077" s="6">
        <f ca="1">IFERROR(__xludf.DUMMYFUNCTION("IFERROR(GOOGLEFINANCE(B2077,""pe""),V2077)"),8.61)</f>
        <v>8.61</v>
      </c>
      <c r="X2077" s="12"/>
      <c r="Y2077" s="6">
        <v>3.46</v>
      </c>
      <c r="Z2077" s="6">
        <v>1</v>
      </c>
      <c r="AA2077" s="8">
        <v>45352</v>
      </c>
      <c r="AB2077" s="4">
        <v>1.4</v>
      </c>
      <c r="AC2077" s="6">
        <v>-27.41</v>
      </c>
      <c r="AD2077" s="6">
        <v>-7.67</v>
      </c>
      <c r="AE2077" s="1">
        <v>0</v>
      </c>
      <c r="AF2077" s="1">
        <f ca="1">IFERROR(__xludf.DUMMYFUNCTION("IFERROR(GOOGLEFINANCE(TRIM(F2077)&amp;"":"" &amp; TRIM(B2077),""high52""),AE2077)"),135.8)</f>
        <v>135.80000000000001</v>
      </c>
      <c r="AG2077" s="1">
        <v>0</v>
      </c>
      <c r="AH2077" s="1">
        <f ca="1">IFERROR(__xludf.DUMMYFUNCTION("IFERROR(GOOGLEFINANCE(TRIM(F2077)&amp;"":"" &amp; TRIM(B2077),""low52""),AE2077)"),43.17)</f>
        <v>43.17</v>
      </c>
      <c r="AI2077" s="1">
        <f ca="1">IFERROR(__xludf.DUMMYFUNCTION("IFERROR(GOOGLEFINANCE(B2077,""eps""),0)"),7.4)</f>
        <v>7.4</v>
      </c>
      <c r="AJ2077" s="1"/>
      <c r="AK2077" s="9"/>
      <c r="AL2077" s="9">
        <f t="shared" si="231"/>
        <v>1</v>
      </c>
    </row>
    <row r="2078" spans="1:38" ht="15" x14ac:dyDescent="0.25">
      <c r="A2078" s="1" t="s">
        <v>6434</v>
      </c>
      <c r="B2078" s="1" t="s">
        <v>6435</v>
      </c>
      <c r="C2078" s="1" t="s">
        <v>75</v>
      </c>
      <c r="D2078" s="1" t="s">
        <v>75</v>
      </c>
      <c r="E2078" s="6">
        <v>42.73</v>
      </c>
      <c r="F2078" s="1" t="s">
        <v>40</v>
      </c>
      <c r="G2078" s="6">
        <f ca="1">IFERROR(__xludf.DUMMYFUNCTION("iferror(GOOGLEFINANCE(TRIM(F2078)&amp;"":"" &amp; TRIM(B2078), ""price""),0
)"),19.25)</f>
        <v>19.25</v>
      </c>
      <c r="H2078" s="6">
        <v>27.99</v>
      </c>
      <c r="I2078" s="6">
        <f t="shared" ca="1" si="0"/>
        <v>19.25</v>
      </c>
      <c r="J2078" s="6">
        <f ca="1">IFERROR(__xludf.DUMMYFUNCTION("IFERROR(GOOGLEFINANCE(B2078, ""volume""), 0)"),96)</f>
        <v>96</v>
      </c>
      <c r="K2078" s="6">
        <v>1.74</v>
      </c>
      <c r="L2078" s="6">
        <f ca="1">IFERROR(__xludf.DUMMYFUNCTION("IFERROR(GOOGLEFINANCE(B2078,""changepct""),K2078)"),-1.38)</f>
        <v>-1.38</v>
      </c>
      <c r="M2078" s="6">
        <f ca="1">IFERROR(__xludf.DUMMYFUNCTION("IFERROR(GOOGLEFINANCE(B2078,""change""),0)"),-0.27)</f>
        <v>-0.27</v>
      </c>
      <c r="N2078" s="6">
        <v>2</v>
      </c>
      <c r="O2078" s="7">
        <v>45536</v>
      </c>
      <c r="P2078" s="6">
        <v>0.64</v>
      </c>
      <c r="Q2078" s="7">
        <v>45536</v>
      </c>
      <c r="R2078" s="6">
        <v>66.86</v>
      </c>
      <c r="S2078" s="6">
        <v>-38.43</v>
      </c>
      <c r="T2078" s="6">
        <v>1.41</v>
      </c>
      <c r="U2078" s="6">
        <v>2</v>
      </c>
      <c r="V2078" s="7">
        <v>45352</v>
      </c>
      <c r="W2078" s="10">
        <f ca="1">IFERROR(__xludf.DUMMYFUNCTION("IFERROR(GOOGLEFINANCE(B2078,""pe""),V2078)"),45352)</f>
        <v>45352</v>
      </c>
      <c r="X2078" s="6">
        <v>0.05</v>
      </c>
      <c r="Y2078" s="6">
        <v>0.59</v>
      </c>
      <c r="Z2078" s="6">
        <v>1.37</v>
      </c>
      <c r="AA2078" s="3" t="s">
        <v>6436</v>
      </c>
      <c r="AB2078" s="3"/>
      <c r="AC2078" s="9"/>
      <c r="AD2078" s="9"/>
      <c r="AE2078" s="1">
        <v>0</v>
      </c>
      <c r="AF2078" s="1">
        <f ca="1">IFERROR(__xludf.DUMMYFUNCTION("IFERROR(GOOGLEFINANCE(TRIM(F2078)&amp;"":"" &amp; TRIM(B2078),""high52""),AE2078)"),30.01)</f>
        <v>30.01</v>
      </c>
      <c r="AG2078" s="1">
        <v>0</v>
      </c>
      <c r="AH2078" s="1">
        <f ca="1">IFERROR(__xludf.DUMMYFUNCTION("IFERROR(GOOGLEFINANCE(TRIM(F2078)&amp;"":"" &amp; TRIM(B2078),""low52""),AE2078)"),18)</f>
        <v>18</v>
      </c>
      <c r="AI2078" s="1">
        <f ca="1">IFERROR(__xludf.DUMMYFUNCTION("IFERROR(GOOGLEFINANCE(B2078,""eps""),0)"),-1.23)</f>
        <v>-1.23</v>
      </c>
      <c r="AJ2078" s="1"/>
      <c r="AK2078" s="1" t="s">
        <v>6437</v>
      </c>
      <c r="AL2078" s="9">
        <f t="shared" si="231"/>
        <v>1</v>
      </c>
    </row>
    <row r="2079" spans="1:38" ht="15" x14ac:dyDescent="0.25">
      <c r="A2079" s="1" t="s">
        <v>6438</v>
      </c>
      <c r="B2079" s="1" t="s">
        <v>6439</v>
      </c>
      <c r="C2079" s="1" t="s">
        <v>208</v>
      </c>
      <c r="D2079" s="1" t="s">
        <v>208</v>
      </c>
      <c r="E2079" s="6">
        <v>104.98</v>
      </c>
      <c r="F2079" s="1" t="s">
        <v>53</v>
      </c>
      <c r="G2079" s="6">
        <f ca="1">IFERROR(__xludf.DUMMYFUNCTION("iferror(GOOGLEFINANCE(TRIM(F2079)&amp;"":"" &amp; TRIM(B2079), ""price""),0
)"),0)</f>
        <v>0</v>
      </c>
      <c r="H2079" s="6">
        <v>150.35</v>
      </c>
      <c r="I2079" s="6">
        <f t="shared" ca="1" si="0"/>
        <v>150.35</v>
      </c>
      <c r="J2079" s="6">
        <f ca="1">IFERROR(__xludf.DUMMYFUNCTION("IFERROR(GOOGLEFINANCE(B2079, ""volume""), 0)"),0)</f>
        <v>0</v>
      </c>
      <c r="K2079" s="6">
        <v>-0.17</v>
      </c>
      <c r="L2079" s="6">
        <f ca="1">IFERROR(__xludf.DUMMYFUNCTION("IFERROR(GOOGLEFINANCE(B2079,""changepct""),K2079)"),-0.17)</f>
        <v>-0.17</v>
      </c>
      <c r="M2079" s="6">
        <f ca="1">IFERROR(__xludf.DUMMYFUNCTION("IFERROR(GOOGLEFINANCE(B2079,""change""),0)"),0)</f>
        <v>0</v>
      </c>
      <c r="N2079" s="6">
        <v>2</v>
      </c>
      <c r="O2079" s="7">
        <v>45536</v>
      </c>
      <c r="P2079" s="6">
        <v>5.04</v>
      </c>
      <c r="Q2079" s="7">
        <v>45536</v>
      </c>
      <c r="R2079" s="6">
        <v>19.579999999999998</v>
      </c>
      <c r="S2079" s="6">
        <v>3.89</v>
      </c>
      <c r="T2079" s="6">
        <v>0.31</v>
      </c>
      <c r="U2079" s="6">
        <v>2</v>
      </c>
      <c r="V2079" s="7">
        <v>45352</v>
      </c>
      <c r="W2079" s="10">
        <f ca="1">IFERROR(__xludf.DUMMYFUNCTION("IFERROR(GOOGLEFINANCE(B2079,""pe""),V2079)"),45352)</f>
        <v>45352</v>
      </c>
      <c r="X2079" s="6">
        <v>0.1</v>
      </c>
      <c r="Y2079" s="6">
        <v>2.41</v>
      </c>
      <c r="Z2079" s="6">
        <v>3.86</v>
      </c>
      <c r="AA2079" s="3" t="s">
        <v>6440</v>
      </c>
      <c r="AB2079" s="11"/>
      <c r="AC2079" s="9"/>
      <c r="AD2079" s="9"/>
      <c r="AE2079" s="1">
        <v>0</v>
      </c>
      <c r="AF2079" s="1">
        <f ca="1">IFERROR(__xludf.DUMMYFUNCTION("IFERROR(GOOGLEFINANCE(TRIM(F2079)&amp;"":"" &amp; TRIM(B2079),""high52""),AE2079)"),0)</f>
        <v>0</v>
      </c>
      <c r="AG2079" s="1">
        <v>0</v>
      </c>
      <c r="AH2079" s="1">
        <f ca="1">IFERROR(__xludf.DUMMYFUNCTION("IFERROR(GOOGLEFINANCE(TRIM(F2079)&amp;"":"" &amp; TRIM(B2079),""low52""),AE2079)"),0)</f>
        <v>0</v>
      </c>
      <c r="AI2079" s="1">
        <f ca="1">IFERROR(__xludf.DUMMYFUNCTION("IFERROR(GOOGLEFINANCE(B2079,""eps""),0)"),0)</f>
        <v>0</v>
      </c>
      <c r="AJ2079" s="1"/>
      <c r="AK2079" s="1" t="s">
        <v>6441</v>
      </c>
      <c r="AL2079" s="9">
        <f t="shared" si="231"/>
        <v>1</v>
      </c>
    </row>
    <row r="2080" spans="1:38" ht="15" x14ac:dyDescent="0.25">
      <c r="A2080" s="1" t="s">
        <v>6442</v>
      </c>
      <c r="B2080" s="1" t="s">
        <v>6443</v>
      </c>
      <c r="C2080" s="1" t="s">
        <v>208</v>
      </c>
      <c r="D2080" s="1" t="s">
        <v>208</v>
      </c>
      <c r="E2080" s="6">
        <v>7.52</v>
      </c>
      <c r="F2080" s="1" t="s">
        <v>53</v>
      </c>
      <c r="G2080" s="6">
        <f ca="1">IFERROR(__xludf.DUMMYFUNCTION("iferror(GOOGLEFINANCE(TRIM(F2080)&amp;"":"" &amp; TRIM(B2080), ""price""),0
)"),0)</f>
        <v>0</v>
      </c>
      <c r="H2080" s="6">
        <v>23.9</v>
      </c>
      <c r="I2080" s="6">
        <f t="shared" ca="1" si="0"/>
        <v>23.9</v>
      </c>
      <c r="J2080" s="6">
        <f ca="1">IFERROR(__xludf.DUMMYFUNCTION("IFERROR(GOOGLEFINANCE(B2080, ""volume""), 0)"),0)</f>
        <v>0</v>
      </c>
      <c r="K2080" s="6">
        <v>-4.67</v>
      </c>
      <c r="L2080" s="6">
        <f ca="1">IFERROR(__xludf.DUMMYFUNCTION("IFERROR(GOOGLEFINANCE(B2080,""changepct""),K2080)"),-4.67)</f>
        <v>-4.67</v>
      </c>
      <c r="M2080" s="6">
        <f ca="1">IFERROR(__xludf.DUMMYFUNCTION("IFERROR(GOOGLEFINANCE(B2080,""change""),0)"),0)</f>
        <v>0</v>
      </c>
      <c r="N2080" s="6">
        <v>1</v>
      </c>
      <c r="O2080" s="7">
        <v>45536</v>
      </c>
      <c r="P2080" s="6">
        <v>0.38</v>
      </c>
      <c r="Q2080" s="7">
        <v>45536</v>
      </c>
      <c r="R2080" s="6">
        <v>19.64</v>
      </c>
      <c r="S2080" s="6">
        <v>0.36</v>
      </c>
      <c r="T2080" s="6">
        <v>-1.7</v>
      </c>
      <c r="U2080" s="6">
        <v>1</v>
      </c>
      <c r="V2080" s="7">
        <v>45352</v>
      </c>
      <c r="W2080" s="10">
        <f ca="1">IFERROR(__xludf.DUMMYFUNCTION("IFERROR(GOOGLEFINANCE(B2080,""pe""),V2080)"),45352)</f>
        <v>45352</v>
      </c>
      <c r="X2080" s="6">
        <v>-1.74</v>
      </c>
      <c r="Y2080" s="6">
        <v>0</v>
      </c>
      <c r="Z2080" s="6">
        <v>12.84</v>
      </c>
      <c r="AA2080" s="3" t="s">
        <v>6444</v>
      </c>
      <c r="AB2080" s="11"/>
      <c r="AC2080" s="9"/>
      <c r="AD2080" s="9"/>
      <c r="AE2080" s="1">
        <v>0</v>
      </c>
      <c r="AF2080" s="1">
        <f ca="1">IFERROR(__xludf.DUMMYFUNCTION("IFERROR(GOOGLEFINANCE(TRIM(F2080)&amp;"":"" &amp; TRIM(B2080),""high52""),AE2080)"),0)</f>
        <v>0</v>
      </c>
      <c r="AG2080" s="1">
        <v>0</v>
      </c>
      <c r="AH2080" s="1">
        <f ca="1">IFERROR(__xludf.DUMMYFUNCTION("IFERROR(GOOGLEFINANCE(TRIM(F2080)&amp;"":"" &amp; TRIM(B2080),""low52""),AE2080)"),0)</f>
        <v>0</v>
      </c>
      <c r="AI2080" s="1">
        <f ca="1">IFERROR(__xludf.DUMMYFUNCTION("IFERROR(GOOGLEFINANCE(B2080,""eps""),0)"),0)</f>
        <v>0</v>
      </c>
      <c r="AJ2080" s="1"/>
      <c r="AK2080" s="1" t="s">
        <v>6445</v>
      </c>
      <c r="AL2080" s="9">
        <f t="shared" si="231"/>
        <v>1</v>
      </c>
    </row>
    <row r="2081" spans="1:38" ht="15" x14ac:dyDescent="0.25">
      <c r="A2081" s="1" t="s">
        <v>6446</v>
      </c>
      <c r="B2081" s="1" t="s">
        <v>6447</v>
      </c>
      <c r="C2081" s="1" t="s">
        <v>208</v>
      </c>
      <c r="D2081" s="1" t="s">
        <v>208</v>
      </c>
      <c r="E2081" s="6">
        <v>31.71</v>
      </c>
      <c r="F2081" s="1" t="s">
        <v>53</v>
      </c>
      <c r="G2081" s="6">
        <f ca="1">IFERROR(__xludf.DUMMYFUNCTION("iferror(GOOGLEFINANCE(TRIM(F2081)&amp;"":"" &amp; TRIM(B2081), ""price""),0
)"),0)</f>
        <v>0</v>
      </c>
      <c r="H2081" s="6">
        <v>57</v>
      </c>
      <c r="I2081" s="6">
        <f t="shared" ca="1" si="0"/>
        <v>57</v>
      </c>
      <c r="J2081" s="6">
        <f ca="1">IFERROR(__xludf.DUMMYFUNCTION("IFERROR(GOOGLEFINANCE(B2081, ""volume""), 0)"),0)</f>
        <v>0</v>
      </c>
      <c r="K2081" s="6">
        <v>-1.94</v>
      </c>
      <c r="L2081" s="6">
        <f ca="1">IFERROR(__xludf.DUMMYFUNCTION("IFERROR(GOOGLEFINANCE(B2081,""changepct""),K2081)"),-1.94)</f>
        <v>-1.94</v>
      </c>
      <c r="M2081" s="6">
        <f ca="1">IFERROR(__xludf.DUMMYFUNCTION("IFERROR(GOOGLEFINANCE(B2081,""change""),0)"),0)</f>
        <v>0</v>
      </c>
      <c r="N2081" s="6">
        <v>1</v>
      </c>
      <c r="O2081" s="7">
        <v>45536</v>
      </c>
      <c r="P2081" s="6">
        <v>1.6</v>
      </c>
      <c r="Q2081" s="7">
        <v>45536</v>
      </c>
      <c r="R2081" s="6">
        <v>19.82</v>
      </c>
      <c r="S2081" s="6">
        <v>0.62</v>
      </c>
      <c r="T2081" s="6">
        <v>1.05</v>
      </c>
      <c r="U2081" s="6">
        <v>1</v>
      </c>
      <c r="V2081" s="7">
        <v>45352</v>
      </c>
      <c r="W2081" s="10">
        <f ca="1">IFERROR(__xludf.DUMMYFUNCTION("IFERROR(GOOGLEFINANCE(B2081,""pe""),V2081)"),45352)</f>
        <v>45352</v>
      </c>
      <c r="X2081" s="6">
        <v>0.03</v>
      </c>
      <c r="Y2081" s="6">
        <v>13.61</v>
      </c>
      <c r="Z2081" s="6">
        <v>17.61</v>
      </c>
      <c r="AA2081" s="3" t="s">
        <v>6448</v>
      </c>
      <c r="AB2081" s="11"/>
      <c r="AC2081" s="9"/>
      <c r="AD2081" s="9"/>
      <c r="AE2081" s="1">
        <v>0</v>
      </c>
      <c r="AF2081" s="1">
        <f ca="1">IFERROR(__xludf.DUMMYFUNCTION("IFERROR(GOOGLEFINANCE(TRIM(F2081)&amp;"":"" &amp; TRIM(B2081),""high52""),AE2081)"),0)</f>
        <v>0</v>
      </c>
      <c r="AG2081" s="1">
        <v>0</v>
      </c>
      <c r="AH2081" s="1">
        <f ca="1">IFERROR(__xludf.DUMMYFUNCTION("IFERROR(GOOGLEFINANCE(TRIM(F2081)&amp;"":"" &amp; TRIM(B2081),""low52""),AE2081)"),0)</f>
        <v>0</v>
      </c>
      <c r="AI2081" s="1">
        <f ca="1">IFERROR(__xludf.DUMMYFUNCTION("IFERROR(GOOGLEFINANCE(B2081,""eps""),0)"),0)</f>
        <v>0</v>
      </c>
      <c r="AJ2081" s="1"/>
      <c r="AK2081" s="1" t="s">
        <v>6449</v>
      </c>
      <c r="AL2081" s="9">
        <f t="shared" si="231"/>
        <v>1</v>
      </c>
    </row>
    <row r="2082" spans="1:38" ht="15" x14ac:dyDescent="0.25">
      <c r="A2082" s="1" t="s">
        <v>6450</v>
      </c>
      <c r="B2082" s="1" t="s">
        <v>6451</v>
      </c>
      <c r="C2082" s="1" t="s">
        <v>208</v>
      </c>
      <c r="D2082" s="1" t="s">
        <v>208</v>
      </c>
      <c r="E2082" s="6">
        <v>128.11000000000001</v>
      </c>
      <c r="F2082" s="1" t="s">
        <v>53</v>
      </c>
      <c r="G2082" s="6">
        <f ca="1">IFERROR(__xludf.DUMMYFUNCTION("iferror(GOOGLEFINANCE(TRIM(F2082)&amp;"":"" &amp; TRIM(B2082), ""price""),0
)"),0)</f>
        <v>0</v>
      </c>
      <c r="H2082" s="6">
        <v>1.54</v>
      </c>
      <c r="I2082" s="6">
        <f t="shared" ca="1" si="0"/>
        <v>1.54</v>
      </c>
      <c r="J2082" s="6">
        <f ca="1">IFERROR(__xludf.DUMMYFUNCTION("IFERROR(GOOGLEFINANCE(B2082, ""volume""), 0)"),0)</f>
        <v>0</v>
      </c>
      <c r="K2082" s="6">
        <v>4.76</v>
      </c>
      <c r="L2082" s="6">
        <f ca="1">IFERROR(__xludf.DUMMYFUNCTION("IFERROR(GOOGLEFINANCE(B2082,""changepct""),K2082)"),4.76)</f>
        <v>4.76</v>
      </c>
      <c r="M2082" s="6">
        <f ca="1">IFERROR(__xludf.DUMMYFUNCTION("IFERROR(GOOGLEFINANCE(B2082,""change""),0)"),0)</f>
        <v>0</v>
      </c>
      <c r="N2082" s="6">
        <v>1</v>
      </c>
      <c r="O2082" s="7">
        <v>45536</v>
      </c>
      <c r="P2082" s="6">
        <v>6.42</v>
      </c>
      <c r="Q2082" s="7">
        <v>45536</v>
      </c>
      <c r="R2082" s="6">
        <v>19.95</v>
      </c>
      <c r="S2082" s="6">
        <v>1.01</v>
      </c>
      <c r="T2082" s="6">
        <v>1.26</v>
      </c>
      <c r="U2082" s="6">
        <v>1</v>
      </c>
      <c r="V2082" s="7">
        <v>45352</v>
      </c>
      <c r="W2082" s="10">
        <f ca="1">IFERROR(__xludf.DUMMYFUNCTION("IFERROR(GOOGLEFINANCE(B2082,""pe""),V2082)"),45352)</f>
        <v>45352</v>
      </c>
      <c r="X2082" s="6">
        <v>0.31</v>
      </c>
      <c r="Y2082" s="6">
        <v>0.53</v>
      </c>
      <c r="Z2082" s="6">
        <v>0.68</v>
      </c>
      <c r="AA2082" s="3" t="s">
        <v>6452</v>
      </c>
      <c r="AB2082" s="11"/>
      <c r="AC2082" s="9"/>
      <c r="AD2082" s="9"/>
      <c r="AE2082" s="1">
        <v>0</v>
      </c>
      <c r="AF2082" s="1">
        <f ca="1">IFERROR(__xludf.DUMMYFUNCTION("IFERROR(GOOGLEFINANCE(TRIM(F2082)&amp;"":"" &amp; TRIM(B2082),""high52""),AE2082)"),0)</f>
        <v>0</v>
      </c>
      <c r="AG2082" s="1">
        <v>0</v>
      </c>
      <c r="AH2082" s="1">
        <f ca="1">IFERROR(__xludf.DUMMYFUNCTION("IFERROR(GOOGLEFINANCE(TRIM(F2082)&amp;"":"" &amp; TRIM(B2082),""low52""),AE2082)"),0)</f>
        <v>0</v>
      </c>
      <c r="AI2082" s="1">
        <f ca="1">IFERROR(__xludf.DUMMYFUNCTION("IFERROR(GOOGLEFINANCE(B2082,""eps""),0)"),0)</f>
        <v>0</v>
      </c>
      <c r="AJ2082" s="1"/>
      <c r="AK2082" s="1" t="s">
        <v>6453</v>
      </c>
      <c r="AL2082" s="9">
        <f t="shared" si="231"/>
        <v>1</v>
      </c>
    </row>
    <row r="2083" spans="1:38" ht="15" x14ac:dyDescent="0.25">
      <c r="A2083" s="1" t="s">
        <v>6454</v>
      </c>
      <c r="B2083" s="1" t="s">
        <v>6455</v>
      </c>
      <c r="C2083" s="1" t="s">
        <v>208</v>
      </c>
      <c r="D2083" s="1" t="s">
        <v>208</v>
      </c>
      <c r="E2083" s="6">
        <v>1059.4100000000001</v>
      </c>
      <c r="F2083" s="1" t="s">
        <v>53</v>
      </c>
      <c r="G2083" s="6">
        <f ca="1">IFERROR(__xludf.DUMMYFUNCTION("iferror(GOOGLEFINANCE(TRIM(F2083)&amp;"":"" &amp; TRIM(B2083), ""price""),0
)"),0)</f>
        <v>0</v>
      </c>
      <c r="H2083" s="6">
        <v>6200</v>
      </c>
      <c r="I2083" s="6">
        <f t="shared" ca="1" si="0"/>
        <v>6200</v>
      </c>
      <c r="J2083" s="6">
        <f ca="1">IFERROR(__xludf.DUMMYFUNCTION("IFERROR(GOOGLEFINANCE(B2083, ""volume""), 0)"),0)</f>
        <v>0</v>
      </c>
      <c r="K2083" s="6">
        <v>-1.92</v>
      </c>
      <c r="L2083" s="6">
        <f ca="1">IFERROR(__xludf.DUMMYFUNCTION("IFERROR(GOOGLEFINANCE(B2083,""changepct""),K2083)"),-1.92)</f>
        <v>-1.92</v>
      </c>
      <c r="M2083" s="6">
        <f ca="1">IFERROR(__xludf.DUMMYFUNCTION("IFERROR(GOOGLEFINANCE(B2083,""change""),0)"),0)</f>
        <v>0</v>
      </c>
      <c r="N2083" s="6">
        <v>2</v>
      </c>
      <c r="O2083" s="7">
        <v>45536</v>
      </c>
      <c r="P2083" s="6">
        <v>5.95</v>
      </c>
      <c r="Q2083" s="7">
        <v>45536</v>
      </c>
      <c r="R2083" s="6">
        <v>20.04</v>
      </c>
      <c r="S2083" s="6">
        <v>0.95</v>
      </c>
      <c r="T2083" s="6">
        <v>1.26</v>
      </c>
      <c r="U2083" s="6">
        <v>2</v>
      </c>
      <c r="V2083" s="7">
        <v>45352</v>
      </c>
      <c r="W2083" s="10">
        <f ca="1">IFERROR(__xludf.DUMMYFUNCTION("IFERROR(GOOGLEFINANCE(B2083,""pe""),V2083)"),45352)</f>
        <v>45352</v>
      </c>
      <c r="X2083" s="6">
        <v>0</v>
      </c>
      <c r="Y2083" s="6">
        <v>7.12</v>
      </c>
      <c r="Z2083" s="6">
        <v>7.23</v>
      </c>
      <c r="AA2083" s="3" t="s">
        <v>6456</v>
      </c>
      <c r="AB2083" s="11"/>
      <c r="AC2083" s="9"/>
      <c r="AD2083" s="9"/>
      <c r="AE2083" s="1">
        <v>0</v>
      </c>
      <c r="AF2083" s="1">
        <f ca="1">IFERROR(__xludf.DUMMYFUNCTION("IFERROR(GOOGLEFINANCE(TRIM(F2083)&amp;"":"" &amp; TRIM(B2083),""high52""),AE2083)"),0)</f>
        <v>0</v>
      </c>
      <c r="AG2083" s="1">
        <v>0</v>
      </c>
      <c r="AH2083" s="1">
        <f ca="1">IFERROR(__xludf.DUMMYFUNCTION("IFERROR(GOOGLEFINANCE(TRIM(F2083)&amp;"":"" &amp; TRIM(B2083),""low52""),AE2083)"),0)</f>
        <v>0</v>
      </c>
      <c r="AI2083" s="1">
        <f ca="1">IFERROR(__xludf.DUMMYFUNCTION("IFERROR(GOOGLEFINANCE(B2083,""eps""),0)"),0)</f>
        <v>0</v>
      </c>
      <c r="AJ2083" s="1"/>
      <c r="AK2083" s="1" t="s">
        <v>6457</v>
      </c>
      <c r="AL2083" s="9">
        <f t="shared" si="231"/>
        <v>1</v>
      </c>
    </row>
    <row r="2084" spans="1:38" ht="15" x14ac:dyDescent="0.25">
      <c r="A2084" s="1" t="s">
        <v>6458</v>
      </c>
      <c r="B2084" s="1" t="s">
        <v>6459</v>
      </c>
      <c r="C2084" s="1" t="s">
        <v>208</v>
      </c>
      <c r="D2084" s="1" t="s">
        <v>208</v>
      </c>
      <c r="E2084" s="6">
        <v>44.21</v>
      </c>
      <c r="F2084" s="1" t="s">
        <v>53</v>
      </c>
      <c r="G2084" s="6">
        <f ca="1">IFERROR(__xludf.DUMMYFUNCTION("iferror(GOOGLEFINANCE(TRIM(F2084)&amp;"":"" &amp; TRIM(B2084), ""price""),0
)"),0)</f>
        <v>0</v>
      </c>
      <c r="H2084" s="6">
        <v>41</v>
      </c>
      <c r="I2084" s="6">
        <f t="shared" ca="1" si="0"/>
        <v>41</v>
      </c>
      <c r="J2084" s="6">
        <f ca="1">IFERROR(__xludf.DUMMYFUNCTION("IFERROR(GOOGLEFINANCE(B2084, ""volume""), 0)"),0)</f>
        <v>0</v>
      </c>
      <c r="K2084" s="6">
        <v>0.91</v>
      </c>
      <c r="L2084" s="6">
        <f ca="1">IFERROR(__xludf.DUMMYFUNCTION("IFERROR(GOOGLEFINANCE(B2084,""changepct""),K2084)"),0.91)</f>
        <v>0.91</v>
      </c>
      <c r="M2084" s="6">
        <f ca="1">IFERROR(__xludf.DUMMYFUNCTION("IFERROR(GOOGLEFINANCE(B2084,""change""),0)"),0)</f>
        <v>0</v>
      </c>
      <c r="N2084" s="6">
        <v>1</v>
      </c>
      <c r="O2084" s="7">
        <v>45536</v>
      </c>
      <c r="P2084" s="6">
        <v>2.2000000000000002</v>
      </c>
      <c r="Q2084" s="7">
        <v>45536</v>
      </c>
      <c r="R2084" s="6">
        <v>20.100000000000001</v>
      </c>
      <c r="S2084" s="6">
        <v>-1.19</v>
      </c>
      <c r="T2084" s="6">
        <v>1.1000000000000001</v>
      </c>
      <c r="U2084" s="6">
        <v>1</v>
      </c>
      <c r="V2084" s="7">
        <v>45352</v>
      </c>
      <c r="W2084" s="10">
        <f ca="1">IFERROR(__xludf.DUMMYFUNCTION("IFERROR(GOOGLEFINANCE(B2084,""pe""),V2084)"),45352)</f>
        <v>45352</v>
      </c>
      <c r="X2084" s="6">
        <v>2.65</v>
      </c>
      <c r="Y2084" s="6">
        <v>5.5</v>
      </c>
      <c r="Z2084" s="6">
        <v>9.43</v>
      </c>
      <c r="AA2084" s="3" t="s">
        <v>6460</v>
      </c>
      <c r="AB2084" s="11"/>
      <c r="AC2084" s="9"/>
      <c r="AD2084" s="9"/>
      <c r="AE2084" s="1">
        <v>0</v>
      </c>
      <c r="AF2084" s="1">
        <f ca="1">IFERROR(__xludf.DUMMYFUNCTION("IFERROR(GOOGLEFINANCE(TRIM(F2084)&amp;"":"" &amp; TRIM(B2084),""high52""),AE2084)"),0)</f>
        <v>0</v>
      </c>
      <c r="AG2084" s="1">
        <v>0</v>
      </c>
      <c r="AH2084" s="1">
        <f ca="1">IFERROR(__xludf.DUMMYFUNCTION("IFERROR(GOOGLEFINANCE(TRIM(F2084)&amp;"":"" &amp; TRIM(B2084),""low52""),AE2084)"),0)</f>
        <v>0</v>
      </c>
      <c r="AI2084" s="1">
        <f ca="1">IFERROR(__xludf.DUMMYFUNCTION("IFERROR(GOOGLEFINANCE(B2084,""eps""),0)"),0)</f>
        <v>0</v>
      </c>
      <c r="AJ2084" s="1"/>
      <c r="AK2084" s="1" t="s">
        <v>6461</v>
      </c>
      <c r="AL2084" s="9">
        <f t="shared" si="231"/>
        <v>1</v>
      </c>
    </row>
    <row r="2085" spans="1:38" ht="15" x14ac:dyDescent="0.25">
      <c r="A2085" s="1" t="s">
        <v>6462</v>
      </c>
      <c r="B2085" s="1" t="s">
        <v>6463</v>
      </c>
      <c r="C2085" s="1" t="s">
        <v>208</v>
      </c>
      <c r="D2085" s="1" t="s">
        <v>208</v>
      </c>
      <c r="E2085" s="6">
        <v>28.28</v>
      </c>
      <c r="F2085" s="1" t="s">
        <v>53</v>
      </c>
      <c r="G2085" s="6">
        <f ca="1">IFERROR(__xludf.DUMMYFUNCTION("iferror(GOOGLEFINANCE(TRIM(F2085)&amp;"":"" &amp; TRIM(B2085), ""price""),0
)"),0)</f>
        <v>0</v>
      </c>
      <c r="H2085" s="6">
        <v>69.599999999999994</v>
      </c>
      <c r="I2085" s="6">
        <f t="shared" ca="1" si="0"/>
        <v>69.599999999999994</v>
      </c>
      <c r="J2085" s="6">
        <f ca="1">IFERROR(__xludf.DUMMYFUNCTION("IFERROR(GOOGLEFINANCE(B2085, ""volume""), 0)"),0)</f>
        <v>0</v>
      </c>
      <c r="K2085" s="6">
        <v>4.6100000000000003</v>
      </c>
      <c r="L2085" s="6">
        <f ca="1">IFERROR(__xludf.DUMMYFUNCTION("IFERROR(GOOGLEFINANCE(B2085,""changepct""),K2085)"),4.61)</f>
        <v>4.6100000000000003</v>
      </c>
      <c r="M2085" s="6">
        <f ca="1">IFERROR(__xludf.DUMMYFUNCTION("IFERROR(GOOGLEFINANCE(B2085,""change""),0)"),0)</f>
        <v>0</v>
      </c>
      <c r="N2085" s="6">
        <v>1</v>
      </c>
      <c r="O2085" s="7">
        <v>45536</v>
      </c>
      <c r="P2085" s="6">
        <v>1.39</v>
      </c>
      <c r="Q2085" s="7">
        <v>45536</v>
      </c>
      <c r="R2085" s="6">
        <v>20.329999999999998</v>
      </c>
      <c r="S2085" s="6">
        <v>-4.07</v>
      </c>
      <c r="T2085" s="6">
        <v>0.87</v>
      </c>
      <c r="U2085" s="6">
        <v>1</v>
      </c>
      <c r="V2085" s="7">
        <v>45352</v>
      </c>
      <c r="W2085" s="10">
        <f ca="1">IFERROR(__xludf.DUMMYFUNCTION("IFERROR(GOOGLEFINANCE(B2085,""pe""),V2085)"),45352)</f>
        <v>45352</v>
      </c>
      <c r="X2085" s="6">
        <v>0.02</v>
      </c>
      <c r="Y2085" s="6">
        <v>3.04</v>
      </c>
      <c r="Z2085" s="6">
        <v>3.67</v>
      </c>
      <c r="AA2085" s="3" t="s">
        <v>6464</v>
      </c>
      <c r="AB2085" s="11"/>
      <c r="AC2085" s="9"/>
      <c r="AD2085" s="9"/>
      <c r="AE2085" s="1">
        <v>0</v>
      </c>
      <c r="AF2085" s="1">
        <f ca="1">IFERROR(__xludf.DUMMYFUNCTION("IFERROR(GOOGLEFINANCE(TRIM(F2085)&amp;"":"" &amp; TRIM(B2085),""high52""),AE2085)"),0)</f>
        <v>0</v>
      </c>
      <c r="AG2085" s="1">
        <v>0</v>
      </c>
      <c r="AH2085" s="1">
        <f ca="1">IFERROR(__xludf.DUMMYFUNCTION("IFERROR(GOOGLEFINANCE(TRIM(F2085)&amp;"":"" &amp; TRIM(B2085),""low52""),AE2085)"),0)</f>
        <v>0</v>
      </c>
      <c r="AI2085" s="1">
        <f ca="1">IFERROR(__xludf.DUMMYFUNCTION("IFERROR(GOOGLEFINANCE(B2085,""eps""),0)"),0)</f>
        <v>0</v>
      </c>
      <c r="AJ2085" s="1"/>
      <c r="AK2085" s="1" t="s">
        <v>6465</v>
      </c>
      <c r="AL2085" s="9">
        <f t="shared" si="231"/>
        <v>1</v>
      </c>
    </row>
    <row r="2086" spans="1:38" ht="15" x14ac:dyDescent="0.25">
      <c r="A2086" s="1" t="s">
        <v>6466</v>
      </c>
      <c r="B2086" s="1" t="s">
        <v>6467</v>
      </c>
      <c r="C2086" s="1" t="s">
        <v>159</v>
      </c>
      <c r="D2086" s="1" t="s">
        <v>159</v>
      </c>
      <c r="E2086" s="6">
        <v>212.86</v>
      </c>
      <c r="F2086" s="1" t="s">
        <v>40</v>
      </c>
      <c r="G2086" s="6">
        <f ca="1">IFERROR(__xludf.DUMMYFUNCTION("iferror(GOOGLEFINANCE(TRIM(F2086)&amp;"":"" &amp; TRIM(B2086), ""price""),0
)"),0)</f>
        <v>0</v>
      </c>
      <c r="H2086" s="6">
        <v>96</v>
      </c>
      <c r="I2086" s="6">
        <f t="shared" ca="1" si="0"/>
        <v>96</v>
      </c>
      <c r="J2086" s="6">
        <f ca="1">IFERROR(__xludf.DUMMYFUNCTION("IFERROR(GOOGLEFINANCE(B2086, ""volume""), 0)"),0)</f>
        <v>0</v>
      </c>
      <c r="K2086" s="6">
        <v>-5.84</v>
      </c>
      <c r="L2086" s="6">
        <f ca="1">IFERROR(__xludf.DUMMYFUNCTION("IFERROR(GOOGLEFINANCE(B2086,""changepct""),K2086)"),-5.84)</f>
        <v>-5.84</v>
      </c>
      <c r="M2086" s="6">
        <f ca="1">IFERROR(__xludf.DUMMYFUNCTION("IFERROR(GOOGLEFINANCE(B2086,""change""),0)"),0)</f>
        <v>0</v>
      </c>
      <c r="N2086" s="6">
        <v>1</v>
      </c>
      <c r="O2086" s="7">
        <v>45536</v>
      </c>
      <c r="P2086" s="6">
        <v>39.619999999999997</v>
      </c>
      <c r="Q2086" s="6">
        <v>241.87</v>
      </c>
      <c r="R2086" s="7">
        <v>45352</v>
      </c>
      <c r="S2086" s="6">
        <v>107.44</v>
      </c>
      <c r="T2086" s="6">
        <v>3.46</v>
      </c>
      <c r="U2086" s="7">
        <v>45352</v>
      </c>
      <c r="V2086" s="6">
        <v>61.44</v>
      </c>
      <c r="W2086" s="6">
        <f ca="1">IFERROR(__xludf.DUMMYFUNCTION("IFERROR(GOOGLEFINANCE(B2086,""pe""),V2086)"),61.44)</f>
        <v>61.44</v>
      </c>
      <c r="X2086" s="12"/>
      <c r="Y2086" s="6">
        <v>4.1500000000000004</v>
      </c>
      <c r="Z2086" s="6">
        <v>2</v>
      </c>
      <c r="AA2086" s="8">
        <v>45352</v>
      </c>
      <c r="AB2086" s="4">
        <v>1.02</v>
      </c>
      <c r="AC2086" s="6">
        <v>6.95</v>
      </c>
      <c r="AD2086" s="6">
        <v>10.63</v>
      </c>
      <c r="AE2086" s="1">
        <v>0</v>
      </c>
      <c r="AF2086" s="1">
        <f ca="1">IFERROR(__xludf.DUMMYFUNCTION("IFERROR(GOOGLEFINANCE(TRIM(F2086)&amp;"":"" &amp; TRIM(B2086),""high52""),AE2086)"),0)</f>
        <v>0</v>
      </c>
      <c r="AG2086" s="1">
        <v>0</v>
      </c>
      <c r="AH2086" s="1">
        <f ca="1">IFERROR(__xludf.DUMMYFUNCTION("IFERROR(GOOGLEFINANCE(TRIM(F2086)&amp;"":"" &amp; TRIM(B2086),""low52""),AE2086)"),0)</f>
        <v>0</v>
      </c>
      <c r="AI2086" s="1">
        <f ca="1">IFERROR(__xludf.DUMMYFUNCTION("IFERROR(GOOGLEFINANCE(B2086,""eps""),0)"),0)</f>
        <v>0</v>
      </c>
      <c r="AJ2086" s="1"/>
      <c r="AK2086" s="1" t="s">
        <v>6468</v>
      </c>
      <c r="AL2086" s="9">
        <f t="shared" si="231"/>
        <v>1</v>
      </c>
    </row>
    <row r="2087" spans="1:38" ht="15" x14ac:dyDescent="0.25">
      <c r="A2087" s="1" t="s">
        <v>6469</v>
      </c>
      <c r="B2087" s="1" t="s">
        <v>6470</v>
      </c>
      <c r="C2087" s="1" t="s">
        <v>106</v>
      </c>
      <c r="D2087" s="1" t="s">
        <v>106</v>
      </c>
      <c r="E2087" s="6">
        <v>521.71</v>
      </c>
      <c r="F2087" s="1" t="s">
        <v>40</v>
      </c>
      <c r="G2087" s="6">
        <f ca="1">IFERROR(__xludf.DUMMYFUNCTION("iferror(GOOGLEFINANCE(TRIM(F2087)&amp;"":"" &amp; TRIM(B2087), ""price""),0
)"),335)</f>
        <v>335</v>
      </c>
      <c r="H2087" s="6">
        <v>345</v>
      </c>
      <c r="I2087" s="6">
        <f t="shared" ca="1" si="0"/>
        <v>335</v>
      </c>
      <c r="J2087" s="6">
        <f ca="1">IFERROR(__xludf.DUMMYFUNCTION("IFERROR(GOOGLEFINANCE(B2087, ""volume""), 0)"),6260)</f>
        <v>6260</v>
      </c>
      <c r="K2087" s="6">
        <v>5.38</v>
      </c>
      <c r="L2087" s="6">
        <f ca="1">IFERROR(__xludf.DUMMYFUNCTION("IFERROR(GOOGLEFINANCE(B2087,""changepct""),K2087)"),3.35)</f>
        <v>3.35</v>
      </c>
      <c r="M2087" s="6">
        <f ca="1">IFERROR(__xludf.DUMMYFUNCTION("IFERROR(GOOGLEFINANCE(B2087,""change""),0)"),10.85)</f>
        <v>10.85</v>
      </c>
      <c r="N2087" s="6">
        <v>2</v>
      </c>
      <c r="O2087" s="7">
        <v>45536</v>
      </c>
      <c r="P2087" s="6">
        <v>32.409999999999997</v>
      </c>
      <c r="Q2087" s="6">
        <v>547.85</v>
      </c>
      <c r="R2087" s="7">
        <v>45536</v>
      </c>
      <c r="S2087" s="6">
        <v>157.54</v>
      </c>
      <c r="T2087" s="6">
        <v>14.15</v>
      </c>
      <c r="U2087" s="7">
        <v>45536</v>
      </c>
      <c r="V2087" s="6">
        <v>31.7</v>
      </c>
      <c r="W2087" s="6">
        <f ca="1">IFERROR(__xludf.DUMMYFUNCTION("IFERROR(GOOGLEFINANCE(B2087,""pe""),V2087)"),19.71)</f>
        <v>19.71</v>
      </c>
      <c r="X2087" s="6">
        <v>1.03</v>
      </c>
      <c r="Y2087" s="6">
        <v>2.76</v>
      </c>
      <c r="Z2087" s="6">
        <v>2</v>
      </c>
      <c r="AA2087" s="8">
        <v>45352</v>
      </c>
      <c r="AB2087" s="4">
        <v>0.18</v>
      </c>
      <c r="AC2087" s="6">
        <v>8.43</v>
      </c>
      <c r="AD2087" s="6">
        <v>13.3</v>
      </c>
      <c r="AE2087" s="1">
        <v>0</v>
      </c>
      <c r="AF2087" s="1">
        <f ca="1">IFERROR(__xludf.DUMMYFUNCTION("IFERROR(GOOGLEFINANCE(TRIM(F2087)&amp;"":"" &amp; TRIM(B2087),""high52""),AE2087)"),500)</f>
        <v>500</v>
      </c>
      <c r="AG2087" s="1">
        <v>0</v>
      </c>
      <c r="AH2087" s="1">
        <f ca="1">IFERROR(__xludf.DUMMYFUNCTION("IFERROR(GOOGLEFINANCE(TRIM(F2087)&amp;"":"" &amp; TRIM(B2087),""low52""),AE2087)"),293.53)</f>
        <v>293.52999999999997</v>
      </c>
      <c r="AI2087" s="1">
        <f ca="1">IFERROR(__xludf.DUMMYFUNCTION("IFERROR(GOOGLEFINANCE(B2087,""eps""),0)"),17)</f>
        <v>17</v>
      </c>
      <c r="AJ2087" s="1"/>
      <c r="AK2087" s="1" t="s">
        <v>6471</v>
      </c>
      <c r="AL2087" s="9">
        <f t="shared" si="231"/>
        <v>1</v>
      </c>
    </row>
    <row r="2088" spans="1:38" ht="15" x14ac:dyDescent="0.25">
      <c r="A2088" s="1" t="s">
        <v>6472</v>
      </c>
      <c r="B2088" s="1" t="s">
        <v>6473</v>
      </c>
      <c r="C2088" s="1" t="s">
        <v>208</v>
      </c>
      <c r="D2088" s="1" t="s">
        <v>208</v>
      </c>
      <c r="E2088" s="6">
        <v>11.8</v>
      </c>
      <c r="F2088" s="1" t="s">
        <v>53</v>
      </c>
      <c r="G2088" s="6">
        <f ca="1">IFERROR(__xludf.DUMMYFUNCTION("iferror(GOOGLEFINANCE(TRIM(F2088)&amp;"":"" &amp; TRIM(B2088), ""price""),0
)"),0)</f>
        <v>0</v>
      </c>
      <c r="H2088" s="6">
        <v>10.1</v>
      </c>
      <c r="I2088" s="6">
        <f t="shared" ca="1" si="0"/>
        <v>10.1</v>
      </c>
      <c r="J2088" s="6">
        <f ca="1">IFERROR(__xludf.DUMMYFUNCTION("IFERROR(GOOGLEFINANCE(B2088, ""volume""), 0)"),46580)</f>
        <v>46580</v>
      </c>
      <c r="K2088" s="6">
        <v>1.81</v>
      </c>
      <c r="L2088" s="6">
        <f ca="1">IFERROR(__xludf.DUMMYFUNCTION("IFERROR(GOOGLEFINANCE(B2088,""changepct""),K2088)"),0.21)</f>
        <v>0.21</v>
      </c>
      <c r="M2088" s="6">
        <f ca="1">IFERROR(__xludf.DUMMYFUNCTION("IFERROR(GOOGLEFINANCE(B2088,""change""),0)"),0.4)</f>
        <v>0.4</v>
      </c>
      <c r="N2088" s="6">
        <v>1</v>
      </c>
      <c r="O2088" s="7">
        <v>45536</v>
      </c>
      <c r="P2088" s="6">
        <v>0.53</v>
      </c>
      <c r="Q2088" s="7">
        <v>45536</v>
      </c>
      <c r="R2088" s="6">
        <v>22.18</v>
      </c>
      <c r="S2088" s="6">
        <v>-2.39</v>
      </c>
      <c r="T2088" s="6">
        <v>3.17</v>
      </c>
      <c r="U2088" s="6">
        <v>1</v>
      </c>
      <c r="V2088" s="7">
        <v>45352</v>
      </c>
      <c r="W2088" s="6">
        <f ca="1">IFERROR(__xludf.DUMMYFUNCTION("IFERROR(GOOGLEFINANCE(B2088,""pe""),V2088)"),8.76)</f>
        <v>8.76</v>
      </c>
      <c r="X2088" s="6">
        <v>0</v>
      </c>
      <c r="Y2088" s="6">
        <v>8.01</v>
      </c>
      <c r="Z2088" s="6">
        <v>6.44</v>
      </c>
      <c r="AA2088" s="3" t="s">
        <v>6474</v>
      </c>
      <c r="AB2088" s="11"/>
      <c r="AC2088" s="9"/>
      <c r="AD2088" s="9"/>
      <c r="AE2088" s="1">
        <v>0</v>
      </c>
      <c r="AF2088" s="1">
        <f ca="1">IFERROR(__xludf.DUMMYFUNCTION("IFERROR(GOOGLEFINANCE(TRIM(F2088)&amp;"":"" &amp; TRIM(B2088),""high52""),AE2088)"),0)</f>
        <v>0</v>
      </c>
      <c r="AG2088" s="1">
        <v>0</v>
      </c>
      <c r="AH2088" s="1">
        <f ca="1">IFERROR(__xludf.DUMMYFUNCTION("IFERROR(GOOGLEFINANCE(TRIM(F2088)&amp;"":"" &amp; TRIM(B2088),""low52""),AE2088)"),0)</f>
        <v>0</v>
      </c>
      <c r="AI2088" s="1">
        <f ca="1">IFERROR(__xludf.DUMMYFUNCTION("IFERROR(GOOGLEFINANCE(B2088,""eps""),0)"),0.21)</f>
        <v>0.21</v>
      </c>
      <c r="AJ2088" s="1"/>
      <c r="AK2088" s="1" t="s">
        <v>6475</v>
      </c>
      <c r="AL2088" s="9">
        <f t="shared" si="231"/>
        <v>1</v>
      </c>
    </row>
    <row r="2089" spans="1:38" ht="15" x14ac:dyDescent="0.25">
      <c r="A2089" s="1" t="s">
        <v>6476</v>
      </c>
      <c r="B2089" s="1" t="s">
        <v>6477</v>
      </c>
      <c r="C2089" s="1" t="s">
        <v>208</v>
      </c>
      <c r="D2089" s="1" t="s">
        <v>208</v>
      </c>
      <c r="E2089" s="6">
        <v>69.400000000000006</v>
      </c>
      <c r="F2089" s="1" t="s">
        <v>53</v>
      </c>
      <c r="G2089" s="6">
        <f ca="1">IFERROR(__xludf.DUMMYFUNCTION("iferror(GOOGLEFINANCE(TRIM(F2089)&amp;"":"" &amp; TRIM(B2089), ""price""),0
)"),0)</f>
        <v>0</v>
      </c>
      <c r="H2089" s="6">
        <v>154</v>
      </c>
      <c r="I2089" s="6">
        <f t="shared" ca="1" si="0"/>
        <v>154</v>
      </c>
      <c r="J2089" s="6">
        <f ca="1">IFERROR(__xludf.DUMMYFUNCTION("IFERROR(GOOGLEFINANCE(B2089, ""volume""), 0)"),0)</f>
        <v>0</v>
      </c>
      <c r="K2089" s="6">
        <v>-0.1</v>
      </c>
      <c r="L2089" s="6">
        <f ca="1">IFERROR(__xludf.DUMMYFUNCTION("IFERROR(GOOGLEFINANCE(B2089,""changepct""),K2089)"),-0.1)</f>
        <v>-0.1</v>
      </c>
      <c r="M2089" s="6">
        <f ca="1">IFERROR(__xludf.DUMMYFUNCTION("IFERROR(GOOGLEFINANCE(B2089,""change""),0)"),0)</f>
        <v>0</v>
      </c>
      <c r="N2089" s="6">
        <v>1</v>
      </c>
      <c r="O2089" s="7">
        <v>45536</v>
      </c>
      <c r="P2089" s="6">
        <v>3.09</v>
      </c>
      <c r="Q2089" s="7">
        <v>45536</v>
      </c>
      <c r="R2089" s="6">
        <v>22.48</v>
      </c>
      <c r="S2089" s="6">
        <v>0.33</v>
      </c>
      <c r="T2089" s="6">
        <v>0.4</v>
      </c>
      <c r="U2089" s="6">
        <v>1</v>
      </c>
      <c r="V2089" s="7">
        <v>45352</v>
      </c>
      <c r="W2089" s="10">
        <f ca="1">IFERROR(__xludf.DUMMYFUNCTION("IFERROR(GOOGLEFINANCE(B2089,""pe""),V2089)"),45352)</f>
        <v>45352</v>
      </c>
      <c r="X2089" s="6">
        <v>0</v>
      </c>
      <c r="Y2089" s="6">
        <v>3.58</v>
      </c>
      <c r="Z2089" s="6">
        <v>4.04</v>
      </c>
      <c r="AA2089" s="3" t="s">
        <v>6478</v>
      </c>
      <c r="AB2089" s="11"/>
      <c r="AC2089" s="9"/>
      <c r="AD2089" s="9"/>
      <c r="AE2089" s="1">
        <v>0</v>
      </c>
      <c r="AF2089" s="1">
        <f ca="1">IFERROR(__xludf.DUMMYFUNCTION("IFERROR(GOOGLEFINANCE(TRIM(F2089)&amp;"":"" &amp; TRIM(B2089),""high52""),AE2089)"),0)</f>
        <v>0</v>
      </c>
      <c r="AG2089" s="1">
        <v>0</v>
      </c>
      <c r="AH2089" s="1">
        <f ca="1">IFERROR(__xludf.DUMMYFUNCTION("IFERROR(GOOGLEFINANCE(TRIM(F2089)&amp;"":"" &amp; TRIM(B2089),""low52""),AE2089)"),0)</f>
        <v>0</v>
      </c>
      <c r="AI2089" s="1">
        <f ca="1">IFERROR(__xludf.DUMMYFUNCTION("IFERROR(GOOGLEFINANCE(B2089,""eps""),0)"),0)</f>
        <v>0</v>
      </c>
      <c r="AJ2089" s="1"/>
      <c r="AK2089" s="1" t="s">
        <v>6479</v>
      </c>
      <c r="AL2089" s="9">
        <f t="shared" si="231"/>
        <v>1</v>
      </c>
    </row>
    <row r="2090" spans="1:38" ht="15" x14ac:dyDescent="0.25">
      <c r="A2090" s="1" t="s">
        <v>6480</v>
      </c>
      <c r="B2090" s="1" t="s">
        <v>6481</v>
      </c>
      <c r="C2090" s="1" t="s">
        <v>208</v>
      </c>
      <c r="D2090" s="1" t="s">
        <v>208</v>
      </c>
      <c r="E2090" s="6">
        <v>167.3</v>
      </c>
      <c r="F2090" s="1" t="s">
        <v>53</v>
      </c>
      <c r="G2090" s="6">
        <f ca="1">IFERROR(__xludf.DUMMYFUNCTION("iferror(GOOGLEFINANCE(TRIM(F2090)&amp;"":"" &amp; TRIM(B2090), ""price""),0
)"),0)</f>
        <v>0</v>
      </c>
      <c r="H2090" s="6">
        <v>153</v>
      </c>
      <c r="I2090" s="6">
        <f t="shared" ca="1" si="0"/>
        <v>153</v>
      </c>
      <c r="J2090" s="6">
        <f ca="1">IFERROR(__xludf.DUMMYFUNCTION("IFERROR(GOOGLEFINANCE(B2090, ""volume""), 0)"),0)</f>
        <v>0</v>
      </c>
      <c r="K2090" s="6">
        <v>-1.07</v>
      </c>
      <c r="L2090" s="6">
        <f ca="1">IFERROR(__xludf.DUMMYFUNCTION("IFERROR(GOOGLEFINANCE(B2090,""changepct""),K2090)"),-1.07)</f>
        <v>-1.07</v>
      </c>
      <c r="M2090" s="6">
        <f ca="1">IFERROR(__xludf.DUMMYFUNCTION("IFERROR(GOOGLEFINANCE(B2090,""change""),0)"),0)</f>
        <v>0</v>
      </c>
      <c r="N2090" s="6">
        <v>1</v>
      </c>
      <c r="O2090" s="7">
        <v>45536</v>
      </c>
      <c r="P2090" s="6">
        <v>7.12</v>
      </c>
      <c r="Q2090" s="7">
        <v>45536</v>
      </c>
      <c r="R2090" s="6">
        <v>23.48</v>
      </c>
      <c r="S2090" s="6">
        <v>1.1599999999999999</v>
      </c>
      <c r="T2090" s="6">
        <v>3.15</v>
      </c>
      <c r="U2090" s="6">
        <v>1</v>
      </c>
      <c r="V2090" s="7">
        <v>45352</v>
      </c>
      <c r="W2090" s="10">
        <f ca="1">IFERROR(__xludf.DUMMYFUNCTION("IFERROR(GOOGLEFINANCE(B2090,""pe""),V2090)"),45352)</f>
        <v>45352</v>
      </c>
      <c r="X2090" s="6">
        <v>4.8499999999999996</v>
      </c>
      <c r="Y2090" s="6">
        <v>14.94</v>
      </c>
      <c r="Z2090" s="6">
        <v>14.86</v>
      </c>
      <c r="AA2090" s="3" t="s">
        <v>6482</v>
      </c>
      <c r="AB2090" s="11"/>
      <c r="AC2090" s="9"/>
      <c r="AD2090" s="9"/>
      <c r="AE2090" s="1">
        <v>0</v>
      </c>
      <c r="AF2090" s="1">
        <f ca="1">IFERROR(__xludf.DUMMYFUNCTION("IFERROR(GOOGLEFINANCE(TRIM(F2090)&amp;"":"" &amp; TRIM(B2090),""high52""),AE2090)"),0)</f>
        <v>0</v>
      </c>
      <c r="AG2090" s="1">
        <v>0</v>
      </c>
      <c r="AH2090" s="1">
        <f ca="1">IFERROR(__xludf.DUMMYFUNCTION("IFERROR(GOOGLEFINANCE(TRIM(F2090)&amp;"":"" &amp; TRIM(B2090),""low52""),AE2090)"),0)</f>
        <v>0</v>
      </c>
      <c r="AI2090" s="1">
        <f ca="1">IFERROR(__xludf.DUMMYFUNCTION("IFERROR(GOOGLEFINANCE(B2090,""eps""),0)"),0)</f>
        <v>0</v>
      </c>
      <c r="AJ2090" s="1"/>
      <c r="AK2090" s="1" t="s">
        <v>6483</v>
      </c>
      <c r="AL2090" s="9">
        <f t="shared" si="231"/>
        <v>1</v>
      </c>
    </row>
    <row r="2091" spans="1:38" ht="15" x14ac:dyDescent="0.25">
      <c r="A2091" s="1" t="s">
        <v>6484</v>
      </c>
      <c r="B2091" s="1" t="s">
        <v>6485</v>
      </c>
      <c r="C2091" s="1" t="s">
        <v>82</v>
      </c>
      <c r="D2091" s="1" t="s">
        <v>82</v>
      </c>
      <c r="E2091" s="6">
        <v>4170.42</v>
      </c>
      <c r="F2091" s="1" t="s">
        <v>40</v>
      </c>
      <c r="G2091" s="6">
        <f ca="1">IFERROR(__xludf.DUMMYFUNCTION("iferror(GOOGLEFINANCE(TRIM(F2091)&amp;"":"" &amp; TRIM(B2091), ""price""),0
)"),4265)</f>
        <v>4265</v>
      </c>
      <c r="H2091" s="6">
        <v>3716</v>
      </c>
      <c r="I2091" s="6">
        <f t="shared" ca="1" si="0"/>
        <v>4265</v>
      </c>
      <c r="J2091" s="6">
        <f ca="1">IFERROR(__xludf.DUMMYFUNCTION("IFERROR(GOOGLEFINANCE(B2091, ""volume""), 0)"),6501)</f>
        <v>6501</v>
      </c>
      <c r="K2091" s="6">
        <v>8.18</v>
      </c>
      <c r="L2091" s="6">
        <f ca="1">IFERROR(__xludf.DUMMYFUNCTION("IFERROR(GOOGLEFINANCE(B2091,""changepct""),K2091)"),2.36)</f>
        <v>2.36</v>
      </c>
      <c r="M2091" s="6">
        <f ca="1">IFERROR(__xludf.DUMMYFUNCTION("IFERROR(GOOGLEFINANCE(B2091,""change""),0)"),98.2)</f>
        <v>98.2</v>
      </c>
      <c r="N2091" s="6">
        <v>1</v>
      </c>
      <c r="O2091" s="7">
        <v>45536</v>
      </c>
      <c r="P2091" s="6">
        <v>43.54</v>
      </c>
      <c r="Q2091" s="6">
        <v>4191.2</v>
      </c>
      <c r="R2091" s="7">
        <v>45536</v>
      </c>
      <c r="S2091" s="6">
        <v>1632.99</v>
      </c>
      <c r="T2091" s="6">
        <v>134.22</v>
      </c>
      <c r="U2091" s="7">
        <v>45536</v>
      </c>
      <c r="V2091" s="6">
        <v>31.07</v>
      </c>
      <c r="W2091" s="6">
        <f ca="1">IFERROR(__xludf.DUMMYFUNCTION("IFERROR(GOOGLEFINANCE(B2091,""pe""),V2091)"),33.74)</f>
        <v>33.74</v>
      </c>
      <c r="X2091" s="6">
        <v>0.69</v>
      </c>
      <c r="Y2091" s="6">
        <v>6.39</v>
      </c>
      <c r="Z2091" s="6">
        <v>1</v>
      </c>
      <c r="AA2091" s="8">
        <v>45352</v>
      </c>
      <c r="AB2091" s="4">
        <v>0.05</v>
      </c>
      <c r="AC2091" s="6">
        <v>23.24</v>
      </c>
      <c r="AD2091" s="6">
        <v>30.26</v>
      </c>
      <c r="AE2091" s="1">
        <v>0</v>
      </c>
      <c r="AF2091" s="1">
        <f ca="1">IFERROR(__xludf.DUMMYFUNCTION("IFERROR(GOOGLEFINANCE(TRIM(F2091)&amp;"":"" &amp; TRIM(B2091),""high52""),AE2091)"),4880)</f>
        <v>4880</v>
      </c>
      <c r="AG2091" s="1">
        <v>0</v>
      </c>
      <c r="AH2091" s="1">
        <f ca="1">IFERROR(__xludf.DUMMYFUNCTION("IFERROR(GOOGLEFINANCE(TRIM(F2091)&amp;"":"" &amp; TRIM(B2091),""low52""),AE2091)"),2550)</f>
        <v>2550</v>
      </c>
      <c r="AI2091" s="1">
        <f ca="1">IFERROR(__xludf.DUMMYFUNCTION("IFERROR(GOOGLEFINANCE(B2091,""eps""),0)"),126.4)</f>
        <v>126.4</v>
      </c>
      <c r="AJ2091" s="1"/>
      <c r="AK2091" s="1" t="s">
        <v>6486</v>
      </c>
      <c r="AL2091" s="9">
        <f t="shared" si="231"/>
        <v>1</v>
      </c>
    </row>
    <row r="2092" spans="1:38" ht="15" x14ac:dyDescent="0.25">
      <c r="A2092" s="1" t="s">
        <v>6487</v>
      </c>
      <c r="B2092" s="1" t="s">
        <v>6488</v>
      </c>
      <c r="C2092" s="1" t="s">
        <v>208</v>
      </c>
      <c r="D2092" s="1" t="s">
        <v>208</v>
      </c>
      <c r="E2092" s="6">
        <v>484.35</v>
      </c>
      <c r="F2092" s="1" t="s">
        <v>53</v>
      </c>
      <c r="G2092" s="6">
        <f ca="1">IFERROR(__xludf.DUMMYFUNCTION("iferror(GOOGLEFINANCE(TRIM(F2092)&amp;"":"" &amp; TRIM(B2092), ""price""),0
)"),0)</f>
        <v>0</v>
      </c>
      <c r="H2092" s="6">
        <v>501.7</v>
      </c>
      <c r="I2092" s="6">
        <f t="shared" ca="1" si="0"/>
        <v>501.7</v>
      </c>
      <c r="J2092" s="6">
        <f ca="1">IFERROR(__xludf.DUMMYFUNCTION("IFERROR(GOOGLEFINANCE(B2092, ""volume""), 0)"),0)</f>
        <v>0</v>
      </c>
      <c r="K2092" s="6">
        <v>3.58</v>
      </c>
      <c r="L2092" s="6">
        <f ca="1">IFERROR(__xludf.DUMMYFUNCTION("IFERROR(GOOGLEFINANCE(B2092,""changepct""),K2092)"),3.58)</f>
        <v>3.58</v>
      </c>
      <c r="M2092" s="6">
        <f ca="1">IFERROR(__xludf.DUMMYFUNCTION("IFERROR(GOOGLEFINANCE(B2092,""change""),0)"),0)</f>
        <v>0</v>
      </c>
      <c r="N2092" s="6">
        <v>1</v>
      </c>
      <c r="O2092" s="7">
        <v>45536</v>
      </c>
      <c r="P2092" s="6">
        <v>20.48</v>
      </c>
      <c r="Q2092" s="7">
        <v>45536</v>
      </c>
      <c r="R2092" s="6">
        <v>23.64</v>
      </c>
      <c r="S2092" s="6">
        <v>2.41</v>
      </c>
      <c r="T2092" s="6">
        <v>0.3</v>
      </c>
      <c r="U2092" s="6">
        <v>1</v>
      </c>
      <c r="V2092" s="7">
        <v>45352</v>
      </c>
      <c r="W2092" s="10">
        <f ca="1">IFERROR(__xludf.DUMMYFUNCTION("IFERROR(GOOGLEFINANCE(B2092,""pe""),V2092)"),45352)</f>
        <v>45352</v>
      </c>
      <c r="X2092" s="6">
        <v>0</v>
      </c>
      <c r="Y2092" s="6">
        <v>2.4300000000000002</v>
      </c>
      <c r="Z2092" s="6">
        <v>3.14</v>
      </c>
      <c r="AA2092" s="3" t="s">
        <v>6489</v>
      </c>
      <c r="AB2092" s="11"/>
      <c r="AC2092" s="9"/>
      <c r="AD2092" s="9"/>
      <c r="AE2092" s="1">
        <v>0</v>
      </c>
      <c r="AF2092" s="1">
        <f ca="1">IFERROR(__xludf.DUMMYFUNCTION("IFERROR(GOOGLEFINANCE(TRIM(F2092)&amp;"":"" &amp; TRIM(B2092),""high52""),AE2092)"),0)</f>
        <v>0</v>
      </c>
      <c r="AG2092" s="1">
        <v>0</v>
      </c>
      <c r="AH2092" s="1">
        <f ca="1">IFERROR(__xludf.DUMMYFUNCTION("IFERROR(GOOGLEFINANCE(TRIM(F2092)&amp;"":"" &amp; TRIM(B2092),""low52""),AE2092)"),0)</f>
        <v>0</v>
      </c>
      <c r="AI2092" s="1">
        <f ca="1">IFERROR(__xludf.DUMMYFUNCTION("IFERROR(GOOGLEFINANCE(B2092,""eps""),0)"),0)</f>
        <v>0</v>
      </c>
      <c r="AJ2092" s="1"/>
      <c r="AK2092" s="1" t="s">
        <v>6490</v>
      </c>
      <c r="AL2092" s="9">
        <f t="shared" si="231"/>
        <v>1</v>
      </c>
    </row>
    <row r="2093" spans="1:38" ht="15" x14ac:dyDescent="0.25">
      <c r="A2093" s="1" t="s">
        <v>6491</v>
      </c>
      <c r="B2093" s="1" t="s">
        <v>6492</v>
      </c>
      <c r="C2093" s="1" t="s">
        <v>208</v>
      </c>
      <c r="D2093" s="1" t="s">
        <v>208</v>
      </c>
      <c r="E2093" s="6">
        <v>137.18</v>
      </c>
      <c r="F2093" s="1" t="s">
        <v>53</v>
      </c>
      <c r="G2093" s="6">
        <f ca="1">IFERROR(__xludf.DUMMYFUNCTION("iferror(GOOGLEFINANCE(TRIM(F2093)&amp;"":"" &amp; TRIM(B2093), ""price""),0
)"),0)</f>
        <v>0</v>
      </c>
      <c r="H2093" s="6">
        <v>112.6</v>
      </c>
      <c r="I2093" s="6">
        <f t="shared" ca="1" si="0"/>
        <v>112.6</v>
      </c>
      <c r="J2093" s="6">
        <f ca="1">IFERROR(__xludf.DUMMYFUNCTION("IFERROR(GOOGLEFINANCE(B2093, ""volume""), 0)"),0)</f>
        <v>0</v>
      </c>
      <c r="K2093" s="6">
        <v>0.72</v>
      </c>
      <c r="L2093" s="6">
        <f ca="1">IFERROR(__xludf.DUMMYFUNCTION("IFERROR(GOOGLEFINANCE(B2093,""changepct""),K2093)"),0.72)</f>
        <v>0.72</v>
      </c>
      <c r="M2093" s="6">
        <f ca="1">IFERROR(__xludf.DUMMYFUNCTION("IFERROR(GOOGLEFINANCE(B2093,""change""),0)"),0)</f>
        <v>0</v>
      </c>
      <c r="N2093" s="6">
        <v>1</v>
      </c>
      <c r="O2093" s="7">
        <v>45536</v>
      </c>
      <c r="P2093" s="6">
        <v>5.75</v>
      </c>
      <c r="Q2093" s="7">
        <v>45536</v>
      </c>
      <c r="R2093" s="6">
        <v>23.87</v>
      </c>
      <c r="S2093" s="6">
        <v>0.23</v>
      </c>
      <c r="T2093" s="6">
        <v>3.73</v>
      </c>
      <c r="U2093" s="6">
        <v>1</v>
      </c>
      <c r="V2093" s="7">
        <v>45352</v>
      </c>
      <c r="W2093" s="10">
        <f ca="1">IFERROR(__xludf.DUMMYFUNCTION("IFERROR(GOOGLEFINANCE(B2093,""pe""),V2093)"),45352)</f>
        <v>45352</v>
      </c>
      <c r="X2093" s="6">
        <v>0.04</v>
      </c>
      <c r="Y2093" s="6">
        <v>14.33</v>
      </c>
      <c r="Z2093" s="6">
        <v>13.8</v>
      </c>
      <c r="AA2093" s="3" t="s">
        <v>6493</v>
      </c>
      <c r="AB2093" s="11"/>
      <c r="AC2093" s="9"/>
      <c r="AD2093" s="9"/>
      <c r="AE2093" s="1">
        <v>0</v>
      </c>
      <c r="AF2093" s="1">
        <f ca="1">IFERROR(__xludf.DUMMYFUNCTION("IFERROR(GOOGLEFINANCE(TRIM(F2093)&amp;"":"" &amp; TRIM(B2093),""high52""),AE2093)"),0)</f>
        <v>0</v>
      </c>
      <c r="AG2093" s="1">
        <v>0</v>
      </c>
      <c r="AH2093" s="1">
        <f ca="1">IFERROR(__xludf.DUMMYFUNCTION("IFERROR(GOOGLEFINANCE(TRIM(F2093)&amp;"":"" &amp; TRIM(B2093),""low52""),AE2093)"),0)</f>
        <v>0</v>
      </c>
      <c r="AI2093" s="1">
        <f ca="1">IFERROR(__xludf.DUMMYFUNCTION("IFERROR(GOOGLEFINANCE(B2093,""eps""),0)"),0)</f>
        <v>0</v>
      </c>
      <c r="AJ2093" s="1"/>
      <c r="AK2093" s="1" t="s">
        <v>6494</v>
      </c>
      <c r="AL2093" s="9">
        <f t="shared" si="231"/>
        <v>1</v>
      </c>
    </row>
    <row r="2094" spans="1:38" ht="15" x14ac:dyDescent="0.25">
      <c r="A2094" s="1" t="s">
        <v>6495</v>
      </c>
      <c r="B2094" s="1" t="s">
        <v>6496</v>
      </c>
      <c r="C2094" s="1" t="s">
        <v>39</v>
      </c>
      <c r="D2094" s="1" t="s">
        <v>39</v>
      </c>
      <c r="E2094" s="6">
        <v>24756.74</v>
      </c>
      <c r="F2094" s="1" t="s">
        <v>40</v>
      </c>
      <c r="G2094" s="6">
        <f ca="1">IFERROR(__xludf.DUMMYFUNCTION("iferror(GOOGLEFINANCE(TRIM(F2094)&amp;"":"" &amp; TRIM(B2094), ""price""),0
)"),350.9)</f>
        <v>350.9</v>
      </c>
      <c r="H2094" s="6">
        <v>405</v>
      </c>
      <c r="I2094" s="6">
        <f t="shared" ca="1" si="0"/>
        <v>350.9</v>
      </c>
      <c r="J2094" s="6">
        <f ca="1">IFERROR(__xludf.DUMMYFUNCTION("IFERROR(GOOGLEFINANCE(B2094, ""volume""), 0)"),198214)</f>
        <v>198214</v>
      </c>
      <c r="K2094" s="6">
        <v>-0.59</v>
      </c>
      <c r="L2094" s="6">
        <f ca="1">IFERROR(__xludf.DUMMYFUNCTION("IFERROR(GOOGLEFINANCE(B2094,""changepct""),K2094)"),-0.13)</f>
        <v>-0.13</v>
      </c>
      <c r="M2094" s="6">
        <f ca="1">IFERROR(__xludf.DUMMYFUNCTION("IFERROR(GOOGLEFINANCE(B2094,""change""),0)"),-0.45)</f>
        <v>-0.45</v>
      </c>
      <c r="N2094" s="6">
        <v>1</v>
      </c>
      <c r="O2094" s="7">
        <v>45536</v>
      </c>
      <c r="P2094" s="6">
        <v>32.06</v>
      </c>
      <c r="Q2094" s="6">
        <v>24306.83</v>
      </c>
      <c r="R2094" s="7">
        <v>45536</v>
      </c>
      <c r="S2094" s="6">
        <v>1085.18</v>
      </c>
      <c r="T2094" s="6">
        <v>-123.81</v>
      </c>
      <c r="U2094" s="7">
        <v>45536</v>
      </c>
      <c r="V2094" s="6">
        <v>0</v>
      </c>
      <c r="W2094" s="6">
        <f ca="1">IFERROR(__xludf.DUMMYFUNCTION("IFERROR(GOOGLEFINANCE(B2094,""pe""),V2094)"),0)</f>
        <v>0</v>
      </c>
      <c r="X2094" s="9"/>
      <c r="Y2094" s="6">
        <v>13.78</v>
      </c>
      <c r="Z2094" s="6">
        <v>1</v>
      </c>
      <c r="AA2094" s="8">
        <v>45352</v>
      </c>
      <c r="AB2094" s="4">
        <v>0.03</v>
      </c>
      <c r="AC2094" s="6">
        <v>-4.25</v>
      </c>
      <c r="AD2094" s="6">
        <v>-2.23</v>
      </c>
      <c r="AE2094" s="1">
        <v>0</v>
      </c>
      <c r="AF2094" s="1">
        <f ca="1">IFERROR(__xludf.DUMMYFUNCTION("IFERROR(GOOGLEFINANCE(TRIM(F2094)&amp;"":"" &amp; TRIM(B2094),""high52""),AE2094)"),634.55)</f>
        <v>634.54999999999995</v>
      </c>
      <c r="AG2094" s="1">
        <v>0</v>
      </c>
      <c r="AH2094" s="1">
        <f ca="1">IFERROR(__xludf.DUMMYFUNCTION("IFERROR(GOOGLEFINANCE(TRIM(F2094)&amp;"":"" &amp; TRIM(B2094),""low52""),AE2094)"),209.84)</f>
        <v>209.84</v>
      </c>
      <c r="AI2094" s="1">
        <f ca="1">IFERROR(__xludf.DUMMYFUNCTION("IFERROR(GOOGLEFINANCE(B2094,""eps""),0)"),-2.3)</f>
        <v>-2.2999999999999998</v>
      </c>
      <c r="AJ2094" s="1"/>
      <c r="AK2094" s="1" t="s">
        <v>6497</v>
      </c>
      <c r="AL2094" s="9">
        <f t="shared" si="231"/>
        <v>1</v>
      </c>
    </row>
    <row r="2095" spans="1:38" ht="15" x14ac:dyDescent="0.25">
      <c r="A2095" s="1" t="s">
        <v>6498</v>
      </c>
      <c r="B2095" s="1" t="s">
        <v>6499</v>
      </c>
      <c r="C2095" s="1" t="s">
        <v>208</v>
      </c>
      <c r="D2095" s="1" t="s">
        <v>208</v>
      </c>
      <c r="E2095" s="6">
        <v>7.32</v>
      </c>
      <c r="F2095" s="1" t="s">
        <v>53</v>
      </c>
      <c r="G2095" s="6">
        <f ca="1">IFERROR(__xludf.DUMMYFUNCTION("iferror(GOOGLEFINANCE(TRIM(F2095)&amp;"":"" &amp; TRIM(B2095), ""price""),0
)"),0)</f>
        <v>0</v>
      </c>
      <c r="H2095" s="6">
        <v>25.62</v>
      </c>
      <c r="I2095" s="6">
        <f t="shared" ca="1" si="0"/>
        <v>25.62</v>
      </c>
      <c r="J2095" s="6">
        <f ca="1">IFERROR(__xludf.DUMMYFUNCTION("IFERROR(GOOGLEFINANCE(B2095, ""volume""), 0)"),0)</f>
        <v>0</v>
      </c>
      <c r="K2095" s="6">
        <v>5</v>
      </c>
      <c r="L2095" s="6">
        <f ca="1">IFERROR(__xludf.DUMMYFUNCTION("IFERROR(GOOGLEFINANCE(B2095,""changepct""),K2095)"),5)</f>
        <v>5</v>
      </c>
      <c r="M2095" s="6">
        <f ca="1">IFERROR(__xludf.DUMMYFUNCTION("IFERROR(GOOGLEFINANCE(B2095,""change""),0)"),0)</f>
        <v>0</v>
      </c>
      <c r="N2095" s="6">
        <v>1</v>
      </c>
      <c r="O2095" s="7">
        <v>45536</v>
      </c>
      <c r="P2095" s="6">
        <v>0.3</v>
      </c>
      <c r="Q2095" s="7">
        <v>45536</v>
      </c>
      <c r="R2095" s="6">
        <v>24</v>
      </c>
      <c r="S2095" s="6">
        <v>0.8</v>
      </c>
      <c r="T2095" s="6">
        <v>1.3</v>
      </c>
      <c r="U2095" s="6">
        <v>1</v>
      </c>
      <c r="V2095" s="7">
        <v>45352</v>
      </c>
      <c r="W2095" s="10">
        <f ca="1">IFERROR(__xludf.DUMMYFUNCTION("IFERROR(GOOGLEFINANCE(B2095,""pe""),V2095)"),45352)</f>
        <v>45352</v>
      </c>
      <c r="X2095" s="6">
        <v>0.79</v>
      </c>
      <c r="Y2095" s="6">
        <v>6.35</v>
      </c>
      <c r="Z2095" s="6">
        <v>9.76</v>
      </c>
      <c r="AA2095" s="3" t="s">
        <v>6500</v>
      </c>
      <c r="AB2095" s="11"/>
      <c r="AC2095" s="9"/>
      <c r="AD2095" s="9"/>
      <c r="AE2095" s="1">
        <v>0</v>
      </c>
      <c r="AF2095" s="1">
        <f ca="1">IFERROR(__xludf.DUMMYFUNCTION("IFERROR(GOOGLEFINANCE(TRIM(F2095)&amp;"":"" &amp; TRIM(B2095),""high52""),AE2095)"),0)</f>
        <v>0</v>
      </c>
      <c r="AG2095" s="1">
        <v>0</v>
      </c>
      <c r="AH2095" s="1">
        <f ca="1">IFERROR(__xludf.DUMMYFUNCTION("IFERROR(GOOGLEFINANCE(TRIM(F2095)&amp;"":"" &amp; TRIM(B2095),""low52""),AE2095)"),0)</f>
        <v>0</v>
      </c>
      <c r="AI2095" s="1">
        <f ca="1">IFERROR(__xludf.DUMMYFUNCTION("IFERROR(GOOGLEFINANCE(B2095,""eps""),0)"),0)</f>
        <v>0</v>
      </c>
      <c r="AJ2095" s="1"/>
      <c r="AK2095" s="1" t="s">
        <v>6501</v>
      </c>
      <c r="AL2095" s="9">
        <f t="shared" si="231"/>
        <v>1</v>
      </c>
    </row>
    <row r="2096" spans="1:38" ht="15" x14ac:dyDescent="0.25">
      <c r="A2096" s="1" t="s">
        <v>6502</v>
      </c>
      <c r="B2096" s="1" t="s">
        <v>6503</v>
      </c>
      <c r="C2096" s="1" t="s">
        <v>584</v>
      </c>
      <c r="D2096" s="1" t="s">
        <v>584</v>
      </c>
      <c r="E2096" s="6">
        <v>3459.01</v>
      </c>
      <c r="F2096" s="1" t="s">
        <v>40</v>
      </c>
      <c r="G2096" s="6">
        <f ca="1">IFERROR(__xludf.DUMMYFUNCTION("iferror(GOOGLEFINANCE(TRIM(F2096)&amp;"":"" &amp; TRIM(B2096), ""price""),0
)"),465.7)</f>
        <v>465.7</v>
      </c>
      <c r="H2096" s="6">
        <v>618.6</v>
      </c>
      <c r="I2096" s="6">
        <f t="shared" ca="1" si="0"/>
        <v>465.7</v>
      </c>
      <c r="J2096" s="6">
        <f ca="1">IFERROR(__xludf.DUMMYFUNCTION("IFERROR(GOOGLEFINANCE(B2096, ""volume""), 0)"),467092)</f>
        <v>467092</v>
      </c>
      <c r="K2096" s="6">
        <v>-0.5</v>
      </c>
      <c r="L2096" s="6">
        <f ca="1">IFERROR(__xludf.DUMMYFUNCTION("IFERROR(GOOGLEFINANCE(B2096,""changepct""),K2096)"),1.45)</f>
        <v>1.45</v>
      </c>
      <c r="M2096" s="6">
        <f ca="1">IFERROR(__xludf.DUMMYFUNCTION("IFERROR(GOOGLEFINANCE(B2096,""change""),0)"),6.65)</f>
        <v>6.65</v>
      </c>
      <c r="N2096" s="6">
        <v>2</v>
      </c>
      <c r="O2096" s="7">
        <v>45536</v>
      </c>
      <c r="P2096" s="6">
        <v>1180.43</v>
      </c>
      <c r="Q2096" s="6">
        <v>3596.3</v>
      </c>
      <c r="R2096" s="7">
        <v>45536</v>
      </c>
      <c r="S2096" s="6">
        <v>1025.18</v>
      </c>
      <c r="T2096" s="6">
        <v>-60.88</v>
      </c>
      <c r="U2096" s="7">
        <v>45536</v>
      </c>
      <c r="V2096" s="6">
        <v>12.57</v>
      </c>
      <c r="W2096" s="6">
        <f ca="1">IFERROR(__xludf.DUMMYFUNCTION("IFERROR(GOOGLEFINANCE(B2096,""pe""),V2096)"),39.77)</f>
        <v>39.770000000000003</v>
      </c>
      <c r="X2096" s="6">
        <v>-3.06</v>
      </c>
      <c r="Y2096" s="6">
        <v>1.1100000000000001</v>
      </c>
      <c r="Z2096" s="6">
        <v>2</v>
      </c>
      <c r="AA2096" s="8">
        <v>45352</v>
      </c>
      <c r="AB2096" s="4">
        <v>0.04</v>
      </c>
      <c r="AC2096" s="6">
        <v>4.8499999999999996</v>
      </c>
      <c r="AD2096" s="6">
        <v>5.97</v>
      </c>
      <c r="AE2096" s="1">
        <v>0</v>
      </c>
      <c r="AF2096" s="1">
        <f ca="1">IFERROR(__xludf.DUMMYFUNCTION("IFERROR(GOOGLEFINANCE(TRIM(F2096)&amp;"":"" &amp; TRIM(B2096),""high52""),AE2096)"),779)</f>
        <v>779</v>
      </c>
      <c r="AG2096" s="1">
        <v>0</v>
      </c>
      <c r="AH2096" s="1">
        <f ca="1">IFERROR(__xludf.DUMMYFUNCTION("IFERROR(GOOGLEFINANCE(TRIM(F2096)&amp;"":"" &amp; TRIM(B2096),""low52""),AE2096)"),445.75)</f>
        <v>445.75</v>
      </c>
      <c r="AI2096" s="1">
        <f ca="1">IFERROR(__xludf.DUMMYFUNCTION("IFERROR(GOOGLEFINANCE(B2096,""eps""),0)"),11.71)</f>
        <v>11.71</v>
      </c>
      <c r="AJ2096" s="1"/>
      <c r="AK2096" s="1" t="s">
        <v>6504</v>
      </c>
      <c r="AL2096" s="9">
        <f t="shared" si="231"/>
        <v>1</v>
      </c>
    </row>
    <row r="2097" spans="1:38" ht="15" x14ac:dyDescent="0.25">
      <c r="A2097" s="1" t="s">
        <v>6505</v>
      </c>
      <c r="B2097" s="1" t="s">
        <v>6506</v>
      </c>
      <c r="C2097" s="1" t="s">
        <v>416</v>
      </c>
      <c r="D2097" s="1" t="s">
        <v>416</v>
      </c>
      <c r="E2097" s="6">
        <v>16862.490000000002</v>
      </c>
      <c r="F2097" s="1" t="s">
        <v>40</v>
      </c>
      <c r="G2097" s="6">
        <f ca="1">IFERROR(__xludf.DUMMYFUNCTION("iferror(GOOGLEFINANCE(TRIM(F2097)&amp;"":"" &amp; TRIM(B2097), ""price""),0
)"),1538)</f>
        <v>1538</v>
      </c>
      <c r="H2097" s="6">
        <v>2097.6</v>
      </c>
      <c r="I2097" s="6">
        <f t="shared" ca="1" si="0"/>
        <v>1538</v>
      </c>
      <c r="J2097" s="6">
        <f ca="1">IFERROR(__xludf.DUMMYFUNCTION("IFERROR(GOOGLEFINANCE(B2097, ""volume""), 0)"),67965)</f>
        <v>67965</v>
      </c>
      <c r="K2097" s="6">
        <v>-1.1100000000000001</v>
      </c>
      <c r="L2097" s="6">
        <f ca="1">IFERROR(__xludf.DUMMYFUNCTION("IFERROR(GOOGLEFINANCE(B2097,""changepct""),K2097)"),3.19)</f>
        <v>3.19</v>
      </c>
      <c r="M2097" s="6">
        <f ca="1">IFERROR(__xludf.DUMMYFUNCTION("IFERROR(GOOGLEFINANCE(B2097,""change""),0)"),47.6)</f>
        <v>47.6</v>
      </c>
      <c r="N2097" s="6">
        <v>2</v>
      </c>
      <c r="O2097" s="7">
        <v>45536</v>
      </c>
      <c r="P2097" s="6">
        <v>129.6</v>
      </c>
      <c r="Q2097" s="6">
        <v>16617.490000000002</v>
      </c>
      <c r="R2097" s="7">
        <v>45536</v>
      </c>
      <c r="S2097" s="6">
        <v>4255.3</v>
      </c>
      <c r="T2097" s="6">
        <v>391.9</v>
      </c>
      <c r="U2097" s="7">
        <v>45536</v>
      </c>
      <c r="V2097" s="6">
        <v>42.7</v>
      </c>
      <c r="W2097" s="6">
        <f ca="1">IFERROR(__xludf.DUMMYFUNCTION("IFERROR(GOOGLEFINANCE(B2097,""pe""),V2097)"),31.15)</f>
        <v>31.15</v>
      </c>
      <c r="X2097" s="6">
        <v>0.28000000000000003</v>
      </c>
      <c r="Y2097" s="6">
        <v>9.1</v>
      </c>
      <c r="Z2097" s="6">
        <v>2</v>
      </c>
      <c r="AA2097" s="8">
        <v>45352</v>
      </c>
      <c r="AB2097" s="4">
        <v>0.09</v>
      </c>
      <c r="AC2097" s="6">
        <v>21.74</v>
      </c>
      <c r="AD2097" s="6">
        <v>28.69</v>
      </c>
      <c r="AE2097" s="1">
        <v>0</v>
      </c>
      <c r="AF2097" s="1">
        <f ca="1">IFERROR(__xludf.DUMMYFUNCTION("IFERROR(GOOGLEFINANCE(TRIM(F2097)&amp;"":"" &amp; TRIM(B2097),""high52""),AE2097)"),2475)</f>
        <v>2475</v>
      </c>
      <c r="AG2097" s="1">
        <v>0</v>
      </c>
      <c r="AH2097" s="1">
        <f ca="1">IFERROR(__xludf.DUMMYFUNCTION("IFERROR(GOOGLEFINANCE(TRIM(F2097)&amp;"":"" &amp; TRIM(B2097),""low52""),AE2097)"),1422.35)</f>
        <v>1422.35</v>
      </c>
      <c r="AI2097" s="1">
        <f ca="1">IFERROR(__xludf.DUMMYFUNCTION("IFERROR(GOOGLEFINANCE(B2097,""eps""),0)"),49.37)</f>
        <v>49.37</v>
      </c>
      <c r="AJ2097" s="1"/>
      <c r="AK2097" s="1" t="s">
        <v>6507</v>
      </c>
      <c r="AL2097" s="9">
        <f t="shared" si="231"/>
        <v>1</v>
      </c>
    </row>
    <row r="2098" spans="1:38" ht="15" x14ac:dyDescent="0.25">
      <c r="A2098" s="1" t="s">
        <v>6508</v>
      </c>
      <c r="B2098" s="1" t="s">
        <v>6509</v>
      </c>
      <c r="C2098" s="1" t="s">
        <v>208</v>
      </c>
      <c r="D2098" s="1" t="s">
        <v>208</v>
      </c>
      <c r="E2098" s="6">
        <v>109.58</v>
      </c>
      <c r="F2098" s="1" t="s">
        <v>53</v>
      </c>
      <c r="G2098" s="6">
        <f ca="1">IFERROR(__xludf.DUMMYFUNCTION("iferror(GOOGLEFINANCE(TRIM(F2098)&amp;"":"" &amp; TRIM(B2098), ""price""),0
)"),0)</f>
        <v>0</v>
      </c>
      <c r="H2098" s="6">
        <v>150.19999999999999</v>
      </c>
      <c r="I2098" s="6">
        <f t="shared" ca="1" si="0"/>
        <v>150.19999999999999</v>
      </c>
      <c r="J2098" s="6">
        <f ca="1">IFERROR(__xludf.DUMMYFUNCTION("IFERROR(GOOGLEFINANCE(B2098, ""volume""), 0)"),0)</f>
        <v>0</v>
      </c>
      <c r="K2098" s="6">
        <v>-5.09</v>
      </c>
      <c r="L2098" s="6">
        <f ca="1">IFERROR(__xludf.DUMMYFUNCTION("IFERROR(GOOGLEFINANCE(B2098,""changepct""),K2098)"),-5.09)</f>
        <v>-5.09</v>
      </c>
      <c r="M2098" s="6">
        <f ca="1">IFERROR(__xludf.DUMMYFUNCTION("IFERROR(GOOGLEFINANCE(B2098,""change""),0)"),0)</f>
        <v>0</v>
      </c>
      <c r="N2098" s="6">
        <v>1</v>
      </c>
      <c r="O2098" s="7">
        <v>45536</v>
      </c>
      <c r="P2098" s="6">
        <v>4.38</v>
      </c>
      <c r="Q2098" s="7">
        <v>45536</v>
      </c>
      <c r="R2098" s="6">
        <v>24.99</v>
      </c>
      <c r="S2098" s="6">
        <v>0.87</v>
      </c>
      <c r="T2098" s="6">
        <v>1.32</v>
      </c>
      <c r="U2098" s="6">
        <v>1</v>
      </c>
      <c r="V2098" s="7">
        <v>45352</v>
      </c>
      <c r="W2098" s="10">
        <f ca="1">IFERROR(__xludf.DUMMYFUNCTION("IFERROR(GOOGLEFINANCE(B2098,""pe""),V2098)"),45352)</f>
        <v>45352</v>
      </c>
      <c r="X2098" s="6">
        <v>0.49</v>
      </c>
      <c r="Y2098" s="6">
        <v>13.47</v>
      </c>
      <c r="Z2098" s="6">
        <v>16.260000000000002</v>
      </c>
      <c r="AA2098" s="3" t="s">
        <v>6510</v>
      </c>
      <c r="AB2098" s="11"/>
      <c r="AC2098" s="9"/>
      <c r="AD2098" s="9"/>
      <c r="AE2098" s="1">
        <v>0</v>
      </c>
      <c r="AF2098" s="1">
        <f ca="1">IFERROR(__xludf.DUMMYFUNCTION("IFERROR(GOOGLEFINANCE(TRIM(F2098)&amp;"":"" &amp; TRIM(B2098),""high52""),AE2098)"),0)</f>
        <v>0</v>
      </c>
      <c r="AG2098" s="1">
        <v>0</v>
      </c>
      <c r="AH2098" s="1">
        <f ca="1">IFERROR(__xludf.DUMMYFUNCTION("IFERROR(GOOGLEFINANCE(TRIM(F2098)&amp;"":"" &amp; TRIM(B2098),""low52""),AE2098)"),0)</f>
        <v>0</v>
      </c>
      <c r="AI2098" s="1">
        <f ca="1">IFERROR(__xludf.DUMMYFUNCTION("IFERROR(GOOGLEFINANCE(B2098,""eps""),0)"),0)</f>
        <v>0</v>
      </c>
      <c r="AJ2098" s="1"/>
      <c r="AK2098" s="1" t="s">
        <v>6511</v>
      </c>
      <c r="AL2098" s="9">
        <f t="shared" si="231"/>
        <v>1</v>
      </c>
    </row>
    <row r="2099" spans="1:38" ht="15" x14ac:dyDescent="0.25">
      <c r="A2099" s="1" t="s">
        <v>6512</v>
      </c>
      <c r="B2099" s="1" t="s">
        <v>6513</v>
      </c>
      <c r="C2099" s="1" t="s">
        <v>208</v>
      </c>
      <c r="D2099" s="1" t="s">
        <v>208</v>
      </c>
      <c r="E2099" s="6">
        <v>401.31</v>
      </c>
      <c r="F2099" s="1" t="s">
        <v>53</v>
      </c>
      <c r="G2099" s="6">
        <f ca="1">IFERROR(__xludf.DUMMYFUNCTION("iferror(GOOGLEFINANCE(TRIM(F2099)&amp;"":"" &amp; TRIM(B2099), ""price""),0
)"),0)</f>
        <v>0</v>
      </c>
      <c r="H2099" s="6">
        <v>61.65</v>
      </c>
      <c r="I2099" s="6">
        <f t="shared" ca="1" si="0"/>
        <v>61.65</v>
      </c>
      <c r="J2099" s="6">
        <f ca="1">IFERROR(__xludf.DUMMYFUNCTION("IFERROR(GOOGLEFINANCE(B2099, ""volume""), 0)"),0)</f>
        <v>0</v>
      </c>
      <c r="K2099" s="6">
        <v>-0.6</v>
      </c>
      <c r="L2099" s="6">
        <f ca="1">IFERROR(__xludf.DUMMYFUNCTION("IFERROR(GOOGLEFINANCE(B2099,""changepct""),K2099)"),-0.6)</f>
        <v>-0.6</v>
      </c>
      <c r="M2099" s="6">
        <f ca="1">IFERROR(__xludf.DUMMYFUNCTION("IFERROR(GOOGLEFINANCE(B2099,""change""),0)"),0)</f>
        <v>0</v>
      </c>
      <c r="N2099" s="6">
        <v>1</v>
      </c>
      <c r="O2099" s="7">
        <v>45536</v>
      </c>
      <c r="P2099" s="6">
        <v>15.96</v>
      </c>
      <c r="Q2099" s="7">
        <v>45536</v>
      </c>
      <c r="R2099" s="6">
        <v>25.14</v>
      </c>
      <c r="S2099" s="6">
        <v>2.42</v>
      </c>
      <c r="T2099" s="6">
        <v>1.82</v>
      </c>
      <c r="U2099" s="6">
        <v>1</v>
      </c>
      <c r="V2099" s="7">
        <v>45352</v>
      </c>
      <c r="W2099" s="10">
        <f ca="1">IFERROR(__xludf.DUMMYFUNCTION("IFERROR(GOOGLEFINANCE(B2099,""pe""),V2099)"),45352)</f>
        <v>45352</v>
      </c>
      <c r="X2099" s="6">
        <v>5.38</v>
      </c>
      <c r="Y2099" s="6">
        <v>7.39</v>
      </c>
      <c r="Z2099" s="6">
        <v>10.26</v>
      </c>
      <c r="AA2099" s="3" t="s">
        <v>6514</v>
      </c>
      <c r="AB2099" s="11"/>
      <c r="AC2099" s="9"/>
      <c r="AD2099" s="9"/>
      <c r="AE2099" s="1">
        <v>0</v>
      </c>
      <c r="AF2099" s="1">
        <f ca="1">IFERROR(__xludf.DUMMYFUNCTION("IFERROR(GOOGLEFINANCE(TRIM(F2099)&amp;"":"" &amp; TRIM(B2099),""high52""),AE2099)"),0)</f>
        <v>0</v>
      </c>
      <c r="AG2099" s="1">
        <v>0</v>
      </c>
      <c r="AH2099" s="1">
        <f ca="1">IFERROR(__xludf.DUMMYFUNCTION("IFERROR(GOOGLEFINANCE(TRIM(F2099)&amp;"":"" &amp; TRIM(B2099),""low52""),AE2099)"),0)</f>
        <v>0</v>
      </c>
      <c r="AI2099" s="1">
        <f ca="1">IFERROR(__xludf.DUMMYFUNCTION("IFERROR(GOOGLEFINANCE(B2099,""eps""),0)"),0)</f>
        <v>0</v>
      </c>
      <c r="AJ2099" s="1"/>
      <c r="AK2099" s="1" t="s">
        <v>6515</v>
      </c>
      <c r="AL2099" s="9">
        <f t="shared" si="231"/>
        <v>1</v>
      </c>
    </row>
    <row r="2100" spans="1:38" ht="15" x14ac:dyDescent="0.25">
      <c r="A2100" s="1" t="s">
        <v>6516</v>
      </c>
      <c r="B2100" s="1" t="s">
        <v>6517</v>
      </c>
      <c r="C2100" s="1" t="s">
        <v>125</v>
      </c>
      <c r="D2100" s="1" t="s">
        <v>125</v>
      </c>
      <c r="E2100" s="6">
        <v>1282.1199999999999</v>
      </c>
      <c r="F2100" s="1" t="s">
        <v>40</v>
      </c>
      <c r="G2100" s="6">
        <f ca="1">IFERROR(__xludf.DUMMYFUNCTION("iferror(GOOGLEFINANCE(TRIM(F2100)&amp;"":"" &amp; TRIM(B2100), ""price""),0
)"),81.49)</f>
        <v>81.489999999999995</v>
      </c>
      <c r="H2100" s="6">
        <v>190.72</v>
      </c>
      <c r="I2100" s="6">
        <f t="shared" ca="1" si="0"/>
        <v>81.489999999999995</v>
      </c>
      <c r="J2100" s="6">
        <f ca="1">IFERROR(__xludf.DUMMYFUNCTION("IFERROR(GOOGLEFINANCE(B2100, ""volume""), 0)"),96460)</f>
        <v>96460</v>
      </c>
      <c r="K2100" s="6">
        <v>-1.3</v>
      </c>
      <c r="L2100" s="6">
        <f ca="1">IFERROR(__xludf.DUMMYFUNCTION("IFERROR(GOOGLEFINANCE(B2100,""changepct""),K2100)"),-0.01)</f>
        <v>-0.01</v>
      </c>
      <c r="M2100" s="6">
        <f ca="1">IFERROR(__xludf.DUMMYFUNCTION("IFERROR(GOOGLEFINANCE(B2100,""change""),0)"),-0.01)</f>
        <v>-0.01</v>
      </c>
      <c r="N2100" s="6">
        <v>2</v>
      </c>
      <c r="O2100" s="7">
        <v>45536</v>
      </c>
      <c r="P2100" s="6">
        <v>112.68</v>
      </c>
      <c r="Q2100" s="6">
        <v>1370</v>
      </c>
      <c r="R2100" s="7">
        <v>45536</v>
      </c>
      <c r="S2100" s="6">
        <v>589.54</v>
      </c>
      <c r="T2100" s="6">
        <v>13.95</v>
      </c>
      <c r="U2100" s="7">
        <v>45536</v>
      </c>
      <c r="V2100" s="6">
        <v>91.91</v>
      </c>
      <c r="W2100" s="6">
        <f ca="1">IFERROR(__xludf.DUMMYFUNCTION("IFERROR(GOOGLEFINANCE(B2100,""pe""),V2100)"),76.53)</f>
        <v>76.53</v>
      </c>
      <c r="X2100" s="6">
        <v>4.6900000000000004</v>
      </c>
      <c r="Y2100" s="6">
        <v>-6.31</v>
      </c>
      <c r="Z2100" s="6">
        <v>2</v>
      </c>
      <c r="AA2100" s="8">
        <v>45352</v>
      </c>
      <c r="AB2100" s="4">
        <v>-0.53</v>
      </c>
      <c r="AC2100" s="6">
        <v>0</v>
      </c>
      <c r="AD2100" s="6">
        <v>0</v>
      </c>
      <c r="AE2100" s="1">
        <v>0</v>
      </c>
      <c r="AF2100" s="1">
        <f ca="1">IFERROR(__xludf.DUMMYFUNCTION("IFERROR(GOOGLEFINANCE(TRIM(F2100)&amp;"":"" &amp; TRIM(B2100),""high52""),AE2100)"),167.75)</f>
        <v>167.75</v>
      </c>
      <c r="AG2100" s="1">
        <v>0</v>
      </c>
      <c r="AH2100" s="1">
        <f ca="1">IFERROR(__xludf.DUMMYFUNCTION("IFERROR(GOOGLEFINANCE(TRIM(F2100)&amp;"":"" &amp; TRIM(B2100),""low52""),AE2100)"),75.47)</f>
        <v>75.47</v>
      </c>
      <c r="AI2100" s="1">
        <f ca="1">IFERROR(__xludf.DUMMYFUNCTION("IFERROR(GOOGLEFINANCE(B2100,""eps""),0)"),1.06)</f>
        <v>1.06</v>
      </c>
      <c r="AJ2100" s="1"/>
      <c r="AK2100" s="1" t="s">
        <v>6518</v>
      </c>
      <c r="AL2100" s="9">
        <f t="shared" si="231"/>
        <v>1</v>
      </c>
    </row>
    <row r="2101" spans="1:38" ht="15" x14ac:dyDescent="0.25">
      <c r="A2101" s="1" t="s">
        <v>6519</v>
      </c>
      <c r="B2101" s="1" t="s">
        <v>6520</v>
      </c>
      <c r="C2101" s="1" t="s">
        <v>416</v>
      </c>
      <c r="D2101" s="1" t="s">
        <v>416</v>
      </c>
      <c r="E2101" s="6">
        <v>4734.21</v>
      </c>
      <c r="F2101" s="1" t="s">
        <v>40</v>
      </c>
      <c r="G2101" s="6">
        <f ca="1">IFERROR(__xludf.DUMMYFUNCTION("iferror(GOOGLEFINANCE(TRIM(F2101)&amp;"":"" &amp; TRIM(B2101), ""price""),0
)"),2976.8)</f>
        <v>2976.8</v>
      </c>
      <c r="H2101" s="6">
        <v>4586.25</v>
      </c>
      <c r="I2101" s="6">
        <f t="shared" ca="1" si="0"/>
        <v>2976.8</v>
      </c>
      <c r="J2101" s="6">
        <f ca="1">IFERROR(__xludf.DUMMYFUNCTION("IFERROR(GOOGLEFINANCE(B2101, ""volume""), 0)"),2446)</f>
        <v>2446</v>
      </c>
      <c r="K2101" s="6">
        <v>0.89</v>
      </c>
      <c r="L2101" s="6">
        <f ca="1">IFERROR(__xludf.DUMMYFUNCTION("IFERROR(GOOGLEFINANCE(B2101,""changepct""),K2101)"),-0.18)</f>
        <v>-0.18</v>
      </c>
      <c r="M2101" s="6">
        <f ca="1">IFERROR(__xludf.DUMMYFUNCTION("IFERROR(GOOGLEFINANCE(B2101,""change""),0)"),-5.5)</f>
        <v>-5.5</v>
      </c>
      <c r="N2101" s="6">
        <v>2</v>
      </c>
      <c r="O2101" s="7">
        <v>45536</v>
      </c>
      <c r="P2101" s="6">
        <v>1340.94</v>
      </c>
      <c r="Q2101" s="6">
        <v>5895.7</v>
      </c>
      <c r="R2101" s="7">
        <v>45536</v>
      </c>
      <c r="S2101" s="6">
        <v>6528.82</v>
      </c>
      <c r="T2101" s="6">
        <v>333.32</v>
      </c>
      <c r="U2101" s="7">
        <v>45536</v>
      </c>
      <c r="V2101" s="6">
        <v>25.78</v>
      </c>
      <c r="W2101" s="6">
        <f ca="1">IFERROR(__xludf.DUMMYFUNCTION("IFERROR(GOOGLEFINANCE(B2101,""pe""),V2101)"),18.76)</f>
        <v>18.760000000000002</v>
      </c>
      <c r="X2101" s="6">
        <v>1.1399999999999999</v>
      </c>
      <c r="Y2101" s="6">
        <v>0.68</v>
      </c>
      <c r="Z2101" s="6">
        <v>2</v>
      </c>
      <c r="AA2101" s="8">
        <v>45352</v>
      </c>
      <c r="AB2101" s="4">
        <v>0.25</v>
      </c>
      <c r="AC2101" s="6">
        <v>8.84</v>
      </c>
      <c r="AD2101" s="6">
        <v>13.01</v>
      </c>
      <c r="AE2101" s="1">
        <v>0</v>
      </c>
      <c r="AF2101" s="1">
        <f ca="1">IFERROR(__xludf.DUMMYFUNCTION("IFERROR(GOOGLEFINANCE(TRIM(F2101)&amp;"":"" &amp; TRIM(B2101),""high52""),AE2101)"),4726)</f>
        <v>4726</v>
      </c>
      <c r="AG2101" s="1">
        <v>0</v>
      </c>
      <c r="AH2101" s="1">
        <f ca="1">IFERROR(__xludf.DUMMYFUNCTION("IFERROR(GOOGLEFINANCE(TRIM(F2101)&amp;"":"" &amp; TRIM(B2101),""low52""),AE2101)"),2786.9)</f>
        <v>2786.9</v>
      </c>
      <c r="AI2101" s="1">
        <f ca="1">IFERROR(__xludf.DUMMYFUNCTION("IFERROR(GOOGLEFINANCE(B2101,""eps""),0)"),158.64)</f>
        <v>158.63999999999999</v>
      </c>
      <c r="AJ2101" s="1"/>
      <c r="AK2101" s="1" t="s">
        <v>6521</v>
      </c>
      <c r="AL2101" s="9">
        <f t="shared" si="231"/>
        <v>1</v>
      </c>
    </row>
    <row r="2102" spans="1:38" ht="15" x14ac:dyDescent="0.25">
      <c r="A2102" s="1" t="s">
        <v>6522</v>
      </c>
      <c r="B2102" s="1" t="s">
        <v>6523</v>
      </c>
      <c r="C2102" s="1" t="s">
        <v>416</v>
      </c>
      <c r="D2102" s="1" t="s">
        <v>416</v>
      </c>
      <c r="E2102" s="6">
        <v>15140.56</v>
      </c>
      <c r="F2102" s="1" t="s">
        <v>40</v>
      </c>
      <c r="G2102" s="6">
        <f ca="1">IFERROR(__xludf.DUMMYFUNCTION("iferror(GOOGLEFINANCE(TRIM(F2102)&amp;"":"" &amp; TRIM(B2102), ""price""),0
)"),1155)</f>
        <v>1155</v>
      </c>
      <c r="H2102" s="6">
        <v>1055.8499999999999</v>
      </c>
      <c r="I2102" s="6">
        <f t="shared" ca="1" si="0"/>
        <v>1155</v>
      </c>
      <c r="J2102" s="6">
        <f ca="1">IFERROR(__xludf.DUMMYFUNCTION("IFERROR(GOOGLEFINANCE(B2102, ""volume""), 0)"),113724)</f>
        <v>113724</v>
      </c>
      <c r="K2102" s="6">
        <v>1.23</v>
      </c>
      <c r="L2102" s="6">
        <f ca="1">IFERROR(__xludf.DUMMYFUNCTION("IFERROR(GOOGLEFINANCE(B2102,""changepct""),K2102)"),1.28)</f>
        <v>1.28</v>
      </c>
      <c r="M2102" s="6">
        <f ca="1">IFERROR(__xludf.DUMMYFUNCTION("IFERROR(GOOGLEFINANCE(B2102,""change""),0)"),14.6)</f>
        <v>14.6</v>
      </c>
      <c r="N2102" s="6">
        <v>2</v>
      </c>
      <c r="O2102" s="7">
        <v>45536</v>
      </c>
      <c r="P2102" s="6">
        <v>5373.07</v>
      </c>
      <c r="Q2102" s="6">
        <v>19773.29</v>
      </c>
      <c r="R2102" s="7">
        <v>45536</v>
      </c>
      <c r="S2102" s="6">
        <v>6185.99</v>
      </c>
      <c r="T2102" s="6">
        <v>515.82000000000005</v>
      </c>
      <c r="U2102" s="7">
        <v>45536</v>
      </c>
      <c r="V2102" s="6">
        <v>28.83</v>
      </c>
      <c r="W2102" s="6">
        <f ca="1">IFERROR(__xludf.DUMMYFUNCTION("IFERROR(GOOGLEFINANCE(B2102,""pe""),V2102)"),33.17)</f>
        <v>33.17</v>
      </c>
      <c r="X2102" s="6">
        <v>1.84</v>
      </c>
      <c r="Y2102" s="6">
        <v>5.19</v>
      </c>
      <c r="Z2102" s="6">
        <v>2</v>
      </c>
      <c r="AA2102" s="8">
        <v>45352</v>
      </c>
      <c r="AB2102" s="4">
        <v>1.55</v>
      </c>
      <c r="AC2102" s="6">
        <v>17.760000000000002</v>
      </c>
      <c r="AD2102" s="6">
        <v>14.97</v>
      </c>
      <c r="AE2102" s="1">
        <v>0</v>
      </c>
      <c r="AF2102" s="1">
        <f ca="1">IFERROR(__xludf.DUMMYFUNCTION("IFERROR(GOOGLEFINANCE(TRIM(F2102)&amp;"":"" &amp; TRIM(B2102),""high52""),AE2102)"),1329)</f>
        <v>1329</v>
      </c>
      <c r="AG2102" s="1">
        <v>0</v>
      </c>
      <c r="AH2102" s="1">
        <f ca="1">IFERROR(__xludf.DUMMYFUNCTION("IFERROR(GOOGLEFINANCE(TRIM(F2102)&amp;"":"" &amp; TRIM(B2102),""low52""),AE2102)"),544.4)</f>
        <v>544.4</v>
      </c>
      <c r="AI2102" s="1">
        <f ca="1">IFERROR(__xludf.DUMMYFUNCTION("IFERROR(GOOGLEFINANCE(B2102,""eps""),0)"),34.82)</f>
        <v>34.82</v>
      </c>
      <c r="AJ2102" s="1"/>
      <c r="AK2102" s="1" t="s">
        <v>6524</v>
      </c>
      <c r="AL2102" s="9">
        <f t="shared" si="231"/>
        <v>1</v>
      </c>
    </row>
    <row r="2103" spans="1:38" ht="15" x14ac:dyDescent="0.25">
      <c r="A2103" s="1" t="s">
        <v>6525</v>
      </c>
      <c r="B2103" s="1" t="s">
        <v>6526</v>
      </c>
      <c r="C2103" s="1" t="s">
        <v>1751</v>
      </c>
      <c r="D2103" s="1" t="s">
        <v>1751</v>
      </c>
      <c r="E2103" s="6">
        <v>10131.530000000001</v>
      </c>
      <c r="F2103" s="1" t="s">
        <v>40</v>
      </c>
      <c r="G2103" s="6">
        <f ca="1">IFERROR(__xludf.DUMMYFUNCTION("iferror(GOOGLEFINANCE(TRIM(F2103)&amp;"":"" &amp; TRIM(B2103), ""price""),0
)"),1158)</f>
        <v>1158</v>
      </c>
      <c r="H2103" s="6">
        <v>1560.2</v>
      </c>
      <c r="I2103" s="6">
        <f t="shared" ca="1" si="0"/>
        <v>1158</v>
      </c>
      <c r="J2103" s="6">
        <f ca="1">IFERROR(__xludf.DUMMYFUNCTION("IFERROR(GOOGLEFINANCE(B2103, ""volume""), 0)"),65067)</f>
        <v>65067</v>
      </c>
      <c r="K2103" s="6">
        <v>-0.2</v>
      </c>
      <c r="L2103" s="6">
        <f ca="1">IFERROR(__xludf.DUMMYFUNCTION("IFERROR(GOOGLEFINANCE(B2103,""changepct""),K2103)"),1.23)</f>
        <v>1.23</v>
      </c>
      <c r="M2103" s="6">
        <f ca="1">IFERROR(__xludf.DUMMYFUNCTION("IFERROR(GOOGLEFINANCE(B2103,""change""),0)"),14.1)</f>
        <v>14.1</v>
      </c>
      <c r="N2103" s="6">
        <v>1</v>
      </c>
      <c r="O2103" s="7">
        <v>45536</v>
      </c>
      <c r="P2103" s="9"/>
      <c r="Q2103" s="6">
        <v>10068.15</v>
      </c>
      <c r="R2103" s="7">
        <v>45536</v>
      </c>
      <c r="S2103" s="6">
        <v>1504.42</v>
      </c>
      <c r="T2103" s="6">
        <v>189.6</v>
      </c>
      <c r="U2103" s="7">
        <v>45536</v>
      </c>
      <c r="V2103" s="6">
        <v>53.44</v>
      </c>
      <c r="W2103" s="6">
        <f ca="1">IFERROR(__xludf.DUMMYFUNCTION("IFERROR(GOOGLEFINANCE(B2103,""pe""),V2103)"),39.54)</f>
        <v>39.54</v>
      </c>
      <c r="X2103" s="6">
        <v>2.62</v>
      </c>
      <c r="Y2103" s="6">
        <v>9.92</v>
      </c>
      <c r="Z2103" s="6">
        <v>1</v>
      </c>
      <c r="AA2103" s="8">
        <v>45352</v>
      </c>
      <c r="AB2103" s="4">
        <v>0</v>
      </c>
      <c r="AC2103" s="6">
        <v>15.57</v>
      </c>
      <c r="AD2103" s="6">
        <v>20.94</v>
      </c>
      <c r="AE2103" s="1">
        <v>0</v>
      </c>
      <c r="AF2103" s="1">
        <f ca="1">IFERROR(__xludf.DUMMYFUNCTION("IFERROR(GOOGLEFINANCE(TRIM(F2103)&amp;"":"" &amp; TRIM(B2103),""high52""),AE2103)"),1550)</f>
        <v>1550</v>
      </c>
      <c r="AG2103" s="1">
        <v>0</v>
      </c>
      <c r="AH2103" s="1">
        <f ca="1">IFERROR(__xludf.DUMMYFUNCTION("IFERROR(GOOGLEFINANCE(TRIM(F2103)&amp;"":"" &amp; TRIM(B2103),""low52""),AE2103)"),953)</f>
        <v>953</v>
      </c>
      <c r="AI2103" s="1">
        <f ca="1">IFERROR(__xludf.DUMMYFUNCTION("IFERROR(GOOGLEFINANCE(B2103,""eps""),0)"),29.29)</f>
        <v>29.29</v>
      </c>
      <c r="AJ2103" s="1"/>
      <c r="AK2103" s="1" t="s">
        <v>6527</v>
      </c>
      <c r="AL2103" s="9">
        <f t="shared" si="231"/>
        <v>1</v>
      </c>
    </row>
    <row r="2104" spans="1:38" ht="15" x14ac:dyDescent="0.25">
      <c r="A2104" s="1" t="s">
        <v>6528</v>
      </c>
      <c r="B2104" s="1" t="s">
        <v>6529</v>
      </c>
      <c r="C2104" s="1" t="s">
        <v>208</v>
      </c>
      <c r="D2104" s="1" t="s">
        <v>208</v>
      </c>
      <c r="E2104" s="6">
        <v>10.97</v>
      </c>
      <c r="F2104" s="1" t="s">
        <v>53</v>
      </c>
      <c r="G2104" s="6">
        <f ca="1">IFERROR(__xludf.DUMMYFUNCTION("iferror(GOOGLEFINANCE(TRIM(F2104)&amp;"":"" &amp; TRIM(B2104), ""price""),0
)"),0)</f>
        <v>0</v>
      </c>
      <c r="H2104" s="6">
        <v>43.12</v>
      </c>
      <c r="I2104" s="6">
        <f t="shared" ca="1" si="0"/>
        <v>43.12</v>
      </c>
      <c r="J2104" s="6">
        <f ca="1">IFERROR(__xludf.DUMMYFUNCTION("IFERROR(GOOGLEFINANCE(B2104, ""volume""), 0)"),0)</f>
        <v>0</v>
      </c>
      <c r="K2104" s="9"/>
      <c r="L2104" s="6" t="str">
        <f ca="1">IFERROR(__xludf.DUMMYFUNCTION("IFERROR(GOOGLEFINANCE(B2104,""changepct""),K2104)"),"")</f>
        <v/>
      </c>
      <c r="M2104" s="6">
        <f ca="1">IFERROR(__xludf.DUMMYFUNCTION("IFERROR(GOOGLEFINANCE(B2104,""change""),0)"),0)</f>
        <v>0</v>
      </c>
      <c r="N2104" s="6">
        <v>1</v>
      </c>
      <c r="O2104" s="7">
        <v>45536</v>
      </c>
      <c r="P2104" s="6">
        <v>0.4</v>
      </c>
      <c r="Q2104" s="7">
        <v>45536</v>
      </c>
      <c r="R2104" s="6">
        <v>27.29</v>
      </c>
      <c r="S2104" s="6">
        <v>0.24</v>
      </c>
      <c r="T2104" s="6">
        <v>0.55000000000000004</v>
      </c>
      <c r="U2104" s="6">
        <v>1</v>
      </c>
      <c r="V2104" s="7">
        <v>45352</v>
      </c>
      <c r="W2104" s="10">
        <f ca="1">IFERROR(__xludf.DUMMYFUNCTION("IFERROR(GOOGLEFINANCE(B2104,""pe""),V2104)"),45352)</f>
        <v>45352</v>
      </c>
      <c r="X2104" s="6">
        <v>0</v>
      </c>
      <c r="Y2104" s="6">
        <v>0.55000000000000004</v>
      </c>
      <c r="Z2104" s="6">
        <v>1.23</v>
      </c>
      <c r="AA2104" s="3" t="s">
        <v>6530</v>
      </c>
      <c r="AB2104" s="11"/>
      <c r="AC2104" s="9"/>
      <c r="AD2104" s="9"/>
      <c r="AE2104" s="1">
        <v>0</v>
      </c>
      <c r="AF2104" s="1">
        <f ca="1">IFERROR(__xludf.DUMMYFUNCTION("IFERROR(GOOGLEFINANCE(TRIM(F2104)&amp;"":"" &amp; TRIM(B2104),""high52""),AE2104)"),0)</f>
        <v>0</v>
      </c>
      <c r="AG2104" s="1">
        <v>0</v>
      </c>
      <c r="AH2104" s="1">
        <f ca="1">IFERROR(__xludf.DUMMYFUNCTION("IFERROR(GOOGLEFINANCE(TRIM(F2104)&amp;"":"" &amp; TRIM(B2104),""low52""),AE2104)"),0)</f>
        <v>0</v>
      </c>
      <c r="AI2104" s="1">
        <f ca="1">IFERROR(__xludf.DUMMYFUNCTION("IFERROR(GOOGLEFINANCE(B2104,""eps""),0)"),0)</f>
        <v>0</v>
      </c>
      <c r="AJ2104" s="1"/>
      <c r="AK2104" s="1" t="s">
        <v>6531</v>
      </c>
      <c r="AL2104" s="9">
        <f t="shared" si="231"/>
        <v>1</v>
      </c>
    </row>
    <row r="2105" spans="1:38" ht="15" x14ac:dyDescent="0.25">
      <c r="A2105" s="1" t="s">
        <v>6532</v>
      </c>
      <c r="B2105" s="1" t="s">
        <v>6533</v>
      </c>
      <c r="C2105" s="1" t="s">
        <v>208</v>
      </c>
      <c r="D2105" s="1" t="s">
        <v>208</v>
      </c>
      <c r="E2105" s="6">
        <v>20.98</v>
      </c>
      <c r="F2105" s="1" t="s">
        <v>53</v>
      </c>
      <c r="G2105" s="6">
        <f ca="1">IFERROR(__xludf.DUMMYFUNCTION("iferror(GOOGLEFINANCE(TRIM(F2105)&amp;"":"" &amp; TRIM(B2105), ""price""),0
)"),0)</f>
        <v>0</v>
      </c>
      <c r="H2105" s="6">
        <v>76.77</v>
      </c>
      <c r="I2105" s="6">
        <f t="shared" ca="1" si="0"/>
        <v>76.77</v>
      </c>
      <c r="J2105" s="6">
        <f ca="1">IFERROR(__xludf.DUMMYFUNCTION("IFERROR(GOOGLEFINANCE(B2105, ""volume""), 0)"),0)</f>
        <v>0</v>
      </c>
      <c r="K2105" s="6">
        <v>9.77</v>
      </c>
      <c r="L2105" s="6">
        <f ca="1">IFERROR(__xludf.DUMMYFUNCTION("IFERROR(GOOGLEFINANCE(B2105,""changepct""),K2105)"),9.77)</f>
        <v>9.77</v>
      </c>
      <c r="M2105" s="6">
        <f ca="1">IFERROR(__xludf.DUMMYFUNCTION("IFERROR(GOOGLEFINANCE(B2105,""change""),0)"),0)</f>
        <v>0</v>
      </c>
      <c r="N2105" s="6">
        <v>1</v>
      </c>
      <c r="O2105" s="7">
        <v>45536</v>
      </c>
      <c r="P2105" s="6">
        <v>0.77</v>
      </c>
      <c r="Q2105" s="7">
        <v>45536</v>
      </c>
      <c r="R2105" s="6">
        <v>27.36</v>
      </c>
      <c r="S2105" s="6">
        <v>1.49</v>
      </c>
      <c r="T2105" s="6">
        <v>3.43</v>
      </c>
      <c r="U2105" s="6">
        <v>1</v>
      </c>
      <c r="V2105" s="7">
        <v>45352</v>
      </c>
      <c r="W2105" s="10">
        <f ca="1">IFERROR(__xludf.DUMMYFUNCTION("IFERROR(GOOGLEFINANCE(B2105,""pe""),V2105)"),45352)</f>
        <v>45352</v>
      </c>
      <c r="X2105" s="6">
        <v>0</v>
      </c>
      <c r="Y2105" s="6">
        <v>13.24</v>
      </c>
      <c r="Z2105" s="6">
        <v>16.2</v>
      </c>
      <c r="AA2105" s="3" t="s">
        <v>6534</v>
      </c>
      <c r="AB2105" s="11"/>
      <c r="AC2105" s="9"/>
      <c r="AD2105" s="9"/>
      <c r="AE2105" s="1">
        <v>0</v>
      </c>
      <c r="AF2105" s="1">
        <f ca="1">IFERROR(__xludf.DUMMYFUNCTION("IFERROR(GOOGLEFINANCE(TRIM(F2105)&amp;"":"" &amp; TRIM(B2105),""high52""),AE2105)"),0)</f>
        <v>0</v>
      </c>
      <c r="AG2105" s="1">
        <v>0</v>
      </c>
      <c r="AH2105" s="1">
        <f ca="1">IFERROR(__xludf.DUMMYFUNCTION("IFERROR(GOOGLEFINANCE(TRIM(F2105)&amp;"":"" &amp; TRIM(B2105),""low52""),AE2105)"),0)</f>
        <v>0</v>
      </c>
      <c r="AI2105" s="1">
        <f ca="1">IFERROR(__xludf.DUMMYFUNCTION("IFERROR(GOOGLEFINANCE(B2105,""eps""),0)"),0)</f>
        <v>0</v>
      </c>
      <c r="AJ2105" s="1"/>
      <c r="AK2105" s="1" t="s">
        <v>6535</v>
      </c>
      <c r="AL2105" s="9">
        <f t="shared" si="231"/>
        <v>1</v>
      </c>
    </row>
    <row r="2106" spans="1:38" ht="15" x14ac:dyDescent="0.25">
      <c r="A2106" s="1" t="s">
        <v>6536</v>
      </c>
      <c r="B2106" s="1" t="s">
        <v>6537</v>
      </c>
      <c r="C2106" s="1" t="s">
        <v>208</v>
      </c>
      <c r="D2106" s="1" t="s">
        <v>208</v>
      </c>
      <c r="E2106" s="6">
        <v>36.64</v>
      </c>
      <c r="F2106" s="1" t="s">
        <v>53</v>
      </c>
      <c r="G2106" s="6">
        <f ca="1">IFERROR(__xludf.DUMMYFUNCTION("iferror(GOOGLEFINANCE(TRIM(F2106)&amp;"":"" &amp; TRIM(B2106), ""price""),0
)"),0)</f>
        <v>0</v>
      </c>
      <c r="H2106" s="6">
        <v>0.92</v>
      </c>
      <c r="I2106" s="6">
        <f t="shared" ca="1" si="0"/>
        <v>0.92</v>
      </c>
      <c r="J2106" s="6">
        <f ca="1">IFERROR(__xludf.DUMMYFUNCTION("IFERROR(GOOGLEFINANCE(B2106, ""volume""), 0)"),0)</f>
        <v>0</v>
      </c>
      <c r="K2106" s="6">
        <v>0</v>
      </c>
      <c r="L2106" s="6">
        <f ca="1">IFERROR(__xludf.DUMMYFUNCTION("IFERROR(GOOGLEFINANCE(B2106,""changepct""),K2106)"),0)</f>
        <v>0</v>
      </c>
      <c r="M2106" s="6">
        <f ca="1">IFERROR(__xludf.DUMMYFUNCTION("IFERROR(GOOGLEFINANCE(B2106,""change""),0)"),0)</f>
        <v>0</v>
      </c>
      <c r="N2106" s="6">
        <v>1</v>
      </c>
      <c r="O2106" s="7">
        <v>45536</v>
      </c>
      <c r="P2106" s="6">
        <v>1.33</v>
      </c>
      <c r="Q2106" s="7">
        <v>45536</v>
      </c>
      <c r="R2106" s="6">
        <v>27.51</v>
      </c>
      <c r="S2106" s="6">
        <v>1.84</v>
      </c>
      <c r="T2106" s="6">
        <v>0.78</v>
      </c>
      <c r="U2106" s="6">
        <v>1</v>
      </c>
      <c r="V2106" s="7">
        <v>45352</v>
      </c>
      <c r="W2106" s="10">
        <f ca="1">IFERROR(__xludf.DUMMYFUNCTION("IFERROR(GOOGLEFINANCE(B2106,""pe""),V2106)"),45352)</f>
        <v>45352</v>
      </c>
      <c r="X2106" s="6">
        <v>0</v>
      </c>
      <c r="Y2106" s="6">
        <v>0.01</v>
      </c>
      <c r="Z2106" s="6">
        <v>0.03</v>
      </c>
      <c r="AA2106" s="3" t="s">
        <v>6538</v>
      </c>
      <c r="AB2106" s="11"/>
      <c r="AC2106" s="9"/>
      <c r="AD2106" s="9"/>
      <c r="AE2106" s="1">
        <v>0</v>
      </c>
      <c r="AF2106" s="1">
        <f ca="1">IFERROR(__xludf.DUMMYFUNCTION("IFERROR(GOOGLEFINANCE(TRIM(F2106)&amp;"":"" &amp; TRIM(B2106),""high52""),AE2106)"),0)</f>
        <v>0</v>
      </c>
      <c r="AG2106" s="1">
        <v>0</v>
      </c>
      <c r="AH2106" s="1">
        <f ca="1">IFERROR(__xludf.DUMMYFUNCTION("IFERROR(GOOGLEFINANCE(TRIM(F2106)&amp;"":"" &amp; TRIM(B2106),""low52""),AE2106)"),0)</f>
        <v>0</v>
      </c>
      <c r="AI2106" s="1">
        <f ca="1">IFERROR(__xludf.DUMMYFUNCTION("IFERROR(GOOGLEFINANCE(B2106,""eps""),0)"),0)</f>
        <v>0</v>
      </c>
      <c r="AJ2106" s="1"/>
      <c r="AK2106" s="1" t="s">
        <v>6539</v>
      </c>
      <c r="AL2106" s="9">
        <f t="shared" si="231"/>
        <v>1</v>
      </c>
    </row>
    <row r="2107" spans="1:38" ht="15" x14ac:dyDescent="0.25">
      <c r="A2107" s="1" t="s">
        <v>6540</v>
      </c>
      <c r="B2107" s="1" t="s">
        <v>6541</v>
      </c>
      <c r="C2107" s="1" t="s">
        <v>208</v>
      </c>
      <c r="D2107" s="1" t="s">
        <v>208</v>
      </c>
      <c r="E2107" s="6">
        <v>9.43</v>
      </c>
      <c r="F2107" s="1" t="s">
        <v>53</v>
      </c>
      <c r="G2107" s="6">
        <f ca="1">IFERROR(__xludf.DUMMYFUNCTION("iferror(GOOGLEFINANCE(TRIM(F2107)&amp;"":"" &amp; TRIM(B2107), ""price""),0
)"),0)</f>
        <v>0</v>
      </c>
      <c r="H2107" s="6">
        <v>29.73</v>
      </c>
      <c r="I2107" s="6">
        <f t="shared" ca="1" si="0"/>
        <v>29.73</v>
      </c>
      <c r="J2107" s="6">
        <f ca="1">IFERROR(__xludf.DUMMYFUNCTION("IFERROR(GOOGLEFINANCE(B2107, ""volume""), 0)"),0)</f>
        <v>0</v>
      </c>
      <c r="K2107" s="6">
        <v>2.52</v>
      </c>
      <c r="L2107" s="6">
        <f ca="1">IFERROR(__xludf.DUMMYFUNCTION("IFERROR(GOOGLEFINANCE(B2107,""changepct""),K2107)"),2.52)</f>
        <v>2.52</v>
      </c>
      <c r="M2107" s="6">
        <f ca="1">IFERROR(__xludf.DUMMYFUNCTION("IFERROR(GOOGLEFINANCE(B2107,""change""),0)"),0)</f>
        <v>0</v>
      </c>
      <c r="N2107" s="6">
        <v>1</v>
      </c>
      <c r="O2107" s="7">
        <v>45536</v>
      </c>
      <c r="P2107" s="6">
        <v>0.34</v>
      </c>
      <c r="Q2107" s="7">
        <v>45536</v>
      </c>
      <c r="R2107" s="6">
        <v>27.64</v>
      </c>
      <c r="S2107" s="6">
        <v>-0.98</v>
      </c>
      <c r="T2107" s="6">
        <v>1.65</v>
      </c>
      <c r="U2107" s="6">
        <v>1</v>
      </c>
      <c r="V2107" s="7">
        <v>45352</v>
      </c>
      <c r="W2107" s="10">
        <f ca="1">IFERROR(__xludf.DUMMYFUNCTION("IFERROR(GOOGLEFINANCE(B2107,""pe""),V2107)"),45352)</f>
        <v>45352</v>
      </c>
      <c r="X2107" s="6">
        <v>0</v>
      </c>
      <c r="Y2107" s="6">
        <v>8.3800000000000008</v>
      </c>
      <c r="Z2107" s="6">
        <v>9.94</v>
      </c>
      <c r="AA2107" s="3" t="s">
        <v>6542</v>
      </c>
      <c r="AB2107" s="11"/>
      <c r="AC2107" s="9"/>
      <c r="AD2107" s="9"/>
      <c r="AE2107" s="1">
        <v>0</v>
      </c>
      <c r="AF2107" s="1">
        <f ca="1">IFERROR(__xludf.DUMMYFUNCTION("IFERROR(GOOGLEFINANCE(TRIM(F2107)&amp;"":"" &amp; TRIM(B2107),""high52""),AE2107)"),0)</f>
        <v>0</v>
      </c>
      <c r="AG2107" s="1">
        <v>0</v>
      </c>
      <c r="AH2107" s="1">
        <f ca="1">IFERROR(__xludf.DUMMYFUNCTION("IFERROR(GOOGLEFINANCE(TRIM(F2107)&amp;"":"" &amp; TRIM(B2107),""low52""),AE2107)"),0)</f>
        <v>0</v>
      </c>
      <c r="AI2107" s="1">
        <f ca="1">IFERROR(__xludf.DUMMYFUNCTION("IFERROR(GOOGLEFINANCE(B2107,""eps""),0)"),0)</f>
        <v>0</v>
      </c>
      <c r="AJ2107" s="1"/>
      <c r="AK2107" s="1" t="s">
        <v>6543</v>
      </c>
      <c r="AL2107" s="9">
        <f t="shared" si="231"/>
        <v>1</v>
      </c>
    </row>
    <row r="2108" spans="1:38" ht="15" x14ac:dyDescent="0.25">
      <c r="A2108" s="1" t="s">
        <v>6544</v>
      </c>
      <c r="B2108" s="1" t="s">
        <v>6545</v>
      </c>
      <c r="C2108" s="1" t="s">
        <v>186</v>
      </c>
      <c r="D2108" s="1" t="s">
        <v>186</v>
      </c>
      <c r="E2108" s="6">
        <v>4849.51</v>
      </c>
      <c r="F2108" s="1" t="s">
        <v>40</v>
      </c>
      <c r="G2108" s="6">
        <f ca="1">IFERROR(__xludf.DUMMYFUNCTION("iferror(GOOGLEFINANCE(TRIM(F2108)&amp;"":"" &amp; TRIM(B2108), ""price""),0
)"),163.12)</f>
        <v>163.12</v>
      </c>
      <c r="H2108" s="6">
        <v>722.2</v>
      </c>
      <c r="I2108" s="6">
        <f t="shared" ca="1" si="0"/>
        <v>163.12</v>
      </c>
      <c r="J2108" s="6">
        <f ca="1">IFERROR(__xludf.DUMMYFUNCTION("IFERROR(GOOGLEFINANCE(B2108, ""volume""), 0)"),1181264)</f>
        <v>1181264</v>
      </c>
      <c r="K2108" s="6">
        <v>-1.39</v>
      </c>
      <c r="L2108" s="6">
        <f ca="1">IFERROR(__xludf.DUMMYFUNCTION("IFERROR(GOOGLEFINANCE(B2108,""changepct""),K2108)"),-4.82)</f>
        <v>-4.82</v>
      </c>
      <c r="M2108" s="6">
        <f ca="1">IFERROR(__xludf.DUMMYFUNCTION("IFERROR(GOOGLEFINANCE(B2108,""change""),0)"),-8.26)</f>
        <v>-8.26</v>
      </c>
      <c r="N2108" s="6">
        <v>2</v>
      </c>
      <c r="O2108" s="7">
        <v>45536</v>
      </c>
      <c r="P2108" s="6">
        <v>877.75</v>
      </c>
      <c r="Q2108" s="6">
        <v>5651.63</v>
      </c>
      <c r="R2108" s="7">
        <v>45536</v>
      </c>
      <c r="S2108" s="6">
        <v>743.5</v>
      </c>
      <c r="T2108" s="6">
        <v>98.13</v>
      </c>
      <c r="U2108" s="7">
        <v>45536</v>
      </c>
      <c r="V2108" s="6">
        <v>48.57</v>
      </c>
      <c r="W2108" s="6">
        <f ca="1">IFERROR(__xludf.DUMMYFUNCTION("IFERROR(GOOGLEFINANCE(B2108,""pe""),V2108)"),34.9)</f>
        <v>34.9</v>
      </c>
      <c r="X2108" s="6">
        <v>-10.47</v>
      </c>
      <c r="Y2108" s="6">
        <v>5.0599999999999996</v>
      </c>
      <c r="Z2108" s="6">
        <v>2</v>
      </c>
      <c r="AA2108" s="8">
        <v>45352</v>
      </c>
      <c r="AB2108" s="4">
        <v>0.75</v>
      </c>
      <c r="AC2108" s="6">
        <v>6.33</v>
      </c>
      <c r="AD2108" s="6">
        <v>7.62</v>
      </c>
      <c r="AE2108" s="1">
        <v>0</v>
      </c>
      <c r="AF2108" s="1">
        <f ca="1">IFERROR(__xludf.DUMMYFUNCTION("IFERROR(GOOGLEFINANCE(TRIM(F2108)&amp;"":"" &amp; TRIM(B2108),""high52""),AE2108)"),324.42)</f>
        <v>324.42</v>
      </c>
      <c r="AG2108" s="1">
        <v>0</v>
      </c>
      <c r="AH2108" s="1">
        <f ca="1">IFERROR(__xludf.DUMMYFUNCTION("IFERROR(GOOGLEFINANCE(TRIM(F2108)&amp;"":"" &amp; TRIM(B2108),""low52""),AE2108)"),138.2)</f>
        <v>138.19999999999999</v>
      </c>
      <c r="AI2108" s="1">
        <f ca="1">IFERROR(__xludf.DUMMYFUNCTION("IFERROR(GOOGLEFINANCE(B2108,""eps""),0)"),4.67)</f>
        <v>4.67</v>
      </c>
      <c r="AJ2108" s="1"/>
      <c r="AK2108" s="1" t="s">
        <v>6546</v>
      </c>
      <c r="AL2108" s="9">
        <f t="shared" si="231"/>
        <v>1</v>
      </c>
    </row>
    <row r="2109" spans="1:38" ht="15" x14ac:dyDescent="0.25">
      <c r="A2109" s="1" t="s">
        <v>6547</v>
      </c>
      <c r="B2109" s="1" t="s">
        <v>6548</v>
      </c>
      <c r="C2109" s="1" t="s">
        <v>268</v>
      </c>
      <c r="D2109" s="1" t="s">
        <v>268</v>
      </c>
      <c r="E2109" s="6">
        <v>42.16</v>
      </c>
      <c r="F2109" s="1" t="s">
        <v>40</v>
      </c>
      <c r="G2109" s="6">
        <f ca="1">IFERROR(__xludf.DUMMYFUNCTION("iferror(GOOGLEFINANCE(TRIM(F2109)&amp;"":"" &amp; TRIM(B2109), ""price""),0
)"),0)</f>
        <v>0</v>
      </c>
      <c r="H2109" s="6">
        <v>743.65</v>
      </c>
      <c r="I2109" s="6">
        <f t="shared" ca="1" si="0"/>
        <v>743.65</v>
      </c>
      <c r="J2109" s="6">
        <f ca="1">IFERROR(__xludf.DUMMYFUNCTION("IFERROR(GOOGLEFINANCE(B2109, ""volume""), 0)"),0)</f>
        <v>0</v>
      </c>
      <c r="K2109" s="6">
        <v>0</v>
      </c>
      <c r="L2109" s="6">
        <f ca="1">IFERROR(__xludf.DUMMYFUNCTION("IFERROR(GOOGLEFINANCE(B2109,""changepct""),K2109)"),0)</f>
        <v>0</v>
      </c>
      <c r="M2109" s="6">
        <f ca="1">IFERROR(__xludf.DUMMYFUNCTION("IFERROR(GOOGLEFINANCE(B2109,""change""),0)"),0)</f>
        <v>0</v>
      </c>
      <c r="N2109" s="6">
        <v>1</v>
      </c>
      <c r="O2109" s="7">
        <v>45536</v>
      </c>
      <c r="P2109" s="6">
        <v>11.81</v>
      </c>
      <c r="Q2109" s="6">
        <v>51.29</v>
      </c>
      <c r="R2109" s="7">
        <v>45352</v>
      </c>
      <c r="S2109" s="6">
        <v>1553.77</v>
      </c>
      <c r="T2109" s="6">
        <v>0.27</v>
      </c>
      <c r="U2109" s="7">
        <v>45352</v>
      </c>
      <c r="V2109" s="6">
        <v>156.13</v>
      </c>
      <c r="W2109" s="6">
        <f ca="1">IFERROR(__xludf.DUMMYFUNCTION("IFERROR(GOOGLEFINANCE(B2109,""pe""),V2109)"),156.13)</f>
        <v>156.13</v>
      </c>
      <c r="X2109" s="6">
        <v>-4.72</v>
      </c>
      <c r="Y2109" s="6">
        <v>2.0699999999999998</v>
      </c>
      <c r="Z2109" s="6">
        <v>1</v>
      </c>
      <c r="AA2109" s="8">
        <v>45352</v>
      </c>
      <c r="AB2109" s="4">
        <v>0.57999999999999996</v>
      </c>
      <c r="AC2109" s="6">
        <v>1.32</v>
      </c>
      <c r="AD2109" s="6">
        <v>4.6100000000000003</v>
      </c>
      <c r="AE2109" s="1">
        <v>0</v>
      </c>
      <c r="AF2109" s="1">
        <f ca="1">IFERROR(__xludf.DUMMYFUNCTION("IFERROR(GOOGLEFINANCE(TRIM(F2109)&amp;"":"" &amp; TRIM(B2109),""high52""),AE2109)"),0)</f>
        <v>0</v>
      </c>
      <c r="AG2109" s="1">
        <v>0</v>
      </c>
      <c r="AH2109" s="1">
        <f ca="1">IFERROR(__xludf.DUMMYFUNCTION("IFERROR(GOOGLEFINANCE(TRIM(F2109)&amp;"":"" &amp; TRIM(B2109),""low52""),AE2109)"),0)</f>
        <v>0</v>
      </c>
      <c r="AI2109" s="1">
        <f ca="1">IFERROR(__xludf.DUMMYFUNCTION("IFERROR(GOOGLEFINANCE(B2109,""eps""),0)"),0)</f>
        <v>0</v>
      </c>
      <c r="AJ2109" s="1"/>
      <c r="AK2109" s="1" t="s">
        <v>6549</v>
      </c>
      <c r="AL2109" s="9">
        <f t="shared" si="231"/>
        <v>1</v>
      </c>
    </row>
    <row r="2110" spans="1:38" ht="15" x14ac:dyDescent="0.25">
      <c r="A2110" s="1" t="s">
        <v>6550</v>
      </c>
      <c r="B2110" s="1" t="s">
        <v>6551</v>
      </c>
      <c r="C2110" s="1" t="s">
        <v>208</v>
      </c>
      <c r="D2110" s="1" t="s">
        <v>208</v>
      </c>
      <c r="E2110" s="6">
        <v>234.51</v>
      </c>
      <c r="F2110" s="1" t="s">
        <v>53</v>
      </c>
      <c r="G2110" s="6">
        <f ca="1">IFERROR(__xludf.DUMMYFUNCTION("iferror(GOOGLEFINANCE(TRIM(F2110)&amp;"":"" &amp; TRIM(B2110), ""price""),0
)"),0)</f>
        <v>0</v>
      </c>
      <c r="H2110" s="6">
        <v>251.55</v>
      </c>
      <c r="I2110" s="6">
        <f t="shared" ca="1" si="0"/>
        <v>251.55</v>
      </c>
      <c r="J2110" s="6">
        <f ca="1">IFERROR(__xludf.DUMMYFUNCTION("IFERROR(GOOGLEFINANCE(B2110, ""volume""), 0)"),0)</f>
        <v>0</v>
      </c>
      <c r="K2110" s="6">
        <v>0</v>
      </c>
      <c r="L2110" s="6">
        <f ca="1">IFERROR(__xludf.DUMMYFUNCTION("IFERROR(GOOGLEFINANCE(B2110,""changepct""),K2110)"),0)</f>
        <v>0</v>
      </c>
      <c r="M2110" s="6">
        <f ca="1">IFERROR(__xludf.DUMMYFUNCTION("IFERROR(GOOGLEFINANCE(B2110,""change""),0)"),0)</f>
        <v>0</v>
      </c>
      <c r="N2110" s="6">
        <v>1</v>
      </c>
      <c r="O2110" s="7">
        <v>45536</v>
      </c>
      <c r="P2110" s="6">
        <v>8.1199999999999992</v>
      </c>
      <c r="Q2110" s="7">
        <v>45536</v>
      </c>
      <c r="R2110" s="6">
        <v>28.87</v>
      </c>
      <c r="S2110" s="6">
        <v>-8.83</v>
      </c>
      <c r="T2110" s="6">
        <v>1.79</v>
      </c>
      <c r="U2110" s="6">
        <v>1</v>
      </c>
      <c r="V2110" s="7">
        <v>45352</v>
      </c>
      <c r="W2110" s="10">
        <f ca="1">IFERROR(__xludf.DUMMYFUNCTION("IFERROR(GOOGLEFINANCE(B2110,""pe""),V2110)"),45352)</f>
        <v>45352</v>
      </c>
      <c r="X2110" s="6">
        <v>0.21</v>
      </c>
      <c r="Y2110" s="6">
        <v>6.42</v>
      </c>
      <c r="Z2110" s="6">
        <v>9.2200000000000006</v>
      </c>
      <c r="AA2110" s="3" t="s">
        <v>6552</v>
      </c>
      <c r="AB2110" s="11"/>
      <c r="AC2110" s="9"/>
      <c r="AD2110" s="9"/>
      <c r="AE2110" s="1">
        <v>0</v>
      </c>
      <c r="AF2110" s="1">
        <f ca="1">IFERROR(__xludf.DUMMYFUNCTION("IFERROR(GOOGLEFINANCE(TRIM(F2110)&amp;"":"" &amp; TRIM(B2110),""high52""),AE2110)"),0)</f>
        <v>0</v>
      </c>
      <c r="AG2110" s="1">
        <v>0</v>
      </c>
      <c r="AH2110" s="1">
        <f ca="1">IFERROR(__xludf.DUMMYFUNCTION("IFERROR(GOOGLEFINANCE(TRIM(F2110)&amp;"":"" &amp; TRIM(B2110),""low52""),AE2110)"),0)</f>
        <v>0</v>
      </c>
      <c r="AI2110" s="1">
        <f ca="1">IFERROR(__xludf.DUMMYFUNCTION("IFERROR(GOOGLEFINANCE(B2110,""eps""),0)"),0)</f>
        <v>0</v>
      </c>
      <c r="AJ2110" s="1"/>
      <c r="AK2110" s="1" t="s">
        <v>6553</v>
      </c>
      <c r="AL2110" s="9">
        <f t="shared" si="231"/>
        <v>1</v>
      </c>
    </row>
    <row r="2111" spans="1:38" ht="15" x14ac:dyDescent="0.25">
      <c r="A2111" s="1" t="s">
        <v>6554</v>
      </c>
      <c r="B2111" s="1" t="s">
        <v>6555</v>
      </c>
      <c r="C2111" s="1" t="s">
        <v>208</v>
      </c>
      <c r="D2111" s="1" t="s">
        <v>208</v>
      </c>
      <c r="E2111" s="6">
        <v>45.87</v>
      </c>
      <c r="F2111" s="1" t="s">
        <v>53</v>
      </c>
      <c r="G2111" s="6">
        <f ca="1">IFERROR(__xludf.DUMMYFUNCTION("iferror(GOOGLEFINANCE(TRIM(F2111)&amp;"":"" &amp; TRIM(B2111), ""price""),0
)"),0)</f>
        <v>0</v>
      </c>
      <c r="H2111" s="6">
        <v>15</v>
      </c>
      <c r="I2111" s="6">
        <f t="shared" ca="1" si="0"/>
        <v>15</v>
      </c>
      <c r="J2111" s="6">
        <f ca="1">IFERROR(__xludf.DUMMYFUNCTION("IFERROR(GOOGLEFINANCE(B2111, ""volume""), 0)"),0)</f>
        <v>0</v>
      </c>
      <c r="K2111" s="6">
        <v>-1.9</v>
      </c>
      <c r="L2111" s="6">
        <f ca="1">IFERROR(__xludf.DUMMYFUNCTION("IFERROR(GOOGLEFINANCE(B2111,""changepct""),K2111)"),-1.9)</f>
        <v>-1.9</v>
      </c>
      <c r="M2111" s="6">
        <f ca="1">IFERROR(__xludf.DUMMYFUNCTION("IFERROR(GOOGLEFINANCE(B2111,""change""),0)"),0)</f>
        <v>0</v>
      </c>
      <c r="N2111" s="6">
        <v>1</v>
      </c>
      <c r="O2111" s="7">
        <v>45536</v>
      </c>
      <c r="P2111" s="6">
        <v>1.57</v>
      </c>
      <c r="Q2111" s="7">
        <v>45536</v>
      </c>
      <c r="R2111" s="6">
        <v>29.29</v>
      </c>
      <c r="S2111" s="6">
        <v>0.9</v>
      </c>
      <c r="T2111" s="6">
        <v>3.02</v>
      </c>
      <c r="U2111" s="6">
        <v>1</v>
      </c>
      <c r="V2111" s="7">
        <v>45352</v>
      </c>
      <c r="W2111" s="10">
        <f ca="1">IFERROR(__xludf.DUMMYFUNCTION("IFERROR(GOOGLEFINANCE(B2111,""pe""),V2111)"),45352)</f>
        <v>45352</v>
      </c>
      <c r="X2111" s="6">
        <v>0</v>
      </c>
      <c r="Y2111" s="6">
        <v>17.75</v>
      </c>
      <c r="Z2111" s="6">
        <v>22.02</v>
      </c>
      <c r="AA2111" s="3" t="s">
        <v>6556</v>
      </c>
      <c r="AB2111" s="11"/>
      <c r="AC2111" s="9"/>
      <c r="AD2111" s="9"/>
      <c r="AE2111" s="1">
        <v>0</v>
      </c>
      <c r="AF2111" s="1">
        <f ca="1">IFERROR(__xludf.DUMMYFUNCTION("IFERROR(GOOGLEFINANCE(TRIM(F2111)&amp;"":"" &amp; TRIM(B2111),""high52""),AE2111)"),0)</f>
        <v>0</v>
      </c>
      <c r="AG2111" s="1">
        <v>0</v>
      </c>
      <c r="AH2111" s="1">
        <f ca="1">IFERROR(__xludf.DUMMYFUNCTION("IFERROR(GOOGLEFINANCE(TRIM(F2111)&amp;"":"" &amp; TRIM(B2111),""low52""),AE2111)"),0)</f>
        <v>0</v>
      </c>
      <c r="AI2111" s="1">
        <f ca="1">IFERROR(__xludf.DUMMYFUNCTION("IFERROR(GOOGLEFINANCE(B2111,""eps""),0)"),0)</f>
        <v>0</v>
      </c>
      <c r="AJ2111" s="1"/>
      <c r="AK2111" s="1" t="s">
        <v>6557</v>
      </c>
      <c r="AL2111" s="9">
        <f t="shared" si="231"/>
        <v>1</v>
      </c>
    </row>
    <row r="2112" spans="1:38" ht="15" x14ac:dyDescent="0.25">
      <c r="A2112" s="1" t="s">
        <v>6558</v>
      </c>
      <c r="B2112" s="1" t="s">
        <v>6559</v>
      </c>
      <c r="C2112" s="1" t="s">
        <v>208</v>
      </c>
      <c r="D2112" s="1" t="s">
        <v>208</v>
      </c>
      <c r="E2112" s="6">
        <v>24.59</v>
      </c>
      <c r="F2112" s="1" t="s">
        <v>53</v>
      </c>
      <c r="G2112" s="6">
        <f ca="1">IFERROR(__xludf.DUMMYFUNCTION("iferror(GOOGLEFINANCE(TRIM(F2112)&amp;"":"" &amp; TRIM(B2112), ""price""),0
)"),0)</f>
        <v>0</v>
      </c>
      <c r="H2112" s="6">
        <v>24.72</v>
      </c>
      <c r="I2112" s="6">
        <f t="shared" ca="1" si="0"/>
        <v>24.72</v>
      </c>
      <c r="J2112" s="6">
        <f ca="1">IFERROR(__xludf.DUMMYFUNCTION("IFERROR(GOOGLEFINANCE(B2112, ""volume""), 0)"),0)</f>
        <v>0</v>
      </c>
      <c r="K2112" s="6">
        <v>0</v>
      </c>
      <c r="L2112" s="6">
        <f ca="1">IFERROR(__xludf.DUMMYFUNCTION("IFERROR(GOOGLEFINANCE(B2112,""changepct""),K2112)"),0)</f>
        <v>0</v>
      </c>
      <c r="M2112" s="6">
        <f ca="1">IFERROR(__xludf.DUMMYFUNCTION("IFERROR(GOOGLEFINANCE(B2112,""change""),0)"),0)</f>
        <v>0</v>
      </c>
      <c r="N2112" s="6">
        <v>1</v>
      </c>
      <c r="O2112" s="7">
        <v>45536</v>
      </c>
      <c r="P2112" s="6">
        <v>0.84</v>
      </c>
      <c r="Q2112" s="7">
        <v>45536</v>
      </c>
      <c r="R2112" s="6">
        <v>29.31</v>
      </c>
      <c r="S2112" s="6">
        <v>1.4</v>
      </c>
      <c r="T2112" s="6">
        <v>1.55</v>
      </c>
      <c r="U2112" s="6">
        <v>1</v>
      </c>
      <c r="V2112" s="7">
        <v>45352</v>
      </c>
      <c r="W2112" s="10">
        <f ca="1">IFERROR(__xludf.DUMMYFUNCTION("IFERROR(GOOGLEFINANCE(B2112,""pe""),V2112)"),45352)</f>
        <v>45352</v>
      </c>
      <c r="X2112" s="6">
        <v>2.88</v>
      </c>
      <c r="Y2112" s="6">
        <v>5.86</v>
      </c>
      <c r="Z2112" s="6">
        <v>6.78</v>
      </c>
      <c r="AA2112" s="3" t="s">
        <v>6560</v>
      </c>
      <c r="AB2112" s="11"/>
      <c r="AC2112" s="9"/>
      <c r="AD2112" s="9"/>
      <c r="AE2112" s="1">
        <v>0</v>
      </c>
      <c r="AF2112" s="1">
        <f ca="1">IFERROR(__xludf.DUMMYFUNCTION("IFERROR(GOOGLEFINANCE(TRIM(F2112)&amp;"":"" &amp; TRIM(B2112),""high52""),AE2112)"),0)</f>
        <v>0</v>
      </c>
      <c r="AG2112" s="1">
        <v>0</v>
      </c>
      <c r="AH2112" s="1">
        <f ca="1">IFERROR(__xludf.DUMMYFUNCTION("IFERROR(GOOGLEFINANCE(TRIM(F2112)&amp;"":"" &amp; TRIM(B2112),""low52""),AE2112)"),0)</f>
        <v>0</v>
      </c>
      <c r="AI2112" s="1">
        <f ca="1">IFERROR(__xludf.DUMMYFUNCTION("IFERROR(GOOGLEFINANCE(B2112,""eps""),0)"),0)</f>
        <v>0</v>
      </c>
      <c r="AJ2112" s="1"/>
      <c r="AK2112" s="1" t="s">
        <v>6561</v>
      </c>
      <c r="AL2112" s="9">
        <f t="shared" si="231"/>
        <v>1</v>
      </c>
    </row>
    <row r="2113" spans="1:38" ht="15" x14ac:dyDescent="0.25">
      <c r="A2113" s="1" t="s">
        <v>6562</v>
      </c>
      <c r="B2113" s="1" t="s">
        <v>6563</v>
      </c>
      <c r="C2113" s="1" t="s">
        <v>208</v>
      </c>
      <c r="D2113" s="1" t="s">
        <v>208</v>
      </c>
      <c r="E2113" s="6">
        <v>2326.35</v>
      </c>
      <c r="F2113" s="1" t="s">
        <v>53</v>
      </c>
      <c r="G2113" s="6">
        <f ca="1">IFERROR(__xludf.DUMMYFUNCTION("iferror(GOOGLEFINANCE(TRIM(F2113)&amp;"":"" &amp; TRIM(B2113), ""price""),0
)"),0)</f>
        <v>0</v>
      </c>
      <c r="H2113" s="6">
        <v>413</v>
      </c>
      <c r="I2113" s="6">
        <f t="shared" ca="1" si="0"/>
        <v>413</v>
      </c>
      <c r="J2113" s="6">
        <f ca="1">IFERROR(__xludf.DUMMYFUNCTION("IFERROR(GOOGLEFINANCE(B2113, ""volume""), 0)"),135714)</f>
        <v>135714</v>
      </c>
      <c r="K2113" s="6">
        <v>-0.77</v>
      </c>
      <c r="L2113" s="6">
        <f ca="1">IFERROR(__xludf.DUMMYFUNCTION("IFERROR(GOOGLEFINANCE(B2113,""changepct""),K2113)"),3.24)</f>
        <v>3.24</v>
      </c>
      <c r="M2113" s="6">
        <f ca="1">IFERROR(__xludf.DUMMYFUNCTION("IFERROR(GOOGLEFINANCE(B2113,""change""),0)"),10.75)</f>
        <v>10.75</v>
      </c>
      <c r="N2113" s="6">
        <v>1</v>
      </c>
      <c r="O2113" s="7">
        <v>45536</v>
      </c>
      <c r="P2113" s="6">
        <v>78.97</v>
      </c>
      <c r="Q2113" s="7">
        <v>45536</v>
      </c>
      <c r="R2113" s="6">
        <v>29.46</v>
      </c>
      <c r="S2113" s="6">
        <v>0.15</v>
      </c>
      <c r="T2113" s="6">
        <v>2.72</v>
      </c>
      <c r="U2113" s="6">
        <v>1</v>
      </c>
      <c r="V2113" s="7">
        <v>45352</v>
      </c>
      <c r="W2113" s="6">
        <f ca="1">IFERROR(__xludf.DUMMYFUNCTION("IFERROR(GOOGLEFINANCE(B2113,""pe""),V2113)"),20.88)</f>
        <v>20.88</v>
      </c>
      <c r="X2113" s="6">
        <v>1.2</v>
      </c>
      <c r="Y2113" s="6">
        <v>11.94</v>
      </c>
      <c r="Z2113" s="6">
        <v>11.96</v>
      </c>
      <c r="AA2113" s="3" t="s">
        <v>6564</v>
      </c>
      <c r="AB2113" s="11"/>
      <c r="AC2113" s="9"/>
      <c r="AD2113" s="9"/>
      <c r="AE2113" s="1">
        <v>0</v>
      </c>
      <c r="AF2113" s="1">
        <f ca="1">IFERROR(__xludf.DUMMYFUNCTION("IFERROR(GOOGLEFINANCE(TRIM(F2113)&amp;"":"" &amp; TRIM(B2113),""high52""),AE2113)"),0)</f>
        <v>0</v>
      </c>
      <c r="AG2113" s="1">
        <v>0</v>
      </c>
      <c r="AH2113" s="1">
        <f ca="1">IFERROR(__xludf.DUMMYFUNCTION("IFERROR(GOOGLEFINANCE(TRIM(F2113)&amp;"":"" &amp; TRIM(B2113),""low52""),AE2113)"),0)</f>
        <v>0</v>
      </c>
      <c r="AI2113" s="1">
        <f ca="1">IFERROR(__xludf.DUMMYFUNCTION("IFERROR(GOOGLEFINANCE(B2113,""eps""),0)"),16.43)</f>
        <v>16.43</v>
      </c>
      <c r="AJ2113" s="1"/>
      <c r="AK2113" s="1" t="s">
        <v>6565</v>
      </c>
      <c r="AL2113" s="9">
        <f t="shared" si="231"/>
        <v>1</v>
      </c>
    </row>
    <row r="2114" spans="1:38" ht="15" x14ac:dyDescent="0.25">
      <c r="A2114" s="1" t="s">
        <v>6566</v>
      </c>
      <c r="B2114" s="1" t="s">
        <v>6567</v>
      </c>
      <c r="C2114" s="1" t="s">
        <v>208</v>
      </c>
      <c r="D2114" s="1" t="s">
        <v>208</v>
      </c>
      <c r="E2114" s="6">
        <v>66.72</v>
      </c>
      <c r="F2114" s="1" t="s">
        <v>53</v>
      </c>
      <c r="G2114" s="6">
        <f ca="1">IFERROR(__xludf.DUMMYFUNCTION("iferror(GOOGLEFINANCE(TRIM(F2114)&amp;"":"" &amp; TRIM(B2114), ""price""),0
)"),0)</f>
        <v>0</v>
      </c>
      <c r="H2114" s="6">
        <v>14.19</v>
      </c>
      <c r="I2114" s="6">
        <f t="shared" ca="1" si="0"/>
        <v>14.19</v>
      </c>
      <c r="J2114" s="6">
        <f ca="1">IFERROR(__xludf.DUMMYFUNCTION("IFERROR(GOOGLEFINANCE(B2114, ""volume""), 0)"),0)</f>
        <v>0</v>
      </c>
      <c r="K2114" s="6">
        <v>4.1900000000000004</v>
      </c>
      <c r="L2114" s="6">
        <f ca="1">IFERROR(__xludf.DUMMYFUNCTION("IFERROR(GOOGLEFINANCE(B2114,""changepct""),K2114)"),4.19)</f>
        <v>4.1900000000000004</v>
      </c>
      <c r="M2114" s="6">
        <f ca="1">IFERROR(__xludf.DUMMYFUNCTION("IFERROR(GOOGLEFINANCE(B2114,""change""),0)"),0)</f>
        <v>0</v>
      </c>
      <c r="N2114" s="6">
        <v>1</v>
      </c>
      <c r="O2114" s="7">
        <v>45536</v>
      </c>
      <c r="P2114" s="6">
        <v>2.2400000000000002</v>
      </c>
      <c r="Q2114" s="7">
        <v>45536</v>
      </c>
      <c r="R2114" s="6">
        <v>29.75</v>
      </c>
      <c r="S2114" s="6">
        <v>0.72</v>
      </c>
      <c r="T2114" s="6">
        <v>0.86</v>
      </c>
      <c r="U2114" s="6">
        <v>1</v>
      </c>
      <c r="V2114" s="7">
        <v>45352</v>
      </c>
      <c r="W2114" s="10">
        <f ca="1">IFERROR(__xludf.DUMMYFUNCTION("IFERROR(GOOGLEFINANCE(B2114,""pe""),V2114)"),45352)</f>
        <v>45352</v>
      </c>
      <c r="X2114" s="6">
        <v>1.03</v>
      </c>
      <c r="Y2114" s="6">
        <v>7.64</v>
      </c>
      <c r="Z2114" s="6">
        <v>7.96</v>
      </c>
      <c r="AA2114" s="3" t="s">
        <v>6568</v>
      </c>
      <c r="AB2114" s="11"/>
      <c r="AC2114" s="9"/>
      <c r="AD2114" s="9"/>
      <c r="AE2114" s="1">
        <v>0</v>
      </c>
      <c r="AF2114" s="1">
        <f ca="1">IFERROR(__xludf.DUMMYFUNCTION("IFERROR(GOOGLEFINANCE(TRIM(F2114)&amp;"":"" &amp; TRIM(B2114),""high52""),AE2114)"),0)</f>
        <v>0</v>
      </c>
      <c r="AG2114" s="1">
        <v>0</v>
      </c>
      <c r="AH2114" s="1">
        <f ca="1">IFERROR(__xludf.DUMMYFUNCTION("IFERROR(GOOGLEFINANCE(TRIM(F2114)&amp;"":"" &amp; TRIM(B2114),""low52""),AE2114)"),0)</f>
        <v>0</v>
      </c>
      <c r="AI2114" s="1">
        <f ca="1">IFERROR(__xludf.DUMMYFUNCTION("IFERROR(GOOGLEFINANCE(B2114,""eps""),0)"),0)</f>
        <v>0</v>
      </c>
      <c r="AJ2114" s="1"/>
      <c r="AK2114" s="9"/>
      <c r="AL2114" s="9">
        <f t="shared" si="231"/>
        <v>1</v>
      </c>
    </row>
    <row r="2115" spans="1:38" ht="15" x14ac:dyDescent="0.25">
      <c r="A2115" s="1" t="s">
        <v>6569</v>
      </c>
      <c r="B2115" s="1" t="s">
        <v>6570</v>
      </c>
      <c r="C2115" s="1" t="s">
        <v>324</v>
      </c>
      <c r="D2115" s="1" t="s">
        <v>324</v>
      </c>
      <c r="E2115" s="6">
        <v>673.6</v>
      </c>
      <c r="F2115" s="1" t="s">
        <v>40</v>
      </c>
      <c r="G2115" s="6">
        <f ca="1">IFERROR(__xludf.DUMMYFUNCTION("iferror(GOOGLEFINANCE(TRIM(F2115)&amp;"":"" &amp; TRIM(B2115), ""price""),0
)"),169)</f>
        <v>169</v>
      </c>
      <c r="H2115" s="6">
        <v>270</v>
      </c>
      <c r="I2115" s="6">
        <f t="shared" ca="1" si="0"/>
        <v>169</v>
      </c>
      <c r="J2115" s="6">
        <f ca="1">IFERROR(__xludf.DUMMYFUNCTION("IFERROR(GOOGLEFINANCE(B2115, ""volume""), 0)"),5176)</f>
        <v>5176</v>
      </c>
      <c r="K2115" s="6">
        <v>0.2</v>
      </c>
      <c r="L2115" s="6">
        <f ca="1">IFERROR(__xludf.DUMMYFUNCTION("IFERROR(GOOGLEFINANCE(B2115,""changepct""),K2115)"),-5.23)</f>
        <v>-5.23</v>
      </c>
      <c r="M2115" s="6">
        <f ca="1">IFERROR(__xludf.DUMMYFUNCTION("IFERROR(GOOGLEFINANCE(B2115,""change""),0)"),-9.32)</f>
        <v>-9.32</v>
      </c>
      <c r="N2115" s="6">
        <v>1</v>
      </c>
      <c r="O2115" s="7">
        <v>45536</v>
      </c>
      <c r="P2115" s="6">
        <v>3.39</v>
      </c>
      <c r="Q2115" s="6">
        <v>676.99</v>
      </c>
      <c r="R2115" s="7">
        <v>45352</v>
      </c>
      <c r="S2115" s="6">
        <v>1699.67</v>
      </c>
      <c r="T2115" s="6">
        <v>31.26</v>
      </c>
      <c r="U2115" s="7">
        <v>45352</v>
      </c>
      <c r="V2115" s="6">
        <v>21.55</v>
      </c>
      <c r="W2115" s="6">
        <f ca="1">IFERROR(__xludf.DUMMYFUNCTION("IFERROR(GOOGLEFINANCE(B2115,""pe""),V2115)"),11.51)</f>
        <v>11.51</v>
      </c>
      <c r="X2115" s="9"/>
      <c r="Y2115" s="6">
        <v>2.13</v>
      </c>
      <c r="Z2115" s="6">
        <v>2</v>
      </c>
      <c r="AA2115" s="8">
        <v>45352</v>
      </c>
      <c r="AB2115" s="4">
        <v>0.35</v>
      </c>
      <c r="AC2115" s="6">
        <v>10.49</v>
      </c>
      <c r="AD2115" s="6">
        <v>12.98</v>
      </c>
      <c r="AE2115" s="1">
        <v>0</v>
      </c>
      <c r="AF2115" s="1">
        <f ca="1">IFERROR(__xludf.DUMMYFUNCTION("IFERROR(GOOGLEFINANCE(TRIM(F2115)&amp;"":"" &amp; TRIM(B2115),""high52""),AE2115)"),213)</f>
        <v>213</v>
      </c>
      <c r="AG2115" s="1">
        <v>0</v>
      </c>
      <c r="AH2115" s="1">
        <f ca="1">IFERROR(__xludf.DUMMYFUNCTION("IFERROR(GOOGLEFINANCE(TRIM(F2115)&amp;"":"" &amp; TRIM(B2115),""low52""),AE2115)"),153.95)</f>
        <v>153.94999999999999</v>
      </c>
      <c r="AI2115" s="1">
        <f ca="1">IFERROR(__xludf.DUMMYFUNCTION("IFERROR(GOOGLEFINANCE(B2115,""eps""),0)"),14.68)</f>
        <v>14.68</v>
      </c>
      <c r="AJ2115" s="1"/>
      <c r="AK2115" s="1" t="s">
        <v>6571</v>
      </c>
      <c r="AL2115" s="9">
        <f t="shared" si="231"/>
        <v>1</v>
      </c>
    </row>
    <row r="2116" spans="1:38" ht="15" x14ac:dyDescent="0.25">
      <c r="A2116" s="1" t="s">
        <v>6572</v>
      </c>
      <c r="B2116" s="1" t="s">
        <v>6573</v>
      </c>
      <c r="C2116" s="1" t="s">
        <v>2152</v>
      </c>
      <c r="D2116" s="1" t="s">
        <v>2152</v>
      </c>
      <c r="E2116" s="6">
        <v>2453.12</v>
      </c>
      <c r="F2116" s="1" t="s">
        <v>40</v>
      </c>
      <c r="G2116" s="6">
        <f ca="1">IFERROR(__xludf.DUMMYFUNCTION("iferror(GOOGLEFINANCE(TRIM(F2116)&amp;"":"" &amp; TRIM(B2116), ""price""),0
)"),1757.3)</f>
        <v>1757.3</v>
      </c>
      <c r="H2116" s="6">
        <v>2225.15</v>
      </c>
      <c r="I2116" s="6">
        <f t="shared" ca="1" si="0"/>
        <v>1757.3</v>
      </c>
      <c r="J2116" s="6">
        <f ca="1">IFERROR(__xludf.DUMMYFUNCTION("IFERROR(GOOGLEFINANCE(B2116, ""volume""), 0)"),160969)</f>
        <v>160969</v>
      </c>
      <c r="K2116" s="6">
        <v>-1.65</v>
      </c>
      <c r="L2116" s="6">
        <f ca="1">IFERROR(__xludf.DUMMYFUNCTION("IFERROR(GOOGLEFINANCE(B2116,""changepct""),K2116)"),5.13)</f>
        <v>5.13</v>
      </c>
      <c r="M2116" s="6">
        <f ca="1">IFERROR(__xludf.DUMMYFUNCTION("IFERROR(GOOGLEFINANCE(B2116,""change""),0)"),85.8)</f>
        <v>85.8</v>
      </c>
      <c r="N2116" s="6">
        <v>1</v>
      </c>
      <c r="O2116" s="7">
        <v>45536</v>
      </c>
      <c r="P2116" s="6">
        <v>52.93</v>
      </c>
      <c r="Q2116" s="6">
        <v>2465.1999999999998</v>
      </c>
      <c r="R2116" s="7">
        <v>45352</v>
      </c>
      <c r="S2116" s="6">
        <v>139.28</v>
      </c>
      <c r="T2116" s="6">
        <v>27.24</v>
      </c>
      <c r="U2116" s="7">
        <v>45352</v>
      </c>
      <c r="V2116" s="6">
        <v>90.04</v>
      </c>
      <c r="W2116" s="6">
        <f ca="1">IFERROR(__xludf.DUMMYFUNCTION("IFERROR(GOOGLEFINANCE(B2116,""pe""),V2116)"),77.31)</f>
        <v>77.31</v>
      </c>
      <c r="X2116" s="9"/>
      <c r="Y2116" s="6">
        <v>15.5</v>
      </c>
      <c r="Z2116" s="6">
        <v>2</v>
      </c>
      <c r="AA2116" s="8">
        <v>45352</v>
      </c>
      <c r="AB2116" s="4">
        <v>0.36</v>
      </c>
      <c r="AC2116" s="6">
        <v>21.92</v>
      </c>
      <c r="AD2116" s="6">
        <v>24.35</v>
      </c>
      <c r="AE2116" s="1">
        <v>0</v>
      </c>
      <c r="AF2116" s="1">
        <f ca="1">IFERROR(__xludf.DUMMYFUNCTION("IFERROR(GOOGLEFINANCE(TRIM(F2116)&amp;"":"" &amp; TRIM(B2116),""high52""),AE2116)"),1959.3)</f>
        <v>1959.3</v>
      </c>
      <c r="AG2116" s="1">
        <v>0</v>
      </c>
      <c r="AH2116" s="1">
        <f ca="1">IFERROR(__xludf.DUMMYFUNCTION("IFERROR(GOOGLEFINANCE(TRIM(F2116)&amp;"":"" &amp; TRIM(B2116),""low52""),AE2116)"),632.03)</f>
        <v>632.03</v>
      </c>
      <c r="AI2116" s="1">
        <f ca="1">IFERROR(__xludf.DUMMYFUNCTION("IFERROR(GOOGLEFINANCE(B2116,""eps""),0)"),22.73)</f>
        <v>22.73</v>
      </c>
      <c r="AJ2116" s="1"/>
      <c r="AK2116" s="1" t="s">
        <v>6574</v>
      </c>
      <c r="AL2116" s="9">
        <f t="shared" si="231"/>
        <v>1</v>
      </c>
    </row>
    <row r="2117" spans="1:38" ht="15" x14ac:dyDescent="0.25">
      <c r="A2117" s="1" t="s">
        <v>6575</v>
      </c>
      <c r="B2117" s="1" t="s">
        <v>6576</v>
      </c>
      <c r="C2117" s="1" t="s">
        <v>208</v>
      </c>
      <c r="D2117" s="1" t="s">
        <v>208</v>
      </c>
      <c r="E2117" s="6">
        <v>191.89</v>
      </c>
      <c r="F2117" s="1" t="s">
        <v>53</v>
      </c>
      <c r="G2117" s="6">
        <f ca="1">IFERROR(__xludf.DUMMYFUNCTION("iferror(GOOGLEFINANCE(TRIM(F2117)&amp;"":"" &amp; TRIM(B2117), ""price""),0
)"),0)</f>
        <v>0</v>
      </c>
      <c r="H2117" s="6">
        <v>256</v>
      </c>
      <c r="I2117" s="6">
        <f t="shared" ca="1" si="0"/>
        <v>256</v>
      </c>
      <c r="J2117" s="6">
        <f ca="1">IFERROR(__xludf.DUMMYFUNCTION("IFERROR(GOOGLEFINANCE(B2117, ""volume""), 0)"),0)</f>
        <v>0</v>
      </c>
      <c r="K2117" s="6">
        <v>-0.31</v>
      </c>
      <c r="L2117" s="6">
        <f ca="1">IFERROR(__xludf.DUMMYFUNCTION("IFERROR(GOOGLEFINANCE(B2117,""changepct""),K2117)"),-0.31)</f>
        <v>-0.31</v>
      </c>
      <c r="M2117" s="6">
        <f ca="1">IFERROR(__xludf.DUMMYFUNCTION("IFERROR(GOOGLEFINANCE(B2117,""change""),0)"),0)</f>
        <v>0</v>
      </c>
      <c r="N2117" s="6">
        <v>2</v>
      </c>
      <c r="O2117" s="7">
        <v>45536</v>
      </c>
      <c r="P2117" s="6">
        <v>10.09</v>
      </c>
      <c r="Q2117" s="7">
        <v>45536</v>
      </c>
      <c r="R2117" s="6">
        <v>30.19</v>
      </c>
      <c r="S2117" s="6">
        <v>1.1499999999999999</v>
      </c>
      <c r="T2117" s="6">
        <v>3.57</v>
      </c>
      <c r="U2117" s="6">
        <v>2</v>
      </c>
      <c r="V2117" s="7">
        <v>45352</v>
      </c>
      <c r="W2117" s="10">
        <f ca="1">IFERROR(__xludf.DUMMYFUNCTION("IFERROR(GOOGLEFINANCE(B2117,""pe""),V2117)"),45352)</f>
        <v>45352</v>
      </c>
      <c r="X2117" s="6">
        <v>0.38</v>
      </c>
      <c r="Y2117" s="6">
        <v>23.54</v>
      </c>
      <c r="Z2117" s="6">
        <v>24.88</v>
      </c>
      <c r="AA2117" s="3" t="s">
        <v>6577</v>
      </c>
      <c r="AB2117" s="11"/>
      <c r="AC2117" s="9"/>
      <c r="AD2117" s="9"/>
      <c r="AE2117" s="1">
        <v>0</v>
      </c>
      <c r="AF2117" s="1">
        <f ca="1">IFERROR(__xludf.DUMMYFUNCTION("IFERROR(GOOGLEFINANCE(TRIM(F2117)&amp;"":"" &amp; TRIM(B2117),""high52""),AE2117)"),0)</f>
        <v>0</v>
      </c>
      <c r="AG2117" s="1">
        <v>0</v>
      </c>
      <c r="AH2117" s="1">
        <f ca="1">IFERROR(__xludf.DUMMYFUNCTION("IFERROR(GOOGLEFINANCE(TRIM(F2117)&amp;"":"" &amp; TRIM(B2117),""low52""),AE2117)"),0)</f>
        <v>0</v>
      </c>
      <c r="AI2117" s="1">
        <f ca="1">IFERROR(__xludf.DUMMYFUNCTION("IFERROR(GOOGLEFINANCE(B2117,""eps""),0)"),0)</f>
        <v>0</v>
      </c>
      <c r="AJ2117" s="1"/>
      <c r="AK2117" s="1" t="s">
        <v>6578</v>
      </c>
      <c r="AL2117" s="9">
        <f t="shared" si="231"/>
        <v>1</v>
      </c>
    </row>
    <row r="2118" spans="1:38" ht="15" x14ac:dyDescent="0.25">
      <c r="A2118" s="1" t="s">
        <v>6579</v>
      </c>
      <c r="B2118" s="1" t="s">
        <v>6580</v>
      </c>
      <c r="C2118" s="1" t="s">
        <v>86</v>
      </c>
      <c r="D2118" s="1" t="s">
        <v>86</v>
      </c>
      <c r="E2118" s="6">
        <v>9723.69</v>
      </c>
      <c r="F2118" s="1" t="s">
        <v>40</v>
      </c>
      <c r="G2118" s="6">
        <f ca="1">IFERROR(__xludf.DUMMYFUNCTION("iferror(GOOGLEFINANCE(TRIM(F2118)&amp;"":"" &amp; TRIM(B2118), ""price""),0
)"),150.22)</f>
        <v>150.22</v>
      </c>
      <c r="H2118" s="6">
        <v>348.35</v>
      </c>
      <c r="I2118" s="6">
        <f t="shared" ca="1" si="0"/>
        <v>150.22</v>
      </c>
      <c r="J2118" s="6">
        <f ca="1">IFERROR(__xludf.DUMMYFUNCTION("IFERROR(GOOGLEFINANCE(B2118, ""volume""), 0)"),5739389)</f>
        <v>5739389</v>
      </c>
      <c r="K2118" s="6">
        <v>0.74</v>
      </c>
      <c r="L2118" s="6">
        <f ca="1">IFERROR(__xludf.DUMMYFUNCTION("IFERROR(GOOGLEFINANCE(B2118,""changepct""),K2118)"),6.15)</f>
        <v>6.15</v>
      </c>
      <c r="M2118" s="6">
        <f ca="1">IFERROR(__xludf.DUMMYFUNCTION("IFERROR(GOOGLEFINANCE(B2118,""change""),0)"),8.7)</f>
        <v>8.6999999999999993</v>
      </c>
      <c r="N2118" s="6">
        <v>2</v>
      </c>
      <c r="O2118" s="7">
        <v>45536</v>
      </c>
      <c r="P2118" s="6">
        <v>1400.57</v>
      </c>
      <c r="Q2118" s="6">
        <v>10711.66</v>
      </c>
      <c r="R2118" s="7">
        <v>45536</v>
      </c>
      <c r="S2118" s="6">
        <v>5339.88</v>
      </c>
      <c r="T2118" s="6">
        <v>1226.07</v>
      </c>
      <c r="U2118" s="7">
        <v>45536</v>
      </c>
      <c r="V2118" s="6">
        <v>8.7799999999999994</v>
      </c>
      <c r="W2118" s="6">
        <f ca="1">IFERROR(__xludf.DUMMYFUNCTION("IFERROR(GOOGLEFINANCE(B2118,""pe""),V2118)"),6.86)</f>
        <v>6.86</v>
      </c>
      <c r="X2118" s="6">
        <v>0.38</v>
      </c>
      <c r="Y2118" s="6">
        <v>2.34</v>
      </c>
      <c r="Z2118" s="6">
        <v>2</v>
      </c>
      <c r="AA2118" s="8">
        <v>45352</v>
      </c>
      <c r="AB2118" s="4">
        <v>0.35</v>
      </c>
      <c r="AC2118" s="6">
        <v>23.82</v>
      </c>
      <c r="AD2118" s="6">
        <v>25.6</v>
      </c>
      <c r="AE2118" s="1">
        <v>0</v>
      </c>
      <c r="AF2118" s="1">
        <f ca="1">IFERROR(__xludf.DUMMYFUNCTION("IFERROR(GOOGLEFINANCE(TRIM(F2118)&amp;"":"" &amp; TRIM(B2118),""high52""),AE2118)"),300.75)</f>
        <v>300.75</v>
      </c>
      <c r="AG2118" s="1">
        <v>0</v>
      </c>
      <c r="AH2118" s="1">
        <f ca="1">IFERROR(__xludf.DUMMYFUNCTION("IFERROR(GOOGLEFINANCE(TRIM(F2118)&amp;"":"" &amp; TRIM(B2118),""low52""),AE2118)"),130.28)</f>
        <v>130.28</v>
      </c>
      <c r="AI2118" s="1">
        <f ca="1">IFERROR(__xludf.DUMMYFUNCTION("IFERROR(GOOGLEFINANCE(B2118,""eps""),0)"),21.9)</f>
        <v>21.9</v>
      </c>
      <c r="AJ2118" s="1"/>
      <c r="AK2118" s="1" t="s">
        <v>6581</v>
      </c>
      <c r="AL2118" s="9">
        <f t="shared" si="231"/>
        <v>1</v>
      </c>
    </row>
    <row r="2119" spans="1:38" ht="15" x14ac:dyDescent="0.25">
      <c r="A2119" s="1" t="s">
        <v>6582</v>
      </c>
      <c r="B2119" s="1" t="s">
        <v>6583</v>
      </c>
      <c r="C2119" s="1" t="s">
        <v>57</v>
      </c>
      <c r="D2119" s="1" t="s">
        <v>57</v>
      </c>
      <c r="E2119" s="6">
        <v>2034</v>
      </c>
      <c r="F2119" s="1" t="s">
        <v>40</v>
      </c>
      <c r="G2119" s="6">
        <f ca="1">IFERROR(__xludf.DUMMYFUNCTION("iferror(GOOGLEFINANCE(TRIM(F2119)&amp;"":"" &amp; TRIM(B2119), ""price""),0
)"),0)</f>
        <v>0</v>
      </c>
      <c r="H2119" s="6">
        <v>1593.5</v>
      </c>
      <c r="I2119" s="6">
        <f t="shared" ca="1" si="0"/>
        <v>1593.5</v>
      </c>
      <c r="J2119" s="6">
        <f ca="1">IFERROR(__xludf.DUMMYFUNCTION("IFERROR(GOOGLEFINANCE(B2119, ""volume""), 0)"),0)</f>
        <v>0</v>
      </c>
      <c r="K2119" s="6">
        <v>-0.13</v>
      </c>
      <c r="L2119" s="6">
        <f ca="1">IFERROR(__xludf.DUMMYFUNCTION("IFERROR(GOOGLEFINANCE(B2119,""changepct""),K2119)"),-0.13)</f>
        <v>-0.13</v>
      </c>
      <c r="M2119" s="6">
        <f ca="1">IFERROR(__xludf.DUMMYFUNCTION("IFERROR(GOOGLEFINANCE(B2119,""change""),0)"),0)</f>
        <v>0</v>
      </c>
      <c r="N2119" s="6">
        <v>1</v>
      </c>
      <c r="O2119" s="7">
        <v>45536</v>
      </c>
      <c r="P2119" s="6">
        <v>11.04</v>
      </c>
      <c r="Q2119" s="6">
        <v>2045.04</v>
      </c>
      <c r="R2119" s="7">
        <v>45352</v>
      </c>
      <c r="S2119" s="6">
        <v>22.46</v>
      </c>
      <c r="T2119" s="6">
        <v>4.8899999999999997</v>
      </c>
      <c r="U2119" s="7">
        <v>45352</v>
      </c>
      <c r="V2119" s="6">
        <v>416.06</v>
      </c>
      <c r="W2119" s="6">
        <f ca="1">IFERROR(__xludf.DUMMYFUNCTION("IFERROR(GOOGLEFINANCE(B2119,""pe""),V2119)"),416.06)</f>
        <v>416.06</v>
      </c>
      <c r="X2119" s="9"/>
      <c r="Y2119" s="6">
        <v>46.78</v>
      </c>
      <c r="Z2119" s="6">
        <v>1</v>
      </c>
      <c r="AA2119" s="8">
        <v>45352</v>
      </c>
      <c r="AB2119" s="4">
        <v>0.03</v>
      </c>
      <c r="AC2119" s="6">
        <v>23.4</v>
      </c>
      <c r="AD2119" s="6">
        <v>28.44</v>
      </c>
      <c r="AE2119" s="1">
        <v>0</v>
      </c>
      <c r="AF2119" s="1">
        <f ca="1">IFERROR(__xludf.DUMMYFUNCTION("IFERROR(GOOGLEFINANCE(TRIM(F2119)&amp;"":"" &amp; TRIM(B2119),""high52""),AE2119)"),0)</f>
        <v>0</v>
      </c>
      <c r="AG2119" s="1">
        <v>0</v>
      </c>
      <c r="AH2119" s="1">
        <f ca="1">IFERROR(__xludf.DUMMYFUNCTION("IFERROR(GOOGLEFINANCE(TRIM(F2119)&amp;"":"" &amp; TRIM(B2119),""low52""),AE2119)"),0)</f>
        <v>0</v>
      </c>
      <c r="AI2119" s="1">
        <f ca="1">IFERROR(__xludf.DUMMYFUNCTION("IFERROR(GOOGLEFINANCE(B2119,""eps""),0)"),0)</f>
        <v>0</v>
      </c>
      <c r="AJ2119" s="1"/>
      <c r="AK2119" s="9"/>
      <c r="AL2119" s="9">
        <f t="shared" si="231"/>
        <v>1</v>
      </c>
    </row>
    <row r="2120" spans="1:38" ht="15" x14ac:dyDescent="0.25">
      <c r="A2120" s="1" t="s">
        <v>6584</v>
      </c>
      <c r="B2120" s="1" t="s">
        <v>6585</v>
      </c>
      <c r="C2120" s="1" t="s">
        <v>208</v>
      </c>
      <c r="D2120" s="1" t="s">
        <v>208</v>
      </c>
      <c r="E2120" s="6">
        <v>39.01</v>
      </c>
      <c r="F2120" s="1" t="s">
        <v>53</v>
      </c>
      <c r="G2120" s="6">
        <f ca="1">IFERROR(__xludf.DUMMYFUNCTION("iferror(GOOGLEFINANCE(TRIM(F2120)&amp;"":"" &amp; TRIM(B2120), ""price""),0
)"),0)</f>
        <v>0</v>
      </c>
      <c r="H2120" s="6">
        <v>66.3</v>
      </c>
      <c r="I2120" s="6">
        <f t="shared" ca="1" si="0"/>
        <v>66.3</v>
      </c>
      <c r="J2120" s="6">
        <f ca="1">IFERROR(__xludf.DUMMYFUNCTION("IFERROR(GOOGLEFINANCE(B2120, ""volume""), 0)"),0)</f>
        <v>0</v>
      </c>
      <c r="K2120" s="6">
        <v>2.17</v>
      </c>
      <c r="L2120" s="6">
        <f ca="1">IFERROR(__xludf.DUMMYFUNCTION("IFERROR(GOOGLEFINANCE(B2120,""changepct""),K2120)"),2.17)</f>
        <v>2.17</v>
      </c>
      <c r="M2120" s="6">
        <f ca="1">IFERROR(__xludf.DUMMYFUNCTION("IFERROR(GOOGLEFINANCE(B2120,""change""),0)"),0)</f>
        <v>0</v>
      </c>
      <c r="N2120" s="6">
        <v>2</v>
      </c>
      <c r="O2120" s="7">
        <v>45536</v>
      </c>
      <c r="P2120" s="6">
        <v>1.24</v>
      </c>
      <c r="Q2120" s="7">
        <v>45536</v>
      </c>
      <c r="R2120" s="6">
        <v>31.56</v>
      </c>
      <c r="S2120" s="6">
        <v>1.01</v>
      </c>
      <c r="T2120" s="6">
        <v>1.39</v>
      </c>
      <c r="U2120" s="6">
        <v>2</v>
      </c>
      <c r="V2120" s="7">
        <v>45352</v>
      </c>
      <c r="W2120" s="10">
        <f ca="1">IFERROR(__xludf.DUMMYFUNCTION("IFERROR(GOOGLEFINANCE(B2120,""pe""),V2120)"),45352)</f>
        <v>45352</v>
      </c>
      <c r="X2120" s="6">
        <v>2.2599999999999998</v>
      </c>
      <c r="Y2120" s="6">
        <v>2.4</v>
      </c>
      <c r="Z2120" s="6">
        <v>2.99</v>
      </c>
      <c r="AA2120" s="3" t="s">
        <v>6586</v>
      </c>
      <c r="AB2120" s="11"/>
      <c r="AC2120" s="9"/>
      <c r="AD2120" s="9"/>
      <c r="AE2120" s="1">
        <v>0</v>
      </c>
      <c r="AF2120" s="1">
        <f ca="1">IFERROR(__xludf.DUMMYFUNCTION("IFERROR(GOOGLEFINANCE(TRIM(F2120)&amp;"":"" &amp; TRIM(B2120),""high52""),AE2120)"),0)</f>
        <v>0</v>
      </c>
      <c r="AG2120" s="1">
        <v>0</v>
      </c>
      <c r="AH2120" s="1">
        <f ca="1">IFERROR(__xludf.DUMMYFUNCTION("IFERROR(GOOGLEFINANCE(TRIM(F2120)&amp;"":"" &amp; TRIM(B2120),""low52""),AE2120)"),0)</f>
        <v>0</v>
      </c>
      <c r="AI2120" s="1">
        <f ca="1">IFERROR(__xludf.DUMMYFUNCTION("IFERROR(GOOGLEFINANCE(B2120,""eps""),0)"),0)</f>
        <v>0</v>
      </c>
      <c r="AJ2120" s="1"/>
      <c r="AK2120" s="1" t="s">
        <v>6587</v>
      </c>
      <c r="AL2120" s="9">
        <f t="shared" si="231"/>
        <v>1</v>
      </c>
    </row>
    <row r="2121" spans="1:38" ht="15" x14ac:dyDescent="0.25">
      <c r="A2121" s="1" t="s">
        <v>6588</v>
      </c>
      <c r="B2121" s="1" t="s">
        <v>6589</v>
      </c>
      <c r="C2121" s="1" t="s">
        <v>208</v>
      </c>
      <c r="D2121" s="1" t="s">
        <v>208</v>
      </c>
      <c r="E2121" s="6">
        <v>318.42</v>
      </c>
      <c r="F2121" s="1" t="s">
        <v>53</v>
      </c>
      <c r="G2121" s="6">
        <f ca="1">IFERROR(__xludf.DUMMYFUNCTION("iferror(GOOGLEFINANCE(TRIM(F2121)&amp;"":"" &amp; TRIM(B2121), ""price""),0
)"),0)</f>
        <v>0</v>
      </c>
      <c r="H2121" s="6">
        <v>51.25</v>
      </c>
      <c r="I2121" s="6">
        <f t="shared" ca="1" si="0"/>
        <v>51.25</v>
      </c>
      <c r="J2121" s="6">
        <f ca="1">IFERROR(__xludf.DUMMYFUNCTION("IFERROR(GOOGLEFINANCE(B2121, ""volume""), 0)"),293734)</f>
        <v>293734</v>
      </c>
      <c r="K2121" s="6">
        <v>3.62</v>
      </c>
      <c r="L2121" s="6">
        <f ca="1">IFERROR(__xludf.DUMMYFUNCTION("IFERROR(GOOGLEFINANCE(B2121,""changepct""),K2121)"),-0.27)</f>
        <v>-0.27</v>
      </c>
      <c r="M2121" s="6">
        <f ca="1">IFERROR(__xludf.DUMMYFUNCTION("IFERROR(GOOGLEFINANCE(B2121,""change""),0)"),-0.02)</f>
        <v>-0.02</v>
      </c>
      <c r="N2121" s="6">
        <v>1</v>
      </c>
      <c r="O2121" s="7">
        <v>45536</v>
      </c>
      <c r="P2121" s="6">
        <v>9.81</v>
      </c>
      <c r="Q2121" s="7">
        <v>45536</v>
      </c>
      <c r="R2121" s="6">
        <v>32.450000000000003</v>
      </c>
      <c r="S2121" s="6">
        <v>0.76</v>
      </c>
      <c r="T2121" s="6">
        <v>4.51</v>
      </c>
      <c r="U2121" s="6">
        <v>1</v>
      </c>
      <c r="V2121" s="7">
        <v>45352</v>
      </c>
      <c r="W2121" s="10">
        <f ca="1">IFERROR(__xludf.DUMMYFUNCTION("IFERROR(GOOGLEFINANCE(B2121,""pe""),V2121)"),45352)</f>
        <v>45352</v>
      </c>
      <c r="X2121" s="6">
        <v>3.78</v>
      </c>
      <c r="Y2121" s="6">
        <v>24.91</v>
      </c>
      <c r="Z2121" s="6">
        <v>14.84</v>
      </c>
      <c r="AA2121" s="3" t="s">
        <v>6590</v>
      </c>
      <c r="AB2121" s="11"/>
      <c r="AC2121" s="9"/>
      <c r="AD2121" s="9"/>
      <c r="AE2121" s="1">
        <v>0</v>
      </c>
      <c r="AF2121" s="1">
        <f ca="1">IFERROR(__xludf.DUMMYFUNCTION("IFERROR(GOOGLEFINANCE(TRIM(F2121)&amp;"":"" &amp; TRIM(B2121),""high52""),AE2121)"),0)</f>
        <v>0</v>
      </c>
      <c r="AG2121" s="1">
        <v>0</v>
      </c>
      <c r="AH2121" s="1">
        <f ca="1">IFERROR(__xludf.DUMMYFUNCTION("IFERROR(GOOGLEFINANCE(TRIM(F2121)&amp;"":"" &amp; TRIM(B2121),""low52""),AE2121)"),0)</f>
        <v>0</v>
      </c>
      <c r="AI2121" s="1">
        <f ca="1">IFERROR(__xludf.DUMMYFUNCTION("IFERROR(GOOGLEFINANCE(B2121,""eps""),0)"),-0.07)</f>
        <v>-7.0000000000000007E-2</v>
      </c>
      <c r="AJ2121" s="1"/>
      <c r="AK2121" s="9"/>
      <c r="AL2121" s="9">
        <f t="shared" si="231"/>
        <v>1</v>
      </c>
    </row>
    <row r="2122" spans="1:38" ht="15" x14ac:dyDescent="0.25">
      <c r="A2122" s="1" t="s">
        <v>6591</v>
      </c>
      <c r="B2122" s="1" t="s">
        <v>6592</v>
      </c>
      <c r="C2122" s="1" t="s">
        <v>324</v>
      </c>
      <c r="D2122" s="1" t="s">
        <v>324</v>
      </c>
      <c r="E2122" s="6">
        <v>161.30000000000001</v>
      </c>
      <c r="F2122" s="1" t="s">
        <v>40</v>
      </c>
      <c r="G2122" s="6">
        <f ca="1">IFERROR(__xludf.DUMMYFUNCTION("iferror(GOOGLEFINANCE(TRIM(F2122)&amp;"":"" &amp; TRIM(B2122), ""price""),0
)"),23.78)</f>
        <v>23.78</v>
      </c>
      <c r="H2122" s="6">
        <v>43.02</v>
      </c>
      <c r="I2122" s="6">
        <f t="shared" ca="1" si="0"/>
        <v>23.78</v>
      </c>
      <c r="J2122" s="6">
        <f ca="1">IFERROR(__xludf.DUMMYFUNCTION("IFERROR(GOOGLEFINANCE(B2122, ""volume""), 0)"),55507)</f>
        <v>55507</v>
      </c>
      <c r="K2122" s="6">
        <v>-0.94</v>
      </c>
      <c r="L2122" s="6">
        <f ca="1">IFERROR(__xludf.DUMMYFUNCTION("IFERROR(GOOGLEFINANCE(B2122,""changepct""),K2122)"),0.3)</f>
        <v>0.3</v>
      </c>
      <c r="M2122" s="6">
        <f ca="1">IFERROR(__xludf.DUMMYFUNCTION("IFERROR(GOOGLEFINANCE(B2122,""change""),0)"),0.07)</f>
        <v>7.0000000000000007E-2</v>
      </c>
      <c r="N2122" s="6">
        <v>2</v>
      </c>
      <c r="O2122" s="7">
        <v>45536</v>
      </c>
      <c r="P2122" s="6">
        <v>676.82</v>
      </c>
      <c r="Q2122" s="6">
        <v>838.12</v>
      </c>
      <c r="R2122" s="7">
        <v>45536</v>
      </c>
      <c r="S2122" s="6">
        <v>94.69</v>
      </c>
      <c r="T2122" s="6">
        <v>-2.5</v>
      </c>
      <c r="U2122" s="7">
        <v>45536</v>
      </c>
      <c r="V2122" s="6">
        <v>0</v>
      </c>
      <c r="W2122" s="6">
        <f ca="1">IFERROR(__xludf.DUMMYFUNCTION("IFERROR(GOOGLEFINANCE(B2122,""pe""),V2122)"),0.24)</f>
        <v>0.24</v>
      </c>
      <c r="X2122" s="6">
        <v>0</v>
      </c>
      <c r="Y2122" s="6">
        <v>-0.24</v>
      </c>
      <c r="Z2122" s="6">
        <v>2</v>
      </c>
      <c r="AA2122" s="8">
        <v>45352</v>
      </c>
      <c r="AB2122" s="4">
        <v>-1.03</v>
      </c>
      <c r="AC2122" s="6">
        <v>0</v>
      </c>
      <c r="AD2122" s="6">
        <v>35.29</v>
      </c>
      <c r="AE2122" s="1">
        <v>0</v>
      </c>
      <c r="AF2122" s="1">
        <f ca="1">IFERROR(__xludf.DUMMYFUNCTION("IFERROR(GOOGLEFINANCE(TRIM(F2122)&amp;"":"" &amp; TRIM(B2122),""high52""),AE2122)"),45)</f>
        <v>45</v>
      </c>
      <c r="AG2122" s="1">
        <v>0</v>
      </c>
      <c r="AH2122" s="1">
        <f ca="1">IFERROR(__xludf.DUMMYFUNCTION("IFERROR(GOOGLEFINANCE(TRIM(F2122)&amp;"":"" &amp; TRIM(B2122),""low52""),AE2122)"),22.81)</f>
        <v>22.81</v>
      </c>
      <c r="AI2122" s="1">
        <f ca="1">IFERROR(__xludf.DUMMYFUNCTION("IFERROR(GOOGLEFINANCE(B2122,""eps""),0)"),98.85)</f>
        <v>98.85</v>
      </c>
      <c r="AJ2122" s="1"/>
      <c r="AK2122" s="1" t="s">
        <v>6593</v>
      </c>
      <c r="AL2122" s="9">
        <f t="shared" si="231"/>
        <v>1</v>
      </c>
    </row>
    <row r="2123" spans="1:38" ht="15" x14ac:dyDescent="0.25">
      <c r="A2123" s="1" t="s">
        <v>6594</v>
      </c>
      <c r="B2123" s="1" t="s">
        <v>6595</v>
      </c>
      <c r="C2123" s="1" t="s">
        <v>208</v>
      </c>
      <c r="D2123" s="1" t="s">
        <v>208</v>
      </c>
      <c r="E2123" s="6">
        <v>39.4</v>
      </c>
      <c r="F2123" s="1" t="s">
        <v>53</v>
      </c>
      <c r="G2123" s="6">
        <f ca="1">IFERROR(__xludf.DUMMYFUNCTION("iferror(GOOGLEFINANCE(TRIM(F2123)&amp;"":"" &amp; TRIM(B2123), ""price""),0
)"),0)</f>
        <v>0</v>
      </c>
      <c r="H2123" s="6">
        <v>41.71</v>
      </c>
      <c r="I2123" s="6">
        <f t="shared" ca="1" si="0"/>
        <v>41.71</v>
      </c>
      <c r="J2123" s="6">
        <f ca="1">IFERROR(__xludf.DUMMYFUNCTION("IFERROR(GOOGLEFINANCE(B2123, ""volume""), 0)"),0)</f>
        <v>0</v>
      </c>
      <c r="K2123" s="6">
        <v>-2</v>
      </c>
      <c r="L2123" s="6">
        <f ca="1">IFERROR(__xludf.DUMMYFUNCTION("IFERROR(GOOGLEFINANCE(B2123,""changepct""),K2123)"),-2)</f>
        <v>-2</v>
      </c>
      <c r="M2123" s="6">
        <f ca="1">IFERROR(__xludf.DUMMYFUNCTION("IFERROR(GOOGLEFINANCE(B2123,""change""),0)"),0)</f>
        <v>0</v>
      </c>
      <c r="N2123" s="6">
        <v>1</v>
      </c>
      <c r="O2123" s="7">
        <v>45536</v>
      </c>
      <c r="P2123" s="6">
        <v>1.18</v>
      </c>
      <c r="Q2123" s="7">
        <v>45536</v>
      </c>
      <c r="R2123" s="6">
        <v>33.25</v>
      </c>
      <c r="S2123" s="6">
        <v>0.77</v>
      </c>
      <c r="T2123" s="6">
        <v>2.06</v>
      </c>
      <c r="U2123" s="6">
        <v>1</v>
      </c>
      <c r="V2123" s="7">
        <v>45352</v>
      </c>
      <c r="W2123" s="10">
        <f ca="1">IFERROR(__xludf.DUMMYFUNCTION("IFERROR(GOOGLEFINANCE(B2123,""pe""),V2123)"),45352)</f>
        <v>45352</v>
      </c>
      <c r="X2123" s="6">
        <v>0.77</v>
      </c>
      <c r="Y2123" s="6">
        <v>4.84</v>
      </c>
      <c r="Z2123" s="6">
        <v>7.09</v>
      </c>
      <c r="AA2123" s="3" t="s">
        <v>6596</v>
      </c>
      <c r="AB2123" s="16"/>
      <c r="AC2123" s="12"/>
      <c r="AD2123" s="12"/>
      <c r="AE2123" s="1">
        <v>0</v>
      </c>
      <c r="AF2123" s="1">
        <f ca="1">IFERROR(__xludf.DUMMYFUNCTION("IFERROR(GOOGLEFINANCE(TRIM(F2123)&amp;"":"" &amp; TRIM(B2123),""high52""),AE2123)"),0)</f>
        <v>0</v>
      </c>
      <c r="AG2123" s="1">
        <v>0</v>
      </c>
      <c r="AH2123" s="1">
        <f ca="1">IFERROR(__xludf.DUMMYFUNCTION("IFERROR(GOOGLEFINANCE(TRIM(F2123)&amp;"":"" &amp; TRIM(B2123),""low52""),AE2123)"),0)</f>
        <v>0</v>
      </c>
      <c r="AI2123" s="1">
        <f ca="1">IFERROR(__xludf.DUMMYFUNCTION("IFERROR(GOOGLEFINANCE(B2123,""eps""),0)"),0)</f>
        <v>0</v>
      </c>
      <c r="AJ2123" s="1"/>
      <c r="AK2123" s="1" t="s">
        <v>6597</v>
      </c>
      <c r="AL2123" s="9">
        <f t="shared" si="231"/>
        <v>1</v>
      </c>
    </row>
    <row r="2124" spans="1:38" ht="15" x14ac:dyDescent="0.25">
      <c r="A2124" s="1" t="s">
        <v>6598</v>
      </c>
      <c r="B2124" s="1" t="s">
        <v>6599</v>
      </c>
      <c r="C2124" s="1" t="s">
        <v>2874</v>
      </c>
      <c r="D2124" s="1" t="s">
        <v>2874</v>
      </c>
      <c r="E2124" s="6">
        <v>1355.1</v>
      </c>
      <c r="F2124" s="1" t="s">
        <v>40</v>
      </c>
      <c r="G2124" s="6">
        <f ca="1">IFERROR(__xludf.DUMMYFUNCTION("iferror(GOOGLEFINANCE(TRIM(F2124)&amp;"":"" &amp; TRIM(B2124), ""price""),0
)"),82.3)</f>
        <v>82.3</v>
      </c>
      <c r="H2124" s="6">
        <v>134.46</v>
      </c>
      <c r="I2124" s="6">
        <f t="shared" ca="1" si="0"/>
        <v>82.3</v>
      </c>
      <c r="J2124" s="6">
        <f ca="1">IFERROR(__xludf.DUMMYFUNCTION("IFERROR(GOOGLEFINANCE(B2124, ""volume""), 0)"),100693)</f>
        <v>100693</v>
      </c>
      <c r="K2124" s="6">
        <v>-0.56999999999999995</v>
      </c>
      <c r="L2124" s="6">
        <f ca="1">IFERROR(__xludf.DUMMYFUNCTION("IFERROR(GOOGLEFINANCE(B2124,""changepct""),K2124)"),-4.77)</f>
        <v>-4.7699999999999996</v>
      </c>
      <c r="M2124" s="6">
        <f ca="1">IFERROR(__xludf.DUMMYFUNCTION("IFERROR(GOOGLEFINANCE(B2124,""change""),0)"),-4.12)</f>
        <v>-4.12</v>
      </c>
      <c r="N2124" s="6">
        <v>1</v>
      </c>
      <c r="O2124" s="7">
        <v>45536</v>
      </c>
      <c r="P2124" s="6">
        <v>24.57</v>
      </c>
      <c r="Q2124" s="6">
        <v>1368.53</v>
      </c>
      <c r="R2124" s="7">
        <v>45536</v>
      </c>
      <c r="S2124" s="6">
        <v>787.2</v>
      </c>
      <c r="T2124" s="6">
        <v>21.59</v>
      </c>
      <c r="U2124" s="7">
        <v>45536</v>
      </c>
      <c r="V2124" s="6">
        <v>62.76</v>
      </c>
      <c r="W2124" s="6">
        <f ca="1">IFERROR(__xludf.DUMMYFUNCTION("IFERROR(GOOGLEFINANCE(B2124,""pe""),V2124)"),44.52)</f>
        <v>44.52</v>
      </c>
      <c r="X2124" s="6">
        <v>2.66</v>
      </c>
      <c r="Y2124" s="6">
        <v>4.5599999999999996</v>
      </c>
      <c r="Z2124" s="6">
        <v>1</v>
      </c>
      <c r="AA2124" s="8">
        <v>45352</v>
      </c>
      <c r="AB2124" s="4">
        <v>0.22</v>
      </c>
      <c r="AC2124" s="6">
        <v>15.68</v>
      </c>
      <c r="AD2124" s="6">
        <v>18.71</v>
      </c>
      <c r="AE2124" s="1">
        <v>0</v>
      </c>
      <c r="AF2124" s="1">
        <f ca="1">IFERROR(__xludf.DUMMYFUNCTION("IFERROR(GOOGLEFINANCE(TRIM(F2124)&amp;"":"" &amp; TRIM(B2124),""high52""),AE2124)"),137.9)</f>
        <v>137.9</v>
      </c>
      <c r="AG2124" s="1">
        <v>0</v>
      </c>
      <c r="AH2124" s="1">
        <f ca="1">IFERROR(__xludf.DUMMYFUNCTION("IFERROR(GOOGLEFINANCE(TRIM(F2124)&amp;"":"" &amp; TRIM(B2124),""low52""),AE2124)"),80)</f>
        <v>80</v>
      </c>
      <c r="AI2124" s="1">
        <f ca="1">IFERROR(__xludf.DUMMYFUNCTION("IFERROR(GOOGLEFINANCE(B2124,""eps""),0)"),1.85)</f>
        <v>1.85</v>
      </c>
      <c r="AJ2124" s="1"/>
      <c r="AK2124" s="1" t="s">
        <v>6600</v>
      </c>
      <c r="AL2124" s="9">
        <f t="shared" si="231"/>
        <v>1</v>
      </c>
    </row>
    <row r="2125" spans="1:38" ht="15" x14ac:dyDescent="0.25">
      <c r="A2125" s="1" t="s">
        <v>6601</v>
      </c>
      <c r="B2125" s="1" t="s">
        <v>6602</v>
      </c>
      <c r="C2125" s="1" t="s">
        <v>487</v>
      </c>
      <c r="D2125" s="1" t="s">
        <v>487</v>
      </c>
      <c r="E2125" s="6">
        <v>2732.74</v>
      </c>
      <c r="F2125" s="1" t="s">
        <v>40</v>
      </c>
      <c r="G2125" s="6">
        <f ca="1">IFERROR(__xludf.DUMMYFUNCTION("iferror(GOOGLEFINANCE(TRIM(F2125)&amp;"":"" &amp; TRIM(B2125), ""price""),0
)"),360.5)</f>
        <v>360.5</v>
      </c>
      <c r="H2125" s="6">
        <v>360.35</v>
      </c>
      <c r="I2125" s="6">
        <f t="shared" ca="1" si="0"/>
        <v>360.5</v>
      </c>
      <c r="J2125" s="6">
        <f ca="1">IFERROR(__xludf.DUMMYFUNCTION("IFERROR(GOOGLEFINANCE(B2125, ""volume""), 0)"),44857)</f>
        <v>44857</v>
      </c>
      <c r="K2125" s="6">
        <v>0.33</v>
      </c>
      <c r="L2125" s="6">
        <f ca="1">IFERROR(__xludf.DUMMYFUNCTION("IFERROR(GOOGLEFINANCE(B2125,""changepct""),K2125)"),-3.26)</f>
        <v>-3.26</v>
      </c>
      <c r="M2125" s="6">
        <f ca="1">IFERROR(__xludf.DUMMYFUNCTION("IFERROR(GOOGLEFINANCE(B2125,""change""),0)"),-12.15)</f>
        <v>-12.15</v>
      </c>
      <c r="N2125" s="6">
        <v>2</v>
      </c>
      <c r="O2125" s="7">
        <v>45536</v>
      </c>
      <c r="P2125" s="6">
        <v>1216.3</v>
      </c>
      <c r="Q2125" s="6">
        <v>3421.56</v>
      </c>
      <c r="R2125" s="7">
        <v>45536</v>
      </c>
      <c r="S2125" s="6">
        <v>1251.21</v>
      </c>
      <c r="T2125" s="6">
        <v>-69.790000000000006</v>
      </c>
      <c r="U2125" s="7">
        <v>45536</v>
      </c>
      <c r="V2125" s="6">
        <v>0</v>
      </c>
      <c r="W2125" s="6">
        <f ca="1">IFERROR(__xludf.DUMMYFUNCTION("IFERROR(GOOGLEFINANCE(B2125,""pe""),V2125)"),42.23)</f>
        <v>42.23</v>
      </c>
      <c r="X2125" s="9"/>
      <c r="Y2125" s="6">
        <v>3.8</v>
      </c>
      <c r="Z2125" s="6">
        <v>2</v>
      </c>
      <c r="AA2125" s="8">
        <v>45352</v>
      </c>
      <c r="AB2125" s="4">
        <v>1.47</v>
      </c>
      <c r="AC2125" s="6">
        <v>-8.43</v>
      </c>
      <c r="AD2125" s="6">
        <v>1.68</v>
      </c>
      <c r="AE2125" s="1">
        <v>0</v>
      </c>
      <c r="AF2125" s="1">
        <f ca="1">IFERROR(__xludf.DUMMYFUNCTION("IFERROR(GOOGLEFINANCE(TRIM(F2125)&amp;"":"" &amp; TRIM(B2125),""high52""),AE2125)"),497.55)</f>
        <v>497.55</v>
      </c>
      <c r="AG2125" s="1">
        <v>0</v>
      </c>
      <c r="AH2125" s="1">
        <f ca="1">IFERROR(__xludf.DUMMYFUNCTION("IFERROR(GOOGLEFINANCE(TRIM(F2125)&amp;"":"" &amp; TRIM(B2125),""low52""),AE2125)"),239)</f>
        <v>239</v>
      </c>
      <c r="AI2125" s="1">
        <f ca="1">IFERROR(__xludf.DUMMYFUNCTION("IFERROR(GOOGLEFINANCE(B2125,""eps""),0)"),8.54)</f>
        <v>8.5399999999999991</v>
      </c>
      <c r="AJ2125" s="1"/>
      <c r="AK2125" s="1" t="s">
        <v>6603</v>
      </c>
      <c r="AL2125" s="9">
        <f t="shared" si="231"/>
        <v>1</v>
      </c>
    </row>
    <row r="2126" spans="1:38" ht="15" x14ac:dyDescent="0.25">
      <c r="A2126" s="1" t="s">
        <v>6604</v>
      </c>
      <c r="B2126" s="1" t="s">
        <v>6605</v>
      </c>
      <c r="C2126" s="1" t="s">
        <v>208</v>
      </c>
      <c r="D2126" s="1" t="s">
        <v>208</v>
      </c>
      <c r="E2126" s="6">
        <v>54.05</v>
      </c>
      <c r="F2126" s="1" t="s">
        <v>53</v>
      </c>
      <c r="G2126" s="6">
        <f ca="1">IFERROR(__xludf.DUMMYFUNCTION("iferror(GOOGLEFINANCE(TRIM(F2126)&amp;"":"" &amp; TRIM(B2126), ""price""),0
)"),0)</f>
        <v>0</v>
      </c>
      <c r="H2126" s="6">
        <v>110.7</v>
      </c>
      <c r="I2126" s="6">
        <f t="shared" ca="1" si="0"/>
        <v>110.7</v>
      </c>
      <c r="J2126" s="6">
        <f ca="1">IFERROR(__xludf.DUMMYFUNCTION("IFERROR(GOOGLEFINANCE(B2126, ""volume""), 0)"),0)</f>
        <v>0</v>
      </c>
      <c r="K2126" s="6">
        <v>-1.99</v>
      </c>
      <c r="L2126" s="6">
        <f ca="1">IFERROR(__xludf.DUMMYFUNCTION("IFERROR(GOOGLEFINANCE(B2126,""changepct""),K2126)"),-1.99)</f>
        <v>-1.99</v>
      </c>
      <c r="M2126" s="6">
        <f ca="1">IFERROR(__xludf.DUMMYFUNCTION("IFERROR(GOOGLEFINANCE(B2126,""change""),0)"),0)</f>
        <v>0</v>
      </c>
      <c r="N2126" s="6">
        <v>2</v>
      </c>
      <c r="O2126" s="7">
        <v>45536</v>
      </c>
      <c r="P2126" s="6">
        <v>1.67</v>
      </c>
      <c r="Q2126" s="7">
        <v>45536</v>
      </c>
      <c r="R2126" s="6">
        <v>34.65</v>
      </c>
      <c r="S2126" s="6">
        <v>1.39</v>
      </c>
      <c r="T2126" s="6">
        <v>0.3</v>
      </c>
      <c r="U2126" s="6">
        <v>2</v>
      </c>
      <c r="V2126" s="7">
        <v>45352</v>
      </c>
      <c r="W2126" s="10">
        <f ca="1">IFERROR(__xludf.DUMMYFUNCTION("IFERROR(GOOGLEFINANCE(B2126,""pe""),V2126)"),45352)</f>
        <v>45352</v>
      </c>
      <c r="X2126" s="6">
        <v>0.05</v>
      </c>
      <c r="Y2126" s="6">
        <v>0.89</v>
      </c>
      <c r="Z2126" s="6">
        <v>1.84</v>
      </c>
      <c r="AA2126" s="3" t="s">
        <v>6606</v>
      </c>
      <c r="AB2126" s="11"/>
      <c r="AC2126" s="9"/>
      <c r="AD2126" s="9"/>
      <c r="AE2126" s="1">
        <v>0</v>
      </c>
      <c r="AF2126" s="1">
        <f ca="1">IFERROR(__xludf.DUMMYFUNCTION("IFERROR(GOOGLEFINANCE(TRIM(F2126)&amp;"":"" &amp; TRIM(B2126),""high52""),AE2126)"),0)</f>
        <v>0</v>
      </c>
      <c r="AG2126" s="1">
        <v>0</v>
      </c>
      <c r="AH2126" s="1">
        <f ca="1">IFERROR(__xludf.DUMMYFUNCTION("IFERROR(GOOGLEFINANCE(TRIM(F2126)&amp;"":"" &amp; TRIM(B2126),""low52""),AE2126)"),0)</f>
        <v>0</v>
      </c>
      <c r="AI2126" s="1">
        <f ca="1">IFERROR(__xludf.DUMMYFUNCTION("IFERROR(GOOGLEFINANCE(B2126,""eps""),0)"),0)</f>
        <v>0</v>
      </c>
      <c r="AJ2126" s="1"/>
      <c r="AK2126" s="1" t="s">
        <v>6607</v>
      </c>
      <c r="AL2126" s="9">
        <f t="shared" si="231"/>
        <v>1</v>
      </c>
    </row>
    <row r="2127" spans="1:38" ht="15" x14ac:dyDescent="0.25">
      <c r="A2127" s="1" t="s">
        <v>6608</v>
      </c>
      <c r="B2127" s="1" t="s">
        <v>6609</v>
      </c>
      <c r="C2127" s="1" t="s">
        <v>208</v>
      </c>
      <c r="D2127" s="1" t="s">
        <v>208</v>
      </c>
      <c r="E2127" s="6">
        <v>7.78</v>
      </c>
      <c r="F2127" s="1" t="s">
        <v>53</v>
      </c>
      <c r="G2127" s="6">
        <f ca="1">IFERROR(__xludf.DUMMYFUNCTION("iferror(GOOGLEFINANCE(TRIM(F2127)&amp;"":"" &amp; TRIM(B2127), ""price""),0
)"),0)</f>
        <v>0</v>
      </c>
      <c r="H2127" s="6">
        <v>23.59</v>
      </c>
      <c r="I2127" s="6">
        <f t="shared" ca="1" si="0"/>
        <v>23.59</v>
      </c>
      <c r="J2127" s="6">
        <f ca="1">IFERROR(__xludf.DUMMYFUNCTION("IFERROR(GOOGLEFINANCE(B2127, ""volume""), 0)"),0)</f>
        <v>0</v>
      </c>
      <c r="K2127" s="9"/>
      <c r="L2127" s="6" t="str">
        <f ca="1">IFERROR(__xludf.DUMMYFUNCTION("IFERROR(GOOGLEFINANCE(B2127,""changepct""),K2127)"),"")</f>
        <v/>
      </c>
      <c r="M2127" s="6">
        <f ca="1">IFERROR(__xludf.DUMMYFUNCTION("IFERROR(GOOGLEFINANCE(B2127,""change""),0)"),0)</f>
        <v>0</v>
      </c>
      <c r="N2127" s="6">
        <v>1</v>
      </c>
      <c r="O2127" s="7">
        <v>45536</v>
      </c>
      <c r="P2127" s="6">
        <v>0.22</v>
      </c>
      <c r="Q2127" s="7">
        <v>45536</v>
      </c>
      <c r="R2127" s="6">
        <v>35.07</v>
      </c>
      <c r="S2127" s="6">
        <v>0.72</v>
      </c>
      <c r="T2127" s="6">
        <v>1.3</v>
      </c>
      <c r="U2127" s="6">
        <v>1</v>
      </c>
      <c r="V2127" s="7">
        <v>45352</v>
      </c>
      <c r="W2127" s="10">
        <f ca="1">IFERROR(__xludf.DUMMYFUNCTION("IFERROR(GOOGLEFINANCE(B2127,""pe""),V2127)"),45352)</f>
        <v>45352</v>
      </c>
      <c r="X2127" s="6">
        <v>0</v>
      </c>
      <c r="Y2127" s="6">
        <v>4.2699999999999996</v>
      </c>
      <c r="Z2127" s="6">
        <v>5.76</v>
      </c>
      <c r="AA2127" s="3" t="s">
        <v>6610</v>
      </c>
      <c r="AB2127" s="11"/>
      <c r="AC2127" s="9"/>
      <c r="AD2127" s="9"/>
      <c r="AE2127" s="1">
        <v>0</v>
      </c>
      <c r="AF2127" s="1">
        <f ca="1">IFERROR(__xludf.DUMMYFUNCTION("IFERROR(GOOGLEFINANCE(TRIM(F2127)&amp;"":"" &amp; TRIM(B2127),""high52""),AE2127)"),0)</f>
        <v>0</v>
      </c>
      <c r="AG2127" s="1">
        <v>0</v>
      </c>
      <c r="AH2127" s="1">
        <f ca="1">IFERROR(__xludf.DUMMYFUNCTION("IFERROR(GOOGLEFINANCE(TRIM(F2127)&amp;"":"" &amp; TRIM(B2127),""low52""),AE2127)"),0)</f>
        <v>0</v>
      </c>
      <c r="AI2127" s="1">
        <f ca="1">IFERROR(__xludf.DUMMYFUNCTION("IFERROR(GOOGLEFINANCE(B2127,""eps""),0)"),0)</f>
        <v>0</v>
      </c>
      <c r="AJ2127" s="1"/>
      <c r="AK2127" s="1" t="s">
        <v>6611</v>
      </c>
      <c r="AL2127" s="9">
        <f t="shared" si="231"/>
        <v>1</v>
      </c>
    </row>
    <row r="2128" spans="1:38" ht="15" x14ac:dyDescent="0.25">
      <c r="A2128" s="1" t="s">
        <v>6612</v>
      </c>
      <c r="B2128" s="1" t="s">
        <v>6613</v>
      </c>
      <c r="C2128" s="1" t="s">
        <v>208</v>
      </c>
      <c r="D2128" s="1" t="s">
        <v>208</v>
      </c>
      <c r="E2128" s="6">
        <v>718.32</v>
      </c>
      <c r="F2128" s="1" t="s">
        <v>53</v>
      </c>
      <c r="G2128" s="6">
        <f ca="1">IFERROR(__xludf.DUMMYFUNCTION("iferror(GOOGLEFINANCE(TRIM(F2128)&amp;"":"" &amp; TRIM(B2128), ""price""),0
)"),0)</f>
        <v>0</v>
      </c>
      <c r="H2128" s="6">
        <v>1850</v>
      </c>
      <c r="I2128" s="6">
        <f t="shared" ca="1" si="0"/>
        <v>1850</v>
      </c>
      <c r="J2128" s="6">
        <f ca="1">IFERROR(__xludf.DUMMYFUNCTION("IFERROR(GOOGLEFINANCE(B2128, ""volume""), 0)"),0)</f>
        <v>0</v>
      </c>
      <c r="K2128" s="6">
        <v>-1.01</v>
      </c>
      <c r="L2128" s="6">
        <f ca="1">IFERROR(__xludf.DUMMYFUNCTION("IFERROR(GOOGLEFINANCE(B2128,""changepct""),K2128)"),-1.01)</f>
        <v>-1.01</v>
      </c>
      <c r="M2128" s="6">
        <f ca="1">IFERROR(__xludf.DUMMYFUNCTION("IFERROR(GOOGLEFINANCE(B2128,""change""),0)"),0)</f>
        <v>0</v>
      </c>
      <c r="N2128" s="6">
        <v>2</v>
      </c>
      <c r="O2128" s="7">
        <v>45536</v>
      </c>
      <c r="P2128" s="6">
        <v>20.329999999999998</v>
      </c>
      <c r="Q2128" s="7">
        <v>45536</v>
      </c>
      <c r="R2128" s="6">
        <v>35.33</v>
      </c>
      <c r="S2128" s="9"/>
      <c r="T2128" s="6">
        <v>6.99</v>
      </c>
      <c r="U2128" s="6">
        <v>2</v>
      </c>
      <c r="V2128" s="7">
        <v>45352</v>
      </c>
      <c r="W2128" s="10">
        <f ca="1">IFERROR(__xludf.DUMMYFUNCTION("IFERROR(GOOGLEFINANCE(B2128,""pe""),V2128)"),45352)</f>
        <v>45352</v>
      </c>
      <c r="X2128" s="6">
        <v>0</v>
      </c>
      <c r="Y2128" s="6">
        <v>33.71</v>
      </c>
      <c r="Z2128" s="6">
        <v>20.63</v>
      </c>
      <c r="AA2128" s="3" t="s">
        <v>6614</v>
      </c>
      <c r="AB2128" s="11"/>
      <c r="AC2128" s="9"/>
      <c r="AD2128" s="9"/>
      <c r="AE2128" s="1">
        <v>0</v>
      </c>
      <c r="AF2128" s="1">
        <f ca="1">IFERROR(__xludf.DUMMYFUNCTION("IFERROR(GOOGLEFINANCE(TRIM(F2128)&amp;"":"" &amp; TRIM(B2128),""high52""),AE2128)"),0)</f>
        <v>0</v>
      </c>
      <c r="AG2128" s="1">
        <v>0</v>
      </c>
      <c r="AH2128" s="1">
        <f ca="1">IFERROR(__xludf.DUMMYFUNCTION("IFERROR(GOOGLEFINANCE(TRIM(F2128)&amp;"":"" &amp; TRIM(B2128),""low52""),AE2128)"),0)</f>
        <v>0</v>
      </c>
      <c r="AI2128" s="1">
        <f ca="1">IFERROR(__xludf.DUMMYFUNCTION("IFERROR(GOOGLEFINANCE(B2128,""eps""),0)"),0)</f>
        <v>0</v>
      </c>
      <c r="AJ2128" s="1"/>
      <c r="AK2128" s="1" t="s">
        <v>6615</v>
      </c>
      <c r="AL2128" s="9">
        <f t="shared" si="231"/>
        <v>1</v>
      </c>
    </row>
    <row r="2129" spans="1:38" ht="15" x14ac:dyDescent="0.25">
      <c r="A2129" s="1" t="s">
        <v>6616</v>
      </c>
      <c r="B2129" s="1" t="s">
        <v>6617</v>
      </c>
      <c r="C2129" s="1" t="s">
        <v>208</v>
      </c>
      <c r="D2129" s="1" t="s">
        <v>208</v>
      </c>
      <c r="E2129" s="6">
        <v>51.34</v>
      </c>
      <c r="F2129" s="1" t="s">
        <v>53</v>
      </c>
      <c r="G2129" s="6">
        <f ca="1">IFERROR(__xludf.DUMMYFUNCTION("iferror(GOOGLEFINANCE(TRIM(F2129)&amp;"":"" &amp; TRIM(B2129), ""price""),0
)"),0)</f>
        <v>0</v>
      </c>
      <c r="H2129" s="6">
        <v>5.16</v>
      </c>
      <c r="I2129" s="6">
        <f t="shared" ca="1" si="0"/>
        <v>5.16</v>
      </c>
      <c r="J2129" s="6">
        <f ca="1">IFERROR(__xludf.DUMMYFUNCTION("IFERROR(GOOGLEFINANCE(B2129, ""volume""), 0)"),0)</f>
        <v>0</v>
      </c>
      <c r="K2129" s="6">
        <v>0.98</v>
      </c>
      <c r="L2129" s="6">
        <f ca="1">IFERROR(__xludf.DUMMYFUNCTION("IFERROR(GOOGLEFINANCE(B2129,""changepct""),K2129)"),0.98)</f>
        <v>0.98</v>
      </c>
      <c r="M2129" s="6">
        <f ca="1">IFERROR(__xludf.DUMMYFUNCTION("IFERROR(GOOGLEFINANCE(B2129,""change""),0)"),0)</f>
        <v>0</v>
      </c>
      <c r="N2129" s="6">
        <v>2</v>
      </c>
      <c r="O2129" s="7">
        <v>45536</v>
      </c>
      <c r="P2129" s="6">
        <v>2.2799999999999998</v>
      </c>
      <c r="Q2129" s="7">
        <v>45536</v>
      </c>
      <c r="R2129" s="6">
        <v>41.14</v>
      </c>
      <c r="S2129" s="6">
        <v>-3.78</v>
      </c>
      <c r="T2129" s="6">
        <v>1.29</v>
      </c>
      <c r="U2129" s="6">
        <v>2</v>
      </c>
      <c r="V2129" s="7">
        <v>45352</v>
      </c>
      <c r="W2129" s="10">
        <f ca="1">IFERROR(__xludf.DUMMYFUNCTION("IFERROR(GOOGLEFINANCE(B2129,""pe""),V2129)"),45352)</f>
        <v>45352</v>
      </c>
      <c r="X2129" s="6">
        <v>0.04</v>
      </c>
      <c r="Y2129" s="6">
        <v>5.41</v>
      </c>
      <c r="Z2129" s="6">
        <v>6.85</v>
      </c>
      <c r="AA2129" s="3" t="s">
        <v>6618</v>
      </c>
      <c r="AB2129" s="11"/>
      <c r="AC2129" s="9"/>
      <c r="AD2129" s="9"/>
      <c r="AE2129" s="1">
        <v>0</v>
      </c>
      <c r="AF2129" s="1">
        <f ca="1">IFERROR(__xludf.DUMMYFUNCTION("IFERROR(GOOGLEFINANCE(TRIM(F2129)&amp;"":"" &amp; TRIM(B2129),""high52""),AE2129)"),0)</f>
        <v>0</v>
      </c>
      <c r="AG2129" s="1">
        <v>0</v>
      </c>
      <c r="AH2129" s="1">
        <f ca="1">IFERROR(__xludf.DUMMYFUNCTION("IFERROR(GOOGLEFINANCE(TRIM(F2129)&amp;"":"" &amp; TRIM(B2129),""low52""),AE2129)"),0)</f>
        <v>0</v>
      </c>
      <c r="AI2129" s="1">
        <f ca="1">IFERROR(__xludf.DUMMYFUNCTION("IFERROR(GOOGLEFINANCE(B2129,""eps""),0)"),0)</f>
        <v>0</v>
      </c>
      <c r="AJ2129" s="1"/>
      <c r="AK2129" s="1" t="s">
        <v>6619</v>
      </c>
      <c r="AL2129" s="9">
        <f t="shared" si="231"/>
        <v>1</v>
      </c>
    </row>
    <row r="2130" spans="1:38" ht="15" x14ac:dyDescent="0.25">
      <c r="A2130" s="1" t="s">
        <v>6620</v>
      </c>
      <c r="B2130" s="1" t="s">
        <v>6621</v>
      </c>
      <c r="C2130" s="1" t="s">
        <v>208</v>
      </c>
      <c r="D2130" s="1" t="s">
        <v>208</v>
      </c>
      <c r="E2130" s="6">
        <v>550.92999999999995</v>
      </c>
      <c r="F2130" s="1" t="s">
        <v>53</v>
      </c>
      <c r="G2130" s="6">
        <f ca="1">IFERROR(__xludf.DUMMYFUNCTION("iferror(GOOGLEFINANCE(TRIM(F2130)&amp;"":"" &amp; TRIM(B2130), ""price""),0
)"),0)</f>
        <v>0</v>
      </c>
      <c r="H2130" s="6">
        <v>705.5</v>
      </c>
      <c r="I2130" s="6">
        <f t="shared" ca="1" si="0"/>
        <v>705.5</v>
      </c>
      <c r="J2130" s="6">
        <f ca="1">IFERROR(__xludf.DUMMYFUNCTION("IFERROR(GOOGLEFINANCE(B2130, ""volume""), 0)"),0)</f>
        <v>0</v>
      </c>
      <c r="K2130" s="6">
        <v>-1.1100000000000001</v>
      </c>
      <c r="L2130" s="6">
        <f ca="1">IFERROR(__xludf.DUMMYFUNCTION("IFERROR(GOOGLEFINANCE(B2130,""changepct""),K2130)"),-1.11)</f>
        <v>-1.1100000000000001</v>
      </c>
      <c r="M2130" s="6">
        <f ca="1">IFERROR(__xludf.DUMMYFUNCTION("IFERROR(GOOGLEFINANCE(B2130,""change""),0)"),0)</f>
        <v>0</v>
      </c>
      <c r="N2130" s="6">
        <v>1</v>
      </c>
      <c r="O2130" s="7">
        <v>45536</v>
      </c>
      <c r="P2130" s="6">
        <v>13.32</v>
      </c>
      <c r="Q2130" s="7">
        <v>45536</v>
      </c>
      <c r="R2130" s="6">
        <v>41.36</v>
      </c>
      <c r="S2130" s="6">
        <v>3.25</v>
      </c>
      <c r="T2130" s="6">
        <v>3.47</v>
      </c>
      <c r="U2130" s="6">
        <v>1</v>
      </c>
      <c r="V2130" s="7">
        <v>45352</v>
      </c>
      <c r="W2130" s="10">
        <f ca="1">IFERROR(__xludf.DUMMYFUNCTION("IFERROR(GOOGLEFINANCE(B2130,""pe""),V2130)"),45352)</f>
        <v>45352</v>
      </c>
      <c r="X2130" s="6">
        <v>0.6</v>
      </c>
      <c r="Y2130" s="6">
        <v>13.87</v>
      </c>
      <c r="Z2130" s="6">
        <v>15.8</v>
      </c>
      <c r="AA2130" s="3" t="s">
        <v>6622</v>
      </c>
      <c r="AB2130" s="11"/>
      <c r="AC2130" s="9"/>
      <c r="AD2130" s="9"/>
      <c r="AE2130" s="1">
        <v>0</v>
      </c>
      <c r="AF2130" s="1">
        <f ca="1">IFERROR(__xludf.DUMMYFUNCTION("IFERROR(GOOGLEFINANCE(TRIM(F2130)&amp;"":"" &amp; TRIM(B2130),""high52""),AE2130)"),0)</f>
        <v>0</v>
      </c>
      <c r="AG2130" s="1">
        <v>0</v>
      </c>
      <c r="AH2130" s="1">
        <f ca="1">IFERROR(__xludf.DUMMYFUNCTION("IFERROR(GOOGLEFINANCE(TRIM(F2130)&amp;"":"" &amp; TRIM(B2130),""low52""),AE2130)"),0)</f>
        <v>0</v>
      </c>
      <c r="AI2130" s="1">
        <f ca="1">IFERROR(__xludf.DUMMYFUNCTION("IFERROR(GOOGLEFINANCE(B2130,""eps""),0)"),0)</f>
        <v>0</v>
      </c>
      <c r="AJ2130" s="1"/>
      <c r="AK2130" s="1" t="s">
        <v>6623</v>
      </c>
      <c r="AL2130" s="9">
        <f t="shared" si="231"/>
        <v>1</v>
      </c>
    </row>
    <row r="2131" spans="1:38" ht="15" x14ac:dyDescent="0.25">
      <c r="A2131" s="1" t="s">
        <v>6624</v>
      </c>
      <c r="B2131" s="1" t="s">
        <v>6625</v>
      </c>
      <c r="C2131" s="1" t="s">
        <v>112</v>
      </c>
      <c r="D2131" s="1" t="s">
        <v>112</v>
      </c>
      <c r="E2131" s="6">
        <v>195.24</v>
      </c>
      <c r="F2131" s="1" t="s">
        <v>40</v>
      </c>
      <c r="G2131" s="6">
        <f ca="1">IFERROR(__xludf.DUMMYFUNCTION("iferror(GOOGLEFINANCE(TRIM(F2131)&amp;"":"" &amp; TRIM(B2131), ""price""),0
)"),0)</f>
        <v>0</v>
      </c>
      <c r="H2131" s="6">
        <v>131.85</v>
      </c>
      <c r="I2131" s="6">
        <f t="shared" ca="1" si="0"/>
        <v>131.85</v>
      </c>
      <c r="J2131" s="6">
        <f ca="1">IFERROR(__xludf.DUMMYFUNCTION("IFERROR(GOOGLEFINANCE(B2131, ""volume""), 0)"),0)</f>
        <v>0</v>
      </c>
      <c r="K2131" s="6">
        <v>1.97</v>
      </c>
      <c r="L2131" s="6">
        <f ca="1">IFERROR(__xludf.DUMMYFUNCTION("IFERROR(GOOGLEFINANCE(B2131,""changepct""),K2131)"),1.97)</f>
        <v>1.97</v>
      </c>
      <c r="M2131" s="6">
        <f ca="1">IFERROR(__xludf.DUMMYFUNCTION("IFERROR(GOOGLEFINANCE(B2131,""change""),0)"),0)</f>
        <v>0</v>
      </c>
      <c r="N2131" s="6">
        <v>1</v>
      </c>
      <c r="O2131" s="7">
        <v>45536</v>
      </c>
      <c r="P2131" s="6">
        <v>49.03</v>
      </c>
      <c r="Q2131" s="6">
        <v>244.27</v>
      </c>
      <c r="R2131" s="7">
        <v>45352</v>
      </c>
      <c r="S2131" s="6">
        <v>215.32</v>
      </c>
      <c r="T2131" s="6">
        <v>9.24</v>
      </c>
      <c r="U2131" s="7">
        <v>45352</v>
      </c>
      <c r="V2131" s="6">
        <v>21.14</v>
      </c>
      <c r="W2131" s="6">
        <f ca="1">IFERROR(__xludf.DUMMYFUNCTION("IFERROR(GOOGLEFINANCE(B2131,""pe""),V2131)"),21.14)</f>
        <v>21.14</v>
      </c>
      <c r="X2131" s="12"/>
      <c r="Y2131" s="6">
        <v>2.0699999999999998</v>
      </c>
      <c r="Z2131" s="6">
        <v>2</v>
      </c>
      <c r="AA2131" s="8">
        <v>45352</v>
      </c>
      <c r="AB2131" s="4">
        <v>0.48</v>
      </c>
      <c r="AC2131" s="6">
        <v>11.44</v>
      </c>
      <c r="AD2131" s="6">
        <v>16.329999999999998</v>
      </c>
      <c r="AE2131" s="1">
        <v>0</v>
      </c>
      <c r="AF2131" s="1">
        <f ca="1">IFERROR(__xludf.DUMMYFUNCTION("IFERROR(GOOGLEFINANCE(TRIM(F2131)&amp;"":"" &amp; TRIM(B2131),""high52""),AE2131)"),0)</f>
        <v>0</v>
      </c>
      <c r="AG2131" s="1">
        <v>0</v>
      </c>
      <c r="AH2131" s="1">
        <f ca="1">IFERROR(__xludf.DUMMYFUNCTION("IFERROR(GOOGLEFINANCE(TRIM(F2131)&amp;"":"" &amp; TRIM(B2131),""low52""),AE2131)"),0)</f>
        <v>0</v>
      </c>
      <c r="AI2131" s="1">
        <f ca="1">IFERROR(__xludf.DUMMYFUNCTION("IFERROR(GOOGLEFINANCE(B2131,""eps""),0)"),0)</f>
        <v>0</v>
      </c>
      <c r="AJ2131" s="1"/>
      <c r="AK2131" s="1" t="s">
        <v>6626</v>
      </c>
      <c r="AL2131" s="9">
        <f t="shared" si="231"/>
        <v>1</v>
      </c>
    </row>
    <row r="2132" spans="1:38" ht="15" x14ac:dyDescent="0.25">
      <c r="A2132" s="1" t="s">
        <v>6627</v>
      </c>
      <c r="B2132" s="1" t="s">
        <v>6628</v>
      </c>
      <c r="C2132" s="1" t="s">
        <v>208</v>
      </c>
      <c r="D2132" s="1" t="s">
        <v>208</v>
      </c>
      <c r="E2132" s="6">
        <v>131.72999999999999</v>
      </c>
      <c r="F2132" s="1" t="s">
        <v>53</v>
      </c>
      <c r="G2132" s="6">
        <f ca="1">IFERROR(__xludf.DUMMYFUNCTION("iferror(GOOGLEFINANCE(TRIM(F2132)&amp;"":"" &amp; TRIM(B2132), ""price""),0
)"),0)</f>
        <v>0</v>
      </c>
      <c r="H2132" s="6">
        <v>50.15</v>
      </c>
      <c r="I2132" s="6">
        <f t="shared" ca="1" si="0"/>
        <v>50.15</v>
      </c>
      <c r="J2132" s="6">
        <f ca="1">IFERROR(__xludf.DUMMYFUNCTION("IFERROR(GOOGLEFINANCE(B2132, ""volume""), 0)"),0)</f>
        <v>0</v>
      </c>
      <c r="K2132" s="6">
        <v>-1.99</v>
      </c>
      <c r="L2132" s="6">
        <f ca="1">IFERROR(__xludf.DUMMYFUNCTION("IFERROR(GOOGLEFINANCE(B2132,""changepct""),K2132)"),-1.99)</f>
        <v>-1.99</v>
      </c>
      <c r="M2132" s="6">
        <f ca="1">IFERROR(__xludf.DUMMYFUNCTION("IFERROR(GOOGLEFINANCE(B2132,""change""),0)"),0)</f>
        <v>0</v>
      </c>
      <c r="N2132" s="6">
        <v>2</v>
      </c>
      <c r="O2132" s="7">
        <v>45536</v>
      </c>
      <c r="P2132" s="6">
        <v>3.14</v>
      </c>
      <c r="Q2132" s="7">
        <v>45536</v>
      </c>
      <c r="R2132" s="6">
        <v>42.1</v>
      </c>
      <c r="S2132" s="6">
        <v>2.46</v>
      </c>
      <c r="T2132" s="6">
        <v>1.01</v>
      </c>
      <c r="U2132" s="6">
        <v>2</v>
      </c>
      <c r="V2132" s="7">
        <v>45352</v>
      </c>
      <c r="W2132" s="10">
        <f ca="1">IFERROR(__xludf.DUMMYFUNCTION("IFERROR(GOOGLEFINANCE(B2132,""pe""),V2132)"),45352)</f>
        <v>45352</v>
      </c>
      <c r="X2132" s="6">
        <v>0.09</v>
      </c>
      <c r="Y2132" s="6">
        <v>1.35</v>
      </c>
      <c r="Z2132" s="6">
        <v>2.11</v>
      </c>
      <c r="AA2132" s="3" t="s">
        <v>6629</v>
      </c>
      <c r="AB2132" s="11"/>
      <c r="AC2132" s="9"/>
      <c r="AD2132" s="9"/>
      <c r="AE2132" s="1">
        <v>0</v>
      </c>
      <c r="AF2132" s="1">
        <f ca="1">IFERROR(__xludf.DUMMYFUNCTION("IFERROR(GOOGLEFINANCE(TRIM(F2132)&amp;"":"" &amp; TRIM(B2132),""high52""),AE2132)"),0)</f>
        <v>0</v>
      </c>
      <c r="AG2132" s="1">
        <v>0</v>
      </c>
      <c r="AH2132" s="1">
        <f ca="1">IFERROR(__xludf.DUMMYFUNCTION("IFERROR(GOOGLEFINANCE(TRIM(F2132)&amp;"":"" &amp; TRIM(B2132),""low52""),AE2132)"),0)</f>
        <v>0</v>
      </c>
      <c r="AI2132" s="1">
        <f ca="1">IFERROR(__xludf.DUMMYFUNCTION("IFERROR(GOOGLEFINANCE(B2132,""eps""),0)"),0)</f>
        <v>0</v>
      </c>
      <c r="AJ2132" s="1"/>
      <c r="AK2132" s="1" t="s">
        <v>6630</v>
      </c>
      <c r="AL2132" s="9">
        <f t="shared" si="231"/>
        <v>1</v>
      </c>
    </row>
    <row r="2133" spans="1:38" ht="15" x14ac:dyDescent="0.25">
      <c r="A2133" s="1" t="s">
        <v>6631</v>
      </c>
      <c r="B2133" s="1" t="s">
        <v>6632</v>
      </c>
      <c r="C2133" s="1" t="s">
        <v>208</v>
      </c>
      <c r="D2133" s="1" t="s">
        <v>208</v>
      </c>
      <c r="E2133" s="6">
        <v>110.08</v>
      </c>
      <c r="F2133" s="1" t="s">
        <v>53</v>
      </c>
      <c r="G2133" s="6">
        <f ca="1">IFERROR(__xludf.DUMMYFUNCTION("iferror(GOOGLEFINANCE(TRIM(F2133)&amp;"":"" &amp; TRIM(B2133), ""price""),0
)"),0)</f>
        <v>0</v>
      </c>
      <c r="H2133" s="6">
        <v>15.84</v>
      </c>
      <c r="I2133" s="6">
        <f t="shared" ca="1" si="0"/>
        <v>15.84</v>
      </c>
      <c r="J2133" s="6">
        <f ca="1">IFERROR(__xludf.DUMMYFUNCTION("IFERROR(GOOGLEFINANCE(B2133, ""volume""), 0)"),0)</f>
        <v>0</v>
      </c>
      <c r="K2133" s="6">
        <v>2.72</v>
      </c>
      <c r="L2133" s="6">
        <f ca="1">IFERROR(__xludf.DUMMYFUNCTION("IFERROR(GOOGLEFINANCE(B2133,""changepct""),K2133)"),2.72)</f>
        <v>2.72</v>
      </c>
      <c r="M2133" s="6">
        <f ca="1">IFERROR(__xludf.DUMMYFUNCTION("IFERROR(GOOGLEFINANCE(B2133,""change""),0)"),0)</f>
        <v>0</v>
      </c>
      <c r="N2133" s="6">
        <v>1</v>
      </c>
      <c r="O2133" s="7">
        <v>45536</v>
      </c>
      <c r="P2133" s="6">
        <v>2.5299999999999998</v>
      </c>
      <c r="Q2133" s="7">
        <v>45536</v>
      </c>
      <c r="R2133" s="6">
        <v>43.44</v>
      </c>
      <c r="S2133" s="6">
        <v>0.46</v>
      </c>
      <c r="T2133" s="6">
        <v>8.33</v>
      </c>
      <c r="U2133" s="6">
        <v>1</v>
      </c>
      <c r="V2133" s="7">
        <v>45352</v>
      </c>
      <c r="W2133" s="10">
        <f ca="1">IFERROR(__xludf.DUMMYFUNCTION("IFERROR(GOOGLEFINANCE(B2133,""pe""),V2133)"),45352)</f>
        <v>45352</v>
      </c>
      <c r="X2133" s="6">
        <v>0</v>
      </c>
      <c r="Y2133" s="6">
        <v>49.3</v>
      </c>
      <c r="Z2133" s="6">
        <v>30.95</v>
      </c>
      <c r="AA2133" s="3" t="s">
        <v>6633</v>
      </c>
      <c r="AB2133" s="11"/>
      <c r="AC2133" s="9"/>
      <c r="AD2133" s="9"/>
      <c r="AE2133" s="1">
        <v>0</v>
      </c>
      <c r="AF2133" s="1">
        <f ca="1">IFERROR(__xludf.DUMMYFUNCTION("IFERROR(GOOGLEFINANCE(TRIM(F2133)&amp;"":"" &amp; TRIM(B2133),""high52""),AE2133)"),0)</f>
        <v>0</v>
      </c>
      <c r="AG2133" s="1">
        <v>0</v>
      </c>
      <c r="AH2133" s="1">
        <f ca="1">IFERROR(__xludf.DUMMYFUNCTION("IFERROR(GOOGLEFINANCE(TRIM(F2133)&amp;"":"" &amp; TRIM(B2133),""low52""),AE2133)"),0)</f>
        <v>0</v>
      </c>
      <c r="AI2133" s="1">
        <f ca="1">IFERROR(__xludf.DUMMYFUNCTION("IFERROR(GOOGLEFINANCE(B2133,""eps""),0)"),0)</f>
        <v>0</v>
      </c>
      <c r="AJ2133" s="1"/>
      <c r="AK2133" s="1" t="s">
        <v>6634</v>
      </c>
      <c r="AL2133" s="9">
        <f t="shared" si="231"/>
        <v>1</v>
      </c>
    </row>
    <row r="2134" spans="1:38" ht="15" x14ac:dyDescent="0.25">
      <c r="A2134" s="1" t="s">
        <v>6635</v>
      </c>
      <c r="B2134" s="1" t="s">
        <v>6636</v>
      </c>
      <c r="C2134" s="1" t="s">
        <v>208</v>
      </c>
      <c r="D2134" s="1" t="s">
        <v>208</v>
      </c>
      <c r="E2134" s="6">
        <v>39.53</v>
      </c>
      <c r="F2134" s="1" t="s">
        <v>53</v>
      </c>
      <c r="G2134" s="6">
        <f ca="1">IFERROR(__xludf.DUMMYFUNCTION("iferror(GOOGLEFINANCE(TRIM(F2134)&amp;"":"" &amp; TRIM(B2134), ""price""),0
)"),0)</f>
        <v>0</v>
      </c>
      <c r="H2134" s="6">
        <v>18.899999999999999</v>
      </c>
      <c r="I2134" s="6">
        <f t="shared" ca="1" si="0"/>
        <v>18.899999999999999</v>
      </c>
      <c r="J2134" s="6">
        <f ca="1">IFERROR(__xludf.DUMMYFUNCTION("IFERROR(GOOGLEFINANCE(B2134, ""volume""), 0)"),0)</f>
        <v>0</v>
      </c>
      <c r="K2134" s="6">
        <v>3.79</v>
      </c>
      <c r="L2134" s="6">
        <f ca="1">IFERROR(__xludf.DUMMYFUNCTION("IFERROR(GOOGLEFINANCE(B2134,""changepct""),K2134)"),3.79)</f>
        <v>3.79</v>
      </c>
      <c r="M2134" s="6">
        <f ca="1">IFERROR(__xludf.DUMMYFUNCTION("IFERROR(GOOGLEFINANCE(B2134,""change""),0)"),0)</f>
        <v>0</v>
      </c>
      <c r="N2134" s="6">
        <v>2</v>
      </c>
      <c r="O2134" s="7">
        <v>45536</v>
      </c>
      <c r="P2134" s="6">
        <v>0.89</v>
      </c>
      <c r="Q2134" s="7">
        <v>45536</v>
      </c>
      <c r="R2134" s="6">
        <v>44.41</v>
      </c>
      <c r="S2134" s="6">
        <v>0.72</v>
      </c>
      <c r="T2134" s="6">
        <v>2.16</v>
      </c>
      <c r="U2134" s="6">
        <v>2</v>
      </c>
      <c r="V2134" s="7">
        <v>45352</v>
      </c>
      <c r="W2134" s="10">
        <f ca="1">IFERROR(__xludf.DUMMYFUNCTION("IFERROR(GOOGLEFINANCE(B2134,""pe""),V2134)"),45352)</f>
        <v>45352</v>
      </c>
      <c r="X2134" s="6">
        <v>2.4900000000000002</v>
      </c>
      <c r="Y2134" s="6">
        <v>8.8699999999999992</v>
      </c>
      <c r="Z2134" s="6">
        <v>3.5</v>
      </c>
      <c r="AA2134" s="3" t="s">
        <v>6637</v>
      </c>
      <c r="AB2134" s="11"/>
      <c r="AC2134" s="9"/>
      <c r="AD2134" s="9"/>
      <c r="AE2134" s="1">
        <v>0</v>
      </c>
      <c r="AF2134" s="1">
        <f ca="1">IFERROR(__xludf.DUMMYFUNCTION("IFERROR(GOOGLEFINANCE(TRIM(F2134)&amp;"":"" &amp; TRIM(B2134),""high52""),AE2134)"),0)</f>
        <v>0</v>
      </c>
      <c r="AG2134" s="1">
        <v>0</v>
      </c>
      <c r="AH2134" s="1">
        <f ca="1">IFERROR(__xludf.DUMMYFUNCTION("IFERROR(GOOGLEFINANCE(TRIM(F2134)&amp;"":"" &amp; TRIM(B2134),""low52""),AE2134)"),0)</f>
        <v>0</v>
      </c>
      <c r="AI2134" s="1">
        <f ca="1">IFERROR(__xludf.DUMMYFUNCTION("IFERROR(GOOGLEFINANCE(B2134,""eps""),0)"),0)</f>
        <v>0</v>
      </c>
      <c r="AJ2134" s="1"/>
      <c r="AK2134" s="1" t="s">
        <v>6638</v>
      </c>
      <c r="AL2134" s="9">
        <f t="shared" si="231"/>
        <v>1</v>
      </c>
    </row>
    <row r="2135" spans="1:38" ht="15" x14ac:dyDescent="0.25">
      <c r="A2135" s="1" t="s">
        <v>6639</v>
      </c>
      <c r="B2135" s="1" t="s">
        <v>6640</v>
      </c>
      <c r="C2135" s="1" t="s">
        <v>208</v>
      </c>
      <c r="D2135" s="1" t="s">
        <v>208</v>
      </c>
      <c r="E2135" s="6">
        <v>4.68</v>
      </c>
      <c r="F2135" s="1" t="s">
        <v>53</v>
      </c>
      <c r="G2135" s="6">
        <f ca="1">IFERROR(__xludf.DUMMYFUNCTION("iferror(GOOGLEFINANCE(TRIM(F2135)&amp;"":"" &amp; TRIM(B2135), ""price""),0
)"),0)</f>
        <v>0</v>
      </c>
      <c r="H2135" s="6">
        <v>15.6</v>
      </c>
      <c r="I2135" s="6">
        <f t="shared" ca="1" si="0"/>
        <v>15.6</v>
      </c>
      <c r="J2135" s="6">
        <f ca="1">IFERROR(__xludf.DUMMYFUNCTION("IFERROR(GOOGLEFINANCE(B2135, ""volume""), 0)"),0)</f>
        <v>0</v>
      </c>
      <c r="K2135" s="9"/>
      <c r="L2135" s="6" t="str">
        <f ca="1">IFERROR(__xludf.DUMMYFUNCTION("IFERROR(GOOGLEFINANCE(B2135,""changepct""),K2135)"),"")</f>
        <v/>
      </c>
      <c r="M2135" s="6">
        <f ca="1">IFERROR(__xludf.DUMMYFUNCTION("IFERROR(GOOGLEFINANCE(B2135,""change""),0)"),0)</f>
        <v>0</v>
      </c>
      <c r="N2135" s="6">
        <v>1</v>
      </c>
      <c r="O2135" s="7">
        <v>45536</v>
      </c>
      <c r="P2135" s="6">
        <v>0.1</v>
      </c>
      <c r="Q2135" s="7">
        <v>45536</v>
      </c>
      <c r="R2135" s="6">
        <v>45.44</v>
      </c>
      <c r="S2135" s="6">
        <v>-2.4300000000000002</v>
      </c>
      <c r="T2135" s="6">
        <v>0.65</v>
      </c>
      <c r="U2135" s="6">
        <v>1</v>
      </c>
      <c r="V2135" s="7">
        <v>45352</v>
      </c>
      <c r="W2135" s="10">
        <f ca="1">IFERROR(__xludf.DUMMYFUNCTION("IFERROR(GOOGLEFINANCE(B2135,""pe""),V2135)"),45352)</f>
        <v>45352</v>
      </c>
      <c r="X2135" s="6">
        <v>0.3</v>
      </c>
      <c r="Y2135" s="6">
        <v>1.08</v>
      </c>
      <c r="Z2135" s="6">
        <v>3.17</v>
      </c>
      <c r="AA2135" s="3" t="s">
        <v>6641</v>
      </c>
      <c r="AB2135" s="11"/>
      <c r="AC2135" s="9"/>
      <c r="AD2135" s="9"/>
      <c r="AE2135" s="1">
        <v>0</v>
      </c>
      <c r="AF2135" s="1">
        <f ca="1">IFERROR(__xludf.DUMMYFUNCTION("IFERROR(GOOGLEFINANCE(TRIM(F2135)&amp;"":"" &amp; TRIM(B2135),""high52""),AE2135)"),0)</f>
        <v>0</v>
      </c>
      <c r="AG2135" s="1">
        <v>0</v>
      </c>
      <c r="AH2135" s="1">
        <f ca="1">IFERROR(__xludf.DUMMYFUNCTION("IFERROR(GOOGLEFINANCE(TRIM(F2135)&amp;"":"" &amp; TRIM(B2135),""low52""),AE2135)"),0)</f>
        <v>0</v>
      </c>
      <c r="AI2135" s="1">
        <f ca="1">IFERROR(__xludf.DUMMYFUNCTION("IFERROR(GOOGLEFINANCE(B2135,""eps""),0)"),0)</f>
        <v>0</v>
      </c>
      <c r="AJ2135" s="1"/>
      <c r="AK2135" s="1" t="s">
        <v>6642</v>
      </c>
      <c r="AL2135" s="9">
        <f t="shared" si="231"/>
        <v>1</v>
      </c>
    </row>
    <row r="2136" spans="1:38" ht="15" x14ac:dyDescent="0.25">
      <c r="A2136" s="1" t="s">
        <v>6643</v>
      </c>
      <c r="B2136" s="1" t="s">
        <v>6644</v>
      </c>
      <c r="C2136" s="1" t="s">
        <v>208</v>
      </c>
      <c r="D2136" s="1" t="s">
        <v>208</v>
      </c>
      <c r="E2136" s="6">
        <v>17.71</v>
      </c>
      <c r="F2136" s="1" t="s">
        <v>53</v>
      </c>
      <c r="G2136" s="6">
        <f ca="1">IFERROR(__xludf.DUMMYFUNCTION("iferror(GOOGLEFINANCE(TRIM(F2136)&amp;"":"" &amp; TRIM(B2136), ""price""),0
)"),0)</f>
        <v>0</v>
      </c>
      <c r="H2136" s="6">
        <v>37.5</v>
      </c>
      <c r="I2136" s="6">
        <f t="shared" ca="1" si="0"/>
        <v>37.5</v>
      </c>
      <c r="J2136" s="6">
        <f ca="1">IFERROR(__xludf.DUMMYFUNCTION("IFERROR(GOOGLEFINANCE(B2136, ""volume""), 0)"),0)</f>
        <v>0</v>
      </c>
      <c r="K2136" s="12"/>
      <c r="L2136" s="6" t="str">
        <f ca="1">IFERROR(__xludf.DUMMYFUNCTION("IFERROR(GOOGLEFINANCE(B2136,""changepct""),K2136)"),"")</f>
        <v/>
      </c>
      <c r="M2136" s="6">
        <f ca="1">IFERROR(__xludf.DUMMYFUNCTION("IFERROR(GOOGLEFINANCE(B2136,""change""),0)"),0)</f>
        <v>0</v>
      </c>
      <c r="N2136" s="6">
        <v>1</v>
      </c>
      <c r="O2136" s="7">
        <v>45536</v>
      </c>
      <c r="P2136" s="6">
        <v>0.37</v>
      </c>
      <c r="Q2136" s="7">
        <v>45536</v>
      </c>
      <c r="R2136" s="6">
        <v>47.47</v>
      </c>
      <c r="S2136" s="6">
        <v>-3.09</v>
      </c>
      <c r="T2136" s="6">
        <v>1.82</v>
      </c>
      <c r="U2136" s="6">
        <v>1</v>
      </c>
      <c r="V2136" s="7">
        <v>45352</v>
      </c>
      <c r="W2136" s="10">
        <f ca="1">IFERROR(__xludf.DUMMYFUNCTION("IFERROR(GOOGLEFINANCE(B2136,""pe""),V2136)"),45352)</f>
        <v>45352</v>
      </c>
      <c r="X2136" s="6">
        <v>0</v>
      </c>
      <c r="Y2136" s="6">
        <v>1.82</v>
      </c>
      <c r="Z2136" s="6">
        <v>2.7</v>
      </c>
      <c r="AA2136" s="3" t="s">
        <v>6645</v>
      </c>
      <c r="AB2136" s="11"/>
      <c r="AC2136" s="9"/>
      <c r="AD2136" s="9"/>
      <c r="AE2136" s="1">
        <v>0</v>
      </c>
      <c r="AF2136" s="1">
        <f ca="1">IFERROR(__xludf.DUMMYFUNCTION("IFERROR(GOOGLEFINANCE(TRIM(F2136)&amp;"":"" &amp; TRIM(B2136),""high52""),AE2136)"),0)</f>
        <v>0</v>
      </c>
      <c r="AG2136" s="1">
        <v>0</v>
      </c>
      <c r="AH2136" s="1">
        <f ca="1">IFERROR(__xludf.DUMMYFUNCTION("IFERROR(GOOGLEFINANCE(TRIM(F2136)&amp;"":"" &amp; TRIM(B2136),""low52""),AE2136)"),0)</f>
        <v>0</v>
      </c>
      <c r="AI2136" s="1">
        <f ca="1">IFERROR(__xludf.DUMMYFUNCTION("IFERROR(GOOGLEFINANCE(B2136,""eps""),0)"),0)</f>
        <v>0</v>
      </c>
      <c r="AJ2136" s="1"/>
      <c r="AK2136" s="1" t="s">
        <v>6646</v>
      </c>
      <c r="AL2136" s="9">
        <f t="shared" si="231"/>
        <v>1</v>
      </c>
    </row>
    <row r="2137" spans="1:38" ht="15" x14ac:dyDescent="0.25">
      <c r="A2137" s="1" t="s">
        <v>6647</v>
      </c>
      <c r="B2137" s="1" t="s">
        <v>6648</v>
      </c>
      <c r="C2137" s="1" t="s">
        <v>71</v>
      </c>
      <c r="D2137" s="1" t="s">
        <v>71</v>
      </c>
      <c r="E2137" s="6">
        <v>75.400000000000006</v>
      </c>
      <c r="F2137" s="1" t="s">
        <v>40</v>
      </c>
      <c r="G2137" s="6">
        <f ca="1">IFERROR(__xludf.DUMMYFUNCTION("iferror(GOOGLEFINANCE(TRIM(F2137)&amp;"":"" &amp; TRIM(B2137), ""price""),0
)"),0)</f>
        <v>0</v>
      </c>
      <c r="H2137" s="6">
        <v>122</v>
      </c>
      <c r="I2137" s="6">
        <f t="shared" ca="1" si="0"/>
        <v>122</v>
      </c>
      <c r="J2137" s="6">
        <f ca="1">IFERROR(__xludf.DUMMYFUNCTION("IFERROR(GOOGLEFINANCE(B2137, ""volume""), 0)"),0)</f>
        <v>0</v>
      </c>
      <c r="K2137" s="6">
        <v>0</v>
      </c>
      <c r="L2137" s="6">
        <f ca="1">IFERROR(__xludf.DUMMYFUNCTION("IFERROR(GOOGLEFINANCE(B2137,""changepct""),K2137)"),0)</f>
        <v>0</v>
      </c>
      <c r="M2137" s="6">
        <f ca="1">IFERROR(__xludf.DUMMYFUNCTION("IFERROR(GOOGLEFINANCE(B2137,""change""),0)"),0)</f>
        <v>0</v>
      </c>
      <c r="N2137" s="6">
        <v>1</v>
      </c>
      <c r="O2137" s="7">
        <v>45536</v>
      </c>
      <c r="P2137" s="6">
        <v>4.42</v>
      </c>
      <c r="Q2137" s="6">
        <v>79.819999999999993</v>
      </c>
      <c r="R2137" s="7">
        <v>45352</v>
      </c>
      <c r="S2137" s="6">
        <v>11.03</v>
      </c>
      <c r="T2137" s="6">
        <v>1.95</v>
      </c>
      <c r="U2137" s="7">
        <v>45352</v>
      </c>
      <c r="V2137" s="6">
        <v>38.68</v>
      </c>
      <c r="W2137" s="6">
        <f ca="1">IFERROR(__xludf.DUMMYFUNCTION("IFERROR(GOOGLEFINANCE(B2137,""pe""),V2137)"),38.68)</f>
        <v>38.68</v>
      </c>
      <c r="X2137" s="12"/>
      <c r="Y2137" s="6">
        <v>3.42</v>
      </c>
      <c r="Z2137" s="6">
        <v>1</v>
      </c>
      <c r="AA2137" s="8">
        <v>45352</v>
      </c>
      <c r="AB2137" s="4">
        <v>0.23</v>
      </c>
      <c r="AC2137" s="6">
        <v>14.61</v>
      </c>
      <c r="AD2137" s="6">
        <v>17.670000000000002</v>
      </c>
      <c r="AE2137" s="1">
        <v>0</v>
      </c>
      <c r="AF2137" s="1">
        <f ca="1">IFERROR(__xludf.DUMMYFUNCTION("IFERROR(GOOGLEFINANCE(TRIM(F2137)&amp;"":"" &amp; TRIM(B2137),""high52""),AE2137)"),0)</f>
        <v>0</v>
      </c>
      <c r="AG2137" s="1">
        <v>0</v>
      </c>
      <c r="AH2137" s="1">
        <f ca="1">IFERROR(__xludf.DUMMYFUNCTION("IFERROR(GOOGLEFINANCE(TRIM(F2137)&amp;"":"" &amp; TRIM(B2137),""low52""),AE2137)"),0)</f>
        <v>0</v>
      </c>
      <c r="AI2137" s="1">
        <f ca="1">IFERROR(__xludf.DUMMYFUNCTION("IFERROR(GOOGLEFINANCE(B2137,""eps""),0)"),0)</f>
        <v>0</v>
      </c>
      <c r="AJ2137" s="1"/>
      <c r="AK2137" s="9"/>
      <c r="AL2137" s="9">
        <f t="shared" si="231"/>
        <v>1</v>
      </c>
    </row>
    <row r="2138" spans="1:38" ht="15" x14ac:dyDescent="0.25">
      <c r="A2138" s="1" t="s">
        <v>6649</v>
      </c>
      <c r="B2138" s="1" t="s">
        <v>6650</v>
      </c>
      <c r="C2138" s="1" t="s">
        <v>208</v>
      </c>
      <c r="D2138" s="1" t="s">
        <v>208</v>
      </c>
      <c r="E2138" s="6">
        <v>13.89</v>
      </c>
      <c r="F2138" s="1" t="s">
        <v>53</v>
      </c>
      <c r="G2138" s="6">
        <f ca="1">IFERROR(__xludf.DUMMYFUNCTION("iferror(GOOGLEFINANCE(TRIM(F2138)&amp;"":"" &amp; TRIM(B2138), ""price""),0
)"),0)</f>
        <v>0</v>
      </c>
      <c r="H2138" s="6">
        <v>13.69</v>
      </c>
      <c r="I2138" s="6">
        <f t="shared" ca="1" si="0"/>
        <v>13.69</v>
      </c>
      <c r="J2138" s="6">
        <f ca="1">IFERROR(__xludf.DUMMYFUNCTION("IFERROR(GOOGLEFINANCE(B2138, ""volume""), 0)"),0)</f>
        <v>0</v>
      </c>
      <c r="K2138" s="6">
        <v>0</v>
      </c>
      <c r="L2138" s="6">
        <f ca="1">IFERROR(__xludf.DUMMYFUNCTION("IFERROR(GOOGLEFINANCE(B2138,""changepct""),K2138)"),0)</f>
        <v>0</v>
      </c>
      <c r="M2138" s="6">
        <f ca="1">IFERROR(__xludf.DUMMYFUNCTION("IFERROR(GOOGLEFINANCE(B2138,""change""),0)"),0)</f>
        <v>0</v>
      </c>
      <c r="N2138" s="6">
        <v>1</v>
      </c>
      <c r="O2138" s="7">
        <v>45536</v>
      </c>
      <c r="P2138" s="6">
        <v>0.28999999999999998</v>
      </c>
      <c r="Q2138" s="7">
        <v>45536</v>
      </c>
      <c r="R2138" s="6">
        <v>48.22</v>
      </c>
      <c r="S2138" s="6">
        <v>4.43</v>
      </c>
      <c r="T2138" s="6">
        <v>0.94</v>
      </c>
      <c r="U2138" s="6">
        <v>2</v>
      </c>
      <c r="V2138" s="7">
        <v>45352</v>
      </c>
      <c r="W2138" s="10">
        <f ca="1">IFERROR(__xludf.DUMMYFUNCTION("IFERROR(GOOGLEFINANCE(B2138,""pe""),V2138)"),45352)</f>
        <v>45352</v>
      </c>
      <c r="X2138" s="6">
        <v>0</v>
      </c>
      <c r="Y2138" s="6">
        <v>2.58</v>
      </c>
      <c r="Z2138" s="6">
        <v>4.1399999999999997</v>
      </c>
      <c r="AA2138" s="3" t="s">
        <v>6651</v>
      </c>
      <c r="AB2138" s="11"/>
      <c r="AC2138" s="9"/>
      <c r="AD2138" s="9"/>
      <c r="AE2138" s="1">
        <v>0</v>
      </c>
      <c r="AF2138" s="1">
        <f ca="1">IFERROR(__xludf.DUMMYFUNCTION("IFERROR(GOOGLEFINANCE(TRIM(F2138)&amp;"":"" &amp; TRIM(B2138),""high52""),AE2138)"),0)</f>
        <v>0</v>
      </c>
      <c r="AG2138" s="1">
        <v>0</v>
      </c>
      <c r="AH2138" s="1">
        <f ca="1">IFERROR(__xludf.DUMMYFUNCTION("IFERROR(GOOGLEFINANCE(TRIM(F2138)&amp;"":"" &amp; TRIM(B2138),""low52""),AE2138)"),0)</f>
        <v>0</v>
      </c>
      <c r="AI2138" s="1">
        <f ca="1">IFERROR(__xludf.DUMMYFUNCTION("IFERROR(GOOGLEFINANCE(B2138,""eps""),0)"),0)</f>
        <v>0</v>
      </c>
      <c r="AJ2138" s="1"/>
      <c r="AK2138" s="1" t="s">
        <v>6652</v>
      </c>
      <c r="AL2138" s="9">
        <f t="shared" si="231"/>
        <v>1</v>
      </c>
    </row>
    <row r="2139" spans="1:38" ht="15" x14ac:dyDescent="0.25">
      <c r="A2139" s="1" t="s">
        <v>6653</v>
      </c>
      <c r="B2139" s="1" t="s">
        <v>6654</v>
      </c>
      <c r="C2139" s="1" t="s">
        <v>208</v>
      </c>
      <c r="D2139" s="1" t="s">
        <v>208</v>
      </c>
      <c r="E2139" s="6">
        <v>45.33</v>
      </c>
      <c r="F2139" s="1" t="s">
        <v>53</v>
      </c>
      <c r="G2139" s="6">
        <f ca="1">IFERROR(__xludf.DUMMYFUNCTION("iferror(GOOGLEFINANCE(TRIM(F2139)&amp;"":"" &amp; TRIM(B2139), ""price""),0
)"),0)</f>
        <v>0</v>
      </c>
      <c r="H2139" s="6">
        <v>1.96</v>
      </c>
      <c r="I2139" s="6">
        <f t="shared" ca="1" si="0"/>
        <v>1.96</v>
      </c>
      <c r="J2139" s="6">
        <f ca="1">IFERROR(__xludf.DUMMYFUNCTION("IFERROR(GOOGLEFINANCE(B2139, ""volume""), 0)"),0)</f>
        <v>0</v>
      </c>
      <c r="K2139" s="6">
        <v>0</v>
      </c>
      <c r="L2139" s="6">
        <f ca="1">IFERROR(__xludf.DUMMYFUNCTION("IFERROR(GOOGLEFINANCE(B2139,""changepct""),K2139)"),0)</f>
        <v>0</v>
      </c>
      <c r="M2139" s="6">
        <f ca="1">IFERROR(__xludf.DUMMYFUNCTION("IFERROR(GOOGLEFINANCE(B2139,""change""),0)"),0)</f>
        <v>0</v>
      </c>
      <c r="N2139" s="6">
        <v>1</v>
      </c>
      <c r="O2139" s="7">
        <v>45536</v>
      </c>
      <c r="P2139" s="6">
        <v>0.92</v>
      </c>
      <c r="Q2139" s="7">
        <v>45536</v>
      </c>
      <c r="R2139" s="6">
        <v>49.16</v>
      </c>
      <c r="S2139" s="6">
        <v>6.17</v>
      </c>
      <c r="T2139" s="6">
        <v>1.25</v>
      </c>
      <c r="U2139" s="6">
        <v>1</v>
      </c>
      <c r="V2139" s="7">
        <v>45352</v>
      </c>
      <c r="W2139" s="10">
        <f ca="1">IFERROR(__xludf.DUMMYFUNCTION("IFERROR(GOOGLEFINANCE(B2139,""pe""),V2139)"),45352)</f>
        <v>45352</v>
      </c>
      <c r="X2139" s="6">
        <v>0.15</v>
      </c>
      <c r="Y2139" s="6">
        <v>6.21</v>
      </c>
      <c r="Z2139" s="6">
        <v>8.48</v>
      </c>
      <c r="AA2139" s="3" t="s">
        <v>6655</v>
      </c>
      <c r="AB2139" s="11"/>
      <c r="AC2139" s="9"/>
      <c r="AD2139" s="9"/>
      <c r="AE2139" s="1">
        <v>0</v>
      </c>
      <c r="AF2139" s="1">
        <f ca="1">IFERROR(__xludf.DUMMYFUNCTION("IFERROR(GOOGLEFINANCE(TRIM(F2139)&amp;"":"" &amp; TRIM(B2139),""high52""),AE2139)"),0)</f>
        <v>0</v>
      </c>
      <c r="AG2139" s="1">
        <v>0</v>
      </c>
      <c r="AH2139" s="1">
        <f ca="1">IFERROR(__xludf.DUMMYFUNCTION("IFERROR(GOOGLEFINANCE(TRIM(F2139)&amp;"":"" &amp; TRIM(B2139),""low52""),AE2139)"),0)</f>
        <v>0</v>
      </c>
      <c r="AI2139" s="1">
        <f ca="1">IFERROR(__xludf.DUMMYFUNCTION("IFERROR(GOOGLEFINANCE(B2139,""eps""),0)"),0)</f>
        <v>0</v>
      </c>
      <c r="AJ2139" s="1"/>
      <c r="AK2139" s="1" t="s">
        <v>6656</v>
      </c>
      <c r="AL2139" s="9">
        <f t="shared" si="231"/>
        <v>1</v>
      </c>
    </row>
    <row r="2140" spans="1:38" ht="15" x14ac:dyDescent="0.25">
      <c r="A2140" s="1" t="s">
        <v>6657</v>
      </c>
      <c r="B2140" s="1" t="s">
        <v>6658</v>
      </c>
      <c r="C2140" s="1" t="s">
        <v>208</v>
      </c>
      <c r="D2140" s="1" t="s">
        <v>208</v>
      </c>
      <c r="E2140" s="6">
        <v>10.27</v>
      </c>
      <c r="F2140" s="1" t="s">
        <v>53</v>
      </c>
      <c r="G2140" s="6">
        <f ca="1">IFERROR(__xludf.DUMMYFUNCTION("iferror(GOOGLEFINANCE(TRIM(F2140)&amp;"":"" &amp; TRIM(B2140), ""price""),0
)"),0)</f>
        <v>0</v>
      </c>
      <c r="H2140" s="6">
        <v>1.24</v>
      </c>
      <c r="I2140" s="6">
        <f t="shared" ca="1" si="0"/>
        <v>1.24</v>
      </c>
      <c r="J2140" s="6">
        <f ca="1">IFERROR(__xludf.DUMMYFUNCTION("IFERROR(GOOGLEFINANCE(B2140, ""volume""), 0)"),0)</f>
        <v>0</v>
      </c>
      <c r="K2140" s="6">
        <v>-0.8</v>
      </c>
      <c r="L2140" s="6">
        <f ca="1">IFERROR(__xludf.DUMMYFUNCTION("IFERROR(GOOGLEFINANCE(B2140,""changepct""),K2140)"),-0.8)</f>
        <v>-0.8</v>
      </c>
      <c r="M2140" s="6">
        <f ca="1">IFERROR(__xludf.DUMMYFUNCTION("IFERROR(GOOGLEFINANCE(B2140,""change""),0)"),0)</f>
        <v>0</v>
      </c>
      <c r="N2140" s="6">
        <v>1</v>
      </c>
      <c r="O2140" s="7">
        <v>45536</v>
      </c>
      <c r="P2140" s="6">
        <v>0.21</v>
      </c>
      <c r="Q2140" s="7">
        <v>45536</v>
      </c>
      <c r="R2140" s="6">
        <v>49.59</v>
      </c>
      <c r="S2140" s="6">
        <v>-1.39</v>
      </c>
      <c r="T2140" s="6">
        <v>1.04</v>
      </c>
      <c r="U2140" s="6">
        <v>1</v>
      </c>
      <c r="V2140" s="7">
        <v>45352</v>
      </c>
      <c r="W2140" s="10">
        <f ca="1">IFERROR(__xludf.DUMMYFUNCTION("IFERROR(GOOGLEFINANCE(B2140,""pe""),V2140)"),45352)</f>
        <v>45352</v>
      </c>
      <c r="X2140" s="6">
        <v>0</v>
      </c>
      <c r="Y2140" s="6">
        <v>0.22</v>
      </c>
      <c r="Z2140" s="6">
        <v>0.3</v>
      </c>
      <c r="AA2140" s="3" t="s">
        <v>6659</v>
      </c>
      <c r="AB2140" s="11"/>
      <c r="AC2140" s="9"/>
      <c r="AD2140" s="9"/>
      <c r="AE2140" s="1">
        <v>0</v>
      </c>
      <c r="AF2140" s="1">
        <f ca="1">IFERROR(__xludf.DUMMYFUNCTION("IFERROR(GOOGLEFINANCE(TRIM(F2140)&amp;"":"" &amp; TRIM(B2140),""high52""),AE2140)"),0)</f>
        <v>0</v>
      </c>
      <c r="AG2140" s="1">
        <v>0</v>
      </c>
      <c r="AH2140" s="1">
        <f ca="1">IFERROR(__xludf.DUMMYFUNCTION("IFERROR(GOOGLEFINANCE(TRIM(F2140)&amp;"":"" &amp; TRIM(B2140),""low52""),AE2140)"),0)</f>
        <v>0</v>
      </c>
      <c r="AI2140" s="1">
        <f ca="1">IFERROR(__xludf.DUMMYFUNCTION("IFERROR(GOOGLEFINANCE(B2140,""eps""),0)"),0)</f>
        <v>0</v>
      </c>
      <c r="AJ2140" s="1"/>
      <c r="AK2140" s="9"/>
      <c r="AL2140" s="9">
        <f t="shared" si="231"/>
        <v>1</v>
      </c>
    </row>
    <row r="2141" spans="1:38" ht="15" x14ac:dyDescent="0.25">
      <c r="A2141" s="1" t="s">
        <v>6660</v>
      </c>
      <c r="B2141" s="1" t="s">
        <v>6661</v>
      </c>
      <c r="C2141" s="1" t="s">
        <v>208</v>
      </c>
      <c r="D2141" s="1" t="s">
        <v>208</v>
      </c>
      <c r="E2141" s="6">
        <v>385.6</v>
      </c>
      <c r="F2141" s="1" t="s">
        <v>53</v>
      </c>
      <c r="G2141" s="6">
        <f ca="1">IFERROR(__xludf.DUMMYFUNCTION("iferror(GOOGLEFINANCE(TRIM(F2141)&amp;"":"" &amp; TRIM(B2141), ""price""),0
)"),0)</f>
        <v>0</v>
      </c>
      <c r="H2141" s="6">
        <v>154.6</v>
      </c>
      <c r="I2141" s="6">
        <f t="shared" ca="1" si="0"/>
        <v>154.6</v>
      </c>
      <c r="J2141" s="6">
        <f ca="1">IFERROR(__xludf.DUMMYFUNCTION("IFERROR(GOOGLEFINANCE(B2141, ""volume""), 0)"),0)</f>
        <v>0</v>
      </c>
      <c r="K2141" s="6">
        <v>0</v>
      </c>
      <c r="L2141" s="6">
        <f ca="1">IFERROR(__xludf.DUMMYFUNCTION("IFERROR(GOOGLEFINANCE(B2141,""changepct""),K2141)"),0)</f>
        <v>0</v>
      </c>
      <c r="M2141" s="6">
        <f ca="1">IFERROR(__xludf.DUMMYFUNCTION("IFERROR(GOOGLEFINANCE(B2141,""change""),0)"),0)</f>
        <v>0</v>
      </c>
      <c r="N2141" s="6">
        <v>2</v>
      </c>
      <c r="O2141" s="7">
        <v>45261</v>
      </c>
      <c r="P2141" s="6">
        <v>9.92</v>
      </c>
      <c r="Q2141" s="7">
        <v>45352</v>
      </c>
      <c r="R2141" s="6">
        <v>50.46</v>
      </c>
      <c r="S2141" s="6">
        <v>1.33</v>
      </c>
      <c r="T2141" s="6">
        <v>5.2</v>
      </c>
      <c r="U2141" s="6">
        <v>2</v>
      </c>
      <c r="V2141" s="7">
        <v>45352</v>
      </c>
      <c r="W2141" s="10">
        <f ca="1">IFERROR(__xludf.DUMMYFUNCTION("IFERROR(GOOGLEFINANCE(B2141,""pe""),V2141)"),45352)</f>
        <v>45352</v>
      </c>
      <c r="X2141" s="6">
        <v>2.68</v>
      </c>
      <c r="Y2141" s="6">
        <v>18.850000000000001</v>
      </c>
      <c r="Z2141" s="6">
        <v>16.329999999999998</v>
      </c>
      <c r="AA2141" s="3" t="s">
        <v>6662</v>
      </c>
      <c r="AB2141" s="11"/>
      <c r="AC2141" s="9"/>
      <c r="AD2141" s="9"/>
      <c r="AE2141" s="1">
        <v>0</v>
      </c>
      <c r="AF2141" s="1">
        <f ca="1">IFERROR(__xludf.DUMMYFUNCTION("IFERROR(GOOGLEFINANCE(TRIM(F2141)&amp;"":"" &amp; TRIM(B2141),""high52""),AE2141)"),0)</f>
        <v>0</v>
      </c>
      <c r="AG2141" s="1">
        <v>0</v>
      </c>
      <c r="AH2141" s="1">
        <f ca="1">IFERROR(__xludf.DUMMYFUNCTION("IFERROR(GOOGLEFINANCE(TRIM(F2141)&amp;"":"" &amp; TRIM(B2141),""low52""),AE2141)"),0)</f>
        <v>0</v>
      </c>
      <c r="AI2141" s="1">
        <f ca="1">IFERROR(__xludf.DUMMYFUNCTION("IFERROR(GOOGLEFINANCE(B2141,""eps""),0)"),0)</f>
        <v>0</v>
      </c>
      <c r="AJ2141" s="1"/>
      <c r="AK2141" s="9"/>
      <c r="AL2141" s="9">
        <f t="shared" si="231"/>
        <v>1</v>
      </c>
    </row>
    <row r="2142" spans="1:38" ht="15" x14ac:dyDescent="0.25">
      <c r="A2142" s="1" t="s">
        <v>6663</v>
      </c>
      <c r="B2142" s="1" t="s">
        <v>6664</v>
      </c>
      <c r="C2142" s="1" t="s">
        <v>208</v>
      </c>
      <c r="D2142" s="1" t="s">
        <v>208</v>
      </c>
      <c r="E2142" s="6">
        <v>23.29</v>
      </c>
      <c r="F2142" s="1" t="s">
        <v>53</v>
      </c>
      <c r="G2142" s="6">
        <f ca="1">IFERROR(__xludf.DUMMYFUNCTION("iferror(GOOGLEFINANCE(TRIM(F2142)&amp;"":"" &amp; TRIM(B2142), ""price""),0
)"),0)</f>
        <v>0</v>
      </c>
      <c r="H2142" s="6">
        <v>34.08</v>
      </c>
      <c r="I2142" s="6">
        <f t="shared" ca="1" si="0"/>
        <v>34.08</v>
      </c>
      <c r="J2142" s="6">
        <f ca="1">IFERROR(__xludf.DUMMYFUNCTION("IFERROR(GOOGLEFINANCE(B2142, ""volume""), 0)"),0)</f>
        <v>0</v>
      </c>
      <c r="K2142" s="6">
        <v>1.97</v>
      </c>
      <c r="L2142" s="6">
        <f ca="1">IFERROR(__xludf.DUMMYFUNCTION("IFERROR(GOOGLEFINANCE(B2142,""changepct""),K2142)"),1.97)</f>
        <v>1.97</v>
      </c>
      <c r="M2142" s="6">
        <f ca="1">IFERROR(__xludf.DUMMYFUNCTION("IFERROR(GOOGLEFINANCE(B2142,""change""),0)"),0)</f>
        <v>0</v>
      </c>
      <c r="N2142" s="6">
        <v>1</v>
      </c>
      <c r="O2142" s="7">
        <v>45536</v>
      </c>
      <c r="P2142" s="6">
        <v>0.46</v>
      </c>
      <c r="Q2142" s="7">
        <v>45536</v>
      </c>
      <c r="R2142" s="6">
        <v>50.97</v>
      </c>
      <c r="S2142" s="6">
        <v>-53.1</v>
      </c>
      <c r="T2142" s="6">
        <v>2.0099999999999998</v>
      </c>
      <c r="U2142" s="6">
        <v>1</v>
      </c>
      <c r="V2142" s="7">
        <v>45352</v>
      </c>
      <c r="W2142" s="10">
        <f ca="1">IFERROR(__xludf.DUMMYFUNCTION("IFERROR(GOOGLEFINANCE(B2142,""pe""),V2142)"),45352)</f>
        <v>45352</v>
      </c>
      <c r="X2142" s="6">
        <v>0</v>
      </c>
      <c r="Y2142" s="6">
        <v>10.07</v>
      </c>
      <c r="Z2142" s="6">
        <v>10.48</v>
      </c>
      <c r="AA2142" s="3" t="s">
        <v>6665</v>
      </c>
      <c r="AB2142" s="11"/>
      <c r="AC2142" s="9"/>
      <c r="AD2142" s="9"/>
      <c r="AE2142" s="1">
        <v>0</v>
      </c>
      <c r="AF2142" s="1">
        <f ca="1">IFERROR(__xludf.DUMMYFUNCTION("IFERROR(GOOGLEFINANCE(TRIM(F2142)&amp;"":"" &amp; TRIM(B2142),""high52""),AE2142)"),0)</f>
        <v>0</v>
      </c>
      <c r="AG2142" s="1">
        <v>0</v>
      </c>
      <c r="AH2142" s="1">
        <f ca="1">IFERROR(__xludf.DUMMYFUNCTION("IFERROR(GOOGLEFINANCE(TRIM(F2142)&amp;"":"" &amp; TRIM(B2142),""low52""),AE2142)"),0)</f>
        <v>0</v>
      </c>
      <c r="AI2142" s="1">
        <f ca="1">IFERROR(__xludf.DUMMYFUNCTION("IFERROR(GOOGLEFINANCE(B2142,""eps""),0)"),0)</f>
        <v>0</v>
      </c>
      <c r="AJ2142" s="1"/>
      <c r="AK2142" s="1" t="s">
        <v>6666</v>
      </c>
      <c r="AL2142" s="9">
        <f t="shared" si="231"/>
        <v>1</v>
      </c>
    </row>
    <row r="2143" spans="1:38" ht="15" x14ac:dyDescent="0.25">
      <c r="A2143" s="1" t="s">
        <v>6667</v>
      </c>
      <c r="B2143" s="1" t="s">
        <v>6668</v>
      </c>
      <c r="C2143" s="1" t="s">
        <v>106</v>
      </c>
      <c r="D2143" s="1" t="s">
        <v>106</v>
      </c>
      <c r="E2143" s="6">
        <v>1026.99</v>
      </c>
      <c r="F2143" s="1" t="s">
        <v>40</v>
      </c>
      <c r="G2143" s="6">
        <f ca="1">IFERROR(__xludf.DUMMYFUNCTION("iferror(GOOGLEFINANCE(TRIM(F2143)&amp;"":"" &amp; TRIM(B2143), ""price""),0
)"),125)</f>
        <v>125</v>
      </c>
      <c r="H2143" s="6">
        <v>213</v>
      </c>
      <c r="I2143" s="6">
        <f t="shared" ca="1" si="0"/>
        <v>125</v>
      </c>
      <c r="J2143" s="6">
        <f ca="1">IFERROR(__xludf.DUMMYFUNCTION("IFERROR(GOOGLEFINANCE(B2143, ""volume""), 0)"),244731)</f>
        <v>244731</v>
      </c>
      <c r="K2143" s="6">
        <v>-0.02</v>
      </c>
      <c r="L2143" s="6">
        <f ca="1">IFERROR(__xludf.DUMMYFUNCTION("IFERROR(GOOGLEFINANCE(B2143,""changepct""),K2143)"),-0.76)</f>
        <v>-0.76</v>
      </c>
      <c r="M2143" s="6">
        <f ca="1">IFERROR(__xludf.DUMMYFUNCTION("IFERROR(GOOGLEFINANCE(B2143,""change""),0)"),-0.96)</f>
        <v>-0.96</v>
      </c>
      <c r="N2143" s="6">
        <v>2</v>
      </c>
      <c r="O2143" s="7">
        <v>45536</v>
      </c>
      <c r="P2143" s="6">
        <v>124.12</v>
      </c>
      <c r="Q2143" s="6">
        <v>1142.81</v>
      </c>
      <c r="R2143" s="7">
        <v>45536</v>
      </c>
      <c r="S2143" s="6">
        <v>636</v>
      </c>
      <c r="T2143" s="6">
        <v>52.89</v>
      </c>
      <c r="U2143" s="7">
        <v>45536</v>
      </c>
      <c r="V2143" s="6">
        <v>19.420000000000002</v>
      </c>
      <c r="W2143" s="6">
        <f ca="1">IFERROR(__xludf.DUMMYFUNCTION("IFERROR(GOOGLEFINANCE(B2143,""pe""),V2143)"),36.63)</f>
        <v>36.630000000000003</v>
      </c>
      <c r="X2143" s="6">
        <v>1.2</v>
      </c>
      <c r="Y2143" s="6">
        <v>2.06</v>
      </c>
      <c r="Z2143" s="6">
        <v>2</v>
      </c>
      <c r="AA2143" s="8">
        <v>45352</v>
      </c>
      <c r="AB2143" s="4">
        <v>0.2</v>
      </c>
      <c r="AC2143" s="6">
        <v>10.96</v>
      </c>
      <c r="AD2143" s="6">
        <v>13.78</v>
      </c>
      <c r="AE2143" s="1">
        <v>0</v>
      </c>
      <c r="AF2143" s="1">
        <f ca="1">IFERROR(__xludf.DUMMYFUNCTION("IFERROR(GOOGLEFINANCE(TRIM(F2143)&amp;"":"" &amp; TRIM(B2143),""high52""),AE2143)"),214)</f>
        <v>214</v>
      </c>
      <c r="AG2143" s="1">
        <v>0</v>
      </c>
      <c r="AH2143" s="1">
        <f ca="1">IFERROR(__xludf.DUMMYFUNCTION("IFERROR(GOOGLEFINANCE(TRIM(F2143)&amp;"":"" &amp; TRIM(B2143),""low52""),AE2143)"),119.81)</f>
        <v>119.81</v>
      </c>
      <c r="AI2143" s="1">
        <f ca="1">IFERROR(__xludf.DUMMYFUNCTION("IFERROR(GOOGLEFINANCE(B2143,""eps""),0)"),3.41)</f>
        <v>3.41</v>
      </c>
      <c r="AJ2143" s="1"/>
      <c r="AK2143" s="1" t="s">
        <v>6669</v>
      </c>
      <c r="AL2143" s="9">
        <f t="shared" si="231"/>
        <v>1</v>
      </c>
    </row>
    <row r="2144" spans="1:38" ht="15" x14ac:dyDescent="0.25">
      <c r="A2144" s="1" t="s">
        <v>6670</v>
      </c>
      <c r="B2144" s="1" t="s">
        <v>6671</v>
      </c>
      <c r="C2144" s="1" t="s">
        <v>208</v>
      </c>
      <c r="D2144" s="1" t="s">
        <v>208</v>
      </c>
      <c r="E2144" s="6">
        <v>35.549999999999997</v>
      </c>
      <c r="F2144" s="1" t="s">
        <v>53</v>
      </c>
      <c r="G2144" s="6">
        <f ca="1">IFERROR(__xludf.DUMMYFUNCTION("iferror(GOOGLEFINANCE(TRIM(F2144)&amp;"":"" &amp; TRIM(B2144), ""price""),0
)"),0)</f>
        <v>0</v>
      </c>
      <c r="H2144" s="6">
        <v>94.79</v>
      </c>
      <c r="I2144" s="6">
        <f t="shared" ca="1" si="0"/>
        <v>94.79</v>
      </c>
      <c r="J2144" s="6">
        <f ca="1">IFERROR(__xludf.DUMMYFUNCTION("IFERROR(GOOGLEFINANCE(B2144, ""volume""), 0)"),0)</f>
        <v>0</v>
      </c>
      <c r="K2144" s="9"/>
      <c r="L2144" s="6" t="str">
        <f ca="1">IFERROR(__xludf.DUMMYFUNCTION("IFERROR(GOOGLEFINANCE(B2144,""changepct""),K2144)"),"")</f>
        <v/>
      </c>
      <c r="M2144" s="6">
        <f ca="1">IFERROR(__xludf.DUMMYFUNCTION("IFERROR(GOOGLEFINANCE(B2144,""change""),0)"),0)</f>
        <v>0</v>
      </c>
      <c r="N2144" s="6">
        <v>1</v>
      </c>
      <c r="O2144" s="7">
        <v>45536</v>
      </c>
      <c r="P2144" s="6">
        <v>0.68</v>
      </c>
      <c r="Q2144" s="7">
        <v>45536</v>
      </c>
      <c r="R2144" s="6">
        <v>52.28</v>
      </c>
      <c r="S2144" s="6">
        <v>1.89</v>
      </c>
      <c r="T2144" s="6">
        <v>4.28</v>
      </c>
      <c r="U2144" s="6">
        <v>1</v>
      </c>
      <c r="V2144" s="7">
        <v>45352</v>
      </c>
      <c r="W2144" s="10">
        <f ca="1">IFERROR(__xludf.DUMMYFUNCTION("IFERROR(GOOGLEFINANCE(B2144,""pe""),V2144)"),45352)</f>
        <v>45352</v>
      </c>
      <c r="X2144" s="6">
        <v>0.14000000000000001</v>
      </c>
      <c r="Y2144" s="6">
        <v>7.83</v>
      </c>
      <c r="Z2144" s="6">
        <v>9.7100000000000009</v>
      </c>
      <c r="AA2144" s="3" t="s">
        <v>6672</v>
      </c>
      <c r="AB2144" s="11"/>
      <c r="AC2144" s="9"/>
      <c r="AD2144" s="9"/>
      <c r="AE2144" s="1">
        <v>0</v>
      </c>
      <c r="AF2144" s="1">
        <f ca="1">IFERROR(__xludf.DUMMYFUNCTION("IFERROR(GOOGLEFINANCE(TRIM(F2144)&amp;"":"" &amp; TRIM(B2144),""high52""),AE2144)"),0)</f>
        <v>0</v>
      </c>
      <c r="AG2144" s="1">
        <v>0</v>
      </c>
      <c r="AH2144" s="1">
        <f ca="1">IFERROR(__xludf.DUMMYFUNCTION("IFERROR(GOOGLEFINANCE(TRIM(F2144)&amp;"":"" &amp; TRIM(B2144),""low52""),AE2144)"),0)</f>
        <v>0</v>
      </c>
      <c r="AI2144" s="1">
        <f ca="1">IFERROR(__xludf.DUMMYFUNCTION("IFERROR(GOOGLEFINANCE(B2144,""eps""),0)"),0)</f>
        <v>0</v>
      </c>
      <c r="AJ2144" s="1"/>
      <c r="AK2144" s="1" t="s">
        <v>6673</v>
      </c>
      <c r="AL2144" s="9">
        <f t="shared" si="231"/>
        <v>1</v>
      </c>
    </row>
    <row r="2145" spans="1:38" ht="15" x14ac:dyDescent="0.25">
      <c r="A2145" s="1" t="s">
        <v>6674</v>
      </c>
      <c r="B2145" s="1" t="s">
        <v>6675</v>
      </c>
      <c r="C2145" s="1" t="s">
        <v>208</v>
      </c>
      <c r="D2145" s="1" t="s">
        <v>208</v>
      </c>
      <c r="E2145" s="6">
        <v>71.709999999999994</v>
      </c>
      <c r="F2145" s="1" t="s">
        <v>53</v>
      </c>
      <c r="G2145" s="6">
        <f ca="1">IFERROR(__xludf.DUMMYFUNCTION("iferror(GOOGLEFINANCE(TRIM(F2145)&amp;"":"" &amp; TRIM(B2145), ""price""),0
)"),0)</f>
        <v>0</v>
      </c>
      <c r="H2145" s="6">
        <v>387.6</v>
      </c>
      <c r="I2145" s="6">
        <f t="shared" ca="1" si="0"/>
        <v>387.6</v>
      </c>
      <c r="J2145" s="6">
        <f ca="1">IFERROR(__xludf.DUMMYFUNCTION("IFERROR(GOOGLEFINANCE(B2145, ""volume""), 0)"),0)</f>
        <v>0</v>
      </c>
      <c r="K2145" s="9"/>
      <c r="L2145" s="6" t="str">
        <f ca="1">IFERROR(__xludf.DUMMYFUNCTION("IFERROR(GOOGLEFINANCE(B2145,""changepct""),K2145)"),"")</f>
        <v/>
      </c>
      <c r="M2145" s="6">
        <f ca="1">IFERROR(__xludf.DUMMYFUNCTION("IFERROR(GOOGLEFINANCE(B2145,""change""),0)"),0)</f>
        <v>0</v>
      </c>
      <c r="N2145" s="6">
        <v>1</v>
      </c>
      <c r="O2145" s="7">
        <v>45536</v>
      </c>
      <c r="P2145" s="6">
        <v>1.35</v>
      </c>
      <c r="Q2145" s="7">
        <v>45536</v>
      </c>
      <c r="R2145" s="6">
        <v>53.04</v>
      </c>
      <c r="S2145" s="6">
        <v>0.56999999999999995</v>
      </c>
      <c r="T2145" s="6">
        <v>5.36</v>
      </c>
      <c r="U2145" s="6">
        <v>1</v>
      </c>
      <c r="V2145" s="7">
        <v>45352</v>
      </c>
      <c r="W2145" s="10">
        <f ca="1">IFERROR(__xludf.DUMMYFUNCTION("IFERROR(GOOGLEFINANCE(B2145,""pe""),V2145)"),45352)</f>
        <v>45352</v>
      </c>
      <c r="X2145" s="6">
        <v>0</v>
      </c>
      <c r="Y2145" s="6">
        <v>12.12</v>
      </c>
      <c r="Z2145" s="6">
        <v>15.22</v>
      </c>
      <c r="AA2145" s="3" t="s">
        <v>6676</v>
      </c>
      <c r="AB2145" s="11"/>
      <c r="AC2145" s="9"/>
      <c r="AD2145" s="9"/>
      <c r="AE2145" s="1">
        <v>0</v>
      </c>
      <c r="AF2145" s="1">
        <f ca="1">IFERROR(__xludf.DUMMYFUNCTION("IFERROR(GOOGLEFINANCE(TRIM(F2145)&amp;"":"" &amp; TRIM(B2145),""high52""),AE2145)"),0)</f>
        <v>0</v>
      </c>
      <c r="AG2145" s="1">
        <v>0</v>
      </c>
      <c r="AH2145" s="1">
        <f ca="1">IFERROR(__xludf.DUMMYFUNCTION("IFERROR(GOOGLEFINANCE(TRIM(F2145)&amp;"":"" &amp; TRIM(B2145),""low52""),AE2145)"),0)</f>
        <v>0</v>
      </c>
      <c r="AI2145" s="1">
        <f ca="1">IFERROR(__xludf.DUMMYFUNCTION("IFERROR(GOOGLEFINANCE(B2145,""eps""),0)"),0)</f>
        <v>0</v>
      </c>
      <c r="AJ2145" s="1"/>
      <c r="AK2145" s="1" t="s">
        <v>6677</v>
      </c>
      <c r="AL2145" s="9">
        <f t="shared" si="231"/>
        <v>1</v>
      </c>
    </row>
    <row r="2146" spans="1:38" ht="15" x14ac:dyDescent="0.25">
      <c r="A2146" s="1" t="s">
        <v>6678</v>
      </c>
      <c r="B2146" s="1" t="s">
        <v>6679</v>
      </c>
      <c r="C2146" s="1" t="s">
        <v>208</v>
      </c>
      <c r="D2146" s="1" t="s">
        <v>208</v>
      </c>
      <c r="E2146" s="6">
        <v>285.04000000000002</v>
      </c>
      <c r="F2146" s="1" t="s">
        <v>53</v>
      </c>
      <c r="G2146" s="6">
        <f ca="1">IFERROR(__xludf.DUMMYFUNCTION("iferror(GOOGLEFINANCE(TRIM(F2146)&amp;"":"" &amp; TRIM(B2146), ""price""),0
)"),0)</f>
        <v>0</v>
      </c>
      <c r="H2146" s="6">
        <v>444.6</v>
      </c>
      <c r="I2146" s="6">
        <f t="shared" ca="1" si="0"/>
        <v>444.6</v>
      </c>
      <c r="J2146" s="6">
        <f ca="1">IFERROR(__xludf.DUMMYFUNCTION("IFERROR(GOOGLEFINANCE(B2146, ""volume""), 0)"),0)</f>
        <v>0</v>
      </c>
      <c r="K2146" s="6">
        <v>2</v>
      </c>
      <c r="L2146" s="6">
        <f ca="1">IFERROR(__xludf.DUMMYFUNCTION("IFERROR(GOOGLEFINANCE(B2146,""changepct""),K2146)"),2)</f>
        <v>2</v>
      </c>
      <c r="M2146" s="6">
        <f ca="1">IFERROR(__xludf.DUMMYFUNCTION("IFERROR(GOOGLEFINANCE(B2146,""change""),0)"),0)</f>
        <v>0</v>
      </c>
      <c r="N2146" s="6">
        <v>1</v>
      </c>
      <c r="O2146" s="7">
        <v>45536</v>
      </c>
      <c r="P2146" s="6">
        <v>5.23</v>
      </c>
      <c r="Q2146" s="7">
        <v>45536</v>
      </c>
      <c r="R2146" s="6">
        <v>54.51</v>
      </c>
      <c r="S2146" s="9"/>
      <c r="T2146" s="6">
        <v>6.86</v>
      </c>
      <c r="U2146" s="6">
        <v>1</v>
      </c>
      <c r="V2146" s="7">
        <v>45352</v>
      </c>
      <c r="W2146" s="10">
        <f ca="1">IFERROR(__xludf.DUMMYFUNCTION("IFERROR(GOOGLEFINANCE(B2146,""pe""),V2146)"),45352)</f>
        <v>45352</v>
      </c>
      <c r="X2146" s="6">
        <v>7.13</v>
      </c>
      <c r="Y2146" s="6">
        <v>-26.78</v>
      </c>
      <c r="Z2146" s="6">
        <v>10.6</v>
      </c>
      <c r="AA2146" s="3" t="s">
        <v>6680</v>
      </c>
      <c r="AB2146" s="11"/>
      <c r="AC2146" s="9"/>
      <c r="AD2146" s="9"/>
      <c r="AE2146" s="1">
        <v>0</v>
      </c>
      <c r="AF2146" s="1">
        <f ca="1">IFERROR(__xludf.DUMMYFUNCTION("IFERROR(GOOGLEFINANCE(TRIM(F2146)&amp;"":"" &amp; TRIM(B2146),""high52""),AE2146)"),0)</f>
        <v>0</v>
      </c>
      <c r="AG2146" s="1">
        <v>0</v>
      </c>
      <c r="AH2146" s="1">
        <f ca="1">IFERROR(__xludf.DUMMYFUNCTION("IFERROR(GOOGLEFINANCE(TRIM(F2146)&amp;"":"" &amp; TRIM(B2146),""low52""),AE2146)"),0)</f>
        <v>0</v>
      </c>
      <c r="AI2146" s="1">
        <f ca="1">IFERROR(__xludf.DUMMYFUNCTION("IFERROR(GOOGLEFINANCE(B2146,""eps""),0)"),0)</f>
        <v>0</v>
      </c>
      <c r="AJ2146" s="1"/>
      <c r="AK2146" s="1" t="s">
        <v>6681</v>
      </c>
      <c r="AL2146" s="9">
        <f t="shared" si="231"/>
        <v>1</v>
      </c>
    </row>
    <row r="2147" spans="1:38" ht="15" x14ac:dyDescent="0.25">
      <c r="A2147" s="1" t="s">
        <v>6682</v>
      </c>
      <c r="B2147" s="1" t="s">
        <v>6683</v>
      </c>
      <c r="C2147" s="1" t="s">
        <v>208</v>
      </c>
      <c r="D2147" s="1" t="s">
        <v>208</v>
      </c>
      <c r="E2147" s="6">
        <v>63.66</v>
      </c>
      <c r="F2147" s="1" t="s">
        <v>53</v>
      </c>
      <c r="G2147" s="6">
        <f ca="1">IFERROR(__xludf.DUMMYFUNCTION("iferror(GOOGLEFINANCE(TRIM(F2147)&amp;"":"" &amp; TRIM(B2147), ""price""),0
)"),0)</f>
        <v>0</v>
      </c>
      <c r="H2147" s="6">
        <v>24</v>
      </c>
      <c r="I2147" s="6">
        <f t="shared" ca="1" si="0"/>
        <v>24</v>
      </c>
      <c r="J2147" s="6">
        <f ca="1">IFERROR(__xludf.DUMMYFUNCTION("IFERROR(GOOGLEFINANCE(B2147, ""volume""), 0)"),0)</f>
        <v>0</v>
      </c>
      <c r="K2147" s="6">
        <v>-1.03</v>
      </c>
      <c r="L2147" s="6">
        <f ca="1">IFERROR(__xludf.DUMMYFUNCTION("IFERROR(GOOGLEFINANCE(B2147,""changepct""),K2147)"),-0.33)</f>
        <v>-0.33</v>
      </c>
      <c r="M2147" s="6">
        <f ca="1">IFERROR(__xludf.DUMMYFUNCTION("IFERROR(GOOGLEFINANCE(B2147,""change""),0)"),-1.12)</f>
        <v>-1.1200000000000001</v>
      </c>
      <c r="N2147" s="6">
        <v>1</v>
      </c>
      <c r="O2147" s="7">
        <v>45536</v>
      </c>
      <c r="P2147" s="6">
        <v>1.1299999999999999</v>
      </c>
      <c r="Q2147" s="7">
        <v>45536</v>
      </c>
      <c r="R2147" s="6">
        <v>56.24</v>
      </c>
      <c r="S2147" s="6">
        <v>0.88</v>
      </c>
      <c r="T2147" s="6">
        <v>4.6100000000000003</v>
      </c>
      <c r="U2147" s="6">
        <v>1</v>
      </c>
      <c r="V2147" s="7">
        <v>45352</v>
      </c>
      <c r="W2147" s="6">
        <f ca="1">IFERROR(__xludf.DUMMYFUNCTION("IFERROR(GOOGLEFINANCE(B2147,""pe""),V2147)"),19.31)</f>
        <v>19.309999999999999</v>
      </c>
      <c r="X2147" s="6">
        <v>0.02</v>
      </c>
      <c r="Y2147" s="6">
        <v>8.1</v>
      </c>
      <c r="Z2147" s="6">
        <v>11.13</v>
      </c>
      <c r="AA2147" s="3" t="s">
        <v>6684</v>
      </c>
      <c r="AB2147" s="11"/>
      <c r="AC2147" s="9"/>
      <c r="AD2147" s="9"/>
      <c r="AE2147" s="1">
        <v>0</v>
      </c>
      <c r="AF2147" s="1">
        <f ca="1">IFERROR(__xludf.DUMMYFUNCTION("IFERROR(GOOGLEFINANCE(TRIM(F2147)&amp;"":"" &amp; TRIM(B2147),""high52""),AE2147)"),0)</f>
        <v>0</v>
      </c>
      <c r="AG2147" s="1">
        <v>0</v>
      </c>
      <c r="AH2147" s="1">
        <f ca="1">IFERROR(__xludf.DUMMYFUNCTION("IFERROR(GOOGLEFINANCE(TRIM(F2147)&amp;"":"" &amp; TRIM(B2147),""low52""),AE2147)"),0)</f>
        <v>0</v>
      </c>
      <c r="AI2147" s="1">
        <f ca="1">IFERROR(__xludf.DUMMYFUNCTION("IFERROR(GOOGLEFINANCE(B2147,""eps""),0)"),17.66)</f>
        <v>17.66</v>
      </c>
      <c r="AJ2147" s="1"/>
      <c r="AK2147" s="9"/>
      <c r="AL2147" s="9">
        <f t="shared" si="231"/>
        <v>1</v>
      </c>
    </row>
    <row r="2148" spans="1:38" ht="15" x14ac:dyDescent="0.25">
      <c r="A2148" s="1" t="s">
        <v>6685</v>
      </c>
      <c r="B2148" s="1" t="s">
        <v>6686</v>
      </c>
      <c r="C2148" s="1" t="s">
        <v>255</v>
      </c>
      <c r="D2148" s="1" t="s">
        <v>255</v>
      </c>
      <c r="E2148" s="6">
        <v>692.84</v>
      </c>
      <c r="F2148" s="1" t="s">
        <v>40</v>
      </c>
      <c r="G2148" s="6">
        <f ca="1">IFERROR(__xludf.DUMMYFUNCTION("iferror(GOOGLEFINANCE(TRIM(F2148)&amp;"":"" &amp; TRIM(B2148), ""price""),0
)"),0)</f>
        <v>0</v>
      </c>
      <c r="H2148" s="6">
        <v>1705</v>
      </c>
      <c r="I2148" s="6">
        <f t="shared" ca="1" si="0"/>
        <v>1705</v>
      </c>
      <c r="J2148" s="6">
        <f ca="1">IFERROR(__xludf.DUMMYFUNCTION("IFERROR(GOOGLEFINANCE(B2148, ""volume""), 0)"),0)</f>
        <v>0</v>
      </c>
      <c r="K2148" s="6">
        <v>-1.37</v>
      </c>
      <c r="L2148" s="6">
        <f ca="1">IFERROR(__xludf.DUMMYFUNCTION("IFERROR(GOOGLEFINANCE(B2148,""changepct""),K2148)"),-1.37)</f>
        <v>-1.37</v>
      </c>
      <c r="M2148" s="6">
        <f ca="1">IFERROR(__xludf.DUMMYFUNCTION("IFERROR(GOOGLEFINANCE(B2148,""change""),0)"),0)</f>
        <v>0</v>
      </c>
      <c r="N2148" s="6">
        <v>1</v>
      </c>
      <c r="O2148" s="7">
        <v>45536</v>
      </c>
      <c r="P2148" s="6">
        <v>0.28000000000000003</v>
      </c>
      <c r="Q2148" s="6">
        <v>693.13</v>
      </c>
      <c r="R2148" s="7">
        <v>45536</v>
      </c>
      <c r="S2148" s="6">
        <v>180.3</v>
      </c>
      <c r="T2148" s="6">
        <v>16.190000000000001</v>
      </c>
      <c r="U2148" s="7">
        <v>45536</v>
      </c>
      <c r="V2148" s="6">
        <v>42.8</v>
      </c>
      <c r="W2148" s="6">
        <f ca="1">IFERROR(__xludf.DUMMYFUNCTION("IFERROR(GOOGLEFINANCE(B2148,""pe""),V2148)"),42.8)</f>
        <v>42.8</v>
      </c>
      <c r="X2148" s="9"/>
      <c r="Y2148" s="6">
        <v>8.5500000000000007</v>
      </c>
      <c r="Z2148" s="6">
        <v>1</v>
      </c>
      <c r="AA2148" s="8">
        <v>45352</v>
      </c>
      <c r="AB2148" s="4">
        <v>0.01</v>
      </c>
      <c r="AC2148" s="6">
        <v>29</v>
      </c>
      <c r="AD2148" s="6">
        <v>39.909999999999997</v>
      </c>
      <c r="AE2148" s="1">
        <v>0</v>
      </c>
      <c r="AF2148" s="1">
        <f ca="1">IFERROR(__xludf.DUMMYFUNCTION("IFERROR(GOOGLEFINANCE(TRIM(F2148)&amp;"":"" &amp; TRIM(B2148),""high52""),AE2148)"),0)</f>
        <v>0</v>
      </c>
      <c r="AG2148" s="1">
        <v>0</v>
      </c>
      <c r="AH2148" s="1">
        <f ca="1">IFERROR(__xludf.DUMMYFUNCTION("IFERROR(GOOGLEFINANCE(TRIM(F2148)&amp;"":"" &amp; TRIM(B2148),""low52""),AE2148)"),0)</f>
        <v>0</v>
      </c>
      <c r="AI2148" s="1">
        <f ca="1">IFERROR(__xludf.DUMMYFUNCTION("IFERROR(GOOGLEFINANCE(B2148,""eps""),0)"),0)</f>
        <v>0</v>
      </c>
      <c r="AJ2148" s="1"/>
      <c r="AK2148" s="1" t="s">
        <v>6687</v>
      </c>
      <c r="AL2148" s="9">
        <f t="shared" si="231"/>
        <v>1</v>
      </c>
    </row>
    <row r="2149" spans="1:38" ht="15" x14ac:dyDescent="0.25">
      <c r="A2149" s="1" t="s">
        <v>6688</v>
      </c>
      <c r="B2149" s="1" t="s">
        <v>6689</v>
      </c>
      <c r="C2149" s="1" t="s">
        <v>208</v>
      </c>
      <c r="D2149" s="1" t="s">
        <v>208</v>
      </c>
      <c r="E2149" s="6">
        <v>80.55</v>
      </c>
      <c r="F2149" s="1" t="s">
        <v>53</v>
      </c>
      <c r="G2149" s="6">
        <f ca="1">IFERROR(__xludf.DUMMYFUNCTION("iferror(GOOGLEFINANCE(TRIM(F2149)&amp;"":"" &amp; TRIM(B2149), ""price""),0
)"),0)</f>
        <v>0</v>
      </c>
      <c r="H2149" s="6">
        <v>92.4</v>
      </c>
      <c r="I2149" s="6">
        <f t="shared" ca="1" si="0"/>
        <v>92.4</v>
      </c>
      <c r="J2149" s="6">
        <f ca="1">IFERROR(__xludf.DUMMYFUNCTION("IFERROR(GOOGLEFINANCE(B2149, ""volume""), 0)"),0)</f>
        <v>0</v>
      </c>
      <c r="K2149" s="6">
        <v>2</v>
      </c>
      <c r="L2149" s="6">
        <f ca="1">IFERROR(__xludf.DUMMYFUNCTION("IFERROR(GOOGLEFINANCE(B2149,""changepct""),K2149)"),2)</f>
        <v>2</v>
      </c>
      <c r="M2149" s="6">
        <f ca="1">IFERROR(__xludf.DUMMYFUNCTION("IFERROR(GOOGLEFINANCE(B2149,""change""),0)"),0)</f>
        <v>0</v>
      </c>
      <c r="N2149" s="6">
        <v>1</v>
      </c>
      <c r="O2149" s="7">
        <v>45536</v>
      </c>
      <c r="P2149" s="6">
        <v>1.42</v>
      </c>
      <c r="Q2149" s="7">
        <v>45536</v>
      </c>
      <c r="R2149" s="6">
        <v>56.89</v>
      </c>
      <c r="S2149" s="6">
        <v>0.7</v>
      </c>
      <c r="T2149" s="6">
        <v>6.12</v>
      </c>
      <c r="U2149" s="6">
        <v>1</v>
      </c>
      <c r="V2149" s="7">
        <v>45352</v>
      </c>
      <c r="W2149" s="10">
        <f ca="1">IFERROR(__xludf.DUMMYFUNCTION("IFERROR(GOOGLEFINANCE(B2149,""pe""),V2149)"),45352)</f>
        <v>45352</v>
      </c>
      <c r="X2149" s="6">
        <v>0.17</v>
      </c>
      <c r="Y2149" s="6">
        <v>9.73</v>
      </c>
      <c r="Z2149" s="6">
        <v>11.6</v>
      </c>
      <c r="AA2149" s="3" t="s">
        <v>6690</v>
      </c>
      <c r="AB2149" s="11"/>
      <c r="AC2149" s="9"/>
      <c r="AD2149" s="9"/>
      <c r="AE2149" s="1">
        <v>0</v>
      </c>
      <c r="AF2149" s="1">
        <f ca="1">IFERROR(__xludf.DUMMYFUNCTION("IFERROR(GOOGLEFINANCE(TRIM(F2149)&amp;"":"" &amp; TRIM(B2149),""high52""),AE2149)"),0)</f>
        <v>0</v>
      </c>
      <c r="AG2149" s="1">
        <v>0</v>
      </c>
      <c r="AH2149" s="1">
        <f ca="1">IFERROR(__xludf.DUMMYFUNCTION("IFERROR(GOOGLEFINANCE(TRIM(F2149)&amp;"":"" &amp; TRIM(B2149),""low52""),AE2149)"),0)</f>
        <v>0</v>
      </c>
      <c r="AI2149" s="1">
        <f ca="1">IFERROR(__xludf.DUMMYFUNCTION("IFERROR(GOOGLEFINANCE(B2149,""eps""),0)"),0)</f>
        <v>0</v>
      </c>
      <c r="AJ2149" s="1"/>
      <c r="AK2149" s="1" t="s">
        <v>6691</v>
      </c>
      <c r="AL2149" s="9">
        <f t="shared" si="231"/>
        <v>1</v>
      </c>
    </row>
    <row r="2150" spans="1:38" ht="15" x14ac:dyDescent="0.25">
      <c r="A2150" s="1" t="s">
        <v>6692</v>
      </c>
      <c r="B2150" s="1" t="s">
        <v>6693</v>
      </c>
      <c r="C2150" s="1" t="s">
        <v>208</v>
      </c>
      <c r="D2150" s="1" t="s">
        <v>208</v>
      </c>
      <c r="E2150" s="6">
        <v>12.76</v>
      </c>
      <c r="F2150" s="1" t="s">
        <v>53</v>
      </c>
      <c r="G2150" s="6">
        <f ca="1">IFERROR(__xludf.DUMMYFUNCTION("iferror(GOOGLEFINANCE(TRIM(F2150)&amp;"":"" &amp; TRIM(B2150), ""price""),0
)"),0)</f>
        <v>0</v>
      </c>
      <c r="H2150" s="6">
        <v>6.36</v>
      </c>
      <c r="I2150" s="6">
        <f t="shared" ca="1" si="0"/>
        <v>6.36</v>
      </c>
      <c r="J2150" s="6">
        <f ca="1">IFERROR(__xludf.DUMMYFUNCTION("IFERROR(GOOGLEFINANCE(B2150, ""volume""), 0)"),0)</f>
        <v>0</v>
      </c>
      <c r="K2150" s="6">
        <v>1.92</v>
      </c>
      <c r="L2150" s="6">
        <f ca="1">IFERROR(__xludf.DUMMYFUNCTION("IFERROR(GOOGLEFINANCE(B2150,""changepct""),K2150)"),1.92)</f>
        <v>1.92</v>
      </c>
      <c r="M2150" s="6">
        <f ca="1">IFERROR(__xludf.DUMMYFUNCTION("IFERROR(GOOGLEFINANCE(B2150,""change""),0)"),0)</f>
        <v>0</v>
      </c>
      <c r="N2150" s="6">
        <v>1</v>
      </c>
      <c r="O2150" s="7">
        <v>45536</v>
      </c>
      <c r="P2150" s="6">
        <v>0.22</v>
      </c>
      <c r="Q2150" s="7">
        <v>45536</v>
      </c>
      <c r="R2150" s="6">
        <v>57.72</v>
      </c>
      <c r="S2150" s="9"/>
      <c r="T2150" s="6">
        <v>0.4</v>
      </c>
      <c r="U2150" s="6">
        <v>1</v>
      </c>
      <c r="V2150" s="7">
        <v>45352</v>
      </c>
      <c r="W2150" s="10">
        <f ca="1">IFERROR(__xludf.DUMMYFUNCTION("IFERROR(GOOGLEFINANCE(B2150,""pe""),V2150)"),45352)</f>
        <v>45352</v>
      </c>
      <c r="X2150" s="6">
        <v>1.28</v>
      </c>
      <c r="Y2150" s="6">
        <v>-1.39</v>
      </c>
      <c r="Z2150" s="6">
        <v>6.81</v>
      </c>
      <c r="AA2150" s="3" t="s">
        <v>6694</v>
      </c>
      <c r="AB2150" s="11"/>
      <c r="AC2150" s="9"/>
      <c r="AD2150" s="9"/>
      <c r="AE2150" s="1">
        <v>0</v>
      </c>
      <c r="AF2150" s="1">
        <f ca="1">IFERROR(__xludf.DUMMYFUNCTION("IFERROR(GOOGLEFINANCE(TRIM(F2150)&amp;"":"" &amp; TRIM(B2150),""high52""),AE2150)"),0)</f>
        <v>0</v>
      </c>
      <c r="AG2150" s="1">
        <v>0</v>
      </c>
      <c r="AH2150" s="1">
        <f ca="1">IFERROR(__xludf.DUMMYFUNCTION("IFERROR(GOOGLEFINANCE(TRIM(F2150)&amp;"":"" &amp; TRIM(B2150),""low52""),AE2150)"),0)</f>
        <v>0</v>
      </c>
      <c r="AI2150" s="1">
        <f ca="1">IFERROR(__xludf.DUMMYFUNCTION("IFERROR(GOOGLEFINANCE(B2150,""eps""),0)"),0)</f>
        <v>0</v>
      </c>
      <c r="AJ2150" s="1"/>
      <c r="AK2150" s="1" t="s">
        <v>6695</v>
      </c>
      <c r="AL2150" s="9">
        <f t="shared" si="231"/>
        <v>1</v>
      </c>
    </row>
    <row r="2151" spans="1:38" ht="15" x14ac:dyDescent="0.25">
      <c r="A2151" s="1" t="s">
        <v>6696</v>
      </c>
      <c r="B2151" s="1" t="s">
        <v>6697</v>
      </c>
      <c r="C2151" s="1" t="s">
        <v>208</v>
      </c>
      <c r="D2151" s="1" t="s">
        <v>208</v>
      </c>
      <c r="E2151" s="6">
        <v>33.26</v>
      </c>
      <c r="F2151" s="1" t="s">
        <v>53</v>
      </c>
      <c r="G2151" s="6">
        <f ca="1">IFERROR(__xludf.DUMMYFUNCTION("iferror(GOOGLEFINANCE(TRIM(F2151)&amp;"":"" &amp; TRIM(B2151), ""price""),0
)"),0)</f>
        <v>0</v>
      </c>
      <c r="H2151" s="6">
        <v>33</v>
      </c>
      <c r="I2151" s="6">
        <f t="shared" ca="1" si="0"/>
        <v>33</v>
      </c>
      <c r="J2151" s="6">
        <f ca="1">IFERROR(__xludf.DUMMYFUNCTION("IFERROR(GOOGLEFINANCE(B2151, ""volume""), 0)"),0)</f>
        <v>0</v>
      </c>
      <c r="K2151" s="9"/>
      <c r="L2151" s="6" t="str">
        <f ca="1">IFERROR(__xludf.DUMMYFUNCTION("IFERROR(GOOGLEFINANCE(B2151,""changepct""),K2151)"),"")</f>
        <v/>
      </c>
      <c r="M2151" s="6">
        <f ca="1">IFERROR(__xludf.DUMMYFUNCTION("IFERROR(GOOGLEFINANCE(B2151,""change""),0)"),0)</f>
        <v>0</v>
      </c>
      <c r="N2151" s="6">
        <v>1</v>
      </c>
      <c r="O2151" s="7">
        <v>45536</v>
      </c>
      <c r="P2151" s="6">
        <v>0.56999999999999995</v>
      </c>
      <c r="Q2151" s="7">
        <v>45536</v>
      </c>
      <c r="R2151" s="6">
        <v>57.94</v>
      </c>
      <c r="S2151" s="6">
        <v>4.9000000000000004</v>
      </c>
      <c r="T2151" s="6">
        <v>1.47</v>
      </c>
      <c r="U2151" s="6">
        <v>1</v>
      </c>
      <c r="V2151" s="7">
        <v>45352</v>
      </c>
      <c r="W2151" s="10">
        <f ca="1">IFERROR(__xludf.DUMMYFUNCTION("IFERROR(GOOGLEFINANCE(B2151,""pe""),V2151)"),45352)</f>
        <v>45352</v>
      </c>
      <c r="X2151" s="6">
        <v>0</v>
      </c>
      <c r="Y2151" s="6">
        <v>1.74</v>
      </c>
      <c r="Z2151" s="6">
        <v>2.64</v>
      </c>
      <c r="AA2151" s="3" t="s">
        <v>6698</v>
      </c>
      <c r="AB2151" s="11"/>
      <c r="AC2151" s="9"/>
      <c r="AD2151" s="9"/>
      <c r="AE2151" s="1">
        <v>0</v>
      </c>
      <c r="AF2151" s="1">
        <f ca="1">IFERROR(__xludf.DUMMYFUNCTION("IFERROR(GOOGLEFINANCE(TRIM(F2151)&amp;"":"" &amp; TRIM(B2151),""high52""),AE2151)"),0)</f>
        <v>0</v>
      </c>
      <c r="AG2151" s="1">
        <v>0</v>
      </c>
      <c r="AH2151" s="1">
        <f ca="1">IFERROR(__xludf.DUMMYFUNCTION("IFERROR(GOOGLEFINANCE(TRIM(F2151)&amp;"":"" &amp; TRIM(B2151),""low52""),AE2151)"),0)</f>
        <v>0</v>
      </c>
      <c r="AI2151" s="1">
        <f ca="1">IFERROR(__xludf.DUMMYFUNCTION("IFERROR(GOOGLEFINANCE(B2151,""eps""),0)"),0)</f>
        <v>0</v>
      </c>
      <c r="AJ2151" s="1"/>
      <c r="AK2151" s="1" t="s">
        <v>6699</v>
      </c>
      <c r="AL2151" s="9">
        <f t="shared" si="231"/>
        <v>1</v>
      </c>
    </row>
    <row r="2152" spans="1:38" ht="15" x14ac:dyDescent="0.25">
      <c r="A2152" s="1" t="s">
        <v>6700</v>
      </c>
      <c r="B2152" s="1" t="s">
        <v>6701</v>
      </c>
      <c r="C2152" s="1" t="s">
        <v>1067</v>
      </c>
      <c r="D2152" s="1" t="s">
        <v>1067</v>
      </c>
      <c r="E2152" s="6">
        <v>365028.7</v>
      </c>
      <c r="F2152" s="1" t="s">
        <v>40</v>
      </c>
      <c r="G2152" s="6">
        <f ca="1">IFERROR(__xludf.DUMMYFUNCTION("iferror(GOOGLEFINANCE(TRIM(F2152)&amp;"":"" &amp; TRIM(B2152), ""price""),0
)"),407.8)</f>
        <v>407.8</v>
      </c>
      <c r="H2152" s="6">
        <v>1825.05</v>
      </c>
      <c r="I2152" s="6">
        <f t="shared" ca="1" si="0"/>
        <v>407.8</v>
      </c>
      <c r="J2152" s="6">
        <f ca="1">IFERROR(__xludf.DUMMYFUNCTION("IFERROR(GOOGLEFINANCE(B2152, ""volume""), 0)"),15422034)</f>
        <v>15422034</v>
      </c>
      <c r="K2152" s="6">
        <v>-0.66</v>
      </c>
      <c r="L2152" s="6">
        <f ca="1">IFERROR(__xludf.DUMMYFUNCTION("IFERROR(GOOGLEFINANCE(B2152,""changepct""),K2152)"),0.14)</f>
        <v>0.14000000000000001</v>
      </c>
      <c r="M2152" s="6">
        <f ca="1">IFERROR(__xludf.DUMMYFUNCTION("IFERROR(GOOGLEFINANCE(B2152,""change""),0)"),0.55)</f>
        <v>0.55000000000000004</v>
      </c>
      <c r="N2152" s="6">
        <v>2</v>
      </c>
      <c r="O2152" s="7">
        <v>45536</v>
      </c>
      <c r="P2152" s="6">
        <v>61914.9</v>
      </c>
      <c r="Q2152" s="6">
        <v>21841.81</v>
      </c>
      <c r="R2152" s="7">
        <v>45536</v>
      </c>
      <c r="S2152" s="6">
        <v>16.52</v>
      </c>
      <c r="T2152" s="6">
        <v>0.81</v>
      </c>
      <c r="U2152" s="6">
        <v>2.48</v>
      </c>
      <c r="V2152" s="6">
        <v>2</v>
      </c>
      <c r="W2152" s="6">
        <f ca="1">IFERROR(__xludf.DUMMYFUNCTION("IFERROR(GOOGLEFINANCE(B2152,""pe""),V2152)"),21.57)</f>
        <v>21.57</v>
      </c>
      <c r="X2152" s="7">
        <v>45352</v>
      </c>
      <c r="Y2152" s="6">
        <v>14.88</v>
      </c>
      <c r="Z2152" s="6">
        <v>1</v>
      </c>
      <c r="AA2152" s="8">
        <v>45352</v>
      </c>
      <c r="AB2152" s="4">
        <v>0.34</v>
      </c>
      <c r="AC2152" s="6">
        <v>4.45</v>
      </c>
      <c r="AD2152" s="6">
        <v>12.18</v>
      </c>
      <c r="AE2152" s="1">
        <v>0</v>
      </c>
      <c r="AF2152" s="1">
        <f ca="1">IFERROR(__xludf.DUMMYFUNCTION("IFERROR(GOOGLEFINANCE(TRIM(F2152)&amp;"":"" &amp; TRIM(B2152),""high52""),AE2152)"),460.38)</f>
        <v>460.38</v>
      </c>
      <c r="AG2152" s="1">
        <v>0</v>
      </c>
      <c r="AH2152" s="1">
        <f ca="1">IFERROR(__xludf.DUMMYFUNCTION("IFERROR(GOOGLEFINANCE(TRIM(F2152)&amp;"":"" &amp; TRIM(B2152),""low52""),AE2152)"),375.44)</f>
        <v>375.44</v>
      </c>
      <c r="AI2152" s="1">
        <f ca="1">IFERROR(__xludf.DUMMYFUNCTION("IFERROR(GOOGLEFINANCE(B2152,""eps""),0)"),18.9)</f>
        <v>18.899999999999999</v>
      </c>
      <c r="AJ2152" s="1"/>
      <c r="AK2152" s="1" t="s">
        <v>6702</v>
      </c>
      <c r="AL2152" s="1" t="b">
        <f>ISNUMBER(AA2152)</f>
        <v>1</v>
      </c>
    </row>
    <row r="2153" spans="1:38" ht="15" x14ac:dyDescent="0.25">
      <c r="A2153" s="1" t="s">
        <v>6703</v>
      </c>
      <c r="B2153" s="1" t="s">
        <v>6704</v>
      </c>
      <c r="C2153" s="1" t="s">
        <v>470</v>
      </c>
      <c r="D2153" s="1" t="s">
        <v>470</v>
      </c>
      <c r="E2153" s="6">
        <v>1161.69</v>
      </c>
      <c r="F2153" s="1" t="s">
        <v>40</v>
      </c>
      <c r="G2153" s="6">
        <f ca="1">IFERROR(__xludf.DUMMYFUNCTION("iferror(GOOGLEFINANCE(TRIM(F2153)&amp;"":"" &amp; TRIM(B2153), ""price""),0
)"),117.69)</f>
        <v>117.69</v>
      </c>
      <c r="H2153" s="6">
        <v>198.3</v>
      </c>
      <c r="I2153" s="6">
        <f t="shared" ca="1" si="0"/>
        <v>117.69</v>
      </c>
      <c r="J2153" s="6">
        <f ca="1">IFERROR(__xludf.DUMMYFUNCTION("IFERROR(GOOGLEFINANCE(B2153, ""volume""), 0)"),23144)</f>
        <v>23144</v>
      </c>
      <c r="K2153" s="6">
        <v>0.45</v>
      </c>
      <c r="L2153" s="6">
        <f ca="1">IFERROR(__xludf.DUMMYFUNCTION("IFERROR(GOOGLEFINANCE(B2153,""changepct""),K2153)"),0.86)</f>
        <v>0.86</v>
      </c>
      <c r="M2153" s="6">
        <f ca="1">IFERROR(__xludf.DUMMYFUNCTION("IFERROR(GOOGLEFINANCE(B2153,""change""),0)"),1)</f>
        <v>1</v>
      </c>
      <c r="N2153" s="6">
        <v>1</v>
      </c>
      <c r="O2153" s="7">
        <v>45536</v>
      </c>
      <c r="P2153" s="12"/>
      <c r="Q2153" s="6">
        <v>1138.54</v>
      </c>
      <c r="R2153" s="7">
        <v>45536</v>
      </c>
      <c r="S2153" s="6">
        <v>618.32000000000005</v>
      </c>
      <c r="T2153" s="6">
        <v>65.28</v>
      </c>
      <c r="U2153" s="7">
        <v>45536</v>
      </c>
      <c r="V2153" s="6">
        <v>17.8</v>
      </c>
      <c r="W2153" s="6">
        <f ca="1">IFERROR(__xludf.DUMMYFUNCTION("IFERROR(GOOGLEFINANCE(B2153,""pe""),V2153)"),10.7)</f>
        <v>10.7</v>
      </c>
      <c r="X2153" s="6">
        <v>0.45</v>
      </c>
      <c r="Y2153" s="6">
        <v>4.12</v>
      </c>
      <c r="Z2153" s="6">
        <v>1</v>
      </c>
      <c r="AA2153" s="8">
        <v>45352</v>
      </c>
      <c r="AB2153" s="4">
        <v>0</v>
      </c>
      <c r="AC2153" s="6">
        <v>29.13</v>
      </c>
      <c r="AD2153" s="6">
        <v>41.76</v>
      </c>
      <c r="AE2153" s="1">
        <v>0</v>
      </c>
      <c r="AF2153" s="1">
        <f ca="1">IFERROR(__xludf.DUMMYFUNCTION("IFERROR(GOOGLEFINANCE(TRIM(F2153)&amp;"":"" &amp; TRIM(B2153),""high52""),AE2153)"),191.95)</f>
        <v>191.95</v>
      </c>
      <c r="AG2153" s="1">
        <v>0</v>
      </c>
      <c r="AH2153" s="1">
        <f ca="1">IFERROR(__xludf.DUMMYFUNCTION("IFERROR(GOOGLEFINANCE(TRIM(F2153)&amp;"":"" &amp; TRIM(B2153),""low52""),AE2153)"),111.56)</f>
        <v>111.56</v>
      </c>
      <c r="AI2153" s="1">
        <f ca="1">IFERROR(__xludf.DUMMYFUNCTION("IFERROR(GOOGLEFINANCE(B2153,""eps""),0)"),11)</f>
        <v>11</v>
      </c>
      <c r="AJ2153" s="1"/>
      <c r="AK2153" s="1" t="s">
        <v>6705</v>
      </c>
      <c r="AL2153" s="9">
        <f t="shared" ref="AL2153:AL2174" si="232">IF(AA2153&lt;&gt;AB2153,1,0)</f>
        <v>1</v>
      </c>
    </row>
    <row r="2154" spans="1:38" ht="15" x14ac:dyDescent="0.25">
      <c r="A2154" s="1" t="s">
        <v>6706</v>
      </c>
      <c r="B2154" s="1" t="s">
        <v>6707</v>
      </c>
      <c r="C2154" s="1" t="s">
        <v>208</v>
      </c>
      <c r="D2154" s="1" t="s">
        <v>208</v>
      </c>
      <c r="E2154" s="6">
        <v>75.19</v>
      </c>
      <c r="F2154" s="1" t="s">
        <v>53</v>
      </c>
      <c r="G2154" s="6">
        <f ca="1">IFERROR(__xludf.DUMMYFUNCTION("iferror(GOOGLEFINANCE(TRIM(F2154)&amp;"":"" &amp; TRIM(B2154), ""price""),0
)"),0)</f>
        <v>0</v>
      </c>
      <c r="H2154" s="6">
        <v>70</v>
      </c>
      <c r="I2154" s="6">
        <f t="shared" ca="1" si="0"/>
        <v>70</v>
      </c>
      <c r="J2154" s="6">
        <f ca="1">IFERROR(__xludf.DUMMYFUNCTION("IFERROR(GOOGLEFINANCE(B2154, ""volume""), 0)"),0)</f>
        <v>0</v>
      </c>
      <c r="K2154" s="6">
        <v>-2.4900000000000002</v>
      </c>
      <c r="L2154" s="6">
        <f ca="1">IFERROR(__xludf.DUMMYFUNCTION("IFERROR(GOOGLEFINANCE(B2154,""changepct""),K2154)"),-2.49)</f>
        <v>-2.4900000000000002</v>
      </c>
      <c r="M2154" s="6">
        <f ca="1">IFERROR(__xludf.DUMMYFUNCTION("IFERROR(GOOGLEFINANCE(B2154,""change""),0)"),0)</f>
        <v>0</v>
      </c>
      <c r="N2154" s="6">
        <v>1</v>
      </c>
      <c r="O2154" s="7">
        <v>45536</v>
      </c>
      <c r="P2154" s="6">
        <v>1.24</v>
      </c>
      <c r="Q2154" s="7">
        <v>45536</v>
      </c>
      <c r="R2154" s="6">
        <v>60.73</v>
      </c>
      <c r="S2154" s="6">
        <v>3.15</v>
      </c>
      <c r="T2154" s="6">
        <v>4.91</v>
      </c>
      <c r="U2154" s="6">
        <v>1</v>
      </c>
      <c r="V2154" s="7">
        <v>45352</v>
      </c>
      <c r="W2154" s="10">
        <f ca="1">IFERROR(__xludf.DUMMYFUNCTION("IFERROR(GOOGLEFINANCE(B2154,""pe""),V2154)"),45352)</f>
        <v>45352</v>
      </c>
      <c r="X2154" s="6">
        <v>0</v>
      </c>
      <c r="Y2154" s="6">
        <v>9.33</v>
      </c>
      <c r="Z2154" s="6">
        <v>13.38</v>
      </c>
      <c r="AA2154" s="3" t="s">
        <v>6708</v>
      </c>
      <c r="AB2154" s="11"/>
      <c r="AC2154" s="9"/>
      <c r="AD2154" s="9"/>
      <c r="AE2154" s="1">
        <v>0</v>
      </c>
      <c r="AF2154" s="1">
        <f ca="1">IFERROR(__xludf.DUMMYFUNCTION("IFERROR(GOOGLEFINANCE(TRIM(F2154)&amp;"":"" &amp; TRIM(B2154),""high52""),AE2154)"),0)</f>
        <v>0</v>
      </c>
      <c r="AG2154" s="1">
        <v>0</v>
      </c>
      <c r="AH2154" s="1">
        <f ca="1">IFERROR(__xludf.DUMMYFUNCTION("IFERROR(GOOGLEFINANCE(TRIM(F2154)&amp;"":"" &amp; TRIM(B2154),""low52""),AE2154)"),0)</f>
        <v>0</v>
      </c>
      <c r="AI2154" s="1">
        <f ca="1">IFERROR(__xludf.DUMMYFUNCTION("IFERROR(GOOGLEFINANCE(B2154,""eps""),0)"),0)</f>
        <v>0</v>
      </c>
      <c r="AJ2154" s="1"/>
      <c r="AK2154" s="9"/>
      <c r="AL2154" s="9">
        <f t="shared" si="232"/>
        <v>1</v>
      </c>
    </row>
    <row r="2155" spans="1:38" ht="15" x14ac:dyDescent="0.25">
      <c r="A2155" s="1" t="s">
        <v>6709</v>
      </c>
      <c r="B2155" s="1" t="s">
        <v>6710</v>
      </c>
      <c r="C2155" s="1" t="s">
        <v>208</v>
      </c>
      <c r="D2155" s="1" t="s">
        <v>208</v>
      </c>
      <c r="E2155" s="6">
        <v>6.7</v>
      </c>
      <c r="F2155" s="1" t="s">
        <v>53</v>
      </c>
      <c r="G2155" s="6">
        <f ca="1">IFERROR(__xludf.DUMMYFUNCTION("iferror(GOOGLEFINANCE(TRIM(F2155)&amp;"":"" &amp; TRIM(B2155), ""price""),0
)"),0)</f>
        <v>0</v>
      </c>
      <c r="H2155" s="6">
        <v>19.149999999999999</v>
      </c>
      <c r="I2155" s="6">
        <f t="shared" ca="1" si="0"/>
        <v>19.149999999999999</v>
      </c>
      <c r="J2155" s="6">
        <f ca="1">IFERROR(__xludf.DUMMYFUNCTION("IFERROR(GOOGLEFINANCE(B2155, ""volume""), 0)"),0)</f>
        <v>0</v>
      </c>
      <c r="K2155" s="6">
        <v>-1.85</v>
      </c>
      <c r="L2155" s="6">
        <f ca="1">IFERROR(__xludf.DUMMYFUNCTION("IFERROR(GOOGLEFINANCE(B2155,""changepct""),K2155)"),-1.85)</f>
        <v>-1.85</v>
      </c>
      <c r="M2155" s="6">
        <f ca="1">IFERROR(__xludf.DUMMYFUNCTION("IFERROR(GOOGLEFINANCE(B2155,""change""),0)"),0)</f>
        <v>0</v>
      </c>
      <c r="N2155" s="6">
        <v>1</v>
      </c>
      <c r="O2155" s="7">
        <v>45536</v>
      </c>
      <c r="P2155" s="6">
        <v>0.11</v>
      </c>
      <c r="Q2155" s="7">
        <v>45536</v>
      </c>
      <c r="R2155" s="6">
        <v>60.89</v>
      </c>
      <c r="S2155" s="6">
        <v>2.11</v>
      </c>
      <c r="T2155" s="6">
        <v>1.77</v>
      </c>
      <c r="U2155" s="6">
        <v>1</v>
      </c>
      <c r="V2155" s="7">
        <v>45352</v>
      </c>
      <c r="W2155" s="10">
        <f ca="1">IFERROR(__xludf.DUMMYFUNCTION("IFERROR(GOOGLEFINANCE(B2155,""pe""),V2155)"),45352)</f>
        <v>45352</v>
      </c>
      <c r="X2155" s="6">
        <v>0.86</v>
      </c>
      <c r="Y2155" s="6">
        <v>2.67</v>
      </c>
      <c r="Z2155" s="6">
        <v>4.83</v>
      </c>
      <c r="AA2155" s="3" t="s">
        <v>6711</v>
      </c>
      <c r="AB2155" s="11"/>
      <c r="AC2155" s="9"/>
      <c r="AD2155" s="9"/>
      <c r="AE2155" s="1">
        <v>0</v>
      </c>
      <c r="AF2155" s="1">
        <f ca="1">IFERROR(__xludf.DUMMYFUNCTION("IFERROR(GOOGLEFINANCE(TRIM(F2155)&amp;"":"" &amp; TRIM(B2155),""high52""),AE2155)"),0)</f>
        <v>0</v>
      </c>
      <c r="AG2155" s="1">
        <v>0</v>
      </c>
      <c r="AH2155" s="1">
        <f ca="1">IFERROR(__xludf.DUMMYFUNCTION("IFERROR(GOOGLEFINANCE(TRIM(F2155)&amp;"":"" &amp; TRIM(B2155),""low52""),AE2155)"),0)</f>
        <v>0</v>
      </c>
      <c r="AI2155" s="1">
        <f ca="1">IFERROR(__xludf.DUMMYFUNCTION("IFERROR(GOOGLEFINANCE(B2155,""eps""),0)"),0)</f>
        <v>0</v>
      </c>
      <c r="AJ2155" s="1"/>
      <c r="AK2155" s="1" t="s">
        <v>6712</v>
      </c>
      <c r="AL2155" s="9">
        <f t="shared" si="232"/>
        <v>1</v>
      </c>
    </row>
    <row r="2156" spans="1:38" ht="15" x14ac:dyDescent="0.25">
      <c r="A2156" s="1" t="s">
        <v>6713</v>
      </c>
      <c r="B2156" s="1" t="s">
        <v>6714</v>
      </c>
      <c r="C2156" s="1" t="s">
        <v>208</v>
      </c>
      <c r="D2156" s="1" t="s">
        <v>208</v>
      </c>
      <c r="E2156" s="6">
        <v>15</v>
      </c>
      <c r="F2156" s="1" t="s">
        <v>53</v>
      </c>
      <c r="G2156" s="6">
        <f ca="1">IFERROR(__xludf.DUMMYFUNCTION("iferror(GOOGLEFINANCE(TRIM(F2156)&amp;"":"" &amp; TRIM(B2156), ""price""),0
)"),0)</f>
        <v>0</v>
      </c>
      <c r="H2156" s="6">
        <v>13.24</v>
      </c>
      <c r="I2156" s="6">
        <f t="shared" ca="1" si="0"/>
        <v>13.24</v>
      </c>
      <c r="J2156" s="6">
        <f ca="1">IFERROR(__xludf.DUMMYFUNCTION("IFERROR(GOOGLEFINANCE(B2156, ""volume""), 0)"),0)</f>
        <v>0</v>
      </c>
      <c r="K2156" s="6">
        <v>3.6</v>
      </c>
      <c r="L2156" s="6">
        <f ca="1">IFERROR(__xludf.DUMMYFUNCTION("IFERROR(GOOGLEFINANCE(B2156,""changepct""),K2156)"),3.6)</f>
        <v>3.6</v>
      </c>
      <c r="M2156" s="6">
        <f ca="1">IFERROR(__xludf.DUMMYFUNCTION("IFERROR(GOOGLEFINANCE(B2156,""change""),0)"),0)</f>
        <v>0</v>
      </c>
      <c r="N2156" s="6">
        <v>2</v>
      </c>
      <c r="O2156" s="7">
        <v>45352</v>
      </c>
      <c r="P2156" s="6">
        <v>0.25</v>
      </c>
      <c r="Q2156" s="7">
        <v>45352</v>
      </c>
      <c r="R2156" s="6">
        <v>62.52</v>
      </c>
      <c r="S2156" s="9"/>
      <c r="T2156" s="6">
        <v>1.1000000000000001</v>
      </c>
      <c r="U2156" s="6">
        <v>2</v>
      </c>
      <c r="V2156" s="7">
        <v>45352</v>
      </c>
      <c r="W2156" s="10">
        <f ca="1">IFERROR(__xludf.DUMMYFUNCTION("IFERROR(GOOGLEFINANCE(B2156,""pe""),V2156)"),45352)</f>
        <v>45352</v>
      </c>
      <c r="X2156" s="6">
        <v>3</v>
      </c>
      <c r="Y2156" s="6">
        <v>1.79</v>
      </c>
      <c r="Z2156" s="6">
        <v>3.26</v>
      </c>
      <c r="AA2156" s="3" t="s">
        <v>6715</v>
      </c>
      <c r="AB2156" s="11"/>
      <c r="AC2156" s="9"/>
      <c r="AD2156" s="9"/>
      <c r="AE2156" s="1">
        <v>0</v>
      </c>
      <c r="AF2156" s="1">
        <f ca="1">IFERROR(__xludf.DUMMYFUNCTION("IFERROR(GOOGLEFINANCE(TRIM(F2156)&amp;"":"" &amp; TRIM(B2156),""high52""),AE2156)"),0)</f>
        <v>0</v>
      </c>
      <c r="AG2156" s="1">
        <v>0</v>
      </c>
      <c r="AH2156" s="1">
        <f ca="1">IFERROR(__xludf.DUMMYFUNCTION("IFERROR(GOOGLEFINANCE(TRIM(F2156)&amp;"":"" &amp; TRIM(B2156),""low52""),AE2156)"),0)</f>
        <v>0</v>
      </c>
      <c r="AI2156" s="1">
        <f ca="1">IFERROR(__xludf.DUMMYFUNCTION("IFERROR(GOOGLEFINANCE(B2156,""eps""),0)"),0)</f>
        <v>0</v>
      </c>
      <c r="AJ2156" s="1"/>
      <c r="AK2156" s="1" t="s">
        <v>6716</v>
      </c>
      <c r="AL2156" s="9">
        <f t="shared" si="232"/>
        <v>1</v>
      </c>
    </row>
    <row r="2157" spans="1:38" ht="15" x14ac:dyDescent="0.25">
      <c r="A2157" s="1" t="s">
        <v>6717</v>
      </c>
      <c r="B2157" s="1" t="s">
        <v>6718</v>
      </c>
      <c r="C2157" s="1" t="s">
        <v>208</v>
      </c>
      <c r="D2157" s="1" t="s">
        <v>208</v>
      </c>
      <c r="E2157" s="6">
        <v>55.88</v>
      </c>
      <c r="F2157" s="1" t="s">
        <v>53</v>
      </c>
      <c r="G2157" s="6">
        <f ca="1">IFERROR(__xludf.DUMMYFUNCTION("iferror(GOOGLEFINANCE(TRIM(F2157)&amp;"":"" &amp; TRIM(B2157), ""price""),0
)"),0)</f>
        <v>0</v>
      </c>
      <c r="H2157" s="6">
        <v>52.57</v>
      </c>
      <c r="I2157" s="6">
        <f t="shared" ca="1" si="0"/>
        <v>52.57</v>
      </c>
      <c r="J2157" s="6">
        <f ca="1">IFERROR(__xludf.DUMMYFUNCTION("IFERROR(GOOGLEFINANCE(B2157, ""volume""), 0)"),0)</f>
        <v>0</v>
      </c>
      <c r="K2157" s="6">
        <v>-4.99</v>
      </c>
      <c r="L2157" s="6">
        <f ca="1">IFERROR(__xludf.DUMMYFUNCTION("IFERROR(GOOGLEFINANCE(B2157,""changepct""),K2157)"),-4.99)</f>
        <v>-4.99</v>
      </c>
      <c r="M2157" s="6">
        <f ca="1">IFERROR(__xludf.DUMMYFUNCTION("IFERROR(GOOGLEFINANCE(B2157,""change""),0)"),0)</f>
        <v>0</v>
      </c>
      <c r="N2157" s="6">
        <v>2</v>
      </c>
      <c r="O2157" s="7">
        <v>45536</v>
      </c>
      <c r="P2157" s="6">
        <v>0.87</v>
      </c>
      <c r="Q2157" s="7">
        <v>45536</v>
      </c>
      <c r="R2157" s="6">
        <v>64.16</v>
      </c>
      <c r="S2157" s="9"/>
      <c r="T2157" s="6">
        <v>4.28</v>
      </c>
      <c r="U2157" s="6">
        <v>2</v>
      </c>
      <c r="V2157" s="7">
        <v>45352</v>
      </c>
      <c r="W2157" s="10">
        <f ca="1">IFERROR(__xludf.DUMMYFUNCTION("IFERROR(GOOGLEFINANCE(B2157,""pe""),V2157)"),45352)</f>
        <v>45352</v>
      </c>
      <c r="X2157" s="6">
        <v>0</v>
      </c>
      <c r="Y2157" s="6">
        <v>4.46</v>
      </c>
      <c r="Z2157" s="6">
        <v>5.99</v>
      </c>
      <c r="AA2157" s="3" t="s">
        <v>6719</v>
      </c>
      <c r="AB2157" s="11"/>
      <c r="AC2157" s="9"/>
      <c r="AD2157" s="9"/>
      <c r="AE2157" s="1">
        <v>0</v>
      </c>
      <c r="AF2157" s="1">
        <f ca="1">IFERROR(__xludf.DUMMYFUNCTION("IFERROR(GOOGLEFINANCE(TRIM(F2157)&amp;"":"" &amp; TRIM(B2157),""high52""),AE2157)"),0)</f>
        <v>0</v>
      </c>
      <c r="AG2157" s="1">
        <v>0</v>
      </c>
      <c r="AH2157" s="1">
        <f ca="1">IFERROR(__xludf.DUMMYFUNCTION("IFERROR(GOOGLEFINANCE(TRIM(F2157)&amp;"":"" &amp; TRIM(B2157),""low52""),AE2157)"),0)</f>
        <v>0</v>
      </c>
      <c r="AI2157" s="1">
        <f ca="1">IFERROR(__xludf.DUMMYFUNCTION("IFERROR(GOOGLEFINANCE(B2157,""eps""),0)"),0)</f>
        <v>0</v>
      </c>
      <c r="AJ2157" s="1"/>
      <c r="AK2157" s="1" t="s">
        <v>6720</v>
      </c>
      <c r="AL2157" s="9">
        <f t="shared" si="232"/>
        <v>1</v>
      </c>
    </row>
    <row r="2158" spans="1:38" ht="15" x14ac:dyDescent="0.25">
      <c r="A2158" s="1" t="s">
        <v>6721</v>
      </c>
      <c r="B2158" s="1" t="s">
        <v>6722</v>
      </c>
      <c r="C2158" s="1" t="s">
        <v>208</v>
      </c>
      <c r="D2158" s="1" t="s">
        <v>208</v>
      </c>
      <c r="E2158" s="6">
        <v>47.49</v>
      </c>
      <c r="F2158" s="1" t="s">
        <v>53</v>
      </c>
      <c r="G2158" s="6">
        <f ca="1">IFERROR(__xludf.DUMMYFUNCTION("iferror(GOOGLEFINANCE(TRIM(F2158)&amp;"":"" &amp; TRIM(B2158), ""price""),0
)"),0)</f>
        <v>0</v>
      </c>
      <c r="H2158" s="6">
        <v>31</v>
      </c>
      <c r="I2158" s="6">
        <f t="shared" ca="1" si="0"/>
        <v>31</v>
      </c>
      <c r="J2158" s="6">
        <f ca="1">IFERROR(__xludf.DUMMYFUNCTION("IFERROR(GOOGLEFINANCE(B2158, ""volume""), 0)"),0)</f>
        <v>0</v>
      </c>
      <c r="K2158" s="6">
        <v>-2.08</v>
      </c>
      <c r="L2158" s="6">
        <f ca="1">IFERROR(__xludf.DUMMYFUNCTION("IFERROR(GOOGLEFINANCE(B2158,""changepct""),K2158)"),-2.08)</f>
        <v>-2.08</v>
      </c>
      <c r="M2158" s="6">
        <f ca="1">IFERROR(__xludf.DUMMYFUNCTION("IFERROR(GOOGLEFINANCE(B2158,""change""),0)"),0)</f>
        <v>0</v>
      </c>
      <c r="N2158" s="6">
        <v>1</v>
      </c>
      <c r="O2158" s="7">
        <v>45536</v>
      </c>
      <c r="P2158" s="6">
        <v>0.74</v>
      </c>
      <c r="Q2158" s="7">
        <v>45536</v>
      </c>
      <c r="R2158" s="6">
        <v>64.61</v>
      </c>
      <c r="S2158" s="6">
        <v>3.58</v>
      </c>
      <c r="T2158" s="6">
        <v>7.69</v>
      </c>
      <c r="U2158" s="6">
        <v>1</v>
      </c>
      <c r="V2158" s="7">
        <v>45352</v>
      </c>
      <c r="W2158" s="10">
        <f ca="1">IFERROR(__xludf.DUMMYFUNCTION("IFERROR(GOOGLEFINANCE(B2158,""pe""),V2158)"),45352)</f>
        <v>45352</v>
      </c>
      <c r="X2158" s="6">
        <v>0</v>
      </c>
      <c r="Y2158" s="6">
        <v>9.3699999999999992</v>
      </c>
      <c r="Z2158" s="6">
        <v>8.66</v>
      </c>
      <c r="AA2158" s="3" t="s">
        <v>6723</v>
      </c>
      <c r="AB2158" s="11"/>
      <c r="AC2158" s="9"/>
      <c r="AD2158" s="9"/>
      <c r="AE2158" s="1">
        <v>0</v>
      </c>
      <c r="AF2158" s="1">
        <f ca="1">IFERROR(__xludf.DUMMYFUNCTION("IFERROR(GOOGLEFINANCE(TRIM(F2158)&amp;"":"" &amp; TRIM(B2158),""high52""),AE2158)"),0)</f>
        <v>0</v>
      </c>
      <c r="AG2158" s="1">
        <v>0</v>
      </c>
      <c r="AH2158" s="1">
        <f ca="1">IFERROR(__xludf.DUMMYFUNCTION("IFERROR(GOOGLEFINANCE(TRIM(F2158)&amp;"":"" &amp; TRIM(B2158),""low52""),AE2158)"),0)</f>
        <v>0</v>
      </c>
      <c r="AI2158" s="1">
        <f ca="1">IFERROR(__xludf.DUMMYFUNCTION("IFERROR(GOOGLEFINANCE(B2158,""eps""),0)"),0)</f>
        <v>0</v>
      </c>
      <c r="AJ2158" s="1"/>
      <c r="AK2158" s="1" t="s">
        <v>6724</v>
      </c>
      <c r="AL2158" s="9">
        <f t="shared" si="232"/>
        <v>1</v>
      </c>
    </row>
    <row r="2159" spans="1:38" ht="15" x14ac:dyDescent="0.25">
      <c r="A2159" s="1" t="s">
        <v>6725</v>
      </c>
      <c r="B2159" s="1" t="s">
        <v>6726</v>
      </c>
      <c r="C2159" s="1" t="s">
        <v>208</v>
      </c>
      <c r="D2159" s="1" t="s">
        <v>208</v>
      </c>
      <c r="E2159" s="6">
        <v>812.68</v>
      </c>
      <c r="F2159" s="1" t="s">
        <v>53</v>
      </c>
      <c r="G2159" s="6">
        <f ca="1">IFERROR(__xludf.DUMMYFUNCTION("iferror(GOOGLEFINANCE(TRIM(F2159)&amp;"":"" &amp; TRIM(B2159), ""price""),0
)"),0)</f>
        <v>0</v>
      </c>
      <c r="H2159" s="6">
        <v>247</v>
      </c>
      <c r="I2159" s="6">
        <f t="shared" ca="1" si="0"/>
        <v>247</v>
      </c>
      <c r="J2159" s="6">
        <f ca="1">IFERROR(__xludf.DUMMYFUNCTION("IFERROR(GOOGLEFINANCE(B2159, ""volume""), 0)"),87947)</f>
        <v>87947</v>
      </c>
      <c r="K2159" s="6">
        <v>-0.8</v>
      </c>
      <c r="L2159" s="6">
        <f ca="1">IFERROR(__xludf.DUMMYFUNCTION("IFERROR(GOOGLEFINANCE(B2159,""changepct""),K2159)"),2.44)</f>
        <v>2.44</v>
      </c>
      <c r="M2159" s="6">
        <f ca="1">IFERROR(__xludf.DUMMYFUNCTION("IFERROR(GOOGLEFINANCE(B2159,""change""),0)"),1.31)</f>
        <v>1.31</v>
      </c>
      <c r="N2159" s="6">
        <v>1</v>
      </c>
      <c r="O2159" s="7">
        <v>45536</v>
      </c>
      <c r="P2159" s="6">
        <v>12.47</v>
      </c>
      <c r="Q2159" s="7">
        <v>45536</v>
      </c>
      <c r="R2159" s="6">
        <v>65.16</v>
      </c>
      <c r="S2159" s="6">
        <v>0.6</v>
      </c>
      <c r="T2159" s="6">
        <v>3.07</v>
      </c>
      <c r="U2159" s="6">
        <v>1</v>
      </c>
      <c r="V2159" s="7">
        <v>45352</v>
      </c>
      <c r="W2159" s="10">
        <f ca="1">IFERROR(__xludf.DUMMYFUNCTION("IFERROR(GOOGLEFINANCE(B2159,""pe""),V2159)"),45352)</f>
        <v>45352</v>
      </c>
      <c r="X2159" s="6">
        <v>2.62</v>
      </c>
      <c r="Y2159" s="6">
        <v>7.55</v>
      </c>
      <c r="Z2159" s="6">
        <v>11.7</v>
      </c>
      <c r="AA2159" s="3" t="s">
        <v>6727</v>
      </c>
      <c r="AB2159" s="11"/>
      <c r="AC2159" s="9"/>
      <c r="AD2159" s="9"/>
      <c r="AE2159" s="1">
        <v>0</v>
      </c>
      <c r="AF2159" s="1">
        <f ca="1">IFERROR(__xludf.DUMMYFUNCTION("IFERROR(GOOGLEFINANCE(TRIM(F2159)&amp;"":"" &amp; TRIM(B2159),""high52""),AE2159)"),0)</f>
        <v>0</v>
      </c>
      <c r="AG2159" s="1">
        <v>0</v>
      </c>
      <c r="AH2159" s="1">
        <f ca="1">IFERROR(__xludf.DUMMYFUNCTION("IFERROR(GOOGLEFINANCE(TRIM(F2159)&amp;"":"" &amp; TRIM(B2159),""low52""),AE2159)"),0)</f>
        <v>0</v>
      </c>
      <c r="AI2159" s="1">
        <f ca="1">IFERROR(__xludf.DUMMYFUNCTION("IFERROR(GOOGLEFINANCE(B2159,""eps""),0)"),-0.7)</f>
        <v>-0.7</v>
      </c>
      <c r="AJ2159" s="1"/>
      <c r="AK2159" s="1" t="s">
        <v>6728</v>
      </c>
      <c r="AL2159" s="9">
        <f t="shared" si="232"/>
        <v>1</v>
      </c>
    </row>
    <row r="2160" spans="1:38" ht="15" x14ac:dyDescent="0.25">
      <c r="A2160" s="1" t="s">
        <v>6729</v>
      </c>
      <c r="B2160" s="1" t="s">
        <v>6730</v>
      </c>
      <c r="C2160" s="1" t="s">
        <v>208</v>
      </c>
      <c r="D2160" s="1" t="s">
        <v>208</v>
      </c>
      <c r="E2160" s="6">
        <v>9.75</v>
      </c>
      <c r="F2160" s="1" t="s">
        <v>53</v>
      </c>
      <c r="G2160" s="6">
        <f ca="1">IFERROR(__xludf.DUMMYFUNCTION("iferror(GOOGLEFINANCE(TRIM(F2160)&amp;"":"" &amp; TRIM(B2160), ""price""),0
)"),0)</f>
        <v>0</v>
      </c>
      <c r="H2160" s="6">
        <v>0.67</v>
      </c>
      <c r="I2160" s="6">
        <f t="shared" ca="1" si="0"/>
        <v>0.67</v>
      </c>
      <c r="J2160" s="6">
        <f ca="1">IFERROR(__xludf.DUMMYFUNCTION("IFERROR(GOOGLEFINANCE(B2160, ""volume""), 0)"),0)</f>
        <v>0</v>
      </c>
      <c r="K2160" s="6">
        <v>3.08</v>
      </c>
      <c r="L2160" s="6">
        <f ca="1">IFERROR(__xludf.DUMMYFUNCTION("IFERROR(GOOGLEFINANCE(B2160,""changepct""),K2160)"),3.08)</f>
        <v>3.08</v>
      </c>
      <c r="M2160" s="6">
        <f ca="1">IFERROR(__xludf.DUMMYFUNCTION("IFERROR(GOOGLEFINANCE(B2160,""change""),0)"),0)</f>
        <v>0</v>
      </c>
      <c r="N2160" s="6">
        <v>1</v>
      </c>
      <c r="O2160" s="7">
        <v>45536</v>
      </c>
      <c r="P2160" s="6">
        <v>0.15</v>
      </c>
      <c r="Q2160" s="7">
        <v>45536</v>
      </c>
      <c r="R2160" s="6">
        <v>65.45</v>
      </c>
      <c r="S2160" s="6">
        <v>-3.32</v>
      </c>
      <c r="T2160" s="6">
        <v>0.71</v>
      </c>
      <c r="U2160" s="6">
        <v>1</v>
      </c>
      <c r="V2160" s="7">
        <v>45352</v>
      </c>
      <c r="W2160" s="10">
        <f ca="1">IFERROR(__xludf.DUMMYFUNCTION("IFERROR(GOOGLEFINANCE(B2160,""pe""),V2160)"),45352)</f>
        <v>45352</v>
      </c>
      <c r="X2160" s="6">
        <v>0</v>
      </c>
      <c r="Y2160" s="6">
        <v>0.01</v>
      </c>
      <c r="Z2160" s="6">
        <v>0.02</v>
      </c>
      <c r="AA2160" s="3" t="s">
        <v>6731</v>
      </c>
      <c r="AB2160" s="11"/>
      <c r="AC2160" s="9"/>
      <c r="AD2160" s="9"/>
      <c r="AE2160" s="1">
        <v>0</v>
      </c>
      <c r="AF2160" s="1">
        <f ca="1">IFERROR(__xludf.DUMMYFUNCTION("IFERROR(GOOGLEFINANCE(TRIM(F2160)&amp;"":"" &amp; TRIM(B2160),""high52""),AE2160)"),0)</f>
        <v>0</v>
      </c>
      <c r="AG2160" s="1">
        <v>0</v>
      </c>
      <c r="AH2160" s="1">
        <f ca="1">IFERROR(__xludf.DUMMYFUNCTION("IFERROR(GOOGLEFINANCE(TRIM(F2160)&amp;"":"" &amp; TRIM(B2160),""low52""),AE2160)"),0)</f>
        <v>0</v>
      </c>
      <c r="AI2160" s="1">
        <f ca="1">IFERROR(__xludf.DUMMYFUNCTION("IFERROR(GOOGLEFINANCE(B2160,""eps""),0)"),0)</f>
        <v>0</v>
      </c>
      <c r="AJ2160" s="1"/>
      <c r="AK2160" s="1" t="s">
        <v>6732</v>
      </c>
      <c r="AL2160" s="9">
        <f t="shared" si="232"/>
        <v>1</v>
      </c>
    </row>
    <row r="2161" spans="1:38" ht="15" x14ac:dyDescent="0.25">
      <c r="A2161" s="1" t="s">
        <v>6733</v>
      </c>
      <c r="B2161" s="1" t="s">
        <v>6734</v>
      </c>
      <c r="C2161" s="1" t="s">
        <v>208</v>
      </c>
      <c r="D2161" s="1" t="s">
        <v>208</v>
      </c>
      <c r="E2161" s="6">
        <v>18.489999999999998</v>
      </c>
      <c r="F2161" s="1" t="s">
        <v>53</v>
      </c>
      <c r="G2161" s="6">
        <f ca="1">IFERROR(__xludf.DUMMYFUNCTION("iferror(GOOGLEFINANCE(TRIM(F2161)&amp;"":"" &amp; TRIM(B2161), ""price""),0
)"),0)</f>
        <v>0</v>
      </c>
      <c r="H2161" s="6">
        <v>32.9</v>
      </c>
      <c r="I2161" s="6">
        <f t="shared" ca="1" si="0"/>
        <v>32.9</v>
      </c>
      <c r="J2161" s="6">
        <f ca="1">IFERROR(__xludf.DUMMYFUNCTION("IFERROR(GOOGLEFINANCE(B2161, ""volume""), 0)"),0)</f>
        <v>0</v>
      </c>
      <c r="K2161" s="6">
        <v>6.58</v>
      </c>
      <c r="L2161" s="6">
        <f ca="1">IFERROR(__xludf.DUMMYFUNCTION("IFERROR(GOOGLEFINANCE(B2161,""changepct""),K2161)"),6.58)</f>
        <v>6.58</v>
      </c>
      <c r="M2161" s="6">
        <f ca="1">IFERROR(__xludf.DUMMYFUNCTION("IFERROR(GOOGLEFINANCE(B2161,""change""),0)"),0)</f>
        <v>0</v>
      </c>
      <c r="N2161" s="6">
        <v>1</v>
      </c>
      <c r="O2161" s="7">
        <v>45536</v>
      </c>
      <c r="P2161" s="6">
        <v>0.28000000000000003</v>
      </c>
      <c r="Q2161" s="7">
        <v>45536</v>
      </c>
      <c r="R2161" s="6">
        <v>66.27</v>
      </c>
      <c r="S2161" s="6">
        <v>-1.78</v>
      </c>
      <c r="T2161" s="6">
        <v>0.39</v>
      </c>
      <c r="U2161" s="6">
        <v>1</v>
      </c>
      <c r="V2161" s="7">
        <v>45352</v>
      </c>
      <c r="W2161" s="10">
        <f ca="1">IFERROR(__xludf.DUMMYFUNCTION("IFERROR(GOOGLEFINANCE(B2161,""pe""),V2161)"),45352)</f>
        <v>45352</v>
      </c>
      <c r="X2161" s="6">
        <v>0.08</v>
      </c>
      <c r="Y2161" s="6">
        <v>2.2400000000000002</v>
      </c>
      <c r="Z2161" s="6">
        <v>3.86</v>
      </c>
      <c r="AA2161" s="3" t="s">
        <v>6735</v>
      </c>
      <c r="AB2161" s="11"/>
      <c r="AC2161" s="9"/>
      <c r="AD2161" s="9"/>
      <c r="AE2161" s="1">
        <v>0</v>
      </c>
      <c r="AF2161" s="1">
        <f ca="1">IFERROR(__xludf.DUMMYFUNCTION("IFERROR(GOOGLEFINANCE(TRIM(F2161)&amp;"":"" &amp; TRIM(B2161),""high52""),AE2161)"),0)</f>
        <v>0</v>
      </c>
      <c r="AG2161" s="1">
        <v>0</v>
      </c>
      <c r="AH2161" s="1">
        <f ca="1">IFERROR(__xludf.DUMMYFUNCTION("IFERROR(GOOGLEFINANCE(TRIM(F2161)&amp;"":"" &amp; TRIM(B2161),""low52""),AE2161)"),0)</f>
        <v>0</v>
      </c>
      <c r="AI2161" s="1">
        <f ca="1">IFERROR(__xludf.DUMMYFUNCTION("IFERROR(GOOGLEFINANCE(B2161,""eps""),0)"),0)</f>
        <v>0</v>
      </c>
      <c r="AJ2161" s="1"/>
      <c r="AK2161" s="9"/>
      <c r="AL2161" s="9">
        <f t="shared" si="232"/>
        <v>1</v>
      </c>
    </row>
    <row r="2162" spans="1:38" ht="15" x14ac:dyDescent="0.25">
      <c r="A2162" s="1" t="s">
        <v>6736</v>
      </c>
      <c r="B2162" s="1" t="s">
        <v>6737</v>
      </c>
      <c r="C2162" s="1" t="s">
        <v>208</v>
      </c>
      <c r="D2162" s="1" t="s">
        <v>208</v>
      </c>
      <c r="E2162" s="6">
        <v>412.48</v>
      </c>
      <c r="F2162" s="1" t="s">
        <v>53</v>
      </c>
      <c r="G2162" s="6">
        <f ca="1">IFERROR(__xludf.DUMMYFUNCTION("iferror(GOOGLEFINANCE(TRIM(F2162)&amp;"":"" &amp; TRIM(B2162), ""price""),0
)"),0)</f>
        <v>0</v>
      </c>
      <c r="H2162" s="6">
        <v>125.85</v>
      </c>
      <c r="I2162" s="6">
        <f t="shared" ca="1" si="0"/>
        <v>125.85</v>
      </c>
      <c r="J2162" s="6">
        <f ca="1">IFERROR(__xludf.DUMMYFUNCTION("IFERROR(GOOGLEFINANCE(B2162, ""volume""), 0)"),0)</f>
        <v>0</v>
      </c>
      <c r="K2162" s="6">
        <v>0</v>
      </c>
      <c r="L2162" s="6">
        <f ca="1">IFERROR(__xludf.DUMMYFUNCTION("IFERROR(GOOGLEFINANCE(B2162,""changepct""),K2162)"),0)</f>
        <v>0</v>
      </c>
      <c r="M2162" s="6">
        <f ca="1">IFERROR(__xludf.DUMMYFUNCTION("IFERROR(GOOGLEFINANCE(B2162,""change""),0)"),0)</f>
        <v>0</v>
      </c>
      <c r="N2162" s="6">
        <v>2</v>
      </c>
      <c r="O2162" s="7">
        <v>45536</v>
      </c>
      <c r="P2162" s="6">
        <v>6.12</v>
      </c>
      <c r="Q2162" s="7">
        <v>45536</v>
      </c>
      <c r="R2162" s="6">
        <v>67.48</v>
      </c>
      <c r="S2162" s="6">
        <v>2.38</v>
      </c>
      <c r="T2162" s="6">
        <v>6.86</v>
      </c>
      <c r="U2162" s="6">
        <v>2</v>
      </c>
      <c r="V2162" s="7">
        <v>45352</v>
      </c>
      <c r="W2162" s="10">
        <f ca="1">IFERROR(__xludf.DUMMYFUNCTION("IFERROR(GOOGLEFINANCE(B2162,""pe""),V2162)"),45352)</f>
        <v>45352</v>
      </c>
      <c r="X2162" s="6">
        <v>0.31</v>
      </c>
      <c r="Y2162" s="6">
        <v>9.19</v>
      </c>
      <c r="Z2162" s="6">
        <v>12.82</v>
      </c>
      <c r="AA2162" s="3" t="s">
        <v>6738</v>
      </c>
      <c r="AB2162" s="11"/>
      <c r="AC2162" s="9"/>
      <c r="AD2162" s="9"/>
      <c r="AE2162" s="1">
        <v>0</v>
      </c>
      <c r="AF2162" s="1">
        <f ca="1">IFERROR(__xludf.DUMMYFUNCTION("IFERROR(GOOGLEFINANCE(TRIM(F2162)&amp;"":"" &amp; TRIM(B2162),""high52""),AE2162)"),0)</f>
        <v>0</v>
      </c>
      <c r="AG2162" s="1">
        <v>0</v>
      </c>
      <c r="AH2162" s="1">
        <f ca="1">IFERROR(__xludf.DUMMYFUNCTION("IFERROR(GOOGLEFINANCE(TRIM(F2162)&amp;"":"" &amp; TRIM(B2162),""low52""),AE2162)"),0)</f>
        <v>0</v>
      </c>
      <c r="AI2162" s="1">
        <f ca="1">IFERROR(__xludf.DUMMYFUNCTION("IFERROR(GOOGLEFINANCE(B2162,""eps""),0)"),0)</f>
        <v>0</v>
      </c>
      <c r="AJ2162" s="1"/>
      <c r="AK2162" s="1" t="s">
        <v>6739</v>
      </c>
      <c r="AL2162" s="9">
        <f t="shared" si="232"/>
        <v>1</v>
      </c>
    </row>
    <row r="2163" spans="1:38" ht="15" x14ac:dyDescent="0.25">
      <c r="A2163" s="1" t="s">
        <v>6740</v>
      </c>
      <c r="B2163" s="1" t="s">
        <v>6741</v>
      </c>
      <c r="C2163" s="1" t="s">
        <v>208</v>
      </c>
      <c r="D2163" s="1" t="s">
        <v>208</v>
      </c>
      <c r="E2163" s="6">
        <v>137.53</v>
      </c>
      <c r="F2163" s="1" t="s">
        <v>53</v>
      </c>
      <c r="G2163" s="6">
        <f ca="1">IFERROR(__xludf.DUMMYFUNCTION("iferror(GOOGLEFINANCE(TRIM(F2163)&amp;"":"" &amp; TRIM(B2163), ""price""),0
)"),0)</f>
        <v>0</v>
      </c>
      <c r="H2163" s="6">
        <v>2.27</v>
      </c>
      <c r="I2163" s="6">
        <f t="shared" ca="1" si="0"/>
        <v>2.27</v>
      </c>
      <c r="J2163" s="6">
        <f ca="1">IFERROR(__xludf.DUMMYFUNCTION("IFERROR(GOOGLEFINANCE(B2163, ""volume""), 0)"),0)</f>
        <v>0</v>
      </c>
      <c r="K2163" s="6">
        <v>0.44</v>
      </c>
      <c r="L2163" s="6">
        <f ca="1">IFERROR(__xludf.DUMMYFUNCTION("IFERROR(GOOGLEFINANCE(B2163,""changepct""),K2163)"),0.44)</f>
        <v>0.44</v>
      </c>
      <c r="M2163" s="6">
        <f ca="1">IFERROR(__xludf.DUMMYFUNCTION("IFERROR(GOOGLEFINANCE(B2163,""change""),0)"),0)</f>
        <v>0</v>
      </c>
      <c r="N2163" s="6">
        <v>2</v>
      </c>
      <c r="O2163" s="7">
        <v>45536</v>
      </c>
      <c r="P2163" s="6">
        <v>1.64</v>
      </c>
      <c r="Q2163" s="7">
        <v>45536</v>
      </c>
      <c r="R2163" s="6">
        <v>71.89</v>
      </c>
      <c r="S2163" s="6">
        <v>0.61</v>
      </c>
      <c r="T2163" s="6">
        <v>1.04</v>
      </c>
      <c r="U2163" s="6">
        <v>2</v>
      </c>
      <c r="V2163" s="7">
        <v>45352</v>
      </c>
      <c r="W2163" s="10">
        <f ca="1">IFERROR(__xludf.DUMMYFUNCTION("IFERROR(GOOGLEFINANCE(B2163,""pe""),V2163)"),45352)</f>
        <v>45352</v>
      </c>
      <c r="X2163" s="6">
        <v>0.7</v>
      </c>
      <c r="Y2163" s="6">
        <v>7.42</v>
      </c>
      <c r="Z2163" s="6">
        <v>10.17</v>
      </c>
      <c r="AA2163" s="3" t="s">
        <v>6742</v>
      </c>
      <c r="AB2163" s="11"/>
      <c r="AC2163" s="9"/>
      <c r="AD2163" s="9"/>
      <c r="AE2163" s="1">
        <v>0</v>
      </c>
      <c r="AF2163" s="1">
        <f ca="1">IFERROR(__xludf.DUMMYFUNCTION("IFERROR(GOOGLEFINANCE(TRIM(F2163)&amp;"":"" &amp; TRIM(B2163),""high52""),AE2163)"),0)</f>
        <v>0</v>
      </c>
      <c r="AG2163" s="1">
        <v>0</v>
      </c>
      <c r="AH2163" s="1">
        <f ca="1">IFERROR(__xludf.DUMMYFUNCTION("IFERROR(GOOGLEFINANCE(TRIM(F2163)&amp;"":"" &amp; TRIM(B2163),""low52""),AE2163)"),0)</f>
        <v>0</v>
      </c>
      <c r="AI2163" s="1">
        <f ca="1">IFERROR(__xludf.DUMMYFUNCTION("IFERROR(GOOGLEFINANCE(B2163,""eps""),0)"),0)</f>
        <v>0</v>
      </c>
      <c r="AJ2163" s="1"/>
      <c r="AK2163" s="1" t="s">
        <v>6743</v>
      </c>
      <c r="AL2163" s="9">
        <f t="shared" si="232"/>
        <v>1</v>
      </c>
    </row>
    <row r="2164" spans="1:38" ht="15" x14ac:dyDescent="0.25">
      <c r="A2164" s="1" t="s">
        <v>6744</v>
      </c>
      <c r="B2164" s="1" t="s">
        <v>6745</v>
      </c>
      <c r="C2164" s="1" t="s">
        <v>208</v>
      </c>
      <c r="D2164" s="1" t="s">
        <v>208</v>
      </c>
      <c r="E2164" s="6">
        <v>19.809999999999999</v>
      </c>
      <c r="F2164" s="1" t="s">
        <v>53</v>
      </c>
      <c r="G2164" s="6">
        <f ca="1">IFERROR(__xludf.DUMMYFUNCTION("iferror(GOOGLEFINANCE(TRIM(F2164)&amp;"":"" &amp; TRIM(B2164), ""price""),0
)"),0)</f>
        <v>0</v>
      </c>
      <c r="H2164" s="6">
        <v>19.61</v>
      </c>
      <c r="I2164" s="6">
        <f t="shared" ca="1" si="0"/>
        <v>19.61</v>
      </c>
      <c r="J2164" s="6">
        <f ca="1">IFERROR(__xludf.DUMMYFUNCTION("IFERROR(GOOGLEFINANCE(B2164, ""volume""), 0)"),0)</f>
        <v>0</v>
      </c>
      <c r="K2164" s="9"/>
      <c r="L2164" s="6" t="str">
        <f ca="1">IFERROR(__xludf.DUMMYFUNCTION("IFERROR(GOOGLEFINANCE(B2164,""changepct""),K2164)"),"")</f>
        <v/>
      </c>
      <c r="M2164" s="6">
        <f ca="1">IFERROR(__xludf.DUMMYFUNCTION("IFERROR(GOOGLEFINANCE(B2164,""change""),0)"),0)</f>
        <v>0</v>
      </c>
      <c r="N2164" s="6">
        <v>1</v>
      </c>
      <c r="O2164" s="7">
        <v>45536</v>
      </c>
      <c r="P2164" s="6">
        <v>0.26</v>
      </c>
      <c r="Q2164" s="7">
        <v>45536</v>
      </c>
      <c r="R2164" s="6">
        <v>75.040000000000006</v>
      </c>
      <c r="S2164" s="9"/>
      <c r="T2164" s="6">
        <v>1.25</v>
      </c>
      <c r="U2164" s="6">
        <v>1</v>
      </c>
      <c r="V2164" s="7">
        <v>45352</v>
      </c>
      <c r="W2164" s="10">
        <f ca="1">IFERROR(__xludf.DUMMYFUNCTION("IFERROR(GOOGLEFINANCE(B2164,""pe""),V2164)"),45352)</f>
        <v>45352</v>
      </c>
      <c r="X2164" s="6">
        <v>0</v>
      </c>
      <c r="Y2164" s="6">
        <v>2.92</v>
      </c>
      <c r="Z2164" s="6">
        <v>4.16</v>
      </c>
      <c r="AA2164" s="3" t="s">
        <v>6746</v>
      </c>
      <c r="AB2164" s="11"/>
      <c r="AC2164" s="9"/>
      <c r="AD2164" s="9"/>
      <c r="AE2164" s="1">
        <v>0</v>
      </c>
      <c r="AF2164" s="1">
        <f ca="1">IFERROR(__xludf.DUMMYFUNCTION("IFERROR(GOOGLEFINANCE(TRIM(F2164)&amp;"":"" &amp; TRIM(B2164),""high52""),AE2164)"),0)</f>
        <v>0</v>
      </c>
      <c r="AG2164" s="1">
        <v>0</v>
      </c>
      <c r="AH2164" s="1">
        <f ca="1">IFERROR(__xludf.DUMMYFUNCTION("IFERROR(GOOGLEFINANCE(TRIM(F2164)&amp;"":"" &amp; TRIM(B2164),""low52""),AE2164)"),0)</f>
        <v>0</v>
      </c>
      <c r="AI2164" s="1">
        <f ca="1">IFERROR(__xludf.DUMMYFUNCTION("IFERROR(GOOGLEFINANCE(B2164,""eps""),0)"),0)</f>
        <v>0</v>
      </c>
      <c r="AJ2164" s="1"/>
      <c r="AK2164" s="1" t="s">
        <v>6747</v>
      </c>
      <c r="AL2164" s="9">
        <f t="shared" si="232"/>
        <v>1</v>
      </c>
    </row>
    <row r="2165" spans="1:38" ht="15" x14ac:dyDescent="0.25">
      <c r="A2165" s="1" t="s">
        <v>6748</v>
      </c>
      <c r="B2165" s="1" t="s">
        <v>6749</v>
      </c>
      <c r="C2165" s="1" t="s">
        <v>208</v>
      </c>
      <c r="D2165" s="1" t="s">
        <v>208</v>
      </c>
      <c r="E2165" s="6">
        <v>96.41</v>
      </c>
      <c r="F2165" s="1" t="s">
        <v>53</v>
      </c>
      <c r="G2165" s="6">
        <f ca="1">IFERROR(__xludf.DUMMYFUNCTION("iferror(GOOGLEFINANCE(TRIM(F2165)&amp;"":"" &amp; TRIM(B2165), ""price""),0
)"),0)</f>
        <v>0</v>
      </c>
      <c r="H2165" s="6">
        <v>32</v>
      </c>
      <c r="I2165" s="6">
        <f t="shared" ca="1" si="0"/>
        <v>32</v>
      </c>
      <c r="J2165" s="6">
        <f ca="1">IFERROR(__xludf.DUMMYFUNCTION("IFERROR(GOOGLEFINANCE(B2165, ""volume""), 0)"),0)</f>
        <v>0</v>
      </c>
      <c r="K2165" s="6">
        <v>-0.56000000000000005</v>
      </c>
      <c r="L2165" s="6">
        <f ca="1">IFERROR(__xludf.DUMMYFUNCTION("IFERROR(GOOGLEFINANCE(B2165,""changepct""),K2165)"),-0.56)</f>
        <v>-0.56000000000000005</v>
      </c>
      <c r="M2165" s="6">
        <f ca="1">IFERROR(__xludf.DUMMYFUNCTION("IFERROR(GOOGLEFINANCE(B2165,""change""),0)"),0)</f>
        <v>0</v>
      </c>
      <c r="N2165" s="6">
        <v>1</v>
      </c>
      <c r="O2165" s="7">
        <v>45536</v>
      </c>
      <c r="P2165" s="6">
        <v>1.28</v>
      </c>
      <c r="Q2165" s="7">
        <v>45536</v>
      </c>
      <c r="R2165" s="6">
        <v>75.38</v>
      </c>
      <c r="S2165" s="6">
        <v>1.91</v>
      </c>
      <c r="T2165" s="6">
        <v>1.51</v>
      </c>
      <c r="U2165" s="6">
        <v>1</v>
      </c>
      <c r="V2165" s="7">
        <v>45352</v>
      </c>
      <c r="W2165" s="10">
        <f ca="1">IFERROR(__xludf.DUMMYFUNCTION("IFERROR(GOOGLEFINANCE(B2165,""pe""),V2165)"),45352)</f>
        <v>45352</v>
      </c>
      <c r="X2165" s="6">
        <v>1.74</v>
      </c>
      <c r="Y2165" s="6">
        <v>1.79</v>
      </c>
      <c r="Z2165" s="6">
        <v>9.1</v>
      </c>
      <c r="AA2165" s="3" t="s">
        <v>6750</v>
      </c>
      <c r="AB2165" s="11"/>
      <c r="AC2165" s="9"/>
      <c r="AD2165" s="9"/>
      <c r="AE2165" s="1">
        <v>0</v>
      </c>
      <c r="AF2165" s="1">
        <f ca="1">IFERROR(__xludf.DUMMYFUNCTION("IFERROR(GOOGLEFINANCE(TRIM(F2165)&amp;"":"" &amp; TRIM(B2165),""high52""),AE2165)"),0)</f>
        <v>0</v>
      </c>
      <c r="AG2165" s="1">
        <v>0</v>
      </c>
      <c r="AH2165" s="1">
        <f ca="1">IFERROR(__xludf.DUMMYFUNCTION("IFERROR(GOOGLEFINANCE(TRIM(F2165)&amp;"":"" &amp; TRIM(B2165),""low52""),AE2165)"),0)</f>
        <v>0</v>
      </c>
      <c r="AI2165" s="1">
        <f ca="1">IFERROR(__xludf.DUMMYFUNCTION("IFERROR(GOOGLEFINANCE(B2165,""eps""),0)"),0)</f>
        <v>0</v>
      </c>
      <c r="AJ2165" s="1"/>
      <c r="AK2165" s="1" t="s">
        <v>6751</v>
      </c>
      <c r="AL2165" s="9">
        <f t="shared" si="232"/>
        <v>1</v>
      </c>
    </row>
    <row r="2166" spans="1:38" ht="15" x14ac:dyDescent="0.25">
      <c r="A2166" s="1" t="s">
        <v>6752</v>
      </c>
      <c r="B2166" s="1" t="s">
        <v>6753</v>
      </c>
      <c r="C2166" s="1" t="s">
        <v>208</v>
      </c>
      <c r="D2166" s="1" t="s">
        <v>208</v>
      </c>
      <c r="E2166" s="6">
        <v>155.54</v>
      </c>
      <c r="F2166" s="1" t="s">
        <v>53</v>
      </c>
      <c r="G2166" s="6">
        <f ca="1">IFERROR(__xludf.DUMMYFUNCTION("iferror(GOOGLEFINANCE(TRIM(F2166)&amp;"":"" &amp; TRIM(B2166), ""price""),0
)"),0)</f>
        <v>0</v>
      </c>
      <c r="H2166" s="6">
        <v>393.95</v>
      </c>
      <c r="I2166" s="6">
        <f t="shared" ca="1" si="0"/>
        <v>393.95</v>
      </c>
      <c r="J2166" s="6">
        <f ca="1">IFERROR(__xludf.DUMMYFUNCTION("IFERROR(GOOGLEFINANCE(B2166, ""volume""), 0)"),0)</f>
        <v>0</v>
      </c>
      <c r="K2166" s="6">
        <v>2.87</v>
      </c>
      <c r="L2166" s="6">
        <f ca="1">IFERROR(__xludf.DUMMYFUNCTION("IFERROR(GOOGLEFINANCE(B2166,""changepct""),K2166)"),2.87)</f>
        <v>2.87</v>
      </c>
      <c r="M2166" s="6">
        <f ca="1">IFERROR(__xludf.DUMMYFUNCTION("IFERROR(GOOGLEFINANCE(B2166,""change""),0)"),0)</f>
        <v>0</v>
      </c>
      <c r="N2166" s="6">
        <v>1</v>
      </c>
      <c r="O2166" s="7">
        <v>45536</v>
      </c>
      <c r="P2166" s="6">
        <v>2</v>
      </c>
      <c r="Q2166" s="7">
        <v>45536</v>
      </c>
      <c r="R2166" s="6">
        <v>77.89</v>
      </c>
      <c r="S2166" s="6">
        <v>0.41</v>
      </c>
      <c r="T2166" s="6">
        <v>11.92</v>
      </c>
      <c r="U2166" s="6">
        <v>1</v>
      </c>
      <c r="V2166" s="7">
        <v>45352</v>
      </c>
      <c r="W2166" s="10">
        <f ca="1">IFERROR(__xludf.DUMMYFUNCTION("IFERROR(GOOGLEFINANCE(B2166,""pe""),V2166)"),45352)</f>
        <v>45352</v>
      </c>
      <c r="X2166" s="6">
        <v>0</v>
      </c>
      <c r="Y2166" s="6">
        <v>50.48</v>
      </c>
      <c r="Z2166" s="6">
        <v>52.48</v>
      </c>
      <c r="AA2166" s="3" t="s">
        <v>6754</v>
      </c>
      <c r="AB2166" s="11"/>
      <c r="AC2166" s="9"/>
      <c r="AD2166" s="9"/>
      <c r="AE2166" s="1">
        <v>0</v>
      </c>
      <c r="AF2166" s="1">
        <f ca="1">IFERROR(__xludf.DUMMYFUNCTION("IFERROR(GOOGLEFINANCE(TRIM(F2166)&amp;"":"" &amp; TRIM(B2166),""high52""),AE2166)"),0)</f>
        <v>0</v>
      </c>
      <c r="AG2166" s="1">
        <v>0</v>
      </c>
      <c r="AH2166" s="1">
        <f ca="1">IFERROR(__xludf.DUMMYFUNCTION("IFERROR(GOOGLEFINANCE(TRIM(F2166)&amp;"":"" &amp; TRIM(B2166),""low52""),AE2166)"),0)</f>
        <v>0</v>
      </c>
      <c r="AI2166" s="1">
        <f ca="1">IFERROR(__xludf.DUMMYFUNCTION("IFERROR(GOOGLEFINANCE(B2166,""eps""),0)"),0)</f>
        <v>0</v>
      </c>
      <c r="AJ2166" s="1"/>
      <c r="AK2166" s="1" t="s">
        <v>6755</v>
      </c>
      <c r="AL2166" s="9">
        <f t="shared" si="232"/>
        <v>1</v>
      </c>
    </row>
    <row r="2167" spans="1:38" ht="15" x14ac:dyDescent="0.25">
      <c r="A2167" s="1" t="s">
        <v>6756</v>
      </c>
      <c r="B2167" s="1" t="s">
        <v>6757</v>
      </c>
      <c r="C2167" s="1" t="s">
        <v>208</v>
      </c>
      <c r="D2167" s="1" t="s">
        <v>208</v>
      </c>
      <c r="E2167" s="6">
        <v>2065.5</v>
      </c>
      <c r="F2167" s="1" t="s">
        <v>53</v>
      </c>
      <c r="G2167" s="6">
        <f ca="1">IFERROR(__xludf.DUMMYFUNCTION("iferror(GOOGLEFINANCE(TRIM(F2167)&amp;"":"" &amp; TRIM(B2167), ""price""),0
)"),0)</f>
        <v>0</v>
      </c>
      <c r="H2167" s="6">
        <v>822</v>
      </c>
      <c r="I2167" s="6">
        <f t="shared" ca="1" si="0"/>
        <v>822</v>
      </c>
      <c r="J2167" s="6">
        <f ca="1">IFERROR(__xludf.DUMMYFUNCTION("IFERROR(GOOGLEFINANCE(B2167, ""volume""), 0)"),0)</f>
        <v>0</v>
      </c>
      <c r="K2167" s="6">
        <v>0.24</v>
      </c>
      <c r="L2167" s="6">
        <f ca="1">IFERROR(__xludf.DUMMYFUNCTION("IFERROR(GOOGLEFINANCE(B2167,""changepct""),K2167)"),0.24)</f>
        <v>0.24</v>
      </c>
      <c r="M2167" s="6">
        <f ca="1">IFERROR(__xludf.DUMMYFUNCTION("IFERROR(GOOGLEFINANCE(B2167,""change""),0)"),0)</f>
        <v>0</v>
      </c>
      <c r="N2167" s="6">
        <v>1</v>
      </c>
      <c r="O2167" s="7">
        <v>45536</v>
      </c>
      <c r="P2167" s="6">
        <v>26.07</v>
      </c>
      <c r="Q2167" s="7">
        <v>45536</v>
      </c>
      <c r="R2167" s="6">
        <v>79.23</v>
      </c>
      <c r="S2167" s="6">
        <v>16.37</v>
      </c>
      <c r="T2167" s="6">
        <v>7.13</v>
      </c>
      <c r="U2167" s="6">
        <v>1</v>
      </c>
      <c r="V2167" s="7">
        <v>45352</v>
      </c>
      <c r="W2167" s="10">
        <f ca="1">IFERROR(__xludf.DUMMYFUNCTION("IFERROR(GOOGLEFINANCE(B2167,""pe""),V2167)"),45352)</f>
        <v>45352</v>
      </c>
      <c r="X2167" s="6">
        <v>0.37</v>
      </c>
      <c r="Y2167" s="6">
        <v>17.07</v>
      </c>
      <c r="Z2167" s="6">
        <v>17.920000000000002</v>
      </c>
      <c r="AA2167" s="3" t="s">
        <v>6758</v>
      </c>
      <c r="AB2167" s="11"/>
      <c r="AC2167" s="9"/>
      <c r="AD2167" s="9"/>
      <c r="AE2167" s="1">
        <v>0</v>
      </c>
      <c r="AF2167" s="1">
        <f ca="1">IFERROR(__xludf.DUMMYFUNCTION("IFERROR(GOOGLEFINANCE(TRIM(F2167)&amp;"":"" &amp; TRIM(B2167),""high52""),AE2167)"),0)</f>
        <v>0</v>
      </c>
      <c r="AG2167" s="1">
        <v>0</v>
      </c>
      <c r="AH2167" s="1">
        <f ca="1">IFERROR(__xludf.DUMMYFUNCTION("IFERROR(GOOGLEFINANCE(TRIM(F2167)&amp;"":"" &amp; TRIM(B2167),""low52""),AE2167)"),0)</f>
        <v>0</v>
      </c>
      <c r="AI2167" s="1">
        <f ca="1">IFERROR(__xludf.DUMMYFUNCTION("IFERROR(GOOGLEFINANCE(B2167,""eps""),0)"),0)</f>
        <v>0</v>
      </c>
      <c r="AJ2167" s="1"/>
      <c r="AK2167" s="1" t="s">
        <v>6759</v>
      </c>
      <c r="AL2167" s="9">
        <f t="shared" si="232"/>
        <v>1</v>
      </c>
    </row>
    <row r="2168" spans="1:38" ht="15" x14ac:dyDescent="0.25">
      <c r="A2168" s="1" t="s">
        <v>6760</v>
      </c>
      <c r="B2168" s="1" t="s">
        <v>6761</v>
      </c>
      <c r="C2168" s="1" t="s">
        <v>227</v>
      </c>
      <c r="D2168" s="1" t="s">
        <v>227</v>
      </c>
      <c r="E2168" s="6">
        <v>583.6</v>
      </c>
      <c r="F2168" s="1" t="s">
        <v>40</v>
      </c>
      <c r="G2168" s="6">
        <f ca="1">IFERROR(__xludf.DUMMYFUNCTION("iferror(GOOGLEFINANCE(TRIM(F2168)&amp;"":"" &amp; TRIM(B2168), ""price""),0
)"),66)</f>
        <v>66</v>
      </c>
      <c r="H2168" s="6">
        <v>197</v>
      </c>
      <c r="I2168" s="6">
        <f t="shared" ca="1" si="0"/>
        <v>66</v>
      </c>
      <c r="J2168" s="6">
        <f ca="1">IFERROR(__xludf.DUMMYFUNCTION("IFERROR(GOOGLEFINANCE(B2168, ""volume""), 0)"),5945)</f>
        <v>5945</v>
      </c>
      <c r="K2168" s="6">
        <v>0.53</v>
      </c>
      <c r="L2168" s="6">
        <f ca="1">IFERROR(__xludf.DUMMYFUNCTION("IFERROR(GOOGLEFINANCE(B2168,""changepct""),K2168)"),1.65)</f>
        <v>1.65</v>
      </c>
      <c r="M2168" s="6">
        <f ca="1">IFERROR(__xludf.DUMMYFUNCTION("IFERROR(GOOGLEFINANCE(B2168,""change""),0)"),1.07)</f>
        <v>1.07</v>
      </c>
      <c r="N2168" s="6">
        <v>2</v>
      </c>
      <c r="O2168" s="7">
        <v>45536</v>
      </c>
      <c r="P2168" s="6">
        <v>77.23</v>
      </c>
      <c r="Q2168" s="6">
        <v>642.49</v>
      </c>
      <c r="R2168" s="7">
        <v>45536</v>
      </c>
      <c r="S2168" s="6">
        <v>1015.79</v>
      </c>
      <c r="T2168" s="6">
        <v>-108.35</v>
      </c>
      <c r="U2168" s="7">
        <v>45536</v>
      </c>
      <c r="V2168" s="6">
        <v>0</v>
      </c>
      <c r="W2168" s="6">
        <f ca="1">IFERROR(__xludf.DUMMYFUNCTION("IFERROR(GOOGLEFINANCE(B2168,""pe""),V2168)"),9.26)</f>
        <v>9.26</v>
      </c>
      <c r="X2168" s="6">
        <v>0</v>
      </c>
      <c r="Y2168" s="6">
        <v>0.54</v>
      </c>
      <c r="Z2168" s="6">
        <v>2</v>
      </c>
      <c r="AA2168" s="8">
        <v>45352</v>
      </c>
      <c r="AB2168" s="4">
        <v>7.0000000000000007E-2</v>
      </c>
      <c r="AC2168" s="6">
        <v>2.76</v>
      </c>
      <c r="AD2168" s="6">
        <v>2.92</v>
      </c>
      <c r="AE2168" s="1">
        <v>0</v>
      </c>
      <c r="AF2168" s="1">
        <f ca="1">IFERROR(__xludf.DUMMYFUNCTION("IFERROR(GOOGLEFINANCE(TRIM(F2168)&amp;"":"" &amp; TRIM(B2168),""high52""),AE2168)"),109)</f>
        <v>109</v>
      </c>
      <c r="AG2168" s="1">
        <v>0</v>
      </c>
      <c r="AH2168" s="1">
        <f ca="1">IFERROR(__xludf.DUMMYFUNCTION("IFERROR(GOOGLEFINANCE(TRIM(F2168)&amp;"":"" &amp; TRIM(B2168),""low52""),AE2168)"),60.11)</f>
        <v>60.11</v>
      </c>
      <c r="AI2168" s="1">
        <f ca="1">IFERROR(__xludf.DUMMYFUNCTION("IFERROR(GOOGLEFINANCE(B2168,""eps""),0)"),7.13)</f>
        <v>7.13</v>
      </c>
      <c r="AJ2168" s="1"/>
      <c r="AK2168" s="1" t="s">
        <v>6762</v>
      </c>
      <c r="AL2168" s="9">
        <f t="shared" si="232"/>
        <v>1</v>
      </c>
    </row>
    <row r="2169" spans="1:38" ht="15" x14ac:dyDescent="0.25">
      <c r="A2169" s="1" t="s">
        <v>6763</v>
      </c>
      <c r="B2169" s="1" t="s">
        <v>6764</v>
      </c>
      <c r="C2169" s="1" t="s">
        <v>208</v>
      </c>
      <c r="D2169" s="1" t="s">
        <v>208</v>
      </c>
      <c r="E2169" s="6">
        <v>1524.81</v>
      </c>
      <c r="F2169" s="1" t="s">
        <v>53</v>
      </c>
      <c r="G2169" s="6">
        <f ca="1">IFERROR(__xludf.DUMMYFUNCTION("iferror(GOOGLEFINANCE(TRIM(F2169)&amp;"":"" &amp; TRIM(B2169), ""price""),0
)"),0)</f>
        <v>0</v>
      </c>
      <c r="H2169" s="6">
        <v>121.4</v>
      </c>
      <c r="I2169" s="6">
        <f t="shared" ca="1" si="0"/>
        <v>121.4</v>
      </c>
      <c r="J2169" s="6">
        <f ca="1">IFERROR(__xludf.DUMMYFUNCTION("IFERROR(GOOGLEFINANCE(B2169, ""volume""), 0)"),53209)</f>
        <v>53209</v>
      </c>
      <c r="K2169" s="6">
        <v>1.04</v>
      </c>
      <c r="L2169" s="6">
        <f ca="1">IFERROR(__xludf.DUMMYFUNCTION("IFERROR(GOOGLEFINANCE(B2169,""changepct""),K2169)"),-3.4)</f>
        <v>-3.4</v>
      </c>
      <c r="M2169" s="6">
        <f ca="1">IFERROR(__xludf.DUMMYFUNCTION("IFERROR(GOOGLEFINANCE(B2169,""change""),0)"),-2.86)</f>
        <v>-2.86</v>
      </c>
      <c r="N2169" s="6">
        <v>1</v>
      </c>
      <c r="O2169" s="7">
        <v>45536</v>
      </c>
      <c r="P2169" s="6">
        <v>17.66</v>
      </c>
      <c r="Q2169" s="7">
        <v>45536</v>
      </c>
      <c r="R2169" s="6">
        <v>86.33</v>
      </c>
      <c r="S2169" s="6">
        <v>1.04</v>
      </c>
      <c r="T2169" s="6">
        <v>7.75</v>
      </c>
      <c r="U2169" s="6">
        <v>1</v>
      </c>
      <c r="V2169" s="7">
        <v>45352</v>
      </c>
      <c r="W2169" s="6">
        <f ca="1">IFERROR(__xludf.DUMMYFUNCTION("IFERROR(GOOGLEFINANCE(B2169,""pe""),V2169)"),52.52)</f>
        <v>52.52</v>
      </c>
      <c r="X2169" s="6">
        <v>0.4</v>
      </c>
      <c r="Y2169" s="6">
        <v>8.93</v>
      </c>
      <c r="Z2169" s="6">
        <v>11.22</v>
      </c>
      <c r="AA2169" s="3" t="s">
        <v>6765</v>
      </c>
      <c r="AB2169" s="11"/>
      <c r="AC2169" s="9"/>
      <c r="AD2169" s="9"/>
      <c r="AE2169" s="1">
        <v>0</v>
      </c>
      <c r="AF2169" s="1">
        <f ca="1">IFERROR(__xludf.DUMMYFUNCTION("IFERROR(GOOGLEFINANCE(TRIM(F2169)&amp;"":"" &amp; TRIM(B2169),""high52""),AE2169)"),0)</f>
        <v>0</v>
      </c>
      <c r="AG2169" s="1">
        <v>0</v>
      </c>
      <c r="AH2169" s="1">
        <f ca="1">IFERROR(__xludf.DUMMYFUNCTION("IFERROR(GOOGLEFINANCE(TRIM(F2169)&amp;"":"" &amp; TRIM(B2169),""low52""),AE2169)"),0)</f>
        <v>0</v>
      </c>
      <c r="AI2169" s="1">
        <f ca="1">IFERROR(__xludf.DUMMYFUNCTION("IFERROR(GOOGLEFINANCE(B2169,""eps""),0)"),1.55)</f>
        <v>1.55</v>
      </c>
      <c r="AJ2169" s="1"/>
      <c r="AK2169" s="1" t="s">
        <v>6766</v>
      </c>
      <c r="AL2169" s="9">
        <f t="shared" si="232"/>
        <v>1</v>
      </c>
    </row>
    <row r="2170" spans="1:38" ht="15" x14ac:dyDescent="0.25">
      <c r="A2170" s="1" t="s">
        <v>6767</v>
      </c>
      <c r="B2170" s="1" t="s">
        <v>6768</v>
      </c>
      <c r="C2170" s="1" t="s">
        <v>1118</v>
      </c>
      <c r="D2170" s="1" t="s">
        <v>1118</v>
      </c>
      <c r="E2170" s="6">
        <v>376.15</v>
      </c>
      <c r="F2170" s="1" t="s">
        <v>40</v>
      </c>
      <c r="G2170" s="6">
        <f ca="1">IFERROR(__xludf.DUMMYFUNCTION("iferror(GOOGLEFINANCE(TRIM(F2170)&amp;"":"" &amp; TRIM(B2170), ""price""),0
)"),24.28)</f>
        <v>24.28</v>
      </c>
      <c r="H2170" s="6">
        <v>45.9</v>
      </c>
      <c r="I2170" s="6">
        <f t="shared" ca="1" si="0"/>
        <v>24.28</v>
      </c>
      <c r="J2170" s="6">
        <f ca="1">IFERROR(__xludf.DUMMYFUNCTION("IFERROR(GOOGLEFINANCE(B2170, ""volume""), 0)"),26956)</f>
        <v>26956</v>
      </c>
      <c r="K2170" s="6">
        <v>1.1499999999999999</v>
      </c>
      <c r="L2170" s="6">
        <f ca="1">IFERROR(__xludf.DUMMYFUNCTION("IFERROR(GOOGLEFINANCE(B2170,""changepct""),K2170)"),-0.82)</f>
        <v>-0.82</v>
      </c>
      <c r="M2170" s="6">
        <f ca="1">IFERROR(__xludf.DUMMYFUNCTION("IFERROR(GOOGLEFINANCE(B2170,""change""),0)"),-0.2)</f>
        <v>-0.2</v>
      </c>
      <c r="N2170" s="6">
        <v>1</v>
      </c>
      <c r="O2170" s="7">
        <v>45536</v>
      </c>
      <c r="P2170" s="6">
        <v>0.04</v>
      </c>
      <c r="Q2170" s="6">
        <v>370.4</v>
      </c>
      <c r="R2170" s="7">
        <v>45536</v>
      </c>
      <c r="S2170" s="6">
        <v>417.8</v>
      </c>
      <c r="T2170" s="6">
        <v>12.13</v>
      </c>
      <c r="U2170" s="7">
        <v>45536</v>
      </c>
      <c r="V2170" s="6">
        <v>31.02</v>
      </c>
      <c r="W2170" s="6">
        <f ca="1">IFERROR(__xludf.DUMMYFUNCTION("IFERROR(GOOGLEFINANCE(B2170,""pe""),V2170)"),31.02)</f>
        <v>31.02</v>
      </c>
      <c r="X2170" s="6">
        <v>2.21</v>
      </c>
      <c r="Y2170" s="6">
        <v>1.32</v>
      </c>
      <c r="Z2170" s="6">
        <v>1</v>
      </c>
      <c r="AA2170" s="8">
        <v>45352</v>
      </c>
      <c r="AB2170" s="4">
        <v>0.25</v>
      </c>
      <c r="AC2170" s="6">
        <v>11</v>
      </c>
      <c r="AD2170" s="6">
        <v>14.13</v>
      </c>
      <c r="AE2170" s="1">
        <v>0</v>
      </c>
      <c r="AF2170" s="1">
        <f ca="1">IFERROR(__xludf.DUMMYFUNCTION("IFERROR(GOOGLEFINANCE(TRIM(F2170)&amp;"":"" &amp; TRIM(B2170),""high52""),AE2170)"),42.3)</f>
        <v>42.3</v>
      </c>
      <c r="AG2170" s="1">
        <v>0</v>
      </c>
      <c r="AH2170" s="1">
        <f ca="1">IFERROR(__xludf.DUMMYFUNCTION("IFERROR(GOOGLEFINANCE(TRIM(F2170)&amp;"":"" &amp; TRIM(B2170),""low52""),AE2170)"),23.51)</f>
        <v>23.51</v>
      </c>
      <c r="AI2170" s="1">
        <f ca="1">IFERROR(__xludf.DUMMYFUNCTION("IFERROR(GOOGLEFINANCE(B2170,""eps""),0)"),-0.15)</f>
        <v>-0.15</v>
      </c>
      <c r="AJ2170" s="1"/>
      <c r="AK2170" s="1" t="s">
        <v>6769</v>
      </c>
      <c r="AL2170" s="9">
        <f t="shared" si="232"/>
        <v>1</v>
      </c>
    </row>
    <row r="2171" spans="1:38" ht="15" x14ac:dyDescent="0.25">
      <c r="A2171" s="1" t="s">
        <v>6770</v>
      </c>
      <c r="B2171" s="1" t="s">
        <v>6771</v>
      </c>
      <c r="C2171" s="1" t="s">
        <v>208</v>
      </c>
      <c r="D2171" s="1" t="s">
        <v>208</v>
      </c>
      <c r="E2171" s="6">
        <v>7.9</v>
      </c>
      <c r="F2171" s="1" t="s">
        <v>53</v>
      </c>
      <c r="G2171" s="6">
        <f ca="1">IFERROR(__xludf.DUMMYFUNCTION("iferror(GOOGLEFINANCE(TRIM(F2171)&amp;"":"" &amp; TRIM(B2171), ""price""),0
)"),0)</f>
        <v>0</v>
      </c>
      <c r="H2171" s="6">
        <v>23</v>
      </c>
      <c r="I2171" s="6">
        <f t="shared" ca="1" si="0"/>
        <v>23</v>
      </c>
      <c r="J2171" s="6">
        <f ca="1">IFERROR(__xludf.DUMMYFUNCTION("IFERROR(GOOGLEFINANCE(B2171, ""volume""), 0)"),0)</f>
        <v>0</v>
      </c>
      <c r="K2171" s="6">
        <v>0</v>
      </c>
      <c r="L2171" s="6">
        <f ca="1">IFERROR(__xludf.DUMMYFUNCTION("IFERROR(GOOGLEFINANCE(B2171,""changepct""),K2171)"),0)</f>
        <v>0</v>
      </c>
      <c r="M2171" s="6">
        <f ca="1">IFERROR(__xludf.DUMMYFUNCTION("IFERROR(GOOGLEFINANCE(B2171,""change""),0)"),0)</f>
        <v>0</v>
      </c>
      <c r="N2171" s="6">
        <v>1</v>
      </c>
      <c r="O2171" s="7">
        <v>45536</v>
      </c>
      <c r="P2171" s="6">
        <v>0.08</v>
      </c>
      <c r="Q2171" s="7">
        <v>45536</v>
      </c>
      <c r="R2171" s="6">
        <v>96.36</v>
      </c>
      <c r="S2171" s="6">
        <v>-2.97</v>
      </c>
      <c r="T2171" s="6">
        <v>15.15</v>
      </c>
      <c r="U2171" s="6">
        <v>1</v>
      </c>
      <c r="V2171" s="7">
        <v>45352</v>
      </c>
      <c r="W2171" s="10">
        <f ca="1">IFERROR(__xludf.DUMMYFUNCTION("IFERROR(GOOGLEFINANCE(B2171,""pe""),V2171)"),45352)</f>
        <v>45352</v>
      </c>
      <c r="X2171" s="6">
        <v>0.27</v>
      </c>
      <c r="Y2171" s="6">
        <v>23.66</v>
      </c>
      <c r="Z2171" s="6">
        <v>18.55</v>
      </c>
      <c r="AA2171" s="3" t="s">
        <v>6772</v>
      </c>
      <c r="AB2171" s="11"/>
      <c r="AC2171" s="9"/>
      <c r="AD2171" s="9"/>
      <c r="AE2171" s="1">
        <v>0</v>
      </c>
      <c r="AF2171" s="1">
        <f ca="1">IFERROR(__xludf.DUMMYFUNCTION("IFERROR(GOOGLEFINANCE(TRIM(F2171)&amp;"":"" &amp; TRIM(B2171),""high52""),AE2171)"),0)</f>
        <v>0</v>
      </c>
      <c r="AG2171" s="1">
        <v>0</v>
      </c>
      <c r="AH2171" s="1">
        <f ca="1">IFERROR(__xludf.DUMMYFUNCTION("IFERROR(GOOGLEFINANCE(TRIM(F2171)&amp;"":"" &amp; TRIM(B2171),""low52""),AE2171)"),0)</f>
        <v>0</v>
      </c>
      <c r="AI2171" s="1">
        <f ca="1">IFERROR(__xludf.DUMMYFUNCTION("IFERROR(GOOGLEFINANCE(B2171,""eps""),0)"),0)</f>
        <v>0</v>
      </c>
      <c r="AJ2171" s="1"/>
      <c r="AK2171" s="1" t="s">
        <v>6773</v>
      </c>
      <c r="AL2171" s="9">
        <f t="shared" si="232"/>
        <v>1</v>
      </c>
    </row>
    <row r="2172" spans="1:38" ht="15" x14ac:dyDescent="0.25">
      <c r="A2172" s="1" t="s">
        <v>6774</v>
      </c>
      <c r="B2172" s="1" t="s">
        <v>6775</v>
      </c>
      <c r="C2172" s="1" t="s">
        <v>208</v>
      </c>
      <c r="D2172" s="1" t="s">
        <v>208</v>
      </c>
      <c r="E2172" s="6">
        <v>61.49</v>
      </c>
      <c r="F2172" s="1" t="s">
        <v>53</v>
      </c>
      <c r="G2172" s="6">
        <f ca="1">IFERROR(__xludf.DUMMYFUNCTION("iferror(GOOGLEFINANCE(TRIM(F2172)&amp;"":"" &amp; TRIM(B2172), ""price""),0
)"),0)</f>
        <v>0</v>
      </c>
      <c r="H2172" s="6">
        <v>109.6</v>
      </c>
      <c r="I2172" s="6">
        <f t="shared" ca="1" si="0"/>
        <v>109.6</v>
      </c>
      <c r="J2172" s="6">
        <f ca="1">IFERROR(__xludf.DUMMYFUNCTION("IFERROR(GOOGLEFINANCE(B2172, ""volume""), 0)"),0)</f>
        <v>0</v>
      </c>
      <c r="K2172" s="6">
        <v>-1.97</v>
      </c>
      <c r="L2172" s="6">
        <f ca="1">IFERROR(__xludf.DUMMYFUNCTION("IFERROR(GOOGLEFINANCE(B2172,""changepct""),K2172)"),-1.97)</f>
        <v>-1.97</v>
      </c>
      <c r="M2172" s="6">
        <f ca="1">IFERROR(__xludf.DUMMYFUNCTION("IFERROR(GOOGLEFINANCE(B2172,""change""),0)"),0)</f>
        <v>0</v>
      </c>
      <c r="N2172" s="6">
        <v>1</v>
      </c>
      <c r="O2172" s="7">
        <v>45536</v>
      </c>
      <c r="P2172" s="6">
        <v>0.63</v>
      </c>
      <c r="Q2172" s="7">
        <v>45536</v>
      </c>
      <c r="R2172" s="6">
        <v>96.99</v>
      </c>
      <c r="S2172" s="6">
        <v>4.9800000000000004</v>
      </c>
      <c r="T2172" s="6">
        <v>54.13</v>
      </c>
      <c r="U2172" s="6">
        <v>1</v>
      </c>
      <c r="V2172" s="7">
        <v>45352</v>
      </c>
      <c r="W2172" s="10">
        <f ca="1">IFERROR(__xludf.DUMMYFUNCTION("IFERROR(GOOGLEFINANCE(B2172,""pe""),V2172)"),45352)</f>
        <v>45352</v>
      </c>
      <c r="X2172" s="6">
        <v>0</v>
      </c>
      <c r="Y2172" s="6">
        <v>45.47</v>
      </c>
      <c r="Z2172" s="6">
        <v>45.48</v>
      </c>
      <c r="AA2172" s="3" t="s">
        <v>6776</v>
      </c>
      <c r="AB2172" s="11"/>
      <c r="AC2172" s="9"/>
      <c r="AD2172" s="9"/>
      <c r="AE2172" s="1">
        <v>0</v>
      </c>
      <c r="AF2172" s="1">
        <f ca="1">IFERROR(__xludf.DUMMYFUNCTION("IFERROR(GOOGLEFINANCE(TRIM(F2172)&amp;"":"" &amp; TRIM(B2172),""high52""),AE2172)"),0)</f>
        <v>0</v>
      </c>
      <c r="AG2172" s="1">
        <v>0</v>
      </c>
      <c r="AH2172" s="1">
        <f ca="1">IFERROR(__xludf.DUMMYFUNCTION("IFERROR(GOOGLEFINANCE(TRIM(F2172)&amp;"":"" &amp; TRIM(B2172),""low52""),AE2172)"),0)</f>
        <v>0</v>
      </c>
      <c r="AI2172" s="1">
        <f ca="1">IFERROR(__xludf.DUMMYFUNCTION("IFERROR(GOOGLEFINANCE(B2172,""eps""),0)"),0)</f>
        <v>0</v>
      </c>
      <c r="AJ2172" s="1"/>
      <c r="AK2172" s="1" t="s">
        <v>6777</v>
      </c>
      <c r="AL2172" s="9">
        <f t="shared" si="232"/>
        <v>1</v>
      </c>
    </row>
    <row r="2173" spans="1:38" ht="15" x14ac:dyDescent="0.25">
      <c r="A2173" s="1" t="s">
        <v>6778</v>
      </c>
      <c r="B2173" s="1" t="s">
        <v>6779</v>
      </c>
      <c r="C2173" s="1" t="s">
        <v>208</v>
      </c>
      <c r="D2173" s="1" t="s">
        <v>208</v>
      </c>
      <c r="E2173" s="6">
        <v>59.8</v>
      </c>
      <c r="F2173" s="1" t="s">
        <v>53</v>
      </c>
      <c r="G2173" s="6">
        <f ca="1">IFERROR(__xludf.DUMMYFUNCTION("iferror(GOOGLEFINANCE(TRIM(F2173)&amp;"":"" &amp; TRIM(B2173), ""price""),0
)"),0)</f>
        <v>0</v>
      </c>
      <c r="H2173" s="6">
        <v>128.25</v>
      </c>
      <c r="I2173" s="6">
        <f t="shared" ca="1" si="0"/>
        <v>128.25</v>
      </c>
      <c r="J2173" s="6">
        <f ca="1">IFERROR(__xludf.DUMMYFUNCTION("IFERROR(GOOGLEFINANCE(B2173, ""volume""), 0)"),0)</f>
        <v>0</v>
      </c>
      <c r="K2173" s="6">
        <v>-1.99</v>
      </c>
      <c r="L2173" s="6">
        <f ca="1">IFERROR(__xludf.DUMMYFUNCTION("IFERROR(GOOGLEFINANCE(B2173,""changepct""),K2173)"),-1.99)</f>
        <v>-1.99</v>
      </c>
      <c r="M2173" s="6">
        <f ca="1">IFERROR(__xludf.DUMMYFUNCTION("IFERROR(GOOGLEFINANCE(B2173,""change""),0)"),0)</f>
        <v>0</v>
      </c>
      <c r="N2173" s="6">
        <v>1</v>
      </c>
      <c r="O2173" s="7">
        <v>45536</v>
      </c>
      <c r="P2173" s="6">
        <v>0.57999999999999996</v>
      </c>
      <c r="Q2173" s="7">
        <v>45536</v>
      </c>
      <c r="R2173" s="6">
        <v>102.75</v>
      </c>
      <c r="S2173" s="6">
        <v>2.93</v>
      </c>
      <c r="T2173" s="6">
        <v>0.33</v>
      </c>
      <c r="U2173" s="6">
        <v>1</v>
      </c>
      <c r="V2173" s="7">
        <v>45352</v>
      </c>
      <c r="W2173" s="10">
        <f ca="1">IFERROR(__xludf.DUMMYFUNCTION("IFERROR(GOOGLEFINANCE(B2173,""pe""),V2173)"),45352)</f>
        <v>45352</v>
      </c>
      <c r="X2173" s="6">
        <v>0</v>
      </c>
      <c r="Y2173" s="6">
        <v>0.22</v>
      </c>
      <c r="Z2173" s="6">
        <v>0.39</v>
      </c>
      <c r="AA2173" s="3" t="s">
        <v>6780</v>
      </c>
      <c r="AB2173" s="11"/>
      <c r="AC2173" s="9"/>
      <c r="AD2173" s="9"/>
      <c r="AE2173" s="1">
        <v>0</v>
      </c>
      <c r="AF2173" s="1">
        <f ca="1">IFERROR(__xludf.DUMMYFUNCTION("IFERROR(GOOGLEFINANCE(TRIM(F2173)&amp;"":"" &amp; TRIM(B2173),""high52""),AE2173)"),0)</f>
        <v>0</v>
      </c>
      <c r="AG2173" s="1">
        <v>0</v>
      </c>
      <c r="AH2173" s="1">
        <f ca="1">IFERROR(__xludf.DUMMYFUNCTION("IFERROR(GOOGLEFINANCE(TRIM(F2173)&amp;"":"" &amp; TRIM(B2173),""low52""),AE2173)"),0)</f>
        <v>0</v>
      </c>
      <c r="AI2173" s="1">
        <f ca="1">IFERROR(__xludf.DUMMYFUNCTION("IFERROR(GOOGLEFINANCE(B2173,""eps""),0)"),0)</f>
        <v>0</v>
      </c>
      <c r="AJ2173" s="1"/>
      <c r="AK2173" s="1" t="s">
        <v>6781</v>
      </c>
      <c r="AL2173" s="9">
        <f t="shared" si="232"/>
        <v>1</v>
      </c>
    </row>
    <row r="2174" spans="1:38" ht="15" x14ac:dyDescent="0.25">
      <c r="A2174" s="1" t="s">
        <v>6782</v>
      </c>
      <c r="B2174" s="1" t="s">
        <v>6783</v>
      </c>
      <c r="C2174" s="1" t="s">
        <v>208</v>
      </c>
      <c r="D2174" s="1" t="s">
        <v>208</v>
      </c>
      <c r="E2174" s="6">
        <v>17.46</v>
      </c>
      <c r="F2174" s="1" t="s">
        <v>53</v>
      </c>
      <c r="G2174" s="6">
        <f ca="1">IFERROR(__xludf.DUMMYFUNCTION("iferror(GOOGLEFINANCE(TRIM(F2174)&amp;"":"" &amp; TRIM(B2174), ""price""),0
)"),0)</f>
        <v>0</v>
      </c>
      <c r="H2174" s="6">
        <v>16.3</v>
      </c>
      <c r="I2174" s="6">
        <f t="shared" ca="1" si="0"/>
        <v>16.3</v>
      </c>
      <c r="J2174" s="6">
        <f ca="1">IFERROR(__xludf.DUMMYFUNCTION("IFERROR(GOOGLEFINANCE(B2174, ""volume""), 0)"),0)</f>
        <v>0</v>
      </c>
      <c r="K2174" s="6">
        <v>-2.92</v>
      </c>
      <c r="L2174" s="6">
        <f ca="1">IFERROR(__xludf.DUMMYFUNCTION("IFERROR(GOOGLEFINANCE(B2174,""changepct""),K2174)"),-2.92)</f>
        <v>-2.92</v>
      </c>
      <c r="M2174" s="6">
        <f ca="1">IFERROR(__xludf.DUMMYFUNCTION("IFERROR(GOOGLEFINANCE(B2174,""change""),0)"),0)</f>
        <v>0</v>
      </c>
      <c r="N2174" s="6">
        <v>1</v>
      </c>
      <c r="O2174" s="7">
        <v>45444</v>
      </c>
      <c r="P2174" s="6">
        <v>0.17</v>
      </c>
      <c r="Q2174" s="7">
        <v>45444</v>
      </c>
      <c r="R2174" s="6">
        <v>104.56</v>
      </c>
      <c r="S2174" s="6">
        <v>4.38</v>
      </c>
      <c r="T2174" s="6">
        <v>1.39</v>
      </c>
      <c r="U2174" s="6">
        <v>1</v>
      </c>
      <c r="V2174" s="7">
        <v>45352</v>
      </c>
      <c r="W2174" s="10">
        <f ca="1">IFERROR(__xludf.DUMMYFUNCTION("IFERROR(GOOGLEFINANCE(B2174,""pe""),V2174)"),45352)</f>
        <v>45352</v>
      </c>
      <c r="X2174" s="6">
        <v>0</v>
      </c>
      <c r="Y2174" s="6">
        <v>3.11</v>
      </c>
      <c r="Z2174" s="6">
        <v>3.77</v>
      </c>
      <c r="AA2174" s="3" t="s">
        <v>6784</v>
      </c>
      <c r="AB2174" s="11"/>
      <c r="AC2174" s="9"/>
      <c r="AD2174" s="9"/>
      <c r="AE2174" s="1">
        <v>0</v>
      </c>
      <c r="AF2174" s="1">
        <f ca="1">IFERROR(__xludf.DUMMYFUNCTION("IFERROR(GOOGLEFINANCE(TRIM(F2174)&amp;"":"" &amp; TRIM(B2174),""high52""),AE2174)"),0)</f>
        <v>0</v>
      </c>
      <c r="AG2174" s="1">
        <v>0</v>
      </c>
      <c r="AH2174" s="1">
        <f ca="1">IFERROR(__xludf.DUMMYFUNCTION("IFERROR(GOOGLEFINANCE(TRIM(F2174)&amp;"":"" &amp; TRIM(B2174),""low52""),AE2174)"),0)</f>
        <v>0</v>
      </c>
      <c r="AI2174" s="1">
        <f ca="1">IFERROR(__xludf.DUMMYFUNCTION("IFERROR(GOOGLEFINANCE(B2174,""eps""),0)"),0)</f>
        <v>0</v>
      </c>
      <c r="AJ2174" s="1"/>
      <c r="AK2174" s="1" t="s">
        <v>6785</v>
      </c>
      <c r="AL2174" s="9">
        <f t="shared" si="232"/>
        <v>1</v>
      </c>
    </row>
    <row r="2175" spans="1:38" ht="15" x14ac:dyDescent="0.25">
      <c r="A2175" s="1" t="s">
        <v>6786</v>
      </c>
      <c r="B2175" s="1" t="s">
        <v>6787</v>
      </c>
      <c r="C2175" s="1" t="s">
        <v>99</v>
      </c>
      <c r="D2175" s="1" t="s">
        <v>99</v>
      </c>
      <c r="E2175" s="6">
        <v>946.66</v>
      </c>
      <c r="F2175" s="1" t="s">
        <v>40</v>
      </c>
      <c r="G2175" s="6">
        <f ca="1">IFERROR(__xludf.DUMMYFUNCTION("iferror(GOOGLEFINANCE(TRIM(F2175)&amp;"":"" &amp; TRIM(B2175), ""price""),0
)"),0)</f>
        <v>0</v>
      </c>
      <c r="H2175" s="6">
        <v>922</v>
      </c>
      <c r="I2175" s="6">
        <f t="shared" ca="1" si="0"/>
        <v>922</v>
      </c>
      <c r="J2175" s="6">
        <f ca="1">IFERROR(__xludf.DUMMYFUNCTION("IFERROR(GOOGLEFINANCE(B2175, ""volume""), 0)"),0)</f>
        <v>0</v>
      </c>
      <c r="K2175" s="6">
        <v>0.11</v>
      </c>
      <c r="L2175" s="6">
        <f ca="1">IFERROR(__xludf.DUMMYFUNCTION("IFERROR(GOOGLEFINANCE(B2175,""changepct""),K2175)"),0.11)</f>
        <v>0.11</v>
      </c>
      <c r="M2175" s="6">
        <f ca="1">IFERROR(__xludf.DUMMYFUNCTION("IFERROR(GOOGLEFINANCE(B2175,""change""),0)"),0)</f>
        <v>0</v>
      </c>
      <c r="N2175" s="6">
        <v>1</v>
      </c>
      <c r="O2175" s="7">
        <v>45536</v>
      </c>
      <c r="P2175" s="6">
        <v>97.35</v>
      </c>
      <c r="Q2175" s="6">
        <v>1044</v>
      </c>
      <c r="R2175" s="7">
        <v>45352</v>
      </c>
      <c r="S2175" s="6">
        <v>270.99</v>
      </c>
      <c r="T2175" s="6">
        <v>22.24</v>
      </c>
      <c r="U2175" s="7">
        <v>45352</v>
      </c>
      <c r="V2175" s="6">
        <v>42.56</v>
      </c>
      <c r="W2175" s="6">
        <f ca="1">IFERROR(__xludf.DUMMYFUNCTION("IFERROR(GOOGLEFINANCE(B2175,""pe""),V2175)"),42.56)</f>
        <v>42.56</v>
      </c>
      <c r="X2175" s="9"/>
      <c r="Y2175" s="6">
        <v>6.57</v>
      </c>
      <c r="Z2175" s="6">
        <v>2</v>
      </c>
      <c r="AA2175" s="8">
        <v>45352</v>
      </c>
      <c r="AB2175" s="4">
        <v>0.47</v>
      </c>
      <c r="AC2175" s="6">
        <v>20.190000000000001</v>
      </c>
      <c r="AD2175" s="6">
        <v>23.02</v>
      </c>
      <c r="AE2175" s="1">
        <v>0</v>
      </c>
      <c r="AF2175" s="1">
        <f ca="1">IFERROR(__xludf.DUMMYFUNCTION("IFERROR(GOOGLEFINANCE(TRIM(F2175)&amp;"":"" &amp; TRIM(B2175),""high52""),AE2175)"),0)</f>
        <v>0</v>
      </c>
      <c r="AG2175" s="1">
        <v>0</v>
      </c>
      <c r="AH2175" s="1">
        <f ca="1">IFERROR(__xludf.DUMMYFUNCTION("IFERROR(GOOGLEFINANCE(TRIM(F2175)&amp;"":"" &amp; TRIM(B2175),""low52""),AE2175)"),0)</f>
        <v>0</v>
      </c>
      <c r="AI2175" s="1">
        <f ca="1">IFERROR(__xludf.DUMMYFUNCTION("IFERROR(GOOGLEFINANCE(B2175,""eps""),0)"),0)</f>
        <v>0</v>
      </c>
      <c r="AJ2175" s="1"/>
      <c r="AK2175" s="1" t="s">
        <v>6788</v>
      </c>
      <c r="AL2175" s="1" t="b">
        <f>ISNUMBER(AA2175)</f>
        <v>1</v>
      </c>
    </row>
    <row r="2176" spans="1:38" ht="15" x14ac:dyDescent="0.25">
      <c r="A2176" s="1" t="s">
        <v>6789</v>
      </c>
      <c r="B2176" s="1" t="s">
        <v>6790</v>
      </c>
      <c r="C2176" s="1" t="s">
        <v>208</v>
      </c>
      <c r="D2176" s="1" t="s">
        <v>208</v>
      </c>
      <c r="E2176" s="6">
        <v>82.31</v>
      </c>
      <c r="F2176" s="1" t="s">
        <v>53</v>
      </c>
      <c r="G2176" s="6">
        <f ca="1">IFERROR(__xludf.DUMMYFUNCTION("iferror(GOOGLEFINANCE(TRIM(F2176)&amp;"":"" &amp; TRIM(B2176), ""price""),0
)"),0)</f>
        <v>0</v>
      </c>
      <c r="H2176" s="6">
        <v>8.25</v>
      </c>
      <c r="I2176" s="6">
        <f t="shared" ca="1" si="0"/>
        <v>8.25</v>
      </c>
      <c r="J2176" s="6">
        <f ca="1">IFERROR(__xludf.DUMMYFUNCTION("IFERROR(GOOGLEFINANCE(B2176, ""volume""), 0)"),0)</f>
        <v>0</v>
      </c>
      <c r="K2176" s="6">
        <v>0.61</v>
      </c>
      <c r="L2176" s="6">
        <f ca="1">IFERROR(__xludf.DUMMYFUNCTION("IFERROR(GOOGLEFINANCE(B2176,""changepct""),K2176)"),0.61)</f>
        <v>0.61</v>
      </c>
      <c r="M2176" s="6">
        <f ca="1">IFERROR(__xludf.DUMMYFUNCTION("IFERROR(GOOGLEFINANCE(B2176,""change""),0)"),0)</f>
        <v>0</v>
      </c>
      <c r="N2176" s="6">
        <v>1</v>
      </c>
      <c r="O2176" s="7">
        <v>45536</v>
      </c>
      <c r="P2176" s="6">
        <v>0.76</v>
      </c>
      <c r="Q2176" s="7">
        <v>45536</v>
      </c>
      <c r="R2176" s="6">
        <v>108.02</v>
      </c>
      <c r="S2176" s="6">
        <v>16.37</v>
      </c>
      <c r="T2176" s="6">
        <v>6.3</v>
      </c>
      <c r="U2176" s="6">
        <v>1</v>
      </c>
      <c r="V2176" s="7">
        <v>45352</v>
      </c>
      <c r="W2176" s="10">
        <f ca="1">IFERROR(__xludf.DUMMYFUNCTION("IFERROR(GOOGLEFINANCE(B2176,""pe""),V2176)"),45352)</f>
        <v>45352</v>
      </c>
      <c r="X2176" s="6">
        <v>0.82</v>
      </c>
      <c r="Y2176" s="6">
        <v>4.0599999999999996</v>
      </c>
      <c r="Z2176" s="6">
        <v>5.27</v>
      </c>
      <c r="AA2176" s="3" t="s">
        <v>6791</v>
      </c>
      <c r="AB2176" s="11"/>
      <c r="AC2176" s="9"/>
      <c r="AD2176" s="9"/>
      <c r="AE2176" s="1">
        <v>0</v>
      </c>
      <c r="AF2176" s="1">
        <f ca="1">IFERROR(__xludf.DUMMYFUNCTION("IFERROR(GOOGLEFINANCE(TRIM(F2176)&amp;"":"" &amp; TRIM(B2176),""high52""),AE2176)"),0)</f>
        <v>0</v>
      </c>
      <c r="AG2176" s="1">
        <v>0</v>
      </c>
      <c r="AH2176" s="1">
        <f ca="1">IFERROR(__xludf.DUMMYFUNCTION("IFERROR(GOOGLEFINANCE(TRIM(F2176)&amp;"":"" &amp; TRIM(B2176),""low52""),AE2176)"),0)</f>
        <v>0</v>
      </c>
      <c r="AI2176" s="1">
        <f ca="1">IFERROR(__xludf.DUMMYFUNCTION("IFERROR(GOOGLEFINANCE(B2176,""eps""),0)"),0)</f>
        <v>0</v>
      </c>
      <c r="AJ2176" s="1"/>
      <c r="AK2176" s="1" t="s">
        <v>6792</v>
      </c>
      <c r="AL2176" s="9">
        <f t="shared" ref="AL2176:AL2233" si="233">IF(AA2176&lt;&gt;AB2176,1,0)</f>
        <v>1</v>
      </c>
    </row>
    <row r="2177" spans="1:38" ht="15" x14ac:dyDescent="0.25">
      <c r="A2177" s="1" t="s">
        <v>6793</v>
      </c>
      <c r="B2177" s="1" t="s">
        <v>6794</v>
      </c>
      <c r="C2177" s="1" t="s">
        <v>86</v>
      </c>
      <c r="D2177" s="1" t="s">
        <v>86</v>
      </c>
      <c r="E2177" s="6">
        <v>3644.61</v>
      </c>
      <c r="F2177" s="1" t="s">
        <v>40</v>
      </c>
      <c r="G2177" s="6">
        <f ca="1">IFERROR(__xludf.DUMMYFUNCTION("iferror(GOOGLEFINANCE(TRIM(F2177)&amp;"":"" &amp; TRIM(B2177), ""price""),0
)"),283.9)</f>
        <v>283.89999999999998</v>
      </c>
      <c r="H2177" s="6">
        <v>553.1</v>
      </c>
      <c r="I2177" s="6">
        <f t="shared" ca="1" si="0"/>
        <v>283.89999999999998</v>
      </c>
      <c r="J2177" s="6">
        <f ca="1">IFERROR(__xludf.DUMMYFUNCTION("IFERROR(GOOGLEFINANCE(B2177, ""volume""), 0)"),266828)</f>
        <v>266828</v>
      </c>
      <c r="K2177" s="6">
        <v>1.24</v>
      </c>
      <c r="L2177" s="6">
        <f ca="1">IFERROR(__xludf.DUMMYFUNCTION("IFERROR(GOOGLEFINANCE(B2177,""changepct""),K2177)"),-1.22)</f>
        <v>-1.22</v>
      </c>
      <c r="M2177" s="6">
        <f ca="1">IFERROR(__xludf.DUMMYFUNCTION("IFERROR(GOOGLEFINANCE(B2177,""change""),0)"),-3.5)</f>
        <v>-3.5</v>
      </c>
      <c r="N2177" s="6">
        <v>2</v>
      </c>
      <c r="O2177" s="7">
        <v>45536</v>
      </c>
      <c r="P2177" s="6">
        <v>233.66</v>
      </c>
      <c r="Q2177" s="6">
        <v>3801.95</v>
      </c>
      <c r="R2177" s="7">
        <v>45536</v>
      </c>
      <c r="S2177" s="6">
        <v>615.53</v>
      </c>
      <c r="T2177" s="6">
        <v>78.25</v>
      </c>
      <c r="U2177" s="7">
        <v>45536</v>
      </c>
      <c r="V2177" s="6">
        <v>47.15</v>
      </c>
      <c r="W2177" s="6">
        <f ca="1">IFERROR(__xludf.DUMMYFUNCTION("IFERROR(GOOGLEFINANCE(B2177,""pe""),V2177)"),12.85)</f>
        <v>12.85</v>
      </c>
      <c r="X2177" s="6">
        <v>1.92</v>
      </c>
      <c r="Y2177" s="6">
        <v>15.68</v>
      </c>
      <c r="Z2177" s="6">
        <v>2</v>
      </c>
      <c r="AA2177" s="8">
        <v>45352</v>
      </c>
      <c r="AB2177" s="4">
        <v>0.89</v>
      </c>
      <c r="AC2177" s="6">
        <v>38.51</v>
      </c>
      <c r="AD2177" s="6">
        <v>34.04</v>
      </c>
      <c r="AE2177" s="1">
        <v>0</v>
      </c>
      <c r="AF2177" s="1">
        <f ca="1">IFERROR(__xludf.DUMMYFUNCTION("IFERROR(GOOGLEFINANCE(TRIM(F2177)&amp;"":"" &amp; TRIM(B2177),""high52""),AE2177)"),583.7)</f>
        <v>583.70000000000005</v>
      </c>
      <c r="AG2177" s="1">
        <v>0</v>
      </c>
      <c r="AH2177" s="1">
        <f ca="1">IFERROR(__xludf.DUMMYFUNCTION("IFERROR(GOOGLEFINANCE(TRIM(F2177)&amp;"":"" &amp; TRIM(B2177),""low52""),AE2177)"),274.5)</f>
        <v>274.5</v>
      </c>
      <c r="AI2177" s="1">
        <f ca="1">IFERROR(__xludf.DUMMYFUNCTION("IFERROR(GOOGLEFINANCE(B2177,""eps""),0)"),22.09)</f>
        <v>22.09</v>
      </c>
      <c r="AJ2177" s="1"/>
      <c r="AK2177" s="1" t="s">
        <v>6795</v>
      </c>
      <c r="AL2177" s="9">
        <f t="shared" si="233"/>
        <v>1</v>
      </c>
    </row>
    <row r="2178" spans="1:38" ht="15" x14ac:dyDescent="0.25">
      <c r="A2178" s="1" t="s">
        <v>6796</v>
      </c>
      <c r="B2178" s="1" t="s">
        <v>6797</v>
      </c>
      <c r="C2178" s="1" t="s">
        <v>208</v>
      </c>
      <c r="D2178" s="1" t="s">
        <v>208</v>
      </c>
      <c r="E2178" s="6">
        <v>19.16</v>
      </c>
      <c r="F2178" s="1" t="s">
        <v>53</v>
      </c>
      <c r="G2178" s="6">
        <f ca="1">IFERROR(__xludf.DUMMYFUNCTION("iferror(GOOGLEFINANCE(TRIM(F2178)&amp;"":"" &amp; TRIM(B2178), ""price""),0
)"),0)</f>
        <v>0</v>
      </c>
      <c r="H2178" s="6">
        <v>26.12</v>
      </c>
      <c r="I2178" s="6">
        <f t="shared" ca="1" si="0"/>
        <v>26.12</v>
      </c>
      <c r="J2178" s="6">
        <f ca="1">IFERROR(__xludf.DUMMYFUNCTION("IFERROR(GOOGLEFINANCE(B2178, ""volume""), 0)"),0)</f>
        <v>0</v>
      </c>
      <c r="K2178" s="6">
        <v>2.27</v>
      </c>
      <c r="L2178" s="6">
        <f ca="1">IFERROR(__xludf.DUMMYFUNCTION("IFERROR(GOOGLEFINANCE(B2178,""changepct""),K2178)"),2.27)</f>
        <v>2.27</v>
      </c>
      <c r="M2178" s="6">
        <f ca="1">IFERROR(__xludf.DUMMYFUNCTION("IFERROR(GOOGLEFINANCE(B2178,""change""),0)"),0)</f>
        <v>0</v>
      </c>
      <c r="N2178" s="6">
        <v>1</v>
      </c>
      <c r="O2178" s="7">
        <v>45536</v>
      </c>
      <c r="P2178" s="6">
        <v>0.14000000000000001</v>
      </c>
      <c r="Q2178" s="7">
        <v>45536</v>
      </c>
      <c r="R2178" s="6">
        <v>138.80000000000001</v>
      </c>
      <c r="S2178" s="6">
        <v>4.16</v>
      </c>
      <c r="T2178" s="6">
        <v>0.76</v>
      </c>
      <c r="U2178" s="6">
        <v>1</v>
      </c>
      <c r="V2178" s="7">
        <v>45352</v>
      </c>
      <c r="W2178" s="10">
        <f ca="1">IFERROR(__xludf.DUMMYFUNCTION("IFERROR(GOOGLEFINANCE(B2178,""pe""),V2178)"),45352)</f>
        <v>45352</v>
      </c>
      <c r="X2178" s="6">
        <v>0.02</v>
      </c>
      <c r="Y2178" s="6">
        <v>1.88</v>
      </c>
      <c r="Z2178" s="6">
        <v>1.94</v>
      </c>
      <c r="AA2178" s="3" t="s">
        <v>6798</v>
      </c>
      <c r="AB2178" s="11"/>
      <c r="AC2178" s="9"/>
      <c r="AD2178" s="9"/>
      <c r="AE2178" s="1">
        <v>0</v>
      </c>
      <c r="AF2178" s="1">
        <f ca="1">IFERROR(__xludf.DUMMYFUNCTION("IFERROR(GOOGLEFINANCE(TRIM(F2178)&amp;"":"" &amp; TRIM(B2178),""high52""),AE2178)"),0)</f>
        <v>0</v>
      </c>
      <c r="AG2178" s="1">
        <v>0</v>
      </c>
      <c r="AH2178" s="1">
        <f ca="1">IFERROR(__xludf.DUMMYFUNCTION("IFERROR(GOOGLEFINANCE(TRIM(F2178)&amp;"":"" &amp; TRIM(B2178),""low52""),AE2178)"),0)</f>
        <v>0</v>
      </c>
      <c r="AI2178" s="1">
        <f ca="1">IFERROR(__xludf.DUMMYFUNCTION("IFERROR(GOOGLEFINANCE(B2178,""eps""),0)"),0)</f>
        <v>0</v>
      </c>
      <c r="AJ2178" s="1"/>
      <c r="AK2178" s="1" t="s">
        <v>6799</v>
      </c>
      <c r="AL2178" s="9">
        <f t="shared" si="233"/>
        <v>1</v>
      </c>
    </row>
    <row r="2179" spans="1:38" ht="15" x14ac:dyDescent="0.25">
      <c r="A2179" s="1" t="s">
        <v>6800</v>
      </c>
      <c r="B2179" s="1" t="s">
        <v>6801</v>
      </c>
      <c r="C2179" s="1" t="s">
        <v>208</v>
      </c>
      <c r="D2179" s="1" t="s">
        <v>208</v>
      </c>
      <c r="E2179" s="6">
        <v>42.11</v>
      </c>
      <c r="F2179" s="1" t="s">
        <v>53</v>
      </c>
      <c r="G2179" s="6">
        <f ca="1">IFERROR(__xludf.DUMMYFUNCTION("iferror(GOOGLEFINANCE(TRIM(F2179)&amp;"":"" &amp; TRIM(B2179), ""price""),0
)"),0)</f>
        <v>0</v>
      </c>
      <c r="H2179" s="6">
        <v>26.29</v>
      </c>
      <c r="I2179" s="6">
        <f t="shared" ca="1" si="0"/>
        <v>26.29</v>
      </c>
      <c r="J2179" s="6">
        <f ca="1">IFERROR(__xludf.DUMMYFUNCTION("IFERROR(GOOGLEFINANCE(B2179, ""volume""), 0)"),0)</f>
        <v>0</v>
      </c>
      <c r="K2179" s="6">
        <v>-1.98</v>
      </c>
      <c r="L2179" s="6">
        <f ca="1">IFERROR(__xludf.DUMMYFUNCTION("IFERROR(GOOGLEFINANCE(B2179,""changepct""),K2179)"),-1.98)</f>
        <v>-1.98</v>
      </c>
      <c r="M2179" s="6">
        <f ca="1">IFERROR(__xludf.DUMMYFUNCTION("IFERROR(GOOGLEFINANCE(B2179,""change""),0)"),0)</f>
        <v>0</v>
      </c>
      <c r="N2179" s="6">
        <v>1</v>
      </c>
      <c r="O2179" s="7">
        <v>45536</v>
      </c>
      <c r="P2179" s="6">
        <v>0.3</v>
      </c>
      <c r="Q2179" s="7">
        <v>45536</v>
      </c>
      <c r="R2179" s="6">
        <v>141.30000000000001</v>
      </c>
      <c r="S2179" s="6">
        <v>1.31</v>
      </c>
      <c r="T2179" s="6">
        <v>2.2999999999999998</v>
      </c>
      <c r="U2179" s="6">
        <v>2</v>
      </c>
      <c r="V2179" s="7">
        <v>45352</v>
      </c>
      <c r="W2179" s="10">
        <f ca="1">IFERROR(__xludf.DUMMYFUNCTION("IFERROR(GOOGLEFINANCE(B2179,""pe""),V2179)"),45352)</f>
        <v>45352</v>
      </c>
      <c r="X2179" s="6">
        <v>0</v>
      </c>
      <c r="Y2179" s="6">
        <v>1.19</v>
      </c>
      <c r="Z2179" s="6">
        <v>1.72</v>
      </c>
      <c r="AA2179" s="3" t="s">
        <v>6802</v>
      </c>
      <c r="AB2179" s="11"/>
      <c r="AC2179" s="9"/>
      <c r="AD2179" s="9"/>
      <c r="AE2179" s="1">
        <v>0</v>
      </c>
      <c r="AF2179" s="1">
        <f ca="1">IFERROR(__xludf.DUMMYFUNCTION("IFERROR(GOOGLEFINANCE(TRIM(F2179)&amp;"":"" &amp; TRIM(B2179),""high52""),AE2179)"),0)</f>
        <v>0</v>
      </c>
      <c r="AG2179" s="1">
        <v>0</v>
      </c>
      <c r="AH2179" s="1">
        <f ca="1">IFERROR(__xludf.DUMMYFUNCTION("IFERROR(GOOGLEFINANCE(TRIM(F2179)&amp;"":"" &amp; TRIM(B2179),""low52""),AE2179)"),0)</f>
        <v>0</v>
      </c>
      <c r="AI2179" s="1">
        <f ca="1">IFERROR(__xludf.DUMMYFUNCTION("IFERROR(GOOGLEFINANCE(B2179,""eps""),0)"),0)</f>
        <v>0</v>
      </c>
      <c r="AJ2179" s="1"/>
      <c r="AK2179" s="1" t="s">
        <v>6803</v>
      </c>
      <c r="AL2179" s="9">
        <f t="shared" si="233"/>
        <v>1</v>
      </c>
    </row>
    <row r="2180" spans="1:38" ht="15" x14ac:dyDescent="0.25">
      <c r="A2180" s="1" t="s">
        <v>6804</v>
      </c>
      <c r="B2180" s="1" t="s">
        <v>6805</v>
      </c>
      <c r="C2180" s="1" t="s">
        <v>208</v>
      </c>
      <c r="D2180" s="1" t="s">
        <v>208</v>
      </c>
      <c r="E2180" s="6">
        <v>28.61</v>
      </c>
      <c r="F2180" s="1" t="s">
        <v>53</v>
      </c>
      <c r="G2180" s="6">
        <f ca="1">IFERROR(__xludf.DUMMYFUNCTION("iferror(GOOGLEFINANCE(TRIM(F2180)&amp;"":"" &amp; TRIM(B2180), ""price""),0
)"),0)</f>
        <v>0</v>
      </c>
      <c r="H2180" s="6">
        <v>18.13</v>
      </c>
      <c r="I2180" s="6">
        <f t="shared" ca="1" si="0"/>
        <v>18.13</v>
      </c>
      <c r="J2180" s="6">
        <f ca="1">IFERROR(__xludf.DUMMYFUNCTION("IFERROR(GOOGLEFINANCE(B2180, ""volume""), 0)"),0)</f>
        <v>0</v>
      </c>
      <c r="K2180" s="12"/>
      <c r="L2180" s="6" t="str">
        <f ca="1">IFERROR(__xludf.DUMMYFUNCTION("IFERROR(GOOGLEFINANCE(B2180,""changepct""),K2180)"),"")</f>
        <v/>
      </c>
      <c r="M2180" s="6">
        <f ca="1">IFERROR(__xludf.DUMMYFUNCTION("IFERROR(GOOGLEFINANCE(B2180,""change""),0)"),0)</f>
        <v>0</v>
      </c>
      <c r="N2180" s="6">
        <v>1</v>
      </c>
      <c r="O2180" s="7">
        <v>45352</v>
      </c>
      <c r="P2180" s="6">
        <v>0.19</v>
      </c>
      <c r="Q2180" s="7">
        <v>45352</v>
      </c>
      <c r="R2180" s="6">
        <v>152.29</v>
      </c>
      <c r="S2180" s="6">
        <v>-123.81</v>
      </c>
      <c r="T2180" s="6">
        <v>0.76</v>
      </c>
      <c r="U2180" s="6">
        <v>1</v>
      </c>
      <c r="V2180" s="7">
        <v>45352</v>
      </c>
      <c r="W2180" s="10">
        <f ca="1">IFERROR(__xludf.DUMMYFUNCTION("IFERROR(GOOGLEFINANCE(B2180,""pe""),V2180)"),45352)</f>
        <v>45352</v>
      </c>
      <c r="X2180" s="6">
        <v>0</v>
      </c>
      <c r="Y2180" s="6">
        <v>0.5</v>
      </c>
      <c r="Z2180" s="6">
        <v>0.35</v>
      </c>
      <c r="AA2180" s="3" t="s">
        <v>6806</v>
      </c>
      <c r="AB2180" s="11"/>
      <c r="AC2180" s="9"/>
      <c r="AD2180" s="9"/>
      <c r="AE2180" s="1">
        <v>0</v>
      </c>
      <c r="AF2180" s="1">
        <f ca="1">IFERROR(__xludf.DUMMYFUNCTION("IFERROR(GOOGLEFINANCE(TRIM(F2180)&amp;"":"" &amp; TRIM(B2180),""high52""),AE2180)"),0)</f>
        <v>0</v>
      </c>
      <c r="AG2180" s="1">
        <v>0</v>
      </c>
      <c r="AH2180" s="1">
        <f ca="1">IFERROR(__xludf.DUMMYFUNCTION("IFERROR(GOOGLEFINANCE(TRIM(F2180)&amp;"":"" &amp; TRIM(B2180),""low52""),AE2180)"),0)</f>
        <v>0</v>
      </c>
      <c r="AI2180" s="1">
        <f ca="1">IFERROR(__xludf.DUMMYFUNCTION("IFERROR(GOOGLEFINANCE(B2180,""eps""),0)"),0)</f>
        <v>0</v>
      </c>
      <c r="AJ2180" s="1"/>
      <c r="AK2180" s="1" t="s">
        <v>6807</v>
      </c>
      <c r="AL2180" s="9">
        <f t="shared" si="233"/>
        <v>1</v>
      </c>
    </row>
    <row r="2181" spans="1:38" ht="15" x14ac:dyDescent="0.25">
      <c r="A2181" s="1" t="s">
        <v>6808</v>
      </c>
      <c r="B2181" s="1" t="s">
        <v>6809</v>
      </c>
      <c r="C2181" s="1" t="s">
        <v>208</v>
      </c>
      <c r="D2181" s="1" t="s">
        <v>208</v>
      </c>
      <c r="E2181" s="6">
        <v>24.53</v>
      </c>
      <c r="F2181" s="1" t="s">
        <v>53</v>
      </c>
      <c r="G2181" s="6">
        <f ca="1">IFERROR(__xludf.DUMMYFUNCTION("iferror(GOOGLEFINANCE(TRIM(F2181)&amp;"":"" &amp; TRIM(B2181), ""price""),0
)"),0)</f>
        <v>0</v>
      </c>
      <c r="H2181" s="6">
        <v>57.52</v>
      </c>
      <c r="I2181" s="6">
        <f t="shared" ca="1" si="0"/>
        <v>57.52</v>
      </c>
      <c r="J2181" s="6">
        <f ca="1">IFERROR(__xludf.DUMMYFUNCTION("IFERROR(GOOGLEFINANCE(B2181, ""volume""), 0)"),0)</f>
        <v>0</v>
      </c>
      <c r="K2181" s="9"/>
      <c r="L2181" s="6" t="str">
        <f ca="1">IFERROR(__xludf.DUMMYFUNCTION("IFERROR(GOOGLEFINANCE(B2181,""changepct""),K2181)"),"")</f>
        <v/>
      </c>
      <c r="M2181" s="6">
        <f ca="1">IFERROR(__xludf.DUMMYFUNCTION("IFERROR(GOOGLEFINANCE(B2181,""change""),0)"),0)</f>
        <v>0</v>
      </c>
      <c r="N2181" s="6">
        <v>1</v>
      </c>
      <c r="O2181" s="7">
        <v>45536</v>
      </c>
      <c r="P2181" s="6">
        <v>0.16</v>
      </c>
      <c r="Q2181" s="7">
        <v>45536</v>
      </c>
      <c r="R2181" s="6">
        <v>156.22</v>
      </c>
      <c r="S2181" s="6">
        <v>3.01</v>
      </c>
      <c r="T2181" s="6">
        <v>5.43</v>
      </c>
      <c r="U2181" s="6">
        <v>1</v>
      </c>
      <c r="V2181" s="7">
        <v>45352</v>
      </c>
      <c r="W2181" s="10">
        <f ca="1">IFERROR(__xludf.DUMMYFUNCTION("IFERROR(GOOGLEFINANCE(B2181,""pe""),V2181)"),45352)</f>
        <v>45352</v>
      </c>
      <c r="X2181" s="6">
        <v>0</v>
      </c>
      <c r="Y2181" s="6">
        <v>4.95</v>
      </c>
      <c r="Z2181" s="6">
        <v>6.35</v>
      </c>
      <c r="AA2181" s="3" t="s">
        <v>6810</v>
      </c>
      <c r="AB2181" s="11"/>
      <c r="AC2181" s="9"/>
      <c r="AD2181" s="9"/>
      <c r="AE2181" s="1">
        <v>0</v>
      </c>
      <c r="AF2181" s="1">
        <f ca="1">IFERROR(__xludf.DUMMYFUNCTION("IFERROR(GOOGLEFINANCE(TRIM(F2181)&amp;"":"" &amp; TRIM(B2181),""high52""),AE2181)"),0)</f>
        <v>0</v>
      </c>
      <c r="AG2181" s="1">
        <v>0</v>
      </c>
      <c r="AH2181" s="1">
        <f ca="1">IFERROR(__xludf.DUMMYFUNCTION("IFERROR(GOOGLEFINANCE(TRIM(F2181)&amp;"":"" &amp; TRIM(B2181),""low52""),AE2181)"),0)</f>
        <v>0</v>
      </c>
      <c r="AI2181" s="1">
        <f ca="1">IFERROR(__xludf.DUMMYFUNCTION("IFERROR(GOOGLEFINANCE(B2181,""eps""),0)"),0)</f>
        <v>0</v>
      </c>
      <c r="AJ2181" s="1"/>
      <c r="AK2181" s="1" t="s">
        <v>6811</v>
      </c>
      <c r="AL2181" s="9">
        <f t="shared" si="233"/>
        <v>1</v>
      </c>
    </row>
    <row r="2182" spans="1:38" ht="15" x14ac:dyDescent="0.25">
      <c r="A2182" s="1" t="s">
        <v>6812</v>
      </c>
      <c r="B2182" s="1" t="s">
        <v>6813</v>
      </c>
      <c r="C2182" s="1" t="s">
        <v>268</v>
      </c>
      <c r="D2182" s="1" t="s">
        <v>268</v>
      </c>
      <c r="E2182" s="6">
        <v>11264.77</v>
      </c>
      <c r="F2182" s="1" t="s">
        <v>40</v>
      </c>
      <c r="G2182" s="6">
        <f ca="1">IFERROR(__xludf.DUMMYFUNCTION("iferror(GOOGLEFINANCE(TRIM(F2182)&amp;"":"" &amp; TRIM(B2182), ""price""),0
)"),390)</f>
        <v>390</v>
      </c>
      <c r="H2182" s="6">
        <v>555.35</v>
      </c>
      <c r="I2182" s="6">
        <f t="shared" ca="1" si="0"/>
        <v>390</v>
      </c>
      <c r="J2182" s="6">
        <f ca="1">IFERROR(__xludf.DUMMYFUNCTION("IFERROR(GOOGLEFINANCE(B2182, ""volume""), 0)"),1029697)</f>
        <v>1029697</v>
      </c>
      <c r="K2182" s="6">
        <v>-2.88</v>
      </c>
      <c r="L2182" s="6">
        <f ca="1">IFERROR(__xludf.DUMMYFUNCTION("IFERROR(GOOGLEFINANCE(B2182,""changepct""),K2182)"),-0.47)</f>
        <v>-0.47</v>
      </c>
      <c r="M2182" s="6">
        <f ca="1">IFERROR(__xludf.DUMMYFUNCTION("IFERROR(GOOGLEFINANCE(B2182,""change""),0)"),-1.85)</f>
        <v>-1.85</v>
      </c>
      <c r="N2182" s="6">
        <v>2</v>
      </c>
      <c r="O2182" s="7">
        <v>45536</v>
      </c>
      <c r="P2182" s="6">
        <v>132.88999999999999</v>
      </c>
      <c r="Q2182" s="6">
        <v>11089.15</v>
      </c>
      <c r="R2182" s="7">
        <v>45536</v>
      </c>
      <c r="S2182" s="6">
        <v>1327.16</v>
      </c>
      <c r="T2182" s="6">
        <v>229.6</v>
      </c>
      <c r="U2182" s="7">
        <v>45536</v>
      </c>
      <c r="V2182" s="6">
        <v>49.06</v>
      </c>
      <c r="W2182" s="6">
        <f ca="1">IFERROR(__xludf.DUMMYFUNCTION("IFERROR(GOOGLEFINANCE(B2182,""pe""),V2182)"),18.44)</f>
        <v>18.440000000000001</v>
      </c>
      <c r="X2182" s="6">
        <v>0.49</v>
      </c>
      <c r="Y2182" s="6">
        <v>5.73</v>
      </c>
      <c r="Z2182" s="6">
        <v>2</v>
      </c>
      <c r="AA2182" s="8">
        <v>45352</v>
      </c>
      <c r="AB2182" s="4">
        <v>1</v>
      </c>
      <c r="AC2182" s="6">
        <v>29.56</v>
      </c>
      <c r="AD2182" s="6">
        <v>24.78</v>
      </c>
      <c r="AE2182" s="1">
        <v>0</v>
      </c>
      <c r="AF2182" s="1">
        <f ca="1">IFERROR(__xludf.DUMMYFUNCTION("IFERROR(GOOGLEFINANCE(TRIM(F2182)&amp;"":"" &amp; TRIM(B2182),""high52""),AE2182)"),563)</f>
        <v>563</v>
      </c>
      <c r="AG2182" s="1">
        <v>0</v>
      </c>
      <c r="AH2182" s="1">
        <f ca="1">IFERROR(__xludf.DUMMYFUNCTION("IFERROR(GOOGLEFINANCE(TRIM(F2182)&amp;"":"" &amp; TRIM(B2182),""low52""),AE2182)"),336)</f>
        <v>336</v>
      </c>
      <c r="AI2182" s="1">
        <f ca="1">IFERROR(__xludf.DUMMYFUNCTION("IFERROR(GOOGLEFINANCE(B2182,""eps""),0)"),21.15)</f>
        <v>21.15</v>
      </c>
      <c r="AJ2182" s="1"/>
      <c r="AK2182" s="9"/>
      <c r="AL2182" s="9">
        <f t="shared" si="233"/>
        <v>1</v>
      </c>
    </row>
    <row r="2183" spans="1:38" ht="15" x14ac:dyDescent="0.25">
      <c r="A2183" s="1" t="s">
        <v>6814</v>
      </c>
      <c r="B2183" s="1" t="s">
        <v>6815</v>
      </c>
      <c r="C2183" s="1" t="s">
        <v>208</v>
      </c>
      <c r="D2183" s="1" t="s">
        <v>208</v>
      </c>
      <c r="E2183" s="6">
        <v>164.73</v>
      </c>
      <c r="F2183" s="1" t="s">
        <v>53</v>
      </c>
      <c r="G2183" s="6">
        <f ca="1">IFERROR(__xludf.DUMMYFUNCTION("iferror(GOOGLEFINANCE(TRIM(F2183)&amp;"":"" &amp; TRIM(B2183), ""price""),0
)"),0)</f>
        <v>0</v>
      </c>
      <c r="H2183" s="6">
        <v>5.28</v>
      </c>
      <c r="I2183" s="6">
        <f t="shared" ca="1" si="0"/>
        <v>5.28</v>
      </c>
      <c r="J2183" s="6">
        <f ca="1">IFERROR(__xludf.DUMMYFUNCTION("IFERROR(GOOGLEFINANCE(B2183, ""volume""), 0)"),0)</f>
        <v>0</v>
      </c>
      <c r="K2183" s="6">
        <v>1.93</v>
      </c>
      <c r="L2183" s="6">
        <f ca="1">IFERROR(__xludf.DUMMYFUNCTION("IFERROR(GOOGLEFINANCE(B2183,""changepct""),K2183)"),1.93)</f>
        <v>1.93</v>
      </c>
      <c r="M2183" s="6">
        <f ca="1">IFERROR(__xludf.DUMMYFUNCTION("IFERROR(GOOGLEFINANCE(B2183,""change""),0)"),0)</f>
        <v>0</v>
      </c>
      <c r="N2183" s="6">
        <v>1</v>
      </c>
      <c r="O2183" s="7">
        <v>45536</v>
      </c>
      <c r="P2183" s="6">
        <v>0.97</v>
      </c>
      <c r="Q2183" s="7">
        <v>45536</v>
      </c>
      <c r="R2183" s="6">
        <v>170</v>
      </c>
      <c r="S2183" s="9"/>
      <c r="T2183" s="6">
        <v>2.0499999999999998</v>
      </c>
      <c r="U2183" s="6">
        <v>1</v>
      </c>
      <c r="V2183" s="7">
        <v>45352</v>
      </c>
      <c r="W2183" s="10">
        <f ca="1">IFERROR(__xludf.DUMMYFUNCTION("IFERROR(GOOGLEFINANCE(B2183,""pe""),V2183)"),45352)</f>
        <v>45352</v>
      </c>
      <c r="X2183" s="6">
        <v>10.94</v>
      </c>
      <c r="Y2183" s="6">
        <v>-1.27</v>
      </c>
      <c r="Z2183" s="6">
        <v>3.75</v>
      </c>
      <c r="AA2183" s="3" t="s">
        <v>6816</v>
      </c>
      <c r="AB2183" s="11"/>
      <c r="AC2183" s="9"/>
      <c r="AD2183" s="9"/>
      <c r="AE2183" s="1">
        <v>0</v>
      </c>
      <c r="AF2183" s="1">
        <f ca="1">IFERROR(__xludf.DUMMYFUNCTION("IFERROR(GOOGLEFINANCE(TRIM(F2183)&amp;"":"" &amp; TRIM(B2183),""high52""),AE2183)"),0)</f>
        <v>0</v>
      </c>
      <c r="AG2183" s="1">
        <v>0</v>
      </c>
      <c r="AH2183" s="1">
        <f ca="1">IFERROR(__xludf.DUMMYFUNCTION("IFERROR(GOOGLEFINANCE(TRIM(F2183)&amp;"":"" &amp; TRIM(B2183),""low52""),AE2183)"),0)</f>
        <v>0</v>
      </c>
      <c r="AI2183" s="1">
        <f ca="1">IFERROR(__xludf.DUMMYFUNCTION("IFERROR(GOOGLEFINANCE(B2183,""eps""),0)"),0)</f>
        <v>0</v>
      </c>
      <c r="AJ2183" s="1"/>
      <c r="AK2183" s="1" t="s">
        <v>6817</v>
      </c>
      <c r="AL2183" s="9">
        <f t="shared" si="233"/>
        <v>1</v>
      </c>
    </row>
    <row r="2184" spans="1:38" ht="15" x14ac:dyDescent="0.25">
      <c r="A2184" s="1" t="s">
        <v>6818</v>
      </c>
      <c r="B2184" s="1" t="s">
        <v>6819</v>
      </c>
      <c r="C2184" s="1" t="s">
        <v>208</v>
      </c>
      <c r="D2184" s="1" t="s">
        <v>208</v>
      </c>
      <c r="E2184" s="6">
        <v>93.16</v>
      </c>
      <c r="F2184" s="1" t="s">
        <v>53</v>
      </c>
      <c r="G2184" s="6">
        <f ca="1">IFERROR(__xludf.DUMMYFUNCTION("iferror(GOOGLEFINANCE(TRIM(F2184)&amp;"":"" &amp; TRIM(B2184), ""price""),0
)"),0)</f>
        <v>0</v>
      </c>
      <c r="H2184" s="6">
        <v>4.96</v>
      </c>
      <c r="I2184" s="6">
        <f t="shared" ca="1" si="0"/>
        <v>4.96</v>
      </c>
      <c r="J2184" s="6">
        <f ca="1">IFERROR(__xludf.DUMMYFUNCTION("IFERROR(GOOGLEFINANCE(B2184, ""volume""), 0)"),0)</f>
        <v>0</v>
      </c>
      <c r="K2184" s="6">
        <v>-0.2</v>
      </c>
      <c r="L2184" s="6">
        <f ca="1">IFERROR(__xludf.DUMMYFUNCTION("IFERROR(GOOGLEFINANCE(B2184,""changepct""),K2184)"),-0.2)</f>
        <v>-0.2</v>
      </c>
      <c r="M2184" s="6">
        <f ca="1">IFERROR(__xludf.DUMMYFUNCTION("IFERROR(GOOGLEFINANCE(B2184,""change""),0)"),0)</f>
        <v>0</v>
      </c>
      <c r="N2184" s="6">
        <v>1</v>
      </c>
      <c r="O2184" s="7">
        <v>45536</v>
      </c>
      <c r="P2184" s="6">
        <v>0.55000000000000004</v>
      </c>
      <c r="Q2184" s="7">
        <v>45536</v>
      </c>
      <c r="R2184" s="6">
        <v>170.31</v>
      </c>
      <c r="S2184" s="6">
        <v>9.75</v>
      </c>
      <c r="T2184" s="6">
        <v>2.14</v>
      </c>
      <c r="U2184" s="6">
        <v>1</v>
      </c>
      <c r="V2184" s="7">
        <v>45352</v>
      </c>
      <c r="W2184" s="10">
        <f ca="1">IFERROR(__xludf.DUMMYFUNCTION("IFERROR(GOOGLEFINANCE(B2184,""pe""),V2184)"),45352)</f>
        <v>45352</v>
      </c>
      <c r="X2184" s="6">
        <v>0.06</v>
      </c>
      <c r="Y2184" s="6">
        <v>4</v>
      </c>
      <c r="Z2184" s="6">
        <v>5.84</v>
      </c>
      <c r="AA2184" s="3" t="s">
        <v>6820</v>
      </c>
      <c r="AB2184" s="11"/>
      <c r="AC2184" s="9"/>
      <c r="AD2184" s="9"/>
      <c r="AE2184" s="1">
        <v>0</v>
      </c>
      <c r="AF2184" s="1">
        <f ca="1">IFERROR(__xludf.DUMMYFUNCTION("IFERROR(GOOGLEFINANCE(TRIM(F2184)&amp;"":"" &amp; TRIM(B2184),""high52""),AE2184)"),0)</f>
        <v>0</v>
      </c>
      <c r="AG2184" s="1">
        <v>0</v>
      </c>
      <c r="AH2184" s="1">
        <f ca="1">IFERROR(__xludf.DUMMYFUNCTION("IFERROR(GOOGLEFINANCE(TRIM(F2184)&amp;"":"" &amp; TRIM(B2184),""low52""),AE2184)"),0)</f>
        <v>0</v>
      </c>
      <c r="AI2184" s="1">
        <f ca="1">IFERROR(__xludf.DUMMYFUNCTION("IFERROR(GOOGLEFINANCE(B2184,""eps""),0)"),0)</f>
        <v>0</v>
      </c>
      <c r="AJ2184" s="1"/>
      <c r="AK2184" s="9"/>
      <c r="AL2184" s="9">
        <f t="shared" si="233"/>
        <v>1</v>
      </c>
    </row>
    <row r="2185" spans="1:38" ht="15" x14ac:dyDescent="0.25">
      <c r="A2185" s="1" t="s">
        <v>6821</v>
      </c>
      <c r="B2185" s="1" t="s">
        <v>6822</v>
      </c>
      <c r="C2185" s="1" t="s">
        <v>208</v>
      </c>
      <c r="D2185" s="1" t="s">
        <v>208</v>
      </c>
      <c r="E2185" s="6">
        <v>11.59</v>
      </c>
      <c r="F2185" s="1" t="s">
        <v>53</v>
      </c>
      <c r="G2185" s="6">
        <f ca="1">IFERROR(__xludf.DUMMYFUNCTION("iferror(GOOGLEFINANCE(TRIM(F2185)&amp;"":"" &amp; TRIM(B2185), ""price""),0
)"),0)</f>
        <v>0</v>
      </c>
      <c r="H2185" s="6">
        <v>36.700000000000003</v>
      </c>
      <c r="I2185" s="6">
        <f t="shared" ca="1" si="0"/>
        <v>36.700000000000003</v>
      </c>
      <c r="J2185" s="6">
        <f ca="1">IFERROR(__xludf.DUMMYFUNCTION("IFERROR(GOOGLEFINANCE(B2185, ""volume""), 0)"),0)</f>
        <v>0</v>
      </c>
      <c r="K2185" s="9"/>
      <c r="L2185" s="6" t="str">
        <f ca="1">IFERROR(__xludf.DUMMYFUNCTION("IFERROR(GOOGLEFINANCE(B2185,""changepct""),K2185)"),"")</f>
        <v/>
      </c>
      <c r="M2185" s="6">
        <f ca="1">IFERROR(__xludf.DUMMYFUNCTION("IFERROR(GOOGLEFINANCE(B2185,""change""),0)"),0)</f>
        <v>0</v>
      </c>
      <c r="N2185" s="6">
        <v>2</v>
      </c>
      <c r="O2185" s="7">
        <v>45536</v>
      </c>
      <c r="P2185" s="6">
        <v>0.08</v>
      </c>
      <c r="Q2185" s="7">
        <v>45536</v>
      </c>
      <c r="R2185" s="6">
        <v>175.63</v>
      </c>
      <c r="S2185" s="6">
        <v>-74.099999999999994</v>
      </c>
      <c r="T2185" s="6">
        <v>1.85</v>
      </c>
      <c r="U2185" s="6">
        <v>2</v>
      </c>
      <c r="V2185" s="7">
        <v>45352</v>
      </c>
      <c r="W2185" s="10">
        <f ca="1">IFERROR(__xludf.DUMMYFUNCTION("IFERROR(GOOGLEFINANCE(B2185,""pe""),V2185)"),45352)</f>
        <v>45352</v>
      </c>
      <c r="X2185" s="6">
        <v>0</v>
      </c>
      <c r="Y2185" s="6">
        <v>2.39</v>
      </c>
      <c r="Z2185" s="6">
        <v>2.84</v>
      </c>
      <c r="AA2185" s="3" t="s">
        <v>6823</v>
      </c>
      <c r="AB2185" s="11"/>
      <c r="AC2185" s="9"/>
      <c r="AD2185" s="9"/>
      <c r="AE2185" s="1">
        <v>0</v>
      </c>
      <c r="AF2185" s="1">
        <f ca="1">IFERROR(__xludf.DUMMYFUNCTION("IFERROR(GOOGLEFINANCE(TRIM(F2185)&amp;"":"" &amp; TRIM(B2185),""high52""),AE2185)"),0)</f>
        <v>0</v>
      </c>
      <c r="AG2185" s="1">
        <v>0</v>
      </c>
      <c r="AH2185" s="1">
        <f ca="1">IFERROR(__xludf.DUMMYFUNCTION("IFERROR(GOOGLEFINANCE(TRIM(F2185)&amp;"":"" &amp; TRIM(B2185),""low52""),AE2185)"),0)</f>
        <v>0</v>
      </c>
      <c r="AI2185" s="1">
        <f ca="1">IFERROR(__xludf.DUMMYFUNCTION("IFERROR(GOOGLEFINANCE(B2185,""eps""),0)"),0)</f>
        <v>0</v>
      </c>
      <c r="AJ2185" s="1"/>
      <c r="AK2185" s="1" t="s">
        <v>6824</v>
      </c>
      <c r="AL2185" s="9">
        <f t="shared" si="233"/>
        <v>1</v>
      </c>
    </row>
    <row r="2186" spans="1:38" ht="15" x14ac:dyDescent="0.25">
      <c r="A2186" s="1" t="s">
        <v>6825</v>
      </c>
      <c r="B2186" s="1" t="s">
        <v>6826</v>
      </c>
      <c r="C2186" s="1" t="s">
        <v>208</v>
      </c>
      <c r="D2186" s="1" t="s">
        <v>208</v>
      </c>
      <c r="E2186" s="6">
        <v>34.71</v>
      </c>
      <c r="F2186" s="1" t="s">
        <v>53</v>
      </c>
      <c r="G2186" s="6">
        <f ca="1">IFERROR(__xludf.DUMMYFUNCTION("iferror(GOOGLEFINANCE(TRIM(F2186)&amp;"":"" &amp; TRIM(B2186), ""price""),0
)"),0)</f>
        <v>0</v>
      </c>
      <c r="H2186" s="6">
        <v>158.25</v>
      </c>
      <c r="I2186" s="6">
        <f t="shared" ca="1" si="0"/>
        <v>158.25</v>
      </c>
      <c r="J2186" s="6">
        <f ca="1">IFERROR(__xludf.DUMMYFUNCTION("IFERROR(GOOGLEFINANCE(B2186, ""volume""), 0)"),0)</f>
        <v>0</v>
      </c>
      <c r="K2186" s="6">
        <v>-1.98</v>
      </c>
      <c r="L2186" s="6">
        <f ca="1">IFERROR(__xludf.DUMMYFUNCTION("IFERROR(GOOGLEFINANCE(B2186,""changepct""),K2186)"),-1.98)</f>
        <v>-1.98</v>
      </c>
      <c r="M2186" s="6">
        <f ca="1">IFERROR(__xludf.DUMMYFUNCTION("IFERROR(GOOGLEFINANCE(B2186,""change""),0)"),0)</f>
        <v>0</v>
      </c>
      <c r="N2186" s="6">
        <v>1</v>
      </c>
      <c r="O2186" s="7">
        <v>45536</v>
      </c>
      <c r="P2186" s="6">
        <v>0.18</v>
      </c>
      <c r="Q2186" s="7">
        <v>45536</v>
      </c>
      <c r="R2186" s="6">
        <v>192.82</v>
      </c>
      <c r="S2186" s="6">
        <v>17.510000000000002</v>
      </c>
      <c r="T2186" s="6">
        <v>10.53</v>
      </c>
      <c r="U2186" s="6">
        <v>1</v>
      </c>
      <c r="V2186" s="7">
        <v>45352</v>
      </c>
      <c r="W2186" s="10">
        <f ca="1">IFERROR(__xludf.DUMMYFUNCTION("IFERROR(GOOGLEFINANCE(B2186,""pe""),V2186)"),45352)</f>
        <v>45352</v>
      </c>
      <c r="X2186" s="6">
        <v>0</v>
      </c>
      <c r="Y2186" s="6">
        <v>8.9700000000000006</v>
      </c>
      <c r="Z2186" s="6">
        <v>23.26</v>
      </c>
      <c r="AA2186" s="3" t="s">
        <v>6827</v>
      </c>
      <c r="AB2186" s="11"/>
      <c r="AC2186" s="9"/>
      <c r="AD2186" s="9"/>
      <c r="AE2186" s="1">
        <v>0</v>
      </c>
      <c r="AF2186" s="1">
        <f ca="1">IFERROR(__xludf.DUMMYFUNCTION("IFERROR(GOOGLEFINANCE(TRIM(F2186)&amp;"":"" &amp; TRIM(B2186),""high52""),AE2186)"),0)</f>
        <v>0</v>
      </c>
      <c r="AG2186" s="1">
        <v>0</v>
      </c>
      <c r="AH2186" s="1">
        <f ca="1">IFERROR(__xludf.DUMMYFUNCTION("IFERROR(GOOGLEFINANCE(TRIM(F2186)&amp;"":"" &amp; TRIM(B2186),""low52""),AE2186)"),0)</f>
        <v>0</v>
      </c>
      <c r="AI2186" s="1">
        <f ca="1">IFERROR(__xludf.DUMMYFUNCTION("IFERROR(GOOGLEFINANCE(B2186,""eps""),0)"),0)</f>
        <v>0</v>
      </c>
      <c r="AJ2186" s="1"/>
      <c r="AK2186" s="9"/>
      <c r="AL2186" s="9">
        <f t="shared" si="233"/>
        <v>1</v>
      </c>
    </row>
    <row r="2187" spans="1:38" ht="15" x14ac:dyDescent="0.25">
      <c r="A2187" s="1" t="s">
        <v>6828</v>
      </c>
      <c r="B2187" s="1" t="s">
        <v>6829</v>
      </c>
      <c r="C2187" s="1" t="s">
        <v>208</v>
      </c>
      <c r="D2187" s="1" t="s">
        <v>208</v>
      </c>
      <c r="E2187" s="6">
        <v>27.74</v>
      </c>
      <c r="F2187" s="1" t="s">
        <v>53</v>
      </c>
      <c r="G2187" s="6">
        <f ca="1">IFERROR(__xludf.DUMMYFUNCTION("iferror(GOOGLEFINANCE(TRIM(F2187)&amp;"":"" &amp; TRIM(B2187), ""price""),0
)"),0)</f>
        <v>0</v>
      </c>
      <c r="H2187" s="6">
        <v>15.75</v>
      </c>
      <c r="I2187" s="6">
        <f t="shared" ca="1" si="0"/>
        <v>15.75</v>
      </c>
      <c r="J2187" s="6">
        <f ca="1">IFERROR(__xludf.DUMMYFUNCTION("IFERROR(GOOGLEFINANCE(B2187, ""volume""), 0)"),0)</f>
        <v>0</v>
      </c>
      <c r="K2187" s="6">
        <v>-4.83</v>
      </c>
      <c r="L2187" s="6">
        <f ca="1">IFERROR(__xludf.DUMMYFUNCTION("IFERROR(GOOGLEFINANCE(B2187,""changepct""),K2187)"),-4.83)</f>
        <v>-4.83</v>
      </c>
      <c r="M2187" s="6">
        <f ca="1">IFERROR(__xludf.DUMMYFUNCTION("IFERROR(GOOGLEFINANCE(B2187,""change""),0)"),0)</f>
        <v>0</v>
      </c>
      <c r="N2187" s="6">
        <v>1</v>
      </c>
      <c r="O2187" s="7">
        <v>45536</v>
      </c>
      <c r="P2187" s="6">
        <v>0.13</v>
      </c>
      <c r="Q2187" s="7">
        <v>45536</v>
      </c>
      <c r="R2187" s="6">
        <v>210.16</v>
      </c>
      <c r="S2187" s="6">
        <v>13.21</v>
      </c>
      <c r="T2187" s="6">
        <v>10.98</v>
      </c>
      <c r="U2187" s="6">
        <v>1</v>
      </c>
      <c r="V2187" s="7">
        <v>45352</v>
      </c>
      <c r="W2187" s="10">
        <f ca="1">IFERROR(__xludf.DUMMYFUNCTION("IFERROR(GOOGLEFINANCE(B2187,""pe""),V2187)"),45352)</f>
        <v>45352</v>
      </c>
      <c r="X2187" s="6">
        <v>0.03</v>
      </c>
      <c r="Y2187" s="6">
        <v>4.57</v>
      </c>
      <c r="Z2187" s="6">
        <v>4.46</v>
      </c>
      <c r="AA2187" s="3" t="s">
        <v>6830</v>
      </c>
      <c r="AB2187" s="11"/>
      <c r="AC2187" s="9"/>
      <c r="AD2187" s="9"/>
      <c r="AE2187" s="1">
        <v>0</v>
      </c>
      <c r="AF2187" s="1">
        <f ca="1">IFERROR(__xludf.DUMMYFUNCTION("IFERROR(GOOGLEFINANCE(TRIM(F2187)&amp;"":"" &amp; TRIM(B2187),""high52""),AE2187)"),0)</f>
        <v>0</v>
      </c>
      <c r="AG2187" s="1">
        <v>0</v>
      </c>
      <c r="AH2187" s="1">
        <f ca="1">IFERROR(__xludf.DUMMYFUNCTION("IFERROR(GOOGLEFINANCE(TRIM(F2187)&amp;"":"" &amp; TRIM(B2187),""low52""),AE2187)"),0)</f>
        <v>0</v>
      </c>
      <c r="AI2187" s="1">
        <f ca="1">IFERROR(__xludf.DUMMYFUNCTION("IFERROR(GOOGLEFINANCE(B2187,""eps""),0)"),0)</f>
        <v>0</v>
      </c>
      <c r="AJ2187" s="1"/>
      <c r="AK2187" s="1" t="s">
        <v>6831</v>
      </c>
      <c r="AL2187" s="9">
        <f t="shared" si="233"/>
        <v>1</v>
      </c>
    </row>
    <row r="2188" spans="1:38" ht="15" x14ac:dyDescent="0.25">
      <c r="A2188" s="1" t="s">
        <v>6832</v>
      </c>
      <c r="B2188" s="1" t="s">
        <v>6833</v>
      </c>
      <c r="C2188" s="1" t="s">
        <v>208</v>
      </c>
      <c r="D2188" s="1" t="s">
        <v>208</v>
      </c>
      <c r="E2188" s="6">
        <v>7.53</v>
      </c>
      <c r="F2188" s="1" t="s">
        <v>53</v>
      </c>
      <c r="G2188" s="6">
        <f ca="1">IFERROR(__xludf.DUMMYFUNCTION("iferror(GOOGLEFINANCE(TRIM(F2188)&amp;"":"" &amp; TRIM(B2188), ""price""),0
)"),0)</f>
        <v>0</v>
      </c>
      <c r="H2188" s="6">
        <v>24.29</v>
      </c>
      <c r="I2188" s="6">
        <f t="shared" ca="1" si="0"/>
        <v>24.29</v>
      </c>
      <c r="J2188" s="6">
        <f ca="1">IFERROR(__xludf.DUMMYFUNCTION("IFERROR(GOOGLEFINANCE(B2188, ""volume""), 0)"),0)</f>
        <v>0</v>
      </c>
      <c r="K2188" s="6">
        <v>0</v>
      </c>
      <c r="L2188" s="6">
        <f ca="1">IFERROR(__xludf.DUMMYFUNCTION("IFERROR(GOOGLEFINANCE(B2188,""changepct""),K2188)"),0)</f>
        <v>0</v>
      </c>
      <c r="M2188" s="6">
        <f ca="1">IFERROR(__xludf.DUMMYFUNCTION("IFERROR(GOOGLEFINANCE(B2188,""change""),0)"),0)</f>
        <v>0</v>
      </c>
      <c r="N2188" s="6">
        <v>1</v>
      </c>
      <c r="O2188" s="7">
        <v>45536</v>
      </c>
      <c r="P2188" s="6">
        <v>0.03</v>
      </c>
      <c r="Q2188" s="7">
        <v>45536</v>
      </c>
      <c r="R2188" s="6">
        <v>259.64999999999998</v>
      </c>
      <c r="S2188" s="6">
        <v>3.87</v>
      </c>
      <c r="T2188" s="6">
        <v>2.41</v>
      </c>
      <c r="U2188" s="6">
        <v>1</v>
      </c>
      <c r="V2188" s="7">
        <v>45352</v>
      </c>
      <c r="W2188" s="10">
        <f ca="1">IFERROR(__xludf.DUMMYFUNCTION("IFERROR(GOOGLEFINANCE(B2188,""pe""),V2188)"),45352)</f>
        <v>45352</v>
      </c>
      <c r="X2188" s="6">
        <v>0.42</v>
      </c>
      <c r="Y2188" s="6">
        <v>0.86</v>
      </c>
      <c r="Z2188" s="6">
        <v>2.5099999999999998</v>
      </c>
      <c r="AA2188" s="3" t="s">
        <v>6834</v>
      </c>
      <c r="AB2188" s="16"/>
      <c r="AC2188" s="12"/>
      <c r="AD2188" s="12"/>
      <c r="AE2188" s="1">
        <v>0</v>
      </c>
      <c r="AF2188" s="1">
        <f ca="1">IFERROR(__xludf.DUMMYFUNCTION("IFERROR(GOOGLEFINANCE(TRIM(F2188)&amp;"":"" &amp; TRIM(B2188),""high52""),AE2188)"),0)</f>
        <v>0</v>
      </c>
      <c r="AG2188" s="1">
        <v>0</v>
      </c>
      <c r="AH2188" s="1">
        <f ca="1">IFERROR(__xludf.DUMMYFUNCTION("IFERROR(GOOGLEFINANCE(TRIM(F2188)&amp;"":"" &amp; TRIM(B2188),""low52""),AE2188)"),0)</f>
        <v>0</v>
      </c>
      <c r="AI2188" s="1">
        <f ca="1">IFERROR(__xludf.DUMMYFUNCTION("IFERROR(GOOGLEFINANCE(B2188,""eps""),0)"),0)</f>
        <v>0</v>
      </c>
      <c r="AJ2188" s="1"/>
      <c r="AK2188" s="1" t="s">
        <v>6835</v>
      </c>
      <c r="AL2188" s="9">
        <f t="shared" si="233"/>
        <v>1</v>
      </c>
    </row>
    <row r="2189" spans="1:38" ht="15" x14ac:dyDescent="0.25">
      <c r="A2189" s="1" t="s">
        <v>6836</v>
      </c>
      <c r="B2189" s="1" t="s">
        <v>6837</v>
      </c>
      <c r="C2189" s="1" t="s">
        <v>208</v>
      </c>
      <c r="D2189" s="1" t="s">
        <v>208</v>
      </c>
      <c r="E2189" s="6">
        <v>7.28</v>
      </c>
      <c r="F2189" s="1" t="s">
        <v>53</v>
      </c>
      <c r="G2189" s="6">
        <f ca="1">IFERROR(__xludf.DUMMYFUNCTION("iferror(GOOGLEFINANCE(TRIM(F2189)&amp;"":"" &amp; TRIM(B2189), ""price""),0
)"),0)</f>
        <v>0</v>
      </c>
      <c r="H2189" s="6">
        <v>18.87</v>
      </c>
      <c r="I2189" s="6">
        <f t="shared" ca="1" si="0"/>
        <v>18.87</v>
      </c>
      <c r="J2189" s="6">
        <f ca="1">IFERROR(__xludf.DUMMYFUNCTION("IFERROR(GOOGLEFINANCE(B2189, ""volume""), 0)"),0)</f>
        <v>0</v>
      </c>
      <c r="K2189" s="6">
        <v>-4.9800000000000004</v>
      </c>
      <c r="L2189" s="6">
        <f ca="1">IFERROR(__xludf.DUMMYFUNCTION("IFERROR(GOOGLEFINANCE(B2189,""changepct""),K2189)"),-4.98)</f>
        <v>-4.9800000000000004</v>
      </c>
      <c r="M2189" s="6">
        <f ca="1">IFERROR(__xludf.DUMMYFUNCTION("IFERROR(GOOGLEFINANCE(B2189,""change""),0)"),0)</f>
        <v>0</v>
      </c>
      <c r="N2189" s="6">
        <v>1</v>
      </c>
      <c r="O2189" s="7">
        <v>45536</v>
      </c>
      <c r="P2189" s="6">
        <v>0.02</v>
      </c>
      <c r="Q2189" s="7">
        <v>45536</v>
      </c>
      <c r="R2189" s="6">
        <v>303.43</v>
      </c>
      <c r="S2189" s="6">
        <v>19.079999999999998</v>
      </c>
      <c r="T2189" s="6">
        <v>0.41</v>
      </c>
      <c r="U2189" s="6">
        <v>1</v>
      </c>
      <c r="V2189" s="7">
        <v>45352</v>
      </c>
      <c r="W2189" s="10">
        <f ca="1">IFERROR(__xludf.DUMMYFUNCTION("IFERROR(GOOGLEFINANCE(B2189,""pe""),V2189)"),45352)</f>
        <v>45352</v>
      </c>
      <c r="X2189" s="6">
        <v>0</v>
      </c>
      <c r="Y2189" s="6">
        <v>0.02</v>
      </c>
      <c r="Z2189" s="6">
        <v>0.17</v>
      </c>
      <c r="AA2189" s="3" t="s">
        <v>6838</v>
      </c>
      <c r="AB2189" s="11"/>
      <c r="AC2189" s="9"/>
      <c r="AD2189" s="9"/>
      <c r="AE2189" s="1">
        <v>0</v>
      </c>
      <c r="AF2189" s="1">
        <f ca="1">IFERROR(__xludf.DUMMYFUNCTION("IFERROR(GOOGLEFINANCE(TRIM(F2189)&amp;"":"" &amp; TRIM(B2189),""high52""),AE2189)"),0)</f>
        <v>0</v>
      </c>
      <c r="AG2189" s="1">
        <v>0</v>
      </c>
      <c r="AH2189" s="1">
        <f ca="1">IFERROR(__xludf.DUMMYFUNCTION("IFERROR(GOOGLEFINANCE(TRIM(F2189)&amp;"":"" &amp; TRIM(B2189),""low52""),AE2189)"),0)</f>
        <v>0</v>
      </c>
      <c r="AI2189" s="1">
        <f ca="1">IFERROR(__xludf.DUMMYFUNCTION("IFERROR(GOOGLEFINANCE(B2189,""eps""),0)"),0)</f>
        <v>0</v>
      </c>
      <c r="AJ2189" s="1"/>
      <c r="AK2189" s="1" t="s">
        <v>6839</v>
      </c>
      <c r="AL2189" s="9">
        <f t="shared" si="233"/>
        <v>1</v>
      </c>
    </row>
    <row r="2190" spans="1:38" ht="15" x14ac:dyDescent="0.25">
      <c r="A2190" s="1" t="s">
        <v>6840</v>
      </c>
      <c r="B2190" s="1" t="s">
        <v>6841</v>
      </c>
      <c r="C2190" s="1" t="s">
        <v>208</v>
      </c>
      <c r="D2190" s="1" t="s">
        <v>208</v>
      </c>
      <c r="E2190" s="6">
        <v>86.7</v>
      </c>
      <c r="F2190" s="1" t="s">
        <v>53</v>
      </c>
      <c r="G2190" s="6">
        <f ca="1">IFERROR(__xludf.DUMMYFUNCTION("iferror(GOOGLEFINANCE(TRIM(F2190)&amp;"":"" &amp; TRIM(B2190), ""price""),0
)"),0)</f>
        <v>0</v>
      </c>
      <c r="H2190" s="6">
        <v>0.81</v>
      </c>
      <c r="I2190" s="6">
        <f t="shared" ca="1" si="0"/>
        <v>0.81</v>
      </c>
      <c r="J2190" s="6">
        <f ca="1">IFERROR(__xludf.DUMMYFUNCTION("IFERROR(GOOGLEFINANCE(B2190, ""volume""), 0)"),0)</f>
        <v>0</v>
      </c>
      <c r="K2190" s="6">
        <v>0</v>
      </c>
      <c r="L2190" s="6">
        <f ca="1">IFERROR(__xludf.DUMMYFUNCTION("IFERROR(GOOGLEFINANCE(B2190,""changepct""),K2190)"),0)</f>
        <v>0</v>
      </c>
      <c r="M2190" s="6">
        <f ca="1">IFERROR(__xludf.DUMMYFUNCTION("IFERROR(GOOGLEFINANCE(B2190,""change""),0)"),0)</f>
        <v>0</v>
      </c>
      <c r="N2190" s="6">
        <v>1</v>
      </c>
      <c r="O2190" s="7">
        <v>45536</v>
      </c>
      <c r="P2190" s="6">
        <v>0.22</v>
      </c>
      <c r="Q2190" s="7">
        <v>45536</v>
      </c>
      <c r="R2190" s="6">
        <v>392.29</v>
      </c>
      <c r="S2190" s="6">
        <v>5.62</v>
      </c>
      <c r="T2190" s="6">
        <v>0.76</v>
      </c>
      <c r="U2190" s="6">
        <v>1</v>
      </c>
      <c r="V2190" s="7">
        <v>45352</v>
      </c>
      <c r="W2190" s="10">
        <f ca="1">IFERROR(__xludf.DUMMYFUNCTION("IFERROR(GOOGLEFINANCE(B2190,""pe""),V2190)"),45352)</f>
        <v>45352</v>
      </c>
      <c r="X2190" s="6">
        <v>0</v>
      </c>
      <c r="Y2190" s="6">
        <v>1.37</v>
      </c>
      <c r="Z2190" s="6">
        <v>1.71</v>
      </c>
      <c r="AA2190" s="3" t="s">
        <v>6842</v>
      </c>
      <c r="AB2190" s="11"/>
      <c r="AC2190" s="9"/>
      <c r="AD2190" s="9"/>
      <c r="AE2190" s="1">
        <v>0</v>
      </c>
      <c r="AF2190" s="1">
        <f ca="1">IFERROR(__xludf.DUMMYFUNCTION("IFERROR(GOOGLEFINANCE(TRIM(F2190)&amp;"":"" &amp; TRIM(B2190),""high52""),AE2190)"),0)</f>
        <v>0</v>
      </c>
      <c r="AG2190" s="1">
        <v>0</v>
      </c>
      <c r="AH2190" s="1">
        <f ca="1">IFERROR(__xludf.DUMMYFUNCTION("IFERROR(GOOGLEFINANCE(TRIM(F2190)&amp;"":"" &amp; TRIM(B2190),""low52""),AE2190)"),0)</f>
        <v>0</v>
      </c>
      <c r="AI2190" s="1">
        <f ca="1">IFERROR(__xludf.DUMMYFUNCTION("IFERROR(GOOGLEFINANCE(B2190,""eps""),0)"),0)</f>
        <v>0</v>
      </c>
      <c r="AJ2190" s="1"/>
      <c r="AK2190" s="1" t="s">
        <v>6843</v>
      </c>
      <c r="AL2190" s="9">
        <f t="shared" si="233"/>
        <v>1</v>
      </c>
    </row>
    <row r="2191" spans="1:38" ht="15" x14ac:dyDescent="0.25">
      <c r="A2191" s="1" t="s">
        <v>6844</v>
      </c>
      <c r="B2191" s="1" t="s">
        <v>6845</v>
      </c>
      <c r="C2191" s="1" t="s">
        <v>208</v>
      </c>
      <c r="D2191" s="1" t="s">
        <v>208</v>
      </c>
      <c r="E2191" s="6">
        <v>260.77</v>
      </c>
      <c r="F2191" s="1" t="s">
        <v>53</v>
      </c>
      <c r="G2191" s="6">
        <f ca="1">IFERROR(__xludf.DUMMYFUNCTION("iferror(GOOGLEFINANCE(TRIM(F2191)&amp;"":"" &amp; TRIM(B2191), ""price""),0
)"),0)</f>
        <v>0</v>
      </c>
      <c r="H2191" s="6">
        <v>23.8</v>
      </c>
      <c r="I2191" s="6">
        <f t="shared" ca="1" si="0"/>
        <v>23.8</v>
      </c>
      <c r="J2191" s="6">
        <f ca="1">IFERROR(__xludf.DUMMYFUNCTION("IFERROR(GOOGLEFINANCE(B2191, ""volume""), 0)"),0)</f>
        <v>0</v>
      </c>
      <c r="K2191" s="6">
        <v>2.15</v>
      </c>
      <c r="L2191" s="6">
        <f ca="1">IFERROR(__xludf.DUMMYFUNCTION("IFERROR(GOOGLEFINANCE(B2191,""changepct""),K2191)"),2.15)</f>
        <v>2.15</v>
      </c>
      <c r="M2191" s="6">
        <f ca="1">IFERROR(__xludf.DUMMYFUNCTION("IFERROR(GOOGLEFINANCE(B2191,""change""),0)"),0)</f>
        <v>0</v>
      </c>
      <c r="N2191" s="6">
        <v>2</v>
      </c>
      <c r="O2191" s="7">
        <v>45536</v>
      </c>
      <c r="P2191" s="6">
        <v>-2.2400000000000002</v>
      </c>
      <c r="Q2191" s="7">
        <v>45536</v>
      </c>
      <c r="R2191" s="6">
        <v>393.32</v>
      </c>
      <c r="S2191" s="6">
        <v>-42.25</v>
      </c>
      <c r="T2191" s="6">
        <v>0.73</v>
      </c>
      <c r="U2191" s="6">
        <v>2</v>
      </c>
      <c r="V2191" s="7">
        <v>45352</v>
      </c>
      <c r="W2191" s="10">
        <f ca="1">IFERROR(__xludf.DUMMYFUNCTION("IFERROR(GOOGLEFINANCE(B2191,""pe""),V2191)"),45352)</f>
        <v>45352</v>
      </c>
      <c r="X2191" s="6">
        <v>0</v>
      </c>
      <c r="Y2191" s="6">
        <v>-2.38</v>
      </c>
      <c r="Z2191" s="6">
        <v>-1.51</v>
      </c>
      <c r="AA2191" s="3" t="s">
        <v>6846</v>
      </c>
      <c r="AB2191" s="11"/>
      <c r="AC2191" s="9"/>
      <c r="AD2191" s="9"/>
      <c r="AE2191" s="1">
        <v>0</v>
      </c>
      <c r="AF2191" s="1">
        <f ca="1">IFERROR(__xludf.DUMMYFUNCTION("IFERROR(GOOGLEFINANCE(TRIM(F2191)&amp;"":"" &amp; TRIM(B2191),""high52""),AE2191)"),0)</f>
        <v>0</v>
      </c>
      <c r="AG2191" s="1">
        <v>0</v>
      </c>
      <c r="AH2191" s="1">
        <f ca="1">IFERROR(__xludf.DUMMYFUNCTION("IFERROR(GOOGLEFINANCE(TRIM(F2191)&amp;"":"" &amp; TRIM(B2191),""low52""),AE2191)"),0)</f>
        <v>0</v>
      </c>
      <c r="AI2191" s="1">
        <f ca="1">IFERROR(__xludf.DUMMYFUNCTION("IFERROR(GOOGLEFINANCE(B2191,""eps""),0)"),0)</f>
        <v>0</v>
      </c>
      <c r="AJ2191" s="1"/>
      <c r="AK2191" s="1" t="s">
        <v>6847</v>
      </c>
      <c r="AL2191" s="9">
        <f t="shared" si="233"/>
        <v>1</v>
      </c>
    </row>
    <row r="2192" spans="1:38" ht="15" x14ac:dyDescent="0.25">
      <c r="A2192" s="1" t="s">
        <v>6848</v>
      </c>
      <c r="B2192" s="1" t="s">
        <v>6849</v>
      </c>
      <c r="C2192" s="1" t="s">
        <v>208</v>
      </c>
      <c r="D2192" s="1" t="s">
        <v>208</v>
      </c>
      <c r="E2192" s="6">
        <v>334.65</v>
      </c>
      <c r="F2192" s="1" t="s">
        <v>53</v>
      </c>
      <c r="G2192" s="6">
        <f ca="1">IFERROR(__xludf.DUMMYFUNCTION("iferror(GOOGLEFINANCE(TRIM(F2192)&amp;"":"" &amp; TRIM(B2192), ""price""),0
)"),0)</f>
        <v>0</v>
      </c>
      <c r="H2192" s="6">
        <v>3.55</v>
      </c>
      <c r="I2192" s="6">
        <f t="shared" ca="1" si="0"/>
        <v>3.55</v>
      </c>
      <c r="J2192" s="6">
        <f ca="1">IFERROR(__xludf.DUMMYFUNCTION("IFERROR(GOOGLEFINANCE(B2192, ""volume""), 0)"),0)</f>
        <v>0</v>
      </c>
      <c r="K2192" s="6">
        <v>2.0099999999999998</v>
      </c>
      <c r="L2192" s="6">
        <f ca="1">IFERROR(__xludf.DUMMYFUNCTION("IFERROR(GOOGLEFINANCE(B2192,""changepct""),K2192)"),2.01)</f>
        <v>2.0099999999999998</v>
      </c>
      <c r="M2192" s="6">
        <f ca="1">IFERROR(__xludf.DUMMYFUNCTION("IFERROR(GOOGLEFINANCE(B2192,""change""),0)"),0)</f>
        <v>0</v>
      </c>
      <c r="N2192" s="6">
        <v>1</v>
      </c>
      <c r="O2192" s="7">
        <v>45536</v>
      </c>
      <c r="P2192" s="6">
        <v>0.76</v>
      </c>
      <c r="Q2192" s="7">
        <v>45536</v>
      </c>
      <c r="R2192" s="6">
        <v>440.33</v>
      </c>
      <c r="S2192" s="6">
        <v>9.32</v>
      </c>
      <c r="T2192" s="6">
        <v>11.45</v>
      </c>
      <c r="U2192" s="6">
        <v>1</v>
      </c>
      <c r="V2192" s="7">
        <v>45352</v>
      </c>
      <c r="W2192" s="10">
        <f ca="1">IFERROR(__xludf.DUMMYFUNCTION("IFERROR(GOOGLEFINANCE(B2192,""pe""),V2192)"),45352)</f>
        <v>45352</v>
      </c>
      <c r="X2192" s="6">
        <v>0</v>
      </c>
      <c r="Y2192" s="6">
        <v>0.66</v>
      </c>
      <c r="Z2192" s="6">
        <v>0.92</v>
      </c>
      <c r="AA2192" s="3" t="s">
        <v>6850</v>
      </c>
      <c r="AB2192" s="11"/>
      <c r="AC2192" s="9"/>
      <c r="AD2192" s="9"/>
      <c r="AE2192" s="1">
        <v>0</v>
      </c>
      <c r="AF2192" s="1">
        <f ca="1">IFERROR(__xludf.DUMMYFUNCTION("IFERROR(GOOGLEFINANCE(TRIM(F2192)&amp;"":"" &amp; TRIM(B2192),""high52""),AE2192)"),0)</f>
        <v>0</v>
      </c>
      <c r="AG2192" s="1">
        <v>0</v>
      </c>
      <c r="AH2192" s="1">
        <f ca="1">IFERROR(__xludf.DUMMYFUNCTION("IFERROR(GOOGLEFINANCE(TRIM(F2192)&amp;"":"" &amp; TRIM(B2192),""low52""),AE2192)"),0)</f>
        <v>0</v>
      </c>
      <c r="AI2192" s="1">
        <f ca="1">IFERROR(__xludf.DUMMYFUNCTION("IFERROR(GOOGLEFINANCE(B2192,""eps""),0)"),0)</f>
        <v>0</v>
      </c>
      <c r="AJ2192" s="1"/>
      <c r="AK2192" s="1" t="s">
        <v>6851</v>
      </c>
      <c r="AL2192" s="9">
        <f t="shared" si="233"/>
        <v>1</v>
      </c>
    </row>
    <row r="2193" spans="1:38" ht="15" x14ac:dyDescent="0.25">
      <c r="A2193" s="1" t="s">
        <v>6852</v>
      </c>
      <c r="B2193" s="1" t="s">
        <v>6853</v>
      </c>
      <c r="C2193" s="1" t="s">
        <v>208</v>
      </c>
      <c r="D2193" s="1" t="s">
        <v>208</v>
      </c>
      <c r="E2193" s="6">
        <v>1025.03</v>
      </c>
      <c r="F2193" s="1" t="s">
        <v>53</v>
      </c>
      <c r="G2193" s="6">
        <f ca="1">IFERROR(__xludf.DUMMYFUNCTION("iferror(GOOGLEFINANCE(TRIM(F2193)&amp;"":"" &amp; TRIM(B2193), ""price""),0
)"),0)</f>
        <v>0</v>
      </c>
      <c r="H2193" s="6">
        <v>27.27</v>
      </c>
      <c r="I2193" s="6">
        <f t="shared" ca="1" si="0"/>
        <v>27.27</v>
      </c>
      <c r="J2193" s="6">
        <f ca="1">IFERROR(__xludf.DUMMYFUNCTION("IFERROR(GOOGLEFINANCE(B2193, ""volume""), 0)"),0)</f>
        <v>0</v>
      </c>
      <c r="K2193" s="6">
        <v>-1.37</v>
      </c>
      <c r="L2193" s="6">
        <f ca="1">IFERROR(__xludf.DUMMYFUNCTION("IFERROR(GOOGLEFINANCE(B2193,""changepct""),K2193)"),-1.37)</f>
        <v>-1.37</v>
      </c>
      <c r="M2193" s="6">
        <f ca="1">IFERROR(__xludf.DUMMYFUNCTION("IFERROR(GOOGLEFINANCE(B2193,""change""),0)"),0)</f>
        <v>0</v>
      </c>
      <c r="N2193" s="6">
        <v>1</v>
      </c>
      <c r="O2193" s="7">
        <v>45536</v>
      </c>
      <c r="P2193" s="6">
        <v>2.17</v>
      </c>
      <c r="Q2193" s="7">
        <v>45536</v>
      </c>
      <c r="R2193" s="6">
        <v>471.93</v>
      </c>
      <c r="S2193" s="6">
        <v>3.77</v>
      </c>
      <c r="T2193" s="6">
        <v>17.670000000000002</v>
      </c>
      <c r="U2193" s="6">
        <v>1</v>
      </c>
      <c r="V2193" s="7">
        <v>45352</v>
      </c>
      <c r="W2193" s="10">
        <f ca="1">IFERROR(__xludf.DUMMYFUNCTION("IFERROR(GOOGLEFINANCE(B2193,""pe""),V2193)"),45352)</f>
        <v>45352</v>
      </c>
      <c r="X2193" s="6">
        <v>1.05</v>
      </c>
      <c r="Y2193" s="6">
        <v>10.78</v>
      </c>
      <c r="Z2193" s="6">
        <v>6.87</v>
      </c>
      <c r="AA2193" s="3" t="s">
        <v>6854</v>
      </c>
      <c r="AB2193" s="11"/>
      <c r="AC2193" s="9"/>
      <c r="AD2193" s="9"/>
      <c r="AE2193" s="1">
        <v>0</v>
      </c>
      <c r="AF2193" s="1">
        <f ca="1">IFERROR(__xludf.DUMMYFUNCTION("IFERROR(GOOGLEFINANCE(TRIM(F2193)&amp;"":"" &amp; TRIM(B2193),""high52""),AE2193)"),0)</f>
        <v>0</v>
      </c>
      <c r="AG2193" s="1">
        <v>0</v>
      </c>
      <c r="AH2193" s="1">
        <f ca="1">IFERROR(__xludf.DUMMYFUNCTION("IFERROR(GOOGLEFINANCE(TRIM(F2193)&amp;"":"" &amp; TRIM(B2193),""low52""),AE2193)"),0)</f>
        <v>0</v>
      </c>
      <c r="AI2193" s="1">
        <f ca="1">IFERROR(__xludf.DUMMYFUNCTION("IFERROR(GOOGLEFINANCE(B2193,""eps""),0)"),0)</f>
        <v>0</v>
      </c>
      <c r="AJ2193" s="1"/>
      <c r="AK2193" s="1" t="s">
        <v>6855</v>
      </c>
      <c r="AL2193" s="9">
        <f t="shared" si="233"/>
        <v>1</v>
      </c>
    </row>
    <row r="2194" spans="1:38" ht="15" x14ac:dyDescent="0.25">
      <c r="A2194" s="1" t="s">
        <v>6856</v>
      </c>
      <c r="B2194" s="1" t="s">
        <v>6857</v>
      </c>
      <c r="C2194" s="1" t="s">
        <v>208</v>
      </c>
      <c r="D2194" s="1" t="s">
        <v>208</v>
      </c>
      <c r="E2194" s="6">
        <v>401.76</v>
      </c>
      <c r="F2194" s="1" t="s">
        <v>53</v>
      </c>
      <c r="G2194" s="6">
        <f ca="1">IFERROR(__xludf.DUMMYFUNCTION("iferror(GOOGLEFINANCE(TRIM(F2194)&amp;"":"" &amp; TRIM(B2194), ""price""),0
)"),0)</f>
        <v>0</v>
      </c>
      <c r="H2194" s="6">
        <v>9.3000000000000007</v>
      </c>
      <c r="I2194" s="6">
        <f t="shared" ca="1" si="0"/>
        <v>9.3000000000000007</v>
      </c>
      <c r="J2194" s="6">
        <f ca="1">IFERROR(__xludf.DUMMYFUNCTION("IFERROR(GOOGLEFINANCE(B2194, ""volume""), 0)"),0)</f>
        <v>0</v>
      </c>
      <c r="K2194" s="6">
        <v>1.75</v>
      </c>
      <c r="L2194" s="6">
        <f ca="1">IFERROR(__xludf.DUMMYFUNCTION("IFERROR(GOOGLEFINANCE(B2194,""changepct""),K2194)"),1.75)</f>
        <v>1.75</v>
      </c>
      <c r="M2194" s="6">
        <f ca="1">IFERROR(__xludf.DUMMYFUNCTION("IFERROR(GOOGLEFINANCE(B2194,""change""),0)"),0)</f>
        <v>0</v>
      </c>
      <c r="N2194" s="6">
        <v>1</v>
      </c>
      <c r="O2194" s="7">
        <v>45536</v>
      </c>
      <c r="P2194" s="6">
        <v>0.63</v>
      </c>
      <c r="Q2194" s="7">
        <v>45536</v>
      </c>
      <c r="R2194" s="6">
        <v>636.71</v>
      </c>
      <c r="S2194" s="6">
        <v>45.06</v>
      </c>
      <c r="T2194" s="6">
        <v>4.3</v>
      </c>
      <c r="U2194" s="6">
        <v>1</v>
      </c>
      <c r="V2194" s="7">
        <v>45352</v>
      </c>
      <c r="W2194" s="10">
        <f ca="1">IFERROR(__xludf.DUMMYFUNCTION("IFERROR(GOOGLEFINANCE(B2194,""pe""),V2194)"),45352)</f>
        <v>45352</v>
      </c>
      <c r="X2194" s="6">
        <v>7.76</v>
      </c>
      <c r="Y2194" s="6">
        <v>16.329999999999998</v>
      </c>
      <c r="Z2194" s="6">
        <v>4.82</v>
      </c>
      <c r="AA2194" s="3" t="s">
        <v>6858</v>
      </c>
      <c r="AB2194" s="11"/>
      <c r="AC2194" s="9"/>
      <c r="AD2194" s="9"/>
      <c r="AE2194" s="1">
        <v>0</v>
      </c>
      <c r="AF2194" s="1">
        <f ca="1">IFERROR(__xludf.DUMMYFUNCTION("IFERROR(GOOGLEFINANCE(TRIM(F2194)&amp;"":"" &amp; TRIM(B2194),""high52""),AE2194)"),0)</f>
        <v>0</v>
      </c>
      <c r="AG2194" s="1">
        <v>0</v>
      </c>
      <c r="AH2194" s="1">
        <f ca="1">IFERROR(__xludf.DUMMYFUNCTION("IFERROR(GOOGLEFINANCE(TRIM(F2194)&amp;"":"" &amp; TRIM(B2194),""low52""),AE2194)"),0)</f>
        <v>0</v>
      </c>
      <c r="AI2194" s="1">
        <f ca="1">IFERROR(__xludf.DUMMYFUNCTION("IFERROR(GOOGLEFINANCE(B2194,""eps""),0)"),0)</f>
        <v>0</v>
      </c>
      <c r="AJ2194" s="1"/>
      <c r="AK2194" s="1" t="s">
        <v>6859</v>
      </c>
      <c r="AL2194" s="9">
        <f t="shared" si="233"/>
        <v>1</v>
      </c>
    </row>
    <row r="2195" spans="1:38" ht="15" x14ac:dyDescent="0.25">
      <c r="A2195" s="1" t="s">
        <v>6860</v>
      </c>
      <c r="B2195" s="1" t="s">
        <v>6861</v>
      </c>
      <c r="C2195" s="1" t="s">
        <v>48</v>
      </c>
      <c r="D2195" s="1" t="s">
        <v>48</v>
      </c>
      <c r="E2195" s="6">
        <v>77.66</v>
      </c>
      <c r="F2195" s="1" t="s">
        <v>53</v>
      </c>
      <c r="G2195" s="6">
        <f ca="1">IFERROR(__xludf.DUMMYFUNCTION("iferror(GOOGLEFINANCE(TRIM(F2195)&amp;"":"" &amp; TRIM(B2195), ""price""),0
)"),0)</f>
        <v>0</v>
      </c>
      <c r="H2195" s="6">
        <v>1.2</v>
      </c>
      <c r="I2195" s="6">
        <f t="shared" ca="1" si="0"/>
        <v>1.2</v>
      </c>
      <c r="J2195" s="6">
        <f ca="1">IFERROR(__xludf.DUMMYFUNCTION("IFERROR(GOOGLEFINANCE(B2195, ""volume""), 0)"),0)</f>
        <v>0</v>
      </c>
      <c r="K2195" s="6">
        <v>0.84</v>
      </c>
      <c r="L2195" s="6">
        <f ca="1">IFERROR(__xludf.DUMMYFUNCTION("IFERROR(GOOGLEFINANCE(B2195,""changepct""),K2195)"),0.84)</f>
        <v>0.84</v>
      </c>
      <c r="M2195" s="6">
        <f ca="1">IFERROR(__xludf.DUMMYFUNCTION("IFERROR(GOOGLEFINANCE(B2195,""change""),0)"),0)</f>
        <v>0</v>
      </c>
      <c r="N2195" s="6">
        <v>1</v>
      </c>
      <c r="O2195" s="7">
        <v>45536</v>
      </c>
      <c r="P2195" s="6">
        <v>-0.35</v>
      </c>
      <c r="Q2195" s="7">
        <v>45536</v>
      </c>
      <c r="R2195" s="6">
        <v>0</v>
      </c>
      <c r="S2195" s="6">
        <v>0</v>
      </c>
      <c r="T2195" s="6">
        <v>1.4</v>
      </c>
      <c r="U2195" s="6">
        <v>1</v>
      </c>
      <c r="V2195" s="7">
        <v>45352</v>
      </c>
      <c r="W2195" s="10">
        <f ca="1">IFERROR(__xludf.DUMMYFUNCTION("IFERROR(GOOGLEFINANCE(B2195,""pe""),V2195)"),45352)</f>
        <v>45352</v>
      </c>
      <c r="X2195" s="6">
        <v>0</v>
      </c>
      <c r="Y2195" s="6">
        <v>3.48</v>
      </c>
      <c r="Z2195" s="6">
        <v>3.48</v>
      </c>
      <c r="AA2195" s="3" t="s">
        <v>6862</v>
      </c>
      <c r="AB2195" s="11"/>
      <c r="AC2195" s="9"/>
      <c r="AD2195" s="9"/>
      <c r="AE2195" s="1">
        <v>0</v>
      </c>
      <c r="AF2195" s="1">
        <f ca="1">IFERROR(__xludf.DUMMYFUNCTION("IFERROR(GOOGLEFINANCE(TRIM(F2195)&amp;"":"" &amp; TRIM(B2195),""high52""),AE2195)"),0)</f>
        <v>0</v>
      </c>
      <c r="AG2195" s="1">
        <v>0</v>
      </c>
      <c r="AH2195" s="1">
        <f ca="1">IFERROR(__xludf.DUMMYFUNCTION("IFERROR(GOOGLEFINANCE(TRIM(F2195)&amp;"":"" &amp; TRIM(B2195),""low52""),AE2195)"),0)</f>
        <v>0</v>
      </c>
      <c r="AI2195" s="1">
        <f ca="1">IFERROR(__xludf.DUMMYFUNCTION("IFERROR(GOOGLEFINANCE(B2195,""eps""),0)"),0)</f>
        <v>0</v>
      </c>
      <c r="AJ2195" s="1"/>
      <c r="AK2195" s="1" t="s">
        <v>6863</v>
      </c>
      <c r="AL2195" s="9">
        <f t="shared" si="233"/>
        <v>1</v>
      </c>
    </row>
    <row r="2196" spans="1:38" ht="15" x14ac:dyDescent="0.25">
      <c r="A2196" s="1" t="s">
        <v>6864</v>
      </c>
      <c r="B2196" s="1" t="s">
        <v>6865</v>
      </c>
      <c r="C2196" s="1" t="s">
        <v>48</v>
      </c>
      <c r="D2196" s="1" t="s">
        <v>48</v>
      </c>
      <c r="E2196" s="6">
        <v>34.51</v>
      </c>
      <c r="F2196" s="1" t="s">
        <v>53</v>
      </c>
      <c r="G2196" s="6">
        <f ca="1">IFERROR(__xludf.DUMMYFUNCTION("iferror(GOOGLEFINANCE(TRIM(F2196)&amp;"":"" &amp; TRIM(B2196), ""price""),0
)"),0)</f>
        <v>0</v>
      </c>
      <c r="H2196" s="6">
        <v>603.75</v>
      </c>
      <c r="I2196" s="6">
        <f t="shared" ca="1" si="0"/>
        <v>603.75</v>
      </c>
      <c r="J2196" s="6">
        <f ca="1">IFERROR(__xludf.DUMMYFUNCTION("IFERROR(GOOGLEFINANCE(B2196, ""volume""), 0)"),0)</f>
        <v>0</v>
      </c>
      <c r="K2196" s="9"/>
      <c r="L2196" s="6" t="str">
        <f ca="1">IFERROR(__xludf.DUMMYFUNCTION("IFERROR(GOOGLEFINANCE(B2196,""changepct""),K2196)"),"")</f>
        <v/>
      </c>
      <c r="M2196" s="6">
        <f ca="1">IFERROR(__xludf.DUMMYFUNCTION("IFERROR(GOOGLEFINANCE(B2196,""change""),0)"),0)</f>
        <v>0</v>
      </c>
      <c r="N2196" s="6">
        <v>1</v>
      </c>
      <c r="O2196" s="7">
        <v>45536</v>
      </c>
      <c r="P2196" s="6">
        <v>-0.47</v>
      </c>
      <c r="Q2196" s="7">
        <v>45536</v>
      </c>
      <c r="R2196" s="6">
        <v>0</v>
      </c>
      <c r="S2196" s="9"/>
      <c r="T2196" s="6">
        <v>2.31</v>
      </c>
      <c r="U2196" s="6">
        <v>1</v>
      </c>
      <c r="V2196" s="7">
        <v>45352</v>
      </c>
      <c r="W2196" s="10">
        <f ca="1">IFERROR(__xludf.DUMMYFUNCTION("IFERROR(GOOGLEFINANCE(B2196,""pe""),V2196)"),45352)</f>
        <v>45352</v>
      </c>
      <c r="X2196" s="6">
        <v>0.02</v>
      </c>
      <c r="Y2196" s="6">
        <v>-3.84</v>
      </c>
      <c r="Z2196" s="6">
        <v>-1.35</v>
      </c>
      <c r="AA2196" s="3" t="s">
        <v>6866</v>
      </c>
      <c r="AB2196" s="11"/>
      <c r="AC2196" s="9"/>
      <c r="AD2196" s="9"/>
      <c r="AE2196" s="1">
        <v>0</v>
      </c>
      <c r="AF2196" s="1">
        <f ca="1">IFERROR(__xludf.DUMMYFUNCTION("IFERROR(GOOGLEFINANCE(TRIM(F2196)&amp;"":"" &amp; TRIM(B2196),""high52""),AE2196)"),0)</f>
        <v>0</v>
      </c>
      <c r="AG2196" s="1">
        <v>0</v>
      </c>
      <c r="AH2196" s="1">
        <f ca="1">IFERROR(__xludf.DUMMYFUNCTION("IFERROR(GOOGLEFINANCE(TRIM(F2196)&amp;"":"" &amp; TRIM(B2196),""low52""),AE2196)"),0)</f>
        <v>0</v>
      </c>
      <c r="AI2196" s="1">
        <f ca="1">IFERROR(__xludf.DUMMYFUNCTION("IFERROR(GOOGLEFINANCE(B2196,""eps""),0)"),0)</f>
        <v>0</v>
      </c>
      <c r="AJ2196" s="1"/>
      <c r="AK2196" s="1" t="s">
        <v>6867</v>
      </c>
      <c r="AL2196" s="9">
        <f t="shared" si="233"/>
        <v>1</v>
      </c>
    </row>
    <row r="2197" spans="1:38" ht="15" x14ac:dyDescent="0.25">
      <c r="A2197" s="1" t="s">
        <v>6868</v>
      </c>
      <c r="B2197" s="1" t="s">
        <v>6869</v>
      </c>
      <c r="C2197" s="1" t="s">
        <v>48</v>
      </c>
      <c r="D2197" s="1" t="s">
        <v>48</v>
      </c>
      <c r="E2197" s="6">
        <v>6.21</v>
      </c>
      <c r="F2197" s="1" t="s">
        <v>53</v>
      </c>
      <c r="G2197" s="6">
        <f ca="1">IFERROR(__xludf.DUMMYFUNCTION("iferror(GOOGLEFINANCE(TRIM(F2197)&amp;"":"" &amp; TRIM(B2197), ""price""),0
)"),0)</f>
        <v>0</v>
      </c>
      <c r="H2197" s="6">
        <v>0.69</v>
      </c>
      <c r="I2197" s="6">
        <f t="shared" ca="1" si="0"/>
        <v>0.69</v>
      </c>
      <c r="J2197" s="6">
        <f ca="1">IFERROR(__xludf.DUMMYFUNCTION("IFERROR(GOOGLEFINANCE(B2197, ""volume""), 0)"),0)</f>
        <v>0</v>
      </c>
      <c r="K2197" s="6">
        <v>0</v>
      </c>
      <c r="L2197" s="6">
        <f ca="1">IFERROR(__xludf.DUMMYFUNCTION("IFERROR(GOOGLEFINANCE(B2197,""changepct""),K2197)"),0)</f>
        <v>0</v>
      </c>
      <c r="M2197" s="6">
        <f ca="1">IFERROR(__xludf.DUMMYFUNCTION("IFERROR(GOOGLEFINANCE(B2197,""change""),0)"),0)</f>
        <v>0</v>
      </c>
      <c r="N2197" s="6">
        <v>1</v>
      </c>
      <c r="O2197" s="7">
        <v>45536</v>
      </c>
      <c r="P2197" s="6">
        <v>-1.82</v>
      </c>
      <c r="Q2197" s="7">
        <v>45536</v>
      </c>
      <c r="R2197" s="6">
        <v>0</v>
      </c>
      <c r="S2197" s="9"/>
      <c r="T2197" s="6">
        <v>2.2799999999999998</v>
      </c>
      <c r="U2197" s="6">
        <v>1</v>
      </c>
      <c r="V2197" s="7">
        <v>45352</v>
      </c>
      <c r="W2197" s="10">
        <f ca="1">IFERROR(__xludf.DUMMYFUNCTION("IFERROR(GOOGLEFINANCE(B2197,""pe""),V2197)"),45352)</f>
        <v>45352</v>
      </c>
      <c r="X2197" s="6">
        <v>0</v>
      </c>
      <c r="Y2197" s="6">
        <v>-86.53</v>
      </c>
      <c r="Z2197" s="6">
        <v>-86.52</v>
      </c>
      <c r="AA2197" s="3" t="s">
        <v>6870</v>
      </c>
      <c r="AB2197" s="11"/>
      <c r="AC2197" s="9"/>
      <c r="AD2197" s="9"/>
      <c r="AE2197" s="1">
        <v>0</v>
      </c>
      <c r="AF2197" s="1">
        <f ca="1">IFERROR(__xludf.DUMMYFUNCTION("IFERROR(GOOGLEFINANCE(TRIM(F2197)&amp;"":"" &amp; TRIM(B2197),""high52""),AE2197)"),0)</f>
        <v>0</v>
      </c>
      <c r="AG2197" s="1">
        <v>0</v>
      </c>
      <c r="AH2197" s="1">
        <f ca="1">IFERROR(__xludf.DUMMYFUNCTION("IFERROR(GOOGLEFINANCE(TRIM(F2197)&amp;"":"" &amp; TRIM(B2197),""low52""),AE2197)"),0)</f>
        <v>0</v>
      </c>
      <c r="AI2197" s="1">
        <f ca="1">IFERROR(__xludf.DUMMYFUNCTION("IFERROR(GOOGLEFINANCE(B2197,""eps""),0)"),0)</f>
        <v>0</v>
      </c>
      <c r="AJ2197" s="1"/>
      <c r="AK2197" s="1" t="s">
        <v>6871</v>
      </c>
      <c r="AL2197" s="9">
        <f t="shared" si="233"/>
        <v>1</v>
      </c>
    </row>
    <row r="2198" spans="1:38" ht="15" x14ac:dyDescent="0.25">
      <c r="A2198" s="1" t="s">
        <v>6872</v>
      </c>
      <c r="B2198" s="1" t="s">
        <v>6873</v>
      </c>
      <c r="C2198" s="1" t="s">
        <v>48</v>
      </c>
      <c r="D2198" s="1" t="s">
        <v>48</v>
      </c>
      <c r="E2198" s="6">
        <v>11.12</v>
      </c>
      <c r="F2198" s="1" t="s">
        <v>53</v>
      </c>
      <c r="G2198" s="6">
        <f ca="1">IFERROR(__xludf.DUMMYFUNCTION("iferror(GOOGLEFINANCE(TRIM(F2198)&amp;"":"" &amp; TRIM(B2198), ""price""),0
)"),0)</f>
        <v>0</v>
      </c>
      <c r="H2198" s="6">
        <v>13.93</v>
      </c>
      <c r="I2198" s="6">
        <f t="shared" ca="1" si="0"/>
        <v>13.93</v>
      </c>
      <c r="J2198" s="6">
        <f ca="1">IFERROR(__xludf.DUMMYFUNCTION("IFERROR(GOOGLEFINANCE(B2198, ""volume""), 0)"),0)</f>
        <v>0</v>
      </c>
      <c r="K2198" s="9"/>
      <c r="L2198" s="6" t="str">
        <f ca="1">IFERROR(__xludf.DUMMYFUNCTION("IFERROR(GOOGLEFINANCE(B2198,""changepct""),K2198)"),"")</f>
        <v/>
      </c>
      <c r="M2198" s="6">
        <f ca="1">IFERROR(__xludf.DUMMYFUNCTION("IFERROR(GOOGLEFINANCE(B2198,""change""),0)"),0)</f>
        <v>0</v>
      </c>
      <c r="N2198" s="6">
        <v>2</v>
      </c>
      <c r="O2198" s="7">
        <v>45536</v>
      </c>
      <c r="P2198" s="6">
        <v>-0.08</v>
      </c>
      <c r="Q2198" s="7">
        <v>45536</v>
      </c>
      <c r="R2198" s="6">
        <v>0</v>
      </c>
      <c r="S2198" s="9"/>
      <c r="T2198" s="6">
        <v>3.61</v>
      </c>
      <c r="U2198" s="6">
        <v>2</v>
      </c>
      <c r="V2198" s="7">
        <v>45352</v>
      </c>
      <c r="W2198" s="10">
        <f ca="1">IFERROR(__xludf.DUMMYFUNCTION("IFERROR(GOOGLEFINANCE(B2198,""pe""),V2198)"),45352)</f>
        <v>45352</v>
      </c>
      <c r="X2198" s="6">
        <v>0</v>
      </c>
      <c r="Y2198" s="6">
        <v>-60.03</v>
      </c>
      <c r="Z2198" s="6">
        <v>-59.96</v>
      </c>
      <c r="AA2198" s="3" t="s">
        <v>6874</v>
      </c>
      <c r="AB2198" s="11"/>
      <c r="AC2198" s="9"/>
      <c r="AD2198" s="9"/>
      <c r="AE2198" s="1">
        <v>0</v>
      </c>
      <c r="AF2198" s="1">
        <f ca="1">IFERROR(__xludf.DUMMYFUNCTION("IFERROR(GOOGLEFINANCE(TRIM(F2198)&amp;"":"" &amp; TRIM(B2198),""high52""),AE2198)"),0)</f>
        <v>0</v>
      </c>
      <c r="AG2198" s="1">
        <v>0</v>
      </c>
      <c r="AH2198" s="1">
        <f ca="1">IFERROR(__xludf.DUMMYFUNCTION("IFERROR(GOOGLEFINANCE(TRIM(F2198)&amp;"":"" &amp; TRIM(B2198),""low52""),AE2198)"),0)</f>
        <v>0</v>
      </c>
      <c r="AI2198" s="1">
        <f ca="1">IFERROR(__xludf.DUMMYFUNCTION("IFERROR(GOOGLEFINANCE(B2198,""eps""),0)"),0)</f>
        <v>0</v>
      </c>
      <c r="AJ2198" s="1"/>
      <c r="AK2198" s="9"/>
      <c r="AL2198" s="9">
        <f t="shared" si="233"/>
        <v>1</v>
      </c>
    </row>
    <row r="2199" spans="1:38" ht="15" x14ac:dyDescent="0.25">
      <c r="A2199" s="1" t="s">
        <v>6875</v>
      </c>
      <c r="B2199" s="1" t="s">
        <v>6876</v>
      </c>
      <c r="C2199" s="1" t="s">
        <v>48</v>
      </c>
      <c r="D2199" s="1" t="s">
        <v>48</v>
      </c>
      <c r="E2199" s="6">
        <v>126.6</v>
      </c>
      <c r="F2199" s="1" t="s">
        <v>53</v>
      </c>
      <c r="G2199" s="6">
        <f ca="1">IFERROR(__xludf.DUMMYFUNCTION("iferror(GOOGLEFINANCE(TRIM(F2199)&amp;"":"" &amp; TRIM(B2199), ""price""),0
)"),0)</f>
        <v>0</v>
      </c>
      <c r="H2199" s="6">
        <v>10</v>
      </c>
      <c r="I2199" s="6">
        <f t="shared" ca="1" si="0"/>
        <v>10</v>
      </c>
      <c r="J2199" s="6">
        <f ca="1">IFERROR(__xludf.DUMMYFUNCTION("IFERROR(GOOGLEFINANCE(B2199, ""volume""), 0)"),0)</f>
        <v>0</v>
      </c>
      <c r="K2199" s="6">
        <v>0</v>
      </c>
      <c r="L2199" s="6">
        <f ca="1">IFERROR(__xludf.DUMMYFUNCTION("IFERROR(GOOGLEFINANCE(B2199,""changepct""),K2199)"),0)</f>
        <v>0</v>
      </c>
      <c r="M2199" s="6">
        <f ca="1">IFERROR(__xludf.DUMMYFUNCTION("IFERROR(GOOGLEFINANCE(B2199,""change""),0)"),0)</f>
        <v>0</v>
      </c>
      <c r="N2199" s="6">
        <v>2</v>
      </c>
      <c r="O2199" s="7">
        <v>45536</v>
      </c>
      <c r="P2199" s="6">
        <v>12.68</v>
      </c>
      <c r="Q2199" s="7">
        <v>45536</v>
      </c>
      <c r="R2199" s="6">
        <v>9.99</v>
      </c>
      <c r="S2199" s="9"/>
      <c r="T2199" s="6">
        <v>3.03</v>
      </c>
      <c r="U2199" s="6">
        <v>2</v>
      </c>
      <c r="V2199" s="7">
        <v>45352</v>
      </c>
      <c r="W2199" s="10">
        <f ca="1">IFERROR(__xludf.DUMMYFUNCTION("IFERROR(GOOGLEFINANCE(B2199,""pe""),V2199)"),45352)</f>
        <v>45352</v>
      </c>
      <c r="X2199" s="6">
        <v>1.41</v>
      </c>
      <c r="Y2199" s="6">
        <v>34.119999999999997</v>
      </c>
      <c r="Z2199" s="6">
        <v>20.63</v>
      </c>
      <c r="AA2199" s="3" t="s">
        <v>6877</v>
      </c>
      <c r="AB2199" s="11"/>
      <c r="AC2199" s="9"/>
      <c r="AD2199" s="9"/>
      <c r="AE2199" s="1">
        <v>0</v>
      </c>
      <c r="AF2199" s="1">
        <f ca="1">IFERROR(__xludf.DUMMYFUNCTION("IFERROR(GOOGLEFINANCE(TRIM(F2199)&amp;"":"" &amp; TRIM(B2199),""high52""),AE2199)"),0)</f>
        <v>0</v>
      </c>
      <c r="AG2199" s="1">
        <v>0</v>
      </c>
      <c r="AH2199" s="1">
        <f ca="1">IFERROR(__xludf.DUMMYFUNCTION("IFERROR(GOOGLEFINANCE(TRIM(F2199)&amp;"":"" &amp; TRIM(B2199),""low52""),AE2199)"),0)</f>
        <v>0</v>
      </c>
      <c r="AI2199" s="1">
        <f ca="1">IFERROR(__xludf.DUMMYFUNCTION("IFERROR(GOOGLEFINANCE(B2199,""eps""),0)"),0)</f>
        <v>0</v>
      </c>
      <c r="AJ2199" s="1"/>
      <c r="AK2199" s="9"/>
      <c r="AL2199" s="9">
        <f t="shared" si="233"/>
        <v>1</v>
      </c>
    </row>
    <row r="2200" spans="1:38" ht="15" x14ac:dyDescent="0.25">
      <c r="A2200" s="1" t="s">
        <v>6878</v>
      </c>
      <c r="B2200" s="1" t="s">
        <v>6879</v>
      </c>
      <c r="C2200" s="1" t="s">
        <v>48</v>
      </c>
      <c r="D2200" s="1" t="s">
        <v>48</v>
      </c>
      <c r="E2200" s="6">
        <v>68.790000000000006</v>
      </c>
      <c r="F2200" s="1" t="s">
        <v>53</v>
      </c>
      <c r="G2200" s="6">
        <f ca="1">IFERROR(__xludf.DUMMYFUNCTION("iferror(GOOGLEFINANCE(TRIM(F2200)&amp;"":"" &amp; TRIM(B2200), ""price""),0
)"),0)</f>
        <v>0</v>
      </c>
      <c r="H2200" s="6">
        <v>14.29</v>
      </c>
      <c r="I2200" s="6">
        <f t="shared" ca="1" si="0"/>
        <v>14.29</v>
      </c>
      <c r="J2200" s="6">
        <f ca="1">IFERROR(__xludf.DUMMYFUNCTION("IFERROR(GOOGLEFINANCE(B2200, ""volume""), 0)"),0)</f>
        <v>0</v>
      </c>
      <c r="K2200" s="6">
        <v>9.08</v>
      </c>
      <c r="L2200" s="6">
        <f ca="1">IFERROR(__xludf.DUMMYFUNCTION("IFERROR(GOOGLEFINANCE(B2200,""changepct""),K2200)"),9.08)</f>
        <v>9.08</v>
      </c>
      <c r="M2200" s="6">
        <f ca="1">IFERROR(__xludf.DUMMYFUNCTION("IFERROR(GOOGLEFINANCE(B2200,""change""),0)"),0)</f>
        <v>0</v>
      </c>
      <c r="N2200" s="6">
        <v>2</v>
      </c>
      <c r="O2200" s="7">
        <v>45536</v>
      </c>
      <c r="P2200" s="6">
        <v>6.68</v>
      </c>
      <c r="Q2200" s="7">
        <v>45536</v>
      </c>
      <c r="R2200" s="6">
        <v>12.68</v>
      </c>
      <c r="S2200" s="6">
        <v>0.45</v>
      </c>
      <c r="T2200" s="6">
        <v>1.4</v>
      </c>
      <c r="U2200" s="6">
        <v>2</v>
      </c>
      <c r="V2200" s="7">
        <v>45352</v>
      </c>
      <c r="W2200" s="10">
        <f ca="1">IFERROR(__xludf.DUMMYFUNCTION("IFERROR(GOOGLEFINANCE(B2200,""pe""),V2200)"),45352)</f>
        <v>45352</v>
      </c>
      <c r="X2200" s="6">
        <v>2.66</v>
      </c>
      <c r="Y2200" s="6">
        <v>16.8</v>
      </c>
      <c r="Z2200" s="6">
        <v>19.68</v>
      </c>
      <c r="AA2200" s="3" t="s">
        <v>6880</v>
      </c>
      <c r="AB2200" s="11"/>
      <c r="AC2200" s="9"/>
      <c r="AD2200" s="9"/>
      <c r="AE2200" s="1">
        <v>0</v>
      </c>
      <c r="AF2200" s="1">
        <f ca="1">IFERROR(__xludf.DUMMYFUNCTION("IFERROR(GOOGLEFINANCE(TRIM(F2200)&amp;"":"" &amp; TRIM(B2200),""high52""),AE2200)"),0)</f>
        <v>0</v>
      </c>
      <c r="AG2200" s="1">
        <v>0</v>
      </c>
      <c r="AH2200" s="1">
        <f ca="1">IFERROR(__xludf.DUMMYFUNCTION("IFERROR(GOOGLEFINANCE(TRIM(F2200)&amp;"":"" &amp; TRIM(B2200),""low52""),AE2200)"),0)</f>
        <v>0</v>
      </c>
      <c r="AI2200" s="1">
        <f ca="1">IFERROR(__xludf.DUMMYFUNCTION("IFERROR(GOOGLEFINANCE(B2200,""eps""),0)"),0)</f>
        <v>0</v>
      </c>
      <c r="AJ2200" s="1"/>
      <c r="AK2200" s="9"/>
      <c r="AL2200" s="9">
        <f t="shared" si="233"/>
        <v>1</v>
      </c>
    </row>
    <row r="2201" spans="1:38" ht="15" x14ac:dyDescent="0.25">
      <c r="A2201" s="1" t="s">
        <v>6881</v>
      </c>
      <c r="B2201" s="1" t="s">
        <v>6882</v>
      </c>
      <c r="C2201" s="1" t="s">
        <v>48</v>
      </c>
      <c r="D2201" s="1" t="s">
        <v>48</v>
      </c>
      <c r="E2201" s="6">
        <v>218.4</v>
      </c>
      <c r="F2201" s="1" t="s">
        <v>53</v>
      </c>
      <c r="G2201" s="6">
        <f ca="1">IFERROR(__xludf.DUMMYFUNCTION("iferror(GOOGLEFINANCE(TRIM(F2201)&amp;"":"" &amp; TRIM(B2201), ""price""),0
)"),0)</f>
        <v>0</v>
      </c>
      <c r="H2201" s="6">
        <v>34.28</v>
      </c>
      <c r="I2201" s="6">
        <f t="shared" ca="1" si="0"/>
        <v>34.28</v>
      </c>
      <c r="J2201" s="6">
        <f ca="1">IFERROR(__xludf.DUMMYFUNCTION("IFERROR(GOOGLEFINANCE(B2201, ""volume""), 0)"),0)</f>
        <v>0</v>
      </c>
      <c r="K2201" s="6">
        <v>2.02</v>
      </c>
      <c r="L2201" s="6">
        <f ca="1">IFERROR(__xludf.DUMMYFUNCTION("IFERROR(GOOGLEFINANCE(B2201,""changepct""),K2201)"),-1.43)</f>
        <v>-1.43</v>
      </c>
      <c r="M2201" s="6">
        <f ca="1">IFERROR(__xludf.DUMMYFUNCTION("IFERROR(GOOGLEFINANCE(B2201,""change""),0)"),-0.04)</f>
        <v>-0.04</v>
      </c>
      <c r="N2201" s="6">
        <v>1</v>
      </c>
      <c r="O2201" s="7">
        <v>45536</v>
      </c>
      <c r="P2201" s="6">
        <v>16.68</v>
      </c>
      <c r="Q2201" s="7">
        <v>45536</v>
      </c>
      <c r="R2201" s="6">
        <v>13.1</v>
      </c>
      <c r="S2201" s="6">
        <v>7.0000000000000007E-2</v>
      </c>
      <c r="T2201" s="6">
        <v>0.54</v>
      </c>
      <c r="U2201" s="6">
        <v>1</v>
      </c>
      <c r="V2201" s="7">
        <v>45352</v>
      </c>
      <c r="W2201" s="10">
        <f ca="1">IFERROR(__xludf.DUMMYFUNCTION("IFERROR(GOOGLEFINANCE(B2201,""pe""),V2201)"),45352)</f>
        <v>45352</v>
      </c>
      <c r="X2201" s="6">
        <v>0.28999999999999998</v>
      </c>
      <c r="Y2201" s="6">
        <v>38.51</v>
      </c>
      <c r="Z2201" s="6">
        <v>28.17</v>
      </c>
      <c r="AA2201" s="19" t="s">
        <v>6883</v>
      </c>
      <c r="AB2201" s="20"/>
      <c r="AC2201" s="9"/>
      <c r="AD2201" s="9"/>
      <c r="AE2201" s="1">
        <v>0</v>
      </c>
      <c r="AF2201" s="1">
        <f ca="1">IFERROR(__xludf.DUMMYFUNCTION("IFERROR(GOOGLEFINANCE(TRIM(F2201)&amp;"":"" &amp; TRIM(B2201),""high52""),AE2201)"),0)</f>
        <v>0</v>
      </c>
      <c r="AG2201" s="1">
        <v>0</v>
      </c>
      <c r="AH2201" s="1">
        <f ca="1">IFERROR(__xludf.DUMMYFUNCTION("IFERROR(GOOGLEFINANCE(TRIM(F2201)&amp;"":"" &amp; TRIM(B2201),""low52""),AE2201)"),0)</f>
        <v>0</v>
      </c>
      <c r="AI2201" s="1">
        <f ca="1">IFERROR(__xludf.DUMMYFUNCTION("IFERROR(GOOGLEFINANCE(B2201,""eps""),0)"),-0.77)</f>
        <v>-0.77</v>
      </c>
      <c r="AJ2201" s="1"/>
      <c r="AK2201" s="9"/>
      <c r="AL2201" s="9">
        <f t="shared" si="233"/>
        <v>1</v>
      </c>
    </row>
    <row r="2202" spans="1:38" ht="15" x14ac:dyDescent="0.25">
      <c r="A2202" s="1" t="s">
        <v>6884</v>
      </c>
      <c r="B2202" s="1" t="s">
        <v>6885</v>
      </c>
      <c r="C2202" s="1" t="s">
        <v>48</v>
      </c>
      <c r="D2202" s="1" t="s">
        <v>48</v>
      </c>
      <c r="E2202" s="6">
        <v>207.52</v>
      </c>
      <c r="F2202" s="1" t="s">
        <v>53</v>
      </c>
      <c r="G2202" s="6">
        <f ca="1">IFERROR(__xludf.DUMMYFUNCTION("iferror(GOOGLEFINANCE(TRIM(F2202)&amp;"":"" &amp; TRIM(B2202), ""price""),0
)"),0)</f>
        <v>0</v>
      </c>
      <c r="H2202" s="6">
        <v>252.5</v>
      </c>
      <c r="I2202" s="6">
        <f t="shared" ca="1" si="0"/>
        <v>252.5</v>
      </c>
      <c r="J2202" s="6">
        <f ca="1">IFERROR(__xludf.DUMMYFUNCTION("IFERROR(GOOGLEFINANCE(B2202, ""volume""), 0)"),0)</f>
        <v>0</v>
      </c>
      <c r="K2202" s="6">
        <v>0.38</v>
      </c>
      <c r="L2202" s="6">
        <f ca="1">IFERROR(__xludf.DUMMYFUNCTION("IFERROR(GOOGLEFINANCE(B2202,""changepct""),K2202)"),0.38)</f>
        <v>0.38</v>
      </c>
      <c r="M2202" s="6">
        <f ca="1">IFERROR(__xludf.DUMMYFUNCTION("IFERROR(GOOGLEFINANCE(B2202,""change""),0)"),0)</f>
        <v>0</v>
      </c>
      <c r="N2202" s="6">
        <v>2</v>
      </c>
      <c r="O2202" s="7">
        <v>45536</v>
      </c>
      <c r="P2202" s="6">
        <v>14.82</v>
      </c>
      <c r="Q2202" s="7">
        <v>45536</v>
      </c>
      <c r="R2202" s="6">
        <v>14</v>
      </c>
      <c r="S2202" s="9"/>
      <c r="T2202" s="6">
        <v>4.1500000000000004</v>
      </c>
      <c r="U2202" s="6">
        <v>2</v>
      </c>
      <c r="V2202" s="7">
        <v>45352</v>
      </c>
      <c r="W2202" s="10">
        <f ca="1">IFERROR(__xludf.DUMMYFUNCTION("IFERROR(GOOGLEFINANCE(B2202,""pe""),V2202)"),45352)</f>
        <v>45352</v>
      </c>
      <c r="X2202" s="6">
        <v>0.01</v>
      </c>
      <c r="Y2202" s="6">
        <v>35.1</v>
      </c>
      <c r="Z2202" s="6">
        <v>47.08</v>
      </c>
      <c r="AA2202" s="3" t="s">
        <v>6886</v>
      </c>
      <c r="AB2202" s="11"/>
      <c r="AC2202" s="9"/>
      <c r="AD2202" s="9"/>
      <c r="AE2202" s="1">
        <v>0</v>
      </c>
      <c r="AF2202" s="1">
        <f ca="1">IFERROR(__xludf.DUMMYFUNCTION("IFERROR(GOOGLEFINANCE(TRIM(F2202)&amp;"":"" &amp; TRIM(B2202),""high52""),AE2202)"),0)</f>
        <v>0</v>
      </c>
      <c r="AG2202" s="1">
        <v>0</v>
      </c>
      <c r="AH2202" s="1">
        <f ca="1">IFERROR(__xludf.DUMMYFUNCTION("IFERROR(GOOGLEFINANCE(TRIM(F2202)&amp;"":"" &amp; TRIM(B2202),""low52""),AE2202)"),0)</f>
        <v>0</v>
      </c>
      <c r="AI2202" s="1">
        <f ca="1">IFERROR(__xludf.DUMMYFUNCTION("IFERROR(GOOGLEFINANCE(B2202,""eps""),0)"),0)</f>
        <v>0</v>
      </c>
      <c r="AJ2202" s="1"/>
      <c r="AK2202" s="1" t="s">
        <v>6887</v>
      </c>
      <c r="AL2202" s="9">
        <f t="shared" si="233"/>
        <v>1</v>
      </c>
    </row>
    <row r="2203" spans="1:38" ht="15" x14ac:dyDescent="0.25">
      <c r="A2203" s="1" t="s">
        <v>6888</v>
      </c>
      <c r="B2203" s="1" t="s">
        <v>6889</v>
      </c>
      <c r="C2203" s="1" t="s">
        <v>57</v>
      </c>
      <c r="D2203" s="1" t="s">
        <v>57</v>
      </c>
      <c r="E2203" s="6">
        <v>40708.980000000003</v>
      </c>
      <c r="F2203" s="1" t="s">
        <v>40</v>
      </c>
      <c r="G2203" s="6">
        <f ca="1">IFERROR(__xludf.DUMMYFUNCTION("iferror(GOOGLEFINANCE(TRIM(F2203)&amp;"":"" &amp; TRIM(B2203), ""price""),0
)"),1002)</f>
        <v>1002</v>
      </c>
      <c r="H2203" s="6">
        <v>1468.7</v>
      </c>
      <c r="I2203" s="6">
        <f t="shared" ca="1" si="0"/>
        <v>1002</v>
      </c>
      <c r="J2203" s="6">
        <f ca="1">IFERROR(__xludf.DUMMYFUNCTION("IFERROR(GOOGLEFINANCE(B2203, ""volume""), 0)"),1616312)</f>
        <v>1616312</v>
      </c>
      <c r="K2203" s="6">
        <v>-1.07</v>
      </c>
      <c r="L2203" s="6">
        <f ca="1">IFERROR(__xludf.DUMMYFUNCTION("IFERROR(GOOGLEFINANCE(B2203,""changepct""),K2203)"),1.1)</f>
        <v>1.1000000000000001</v>
      </c>
      <c r="M2203" s="6">
        <f ca="1">IFERROR(__xludf.DUMMYFUNCTION("IFERROR(GOOGLEFINANCE(B2203,""change""),0)"),10.9)</f>
        <v>10.9</v>
      </c>
      <c r="N2203" s="6">
        <v>2</v>
      </c>
      <c r="O2203" s="7">
        <v>45536</v>
      </c>
      <c r="P2203" s="6">
        <v>40.22</v>
      </c>
      <c r="Q2203" s="6">
        <v>39852.9</v>
      </c>
      <c r="R2203" s="7">
        <v>45536</v>
      </c>
      <c r="S2203" s="6">
        <v>5410.8</v>
      </c>
      <c r="T2203" s="6">
        <v>736.07</v>
      </c>
      <c r="U2203" s="7">
        <v>45536</v>
      </c>
      <c r="V2203" s="6">
        <v>55.95</v>
      </c>
      <c r="W2203" s="6">
        <f ca="1">IFERROR(__xludf.DUMMYFUNCTION("IFERROR(GOOGLEFINANCE(B2203,""pe""),V2203)"),38.15)</f>
        <v>38.15</v>
      </c>
      <c r="X2203" s="6">
        <v>1.1499999999999999</v>
      </c>
      <c r="Y2203" s="6">
        <v>16.260000000000002</v>
      </c>
      <c r="Z2203" s="6">
        <v>2</v>
      </c>
      <c r="AA2203" s="8">
        <v>45352</v>
      </c>
      <c r="AB2203" s="4">
        <v>0.02</v>
      </c>
      <c r="AC2203" s="6">
        <v>32.01</v>
      </c>
      <c r="AD2203" s="6">
        <v>43.96</v>
      </c>
      <c r="AE2203" s="1">
        <v>0</v>
      </c>
      <c r="AF2203" s="1">
        <f ca="1">IFERROR(__xludf.DUMMYFUNCTION("IFERROR(GOOGLEFINANCE(TRIM(F2203)&amp;"":"" &amp; TRIM(B2203),""high52""),AE2203)"),1475)</f>
        <v>1475</v>
      </c>
      <c r="AG2203" s="1">
        <v>0</v>
      </c>
      <c r="AH2203" s="1">
        <f ca="1">IFERROR(__xludf.DUMMYFUNCTION("IFERROR(GOOGLEFINANCE(TRIM(F2203)&amp;"":"" &amp; TRIM(B2203),""low52""),AE2203)"),963.6)</f>
        <v>963.6</v>
      </c>
      <c r="AI2203" s="1">
        <f ca="1">IFERROR(__xludf.DUMMYFUNCTION("IFERROR(GOOGLEFINANCE(B2203,""eps""),0)"),26.27)</f>
        <v>26.27</v>
      </c>
      <c r="AJ2203" s="1"/>
      <c r="AK2203" s="1" t="s">
        <v>6890</v>
      </c>
      <c r="AL2203" s="9">
        <f t="shared" si="233"/>
        <v>1</v>
      </c>
    </row>
    <row r="2204" spans="1:38" ht="15" x14ac:dyDescent="0.25">
      <c r="A2204" s="1" t="s">
        <v>6891</v>
      </c>
      <c r="B2204" s="1" t="s">
        <v>6892</v>
      </c>
      <c r="C2204" s="1" t="s">
        <v>48</v>
      </c>
      <c r="D2204" s="1" t="s">
        <v>48</v>
      </c>
      <c r="E2204" s="6">
        <v>74.28</v>
      </c>
      <c r="F2204" s="1" t="s">
        <v>53</v>
      </c>
      <c r="G2204" s="6">
        <f ca="1">IFERROR(__xludf.DUMMYFUNCTION("iferror(GOOGLEFINANCE(TRIM(F2204)&amp;"":"" &amp; TRIM(B2204), ""price""),0
)"),0)</f>
        <v>0</v>
      </c>
      <c r="H2204" s="6">
        <v>10.050000000000001</v>
      </c>
      <c r="I2204" s="6">
        <f t="shared" ca="1" si="0"/>
        <v>10.050000000000001</v>
      </c>
      <c r="J2204" s="6">
        <f ca="1">IFERROR(__xludf.DUMMYFUNCTION("IFERROR(GOOGLEFINANCE(B2204, ""volume""), 0)"),226)</f>
        <v>226</v>
      </c>
      <c r="K2204" s="6">
        <v>2.34</v>
      </c>
      <c r="L2204" s="6">
        <f ca="1">IFERROR(__xludf.DUMMYFUNCTION("IFERROR(GOOGLEFINANCE(B2204,""changepct""),K2204)"),3.17)</f>
        <v>3.17</v>
      </c>
      <c r="M2204" s="6">
        <f ca="1">IFERROR(__xludf.DUMMYFUNCTION("IFERROR(GOOGLEFINANCE(B2204,""change""),0)"),0.43)</f>
        <v>0.43</v>
      </c>
      <c r="N2204" s="6">
        <v>1</v>
      </c>
      <c r="O2204" s="7">
        <v>45536</v>
      </c>
      <c r="P2204" s="6">
        <v>3.13</v>
      </c>
      <c r="Q2204" s="7">
        <v>45536</v>
      </c>
      <c r="R2204" s="6">
        <v>23.74</v>
      </c>
      <c r="S2204" s="6">
        <v>0.46</v>
      </c>
      <c r="T2204" s="6">
        <v>3.14</v>
      </c>
      <c r="U2204" s="6">
        <v>1</v>
      </c>
      <c r="V2204" s="7">
        <v>45352</v>
      </c>
      <c r="W2204" s="10">
        <f ca="1">IFERROR(__xludf.DUMMYFUNCTION("IFERROR(GOOGLEFINANCE(B2204,""pe""),V2204)"),45352)</f>
        <v>45352</v>
      </c>
      <c r="X2204" s="6">
        <v>0</v>
      </c>
      <c r="Y2204" s="6">
        <v>11.82</v>
      </c>
      <c r="Z2204" s="6">
        <v>15.83</v>
      </c>
      <c r="AA2204" s="3" t="s">
        <v>6893</v>
      </c>
      <c r="AB2204" s="11"/>
      <c r="AC2204" s="9"/>
      <c r="AD2204" s="9"/>
      <c r="AE2204" s="1">
        <v>0</v>
      </c>
      <c r="AF2204" s="1">
        <f ca="1">IFERROR(__xludf.DUMMYFUNCTION("IFERROR(GOOGLEFINANCE(TRIM(F2204)&amp;"":"" &amp; TRIM(B2204),""high52""),AE2204)"),0)</f>
        <v>0</v>
      </c>
      <c r="AG2204" s="1">
        <v>0</v>
      </c>
      <c r="AH2204" s="1">
        <f ca="1">IFERROR(__xludf.DUMMYFUNCTION("IFERROR(GOOGLEFINANCE(TRIM(F2204)&amp;"":"" &amp; TRIM(B2204),""low52""),AE2204)"),0)</f>
        <v>0</v>
      </c>
      <c r="AI2204" s="1">
        <f ca="1">IFERROR(__xludf.DUMMYFUNCTION("IFERROR(GOOGLEFINANCE(B2204,""eps""),0)"),-0.2)</f>
        <v>-0.2</v>
      </c>
      <c r="AJ2204" s="1"/>
      <c r="AK2204" s="1" t="s">
        <v>6894</v>
      </c>
      <c r="AL2204" s="9">
        <f t="shared" si="233"/>
        <v>1</v>
      </c>
    </row>
    <row r="2205" spans="1:38" ht="15" x14ac:dyDescent="0.25">
      <c r="A2205" s="1" t="s">
        <v>6895</v>
      </c>
      <c r="B2205" s="1" t="s">
        <v>6896</v>
      </c>
      <c r="C2205" s="1" t="s">
        <v>324</v>
      </c>
      <c r="D2205" s="1" t="s">
        <v>324</v>
      </c>
      <c r="E2205" s="6">
        <v>7013.19</v>
      </c>
      <c r="F2205" s="1" t="s">
        <v>40</v>
      </c>
      <c r="G2205" s="6">
        <f ca="1">IFERROR(__xludf.DUMMYFUNCTION("iferror(GOOGLEFINANCE(TRIM(F2205)&amp;"":"" &amp; TRIM(B2205), ""price""),0
)"),343.75)</f>
        <v>343.75</v>
      </c>
      <c r="H2205" s="6">
        <v>305.85000000000002</v>
      </c>
      <c r="I2205" s="6">
        <f t="shared" ca="1" si="0"/>
        <v>343.75</v>
      </c>
      <c r="J2205" s="6">
        <f ca="1">IFERROR(__xludf.DUMMYFUNCTION("IFERROR(GOOGLEFINANCE(B2205, ""volume""), 0)"),490881)</f>
        <v>490881</v>
      </c>
      <c r="K2205" s="6">
        <v>-0.28999999999999998</v>
      </c>
      <c r="L2205" s="6">
        <f ca="1">IFERROR(__xludf.DUMMYFUNCTION("IFERROR(GOOGLEFINANCE(B2205,""changepct""),K2205)"),1.34)</f>
        <v>1.34</v>
      </c>
      <c r="M2205" s="6">
        <f ca="1">IFERROR(__xludf.DUMMYFUNCTION("IFERROR(GOOGLEFINANCE(B2205,""change""),0)"),4.55)</f>
        <v>4.55</v>
      </c>
      <c r="N2205" s="6">
        <v>2</v>
      </c>
      <c r="O2205" s="7">
        <v>45536</v>
      </c>
      <c r="P2205" s="6">
        <v>207.07</v>
      </c>
      <c r="Q2205" s="6">
        <v>6967.43</v>
      </c>
      <c r="R2205" s="7">
        <v>45536</v>
      </c>
      <c r="S2205" s="6">
        <v>5224.99</v>
      </c>
      <c r="T2205" s="6">
        <v>437.15</v>
      </c>
      <c r="U2205" s="7">
        <v>45536</v>
      </c>
      <c r="V2205" s="6">
        <v>16.04</v>
      </c>
      <c r="W2205" s="6">
        <f ca="1">IFERROR(__xludf.DUMMYFUNCTION("IFERROR(GOOGLEFINANCE(B2205,""pe""),V2205)"),12.91)</f>
        <v>12.91</v>
      </c>
      <c r="X2205" s="6">
        <v>4.6500000000000004</v>
      </c>
      <c r="Y2205" s="6">
        <v>1.42</v>
      </c>
      <c r="Z2205" s="6">
        <v>2</v>
      </c>
      <c r="AA2205" s="8">
        <v>45352</v>
      </c>
      <c r="AB2205" s="4">
        <v>0.1</v>
      </c>
      <c r="AC2205" s="6">
        <v>12.48</v>
      </c>
      <c r="AD2205" s="6">
        <v>15.98</v>
      </c>
      <c r="AE2205" s="1">
        <v>0</v>
      </c>
      <c r="AF2205" s="1">
        <f ca="1">IFERROR(__xludf.DUMMYFUNCTION("IFERROR(GOOGLEFINANCE(TRIM(F2205)&amp;"":"" &amp; TRIM(B2205),""high52""),AE2205)"),495)</f>
        <v>495</v>
      </c>
      <c r="AG2205" s="1">
        <v>0</v>
      </c>
      <c r="AH2205" s="1">
        <f ca="1">IFERROR(__xludf.DUMMYFUNCTION("IFERROR(GOOGLEFINANCE(TRIM(F2205)&amp;"":"" &amp; TRIM(B2205),""low52""),AE2205)"),241.25)</f>
        <v>241.25</v>
      </c>
      <c r="AI2205" s="1">
        <f ca="1">IFERROR(__xludf.DUMMYFUNCTION("IFERROR(GOOGLEFINANCE(B2205,""eps""),0)"),26.63)</f>
        <v>26.63</v>
      </c>
      <c r="AJ2205" s="1"/>
      <c r="AK2205" s="1" t="s">
        <v>6897</v>
      </c>
      <c r="AL2205" s="9">
        <f t="shared" si="233"/>
        <v>1</v>
      </c>
    </row>
    <row r="2206" spans="1:38" ht="15" x14ac:dyDescent="0.25">
      <c r="A2206" s="1" t="s">
        <v>6898</v>
      </c>
      <c r="B2206" s="1" t="s">
        <v>6899</v>
      </c>
      <c r="C2206" s="1" t="s">
        <v>106</v>
      </c>
      <c r="D2206" s="1" t="s">
        <v>106</v>
      </c>
      <c r="E2206" s="6">
        <v>213.99</v>
      </c>
      <c r="F2206" s="1" t="s">
        <v>40</v>
      </c>
      <c r="G2206" s="6">
        <f ca="1">IFERROR(__xludf.DUMMYFUNCTION("iferror(GOOGLEFINANCE(TRIM(F2206)&amp;"":"" &amp; TRIM(B2206), ""price""),0
)"),55.31)</f>
        <v>55.31</v>
      </c>
      <c r="H2206" s="6">
        <v>96.05</v>
      </c>
      <c r="I2206" s="6">
        <f t="shared" ca="1" si="0"/>
        <v>55.31</v>
      </c>
      <c r="J2206" s="6">
        <f ca="1">IFERROR(__xludf.DUMMYFUNCTION("IFERROR(GOOGLEFINANCE(B2206, ""volume""), 0)"),892)</f>
        <v>892</v>
      </c>
      <c r="K2206" s="6">
        <v>-3.74</v>
      </c>
      <c r="L2206" s="6">
        <f ca="1">IFERROR(__xludf.DUMMYFUNCTION("IFERROR(GOOGLEFINANCE(B2206,""changepct""),K2206)"),-2.42)</f>
        <v>-2.42</v>
      </c>
      <c r="M2206" s="6">
        <f ca="1">IFERROR(__xludf.DUMMYFUNCTION("IFERROR(GOOGLEFINANCE(B2206,""change""),0)"),-1.37)</f>
        <v>-1.37</v>
      </c>
      <c r="N2206" s="6">
        <v>1</v>
      </c>
      <c r="O2206" s="7">
        <v>45536</v>
      </c>
      <c r="P2206" s="6">
        <v>204.57</v>
      </c>
      <c r="Q2206" s="6">
        <v>418.56</v>
      </c>
      <c r="R2206" s="7">
        <v>45536</v>
      </c>
      <c r="S2206" s="6">
        <v>50.69</v>
      </c>
      <c r="T2206" s="6">
        <v>-21.76</v>
      </c>
      <c r="U2206" s="7">
        <v>45536</v>
      </c>
      <c r="V2206" s="6">
        <v>0</v>
      </c>
      <c r="W2206" s="6">
        <f ca="1">IFERROR(__xludf.DUMMYFUNCTION("IFERROR(GOOGLEFINANCE(B2206,""pe""),V2206)"),0)</f>
        <v>0</v>
      </c>
      <c r="X2206" s="6">
        <v>0</v>
      </c>
      <c r="Y2206" s="6">
        <v>-1.64</v>
      </c>
      <c r="Z2206" s="6">
        <v>1</v>
      </c>
      <c r="AA2206" s="8">
        <v>45352</v>
      </c>
      <c r="AB2206" s="4">
        <v>-1.62</v>
      </c>
      <c r="AC2206" s="6">
        <v>0</v>
      </c>
      <c r="AD2206" s="6">
        <v>-18.989999999999998</v>
      </c>
      <c r="AE2206" s="1">
        <v>0</v>
      </c>
      <c r="AF2206" s="1">
        <f ca="1">IFERROR(__xludf.DUMMYFUNCTION("IFERROR(GOOGLEFINANCE(TRIM(F2206)&amp;"":"" &amp; TRIM(B2206),""high52""),AE2206)"),113.5)</f>
        <v>113.5</v>
      </c>
      <c r="AG2206" s="1">
        <v>0</v>
      </c>
      <c r="AH2206" s="1">
        <f ca="1">IFERROR(__xludf.DUMMYFUNCTION("IFERROR(GOOGLEFINANCE(TRIM(F2206)&amp;"":"" &amp; TRIM(B2206),""low52""),AE2206)"),53.05)</f>
        <v>53.05</v>
      </c>
      <c r="AI2206" s="1">
        <f ca="1">IFERROR(__xludf.DUMMYFUNCTION("IFERROR(GOOGLEFINANCE(B2206,""eps""),0)"),-12.74)</f>
        <v>-12.74</v>
      </c>
      <c r="AJ2206" s="1"/>
      <c r="AK2206" s="1" t="s">
        <v>6900</v>
      </c>
      <c r="AL2206" s="9">
        <f t="shared" si="233"/>
        <v>1</v>
      </c>
    </row>
    <row r="2207" spans="1:38" ht="15" x14ac:dyDescent="0.25">
      <c r="A2207" s="1" t="s">
        <v>6901</v>
      </c>
      <c r="B2207" s="1" t="s">
        <v>6902</v>
      </c>
      <c r="C2207" s="1" t="s">
        <v>48</v>
      </c>
      <c r="D2207" s="1" t="s">
        <v>48</v>
      </c>
      <c r="E2207" s="6">
        <v>11.29</v>
      </c>
      <c r="F2207" s="1" t="s">
        <v>53</v>
      </c>
      <c r="G2207" s="6">
        <f ca="1">IFERROR(__xludf.DUMMYFUNCTION("iferror(GOOGLEFINANCE(TRIM(F2207)&amp;"":"" &amp; TRIM(B2207), ""price""),0
)"),0)</f>
        <v>0</v>
      </c>
      <c r="H2207" s="6">
        <v>8.43</v>
      </c>
      <c r="I2207" s="6">
        <f t="shared" ca="1" si="0"/>
        <v>8.43</v>
      </c>
      <c r="J2207" s="6">
        <f ca="1">IFERROR(__xludf.DUMMYFUNCTION("IFERROR(GOOGLEFINANCE(B2207, ""volume""), 0)"),0)</f>
        <v>0</v>
      </c>
      <c r="K2207" s="6">
        <v>1.93</v>
      </c>
      <c r="L2207" s="6">
        <f ca="1">IFERROR(__xludf.DUMMYFUNCTION("IFERROR(GOOGLEFINANCE(B2207,""changepct""),K2207)"),1.93)</f>
        <v>1.93</v>
      </c>
      <c r="M2207" s="6">
        <f ca="1">IFERROR(__xludf.DUMMYFUNCTION("IFERROR(GOOGLEFINANCE(B2207,""change""),0)"),0)</f>
        <v>0</v>
      </c>
      <c r="N2207" s="6">
        <v>1</v>
      </c>
      <c r="O2207" s="7">
        <v>45536</v>
      </c>
      <c r="P2207" s="6">
        <v>0.35</v>
      </c>
      <c r="Q2207" s="7">
        <v>45536</v>
      </c>
      <c r="R2207" s="6">
        <v>32.630000000000003</v>
      </c>
      <c r="S2207" s="6">
        <v>0.26</v>
      </c>
      <c r="T2207" s="6">
        <v>0.38</v>
      </c>
      <c r="U2207" s="6">
        <v>1</v>
      </c>
      <c r="V2207" s="7">
        <v>45352</v>
      </c>
      <c r="W2207" s="10">
        <f ca="1">IFERROR(__xludf.DUMMYFUNCTION("IFERROR(GOOGLEFINANCE(B2207,""pe""),V2207)"),45352)</f>
        <v>45352</v>
      </c>
      <c r="X2207" s="6">
        <v>0</v>
      </c>
      <c r="Y2207" s="6">
        <v>1.79</v>
      </c>
      <c r="Z2207" s="6">
        <v>3.07</v>
      </c>
      <c r="AA2207" s="3" t="s">
        <v>6903</v>
      </c>
      <c r="AB2207" s="11"/>
      <c r="AC2207" s="9"/>
      <c r="AD2207" s="9"/>
      <c r="AE2207" s="1">
        <v>0</v>
      </c>
      <c r="AF2207" s="1">
        <f ca="1">IFERROR(__xludf.DUMMYFUNCTION("IFERROR(GOOGLEFINANCE(TRIM(F2207)&amp;"":"" &amp; TRIM(B2207),""high52""),AE2207)"),0)</f>
        <v>0</v>
      </c>
      <c r="AG2207" s="1">
        <v>0</v>
      </c>
      <c r="AH2207" s="1">
        <f ca="1">IFERROR(__xludf.DUMMYFUNCTION("IFERROR(GOOGLEFINANCE(TRIM(F2207)&amp;"":"" &amp; TRIM(B2207),""low52""),AE2207)"),0)</f>
        <v>0</v>
      </c>
      <c r="AI2207" s="1">
        <f ca="1">IFERROR(__xludf.DUMMYFUNCTION("IFERROR(GOOGLEFINANCE(B2207,""eps""),0)"),0)</f>
        <v>0</v>
      </c>
      <c r="AJ2207" s="1"/>
      <c r="AK2207" s="1" t="s">
        <v>6904</v>
      </c>
      <c r="AL2207" s="9">
        <f t="shared" si="233"/>
        <v>1</v>
      </c>
    </row>
    <row r="2208" spans="1:38" ht="15" x14ac:dyDescent="0.25">
      <c r="A2208" s="1" t="s">
        <v>6905</v>
      </c>
      <c r="B2208" s="1" t="s">
        <v>6906</v>
      </c>
      <c r="C2208" s="1" t="s">
        <v>48</v>
      </c>
      <c r="D2208" s="1" t="s">
        <v>48</v>
      </c>
      <c r="E2208" s="6">
        <v>6.27</v>
      </c>
      <c r="F2208" s="1" t="s">
        <v>53</v>
      </c>
      <c r="G2208" s="6">
        <f ca="1">IFERROR(__xludf.DUMMYFUNCTION("iferror(GOOGLEFINANCE(TRIM(F2208)&amp;"":"" &amp; TRIM(B2208), ""price""),0
)"),0)</f>
        <v>0</v>
      </c>
      <c r="H2208" s="6">
        <v>3.69</v>
      </c>
      <c r="I2208" s="6">
        <f t="shared" ca="1" si="0"/>
        <v>3.69</v>
      </c>
      <c r="J2208" s="6">
        <f ca="1">IFERROR(__xludf.DUMMYFUNCTION("IFERROR(GOOGLEFINANCE(B2208, ""volume""), 0)"),0)</f>
        <v>0</v>
      </c>
      <c r="K2208" s="6">
        <v>0</v>
      </c>
      <c r="L2208" s="6">
        <f ca="1">IFERROR(__xludf.DUMMYFUNCTION("IFERROR(GOOGLEFINANCE(B2208,""changepct""),K2208)"),0)</f>
        <v>0</v>
      </c>
      <c r="M2208" s="6">
        <f ca="1">IFERROR(__xludf.DUMMYFUNCTION("IFERROR(GOOGLEFINANCE(B2208,""change""),0)"),0)</f>
        <v>0</v>
      </c>
      <c r="N2208" s="6">
        <v>1</v>
      </c>
      <c r="O2208" s="7">
        <v>45536</v>
      </c>
      <c r="P2208" s="6">
        <v>0.19</v>
      </c>
      <c r="Q2208" s="7">
        <v>45536</v>
      </c>
      <c r="R2208" s="6">
        <v>32.840000000000003</v>
      </c>
      <c r="S2208" s="6">
        <v>0.62</v>
      </c>
      <c r="T2208" s="6">
        <v>0.31</v>
      </c>
      <c r="U2208" s="6">
        <v>1</v>
      </c>
      <c r="V2208" s="7">
        <v>45352</v>
      </c>
      <c r="W2208" s="10">
        <f ca="1">IFERROR(__xludf.DUMMYFUNCTION("IFERROR(GOOGLEFINANCE(B2208,""pe""),V2208)"),45352)</f>
        <v>45352</v>
      </c>
      <c r="X2208" s="6">
        <v>0.01</v>
      </c>
      <c r="Y2208" s="6">
        <v>0.93</v>
      </c>
      <c r="Z2208" s="6">
        <v>1.33</v>
      </c>
      <c r="AA2208" s="3" t="s">
        <v>6907</v>
      </c>
      <c r="AB2208" s="11"/>
      <c r="AC2208" s="9"/>
      <c r="AD2208" s="9"/>
      <c r="AE2208" s="1">
        <v>0</v>
      </c>
      <c r="AF2208" s="1">
        <f ca="1">IFERROR(__xludf.DUMMYFUNCTION("IFERROR(GOOGLEFINANCE(TRIM(F2208)&amp;"":"" &amp; TRIM(B2208),""high52""),AE2208)"),0)</f>
        <v>0</v>
      </c>
      <c r="AG2208" s="1">
        <v>0</v>
      </c>
      <c r="AH2208" s="1">
        <f ca="1">IFERROR(__xludf.DUMMYFUNCTION("IFERROR(GOOGLEFINANCE(TRIM(F2208)&amp;"":"" &amp; TRIM(B2208),""low52""),AE2208)"),0)</f>
        <v>0</v>
      </c>
      <c r="AI2208" s="1">
        <f ca="1">IFERROR(__xludf.DUMMYFUNCTION("IFERROR(GOOGLEFINANCE(B2208,""eps""),0)"),0)</f>
        <v>0</v>
      </c>
      <c r="AJ2208" s="1"/>
      <c r="AK2208" s="1" t="s">
        <v>6908</v>
      </c>
      <c r="AL2208" s="9">
        <f t="shared" si="233"/>
        <v>1</v>
      </c>
    </row>
    <row r="2209" spans="1:38" ht="15" x14ac:dyDescent="0.25">
      <c r="A2209" s="1" t="s">
        <v>6909</v>
      </c>
      <c r="B2209" s="1" t="s">
        <v>6910</v>
      </c>
      <c r="C2209" s="1" t="s">
        <v>219</v>
      </c>
      <c r="D2209" s="1" t="s">
        <v>219</v>
      </c>
      <c r="E2209" s="6">
        <v>60.37</v>
      </c>
      <c r="F2209" s="1" t="s">
        <v>40</v>
      </c>
      <c r="G2209" s="6">
        <f ca="1">IFERROR(__xludf.DUMMYFUNCTION("iferror(GOOGLEFINANCE(TRIM(F2209)&amp;"":"" &amp; TRIM(B2209), ""price""),0
)"),4)</f>
        <v>4</v>
      </c>
      <c r="H2209" s="6">
        <v>6.5</v>
      </c>
      <c r="I2209" s="6">
        <f t="shared" ca="1" si="0"/>
        <v>4</v>
      </c>
      <c r="J2209" s="6">
        <f ca="1">IFERROR(__xludf.DUMMYFUNCTION("IFERROR(GOOGLEFINANCE(B2209, ""volume""), 0)"),22081)</f>
        <v>22081</v>
      </c>
      <c r="K2209" s="6">
        <v>2.52</v>
      </c>
      <c r="L2209" s="6">
        <f ca="1">IFERROR(__xludf.DUMMYFUNCTION("IFERROR(GOOGLEFINANCE(B2209,""changepct""),K2209)"),1.27)</f>
        <v>1.27</v>
      </c>
      <c r="M2209" s="6">
        <f ca="1">IFERROR(__xludf.DUMMYFUNCTION("IFERROR(GOOGLEFINANCE(B2209,""change""),0)"),0.05)</f>
        <v>0.05</v>
      </c>
      <c r="N2209" s="6">
        <v>2</v>
      </c>
      <c r="O2209" s="7">
        <v>45536</v>
      </c>
      <c r="P2209" s="9"/>
      <c r="Q2209" s="6">
        <v>59.74</v>
      </c>
      <c r="R2209" s="7">
        <v>45536</v>
      </c>
      <c r="S2209" s="6">
        <v>0.84</v>
      </c>
      <c r="T2209" s="6">
        <v>35.96</v>
      </c>
      <c r="U2209" s="7">
        <v>45536</v>
      </c>
      <c r="V2209" s="6">
        <v>0</v>
      </c>
      <c r="W2209" s="6">
        <f ca="1">IFERROR(__xludf.DUMMYFUNCTION("IFERROR(GOOGLEFINANCE(B2209,""pe""),V2209)"),5.8)</f>
        <v>5.8</v>
      </c>
      <c r="X2209" s="12"/>
      <c r="Y2209" s="6">
        <v>-0.21</v>
      </c>
      <c r="Z2209" s="6">
        <v>2</v>
      </c>
      <c r="AA2209" s="8">
        <v>45352</v>
      </c>
      <c r="AB2209" s="4">
        <v>-0.08</v>
      </c>
      <c r="AC2209" s="6">
        <v>0</v>
      </c>
      <c r="AD2209" s="6">
        <v>0</v>
      </c>
      <c r="AE2209" s="1">
        <v>0</v>
      </c>
      <c r="AF2209" s="1">
        <f ca="1">IFERROR(__xludf.DUMMYFUNCTION("IFERROR(GOOGLEFINANCE(TRIM(F2209)&amp;"":"" &amp; TRIM(B2209),""high52""),AE2209)"),5.39)</f>
        <v>5.39</v>
      </c>
      <c r="AG2209" s="1">
        <v>0</v>
      </c>
      <c r="AH2209" s="1">
        <f ca="1">IFERROR(__xludf.DUMMYFUNCTION("IFERROR(GOOGLEFINANCE(TRIM(F2209)&amp;"":"" &amp; TRIM(B2209),""low52""),AE2209)"),3.03)</f>
        <v>3.03</v>
      </c>
      <c r="AI2209" s="1">
        <f ca="1">IFERROR(__xludf.DUMMYFUNCTION("IFERROR(GOOGLEFINANCE(B2209,""eps""),0)"),0.69)</f>
        <v>0.69</v>
      </c>
      <c r="AJ2209" s="1"/>
      <c r="AK2209" s="1" t="s">
        <v>6911</v>
      </c>
      <c r="AL2209" s="9">
        <f t="shared" si="233"/>
        <v>1</v>
      </c>
    </row>
    <row r="2210" spans="1:38" ht="15" x14ac:dyDescent="0.25">
      <c r="A2210" s="1" t="s">
        <v>6912</v>
      </c>
      <c r="B2210" s="1" t="s">
        <v>6913</v>
      </c>
      <c r="C2210" s="1" t="s">
        <v>48</v>
      </c>
      <c r="D2210" s="1" t="s">
        <v>48</v>
      </c>
      <c r="E2210" s="6">
        <v>39.82</v>
      </c>
      <c r="F2210" s="1" t="s">
        <v>53</v>
      </c>
      <c r="G2210" s="6">
        <f ca="1">IFERROR(__xludf.DUMMYFUNCTION("iferror(GOOGLEFINANCE(TRIM(F2210)&amp;"":"" &amp; TRIM(B2210), ""price""),0
)"),0)</f>
        <v>0</v>
      </c>
      <c r="H2210" s="6">
        <v>13</v>
      </c>
      <c r="I2210" s="6">
        <f t="shared" ca="1" si="0"/>
        <v>13</v>
      </c>
      <c r="J2210" s="6">
        <f ca="1">IFERROR(__xludf.DUMMYFUNCTION("IFERROR(GOOGLEFINANCE(B2210, ""volume""), 0)"),0)</f>
        <v>0</v>
      </c>
      <c r="K2210" s="6">
        <v>0.39</v>
      </c>
      <c r="L2210" s="6">
        <f ca="1">IFERROR(__xludf.DUMMYFUNCTION("IFERROR(GOOGLEFINANCE(B2210,""changepct""),K2210)"),0.39)</f>
        <v>0.39</v>
      </c>
      <c r="M2210" s="6">
        <f ca="1">IFERROR(__xludf.DUMMYFUNCTION("IFERROR(GOOGLEFINANCE(B2210,""change""),0)"),0)</f>
        <v>0</v>
      </c>
      <c r="N2210" s="6">
        <v>1</v>
      </c>
      <c r="O2210" s="7">
        <v>45536</v>
      </c>
      <c r="P2210" s="6">
        <v>0.65</v>
      </c>
      <c r="Q2210" s="7">
        <v>45536</v>
      </c>
      <c r="R2210" s="6">
        <v>61.26</v>
      </c>
      <c r="S2210" s="6">
        <v>2.13</v>
      </c>
      <c r="T2210" s="6">
        <v>11.29</v>
      </c>
      <c r="U2210" s="6">
        <v>1</v>
      </c>
      <c r="V2210" s="7">
        <v>45352</v>
      </c>
      <c r="W2210" s="10">
        <f ca="1">IFERROR(__xludf.DUMMYFUNCTION("IFERROR(GOOGLEFINANCE(B2210,""pe""),V2210)"),45352)</f>
        <v>45352</v>
      </c>
      <c r="X2210" s="6">
        <v>0.21</v>
      </c>
      <c r="Y2210" s="6">
        <v>1.35</v>
      </c>
      <c r="Z2210" s="6">
        <v>1.24</v>
      </c>
      <c r="AA2210" s="3" t="s">
        <v>6914</v>
      </c>
      <c r="AB2210" s="16"/>
      <c r="AC2210" s="12"/>
      <c r="AD2210" s="12"/>
      <c r="AE2210" s="1">
        <v>0</v>
      </c>
      <c r="AF2210" s="1">
        <f ca="1">IFERROR(__xludf.DUMMYFUNCTION("IFERROR(GOOGLEFINANCE(TRIM(F2210)&amp;"":"" &amp; TRIM(B2210),""high52""),AE2210)"),0)</f>
        <v>0</v>
      </c>
      <c r="AG2210" s="1">
        <v>0</v>
      </c>
      <c r="AH2210" s="1">
        <f ca="1">IFERROR(__xludf.DUMMYFUNCTION("IFERROR(GOOGLEFINANCE(TRIM(F2210)&amp;"":"" &amp; TRIM(B2210),""low52""),AE2210)"),0)</f>
        <v>0</v>
      </c>
      <c r="AI2210" s="1">
        <f ca="1">IFERROR(__xludf.DUMMYFUNCTION("IFERROR(GOOGLEFINANCE(B2210,""eps""),0)"),0)</f>
        <v>0</v>
      </c>
      <c r="AJ2210" s="1"/>
      <c r="AK2210" s="9"/>
      <c r="AL2210" s="9">
        <f t="shared" si="233"/>
        <v>1</v>
      </c>
    </row>
    <row r="2211" spans="1:38" ht="15" x14ac:dyDescent="0.25">
      <c r="A2211" s="1" t="s">
        <v>6915</v>
      </c>
      <c r="B2211" s="1" t="s">
        <v>6916</v>
      </c>
      <c r="C2211" s="1" t="s">
        <v>502</v>
      </c>
      <c r="D2211" s="1" t="s">
        <v>502</v>
      </c>
      <c r="E2211" s="6">
        <v>1217.45</v>
      </c>
      <c r="F2211" s="1" t="s">
        <v>40</v>
      </c>
      <c r="G2211" s="6">
        <f ca="1">IFERROR(__xludf.DUMMYFUNCTION("iferror(GOOGLEFINANCE(TRIM(F2211)&amp;"":"" &amp; TRIM(B2211), ""price""),0
)"),474)</f>
        <v>474</v>
      </c>
      <c r="H2211" s="6">
        <v>198.27</v>
      </c>
      <c r="I2211" s="6">
        <f t="shared" ca="1" si="0"/>
        <v>474</v>
      </c>
      <c r="J2211" s="6">
        <f ca="1">IFERROR(__xludf.DUMMYFUNCTION("IFERROR(GOOGLEFINANCE(B2211, ""volume""), 0)"),116976)</f>
        <v>116976</v>
      </c>
      <c r="K2211" s="6">
        <v>0.69</v>
      </c>
      <c r="L2211" s="6">
        <f ca="1">IFERROR(__xludf.DUMMYFUNCTION("IFERROR(GOOGLEFINANCE(B2211,""changepct""),K2211)"),1.29)</f>
        <v>1.29</v>
      </c>
      <c r="M2211" s="6">
        <f ca="1">IFERROR(__xludf.DUMMYFUNCTION("IFERROR(GOOGLEFINANCE(B2211,""change""),0)"),6.05)</f>
        <v>6.05</v>
      </c>
      <c r="N2211" s="6">
        <v>1</v>
      </c>
      <c r="O2211" s="7">
        <v>45536</v>
      </c>
      <c r="P2211" s="6">
        <v>362.22</v>
      </c>
      <c r="Q2211" s="6">
        <v>1560.3</v>
      </c>
      <c r="R2211" s="7">
        <v>45536</v>
      </c>
      <c r="S2211" s="6">
        <v>1074.96</v>
      </c>
      <c r="T2211" s="6">
        <v>42.45</v>
      </c>
      <c r="U2211" s="7">
        <v>45536</v>
      </c>
      <c r="V2211" s="6">
        <v>28.68</v>
      </c>
      <c r="W2211" s="6">
        <f ca="1">IFERROR(__xludf.DUMMYFUNCTION("IFERROR(GOOGLEFINANCE(B2211,""pe""),V2211)"),22.55)</f>
        <v>22.55</v>
      </c>
      <c r="X2211" s="6">
        <v>1.17</v>
      </c>
      <c r="Y2211" s="6">
        <v>3.65</v>
      </c>
      <c r="Z2211" s="6">
        <v>1</v>
      </c>
      <c r="AA2211" s="8">
        <v>45352</v>
      </c>
      <c r="AB2211" s="4">
        <v>1.45</v>
      </c>
      <c r="AC2211" s="6">
        <v>14.38</v>
      </c>
      <c r="AD2211" s="6">
        <v>15.04</v>
      </c>
      <c r="AE2211" s="1">
        <v>0</v>
      </c>
      <c r="AF2211" s="1">
        <f ca="1">IFERROR(__xludf.DUMMYFUNCTION("IFERROR(GOOGLEFINANCE(TRIM(F2211)&amp;"":"" &amp; TRIM(B2211),""high52""),AE2211)"),619)</f>
        <v>619</v>
      </c>
      <c r="AG2211" s="1">
        <v>0</v>
      </c>
      <c r="AH2211" s="1">
        <f ca="1">IFERROR(__xludf.DUMMYFUNCTION("IFERROR(GOOGLEFINANCE(TRIM(F2211)&amp;"":"" &amp; TRIM(B2211),""low52""),AE2211)"),175.15)</f>
        <v>175.15</v>
      </c>
      <c r="AI2211" s="1">
        <f ca="1">IFERROR(__xludf.DUMMYFUNCTION("IFERROR(GOOGLEFINANCE(B2211,""eps""),0)"),21.02)</f>
        <v>21.02</v>
      </c>
      <c r="AJ2211" s="1"/>
      <c r="AK2211" s="1" t="s">
        <v>6917</v>
      </c>
      <c r="AL2211" s="9">
        <f t="shared" si="233"/>
        <v>1</v>
      </c>
    </row>
    <row r="2212" spans="1:38" ht="15" x14ac:dyDescent="0.25">
      <c r="A2212" s="1" t="s">
        <v>6918</v>
      </c>
      <c r="B2212" s="1" t="s">
        <v>6919</v>
      </c>
      <c r="C2212" s="1" t="s">
        <v>219</v>
      </c>
      <c r="D2212" s="1" t="s">
        <v>219</v>
      </c>
      <c r="E2212" s="6">
        <v>431.66</v>
      </c>
      <c r="F2212" s="1" t="s">
        <v>40</v>
      </c>
      <c r="G2212" s="6">
        <f ca="1">IFERROR(__xludf.DUMMYFUNCTION("iferror(GOOGLEFINANCE(TRIM(F2212)&amp;"":"" &amp; TRIM(B2212), ""price""),0
)"),0)</f>
        <v>0</v>
      </c>
      <c r="H2212" s="6">
        <v>311.10000000000002</v>
      </c>
      <c r="I2212" s="6">
        <f t="shared" ca="1" si="0"/>
        <v>311.10000000000002</v>
      </c>
      <c r="J2212" s="6">
        <f ca="1">IFERROR(__xludf.DUMMYFUNCTION("IFERROR(GOOGLEFINANCE(B2212, ""volume""), 0)"),0)</f>
        <v>0</v>
      </c>
      <c r="K2212" s="6">
        <v>2.27</v>
      </c>
      <c r="L2212" s="6">
        <f ca="1">IFERROR(__xludf.DUMMYFUNCTION("IFERROR(GOOGLEFINANCE(B2212,""changepct""),K2212)"),2.27)</f>
        <v>2.27</v>
      </c>
      <c r="M2212" s="6">
        <f ca="1">IFERROR(__xludf.DUMMYFUNCTION("IFERROR(GOOGLEFINANCE(B2212,""change""),0)"),0)</f>
        <v>0</v>
      </c>
      <c r="N2212" s="6">
        <v>1</v>
      </c>
      <c r="O2212" s="7">
        <v>45536</v>
      </c>
      <c r="P2212" s="6">
        <v>31.78</v>
      </c>
      <c r="Q2212" s="6">
        <v>463.44</v>
      </c>
      <c r="R2212" s="7">
        <v>45352</v>
      </c>
      <c r="S2212" s="6">
        <v>105.02</v>
      </c>
      <c r="T2212" s="6">
        <v>13.24</v>
      </c>
      <c r="U2212" s="7">
        <v>45352</v>
      </c>
      <c r="V2212" s="6">
        <v>32.6</v>
      </c>
      <c r="W2212" s="6">
        <f ca="1">IFERROR(__xludf.DUMMYFUNCTION("IFERROR(GOOGLEFINANCE(B2212,""pe""),V2212)"),32.6)</f>
        <v>32.6</v>
      </c>
      <c r="X2212" s="12"/>
      <c r="Y2212" s="6">
        <v>4.88</v>
      </c>
      <c r="Z2212" s="6">
        <v>1</v>
      </c>
      <c r="AA2212" s="8">
        <v>45352</v>
      </c>
      <c r="AB2212" s="4">
        <v>0.52</v>
      </c>
      <c r="AC2212" s="6">
        <v>52.92</v>
      </c>
      <c r="AD2212" s="6">
        <v>45.83</v>
      </c>
      <c r="AE2212" s="1">
        <v>0</v>
      </c>
      <c r="AF2212" s="1">
        <f ca="1">IFERROR(__xludf.DUMMYFUNCTION("IFERROR(GOOGLEFINANCE(TRIM(F2212)&amp;"":"" &amp; TRIM(B2212),""high52""),AE2212)"),0)</f>
        <v>0</v>
      </c>
      <c r="AG2212" s="1">
        <v>0</v>
      </c>
      <c r="AH2212" s="1">
        <f ca="1">IFERROR(__xludf.DUMMYFUNCTION("IFERROR(GOOGLEFINANCE(TRIM(F2212)&amp;"":"" &amp; TRIM(B2212),""low52""),AE2212)"),0)</f>
        <v>0</v>
      </c>
      <c r="AI2212" s="1">
        <f ca="1">IFERROR(__xludf.DUMMYFUNCTION("IFERROR(GOOGLEFINANCE(B2212,""eps""),0)"),0)</f>
        <v>0</v>
      </c>
      <c r="AJ2212" s="1"/>
      <c r="AK2212" s="1" t="s">
        <v>6920</v>
      </c>
      <c r="AL2212" s="9">
        <f t="shared" si="233"/>
        <v>1</v>
      </c>
    </row>
    <row r="2213" spans="1:38" ht="15" x14ac:dyDescent="0.25">
      <c r="A2213" s="1" t="s">
        <v>6921</v>
      </c>
      <c r="B2213" s="1" t="s">
        <v>6922</v>
      </c>
      <c r="C2213" s="1" t="s">
        <v>48</v>
      </c>
      <c r="D2213" s="1" t="s">
        <v>48</v>
      </c>
      <c r="E2213" s="6">
        <v>180.96</v>
      </c>
      <c r="F2213" s="1" t="s">
        <v>53</v>
      </c>
      <c r="G2213" s="6">
        <f ca="1">IFERROR(__xludf.DUMMYFUNCTION("iferror(GOOGLEFINANCE(TRIM(F2213)&amp;"":"" &amp; TRIM(B2213), ""price""),0
)"),0)</f>
        <v>0</v>
      </c>
      <c r="H2213" s="6">
        <v>225</v>
      </c>
      <c r="I2213" s="6">
        <f t="shared" ca="1" si="0"/>
        <v>225</v>
      </c>
      <c r="J2213" s="6">
        <f ca="1">IFERROR(__xludf.DUMMYFUNCTION("IFERROR(GOOGLEFINANCE(B2213, ""volume""), 0)"),0)</f>
        <v>0</v>
      </c>
      <c r="K2213" s="9"/>
      <c r="L2213" s="6" t="str">
        <f ca="1">IFERROR(__xludf.DUMMYFUNCTION("IFERROR(GOOGLEFINANCE(B2213,""changepct""),K2213)"),"")</f>
        <v/>
      </c>
      <c r="M2213" s="6">
        <f ca="1">IFERROR(__xludf.DUMMYFUNCTION("IFERROR(GOOGLEFINANCE(B2213,""change""),0)"),0)</f>
        <v>0</v>
      </c>
      <c r="N2213" s="6">
        <v>2</v>
      </c>
      <c r="O2213" s="7">
        <v>45536</v>
      </c>
      <c r="P2213" s="6">
        <v>2.39</v>
      </c>
      <c r="Q2213" s="7">
        <v>45536</v>
      </c>
      <c r="R2213" s="6">
        <v>75.53</v>
      </c>
      <c r="S2213" s="9"/>
      <c r="T2213" s="6">
        <v>12.22</v>
      </c>
      <c r="U2213" s="6">
        <v>2</v>
      </c>
      <c r="V2213" s="7">
        <v>45352</v>
      </c>
      <c r="W2213" s="10">
        <f ca="1">IFERROR(__xludf.DUMMYFUNCTION("IFERROR(GOOGLEFINANCE(B2213,""pe""),V2213)"),45352)</f>
        <v>45352</v>
      </c>
      <c r="X2213" s="6">
        <v>0.25</v>
      </c>
      <c r="Y2213" s="6">
        <v>6.42</v>
      </c>
      <c r="Z2213" s="6">
        <v>10.14</v>
      </c>
      <c r="AA2213" s="3" t="s">
        <v>6923</v>
      </c>
      <c r="AB2213" s="11"/>
      <c r="AC2213" s="9"/>
      <c r="AD2213" s="9"/>
      <c r="AE2213" s="1">
        <v>0</v>
      </c>
      <c r="AF2213" s="1">
        <f ca="1">IFERROR(__xludf.DUMMYFUNCTION("IFERROR(GOOGLEFINANCE(TRIM(F2213)&amp;"":"" &amp; TRIM(B2213),""high52""),AE2213)"),0)</f>
        <v>0</v>
      </c>
      <c r="AG2213" s="1">
        <v>0</v>
      </c>
      <c r="AH2213" s="1">
        <f ca="1">IFERROR(__xludf.DUMMYFUNCTION("IFERROR(GOOGLEFINANCE(TRIM(F2213)&amp;"":"" &amp; TRIM(B2213),""low52""),AE2213)"),0)</f>
        <v>0</v>
      </c>
      <c r="AI2213" s="1">
        <f ca="1">IFERROR(__xludf.DUMMYFUNCTION("IFERROR(GOOGLEFINANCE(B2213,""eps""),0)"),0)</f>
        <v>0</v>
      </c>
      <c r="AJ2213" s="1"/>
      <c r="AK2213" s="1" t="s">
        <v>6924</v>
      </c>
      <c r="AL2213" s="9">
        <f t="shared" si="233"/>
        <v>1</v>
      </c>
    </row>
    <row r="2214" spans="1:38" ht="15" x14ac:dyDescent="0.25">
      <c r="A2214" s="1" t="s">
        <v>6925</v>
      </c>
      <c r="B2214" s="1" t="s">
        <v>6926</v>
      </c>
      <c r="C2214" s="1" t="s">
        <v>324</v>
      </c>
      <c r="D2214" s="1" t="s">
        <v>324</v>
      </c>
      <c r="E2214" s="6">
        <v>557.38</v>
      </c>
      <c r="F2214" s="1" t="s">
        <v>40</v>
      </c>
      <c r="G2214" s="6">
        <f ca="1">IFERROR(__xludf.DUMMYFUNCTION("iferror(GOOGLEFINANCE(TRIM(F2214)&amp;"":"" &amp; TRIM(B2214), ""price""),0
)"),316.55)</f>
        <v>316.55</v>
      </c>
      <c r="H2214" s="6">
        <v>250</v>
      </c>
      <c r="I2214" s="6">
        <f t="shared" ca="1" si="0"/>
        <v>316.55</v>
      </c>
      <c r="J2214" s="6">
        <f ca="1">IFERROR(__xludf.DUMMYFUNCTION("IFERROR(GOOGLEFINANCE(B2214, ""volume""), 0)"),16950)</f>
        <v>16950</v>
      </c>
      <c r="K2214" s="9"/>
      <c r="L2214" s="6">
        <f ca="1">IFERROR(__xludf.DUMMYFUNCTION("IFERROR(GOOGLEFINANCE(B2214,""changepct""),K2214)"),-5.83)</f>
        <v>-5.83</v>
      </c>
      <c r="M2214" s="6">
        <f ca="1">IFERROR(__xludf.DUMMYFUNCTION("IFERROR(GOOGLEFINANCE(B2214,""change""),0)"),-19.6)</f>
        <v>-19.600000000000001</v>
      </c>
      <c r="N2214" s="6">
        <v>1</v>
      </c>
      <c r="O2214" s="7">
        <v>45536</v>
      </c>
      <c r="P2214" s="6">
        <v>6.14</v>
      </c>
      <c r="Q2214" s="6">
        <v>563.52</v>
      </c>
      <c r="R2214" s="7">
        <v>45352</v>
      </c>
      <c r="S2214" s="6">
        <v>102.62</v>
      </c>
      <c r="T2214" s="6">
        <v>9.76</v>
      </c>
      <c r="U2214" s="7">
        <v>45352</v>
      </c>
      <c r="V2214" s="6">
        <v>57.08</v>
      </c>
      <c r="W2214" s="6">
        <f ca="1">IFERROR(__xludf.DUMMYFUNCTION("IFERROR(GOOGLEFINANCE(B2214,""pe""),V2214)"),48.07)</f>
        <v>48.07</v>
      </c>
      <c r="X2214" s="12"/>
      <c r="Y2214" s="6">
        <v>4.5599999999999996</v>
      </c>
      <c r="Z2214" s="6">
        <v>2</v>
      </c>
      <c r="AA2214" s="8">
        <v>45352</v>
      </c>
      <c r="AB2214" s="4">
        <v>0.05</v>
      </c>
      <c r="AC2214" s="6">
        <v>11.27</v>
      </c>
      <c r="AD2214" s="6">
        <v>12.99</v>
      </c>
      <c r="AE2214" s="1">
        <v>0</v>
      </c>
      <c r="AF2214" s="1">
        <f ca="1">IFERROR(__xludf.DUMMYFUNCTION("IFERROR(GOOGLEFINANCE(TRIM(F2214)&amp;"":"" &amp; TRIM(B2214),""high52""),AE2214)"),482.39)</f>
        <v>482.39</v>
      </c>
      <c r="AG2214" s="1">
        <v>0</v>
      </c>
      <c r="AH2214" s="1">
        <f ca="1">IFERROR(__xludf.DUMMYFUNCTION("IFERROR(GOOGLEFINANCE(TRIM(F2214)&amp;"":"" &amp; TRIM(B2214),""low52""),AE2214)"),305.05)</f>
        <v>305.05</v>
      </c>
      <c r="AI2214" s="1">
        <f ca="1">IFERROR(__xludf.DUMMYFUNCTION("IFERROR(GOOGLEFINANCE(B2214,""eps""),0)"),6.59)</f>
        <v>6.59</v>
      </c>
      <c r="AJ2214" s="1"/>
      <c r="AK2214" s="6">
        <v>26.02</v>
      </c>
      <c r="AL2214" s="9">
        <f t="shared" si="233"/>
        <v>1</v>
      </c>
    </row>
    <row r="2215" spans="1:38" ht="15" x14ac:dyDescent="0.25">
      <c r="A2215" s="1" t="s">
        <v>6927</v>
      </c>
      <c r="B2215" s="1" t="s">
        <v>6928</v>
      </c>
      <c r="C2215" s="1" t="s">
        <v>1019</v>
      </c>
      <c r="D2215" s="1" t="s">
        <v>1019</v>
      </c>
      <c r="E2215" s="6">
        <v>1073.2</v>
      </c>
      <c r="F2215" s="1" t="s">
        <v>40</v>
      </c>
      <c r="G2215" s="6">
        <f ca="1">IFERROR(__xludf.DUMMYFUNCTION("iferror(GOOGLEFINANCE(TRIM(F2215)&amp;"":"" &amp; TRIM(B2215), ""price""),0
)"),989)</f>
        <v>989</v>
      </c>
      <c r="H2215" s="6">
        <v>769</v>
      </c>
      <c r="I2215" s="6">
        <f t="shared" ca="1" si="0"/>
        <v>989</v>
      </c>
      <c r="J2215" s="6">
        <f ca="1">IFERROR(__xludf.DUMMYFUNCTION("IFERROR(GOOGLEFINANCE(B2215, ""volume""), 0)"),189914)</f>
        <v>189914</v>
      </c>
      <c r="K2215" s="6">
        <v>0.74</v>
      </c>
      <c r="L2215" s="6">
        <f ca="1">IFERROR(__xludf.DUMMYFUNCTION("IFERROR(GOOGLEFINANCE(B2215,""changepct""),K2215)"),-1.37)</f>
        <v>-1.37</v>
      </c>
      <c r="M2215" s="6">
        <f ca="1">IFERROR(__xludf.DUMMYFUNCTION("IFERROR(GOOGLEFINANCE(B2215,""change""),0)"),-13.7)</f>
        <v>-13.7</v>
      </c>
      <c r="N2215" s="6">
        <v>1</v>
      </c>
      <c r="O2215" s="7">
        <v>45536</v>
      </c>
      <c r="P2215" s="6">
        <v>13.17</v>
      </c>
      <c r="Q2215" s="6">
        <v>1086.3699999999999</v>
      </c>
      <c r="R2215" s="7">
        <v>45352</v>
      </c>
      <c r="S2215" s="6">
        <v>106.43</v>
      </c>
      <c r="T2215" s="6">
        <v>9.7899999999999991</v>
      </c>
      <c r="U2215" s="7">
        <v>45352</v>
      </c>
      <c r="V2215" s="6">
        <v>109.63</v>
      </c>
      <c r="W2215" s="6">
        <f ca="1">IFERROR(__xludf.DUMMYFUNCTION("IFERROR(GOOGLEFINANCE(B2215,""pe""),V2215)"),48.09)</f>
        <v>48.09</v>
      </c>
      <c r="X2215" s="9"/>
      <c r="Y2215" s="6">
        <v>10.36</v>
      </c>
      <c r="Z2215" s="6">
        <v>2</v>
      </c>
      <c r="AA2215" s="8">
        <v>45352</v>
      </c>
      <c r="AB2215" s="4">
        <v>0.1</v>
      </c>
      <c r="AC2215" s="6">
        <v>14.47</v>
      </c>
      <c r="AD2215" s="6">
        <v>17</v>
      </c>
      <c r="AE2215" s="1">
        <v>0</v>
      </c>
      <c r="AF2215" s="1">
        <f ca="1">IFERROR(__xludf.DUMMYFUNCTION("IFERROR(GOOGLEFINANCE(TRIM(F2215)&amp;"":"" &amp; TRIM(B2215),""high52""),AE2215)"),1178.9)</f>
        <v>1178.9000000000001</v>
      </c>
      <c r="AG2215" s="1">
        <v>0</v>
      </c>
      <c r="AH2215" s="1">
        <f ca="1">IFERROR(__xludf.DUMMYFUNCTION("IFERROR(GOOGLEFINANCE(TRIM(F2215)&amp;"":"" &amp; TRIM(B2215),""low52""),AE2215)"),785)</f>
        <v>785</v>
      </c>
      <c r="AI2215" s="1">
        <f ca="1">IFERROR(__xludf.DUMMYFUNCTION("IFERROR(GOOGLEFINANCE(B2215,""eps""),0)"),20.57)</f>
        <v>20.57</v>
      </c>
      <c r="AJ2215" s="1"/>
      <c r="AK2215" s="9"/>
      <c r="AL2215" s="9">
        <f t="shared" si="233"/>
        <v>1</v>
      </c>
    </row>
    <row r="2216" spans="1:38" ht="15" x14ac:dyDescent="0.25">
      <c r="A2216" s="1" t="s">
        <v>6929</v>
      </c>
      <c r="B2216" s="1" t="s">
        <v>6930</v>
      </c>
      <c r="C2216" s="1" t="s">
        <v>75</v>
      </c>
      <c r="D2216" s="1" t="s">
        <v>75</v>
      </c>
      <c r="E2216" s="6">
        <v>7.41</v>
      </c>
      <c r="F2216" s="1" t="s">
        <v>53</v>
      </c>
      <c r="G2216" s="6">
        <f ca="1">IFERROR(__xludf.DUMMYFUNCTION("iferror(GOOGLEFINANCE(TRIM(F2216)&amp;"":"" &amp; TRIM(B2216), ""price""),0
)"),0)</f>
        <v>0</v>
      </c>
      <c r="H2216" s="6">
        <v>25.93</v>
      </c>
      <c r="I2216" s="6">
        <f t="shared" ca="1" si="0"/>
        <v>25.93</v>
      </c>
      <c r="J2216" s="6">
        <f ca="1">IFERROR(__xludf.DUMMYFUNCTION("IFERROR(GOOGLEFINANCE(B2216, ""volume""), 0)"),0)</f>
        <v>0</v>
      </c>
      <c r="K2216" s="6">
        <v>4.9800000000000004</v>
      </c>
      <c r="L2216" s="6">
        <f ca="1">IFERROR(__xludf.DUMMYFUNCTION("IFERROR(GOOGLEFINANCE(B2216,""changepct""),K2216)"),4.98)</f>
        <v>4.9800000000000004</v>
      </c>
      <c r="M2216" s="6">
        <f ca="1">IFERROR(__xludf.DUMMYFUNCTION("IFERROR(GOOGLEFINANCE(B2216,""change""),0)"),0)</f>
        <v>0</v>
      </c>
      <c r="N2216" s="6">
        <v>1</v>
      </c>
      <c r="O2216" s="7">
        <v>45536</v>
      </c>
      <c r="P2216" s="6">
        <v>-0.21</v>
      </c>
      <c r="Q2216" s="7">
        <v>45536</v>
      </c>
      <c r="R2216" s="6">
        <v>0</v>
      </c>
      <c r="S2216" s="6">
        <v>0</v>
      </c>
      <c r="T2216" s="6">
        <v>0.5</v>
      </c>
      <c r="U2216" s="6">
        <v>1</v>
      </c>
      <c r="V2216" s="7">
        <v>45352</v>
      </c>
      <c r="W2216" s="10">
        <f ca="1">IFERROR(__xludf.DUMMYFUNCTION("IFERROR(GOOGLEFINANCE(B2216,""pe""),V2216)"),45352)</f>
        <v>45352</v>
      </c>
      <c r="X2216" s="6">
        <v>0</v>
      </c>
      <c r="Y2216" s="6">
        <v>3.4</v>
      </c>
      <c r="Z2216" s="6">
        <v>3.56</v>
      </c>
      <c r="AA2216" s="3" t="s">
        <v>6931</v>
      </c>
      <c r="AB2216" s="11"/>
      <c r="AC2216" s="9"/>
      <c r="AD2216" s="9"/>
      <c r="AE2216" s="1">
        <v>0</v>
      </c>
      <c r="AF2216" s="1">
        <f ca="1">IFERROR(__xludf.DUMMYFUNCTION("IFERROR(GOOGLEFINANCE(TRIM(F2216)&amp;"":"" &amp; TRIM(B2216),""high52""),AE2216)"),0)</f>
        <v>0</v>
      </c>
      <c r="AG2216" s="1">
        <v>0</v>
      </c>
      <c r="AH2216" s="1">
        <f ca="1">IFERROR(__xludf.DUMMYFUNCTION("IFERROR(GOOGLEFINANCE(TRIM(F2216)&amp;"":"" &amp; TRIM(B2216),""low52""),AE2216)"),0)</f>
        <v>0</v>
      </c>
      <c r="AI2216" s="1">
        <f ca="1">IFERROR(__xludf.DUMMYFUNCTION("IFERROR(GOOGLEFINANCE(B2216,""eps""),0)"),0)</f>
        <v>0</v>
      </c>
      <c r="AJ2216" s="1"/>
      <c r="AK2216" s="1" t="s">
        <v>6932</v>
      </c>
      <c r="AL2216" s="9">
        <f t="shared" si="233"/>
        <v>1</v>
      </c>
    </row>
    <row r="2217" spans="1:38" ht="15" x14ac:dyDescent="0.25">
      <c r="A2217" s="1" t="s">
        <v>6933</v>
      </c>
      <c r="B2217" s="1" t="s">
        <v>6934</v>
      </c>
      <c r="C2217" s="1" t="s">
        <v>163</v>
      </c>
      <c r="D2217" s="1" t="s">
        <v>163</v>
      </c>
      <c r="E2217" s="6">
        <v>24586.54</v>
      </c>
      <c r="F2217" s="1" t="s">
        <v>40</v>
      </c>
      <c r="G2217" s="6">
        <f ca="1">IFERROR(__xludf.DUMMYFUNCTION("iferror(GOOGLEFINANCE(TRIM(F2217)&amp;"":"" &amp; TRIM(B2217), ""price""),0
)"),590)</f>
        <v>590</v>
      </c>
      <c r="H2217" s="6">
        <v>627.15</v>
      </c>
      <c r="I2217" s="6">
        <f t="shared" ca="1" si="0"/>
        <v>590</v>
      </c>
      <c r="J2217" s="6">
        <f ca="1">IFERROR(__xludf.DUMMYFUNCTION("IFERROR(GOOGLEFINANCE(B2217, ""volume""), 0)"),502603)</f>
        <v>502603</v>
      </c>
      <c r="K2217" s="6">
        <v>2.16</v>
      </c>
      <c r="L2217" s="6">
        <f ca="1">IFERROR(__xludf.DUMMYFUNCTION("IFERROR(GOOGLEFINANCE(B2217,""changepct""),K2217)"),-0.6)</f>
        <v>-0.6</v>
      </c>
      <c r="M2217" s="6">
        <f ca="1">IFERROR(__xludf.DUMMYFUNCTION("IFERROR(GOOGLEFINANCE(B2217,""change""),0)"),-3.55)</f>
        <v>-3.55</v>
      </c>
      <c r="N2217" s="6">
        <v>2</v>
      </c>
      <c r="O2217" s="7">
        <v>45536</v>
      </c>
      <c r="P2217" s="6">
        <v>1454</v>
      </c>
      <c r="Q2217" s="6">
        <v>25963.64</v>
      </c>
      <c r="R2217" s="7">
        <v>45536</v>
      </c>
      <c r="S2217" s="6">
        <v>2705.33</v>
      </c>
      <c r="T2217" s="6">
        <v>364.19</v>
      </c>
      <c r="U2217" s="7">
        <v>45536</v>
      </c>
      <c r="V2217" s="6">
        <v>74.209999999999994</v>
      </c>
      <c r="W2217" s="6">
        <f ca="1">IFERROR(__xludf.DUMMYFUNCTION("IFERROR(GOOGLEFINANCE(B2217,""pe""),V2217)"),70.29)</f>
        <v>70.290000000000006</v>
      </c>
      <c r="X2217" s="9"/>
      <c r="Y2217" s="6">
        <v>12.28</v>
      </c>
      <c r="Z2217" s="6">
        <v>2</v>
      </c>
      <c r="AA2217" s="8">
        <v>45352</v>
      </c>
      <c r="AB2217" s="4">
        <v>0.56999999999999995</v>
      </c>
      <c r="AC2217" s="6">
        <v>19.21</v>
      </c>
      <c r="AD2217" s="6">
        <v>20.260000000000002</v>
      </c>
      <c r="AE2217" s="1">
        <v>0</v>
      </c>
      <c r="AF2217" s="1">
        <f ca="1">IFERROR(__xludf.DUMMYFUNCTION("IFERROR(GOOGLEFINANCE(TRIM(F2217)&amp;"":"" &amp; TRIM(B2217),""high52""),AE2217)"),798.4)</f>
        <v>798.4</v>
      </c>
      <c r="AG2217" s="1">
        <v>0</v>
      </c>
      <c r="AH2217" s="1">
        <f ca="1">IFERROR(__xludf.DUMMYFUNCTION("IFERROR(GOOGLEFINANCE(TRIM(F2217)&amp;"":"" &amp; TRIM(B2217),""low52""),AE2217)"),474.05)</f>
        <v>474.05</v>
      </c>
      <c r="AI2217" s="1">
        <f ca="1">IFERROR(__xludf.DUMMYFUNCTION("IFERROR(GOOGLEFINANCE(B2217,""eps""),0)"),8.39)</f>
        <v>8.39</v>
      </c>
      <c r="AJ2217" s="1"/>
      <c r="AK2217" s="1" t="s">
        <v>6935</v>
      </c>
      <c r="AL2217" s="9">
        <f t="shared" si="233"/>
        <v>1</v>
      </c>
    </row>
    <row r="2218" spans="1:38" ht="15" x14ac:dyDescent="0.25">
      <c r="A2218" s="1" t="s">
        <v>6936</v>
      </c>
      <c r="B2218" s="1" t="s">
        <v>6937</v>
      </c>
      <c r="C2218" s="1" t="s">
        <v>75</v>
      </c>
      <c r="D2218" s="1" t="s">
        <v>75</v>
      </c>
      <c r="E2218" s="6">
        <v>9.9600000000000009</v>
      </c>
      <c r="F2218" s="1" t="s">
        <v>53</v>
      </c>
      <c r="G2218" s="6">
        <f ca="1">IFERROR(__xludf.DUMMYFUNCTION("iferror(GOOGLEFINANCE(TRIM(F2218)&amp;"":"" &amp; TRIM(B2218), ""price""),0
)"),0)</f>
        <v>0</v>
      </c>
      <c r="H2218" s="6">
        <v>5.54</v>
      </c>
      <c r="I2218" s="6">
        <f t="shared" ca="1" si="0"/>
        <v>5.54</v>
      </c>
      <c r="J2218" s="6">
        <f ca="1">IFERROR(__xludf.DUMMYFUNCTION("IFERROR(GOOGLEFINANCE(B2218, ""volume""), 0)"),0)</f>
        <v>0</v>
      </c>
      <c r="K2218" s="6">
        <v>1.84</v>
      </c>
      <c r="L2218" s="6">
        <f ca="1">IFERROR(__xludf.DUMMYFUNCTION("IFERROR(GOOGLEFINANCE(B2218,""changepct""),K2218)"),1.84)</f>
        <v>1.84</v>
      </c>
      <c r="M2218" s="6">
        <f ca="1">IFERROR(__xludf.DUMMYFUNCTION("IFERROR(GOOGLEFINANCE(B2218,""change""),0)"),0)</f>
        <v>0</v>
      </c>
      <c r="N2218" s="6">
        <v>1</v>
      </c>
      <c r="O2218" s="7">
        <v>45536</v>
      </c>
      <c r="P2218" s="6">
        <v>-0.36</v>
      </c>
      <c r="Q2218" s="7">
        <v>45536</v>
      </c>
      <c r="R2218" s="6">
        <v>0</v>
      </c>
      <c r="S2218" s="6">
        <v>0</v>
      </c>
      <c r="T2218" s="6">
        <v>3.77</v>
      </c>
      <c r="U2218" s="6">
        <v>1</v>
      </c>
      <c r="V2218" s="7">
        <v>45352</v>
      </c>
      <c r="W2218" s="10">
        <f ca="1">IFERROR(__xludf.DUMMYFUNCTION("IFERROR(GOOGLEFINANCE(B2218,""pe""),V2218)"),45352)</f>
        <v>45352</v>
      </c>
      <c r="X2218" s="6">
        <v>0</v>
      </c>
      <c r="Y2218" s="6">
        <v>-3.16</v>
      </c>
      <c r="Z2218" s="6">
        <v>-4.26</v>
      </c>
      <c r="AA2218" s="3" t="s">
        <v>6938</v>
      </c>
      <c r="AB2218" s="11"/>
      <c r="AC2218" s="9"/>
      <c r="AD2218" s="9"/>
      <c r="AE2218" s="1">
        <v>0</v>
      </c>
      <c r="AF2218" s="1">
        <f ca="1">IFERROR(__xludf.DUMMYFUNCTION("IFERROR(GOOGLEFINANCE(TRIM(F2218)&amp;"":"" &amp; TRIM(B2218),""high52""),AE2218)"),0)</f>
        <v>0</v>
      </c>
      <c r="AG2218" s="1">
        <v>0</v>
      </c>
      <c r="AH2218" s="1">
        <f ca="1">IFERROR(__xludf.DUMMYFUNCTION("IFERROR(GOOGLEFINANCE(TRIM(F2218)&amp;"":"" &amp; TRIM(B2218),""low52""),AE2218)"),0)</f>
        <v>0</v>
      </c>
      <c r="AI2218" s="1">
        <f ca="1">IFERROR(__xludf.DUMMYFUNCTION("IFERROR(GOOGLEFINANCE(B2218,""eps""),0)"),0)</f>
        <v>0</v>
      </c>
      <c r="AJ2218" s="1"/>
      <c r="AK2218" s="9"/>
      <c r="AL2218" s="9">
        <f t="shared" si="233"/>
        <v>1</v>
      </c>
    </row>
    <row r="2219" spans="1:38" ht="15" x14ac:dyDescent="0.25">
      <c r="A2219" s="1" t="s">
        <v>6939</v>
      </c>
      <c r="B2219" s="1" t="s">
        <v>6940</v>
      </c>
      <c r="C2219" s="1" t="s">
        <v>75</v>
      </c>
      <c r="D2219" s="1" t="s">
        <v>75</v>
      </c>
      <c r="E2219" s="6">
        <v>12</v>
      </c>
      <c r="F2219" s="1" t="s">
        <v>53</v>
      </c>
      <c r="G2219" s="6">
        <f ca="1">IFERROR(__xludf.DUMMYFUNCTION("iferror(GOOGLEFINANCE(TRIM(F2219)&amp;"":"" &amp; TRIM(B2219), ""price""),0
)"),0)</f>
        <v>0</v>
      </c>
      <c r="H2219" s="6">
        <v>1.66</v>
      </c>
      <c r="I2219" s="6">
        <f t="shared" ca="1" si="0"/>
        <v>1.66</v>
      </c>
      <c r="J2219" s="6">
        <f ca="1">IFERROR(__xludf.DUMMYFUNCTION("IFERROR(GOOGLEFINANCE(B2219, ""volume""), 0)"),0)</f>
        <v>0</v>
      </c>
      <c r="K2219" s="6">
        <v>4.4000000000000004</v>
      </c>
      <c r="L2219" s="6">
        <f ca="1">IFERROR(__xludf.DUMMYFUNCTION("IFERROR(GOOGLEFINANCE(B2219,""changepct""),K2219)"),4.4)</f>
        <v>4.4000000000000004</v>
      </c>
      <c r="M2219" s="6">
        <f ca="1">IFERROR(__xludf.DUMMYFUNCTION("IFERROR(GOOGLEFINANCE(B2219,""change""),0)"),0)</f>
        <v>0</v>
      </c>
      <c r="N2219" s="6">
        <v>1</v>
      </c>
      <c r="O2219" s="7">
        <v>45536</v>
      </c>
      <c r="P2219" s="6">
        <v>-0.36</v>
      </c>
      <c r="Q2219" s="7">
        <v>45536</v>
      </c>
      <c r="R2219" s="6">
        <v>0</v>
      </c>
      <c r="S2219" s="9"/>
      <c r="T2219" s="6">
        <v>1.99</v>
      </c>
      <c r="U2219" s="6">
        <v>1</v>
      </c>
      <c r="V2219" s="7">
        <v>45352</v>
      </c>
      <c r="W2219" s="10">
        <f ca="1">IFERROR(__xludf.DUMMYFUNCTION("IFERROR(GOOGLEFINANCE(B2219,""pe""),V2219)"),45352)</f>
        <v>45352</v>
      </c>
      <c r="X2219" s="6">
        <v>0</v>
      </c>
      <c r="Y2219" s="6">
        <v>-0.41</v>
      </c>
      <c r="Z2219" s="6">
        <v>-0.41</v>
      </c>
      <c r="AA2219" s="3" t="s">
        <v>6941</v>
      </c>
      <c r="AB2219" s="11"/>
      <c r="AC2219" s="9"/>
      <c r="AD2219" s="9"/>
      <c r="AE2219" s="1">
        <v>0</v>
      </c>
      <c r="AF2219" s="1">
        <f ca="1">IFERROR(__xludf.DUMMYFUNCTION("IFERROR(GOOGLEFINANCE(TRIM(F2219)&amp;"":"" &amp; TRIM(B2219),""high52""),AE2219)"),0)</f>
        <v>0</v>
      </c>
      <c r="AG2219" s="1">
        <v>0</v>
      </c>
      <c r="AH2219" s="1">
        <f ca="1">IFERROR(__xludf.DUMMYFUNCTION("IFERROR(GOOGLEFINANCE(TRIM(F2219)&amp;"":"" &amp; TRIM(B2219),""low52""),AE2219)"),0)</f>
        <v>0</v>
      </c>
      <c r="AI2219" s="1">
        <f ca="1">IFERROR(__xludf.DUMMYFUNCTION("IFERROR(GOOGLEFINANCE(B2219,""eps""),0)"),0)</f>
        <v>0</v>
      </c>
      <c r="AJ2219" s="1"/>
      <c r="AK2219" s="1" t="s">
        <v>6942</v>
      </c>
      <c r="AL2219" s="9">
        <f t="shared" si="233"/>
        <v>1</v>
      </c>
    </row>
    <row r="2220" spans="1:38" ht="15" x14ac:dyDescent="0.25">
      <c r="A2220" s="1" t="s">
        <v>6943</v>
      </c>
      <c r="B2220" s="1" t="s">
        <v>6944</v>
      </c>
      <c r="C2220" s="1" t="s">
        <v>75</v>
      </c>
      <c r="D2220" s="1" t="s">
        <v>75</v>
      </c>
      <c r="E2220" s="6">
        <v>19.12</v>
      </c>
      <c r="F2220" s="1" t="s">
        <v>53</v>
      </c>
      <c r="G2220" s="6">
        <f ca="1">IFERROR(__xludf.DUMMYFUNCTION("iferror(GOOGLEFINANCE(TRIM(F2220)&amp;"":"" &amp; TRIM(B2220), ""price""),0
)"),0)</f>
        <v>0</v>
      </c>
      <c r="H2220" s="6">
        <v>47.8</v>
      </c>
      <c r="I2220" s="6">
        <f t="shared" ca="1" si="0"/>
        <v>47.8</v>
      </c>
      <c r="J2220" s="6">
        <f ca="1">IFERROR(__xludf.DUMMYFUNCTION("IFERROR(GOOGLEFINANCE(B2220, ""volume""), 0)"),0)</f>
        <v>0</v>
      </c>
      <c r="K2220" s="9"/>
      <c r="L2220" s="6" t="str">
        <f ca="1">IFERROR(__xludf.DUMMYFUNCTION("IFERROR(GOOGLEFINANCE(B2220,""changepct""),K2220)"),"")</f>
        <v/>
      </c>
      <c r="M2220" s="6">
        <f ca="1">IFERROR(__xludf.DUMMYFUNCTION("IFERROR(GOOGLEFINANCE(B2220,""change""),0)"),0)</f>
        <v>0</v>
      </c>
      <c r="N2220" s="6">
        <v>1</v>
      </c>
      <c r="O2220" s="7">
        <v>45261</v>
      </c>
      <c r="P2220" s="6">
        <v>-0.08</v>
      </c>
      <c r="Q2220" s="7">
        <v>45352</v>
      </c>
      <c r="R2220" s="6">
        <v>0</v>
      </c>
      <c r="S2220" s="6">
        <v>0</v>
      </c>
      <c r="T2220" s="6">
        <v>3.23</v>
      </c>
      <c r="U2220" s="6">
        <v>1</v>
      </c>
      <c r="V2220" s="7">
        <v>45352</v>
      </c>
      <c r="W2220" s="10">
        <f ca="1">IFERROR(__xludf.DUMMYFUNCTION("IFERROR(GOOGLEFINANCE(B2220,""pe""),V2220)"),45352)</f>
        <v>45352</v>
      </c>
      <c r="X2220" s="6">
        <v>0.3</v>
      </c>
      <c r="Y2220" s="6">
        <v>-5.82</v>
      </c>
      <c r="Z2220" s="6">
        <v>-3.26</v>
      </c>
      <c r="AA2220" s="3" t="s">
        <v>6945</v>
      </c>
      <c r="AB2220" s="11"/>
      <c r="AC2220" s="9"/>
      <c r="AD2220" s="9"/>
      <c r="AE2220" s="1">
        <v>0</v>
      </c>
      <c r="AF2220" s="1">
        <f ca="1">IFERROR(__xludf.DUMMYFUNCTION("IFERROR(GOOGLEFINANCE(TRIM(F2220)&amp;"":"" &amp; TRIM(B2220),""high52""),AE2220)"),0)</f>
        <v>0</v>
      </c>
      <c r="AG2220" s="1">
        <v>0</v>
      </c>
      <c r="AH2220" s="1">
        <f ca="1">IFERROR(__xludf.DUMMYFUNCTION("IFERROR(GOOGLEFINANCE(TRIM(F2220)&amp;"":"" &amp; TRIM(B2220),""low52""),AE2220)"),0)</f>
        <v>0</v>
      </c>
      <c r="AI2220" s="1">
        <f ca="1">IFERROR(__xludf.DUMMYFUNCTION("IFERROR(GOOGLEFINANCE(B2220,""eps""),0)"),0)</f>
        <v>0</v>
      </c>
      <c r="AJ2220" s="1"/>
      <c r="AK2220" s="1" t="s">
        <v>6946</v>
      </c>
      <c r="AL2220" s="9">
        <f t="shared" si="233"/>
        <v>1</v>
      </c>
    </row>
    <row r="2221" spans="1:38" ht="15" x14ac:dyDescent="0.25">
      <c r="A2221" s="1" t="s">
        <v>6947</v>
      </c>
      <c r="B2221" s="1" t="s">
        <v>6948</v>
      </c>
      <c r="C2221" s="1" t="s">
        <v>82</v>
      </c>
      <c r="D2221" s="1" t="s">
        <v>82</v>
      </c>
      <c r="E2221" s="6">
        <v>808.29</v>
      </c>
      <c r="F2221" s="1" t="s">
        <v>40</v>
      </c>
      <c r="G2221" s="6">
        <f ca="1">IFERROR(__xludf.DUMMYFUNCTION("iferror(GOOGLEFINANCE(TRIM(F2221)&amp;"":"" &amp; TRIM(B2221), ""price""),0
)"),74)</f>
        <v>74</v>
      </c>
      <c r="H2221" s="6">
        <v>162</v>
      </c>
      <c r="I2221" s="6">
        <f t="shared" ca="1" si="0"/>
        <v>74</v>
      </c>
      <c r="J2221" s="6">
        <f ca="1">IFERROR(__xludf.DUMMYFUNCTION("IFERROR(GOOGLEFINANCE(B2221, ""volume""), 0)"),8991)</f>
        <v>8991</v>
      </c>
      <c r="K2221" s="6">
        <v>0.1</v>
      </c>
      <c r="L2221" s="6">
        <f ca="1">IFERROR(__xludf.DUMMYFUNCTION("IFERROR(GOOGLEFINANCE(B2221,""changepct""),K2221)"),-3.88)</f>
        <v>-3.88</v>
      </c>
      <c r="M2221" s="6">
        <f ca="1">IFERROR(__xludf.DUMMYFUNCTION("IFERROR(GOOGLEFINANCE(B2221,""change""),0)"),-2.99)</f>
        <v>-2.99</v>
      </c>
      <c r="N2221" s="6">
        <v>2</v>
      </c>
      <c r="O2221" s="7">
        <v>45536</v>
      </c>
      <c r="P2221" s="6">
        <v>136.91</v>
      </c>
      <c r="Q2221" s="6">
        <v>920.26</v>
      </c>
      <c r="R2221" s="7">
        <v>45536</v>
      </c>
      <c r="S2221" s="6">
        <v>811.94</v>
      </c>
      <c r="T2221" s="6">
        <v>21.72</v>
      </c>
      <c r="U2221" s="7">
        <v>45536</v>
      </c>
      <c r="V2221" s="6">
        <v>37.020000000000003</v>
      </c>
      <c r="W2221" s="6">
        <f ca="1">IFERROR(__xludf.DUMMYFUNCTION("IFERROR(GOOGLEFINANCE(B2221,""pe""),V2221)"),37.02)</f>
        <v>37.020000000000003</v>
      </c>
      <c r="X2221" s="6">
        <v>1.25</v>
      </c>
      <c r="Y2221" s="6">
        <v>4.08</v>
      </c>
      <c r="Z2221" s="6">
        <v>2</v>
      </c>
      <c r="AA2221" s="8">
        <v>45352</v>
      </c>
      <c r="AB2221" s="4">
        <v>0.83</v>
      </c>
      <c r="AC2221" s="6">
        <v>15.52</v>
      </c>
      <c r="AD2221" s="6">
        <v>19.38</v>
      </c>
      <c r="AE2221" s="1">
        <v>0</v>
      </c>
      <c r="AF2221" s="1">
        <f ca="1">IFERROR(__xludf.DUMMYFUNCTION("IFERROR(GOOGLEFINANCE(TRIM(F2221)&amp;"":"" &amp; TRIM(B2221),""high52""),AE2221)"),177.51)</f>
        <v>177.51</v>
      </c>
      <c r="AG2221" s="1">
        <v>0</v>
      </c>
      <c r="AH2221" s="1">
        <f ca="1">IFERROR(__xludf.DUMMYFUNCTION("IFERROR(GOOGLEFINANCE(TRIM(F2221)&amp;"":"" &amp; TRIM(B2221),""low52""),AE2221)"),72)</f>
        <v>72</v>
      </c>
      <c r="AI2221" s="1">
        <f ca="1">IFERROR(__xludf.DUMMYFUNCTION("IFERROR(GOOGLEFINANCE(B2221,""eps""),0)"),-3.53)</f>
        <v>-3.53</v>
      </c>
      <c r="AJ2221" s="1"/>
      <c r="AK2221" s="1" t="s">
        <v>6949</v>
      </c>
      <c r="AL2221" s="9">
        <f t="shared" si="233"/>
        <v>1</v>
      </c>
    </row>
    <row r="2222" spans="1:38" ht="15" x14ac:dyDescent="0.25">
      <c r="A2222" s="1" t="s">
        <v>6950</v>
      </c>
      <c r="B2222" s="1" t="s">
        <v>6951</v>
      </c>
      <c r="C2222" s="1" t="s">
        <v>75</v>
      </c>
      <c r="D2222" s="1" t="s">
        <v>75</v>
      </c>
      <c r="E2222" s="6">
        <v>21.09</v>
      </c>
      <c r="F2222" s="1" t="s">
        <v>53</v>
      </c>
      <c r="G2222" s="6">
        <f ca="1">IFERROR(__xludf.DUMMYFUNCTION("iferror(GOOGLEFINANCE(TRIM(F2222)&amp;"":"" &amp; TRIM(B2222), ""price""),0
)"),0)</f>
        <v>0</v>
      </c>
      <c r="H2222" s="6">
        <v>1.1299999999999999</v>
      </c>
      <c r="I2222" s="6">
        <f t="shared" ca="1" si="0"/>
        <v>1.1299999999999999</v>
      </c>
      <c r="J2222" s="6">
        <f ca="1">IFERROR(__xludf.DUMMYFUNCTION("IFERROR(GOOGLEFINANCE(B2222, ""volume""), 0)"),0)</f>
        <v>0</v>
      </c>
      <c r="K2222" s="6">
        <v>1.8</v>
      </c>
      <c r="L2222" s="6">
        <f ca="1">IFERROR(__xludf.DUMMYFUNCTION("IFERROR(GOOGLEFINANCE(B2222,""changepct""),K2222)"),1.8)</f>
        <v>1.8</v>
      </c>
      <c r="M2222" s="6">
        <f ca="1">IFERROR(__xludf.DUMMYFUNCTION("IFERROR(GOOGLEFINANCE(B2222,""change""),0)"),0)</f>
        <v>0</v>
      </c>
      <c r="N2222" s="6">
        <v>1</v>
      </c>
      <c r="O2222" s="7">
        <v>45536</v>
      </c>
      <c r="P2222" s="6">
        <v>-0.11</v>
      </c>
      <c r="Q2222" s="7">
        <v>45536</v>
      </c>
      <c r="R2222" s="6">
        <v>0</v>
      </c>
      <c r="S2222" s="6">
        <v>0</v>
      </c>
      <c r="T2222" s="6">
        <v>0.91</v>
      </c>
      <c r="U2222" s="6">
        <v>1</v>
      </c>
      <c r="V2222" s="7">
        <v>45352</v>
      </c>
      <c r="W2222" s="10">
        <f ca="1">IFERROR(__xludf.DUMMYFUNCTION("IFERROR(GOOGLEFINANCE(B2222,""pe""),V2222)"),45352)</f>
        <v>45352</v>
      </c>
      <c r="X2222" s="6">
        <v>0.3</v>
      </c>
      <c r="Y2222" s="6">
        <v>-2.79</v>
      </c>
      <c r="Z2222" s="6">
        <v>-2.2000000000000002</v>
      </c>
      <c r="AA2222" s="3" t="s">
        <v>6952</v>
      </c>
      <c r="AB2222" s="11"/>
      <c r="AC2222" s="9"/>
      <c r="AD2222" s="9"/>
      <c r="AE2222" s="1">
        <v>0</v>
      </c>
      <c r="AF2222" s="1">
        <f ca="1">IFERROR(__xludf.DUMMYFUNCTION("IFERROR(GOOGLEFINANCE(TRIM(F2222)&amp;"":"" &amp; TRIM(B2222),""high52""),AE2222)"),0)</f>
        <v>0</v>
      </c>
      <c r="AG2222" s="1">
        <v>0</v>
      </c>
      <c r="AH2222" s="1">
        <f ca="1">IFERROR(__xludf.DUMMYFUNCTION("IFERROR(GOOGLEFINANCE(TRIM(F2222)&amp;"":"" &amp; TRIM(B2222),""low52""),AE2222)"),0)</f>
        <v>0</v>
      </c>
      <c r="AI2222" s="1">
        <f ca="1">IFERROR(__xludf.DUMMYFUNCTION("IFERROR(GOOGLEFINANCE(B2222,""eps""),0)"),0)</f>
        <v>0</v>
      </c>
      <c r="AJ2222" s="1"/>
      <c r="AK2222" s="1" t="s">
        <v>6953</v>
      </c>
      <c r="AL2222" s="9">
        <f t="shared" si="233"/>
        <v>1</v>
      </c>
    </row>
    <row r="2223" spans="1:38" ht="15" x14ac:dyDescent="0.25">
      <c r="A2223" s="1" t="s">
        <v>6954</v>
      </c>
      <c r="B2223" s="1" t="s">
        <v>6955</v>
      </c>
      <c r="C2223" s="1" t="s">
        <v>75</v>
      </c>
      <c r="D2223" s="1" t="s">
        <v>75</v>
      </c>
      <c r="E2223" s="6">
        <v>88.88</v>
      </c>
      <c r="F2223" s="1" t="s">
        <v>53</v>
      </c>
      <c r="G2223" s="6">
        <f ca="1">IFERROR(__xludf.DUMMYFUNCTION("iferror(GOOGLEFINANCE(TRIM(F2223)&amp;"":"" &amp; TRIM(B2223), ""price""),0
)"),0)</f>
        <v>0</v>
      </c>
      <c r="H2223" s="6">
        <v>101.81</v>
      </c>
      <c r="I2223" s="6">
        <f t="shared" ca="1" si="0"/>
        <v>101.81</v>
      </c>
      <c r="J2223" s="6">
        <f ca="1">IFERROR(__xludf.DUMMYFUNCTION("IFERROR(GOOGLEFINANCE(B2223, ""volume""), 0)"),0)</f>
        <v>0</v>
      </c>
      <c r="K2223" s="6">
        <v>4.99</v>
      </c>
      <c r="L2223" s="6">
        <f ca="1">IFERROR(__xludf.DUMMYFUNCTION("IFERROR(GOOGLEFINANCE(B2223,""changepct""),K2223)"),4.99)</f>
        <v>4.99</v>
      </c>
      <c r="M2223" s="6">
        <f ca="1">IFERROR(__xludf.DUMMYFUNCTION("IFERROR(GOOGLEFINANCE(B2223,""change""),0)"),0)</f>
        <v>0</v>
      </c>
      <c r="N2223" s="6">
        <v>1</v>
      </c>
      <c r="O2223" s="7">
        <v>45536</v>
      </c>
      <c r="P2223" s="6">
        <v>-0.19</v>
      </c>
      <c r="Q2223" s="7">
        <v>45536</v>
      </c>
      <c r="R2223" s="6">
        <v>0</v>
      </c>
      <c r="S2223" s="9"/>
      <c r="T2223" s="6">
        <v>15.4</v>
      </c>
      <c r="U2223" s="6">
        <v>1</v>
      </c>
      <c r="V2223" s="7">
        <v>45352</v>
      </c>
      <c r="W2223" s="10">
        <f ca="1">IFERROR(__xludf.DUMMYFUNCTION("IFERROR(GOOGLEFINANCE(B2223,""pe""),V2223)"),45352)</f>
        <v>45352</v>
      </c>
      <c r="X2223" s="6">
        <v>0.01</v>
      </c>
      <c r="Y2223" s="6">
        <v>-4.2</v>
      </c>
      <c r="Z2223" s="6">
        <v>-4.0199999999999996</v>
      </c>
      <c r="AA2223" s="3" t="s">
        <v>6956</v>
      </c>
      <c r="AB2223" s="11"/>
      <c r="AC2223" s="9"/>
      <c r="AD2223" s="9"/>
      <c r="AE2223" s="1">
        <v>0</v>
      </c>
      <c r="AF2223" s="1">
        <f ca="1">IFERROR(__xludf.DUMMYFUNCTION("IFERROR(GOOGLEFINANCE(TRIM(F2223)&amp;"":"" &amp; TRIM(B2223),""high52""),AE2223)"),0)</f>
        <v>0</v>
      </c>
      <c r="AG2223" s="1">
        <v>0</v>
      </c>
      <c r="AH2223" s="1">
        <f ca="1">IFERROR(__xludf.DUMMYFUNCTION("IFERROR(GOOGLEFINANCE(TRIM(F2223)&amp;"":"" &amp; TRIM(B2223),""low52""),AE2223)"),0)</f>
        <v>0</v>
      </c>
      <c r="AI2223" s="1">
        <f ca="1">IFERROR(__xludf.DUMMYFUNCTION("IFERROR(GOOGLEFINANCE(B2223,""eps""),0)"),0)</f>
        <v>0</v>
      </c>
      <c r="AJ2223" s="1"/>
      <c r="AK2223" s="1" t="s">
        <v>6957</v>
      </c>
      <c r="AL2223" s="9">
        <f t="shared" si="233"/>
        <v>1</v>
      </c>
    </row>
    <row r="2224" spans="1:38" ht="15" x14ac:dyDescent="0.25">
      <c r="A2224" s="1" t="s">
        <v>6958</v>
      </c>
      <c r="B2224" s="1" t="s">
        <v>6959</v>
      </c>
      <c r="C2224" s="1" t="s">
        <v>75</v>
      </c>
      <c r="D2224" s="1" t="s">
        <v>75</v>
      </c>
      <c r="E2224" s="6">
        <v>7.99</v>
      </c>
      <c r="F2224" s="1" t="s">
        <v>53</v>
      </c>
      <c r="G2224" s="6">
        <f ca="1">IFERROR(__xludf.DUMMYFUNCTION("iferror(GOOGLEFINANCE(TRIM(F2224)&amp;"":"" &amp; TRIM(B2224), ""price""),0
)"),0)</f>
        <v>0</v>
      </c>
      <c r="H2224" s="6">
        <v>22</v>
      </c>
      <c r="I2224" s="6">
        <f t="shared" ca="1" si="0"/>
        <v>22</v>
      </c>
      <c r="J2224" s="6">
        <f ca="1">IFERROR(__xludf.DUMMYFUNCTION("IFERROR(GOOGLEFINANCE(B2224, ""volume""), 0)"),0)</f>
        <v>0</v>
      </c>
      <c r="K2224" s="6">
        <v>-0.9</v>
      </c>
      <c r="L2224" s="6">
        <f ca="1">IFERROR(__xludf.DUMMYFUNCTION("IFERROR(GOOGLEFINANCE(B2224,""changepct""),K2224)"),-0.9)</f>
        <v>-0.9</v>
      </c>
      <c r="M2224" s="6">
        <f ca="1">IFERROR(__xludf.DUMMYFUNCTION("IFERROR(GOOGLEFINANCE(B2224,""change""),0)"),0)</f>
        <v>0</v>
      </c>
      <c r="N2224" s="6">
        <v>2</v>
      </c>
      <c r="O2224" s="7">
        <v>45536</v>
      </c>
      <c r="P2224" s="6">
        <v>-0.7</v>
      </c>
      <c r="Q2224" s="7">
        <v>45536</v>
      </c>
      <c r="R2224" s="6">
        <v>0</v>
      </c>
      <c r="S2224" s="9"/>
      <c r="T2224" s="6">
        <v>1.56</v>
      </c>
      <c r="U2224" s="6">
        <v>2</v>
      </c>
      <c r="V2224" s="7">
        <v>45352</v>
      </c>
      <c r="W2224" s="10">
        <f ca="1">IFERROR(__xludf.DUMMYFUNCTION("IFERROR(GOOGLEFINANCE(B2224,""pe""),V2224)"),45352)</f>
        <v>45352</v>
      </c>
      <c r="X2224" s="6">
        <v>7.0000000000000007E-2</v>
      </c>
      <c r="Y2224" s="6">
        <v>-16.21</v>
      </c>
      <c r="Z2224" s="6">
        <v>-15.19</v>
      </c>
      <c r="AA2224" s="3" t="s">
        <v>6960</v>
      </c>
      <c r="AB2224" s="11"/>
      <c r="AC2224" s="9"/>
      <c r="AD2224" s="9"/>
      <c r="AE2224" s="1">
        <v>0</v>
      </c>
      <c r="AF2224" s="1">
        <f ca="1">IFERROR(__xludf.DUMMYFUNCTION("IFERROR(GOOGLEFINANCE(TRIM(F2224)&amp;"":"" &amp; TRIM(B2224),""high52""),AE2224)"),0)</f>
        <v>0</v>
      </c>
      <c r="AG2224" s="1">
        <v>0</v>
      </c>
      <c r="AH2224" s="1">
        <f ca="1">IFERROR(__xludf.DUMMYFUNCTION("IFERROR(GOOGLEFINANCE(TRIM(F2224)&amp;"":"" &amp; TRIM(B2224),""low52""),AE2224)"),0)</f>
        <v>0</v>
      </c>
      <c r="AI2224" s="1">
        <f ca="1">IFERROR(__xludf.DUMMYFUNCTION("IFERROR(GOOGLEFINANCE(B2224,""eps""),0)"),0)</f>
        <v>0</v>
      </c>
      <c r="AJ2224" s="1"/>
      <c r="AK2224" s="1" t="s">
        <v>6961</v>
      </c>
      <c r="AL2224" s="9">
        <f t="shared" si="233"/>
        <v>1</v>
      </c>
    </row>
    <row r="2225" spans="1:38" ht="15" x14ac:dyDescent="0.25">
      <c r="A2225" s="1" t="s">
        <v>6962</v>
      </c>
      <c r="B2225" s="1" t="s">
        <v>6963</v>
      </c>
      <c r="C2225" s="1" t="s">
        <v>75</v>
      </c>
      <c r="D2225" s="1" t="s">
        <v>75</v>
      </c>
      <c r="E2225" s="6">
        <v>46.02</v>
      </c>
      <c r="F2225" s="1" t="s">
        <v>53</v>
      </c>
      <c r="G2225" s="6">
        <f ca="1">IFERROR(__xludf.DUMMYFUNCTION("iferror(GOOGLEFINANCE(TRIM(F2225)&amp;"":"" &amp; TRIM(B2225), ""price""),0
)"),0)</f>
        <v>0</v>
      </c>
      <c r="H2225" s="6">
        <v>46.84</v>
      </c>
      <c r="I2225" s="6">
        <f t="shared" ca="1" si="0"/>
        <v>46.84</v>
      </c>
      <c r="J2225" s="6">
        <f ca="1">IFERROR(__xludf.DUMMYFUNCTION("IFERROR(GOOGLEFINANCE(B2225, ""volume""), 0)"),0)</f>
        <v>0</v>
      </c>
      <c r="K2225" s="6">
        <v>1.98</v>
      </c>
      <c r="L2225" s="6">
        <f ca="1">IFERROR(__xludf.DUMMYFUNCTION("IFERROR(GOOGLEFINANCE(B2225,""changepct""),K2225)"),1.98)</f>
        <v>1.98</v>
      </c>
      <c r="M2225" s="6">
        <f ca="1">IFERROR(__xludf.DUMMYFUNCTION("IFERROR(GOOGLEFINANCE(B2225,""change""),0)"),0)</f>
        <v>0</v>
      </c>
      <c r="N2225" s="6">
        <v>2</v>
      </c>
      <c r="O2225" s="7">
        <v>45536</v>
      </c>
      <c r="P2225" s="6">
        <v>26.46</v>
      </c>
      <c r="Q2225" s="7">
        <v>45536</v>
      </c>
      <c r="R2225" s="6">
        <v>1.74</v>
      </c>
      <c r="S2225" s="6">
        <v>0.01</v>
      </c>
      <c r="T2225" s="6">
        <v>0.77</v>
      </c>
      <c r="U2225" s="6">
        <v>2</v>
      </c>
      <c r="V2225" s="7">
        <v>45352</v>
      </c>
      <c r="W2225" s="10">
        <f ca="1">IFERROR(__xludf.DUMMYFUNCTION("IFERROR(GOOGLEFINANCE(B2225,""pe""),V2225)"),45352)</f>
        <v>45352</v>
      </c>
      <c r="X2225" s="6">
        <v>0.16</v>
      </c>
      <c r="Y2225" s="6">
        <v>43.94</v>
      </c>
      <c r="Z2225" s="6">
        <v>50.06</v>
      </c>
      <c r="AA2225" s="3" t="s">
        <v>6964</v>
      </c>
      <c r="AB2225" s="11"/>
      <c r="AC2225" s="9"/>
      <c r="AD2225" s="9"/>
      <c r="AE2225" s="1">
        <v>0</v>
      </c>
      <c r="AF2225" s="1">
        <f ca="1">IFERROR(__xludf.DUMMYFUNCTION("IFERROR(GOOGLEFINANCE(TRIM(F2225)&amp;"":"" &amp; TRIM(B2225),""high52""),AE2225)"),0)</f>
        <v>0</v>
      </c>
      <c r="AG2225" s="1">
        <v>0</v>
      </c>
      <c r="AH2225" s="1">
        <f ca="1">IFERROR(__xludf.DUMMYFUNCTION("IFERROR(GOOGLEFINANCE(TRIM(F2225)&amp;"":"" &amp; TRIM(B2225),""low52""),AE2225)"),0)</f>
        <v>0</v>
      </c>
      <c r="AI2225" s="1">
        <f ca="1">IFERROR(__xludf.DUMMYFUNCTION("IFERROR(GOOGLEFINANCE(B2225,""eps""),0)"),0)</f>
        <v>0</v>
      </c>
      <c r="AJ2225" s="1"/>
      <c r="AK2225" s="1" t="s">
        <v>6965</v>
      </c>
      <c r="AL2225" s="9">
        <f t="shared" si="233"/>
        <v>1</v>
      </c>
    </row>
    <row r="2226" spans="1:38" ht="15" x14ac:dyDescent="0.25">
      <c r="A2226" s="1" t="s">
        <v>6966</v>
      </c>
      <c r="B2226" s="1" t="s">
        <v>6967</v>
      </c>
      <c r="C2226" s="1" t="s">
        <v>75</v>
      </c>
      <c r="D2226" s="1" t="s">
        <v>75</v>
      </c>
      <c r="E2226" s="6">
        <v>25.44</v>
      </c>
      <c r="F2226" s="1" t="s">
        <v>53</v>
      </c>
      <c r="G2226" s="6">
        <f ca="1">IFERROR(__xludf.DUMMYFUNCTION("iferror(GOOGLEFINANCE(TRIM(F2226)&amp;"":"" &amp; TRIM(B2226), ""price""),0
)"),0)</f>
        <v>0</v>
      </c>
      <c r="H2226" s="6">
        <v>50</v>
      </c>
      <c r="I2226" s="6">
        <f t="shared" ca="1" si="0"/>
        <v>50</v>
      </c>
      <c r="J2226" s="6">
        <f ca="1">IFERROR(__xludf.DUMMYFUNCTION("IFERROR(GOOGLEFINANCE(B2226, ""volume""), 0)"),0)</f>
        <v>0</v>
      </c>
      <c r="K2226" s="6">
        <v>-1.73</v>
      </c>
      <c r="L2226" s="6">
        <f ca="1">IFERROR(__xludf.DUMMYFUNCTION("IFERROR(GOOGLEFINANCE(B2226,""changepct""),K2226)"),-1.73)</f>
        <v>-1.73</v>
      </c>
      <c r="M2226" s="6">
        <f ca="1">IFERROR(__xludf.DUMMYFUNCTION("IFERROR(GOOGLEFINANCE(B2226,""change""),0)"),0)</f>
        <v>0</v>
      </c>
      <c r="N2226" s="6">
        <v>1</v>
      </c>
      <c r="O2226" s="7">
        <v>45536</v>
      </c>
      <c r="P2226" s="6">
        <v>6.02</v>
      </c>
      <c r="Q2226" s="7">
        <v>45536</v>
      </c>
      <c r="R2226" s="6">
        <v>4.2300000000000004</v>
      </c>
      <c r="S2226" s="6">
        <v>0.02</v>
      </c>
      <c r="T2226" s="6">
        <v>1.03</v>
      </c>
      <c r="U2226" s="6">
        <v>1</v>
      </c>
      <c r="V2226" s="7">
        <v>45352</v>
      </c>
      <c r="W2226" s="10">
        <f ca="1">IFERROR(__xludf.DUMMYFUNCTION("IFERROR(GOOGLEFINANCE(B2226,""pe""),V2226)"),45352)</f>
        <v>45352</v>
      </c>
      <c r="X2226" s="6">
        <v>0</v>
      </c>
      <c r="Y2226" s="6">
        <v>18.809999999999999</v>
      </c>
      <c r="Z2226" s="6">
        <v>25.19</v>
      </c>
      <c r="AA2226" s="3" t="s">
        <v>6968</v>
      </c>
      <c r="AB2226" s="11"/>
      <c r="AC2226" s="9"/>
      <c r="AD2226" s="9"/>
      <c r="AE2226" s="1">
        <v>0</v>
      </c>
      <c r="AF2226" s="1">
        <f ca="1">IFERROR(__xludf.DUMMYFUNCTION("IFERROR(GOOGLEFINANCE(TRIM(F2226)&amp;"":"" &amp; TRIM(B2226),""high52""),AE2226)"),0)</f>
        <v>0</v>
      </c>
      <c r="AG2226" s="1">
        <v>0</v>
      </c>
      <c r="AH2226" s="1">
        <f ca="1">IFERROR(__xludf.DUMMYFUNCTION("IFERROR(GOOGLEFINANCE(TRIM(F2226)&amp;"":"" &amp; TRIM(B2226),""low52""),AE2226)"),0)</f>
        <v>0</v>
      </c>
      <c r="AI2226" s="1">
        <f ca="1">IFERROR(__xludf.DUMMYFUNCTION("IFERROR(GOOGLEFINANCE(B2226,""eps""),0)"),0)</f>
        <v>0</v>
      </c>
      <c r="AJ2226" s="1"/>
      <c r="AK2226" s="1" t="s">
        <v>6969</v>
      </c>
      <c r="AL2226" s="9">
        <f t="shared" si="233"/>
        <v>1</v>
      </c>
    </row>
    <row r="2227" spans="1:38" ht="15" x14ac:dyDescent="0.25">
      <c r="A2227" s="1" t="s">
        <v>6970</v>
      </c>
      <c r="B2227" s="1" t="s">
        <v>6971</v>
      </c>
      <c r="C2227" s="1" t="s">
        <v>317</v>
      </c>
      <c r="D2227" s="1" t="s">
        <v>317</v>
      </c>
      <c r="E2227" s="6">
        <v>659.36</v>
      </c>
      <c r="F2227" s="1" t="s">
        <v>40</v>
      </c>
      <c r="G2227" s="6">
        <f ca="1">IFERROR(__xludf.DUMMYFUNCTION("iferror(GOOGLEFINANCE(TRIM(F2227)&amp;"":"" &amp; TRIM(B2227), ""price""),0
)"),71.66)</f>
        <v>71.66</v>
      </c>
      <c r="H2227" s="6">
        <v>131.01</v>
      </c>
      <c r="I2227" s="6">
        <f t="shared" ca="1" si="0"/>
        <v>71.66</v>
      </c>
      <c r="J2227" s="6">
        <f ca="1">IFERROR(__xludf.DUMMYFUNCTION("IFERROR(GOOGLEFINANCE(B2227, ""volume""), 0)"),13405)</f>
        <v>13405</v>
      </c>
      <c r="K2227" s="6">
        <v>-0.68</v>
      </c>
      <c r="L2227" s="6">
        <f ca="1">IFERROR(__xludf.DUMMYFUNCTION("IFERROR(GOOGLEFINANCE(B2227,""changepct""),K2227)"),0.13)</f>
        <v>0.13</v>
      </c>
      <c r="M2227" s="6">
        <f ca="1">IFERROR(__xludf.DUMMYFUNCTION("IFERROR(GOOGLEFINANCE(B2227,""change""),0)"),0.09)</f>
        <v>0.09</v>
      </c>
      <c r="N2227" s="6">
        <v>1</v>
      </c>
      <c r="O2227" s="7">
        <v>45536</v>
      </c>
      <c r="P2227" s="6">
        <v>5</v>
      </c>
      <c r="Q2227" s="6">
        <v>645.96</v>
      </c>
      <c r="R2227" s="7">
        <v>45536</v>
      </c>
      <c r="S2227" s="6">
        <v>700.44</v>
      </c>
      <c r="T2227" s="6">
        <v>46.78</v>
      </c>
      <c r="U2227" s="7">
        <v>45536</v>
      </c>
      <c r="V2227" s="6">
        <v>14.1</v>
      </c>
      <c r="W2227" s="6">
        <f ca="1">IFERROR(__xludf.DUMMYFUNCTION("IFERROR(GOOGLEFINANCE(B2227,""pe""),V2227)"),11.37)</f>
        <v>11.37</v>
      </c>
      <c r="X2227" s="6">
        <v>0.65</v>
      </c>
      <c r="Y2227" s="6">
        <v>3.32</v>
      </c>
      <c r="Z2227" s="6">
        <v>1</v>
      </c>
      <c r="AA2227" s="8">
        <v>45352</v>
      </c>
      <c r="AB2227" s="4">
        <v>0.06</v>
      </c>
      <c r="AC2227" s="6">
        <v>29.33</v>
      </c>
      <c r="AD2227" s="6">
        <v>34.729999999999997</v>
      </c>
      <c r="AE2227" s="1">
        <v>0</v>
      </c>
      <c r="AF2227" s="1">
        <f ca="1">IFERROR(__xludf.DUMMYFUNCTION("IFERROR(GOOGLEFINANCE(TRIM(F2227)&amp;"":"" &amp; TRIM(B2227),""high52""),AE2227)"),134.99)</f>
        <v>134.99</v>
      </c>
      <c r="AG2227" s="1">
        <v>0</v>
      </c>
      <c r="AH2227" s="1">
        <f ca="1">IFERROR(__xludf.DUMMYFUNCTION("IFERROR(GOOGLEFINANCE(TRIM(F2227)&amp;"":"" &amp; TRIM(B2227),""low52""),AE2227)"),63.55)</f>
        <v>63.55</v>
      </c>
      <c r="AI2227" s="1">
        <f ca="1">IFERROR(__xludf.DUMMYFUNCTION("IFERROR(GOOGLEFINANCE(B2227,""eps""),0)"),6.3)</f>
        <v>6.3</v>
      </c>
      <c r="AJ2227" s="1"/>
      <c r="AK2227" s="1" t="s">
        <v>6972</v>
      </c>
      <c r="AL2227" s="9">
        <f t="shared" si="233"/>
        <v>1</v>
      </c>
    </row>
    <row r="2228" spans="1:38" ht="15" x14ac:dyDescent="0.25">
      <c r="A2228" s="1" t="s">
        <v>6973</v>
      </c>
      <c r="B2228" s="1" t="s">
        <v>6974</v>
      </c>
      <c r="C2228" s="1" t="s">
        <v>75</v>
      </c>
      <c r="D2228" s="1" t="s">
        <v>75</v>
      </c>
      <c r="E2228" s="6">
        <v>90.37</v>
      </c>
      <c r="F2228" s="1" t="s">
        <v>53</v>
      </c>
      <c r="G2228" s="6">
        <f ca="1">IFERROR(__xludf.DUMMYFUNCTION("iferror(GOOGLEFINANCE(TRIM(F2228)&amp;"":"" &amp; TRIM(B2228), ""price""),0
)"),0)</f>
        <v>0</v>
      </c>
      <c r="H2228" s="6">
        <v>54.84</v>
      </c>
      <c r="I2228" s="6">
        <f t="shared" ca="1" si="0"/>
        <v>54.84</v>
      </c>
      <c r="J2228" s="6">
        <f ca="1">IFERROR(__xludf.DUMMYFUNCTION("IFERROR(GOOGLEFINANCE(B2228, ""volume""), 0)"),0)</f>
        <v>0</v>
      </c>
      <c r="K2228" s="6">
        <v>1.95</v>
      </c>
      <c r="L2228" s="6">
        <f ca="1">IFERROR(__xludf.DUMMYFUNCTION("IFERROR(GOOGLEFINANCE(B2228,""changepct""),K2228)"),1.95)</f>
        <v>1.95</v>
      </c>
      <c r="M2228" s="6">
        <f ca="1">IFERROR(__xludf.DUMMYFUNCTION("IFERROR(GOOGLEFINANCE(B2228,""change""),0)"),0)</f>
        <v>0</v>
      </c>
      <c r="N2228" s="6">
        <v>1</v>
      </c>
      <c r="O2228" s="7">
        <v>45536</v>
      </c>
      <c r="P2228" s="6">
        <v>12.97</v>
      </c>
      <c r="Q2228" s="7">
        <v>45536</v>
      </c>
      <c r="R2228" s="6">
        <v>6.97</v>
      </c>
      <c r="S2228" s="6">
        <v>0.22</v>
      </c>
      <c r="T2228" s="6">
        <v>2.91</v>
      </c>
      <c r="U2228" s="6">
        <v>1</v>
      </c>
      <c r="V2228" s="7">
        <v>45352</v>
      </c>
      <c r="W2228" s="10">
        <f ca="1">IFERROR(__xludf.DUMMYFUNCTION("IFERROR(GOOGLEFINANCE(B2228,""pe""),V2228)"),45352)</f>
        <v>45352</v>
      </c>
      <c r="X2228" s="6">
        <v>0.05</v>
      </c>
      <c r="Y2228" s="6">
        <v>11.33</v>
      </c>
      <c r="Z2228" s="6">
        <v>11.94</v>
      </c>
      <c r="AA2228" s="3" t="s">
        <v>6975</v>
      </c>
      <c r="AB2228" s="11"/>
      <c r="AC2228" s="9"/>
      <c r="AD2228" s="9"/>
      <c r="AE2228" s="1">
        <v>0</v>
      </c>
      <c r="AF2228" s="1">
        <f ca="1">IFERROR(__xludf.DUMMYFUNCTION("IFERROR(GOOGLEFINANCE(TRIM(F2228)&amp;"":"" &amp; TRIM(B2228),""high52""),AE2228)"),0)</f>
        <v>0</v>
      </c>
      <c r="AG2228" s="1">
        <v>0</v>
      </c>
      <c r="AH2228" s="1">
        <f ca="1">IFERROR(__xludf.DUMMYFUNCTION("IFERROR(GOOGLEFINANCE(TRIM(F2228)&amp;"":"" &amp; TRIM(B2228),""low52""),AE2228)"),0)</f>
        <v>0</v>
      </c>
      <c r="AI2228" s="1">
        <f ca="1">IFERROR(__xludf.DUMMYFUNCTION("IFERROR(GOOGLEFINANCE(B2228,""eps""),0)"),0)</f>
        <v>0</v>
      </c>
      <c r="AJ2228" s="1"/>
      <c r="AK2228" s="1" t="s">
        <v>6976</v>
      </c>
      <c r="AL2228" s="9">
        <f t="shared" si="233"/>
        <v>1</v>
      </c>
    </row>
    <row r="2229" spans="1:38" ht="15" x14ac:dyDescent="0.25">
      <c r="A2229" s="1" t="s">
        <v>6977</v>
      </c>
      <c r="B2229" s="1" t="s">
        <v>6978</v>
      </c>
      <c r="C2229" s="1" t="s">
        <v>75</v>
      </c>
      <c r="D2229" s="1" t="s">
        <v>75</v>
      </c>
      <c r="E2229" s="6">
        <v>13.74</v>
      </c>
      <c r="F2229" s="1" t="s">
        <v>53</v>
      </c>
      <c r="G2229" s="6">
        <f ca="1">IFERROR(__xludf.DUMMYFUNCTION("iferror(GOOGLEFINANCE(TRIM(F2229)&amp;"":"" &amp; TRIM(B2229), ""price""),0
)"),0)</f>
        <v>0</v>
      </c>
      <c r="H2229" s="6">
        <v>30.5</v>
      </c>
      <c r="I2229" s="6">
        <f t="shared" ca="1" si="0"/>
        <v>30.5</v>
      </c>
      <c r="J2229" s="6">
        <f ca="1">IFERROR(__xludf.DUMMYFUNCTION("IFERROR(GOOGLEFINANCE(B2229, ""volume""), 0)"),0)</f>
        <v>0</v>
      </c>
      <c r="K2229" s="6">
        <v>1.1599999999999999</v>
      </c>
      <c r="L2229" s="6">
        <f ca="1">IFERROR(__xludf.DUMMYFUNCTION("IFERROR(GOOGLEFINANCE(B2229,""changepct""),K2229)"),1.16)</f>
        <v>1.1599999999999999</v>
      </c>
      <c r="M2229" s="6">
        <f ca="1">IFERROR(__xludf.DUMMYFUNCTION("IFERROR(GOOGLEFINANCE(B2229,""change""),0)"),0)</f>
        <v>0</v>
      </c>
      <c r="N2229" s="6">
        <v>1</v>
      </c>
      <c r="O2229" s="7">
        <v>45536</v>
      </c>
      <c r="P2229" s="6">
        <v>1.49</v>
      </c>
      <c r="Q2229" s="7">
        <v>45536</v>
      </c>
      <c r="R2229" s="6">
        <v>9.23</v>
      </c>
      <c r="S2229" s="6">
        <v>0.17</v>
      </c>
      <c r="T2229" s="6">
        <v>0.72</v>
      </c>
      <c r="U2229" s="6">
        <v>1</v>
      </c>
      <c r="V2229" s="7">
        <v>45352</v>
      </c>
      <c r="W2229" s="10">
        <f ca="1">IFERROR(__xludf.DUMMYFUNCTION("IFERROR(GOOGLEFINANCE(B2229,""pe""),V2229)"),45352)</f>
        <v>45352</v>
      </c>
      <c r="X2229" s="6">
        <v>0.01</v>
      </c>
      <c r="Y2229" s="6">
        <v>7.25</v>
      </c>
      <c r="Z2229" s="6">
        <v>10.88</v>
      </c>
      <c r="AA2229" s="3" t="s">
        <v>6979</v>
      </c>
      <c r="AB2229" s="11"/>
      <c r="AC2229" s="9"/>
      <c r="AD2229" s="9"/>
      <c r="AE2229" s="1">
        <v>0</v>
      </c>
      <c r="AF2229" s="1">
        <f ca="1">IFERROR(__xludf.DUMMYFUNCTION("IFERROR(GOOGLEFINANCE(TRIM(F2229)&amp;"":"" &amp; TRIM(B2229),""high52""),AE2229)"),0)</f>
        <v>0</v>
      </c>
      <c r="AG2229" s="1">
        <v>0</v>
      </c>
      <c r="AH2229" s="1">
        <f ca="1">IFERROR(__xludf.DUMMYFUNCTION("IFERROR(GOOGLEFINANCE(TRIM(F2229)&amp;"":"" &amp; TRIM(B2229),""low52""),AE2229)"),0)</f>
        <v>0</v>
      </c>
      <c r="AI2229" s="1">
        <f ca="1">IFERROR(__xludf.DUMMYFUNCTION("IFERROR(GOOGLEFINANCE(B2229,""eps""),0)"),0)</f>
        <v>0</v>
      </c>
      <c r="AJ2229" s="1"/>
      <c r="AK2229" s="1" t="s">
        <v>6980</v>
      </c>
      <c r="AL2229" s="9">
        <f t="shared" si="233"/>
        <v>1</v>
      </c>
    </row>
    <row r="2230" spans="1:38" ht="15" x14ac:dyDescent="0.25">
      <c r="A2230" s="1" t="s">
        <v>6981</v>
      </c>
      <c r="B2230" s="1" t="s">
        <v>6982</v>
      </c>
      <c r="C2230" s="1" t="s">
        <v>219</v>
      </c>
      <c r="D2230" s="1" t="s">
        <v>219</v>
      </c>
      <c r="E2230" s="6">
        <v>313.68</v>
      </c>
      <c r="F2230" s="1" t="s">
        <v>40</v>
      </c>
      <c r="G2230" s="6">
        <f ca="1">IFERROR(__xludf.DUMMYFUNCTION("iferror(GOOGLEFINANCE(TRIM(F2230)&amp;"":"" &amp; TRIM(B2230), ""price""),0
)"),6.52)</f>
        <v>6.52</v>
      </c>
      <c r="H2230" s="6">
        <v>11.85</v>
      </c>
      <c r="I2230" s="6">
        <f t="shared" ca="1" si="0"/>
        <v>6.52</v>
      </c>
      <c r="J2230" s="6">
        <f ca="1">IFERROR(__xludf.DUMMYFUNCTION("IFERROR(GOOGLEFINANCE(B2230, ""volume""), 0)"),138804)</f>
        <v>138804</v>
      </c>
      <c r="K2230" s="6">
        <v>0.59</v>
      </c>
      <c r="L2230" s="6">
        <f ca="1">IFERROR(__xludf.DUMMYFUNCTION("IFERROR(GOOGLEFINANCE(B2230,""changepct""),K2230)"),-1.95)</f>
        <v>-1.95</v>
      </c>
      <c r="M2230" s="6">
        <f ca="1">IFERROR(__xludf.DUMMYFUNCTION("IFERROR(GOOGLEFINANCE(B2230,""change""),0)"),-0.13)</f>
        <v>-0.13</v>
      </c>
      <c r="N2230" s="6">
        <v>1</v>
      </c>
      <c r="O2230" s="7">
        <v>45536</v>
      </c>
      <c r="P2230" s="6">
        <v>49.52</v>
      </c>
      <c r="Q2230" s="6">
        <v>356.02</v>
      </c>
      <c r="R2230" s="7">
        <v>45536</v>
      </c>
      <c r="S2230" s="6">
        <v>552.71</v>
      </c>
      <c r="T2230" s="6">
        <v>11.56</v>
      </c>
      <c r="U2230" s="7">
        <v>45536</v>
      </c>
      <c r="V2230" s="6">
        <v>27.13</v>
      </c>
      <c r="W2230" s="6">
        <f ca="1">IFERROR(__xludf.DUMMYFUNCTION("IFERROR(GOOGLEFINANCE(B2230,""pe""),V2230)"),21.56)</f>
        <v>21.56</v>
      </c>
      <c r="X2230" s="6">
        <v>3</v>
      </c>
      <c r="Y2230" s="6">
        <v>3.53</v>
      </c>
      <c r="Z2230" s="6">
        <v>1</v>
      </c>
      <c r="AA2230" s="8">
        <v>45352</v>
      </c>
      <c r="AB2230" s="4">
        <v>0.48</v>
      </c>
      <c r="AC2230" s="6">
        <v>13.13</v>
      </c>
      <c r="AD2230" s="6">
        <v>16.05</v>
      </c>
      <c r="AE2230" s="1">
        <v>0</v>
      </c>
      <c r="AF2230" s="1">
        <f ca="1">IFERROR(__xludf.DUMMYFUNCTION("IFERROR(GOOGLEFINANCE(TRIM(F2230)&amp;"":"" &amp; TRIM(B2230),""high52""),AE2230)"),11.22)</f>
        <v>11.22</v>
      </c>
      <c r="AG2230" s="1">
        <v>0</v>
      </c>
      <c r="AH2230" s="1">
        <f ca="1">IFERROR(__xludf.DUMMYFUNCTION("IFERROR(GOOGLEFINANCE(TRIM(F2230)&amp;"":"" &amp; TRIM(B2230),""low52""),AE2230)"),6.12)</f>
        <v>6.12</v>
      </c>
      <c r="AI2230" s="1">
        <f ca="1">IFERROR(__xludf.DUMMYFUNCTION("IFERROR(GOOGLEFINANCE(B2230,""eps""),0)"),0.3)</f>
        <v>0.3</v>
      </c>
      <c r="AJ2230" s="1"/>
      <c r="AK2230" s="1" t="s">
        <v>6983</v>
      </c>
      <c r="AL2230" s="9">
        <f t="shared" si="233"/>
        <v>1</v>
      </c>
    </row>
    <row r="2231" spans="1:38" ht="15" x14ac:dyDescent="0.25">
      <c r="A2231" s="1" t="s">
        <v>6984</v>
      </c>
      <c r="B2231" s="1" t="s">
        <v>6985</v>
      </c>
      <c r="C2231" s="1" t="s">
        <v>75</v>
      </c>
      <c r="D2231" s="1" t="s">
        <v>75</v>
      </c>
      <c r="E2231" s="6">
        <v>16.59</v>
      </c>
      <c r="F2231" s="1" t="s">
        <v>53</v>
      </c>
      <c r="G2231" s="6">
        <f ca="1">IFERROR(__xludf.DUMMYFUNCTION("iferror(GOOGLEFINANCE(TRIM(F2231)&amp;"":"" &amp; TRIM(B2231), ""price""),0
)"),0)</f>
        <v>0</v>
      </c>
      <c r="H2231" s="6">
        <v>12.49</v>
      </c>
      <c r="I2231" s="6">
        <f t="shared" ca="1" si="0"/>
        <v>12.49</v>
      </c>
      <c r="J2231" s="6">
        <f ca="1">IFERROR(__xludf.DUMMYFUNCTION("IFERROR(GOOGLEFINANCE(B2231, ""volume""), 0)"),0)</f>
        <v>0</v>
      </c>
      <c r="K2231" s="6">
        <v>5.76</v>
      </c>
      <c r="L2231" s="6">
        <f ca="1">IFERROR(__xludf.DUMMYFUNCTION("IFERROR(GOOGLEFINANCE(B2231,""changepct""),K2231)"),5.76)</f>
        <v>5.76</v>
      </c>
      <c r="M2231" s="6">
        <f ca="1">IFERROR(__xludf.DUMMYFUNCTION("IFERROR(GOOGLEFINANCE(B2231,""change""),0)"),0)</f>
        <v>0</v>
      </c>
      <c r="N2231" s="6">
        <v>1</v>
      </c>
      <c r="O2231" s="7">
        <v>45536</v>
      </c>
      <c r="P2231" s="6">
        <v>1.76</v>
      </c>
      <c r="Q2231" s="7">
        <v>45536</v>
      </c>
      <c r="R2231" s="6">
        <v>9.4</v>
      </c>
      <c r="S2231" s="6">
        <v>0.43</v>
      </c>
      <c r="T2231" s="6">
        <v>0.85</v>
      </c>
      <c r="U2231" s="6">
        <v>1</v>
      </c>
      <c r="V2231" s="7">
        <v>45352</v>
      </c>
      <c r="W2231" s="10">
        <f ca="1">IFERROR(__xludf.DUMMYFUNCTION("IFERROR(GOOGLEFINANCE(B2231,""pe""),V2231)"),45352)</f>
        <v>45352</v>
      </c>
      <c r="X2231" s="6">
        <v>0.66</v>
      </c>
      <c r="Y2231" s="6">
        <v>9.85</v>
      </c>
      <c r="Z2231" s="6">
        <v>13.83</v>
      </c>
      <c r="AA2231" s="3" t="s">
        <v>6986</v>
      </c>
      <c r="AB2231" s="11"/>
      <c r="AC2231" s="9"/>
      <c r="AD2231" s="9"/>
      <c r="AE2231" s="1">
        <v>0</v>
      </c>
      <c r="AF2231" s="1">
        <f ca="1">IFERROR(__xludf.DUMMYFUNCTION("IFERROR(GOOGLEFINANCE(TRIM(F2231)&amp;"":"" &amp; TRIM(B2231),""high52""),AE2231)"),0)</f>
        <v>0</v>
      </c>
      <c r="AG2231" s="1">
        <v>0</v>
      </c>
      <c r="AH2231" s="1">
        <f ca="1">IFERROR(__xludf.DUMMYFUNCTION("IFERROR(GOOGLEFINANCE(TRIM(F2231)&amp;"":"" &amp; TRIM(B2231),""low52""),AE2231)"),0)</f>
        <v>0</v>
      </c>
      <c r="AI2231" s="1">
        <f ca="1">IFERROR(__xludf.DUMMYFUNCTION("IFERROR(GOOGLEFINANCE(B2231,""eps""),0)"),0)</f>
        <v>0</v>
      </c>
      <c r="AJ2231" s="1"/>
      <c r="AK2231" s="1" t="s">
        <v>6987</v>
      </c>
      <c r="AL2231" s="9">
        <f t="shared" si="233"/>
        <v>1</v>
      </c>
    </row>
    <row r="2232" spans="1:38" ht="15" x14ac:dyDescent="0.25">
      <c r="A2232" s="1" t="s">
        <v>6988</v>
      </c>
      <c r="B2232" s="1" t="s">
        <v>6989</v>
      </c>
      <c r="C2232" s="1" t="s">
        <v>416</v>
      </c>
      <c r="D2232" s="1" t="s">
        <v>416</v>
      </c>
      <c r="E2232" s="6">
        <v>4924.67</v>
      </c>
      <c r="F2232" s="1" t="s">
        <v>40</v>
      </c>
      <c r="G2232" s="6">
        <f ca="1">IFERROR(__xludf.DUMMYFUNCTION("iferror(GOOGLEFINANCE(TRIM(F2232)&amp;"":"" &amp; TRIM(B2232), ""price""),0
)"),650.05)</f>
        <v>650.04999999999995</v>
      </c>
      <c r="H2232" s="6">
        <v>798.2</v>
      </c>
      <c r="I2232" s="6">
        <f t="shared" ca="1" si="0"/>
        <v>650.04999999999995</v>
      </c>
      <c r="J2232" s="6">
        <f ca="1">IFERROR(__xludf.DUMMYFUNCTION("IFERROR(GOOGLEFINANCE(B2232, ""volume""), 0)"),3000)</f>
        <v>3000</v>
      </c>
      <c r="K2232" s="6">
        <v>0.69</v>
      </c>
      <c r="L2232" s="6">
        <f ca="1">IFERROR(__xludf.DUMMYFUNCTION("IFERROR(GOOGLEFINANCE(B2232,""changepct""),K2232)"),0)</f>
        <v>0</v>
      </c>
      <c r="M2232" s="6">
        <f ca="1">IFERROR(__xludf.DUMMYFUNCTION("IFERROR(GOOGLEFINANCE(B2232,""change""),0)"),0)</f>
        <v>0</v>
      </c>
      <c r="N2232" s="6">
        <v>2</v>
      </c>
      <c r="O2232" s="7">
        <v>45536</v>
      </c>
      <c r="P2232" s="6">
        <v>53.01</v>
      </c>
      <c r="Q2232" s="6">
        <v>4627.82</v>
      </c>
      <c r="R2232" s="14"/>
      <c r="S2232" s="9"/>
      <c r="T2232" s="9"/>
      <c r="U2232" s="7">
        <v>45352</v>
      </c>
      <c r="V2232" s="6">
        <v>126.05</v>
      </c>
      <c r="W2232" s="6">
        <f ca="1">IFERROR(__xludf.DUMMYFUNCTION("IFERROR(GOOGLEFINANCE(B2232,""pe""),V2232)"),126.05)</f>
        <v>126.05</v>
      </c>
      <c r="X2232" s="12"/>
      <c r="Y2232" s="6">
        <v>5.96</v>
      </c>
      <c r="Z2232" s="6">
        <v>2</v>
      </c>
      <c r="AA2232" s="8">
        <v>45352</v>
      </c>
      <c r="AB2232" s="4">
        <v>0.54</v>
      </c>
      <c r="AC2232" s="6">
        <v>29.68</v>
      </c>
      <c r="AD2232" s="6">
        <v>29.53</v>
      </c>
      <c r="AE2232" s="1">
        <v>0</v>
      </c>
      <c r="AF2232" s="1">
        <f ca="1">IFERROR(__xludf.DUMMYFUNCTION("IFERROR(GOOGLEFINANCE(TRIM(F2232)&amp;"":"" &amp; TRIM(B2232),""high52""),AE2232)"),1012)</f>
        <v>1012</v>
      </c>
      <c r="AG2232" s="1">
        <v>0</v>
      </c>
      <c r="AH2232" s="1">
        <f ca="1">IFERROR(__xludf.DUMMYFUNCTION("IFERROR(GOOGLEFINANCE(TRIM(F2232)&amp;"":"" &amp; TRIM(B2232),""low52""),AE2232)"),589.8)</f>
        <v>589.79999999999995</v>
      </c>
      <c r="AI2232" s="1">
        <f ca="1">IFERROR(__xludf.DUMMYFUNCTION("IFERROR(GOOGLEFINANCE(B2232,""eps""),0)"),-0.02)</f>
        <v>-0.02</v>
      </c>
      <c r="AJ2232" s="1"/>
      <c r="AK2232" s="1" t="s">
        <v>6990</v>
      </c>
      <c r="AL2232" s="9">
        <f t="shared" si="233"/>
        <v>1</v>
      </c>
    </row>
    <row r="2233" spans="1:38" ht="15" x14ac:dyDescent="0.25">
      <c r="A2233" s="1" t="s">
        <v>6991</v>
      </c>
      <c r="B2233" s="1" t="s">
        <v>6992</v>
      </c>
      <c r="C2233" s="1" t="s">
        <v>75</v>
      </c>
      <c r="D2233" s="1" t="s">
        <v>75</v>
      </c>
      <c r="E2233" s="6">
        <v>31.28</v>
      </c>
      <c r="F2233" s="1" t="s">
        <v>53</v>
      </c>
      <c r="G2233" s="6">
        <f ca="1">IFERROR(__xludf.DUMMYFUNCTION("iferror(GOOGLEFINANCE(TRIM(F2233)&amp;"":"" &amp; TRIM(B2233), ""price""),0
)"),0)</f>
        <v>0</v>
      </c>
      <c r="H2233" s="6">
        <v>60.55</v>
      </c>
      <c r="I2233" s="6">
        <f t="shared" ca="1" si="0"/>
        <v>60.55</v>
      </c>
      <c r="J2233" s="6">
        <f ca="1">IFERROR(__xludf.DUMMYFUNCTION("IFERROR(GOOGLEFINANCE(B2233, ""volume""), 0)"),0)</f>
        <v>0</v>
      </c>
      <c r="K2233" s="6">
        <v>-3.21</v>
      </c>
      <c r="L2233" s="6">
        <f ca="1">IFERROR(__xludf.DUMMYFUNCTION("IFERROR(GOOGLEFINANCE(B2233,""changepct""),K2233)"),-3.21)</f>
        <v>-3.21</v>
      </c>
      <c r="M2233" s="6">
        <f ca="1">IFERROR(__xludf.DUMMYFUNCTION("IFERROR(GOOGLEFINANCE(B2233,""change""),0)"),0)</f>
        <v>0</v>
      </c>
      <c r="N2233" s="6">
        <v>1</v>
      </c>
      <c r="O2233" s="7">
        <v>45536</v>
      </c>
      <c r="P2233" s="6">
        <v>2.98</v>
      </c>
      <c r="Q2233" s="7">
        <v>45536</v>
      </c>
      <c r="R2233" s="6">
        <v>10.48</v>
      </c>
      <c r="S2233" s="6">
        <v>0.15</v>
      </c>
      <c r="T2233" s="6">
        <v>1.03</v>
      </c>
      <c r="U2233" s="6">
        <v>1</v>
      </c>
      <c r="V2233" s="7">
        <v>45352</v>
      </c>
      <c r="W2233" s="10">
        <f ca="1">IFERROR(__xludf.DUMMYFUNCTION("IFERROR(GOOGLEFINANCE(B2233,""pe""),V2233)"),45352)</f>
        <v>45352</v>
      </c>
      <c r="X2233" s="6">
        <v>0</v>
      </c>
      <c r="Y2233" s="6">
        <v>10.34</v>
      </c>
      <c r="Z2233" s="6">
        <v>14.9</v>
      </c>
      <c r="AA2233" s="3" t="s">
        <v>6993</v>
      </c>
      <c r="AB2233" s="11"/>
      <c r="AC2233" s="9"/>
      <c r="AD2233" s="9"/>
      <c r="AE2233" s="1">
        <v>0</v>
      </c>
      <c r="AF2233" s="1">
        <f ca="1">IFERROR(__xludf.DUMMYFUNCTION("IFERROR(GOOGLEFINANCE(TRIM(F2233)&amp;"":"" &amp; TRIM(B2233),""high52""),AE2233)"),0)</f>
        <v>0</v>
      </c>
      <c r="AG2233" s="1">
        <v>0</v>
      </c>
      <c r="AH2233" s="1">
        <f ca="1">IFERROR(__xludf.DUMMYFUNCTION("IFERROR(GOOGLEFINANCE(TRIM(F2233)&amp;"":"" &amp; TRIM(B2233),""low52""),AE2233)"),0)</f>
        <v>0</v>
      </c>
      <c r="AI2233" s="1">
        <f ca="1">IFERROR(__xludf.DUMMYFUNCTION("IFERROR(GOOGLEFINANCE(B2233,""eps""),0)"),0)</f>
        <v>0</v>
      </c>
      <c r="AJ2233" s="1"/>
      <c r="AK2233" s="1" t="s">
        <v>6994</v>
      </c>
      <c r="AL2233" s="9">
        <f t="shared" si="233"/>
        <v>1</v>
      </c>
    </row>
    <row r="2234" spans="1:38" ht="15" x14ac:dyDescent="0.25">
      <c r="A2234" s="1" t="s">
        <v>6995</v>
      </c>
      <c r="B2234" s="1" t="s">
        <v>6996</v>
      </c>
      <c r="C2234" s="1" t="s">
        <v>135</v>
      </c>
      <c r="D2234" s="1" t="s">
        <v>135</v>
      </c>
      <c r="E2234" s="6">
        <v>754.14</v>
      </c>
      <c r="F2234" s="1" t="s">
        <v>40</v>
      </c>
      <c r="G2234" s="6">
        <f ca="1">IFERROR(__xludf.DUMMYFUNCTION("iferror(GOOGLEFINANCE(TRIM(F2234)&amp;"":"" &amp; TRIM(B2234), ""price""),0
)"),122.1)</f>
        <v>122.1</v>
      </c>
      <c r="H2234" s="6">
        <v>205.02</v>
      </c>
      <c r="I2234" s="6">
        <f t="shared" ca="1" si="0"/>
        <v>122.1</v>
      </c>
      <c r="J2234" s="6">
        <f ca="1">IFERROR(__xludf.DUMMYFUNCTION("IFERROR(GOOGLEFINANCE(B2234, ""volume""), 0)"),28913)</f>
        <v>28913</v>
      </c>
      <c r="K2234" s="6">
        <v>1.06</v>
      </c>
      <c r="L2234" s="6">
        <f ca="1">IFERROR(__xludf.DUMMYFUNCTION("IFERROR(GOOGLEFINANCE(B2234,""changepct""),K2234)"),-0.72)</f>
        <v>-0.72</v>
      </c>
      <c r="M2234" s="6">
        <f ca="1">IFERROR(__xludf.DUMMYFUNCTION("IFERROR(GOOGLEFINANCE(B2234,""change""),0)"),-0.88)</f>
        <v>-0.88</v>
      </c>
      <c r="N2234" s="6">
        <v>1</v>
      </c>
      <c r="O2234" s="7">
        <v>45536</v>
      </c>
      <c r="P2234" s="12"/>
      <c r="Q2234" s="6">
        <v>744.49</v>
      </c>
      <c r="R2234" s="7">
        <v>45352</v>
      </c>
      <c r="S2234" s="6">
        <v>89.86</v>
      </c>
      <c r="T2234" s="6">
        <v>21.35</v>
      </c>
      <c r="U2234" s="7">
        <v>45352</v>
      </c>
      <c r="V2234" s="6">
        <v>35.32</v>
      </c>
      <c r="W2234" s="6">
        <f ca="1">IFERROR(__xludf.DUMMYFUNCTION("IFERROR(GOOGLEFINANCE(B2234,""pe""),V2234)"),17.56)</f>
        <v>17.559999999999999</v>
      </c>
      <c r="X2234" s="9"/>
      <c r="Y2234" s="6">
        <v>9.77</v>
      </c>
      <c r="Z2234" s="6">
        <v>1</v>
      </c>
      <c r="AA2234" s="8">
        <v>45352</v>
      </c>
      <c r="AB2234" s="4">
        <v>0</v>
      </c>
      <c r="AC2234" s="6">
        <v>38.450000000000003</v>
      </c>
      <c r="AD2234" s="6">
        <v>51.52</v>
      </c>
      <c r="AE2234" s="1">
        <v>0</v>
      </c>
      <c r="AF2234" s="1">
        <f ca="1">IFERROR(__xludf.DUMMYFUNCTION("IFERROR(GOOGLEFINANCE(TRIM(F2234)&amp;"":"" &amp; TRIM(B2234),""high52""),AE2234)"),207.49)</f>
        <v>207.49</v>
      </c>
      <c r="AG2234" s="1">
        <v>0</v>
      </c>
      <c r="AH2234" s="1">
        <f ca="1">IFERROR(__xludf.DUMMYFUNCTION("IFERROR(GOOGLEFINANCE(TRIM(F2234)&amp;"":"" &amp; TRIM(B2234),""low52""),AE2234)"),118)</f>
        <v>118</v>
      </c>
      <c r="AI2234" s="1">
        <f ca="1">IFERROR(__xludf.DUMMYFUNCTION("IFERROR(GOOGLEFINANCE(B2234,""eps""),0)"),6.96)</f>
        <v>6.96</v>
      </c>
      <c r="AJ2234" s="1"/>
      <c r="AK2234" s="9"/>
      <c r="AL2234" s="1" t="b">
        <f>ISBLANK(AB2234)</f>
        <v>0</v>
      </c>
    </row>
    <row r="2235" spans="1:38" ht="15" x14ac:dyDescent="0.25">
      <c r="A2235" s="1" t="s">
        <v>6997</v>
      </c>
      <c r="B2235" s="1" t="s">
        <v>6998</v>
      </c>
      <c r="C2235" s="1" t="s">
        <v>355</v>
      </c>
      <c r="D2235" s="1" t="s">
        <v>355</v>
      </c>
      <c r="E2235" s="6">
        <v>1379.21</v>
      </c>
      <c r="F2235" s="1" t="s">
        <v>40</v>
      </c>
      <c r="G2235" s="6">
        <f ca="1">IFERROR(__xludf.DUMMYFUNCTION("iferror(GOOGLEFINANCE(TRIM(F2235)&amp;"":"" &amp; TRIM(B2235), ""price""),0
)"),200.64)</f>
        <v>200.64</v>
      </c>
      <c r="H2235" s="6">
        <v>215.99</v>
      </c>
      <c r="I2235" s="6">
        <f t="shared" ca="1" si="0"/>
        <v>200.64</v>
      </c>
      <c r="J2235" s="6">
        <f ca="1">IFERROR(__xludf.DUMMYFUNCTION("IFERROR(GOOGLEFINANCE(B2235, ""volume""), 0)"),494051)</f>
        <v>494051</v>
      </c>
      <c r="K2235" s="6">
        <v>1.06</v>
      </c>
      <c r="L2235" s="6">
        <f ca="1">IFERROR(__xludf.DUMMYFUNCTION("IFERROR(GOOGLEFINANCE(B2235,""changepct""),K2235)"),1.8)</f>
        <v>1.8</v>
      </c>
      <c r="M2235" s="6">
        <f ca="1">IFERROR(__xludf.DUMMYFUNCTION("IFERROR(GOOGLEFINANCE(B2235,""change""),0)"),3.55)</f>
        <v>3.55</v>
      </c>
      <c r="N2235" s="6">
        <v>1</v>
      </c>
      <c r="O2235" s="7">
        <v>45536</v>
      </c>
      <c r="P2235" s="6">
        <v>32.94</v>
      </c>
      <c r="Q2235" s="6">
        <v>1257.98</v>
      </c>
      <c r="R2235" s="21"/>
      <c r="S2235" s="9"/>
      <c r="T2235" s="9"/>
      <c r="U2235" s="15">
        <v>45352</v>
      </c>
      <c r="V2235" s="6">
        <v>30.73</v>
      </c>
      <c r="W2235" s="6">
        <f ca="1">IFERROR(__xludf.DUMMYFUNCTION("IFERROR(GOOGLEFINANCE(B2235,""pe""),V2235)"),26.14)</f>
        <v>26.14</v>
      </c>
      <c r="X2235" s="12"/>
      <c r="Y2235" s="6">
        <v>3.42</v>
      </c>
      <c r="Z2235" s="6">
        <v>1</v>
      </c>
      <c r="AA2235" s="8">
        <v>45352</v>
      </c>
      <c r="AB2235" s="4">
        <v>0.8</v>
      </c>
      <c r="AC2235" s="6">
        <v>36.06</v>
      </c>
      <c r="AD2235" s="6">
        <v>33.57</v>
      </c>
      <c r="AE2235" s="1">
        <v>0</v>
      </c>
      <c r="AF2235" s="1">
        <f ca="1">IFERROR(__xludf.DUMMYFUNCTION("IFERROR(GOOGLEFINANCE(TRIM(F2235)&amp;"":"" &amp; TRIM(B2235),""high52""),AE2235)"),237.6)</f>
        <v>237.6</v>
      </c>
      <c r="AG2235" s="1">
        <v>0</v>
      </c>
      <c r="AH2235" s="1">
        <f ca="1">IFERROR(__xludf.DUMMYFUNCTION("IFERROR(GOOGLEFINANCE(TRIM(F2235)&amp;"":"" &amp; TRIM(B2235),""low52""),AE2235)"),150.06)</f>
        <v>150.06</v>
      </c>
      <c r="AI2235" s="1">
        <f ca="1">IFERROR(__xludf.DUMMYFUNCTION("IFERROR(GOOGLEFINANCE(B2235,""eps""),0)"),7.68)</f>
        <v>7.68</v>
      </c>
      <c r="AJ2235" s="1"/>
      <c r="AK2235" s="1" t="s">
        <v>6999</v>
      </c>
      <c r="AL2235" s="1" t="b">
        <f>ISNUMBER(AA2235)</f>
        <v>1</v>
      </c>
    </row>
    <row r="2236" spans="1:38" ht="15" x14ac:dyDescent="0.25">
      <c r="A2236" s="1" t="s">
        <v>7000</v>
      </c>
      <c r="B2236" s="1" t="s">
        <v>7001</v>
      </c>
      <c r="C2236" s="1" t="s">
        <v>75</v>
      </c>
      <c r="D2236" s="1" t="s">
        <v>75</v>
      </c>
      <c r="E2236" s="6">
        <v>270.81</v>
      </c>
      <c r="F2236" s="1" t="s">
        <v>53</v>
      </c>
      <c r="G2236" s="6">
        <f ca="1">IFERROR(__xludf.DUMMYFUNCTION("iferror(GOOGLEFINANCE(TRIM(F2236)&amp;"":"" &amp; TRIM(B2236), ""price""),0
)"),0)</f>
        <v>0</v>
      </c>
      <c r="H2236" s="6">
        <v>184</v>
      </c>
      <c r="I2236" s="6">
        <f t="shared" ca="1" si="0"/>
        <v>184</v>
      </c>
      <c r="J2236" s="6">
        <f ca="1">IFERROR(__xludf.DUMMYFUNCTION("IFERROR(GOOGLEFINANCE(B2236, ""volume""), 0)"),0)</f>
        <v>0</v>
      </c>
      <c r="K2236" s="6">
        <v>0.55000000000000004</v>
      </c>
      <c r="L2236" s="6">
        <f ca="1">IFERROR(__xludf.DUMMYFUNCTION("IFERROR(GOOGLEFINANCE(B2236,""changepct""),K2236)"),0.55)</f>
        <v>0.55000000000000004</v>
      </c>
      <c r="M2236" s="6">
        <f ca="1">IFERROR(__xludf.DUMMYFUNCTION("IFERROR(GOOGLEFINANCE(B2236,""change""),0)"),0)</f>
        <v>0</v>
      </c>
      <c r="N2236" s="6">
        <v>2</v>
      </c>
      <c r="O2236" s="7">
        <v>45536</v>
      </c>
      <c r="P2236" s="6">
        <v>20.86</v>
      </c>
      <c r="Q2236" s="7">
        <v>45536</v>
      </c>
      <c r="R2236" s="6">
        <v>12.98</v>
      </c>
      <c r="S2236" s="6">
        <v>0.6</v>
      </c>
      <c r="T2236" s="6">
        <v>2.93</v>
      </c>
      <c r="U2236" s="6">
        <v>2</v>
      </c>
      <c r="V2236" s="7">
        <v>45352</v>
      </c>
      <c r="W2236" s="10">
        <f ca="1">IFERROR(__xludf.DUMMYFUNCTION("IFERROR(GOOGLEFINANCE(B2236,""pe""),V2236)"),45352)</f>
        <v>45352</v>
      </c>
      <c r="X2236" s="6">
        <v>0.19</v>
      </c>
      <c r="Y2236" s="6">
        <v>19.149999999999999</v>
      </c>
      <c r="Z2236" s="6">
        <v>27.12</v>
      </c>
      <c r="AA2236" s="3" t="s">
        <v>7002</v>
      </c>
      <c r="AB2236" s="11"/>
      <c r="AC2236" s="9"/>
      <c r="AD2236" s="9"/>
      <c r="AE2236" s="1">
        <v>0</v>
      </c>
      <c r="AF2236" s="1">
        <f ca="1">IFERROR(__xludf.DUMMYFUNCTION("IFERROR(GOOGLEFINANCE(TRIM(F2236)&amp;"":"" &amp; TRIM(B2236),""high52""),AE2236)"),0)</f>
        <v>0</v>
      </c>
      <c r="AG2236" s="1">
        <v>0</v>
      </c>
      <c r="AH2236" s="1">
        <f ca="1">IFERROR(__xludf.DUMMYFUNCTION("IFERROR(GOOGLEFINANCE(TRIM(F2236)&amp;"":"" &amp; TRIM(B2236),""low52""),AE2236)"),0)</f>
        <v>0</v>
      </c>
      <c r="AI2236" s="1">
        <f ca="1">IFERROR(__xludf.DUMMYFUNCTION("IFERROR(GOOGLEFINANCE(B2236,""eps""),0)"),0)</f>
        <v>0</v>
      </c>
      <c r="AJ2236" s="1"/>
      <c r="AK2236" s="1" t="s">
        <v>7003</v>
      </c>
      <c r="AL2236" s="9">
        <f t="shared" ref="AL2236:AL2237" si="234">IF(AA2236&lt;&gt;AB2236,1,0)</f>
        <v>1</v>
      </c>
    </row>
    <row r="2237" spans="1:38" ht="15" x14ac:dyDescent="0.25">
      <c r="A2237" s="1" t="s">
        <v>7004</v>
      </c>
      <c r="B2237" s="1" t="s">
        <v>7005</v>
      </c>
      <c r="C2237" s="1" t="s">
        <v>163</v>
      </c>
      <c r="D2237" s="1" t="s">
        <v>163</v>
      </c>
      <c r="E2237" s="6">
        <v>2906.89</v>
      </c>
      <c r="F2237" s="1" t="s">
        <v>40</v>
      </c>
      <c r="G2237" s="6">
        <f ca="1">IFERROR(__xludf.DUMMYFUNCTION("iferror(GOOGLEFINANCE(TRIM(F2237)&amp;"":"" &amp; TRIM(B2237), ""price""),0
)"),697)</f>
        <v>697</v>
      </c>
      <c r="H2237" s="6">
        <v>890.2</v>
      </c>
      <c r="I2237" s="6">
        <f t="shared" ca="1" si="0"/>
        <v>697</v>
      </c>
      <c r="J2237" s="6">
        <f ca="1">IFERROR(__xludf.DUMMYFUNCTION("IFERROR(GOOGLEFINANCE(B2237, ""volume""), 0)"),42079)</f>
        <v>42079</v>
      </c>
      <c r="K2237" s="6">
        <v>-1.1299999999999999</v>
      </c>
      <c r="L2237" s="6">
        <f ca="1">IFERROR(__xludf.DUMMYFUNCTION("IFERROR(GOOGLEFINANCE(B2237,""changepct""),K2237)"),0.24)</f>
        <v>0.24</v>
      </c>
      <c r="M2237" s="6">
        <f ca="1">IFERROR(__xludf.DUMMYFUNCTION("IFERROR(GOOGLEFINANCE(B2237,""change""),0)"),1.65)</f>
        <v>1.65</v>
      </c>
      <c r="N2237" s="6">
        <v>2</v>
      </c>
      <c r="O2237" s="7">
        <v>45536</v>
      </c>
      <c r="P2237" s="6">
        <v>168.97</v>
      </c>
      <c r="Q2237" s="6">
        <v>3013.23</v>
      </c>
      <c r="R2237" s="7">
        <v>45536</v>
      </c>
      <c r="S2237" s="6">
        <v>681.18</v>
      </c>
      <c r="T2237" s="6">
        <v>69.22</v>
      </c>
      <c r="U2237" s="7">
        <v>45536</v>
      </c>
      <c r="V2237" s="6">
        <v>42</v>
      </c>
      <c r="W2237" s="6">
        <f ca="1">IFERROR(__xludf.DUMMYFUNCTION("IFERROR(GOOGLEFINANCE(B2237,""pe""),V2237)"),27.14)</f>
        <v>27.14</v>
      </c>
      <c r="X2237" s="9"/>
      <c r="Y2237" s="6">
        <v>3.46</v>
      </c>
      <c r="Z2237" s="6">
        <v>2</v>
      </c>
      <c r="AA2237" s="8">
        <v>45352</v>
      </c>
      <c r="AB2237" s="4">
        <v>0.2</v>
      </c>
      <c r="AC2237" s="6">
        <v>7.36</v>
      </c>
      <c r="AD2237" s="6">
        <v>9.94</v>
      </c>
      <c r="AE2237" s="1">
        <v>0</v>
      </c>
      <c r="AF2237" s="1">
        <f ca="1">IFERROR(__xludf.DUMMYFUNCTION("IFERROR(GOOGLEFINANCE(TRIM(F2237)&amp;"":"" &amp; TRIM(B2237),""high52""),AE2237)"),905)</f>
        <v>905</v>
      </c>
      <c r="AG2237" s="1">
        <v>0</v>
      </c>
      <c r="AH2237" s="1">
        <f ca="1">IFERROR(__xludf.DUMMYFUNCTION("IFERROR(GOOGLEFINANCE(TRIM(F2237)&amp;"":"" &amp; TRIM(B2237),""low52""),AE2237)"),625.75)</f>
        <v>625.75</v>
      </c>
      <c r="AI2237" s="1">
        <f ca="1">IFERROR(__xludf.DUMMYFUNCTION("IFERROR(GOOGLEFINANCE(B2237,""eps""),0)"),25.68)</f>
        <v>25.68</v>
      </c>
      <c r="AJ2237" s="1"/>
      <c r="AK2237" s="1" t="s">
        <v>7006</v>
      </c>
      <c r="AL2237" s="9">
        <f t="shared" si="234"/>
        <v>1</v>
      </c>
    </row>
    <row r="2238" spans="1:38" ht="15" x14ac:dyDescent="0.25">
      <c r="A2238" s="1" t="s">
        <v>7007</v>
      </c>
      <c r="B2238" s="1" t="s">
        <v>7008</v>
      </c>
      <c r="C2238" s="1" t="s">
        <v>223</v>
      </c>
      <c r="D2238" s="1" t="s">
        <v>223</v>
      </c>
      <c r="E2238" s="6">
        <v>1008.98</v>
      </c>
      <c r="F2238" s="1" t="s">
        <v>40</v>
      </c>
      <c r="G2238" s="6">
        <f ca="1">IFERROR(__xludf.DUMMYFUNCTION("iferror(GOOGLEFINANCE(TRIM(F2238)&amp;"":"" &amp; TRIM(B2238), ""price""),0
)"),601.45)</f>
        <v>601.45000000000005</v>
      </c>
      <c r="H2238" s="6">
        <v>721.35</v>
      </c>
      <c r="I2238" s="6">
        <f t="shared" ca="1" si="0"/>
        <v>601.45000000000005</v>
      </c>
      <c r="J2238" s="6">
        <f ca="1">IFERROR(__xludf.DUMMYFUNCTION("IFERROR(GOOGLEFINANCE(B2238, ""volume""), 0)"),94394)</f>
        <v>94394</v>
      </c>
      <c r="K2238" s="6">
        <v>0.03</v>
      </c>
      <c r="L2238" s="6">
        <f ca="1">IFERROR(__xludf.DUMMYFUNCTION("IFERROR(GOOGLEFINANCE(B2238,""changepct""),K2238)"),0.06)</f>
        <v>0.06</v>
      </c>
      <c r="M2238" s="6">
        <f ca="1">IFERROR(__xludf.DUMMYFUNCTION("IFERROR(GOOGLEFINANCE(B2238,""change""),0)"),0.35)</f>
        <v>0.35</v>
      </c>
      <c r="N2238" s="6">
        <v>2</v>
      </c>
      <c r="O2238" s="7">
        <v>45536</v>
      </c>
      <c r="P2238" s="6">
        <v>83.77</v>
      </c>
      <c r="Q2238" s="6">
        <v>999.89</v>
      </c>
      <c r="R2238" s="7">
        <v>45536</v>
      </c>
      <c r="S2238" s="6">
        <v>1098.55</v>
      </c>
      <c r="T2238" s="6">
        <v>58.78</v>
      </c>
      <c r="U2238" s="7">
        <v>45536</v>
      </c>
      <c r="V2238" s="6">
        <v>24.48</v>
      </c>
      <c r="W2238" s="6">
        <f ca="1">IFERROR(__xludf.DUMMYFUNCTION("IFERROR(GOOGLEFINANCE(B2238,""pe""),V2238)"),13.48)</f>
        <v>13.48</v>
      </c>
      <c r="X2238" s="9"/>
      <c r="Y2238" s="6">
        <v>2.4900000000000002</v>
      </c>
      <c r="Z2238" s="6">
        <v>2</v>
      </c>
      <c r="AA2238" s="8">
        <v>45352</v>
      </c>
      <c r="AB2238" s="4">
        <v>0.22</v>
      </c>
      <c r="AC2238" s="6">
        <v>18.170000000000002</v>
      </c>
      <c r="AD2238" s="6">
        <v>21.49</v>
      </c>
      <c r="AE2238" s="1">
        <v>0</v>
      </c>
      <c r="AF2238" s="1">
        <f ca="1">IFERROR(__xludf.DUMMYFUNCTION("IFERROR(GOOGLEFINANCE(TRIM(F2238)&amp;"":"" &amp; TRIM(B2238),""high52""),AE2238)"),729.5)</f>
        <v>729.5</v>
      </c>
      <c r="AG2238" s="1">
        <v>0</v>
      </c>
      <c r="AH2238" s="1">
        <f ca="1">IFERROR(__xludf.DUMMYFUNCTION("IFERROR(GOOGLEFINANCE(TRIM(F2238)&amp;"":"" &amp; TRIM(B2238),""low52""),AE2238)"),415.6)</f>
        <v>415.6</v>
      </c>
      <c r="AI2238" s="1">
        <f ca="1">IFERROR(__xludf.DUMMYFUNCTION("IFERROR(GOOGLEFINANCE(B2238,""eps""),0)"),44.62)</f>
        <v>44.62</v>
      </c>
      <c r="AJ2238" s="1"/>
      <c r="AK2238" s="1" t="s">
        <v>7009</v>
      </c>
      <c r="AL2238" s="1" t="b">
        <f>ISNUMBER(AA2238)</f>
        <v>1</v>
      </c>
    </row>
    <row r="2239" spans="1:38" ht="15" x14ac:dyDescent="0.25">
      <c r="A2239" s="1" t="s">
        <v>7010</v>
      </c>
      <c r="B2239" s="1" t="s">
        <v>7011</v>
      </c>
      <c r="C2239" s="1" t="s">
        <v>1751</v>
      </c>
      <c r="D2239" s="1" t="s">
        <v>1751</v>
      </c>
      <c r="E2239" s="6">
        <v>13468.9</v>
      </c>
      <c r="F2239" s="1" t="s">
        <v>40</v>
      </c>
      <c r="G2239" s="6">
        <f ca="1">IFERROR(__xludf.DUMMYFUNCTION("iferror(GOOGLEFINANCE(TRIM(F2239)&amp;"":"" &amp; TRIM(B2239), ""price""),0
)"),687)</f>
        <v>687</v>
      </c>
      <c r="H2239" s="6">
        <v>772.05</v>
      </c>
      <c r="I2239" s="6">
        <f t="shared" ca="1" si="0"/>
        <v>687</v>
      </c>
      <c r="J2239" s="6">
        <f ca="1">IFERROR(__xludf.DUMMYFUNCTION("IFERROR(GOOGLEFINANCE(B2239, ""volume""), 0)"),124)</f>
        <v>124</v>
      </c>
      <c r="K2239" s="6">
        <v>-0.3</v>
      </c>
      <c r="L2239" s="6">
        <f ca="1">IFERROR(__xludf.DUMMYFUNCTION("IFERROR(GOOGLEFINANCE(B2239,""changepct""),K2239)"),-1.92)</f>
        <v>-1.92</v>
      </c>
      <c r="M2239" s="6">
        <f ca="1">IFERROR(__xludf.DUMMYFUNCTION("IFERROR(GOOGLEFINANCE(B2239,""change""),0)"),-20)</f>
        <v>-20</v>
      </c>
      <c r="N2239" s="6">
        <v>2</v>
      </c>
      <c r="O2239" s="7">
        <v>45444</v>
      </c>
      <c r="P2239" s="12"/>
      <c r="Q2239" s="6">
        <v>13095</v>
      </c>
      <c r="R2239" s="7">
        <v>45536</v>
      </c>
      <c r="S2239" s="6">
        <v>2409.3000000000002</v>
      </c>
      <c r="T2239" s="6">
        <v>217.3</v>
      </c>
      <c r="U2239" s="7">
        <v>45536</v>
      </c>
      <c r="V2239" s="6">
        <v>58.74</v>
      </c>
      <c r="W2239" s="6">
        <f ca="1">IFERROR(__xludf.DUMMYFUNCTION("IFERROR(GOOGLEFINANCE(B2239,""pe""),V2239)"),15.2)</f>
        <v>15.2</v>
      </c>
      <c r="X2239" s="6">
        <v>2.46</v>
      </c>
      <c r="Y2239" s="6">
        <v>9.56</v>
      </c>
      <c r="Z2239" s="6">
        <v>2</v>
      </c>
      <c r="AA2239" s="8">
        <v>45261</v>
      </c>
      <c r="AB2239" s="4">
        <v>0</v>
      </c>
      <c r="AC2239" s="6">
        <v>17.07</v>
      </c>
      <c r="AD2239" s="6">
        <v>23.36</v>
      </c>
      <c r="AE2239" s="1"/>
      <c r="AF2239" s="1">
        <f ca="1">IFERROR(__xludf.DUMMYFUNCTION("IFERROR(GOOGLEFINANCE(TRIM(F2239)&amp;"":"" &amp; TRIM(B2239),""high52""),AE2239)"),912)</f>
        <v>912</v>
      </c>
      <c r="AG2239" s="1">
        <v>0</v>
      </c>
      <c r="AH2239" s="1">
        <f ca="1">IFERROR(__xludf.DUMMYFUNCTION("IFERROR(GOOGLEFINANCE(TRIM(F2239)&amp;"":"" &amp; TRIM(B2239),""low52""),AE2239)"),582.25)</f>
        <v>582.25</v>
      </c>
      <c r="AI2239" s="1">
        <f ca="1">IFERROR(__xludf.DUMMYFUNCTION("IFERROR(GOOGLEFINANCE(B2239,""eps""),0)"),67.09)</f>
        <v>67.09</v>
      </c>
      <c r="AJ2239" s="1"/>
      <c r="AK2239" s="1" t="s">
        <v>7012</v>
      </c>
      <c r="AL2239" s="9">
        <f t="shared" ref="AL2239:AL2269" si="235">IF(AA2239&lt;&gt;AB2239,1,0)</f>
        <v>1</v>
      </c>
    </row>
    <row r="2240" spans="1:38" ht="15" x14ac:dyDescent="0.25">
      <c r="A2240" s="1" t="s">
        <v>7013</v>
      </c>
      <c r="B2240" s="1" t="s">
        <v>7014</v>
      </c>
      <c r="C2240" s="1" t="s">
        <v>75</v>
      </c>
      <c r="D2240" s="1" t="s">
        <v>75</v>
      </c>
      <c r="E2240" s="6">
        <v>48.18</v>
      </c>
      <c r="F2240" s="1" t="s">
        <v>53</v>
      </c>
      <c r="G2240" s="6">
        <f ca="1">IFERROR(__xludf.DUMMYFUNCTION("iferror(GOOGLEFINANCE(TRIM(F2240)&amp;"":"" &amp; TRIM(B2240), ""price""),0
)"),0)</f>
        <v>0</v>
      </c>
      <c r="H2240" s="6">
        <v>75.55</v>
      </c>
      <c r="I2240" s="6">
        <f t="shared" ca="1" si="0"/>
        <v>75.55</v>
      </c>
      <c r="J2240" s="6">
        <f ca="1">IFERROR(__xludf.DUMMYFUNCTION("IFERROR(GOOGLEFINANCE(B2240, ""volume""), 0)"),0)</f>
        <v>0</v>
      </c>
      <c r="K2240" s="6">
        <v>-2</v>
      </c>
      <c r="L2240" s="6">
        <f ca="1">IFERROR(__xludf.DUMMYFUNCTION("IFERROR(GOOGLEFINANCE(B2240,""changepct""),K2240)"),-2)</f>
        <v>-2</v>
      </c>
      <c r="M2240" s="6">
        <f ca="1">IFERROR(__xludf.DUMMYFUNCTION("IFERROR(GOOGLEFINANCE(B2240,""change""),0)"),0)</f>
        <v>0</v>
      </c>
      <c r="N2240" s="6">
        <v>1</v>
      </c>
      <c r="O2240" s="7">
        <v>45536</v>
      </c>
      <c r="P2240" s="6">
        <v>3.3</v>
      </c>
      <c r="Q2240" s="7">
        <v>45536</v>
      </c>
      <c r="R2240" s="6">
        <v>14.6</v>
      </c>
      <c r="S2240" s="6">
        <v>3.24</v>
      </c>
      <c r="T2240" s="6">
        <v>2</v>
      </c>
      <c r="U2240" s="6">
        <v>1</v>
      </c>
      <c r="V2240" s="7">
        <v>45352</v>
      </c>
      <c r="W2240" s="10">
        <f ca="1">IFERROR(__xludf.DUMMYFUNCTION("IFERROR(GOOGLEFINANCE(B2240,""pe""),V2240)"),45352)</f>
        <v>45352</v>
      </c>
      <c r="X2240" s="6">
        <v>0.18</v>
      </c>
      <c r="Y2240" s="6">
        <v>11.46</v>
      </c>
      <c r="Z2240" s="6">
        <v>15.84</v>
      </c>
      <c r="AA2240" s="3" t="s">
        <v>7015</v>
      </c>
      <c r="AB2240" s="11"/>
      <c r="AC2240" s="9"/>
      <c r="AD2240" s="9"/>
      <c r="AE2240" s="1">
        <v>0</v>
      </c>
      <c r="AF2240" s="1">
        <f ca="1">IFERROR(__xludf.DUMMYFUNCTION("IFERROR(GOOGLEFINANCE(TRIM(F2240)&amp;"":"" &amp; TRIM(B2240),""high52""),AE2240)"),0)</f>
        <v>0</v>
      </c>
      <c r="AG2240" s="1">
        <v>0</v>
      </c>
      <c r="AH2240" s="1">
        <f ca="1">IFERROR(__xludf.DUMMYFUNCTION("IFERROR(GOOGLEFINANCE(TRIM(F2240)&amp;"":"" &amp; TRIM(B2240),""low52""),AE2240)"),0)</f>
        <v>0</v>
      </c>
      <c r="AI2240" s="1">
        <f ca="1">IFERROR(__xludf.DUMMYFUNCTION("IFERROR(GOOGLEFINANCE(B2240,""eps""),0)"),0)</f>
        <v>0</v>
      </c>
      <c r="AJ2240" s="1"/>
      <c r="AK2240" s="1" t="s">
        <v>7016</v>
      </c>
      <c r="AL2240" s="9">
        <f t="shared" si="235"/>
        <v>1</v>
      </c>
    </row>
    <row r="2241" spans="1:38" ht="15" x14ac:dyDescent="0.25">
      <c r="A2241" s="1" t="s">
        <v>7017</v>
      </c>
      <c r="B2241" s="1" t="s">
        <v>7018</v>
      </c>
      <c r="C2241" s="1" t="s">
        <v>75</v>
      </c>
      <c r="D2241" s="1" t="s">
        <v>75</v>
      </c>
      <c r="E2241" s="6">
        <v>235.88</v>
      </c>
      <c r="F2241" s="1" t="s">
        <v>53</v>
      </c>
      <c r="G2241" s="6">
        <f ca="1">IFERROR(__xludf.DUMMYFUNCTION("iferror(GOOGLEFINANCE(TRIM(F2241)&amp;"":"" &amp; TRIM(B2241), ""price""),0
)"),0)</f>
        <v>0</v>
      </c>
      <c r="H2241" s="6">
        <v>28.39</v>
      </c>
      <c r="I2241" s="6">
        <f t="shared" ca="1" si="0"/>
        <v>28.39</v>
      </c>
      <c r="J2241" s="6">
        <f ca="1">IFERROR(__xludf.DUMMYFUNCTION("IFERROR(GOOGLEFINANCE(B2241, ""volume""), 0)"),0)</f>
        <v>0</v>
      </c>
      <c r="K2241" s="6">
        <v>-1.36</v>
      </c>
      <c r="L2241" s="6">
        <f ca="1">IFERROR(__xludf.DUMMYFUNCTION("IFERROR(GOOGLEFINANCE(B2241,""changepct""),K2241)"),-1.36)</f>
        <v>-1.36</v>
      </c>
      <c r="M2241" s="6">
        <f ca="1">IFERROR(__xludf.DUMMYFUNCTION("IFERROR(GOOGLEFINANCE(B2241,""change""),0)"),0)</f>
        <v>0</v>
      </c>
      <c r="N2241" s="6">
        <v>2</v>
      </c>
      <c r="O2241" s="7">
        <v>45536</v>
      </c>
      <c r="P2241" s="6">
        <v>15.77</v>
      </c>
      <c r="Q2241" s="7">
        <v>45536</v>
      </c>
      <c r="R2241" s="6">
        <v>14.96</v>
      </c>
      <c r="S2241" s="6">
        <v>0.43</v>
      </c>
      <c r="T2241" s="6">
        <v>2.68</v>
      </c>
      <c r="U2241" s="6">
        <v>2</v>
      </c>
      <c r="V2241" s="7">
        <v>45352</v>
      </c>
      <c r="W2241" s="10">
        <f ca="1">IFERROR(__xludf.DUMMYFUNCTION("IFERROR(GOOGLEFINANCE(B2241,""pe""),V2241)"),45352)</f>
        <v>45352</v>
      </c>
      <c r="X2241" s="6">
        <v>0.1</v>
      </c>
      <c r="Y2241" s="6">
        <v>13.13</v>
      </c>
      <c r="Z2241" s="6">
        <v>23.25</v>
      </c>
      <c r="AA2241" s="3" t="s">
        <v>7019</v>
      </c>
      <c r="AB2241" s="11"/>
      <c r="AC2241" s="9"/>
      <c r="AD2241" s="9"/>
      <c r="AE2241" s="1">
        <v>0</v>
      </c>
      <c r="AF2241" s="1">
        <f ca="1">IFERROR(__xludf.DUMMYFUNCTION("IFERROR(GOOGLEFINANCE(TRIM(F2241)&amp;"":"" &amp; TRIM(B2241),""high52""),AE2241)"),0)</f>
        <v>0</v>
      </c>
      <c r="AG2241" s="1">
        <v>0</v>
      </c>
      <c r="AH2241" s="1">
        <f ca="1">IFERROR(__xludf.DUMMYFUNCTION("IFERROR(GOOGLEFINANCE(TRIM(F2241)&amp;"":"" &amp; TRIM(B2241),""low52""),AE2241)"),0)</f>
        <v>0</v>
      </c>
      <c r="AI2241" s="1">
        <f ca="1">IFERROR(__xludf.DUMMYFUNCTION("IFERROR(GOOGLEFINANCE(B2241,""eps""),0)"),0)</f>
        <v>0</v>
      </c>
      <c r="AJ2241" s="1"/>
      <c r="AK2241" s="1" t="s">
        <v>7020</v>
      </c>
      <c r="AL2241" s="9">
        <f t="shared" si="235"/>
        <v>1</v>
      </c>
    </row>
    <row r="2242" spans="1:38" ht="15" x14ac:dyDescent="0.25">
      <c r="A2242" s="1" t="s">
        <v>7021</v>
      </c>
      <c r="B2242" s="1" t="s">
        <v>7022</v>
      </c>
      <c r="C2242" s="1" t="s">
        <v>82</v>
      </c>
      <c r="D2242" s="1" t="s">
        <v>82</v>
      </c>
      <c r="E2242" s="6">
        <v>41.92</v>
      </c>
      <c r="F2242" s="1" t="s">
        <v>40</v>
      </c>
      <c r="G2242" s="6">
        <f ca="1">IFERROR(__xludf.DUMMYFUNCTION("iferror(GOOGLEFINANCE(TRIM(F2242)&amp;"":"" &amp; TRIM(B2242), ""price""),0
)"),2.02)</f>
        <v>2.02</v>
      </c>
      <c r="H2242" s="6">
        <v>4.7300000000000004</v>
      </c>
      <c r="I2242" s="6">
        <f t="shared" ca="1" si="0"/>
        <v>2.02</v>
      </c>
      <c r="J2242" s="6">
        <f ca="1">IFERROR(__xludf.DUMMYFUNCTION("IFERROR(GOOGLEFINANCE(B2242, ""volume""), 0)"),98266)</f>
        <v>98266</v>
      </c>
      <c r="K2242" s="6">
        <v>0.42</v>
      </c>
      <c r="L2242" s="6">
        <f ca="1">IFERROR(__xludf.DUMMYFUNCTION("IFERROR(GOOGLEFINANCE(B2242,""changepct""),K2242)"),-1.46)</f>
        <v>-1.46</v>
      </c>
      <c r="M2242" s="6">
        <f ca="1">IFERROR(__xludf.DUMMYFUNCTION("IFERROR(GOOGLEFINANCE(B2242,""change""),0)"),-0.03)</f>
        <v>-0.03</v>
      </c>
      <c r="N2242" s="6">
        <v>2</v>
      </c>
      <c r="O2242" s="7">
        <v>45536</v>
      </c>
      <c r="P2242" s="6">
        <v>27.64</v>
      </c>
      <c r="Q2242" s="6">
        <v>69.56</v>
      </c>
      <c r="R2242" s="7">
        <v>45536</v>
      </c>
      <c r="S2242" s="6">
        <v>53.71</v>
      </c>
      <c r="T2242" s="6">
        <v>1.27</v>
      </c>
      <c r="U2242" s="7">
        <v>45536</v>
      </c>
      <c r="V2242" s="6">
        <v>33.06</v>
      </c>
      <c r="W2242" s="6">
        <f ca="1">IFERROR(__xludf.DUMMYFUNCTION("IFERROR(GOOGLEFINANCE(B2242,""pe""),V2242)"),33.06)</f>
        <v>33.06</v>
      </c>
      <c r="X2242" s="9"/>
      <c r="Y2242" s="6">
        <v>0.99</v>
      </c>
      <c r="Z2242" s="6">
        <v>2</v>
      </c>
      <c r="AA2242" s="8">
        <v>45352</v>
      </c>
      <c r="AB2242" s="4">
        <v>2.2400000000000002</v>
      </c>
      <c r="AC2242" s="6">
        <v>8.26</v>
      </c>
      <c r="AD2242" s="6">
        <v>8.27</v>
      </c>
      <c r="AE2242" s="1"/>
      <c r="AF2242" s="1">
        <f ca="1">IFERROR(__xludf.DUMMYFUNCTION("IFERROR(GOOGLEFINANCE(TRIM(F2242)&amp;"":"" &amp; TRIM(B2242),""high52""),AE2242)"),4.16)</f>
        <v>4.16</v>
      </c>
      <c r="AG2242" s="1">
        <v>0</v>
      </c>
      <c r="AH2242" s="1">
        <f ca="1">IFERROR(__xludf.DUMMYFUNCTION("IFERROR(GOOGLEFINANCE(TRIM(F2242)&amp;"":"" &amp; TRIM(B2242),""low52""),AE2242)"),1.88)</f>
        <v>1.88</v>
      </c>
      <c r="AI2242" s="1">
        <f ca="1">IFERROR(__xludf.DUMMYFUNCTION("IFERROR(GOOGLEFINANCE(B2242,""eps""),0)"),-0.76)</f>
        <v>-0.76</v>
      </c>
      <c r="AJ2242" s="1"/>
      <c r="AK2242" s="9"/>
      <c r="AL2242" s="9">
        <f t="shared" si="235"/>
        <v>1</v>
      </c>
    </row>
    <row r="2243" spans="1:38" ht="15" x14ac:dyDescent="0.25">
      <c r="A2243" s="1" t="s">
        <v>7023</v>
      </c>
      <c r="B2243" s="1" t="s">
        <v>7024</v>
      </c>
      <c r="C2243" s="1" t="s">
        <v>75</v>
      </c>
      <c r="D2243" s="1" t="s">
        <v>75</v>
      </c>
      <c r="E2243" s="6">
        <v>36.83</v>
      </c>
      <c r="F2243" s="1" t="s">
        <v>53</v>
      </c>
      <c r="G2243" s="6">
        <f ca="1">IFERROR(__xludf.DUMMYFUNCTION("iferror(GOOGLEFINANCE(TRIM(F2243)&amp;"":"" &amp; TRIM(B2243), ""price""),0
)"),0)</f>
        <v>0</v>
      </c>
      <c r="H2243" s="6">
        <v>94.8</v>
      </c>
      <c r="I2243" s="6">
        <f t="shared" ca="1" si="0"/>
        <v>94.8</v>
      </c>
      <c r="J2243" s="6">
        <f ca="1">IFERROR(__xludf.DUMMYFUNCTION("IFERROR(GOOGLEFINANCE(B2243, ""volume""), 0)"),0)</f>
        <v>0</v>
      </c>
      <c r="K2243" s="6">
        <v>1.08</v>
      </c>
      <c r="L2243" s="6">
        <f ca="1">IFERROR(__xludf.DUMMYFUNCTION("IFERROR(GOOGLEFINANCE(B2243,""changepct""),K2243)"),1.08)</f>
        <v>1.08</v>
      </c>
      <c r="M2243" s="6">
        <f ca="1">IFERROR(__xludf.DUMMYFUNCTION("IFERROR(GOOGLEFINANCE(B2243,""change""),0)"),0)</f>
        <v>0</v>
      </c>
      <c r="N2243" s="6">
        <v>2</v>
      </c>
      <c r="O2243" s="7">
        <v>45536</v>
      </c>
      <c r="P2243" s="6">
        <v>2.2799999999999998</v>
      </c>
      <c r="Q2243" s="7">
        <v>45536</v>
      </c>
      <c r="R2243" s="6">
        <v>16.190000000000001</v>
      </c>
      <c r="S2243" s="6">
        <v>0.56999999999999995</v>
      </c>
      <c r="T2243" s="6">
        <v>0.54</v>
      </c>
      <c r="U2243" s="6">
        <v>2</v>
      </c>
      <c r="V2243" s="7">
        <v>45352</v>
      </c>
      <c r="W2243" s="10">
        <f ca="1">IFERROR(__xludf.DUMMYFUNCTION("IFERROR(GOOGLEFINANCE(B2243,""pe""),V2243)"),45352)</f>
        <v>45352</v>
      </c>
      <c r="X2243" s="6">
        <v>0.01</v>
      </c>
      <c r="Y2243" s="6">
        <v>4.43</v>
      </c>
      <c r="Z2243" s="6">
        <v>6.47</v>
      </c>
      <c r="AA2243" s="3" t="s">
        <v>7025</v>
      </c>
      <c r="AB2243" s="11"/>
      <c r="AC2243" s="9"/>
      <c r="AD2243" s="9"/>
      <c r="AE2243" s="1">
        <v>0</v>
      </c>
      <c r="AF2243" s="1">
        <f ca="1">IFERROR(__xludf.DUMMYFUNCTION("IFERROR(GOOGLEFINANCE(TRIM(F2243)&amp;"":"" &amp; TRIM(B2243),""high52""),AE2243)"),0)</f>
        <v>0</v>
      </c>
      <c r="AG2243" s="1">
        <v>0</v>
      </c>
      <c r="AH2243" s="1">
        <f ca="1">IFERROR(__xludf.DUMMYFUNCTION("IFERROR(GOOGLEFINANCE(TRIM(F2243)&amp;"":"" &amp; TRIM(B2243),""low52""),AE2243)"),0)</f>
        <v>0</v>
      </c>
      <c r="AI2243" s="1">
        <f ca="1">IFERROR(__xludf.DUMMYFUNCTION("IFERROR(GOOGLEFINANCE(B2243,""eps""),0)"),0)</f>
        <v>0</v>
      </c>
      <c r="AJ2243" s="1"/>
      <c r="AK2243" s="1" t="s">
        <v>7026</v>
      </c>
      <c r="AL2243" s="9">
        <f t="shared" si="235"/>
        <v>1</v>
      </c>
    </row>
    <row r="2244" spans="1:38" ht="15" x14ac:dyDescent="0.25">
      <c r="A2244" s="1" t="s">
        <v>7027</v>
      </c>
      <c r="B2244" s="1" t="s">
        <v>7028</v>
      </c>
      <c r="C2244" s="1" t="s">
        <v>57</v>
      </c>
      <c r="D2244" s="1" t="s">
        <v>57</v>
      </c>
      <c r="E2244" s="6">
        <v>1184.3</v>
      </c>
      <c r="F2244" s="1" t="s">
        <v>40</v>
      </c>
      <c r="G2244" s="6">
        <f ca="1">IFERROR(__xludf.DUMMYFUNCTION("iferror(GOOGLEFINANCE(TRIM(F2244)&amp;"":"" &amp; TRIM(B2244), ""price""),0
)"),262.5)</f>
        <v>262.5</v>
      </c>
      <c r="H2244" s="6">
        <v>990.3</v>
      </c>
      <c r="I2244" s="6">
        <f t="shared" ca="1" si="0"/>
        <v>262.5</v>
      </c>
      <c r="J2244" s="6">
        <f ca="1">IFERROR(__xludf.DUMMYFUNCTION("IFERROR(GOOGLEFINANCE(B2244, ""volume""), 0)"),30524)</f>
        <v>30524</v>
      </c>
      <c r="K2244" s="6">
        <v>-0.8</v>
      </c>
      <c r="L2244" s="6">
        <f ca="1">IFERROR(__xludf.DUMMYFUNCTION("IFERROR(GOOGLEFINANCE(B2244,""changepct""),K2244)"),-0.79)</f>
        <v>-0.79</v>
      </c>
      <c r="M2244" s="6">
        <f ca="1">IFERROR(__xludf.DUMMYFUNCTION("IFERROR(GOOGLEFINANCE(B2244,""change""),0)"),-2.1)</f>
        <v>-2.1</v>
      </c>
      <c r="N2244" s="6">
        <v>2</v>
      </c>
      <c r="O2244" s="7">
        <v>45536</v>
      </c>
      <c r="P2244" s="12"/>
      <c r="Q2244" s="6">
        <v>1168.71</v>
      </c>
      <c r="R2244" s="7">
        <v>45536</v>
      </c>
      <c r="S2244" s="6">
        <v>125.26</v>
      </c>
      <c r="T2244" s="6">
        <v>36.479999999999997</v>
      </c>
      <c r="U2244" s="7">
        <v>45536</v>
      </c>
      <c r="V2244" s="6">
        <v>32.46</v>
      </c>
      <c r="W2244" s="6">
        <f ca="1">IFERROR(__xludf.DUMMYFUNCTION("IFERROR(GOOGLEFINANCE(B2244,""pe""),V2244)"),20.41)</f>
        <v>20.41</v>
      </c>
      <c r="X2244" s="9"/>
      <c r="Y2244" s="6">
        <v>36.67</v>
      </c>
      <c r="Z2244" s="6">
        <v>2</v>
      </c>
      <c r="AA2244" s="8">
        <v>45352</v>
      </c>
      <c r="AB2244" s="4">
        <v>0</v>
      </c>
      <c r="AC2244" s="6">
        <v>147.80000000000001</v>
      </c>
      <c r="AD2244" s="6">
        <v>199</v>
      </c>
      <c r="AE2244" s="1">
        <v>0</v>
      </c>
      <c r="AF2244" s="1">
        <f ca="1">IFERROR(__xludf.DUMMYFUNCTION("IFERROR(GOOGLEFINANCE(TRIM(F2244)&amp;"":"" &amp; TRIM(B2244),""high52""),AE2244)"),514)</f>
        <v>514</v>
      </c>
      <c r="AG2244" s="1">
        <v>0</v>
      </c>
      <c r="AH2244" s="1">
        <f ca="1">IFERROR(__xludf.DUMMYFUNCTION("IFERROR(GOOGLEFINANCE(TRIM(F2244)&amp;"":"" &amp; TRIM(B2244),""low52""),AE2244)"),250.05)</f>
        <v>250.05</v>
      </c>
      <c r="AI2244" s="1">
        <f ca="1">IFERROR(__xludf.DUMMYFUNCTION("IFERROR(GOOGLEFINANCE(B2244,""eps""),0)"),12.86)</f>
        <v>12.86</v>
      </c>
      <c r="AJ2244" s="1"/>
      <c r="AK2244" s="1" t="s">
        <v>7029</v>
      </c>
      <c r="AL2244" s="9">
        <f t="shared" si="235"/>
        <v>1</v>
      </c>
    </row>
    <row r="2245" spans="1:38" ht="15" x14ac:dyDescent="0.25">
      <c r="A2245" s="1" t="s">
        <v>7030</v>
      </c>
      <c r="B2245" s="1" t="s">
        <v>7031</v>
      </c>
      <c r="C2245" s="1" t="s">
        <v>373</v>
      </c>
      <c r="D2245" s="1" t="s">
        <v>373</v>
      </c>
      <c r="E2245" s="6">
        <v>1169.77</v>
      </c>
      <c r="F2245" s="1" t="s">
        <v>40</v>
      </c>
      <c r="G2245" s="6">
        <f ca="1">IFERROR(__xludf.DUMMYFUNCTION("iferror(GOOGLEFINANCE(TRIM(F2245)&amp;"":"" &amp; TRIM(B2245), ""price""),0
)"),84.45)</f>
        <v>84.45</v>
      </c>
      <c r="H2245" s="6">
        <v>132.99</v>
      </c>
      <c r="I2245" s="6">
        <f t="shared" ca="1" si="0"/>
        <v>84.45</v>
      </c>
      <c r="J2245" s="6">
        <f ca="1">IFERROR(__xludf.DUMMYFUNCTION("IFERROR(GOOGLEFINANCE(B2245, ""volume""), 0)"),19075)</f>
        <v>19075</v>
      </c>
      <c r="K2245" s="6">
        <v>-0.28000000000000003</v>
      </c>
      <c r="L2245" s="6">
        <f ca="1">IFERROR(__xludf.DUMMYFUNCTION("IFERROR(GOOGLEFINANCE(B2245,""changepct""),K2245)"),-2.09)</f>
        <v>-2.09</v>
      </c>
      <c r="M2245" s="6">
        <f ca="1">IFERROR(__xludf.DUMMYFUNCTION("IFERROR(GOOGLEFINANCE(B2245,""change""),0)"),-1.8)</f>
        <v>-1.8</v>
      </c>
      <c r="N2245" s="6">
        <v>1</v>
      </c>
      <c r="O2245" s="7">
        <v>45536</v>
      </c>
      <c r="P2245" s="6">
        <v>490.76</v>
      </c>
      <c r="Q2245" s="6">
        <v>1651.79</v>
      </c>
      <c r="R2245" s="7">
        <v>45536</v>
      </c>
      <c r="S2245" s="6">
        <v>1159.93</v>
      </c>
      <c r="T2245" s="6">
        <v>144.13</v>
      </c>
      <c r="U2245" s="7">
        <v>45536</v>
      </c>
      <c r="V2245" s="6">
        <v>8.1199999999999992</v>
      </c>
      <c r="W2245" s="6">
        <f ca="1">IFERROR(__xludf.DUMMYFUNCTION("IFERROR(GOOGLEFINANCE(B2245,""pe""),V2245)"),11.37)</f>
        <v>11.37</v>
      </c>
      <c r="X2245" s="6">
        <v>0.43</v>
      </c>
      <c r="Y2245" s="6">
        <v>1</v>
      </c>
      <c r="Z2245" s="6">
        <v>1</v>
      </c>
      <c r="AA2245" s="8">
        <v>45352</v>
      </c>
      <c r="AB2245" s="4">
        <v>0.46</v>
      </c>
      <c r="AC2245" s="6">
        <v>17.59</v>
      </c>
      <c r="AD2245" s="6">
        <v>18.690000000000001</v>
      </c>
      <c r="AE2245" s="1">
        <v>0</v>
      </c>
      <c r="AF2245" s="1">
        <f ca="1">IFERROR(__xludf.DUMMYFUNCTION("IFERROR(GOOGLEFINANCE(TRIM(F2245)&amp;"":"" &amp; TRIM(B2245),""high52""),AE2245)"),135)</f>
        <v>135</v>
      </c>
      <c r="AG2245" s="1">
        <v>0</v>
      </c>
      <c r="AH2245" s="1">
        <f ca="1">IFERROR(__xludf.DUMMYFUNCTION("IFERROR(GOOGLEFINANCE(TRIM(F2245)&amp;"":"" &amp; TRIM(B2245),""low52""),AE2245)"),83)</f>
        <v>83</v>
      </c>
      <c r="AI2245" s="1">
        <f ca="1">IFERROR(__xludf.DUMMYFUNCTION("IFERROR(GOOGLEFINANCE(B2245,""eps""),0)"),7.43)</f>
        <v>7.43</v>
      </c>
      <c r="AJ2245" s="1"/>
      <c r="AK2245" s="1" t="s">
        <v>7032</v>
      </c>
      <c r="AL2245" s="9">
        <f t="shared" si="235"/>
        <v>1</v>
      </c>
    </row>
    <row r="2246" spans="1:38" ht="15" x14ac:dyDescent="0.25">
      <c r="A2246" s="1" t="s">
        <v>7033</v>
      </c>
      <c r="B2246" s="1" t="s">
        <v>7034</v>
      </c>
      <c r="C2246" s="1" t="s">
        <v>125</v>
      </c>
      <c r="D2246" s="1" t="s">
        <v>125</v>
      </c>
      <c r="E2246" s="6">
        <v>150.07</v>
      </c>
      <c r="F2246" s="1" t="s">
        <v>40</v>
      </c>
      <c r="G2246" s="6">
        <f ca="1">IFERROR(__xludf.DUMMYFUNCTION("iferror(GOOGLEFINANCE(TRIM(F2246)&amp;"":"" &amp; TRIM(B2246), ""price""),0
)"),0)</f>
        <v>0</v>
      </c>
      <c r="H2246" s="6">
        <v>144</v>
      </c>
      <c r="I2246" s="6">
        <f t="shared" ca="1" si="0"/>
        <v>144</v>
      </c>
      <c r="J2246" s="6">
        <f ca="1">IFERROR(__xludf.DUMMYFUNCTION("IFERROR(GOOGLEFINANCE(B2246, ""volume""), 0)"),582178)</f>
        <v>582178</v>
      </c>
      <c r="K2246" s="6">
        <v>-1.44</v>
      </c>
      <c r="L2246" s="6">
        <f ca="1">IFERROR(__xludf.DUMMYFUNCTION("IFERROR(GOOGLEFINANCE(B2246,""changepct""),K2246)"),-3.23)</f>
        <v>-3.23</v>
      </c>
      <c r="M2246" s="6">
        <f ca="1">IFERROR(__xludf.DUMMYFUNCTION("IFERROR(GOOGLEFINANCE(B2246,""change""),0)"),-0.26)</f>
        <v>-0.26</v>
      </c>
      <c r="N2246" s="6">
        <v>1</v>
      </c>
      <c r="O2246" s="7">
        <v>45536</v>
      </c>
      <c r="P2246" s="6">
        <v>26.51</v>
      </c>
      <c r="Q2246" s="6">
        <v>176.58</v>
      </c>
      <c r="R2246" s="7">
        <v>45352</v>
      </c>
      <c r="S2246" s="6">
        <v>84.23</v>
      </c>
      <c r="T2246" s="6">
        <v>3</v>
      </c>
      <c r="U2246" s="7">
        <v>45352</v>
      </c>
      <c r="V2246" s="6">
        <v>49.97</v>
      </c>
      <c r="W2246" s="6">
        <f ca="1">IFERROR(__xludf.DUMMYFUNCTION("IFERROR(GOOGLEFINANCE(B2246,""pe""),V2246)"),27.19)</f>
        <v>27.19</v>
      </c>
      <c r="X2246" s="12"/>
      <c r="Y2246" s="6">
        <v>4.62</v>
      </c>
      <c r="Z2246" s="6">
        <v>1</v>
      </c>
      <c r="AA2246" s="8">
        <v>45352</v>
      </c>
      <c r="AB2246" s="4">
        <v>0.56000000000000005</v>
      </c>
      <c r="AC2246" s="6">
        <v>14.79</v>
      </c>
      <c r="AD2246" s="6">
        <v>18.190000000000001</v>
      </c>
      <c r="AE2246" s="1">
        <v>0</v>
      </c>
      <c r="AF2246" s="1">
        <f ca="1">IFERROR(__xludf.DUMMYFUNCTION("IFERROR(GOOGLEFINANCE(TRIM(F2246)&amp;"":"" &amp; TRIM(B2246),""high52""),AE2246)"),0)</f>
        <v>0</v>
      </c>
      <c r="AG2246" s="1">
        <v>0</v>
      </c>
      <c r="AH2246" s="1">
        <f ca="1">IFERROR(__xludf.DUMMYFUNCTION("IFERROR(GOOGLEFINANCE(TRIM(F2246)&amp;"":"" &amp; TRIM(B2246),""low52""),AE2246)"),0)</f>
        <v>0</v>
      </c>
      <c r="AI2246" s="1">
        <f ca="1">IFERROR(__xludf.DUMMYFUNCTION("IFERROR(GOOGLEFINANCE(B2246,""eps""),0)"),0.29)</f>
        <v>0.28999999999999998</v>
      </c>
      <c r="AJ2246" s="1"/>
      <c r="AK2246" s="1" t="s">
        <v>7035</v>
      </c>
      <c r="AL2246" s="9">
        <f t="shared" si="235"/>
        <v>1</v>
      </c>
    </row>
    <row r="2247" spans="1:38" ht="15" x14ac:dyDescent="0.25">
      <c r="A2247" s="1" t="s">
        <v>7036</v>
      </c>
      <c r="B2247" s="1" t="s">
        <v>7037</v>
      </c>
      <c r="C2247" s="1" t="s">
        <v>208</v>
      </c>
      <c r="D2247" s="1" t="s">
        <v>208</v>
      </c>
      <c r="E2247" s="6">
        <v>35655.58</v>
      </c>
      <c r="F2247" s="1" t="s">
        <v>40</v>
      </c>
      <c r="G2247" s="6">
        <f ca="1">IFERROR(__xludf.DUMMYFUNCTION("iferror(GOOGLEFINANCE(TRIM(F2247)&amp;"":"" &amp; TRIM(B2247), ""price""),0
)"),278.15)</f>
        <v>278.14999999999998</v>
      </c>
      <c r="H2247" s="6">
        <v>142.97</v>
      </c>
      <c r="I2247" s="6">
        <f t="shared" ca="1" si="0"/>
        <v>278.14999999999998</v>
      </c>
      <c r="J2247" s="6">
        <f ca="1">IFERROR(__xludf.DUMMYFUNCTION("IFERROR(GOOGLEFINANCE(B2247, ""volume""), 0)"),9193919)</f>
        <v>9193919</v>
      </c>
      <c r="K2247" s="6">
        <v>0.08</v>
      </c>
      <c r="L2247" s="6">
        <f ca="1">IFERROR(__xludf.DUMMYFUNCTION("IFERROR(GOOGLEFINANCE(B2247,""changepct""),K2247)"),-0.34)</f>
        <v>-0.34</v>
      </c>
      <c r="M2247" s="6">
        <f ca="1">IFERROR(__xludf.DUMMYFUNCTION("IFERROR(GOOGLEFINANCE(B2247,""change""),0)"),-0.95)</f>
        <v>-0.95</v>
      </c>
      <c r="N2247" s="6">
        <v>2</v>
      </c>
      <c r="O2247" s="7">
        <v>45536</v>
      </c>
      <c r="P2247" s="6">
        <v>2574.3200000000002</v>
      </c>
      <c r="Q2247" s="7">
        <v>45536</v>
      </c>
      <c r="R2247" s="6">
        <v>13.85</v>
      </c>
      <c r="S2247" s="6">
        <v>16.68</v>
      </c>
      <c r="T2247" s="6">
        <v>1.47</v>
      </c>
      <c r="U2247" s="6">
        <v>2</v>
      </c>
      <c r="V2247" s="7">
        <v>45352</v>
      </c>
      <c r="W2247" s="10">
        <f ca="1">IFERROR(__xludf.DUMMYFUNCTION("IFERROR(GOOGLEFINANCE(B2247,""pe""),V2247)"),45352)</f>
        <v>45352</v>
      </c>
      <c r="X2247" s="6">
        <v>3.28</v>
      </c>
      <c r="Y2247" s="6">
        <v>10.36</v>
      </c>
      <c r="Z2247" s="6">
        <v>8.24</v>
      </c>
      <c r="AA2247" s="3" t="s">
        <v>7038</v>
      </c>
      <c r="AB2247" s="11"/>
      <c r="AC2247" s="9"/>
      <c r="AD2247" s="9"/>
      <c r="AE2247" s="1">
        <v>0</v>
      </c>
      <c r="AF2247" s="1">
        <f ca="1">IFERROR(__xludf.DUMMYFUNCTION("IFERROR(GOOGLEFINANCE(TRIM(F2247)&amp;"":"" &amp; TRIM(B2247),""high52""),AE2247)"),329.45)</f>
        <v>329.45</v>
      </c>
      <c r="AG2247" s="1">
        <v>0</v>
      </c>
      <c r="AH2247" s="1">
        <f ca="1">IFERROR(__xludf.DUMMYFUNCTION("IFERROR(GOOGLEFINANCE(TRIM(F2247)&amp;"":"" &amp; TRIM(B2247),""low52""),AE2247)"),131.05)</f>
        <v>131.05000000000001</v>
      </c>
      <c r="AI2247" s="1">
        <f ca="1">IFERROR(__xludf.DUMMYFUNCTION("IFERROR(GOOGLEFINANCE(B2247,""eps""),0)"),0)</f>
        <v>0</v>
      </c>
      <c r="AJ2247" s="1"/>
      <c r="AK2247" s="1" t="s">
        <v>7039</v>
      </c>
      <c r="AL2247" s="9">
        <f t="shared" si="235"/>
        <v>1</v>
      </c>
    </row>
    <row r="2248" spans="1:38" ht="15" x14ac:dyDescent="0.25">
      <c r="A2248" s="1" t="s">
        <v>7040</v>
      </c>
      <c r="B2248" s="1" t="s">
        <v>7041</v>
      </c>
      <c r="C2248" s="1" t="s">
        <v>75</v>
      </c>
      <c r="D2248" s="1" t="s">
        <v>75</v>
      </c>
      <c r="E2248" s="6">
        <v>124.45</v>
      </c>
      <c r="F2248" s="1" t="s">
        <v>53</v>
      </c>
      <c r="G2248" s="6">
        <f ca="1">IFERROR(__xludf.DUMMYFUNCTION("iferror(GOOGLEFINANCE(TRIM(F2248)&amp;"":"" &amp; TRIM(B2248), ""price""),0
)"),0)</f>
        <v>0</v>
      </c>
      <c r="H2248" s="6">
        <v>1.74</v>
      </c>
      <c r="I2248" s="6">
        <f t="shared" ca="1" si="0"/>
        <v>1.74</v>
      </c>
      <c r="J2248" s="6">
        <f ca="1">IFERROR(__xludf.DUMMYFUNCTION("IFERROR(GOOGLEFINANCE(B2248, ""volume""), 0)"),0)</f>
        <v>0</v>
      </c>
      <c r="K2248" s="6">
        <v>-1.69</v>
      </c>
      <c r="L2248" s="6">
        <f ca="1">IFERROR(__xludf.DUMMYFUNCTION("IFERROR(GOOGLEFINANCE(B2248,""changepct""),K2248)"),-1.69)</f>
        <v>-1.69</v>
      </c>
      <c r="M2248" s="6">
        <f ca="1">IFERROR(__xludf.DUMMYFUNCTION("IFERROR(GOOGLEFINANCE(B2248,""change""),0)"),0)</f>
        <v>0</v>
      </c>
      <c r="N2248" s="6">
        <v>1</v>
      </c>
      <c r="O2248" s="7">
        <v>45536</v>
      </c>
      <c r="P2248" s="6">
        <v>6.9</v>
      </c>
      <c r="Q2248" s="7">
        <v>45536</v>
      </c>
      <c r="R2248" s="6">
        <v>18.04</v>
      </c>
      <c r="S2248" s="6">
        <v>0.92</v>
      </c>
      <c r="T2248" s="6">
        <v>-13.58</v>
      </c>
      <c r="U2248" s="6">
        <v>1</v>
      </c>
      <c r="V2248" s="7">
        <v>45352</v>
      </c>
      <c r="W2248" s="10">
        <f ca="1">IFERROR(__xludf.DUMMYFUNCTION("IFERROR(GOOGLEFINANCE(B2248,""pe""),V2248)"),45352)</f>
        <v>45352</v>
      </c>
      <c r="X2248" s="6">
        <v>-1.1399999999999999</v>
      </c>
      <c r="Y2248" s="6">
        <v>0</v>
      </c>
      <c r="Z2248" s="6">
        <v>437.15</v>
      </c>
      <c r="AA2248" s="3" t="s">
        <v>7042</v>
      </c>
      <c r="AB2248" s="11"/>
      <c r="AC2248" s="9"/>
      <c r="AD2248" s="9"/>
      <c r="AE2248" s="1">
        <v>0</v>
      </c>
      <c r="AF2248" s="1">
        <f ca="1">IFERROR(__xludf.DUMMYFUNCTION("IFERROR(GOOGLEFINANCE(TRIM(F2248)&amp;"":"" &amp; TRIM(B2248),""high52""),AE2248)"),0)</f>
        <v>0</v>
      </c>
      <c r="AG2248" s="1">
        <v>0</v>
      </c>
      <c r="AH2248" s="1">
        <f ca="1">IFERROR(__xludf.DUMMYFUNCTION("IFERROR(GOOGLEFINANCE(TRIM(F2248)&amp;"":"" &amp; TRIM(B2248),""low52""),AE2248)"),0)</f>
        <v>0</v>
      </c>
      <c r="AI2248" s="1">
        <f ca="1">IFERROR(__xludf.DUMMYFUNCTION("IFERROR(GOOGLEFINANCE(B2248,""eps""),0)"),0)</f>
        <v>0</v>
      </c>
      <c r="AJ2248" s="1"/>
      <c r="AK2248" s="1" t="s">
        <v>7043</v>
      </c>
      <c r="AL2248" s="9">
        <f t="shared" si="235"/>
        <v>1</v>
      </c>
    </row>
    <row r="2249" spans="1:38" ht="15" x14ac:dyDescent="0.25">
      <c r="A2249" s="1" t="s">
        <v>7044</v>
      </c>
      <c r="B2249" s="1" t="s">
        <v>7045</v>
      </c>
      <c r="C2249" s="1" t="s">
        <v>75</v>
      </c>
      <c r="D2249" s="1" t="s">
        <v>75</v>
      </c>
      <c r="E2249" s="6">
        <v>25.92</v>
      </c>
      <c r="F2249" s="1" t="s">
        <v>53</v>
      </c>
      <c r="G2249" s="6">
        <f ca="1">IFERROR(__xludf.DUMMYFUNCTION("iferror(GOOGLEFINANCE(TRIM(F2249)&amp;"":"" &amp; TRIM(B2249), ""price""),0
)"),0)</f>
        <v>0</v>
      </c>
      <c r="H2249" s="6">
        <v>10.73</v>
      </c>
      <c r="I2249" s="6">
        <f t="shared" ca="1" si="0"/>
        <v>10.73</v>
      </c>
      <c r="J2249" s="6">
        <f ca="1">IFERROR(__xludf.DUMMYFUNCTION("IFERROR(GOOGLEFINANCE(B2249, ""volume""), 0)"),0)</f>
        <v>0</v>
      </c>
      <c r="K2249" s="6">
        <v>-3.33</v>
      </c>
      <c r="L2249" s="6">
        <f ca="1">IFERROR(__xludf.DUMMYFUNCTION("IFERROR(GOOGLEFINANCE(B2249,""changepct""),K2249)"),-3.33)</f>
        <v>-3.33</v>
      </c>
      <c r="M2249" s="6">
        <f ca="1">IFERROR(__xludf.DUMMYFUNCTION("IFERROR(GOOGLEFINANCE(B2249,""change""),0)"),0)</f>
        <v>0</v>
      </c>
      <c r="N2249" s="6">
        <v>2</v>
      </c>
      <c r="O2249" s="7">
        <v>45536</v>
      </c>
      <c r="P2249" s="6">
        <v>0.06</v>
      </c>
      <c r="Q2249" s="7">
        <v>45536</v>
      </c>
      <c r="R2249" s="6">
        <v>18.149999999999999</v>
      </c>
      <c r="S2249" s="6">
        <v>-0.61</v>
      </c>
      <c r="T2249" s="6">
        <v>0.22</v>
      </c>
      <c r="U2249" s="6">
        <v>2</v>
      </c>
      <c r="V2249" s="7">
        <v>45352</v>
      </c>
      <c r="W2249" s="10">
        <f ca="1">IFERROR(__xludf.DUMMYFUNCTION("IFERROR(GOOGLEFINANCE(B2249,""pe""),V2249)"),45352)</f>
        <v>45352</v>
      </c>
      <c r="X2249" s="6">
        <v>1.26</v>
      </c>
      <c r="Y2249" s="6">
        <v>2.5</v>
      </c>
      <c r="Z2249" s="6">
        <v>10.93</v>
      </c>
      <c r="AA2249" s="3" t="s">
        <v>7046</v>
      </c>
      <c r="AB2249" s="11"/>
      <c r="AC2249" s="9"/>
      <c r="AD2249" s="9"/>
      <c r="AE2249" s="1">
        <v>0</v>
      </c>
      <c r="AF2249" s="1">
        <f ca="1">IFERROR(__xludf.DUMMYFUNCTION("IFERROR(GOOGLEFINANCE(TRIM(F2249)&amp;"":"" &amp; TRIM(B2249),""high52""),AE2249)"),0)</f>
        <v>0</v>
      </c>
      <c r="AG2249" s="1">
        <v>0</v>
      </c>
      <c r="AH2249" s="1">
        <f ca="1">IFERROR(__xludf.DUMMYFUNCTION("IFERROR(GOOGLEFINANCE(TRIM(F2249)&amp;"":"" &amp; TRIM(B2249),""low52""),AE2249)"),0)</f>
        <v>0</v>
      </c>
      <c r="AI2249" s="1">
        <f ca="1">IFERROR(__xludf.DUMMYFUNCTION("IFERROR(GOOGLEFINANCE(B2249,""eps""),0)"),0)</f>
        <v>0</v>
      </c>
      <c r="AJ2249" s="1"/>
      <c r="AK2249" s="1" t="s">
        <v>7047</v>
      </c>
      <c r="AL2249" s="9">
        <f t="shared" si="235"/>
        <v>1</v>
      </c>
    </row>
    <row r="2250" spans="1:38" ht="15" x14ac:dyDescent="0.25">
      <c r="A2250" s="1" t="s">
        <v>7048</v>
      </c>
      <c r="B2250" s="1" t="s">
        <v>7049</v>
      </c>
      <c r="C2250" s="1" t="s">
        <v>57</v>
      </c>
      <c r="D2250" s="1" t="s">
        <v>57</v>
      </c>
      <c r="E2250" s="6">
        <v>50784.17</v>
      </c>
      <c r="F2250" s="1" t="s">
        <v>40</v>
      </c>
      <c r="G2250" s="6">
        <f ca="1">IFERROR(__xludf.DUMMYFUNCTION("iferror(GOOGLEFINANCE(TRIM(F2250)&amp;"":"" &amp; TRIM(B2250), ""price""),0
)"),3708.9)</f>
        <v>3708.9</v>
      </c>
      <c r="H2250" s="6">
        <v>4829.1000000000004</v>
      </c>
      <c r="I2250" s="6">
        <f t="shared" ca="1" si="0"/>
        <v>3708.9</v>
      </c>
      <c r="J2250" s="6">
        <f ca="1">IFERROR(__xludf.DUMMYFUNCTION("IFERROR(GOOGLEFINANCE(B2250, ""volume""), 0)"),64603)</f>
        <v>64603</v>
      </c>
      <c r="K2250" s="6">
        <v>0.69</v>
      </c>
      <c r="L2250" s="6">
        <f ca="1">IFERROR(__xludf.DUMMYFUNCTION("IFERROR(GOOGLEFINANCE(B2250,""changepct""),K2250)"),-1.58)</f>
        <v>-1.58</v>
      </c>
      <c r="M2250" s="6">
        <f ca="1">IFERROR(__xludf.DUMMYFUNCTION("IFERROR(GOOGLEFINANCE(B2250,""change""),0)"),-59.5)</f>
        <v>-59.5</v>
      </c>
      <c r="N2250" s="6">
        <v>2</v>
      </c>
      <c r="O2250" s="7">
        <v>45536</v>
      </c>
      <c r="P2250" s="9"/>
      <c r="Q2250" s="6">
        <v>49664.87</v>
      </c>
      <c r="R2250" s="7">
        <v>45536</v>
      </c>
      <c r="S2250" s="6">
        <v>9994.1</v>
      </c>
      <c r="T2250" s="6">
        <v>1312.1</v>
      </c>
      <c r="U2250" s="7">
        <v>45536</v>
      </c>
      <c r="V2250" s="6">
        <v>38.76</v>
      </c>
      <c r="W2250" s="6">
        <f ca="1">IFERROR(__xludf.DUMMYFUNCTION("IFERROR(GOOGLEFINANCE(B2250,""pe""),V2250)"),31.28)</f>
        <v>31.28</v>
      </c>
      <c r="X2250" s="6">
        <v>3.45</v>
      </c>
      <c r="Y2250" s="6">
        <v>9.0399999999999991</v>
      </c>
      <c r="Z2250" s="6">
        <v>2</v>
      </c>
      <c r="AA2250" s="8">
        <v>45352</v>
      </c>
      <c r="AB2250" s="4">
        <v>0</v>
      </c>
      <c r="AC2250" s="6">
        <v>27.29</v>
      </c>
      <c r="AD2250" s="6">
        <v>38</v>
      </c>
      <c r="AE2250" s="1">
        <v>0</v>
      </c>
      <c r="AF2250" s="1">
        <f ca="1">IFERROR(__xludf.DUMMYFUNCTION("IFERROR(GOOGLEFINANCE(TRIM(F2250)&amp;"":"" &amp; TRIM(B2250),""high52""),AE2250)"),5645)</f>
        <v>5645</v>
      </c>
      <c r="AG2250" s="1">
        <v>0</v>
      </c>
      <c r="AH2250" s="1">
        <f ca="1">IFERROR(__xludf.DUMMYFUNCTION("IFERROR(GOOGLEFINANCE(TRIM(F2250)&amp;"":"" &amp; TRIM(B2250),""low52""),AE2250)"),3654)</f>
        <v>3654</v>
      </c>
      <c r="AI2250" s="1">
        <f ca="1">IFERROR(__xludf.DUMMYFUNCTION("IFERROR(GOOGLEFINANCE(B2250,""eps""),0)"),118.56)</f>
        <v>118.56</v>
      </c>
      <c r="AJ2250" s="1"/>
      <c r="AK2250" s="9"/>
      <c r="AL2250" s="9">
        <f t="shared" si="235"/>
        <v>1</v>
      </c>
    </row>
    <row r="2251" spans="1:38" ht="15" x14ac:dyDescent="0.25">
      <c r="A2251" s="1" t="s">
        <v>7050</v>
      </c>
      <c r="B2251" s="1" t="s">
        <v>7051</v>
      </c>
      <c r="C2251" s="1" t="s">
        <v>473</v>
      </c>
      <c r="D2251" s="1" t="s">
        <v>473</v>
      </c>
      <c r="E2251" s="6">
        <v>3584.74</v>
      </c>
      <c r="F2251" s="1" t="s">
        <v>40</v>
      </c>
      <c r="G2251" s="6">
        <f ca="1">IFERROR(__xludf.DUMMYFUNCTION("iferror(GOOGLEFINANCE(TRIM(F2251)&amp;"":"" &amp; TRIM(B2251), ""price""),0
)"),193.85)</f>
        <v>193.85</v>
      </c>
      <c r="H2251" s="6">
        <v>324.05</v>
      </c>
      <c r="I2251" s="6">
        <f t="shared" ca="1" si="0"/>
        <v>193.85</v>
      </c>
      <c r="J2251" s="6">
        <f ca="1">IFERROR(__xludf.DUMMYFUNCTION("IFERROR(GOOGLEFINANCE(B2251, ""volume""), 0)"),28947)</f>
        <v>28947</v>
      </c>
      <c r="K2251" s="6">
        <v>0.48</v>
      </c>
      <c r="L2251" s="6">
        <f ca="1">IFERROR(__xludf.DUMMYFUNCTION("IFERROR(GOOGLEFINANCE(B2251,""changepct""),K2251)"),0.78)</f>
        <v>0.78</v>
      </c>
      <c r="M2251" s="6">
        <f ca="1">IFERROR(__xludf.DUMMYFUNCTION("IFERROR(GOOGLEFINANCE(B2251,""change""),0)"),1.5)</f>
        <v>1.5</v>
      </c>
      <c r="N2251" s="6">
        <v>1</v>
      </c>
      <c r="O2251" s="7">
        <v>45536</v>
      </c>
      <c r="P2251" s="6">
        <v>6.95</v>
      </c>
      <c r="Q2251" s="6">
        <v>3589.53</v>
      </c>
      <c r="R2251" s="7">
        <v>45536</v>
      </c>
      <c r="S2251" s="6">
        <v>353.13</v>
      </c>
      <c r="T2251" s="6">
        <v>115.54</v>
      </c>
      <c r="U2251" s="7">
        <v>45536</v>
      </c>
      <c r="V2251" s="6">
        <v>31.03</v>
      </c>
      <c r="W2251" s="6">
        <f ca="1">IFERROR(__xludf.DUMMYFUNCTION("IFERROR(GOOGLEFINANCE(B2251,""pe""),V2251)"),21.33)</f>
        <v>21.33</v>
      </c>
      <c r="X2251" s="6">
        <v>2.69</v>
      </c>
      <c r="Y2251" s="6">
        <v>4.3899999999999997</v>
      </c>
      <c r="Z2251" s="6">
        <v>1</v>
      </c>
      <c r="AA2251" s="8">
        <v>45352</v>
      </c>
      <c r="AB2251" s="4">
        <v>0.01</v>
      </c>
      <c r="AC2251" s="6">
        <v>15.71</v>
      </c>
      <c r="AD2251" s="6">
        <v>19.21</v>
      </c>
      <c r="AE2251" s="1">
        <v>0</v>
      </c>
      <c r="AF2251" s="1">
        <f ca="1">IFERROR(__xludf.DUMMYFUNCTION("IFERROR(GOOGLEFINANCE(TRIM(F2251)&amp;"":"" &amp; TRIM(B2251),""high52""),AE2251)"),287)</f>
        <v>287</v>
      </c>
      <c r="AG2251" s="1">
        <v>0</v>
      </c>
      <c r="AH2251" s="1">
        <f ca="1">IFERROR(__xludf.DUMMYFUNCTION("IFERROR(GOOGLEFINANCE(TRIM(F2251)&amp;"":"" &amp; TRIM(B2251),""low52""),AE2251)"),187.37)</f>
        <v>187.37</v>
      </c>
      <c r="AI2251" s="1">
        <f ca="1">IFERROR(__xludf.DUMMYFUNCTION("IFERROR(GOOGLEFINANCE(B2251,""eps""),0)"),9.09)</f>
        <v>9.09</v>
      </c>
      <c r="AJ2251" s="1"/>
      <c r="AK2251" s="1" t="s">
        <v>7052</v>
      </c>
      <c r="AL2251" s="9">
        <f t="shared" si="235"/>
        <v>1</v>
      </c>
    </row>
    <row r="2252" spans="1:38" ht="15" x14ac:dyDescent="0.25">
      <c r="A2252" s="1" t="s">
        <v>7053</v>
      </c>
      <c r="B2252" s="1" t="s">
        <v>7054</v>
      </c>
      <c r="C2252" s="1" t="s">
        <v>75</v>
      </c>
      <c r="D2252" s="1" t="s">
        <v>75</v>
      </c>
      <c r="E2252" s="6">
        <v>74.27</v>
      </c>
      <c r="F2252" s="1" t="s">
        <v>53</v>
      </c>
      <c r="G2252" s="6">
        <f ca="1">IFERROR(__xludf.DUMMYFUNCTION("iferror(GOOGLEFINANCE(TRIM(F2252)&amp;"":"" &amp; TRIM(B2252), ""price""),0
)"),0)</f>
        <v>0</v>
      </c>
      <c r="H2252" s="6">
        <v>53.55</v>
      </c>
      <c r="I2252" s="6">
        <f t="shared" ca="1" si="0"/>
        <v>53.55</v>
      </c>
      <c r="J2252" s="6">
        <f ca="1">IFERROR(__xludf.DUMMYFUNCTION("IFERROR(GOOGLEFINANCE(B2252, ""volume""), 0)"),0)</f>
        <v>0</v>
      </c>
      <c r="K2252" s="6">
        <v>-0.24</v>
      </c>
      <c r="L2252" s="6">
        <f ca="1">IFERROR(__xludf.DUMMYFUNCTION("IFERROR(GOOGLEFINANCE(B2252,""changepct""),K2252)"),-0.24)</f>
        <v>-0.24</v>
      </c>
      <c r="M2252" s="6">
        <f ca="1">IFERROR(__xludf.DUMMYFUNCTION("IFERROR(GOOGLEFINANCE(B2252,""change""),0)"),0)</f>
        <v>0</v>
      </c>
      <c r="N2252" s="6">
        <v>2</v>
      </c>
      <c r="O2252" s="7">
        <v>45536</v>
      </c>
      <c r="P2252" s="6">
        <v>3.7</v>
      </c>
      <c r="Q2252" s="7">
        <v>45536</v>
      </c>
      <c r="R2252" s="6">
        <v>20.079999999999998</v>
      </c>
      <c r="S2252" s="6">
        <v>-2.35</v>
      </c>
      <c r="T2252" s="6">
        <v>0.96</v>
      </c>
      <c r="U2252" s="6">
        <v>2</v>
      </c>
      <c r="V2252" s="7">
        <v>45352</v>
      </c>
      <c r="W2252" s="10">
        <f ca="1">IFERROR(__xludf.DUMMYFUNCTION("IFERROR(GOOGLEFINANCE(B2252,""pe""),V2252)"),45352)</f>
        <v>45352</v>
      </c>
      <c r="X2252" s="6">
        <v>0.19</v>
      </c>
      <c r="Y2252" s="6">
        <v>0.68</v>
      </c>
      <c r="Z2252" s="6">
        <v>4.6900000000000004</v>
      </c>
      <c r="AA2252" s="3" t="s">
        <v>7055</v>
      </c>
      <c r="AB2252" s="11"/>
      <c r="AC2252" s="9"/>
      <c r="AD2252" s="9"/>
      <c r="AE2252" s="1">
        <v>0</v>
      </c>
      <c r="AF2252" s="1">
        <f ca="1">IFERROR(__xludf.DUMMYFUNCTION("IFERROR(GOOGLEFINANCE(TRIM(F2252)&amp;"":"" &amp; TRIM(B2252),""high52""),AE2252)"),0)</f>
        <v>0</v>
      </c>
      <c r="AG2252" s="1">
        <v>0</v>
      </c>
      <c r="AH2252" s="1">
        <f ca="1">IFERROR(__xludf.DUMMYFUNCTION("IFERROR(GOOGLEFINANCE(TRIM(F2252)&amp;"":"" &amp; TRIM(B2252),""low52""),AE2252)"),0)</f>
        <v>0</v>
      </c>
      <c r="AI2252" s="1">
        <f ca="1">IFERROR(__xludf.DUMMYFUNCTION("IFERROR(GOOGLEFINANCE(B2252,""eps""),0)"),0)</f>
        <v>0</v>
      </c>
      <c r="AJ2252" s="1"/>
      <c r="AK2252" s="1" t="s">
        <v>7056</v>
      </c>
      <c r="AL2252" s="9">
        <f t="shared" si="235"/>
        <v>1</v>
      </c>
    </row>
    <row r="2253" spans="1:38" ht="15" x14ac:dyDescent="0.25">
      <c r="A2253" s="1" t="s">
        <v>7057</v>
      </c>
      <c r="B2253" s="1" t="s">
        <v>7058</v>
      </c>
      <c r="C2253" s="1" t="s">
        <v>186</v>
      </c>
      <c r="D2253" s="1" t="s">
        <v>186</v>
      </c>
      <c r="E2253" s="6">
        <v>223.16</v>
      </c>
      <c r="F2253" s="1" t="s">
        <v>40</v>
      </c>
      <c r="G2253" s="6">
        <f ca="1">IFERROR(__xludf.DUMMYFUNCTION("iferror(GOOGLEFINANCE(TRIM(F2253)&amp;"":"" &amp; TRIM(B2253), ""price""),0
)"),67)</f>
        <v>67</v>
      </c>
      <c r="H2253" s="6">
        <v>127.5</v>
      </c>
      <c r="I2253" s="6">
        <f t="shared" ca="1" si="0"/>
        <v>67</v>
      </c>
      <c r="J2253" s="6">
        <f ca="1">IFERROR(__xludf.DUMMYFUNCTION("IFERROR(GOOGLEFINANCE(B2253, ""volume""), 0)"),11944)</f>
        <v>11944</v>
      </c>
      <c r="K2253" s="6">
        <v>0.95</v>
      </c>
      <c r="L2253" s="6">
        <f ca="1">IFERROR(__xludf.DUMMYFUNCTION("IFERROR(GOOGLEFINANCE(B2253,""changepct""),K2253)"),0.83)</f>
        <v>0.83</v>
      </c>
      <c r="M2253" s="6">
        <f ca="1">IFERROR(__xludf.DUMMYFUNCTION("IFERROR(GOOGLEFINANCE(B2253,""change""),0)"),0.55)</f>
        <v>0.55000000000000004</v>
      </c>
      <c r="N2253" s="6">
        <v>1</v>
      </c>
      <c r="O2253" s="7">
        <v>45536</v>
      </c>
      <c r="P2253" s="6">
        <v>353.68</v>
      </c>
      <c r="Q2253" s="6">
        <v>576.61</v>
      </c>
      <c r="R2253" s="7">
        <v>45536</v>
      </c>
      <c r="S2253" s="6">
        <v>567.54</v>
      </c>
      <c r="T2253" s="6">
        <v>13.88</v>
      </c>
      <c r="U2253" s="7">
        <v>45536</v>
      </c>
      <c r="V2253" s="6">
        <v>16.079999999999998</v>
      </c>
      <c r="W2253" s="6">
        <f ca="1">IFERROR(__xludf.DUMMYFUNCTION("IFERROR(GOOGLEFINANCE(B2253,""pe""),V2253)"),8.95)</f>
        <v>8.9499999999999993</v>
      </c>
      <c r="X2253" s="6">
        <v>0.64</v>
      </c>
      <c r="Y2253" s="6">
        <v>2.0099999999999998</v>
      </c>
      <c r="Z2253" s="6">
        <v>1</v>
      </c>
      <c r="AA2253" s="8">
        <v>45352</v>
      </c>
      <c r="AB2253" s="4">
        <v>3.47</v>
      </c>
      <c r="AC2253" s="6">
        <v>14.34</v>
      </c>
      <c r="AD2253" s="6">
        <v>9.43</v>
      </c>
      <c r="AE2253" s="1">
        <v>0</v>
      </c>
      <c r="AF2253" s="1">
        <f ca="1">IFERROR(__xludf.DUMMYFUNCTION("IFERROR(GOOGLEFINANCE(TRIM(F2253)&amp;"":"" &amp; TRIM(B2253),""high52""),AE2253)"),138.1)</f>
        <v>138.1</v>
      </c>
      <c r="AG2253" s="1">
        <v>0</v>
      </c>
      <c r="AH2253" s="1">
        <f ca="1">IFERROR(__xludf.DUMMYFUNCTION("IFERROR(GOOGLEFINANCE(TRIM(F2253)&amp;"":"" &amp; TRIM(B2253),""low52""),AE2253)"),64.6)</f>
        <v>64.599999999999994</v>
      </c>
      <c r="AI2253" s="1">
        <f ca="1">IFERROR(__xludf.DUMMYFUNCTION("IFERROR(GOOGLEFINANCE(B2253,""eps""),0)"),7.48)</f>
        <v>7.48</v>
      </c>
      <c r="AJ2253" s="1"/>
      <c r="AK2253" s="1" t="s">
        <v>7059</v>
      </c>
      <c r="AL2253" s="9">
        <f t="shared" si="235"/>
        <v>1</v>
      </c>
    </row>
    <row r="2254" spans="1:38" ht="15" x14ac:dyDescent="0.25">
      <c r="A2254" s="1" t="s">
        <v>7060</v>
      </c>
      <c r="B2254" s="1" t="s">
        <v>7061</v>
      </c>
      <c r="C2254" s="1" t="s">
        <v>208</v>
      </c>
      <c r="D2254" s="1" t="s">
        <v>208</v>
      </c>
      <c r="E2254" s="6">
        <v>70.72</v>
      </c>
      <c r="F2254" s="1" t="s">
        <v>40</v>
      </c>
      <c r="G2254" s="6">
        <f ca="1">IFERROR(__xludf.DUMMYFUNCTION("iferror(GOOGLEFINANCE(TRIM(F2254)&amp;"":"" &amp; TRIM(B2254), ""price""),0
)"),119)</f>
        <v>119</v>
      </c>
      <c r="H2254" s="6">
        <v>235.1</v>
      </c>
      <c r="I2254" s="6">
        <f t="shared" ca="1" si="0"/>
        <v>119</v>
      </c>
      <c r="J2254" s="6">
        <f ca="1">IFERROR(__xludf.DUMMYFUNCTION("IFERROR(GOOGLEFINANCE(B2254, ""volume""), 0)"),1257)</f>
        <v>1257</v>
      </c>
      <c r="K2254" s="6">
        <v>-0.27</v>
      </c>
      <c r="L2254" s="6">
        <f ca="1">IFERROR(__xludf.DUMMYFUNCTION("IFERROR(GOOGLEFINANCE(B2254,""changepct""),K2254)"),1.48)</f>
        <v>1.48</v>
      </c>
      <c r="M2254" s="6">
        <f ca="1">IFERROR(__xludf.DUMMYFUNCTION("IFERROR(GOOGLEFINANCE(B2254,""change""),0)"),1.74)</f>
        <v>1.74</v>
      </c>
      <c r="N2254" s="6">
        <v>1</v>
      </c>
      <c r="O2254" s="7">
        <v>45536</v>
      </c>
      <c r="P2254" s="6">
        <v>13.87</v>
      </c>
      <c r="Q2254" s="7">
        <v>45536</v>
      </c>
      <c r="R2254" s="6">
        <v>5.0999999999999996</v>
      </c>
      <c r="S2254" s="6">
        <v>7.0000000000000007E-2</v>
      </c>
      <c r="T2254" s="6">
        <v>1.0900000000000001</v>
      </c>
      <c r="U2254" s="6">
        <v>1</v>
      </c>
      <c r="V2254" s="7">
        <v>45352</v>
      </c>
      <c r="W2254" s="10">
        <f ca="1">IFERROR(__xludf.DUMMYFUNCTION("IFERROR(GOOGLEFINANCE(B2254,""pe""),V2254)"),45352)</f>
        <v>45352</v>
      </c>
      <c r="X2254" s="6">
        <v>0</v>
      </c>
      <c r="Y2254" s="6">
        <v>20.11</v>
      </c>
      <c r="Z2254" s="6">
        <v>24.86</v>
      </c>
      <c r="AA2254" s="3" t="s">
        <v>7062</v>
      </c>
      <c r="AB2254" s="11"/>
      <c r="AC2254" s="9"/>
      <c r="AD2254" s="9"/>
      <c r="AE2254" s="1">
        <v>0</v>
      </c>
      <c r="AF2254" s="1">
        <f ca="1">IFERROR(__xludf.DUMMYFUNCTION("IFERROR(GOOGLEFINANCE(TRIM(F2254)&amp;"":"" &amp; TRIM(B2254),""high52""),AE2254)"),250.5)</f>
        <v>250.5</v>
      </c>
      <c r="AG2254" s="1">
        <v>0</v>
      </c>
      <c r="AH2254" s="1">
        <f ca="1">IFERROR(__xludf.DUMMYFUNCTION("IFERROR(GOOGLEFINANCE(TRIM(F2254)&amp;"":"" &amp; TRIM(B2254),""low52""),AE2254)"),113.01)</f>
        <v>113.01</v>
      </c>
      <c r="AI2254" s="1">
        <f ca="1">IFERROR(__xludf.DUMMYFUNCTION("IFERROR(GOOGLEFINANCE(B2254,""eps""),0)"),-7.16)</f>
        <v>-7.16</v>
      </c>
      <c r="AJ2254" s="1"/>
      <c r="AK2254" s="1" t="s">
        <v>7063</v>
      </c>
      <c r="AL2254" s="9">
        <f t="shared" si="235"/>
        <v>1</v>
      </c>
    </row>
    <row r="2255" spans="1:38" ht="15" x14ac:dyDescent="0.25">
      <c r="A2255" s="1" t="s">
        <v>7064</v>
      </c>
      <c r="B2255" s="1" t="s">
        <v>7065</v>
      </c>
      <c r="C2255" s="1" t="s">
        <v>75</v>
      </c>
      <c r="D2255" s="1" t="s">
        <v>75</v>
      </c>
      <c r="E2255" s="6">
        <v>21.31</v>
      </c>
      <c r="F2255" s="1" t="s">
        <v>53</v>
      </c>
      <c r="G2255" s="6">
        <f ca="1">IFERROR(__xludf.DUMMYFUNCTION("iferror(GOOGLEFINANCE(TRIM(F2255)&amp;"":"" &amp; TRIM(B2255), ""price""),0
)"),0)</f>
        <v>0</v>
      </c>
      <c r="H2255" s="6">
        <v>37.619999999999997</v>
      </c>
      <c r="I2255" s="6">
        <f t="shared" ca="1" si="0"/>
        <v>37.619999999999997</v>
      </c>
      <c r="J2255" s="6">
        <f ca="1">IFERROR(__xludf.DUMMYFUNCTION("IFERROR(GOOGLEFINANCE(B2255, ""volume""), 0)"),0)</f>
        <v>0</v>
      </c>
      <c r="K2255" s="6">
        <v>5</v>
      </c>
      <c r="L2255" s="6">
        <f ca="1">IFERROR(__xludf.DUMMYFUNCTION("IFERROR(GOOGLEFINANCE(B2255,""changepct""),K2255)"),5)</f>
        <v>5</v>
      </c>
      <c r="M2255" s="6">
        <f ca="1">IFERROR(__xludf.DUMMYFUNCTION("IFERROR(GOOGLEFINANCE(B2255,""change""),0)"),0)</f>
        <v>0</v>
      </c>
      <c r="N2255" s="6">
        <v>2</v>
      </c>
      <c r="O2255" s="7">
        <v>45536</v>
      </c>
      <c r="P2255" s="6">
        <v>0.96</v>
      </c>
      <c r="Q2255" s="7">
        <v>45536</v>
      </c>
      <c r="R2255" s="6">
        <v>22.25</v>
      </c>
      <c r="S2255" s="6">
        <v>0.51</v>
      </c>
      <c r="T2255" s="6">
        <v>1.87</v>
      </c>
      <c r="U2255" s="6">
        <v>2</v>
      </c>
      <c r="V2255" s="7">
        <v>45352</v>
      </c>
      <c r="W2255" s="10">
        <f ca="1">IFERROR(__xludf.DUMMYFUNCTION("IFERROR(GOOGLEFINANCE(B2255,""pe""),V2255)"),45352)</f>
        <v>45352</v>
      </c>
      <c r="X2255" s="6">
        <v>0.12</v>
      </c>
      <c r="Y2255" s="6">
        <v>6.46</v>
      </c>
      <c r="Z2255" s="6">
        <v>10.26</v>
      </c>
      <c r="AA2255" s="3" t="s">
        <v>7066</v>
      </c>
      <c r="AB2255" s="11"/>
      <c r="AC2255" s="9"/>
      <c r="AD2255" s="9"/>
      <c r="AE2255" s="1">
        <v>0</v>
      </c>
      <c r="AF2255" s="1">
        <f ca="1">IFERROR(__xludf.DUMMYFUNCTION("IFERROR(GOOGLEFINANCE(TRIM(F2255)&amp;"":"" &amp; TRIM(B2255),""high52""),AE2255)"),0)</f>
        <v>0</v>
      </c>
      <c r="AG2255" s="1">
        <v>0</v>
      </c>
      <c r="AH2255" s="1">
        <f ca="1">IFERROR(__xludf.DUMMYFUNCTION("IFERROR(GOOGLEFINANCE(TRIM(F2255)&amp;"":"" &amp; TRIM(B2255),""low52""),AE2255)"),0)</f>
        <v>0</v>
      </c>
      <c r="AI2255" s="1">
        <f ca="1">IFERROR(__xludf.DUMMYFUNCTION("IFERROR(GOOGLEFINANCE(B2255,""eps""),0)"),0)</f>
        <v>0</v>
      </c>
      <c r="AJ2255" s="1"/>
      <c r="AK2255" s="1" t="s">
        <v>7067</v>
      </c>
      <c r="AL2255" s="9">
        <f t="shared" si="235"/>
        <v>1</v>
      </c>
    </row>
    <row r="2256" spans="1:38" ht="15" x14ac:dyDescent="0.25">
      <c r="A2256" s="1" t="s">
        <v>7068</v>
      </c>
      <c r="B2256" s="1" t="s">
        <v>7069</v>
      </c>
      <c r="C2256" s="1" t="s">
        <v>75</v>
      </c>
      <c r="D2256" s="1" t="s">
        <v>75</v>
      </c>
      <c r="E2256" s="6">
        <v>283.91000000000003</v>
      </c>
      <c r="F2256" s="1" t="s">
        <v>53</v>
      </c>
      <c r="G2256" s="6">
        <f ca="1">IFERROR(__xludf.DUMMYFUNCTION("iferror(GOOGLEFINANCE(TRIM(F2256)&amp;"":"" &amp; TRIM(B2256), ""price""),0
)"),0)</f>
        <v>0</v>
      </c>
      <c r="H2256" s="6">
        <v>285.7</v>
      </c>
      <c r="I2256" s="6">
        <f t="shared" ca="1" si="0"/>
        <v>285.7</v>
      </c>
      <c r="J2256" s="6">
        <f ca="1">IFERROR(__xludf.DUMMYFUNCTION("IFERROR(GOOGLEFINANCE(B2256, ""volume""), 0)"),0)</f>
        <v>0</v>
      </c>
      <c r="K2256" s="6">
        <v>4.4000000000000004</v>
      </c>
      <c r="L2256" s="6">
        <f ca="1">IFERROR(__xludf.DUMMYFUNCTION("IFERROR(GOOGLEFINANCE(B2256,""changepct""),K2256)"),4.4)</f>
        <v>4.4000000000000004</v>
      </c>
      <c r="M2256" s="6">
        <f ca="1">IFERROR(__xludf.DUMMYFUNCTION("IFERROR(GOOGLEFINANCE(B2256,""change""),0)"),0)</f>
        <v>0</v>
      </c>
      <c r="N2256" s="6">
        <v>2</v>
      </c>
      <c r="O2256" s="7">
        <v>45536</v>
      </c>
      <c r="P2256" s="6">
        <v>12.64</v>
      </c>
      <c r="Q2256" s="7">
        <v>45536</v>
      </c>
      <c r="R2256" s="6">
        <v>22.3</v>
      </c>
      <c r="S2256" s="6">
        <v>0.42</v>
      </c>
      <c r="T2256" s="6">
        <v>4.1100000000000003</v>
      </c>
      <c r="U2256" s="6">
        <v>2</v>
      </c>
      <c r="V2256" s="7">
        <v>45352</v>
      </c>
      <c r="W2256" s="10">
        <f ca="1">IFERROR(__xludf.DUMMYFUNCTION("IFERROR(GOOGLEFINANCE(B2256,""pe""),V2256)"),45352)</f>
        <v>45352</v>
      </c>
      <c r="X2256" s="6">
        <v>0</v>
      </c>
      <c r="Y2256" s="6">
        <v>19.71</v>
      </c>
      <c r="Z2256" s="6">
        <v>28.44</v>
      </c>
      <c r="AA2256" s="3" t="s">
        <v>7070</v>
      </c>
      <c r="AB2256" s="11"/>
      <c r="AC2256" s="9"/>
      <c r="AD2256" s="9"/>
      <c r="AE2256" s="1">
        <v>0</v>
      </c>
      <c r="AF2256" s="1">
        <f ca="1">IFERROR(__xludf.DUMMYFUNCTION("IFERROR(GOOGLEFINANCE(TRIM(F2256)&amp;"":"" &amp; TRIM(B2256),""high52""),AE2256)"),0)</f>
        <v>0</v>
      </c>
      <c r="AG2256" s="1">
        <v>0</v>
      </c>
      <c r="AH2256" s="1">
        <f ca="1">IFERROR(__xludf.DUMMYFUNCTION("IFERROR(GOOGLEFINANCE(TRIM(F2256)&amp;"":"" &amp; TRIM(B2256),""low52""),AE2256)"),0)</f>
        <v>0</v>
      </c>
      <c r="AI2256" s="1">
        <f ca="1">IFERROR(__xludf.DUMMYFUNCTION("IFERROR(GOOGLEFINANCE(B2256,""eps""),0)"),0)</f>
        <v>0</v>
      </c>
      <c r="AJ2256" s="1"/>
      <c r="AK2256" s="1" t="s">
        <v>7071</v>
      </c>
      <c r="AL2256" s="9">
        <f t="shared" si="235"/>
        <v>1</v>
      </c>
    </row>
    <row r="2257" spans="1:38" ht="15" x14ac:dyDescent="0.25">
      <c r="A2257" s="1" t="s">
        <v>7072</v>
      </c>
      <c r="B2257" s="1" t="s">
        <v>7073</v>
      </c>
      <c r="C2257" s="1" t="s">
        <v>4950</v>
      </c>
      <c r="D2257" s="1" t="s">
        <v>4950</v>
      </c>
      <c r="E2257" s="6">
        <v>6.64</v>
      </c>
      <c r="F2257" s="1" t="s">
        <v>40</v>
      </c>
      <c r="G2257" s="6">
        <f ca="1">IFERROR(__xludf.DUMMYFUNCTION("iferror(GOOGLEFINANCE(TRIM(F2257)&amp;"":"" &amp; TRIM(B2257), ""price""),0
)"),5.42)</f>
        <v>5.42</v>
      </c>
      <c r="H2257" s="6">
        <v>6.04</v>
      </c>
      <c r="I2257" s="6">
        <f t="shared" ca="1" si="0"/>
        <v>5.42</v>
      </c>
      <c r="J2257" s="6">
        <f ca="1">IFERROR(__xludf.DUMMYFUNCTION("IFERROR(GOOGLEFINANCE(B2257, ""volume""), 0)"),123)</f>
        <v>123</v>
      </c>
      <c r="K2257" s="12"/>
      <c r="L2257" s="6">
        <f ca="1">IFERROR(__xludf.DUMMYFUNCTION("IFERROR(GOOGLEFINANCE(B2257,""changepct""),K2257)"),2.07)</f>
        <v>2.0699999999999998</v>
      </c>
      <c r="M2257" s="6">
        <f ca="1">IFERROR(__xludf.DUMMYFUNCTION("IFERROR(GOOGLEFINANCE(B2257,""change""),0)"),0.11)</f>
        <v>0.11</v>
      </c>
      <c r="N2257" s="6">
        <v>1</v>
      </c>
      <c r="O2257" s="7">
        <v>42795</v>
      </c>
      <c r="P2257" s="6">
        <v>260.74</v>
      </c>
      <c r="Q2257" s="6">
        <v>262.16000000000003</v>
      </c>
      <c r="R2257" s="7">
        <v>43070</v>
      </c>
      <c r="S2257" s="6">
        <v>250.6</v>
      </c>
      <c r="T2257" s="6">
        <v>-33.159999999999997</v>
      </c>
      <c r="U2257" s="7">
        <v>43070</v>
      </c>
      <c r="V2257" s="6">
        <v>0</v>
      </c>
      <c r="W2257" s="6">
        <f ca="1">IFERROR(__xludf.DUMMYFUNCTION("IFERROR(GOOGLEFINANCE(B2257,""pe""),V2257)"),0)</f>
        <v>0</v>
      </c>
      <c r="X2257" s="12"/>
      <c r="Y2257" s="9"/>
      <c r="Z2257" s="6">
        <v>1</v>
      </c>
      <c r="AA2257" s="8">
        <v>42795</v>
      </c>
      <c r="AB2257" s="4">
        <v>11.16</v>
      </c>
      <c r="AC2257" s="6">
        <v>-93.43</v>
      </c>
      <c r="AD2257" s="6">
        <v>-0.14000000000000001</v>
      </c>
      <c r="AE2257" s="1">
        <v>0</v>
      </c>
      <c r="AF2257" s="1">
        <f ca="1">IFERROR(__xludf.DUMMYFUNCTION("IFERROR(GOOGLEFINANCE(TRIM(F2257)&amp;"":"" &amp; TRIM(B2257),""high52""),AE2257)"),7.64)</f>
        <v>7.64</v>
      </c>
      <c r="AG2257" s="1">
        <v>0</v>
      </c>
      <c r="AH2257" s="1">
        <f ca="1">IFERROR(__xludf.DUMMYFUNCTION("IFERROR(GOOGLEFINANCE(TRIM(F2257)&amp;"":"" &amp; TRIM(B2257),""low52""),AE2257)"),3.88)</f>
        <v>3.88</v>
      </c>
      <c r="AI2257" s="1">
        <f ca="1">IFERROR(__xludf.DUMMYFUNCTION("IFERROR(GOOGLEFINANCE(B2257,""eps""),0)"),0)</f>
        <v>0</v>
      </c>
      <c r="AJ2257" s="1"/>
      <c r="AK2257" s="6">
        <v>42.18</v>
      </c>
      <c r="AL2257" s="9">
        <f t="shared" si="235"/>
        <v>1</v>
      </c>
    </row>
    <row r="2258" spans="1:38" ht="15" x14ac:dyDescent="0.25">
      <c r="A2258" s="1" t="s">
        <v>7074</v>
      </c>
      <c r="B2258" s="1" t="s">
        <v>7075</v>
      </c>
      <c r="C2258" s="1" t="s">
        <v>86</v>
      </c>
      <c r="D2258" s="1" t="s">
        <v>86</v>
      </c>
      <c r="E2258" s="6">
        <v>325.95999999999998</v>
      </c>
      <c r="F2258" s="1" t="s">
        <v>40</v>
      </c>
      <c r="G2258" s="6">
        <f ca="1">IFERROR(__xludf.DUMMYFUNCTION("iferror(GOOGLEFINANCE(TRIM(F2258)&amp;"":"" &amp; TRIM(B2258), ""price""),0
)"),0)</f>
        <v>0</v>
      </c>
      <c r="H2258" s="6">
        <v>323</v>
      </c>
      <c r="I2258" s="6">
        <f t="shared" ca="1" si="0"/>
        <v>323</v>
      </c>
      <c r="J2258" s="6">
        <f ca="1">IFERROR(__xludf.DUMMYFUNCTION("IFERROR(GOOGLEFINANCE(B2258, ""volume""), 0)"),0)</f>
        <v>0</v>
      </c>
      <c r="K2258" s="6">
        <v>-0.08</v>
      </c>
      <c r="L2258" s="6">
        <f ca="1">IFERROR(__xludf.DUMMYFUNCTION("IFERROR(GOOGLEFINANCE(B2258,""changepct""),K2258)"),-0.08)</f>
        <v>-0.08</v>
      </c>
      <c r="M2258" s="6">
        <f ca="1">IFERROR(__xludf.DUMMYFUNCTION("IFERROR(GOOGLEFINANCE(B2258,""change""),0)"),0)</f>
        <v>0</v>
      </c>
      <c r="N2258" s="6">
        <v>1</v>
      </c>
      <c r="O2258" s="7">
        <v>45536</v>
      </c>
      <c r="P2258" s="6">
        <v>29.23</v>
      </c>
      <c r="Q2258" s="6">
        <v>355.19</v>
      </c>
      <c r="R2258" s="14"/>
      <c r="S2258" s="9"/>
      <c r="T2258" s="9"/>
      <c r="U2258" s="7">
        <v>45352</v>
      </c>
      <c r="V2258" s="6">
        <v>21.8</v>
      </c>
      <c r="W2258" s="6">
        <f ca="1">IFERROR(__xludf.DUMMYFUNCTION("IFERROR(GOOGLEFINANCE(B2258,""pe""),V2258)"),21.8)</f>
        <v>21.8</v>
      </c>
      <c r="X2258" s="12"/>
      <c r="Y2258" s="6">
        <v>4.03</v>
      </c>
      <c r="Z2258" s="6">
        <v>1</v>
      </c>
      <c r="AA2258" s="8">
        <v>45352</v>
      </c>
      <c r="AB2258" s="4">
        <v>0.91</v>
      </c>
      <c r="AC2258" s="6">
        <v>79.489999999999995</v>
      </c>
      <c r="AD2258" s="6">
        <v>55.2</v>
      </c>
      <c r="AE2258" s="1">
        <v>0</v>
      </c>
      <c r="AF2258" s="1">
        <f ca="1">IFERROR(__xludf.DUMMYFUNCTION("IFERROR(GOOGLEFINANCE(TRIM(F2258)&amp;"":"" &amp; TRIM(B2258),""high52""),AE2258)"),0)</f>
        <v>0</v>
      </c>
      <c r="AG2258" s="1">
        <v>0</v>
      </c>
      <c r="AH2258" s="1">
        <f ca="1">IFERROR(__xludf.DUMMYFUNCTION("IFERROR(GOOGLEFINANCE(TRIM(F2258)&amp;"":"" &amp; TRIM(B2258),""low52""),AE2258)"),0)</f>
        <v>0</v>
      </c>
      <c r="AI2258" s="1">
        <f ca="1">IFERROR(__xludf.DUMMYFUNCTION("IFERROR(GOOGLEFINANCE(B2258,""eps""),0)"),0)</f>
        <v>0</v>
      </c>
      <c r="AJ2258" s="1"/>
      <c r="AK2258" s="1" t="s">
        <v>7076</v>
      </c>
      <c r="AL2258" s="9">
        <f t="shared" si="235"/>
        <v>1</v>
      </c>
    </row>
    <row r="2259" spans="1:38" ht="15" x14ac:dyDescent="0.25">
      <c r="A2259" s="1" t="s">
        <v>7077</v>
      </c>
      <c r="B2259" s="1" t="s">
        <v>7078</v>
      </c>
      <c r="C2259" s="1" t="s">
        <v>706</v>
      </c>
      <c r="D2259" s="1" t="s">
        <v>706</v>
      </c>
      <c r="E2259" s="6">
        <v>186.12</v>
      </c>
      <c r="F2259" s="1" t="s">
        <v>40</v>
      </c>
      <c r="G2259" s="6">
        <f ca="1">IFERROR(__xludf.DUMMYFUNCTION("iferror(GOOGLEFINANCE(TRIM(F2259)&amp;"":"" &amp; TRIM(B2259), ""price""),0
)"),106)</f>
        <v>106</v>
      </c>
      <c r="H2259" s="6">
        <v>181.9</v>
      </c>
      <c r="I2259" s="6">
        <f t="shared" ca="1" si="0"/>
        <v>106</v>
      </c>
      <c r="J2259" s="6">
        <f ca="1">IFERROR(__xludf.DUMMYFUNCTION("IFERROR(GOOGLEFINANCE(B2259, ""volume""), 0)"),22540)</f>
        <v>22540</v>
      </c>
      <c r="K2259" s="6">
        <v>1.04</v>
      </c>
      <c r="L2259" s="6">
        <f ca="1">IFERROR(__xludf.DUMMYFUNCTION("IFERROR(GOOGLEFINANCE(B2259,""changepct""),K2259)"),-4.33)</f>
        <v>-4.33</v>
      </c>
      <c r="M2259" s="6">
        <f ca="1">IFERROR(__xludf.DUMMYFUNCTION("IFERROR(GOOGLEFINANCE(B2259,""change""),0)"),-4.8)</f>
        <v>-4.8</v>
      </c>
      <c r="N2259" s="6">
        <v>1</v>
      </c>
      <c r="O2259" s="7">
        <v>45536</v>
      </c>
      <c r="P2259" s="6">
        <v>54.91</v>
      </c>
      <c r="Q2259" s="6">
        <v>237.08</v>
      </c>
      <c r="R2259" s="7">
        <v>45536</v>
      </c>
      <c r="S2259" s="6">
        <v>209.35</v>
      </c>
      <c r="T2259" s="6">
        <v>7.36</v>
      </c>
      <c r="U2259" s="7">
        <v>45536</v>
      </c>
      <c r="V2259" s="6">
        <v>25.28</v>
      </c>
      <c r="W2259" s="6">
        <f ca="1">IFERROR(__xludf.DUMMYFUNCTION("IFERROR(GOOGLEFINANCE(B2259,""pe""),V2259)"),15.26)</f>
        <v>15.26</v>
      </c>
      <c r="X2259" s="6">
        <v>-2.68</v>
      </c>
      <c r="Y2259" s="6">
        <v>1.73</v>
      </c>
      <c r="Z2259" s="6">
        <v>1</v>
      </c>
      <c r="AA2259" s="8">
        <v>45352</v>
      </c>
      <c r="AB2259" s="4">
        <v>0.55000000000000004</v>
      </c>
      <c r="AC2259" s="6">
        <v>4.5599999999999996</v>
      </c>
      <c r="AD2259" s="6">
        <v>7.05</v>
      </c>
      <c r="AE2259" s="1">
        <v>0</v>
      </c>
      <c r="AF2259" s="1">
        <f ca="1">IFERROR(__xludf.DUMMYFUNCTION("IFERROR(GOOGLEFINANCE(TRIM(F2259)&amp;"":"" &amp; TRIM(B2259),""high52""),AE2259)"),162)</f>
        <v>162</v>
      </c>
      <c r="AG2259" s="1">
        <v>0</v>
      </c>
      <c r="AH2259" s="1">
        <f ca="1">IFERROR(__xludf.DUMMYFUNCTION("IFERROR(GOOGLEFINANCE(TRIM(F2259)&amp;"":"" &amp; TRIM(B2259),""low52""),AE2259)"),96.31)</f>
        <v>96.31</v>
      </c>
      <c r="AI2259" s="1">
        <f ca="1">IFERROR(__xludf.DUMMYFUNCTION("IFERROR(GOOGLEFINANCE(B2259,""eps""),0)"),6.95)</f>
        <v>6.95</v>
      </c>
      <c r="AJ2259" s="1"/>
      <c r="AK2259" s="1" t="s">
        <v>7079</v>
      </c>
      <c r="AL2259" s="9">
        <f t="shared" si="235"/>
        <v>1</v>
      </c>
    </row>
    <row r="2260" spans="1:38" ht="15" x14ac:dyDescent="0.25">
      <c r="A2260" s="1" t="s">
        <v>7080</v>
      </c>
      <c r="B2260" s="1" t="s">
        <v>7081</v>
      </c>
      <c r="C2260" s="1" t="s">
        <v>227</v>
      </c>
      <c r="D2260" s="1" t="s">
        <v>227</v>
      </c>
      <c r="E2260" s="6">
        <v>100.43</v>
      </c>
      <c r="F2260" s="1" t="s">
        <v>40</v>
      </c>
      <c r="G2260" s="6">
        <f ca="1">IFERROR(__xludf.DUMMYFUNCTION("iferror(GOOGLEFINANCE(TRIM(F2260)&amp;"":"" &amp; TRIM(B2260), ""price""),0
)"),0)</f>
        <v>0</v>
      </c>
      <c r="H2260" s="6">
        <v>95.2</v>
      </c>
      <c r="I2260" s="6">
        <f t="shared" ca="1" si="0"/>
        <v>95.2</v>
      </c>
      <c r="J2260" s="6">
        <f ca="1">IFERROR(__xludf.DUMMYFUNCTION("IFERROR(GOOGLEFINANCE(B2260, ""volume""), 0)"),0)</f>
        <v>0</v>
      </c>
      <c r="K2260" s="6">
        <v>-2.0099999999999998</v>
      </c>
      <c r="L2260" s="6">
        <f ca="1">IFERROR(__xludf.DUMMYFUNCTION("IFERROR(GOOGLEFINANCE(B2260,""changepct""),K2260)"),-2.01)</f>
        <v>-2.0099999999999998</v>
      </c>
      <c r="M2260" s="6">
        <f ca="1">IFERROR(__xludf.DUMMYFUNCTION("IFERROR(GOOGLEFINANCE(B2260,""change""),0)"),0)</f>
        <v>0</v>
      </c>
      <c r="N2260" s="6">
        <v>1</v>
      </c>
      <c r="O2260" s="7">
        <v>45352</v>
      </c>
      <c r="P2260" s="6">
        <v>17.25</v>
      </c>
      <c r="Q2260" s="6">
        <v>116.21</v>
      </c>
      <c r="R2260" s="14"/>
      <c r="S2260" s="9"/>
      <c r="T2260" s="9"/>
      <c r="U2260" s="6">
        <v>0</v>
      </c>
      <c r="V2260" s="9"/>
      <c r="W2260" s="6" t="str">
        <f ca="1">IFERROR(__xludf.DUMMYFUNCTION("IFERROR(GOOGLEFINANCE(B2260,""pe""),V2260)"),"")</f>
        <v/>
      </c>
      <c r="X2260" s="12"/>
      <c r="Y2260" s="6">
        <v>1.31</v>
      </c>
      <c r="Z2260" s="6">
        <v>1</v>
      </c>
      <c r="AA2260" s="8">
        <v>45352</v>
      </c>
      <c r="AB2260" s="4">
        <v>1.1299999999999999</v>
      </c>
      <c r="AC2260" s="6">
        <v>53.94</v>
      </c>
      <c r="AD2260" s="6">
        <v>42.25</v>
      </c>
      <c r="AE2260" s="1">
        <v>0</v>
      </c>
      <c r="AF2260" s="1">
        <f ca="1">IFERROR(__xludf.DUMMYFUNCTION("IFERROR(GOOGLEFINANCE(TRIM(F2260)&amp;"":"" &amp; TRIM(B2260),""high52""),AE2260)"),0)</f>
        <v>0</v>
      </c>
      <c r="AG2260" s="1">
        <v>0</v>
      </c>
      <c r="AH2260" s="1">
        <f ca="1">IFERROR(__xludf.DUMMYFUNCTION("IFERROR(GOOGLEFINANCE(TRIM(F2260)&amp;"":"" &amp; TRIM(B2260),""low52""),AE2260)"),0)</f>
        <v>0</v>
      </c>
      <c r="AI2260" s="1">
        <f ca="1">IFERROR(__xludf.DUMMYFUNCTION("IFERROR(GOOGLEFINANCE(B2260,""eps""),0)"),0)</f>
        <v>0</v>
      </c>
      <c r="AJ2260" s="1"/>
      <c r="AK2260" s="1" t="s">
        <v>7082</v>
      </c>
      <c r="AL2260" s="9">
        <f t="shared" si="235"/>
        <v>1</v>
      </c>
    </row>
    <row r="2261" spans="1:38" ht="15" x14ac:dyDescent="0.25">
      <c r="A2261" s="1" t="s">
        <v>7083</v>
      </c>
      <c r="B2261" s="1" t="s">
        <v>7084</v>
      </c>
      <c r="C2261" s="1" t="s">
        <v>75</v>
      </c>
      <c r="D2261" s="1" t="s">
        <v>75</v>
      </c>
      <c r="E2261" s="6">
        <v>64.34</v>
      </c>
      <c r="F2261" s="1" t="s">
        <v>53</v>
      </c>
      <c r="G2261" s="6">
        <f ca="1">IFERROR(__xludf.DUMMYFUNCTION("iferror(GOOGLEFINANCE(TRIM(F2261)&amp;"":"" &amp; TRIM(B2261), ""price""),0
)"),0)</f>
        <v>0</v>
      </c>
      <c r="H2261" s="6">
        <v>26.94</v>
      </c>
      <c r="I2261" s="6">
        <f t="shared" ca="1" si="0"/>
        <v>26.94</v>
      </c>
      <c r="J2261" s="6">
        <f ca="1">IFERROR(__xludf.DUMMYFUNCTION("IFERROR(GOOGLEFINANCE(B2261, ""volume""), 0)"),0)</f>
        <v>0</v>
      </c>
      <c r="K2261" s="6">
        <v>0.48</v>
      </c>
      <c r="L2261" s="6">
        <f ca="1">IFERROR(__xludf.DUMMYFUNCTION("IFERROR(GOOGLEFINANCE(B2261,""changepct""),K2261)"),0.48)</f>
        <v>0.48</v>
      </c>
      <c r="M2261" s="6">
        <f ca="1">IFERROR(__xludf.DUMMYFUNCTION("IFERROR(GOOGLEFINANCE(B2261,""change""),0)"),0)</f>
        <v>0</v>
      </c>
      <c r="N2261" s="6">
        <v>1</v>
      </c>
      <c r="O2261" s="7">
        <v>45536</v>
      </c>
      <c r="P2261" s="6">
        <v>2.0099999999999998</v>
      </c>
      <c r="Q2261" s="7">
        <v>45536</v>
      </c>
      <c r="R2261" s="6">
        <v>31.96</v>
      </c>
      <c r="S2261" s="6">
        <v>0.37</v>
      </c>
      <c r="T2261" s="6">
        <v>3.92</v>
      </c>
      <c r="U2261" s="6">
        <v>1</v>
      </c>
      <c r="V2261" s="7">
        <v>45352</v>
      </c>
      <c r="W2261" s="10">
        <f ca="1">IFERROR(__xludf.DUMMYFUNCTION("IFERROR(GOOGLEFINANCE(B2261,""pe""),V2261)"),45352)</f>
        <v>45352</v>
      </c>
      <c r="X2261" s="6">
        <v>0</v>
      </c>
      <c r="Y2261" s="6">
        <v>23.48</v>
      </c>
      <c r="Z2261" s="6">
        <v>29.31</v>
      </c>
      <c r="AA2261" s="3" t="s">
        <v>7085</v>
      </c>
      <c r="AB2261" s="11"/>
      <c r="AC2261" s="9"/>
      <c r="AD2261" s="9"/>
      <c r="AE2261" s="1">
        <v>0</v>
      </c>
      <c r="AF2261" s="1">
        <f ca="1">IFERROR(__xludf.DUMMYFUNCTION("IFERROR(GOOGLEFINANCE(TRIM(F2261)&amp;"":"" &amp; TRIM(B2261),""high52""),AE2261)"),0)</f>
        <v>0</v>
      </c>
      <c r="AG2261" s="1">
        <v>0</v>
      </c>
      <c r="AH2261" s="1">
        <f ca="1">IFERROR(__xludf.DUMMYFUNCTION("IFERROR(GOOGLEFINANCE(TRIM(F2261)&amp;"":"" &amp; TRIM(B2261),""low52""),AE2261)"),0)</f>
        <v>0</v>
      </c>
      <c r="AI2261" s="1">
        <f ca="1">IFERROR(__xludf.DUMMYFUNCTION("IFERROR(GOOGLEFINANCE(B2261,""eps""),0)"),0)</f>
        <v>0</v>
      </c>
      <c r="AJ2261" s="1"/>
      <c r="AK2261" s="1" t="s">
        <v>7086</v>
      </c>
      <c r="AL2261" s="9">
        <f t="shared" si="235"/>
        <v>1</v>
      </c>
    </row>
    <row r="2262" spans="1:38" ht="15" x14ac:dyDescent="0.25">
      <c r="A2262" s="1" t="s">
        <v>7087</v>
      </c>
      <c r="B2262" s="1" t="s">
        <v>7088</v>
      </c>
      <c r="C2262" s="1" t="s">
        <v>75</v>
      </c>
      <c r="D2262" s="1" t="s">
        <v>75</v>
      </c>
      <c r="E2262" s="6">
        <v>13.79</v>
      </c>
      <c r="F2262" s="1" t="s">
        <v>53</v>
      </c>
      <c r="G2262" s="6">
        <f ca="1">IFERROR(__xludf.DUMMYFUNCTION("iferror(GOOGLEFINANCE(TRIM(F2262)&amp;"":"" &amp; TRIM(B2262), ""price""),0
)"),0)</f>
        <v>0</v>
      </c>
      <c r="H2262" s="6">
        <v>24.15</v>
      </c>
      <c r="I2262" s="6">
        <f t="shared" ca="1" si="0"/>
        <v>24.15</v>
      </c>
      <c r="J2262" s="6">
        <f ca="1">IFERROR(__xludf.DUMMYFUNCTION("IFERROR(GOOGLEFINANCE(B2262, ""volume""), 0)"),0)</f>
        <v>0</v>
      </c>
      <c r="K2262" s="6">
        <v>-4.2</v>
      </c>
      <c r="L2262" s="6">
        <f ca="1">IFERROR(__xludf.DUMMYFUNCTION("IFERROR(GOOGLEFINANCE(B2262,""changepct""),K2262)"),-4.2)</f>
        <v>-4.2</v>
      </c>
      <c r="M2262" s="6">
        <f ca="1">IFERROR(__xludf.DUMMYFUNCTION("IFERROR(GOOGLEFINANCE(B2262,""change""),0)"),0)</f>
        <v>0</v>
      </c>
      <c r="N2262" s="6">
        <v>1</v>
      </c>
      <c r="O2262" s="7">
        <v>45536</v>
      </c>
      <c r="P2262" s="6">
        <v>0.4</v>
      </c>
      <c r="Q2262" s="7">
        <v>45536</v>
      </c>
      <c r="R2262" s="6">
        <v>34.57</v>
      </c>
      <c r="S2262" s="6">
        <v>1.1000000000000001</v>
      </c>
      <c r="T2262" s="6">
        <v>16</v>
      </c>
      <c r="U2262" s="6">
        <v>1</v>
      </c>
      <c r="V2262" s="7">
        <v>45352</v>
      </c>
      <c r="W2262" s="10">
        <f ca="1">IFERROR(__xludf.DUMMYFUNCTION("IFERROR(GOOGLEFINANCE(B2262,""pe""),V2262)"),45352)</f>
        <v>45352</v>
      </c>
      <c r="X2262" s="6">
        <v>0</v>
      </c>
      <c r="Y2262" s="6">
        <v>46.41</v>
      </c>
      <c r="Z2262" s="6">
        <v>64.47</v>
      </c>
      <c r="AA2262" s="3" t="s">
        <v>7089</v>
      </c>
      <c r="AB2262" s="11"/>
      <c r="AC2262" s="9"/>
      <c r="AD2262" s="9"/>
      <c r="AE2262" s="1">
        <v>0</v>
      </c>
      <c r="AF2262" s="1">
        <f ca="1">IFERROR(__xludf.DUMMYFUNCTION("IFERROR(GOOGLEFINANCE(TRIM(F2262)&amp;"":"" &amp; TRIM(B2262),""high52""),AE2262)"),0)</f>
        <v>0</v>
      </c>
      <c r="AG2262" s="1">
        <v>0</v>
      </c>
      <c r="AH2262" s="1">
        <f ca="1">IFERROR(__xludf.DUMMYFUNCTION("IFERROR(GOOGLEFINANCE(TRIM(F2262)&amp;"":"" &amp; TRIM(B2262),""low52""),AE2262)"),0)</f>
        <v>0</v>
      </c>
      <c r="AI2262" s="1">
        <f ca="1">IFERROR(__xludf.DUMMYFUNCTION("IFERROR(GOOGLEFINANCE(B2262,""eps""),0)"),0)</f>
        <v>0</v>
      </c>
      <c r="AJ2262" s="1"/>
      <c r="AK2262" s="1" t="s">
        <v>7090</v>
      </c>
      <c r="AL2262" s="9">
        <f t="shared" si="235"/>
        <v>1</v>
      </c>
    </row>
    <row r="2263" spans="1:38" ht="15" x14ac:dyDescent="0.25">
      <c r="A2263" s="1" t="s">
        <v>7091</v>
      </c>
      <c r="B2263" s="1" t="s">
        <v>7092</v>
      </c>
      <c r="C2263" s="1" t="s">
        <v>487</v>
      </c>
      <c r="D2263" s="1" t="s">
        <v>487</v>
      </c>
      <c r="E2263" s="6">
        <v>255.12</v>
      </c>
      <c r="F2263" s="1" t="s">
        <v>40</v>
      </c>
      <c r="G2263" s="6">
        <f ca="1">IFERROR(__xludf.DUMMYFUNCTION("iferror(GOOGLEFINANCE(TRIM(F2263)&amp;"":"" &amp; TRIM(B2263), ""price""),0
)"),27.9)</f>
        <v>27.9</v>
      </c>
      <c r="H2263" s="6">
        <v>35.200000000000003</v>
      </c>
      <c r="I2263" s="6">
        <f t="shared" ca="1" si="0"/>
        <v>27.9</v>
      </c>
      <c r="J2263" s="6">
        <f ca="1">IFERROR(__xludf.DUMMYFUNCTION("IFERROR(GOOGLEFINANCE(B2263, ""volume""), 0)"),29632)</f>
        <v>29632</v>
      </c>
      <c r="K2263" s="6">
        <v>0.74</v>
      </c>
      <c r="L2263" s="6">
        <f ca="1">IFERROR(__xludf.DUMMYFUNCTION("IFERROR(GOOGLEFINANCE(B2263,""changepct""),K2263)"),0.36)</f>
        <v>0.36</v>
      </c>
      <c r="M2263" s="6">
        <f ca="1">IFERROR(__xludf.DUMMYFUNCTION("IFERROR(GOOGLEFINANCE(B2263,""change""),0)"),0.1)</f>
        <v>0.1</v>
      </c>
      <c r="N2263" s="6">
        <v>2</v>
      </c>
      <c r="O2263" s="7">
        <v>45536</v>
      </c>
      <c r="P2263" s="6">
        <v>126.67</v>
      </c>
      <c r="Q2263" s="6">
        <v>373.64</v>
      </c>
      <c r="R2263" s="7">
        <v>45261</v>
      </c>
      <c r="S2263" s="6">
        <v>121.13</v>
      </c>
      <c r="T2263" s="6">
        <v>3.36</v>
      </c>
      <c r="U2263" s="7">
        <v>45352</v>
      </c>
      <c r="V2263" s="6">
        <v>37.82</v>
      </c>
      <c r="W2263" s="6">
        <f ca="1">IFERROR(__xludf.DUMMYFUNCTION("IFERROR(GOOGLEFINANCE(B2263,""pe""),V2263)"),37.82)</f>
        <v>37.82</v>
      </c>
      <c r="X2263" s="12"/>
      <c r="Y2263" s="6">
        <v>1.28</v>
      </c>
      <c r="Z2263" s="6">
        <v>2</v>
      </c>
      <c r="AA2263" s="8">
        <v>45352</v>
      </c>
      <c r="AB2263" s="4">
        <v>0.69</v>
      </c>
      <c r="AC2263" s="6">
        <v>5.04</v>
      </c>
      <c r="AD2263" s="6">
        <v>9.9499999999999993</v>
      </c>
      <c r="AE2263" s="1">
        <v>0</v>
      </c>
      <c r="AF2263" s="1">
        <f ca="1">IFERROR(__xludf.DUMMYFUNCTION("IFERROR(GOOGLEFINANCE(TRIM(F2263)&amp;"":"" &amp; TRIM(B2263),""high52""),AE2263)"),33.8)</f>
        <v>33.799999999999997</v>
      </c>
      <c r="AG2263" s="1">
        <v>0</v>
      </c>
      <c r="AH2263" s="1">
        <f ca="1">IFERROR(__xludf.DUMMYFUNCTION("IFERROR(GOOGLEFINANCE(TRIM(F2263)&amp;"":"" &amp; TRIM(B2263),""low52""),AE2263)"),19.01)</f>
        <v>19.010000000000002</v>
      </c>
      <c r="AI2263" s="1">
        <f ca="1">IFERROR(__xludf.DUMMYFUNCTION("IFERROR(GOOGLEFINANCE(B2263,""eps""),0)"),-0.6)</f>
        <v>-0.6</v>
      </c>
      <c r="AJ2263" s="1"/>
      <c r="AK2263" s="1" t="s">
        <v>7093</v>
      </c>
      <c r="AL2263" s="9">
        <f t="shared" si="235"/>
        <v>1</v>
      </c>
    </row>
    <row r="2264" spans="1:38" ht="15" x14ac:dyDescent="0.25">
      <c r="A2264" s="1" t="s">
        <v>7094</v>
      </c>
      <c r="B2264" s="1" t="s">
        <v>7095</v>
      </c>
      <c r="C2264" s="1" t="s">
        <v>75</v>
      </c>
      <c r="D2264" s="1" t="s">
        <v>75</v>
      </c>
      <c r="E2264" s="6">
        <v>39.67</v>
      </c>
      <c r="F2264" s="1" t="s">
        <v>53</v>
      </c>
      <c r="G2264" s="6">
        <f ca="1">IFERROR(__xludf.DUMMYFUNCTION("iferror(GOOGLEFINANCE(TRIM(F2264)&amp;"":"" &amp; TRIM(B2264), ""price""),0
)"),0)</f>
        <v>0</v>
      </c>
      <c r="H2264" s="6">
        <v>5.69</v>
      </c>
      <c r="I2264" s="6">
        <f t="shared" ca="1" si="0"/>
        <v>5.69</v>
      </c>
      <c r="J2264" s="6">
        <f ca="1">IFERROR(__xludf.DUMMYFUNCTION("IFERROR(GOOGLEFINANCE(B2264, ""volume""), 0)"),0)</f>
        <v>0</v>
      </c>
      <c r="K2264" s="6">
        <v>6.16</v>
      </c>
      <c r="L2264" s="6">
        <f ca="1">IFERROR(__xludf.DUMMYFUNCTION("IFERROR(GOOGLEFINANCE(B2264,""changepct""),K2264)"),6.16)</f>
        <v>6.16</v>
      </c>
      <c r="M2264" s="6">
        <f ca="1">IFERROR(__xludf.DUMMYFUNCTION("IFERROR(GOOGLEFINANCE(B2264,""change""),0)"),0)</f>
        <v>0</v>
      </c>
      <c r="N2264" s="6">
        <v>2</v>
      </c>
      <c r="O2264" s="7">
        <v>45536</v>
      </c>
      <c r="P2264" s="6">
        <v>1.01</v>
      </c>
      <c r="Q2264" s="7">
        <v>45536</v>
      </c>
      <c r="R2264" s="6">
        <v>39.200000000000003</v>
      </c>
      <c r="S2264" s="6">
        <v>4.76</v>
      </c>
      <c r="T2264" s="6">
        <v>4.04</v>
      </c>
      <c r="U2264" s="6">
        <v>2</v>
      </c>
      <c r="V2264" s="7">
        <v>45352</v>
      </c>
      <c r="W2264" s="10">
        <f ca="1">IFERROR(__xludf.DUMMYFUNCTION("IFERROR(GOOGLEFINANCE(B2264,""pe""),V2264)"),45352)</f>
        <v>45352</v>
      </c>
      <c r="X2264" s="6">
        <v>0.51</v>
      </c>
      <c r="Y2264" s="6">
        <v>5</v>
      </c>
      <c r="Z2264" s="6">
        <v>6.42</v>
      </c>
      <c r="AA2264" s="3" t="s">
        <v>7096</v>
      </c>
      <c r="AB2264" s="11"/>
      <c r="AC2264" s="9"/>
      <c r="AD2264" s="9"/>
      <c r="AE2264" s="1">
        <v>0</v>
      </c>
      <c r="AF2264" s="1">
        <f ca="1">IFERROR(__xludf.DUMMYFUNCTION("IFERROR(GOOGLEFINANCE(TRIM(F2264)&amp;"":"" &amp; TRIM(B2264),""high52""),AE2264)"),0)</f>
        <v>0</v>
      </c>
      <c r="AG2264" s="1">
        <v>0</v>
      </c>
      <c r="AH2264" s="1">
        <f ca="1">IFERROR(__xludf.DUMMYFUNCTION("IFERROR(GOOGLEFINANCE(TRIM(F2264)&amp;"":"" &amp; TRIM(B2264),""low52""),AE2264)"),0)</f>
        <v>0</v>
      </c>
      <c r="AI2264" s="1">
        <f ca="1">IFERROR(__xludf.DUMMYFUNCTION("IFERROR(GOOGLEFINANCE(B2264,""eps""),0)"),0)</f>
        <v>0</v>
      </c>
      <c r="AJ2264" s="1"/>
      <c r="AK2264" s="1" t="s">
        <v>7097</v>
      </c>
      <c r="AL2264" s="9">
        <f t="shared" si="235"/>
        <v>1</v>
      </c>
    </row>
    <row r="2265" spans="1:38" ht="15" x14ac:dyDescent="0.25">
      <c r="A2265" s="1" t="s">
        <v>7098</v>
      </c>
      <c r="B2265" s="1" t="s">
        <v>7099</v>
      </c>
      <c r="C2265" s="1" t="s">
        <v>75</v>
      </c>
      <c r="D2265" s="1" t="s">
        <v>75</v>
      </c>
      <c r="E2265" s="6">
        <v>18.59</v>
      </c>
      <c r="F2265" s="1" t="s">
        <v>53</v>
      </c>
      <c r="G2265" s="6">
        <f ca="1">IFERROR(__xludf.DUMMYFUNCTION("iferror(GOOGLEFINANCE(TRIM(F2265)&amp;"":"" &amp; TRIM(B2265), ""price""),0
)"),0)</f>
        <v>0</v>
      </c>
      <c r="H2265" s="6">
        <v>63</v>
      </c>
      <c r="I2265" s="6">
        <f t="shared" ca="1" si="0"/>
        <v>63</v>
      </c>
      <c r="J2265" s="6">
        <f ca="1">IFERROR(__xludf.DUMMYFUNCTION("IFERROR(GOOGLEFINANCE(B2265, ""volume""), 0)"),0)</f>
        <v>0</v>
      </c>
      <c r="K2265" s="6">
        <v>-0.65</v>
      </c>
      <c r="L2265" s="6">
        <f ca="1">IFERROR(__xludf.DUMMYFUNCTION("IFERROR(GOOGLEFINANCE(B2265,""changepct""),K2265)"),-0.65)</f>
        <v>-0.65</v>
      </c>
      <c r="M2265" s="6">
        <f ca="1">IFERROR(__xludf.DUMMYFUNCTION("IFERROR(GOOGLEFINANCE(B2265,""change""),0)"),0)</f>
        <v>0</v>
      </c>
      <c r="N2265" s="6">
        <v>1</v>
      </c>
      <c r="O2265" s="7">
        <v>45536</v>
      </c>
      <c r="P2265" s="6">
        <v>0.45</v>
      </c>
      <c r="Q2265" s="7">
        <v>45536</v>
      </c>
      <c r="R2265" s="6">
        <v>41.21</v>
      </c>
      <c r="S2265" s="6">
        <v>1.84</v>
      </c>
      <c r="T2265" s="6">
        <v>1.44</v>
      </c>
      <c r="U2265" s="6">
        <v>1</v>
      </c>
      <c r="V2265" s="7">
        <v>45352</v>
      </c>
      <c r="W2265" s="10">
        <f ca="1">IFERROR(__xludf.DUMMYFUNCTION("IFERROR(GOOGLEFINANCE(B2265,""pe""),V2265)"),45352)</f>
        <v>45352</v>
      </c>
      <c r="X2265" s="6">
        <v>0</v>
      </c>
      <c r="Y2265" s="6">
        <v>3.21</v>
      </c>
      <c r="Z2265" s="6">
        <v>4.26</v>
      </c>
      <c r="AA2265" s="3" t="s">
        <v>7100</v>
      </c>
      <c r="AB2265" s="11"/>
      <c r="AC2265" s="9"/>
      <c r="AD2265" s="9"/>
      <c r="AE2265" s="1">
        <v>0</v>
      </c>
      <c r="AF2265" s="1">
        <f ca="1">IFERROR(__xludf.DUMMYFUNCTION("IFERROR(GOOGLEFINANCE(TRIM(F2265)&amp;"":"" &amp; TRIM(B2265),""high52""),AE2265)"),0)</f>
        <v>0</v>
      </c>
      <c r="AG2265" s="1">
        <v>0</v>
      </c>
      <c r="AH2265" s="1">
        <f ca="1">IFERROR(__xludf.DUMMYFUNCTION("IFERROR(GOOGLEFINANCE(TRIM(F2265)&amp;"":"" &amp; TRIM(B2265),""low52""),AE2265)"),0)</f>
        <v>0</v>
      </c>
      <c r="AI2265" s="1">
        <f ca="1">IFERROR(__xludf.DUMMYFUNCTION("IFERROR(GOOGLEFINANCE(B2265,""eps""),0)"),0)</f>
        <v>0</v>
      </c>
      <c r="AJ2265" s="1"/>
      <c r="AK2265" s="1" t="s">
        <v>7101</v>
      </c>
      <c r="AL2265" s="9">
        <f t="shared" si="235"/>
        <v>1</v>
      </c>
    </row>
    <row r="2266" spans="1:38" ht="15" x14ac:dyDescent="0.25">
      <c r="A2266" s="1" t="s">
        <v>7102</v>
      </c>
      <c r="B2266" s="1" t="s">
        <v>7103</v>
      </c>
      <c r="C2266" s="1" t="s">
        <v>75</v>
      </c>
      <c r="D2266" s="1" t="s">
        <v>75</v>
      </c>
      <c r="E2266" s="6">
        <v>42.54</v>
      </c>
      <c r="F2266" s="1" t="s">
        <v>53</v>
      </c>
      <c r="G2266" s="6">
        <f ca="1">IFERROR(__xludf.DUMMYFUNCTION("iferror(GOOGLEFINANCE(TRIM(F2266)&amp;"":"" &amp; TRIM(B2266), ""price""),0
)"),0)</f>
        <v>0</v>
      </c>
      <c r="H2266" s="6">
        <v>132.6</v>
      </c>
      <c r="I2266" s="6">
        <f t="shared" ca="1" si="0"/>
        <v>132.6</v>
      </c>
      <c r="J2266" s="6">
        <f ca="1">IFERROR(__xludf.DUMMYFUNCTION("IFERROR(GOOGLEFINANCE(B2266, ""volume""), 0)"),0)</f>
        <v>0</v>
      </c>
      <c r="K2266" s="6">
        <v>-3.32</v>
      </c>
      <c r="L2266" s="6">
        <f ca="1">IFERROR(__xludf.DUMMYFUNCTION("IFERROR(GOOGLEFINANCE(B2266,""changepct""),K2266)"),-3.32)</f>
        <v>-3.32</v>
      </c>
      <c r="M2266" s="6">
        <f ca="1">IFERROR(__xludf.DUMMYFUNCTION("IFERROR(GOOGLEFINANCE(B2266,""change""),0)"),0)</f>
        <v>0</v>
      </c>
      <c r="N2266" s="6">
        <v>2</v>
      </c>
      <c r="O2266" s="7">
        <v>45536</v>
      </c>
      <c r="P2266" s="6">
        <v>0.08</v>
      </c>
      <c r="Q2266" s="7">
        <v>45536</v>
      </c>
      <c r="R2266" s="6">
        <v>48.96</v>
      </c>
      <c r="S2266" s="6">
        <v>305.98</v>
      </c>
      <c r="T2266" s="6">
        <v>0.37</v>
      </c>
      <c r="U2266" s="6">
        <v>2</v>
      </c>
      <c r="V2266" s="7">
        <v>45352</v>
      </c>
      <c r="W2266" s="10">
        <f ca="1">IFERROR(__xludf.DUMMYFUNCTION("IFERROR(GOOGLEFINANCE(B2266,""pe""),V2266)"),45352)</f>
        <v>45352</v>
      </c>
      <c r="X2266" s="6">
        <v>0</v>
      </c>
      <c r="Y2266" s="6">
        <v>0.13</v>
      </c>
      <c r="Z2266" s="6">
        <v>0.21</v>
      </c>
      <c r="AA2266" s="3" t="s">
        <v>7104</v>
      </c>
      <c r="AB2266" s="11"/>
      <c r="AC2266" s="9"/>
      <c r="AD2266" s="9"/>
      <c r="AE2266" s="1">
        <v>0</v>
      </c>
      <c r="AF2266" s="1">
        <f ca="1">IFERROR(__xludf.DUMMYFUNCTION("IFERROR(GOOGLEFINANCE(TRIM(F2266)&amp;"":"" &amp; TRIM(B2266),""high52""),AE2266)"),0)</f>
        <v>0</v>
      </c>
      <c r="AG2266" s="1">
        <v>0</v>
      </c>
      <c r="AH2266" s="1">
        <f ca="1">IFERROR(__xludf.DUMMYFUNCTION("IFERROR(GOOGLEFINANCE(TRIM(F2266)&amp;"":"" &amp; TRIM(B2266),""low52""),AE2266)"),0)</f>
        <v>0</v>
      </c>
      <c r="AI2266" s="1">
        <f ca="1">IFERROR(__xludf.DUMMYFUNCTION("IFERROR(GOOGLEFINANCE(B2266,""eps""),0)"),0)</f>
        <v>0</v>
      </c>
      <c r="AJ2266" s="1"/>
      <c r="AK2266" s="1" t="s">
        <v>7105</v>
      </c>
      <c r="AL2266" s="9">
        <f t="shared" si="235"/>
        <v>1</v>
      </c>
    </row>
    <row r="2267" spans="1:38" ht="15" x14ac:dyDescent="0.25">
      <c r="A2267" s="1" t="s">
        <v>7106</v>
      </c>
      <c r="B2267" s="1" t="s">
        <v>7107</v>
      </c>
      <c r="C2267" s="1" t="s">
        <v>75</v>
      </c>
      <c r="D2267" s="1" t="s">
        <v>75</v>
      </c>
      <c r="E2267" s="6">
        <v>701.3</v>
      </c>
      <c r="F2267" s="1" t="s">
        <v>53</v>
      </c>
      <c r="G2267" s="6">
        <f ca="1">IFERROR(__xludf.DUMMYFUNCTION("iferror(GOOGLEFINANCE(TRIM(F2267)&amp;"":"" &amp; TRIM(B2267), ""price""),0
)"),0)</f>
        <v>0</v>
      </c>
      <c r="H2267" s="6">
        <v>157.80000000000001</v>
      </c>
      <c r="I2267" s="6">
        <f t="shared" ca="1" si="0"/>
        <v>157.80000000000001</v>
      </c>
      <c r="J2267" s="6">
        <f ca="1">IFERROR(__xludf.DUMMYFUNCTION("IFERROR(GOOGLEFINANCE(B2267, ""volume""), 0)"),0)</f>
        <v>0</v>
      </c>
      <c r="K2267" s="6">
        <v>4.99</v>
      </c>
      <c r="L2267" s="6">
        <f ca="1">IFERROR(__xludf.DUMMYFUNCTION("IFERROR(GOOGLEFINANCE(B2267,""changepct""),K2267)"),4.99)</f>
        <v>4.99</v>
      </c>
      <c r="M2267" s="6">
        <f ca="1">IFERROR(__xludf.DUMMYFUNCTION("IFERROR(GOOGLEFINANCE(B2267,""change""),0)"),0)</f>
        <v>0</v>
      </c>
      <c r="N2267" s="6">
        <v>1</v>
      </c>
      <c r="O2267" s="7">
        <v>45352</v>
      </c>
      <c r="P2267" s="6">
        <v>11.45</v>
      </c>
      <c r="Q2267" s="7">
        <v>45352</v>
      </c>
      <c r="R2267" s="6">
        <v>61.24</v>
      </c>
      <c r="S2267" s="6">
        <v>1.64</v>
      </c>
      <c r="T2267" s="6">
        <v>9.81</v>
      </c>
      <c r="U2267" s="6">
        <v>1</v>
      </c>
      <c r="V2267" s="7">
        <v>45352</v>
      </c>
      <c r="W2267" s="10">
        <f ca="1">IFERROR(__xludf.DUMMYFUNCTION("IFERROR(GOOGLEFINANCE(B2267,""pe""),V2267)"),45352)</f>
        <v>45352</v>
      </c>
      <c r="X2267" s="6">
        <v>0.06</v>
      </c>
      <c r="Y2267" s="6">
        <v>37.869999999999997</v>
      </c>
      <c r="Z2267" s="6">
        <v>43.5</v>
      </c>
      <c r="AA2267" s="3" t="s">
        <v>7108</v>
      </c>
      <c r="AB2267" s="11"/>
      <c r="AC2267" s="9"/>
      <c r="AD2267" s="9"/>
      <c r="AE2267" s="1">
        <v>0</v>
      </c>
      <c r="AF2267" s="1">
        <f ca="1">IFERROR(__xludf.DUMMYFUNCTION("IFERROR(GOOGLEFINANCE(TRIM(F2267)&amp;"":"" &amp; TRIM(B2267),""high52""),AE2267)"),0)</f>
        <v>0</v>
      </c>
      <c r="AG2267" s="1">
        <v>0</v>
      </c>
      <c r="AH2267" s="1">
        <f ca="1">IFERROR(__xludf.DUMMYFUNCTION("IFERROR(GOOGLEFINANCE(TRIM(F2267)&amp;"":"" &amp; TRIM(B2267),""low52""),AE2267)"),0)</f>
        <v>0</v>
      </c>
      <c r="AI2267" s="1">
        <f ca="1">IFERROR(__xludf.DUMMYFUNCTION("IFERROR(GOOGLEFINANCE(B2267,""eps""),0)"),0)</f>
        <v>0</v>
      </c>
      <c r="AJ2267" s="1"/>
      <c r="AK2267" s="1" t="s">
        <v>7109</v>
      </c>
      <c r="AL2267" s="9">
        <f t="shared" si="235"/>
        <v>1</v>
      </c>
    </row>
    <row r="2268" spans="1:38" ht="15" x14ac:dyDescent="0.25">
      <c r="A2268" s="1" t="s">
        <v>7110</v>
      </c>
      <c r="B2268" s="1" t="s">
        <v>7111</v>
      </c>
      <c r="C2268" s="1" t="s">
        <v>75</v>
      </c>
      <c r="D2268" s="1" t="s">
        <v>75</v>
      </c>
      <c r="E2268" s="6">
        <v>246.66</v>
      </c>
      <c r="F2268" s="1" t="s">
        <v>53</v>
      </c>
      <c r="G2268" s="6">
        <f ca="1">IFERROR(__xludf.DUMMYFUNCTION("iferror(GOOGLEFINANCE(TRIM(F2268)&amp;"":"" &amp; TRIM(B2268), ""price""),0
)"),0)</f>
        <v>0</v>
      </c>
      <c r="H2268" s="6">
        <v>270</v>
      </c>
      <c r="I2268" s="6">
        <f t="shared" ca="1" si="0"/>
        <v>270</v>
      </c>
      <c r="J2268" s="6">
        <f ca="1">IFERROR(__xludf.DUMMYFUNCTION("IFERROR(GOOGLEFINANCE(B2268, ""volume""), 0)"),0)</f>
        <v>0</v>
      </c>
      <c r="K2268" s="6">
        <v>-1.64</v>
      </c>
      <c r="L2268" s="6">
        <f ca="1">IFERROR(__xludf.DUMMYFUNCTION("IFERROR(GOOGLEFINANCE(B2268,""changepct""),K2268)"),-1.64)</f>
        <v>-1.64</v>
      </c>
      <c r="M2268" s="6">
        <f ca="1">IFERROR(__xludf.DUMMYFUNCTION("IFERROR(GOOGLEFINANCE(B2268,""change""),0)"),0)</f>
        <v>0</v>
      </c>
      <c r="N2268" s="6">
        <v>1</v>
      </c>
      <c r="O2268" s="7">
        <v>45536</v>
      </c>
      <c r="P2268" s="6">
        <v>3.73</v>
      </c>
      <c r="Q2268" s="7">
        <v>45536</v>
      </c>
      <c r="R2268" s="6">
        <v>66.08</v>
      </c>
      <c r="S2268" s="6">
        <v>1.64</v>
      </c>
      <c r="T2268" s="6">
        <v>2.79</v>
      </c>
      <c r="U2268" s="6">
        <v>1</v>
      </c>
      <c r="V2268" s="7">
        <v>45352</v>
      </c>
      <c r="W2268" s="10">
        <f ca="1">IFERROR(__xludf.DUMMYFUNCTION("IFERROR(GOOGLEFINANCE(B2268,""pe""),V2268)"),45352)</f>
        <v>45352</v>
      </c>
      <c r="X2268" s="6">
        <v>0.01</v>
      </c>
      <c r="Y2268" s="6">
        <v>3.58</v>
      </c>
      <c r="Z2268" s="6">
        <v>5.54</v>
      </c>
      <c r="AA2268" s="3" t="s">
        <v>7112</v>
      </c>
      <c r="AB2268" s="11"/>
      <c r="AC2268" s="9"/>
      <c r="AD2268" s="9"/>
      <c r="AE2268" s="1">
        <v>0</v>
      </c>
      <c r="AF2268" s="1">
        <f ca="1">IFERROR(__xludf.DUMMYFUNCTION("IFERROR(GOOGLEFINANCE(TRIM(F2268)&amp;"":"" &amp; TRIM(B2268),""high52""),AE2268)"),0)</f>
        <v>0</v>
      </c>
      <c r="AG2268" s="1">
        <v>0</v>
      </c>
      <c r="AH2268" s="1">
        <f ca="1">IFERROR(__xludf.DUMMYFUNCTION("IFERROR(GOOGLEFINANCE(TRIM(F2268)&amp;"":"" &amp; TRIM(B2268),""low52""),AE2268)"),0)</f>
        <v>0</v>
      </c>
      <c r="AI2268" s="1">
        <f ca="1">IFERROR(__xludf.DUMMYFUNCTION("IFERROR(GOOGLEFINANCE(B2268,""eps""),0)"),0)</f>
        <v>0</v>
      </c>
      <c r="AJ2268" s="1"/>
      <c r="AK2268" s="1" t="s">
        <v>7113</v>
      </c>
      <c r="AL2268" s="9">
        <f t="shared" si="235"/>
        <v>1</v>
      </c>
    </row>
    <row r="2269" spans="1:38" ht="15" x14ac:dyDescent="0.25">
      <c r="A2269" s="1" t="s">
        <v>7114</v>
      </c>
      <c r="B2269" s="1" t="s">
        <v>7115</v>
      </c>
      <c r="C2269" s="1" t="s">
        <v>75</v>
      </c>
      <c r="D2269" s="1" t="s">
        <v>75</v>
      </c>
      <c r="E2269" s="6">
        <v>134.05000000000001</v>
      </c>
      <c r="F2269" s="1" t="s">
        <v>53</v>
      </c>
      <c r="G2269" s="6">
        <f ca="1">IFERROR(__xludf.DUMMYFUNCTION("iferror(GOOGLEFINANCE(TRIM(F2269)&amp;"":"" &amp; TRIM(B2269), ""price""),0
)"),0)</f>
        <v>0</v>
      </c>
      <c r="H2269" s="6">
        <v>2.2999999999999998</v>
      </c>
      <c r="I2269" s="6">
        <f t="shared" ca="1" si="0"/>
        <v>2.2999999999999998</v>
      </c>
      <c r="J2269" s="6">
        <f ca="1">IFERROR(__xludf.DUMMYFUNCTION("IFERROR(GOOGLEFINANCE(B2269, ""volume""), 0)"),0)</f>
        <v>0</v>
      </c>
      <c r="K2269" s="6">
        <v>-0.86</v>
      </c>
      <c r="L2269" s="6">
        <f ca="1">IFERROR(__xludf.DUMMYFUNCTION("IFERROR(GOOGLEFINANCE(B2269,""changepct""),K2269)"),-0.86)</f>
        <v>-0.86</v>
      </c>
      <c r="M2269" s="6">
        <f ca="1">IFERROR(__xludf.DUMMYFUNCTION("IFERROR(GOOGLEFINANCE(B2269,""change""),0)"),0)</f>
        <v>0</v>
      </c>
      <c r="N2269" s="6">
        <v>2</v>
      </c>
      <c r="O2269" s="7">
        <v>45536</v>
      </c>
      <c r="P2269" s="6">
        <v>7.48</v>
      </c>
      <c r="Q2269" s="7">
        <v>45536</v>
      </c>
      <c r="R2269" s="6">
        <v>66.489999999999995</v>
      </c>
      <c r="S2269" s="9"/>
      <c r="T2269" s="6">
        <v>0.4</v>
      </c>
      <c r="U2269" s="6">
        <v>2</v>
      </c>
      <c r="V2269" s="7">
        <v>45352</v>
      </c>
      <c r="W2269" s="10">
        <f ca="1">IFERROR(__xludf.DUMMYFUNCTION("IFERROR(GOOGLEFINANCE(B2269,""pe""),V2269)"),45352)</f>
        <v>45352</v>
      </c>
      <c r="X2269" s="6">
        <v>0</v>
      </c>
      <c r="Y2269" s="6">
        <v>5.26</v>
      </c>
      <c r="Z2269" s="6">
        <v>4.46</v>
      </c>
      <c r="AA2269" s="3" t="s">
        <v>7116</v>
      </c>
      <c r="AB2269" s="11"/>
      <c r="AC2269" s="9"/>
      <c r="AD2269" s="9"/>
      <c r="AE2269" s="1">
        <v>0</v>
      </c>
      <c r="AF2269" s="1">
        <f ca="1">IFERROR(__xludf.DUMMYFUNCTION("IFERROR(GOOGLEFINANCE(TRIM(F2269)&amp;"":"" &amp; TRIM(B2269),""high52""),AE2269)"),0)</f>
        <v>0</v>
      </c>
      <c r="AG2269" s="1">
        <v>0</v>
      </c>
      <c r="AH2269" s="1">
        <f ca="1">IFERROR(__xludf.DUMMYFUNCTION("IFERROR(GOOGLEFINANCE(TRIM(F2269)&amp;"":"" &amp; TRIM(B2269),""low52""),AE2269)"),0)</f>
        <v>0</v>
      </c>
      <c r="AI2269" s="1">
        <f ca="1">IFERROR(__xludf.DUMMYFUNCTION("IFERROR(GOOGLEFINANCE(B2269,""eps""),0)"),0)</f>
        <v>0</v>
      </c>
      <c r="AJ2269" s="1"/>
      <c r="AK2269" s="1" t="s">
        <v>7117</v>
      </c>
      <c r="AL2269" s="9">
        <f t="shared" si="235"/>
        <v>1</v>
      </c>
    </row>
    <row r="2270" spans="1:38" ht="15" x14ac:dyDescent="0.25">
      <c r="A2270" s="1" t="s">
        <v>7118</v>
      </c>
      <c r="B2270" s="1" t="s">
        <v>7119</v>
      </c>
      <c r="C2270" s="1" t="s">
        <v>693</v>
      </c>
      <c r="D2270" s="1" t="s">
        <v>693</v>
      </c>
      <c r="E2270" s="6">
        <v>2555.48</v>
      </c>
      <c r="F2270" s="1" t="s">
        <v>40</v>
      </c>
      <c r="G2270" s="6">
        <f ca="1">IFERROR(__xludf.DUMMYFUNCTION("iferror(GOOGLEFINANCE(TRIM(F2270)&amp;"":"" &amp; TRIM(B2270), ""price""),0
)"),400.1)</f>
        <v>400.1</v>
      </c>
      <c r="H2270" s="6">
        <v>617.9</v>
      </c>
      <c r="I2270" s="6">
        <f t="shared" ca="1" si="0"/>
        <v>400.1</v>
      </c>
      <c r="J2270" s="6">
        <f ca="1">IFERROR(__xludf.DUMMYFUNCTION("IFERROR(GOOGLEFINANCE(B2270, ""volume""), 0)"),59181)</f>
        <v>59181</v>
      </c>
      <c r="K2270" s="6">
        <v>0.12</v>
      </c>
      <c r="L2270" s="6">
        <f ca="1">IFERROR(__xludf.DUMMYFUNCTION("IFERROR(GOOGLEFINANCE(B2270,""changepct""),K2270)"),-3.73)</f>
        <v>-3.73</v>
      </c>
      <c r="M2270" s="6">
        <f ca="1">IFERROR(__xludf.DUMMYFUNCTION("IFERROR(GOOGLEFINANCE(B2270,""change""),0)"),-15.5)</f>
        <v>-15.5</v>
      </c>
      <c r="N2270" s="6">
        <v>2</v>
      </c>
      <c r="O2270" s="7">
        <v>45536</v>
      </c>
      <c r="P2270" s="6">
        <v>448.97</v>
      </c>
      <c r="Q2270" s="6">
        <v>2957.57</v>
      </c>
      <c r="R2270" s="7">
        <v>45536</v>
      </c>
      <c r="S2270" s="6">
        <v>3562.47</v>
      </c>
      <c r="T2270" s="6">
        <v>33.229999999999997</v>
      </c>
      <c r="U2270" s="7">
        <v>45536</v>
      </c>
      <c r="V2270" s="6">
        <v>79.92</v>
      </c>
      <c r="W2270" s="6">
        <f ca="1">IFERROR(__xludf.DUMMYFUNCTION("IFERROR(GOOGLEFINANCE(B2270,""pe""),V2270)"),79.19)</f>
        <v>79.19</v>
      </c>
      <c r="X2270" s="9"/>
      <c r="Y2270" s="6">
        <v>4.75</v>
      </c>
      <c r="Z2270" s="6">
        <v>2</v>
      </c>
      <c r="AA2270" s="8">
        <v>45352</v>
      </c>
      <c r="AB2270" s="4">
        <v>0.86</v>
      </c>
      <c r="AC2270" s="6">
        <v>11.44</v>
      </c>
      <c r="AD2270" s="6">
        <v>14.13</v>
      </c>
      <c r="AE2270" s="1">
        <v>0</v>
      </c>
      <c r="AF2270" s="1">
        <f ca="1">IFERROR(__xludf.DUMMYFUNCTION("IFERROR(GOOGLEFINANCE(TRIM(F2270)&amp;"":"" &amp; TRIM(B2270),""high52""),AE2270)"),662.8)</f>
        <v>662.8</v>
      </c>
      <c r="AG2270" s="1">
        <v>0</v>
      </c>
      <c r="AH2270" s="1">
        <f ca="1">IFERROR(__xludf.DUMMYFUNCTION("IFERROR(GOOGLEFINANCE(TRIM(F2270)&amp;"":"" &amp; TRIM(B2270),""low52""),AE2270)"),329.8)</f>
        <v>329.8</v>
      </c>
      <c r="AI2270" s="1">
        <f ca="1">IFERROR(__xludf.DUMMYFUNCTION("IFERROR(GOOGLEFINANCE(B2270,""eps""),0)"),5.05)</f>
        <v>5.05</v>
      </c>
      <c r="AJ2270" s="1"/>
      <c r="AK2270" s="1" t="s">
        <v>7120</v>
      </c>
      <c r="AL2270" s="1" t="b">
        <f>ISNUMBER(AA2270)</f>
        <v>1</v>
      </c>
    </row>
    <row r="2271" spans="1:38" ht="15" x14ac:dyDescent="0.25">
      <c r="A2271" s="1" t="s">
        <v>7121</v>
      </c>
      <c r="B2271" s="1" t="s">
        <v>7122</v>
      </c>
      <c r="C2271" s="1" t="s">
        <v>487</v>
      </c>
      <c r="D2271" s="1" t="s">
        <v>487</v>
      </c>
      <c r="E2271" s="6">
        <v>136.69</v>
      </c>
      <c r="F2271" s="1" t="s">
        <v>40</v>
      </c>
      <c r="G2271" s="6">
        <f ca="1">IFERROR(__xludf.DUMMYFUNCTION("iferror(GOOGLEFINANCE(TRIM(F2271)&amp;"":"" &amp; TRIM(B2271), ""price""),0
)"),6.25)</f>
        <v>6.25</v>
      </c>
      <c r="H2271" s="6">
        <v>10.08</v>
      </c>
      <c r="I2271" s="6">
        <f t="shared" ca="1" si="0"/>
        <v>6.25</v>
      </c>
      <c r="J2271" s="6">
        <f ca="1">IFERROR(__xludf.DUMMYFUNCTION("IFERROR(GOOGLEFINANCE(B2271, ""volume""), 0)"),30685)</f>
        <v>30685</v>
      </c>
      <c r="K2271" s="6">
        <v>-0.2</v>
      </c>
      <c r="L2271" s="6">
        <f ca="1">IFERROR(__xludf.DUMMYFUNCTION("IFERROR(GOOGLEFINANCE(B2271,""changepct""),K2271)"),-0.48)</f>
        <v>-0.48</v>
      </c>
      <c r="M2271" s="6">
        <f ca="1">IFERROR(__xludf.DUMMYFUNCTION("IFERROR(GOOGLEFINANCE(B2271,""change""),0)"),-0.03)</f>
        <v>-0.03</v>
      </c>
      <c r="N2271" s="6">
        <v>1</v>
      </c>
      <c r="O2271" s="7">
        <v>45536</v>
      </c>
      <c r="P2271" s="9"/>
      <c r="Q2271" s="6">
        <v>131.05000000000001</v>
      </c>
      <c r="R2271" s="7">
        <v>45536</v>
      </c>
      <c r="S2271" s="6">
        <v>1.29</v>
      </c>
      <c r="T2271" s="6">
        <v>-15.8</v>
      </c>
      <c r="U2271" s="7">
        <v>45536</v>
      </c>
      <c r="V2271" s="6">
        <v>0</v>
      </c>
      <c r="W2271" s="6">
        <f ca="1">IFERROR(__xludf.DUMMYFUNCTION("IFERROR(GOOGLEFINANCE(B2271,""pe""),V2271)"),487.9)</f>
        <v>487.9</v>
      </c>
      <c r="X2271" s="9"/>
      <c r="Y2271" s="6">
        <v>3.43</v>
      </c>
      <c r="Z2271" s="6">
        <v>1</v>
      </c>
      <c r="AA2271" s="8">
        <v>45352</v>
      </c>
      <c r="AB2271" s="4">
        <v>0</v>
      </c>
      <c r="AC2271" s="6">
        <v>-23.65</v>
      </c>
      <c r="AD2271" s="6">
        <v>-23.41</v>
      </c>
      <c r="AE2271" s="1">
        <v>0</v>
      </c>
      <c r="AF2271" s="1">
        <f ca="1">IFERROR(__xludf.DUMMYFUNCTION("IFERROR(GOOGLEFINANCE(TRIM(F2271)&amp;"":"" &amp; TRIM(B2271),""high52""),AE2271)"),10.16)</f>
        <v>10.16</v>
      </c>
      <c r="AG2271" s="1">
        <v>0</v>
      </c>
      <c r="AH2271" s="1">
        <f ca="1">IFERROR(__xludf.DUMMYFUNCTION("IFERROR(GOOGLEFINANCE(TRIM(F2271)&amp;"":"" &amp; TRIM(B2271),""low52""),AE2271)"),6.01)</f>
        <v>6.01</v>
      </c>
      <c r="AI2271" s="1">
        <f ca="1">IFERROR(__xludf.DUMMYFUNCTION("IFERROR(GOOGLEFINANCE(B2271,""eps""),0)"),0.01)</f>
        <v>0.01</v>
      </c>
      <c r="AJ2271" s="1"/>
      <c r="AK2271" s="1" t="s">
        <v>7123</v>
      </c>
      <c r="AL2271" s="9">
        <f t="shared" ref="AL2271:AL2276" si="236">IF(AA2271&lt;&gt;AB2271,1,0)</f>
        <v>1</v>
      </c>
    </row>
    <row r="2272" spans="1:38" ht="15" x14ac:dyDescent="0.25">
      <c r="A2272" s="1" t="s">
        <v>7124</v>
      </c>
      <c r="B2272" s="1" t="s">
        <v>7125</v>
      </c>
      <c r="C2272" s="1" t="s">
        <v>86</v>
      </c>
      <c r="D2272" s="1" t="s">
        <v>86</v>
      </c>
      <c r="E2272" s="6">
        <v>510702.9</v>
      </c>
      <c r="F2272" s="1" t="s">
        <v>40</v>
      </c>
      <c r="G2272" s="6">
        <f ca="1">IFERROR(__xludf.DUMMYFUNCTION("iferror(GOOGLEFINANCE(TRIM(F2272)&amp;"":"" &amp; TRIM(B2272), ""price""),0
)"),3914)</f>
        <v>3914</v>
      </c>
      <c r="H2272" s="6">
        <v>3685.45</v>
      </c>
      <c r="I2272" s="6">
        <f t="shared" ca="1" si="0"/>
        <v>3914</v>
      </c>
      <c r="J2272" s="6">
        <f ca="1">IFERROR(__xludf.DUMMYFUNCTION("IFERROR(GOOGLEFINANCE(B2272, ""volume""), 0)"),3034613)</f>
        <v>3034613</v>
      </c>
      <c r="K2272" s="6">
        <v>-0.76</v>
      </c>
      <c r="L2272" s="6">
        <f ca="1">IFERROR(__xludf.DUMMYFUNCTION("IFERROR(GOOGLEFINANCE(B2272,""changepct""),K2272)"),2.62)</f>
        <v>2.62</v>
      </c>
      <c r="M2272" s="6">
        <f ca="1">IFERROR(__xludf.DUMMYFUNCTION("IFERROR(GOOGLEFINANCE(B2272,""change""),0)"),100)</f>
        <v>100</v>
      </c>
      <c r="N2272" s="6">
        <v>2</v>
      </c>
      <c r="O2272" s="7">
        <v>45536</v>
      </c>
      <c r="P2272" s="6">
        <v>123571.6</v>
      </c>
      <c r="Q2272" s="6">
        <v>616977.5</v>
      </c>
      <c r="R2272" s="7">
        <v>45536</v>
      </c>
      <c r="S2272" s="6">
        <v>238880.9</v>
      </c>
      <c r="T2272" s="6">
        <v>16150.97</v>
      </c>
      <c r="U2272" s="7">
        <v>45536</v>
      </c>
      <c r="V2272" s="6">
        <v>37.76</v>
      </c>
      <c r="W2272" s="6">
        <f ca="1">IFERROR(__xludf.DUMMYFUNCTION("IFERROR(GOOGLEFINANCE(B2272,""pe""),V2272)"),33.13)</f>
        <v>33.130000000000003</v>
      </c>
      <c r="X2272" s="6">
        <v>4.5199999999999996</v>
      </c>
      <c r="Y2272" s="6">
        <v>5.72</v>
      </c>
      <c r="Z2272" s="6">
        <v>2</v>
      </c>
      <c r="AA2272" s="8">
        <v>45352</v>
      </c>
      <c r="AB2272" s="4">
        <v>1.33</v>
      </c>
      <c r="AC2272" s="6">
        <v>17.829999999999998</v>
      </c>
      <c r="AD2272" s="6">
        <v>14.86</v>
      </c>
      <c r="AE2272" s="1">
        <v>0</v>
      </c>
      <c r="AF2272" s="1">
        <f ca="1">IFERROR(__xludf.DUMMYFUNCTION("IFERROR(GOOGLEFINANCE(TRIM(F2272)&amp;"":"" &amp; TRIM(B2272),""high52""),AE2272)"),4195)</f>
        <v>4195</v>
      </c>
      <c r="AG2272" s="1">
        <v>0</v>
      </c>
      <c r="AH2272" s="1">
        <f ca="1">IFERROR(__xludf.DUMMYFUNCTION("IFERROR(GOOGLEFINANCE(TRIM(F2272)&amp;"":"" &amp; TRIM(B2272),""low52""),AE2272)"),2965.3)</f>
        <v>2965.3</v>
      </c>
      <c r="AI2272" s="1">
        <f ca="1">IFERROR(__xludf.DUMMYFUNCTION("IFERROR(GOOGLEFINANCE(B2272,""eps""),0)"),118.13)</f>
        <v>118.13</v>
      </c>
      <c r="AJ2272" s="1"/>
      <c r="AK2272" s="1" t="s">
        <v>7126</v>
      </c>
      <c r="AL2272" s="9">
        <f t="shared" si="236"/>
        <v>1</v>
      </c>
    </row>
    <row r="2273" spans="1:38" ht="15" x14ac:dyDescent="0.25">
      <c r="A2273" s="1" t="s">
        <v>7127</v>
      </c>
      <c r="B2273" s="1" t="s">
        <v>7128</v>
      </c>
      <c r="C2273" s="1" t="s">
        <v>75</v>
      </c>
      <c r="D2273" s="1" t="s">
        <v>75</v>
      </c>
      <c r="E2273" s="6">
        <v>98.04</v>
      </c>
      <c r="F2273" s="1" t="s">
        <v>53</v>
      </c>
      <c r="G2273" s="6">
        <f ca="1">IFERROR(__xludf.DUMMYFUNCTION("iferror(GOOGLEFINANCE(TRIM(F2273)&amp;"":"" &amp; TRIM(B2273), ""price""),0
)"),0)</f>
        <v>0</v>
      </c>
      <c r="H2273" s="6">
        <v>9.16</v>
      </c>
      <c r="I2273" s="6">
        <f t="shared" ca="1" si="0"/>
        <v>9.16</v>
      </c>
      <c r="J2273" s="6">
        <f ca="1">IFERROR(__xludf.DUMMYFUNCTION("IFERROR(GOOGLEFINANCE(B2273, ""volume""), 0)"),0)</f>
        <v>0</v>
      </c>
      <c r="K2273" s="6">
        <v>1.1000000000000001</v>
      </c>
      <c r="L2273" s="6">
        <f ca="1">IFERROR(__xludf.DUMMYFUNCTION("IFERROR(GOOGLEFINANCE(B2273,""changepct""),K2273)"),1.1)</f>
        <v>1.1000000000000001</v>
      </c>
      <c r="M2273" s="6">
        <f ca="1">IFERROR(__xludf.DUMMYFUNCTION("IFERROR(GOOGLEFINANCE(B2273,""change""),0)"),0)</f>
        <v>0</v>
      </c>
      <c r="N2273" s="6">
        <v>1</v>
      </c>
      <c r="O2273" s="7">
        <v>45536</v>
      </c>
      <c r="P2273" s="6">
        <v>0.42</v>
      </c>
      <c r="Q2273" s="7">
        <v>45536</v>
      </c>
      <c r="R2273" s="6">
        <v>233.99</v>
      </c>
      <c r="S2273" s="6">
        <v>-19.18</v>
      </c>
      <c r="T2273" s="6">
        <v>2.92</v>
      </c>
      <c r="U2273" s="6">
        <v>1</v>
      </c>
      <c r="V2273" s="7">
        <v>45352</v>
      </c>
      <c r="W2273" s="10">
        <f ca="1">IFERROR(__xludf.DUMMYFUNCTION("IFERROR(GOOGLEFINANCE(B2273,""pe""),V2273)"),45352)</f>
        <v>45352</v>
      </c>
      <c r="X2273" s="6">
        <v>0</v>
      </c>
      <c r="Y2273" s="6">
        <v>0.23</v>
      </c>
      <c r="Z2273" s="6">
        <v>0.51</v>
      </c>
      <c r="AA2273" s="3" t="s">
        <v>7129</v>
      </c>
      <c r="AB2273" s="11"/>
      <c r="AC2273" s="9"/>
      <c r="AD2273" s="9"/>
      <c r="AE2273" s="1">
        <v>0</v>
      </c>
      <c r="AF2273" s="1">
        <f ca="1">IFERROR(__xludf.DUMMYFUNCTION("IFERROR(GOOGLEFINANCE(TRIM(F2273)&amp;"":"" &amp; TRIM(B2273),""high52""),AE2273)"),0)</f>
        <v>0</v>
      </c>
      <c r="AG2273" s="1">
        <v>0</v>
      </c>
      <c r="AH2273" s="1">
        <f ca="1">IFERROR(__xludf.DUMMYFUNCTION("IFERROR(GOOGLEFINANCE(TRIM(F2273)&amp;"":"" &amp; TRIM(B2273),""low52""),AE2273)"),0)</f>
        <v>0</v>
      </c>
      <c r="AI2273" s="1">
        <f ca="1">IFERROR(__xludf.DUMMYFUNCTION("IFERROR(GOOGLEFINANCE(B2273,""eps""),0)"),0)</f>
        <v>0</v>
      </c>
      <c r="AJ2273" s="1"/>
      <c r="AK2273" s="9"/>
      <c r="AL2273" s="9">
        <f t="shared" si="236"/>
        <v>1</v>
      </c>
    </row>
    <row r="2274" spans="1:38" ht="15" x14ac:dyDescent="0.25">
      <c r="A2274" s="1" t="s">
        <v>7130</v>
      </c>
      <c r="B2274" s="1" t="s">
        <v>7131</v>
      </c>
      <c r="C2274" s="1" t="s">
        <v>75</v>
      </c>
      <c r="D2274" s="1" t="s">
        <v>75</v>
      </c>
      <c r="E2274" s="6">
        <v>769.78</v>
      </c>
      <c r="F2274" s="1" t="s">
        <v>53</v>
      </c>
      <c r="G2274" s="6">
        <f ca="1">IFERROR(__xludf.DUMMYFUNCTION("iferror(GOOGLEFINANCE(TRIM(F2274)&amp;"":"" &amp; TRIM(B2274), ""price""),0
)"),0)</f>
        <v>0</v>
      </c>
      <c r="H2274" s="6">
        <v>710.5</v>
      </c>
      <c r="I2274" s="6">
        <f t="shared" ca="1" si="0"/>
        <v>710.5</v>
      </c>
      <c r="J2274" s="6">
        <f ca="1">IFERROR(__xludf.DUMMYFUNCTION("IFERROR(GOOGLEFINANCE(B2274, ""volume""), 0)"),0)</f>
        <v>0</v>
      </c>
      <c r="K2274" s="6">
        <v>0.25</v>
      </c>
      <c r="L2274" s="6">
        <f ca="1">IFERROR(__xludf.DUMMYFUNCTION("IFERROR(GOOGLEFINANCE(B2274,""changepct""),K2274)"),0.25)</f>
        <v>0.25</v>
      </c>
      <c r="M2274" s="6">
        <f ca="1">IFERROR(__xludf.DUMMYFUNCTION("IFERROR(GOOGLEFINANCE(B2274,""change""),0)"),0)</f>
        <v>0</v>
      </c>
      <c r="N2274" s="6">
        <v>2</v>
      </c>
      <c r="O2274" s="7">
        <v>45352</v>
      </c>
      <c r="P2274" s="6">
        <v>3.18</v>
      </c>
      <c r="Q2274" s="7">
        <v>45352</v>
      </c>
      <c r="R2274" s="6">
        <v>242.67</v>
      </c>
      <c r="S2274" s="9"/>
      <c r="T2274" s="6">
        <v>51.33</v>
      </c>
      <c r="U2274" s="6">
        <v>2</v>
      </c>
      <c r="V2274" s="7">
        <v>45352</v>
      </c>
      <c r="W2274" s="10">
        <f ca="1">IFERROR(__xludf.DUMMYFUNCTION("IFERROR(GOOGLEFINANCE(B2274,""pe""),V2274)"),45352)</f>
        <v>45352</v>
      </c>
      <c r="X2274" s="6">
        <v>0.18</v>
      </c>
      <c r="Y2274" s="6">
        <v>24.07</v>
      </c>
      <c r="Z2274" s="6">
        <v>22.65</v>
      </c>
      <c r="AA2274" s="19" t="s">
        <v>7132</v>
      </c>
      <c r="AB2274" s="20"/>
      <c r="AC2274" s="9"/>
      <c r="AD2274" s="9"/>
      <c r="AE2274" s="1">
        <v>0</v>
      </c>
      <c r="AF2274" s="1">
        <f ca="1">IFERROR(__xludf.DUMMYFUNCTION("IFERROR(GOOGLEFINANCE(TRIM(F2274)&amp;"":"" &amp; TRIM(B2274),""high52""),AE2274)"),0)</f>
        <v>0</v>
      </c>
      <c r="AG2274" s="1">
        <v>0</v>
      </c>
      <c r="AH2274" s="1">
        <f ca="1">IFERROR(__xludf.DUMMYFUNCTION("IFERROR(GOOGLEFINANCE(TRIM(F2274)&amp;"":"" &amp; TRIM(B2274),""low52""),AE2274)"),0)</f>
        <v>0</v>
      </c>
      <c r="AI2274" s="1">
        <f ca="1">IFERROR(__xludf.DUMMYFUNCTION("IFERROR(GOOGLEFINANCE(B2274,""eps""),0)"),0)</f>
        <v>0</v>
      </c>
      <c r="AJ2274" s="1"/>
      <c r="AK2274" s="1" t="s">
        <v>7133</v>
      </c>
      <c r="AL2274" s="9">
        <f t="shared" si="236"/>
        <v>1</v>
      </c>
    </row>
    <row r="2275" spans="1:38" ht="15" x14ac:dyDescent="0.25">
      <c r="A2275" s="1" t="s">
        <v>7134</v>
      </c>
      <c r="B2275" s="1" t="s">
        <v>7135</v>
      </c>
      <c r="C2275" s="1" t="s">
        <v>4298</v>
      </c>
      <c r="D2275" s="1" t="s">
        <v>4298</v>
      </c>
      <c r="E2275" s="6">
        <v>199.44</v>
      </c>
      <c r="F2275" s="1" t="s">
        <v>53</v>
      </c>
      <c r="G2275" s="6">
        <f ca="1">IFERROR(__xludf.DUMMYFUNCTION("iferror(GOOGLEFINANCE(TRIM(F2275)&amp;"":"" &amp; TRIM(B2275), ""price""),0
)"),0)</f>
        <v>0</v>
      </c>
      <c r="H2275" s="6">
        <v>22.53</v>
      </c>
      <c r="I2275" s="6">
        <f t="shared" ca="1" si="0"/>
        <v>22.53</v>
      </c>
      <c r="J2275" s="6">
        <f ca="1">IFERROR(__xludf.DUMMYFUNCTION("IFERROR(GOOGLEFINANCE(B2275, ""volume""), 0)"),0)</f>
        <v>0</v>
      </c>
      <c r="K2275" s="6">
        <v>0.67</v>
      </c>
      <c r="L2275" s="6">
        <f ca="1">IFERROR(__xludf.DUMMYFUNCTION("IFERROR(GOOGLEFINANCE(B2275,""changepct""),K2275)"),0.67)</f>
        <v>0.67</v>
      </c>
      <c r="M2275" s="6">
        <f ca="1">IFERROR(__xludf.DUMMYFUNCTION("IFERROR(GOOGLEFINANCE(B2275,""change""),0)"),0)</f>
        <v>0</v>
      </c>
      <c r="N2275" s="6">
        <v>1</v>
      </c>
      <c r="O2275" s="7">
        <v>45536</v>
      </c>
      <c r="P2275" s="6">
        <v>-122.64</v>
      </c>
      <c r="Q2275" s="7">
        <v>45536</v>
      </c>
      <c r="R2275" s="6">
        <v>0</v>
      </c>
      <c r="S2275" s="6">
        <v>0</v>
      </c>
      <c r="T2275" s="6">
        <v>-7.0000000000000007E-2</v>
      </c>
      <c r="U2275" s="6">
        <v>1</v>
      </c>
      <c r="V2275" s="7">
        <v>45352</v>
      </c>
      <c r="W2275" s="10">
        <f ca="1">IFERROR(__xludf.DUMMYFUNCTION("IFERROR(GOOGLEFINANCE(B2275,""pe""),V2275)"),45352)</f>
        <v>45352</v>
      </c>
      <c r="X2275" s="6">
        <v>-0.23</v>
      </c>
      <c r="Y2275" s="6">
        <v>0</v>
      </c>
      <c r="Z2275" s="6">
        <v>0</v>
      </c>
      <c r="AA2275" s="3" t="s">
        <v>7136</v>
      </c>
      <c r="AB2275" s="11"/>
      <c r="AC2275" s="9"/>
      <c r="AD2275" s="9"/>
      <c r="AE2275" s="1">
        <v>0</v>
      </c>
      <c r="AF2275" s="1">
        <f ca="1">IFERROR(__xludf.DUMMYFUNCTION("IFERROR(GOOGLEFINANCE(TRIM(F2275)&amp;"":"" &amp; TRIM(B2275),""high52""),AE2275)"),0)</f>
        <v>0</v>
      </c>
      <c r="AG2275" s="1">
        <v>0</v>
      </c>
      <c r="AH2275" s="1">
        <f ca="1">IFERROR(__xludf.DUMMYFUNCTION("IFERROR(GOOGLEFINANCE(TRIM(F2275)&amp;"":"" &amp; TRIM(B2275),""low52""),AE2275)"),0)</f>
        <v>0</v>
      </c>
      <c r="AI2275" s="1">
        <f ca="1">IFERROR(__xludf.DUMMYFUNCTION("IFERROR(GOOGLEFINANCE(B2275,""eps""),0)"),0)</f>
        <v>0</v>
      </c>
      <c r="AJ2275" s="1"/>
      <c r="AK2275" s="1" t="s">
        <v>7137</v>
      </c>
      <c r="AL2275" s="9">
        <f t="shared" si="236"/>
        <v>1</v>
      </c>
    </row>
    <row r="2276" spans="1:38" ht="15" x14ac:dyDescent="0.25">
      <c r="A2276" s="1" t="s">
        <v>7138</v>
      </c>
      <c r="B2276" s="1" t="s">
        <v>7139</v>
      </c>
      <c r="C2276" s="1" t="s">
        <v>106</v>
      </c>
      <c r="D2276" s="1" t="s">
        <v>106</v>
      </c>
      <c r="E2276" s="6">
        <v>148.19999999999999</v>
      </c>
      <c r="F2276" s="1" t="s">
        <v>40</v>
      </c>
      <c r="G2276" s="6">
        <f ca="1">IFERROR(__xludf.DUMMYFUNCTION("iferror(GOOGLEFINANCE(TRIM(F2276)&amp;"":"" &amp; TRIM(B2276), ""price""),0
)"),9.26)</f>
        <v>9.26</v>
      </c>
      <c r="H2276" s="6">
        <v>28.79</v>
      </c>
      <c r="I2276" s="6">
        <f t="shared" ca="1" si="0"/>
        <v>9.26</v>
      </c>
      <c r="J2276" s="6">
        <f ca="1">IFERROR(__xludf.DUMMYFUNCTION("IFERROR(GOOGLEFINANCE(B2276, ""volume""), 0)"),49218)</f>
        <v>49218</v>
      </c>
      <c r="K2276" s="6">
        <v>-3.06</v>
      </c>
      <c r="L2276" s="6">
        <f ca="1">IFERROR(__xludf.DUMMYFUNCTION("IFERROR(GOOGLEFINANCE(B2276,""changepct""),K2276)"),0)</f>
        <v>0</v>
      </c>
      <c r="M2276" s="6">
        <f ca="1">IFERROR(__xludf.DUMMYFUNCTION("IFERROR(GOOGLEFINANCE(B2276,""change""),0)"),0)</f>
        <v>0</v>
      </c>
      <c r="N2276" s="6">
        <v>1</v>
      </c>
      <c r="O2276" s="7">
        <v>45536</v>
      </c>
      <c r="P2276" s="6">
        <v>20.239999999999998</v>
      </c>
      <c r="Q2276" s="6">
        <v>167.31</v>
      </c>
      <c r="R2276" s="7">
        <v>45536</v>
      </c>
      <c r="S2276" s="6">
        <v>119.71</v>
      </c>
      <c r="T2276" s="6">
        <v>-22.72</v>
      </c>
      <c r="U2276" s="7">
        <v>45536</v>
      </c>
      <c r="V2276" s="6">
        <v>0</v>
      </c>
      <c r="W2276" s="6">
        <f ca="1">IFERROR(__xludf.DUMMYFUNCTION("IFERROR(GOOGLEFINANCE(B2276,""pe""),V2276)"),0)</f>
        <v>0</v>
      </c>
      <c r="X2276" s="6">
        <v>0</v>
      </c>
      <c r="Y2276" s="6">
        <v>1.63</v>
      </c>
      <c r="Z2276" s="6">
        <v>1</v>
      </c>
      <c r="AA2276" s="8">
        <v>45352</v>
      </c>
      <c r="AB2276" s="4">
        <v>0.23</v>
      </c>
      <c r="AC2276" s="6">
        <v>-20.22</v>
      </c>
      <c r="AD2276" s="6">
        <v>-13.23</v>
      </c>
      <c r="AE2276" s="1">
        <v>0</v>
      </c>
      <c r="AF2276" s="1">
        <f ca="1">IFERROR(__xludf.DUMMYFUNCTION("IFERROR(GOOGLEFINANCE(TRIM(F2276)&amp;"":"" &amp; TRIM(B2276),""high52""),AE2276)"),27.25)</f>
        <v>27.25</v>
      </c>
      <c r="AG2276" s="1">
        <v>0</v>
      </c>
      <c r="AH2276" s="1">
        <f ca="1">IFERROR(__xludf.DUMMYFUNCTION("IFERROR(GOOGLEFINANCE(TRIM(F2276)&amp;"":"" &amp; TRIM(B2276),""low52""),AE2276)"),8.16)</f>
        <v>8.16</v>
      </c>
      <c r="AI2276" s="1">
        <f ca="1">IFERROR(__xludf.DUMMYFUNCTION("IFERROR(GOOGLEFINANCE(B2276,""eps""),0)"),-7.57)</f>
        <v>-7.57</v>
      </c>
      <c r="AJ2276" s="1"/>
      <c r="AK2276" s="1" t="s">
        <v>7140</v>
      </c>
      <c r="AL2276" s="9">
        <f t="shared" si="236"/>
        <v>1</v>
      </c>
    </row>
    <row r="2277" spans="1:38" ht="15" x14ac:dyDescent="0.25">
      <c r="A2277" s="1" t="s">
        <v>7141</v>
      </c>
      <c r="B2277" s="1" t="s">
        <v>7142</v>
      </c>
      <c r="C2277" s="1" t="s">
        <v>223</v>
      </c>
      <c r="D2277" s="1" t="s">
        <v>223</v>
      </c>
      <c r="E2277" s="6">
        <v>10215.17</v>
      </c>
      <c r="F2277" s="1" t="s">
        <v>40</v>
      </c>
      <c r="G2277" s="6">
        <f ca="1">IFERROR(__xludf.DUMMYFUNCTION("iferror(GOOGLEFINANCE(TRIM(F2277)&amp;"":"" &amp; TRIM(B2277), ""price""),0
)"),453.3)</f>
        <v>453.3</v>
      </c>
      <c r="H2277" s="6">
        <v>504.85</v>
      </c>
      <c r="I2277" s="6">
        <f t="shared" ca="1" si="0"/>
        <v>453.3</v>
      </c>
      <c r="J2277" s="6">
        <f ca="1">IFERROR(__xludf.DUMMYFUNCTION("IFERROR(GOOGLEFINANCE(B2277, ""volume""), 0)"),17269153)</f>
        <v>17269153</v>
      </c>
      <c r="K2277" s="6">
        <v>2</v>
      </c>
      <c r="L2277" s="6">
        <f ca="1">IFERROR(__xludf.DUMMYFUNCTION("IFERROR(GOOGLEFINANCE(B2277,""changepct""),K2277)"),8.42)</f>
        <v>8.42</v>
      </c>
      <c r="M2277" s="6">
        <f ca="1">IFERROR(__xludf.DUMMYFUNCTION("IFERROR(GOOGLEFINANCE(B2277,""change""),0)"),35.2)</f>
        <v>35.200000000000003</v>
      </c>
      <c r="N2277" s="6">
        <v>2</v>
      </c>
      <c r="O2277" s="7">
        <v>45536</v>
      </c>
      <c r="P2277" s="6">
        <v>0.2</v>
      </c>
      <c r="Q2277" s="6">
        <v>9928.32</v>
      </c>
      <c r="R2277" s="7">
        <v>45536</v>
      </c>
      <c r="S2277" s="6">
        <v>725.15</v>
      </c>
      <c r="T2277" s="6">
        <v>171.39</v>
      </c>
      <c r="U2277" s="7">
        <v>45536</v>
      </c>
      <c r="V2277" s="6">
        <v>59.89</v>
      </c>
      <c r="W2277" s="6">
        <f ca="1">IFERROR(__xludf.DUMMYFUNCTION("IFERROR(GOOGLEFINANCE(B2277,""pe""),V2277)"),49.32)</f>
        <v>49.32</v>
      </c>
      <c r="X2277" s="12"/>
      <c r="Y2277" s="6">
        <v>7.28</v>
      </c>
      <c r="Z2277" s="6">
        <v>2</v>
      </c>
      <c r="AA2277" s="8">
        <v>45352</v>
      </c>
      <c r="AB2277" s="4">
        <v>0</v>
      </c>
      <c r="AC2277" s="6">
        <v>12.34</v>
      </c>
      <c r="AD2277" s="6">
        <v>15.51</v>
      </c>
      <c r="AE2277" s="1">
        <v>0</v>
      </c>
      <c r="AF2277" s="1">
        <f ca="1">IFERROR(__xludf.DUMMYFUNCTION("IFERROR(GOOGLEFINANCE(TRIM(F2277)&amp;"":"" &amp; TRIM(B2277),""high52""),AE2277)"),517.5)</f>
        <v>517.5</v>
      </c>
      <c r="AG2277" s="1">
        <v>0</v>
      </c>
      <c r="AH2277" s="1">
        <f ca="1">IFERROR(__xludf.DUMMYFUNCTION("IFERROR(GOOGLEFINANCE(TRIM(F2277)&amp;"":"" &amp; TRIM(B2277),""low52""),AE2277)"),341.2)</f>
        <v>341.2</v>
      </c>
      <c r="AI2277" s="1">
        <f ca="1">IFERROR(__xludf.DUMMYFUNCTION("IFERROR(GOOGLEFINANCE(B2277,""eps""),0)"),9.19)</f>
        <v>9.19</v>
      </c>
      <c r="AJ2277" s="1"/>
      <c r="AK2277" s="1" t="s">
        <v>7143</v>
      </c>
      <c r="AL2277" s="1" t="b">
        <f>ISNUMBER(AA2277)</f>
        <v>1</v>
      </c>
    </row>
    <row r="2278" spans="1:38" ht="15" x14ac:dyDescent="0.25">
      <c r="A2278" s="1" t="s">
        <v>7144</v>
      </c>
      <c r="B2278" s="1" t="s">
        <v>7145</v>
      </c>
      <c r="C2278" s="1" t="s">
        <v>1751</v>
      </c>
      <c r="D2278" s="1" t="s">
        <v>1751</v>
      </c>
      <c r="E2278" s="6">
        <v>203.48</v>
      </c>
      <c r="F2278" s="1" t="s">
        <v>40</v>
      </c>
      <c r="G2278" s="6">
        <f ca="1">IFERROR(__xludf.DUMMYFUNCTION("iferror(GOOGLEFINANCE(TRIM(F2278)&amp;"":"" &amp; TRIM(B2278), ""price""),0
)"),22.45)</f>
        <v>22.45</v>
      </c>
      <c r="H2278" s="6">
        <v>35.75</v>
      </c>
      <c r="I2278" s="6">
        <f t="shared" ca="1" si="0"/>
        <v>22.45</v>
      </c>
      <c r="J2278" s="6">
        <f ca="1">IFERROR(__xludf.DUMMYFUNCTION("IFERROR(GOOGLEFINANCE(B2278, ""volume""), 0)"),161310)</f>
        <v>161310</v>
      </c>
      <c r="K2278" s="6">
        <v>1.02</v>
      </c>
      <c r="L2278" s="6">
        <f ca="1">IFERROR(__xludf.DUMMYFUNCTION("IFERROR(GOOGLEFINANCE(B2278,""changepct""),K2278)"),7.16)</f>
        <v>7.16</v>
      </c>
      <c r="M2278" s="6">
        <f ca="1">IFERROR(__xludf.DUMMYFUNCTION("IFERROR(GOOGLEFINANCE(B2278,""change""),0)"),1.5)</f>
        <v>1.5</v>
      </c>
      <c r="N2278" s="6">
        <v>2</v>
      </c>
      <c r="O2278" s="7">
        <v>45536</v>
      </c>
      <c r="P2278" s="6">
        <v>13.54</v>
      </c>
      <c r="Q2278" s="6">
        <v>217.01</v>
      </c>
      <c r="R2278" s="7">
        <v>45536</v>
      </c>
      <c r="S2278" s="6">
        <v>68.23</v>
      </c>
      <c r="T2278" s="6">
        <v>1.55</v>
      </c>
      <c r="U2278" s="7">
        <v>45536</v>
      </c>
      <c r="V2278" s="6">
        <v>131.02000000000001</v>
      </c>
      <c r="W2278" s="6">
        <f ca="1">IFERROR(__xludf.DUMMYFUNCTION("IFERROR(GOOGLEFINANCE(B2278,""pe""),V2278)"),67.19)</f>
        <v>67.19</v>
      </c>
      <c r="X2278" s="12"/>
      <c r="Y2278" s="6">
        <v>10.43</v>
      </c>
      <c r="Z2278" s="6">
        <v>2</v>
      </c>
      <c r="AA2278" s="8">
        <v>45352</v>
      </c>
      <c r="AB2278" s="4">
        <v>0.9</v>
      </c>
      <c r="AC2278" s="6">
        <v>8.4499999999999993</v>
      </c>
      <c r="AD2278" s="6">
        <v>11.49</v>
      </c>
      <c r="AE2278" s="1">
        <v>0</v>
      </c>
      <c r="AF2278" s="1">
        <f ca="1">IFERROR(__xludf.DUMMYFUNCTION("IFERROR(GOOGLEFINANCE(TRIM(F2278)&amp;"":"" &amp; TRIM(B2278),""high52""),AE2278)"),37)</f>
        <v>37</v>
      </c>
      <c r="AG2278" s="1">
        <v>0</v>
      </c>
      <c r="AH2278" s="1">
        <f ca="1">IFERROR(__xludf.DUMMYFUNCTION("IFERROR(GOOGLEFINANCE(TRIM(F2278)&amp;"":"" &amp; TRIM(B2278),""low52""),AE2278)"),16)</f>
        <v>16</v>
      </c>
      <c r="AI2278" s="1">
        <f ca="1">IFERROR(__xludf.DUMMYFUNCTION("IFERROR(GOOGLEFINANCE(B2278,""eps""),0)"),0.33)</f>
        <v>0.33</v>
      </c>
      <c r="AJ2278" s="1"/>
      <c r="AK2278" s="1" t="s">
        <v>7146</v>
      </c>
      <c r="AL2278" s="9">
        <f t="shared" ref="AL2278:AL2287" si="237">IF(AA2278&lt;&gt;AB2278,1,0)</f>
        <v>1</v>
      </c>
    </row>
    <row r="2279" spans="1:38" ht="15" x14ac:dyDescent="0.25">
      <c r="A2279" s="1" t="s">
        <v>7147</v>
      </c>
      <c r="B2279" s="1" t="s">
        <v>7148</v>
      </c>
      <c r="C2279" s="1" t="s">
        <v>106</v>
      </c>
      <c r="D2279" s="1" t="s">
        <v>106</v>
      </c>
      <c r="E2279" s="6">
        <v>33075.050000000003</v>
      </c>
      <c r="F2279" s="1" t="s">
        <v>40</v>
      </c>
      <c r="G2279" s="6">
        <f ca="1">IFERROR(__xludf.DUMMYFUNCTION("iferror(GOOGLEFINANCE(TRIM(F2279)&amp;"":"" &amp; TRIM(B2279), ""price""),0
)"),957)</f>
        <v>957</v>
      </c>
      <c r="H2279" s="6">
        <v>611.29999999999995</v>
      </c>
      <c r="I2279" s="6">
        <f t="shared" ca="1" si="0"/>
        <v>957</v>
      </c>
      <c r="J2279" s="6">
        <f ca="1">IFERROR(__xludf.DUMMYFUNCTION("IFERROR(GOOGLEFINANCE(B2279, ""volume""), 0)"),1745349)</f>
        <v>1745349</v>
      </c>
      <c r="K2279" s="6">
        <v>-0.28999999999999998</v>
      </c>
      <c r="L2279" s="6">
        <f ca="1">IFERROR(__xludf.DUMMYFUNCTION("IFERROR(GOOGLEFINANCE(B2279,""changepct""),K2279)"),2.88)</f>
        <v>2.88</v>
      </c>
      <c r="M2279" s="6">
        <f ca="1">IFERROR(__xludf.DUMMYFUNCTION("IFERROR(GOOGLEFINANCE(B2279,""change""),0)"),26.8)</f>
        <v>26.8</v>
      </c>
      <c r="N2279" s="6">
        <v>2</v>
      </c>
      <c r="O2279" s="7">
        <v>45536</v>
      </c>
      <c r="P2279" s="6">
        <v>2721.77</v>
      </c>
      <c r="Q2279" s="6">
        <v>35751.9</v>
      </c>
      <c r="R2279" s="15">
        <v>45536</v>
      </c>
      <c r="S2279" s="6">
        <v>5053.2</v>
      </c>
      <c r="T2279" s="6">
        <v>130.41999999999999</v>
      </c>
      <c r="U2279" s="15">
        <v>45536</v>
      </c>
      <c r="V2279" s="6">
        <v>252.29</v>
      </c>
      <c r="W2279" s="6">
        <f ca="1">IFERROR(__xludf.DUMMYFUNCTION("IFERROR(GOOGLEFINANCE(B2279,""pe""),V2279)"),61.3)</f>
        <v>61.3</v>
      </c>
      <c r="X2279" s="6">
        <v>22.21</v>
      </c>
      <c r="Y2279" s="6">
        <v>8</v>
      </c>
      <c r="Z2279" s="6">
        <v>2</v>
      </c>
      <c r="AA2279" s="8">
        <v>45352</v>
      </c>
      <c r="AB2279" s="4">
        <v>0.61</v>
      </c>
      <c r="AC2279" s="6">
        <v>4.1500000000000004</v>
      </c>
      <c r="AD2279" s="6">
        <v>6.64</v>
      </c>
      <c r="AE2279" s="1">
        <v>0</v>
      </c>
      <c r="AF2279" s="1">
        <f ca="1">IFERROR(__xludf.DUMMYFUNCTION("IFERROR(GOOGLEFINANCE(TRIM(F2279)&amp;"":"" &amp; TRIM(B2279),""high52""),AE2279)"),1141)</f>
        <v>1141</v>
      </c>
      <c r="AG2279" s="1">
        <v>0</v>
      </c>
      <c r="AH2279" s="1">
        <f ca="1">IFERROR(__xludf.DUMMYFUNCTION("IFERROR(GOOGLEFINANCE(TRIM(F2279)&amp;"":"" &amp; TRIM(B2279),""low52""),AE2279)"),512.35)</f>
        <v>512.35</v>
      </c>
      <c r="AI2279" s="1">
        <f ca="1">IFERROR(__xludf.DUMMYFUNCTION("IFERROR(GOOGLEFINANCE(B2279,""eps""),0)"),15.61)</f>
        <v>15.61</v>
      </c>
      <c r="AJ2279" s="1"/>
      <c r="AK2279" s="1" t="s">
        <v>7149</v>
      </c>
      <c r="AL2279" s="9">
        <f t="shared" si="237"/>
        <v>1</v>
      </c>
    </row>
    <row r="2280" spans="1:38" ht="15" x14ac:dyDescent="0.25">
      <c r="A2280" s="1" t="s">
        <v>7150</v>
      </c>
      <c r="B2280" s="1" t="s">
        <v>7151</v>
      </c>
      <c r="C2280" s="1" t="s">
        <v>706</v>
      </c>
      <c r="D2280" s="1" t="s">
        <v>706</v>
      </c>
      <c r="E2280" s="6">
        <v>54.55</v>
      </c>
      <c r="F2280" s="1" t="s">
        <v>40</v>
      </c>
      <c r="G2280" s="6">
        <f ca="1">IFERROR(__xludf.DUMMYFUNCTION("iferror(GOOGLEFINANCE(TRIM(F2280)&amp;"":"" &amp; TRIM(B2280), ""price""),0
)"),12.7)</f>
        <v>12.7</v>
      </c>
      <c r="H2280" s="6">
        <v>32.04</v>
      </c>
      <c r="I2280" s="6">
        <f t="shared" ca="1" si="0"/>
        <v>12.7</v>
      </c>
      <c r="J2280" s="6">
        <f ca="1">IFERROR(__xludf.DUMMYFUNCTION("IFERROR(GOOGLEFINANCE(B2280, ""volume""), 0)"),23403)</f>
        <v>23403</v>
      </c>
      <c r="K2280" s="6">
        <v>0.72</v>
      </c>
      <c r="L2280" s="6">
        <f ca="1">IFERROR(__xludf.DUMMYFUNCTION("IFERROR(GOOGLEFINANCE(B2280,""changepct""),K2280)"),-3.42)</f>
        <v>-3.42</v>
      </c>
      <c r="M2280" s="6">
        <f ca="1">IFERROR(__xludf.DUMMYFUNCTION("IFERROR(GOOGLEFINANCE(B2280,""change""),0)"),-0.45)</f>
        <v>-0.45</v>
      </c>
      <c r="N2280" s="6">
        <v>2</v>
      </c>
      <c r="O2280" s="7">
        <v>45536</v>
      </c>
      <c r="P2280" s="6">
        <v>41.24</v>
      </c>
      <c r="Q2280" s="6">
        <v>95.79</v>
      </c>
      <c r="R2280" s="7">
        <v>45536</v>
      </c>
      <c r="S2280" s="6">
        <v>154.68</v>
      </c>
      <c r="T2280" s="6">
        <v>-2.2400000000000002</v>
      </c>
      <c r="U2280" s="7">
        <v>45536</v>
      </c>
      <c r="V2280" s="6">
        <v>0</v>
      </c>
      <c r="W2280" s="6">
        <f ca="1">IFERROR(__xludf.DUMMYFUNCTION("IFERROR(GOOGLEFINANCE(B2280,""pe""),V2280)"),2.3)</f>
        <v>2.2999999999999998</v>
      </c>
      <c r="X2280" s="9"/>
      <c r="Y2280" s="6">
        <v>1.3</v>
      </c>
      <c r="Z2280" s="6">
        <v>2</v>
      </c>
      <c r="AA2280" s="8">
        <v>45352</v>
      </c>
      <c r="AB2280" s="4">
        <v>1.02</v>
      </c>
      <c r="AC2280" s="6">
        <v>-0.55000000000000004</v>
      </c>
      <c r="AD2280" s="6">
        <v>4.09</v>
      </c>
      <c r="AE2280" s="1">
        <v>0</v>
      </c>
      <c r="AF2280" s="1">
        <f ca="1">IFERROR(__xludf.DUMMYFUNCTION("IFERROR(GOOGLEFINANCE(TRIM(F2280)&amp;"":"" &amp; TRIM(B2280),""high52""),AE2280)"),33)</f>
        <v>33</v>
      </c>
      <c r="AG2280" s="1">
        <v>0</v>
      </c>
      <c r="AH2280" s="1">
        <f ca="1">IFERROR(__xludf.DUMMYFUNCTION("IFERROR(GOOGLEFINANCE(TRIM(F2280)&amp;"":"" &amp; TRIM(B2280),""low52""),AE2280)"),12.16)</f>
        <v>12.16</v>
      </c>
      <c r="AI2280" s="1">
        <f ca="1">IFERROR(__xludf.DUMMYFUNCTION("IFERROR(GOOGLEFINANCE(B2280,""eps""),0)"),5.52)</f>
        <v>5.52</v>
      </c>
      <c r="AJ2280" s="1"/>
      <c r="AK2280" s="1" t="s">
        <v>7152</v>
      </c>
      <c r="AL2280" s="9">
        <f t="shared" si="237"/>
        <v>1</v>
      </c>
    </row>
    <row r="2281" spans="1:38" ht="15" x14ac:dyDescent="0.25">
      <c r="A2281" s="1" t="s">
        <v>7153</v>
      </c>
      <c r="B2281" s="1" t="s">
        <v>7154</v>
      </c>
      <c r="C2281" s="1" t="s">
        <v>2432</v>
      </c>
      <c r="D2281" s="1" t="s">
        <v>2432</v>
      </c>
      <c r="E2281" s="6">
        <v>1134.18</v>
      </c>
      <c r="F2281" s="1" t="s">
        <v>40</v>
      </c>
      <c r="G2281" s="6">
        <f ca="1">IFERROR(__xludf.DUMMYFUNCTION("iferror(GOOGLEFINANCE(TRIM(F2281)&amp;"":"" &amp; TRIM(B2281), ""price""),0
)"),268)</f>
        <v>268</v>
      </c>
      <c r="H2281" s="6">
        <v>531</v>
      </c>
      <c r="I2281" s="6">
        <f t="shared" ca="1" si="0"/>
        <v>268</v>
      </c>
      <c r="J2281" s="6">
        <f ca="1">IFERROR(__xludf.DUMMYFUNCTION("IFERROR(GOOGLEFINANCE(B2281, ""volume""), 0)"),5651)</f>
        <v>5651</v>
      </c>
      <c r="K2281" s="6">
        <v>-2.2799999999999998</v>
      </c>
      <c r="L2281" s="6">
        <f ca="1">IFERROR(__xludf.DUMMYFUNCTION("IFERROR(GOOGLEFINANCE(B2281,""changepct""),K2281)"),14.19)</f>
        <v>14.19</v>
      </c>
      <c r="M2281" s="6">
        <f ca="1">IFERROR(__xludf.DUMMYFUNCTION("IFERROR(GOOGLEFINANCE(B2281,""change""),0)"),0.22)</f>
        <v>0.22</v>
      </c>
      <c r="N2281" s="6">
        <v>1</v>
      </c>
      <c r="O2281" s="7">
        <v>45536</v>
      </c>
      <c r="P2281" s="6">
        <v>72.12</v>
      </c>
      <c r="Q2281" s="6">
        <v>1206.3</v>
      </c>
      <c r="R2281" s="7">
        <v>45536</v>
      </c>
      <c r="S2281" s="6">
        <v>192.16</v>
      </c>
      <c r="T2281" s="6">
        <v>16.46</v>
      </c>
      <c r="U2281" s="7">
        <v>45536</v>
      </c>
      <c r="V2281" s="6">
        <v>68.91</v>
      </c>
      <c r="W2281" s="6">
        <f ca="1">IFERROR(__xludf.DUMMYFUNCTION("IFERROR(GOOGLEFINANCE(B2281,""pe""),V2281)"),68.91)</f>
        <v>68.91</v>
      </c>
      <c r="X2281" s="9"/>
      <c r="Y2281" s="6">
        <v>22.37</v>
      </c>
      <c r="Z2281" s="6">
        <v>1</v>
      </c>
      <c r="AA2281" s="8">
        <v>45352</v>
      </c>
      <c r="AB2281" s="4">
        <v>1.1599999999999999</v>
      </c>
      <c r="AC2281" s="6">
        <v>24.53</v>
      </c>
      <c r="AD2281" s="6">
        <v>21.3</v>
      </c>
      <c r="AE2281" s="1">
        <v>0</v>
      </c>
      <c r="AF2281" s="1">
        <f ca="1">IFERROR(__xludf.DUMMYFUNCTION("IFERROR(GOOGLEFINANCE(TRIM(F2281)&amp;"":"" &amp; TRIM(B2281),""high52""),AE2281)"),399.58)</f>
        <v>399.58</v>
      </c>
      <c r="AG2281" s="1">
        <v>0</v>
      </c>
      <c r="AH2281" s="1">
        <f ca="1">IFERROR(__xludf.DUMMYFUNCTION("IFERROR(GOOGLEFINANCE(TRIM(F2281)&amp;"":"" &amp; TRIM(B2281),""low52""),AE2281)"),192.75)</f>
        <v>192.75</v>
      </c>
      <c r="AI2281" s="1">
        <f ca="1">IFERROR(__xludf.DUMMYFUNCTION("IFERROR(GOOGLEFINANCE(B2281,""eps""),0)"),-929.83)</f>
        <v>-929.83</v>
      </c>
      <c r="AJ2281" s="1"/>
      <c r="AK2281" s="1" t="s">
        <v>7155</v>
      </c>
      <c r="AL2281" s="9">
        <f t="shared" si="237"/>
        <v>1</v>
      </c>
    </row>
    <row r="2282" spans="1:38" ht="15" x14ac:dyDescent="0.25">
      <c r="A2282" s="1" t="s">
        <v>7156</v>
      </c>
      <c r="B2282" s="1" t="s">
        <v>7157</v>
      </c>
      <c r="C2282" s="1" t="s">
        <v>135</v>
      </c>
      <c r="D2282" s="1" t="s">
        <v>135</v>
      </c>
      <c r="E2282" s="6">
        <v>6710.9</v>
      </c>
      <c r="F2282" s="1" t="s">
        <v>40</v>
      </c>
      <c r="G2282" s="6">
        <f ca="1">IFERROR(__xludf.DUMMYFUNCTION("iferror(GOOGLEFINANCE(TRIM(F2282)&amp;"":"" &amp; TRIM(B2282), ""price""),0
)"),138.32)</f>
        <v>138.32</v>
      </c>
      <c r="H2282" s="6">
        <v>247.15</v>
      </c>
      <c r="I2282" s="6">
        <f t="shared" ca="1" si="0"/>
        <v>138.32</v>
      </c>
      <c r="J2282" s="6">
        <f ca="1">IFERROR(__xludf.DUMMYFUNCTION("IFERROR(GOOGLEFINANCE(B2282, ""volume""), 0)"),400407)</f>
        <v>400407</v>
      </c>
      <c r="K2282" s="6">
        <v>2.0499999999999998</v>
      </c>
      <c r="L2282" s="6">
        <f ca="1">IFERROR(__xludf.DUMMYFUNCTION("IFERROR(GOOGLEFINANCE(B2282,""changepct""),K2282)"),-0.55)</f>
        <v>-0.55000000000000004</v>
      </c>
      <c r="M2282" s="6">
        <f ca="1">IFERROR(__xludf.DUMMYFUNCTION("IFERROR(GOOGLEFINANCE(B2282,""change""),0)"),-0.76)</f>
        <v>-0.76</v>
      </c>
      <c r="N2282" s="6">
        <v>2</v>
      </c>
      <c r="O2282" s="7">
        <v>45536</v>
      </c>
      <c r="P2282" s="6">
        <v>194.62</v>
      </c>
      <c r="Q2282" s="6">
        <v>6776.42</v>
      </c>
      <c r="R2282" s="7">
        <v>45536</v>
      </c>
      <c r="S2282" s="6">
        <v>2975.78</v>
      </c>
      <c r="T2282" s="6">
        <v>133.93</v>
      </c>
      <c r="U2282" s="7">
        <v>45536</v>
      </c>
      <c r="V2282" s="6">
        <v>50.11</v>
      </c>
      <c r="W2282" s="6">
        <f ca="1">IFERROR(__xludf.DUMMYFUNCTION("IFERROR(GOOGLEFINANCE(B2282,""pe""),V2282)"),46.11)</f>
        <v>46.11</v>
      </c>
      <c r="X2282" s="9"/>
      <c r="Y2282" s="6">
        <v>3.62</v>
      </c>
      <c r="Z2282" s="6">
        <v>2</v>
      </c>
      <c r="AA2282" s="8">
        <v>45352</v>
      </c>
      <c r="AB2282" s="4">
        <v>0.08</v>
      </c>
      <c r="AC2282" s="6">
        <v>7.63</v>
      </c>
      <c r="AD2282" s="6">
        <v>9.6300000000000008</v>
      </c>
      <c r="AE2282" s="1">
        <v>0</v>
      </c>
      <c r="AF2282" s="1">
        <f ca="1">IFERROR(__xludf.DUMMYFUNCTION("IFERROR(GOOGLEFINANCE(TRIM(F2282)&amp;"":"" &amp; TRIM(B2282),""high52""),AE2282)"),241)</f>
        <v>241</v>
      </c>
      <c r="AG2282" s="1">
        <v>0</v>
      </c>
      <c r="AH2282" s="1">
        <f ca="1">IFERROR(__xludf.DUMMYFUNCTION("IFERROR(GOOGLEFINANCE(TRIM(F2282)&amp;"":"" &amp; TRIM(B2282),""low52""),AE2282)"),133.61)</f>
        <v>133.61000000000001</v>
      </c>
      <c r="AI2282" s="1">
        <f ca="1">IFERROR(__xludf.DUMMYFUNCTION("IFERROR(GOOGLEFINANCE(B2282,""eps""),0)"),3)</f>
        <v>3</v>
      </c>
      <c r="AJ2282" s="1"/>
      <c r="AK2282" s="1" t="s">
        <v>7158</v>
      </c>
      <c r="AL2282" s="9">
        <f t="shared" si="237"/>
        <v>1</v>
      </c>
    </row>
    <row r="2283" spans="1:38" ht="15" x14ac:dyDescent="0.25">
      <c r="A2283" s="1" t="s">
        <v>7159</v>
      </c>
      <c r="B2283" s="1" t="s">
        <v>7160</v>
      </c>
      <c r="C2283" s="1" t="s">
        <v>835</v>
      </c>
      <c r="D2283" s="1" t="s">
        <v>835</v>
      </c>
      <c r="E2283" s="6">
        <v>116.72</v>
      </c>
      <c r="F2283" s="1" t="s">
        <v>40</v>
      </c>
      <c r="G2283" s="6">
        <f ca="1">IFERROR(__xludf.DUMMYFUNCTION("iferror(GOOGLEFINANCE(TRIM(F2283)&amp;"":"" &amp; TRIM(B2283), ""price""),0
)"),5.75)</f>
        <v>5.75</v>
      </c>
      <c r="H2283" s="6">
        <v>9.4700000000000006</v>
      </c>
      <c r="I2283" s="6">
        <f t="shared" ca="1" si="0"/>
        <v>5.75</v>
      </c>
      <c r="J2283" s="6">
        <f ca="1">IFERROR(__xludf.DUMMYFUNCTION("IFERROR(GOOGLEFINANCE(B2283, ""volume""), 0)"),173604)</f>
        <v>173604</v>
      </c>
      <c r="K2283" s="6">
        <v>1.72</v>
      </c>
      <c r="L2283" s="6">
        <f ca="1">IFERROR(__xludf.DUMMYFUNCTION("IFERROR(GOOGLEFINANCE(B2283,""changepct""),K2283)"),3.05)</f>
        <v>3.05</v>
      </c>
      <c r="M2283" s="6">
        <f ca="1">IFERROR(__xludf.DUMMYFUNCTION("IFERROR(GOOGLEFINANCE(B2283,""change""),0)"),0.17)</f>
        <v>0.17</v>
      </c>
      <c r="N2283" s="6">
        <v>2</v>
      </c>
      <c r="O2283" s="7">
        <v>45536</v>
      </c>
      <c r="P2283" s="6">
        <v>2.06</v>
      </c>
      <c r="Q2283" s="6">
        <v>118.78</v>
      </c>
      <c r="R2283" s="7">
        <v>45536</v>
      </c>
      <c r="S2283" s="6">
        <v>1.19</v>
      </c>
      <c r="T2283" s="6">
        <v>-37.04</v>
      </c>
      <c r="U2283" s="7">
        <v>45536</v>
      </c>
      <c r="V2283" s="6">
        <v>0</v>
      </c>
      <c r="W2283" s="6">
        <f ca="1">IFERROR(__xludf.DUMMYFUNCTION("IFERROR(GOOGLEFINANCE(B2283,""pe""),V2283)"),0)</f>
        <v>0</v>
      </c>
      <c r="X2283" s="9"/>
      <c r="Y2283" s="6">
        <v>105.73</v>
      </c>
      <c r="Z2283" s="6">
        <v>2</v>
      </c>
      <c r="AA2283" s="8">
        <v>45352</v>
      </c>
      <c r="AB2283" s="4">
        <v>0.83</v>
      </c>
      <c r="AC2283" s="6">
        <v>-183.06</v>
      </c>
      <c r="AD2283" s="6">
        <v>-167.96</v>
      </c>
      <c r="AE2283" s="1">
        <v>0</v>
      </c>
      <c r="AF2283" s="1">
        <f ca="1">IFERROR(__xludf.DUMMYFUNCTION("IFERROR(GOOGLEFINANCE(TRIM(F2283)&amp;"":"" &amp; TRIM(B2283),""high52""),AE2283)"),9.39)</f>
        <v>9.39</v>
      </c>
      <c r="AG2283" s="1">
        <v>0</v>
      </c>
      <c r="AH2283" s="1">
        <f ca="1">IFERROR(__xludf.DUMMYFUNCTION("IFERROR(GOOGLEFINANCE(TRIM(F2283)&amp;"":"" &amp; TRIM(B2283),""low52""),AE2283)"),3.64)</f>
        <v>3.64</v>
      </c>
      <c r="AI2283" s="1">
        <f ca="1">IFERROR(__xludf.DUMMYFUNCTION("IFERROR(GOOGLEFINANCE(B2283,""eps""),0)"),-0.09)</f>
        <v>-0.09</v>
      </c>
      <c r="AJ2283" s="1"/>
      <c r="AK2283" s="1" t="s">
        <v>7161</v>
      </c>
      <c r="AL2283" s="9">
        <f t="shared" si="237"/>
        <v>1</v>
      </c>
    </row>
    <row r="2284" spans="1:38" ht="15" x14ac:dyDescent="0.25">
      <c r="A2284" s="1" t="s">
        <v>7162</v>
      </c>
      <c r="B2284" s="1" t="s">
        <v>7163</v>
      </c>
      <c r="C2284" s="1" t="s">
        <v>186</v>
      </c>
      <c r="D2284" s="1" t="s">
        <v>186</v>
      </c>
      <c r="E2284" s="6">
        <v>651.72</v>
      </c>
      <c r="F2284" s="1" t="s">
        <v>40</v>
      </c>
      <c r="G2284" s="6">
        <f ca="1">IFERROR(__xludf.DUMMYFUNCTION("iferror(GOOGLEFINANCE(TRIM(F2284)&amp;"":"" &amp; TRIM(B2284), ""price""),0
)"),453)</f>
        <v>453</v>
      </c>
      <c r="H2284" s="6">
        <v>275</v>
      </c>
      <c r="I2284" s="6">
        <f t="shared" ca="1" si="0"/>
        <v>453</v>
      </c>
      <c r="J2284" s="6">
        <f ca="1">IFERROR(__xludf.DUMMYFUNCTION("IFERROR(GOOGLEFINANCE(B2284, ""volume""), 0)"),92516)</f>
        <v>92516</v>
      </c>
      <c r="K2284" s="6">
        <v>-0.92</v>
      </c>
      <c r="L2284" s="6">
        <f ca="1">IFERROR(__xludf.DUMMYFUNCTION("IFERROR(GOOGLEFINANCE(B2284,""changepct""),K2284)"),1.14)</f>
        <v>1.1399999999999999</v>
      </c>
      <c r="M2284" s="6">
        <f ca="1">IFERROR(__xludf.DUMMYFUNCTION("IFERROR(GOOGLEFINANCE(B2284,""change""),0)"),5.1)</f>
        <v>5.0999999999999996</v>
      </c>
      <c r="N2284" s="6">
        <v>1</v>
      </c>
      <c r="O2284" s="7">
        <v>45536</v>
      </c>
      <c r="P2284" s="6">
        <v>102.95</v>
      </c>
      <c r="Q2284" s="6">
        <v>754.67</v>
      </c>
      <c r="R2284" s="7">
        <v>45352</v>
      </c>
      <c r="S2284" s="6">
        <v>468.15</v>
      </c>
      <c r="T2284" s="6">
        <v>1.74</v>
      </c>
      <c r="U2284" s="7">
        <v>45352</v>
      </c>
      <c r="V2284" s="6">
        <v>373.9</v>
      </c>
      <c r="W2284" s="6">
        <f ca="1">IFERROR(__xludf.DUMMYFUNCTION("IFERROR(GOOGLEFINANCE(B2284,""pe""),V2284)"),96.97)</f>
        <v>96.97</v>
      </c>
      <c r="X2284" s="12"/>
      <c r="Y2284" s="6">
        <v>6.78</v>
      </c>
      <c r="Z2284" s="6">
        <v>2</v>
      </c>
      <c r="AA2284" s="8">
        <v>45352</v>
      </c>
      <c r="AB2284" s="4">
        <v>0.98</v>
      </c>
      <c r="AC2284" s="6">
        <v>1.86</v>
      </c>
      <c r="AD2284" s="6">
        <v>5.29</v>
      </c>
      <c r="AE2284" s="1">
        <v>0</v>
      </c>
      <c r="AF2284" s="1">
        <f ca="1">IFERROR(__xludf.DUMMYFUNCTION("IFERROR(GOOGLEFINANCE(TRIM(F2284)&amp;"":"" &amp; TRIM(B2284),""high52""),AE2284)"),537.85)</f>
        <v>537.85</v>
      </c>
      <c r="AG2284" s="1">
        <v>0</v>
      </c>
      <c r="AH2284" s="1">
        <f ca="1">IFERROR(__xludf.DUMMYFUNCTION("IFERROR(GOOGLEFINANCE(TRIM(F2284)&amp;"":"" &amp; TRIM(B2284),""low52""),AE2284)"),428)</f>
        <v>428</v>
      </c>
      <c r="AI2284" s="1">
        <f ca="1">IFERROR(__xludf.DUMMYFUNCTION("IFERROR(GOOGLEFINANCE(B2284,""eps""),0)"),4.67)</f>
        <v>4.67</v>
      </c>
      <c r="AJ2284" s="1"/>
      <c r="AK2284" s="1" t="s">
        <v>7164</v>
      </c>
      <c r="AL2284" s="9">
        <f t="shared" si="237"/>
        <v>1</v>
      </c>
    </row>
    <row r="2285" spans="1:38" ht="15" x14ac:dyDescent="0.25">
      <c r="A2285" s="1" t="s">
        <v>7165</v>
      </c>
      <c r="B2285" s="1" t="s">
        <v>7166</v>
      </c>
      <c r="C2285" s="1" t="s">
        <v>1644</v>
      </c>
      <c r="D2285" s="1" t="s">
        <v>1644</v>
      </c>
      <c r="E2285" s="6">
        <v>6921.36</v>
      </c>
      <c r="F2285" s="1" t="s">
        <v>40</v>
      </c>
      <c r="G2285" s="6">
        <f ca="1">IFERROR(__xludf.DUMMYFUNCTION("iferror(GOOGLEFINANCE(TRIM(F2285)&amp;"":"" &amp; TRIM(B2285), ""price""),0
)"),207.8)</f>
        <v>207.8</v>
      </c>
      <c r="H2285" s="6">
        <v>179.3</v>
      </c>
      <c r="I2285" s="6">
        <f t="shared" ca="1" si="0"/>
        <v>207.8</v>
      </c>
      <c r="J2285" s="6">
        <f ca="1">IFERROR(__xludf.DUMMYFUNCTION("IFERROR(GOOGLEFINANCE(B2285, ""volume""), 0)"),1829021)</f>
        <v>1829021</v>
      </c>
      <c r="K2285" s="6">
        <v>0.61</v>
      </c>
      <c r="L2285" s="6">
        <f ca="1">IFERROR(__xludf.DUMMYFUNCTION("IFERROR(GOOGLEFINANCE(B2285,""changepct""),K2285)"),3.86)</f>
        <v>3.86</v>
      </c>
      <c r="M2285" s="6">
        <f ca="1">IFERROR(__xludf.DUMMYFUNCTION("IFERROR(GOOGLEFINANCE(B2285,""change""),0)"),7.73)</f>
        <v>7.73</v>
      </c>
      <c r="N2285" s="6">
        <v>2</v>
      </c>
      <c r="O2285" s="7">
        <v>45536</v>
      </c>
      <c r="P2285" s="6">
        <v>3.27</v>
      </c>
      <c r="Q2285" s="6">
        <v>6780.95</v>
      </c>
      <c r="R2285" s="7">
        <v>45352</v>
      </c>
      <c r="S2285" s="6">
        <v>655.87</v>
      </c>
      <c r="T2285" s="6">
        <v>78.97</v>
      </c>
      <c r="U2285" s="7">
        <v>45352</v>
      </c>
      <c r="V2285" s="6">
        <v>91.31</v>
      </c>
      <c r="W2285" s="6">
        <f ca="1">IFERROR(__xludf.DUMMYFUNCTION("IFERROR(GOOGLEFINANCE(B2285,""pe""),V2285)"),147.88)</f>
        <v>147.88</v>
      </c>
      <c r="X2285" s="9"/>
      <c r="Y2285" s="6">
        <v>11.64</v>
      </c>
      <c r="Z2285" s="6">
        <v>2</v>
      </c>
      <c r="AA2285" s="8">
        <v>45352</v>
      </c>
      <c r="AB2285" s="4">
        <v>0.1</v>
      </c>
      <c r="AC2285" s="6">
        <v>19.48</v>
      </c>
      <c r="AD2285" s="6">
        <v>14.87</v>
      </c>
      <c r="AE2285" s="1">
        <v>0</v>
      </c>
      <c r="AF2285" s="1">
        <f ca="1">IFERROR(__xludf.DUMMYFUNCTION("IFERROR(GOOGLEFINANCE(TRIM(F2285)&amp;"":"" &amp; TRIM(B2285),""high52""),AE2285)"),339.15)</f>
        <v>339.15</v>
      </c>
      <c r="AG2285" s="1">
        <v>0</v>
      </c>
      <c r="AH2285" s="1">
        <f ca="1">IFERROR(__xludf.DUMMYFUNCTION("IFERROR(GOOGLEFINANCE(TRIM(F2285)&amp;"":"" &amp; TRIM(B2285),""low52""),AE2285)"),117)</f>
        <v>117</v>
      </c>
      <c r="AI2285" s="1">
        <f ca="1">IFERROR(__xludf.DUMMYFUNCTION("IFERROR(GOOGLEFINANCE(B2285,""eps""),0)"),1.41)</f>
        <v>1.41</v>
      </c>
      <c r="AJ2285" s="1"/>
      <c r="AK2285" s="1" t="s">
        <v>7167</v>
      </c>
      <c r="AL2285" s="9">
        <f t="shared" si="237"/>
        <v>1</v>
      </c>
    </row>
    <row r="2286" spans="1:38" ht="15" x14ac:dyDescent="0.25">
      <c r="A2286" s="1" t="s">
        <v>7168</v>
      </c>
      <c r="B2286" s="1" t="s">
        <v>7169</v>
      </c>
      <c r="C2286" s="1" t="s">
        <v>801</v>
      </c>
      <c r="D2286" s="1" t="s">
        <v>801</v>
      </c>
      <c r="E2286" s="6">
        <v>61.19</v>
      </c>
      <c r="F2286" s="1" t="s">
        <v>40</v>
      </c>
      <c r="G2286" s="6">
        <f ca="1">IFERROR(__xludf.DUMMYFUNCTION("iferror(GOOGLEFINANCE(TRIM(F2286)&amp;"":"" &amp; TRIM(B2286), ""price""),0
)"),0)</f>
        <v>0</v>
      </c>
      <c r="H2286" s="6">
        <v>81.7</v>
      </c>
      <c r="I2286" s="6">
        <f t="shared" ca="1" si="0"/>
        <v>81.7</v>
      </c>
      <c r="J2286" s="6">
        <f ca="1">IFERROR(__xludf.DUMMYFUNCTION("IFERROR(GOOGLEFINANCE(B2286, ""volume""), 0)"),0)</f>
        <v>0</v>
      </c>
      <c r="K2286" s="6">
        <v>-1.98</v>
      </c>
      <c r="L2286" s="6">
        <f ca="1">IFERROR(__xludf.DUMMYFUNCTION("IFERROR(GOOGLEFINANCE(B2286,""changepct""),K2286)"),-1.98)</f>
        <v>-1.98</v>
      </c>
      <c r="M2286" s="6">
        <f ca="1">IFERROR(__xludf.DUMMYFUNCTION("IFERROR(GOOGLEFINANCE(B2286,""change""),0)"),0)</f>
        <v>0</v>
      </c>
      <c r="N2286" s="6">
        <v>1</v>
      </c>
      <c r="O2286" s="7">
        <v>45536</v>
      </c>
      <c r="P2286" s="6">
        <v>5.67</v>
      </c>
      <c r="Q2286" s="6">
        <v>66.86</v>
      </c>
      <c r="R2286" s="7">
        <v>45352</v>
      </c>
      <c r="S2286" s="6">
        <v>14.77</v>
      </c>
      <c r="T2286" s="6">
        <v>0.37</v>
      </c>
      <c r="U2286" s="7">
        <v>45352</v>
      </c>
      <c r="V2286" s="6">
        <v>165.39</v>
      </c>
      <c r="W2286" s="6">
        <f ca="1">IFERROR(__xludf.DUMMYFUNCTION("IFERROR(GOOGLEFINANCE(B2286,""pe""),V2286)"),165.39)</f>
        <v>165.39</v>
      </c>
      <c r="X2286" s="9"/>
      <c r="Y2286" s="6">
        <v>5.47</v>
      </c>
      <c r="Z2286" s="6">
        <v>1</v>
      </c>
      <c r="AA2286" s="8">
        <v>45352</v>
      </c>
      <c r="AB2286" s="4">
        <v>0.37</v>
      </c>
      <c r="AC2286" s="6">
        <v>3.36</v>
      </c>
      <c r="AD2286" s="6">
        <v>8.6</v>
      </c>
      <c r="AE2286" s="1">
        <v>0</v>
      </c>
      <c r="AF2286" s="1">
        <f ca="1">IFERROR(__xludf.DUMMYFUNCTION("IFERROR(GOOGLEFINANCE(TRIM(F2286)&amp;"":"" &amp; TRIM(B2286),""high52""),AE2286)"),0)</f>
        <v>0</v>
      </c>
      <c r="AG2286" s="1">
        <v>0</v>
      </c>
      <c r="AH2286" s="1">
        <f ca="1">IFERROR(__xludf.DUMMYFUNCTION("IFERROR(GOOGLEFINANCE(TRIM(F2286)&amp;"":"" &amp; TRIM(B2286),""low52""),AE2286)"),0)</f>
        <v>0</v>
      </c>
      <c r="AI2286" s="1">
        <f ca="1">IFERROR(__xludf.DUMMYFUNCTION("IFERROR(GOOGLEFINANCE(B2286,""eps""),0)"),0)</f>
        <v>0</v>
      </c>
      <c r="AJ2286" s="1"/>
      <c r="AK2286" s="1" t="s">
        <v>7170</v>
      </c>
      <c r="AL2286" s="9">
        <f t="shared" si="237"/>
        <v>1</v>
      </c>
    </row>
    <row r="2287" spans="1:38" ht="15" x14ac:dyDescent="0.25">
      <c r="A2287" s="1" t="s">
        <v>7171</v>
      </c>
      <c r="B2287" s="1" t="s">
        <v>7172</v>
      </c>
      <c r="C2287" s="1" t="s">
        <v>410</v>
      </c>
      <c r="D2287" s="1" t="s">
        <v>410</v>
      </c>
      <c r="E2287" s="6">
        <v>12533.34</v>
      </c>
      <c r="F2287" s="1" t="s">
        <v>40</v>
      </c>
      <c r="G2287" s="6">
        <f ca="1">IFERROR(__xludf.DUMMYFUNCTION("iferror(GOOGLEFINANCE(TRIM(F2287)&amp;"":"" &amp; TRIM(B2287), ""price""),0
)"),128.14)</f>
        <v>128.13999999999999</v>
      </c>
      <c r="H2287" s="6">
        <v>157.61000000000001</v>
      </c>
      <c r="I2287" s="6">
        <f t="shared" ca="1" si="0"/>
        <v>128.13999999999999</v>
      </c>
      <c r="J2287" s="6">
        <f ca="1">IFERROR(__xludf.DUMMYFUNCTION("IFERROR(GOOGLEFINANCE(B2287, ""volume""), 0)"),2543305)</f>
        <v>2543305</v>
      </c>
      <c r="K2287" s="6">
        <v>-0.32</v>
      </c>
      <c r="L2287" s="6">
        <f ca="1">IFERROR(__xludf.DUMMYFUNCTION("IFERROR(GOOGLEFINANCE(B2287,""changepct""),K2287)"),0.12)</f>
        <v>0.12</v>
      </c>
      <c r="M2287" s="6">
        <f ca="1">IFERROR(__xludf.DUMMYFUNCTION("IFERROR(GOOGLEFINANCE(B2287,""change""),0)"),0.15)</f>
        <v>0.15</v>
      </c>
      <c r="N2287" s="6">
        <v>2</v>
      </c>
      <c r="O2287" s="7">
        <v>45536</v>
      </c>
      <c r="P2287" s="6">
        <v>1822.64</v>
      </c>
      <c r="Q2287" s="6">
        <v>14313.43</v>
      </c>
      <c r="R2287" s="7">
        <v>45536</v>
      </c>
      <c r="S2287" s="6">
        <v>1168.3900000000001</v>
      </c>
      <c r="T2287" s="6">
        <v>182.48</v>
      </c>
      <c r="U2287" s="7">
        <v>45536</v>
      </c>
      <c r="V2287" s="6">
        <v>82.55</v>
      </c>
      <c r="W2287" s="6">
        <f ca="1">IFERROR(__xludf.DUMMYFUNCTION("IFERROR(GOOGLEFINANCE(B2287,""pe""),V2287)"),45.97)</f>
        <v>45.97</v>
      </c>
      <c r="X2287" s="6">
        <v>3.6</v>
      </c>
      <c r="Y2287" s="6">
        <v>12.33</v>
      </c>
      <c r="Z2287" s="6">
        <v>2</v>
      </c>
      <c r="AA2287" s="8">
        <v>45352</v>
      </c>
      <c r="AB2287" s="4">
        <v>1.95</v>
      </c>
      <c r="AC2287" s="6">
        <v>19.96</v>
      </c>
      <c r="AD2287" s="6">
        <v>15.56</v>
      </c>
      <c r="AE2287" s="1">
        <v>0</v>
      </c>
      <c r="AF2287" s="1">
        <f ca="1">IFERROR(__xludf.DUMMYFUNCTION("IFERROR(GOOGLEFINANCE(TRIM(F2287)&amp;"":"" &amp; TRIM(B2287),""high52""),AE2287)"),180.68)</f>
        <v>180.68</v>
      </c>
      <c r="AG2287" s="1">
        <v>0</v>
      </c>
      <c r="AH2287" s="1">
        <f ca="1">IFERROR(__xludf.DUMMYFUNCTION("IFERROR(GOOGLEFINANCE(TRIM(F2287)&amp;"":"" &amp; TRIM(B2287),""low52""),AE2287)"),117.51)</f>
        <v>117.51</v>
      </c>
      <c r="AI2287" s="1">
        <f ca="1">IFERROR(__xludf.DUMMYFUNCTION("IFERROR(GOOGLEFINANCE(B2287,""eps""),0)"),2.79)</f>
        <v>2.79</v>
      </c>
      <c r="AJ2287" s="1"/>
      <c r="AK2287" s="1" t="s">
        <v>7173</v>
      </c>
      <c r="AL2287" s="9">
        <f t="shared" si="237"/>
        <v>1</v>
      </c>
    </row>
    <row r="2288" spans="1:38" ht="15" x14ac:dyDescent="0.25">
      <c r="A2288" s="1" t="s">
        <v>7174</v>
      </c>
      <c r="B2288" s="1" t="s">
        <v>7175</v>
      </c>
      <c r="C2288" s="1" t="s">
        <v>889</v>
      </c>
      <c r="D2288" s="1" t="s">
        <v>889</v>
      </c>
      <c r="E2288" s="6">
        <v>90.94</v>
      </c>
      <c r="F2288" s="1" t="s">
        <v>40</v>
      </c>
      <c r="G2288" s="6">
        <f ca="1">IFERROR(__xludf.DUMMYFUNCTION("iferror(GOOGLEFINANCE(TRIM(F2288)&amp;"":"" &amp; TRIM(B2288), ""price""),0
)"),23.11)</f>
        <v>23.11</v>
      </c>
      <c r="H2288" s="6">
        <v>45.25</v>
      </c>
      <c r="I2288" s="6">
        <f t="shared" ca="1" si="0"/>
        <v>23.11</v>
      </c>
      <c r="J2288" s="6">
        <f ca="1">IFERROR(__xludf.DUMMYFUNCTION("IFERROR(GOOGLEFINANCE(B2288, ""volume""), 0)"),106645)</f>
        <v>106645</v>
      </c>
      <c r="K2288" s="6">
        <v>0.47</v>
      </c>
      <c r="L2288" s="6">
        <f ca="1">IFERROR(__xludf.DUMMYFUNCTION("IFERROR(GOOGLEFINANCE(B2288,""changepct""),K2288)"),-0.82)</f>
        <v>-0.82</v>
      </c>
      <c r="M2288" s="6">
        <f ca="1">IFERROR(__xludf.DUMMYFUNCTION("IFERROR(GOOGLEFINANCE(B2288,""change""),0)"),-0.19)</f>
        <v>-0.19</v>
      </c>
      <c r="N2288" s="6">
        <v>1</v>
      </c>
      <c r="O2288" s="7">
        <v>45536</v>
      </c>
      <c r="P2288" s="6">
        <v>65.31</v>
      </c>
      <c r="Q2288" s="6">
        <v>156.25</v>
      </c>
      <c r="R2288" s="7">
        <v>45536</v>
      </c>
      <c r="S2288" s="6">
        <v>89.7</v>
      </c>
      <c r="T2288" s="6">
        <v>-17.68</v>
      </c>
      <c r="U2288" s="7">
        <v>45536</v>
      </c>
      <c r="V2288" s="6">
        <v>0</v>
      </c>
      <c r="W2288" s="6">
        <f ca="1">IFERROR(__xludf.DUMMYFUNCTION("IFERROR(GOOGLEFINANCE(B2288,""pe""),V2288)"),29.18)</f>
        <v>29.18</v>
      </c>
      <c r="X2288" s="12"/>
      <c r="Y2288" s="6">
        <v>24.68</v>
      </c>
      <c r="Z2288" s="6">
        <v>1</v>
      </c>
      <c r="AA2288" s="8">
        <v>45352</v>
      </c>
      <c r="AB2288" s="4">
        <v>6.26</v>
      </c>
      <c r="AC2288" s="6">
        <v>-111.74</v>
      </c>
      <c r="AD2288" s="6">
        <v>-13.87</v>
      </c>
      <c r="AE2288" s="1">
        <v>0</v>
      </c>
      <c r="AF2288" s="1">
        <f ca="1">IFERROR(__xludf.DUMMYFUNCTION("IFERROR(GOOGLEFINANCE(TRIM(F2288)&amp;"":"" &amp; TRIM(B2288),""high52""),AE2288)"),43)</f>
        <v>43</v>
      </c>
      <c r="AG2288" s="1">
        <v>0</v>
      </c>
      <c r="AH2288" s="1">
        <f ca="1">IFERROR(__xludf.DUMMYFUNCTION("IFERROR(GOOGLEFINANCE(TRIM(F2288)&amp;"":"" &amp; TRIM(B2288),""low52""),AE2288)"),22.32)</f>
        <v>22.32</v>
      </c>
      <c r="AI2288" s="1">
        <f ca="1">IFERROR(__xludf.DUMMYFUNCTION("IFERROR(GOOGLEFINANCE(B2288,""eps""),0)"),0.79)</f>
        <v>0.79</v>
      </c>
      <c r="AJ2288" s="1"/>
      <c r="AK2288" s="1" t="s">
        <v>7176</v>
      </c>
      <c r="AL2288" s="1" t="b">
        <f t="shared" ref="AL2288:AL2289" si="238">ISNUMBER(AA2288)</f>
        <v>1</v>
      </c>
    </row>
    <row r="2289" spans="1:38" ht="15" x14ac:dyDescent="0.25">
      <c r="A2289" s="1" t="s">
        <v>7177</v>
      </c>
      <c r="B2289" s="1" t="s">
        <v>7178</v>
      </c>
      <c r="C2289" s="1" t="s">
        <v>355</v>
      </c>
      <c r="D2289" s="1" t="s">
        <v>355</v>
      </c>
      <c r="E2289" s="6">
        <v>4137.72</v>
      </c>
      <c r="F2289" s="1" t="s">
        <v>40</v>
      </c>
      <c r="G2289" s="6">
        <f ca="1">IFERROR(__xludf.DUMMYFUNCTION("iferror(GOOGLEFINANCE(TRIM(F2289)&amp;"":"" &amp; TRIM(B2289), ""price""),0
)"),1703)</f>
        <v>1703</v>
      </c>
      <c r="H2289" s="6">
        <v>1306.8499999999999</v>
      </c>
      <c r="I2289" s="6">
        <f t="shared" ca="1" si="0"/>
        <v>1703</v>
      </c>
      <c r="J2289" s="6">
        <f ca="1">IFERROR(__xludf.DUMMYFUNCTION("IFERROR(GOOGLEFINANCE(B2289, ""volume""), 0)"),31517)</f>
        <v>31517</v>
      </c>
      <c r="K2289" s="6">
        <v>0.91</v>
      </c>
      <c r="L2289" s="6">
        <f ca="1">IFERROR(__xludf.DUMMYFUNCTION("IFERROR(GOOGLEFINANCE(B2289,""changepct""),K2289)"),1.69)</f>
        <v>1.69</v>
      </c>
      <c r="M2289" s="6">
        <f ca="1">IFERROR(__xludf.DUMMYFUNCTION("IFERROR(GOOGLEFINANCE(B2289,""change""),0)"),28.3)</f>
        <v>28.3</v>
      </c>
      <c r="N2289" s="6">
        <v>2</v>
      </c>
      <c r="O2289" s="7">
        <v>45536</v>
      </c>
      <c r="P2289" s="6">
        <v>85.86</v>
      </c>
      <c r="Q2289" s="6">
        <v>3745.41</v>
      </c>
      <c r="R2289" s="7">
        <v>45536</v>
      </c>
      <c r="S2289" s="6">
        <v>2439.54</v>
      </c>
      <c r="T2289" s="6">
        <v>283.35000000000002</v>
      </c>
      <c r="U2289" s="7">
        <v>45536</v>
      </c>
      <c r="V2289" s="6">
        <v>14.61</v>
      </c>
      <c r="W2289" s="6">
        <f ca="1">IFERROR(__xludf.DUMMYFUNCTION("IFERROR(GOOGLEFINANCE(B2289,""pe""),V2289)"),16.84)</f>
        <v>16.84</v>
      </c>
      <c r="X2289" s="6">
        <v>0.61</v>
      </c>
      <c r="Y2289" s="6">
        <v>2.31</v>
      </c>
      <c r="Z2289" s="6">
        <v>2</v>
      </c>
      <c r="AA2289" s="8">
        <v>45352</v>
      </c>
      <c r="AB2289" s="4">
        <v>0.06</v>
      </c>
      <c r="AC2289" s="6">
        <v>18.16</v>
      </c>
      <c r="AD2289" s="6">
        <v>23.35</v>
      </c>
      <c r="AE2289" s="1">
        <v>0</v>
      </c>
      <c r="AF2289" s="1">
        <f ca="1">IFERROR(__xludf.DUMMYFUNCTION("IFERROR(GOOGLEFINANCE(TRIM(F2289)&amp;"":"" &amp; TRIM(B2289),""high52""),AE2289)"),1975)</f>
        <v>1975</v>
      </c>
      <c r="AG2289" s="1">
        <v>0</v>
      </c>
      <c r="AH2289" s="1">
        <f ca="1">IFERROR(__xludf.DUMMYFUNCTION("IFERROR(GOOGLEFINANCE(TRIM(F2289)&amp;"":"" &amp; TRIM(B2289),""low52""),AE2289)"),1081)</f>
        <v>1081</v>
      </c>
      <c r="AI2289" s="1">
        <f ca="1">IFERROR(__xludf.DUMMYFUNCTION("IFERROR(GOOGLEFINANCE(B2289,""eps""),0)"),101.13)</f>
        <v>101.13</v>
      </c>
      <c r="AJ2289" s="1"/>
      <c r="AK2289" s="1" t="s">
        <v>7179</v>
      </c>
      <c r="AL2289" s="1" t="b">
        <f t="shared" si="238"/>
        <v>1</v>
      </c>
    </row>
    <row r="2290" spans="1:38" ht="15" x14ac:dyDescent="0.25">
      <c r="A2290" s="1" t="s">
        <v>7180</v>
      </c>
      <c r="B2290" s="1" t="s">
        <v>7181</v>
      </c>
      <c r="C2290" s="1" t="s">
        <v>186</v>
      </c>
      <c r="D2290" s="1" t="s">
        <v>186</v>
      </c>
      <c r="E2290" s="6">
        <v>43.49</v>
      </c>
      <c r="F2290" s="1" t="s">
        <v>40</v>
      </c>
      <c r="G2290" s="6">
        <f ca="1">IFERROR(__xludf.DUMMYFUNCTION("iferror(GOOGLEFINANCE(TRIM(F2290)&amp;"":"" &amp; TRIM(B2290), ""price""),0
)"),10)</f>
        <v>10</v>
      </c>
      <c r="H2290" s="6">
        <v>16.52</v>
      </c>
      <c r="I2290" s="6">
        <f t="shared" ca="1" si="0"/>
        <v>10</v>
      </c>
      <c r="J2290" s="6">
        <f ca="1">IFERROR(__xludf.DUMMYFUNCTION("IFERROR(GOOGLEFINANCE(B2290, ""volume""), 0)"),17682)</f>
        <v>17682</v>
      </c>
      <c r="K2290" s="6">
        <v>0.06</v>
      </c>
      <c r="L2290" s="6">
        <f ca="1">IFERROR(__xludf.DUMMYFUNCTION("IFERROR(GOOGLEFINANCE(B2290,""changepct""),K2290)"),-1.38)</f>
        <v>-1.38</v>
      </c>
      <c r="M2290" s="6">
        <f ca="1">IFERROR(__xludf.DUMMYFUNCTION("IFERROR(GOOGLEFINANCE(B2290,""change""),0)"),-0.14)</f>
        <v>-0.14000000000000001</v>
      </c>
      <c r="N2290" s="6">
        <v>2</v>
      </c>
      <c r="O2290" s="7">
        <v>45536</v>
      </c>
      <c r="P2290" s="6">
        <v>14.33</v>
      </c>
      <c r="Q2290" s="6">
        <v>57.82</v>
      </c>
      <c r="R2290" s="7">
        <v>45536</v>
      </c>
      <c r="S2290" s="6">
        <v>79.64</v>
      </c>
      <c r="T2290" s="6">
        <v>8.9</v>
      </c>
      <c r="U2290" s="7">
        <v>45536</v>
      </c>
      <c r="V2290" s="6">
        <v>4.8899999999999997</v>
      </c>
      <c r="W2290" s="6">
        <f ca="1">IFERROR(__xludf.DUMMYFUNCTION("IFERROR(GOOGLEFINANCE(B2290,""pe""),V2290)"),4.89)</f>
        <v>4.8899999999999997</v>
      </c>
      <c r="X2290" s="6">
        <v>-2.71</v>
      </c>
      <c r="Y2290" s="6">
        <v>0.53</v>
      </c>
      <c r="Z2290" s="6">
        <v>2</v>
      </c>
      <c r="AA2290" s="8">
        <v>45352</v>
      </c>
      <c r="AB2290" s="4">
        <v>0.19</v>
      </c>
      <c r="AC2290" s="6">
        <v>6.89</v>
      </c>
      <c r="AD2290" s="6">
        <v>7.15</v>
      </c>
      <c r="AE2290" s="1">
        <v>0</v>
      </c>
      <c r="AF2290" s="1">
        <f ca="1">IFERROR(__xludf.DUMMYFUNCTION("IFERROR(GOOGLEFINANCE(TRIM(F2290)&amp;"":"" &amp; TRIM(B2290),""high52""),AE2290)"),15.7)</f>
        <v>15.7</v>
      </c>
      <c r="AG2290" s="1">
        <v>0</v>
      </c>
      <c r="AH2290" s="1">
        <f ca="1">IFERROR(__xludf.DUMMYFUNCTION("IFERROR(GOOGLEFINANCE(TRIM(F2290)&amp;"":"" &amp; TRIM(B2290),""low52""),AE2290)"),9.56)</f>
        <v>9.56</v>
      </c>
      <c r="AI2290" s="1">
        <f ca="1">IFERROR(__xludf.DUMMYFUNCTION("IFERROR(GOOGLEFINANCE(B2290,""eps""),0)"),-0.33)</f>
        <v>-0.33</v>
      </c>
      <c r="AJ2290" s="1"/>
      <c r="AK2290" s="1" t="s">
        <v>7182</v>
      </c>
      <c r="AL2290" s="9">
        <f t="shared" ref="AL2290:AL2318" si="239">IF(AA2290&lt;&gt;AB2290,1,0)</f>
        <v>1</v>
      </c>
    </row>
    <row r="2291" spans="1:38" ht="15" x14ac:dyDescent="0.25">
      <c r="A2291" s="1" t="s">
        <v>7183</v>
      </c>
      <c r="B2291" s="1" t="s">
        <v>7184</v>
      </c>
      <c r="C2291" s="1" t="s">
        <v>1425</v>
      </c>
      <c r="D2291" s="1" t="s">
        <v>1425</v>
      </c>
      <c r="E2291" s="6">
        <v>837.69</v>
      </c>
      <c r="F2291" s="1" t="s">
        <v>40</v>
      </c>
      <c r="G2291" s="6">
        <f ca="1">IFERROR(__xludf.DUMMYFUNCTION("iferror(GOOGLEFINANCE(TRIM(F2291)&amp;"":"" &amp; TRIM(B2291), ""price""),0
)"),243)</f>
        <v>243</v>
      </c>
      <c r="H2291" s="6">
        <v>492</v>
      </c>
      <c r="I2291" s="6">
        <f t="shared" ca="1" si="0"/>
        <v>243</v>
      </c>
      <c r="J2291" s="6">
        <f ca="1">IFERROR(__xludf.DUMMYFUNCTION("IFERROR(GOOGLEFINANCE(B2291, ""volume""), 0)"),22183)</f>
        <v>22183</v>
      </c>
      <c r="K2291" s="6">
        <v>-0.6</v>
      </c>
      <c r="L2291" s="6">
        <f ca="1">IFERROR(__xludf.DUMMYFUNCTION("IFERROR(GOOGLEFINANCE(B2291,""changepct""),K2291)"),-1.9)</f>
        <v>-1.9</v>
      </c>
      <c r="M2291" s="6">
        <f ca="1">IFERROR(__xludf.DUMMYFUNCTION("IFERROR(GOOGLEFINANCE(B2291,""change""),0)"),-4.71)</f>
        <v>-4.71</v>
      </c>
      <c r="N2291" s="6">
        <v>1</v>
      </c>
      <c r="O2291" s="7">
        <v>45536</v>
      </c>
      <c r="P2291" s="6">
        <v>40.89</v>
      </c>
      <c r="Q2291" s="6">
        <v>874.98</v>
      </c>
      <c r="R2291" s="7">
        <v>45536</v>
      </c>
      <c r="S2291" s="6">
        <v>649.44000000000005</v>
      </c>
      <c r="T2291" s="6">
        <v>10.75</v>
      </c>
      <c r="U2291" s="7">
        <v>45536</v>
      </c>
      <c r="V2291" s="6">
        <v>77.930000000000007</v>
      </c>
      <c r="W2291" s="6">
        <f ca="1">IFERROR(__xludf.DUMMYFUNCTION("IFERROR(GOOGLEFINANCE(B2291,""pe""),V2291)"),31.21)</f>
        <v>31.21</v>
      </c>
      <c r="X2291" s="6">
        <v>4.78</v>
      </c>
      <c r="Y2291" s="6">
        <v>3.9</v>
      </c>
      <c r="Z2291" s="6">
        <v>1</v>
      </c>
      <c r="AA2291" s="8">
        <v>45352</v>
      </c>
      <c r="AB2291" s="4">
        <v>0.34</v>
      </c>
      <c r="AC2291" s="6">
        <v>5.48</v>
      </c>
      <c r="AD2291" s="6">
        <v>10.23</v>
      </c>
      <c r="AE2291" s="1">
        <v>0</v>
      </c>
      <c r="AF2291" s="1">
        <f ca="1">IFERROR(__xludf.DUMMYFUNCTION("IFERROR(GOOGLEFINANCE(TRIM(F2291)&amp;"":"" &amp; TRIM(B2291),""high52""),AE2291)"),474.95)</f>
        <v>474.95</v>
      </c>
      <c r="AG2291" s="1">
        <v>0</v>
      </c>
      <c r="AH2291" s="1">
        <f ca="1">IFERROR(__xludf.DUMMYFUNCTION("IFERROR(GOOGLEFINANCE(TRIM(F2291)&amp;"":"" &amp; TRIM(B2291),""low52""),AE2291)"),217.1)</f>
        <v>217.1</v>
      </c>
      <c r="AI2291" s="1">
        <f ca="1">IFERROR(__xludf.DUMMYFUNCTION("IFERROR(GOOGLEFINANCE(B2291,""eps""),0)"),7.79)</f>
        <v>7.79</v>
      </c>
      <c r="AJ2291" s="1"/>
      <c r="AK2291" s="1" t="s">
        <v>7185</v>
      </c>
      <c r="AL2291" s="9">
        <f t="shared" si="239"/>
        <v>1</v>
      </c>
    </row>
    <row r="2292" spans="1:38" ht="15" x14ac:dyDescent="0.25">
      <c r="A2292" s="1" t="s">
        <v>7186</v>
      </c>
      <c r="B2292" s="1" t="s">
        <v>7187</v>
      </c>
      <c r="C2292" s="1" t="s">
        <v>94</v>
      </c>
      <c r="D2292" s="1" t="s">
        <v>94</v>
      </c>
      <c r="E2292" s="6">
        <v>33333.82</v>
      </c>
      <c r="F2292" s="1" t="s">
        <v>40</v>
      </c>
      <c r="G2292" s="6">
        <f ca="1">IFERROR(__xludf.DUMMYFUNCTION("iferror(GOOGLEFINANCE(TRIM(F2292)&amp;"":"" &amp; TRIM(B2292), ""price""),0
)"),497.45)</f>
        <v>497.45</v>
      </c>
      <c r="H2292" s="6">
        <v>608.5</v>
      </c>
      <c r="I2292" s="6">
        <f t="shared" ca="1" si="0"/>
        <v>497.45</v>
      </c>
      <c r="J2292" s="6">
        <f ca="1">IFERROR(__xludf.DUMMYFUNCTION("IFERROR(GOOGLEFINANCE(B2292, ""volume""), 0)"),5746786)</f>
        <v>5746786</v>
      </c>
      <c r="K2292" s="6">
        <v>0.4</v>
      </c>
      <c r="L2292" s="6">
        <f ca="1">IFERROR(__xludf.DUMMYFUNCTION("IFERROR(GOOGLEFINANCE(B2292,""changepct""),K2292)"),-2)</f>
        <v>-2</v>
      </c>
      <c r="M2292" s="6">
        <f ca="1">IFERROR(__xludf.DUMMYFUNCTION("IFERROR(GOOGLEFINANCE(B2292,""change""),0)"),-10.15)</f>
        <v>-10.15</v>
      </c>
      <c r="N2292" s="6">
        <v>2</v>
      </c>
      <c r="O2292" s="7">
        <v>45536</v>
      </c>
      <c r="P2292" s="6">
        <v>4879.25</v>
      </c>
      <c r="Q2292" s="7">
        <v>45536</v>
      </c>
      <c r="R2292" s="6">
        <v>6.82</v>
      </c>
      <c r="S2292" s="6">
        <v>0.47</v>
      </c>
      <c r="T2292" s="6">
        <v>0.99</v>
      </c>
      <c r="U2292" s="6">
        <v>2</v>
      </c>
      <c r="V2292" s="7">
        <v>45352</v>
      </c>
      <c r="W2292" s="6">
        <f ca="1">IFERROR(__xludf.DUMMYFUNCTION("IFERROR(GOOGLEFINANCE(B2292,""pe""),V2292)"),4.96)</f>
        <v>4.96</v>
      </c>
      <c r="X2292" s="6">
        <v>8.02</v>
      </c>
      <c r="Y2292" s="6">
        <v>16.23</v>
      </c>
      <c r="Z2292" s="6">
        <v>8.8000000000000007</v>
      </c>
      <c r="AA2292" s="3" t="s">
        <v>7188</v>
      </c>
      <c r="AB2292" s="3"/>
      <c r="AC2292" s="9"/>
      <c r="AD2292" s="9"/>
      <c r="AE2292" s="1">
        <v>0</v>
      </c>
      <c r="AF2292" s="1">
        <f ca="1">IFERROR(__xludf.DUMMYFUNCTION("IFERROR(GOOGLEFINANCE(TRIM(F2292)&amp;"":"" &amp; TRIM(B2292),""high52""),AE2292)"),646.5)</f>
        <v>646.5</v>
      </c>
      <c r="AG2292" s="1">
        <v>0</v>
      </c>
      <c r="AH2292" s="1">
        <f ca="1">IFERROR(__xludf.DUMMYFUNCTION("IFERROR(GOOGLEFINANCE(TRIM(F2292)&amp;"":"" &amp; TRIM(B2292),""low52""),AE2292)"),483.7)</f>
        <v>483.7</v>
      </c>
      <c r="AI2292" s="1">
        <f ca="1">IFERROR(__xludf.DUMMYFUNCTION("IFERROR(GOOGLEFINANCE(B2292,""eps""),0)"),100.39)</f>
        <v>100.39</v>
      </c>
      <c r="AJ2292" s="1"/>
      <c r="AK2292" s="12"/>
      <c r="AL2292" s="9">
        <f t="shared" si="239"/>
        <v>1</v>
      </c>
    </row>
    <row r="2293" spans="1:38" ht="15" x14ac:dyDescent="0.25">
      <c r="A2293" s="1" t="s">
        <v>7189</v>
      </c>
      <c r="B2293" s="1" t="s">
        <v>7190</v>
      </c>
      <c r="C2293" s="1" t="s">
        <v>7191</v>
      </c>
      <c r="D2293" s="1" t="s">
        <v>7191</v>
      </c>
      <c r="E2293" s="6">
        <v>165.07</v>
      </c>
      <c r="F2293" s="1" t="s">
        <v>53</v>
      </c>
      <c r="G2293" s="6">
        <f ca="1">IFERROR(__xludf.DUMMYFUNCTION("iferror(GOOGLEFINANCE(TRIM(F2293)&amp;"":"" &amp; TRIM(B2293), ""price""),0
)"),0)</f>
        <v>0</v>
      </c>
      <c r="H2293" s="6">
        <v>36.950000000000003</v>
      </c>
      <c r="I2293" s="6">
        <f t="shared" ca="1" si="0"/>
        <v>36.950000000000003</v>
      </c>
      <c r="J2293" s="6">
        <f ca="1">IFERROR(__xludf.DUMMYFUNCTION("IFERROR(GOOGLEFINANCE(B2293, ""volume""), 0)"),0)</f>
        <v>0</v>
      </c>
      <c r="K2293" s="6">
        <v>1.93</v>
      </c>
      <c r="L2293" s="6">
        <f ca="1">IFERROR(__xludf.DUMMYFUNCTION("IFERROR(GOOGLEFINANCE(B2293,""changepct""),K2293)"),1.93)</f>
        <v>1.93</v>
      </c>
      <c r="M2293" s="6">
        <f ca="1">IFERROR(__xludf.DUMMYFUNCTION("IFERROR(GOOGLEFINANCE(B2293,""change""),0)"),0)</f>
        <v>0</v>
      </c>
      <c r="N2293" s="6">
        <v>2</v>
      </c>
      <c r="O2293" s="7">
        <v>45536</v>
      </c>
      <c r="P2293" s="6">
        <v>95.7</v>
      </c>
      <c r="Q2293" s="6">
        <v>260.77</v>
      </c>
      <c r="R2293" s="7">
        <v>45536</v>
      </c>
      <c r="S2293" s="6">
        <v>145.81</v>
      </c>
      <c r="T2293" s="6">
        <v>7.88</v>
      </c>
      <c r="U2293" s="7">
        <v>45536</v>
      </c>
      <c r="V2293" s="6">
        <v>27.98</v>
      </c>
      <c r="W2293" s="6">
        <f ca="1">IFERROR(__xludf.DUMMYFUNCTION("IFERROR(GOOGLEFINANCE(B2293,""pe""),V2293)"),27.98)</f>
        <v>27.98</v>
      </c>
      <c r="X2293" s="9"/>
      <c r="Y2293" s="6">
        <v>2.21</v>
      </c>
      <c r="Z2293" s="6">
        <v>2</v>
      </c>
      <c r="AA2293" s="8">
        <v>45352</v>
      </c>
      <c r="AB2293" s="4">
        <v>1.71</v>
      </c>
      <c r="AC2293" s="6">
        <v>19.41</v>
      </c>
      <c r="AD2293" s="6">
        <v>14.4</v>
      </c>
      <c r="AE2293" s="1">
        <v>0</v>
      </c>
      <c r="AF2293" s="1">
        <f ca="1">IFERROR(__xludf.DUMMYFUNCTION("IFERROR(GOOGLEFINANCE(TRIM(F2293)&amp;"":"" &amp; TRIM(B2293),""high52""),AE2293)"),0)</f>
        <v>0</v>
      </c>
      <c r="AG2293" s="1">
        <v>0</v>
      </c>
      <c r="AH2293" s="1">
        <f ca="1">IFERROR(__xludf.DUMMYFUNCTION("IFERROR(GOOGLEFINANCE(TRIM(F2293)&amp;"":"" &amp; TRIM(B2293),""low52""),AE2293)"),0)</f>
        <v>0</v>
      </c>
      <c r="AI2293" s="1">
        <f ca="1">IFERROR(__xludf.DUMMYFUNCTION("IFERROR(GOOGLEFINANCE(B2293,""eps""),0)"),0)</f>
        <v>0</v>
      </c>
      <c r="AJ2293" s="1"/>
      <c r="AK2293" s="1" t="s">
        <v>7192</v>
      </c>
      <c r="AL2293" s="9">
        <f t="shared" si="239"/>
        <v>1</v>
      </c>
    </row>
    <row r="2294" spans="1:38" ht="15" x14ac:dyDescent="0.25">
      <c r="A2294" s="1" t="s">
        <v>7193</v>
      </c>
      <c r="B2294" s="1" t="s">
        <v>7194</v>
      </c>
      <c r="C2294" s="1" t="s">
        <v>7191</v>
      </c>
      <c r="D2294" s="1" t="s">
        <v>7191</v>
      </c>
      <c r="E2294" s="6">
        <v>101.34</v>
      </c>
      <c r="F2294" s="1" t="s">
        <v>53</v>
      </c>
      <c r="G2294" s="6">
        <f ca="1">IFERROR(__xludf.DUMMYFUNCTION("iferror(GOOGLEFINANCE(TRIM(F2294)&amp;"":"" &amp; TRIM(B2294), ""price""),0
)"),0)</f>
        <v>0</v>
      </c>
      <c r="H2294" s="6">
        <v>14.36</v>
      </c>
      <c r="I2294" s="6">
        <f t="shared" ca="1" si="0"/>
        <v>14.36</v>
      </c>
      <c r="J2294" s="6">
        <f ca="1">IFERROR(__xludf.DUMMYFUNCTION("IFERROR(GOOGLEFINANCE(B2294, ""volume""), 0)"),0)</f>
        <v>0</v>
      </c>
      <c r="K2294" s="6">
        <v>2.72</v>
      </c>
      <c r="L2294" s="6">
        <f ca="1">IFERROR(__xludf.DUMMYFUNCTION("IFERROR(GOOGLEFINANCE(B2294,""changepct""),K2294)"),2.72)</f>
        <v>2.72</v>
      </c>
      <c r="M2294" s="6">
        <f ca="1">IFERROR(__xludf.DUMMYFUNCTION("IFERROR(GOOGLEFINANCE(B2294,""change""),0)"),0)</f>
        <v>0</v>
      </c>
      <c r="N2294" s="6">
        <v>1</v>
      </c>
      <c r="O2294" s="7">
        <v>45536</v>
      </c>
      <c r="P2294" s="6">
        <v>11.2</v>
      </c>
      <c r="Q2294" s="6">
        <v>112.54</v>
      </c>
      <c r="R2294" s="7">
        <v>45536</v>
      </c>
      <c r="S2294" s="6">
        <v>0</v>
      </c>
      <c r="T2294" s="6">
        <v>0.91</v>
      </c>
      <c r="U2294" s="7">
        <v>45536</v>
      </c>
      <c r="V2294" s="6">
        <v>110.99</v>
      </c>
      <c r="W2294" s="6">
        <f ca="1">IFERROR(__xludf.DUMMYFUNCTION("IFERROR(GOOGLEFINANCE(B2294,""pe""),V2294)"),110.99)</f>
        <v>110.99</v>
      </c>
      <c r="X2294" s="6">
        <v>1.27</v>
      </c>
      <c r="Y2294" s="6">
        <v>0.92</v>
      </c>
      <c r="Z2294" s="6">
        <v>1</v>
      </c>
      <c r="AA2294" s="8">
        <v>45352</v>
      </c>
      <c r="AB2294" s="4">
        <v>0</v>
      </c>
      <c r="AC2294" s="6">
        <v>1.31</v>
      </c>
      <c r="AD2294" s="6">
        <v>2.36</v>
      </c>
      <c r="AE2294" s="1">
        <v>0</v>
      </c>
      <c r="AF2294" s="1">
        <f ca="1">IFERROR(__xludf.DUMMYFUNCTION("IFERROR(GOOGLEFINANCE(TRIM(F2294)&amp;"":"" &amp; TRIM(B2294),""high52""),AE2294)"),0)</f>
        <v>0</v>
      </c>
      <c r="AG2294" s="1">
        <v>0</v>
      </c>
      <c r="AH2294" s="1">
        <f ca="1">IFERROR(__xludf.DUMMYFUNCTION("IFERROR(GOOGLEFINANCE(TRIM(F2294)&amp;"":"" &amp; TRIM(B2294),""low52""),AE2294)"),0)</f>
        <v>0</v>
      </c>
      <c r="AI2294" s="1">
        <f ca="1">IFERROR(__xludf.DUMMYFUNCTION("IFERROR(GOOGLEFINANCE(B2294,""eps""),0)"),0)</f>
        <v>0</v>
      </c>
      <c r="AJ2294" s="1"/>
      <c r="AK2294" s="1" t="s">
        <v>7195</v>
      </c>
      <c r="AL2294" s="9">
        <f t="shared" si="239"/>
        <v>1</v>
      </c>
    </row>
    <row r="2295" spans="1:38" ht="15" x14ac:dyDescent="0.25">
      <c r="A2295" s="1" t="s">
        <v>7196</v>
      </c>
      <c r="B2295" s="1" t="s">
        <v>7197</v>
      </c>
      <c r="C2295" s="1" t="s">
        <v>3720</v>
      </c>
      <c r="D2295" s="1" t="s">
        <v>3720</v>
      </c>
      <c r="E2295" s="6">
        <v>570672.9</v>
      </c>
      <c r="F2295" s="1" t="s">
        <v>40</v>
      </c>
      <c r="G2295" s="6">
        <f ca="1">IFERROR(__xludf.DUMMYFUNCTION("iferror(GOOGLEFINANCE(TRIM(F2295)&amp;"":"" &amp; TRIM(B2295), ""price""),0
)"),806)</f>
        <v>806</v>
      </c>
      <c r="H2295" s="6">
        <v>908.5</v>
      </c>
      <c r="I2295" s="6">
        <f t="shared" ca="1" si="0"/>
        <v>806</v>
      </c>
      <c r="J2295" s="6">
        <f ca="1">IFERROR(__xludf.DUMMYFUNCTION("IFERROR(GOOGLEFINANCE(B2295, ""volume""), 0)"),1065452)</f>
        <v>1065452</v>
      </c>
      <c r="K2295" s="6">
        <v>0.68</v>
      </c>
      <c r="L2295" s="6">
        <f ca="1">IFERROR(__xludf.DUMMYFUNCTION("IFERROR(GOOGLEFINANCE(B2295,""changepct""),K2295)"),0.88)</f>
        <v>0.88</v>
      </c>
      <c r="M2295" s="6">
        <f ca="1">IFERROR(__xludf.DUMMYFUNCTION("IFERROR(GOOGLEFINANCE(B2295,""change""),0)"),7)</f>
        <v>7</v>
      </c>
      <c r="N2295" s="6">
        <v>2</v>
      </c>
      <c r="O2295" s="7">
        <v>45536</v>
      </c>
      <c r="P2295" s="6">
        <v>36043.9</v>
      </c>
      <c r="Q2295" s="7">
        <v>45536</v>
      </c>
      <c r="R2295" s="6">
        <v>13.74</v>
      </c>
      <c r="S2295" s="9"/>
      <c r="T2295" s="6">
        <v>5.84</v>
      </c>
      <c r="U2295" s="6">
        <v>2</v>
      </c>
      <c r="V2295" s="7">
        <v>45352</v>
      </c>
      <c r="W2295" s="6">
        <f ca="1">IFERROR(__xludf.DUMMYFUNCTION("IFERROR(GOOGLEFINANCE(B2295,""pe""),V2295)"),9.98)</f>
        <v>9.98</v>
      </c>
      <c r="X2295" s="6">
        <v>0</v>
      </c>
      <c r="Y2295" s="6">
        <v>63.13</v>
      </c>
      <c r="Z2295" s="6">
        <v>63.34</v>
      </c>
      <c r="AA2295" s="3" t="s">
        <v>7198</v>
      </c>
      <c r="AB2295" s="11"/>
      <c r="AC2295" s="9"/>
      <c r="AD2295" s="9"/>
      <c r="AE2295" s="1">
        <v>0</v>
      </c>
      <c r="AF2295" s="1">
        <f ca="1">IFERROR(__xludf.DUMMYFUNCTION("IFERROR(GOOGLEFINANCE(TRIM(F2295)&amp;"":"" &amp; TRIM(B2295),""high52""),AE2295)"),980)</f>
        <v>980</v>
      </c>
      <c r="AG2295" s="1">
        <v>0</v>
      </c>
      <c r="AH2295" s="1">
        <f ca="1">IFERROR(__xludf.DUMMYFUNCTION("IFERROR(GOOGLEFINANCE(TRIM(F2295)&amp;"":"" &amp; TRIM(B2295),""low52""),AE2295)"),715.3)</f>
        <v>715.3</v>
      </c>
      <c r="AI2295" s="1">
        <f ca="1">IFERROR(__xludf.DUMMYFUNCTION("IFERROR(GOOGLEFINANCE(B2295,""eps""),0)"),80.78)</f>
        <v>80.78</v>
      </c>
      <c r="AJ2295" s="1"/>
      <c r="AK2295" s="1" t="s">
        <v>7199</v>
      </c>
      <c r="AL2295" s="9">
        <f t="shared" si="239"/>
        <v>1</v>
      </c>
    </row>
    <row r="2296" spans="1:38" ht="15" x14ac:dyDescent="0.25">
      <c r="A2296" s="1" t="s">
        <v>7200</v>
      </c>
      <c r="B2296" s="1" t="s">
        <v>7201</v>
      </c>
      <c r="C2296" s="1" t="s">
        <v>86</v>
      </c>
      <c r="D2296" s="1" t="s">
        <v>86</v>
      </c>
      <c r="E2296" s="6">
        <v>1435.98</v>
      </c>
      <c r="F2296" s="1" t="s">
        <v>40</v>
      </c>
      <c r="G2296" s="6">
        <f ca="1">IFERROR(__xludf.DUMMYFUNCTION("iferror(GOOGLEFINANCE(TRIM(F2296)&amp;"":"" &amp; TRIM(B2296), ""price""),0
)"),162)</f>
        <v>162</v>
      </c>
      <c r="H2296" s="6">
        <v>365.75</v>
      </c>
      <c r="I2296" s="6">
        <f t="shared" ca="1" si="0"/>
        <v>162</v>
      </c>
      <c r="J2296" s="6">
        <f ca="1">IFERROR(__xludf.DUMMYFUNCTION("IFERROR(GOOGLEFINANCE(B2296, ""volume""), 0)"),56120)</f>
        <v>56120</v>
      </c>
      <c r="K2296" s="6">
        <v>0.55000000000000004</v>
      </c>
      <c r="L2296" s="6">
        <f ca="1">IFERROR(__xludf.DUMMYFUNCTION("IFERROR(GOOGLEFINANCE(B2296,""changepct""),K2296)"),-3.04)</f>
        <v>-3.04</v>
      </c>
      <c r="M2296" s="6">
        <f ca="1">IFERROR(__xludf.DUMMYFUNCTION("IFERROR(GOOGLEFINANCE(B2296,""change""),0)"),-5.08)</f>
        <v>-5.08</v>
      </c>
      <c r="N2296" s="6">
        <v>2</v>
      </c>
      <c r="O2296" s="7">
        <v>45536</v>
      </c>
      <c r="P2296" s="9"/>
      <c r="Q2296" s="6">
        <v>1360.04</v>
      </c>
      <c r="R2296" s="7">
        <v>45536</v>
      </c>
      <c r="S2296" s="6">
        <v>481.17</v>
      </c>
      <c r="T2296" s="6">
        <v>68.31</v>
      </c>
      <c r="U2296" s="7">
        <v>45536</v>
      </c>
      <c r="V2296" s="6">
        <v>20.93</v>
      </c>
      <c r="W2296" s="6">
        <f ca="1">IFERROR(__xludf.DUMMYFUNCTION("IFERROR(GOOGLEFINANCE(B2296,""pe""),V2296)"),10.61)</f>
        <v>10.61</v>
      </c>
      <c r="X2296" s="9"/>
      <c r="Y2296" s="6">
        <v>4.25</v>
      </c>
      <c r="Z2296" s="6">
        <v>2</v>
      </c>
      <c r="AA2296" s="8">
        <v>45352</v>
      </c>
      <c r="AB2296" s="4">
        <v>0</v>
      </c>
      <c r="AC2296" s="6">
        <v>23.31</v>
      </c>
      <c r="AD2296" s="6">
        <v>32.54</v>
      </c>
      <c r="AE2296" s="1">
        <v>0</v>
      </c>
      <c r="AF2296" s="1">
        <f ca="1">IFERROR(__xludf.DUMMYFUNCTION("IFERROR(GOOGLEFINANCE(TRIM(F2296)&amp;"":"" &amp; TRIM(B2296),""high52""),AE2296)"),324.3)</f>
        <v>324.3</v>
      </c>
      <c r="AG2296" s="1">
        <v>0</v>
      </c>
      <c r="AH2296" s="1">
        <f ca="1">IFERROR(__xludf.DUMMYFUNCTION("IFERROR(GOOGLEFINANCE(TRIM(F2296)&amp;"":"" &amp; TRIM(B2296),""low52""),AE2296)"),154.44)</f>
        <v>154.44</v>
      </c>
      <c r="AI2296" s="1">
        <f ca="1">IFERROR(__xludf.DUMMYFUNCTION("IFERROR(GOOGLEFINANCE(B2296,""eps""),0)"),15.27)</f>
        <v>15.27</v>
      </c>
      <c r="AJ2296" s="1"/>
      <c r="AK2296" s="9"/>
      <c r="AL2296" s="9">
        <f t="shared" si="239"/>
        <v>1</v>
      </c>
    </row>
    <row r="2297" spans="1:38" ht="15" x14ac:dyDescent="0.25">
      <c r="A2297" s="1" t="s">
        <v>7202</v>
      </c>
      <c r="B2297" s="1" t="s">
        <v>7203</v>
      </c>
      <c r="C2297" s="1" t="s">
        <v>2874</v>
      </c>
      <c r="D2297" s="1" t="s">
        <v>2874</v>
      </c>
      <c r="E2297" s="6">
        <v>966.4</v>
      </c>
      <c r="F2297" s="1" t="s">
        <v>40</v>
      </c>
      <c r="G2297" s="6">
        <f ca="1">IFERROR(__xludf.DUMMYFUNCTION("iferror(GOOGLEFINANCE(TRIM(F2297)&amp;"":"" &amp; TRIM(B2297), ""price""),0
)"),107)</f>
        <v>107</v>
      </c>
      <c r="H2297" s="6">
        <v>160.94999999999999</v>
      </c>
      <c r="I2297" s="6">
        <f t="shared" ca="1" si="0"/>
        <v>107</v>
      </c>
      <c r="J2297" s="6">
        <f ca="1">IFERROR(__xludf.DUMMYFUNCTION("IFERROR(GOOGLEFINANCE(B2297, ""volume""), 0)"),82)</f>
        <v>82</v>
      </c>
      <c r="K2297" s="6">
        <v>-1.22</v>
      </c>
      <c r="L2297" s="6">
        <f ca="1">IFERROR(__xludf.DUMMYFUNCTION("IFERROR(GOOGLEFINANCE(B2297,""changepct""),K2297)"),0.19)</f>
        <v>0.19</v>
      </c>
      <c r="M2297" s="6">
        <f ca="1">IFERROR(__xludf.DUMMYFUNCTION("IFERROR(GOOGLEFINANCE(B2297,""change""),0)"),0.05)</f>
        <v>0.05</v>
      </c>
      <c r="N2297" s="6">
        <v>2</v>
      </c>
      <c r="O2297" s="7">
        <v>45536</v>
      </c>
      <c r="P2297" s="6">
        <v>6.8</v>
      </c>
      <c r="Q2297" s="6">
        <v>955.01</v>
      </c>
      <c r="R2297" s="7">
        <v>45536</v>
      </c>
      <c r="S2297" s="6">
        <v>532.14</v>
      </c>
      <c r="T2297" s="6">
        <v>36.49</v>
      </c>
      <c r="U2297" s="7">
        <v>45536</v>
      </c>
      <c r="V2297" s="6">
        <v>26.6</v>
      </c>
      <c r="W2297" s="6">
        <f ca="1">IFERROR(__xludf.DUMMYFUNCTION("IFERROR(GOOGLEFINANCE(B2297,""pe""),V2297)"),58.86)</f>
        <v>58.86</v>
      </c>
      <c r="X2297" s="9"/>
      <c r="Y2297" s="6">
        <v>4.2300000000000004</v>
      </c>
      <c r="Z2297" s="6">
        <v>2</v>
      </c>
      <c r="AA2297" s="13">
        <v>45352</v>
      </c>
      <c r="AB2297" s="4">
        <v>0.03</v>
      </c>
      <c r="AC2297" s="6">
        <v>16.82</v>
      </c>
      <c r="AD2297" s="6">
        <v>23.05</v>
      </c>
      <c r="AE2297" s="1">
        <v>0</v>
      </c>
      <c r="AF2297" s="1">
        <f ca="1">IFERROR(__xludf.DUMMYFUNCTION("IFERROR(GOOGLEFINANCE(TRIM(F2297)&amp;"":"" &amp; TRIM(B2297),""high52""),AE2297)"),160.74)</f>
        <v>160.74</v>
      </c>
      <c r="AG2297" s="1">
        <v>0</v>
      </c>
      <c r="AH2297" s="1">
        <f ca="1">IFERROR(__xludf.DUMMYFUNCTION("IFERROR(GOOGLEFINANCE(TRIM(F2297)&amp;"":"" &amp; TRIM(B2297),""low52""),AE2297)"),95.11)</f>
        <v>95.11</v>
      </c>
      <c r="AI2297" s="1">
        <f ca="1">IFERROR(__xludf.DUMMYFUNCTION("IFERROR(GOOGLEFINANCE(B2297,""eps""),0)"),0.45)</f>
        <v>0.45</v>
      </c>
      <c r="AJ2297" s="1"/>
      <c r="AK2297" s="1" t="s">
        <v>7204</v>
      </c>
      <c r="AL2297" s="9">
        <f t="shared" si="239"/>
        <v>1</v>
      </c>
    </row>
    <row r="2298" spans="1:38" ht="15" x14ac:dyDescent="0.25">
      <c r="A2298" s="1" t="s">
        <v>7205</v>
      </c>
      <c r="B2298" s="1" t="s">
        <v>7206</v>
      </c>
      <c r="C2298" s="1" t="s">
        <v>1425</v>
      </c>
      <c r="D2298" s="1" t="s">
        <v>1425</v>
      </c>
      <c r="E2298" s="6">
        <v>478.12</v>
      </c>
      <c r="F2298" s="1" t="s">
        <v>53</v>
      </c>
      <c r="G2298" s="6">
        <f ca="1">IFERROR(__xludf.DUMMYFUNCTION("iferror(GOOGLEFINANCE(TRIM(F2298)&amp;"":"" &amp; TRIM(B2298), ""price""),0
)"),0)</f>
        <v>0</v>
      </c>
      <c r="H2298" s="6">
        <v>281</v>
      </c>
      <c r="I2298" s="6">
        <f t="shared" ca="1" si="0"/>
        <v>281</v>
      </c>
      <c r="J2298" s="6">
        <f ca="1">IFERROR(__xludf.DUMMYFUNCTION("IFERROR(GOOGLEFINANCE(B2298, ""volume""), 0)"),0)</f>
        <v>0</v>
      </c>
      <c r="K2298" s="6">
        <v>3.9</v>
      </c>
      <c r="L2298" s="6">
        <f ca="1">IFERROR(__xludf.DUMMYFUNCTION("IFERROR(GOOGLEFINANCE(B2298,""changepct""),K2298)"),3.9)</f>
        <v>3.9</v>
      </c>
      <c r="M2298" s="6">
        <f ca="1">IFERROR(__xludf.DUMMYFUNCTION("IFERROR(GOOGLEFINANCE(B2298,""change""),0)"),0)</f>
        <v>0</v>
      </c>
      <c r="N2298" s="6">
        <v>1</v>
      </c>
      <c r="O2298" s="7">
        <v>45536</v>
      </c>
      <c r="P2298" s="6">
        <v>77.75</v>
      </c>
      <c r="Q2298" s="6">
        <v>549.76</v>
      </c>
      <c r="R2298" s="7">
        <v>45536</v>
      </c>
      <c r="S2298" s="6">
        <v>174.66</v>
      </c>
      <c r="T2298" s="6">
        <v>5.9</v>
      </c>
      <c r="U2298" s="7">
        <v>45536</v>
      </c>
      <c r="V2298" s="6">
        <v>80.97</v>
      </c>
      <c r="W2298" s="6">
        <f ca="1">IFERROR(__xludf.DUMMYFUNCTION("IFERROR(GOOGLEFINANCE(B2298,""pe""),V2298)"),80.97)</f>
        <v>80.97</v>
      </c>
      <c r="X2298" s="6">
        <v>3.84</v>
      </c>
      <c r="Y2298" s="6">
        <v>5.84</v>
      </c>
      <c r="Z2298" s="6">
        <v>1</v>
      </c>
      <c r="AA2298" s="8">
        <v>45352</v>
      </c>
      <c r="AB2298" s="4">
        <v>0.87</v>
      </c>
      <c r="AC2298" s="6">
        <v>9.5500000000000007</v>
      </c>
      <c r="AD2298" s="6">
        <v>10.92</v>
      </c>
      <c r="AE2298" s="1">
        <v>0</v>
      </c>
      <c r="AF2298" s="1">
        <f ca="1">IFERROR(__xludf.DUMMYFUNCTION("IFERROR(GOOGLEFINANCE(TRIM(F2298)&amp;"":"" &amp; TRIM(B2298),""high52""),AE2298)"),0)</f>
        <v>0</v>
      </c>
      <c r="AG2298" s="1">
        <v>0</v>
      </c>
      <c r="AH2298" s="1">
        <f ca="1">IFERROR(__xludf.DUMMYFUNCTION("IFERROR(GOOGLEFINANCE(TRIM(F2298)&amp;"":"" &amp; TRIM(B2298),""low52""),AE2298)"),0)</f>
        <v>0</v>
      </c>
      <c r="AI2298" s="1">
        <f ca="1">IFERROR(__xludf.DUMMYFUNCTION("IFERROR(GOOGLEFINANCE(B2298,""eps""),0)"),0)</f>
        <v>0</v>
      </c>
      <c r="AJ2298" s="1"/>
      <c r="AK2298" s="1" t="s">
        <v>7207</v>
      </c>
      <c r="AL2298" s="9">
        <f t="shared" si="239"/>
        <v>1</v>
      </c>
    </row>
    <row r="2299" spans="1:38" ht="15" x14ac:dyDescent="0.25">
      <c r="A2299" s="1" t="s">
        <v>7208</v>
      </c>
      <c r="B2299" s="1" t="s">
        <v>7209</v>
      </c>
      <c r="C2299" s="1" t="s">
        <v>106</v>
      </c>
      <c r="D2299" s="1" t="s">
        <v>106</v>
      </c>
      <c r="E2299" s="6">
        <v>1694.01</v>
      </c>
      <c r="F2299" s="1" t="s">
        <v>40</v>
      </c>
      <c r="G2299" s="6">
        <f ca="1">IFERROR(__xludf.DUMMYFUNCTION("iferror(GOOGLEFINANCE(TRIM(F2299)&amp;"":"" &amp; TRIM(B2299), ""price""),0
)"),463)</f>
        <v>463</v>
      </c>
      <c r="H2299" s="6">
        <v>855.2</v>
      </c>
      <c r="I2299" s="6">
        <f t="shared" ca="1" si="0"/>
        <v>463</v>
      </c>
      <c r="J2299" s="6">
        <f ca="1">IFERROR(__xludf.DUMMYFUNCTION("IFERROR(GOOGLEFINANCE(B2299, ""volume""), 0)"),11080)</f>
        <v>11080</v>
      </c>
      <c r="K2299" s="6">
        <v>1.08</v>
      </c>
      <c r="L2299" s="6">
        <f ca="1">IFERROR(__xludf.DUMMYFUNCTION("IFERROR(GOOGLEFINANCE(B2299,""changepct""),K2299)"),0.42)</f>
        <v>0.42</v>
      </c>
      <c r="M2299" s="6">
        <f ca="1">IFERROR(__xludf.DUMMYFUNCTION("IFERROR(GOOGLEFINANCE(B2299,""change""),0)"),1.95)</f>
        <v>1.95</v>
      </c>
      <c r="N2299" s="6">
        <v>2</v>
      </c>
      <c r="O2299" s="7">
        <v>45536</v>
      </c>
      <c r="P2299" s="6">
        <v>1.35</v>
      </c>
      <c r="Q2299" s="6">
        <v>1662.46</v>
      </c>
      <c r="R2299" s="7">
        <v>45536</v>
      </c>
      <c r="S2299" s="6">
        <v>597.44000000000005</v>
      </c>
      <c r="T2299" s="6">
        <v>96.64</v>
      </c>
      <c r="U2299" s="7">
        <v>45536</v>
      </c>
      <c r="V2299" s="6">
        <v>17.53</v>
      </c>
      <c r="W2299" s="6">
        <f ca="1">IFERROR(__xludf.DUMMYFUNCTION("IFERROR(GOOGLEFINANCE(B2299,""pe""),V2299)"),11.59)</f>
        <v>11.59</v>
      </c>
      <c r="X2299" s="6">
        <v>1.26</v>
      </c>
      <c r="Y2299" s="6">
        <v>2.65</v>
      </c>
      <c r="Z2299" s="6">
        <v>2</v>
      </c>
      <c r="AA2299" s="8">
        <v>45352</v>
      </c>
      <c r="AB2299" s="4">
        <v>0</v>
      </c>
      <c r="AC2299" s="6">
        <v>17.04</v>
      </c>
      <c r="AD2299" s="6">
        <v>22.53</v>
      </c>
      <c r="AE2299" s="1">
        <v>0</v>
      </c>
      <c r="AF2299" s="1">
        <f ca="1">IFERROR(__xludf.DUMMYFUNCTION("IFERROR(GOOGLEFINANCE(TRIM(F2299)&amp;"":"" &amp; TRIM(B2299),""high52""),AE2299)"),808.8)</f>
        <v>808.8</v>
      </c>
      <c r="AG2299" s="1">
        <v>0</v>
      </c>
      <c r="AH2299" s="1">
        <f ca="1">IFERROR(__xludf.DUMMYFUNCTION("IFERROR(GOOGLEFINANCE(TRIM(F2299)&amp;"":"" &amp; TRIM(B2299),""low52""),AE2299)"),440)</f>
        <v>440</v>
      </c>
      <c r="AI2299" s="1">
        <f ca="1">IFERROR(__xludf.DUMMYFUNCTION("IFERROR(GOOGLEFINANCE(B2299,""eps""),0)"),39.95)</f>
        <v>39.950000000000003</v>
      </c>
      <c r="AJ2299" s="1"/>
      <c r="AK2299" s="1" t="s">
        <v>7210</v>
      </c>
      <c r="AL2299" s="9">
        <f t="shared" si="239"/>
        <v>1</v>
      </c>
    </row>
    <row r="2300" spans="1:38" ht="15" x14ac:dyDescent="0.25">
      <c r="A2300" s="1" t="s">
        <v>7211</v>
      </c>
      <c r="B2300" s="1" t="s">
        <v>7212</v>
      </c>
      <c r="C2300" s="1" t="s">
        <v>2222</v>
      </c>
      <c r="D2300" s="1" t="s">
        <v>2222</v>
      </c>
      <c r="E2300" s="6">
        <v>52995.19</v>
      </c>
      <c r="F2300" s="1" t="s">
        <v>40</v>
      </c>
      <c r="G2300" s="6">
        <f ca="1">IFERROR(__xludf.DUMMYFUNCTION("iferror(GOOGLEFINANCE(TRIM(F2300)&amp;"":"" &amp; TRIM(B2300), ""price""),0
)"),5950)</f>
        <v>5950</v>
      </c>
      <c r="H2300" s="6">
        <v>6319.4</v>
      </c>
      <c r="I2300" s="6">
        <f t="shared" ca="1" si="0"/>
        <v>5950</v>
      </c>
      <c r="J2300" s="6">
        <f ca="1">IFERROR(__xludf.DUMMYFUNCTION("IFERROR(GOOGLEFINANCE(B2300, ""volume""), 0)"),21193)</f>
        <v>21193</v>
      </c>
      <c r="K2300" s="6">
        <v>1.67</v>
      </c>
      <c r="L2300" s="6">
        <f ca="1">IFERROR(__xludf.DUMMYFUNCTION("IFERROR(GOOGLEFINANCE(B2300,""changepct""),K2300)"),0.4)</f>
        <v>0.4</v>
      </c>
      <c r="M2300" s="6">
        <f ca="1">IFERROR(__xludf.DUMMYFUNCTION("IFERROR(GOOGLEFINANCE(B2300,""change""),0)"),24)</f>
        <v>24</v>
      </c>
      <c r="N2300" s="6">
        <v>2</v>
      </c>
      <c r="O2300" s="7">
        <v>45536</v>
      </c>
      <c r="P2300" s="9"/>
      <c r="Q2300" s="6">
        <v>51997.21</v>
      </c>
      <c r="R2300" s="7">
        <v>45536</v>
      </c>
      <c r="S2300" s="6">
        <v>2623.96</v>
      </c>
      <c r="T2300" s="6">
        <v>437.41</v>
      </c>
      <c r="U2300" s="7">
        <v>45536</v>
      </c>
      <c r="V2300" s="6">
        <v>118.93</v>
      </c>
      <c r="W2300" s="6">
        <f ca="1">IFERROR(__xludf.DUMMYFUNCTION("IFERROR(GOOGLEFINANCE(B2300,""pe""),V2300)"),98.93)</f>
        <v>98.93</v>
      </c>
      <c r="X2300" s="6">
        <v>1.56</v>
      </c>
      <c r="Y2300" s="6">
        <v>14.78</v>
      </c>
      <c r="Z2300" s="6">
        <v>2</v>
      </c>
      <c r="AA2300" s="8">
        <v>45352</v>
      </c>
      <c r="AB2300" s="4">
        <v>0</v>
      </c>
      <c r="AC2300" s="6">
        <v>13.14</v>
      </c>
      <c r="AD2300" s="6">
        <v>17.739999999999998</v>
      </c>
      <c r="AE2300" s="1">
        <v>0</v>
      </c>
      <c r="AF2300" s="1">
        <f ca="1">IFERROR(__xludf.DUMMYFUNCTION("IFERROR(GOOGLEFINANCE(TRIM(F2300)&amp;"":"" &amp; TRIM(B2300),""high52""),AE2300)"),7870)</f>
        <v>7870</v>
      </c>
      <c r="AG2300" s="1">
        <v>0</v>
      </c>
      <c r="AH2300" s="1">
        <f ca="1">IFERROR(__xludf.DUMMYFUNCTION("IFERROR(GOOGLEFINANCE(TRIM(F2300)&amp;"":"" &amp; TRIM(B2300),""low52""),AE2300)"),5242.4)</f>
        <v>5242.3999999999996</v>
      </c>
      <c r="AI2300" s="1">
        <f ca="1">IFERROR(__xludf.DUMMYFUNCTION("IFERROR(GOOGLEFINANCE(B2300,""eps""),0)"),60.14)</f>
        <v>60.14</v>
      </c>
      <c r="AJ2300" s="1"/>
      <c r="AK2300" s="1" t="s">
        <v>7213</v>
      </c>
      <c r="AL2300" s="9">
        <f t="shared" si="239"/>
        <v>1</v>
      </c>
    </row>
    <row r="2301" spans="1:38" ht="15" x14ac:dyDescent="0.25">
      <c r="A2301" s="1" t="s">
        <v>7214</v>
      </c>
      <c r="B2301" s="1" t="s">
        <v>7215</v>
      </c>
      <c r="C2301" s="1" t="s">
        <v>416</v>
      </c>
      <c r="D2301" s="1" t="s">
        <v>416</v>
      </c>
      <c r="E2301" s="6">
        <v>8915.51</v>
      </c>
      <c r="F2301" s="1" t="s">
        <v>40</v>
      </c>
      <c r="G2301" s="6">
        <f ca="1">IFERROR(__xludf.DUMMYFUNCTION("iferror(GOOGLEFINANCE(TRIM(F2301)&amp;"":"" &amp; TRIM(B2301), ""price""),0
)"),43.82)</f>
        <v>43.82</v>
      </c>
      <c r="H2301" s="6">
        <v>79.38</v>
      </c>
      <c r="I2301" s="6">
        <f t="shared" ca="1" si="0"/>
        <v>43.82</v>
      </c>
      <c r="J2301" s="6">
        <f ca="1">IFERROR(__xludf.DUMMYFUNCTION("IFERROR(GOOGLEFINANCE(B2301, ""volume""), 0)"),3384026)</f>
        <v>3384026</v>
      </c>
      <c r="K2301" s="6">
        <v>3.45</v>
      </c>
      <c r="L2301" s="6">
        <f ca="1">IFERROR(__xludf.DUMMYFUNCTION("IFERROR(GOOGLEFINANCE(B2301,""changepct""),K2301)"),1.18)</f>
        <v>1.18</v>
      </c>
      <c r="M2301" s="6">
        <f ca="1">IFERROR(__xludf.DUMMYFUNCTION("IFERROR(GOOGLEFINANCE(B2301,""change""),0)"),0.51)</f>
        <v>0.51</v>
      </c>
      <c r="N2301" s="6">
        <v>1</v>
      </c>
      <c r="O2301" s="7">
        <v>45536</v>
      </c>
      <c r="P2301" s="6">
        <v>50.95</v>
      </c>
      <c r="Q2301" s="6">
        <v>8835.76</v>
      </c>
      <c r="R2301" s="7">
        <v>45536</v>
      </c>
      <c r="S2301" s="6">
        <v>736.91</v>
      </c>
      <c r="T2301" s="6">
        <v>97.38</v>
      </c>
      <c r="U2301" s="7">
        <v>45536</v>
      </c>
      <c r="V2301" s="6">
        <v>91.56</v>
      </c>
      <c r="W2301" s="6">
        <f ca="1">IFERROR(__xludf.DUMMYFUNCTION("IFERROR(GOOGLEFINANCE(B2301,""pe""),V2301)"),91.56)</f>
        <v>91.56</v>
      </c>
      <c r="X2301" s="6">
        <v>0.97</v>
      </c>
      <c r="Y2301" s="6">
        <v>15.11</v>
      </c>
      <c r="Z2301" s="6">
        <v>1</v>
      </c>
      <c r="AA2301" s="8">
        <v>45352</v>
      </c>
      <c r="AB2301" s="4">
        <v>0.15</v>
      </c>
      <c r="AC2301" s="6">
        <v>27.06</v>
      </c>
      <c r="AD2301" s="6">
        <v>29.25</v>
      </c>
      <c r="AE2301" s="1">
        <v>0</v>
      </c>
      <c r="AF2301" s="1">
        <f ca="1">IFERROR(__xludf.DUMMYFUNCTION("IFERROR(GOOGLEFINANCE(TRIM(F2301)&amp;"":"" &amp; TRIM(B2301),""high52""),AE2301)"),84.27)</f>
        <v>84.27</v>
      </c>
      <c r="AG2301" s="1">
        <v>0</v>
      </c>
      <c r="AH2301" s="1">
        <f ca="1">IFERROR(__xludf.DUMMYFUNCTION("IFERROR(GOOGLEFINANCE(TRIM(F2301)&amp;"":"" &amp; TRIM(B2301),""low52""),AE2301)"),41.13)</f>
        <v>41.13</v>
      </c>
      <c r="AI2301" s="1">
        <f ca="1">IFERROR(__xludf.DUMMYFUNCTION("IFERROR(GOOGLEFINANCE(B2301,""eps""),0)"),0)</f>
        <v>0</v>
      </c>
      <c r="AJ2301" s="1"/>
      <c r="AK2301" s="1" t="s">
        <v>7216</v>
      </c>
      <c r="AL2301" s="9">
        <f t="shared" si="239"/>
        <v>1</v>
      </c>
    </row>
    <row r="2302" spans="1:38" ht="15" x14ac:dyDescent="0.25">
      <c r="A2302" s="1" t="s">
        <v>7217</v>
      </c>
      <c r="B2302" s="1" t="s">
        <v>7218</v>
      </c>
      <c r="C2302" s="1" t="s">
        <v>1425</v>
      </c>
      <c r="D2302" s="1" t="s">
        <v>1425</v>
      </c>
      <c r="E2302" s="6">
        <v>21.55</v>
      </c>
      <c r="F2302" s="1" t="s">
        <v>53</v>
      </c>
      <c r="G2302" s="6">
        <f ca="1">IFERROR(__xludf.DUMMYFUNCTION("iferror(GOOGLEFINANCE(TRIM(F2302)&amp;"":"" &amp; TRIM(B2302), ""price""),0
)"),0)</f>
        <v>0</v>
      </c>
      <c r="H2302" s="6">
        <v>15.96</v>
      </c>
      <c r="I2302" s="6">
        <f t="shared" ca="1" si="0"/>
        <v>15.96</v>
      </c>
      <c r="J2302" s="6">
        <f ca="1">IFERROR(__xludf.DUMMYFUNCTION("IFERROR(GOOGLEFINANCE(B2302, ""volume""), 0)"),0)</f>
        <v>0</v>
      </c>
      <c r="K2302" s="12"/>
      <c r="L2302" s="6" t="str">
        <f ca="1">IFERROR(__xludf.DUMMYFUNCTION("IFERROR(GOOGLEFINANCE(B2302,""changepct""),K2302)"),"")</f>
        <v/>
      </c>
      <c r="M2302" s="6">
        <f ca="1">IFERROR(__xludf.DUMMYFUNCTION("IFERROR(GOOGLEFINANCE(B2302,""change""),0)"),0)</f>
        <v>0</v>
      </c>
      <c r="N2302" s="6">
        <v>1</v>
      </c>
      <c r="O2302" s="7">
        <v>45536</v>
      </c>
      <c r="P2302" s="12"/>
      <c r="Q2302" s="6">
        <v>21.55</v>
      </c>
      <c r="R2302" s="7">
        <v>45536</v>
      </c>
      <c r="S2302" s="6">
        <v>0</v>
      </c>
      <c r="T2302" s="6">
        <v>-0.18</v>
      </c>
      <c r="U2302" s="7">
        <v>45536</v>
      </c>
      <c r="V2302" s="6">
        <v>0</v>
      </c>
      <c r="W2302" s="6">
        <f ca="1">IFERROR(__xludf.DUMMYFUNCTION("IFERROR(GOOGLEFINANCE(B2302,""pe""),V2302)"),0)</f>
        <v>0</v>
      </c>
      <c r="X2302" s="6">
        <v>0</v>
      </c>
      <c r="Y2302" s="6">
        <v>-8.73</v>
      </c>
      <c r="Z2302" s="6">
        <v>1</v>
      </c>
      <c r="AA2302" s="8">
        <v>45352</v>
      </c>
      <c r="AB2302" s="4">
        <v>0</v>
      </c>
      <c r="AC2302" s="6">
        <v>0</v>
      </c>
      <c r="AD2302" s="6">
        <v>0</v>
      </c>
      <c r="AE2302" s="1">
        <v>0</v>
      </c>
      <c r="AF2302" s="1">
        <f ca="1">IFERROR(__xludf.DUMMYFUNCTION("IFERROR(GOOGLEFINANCE(TRIM(F2302)&amp;"":"" &amp; TRIM(B2302),""high52""),AE2302)"),0)</f>
        <v>0</v>
      </c>
      <c r="AG2302" s="1">
        <v>0</v>
      </c>
      <c r="AH2302" s="1">
        <f ca="1">IFERROR(__xludf.DUMMYFUNCTION("IFERROR(GOOGLEFINANCE(TRIM(F2302)&amp;"":"" &amp; TRIM(B2302),""low52""),AE2302)"),0)</f>
        <v>0</v>
      </c>
      <c r="AI2302" s="1">
        <f ca="1">IFERROR(__xludf.DUMMYFUNCTION("IFERROR(GOOGLEFINANCE(B2302,""eps""),0)"),0)</f>
        <v>0</v>
      </c>
      <c r="AJ2302" s="1"/>
      <c r="AK2302" s="1" t="s">
        <v>7219</v>
      </c>
      <c r="AL2302" s="9">
        <f t="shared" si="239"/>
        <v>1</v>
      </c>
    </row>
    <row r="2303" spans="1:38" ht="15" x14ac:dyDescent="0.25">
      <c r="A2303" s="1" t="s">
        <v>7220</v>
      </c>
      <c r="B2303" s="1" t="s">
        <v>7221</v>
      </c>
      <c r="C2303" s="1" t="s">
        <v>227</v>
      </c>
      <c r="D2303" s="1" t="s">
        <v>227</v>
      </c>
      <c r="E2303" s="6">
        <v>6894.93</v>
      </c>
      <c r="F2303" s="1" t="s">
        <v>40</v>
      </c>
      <c r="G2303" s="6">
        <f ca="1">IFERROR(__xludf.DUMMYFUNCTION("iferror(GOOGLEFINANCE(TRIM(F2303)&amp;"":"" &amp; TRIM(B2303), ""price""),0
)"),57.53)</f>
        <v>57.53</v>
      </c>
      <c r="H2303" s="6">
        <v>57.69</v>
      </c>
      <c r="I2303" s="6">
        <f t="shared" ca="1" si="0"/>
        <v>57.53</v>
      </c>
      <c r="J2303" s="6">
        <f ca="1">IFERROR(__xludf.DUMMYFUNCTION("IFERROR(GOOGLEFINANCE(B2303, ""volume""), 0)"),802396)</f>
        <v>802396</v>
      </c>
      <c r="K2303" s="6">
        <v>6.54</v>
      </c>
      <c r="L2303" s="6">
        <f ca="1">IFERROR(__xludf.DUMMYFUNCTION("IFERROR(GOOGLEFINANCE(B2303,""changepct""),K2303)"),2.7)</f>
        <v>2.7</v>
      </c>
      <c r="M2303" s="6">
        <f ca="1">IFERROR(__xludf.DUMMYFUNCTION("IFERROR(GOOGLEFINANCE(B2303,""change""),0)"),1.51)</f>
        <v>1.51</v>
      </c>
      <c r="N2303" s="6">
        <v>2</v>
      </c>
      <c r="O2303" s="7">
        <v>45536</v>
      </c>
      <c r="P2303" s="6">
        <v>414.41</v>
      </c>
      <c r="Q2303" s="6">
        <v>7142.9</v>
      </c>
      <c r="R2303" s="7">
        <v>45536</v>
      </c>
      <c r="S2303" s="6">
        <v>1366.53</v>
      </c>
      <c r="T2303" s="6">
        <v>185.79</v>
      </c>
      <c r="U2303" s="7">
        <v>45536</v>
      </c>
      <c r="V2303" s="6">
        <v>63.26</v>
      </c>
      <c r="W2303" s="6">
        <f ca="1">IFERROR(__xludf.DUMMYFUNCTION("IFERROR(GOOGLEFINANCE(B2303,""pe""),V2303)"),24.79)</f>
        <v>24.79</v>
      </c>
      <c r="X2303" s="6">
        <v>1.75</v>
      </c>
      <c r="Y2303" s="6">
        <v>2.61</v>
      </c>
      <c r="Z2303" s="6">
        <v>2</v>
      </c>
      <c r="AA2303" s="8">
        <v>45352</v>
      </c>
      <c r="AB2303" s="4">
        <v>7.0000000000000007E-2</v>
      </c>
      <c r="AC2303" s="6">
        <v>13.08</v>
      </c>
      <c r="AD2303" s="6">
        <v>15.34</v>
      </c>
      <c r="AE2303" s="1">
        <v>0</v>
      </c>
      <c r="AF2303" s="1">
        <f ca="1">IFERROR(__xludf.DUMMYFUNCTION("IFERROR(GOOGLEFINANCE(TRIM(F2303)&amp;"":"" &amp; TRIM(B2303),""high52""),AE2303)"),88.13)</f>
        <v>88.13</v>
      </c>
      <c r="AG2303" s="1">
        <v>0</v>
      </c>
      <c r="AH2303" s="1">
        <f ca="1">IFERROR(__xludf.DUMMYFUNCTION("IFERROR(GOOGLEFINANCE(TRIM(F2303)&amp;"":"" &amp; TRIM(B2303),""low52""),AE2303)"),34.08)</f>
        <v>34.08</v>
      </c>
      <c r="AI2303" s="1">
        <f ca="1">IFERROR(__xludf.DUMMYFUNCTION("IFERROR(GOOGLEFINANCE(B2303,""eps""),0)"),2.32)</f>
        <v>2.3199999999999998</v>
      </c>
      <c r="AJ2303" s="1"/>
      <c r="AK2303" s="1" t="s">
        <v>7222</v>
      </c>
      <c r="AL2303" s="9">
        <f t="shared" si="239"/>
        <v>1</v>
      </c>
    </row>
    <row r="2304" spans="1:38" ht="15" x14ac:dyDescent="0.25">
      <c r="A2304" s="1" t="s">
        <v>7223</v>
      </c>
      <c r="B2304" s="1" t="s">
        <v>7224</v>
      </c>
      <c r="C2304" s="1" t="s">
        <v>159</v>
      </c>
      <c r="D2304" s="1" t="s">
        <v>159</v>
      </c>
      <c r="E2304" s="6">
        <v>219.73</v>
      </c>
      <c r="F2304" s="1" t="s">
        <v>40</v>
      </c>
      <c r="G2304" s="6">
        <f ca="1">IFERROR(__xludf.DUMMYFUNCTION("iferror(GOOGLEFINANCE(TRIM(F2304)&amp;"":"" &amp; TRIM(B2304), ""price""),0
)"),0)</f>
        <v>0</v>
      </c>
      <c r="H2304" s="6">
        <v>90.7</v>
      </c>
      <c r="I2304" s="6">
        <f t="shared" ca="1" si="0"/>
        <v>90.7</v>
      </c>
      <c r="J2304" s="6">
        <f ca="1">IFERROR(__xludf.DUMMYFUNCTION("IFERROR(GOOGLEFINANCE(B2304, ""volume""), 0)"),0)</f>
        <v>0</v>
      </c>
      <c r="K2304" s="6">
        <v>-2.3199999999999998</v>
      </c>
      <c r="L2304" s="6">
        <f ca="1">IFERROR(__xludf.DUMMYFUNCTION("IFERROR(GOOGLEFINANCE(B2304,""changepct""),K2304)"),-2.32)</f>
        <v>-2.3199999999999998</v>
      </c>
      <c r="M2304" s="6">
        <f ca="1">IFERROR(__xludf.DUMMYFUNCTION("IFERROR(GOOGLEFINANCE(B2304,""change""),0)"),0)</f>
        <v>0</v>
      </c>
      <c r="N2304" s="6">
        <v>1</v>
      </c>
      <c r="O2304" s="7">
        <v>45536</v>
      </c>
      <c r="P2304" s="9"/>
      <c r="Q2304" s="6">
        <v>219.73</v>
      </c>
      <c r="R2304" s="7">
        <v>45352</v>
      </c>
      <c r="S2304" s="6">
        <v>40.32</v>
      </c>
      <c r="T2304" s="6">
        <v>-8.01</v>
      </c>
      <c r="U2304" s="7">
        <v>45352</v>
      </c>
      <c r="V2304" s="6">
        <v>0</v>
      </c>
      <c r="W2304" s="6">
        <f ca="1">IFERROR(__xludf.DUMMYFUNCTION("IFERROR(GOOGLEFINANCE(B2304,""pe""),V2304)"),0)</f>
        <v>0</v>
      </c>
      <c r="X2304" s="9"/>
      <c r="Y2304" s="6">
        <v>5.94</v>
      </c>
      <c r="Z2304" s="6">
        <v>1</v>
      </c>
      <c r="AA2304" s="8">
        <v>45352</v>
      </c>
      <c r="AB2304" s="4">
        <v>0</v>
      </c>
      <c r="AC2304" s="6">
        <v>-26.58</v>
      </c>
      <c r="AD2304" s="6">
        <v>-24.11</v>
      </c>
      <c r="AE2304" s="1">
        <v>0</v>
      </c>
      <c r="AF2304" s="1">
        <f ca="1">IFERROR(__xludf.DUMMYFUNCTION("IFERROR(GOOGLEFINANCE(TRIM(F2304)&amp;"":"" &amp; TRIM(B2304),""high52""),AE2304)"),0)</f>
        <v>0</v>
      </c>
      <c r="AG2304" s="1">
        <v>0</v>
      </c>
      <c r="AH2304" s="1">
        <f ca="1">IFERROR(__xludf.DUMMYFUNCTION("IFERROR(GOOGLEFINANCE(TRIM(F2304)&amp;"":"" &amp; TRIM(B2304),""low52""),AE2304)"),0)</f>
        <v>0</v>
      </c>
      <c r="AI2304" s="1">
        <f ca="1">IFERROR(__xludf.DUMMYFUNCTION("IFERROR(GOOGLEFINANCE(B2304,""eps""),0)"),0)</f>
        <v>0</v>
      </c>
      <c r="AJ2304" s="1"/>
      <c r="AK2304" s="1" t="s">
        <v>7225</v>
      </c>
      <c r="AL2304" s="9">
        <f t="shared" si="239"/>
        <v>1</v>
      </c>
    </row>
    <row r="2305" spans="1:38" ht="15" x14ac:dyDescent="0.25">
      <c r="A2305" s="1" t="s">
        <v>7226</v>
      </c>
      <c r="B2305" s="1" t="s">
        <v>7227</v>
      </c>
      <c r="C2305" s="1" t="s">
        <v>2018</v>
      </c>
      <c r="D2305" s="1" t="s">
        <v>2018</v>
      </c>
      <c r="E2305" s="6">
        <v>70164.13</v>
      </c>
      <c r="F2305" s="1" t="s">
        <v>40</v>
      </c>
      <c r="G2305" s="6">
        <f ca="1">IFERROR(__xludf.DUMMYFUNCTION("iferror(GOOGLEFINANCE(TRIM(F2305)&amp;"":"" &amp; TRIM(B2305), ""price""),0
)"),1105.7)</f>
        <v>1105.7</v>
      </c>
      <c r="H2305" s="6">
        <v>1399.95</v>
      </c>
      <c r="I2305" s="6">
        <f t="shared" ca="1" si="0"/>
        <v>1105.7</v>
      </c>
      <c r="J2305" s="6">
        <f ca="1">IFERROR(__xludf.DUMMYFUNCTION("IFERROR(GOOGLEFINANCE(B2305, ""volume""), 0)"),291738)</f>
        <v>291738</v>
      </c>
      <c r="K2305" s="6">
        <v>4.42</v>
      </c>
      <c r="L2305" s="6">
        <f ca="1">IFERROR(__xludf.DUMMYFUNCTION("IFERROR(GOOGLEFINANCE(B2305,""changepct""),K2305)"),2.99)</f>
        <v>2.99</v>
      </c>
      <c r="M2305" s="6">
        <f ca="1">IFERROR(__xludf.DUMMYFUNCTION("IFERROR(GOOGLEFINANCE(B2305,""change""),0)"),32.1)</f>
        <v>32.1</v>
      </c>
      <c r="N2305" s="6">
        <v>2</v>
      </c>
      <c r="O2305" s="7">
        <v>45536</v>
      </c>
      <c r="P2305" s="9"/>
      <c r="Q2305" s="6">
        <v>69570.240000000005</v>
      </c>
      <c r="R2305" s="7">
        <v>45536</v>
      </c>
      <c r="S2305" s="6">
        <v>7246.49</v>
      </c>
      <c r="T2305" s="6">
        <v>1467.13</v>
      </c>
      <c r="U2305" s="7">
        <v>45536</v>
      </c>
      <c r="V2305" s="6">
        <v>47.82</v>
      </c>
      <c r="W2305" s="6">
        <f ca="1">IFERROR(__xludf.DUMMYFUNCTION("IFERROR(GOOGLEFINANCE(B2305,""pe""),V2305)"),34.32)</f>
        <v>34.32</v>
      </c>
      <c r="X2305" s="12"/>
      <c r="Y2305" s="6">
        <v>12.13</v>
      </c>
      <c r="Z2305" s="6">
        <v>2</v>
      </c>
      <c r="AA2305" s="8">
        <v>45352</v>
      </c>
      <c r="AB2305" s="4">
        <v>0</v>
      </c>
      <c r="AC2305" s="6">
        <v>57.88</v>
      </c>
      <c r="AD2305" s="6">
        <v>79.8</v>
      </c>
      <c r="AE2305" s="1">
        <v>0</v>
      </c>
      <c r="AF2305" s="1">
        <f ca="1">IFERROR(__xludf.DUMMYFUNCTION("IFERROR(GOOGLEFINANCE(TRIM(F2305)&amp;"":"" &amp; TRIM(B2305),""high52""),AE2305)"),1612)</f>
        <v>1612</v>
      </c>
      <c r="AG2305" s="1">
        <v>0</v>
      </c>
      <c r="AH2305" s="1">
        <f ca="1">IFERROR(__xludf.DUMMYFUNCTION("IFERROR(GOOGLEFINANCE(TRIM(F2305)&amp;"":"" &amp; TRIM(B2305),""low52""),AE2305)"),942.15)</f>
        <v>942.15</v>
      </c>
      <c r="AI2305" s="1">
        <f ca="1">IFERROR(__xludf.DUMMYFUNCTION("IFERROR(GOOGLEFINANCE(B2305,""eps""),0)"),32.21)</f>
        <v>32.21</v>
      </c>
      <c r="AJ2305" s="1"/>
      <c r="AK2305" s="1" t="s">
        <v>7228</v>
      </c>
      <c r="AL2305" s="9">
        <f t="shared" si="239"/>
        <v>1</v>
      </c>
    </row>
    <row r="2306" spans="1:38" ht="15" x14ac:dyDescent="0.25">
      <c r="A2306" s="1" t="s">
        <v>7229</v>
      </c>
      <c r="B2306" s="1" t="s">
        <v>7230</v>
      </c>
      <c r="C2306" s="1" t="s">
        <v>4824</v>
      </c>
      <c r="D2306" s="1" t="s">
        <v>4824</v>
      </c>
      <c r="E2306" s="6">
        <v>18392.23</v>
      </c>
      <c r="F2306" s="1" t="s">
        <v>40</v>
      </c>
      <c r="G2306" s="6">
        <f ca="1">IFERROR(__xludf.DUMMYFUNCTION("iferror(GOOGLEFINANCE(TRIM(F2306)&amp;"":"" &amp; TRIM(B2306), ""price""),0
)"),14500)</f>
        <v>14500</v>
      </c>
      <c r="H2306" s="6">
        <v>17057.7</v>
      </c>
      <c r="I2306" s="6">
        <f t="shared" ca="1" si="0"/>
        <v>14500</v>
      </c>
      <c r="J2306" s="6">
        <f ca="1">IFERROR(__xludf.DUMMYFUNCTION("IFERROR(GOOGLEFINANCE(B2306, ""volume""), 0)"),1622)</f>
        <v>1622</v>
      </c>
      <c r="K2306" s="6">
        <v>-1.07</v>
      </c>
      <c r="L2306" s="6">
        <f ca="1">IFERROR(__xludf.DUMMYFUNCTION("IFERROR(GOOGLEFINANCE(B2306,""changepct""),K2306)"),-0.4)</f>
        <v>-0.4</v>
      </c>
      <c r="M2306" s="6">
        <f ca="1">IFERROR(__xludf.DUMMYFUNCTION("IFERROR(GOOGLEFINANCE(B2306,""change""),0)"),-58)</f>
        <v>-58</v>
      </c>
      <c r="N2306" s="6">
        <v>2</v>
      </c>
      <c r="O2306" s="7">
        <v>45536</v>
      </c>
      <c r="P2306" s="9"/>
      <c r="Q2306" s="6">
        <v>17352.150000000001</v>
      </c>
      <c r="R2306" s="7">
        <v>45536</v>
      </c>
      <c r="S2306" s="6">
        <v>3626.57</v>
      </c>
      <c r="T2306" s="6">
        <v>200.23</v>
      </c>
      <c r="U2306" s="7">
        <v>45536</v>
      </c>
      <c r="V2306" s="6">
        <v>91.86</v>
      </c>
      <c r="W2306" s="6">
        <f ca="1">IFERROR(__xludf.DUMMYFUNCTION("IFERROR(GOOGLEFINANCE(B2306,""pe""),V2306)"),91.86)</f>
        <v>91.86</v>
      </c>
      <c r="X2306" s="6">
        <v>7.5</v>
      </c>
      <c r="Y2306" s="6">
        <v>6.68</v>
      </c>
      <c r="Z2306" s="6">
        <v>2</v>
      </c>
      <c r="AA2306" s="8">
        <v>45352</v>
      </c>
      <c r="AB2306" s="4">
        <v>0</v>
      </c>
      <c r="AC2306" s="6">
        <v>14.82</v>
      </c>
      <c r="AD2306" s="6">
        <v>19.12</v>
      </c>
      <c r="AE2306" s="1">
        <v>0</v>
      </c>
      <c r="AF2306" s="1">
        <f ca="1">IFERROR(__xludf.DUMMYFUNCTION("IFERROR(GOOGLEFINANCE(TRIM(F2306)&amp;"":"" &amp; TRIM(B2306),""high52""),AE2306)"),18250)</f>
        <v>18250</v>
      </c>
      <c r="AG2306" s="1">
        <v>0</v>
      </c>
      <c r="AH2306" s="1">
        <f ca="1">IFERROR(__xludf.DUMMYFUNCTION("IFERROR(GOOGLEFINANCE(TRIM(F2306)&amp;"":"" &amp; TRIM(B2306),""low52""),AE2306)"),13450.05)</f>
        <v>13450.05</v>
      </c>
      <c r="AI2306" s="1">
        <f ca="1">IFERROR(__xludf.DUMMYFUNCTION("IFERROR(GOOGLEFINANCE(B2306,""eps""),0)"),0)</f>
        <v>0</v>
      </c>
      <c r="AJ2306" s="1"/>
      <c r="AK2306" s="12"/>
      <c r="AL2306" s="9">
        <f t="shared" si="239"/>
        <v>1</v>
      </c>
    </row>
    <row r="2307" spans="1:38" ht="15" x14ac:dyDescent="0.25">
      <c r="A2307" s="1" t="s">
        <v>7231</v>
      </c>
      <c r="B2307" s="1" t="s">
        <v>7232</v>
      </c>
      <c r="C2307" s="1" t="s">
        <v>1528</v>
      </c>
      <c r="D2307" s="1" t="s">
        <v>1528</v>
      </c>
      <c r="E2307" s="6">
        <v>1469.85</v>
      </c>
      <c r="F2307" s="1" t="s">
        <v>53</v>
      </c>
      <c r="G2307" s="6">
        <f ca="1">IFERROR(__xludf.DUMMYFUNCTION("iferror(GOOGLEFINANCE(TRIM(F2307)&amp;"":"" &amp; TRIM(B2307), ""price""),0
)"),0)</f>
        <v>0</v>
      </c>
      <c r="H2307" s="6">
        <v>1415</v>
      </c>
      <c r="I2307" s="6">
        <f t="shared" ca="1" si="0"/>
        <v>1415</v>
      </c>
      <c r="J2307" s="6">
        <f ca="1">IFERROR(__xludf.DUMMYFUNCTION("IFERROR(GOOGLEFINANCE(B2307, ""volume""), 0)"),0)</f>
        <v>0</v>
      </c>
      <c r="K2307" s="6">
        <v>0.97</v>
      </c>
      <c r="L2307" s="6">
        <f ca="1">IFERROR(__xludf.DUMMYFUNCTION("IFERROR(GOOGLEFINANCE(B2307,""changepct""),K2307)"),0.97)</f>
        <v>0.97</v>
      </c>
      <c r="M2307" s="6">
        <f ca="1">IFERROR(__xludf.DUMMYFUNCTION("IFERROR(GOOGLEFINANCE(B2307,""change""),0)"),0)</f>
        <v>0</v>
      </c>
      <c r="N2307" s="6">
        <v>1</v>
      </c>
      <c r="O2307" s="7">
        <v>45536</v>
      </c>
      <c r="P2307" s="6">
        <v>3.5</v>
      </c>
      <c r="Q2307" s="6">
        <v>1473.35</v>
      </c>
      <c r="R2307" s="7">
        <v>45352</v>
      </c>
      <c r="S2307" s="6">
        <v>126.15</v>
      </c>
      <c r="T2307" s="6">
        <v>13.83</v>
      </c>
      <c r="U2307" s="7">
        <v>45352</v>
      </c>
      <c r="V2307" s="6">
        <v>106.26</v>
      </c>
      <c r="W2307" s="6">
        <f ca="1">IFERROR(__xludf.DUMMYFUNCTION("IFERROR(GOOGLEFINANCE(B2307,""pe""),V2307)"),106.26)</f>
        <v>106.26</v>
      </c>
      <c r="X2307" s="9"/>
      <c r="Y2307" s="6">
        <v>22.77</v>
      </c>
      <c r="Z2307" s="6">
        <v>2</v>
      </c>
      <c r="AA2307" s="8">
        <v>45352</v>
      </c>
      <c r="AB2307" s="4">
        <v>0.06</v>
      </c>
      <c r="AC2307" s="6">
        <v>32.81</v>
      </c>
      <c r="AD2307" s="6">
        <v>40.97</v>
      </c>
      <c r="AE2307" s="1">
        <v>0</v>
      </c>
      <c r="AF2307" s="1">
        <f ca="1">IFERROR(__xludf.DUMMYFUNCTION("IFERROR(GOOGLEFINANCE(TRIM(F2307)&amp;"":"" &amp; TRIM(B2307),""high52""),AE2307)"),0)</f>
        <v>0</v>
      </c>
      <c r="AG2307" s="1">
        <v>0</v>
      </c>
      <c r="AH2307" s="1">
        <f ca="1">IFERROR(__xludf.DUMMYFUNCTION("IFERROR(GOOGLEFINANCE(TRIM(F2307)&amp;"":"" &amp; TRIM(B2307),""low52""),AE2307)"),0)</f>
        <v>0</v>
      </c>
      <c r="AI2307" s="1">
        <f ca="1">IFERROR(__xludf.DUMMYFUNCTION("IFERROR(GOOGLEFINANCE(B2307,""eps""),0)"),0)</f>
        <v>0</v>
      </c>
      <c r="AJ2307" s="1"/>
      <c r="AK2307" s="1" t="s">
        <v>7233</v>
      </c>
      <c r="AL2307" s="9">
        <f t="shared" si="239"/>
        <v>1</v>
      </c>
    </row>
    <row r="2308" spans="1:38" ht="15" x14ac:dyDescent="0.25">
      <c r="A2308" s="1" t="s">
        <v>7234</v>
      </c>
      <c r="B2308" s="1" t="s">
        <v>7235</v>
      </c>
      <c r="C2308" s="1" t="s">
        <v>112</v>
      </c>
      <c r="D2308" s="1" t="s">
        <v>112</v>
      </c>
      <c r="E2308" s="6">
        <v>641.27</v>
      </c>
      <c r="F2308" s="1" t="s">
        <v>40</v>
      </c>
      <c r="G2308" s="6">
        <f ca="1">IFERROR(__xludf.DUMMYFUNCTION("iferror(GOOGLEFINANCE(TRIM(F2308)&amp;"":"" &amp; TRIM(B2308), ""price""),0
)"),178.85)</f>
        <v>178.85</v>
      </c>
      <c r="H2308" s="6">
        <v>338.4</v>
      </c>
      <c r="I2308" s="6">
        <f t="shared" ca="1" si="0"/>
        <v>178.85</v>
      </c>
      <c r="J2308" s="6">
        <f ca="1">IFERROR(__xludf.DUMMYFUNCTION("IFERROR(GOOGLEFINANCE(B2308, ""volume""), 0)"),84711)</f>
        <v>84711</v>
      </c>
      <c r="K2308" s="6">
        <v>1.53</v>
      </c>
      <c r="L2308" s="6">
        <f ca="1">IFERROR(__xludf.DUMMYFUNCTION("IFERROR(GOOGLEFINANCE(B2308,""changepct""),K2308)"),4.81)</f>
        <v>4.8099999999999996</v>
      </c>
      <c r="M2308" s="6">
        <f ca="1">IFERROR(__xludf.DUMMYFUNCTION("IFERROR(GOOGLEFINANCE(B2308,""change""),0)"),8.21)</f>
        <v>8.2100000000000009</v>
      </c>
      <c r="N2308" s="6">
        <v>1</v>
      </c>
      <c r="O2308" s="7">
        <v>45536</v>
      </c>
      <c r="P2308" s="6">
        <v>130.78</v>
      </c>
      <c r="Q2308" s="6">
        <v>763.27</v>
      </c>
      <c r="R2308" s="7">
        <v>45536</v>
      </c>
      <c r="S2308" s="6">
        <v>304.67</v>
      </c>
      <c r="T2308" s="6">
        <v>14.32</v>
      </c>
      <c r="U2308" s="7">
        <v>45536</v>
      </c>
      <c r="V2308" s="6">
        <v>44.8</v>
      </c>
      <c r="W2308" s="6">
        <f ca="1">IFERROR(__xludf.DUMMYFUNCTION("IFERROR(GOOGLEFINANCE(B2308,""pe""),V2308)"),44.8)</f>
        <v>44.8</v>
      </c>
      <c r="X2308" s="6">
        <v>2.91</v>
      </c>
      <c r="Y2308" s="6">
        <v>2.96</v>
      </c>
      <c r="Z2308" s="6">
        <v>1</v>
      </c>
      <c r="AA2308" s="8">
        <v>45352</v>
      </c>
      <c r="AB2308" s="4">
        <v>0.63</v>
      </c>
      <c r="AC2308" s="6">
        <v>8.01</v>
      </c>
      <c r="AD2308" s="6">
        <v>11.42</v>
      </c>
      <c r="AE2308" s="1">
        <v>0</v>
      </c>
      <c r="AF2308" s="1">
        <f ca="1">IFERROR(__xludf.DUMMYFUNCTION("IFERROR(GOOGLEFINANCE(TRIM(F2308)&amp;"":"" &amp; TRIM(B2308),""high52""),AE2308)"),297.95)</f>
        <v>297.95</v>
      </c>
      <c r="AG2308" s="1">
        <v>0</v>
      </c>
      <c r="AH2308" s="1">
        <f ca="1">IFERROR(__xludf.DUMMYFUNCTION("IFERROR(GOOGLEFINANCE(TRIM(F2308)&amp;"":"" &amp; TRIM(B2308),""low52""),AE2308)"),127.93)</f>
        <v>127.93</v>
      </c>
      <c r="AI2308" s="1">
        <f ca="1">IFERROR(__xludf.DUMMYFUNCTION("IFERROR(GOOGLEFINANCE(B2308,""eps""),0)"),-1.52)</f>
        <v>-1.52</v>
      </c>
      <c r="AJ2308" s="1"/>
      <c r="AK2308" s="1" t="s">
        <v>7236</v>
      </c>
      <c r="AL2308" s="9">
        <f t="shared" si="239"/>
        <v>1</v>
      </c>
    </row>
    <row r="2309" spans="1:38" ht="15" x14ac:dyDescent="0.25">
      <c r="A2309" s="1" t="s">
        <v>7237</v>
      </c>
      <c r="B2309" s="1" t="s">
        <v>7238</v>
      </c>
      <c r="C2309" s="1" t="s">
        <v>135</v>
      </c>
      <c r="D2309" s="1" t="s">
        <v>135</v>
      </c>
      <c r="E2309" s="6">
        <v>500.18</v>
      </c>
      <c r="F2309" s="1" t="s">
        <v>40</v>
      </c>
      <c r="G2309" s="6">
        <f ca="1">IFERROR(__xludf.DUMMYFUNCTION("iferror(GOOGLEFINANCE(TRIM(F2309)&amp;"":"" &amp; TRIM(B2309), ""price""),0
)"),133.01)</f>
        <v>133.01</v>
      </c>
      <c r="H2309" s="6">
        <v>200.55</v>
      </c>
      <c r="I2309" s="6">
        <f t="shared" ca="1" si="0"/>
        <v>133.01</v>
      </c>
      <c r="J2309" s="6">
        <f ca="1">IFERROR(__xludf.DUMMYFUNCTION("IFERROR(GOOGLEFINANCE(B2309, ""volume""), 0)"),16803)</f>
        <v>16803</v>
      </c>
      <c r="K2309" s="6">
        <v>0.85</v>
      </c>
      <c r="L2309" s="6">
        <f ca="1">IFERROR(__xludf.DUMMYFUNCTION("IFERROR(GOOGLEFINANCE(B2309,""changepct""),K2309)"),-5.45)</f>
        <v>-5.45</v>
      </c>
      <c r="M2309" s="6">
        <f ca="1">IFERROR(__xludf.DUMMYFUNCTION("IFERROR(GOOGLEFINANCE(B2309,""change""),0)"),-7.66)</f>
        <v>-7.66</v>
      </c>
      <c r="N2309" s="6">
        <v>1</v>
      </c>
      <c r="O2309" s="7">
        <v>45536</v>
      </c>
      <c r="P2309" s="6">
        <v>98.91</v>
      </c>
      <c r="Q2309" s="6">
        <v>585.17999999999995</v>
      </c>
      <c r="R2309" s="7">
        <v>45536</v>
      </c>
      <c r="S2309" s="6">
        <v>246.28</v>
      </c>
      <c r="T2309" s="6">
        <v>-0.94</v>
      </c>
      <c r="U2309" s="7">
        <v>45536</v>
      </c>
      <c r="V2309" s="6">
        <v>0</v>
      </c>
      <c r="W2309" s="6">
        <f ca="1">IFERROR(__xludf.DUMMYFUNCTION("IFERROR(GOOGLEFINANCE(B2309,""pe""),V2309)"),15.14)</f>
        <v>15.14</v>
      </c>
      <c r="X2309" s="9"/>
      <c r="Y2309" s="6">
        <v>2.82</v>
      </c>
      <c r="Z2309" s="6">
        <v>1</v>
      </c>
      <c r="AA2309" s="8">
        <v>45352</v>
      </c>
      <c r="AB2309" s="4">
        <v>0.22</v>
      </c>
      <c r="AC2309" s="6">
        <v>-2.87</v>
      </c>
      <c r="AD2309" s="6">
        <v>-2.73</v>
      </c>
      <c r="AE2309" s="1">
        <v>0</v>
      </c>
      <c r="AF2309" s="1">
        <f ca="1">IFERROR(__xludf.DUMMYFUNCTION("IFERROR(GOOGLEFINANCE(TRIM(F2309)&amp;"":"" &amp; TRIM(B2309),""high52""),AE2309)"),241.99)</f>
        <v>241.99</v>
      </c>
      <c r="AG2309" s="1">
        <v>0</v>
      </c>
      <c r="AH2309" s="1">
        <f ca="1">IFERROR(__xludf.DUMMYFUNCTION("IFERROR(GOOGLEFINANCE(TRIM(F2309)&amp;"":"" &amp; TRIM(B2309),""low52""),AE2309)"),122.6)</f>
        <v>122.6</v>
      </c>
      <c r="AI2309" s="1">
        <f ca="1">IFERROR(__xludf.DUMMYFUNCTION("IFERROR(GOOGLEFINANCE(B2309,""eps""),0)"),8.79)</f>
        <v>8.7899999999999991</v>
      </c>
      <c r="AJ2309" s="1"/>
      <c r="AK2309" s="9"/>
      <c r="AL2309" s="9">
        <f t="shared" si="239"/>
        <v>1</v>
      </c>
    </row>
    <row r="2310" spans="1:38" ht="15" x14ac:dyDescent="0.25">
      <c r="A2310" s="1" t="s">
        <v>7239</v>
      </c>
      <c r="B2310" s="1" t="s">
        <v>7240</v>
      </c>
      <c r="C2310" s="1" t="s">
        <v>186</v>
      </c>
      <c r="D2310" s="1" t="s">
        <v>186</v>
      </c>
      <c r="E2310" s="6">
        <v>290.23</v>
      </c>
      <c r="F2310" s="1" t="s">
        <v>40</v>
      </c>
      <c r="G2310" s="6">
        <f ca="1">IFERROR(__xludf.DUMMYFUNCTION("iferror(GOOGLEFINANCE(TRIM(F2310)&amp;"":"" &amp; TRIM(B2310), ""price""),0
)"),7.8)</f>
        <v>7.8</v>
      </c>
      <c r="H2310" s="6">
        <v>17.55</v>
      </c>
      <c r="I2310" s="6">
        <f t="shared" ca="1" si="0"/>
        <v>7.8</v>
      </c>
      <c r="J2310" s="6">
        <f ca="1">IFERROR(__xludf.DUMMYFUNCTION("IFERROR(GOOGLEFINANCE(B2310, ""volume""), 0)"),14796)</f>
        <v>14796</v>
      </c>
      <c r="K2310" s="6">
        <v>1.04</v>
      </c>
      <c r="L2310" s="6">
        <f ca="1">IFERROR(__xludf.DUMMYFUNCTION("IFERROR(GOOGLEFINANCE(B2310,""changepct""),K2310)"),-1.89)</f>
        <v>-1.89</v>
      </c>
      <c r="M2310" s="6">
        <f ca="1">IFERROR(__xludf.DUMMYFUNCTION("IFERROR(GOOGLEFINANCE(B2310,""change""),0)"),-0.15)</f>
        <v>-0.15</v>
      </c>
      <c r="N2310" s="6">
        <v>1</v>
      </c>
      <c r="O2310" s="7">
        <v>45536</v>
      </c>
      <c r="P2310" s="6">
        <v>11.29</v>
      </c>
      <c r="Q2310" s="6">
        <v>300.60000000000002</v>
      </c>
      <c r="R2310" s="7">
        <v>45536</v>
      </c>
      <c r="S2310" s="6">
        <v>50.87</v>
      </c>
      <c r="T2310" s="6">
        <v>16.71</v>
      </c>
      <c r="U2310" s="7">
        <v>45536</v>
      </c>
      <c r="V2310" s="6">
        <v>17.36</v>
      </c>
      <c r="W2310" s="6">
        <f ca="1">IFERROR(__xludf.DUMMYFUNCTION("IFERROR(GOOGLEFINANCE(B2310,""pe""),V2310)"),17.36)</f>
        <v>17.36</v>
      </c>
      <c r="X2310" s="6">
        <v>0.33</v>
      </c>
      <c r="Y2310" s="6">
        <v>5.25</v>
      </c>
      <c r="Z2310" s="6">
        <v>1</v>
      </c>
      <c r="AA2310" s="8">
        <v>45352</v>
      </c>
      <c r="AB2310" s="4">
        <v>0.77</v>
      </c>
      <c r="AC2310" s="6">
        <v>29.33</v>
      </c>
      <c r="AD2310" s="6">
        <v>26.56</v>
      </c>
      <c r="AE2310" s="1">
        <v>0</v>
      </c>
      <c r="AF2310" s="1">
        <f ca="1">IFERROR(__xludf.DUMMYFUNCTION("IFERROR(GOOGLEFINANCE(TRIM(F2310)&amp;"":"" &amp; TRIM(B2310),""high52""),AE2310)"),16.45)</f>
        <v>16.45</v>
      </c>
      <c r="AG2310" s="1">
        <v>0</v>
      </c>
      <c r="AH2310" s="1">
        <f ca="1">IFERROR(__xludf.DUMMYFUNCTION("IFERROR(GOOGLEFINANCE(TRIM(F2310)&amp;"":"" &amp; TRIM(B2310),""low52""),AE2310)"),6.45)</f>
        <v>6.45</v>
      </c>
      <c r="AI2310" s="1">
        <f ca="1">IFERROR(__xludf.DUMMYFUNCTION("IFERROR(GOOGLEFINANCE(B2310,""eps""),0)"),-0.33)</f>
        <v>-0.33</v>
      </c>
      <c r="AJ2310" s="1"/>
      <c r="AK2310" s="1" t="s">
        <v>7241</v>
      </c>
      <c r="AL2310" s="9">
        <f t="shared" si="239"/>
        <v>1</v>
      </c>
    </row>
    <row r="2311" spans="1:38" ht="15" x14ac:dyDescent="0.25">
      <c r="A2311" s="1" t="s">
        <v>7242</v>
      </c>
      <c r="B2311" s="1" t="s">
        <v>7243</v>
      </c>
      <c r="C2311" s="1" t="s">
        <v>163</v>
      </c>
      <c r="D2311" s="1" t="s">
        <v>163</v>
      </c>
      <c r="E2311" s="6">
        <v>146.61000000000001</v>
      </c>
      <c r="F2311" s="1" t="s">
        <v>40</v>
      </c>
      <c r="G2311" s="6">
        <f ca="1">IFERROR(__xludf.DUMMYFUNCTION("iferror(GOOGLEFINANCE(TRIM(F2311)&amp;"":"" &amp; TRIM(B2311), ""price""),0
)"),122.09)</f>
        <v>122.09</v>
      </c>
      <c r="H2311" s="6">
        <v>72.8</v>
      </c>
      <c r="I2311" s="6">
        <f t="shared" ca="1" si="0"/>
        <v>122.09</v>
      </c>
      <c r="J2311" s="6">
        <f ca="1">IFERROR(__xludf.DUMMYFUNCTION("IFERROR(GOOGLEFINANCE(B2311, ""volume""), 0)"),14124)</f>
        <v>14124</v>
      </c>
      <c r="K2311" s="6">
        <v>2.78</v>
      </c>
      <c r="L2311" s="6">
        <f ca="1">IFERROR(__xludf.DUMMYFUNCTION("IFERROR(GOOGLEFINANCE(B2311,""changepct""),K2311)"),-5)</f>
        <v>-5</v>
      </c>
      <c r="M2311" s="6">
        <f ca="1">IFERROR(__xludf.DUMMYFUNCTION("IFERROR(GOOGLEFINANCE(B2311,""change""),0)"),-6.42)</f>
        <v>-6.42</v>
      </c>
      <c r="N2311" s="6">
        <v>1</v>
      </c>
      <c r="O2311" s="7">
        <v>45536</v>
      </c>
      <c r="P2311" s="9"/>
      <c r="Q2311" s="6">
        <v>142.07</v>
      </c>
      <c r="R2311" s="7">
        <v>45536</v>
      </c>
      <c r="S2311" s="6">
        <v>48.72</v>
      </c>
      <c r="T2311" s="6">
        <v>1.41</v>
      </c>
      <c r="U2311" s="7">
        <v>45536</v>
      </c>
      <c r="V2311" s="6">
        <v>104.2</v>
      </c>
      <c r="W2311" s="6">
        <f ca="1">IFERROR(__xludf.DUMMYFUNCTION("IFERROR(GOOGLEFINANCE(B2311,""pe""),V2311)"),353.43)</f>
        <v>353.43</v>
      </c>
      <c r="X2311" s="6">
        <v>3.19</v>
      </c>
      <c r="Y2311" s="6">
        <v>2.44</v>
      </c>
      <c r="Z2311" s="6">
        <v>1</v>
      </c>
      <c r="AA2311" s="17">
        <v>45352</v>
      </c>
      <c r="AB2311" s="18">
        <v>0</v>
      </c>
      <c r="AC2311" s="6">
        <v>4.9800000000000004</v>
      </c>
      <c r="AD2311" s="6">
        <v>7.19</v>
      </c>
      <c r="AE2311" s="1">
        <v>0</v>
      </c>
      <c r="AF2311" s="1">
        <f ca="1">IFERROR(__xludf.DUMMYFUNCTION("IFERROR(GOOGLEFINANCE(TRIM(F2311)&amp;"":"" &amp; TRIM(B2311),""high52""),AE2311)"),147)</f>
        <v>147</v>
      </c>
      <c r="AG2311" s="1">
        <v>0</v>
      </c>
      <c r="AH2311" s="1">
        <f ca="1">IFERROR(__xludf.DUMMYFUNCTION("IFERROR(GOOGLEFINANCE(TRIM(F2311)&amp;"":"" &amp; TRIM(B2311),""low52""),AE2311)"),54.99)</f>
        <v>54.99</v>
      </c>
      <c r="AI2311" s="1">
        <f ca="1">IFERROR(__xludf.DUMMYFUNCTION("IFERROR(GOOGLEFINANCE(B2311,""eps""),0)"),0.35)</f>
        <v>0.35</v>
      </c>
      <c r="AJ2311" s="1"/>
      <c r="AK2311" s="1" t="s">
        <v>7244</v>
      </c>
      <c r="AL2311" s="9">
        <f t="shared" si="239"/>
        <v>1</v>
      </c>
    </row>
    <row r="2312" spans="1:38" ht="15" x14ac:dyDescent="0.25">
      <c r="A2312" s="1" t="s">
        <v>7245</v>
      </c>
      <c r="B2312" s="1" t="s">
        <v>7246</v>
      </c>
      <c r="C2312" s="1" t="s">
        <v>1528</v>
      </c>
      <c r="D2312" s="1" t="s">
        <v>1528</v>
      </c>
      <c r="E2312" s="6">
        <v>68.09</v>
      </c>
      <c r="F2312" s="1" t="s">
        <v>53</v>
      </c>
      <c r="G2312" s="6">
        <f ca="1">IFERROR(__xludf.DUMMYFUNCTION("iferror(GOOGLEFINANCE(TRIM(F2312)&amp;"":"" &amp; TRIM(B2312), ""price""),0
)"),0)</f>
        <v>0</v>
      </c>
      <c r="H2312" s="6">
        <v>33.5</v>
      </c>
      <c r="I2312" s="6">
        <f t="shared" ca="1" si="0"/>
        <v>33.5</v>
      </c>
      <c r="J2312" s="6">
        <f ca="1">IFERROR(__xludf.DUMMYFUNCTION("IFERROR(GOOGLEFINANCE(B2312, ""volume""), 0)"),0)</f>
        <v>0</v>
      </c>
      <c r="K2312" s="6">
        <v>0</v>
      </c>
      <c r="L2312" s="6">
        <f ca="1">IFERROR(__xludf.DUMMYFUNCTION("IFERROR(GOOGLEFINANCE(B2312,""changepct""),K2312)"),0)</f>
        <v>0</v>
      </c>
      <c r="M2312" s="6">
        <f ca="1">IFERROR(__xludf.DUMMYFUNCTION("IFERROR(GOOGLEFINANCE(B2312,""change""),0)"),0)</f>
        <v>0</v>
      </c>
      <c r="N2312" s="6">
        <v>1</v>
      </c>
      <c r="O2312" s="7">
        <v>45536</v>
      </c>
      <c r="P2312" s="9"/>
      <c r="Q2312" s="6">
        <v>63.88</v>
      </c>
      <c r="R2312" s="7">
        <v>45536</v>
      </c>
      <c r="S2312" s="6">
        <v>69.94</v>
      </c>
      <c r="T2312" s="6">
        <v>71.44</v>
      </c>
      <c r="U2312" s="7">
        <v>45536</v>
      </c>
      <c r="V2312" s="6">
        <v>0.95</v>
      </c>
      <c r="W2312" s="6">
        <f ca="1">IFERROR(__xludf.DUMMYFUNCTION("IFERROR(GOOGLEFINANCE(B2312,""pe""),V2312)"),0.95)</f>
        <v>0.95</v>
      </c>
      <c r="X2312" s="6">
        <v>0.05</v>
      </c>
      <c r="Y2312" s="6">
        <v>2.88</v>
      </c>
      <c r="Z2312" s="6">
        <v>1</v>
      </c>
      <c r="AA2312" s="8">
        <v>45352</v>
      </c>
      <c r="AB2312" s="4">
        <v>0</v>
      </c>
      <c r="AC2312" s="6">
        <v>0</v>
      </c>
      <c r="AD2312" s="6">
        <v>0</v>
      </c>
      <c r="AE2312" s="1">
        <v>0</v>
      </c>
      <c r="AF2312" s="1">
        <f ca="1">IFERROR(__xludf.DUMMYFUNCTION("IFERROR(GOOGLEFINANCE(TRIM(F2312)&amp;"":"" &amp; TRIM(B2312),""high52""),AE2312)"),0)</f>
        <v>0</v>
      </c>
      <c r="AG2312" s="1">
        <v>0</v>
      </c>
      <c r="AH2312" s="1">
        <f ca="1">IFERROR(__xludf.DUMMYFUNCTION("IFERROR(GOOGLEFINANCE(TRIM(F2312)&amp;"":"" &amp; TRIM(B2312),""low52""),AE2312)"),0)</f>
        <v>0</v>
      </c>
      <c r="AI2312" s="1">
        <f ca="1">IFERROR(__xludf.DUMMYFUNCTION("IFERROR(GOOGLEFINANCE(B2312,""eps""),0)"),0)</f>
        <v>0</v>
      </c>
      <c r="AJ2312" s="1"/>
      <c r="AK2312" s="9"/>
      <c r="AL2312" s="9">
        <f t="shared" si="239"/>
        <v>1</v>
      </c>
    </row>
    <row r="2313" spans="1:38" ht="15" x14ac:dyDescent="0.25">
      <c r="A2313" s="1" t="s">
        <v>7247</v>
      </c>
      <c r="B2313" s="1" t="s">
        <v>7248</v>
      </c>
      <c r="C2313" s="1" t="s">
        <v>186</v>
      </c>
      <c r="D2313" s="1" t="s">
        <v>186</v>
      </c>
      <c r="E2313" s="6">
        <v>194.69</v>
      </c>
      <c r="F2313" s="1" t="s">
        <v>40</v>
      </c>
      <c r="G2313" s="6">
        <f ca="1">IFERROR(__xludf.DUMMYFUNCTION("iferror(GOOGLEFINANCE(TRIM(F2313)&amp;"":"" &amp; TRIM(B2313), ""price""),0
)"),71.4)</f>
        <v>71.400000000000006</v>
      </c>
      <c r="H2313" s="6">
        <v>132.03</v>
      </c>
      <c r="I2313" s="6">
        <f t="shared" ca="1" si="0"/>
        <v>71.400000000000006</v>
      </c>
      <c r="J2313" s="6">
        <f ca="1">IFERROR(__xludf.DUMMYFUNCTION("IFERROR(GOOGLEFINANCE(B2313, ""volume""), 0)"),8313)</f>
        <v>8313</v>
      </c>
      <c r="K2313" s="6">
        <v>0.72</v>
      </c>
      <c r="L2313" s="6">
        <f ca="1">IFERROR(__xludf.DUMMYFUNCTION("IFERROR(GOOGLEFINANCE(B2313,""changepct""),K2313)"),-0.45)</f>
        <v>-0.45</v>
      </c>
      <c r="M2313" s="6">
        <f ca="1">IFERROR(__xludf.DUMMYFUNCTION("IFERROR(GOOGLEFINANCE(B2313,""change""),0)"),-0.32)</f>
        <v>-0.32</v>
      </c>
      <c r="N2313" s="6">
        <v>1</v>
      </c>
      <c r="O2313" s="7">
        <v>45536</v>
      </c>
      <c r="P2313" s="6">
        <v>3.99</v>
      </c>
      <c r="Q2313" s="6">
        <v>198.69</v>
      </c>
      <c r="R2313" s="7">
        <v>45536</v>
      </c>
      <c r="S2313" s="6">
        <v>42.82</v>
      </c>
      <c r="T2313" s="6">
        <v>-1.93</v>
      </c>
      <c r="U2313" s="7">
        <v>45536</v>
      </c>
      <c r="V2313" s="6">
        <v>0</v>
      </c>
      <c r="W2313" s="6">
        <f ca="1">IFERROR(__xludf.DUMMYFUNCTION("IFERROR(GOOGLEFINANCE(B2313,""pe""),V2313)"),149.36)</f>
        <v>149.36000000000001</v>
      </c>
      <c r="X2313" s="6">
        <v>0</v>
      </c>
      <c r="Y2313" s="6">
        <v>1.1000000000000001</v>
      </c>
      <c r="Z2313" s="6">
        <v>1</v>
      </c>
      <c r="AA2313" s="8">
        <v>45352</v>
      </c>
      <c r="AB2313" s="4">
        <v>0.04</v>
      </c>
      <c r="AC2313" s="6">
        <v>2.46</v>
      </c>
      <c r="AD2313" s="6">
        <v>3.31</v>
      </c>
      <c r="AE2313" s="1">
        <v>0</v>
      </c>
      <c r="AF2313" s="1">
        <f ca="1">IFERROR(__xludf.DUMMYFUNCTION("IFERROR(GOOGLEFINANCE(TRIM(F2313)&amp;"":"" &amp; TRIM(B2313),""high52""),AE2313)"),110.78)</f>
        <v>110.78</v>
      </c>
      <c r="AG2313" s="1">
        <v>0</v>
      </c>
      <c r="AH2313" s="1">
        <f ca="1">IFERROR(__xludf.DUMMYFUNCTION("IFERROR(GOOGLEFINANCE(TRIM(F2313)&amp;"":"" &amp; TRIM(B2313),""low52""),AE2313)"),70)</f>
        <v>70</v>
      </c>
      <c r="AI2313" s="1">
        <f ca="1">IFERROR(__xludf.DUMMYFUNCTION("IFERROR(GOOGLEFINANCE(B2313,""eps""),0)"),0.48)</f>
        <v>0.48</v>
      </c>
      <c r="AJ2313" s="1"/>
      <c r="AK2313" s="1" t="s">
        <v>7249</v>
      </c>
      <c r="AL2313" s="9">
        <f t="shared" si="239"/>
        <v>1</v>
      </c>
    </row>
    <row r="2314" spans="1:38" ht="15" x14ac:dyDescent="0.25">
      <c r="A2314" s="1" t="s">
        <v>7250</v>
      </c>
      <c r="B2314" s="1" t="s">
        <v>7251</v>
      </c>
      <c r="C2314" s="1" t="s">
        <v>186</v>
      </c>
      <c r="D2314" s="1" t="s">
        <v>186</v>
      </c>
      <c r="E2314" s="6">
        <v>157.86000000000001</v>
      </c>
      <c r="F2314" s="1" t="s">
        <v>40</v>
      </c>
      <c r="G2314" s="6">
        <f ca="1">IFERROR(__xludf.DUMMYFUNCTION("iferror(GOOGLEFINANCE(TRIM(F2314)&amp;"":"" &amp; TRIM(B2314), ""price""),0
)"),197)</f>
        <v>197</v>
      </c>
      <c r="H2314" s="6">
        <v>328</v>
      </c>
      <c r="I2314" s="6">
        <f t="shared" ca="1" si="0"/>
        <v>197</v>
      </c>
      <c r="J2314" s="6">
        <f ca="1">IFERROR(__xludf.DUMMYFUNCTION("IFERROR(GOOGLEFINANCE(B2314, ""volume""), 0)"),52)</f>
        <v>52</v>
      </c>
      <c r="K2314" s="6">
        <v>0.02</v>
      </c>
      <c r="L2314" s="6">
        <f ca="1">IFERROR(__xludf.DUMMYFUNCTION("IFERROR(GOOGLEFINANCE(B2314,""changepct""),K2314)"),1.57)</f>
        <v>1.57</v>
      </c>
      <c r="M2314" s="6">
        <f ca="1">IFERROR(__xludf.DUMMYFUNCTION("IFERROR(GOOGLEFINANCE(B2314,""change""),0)"),3.05)</f>
        <v>3.05</v>
      </c>
      <c r="N2314" s="6">
        <v>2</v>
      </c>
      <c r="O2314" s="7">
        <v>45536</v>
      </c>
      <c r="P2314" s="6">
        <v>472.59</v>
      </c>
      <c r="Q2314" s="6">
        <v>620.41</v>
      </c>
      <c r="R2314" s="7">
        <v>45536</v>
      </c>
      <c r="S2314" s="6">
        <v>786.29</v>
      </c>
      <c r="T2314" s="6">
        <v>-87.7</v>
      </c>
      <c r="U2314" s="7">
        <v>45536</v>
      </c>
      <c r="V2314" s="6">
        <v>0</v>
      </c>
      <c r="W2314" s="6">
        <f ca="1">IFERROR(__xludf.DUMMYFUNCTION("IFERROR(GOOGLEFINANCE(B2314,""pe""),V2314)"),0)</f>
        <v>0</v>
      </c>
      <c r="X2314" s="12"/>
      <c r="Y2314" s="6">
        <v>0.62</v>
      </c>
      <c r="Z2314" s="6">
        <v>2</v>
      </c>
      <c r="AA2314" s="8">
        <v>45352</v>
      </c>
      <c r="AB2314" s="4">
        <v>1.94</v>
      </c>
      <c r="AC2314" s="6">
        <v>-11.59</v>
      </c>
      <c r="AD2314" s="6">
        <v>0.31</v>
      </c>
      <c r="AE2314" s="1">
        <v>0</v>
      </c>
      <c r="AF2314" s="1">
        <f ca="1">IFERROR(__xludf.DUMMYFUNCTION("IFERROR(GOOGLEFINANCE(TRIM(F2314)&amp;"":"" &amp; TRIM(B2314),""high52""),AE2314)"),379.5)</f>
        <v>379.5</v>
      </c>
      <c r="AG2314" s="1">
        <v>0</v>
      </c>
      <c r="AH2314" s="1">
        <f ca="1">IFERROR(__xludf.DUMMYFUNCTION("IFERROR(GOOGLEFINANCE(TRIM(F2314)&amp;"":"" &amp; TRIM(B2314),""low52""),AE2314)"),186)</f>
        <v>186</v>
      </c>
      <c r="AI2314" s="1">
        <f ca="1">IFERROR(__xludf.DUMMYFUNCTION("IFERROR(GOOGLEFINANCE(B2314,""eps""),0)"),-31.56)</f>
        <v>-31.56</v>
      </c>
      <c r="AJ2314" s="1"/>
      <c r="AK2314" s="1" t="s">
        <v>7252</v>
      </c>
      <c r="AL2314" s="9">
        <f t="shared" si="239"/>
        <v>1</v>
      </c>
    </row>
    <row r="2315" spans="1:38" ht="15" x14ac:dyDescent="0.25">
      <c r="A2315" s="1" t="s">
        <v>7253</v>
      </c>
      <c r="B2315" s="1" t="s">
        <v>7254</v>
      </c>
      <c r="C2315" s="1" t="s">
        <v>324</v>
      </c>
      <c r="D2315" s="1" t="s">
        <v>324</v>
      </c>
      <c r="E2315" s="6">
        <v>14957.92</v>
      </c>
      <c r="F2315" s="1" t="s">
        <v>40</v>
      </c>
      <c r="G2315" s="6">
        <f ca="1">IFERROR(__xludf.DUMMYFUNCTION("iferror(GOOGLEFINANCE(TRIM(F2315)&amp;"":"" &amp; TRIM(B2315), ""price""),0
)"),366)</f>
        <v>366</v>
      </c>
      <c r="H2315" s="6">
        <v>429.55</v>
      </c>
      <c r="I2315" s="6">
        <f t="shared" ca="1" si="0"/>
        <v>366</v>
      </c>
      <c r="J2315" s="6">
        <f ca="1">IFERROR(__xludf.DUMMYFUNCTION("IFERROR(GOOGLEFINANCE(B2315, ""volume""), 0)"),268575)</f>
        <v>268575</v>
      </c>
      <c r="K2315" s="6">
        <v>-0.26</v>
      </c>
      <c r="L2315" s="6">
        <f ca="1">IFERROR(__xludf.DUMMYFUNCTION("IFERROR(GOOGLEFINANCE(B2315,""changepct""),K2315)"),1.39)</f>
        <v>1.39</v>
      </c>
      <c r="M2315" s="6">
        <f ca="1">IFERROR(__xludf.DUMMYFUNCTION("IFERROR(GOOGLEFINANCE(B2315,""change""),0)"),5)</f>
        <v>5</v>
      </c>
      <c r="N2315" s="6">
        <v>2</v>
      </c>
      <c r="O2315" s="7">
        <v>45536</v>
      </c>
      <c r="P2315" s="6">
        <v>816.65</v>
      </c>
      <c r="Q2315" s="6">
        <v>15503.48</v>
      </c>
      <c r="R2315" s="7">
        <v>45536</v>
      </c>
      <c r="S2315" s="6">
        <v>8194.84</v>
      </c>
      <c r="T2315" s="6">
        <v>566.5</v>
      </c>
      <c r="U2315" s="7">
        <v>45536</v>
      </c>
      <c r="V2315" s="6">
        <v>24.87</v>
      </c>
      <c r="W2315" s="6">
        <f ca="1">IFERROR(__xludf.DUMMYFUNCTION("IFERROR(GOOGLEFINANCE(B2315,""pe""),V2315)"),12.35)</f>
        <v>12.35</v>
      </c>
      <c r="X2315" s="6">
        <v>0.69</v>
      </c>
      <c r="Y2315" s="6">
        <v>4.09</v>
      </c>
      <c r="Z2315" s="6">
        <v>2</v>
      </c>
      <c r="AA2315" s="8">
        <v>45352</v>
      </c>
      <c r="AB2315" s="4">
        <v>0.16</v>
      </c>
      <c r="AC2315" s="6">
        <v>19.5</v>
      </c>
      <c r="AD2315" s="6">
        <v>23.27</v>
      </c>
      <c r="AE2315" s="1">
        <v>0</v>
      </c>
      <c r="AF2315" s="1">
        <f ca="1">IFERROR(__xludf.DUMMYFUNCTION("IFERROR(GOOGLEFINANCE(TRIM(F2315)&amp;"":"" &amp; TRIM(B2315),""high52""),AE2315)"),518.55)</f>
        <v>518.54999999999995</v>
      </c>
      <c r="AG2315" s="1">
        <v>0</v>
      </c>
      <c r="AH2315" s="1">
        <f ca="1">IFERROR(__xludf.DUMMYFUNCTION("IFERROR(GOOGLEFINANCE(TRIM(F2315)&amp;"":"" &amp; TRIM(B2315),""low52""),AE2315)"),288.25)</f>
        <v>288.25</v>
      </c>
      <c r="AI2315" s="1">
        <f ca="1">IFERROR(__xludf.DUMMYFUNCTION("IFERROR(GOOGLEFINANCE(B2315,""eps""),0)"),15.33)</f>
        <v>15.33</v>
      </c>
      <c r="AJ2315" s="1"/>
      <c r="AK2315" s="1" t="s">
        <v>7255</v>
      </c>
      <c r="AL2315" s="9">
        <f t="shared" si="239"/>
        <v>1</v>
      </c>
    </row>
    <row r="2316" spans="1:38" ht="15" x14ac:dyDescent="0.25">
      <c r="A2316" s="1" t="s">
        <v>7256</v>
      </c>
      <c r="B2316" s="1" t="s">
        <v>7257</v>
      </c>
      <c r="C2316" s="1" t="s">
        <v>1528</v>
      </c>
      <c r="D2316" s="1" t="s">
        <v>1528</v>
      </c>
      <c r="E2316" s="6">
        <v>120.39</v>
      </c>
      <c r="F2316" s="1" t="s">
        <v>53</v>
      </c>
      <c r="G2316" s="6">
        <f ca="1">IFERROR(__xludf.DUMMYFUNCTION("iferror(GOOGLEFINANCE(TRIM(F2316)&amp;"":"" &amp; TRIM(B2316), ""price""),0
)"),0)</f>
        <v>0</v>
      </c>
      <c r="H2316" s="6">
        <v>106.75</v>
      </c>
      <c r="I2316" s="6">
        <f t="shared" ca="1" si="0"/>
        <v>106.75</v>
      </c>
      <c r="J2316" s="6">
        <f ca="1">IFERROR(__xludf.DUMMYFUNCTION("IFERROR(GOOGLEFINANCE(B2316, ""volume""), 0)"),0)</f>
        <v>0</v>
      </c>
      <c r="K2316" s="6">
        <v>-3</v>
      </c>
      <c r="L2316" s="6">
        <f ca="1">IFERROR(__xludf.DUMMYFUNCTION("IFERROR(GOOGLEFINANCE(B2316,""changepct""),K2316)"),-3)</f>
        <v>-3</v>
      </c>
      <c r="M2316" s="6">
        <f ca="1">IFERROR(__xludf.DUMMYFUNCTION("IFERROR(GOOGLEFINANCE(B2316,""change""),0)"),0)</f>
        <v>0</v>
      </c>
      <c r="N2316" s="6">
        <v>1</v>
      </c>
      <c r="O2316" s="7">
        <v>45536</v>
      </c>
      <c r="P2316" s="6">
        <v>-0.99</v>
      </c>
      <c r="Q2316" s="6">
        <v>119.39</v>
      </c>
      <c r="R2316" s="7">
        <v>45536</v>
      </c>
      <c r="S2316" s="6">
        <v>91.62</v>
      </c>
      <c r="T2316" s="6">
        <v>5.49</v>
      </c>
      <c r="U2316" s="7">
        <v>45536</v>
      </c>
      <c r="V2316" s="6">
        <v>21.92</v>
      </c>
      <c r="W2316" s="6">
        <f ca="1">IFERROR(__xludf.DUMMYFUNCTION("IFERROR(GOOGLEFINANCE(B2316,""pe""),V2316)"),21.92)</f>
        <v>21.92</v>
      </c>
      <c r="X2316" s="6">
        <v>2.85</v>
      </c>
      <c r="Y2316" s="6">
        <v>3.02</v>
      </c>
      <c r="Z2316" s="6">
        <v>1</v>
      </c>
      <c r="AA2316" s="8">
        <v>45352</v>
      </c>
      <c r="AB2316" s="4">
        <v>-0.03</v>
      </c>
      <c r="AC2316" s="6">
        <v>10.74</v>
      </c>
      <c r="AD2316" s="6">
        <v>16.62</v>
      </c>
      <c r="AE2316" s="1">
        <v>0</v>
      </c>
      <c r="AF2316" s="1">
        <f ca="1">IFERROR(__xludf.DUMMYFUNCTION("IFERROR(GOOGLEFINANCE(TRIM(F2316)&amp;"":"" &amp; TRIM(B2316),""high52""),AE2316)"),0)</f>
        <v>0</v>
      </c>
      <c r="AG2316" s="1">
        <v>0</v>
      </c>
      <c r="AH2316" s="1">
        <f ca="1">IFERROR(__xludf.DUMMYFUNCTION("IFERROR(GOOGLEFINANCE(TRIM(F2316)&amp;"":"" &amp; TRIM(B2316),""low52""),AE2316)"),0)</f>
        <v>0</v>
      </c>
      <c r="AI2316" s="1">
        <f ca="1">IFERROR(__xludf.DUMMYFUNCTION("IFERROR(GOOGLEFINANCE(B2316,""eps""),0)"),0)</f>
        <v>0</v>
      </c>
      <c r="AJ2316" s="1"/>
      <c r="AK2316" s="9"/>
      <c r="AL2316" s="9">
        <f t="shared" si="239"/>
        <v>1</v>
      </c>
    </row>
    <row r="2317" spans="1:38" ht="15" x14ac:dyDescent="0.25">
      <c r="A2317" s="1" t="s">
        <v>7258</v>
      </c>
      <c r="B2317" s="1" t="s">
        <v>7259</v>
      </c>
      <c r="C2317" s="1" t="s">
        <v>1528</v>
      </c>
      <c r="D2317" s="1" t="s">
        <v>1528</v>
      </c>
      <c r="E2317" s="6">
        <v>425.19</v>
      </c>
      <c r="F2317" s="1" t="s">
        <v>53</v>
      </c>
      <c r="G2317" s="6">
        <f ca="1">IFERROR(__xludf.DUMMYFUNCTION("iferror(GOOGLEFINANCE(TRIM(F2317)&amp;"":"" &amp; TRIM(B2317), ""price""),0
)"),0)</f>
        <v>0</v>
      </c>
      <c r="H2317" s="6">
        <v>18.29</v>
      </c>
      <c r="I2317" s="6">
        <f t="shared" ca="1" si="0"/>
        <v>18.29</v>
      </c>
      <c r="J2317" s="6">
        <f ca="1">IFERROR(__xludf.DUMMYFUNCTION("IFERROR(GOOGLEFINANCE(B2317, ""volume""), 0)"),0)</f>
        <v>0</v>
      </c>
      <c r="K2317" s="6">
        <v>2.46</v>
      </c>
      <c r="L2317" s="6">
        <f ca="1">IFERROR(__xludf.DUMMYFUNCTION("IFERROR(GOOGLEFINANCE(B2317,""changepct""),K2317)"),2.46)</f>
        <v>2.46</v>
      </c>
      <c r="M2317" s="6">
        <f ca="1">IFERROR(__xludf.DUMMYFUNCTION("IFERROR(GOOGLEFINANCE(B2317,""change""),0)"),0)</f>
        <v>0</v>
      </c>
      <c r="N2317" s="6">
        <v>1</v>
      </c>
      <c r="O2317" s="7">
        <v>45536</v>
      </c>
      <c r="P2317" s="6">
        <v>18.88</v>
      </c>
      <c r="Q2317" s="6">
        <v>443.59</v>
      </c>
      <c r="R2317" s="7">
        <v>45536</v>
      </c>
      <c r="S2317" s="6">
        <v>93.67</v>
      </c>
      <c r="T2317" s="6">
        <v>-5.09</v>
      </c>
      <c r="U2317" s="7">
        <v>45536</v>
      </c>
      <c r="V2317" s="6">
        <v>0</v>
      </c>
      <c r="W2317" s="6">
        <f ca="1">IFERROR(__xludf.DUMMYFUNCTION("IFERROR(GOOGLEFINANCE(B2317,""pe""),V2317)"),0)</f>
        <v>0</v>
      </c>
      <c r="X2317" s="9"/>
      <c r="Y2317" s="6">
        <v>21.5</v>
      </c>
      <c r="Z2317" s="6">
        <v>1</v>
      </c>
      <c r="AA2317" s="17">
        <v>45352</v>
      </c>
      <c r="AB2317" s="18">
        <v>1.44</v>
      </c>
      <c r="AC2317" s="6">
        <v>-22.52</v>
      </c>
      <c r="AD2317" s="6">
        <v>-3.97</v>
      </c>
      <c r="AE2317" s="1">
        <v>0</v>
      </c>
      <c r="AF2317" s="1">
        <f ca="1">IFERROR(__xludf.DUMMYFUNCTION("IFERROR(GOOGLEFINANCE(TRIM(F2317)&amp;"":"" &amp; TRIM(B2317),""high52""),AE2317)"),0)</f>
        <v>0</v>
      </c>
      <c r="AG2317" s="1">
        <v>0</v>
      </c>
      <c r="AH2317" s="1">
        <f ca="1">IFERROR(__xludf.DUMMYFUNCTION("IFERROR(GOOGLEFINANCE(TRIM(F2317)&amp;"":"" &amp; TRIM(B2317),""low52""),AE2317)"),0)</f>
        <v>0</v>
      </c>
      <c r="AI2317" s="1">
        <f ca="1">IFERROR(__xludf.DUMMYFUNCTION("IFERROR(GOOGLEFINANCE(B2317,""eps""),0)"),0)</f>
        <v>0</v>
      </c>
      <c r="AJ2317" s="1"/>
      <c r="AK2317" s="1" t="s">
        <v>7260</v>
      </c>
      <c r="AL2317" s="9">
        <f t="shared" si="239"/>
        <v>1</v>
      </c>
    </row>
    <row r="2318" spans="1:38" ht="15" x14ac:dyDescent="0.25">
      <c r="A2318" s="1" t="s">
        <v>7261</v>
      </c>
      <c r="B2318" s="1" t="s">
        <v>7262</v>
      </c>
      <c r="C2318" s="1" t="s">
        <v>57</v>
      </c>
      <c r="D2318" s="1" t="s">
        <v>57</v>
      </c>
      <c r="E2318" s="6">
        <v>170423.4</v>
      </c>
      <c r="F2318" s="1" t="s">
        <v>40</v>
      </c>
      <c r="G2318" s="6">
        <f ca="1">IFERROR(__xludf.DUMMYFUNCTION("iferror(GOOGLEFINANCE(TRIM(F2318)&amp;"":"" &amp; TRIM(B2318), ""price""),0
)"),5995.5)</f>
        <v>5995.5</v>
      </c>
      <c r="H2318" s="6">
        <v>5728.3</v>
      </c>
      <c r="I2318" s="6">
        <f t="shared" ca="1" si="0"/>
        <v>5995.5</v>
      </c>
      <c r="J2318" s="6">
        <f ca="1">IFERROR(__xludf.DUMMYFUNCTION("IFERROR(GOOGLEFINANCE(B2318, ""volume""), 0)"),174587)</f>
        <v>174587</v>
      </c>
      <c r="K2318" s="6">
        <v>-0.43</v>
      </c>
      <c r="L2318" s="6">
        <f ca="1">IFERROR(__xludf.DUMMYFUNCTION("IFERROR(GOOGLEFINANCE(B2318,""changepct""),K2318)"),-1.24)</f>
        <v>-1.24</v>
      </c>
      <c r="M2318" s="6">
        <f ca="1">IFERROR(__xludf.DUMMYFUNCTION("IFERROR(GOOGLEFINANCE(B2318,""change""),0)"),-75)</f>
        <v>-75</v>
      </c>
      <c r="N2318" s="6">
        <v>2</v>
      </c>
      <c r="O2318" s="7">
        <v>45536</v>
      </c>
      <c r="P2318" s="6">
        <v>16</v>
      </c>
      <c r="Q2318" s="6">
        <v>168095</v>
      </c>
      <c r="R2318" s="7">
        <v>45536</v>
      </c>
      <c r="S2318" s="6">
        <v>36485</v>
      </c>
      <c r="T2318" s="6">
        <v>4656.7</v>
      </c>
      <c r="U2318" s="7">
        <v>45536</v>
      </c>
      <c r="V2318" s="6">
        <v>36.619999999999997</v>
      </c>
      <c r="W2318" s="6">
        <f ca="1">IFERROR(__xludf.DUMMYFUNCTION("IFERROR(GOOGLEFINANCE(B2318,""pe""),V2318)"),34.69)</f>
        <v>34.69</v>
      </c>
      <c r="X2318" s="6">
        <v>1.48</v>
      </c>
      <c r="Y2318" s="6">
        <v>8.09</v>
      </c>
      <c r="Z2318" s="6">
        <v>2</v>
      </c>
      <c r="AA2318" s="8">
        <v>45352</v>
      </c>
      <c r="AB2318" s="4">
        <v>0</v>
      </c>
      <c r="AC2318" s="6">
        <v>25.63</v>
      </c>
      <c r="AD2318" s="6">
        <v>34.1</v>
      </c>
      <c r="AE2318" s="1">
        <v>0</v>
      </c>
      <c r="AF2318" s="1">
        <f ca="1">IFERROR(__xludf.DUMMYFUNCTION("IFERROR(GOOGLEFINANCE(TRIM(F2318)&amp;"":"" &amp; TRIM(B2318),""high52""),AE2318)"),6429.5)</f>
        <v>6429.5</v>
      </c>
      <c r="AG2318" s="1">
        <v>0</v>
      </c>
      <c r="AH2318" s="1">
        <f ca="1">IFERROR(__xludf.DUMMYFUNCTION("IFERROR(GOOGLEFINANCE(TRIM(F2318)&amp;"":"" &amp; TRIM(B2318),""low52""),AE2318)"),3802)</f>
        <v>3802</v>
      </c>
      <c r="AI2318" s="1">
        <f ca="1">IFERROR(__xludf.DUMMYFUNCTION("IFERROR(GOOGLEFINANCE(B2318,""eps""),0)"),145.92)</f>
        <v>145.91999999999999</v>
      </c>
      <c r="AJ2318" s="1"/>
      <c r="AK2318" s="1" t="s">
        <v>7263</v>
      </c>
      <c r="AL2318" s="9">
        <f t="shared" si="239"/>
        <v>1</v>
      </c>
    </row>
    <row r="2319" spans="1:38" ht="15" x14ac:dyDescent="0.25">
      <c r="A2319" s="1" t="s">
        <v>7264</v>
      </c>
      <c r="B2319" s="1" t="s">
        <v>7265</v>
      </c>
      <c r="C2319" s="1" t="s">
        <v>355</v>
      </c>
      <c r="D2319" s="1" t="s">
        <v>355</v>
      </c>
      <c r="E2319" s="6">
        <v>4584.29</v>
      </c>
      <c r="F2319" s="1" t="s">
        <v>40</v>
      </c>
      <c r="G2319" s="6">
        <f ca="1">IFERROR(__xludf.DUMMYFUNCTION("iferror(GOOGLEFINANCE(TRIM(F2319)&amp;"":"" &amp; TRIM(B2319), ""price""),0
)"),1380)</f>
        <v>1380</v>
      </c>
      <c r="H2319" s="6">
        <v>667.7</v>
      </c>
      <c r="I2319" s="6">
        <f t="shared" ca="1" si="0"/>
        <v>1380</v>
      </c>
      <c r="J2319" s="6">
        <f ca="1">IFERROR(__xludf.DUMMYFUNCTION("IFERROR(GOOGLEFINANCE(B2319, ""volume""), 0)"),477701)</f>
        <v>477701</v>
      </c>
      <c r="K2319" s="6">
        <v>-0.77</v>
      </c>
      <c r="L2319" s="6">
        <f ca="1">IFERROR(__xludf.DUMMYFUNCTION("IFERROR(GOOGLEFINANCE(B2319,""changepct""),K2319)"),7.19)</f>
        <v>7.19</v>
      </c>
      <c r="M2319" s="6">
        <f ca="1">IFERROR(__xludf.DUMMYFUNCTION("IFERROR(GOOGLEFINANCE(B2319,""change""),0)"),92.6)</f>
        <v>92.6</v>
      </c>
      <c r="N2319" s="6">
        <v>2</v>
      </c>
      <c r="O2319" s="7">
        <v>45536</v>
      </c>
      <c r="P2319" s="6">
        <v>638.94000000000005</v>
      </c>
      <c r="Q2319" s="6">
        <v>5125.43</v>
      </c>
      <c r="R2319" s="7">
        <v>45536</v>
      </c>
      <c r="S2319" s="6">
        <v>3088.04</v>
      </c>
      <c r="T2319" s="6">
        <v>192.75</v>
      </c>
      <c r="U2319" s="7">
        <v>45536</v>
      </c>
      <c r="V2319" s="6">
        <v>29.53</v>
      </c>
      <c r="W2319" s="6">
        <f ca="1">IFERROR(__xludf.DUMMYFUNCTION("IFERROR(GOOGLEFINANCE(B2319,""pe""),V2319)"),44.47)</f>
        <v>44.47</v>
      </c>
      <c r="X2319" s="6">
        <v>1.77</v>
      </c>
      <c r="Y2319" s="6">
        <v>5.49</v>
      </c>
      <c r="Z2319" s="6">
        <v>2</v>
      </c>
      <c r="AA2319" s="8">
        <v>45352</v>
      </c>
      <c r="AB2319" s="4">
        <v>0.86</v>
      </c>
      <c r="AC2319" s="6">
        <v>23.01</v>
      </c>
      <c r="AD2319" s="6">
        <v>22.03</v>
      </c>
      <c r="AE2319" s="1">
        <v>0</v>
      </c>
      <c r="AF2319" s="1">
        <f ca="1">IFERROR(__xludf.DUMMYFUNCTION("IFERROR(GOOGLEFINANCE(TRIM(F2319)&amp;"":"" &amp; TRIM(B2319),""high52""),AE2319)"),1703.1)</f>
        <v>1703.1</v>
      </c>
      <c r="AG2319" s="1">
        <v>0</v>
      </c>
      <c r="AH2319" s="1">
        <f ca="1">IFERROR(__xludf.DUMMYFUNCTION("IFERROR(GOOGLEFINANCE(TRIM(F2319)&amp;"":"" &amp; TRIM(B2319),""low52""),AE2319)"),449)</f>
        <v>449</v>
      </c>
      <c r="AI2319" s="1">
        <f ca="1">IFERROR(__xludf.DUMMYFUNCTION("IFERROR(GOOGLEFINANCE(B2319,""eps""),0)"),31.03)</f>
        <v>31.03</v>
      </c>
      <c r="AJ2319" s="1"/>
      <c r="AK2319" s="1" t="s">
        <v>7266</v>
      </c>
      <c r="AL2319" s="1" t="b">
        <f>ISNUMBER(AA2319)</f>
        <v>1</v>
      </c>
    </row>
    <row r="2320" spans="1:38" ht="15" x14ac:dyDescent="0.25">
      <c r="A2320" s="1" t="s">
        <v>7267</v>
      </c>
      <c r="B2320" s="1" t="s">
        <v>7268</v>
      </c>
      <c r="C2320" s="1" t="s">
        <v>1528</v>
      </c>
      <c r="D2320" s="1" t="s">
        <v>1528</v>
      </c>
      <c r="E2320" s="6">
        <v>173</v>
      </c>
      <c r="F2320" s="1" t="s">
        <v>53</v>
      </c>
      <c r="G2320" s="6">
        <f ca="1">IFERROR(__xludf.DUMMYFUNCTION("iferror(GOOGLEFINANCE(TRIM(F2320)&amp;"":"" &amp; TRIM(B2320), ""price""),0
)"),0)</f>
        <v>0</v>
      </c>
      <c r="H2320" s="6">
        <v>346</v>
      </c>
      <c r="I2320" s="6">
        <f t="shared" ca="1" si="0"/>
        <v>346</v>
      </c>
      <c r="J2320" s="6">
        <f ca="1">IFERROR(__xludf.DUMMYFUNCTION("IFERROR(GOOGLEFINANCE(B2320, ""volume""), 0)"),0)</f>
        <v>0</v>
      </c>
      <c r="K2320" s="9"/>
      <c r="L2320" s="6" t="str">
        <f ca="1">IFERROR(__xludf.DUMMYFUNCTION("IFERROR(GOOGLEFINANCE(B2320,""changepct""),K2320)"),"")</f>
        <v/>
      </c>
      <c r="M2320" s="6">
        <f ca="1">IFERROR(__xludf.DUMMYFUNCTION("IFERROR(GOOGLEFINANCE(B2320,""change""),0)"),0)</f>
        <v>0</v>
      </c>
      <c r="N2320" s="6">
        <v>1</v>
      </c>
      <c r="O2320" s="7">
        <v>45536</v>
      </c>
      <c r="P2320" s="6">
        <v>78.989999999999995</v>
      </c>
      <c r="Q2320" s="6">
        <v>250.77</v>
      </c>
      <c r="R2320" s="7">
        <v>45536</v>
      </c>
      <c r="S2320" s="6">
        <v>168.65</v>
      </c>
      <c r="T2320" s="6">
        <v>3.97</v>
      </c>
      <c r="U2320" s="7">
        <v>45536</v>
      </c>
      <c r="V2320" s="6">
        <v>43.59</v>
      </c>
      <c r="W2320" s="6">
        <f ca="1">IFERROR(__xludf.DUMMYFUNCTION("IFERROR(GOOGLEFINANCE(B2320,""pe""),V2320)"),43.59)</f>
        <v>43.59</v>
      </c>
      <c r="X2320" s="9"/>
      <c r="Y2320" s="6">
        <v>4.97</v>
      </c>
      <c r="Z2320" s="6">
        <v>1</v>
      </c>
      <c r="AA2320" s="8">
        <v>45352</v>
      </c>
      <c r="AB2320" s="4">
        <v>2.41</v>
      </c>
      <c r="AC2320" s="6">
        <v>9.9</v>
      </c>
      <c r="AD2320" s="6">
        <v>10.51</v>
      </c>
      <c r="AE2320" s="1">
        <v>0</v>
      </c>
      <c r="AF2320" s="1">
        <f ca="1">IFERROR(__xludf.DUMMYFUNCTION("IFERROR(GOOGLEFINANCE(TRIM(F2320)&amp;"":"" &amp; TRIM(B2320),""high52""),AE2320)"),0)</f>
        <v>0</v>
      </c>
      <c r="AG2320" s="1">
        <v>0</v>
      </c>
      <c r="AH2320" s="1">
        <f ca="1">IFERROR(__xludf.DUMMYFUNCTION("IFERROR(GOOGLEFINANCE(TRIM(F2320)&amp;"":"" &amp; TRIM(B2320),""low52""),AE2320)"),0)</f>
        <v>0</v>
      </c>
      <c r="AI2320" s="1">
        <f ca="1">IFERROR(__xludf.DUMMYFUNCTION("IFERROR(GOOGLEFINANCE(B2320,""eps""),0)"),0)</f>
        <v>0</v>
      </c>
      <c r="AJ2320" s="1"/>
      <c r="AK2320" s="1" t="s">
        <v>7269</v>
      </c>
      <c r="AL2320" s="9">
        <f t="shared" ref="AL2320:AL2321" si="240">IF(AA2320&lt;&gt;AB2320,1,0)</f>
        <v>1</v>
      </c>
    </row>
    <row r="2321" spans="1:38" ht="15" x14ac:dyDescent="0.25">
      <c r="A2321" s="1" t="s">
        <v>7270</v>
      </c>
      <c r="B2321" s="1" t="s">
        <v>7271</v>
      </c>
      <c r="C2321" s="1" t="s">
        <v>1528</v>
      </c>
      <c r="D2321" s="1" t="s">
        <v>1528</v>
      </c>
      <c r="E2321" s="6">
        <v>75.069999999999993</v>
      </c>
      <c r="F2321" s="1" t="s">
        <v>53</v>
      </c>
      <c r="G2321" s="6">
        <f ca="1">IFERROR(__xludf.DUMMYFUNCTION("iferror(GOOGLEFINANCE(TRIM(F2321)&amp;"":"" &amp; TRIM(B2321), ""price""),0
)"),0)</f>
        <v>0</v>
      </c>
      <c r="H2321" s="6">
        <v>7.25</v>
      </c>
      <c r="I2321" s="6">
        <f t="shared" ca="1" si="0"/>
        <v>7.25</v>
      </c>
      <c r="J2321" s="6">
        <f ca="1">IFERROR(__xludf.DUMMYFUNCTION("IFERROR(GOOGLEFINANCE(B2321, ""volume""), 0)"),0)</f>
        <v>0</v>
      </c>
      <c r="K2321" s="6">
        <v>-1.49</v>
      </c>
      <c r="L2321" s="6">
        <f ca="1">IFERROR(__xludf.DUMMYFUNCTION("IFERROR(GOOGLEFINANCE(B2321,""changepct""),K2321)"),-1.49)</f>
        <v>-1.49</v>
      </c>
      <c r="M2321" s="6">
        <f ca="1">IFERROR(__xludf.DUMMYFUNCTION("IFERROR(GOOGLEFINANCE(B2321,""change""),0)"),0)</f>
        <v>0</v>
      </c>
      <c r="N2321" s="6">
        <v>1</v>
      </c>
      <c r="O2321" s="7">
        <v>45536</v>
      </c>
      <c r="P2321" s="6">
        <v>1.0900000000000001</v>
      </c>
      <c r="Q2321" s="6">
        <v>76.16</v>
      </c>
      <c r="R2321" s="7">
        <v>45536</v>
      </c>
      <c r="S2321" s="6">
        <v>12.8</v>
      </c>
      <c r="T2321" s="6">
        <v>1.03</v>
      </c>
      <c r="U2321" s="7">
        <v>45536</v>
      </c>
      <c r="V2321" s="6">
        <v>72.53</v>
      </c>
      <c r="W2321" s="6">
        <f ca="1">IFERROR(__xludf.DUMMYFUNCTION("IFERROR(GOOGLEFINANCE(B2321,""pe""),V2321)"),72.53)</f>
        <v>72.53</v>
      </c>
      <c r="X2321" s="6">
        <v>3.44</v>
      </c>
      <c r="Y2321" s="6">
        <v>16.899999999999999</v>
      </c>
      <c r="Z2321" s="6">
        <v>1</v>
      </c>
      <c r="AA2321" s="8">
        <v>45352</v>
      </c>
      <c r="AB2321" s="4">
        <v>0.59</v>
      </c>
      <c r="AC2321" s="6">
        <v>18.260000000000002</v>
      </c>
      <c r="AD2321" s="6">
        <v>14.7</v>
      </c>
      <c r="AE2321" s="1">
        <v>0</v>
      </c>
      <c r="AF2321" s="1">
        <f ca="1">IFERROR(__xludf.DUMMYFUNCTION("IFERROR(GOOGLEFINANCE(TRIM(F2321)&amp;"":"" &amp; TRIM(B2321),""high52""),AE2321)"),0)</f>
        <v>0</v>
      </c>
      <c r="AG2321" s="1">
        <v>0</v>
      </c>
      <c r="AH2321" s="1">
        <f ca="1">IFERROR(__xludf.DUMMYFUNCTION("IFERROR(GOOGLEFINANCE(TRIM(F2321)&amp;"":"" &amp; TRIM(B2321),""low52""),AE2321)"),0)</f>
        <v>0</v>
      </c>
      <c r="AI2321" s="1">
        <f ca="1">IFERROR(__xludf.DUMMYFUNCTION("IFERROR(GOOGLEFINANCE(B2321,""eps""),0)"),0)</f>
        <v>0</v>
      </c>
      <c r="AJ2321" s="1"/>
      <c r="AK2321" s="9"/>
      <c r="AL2321" s="9">
        <f t="shared" si="240"/>
        <v>1</v>
      </c>
    </row>
    <row r="2322" spans="1:38" ht="15" x14ac:dyDescent="0.25">
      <c r="A2322" s="1" t="s">
        <v>7272</v>
      </c>
      <c r="B2322" s="1" t="s">
        <v>7273</v>
      </c>
      <c r="C2322" s="1" t="s">
        <v>355</v>
      </c>
      <c r="D2322" s="1" t="s">
        <v>355</v>
      </c>
      <c r="E2322" s="6">
        <v>2269.8200000000002</v>
      </c>
      <c r="F2322" s="1" t="s">
        <v>40</v>
      </c>
      <c r="G2322" s="6">
        <f ca="1">IFERROR(__xludf.DUMMYFUNCTION("iferror(GOOGLEFINANCE(TRIM(F2322)&amp;"":"" &amp; TRIM(B2322), ""price""),0
)"),4840)</f>
        <v>4840</v>
      </c>
      <c r="H2322" s="6">
        <v>2461.4</v>
      </c>
      <c r="I2322" s="6">
        <f t="shared" ca="1" si="0"/>
        <v>4840</v>
      </c>
      <c r="J2322" s="6">
        <f ca="1">IFERROR(__xludf.DUMMYFUNCTION("IFERROR(GOOGLEFINANCE(B2322, ""volume""), 0)"),10795)</f>
        <v>10795</v>
      </c>
      <c r="K2322" s="6">
        <v>0.76</v>
      </c>
      <c r="L2322" s="6">
        <f ca="1">IFERROR(__xludf.DUMMYFUNCTION("IFERROR(GOOGLEFINANCE(B2322,""changepct""),K2322)"),3.25)</f>
        <v>3.25</v>
      </c>
      <c r="M2322" s="6">
        <f ca="1">IFERROR(__xludf.DUMMYFUNCTION("IFERROR(GOOGLEFINANCE(B2322,""change""),0)"),152.4)</f>
        <v>152.4</v>
      </c>
      <c r="N2322" s="6">
        <v>2</v>
      </c>
      <c r="O2322" s="7">
        <v>45536</v>
      </c>
      <c r="P2322" s="6">
        <v>795.72</v>
      </c>
      <c r="Q2322" s="6">
        <v>3015.96</v>
      </c>
      <c r="R2322" s="7">
        <v>45536</v>
      </c>
      <c r="S2322" s="6">
        <v>2952.02</v>
      </c>
      <c r="T2322" s="6">
        <v>51.63</v>
      </c>
      <c r="U2322" s="7">
        <v>45536</v>
      </c>
      <c r="V2322" s="6">
        <v>18.29</v>
      </c>
      <c r="W2322" s="6">
        <f ca="1">IFERROR(__xludf.DUMMYFUNCTION("IFERROR(GOOGLEFINANCE(B2322,""pe""),V2322)"),30.31)</f>
        <v>30.31</v>
      </c>
      <c r="X2322" s="6">
        <v>2.36</v>
      </c>
      <c r="Y2322" s="6">
        <v>3.26</v>
      </c>
      <c r="Z2322" s="6">
        <v>2</v>
      </c>
      <c r="AA2322" s="8">
        <v>45352</v>
      </c>
      <c r="AB2322" s="4">
        <v>0.89</v>
      </c>
      <c r="AC2322" s="6">
        <v>17.690000000000001</v>
      </c>
      <c r="AD2322" s="6">
        <v>18.600000000000001</v>
      </c>
      <c r="AE2322" s="1">
        <v>0</v>
      </c>
      <c r="AF2322" s="1">
        <f ca="1">IFERROR(__xludf.DUMMYFUNCTION("IFERROR(GOOGLEFINANCE(TRIM(F2322)&amp;"":"" &amp; TRIM(B2322),""high52""),AE2322)"),5878)</f>
        <v>5878</v>
      </c>
      <c r="AG2322" s="1">
        <v>0</v>
      </c>
      <c r="AH2322" s="1">
        <f ca="1">IFERROR(__xludf.DUMMYFUNCTION("IFERROR(GOOGLEFINANCE(TRIM(F2322)&amp;"":"" &amp; TRIM(B2322),""low52""),AE2322)"),2100.05)</f>
        <v>2100.0500000000002</v>
      </c>
      <c r="AI2322" s="1">
        <f ca="1">IFERROR(__xludf.DUMMYFUNCTION("IFERROR(GOOGLEFINANCE(B2322,""eps""),0)"),159.7)</f>
        <v>159.69999999999999</v>
      </c>
      <c r="AJ2322" s="1"/>
      <c r="AK2322" s="1" t="s">
        <v>7274</v>
      </c>
      <c r="AL2322" s="1" t="b">
        <f>ISNUMBER(AA2322)</f>
        <v>1</v>
      </c>
    </row>
    <row r="2323" spans="1:38" ht="15" x14ac:dyDescent="0.25">
      <c r="A2323" s="1" t="s">
        <v>7275</v>
      </c>
      <c r="B2323" s="1" t="s">
        <v>7276</v>
      </c>
      <c r="C2323" s="1" t="s">
        <v>106</v>
      </c>
      <c r="D2323" s="1" t="s">
        <v>106</v>
      </c>
      <c r="E2323" s="6">
        <v>109327.5</v>
      </c>
      <c r="F2323" s="1" t="s">
        <v>40</v>
      </c>
      <c r="G2323" s="6">
        <f ca="1">IFERROR(__xludf.DUMMYFUNCTION("iferror(GOOGLEFINANCE(TRIM(F2323)&amp;"":"" &amp; TRIM(B2323), ""price""),0
)"),2129.4)</f>
        <v>2129.4</v>
      </c>
      <c r="H2323" s="6">
        <v>2369.35</v>
      </c>
      <c r="I2323" s="6">
        <f t="shared" ca="1" si="0"/>
        <v>2129.4</v>
      </c>
      <c r="J2323" s="6">
        <f ca="1">IFERROR(__xludf.DUMMYFUNCTION("IFERROR(GOOGLEFINANCE(B2323, ""volume""), 0)"),567484)</f>
        <v>567484</v>
      </c>
      <c r="K2323" s="6">
        <v>-1.1200000000000001</v>
      </c>
      <c r="L2323" s="6">
        <f ca="1">IFERROR(__xludf.DUMMYFUNCTION("IFERROR(GOOGLEFINANCE(B2323,""changepct""),K2323)"),-0.27)</f>
        <v>-0.27</v>
      </c>
      <c r="M2323" s="6">
        <f ca="1">IFERROR(__xludf.DUMMYFUNCTION("IFERROR(GOOGLEFINANCE(B2323,""change""),0)"),-5.8)</f>
        <v>-5.8</v>
      </c>
      <c r="N2323" s="6">
        <v>2</v>
      </c>
      <c r="O2323" s="7">
        <v>45536</v>
      </c>
      <c r="P2323" s="6">
        <v>3172.01</v>
      </c>
      <c r="Q2323" s="6">
        <v>111085.6</v>
      </c>
      <c r="R2323" s="7">
        <v>45536</v>
      </c>
      <c r="S2323" s="6">
        <v>21431.26</v>
      </c>
      <c r="T2323" s="6">
        <v>2651.94</v>
      </c>
      <c r="U2323" s="7">
        <v>45536</v>
      </c>
      <c r="V2323" s="6">
        <v>41.62</v>
      </c>
      <c r="W2323" s="6">
        <f ca="1">IFERROR(__xludf.DUMMYFUNCTION("IFERROR(GOOGLEFINANCE(B2323,""pe""),V2323)"),22.55)</f>
        <v>22.55</v>
      </c>
      <c r="X2323" s="6">
        <v>1.96</v>
      </c>
      <c r="Y2323" s="6">
        <v>6.99</v>
      </c>
      <c r="Z2323" s="6">
        <v>2</v>
      </c>
      <c r="AA2323" s="8">
        <v>45352</v>
      </c>
      <c r="AB2323" s="4">
        <v>0.19</v>
      </c>
      <c r="AC2323" s="6">
        <v>14.61</v>
      </c>
      <c r="AD2323" s="6">
        <v>16.239999999999998</v>
      </c>
      <c r="AE2323" s="1">
        <v>0</v>
      </c>
      <c r="AF2323" s="1">
        <f ca="1">IFERROR(__xludf.DUMMYFUNCTION("IFERROR(GOOGLEFINANCE(TRIM(F2323)&amp;"":"" &amp; TRIM(B2323),""high52""),AE2323)"),2226.3)</f>
        <v>2226.3000000000002</v>
      </c>
      <c r="AG2323" s="1">
        <v>0</v>
      </c>
      <c r="AH2323" s="1">
        <f ca="1">IFERROR(__xludf.DUMMYFUNCTION("IFERROR(GOOGLEFINANCE(TRIM(F2323)&amp;"":"" &amp; TRIM(B2323),""low52""),AE2323)"),1795.2)</f>
        <v>1795.2</v>
      </c>
      <c r="AI2323" s="1">
        <f ca="1">IFERROR(__xludf.DUMMYFUNCTION("IFERROR(GOOGLEFINANCE(B2323,""eps""),0)"),94.43)</f>
        <v>94.43</v>
      </c>
      <c r="AJ2323" s="1"/>
      <c r="AK2323" s="1" t="s">
        <v>7277</v>
      </c>
      <c r="AL2323" s="9">
        <f t="shared" ref="AL2323:AL2329" si="241">IF(AA2323&lt;&gt;AB2323,1,0)</f>
        <v>1</v>
      </c>
    </row>
    <row r="2324" spans="1:38" ht="15" x14ac:dyDescent="0.25">
      <c r="A2324" s="1" t="s">
        <v>7278</v>
      </c>
      <c r="B2324" s="1" t="s">
        <v>7279</v>
      </c>
      <c r="C2324" s="1" t="s">
        <v>186</v>
      </c>
      <c r="D2324" s="1" t="s">
        <v>186</v>
      </c>
      <c r="E2324" s="6">
        <v>6092.52</v>
      </c>
      <c r="F2324" s="1" t="s">
        <v>40</v>
      </c>
      <c r="G2324" s="6">
        <f ca="1">IFERROR(__xludf.DUMMYFUNCTION("iferror(GOOGLEFINANCE(TRIM(F2324)&amp;"":"" &amp; TRIM(B2324), ""price""),0
)"),913.2)</f>
        <v>913.2</v>
      </c>
      <c r="H2324" s="6">
        <v>2047</v>
      </c>
      <c r="I2324" s="6">
        <f t="shared" ca="1" si="0"/>
        <v>913.2</v>
      </c>
      <c r="J2324" s="6">
        <f ca="1">IFERROR(__xludf.DUMMYFUNCTION("IFERROR(GOOGLEFINANCE(B2324, ""volume""), 0)"),25992)</f>
        <v>25992</v>
      </c>
      <c r="K2324" s="6">
        <v>1.25</v>
      </c>
      <c r="L2324" s="6">
        <f ca="1">IFERROR(__xludf.DUMMYFUNCTION("IFERROR(GOOGLEFINANCE(B2324,""changepct""),K2324)"),0.51)</f>
        <v>0.51</v>
      </c>
      <c r="M2324" s="6">
        <f ca="1">IFERROR(__xludf.DUMMYFUNCTION("IFERROR(GOOGLEFINANCE(B2324,""change""),0)"),4.6)</f>
        <v>4.5999999999999996</v>
      </c>
      <c r="N2324" s="6">
        <v>2</v>
      </c>
      <c r="O2324" s="7">
        <v>45536</v>
      </c>
      <c r="P2324" s="6">
        <v>216.94</v>
      </c>
      <c r="Q2324" s="6">
        <v>6268.43</v>
      </c>
      <c r="R2324" s="7">
        <v>45536</v>
      </c>
      <c r="S2324" s="6">
        <v>2367.15</v>
      </c>
      <c r="T2324" s="6">
        <v>159.61000000000001</v>
      </c>
      <c r="U2324" s="7">
        <v>45536</v>
      </c>
      <c r="V2324" s="6">
        <v>37.86</v>
      </c>
      <c r="W2324" s="6">
        <f ca="1">IFERROR(__xludf.DUMMYFUNCTION("IFERROR(GOOGLEFINANCE(B2324,""pe""),V2324)"),21.59)</f>
        <v>21.59</v>
      </c>
      <c r="X2324" s="6">
        <v>6.81</v>
      </c>
      <c r="Y2324" s="6">
        <v>3.69</v>
      </c>
      <c r="Z2324" s="6">
        <v>2</v>
      </c>
      <c r="AA2324" s="8">
        <v>45352</v>
      </c>
      <c r="AB2324" s="4">
        <v>0.12</v>
      </c>
      <c r="AC2324" s="6">
        <v>8.32</v>
      </c>
      <c r="AD2324" s="6">
        <v>11.18</v>
      </c>
      <c r="AE2324" s="1">
        <v>0</v>
      </c>
      <c r="AF2324" s="1">
        <f ca="1">IFERROR(__xludf.DUMMYFUNCTION("IFERROR(GOOGLEFINANCE(TRIM(F2324)&amp;"":"" &amp; TRIM(B2324),""high52""),AE2324)"),1645.8)</f>
        <v>1645.8</v>
      </c>
      <c r="AG2324" s="1">
        <v>0</v>
      </c>
      <c r="AH2324" s="1">
        <f ca="1">IFERROR(__xludf.DUMMYFUNCTION("IFERROR(GOOGLEFINANCE(TRIM(F2324)&amp;"":"" &amp; TRIM(B2324),""low52""),AE2324)"),873)</f>
        <v>873</v>
      </c>
      <c r="AI2324" s="1">
        <f ca="1">IFERROR(__xludf.DUMMYFUNCTION("IFERROR(GOOGLEFINANCE(B2324,""eps""),0)"),42.29)</f>
        <v>42.29</v>
      </c>
      <c r="AJ2324" s="1"/>
      <c r="AK2324" s="1" t="s">
        <v>7280</v>
      </c>
      <c r="AL2324" s="9">
        <f t="shared" si="241"/>
        <v>1</v>
      </c>
    </row>
    <row r="2325" spans="1:38" ht="15" x14ac:dyDescent="0.25">
      <c r="A2325" s="1" t="s">
        <v>7281</v>
      </c>
      <c r="B2325" s="1" t="s">
        <v>7282</v>
      </c>
      <c r="C2325" s="1" t="s">
        <v>309</v>
      </c>
      <c r="D2325" s="1" t="s">
        <v>309</v>
      </c>
      <c r="E2325" s="6">
        <v>106.77</v>
      </c>
      <c r="F2325" s="1" t="s">
        <v>53</v>
      </c>
      <c r="G2325" s="6">
        <f ca="1">IFERROR(__xludf.DUMMYFUNCTION("iferror(GOOGLEFINANCE(TRIM(F2325)&amp;"":"" &amp; TRIM(B2325), ""price""),0
)"),0)</f>
        <v>0</v>
      </c>
      <c r="H2325" s="6">
        <v>128.05000000000001</v>
      </c>
      <c r="I2325" s="6">
        <f t="shared" ca="1" si="0"/>
        <v>128.05000000000001</v>
      </c>
      <c r="J2325" s="6">
        <f ca="1">IFERROR(__xludf.DUMMYFUNCTION("IFERROR(GOOGLEFINANCE(B2325, ""volume""), 0)"),0)</f>
        <v>0</v>
      </c>
      <c r="K2325" s="9"/>
      <c r="L2325" s="6" t="str">
        <f ca="1">IFERROR(__xludf.DUMMYFUNCTION("IFERROR(GOOGLEFINANCE(B2325,""changepct""),K2325)"),"")</f>
        <v/>
      </c>
      <c r="M2325" s="6">
        <f ca="1">IFERROR(__xludf.DUMMYFUNCTION("IFERROR(GOOGLEFINANCE(B2325,""change""),0)"),0)</f>
        <v>0</v>
      </c>
      <c r="N2325" s="6">
        <v>1</v>
      </c>
      <c r="O2325" s="7">
        <v>45536</v>
      </c>
      <c r="P2325" s="6">
        <v>20.52</v>
      </c>
      <c r="Q2325" s="6">
        <v>127.28</v>
      </c>
      <c r="R2325" s="7">
        <v>45352</v>
      </c>
      <c r="S2325" s="6">
        <v>63.77</v>
      </c>
      <c r="T2325" s="6">
        <v>4.7300000000000004</v>
      </c>
      <c r="U2325" s="7">
        <v>45352</v>
      </c>
      <c r="V2325" s="6">
        <v>22.58</v>
      </c>
      <c r="W2325" s="6">
        <f ca="1">IFERROR(__xludf.DUMMYFUNCTION("IFERROR(GOOGLEFINANCE(B2325,""pe""),V2325)"),22.58)</f>
        <v>22.58</v>
      </c>
      <c r="X2325" s="9"/>
      <c r="Y2325" s="6">
        <v>4.07</v>
      </c>
      <c r="Z2325" s="6">
        <v>2</v>
      </c>
      <c r="AA2325" s="8">
        <v>45352</v>
      </c>
      <c r="AB2325" s="4">
        <v>0.8</v>
      </c>
      <c r="AC2325" s="6">
        <v>27.68</v>
      </c>
      <c r="AD2325" s="6">
        <v>24.61</v>
      </c>
      <c r="AE2325" s="1">
        <v>0</v>
      </c>
      <c r="AF2325" s="1">
        <f ca="1">IFERROR(__xludf.DUMMYFUNCTION("IFERROR(GOOGLEFINANCE(TRIM(F2325)&amp;"":"" &amp; TRIM(B2325),""high52""),AE2325)"),0)</f>
        <v>0</v>
      </c>
      <c r="AG2325" s="1">
        <v>0</v>
      </c>
      <c r="AH2325" s="1">
        <f ca="1">IFERROR(__xludf.DUMMYFUNCTION("IFERROR(GOOGLEFINANCE(TRIM(F2325)&amp;"":"" &amp; TRIM(B2325),""low52""),AE2325)"),0)</f>
        <v>0</v>
      </c>
      <c r="AI2325" s="1">
        <f ca="1">IFERROR(__xludf.DUMMYFUNCTION("IFERROR(GOOGLEFINANCE(B2325,""eps""),0)"),0)</f>
        <v>0</v>
      </c>
      <c r="AJ2325" s="1"/>
      <c r="AK2325" s="1" t="s">
        <v>7283</v>
      </c>
      <c r="AL2325" s="9">
        <f t="shared" si="241"/>
        <v>1</v>
      </c>
    </row>
    <row r="2326" spans="1:38" ht="15" x14ac:dyDescent="0.25">
      <c r="A2326" s="1" t="s">
        <v>7284</v>
      </c>
      <c r="B2326" s="1" t="s">
        <v>7285</v>
      </c>
      <c r="C2326" s="1" t="s">
        <v>106</v>
      </c>
      <c r="D2326" s="1" t="s">
        <v>106</v>
      </c>
      <c r="E2326" s="6">
        <v>577.46</v>
      </c>
      <c r="F2326" s="1" t="s">
        <v>40</v>
      </c>
      <c r="G2326" s="6">
        <f ca="1">IFERROR(__xludf.DUMMYFUNCTION("iferror(GOOGLEFINANCE(TRIM(F2326)&amp;"":"" &amp; TRIM(B2326), ""price""),0
)"),69.1)</f>
        <v>69.099999999999994</v>
      </c>
      <c r="H2326" s="6">
        <v>161.59</v>
      </c>
      <c r="I2326" s="6">
        <f t="shared" ca="1" si="0"/>
        <v>69.099999999999994</v>
      </c>
      <c r="J2326" s="6">
        <f ca="1">IFERROR(__xludf.DUMMYFUNCTION("IFERROR(GOOGLEFINANCE(B2326, ""volume""), 0)"),30788)</f>
        <v>30788</v>
      </c>
      <c r="K2326" s="6">
        <v>-0.33</v>
      </c>
      <c r="L2326" s="6">
        <f ca="1">IFERROR(__xludf.DUMMYFUNCTION("IFERROR(GOOGLEFINANCE(B2326,""changepct""),K2326)"),-3.96)</f>
        <v>-3.96</v>
      </c>
      <c r="M2326" s="6">
        <f ca="1">IFERROR(__xludf.DUMMYFUNCTION("IFERROR(GOOGLEFINANCE(B2326,""change""),0)"),-2.85)</f>
        <v>-2.85</v>
      </c>
      <c r="N2326" s="6">
        <v>2</v>
      </c>
      <c r="O2326" s="7">
        <v>45536</v>
      </c>
      <c r="P2326" s="6">
        <v>33.5</v>
      </c>
      <c r="Q2326" s="6">
        <v>610.96</v>
      </c>
      <c r="R2326" s="7">
        <v>45536</v>
      </c>
      <c r="S2326" s="6">
        <v>131.6</v>
      </c>
      <c r="T2326" s="6">
        <v>3.13</v>
      </c>
      <c r="U2326" s="7">
        <v>45536</v>
      </c>
      <c r="V2326" s="6">
        <v>181.02</v>
      </c>
      <c r="W2326" s="6">
        <f ca="1">IFERROR(__xludf.DUMMYFUNCTION("IFERROR(GOOGLEFINANCE(B2326,""pe""),V2326)"),121.23)</f>
        <v>121.23</v>
      </c>
      <c r="X2326" s="6">
        <v>15.46</v>
      </c>
      <c r="Y2326" s="6">
        <v>5.84</v>
      </c>
      <c r="Z2326" s="6">
        <v>2</v>
      </c>
      <c r="AA2326" s="8">
        <v>45352</v>
      </c>
      <c r="AB2326" s="4">
        <v>0.96</v>
      </c>
      <c r="AC2326" s="6">
        <v>-6.02</v>
      </c>
      <c r="AD2326" s="6">
        <v>3.26</v>
      </c>
      <c r="AE2326" s="1">
        <v>0</v>
      </c>
      <c r="AF2326" s="1">
        <f ca="1">IFERROR(__xludf.DUMMYFUNCTION("IFERROR(GOOGLEFINANCE(TRIM(F2326)&amp;"":"" &amp; TRIM(B2326),""high52""),AE2326)"),157.4)</f>
        <v>157.4</v>
      </c>
      <c r="AG2326" s="1">
        <v>0</v>
      </c>
      <c r="AH2326" s="1">
        <f ca="1">IFERROR(__xludf.DUMMYFUNCTION("IFERROR(GOOGLEFINANCE(TRIM(F2326)&amp;"":"" &amp; TRIM(B2326),""low52""),AE2326)"),67.84)</f>
        <v>67.84</v>
      </c>
      <c r="AI2326" s="1">
        <f ca="1">IFERROR(__xludf.DUMMYFUNCTION("IFERROR(GOOGLEFINANCE(B2326,""eps""),0)"),0.57)</f>
        <v>0.56999999999999995</v>
      </c>
      <c r="AJ2326" s="1"/>
      <c r="AK2326" s="1" t="s">
        <v>7286</v>
      </c>
      <c r="AL2326" s="9">
        <f t="shared" si="241"/>
        <v>1</v>
      </c>
    </row>
    <row r="2327" spans="1:38" ht="15" x14ac:dyDescent="0.25">
      <c r="A2327" s="1" t="s">
        <v>7287</v>
      </c>
      <c r="B2327" s="1" t="s">
        <v>7288</v>
      </c>
      <c r="C2327" s="1" t="s">
        <v>309</v>
      </c>
      <c r="D2327" s="1" t="s">
        <v>309</v>
      </c>
      <c r="E2327" s="6">
        <v>277.17</v>
      </c>
      <c r="F2327" s="1" t="s">
        <v>53</v>
      </c>
      <c r="G2327" s="6">
        <f ca="1">IFERROR(__xludf.DUMMYFUNCTION("iferror(GOOGLEFINANCE(TRIM(F2327)&amp;"":"" &amp; TRIM(B2327), ""price""),0
)"),0)</f>
        <v>0</v>
      </c>
      <c r="H2327" s="6">
        <v>107.1</v>
      </c>
      <c r="I2327" s="6">
        <f t="shared" ca="1" si="0"/>
        <v>107.1</v>
      </c>
      <c r="J2327" s="6">
        <f ca="1">IFERROR(__xludf.DUMMYFUNCTION("IFERROR(GOOGLEFINANCE(B2327, ""volume""), 0)"),0)</f>
        <v>0</v>
      </c>
      <c r="K2327" s="6">
        <v>-3.32</v>
      </c>
      <c r="L2327" s="6">
        <f ca="1">IFERROR(__xludf.DUMMYFUNCTION("IFERROR(GOOGLEFINANCE(B2327,""changepct""),K2327)"),-3.32)</f>
        <v>-3.32</v>
      </c>
      <c r="M2327" s="6">
        <f ca="1">IFERROR(__xludf.DUMMYFUNCTION("IFERROR(GOOGLEFINANCE(B2327,""change""),0)"),0)</f>
        <v>0</v>
      </c>
      <c r="N2327" s="6">
        <v>2</v>
      </c>
      <c r="O2327" s="7">
        <v>45536</v>
      </c>
      <c r="P2327" s="6">
        <v>110.58</v>
      </c>
      <c r="Q2327" s="6">
        <v>382.97</v>
      </c>
      <c r="R2327" s="7">
        <v>45536</v>
      </c>
      <c r="S2327" s="6">
        <v>221.27</v>
      </c>
      <c r="T2327" s="6">
        <v>3.9</v>
      </c>
      <c r="U2327" s="7">
        <v>45536</v>
      </c>
      <c r="V2327" s="6">
        <v>44.55</v>
      </c>
      <c r="W2327" s="6">
        <f ca="1">IFERROR(__xludf.DUMMYFUNCTION("IFERROR(GOOGLEFINANCE(B2327,""pe""),V2327)"),44.55)</f>
        <v>44.55</v>
      </c>
      <c r="X2327" s="9"/>
      <c r="Y2327" s="6">
        <v>1.76</v>
      </c>
      <c r="Z2327" s="6">
        <v>2</v>
      </c>
      <c r="AA2327" s="8">
        <v>45352</v>
      </c>
      <c r="AB2327" s="4">
        <v>0.39</v>
      </c>
      <c r="AC2327" s="6">
        <v>5.53</v>
      </c>
      <c r="AD2327" s="6">
        <v>7.53</v>
      </c>
      <c r="AE2327" s="1">
        <v>0</v>
      </c>
      <c r="AF2327" s="1">
        <f ca="1">IFERROR(__xludf.DUMMYFUNCTION("IFERROR(GOOGLEFINANCE(TRIM(F2327)&amp;"":"" &amp; TRIM(B2327),""high52""),AE2327)"),0)</f>
        <v>0</v>
      </c>
      <c r="AG2327" s="1">
        <v>0</v>
      </c>
      <c r="AH2327" s="1">
        <f ca="1">IFERROR(__xludf.DUMMYFUNCTION("IFERROR(GOOGLEFINANCE(TRIM(F2327)&amp;"":"" &amp; TRIM(B2327),""low52""),AE2327)"),0)</f>
        <v>0</v>
      </c>
      <c r="AI2327" s="1">
        <f ca="1">IFERROR(__xludf.DUMMYFUNCTION("IFERROR(GOOGLEFINANCE(B2327,""eps""),0)"),0)</f>
        <v>0</v>
      </c>
      <c r="AJ2327" s="1"/>
      <c r="AK2327" s="1" t="s">
        <v>7289</v>
      </c>
      <c r="AL2327" s="9">
        <f t="shared" si="241"/>
        <v>1</v>
      </c>
    </row>
    <row r="2328" spans="1:38" ht="15" x14ac:dyDescent="0.25">
      <c r="A2328" s="1" t="s">
        <v>7290</v>
      </c>
      <c r="B2328" s="1" t="s">
        <v>7291</v>
      </c>
      <c r="C2328" s="1" t="s">
        <v>227</v>
      </c>
      <c r="D2328" s="1" t="s">
        <v>227</v>
      </c>
      <c r="E2328" s="6">
        <v>24.18</v>
      </c>
      <c r="F2328" s="1" t="s">
        <v>40</v>
      </c>
      <c r="G2328" s="6">
        <f ca="1">IFERROR(__xludf.DUMMYFUNCTION("iferror(GOOGLEFINANCE(TRIM(F2328)&amp;"":"" &amp; TRIM(B2328), ""price""),0
)"),4.78)</f>
        <v>4.78</v>
      </c>
      <c r="H2328" s="6">
        <v>7.92</v>
      </c>
      <c r="I2328" s="6">
        <f t="shared" ca="1" si="0"/>
        <v>4.78</v>
      </c>
      <c r="J2328" s="6">
        <f ca="1">IFERROR(__xludf.DUMMYFUNCTION("IFERROR(GOOGLEFINANCE(B2328, ""volume""), 0)"),10070)</f>
        <v>10070</v>
      </c>
      <c r="K2328" s="6">
        <v>-3.53</v>
      </c>
      <c r="L2328" s="6">
        <f ca="1">IFERROR(__xludf.DUMMYFUNCTION("IFERROR(GOOGLEFINANCE(B2328,""changepct""),K2328)"),-0.62)</f>
        <v>-0.62</v>
      </c>
      <c r="M2328" s="6">
        <f ca="1">IFERROR(__xludf.DUMMYFUNCTION("IFERROR(GOOGLEFINANCE(B2328,""change""),0)"),-0.03)</f>
        <v>-0.03</v>
      </c>
      <c r="N2328" s="6">
        <v>2</v>
      </c>
      <c r="O2328" s="7">
        <v>45536</v>
      </c>
      <c r="P2328" s="9"/>
      <c r="Q2328" s="6">
        <v>23.73</v>
      </c>
      <c r="R2328" s="7">
        <v>45536</v>
      </c>
      <c r="S2328" s="6">
        <v>7.68</v>
      </c>
      <c r="T2328" s="6">
        <v>-32.64</v>
      </c>
      <c r="U2328" s="7">
        <v>45536</v>
      </c>
      <c r="V2328" s="6">
        <v>0</v>
      </c>
      <c r="W2328" s="6">
        <f ca="1">IFERROR(__xludf.DUMMYFUNCTION("IFERROR(GOOGLEFINANCE(B2328,""pe""),V2328)"),0)</f>
        <v>0</v>
      </c>
      <c r="X2328" s="12"/>
      <c r="Y2328" s="6">
        <v>0.76</v>
      </c>
      <c r="Z2328" s="6">
        <v>2</v>
      </c>
      <c r="AA2328" s="8">
        <v>45352</v>
      </c>
      <c r="AB2328" s="4">
        <v>0.19</v>
      </c>
      <c r="AC2328" s="6">
        <v>-68.41</v>
      </c>
      <c r="AD2328" s="6">
        <v>-60.63</v>
      </c>
      <c r="AE2328" s="1">
        <v>0</v>
      </c>
      <c r="AF2328" s="1">
        <f ca="1">IFERROR(__xludf.DUMMYFUNCTION("IFERROR(GOOGLEFINANCE(TRIM(F2328)&amp;"":"" &amp; TRIM(B2328),""high52""),AE2328)"),10.93)</f>
        <v>10.93</v>
      </c>
      <c r="AG2328" s="1">
        <v>0</v>
      </c>
      <c r="AH2328" s="1">
        <f ca="1">IFERROR(__xludf.DUMMYFUNCTION("IFERROR(GOOGLEFINANCE(TRIM(F2328)&amp;"":"" &amp; TRIM(B2328),""low52""),AE2328)"),4.41)</f>
        <v>4.41</v>
      </c>
      <c r="AI2328" s="1">
        <f ca="1">IFERROR(__xludf.DUMMYFUNCTION("IFERROR(GOOGLEFINANCE(B2328,""eps""),0)"),-5.15)</f>
        <v>-5.15</v>
      </c>
      <c r="AJ2328" s="1"/>
      <c r="AK2328" s="9"/>
      <c r="AL2328" s="9">
        <f t="shared" si="241"/>
        <v>1</v>
      </c>
    </row>
    <row r="2329" spans="1:38" ht="15" x14ac:dyDescent="0.25">
      <c r="A2329" s="1" t="s">
        <v>7292</v>
      </c>
      <c r="B2329" s="1" t="s">
        <v>7293</v>
      </c>
      <c r="C2329" s="1" t="s">
        <v>1118</v>
      </c>
      <c r="D2329" s="1" t="s">
        <v>1118</v>
      </c>
      <c r="E2329" s="6">
        <v>63.04</v>
      </c>
      <c r="F2329" s="1" t="s">
        <v>40</v>
      </c>
      <c r="G2329" s="6">
        <f ca="1">IFERROR(__xludf.DUMMYFUNCTION("iferror(GOOGLEFINANCE(TRIM(F2329)&amp;"":"" &amp; TRIM(B2329), ""price""),0
)"),0)</f>
        <v>0</v>
      </c>
      <c r="H2329" s="6">
        <v>40.700000000000003</v>
      </c>
      <c r="I2329" s="6">
        <f t="shared" ca="1" si="0"/>
        <v>40.700000000000003</v>
      </c>
      <c r="J2329" s="6">
        <f ca="1">IFERROR(__xludf.DUMMYFUNCTION("IFERROR(GOOGLEFINANCE(B2329, ""volume""), 0)"),0)</f>
        <v>0</v>
      </c>
      <c r="K2329" s="9"/>
      <c r="L2329" s="6" t="str">
        <f ca="1">IFERROR(__xludf.DUMMYFUNCTION("IFERROR(GOOGLEFINANCE(B2329,""changepct""),K2329)"),"")</f>
        <v/>
      </c>
      <c r="M2329" s="6">
        <f ca="1">IFERROR(__xludf.DUMMYFUNCTION("IFERROR(GOOGLEFINANCE(B2329,""change""),0)"),0)</f>
        <v>0</v>
      </c>
      <c r="N2329" s="6">
        <v>1</v>
      </c>
      <c r="O2329" s="7">
        <v>45536</v>
      </c>
      <c r="P2329" s="6">
        <v>145.72</v>
      </c>
      <c r="Q2329" s="6">
        <v>208.76</v>
      </c>
      <c r="R2329" s="7">
        <v>45352</v>
      </c>
      <c r="S2329" s="6">
        <v>124.58</v>
      </c>
      <c r="T2329" s="6">
        <v>7.16</v>
      </c>
      <c r="U2329" s="7">
        <v>45352</v>
      </c>
      <c r="V2329" s="6">
        <v>8.81</v>
      </c>
      <c r="W2329" s="6">
        <f ca="1">IFERROR(__xludf.DUMMYFUNCTION("IFERROR(GOOGLEFINANCE(B2329,""pe""),V2329)"),8.81)</f>
        <v>8.81</v>
      </c>
      <c r="X2329" s="9"/>
      <c r="Y2329" s="6">
        <v>0.8</v>
      </c>
      <c r="Z2329" s="6">
        <v>2</v>
      </c>
      <c r="AA2329" s="8">
        <v>45352</v>
      </c>
      <c r="AB2329" s="4">
        <v>1.83</v>
      </c>
      <c r="AC2329" s="6">
        <v>18.59</v>
      </c>
      <c r="AD2329" s="6">
        <v>13.64</v>
      </c>
      <c r="AE2329" s="1">
        <v>0</v>
      </c>
      <c r="AF2329" s="1">
        <f ca="1">IFERROR(__xludf.DUMMYFUNCTION("IFERROR(GOOGLEFINANCE(TRIM(F2329)&amp;"":"" &amp; TRIM(B2329),""high52""),AE2329)"),0)</f>
        <v>0</v>
      </c>
      <c r="AG2329" s="1">
        <v>0</v>
      </c>
      <c r="AH2329" s="1">
        <f ca="1">IFERROR(__xludf.DUMMYFUNCTION("IFERROR(GOOGLEFINANCE(TRIM(F2329)&amp;"":"" &amp; TRIM(B2329),""low52""),AE2329)"),0)</f>
        <v>0</v>
      </c>
      <c r="AI2329" s="1">
        <f ca="1">IFERROR(__xludf.DUMMYFUNCTION("IFERROR(GOOGLEFINANCE(B2329,""eps""),0)"),0)</f>
        <v>0</v>
      </c>
      <c r="AJ2329" s="1"/>
      <c r="AK2329" s="1" t="s">
        <v>7294</v>
      </c>
      <c r="AL2329" s="9">
        <f t="shared" si="241"/>
        <v>1</v>
      </c>
    </row>
    <row r="2330" spans="1:38" ht="15" x14ac:dyDescent="0.25">
      <c r="A2330" s="1" t="s">
        <v>7295</v>
      </c>
      <c r="B2330" s="1" t="s">
        <v>7296</v>
      </c>
      <c r="C2330" s="1" t="s">
        <v>264</v>
      </c>
      <c r="D2330" s="1" t="s">
        <v>264</v>
      </c>
      <c r="E2330" s="6">
        <v>675.25</v>
      </c>
      <c r="F2330" s="1" t="s">
        <v>40</v>
      </c>
      <c r="G2330" s="6">
        <f ca="1">IFERROR(__xludf.DUMMYFUNCTION("iferror(GOOGLEFINANCE(TRIM(F2330)&amp;"":"" &amp; TRIM(B2330), ""price""),0
)"),149.99)</f>
        <v>149.99</v>
      </c>
      <c r="H2330" s="6">
        <v>125</v>
      </c>
      <c r="I2330" s="6">
        <f t="shared" ca="1" si="0"/>
        <v>149.99</v>
      </c>
      <c r="J2330" s="6">
        <f ca="1">IFERROR(__xludf.DUMMYFUNCTION("IFERROR(GOOGLEFINANCE(B2330, ""volume""), 0)"),24042)</f>
        <v>24042</v>
      </c>
      <c r="K2330" s="6">
        <v>1.1000000000000001</v>
      </c>
      <c r="L2330" s="6">
        <f ca="1">IFERROR(__xludf.DUMMYFUNCTION("IFERROR(GOOGLEFINANCE(B2330,""changepct""),K2330)"),0.5)</f>
        <v>0.5</v>
      </c>
      <c r="M2330" s="6">
        <f ca="1">IFERROR(__xludf.DUMMYFUNCTION("IFERROR(GOOGLEFINANCE(B2330,""change""),0)"),0.74)</f>
        <v>0.74</v>
      </c>
      <c r="N2330" s="6">
        <v>1</v>
      </c>
      <c r="O2330" s="7">
        <v>45536</v>
      </c>
      <c r="P2330" s="6">
        <v>40.1</v>
      </c>
      <c r="Q2330" s="6">
        <v>712.75</v>
      </c>
      <c r="R2330" s="7">
        <v>45536</v>
      </c>
      <c r="S2330" s="6">
        <v>832.59</v>
      </c>
      <c r="T2330" s="6">
        <v>23.24</v>
      </c>
      <c r="U2330" s="7">
        <v>45536</v>
      </c>
      <c r="V2330" s="6">
        <v>29.06</v>
      </c>
      <c r="W2330" s="6">
        <f ca="1">IFERROR(__xludf.DUMMYFUNCTION("IFERROR(GOOGLEFINANCE(B2330,""pe""),V2330)"),52.41)</f>
        <v>52.41</v>
      </c>
      <c r="X2330" s="6">
        <v>1</v>
      </c>
      <c r="Y2330" s="6">
        <v>3.93</v>
      </c>
      <c r="Z2330" s="6">
        <v>1</v>
      </c>
      <c r="AA2330" s="8">
        <v>45352</v>
      </c>
      <c r="AB2330" s="4">
        <v>0.2</v>
      </c>
      <c r="AC2330" s="6">
        <v>22.33</v>
      </c>
      <c r="AD2330" s="6">
        <v>25.05</v>
      </c>
      <c r="AE2330" s="1">
        <v>0</v>
      </c>
      <c r="AF2330" s="1">
        <f ca="1">IFERROR(__xludf.DUMMYFUNCTION("IFERROR(GOOGLEFINANCE(TRIM(F2330)&amp;"":"" &amp; TRIM(B2330),""high52""),AE2330)"),184.74)</f>
        <v>184.74</v>
      </c>
      <c r="AG2330" s="1">
        <v>0</v>
      </c>
      <c r="AH2330" s="1">
        <f ca="1">IFERROR(__xludf.DUMMYFUNCTION("IFERROR(GOOGLEFINANCE(TRIM(F2330)&amp;"":"" &amp; TRIM(B2330),""low52""),AE2330)"),75.51)</f>
        <v>75.510000000000005</v>
      </c>
      <c r="AI2330" s="1">
        <f ca="1">IFERROR(__xludf.DUMMYFUNCTION("IFERROR(GOOGLEFINANCE(B2330,""eps""),0)"),2.86)</f>
        <v>2.86</v>
      </c>
      <c r="AJ2330" s="1"/>
      <c r="AK2330" s="1" t="s">
        <v>7297</v>
      </c>
      <c r="AL2330" s="1" t="b">
        <f>ISNUMBER(AA2330)</f>
        <v>1</v>
      </c>
    </row>
    <row r="2331" spans="1:38" ht="15" x14ac:dyDescent="0.25">
      <c r="A2331" s="1" t="s">
        <v>7298</v>
      </c>
      <c r="B2331" s="1" t="s">
        <v>7299</v>
      </c>
      <c r="C2331" s="1" t="s">
        <v>1739</v>
      </c>
      <c r="D2331" s="1" t="s">
        <v>1739</v>
      </c>
      <c r="E2331" s="6">
        <v>162.6</v>
      </c>
      <c r="F2331" s="1" t="s">
        <v>40</v>
      </c>
      <c r="G2331" s="6">
        <f ca="1">IFERROR(__xludf.DUMMYFUNCTION("iferror(GOOGLEFINANCE(TRIM(F2331)&amp;"":"" &amp; TRIM(B2331), ""price""),0
)"),0)</f>
        <v>0</v>
      </c>
      <c r="H2331" s="6">
        <v>166</v>
      </c>
      <c r="I2331" s="6">
        <f t="shared" ca="1" si="0"/>
        <v>166</v>
      </c>
      <c r="J2331" s="6">
        <f ca="1">IFERROR(__xludf.DUMMYFUNCTION("IFERROR(GOOGLEFINANCE(B2331, ""volume""), 0)"),0)</f>
        <v>0</v>
      </c>
      <c r="K2331" s="9"/>
      <c r="L2331" s="6" t="str">
        <f ca="1">IFERROR(__xludf.DUMMYFUNCTION("IFERROR(GOOGLEFINANCE(B2331,""changepct""),K2331)"),"")</f>
        <v/>
      </c>
      <c r="M2331" s="6">
        <f ca="1">IFERROR(__xludf.DUMMYFUNCTION("IFERROR(GOOGLEFINANCE(B2331,""change""),0)"),0)</f>
        <v>0</v>
      </c>
      <c r="N2331" s="6">
        <v>1</v>
      </c>
      <c r="O2331" s="7">
        <v>45536</v>
      </c>
      <c r="P2331" s="6">
        <v>0.96</v>
      </c>
      <c r="Q2331" s="6">
        <v>163.56</v>
      </c>
      <c r="R2331" s="9"/>
      <c r="S2331" s="12"/>
      <c r="T2331" s="9"/>
      <c r="U2331" s="7">
        <v>45352</v>
      </c>
      <c r="V2331" s="6">
        <v>73.48</v>
      </c>
      <c r="W2331" s="6">
        <f ca="1">IFERROR(__xludf.DUMMYFUNCTION("IFERROR(GOOGLEFINANCE(B2331,""pe""),V2331)"),73.48)</f>
        <v>73.48</v>
      </c>
      <c r="X2331" s="9"/>
      <c r="Y2331" s="6">
        <v>5.55</v>
      </c>
      <c r="Z2331" s="6">
        <v>1</v>
      </c>
      <c r="AA2331" s="8">
        <v>45352</v>
      </c>
      <c r="AB2331" s="4">
        <v>0.25</v>
      </c>
      <c r="AC2331" s="6">
        <v>36.06</v>
      </c>
      <c r="AD2331" s="6">
        <v>42.78</v>
      </c>
      <c r="AE2331" s="1">
        <v>0</v>
      </c>
      <c r="AF2331" s="1">
        <f ca="1">IFERROR(__xludf.DUMMYFUNCTION("IFERROR(GOOGLEFINANCE(TRIM(F2331)&amp;"":"" &amp; TRIM(B2331),""high52""),AE2331)"),0)</f>
        <v>0</v>
      </c>
      <c r="AG2331" s="1">
        <v>0</v>
      </c>
      <c r="AH2331" s="1">
        <f ca="1">IFERROR(__xludf.DUMMYFUNCTION("IFERROR(GOOGLEFINANCE(TRIM(F2331)&amp;"":"" &amp; TRIM(B2331),""low52""),AE2331)"),0)</f>
        <v>0</v>
      </c>
      <c r="AI2331" s="1">
        <f ca="1">IFERROR(__xludf.DUMMYFUNCTION("IFERROR(GOOGLEFINANCE(B2331,""eps""),0)"),0)</f>
        <v>0</v>
      </c>
      <c r="AJ2331" s="1"/>
      <c r="AK2331" s="1" t="s">
        <v>7300</v>
      </c>
      <c r="AL2331" s="9">
        <f t="shared" ref="AL2331:AL2336" si="242">IF(AA2331&lt;&gt;AB2331,1,0)</f>
        <v>1</v>
      </c>
    </row>
    <row r="2332" spans="1:38" ht="15" x14ac:dyDescent="0.25">
      <c r="A2332" s="1" t="s">
        <v>7301</v>
      </c>
      <c r="B2332" s="1" t="s">
        <v>7302</v>
      </c>
      <c r="C2332" s="1" t="s">
        <v>416</v>
      </c>
      <c r="D2332" s="1" t="s">
        <v>416</v>
      </c>
      <c r="E2332" s="6">
        <v>1491.32</v>
      </c>
      <c r="F2332" s="1" t="s">
        <v>40</v>
      </c>
      <c r="G2332" s="6">
        <f ca="1">IFERROR(__xludf.DUMMYFUNCTION("iferror(GOOGLEFINANCE(TRIM(F2332)&amp;"":"" &amp; TRIM(B2332), ""price""),0
)"),851.5)</f>
        <v>851.5</v>
      </c>
      <c r="H2332" s="6">
        <v>1489</v>
      </c>
      <c r="I2332" s="6">
        <f t="shared" ca="1" si="0"/>
        <v>851.5</v>
      </c>
      <c r="J2332" s="6">
        <f ca="1">IFERROR(__xludf.DUMMYFUNCTION("IFERROR(GOOGLEFINANCE(B2332, ""volume""), 0)"),5941)</f>
        <v>5941</v>
      </c>
      <c r="K2332" s="6">
        <v>-0.11</v>
      </c>
      <c r="L2332" s="6">
        <f ca="1">IFERROR(__xludf.DUMMYFUNCTION("IFERROR(GOOGLEFINANCE(B2332,""changepct""),K2332)"),-2.85)</f>
        <v>-2.85</v>
      </c>
      <c r="M2332" s="6">
        <f ca="1">IFERROR(__xludf.DUMMYFUNCTION("IFERROR(GOOGLEFINANCE(B2332,""change""),0)"),-25)</f>
        <v>-25</v>
      </c>
      <c r="N2332" s="6">
        <v>1</v>
      </c>
      <c r="O2332" s="7">
        <v>45536</v>
      </c>
      <c r="P2332" s="12"/>
      <c r="Q2332" s="6">
        <v>1485.12</v>
      </c>
      <c r="R2332" s="7">
        <v>45536</v>
      </c>
      <c r="S2332" s="6">
        <v>258.8</v>
      </c>
      <c r="T2332" s="6">
        <v>28.36</v>
      </c>
      <c r="U2332" s="7">
        <v>45536</v>
      </c>
      <c r="V2332" s="6">
        <v>52.58</v>
      </c>
      <c r="W2332" s="6">
        <f ca="1">IFERROR(__xludf.DUMMYFUNCTION("IFERROR(GOOGLEFINANCE(B2332,""pe""),V2332)"),31.49)</f>
        <v>31.49</v>
      </c>
      <c r="X2332" s="6">
        <v>3.78</v>
      </c>
      <c r="Y2332" s="6">
        <v>11.35</v>
      </c>
      <c r="Z2332" s="6">
        <v>1</v>
      </c>
      <c r="AA2332" s="8">
        <v>45352</v>
      </c>
      <c r="AB2332" s="4">
        <v>0</v>
      </c>
      <c r="AC2332" s="6">
        <v>22.48</v>
      </c>
      <c r="AD2332" s="6">
        <v>30.3</v>
      </c>
      <c r="AE2332" s="1">
        <v>0</v>
      </c>
      <c r="AF2332" s="1">
        <f ca="1">IFERROR(__xludf.DUMMYFUNCTION("IFERROR(GOOGLEFINANCE(TRIM(F2332)&amp;"":"" &amp; TRIM(B2332),""high52""),AE2332)"),1314.9)</f>
        <v>1314.9</v>
      </c>
      <c r="AG2332" s="1">
        <v>0</v>
      </c>
      <c r="AH2332" s="1">
        <f ca="1">IFERROR(__xludf.DUMMYFUNCTION("IFERROR(GOOGLEFINANCE(TRIM(F2332)&amp;"":"" &amp; TRIM(B2332),""low52""),AE2332)"),601.2)</f>
        <v>601.20000000000005</v>
      </c>
      <c r="AI2332" s="1">
        <f ca="1">IFERROR(__xludf.DUMMYFUNCTION("IFERROR(GOOGLEFINANCE(B2332,""eps""),0)"),27.04)</f>
        <v>27.04</v>
      </c>
      <c r="AJ2332" s="1"/>
      <c r="AK2332" s="1" t="s">
        <v>7303</v>
      </c>
      <c r="AL2332" s="9">
        <f t="shared" si="242"/>
        <v>1</v>
      </c>
    </row>
    <row r="2333" spans="1:38" ht="15" x14ac:dyDescent="0.25">
      <c r="A2333" s="1" t="s">
        <v>7304</v>
      </c>
      <c r="B2333" s="1" t="s">
        <v>7305</v>
      </c>
      <c r="C2333" s="1" t="s">
        <v>487</v>
      </c>
      <c r="D2333" s="1" t="s">
        <v>487</v>
      </c>
      <c r="E2333" s="6">
        <v>137243.29999999999</v>
      </c>
      <c r="F2333" s="1" t="s">
        <v>40</v>
      </c>
      <c r="G2333" s="6">
        <f ca="1">IFERROR(__xludf.DUMMYFUNCTION("iferror(GOOGLEFINANCE(TRIM(F2333)&amp;"":"" &amp; TRIM(B2333), ""price""),0
)"),964)</f>
        <v>964</v>
      </c>
      <c r="H2333" s="6">
        <v>1379</v>
      </c>
      <c r="I2333" s="6">
        <f t="shared" ca="1" si="0"/>
        <v>964</v>
      </c>
      <c r="J2333" s="6">
        <f ca="1">IFERROR(__xludf.DUMMYFUNCTION("IFERROR(GOOGLEFINANCE(B2333, ""volume""), 0)"),1783088)</f>
        <v>1783088</v>
      </c>
      <c r="K2333" s="6">
        <v>0.44</v>
      </c>
      <c r="L2333" s="6">
        <f ca="1">IFERROR(__xludf.DUMMYFUNCTION("IFERROR(GOOGLEFINANCE(B2333,""changepct""),K2333)"),5.05)</f>
        <v>5.05</v>
      </c>
      <c r="M2333" s="6">
        <f ca="1">IFERROR(__xludf.DUMMYFUNCTION("IFERROR(GOOGLEFINANCE(B2333,""change""),0)"),46.3)</f>
        <v>46.3</v>
      </c>
      <c r="N2333" s="6">
        <v>2</v>
      </c>
      <c r="O2333" s="7">
        <v>45536</v>
      </c>
      <c r="P2333" s="6">
        <v>7973.6</v>
      </c>
      <c r="Q2333" s="6">
        <v>143795.20000000001</v>
      </c>
      <c r="R2333" s="7">
        <v>45536</v>
      </c>
      <c r="S2333" s="6">
        <v>12421.3</v>
      </c>
      <c r="T2333" s="6">
        <v>2079.6</v>
      </c>
      <c r="U2333" s="7">
        <v>45536</v>
      </c>
      <c r="V2333" s="6">
        <v>66.400000000000006</v>
      </c>
      <c r="W2333" s="6">
        <f ca="1">IFERROR(__xludf.DUMMYFUNCTION("IFERROR(GOOGLEFINANCE(B2333,""pe""),V2333)"),28.87)</f>
        <v>28.87</v>
      </c>
      <c r="X2333" s="9"/>
      <c r="Y2333" s="6">
        <v>7.73</v>
      </c>
      <c r="Z2333" s="6">
        <v>2</v>
      </c>
      <c r="AA2333" s="8">
        <v>45352</v>
      </c>
      <c r="AB2333" s="4">
        <v>0.45</v>
      </c>
      <c r="AC2333" s="6">
        <v>10.72</v>
      </c>
      <c r="AD2333" s="6">
        <v>10.91</v>
      </c>
      <c r="AE2333" s="1">
        <v>0</v>
      </c>
      <c r="AF2333" s="1">
        <f ca="1">IFERROR(__xludf.DUMMYFUNCTION("IFERROR(GOOGLEFINANCE(TRIM(F2333)&amp;"":"" &amp; TRIM(B2333),""high52""),AE2333)"),1531)</f>
        <v>1531</v>
      </c>
      <c r="AG2333" s="1">
        <v>0</v>
      </c>
      <c r="AH2333" s="1">
        <f ca="1">IFERROR(__xludf.DUMMYFUNCTION("IFERROR(GOOGLEFINANCE(TRIM(F2333)&amp;"":"" &amp; TRIM(B2333),""low52""),AE2333)"),863.8)</f>
        <v>863.8</v>
      </c>
      <c r="AI2333" s="1">
        <f ca="1">IFERROR(__xludf.DUMMYFUNCTION("IFERROR(GOOGLEFINANCE(B2333,""eps""),0)"),33.39)</f>
        <v>33.39</v>
      </c>
      <c r="AJ2333" s="1"/>
      <c r="AK2333" s="12"/>
      <c r="AL2333" s="9">
        <f t="shared" si="242"/>
        <v>1</v>
      </c>
    </row>
    <row r="2334" spans="1:38" ht="15" x14ac:dyDescent="0.25">
      <c r="A2334" s="1" t="s">
        <v>7306</v>
      </c>
      <c r="B2334" s="1" t="s">
        <v>7307</v>
      </c>
      <c r="C2334" s="1" t="s">
        <v>1497</v>
      </c>
      <c r="D2334" s="1" t="s">
        <v>1497</v>
      </c>
      <c r="E2334" s="6">
        <v>154.13999999999999</v>
      </c>
      <c r="F2334" s="1" t="s">
        <v>40</v>
      </c>
      <c r="G2334" s="6">
        <f ca="1">IFERROR(__xludf.DUMMYFUNCTION("iferror(GOOGLEFINANCE(TRIM(F2334)&amp;"":"" &amp; TRIM(B2334), ""price""),0
)"),82.55)</f>
        <v>82.55</v>
      </c>
      <c r="H2334" s="6">
        <v>55.75</v>
      </c>
      <c r="I2334" s="6">
        <f t="shared" ca="1" si="0"/>
        <v>82.55</v>
      </c>
      <c r="J2334" s="6">
        <f ca="1">IFERROR(__xludf.DUMMYFUNCTION("IFERROR(GOOGLEFINANCE(B2334, ""volume""), 0)"),67000)</f>
        <v>67000</v>
      </c>
      <c r="K2334" s="6">
        <v>-1.83</v>
      </c>
      <c r="L2334" s="6">
        <f ca="1">IFERROR(__xludf.DUMMYFUNCTION("IFERROR(GOOGLEFINANCE(B2334,""changepct""),K2334)"),-7.69)</f>
        <v>-7.69</v>
      </c>
      <c r="M2334" s="6">
        <f ca="1">IFERROR(__xludf.DUMMYFUNCTION("IFERROR(GOOGLEFINANCE(B2334,""change""),0)"),0)</f>
        <v>0</v>
      </c>
      <c r="N2334" s="6">
        <v>1</v>
      </c>
      <c r="O2334" s="7">
        <v>45536</v>
      </c>
      <c r="P2334" s="6">
        <v>15.83</v>
      </c>
      <c r="Q2334" s="6">
        <v>169.35</v>
      </c>
      <c r="R2334" s="7">
        <v>45536</v>
      </c>
      <c r="S2334" s="6">
        <v>78.260000000000005</v>
      </c>
      <c r="T2334" s="6">
        <v>5.36</v>
      </c>
      <c r="U2334" s="7">
        <v>45536</v>
      </c>
      <c r="V2334" s="6">
        <v>28.74</v>
      </c>
      <c r="W2334" s="6">
        <f ca="1">IFERROR(__xludf.DUMMYFUNCTION("IFERROR(GOOGLEFINANCE(B2334,""pe""),V2334)"),28.74)</f>
        <v>28.74</v>
      </c>
      <c r="X2334" s="6">
        <v>-1.47</v>
      </c>
      <c r="Y2334" s="6">
        <v>3.58</v>
      </c>
      <c r="Z2334" s="6">
        <v>1</v>
      </c>
      <c r="AA2334" s="8">
        <v>45352</v>
      </c>
      <c r="AB2334" s="4">
        <v>0.32</v>
      </c>
      <c r="AC2334" s="6">
        <v>3.04</v>
      </c>
      <c r="AD2334" s="6">
        <v>3.84</v>
      </c>
      <c r="AE2334" s="1">
        <v>0</v>
      </c>
      <c r="AF2334" s="1">
        <f ca="1">IFERROR(__xludf.DUMMYFUNCTION("IFERROR(GOOGLEFINANCE(TRIM(F2334)&amp;"":"" &amp; TRIM(B2334),""high52""),AE2334)"),93.2)</f>
        <v>93.2</v>
      </c>
      <c r="AG2334" s="1">
        <v>0</v>
      </c>
      <c r="AH2334" s="1">
        <f ca="1">IFERROR(__xludf.DUMMYFUNCTION("IFERROR(GOOGLEFINANCE(TRIM(F2334)&amp;"":"" &amp; TRIM(B2334),""low52""),AE2334)"),39.6)</f>
        <v>39.6</v>
      </c>
      <c r="AI2334" s="1">
        <f ca="1">IFERROR(__xludf.DUMMYFUNCTION("IFERROR(GOOGLEFINANCE(B2334,""eps""),0)"),0)</f>
        <v>0</v>
      </c>
      <c r="AJ2334" s="1"/>
      <c r="AK2334" s="1" t="s">
        <v>7308</v>
      </c>
      <c r="AL2334" s="9">
        <f t="shared" si="242"/>
        <v>1</v>
      </c>
    </row>
    <row r="2335" spans="1:38" ht="15" x14ac:dyDescent="0.25">
      <c r="A2335" s="1" t="s">
        <v>7309</v>
      </c>
      <c r="B2335" s="1" t="s">
        <v>7310</v>
      </c>
      <c r="C2335" s="1" t="s">
        <v>473</v>
      </c>
      <c r="D2335" s="1" t="s">
        <v>473</v>
      </c>
      <c r="E2335" s="6">
        <v>793.83</v>
      </c>
      <c r="F2335" s="1" t="s">
        <v>53</v>
      </c>
      <c r="G2335" s="6">
        <f ca="1">IFERROR(__xludf.DUMMYFUNCTION("iferror(GOOGLEFINANCE(TRIM(F2335)&amp;"":"" &amp; TRIM(B2335), ""price""),0
)"),0)</f>
        <v>0</v>
      </c>
      <c r="H2335" s="6">
        <v>1306.2</v>
      </c>
      <c r="I2335" s="6">
        <f t="shared" ca="1" si="0"/>
        <v>1306.2</v>
      </c>
      <c r="J2335" s="6">
        <f ca="1">IFERROR(__xludf.DUMMYFUNCTION("IFERROR(GOOGLEFINANCE(B2335, ""volume""), 0)"),0)</f>
        <v>0</v>
      </c>
      <c r="K2335" s="6">
        <v>-1.27</v>
      </c>
      <c r="L2335" s="6">
        <f ca="1">IFERROR(__xludf.DUMMYFUNCTION("IFERROR(GOOGLEFINANCE(B2335,""changepct""),K2335)"),-1.27)</f>
        <v>-1.27</v>
      </c>
      <c r="M2335" s="6">
        <f ca="1">IFERROR(__xludf.DUMMYFUNCTION("IFERROR(GOOGLEFINANCE(B2335,""change""),0)"),0)</f>
        <v>0</v>
      </c>
      <c r="N2335" s="6">
        <v>1</v>
      </c>
      <c r="O2335" s="7">
        <v>45536</v>
      </c>
      <c r="P2335" s="6">
        <v>200.67</v>
      </c>
      <c r="Q2335" s="6">
        <v>875.51</v>
      </c>
      <c r="R2335" s="7">
        <v>45536</v>
      </c>
      <c r="S2335" s="6">
        <v>619.92999999999995</v>
      </c>
      <c r="T2335" s="6">
        <v>42.32</v>
      </c>
      <c r="U2335" s="7">
        <v>45536</v>
      </c>
      <c r="V2335" s="6">
        <v>18.760000000000002</v>
      </c>
      <c r="W2335" s="6">
        <f ca="1">IFERROR(__xludf.DUMMYFUNCTION("IFERROR(GOOGLEFINANCE(B2335,""pe""),V2335)"),18.76)</f>
        <v>18.760000000000002</v>
      </c>
      <c r="X2335" s="6">
        <v>-5.63</v>
      </c>
      <c r="Y2335" s="6">
        <v>2.6</v>
      </c>
      <c r="Z2335" s="6">
        <v>1</v>
      </c>
      <c r="AA2335" s="8">
        <v>45352</v>
      </c>
      <c r="AB2335" s="4">
        <v>0.53</v>
      </c>
      <c r="AC2335" s="6">
        <v>12.68</v>
      </c>
      <c r="AD2335" s="6">
        <v>15.87</v>
      </c>
      <c r="AE2335" s="1">
        <v>0</v>
      </c>
      <c r="AF2335" s="1">
        <f ca="1">IFERROR(__xludf.DUMMYFUNCTION("IFERROR(GOOGLEFINANCE(TRIM(F2335)&amp;"":"" &amp; TRIM(B2335),""high52""),AE2335)"),0)</f>
        <v>0</v>
      </c>
      <c r="AG2335" s="1">
        <v>0</v>
      </c>
      <c r="AH2335" s="1">
        <f ca="1">IFERROR(__xludf.DUMMYFUNCTION("IFERROR(GOOGLEFINANCE(TRIM(F2335)&amp;"":"" &amp; TRIM(B2335),""low52""),AE2335)"),0)</f>
        <v>0</v>
      </c>
      <c r="AI2335" s="1">
        <f ca="1">IFERROR(__xludf.DUMMYFUNCTION("IFERROR(GOOGLEFINANCE(B2335,""eps""),0)"),0)</f>
        <v>0</v>
      </c>
      <c r="AJ2335" s="1"/>
      <c r="AK2335" s="1" t="s">
        <v>7311</v>
      </c>
      <c r="AL2335" s="9">
        <f t="shared" si="242"/>
        <v>1</v>
      </c>
    </row>
    <row r="2336" spans="1:38" ht="15" x14ac:dyDescent="0.25">
      <c r="A2336" s="1" t="s">
        <v>7312</v>
      </c>
      <c r="B2336" s="1" t="s">
        <v>7313</v>
      </c>
      <c r="C2336" s="1" t="s">
        <v>473</v>
      </c>
      <c r="D2336" s="1" t="s">
        <v>473</v>
      </c>
      <c r="E2336" s="6">
        <v>807.89</v>
      </c>
      <c r="F2336" s="1" t="s">
        <v>53</v>
      </c>
      <c r="G2336" s="6">
        <f ca="1">IFERROR(__xludf.DUMMYFUNCTION("iferror(GOOGLEFINANCE(TRIM(F2336)&amp;"":"" &amp; TRIM(B2336), ""price""),0
)"),0)</f>
        <v>0</v>
      </c>
      <c r="H2336" s="6">
        <v>150</v>
      </c>
      <c r="I2336" s="6">
        <f t="shared" ca="1" si="0"/>
        <v>150</v>
      </c>
      <c r="J2336" s="6">
        <f ca="1">IFERROR(__xludf.DUMMYFUNCTION("IFERROR(GOOGLEFINANCE(B2336, ""volume""), 0)"),0)</f>
        <v>0</v>
      </c>
      <c r="K2336" s="6">
        <v>-0.2</v>
      </c>
      <c r="L2336" s="6">
        <f ca="1">IFERROR(__xludf.DUMMYFUNCTION("IFERROR(GOOGLEFINANCE(B2336,""changepct""),K2336)"),-0.2)</f>
        <v>-0.2</v>
      </c>
      <c r="M2336" s="6">
        <f ca="1">IFERROR(__xludf.DUMMYFUNCTION("IFERROR(GOOGLEFINANCE(B2336,""change""),0)"),0)</f>
        <v>0</v>
      </c>
      <c r="N2336" s="6">
        <v>2</v>
      </c>
      <c r="O2336" s="7">
        <v>45536</v>
      </c>
      <c r="P2336" s="6">
        <v>122.04</v>
      </c>
      <c r="Q2336" s="6">
        <v>917.13</v>
      </c>
      <c r="R2336" s="7">
        <v>45536</v>
      </c>
      <c r="S2336" s="6">
        <v>372.17</v>
      </c>
      <c r="T2336" s="6">
        <v>18.87</v>
      </c>
      <c r="U2336" s="7">
        <v>45536</v>
      </c>
      <c r="V2336" s="6">
        <v>35.33</v>
      </c>
      <c r="W2336" s="6">
        <f ca="1">IFERROR(__xludf.DUMMYFUNCTION("IFERROR(GOOGLEFINANCE(B2336,""pe""),V2336)"),35.33)</f>
        <v>35.33</v>
      </c>
      <c r="X2336" s="6">
        <v>1.02</v>
      </c>
      <c r="Y2336" s="6">
        <v>3.9</v>
      </c>
      <c r="Z2336" s="6">
        <v>2</v>
      </c>
      <c r="AA2336" s="8">
        <v>45352</v>
      </c>
      <c r="AB2336" s="4">
        <v>0.6</v>
      </c>
      <c r="AC2336" s="6">
        <v>13.06</v>
      </c>
      <c r="AD2336" s="6">
        <v>15.93</v>
      </c>
      <c r="AE2336" s="1">
        <v>0</v>
      </c>
      <c r="AF2336" s="1">
        <f ca="1">IFERROR(__xludf.DUMMYFUNCTION("IFERROR(GOOGLEFINANCE(TRIM(F2336)&amp;"":"" &amp; TRIM(B2336),""high52""),AE2336)"),0)</f>
        <v>0</v>
      </c>
      <c r="AG2336" s="1">
        <v>0</v>
      </c>
      <c r="AH2336" s="1">
        <f ca="1">IFERROR(__xludf.DUMMYFUNCTION("IFERROR(GOOGLEFINANCE(TRIM(F2336)&amp;"":"" &amp; TRIM(B2336),""low52""),AE2336)"),0)</f>
        <v>0</v>
      </c>
      <c r="AI2336" s="1">
        <f ca="1">IFERROR(__xludf.DUMMYFUNCTION("IFERROR(GOOGLEFINANCE(B2336,""eps""),0)"),0)</f>
        <v>0</v>
      </c>
      <c r="AJ2336" s="1"/>
      <c r="AK2336" s="1" t="s">
        <v>7314</v>
      </c>
      <c r="AL2336" s="9">
        <f t="shared" si="242"/>
        <v>1</v>
      </c>
    </row>
    <row r="2337" spans="1:38" ht="15" x14ac:dyDescent="0.25">
      <c r="A2337" s="1" t="s">
        <v>7315</v>
      </c>
      <c r="B2337" s="1" t="s">
        <v>7316</v>
      </c>
      <c r="C2337" s="1" t="s">
        <v>889</v>
      </c>
      <c r="D2337" s="1" t="s">
        <v>889</v>
      </c>
      <c r="E2337" s="6">
        <v>52.82</v>
      </c>
      <c r="F2337" s="1" t="s">
        <v>40</v>
      </c>
      <c r="G2337" s="6">
        <f ca="1">IFERROR(__xludf.DUMMYFUNCTION("iferror(GOOGLEFINANCE(TRIM(F2337)&amp;"":"" &amp; TRIM(B2337), ""price""),0
)"),35.91)</f>
        <v>35.909999999999997</v>
      </c>
      <c r="H2337" s="6">
        <v>59.61</v>
      </c>
      <c r="I2337" s="6">
        <f t="shared" ca="1" si="0"/>
        <v>35.909999999999997</v>
      </c>
      <c r="J2337" s="6">
        <f ca="1">IFERROR(__xludf.DUMMYFUNCTION("IFERROR(GOOGLEFINANCE(B2337, ""volume""), 0)"),4559)</f>
        <v>4559</v>
      </c>
      <c r="K2337" s="6">
        <v>-0.23</v>
      </c>
      <c r="L2337" s="6">
        <f ca="1">IFERROR(__xludf.DUMMYFUNCTION("IFERROR(GOOGLEFINANCE(B2337,""changepct""),K2337)"),-2.42)</f>
        <v>-2.42</v>
      </c>
      <c r="M2337" s="6">
        <f ca="1">IFERROR(__xludf.DUMMYFUNCTION("IFERROR(GOOGLEFINANCE(B2337,""change""),0)"),-0.89)</f>
        <v>-0.89</v>
      </c>
      <c r="N2337" s="6">
        <v>2</v>
      </c>
      <c r="O2337" s="7">
        <v>45536</v>
      </c>
      <c r="P2337" s="6">
        <v>8.66</v>
      </c>
      <c r="Q2337" s="6">
        <v>60.73</v>
      </c>
      <c r="R2337" s="7">
        <v>45536</v>
      </c>
      <c r="S2337" s="6">
        <v>34.630000000000003</v>
      </c>
      <c r="T2337" s="6">
        <v>-1.38</v>
      </c>
      <c r="U2337" s="7">
        <v>45536</v>
      </c>
      <c r="V2337" s="6">
        <v>0</v>
      </c>
      <c r="W2337" s="6">
        <f ca="1">IFERROR(__xludf.DUMMYFUNCTION("IFERROR(GOOGLEFINANCE(B2337,""pe""),V2337)"),0)</f>
        <v>0</v>
      </c>
      <c r="X2337" s="12"/>
      <c r="Y2337" s="6">
        <v>0.42</v>
      </c>
      <c r="Z2337" s="6">
        <v>2</v>
      </c>
      <c r="AA2337" s="8">
        <v>45352</v>
      </c>
      <c r="AB2337" s="4">
        <v>0.12</v>
      </c>
      <c r="AC2337" s="6">
        <v>-1.52</v>
      </c>
      <c r="AD2337" s="6">
        <v>-0.03</v>
      </c>
      <c r="AE2337" s="1">
        <v>0</v>
      </c>
      <c r="AF2337" s="1">
        <f ca="1">IFERROR(__xludf.DUMMYFUNCTION("IFERROR(GOOGLEFINANCE(TRIM(F2337)&amp;"":"" &amp; TRIM(B2337),""high52""),AE2337)"),53.88)</f>
        <v>53.88</v>
      </c>
      <c r="AG2337" s="1">
        <v>0</v>
      </c>
      <c r="AH2337" s="1">
        <f ca="1">IFERROR(__xludf.DUMMYFUNCTION("IFERROR(GOOGLEFINANCE(TRIM(F2337)&amp;"":"" &amp; TRIM(B2337),""low52""),AE2337)"),34.06)</f>
        <v>34.06</v>
      </c>
      <c r="AI2337" s="1">
        <f ca="1">IFERROR(__xludf.DUMMYFUNCTION("IFERROR(GOOGLEFINANCE(B2337,""eps""),0)"),-1.03)</f>
        <v>-1.03</v>
      </c>
      <c r="AJ2337" s="1"/>
      <c r="AK2337" s="1" t="s">
        <v>7317</v>
      </c>
      <c r="AL2337" s="1" t="b">
        <f>ISNUMBER(AA2337)</f>
        <v>1</v>
      </c>
    </row>
    <row r="2338" spans="1:38" ht="15" x14ac:dyDescent="0.25">
      <c r="A2338" s="1" t="s">
        <v>7318</v>
      </c>
      <c r="B2338" s="1" t="s">
        <v>7319</v>
      </c>
      <c r="C2338" s="1" t="s">
        <v>473</v>
      </c>
      <c r="D2338" s="1" t="s">
        <v>473</v>
      </c>
      <c r="E2338" s="6">
        <v>31.6</v>
      </c>
      <c r="F2338" s="1" t="s">
        <v>53</v>
      </c>
      <c r="G2338" s="6">
        <f ca="1">IFERROR(__xludf.DUMMYFUNCTION("iferror(GOOGLEFINANCE(TRIM(F2338)&amp;"":"" &amp; TRIM(B2338), ""price""),0
)"),0)</f>
        <v>0</v>
      </c>
      <c r="H2338" s="6">
        <v>3.16</v>
      </c>
      <c r="I2338" s="6">
        <f t="shared" ca="1" si="0"/>
        <v>3.16</v>
      </c>
      <c r="J2338" s="6">
        <f ca="1">IFERROR(__xludf.DUMMYFUNCTION("IFERROR(GOOGLEFINANCE(B2338, ""volume""), 0)"),0)</f>
        <v>0</v>
      </c>
      <c r="K2338" s="9"/>
      <c r="L2338" s="6" t="str">
        <f ca="1">IFERROR(__xludf.DUMMYFUNCTION("IFERROR(GOOGLEFINANCE(B2338,""changepct""),K2338)"),"")</f>
        <v/>
      </c>
      <c r="M2338" s="6">
        <f ca="1">IFERROR(__xludf.DUMMYFUNCTION("IFERROR(GOOGLEFINANCE(B2338,""change""),0)"),0)</f>
        <v>0</v>
      </c>
      <c r="N2338" s="6">
        <v>1</v>
      </c>
      <c r="O2338" s="7">
        <v>45536</v>
      </c>
      <c r="P2338" s="6">
        <v>0.11</v>
      </c>
      <c r="Q2338" s="6">
        <v>31.71</v>
      </c>
      <c r="R2338" s="7">
        <v>45536</v>
      </c>
      <c r="S2338" s="6">
        <v>0.42</v>
      </c>
      <c r="T2338" s="6">
        <v>0.12</v>
      </c>
      <c r="U2338" s="7">
        <v>45536</v>
      </c>
      <c r="V2338" s="6">
        <v>254.84</v>
      </c>
      <c r="W2338" s="6">
        <f ca="1">IFERROR(__xludf.DUMMYFUNCTION("IFERROR(GOOGLEFINANCE(B2338,""pe""),V2338)"),254.84)</f>
        <v>254.84</v>
      </c>
      <c r="X2338" s="6">
        <v>-6.17</v>
      </c>
      <c r="Y2338" s="6">
        <v>10.039999999999999</v>
      </c>
      <c r="Z2338" s="6">
        <v>1</v>
      </c>
      <c r="AA2338" s="8">
        <v>45352</v>
      </c>
      <c r="AB2338" s="4">
        <v>0.02</v>
      </c>
      <c r="AC2338" s="6">
        <v>0.52</v>
      </c>
      <c r="AD2338" s="6">
        <v>5.09</v>
      </c>
      <c r="AE2338" s="1">
        <v>0</v>
      </c>
      <c r="AF2338" s="1">
        <f ca="1">IFERROR(__xludf.DUMMYFUNCTION("IFERROR(GOOGLEFINANCE(TRIM(F2338)&amp;"":"" &amp; TRIM(B2338),""high52""),AE2338)"),0)</f>
        <v>0</v>
      </c>
      <c r="AG2338" s="1">
        <v>0</v>
      </c>
      <c r="AH2338" s="1">
        <f ca="1">IFERROR(__xludf.DUMMYFUNCTION("IFERROR(GOOGLEFINANCE(TRIM(F2338)&amp;"":"" &amp; TRIM(B2338),""low52""),AE2338)"),0)</f>
        <v>0</v>
      </c>
      <c r="AI2338" s="1">
        <f ca="1">IFERROR(__xludf.DUMMYFUNCTION("IFERROR(GOOGLEFINANCE(B2338,""eps""),0)"),0)</f>
        <v>0</v>
      </c>
      <c r="AJ2338" s="1"/>
      <c r="AK2338" s="1" t="s">
        <v>7320</v>
      </c>
      <c r="AL2338" s="9">
        <f t="shared" ref="AL2338:AL2361" si="243">IF(AA2338&lt;&gt;AB2338,1,0)</f>
        <v>1</v>
      </c>
    </row>
    <row r="2339" spans="1:38" ht="15" x14ac:dyDescent="0.25">
      <c r="A2339" s="1" t="s">
        <v>7321</v>
      </c>
      <c r="B2339" s="1" t="s">
        <v>7322</v>
      </c>
      <c r="C2339" s="1" t="s">
        <v>86</v>
      </c>
      <c r="D2339" s="1" t="s">
        <v>86</v>
      </c>
      <c r="E2339" s="6">
        <v>74.459999999999994</v>
      </c>
      <c r="F2339" s="1" t="s">
        <v>40</v>
      </c>
      <c r="G2339" s="6">
        <f ca="1">IFERROR(__xludf.DUMMYFUNCTION("iferror(GOOGLEFINANCE(TRIM(F2339)&amp;"":"" &amp; TRIM(B2339), ""price""),0
)"),4.9)</f>
        <v>4.9000000000000004</v>
      </c>
      <c r="H2339" s="6">
        <v>10.63</v>
      </c>
      <c r="I2339" s="6">
        <f t="shared" ca="1" si="0"/>
        <v>4.9000000000000004</v>
      </c>
      <c r="J2339" s="6">
        <f ca="1">IFERROR(__xludf.DUMMYFUNCTION("IFERROR(GOOGLEFINANCE(B2339, ""volume""), 0)"),26688)</f>
        <v>26688</v>
      </c>
      <c r="K2339" s="6">
        <v>3.91</v>
      </c>
      <c r="L2339" s="6">
        <f ca="1">IFERROR(__xludf.DUMMYFUNCTION("IFERROR(GOOGLEFINANCE(B2339,""changepct""),K2339)"),-4.85)</f>
        <v>-4.8499999999999996</v>
      </c>
      <c r="M2339" s="6">
        <f ca="1">IFERROR(__xludf.DUMMYFUNCTION("IFERROR(GOOGLEFINANCE(B2339,""change""),0)"),-0.25)</f>
        <v>-0.25</v>
      </c>
      <c r="N2339" s="6">
        <v>2</v>
      </c>
      <c r="O2339" s="7">
        <v>45536</v>
      </c>
      <c r="P2339" s="6">
        <v>2577.16</v>
      </c>
      <c r="Q2339" s="6">
        <v>2651.62</v>
      </c>
      <c r="R2339" s="7">
        <v>45536</v>
      </c>
      <c r="S2339" s="6">
        <v>1122.94</v>
      </c>
      <c r="T2339" s="6">
        <v>-36.94</v>
      </c>
      <c r="U2339" s="7">
        <v>45536</v>
      </c>
      <c r="V2339" s="6">
        <v>0</v>
      </c>
      <c r="W2339" s="6">
        <f ca="1">IFERROR(__xludf.DUMMYFUNCTION("IFERROR(GOOGLEFINANCE(B2339,""pe""),V2339)"),0)</f>
        <v>0</v>
      </c>
      <c r="X2339" s="6">
        <v>0</v>
      </c>
      <c r="Y2339" s="6">
        <v>-0.04</v>
      </c>
      <c r="Z2339" s="6">
        <v>2</v>
      </c>
      <c r="AA2339" s="8">
        <v>44986</v>
      </c>
      <c r="AB2339" s="4">
        <v>-2.09</v>
      </c>
      <c r="AC2339" s="6">
        <v>0</v>
      </c>
      <c r="AD2339" s="6">
        <v>-7.18</v>
      </c>
      <c r="AE2339" s="1">
        <v>0</v>
      </c>
      <c r="AF2339" s="1">
        <f ca="1">IFERROR(__xludf.DUMMYFUNCTION("IFERROR(GOOGLEFINANCE(TRIM(F2339)&amp;"":"" &amp; TRIM(B2339),""high52""),AE2339)"),9.49)</f>
        <v>9.49</v>
      </c>
      <c r="AG2339" s="1">
        <v>0</v>
      </c>
      <c r="AH2339" s="1">
        <f ca="1">IFERROR(__xludf.DUMMYFUNCTION("IFERROR(GOOGLEFINANCE(TRIM(F2339)&amp;"":"" &amp; TRIM(B2339),""low52""),AE2339)"),4.72)</f>
        <v>4.72</v>
      </c>
      <c r="AI2339" s="1">
        <f ca="1">IFERROR(__xludf.DUMMYFUNCTION("IFERROR(GOOGLEFINANCE(B2339,""eps""),0)"),-94.82)</f>
        <v>-94.82</v>
      </c>
      <c r="AJ2339" s="1"/>
      <c r="AK2339" s="1" t="s">
        <v>7323</v>
      </c>
      <c r="AL2339" s="9">
        <f t="shared" si="243"/>
        <v>1</v>
      </c>
    </row>
    <row r="2340" spans="1:38" ht="15" x14ac:dyDescent="0.25">
      <c r="A2340" s="1" t="s">
        <v>7324</v>
      </c>
      <c r="B2340" s="1" t="s">
        <v>7325</v>
      </c>
      <c r="C2340" s="1" t="s">
        <v>324</v>
      </c>
      <c r="D2340" s="1" t="s">
        <v>324</v>
      </c>
      <c r="E2340" s="6">
        <v>323.7</v>
      </c>
      <c r="F2340" s="1" t="s">
        <v>40</v>
      </c>
      <c r="G2340" s="6">
        <f ca="1">IFERROR(__xludf.DUMMYFUNCTION("iferror(GOOGLEFINANCE(TRIM(F2340)&amp;"":"" &amp; TRIM(B2340), ""price""),0
)"),0)</f>
        <v>0</v>
      </c>
      <c r="H2340" s="6">
        <v>222</v>
      </c>
      <c r="I2340" s="6">
        <f t="shared" ca="1" si="0"/>
        <v>222</v>
      </c>
      <c r="J2340" s="6">
        <f ca="1">IFERROR(__xludf.DUMMYFUNCTION("IFERROR(GOOGLEFINANCE(B2340, ""volume""), 0)"),0)</f>
        <v>0</v>
      </c>
      <c r="K2340" s="6">
        <v>-1.31</v>
      </c>
      <c r="L2340" s="6">
        <f ca="1">IFERROR(__xludf.DUMMYFUNCTION("IFERROR(GOOGLEFINANCE(B2340,""changepct""),K2340)"),-1.31)</f>
        <v>-1.31</v>
      </c>
      <c r="M2340" s="6">
        <f ca="1">IFERROR(__xludf.DUMMYFUNCTION("IFERROR(GOOGLEFINANCE(B2340,""change""),0)"),0)</f>
        <v>0</v>
      </c>
      <c r="N2340" s="6">
        <v>1</v>
      </c>
      <c r="O2340" s="7">
        <v>45536</v>
      </c>
      <c r="P2340" s="6">
        <v>55.68</v>
      </c>
      <c r="Q2340" s="6">
        <v>379.39</v>
      </c>
      <c r="R2340" s="7">
        <v>45352</v>
      </c>
      <c r="S2340" s="6">
        <v>162.22</v>
      </c>
      <c r="T2340" s="6">
        <v>9.1999999999999993</v>
      </c>
      <c r="U2340" s="7">
        <v>45352</v>
      </c>
      <c r="V2340" s="6">
        <v>35.200000000000003</v>
      </c>
      <c r="W2340" s="6">
        <f ca="1">IFERROR(__xludf.DUMMYFUNCTION("IFERROR(GOOGLEFINANCE(B2340,""pe""),V2340)"),35.2)</f>
        <v>35.200000000000003</v>
      </c>
      <c r="X2340" s="12"/>
      <c r="Y2340" s="6">
        <v>4.57</v>
      </c>
      <c r="Z2340" s="6">
        <v>1</v>
      </c>
      <c r="AA2340" s="8">
        <v>45352</v>
      </c>
      <c r="AB2340" s="4">
        <v>1.1299999999999999</v>
      </c>
      <c r="AC2340" s="6">
        <v>32.43</v>
      </c>
      <c r="AD2340" s="6">
        <v>22.21</v>
      </c>
      <c r="AE2340" s="1">
        <v>0</v>
      </c>
      <c r="AF2340" s="1">
        <f ca="1">IFERROR(__xludf.DUMMYFUNCTION("IFERROR(GOOGLEFINANCE(TRIM(F2340)&amp;"":"" &amp; TRIM(B2340),""high52""),AE2340)"),0)</f>
        <v>0</v>
      </c>
      <c r="AG2340" s="1">
        <v>0</v>
      </c>
      <c r="AH2340" s="1">
        <f ca="1">IFERROR(__xludf.DUMMYFUNCTION("IFERROR(GOOGLEFINANCE(TRIM(F2340)&amp;"":"" &amp; TRIM(B2340),""low52""),AE2340)"),0)</f>
        <v>0</v>
      </c>
      <c r="AI2340" s="1">
        <f ca="1">IFERROR(__xludf.DUMMYFUNCTION("IFERROR(GOOGLEFINANCE(B2340,""eps""),0)"),0)</f>
        <v>0</v>
      </c>
      <c r="AJ2340" s="1"/>
      <c r="AK2340" s="1" t="s">
        <v>7326</v>
      </c>
      <c r="AL2340" s="9">
        <f t="shared" si="243"/>
        <v>1</v>
      </c>
    </row>
    <row r="2341" spans="1:38" ht="15" x14ac:dyDescent="0.25">
      <c r="A2341" s="1" t="s">
        <v>7327</v>
      </c>
      <c r="B2341" s="1" t="s">
        <v>7328</v>
      </c>
      <c r="C2341" s="1" t="s">
        <v>473</v>
      </c>
      <c r="D2341" s="1" t="s">
        <v>473</v>
      </c>
      <c r="E2341" s="6">
        <v>26.36</v>
      </c>
      <c r="F2341" s="1" t="s">
        <v>53</v>
      </c>
      <c r="G2341" s="6">
        <f ca="1">IFERROR(__xludf.DUMMYFUNCTION("iferror(GOOGLEFINANCE(TRIM(F2341)&amp;"":"" &amp; TRIM(B2341), ""price""),0
)"),0)</f>
        <v>0</v>
      </c>
      <c r="H2341" s="6">
        <v>20.71</v>
      </c>
      <c r="I2341" s="6">
        <f t="shared" ca="1" si="0"/>
        <v>20.71</v>
      </c>
      <c r="J2341" s="6">
        <f ca="1">IFERROR(__xludf.DUMMYFUNCTION("IFERROR(GOOGLEFINANCE(B2341, ""volume""), 0)"),0)</f>
        <v>0</v>
      </c>
      <c r="K2341" s="6">
        <v>-0.86</v>
      </c>
      <c r="L2341" s="6">
        <f ca="1">IFERROR(__xludf.DUMMYFUNCTION("IFERROR(GOOGLEFINANCE(B2341,""changepct""),K2341)"),-0.86)</f>
        <v>-0.86</v>
      </c>
      <c r="M2341" s="6">
        <f ca="1">IFERROR(__xludf.DUMMYFUNCTION("IFERROR(GOOGLEFINANCE(B2341,""change""),0)"),0)</f>
        <v>0</v>
      </c>
      <c r="N2341" s="6">
        <v>1</v>
      </c>
      <c r="O2341" s="7">
        <v>45536</v>
      </c>
      <c r="P2341" s="6">
        <v>18.71</v>
      </c>
      <c r="Q2341" s="6">
        <v>44.97</v>
      </c>
      <c r="R2341" s="7">
        <v>45536</v>
      </c>
      <c r="S2341" s="6">
        <v>0</v>
      </c>
      <c r="T2341" s="6">
        <v>1.74</v>
      </c>
      <c r="U2341" s="7">
        <v>45536</v>
      </c>
      <c r="V2341" s="6">
        <v>15.19</v>
      </c>
      <c r="W2341" s="6">
        <f ca="1">IFERROR(__xludf.DUMMYFUNCTION("IFERROR(GOOGLEFINANCE(B2341,""pe""),V2341)"),15.19)</f>
        <v>15.19</v>
      </c>
      <c r="X2341" s="6">
        <v>4.78</v>
      </c>
      <c r="Y2341" s="6">
        <v>-1.83</v>
      </c>
      <c r="Z2341" s="6">
        <v>1</v>
      </c>
      <c r="AA2341" s="8">
        <v>45352</v>
      </c>
      <c r="AB2341" s="4">
        <v>-1.27</v>
      </c>
      <c r="AC2341" s="6">
        <v>0</v>
      </c>
      <c r="AD2341" s="6">
        <v>113.39</v>
      </c>
      <c r="AE2341" s="1">
        <v>0</v>
      </c>
      <c r="AF2341" s="1">
        <f ca="1">IFERROR(__xludf.DUMMYFUNCTION("IFERROR(GOOGLEFINANCE(TRIM(F2341)&amp;"":"" &amp; TRIM(B2341),""high52""),AE2341)"),0)</f>
        <v>0</v>
      </c>
      <c r="AG2341" s="1">
        <v>0</v>
      </c>
      <c r="AH2341" s="1">
        <f ca="1">IFERROR(__xludf.DUMMYFUNCTION("IFERROR(GOOGLEFINANCE(TRIM(F2341)&amp;"":"" &amp; TRIM(B2341),""low52""),AE2341)"),0)</f>
        <v>0</v>
      </c>
      <c r="AI2341" s="1">
        <f ca="1">IFERROR(__xludf.DUMMYFUNCTION("IFERROR(GOOGLEFINANCE(B2341,""eps""),0)"),0)</f>
        <v>0</v>
      </c>
      <c r="AJ2341" s="1"/>
      <c r="AK2341" s="9"/>
      <c r="AL2341" s="9">
        <f t="shared" si="243"/>
        <v>1</v>
      </c>
    </row>
    <row r="2342" spans="1:38" ht="15" x14ac:dyDescent="0.25">
      <c r="A2342" s="1" t="s">
        <v>7329</v>
      </c>
      <c r="B2342" s="1" t="s">
        <v>7330</v>
      </c>
      <c r="C2342" s="1" t="s">
        <v>502</v>
      </c>
      <c r="D2342" s="1" t="s">
        <v>502</v>
      </c>
      <c r="E2342" s="6">
        <v>2079.4699999999998</v>
      </c>
      <c r="F2342" s="1" t="s">
        <v>40</v>
      </c>
      <c r="G2342" s="6">
        <f ca="1">IFERROR(__xludf.DUMMYFUNCTION("iferror(GOOGLEFINANCE(TRIM(F2342)&amp;"":"" &amp; TRIM(B2342), ""price""),0
)"),417.25)</f>
        <v>417.25</v>
      </c>
      <c r="H2342" s="6">
        <v>239.06</v>
      </c>
      <c r="I2342" s="6">
        <f t="shared" ca="1" si="0"/>
        <v>417.25</v>
      </c>
      <c r="J2342" s="6">
        <f ca="1">IFERROR(__xludf.DUMMYFUNCTION("IFERROR(GOOGLEFINANCE(B2342, ""volume""), 0)"),124341)</f>
        <v>124341</v>
      </c>
      <c r="K2342" s="6">
        <v>0.74</v>
      </c>
      <c r="L2342" s="6">
        <f ca="1">IFERROR(__xludf.DUMMYFUNCTION("IFERROR(GOOGLEFINANCE(B2342,""changepct""),K2342)"),-0.22)</f>
        <v>-0.22</v>
      </c>
      <c r="M2342" s="6">
        <f ca="1">IFERROR(__xludf.DUMMYFUNCTION("IFERROR(GOOGLEFINANCE(B2342,""change""),0)"),-0.9)</f>
        <v>-0.9</v>
      </c>
      <c r="N2342" s="6">
        <v>1</v>
      </c>
      <c r="O2342" s="7">
        <v>45536</v>
      </c>
      <c r="P2342" s="6">
        <v>227.55</v>
      </c>
      <c r="Q2342" s="6">
        <v>2272.12</v>
      </c>
      <c r="R2342" s="7">
        <v>45536</v>
      </c>
      <c r="S2342" s="6">
        <v>868.12</v>
      </c>
      <c r="T2342" s="6">
        <v>28</v>
      </c>
      <c r="U2342" s="7">
        <v>45536</v>
      </c>
      <c r="V2342" s="6">
        <v>74.260000000000005</v>
      </c>
      <c r="W2342" s="6">
        <f ca="1">IFERROR(__xludf.DUMMYFUNCTION("IFERROR(GOOGLEFINANCE(B2342,""pe""),V2342)"),34.92)</f>
        <v>34.92</v>
      </c>
      <c r="X2342" s="6">
        <v>4.42</v>
      </c>
      <c r="Y2342" s="6">
        <v>5.53</v>
      </c>
      <c r="Z2342" s="6">
        <v>1</v>
      </c>
      <c r="AA2342" s="8">
        <v>45352</v>
      </c>
      <c r="AB2342" s="4">
        <v>0.83</v>
      </c>
      <c r="AC2342" s="6">
        <v>7.31</v>
      </c>
      <c r="AD2342" s="6">
        <v>12.16</v>
      </c>
      <c r="AE2342" s="1">
        <v>0</v>
      </c>
      <c r="AF2342" s="1">
        <f ca="1">IFERROR(__xludf.DUMMYFUNCTION("IFERROR(GOOGLEFINANCE(TRIM(F2342)&amp;"":"" &amp; TRIM(B2342),""high52""),AE2342)"),469.7)</f>
        <v>469.7</v>
      </c>
      <c r="AG2342" s="1">
        <v>0</v>
      </c>
      <c r="AH2342" s="1">
        <f ca="1">IFERROR(__xludf.DUMMYFUNCTION("IFERROR(GOOGLEFINANCE(TRIM(F2342)&amp;"":"" &amp; TRIM(B2342),""low52""),AE2342)"),240)</f>
        <v>240</v>
      </c>
      <c r="AI2342" s="1">
        <f ca="1">IFERROR(__xludf.DUMMYFUNCTION("IFERROR(GOOGLEFINANCE(B2342,""eps""),0)"),11.95)</f>
        <v>11.95</v>
      </c>
      <c r="AJ2342" s="1"/>
      <c r="AK2342" s="1" t="s">
        <v>7331</v>
      </c>
      <c r="AL2342" s="9">
        <f t="shared" si="243"/>
        <v>1</v>
      </c>
    </row>
    <row r="2343" spans="1:38" ht="15" x14ac:dyDescent="0.25">
      <c r="A2343" s="1" t="s">
        <v>7332</v>
      </c>
      <c r="B2343" s="1" t="s">
        <v>7333</v>
      </c>
      <c r="C2343" s="1" t="s">
        <v>778</v>
      </c>
      <c r="D2343" s="1" t="s">
        <v>778</v>
      </c>
      <c r="E2343" s="6">
        <v>21.47</v>
      </c>
      <c r="F2343" s="1" t="s">
        <v>40</v>
      </c>
      <c r="G2343" s="6">
        <f ca="1">IFERROR(__xludf.DUMMYFUNCTION("iferror(GOOGLEFINANCE(TRIM(F2343)&amp;"":"" &amp; TRIM(B2343), ""price""),0
)"),0)</f>
        <v>0</v>
      </c>
      <c r="H2343" s="6">
        <v>47</v>
      </c>
      <c r="I2343" s="6">
        <f t="shared" ca="1" si="0"/>
        <v>47</v>
      </c>
      <c r="J2343" s="6">
        <f ca="1">IFERROR(__xludf.DUMMYFUNCTION("IFERROR(GOOGLEFINANCE(B2343, ""volume""), 0)"),0)</f>
        <v>0</v>
      </c>
      <c r="K2343" s="9"/>
      <c r="L2343" s="6" t="str">
        <f ca="1">IFERROR(__xludf.DUMMYFUNCTION("IFERROR(GOOGLEFINANCE(B2343,""changepct""),K2343)"),"")</f>
        <v/>
      </c>
      <c r="M2343" s="6">
        <f ca="1">IFERROR(__xludf.DUMMYFUNCTION("IFERROR(GOOGLEFINANCE(B2343,""change""),0)"),0)</f>
        <v>0</v>
      </c>
      <c r="N2343" s="6">
        <v>1</v>
      </c>
      <c r="O2343" s="7">
        <v>45536</v>
      </c>
      <c r="P2343" s="6">
        <v>2.85</v>
      </c>
      <c r="Q2343" s="6">
        <v>24.32</v>
      </c>
      <c r="R2343" s="7">
        <v>45352</v>
      </c>
      <c r="S2343" s="6">
        <v>21.56</v>
      </c>
      <c r="T2343" s="6">
        <v>2.5299999999999998</v>
      </c>
      <c r="U2343" s="7">
        <v>45352</v>
      </c>
      <c r="V2343" s="6">
        <v>8.5</v>
      </c>
      <c r="W2343" s="6">
        <f ca="1">IFERROR(__xludf.DUMMYFUNCTION("IFERROR(GOOGLEFINANCE(B2343,""pe""),V2343)"),8.5)</f>
        <v>8.5</v>
      </c>
      <c r="X2343" s="6">
        <v>-0.79</v>
      </c>
      <c r="Y2343" s="6">
        <v>0.52</v>
      </c>
      <c r="Z2343" s="6">
        <v>1</v>
      </c>
      <c r="AA2343" s="8">
        <v>45352</v>
      </c>
      <c r="AB2343" s="4">
        <v>0.06</v>
      </c>
      <c r="AC2343" s="6">
        <v>6.29</v>
      </c>
      <c r="AD2343" s="6">
        <v>9.56</v>
      </c>
      <c r="AE2343" s="1">
        <v>0</v>
      </c>
      <c r="AF2343" s="1">
        <f ca="1">IFERROR(__xludf.DUMMYFUNCTION("IFERROR(GOOGLEFINANCE(TRIM(F2343)&amp;"":"" &amp; TRIM(B2343),""high52""),AE2343)"),0)</f>
        <v>0</v>
      </c>
      <c r="AG2343" s="1">
        <v>0</v>
      </c>
      <c r="AH2343" s="1">
        <f ca="1">IFERROR(__xludf.DUMMYFUNCTION("IFERROR(GOOGLEFINANCE(TRIM(F2343)&amp;"":"" &amp; TRIM(B2343),""low52""),AE2343)"),0)</f>
        <v>0</v>
      </c>
      <c r="AI2343" s="1">
        <f ca="1">IFERROR(__xludf.DUMMYFUNCTION("IFERROR(GOOGLEFINANCE(B2343,""eps""),0)"),0)</f>
        <v>0</v>
      </c>
      <c r="AJ2343" s="1"/>
      <c r="AK2343" s="1" t="s">
        <v>7334</v>
      </c>
      <c r="AL2343" s="9">
        <f t="shared" si="243"/>
        <v>1</v>
      </c>
    </row>
    <row r="2344" spans="1:38" ht="15" x14ac:dyDescent="0.25">
      <c r="A2344" s="1" t="s">
        <v>7335</v>
      </c>
      <c r="B2344" s="1" t="s">
        <v>7336</v>
      </c>
      <c r="C2344" s="1" t="s">
        <v>163</v>
      </c>
      <c r="D2344" s="1" t="s">
        <v>163</v>
      </c>
      <c r="E2344" s="6">
        <v>195.34</v>
      </c>
      <c r="F2344" s="1" t="s">
        <v>53</v>
      </c>
      <c r="G2344" s="6">
        <f ca="1">IFERROR(__xludf.DUMMYFUNCTION("iferror(GOOGLEFINANCE(TRIM(F2344)&amp;"":"" &amp; TRIM(B2344), ""price""),0
)"),0)</f>
        <v>0</v>
      </c>
      <c r="H2344" s="6">
        <v>99.8</v>
      </c>
      <c r="I2344" s="6">
        <f t="shared" ca="1" si="0"/>
        <v>99.8</v>
      </c>
      <c r="J2344" s="6">
        <f ca="1">IFERROR(__xludf.DUMMYFUNCTION("IFERROR(GOOGLEFINANCE(B2344, ""volume""), 0)"),0)</f>
        <v>0</v>
      </c>
      <c r="K2344" s="12"/>
      <c r="L2344" s="6" t="str">
        <f ca="1">IFERROR(__xludf.DUMMYFUNCTION("IFERROR(GOOGLEFINANCE(B2344,""changepct""),K2344)"),"")</f>
        <v/>
      </c>
      <c r="M2344" s="6">
        <f ca="1">IFERROR(__xludf.DUMMYFUNCTION("IFERROR(GOOGLEFINANCE(B2344,""change""),0)"),0)</f>
        <v>0</v>
      </c>
      <c r="N2344" s="6">
        <v>1</v>
      </c>
      <c r="O2344" s="7">
        <v>45536</v>
      </c>
      <c r="P2344" s="6">
        <v>43.92</v>
      </c>
      <c r="Q2344" s="6">
        <v>239.26</v>
      </c>
      <c r="R2344" s="7">
        <v>45352</v>
      </c>
      <c r="S2344" s="6">
        <v>84.4</v>
      </c>
      <c r="T2344" s="6">
        <v>4.21</v>
      </c>
      <c r="U2344" s="7">
        <v>45352</v>
      </c>
      <c r="V2344" s="6">
        <v>46.37</v>
      </c>
      <c r="W2344" s="6">
        <f ca="1">IFERROR(__xludf.DUMMYFUNCTION("IFERROR(GOOGLEFINANCE(B2344,""pe""),V2344)"),46.37)</f>
        <v>46.37</v>
      </c>
      <c r="X2344" s="9"/>
      <c r="Y2344" s="6">
        <v>2.77</v>
      </c>
      <c r="Z2344" s="6">
        <v>2</v>
      </c>
      <c r="AA2344" s="8">
        <v>45352</v>
      </c>
      <c r="AB2344" s="4">
        <v>0.45</v>
      </c>
      <c r="AC2344" s="6">
        <v>5.91</v>
      </c>
      <c r="AD2344" s="6">
        <v>8.89</v>
      </c>
      <c r="AE2344" s="1">
        <v>0</v>
      </c>
      <c r="AF2344" s="1">
        <f ca="1">IFERROR(__xludf.DUMMYFUNCTION("IFERROR(GOOGLEFINANCE(TRIM(F2344)&amp;"":"" &amp; TRIM(B2344),""high52""),AE2344)"),0)</f>
        <v>0</v>
      </c>
      <c r="AG2344" s="1">
        <v>0</v>
      </c>
      <c r="AH2344" s="1">
        <f ca="1">IFERROR(__xludf.DUMMYFUNCTION("IFERROR(GOOGLEFINANCE(TRIM(F2344)&amp;"":"" &amp; TRIM(B2344),""low52""),AE2344)"),0)</f>
        <v>0</v>
      </c>
      <c r="AI2344" s="1">
        <f ca="1">IFERROR(__xludf.DUMMYFUNCTION("IFERROR(GOOGLEFINANCE(B2344,""eps""),0)"),0)</f>
        <v>0</v>
      </c>
      <c r="AJ2344" s="1"/>
      <c r="AK2344" s="1" t="s">
        <v>7337</v>
      </c>
      <c r="AL2344" s="9">
        <f t="shared" si="243"/>
        <v>1</v>
      </c>
    </row>
    <row r="2345" spans="1:38" ht="15" x14ac:dyDescent="0.25">
      <c r="A2345" s="1" t="s">
        <v>7338</v>
      </c>
      <c r="B2345" s="1" t="s">
        <v>7339</v>
      </c>
      <c r="C2345" s="1" t="s">
        <v>163</v>
      </c>
      <c r="D2345" s="1" t="s">
        <v>163</v>
      </c>
      <c r="E2345" s="6">
        <v>32.549999999999997</v>
      </c>
      <c r="F2345" s="1" t="s">
        <v>53</v>
      </c>
      <c r="G2345" s="6">
        <f ca="1">IFERROR(__xludf.DUMMYFUNCTION("iferror(GOOGLEFINANCE(TRIM(F2345)&amp;"":"" &amp; TRIM(B2345), ""price""),0
)"),0)</f>
        <v>0</v>
      </c>
      <c r="H2345" s="6">
        <v>31</v>
      </c>
      <c r="I2345" s="6">
        <f t="shared" ca="1" si="0"/>
        <v>31</v>
      </c>
      <c r="J2345" s="6">
        <f ca="1">IFERROR(__xludf.DUMMYFUNCTION("IFERROR(GOOGLEFINANCE(B2345, ""volume""), 0)"),0)</f>
        <v>0</v>
      </c>
      <c r="K2345" s="6">
        <v>0</v>
      </c>
      <c r="L2345" s="6">
        <f ca="1">IFERROR(__xludf.DUMMYFUNCTION("IFERROR(GOOGLEFINANCE(B2345,""changepct""),K2345)"),0)</f>
        <v>0</v>
      </c>
      <c r="M2345" s="6">
        <f ca="1">IFERROR(__xludf.DUMMYFUNCTION("IFERROR(GOOGLEFINANCE(B2345,""change""),0)"),0)</f>
        <v>0</v>
      </c>
      <c r="N2345" s="6">
        <v>1</v>
      </c>
      <c r="O2345" s="7">
        <v>45536</v>
      </c>
      <c r="P2345" s="9"/>
      <c r="Q2345" s="6">
        <v>32.549999999999997</v>
      </c>
      <c r="R2345" s="7">
        <v>45352</v>
      </c>
      <c r="S2345" s="6">
        <v>13.52</v>
      </c>
      <c r="T2345" s="6">
        <v>-2.19</v>
      </c>
      <c r="U2345" s="7">
        <v>45352</v>
      </c>
      <c r="V2345" s="6">
        <v>0</v>
      </c>
      <c r="W2345" s="6">
        <f ca="1">IFERROR(__xludf.DUMMYFUNCTION("IFERROR(GOOGLEFINANCE(B2345,""pe""),V2345)"),0)</f>
        <v>0</v>
      </c>
      <c r="X2345" s="9"/>
      <c r="Y2345" s="6">
        <v>1.37</v>
      </c>
      <c r="Z2345" s="6">
        <v>1</v>
      </c>
      <c r="AA2345" s="8">
        <v>45352</v>
      </c>
      <c r="AB2345" s="4">
        <v>0.54</v>
      </c>
      <c r="AC2345" s="6">
        <v>-5.1100000000000003</v>
      </c>
      <c r="AD2345" s="6">
        <v>-2.73</v>
      </c>
      <c r="AE2345" s="1">
        <v>0</v>
      </c>
      <c r="AF2345" s="1">
        <f ca="1">IFERROR(__xludf.DUMMYFUNCTION("IFERROR(GOOGLEFINANCE(TRIM(F2345)&amp;"":"" &amp; TRIM(B2345),""high52""),AE2345)"),0)</f>
        <v>0</v>
      </c>
      <c r="AG2345" s="1">
        <v>0</v>
      </c>
      <c r="AH2345" s="1">
        <f ca="1">IFERROR(__xludf.DUMMYFUNCTION("IFERROR(GOOGLEFINANCE(TRIM(F2345)&amp;"":"" &amp; TRIM(B2345),""low52""),AE2345)"),0)</f>
        <v>0</v>
      </c>
      <c r="AI2345" s="1">
        <f ca="1">IFERROR(__xludf.DUMMYFUNCTION("IFERROR(GOOGLEFINANCE(B2345,""eps""),0)"),0)</f>
        <v>0</v>
      </c>
      <c r="AJ2345" s="1"/>
      <c r="AK2345" s="1" t="s">
        <v>7340</v>
      </c>
      <c r="AL2345" s="9">
        <f t="shared" si="243"/>
        <v>1</v>
      </c>
    </row>
    <row r="2346" spans="1:38" ht="15" x14ac:dyDescent="0.25">
      <c r="A2346" s="1" t="s">
        <v>7341</v>
      </c>
      <c r="B2346" s="1" t="s">
        <v>7342</v>
      </c>
      <c r="C2346" s="1" t="s">
        <v>502</v>
      </c>
      <c r="D2346" s="1" t="s">
        <v>502</v>
      </c>
      <c r="E2346" s="6">
        <v>1625.51</v>
      </c>
      <c r="F2346" s="1" t="s">
        <v>40</v>
      </c>
      <c r="G2346" s="6">
        <f ca="1">IFERROR(__xludf.DUMMYFUNCTION("iferror(GOOGLEFINANCE(TRIM(F2346)&amp;"":"" &amp; TRIM(B2346), ""price""),0
)"),73.11)</f>
        <v>73.11</v>
      </c>
      <c r="H2346" s="6">
        <v>100.84</v>
      </c>
      <c r="I2346" s="6">
        <f t="shared" ca="1" si="0"/>
        <v>73.11</v>
      </c>
      <c r="J2346" s="6">
        <f ca="1">IFERROR(__xludf.DUMMYFUNCTION("IFERROR(GOOGLEFINANCE(B2346, ""volume""), 0)"),106213)</f>
        <v>106213</v>
      </c>
      <c r="K2346" s="6">
        <v>-0.06</v>
      </c>
      <c r="L2346" s="6">
        <f ca="1">IFERROR(__xludf.DUMMYFUNCTION("IFERROR(GOOGLEFINANCE(B2346,""changepct""),K2346)"),-1.56)</f>
        <v>-1.56</v>
      </c>
      <c r="M2346" s="6">
        <f ca="1">IFERROR(__xludf.DUMMYFUNCTION("IFERROR(GOOGLEFINANCE(B2346,""change""),0)"),-1.16)</f>
        <v>-1.1599999999999999</v>
      </c>
      <c r="N2346" s="6">
        <v>1</v>
      </c>
      <c r="O2346" s="7">
        <v>45536</v>
      </c>
      <c r="P2346" s="6">
        <v>1508.44</v>
      </c>
      <c r="Q2346" s="6">
        <v>2515.5300000000002</v>
      </c>
      <c r="R2346" s="7">
        <v>45536</v>
      </c>
      <c r="S2346" s="6">
        <v>2502.1</v>
      </c>
      <c r="T2346" s="6">
        <v>78.67</v>
      </c>
      <c r="U2346" s="7">
        <v>45536</v>
      </c>
      <c r="V2346" s="6">
        <v>20.66</v>
      </c>
      <c r="W2346" s="6">
        <f ca="1">IFERROR(__xludf.DUMMYFUNCTION("IFERROR(GOOGLEFINANCE(B2346,""pe""),V2346)"),14.89)</f>
        <v>14.89</v>
      </c>
      <c r="X2346" s="6">
        <v>1.19</v>
      </c>
      <c r="Y2346" s="6">
        <v>-10.93</v>
      </c>
      <c r="Z2346" s="6">
        <v>1</v>
      </c>
      <c r="AA2346" s="8">
        <v>45352</v>
      </c>
      <c r="AB2346" s="4">
        <v>-3.73</v>
      </c>
      <c r="AC2346" s="6">
        <v>0</v>
      </c>
      <c r="AD2346" s="6">
        <v>19.34</v>
      </c>
      <c r="AE2346" s="1">
        <v>0</v>
      </c>
      <c r="AF2346" s="1">
        <f ca="1">IFERROR(__xludf.DUMMYFUNCTION("IFERROR(GOOGLEFINANCE(TRIM(F2346)&amp;"":"" &amp; TRIM(B2346),""high52""),AE2346)"),107.06)</f>
        <v>107.06</v>
      </c>
      <c r="AG2346" s="1">
        <v>0</v>
      </c>
      <c r="AH2346" s="1">
        <f ca="1">IFERROR(__xludf.DUMMYFUNCTION("IFERROR(GOOGLEFINANCE(TRIM(F2346)&amp;"":"" &amp; TRIM(B2346),""low52""),AE2346)"),66.5)</f>
        <v>66.5</v>
      </c>
      <c r="AI2346" s="1">
        <f ca="1">IFERROR(__xludf.DUMMYFUNCTION("IFERROR(GOOGLEFINANCE(B2346,""eps""),0)"),4.91)</f>
        <v>4.91</v>
      </c>
      <c r="AJ2346" s="1"/>
      <c r="AK2346" s="1" t="s">
        <v>7343</v>
      </c>
      <c r="AL2346" s="9">
        <f t="shared" si="243"/>
        <v>1</v>
      </c>
    </row>
    <row r="2347" spans="1:38" ht="15" x14ac:dyDescent="0.25">
      <c r="A2347" s="1" t="s">
        <v>7344</v>
      </c>
      <c r="B2347" s="1" t="s">
        <v>7345</v>
      </c>
      <c r="C2347" s="1" t="s">
        <v>1118</v>
      </c>
      <c r="D2347" s="1" t="s">
        <v>1118</v>
      </c>
      <c r="E2347" s="6">
        <v>899.75</v>
      </c>
      <c r="F2347" s="1" t="s">
        <v>40</v>
      </c>
      <c r="G2347" s="6">
        <f ca="1">IFERROR(__xludf.DUMMYFUNCTION("iferror(GOOGLEFINANCE(TRIM(F2347)&amp;"":"" &amp; TRIM(B2347), ""price""),0
)"),421.7)</f>
        <v>421.7</v>
      </c>
      <c r="H2347" s="6">
        <v>649.95000000000005</v>
      </c>
      <c r="I2347" s="6">
        <f t="shared" ca="1" si="0"/>
        <v>421.7</v>
      </c>
      <c r="J2347" s="6">
        <f ca="1">IFERROR(__xludf.DUMMYFUNCTION("IFERROR(GOOGLEFINANCE(B2347, ""volume""), 0)"),2263)</f>
        <v>2263</v>
      </c>
      <c r="K2347" s="6">
        <v>1.72</v>
      </c>
      <c r="L2347" s="6">
        <f ca="1">IFERROR(__xludf.DUMMYFUNCTION("IFERROR(GOOGLEFINANCE(B2347,""changepct""),K2347)"),-2.34)</f>
        <v>-2.34</v>
      </c>
      <c r="M2347" s="6">
        <f ca="1">IFERROR(__xludf.DUMMYFUNCTION("IFERROR(GOOGLEFINANCE(B2347,""change""),0)"),-10.1)</f>
        <v>-10.1</v>
      </c>
      <c r="N2347" s="6">
        <v>1</v>
      </c>
      <c r="O2347" s="7">
        <v>45536</v>
      </c>
      <c r="P2347" s="6">
        <v>374.33</v>
      </c>
      <c r="Q2347" s="6">
        <v>1272.9000000000001</v>
      </c>
      <c r="R2347" s="7">
        <v>45536</v>
      </c>
      <c r="S2347" s="6">
        <v>1189.9000000000001</v>
      </c>
      <c r="T2347" s="6">
        <v>102.58</v>
      </c>
      <c r="U2347" s="7">
        <v>45536</v>
      </c>
      <c r="V2347" s="6">
        <v>8.77</v>
      </c>
      <c r="W2347" s="6">
        <f ca="1">IFERROR(__xludf.DUMMYFUNCTION("IFERROR(GOOGLEFINANCE(B2347,""pe""),V2347)"),7.2)</f>
        <v>7.2</v>
      </c>
      <c r="X2347" s="6">
        <v>0.32</v>
      </c>
      <c r="Y2347" s="6">
        <v>1.21</v>
      </c>
      <c r="Z2347" s="6">
        <v>1</v>
      </c>
      <c r="AA2347" s="8">
        <v>45352</v>
      </c>
      <c r="AB2347" s="4">
        <v>0.85</v>
      </c>
      <c r="AC2347" s="6">
        <v>16.809999999999999</v>
      </c>
      <c r="AD2347" s="6">
        <v>14.53</v>
      </c>
      <c r="AE2347" s="1">
        <v>0</v>
      </c>
      <c r="AF2347" s="1">
        <f ca="1">IFERROR(__xludf.DUMMYFUNCTION("IFERROR(GOOGLEFINANCE(TRIM(F2347)&amp;"":"" &amp; TRIM(B2347),""high52""),AE2347)"),821)</f>
        <v>821</v>
      </c>
      <c r="AG2347" s="1">
        <v>0</v>
      </c>
      <c r="AH2347" s="1">
        <f ca="1">IFERROR(__xludf.DUMMYFUNCTION("IFERROR(GOOGLEFINANCE(TRIM(F2347)&amp;"":"" &amp; TRIM(B2347),""low52""),AE2347)"),417)</f>
        <v>417</v>
      </c>
      <c r="AI2347" s="1">
        <f ca="1">IFERROR(__xludf.DUMMYFUNCTION("IFERROR(GOOGLEFINANCE(B2347,""eps""),0)"),58.58)</f>
        <v>58.58</v>
      </c>
      <c r="AJ2347" s="1"/>
      <c r="AK2347" s="1" t="s">
        <v>7346</v>
      </c>
      <c r="AL2347" s="9">
        <f t="shared" si="243"/>
        <v>1</v>
      </c>
    </row>
    <row r="2348" spans="1:38" ht="15" x14ac:dyDescent="0.25">
      <c r="A2348" s="1" t="s">
        <v>7347</v>
      </c>
      <c r="B2348" s="1" t="s">
        <v>7348</v>
      </c>
      <c r="C2348" s="1" t="s">
        <v>373</v>
      </c>
      <c r="D2348" s="1" t="s">
        <v>373</v>
      </c>
      <c r="E2348" s="6">
        <v>263.25</v>
      </c>
      <c r="F2348" s="1" t="s">
        <v>40</v>
      </c>
      <c r="G2348" s="6">
        <f ca="1">IFERROR(__xludf.DUMMYFUNCTION("iferror(GOOGLEFINANCE(TRIM(F2348)&amp;"":"" &amp; TRIM(B2348), ""price""),0
)"),21.5)</f>
        <v>21.5</v>
      </c>
      <c r="H2348" s="6">
        <v>41.09</v>
      </c>
      <c r="I2348" s="6">
        <f t="shared" ca="1" si="0"/>
        <v>21.5</v>
      </c>
      <c r="J2348" s="6">
        <f ca="1">IFERROR(__xludf.DUMMYFUNCTION("IFERROR(GOOGLEFINANCE(B2348, ""volume""), 0)"),0)</f>
        <v>0</v>
      </c>
      <c r="K2348" s="6">
        <v>0.27</v>
      </c>
      <c r="L2348" s="6">
        <f ca="1">IFERROR(__xludf.DUMMYFUNCTION("IFERROR(GOOGLEFINANCE(B2348,""changepct""),K2348)"),0.27)</f>
        <v>0.27</v>
      </c>
      <c r="M2348" s="6">
        <f ca="1">IFERROR(__xludf.DUMMYFUNCTION("IFERROR(GOOGLEFINANCE(B2348,""change""),0)"),0)</f>
        <v>0</v>
      </c>
      <c r="N2348" s="6">
        <v>1</v>
      </c>
      <c r="O2348" s="7">
        <v>45536</v>
      </c>
      <c r="P2348" s="6">
        <v>151.44</v>
      </c>
      <c r="Q2348" s="6">
        <v>400.28</v>
      </c>
      <c r="R2348" s="7">
        <v>45536</v>
      </c>
      <c r="S2348" s="6">
        <v>401.28</v>
      </c>
      <c r="T2348" s="6">
        <v>11.72</v>
      </c>
      <c r="U2348" s="7">
        <v>45536</v>
      </c>
      <c r="V2348" s="6">
        <v>22.46</v>
      </c>
      <c r="W2348" s="6">
        <f ca="1">IFERROR(__xludf.DUMMYFUNCTION("IFERROR(GOOGLEFINANCE(B2348,""pe""),V2348)"),22.46)</f>
        <v>22.46</v>
      </c>
      <c r="X2348" s="6">
        <v>0.13</v>
      </c>
      <c r="Y2348" s="6">
        <v>1.53</v>
      </c>
      <c r="Z2348" s="6">
        <v>1</v>
      </c>
      <c r="AA2348" s="8">
        <v>45352</v>
      </c>
      <c r="AB2348" s="4">
        <v>1.1399999999999999</v>
      </c>
      <c r="AC2348" s="6">
        <v>29.49</v>
      </c>
      <c r="AD2348" s="6">
        <v>6.2</v>
      </c>
      <c r="AE2348" s="1">
        <v>0</v>
      </c>
      <c r="AF2348" s="1">
        <f ca="1">IFERROR(__xludf.DUMMYFUNCTION("IFERROR(GOOGLEFINANCE(TRIM(F2348)&amp;"":"" &amp; TRIM(B2348),""high52""),AE2348)"),38.29)</f>
        <v>38.29</v>
      </c>
      <c r="AG2348" s="1">
        <v>0</v>
      </c>
      <c r="AH2348" s="1">
        <f ca="1">IFERROR(__xludf.DUMMYFUNCTION("IFERROR(GOOGLEFINANCE(TRIM(F2348)&amp;"":"" &amp; TRIM(B2348),""low52""),AE2348)"),19.21)</f>
        <v>19.21</v>
      </c>
      <c r="AI2348" s="1">
        <f ca="1">IFERROR(__xludf.DUMMYFUNCTION("IFERROR(GOOGLEFINANCE(B2348,""eps""),0)"),0)</f>
        <v>0</v>
      </c>
      <c r="AJ2348" s="1"/>
      <c r="AK2348" s="9"/>
      <c r="AL2348" s="9">
        <f t="shared" si="243"/>
        <v>1</v>
      </c>
    </row>
    <row r="2349" spans="1:38" ht="15" x14ac:dyDescent="0.25">
      <c r="A2349" s="1" t="s">
        <v>7349</v>
      </c>
      <c r="B2349" s="1" t="s">
        <v>7350</v>
      </c>
      <c r="C2349" s="1" t="s">
        <v>359</v>
      </c>
      <c r="D2349" s="1" t="s">
        <v>359</v>
      </c>
      <c r="E2349" s="6">
        <v>78.89</v>
      </c>
      <c r="F2349" s="1" t="s">
        <v>40</v>
      </c>
      <c r="G2349" s="6">
        <f ca="1">IFERROR(__xludf.DUMMYFUNCTION("iferror(GOOGLEFINANCE(TRIM(F2349)&amp;"":"" &amp; TRIM(B2349), ""price""),0
)"),0)</f>
        <v>0</v>
      </c>
      <c r="H2349" s="6">
        <v>100.5</v>
      </c>
      <c r="I2349" s="6">
        <f t="shared" ca="1" si="0"/>
        <v>100.5</v>
      </c>
      <c r="J2349" s="6">
        <f ca="1">IFERROR(__xludf.DUMMYFUNCTION("IFERROR(GOOGLEFINANCE(B2349, ""volume""), 0)"),0)</f>
        <v>0</v>
      </c>
      <c r="K2349" s="9"/>
      <c r="L2349" s="6" t="str">
        <f ca="1">IFERROR(__xludf.DUMMYFUNCTION("IFERROR(GOOGLEFINANCE(B2349,""changepct""),K2349)"),"")</f>
        <v/>
      </c>
      <c r="M2349" s="6">
        <f ca="1">IFERROR(__xludf.DUMMYFUNCTION("IFERROR(GOOGLEFINANCE(B2349,""change""),0)"),0)</f>
        <v>0</v>
      </c>
      <c r="N2349" s="6">
        <v>1</v>
      </c>
      <c r="O2349" s="7">
        <v>45536</v>
      </c>
      <c r="P2349" s="6">
        <v>0.31</v>
      </c>
      <c r="Q2349" s="6">
        <v>79.2</v>
      </c>
      <c r="R2349" s="7">
        <v>45352</v>
      </c>
      <c r="S2349" s="6">
        <v>65.91</v>
      </c>
      <c r="T2349" s="6">
        <v>2.81</v>
      </c>
      <c r="U2349" s="7">
        <v>45352</v>
      </c>
      <c r="V2349" s="6">
        <v>28.09</v>
      </c>
      <c r="W2349" s="6">
        <f ca="1">IFERROR(__xludf.DUMMYFUNCTION("IFERROR(GOOGLEFINANCE(B2349,""pe""),V2349)"),28.09)</f>
        <v>28.09</v>
      </c>
      <c r="X2349" s="9"/>
      <c r="Y2349" s="6">
        <v>3.23</v>
      </c>
      <c r="Z2349" s="6">
        <v>2</v>
      </c>
      <c r="AA2349" s="8">
        <v>45352</v>
      </c>
      <c r="AB2349" s="4">
        <v>0.03</v>
      </c>
      <c r="AC2349" s="6">
        <v>16.690000000000001</v>
      </c>
      <c r="AD2349" s="6">
        <v>23.22</v>
      </c>
      <c r="AE2349" s="1">
        <v>0</v>
      </c>
      <c r="AF2349" s="1">
        <f ca="1">IFERROR(__xludf.DUMMYFUNCTION("IFERROR(GOOGLEFINANCE(TRIM(F2349)&amp;"":"" &amp; TRIM(B2349),""high52""),AE2349)"),0)</f>
        <v>0</v>
      </c>
      <c r="AG2349" s="1">
        <v>0</v>
      </c>
      <c r="AH2349" s="1">
        <f ca="1">IFERROR(__xludf.DUMMYFUNCTION("IFERROR(GOOGLEFINANCE(TRIM(F2349)&amp;"":"" &amp; TRIM(B2349),""low52""),AE2349)"),0)</f>
        <v>0</v>
      </c>
      <c r="AI2349" s="1">
        <f ca="1">IFERROR(__xludf.DUMMYFUNCTION("IFERROR(GOOGLEFINANCE(B2349,""eps""),0)"),0)</f>
        <v>0</v>
      </c>
      <c r="AJ2349" s="1"/>
      <c r="AK2349" s="1" t="s">
        <v>7351</v>
      </c>
      <c r="AL2349" s="9">
        <f t="shared" si="243"/>
        <v>1</v>
      </c>
    </row>
    <row r="2350" spans="1:38" ht="15" x14ac:dyDescent="0.25">
      <c r="A2350" s="1" t="s">
        <v>7352</v>
      </c>
      <c r="B2350" s="1" t="s">
        <v>7353</v>
      </c>
      <c r="C2350" s="1" t="s">
        <v>43</v>
      </c>
      <c r="D2350" s="1" t="s">
        <v>43</v>
      </c>
      <c r="E2350" s="6">
        <v>208.56</v>
      </c>
      <c r="F2350" s="1" t="s">
        <v>40</v>
      </c>
      <c r="G2350" s="6">
        <f ca="1">IFERROR(__xludf.DUMMYFUNCTION("iferror(GOOGLEFINANCE(TRIM(F2350)&amp;"":"" &amp; TRIM(B2350), ""price""),0
)"),90)</f>
        <v>90</v>
      </c>
      <c r="H2350" s="6">
        <v>150.41</v>
      </c>
      <c r="I2350" s="6">
        <f t="shared" ca="1" si="0"/>
        <v>90</v>
      </c>
      <c r="J2350" s="6">
        <f ca="1">IFERROR(__xludf.DUMMYFUNCTION("IFERROR(GOOGLEFINANCE(B2350, ""volume""), 0)"),5097)</f>
        <v>5097</v>
      </c>
      <c r="K2350" s="6">
        <v>1.77</v>
      </c>
      <c r="L2350" s="6">
        <f ca="1">IFERROR(__xludf.DUMMYFUNCTION("IFERROR(GOOGLEFINANCE(B2350,""changepct""),K2350)"),-2.16)</f>
        <v>-2.16</v>
      </c>
      <c r="M2350" s="6">
        <f ca="1">IFERROR(__xludf.DUMMYFUNCTION("IFERROR(GOOGLEFINANCE(B2350,""change""),0)"),-1.99)</f>
        <v>-1.99</v>
      </c>
      <c r="N2350" s="6">
        <v>2</v>
      </c>
      <c r="O2350" s="7">
        <v>45536</v>
      </c>
      <c r="P2350" s="6">
        <v>6.18</v>
      </c>
      <c r="Q2350" s="7">
        <v>45536</v>
      </c>
      <c r="R2350" s="6">
        <v>0.63</v>
      </c>
      <c r="S2350" s="6">
        <v>0</v>
      </c>
      <c r="T2350" s="6">
        <v>0.46</v>
      </c>
      <c r="U2350" s="6">
        <v>2</v>
      </c>
      <c r="V2350" s="7">
        <v>45352</v>
      </c>
      <c r="W2350" s="6">
        <f ca="1">IFERROR(__xludf.DUMMYFUNCTION("IFERROR(GOOGLEFINANCE(B2350,""pe""),V2350)"),0.36)</f>
        <v>0.36</v>
      </c>
      <c r="X2350" s="6">
        <v>0</v>
      </c>
      <c r="Y2350" s="6">
        <v>120.75</v>
      </c>
      <c r="Z2350" s="6">
        <v>121.22</v>
      </c>
      <c r="AA2350" s="3" t="s">
        <v>7354</v>
      </c>
      <c r="AB2350" s="3"/>
      <c r="AC2350" s="9"/>
      <c r="AD2350" s="9"/>
      <c r="AE2350" s="1">
        <v>0</v>
      </c>
      <c r="AF2350" s="1">
        <f ca="1">IFERROR(__xludf.DUMMYFUNCTION("IFERROR(GOOGLEFINANCE(TRIM(F2350)&amp;"":"" &amp; TRIM(B2350),""high52""),AE2350)"),147.92)</f>
        <v>147.91999999999999</v>
      </c>
      <c r="AG2350" s="1">
        <v>0</v>
      </c>
      <c r="AH2350" s="1">
        <f ca="1">IFERROR(__xludf.DUMMYFUNCTION("IFERROR(GOOGLEFINANCE(TRIM(F2350)&amp;"":"" &amp; TRIM(B2350),""low52""),AE2350)"),69.05)</f>
        <v>69.05</v>
      </c>
      <c r="AI2350" s="1">
        <f ca="1">IFERROR(__xludf.DUMMYFUNCTION("IFERROR(GOOGLEFINANCE(B2350,""eps""),0)"),248.71)</f>
        <v>248.71</v>
      </c>
      <c r="AJ2350" s="1"/>
      <c r="AK2350" s="1" t="s">
        <v>7355</v>
      </c>
      <c r="AL2350" s="9">
        <f t="shared" si="243"/>
        <v>1</v>
      </c>
    </row>
    <row r="2351" spans="1:38" ht="15" x14ac:dyDescent="0.25">
      <c r="A2351" s="1" t="s">
        <v>7356</v>
      </c>
      <c r="B2351" s="1" t="s">
        <v>7357</v>
      </c>
      <c r="C2351" s="1" t="s">
        <v>186</v>
      </c>
      <c r="D2351" s="1" t="s">
        <v>186</v>
      </c>
      <c r="E2351" s="6">
        <v>55.09</v>
      </c>
      <c r="F2351" s="1" t="s">
        <v>40</v>
      </c>
      <c r="G2351" s="6">
        <f ca="1">IFERROR(__xludf.DUMMYFUNCTION("iferror(GOOGLEFINANCE(TRIM(F2351)&amp;"":"" &amp; TRIM(B2351), ""price""),0
)"),23.86)</f>
        <v>23.86</v>
      </c>
      <c r="H2351" s="6">
        <v>52</v>
      </c>
      <c r="I2351" s="6">
        <f t="shared" ca="1" si="0"/>
        <v>23.86</v>
      </c>
      <c r="J2351" s="6">
        <f ca="1">IFERROR(__xludf.DUMMYFUNCTION("IFERROR(GOOGLEFINANCE(B2351, ""volume""), 0)"),4724)</f>
        <v>4724</v>
      </c>
      <c r="K2351" s="6">
        <v>-1.89</v>
      </c>
      <c r="L2351" s="6">
        <f ca="1">IFERROR(__xludf.DUMMYFUNCTION("IFERROR(GOOGLEFINANCE(B2351,""changepct""),K2351)"),-6.17)</f>
        <v>-6.17</v>
      </c>
      <c r="M2351" s="6">
        <f ca="1">IFERROR(__xludf.DUMMYFUNCTION("IFERROR(GOOGLEFINANCE(B2351,""change""),0)"),-1.57)</f>
        <v>-1.57</v>
      </c>
      <c r="N2351" s="6">
        <v>2</v>
      </c>
      <c r="O2351" s="7">
        <v>45536</v>
      </c>
      <c r="P2351" s="6">
        <v>41.78</v>
      </c>
      <c r="Q2351" s="6">
        <v>78.2</v>
      </c>
      <c r="R2351" s="14"/>
      <c r="S2351" s="9"/>
      <c r="T2351" s="9"/>
      <c r="U2351" s="7">
        <v>45352</v>
      </c>
      <c r="V2351" s="6">
        <v>38.72</v>
      </c>
      <c r="W2351" s="6">
        <f ca="1">IFERROR(__xludf.DUMMYFUNCTION("IFERROR(GOOGLEFINANCE(B2351,""pe""),V2351)"),4.75)</f>
        <v>4.75</v>
      </c>
      <c r="X2351" s="12"/>
      <c r="Y2351" s="6">
        <v>0.6</v>
      </c>
      <c r="Z2351" s="6">
        <v>2</v>
      </c>
      <c r="AA2351" s="13">
        <v>45352</v>
      </c>
      <c r="AB2351" s="4">
        <v>0.4</v>
      </c>
      <c r="AC2351" s="6">
        <v>1.6</v>
      </c>
      <c r="AD2351" s="6">
        <v>3.51</v>
      </c>
      <c r="AE2351" s="1">
        <v>0</v>
      </c>
      <c r="AF2351" s="1">
        <f ca="1">IFERROR(__xludf.DUMMYFUNCTION("IFERROR(GOOGLEFINANCE(TRIM(F2351)&amp;"":"" &amp; TRIM(B2351),""high52""),AE2351)"),41.55)</f>
        <v>41.55</v>
      </c>
      <c r="AG2351" s="1">
        <v>0</v>
      </c>
      <c r="AH2351" s="1">
        <f ca="1">IFERROR(__xludf.DUMMYFUNCTION("IFERROR(GOOGLEFINANCE(TRIM(F2351)&amp;"":"" &amp; TRIM(B2351),""low52""),AE2351)"),20.99)</f>
        <v>20.99</v>
      </c>
      <c r="AI2351" s="1">
        <f ca="1">IFERROR(__xludf.DUMMYFUNCTION("IFERROR(GOOGLEFINANCE(B2351,""eps""),0)"),5.02)</f>
        <v>5.0199999999999996</v>
      </c>
      <c r="AJ2351" s="1"/>
      <c r="AK2351" s="1" t="s">
        <v>7358</v>
      </c>
      <c r="AL2351" s="9">
        <f t="shared" si="243"/>
        <v>1</v>
      </c>
    </row>
    <row r="2352" spans="1:38" ht="15" x14ac:dyDescent="0.25">
      <c r="A2352" s="1" t="s">
        <v>7359</v>
      </c>
      <c r="B2352" s="1" t="s">
        <v>7360</v>
      </c>
      <c r="C2352" s="1" t="s">
        <v>186</v>
      </c>
      <c r="D2352" s="1" t="s">
        <v>186</v>
      </c>
      <c r="E2352" s="6">
        <v>244.37</v>
      </c>
      <c r="F2352" s="1" t="s">
        <v>40</v>
      </c>
      <c r="G2352" s="6">
        <f ca="1">IFERROR(__xludf.DUMMYFUNCTION("iferror(GOOGLEFINANCE(TRIM(F2352)&amp;"":"" &amp; TRIM(B2352), ""price""),0
)"),202.3)</f>
        <v>202.3</v>
      </c>
      <c r="H2352" s="6">
        <v>235.9</v>
      </c>
      <c r="I2352" s="6">
        <f t="shared" ca="1" si="0"/>
        <v>202.3</v>
      </c>
      <c r="J2352" s="6">
        <f ca="1">IFERROR(__xludf.DUMMYFUNCTION("IFERROR(GOOGLEFINANCE(B2352, ""volume""), 0)"),1955)</f>
        <v>1955</v>
      </c>
      <c r="K2352" s="6">
        <v>3.79</v>
      </c>
      <c r="L2352" s="6">
        <f ca="1">IFERROR(__xludf.DUMMYFUNCTION("IFERROR(GOOGLEFINANCE(B2352,""changepct""),K2352)"),-4.66)</f>
        <v>-4.66</v>
      </c>
      <c r="M2352" s="6">
        <f ca="1">IFERROR(__xludf.DUMMYFUNCTION("IFERROR(GOOGLEFINANCE(B2352,""change""),0)"),-9.88)</f>
        <v>-9.8800000000000008</v>
      </c>
      <c r="N2352" s="6">
        <v>1</v>
      </c>
      <c r="O2352" s="7">
        <v>45536</v>
      </c>
      <c r="P2352" s="6">
        <v>11.75</v>
      </c>
      <c r="Q2352" s="6">
        <v>227.55</v>
      </c>
      <c r="R2352" s="7">
        <v>45536</v>
      </c>
      <c r="S2352" s="6">
        <v>114.45</v>
      </c>
      <c r="T2352" s="6">
        <v>12.22</v>
      </c>
      <c r="U2352" s="7">
        <v>45536</v>
      </c>
      <c r="V2352" s="6">
        <v>20</v>
      </c>
      <c r="W2352" s="6">
        <f ca="1">IFERROR(__xludf.DUMMYFUNCTION("IFERROR(GOOGLEFINANCE(B2352,""pe""),V2352)"),10.56)</f>
        <v>10.56</v>
      </c>
      <c r="X2352" s="6">
        <v>1.1599999999999999</v>
      </c>
      <c r="Y2352" s="6">
        <v>4.0599999999999996</v>
      </c>
      <c r="Z2352" s="6">
        <v>2</v>
      </c>
      <c r="AA2352" s="8">
        <v>44986</v>
      </c>
      <c r="AB2352" s="4">
        <v>0.64</v>
      </c>
      <c r="AC2352" s="6">
        <v>10.18</v>
      </c>
      <c r="AD2352" s="6">
        <v>11.51</v>
      </c>
      <c r="AE2352" s="1">
        <v>0</v>
      </c>
      <c r="AF2352" s="1">
        <f ca="1">IFERROR(__xludf.DUMMYFUNCTION("IFERROR(GOOGLEFINANCE(TRIM(F2352)&amp;"":"" &amp; TRIM(B2352),""high52""),AE2352)"),270.68)</f>
        <v>270.68</v>
      </c>
      <c r="AG2352" s="1">
        <v>0</v>
      </c>
      <c r="AH2352" s="1">
        <f ca="1">IFERROR(__xludf.DUMMYFUNCTION("IFERROR(GOOGLEFINANCE(TRIM(F2352)&amp;"":"" &amp; TRIM(B2352),""low52""),AE2352)"),189)</f>
        <v>189</v>
      </c>
      <c r="AI2352" s="1">
        <f ca="1">IFERROR(__xludf.DUMMYFUNCTION("IFERROR(GOOGLEFINANCE(B2352,""eps""),0)"),19.16)</f>
        <v>19.16</v>
      </c>
      <c r="AJ2352" s="1"/>
      <c r="AK2352" s="1" t="s">
        <v>7361</v>
      </c>
      <c r="AL2352" s="9">
        <f t="shared" si="243"/>
        <v>1</v>
      </c>
    </row>
    <row r="2353" spans="1:38" ht="15" x14ac:dyDescent="0.25">
      <c r="A2353" s="1" t="s">
        <v>7362</v>
      </c>
      <c r="B2353" s="1" t="s">
        <v>7363</v>
      </c>
      <c r="C2353" s="1" t="s">
        <v>219</v>
      </c>
      <c r="D2353" s="1" t="s">
        <v>219</v>
      </c>
      <c r="E2353" s="6">
        <v>341.75</v>
      </c>
      <c r="F2353" s="1" t="s">
        <v>40</v>
      </c>
      <c r="G2353" s="6">
        <f ca="1">IFERROR(__xludf.DUMMYFUNCTION("iferror(GOOGLEFINANCE(TRIM(F2353)&amp;"":"" &amp; TRIM(B2353), ""price""),0
)"),760.7)</f>
        <v>760.7</v>
      </c>
      <c r="H2353" s="6">
        <v>203.23</v>
      </c>
      <c r="I2353" s="6">
        <f t="shared" ca="1" si="0"/>
        <v>760.7</v>
      </c>
      <c r="J2353" s="6">
        <f ca="1">IFERROR(__xludf.DUMMYFUNCTION("IFERROR(GOOGLEFINANCE(B2353, ""volume""), 0)"),2824)</f>
        <v>2824</v>
      </c>
      <c r="K2353" s="6">
        <v>-1.19</v>
      </c>
      <c r="L2353" s="6">
        <f ca="1">IFERROR(__xludf.DUMMYFUNCTION("IFERROR(GOOGLEFINANCE(B2353,""changepct""),K2353)"),-2)</f>
        <v>-2</v>
      </c>
      <c r="M2353" s="6">
        <f ca="1">IFERROR(__xludf.DUMMYFUNCTION("IFERROR(GOOGLEFINANCE(B2353,""change""),0)"),-15.5)</f>
        <v>-15.5</v>
      </c>
      <c r="N2353" s="6">
        <v>2</v>
      </c>
      <c r="O2353" s="7">
        <v>45536</v>
      </c>
      <c r="P2353" s="6">
        <v>33.590000000000003</v>
      </c>
      <c r="Q2353" s="6">
        <v>375.35</v>
      </c>
      <c r="R2353" s="7">
        <v>45536</v>
      </c>
      <c r="S2353" s="6">
        <v>743.62</v>
      </c>
      <c r="T2353" s="6">
        <v>3.61</v>
      </c>
      <c r="U2353" s="7">
        <v>45536</v>
      </c>
      <c r="V2353" s="6">
        <v>74.12</v>
      </c>
      <c r="W2353" s="6">
        <f ca="1">IFERROR(__xludf.DUMMYFUNCTION("IFERROR(GOOGLEFINANCE(B2353,""pe""),V2353)"),122.77)</f>
        <v>122.77</v>
      </c>
      <c r="X2353" s="6">
        <v>617.64</v>
      </c>
      <c r="Y2353" s="6">
        <v>2.4</v>
      </c>
      <c r="Z2353" s="6">
        <v>2</v>
      </c>
      <c r="AA2353" s="8">
        <v>45352</v>
      </c>
      <c r="AB2353" s="4">
        <v>0.28999999999999998</v>
      </c>
      <c r="AC2353" s="6">
        <v>3.47</v>
      </c>
      <c r="AD2353" s="6">
        <v>6.6</v>
      </c>
      <c r="AE2353" s="1">
        <v>0</v>
      </c>
      <c r="AF2353" s="1">
        <f ca="1">IFERROR(__xludf.DUMMYFUNCTION("IFERROR(GOOGLEFINANCE(TRIM(F2353)&amp;"":"" &amp; TRIM(B2353),""high52""),AE2353)"),1032)</f>
        <v>1032</v>
      </c>
      <c r="AG2353" s="1">
        <v>0</v>
      </c>
      <c r="AH2353" s="1">
        <f ca="1">IFERROR(__xludf.DUMMYFUNCTION("IFERROR(GOOGLEFINANCE(TRIM(F2353)&amp;"":"" &amp; TRIM(B2353),""low52""),AE2353)"),185)</f>
        <v>185</v>
      </c>
      <c r="AI2353" s="1">
        <f ca="1">IFERROR(__xludf.DUMMYFUNCTION("IFERROR(GOOGLEFINANCE(B2353,""eps""),0)"),6.2)</f>
        <v>6.2</v>
      </c>
      <c r="AJ2353" s="1"/>
      <c r="AK2353" s="1" t="s">
        <v>7364</v>
      </c>
      <c r="AL2353" s="9">
        <f t="shared" si="243"/>
        <v>1</v>
      </c>
    </row>
    <row r="2354" spans="1:38" ht="15" x14ac:dyDescent="0.25">
      <c r="A2354" s="1" t="s">
        <v>7365</v>
      </c>
      <c r="B2354" s="1" t="s">
        <v>7366</v>
      </c>
      <c r="C2354" s="1" t="s">
        <v>163</v>
      </c>
      <c r="D2354" s="1" t="s">
        <v>163</v>
      </c>
      <c r="E2354" s="6">
        <v>63.71</v>
      </c>
      <c r="F2354" s="1" t="s">
        <v>53</v>
      </c>
      <c r="G2354" s="6">
        <f ca="1">IFERROR(__xludf.DUMMYFUNCTION("iferror(GOOGLEFINANCE(TRIM(F2354)&amp;"":"" &amp; TRIM(B2354), ""price""),0
)"),0)</f>
        <v>0</v>
      </c>
      <c r="H2354" s="6">
        <v>63.13</v>
      </c>
      <c r="I2354" s="6">
        <f t="shared" ca="1" si="0"/>
        <v>63.13</v>
      </c>
      <c r="J2354" s="6">
        <f ca="1">IFERROR(__xludf.DUMMYFUNCTION("IFERROR(GOOGLEFINANCE(B2354, ""volume""), 0)"),0)</f>
        <v>0</v>
      </c>
      <c r="K2354" s="6">
        <v>1.99</v>
      </c>
      <c r="L2354" s="6">
        <f ca="1">IFERROR(__xludf.DUMMYFUNCTION("IFERROR(GOOGLEFINANCE(B2354,""changepct""),K2354)"),1.99)</f>
        <v>1.99</v>
      </c>
      <c r="M2354" s="6">
        <f ca="1">IFERROR(__xludf.DUMMYFUNCTION("IFERROR(GOOGLEFINANCE(B2354,""change""),0)"),0)</f>
        <v>0</v>
      </c>
      <c r="N2354" s="6">
        <v>1</v>
      </c>
      <c r="O2354" s="7">
        <v>45536</v>
      </c>
      <c r="P2354" s="6">
        <v>1.1399999999999999</v>
      </c>
      <c r="Q2354" s="6">
        <v>62.45</v>
      </c>
      <c r="R2354" s="7">
        <v>45536</v>
      </c>
      <c r="S2354" s="6">
        <v>18.100000000000001</v>
      </c>
      <c r="T2354" s="6">
        <v>-0.27</v>
      </c>
      <c r="U2354" s="7">
        <v>45536</v>
      </c>
      <c r="V2354" s="6">
        <v>0</v>
      </c>
      <c r="W2354" s="6">
        <f ca="1">IFERROR(__xludf.DUMMYFUNCTION("IFERROR(GOOGLEFINANCE(B2354,""pe""),V2354)"),0)</f>
        <v>0</v>
      </c>
      <c r="X2354" s="6">
        <v>0</v>
      </c>
      <c r="Y2354" s="6">
        <v>5.73</v>
      </c>
      <c r="Z2354" s="6">
        <v>1</v>
      </c>
      <c r="AA2354" s="8">
        <v>45352</v>
      </c>
      <c r="AB2354" s="4">
        <v>0.11</v>
      </c>
      <c r="AC2354" s="6">
        <v>-23.34</v>
      </c>
      <c r="AD2354" s="6">
        <v>-18.489999999999998</v>
      </c>
      <c r="AE2354" s="1">
        <v>0</v>
      </c>
      <c r="AF2354" s="1">
        <f ca="1">IFERROR(__xludf.DUMMYFUNCTION("IFERROR(GOOGLEFINANCE(TRIM(F2354)&amp;"":"" &amp; TRIM(B2354),""high52""),AE2354)"),0)</f>
        <v>0</v>
      </c>
      <c r="AG2354" s="1">
        <v>0</v>
      </c>
      <c r="AH2354" s="1">
        <f ca="1">IFERROR(__xludf.DUMMYFUNCTION("IFERROR(GOOGLEFINANCE(TRIM(F2354)&amp;"":"" &amp; TRIM(B2354),""low52""),AE2354)"),0)</f>
        <v>0</v>
      </c>
      <c r="AI2354" s="1">
        <f ca="1">IFERROR(__xludf.DUMMYFUNCTION("IFERROR(GOOGLEFINANCE(B2354,""eps""),0)"),0)</f>
        <v>0</v>
      </c>
      <c r="AJ2354" s="1"/>
      <c r="AK2354" s="1" t="s">
        <v>7367</v>
      </c>
      <c r="AL2354" s="9">
        <f t="shared" si="243"/>
        <v>1</v>
      </c>
    </row>
    <row r="2355" spans="1:38" ht="15" x14ac:dyDescent="0.25">
      <c r="A2355" s="1" t="s">
        <v>7368</v>
      </c>
      <c r="B2355" s="1" t="s">
        <v>7369</v>
      </c>
      <c r="C2355" s="1" t="s">
        <v>309</v>
      </c>
      <c r="D2355" s="1" t="s">
        <v>309</v>
      </c>
      <c r="E2355" s="6">
        <v>12803.08</v>
      </c>
      <c r="F2355" s="1" t="s">
        <v>40</v>
      </c>
      <c r="G2355" s="6">
        <f ca="1">IFERROR(__xludf.DUMMYFUNCTION("iferror(GOOGLEFINANCE(TRIM(F2355)&amp;"":"" &amp; TRIM(B2355), ""price""),0
)"),1051)</f>
        <v>1051</v>
      </c>
      <c r="H2355" s="6">
        <v>1321</v>
      </c>
      <c r="I2355" s="6">
        <f t="shared" ca="1" si="0"/>
        <v>1051</v>
      </c>
      <c r="J2355" s="6">
        <f ca="1">IFERROR(__xludf.DUMMYFUNCTION("IFERROR(GOOGLEFINANCE(B2355, ""volume""), 0)"),0)</f>
        <v>0</v>
      </c>
      <c r="K2355" s="6">
        <v>1.92</v>
      </c>
      <c r="L2355" s="6">
        <f ca="1">IFERROR(__xludf.DUMMYFUNCTION("IFERROR(GOOGLEFINANCE(B2355,""changepct""),K2355)"),0)</f>
        <v>0</v>
      </c>
      <c r="M2355" s="6">
        <f ca="1">IFERROR(__xludf.DUMMYFUNCTION("IFERROR(GOOGLEFINANCE(B2355,""change""),0)"),0)</f>
        <v>0</v>
      </c>
      <c r="N2355" s="6">
        <v>2</v>
      </c>
      <c r="O2355" s="7">
        <v>45536</v>
      </c>
      <c r="P2355" s="9"/>
      <c r="Q2355" s="6">
        <v>12446.36</v>
      </c>
      <c r="R2355" s="7">
        <v>45536</v>
      </c>
      <c r="S2355" s="6">
        <v>7290.25</v>
      </c>
      <c r="T2355" s="6">
        <v>1141.71</v>
      </c>
      <c r="U2355" s="7">
        <v>45536</v>
      </c>
      <c r="V2355" s="6">
        <v>11.21</v>
      </c>
      <c r="W2355" s="6">
        <f ca="1">IFERROR(__xludf.DUMMYFUNCTION("IFERROR(GOOGLEFINANCE(B2355,""pe""),V2355)"),11.21)</f>
        <v>11.21</v>
      </c>
      <c r="X2355" s="9"/>
      <c r="Y2355" s="6">
        <v>2.3199999999999998</v>
      </c>
      <c r="Z2355" s="6">
        <v>2</v>
      </c>
      <c r="AA2355" s="8">
        <v>45352</v>
      </c>
      <c r="AB2355" s="4">
        <v>0</v>
      </c>
      <c r="AC2355" s="6">
        <v>27.55</v>
      </c>
      <c r="AD2355" s="6">
        <v>37.450000000000003</v>
      </c>
      <c r="AE2355" s="1">
        <v>0</v>
      </c>
      <c r="AF2355" s="1">
        <f ca="1">IFERROR(__xludf.DUMMYFUNCTION("IFERROR(GOOGLEFINANCE(TRIM(F2355)&amp;"":"" &amp; TRIM(B2355),""high52""),AE2355)"),1586.9)</f>
        <v>1586.9</v>
      </c>
      <c r="AG2355" s="1">
        <v>0</v>
      </c>
      <c r="AH2355" s="1">
        <f ca="1">IFERROR(__xludf.DUMMYFUNCTION("IFERROR(GOOGLEFINANCE(TRIM(F2355)&amp;"":"" &amp; TRIM(B2355),""low52""),AE2355)"),1018.6)</f>
        <v>1018.6</v>
      </c>
      <c r="AI2355" s="1">
        <f ca="1">IFERROR(__xludf.DUMMYFUNCTION("IFERROR(GOOGLEFINANCE(B2355,""eps""),0)"),-0.12)</f>
        <v>-0.12</v>
      </c>
      <c r="AJ2355" s="1"/>
      <c r="AK2355" s="1" t="s">
        <v>7370</v>
      </c>
      <c r="AL2355" s="9">
        <f t="shared" si="243"/>
        <v>1</v>
      </c>
    </row>
    <row r="2356" spans="1:38" ht="15" x14ac:dyDescent="0.25">
      <c r="A2356" s="1" t="s">
        <v>7371</v>
      </c>
      <c r="B2356" s="1" t="s">
        <v>7372</v>
      </c>
      <c r="C2356" s="1" t="s">
        <v>163</v>
      </c>
      <c r="D2356" s="1" t="s">
        <v>163</v>
      </c>
      <c r="E2356" s="6">
        <v>69.010000000000005</v>
      </c>
      <c r="F2356" s="1" t="s">
        <v>53</v>
      </c>
      <c r="G2356" s="6">
        <f ca="1">IFERROR(__xludf.DUMMYFUNCTION("iferror(GOOGLEFINANCE(TRIM(F2356)&amp;"":"" &amp; TRIM(B2356), ""price""),0
)"),0)</f>
        <v>0</v>
      </c>
      <c r="H2356" s="6">
        <v>108.3</v>
      </c>
      <c r="I2356" s="6">
        <f t="shared" ca="1" si="0"/>
        <v>108.3</v>
      </c>
      <c r="J2356" s="6">
        <f ca="1">IFERROR(__xludf.DUMMYFUNCTION("IFERROR(GOOGLEFINANCE(B2356, ""volume""), 0)"),0)</f>
        <v>0</v>
      </c>
      <c r="K2356" s="6">
        <v>9.31</v>
      </c>
      <c r="L2356" s="6">
        <f ca="1">IFERROR(__xludf.DUMMYFUNCTION("IFERROR(GOOGLEFINANCE(B2356,""changepct""),K2356)"),9.31)</f>
        <v>9.31</v>
      </c>
      <c r="M2356" s="6">
        <f ca="1">IFERROR(__xludf.DUMMYFUNCTION("IFERROR(GOOGLEFINANCE(B2356,""change""),0)"),0)</f>
        <v>0</v>
      </c>
      <c r="N2356" s="6">
        <v>1</v>
      </c>
      <c r="O2356" s="7">
        <v>45536</v>
      </c>
      <c r="P2356" s="6">
        <v>28.66</v>
      </c>
      <c r="Q2356" s="6">
        <v>97.67</v>
      </c>
      <c r="R2356" s="7">
        <v>45536</v>
      </c>
      <c r="S2356" s="6">
        <v>39.979999999999997</v>
      </c>
      <c r="T2356" s="6">
        <v>1.24</v>
      </c>
      <c r="U2356" s="7">
        <v>45536</v>
      </c>
      <c r="V2356" s="6">
        <v>55.52</v>
      </c>
      <c r="W2356" s="6">
        <f ca="1">IFERROR(__xludf.DUMMYFUNCTION("IFERROR(GOOGLEFINANCE(B2356,""pe""),V2356)"),55.52)</f>
        <v>55.52</v>
      </c>
      <c r="X2356" s="6">
        <v>-7.86</v>
      </c>
      <c r="Y2356" s="6">
        <v>3</v>
      </c>
      <c r="Z2356" s="6">
        <v>1</v>
      </c>
      <c r="AA2356" s="8">
        <v>45352</v>
      </c>
      <c r="AB2356" s="4">
        <v>1.32</v>
      </c>
      <c r="AC2356" s="6">
        <v>5.12</v>
      </c>
      <c r="AD2356" s="6">
        <v>9.18</v>
      </c>
      <c r="AE2356" s="1">
        <v>0</v>
      </c>
      <c r="AF2356" s="1">
        <f ca="1">IFERROR(__xludf.DUMMYFUNCTION("IFERROR(GOOGLEFINANCE(TRIM(F2356)&amp;"":"" &amp; TRIM(B2356),""high52""),AE2356)"),0)</f>
        <v>0</v>
      </c>
      <c r="AG2356" s="1">
        <v>0</v>
      </c>
      <c r="AH2356" s="1">
        <f ca="1">IFERROR(__xludf.DUMMYFUNCTION("IFERROR(GOOGLEFINANCE(TRIM(F2356)&amp;"":"" &amp; TRIM(B2356),""low52""),AE2356)"),0)</f>
        <v>0</v>
      </c>
      <c r="AI2356" s="1">
        <f ca="1">IFERROR(__xludf.DUMMYFUNCTION("IFERROR(GOOGLEFINANCE(B2356,""eps""),0)"),0)</f>
        <v>0</v>
      </c>
      <c r="AJ2356" s="1"/>
      <c r="AK2356" s="9"/>
      <c r="AL2356" s="9">
        <f t="shared" si="243"/>
        <v>1</v>
      </c>
    </row>
    <row r="2357" spans="1:38" ht="15" x14ac:dyDescent="0.25">
      <c r="A2357" s="1" t="s">
        <v>7373</v>
      </c>
      <c r="B2357" s="1" t="s">
        <v>7374</v>
      </c>
      <c r="C2357" s="1" t="s">
        <v>163</v>
      </c>
      <c r="D2357" s="1" t="s">
        <v>163</v>
      </c>
      <c r="E2357" s="6">
        <v>147.15</v>
      </c>
      <c r="F2357" s="1" t="s">
        <v>53</v>
      </c>
      <c r="G2357" s="6">
        <f ca="1">IFERROR(__xludf.DUMMYFUNCTION("iferror(GOOGLEFINANCE(TRIM(F2357)&amp;"":"" &amp; TRIM(B2357), ""price""),0
)"),0)</f>
        <v>0</v>
      </c>
      <c r="H2357" s="6">
        <v>122.95</v>
      </c>
      <c r="I2357" s="6">
        <f t="shared" ca="1" si="0"/>
        <v>122.95</v>
      </c>
      <c r="J2357" s="6">
        <f ca="1">IFERROR(__xludf.DUMMYFUNCTION("IFERROR(GOOGLEFINANCE(B2357, ""volume""), 0)"),0)</f>
        <v>0</v>
      </c>
      <c r="K2357" s="9"/>
      <c r="L2357" s="6" t="str">
        <f ca="1">IFERROR(__xludf.DUMMYFUNCTION("IFERROR(GOOGLEFINANCE(B2357,""changepct""),K2357)"),"")</f>
        <v/>
      </c>
      <c r="M2357" s="6">
        <f ca="1">IFERROR(__xludf.DUMMYFUNCTION("IFERROR(GOOGLEFINANCE(B2357,""change""),0)"),0)</f>
        <v>0</v>
      </c>
      <c r="N2357" s="6">
        <v>1</v>
      </c>
      <c r="O2357" s="7">
        <v>45536</v>
      </c>
      <c r="P2357" s="9"/>
      <c r="Q2357" s="6">
        <v>147.15</v>
      </c>
      <c r="R2357" s="7">
        <v>45536</v>
      </c>
      <c r="S2357" s="6">
        <v>17.23</v>
      </c>
      <c r="T2357" s="6">
        <v>1.84</v>
      </c>
      <c r="U2357" s="7">
        <v>45536</v>
      </c>
      <c r="V2357" s="6">
        <v>79.8</v>
      </c>
      <c r="W2357" s="6">
        <f ca="1">IFERROR(__xludf.DUMMYFUNCTION("IFERROR(GOOGLEFINANCE(B2357,""pe""),V2357)"),79.8)</f>
        <v>79.8</v>
      </c>
      <c r="X2357" s="6">
        <v>0.98</v>
      </c>
      <c r="Y2357" s="6">
        <v>5.12</v>
      </c>
      <c r="Z2357" s="6">
        <v>1</v>
      </c>
      <c r="AA2357" s="8">
        <v>45352</v>
      </c>
      <c r="AB2357" s="4">
        <v>5.73</v>
      </c>
      <c r="AC2357" s="6">
        <v>118.08</v>
      </c>
      <c r="AD2357" s="6">
        <v>20.9</v>
      </c>
      <c r="AE2357" s="1">
        <v>0</v>
      </c>
      <c r="AF2357" s="1">
        <f ca="1">IFERROR(__xludf.DUMMYFUNCTION("IFERROR(GOOGLEFINANCE(TRIM(F2357)&amp;"":"" &amp; TRIM(B2357),""high52""),AE2357)"),0)</f>
        <v>0</v>
      </c>
      <c r="AG2357" s="1">
        <v>0</v>
      </c>
      <c r="AH2357" s="1">
        <f ca="1">IFERROR(__xludf.DUMMYFUNCTION("IFERROR(GOOGLEFINANCE(TRIM(F2357)&amp;"":"" &amp; TRIM(B2357),""low52""),AE2357)"),0)</f>
        <v>0</v>
      </c>
      <c r="AI2357" s="1">
        <f ca="1">IFERROR(__xludf.DUMMYFUNCTION("IFERROR(GOOGLEFINANCE(B2357,""eps""),0)"),0)</f>
        <v>0</v>
      </c>
      <c r="AJ2357" s="1"/>
      <c r="AK2357" s="9"/>
      <c r="AL2357" s="9">
        <f t="shared" si="243"/>
        <v>1</v>
      </c>
    </row>
    <row r="2358" spans="1:38" ht="15" x14ac:dyDescent="0.25">
      <c r="A2358" s="1" t="s">
        <v>7375</v>
      </c>
      <c r="B2358" s="1" t="s">
        <v>7376</v>
      </c>
      <c r="C2358" s="1" t="s">
        <v>163</v>
      </c>
      <c r="D2358" s="1" t="s">
        <v>163</v>
      </c>
      <c r="E2358" s="6">
        <v>8.2799999999999994</v>
      </c>
      <c r="F2358" s="1" t="s">
        <v>53</v>
      </c>
      <c r="G2358" s="6">
        <f ca="1">IFERROR(__xludf.DUMMYFUNCTION("iferror(GOOGLEFINANCE(TRIM(F2358)&amp;"":"" &amp; TRIM(B2358), ""price""),0
)"),0)</f>
        <v>0</v>
      </c>
      <c r="H2358" s="6">
        <v>20.2</v>
      </c>
      <c r="I2358" s="6">
        <f t="shared" ca="1" si="0"/>
        <v>20.2</v>
      </c>
      <c r="J2358" s="6">
        <f ca="1">IFERROR(__xludf.DUMMYFUNCTION("IFERROR(GOOGLEFINANCE(B2358, ""volume""), 0)"),0)</f>
        <v>0</v>
      </c>
      <c r="K2358" s="9"/>
      <c r="L2358" s="6" t="str">
        <f ca="1">IFERROR(__xludf.DUMMYFUNCTION("IFERROR(GOOGLEFINANCE(B2358,""changepct""),K2358)"),"")</f>
        <v/>
      </c>
      <c r="M2358" s="6">
        <f ca="1">IFERROR(__xludf.DUMMYFUNCTION("IFERROR(GOOGLEFINANCE(B2358,""change""),0)"),0)</f>
        <v>0</v>
      </c>
      <c r="N2358" s="6">
        <v>1</v>
      </c>
      <c r="O2358" s="7">
        <v>45536</v>
      </c>
      <c r="P2358" s="9"/>
      <c r="Q2358" s="6">
        <v>8.2799999999999994</v>
      </c>
      <c r="R2358" s="7">
        <v>45536</v>
      </c>
      <c r="S2358" s="6">
        <v>21.71</v>
      </c>
      <c r="T2358" s="6">
        <v>0.6</v>
      </c>
      <c r="U2358" s="7">
        <v>45536</v>
      </c>
      <c r="V2358" s="6">
        <v>13.8</v>
      </c>
      <c r="W2358" s="6">
        <f ca="1">IFERROR(__xludf.DUMMYFUNCTION("IFERROR(GOOGLEFINANCE(B2358,""pe""),V2358)"),13.8)</f>
        <v>13.8</v>
      </c>
      <c r="X2358" s="6">
        <v>0.5</v>
      </c>
      <c r="Y2358" s="6">
        <v>0.85</v>
      </c>
      <c r="Z2358" s="6">
        <v>1</v>
      </c>
      <c r="AA2358" s="17">
        <v>45352</v>
      </c>
      <c r="AB2358" s="18">
        <v>0</v>
      </c>
      <c r="AC2358" s="6">
        <v>1.77</v>
      </c>
      <c r="AD2358" s="6">
        <v>2.78</v>
      </c>
      <c r="AE2358" s="1">
        <v>0</v>
      </c>
      <c r="AF2358" s="1">
        <f ca="1">IFERROR(__xludf.DUMMYFUNCTION("IFERROR(GOOGLEFINANCE(TRIM(F2358)&amp;"":"" &amp; TRIM(B2358),""high52""),AE2358)"),0)</f>
        <v>0</v>
      </c>
      <c r="AG2358" s="1">
        <v>0</v>
      </c>
      <c r="AH2358" s="1">
        <f ca="1">IFERROR(__xludf.DUMMYFUNCTION("IFERROR(GOOGLEFINANCE(TRIM(F2358)&amp;"":"" &amp; TRIM(B2358),""low52""),AE2358)"),0)</f>
        <v>0</v>
      </c>
      <c r="AI2358" s="1">
        <f ca="1">IFERROR(__xludf.DUMMYFUNCTION("IFERROR(GOOGLEFINANCE(B2358,""eps""),0)"),0)</f>
        <v>0</v>
      </c>
      <c r="AJ2358" s="1"/>
      <c r="AK2358" s="1" t="s">
        <v>7377</v>
      </c>
      <c r="AL2358" s="9">
        <f t="shared" si="243"/>
        <v>1</v>
      </c>
    </row>
    <row r="2359" spans="1:38" ht="15" x14ac:dyDescent="0.25">
      <c r="A2359" s="1" t="s">
        <v>7378</v>
      </c>
      <c r="B2359" s="1" t="s">
        <v>7379</v>
      </c>
      <c r="C2359" s="1" t="s">
        <v>163</v>
      </c>
      <c r="D2359" s="1" t="s">
        <v>163</v>
      </c>
      <c r="E2359" s="6">
        <v>3274.56</v>
      </c>
      <c r="F2359" s="1" t="s">
        <v>53</v>
      </c>
      <c r="G2359" s="6">
        <f ca="1">IFERROR(__xludf.DUMMYFUNCTION("iferror(GOOGLEFINANCE(TRIM(F2359)&amp;"":"" &amp; TRIM(B2359), ""price""),0
)"),0)</f>
        <v>0</v>
      </c>
      <c r="H2359" s="6">
        <v>7090</v>
      </c>
      <c r="I2359" s="6">
        <f t="shared" ca="1" si="0"/>
        <v>7090</v>
      </c>
      <c r="J2359" s="6">
        <f ca="1">IFERROR(__xludf.DUMMYFUNCTION("IFERROR(GOOGLEFINANCE(B2359, ""volume""), 0)"),0)</f>
        <v>0</v>
      </c>
      <c r="K2359" s="6">
        <v>1.76</v>
      </c>
      <c r="L2359" s="6">
        <f ca="1">IFERROR(__xludf.DUMMYFUNCTION("IFERROR(GOOGLEFINANCE(B2359,""changepct""),K2359)"),1.76)</f>
        <v>1.76</v>
      </c>
      <c r="M2359" s="6">
        <f ca="1">IFERROR(__xludf.DUMMYFUNCTION("IFERROR(GOOGLEFINANCE(B2359,""change""),0)"),0)</f>
        <v>0</v>
      </c>
      <c r="N2359" s="6">
        <v>1</v>
      </c>
      <c r="O2359" s="7">
        <v>45536</v>
      </c>
      <c r="P2359" s="6">
        <v>77.56</v>
      </c>
      <c r="Q2359" s="6">
        <v>3337.16</v>
      </c>
      <c r="R2359" s="7">
        <v>45536</v>
      </c>
      <c r="S2359" s="6">
        <v>358.6</v>
      </c>
      <c r="T2359" s="6">
        <v>50.49</v>
      </c>
      <c r="U2359" s="7">
        <v>45536</v>
      </c>
      <c r="V2359" s="6">
        <v>64.86</v>
      </c>
      <c r="W2359" s="6">
        <f ca="1">IFERROR(__xludf.DUMMYFUNCTION("IFERROR(GOOGLEFINANCE(B2359,""pe""),V2359)"),64.86)</f>
        <v>64.86</v>
      </c>
      <c r="X2359" s="6">
        <v>2.08</v>
      </c>
      <c r="Y2359" s="6">
        <v>17.79</v>
      </c>
      <c r="Z2359" s="6">
        <v>1</v>
      </c>
      <c r="AA2359" s="8">
        <v>45352</v>
      </c>
      <c r="AB2359" s="4">
        <v>0.33</v>
      </c>
      <c r="AC2359" s="6">
        <v>34.28</v>
      </c>
      <c r="AD2359" s="6">
        <v>38.590000000000003</v>
      </c>
      <c r="AE2359" s="1">
        <v>0</v>
      </c>
      <c r="AF2359" s="1">
        <f ca="1">IFERROR(__xludf.DUMMYFUNCTION("IFERROR(GOOGLEFINANCE(TRIM(F2359)&amp;"":"" &amp; TRIM(B2359),""high52""),AE2359)"),0)</f>
        <v>0</v>
      </c>
      <c r="AG2359" s="1">
        <v>0</v>
      </c>
      <c r="AH2359" s="1">
        <f ca="1">IFERROR(__xludf.DUMMYFUNCTION("IFERROR(GOOGLEFINANCE(TRIM(F2359)&amp;"":"" &amp; TRIM(B2359),""low52""),AE2359)"),0)</f>
        <v>0</v>
      </c>
      <c r="AI2359" s="1">
        <f ca="1">IFERROR(__xludf.DUMMYFUNCTION("IFERROR(GOOGLEFINANCE(B2359,""eps""),0)"),0)</f>
        <v>0</v>
      </c>
      <c r="AJ2359" s="1"/>
      <c r="AK2359" s="1" t="s">
        <v>7380</v>
      </c>
      <c r="AL2359" s="9">
        <f t="shared" si="243"/>
        <v>1</v>
      </c>
    </row>
    <row r="2360" spans="1:38" ht="15" x14ac:dyDescent="0.25">
      <c r="A2360" s="1" t="s">
        <v>7381</v>
      </c>
      <c r="B2360" s="1" t="s">
        <v>7382</v>
      </c>
      <c r="C2360" s="1" t="s">
        <v>255</v>
      </c>
      <c r="D2360" s="1" t="s">
        <v>255</v>
      </c>
      <c r="E2360" s="6">
        <v>3214.26</v>
      </c>
      <c r="F2360" s="1" t="s">
        <v>40</v>
      </c>
      <c r="G2360" s="6">
        <f ca="1">IFERROR(__xludf.DUMMYFUNCTION("iferror(GOOGLEFINANCE(TRIM(F2360)&amp;"":"" &amp; TRIM(B2360), ""price""),0
)"),31.09)</f>
        <v>31.09</v>
      </c>
      <c r="H2360" s="6">
        <v>51.2</v>
      </c>
      <c r="I2360" s="6">
        <f t="shared" ca="1" si="0"/>
        <v>31.09</v>
      </c>
      <c r="J2360" s="6">
        <f ca="1">IFERROR(__xludf.DUMMYFUNCTION("IFERROR(GOOGLEFINANCE(B2360, ""volume""), 0)"),2775827)</f>
        <v>2775827</v>
      </c>
      <c r="K2360" s="6">
        <v>0.43</v>
      </c>
      <c r="L2360" s="6">
        <f ca="1">IFERROR(__xludf.DUMMYFUNCTION("IFERROR(GOOGLEFINANCE(B2360,""changepct""),K2360)"),-3.39)</f>
        <v>-3.39</v>
      </c>
      <c r="M2360" s="6">
        <f ca="1">IFERROR(__xludf.DUMMYFUNCTION("IFERROR(GOOGLEFINANCE(B2360,""change""),0)"),-1.09)</f>
        <v>-1.0900000000000001</v>
      </c>
      <c r="N2360" s="6">
        <v>2</v>
      </c>
      <c r="O2360" s="7">
        <v>45536</v>
      </c>
      <c r="P2360" s="6">
        <v>31113.38</v>
      </c>
      <c r="Q2360" s="6">
        <v>34260.910000000003</v>
      </c>
      <c r="R2360" s="7">
        <v>45536</v>
      </c>
      <c r="S2360" s="6">
        <v>759.34</v>
      </c>
      <c r="T2360" s="6">
        <v>-3288.34</v>
      </c>
      <c r="U2360" s="7">
        <v>45536</v>
      </c>
      <c r="V2360" s="6">
        <v>0</v>
      </c>
      <c r="W2360" s="6">
        <f ca="1">IFERROR(__xludf.DUMMYFUNCTION("IFERROR(GOOGLEFINANCE(B2360,""pe""),V2360)"),0)</f>
        <v>0</v>
      </c>
      <c r="X2360" s="6">
        <v>0</v>
      </c>
      <c r="Y2360" s="6">
        <v>-0.13</v>
      </c>
      <c r="Z2360" s="6">
        <v>2</v>
      </c>
      <c r="AA2360" s="8">
        <v>45352</v>
      </c>
      <c r="AB2360" s="4">
        <v>-1.27</v>
      </c>
      <c r="AC2360" s="6">
        <v>0</v>
      </c>
      <c r="AD2360" s="6">
        <v>-8.3699999999999992</v>
      </c>
      <c r="AE2360" s="1">
        <v>0</v>
      </c>
      <c r="AF2360" s="1">
        <f ca="1">IFERROR(__xludf.DUMMYFUNCTION("IFERROR(GOOGLEFINANCE(TRIM(F2360)&amp;"":"" &amp; TRIM(B2360),""high52""),AE2360)"),58.2)</f>
        <v>58.2</v>
      </c>
      <c r="AG2360" s="1">
        <v>0</v>
      </c>
      <c r="AH2360" s="1">
        <f ca="1">IFERROR(__xludf.DUMMYFUNCTION("IFERROR(GOOGLEFINANCE(TRIM(F2360)&amp;"":"" &amp; TRIM(B2360),""low52""),AE2360)"),28.55)</f>
        <v>28.55</v>
      </c>
      <c r="AI2360" s="1">
        <f ca="1">IFERROR(__xludf.DUMMYFUNCTION("IFERROR(GOOGLEFINANCE(B2360,""eps""),0)"),-56.62)</f>
        <v>-56.62</v>
      </c>
      <c r="AJ2360" s="1"/>
      <c r="AK2360" s="1" t="s">
        <v>7383</v>
      </c>
      <c r="AL2360" s="9">
        <f t="shared" si="243"/>
        <v>1</v>
      </c>
    </row>
    <row r="2361" spans="1:38" ht="15" x14ac:dyDescent="0.25">
      <c r="A2361" s="1" t="s">
        <v>7384</v>
      </c>
      <c r="B2361" s="1" t="s">
        <v>7385</v>
      </c>
      <c r="C2361" s="1" t="s">
        <v>163</v>
      </c>
      <c r="D2361" s="1" t="s">
        <v>163</v>
      </c>
      <c r="E2361" s="6">
        <v>35.97</v>
      </c>
      <c r="F2361" s="1" t="s">
        <v>53</v>
      </c>
      <c r="G2361" s="6">
        <f ca="1">IFERROR(__xludf.DUMMYFUNCTION("iferror(GOOGLEFINANCE(TRIM(F2361)&amp;"":"" &amp; TRIM(B2361), ""price""),0
)"),0)</f>
        <v>0</v>
      </c>
      <c r="H2361" s="6">
        <v>6.6</v>
      </c>
      <c r="I2361" s="6">
        <f t="shared" ca="1" si="0"/>
        <v>6.6</v>
      </c>
      <c r="J2361" s="6">
        <f ca="1">IFERROR(__xludf.DUMMYFUNCTION("IFERROR(GOOGLEFINANCE(B2361, ""volume""), 0)"),0)</f>
        <v>0</v>
      </c>
      <c r="K2361" s="6">
        <v>-0.9</v>
      </c>
      <c r="L2361" s="6">
        <f ca="1">IFERROR(__xludf.DUMMYFUNCTION("IFERROR(GOOGLEFINANCE(B2361,""changepct""),K2361)"),-0.9)</f>
        <v>-0.9</v>
      </c>
      <c r="M2361" s="6">
        <f ca="1">IFERROR(__xludf.DUMMYFUNCTION("IFERROR(GOOGLEFINANCE(B2361,""change""),0)"),0)</f>
        <v>0</v>
      </c>
      <c r="N2361" s="6">
        <v>1</v>
      </c>
      <c r="O2361" s="7">
        <v>45536</v>
      </c>
      <c r="P2361" s="6">
        <v>1.97</v>
      </c>
      <c r="Q2361" s="6">
        <v>37.950000000000003</v>
      </c>
      <c r="R2361" s="7">
        <v>45536</v>
      </c>
      <c r="S2361" s="6">
        <v>23.5</v>
      </c>
      <c r="T2361" s="6">
        <v>-33.340000000000003</v>
      </c>
      <c r="U2361" s="7">
        <v>45536</v>
      </c>
      <c r="V2361" s="6">
        <v>0</v>
      </c>
      <c r="W2361" s="6">
        <f ca="1">IFERROR(__xludf.DUMMYFUNCTION("IFERROR(GOOGLEFINANCE(B2361,""pe""),V2361)"),0)</f>
        <v>0</v>
      </c>
      <c r="X2361" s="6">
        <v>0</v>
      </c>
      <c r="Y2361" s="6">
        <v>2.35</v>
      </c>
      <c r="Z2361" s="6">
        <v>1</v>
      </c>
      <c r="AA2361" s="8">
        <v>45352</v>
      </c>
      <c r="AB2361" s="4">
        <v>0.06</v>
      </c>
      <c r="AC2361" s="6">
        <v>24.09</v>
      </c>
      <c r="AD2361" s="6">
        <v>15.25</v>
      </c>
      <c r="AE2361" s="1">
        <v>0</v>
      </c>
      <c r="AF2361" s="1">
        <f ca="1">IFERROR(__xludf.DUMMYFUNCTION("IFERROR(GOOGLEFINANCE(TRIM(F2361)&amp;"":"" &amp; TRIM(B2361),""high52""),AE2361)"),0)</f>
        <v>0</v>
      </c>
      <c r="AG2361" s="1">
        <v>0</v>
      </c>
      <c r="AH2361" s="1">
        <f ca="1">IFERROR(__xludf.DUMMYFUNCTION("IFERROR(GOOGLEFINANCE(TRIM(F2361)&amp;"":"" &amp; TRIM(B2361),""low52""),AE2361)"),0)</f>
        <v>0</v>
      </c>
      <c r="AI2361" s="1">
        <f ca="1">IFERROR(__xludf.DUMMYFUNCTION("IFERROR(GOOGLEFINANCE(B2361,""eps""),0)"),0)</f>
        <v>0</v>
      </c>
      <c r="AJ2361" s="1"/>
      <c r="AK2361" s="9"/>
      <c r="AL2361" s="9">
        <f t="shared" si="243"/>
        <v>1</v>
      </c>
    </row>
    <row r="2362" spans="1:38" ht="15" x14ac:dyDescent="0.25">
      <c r="A2362" s="1" t="s">
        <v>7386</v>
      </c>
      <c r="B2362" s="1" t="s">
        <v>7387</v>
      </c>
      <c r="C2362" s="1" t="s">
        <v>355</v>
      </c>
      <c r="D2362" s="1" t="s">
        <v>355</v>
      </c>
      <c r="E2362" s="6">
        <v>11193.6</v>
      </c>
      <c r="F2362" s="1" t="s">
        <v>40</v>
      </c>
      <c r="G2362" s="6">
        <f ca="1">IFERROR(__xludf.DUMMYFUNCTION("iferror(GOOGLEFINANCE(TRIM(F2362)&amp;"":"" &amp; TRIM(B2362), ""price""),0
)"),13146)</f>
        <v>13146</v>
      </c>
      <c r="H2362" s="6">
        <v>9818</v>
      </c>
      <c r="I2362" s="6">
        <f t="shared" ca="1" si="0"/>
        <v>13146</v>
      </c>
      <c r="J2362" s="6">
        <f ca="1">IFERROR(__xludf.DUMMYFUNCTION("IFERROR(GOOGLEFINANCE(B2362, ""volume""), 0)"),3689)</f>
        <v>3689</v>
      </c>
      <c r="K2362" s="6">
        <v>0.47</v>
      </c>
      <c r="L2362" s="6">
        <f ca="1">IFERROR(__xludf.DUMMYFUNCTION("IFERROR(GOOGLEFINANCE(B2362,""changepct""),K2362)"),-0.08)</f>
        <v>-0.08</v>
      </c>
      <c r="M2362" s="6">
        <f ca="1">IFERROR(__xludf.DUMMYFUNCTION("IFERROR(GOOGLEFINANCE(B2362,""change""),0)"),-11)</f>
        <v>-11</v>
      </c>
      <c r="N2362" s="6">
        <v>1</v>
      </c>
      <c r="O2362" s="7">
        <v>45536</v>
      </c>
      <c r="P2362" s="9"/>
      <c r="Q2362" s="6">
        <v>11062.64</v>
      </c>
      <c r="R2362" s="7">
        <v>45536</v>
      </c>
      <c r="S2362" s="6">
        <v>182.44</v>
      </c>
      <c r="T2362" s="6">
        <v>160.52000000000001</v>
      </c>
      <c r="U2362" s="7">
        <v>45536</v>
      </c>
      <c r="V2362" s="6">
        <v>69.73</v>
      </c>
      <c r="W2362" s="6">
        <f ca="1">IFERROR(__xludf.DUMMYFUNCTION("IFERROR(GOOGLEFINANCE(B2362,""pe""),V2362)"),41.95)</f>
        <v>41.95</v>
      </c>
      <c r="X2362" s="6">
        <v>3.13</v>
      </c>
      <c r="Y2362" s="6">
        <v>0.36</v>
      </c>
      <c r="Z2362" s="6">
        <v>1</v>
      </c>
      <c r="AA2362" s="17">
        <v>45352</v>
      </c>
      <c r="AB2362" s="18">
        <v>0</v>
      </c>
      <c r="AC2362" s="6">
        <v>0.87</v>
      </c>
      <c r="AD2362" s="6">
        <v>0.88</v>
      </c>
      <c r="AE2362" s="1">
        <v>0</v>
      </c>
      <c r="AF2362" s="1">
        <f ca="1">IFERROR(__xludf.DUMMYFUNCTION("IFERROR(GOOGLEFINANCE(TRIM(F2362)&amp;"":"" &amp; TRIM(B2362),""high52""),AE2362)"),18538)</f>
        <v>18538</v>
      </c>
      <c r="AG2362" s="1">
        <v>0</v>
      </c>
      <c r="AH2362" s="1">
        <f ca="1">IFERROR(__xludf.DUMMYFUNCTION("IFERROR(GOOGLEFINANCE(TRIM(F2362)&amp;"":"" &amp; TRIM(B2362),""low52""),AE2362)"),8822)</f>
        <v>8822</v>
      </c>
      <c r="AI2362" s="1">
        <f ca="1">IFERROR(__xludf.DUMMYFUNCTION("IFERROR(GOOGLEFINANCE(B2362,""eps""),0)"),313.36)</f>
        <v>313.36</v>
      </c>
      <c r="AJ2362" s="1"/>
      <c r="AK2362" s="1" t="s">
        <v>7388</v>
      </c>
      <c r="AL2362" s="1" t="b">
        <f>ISNUMBER(AA2362)</f>
        <v>1</v>
      </c>
    </row>
    <row r="2363" spans="1:38" ht="15" x14ac:dyDescent="0.25">
      <c r="A2363" s="1" t="s">
        <v>7389</v>
      </c>
      <c r="B2363" s="1" t="s">
        <v>7390</v>
      </c>
      <c r="C2363" s="1" t="s">
        <v>163</v>
      </c>
      <c r="D2363" s="1" t="s">
        <v>163</v>
      </c>
      <c r="E2363" s="6">
        <v>113.78</v>
      </c>
      <c r="F2363" s="1" t="s">
        <v>53</v>
      </c>
      <c r="G2363" s="6">
        <f ca="1">IFERROR(__xludf.DUMMYFUNCTION("iferror(GOOGLEFINANCE(TRIM(F2363)&amp;"":"" &amp; TRIM(B2363), ""price""),0
)"),0)</f>
        <v>0</v>
      </c>
      <c r="H2363" s="6">
        <v>61.19</v>
      </c>
      <c r="I2363" s="6">
        <f t="shared" ca="1" si="0"/>
        <v>61.19</v>
      </c>
      <c r="J2363" s="6">
        <f ca="1">IFERROR(__xludf.DUMMYFUNCTION("IFERROR(GOOGLEFINANCE(B2363, ""volume""), 0)"),0)</f>
        <v>0</v>
      </c>
      <c r="K2363" s="6">
        <v>0.79</v>
      </c>
      <c r="L2363" s="6">
        <f ca="1">IFERROR(__xludf.DUMMYFUNCTION("IFERROR(GOOGLEFINANCE(B2363,""changepct""),K2363)"),0.79)</f>
        <v>0.79</v>
      </c>
      <c r="M2363" s="6">
        <f ca="1">IFERROR(__xludf.DUMMYFUNCTION("IFERROR(GOOGLEFINANCE(B2363,""change""),0)"),0)</f>
        <v>0</v>
      </c>
      <c r="N2363" s="6">
        <v>2</v>
      </c>
      <c r="O2363" s="7">
        <v>45536</v>
      </c>
      <c r="P2363" s="9"/>
      <c r="Q2363" s="6">
        <v>79.92</v>
      </c>
      <c r="R2363" s="7">
        <v>45536</v>
      </c>
      <c r="S2363" s="6">
        <v>23.1</v>
      </c>
      <c r="T2363" s="6">
        <v>50.07</v>
      </c>
      <c r="U2363" s="7">
        <v>45536</v>
      </c>
      <c r="V2363" s="6">
        <v>2.27</v>
      </c>
      <c r="W2363" s="6">
        <f ca="1">IFERROR(__xludf.DUMMYFUNCTION("IFERROR(GOOGLEFINANCE(B2363,""pe""),V2363)"),2.27)</f>
        <v>2.27</v>
      </c>
      <c r="X2363" s="12"/>
      <c r="Y2363" s="6">
        <v>3.81</v>
      </c>
      <c r="Z2363" s="6">
        <v>2</v>
      </c>
      <c r="AA2363" s="8">
        <v>45352</v>
      </c>
      <c r="AB2363" s="4">
        <v>0</v>
      </c>
      <c r="AC2363" s="6">
        <v>52.21</v>
      </c>
      <c r="AD2363" s="6">
        <v>62.56</v>
      </c>
      <c r="AE2363" s="1">
        <v>0</v>
      </c>
      <c r="AF2363" s="1">
        <f ca="1">IFERROR(__xludf.DUMMYFUNCTION("IFERROR(GOOGLEFINANCE(TRIM(F2363)&amp;"":"" &amp; TRIM(B2363),""high52""),AE2363)"),0)</f>
        <v>0</v>
      </c>
      <c r="AG2363" s="1">
        <v>0</v>
      </c>
      <c r="AH2363" s="1">
        <f ca="1">IFERROR(__xludf.DUMMYFUNCTION("IFERROR(GOOGLEFINANCE(TRIM(F2363)&amp;"":"" &amp; TRIM(B2363),""low52""),AE2363)"),0)</f>
        <v>0</v>
      </c>
      <c r="AI2363" s="1">
        <f ca="1">IFERROR(__xludf.DUMMYFUNCTION("IFERROR(GOOGLEFINANCE(B2363,""eps""),0)"),0)</f>
        <v>0</v>
      </c>
      <c r="AJ2363" s="1"/>
      <c r="AK2363" s="1" t="s">
        <v>7391</v>
      </c>
      <c r="AL2363" s="9">
        <f t="shared" ref="AL2363:AL2366" si="244">IF(AA2363&lt;&gt;AB2363,1,0)</f>
        <v>1</v>
      </c>
    </row>
    <row r="2364" spans="1:38" ht="15" x14ac:dyDescent="0.25">
      <c r="A2364" s="1" t="s">
        <v>7392</v>
      </c>
      <c r="B2364" s="1" t="s">
        <v>7393</v>
      </c>
      <c r="C2364" s="1" t="s">
        <v>163</v>
      </c>
      <c r="D2364" s="1" t="s">
        <v>163</v>
      </c>
      <c r="E2364" s="6">
        <v>19.64</v>
      </c>
      <c r="F2364" s="1" t="s">
        <v>53</v>
      </c>
      <c r="G2364" s="6">
        <f ca="1">IFERROR(__xludf.DUMMYFUNCTION("iferror(GOOGLEFINANCE(TRIM(F2364)&amp;"":"" &amp; TRIM(B2364), ""price""),0
)"),0)</f>
        <v>0</v>
      </c>
      <c r="H2364" s="6">
        <v>19.940000000000001</v>
      </c>
      <c r="I2364" s="6">
        <f t="shared" ca="1" si="0"/>
        <v>19.940000000000001</v>
      </c>
      <c r="J2364" s="6">
        <f ca="1">IFERROR(__xludf.DUMMYFUNCTION("IFERROR(GOOGLEFINANCE(B2364, ""volume""), 0)"),0)</f>
        <v>0</v>
      </c>
      <c r="K2364" s="6">
        <v>5</v>
      </c>
      <c r="L2364" s="6">
        <f ca="1">IFERROR(__xludf.DUMMYFUNCTION("IFERROR(GOOGLEFINANCE(B2364,""changepct""),K2364)"),5)</f>
        <v>5</v>
      </c>
      <c r="M2364" s="6">
        <f ca="1">IFERROR(__xludf.DUMMYFUNCTION("IFERROR(GOOGLEFINANCE(B2364,""change""),0)"),0)</f>
        <v>0</v>
      </c>
      <c r="N2364" s="6">
        <v>2</v>
      </c>
      <c r="O2364" s="7">
        <v>45536</v>
      </c>
      <c r="P2364" s="6">
        <v>4.71</v>
      </c>
      <c r="Q2364" s="6">
        <v>24.35</v>
      </c>
      <c r="R2364" s="7">
        <v>45536</v>
      </c>
      <c r="S2364" s="6">
        <v>12.32</v>
      </c>
      <c r="T2364" s="6">
        <v>3.9</v>
      </c>
      <c r="U2364" s="7">
        <v>45536</v>
      </c>
      <c r="V2364" s="6">
        <v>5.04</v>
      </c>
      <c r="W2364" s="6">
        <f ca="1">IFERROR(__xludf.DUMMYFUNCTION("IFERROR(GOOGLEFINANCE(B2364,""pe""),V2364)"),5.04)</f>
        <v>5.04</v>
      </c>
      <c r="X2364" s="9"/>
      <c r="Y2364" s="6">
        <v>1.01</v>
      </c>
      <c r="Z2364" s="6">
        <v>2</v>
      </c>
      <c r="AA2364" s="8">
        <v>45352</v>
      </c>
      <c r="AB2364" s="4">
        <v>0.25</v>
      </c>
      <c r="AC2364" s="6">
        <v>24.15</v>
      </c>
      <c r="AD2364" s="6">
        <v>28.68</v>
      </c>
      <c r="AE2364" s="1">
        <v>0</v>
      </c>
      <c r="AF2364" s="1">
        <f ca="1">IFERROR(__xludf.DUMMYFUNCTION("IFERROR(GOOGLEFINANCE(TRIM(F2364)&amp;"":"" &amp; TRIM(B2364),""high52""),AE2364)"),0)</f>
        <v>0</v>
      </c>
      <c r="AG2364" s="1">
        <v>0</v>
      </c>
      <c r="AH2364" s="1">
        <f ca="1">IFERROR(__xludf.DUMMYFUNCTION("IFERROR(GOOGLEFINANCE(TRIM(F2364)&amp;"":"" &amp; TRIM(B2364),""low52""),AE2364)"),0)</f>
        <v>0</v>
      </c>
      <c r="AI2364" s="1">
        <f ca="1">IFERROR(__xludf.DUMMYFUNCTION("IFERROR(GOOGLEFINANCE(B2364,""eps""),0)"),0)</f>
        <v>0</v>
      </c>
      <c r="AJ2364" s="1"/>
      <c r="AK2364" s="1" t="s">
        <v>7394</v>
      </c>
      <c r="AL2364" s="9">
        <f t="shared" si="244"/>
        <v>1</v>
      </c>
    </row>
    <row r="2365" spans="1:38" ht="15" x14ac:dyDescent="0.25">
      <c r="A2365" s="1" t="s">
        <v>7395</v>
      </c>
      <c r="B2365" s="1" t="s">
        <v>7396</v>
      </c>
      <c r="C2365" s="1" t="s">
        <v>219</v>
      </c>
      <c r="D2365" s="1" t="s">
        <v>219</v>
      </c>
      <c r="E2365" s="6">
        <v>10053.959999999999</v>
      </c>
      <c r="F2365" s="1" t="s">
        <v>40</v>
      </c>
      <c r="G2365" s="6">
        <f ca="1">IFERROR(__xludf.DUMMYFUNCTION("iferror(GOOGLEFINANCE(TRIM(F2365)&amp;"":"" &amp; TRIM(B2365), ""price""),0
)"),520.6)</f>
        <v>520.6</v>
      </c>
      <c r="H2365" s="6">
        <v>751.95</v>
      </c>
      <c r="I2365" s="6">
        <f t="shared" ca="1" si="0"/>
        <v>520.6</v>
      </c>
      <c r="J2365" s="6">
        <f ca="1">IFERROR(__xludf.DUMMYFUNCTION("IFERROR(GOOGLEFINANCE(B2365, ""volume""), 0)"),127826)</f>
        <v>127826</v>
      </c>
      <c r="K2365" s="6">
        <v>0.25</v>
      </c>
      <c r="L2365" s="6">
        <f ca="1">IFERROR(__xludf.DUMMYFUNCTION("IFERROR(GOOGLEFINANCE(B2365,""changepct""),K2365)"),2.63)</f>
        <v>2.63</v>
      </c>
      <c r="M2365" s="6">
        <f ca="1">IFERROR(__xludf.DUMMYFUNCTION("IFERROR(GOOGLEFINANCE(B2365,""change""),0)"),13.35)</f>
        <v>13.35</v>
      </c>
      <c r="N2365" s="6">
        <v>2</v>
      </c>
      <c r="O2365" s="7">
        <v>45536</v>
      </c>
      <c r="P2365" s="9"/>
      <c r="Q2365" s="6">
        <v>9994.89</v>
      </c>
      <c r="R2365" s="7">
        <v>45536</v>
      </c>
      <c r="S2365" s="6">
        <v>5088.82</v>
      </c>
      <c r="T2365" s="6">
        <v>862.05</v>
      </c>
      <c r="U2365" s="7">
        <v>45536</v>
      </c>
      <c r="V2365" s="6">
        <v>11.92</v>
      </c>
      <c r="W2365" s="6">
        <f ca="1">IFERROR(__xludf.DUMMYFUNCTION("IFERROR(GOOGLEFINANCE(B2365,""pe""),V2365)"),8.67)</f>
        <v>8.67</v>
      </c>
      <c r="X2365" s="6">
        <v>0.5</v>
      </c>
      <c r="Y2365" s="6">
        <v>1.69</v>
      </c>
      <c r="Z2365" s="6">
        <v>2</v>
      </c>
      <c r="AA2365" s="8">
        <v>45352</v>
      </c>
      <c r="AB2365" s="4">
        <v>0</v>
      </c>
      <c r="AC2365" s="6">
        <v>18.13</v>
      </c>
      <c r="AD2365" s="6">
        <v>22.93</v>
      </c>
      <c r="AE2365" s="1">
        <v>0</v>
      </c>
      <c r="AF2365" s="1">
        <f ca="1">IFERROR(__xludf.DUMMYFUNCTION("IFERROR(GOOGLEFINANCE(TRIM(F2365)&amp;"":"" &amp; TRIM(B2365),""high52""),AE2365)"),773.8)</f>
        <v>773.8</v>
      </c>
      <c r="AG2365" s="1">
        <v>0</v>
      </c>
      <c r="AH2365" s="1">
        <f ca="1">IFERROR(__xludf.DUMMYFUNCTION("IFERROR(GOOGLEFINANCE(TRIM(F2365)&amp;"":"" &amp; TRIM(B2365),""low52""),AE2365)"),500.7)</f>
        <v>500.7</v>
      </c>
      <c r="AI2365" s="1">
        <f ca="1">IFERROR(__xludf.DUMMYFUNCTION("IFERROR(GOOGLEFINANCE(B2365,""eps""),0)"),60.06)</f>
        <v>60.06</v>
      </c>
      <c r="AJ2365" s="1"/>
      <c r="AK2365" s="1" t="s">
        <v>7397</v>
      </c>
      <c r="AL2365" s="9">
        <f t="shared" si="244"/>
        <v>1</v>
      </c>
    </row>
    <row r="2366" spans="1:38" ht="15" x14ac:dyDescent="0.25">
      <c r="A2366" s="1" t="s">
        <v>7398</v>
      </c>
      <c r="B2366" s="1" t="s">
        <v>7399</v>
      </c>
      <c r="C2366" s="1" t="s">
        <v>259</v>
      </c>
      <c r="D2366" s="1" t="s">
        <v>259</v>
      </c>
      <c r="E2366" s="6">
        <v>183.35</v>
      </c>
      <c r="F2366" s="1" t="s">
        <v>40</v>
      </c>
      <c r="G2366" s="6">
        <f ca="1">IFERROR(__xludf.DUMMYFUNCTION("iferror(GOOGLEFINANCE(TRIM(F2366)&amp;"":"" &amp; TRIM(B2366), ""price""),0
)"),43.99)</f>
        <v>43.99</v>
      </c>
      <c r="H2366" s="6">
        <v>61.76</v>
      </c>
      <c r="I2366" s="6">
        <f t="shared" ca="1" si="0"/>
        <v>43.99</v>
      </c>
      <c r="J2366" s="6">
        <f ca="1">IFERROR(__xludf.DUMMYFUNCTION("IFERROR(GOOGLEFINANCE(B2366, ""volume""), 0)"),13835)</f>
        <v>13835</v>
      </c>
      <c r="K2366" s="6">
        <v>-0.31</v>
      </c>
      <c r="L2366" s="6">
        <f ca="1">IFERROR(__xludf.DUMMYFUNCTION("IFERROR(GOOGLEFINANCE(B2366,""changepct""),K2366)"),-0.16)</f>
        <v>-0.16</v>
      </c>
      <c r="M2366" s="6">
        <f ca="1">IFERROR(__xludf.DUMMYFUNCTION("IFERROR(GOOGLEFINANCE(B2366,""change""),0)"),-0.07)</f>
        <v>-7.0000000000000007E-2</v>
      </c>
      <c r="N2366" s="6">
        <v>2</v>
      </c>
      <c r="O2366" s="7">
        <v>45536</v>
      </c>
      <c r="P2366" s="6">
        <v>243.55</v>
      </c>
      <c r="Q2366" s="6">
        <v>400.32</v>
      </c>
      <c r="R2366" s="7">
        <v>45536</v>
      </c>
      <c r="S2366" s="6">
        <v>1015.97</v>
      </c>
      <c r="T2366" s="6">
        <v>13.96</v>
      </c>
      <c r="U2366" s="7">
        <v>45536</v>
      </c>
      <c r="V2366" s="6">
        <v>13.19</v>
      </c>
      <c r="W2366" s="6">
        <f ca="1">IFERROR(__xludf.DUMMYFUNCTION("IFERROR(GOOGLEFINANCE(B2366,""pe""),V2366)"),6.93)</f>
        <v>6.93</v>
      </c>
      <c r="X2366" s="6">
        <v>-5.05</v>
      </c>
      <c r="Y2366" s="6">
        <v>0.98</v>
      </c>
      <c r="Z2366" s="6">
        <v>2</v>
      </c>
      <c r="AA2366" s="8">
        <v>45352</v>
      </c>
      <c r="AB2366" s="4">
        <v>1.38</v>
      </c>
      <c r="AC2366" s="6">
        <v>7.93</v>
      </c>
      <c r="AD2366" s="6">
        <v>11.56</v>
      </c>
      <c r="AE2366" s="1">
        <v>0</v>
      </c>
      <c r="AF2366" s="1">
        <f ca="1">IFERROR(__xludf.DUMMYFUNCTION("IFERROR(GOOGLEFINANCE(TRIM(F2366)&amp;"":"" &amp; TRIM(B2366),""high52""),AE2366)"),65)</f>
        <v>65</v>
      </c>
      <c r="AG2366" s="1">
        <v>0</v>
      </c>
      <c r="AH2366" s="1">
        <f ca="1">IFERROR(__xludf.DUMMYFUNCTION("IFERROR(GOOGLEFINANCE(TRIM(F2366)&amp;"":"" &amp; TRIM(B2366),""low52""),AE2366)"),40.85)</f>
        <v>40.85</v>
      </c>
      <c r="AI2366" s="1">
        <f ca="1">IFERROR(__xludf.DUMMYFUNCTION("IFERROR(GOOGLEFINANCE(B2366,""eps""),0)"),6.35)</f>
        <v>6.35</v>
      </c>
      <c r="AJ2366" s="1"/>
      <c r="AK2366" s="1" t="s">
        <v>7400</v>
      </c>
      <c r="AL2366" s="9">
        <f t="shared" si="244"/>
        <v>1</v>
      </c>
    </row>
    <row r="2367" spans="1:38" ht="15" x14ac:dyDescent="0.25">
      <c r="A2367" s="1" t="s">
        <v>7401</v>
      </c>
      <c r="B2367" s="1" t="s">
        <v>7402</v>
      </c>
      <c r="C2367" s="1" t="s">
        <v>135</v>
      </c>
      <c r="D2367" s="1" t="s">
        <v>135</v>
      </c>
      <c r="E2367" s="6">
        <v>89.38</v>
      </c>
      <c r="F2367" s="1" t="s">
        <v>40</v>
      </c>
      <c r="G2367" s="6">
        <f ca="1">IFERROR(__xludf.DUMMYFUNCTION("iferror(GOOGLEFINANCE(TRIM(F2367)&amp;"":"" &amp; TRIM(B2367), ""price""),0
)"),0)</f>
        <v>0</v>
      </c>
      <c r="H2367" s="6">
        <v>110.05</v>
      </c>
      <c r="I2367" s="6">
        <f t="shared" ca="1" si="0"/>
        <v>110.05</v>
      </c>
      <c r="J2367" s="6">
        <f ca="1">IFERROR(__xludf.DUMMYFUNCTION("IFERROR(GOOGLEFINANCE(B2367, ""volume""), 0)"),0)</f>
        <v>0</v>
      </c>
      <c r="K2367" s="9"/>
      <c r="L2367" s="6" t="str">
        <f ca="1">IFERROR(__xludf.DUMMYFUNCTION("IFERROR(GOOGLEFINANCE(B2367,""changepct""),K2367)"),"")</f>
        <v/>
      </c>
      <c r="M2367" s="6">
        <f ca="1">IFERROR(__xludf.DUMMYFUNCTION("IFERROR(GOOGLEFINANCE(B2367,""change""),0)"),0)</f>
        <v>0</v>
      </c>
      <c r="N2367" s="6">
        <v>1</v>
      </c>
      <c r="O2367" s="7">
        <v>45536</v>
      </c>
      <c r="P2367" s="6">
        <v>15.41</v>
      </c>
      <c r="Q2367" s="6">
        <v>104.8</v>
      </c>
      <c r="R2367" s="7">
        <v>45352</v>
      </c>
      <c r="S2367" s="6">
        <v>71.92</v>
      </c>
      <c r="T2367" s="6">
        <v>1.07</v>
      </c>
      <c r="U2367" s="7">
        <v>45352</v>
      </c>
      <c r="V2367" s="6">
        <v>83.23</v>
      </c>
      <c r="W2367" s="6">
        <f ca="1">IFERROR(__xludf.DUMMYFUNCTION("IFERROR(GOOGLEFINANCE(B2367,""pe""),V2367)"),83.23)</f>
        <v>83.23</v>
      </c>
      <c r="X2367" s="12"/>
      <c r="Y2367" s="6">
        <v>2.68</v>
      </c>
      <c r="Z2367" s="6">
        <v>2</v>
      </c>
      <c r="AA2367" s="8">
        <v>45352</v>
      </c>
      <c r="AB2367" s="4">
        <v>0.4</v>
      </c>
      <c r="AC2367" s="6">
        <v>3.26</v>
      </c>
      <c r="AD2367" s="6">
        <v>5.96</v>
      </c>
      <c r="AE2367" s="1">
        <v>0</v>
      </c>
      <c r="AF2367" s="1">
        <f ca="1">IFERROR(__xludf.DUMMYFUNCTION("IFERROR(GOOGLEFINANCE(TRIM(F2367)&amp;"":"" &amp; TRIM(B2367),""high52""),AE2367)"),0)</f>
        <v>0</v>
      </c>
      <c r="AG2367" s="1">
        <v>0</v>
      </c>
      <c r="AH2367" s="1">
        <f ca="1">IFERROR(__xludf.DUMMYFUNCTION("IFERROR(GOOGLEFINANCE(TRIM(F2367)&amp;"":"" &amp; TRIM(B2367),""low52""),AE2367)"),0)</f>
        <v>0</v>
      </c>
      <c r="AI2367" s="1">
        <f ca="1">IFERROR(__xludf.DUMMYFUNCTION("IFERROR(GOOGLEFINANCE(B2367,""eps""),0)"),0)</f>
        <v>0</v>
      </c>
      <c r="AJ2367" s="1"/>
      <c r="AK2367" s="1" t="s">
        <v>7403</v>
      </c>
      <c r="AL2367" s="1" t="b">
        <f>ISNUMBER(AA2367)</f>
        <v>1</v>
      </c>
    </row>
    <row r="2368" spans="1:38" ht="15" x14ac:dyDescent="0.25">
      <c r="A2368" s="1" t="s">
        <v>7404</v>
      </c>
      <c r="B2368" s="1" t="s">
        <v>7405</v>
      </c>
      <c r="C2368" s="1" t="s">
        <v>208</v>
      </c>
      <c r="D2368" s="1" t="s">
        <v>208</v>
      </c>
      <c r="E2368" s="6">
        <v>34137.69</v>
      </c>
      <c r="F2368" s="1" t="s">
        <v>40</v>
      </c>
      <c r="G2368" s="6">
        <f ca="1">IFERROR(__xludf.DUMMYFUNCTION("iferror(GOOGLEFINANCE(TRIM(F2368)&amp;"":"" &amp; TRIM(B2368), ""price""),0
)"),361)</f>
        <v>361</v>
      </c>
      <c r="H2368" s="6">
        <v>278.39999999999998</v>
      </c>
      <c r="I2368" s="6">
        <f t="shared" ca="1" si="0"/>
        <v>361</v>
      </c>
      <c r="J2368" s="6">
        <f ca="1">IFERROR(__xludf.DUMMYFUNCTION("IFERROR(GOOGLEFINANCE(B2368, ""volume""), 0)"),2058074)</f>
        <v>2058074</v>
      </c>
      <c r="K2368" s="6">
        <v>0.98</v>
      </c>
      <c r="L2368" s="6">
        <f ca="1">IFERROR(__xludf.DUMMYFUNCTION("IFERROR(GOOGLEFINANCE(B2368,""changepct""),K2368)"),0.68)</f>
        <v>0.68</v>
      </c>
      <c r="M2368" s="6">
        <f ca="1">IFERROR(__xludf.DUMMYFUNCTION("IFERROR(GOOGLEFINANCE(B2368,""change""),0)"),2.45)</f>
        <v>2.4500000000000002</v>
      </c>
      <c r="N2368" s="6">
        <v>2</v>
      </c>
      <c r="O2368" s="7">
        <v>45536</v>
      </c>
      <c r="P2368" s="6">
        <v>2118.98</v>
      </c>
      <c r="Q2368" s="7">
        <v>45536</v>
      </c>
      <c r="R2368" s="6">
        <v>15.66</v>
      </c>
      <c r="S2368" s="6">
        <v>13.86</v>
      </c>
      <c r="T2368" s="6">
        <v>1.7</v>
      </c>
      <c r="U2368" s="6">
        <v>2</v>
      </c>
      <c r="V2368" s="7">
        <v>45352</v>
      </c>
      <c r="W2368" s="6">
        <f ca="1">IFERROR(__xludf.DUMMYFUNCTION("IFERROR(GOOGLEFINANCE(B2368,""pe""),V2368)"),20.45)</f>
        <v>20.45</v>
      </c>
      <c r="X2368" s="6">
        <v>4.9400000000000004</v>
      </c>
      <c r="Y2368" s="6">
        <v>10.11</v>
      </c>
      <c r="Z2368" s="6">
        <v>8.75</v>
      </c>
      <c r="AA2368" s="3" t="s">
        <v>7406</v>
      </c>
      <c r="AB2368" s="11"/>
      <c r="AC2368" s="9"/>
      <c r="AD2368" s="9"/>
      <c r="AE2368" s="1">
        <v>0</v>
      </c>
      <c r="AF2368" s="1">
        <f ca="1">IFERROR(__xludf.DUMMYFUNCTION("IFERROR(GOOGLEFINANCE(TRIM(F2368)&amp;"":"" &amp; TRIM(B2368),""high52""),AE2368)"),412.2)</f>
        <v>412.2</v>
      </c>
      <c r="AG2368" s="1">
        <v>0</v>
      </c>
      <c r="AH2368" s="1">
        <f ca="1">IFERROR(__xludf.DUMMYFUNCTION("IFERROR(GOOGLEFINANCE(TRIM(F2368)&amp;"":"" &amp; TRIM(B2368),""low52""),AE2368)"),231.52)</f>
        <v>231.52</v>
      </c>
      <c r="AI2368" s="1">
        <f ca="1">IFERROR(__xludf.DUMMYFUNCTION("IFERROR(GOOGLEFINANCE(B2368,""eps""),0)"),17.65)</f>
        <v>17.649999999999999</v>
      </c>
      <c r="AJ2368" s="1"/>
      <c r="AK2368" s="1" t="s">
        <v>7407</v>
      </c>
      <c r="AL2368" s="9">
        <f>IF(AA2368&lt;&gt;AB2368,1,0)</f>
        <v>1</v>
      </c>
    </row>
    <row r="2369" spans="1:38" ht="15" x14ac:dyDescent="0.25">
      <c r="A2369" s="1" t="s">
        <v>7408</v>
      </c>
      <c r="B2369" s="1" t="s">
        <v>7409</v>
      </c>
      <c r="C2369" s="1" t="s">
        <v>719</v>
      </c>
      <c r="D2369" s="1" t="s">
        <v>719</v>
      </c>
      <c r="E2369" s="6">
        <v>399172.8</v>
      </c>
      <c r="F2369" s="1" t="s">
        <v>40</v>
      </c>
      <c r="G2369" s="6">
        <f ca="1">IFERROR(__xludf.DUMMYFUNCTION("iferror(GOOGLEFINANCE(TRIM(F2369)&amp;"":"" &amp; TRIM(B2369), ""price""),0
)"),3455)</f>
        <v>3455</v>
      </c>
      <c r="H2369" s="6">
        <v>3200.1</v>
      </c>
      <c r="I2369" s="6">
        <f t="shared" ca="1" si="0"/>
        <v>3455</v>
      </c>
      <c r="J2369" s="6">
        <f ca="1">IFERROR(__xludf.DUMMYFUNCTION("IFERROR(GOOGLEFINANCE(B2369, ""volume""), 0)"),2950641)</f>
        <v>2950641</v>
      </c>
      <c r="K2369" s="6">
        <v>-0.34</v>
      </c>
      <c r="L2369" s="6">
        <f ca="1">IFERROR(__xludf.DUMMYFUNCTION("IFERROR(GOOGLEFINANCE(B2369,""changepct""),K2369)"),2.71)</f>
        <v>2.71</v>
      </c>
      <c r="M2369" s="6">
        <f ca="1">IFERROR(__xludf.DUMMYFUNCTION("IFERROR(GOOGLEFINANCE(B2369,""change""),0)"),91.2)</f>
        <v>91.2</v>
      </c>
      <c r="N2369" s="6">
        <v>2</v>
      </c>
      <c r="O2369" s="7">
        <v>45536</v>
      </c>
      <c r="P2369" s="6">
        <v>113268.7</v>
      </c>
      <c r="Q2369" s="6">
        <v>496133.9</v>
      </c>
      <c r="R2369" s="7">
        <v>45536</v>
      </c>
      <c r="S2369" s="6">
        <v>145811.5</v>
      </c>
      <c r="T2369" s="6">
        <v>11578.13</v>
      </c>
      <c r="U2369" s="7">
        <v>45536</v>
      </c>
      <c r="V2369" s="6">
        <v>33.64</v>
      </c>
      <c r="W2369" s="6">
        <f ca="1">IFERROR(__xludf.DUMMYFUNCTION("IFERROR(GOOGLEFINANCE(B2369,""pe""),V2369)"),27.25)</f>
        <v>27.25</v>
      </c>
      <c r="X2369" s="6">
        <v>2</v>
      </c>
      <c r="Y2369" s="6">
        <v>5.66</v>
      </c>
      <c r="Z2369" s="6">
        <v>2</v>
      </c>
      <c r="AA2369" s="8">
        <v>45352</v>
      </c>
      <c r="AB2369" s="4">
        <v>1.6</v>
      </c>
      <c r="AC2369" s="6">
        <v>20.11</v>
      </c>
      <c r="AD2369" s="6">
        <v>14.88</v>
      </c>
      <c r="AE2369" s="1">
        <v>0</v>
      </c>
      <c r="AF2369" s="1">
        <f ca="1">IFERROR(__xludf.DUMMYFUNCTION("IFERROR(GOOGLEFINANCE(TRIM(F2369)&amp;"":"" &amp; TRIM(B2369),""high52""),AE2369)"),3839.9)</f>
        <v>3839.9</v>
      </c>
      <c r="AG2369" s="1">
        <v>0</v>
      </c>
      <c r="AH2369" s="1">
        <f ca="1">IFERROR(__xludf.DUMMYFUNCTION("IFERROR(GOOGLEFINANCE(TRIM(F2369)&amp;"":"" &amp; TRIM(B2369),""low52""),AE2369)"),2425)</f>
        <v>2425</v>
      </c>
      <c r="AI2369" s="1">
        <f ca="1">IFERROR(__xludf.DUMMYFUNCTION("IFERROR(GOOGLEFINANCE(B2369,""eps""),0)"),126.79)</f>
        <v>126.79</v>
      </c>
      <c r="AJ2369" s="1"/>
      <c r="AK2369" s="1" t="s">
        <v>7410</v>
      </c>
      <c r="AL2369" s="1" t="b">
        <f>ISNUMBER(AA2369)</f>
        <v>1</v>
      </c>
    </row>
    <row r="2370" spans="1:38" ht="15" x14ac:dyDescent="0.25">
      <c r="A2370" s="1" t="s">
        <v>7411</v>
      </c>
      <c r="B2370" s="1" t="s">
        <v>7412</v>
      </c>
      <c r="C2370" s="1" t="s">
        <v>416</v>
      </c>
      <c r="D2370" s="1" t="s">
        <v>416</v>
      </c>
      <c r="E2370" s="6">
        <v>322.92</v>
      </c>
      <c r="F2370" s="1" t="s">
        <v>40</v>
      </c>
      <c r="G2370" s="6">
        <f ca="1">IFERROR(__xludf.DUMMYFUNCTION("iferror(GOOGLEFINANCE(TRIM(F2370)&amp;"":"" &amp; TRIM(B2370), ""price""),0
)"),117.9)</f>
        <v>117.9</v>
      </c>
      <c r="H2370" s="6">
        <v>115.55</v>
      </c>
      <c r="I2370" s="6">
        <f t="shared" ca="1" si="0"/>
        <v>117.9</v>
      </c>
      <c r="J2370" s="6">
        <f ca="1">IFERROR(__xludf.DUMMYFUNCTION("IFERROR(GOOGLEFINANCE(B2370, ""volume""), 0)"),16592)</f>
        <v>16592</v>
      </c>
      <c r="K2370" s="6">
        <v>0.36</v>
      </c>
      <c r="L2370" s="6">
        <f ca="1">IFERROR(__xludf.DUMMYFUNCTION("IFERROR(GOOGLEFINANCE(B2370,""changepct""),K2370)"),0.8)</f>
        <v>0.8</v>
      </c>
      <c r="M2370" s="6">
        <f ca="1">IFERROR(__xludf.DUMMYFUNCTION("IFERROR(GOOGLEFINANCE(B2370,""change""),0)"),0.94)</f>
        <v>0.94</v>
      </c>
      <c r="N2370" s="6">
        <v>2</v>
      </c>
      <c r="O2370" s="7">
        <v>45536</v>
      </c>
      <c r="P2370" s="6">
        <v>23</v>
      </c>
      <c r="Q2370" s="6">
        <v>334.02</v>
      </c>
      <c r="R2370" s="7">
        <v>45536</v>
      </c>
      <c r="S2370" s="6">
        <v>246.79</v>
      </c>
      <c r="T2370" s="6">
        <v>-2.02</v>
      </c>
      <c r="U2370" s="7">
        <v>45536</v>
      </c>
      <c r="V2370" s="6">
        <v>0</v>
      </c>
      <c r="W2370" s="6">
        <f ca="1">IFERROR(__xludf.DUMMYFUNCTION("IFERROR(GOOGLEFINANCE(B2370,""pe""),V2370)"),22.99)</f>
        <v>22.99</v>
      </c>
      <c r="X2370" s="6">
        <v>0</v>
      </c>
      <c r="Y2370" s="6">
        <v>2.02</v>
      </c>
      <c r="Z2370" s="6">
        <v>2</v>
      </c>
      <c r="AA2370" s="8">
        <v>45352</v>
      </c>
      <c r="AB2370" s="4">
        <v>0.09</v>
      </c>
      <c r="AC2370" s="6">
        <v>1.02</v>
      </c>
      <c r="AD2370" s="6">
        <v>2.86</v>
      </c>
      <c r="AE2370" s="1">
        <v>0</v>
      </c>
      <c r="AF2370" s="1">
        <f ca="1">IFERROR(__xludf.DUMMYFUNCTION("IFERROR(GOOGLEFINANCE(TRIM(F2370)&amp;"":"" &amp; TRIM(B2370),""high52""),AE2370)"),185.12)</f>
        <v>185.12</v>
      </c>
      <c r="AG2370" s="1">
        <v>0</v>
      </c>
      <c r="AH2370" s="1">
        <f ca="1">IFERROR(__xludf.DUMMYFUNCTION("IFERROR(GOOGLEFINANCE(TRIM(F2370)&amp;"":"" &amp; TRIM(B2370),""low52""),AE2370)"),107.55)</f>
        <v>107.55</v>
      </c>
      <c r="AI2370" s="1">
        <f ca="1">IFERROR(__xludf.DUMMYFUNCTION("IFERROR(GOOGLEFINANCE(B2370,""eps""),0)"),5.13)</f>
        <v>5.13</v>
      </c>
      <c r="AJ2370" s="1"/>
      <c r="AK2370" s="1" t="s">
        <v>7413</v>
      </c>
      <c r="AL2370" s="9">
        <f t="shared" ref="AL2370:AL2390" si="245">IF(AA2370&lt;&gt;AB2370,1,0)</f>
        <v>1</v>
      </c>
    </row>
    <row r="2371" spans="1:38" ht="15" x14ac:dyDescent="0.25">
      <c r="A2371" s="1" t="s">
        <v>7414</v>
      </c>
      <c r="B2371" s="1" t="s">
        <v>7415</v>
      </c>
      <c r="C2371" s="1" t="s">
        <v>163</v>
      </c>
      <c r="D2371" s="1" t="s">
        <v>163</v>
      </c>
      <c r="E2371" s="6">
        <v>1263.75</v>
      </c>
      <c r="F2371" s="1" t="s">
        <v>53</v>
      </c>
      <c r="G2371" s="6">
        <f ca="1">IFERROR(__xludf.DUMMYFUNCTION("iferror(GOOGLEFINANCE(TRIM(F2371)&amp;"":"" &amp; TRIM(B2371), ""price""),0
)"),0)</f>
        <v>0</v>
      </c>
      <c r="H2371" s="6">
        <v>77.459999999999994</v>
      </c>
      <c r="I2371" s="6">
        <f t="shared" ca="1" si="0"/>
        <v>77.459999999999994</v>
      </c>
      <c r="J2371" s="6">
        <f ca="1">IFERROR(__xludf.DUMMYFUNCTION("IFERROR(GOOGLEFINANCE(B2371, ""volume""), 0)"),0)</f>
        <v>0</v>
      </c>
      <c r="K2371" s="6">
        <v>-0.04</v>
      </c>
      <c r="L2371" s="6">
        <f ca="1">IFERROR(__xludf.DUMMYFUNCTION("IFERROR(GOOGLEFINANCE(B2371,""changepct""),K2371)"),-0.04)</f>
        <v>-0.04</v>
      </c>
      <c r="M2371" s="6">
        <f ca="1">IFERROR(__xludf.DUMMYFUNCTION("IFERROR(GOOGLEFINANCE(B2371,""change""),0)"),0)</f>
        <v>0</v>
      </c>
      <c r="N2371" s="6">
        <v>1</v>
      </c>
      <c r="O2371" s="7">
        <v>45536</v>
      </c>
      <c r="P2371" s="6">
        <v>83.32</v>
      </c>
      <c r="Q2371" s="6">
        <v>1340.4</v>
      </c>
      <c r="R2371" s="7">
        <v>45536</v>
      </c>
      <c r="S2371" s="6">
        <v>203.31</v>
      </c>
      <c r="T2371" s="6">
        <v>25.96</v>
      </c>
      <c r="U2371" s="7">
        <v>45536</v>
      </c>
      <c r="V2371" s="6">
        <v>48.67</v>
      </c>
      <c r="W2371" s="6">
        <f ca="1">IFERROR(__xludf.DUMMYFUNCTION("IFERROR(GOOGLEFINANCE(B2371,""pe""),V2371)"),48.67)</f>
        <v>48.67</v>
      </c>
      <c r="X2371" s="6">
        <v>1.7</v>
      </c>
      <c r="Y2371" s="6">
        <v>8.27</v>
      </c>
      <c r="Z2371" s="6">
        <v>1</v>
      </c>
      <c r="AA2371" s="8">
        <v>45352</v>
      </c>
      <c r="AB2371" s="4">
        <v>0.5</v>
      </c>
      <c r="AC2371" s="6">
        <v>23.63</v>
      </c>
      <c r="AD2371" s="6">
        <v>22.54</v>
      </c>
      <c r="AE2371" s="1">
        <v>0</v>
      </c>
      <c r="AF2371" s="1">
        <f ca="1">IFERROR(__xludf.DUMMYFUNCTION("IFERROR(GOOGLEFINANCE(TRIM(F2371)&amp;"":"" &amp; TRIM(B2371),""high52""),AE2371)"),0)</f>
        <v>0</v>
      </c>
      <c r="AG2371" s="1">
        <v>0</v>
      </c>
      <c r="AH2371" s="1">
        <f ca="1">IFERROR(__xludf.DUMMYFUNCTION("IFERROR(GOOGLEFINANCE(TRIM(F2371)&amp;"":"" &amp; TRIM(B2371),""low52""),AE2371)"),0)</f>
        <v>0</v>
      </c>
      <c r="AI2371" s="1">
        <f ca="1">IFERROR(__xludf.DUMMYFUNCTION("IFERROR(GOOGLEFINANCE(B2371,""eps""),0)"),0)</f>
        <v>0</v>
      </c>
      <c r="AJ2371" s="1"/>
      <c r="AK2371" s="1" t="s">
        <v>7416</v>
      </c>
      <c r="AL2371" s="9">
        <f t="shared" si="245"/>
        <v>1</v>
      </c>
    </row>
    <row r="2372" spans="1:38" ht="15" x14ac:dyDescent="0.25">
      <c r="A2372" s="1" t="s">
        <v>7417</v>
      </c>
      <c r="B2372" s="1" t="s">
        <v>7418</v>
      </c>
      <c r="C2372" s="1" t="s">
        <v>163</v>
      </c>
      <c r="D2372" s="1" t="s">
        <v>163</v>
      </c>
      <c r="E2372" s="6">
        <v>6953.86</v>
      </c>
      <c r="F2372" s="1" t="s">
        <v>53</v>
      </c>
      <c r="G2372" s="6">
        <f ca="1">IFERROR(__xludf.DUMMYFUNCTION("iferror(GOOGLEFINANCE(TRIM(F2372)&amp;"":"" &amp; TRIM(B2372), ""price""),0
)"),0)</f>
        <v>0</v>
      </c>
      <c r="H2372" s="6">
        <v>6386.95</v>
      </c>
      <c r="I2372" s="6">
        <f t="shared" ca="1" si="0"/>
        <v>6386.95</v>
      </c>
      <c r="J2372" s="6">
        <f ca="1">IFERROR(__xludf.DUMMYFUNCTION("IFERROR(GOOGLEFINANCE(B2372, ""volume""), 0)"),0)</f>
        <v>0</v>
      </c>
      <c r="K2372" s="6">
        <v>0.5</v>
      </c>
      <c r="L2372" s="6">
        <f ca="1">IFERROR(__xludf.DUMMYFUNCTION("IFERROR(GOOGLEFINANCE(B2372,""changepct""),K2372)"),0.5)</f>
        <v>0.5</v>
      </c>
      <c r="M2372" s="6">
        <f ca="1">IFERROR(__xludf.DUMMYFUNCTION("IFERROR(GOOGLEFINANCE(B2372,""change""),0)"),0)</f>
        <v>0</v>
      </c>
      <c r="N2372" s="6">
        <v>1</v>
      </c>
      <c r="O2372" s="7">
        <v>45536</v>
      </c>
      <c r="P2372" s="6">
        <v>385.19</v>
      </c>
      <c r="Q2372" s="6">
        <v>7085.03</v>
      </c>
      <c r="R2372" s="7">
        <v>45536</v>
      </c>
      <c r="S2372" s="6">
        <v>1301.32</v>
      </c>
      <c r="T2372" s="6">
        <v>201.72</v>
      </c>
      <c r="U2372" s="7">
        <v>45536</v>
      </c>
      <c r="V2372" s="6">
        <v>34.47</v>
      </c>
      <c r="W2372" s="6">
        <f ca="1">IFERROR(__xludf.DUMMYFUNCTION("IFERROR(GOOGLEFINANCE(B2372,""pe""),V2372)"),34.47)</f>
        <v>34.47</v>
      </c>
      <c r="X2372" s="6">
        <v>1.41</v>
      </c>
      <c r="Y2372" s="6">
        <v>7.14</v>
      </c>
      <c r="Z2372" s="6">
        <v>1</v>
      </c>
      <c r="AA2372" s="8">
        <v>45352</v>
      </c>
      <c r="AB2372" s="4">
        <v>0.31</v>
      </c>
      <c r="AC2372" s="6">
        <v>22.36</v>
      </c>
      <c r="AD2372" s="6">
        <v>23.29</v>
      </c>
      <c r="AE2372" s="1">
        <v>0</v>
      </c>
      <c r="AF2372" s="1">
        <f ca="1">IFERROR(__xludf.DUMMYFUNCTION("IFERROR(GOOGLEFINANCE(TRIM(F2372)&amp;"":"" &amp; TRIM(B2372),""high52""),AE2372)"),0)</f>
        <v>0</v>
      </c>
      <c r="AG2372" s="1">
        <v>0</v>
      </c>
      <c r="AH2372" s="1">
        <f ca="1">IFERROR(__xludf.DUMMYFUNCTION("IFERROR(GOOGLEFINANCE(TRIM(F2372)&amp;"":"" &amp; TRIM(B2372),""low52""),AE2372)"),0)</f>
        <v>0</v>
      </c>
      <c r="AI2372" s="1">
        <f ca="1">IFERROR(__xludf.DUMMYFUNCTION("IFERROR(GOOGLEFINANCE(B2372,""eps""),0)"),0)</f>
        <v>0</v>
      </c>
      <c r="AJ2372" s="1"/>
      <c r="AK2372" s="1" t="s">
        <v>7419</v>
      </c>
      <c r="AL2372" s="9">
        <f t="shared" si="245"/>
        <v>1</v>
      </c>
    </row>
    <row r="2373" spans="1:38" ht="15" x14ac:dyDescent="0.25">
      <c r="A2373" s="1" t="s">
        <v>7420</v>
      </c>
      <c r="B2373" s="1" t="s">
        <v>7421</v>
      </c>
      <c r="C2373" s="1" t="s">
        <v>410</v>
      </c>
      <c r="D2373" s="1" t="s">
        <v>410</v>
      </c>
      <c r="E2373" s="6">
        <v>7656.09</v>
      </c>
      <c r="F2373" s="1" t="s">
        <v>40</v>
      </c>
      <c r="G2373" s="6">
        <f ca="1">IFERROR(__xludf.DUMMYFUNCTION("iferror(GOOGLEFINANCE(TRIM(F2373)&amp;"":"" &amp; TRIM(B2373), ""price""),0
)"),297)</f>
        <v>297</v>
      </c>
      <c r="H2373" s="6">
        <v>380</v>
      </c>
      <c r="I2373" s="6">
        <f t="shared" ca="1" si="0"/>
        <v>297</v>
      </c>
      <c r="J2373" s="6">
        <f ca="1">IFERROR(__xludf.DUMMYFUNCTION("IFERROR(GOOGLEFINANCE(B2373, ""volume""), 0)"),72429)</f>
        <v>72429</v>
      </c>
      <c r="K2373" s="6">
        <v>0.14000000000000001</v>
      </c>
      <c r="L2373" s="6">
        <f ca="1">IFERROR(__xludf.DUMMYFUNCTION("IFERROR(GOOGLEFINANCE(B2373,""changepct""),K2373)"),1.63)</f>
        <v>1.63</v>
      </c>
      <c r="M2373" s="6">
        <f ca="1">IFERROR(__xludf.DUMMYFUNCTION("IFERROR(GOOGLEFINANCE(B2373,""change""),0)"),4.75)</f>
        <v>4.75</v>
      </c>
      <c r="N2373" s="6">
        <v>2</v>
      </c>
      <c r="O2373" s="7">
        <v>45536</v>
      </c>
      <c r="P2373" s="6">
        <v>976.39</v>
      </c>
      <c r="Q2373" s="6">
        <v>8266.57</v>
      </c>
      <c r="R2373" s="7">
        <v>45536</v>
      </c>
      <c r="S2373" s="6">
        <v>2758.62</v>
      </c>
      <c r="T2373" s="6">
        <v>112.86</v>
      </c>
      <c r="U2373" s="7">
        <v>45536</v>
      </c>
      <c r="V2373" s="6">
        <v>67.349999999999994</v>
      </c>
      <c r="W2373" s="6">
        <f ca="1">IFERROR(__xludf.DUMMYFUNCTION("IFERROR(GOOGLEFINANCE(B2373,""pe""),V2373)"),44.68)</f>
        <v>44.68</v>
      </c>
      <c r="X2373" s="6">
        <v>4.87</v>
      </c>
      <c r="Y2373" s="6">
        <v>-22.28</v>
      </c>
      <c r="Z2373" s="6">
        <v>2</v>
      </c>
      <c r="AA2373" s="8">
        <v>45352</v>
      </c>
      <c r="AB2373" s="4">
        <v>-2.0499999999999998</v>
      </c>
      <c r="AC2373" s="6">
        <v>0</v>
      </c>
      <c r="AD2373" s="6">
        <v>84.96</v>
      </c>
      <c r="AE2373" s="1">
        <v>0</v>
      </c>
      <c r="AF2373" s="1">
        <f ca="1">IFERROR(__xludf.DUMMYFUNCTION("IFERROR(GOOGLEFINANCE(TRIM(F2373)&amp;"":"" &amp; TRIM(B2373),""high52""),AE2373)"),382)</f>
        <v>382</v>
      </c>
      <c r="AG2373" s="1">
        <v>0</v>
      </c>
      <c r="AH2373" s="1">
        <f ca="1">IFERROR(__xludf.DUMMYFUNCTION("IFERROR(GOOGLEFINANCE(TRIM(F2373)&amp;"":"" &amp; TRIM(B2373),""low52""),AE2373)"),259)</f>
        <v>259</v>
      </c>
      <c r="AI2373" s="1">
        <f ca="1">IFERROR(__xludf.DUMMYFUNCTION("IFERROR(GOOGLEFINANCE(B2373,""eps""),0)"),6.65)</f>
        <v>6.65</v>
      </c>
      <c r="AJ2373" s="1"/>
      <c r="AK2373" s="1" t="s">
        <v>7422</v>
      </c>
      <c r="AL2373" s="9">
        <f t="shared" si="245"/>
        <v>1</v>
      </c>
    </row>
    <row r="2374" spans="1:38" ht="15" x14ac:dyDescent="0.25">
      <c r="A2374" s="1" t="s">
        <v>7423</v>
      </c>
      <c r="B2374" s="1" t="s">
        <v>7424</v>
      </c>
      <c r="C2374" s="1" t="s">
        <v>487</v>
      </c>
      <c r="D2374" s="1" t="s">
        <v>487</v>
      </c>
      <c r="E2374" s="6">
        <v>7191.34</v>
      </c>
      <c r="F2374" s="1" t="s">
        <v>40</v>
      </c>
      <c r="G2374" s="6">
        <f ca="1">IFERROR(__xludf.DUMMYFUNCTION("iferror(GOOGLEFINANCE(TRIM(F2374)&amp;"":"" &amp; TRIM(B2374), ""price""),0
)"),381)</f>
        <v>381</v>
      </c>
      <c r="H2374" s="6">
        <v>471.75</v>
      </c>
      <c r="I2374" s="6">
        <f t="shared" ca="1" si="0"/>
        <v>381</v>
      </c>
      <c r="J2374" s="6">
        <f ca="1">IFERROR(__xludf.DUMMYFUNCTION("IFERROR(GOOGLEFINANCE(B2374, ""volume""), 0)"),946258)</f>
        <v>946258</v>
      </c>
      <c r="K2374" s="6">
        <v>1.7</v>
      </c>
      <c r="L2374" s="6">
        <f ca="1">IFERROR(__xludf.DUMMYFUNCTION("IFERROR(GOOGLEFINANCE(B2374,""changepct""),K2374)"),3.6)</f>
        <v>3.6</v>
      </c>
      <c r="M2374" s="6">
        <f ca="1">IFERROR(__xludf.DUMMYFUNCTION("IFERROR(GOOGLEFINANCE(B2374,""change""),0)"),13.25)</f>
        <v>13.25</v>
      </c>
      <c r="N2374" s="6">
        <v>2</v>
      </c>
      <c r="O2374" s="7">
        <v>45536</v>
      </c>
      <c r="P2374" s="6">
        <v>927.79</v>
      </c>
      <c r="Q2374" s="6">
        <v>7954.74</v>
      </c>
      <c r="R2374" s="7">
        <v>45536</v>
      </c>
      <c r="S2374" s="6">
        <v>292.02999999999997</v>
      </c>
      <c r="T2374" s="6">
        <v>-106.85</v>
      </c>
      <c r="U2374" s="7">
        <v>45536</v>
      </c>
      <c r="V2374" s="6">
        <v>59.84</v>
      </c>
      <c r="W2374" s="6">
        <f ca="1">IFERROR(__xludf.DUMMYFUNCTION("IFERROR(GOOGLEFINANCE(B2374,""pe""),V2374)"),41.68)</f>
        <v>41.68</v>
      </c>
      <c r="X2374" s="6">
        <v>-15.42</v>
      </c>
      <c r="Y2374" s="6">
        <v>3.93</v>
      </c>
      <c r="Z2374" s="6">
        <v>2</v>
      </c>
      <c r="AA2374" s="8">
        <v>45352</v>
      </c>
      <c r="AB2374" s="4">
        <v>0.47</v>
      </c>
      <c r="AC2374" s="6">
        <v>5.36</v>
      </c>
      <c r="AD2374" s="6">
        <v>2.56</v>
      </c>
      <c r="AE2374" s="1">
        <v>0</v>
      </c>
      <c r="AF2374" s="1">
        <f ca="1">IFERROR(__xludf.DUMMYFUNCTION("IFERROR(GOOGLEFINANCE(TRIM(F2374)&amp;"":"" &amp; TRIM(B2374),""high52""),AE2374)"),427.05)</f>
        <v>427.05</v>
      </c>
      <c r="AG2374" s="1">
        <v>0</v>
      </c>
      <c r="AH2374" s="1">
        <f ca="1">IFERROR(__xludf.DUMMYFUNCTION("IFERROR(GOOGLEFINANCE(TRIM(F2374)&amp;"":"" &amp; TRIM(B2374),""low52""),AE2374)"),255.87)</f>
        <v>255.87</v>
      </c>
      <c r="AI2374" s="1">
        <f ca="1">IFERROR(__xludf.DUMMYFUNCTION("IFERROR(GOOGLEFINANCE(B2374,""eps""),0)"),9.14)</f>
        <v>9.14</v>
      </c>
      <c r="AJ2374" s="1"/>
      <c r="AK2374" s="1" t="s">
        <v>7425</v>
      </c>
      <c r="AL2374" s="9">
        <f t="shared" si="245"/>
        <v>1</v>
      </c>
    </row>
    <row r="2375" spans="1:38" ht="15" x14ac:dyDescent="0.25">
      <c r="A2375" s="1" t="s">
        <v>7426</v>
      </c>
      <c r="B2375" s="1" t="s">
        <v>7427</v>
      </c>
      <c r="C2375" s="1" t="s">
        <v>163</v>
      </c>
      <c r="D2375" s="1" t="s">
        <v>163</v>
      </c>
      <c r="E2375" s="6">
        <v>5.13</v>
      </c>
      <c r="F2375" s="1" t="s">
        <v>53</v>
      </c>
      <c r="G2375" s="6">
        <f ca="1">IFERROR(__xludf.DUMMYFUNCTION("iferror(GOOGLEFINANCE(TRIM(F2375)&amp;"":"" &amp; TRIM(B2375), ""price""),0
)"),0)</f>
        <v>0</v>
      </c>
      <c r="H2375" s="6">
        <v>5.01</v>
      </c>
      <c r="I2375" s="6">
        <f t="shared" ca="1" si="0"/>
        <v>5.01</v>
      </c>
      <c r="J2375" s="6">
        <f ca="1">IFERROR(__xludf.DUMMYFUNCTION("IFERROR(GOOGLEFINANCE(B2375, ""volume""), 0)"),0)</f>
        <v>0</v>
      </c>
      <c r="K2375" s="6">
        <v>2.4500000000000002</v>
      </c>
      <c r="L2375" s="6">
        <f ca="1">IFERROR(__xludf.DUMMYFUNCTION("IFERROR(GOOGLEFINANCE(B2375,""changepct""),K2375)"),2.45)</f>
        <v>2.4500000000000002</v>
      </c>
      <c r="M2375" s="6">
        <f ca="1">IFERROR(__xludf.DUMMYFUNCTION("IFERROR(GOOGLEFINANCE(B2375,""change""),0)"),0)</f>
        <v>0</v>
      </c>
      <c r="N2375" s="6">
        <v>1</v>
      </c>
      <c r="O2375" s="7">
        <v>45536</v>
      </c>
      <c r="P2375" s="9"/>
      <c r="Q2375" s="6">
        <v>5.13</v>
      </c>
      <c r="R2375" s="7">
        <v>45536</v>
      </c>
      <c r="S2375" s="6">
        <v>0</v>
      </c>
      <c r="T2375" s="6">
        <v>-0.15</v>
      </c>
      <c r="U2375" s="7">
        <v>45536</v>
      </c>
      <c r="V2375" s="6">
        <v>0</v>
      </c>
      <c r="W2375" s="6">
        <f ca="1">IFERROR(__xludf.DUMMYFUNCTION("IFERROR(GOOGLEFINANCE(B2375,""pe""),V2375)"),0)</f>
        <v>0</v>
      </c>
      <c r="X2375" s="9"/>
      <c r="Y2375" s="6">
        <v>0.35</v>
      </c>
      <c r="Z2375" s="6">
        <v>1</v>
      </c>
      <c r="AA2375" s="8">
        <v>45352</v>
      </c>
      <c r="AB2375" s="4">
        <v>0</v>
      </c>
      <c r="AC2375" s="6">
        <v>-0.12</v>
      </c>
      <c r="AD2375" s="6">
        <v>-0.16</v>
      </c>
      <c r="AE2375" s="1">
        <v>0</v>
      </c>
      <c r="AF2375" s="1">
        <f ca="1">IFERROR(__xludf.DUMMYFUNCTION("IFERROR(GOOGLEFINANCE(TRIM(F2375)&amp;"":"" &amp; TRIM(B2375),""high52""),AE2375)"),0)</f>
        <v>0</v>
      </c>
      <c r="AG2375" s="1">
        <v>0</v>
      </c>
      <c r="AH2375" s="1">
        <f ca="1">IFERROR(__xludf.DUMMYFUNCTION("IFERROR(GOOGLEFINANCE(TRIM(F2375)&amp;"":"" &amp; TRIM(B2375),""low52""),AE2375)"),0)</f>
        <v>0</v>
      </c>
      <c r="AI2375" s="1">
        <f ca="1">IFERROR(__xludf.DUMMYFUNCTION("IFERROR(GOOGLEFINANCE(B2375,""eps""),0)"),0)</f>
        <v>0</v>
      </c>
      <c r="AJ2375" s="1"/>
      <c r="AK2375" s="1" t="s">
        <v>7428</v>
      </c>
      <c r="AL2375" s="9">
        <f t="shared" si="245"/>
        <v>1</v>
      </c>
    </row>
    <row r="2376" spans="1:38" ht="15" x14ac:dyDescent="0.25">
      <c r="A2376" s="1" t="s">
        <v>7429</v>
      </c>
      <c r="B2376" s="1" t="s">
        <v>7430</v>
      </c>
      <c r="C2376" s="1" t="s">
        <v>259</v>
      </c>
      <c r="D2376" s="1" t="s">
        <v>259</v>
      </c>
      <c r="E2376" s="6">
        <v>2781.75</v>
      </c>
      <c r="F2376" s="1" t="s">
        <v>40</v>
      </c>
      <c r="G2376" s="6">
        <f ca="1">IFERROR(__xludf.DUMMYFUNCTION("iferror(GOOGLEFINANCE(TRIM(F2376)&amp;"":"" &amp; TRIM(B2376), ""price""),0
)"),363.3)</f>
        <v>363.3</v>
      </c>
      <c r="H2376" s="6">
        <v>388.6</v>
      </c>
      <c r="I2376" s="6">
        <f t="shared" ca="1" si="0"/>
        <v>363.3</v>
      </c>
      <c r="J2376" s="6">
        <f ca="1">IFERROR(__xludf.DUMMYFUNCTION("IFERROR(GOOGLEFINANCE(B2376, ""volume""), 0)"),538695)</f>
        <v>538695</v>
      </c>
      <c r="K2376" s="6">
        <v>0.65</v>
      </c>
      <c r="L2376" s="6">
        <f ca="1">IFERROR(__xludf.DUMMYFUNCTION("IFERROR(GOOGLEFINANCE(B2376,""changepct""),K2376)"),4.43)</f>
        <v>4.43</v>
      </c>
      <c r="M2376" s="6">
        <f ca="1">IFERROR(__xludf.DUMMYFUNCTION("IFERROR(GOOGLEFINANCE(B2376,""change""),0)"),15.4)</f>
        <v>15.4</v>
      </c>
      <c r="N2376" s="6">
        <v>2</v>
      </c>
      <c r="O2376" s="7">
        <v>45536</v>
      </c>
      <c r="P2376" s="6">
        <v>403.53</v>
      </c>
      <c r="Q2376" s="6">
        <v>3166.54</v>
      </c>
      <c r="R2376" s="7">
        <v>45536</v>
      </c>
      <c r="S2376" s="6">
        <v>5789.11</v>
      </c>
      <c r="T2376" s="6">
        <v>-45.76</v>
      </c>
      <c r="U2376" s="7">
        <v>45536</v>
      </c>
      <c r="V2376" s="6">
        <v>0</v>
      </c>
      <c r="W2376" s="6">
        <f ca="1">IFERROR(__xludf.DUMMYFUNCTION("IFERROR(GOOGLEFINANCE(B2376,""pe""),V2376)"),0)</f>
        <v>0</v>
      </c>
      <c r="X2376" s="9"/>
      <c r="Y2376" s="6">
        <v>6.16</v>
      </c>
      <c r="Z2376" s="6">
        <v>2</v>
      </c>
      <c r="AA2376" s="8">
        <v>45352</v>
      </c>
      <c r="AB2376" s="4">
        <v>0.7</v>
      </c>
      <c r="AC2376" s="6">
        <v>-10.01</v>
      </c>
      <c r="AD2376" s="6">
        <v>4.66</v>
      </c>
      <c r="AE2376" s="1">
        <v>0</v>
      </c>
      <c r="AF2376" s="1">
        <f ca="1">IFERROR(__xludf.DUMMYFUNCTION("IFERROR(GOOGLEFINANCE(TRIM(F2376)&amp;"":"" &amp; TRIM(B2376),""high52""),AE2376)"),383.37)</f>
        <v>383.37</v>
      </c>
      <c r="AG2376" s="1">
        <v>0</v>
      </c>
      <c r="AH2376" s="1">
        <f ca="1">IFERROR(__xludf.DUMMYFUNCTION("IFERROR(GOOGLEFINANCE(TRIM(F2376)&amp;"":"" &amp; TRIM(B2376),""low52""),AE2376)"),217.43)</f>
        <v>217.43</v>
      </c>
      <c r="AI2376" s="1">
        <f ca="1">IFERROR(__xludf.DUMMYFUNCTION("IFERROR(GOOGLEFINANCE(B2376,""eps""),0)"),-3.09)</f>
        <v>-3.09</v>
      </c>
      <c r="AJ2376" s="1"/>
      <c r="AK2376" s="1" t="s">
        <v>7431</v>
      </c>
      <c r="AL2376" s="9">
        <f t="shared" si="245"/>
        <v>1</v>
      </c>
    </row>
    <row r="2377" spans="1:38" ht="15" x14ac:dyDescent="0.25">
      <c r="A2377" s="1" t="s">
        <v>7432</v>
      </c>
      <c r="B2377" s="1" t="s">
        <v>7433</v>
      </c>
      <c r="C2377" s="1" t="s">
        <v>163</v>
      </c>
      <c r="D2377" s="1" t="s">
        <v>163</v>
      </c>
      <c r="E2377" s="6">
        <v>238.92</v>
      </c>
      <c r="F2377" s="1" t="s">
        <v>40</v>
      </c>
      <c r="G2377" s="6">
        <f ca="1">IFERROR(__xludf.DUMMYFUNCTION("iferror(GOOGLEFINANCE(TRIM(F2377)&amp;"":"" &amp; TRIM(B2377), ""price""),0
)"),0)</f>
        <v>0</v>
      </c>
      <c r="H2377" s="6">
        <v>349.65</v>
      </c>
      <c r="I2377" s="6">
        <f t="shared" ca="1" si="0"/>
        <v>349.65</v>
      </c>
      <c r="J2377" s="6">
        <f ca="1">IFERROR(__xludf.DUMMYFUNCTION("IFERROR(GOOGLEFINANCE(B2377, ""volume""), 0)"),0)</f>
        <v>0</v>
      </c>
      <c r="K2377" s="6">
        <v>-0.84</v>
      </c>
      <c r="L2377" s="6">
        <f ca="1">IFERROR(__xludf.DUMMYFUNCTION("IFERROR(GOOGLEFINANCE(B2377,""changepct""),K2377)"),-0.84)</f>
        <v>-0.84</v>
      </c>
      <c r="M2377" s="6">
        <f ca="1">IFERROR(__xludf.DUMMYFUNCTION("IFERROR(GOOGLEFINANCE(B2377,""change""),0)"),0)</f>
        <v>0</v>
      </c>
      <c r="N2377" s="6">
        <v>1</v>
      </c>
      <c r="O2377" s="7">
        <v>45536</v>
      </c>
      <c r="P2377" s="6">
        <v>3.85</v>
      </c>
      <c r="Q2377" s="6">
        <v>242.77</v>
      </c>
      <c r="R2377" s="7">
        <v>45352</v>
      </c>
      <c r="S2377" s="6">
        <v>46.53</v>
      </c>
      <c r="T2377" s="6">
        <v>3.17</v>
      </c>
      <c r="U2377" s="7">
        <v>45352</v>
      </c>
      <c r="V2377" s="6">
        <v>75.3</v>
      </c>
      <c r="W2377" s="6">
        <f ca="1">IFERROR(__xludf.DUMMYFUNCTION("IFERROR(GOOGLEFINANCE(B2377,""pe""),V2377)"),75.3)</f>
        <v>75.3</v>
      </c>
      <c r="X2377" s="12"/>
      <c r="Y2377" s="6">
        <v>9.61</v>
      </c>
      <c r="Z2377" s="6">
        <v>2</v>
      </c>
      <c r="AA2377" s="8">
        <v>45352</v>
      </c>
      <c r="AB2377" s="4">
        <v>0.19</v>
      </c>
      <c r="AC2377" s="6">
        <v>18.87</v>
      </c>
      <c r="AD2377" s="6">
        <v>18.57</v>
      </c>
      <c r="AE2377" s="1">
        <v>0</v>
      </c>
      <c r="AF2377" s="1">
        <f ca="1">IFERROR(__xludf.DUMMYFUNCTION("IFERROR(GOOGLEFINANCE(TRIM(F2377)&amp;"":"" &amp; TRIM(B2377),""high52""),AE2377)"),0)</f>
        <v>0</v>
      </c>
      <c r="AG2377" s="1">
        <v>0</v>
      </c>
      <c r="AH2377" s="1">
        <f ca="1">IFERROR(__xludf.DUMMYFUNCTION("IFERROR(GOOGLEFINANCE(TRIM(F2377)&amp;"":"" &amp; TRIM(B2377),""low52""),AE2377)"),0)</f>
        <v>0</v>
      </c>
      <c r="AI2377" s="1">
        <f ca="1">IFERROR(__xludf.DUMMYFUNCTION("IFERROR(GOOGLEFINANCE(B2377,""eps""),0)"),0)</f>
        <v>0</v>
      </c>
      <c r="AJ2377" s="1"/>
      <c r="AK2377" s="1" t="s">
        <v>7434</v>
      </c>
      <c r="AL2377" s="9">
        <f t="shared" si="245"/>
        <v>1</v>
      </c>
    </row>
    <row r="2378" spans="1:38" ht="15" x14ac:dyDescent="0.25">
      <c r="A2378" s="1" t="s">
        <v>7435</v>
      </c>
      <c r="B2378" s="1" t="s">
        <v>7436</v>
      </c>
      <c r="C2378" s="1" t="s">
        <v>163</v>
      </c>
      <c r="D2378" s="1" t="s">
        <v>163</v>
      </c>
      <c r="E2378" s="6">
        <v>38.06</v>
      </c>
      <c r="F2378" s="1" t="s">
        <v>53</v>
      </c>
      <c r="G2378" s="6">
        <f ca="1">IFERROR(__xludf.DUMMYFUNCTION("iferror(GOOGLEFINANCE(TRIM(F2378)&amp;"":"" &amp; TRIM(B2378), ""price""),0
)"),0)</f>
        <v>0</v>
      </c>
      <c r="H2378" s="6">
        <v>38.78</v>
      </c>
      <c r="I2378" s="6">
        <f t="shared" ca="1" si="0"/>
        <v>38.78</v>
      </c>
      <c r="J2378" s="6">
        <f ca="1">IFERROR(__xludf.DUMMYFUNCTION("IFERROR(GOOGLEFINANCE(B2378, ""volume""), 0)"),0)</f>
        <v>0</v>
      </c>
      <c r="K2378" s="6">
        <v>1.7</v>
      </c>
      <c r="L2378" s="6">
        <f ca="1">IFERROR(__xludf.DUMMYFUNCTION("IFERROR(GOOGLEFINANCE(B2378,""changepct""),K2378)"),1.7)</f>
        <v>1.7</v>
      </c>
      <c r="M2378" s="6">
        <f ca="1">IFERROR(__xludf.DUMMYFUNCTION("IFERROR(GOOGLEFINANCE(B2378,""change""),0)"),0)</f>
        <v>0</v>
      </c>
      <c r="N2378" s="6">
        <v>2</v>
      </c>
      <c r="O2378" s="7">
        <v>45536</v>
      </c>
      <c r="P2378" s="6">
        <v>5</v>
      </c>
      <c r="Q2378" s="6">
        <v>43.06</v>
      </c>
      <c r="R2378" s="7">
        <v>45536</v>
      </c>
      <c r="S2378" s="6">
        <v>9.93</v>
      </c>
      <c r="T2378" s="6">
        <v>1.92</v>
      </c>
      <c r="U2378" s="7">
        <v>45536</v>
      </c>
      <c r="V2378" s="6">
        <v>19.8</v>
      </c>
      <c r="W2378" s="6">
        <f ca="1">IFERROR(__xludf.DUMMYFUNCTION("IFERROR(GOOGLEFINANCE(B2378,""pe""),V2378)"),19.8)</f>
        <v>19.8</v>
      </c>
      <c r="X2378" s="6">
        <v>0.42</v>
      </c>
      <c r="Y2378" s="6">
        <v>-17.46</v>
      </c>
      <c r="Z2378" s="6">
        <v>2</v>
      </c>
      <c r="AA2378" s="8">
        <v>45352</v>
      </c>
      <c r="AB2378" s="4">
        <v>-1.6</v>
      </c>
      <c r="AC2378" s="6">
        <v>0</v>
      </c>
      <c r="AD2378" s="6">
        <v>233.02</v>
      </c>
      <c r="AE2378" s="1">
        <v>0</v>
      </c>
      <c r="AF2378" s="1">
        <f ca="1">IFERROR(__xludf.DUMMYFUNCTION("IFERROR(GOOGLEFINANCE(TRIM(F2378)&amp;"":"" &amp; TRIM(B2378),""high52""),AE2378)"),0)</f>
        <v>0</v>
      </c>
      <c r="AG2378" s="1">
        <v>0</v>
      </c>
      <c r="AH2378" s="1">
        <f ca="1">IFERROR(__xludf.DUMMYFUNCTION("IFERROR(GOOGLEFINANCE(TRIM(F2378)&amp;"":"" &amp; TRIM(B2378),""low52""),AE2378)"),0)</f>
        <v>0</v>
      </c>
      <c r="AI2378" s="1">
        <f ca="1">IFERROR(__xludf.DUMMYFUNCTION("IFERROR(GOOGLEFINANCE(B2378,""eps""),0)"),0)</f>
        <v>0</v>
      </c>
      <c r="AJ2378" s="1"/>
      <c r="AK2378" s="1" t="s">
        <v>7437</v>
      </c>
      <c r="AL2378" s="9">
        <f t="shared" si="245"/>
        <v>1</v>
      </c>
    </row>
    <row r="2379" spans="1:38" ht="15" x14ac:dyDescent="0.25">
      <c r="A2379" s="1" t="s">
        <v>7438</v>
      </c>
      <c r="B2379" s="1" t="s">
        <v>7439</v>
      </c>
      <c r="C2379" s="1" t="s">
        <v>125</v>
      </c>
      <c r="D2379" s="1" t="s">
        <v>125</v>
      </c>
      <c r="E2379" s="6">
        <v>29.16</v>
      </c>
      <c r="F2379" s="1" t="s">
        <v>40</v>
      </c>
      <c r="G2379" s="6">
        <f ca="1">IFERROR(__xludf.DUMMYFUNCTION("iferror(GOOGLEFINANCE(TRIM(F2379)&amp;"":"" &amp; TRIM(B2379), ""price""),0
)"),0)</f>
        <v>0</v>
      </c>
      <c r="H2379" s="6">
        <v>42.05</v>
      </c>
      <c r="I2379" s="6">
        <f t="shared" ca="1" si="0"/>
        <v>42.05</v>
      </c>
      <c r="J2379" s="6">
        <f ca="1">IFERROR(__xludf.DUMMYFUNCTION("IFERROR(GOOGLEFINANCE(B2379, ""volume""), 0)"),1400)</f>
        <v>1400</v>
      </c>
      <c r="K2379" s="9"/>
      <c r="L2379" s="6">
        <f ca="1">IFERROR(__xludf.DUMMYFUNCTION("IFERROR(GOOGLEFINANCE(B2379,""changepct""),K2379)"),0)</f>
        <v>0</v>
      </c>
      <c r="M2379" s="6">
        <f ca="1">IFERROR(__xludf.DUMMYFUNCTION("IFERROR(GOOGLEFINANCE(B2379,""change""),0)"),0)</f>
        <v>0</v>
      </c>
      <c r="N2379" s="6">
        <v>1</v>
      </c>
      <c r="O2379" s="7">
        <v>45536</v>
      </c>
      <c r="P2379" s="6">
        <v>16.82</v>
      </c>
      <c r="Q2379" s="6">
        <v>45.98</v>
      </c>
      <c r="R2379" s="7">
        <v>45352</v>
      </c>
      <c r="S2379" s="6">
        <v>66.260000000000005</v>
      </c>
      <c r="T2379" s="6">
        <v>0.28000000000000003</v>
      </c>
      <c r="U2379" s="7">
        <v>45352</v>
      </c>
      <c r="V2379" s="6">
        <v>103.48</v>
      </c>
      <c r="W2379" s="6">
        <f ca="1">IFERROR(__xludf.DUMMYFUNCTION("IFERROR(GOOGLEFINANCE(B2379,""pe""),V2379)"),103.48)</f>
        <v>103.48</v>
      </c>
      <c r="X2379" s="12"/>
      <c r="Y2379" s="6">
        <v>1.78</v>
      </c>
      <c r="Z2379" s="6">
        <v>1</v>
      </c>
      <c r="AA2379" s="8">
        <v>45352</v>
      </c>
      <c r="AB2379" s="4">
        <v>0.95</v>
      </c>
      <c r="AC2379" s="6">
        <v>1.74</v>
      </c>
      <c r="AD2379" s="6">
        <v>7.63</v>
      </c>
      <c r="AE2379" s="1">
        <v>0</v>
      </c>
      <c r="AF2379" s="1">
        <f ca="1">IFERROR(__xludf.DUMMYFUNCTION("IFERROR(GOOGLEFINANCE(TRIM(F2379)&amp;"":"" &amp; TRIM(B2379),""high52""),AE2379)"),0)</f>
        <v>0</v>
      </c>
      <c r="AG2379" s="1">
        <v>0</v>
      </c>
      <c r="AH2379" s="1">
        <f ca="1">IFERROR(__xludf.DUMMYFUNCTION("IFERROR(GOOGLEFINANCE(TRIM(F2379)&amp;"":"" &amp; TRIM(B2379),""low52""),AE2379)"),0)</f>
        <v>0</v>
      </c>
      <c r="AI2379" s="1">
        <f ca="1">IFERROR(__xludf.DUMMYFUNCTION("IFERROR(GOOGLEFINANCE(B2379,""eps""),0)"),0)</f>
        <v>0</v>
      </c>
      <c r="AJ2379" s="1"/>
      <c r="AK2379" s="1" t="s">
        <v>7440</v>
      </c>
      <c r="AL2379" s="9">
        <f t="shared" si="245"/>
        <v>1</v>
      </c>
    </row>
    <row r="2380" spans="1:38" ht="15" x14ac:dyDescent="0.25">
      <c r="A2380" s="1" t="s">
        <v>7441</v>
      </c>
      <c r="B2380" s="1" t="s">
        <v>7442</v>
      </c>
      <c r="C2380" s="1" t="s">
        <v>416</v>
      </c>
      <c r="D2380" s="1" t="s">
        <v>416</v>
      </c>
      <c r="E2380" s="6">
        <v>932.72</v>
      </c>
      <c r="F2380" s="1" t="s">
        <v>40</v>
      </c>
      <c r="G2380" s="6">
        <f ca="1">IFERROR(__xludf.DUMMYFUNCTION("iferror(GOOGLEFINANCE(TRIM(F2380)&amp;"":"" &amp; TRIM(B2380), ""price""),0
)"),1122)</f>
        <v>1122</v>
      </c>
      <c r="H2380" s="6">
        <v>1523.1</v>
      </c>
      <c r="I2380" s="6">
        <f t="shared" ca="1" si="0"/>
        <v>1122</v>
      </c>
      <c r="J2380" s="6">
        <f ca="1">IFERROR(__xludf.DUMMYFUNCTION("IFERROR(GOOGLEFINANCE(B2380, ""volume""), 0)"),2117)</f>
        <v>2117</v>
      </c>
      <c r="K2380" s="6">
        <v>1.97</v>
      </c>
      <c r="L2380" s="6">
        <f ca="1">IFERROR(__xludf.DUMMYFUNCTION("IFERROR(GOOGLEFINANCE(B2380,""changepct""),K2380)"),1.42)</f>
        <v>1.42</v>
      </c>
      <c r="M2380" s="6">
        <f ca="1">IFERROR(__xludf.DUMMYFUNCTION("IFERROR(GOOGLEFINANCE(B2380,""change""),0)"),15.7)</f>
        <v>15.7</v>
      </c>
      <c r="N2380" s="6">
        <v>2</v>
      </c>
      <c r="O2380" s="7">
        <v>45536</v>
      </c>
      <c r="P2380" s="6">
        <v>99.78</v>
      </c>
      <c r="Q2380" s="6">
        <v>1004.56</v>
      </c>
      <c r="R2380" s="7">
        <v>45536</v>
      </c>
      <c r="S2380" s="6">
        <v>449.39</v>
      </c>
      <c r="T2380" s="6">
        <v>37.270000000000003</v>
      </c>
      <c r="U2380" s="7">
        <v>45536</v>
      </c>
      <c r="V2380" s="6">
        <v>25.02</v>
      </c>
      <c r="W2380" s="6">
        <f ca="1">IFERROR(__xludf.DUMMYFUNCTION("IFERROR(GOOGLEFINANCE(B2380,""pe""),V2380)"),13.08)</f>
        <v>13.08</v>
      </c>
      <c r="X2380" s="6">
        <v>1.29</v>
      </c>
      <c r="Y2380" s="6">
        <v>3.66</v>
      </c>
      <c r="Z2380" s="6">
        <v>2</v>
      </c>
      <c r="AA2380" s="8">
        <v>45352</v>
      </c>
      <c r="AB2380" s="4">
        <v>0.39</v>
      </c>
      <c r="AC2380" s="6">
        <v>16.48</v>
      </c>
      <c r="AD2380" s="6">
        <v>17.29</v>
      </c>
      <c r="AE2380" s="1">
        <v>0</v>
      </c>
      <c r="AF2380" s="1">
        <f ca="1">IFERROR(__xludf.DUMMYFUNCTION("IFERROR(GOOGLEFINANCE(TRIM(F2380)&amp;"":"" &amp; TRIM(B2380),""high52""),AE2380)"),1520)</f>
        <v>1520</v>
      </c>
      <c r="AG2380" s="1">
        <v>0</v>
      </c>
      <c r="AH2380" s="1">
        <f ca="1">IFERROR(__xludf.DUMMYFUNCTION("IFERROR(GOOGLEFINANCE(TRIM(F2380)&amp;"":"" &amp; TRIM(B2380),""low52""),AE2380)"),1038.1)</f>
        <v>1038.0999999999999</v>
      </c>
      <c r="AI2380" s="1">
        <f ca="1">IFERROR(__xludf.DUMMYFUNCTION("IFERROR(GOOGLEFINANCE(B2380,""eps""),0)"),85.76)</f>
        <v>85.76</v>
      </c>
      <c r="AJ2380" s="1"/>
      <c r="AK2380" s="1" t="s">
        <v>7443</v>
      </c>
      <c r="AL2380" s="9">
        <f t="shared" si="245"/>
        <v>1</v>
      </c>
    </row>
    <row r="2381" spans="1:38" ht="15" x14ac:dyDescent="0.25">
      <c r="A2381" s="1" t="s">
        <v>7444</v>
      </c>
      <c r="B2381" s="1" t="s">
        <v>7445</v>
      </c>
      <c r="C2381" s="1" t="s">
        <v>163</v>
      </c>
      <c r="D2381" s="1" t="s">
        <v>163</v>
      </c>
      <c r="E2381" s="6">
        <v>62.15</v>
      </c>
      <c r="F2381" s="1" t="s">
        <v>53</v>
      </c>
      <c r="G2381" s="6">
        <f ca="1">IFERROR(__xludf.DUMMYFUNCTION("iferror(GOOGLEFINANCE(TRIM(F2381)&amp;"":"" &amp; TRIM(B2381), ""price""),0
)"),0)</f>
        <v>0</v>
      </c>
      <c r="H2381" s="6">
        <v>182</v>
      </c>
      <c r="I2381" s="6">
        <f t="shared" ca="1" si="0"/>
        <v>182</v>
      </c>
      <c r="J2381" s="6">
        <f ca="1">IFERROR(__xludf.DUMMYFUNCTION("IFERROR(GOOGLEFINANCE(B2381, ""volume""), 0)"),0)</f>
        <v>0</v>
      </c>
      <c r="K2381" s="6">
        <v>-1.89</v>
      </c>
      <c r="L2381" s="6">
        <f ca="1">IFERROR(__xludf.DUMMYFUNCTION("IFERROR(GOOGLEFINANCE(B2381,""changepct""),K2381)"),-1.89)</f>
        <v>-1.89</v>
      </c>
      <c r="M2381" s="6">
        <f ca="1">IFERROR(__xludf.DUMMYFUNCTION("IFERROR(GOOGLEFINANCE(B2381,""change""),0)"),0)</f>
        <v>0</v>
      </c>
      <c r="N2381" s="6">
        <v>1</v>
      </c>
      <c r="O2381" s="7">
        <v>45536</v>
      </c>
      <c r="P2381" s="6">
        <v>1.25</v>
      </c>
      <c r="Q2381" s="6">
        <v>60.85</v>
      </c>
      <c r="R2381" s="7">
        <v>45536</v>
      </c>
      <c r="S2381" s="6">
        <v>16.100000000000001</v>
      </c>
      <c r="T2381" s="6">
        <v>5.83</v>
      </c>
      <c r="U2381" s="7">
        <v>45536</v>
      </c>
      <c r="V2381" s="6">
        <v>10.67</v>
      </c>
      <c r="W2381" s="6">
        <f ca="1">IFERROR(__xludf.DUMMYFUNCTION("IFERROR(GOOGLEFINANCE(B2381,""pe""),V2381)"),10.67)</f>
        <v>10.67</v>
      </c>
      <c r="X2381" s="6">
        <v>0.31</v>
      </c>
      <c r="Y2381" s="6">
        <v>1.49</v>
      </c>
      <c r="Z2381" s="6">
        <v>1</v>
      </c>
      <c r="AA2381" s="8">
        <v>45352</v>
      </c>
      <c r="AB2381" s="4">
        <v>0.03</v>
      </c>
      <c r="AC2381" s="6">
        <v>15.65</v>
      </c>
      <c r="AD2381" s="6">
        <v>17.940000000000001</v>
      </c>
      <c r="AE2381" s="1">
        <v>0</v>
      </c>
      <c r="AF2381" s="1">
        <f ca="1">IFERROR(__xludf.DUMMYFUNCTION("IFERROR(GOOGLEFINANCE(TRIM(F2381)&amp;"":"" &amp; TRIM(B2381),""high52""),AE2381)"),0)</f>
        <v>0</v>
      </c>
      <c r="AG2381" s="1">
        <v>0</v>
      </c>
      <c r="AH2381" s="1">
        <f ca="1">IFERROR(__xludf.DUMMYFUNCTION("IFERROR(GOOGLEFINANCE(TRIM(F2381)&amp;"":"" &amp; TRIM(B2381),""low52""),AE2381)"),0)</f>
        <v>0</v>
      </c>
      <c r="AI2381" s="1">
        <f ca="1">IFERROR(__xludf.DUMMYFUNCTION("IFERROR(GOOGLEFINANCE(B2381,""eps""),0)"),0)</f>
        <v>0</v>
      </c>
      <c r="AJ2381" s="1"/>
      <c r="AK2381" s="1" t="s">
        <v>7446</v>
      </c>
      <c r="AL2381" s="9">
        <f t="shared" si="245"/>
        <v>1</v>
      </c>
    </row>
    <row r="2382" spans="1:38" ht="15" x14ac:dyDescent="0.25">
      <c r="A2382" s="1" t="s">
        <v>7447</v>
      </c>
      <c r="B2382" s="1" t="s">
        <v>7448</v>
      </c>
      <c r="C2382" s="1" t="s">
        <v>373</v>
      </c>
      <c r="D2382" s="1" t="s">
        <v>373</v>
      </c>
      <c r="E2382" s="6">
        <v>78.81</v>
      </c>
      <c r="F2382" s="1" t="s">
        <v>40</v>
      </c>
      <c r="G2382" s="6">
        <f ca="1">IFERROR(__xludf.DUMMYFUNCTION("iferror(GOOGLEFINANCE(TRIM(F2382)&amp;"":"" &amp; TRIM(B2382), ""price""),0
)"),32.2)</f>
        <v>32.200000000000003</v>
      </c>
      <c r="H2382" s="6">
        <v>45.87</v>
      </c>
      <c r="I2382" s="6">
        <f t="shared" ca="1" si="0"/>
        <v>32.200000000000003</v>
      </c>
      <c r="J2382" s="6">
        <f ca="1">IFERROR(__xludf.DUMMYFUNCTION("IFERROR(GOOGLEFINANCE(B2382, ""volume""), 0)"),6460)</f>
        <v>6460</v>
      </c>
      <c r="K2382" s="6">
        <v>-0.59</v>
      </c>
      <c r="L2382" s="6">
        <f ca="1">IFERROR(__xludf.DUMMYFUNCTION("IFERROR(GOOGLEFINANCE(B2382,""changepct""),K2382)"),1.23)</f>
        <v>1.23</v>
      </c>
      <c r="M2382" s="6">
        <f ca="1">IFERROR(__xludf.DUMMYFUNCTION("IFERROR(GOOGLEFINANCE(B2382,""change""),0)"),0.39)</f>
        <v>0.39</v>
      </c>
      <c r="N2382" s="6">
        <v>1</v>
      </c>
      <c r="O2382" s="7">
        <v>45536</v>
      </c>
      <c r="P2382" s="6">
        <v>138.05000000000001</v>
      </c>
      <c r="Q2382" s="6">
        <v>214.82</v>
      </c>
      <c r="R2382" s="7">
        <v>45536</v>
      </c>
      <c r="S2382" s="6">
        <v>259.39</v>
      </c>
      <c r="T2382" s="6">
        <v>-5.18</v>
      </c>
      <c r="U2382" s="7">
        <v>45536</v>
      </c>
      <c r="V2382" s="6">
        <v>0</v>
      </c>
      <c r="W2382" s="6">
        <f ca="1">IFERROR(__xludf.DUMMYFUNCTION("IFERROR(GOOGLEFINANCE(B2382,""pe""),V2382)"),0)</f>
        <v>0</v>
      </c>
      <c r="X2382" s="6">
        <v>0</v>
      </c>
      <c r="Y2382" s="6">
        <v>68.13</v>
      </c>
      <c r="Z2382" s="6">
        <v>1</v>
      </c>
      <c r="AA2382" s="8">
        <v>45352</v>
      </c>
      <c r="AB2382" s="4">
        <v>19.329999999999998</v>
      </c>
      <c r="AC2382" s="6">
        <v>13.61</v>
      </c>
      <c r="AD2382" s="6">
        <v>9.2799999999999994</v>
      </c>
      <c r="AE2382" s="1">
        <v>0</v>
      </c>
      <c r="AF2382" s="1">
        <f ca="1">IFERROR(__xludf.DUMMYFUNCTION("IFERROR(GOOGLEFINANCE(TRIM(F2382)&amp;"":"" &amp; TRIM(B2382),""high52""),AE2382)"),50.68)</f>
        <v>50.68</v>
      </c>
      <c r="AG2382" s="1">
        <v>0</v>
      </c>
      <c r="AH2382" s="1">
        <f ca="1">IFERROR(__xludf.DUMMYFUNCTION("IFERROR(GOOGLEFINANCE(TRIM(F2382)&amp;"":"" &amp; TRIM(B2382),""low52""),AE2382)"),30.75)</f>
        <v>30.75</v>
      </c>
      <c r="AI2382" s="1">
        <f ca="1">IFERROR(__xludf.DUMMYFUNCTION("IFERROR(GOOGLEFINANCE(B2382,""eps""),0)"),-10.69)</f>
        <v>-10.69</v>
      </c>
      <c r="AJ2382" s="1"/>
      <c r="AK2382" s="1" t="s">
        <v>7449</v>
      </c>
      <c r="AL2382" s="9">
        <f t="shared" si="245"/>
        <v>1</v>
      </c>
    </row>
    <row r="2383" spans="1:38" ht="15" x14ac:dyDescent="0.25">
      <c r="A2383" s="1" t="s">
        <v>7450</v>
      </c>
      <c r="B2383" s="1" t="s">
        <v>7451</v>
      </c>
      <c r="C2383" s="1" t="s">
        <v>163</v>
      </c>
      <c r="D2383" s="1" t="s">
        <v>163</v>
      </c>
      <c r="E2383" s="6">
        <v>34.33</v>
      </c>
      <c r="F2383" s="1" t="s">
        <v>53</v>
      </c>
      <c r="G2383" s="6">
        <f ca="1">IFERROR(__xludf.DUMMYFUNCTION("iferror(GOOGLEFINANCE(TRIM(F2383)&amp;"":"" &amp; TRIM(B2383), ""price""),0
)"),0)</f>
        <v>0</v>
      </c>
      <c r="H2383" s="6">
        <v>23.18</v>
      </c>
      <c r="I2383" s="6">
        <f t="shared" ca="1" si="0"/>
        <v>23.18</v>
      </c>
      <c r="J2383" s="6">
        <f ca="1">IFERROR(__xludf.DUMMYFUNCTION("IFERROR(GOOGLEFINANCE(B2383, ""volume""), 0)"),0)</f>
        <v>0</v>
      </c>
      <c r="K2383" s="6">
        <v>0</v>
      </c>
      <c r="L2383" s="6">
        <f ca="1">IFERROR(__xludf.DUMMYFUNCTION("IFERROR(GOOGLEFINANCE(B2383,""changepct""),K2383)"),0)</f>
        <v>0</v>
      </c>
      <c r="M2383" s="6">
        <f ca="1">IFERROR(__xludf.DUMMYFUNCTION("IFERROR(GOOGLEFINANCE(B2383,""change""),0)"),0)</f>
        <v>0</v>
      </c>
      <c r="N2383" s="6">
        <v>1</v>
      </c>
      <c r="O2383" s="7">
        <v>45536</v>
      </c>
      <c r="P2383" s="6">
        <v>2.33</v>
      </c>
      <c r="Q2383" s="6">
        <v>36.659999999999997</v>
      </c>
      <c r="R2383" s="7">
        <v>45536</v>
      </c>
      <c r="S2383" s="6">
        <v>0</v>
      </c>
      <c r="T2383" s="6">
        <v>-0.25</v>
      </c>
      <c r="U2383" s="7">
        <v>45536</v>
      </c>
      <c r="V2383" s="6">
        <v>0</v>
      </c>
      <c r="W2383" s="6">
        <f ca="1">IFERROR(__xludf.DUMMYFUNCTION("IFERROR(GOOGLEFINANCE(B2383,""pe""),V2383)"),0)</f>
        <v>0</v>
      </c>
      <c r="X2383" s="9"/>
      <c r="Y2383" s="6">
        <v>2.81</v>
      </c>
      <c r="Z2383" s="6">
        <v>2</v>
      </c>
      <c r="AA2383" s="8">
        <v>45352</v>
      </c>
      <c r="AB2383" s="4">
        <v>0.18</v>
      </c>
      <c r="AC2383" s="6">
        <v>-2.02</v>
      </c>
      <c r="AD2383" s="6">
        <v>-1.71</v>
      </c>
      <c r="AE2383" s="1">
        <v>0</v>
      </c>
      <c r="AF2383" s="1">
        <f ca="1">IFERROR(__xludf.DUMMYFUNCTION("IFERROR(GOOGLEFINANCE(TRIM(F2383)&amp;"":"" &amp; TRIM(B2383),""high52""),AE2383)"),0)</f>
        <v>0</v>
      </c>
      <c r="AG2383" s="1">
        <v>0</v>
      </c>
      <c r="AH2383" s="1">
        <f ca="1">IFERROR(__xludf.DUMMYFUNCTION("IFERROR(GOOGLEFINANCE(TRIM(F2383)&amp;"":"" &amp; TRIM(B2383),""low52""),AE2383)"),0)</f>
        <v>0</v>
      </c>
      <c r="AI2383" s="1">
        <f ca="1">IFERROR(__xludf.DUMMYFUNCTION("IFERROR(GOOGLEFINANCE(B2383,""eps""),0)"),0)</f>
        <v>0</v>
      </c>
      <c r="AJ2383" s="1"/>
      <c r="AK2383" s="1" t="s">
        <v>7452</v>
      </c>
      <c r="AL2383" s="9">
        <f t="shared" si="245"/>
        <v>1</v>
      </c>
    </row>
    <row r="2384" spans="1:38" ht="15" x14ac:dyDescent="0.25">
      <c r="A2384" s="1" t="s">
        <v>7453</v>
      </c>
      <c r="B2384" s="1" t="s">
        <v>7454</v>
      </c>
      <c r="C2384" s="1" t="s">
        <v>416</v>
      </c>
      <c r="D2384" s="1" t="s">
        <v>416</v>
      </c>
      <c r="E2384" s="6">
        <v>1395.75</v>
      </c>
      <c r="F2384" s="1" t="s">
        <v>40</v>
      </c>
      <c r="G2384" s="6">
        <f ca="1">IFERROR(__xludf.DUMMYFUNCTION("iferror(GOOGLEFINANCE(TRIM(F2384)&amp;"":"" &amp; TRIM(B2384), ""price""),0
)"),377.4)</f>
        <v>377.4</v>
      </c>
      <c r="H2384" s="6">
        <v>545.25</v>
      </c>
      <c r="I2384" s="6">
        <f t="shared" ca="1" si="0"/>
        <v>377.4</v>
      </c>
      <c r="J2384" s="6">
        <f ca="1">IFERROR(__xludf.DUMMYFUNCTION("IFERROR(GOOGLEFINANCE(B2384, ""volume""), 0)"),140860)</f>
        <v>140860</v>
      </c>
      <c r="K2384" s="6">
        <v>-3.87</v>
      </c>
      <c r="L2384" s="6">
        <f ca="1">IFERROR(__xludf.DUMMYFUNCTION("IFERROR(GOOGLEFINANCE(B2384,""changepct""),K2384)"),-0.84)</f>
        <v>-0.84</v>
      </c>
      <c r="M2384" s="6">
        <f ca="1">IFERROR(__xludf.DUMMYFUNCTION("IFERROR(GOOGLEFINANCE(B2384,""change""),0)"),-3.2)</f>
        <v>-3.2</v>
      </c>
      <c r="N2384" s="6">
        <v>1</v>
      </c>
      <c r="O2384" s="7">
        <v>45352</v>
      </c>
      <c r="P2384" s="6">
        <v>11.6</v>
      </c>
      <c r="Q2384" s="6">
        <v>1403.38</v>
      </c>
      <c r="R2384" s="14"/>
      <c r="S2384" s="9"/>
      <c r="T2384" s="9"/>
      <c r="U2384" s="7">
        <v>45352</v>
      </c>
      <c r="V2384" s="6">
        <v>53.62</v>
      </c>
      <c r="W2384" s="6">
        <f ca="1">IFERROR(__xludf.DUMMYFUNCTION("IFERROR(GOOGLEFINANCE(B2384,""pe""),V2384)"),21.55)</f>
        <v>21.55</v>
      </c>
      <c r="X2384" s="12"/>
      <c r="Y2384" s="6">
        <v>4.2</v>
      </c>
      <c r="Z2384" s="6">
        <v>2</v>
      </c>
      <c r="AA2384" s="8">
        <v>45352</v>
      </c>
      <c r="AB2384" s="4">
        <v>0.09</v>
      </c>
      <c r="AC2384" s="6">
        <v>27.76</v>
      </c>
      <c r="AD2384" s="6">
        <v>33.369999999999997</v>
      </c>
      <c r="AE2384" s="1">
        <v>0</v>
      </c>
      <c r="AF2384" s="1">
        <f ca="1">IFERROR(__xludf.DUMMYFUNCTION("IFERROR(GOOGLEFINANCE(TRIM(F2384)&amp;"":"" &amp; TRIM(B2384),""high52""),AE2384)"),541)</f>
        <v>541</v>
      </c>
      <c r="AG2384" s="1">
        <v>0</v>
      </c>
      <c r="AH2384" s="1">
        <f ca="1">IFERROR(__xludf.DUMMYFUNCTION("IFERROR(GOOGLEFINANCE(TRIM(F2384)&amp;"":"" &amp; TRIM(B2384),""low52""),AE2384)"),311.55)</f>
        <v>311.55</v>
      </c>
      <c r="AI2384" s="1">
        <f ca="1">IFERROR(__xludf.DUMMYFUNCTION("IFERROR(GOOGLEFINANCE(B2384,""eps""),0)"),17.51)</f>
        <v>17.510000000000002</v>
      </c>
      <c r="AJ2384" s="1"/>
      <c r="AK2384" s="1" t="s">
        <v>7455</v>
      </c>
      <c r="AL2384" s="9">
        <f t="shared" si="245"/>
        <v>1</v>
      </c>
    </row>
    <row r="2385" spans="1:38" ht="15" x14ac:dyDescent="0.25">
      <c r="A2385" s="1" t="s">
        <v>7456</v>
      </c>
      <c r="B2385" s="1" t="s">
        <v>7457</v>
      </c>
      <c r="C2385" s="1" t="s">
        <v>163</v>
      </c>
      <c r="D2385" s="1" t="s">
        <v>163</v>
      </c>
      <c r="E2385" s="6">
        <v>30.87</v>
      </c>
      <c r="F2385" s="1" t="s">
        <v>53</v>
      </c>
      <c r="G2385" s="6">
        <f ca="1">IFERROR(__xludf.DUMMYFUNCTION("iferror(GOOGLEFINANCE(TRIM(F2385)&amp;"":"" &amp; TRIM(B2385), ""price""),0
)"),0)</f>
        <v>0</v>
      </c>
      <c r="H2385" s="6">
        <v>95.9</v>
      </c>
      <c r="I2385" s="6">
        <f t="shared" ca="1" si="0"/>
        <v>95.9</v>
      </c>
      <c r="J2385" s="6">
        <f ca="1">IFERROR(__xludf.DUMMYFUNCTION("IFERROR(GOOGLEFINANCE(B2385, ""volume""), 0)"),0)</f>
        <v>0</v>
      </c>
      <c r="K2385" s="6">
        <v>2</v>
      </c>
      <c r="L2385" s="6">
        <f ca="1">IFERROR(__xludf.DUMMYFUNCTION("IFERROR(GOOGLEFINANCE(B2385,""changepct""),K2385)"),2)</f>
        <v>2</v>
      </c>
      <c r="M2385" s="6">
        <f ca="1">IFERROR(__xludf.DUMMYFUNCTION("IFERROR(GOOGLEFINANCE(B2385,""change""),0)"),0)</f>
        <v>0</v>
      </c>
      <c r="N2385" s="6">
        <v>1</v>
      </c>
      <c r="O2385" s="7">
        <v>45536</v>
      </c>
      <c r="P2385" s="6">
        <v>6.66</v>
      </c>
      <c r="Q2385" s="6">
        <v>37.54</v>
      </c>
      <c r="R2385" s="7">
        <v>45536</v>
      </c>
      <c r="S2385" s="6">
        <v>23.39</v>
      </c>
      <c r="T2385" s="6">
        <v>0.86</v>
      </c>
      <c r="U2385" s="7">
        <v>45536</v>
      </c>
      <c r="V2385" s="6">
        <v>35.69</v>
      </c>
      <c r="W2385" s="6">
        <f ca="1">IFERROR(__xludf.DUMMYFUNCTION("IFERROR(GOOGLEFINANCE(B2385,""pe""),V2385)"),35.69)</f>
        <v>35.69</v>
      </c>
      <c r="X2385" s="6">
        <v>1.78</v>
      </c>
      <c r="Y2385" s="6">
        <v>2.82</v>
      </c>
      <c r="Z2385" s="6">
        <v>1</v>
      </c>
      <c r="AA2385" s="8">
        <v>45352</v>
      </c>
      <c r="AB2385" s="4">
        <v>0.45</v>
      </c>
      <c r="AC2385" s="6">
        <v>6.61</v>
      </c>
      <c r="AD2385" s="6">
        <v>11.1</v>
      </c>
      <c r="AE2385" s="1">
        <v>0</v>
      </c>
      <c r="AF2385" s="1">
        <f ca="1">IFERROR(__xludf.DUMMYFUNCTION("IFERROR(GOOGLEFINANCE(TRIM(F2385)&amp;"":"" &amp; TRIM(B2385),""high52""),AE2385)"),0)</f>
        <v>0</v>
      </c>
      <c r="AG2385" s="1">
        <v>0</v>
      </c>
      <c r="AH2385" s="1">
        <f ca="1">IFERROR(__xludf.DUMMYFUNCTION("IFERROR(GOOGLEFINANCE(TRIM(F2385)&amp;"":"" &amp; TRIM(B2385),""low52""),AE2385)"),0)</f>
        <v>0</v>
      </c>
      <c r="AI2385" s="1">
        <f ca="1">IFERROR(__xludf.DUMMYFUNCTION("IFERROR(GOOGLEFINANCE(B2385,""eps""),0)"),0)</f>
        <v>0</v>
      </c>
      <c r="AJ2385" s="1"/>
      <c r="AK2385" s="1" t="s">
        <v>7458</v>
      </c>
      <c r="AL2385" s="9">
        <f t="shared" si="245"/>
        <v>1</v>
      </c>
    </row>
    <row r="2386" spans="1:38" ht="15" x14ac:dyDescent="0.25">
      <c r="A2386" s="1" t="s">
        <v>7459</v>
      </c>
      <c r="B2386" s="1" t="s">
        <v>7460</v>
      </c>
      <c r="C2386" s="1" t="s">
        <v>163</v>
      </c>
      <c r="D2386" s="1" t="s">
        <v>163</v>
      </c>
      <c r="E2386" s="6">
        <v>15.34</v>
      </c>
      <c r="F2386" s="1" t="s">
        <v>53</v>
      </c>
      <c r="G2386" s="6">
        <f ca="1">IFERROR(__xludf.DUMMYFUNCTION("iferror(GOOGLEFINANCE(TRIM(F2386)&amp;"":"" &amp; TRIM(B2386), ""price""),0
)"),0)</f>
        <v>0</v>
      </c>
      <c r="H2386" s="6">
        <v>35.96</v>
      </c>
      <c r="I2386" s="6">
        <f t="shared" ca="1" si="0"/>
        <v>35.96</v>
      </c>
      <c r="J2386" s="6">
        <f ca="1">IFERROR(__xludf.DUMMYFUNCTION("IFERROR(GOOGLEFINANCE(B2386, ""volume""), 0)"),0)</f>
        <v>0</v>
      </c>
      <c r="K2386" s="12"/>
      <c r="L2386" s="6">
        <f ca="1">IFERROR(__xludf.DUMMYFUNCTION("IFERROR(GOOGLEFINANCE(B2386,""changepct""),K2386)"),0)</f>
        <v>0</v>
      </c>
      <c r="M2386" s="6">
        <f ca="1">IFERROR(__xludf.DUMMYFUNCTION("IFERROR(GOOGLEFINANCE(B2386,""change""),0)"),0)</f>
        <v>0</v>
      </c>
      <c r="N2386" s="6">
        <v>1</v>
      </c>
      <c r="O2386" s="7">
        <v>45536</v>
      </c>
      <c r="P2386" s="6">
        <v>9.35</v>
      </c>
      <c r="Q2386" s="6">
        <v>24.68</v>
      </c>
      <c r="R2386" s="7">
        <v>45536</v>
      </c>
      <c r="S2386" s="6">
        <v>28.69</v>
      </c>
      <c r="T2386" s="6">
        <v>-2.2000000000000002</v>
      </c>
      <c r="U2386" s="7">
        <v>45536</v>
      </c>
      <c r="V2386" s="6">
        <v>0</v>
      </c>
      <c r="W2386" s="6">
        <f ca="1">IFERROR(__xludf.DUMMYFUNCTION("IFERROR(GOOGLEFINANCE(B2386,""pe""),V2386)"),0)</f>
        <v>0</v>
      </c>
      <c r="X2386" s="9"/>
      <c r="Y2386" s="6">
        <v>12.62</v>
      </c>
      <c r="Z2386" s="6">
        <v>1</v>
      </c>
      <c r="AA2386" s="8">
        <v>45352</v>
      </c>
      <c r="AB2386" s="4">
        <v>6.05</v>
      </c>
      <c r="AC2386" s="6">
        <v>-68.459999999999994</v>
      </c>
      <c r="AD2386" s="6">
        <v>-6.61</v>
      </c>
      <c r="AE2386" s="1">
        <v>0</v>
      </c>
      <c r="AF2386" s="1">
        <f ca="1">IFERROR(__xludf.DUMMYFUNCTION("IFERROR(GOOGLEFINANCE(TRIM(F2386)&amp;"":"" &amp; TRIM(B2386),""high52""),AE2386)"),0)</f>
        <v>0</v>
      </c>
      <c r="AG2386" s="1">
        <v>0</v>
      </c>
      <c r="AH2386" s="1">
        <f ca="1">IFERROR(__xludf.DUMMYFUNCTION("IFERROR(GOOGLEFINANCE(TRIM(F2386)&amp;"":"" &amp; TRIM(B2386),""low52""),AE2386)"),0)</f>
        <v>0</v>
      </c>
      <c r="AI2386" s="1">
        <f ca="1">IFERROR(__xludf.DUMMYFUNCTION("IFERROR(GOOGLEFINANCE(B2386,""eps""),0)"),0)</f>
        <v>0</v>
      </c>
      <c r="AJ2386" s="1"/>
      <c r="AK2386" s="1" t="s">
        <v>7461</v>
      </c>
      <c r="AL2386" s="9">
        <f t="shared" si="245"/>
        <v>1</v>
      </c>
    </row>
    <row r="2387" spans="1:38" ht="15" x14ac:dyDescent="0.25">
      <c r="A2387" s="1" t="s">
        <v>7462</v>
      </c>
      <c r="B2387" s="1" t="s">
        <v>7463</v>
      </c>
      <c r="C2387" s="1" t="s">
        <v>163</v>
      </c>
      <c r="D2387" s="1" t="s">
        <v>163</v>
      </c>
      <c r="E2387" s="6">
        <v>48.49</v>
      </c>
      <c r="F2387" s="1" t="s">
        <v>53</v>
      </c>
      <c r="G2387" s="6">
        <f ca="1">IFERROR(__xludf.DUMMYFUNCTION("iferror(GOOGLEFINANCE(TRIM(F2387)&amp;"":"" &amp; TRIM(B2387), ""price""),0
)"),0)</f>
        <v>0</v>
      </c>
      <c r="H2387" s="6">
        <v>24.3</v>
      </c>
      <c r="I2387" s="6">
        <f t="shared" ca="1" si="0"/>
        <v>24.3</v>
      </c>
      <c r="J2387" s="6">
        <f ca="1">IFERROR(__xludf.DUMMYFUNCTION("IFERROR(GOOGLEFINANCE(B2387, ""volume""), 0)"),0)</f>
        <v>0</v>
      </c>
      <c r="K2387" s="6">
        <v>1.8</v>
      </c>
      <c r="L2387" s="6">
        <f ca="1">IFERROR(__xludf.DUMMYFUNCTION("IFERROR(GOOGLEFINANCE(B2387,""changepct""),K2387)"),1.8)</f>
        <v>1.8</v>
      </c>
      <c r="M2387" s="6">
        <f ca="1">IFERROR(__xludf.DUMMYFUNCTION("IFERROR(GOOGLEFINANCE(B2387,""change""),0)"),0)</f>
        <v>0</v>
      </c>
      <c r="N2387" s="6">
        <v>2</v>
      </c>
      <c r="O2387" s="7">
        <v>45536</v>
      </c>
      <c r="P2387" s="6">
        <v>2.88</v>
      </c>
      <c r="Q2387" s="6">
        <v>51.36</v>
      </c>
      <c r="R2387" s="7">
        <v>45536</v>
      </c>
      <c r="S2387" s="6">
        <v>12.55</v>
      </c>
      <c r="T2387" s="6">
        <v>2.2400000000000002</v>
      </c>
      <c r="U2387" s="7">
        <v>45536</v>
      </c>
      <c r="V2387" s="6">
        <v>21.53</v>
      </c>
      <c r="W2387" s="6">
        <f ca="1">IFERROR(__xludf.DUMMYFUNCTION("IFERROR(GOOGLEFINANCE(B2387,""pe""),V2387)"),21.53)</f>
        <v>21.53</v>
      </c>
      <c r="X2387" s="6">
        <v>-2.13</v>
      </c>
      <c r="Y2387" s="6">
        <v>1.96</v>
      </c>
      <c r="Z2387" s="6">
        <v>2</v>
      </c>
      <c r="AA2387" s="8">
        <v>45352</v>
      </c>
      <c r="AB2387" s="4">
        <v>0.2</v>
      </c>
      <c r="AC2387" s="6">
        <v>7.78</v>
      </c>
      <c r="AD2387" s="6">
        <v>10.76</v>
      </c>
      <c r="AE2387" s="1">
        <v>0</v>
      </c>
      <c r="AF2387" s="1">
        <f ca="1">IFERROR(__xludf.DUMMYFUNCTION("IFERROR(GOOGLEFINANCE(TRIM(F2387)&amp;"":"" &amp; TRIM(B2387),""high52""),AE2387)"),0)</f>
        <v>0</v>
      </c>
      <c r="AG2387" s="1">
        <v>0</v>
      </c>
      <c r="AH2387" s="1">
        <f ca="1">IFERROR(__xludf.DUMMYFUNCTION("IFERROR(GOOGLEFINANCE(TRIM(F2387)&amp;"":"" &amp; TRIM(B2387),""low52""),AE2387)"),0)</f>
        <v>0</v>
      </c>
      <c r="AI2387" s="1">
        <f ca="1">IFERROR(__xludf.DUMMYFUNCTION("IFERROR(GOOGLEFINANCE(B2387,""eps""),0)"),0)</f>
        <v>0</v>
      </c>
      <c r="AJ2387" s="1"/>
      <c r="AK2387" s="1" t="s">
        <v>7464</v>
      </c>
      <c r="AL2387" s="9">
        <f t="shared" si="245"/>
        <v>1</v>
      </c>
    </row>
    <row r="2388" spans="1:38" ht="15" x14ac:dyDescent="0.25">
      <c r="A2388" s="1" t="s">
        <v>7465</v>
      </c>
      <c r="B2388" s="1" t="s">
        <v>7466</v>
      </c>
      <c r="C2388" s="1" t="s">
        <v>219</v>
      </c>
      <c r="D2388" s="1" t="s">
        <v>219</v>
      </c>
      <c r="E2388" s="6">
        <v>2113.2800000000002</v>
      </c>
      <c r="F2388" s="1" t="s">
        <v>40</v>
      </c>
      <c r="G2388" s="6">
        <f ca="1">IFERROR(__xludf.DUMMYFUNCTION("iferror(GOOGLEFINANCE(TRIM(F2388)&amp;"":"" &amp; TRIM(B2388), ""price""),0
)"),314.85)</f>
        <v>314.85000000000002</v>
      </c>
      <c r="H2388" s="6">
        <v>330.55</v>
      </c>
      <c r="I2388" s="6">
        <f t="shared" ca="1" si="0"/>
        <v>314.85000000000002</v>
      </c>
      <c r="J2388" s="6">
        <f ca="1">IFERROR(__xludf.DUMMYFUNCTION("IFERROR(GOOGLEFINANCE(B2388, ""volume""), 0)"),329719)</f>
        <v>329719</v>
      </c>
      <c r="K2388" s="6">
        <v>1.04</v>
      </c>
      <c r="L2388" s="6">
        <f ca="1">IFERROR(__xludf.DUMMYFUNCTION("IFERROR(GOOGLEFINANCE(B2388,""changepct""),K2388)"),-1.66)</f>
        <v>-1.66</v>
      </c>
      <c r="M2388" s="6">
        <f ca="1">IFERROR(__xludf.DUMMYFUNCTION("IFERROR(GOOGLEFINANCE(B2388,""change""),0)"),-5.3)</f>
        <v>-5.3</v>
      </c>
      <c r="N2388" s="6">
        <v>2</v>
      </c>
      <c r="O2388" s="7">
        <v>45536</v>
      </c>
      <c r="P2388" s="6">
        <v>200.36</v>
      </c>
      <c r="Q2388" s="6">
        <v>2016.91</v>
      </c>
      <c r="R2388" s="7">
        <v>45536</v>
      </c>
      <c r="S2388" s="6">
        <v>3198.63</v>
      </c>
      <c r="T2388" s="6">
        <v>105.64</v>
      </c>
      <c r="U2388" s="7">
        <v>45536</v>
      </c>
      <c r="V2388" s="6">
        <v>20</v>
      </c>
      <c r="W2388" s="6">
        <f ca="1">IFERROR(__xludf.DUMMYFUNCTION("IFERROR(GOOGLEFINANCE(B2388,""pe""),V2388)"),13.18)</f>
        <v>13.18</v>
      </c>
      <c r="X2388" s="6">
        <v>1.63</v>
      </c>
      <c r="Y2388" s="6">
        <v>1.45</v>
      </c>
      <c r="Z2388" s="6">
        <v>2</v>
      </c>
      <c r="AA2388" s="8">
        <v>45352</v>
      </c>
      <c r="AB2388" s="4">
        <v>0.22</v>
      </c>
      <c r="AC2388" s="6">
        <v>8.33</v>
      </c>
      <c r="AD2388" s="6">
        <v>14.78</v>
      </c>
      <c r="AE2388" s="1">
        <v>0</v>
      </c>
      <c r="AF2388" s="1">
        <f ca="1">IFERROR(__xludf.DUMMYFUNCTION("IFERROR(GOOGLEFINANCE(TRIM(F2388)&amp;"":"" &amp; TRIM(B2388),""high52""),AE2388)"),491)</f>
        <v>491</v>
      </c>
      <c r="AG2388" s="1">
        <v>0</v>
      </c>
      <c r="AH2388" s="1">
        <f ca="1">IFERROR(__xludf.DUMMYFUNCTION("IFERROR(GOOGLEFINANCE(TRIM(F2388)&amp;"":"" &amp; TRIM(B2388),""low52""),AE2388)"),201.55)</f>
        <v>201.55</v>
      </c>
      <c r="AI2388" s="1">
        <f ca="1">IFERROR(__xludf.DUMMYFUNCTION("IFERROR(GOOGLEFINANCE(B2388,""eps""),0)"),23.89)</f>
        <v>23.89</v>
      </c>
      <c r="AJ2388" s="1"/>
      <c r="AK2388" s="9"/>
      <c r="AL2388" s="9">
        <f t="shared" si="245"/>
        <v>1</v>
      </c>
    </row>
    <row r="2389" spans="1:38" ht="15" x14ac:dyDescent="0.25">
      <c r="A2389" s="1" t="s">
        <v>7467</v>
      </c>
      <c r="B2389" s="1" t="s">
        <v>7468</v>
      </c>
      <c r="C2389" s="1" t="s">
        <v>163</v>
      </c>
      <c r="D2389" s="1" t="s">
        <v>163</v>
      </c>
      <c r="E2389" s="6">
        <v>41.98</v>
      </c>
      <c r="F2389" s="1" t="s">
        <v>53</v>
      </c>
      <c r="G2389" s="6">
        <f ca="1">IFERROR(__xludf.DUMMYFUNCTION("iferror(GOOGLEFINANCE(TRIM(F2389)&amp;"":"" &amp; TRIM(B2389), ""price""),0
)"),0)</f>
        <v>0</v>
      </c>
      <c r="H2389" s="6">
        <v>5.27</v>
      </c>
      <c r="I2389" s="6">
        <f t="shared" ca="1" si="0"/>
        <v>5.27</v>
      </c>
      <c r="J2389" s="6">
        <f ca="1">IFERROR(__xludf.DUMMYFUNCTION("IFERROR(GOOGLEFINANCE(B2389, ""volume""), 0)"),0)</f>
        <v>0</v>
      </c>
      <c r="K2389" s="6">
        <v>-4.87</v>
      </c>
      <c r="L2389" s="6">
        <f ca="1">IFERROR(__xludf.DUMMYFUNCTION("IFERROR(GOOGLEFINANCE(B2389,""changepct""),K2389)"),-4.87)</f>
        <v>-4.87</v>
      </c>
      <c r="M2389" s="6">
        <f ca="1">IFERROR(__xludf.DUMMYFUNCTION("IFERROR(GOOGLEFINANCE(B2389,""change""),0)"),0)</f>
        <v>0</v>
      </c>
      <c r="N2389" s="6">
        <v>2</v>
      </c>
      <c r="O2389" s="7">
        <v>45536</v>
      </c>
      <c r="P2389" s="6">
        <v>13.96</v>
      </c>
      <c r="Q2389" s="6">
        <v>55.92</v>
      </c>
      <c r="R2389" s="7">
        <v>45536</v>
      </c>
      <c r="S2389" s="6">
        <v>0.2</v>
      </c>
      <c r="T2389" s="6">
        <v>-0.26</v>
      </c>
      <c r="U2389" s="7">
        <v>45536</v>
      </c>
      <c r="V2389" s="6">
        <v>0</v>
      </c>
      <c r="W2389" s="6">
        <f ca="1">IFERROR(__xludf.DUMMYFUNCTION("IFERROR(GOOGLEFINANCE(B2389,""pe""),V2389)"),0)</f>
        <v>0</v>
      </c>
      <c r="X2389" s="6">
        <v>0</v>
      </c>
      <c r="Y2389" s="6">
        <v>3.87</v>
      </c>
      <c r="Z2389" s="6">
        <v>2</v>
      </c>
      <c r="AA2389" s="8">
        <v>45352</v>
      </c>
      <c r="AB2389" s="4">
        <v>1.31</v>
      </c>
      <c r="AC2389" s="6">
        <v>-5.94</v>
      </c>
      <c r="AD2389" s="6">
        <v>-2.1</v>
      </c>
      <c r="AE2389" s="1">
        <v>0</v>
      </c>
      <c r="AF2389" s="1">
        <f ca="1">IFERROR(__xludf.DUMMYFUNCTION("IFERROR(GOOGLEFINANCE(TRIM(F2389)&amp;"":"" &amp; TRIM(B2389),""high52""),AE2389)"),0)</f>
        <v>0</v>
      </c>
      <c r="AG2389" s="1">
        <v>0</v>
      </c>
      <c r="AH2389" s="1">
        <f ca="1">IFERROR(__xludf.DUMMYFUNCTION("IFERROR(GOOGLEFINANCE(TRIM(F2389)&amp;"":"" &amp; TRIM(B2389),""low52""),AE2389)"),0)</f>
        <v>0</v>
      </c>
      <c r="AI2389" s="1">
        <f ca="1">IFERROR(__xludf.DUMMYFUNCTION("IFERROR(GOOGLEFINANCE(B2389,""eps""),0)"),0)</f>
        <v>0</v>
      </c>
      <c r="AJ2389" s="1"/>
      <c r="AK2389" s="1" t="s">
        <v>7469</v>
      </c>
      <c r="AL2389" s="9">
        <f t="shared" si="245"/>
        <v>1</v>
      </c>
    </row>
    <row r="2390" spans="1:38" ht="15" x14ac:dyDescent="0.25">
      <c r="A2390" s="1" t="s">
        <v>7470</v>
      </c>
      <c r="B2390" s="1" t="s">
        <v>7471</v>
      </c>
      <c r="C2390" s="1" t="s">
        <v>86</v>
      </c>
      <c r="D2390" s="1" t="s">
        <v>86</v>
      </c>
      <c r="E2390" s="6">
        <v>9451.67</v>
      </c>
      <c r="F2390" s="1" t="s">
        <v>40</v>
      </c>
      <c r="G2390" s="6">
        <f ca="1">IFERROR(__xludf.DUMMYFUNCTION("iferror(GOOGLEFINANCE(TRIM(F2390)&amp;"":"" &amp; TRIM(B2390), ""price""),0
)"),107.35)</f>
        <v>107.35</v>
      </c>
      <c r="H2390" s="6">
        <v>252.35</v>
      </c>
      <c r="I2390" s="6">
        <f t="shared" ca="1" si="0"/>
        <v>107.35</v>
      </c>
      <c r="J2390" s="6">
        <f ca="1">IFERROR(__xludf.DUMMYFUNCTION("IFERROR(GOOGLEFINANCE(B2390, ""volume""), 0)"),300292)</f>
        <v>300292</v>
      </c>
      <c r="K2390" s="6">
        <v>0.34</v>
      </c>
      <c r="L2390" s="6">
        <f ca="1">IFERROR(__xludf.DUMMYFUNCTION("IFERROR(GOOGLEFINANCE(B2390,""changepct""),K2390)"),1.57)</f>
        <v>1.57</v>
      </c>
      <c r="M2390" s="6">
        <f ca="1">IFERROR(__xludf.DUMMYFUNCTION("IFERROR(GOOGLEFINANCE(B2390,""change""),0)"),1.66)</f>
        <v>1.66</v>
      </c>
      <c r="N2390" s="6">
        <v>2</v>
      </c>
      <c r="O2390" s="7">
        <v>45536</v>
      </c>
      <c r="P2390" s="6">
        <v>18.399999999999999</v>
      </c>
      <c r="Q2390" s="6">
        <v>9017.83</v>
      </c>
      <c r="R2390" s="7">
        <v>45536</v>
      </c>
      <c r="S2390" s="6">
        <v>1110.44</v>
      </c>
      <c r="T2390" s="6">
        <v>245.44</v>
      </c>
      <c r="U2390" s="7">
        <v>45536</v>
      </c>
      <c r="V2390" s="6">
        <v>34.96</v>
      </c>
      <c r="W2390" s="6">
        <f ca="1">IFERROR(__xludf.DUMMYFUNCTION("IFERROR(GOOGLEFINANCE(B2390,""pe""),V2390)"),15.2)</f>
        <v>15.2</v>
      </c>
      <c r="X2390" s="6">
        <v>0.72</v>
      </c>
      <c r="Y2390" s="6">
        <v>5.8</v>
      </c>
      <c r="Z2390" s="6">
        <v>2</v>
      </c>
      <c r="AA2390" s="8">
        <v>45352</v>
      </c>
      <c r="AB2390" s="4">
        <v>0.1</v>
      </c>
      <c r="AC2390" s="6">
        <v>25.1</v>
      </c>
      <c r="AD2390" s="6">
        <v>29.93</v>
      </c>
      <c r="AE2390" s="1">
        <v>0</v>
      </c>
      <c r="AF2390" s="1">
        <f ca="1">IFERROR(__xludf.DUMMYFUNCTION("IFERROR(GOOGLEFINANCE(TRIM(F2390)&amp;"":"" &amp; TRIM(B2390),""high52""),AE2390)"),203)</f>
        <v>203</v>
      </c>
      <c r="AG2390" s="1">
        <v>0</v>
      </c>
      <c r="AH2390" s="1">
        <f ca="1">IFERROR(__xludf.DUMMYFUNCTION("IFERROR(GOOGLEFINANCE(TRIM(F2390)&amp;"":"" &amp; TRIM(B2390),""low52""),AE2390)"),99)</f>
        <v>99</v>
      </c>
      <c r="AI2390" s="1">
        <f ca="1">IFERROR(__xludf.DUMMYFUNCTION("IFERROR(GOOGLEFINANCE(B2390,""eps""),0)"),7.06)</f>
        <v>7.06</v>
      </c>
      <c r="AJ2390" s="1"/>
      <c r="AK2390" s="1" t="s">
        <v>7472</v>
      </c>
      <c r="AL2390" s="9">
        <f t="shared" si="245"/>
        <v>1</v>
      </c>
    </row>
    <row r="2391" spans="1:38" ht="15" x14ac:dyDescent="0.25">
      <c r="A2391" s="1" t="s">
        <v>7473</v>
      </c>
      <c r="B2391" s="1" t="s">
        <v>7474</v>
      </c>
      <c r="C2391" s="1" t="s">
        <v>264</v>
      </c>
      <c r="D2391" s="1" t="s">
        <v>264</v>
      </c>
      <c r="E2391" s="6">
        <v>197.39</v>
      </c>
      <c r="F2391" s="1" t="s">
        <v>40</v>
      </c>
      <c r="G2391" s="6">
        <f ca="1">IFERROR(__xludf.DUMMYFUNCTION("iferror(GOOGLEFINANCE(TRIM(F2391)&amp;"":"" &amp; TRIM(B2391), ""price""),0
)"),38.88)</f>
        <v>38.880000000000003</v>
      </c>
      <c r="H2391" s="6">
        <v>32.200000000000003</v>
      </c>
      <c r="I2391" s="6">
        <f t="shared" ca="1" si="0"/>
        <v>38.880000000000003</v>
      </c>
      <c r="J2391" s="6">
        <f ca="1">IFERROR(__xludf.DUMMYFUNCTION("IFERROR(GOOGLEFINANCE(B2391, ""volume""), 0)"),311341)</f>
        <v>311341</v>
      </c>
      <c r="K2391" s="6">
        <v>6.8</v>
      </c>
      <c r="L2391" s="6">
        <f ca="1">IFERROR(__xludf.DUMMYFUNCTION("IFERROR(GOOGLEFINANCE(B2391,""changepct""),K2391)"),-4.99)</f>
        <v>-4.99</v>
      </c>
      <c r="M2391" s="6">
        <f ca="1">IFERROR(__xludf.DUMMYFUNCTION("IFERROR(GOOGLEFINANCE(B2391,""change""),0)"),-2.04)</f>
        <v>-2.04</v>
      </c>
      <c r="N2391" s="6">
        <v>1</v>
      </c>
      <c r="O2391" s="7">
        <v>45536</v>
      </c>
      <c r="P2391" s="6">
        <v>213.36</v>
      </c>
      <c r="Q2391" s="6">
        <v>400.94</v>
      </c>
      <c r="R2391" s="7">
        <v>45536</v>
      </c>
      <c r="S2391" s="6">
        <v>453.52</v>
      </c>
      <c r="T2391" s="6">
        <v>5.2</v>
      </c>
      <c r="U2391" s="7">
        <v>45536</v>
      </c>
      <c r="V2391" s="6">
        <v>37.96</v>
      </c>
      <c r="W2391" s="6">
        <f ca="1">IFERROR(__xludf.DUMMYFUNCTION("IFERROR(GOOGLEFINANCE(B2391,""pe""),V2391)"),40.44)</f>
        <v>40.44</v>
      </c>
      <c r="X2391" s="6">
        <v>-5.39</v>
      </c>
      <c r="Y2391" s="6">
        <v>1.5</v>
      </c>
      <c r="Z2391" s="6">
        <v>1</v>
      </c>
      <c r="AA2391" s="8">
        <v>45352</v>
      </c>
      <c r="AB2391" s="4">
        <v>1.33</v>
      </c>
      <c r="AC2391" s="6">
        <v>3.99</v>
      </c>
      <c r="AD2391" s="6">
        <v>9.85</v>
      </c>
      <c r="AE2391" s="1">
        <v>0</v>
      </c>
      <c r="AF2391" s="1">
        <f ca="1">IFERROR(__xludf.DUMMYFUNCTION("IFERROR(GOOGLEFINANCE(TRIM(F2391)&amp;"":"" &amp; TRIM(B2391),""high52""),AE2391)"),68.12)</f>
        <v>68.12</v>
      </c>
      <c r="AG2391" s="1">
        <v>0</v>
      </c>
      <c r="AH2391" s="1">
        <f ca="1">IFERROR(__xludf.DUMMYFUNCTION("IFERROR(GOOGLEFINANCE(TRIM(F2391)&amp;"":"" &amp; TRIM(B2391),""low52""),AE2391)"),17.81)</f>
        <v>17.809999999999999</v>
      </c>
      <c r="AI2391" s="1">
        <f ca="1">IFERROR(__xludf.DUMMYFUNCTION("IFERROR(GOOGLEFINANCE(B2391,""eps""),0)"),0.96)</f>
        <v>0.96</v>
      </c>
      <c r="AJ2391" s="1"/>
      <c r="AK2391" s="1" t="s">
        <v>7475</v>
      </c>
      <c r="AL2391" s="1" t="b">
        <f>ISNUMBER(AA2391)</f>
        <v>1</v>
      </c>
    </row>
    <row r="2392" spans="1:38" ht="15" x14ac:dyDescent="0.25">
      <c r="A2392" s="1" t="s">
        <v>7476</v>
      </c>
      <c r="B2392" s="1" t="s">
        <v>7477</v>
      </c>
      <c r="C2392" s="1" t="s">
        <v>219</v>
      </c>
      <c r="D2392" s="1" t="s">
        <v>219</v>
      </c>
      <c r="E2392" s="6">
        <v>865.23</v>
      </c>
      <c r="F2392" s="1" t="s">
        <v>40</v>
      </c>
      <c r="G2392" s="6">
        <f ca="1">IFERROR(__xludf.DUMMYFUNCTION("iferror(GOOGLEFINANCE(TRIM(F2392)&amp;"":"" &amp; TRIM(B2392), ""price""),0
)"),116.6)</f>
        <v>116.6</v>
      </c>
      <c r="H2392" s="6">
        <v>113.18</v>
      </c>
      <c r="I2392" s="6">
        <f t="shared" ca="1" si="0"/>
        <v>116.6</v>
      </c>
      <c r="J2392" s="6">
        <f ca="1">IFERROR(__xludf.DUMMYFUNCTION("IFERROR(GOOGLEFINANCE(B2392, ""volume""), 0)"),310323)</f>
        <v>310323</v>
      </c>
      <c r="K2392" s="6">
        <v>-1.99</v>
      </c>
      <c r="L2392" s="6">
        <f ca="1">IFERROR(__xludf.DUMMYFUNCTION("IFERROR(GOOGLEFINANCE(B2392,""changepct""),K2392)"),-6.08)</f>
        <v>-6.08</v>
      </c>
      <c r="M2392" s="6">
        <f ca="1">IFERROR(__xludf.DUMMYFUNCTION("IFERROR(GOOGLEFINANCE(B2392,""change""),0)"),-7.55)</f>
        <v>-7.55</v>
      </c>
      <c r="N2392" s="6">
        <v>2</v>
      </c>
      <c r="O2392" s="7">
        <v>45536</v>
      </c>
      <c r="P2392" s="6">
        <v>196.99</v>
      </c>
      <c r="Q2392" s="6">
        <v>1046.26</v>
      </c>
      <c r="R2392" s="7">
        <v>45536</v>
      </c>
      <c r="S2392" s="6">
        <v>742.11</v>
      </c>
      <c r="T2392" s="6">
        <v>14.45</v>
      </c>
      <c r="U2392" s="7">
        <v>45536</v>
      </c>
      <c r="V2392" s="6">
        <v>59.87</v>
      </c>
      <c r="W2392" s="6">
        <f ca="1">IFERROR(__xludf.DUMMYFUNCTION("IFERROR(GOOGLEFINANCE(B2392,""pe""),V2392)"),27.3)</f>
        <v>27.3</v>
      </c>
      <c r="X2392" s="6">
        <v>0.62</v>
      </c>
      <c r="Y2392" s="6">
        <v>5.5</v>
      </c>
      <c r="Z2392" s="6">
        <v>2</v>
      </c>
      <c r="AA2392" s="8">
        <v>45352</v>
      </c>
      <c r="AB2392" s="4">
        <v>1.22</v>
      </c>
      <c r="AC2392" s="6">
        <v>8.4700000000000006</v>
      </c>
      <c r="AD2392" s="6">
        <v>14.91</v>
      </c>
      <c r="AE2392" s="1">
        <v>0</v>
      </c>
      <c r="AF2392" s="1">
        <f ca="1">IFERROR(__xludf.DUMMYFUNCTION("IFERROR(GOOGLEFINANCE(TRIM(F2392)&amp;"":"" &amp; TRIM(B2392),""high52""),AE2392)"),182.82)</f>
        <v>182.82</v>
      </c>
      <c r="AG2392" s="1">
        <v>0</v>
      </c>
      <c r="AH2392" s="1">
        <f ca="1">IFERROR(__xludf.DUMMYFUNCTION("IFERROR(GOOGLEFINANCE(TRIM(F2392)&amp;"":"" &amp; TRIM(B2392),""low52""),AE2392)"),72.2)</f>
        <v>72.2</v>
      </c>
      <c r="AI2392" s="1">
        <f ca="1">IFERROR(__xludf.DUMMYFUNCTION("IFERROR(GOOGLEFINANCE(B2392,""eps""),0)"),4.27)</f>
        <v>4.2699999999999996</v>
      </c>
      <c r="AJ2392" s="1"/>
      <c r="AK2392" s="1" t="s">
        <v>7478</v>
      </c>
      <c r="AL2392" s="9">
        <f t="shared" ref="AL2392:AL2404" si="246">IF(AA2392&lt;&gt;AB2392,1,0)</f>
        <v>1</v>
      </c>
    </row>
    <row r="2393" spans="1:38" ht="15" x14ac:dyDescent="0.25">
      <c r="A2393" s="1" t="s">
        <v>7479</v>
      </c>
      <c r="B2393" s="1" t="s">
        <v>7480</v>
      </c>
      <c r="C2393" s="1" t="s">
        <v>163</v>
      </c>
      <c r="D2393" s="1" t="s">
        <v>163</v>
      </c>
      <c r="E2393" s="6">
        <v>13.76</v>
      </c>
      <c r="F2393" s="1" t="s">
        <v>53</v>
      </c>
      <c r="G2393" s="6">
        <f ca="1">IFERROR(__xludf.DUMMYFUNCTION("iferror(GOOGLEFINANCE(TRIM(F2393)&amp;"":"" &amp; TRIM(B2393), ""price""),0
)"),0)</f>
        <v>0</v>
      </c>
      <c r="H2393" s="6">
        <v>23.53</v>
      </c>
      <c r="I2393" s="6">
        <f t="shared" ca="1" si="0"/>
        <v>23.53</v>
      </c>
      <c r="J2393" s="6">
        <f ca="1">IFERROR(__xludf.DUMMYFUNCTION("IFERROR(GOOGLEFINANCE(B2393, ""volume""), 0)"),0)</f>
        <v>0</v>
      </c>
      <c r="K2393" s="6">
        <v>3.84</v>
      </c>
      <c r="L2393" s="6">
        <f ca="1">IFERROR(__xludf.DUMMYFUNCTION("IFERROR(GOOGLEFINANCE(B2393,""changepct""),K2393)"),3.84)</f>
        <v>3.84</v>
      </c>
      <c r="M2393" s="6">
        <f ca="1">IFERROR(__xludf.DUMMYFUNCTION("IFERROR(GOOGLEFINANCE(B2393,""change""),0)"),0)</f>
        <v>0</v>
      </c>
      <c r="N2393" s="6">
        <v>1</v>
      </c>
      <c r="O2393" s="7">
        <v>45536</v>
      </c>
      <c r="P2393" s="9"/>
      <c r="Q2393" s="6">
        <v>13.76</v>
      </c>
      <c r="R2393" s="14"/>
      <c r="S2393" s="9"/>
      <c r="T2393" s="9"/>
      <c r="U2393" s="7">
        <v>45352</v>
      </c>
      <c r="V2393" s="6">
        <v>19.72</v>
      </c>
      <c r="W2393" s="6">
        <f ca="1">IFERROR(__xludf.DUMMYFUNCTION("IFERROR(GOOGLEFINANCE(B2393,""pe""),V2393)"),19.72)</f>
        <v>19.72</v>
      </c>
      <c r="X2393" s="9"/>
      <c r="Y2393" s="6">
        <v>1.46</v>
      </c>
      <c r="Z2393" s="6">
        <v>1</v>
      </c>
      <c r="AA2393" s="8">
        <v>45352</v>
      </c>
      <c r="AB2393" s="4">
        <v>0</v>
      </c>
      <c r="AC2393" s="6">
        <v>12.96</v>
      </c>
      <c r="AD2393" s="6">
        <v>17.37</v>
      </c>
      <c r="AE2393" s="1">
        <v>0</v>
      </c>
      <c r="AF2393" s="1">
        <f ca="1">IFERROR(__xludf.DUMMYFUNCTION("IFERROR(GOOGLEFINANCE(TRIM(F2393)&amp;"":"" &amp; TRIM(B2393),""high52""),AE2393)"),0)</f>
        <v>0</v>
      </c>
      <c r="AG2393" s="1">
        <v>0</v>
      </c>
      <c r="AH2393" s="1">
        <f ca="1">IFERROR(__xludf.DUMMYFUNCTION("IFERROR(GOOGLEFINANCE(TRIM(F2393)&amp;"":"" &amp; TRIM(B2393),""low52""),AE2393)"),0)</f>
        <v>0</v>
      </c>
      <c r="AI2393" s="1">
        <f ca="1">IFERROR(__xludf.DUMMYFUNCTION("IFERROR(GOOGLEFINANCE(B2393,""eps""),0)"),0)</f>
        <v>0</v>
      </c>
      <c r="AJ2393" s="1"/>
      <c r="AK2393" s="1" t="s">
        <v>7481</v>
      </c>
      <c r="AL2393" s="9">
        <f t="shared" si="246"/>
        <v>1</v>
      </c>
    </row>
    <row r="2394" spans="1:38" ht="15" x14ac:dyDescent="0.25">
      <c r="A2394" s="1" t="s">
        <v>7482</v>
      </c>
      <c r="B2394" s="1" t="s">
        <v>7483</v>
      </c>
      <c r="C2394" s="1" t="s">
        <v>163</v>
      </c>
      <c r="D2394" s="1" t="s">
        <v>163</v>
      </c>
      <c r="E2394" s="6">
        <v>16.43</v>
      </c>
      <c r="F2394" s="1" t="s">
        <v>53</v>
      </c>
      <c r="G2394" s="6">
        <f ca="1">IFERROR(__xludf.DUMMYFUNCTION("iferror(GOOGLEFINANCE(TRIM(F2394)&amp;"":"" &amp; TRIM(B2394), ""price""),0
)"),0)</f>
        <v>0</v>
      </c>
      <c r="H2394" s="6">
        <v>72</v>
      </c>
      <c r="I2394" s="6">
        <f t="shared" ca="1" si="0"/>
        <v>72</v>
      </c>
      <c r="J2394" s="6">
        <f ca="1">IFERROR(__xludf.DUMMYFUNCTION("IFERROR(GOOGLEFINANCE(B2394, ""volume""), 0)"),0)</f>
        <v>0</v>
      </c>
      <c r="K2394" s="9"/>
      <c r="L2394" s="6" t="str">
        <f ca="1">IFERROR(__xludf.DUMMYFUNCTION("IFERROR(GOOGLEFINANCE(B2394,""changepct""),K2394)"),"")</f>
        <v/>
      </c>
      <c r="M2394" s="6">
        <f ca="1">IFERROR(__xludf.DUMMYFUNCTION("IFERROR(GOOGLEFINANCE(B2394,""change""),0)"),0)</f>
        <v>0</v>
      </c>
      <c r="N2394" s="6">
        <v>1</v>
      </c>
      <c r="O2394" s="7">
        <v>45536</v>
      </c>
      <c r="P2394" s="6">
        <v>0.01</v>
      </c>
      <c r="Q2394" s="6">
        <v>16.45</v>
      </c>
      <c r="R2394" s="14"/>
      <c r="S2394" s="9"/>
      <c r="T2394" s="9"/>
      <c r="U2394" s="7">
        <v>45352</v>
      </c>
      <c r="V2394" s="6">
        <v>44.27</v>
      </c>
      <c r="W2394" s="6">
        <f ca="1">IFERROR(__xludf.DUMMYFUNCTION("IFERROR(GOOGLEFINANCE(B2394,""pe""),V2394)"),44.27)</f>
        <v>44.27</v>
      </c>
      <c r="X2394" s="9"/>
      <c r="Y2394" s="6">
        <v>1.76</v>
      </c>
      <c r="Z2394" s="6">
        <v>1</v>
      </c>
      <c r="AA2394" s="8">
        <v>45352</v>
      </c>
      <c r="AB2394" s="4">
        <v>0.24</v>
      </c>
      <c r="AC2394" s="6">
        <v>12.52</v>
      </c>
      <c r="AD2394" s="6">
        <v>15.31</v>
      </c>
      <c r="AE2394" s="1">
        <v>0</v>
      </c>
      <c r="AF2394" s="1">
        <f ca="1">IFERROR(__xludf.DUMMYFUNCTION("IFERROR(GOOGLEFINANCE(TRIM(F2394)&amp;"":"" &amp; TRIM(B2394),""high52""),AE2394)"),0)</f>
        <v>0</v>
      </c>
      <c r="AG2394" s="1">
        <v>0</v>
      </c>
      <c r="AH2394" s="1">
        <f ca="1">IFERROR(__xludf.DUMMYFUNCTION("IFERROR(GOOGLEFINANCE(TRIM(F2394)&amp;"":"" &amp; TRIM(B2394),""low52""),AE2394)"),0)</f>
        <v>0</v>
      </c>
      <c r="AI2394" s="1">
        <f ca="1">IFERROR(__xludf.DUMMYFUNCTION("IFERROR(GOOGLEFINANCE(B2394,""eps""),0)"),0)</f>
        <v>0</v>
      </c>
      <c r="AJ2394" s="1"/>
      <c r="AK2394" s="1" t="s">
        <v>7484</v>
      </c>
      <c r="AL2394" s="9">
        <f t="shared" si="246"/>
        <v>1</v>
      </c>
    </row>
    <row r="2395" spans="1:38" ht="15" x14ac:dyDescent="0.25">
      <c r="A2395" s="1" t="s">
        <v>7485</v>
      </c>
      <c r="B2395" s="1" t="s">
        <v>7486</v>
      </c>
      <c r="C2395" s="1" t="s">
        <v>227</v>
      </c>
      <c r="D2395" s="1" t="s">
        <v>227</v>
      </c>
      <c r="E2395" s="6">
        <v>594.33000000000004</v>
      </c>
      <c r="F2395" s="1" t="s">
        <v>40</v>
      </c>
      <c r="G2395" s="6">
        <f ca="1">IFERROR(__xludf.DUMMYFUNCTION("iferror(GOOGLEFINANCE(TRIM(F2395)&amp;"":"" &amp; TRIM(B2395), ""price""),0
)"),64)</f>
        <v>64</v>
      </c>
      <c r="H2395" s="6">
        <v>90.15</v>
      </c>
      <c r="I2395" s="6">
        <f t="shared" ca="1" si="0"/>
        <v>64</v>
      </c>
      <c r="J2395" s="6">
        <f ca="1">IFERROR(__xludf.DUMMYFUNCTION("IFERROR(GOOGLEFINANCE(B2395, ""volume""), 0)"),27919)</f>
        <v>27919</v>
      </c>
      <c r="K2395" s="6">
        <v>-0.72</v>
      </c>
      <c r="L2395" s="6">
        <f ca="1">IFERROR(__xludf.DUMMYFUNCTION("IFERROR(GOOGLEFINANCE(B2395,""changepct""),K2395)"),-1.92)</f>
        <v>-1.92</v>
      </c>
      <c r="M2395" s="6">
        <f ca="1">IFERROR(__xludf.DUMMYFUNCTION("IFERROR(GOOGLEFINANCE(B2395,""change""),0)"),-1.25)</f>
        <v>-1.25</v>
      </c>
      <c r="N2395" s="6">
        <v>2</v>
      </c>
      <c r="O2395" s="7">
        <v>45536</v>
      </c>
      <c r="P2395" s="6">
        <v>38.56</v>
      </c>
      <c r="Q2395" s="6">
        <v>550.16</v>
      </c>
      <c r="R2395" s="7">
        <v>45536</v>
      </c>
      <c r="S2395" s="6">
        <v>541.58000000000004</v>
      </c>
      <c r="T2395" s="6">
        <v>66.17</v>
      </c>
      <c r="U2395" s="7">
        <v>45536</v>
      </c>
      <c r="V2395" s="6">
        <v>9.56</v>
      </c>
      <c r="W2395" s="6">
        <f ca="1">IFERROR(__xludf.DUMMYFUNCTION("IFERROR(GOOGLEFINANCE(B2395,""pe""),V2395)"),8.34)</f>
        <v>8.34</v>
      </c>
      <c r="X2395" s="6">
        <v>1.45</v>
      </c>
      <c r="Y2395" s="6">
        <v>1.1399999999999999</v>
      </c>
      <c r="Z2395" s="6">
        <v>2</v>
      </c>
      <c r="AA2395" s="8">
        <v>45352</v>
      </c>
      <c r="AB2395" s="4">
        <v>0.13</v>
      </c>
      <c r="AC2395" s="6">
        <v>9.4</v>
      </c>
      <c r="AD2395" s="6">
        <v>12.88</v>
      </c>
      <c r="AE2395" s="1">
        <v>0</v>
      </c>
      <c r="AF2395" s="1">
        <f ca="1">IFERROR(__xludf.DUMMYFUNCTION("IFERROR(GOOGLEFINANCE(TRIM(F2395)&amp;"":"" &amp; TRIM(B2395),""high52""),AE2395)"),85.6)</f>
        <v>85.6</v>
      </c>
      <c r="AG2395" s="1">
        <v>0</v>
      </c>
      <c r="AH2395" s="1">
        <f ca="1">IFERROR(__xludf.DUMMYFUNCTION("IFERROR(GOOGLEFINANCE(TRIM(F2395)&amp;"":"" &amp; TRIM(B2395),""low52""),AE2395)"),54.52)</f>
        <v>54.52</v>
      </c>
      <c r="AI2395" s="1">
        <f ca="1">IFERROR(__xludf.DUMMYFUNCTION("IFERROR(GOOGLEFINANCE(B2395,""eps""),0)"),7.67)</f>
        <v>7.67</v>
      </c>
      <c r="AJ2395" s="1"/>
      <c r="AK2395" s="1" t="s">
        <v>7487</v>
      </c>
      <c r="AL2395" s="9">
        <f t="shared" si="246"/>
        <v>1</v>
      </c>
    </row>
    <row r="2396" spans="1:38" ht="15" x14ac:dyDescent="0.25">
      <c r="A2396" s="1" t="s">
        <v>7488</v>
      </c>
      <c r="B2396" s="1" t="s">
        <v>7489</v>
      </c>
      <c r="C2396" s="1" t="s">
        <v>219</v>
      </c>
      <c r="D2396" s="1" t="s">
        <v>219</v>
      </c>
      <c r="E2396" s="6">
        <v>398.84</v>
      </c>
      <c r="F2396" s="1" t="s">
        <v>40</v>
      </c>
      <c r="G2396" s="6">
        <f ca="1">IFERROR(__xludf.DUMMYFUNCTION("iferror(GOOGLEFINANCE(TRIM(F2396)&amp;"":"" &amp; TRIM(B2396), ""price""),0
)"),64.38)</f>
        <v>64.38</v>
      </c>
      <c r="H2396" s="6">
        <v>62.12</v>
      </c>
      <c r="I2396" s="6">
        <f t="shared" ca="1" si="0"/>
        <v>64.38</v>
      </c>
      <c r="J2396" s="6">
        <f ca="1">IFERROR(__xludf.DUMMYFUNCTION("IFERROR(GOOGLEFINANCE(B2396, ""volume""), 0)"),74173)</f>
        <v>74173</v>
      </c>
      <c r="K2396" s="6">
        <v>2.09</v>
      </c>
      <c r="L2396" s="6">
        <f ca="1">IFERROR(__xludf.DUMMYFUNCTION("IFERROR(GOOGLEFINANCE(B2396,""changepct""),K2396)"),4.97)</f>
        <v>4.97</v>
      </c>
      <c r="M2396" s="6">
        <f ca="1">IFERROR(__xludf.DUMMYFUNCTION("IFERROR(GOOGLEFINANCE(B2396,""change""),0)"),3.05)</f>
        <v>3.05</v>
      </c>
      <c r="N2396" s="6">
        <v>2</v>
      </c>
      <c r="O2396" s="7">
        <v>45536</v>
      </c>
      <c r="P2396" s="6">
        <v>132.24</v>
      </c>
      <c r="Q2396" s="6">
        <v>503.92</v>
      </c>
      <c r="R2396" s="7">
        <v>45536</v>
      </c>
      <c r="S2396" s="6">
        <v>566.14</v>
      </c>
      <c r="T2396" s="6">
        <v>12.04</v>
      </c>
      <c r="U2396" s="7">
        <v>45536</v>
      </c>
      <c r="V2396" s="6">
        <v>33.119999999999997</v>
      </c>
      <c r="W2396" s="6">
        <f ca="1">IFERROR(__xludf.DUMMYFUNCTION("IFERROR(GOOGLEFINANCE(B2396,""pe""),V2396)"),23.44)</f>
        <v>23.44</v>
      </c>
      <c r="X2396" s="6">
        <v>1.19</v>
      </c>
      <c r="Y2396" s="6">
        <v>1.33</v>
      </c>
      <c r="Z2396" s="6">
        <v>2</v>
      </c>
      <c r="AA2396" s="8">
        <v>45352</v>
      </c>
      <c r="AB2396" s="4">
        <v>0.62</v>
      </c>
      <c r="AC2396" s="6">
        <v>9.61</v>
      </c>
      <c r="AD2396" s="6">
        <v>11.17</v>
      </c>
      <c r="AE2396" s="1">
        <v>0</v>
      </c>
      <c r="AF2396" s="1">
        <f ca="1">IFERROR(__xludf.DUMMYFUNCTION("IFERROR(GOOGLEFINANCE(TRIM(F2396)&amp;"":"" &amp; TRIM(B2396),""high52""),AE2396)"),77.78)</f>
        <v>77.78</v>
      </c>
      <c r="AG2396" s="1">
        <v>0</v>
      </c>
      <c r="AH2396" s="1">
        <f ca="1">IFERROR(__xludf.DUMMYFUNCTION("IFERROR(GOOGLEFINANCE(TRIM(F2396)&amp;"":"" &amp; TRIM(B2396),""low52""),AE2396)"),43.05)</f>
        <v>43.05</v>
      </c>
      <c r="AI2396" s="1">
        <f ca="1">IFERROR(__xludf.DUMMYFUNCTION("IFERROR(GOOGLEFINANCE(B2396,""eps""),0)"),2.75)</f>
        <v>2.75</v>
      </c>
      <c r="AJ2396" s="1"/>
      <c r="AK2396" s="1" t="s">
        <v>7490</v>
      </c>
      <c r="AL2396" s="9">
        <f t="shared" si="246"/>
        <v>1</v>
      </c>
    </row>
    <row r="2397" spans="1:38" ht="15" x14ac:dyDescent="0.25">
      <c r="A2397" s="1" t="s">
        <v>7491</v>
      </c>
      <c r="B2397" s="1" t="s">
        <v>7492</v>
      </c>
      <c r="C2397" s="1" t="s">
        <v>410</v>
      </c>
      <c r="D2397" s="1" t="s">
        <v>410</v>
      </c>
      <c r="E2397" s="6">
        <v>589.1</v>
      </c>
      <c r="F2397" s="1" t="s">
        <v>53</v>
      </c>
      <c r="G2397" s="6">
        <f ca="1">IFERROR(__xludf.DUMMYFUNCTION("iferror(GOOGLEFINANCE(TRIM(F2397)&amp;"":"" &amp; TRIM(B2397), ""price""),0
)"),0)</f>
        <v>0</v>
      </c>
      <c r="H2397" s="6">
        <v>281</v>
      </c>
      <c r="I2397" s="6">
        <f t="shared" ca="1" si="0"/>
        <v>281</v>
      </c>
      <c r="J2397" s="6">
        <f ca="1">IFERROR(__xludf.DUMMYFUNCTION("IFERROR(GOOGLEFINANCE(B2397, ""volume""), 0)"),0)</f>
        <v>0</v>
      </c>
      <c r="K2397" s="6">
        <v>0</v>
      </c>
      <c r="L2397" s="6">
        <f ca="1">IFERROR(__xludf.DUMMYFUNCTION("IFERROR(GOOGLEFINANCE(B2397,""changepct""),K2397)"),0)</f>
        <v>0</v>
      </c>
      <c r="M2397" s="6">
        <f ca="1">IFERROR(__xludf.DUMMYFUNCTION("IFERROR(GOOGLEFINANCE(B2397,""change""),0)"),0)</f>
        <v>0</v>
      </c>
      <c r="N2397" s="6">
        <v>2</v>
      </c>
      <c r="O2397" s="7">
        <v>45536</v>
      </c>
      <c r="P2397" s="6">
        <v>257.11</v>
      </c>
      <c r="Q2397" s="6">
        <v>842.91</v>
      </c>
      <c r="R2397" s="7">
        <v>45352</v>
      </c>
      <c r="S2397" s="6">
        <v>29.54</v>
      </c>
      <c r="T2397" s="6">
        <v>196.4</v>
      </c>
      <c r="U2397" s="7">
        <v>45352</v>
      </c>
      <c r="V2397" s="6">
        <v>3</v>
      </c>
      <c r="W2397" s="6">
        <f ca="1">IFERROR(__xludf.DUMMYFUNCTION("IFERROR(GOOGLEFINANCE(B2397,""pe""),V2397)"),3)</f>
        <v>3</v>
      </c>
      <c r="X2397" s="9"/>
      <c r="Y2397" s="6">
        <v>1.94</v>
      </c>
      <c r="Z2397" s="6">
        <v>2</v>
      </c>
      <c r="AA2397" s="8">
        <v>45352</v>
      </c>
      <c r="AB2397" s="4">
        <v>1.05</v>
      </c>
      <c r="AC2397" s="6">
        <v>170.9</v>
      </c>
      <c r="AD2397" s="6">
        <v>80.59</v>
      </c>
      <c r="AE2397" s="1">
        <v>0</v>
      </c>
      <c r="AF2397" s="1">
        <f ca="1">IFERROR(__xludf.DUMMYFUNCTION("IFERROR(GOOGLEFINANCE(TRIM(F2397)&amp;"":"" &amp; TRIM(B2397),""high52""),AE2397)"),0)</f>
        <v>0</v>
      </c>
      <c r="AG2397" s="1">
        <v>0</v>
      </c>
      <c r="AH2397" s="1">
        <f ca="1">IFERROR(__xludf.DUMMYFUNCTION("IFERROR(GOOGLEFINANCE(TRIM(F2397)&amp;"":"" &amp; TRIM(B2397),""low52""),AE2397)"),0)</f>
        <v>0</v>
      </c>
      <c r="AI2397" s="1">
        <f ca="1">IFERROR(__xludf.DUMMYFUNCTION("IFERROR(GOOGLEFINANCE(B2397,""eps""),0)"),0)</f>
        <v>0</v>
      </c>
      <c r="AJ2397" s="1"/>
      <c r="AK2397" s="1" t="s">
        <v>7493</v>
      </c>
      <c r="AL2397" s="9">
        <f t="shared" si="246"/>
        <v>1</v>
      </c>
    </row>
    <row r="2398" spans="1:38" ht="15" x14ac:dyDescent="0.25">
      <c r="A2398" s="1" t="s">
        <v>7494</v>
      </c>
      <c r="B2398" s="1" t="s">
        <v>7495</v>
      </c>
      <c r="C2398" s="1" t="s">
        <v>410</v>
      </c>
      <c r="D2398" s="1" t="s">
        <v>410</v>
      </c>
      <c r="E2398" s="6">
        <v>8.3000000000000007</v>
      </c>
      <c r="F2398" s="1" t="s">
        <v>53</v>
      </c>
      <c r="G2398" s="6">
        <f ca="1">IFERROR(__xludf.DUMMYFUNCTION("iferror(GOOGLEFINANCE(TRIM(F2398)&amp;"":"" &amp; TRIM(B2398), ""price""),0
)"),0)</f>
        <v>0</v>
      </c>
      <c r="H2398" s="6">
        <v>10.57</v>
      </c>
      <c r="I2398" s="6">
        <f t="shared" ca="1" si="0"/>
        <v>10.57</v>
      </c>
      <c r="J2398" s="6">
        <f ca="1">IFERROR(__xludf.DUMMYFUNCTION("IFERROR(GOOGLEFINANCE(B2398, ""volume""), 0)"),0)</f>
        <v>0</v>
      </c>
      <c r="K2398" s="12"/>
      <c r="L2398" s="6" t="str">
        <f ca="1">IFERROR(__xludf.DUMMYFUNCTION("IFERROR(GOOGLEFINANCE(B2398,""changepct""),K2398)"),"")</f>
        <v/>
      </c>
      <c r="M2398" s="6">
        <f ca="1">IFERROR(__xludf.DUMMYFUNCTION("IFERROR(GOOGLEFINANCE(B2398,""change""),0)"),0)</f>
        <v>0</v>
      </c>
      <c r="N2398" s="6">
        <v>1</v>
      </c>
      <c r="O2398" s="7">
        <v>45536</v>
      </c>
      <c r="P2398" s="12"/>
      <c r="Q2398" s="6">
        <v>7.33</v>
      </c>
      <c r="R2398" s="7">
        <v>45352</v>
      </c>
      <c r="S2398" s="6">
        <v>1.1200000000000001</v>
      </c>
      <c r="T2398" s="6">
        <v>0.1</v>
      </c>
      <c r="U2398" s="7">
        <v>45352</v>
      </c>
      <c r="V2398" s="6">
        <v>79.97</v>
      </c>
      <c r="W2398" s="6">
        <f ca="1">IFERROR(__xludf.DUMMYFUNCTION("IFERROR(GOOGLEFINANCE(B2398,""pe""),V2398)"),79.97)</f>
        <v>79.97</v>
      </c>
      <c r="X2398" s="12"/>
      <c r="Y2398" s="6">
        <v>0.62</v>
      </c>
      <c r="Z2398" s="6">
        <v>1</v>
      </c>
      <c r="AA2398" s="8">
        <v>45352</v>
      </c>
      <c r="AB2398" s="4">
        <v>0</v>
      </c>
      <c r="AC2398" s="6">
        <v>0.77</v>
      </c>
      <c r="AD2398" s="6">
        <v>0.84</v>
      </c>
      <c r="AE2398" s="1">
        <v>0</v>
      </c>
      <c r="AF2398" s="1">
        <f ca="1">IFERROR(__xludf.DUMMYFUNCTION("IFERROR(GOOGLEFINANCE(TRIM(F2398)&amp;"":"" &amp; TRIM(B2398),""high52""),AE2398)"),0)</f>
        <v>0</v>
      </c>
      <c r="AG2398" s="1">
        <v>0</v>
      </c>
      <c r="AH2398" s="1">
        <f ca="1">IFERROR(__xludf.DUMMYFUNCTION("IFERROR(GOOGLEFINANCE(TRIM(F2398)&amp;"":"" &amp; TRIM(B2398),""low52""),AE2398)"),0)</f>
        <v>0</v>
      </c>
      <c r="AI2398" s="1">
        <f ca="1">IFERROR(__xludf.DUMMYFUNCTION("IFERROR(GOOGLEFINANCE(B2398,""eps""),0)"),0)</f>
        <v>0</v>
      </c>
      <c r="AJ2398" s="1"/>
      <c r="AK2398" s="1" t="s">
        <v>7496</v>
      </c>
      <c r="AL2398" s="9">
        <f t="shared" si="246"/>
        <v>1</v>
      </c>
    </row>
    <row r="2399" spans="1:38" ht="15" x14ac:dyDescent="0.25">
      <c r="A2399" s="1" t="s">
        <v>7497</v>
      </c>
      <c r="B2399" s="1" t="s">
        <v>7498</v>
      </c>
      <c r="C2399" s="1" t="s">
        <v>135</v>
      </c>
      <c r="D2399" s="1" t="s">
        <v>135</v>
      </c>
      <c r="E2399" s="6">
        <v>1109.22</v>
      </c>
      <c r="F2399" s="1" t="s">
        <v>40</v>
      </c>
      <c r="G2399" s="6">
        <f ca="1">IFERROR(__xludf.DUMMYFUNCTION("iferror(GOOGLEFINANCE(TRIM(F2399)&amp;"":"" &amp; TRIM(B2399), ""price""),0
)"),59)</f>
        <v>59</v>
      </c>
      <c r="H2399" s="6">
        <v>64.36</v>
      </c>
      <c r="I2399" s="6">
        <f t="shared" ca="1" si="0"/>
        <v>59</v>
      </c>
      <c r="J2399" s="6">
        <f ca="1">IFERROR(__xludf.DUMMYFUNCTION("IFERROR(GOOGLEFINANCE(B2399, ""volume""), 0)"),290310)</f>
        <v>290310</v>
      </c>
      <c r="K2399" s="6">
        <v>-0.33</v>
      </c>
      <c r="L2399" s="6">
        <f ca="1">IFERROR(__xludf.DUMMYFUNCTION("IFERROR(GOOGLEFINANCE(B2399,""changepct""),K2399)"),1.06)</f>
        <v>1.06</v>
      </c>
      <c r="M2399" s="6">
        <f ca="1">IFERROR(__xludf.DUMMYFUNCTION("IFERROR(GOOGLEFINANCE(B2399,""change""),0)"),0.62)</f>
        <v>0.62</v>
      </c>
      <c r="N2399" s="6">
        <v>2</v>
      </c>
      <c r="O2399" s="7">
        <v>45536</v>
      </c>
      <c r="P2399" s="6">
        <v>9.94</v>
      </c>
      <c r="Q2399" s="6">
        <v>753.43</v>
      </c>
      <c r="R2399" s="7">
        <v>45536</v>
      </c>
      <c r="S2399" s="6">
        <v>931.67</v>
      </c>
      <c r="T2399" s="6">
        <v>17.46</v>
      </c>
      <c r="U2399" s="7">
        <v>45536</v>
      </c>
      <c r="V2399" s="6">
        <v>63.53</v>
      </c>
      <c r="W2399" s="6">
        <f ca="1">IFERROR(__xludf.DUMMYFUNCTION("IFERROR(GOOGLEFINANCE(B2399,""pe""),V2399)"),20.91)</f>
        <v>20.91</v>
      </c>
      <c r="X2399" s="6">
        <v>-3.3</v>
      </c>
      <c r="Y2399" s="6">
        <v>1.04</v>
      </c>
      <c r="Z2399" s="6">
        <v>2</v>
      </c>
      <c r="AA2399" s="8">
        <v>45352</v>
      </c>
      <c r="AB2399" s="4">
        <v>0.02</v>
      </c>
      <c r="AC2399" s="6">
        <v>1.82</v>
      </c>
      <c r="AD2399" s="6">
        <v>4.0199999999999996</v>
      </c>
      <c r="AE2399" s="1">
        <v>0</v>
      </c>
      <c r="AF2399" s="1">
        <f ca="1">IFERROR(__xludf.DUMMYFUNCTION("IFERROR(GOOGLEFINANCE(TRIM(F2399)&amp;"":"" &amp; TRIM(B2399),""high52""),AE2399)"),81.1)</f>
        <v>81.099999999999994</v>
      </c>
      <c r="AG2399" s="1">
        <v>0</v>
      </c>
      <c r="AH2399" s="1">
        <f ca="1">IFERROR(__xludf.DUMMYFUNCTION("IFERROR(GOOGLEFINANCE(TRIM(F2399)&amp;"":"" &amp; TRIM(B2399),""low52""),AE2399)"),49.93)</f>
        <v>49.93</v>
      </c>
      <c r="AI2399" s="1">
        <f ca="1">IFERROR(__xludf.DUMMYFUNCTION("IFERROR(GOOGLEFINANCE(B2399,""eps""),0)"),2.82)</f>
        <v>2.82</v>
      </c>
      <c r="AJ2399" s="1"/>
      <c r="AK2399" s="1" t="s">
        <v>7499</v>
      </c>
      <c r="AL2399" s="9">
        <f t="shared" si="246"/>
        <v>1</v>
      </c>
    </row>
    <row r="2400" spans="1:38" ht="15" x14ac:dyDescent="0.25">
      <c r="A2400" s="1" t="s">
        <v>7500</v>
      </c>
      <c r="B2400" s="1" t="s">
        <v>7501</v>
      </c>
      <c r="C2400" s="1" t="s">
        <v>208</v>
      </c>
      <c r="D2400" s="1" t="s">
        <v>208</v>
      </c>
      <c r="E2400" s="6">
        <v>16149.97</v>
      </c>
      <c r="F2400" s="1" t="s">
        <v>40</v>
      </c>
      <c r="G2400" s="6">
        <f ca="1">IFERROR(__xludf.DUMMYFUNCTION("iferror(GOOGLEFINANCE(TRIM(F2400)&amp;"":"" &amp; TRIM(B2400), ""price""),0
)"),281.55)</f>
        <v>281.55</v>
      </c>
      <c r="H2400" s="6">
        <v>189.92</v>
      </c>
      <c r="I2400" s="6">
        <f t="shared" ca="1" si="0"/>
        <v>281.55</v>
      </c>
      <c r="J2400" s="6">
        <f ca="1">IFERROR(__xludf.DUMMYFUNCTION("IFERROR(GOOGLEFINANCE(B2400, ""volume""), 0)"),6854966)</f>
        <v>6854966</v>
      </c>
      <c r="K2400" s="6">
        <v>-0.48</v>
      </c>
      <c r="L2400" s="6">
        <f ca="1">IFERROR(__xludf.DUMMYFUNCTION("IFERROR(GOOGLEFINANCE(B2400,""changepct""),K2400)"),4.32)</f>
        <v>4.32</v>
      </c>
      <c r="M2400" s="6">
        <f ca="1">IFERROR(__xludf.DUMMYFUNCTION("IFERROR(GOOGLEFINANCE(B2400,""change""),0)"),11.65)</f>
        <v>11.65</v>
      </c>
      <c r="N2400" s="6">
        <v>2</v>
      </c>
      <c r="O2400" s="7">
        <v>45536</v>
      </c>
      <c r="P2400" s="6">
        <v>2267.4</v>
      </c>
      <c r="Q2400" s="7">
        <v>45536</v>
      </c>
      <c r="R2400" s="6">
        <v>7.15</v>
      </c>
      <c r="S2400" s="6">
        <v>0.39</v>
      </c>
      <c r="T2400" s="6">
        <v>1.29</v>
      </c>
      <c r="U2400" s="6">
        <v>2</v>
      </c>
      <c r="V2400" s="7">
        <v>45352</v>
      </c>
      <c r="W2400" s="6">
        <f ca="1">IFERROR(__xludf.DUMMYFUNCTION("IFERROR(GOOGLEFINANCE(B2400,""pe""),V2400)"),59.92)</f>
        <v>59.92</v>
      </c>
      <c r="X2400" s="6">
        <v>2.91</v>
      </c>
      <c r="Y2400" s="6">
        <v>20.75</v>
      </c>
      <c r="Z2400" s="6">
        <v>13.98</v>
      </c>
      <c r="AA2400" s="3" t="s">
        <v>7502</v>
      </c>
      <c r="AB2400" s="3"/>
      <c r="AC2400" s="9"/>
      <c r="AD2400" s="9"/>
      <c r="AE2400" s="1">
        <v>0</v>
      </c>
      <c r="AF2400" s="1">
        <f ca="1">IFERROR(__xludf.DUMMYFUNCTION("IFERROR(GOOGLEFINANCE(TRIM(F2400)&amp;"":"" &amp; TRIM(B2400),""high52""),AE2400)"),321.6)</f>
        <v>321.60000000000002</v>
      </c>
      <c r="AG2400" s="1">
        <v>0</v>
      </c>
      <c r="AH2400" s="1">
        <f ca="1">IFERROR(__xludf.DUMMYFUNCTION("IFERROR(GOOGLEFINANCE(TRIM(F2400)&amp;"":"" &amp; TRIM(B2400),""low52""),AE2400)"),168.83)</f>
        <v>168.83</v>
      </c>
      <c r="AI2400" s="1">
        <f ca="1">IFERROR(__xludf.DUMMYFUNCTION("IFERROR(GOOGLEFINANCE(B2400,""eps""),0)"),4.7)</f>
        <v>4.7</v>
      </c>
      <c r="AJ2400" s="1"/>
      <c r="AK2400" s="1" t="s">
        <v>7503</v>
      </c>
      <c r="AL2400" s="9">
        <f t="shared" si="246"/>
        <v>1</v>
      </c>
    </row>
    <row r="2401" spans="1:38" ht="15" x14ac:dyDescent="0.25">
      <c r="A2401" s="1" t="s">
        <v>7504</v>
      </c>
      <c r="B2401" s="1" t="s">
        <v>7505</v>
      </c>
      <c r="C2401" s="1" t="s">
        <v>86</v>
      </c>
      <c r="D2401" s="1" t="s">
        <v>86</v>
      </c>
      <c r="E2401" s="6">
        <v>11.62</v>
      </c>
      <c r="F2401" s="1" t="s">
        <v>40</v>
      </c>
      <c r="G2401" s="6">
        <f ca="1">IFERROR(__xludf.DUMMYFUNCTION("iferror(GOOGLEFINANCE(TRIM(F2401)&amp;"":"" &amp; TRIM(B2401), ""price""),0
)"),0)</f>
        <v>0</v>
      </c>
      <c r="H2401" s="6">
        <v>17</v>
      </c>
      <c r="I2401" s="6">
        <f t="shared" ca="1" si="0"/>
        <v>17</v>
      </c>
      <c r="J2401" s="6">
        <f ca="1">IFERROR(__xludf.DUMMYFUNCTION("IFERROR(GOOGLEFINANCE(B2401, ""volume""), 0)"),0)</f>
        <v>0</v>
      </c>
      <c r="K2401" s="9"/>
      <c r="L2401" s="6" t="str">
        <f ca="1">IFERROR(__xludf.DUMMYFUNCTION("IFERROR(GOOGLEFINANCE(B2401,""changepct""),K2401)"),"")</f>
        <v/>
      </c>
      <c r="M2401" s="6">
        <f ca="1">IFERROR(__xludf.DUMMYFUNCTION("IFERROR(GOOGLEFINANCE(B2401,""change""),0)"),0)</f>
        <v>0</v>
      </c>
      <c r="N2401" s="6">
        <v>1</v>
      </c>
      <c r="O2401" s="7">
        <v>45536</v>
      </c>
      <c r="P2401" s="6">
        <v>11.49</v>
      </c>
      <c r="Q2401" s="6">
        <v>23.11</v>
      </c>
      <c r="R2401" s="7">
        <v>45352</v>
      </c>
      <c r="S2401" s="6">
        <v>14.31</v>
      </c>
      <c r="T2401" s="6">
        <v>1.1599999999999999</v>
      </c>
      <c r="U2401" s="7">
        <v>45352</v>
      </c>
      <c r="V2401" s="6">
        <v>10.050000000000001</v>
      </c>
      <c r="W2401" s="6">
        <f ca="1">IFERROR(__xludf.DUMMYFUNCTION("IFERROR(GOOGLEFINANCE(B2401,""pe""),V2401)"),10.05)</f>
        <v>10.050000000000001</v>
      </c>
      <c r="X2401" s="6">
        <v>0.47</v>
      </c>
      <c r="Y2401" s="6">
        <v>-5.61</v>
      </c>
      <c r="Z2401" s="6">
        <v>1</v>
      </c>
      <c r="AA2401" s="8">
        <v>45352</v>
      </c>
      <c r="AB2401" s="4">
        <v>-4.53</v>
      </c>
      <c r="AC2401" s="6">
        <v>0</v>
      </c>
      <c r="AD2401" s="6">
        <v>39.770000000000003</v>
      </c>
      <c r="AE2401" s="1">
        <v>0</v>
      </c>
      <c r="AF2401" s="1">
        <f ca="1">IFERROR(__xludf.DUMMYFUNCTION("IFERROR(GOOGLEFINANCE(TRIM(F2401)&amp;"":"" &amp; TRIM(B2401),""high52""),AE2401)"),0)</f>
        <v>0</v>
      </c>
      <c r="AG2401" s="1">
        <v>0</v>
      </c>
      <c r="AH2401" s="1">
        <f ca="1">IFERROR(__xludf.DUMMYFUNCTION("IFERROR(GOOGLEFINANCE(TRIM(F2401)&amp;"":"" &amp; TRIM(B2401),""low52""),AE2401)"),0)</f>
        <v>0</v>
      </c>
      <c r="AI2401" s="1">
        <f ca="1">IFERROR(__xludf.DUMMYFUNCTION("IFERROR(GOOGLEFINANCE(B2401,""eps""),0)"),0)</f>
        <v>0</v>
      </c>
      <c r="AJ2401" s="1"/>
      <c r="AK2401" s="1" t="s">
        <v>7506</v>
      </c>
      <c r="AL2401" s="9">
        <f t="shared" si="246"/>
        <v>1</v>
      </c>
    </row>
    <row r="2402" spans="1:38" ht="15" x14ac:dyDescent="0.25">
      <c r="A2402" s="1" t="s">
        <v>7507</v>
      </c>
      <c r="B2402" s="1" t="s">
        <v>7508</v>
      </c>
      <c r="C2402" s="1" t="s">
        <v>410</v>
      </c>
      <c r="D2402" s="1" t="s">
        <v>410</v>
      </c>
      <c r="E2402" s="6">
        <v>39.630000000000003</v>
      </c>
      <c r="F2402" s="1" t="s">
        <v>53</v>
      </c>
      <c r="G2402" s="6">
        <f ca="1">IFERROR(__xludf.DUMMYFUNCTION("iferror(GOOGLEFINANCE(TRIM(F2402)&amp;"":"" &amp; TRIM(B2402), ""price""),0
)"),0)</f>
        <v>0</v>
      </c>
      <c r="H2402" s="6">
        <v>11.72</v>
      </c>
      <c r="I2402" s="6">
        <f t="shared" ca="1" si="0"/>
        <v>11.72</v>
      </c>
      <c r="J2402" s="6">
        <f ca="1">IFERROR(__xludf.DUMMYFUNCTION("IFERROR(GOOGLEFINANCE(B2402, ""volume""), 0)"),0)</f>
        <v>0</v>
      </c>
      <c r="K2402" s="6">
        <v>0.26</v>
      </c>
      <c r="L2402" s="6">
        <f ca="1">IFERROR(__xludf.DUMMYFUNCTION("IFERROR(GOOGLEFINANCE(B2402,""changepct""),K2402)"),0.26)</f>
        <v>0.26</v>
      </c>
      <c r="M2402" s="6">
        <f ca="1">IFERROR(__xludf.DUMMYFUNCTION("IFERROR(GOOGLEFINANCE(B2402,""change""),0)"),0)</f>
        <v>0</v>
      </c>
      <c r="N2402" s="6">
        <v>1</v>
      </c>
      <c r="O2402" s="7">
        <v>45536</v>
      </c>
      <c r="P2402" s="6">
        <v>113.06</v>
      </c>
      <c r="Q2402" s="6">
        <v>152.69</v>
      </c>
      <c r="R2402" s="7">
        <v>45536</v>
      </c>
      <c r="S2402" s="6">
        <v>21.9</v>
      </c>
      <c r="T2402" s="6">
        <v>-3.12</v>
      </c>
      <c r="U2402" s="7">
        <v>45536</v>
      </c>
      <c r="V2402" s="6">
        <v>0</v>
      </c>
      <c r="W2402" s="6">
        <f ca="1">IFERROR(__xludf.DUMMYFUNCTION("IFERROR(GOOGLEFINANCE(B2402,""pe""),V2402)"),0)</f>
        <v>0</v>
      </c>
      <c r="X2402" s="6">
        <v>0</v>
      </c>
      <c r="Y2402" s="6">
        <v>-0.67</v>
      </c>
      <c r="Z2402" s="6">
        <v>1</v>
      </c>
      <c r="AA2402" s="8">
        <v>45352</v>
      </c>
      <c r="AB2402" s="4">
        <v>-2.11</v>
      </c>
      <c r="AC2402" s="6">
        <v>0</v>
      </c>
      <c r="AD2402" s="6">
        <v>15.71</v>
      </c>
      <c r="AE2402" s="1">
        <v>0</v>
      </c>
      <c r="AF2402" s="1">
        <f ca="1">IFERROR(__xludf.DUMMYFUNCTION("IFERROR(GOOGLEFINANCE(TRIM(F2402)&amp;"":"" &amp; TRIM(B2402),""high52""),AE2402)"),0)</f>
        <v>0</v>
      </c>
      <c r="AG2402" s="1">
        <v>0</v>
      </c>
      <c r="AH2402" s="1">
        <f ca="1">IFERROR(__xludf.DUMMYFUNCTION("IFERROR(GOOGLEFINANCE(TRIM(F2402)&amp;"":"" &amp; TRIM(B2402),""low52""),AE2402)"),0)</f>
        <v>0</v>
      </c>
      <c r="AI2402" s="1">
        <f ca="1">IFERROR(__xludf.DUMMYFUNCTION("IFERROR(GOOGLEFINANCE(B2402,""eps""),0)"),0)</f>
        <v>0</v>
      </c>
      <c r="AJ2402" s="1"/>
      <c r="AK2402" s="9"/>
      <c r="AL2402" s="9">
        <f t="shared" si="246"/>
        <v>1</v>
      </c>
    </row>
    <row r="2403" spans="1:38" ht="15" x14ac:dyDescent="0.25">
      <c r="A2403" s="1" t="s">
        <v>7509</v>
      </c>
      <c r="B2403" s="1" t="s">
        <v>7510</v>
      </c>
      <c r="C2403" s="1" t="s">
        <v>410</v>
      </c>
      <c r="D2403" s="1" t="s">
        <v>410</v>
      </c>
      <c r="E2403" s="6">
        <v>7.19</v>
      </c>
      <c r="F2403" s="1" t="s">
        <v>53</v>
      </c>
      <c r="G2403" s="6">
        <f ca="1">IFERROR(__xludf.DUMMYFUNCTION("iferror(GOOGLEFINANCE(TRIM(F2403)&amp;"":"" &amp; TRIM(B2403), ""price""),0
)"),0)</f>
        <v>0</v>
      </c>
      <c r="H2403" s="6">
        <v>6.2</v>
      </c>
      <c r="I2403" s="6">
        <f t="shared" ca="1" si="0"/>
        <v>6.2</v>
      </c>
      <c r="J2403" s="6">
        <f ca="1">IFERROR(__xludf.DUMMYFUNCTION("IFERROR(GOOGLEFINANCE(B2403, ""volume""), 0)"),0)</f>
        <v>0</v>
      </c>
      <c r="K2403" s="6">
        <v>3.51</v>
      </c>
      <c r="L2403" s="6">
        <f ca="1">IFERROR(__xludf.DUMMYFUNCTION("IFERROR(GOOGLEFINANCE(B2403,""changepct""),K2403)"),3.51)</f>
        <v>3.51</v>
      </c>
      <c r="M2403" s="6">
        <f ca="1">IFERROR(__xludf.DUMMYFUNCTION("IFERROR(GOOGLEFINANCE(B2403,""change""),0)"),0)</f>
        <v>0</v>
      </c>
      <c r="N2403" s="6">
        <v>1</v>
      </c>
      <c r="O2403" s="7">
        <v>45536</v>
      </c>
      <c r="P2403" s="6">
        <v>0.23</v>
      </c>
      <c r="Q2403" s="6">
        <v>7.42</v>
      </c>
      <c r="R2403" s="7">
        <v>45536</v>
      </c>
      <c r="S2403" s="6">
        <v>0.31</v>
      </c>
      <c r="T2403" s="6">
        <v>0.03</v>
      </c>
      <c r="U2403" s="7">
        <v>45536</v>
      </c>
      <c r="V2403" s="6">
        <v>247.86</v>
      </c>
      <c r="W2403" s="6">
        <f ca="1">IFERROR(__xludf.DUMMYFUNCTION("IFERROR(GOOGLEFINANCE(B2403,""pe""),V2403)"),247.86)</f>
        <v>247.86</v>
      </c>
      <c r="X2403" s="9"/>
      <c r="Y2403" s="6">
        <v>0.56000000000000005</v>
      </c>
      <c r="Z2403" s="6">
        <v>1</v>
      </c>
      <c r="AA2403" s="8">
        <v>45352</v>
      </c>
      <c r="AB2403" s="4">
        <v>0.02</v>
      </c>
      <c r="AC2403" s="6">
        <v>-0.05</v>
      </c>
      <c r="AD2403" s="6">
        <v>0.19</v>
      </c>
      <c r="AE2403" s="1">
        <v>0</v>
      </c>
      <c r="AF2403" s="1">
        <f ca="1">IFERROR(__xludf.DUMMYFUNCTION("IFERROR(GOOGLEFINANCE(TRIM(F2403)&amp;"":"" &amp; TRIM(B2403),""high52""),AE2403)"),0)</f>
        <v>0</v>
      </c>
      <c r="AG2403" s="1">
        <v>0</v>
      </c>
      <c r="AH2403" s="1">
        <f ca="1">IFERROR(__xludf.DUMMYFUNCTION("IFERROR(GOOGLEFINANCE(TRIM(F2403)&amp;"":"" &amp; TRIM(B2403),""low52""),AE2403)"),0)</f>
        <v>0</v>
      </c>
      <c r="AI2403" s="1">
        <f ca="1">IFERROR(__xludf.DUMMYFUNCTION("IFERROR(GOOGLEFINANCE(B2403,""eps""),0)"),0)</f>
        <v>0</v>
      </c>
      <c r="AJ2403" s="1"/>
      <c r="AK2403" s="9"/>
      <c r="AL2403" s="9">
        <f t="shared" si="246"/>
        <v>1</v>
      </c>
    </row>
    <row r="2404" spans="1:38" ht="15" x14ac:dyDescent="0.25">
      <c r="A2404" s="1" t="s">
        <v>7511</v>
      </c>
      <c r="B2404" s="1" t="s">
        <v>7512</v>
      </c>
      <c r="C2404" s="1" t="s">
        <v>208</v>
      </c>
      <c r="D2404" s="1" t="s">
        <v>208</v>
      </c>
      <c r="E2404" s="6">
        <v>793.78</v>
      </c>
      <c r="F2404" s="1" t="s">
        <v>40</v>
      </c>
      <c r="G2404" s="6">
        <f ca="1">IFERROR(__xludf.DUMMYFUNCTION("iferror(GOOGLEFINANCE(TRIM(F2404)&amp;"":"" &amp; TRIM(B2404), ""price""),0
)"),128.85)</f>
        <v>128.85</v>
      </c>
      <c r="H2404" s="6">
        <v>160.74</v>
      </c>
      <c r="I2404" s="6">
        <f t="shared" ca="1" si="0"/>
        <v>128.85</v>
      </c>
      <c r="J2404" s="6">
        <f ca="1">IFERROR(__xludf.DUMMYFUNCTION("IFERROR(GOOGLEFINANCE(B2404, ""volume""), 0)"),141958)</f>
        <v>141958</v>
      </c>
      <c r="K2404" s="6">
        <v>1.76</v>
      </c>
      <c r="L2404" s="6">
        <f ca="1">IFERROR(__xludf.DUMMYFUNCTION("IFERROR(GOOGLEFINANCE(B2404,""changepct""),K2404)"),-0.33)</f>
        <v>-0.33</v>
      </c>
      <c r="M2404" s="6">
        <f ca="1">IFERROR(__xludf.DUMMYFUNCTION("IFERROR(GOOGLEFINANCE(B2404,""change""),0)"),-0.43)</f>
        <v>-0.43</v>
      </c>
      <c r="N2404" s="6">
        <v>1</v>
      </c>
      <c r="O2404" s="14"/>
      <c r="P2404" s="12"/>
      <c r="Q2404" s="7">
        <v>45352</v>
      </c>
      <c r="R2404" s="6">
        <v>25.26</v>
      </c>
      <c r="S2404" s="9"/>
      <c r="T2404" s="6">
        <v>2.2400000000000002</v>
      </c>
      <c r="U2404" s="6">
        <v>1</v>
      </c>
      <c r="V2404" s="7">
        <v>45352</v>
      </c>
      <c r="W2404" s="6">
        <f ca="1">IFERROR(__xludf.DUMMYFUNCTION("IFERROR(GOOGLEFINANCE(B2404,""pe""),V2404)"),15.37)</f>
        <v>15.37</v>
      </c>
      <c r="X2404" s="6">
        <v>3.75</v>
      </c>
      <c r="Y2404" s="6">
        <v>17.03</v>
      </c>
      <c r="Z2404" s="6">
        <v>14.08</v>
      </c>
      <c r="AA2404" s="3" t="s">
        <v>7513</v>
      </c>
      <c r="AB2404" s="11"/>
      <c r="AC2404" s="9"/>
      <c r="AD2404" s="9"/>
      <c r="AE2404" s="1">
        <v>0</v>
      </c>
      <c r="AF2404" s="1">
        <f ca="1">IFERROR(__xludf.DUMMYFUNCTION("IFERROR(GOOGLEFINANCE(TRIM(F2404)&amp;"":"" &amp; TRIM(B2404),""high52""),AE2404)"),159.5)</f>
        <v>159.5</v>
      </c>
      <c r="AG2404" s="1">
        <v>0</v>
      </c>
      <c r="AH2404" s="1">
        <f ca="1">IFERROR(__xludf.DUMMYFUNCTION("IFERROR(GOOGLEFINANCE(TRIM(F2404)&amp;"":"" &amp; TRIM(B2404),""low52""),AE2404)"),119)</f>
        <v>119</v>
      </c>
      <c r="AI2404" s="1">
        <f ca="1">IFERROR(__xludf.DUMMYFUNCTION("IFERROR(GOOGLEFINANCE(B2404,""eps""),0)"),8.39)</f>
        <v>8.39</v>
      </c>
      <c r="AJ2404" s="1"/>
      <c r="AK2404" s="1" t="s">
        <v>7514</v>
      </c>
      <c r="AL2404" s="9">
        <f t="shared" si="246"/>
        <v>1</v>
      </c>
    </row>
    <row r="2405" spans="1:38" ht="15" x14ac:dyDescent="0.25">
      <c r="A2405" s="1" t="s">
        <v>7515</v>
      </c>
      <c r="B2405" s="1" t="s">
        <v>7516</v>
      </c>
      <c r="C2405" s="1" t="s">
        <v>355</v>
      </c>
      <c r="D2405" s="1" t="s">
        <v>355</v>
      </c>
      <c r="E2405" s="6">
        <v>36.75</v>
      </c>
      <c r="F2405" s="1" t="s">
        <v>40</v>
      </c>
      <c r="G2405" s="6">
        <f ca="1">IFERROR(__xludf.DUMMYFUNCTION("iferror(GOOGLEFINANCE(TRIM(F2405)&amp;"":"" &amp; TRIM(B2405), ""price""),0
)"),0)</f>
        <v>0</v>
      </c>
      <c r="H2405" s="6">
        <v>35.549999999999997</v>
      </c>
      <c r="I2405" s="6">
        <f t="shared" ca="1" si="0"/>
        <v>35.549999999999997</v>
      </c>
      <c r="J2405" s="6">
        <f ca="1">IFERROR(__xludf.DUMMYFUNCTION("IFERROR(GOOGLEFINANCE(B2405, ""volume""), 0)"),0)</f>
        <v>0</v>
      </c>
      <c r="K2405" s="12"/>
      <c r="L2405" s="6" t="str">
        <f ca="1">IFERROR(__xludf.DUMMYFUNCTION("IFERROR(GOOGLEFINANCE(B2405,""changepct""),K2405)"),"")</f>
        <v/>
      </c>
      <c r="M2405" s="6">
        <f ca="1">IFERROR(__xludf.DUMMYFUNCTION("IFERROR(GOOGLEFINANCE(B2405,""change""),0)"),0)</f>
        <v>0</v>
      </c>
      <c r="N2405" s="6">
        <v>1</v>
      </c>
      <c r="O2405" s="7">
        <v>45536</v>
      </c>
      <c r="P2405" s="6">
        <v>2.0699999999999998</v>
      </c>
      <c r="Q2405" s="6">
        <v>38.82</v>
      </c>
      <c r="R2405" s="7">
        <v>45352</v>
      </c>
      <c r="S2405" s="6">
        <v>24.7</v>
      </c>
      <c r="T2405" s="6">
        <v>2.13</v>
      </c>
      <c r="U2405" s="7">
        <v>45352</v>
      </c>
      <c r="V2405" s="6">
        <v>17.239999999999998</v>
      </c>
      <c r="W2405" s="6">
        <f ca="1">IFERROR(__xludf.DUMMYFUNCTION("IFERROR(GOOGLEFINANCE(B2405,""pe""),V2405)"),17.24)</f>
        <v>17.239999999999998</v>
      </c>
      <c r="X2405" s="12"/>
      <c r="Y2405" s="6">
        <v>1.08</v>
      </c>
      <c r="Z2405" s="6">
        <v>1</v>
      </c>
      <c r="AA2405" s="8">
        <v>45352</v>
      </c>
      <c r="AB2405" s="4">
        <v>0.91</v>
      </c>
      <c r="AC2405" s="6">
        <v>24.49</v>
      </c>
      <c r="AD2405" s="6">
        <v>22.78</v>
      </c>
      <c r="AE2405" s="1">
        <v>0</v>
      </c>
      <c r="AF2405" s="1">
        <f ca="1">IFERROR(__xludf.DUMMYFUNCTION("IFERROR(GOOGLEFINANCE(TRIM(F2405)&amp;"":"" &amp; TRIM(B2405),""high52""),AE2405)"),0)</f>
        <v>0</v>
      </c>
      <c r="AG2405" s="1">
        <v>0</v>
      </c>
      <c r="AH2405" s="1">
        <f ca="1">IFERROR(__xludf.DUMMYFUNCTION("IFERROR(GOOGLEFINANCE(TRIM(F2405)&amp;"":"" &amp; TRIM(B2405),""low52""),AE2405)"),0)</f>
        <v>0</v>
      </c>
      <c r="AI2405" s="1">
        <f ca="1">IFERROR(__xludf.DUMMYFUNCTION("IFERROR(GOOGLEFINANCE(B2405,""eps""),0)"),0)</f>
        <v>0</v>
      </c>
      <c r="AJ2405" s="1"/>
      <c r="AK2405" s="9"/>
      <c r="AL2405" s="1" t="b">
        <f>ISBLANK(AB2405)</f>
        <v>0</v>
      </c>
    </row>
    <row r="2406" spans="1:38" ht="15" x14ac:dyDescent="0.25">
      <c r="A2406" s="1" t="s">
        <v>7517</v>
      </c>
      <c r="B2406" s="1" t="s">
        <v>7518</v>
      </c>
      <c r="C2406" s="1" t="s">
        <v>410</v>
      </c>
      <c r="D2406" s="1" t="s">
        <v>410</v>
      </c>
      <c r="E2406" s="6">
        <v>1088.07</v>
      </c>
      <c r="F2406" s="1" t="s">
        <v>53</v>
      </c>
      <c r="G2406" s="6">
        <f ca="1">IFERROR(__xludf.DUMMYFUNCTION("iferror(GOOGLEFINANCE(TRIM(F2406)&amp;"":"" &amp; TRIM(B2406), ""price""),0
)"),0)</f>
        <v>0</v>
      </c>
      <c r="H2406" s="6">
        <v>8389.9500000000007</v>
      </c>
      <c r="I2406" s="6">
        <f t="shared" ca="1" si="0"/>
        <v>8389.9500000000007</v>
      </c>
      <c r="J2406" s="6">
        <f ca="1">IFERROR(__xludf.DUMMYFUNCTION("IFERROR(GOOGLEFINANCE(B2406, ""volume""), 0)"),0)</f>
        <v>0</v>
      </c>
      <c r="K2406" s="6">
        <v>0.24</v>
      </c>
      <c r="L2406" s="6">
        <f ca="1">IFERROR(__xludf.DUMMYFUNCTION("IFERROR(GOOGLEFINANCE(B2406,""changepct""),K2406)"),0.24)</f>
        <v>0.24</v>
      </c>
      <c r="M2406" s="6">
        <f ca="1">IFERROR(__xludf.DUMMYFUNCTION("IFERROR(GOOGLEFINANCE(B2406,""change""),0)"),0)</f>
        <v>0</v>
      </c>
      <c r="N2406" s="6">
        <v>1</v>
      </c>
      <c r="O2406" s="7">
        <v>45536</v>
      </c>
      <c r="P2406" s="9"/>
      <c r="Q2406" s="6">
        <v>1023.67</v>
      </c>
      <c r="R2406" s="7">
        <v>45536</v>
      </c>
      <c r="S2406" s="6">
        <v>116.67</v>
      </c>
      <c r="T2406" s="6">
        <v>36.54</v>
      </c>
      <c r="U2406" s="7">
        <v>45536</v>
      </c>
      <c r="V2406" s="6">
        <v>29.78</v>
      </c>
      <c r="W2406" s="6">
        <f ca="1">IFERROR(__xludf.DUMMYFUNCTION("IFERROR(GOOGLEFINANCE(B2406,""pe""),V2406)"),29.78)</f>
        <v>29.78</v>
      </c>
      <c r="X2406" s="6">
        <v>0.91</v>
      </c>
      <c r="Y2406" s="6">
        <v>7.59</v>
      </c>
      <c r="Z2406" s="6">
        <v>1</v>
      </c>
      <c r="AA2406" s="8">
        <v>45352</v>
      </c>
      <c r="AB2406" s="4">
        <v>0</v>
      </c>
      <c r="AC2406" s="6">
        <v>30.97</v>
      </c>
      <c r="AD2406" s="6">
        <v>41.64</v>
      </c>
      <c r="AE2406" s="1">
        <v>0</v>
      </c>
      <c r="AF2406" s="1">
        <f ca="1">IFERROR(__xludf.DUMMYFUNCTION("IFERROR(GOOGLEFINANCE(TRIM(F2406)&amp;"":"" &amp; TRIM(B2406),""high52""),AE2406)"),0)</f>
        <v>0</v>
      </c>
      <c r="AG2406" s="1">
        <v>0</v>
      </c>
      <c r="AH2406" s="1">
        <f ca="1">IFERROR(__xludf.DUMMYFUNCTION("IFERROR(GOOGLEFINANCE(TRIM(F2406)&amp;"":"" &amp; TRIM(B2406),""low52""),AE2406)"),0)</f>
        <v>0</v>
      </c>
      <c r="AI2406" s="1">
        <f ca="1">IFERROR(__xludf.DUMMYFUNCTION("IFERROR(GOOGLEFINANCE(B2406,""eps""),0)"),0)</f>
        <v>0</v>
      </c>
      <c r="AJ2406" s="1"/>
      <c r="AK2406" s="1" t="s">
        <v>7519</v>
      </c>
      <c r="AL2406" s="9">
        <f t="shared" ref="AL2406:AL2411" si="247">IF(AA2406&lt;&gt;AB2406,1,0)</f>
        <v>1</v>
      </c>
    </row>
    <row r="2407" spans="1:38" ht="15" x14ac:dyDescent="0.25">
      <c r="A2407" s="1" t="s">
        <v>7520</v>
      </c>
      <c r="B2407" s="1" t="s">
        <v>7521</v>
      </c>
      <c r="C2407" s="1" t="s">
        <v>410</v>
      </c>
      <c r="D2407" s="1" t="s">
        <v>410</v>
      </c>
      <c r="E2407" s="6">
        <v>30.53</v>
      </c>
      <c r="F2407" s="1" t="s">
        <v>53</v>
      </c>
      <c r="G2407" s="6">
        <f ca="1">IFERROR(__xludf.DUMMYFUNCTION("iferror(GOOGLEFINANCE(TRIM(F2407)&amp;"":"" &amp; TRIM(B2407), ""price""),0
)"),0)</f>
        <v>0</v>
      </c>
      <c r="H2407" s="6">
        <v>18.37</v>
      </c>
      <c r="I2407" s="6">
        <f t="shared" ca="1" si="0"/>
        <v>18.37</v>
      </c>
      <c r="J2407" s="6">
        <f ca="1">IFERROR(__xludf.DUMMYFUNCTION("IFERROR(GOOGLEFINANCE(B2407, ""volume""), 0)"),0)</f>
        <v>0</v>
      </c>
      <c r="K2407" s="6">
        <v>1.38</v>
      </c>
      <c r="L2407" s="6">
        <f ca="1">IFERROR(__xludf.DUMMYFUNCTION("IFERROR(GOOGLEFINANCE(B2407,""changepct""),K2407)"),1.38)</f>
        <v>1.38</v>
      </c>
      <c r="M2407" s="6">
        <f ca="1">IFERROR(__xludf.DUMMYFUNCTION("IFERROR(GOOGLEFINANCE(B2407,""change""),0)"),0)</f>
        <v>0</v>
      </c>
      <c r="N2407" s="6">
        <v>1</v>
      </c>
      <c r="O2407" s="7">
        <v>45536</v>
      </c>
      <c r="P2407" s="6">
        <v>1.91</v>
      </c>
      <c r="Q2407" s="6">
        <v>32.44</v>
      </c>
      <c r="R2407" s="7">
        <v>45536</v>
      </c>
      <c r="S2407" s="6">
        <v>6.39</v>
      </c>
      <c r="T2407" s="6">
        <v>0.17</v>
      </c>
      <c r="U2407" s="7">
        <v>45536</v>
      </c>
      <c r="V2407" s="6">
        <v>183.93</v>
      </c>
      <c r="W2407" s="6">
        <f ca="1">IFERROR(__xludf.DUMMYFUNCTION("IFERROR(GOOGLEFINANCE(B2407,""pe""),V2407)"),183.93)</f>
        <v>183.93</v>
      </c>
      <c r="X2407" s="6">
        <v>-14.14</v>
      </c>
      <c r="Y2407" s="6">
        <v>11.92</v>
      </c>
      <c r="Z2407" s="6">
        <v>1</v>
      </c>
      <c r="AA2407" s="8">
        <v>45352</v>
      </c>
      <c r="AB2407" s="4">
        <v>1.04</v>
      </c>
      <c r="AC2407" s="6">
        <v>6.25</v>
      </c>
      <c r="AD2407" s="6">
        <v>10.039999999999999</v>
      </c>
      <c r="AE2407" s="1">
        <v>0</v>
      </c>
      <c r="AF2407" s="1">
        <f ca="1">IFERROR(__xludf.DUMMYFUNCTION("IFERROR(GOOGLEFINANCE(TRIM(F2407)&amp;"":"" &amp; TRIM(B2407),""high52""),AE2407)"),0)</f>
        <v>0</v>
      </c>
      <c r="AG2407" s="1">
        <v>0</v>
      </c>
      <c r="AH2407" s="1">
        <f ca="1">IFERROR(__xludf.DUMMYFUNCTION("IFERROR(GOOGLEFINANCE(TRIM(F2407)&amp;"":"" &amp; TRIM(B2407),""low52""),AE2407)"),0)</f>
        <v>0</v>
      </c>
      <c r="AI2407" s="1">
        <f ca="1">IFERROR(__xludf.DUMMYFUNCTION("IFERROR(GOOGLEFINANCE(B2407,""eps""),0)"),0)</f>
        <v>0</v>
      </c>
      <c r="AJ2407" s="1"/>
      <c r="AK2407" s="1" t="s">
        <v>7522</v>
      </c>
      <c r="AL2407" s="9">
        <f t="shared" si="247"/>
        <v>1</v>
      </c>
    </row>
    <row r="2408" spans="1:38" ht="15" x14ac:dyDescent="0.25">
      <c r="A2408" s="1" t="s">
        <v>7523</v>
      </c>
      <c r="B2408" s="1" t="s">
        <v>7524</v>
      </c>
      <c r="C2408" s="1" t="s">
        <v>208</v>
      </c>
      <c r="D2408" s="1" t="s">
        <v>208</v>
      </c>
      <c r="E2408" s="6">
        <v>292.38</v>
      </c>
      <c r="F2408" s="1" t="s">
        <v>40</v>
      </c>
      <c r="G2408" s="6">
        <f ca="1">IFERROR(__xludf.DUMMYFUNCTION("iferror(GOOGLEFINANCE(TRIM(F2408)&amp;"":"" &amp; TRIM(B2408), ""price""),0
)"),161.01)</f>
        <v>161.01</v>
      </c>
      <c r="H2408" s="6">
        <v>151.81</v>
      </c>
      <c r="I2408" s="6">
        <f t="shared" ca="1" si="0"/>
        <v>161.01</v>
      </c>
      <c r="J2408" s="6">
        <f ca="1">IFERROR(__xludf.DUMMYFUNCTION("IFERROR(GOOGLEFINANCE(B2408, ""volume""), 0)"),42002)</f>
        <v>42002</v>
      </c>
      <c r="K2408" s="6">
        <v>1.55</v>
      </c>
      <c r="L2408" s="6">
        <f ca="1">IFERROR(__xludf.DUMMYFUNCTION("IFERROR(GOOGLEFINANCE(B2408,""changepct""),K2408)"),-6.11)</f>
        <v>-6.11</v>
      </c>
      <c r="M2408" s="6">
        <f ca="1">IFERROR(__xludf.DUMMYFUNCTION("IFERROR(GOOGLEFINANCE(B2408,""change""),0)"),-10.48)</f>
        <v>-10.48</v>
      </c>
      <c r="N2408" s="6">
        <v>1</v>
      </c>
      <c r="O2408" s="7">
        <v>45536</v>
      </c>
      <c r="P2408" s="6">
        <v>12.42</v>
      </c>
      <c r="Q2408" s="7">
        <v>45536</v>
      </c>
      <c r="R2408" s="6">
        <v>23.54</v>
      </c>
      <c r="S2408" s="6">
        <v>1.98</v>
      </c>
      <c r="T2408" s="6">
        <v>2.1800000000000002</v>
      </c>
      <c r="U2408" s="6">
        <v>1</v>
      </c>
      <c r="V2408" s="7">
        <v>45352</v>
      </c>
      <c r="W2408" s="6">
        <f ca="1">IFERROR(__xludf.DUMMYFUNCTION("IFERROR(GOOGLEFINANCE(B2408,""pe""),V2408)"),27.02)</f>
        <v>27.02</v>
      </c>
      <c r="X2408" s="6">
        <v>1.1100000000000001</v>
      </c>
      <c r="Y2408" s="6">
        <v>8.9700000000000006</v>
      </c>
      <c r="Z2408" s="6">
        <v>10.32</v>
      </c>
      <c r="AA2408" s="3" t="s">
        <v>7525</v>
      </c>
      <c r="AB2408" s="3"/>
      <c r="AC2408" s="9"/>
      <c r="AD2408" s="9"/>
      <c r="AE2408" s="1">
        <v>0</v>
      </c>
      <c r="AF2408" s="1">
        <f ca="1">IFERROR(__xludf.DUMMYFUNCTION("IFERROR(GOOGLEFINANCE(TRIM(F2408)&amp;"":"" &amp; TRIM(B2408),""high52""),AE2408)"),215.75)</f>
        <v>215.75</v>
      </c>
      <c r="AG2408" s="1">
        <v>0</v>
      </c>
      <c r="AH2408" s="1">
        <f ca="1">IFERROR(__xludf.DUMMYFUNCTION("IFERROR(GOOGLEFINANCE(TRIM(F2408)&amp;"":"" &amp; TRIM(B2408),""low52""),AE2408)"),145)</f>
        <v>145</v>
      </c>
      <c r="AI2408" s="1">
        <f ca="1">IFERROR(__xludf.DUMMYFUNCTION("IFERROR(GOOGLEFINANCE(B2408,""eps""),0)"),5.96)</f>
        <v>5.96</v>
      </c>
      <c r="AJ2408" s="1"/>
      <c r="AK2408" s="1" t="s">
        <v>7526</v>
      </c>
      <c r="AL2408" s="9">
        <f t="shared" si="247"/>
        <v>1</v>
      </c>
    </row>
    <row r="2409" spans="1:38" ht="15" x14ac:dyDescent="0.25">
      <c r="A2409" s="1" t="s">
        <v>7527</v>
      </c>
      <c r="B2409" s="1" t="s">
        <v>7528</v>
      </c>
      <c r="C2409" s="1" t="s">
        <v>219</v>
      </c>
      <c r="D2409" s="1" t="s">
        <v>219</v>
      </c>
      <c r="E2409" s="6">
        <v>100.1</v>
      </c>
      <c r="F2409" s="1" t="s">
        <v>40</v>
      </c>
      <c r="G2409" s="6">
        <f ca="1">IFERROR(__xludf.DUMMYFUNCTION("iferror(GOOGLEFINANCE(TRIM(F2409)&amp;"":"" &amp; TRIM(B2409), ""price""),0
)"),0)</f>
        <v>0</v>
      </c>
      <c r="H2409" s="6">
        <v>40.549999999999997</v>
      </c>
      <c r="I2409" s="6">
        <f t="shared" ca="1" si="0"/>
        <v>40.549999999999997</v>
      </c>
      <c r="J2409" s="6">
        <f ca="1">IFERROR(__xludf.DUMMYFUNCTION("IFERROR(GOOGLEFINANCE(B2409, ""volume""), 0)"),39248)</f>
        <v>39248</v>
      </c>
      <c r="K2409" s="9"/>
      <c r="L2409" s="6">
        <f ca="1">IFERROR(__xludf.DUMMYFUNCTION("IFERROR(GOOGLEFINANCE(B2409,""changepct""),K2409)"),-2.21)</f>
        <v>-2.21</v>
      </c>
      <c r="M2409" s="6">
        <f ca="1">IFERROR(__xludf.DUMMYFUNCTION("IFERROR(GOOGLEFINANCE(B2409,""change""),0)"),-0.47)</f>
        <v>-0.47</v>
      </c>
      <c r="N2409" s="6">
        <v>1</v>
      </c>
      <c r="O2409" s="7">
        <v>45536</v>
      </c>
      <c r="P2409" s="6">
        <v>178.92</v>
      </c>
      <c r="Q2409" s="6">
        <v>279.02</v>
      </c>
      <c r="R2409" s="7">
        <v>45352</v>
      </c>
      <c r="S2409" s="6">
        <v>304.55</v>
      </c>
      <c r="T2409" s="6">
        <v>11.47</v>
      </c>
      <c r="U2409" s="7">
        <v>45352</v>
      </c>
      <c r="V2409" s="6">
        <v>8.73</v>
      </c>
      <c r="W2409" s="6">
        <f ca="1">IFERROR(__xludf.DUMMYFUNCTION("IFERROR(GOOGLEFINANCE(B2409,""pe""),V2409)"),26.58)</f>
        <v>26.58</v>
      </c>
      <c r="X2409" s="9"/>
      <c r="Y2409" s="6">
        <v>0.74</v>
      </c>
      <c r="Z2409" s="6">
        <v>1</v>
      </c>
      <c r="AA2409" s="8">
        <v>45352</v>
      </c>
      <c r="AB2409" s="4">
        <v>1.1200000000000001</v>
      </c>
      <c r="AC2409" s="6">
        <v>10.73</v>
      </c>
      <c r="AD2409" s="6">
        <v>10.75</v>
      </c>
      <c r="AE2409" s="1">
        <v>0</v>
      </c>
      <c r="AF2409" s="1">
        <f ca="1">IFERROR(__xludf.DUMMYFUNCTION("IFERROR(GOOGLEFINANCE(TRIM(F2409)&amp;"":"" &amp; TRIM(B2409),""high52""),AE2409)"),0)</f>
        <v>0</v>
      </c>
      <c r="AG2409" s="1">
        <v>0</v>
      </c>
      <c r="AH2409" s="1">
        <f ca="1">IFERROR(__xludf.DUMMYFUNCTION("IFERROR(GOOGLEFINANCE(TRIM(F2409)&amp;"":"" &amp; TRIM(B2409),""low52""),AE2409)"),0)</f>
        <v>0</v>
      </c>
      <c r="AI2409" s="1">
        <f ca="1">IFERROR(__xludf.DUMMYFUNCTION("IFERROR(GOOGLEFINANCE(B2409,""eps""),0)"),0.78)</f>
        <v>0.78</v>
      </c>
      <c r="AJ2409" s="1"/>
      <c r="AK2409" s="1" t="s">
        <v>7529</v>
      </c>
      <c r="AL2409" s="9">
        <f t="shared" si="247"/>
        <v>1</v>
      </c>
    </row>
    <row r="2410" spans="1:38" ht="15" x14ac:dyDescent="0.25">
      <c r="A2410" s="1" t="s">
        <v>7530</v>
      </c>
      <c r="B2410" s="1" t="s">
        <v>7531</v>
      </c>
      <c r="C2410" s="1" t="s">
        <v>410</v>
      </c>
      <c r="D2410" s="1" t="s">
        <v>410</v>
      </c>
      <c r="E2410" s="6">
        <v>241.2</v>
      </c>
      <c r="F2410" s="1" t="s">
        <v>53</v>
      </c>
      <c r="G2410" s="6">
        <f ca="1">IFERROR(__xludf.DUMMYFUNCTION("iferror(GOOGLEFINANCE(TRIM(F2410)&amp;"":"" &amp; TRIM(B2410), ""price""),0
)"),0)</f>
        <v>0</v>
      </c>
      <c r="H2410" s="6">
        <v>45.76</v>
      </c>
      <c r="I2410" s="6">
        <f t="shared" ca="1" si="0"/>
        <v>45.76</v>
      </c>
      <c r="J2410" s="6">
        <f ca="1">IFERROR(__xludf.DUMMYFUNCTION("IFERROR(GOOGLEFINANCE(B2410, ""volume""), 0)"),0)</f>
        <v>0</v>
      </c>
      <c r="K2410" s="6">
        <v>4</v>
      </c>
      <c r="L2410" s="6">
        <f ca="1">IFERROR(__xludf.DUMMYFUNCTION("IFERROR(GOOGLEFINANCE(B2410,""changepct""),K2410)"),4)</f>
        <v>4</v>
      </c>
      <c r="M2410" s="6">
        <f ca="1">IFERROR(__xludf.DUMMYFUNCTION("IFERROR(GOOGLEFINANCE(B2410,""change""),0)"),0)</f>
        <v>0</v>
      </c>
      <c r="N2410" s="6">
        <v>2</v>
      </c>
      <c r="O2410" s="7">
        <v>45536</v>
      </c>
      <c r="P2410" s="6">
        <v>242.26</v>
      </c>
      <c r="Q2410" s="6">
        <v>454.37</v>
      </c>
      <c r="R2410" s="7">
        <v>45536</v>
      </c>
      <c r="S2410" s="6">
        <v>130.6</v>
      </c>
      <c r="T2410" s="6">
        <v>10.78</v>
      </c>
      <c r="U2410" s="7">
        <v>45536</v>
      </c>
      <c r="V2410" s="6">
        <v>22.37</v>
      </c>
      <c r="W2410" s="6">
        <f ca="1">IFERROR(__xludf.DUMMYFUNCTION("IFERROR(GOOGLEFINANCE(B2410,""pe""),V2410)"),22.37)</f>
        <v>22.37</v>
      </c>
      <c r="X2410" s="6">
        <v>1.1399999999999999</v>
      </c>
      <c r="Y2410" s="6">
        <v>-2</v>
      </c>
      <c r="Z2410" s="6">
        <v>2</v>
      </c>
      <c r="AA2410" s="8">
        <v>45352</v>
      </c>
      <c r="AB2410" s="4">
        <v>-2.17</v>
      </c>
      <c r="AC2410" s="6">
        <v>0</v>
      </c>
      <c r="AD2410" s="6">
        <v>30.54</v>
      </c>
      <c r="AE2410" s="1">
        <v>0</v>
      </c>
      <c r="AF2410" s="1">
        <f ca="1">IFERROR(__xludf.DUMMYFUNCTION("IFERROR(GOOGLEFINANCE(TRIM(F2410)&amp;"":"" &amp; TRIM(B2410),""high52""),AE2410)"),0)</f>
        <v>0</v>
      </c>
      <c r="AG2410" s="1">
        <v>0</v>
      </c>
      <c r="AH2410" s="1">
        <f ca="1">IFERROR(__xludf.DUMMYFUNCTION("IFERROR(GOOGLEFINANCE(TRIM(F2410)&amp;"":"" &amp; TRIM(B2410),""low52""),AE2410)"),0)</f>
        <v>0</v>
      </c>
      <c r="AI2410" s="1">
        <f ca="1">IFERROR(__xludf.DUMMYFUNCTION("IFERROR(GOOGLEFINANCE(B2410,""eps""),0)"),0)</f>
        <v>0</v>
      </c>
      <c r="AJ2410" s="1"/>
      <c r="AK2410" s="1" t="s">
        <v>7532</v>
      </c>
      <c r="AL2410" s="9">
        <f t="shared" si="247"/>
        <v>1</v>
      </c>
    </row>
    <row r="2411" spans="1:38" ht="15" x14ac:dyDescent="0.25">
      <c r="A2411" s="1" t="s">
        <v>7533</v>
      </c>
      <c r="B2411" s="1" t="s">
        <v>7534</v>
      </c>
      <c r="C2411" s="1" t="s">
        <v>410</v>
      </c>
      <c r="D2411" s="1" t="s">
        <v>410</v>
      </c>
      <c r="E2411" s="6">
        <v>24.39</v>
      </c>
      <c r="F2411" s="1" t="s">
        <v>53</v>
      </c>
      <c r="G2411" s="6">
        <f ca="1">IFERROR(__xludf.DUMMYFUNCTION("iferror(GOOGLEFINANCE(TRIM(F2411)&amp;"":"" &amp; TRIM(B2411), ""price""),0
)"),0)</f>
        <v>0</v>
      </c>
      <c r="H2411" s="6">
        <v>70.099999999999994</v>
      </c>
      <c r="I2411" s="6">
        <f t="shared" ca="1" si="0"/>
        <v>70.099999999999994</v>
      </c>
      <c r="J2411" s="6">
        <f ca="1">IFERROR(__xludf.DUMMYFUNCTION("IFERROR(GOOGLEFINANCE(B2411, ""volume""), 0)"),0)</f>
        <v>0</v>
      </c>
      <c r="K2411" s="6">
        <v>3.47</v>
      </c>
      <c r="L2411" s="6">
        <f ca="1">IFERROR(__xludf.DUMMYFUNCTION("IFERROR(GOOGLEFINANCE(B2411,""changepct""),K2411)"),3.47)</f>
        <v>3.47</v>
      </c>
      <c r="M2411" s="6">
        <f ca="1">IFERROR(__xludf.DUMMYFUNCTION("IFERROR(GOOGLEFINANCE(B2411,""change""),0)"),0)</f>
        <v>0</v>
      </c>
      <c r="N2411" s="6">
        <v>1</v>
      </c>
      <c r="O2411" s="7">
        <v>45536</v>
      </c>
      <c r="P2411" s="6">
        <v>2.94</v>
      </c>
      <c r="Q2411" s="6">
        <v>27.33</v>
      </c>
      <c r="R2411" s="7">
        <v>45536</v>
      </c>
      <c r="S2411" s="6">
        <v>8.36</v>
      </c>
      <c r="T2411" s="6">
        <v>0</v>
      </c>
      <c r="U2411" s="7">
        <v>45536</v>
      </c>
      <c r="V2411" s="6">
        <v>0</v>
      </c>
      <c r="W2411" s="6">
        <f ca="1">IFERROR(__xludf.DUMMYFUNCTION("IFERROR(GOOGLEFINANCE(B2411,""pe""),V2411)"),0)</f>
        <v>0</v>
      </c>
      <c r="X2411" s="6">
        <v>0</v>
      </c>
      <c r="Y2411" s="6">
        <v>2.0699999999999998</v>
      </c>
      <c r="Z2411" s="6">
        <v>1</v>
      </c>
      <c r="AA2411" s="8">
        <v>45352</v>
      </c>
      <c r="AB2411" s="4">
        <v>0.13</v>
      </c>
      <c r="AC2411" s="6">
        <v>5.67</v>
      </c>
      <c r="AD2411" s="6">
        <v>3.11</v>
      </c>
      <c r="AE2411" s="1">
        <v>0</v>
      </c>
      <c r="AF2411" s="1">
        <f ca="1">IFERROR(__xludf.DUMMYFUNCTION("IFERROR(GOOGLEFINANCE(TRIM(F2411)&amp;"":"" &amp; TRIM(B2411),""high52""),AE2411)"),0)</f>
        <v>0</v>
      </c>
      <c r="AG2411" s="1">
        <v>0</v>
      </c>
      <c r="AH2411" s="1">
        <f ca="1">IFERROR(__xludf.DUMMYFUNCTION("IFERROR(GOOGLEFINANCE(TRIM(F2411)&amp;"":"" &amp; TRIM(B2411),""low52""),AE2411)"),0)</f>
        <v>0</v>
      </c>
      <c r="AI2411" s="1">
        <f ca="1">IFERROR(__xludf.DUMMYFUNCTION("IFERROR(GOOGLEFINANCE(B2411,""eps""),0)"),0)</f>
        <v>0</v>
      </c>
      <c r="AJ2411" s="1"/>
      <c r="AK2411" s="9"/>
      <c r="AL2411" s="9">
        <f t="shared" si="247"/>
        <v>1</v>
      </c>
    </row>
    <row r="2412" spans="1:38" ht="15" x14ac:dyDescent="0.25">
      <c r="A2412" s="1" t="s">
        <v>7535</v>
      </c>
      <c r="B2412" s="1" t="s">
        <v>7536</v>
      </c>
      <c r="C2412" s="1" t="s">
        <v>239</v>
      </c>
      <c r="D2412" s="1" t="s">
        <v>239</v>
      </c>
      <c r="E2412" s="6">
        <v>2725.26</v>
      </c>
      <c r="F2412" s="1" t="s">
        <v>40</v>
      </c>
      <c r="G2412" s="6">
        <f ca="1">IFERROR(__xludf.DUMMYFUNCTION("iferror(GOOGLEFINANCE(TRIM(F2412)&amp;"":"" &amp; TRIM(B2412), ""price""),0
)"),773.2)</f>
        <v>773.2</v>
      </c>
      <c r="H2412" s="6">
        <v>1010.85</v>
      </c>
      <c r="I2412" s="6">
        <f t="shared" ca="1" si="0"/>
        <v>773.2</v>
      </c>
      <c r="J2412" s="6">
        <f ca="1">IFERROR(__xludf.DUMMYFUNCTION("IFERROR(GOOGLEFINANCE(B2412, ""volume""), 0)"),54160)</f>
        <v>54160</v>
      </c>
      <c r="K2412" s="6">
        <v>1.98</v>
      </c>
      <c r="L2412" s="6">
        <f ca="1">IFERROR(__xludf.DUMMYFUNCTION("IFERROR(GOOGLEFINANCE(B2412,""changepct""),K2412)"),0.66)</f>
        <v>0.66</v>
      </c>
      <c r="M2412" s="6">
        <f ca="1">IFERROR(__xludf.DUMMYFUNCTION("IFERROR(GOOGLEFINANCE(B2412,""change""),0)"),5.05)</f>
        <v>5.05</v>
      </c>
      <c r="N2412" s="6">
        <v>1</v>
      </c>
      <c r="O2412" s="7">
        <v>45536</v>
      </c>
      <c r="P2412" s="6">
        <v>633.03</v>
      </c>
      <c r="Q2412" s="6">
        <v>3197.9</v>
      </c>
      <c r="R2412" s="7">
        <v>45536</v>
      </c>
      <c r="S2412" s="6">
        <v>1616.45</v>
      </c>
      <c r="T2412" s="6">
        <v>53.58</v>
      </c>
      <c r="U2412" s="7">
        <v>45536</v>
      </c>
      <c r="V2412" s="6">
        <v>50.87</v>
      </c>
      <c r="W2412" s="6">
        <f ca="1">IFERROR(__xludf.DUMMYFUNCTION("IFERROR(GOOGLEFINANCE(B2412,""pe""),V2412)"),27.59)</f>
        <v>27.59</v>
      </c>
      <c r="X2412" s="6">
        <v>0.98</v>
      </c>
      <c r="Y2412" s="6">
        <v>3.29</v>
      </c>
      <c r="Z2412" s="6">
        <v>1</v>
      </c>
      <c r="AA2412" s="8">
        <v>45352</v>
      </c>
      <c r="AB2412" s="4">
        <v>0.74</v>
      </c>
      <c r="AC2412" s="6">
        <v>7.62</v>
      </c>
      <c r="AD2412" s="6">
        <v>12</v>
      </c>
      <c r="AE2412" s="1">
        <v>0</v>
      </c>
      <c r="AF2412" s="1">
        <f ca="1">IFERROR(__xludf.DUMMYFUNCTION("IFERROR(GOOGLEFINANCE(TRIM(F2412)&amp;"":"" &amp; TRIM(B2412),""high52""),AE2412)"),888)</f>
        <v>888</v>
      </c>
      <c r="AG2412" s="1">
        <v>0</v>
      </c>
      <c r="AH2412" s="1">
        <f ca="1">IFERROR(__xludf.DUMMYFUNCTION("IFERROR(GOOGLEFINANCE(TRIM(F2412)&amp;"":"" &amp; TRIM(B2412),""low52""),AE2412)"),665)</f>
        <v>665</v>
      </c>
      <c r="AI2412" s="1">
        <f ca="1">IFERROR(__xludf.DUMMYFUNCTION("IFERROR(GOOGLEFINANCE(B2412,""eps""),0)"),28.03)</f>
        <v>28.03</v>
      </c>
      <c r="AJ2412" s="1"/>
      <c r="AK2412" s="1" t="s">
        <v>7537</v>
      </c>
      <c r="AL2412" s="1" t="b">
        <f>ISNUMBER(AA2412)</f>
        <v>1</v>
      </c>
    </row>
    <row r="2413" spans="1:38" ht="15" x14ac:dyDescent="0.25">
      <c r="A2413" s="1" t="s">
        <v>7538</v>
      </c>
      <c r="B2413" s="1" t="s">
        <v>7539</v>
      </c>
      <c r="C2413" s="1" t="s">
        <v>106</v>
      </c>
      <c r="D2413" s="1" t="s">
        <v>106</v>
      </c>
      <c r="E2413" s="6">
        <v>190.97</v>
      </c>
      <c r="F2413" s="1" t="s">
        <v>40</v>
      </c>
      <c r="G2413" s="6">
        <f ca="1">IFERROR(__xludf.DUMMYFUNCTION("iferror(GOOGLEFINANCE(TRIM(F2413)&amp;"":"" &amp; TRIM(B2413), ""price""),0
)"),36.1)</f>
        <v>36.1</v>
      </c>
      <c r="H2413" s="6">
        <v>120.01</v>
      </c>
      <c r="I2413" s="6">
        <f t="shared" ca="1" si="0"/>
        <v>36.1</v>
      </c>
      <c r="J2413" s="6">
        <f ca="1">IFERROR(__xludf.DUMMYFUNCTION("IFERROR(GOOGLEFINANCE(B2413, ""volume""), 0)"),589772)</f>
        <v>589772</v>
      </c>
      <c r="K2413" s="6">
        <v>-0.63</v>
      </c>
      <c r="L2413" s="6">
        <f ca="1">IFERROR(__xludf.DUMMYFUNCTION("IFERROR(GOOGLEFINANCE(B2413,""changepct""),K2413)"),4.97)</f>
        <v>4.97</v>
      </c>
      <c r="M2413" s="6">
        <f ca="1">IFERROR(__xludf.DUMMYFUNCTION("IFERROR(GOOGLEFINANCE(B2413,""change""),0)"),1.71)</f>
        <v>1.71</v>
      </c>
      <c r="N2413" s="6">
        <v>2</v>
      </c>
      <c r="O2413" s="7">
        <v>45536</v>
      </c>
      <c r="P2413" s="6">
        <v>74.73</v>
      </c>
      <c r="Q2413" s="6">
        <v>259.61</v>
      </c>
      <c r="R2413" s="7">
        <v>45536</v>
      </c>
      <c r="S2413" s="6">
        <v>356.05</v>
      </c>
      <c r="T2413" s="6">
        <v>9.4</v>
      </c>
      <c r="U2413" s="7">
        <v>45536</v>
      </c>
      <c r="V2413" s="6">
        <v>20.309999999999999</v>
      </c>
      <c r="W2413" s="6">
        <f ca="1">IFERROR(__xludf.DUMMYFUNCTION("IFERROR(GOOGLEFINANCE(B2413,""pe""),V2413)"),20.31)</f>
        <v>20.309999999999999</v>
      </c>
      <c r="X2413" s="9"/>
      <c r="Y2413" s="6">
        <v>1.29</v>
      </c>
      <c r="Z2413" s="6">
        <v>2</v>
      </c>
      <c r="AA2413" s="8">
        <v>45352</v>
      </c>
      <c r="AB2413" s="4">
        <v>0.7</v>
      </c>
      <c r="AC2413" s="6">
        <v>-6.68</v>
      </c>
      <c r="AD2413" s="6">
        <v>1.23</v>
      </c>
      <c r="AE2413" s="1">
        <v>0</v>
      </c>
      <c r="AF2413" s="1">
        <f ca="1">IFERROR(__xludf.DUMMYFUNCTION("IFERROR(GOOGLEFINANCE(TRIM(F2413)&amp;"":"" &amp; TRIM(B2413),""high52""),AE2413)"),116.02)</f>
        <v>116.02</v>
      </c>
      <c r="AG2413" s="1">
        <v>0</v>
      </c>
      <c r="AH2413" s="1">
        <f ca="1">IFERROR(__xludf.DUMMYFUNCTION("IFERROR(GOOGLEFINANCE(TRIM(F2413)&amp;"":"" &amp; TRIM(B2413),""low52""),AE2413)"),22.8)</f>
        <v>22.8</v>
      </c>
      <c r="AI2413" s="1">
        <f ca="1">IFERROR(__xludf.DUMMYFUNCTION("IFERROR(GOOGLEFINANCE(B2413,""eps""),0)"),-19.53)</f>
        <v>-19.53</v>
      </c>
      <c r="AJ2413" s="1"/>
      <c r="AK2413" s="1" t="s">
        <v>7540</v>
      </c>
      <c r="AL2413" s="9">
        <f>IF(AA2413&lt;&gt;AB2413,1,0)</f>
        <v>1</v>
      </c>
    </row>
    <row r="2414" spans="1:38" ht="15" x14ac:dyDescent="0.25">
      <c r="A2414" s="1" t="s">
        <v>7541</v>
      </c>
      <c r="B2414" s="1" t="s">
        <v>7542</v>
      </c>
      <c r="C2414" s="1" t="s">
        <v>99</v>
      </c>
      <c r="D2414" s="1" t="s">
        <v>99</v>
      </c>
      <c r="E2414" s="6">
        <v>483.79</v>
      </c>
      <c r="F2414" s="1" t="s">
        <v>40</v>
      </c>
      <c r="G2414" s="6">
        <f ca="1">IFERROR(__xludf.DUMMYFUNCTION("iferror(GOOGLEFINANCE(TRIM(F2414)&amp;"":"" &amp; TRIM(B2414), ""price""),0
)"),11.6)</f>
        <v>11.6</v>
      </c>
      <c r="H2414" s="6">
        <v>29.45</v>
      </c>
      <c r="I2414" s="6">
        <f t="shared" ca="1" si="0"/>
        <v>11.6</v>
      </c>
      <c r="J2414" s="6">
        <f ca="1">IFERROR(__xludf.DUMMYFUNCTION("IFERROR(GOOGLEFINANCE(B2414, ""volume""), 0)"),460926)</f>
        <v>460926</v>
      </c>
      <c r="K2414" s="6">
        <v>0.1</v>
      </c>
      <c r="L2414" s="6">
        <f ca="1">IFERROR(__xludf.DUMMYFUNCTION("IFERROR(GOOGLEFINANCE(B2414,""changepct""),K2414)"),-1.94)</f>
        <v>-1.94</v>
      </c>
      <c r="M2414" s="6">
        <f ca="1">IFERROR(__xludf.DUMMYFUNCTION("IFERROR(GOOGLEFINANCE(B2414,""change""),0)"),-0.23)</f>
        <v>-0.23</v>
      </c>
      <c r="N2414" s="6">
        <v>2</v>
      </c>
      <c r="O2414" s="7">
        <v>45536</v>
      </c>
      <c r="P2414" s="6">
        <v>208.18</v>
      </c>
      <c r="Q2414" s="6">
        <v>677.16</v>
      </c>
      <c r="R2414" s="7">
        <v>45536</v>
      </c>
      <c r="S2414" s="6">
        <v>2317.04</v>
      </c>
      <c r="T2414" s="6">
        <v>26.26</v>
      </c>
      <c r="U2414" s="7">
        <v>45536</v>
      </c>
      <c r="V2414" s="6">
        <v>18.43</v>
      </c>
      <c r="W2414" s="6">
        <f ca="1">IFERROR(__xludf.DUMMYFUNCTION("IFERROR(GOOGLEFINANCE(B2414,""pe""),V2414)"),10.03)</f>
        <v>10.029999999999999</v>
      </c>
      <c r="X2414" s="9"/>
      <c r="Y2414" s="6">
        <v>2.5299999999999998</v>
      </c>
      <c r="Z2414" s="6">
        <v>2</v>
      </c>
      <c r="AA2414" s="8">
        <v>45352</v>
      </c>
      <c r="AB2414" s="4">
        <v>1.45</v>
      </c>
      <c r="AC2414" s="6">
        <v>16.05</v>
      </c>
      <c r="AD2414" s="6">
        <v>14.4</v>
      </c>
      <c r="AE2414" s="1">
        <v>0</v>
      </c>
      <c r="AF2414" s="1">
        <f ca="1">IFERROR(__xludf.DUMMYFUNCTION("IFERROR(GOOGLEFINANCE(TRIM(F2414)&amp;"":"" &amp; TRIM(B2414),""high52""),AE2414)"),18.4)</f>
        <v>18.399999999999999</v>
      </c>
      <c r="AG2414" s="1">
        <v>0</v>
      </c>
      <c r="AH2414" s="1">
        <f ca="1">IFERROR(__xludf.DUMMYFUNCTION("IFERROR(GOOGLEFINANCE(TRIM(F2414)&amp;"":"" &amp; TRIM(B2414),""low52""),AE2414)"),11.27)</f>
        <v>11.27</v>
      </c>
      <c r="AI2414" s="1">
        <f ca="1">IFERROR(__xludf.DUMMYFUNCTION("IFERROR(GOOGLEFINANCE(B2414,""eps""),0)"),1.16)</f>
        <v>1.1599999999999999</v>
      </c>
      <c r="AJ2414" s="1"/>
      <c r="AK2414" s="1" t="s">
        <v>7543</v>
      </c>
      <c r="AL2414" s="1" t="b">
        <f>ISNUMBER(AA2414)</f>
        <v>1</v>
      </c>
    </row>
    <row r="2415" spans="1:38" ht="15" x14ac:dyDescent="0.25">
      <c r="A2415" s="1" t="s">
        <v>7544</v>
      </c>
      <c r="B2415" s="1" t="s">
        <v>7545</v>
      </c>
      <c r="C2415" s="1" t="s">
        <v>410</v>
      </c>
      <c r="D2415" s="1" t="s">
        <v>410</v>
      </c>
      <c r="E2415" s="6">
        <v>358.64</v>
      </c>
      <c r="F2415" s="1" t="s">
        <v>53</v>
      </c>
      <c r="G2415" s="6">
        <f ca="1">IFERROR(__xludf.DUMMYFUNCTION("iferror(GOOGLEFINANCE(TRIM(F2415)&amp;"":"" &amp; TRIM(B2415), ""price""),0
)"),0)</f>
        <v>0</v>
      </c>
      <c r="H2415" s="6">
        <v>243.55</v>
      </c>
      <c r="I2415" s="6">
        <f t="shared" ca="1" si="0"/>
        <v>243.55</v>
      </c>
      <c r="J2415" s="6">
        <f ca="1">IFERROR(__xludf.DUMMYFUNCTION("IFERROR(GOOGLEFINANCE(B2415, ""volume""), 0)"),0)</f>
        <v>0</v>
      </c>
      <c r="K2415" s="6">
        <v>1.99</v>
      </c>
      <c r="L2415" s="6">
        <f ca="1">IFERROR(__xludf.DUMMYFUNCTION("IFERROR(GOOGLEFINANCE(B2415,""changepct""),K2415)"),1.99)</f>
        <v>1.99</v>
      </c>
      <c r="M2415" s="6">
        <f ca="1">IFERROR(__xludf.DUMMYFUNCTION("IFERROR(GOOGLEFINANCE(B2415,""change""),0)"),0)</f>
        <v>0</v>
      </c>
      <c r="N2415" s="6">
        <v>1</v>
      </c>
      <c r="O2415" s="7">
        <v>45536</v>
      </c>
      <c r="P2415" s="6">
        <v>124.52</v>
      </c>
      <c r="Q2415" s="6">
        <v>482.83</v>
      </c>
      <c r="R2415" s="7">
        <v>45536</v>
      </c>
      <c r="S2415" s="6">
        <v>15.21</v>
      </c>
      <c r="T2415" s="6">
        <v>-10.5</v>
      </c>
      <c r="U2415" s="7">
        <v>45536</v>
      </c>
      <c r="V2415" s="6">
        <v>0</v>
      </c>
      <c r="W2415" s="6">
        <f ca="1">IFERROR(__xludf.DUMMYFUNCTION("IFERROR(GOOGLEFINANCE(B2415,""pe""),V2415)"),0)</f>
        <v>0</v>
      </c>
      <c r="X2415" s="6">
        <v>0</v>
      </c>
      <c r="Y2415" s="6">
        <v>-3.63</v>
      </c>
      <c r="Z2415" s="6">
        <v>1</v>
      </c>
      <c r="AA2415" s="8">
        <v>45352</v>
      </c>
      <c r="AB2415" s="4">
        <v>-1.1399999999999999</v>
      </c>
      <c r="AC2415" s="6">
        <v>0</v>
      </c>
      <c r="AD2415" s="6">
        <v>23.44</v>
      </c>
      <c r="AE2415" s="1">
        <v>0</v>
      </c>
      <c r="AF2415" s="1">
        <f ca="1">IFERROR(__xludf.DUMMYFUNCTION("IFERROR(GOOGLEFINANCE(TRIM(F2415)&amp;"":"" &amp; TRIM(B2415),""high52""),AE2415)"),0)</f>
        <v>0</v>
      </c>
      <c r="AG2415" s="1">
        <v>0</v>
      </c>
      <c r="AH2415" s="1">
        <f ca="1">IFERROR(__xludf.DUMMYFUNCTION("IFERROR(GOOGLEFINANCE(TRIM(F2415)&amp;"":"" &amp; TRIM(B2415),""low52""),AE2415)"),0)</f>
        <v>0</v>
      </c>
      <c r="AI2415" s="1">
        <f ca="1">IFERROR(__xludf.DUMMYFUNCTION("IFERROR(GOOGLEFINANCE(B2415,""eps""),0)"),0)</f>
        <v>0</v>
      </c>
      <c r="AJ2415" s="1"/>
      <c r="AK2415" s="1" t="s">
        <v>7546</v>
      </c>
      <c r="AL2415" s="9">
        <f t="shared" ref="AL2415:AL2440" si="248">IF(AA2415&lt;&gt;AB2415,1,0)</f>
        <v>1</v>
      </c>
    </row>
    <row r="2416" spans="1:38" ht="15" x14ac:dyDescent="0.25">
      <c r="A2416" s="1" t="s">
        <v>7547</v>
      </c>
      <c r="B2416" s="1" t="s">
        <v>7548</v>
      </c>
      <c r="C2416" s="1" t="s">
        <v>410</v>
      </c>
      <c r="D2416" s="1" t="s">
        <v>410</v>
      </c>
      <c r="E2416" s="6">
        <v>457.25</v>
      </c>
      <c r="F2416" s="1" t="s">
        <v>53</v>
      </c>
      <c r="G2416" s="6">
        <f ca="1">IFERROR(__xludf.DUMMYFUNCTION("iferror(GOOGLEFINANCE(TRIM(F2416)&amp;"":"" &amp; TRIM(B2416), ""price""),0
)"),0)</f>
        <v>0</v>
      </c>
      <c r="H2416" s="6">
        <v>64.25</v>
      </c>
      <c r="I2416" s="6">
        <f t="shared" ca="1" si="0"/>
        <v>64.25</v>
      </c>
      <c r="J2416" s="6">
        <f ca="1">IFERROR(__xludf.DUMMYFUNCTION("IFERROR(GOOGLEFINANCE(B2416, ""volume""), 0)"),0)</f>
        <v>0</v>
      </c>
      <c r="K2416" s="6">
        <v>-0.91</v>
      </c>
      <c r="L2416" s="6">
        <f ca="1">IFERROR(__xludf.DUMMYFUNCTION("IFERROR(GOOGLEFINANCE(B2416,""changepct""),K2416)"),-0.91)</f>
        <v>-0.91</v>
      </c>
      <c r="M2416" s="6">
        <f ca="1">IFERROR(__xludf.DUMMYFUNCTION("IFERROR(GOOGLEFINANCE(B2416,""change""),0)"),0)</f>
        <v>0</v>
      </c>
      <c r="N2416" s="6">
        <v>2</v>
      </c>
      <c r="O2416" s="7">
        <v>45536</v>
      </c>
      <c r="P2416" s="6">
        <v>4.2699999999999996</v>
      </c>
      <c r="Q2416" s="6">
        <v>459.57</v>
      </c>
      <c r="R2416" s="7">
        <v>45536</v>
      </c>
      <c r="S2416" s="6">
        <v>56.89</v>
      </c>
      <c r="T2416" s="6">
        <v>13.27</v>
      </c>
      <c r="U2416" s="7">
        <v>45536</v>
      </c>
      <c r="V2416" s="6">
        <v>34.46</v>
      </c>
      <c r="W2416" s="6">
        <f ca="1">IFERROR(__xludf.DUMMYFUNCTION("IFERROR(GOOGLEFINANCE(B2416,""pe""),V2416)"),34.46)</f>
        <v>34.46</v>
      </c>
      <c r="X2416" s="6">
        <v>1.18</v>
      </c>
      <c r="Y2416" s="6">
        <v>2.44</v>
      </c>
      <c r="Z2416" s="6">
        <v>2</v>
      </c>
      <c r="AA2416" s="8">
        <v>45352</v>
      </c>
      <c r="AB2416" s="4">
        <v>0.02</v>
      </c>
      <c r="AC2416" s="6">
        <v>1.74</v>
      </c>
      <c r="AD2416" s="6">
        <v>2.54</v>
      </c>
      <c r="AE2416" s="1">
        <v>0</v>
      </c>
      <c r="AF2416" s="1">
        <f ca="1">IFERROR(__xludf.DUMMYFUNCTION("IFERROR(GOOGLEFINANCE(TRIM(F2416)&amp;"":"" &amp; TRIM(B2416),""high52""),AE2416)"),0)</f>
        <v>0</v>
      </c>
      <c r="AG2416" s="1">
        <v>0</v>
      </c>
      <c r="AH2416" s="1">
        <f ca="1">IFERROR(__xludf.DUMMYFUNCTION("IFERROR(GOOGLEFINANCE(TRIM(F2416)&amp;"":"" &amp; TRIM(B2416),""low52""),AE2416)"),0)</f>
        <v>0</v>
      </c>
      <c r="AI2416" s="1">
        <f ca="1">IFERROR(__xludf.DUMMYFUNCTION("IFERROR(GOOGLEFINANCE(B2416,""eps""),0)"),0)</f>
        <v>0</v>
      </c>
      <c r="AJ2416" s="1"/>
      <c r="AK2416" s="1" t="s">
        <v>7549</v>
      </c>
      <c r="AL2416" s="9">
        <f t="shared" si="248"/>
        <v>1</v>
      </c>
    </row>
    <row r="2417" spans="1:38" ht="15" x14ac:dyDescent="0.25">
      <c r="A2417" s="1" t="s">
        <v>7550</v>
      </c>
      <c r="B2417" s="1" t="s">
        <v>7551</v>
      </c>
      <c r="C2417" s="1" t="s">
        <v>410</v>
      </c>
      <c r="D2417" s="1" t="s">
        <v>410</v>
      </c>
      <c r="E2417" s="6">
        <v>120.58</v>
      </c>
      <c r="F2417" s="1" t="s">
        <v>53</v>
      </c>
      <c r="G2417" s="6">
        <f ca="1">IFERROR(__xludf.DUMMYFUNCTION("iferror(GOOGLEFINANCE(TRIM(F2417)&amp;"":"" &amp; TRIM(B2417), ""price""),0
)"),0)</f>
        <v>0</v>
      </c>
      <c r="H2417" s="6">
        <v>310</v>
      </c>
      <c r="I2417" s="6">
        <f t="shared" ca="1" si="0"/>
        <v>310</v>
      </c>
      <c r="J2417" s="6">
        <f ca="1">IFERROR(__xludf.DUMMYFUNCTION("IFERROR(GOOGLEFINANCE(B2417, ""volume""), 0)"),0)</f>
        <v>0</v>
      </c>
      <c r="K2417" s="6">
        <v>-2.62</v>
      </c>
      <c r="L2417" s="6">
        <f ca="1">IFERROR(__xludf.DUMMYFUNCTION("IFERROR(GOOGLEFINANCE(B2417,""changepct""),K2417)"),-2.62)</f>
        <v>-2.62</v>
      </c>
      <c r="M2417" s="6">
        <f ca="1">IFERROR(__xludf.DUMMYFUNCTION("IFERROR(GOOGLEFINANCE(B2417,""change""),0)"),0)</f>
        <v>0</v>
      </c>
      <c r="N2417" s="6">
        <v>1</v>
      </c>
      <c r="O2417" s="7">
        <v>45536</v>
      </c>
      <c r="P2417" s="9"/>
      <c r="Q2417" s="6">
        <v>120.06</v>
      </c>
      <c r="R2417" s="7">
        <v>45536</v>
      </c>
      <c r="S2417" s="6">
        <v>3.51</v>
      </c>
      <c r="T2417" s="6">
        <v>4.5199999999999996</v>
      </c>
      <c r="U2417" s="7">
        <v>45536</v>
      </c>
      <c r="V2417" s="6">
        <v>26.67</v>
      </c>
      <c r="W2417" s="6">
        <f ca="1">IFERROR(__xludf.DUMMYFUNCTION("IFERROR(GOOGLEFINANCE(B2417,""pe""),V2417)"),26.67)</f>
        <v>26.67</v>
      </c>
      <c r="X2417" s="6">
        <v>8.98</v>
      </c>
      <c r="Y2417" s="6">
        <v>2.67</v>
      </c>
      <c r="Z2417" s="6">
        <v>1</v>
      </c>
      <c r="AA2417" s="8">
        <v>45352</v>
      </c>
      <c r="AB2417" s="4">
        <v>0</v>
      </c>
      <c r="AC2417" s="6">
        <v>11.2</v>
      </c>
      <c r="AD2417" s="6">
        <v>13.88</v>
      </c>
      <c r="AE2417" s="1">
        <v>0</v>
      </c>
      <c r="AF2417" s="1">
        <f ca="1">IFERROR(__xludf.DUMMYFUNCTION("IFERROR(GOOGLEFINANCE(TRIM(F2417)&amp;"":"" &amp; TRIM(B2417),""high52""),AE2417)"),0)</f>
        <v>0</v>
      </c>
      <c r="AG2417" s="1">
        <v>0</v>
      </c>
      <c r="AH2417" s="1">
        <f ca="1">IFERROR(__xludf.DUMMYFUNCTION("IFERROR(GOOGLEFINANCE(TRIM(F2417)&amp;"":"" &amp; TRIM(B2417),""low52""),AE2417)"),0)</f>
        <v>0</v>
      </c>
      <c r="AI2417" s="1">
        <f ca="1">IFERROR(__xludf.DUMMYFUNCTION("IFERROR(GOOGLEFINANCE(B2417,""eps""),0)"),0)</f>
        <v>0</v>
      </c>
      <c r="AJ2417" s="1"/>
      <c r="AK2417" s="1" t="s">
        <v>7552</v>
      </c>
      <c r="AL2417" s="9">
        <f t="shared" si="248"/>
        <v>1</v>
      </c>
    </row>
    <row r="2418" spans="1:38" ht="15" x14ac:dyDescent="0.25">
      <c r="A2418" s="1" t="s">
        <v>7553</v>
      </c>
      <c r="B2418" s="1" t="s">
        <v>7554</v>
      </c>
      <c r="C2418" s="1" t="s">
        <v>135</v>
      </c>
      <c r="D2418" s="1" t="s">
        <v>135</v>
      </c>
      <c r="E2418" s="6">
        <v>362.62</v>
      </c>
      <c r="F2418" s="1" t="s">
        <v>40</v>
      </c>
      <c r="G2418" s="6">
        <f ca="1">IFERROR(__xludf.DUMMYFUNCTION("iferror(GOOGLEFINANCE(TRIM(F2418)&amp;"":"" &amp; TRIM(B2418), ""price""),0
)"),468)</f>
        <v>468</v>
      </c>
      <c r="H2418" s="6">
        <v>425.8</v>
      </c>
      <c r="I2418" s="6">
        <f t="shared" ca="1" si="0"/>
        <v>468</v>
      </c>
      <c r="J2418" s="6">
        <f ca="1">IFERROR(__xludf.DUMMYFUNCTION("IFERROR(GOOGLEFINANCE(B2418, ""volume""), 0)"),17061)</f>
        <v>17061</v>
      </c>
      <c r="K2418" s="6">
        <v>0.77</v>
      </c>
      <c r="L2418" s="6">
        <f ca="1">IFERROR(__xludf.DUMMYFUNCTION("IFERROR(GOOGLEFINANCE(B2418,""changepct""),K2418)"),12.38)</f>
        <v>12.38</v>
      </c>
      <c r="M2418" s="6">
        <f ca="1">IFERROR(__xludf.DUMMYFUNCTION("IFERROR(GOOGLEFINANCE(B2418,""change""),0)"),51.55)</f>
        <v>51.55</v>
      </c>
      <c r="N2418" s="6">
        <v>2</v>
      </c>
      <c r="O2418" s="7">
        <v>45536</v>
      </c>
      <c r="P2418" s="6">
        <v>266.58</v>
      </c>
      <c r="Q2418" s="6">
        <v>627.71</v>
      </c>
      <c r="R2418" s="7">
        <v>45536</v>
      </c>
      <c r="S2418" s="6">
        <v>472.02</v>
      </c>
      <c r="T2418" s="6">
        <v>7.17</v>
      </c>
      <c r="U2418" s="7">
        <v>45536</v>
      </c>
      <c r="V2418" s="6">
        <v>50.56</v>
      </c>
      <c r="W2418" s="6">
        <f ca="1">IFERROR(__xludf.DUMMYFUNCTION("IFERROR(GOOGLEFINANCE(B2418,""pe""),V2418)"),16.52)</f>
        <v>16.52</v>
      </c>
      <c r="X2418" s="9"/>
      <c r="Y2418" s="6">
        <v>1.28</v>
      </c>
      <c r="Z2418" s="6">
        <v>2</v>
      </c>
      <c r="AA2418" s="8">
        <v>45352</v>
      </c>
      <c r="AB2418" s="4">
        <v>0.62</v>
      </c>
      <c r="AC2418" s="6">
        <v>1.54</v>
      </c>
      <c r="AD2418" s="6">
        <v>4.26</v>
      </c>
      <c r="AE2418" s="1">
        <v>0</v>
      </c>
      <c r="AF2418" s="1">
        <f ca="1">IFERROR(__xludf.DUMMYFUNCTION("IFERROR(GOOGLEFINANCE(TRIM(F2418)&amp;"":"" &amp; TRIM(B2418),""high52""),AE2418)"),637.85)</f>
        <v>637.85</v>
      </c>
      <c r="AG2418" s="1">
        <v>0</v>
      </c>
      <c r="AH2418" s="1">
        <f ca="1">IFERROR(__xludf.DUMMYFUNCTION("IFERROR(GOOGLEFINANCE(TRIM(F2418)&amp;"":"" &amp; TRIM(B2418),""low52""),AE2418)"),340.1)</f>
        <v>340.1</v>
      </c>
      <c r="AI2418" s="1">
        <f ca="1">IFERROR(__xludf.DUMMYFUNCTION("IFERROR(GOOGLEFINANCE(B2418,""eps""),0)"),28.32)</f>
        <v>28.32</v>
      </c>
      <c r="AJ2418" s="1"/>
      <c r="AK2418" s="1" t="s">
        <v>7555</v>
      </c>
      <c r="AL2418" s="9">
        <f t="shared" si="248"/>
        <v>1</v>
      </c>
    </row>
    <row r="2419" spans="1:38" ht="15" x14ac:dyDescent="0.25">
      <c r="A2419" s="1" t="s">
        <v>7556</v>
      </c>
      <c r="B2419" s="1" t="s">
        <v>7557</v>
      </c>
      <c r="C2419" s="1" t="s">
        <v>410</v>
      </c>
      <c r="D2419" s="1" t="s">
        <v>410</v>
      </c>
      <c r="E2419" s="6">
        <v>24.33</v>
      </c>
      <c r="F2419" s="1" t="s">
        <v>53</v>
      </c>
      <c r="G2419" s="6">
        <f ca="1">IFERROR(__xludf.DUMMYFUNCTION("iferror(GOOGLEFINANCE(TRIM(F2419)&amp;"":"" &amp; TRIM(B2419), ""price""),0
)"),0)</f>
        <v>0</v>
      </c>
      <c r="H2419" s="6">
        <v>26.5</v>
      </c>
      <c r="I2419" s="6">
        <f t="shared" ca="1" si="0"/>
        <v>26.5</v>
      </c>
      <c r="J2419" s="6">
        <f ca="1">IFERROR(__xludf.DUMMYFUNCTION("IFERROR(GOOGLEFINANCE(B2419, ""volume""), 0)"),0)</f>
        <v>0</v>
      </c>
      <c r="K2419" s="9"/>
      <c r="L2419" s="6" t="str">
        <f ca="1">IFERROR(__xludf.DUMMYFUNCTION("IFERROR(GOOGLEFINANCE(B2419,""changepct""),K2419)"),"")</f>
        <v/>
      </c>
      <c r="M2419" s="6">
        <f ca="1">IFERROR(__xludf.DUMMYFUNCTION("IFERROR(GOOGLEFINANCE(B2419,""change""),0)"),0)</f>
        <v>0</v>
      </c>
      <c r="N2419" s="6">
        <v>1</v>
      </c>
      <c r="O2419" s="7">
        <v>45536</v>
      </c>
      <c r="P2419" s="6">
        <v>5.12</v>
      </c>
      <c r="Q2419" s="6">
        <v>29.45</v>
      </c>
      <c r="R2419" s="7">
        <v>45536</v>
      </c>
      <c r="S2419" s="6">
        <v>14.53</v>
      </c>
      <c r="T2419" s="6">
        <v>-0.57999999999999996</v>
      </c>
      <c r="U2419" s="7">
        <v>45536</v>
      </c>
      <c r="V2419" s="6">
        <v>0</v>
      </c>
      <c r="W2419" s="6">
        <f ca="1">IFERROR(__xludf.DUMMYFUNCTION("IFERROR(GOOGLEFINANCE(B2419,""pe""),V2419)"),0)</f>
        <v>0</v>
      </c>
      <c r="X2419" s="6">
        <v>0</v>
      </c>
      <c r="Y2419" s="6">
        <v>2.57</v>
      </c>
      <c r="Z2419" s="6">
        <v>1</v>
      </c>
      <c r="AA2419" s="8">
        <v>45352</v>
      </c>
      <c r="AB2419" s="4">
        <v>0.46</v>
      </c>
      <c r="AC2419" s="6">
        <v>9.01</v>
      </c>
      <c r="AD2419" s="6">
        <v>10.220000000000001</v>
      </c>
      <c r="AE2419" s="1">
        <v>0</v>
      </c>
      <c r="AF2419" s="1">
        <f ca="1">IFERROR(__xludf.DUMMYFUNCTION("IFERROR(GOOGLEFINANCE(TRIM(F2419)&amp;"":"" &amp; TRIM(B2419),""high52""),AE2419)"),0)</f>
        <v>0</v>
      </c>
      <c r="AG2419" s="1">
        <v>0</v>
      </c>
      <c r="AH2419" s="1">
        <f ca="1">IFERROR(__xludf.DUMMYFUNCTION("IFERROR(GOOGLEFINANCE(TRIM(F2419)&amp;"":"" &amp; TRIM(B2419),""low52""),AE2419)"),0)</f>
        <v>0</v>
      </c>
      <c r="AI2419" s="1">
        <f ca="1">IFERROR(__xludf.DUMMYFUNCTION("IFERROR(GOOGLEFINANCE(B2419,""eps""),0)"),0)</f>
        <v>0</v>
      </c>
      <c r="AJ2419" s="1"/>
      <c r="AK2419" s="1" t="s">
        <v>7558</v>
      </c>
      <c r="AL2419" s="9">
        <f t="shared" si="248"/>
        <v>1</v>
      </c>
    </row>
    <row r="2420" spans="1:38" ht="15" x14ac:dyDescent="0.25">
      <c r="A2420" s="1" t="s">
        <v>7559</v>
      </c>
      <c r="B2420" s="1" t="s">
        <v>7560</v>
      </c>
      <c r="C2420" s="1" t="s">
        <v>410</v>
      </c>
      <c r="D2420" s="1" t="s">
        <v>410</v>
      </c>
      <c r="E2420" s="6">
        <v>29.75</v>
      </c>
      <c r="F2420" s="1" t="s">
        <v>53</v>
      </c>
      <c r="G2420" s="6">
        <f ca="1">IFERROR(__xludf.DUMMYFUNCTION("iferror(GOOGLEFINANCE(TRIM(F2420)&amp;"":"" &amp; TRIM(B2420), ""price""),0
)"),0)</f>
        <v>0</v>
      </c>
      <c r="H2420" s="6">
        <v>17.760000000000002</v>
      </c>
      <c r="I2420" s="6">
        <f t="shared" ca="1" si="0"/>
        <v>17.760000000000002</v>
      </c>
      <c r="J2420" s="6">
        <f ca="1">IFERROR(__xludf.DUMMYFUNCTION("IFERROR(GOOGLEFINANCE(B2420, ""volume""), 0)"),0)</f>
        <v>0</v>
      </c>
      <c r="K2420" s="6">
        <v>-3.06</v>
      </c>
      <c r="L2420" s="6">
        <f ca="1">IFERROR(__xludf.DUMMYFUNCTION("IFERROR(GOOGLEFINANCE(B2420,""changepct""),K2420)"),-3.06)</f>
        <v>-3.06</v>
      </c>
      <c r="M2420" s="6">
        <f ca="1">IFERROR(__xludf.DUMMYFUNCTION("IFERROR(GOOGLEFINANCE(B2420,""change""),0)"),0)</f>
        <v>0</v>
      </c>
      <c r="N2420" s="6">
        <v>1</v>
      </c>
      <c r="O2420" s="7">
        <v>45536</v>
      </c>
      <c r="P2420" s="6">
        <v>17.72</v>
      </c>
      <c r="Q2420" s="6">
        <v>47.47</v>
      </c>
      <c r="R2420" s="7">
        <v>45536</v>
      </c>
      <c r="S2420" s="6">
        <v>25.86</v>
      </c>
      <c r="T2420" s="6">
        <v>1.29</v>
      </c>
      <c r="U2420" s="7">
        <v>45536</v>
      </c>
      <c r="V2420" s="6">
        <v>23.1</v>
      </c>
      <c r="W2420" s="6">
        <f ca="1">IFERROR(__xludf.DUMMYFUNCTION("IFERROR(GOOGLEFINANCE(B2420,""pe""),V2420)"),23.1)</f>
        <v>23.1</v>
      </c>
      <c r="X2420" s="6">
        <v>-4.2699999999999996</v>
      </c>
      <c r="Y2420" s="6">
        <v>0.96</v>
      </c>
      <c r="Z2420" s="6">
        <v>1</v>
      </c>
      <c r="AA2420" s="8">
        <v>45352</v>
      </c>
      <c r="AB2420" s="4">
        <v>0.63</v>
      </c>
      <c r="AC2420" s="6">
        <v>4.4400000000000004</v>
      </c>
      <c r="AD2420" s="6">
        <v>6.89</v>
      </c>
      <c r="AE2420" s="1">
        <v>0</v>
      </c>
      <c r="AF2420" s="1">
        <f ca="1">IFERROR(__xludf.DUMMYFUNCTION("IFERROR(GOOGLEFINANCE(TRIM(F2420)&amp;"":"" &amp; TRIM(B2420),""high52""),AE2420)"),0)</f>
        <v>0</v>
      </c>
      <c r="AG2420" s="1">
        <v>0</v>
      </c>
      <c r="AH2420" s="1">
        <f ca="1">IFERROR(__xludf.DUMMYFUNCTION("IFERROR(GOOGLEFINANCE(TRIM(F2420)&amp;"":"" &amp; TRIM(B2420),""low52""),AE2420)"),0)</f>
        <v>0</v>
      </c>
      <c r="AI2420" s="1">
        <f ca="1">IFERROR(__xludf.DUMMYFUNCTION("IFERROR(GOOGLEFINANCE(B2420,""eps""),0)"),0)</f>
        <v>0</v>
      </c>
      <c r="AJ2420" s="1"/>
      <c r="AK2420" s="1" t="s">
        <v>7561</v>
      </c>
      <c r="AL2420" s="9">
        <f t="shared" si="248"/>
        <v>1</v>
      </c>
    </row>
    <row r="2421" spans="1:38" ht="15" x14ac:dyDescent="0.25">
      <c r="A2421" s="1" t="s">
        <v>7562</v>
      </c>
      <c r="B2421" s="1" t="s">
        <v>7563</v>
      </c>
      <c r="C2421" s="1" t="s">
        <v>219</v>
      </c>
      <c r="D2421" s="1" t="s">
        <v>219</v>
      </c>
      <c r="E2421" s="6">
        <v>432.91</v>
      </c>
      <c r="F2421" s="1" t="s">
        <v>40</v>
      </c>
      <c r="G2421" s="6">
        <f ca="1">IFERROR(__xludf.DUMMYFUNCTION("iferror(GOOGLEFINANCE(TRIM(F2421)&amp;"":"" &amp; TRIM(B2421), ""price""),0
)"),270.45)</f>
        <v>270.45</v>
      </c>
      <c r="H2421" s="6">
        <v>169.85</v>
      </c>
      <c r="I2421" s="6">
        <f t="shared" ca="1" si="0"/>
        <v>270.45</v>
      </c>
      <c r="J2421" s="6">
        <f ca="1">IFERROR(__xludf.DUMMYFUNCTION("IFERROR(GOOGLEFINANCE(B2421, ""volume""), 0)"),45054)</f>
        <v>45054</v>
      </c>
      <c r="K2421" s="6">
        <v>2.0099999999999998</v>
      </c>
      <c r="L2421" s="6">
        <f ca="1">IFERROR(__xludf.DUMMYFUNCTION("IFERROR(GOOGLEFINANCE(B2421,""changepct""),K2421)"),-0.79)</f>
        <v>-0.79</v>
      </c>
      <c r="M2421" s="6">
        <f ca="1">IFERROR(__xludf.DUMMYFUNCTION("IFERROR(GOOGLEFINANCE(B2421,""change""),0)"),-2.15)</f>
        <v>-2.15</v>
      </c>
      <c r="N2421" s="6">
        <v>2</v>
      </c>
      <c r="O2421" s="7">
        <v>45536</v>
      </c>
      <c r="P2421" s="6">
        <v>167.49</v>
      </c>
      <c r="Q2421" s="6">
        <v>584.78</v>
      </c>
      <c r="R2421" s="15">
        <v>45352</v>
      </c>
      <c r="S2421" s="6">
        <v>818.11</v>
      </c>
      <c r="T2421" s="6">
        <v>22.98</v>
      </c>
      <c r="U2421" s="15">
        <v>45352</v>
      </c>
      <c r="V2421" s="6">
        <v>19.829999999999998</v>
      </c>
      <c r="W2421" s="6">
        <f ca="1">IFERROR(__xludf.DUMMYFUNCTION("IFERROR(GOOGLEFINANCE(B2421,""pe""),V2421)"),18.45)</f>
        <v>18.45</v>
      </c>
      <c r="X2421" s="12"/>
      <c r="Y2421" s="6">
        <v>2.36</v>
      </c>
      <c r="Z2421" s="6">
        <v>2</v>
      </c>
      <c r="AA2421" s="8">
        <v>45352</v>
      </c>
      <c r="AB2421" s="4">
        <v>0.6</v>
      </c>
      <c r="AC2421" s="6">
        <v>15.04</v>
      </c>
      <c r="AD2421" s="6">
        <v>14.21</v>
      </c>
      <c r="AE2421" s="1">
        <v>0</v>
      </c>
      <c r="AF2421" s="1">
        <f ca="1">IFERROR(__xludf.DUMMYFUNCTION("IFERROR(GOOGLEFINANCE(TRIM(F2421)&amp;"":"" &amp; TRIM(B2421),""high52""),AE2421)"),295.95)</f>
        <v>295.95</v>
      </c>
      <c r="AG2421" s="1">
        <v>0</v>
      </c>
      <c r="AH2421" s="1">
        <f ca="1">IFERROR(__xludf.DUMMYFUNCTION("IFERROR(GOOGLEFINANCE(TRIM(F2421)&amp;"":"" &amp; TRIM(B2421),""low52""),AE2421)"),199.97)</f>
        <v>199.97</v>
      </c>
      <c r="AI2421" s="1">
        <f ca="1">IFERROR(__xludf.DUMMYFUNCTION("IFERROR(GOOGLEFINANCE(B2421,""eps""),0)"),14.66)</f>
        <v>14.66</v>
      </c>
      <c r="AJ2421" s="1"/>
      <c r="AK2421" s="1" t="s">
        <v>7564</v>
      </c>
      <c r="AL2421" s="9">
        <f t="shared" si="248"/>
        <v>1</v>
      </c>
    </row>
    <row r="2422" spans="1:38" ht="15" x14ac:dyDescent="0.25">
      <c r="A2422" s="1" t="s">
        <v>7565</v>
      </c>
      <c r="B2422" s="1" t="s">
        <v>7566</v>
      </c>
      <c r="C2422" s="1" t="s">
        <v>410</v>
      </c>
      <c r="D2422" s="1" t="s">
        <v>410</v>
      </c>
      <c r="E2422" s="6">
        <v>69.62</v>
      </c>
      <c r="F2422" s="1" t="s">
        <v>53</v>
      </c>
      <c r="G2422" s="6">
        <f ca="1">IFERROR(__xludf.DUMMYFUNCTION("iferror(GOOGLEFINANCE(TRIM(F2422)&amp;"":"" &amp; TRIM(B2422), ""price""),0
)"),0)</f>
        <v>0</v>
      </c>
      <c r="H2422" s="6">
        <v>102.58</v>
      </c>
      <c r="I2422" s="6">
        <f t="shared" ca="1" si="0"/>
        <v>102.58</v>
      </c>
      <c r="J2422" s="6">
        <f ca="1">IFERROR(__xludf.DUMMYFUNCTION("IFERROR(GOOGLEFINANCE(B2422, ""volume""), 0)"),0)</f>
        <v>0</v>
      </c>
      <c r="K2422" s="6">
        <v>3.14</v>
      </c>
      <c r="L2422" s="6">
        <f ca="1">IFERROR(__xludf.DUMMYFUNCTION("IFERROR(GOOGLEFINANCE(B2422,""changepct""),K2422)"),3.14)</f>
        <v>3.14</v>
      </c>
      <c r="M2422" s="6">
        <f ca="1">IFERROR(__xludf.DUMMYFUNCTION("IFERROR(GOOGLEFINANCE(B2422,""change""),0)"),0)</f>
        <v>0</v>
      </c>
      <c r="N2422" s="6">
        <v>1</v>
      </c>
      <c r="O2422" s="7">
        <v>45536</v>
      </c>
      <c r="P2422" s="6">
        <v>55.25</v>
      </c>
      <c r="Q2422" s="6">
        <v>124.48</v>
      </c>
      <c r="R2422" s="7">
        <v>45536</v>
      </c>
      <c r="S2422" s="6">
        <v>43.63</v>
      </c>
      <c r="T2422" s="6">
        <v>1.94</v>
      </c>
      <c r="U2422" s="7">
        <v>45536</v>
      </c>
      <c r="V2422" s="6">
        <v>35.869999999999997</v>
      </c>
      <c r="W2422" s="6">
        <f ca="1">IFERROR(__xludf.DUMMYFUNCTION("IFERROR(GOOGLEFINANCE(B2422,""pe""),V2422)"),35.87)</f>
        <v>35.869999999999997</v>
      </c>
      <c r="X2422" s="6">
        <v>3.62</v>
      </c>
      <c r="Y2422" s="6">
        <v>3.55</v>
      </c>
      <c r="Z2422" s="6">
        <v>1</v>
      </c>
      <c r="AA2422" s="8">
        <v>45352</v>
      </c>
      <c r="AB2422" s="4">
        <v>2.52</v>
      </c>
      <c r="AC2422" s="6">
        <v>11.97</v>
      </c>
      <c r="AD2422" s="6">
        <v>9.1199999999999992</v>
      </c>
      <c r="AE2422" s="1">
        <v>0</v>
      </c>
      <c r="AF2422" s="1">
        <f ca="1">IFERROR(__xludf.DUMMYFUNCTION("IFERROR(GOOGLEFINANCE(TRIM(F2422)&amp;"":"" &amp; TRIM(B2422),""high52""),AE2422)"),0)</f>
        <v>0</v>
      </c>
      <c r="AG2422" s="1">
        <v>0</v>
      </c>
      <c r="AH2422" s="1">
        <f ca="1">IFERROR(__xludf.DUMMYFUNCTION("IFERROR(GOOGLEFINANCE(TRIM(F2422)&amp;"":"" &amp; TRIM(B2422),""low52""),AE2422)"),0)</f>
        <v>0</v>
      </c>
      <c r="AI2422" s="1">
        <f ca="1">IFERROR(__xludf.DUMMYFUNCTION("IFERROR(GOOGLEFINANCE(B2422,""eps""),0)"),0)</f>
        <v>0</v>
      </c>
      <c r="AJ2422" s="1"/>
      <c r="AK2422" s="1" t="s">
        <v>7567</v>
      </c>
      <c r="AL2422" s="9">
        <f t="shared" si="248"/>
        <v>1</v>
      </c>
    </row>
    <row r="2423" spans="1:38" ht="15" x14ac:dyDescent="0.25">
      <c r="A2423" s="1" t="s">
        <v>7568</v>
      </c>
      <c r="B2423" s="1" t="s">
        <v>7569</v>
      </c>
      <c r="C2423" s="1" t="s">
        <v>502</v>
      </c>
      <c r="D2423" s="1" t="s">
        <v>502</v>
      </c>
      <c r="E2423" s="6">
        <v>1915.8</v>
      </c>
      <c r="F2423" s="1" t="s">
        <v>40</v>
      </c>
      <c r="G2423" s="6">
        <f ca="1">IFERROR(__xludf.DUMMYFUNCTION("iferror(GOOGLEFINANCE(TRIM(F2423)&amp;"":"" &amp; TRIM(B2423), ""price""),0
)"),0)</f>
        <v>0</v>
      </c>
      <c r="H2423" s="6">
        <v>161.86000000000001</v>
      </c>
      <c r="I2423" s="6">
        <f t="shared" ca="1" si="0"/>
        <v>161.86000000000001</v>
      </c>
      <c r="J2423" s="6">
        <f ca="1">IFERROR(__xludf.DUMMYFUNCTION("IFERROR(GOOGLEFINANCE(B2423, ""volume""), 0)"),0)</f>
        <v>0</v>
      </c>
      <c r="K2423" s="6">
        <v>-0.31</v>
      </c>
      <c r="L2423" s="6">
        <f ca="1">IFERROR(__xludf.DUMMYFUNCTION("IFERROR(GOOGLEFINANCE(B2423,""changepct""),K2423)"),-0.31)</f>
        <v>-0.31</v>
      </c>
      <c r="M2423" s="6">
        <f ca="1">IFERROR(__xludf.DUMMYFUNCTION("IFERROR(GOOGLEFINANCE(B2423,""change""),0)"),0)</f>
        <v>0</v>
      </c>
      <c r="N2423" s="6">
        <v>1</v>
      </c>
      <c r="O2423" s="7">
        <v>45536</v>
      </c>
      <c r="P2423" s="6">
        <v>765.3</v>
      </c>
      <c r="Q2423" s="6">
        <v>2340.3200000000002</v>
      </c>
      <c r="R2423" s="7">
        <v>45536</v>
      </c>
      <c r="S2423" s="6">
        <v>3017.44</v>
      </c>
      <c r="T2423" s="6">
        <v>108.11</v>
      </c>
      <c r="U2423" s="7">
        <v>45536</v>
      </c>
      <c r="V2423" s="6">
        <v>17.72</v>
      </c>
      <c r="W2423" s="6">
        <f ca="1">IFERROR(__xludf.DUMMYFUNCTION("IFERROR(GOOGLEFINANCE(B2423,""pe""),V2423)"),17.72)</f>
        <v>17.72</v>
      </c>
      <c r="X2423" s="6">
        <v>0.49</v>
      </c>
      <c r="Y2423" s="6">
        <v>1.93</v>
      </c>
      <c r="Z2423" s="6">
        <v>1</v>
      </c>
      <c r="AA2423" s="8">
        <v>45352</v>
      </c>
      <c r="AB2423" s="4">
        <v>1.08</v>
      </c>
      <c r="AC2423" s="6">
        <v>17.77</v>
      </c>
      <c r="AD2423" s="6">
        <v>16.78</v>
      </c>
      <c r="AE2423" s="1">
        <v>0</v>
      </c>
      <c r="AF2423" s="1">
        <f ca="1">IFERROR(__xludf.DUMMYFUNCTION("IFERROR(GOOGLEFINANCE(TRIM(F2423)&amp;"":"" &amp; TRIM(B2423),""high52""),AE2423)"),0)</f>
        <v>0</v>
      </c>
      <c r="AG2423" s="1">
        <v>0</v>
      </c>
      <c r="AH2423" s="1">
        <f ca="1">IFERROR(__xludf.DUMMYFUNCTION("IFERROR(GOOGLEFINANCE(TRIM(F2423)&amp;"":"" &amp; TRIM(B2423),""low52""),AE2423)"),0)</f>
        <v>0</v>
      </c>
      <c r="AI2423" s="1">
        <f ca="1">IFERROR(__xludf.DUMMYFUNCTION("IFERROR(GOOGLEFINANCE(B2423,""eps""),0)"),0)</f>
        <v>0</v>
      </c>
      <c r="AJ2423" s="1"/>
      <c r="AK2423" s="1" t="s">
        <v>7570</v>
      </c>
      <c r="AL2423" s="9">
        <f t="shared" si="248"/>
        <v>1</v>
      </c>
    </row>
    <row r="2424" spans="1:38" ht="15" x14ac:dyDescent="0.25">
      <c r="A2424" s="1" t="s">
        <v>7571</v>
      </c>
      <c r="B2424" s="1" t="s">
        <v>7572</v>
      </c>
      <c r="C2424" s="1" t="s">
        <v>1546</v>
      </c>
      <c r="D2424" s="1" t="s">
        <v>1546</v>
      </c>
      <c r="E2424" s="6">
        <v>26218.880000000001</v>
      </c>
      <c r="F2424" s="1" t="s">
        <v>40</v>
      </c>
      <c r="G2424" s="6">
        <f ca="1">IFERROR(__xludf.DUMMYFUNCTION("iferror(GOOGLEFINANCE(TRIM(F2424)&amp;"":"" &amp; TRIM(B2424), ""price""),0
)"),177.8)</f>
        <v>177.8</v>
      </c>
      <c r="H2424" s="6">
        <v>150</v>
      </c>
      <c r="I2424" s="6">
        <f t="shared" ca="1" si="0"/>
        <v>177.8</v>
      </c>
      <c r="J2424" s="6">
        <f ca="1">IFERROR(__xludf.DUMMYFUNCTION("IFERROR(GOOGLEFINANCE(B2424, ""volume""), 0)"),30805245)</f>
        <v>30805245</v>
      </c>
      <c r="K2424" s="6">
        <v>0.19</v>
      </c>
      <c r="L2424" s="6">
        <f ca="1">IFERROR(__xludf.DUMMYFUNCTION("IFERROR(GOOGLEFINANCE(B2424,""changepct""),K2424)"),9.23)</f>
        <v>9.23</v>
      </c>
      <c r="M2424" s="6">
        <f ca="1">IFERROR(__xludf.DUMMYFUNCTION("IFERROR(GOOGLEFINANCE(B2424,""change""),0)"),15.03)</f>
        <v>15.03</v>
      </c>
      <c r="N2424" s="6">
        <v>2</v>
      </c>
      <c r="O2424" s="7">
        <v>45536</v>
      </c>
      <c r="P2424" s="6">
        <v>13244.75</v>
      </c>
      <c r="Q2424" s="6">
        <v>39398.370000000003</v>
      </c>
      <c r="R2424" s="7">
        <v>45536</v>
      </c>
      <c r="S2424" s="6">
        <v>113648.8</v>
      </c>
      <c r="T2424" s="6">
        <v>884.65</v>
      </c>
      <c r="U2424" s="7">
        <v>45536</v>
      </c>
      <c r="V2424" s="6">
        <v>28.91</v>
      </c>
      <c r="W2424" s="6">
        <f ca="1">IFERROR(__xludf.DUMMYFUNCTION("IFERROR(GOOGLEFINANCE(B2424,""pe""),V2424)"),14.28)</f>
        <v>14.28</v>
      </c>
      <c r="X2424" s="6">
        <v>0.49</v>
      </c>
      <c r="Y2424" s="6">
        <v>2.13</v>
      </c>
      <c r="Z2424" s="6">
        <v>2</v>
      </c>
      <c r="AA2424" s="8">
        <v>45352</v>
      </c>
      <c r="AB2424" s="4">
        <v>0.94</v>
      </c>
      <c r="AC2424" s="6">
        <v>31.08</v>
      </c>
      <c r="AD2424" s="6">
        <v>25.4</v>
      </c>
      <c r="AE2424" s="1">
        <v>0</v>
      </c>
      <c r="AF2424" s="1">
        <f ca="1">IFERROR(__xludf.DUMMYFUNCTION("IFERROR(GOOGLEFINANCE(TRIM(F2424)&amp;"":"" &amp; TRIM(B2424),""high52""),AE2424)"),185)</f>
        <v>185</v>
      </c>
      <c r="AG2424" s="1">
        <v>0</v>
      </c>
      <c r="AH2424" s="1">
        <f ca="1">IFERROR(__xludf.DUMMYFUNCTION("IFERROR(GOOGLEFINANCE(TRIM(F2424)&amp;"":"" &amp; TRIM(B2424),""low52""),AE2424)"),98.92)</f>
        <v>98.92</v>
      </c>
      <c r="AI2424" s="1">
        <f ca="1">IFERROR(__xludf.DUMMYFUNCTION("IFERROR(GOOGLEFINANCE(B2424,""eps""),0)"),12.45)</f>
        <v>12.45</v>
      </c>
      <c r="AJ2424" s="1"/>
      <c r="AK2424" s="1" t="s">
        <v>7573</v>
      </c>
      <c r="AL2424" s="9">
        <f t="shared" si="248"/>
        <v>1</v>
      </c>
    </row>
    <row r="2425" spans="1:38" ht="15" x14ac:dyDescent="0.25">
      <c r="A2425" s="1" t="s">
        <v>7574</v>
      </c>
      <c r="B2425" s="1" t="s">
        <v>7575</v>
      </c>
      <c r="C2425" s="1" t="s">
        <v>1663</v>
      </c>
      <c r="D2425" s="1" t="s">
        <v>1663</v>
      </c>
      <c r="E2425" s="6">
        <v>76.02</v>
      </c>
      <c r="F2425" s="1" t="s">
        <v>40</v>
      </c>
      <c r="G2425" s="6">
        <f ca="1">IFERROR(__xludf.DUMMYFUNCTION("iferror(GOOGLEFINANCE(TRIM(F2425)&amp;"":"" &amp; TRIM(B2425), ""price""),0
)"),0)</f>
        <v>0</v>
      </c>
      <c r="H2425" s="6">
        <v>43.25</v>
      </c>
      <c r="I2425" s="6">
        <f t="shared" ca="1" si="0"/>
        <v>43.25</v>
      </c>
      <c r="J2425" s="6">
        <f ca="1">IFERROR(__xludf.DUMMYFUNCTION("IFERROR(GOOGLEFINANCE(B2425, ""volume""), 0)"),0)</f>
        <v>0</v>
      </c>
      <c r="K2425" s="6">
        <v>0.12</v>
      </c>
      <c r="L2425" s="6">
        <f ca="1">IFERROR(__xludf.DUMMYFUNCTION("IFERROR(GOOGLEFINANCE(B2425,""changepct""),K2425)"),0.12)</f>
        <v>0.12</v>
      </c>
      <c r="M2425" s="6">
        <f ca="1">IFERROR(__xludf.DUMMYFUNCTION("IFERROR(GOOGLEFINANCE(B2425,""change""),0)"),0)</f>
        <v>0</v>
      </c>
      <c r="N2425" s="6">
        <v>1</v>
      </c>
      <c r="O2425" s="7">
        <v>45536</v>
      </c>
      <c r="P2425" s="6">
        <v>3.11</v>
      </c>
      <c r="Q2425" s="6">
        <v>79.13</v>
      </c>
      <c r="R2425" s="14"/>
      <c r="S2425" s="9"/>
      <c r="T2425" s="9"/>
      <c r="U2425" s="6">
        <v>0</v>
      </c>
      <c r="V2425" s="9"/>
      <c r="W2425" s="6" t="str">
        <f ca="1">IFERROR(__xludf.DUMMYFUNCTION("IFERROR(GOOGLEFINANCE(B2425,""pe""),V2425)"),"")</f>
        <v/>
      </c>
      <c r="X2425" s="9"/>
      <c r="Y2425" s="6">
        <v>1.7</v>
      </c>
      <c r="Z2425" s="6">
        <v>1</v>
      </c>
      <c r="AA2425" s="8">
        <v>45352</v>
      </c>
      <c r="AB2425" s="4">
        <v>0.26</v>
      </c>
      <c r="AC2425" s="6">
        <v>39.549999999999997</v>
      </c>
      <c r="AD2425" s="6">
        <v>44.96</v>
      </c>
      <c r="AE2425" s="1">
        <v>0</v>
      </c>
      <c r="AF2425" s="1">
        <f ca="1">IFERROR(__xludf.DUMMYFUNCTION("IFERROR(GOOGLEFINANCE(TRIM(F2425)&amp;"":"" &amp; TRIM(B2425),""high52""),AE2425)"),0)</f>
        <v>0</v>
      </c>
      <c r="AG2425" s="1">
        <v>0</v>
      </c>
      <c r="AH2425" s="1">
        <f ca="1">IFERROR(__xludf.DUMMYFUNCTION("IFERROR(GOOGLEFINANCE(TRIM(F2425)&amp;"":"" &amp; TRIM(B2425),""low52""),AE2425)"),0)</f>
        <v>0</v>
      </c>
      <c r="AI2425" s="1">
        <f ca="1">IFERROR(__xludf.DUMMYFUNCTION("IFERROR(GOOGLEFINANCE(B2425,""eps""),0)"),0)</f>
        <v>0</v>
      </c>
      <c r="AJ2425" s="1"/>
      <c r="AK2425" s="1" t="s">
        <v>7576</v>
      </c>
      <c r="AL2425" s="9">
        <f t="shared" si="248"/>
        <v>1</v>
      </c>
    </row>
    <row r="2426" spans="1:38" ht="15" x14ac:dyDescent="0.25">
      <c r="A2426" s="1" t="s">
        <v>7577</v>
      </c>
      <c r="B2426" s="1" t="s">
        <v>7578</v>
      </c>
      <c r="C2426" s="1" t="s">
        <v>410</v>
      </c>
      <c r="D2426" s="1" t="s">
        <v>410</v>
      </c>
      <c r="E2426" s="6">
        <v>16.899999999999999</v>
      </c>
      <c r="F2426" s="1" t="s">
        <v>53</v>
      </c>
      <c r="G2426" s="6">
        <f ca="1">IFERROR(__xludf.DUMMYFUNCTION("iferror(GOOGLEFINANCE(TRIM(F2426)&amp;"":"" &amp; TRIM(B2426), ""price""),0
)"),0)</f>
        <v>0</v>
      </c>
      <c r="H2426" s="6">
        <v>23.76</v>
      </c>
      <c r="I2426" s="6">
        <f t="shared" ca="1" si="0"/>
        <v>23.76</v>
      </c>
      <c r="J2426" s="6">
        <f ca="1">IFERROR(__xludf.DUMMYFUNCTION("IFERROR(GOOGLEFINANCE(B2426, ""volume""), 0)"),0)</f>
        <v>0</v>
      </c>
      <c r="K2426" s="6">
        <v>4.99</v>
      </c>
      <c r="L2426" s="6">
        <f ca="1">IFERROR(__xludf.DUMMYFUNCTION("IFERROR(GOOGLEFINANCE(B2426,""changepct""),K2426)"),4.99)</f>
        <v>4.99</v>
      </c>
      <c r="M2426" s="6">
        <f ca="1">IFERROR(__xludf.DUMMYFUNCTION("IFERROR(GOOGLEFINANCE(B2426,""change""),0)"),0)</f>
        <v>0</v>
      </c>
      <c r="N2426" s="6">
        <v>1</v>
      </c>
      <c r="O2426" s="7">
        <v>45536</v>
      </c>
      <c r="P2426" s="6">
        <v>7.7</v>
      </c>
      <c r="Q2426" s="6">
        <v>24.6</v>
      </c>
      <c r="R2426" s="7">
        <v>45536</v>
      </c>
      <c r="S2426" s="6">
        <v>8</v>
      </c>
      <c r="T2426" s="6">
        <v>0.41</v>
      </c>
      <c r="U2426" s="7">
        <v>45536</v>
      </c>
      <c r="V2426" s="6">
        <v>40.83</v>
      </c>
      <c r="W2426" s="6">
        <f ca="1">IFERROR(__xludf.DUMMYFUNCTION("IFERROR(GOOGLEFINANCE(B2426,""pe""),V2426)"),40.83)</f>
        <v>40.83</v>
      </c>
      <c r="X2426" s="6">
        <v>2.46</v>
      </c>
      <c r="Y2426" s="6">
        <v>3.01</v>
      </c>
      <c r="Z2426" s="6">
        <v>1</v>
      </c>
      <c r="AA2426" s="8">
        <v>45352</v>
      </c>
      <c r="AB2426" s="4">
        <v>0.51</v>
      </c>
      <c r="AC2426" s="6">
        <v>9.25</v>
      </c>
      <c r="AD2426" s="6">
        <v>5.52</v>
      </c>
      <c r="AE2426" s="1">
        <v>0</v>
      </c>
      <c r="AF2426" s="1">
        <f ca="1">IFERROR(__xludf.DUMMYFUNCTION("IFERROR(GOOGLEFINANCE(TRIM(F2426)&amp;"":"" &amp; TRIM(B2426),""high52""),AE2426)"),0)</f>
        <v>0</v>
      </c>
      <c r="AG2426" s="1">
        <v>0</v>
      </c>
      <c r="AH2426" s="1">
        <f ca="1">IFERROR(__xludf.DUMMYFUNCTION("IFERROR(GOOGLEFINANCE(TRIM(F2426)&amp;"":"" &amp; TRIM(B2426),""low52""),AE2426)"),0)</f>
        <v>0</v>
      </c>
      <c r="AI2426" s="1">
        <f ca="1">IFERROR(__xludf.DUMMYFUNCTION("IFERROR(GOOGLEFINANCE(B2426,""eps""),0)"),0)</f>
        <v>0</v>
      </c>
      <c r="AJ2426" s="1"/>
      <c r="AK2426" s="1" t="s">
        <v>7579</v>
      </c>
      <c r="AL2426" s="9">
        <f t="shared" si="248"/>
        <v>1</v>
      </c>
    </row>
    <row r="2427" spans="1:38" ht="15" x14ac:dyDescent="0.25">
      <c r="A2427" s="1" t="s">
        <v>7580</v>
      </c>
      <c r="B2427" s="1" t="s">
        <v>7581</v>
      </c>
      <c r="C2427" s="1" t="s">
        <v>410</v>
      </c>
      <c r="D2427" s="1" t="s">
        <v>410</v>
      </c>
      <c r="E2427" s="6">
        <v>786.99</v>
      </c>
      <c r="F2427" s="1" t="s">
        <v>53</v>
      </c>
      <c r="G2427" s="6">
        <f ca="1">IFERROR(__xludf.DUMMYFUNCTION("iferror(GOOGLEFINANCE(TRIM(F2427)&amp;"":"" &amp; TRIM(B2427), ""price""),0
)"),0)</f>
        <v>0</v>
      </c>
      <c r="H2427" s="6">
        <v>600</v>
      </c>
      <c r="I2427" s="6">
        <f t="shared" ca="1" si="0"/>
        <v>600</v>
      </c>
      <c r="J2427" s="6">
        <f ca="1">IFERROR(__xludf.DUMMYFUNCTION("IFERROR(GOOGLEFINANCE(B2427, ""volume""), 0)"),0)</f>
        <v>0</v>
      </c>
      <c r="K2427" s="6">
        <v>-0.16</v>
      </c>
      <c r="L2427" s="6">
        <f ca="1">IFERROR(__xludf.DUMMYFUNCTION("IFERROR(GOOGLEFINANCE(B2427,""changepct""),K2427)"),-0.16)</f>
        <v>-0.16</v>
      </c>
      <c r="M2427" s="6">
        <f ca="1">IFERROR(__xludf.DUMMYFUNCTION("IFERROR(GOOGLEFINANCE(B2427,""change""),0)"),0)</f>
        <v>0</v>
      </c>
      <c r="N2427" s="6">
        <v>2</v>
      </c>
      <c r="O2427" s="7">
        <v>45536</v>
      </c>
      <c r="P2427" s="6">
        <v>907.11</v>
      </c>
      <c r="Q2427" s="6">
        <v>1454.84</v>
      </c>
      <c r="R2427" s="7">
        <v>45536</v>
      </c>
      <c r="S2427" s="6">
        <v>9.9600000000000009</v>
      </c>
      <c r="T2427" s="6">
        <v>-90.01</v>
      </c>
      <c r="U2427" s="7">
        <v>45536</v>
      </c>
      <c r="V2427" s="6">
        <v>0</v>
      </c>
      <c r="W2427" s="6">
        <f ca="1">IFERROR(__xludf.DUMMYFUNCTION("IFERROR(GOOGLEFINANCE(B2427,""pe""),V2427)"),0)</f>
        <v>0</v>
      </c>
      <c r="X2427" s="9"/>
      <c r="Y2427" s="6">
        <v>6.1</v>
      </c>
      <c r="Z2427" s="6">
        <v>2</v>
      </c>
      <c r="AA2427" s="8">
        <v>45352</v>
      </c>
      <c r="AB2427" s="4">
        <v>4.72</v>
      </c>
      <c r="AC2427" s="6">
        <v>-31.78</v>
      </c>
      <c r="AD2427" s="6">
        <v>0.4</v>
      </c>
      <c r="AE2427" s="1">
        <v>0</v>
      </c>
      <c r="AF2427" s="1">
        <f ca="1">IFERROR(__xludf.DUMMYFUNCTION("IFERROR(GOOGLEFINANCE(TRIM(F2427)&amp;"":"" &amp; TRIM(B2427),""high52""),AE2427)"),0)</f>
        <v>0</v>
      </c>
      <c r="AG2427" s="1">
        <v>0</v>
      </c>
      <c r="AH2427" s="1">
        <f ca="1">IFERROR(__xludf.DUMMYFUNCTION("IFERROR(GOOGLEFINANCE(TRIM(F2427)&amp;"":"" &amp; TRIM(B2427),""low52""),AE2427)"),0)</f>
        <v>0</v>
      </c>
      <c r="AI2427" s="1">
        <f ca="1">IFERROR(__xludf.DUMMYFUNCTION("IFERROR(GOOGLEFINANCE(B2427,""eps""),0)"),0)</f>
        <v>0</v>
      </c>
      <c r="AJ2427" s="1"/>
      <c r="AK2427" s="1" t="s">
        <v>7582</v>
      </c>
      <c r="AL2427" s="9">
        <f t="shared" si="248"/>
        <v>1</v>
      </c>
    </row>
    <row r="2428" spans="1:38" ht="15" x14ac:dyDescent="0.25">
      <c r="A2428" s="1" t="s">
        <v>7583</v>
      </c>
      <c r="B2428" s="1" t="s">
        <v>7584</v>
      </c>
      <c r="C2428" s="1" t="s">
        <v>106</v>
      </c>
      <c r="D2428" s="1" t="s">
        <v>106</v>
      </c>
      <c r="E2428" s="6">
        <v>119625.8</v>
      </c>
      <c r="F2428" s="1" t="s">
        <v>40</v>
      </c>
      <c r="G2428" s="6">
        <f ca="1">IFERROR(__xludf.DUMMYFUNCTION("iferror(GOOGLEFINANCE(TRIM(F2428)&amp;"":"" &amp; TRIM(B2428), ""price""),0
)"),2080)</f>
        <v>2080</v>
      </c>
      <c r="H2428" s="6">
        <v>2878</v>
      </c>
      <c r="I2428" s="6">
        <f t="shared" ca="1" si="0"/>
        <v>2080</v>
      </c>
      <c r="J2428" s="6">
        <f ca="1">IFERROR(__xludf.DUMMYFUNCTION("IFERROR(GOOGLEFINANCE(B2428, ""volume""), 0)"),333325)</f>
        <v>333325</v>
      </c>
      <c r="K2428" s="6">
        <v>-0.82</v>
      </c>
      <c r="L2428" s="6">
        <f ca="1">IFERROR(__xludf.DUMMYFUNCTION("IFERROR(GOOGLEFINANCE(B2428,""changepct""),K2428)"),-0.66)</f>
        <v>-0.66</v>
      </c>
      <c r="M2428" s="6">
        <f ca="1">IFERROR(__xludf.DUMMYFUNCTION("IFERROR(GOOGLEFINANCE(B2428,""change""),0)"),-13.9)</f>
        <v>-13.9</v>
      </c>
      <c r="N2428" s="6">
        <v>2</v>
      </c>
      <c r="O2428" s="7">
        <v>45536</v>
      </c>
      <c r="P2428" s="6">
        <v>471.93</v>
      </c>
      <c r="Q2428" s="6">
        <v>118905.2</v>
      </c>
      <c r="R2428" s="7">
        <v>45536</v>
      </c>
      <c r="S2428" s="6">
        <v>11017.99</v>
      </c>
      <c r="T2428" s="6">
        <v>2124.86</v>
      </c>
      <c r="U2428" s="7">
        <v>45536</v>
      </c>
      <c r="V2428" s="6">
        <v>56.56</v>
      </c>
      <c r="W2428" s="6">
        <f ca="1">IFERROR(__xludf.DUMMYFUNCTION("IFERROR(GOOGLEFINANCE(B2428,""pe""),V2428)"),48.82)</f>
        <v>48.82</v>
      </c>
      <c r="X2428" s="12"/>
      <c r="Y2428" s="6">
        <v>8.82</v>
      </c>
      <c r="Z2428" s="6">
        <v>2</v>
      </c>
      <c r="AA2428" s="8">
        <v>45352</v>
      </c>
      <c r="AB2428" s="4">
        <v>0.02</v>
      </c>
      <c r="AC2428" s="6">
        <v>23.15</v>
      </c>
      <c r="AD2428" s="6">
        <v>28.38</v>
      </c>
      <c r="AE2428" s="1">
        <v>0</v>
      </c>
      <c r="AF2428" s="1">
        <f ca="1">IFERROR(__xludf.DUMMYFUNCTION("IFERROR(GOOGLEFINANCE(TRIM(F2428)&amp;"":"" &amp; TRIM(B2428),""high52""),AE2428)"),2716.5)</f>
        <v>2716.5</v>
      </c>
      <c r="AG2428" s="1">
        <v>0</v>
      </c>
      <c r="AH2428" s="1">
        <f ca="1">IFERROR(__xludf.DUMMYFUNCTION("IFERROR(GOOGLEFINANCE(TRIM(F2428)&amp;"":"" &amp; TRIM(B2428),""low52""),AE2428)"),2046.8)</f>
        <v>2046.8</v>
      </c>
      <c r="AI2428" s="1">
        <f ca="1">IFERROR(__xludf.DUMMYFUNCTION("IFERROR(GOOGLEFINANCE(B2428,""eps""),0)"),42.6)</f>
        <v>42.6</v>
      </c>
      <c r="AJ2428" s="1"/>
      <c r="AK2428" s="1" t="s">
        <v>7585</v>
      </c>
      <c r="AL2428" s="9">
        <f t="shared" si="248"/>
        <v>1</v>
      </c>
    </row>
    <row r="2429" spans="1:38" ht="15" x14ac:dyDescent="0.25">
      <c r="A2429" s="1" t="s">
        <v>7586</v>
      </c>
      <c r="B2429" s="1" t="s">
        <v>7587</v>
      </c>
      <c r="C2429" s="1" t="s">
        <v>227</v>
      </c>
      <c r="D2429" s="1" t="s">
        <v>227</v>
      </c>
      <c r="E2429" s="6">
        <v>1442.71</v>
      </c>
      <c r="F2429" s="1" t="s">
        <v>40</v>
      </c>
      <c r="G2429" s="6">
        <f ca="1">IFERROR(__xludf.DUMMYFUNCTION("iferror(GOOGLEFINANCE(TRIM(F2429)&amp;"":"" &amp; TRIM(B2429), ""price""),0
)"),167.1)</f>
        <v>167.1</v>
      </c>
      <c r="H2429" s="6">
        <v>298</v>
      </c>
      <c r="I2429" s="6">
        <f t="shared" ca="1" si="0"/>
        <v>167.1</v>
      </c>
      <c r="J2429" s="6">
        <f ca="1">IFERROR(__xludf.DUMMYFUNCTION("IFERROR(GOOGLEFINANCE(B2429, ""volume""), 0)"),47401)</f>
        <v>47401</v>
      </c>
      <c r="K2429" s="6">
        <v>0.93</v>
      </c>
      <c r="L2429" s="6">
        <f ca="1">IFERROR(__xludf.DUMMYFUNCTION("IFERROR(GOOGLEFINANCE(B2429,""changepct""),K2429)"),-3.3)</f>
        <v>-3.3</v>
      </c>
      <c r="M2429" s="6">
        <f ca="1">IFERROR(__xludf.DUMMYFUNCTION("IFERROR(GOOGLEFINANCE(B2429,""change""),0)"),-5.7)</f>
        <v>-5.7</v>
      </c>
      <c r="N2429" s="6">
        <v>1</v>
      </c>
      <c r="O2429" s="7">
        <v>45536</v>
      </c>
      <c r="P2429" s="6">
        <v>406.11</v>
      </c>
      <c r="Q2429" s="6">
        <v>1689.72</v>
      </c>
      <c r="R2429" s="7">
        <v>45536</v>
      </c>
      <c r="S2429" s="6">
        <v>2202.84</v>
      </c>
      <c r="T2429" s="6">
        <v>87.95</v>
      </c>
      <c r="U2429" s="7">
        <v>45536</v>
      </c>
      <c r="V2429" s="6">
        <v>16.399999999999999</v>
      </c>
      <c r="W2429" s="6">
        <f ca="1">IFERROR(__xludf.DUMMYFUNCTION("IFERROR(GOOGLEFINANCE(B2429,""pe""),V2429)"),7.82)</f>
        <v>7.82</v>
      </c>
      <c r="X2429" s="12"/>
      <c r="Y2429" s="6">
        <v>2.17</v>
      </c>
      <c r="Z2429" s="6">
        <v>1</v>
      </c>
      <c r="AA2429" s="8">
        <v>45352</v>
      </c>
      <c r="AB2429" s="4">
        <v>0.65</v>
      </c>
      <c r="AC2429" s="6">
        <v>16.82</v>
      </c>
      <c r="AD2429" s="6">
        <v>16.86</v>
      </c>
      <c r="AE2429" s="1">
        <v>0</v>
      </c>
      <c r="AF2429" s="1">
        <f ca="1">IFERROR(__xludf.DUMMYFUNCTION("IFERROR(GOOGLEFINANCE(TRIM(F2429)&amp;"":"" &amp; TRIM(B2429),""high52""),AE2429)"),291)</f>
        <v>291</v>
      </c>
      <c r="AG2429" s="1">
        <v>0</v>
      </c>
      <c r="AH2429" s="1">
        <f ca="1">IFERROR(__xludf.DUMMYFUNCTION("IFERROR(GOOGLEFINANCE(TRIM(F2429)&amp;"":"" &amp; TRIM(B2429),""low52""),AE2429)"),160.5)</f>
        <v>160.5</v>
      </c>
      <c r="AI2429" s="1">
        <f ca="1">IFERROR(__xludf.DUMMYFUNCTION("IFERROR(GOOGLEFINANCE(B2429,""eps""),0)"),21.37)</f>
        <v>21.37</v>
      </c>
      <c r="AJ2429" s="1"/>
      <c r="AK2429" s="9"/>
      <c r="AL2429" s="9">
        <f t="shared" si="248"/>
        <v>1</v>
      </c>
    </row>
    <row r="2430" spans="1:38" ht="15" x14ac:dyDescent="0.25">
      <c r="A2430" s="1" t="s">
        <v>7588</v>
      </c>
      <c r="B2430" s="1" t="s">
        <v>7589</v>
      </c>
      <c r="C2430" s="1" t="s">
        <v>410</v>
      </c>
      <c r="D2430" s="1" t="s">
        <v>410</v>
      </c>
      <c r="E2430" s="6">
        <v>24.51</v>
      </c>
      <c r="F2430" s="1" t="s">
        <v>53</v>
      </c>
      <c r="G2430" s="6">
        <f ca="1">IFERROR(__xludf.DUMMYFUNCTION("iferror(GOOGLEFINANCE(TRIM(F2430)&amp;"":"" &amp; TRIM(B2430), ""price""),0
)"),0)</f>
        <v>0</v>
      </c>
      <c r="H2430" s="6">
        <v>22.68</v>
      </c>
      <c r="I2430" s="6">
        <f t="shared" ca="1" si="0"/>
        <v>22.68</v>
      </c>
      <c r="J2430" s="6">
        <f ca="1">IFERROR(__xludf.DUMMYFUNCTION("IFERROR(GOOGLEFINANCE(B2430, ""volume""), 0)"),0)</f>
        <v>0</v>
      </c>
      <c r="K2430" s="6">
        <v>1.89</v>
      </c>
      <c r="L2430" s="6">
        <f ca="1">IFERROR(__xludf.DUMMYFUNCTION("IFERROR(GOOGLEFINANCE(B2430,""changepct""),K2430)"),1.89)</f>
        <v>1.89</v>
      </c>
      <c r="M2430" s="6">
        <f ca="1">IFERROR(__xludf.DUMMYFUNCTION("IFERROR(GOOGLEFINANCE(B2430,""change""),0)"),0)</f>
        <v>0</v>
      </c>
      <c r="N2430" s="6">
        <v>1</v>
      </c>
      <c r="O2430" s="7">
        <v>45536</v>
      </c>
      <c r="P2430" s="6">
        <v>0.56999999999999995</v>
      </c>
      <c r="Q2430" s="6">
        <v>25.08</v>
      </c>
      <c r="R2430" s="7">
        <v>45536</v>
      </c>
      <c r="S2430" s="6">
        <v>1.59</v>
      </c>
      <c r="T2430" s="6">
        <v>-1.65</v>
      </c>
      <c r="U2430" s="7">
        <v>45536</v>
      </c>
      <c r="V2430" s="6">
        <v>0</v>
      </c>
      <c r="W2430" s="6">
        <f ca="1">IFERROR(__xludf.DUMMYFUNCTION("IFERROR(GOOGLEFINANCE(B2430,""pe""),V2430)"),0)</f>
        <v>0</v>
      </c>
      <c r="X2430" s="12"/>
      <c r="Y2430" s="6">
        <v>0.78</v>
      </c>
      <c r="Z2430" s="6">
        <v>1</v>
      </c>
      <c r="AA2430" s="8">
        <v>45352</v>
      </c>
      <c r="AB2430" s="4">
        <v>0.02</v>
      </c>
      <c r="AC2430" s="6">
        <v>-4.8600000000000003</v>
      </c>
      <c r="AD2430" s="6">
        <v>-5.56</v>
      </c>
      <c r="AE2430" s="1">
        <v>0</v>
      </c>
      <c r="AF2430" s="1">
        <f ca="1">IFERROR(__xludf.DUMMYFUNCTION("IFERROR(GOOGLEFINANCE(TRIM(F2430)&amp;"":"" &amp; TRIM(B2430),""high52""),AE2430)"),0)</f>
        <v>0</v>
      </c>
      <c r="AG2430" s="1">
        <v>0</v>
      </c>
      <c r="AH2430" s="1">
        <f ca="1">IFERROR(__xludf.DUMMYFUNCTION("IFERROR(GOOGLEFINANCE(TRIM(F2430)&amp;"":"" &amp; TRIM(B2430),""low52""),AE2430)"),0)</f>
        <v>0</v>
      </c>
      <c r="AI2430" s="1">
        <f ca="1">IFERROR(__xludf.DUMMYFUNCTION("IFERROR(GOOGLEFINANCE(B2430,""eps""),0)"),0)</f>
        <v>0</v>
      </c>
      <c r="AJ2430" s="1"/>
      <c r="AK2430" s="9"/>
      <c r="AL2430" s="9">
        <f t="shared" si="248"/>
        <v>1</v>
      </c>
    </row>
    <row r="2431" spans="1:38" ht="15" x14ac:dyDescent="0.25">
      <c r="A2431" s="1" t="s">
        <v>7590</v>
      </c>
      <c r="B2431" s="1" t="s">
        <v>7591</v>
      </c>
      <c r="C2431" s="1" t="s">
        <v>154</v>
      </c>
      <c r="D2431" s="1" t="s">
        <v>154</v>
      </c>
      <c r="E2431" s="6">
        <v>405.56</v>
      </c>
      <c r="F2431" s="1" t="s">
        <v>40</v>
      </c>
      <c r="G2431" s="6">
        <f ca="1">IFERROR(__xludf.DUMMYFUNCTION("iferror(GOOGLEFINANCE(TRIM(F2431)&amp;"":"" &amp; TRIM(B2431), ""price""),0
)"),220.5)</f>
        <v>220.5</v>
      </c>
      <c r="H2431" s="6">
        <v>222.65</v>
      </c>
      <c r="I2431" s="6">
        <f t="shared" ca="1" si="0"/>
        <v>220.5</v>
      </c>
      <c r="J2431" s="6">
        <f ca="1">IFERROR(__xludf.DUMMYFUNCTION("IFERROR(GOOGLEFINANCE(B2431, ""volume""), 0)"),11645)</f>
        <v>11645</v>
      </c>
      <c r="K2431" s="6">
        <v>-0.51</v>
      </c>
      <c r="L2431" s="6">
        <f ca="1">IFERROR(__xludf.DUMMYFUNCTION("IFERROR(GOOGLEFINANCE(B2431,""changepct""),K2431)"),-4.05)</f>
        <v>-4.05</v>
      </c>
      <c r="M2431" s="6">
        <f ca="1">IFERROR(__xludf.DUMMYFUNCTION("IFERROR(GOOGLEFINANCE(B2431,""change""),0)"),-9.31)</f>
        <v>-9.31</v>
      </c>
      <c r="N2431" s="6">
        <v>1</v>
      </c>
      <c r="O2431" s="7">
        <v>45536</v>
      </c>
      <c r="P2431" s="6">
        <v>300.22000000000003</v>
      </c>
      <c r="Q2431" s="6">
        <v>704.77</v>
      </c>
      <c r="R2431" s="7">
        <v>45536</v>
      </c>
      <c r="S2431" s="6">
        <v>641.16999999999996</v>
      </c>
      <c r="T2431" s="6">
        <v>17.8</v>
      </c>
      <c r="U2431" s="7">
        <v>45536</v>
      </c>
      <c r="V2431" s="6">
        <v>22.78</v>
      </c>
      <c r="W2431" s="6">
        <f ca="1">IFERROR(__xludf.DUMMYFUNCTION("IFERROR(GOOGLEFINANCE(B2431,""pe""),V2431)"),20.54)</f>
        <v>20.54</v>
      </c>
      <c r="X2431" s="6">
        <v>0.98</v>
      </c>
      <c r="Y2431" s="6">
        <v>2.92</v>
      </c>
      <c r="Z2431" s="6">
        <v>1</v>
      </c>
      <c r="AA2431" s="8">
        <v>45352</v>
      </c>
      <c r="AB2431" s="4">
        <v>2.3199999999999998</v>
      </c>
      <c r="AC2431" s="6">
        <v>10.62</v>
      </c>
      <c r="AD2431" s="6">
        <v>10.08</v>
      </c>
      <c r="AE2431" s="1">
        <v>0</v>
      </c>
      <c r="AF2431" s="1">
        <f ca="1">IFERROR(__xludf.DUMMYFUNCTION("IFERROR(GOOGLEFINANCE(TRIM(F2431)&amp;"":"" &amp; TRIM(B2431),""high52""),AE2431)"),259.88)</f>
        <v>259.88</v>
      </c>
      <c r="AG2431" s="1">
        <v>0</v>
      </c>
      <c r="AH2431" s="1">
        <f ca="1">IFERROR(__xludf.DUMMYFUNCTION("IFERROR(GOOGLEFINANCE(TRIM(F2431)&amp;"":"" &amp; TRIM(B2431),""low52""),AE2431)"),146)</f>
        <v>146</v>
      </c>
      <c r="AI2431" s="1">
        <f ca="1">IFERROR(__xludf.DUMMYFUNCTION("IFERROR(GOOGLEFINANCE(B2431,""eps""),0)"),10.74)</f>
        <v>10.74</v>
      </c>
      <c r="AJ2431" s="1"/>
      <c r="AK2431" s="1" t="s">
        <v>7592</v>
      </c>
      <c r="AL2431" s="9">
        <f t="shared" si="248"/>
        <v>1</v>
      </c>
    </row>
    <row r="2432" spans="1:38" ht="15" x14ac:dyDescent="0.25">
      <c r="A2432" s="1" t="s">
        <v>7593</v>
      </c>
      <c r="B2432" s="1" t="s">
        <v>7594</v>
      </c>
      <c r="C2432" s="1" t="s">
        <v>4100</v>
      </c>
      <c r="D2432" s="1" t="s">
        <v>4100</v>
      </c>
      <c r="E2432" s="6">
        <v>6366.07</v>
      </c>
      <c r="F2432" s="1" t="s">
        <v>40</v>
      </c>
      <c r="G2432" s="6">
        <f ca="1">IFERROR(__xludf.DUMMYFUNCTION("iferror(GOOGLEFINANCE(TRIM(F2432)&amp;"":"" &amp; TRIM(B2432), ""price""),0
)"),1302.1)</f>
        <v>1302.0999999999999</v>
      </c>
      <c r="H2432" s="6">
        <v>1078.3499999999999</v>
      </c>
      <c r="I2432" s="6">
        <f t="shared" ca="1" si="0"/>
        <v>1302.0999999999999</v>
      </c>
      <c r="J2432" s="6">
        <f ca="1">IFERROR(__xludf.DUMMYFUNCTION("IFERROR(GOOGLEFINANCE(B2432, ""volume""), 0)"),134262)</f>
        <v>134262</v>
      </c>
      <c r="K2432" s="6">
        <v>0.82</v>
      </c>
      <c r="L2432" s="6">
        <f ca="1">IFERROR(__xludf.DUMMYFUNCTION("IFERROR(GOOGLEFINANCE(B2432,""changepct""),K2432)"),-4.66)</f>
        <v>-4.66</v>
      </c>
      <c r="M2432" s="6">
        <f ca="1">IFERROR(__xludf.DUMMYFUNCTION("IFERROR(GOOGLEFINANCE(B2432,""change""),0)"),-63.6)</f>
        <v>-63.6</v>
      </c>
      <c r="N2432" s="6">
        <v>1</v>
      </c>
      <c r="O2432" s="7">
        <v>45536</v>
      </c>
      <c r="P2432" s="6">
        <v>369.61</v>
      </c>
      <c r="Q2432" s="6">
        <v>6636.84</v>
      </c>
      <c r="R2432" s="7">
        <v>45536</v>
      </c>
      <c r="S2432" s="6">
        <v>556.62</v>
      </c>
      <c r="T2432" s="6">
        <v>60.2</v>
      </c>
      <c r="U2432" s="7">
        <v>45536</v>
      </c>
      <c r="V2432" s="6">
        <v>105.75</v>
      </c>
      <c r="W2432" s="6">
        <f ca="1">IFERROR(__xludf.DUMMYFUNCTION("IFERROR(GOOGLEFINANCE(B2432,""pe""),V2432)"),45.62)</f>
        <v>45.62</v>
      </c>
      <c r="X2432" s="6">
        <v>6.59</v>
      </c>
      <c r="Y2432" s="6">
        <v>16.809999999999999</v>
      </c>
      <c r="Z2432" s="6">
        <v>1</v>
      </c>
      <c r="AA2432" s="8">
        <v>45352</v>
      </c>
      <c r="AB2432" s="4">
        <v>1.03</v>
      </c>
      <c r="AC2432" s="6">
        <v>12.66</v>
      </c>
      <c r="AD2432" s="6">
        <v>13.39</v>
      </c>
      <c r="AE2432" s="1">
        <v>0</v>
      </c>
      <c r="AF2432" s="1">
        <f ca="1">IFERROR(__xludf.DUMMYFUNCTION("IFERROR(GOOGLEFINANCE(TRIM(F2432)&amp;"":"" &amp; TRIM(B2432),""high52""),AE2432)"),1760)</f>
        <v>1760</v>
      </c>
      <c r="AG2432" s="1">
        <v>0</v>
      </c>
      <c r="AH2432" s="1">
        <f ca="1">IFERROR(__xludf.DUMMYFUNCTION("IFERROR(GOOGLEFINANCE(TRIM(F2432)&amp;"":"" &amp; TRIM(B2432),""low52""),AE2432)"),740.5)</f>
        <v>740.5</v>
      </c>
      <c r="AI2432" s="1">
        <f ca="1">IFERROR(__xludf.DUMMYFUNCTION("IFERROR(GOOGLEFINANCE(B2432,""eps""),0)"),28.55)</f>
        <v>28.55</v>
      </c>
      <c r="AJ2432" s="1"/>
      <c r="AK2432" s="1" t="s">
        <v>7595</v>
      </c>
      <c r="AL2432" s="9">
        <f t="shared" si="248"/>
        <v>1</v>
      </c>
    </row>
    <row r="2433" spans="1:38" ht="15" x14ac:dyDescent="0.25">
      <c r="A2433" s="1" t="s">
        <v>7596</v>
      </c>
      <c r="B2433" s="1" t="s">
        <v>7597</v>
      </c>
      <c r="C2433" s="1" t="s">
        <v>410</v>
      </c>
      <c r="D2433" s="1" t="s">
        <v>410</v>
      </c>
      <c r="E2433" s="6">
        <v>111.1</v>
      </c>
      <c r="F2433" s="1" t="s">
        <v>53</v>
      </c>
      <c r="G2433" s="6">
        <f ca="1">IFERROR(__xludf.DUMMYFUNCTION("iferror(GOOGLEFINANCE(TRIM(F2433)&amp;"":"" &amp; TRIM(B2433), ""price""),0
)"),0)</f>
        <v>0</v>
      </c>
      <c r="H2433" s="6">
        <v>53.7</v>
      </c>
      <c r="I2433" s="6">
        <f t="shared" ca="1" si="0"/>
        <v>53.7</v>
      </c>
      <c r="J2433" s="6">
        <f ca="1">IFERROR(__xludf.DUMMYFUNCTION("IFERROR(GOOGLEFINANCE(B2433, ""volume""), 0)"),0)</f>
        <v>0</v>
      </c>
      <c r="K2433" s="6">
        <v>-4.1399999999999997</v>
      </c>
      <c r="L2433" s="6">
        <f ca="1">IFERROR(__xludf.DUMMYFUNCTION("IFERROR(GOOGLEFINANCE(B2433,""changepct""),K2433)"),-4.14)</f>
        <v>-4.1399999999999997</v>
      </c>
      <c r="M2433" s="6">
        <f ca="1">IFERROR(__xludf.DUMMYFUNCTION("IFERROR(GOOGLEFINANCE(B2433,""change""),0)"),0)</f>
        <v>0</v>
      </c>
      <c r="N2433" s="6">
        <v>1</v>
      </c>
      <c r="O2433" s="7">
        <v>45536</v>
      </c>
      <c r="P2433" s="6">
        <v>3.8</v>
      </c>
      <c r="Q2433" s="6">
        <v>114.9</v>
      </c>
      <c r="R2433" s="7">
        <v>45536</v>
      </c>
      <c r="S2433" s="6">
        <v>23.97</v>
      </c>
      <c r="T2433" s="6">
        <v>4.2699999999999996</v>
      </c>
      <c r="U2433" s="7">
        <v>45536</v>
      </c>
      <c r="V2433" s="6">
        <v>26.04</v>
      </c>
      <c r="W2433" s="6">
        <f ca="1">IFERROR(__xludf.DUMMYFUNCTION("IFERROR(GOOGLEFINANCE(B2433,""pe""),V2433)"),26.04)</f>
        <v>26.04</v>
      </c>
      <c r="X2433" s="6">
        <v>5.21</v>
      </c>
      <c r="Y2433" s="6">
        <v>1.89</v>
      </c>
      <c r="Z2433" s="6">
        <v>1</v>
      </c>
      <c r="AA2433" s="8">
        <v>45352</v>
      </c>
      <c r="AB2433" s="4">
        <v>0.15</v>
      </c>
      <c r="AC2433" s="6">
        <v>7.66</v>
      </c>
      <c r="AD2433" s="6">
        <v>10.01</v>
      </c>
      <c r="AE2433" s="1">
        <v>0</v>
      </c>
      <c r="AF2433" s="1">
        <f ca="1">IFERROR(__xludf.DUMMYFUNCTION("IFERROR(GOOGLEFINANCE(TRIM(F2433)&amp;"":"" &amp; TRIM(B2433),""high52""),AE2433)"),0)</f>
        <v>0</v>
      </c>
      <c r="AG2433" s="1">
        <v>0</v>
      </c>
      <c r="AH2433" s="1">
        <f ca="1">IFERROR(__xludf.DUMMYFUNCTION("IFERROR(GOOGLEFINANCE(TRIM(F2433)&amp;"":"" &amp; TRIM(B2433),""low52""),AE2433)"),0)</f>
        <v>0</v>
      </c>
      <c r="AI2433" s="1">
        <f ca="1">IFERROR(__xludf.DUMMYFUNCTION("IFERROR(GOOGLEFINANCE(B2433,""eps""),0)"),0)</f>
        <v>0</v>
      </c>
      <c r="AJ2433" s="1"/>
      <c r="AK2433" s="1" t="s">
        <v>7598</v>
      </c>
      <c r="AL2433" s="9">
        <f t="shared" si="248"/>
        <v>1</v>
      </c>
    </row>
    <row r="2434" spans="1:38" ht="15" x14ac:dyDescent="0.25">
      <c r="A2434" s="1" t="s">
        <v>7599</v>
      </c>
      <c r="B2434" s="1" t="s">
        <v>7600</v>
      </c>
      <c r="C2434" s="1" t="s">
        <v>416</v>
      </c>
      <c r="D2434" s="1" t="s">
        <v>416</v>
      </c>
      <c r="E2434" s="6">
        <v>66.64</v>
      </c>
      <c r="F2434" s="1" t="s">
        <v>40</v>
      </c>
      <c r="G2434" s="6">
        <f ca="1">IFERROR(__xludf.DUMMYFUNCTION("iferror(GOOGLEFINANCE(TRIM(F2434)&amp;"":"" &amp; TRIM(B2434), ""price""),0
)"),14.89)</f>
        <v>14.89</v>
      </c>
      <c r="H2434" s="6">
        <v>21.98</v>
      </c>
      <c r="I2434" s="6">
        <f t="shared" ca="1" si="0"/>
        <v>14.89</v>
      </c>
      <c r="J2434" s="6">
        <f ca="1">IFERROR(__xludf.DUMMYFUNCTION("IFERROR(GOOGLEFINANCE(B2434, ""volume""), 0)"),8562)</f>
        <v>8562</v>
      </c>
      <c r="K2434" s="6">
        <v>0.23</v>
      </c>
      <c r="L2434" s="6">
        <f ca="1">IFERROR(__xludf.DUMMYFUNCTION("IFERROR(GOOGLEFINANCE(B2434,""changepct""),K2434)"),2.55)</f>
        <v>2.5499999999999998</v>
      </c>
      <c r="M2434" s="6">
        <f ca="1">IFERROR(__xludf.DUMMYFUNCTION("IFERROR(GOOGLEFINANCE(B2434,""change""),0)"),0.37)</f>
        <v>0.37</v>
      </c>
      <c r="N2434" s="6">
        <v>1</v>
      </c>
      <c r="O2434" s="7">
        <v>45536</v>
      </c>
      <c r="P2434" s="6">
        <v>20.67</v>
      </c>
      <c r="Q2434" s="6">
        <v>85.47</v>
      </c>
      <c r="R2434" s="7">
        <v>45536</v>
      </c>
      <c r="S2434" s="6">
        <v>62.79</v>
      </c>
      <c r="T2434" s="6">
        <v>-28.56</v>
      </c>
      <c r="U2434" s="7">
        <v>45536</v>
      </c>
      <c r="V2434" s="6">
        <v>0</v>
      </c>
      <c r="W2434" s="6">
        <f ca="1">IFERROR(__xludf.DUMMYFUNCTION("IFERROR(GOOGLEFINANCE(B2434,""pe""),V2434)"),797.11)</f>
        <v>797.11</v>
      </c>
      <c r="X2434" s="6">
        <v>0</v>
      </c>
      <c r="Y2434" s="6">
        <v>1.1299999999999999</v>
      </c>
      <c r="Z2434" s="6">
        <v>2</v>
      </c>
      <c r="AA2434" s="8">
        <v>44986</v>
      </c>
      <c r="AB2434" s="4">
        <v>0.11</v>
      </c>
      <c r="AC2434" s="6">
        <v>-10.28</v>
      </c>
      <c r="AD2434" s="6">
        <v>-6.41</v>
      </c>
      <c r="AE2434" s="1">
        <v>0</v>
      </c>
      <c r="AF2434" s="1">
        <f ca="1">IFERROR(__xludf.DUMMYFUNCTION("IFERROR(GOOGLEFINANCE(TRIM(F2434)&amp;"":"" &amp; TRIM(B2434),""high52""),AE2434)"),25.3)</f>
        <v>25.3</v>
      </c>
      <c r="AG2434" s="1">
        <v>0</v>
      </c>
      <c r="AH2434" s="1">
        <f ca="1">IFERROR(__xludf.DUMMYFUNCTION("IFERROR(GOOGLEFINANCE(TRIM(F2434)&amp;"":"" &amp; TRIM(B2434),""low52""),AE2434)"),14.11)</f>
        <v>14.11</v>
      </c>
      <c r="AI2434" s="1">
        <f ca="1">IFERROR(__xludf.DUMMYFUNCTION("IFERROR(GOOGLEFINANCE(B2434,""eps""),0)"),0.02)</f>
        <v>0.02</v>
      </c>
      <c r="AJ2434" s="1"/>
      <c r="AK2434" s="1" t="s">
        <v>7601</v>
      </c>
      <c r="AL2434" s="9">
        <f t="shared" si="248"/>
        <v>1</v>
      </c>
    </row>
    <row r="2435" spans="1:38" ht="15" x14ac:dyDescent="0.25">
      <c r="A2435" s="1" t="s">
        <v>7602</v>
      </c>
      <c r="B2435" s="1" t="s">
        <v>7603</v>
      </c>
      <c r="C2435" s="1" t="s">
        <v>410</v>
      </c>
      <c r="D2435" s="1" t="s">
        <v>410</v>
      </c>
      <c r="E2435" s="6">
        <v>197.95</v>
      </c>
      <c r="F2435" s="1" t="s">
        <v>53</v>
      </c>
      <c r="G2435" s="6">
        <f ca="1">IFERROR(__xludf.DUMMYFUNCTION("iferror(GOOGLEFINANCE(TRIM(F2435)&amp;"":"" &amp; TRIM(B2435), ""price""),0
)"),0)</f>
        <v>0</v>
      </c>
      <c r="H2435" s="6">
        <v>167</v>
      </c>
      <c r="I2435" s="6">
        <f t="shared" ca="1" si="0"/>
        <v>167</v>
      </c>
      <c r="J2435" s="6">
        <f ca="1">IFERROR(__xludf.DUMMYFUNCTION("IFERROR(GOOGLEFINANCE(B2435, ""volume""), 0)"),0)</f>
        <v>0</v>
      </c>
      <c r="K2435" s="6">
        <v>0.63</v>
      </c>
      <c r="L2435" s="6">
        <f ca="1">IFERROR(__xludf.DUMMYFUNCTION("IFERROR(GOOGLEFINANCE(B2435,""changepct""),K2435)"),0.63)</f>
        <v>0.63</v>
      </c>
      <c r="M2435" s="6">
        <f ca="1">IFERROR(__xludf.DUMMYFUNCTION("IFERROR(GOOGLEFINANCE(B2435,""change""),0)"),0)</f>
        <v>0</v>
      </c>
      <c r="N2435" s="6">
        <v>1</v>
      </c>
      <c r="O2435" s="7">
        <v>45536</v>
      </c>
      <c r="P2435" s="6">
        <v>3.11</v>
      </c>
      <c r="Q2435" s="6">
        <v>178.25</v>
      </c>
      <c r="R2435" s="7">
        <v>45536</v>
      </c>
      <c r="S2435" s="6">
        <v>74.989999999999995</v>
      </c>
      <c r="T2435" s="6">
        <v>12.01</v>
      </c>
      <c r="U2435" s="7">
        <v>45536</v>
      </c>
      <c r="V2435" s="6">
        <v>16.48</v>
      </c>
      <c r="W2435" s="6">
        <f ca="1">IFERROR(__xludf.DUMMYFUNCTION("IFERROR(GOOGLEFINANCE(B2435,""pe""),V2435)"),16.48)</f>
        <v>16.48</v>
      </c>
      <c r="X2435" s="6">
        <v>1.58</v>
      </c>
      <c r="Y2435" s="6">
        <v>2.4</v>
      </c>
      <c r="Z2435" s="6">
        <v>1</v>
      </c>
      <c r="AA2435" s="8">
        <v>45352</v>
      </c>
      <c r="AB2435" s="4">
        <v>0.03</v>
      </c>
      <c r="AC2435" s="6">
        <v>13.83</v>
      </c>
      <c r="AD2435" s="6">
        <v>17.829999999999998</v>
      </c>
      <c r="AE2435" s="1">
        <v>0</v>
      </c>
      <c r="AF2435" s="1">
        <f ca="1">IFERROR(__xludf.DUMMYFUNCTION("IFERROR(GOOGLEFINANCE(TRIM(F2435)&amp;"":"" &amp; TRIM(B2435),""high52""),AE2435)"),0)</f>
        <v>0</v>
      </c>
      <c r="AG2435" s="1">
        <v>0</v>
      </c>
      <c r="AH2435" s="1">
        <f ca="1">IFERROR(__xludf.DUMMYFUNCTION("IFERROR(GOOGLEFINANCE(TRIM(F2435)&amp;"":"" &amp; TRIM(B2435),""low52""),AE2435)"),0)</f>
        <v>0</v>
      </c>
      <c r="AI2435" s="1">
        <f ca="1">IFERROR(__xludf.DUMMYFUNCTION("IFERROR(GOOGLEFINANCE(B2435,""eps""),0)"),0)</f>
        <v>0</v>
      </c>
      <c r="AJ2435" s="1"/>
      <c r="AK2435" s="1" t="s">
        <v>7604</v>
      </c>
      <c r="AL2435" s="9">
        <f t="shared" si="248"/>
        <v>1</v>
      </c>
    </row>
    <row r="2436" spans="1:38" ht="15" x14ac:dyDescent="0.25">
      <c r="A2436" s="1" t="s">
        <v>7605</v>
      </c>
      <c r="B2436" s="1" t="s">
        <v>7606</v>
      </c>
      <c r="C2436" s="1" t="s">
        <v>410</v>
      </c>
      <c r="D2436" s="1" t="s">
        <v>410</v>
      </c>
      <c r="E2436" s="6">
        <v>258.69</v>
      </c>
      <c r="F2436" s="1" t="s">
        <v>53</v>
      </c>
      <c r="G2436" s="6">
        <f ca="1">IFERROR(__xludf.DUMMYFUNCTION("iferror(GOOGLEFINANCE(TRIM(F2436)&amp;"":"" &amp; TRIM(B2436), ""price""),0
)"),0)</f>
        <v>0</v>
      </c>
      <c r="H2436" s="6">
        <v>858.95</v>
      </c>
      <c r="I2436" s="6">
        <f t="shared" ca="1" si="0"/>
        <v>858.95</v>
      </c>
      <c r="J2436" s="6">
        <f ca="1">IFERROR(__xludf.DUMMYFUNCTION("IFERROR(GOOGLEFINANCE(B2436, ""volume""), 0)"),0)</f>
        <v>0</v>
      </c>
      <c r="K2436" s="6">
        <v>1.1599999999999999</v>
      </c>
      <c r="L2436" s="6">
        <f ca="1">IFERROR(__xludf.DUMMYFUNCTION("IFERROR(GOOGLEFINANCE(B2436,""changepct""),K2436)"),1.16)</f>
        <v>1.1599999999999999</v>
      </c>
      <c r="M2436" s="6">
        <f ca="1">IFERROR(__xludf.DUMMYFUNCTION("IFERROR(GOOGLEFINANCE(B2436,""change""),0)"),0)</f>
        <v>0</v>
      </c>
      <c r="N2436" s="6">
        <v>2</v>
      </c>
      <c r="O2436" s="7">
        <v>45536</v>
      </c>
      <c r="P2436" s="6">
        <v>0.34</v>
      </c>
      <c r="Q2436" s="6">
        <v>259.02999999999997</v>
      </c>
      <c r="R2436" s="7">
        <v>45536</v>
      </c>
      <c r="S2436" s="6">
        <v>73.739999999999995</v>
      </c>
      <c r="T2436" s="6">
        <v>17.36</v>
      </c>
      <c r="U2436" s="7">
        <v>45536</v>
      </c>
      <c r="V2436" s="6">
        <v>14.9</v>
      </c>
      <c r="W2436" s="6">
        <f ca="1">IFERROR(__xludf.DUMMYFUNCTION("IFERROR(GOOGLEFINANCE(B2436,""pe""),V2436)"),14.9)</f>
        <v>14.9</v>
      </c>
      <c r="X2436" s="9"/>
      <c r="Y2436" s="6">
        <v>3.56</v>
      </c>
      <c r="Z2436" s="6">
        <v>2</v>
      </c>
      <c r="AA2436" s="8">
        <v>45352</v>
      </c>
      <c r="AB2436" s="4">
        <v>0.03</v>
      </c>
      <c r="AC2436" s="6">
        <v>25.52</v>
      </c>
      <c r="AD2436" s="6">
        <v>33.46</v>
      </c>
      <c r="AE2436" s="1">
        <v>0</v>
      </c>
      <c r="AF2436" s="1">
        <f ca="1">IFERROR(__xludf.DUMMYFUNCTION("IFERROR(GOOGLEFINANCE(TRIM(F2436)&amp;"":"" &amp; TRIM(B2436),""high52""),AE2436)"),0)</f>
        <v>0</v>
      </c>
      <c r="AG2436" s="1">
        <v>0</v>
      </c>
      <c r="AH2436" s="1">
        <f ca="1">IFERROR(__xludf.DUMMYFUNCTION("IFERROR(GOOGLEFINANCE(TRIM(F2436)&amp;"":"" &amp; TRIM(B2436),""low52""),AE2436)"),0)</f>
        <v>0</v>
      </c>
      <c r="AI2436" s="1">
        <f ca="1">IFERROR(__xludf.DUMMYFUNCTION("IFERROR(GOOGLEFINANCE(B2436,""eps""),0)"),0)</f>
        <v>0</v>
      </c>
      <c r="AJ2436" s="1"/>
      <c r="AK2436" s="1" t="s">
        <v>7607</v>
      </c>
      <c r="AL2436" s="9">
        <f t="shared" si="248"/>
        <v>1</v>
      </c>
    </row>
    <row r="2437" spans="1:38" ht="15" x14ac:dyDescent="0.25">
      <c r="A2437" s="1" t="s">
        <v>7608</v>
      </c>
      <c r="B2437" s="1" t="s">
        <v>7609</v>
      </c>
      <c r="C2437" s="1" t="s">
        <v>410</v>
      </c>
      <c r="D2437" s="1" t="s">
        <v>410</v>
      </c>
      <c r="E2437" s="6">
        <v>233.22</v>
      </c>
      <c r="F2437" s="1" t="s">
        <v>53</v>
      </c>
      <c r="G2437" s="6">
        <f ca="1">IFERROR(__xludf.DUMMYFUNCTION("iferror(GOOGLEFINANCE(TRIM(F2437)&amp;"":"" &amp; TRIM(B2437), ""price""),0
)"),0)</f>
        <v>0</v>
      </c>
      <c r="H2437" s="6">
        <v>765.5</v>
      </c>
      <c r="I2437" s="6">
        <f t="shared" ca="1" si="0"/>
        <v>765.5</v>
      </c>
      <c r="J2437" s="6">
        <f ca="1">IFERROR(__xludf.DUMMYFUNCTION("IFERROR(GOOGLEFINANCE(B2437, ""volume""), 0)"),0)</f>
        <v>0</v>
      </c>
      <c r="K2437" s="6">
        <v>0</v>
      </c>
      <c r="L2437" s="6">
        <f ca="1">IFERROR(__xludf.DUMMYFUNCTION("IFERROR(GOOGLEFINANCE(B2437,""changepct""),K2437)"),0)</f>
        <v>0</v>
      </c>
      <c r="M2437" s="6">
        <f ca="1">IFERROR(__xludf.DUMMYFUNCTION("IFERROR(GOOGLEFINANCE(B2437,""change""),0)"),0)</f>
        <v>0</v>
      </c>
      <c r="N2437" s="6">
        <v>1</v>
      </c>
      <c r="O2437" s="7">
        <v>45536</v>
      </c>
      <c r="P2437" s="6">
        <v>27.14</v>
      </c>
      <c r="Q2437" s="6">
        <v>259.55</v>
      </c>
      <c r="R2437" s="7">
        <v>45536</v>
      </c>
      <c r="S2437" s="6">
        <v>99.11</v>
      </c>
      <c r="T2437" s="6">
        <v>11.35</v>
      </c>
      <c r="U2437" s="7">
        <v>45536</v>
      </c>
      <c r="V2437" s="6">
        <v>20.55</v>
      </c>
      <c r="W2437" s="6">
        <f ca="1">IFERROR(__xludf.DUMMYFUNCTION("IFERROR(GOOGLEFINANCE(B2437,""pe""),V2437)"),20.55)</f>
        <v>20.55</v>
      </c>
      <c r="X2437" s="9"/>
      <c r="Y2437" s="6">
        <v>4.3600000000000003</v>
      </c>
      <c r="Z2437" s="6">
        <v>1</v>
      </c>
      <c r="AA2437" s="8">
        <v>45352</v>
      </c>
      <c r="AB2437" s="4">
        <v>0.4</v>
      </c>
      <c r="AC2437" s="6">
        <v>27.61</v>
      </c>
      <c r="AD2437" s="6">
        <v>37.54</v>
      </c>
      <c r="AE2437" s="1">
        <v>0</v>
      </c>
      <c r="AF2437" s="1">
        <f ca="1">IFERROR(__xludf.DUMMYFUNCTION("IFERROR(GOOGLEFINANCE(TRIM(F2437)&amp;"":"" &amp; TRIM(B2437),""high52""),AE2437)"),0)</f>
        <v>0</v>
      </c>
      <c r="AG2437" s="1">
        <v>0</v>
      </c>
      <c r="AH2437" s="1">
        <f ca="1">IFERROR(__xludf.DUMMYFUNCTION("IFERROR(GOOGLEFINANCE(TRIM(F2437)&amp;"":"" &amp; TRIM(B2437),""low52""),AE2437)"),0)</f>
        <v>0</v>
      </c>
      <c r="AI2437" s="1">
        <f ca="1">IFERROR(__xludf.DUMMYFUNCTION("IFERROR(GOOGLEFINANCE(B2437,""eps""),0)"),0)</f>
        <v>0</v>
      </c>
      <c r="AJ2437" s="1"/>
      <c r="AK2437" s="9"/>
      <c r="AL2437" s="9">
        <f t="shared" si="248"/>
        <v>1</v>
      </c>
    </row>
    <row r="2438" spans="1:38" ht="15" x14ac:dyDescent="0.25">
      <c r="A2438" s="1" t="s">
        <v>7610</v>
      </c>
      <c r="B2438" s="1" t="s">
        <v>7611</v>
      </c>
      <c r="C2438" s="1" t="s">
        <v>410</v>
      </c>
      <c r="D2438" s="1" t="s">
        <v>410</v>
      </c>
      <c r="E2438" s="6">
        <v>609.45000000000005</v>
      </c>
      <c r="F2438" s="1" t="s">
        <v>53</v>
      </c>
      <c r="G2438" s="6">
        <f ca="1">IFERROR(__xludf.DUMMYFUNCTION("iferror(GOOGLEFINANCE(TRIM(F2438)&amp;"":"" &amp; TRIM(B2438), ""price""),0
)"),0)</f>
        <v>0</v>
      </c>
      <c r="H2438" s="6">
        <v>347.85</v>
      </c>
      <c r="I2438" s="6">
        <f t="shared" ca="1" si="0"/>
        <v>347.85</v>
      </c>
      <c r="J2438" s="6">
        <f ca="1">IFERROR(__xludf.DUMMYFUNCTION("IFERROR(GOOGLEFINANCE(B2438, ""volume""), 0)"),0)</f>
        <v>0</v>
      </c>
      <c r="K2438" s="6">
        <v>-0.01</v>
      </c>
      <c r="L2438" s="6">
        <f ca="1">IFERROR(__xludf.DUMMYFUNCTION("IFERROR(GOOGLEFINANCE(B2438,""changepct""),K2438)"),-0.01)</f>
        <v>-0.01</v>
      </c>
      <c r="M2438" s="6">
        <f ca="1">IFERROR(__xludf.DUMMYFUNCTION("IFERROR(GOOGLEFINANCE(B2438,""change""),0)"),0)</f>
        <v>0</v>
      </c>
      <c r="N2438" s="6">
        <v>2</v>
      </c>
      <c r="O2438" s="7">
        <v>45536</v>
      </c>
      <c r="P2438" s="6">
        <v>0.4</v>
      </c>
      <c r="Q2438" s="6">
        <v>606.61</v>
      </c>
      <c r="R2438" s="7">
        <v>45536</v>
      </c>
      <c r="S2438" s="6">
        <v>121.36</v>
      </c>
      <c r="T2438" s="6">
        <v>18.899999999999999</v>
      </c>
      <c r="U2438" s="7">
        <v>45536</v>
      </c>
      <c r="V2438" s="6">
        <v>37.42</v>
      </c>
      <c r="W2438" s="6">
        <f ca="1">IFERROR(__xludf.DUMMYFUNCTION("IFERROR(GOOGLEFINANCE(B2438,""pe""),V2438)"),37.42)</f>
        <v>37.42</v>
      </c>
      <c r="X2438" s="6">
        <v>1.52</v>
      </c>
      <c r="Y2438" s="6">
        <v>3.87</v>
      </c>
      <c r="Z2438" s="6">
        <v>2</v>
      </c>
      <c r="AA2438" s="17">
        <v>45352</v>
      </c>
      <c r="AB2438" s="18">
        <v>0</v>
      </c>
      <c r="AC2438" s="6">
        <v>7.04</v>
      </c>
      <c r="AD2438" s="6">
        <v>12.4</v>
      </c>
      <c r="AE2438" s="1">
        <v>0</v>
      </c>
      <c r="AF2438" s="1">
        <f ca="1">IFERROR(__xludf.DUMMYFUNCTION("IFERROR(GOOGLEFINANCE(TRIM(F2438)&amp;"":"" &amp; TRIM(B2438),""high52""),AE2438)"),0)</f>
        <v>0</v>
      </c>
      <c r="AG2438" s="1">
        <v>0</v>
      </c>
      <c r="AH2438" s="1">
        <f ca="1">IFERROR(__xludf.DUMMYFUNCTION("IFERROR(GOOGLEFINANCE(TRIM(F2438)&amp;"":"" &amp; TRIM(B2438),""low52""),AE2438)"),0)</f>
        <v>0</v>
      </c>
      <c r="AI2438" s="1">
        <f ca="1">IFERROR(__xludf.DUMMYFUNCTION("IFERROR(GOOGLEFINANCE(B2438,""eps""),0)"),0)</f>
        <v>0</v>
      </c>
      <c r="AJ2438" s="1"/>
      <c r="AK2438" s="1" t="s">
        <v>7612</v>
      </c>
      <c r="AL2438" s="9">
        <f t="shared" si="248"/>
        <v>1</v>
      </c>
    </row>
    <row r="2439" spans="1:38" ht="15" x14ac:dyDescent="0.25">
      <c r="A2439" s="1" t="s">
        <v>7613</v>
      </c>
      <c r="B2439" s="1" t="s">
        <v>7614</v>
      </c>
      <c r="C2439" s="1" t="s">
        <v>706</v>
      </c>
      <c r="D2439" s="1" t="s">
        <v>706</v>
      </c>
      <c r="E2439" s="6">
        <v>345.89</v>
      </c>
      <c r="F2439" s="1" t="s">
        <v>40</v>
      </c>
      <c r="G2439" s="6">
        <f ca="1">IFERROR(__xludf.DUMMYFUNCTION("iferror(GOOGLEFINANCE(TRIM(F2439)&amp;"":"" &amp; TRIM(B2439), ""price""),0
)"),38.48)</f>
        <v>38.479999999999997</v>
      </c>
      <c r="H2439" s="6">
        <v>83.65</v>
      </c>
      <c r="I2439" s="6">
        <f t="shared" ca="1" si="0"/>
        <v>38.479999999999997</v>
      </c>
      <c r="J2439" s="6">
        <f ca="1">IFERROR(__xludf.DUMMYFUNCTION("IFERROR(GOOGLEFINANCE(B2439, ""volume""), 0)"),9947)</f>
        <v>9947</v>
      </c>
      <c r="K2439" s="6">
        <v>0.36</v>
      </c>
      <c r="L2439" s="6">
        <f ca="1">IFERROR(__xludf.DUMMYFUNCTION("IFERROR(GOOGLEFINANCE(B2439,""changepct""),K2439)"),-0.16)</f>
        <v>-0.16</v>
      </c>
      <c r="M2439" s="6">
        <f ca="1">IFERROR(__xludf.DUMMYFUNCTION("IFERROR(GOOGLEFINANCE(B2439,""change""),0)"),-0.06)</f>
        <v>-0.06</v>
      </c>
      <c r="N2439" s="6">
        <v>1</v>
      </c>
      <c r="O2439" s="7">
        <v>45536</v>
      </c>
      <c r="P2439" s="6">
        <v>428.34</v>
      </c>
      <c r="Q2439" s="6">
        <v>769.3</v>
      </c>
      <c r="R2439" s="7">
        <v>45536</v>
      </c>
      <c r="S2439" s="6">
        <v>1009.36</v>
      </c>
      <c r="T2439" s="6">
        <v>-6.47</v>
      </c>
      <c r="U2439" s="7">
        <v>45536</v>
      </c>
      <c r="V2439" s="6">
        <v>0</v>
      </c>
      <c r="W2439" s="6">
        <f ca="1">IFERROR(__xludf.DUMMYFUNCTION("IFERROR(GOOGLEFINANCE(B2439,""pe""),V2439)"),0)</f>
        <v>0</v>
      </c>
      <c r="X2439" s="9"/>
      <c r="Y2439" s="6">
        <v>2.91</v>
      </c>
      <c r="Z2439" s="6">
        <v>1</v>
      </c>
      <c r="AA2439" s="8">
        <v>45352</v>
      </c>
      <c r="AB2439" s="4">
        <v>3.23</v>
      </c>
      <c r="AC2439" s="6">
        <v>-7.17</v>
      </c>
      <c r="AD2439" s="6">
        <v>4.97</v>
      </c>
      <c r="AE2439" s="1">
        <v>0</v>
      </c>
      <c r="AF2439" s="1">
        <f ca="1">IFERROR(__xludf.DUMMYFUNCTION("IFERROR(GOOGLEFINANCE(TRIM(F2439)&amp;"":"" &amp; TRIM(B2439),""high52""),AE2439)"),86.9)</f>
        <v>86.9</v>
      </c>
      <c r="AG2439" s="1">
        <v>0</v>
      </c>
      <c r="AH2439" s="1">
        <f ca="1">IFERROR(__xludf.DUMMYFUNCTION("IFERROR(GOOGLEFINANCE(TRIM(F2439)&amp;"":"" &amp; TRIM(B2439),""low52""),AE2439)"),36.57)</f>
        <v>36.57</v>
      </c>
      <c r="AI2439" s="1">
        <f ca="1">IFERROR(__xludf.DUMMYFUNCTION("IFERROR(GOOGLEFINANCE(B2439,""eps""),0)"),-6.29)</f>
        <v>-6.29</v>
      </c>
      <c r="AJ2439" s="1"/>
      <c r="AK2439" s="1" t="s">
        <v>7615</v>
      </c>
      <c r="AL2439" s="9">
        <f t="shared" si="248"/>
        <v>1</v>
      </c>
    </row>
    <row r="2440" spans="1:38" ht="15" x14ac:dyDescent="0.25">
      <c r="A2440" s="1" t="s">
        <v>7616</v>
      </c>
      <c r="B2440" s="1" t="s">
        <v>7617</v>
      </c>
      <c r="C2440" s="1" t="s">
        <v>487</v>
      </c>
      <c r="D2440" s="1" t="s">
        <v>487</v>
      </c>
      <c r="E2440" s="6">
        <v>3158.52</v>
      </c>
      <c r="F2440" s="1" t="s">
        <v>40</v>
      </c>
      <c r="G2440" s="6">
        <f ca="1">IFERROR(__xludf.DUMMYFUNCTION("iferror(GOOGLEFINANCE(TRIM(F2440)&amp;"":"" &amp; TRIM(B2440), ""price""),0
)"),507)</f>
        <v>507</v>
      </c>
      <c r="H2440" s="6">
        <v>623.15</v>
      </c>
      <c r="I2440" s="6">
        <f t="shared" ca="1" si="0"/>
        <v>507</v>
      </c>
      <c r="J2440" s="6">
        <f ca="1">IFERROR(__xludf.DUMMYFUNCTION("IFERROR(GOOGLEFINANCE(B2440, ""volume""), 0)"),66691)</f>
        <v>66691</v>
      </c>
      <c r="K2440" s="6">
        <v>0.92</v>
      </c>
      <c r="L2440" s="6">
        <f ca="1">IFERROR(__xludf.DUMMYFUNCTION("IFERROR(GOOGLEFINANCE(B2440,""changepct""),K2440)"),0.63)</f>
        <v>0.63</v>
      </c>
      <c r="M2440" s="6">
        <f ca="1">IFERROR(__xludf.DUMMYFUNCTION("IFERROR(GOOGLEFINANCE(B2440,""change""),0)"),3.15)</f>
        <v>3.15</v>
      </c>
      <c r="N2440" s="6">
        <v>2</v>
      </c>
      <c r="O2440" s="7">
        <v>45536</v>
      </c>
      <c r="P2440" s="6">
        <v>695.9</v>
      </c>
      <c r="Q2440" s="6">
        <v>3755.4</v>
      </c>
      <c r="R2440" s="7">
        <v>45536</v>
      </c>
      <c r="S2440" s="6">
        <v>674.03</v>
      </c>
      <c r="T2440" s="6">
        <v>144.75</v>
      </c>
      <c r="U2440" s="7">
        <v>45536</v>
      </c>
      <c r="V2440" s="6">
        <v>18.010000000000002</v>
      </c>
      <c r="W2440" s="6">
        <f ca="1">IFERROR(__xludf.DUMMYFUNCTION("IFERROR(GOOGLEFINANCE(B2440,""pe""),V2440)"),12.43)</f>
        <v>12.43</v>
      </c>
      <c r="X2440" s="6">
        <v>0.46</v>
      </c>
      <c r="Y2440" s="6">
        <v>2.91</v>
      </c>
      <c r="Z2440" s="6">
        <v>2</v>
      </c>
      <c r="AA2440" s="8">
        <v>45352</v>
      </c>
      <c r="AB2440" s="4">
        <v>0.76</v>
      </c>
      <c r="AC2440" s="6">
        <v>15.17</v>
      </c>
      <c r="AD2440" s="6">
        <v>15.9</v>
      </c>
      <c r="AE2440" s="1">
        <v>0</v>
      </c>
      <c r="AF2440" s="1">
        <f ca="1">IFERROR(__xludf.DUMMYFUNCTION("IFERROR(GOOGLEFINANCE(TRIM(F2440)&amp;"":"" &amp; TRIM(B2440),""high52""),AE2440)"),769.45)</f>
        <v>769.45</v>
      </c>
      <c r="AG2440" s="1">
        <v>0</v>
      </c>
      <c r="AH2440" s="1">
        <f ca="1">IFERROR(__xludf.DUMMYFUNCTION("IFERROR(GOOGLEFINANCE(TRIM(F2440)&amp;"":"" &amp; TRIM(B2440),""low52""),AE2440)"),352.05)</f>
        <v>352.05</v>
      </c>
      <c r="AI2440" s="1">
        <f ca="1">IFERROR(__xludf.DUMMYFUNCTION("IFERROR(GOOGLEFINANCE(B2440,""eps""),0)"),40.8)</f>
        <v>40.799999999999997</v>
      </c>
      <c r="AJ2440" s="1"/>
      <c r="AK2440" s="1" t="s">
        <v>7618</v>
      </c>
      <c r="AL2440" s="9">
        <f t="shared" si="248"/>
        <v>1</v>
      </c>
    </row>
    <row r="2441" spans="1:38" ht="15" x14ac:dyDescent="0.25">
      <c r="A2441" s="1" t="s">
        <v>7619</v>
      </c>
      <c r="B2441" s="1" t="s">
        <v>7620</v>
      </c>
      <c r="C2441" s="1" t="s">
        <v>577</v>
      </c>
      <c r="D2441" s="1" t="s">
        <v>577</v>
      </c>
      <c r="E2441" s="6">
        <v>121.54</v>
      </c>
      <c r="F2441" s="1" t="s">
        <v>40</v>
      </c>
      <c r="G2441" s="6">
        <f ca="1">IFERROR(__xludf.DUMMYFUNCTION("iferror(GOOGLEFINANCE(TRIM(F2441)&amp;"":"" &amp; TRIM(B2441), ""price""),0
)"),0)</f>
        <v>0</v>
      </c>
      <c r="H2441" s="6">
        <v>64</v>
      </c>
      <c r="I2441" s="6">
        <f t="shared" ca="1" si="0"/>
        <v>64</v>
      </c>
      <c r="J2441" s="6">
        <f ca="1">IFERROR(__xludf.DUMMYFUNCTION("IFERROR(GOOGLEFINANCE(B2441, ""volume""), 0)"),0)</f>
        <v>0</v>
      </c>
      <c r="K2441" s="6">
        <v>-1.54</v>
      </c>
      <c r="L2441" s="6">
        <f ca="1">IFERROR(__xludf.DUMMYFUNCTION("IFERROR(GOOGLEFINANCE(B2441,""changepct""),K2441)"),-1.54)</f>
        <v>-1.54</v>
      </c>
      <c r="M2441" s="6">
        <f ca="1">IFERROR(__xludf.DUMMYFUNCTION("IFERROR(GOOGLEFINANCE(B2441,""change""),0)"),0)</f>
        <v>0</v>
      </c>
      <c r="N2441" s="6">
        <v>1</v>
      </c>
      <c r="O2441" s="7">
        <v>45536</v>
      </c>
      <c r="P2441" s="6">
        <v>42.23</v>
      </c>
      <c r="Q2441" s="6">
        <v>163.78</v>
      </c>
      <c r="R2441" s="7">
        <v>45352</v>
      </c>
      <c r="S2441" s="6">
        <v>71.650000000000006</v>
      </c>
      <c r="T2441" s="6">
        <v>3.04</v>
      </c>
      <c r="U2441" s="7">
        <v>45352</v>
      </c>
      <c r="V2441" s="6">
        <v>40.03</v>
      </c>
      <c r="W2441" s="6">
        <f ca="1">IFERROR(__xludf.DUMMYFUNCTION("IFERROR(GOOGLEFINANCE(B2441,""pe""),V2441)"),40.03)</f>
        <v>40.03</v>
      </c>
      <c r="X2441" s="12"/>
      <c r="Y2441" s="6">
        <v>4.5</v>
      </c>
      <c r="Z2441" s="6">
        <v>1</v>
      </c>
      <c r="AA2441" s="8">
        <v>45352</v>
      </c>
      <c r="AB2441" s="4">
        <v>1.48</v>
      </c>
      <c r="AC2441" s="6">
        <v>13.51</v>
      </c>
      <c r="AD2441" s="6">
        <v>16.920000000000002</v>
      </c>
      <c r="AE2441" s="1">
        <v>0</v>
      </c>
      <c r="AF2441" s="1">
        <f ca="1">IFERROR(__xludf.DUMMYFUNCTION("IFERROR(GOOGLEFINANCE(TRIM(F2441)&amp;"":"" &amp; TRIM(B2441),""high52""),AE2441)"),0)</f>
        <v>0</v>
      </c>
      <c r="AG2441" s="1">
        <v>0</v>
      </c>
      <c r="AH2441" s="1">
        <f ca="1">IFERROR(__xludf.DUMMYFUNCTION("IFERROR(GOOGLEFINANCE(TRIM(F2441)&amp;"":"" &amp; TRIM(B2441),""low52""),AE2441)"),0)</f>
        <v>0</v>
      </c>
      <c r="AI2441" s="1">
        <f ca="1">IFERROR(__xludf.DUMMYFUNCTION("IFERROR(GOOGLEFINANCE(B2441,""eps""),0)"),0)</f>
        <v>0</v>
      </c>
      <c r="AJ2441" s="1"/>
      <c r="AK2441" s="1" t="s">
        <v>7621</v>
      </c>
      <c r="AL2441" s="1" t="b">
        <f>ISNUMBER(AA2441)</f>
        <v>1</v>
      </c>
    </row>
    <row r="2442" spans="1:38" ht="15" x14ac:dyDescent="0.25">
      <c r="A2442" s="1" t="s">
        <v>7622</v>
      </c>
      <c r="B2442" s="1" t="s">
        <v>7623</v>
      </c>
      <c r="C2442" s="1" t="s">
        <v>324</v>
      </c>
      <c r="D2442" s="1" t="s">
        <v>324</v>
      </c>
      <c r="E2442" s="6">
        <v>84625.1</v>
      </c>
      <c r="F2442" s="1" t="s">
        <v>40</v>
      </c>
      <c r="G2442" s="6">
        <f ca="1">IFERROR(__xludf.DUMMYFUNCTION("iferror(GOOGLEFINANCE(TRIM(F2442)&amp;"":"" &amp; TRIM(B2442), ""price""),0
)"),720.7)</f>
        <v>720.7</v>
      </c>
      <c r="H2442" s="6">
        <v>651.15</v>
      </c>
      <c r="I2442" s="6">
        <f t="shared" ca="1" si="0"/>
        <v>720.7</v>
      </c>
      <c r="J2442" s="6">
        <f ca="1">IFERROR(__xludf.DUMMYFUNCTION("IFERROR(GOOGLEFINANCE(B2442, ""volume""), 0)"),3074659)</f>
        <v>3074659</v>
      </c>
      <c r="K2442" s="6">
        <v>-0.34</v>
      </c>
      <c r="L2442" s="6">
        <f ca="1">IFERROR(__xludf.DUMMYFUNCTION("IFERROR(GOOGLEFINANCE(B2442,""changepct""),K2442)"),0.01)</f>
        <v>0.01</v>
      </c>
      <c r="M2442" s="6">
        <f ca="1">IFERROR(__xludf.DUMMYFUNCTION("IFERROR(GOOGLEFINANCE(B2442,""change""),0)"),0.05)</f>
        <v>0.05</v>
      </c>
      <c r="N2442" s="6">
        <v>2</v>
      </c>
      <c r="O2442" s="7">
        <v>45536</v>
      </c>
      <c r="P2442" s="6">
        <v>339</v>
      </c>
      <c r="Q2442" s="6">
        <v>84237.1</v>
      </c>
      <c r="R2442" s="7">
        <v>45536</v>
      </c>
      <c r="S2442" s="6">
        <v>10007</v>
      </c>
      <c r="T2442" s="6">
        <v>1613</v>
      </c>
      <c r="U2442" s="7">
        <v>45536</v>
      </c>
      <c r="V2442" s="6">
        <v>53.29</v>
      </c>
      <c r="W2442" s="6">
        <f ca="1">IFERROR(__xludf.DUMMYFUNCTION("IFERROR(GOOGLEFINANCE(B2442,""pe""),V2442)"),54.51)</f>
        <v>54.51</v>
      </c>
      <c r="X2442" s="6">
        <v>9.09</v>
      </c>
      <c r="Y2442" s="6">
        <v>18.13</v>
      </c>
      <c r="Z2442" s="6">
        <v>2</v>
      </c>
      <c r="AA2442" s="8">
        <v>45352</v>
      </c>
      <c r="AB2442" s="4">
        <v>0.1</v>
      </c>
      <c r="AC2442" s="6">
        <v>39.950000000000003</v>
      </c>
      <c r="AD2442" s="6">
        <v>47.36</v>
      </c>
      <c r="AE2442" s="1">
        <v>0</v>
      </c>
      <c r="AF2442" s="1">
        <f ca="1">IFERROR(__xludf.DUMMYFUNCTION("IFERROR(GOOGLEFINANCE(TRIM(F2442)&amp;"":"" &amp; TRIM(B2442),""high52""),AE2442)"),780)</f>
        <v>780</v>
      </c>
      <c r="AG2442" s="1">
        <v>0</v>
      </c>
      <c r="AH2442" s="1">
        <f ca="1">IFERROR(__xludf.DUMMYFUNCTION("IFERROR(GOOGLEFINANCE(TRIM(F2442)&amp;"":"" &amp; TRIM(B2442),""low52""),AE2442)"),577.85)</f>
        <v>577.85</v>
      </c>
      <c r="AI2442" s="1">
        <f ca="1">IFERROR(__xludf.DUMMYFUNCTION("IFERROR(GOOGLEFINANCE(B2442,""eps""),0)"),13.22)</f>
        <v>13.22</v>
      </c>
      <c r="AJ2442" s="1"/>
      <c r="AK2442" s="1" t="s">
        <v>7624</v>
      </c>
      <c r="AL2442" s="9">
        <f t="shared" ref="AL2442:AL2450" si="249">IF(AA2442&lt;&gt;AB2442,1,0)</f>
        <v>1</v>
      </c>
    </row>
    <row r="2443" spans="1:38" ht="15" x14ac:dyDescent="0.25">
      <c r="A2443" s="1" t="s">
        <v>7625</v>
      </c>
      <c r="B2443" s="1" t="s">
        <v>7626</v>
      </c>
      <c r="C2443" s="1" t="s">
        <v>416</v>
      </c>
      <c r="D2443" s="1" t="s">
        <v>416</v>
      </c>
      <c r="E2443" s="6">
        <v>3663.11</v>
      </c>
      <c r="F2443" s="1" t="s">
        <v>40</v>
      </c>
      <c r="G2443" s="6">
        <f ca="1">IFERROR(__xludf.DUMMYFUNCTION("iferror(GOOGLEFINANCE(TRIM(F2443)&amp;"":"" &amp; TRIM(B2443), ""price""),0
)"),187.5)</f>
        <v>187.5</v>
      </c>
      <c r="H2443" s="6">
        <v>264</v>
      </c>
      <c r="I2443" s="6">
        <f t="shared" ca="1" si="0"/>
        <v>187.5</v>
      </c>
      <c r="J2443" s="6">
        <f ca="1">IFERROR(__xludf.DUMMYFUNCTION("IFERROR(GOOGLEFINANCE(B2443, ""volume""), 0)"),439529)</f>
        <v>439529</v>
      </c>
      <c r="K2443" s="6">
        <v>-0.57999999999999996</v>
      </c>
      <c r="L2443" s="6">
        <f ca="1">IFERROR(__xludf.DUMMYFUNCTION("IFERROR(GOOGLEFINANCE(B2443,""changepct""),K2443)"),1.91)</f>
        <v>1.91</v>
      </c>
      <c r="M2443" s="6">
        <f ca="1">IFERROR(__xludf.DUMMYFUNCTION("IFERROR(GOOGLEFINANCE(B2443,""change""),0)"),3.51)</f>
        <v>3.51</v>
      </c>
      <c r="N2443" s="6">
        <v>2</v>
      </c>
      <c r="O2443" s="7">
        <v>45536</v>
      </c>
      <c r="P2443" s="6">
        <v>80.64</v>
      </c>
      <c r="Q2443" s="6">
        <v>3687.61</v>
      </c>
      <c r="R2443" s="7">
        <v>45536</v>
      </c>
      <c r="S2443" s="6">
        <v>706.29</v>
      </c>
      <c r="T2443" s="6">
        <v>37.08</v>
      </c>
      <c r="U2443" s="7">
        <v>45536</v>
      </c>
      <c r="V2443" s="6">
        <v>97.69</v>
      </c>
      <c r="W2443" s="6">
        <f ca="1">IFERROR(__xludf.DUMMYFUNCTION("IFERROR(GOOGLEFINANCE(B2443,""pe""),V2443)"),55.98)</f>
        <v>55.98</v>
      </c>
      <c r="X2443" s="6">
        <v>4.25</v>
      </c>
      <c r="Y2443" s="6">
        <v>13.49</v>
      </c>
      <c r="Z2443" s="6">
        <v>2</v>
      </c>
      <c r="AA2443" s="8">
        <v>45352</v>
      </c>
      <c r="AB2443" s="4">
        <v>0.38</v>
      </c>
      <c r="AC2443" s="6">
        <v>11.34</v>
      </c>
      <c r="AD2443" s="6">
        <v>15.72</v>
      </c>
      <c r="AE2443" s="1">
        <v>0</v>
      </c>
      <c r="AF2443" s="1">
        <f ca="1">IFERROR(__xludf.DUMMYFUNCTION("IFERROR(GOOGLEFINANCE(TRIM(F2443)&amp;"":"" &amp; TRIM(B2443),""high52""),AE2443)"),258)</f>
        <v>258</v>
      </c>
      <c r="AG2443" s="1">
        <v>0</v>
      </c>
      <c r="AH2443" s="1">
        <f ca="1">IFERROR(__xludf.DUMMYFUNCTION("IFERROR(GOOGLEFINANCE(TRIM(F2443)&amp;"":"" &amp; TRIM(B2443),""low52""),AE2443)"),138.9)</f>
        <v>138.9</v>
      </c>
      <c r="AI2443" s="1">
        <f ca="1">IFERROR(__xludf.DUMMYFUNCTION("IFERROR(GOOGLEFINANCE(B2443,""eps""),0)"),3.35)</f>
        <v>3.35</v>
      </c>
      <c r="AJ2443" s="1"/>
      <c r="AK2443" s="1" t="s">
        <v>7627</v>
      </c>
      <c r="AL2443" s="9">
        <f t="shared" si="249"/>
        <v>1</v>
      </c>
    </row>
    <row r="2444" spans="1:38" ht="15" x14ac:dyDescent="0.25">
      <c r="A2444" s="1" t="s">
        <v>7628</v>
      </c>
      <c r="B2444" s="1" t="s">
        <v>7629</v>
      </c>
      <c r="C2444" s="1" t="s">
        <v>259</v>
      </c>
      <c r="D2444" s="1" t="s">
        <v>259</v>
      </c>
      <c r="E2444" s="6">
        <v>30.54</v>
      </c>
      <c r="F2444" s="1" t="s">
        <v>40</v>
      </c>
      <c r="G2444" s="6">
        <f ca="1">IFERROR(__xludf.DUMMYFUNCTION("iferror(GOOGLEFINANCE(TRIM(F2444)&amp;"":"" &amp; TRIM(B2444), ""price""),0
)"),0)</f>
        <v>0</v>
      </c>
      <c r="H2444" s="6">
        <v>24</v>
      </c>
      <c r="I2444" s="6">
        <f t="shared" ca="1" si="0"/>
        <v>24</v>
      </c>
      <c r="J2444" s="6">
        <f ca="1">IFERROR(__xludf.DUMMYFUNCTION("IFERROR(GOOGLEFINANCE(B2444, ""volume""), 0)"),0)</f>
        <v>0</v>
      </c>
      <c r="K2444" s="12"/>
      <c r="L2444" s="6" t="str">
        <f ca="1">IFERROR(__xludf.DUMMYFUNCTION("IFERROR(GOOGLEFINANCE(B2444,""changepct""),K2444)"),"")</f>
        <v/>
      </c>
      <c r="M2444" s="6">
        <f ca="1">IFERROR(__xludf.DUMMYFUNCTION("IFERROR(GOOGLEFINANCE(B2444,""change""),0)"),0)</f>
        <v>0</v>
      </c>
      <c r="N2444" s="6">
        <v>1</v>
      </c>
      <c r="O2444" s="7">
        <v>45536</v>
      </c>
      <c r="P2444" s="6">
        <v>8.4499999999999993</v>
      </c>
      <c r="Q2444" s="6">
        <v>38.99</v>
      </c>
      <c r="R2444" s="7">
        <v>45352</v>
      </c>
      <c r="S2444" s="6">
        <v>106.34</v>
      </c>
      <c r="T2444" s="6">
        <v>0.56999999999999995</v>
      </c>
      <c r="U2444" s="7">
        <v>45352</v>
      </c>
      <c r="V2444" s="6">
        <v>53.68</v>
      </c>
      <c r="W2444" s="6">
        <f ca="1">IFERROR(__xludf.DUMMYFUNCTION("IFERROR(GOOGLEFINANCE(B2444,""pe""),V2444)"),53.68)</f>
        <v>53.68</v>
      </c>
      <c r="X2444" s="12"/>
      <c r="Y2444" s="6">
        <v>1.2</v>
      </c>
      <c r="Z2444" s="6">
        <v>2</v>
      </c>
      <c r="AA2444" s="8">
        <v>45352</v>
      </c>
      <c r="AB2444" s="4">
        <v>0.27</v>
      </c>
      <c r="AC2444" s="6">
        <v>1.57</v>
      </c>
      <c r="AD2444" s="6">
        <v>5.73</v>
      </c>
      <c r="AE2444" s="1">
        <v>0</v>
      </c>
      <c r="AF2444" s="1">
        <f ca="1">IFERROR(__xludf.DUMMYFUNCTION("IFERROR(GOOGLEFINANCE(TRIM(F2444)&amp;"":"" &amp; TRIM(B2444),""high52""),AE2444)"),0)</f>
        <v>0</v>
      </c>
      <c r="AG2444" s="1">
        <v>0</v>
      </c>
      <c r="AH2444" s="1">
        <f ca="1">IFERROR(__xludf.DUMMYFUNCTION("IFERROR(GOOGLEFINANCE(TRIM(F2444)&amp;"":"" &amp; TRIM(B2444),""low52""),AE2444)"),0)</f>
        <v>0</v>
      </c>
      <c r="AI2444" s="1">
        <f ca="1">IFERROR(__xludf.DUMMYFUNCTION("IFERROR(GOOGLEFINANCE(B2444,""eps""),0)"),0)</f>
        <v>0</v>
      </c>
      <c r="AJ2444" s="1"/>
      <c r="AK2444" s="1" t="s">
        <v>7630</v>
      </c>
      <c r="AL2444" s="9">
        <f t="shared" si="249"/>
        <v>1</v>
      </c>
    </row>
    <row r="2445" spans="1:38" ht="15" x14ac:dyDescent="0.25">
      <c r="A2445" s="1" t="s">
        <v>7631</v>
      </c>
      <c r="B2445" s="1" t="s">
        <v>7632</v>
      </c>
      <c r="C2445" s="1" t="s">
        <v>106</v>
      </c>
      <c r="D2445" s="1" t="s">
        <v>106</v>
      </c>
      <c r="E2445" s="6">
        <v>13504.28</v>
      </c>
      <c r="F2445" s="1" t="s">
        <v>40</v>
      </c>
      <c r="G2445" s="6">
        <f ca="1">IFERROR(__xludf.DUMMYFUNCTION("iferror(GOOGLEFINANCE(TRIM(F2445)&amp;"":"" &amp; TRIM(B2445), ""price""),0
)"),165)</f>
        <v>165</v>
      </c>
      <c r="H2445" s="6">
        <v>298.39999999999998</v>
      </c>
      <c r="I2445" s="6">
        <f t="shared" ca="1" si="0"/>
        <v>165</v>
      </c>
      <c r="J2445" s="6">
        <f ca="1">IFERROR(__xludf.DUMMYFUNCTION("IFERROR(GOOGLEFINANCE(B2445, ""volume""), 0)"),554400)</f>
        <v>554400</v>
      </c>
      <c r="K2445" s="6">
        <v>0</v>
      </c>
      <c r="L2445" s="6">
        <f ca="1">IFERROR(__xludf.DUMMYFUNCTION("IFERROR(GOOGLEFINANCE(B2445,""changepct""),K2445)"),-1.82)</f>
        <v>-1.82</v>
      </c>
      <c r="M2445" s="6">
        <f ca="1">IFERROR(__xludf.DUMMYFUNCTION("IFERROR(GOOGLEFINANCE(B2445,""change""),0)"),-3.06)</f>
        <v>-3.06</v>
      </c>
      <c r="N2445" s="6">
        <v>2</v>
      </c>
      <c r="O2445" s="7">
        <v>45536</v>
      </c>
      <c r="P2445" s="6">
        <v>24.04</v>
      </c>
      <c r="Q2445" s="6">
        <v>12871.68</v>
      </c>
      <c r="R2445" s="7">
        <v>45536</v>
      </c>
      <c r="S2445" s="6">
        <v>2378.6799999999998</v>
      </c>
      <c r="T2445" s="6">
        <v>347.44</v>
      </c>
      <c r="U2445" s="7">
        <v>45536</v>
      </c>
      <c r="V2445" s="6">
        <v>38.92</v>
      </c>
      <c r="W2445" s="6">
        <f ca="1">IFERROR(__xludf.DUMMYFUNCTION("IFERROR(GOOGLEFINANCE(B2445,""pe""),V2445)"),21.24)</f>
        <v>21.24</v>
      </c>
      <c r="X2445" s="6">
        <v>1.24</v>
      </c>
      <c r="Y2445" s="6">
        <v>5.92</v>
      </c>
      <c r="Z2445" s="6">
        <v>2</v>
      </c>
      <c r="AA2445" s="8">
        <v>45352</v>
      </c>
      <c r="AB2445" s="4">
        <v>0.01</v>
      </c>
      <c r="AC2445" s="6">
        <v>16.53</v>
      </c>
      <c r="AD2445" s="6">
        <v>22.4</v>
      </c>
      <c r="AE2445" s="1">
        <v>0</v>
      </c>
      <c r="AF2445" s="1">
        <f ca="1">IFERROR(__xludf.DUMMYFUNCTION("IFERROR(GOOGLEFINANCE(TRIM(F2445)&amp;"":"" &amp; TRIM(B2445),""high52""),AE2445)"),276.4)</f>
        <v>276.39999999999998</v>
      </c>
      <c r="AG2445" s="1">
        <v>0</v>
      </c>
      <c r="AH2445" s="1">
        <f ca="1">IFERROR(__xludf.DUMMYFUNCTION("IFERROR(GOOGLEFINANCE(TRIM(F2445)&amp;"":"" &amp; TRIM(B2445),""low52""),AE2445)"),156)</f>
        <v>156</v>
      </c>
      <c r="AI2445" s="1">
        <f ca="1">IFERROR(__xludf.DUMMYFUNCTION("IFERROR(GOOGLEFINANCE(B2445,""eps""),0)"),7.77)</f>
        <v>7.77</v>
      </c>
      <c r="AJ2445" s="1"/>
      <c r="AK2445" s="1" t="s">
        <v>7633</v>
      </c>
      <c r="AL2445" s="9">
        <f t="shared" si="249"/>
        <v>1</v>
      </c>
    </row>
    <row r="2446" spans="1:38" ht="15" x14ac:dyDescent="0.25">
      <c r="A2446" s="1" t="s">
        <v>7634</v>
      </c>
      <c r="B2446" s="1" t="s">
        <v>7635</v>
      </c>
      <c r="C2446" s="1" t="s">
        <v>410</v>
      </c>
      <c r="D2446" s="1" t="s">
        <v>410</v>
      </c>
      <c r="E2446" s="6">
        <v>896.4</v>
      </c>
      <c r="F2446" s="1" t="s">
        <v>53</v>
      </c>
      <c r="G2446" s="6">
        <f ca="1">IFERROR(__xludf.DUMMYFUNCTION("iferror(GOOGLEFINANCE(TRIM(F2446)&amp;"":"" &amp; TRIM(B2446), ""price""),0
)"),0)</f>
        <v>0</v>
      </c>
      <c r="H2446" s="6">
        <v>1660</v>
      </c>
      <c r="I2446" s="6">
        <f t="shared" ca="1" si="0"/>
        <v>1660</v>
      </c>
      <c r="J2446" s="6">
        <f ca="1">IFERROR(__xludf.DUMMYFUNCTION("IFERROR(GOOGLEFINANCE(B2446, ""volume""), 0)"),0)</f>
        <v>0</v>
      </c>
      <c r="K2446" s="9"/>
      <c r="L2446" s="6" t="str">
        <f ca="1">IFERROR(__xludf.DUMMYFUNCTION("IFERROR(GOOGLEFINANCE(B2446,""changepct""),K2446)"),"")</f>
        <v/>
      </c>
      <c r="M2446" s="6">
        <f ca="1">IFERROR(__xludf.DUMMYFUNCTION("IFERROR(GOOGLEFINANCE(B2446,""change""),0)"),0)</f>
        <v>0</v>
      </c>
      <c r="N2446" s="6">
        <v>1</v>
      </c>
      <c r="O2446" s="7">
        <v>45536</v>
      </c>
      <c r="P2446" s="6">
        <v>0.92</v>
      </c>
      <c r="Q2446" s="6">
        <v>843.69</v>
      </c>
      <c r="R2446" s="7">
        <v>45536</v>
      </c>
      <c r="S2446" s="6">
        <v>143.51</v>
      </c>
      <c r="T2446" s="6">
        <v>27.09</v>
      </c>
      <c r="U2446" s="7">
        <v>45536</v>
      </c>
      <c r="V2446" s="6">
        <v>33.090000000000003</v>
      </c>
      <c r="W2446" s="6">
        <f ca="1">IFERROR(__xludf.DUMMYFUNCTION("IFERROR(GOOGLEFINANCE(B2446,""pe""),V2446)"),33.09)</f>
        <v>33.090000000000003</v>
      </c>
      <c r="X2446" s="6">
        <v>0.89</v>
      </c>
      <c r="Y2446" s="6">
        <v>5.91</v>
      </c>
      <c r="Z2446" s="6">
        <v>1</v>
      </c>
      <c r="AA2446" s="8">
        <v>45352</v>
      </c>
      <c r="AB2446" s="4">
        <v>0</v>
      </c>
      <c r="AC2446" s="6">
        <v>23.44</v>
      </c>
      <c r="AD2446" s="6">
        <v>31.09</v>
      </c>
      <c r="AE2446" s="1">
        <v>0</v>
      </c>
      <c r="AF2446" s="1">
        <f ca="1">IFERROR(__xludf.DUMMYFUNCTION("IFERROR(GOOGLEFINANCE(TRIM(F2446)&amp;"":"" &amp; TRIM(B2446),""high52""),AE2446)"),0)</f>
        <v>0</v>
      </c>
      <c r="AG2446" s="1">
        <v>0</v>
      </c>
      <c r="AH2446" s="1">
        <f ca="1">IFERROR(__xludf.DUMMYFUNCTION("IFERROR(GOOGLEFINANCE(TRIM(F2446)&amp;"":"" &amp; TRIM(B2446),""low52""),AE2446)"),0)</f>
        <v>0</v>
      </c>
      <c r="AI2446" s="1">
        <f ca="1">IFERROR(__xludf.DUMMYFUNCTION("IFERROR(GOOGLEFINANCE(B2446,""eps""),0)"),0)</f>
        <v>0</v>
      </c>
      <c r="AJ2446" s="1"/>
      <c r="AK2446" s="1" t="s">
        <v>7636</v>
      </c>
      <c r="AL2446" s="9">
        <f t="shared" si="249"/>
        <v>1</v>
      </c>
    </row>
    <row r="2447" spans="1:38" ht="15" x14ac:dyDescent="0.25">
      <c r="A2447" s="1" t="s">
        <v>7637</v>
      </c>
      <c r="B2447" s="1" t="s">
        <v>7638</v>
      </c>
      <c r="C2447" s="1" t="s">
        <v>410</v>
      </c>
      <c r="D2447" s="1" t="s">
        <v>410</v>
      </c>
      <c r="E2447" s="6">
        <v>24.74</v>
      </c>
      <c r="F2447" s="1" t="s">
        <v>53</v>
      </c>
      <c r="G2447" s="6">
        <f ca="1">IFERROR(__xludf.DUMMYFUNCTION("iferror(GOOGLEFINANCE(TRIM(F2447)&amp;"":"" &amp; TRIM(B2447), ""price""),0
)"),0)</f>
        <v>0</v>
      </c>
      <c r="H2447" s="6">
        <v>7.76</v>
      </c>
      <c r="I2447" s="6">
        <f t="shared" ca="1" si="0"/>
        <v>7.76</v>
      </c>
      <c r="J2447" s="6">
        <f ca="1">IFERROR(__xludf.DUMMYFUNCTION("IFERROR(GOOGLEFINANCE(B2447, ""volume""), 0)"),0)</f>
        <v>0</v>
      </c>
      <c r="K2447" s="6">
        <v>0.26</v>
      </c>
      <c r="L2447" s="6">
        <f ca="1">IFERROR(__xludf.DUMMYFUNCTION("IFERROR(GOOGLEFINANCE(B2447,""changepct""),K2447)"),0.26)</f>
        <v>0.26</v>
      </c>
      <c r="M2447" s="6">
        <f ca="1">IFERROR(__xludf.DUMMYFUNCTION("IFERROR(GOOGLEFINANCE(B2447,""change""),0)"),0)</f>
        <v>0</v>
      </c>
      <c r="N2447" s="6">
        <v>1</v>
      </c>
      <c r="O2447" s="7">
        <v>45536</v>
      </c>
      <c r="P2447" s="6">
        <v>50.08</v>
      </c>
      <c r="Q2447" s="6">
        <v>74.819999999999993</v>
      </c>
      <c r="R2447" s="7">
        <v>45536</v>
      </c>
      <c r="S2447" s="6">
        <v>0</v>
      </c>
      <c r="T2447" s="6">
        <v>-1.1499999999999999</v>
      </c>
      <c r="U2447" s="7">
        <v>45536</v>
      </c>
      <c r="V2447" s="6">
        <v>0</v>
      </c>
      <c r="W2447" s="6">
        <f ca="1">IFERROR(__xludf.DUMMYFUNCTION("IFERROR(GOOGLEFINANCE(B2447,""pe""),V2447)"),0)</f>
        <v>0</v>
      </c>
      <c r="X2447" s="6">
        <v>0</v>
      </c>
      <c r="Y2447" s="6">
        <v>-35.92</v>
      </c>
      <c r="Z2447" s="6">
        <v>1</v>
      </c>
      <c r="AA2447" s="8">
        <v>45352</v>
      </c>
      <c r="AB2447" s="4">
        <v>-260.47000000000003</v>
      </c>
      <c r="AC2447" s="6">
        <v>-341.26</v>
      </c>
      <c r="AD2447" s="6">
        <v>-2.13</v>
      </c>
      <c r="AE2447" s="1">
        <v>0</v>
      </c>
      <c r="AF2447" s="1">
        <f ca="1">IFERROR(__xludf.DUMMYFUNCTION("IFERROR(GOOGLEFINANCE(TRIM(F2447)&amp;"":"" &amp; TRIM(B2447),""high52""),AE2447)"),0)</f>
        <v>0</v>
      </c>
      <c r="AG2447" s="1">
        <v>0</v>
      </c>
      <c r="AH2447" s="1">
        <f ca="1">IFERROR(__xludf.DUMMYFUNCTION("IFERROR(GOOGLEFINANCE(TRIM(F2447)&amp;"":"" &amp; TRIM(B2447),""low52""),AE2447)"),0)</f>
        <v>0</v>
      </c>
      <c r="AI2447" s="1">
        <f ca="1">IFERROR(__xludf.DUMMYFUNCTION("IFERROR(GOOGLEFINANCE(B2447,""eps""),0)"),0)</f>
        <v>0</v>
      </c>
      <c r="AJ2447" s="1"/>
      <c r="AK2447" s="1" t="s">
        <v>7639</v>
      </c>
      <c r="AL2447" s="9">
        <f t="shared" si="249"/>
        <v>1</v>
      </c>
    </row>
    <row r="2448" spans="1:38" ht="15" x14ac:dyDescent="0.25">
      <c r="A2448" s="1" t="s">
        <v>7640</v>
      </c>
      <c r="B2448" s="1" t="s">
        <v>7641</v>
      </c>
      <c r="C2448" s="1" t="s">
        <v>416</v>
      </c>
      <c r="D2448" s="1" t="s">
        <v>416</v>
      </c>
      <c r="E2448" s="6">
        <v>52.73</v>
      </c>
      <c r="F2448" s="1" t="s">
        <v>40</v>
      </c>
      <c r="G2448" s="6">
        <f ca="1">IFERROR(__xludf.DUMMYFUNCTION("iferror(GOOGLEFINANCE(TRIM(F2448)&amp;"":"" &amp; TRIM(B2448), ""price""),0
)"),0)</f>
        <v>0</v>
      </c>
      <c r="H2448" s="6">
        <v>22.5</v>
      </c>
      <c r="I2448" s="6">
        <f t="shared" ca="1" si="0"/>
        <v>22.5</v>
      </c>
      <c r="J2448" s="6">
        <f ca="1">IFERROR(__xludf.DUMMYFUNCTION("IFERROR(GOOGLEFINANCE(B2448, ""volume""), 0)"),0)</f>
        <v>0</v>
      </c>
      <c r="K2448" s="6">
        <v>1.99</v>
      </c>
      <c r="L2448" s="6">
        <f ca="1">IFERROR(__xludf.DUMMYFUNCTION("IFERROR(GOOGLEFINANCE(B2448,""changepct""),K2448)"),1.99)</f>
        <v>1.99</v>
      </c>
      <c r="M2448" s="6">
        <f ca="1">IFERROR(__xludf.DUMMYFUNCTION("IFERROR(GOOGLEFINANCE(B2448,""change""),0)"),0)</f>
        <v>0</v>
      </c>
      <c r="N2448" s="6">
        <v>1</v>
      </c>
      <c r="O2448" s="7">
        <v>45352</v>
      </c>
      <c r="P2448" s="6">
        <v>38.409999999999997</v>
      </c>
      <c r="Q2448" s="6">
        <v>90.71</v>
      </c>
      <c r="R2448" s="7">
        <v>45444</v>
      </c>
      <c r="S2448" s="6">
        <v>26.44</v>
      </c>
      <c r="T2448" s="6">
        <v>-5.83</v>
      </c>
      <c r="U2448" s="7">
        <v>45444</v>
      </c>
      <c r="V2448" s="6">
        <v>0</v>
      </c>
      <c r="W2448" s="6">
        <f ca="1">IFERROR(__xludf.DUMMYFUNCTION("IFERROR(GOOGLEFINANCE(B2448,""pe""),V2448)"),0)</f>
        <v>0</v>
      </c>
      <c r="X2448" s="9"/>
      <c r="Y2448" s="6">
        <v>0.71</v>
      </c>
      <c r="Z2448" s="6">
        <v>1</v>
      </c>
      <c r="AA2448" s="8">
        <v>45352</v>
      </c>
      <c r="AB2448" s="4">
        <v>0.51</v>
      </c>
      <c r="AC2448" s="6">
        <v>-9.34</v>
      </c>
      <c r="AD2448" s="6">
        <v>-3.36</v>
      </c>
      <c r="AE2448" s="1">
        <v>0</v>
      </c>
      <c r="AF2448" s="1">
        <f ca="1">IFERROR(__xludf.DUMMYFUNCTION("IFERROR(GOOGLEFINANCE(TRIM(F2448)&amp;"":"" &amp; TRIM(B2448),""high52""),AE2448)"),0)</f>
        <v>0</v>
      </c>
      <c r="AG2448" s="1">
        <v>0</v>
      </c>
      <c r="AH2448" s="1">
        <f ca="1">IFERROR(__xludf.DUMMYFUNCTION("IFERROR(GOOGLEFINANCE(TRIM(F2448)&amp;"":"" &amp; TRIM(B2448),""low52""),AE2448)"),0)</f>
        <v>0</v>
      </c>
      <c r="AI2448" s="1">
        <f ca="1">IFERROR(__xludf.DUMMYFUNCTION("IFERROR(GOOGLEFINANCE(B2448,""eps""),0)"),0)</f>
        <v>0</v>
      </c>
      <c r="AJ2448" s="1"/>
      <c r="AK2448" s="9"/>
      <c r="AL2448" s="9">
        <f t="shared" si="249"/>
        <v>1</v>
      </c>
    </row>
    <row r="2449" spans="1:38" ht="15" x14ac:dyDescent="0.25">
      <c r="A2449" s="1" t="s">
        <v>7642</v>
      </c>
      <c r="B2449" s="1" t="s">
        <v>7643</v>
      </c>
      <c r="C2449" s="1" t="s">
        <v>410</v>
      </c>
      <c r="D2449" s="1" t="s">
        <v>410</v>
      </c>
      <c r="E2449" s="6">
        <v>46.14</v>
      </c>
      <c r="F2449" s="1" t="s">
        <v>53</v>
      </c>
      <c r="G2449" s="6">
        <f ca="1">IFERROR(__xludf.DUMMYFUNCTION("iferror(GOOGLEFINANCE(TRIM(F2449)&amp;"":"" &amp; TRIM(B2449), ""price""),0
)"),0)</f>
        <v>0</v>
      </c>
      <c r="H2449" s="6">
        <v>156.69999999999999</v>
      </c>
      <c r="I2449" s="6">
        <f t="shared" ca="1" si="0"/>
        <v>156.69999999999999</v>
      </c>
      <c r="J2449" s="6">
        <f ca="1">IFERROR(__xludf.DUMMYFUNCTION("IFERROR(GOOGLEFINANCE(B2449, ""volume""), 0)"),0)</f>
        <v>0</v>
      </c>
      <c r="K2449" s="6">
        <v>3.71</v>
      </c>
      <c r="L2449" s="6">
        <f ca="1">IFERROR(__xludf.DUMMYFUNCTION("IFERROR(GOOGLEFINANCE(B2449,""changepct""),K2449)"),3.71)</f>
        <v>3.71</v>
      </c>
      <c r="M2449" s="6">
        <f ca="1">IFERROR(__xludf.DUMMYFUNCTION("IFERROR(GOOGLEFINANCE(B2449,""change""),0)"),0)</f>
        <v>0</v>
      </c>
      <c r="N2449" s="6">
        <v>1</v>
      </c>
      <c r="O2449" s="7">
        <v>45536</v>
      </c>
      <c r="P2449" s="9"/>
      <c r="Q2449" s="6">
        <v>46.14</v>
      </c>
      <c r="R2449" s="7">
        <v>45536</v>
      </c>
      <c r="S2449" s="6">
        <v>0.89</v>
      </c>
      <c r="T2449" s="6">
        <v>-0.26</v>
      </c>
      <c r="U2449" s="7">
        <v>45536</v>
      </c>
      <c r="V2449" s="6">
        <v>0</v>
      </c>
      <c r="W2449" s="6">
        <f ca="1">IFERROR(__xludf.DUMMYFUNCTION("IFERROR(GOOGLEFINANCE(B2449,""pe""),V2449)"),0)</f>
        <v>0</v>
      </c>
      <c r="X2449" s="9"/>
      <c r="Y2449" s="6">
        <v>2.52</v>
      </c>
      <c r="Z2449" s="6">
        <v>1</v>
      </c>
      <c r="AA2449" s="8">
        <v>45352</v>
      </c>
      <c r="AB2449" s="4">
        <v>0</v>
      </c>
      <c r="AC2449" s="6">
        <v>-1.28</v>
      </c>
      <c r="AD2449" s="6">
        <v>-1.69</v>
      </c>
      <c r="AE2449" s="1">
        <v>0</v>
      </c>
      <c r="AF2449" s="1">
        <f ca="1">IFERROR(__xludf.DUMMYFUNCTION("IFERROR(GOOGLEFINANCE(TRIM(F2449)&amp;"":"" &amp; TRIM(B2449),""high52""),AE2449)"),0)</f>
        <v>0</v>
      </c>
      <c r="AG2449" s="1">
        <v>0</v>
      </c>
      <c r="AH2449" s="1">
        <f ca="1">IFERROR(__xludf.DUMMYFUNCTION("IFERROR(GOOGLEFINANCE(TRIM(F2449)&amp;"":"" &amp; TRIM(B2449),""low52""),AE2449)"),0)</f>
        <v>0</v>
      </c>
      <c r="AI2449" s="1">
        <f ca="1">IFERROR(__xludf.DUMMYFUNCTION("IFERROR(GOOGLEFINANCE(B2449,""eps""),0)"),0)</f>
        <v>0</v>
      </c>
      <c r="AJ2449" s="1"/>
      <c r="AK2449" s="1" t="s">
        <v>7644</v>
      </c>
      <c r="AL2449" s="9">
        <f t="shared" si="249"/>
        <v>1</v>
      </c>
    </row>
    <row r="2450" spans="1:38" ht="15" x14ac:dyDescent="0.25">
      <c r="A2450" s="1" t="s">
        <v>7645</v>
      </c>
      <c r="B2450" s="1" t="s">
        <v>7646</v>
      </c>
      <c r="C2450" s="1" t="s">
        <v>410</v>
      </c>
      <c r="D2450" s="1" t="s">
        <v>410</v>
      </c>
      <c r="E2450" s="6">
        <v>150.77000000000001</v>
      </c>
      <c r="F2450" s="1" t="s">
        <v>53</v>
      </c>
      <c r="G2450" s="6">
        <f ca="1">IFERROR(__xludf.DUMMYFUNCTION("iferror(GOOGLEFINANCE(TRIM(F2450)&amp;"":"" &amp; TRIM(B2450), ""price""),0
)"),0)</f>
        <v>0</v>
      </c>
      <c r="H2450" s="6">
        <v>95.99</v>
      </c>
      <c r="I2450" s="6">
        <f t="shared" ca="1" si="0"/>
        <v>95.99</v>
      </c>
      <c r="J2450" s="6">
        <f ca="1">IFERROR(__xludf.DUMMYFUNCTION("IFERROR(GOOGLEFINANCE(B2450, ""volume""), 0)"),0)</f>
        <v>0</v>
      </c>
      <c r="K2450" s="6">
        <v>-1.33</v>
      </c>
      <c r="L2450" s="6">
        <f ca="1">IFERROR(__xludf.DUMMYFUNCTION("IFERROR(GOOGLEFINANCE(B2450,""changepct""),K2450)"),-1.33)</f>
        <v>-1.33</v>
      </c>
      <c r="M2450" s="6">
        <f ca="1">IFERROR(__xludf.DUMMYFUNCTION("IFERROR(GOOGLEFINANCE(B2450,""change""),0)"),0)</f>
        <v>0</v>
      </c>
      <c r="N2450" s="6">
        <v>1</v>
      </c>
      <c r="O2450" s="7">
        <v>45352</v>
      </c>
      <c r="P2450" s="6">
        <v>4.0999999999999996</v>
      </c>
      <c r="Q2450" s="6">
        <v>152.52000000000001</v>
      </c>
      <c r="R2450" s="14"/>
      <c r="S2450" s="9"/>
      <c r="T2450" s="9"/>
      <c r="U2450" s="7">
        <v>45352</v>
      </c>
      <c r="V2450" s="6">
        <v>82.78</v>
      </c>
      <c r="W2450" s="6">
        <f ca="1">IFERROR(__xludf.DUMMYFUNCTION("IFERROR(GOOGLEFINANCE(B2450,""pe""),V2450)"),82.78)</f>
        <v>82.78</v>
      </c>
      <c r="X2450" s="12"/>
      <c r="Y2450" s="6">
        <v>3.06</v>
      </c>
      <c r="Z2450" s="6">
        <v>2</v>
      </c>
      <c r="AA2450" s="8">
        <v>45352</v>
      </c>
      <c r="AB2450" s="4">
        <v>0.23</v>
      </c>
      <c r="AC2450" s="6">
        <v>29.4</v>
      </c>
      <c r="AD2450" s="6">
        <v>31.9</v>
      </c>
      <c r="AE2450" s="1">
        <v>0</v>
      </c>
      <c r="AF2450" s="1">
        <f ca="1">IFERROR(__xludf.DUMMYFUNCTION("IFERROR(GOOGLEFINANCE(TRIM(F2450)&amp;"":"" &amp; TRIM(B2450),""high52""),AE2450)"),0)</f>
        <v>0</v>
      </c>
      <c r="AG2450" s="1">
        <v>0</v>
      </c>
      <c r="AH2450" s="1">
        <f ca="1">IFERROR(__xludf.DUMMYFUNCTION("IFERROR(GOOGLEFINANCE(TRIM(F2450)&amp;"":"" &amp; TRIM(B2450),""low52""),AE2450)"),0)</f>
        <v>0</v>
      </c>
      <c r="AI2450" s="1">
        <f ca="1">IFERROR(__xludf.DUMMYFUNCTION("IFERROR(GOOGLEFINANCE(B2450,""eps""),0)"),0)</f>
        <v>0</v>
      </c>
      <c r="AJ2450" s="1"/>
      <c r="AK2450" s="1" t="s">
        <v>7647</v>
      </c>
      <c r="AL2450" s="9">
        <f t="shared" si="249"/>
        <v>1</v>
      </c>
    </row>
    <row r="2451" spans="1:38" ht="15" x14ac:dyDescent="0.25">
      <c r="A2451" s="1" t="s">
        <v>7648</v>
      </c>
      <c r="B2451" s="1" t="s">
        <v>7649</v>
      </c>
      <c r="C2451" s="1" t="s">
        <v>719</v>
      </c>
      <c r="D2451" s="1" t="s">
        <v>719</v>
      </c>
      <c r="E2451" s="6">
        <v>372175.6</v>
      </c>
      <c r="F2451" s="1" t="s">
        <v>40</v>
      </c>
      <c r="G2451" s="6">
        <f ca="1">IFERROR(__xludf.DUMMYFUNCTION("iferror(GOOGLEFINANCE(TRIM(F2451)&amp;"":"" &amp; TRIM(B2451), ""price""),0
)"),14378)</f>
        <v>14378</v>
      </c>
      <c r="H2451" s="6">
        <v>11969.25</v>
      </c>
      <c r="I2451" s="6">
        <f t="shared" ca="1" si="0"/>
        <v>14378</v>
      </c>
      <c r="J2451" s="6">
        <f ca="1">IFERROR(__xludf.DUMMYFUNCTION("IFERROR(GOOGLEFINANCE(B2451, ""volume""), 0)"),621514)</f>
        <v>621514</v>
      </c>
      <c r="K2451" s="6">
        <v>1.08</v>
      </c>
      <c r="L2451" s="6">
        <f ca="1">IFERROR(__xludf.DUMMYFUNCTION("IFERROR(GOOGLEFINANCE(B2451,""changepct""),K2451)"),1.26)</f>
        <v>1.26</v>
      </c>
      <c r="M2451" s="6">
        <f ca="1">IFERROR(__xludf.DUMMYFUNCTION("IFERROR(GOOGLEFINANCE(B2451,""change""),0)"),179)</f>
        <v>179</v>
      </c>
      <c r="N2451" s="6">
        <v>2</v>
      </c>
      <c r="O2451" s="7">
        <v>45536</v>
      </c>
      <c r="P2451" s="6">
        <v>15</v>
      </c>
      <c r="Q2451" s="6">
        <v>370095.9</v>
      </c>
      <c r="R2451" s="7">
        <v>45536</v>
      </c>
      <c r="S2451" s="6">
        <v>145212.6</v>
      </c>
      <c r="T2451" s="6">
        <v>13782.5</v>
      </c>
      <c r="U2451" s="7">
        <v>45536</v>
      </c>
      <c r="V2451" s="6">
        <v>26.54</v>
      </c>
      <c r="W2451" s="6">
        <f ca="1">IFERROR(__xludf.DUMMYFUNCTION("IFERROR(GOOGLEFINANCE(B2451,""pe""),V2451)"),30.27)</f>
        <v>30.27</v>
      </c>
      <c r="X2451" s="6">
        <v>2.21</v>
      </c>
      <c r="Y2451" s="6">
        <v>4.18</v>
      </c>
      <c r="Z2451" s="6">
        <v>2</v>
      </c>
      <c r="AA2451" s="8">
        <v>45352</v>
      </c>
      <c r="AB2451" s="4">
        <v>0</v>
      </c>
      <c r="AC2451" s="6">
        <v>16.84</v>
      </c>
      <c r="AD2451" s="6">
        <v>21.82</v>
      </c>
      <c r="AE2451" s="1">
        <v>0</v>
      </c>
      <c r="AF2451" s="1">
        <f ca="1">IFERROR(__xludf.DUMMYFUNCTION("IFERROR(GOOGLEFINANCE(TRIM(F2451)&amp;"":"" &amp; TRIM(B2451),""high52""),AE2451)"),17370)</f>
        <v>17370</v>
      </c>
      <c r="AG2451" s="1">
        <v>0</v>
      </c>
      <c r="AH2451" s="1">
        <f ca="1">IFERROR(__xludf.DUMMYFUNCTION("IFERROR(GOOGLEFINANCE(TRIM(F2451)&amp;"":"" &amp; TRIM(B2451),""low52""),AE2451)"),11059.45)</f>
        <v>11059.45</v>
      </c>
      <c r="AI2451" s="1">
        <f ca="1">IFERROR(__xludf.DUMMYFUNCTION("IFERROR(GOOGLEFINANCE(B2451,""eps""),0)"),474.92)</f>
        <v>474.92</v>
      </c>
      <c r="AJ2451" s="1"/>
      <c r="AK2451" s="1" t="s">
        <v>7650</v>
      </c>
      <c r="AL2451" s="1" t="b">
        <f>ISNUMBER(AA2451)</f>
        <v>1</v>
      </c>
    </row>
    <row r="2452" spans="1:38" ht="15" x14ac:dyDescent="0.25">
      <c r="A2452" s="1" t="s">
        <v>7651</v>
      </c>
      <c r="B2452" s="1" t="s">
        <v>7652</v>
      </c>
      <c r="C2452" s="1" t="s">
        <v>889</v>
      </c>
      <c r="D2452" s="1" t="s">
        <v>889</v>
      </c>
      <c r="E2452" s="6">
        <v>224.94</v>
      </c>
      <c r="F2452" s="1" t="s">
        <v>40</v>
      </c>
      <c r="G2452" s="6">
        <f ca="1">IFERROR(__xludf.DUMMYFUNCTION("iferror(GOOGLEFINANCE(TRIM(F2452)&amp;"":"" &amp; TRIM(B2452), ""price""),0
)"),0)</f>
        <v>0</v>
      </c>
      <c r="H2452" s="6">
        <v>126.8</v>
      </c>
      <c r="I2452" s="6">
        <f t="shared" ca="1" si="0"/>
        <v>126.8</v>
      </c>
      <c r="J2452" s="6">
        <f ca="1">IFERROR(__xludf.DUMMYFUNCTION("IFERROR(GOOGLEFINANCE(B2452, ""volume""), 0)"),0)</f>
        <v>0</v>
      </c>
      <c r="K2452" s="9"/>
      <c r="L2452" s="6" t="str">
        <f ca="1">IFERROR(__xludf.DUMMYFUNCTION("IFERROR(GOOGLEFINANCE(B2452,""changepct""),K2452)"),"")</f>
        <v/>
      </c>
      <c r="M2452" s="6">
        <f ca="1">IFERROR(__xludf.DUMMYFUNCTION("IFERROR(GOOGLEFINANCE(B2452,""change""),0)"),0)</f>
        <v>0</v>
      </c>
      <c r="N2452" s="6">
        <v>1</v>
      </c>
      <c r="O2452" s="7">
        <v>45536</v>
      </c>
      <c r="P2452" s="6">
        <v>8.5399999999999991</v>
      </c>
      <c r="Q2452" s="6">
        <v>233.48</v>
      </c>
      <c r="R2452" s="7">
        <v>45352</v>
      </c>
      <c r="S2452" s="6">
        <v>29.17</v>
      </c>
      <c r="T2452" s="6">
        <v>1.1100000000000001</v>
      </c>
      <c r="U2452" s="7">
        <v>45352</v>
      </c>
      <c r="V2452" s="6">
        <v>203.39</v>
      </c>
      <c r="W2452" s="6">
        <f ca="1">IFERROR(__xludf.DUMMYFUNCTION("IFERROR(GOOGLEFINANCE(B2452,""pe""),V2452)"),203.39)</f>
        <v>203.39</v>
      </c>
      <c r="X2452" s="6">
        <v>-239.28</v>
      </c>
      <c r="Y2452" s="6">
        <v>3.91</v>
      </c>
      <c r="Z2452" s="6">
        <v>2</v>
      </c>
      <c r="AA2452" s="8">
        <v>45352</v>
      </c>
      <c r="AB2452" s="4">
        <v>0.28000000000000003</v>
      </c>
      <c r="AC2452" s="6">
        <v>6.54</v>
      </c>
      <c r="AD2452" s="6">
        <v>8.18</v>
      </c>
      <c r="AE2452" s="1">
        <v>0</v>
      </c>
      <c r="AF2452" s="1">
        <f ca="1">IFERROR(__xludf.DUMMYFUNCTION("IFERROR(GOOGLEFINANCE(TRIM(F2452)&amp;"":"" &amp; TRIM(B2452),""high52""),AE2452)"),0)</f>
        <v>0</v>
      </c>
      <c r="AG2452" s="1">
        <v>0</v>
      </c>
      <c r="AH2452" s="1">
        <f ca="1">IFERROR(__xludf.DUMMYFUNCTION("IFERROR(GOOGLEFINANCE(TRIM(F2452)&amp;"":"" &amp; TRIM(B2452),""low52""),AE2452)"),0)</f>
        <v>0</v>
      </c>
      <c r="AI2452" s="1">
        <f ca="1">IFERROR(__xludf.DUMMYFUNCTION("IFERROR(GOOGLEFINANCE(B2452,""eps""),0)"),0)</f>
        <v>0</v>
      </c>
      <c r="AJ2452" s="1"/>
      <c r="AK2452" s="9"/>
      <c r="AL2452" s="1" t="b">
        <f>ISBLANK(AB2452)</f>
        <v>0</v>
      </c>
    </row>
    <row r="2453" spans="1:38" ht="15" x14ac:dyDescent="0.25">
      <c r="A2453" s="1" t="s">
        <v>7653</v>
      </c>
      <c r="B2453" s="1" t="s">
        <v>7654</v>
      </c>
      <c r="C2453" s="1" t="s">
        <v>151</v>
      </c>
      <c r="D2453" s="1" t="s">
        <v>151</v>
      </c>
      <c r="E2453" s="6">
        <v>287.88</v>
      </c>
      <c r="F2453" s="1" t="s">
        <v>53</v>
      </c>
      <c r="G2453" s="6">
        <f ca="1">IFERROR(__xludf.DUMMYFUNCTION("iferror(GOOGLEFINANCE(TRIM(F2453)&amp;"":"" &amp; TRIM(B2453), ""price""),0
)"),0)</f>
        <v>0</v>
      </c>
      <c r="H2453" s="6">
        <v>390</v>
      </c>
      <c r="I2453" s="6">
        <f t="shared" ca="1" si="0"/>
        <v>390</v>
      </c>
      <c r="J2453" s="6">
        <f ca="1">IFERROR(__xludf.DUMMYFUNCTION("IFERROR(GOOGLEFINANCE(B2453, ""volume""), 0)"),0)</f>
        <v>0</v>
      </c>
      <c r="K2453" s="6">
        <v>-0.55000000000000004</v>
      </c>
      <c r="L2453" s="6">
        <f ca="1">IFERROR(__xludf.DUMMYFUNCTION("IFERROR(GOOGLEFINANCE(B2453,""changepct""),K2453)"),-0.55)</f>
        <v>-0.55000000000000004</v>
      </c>
      <c r="M2453" s="6">
        <f ca="1">IFERROR(__xludf.DUMMYFUNCTION("IFERROR(GOOGLEFINANCE(B2453,""change""),0)"),0)</f>
        <v>0</v>
      </c>
      <c r="N2453" s="6">
        <v>1</v>
      </c>
      <c r="O2453" s="7">
        <v>45536</v>
      </c>
      <c r="P2453" s="6">
        <v>32.58</v>
      </c>
      <c r="Q2453" s="6">
        <v>320.45</v>
      </c>
      <c r="R2453" s="7">
        <v>45352</v>
      </c>
      <c r="S2453" s="6">
        <v>92.44</v>
      </c>
      <c r="T2453" s="6">
        <v>1.05</v>
      </c>
      <c r="U2453" s="7">
        <v>45352</v>
      </c>
      <c r="V2453" s="6">
        <v>274.47000000000003</v>
      </c>
      <c r="W2453" s="6">
        <f ca="1">IFERROR(__xludf.DUMMYFUNCTION("IFERROR(GOOGLEFINANCE(B2453,""pe""),V2453)"),274.47)</f>
        <v>274.47000000000003</v>
      </c>
      <c r="X2453" s="6">
        <v>-21.73</v>
      </c>
      <c r="Y2453" s="6">
        <v>6.79</v>
      </c>
      <c r="Z2453" s="6">
        <v>1</v>
      </c>
      <c r="AA2453" s="8">
        <v>45352</v>
      </c>
      <c r="AB2453" s="4">
        <v>0.9</v>
      </c>
      <c r="AC2453" s="6">
        <v>2.5099999999999998</v>
      </c>
      <c r="AD2453" s="6">
        <v>6.4</v>
      </c>
      <c r="AE2453" s="1">
        <v>0</v>
      </c>
      <c r="AF2453" s="1">
        <f ca="1">IFERROR(__xludf.DUMMYFUNCTION("IFERROR(GOOGLEFINANCE(TRIM(F2453)&amp;"":"" &amp; TRIM(B2453),""high52""),AE2453)"),0)</f>
        <v>0</v>
      </c>
      <c r="AG2453" s="1">
        <v>0</v>
      </c>
      <c r="AH2453" s="1">
        <f ca="1">IFERROR(__xludf.DUMMYFUNCTION("IFERROR(GOOGLEFINANCE(TRIM(F2453)&amp;"":"" &amp; TRIM(B2453),""low52""),AE2453)"),0)</f>
        <v>0</v>
      </c>
      <c r="AI2453" s="1">
        <f ca="1">IFERROR(__xludf.DUMMYFUNCTION("IFERROR(GOOGLEFINANCE(B2453,""eps""),0)"),0)</f>
        <v>0</v>
      </c>
      <c r="AJ2453" s="1"/>
      <c r="AK2453" s="9"/>
      <c r="AL2453" s="9">
        <f t="shared" ref="AL2453:AL2461" si="250">IF(AA2453&lt;&gt;AB2453,1,0)</f>
        <v>1</v>
      </c>
    </row>
    <row r="2454" spans="1:38" ht="15" x14ac:dyDescent="0.25">
      <c r="A2454" s="1" t="s">
        <v>7655</v>
      </c>
      <c r="B2454" s="1" t="s">
        <v>7656</v>
      </c>
      <c r="C2454" s="1" t="s">
        <v>151</v>
      </c>
      <c r="D2454" s="1" t="s">
        <v>151</v>
      </c>
      <c r="E2454" s="6">
        <v>6.28</v>
      </c>
      <c r="F2454" s="1" t="s">
        <v>53</v>
      </c>
      <c r="G2454" s="6">
        <f ca="1">IFERROR(__xludf.DUMMYFUNCTION("iferror(GOOGLEFINANCE(TRIM(F2454)&amp;"":"" &amp; TRIM(B2454), ""price""),0
)"),0)</f>
        <v>0</v>
      </c>
      <c r="H2454" s="6">
        <v>6.55</v>
      </c>
      <c r="I2454" s="6">
        <f t="shared" ca="1" si="0"/>
        <v>6.55</v>
      </c>
      <c r="J2454" s="6">
        <f ca="1">IFERROR(__xludf.DUMMYFUNCTION("IFERROR(GOOGLEFINANCE(B2454, ""volume""), 0)"),0)</f>
        <v>0</v>
      </c>
      <c r="K2454" s="6">
        <v>-2.96</v>
      </c>
      <c r="L2454" s="6">
        <f ca="1">IFERROR(__xludf.DUMMYFUNCTION("IFERROR(GOOGLEFINANCE(B2454,""changepct""),K2454)"),-2.96)</f>
        <v>-2.96</v>
      </c>
      <c r="M2454" s="6">
        <f ca="1">IFERROR(__xludf.DUMMYFUNCTION("IFERROR(GOOGLEFINANCE(B2454,""change""),0)"),0)</f>
        <v>0</v>
      </c>
      <c r="N2454" s="6">
        <v>1</v>
      </c>
      <c r="O2454" s="7">
        <v>45352</v>
      </c>
      <c r="P2454" s="6">
        <v>0.42</v>
      </c>
      <c r="Q2454" s="6">
        <v>6.66</v>
      </c>
      <c r="R2454" s="7">
        <v>45352</v>
      </c>
      <c r="S2454" s="6">
        <v>0</v>
      </c>
      <c r="T2454" s="6">
        <v>-0.63</v>
      </c>
      <c r="U2454" s="7">
        <v>45352</v>
      </c>
      <c r="V2454" s="6">
        <v>0</v>
      </c>
      <c r="W2454" s="6">
        <f ca="1">IFERROR(__xludf.DUMMYFUNCTION("IFERROR(GOOGLEFINANCE(B2454,""pe""),V2454)"),0)</f>
        <v>0</v>
      </c>
      <c r="X2454" s="9"/>
      <c r="Y2454" s="6">
        <v>0.25</v>
      </c>
      <c r="Z2454" s="6">
        <v>1</v>
      </c>
      <c r="AA2454" s="8">
        <v>45352</v>
      </c>
      <c r="AB2454" s="4">
        <v>0.02</v>
      </c>
      <c r="AC2454" s="6">
        <v>-2.5</v>
      </c>
      <c r="AD2454" s="6">
        <v>-2.46</v>
      </c>
      <c r="AE2454" s="1">
        <v>0</v>
      </c>
      <c r="AF2454" s="1">
        <f ca="1">IFERROR(__xludf.DUMMYFUNCTION("IFERROR(GOOGLEFINANCE(TRIM(F2454)&amp;"":"" &amp; TRIM(B2454),""high52""),AE2454)"),0)</f>
        <v>0</v>
      </c>
      <c r="AG2454" s="1">
        <v>0</v>
      </c>
      <c r="AH2454" s="1">
        <f ca="1">IFERROR(__xludf.DUMMYFUNCTION("IFERROR(GOOGLEFINANCE(TRIM(F2454)&amp;"":"" &amp; TRIM(B2454),""low52""),AE2454)"),0)</f>
        <v>0</v>
      </c>
      <c r="AI2454" s="1">
        <f ca="1">IFERROR(__xludf.DUMMYFUNCTION("IFERROR(GOOGLEFINANCE(B2454,""eps""),0)"),0)</f>
        <v>0</v>
      </c>
      <c r="AJ2454" s="1"/>
      <c r="AK2454" s="1" t="s">
        <v>7657</v>
      </c>
      <c r="AL2454" s="9">
        <f t="shared" si="250"/>
        <v>1</v>
      </c>
    </row>
    <row r="2455" spans="1:38" ht="15" x14ac:dyDescent="0.25">
      <c r="A2455" s="1" t="s">
        <v>7658</v>
      </c>
      <c r="B2455" s="1" t="s">
        <v>7659</v>
      </c>
      <c r="C2455" s="1" t="s">
        <v>4298</v>
      </c>
      <c r="D2455" s="1" t="s">
        <v>4298</v>
      </c>
      <c r="E2455" s="6">
        <v>4905.59</v>
      </c>
      <c r="F2455" s="1" t="s">
        <v>40</v>
      </c>
      <c r="G2455" s="6">
        <f ca="1">IFERROR(__xludf.DUMMYFUNCTION("iferror(GOOGLEFINANCE(TRIM(F2455)&amp;"":"" &amp; TRIM(B2455), ""price""),0
)"),310.1)</f>
        <v>310.10000000000002</v>
      </c>
      <c r="H2455" s="6">
        <v>270.64999999999998</v>
      </c>
      <c r="I2455" s="6">
        <f t="shared" ca="1" si="0"/>
        <v>310.10000000000002</v>
      </c>
      <c r="J2455" s="6">
        <f ca="1">IFERROR(__xludf.DUMMYFUNCTION("IFERROR(GOOGLEFINANCE(B2455, ""volume""), 0)"),211559)</f>
        <v>211559</v>
      </c>
      <c r="K2455" s="6">
        <v>0.22</v>
      </c>
      <c r="L2455" s="6">
        <f ca="1">IFERROR(__xludf.DUMMYFUNCTION("IFERROR(GOOGLEFINANCE(B2455,""changepct""),K2455)"),-1.52)</f>
        <v>-1.52</v>
      </c>
      <c r="M2455" s="6">
        <f ca="1">IFERROR(__xludf.DUMMYFUNCTION("IFERROR(GOOGLEFINANCE(B2455,""change""),0)"),-4.8)</f>
        <v>-4.8</v>
      </c>
      <c r="N2455" s="6">
        <v>2</v>
      </c>
      <c r="O2455" s="7">
        <v>45536</v>
      </c>
      <c r="P2455" s="6">
        <v>284.69</v>
      </c>
      <c r="Q2455" s="7">
        <v>45536</v>
      </c>
      <c r="R2455" s="6">
        <v>17.43</v>
      </c>
      <c r="S2455" s="6">
        <v>1.69</v>
      </c>
      <c r="T2455" s="6">
        <v>2.0299999999999998</v>
      </c>
      <c r="U2455" s="6">
        <v>2</v>
      </c>
      <c r="V2455" s="7">
        <v>45352</v>
      </c>
      <c r="W2455" s="6">
        <f ca="1">IFERROR(__xludf.DUMMYFUNCTION("IFERROR(GOOGLEFINANCE(B2455,""pe""),V2455)"),15.97)</f>
        <v>15.97</v>
      </c>
      <c r="X2455" s="6">
        <v>4.17</v>
      </c>
      <c r="Y2455" s="6">
        <v>15.39</v>
      </c>
      <c r="Z2455" s="6">
        <v>11.82</v>
      </c>
      <c r="AA2455" s="3" t="s">
        <v>7660</v>
      </c>
      <c r="AB2455" s="11"/>
      <c r="AC2455" s="9"/>
      <c r="AD2455" s="9"/>
      <c r="AE2455" s="1">
        <v>0</v>
      </c>
      <c r="AF2455" s="1">
        <f ca="1">IFERROR(__xludf.DUMMYFUNCTION("IFERROR(GOOGLEFINANCE(TRIM(F2455)&amp;"":"" &amp; TRIM(B2455),""high52""),AE2455)"),350.45)</f>
        <v>350.45</v>
      </c>
      <c r="AG2455" s="1">
        <v>0</v>
      </c>
      <c r="AH2455" s="1">
        <f ca="1">IFERROR(__xludf.DUMMYFUNCTION("IFERROR(GOOGLEFINANCE(TRIM(F2455)&amp;"":"" &amp; TRIM(B2455),""low52""),AE2455)"),220.06)</f>
        <v>220.06</v>
      </c>
      <c r="AI2455" s="1">
        <f ca="1">IFERROR(__xludf.DUMMYFUNCTION("IFERROR(GOOGLEFINANCE(B2455,""eps""),0)"),19.42)</f>
        <v>19.420000000000002</v>
      </c>
      <c r="AJ2455" s="1"/>
      <c r="AK2455" s="1" t="s">
        <v>7661</v>
      </c>
      <c r="AL2455" s="9">
        <f t="shared" si="250"/>
        <v>1</v>
      </c>
    </row>
    <row r="2456" spans="1:38" ht="15" x14ac:dyDescent="0.25">
      <c r="A2456" s="1" t="s">
        <v>7662</v>
      </c>
      <c r="B2456" s="1" t="s">
        <v>7663</v>
      </c>
      <c r="C2456" s="1" t="s">
        <v>43</v>
      </c>
      <c r="D2456" s="1" t="s">
        <v>43</v>
      </c>
      <c r="E2456" s="6">
        <v>64.58</v>
      </c>
      <c r="F2456" s="1" t="s">
        <v>40</v>
      </c>
      <c r="G2456" s="6">
        <f ca="1">IFERROR(__xludf.DUMMYFUNCTION("iferror(GOOGLEFINANCE(TRIM(F2456)&amp;"":"" &amp; TRIM(B2456), ""price""),0
)"),144)</f>
        <v>144</v>
      </c>
      <c r="H2456" s="6">
        <v>207.4</v>
      </c>
      <c r="I2456" s="6">
        <f t="shared" ca="1" si="0"/>
        <v>144</v>
      </c>
      <c r="J2456" s="6">
        <f ca="1">IFERROR(__xludf.DUMMYFUNCTION("IFERROR(GOOGLEFINANCE(B2456, ""volume""), 0)"),7)</f>
        <v>7</v>
      </c>
      <c r="K2456" s="6">
        <v>-2</v>
      </c>
      <c r="L2456" s="6">
        <f ca="1">IFERROR(__xludf.DUMMYFUNCTION("IFERROR(GOOGLEFINANCE(B2456,""changepct""),K2456)"),1.94)</f>
        <v>1.94</v>
      </c>
      <c r="M2456" s="6">
        <f ca="1">IFERROR(__xludf.DUMMYFUNCTION("IFERROR(GOOGLEFINANCE(B2456,""change""),0)"),2.74)</f>
        <v>2.74</v>
      </c>
      <c r="N2456" s="6">
        <v>1</v>
      </c>
      <c r="O2456" s="7">
        <v>45536</v>
      </c>
      <c r="P2456" s="6">
        <v>0.06</v>
      </c>
      <c r="Q2456" s="7">
        <v>45536</v>
      </c>
      <c r="R2456" s="6">
        <v>0</v>
      </c>
      <c r="S2456" s="6">
        <v>0</v>
      </c>
      <c r="T2456" s="6">
        <v>0.42</v>
      </c>
      <c r="U2456" s="6">
        <v>1</v>
      </c>
      <c r="V2456" s="7">
        <v>45352</v>
      </c>
      <c r="W2456" s="10">
        <f ca="1">IFERROR(__xludf.DUMMYFUNCTION("IFERROR(GOOGLEFINANCE(B2456,""pe""),V2456)"),45352)</f>
        <v>45352</v>
      </c>
      <c r="X2456" s="6">
        <v>0.01</v>
      </c>
      <c r="Y2456" s="6">
        <v>0.02</v>
      </c>
      <c r="Z2456" s="6">
        <v>0.04</v>
      </c>
      <c r="AA2456" s="3" t="s">
        <v>7664</v>
      </c>
      <c r="AB2456" s="3"/>
      <c r="AC2456" s="9"/>
      <c r="AD2456" s="9"/>
      <c r="AE2456" s="1">
        <v>0</v>
      </c>
      <c r="AF2456" s="1">
        <f ca="1">IFERROR(__xludf.DUMMYFUNCTION("IFERROR(GOOGLEFINANCE(TRIM(F2456)&amp;"":"" &amp; TRIM(B2456),""high52""),AE2456)"),246.09)</f>
        <v>246.09</v>
      </c>
      <c r="AG2456" s="1">
        <v>0</v>
      </c>
      <c r="AH2456" s="1">
        <f ca="1">IFERROR(__xludf.DUMMYFUNCTION("IFERROR(GOOGLEFINANCE(TRIM(F2456)&amp;"":"" &amp; TRIM(B2456),""low52""),AE2456)"),124.93)</f>
        <v>124.93</v>
      </c>
      <c r="AI2456" s="1">
        <f ca="1">IFERROR(__xludf.DUMMYFUNCTION("IFERROR(GOOGLEFINANCE(B2456,""eps""),0)"),-0.11)</f>
        <v>-0.11</v>
      </c>
      <c r="AJ2456" s="1"/>
      <c r="AK2456" s="9"/>
      <c r="AL2456" s="9">
        <f t="shared" si="250"/>
        <v>1</v>
      </c>
    </row>
    <row r="2457" spans="1:38" ht="15" x14ac:dyDescent="0.25">
      <c r="A2457" s="1" t="s">
        <v>7665</v>
      </c>
      <c r="B2457" s="1" t="s">
        <v>7666</v>
      </c>
      <c r="C2457" s="1" t="s">
        <v>487</v>
      </c>
      <c r="D2457" s="1" t="s">
        <v>487</v>
      </c>
      <c r="E2457" s="6">
        <v>241.01</v>
      </c>
      <c r="F2457" s="1" t="s">
        <v>40</v>
      </c>
      <c r="G2457" s="6">
        <f ca="1">IFERROR(__xludf.DUMMYFUNCTION("iferror(GOOGLEFINANCE(TRIM(F2457)&amp;"":"" &amp; TRIM(B2457), ""price""),0
)"),0)</f>
        <v>0</v>
      </c>
      <c r="H2457" s="6">
        <v>138</v>
      </c>
      <c r="I2457" s="6">
        <f t="shared" ca="1" si="0"/>
        <v>138</v>
      </c>
      <c r="J2457" s="6">
        <f ca="1">IFERROR(__xludf.DUMMYFUNCTION("IFERROR(GOOGLEFINANCE(B2457, ""volume""), 0)"),0)</f>
        <v>0</v>
      </c>
      <c r="K2457" s="6">
        <v>0.62</v>
      </c>
      <c r="L2457" s="6">
        <f ca="1">IFERROR(__xludf.DUMMYFUNCTION("IFERROR(GOOGLEFINANCE(B2457,""changepct""),K2457)"),0.62)</f>
        <v>0.62</v>
      </c>
      <c r="M2457" s="6">
        <f ca="1">IFERROR(__xludf.DUMMYFUNCTION("IFERROR(GOOGLEFINANCE(B2457,""change""),0)"),0)</f>
        <v>0</v>
      </c>
      <c r="N2457" s="6">
        <v>1</v>
      </c>
      <c r="O2457" s="7">
        <v>45536</v>
      </c>
      <c r="P2457" s="6">
        <v>25.21</v>
      </c>
      <c r="Q2457" s="6">
        <v>266.20999999999998</v>
      </c>
      <c r="R2457" s="7">
        <v>45352</v>
      </c>
      <c r="S2457" s="6">
        <v>93.8</v>
      </c>
      <c r="T2457" s="6">
        <v>11.65</v>
      </c>
      <c r="U2457" s="7">
        <v>45352</v>
      </c>
      <c r="V2457" s="6">
        <v>20.68</v>
      </c>
      <c r="W2457" s="6">
        <f ca="1">IFERROR(__xludf.DUMMYFUNCTION("IFERROR(GOOGLEFINANCE(B2457,""pe""),V2457)"),20.68)</f>
        <v>20.68</v>
      </c>
      <c r="X2457" s="9"/>
      <c r="Y2457" s="6">
        <v>4.5599999999999996</v>
      </c>
      <c r="Z2457" s="6">
        <v>1</v>
      </c>
      <c r="AA2457" s="8">
        <v>45352</v>
      </c>
      <c r="AB2457" s="4">
        <v>0.73</v>
      </c>
      <c r="AC2457" s="6">
        <v>52.13</v>
      </c>
      <c r="AD2457" s="6">
        <v>43.65</v>
      </c>
      <c r="AE2457" s="1">
        <v>0</v>
      </c>
      <c r="AF2457" s="1">
        <f ca="1">IFERROR(__xludf.DUMMYFUNCTION("IFERROR(GOOGLEFINANCE(TRIM(F2457)&amp;"":"" &amp; TRIM(B2457),""high52""),AE2457)"),0)</f>
        <v>0</v>
      </c>
      <c r="AG2457" s="1">
        <v>0</v>
      </c>
      <c r="AH2457" s="1">
        <f ca="1">IFERROR(__xludf.DUMMYFUNCTION("IFERROR(GOOGLEFINANCE(TRIM(F2457)&amp;"":"" &amp; TRIM(B2457),""low52""),AE2457)"),0)</f>
        <v>0</v>
      </c>
      <c r="AI2457" s="1">
        <f ca="1">IFERROR(__xludf.DUMMYFUNCTION("IFERROR(GOOGLEFINANCE(B2457,""eps""),0)"),0)</f>
        <v>0</v>
      </c>
      <c r="AJ2457" s="1"/>
      <c r="AK2457" s="1" t="s">
        <v>7667</v>
      </c>
      <c r="AL2457" s="9">
        <f t="shared" si="250"/>
        <v>1</v>
      </c>
    </row>
    <row r="2458" spans="1:38" ht="15" x14ac:dyDescent="0.25">
      <c r="A2458" s="1" t="s">
        <v>7668</v>
      </c>
      <c r="B2458" s="1" t="s">
        <v>7669</v>
      </c>
      <c r="C2458" s="1" t="s">
        <v>57</v>
      </c>
      <c r="D2458" s="1" t="s">
        <v>57</v>
      </c>
      <c r="E2458" s="6">
        <v>9518.4599999999991</v>
      </c>
      <c r="F2458" s="1" t="s">
        <v>40</v>
      </c>
      <c r="G2458" s="6">
        <f ca="1">IFERROR(__xludf.DUMMYFUNCTION("iferror(GOOGLEFINANCE(TRIM(F2458)&amp;"":"" &amp; TRIM(B2458), ""price""),0
)"),2065)</f>
        <v>2065</v>
      </c>
      <c r="H2458" s="6">
        <v>3117.4</v>
      </c>
      <c r="I2458" s="6">
        <f t="shared" ca="1" si="0"/>
        <v>2065</v>
      </c>
      <c r="J2458" s="6">
        <f ca="1">IFERROR(__xludf.DUMMYFUNCTION("IFERROR(GOOGLEFINANCE(B2458, ""volume""), 0)"),56468)</f>
        <v>56468</v>
      </c>
      <c r="K2458" s="6">
        <v>1.06</v>
      </c>
      <c r="L2458" s="6">
        <f ca="1">IFERROR(__xludf.DUMMYFUNCTION("IFERROR(GOOGLEFINANCE(B2458,""changepct""),K2458)"),2.07)</f>
        <v>2.0699999999999998</v>
      </c>
      <c r="M2458" s="6">
        <f ca="1">IFERROR(__xludf.DUMMYFUNCTION("IFERROR(GOOGLEFINANCE(B2458,""change""),0)"),41.9)</f>
        <v>41.9</v>
      </c>
      <c r="N2458" s="6">
        <v>2</v>
      </c>
      <c r="O2458" s="7">
        <v>45536</v>
      </c>
      <c r="P2458" s="6">
        <v>643.55999999999995</v>
      </c>
      <c r="Q2458" s="6">
        <v>9823.0400000000009</v>
      </c>
      <c r="R2458" s="7">
        <v>45536</v>
      </c>
      <c r="S2458" s="6">
        <v>3244.28</v>
      </c>
      <c r="T2458" s="6">
        <v>372.3</v>
      </c>
      <c r="U2458" s="7">
        <v>45536</v>
      </c>
      <c r="V2458" s="6">
        <v>25.9</v>
      </c>
      <c r="W2458" s="6">
        <f ca="1">IFERROR(__xludf.DUMMYFUNCTION("IFERROR(GOOGLEFINANCE(B2458,""pe""),V2458)"),16.99)</f>
        <v>16.989999999999998</v>
      </c>
      <c r="X2458" s="6">
        <v>1.05</v>
      </c>
      <c r="Y2458" s="6">
        <v>4.16</v>
      </c>
      <c r="Z2458" s="6">
        <v>2</v>
      </c>
      <c r="AA2458" s="8">
        <v>45352</v>
      </c>
      <c r="AB2458" s="4">
        <v>0.24</v>
      </c>
      <c r="AC2458" s="6">
        <v>16.66</v>
      </c>
      <c r="AD2458" s="6">
        <v>18.61</v>
      </c>
      <c r="AE2458" s="1">
        <v>0</v>
      </c>
      <c r="AF2458" s="1">
        <f ca="1">IFERROR(__xludf.DUMMYFUNCTION("IFERROR(GOOGLEFINANCE(TRIM(F2458)&amp;"":"" &amp; TRIM(B2458),""high52""),AE2458)"),2818)</f>
        <v>2818</v>
      </c>
      <c r="AG2458" s="1">
        <v>0</v>
      </c>
      <c r="AH2458" s="1">
        <f ca="1">IFERROR(__xludf.DUMMYFUNCTION("IFERROR(GOOGLEFINANCE(TRIM(F2458)&amp;"":"" &amp; TRIM(B2458),""low52""),AE2458)"),1887)</f>
        <v>1887</v>
      </c>
      <c r="AI2458" s="1">
        <f ca="1">IFERROR(__xludf.DUMMYFUNCTION("IFERROR(GOOGLEFINANCE(B2458,""eps""),0)"),121.58)</f>
        <v>121.58</v>
      </c>
      <c r="AJ2458" s="1"/>
      <c r="AK2458" s="1" t="s">
        <v>7670</v>
      </c>
      <c r="AL2458" s="9">
        <f t="shared" si="250"/>
        <v>1</v>
      </c>
    </row>
    <row r="2459" spans="1:38" ht="15" x14ac:dyDescent="0.25">
      <c r="A2459" s="1" t="s">
        <v>7671</v>
      </c>
      <c r="B2459" s="1" t="s">
        <v>7672</v>
      </c>
      <c r="C2459" s="1" t="s">
        <v>82</v>
      </c>
      <c r="D2459" s="1" t="s">
        <v>82</v>
      </c>
      <c r="E2459" s="6">
        <v>120.4</v>
      </c>
      <c r="F2459" s="1" t="s">
        <v>40</v>
      </c>
      <c r="G2459" s="6">
        <f ca="1">IFERROR(__xludf.DUMMYFUNCTION("iferror(GOOGLEFINANCE(TRIM(F2459)&amp;"":"" &amp; TRIM(B2459), ""price""),0
)"),0)</f>
        <v>0</v>
      </c>
      <c r="H2459" s="6">
        <v>301</v>
      </c>
      <c r="I2459" s="6">
        <f t="shared" ca="1" si="0"/>
        <v>301</v>
      </c>
      <c r="J2459" s="6">
        <f ca="1">IFERROR(__xludf.DUMMYFUNCTION("IFERROR(GOOGLEFINANCE(B2459, ""volume""), 0)"),0)</f>
        <v>0</v>
      </c>
      <c r="K2459" s="9"/>
      <c r="L2459" s="6" t="str">
        <f ca="1">IFERROR(__xludf.DUMMYFUNCTION("IFERROR(GOOGLEFINANCE(B2459,""changepct""),K2459)"),"")</f>
        <v/>
      </c>
      <c r="M2459" s="6">
        <f ca="1">IFERROR(__xludf.DUMMYFUNCTION("IFERROR(GOOGLEFINANCE(B2459,""change""),0)"),0)</f>
        <v>0</v>
      </c>
      <c r="N2459" s="6">
        <v>1</v>
      </c>
      <c r="O2459" s="7">
        <v>45536</v>
      </c>
      <c r="P2459" s="6">
        <v>1.51</v>
      </c>
      <c r="Q2459" s="6">
        <v>121.91</v>
      </c>
      <c r="R2459" s="7">
        <v>45352</v>
      </c>
      <c r="S2459" s="6">
        <v>25.29</v>
      </c>
      <c r="T2459" s="6">
        <v>2.68</v>
      </c>
      <c r="U2459" s="7">
        <v>45352</v>
      </c>
      <c r="V2459" s="6">
        <v>44.99</v>
      </c>
      <c r="W2459" s="6">
        <f ca="1">IFERROR(__xludf.DUMMYFUNCTION("IFERROR(GOOGLEFINANCE(B2459,""pe""),V2459)"),44.99)</f>
        <v>44.99</v>
      </c>
      <c r="X2459" s="9"/>
      <c r="Y2459" s="6">
        <v>5.24</v>
      </c>
      <c r="Z2459" s="6">
        <v>1</v>
      </c>
      <c r="AA2459" s="8">
        <v>45352</v>
      </c>
      <c r="AB2459" s="4">
        <v>-0.01</v>
      </c>
      <c r="AC2459" s="6">
        <v>15.44</v>
      </c>
      <c r="AD2459" s="6">
        <v>20.45</v>
      </c>
      <c r="AE2459" s="1">
        <v>0</v>
      </c>
      <c r="AF2459" s="1">
        <f ca="1">IFERROR(__xludf.DUMMYFUNCTION("IFERROR(GOOGLEFINANCE(TRIM(F2459)&amp;"":"" &amp; TRIM(B2459),""high52""),AE2459)"),0)</f>
        <v>0</v>
      </c>
      <c r="AG2459" s="1">
        <v>0</v>
      </c>
      <c r="AH2459" s="1">
        <f ca="1">IFERROR(__xludf.DUMMYFUNCTION("IFERROR(GOOGLEFINANCE(TRIM(F2459)&amp;"":"" &amp; TRIM(B2459),""low52""),AE2459)"),0)</f>
        <v>0</v>
      </c>
      <c r="AI2459" s="1">
        <f ca="1">IFERROR(__xludf.DUMMYFUNCTION("IFERROR(GOOGLEFINANCE(B2459,""eps""),0)"),0)</f>
        <v>0</v>
      </c>
      <c r="AJ2459" s="1"/>
      <c r="AK2459" s="1" t="s">
        <v>7673</v>
      </c>
      <c r="AL2459" s="9">
        <f t="shared" si="250"/>
        <v>1</v>
      </c>
    </row>
    <row r="2460" spans="1:38" ht="15" x14ac:dyDescent="0.25">
      <c r="A2460" s="1" t="s">
        <v>7674</v>
      </c>
      <c r="B2460" s="1" t="s">
        <v>7675</v>
      </c>
      <c r="C2460" s="1" t="s">
        <v>208</v>
      </c>
      <c r="D2460" s="1" t="s">
        <v>208</v>
      </c>
      <c r="E2460" s="6">
        <v>1918.06</v>
      </c>
      <c r="F2460" s="1" t="s">
        <v>40</v>
      </c>
      <c r="G2460" s="6">
        <f ca="1">IFERROR(__xludf.DUMMYFUNCTION("iferror(GOOGLEFINANCE(TRIM(F2460)&amp;"":"" &amp; TRIM(B2460), ""price""),0
)"),88)</f>
        <v>88</v>
      </c>
      <c r="H2460" s="6">
        <v>168.61</v>
      </c>
      <c r="I2460" s="6">
        <f t="shared" ca="1" si="0"/>
        <v>88</v>
      </c>
      <c r="J2460" s="6">
        <f ca="1">IFERROR(__xludf.DUMMYFUNCTION("IFERROR(GOOGLEFINANCE(B2460, ""volume""), 0)"),604972)</f>
        <v>604972</v>
      </c>
      <c r="K2460" s="6">
        <v>-0.82</v>
      </c>
      <c r="L2460" s="6">
        <f ca="1">IFERROR(__xludf.DUMMYFUNCTION("IFERROR(GOOGLEFINANCE(B2460,""changepct""),K2460)"),-7.39)</f>
        <v>-7.39</v>
      </c>
      <c r="M2460" s="6">
        <f ca="1">IFERROR(__xludf.DUMMYFUNCTION("IFERROR(GOOGLEFINANCE(B2460,""change""),0)"),-7.02)</f>
        <v>-7.02</v>
      </c>
      <c r="N2460" s="6">
        <v>2</v>
      </c>
      <c r="O2460" s="7">
        <v>45536</v>
      </c>
      <c r="P2460" s="6">
        <v>137.15</v>
      </c>
      <c r="Q2460" s="7">
        <v>45536</v>
      </c>
      <c r="R2460" s="6">
        <v>13.99</v>
      </c>
      <c r="S2460" s="6">
        <v>0.31</v>
      </c>
      <c r="T2460" s="6">
        <v>3.21</v>
      </c>
      <c r="U2460" s="6">
        <v>2</v>
      </c>
      <c r="V2460" s="7">
        <v>45352</v>
      </c>
      <c r="W2460" s="6">
        <f ca="1">IFERROR(__xludf.DUMMYFUNCTION("IFERROR(GOOGLEFINANCE(B2460,""pe""),V2460)"),8.71)</f>
        <v>8.7100000000000009</v>
      </c>
      <c r="X2460" s="6">
        <v>0.39</v>
      </c>
      <c r="Y2460" s="6">
        <v>25.62</v>
      </c>
      <c r="Z2460" s="6">
        <v>32.880000000000003</v>
      </c>
      <c r="AA2460" s="3" t="s">
        <v>7676</v>
      </c>
      <c r="AB2460" s="3"/>
      <c r="AC2460" s="9"/>
      <c r="AD2460" s="9"/>
      <c r="AE2460" s="1">
        <v>0</v>
      </c>
      <c r="AF2460" s="1">
        <f ca="1">IFERROR(__xludf.DUMMYFUNCTION("IFERROR(GOOGLEFINANCE(TRIM(F2460)&amp;"":"" &amp; TRIM(B2460),""high52""),AE2460)"),174.4)</f>
        <v>174.4</v>
      </c>
      <c r="AG2460" s="1">
        <v>0</v>
      </c>
      <c r="AH2460" s="1">
        <f ca="1">IFERROR(__xludf.DUMMYFUNCTION("IFERROR(GOOGLEFINANCE(TRIM(F2460)&amp;"":"" &amp; TRIM(B2460),""low52""),AE2460)"),86.11)</f>
        <v>86.11</v>
      </c>
      <c r="AI2460" s="1">
        <f ca="1">IFERROR(__xludf.DUMMYFUNCTION("IFERROR(GOOGLEFINANCE(B2460,""eps""),0)"),10.11)</f>
        <v>10.11</v>
      </c>
      <c r="AJ2460" s="1"/>
      <c r="AK2460" s="9"/>
      <c r="AL2460" s="9">
        <f t="shared" si="250"/>
        <v>1</v>
      </c>
    </row>
    <row r="2461" spans="1:38" ht="15" x14ac:dyDescent="0.25">
      <c r="A2461" s="1" t="s">
        <v>7677</v>
      </c>
      <c r="B2461" s="1" t="s">
        <v>7678</v>
      </c>
      <c r="C2461" s="1" t="s">
        <v>151</v>
      </c>
      <c r="D2461" s="1" t="s">
        <v>151</v>
      </c>
      <c r="E2461" s="6">
        <v>14.75</v>
      </c>
      <c r="F2461" s="1" t="s">
        <v>53</v>
      </c>
      <c r="G2461" s="6">
        <f ca="1">IFERROR(__xludf.DUMMYFUNCTION("iferror(GOOGLEFINANCE(TRIM(F2461)&amp;"":"" &amp; TRIM(B2461), ""price""),0
)"),0)</f>
        <v>0</v>
      </c>
      <c r="H2461" s="6">
        <v>31.56</v>
      </c>
      <c r="I2461" s="6">
        <f t="shared" ca="1" si="0"/>
        <v>31.56</v>
      </c>
      <c r="J2461" s="6">
        <f ca="1">IFERROR(__xludf.DUMMYFUNCTION("IFERROR(GOOGLEFINANCE(B2461, ""volume""), 0)"),0)</f>
        <v>0</v>
      </c>
      <c r="K2461" s="6">
        <v>0</v>
      </c>
      <c r="L2461" s="6">
        <f ca="1">IFERROR(__xludf.DUMMYFUNCTION("IFERROR(GOOGLEFINANCE(B2461,""changepct""),K2461)"),0)</f>
        <v>0</v>
      </c>
      <c r="M2461" s="6">
        <f ca="1">IFERROR(__xludf.DUMMYFUNCTION("IFERROR(GOOGLEFINANCE(B2461,""change""),0)"),0)</f>
        <v>0</v>
      </c>
      <c r="N2461" s="6">
        <v>2</v>
      </c>
      <c r="O2461" s="7">
        <v>45536</v>
      </c>
      <c r="P2461" s="9"/>
      <c r="Q2461" s="6">
        <v>14.75</v>
      </c>
      <c r="R2461" s="7">
        <v>45536</v>
      </c>
      <c r="S2461" s="6">
        <v>2.88</v>
      </c>
      <c r="T2461" s="6">
        <v>1.24</v>
      </c>
      <c r="U2461" s="7">
        <v>45536</v>
      </c>
      <c r="V2461" s="6">
        <v>11.91</v>
      </c>
      <c r="W2461" s="6">
        <f ca="1">IFERROR(__xludf.DUMMYFUNCTION("IFERROR(GOOGLEFINANCE(B2461,""pe""),V2461)"),11.91)</f>
        <v>11.91</v>
      </c>
      <c r="X2461" s="9"/>
      <c r="Y2461" s="6">
        <v>1.36</v>
      </c>
      <c r="Z2461" s="6">
        <v>2</v>
      </c>
      <c r="AA2461" s="8">
        <v>45352</v>
      </c>
      <c r="AB2461" s="4">
        <v>0.09</v>
      </c>
      <c r="AC2461" s="6">
        <v>-31.17</v>
      </c>
      <c r="AD2461" s="6">
        <v>-20.12</v>
      </c>
      <c r="AE2461" s="1">
        <v>0</v>
      </c>
      <c r="AF2461" s="1">
        <f ca="1">IFERROR(__xludf.DUMMYFUNCTION("IFERROR(GOOGLEFINANCE(TRIM(F2461)&amp;"":"" &amp; TRIM(B2461),""high52""),AE2461)"),0)</f>
        <v>0</v>
      </c>
      <c r="AG2461" s="1">
        <v>0</v>
      </c>
      <c r="AH2461" s="1">
        <f ca="1">IFERROR(__xludf.DUMMYFUNCTION("IFERROR(GOOGLEFINANCE(TRIM(F2461)&amp;"":"" &amp; TRIM(B2461),""low52""),AE2461)"),0)</f>
        <v>0</v>
      </c>
      <c r="AI2461" s="1">
        <f ca="1">IFERROR(__xludf.DUMMYFUNCTION("IFERROR(GOOGLEFINANCE(B2461,""eps""),0)"),0)</f>
        <v>0</v>
      </c>
      <c r="AJ2461" s="1"/>
      <c r="AK2461" s="1" t="s">
        <v>7679</v>
      </c>
      <c r="AL2461" s="9">
        <f t="shared" si="250"/>
        <v>1</v>
      </c>
    </row>
    <row r="2462" spans="1:38" ht="15" x14ac:dyDescent="0.25">
      <c r="A2462" s="1" t="s">
        <v>7680</v>
      </c>
      <c r="B2462" s="1" t="s">
        <v>7681</v>
      </c>
      <c r="C2462" s="1" t="s">
        <v>90</v>
      </c>
      <c r="D2462" s="1" t="s">
        <v>90</v>
      </c>
      <c r="E2462" s="6">
        <v>1446.8</v>
      </c>
      <c r="F2462" s="1" t="s">
        <v>40</v>
      </c>
      <c r="G2462" s="6">
        <f ca="1">IFERROR(__xludf.DUMMYFUNCTION("iferror(GOOGLEFINANCE(TRIM(F2462)&amp;"":"" &amp; TRIM(B2462), ""price""),0
)"),518)</f>
        <v>518</v>
      </c>
      <c r="H2462" s="6">
        <v>668.65</v>
      </c>
      <c r="I2462" s="6">
        <f t="shared" ca="1" si="0"/>
        <v>518</v>
      </c>
      <c r="J2462" s="6">
        <f ca="1">IFERROR(__xludf.DUMMYFUNCTION("IFERROR(GOOGLEFINANCE(B2462, ""volume""), 0)"),15198)</f>
        <v>15198</v>
      </c>
      <c r="K2462" s="6">
        <v>-0.76</v>
      </c>
      <c r="L2462" s="6">
        <f ca="1">IFERROR(__xludf.DUMMYFUNCTION("IFERROR(GOOGLEFINANCE(B2462,""changepct""),K2462)"),-1.14)</f>
        <v>-1.1399999999999999</v>
      </c>
      <c r="M2462" s="6">
        <f ca="1">IFERROR(__xludf.DUMMYFUNCTION("IFERROR(GOOGLEFINANCE(B2462,""change""),0)"),-5.95)</f>
        <v>-5.95</v>
      </c>
      <c r="N2462" s="6">
        <v>2</v>
      </c>
      <c r="O2462" s="7">
        <v>45536</v>
      </c>
      <c r="P2462" s="9"/>
      <c r="Q2462" s="6">
        <v>1243.3900000000001</v>
      </c>
      <c r="R2462" s="7">
        <v>45536</v>
      </c>
      <c r="S2462" s="6">
        <v>472.58</v>
      </c>
      <c r="T2462" s="6">
        <v>49.94</v>
      </c>
      <c r="U2462" s="7">
        <v>45536</v>
      </c>
      <c r="V2462" s="6">
        <v>28.95</v>
      </c>
      <c r="W2462" s="6">
        <f ca="1">IFERROR(__xludf.DUMMYFUNCTION("IFERROR(GOOGLEFINANCE(B2462,""pe""),V2462)"),32.75)</f>
        <v>32.75</v>
      </c>
      <c r="X2462" s="6">
        <v>9.2200000000000006</v>
      </c>
      <c r="Y2462" s="6">
        <v>6.14</v>
      </c>
      <c r="Z2462" s="6">
        <v>2</v>
      </c>
      <c r="AA2462" s="8">
        <v>45352</v>
      </c>
      <c r="AB2462" s="4">
        <v>0</v>
      </c>
      <c r="AC2462" s="6">
        <v>18.350000000000001</v>
      </c>
      <c r="AD2462" s="6">
        <v>25.67</v>
      </c>
      <c r="AE2462" s="1">
        <v>0</v>
      </c>
      <c r="AF2462" s="1">
        <f ca="1">IFERROR(__xludf.DUMMYFUNCTION("IFERROR(GOOGLEFINANCE(TRIM(F2462)&amp;"":"" &amp; TRIM(B2462),""high52""),AE2462)"),635)</f>
        <v>635</v>
      </c>
      <c r="AG2462" s="1">
        <v>0</v>
      </c>
      <c r="AH2462" s="1">
        <f ca="1">IFERROR(__xludf.DUMMYFUNCTION("IFERROR(GOOGLEFINANCE(TRIM(F2462)&amp;"":"" &amp; TRIM(B2462),""low52""),AE2462)"),475)</f>
        <v>475</v>
      </c>
      <c r="AI2462" s="1">
        <f ca="1">IFERROR(__xludf.DUMMYFUNCTION("IFERROR(GOOGLEFINANCE(B2462,""eps""),0)"),15.82)</f>
        <v>15.82</v>
      </c>
      <c r="AJ2462" s="1"/>
      <c r="AK2462" s="9"/>
      <c r="AL2462" s="1" t="b">
        <f>ISBLANK(AB2462)</f>
        <v>0</v>
      </c>
    </row>
    <row r="2463" spans="1:38" ht="15" x14ac:dyDescent="0.25">
      <c r="A2463" s="1" t="s">
        <v>7682</v>
      </c>
      <c r="B2463" s="1" t="s">
        <v>7683</v>
      </c>
      <c r="C2463" s="1" t="s">
        <v>1118</v>
      </c>
      <c r="D2463" s="1" t="s">
        <v>1118</v>
      </c>
      <c r="E2463" s="6">
        <v>390.11</v>
      </c>
      <c r="F2463" s="1" t="s">
        <v>40</v>
      </c>
      <c r="G2463" s="6">
        <f ca="1">IFERROR(__xludf.DUMMYFUNCTION("iferror(GOOGLEFINANCE(TRIM(F2463)&amp;"":"" &amp; TRIM(B2463), ""price""),0
)"),80.34)</f>
        <v>80.34</v>
      </c>
      <c r="H2463" s="6">
        <v>100.49</v>
      </c>
      <c r="I2463" s="6">
        <f t="shared" ca="1" si="0"/>
        <v>80.34</v>
      </c>
      <c r="J2463" s="6">
        <f ca="1">IFERROR(__xludf.DUMMYFUNCTION("IFERROR(GOOGLEFINANCE(B2463, ""volume""), 0)"),25254)</f>
        <v>25254</v>
      </c>
      <c r="K2463" s="6">
        <v>0.83</v>
      </c>
      <c r="L2463" s="6">
        <f ca="1">IFERROR(__xludf.DUMMYFUNCTION("IFERROR(GOOGLEFINANCE(B2463,""changepct""),K2463)"),1.83)</f>
        <v>1.83</v>
      </c>
      <c r="M2463" s="6">
        <f ca="1">IFERROR(__xludf.DUMMYFUNCTION("IFERROR(GOOGLEFINANCE(B2463,""change""),0)"),1.44)</f>
        <v>1.44</v>
      </c>
      <c r="N2463" s="6">
        <v>2</v>
      </c>
      <c r="O2463" s="7">
        <v>45536</v>
      </c>
      <c r="P2463" s="6">
        <v>182</v>
      </c>
      <c r="Q2463" s="6">
        <v>538.83000000000004</v>
      </c>
      <c r="R2463" s="7">
        <v>45536</v>
      </c>
      <c r="S2463" s="6">
        <v>1417.37</v>
      </c>
      <c r="T2463" s="6">
        <v>39.979999999999997</v>
      </c>
      <c r="U2463" s="7">
        <v>45536</v>
      </c>
      <c r="V2463" s="6">
        <v>9.77</v>
      </c>
      <c r="W2463" s="6">
        <f ca="1">IFERROR(__xludf.DUMMYFUNCTION("IFERROR(GOOGLEFINANCE(B2463,""pe""),V2463)"),3.01)</f>
        <v>3.01</v>
      </c>
      <c r="X2463" s="6">
        <v>-7.13</v>
      </c>
      <c r="Y2463" s="6">
        <v>1.05</v>
      </c>
      <c r="Z2463" s="6">
        <v>2</v>
      </c>
      <c r="AA2463" s="8">
        <v>45352</v>
      </c>
      <c r="AB2463" s="4">
        <v>1.38</v>
      </c>
      <c r="AC2463" s="6">
        <v>9.48</v>
      </c>
      <c r="AD2463" s="6">
        <v>9.49</v>
      </c>
      <c r="AE2463" s="1">
        <v>0</v>
      </c>
      <c r="AF2463" s="1">
        <f ca="1">IFERROR(__xludf.DUMMYFUNCTION("IFERROR(GOOGLEFINANCE(TRIM(F2463)&amp;"":"" &amp; TRIM(B2463),""high52""),AE2463)"),111.5)</f>
        <v>111.5</v>
      </c>
      <c r="AG2463" s="1">
        <v>0</v>
      </c>
      <c r="AH2463" s="1">
        <f ca="1">IFERROR(__xludf.DUMMYFUNCTION("IFERROR(GOOGLEFINANCE(TRIM(F2463)&amp;"":"" &amp; TRIM(B2463),""low52""),AE2463)"),77.66)</f>
        <v>77.66</v>
      </c>
      <c r="AI2463" s="1">
        <f ca="1">IFERROR(__xludf.DUMMYFUNCTION("IFERROR(GOOGLEFINANCE(B2463,""eps""),0)"),26.71)</f>
        <v>26.71</v>
      </c>
      <c r="AJ2463" s="1"/>
      <c r="AK2463" s="9"/>
      <c r="AL2463" s="9">
        <f t="shared" ref="AL2463:AL2467" si="251">IF(AA2463&lt;&gt;AB2463,1,0)</f>
        <v>1</v>
      </c>
    </row>
    <row r="2464" spans="1:38" ht="15" x14ac:dyDescent="0.25">
      <c r="A2464" s="1" t="s">
        <v>7684</v>
      </c>
      <c r="B2464" s="1" t="s">
        <v>7685</v>
      </c>
      <c r="C2464" s="1" t="s">
        <v>487</v>
      </c>
      <c r="D2464" s="1" t="s">
        <v>487</v>
      </c>
      <c r="E2464" s="6">
        <v>9348.14</v>
      </c>
      <c r="F2464" s="1" t="s">
        <v>40</v>
      </c>
      <c r="G2464" s="6">
        <f ca="1">IFERROR(__xludf.DUMMYFUNCTION("iferror(GOOGLEFINANCE(TRIM(F2464)&amp;"":"" &amp; TRIM(B2464), ""price""),0
)"),367.4)</f>
        <v>367.4</v>
      </c>
      <c r="H2464" s="6">
        <v>592.20000000000005</v>
      </c>
      <c r="I2464" s="6">
        <f t="shared" ca="1" si="0"/>
        <v>367.4</v>
      </c>
      <c r="J2464" s="6">
        <f ca="1">IFERROR(__xludf.DUMMYFUNCTION("IFERROR(GOOGLEFINANCE(B2464, ""volume""), 0)"),51644)</f>
        <v>51644</v>
      </c>
      <c r="K2464" s="6">
        <v>2.0499999999999998</v>
      </c>
      <c r="L2464" s="6">
        <f ca="1">IFERROR(__xludf.DUMMYFUNCTION("IFERROR(GOOGLEFINANCE(B2464,""changepct""),K2464)"),-0.85)</f>
        <v>-0.85</v>
      </c>
      <c r="M2464" s="6">
        <f ca="1">IFERROR(__xludf.DUMMYFUNCTION("IFERROR(GOOGLEFINANCE(B2464,""change""),0)"),-3.15)</f>
        <v>-3.15</v>
      </c>
      <c r="N2464" s="6">
        <v>2</v>
      </c>
      <c r="O2464" s="7">
        <v>45536</v>
      </c>
      <c r="P2464" s="6">
        <v>1312.89</v>
      </c>
      <c r="Q2464" s="6">
        <v>9318.6</v>
      </c>
      <c r="R2464" s="7">
        <v>45536</v>
      </c>
      <c r="S2464" s="6">
        <v>134.84</v>
      </c>
      <c r="T2464" s="6">
        <v>-15.62</v>
      </c>
      <c r="U2464" s="7">
        <v>45536</v>
      </c>
      <c r="V2464" s="6">
        <v>0</v>
      </c>
      <c r="W2464" s="6">
        <f ca="1">IFERROR(__xludf.DUMMYFUNCTION("IFERROR(GOOGLEFINANCE(B2464,""pe""),V2464)"),116.27)</f>
        <v>116.27</v>
      </c>
      <c r="X2464" s="9"/>
      <c r="Y2464" s="6">
        <v>4.24</v>
      </c>
      <c r="Z2464" s="6">
        <v>2</v>
      </c>
      <c r="AA2464" s="8">
        <v>45352</v>
      </c>
      <c r="AB2464" s="4">
        <v>0.78</v>
      </c>
      <c r="AC2464" s="6">
        <v>-4.95</v>
      </c>
      <c r="AD2464" s="6">
        <v>-1.2</v>
      </c>
      <c r="AE2464" s="1">
        <v>0</v>
      </c>
      <c r="AF2464" s="1">
        <f ca="1">IFERROR(__xludf.DUMMYFUNCTION("IFERROR(GOOGLEFINANCE(TRIM(F2464)&amp;"":"" &amp; TRIM(B2464),""high52""),AE2464)"),564.3)</f>
        <v>564.29999999999995</v>
      </c>
      <c r="AG2464" s="1">
        <v>0</v>
      </c>
      <c r="AH2464" s="1">
        <f ca="1">IFERROR(__xludf.DUMMYFUNCTION("IFERROR(GOOGLEFINANCE(TRIM(F2464)&amp;"":"" &amp; TRIM(B2464),""low52""),AE2464)"),341.1)</f>
        <v>341.1</v>
      </c>
      <c r="AI2464" s="1">
        <f ca="1">IFERROR(__xludf.DUMMYFUNCTION("IFERROR(GOOGLEFINANCE(B2464,""eps""),0)"),3.16)</f>
        <v>3.16</v>
      </c>
      <c r="AJ2464" s="1"/>
      <c r="AK2464" s="1" t="s">
        <v>7686</v>
      </c>
      <c r="AL2464" s="9">
        <f t="shared" si="251"/>
        <v>1</v>
      </c>
    </row>
    <row r="2465" spans="1:38" ht="15" x14ac:dyDescent="0.25">
      <c r="A2465" s="1" t="s">
        <v>7687</v>
      </c>
      <c r="B2465" s="1" t="s">
        <v>7688</v>
      </c>
      <c r="C2465" s="1" t="s">
        <v>48</v>
      </c>
      <c r="D2465" s="1" t="s">
        <v>48</v>
      </c>
      <c r="E2465" s="6">
        <v>38761.57</v>
      </c>
      <c r="F2465" s="1" t="s">
        <v>40</v>
      </c>
      <c r="G2465" s="6">
        <f ca="1">IFERROR(__xludf.DUMMYFUNCTION("iferror(GOOGLEFINANCE(TRIM(F2465)&amp;"":"" &amp; TRIM(B2465), ""price""),0
)"),1640)</f>
        <v>1640</v>
      </c>
      <c r="H2465" s="6">
        <v>1125</v>
      </c>
      <c r="I2465" s="6">
        <f t="shared" ca="1" si="0"/>
        <v>1640</v>
      </c>
      <c r="J2465" s="6">
        <f ca="1">IFERROR(__xludf.DUMMYFUNCTION("IFERROR(GOOGLEFINANCE(B2465, ""volume""), 0)"),491917)</f>
        <v>491917</v>
      </c>
      <c r="K2465" s="6">
        <v>0.2</v>
      </c>
      <c r="L2465" s="6">
        <f ca="1">IFERROR(__xludf.DUMMYFUNCTION("IFERROR(GOOGLEFINANCE(B2465,""changepct""),K2465)"),1.23)</f>
        <v>1.23</v>
      </c>
      <c r="M2465" s="6">
        <f ca="1">IFERROR(__xludf.DUMMYFUNCTION("IFERROR(GOOGLEFINANCE(B2465,""change""),0)"),20)</f>
        <v>20</v>
      </c>
      <c r="N2465" s="6">
        <v>2</v>
      </c>
      <c r="O2465" s="7">
        <v>45536</v>
      </c>
      <c r="P2465" s="6">
        <v>416.41</v>
      </c>
      <c r="Q2465" s="7">
        <v>45536</v>
      </c>
      <c r="R2465" s="6">
        <v>112.56</v>
      </c>
      <c r="S2465" s="6">
        <v>21.2</v>
      </c>
      <c r="T2465" s="6">
        <v>7.5</v>
      </c>
      <c r="U2465" s="6">
        <v>2</v>
      </c>
      <c r="V2465" s="7">
        <v>45352</v>
      </c>
      <c r="W2465" s="6">
        <f ca="1">IFERROR(__xludf.DUMMYFUNCTION("IFERROR(GOOGLEFINANCE(B2465,""pe""),V2465)"),349.37)</f>
        <v>349.37</v>
      </c>
      <c r="X2465" s="6">
        <v>0.13</v>
      </c>
      <c r="Y2465" s="6">
        <v>10.65</v>
      </c>
      <c r="Z2465" s="6">
        <v>12.06</v>
      </c>
      <c r="AA2465" s="3" t="s">
        <v>7689</v>
      </c>
      <c r="AB2465" s="11"/>
      <c r="AC2465" s="9"/>
      <c r="AD2465" s="9"/>
      <c r="AE2465" s="1">
        <v>0</v>
      </c>
      <c r="AF2465" s="1">
        <f ca="1">IFERROR(__xludf.DUMMYFUNCTION("IFERROR(GOOGLEFINANCE(TRIM(F2465)&amp;"":"" &amp; TRIM(B2465),""high52""),AE2465)"),1752.2)</f>
        <v>1752.2</v>
      </c>
      <c r="AG2465" s="1">
        <v>0</v>
      </c>
      <c r="AH2465" s="1">
        <f ca="1">IFERROR(__xludf.DUMMYFUNCTION("IFERROR(GOOGLEFINANCE(TRIM(F2465)&amp;"":"" &amp; TRIM(B2465),""low52""),AE2465)"),950)</f>
        <v>950</v>
      </c>
      <c r="AI2465" s="1">
        <f ca="1">IFERROR(__xludf.DUMMYFUNCTION("IFERROR(GOOGLEFINANCE(B2465,""eps""),0)"),4.69)</f>
        <v>4.6900000000000004</v>
      </c>
      <c r="AJ2465" s="1"/>
      <c r="AK2465" s="1" t="s">
        <v>7690</v>
      </c>
      <c r="AL2465" s="9">
        <f t="shared" si="251"/>
        <v>1</v>
      </c>
    </row>
    <row r="2466" spans="1:38" ht="15" x14ac:dyDescent="0.25">
      <c r="A2466" s="1" t="s">
        <v>7691</v>
      </c>
      <c r="B2466" s="1" t="s">
        <v>7692</v>
      </c>
      <c r="C2466" s="1" t="s">
        <v>163</v>
      </c>
      <c r="D2466" s="1" t="s">
        <v>163</v>
      </c>
      <c r="E2466" s="6">
        <v>112558.3</v>
      </c>
      <c r="F2466" s="1" t="s">
        <v>40</v>
      </c>
      <c r="G2466" s="6">
        <f ca="1">IFERROR(__xludf.DUMMYFUNCTION("iferror(GOOGLEFINANCE(TRIM(F2466)&amp;"":"" &amp; TRIM(B2466), ""price""),0
)"),958.95)</f>
        <v>958.95</v>
      </c>
      <c r="H2466" s="6">
        <v>1174.55</v>
      </c>
      <c r="I2466" s="6">
        <f t="shared" ca="1" si="0"/>
        <v>958.95</v>
      </c>
      <c r="J2466" s="6">
        <f ca="1">IFERROR(__xludf.DUMMYFUNCTION("IFERROR(GOOGLEFINANCE(B2466, ""volume""), 0)"),2926581)</f>
        <v>2926581</v>
      </c>
      <c r="K2466" s="6">
        <v>1.31</v>
      </c>
      <c r="L2466" s="6">
        <f ca="1">IFERROR(__xludf.DUMMYFUNCTION("IFERROR(GOOGLEFINANCE(B2466,""changepct""),K2466)"),-1.82)</f>
        <v>-1.82</v>
      </c>
      <c r="M2466" s="6">
        <f ca="1">IFERROR(__xludf.DUMMYFUNCTION("IFERROR(GOOGLEFINANCE(B2466,""change""),0)"),-17.75)</f>
        <v>-17.75</v>
      </c>
      <c r="N2466" s="6">
        <v>2</v>
      </c>
      <c r="O2466" s="7">
        <v>45536</v>
      </c>
      <c r="P2466" s="6">
        <v>1186.8599999999999</v>
      </c>
      <c r="Q2466" s="6">
        <v>112458.9</v>
      </c>
      <c r="R2466" s="7">
        <v>45536</v>
      </c>
      <c r="S2466" s="6">
        <v>6008.28</v>
      </c>
      <c r="T2466" s="6">
        <v>1058.96</v>
      </c>
      <c r="U2466" s="7">
        <v>45536</v>
      </c>
      <c r="V2466" s="6">
        <v>106.29</v>
      </c>
      <c r="W2466" s="6">
        <f ca="1">IFERROR(__xludf.DUMMYFUNCTION("IFERROR(GOOGLEFINANCE(B2466,""pe""),V2466)"),69.1)</f>
        <v>69.099999999999994</v>
      </c>
      <c r="X2466" s="12"/>
      <c r="Y2466" s="6">
        <v>12.79</v>
      </c>
      <c r="Z2466" s="6">
        <v>2</v>
      </c>
      <c r="AA2466" s="8">
        <v>45352</v>
      </c>
      <c r="AB2466" s="4">
        <v>0.14000000000000001</v>
      </c>
      <c r="AC2466" s="6">
        <v>13.47</v>
      </c>
      <c r="AD2466" s="6">
        <v>16.260000000000002</v>
      </c>
      <c r="AE2466" s="1">
        <v>0</v>
      </c>
      <c r="AF2466" s="1">
        <f ca="1">IFERROR(__xludf.DUMMYFUNCTION("IFERROR(GOOGLEFINANCE(TRIM(F2466)&amp;"":"" &amp; TRIM(B2466),""high52""),AE2466)"),1314.3)</f>
        <v>1314.3</v>
      </c>
      <c r="AG2466" s="1">
        <v>0</v>
      </c>
      <c r="AH2466" s="1">
        <f ca="1">IFERROR(__xludf.DUMMYFUNCTION("IFERROR(GOOGLEFINANCE(TRIM(F2466)&amp;"":"" &amp; TRIM(B2466),""low52""),AE2466)"),933.8)</f>
        <v>933.8</v>
      </c>
      <c r="AI2466" s="1">
        <f ca="1">IFERROR(__xludf.DUMMYFUNCTION("IFERROR(GOOGLEFINANCE(B2466,""eps""),0)"),13.88)</f>
        <v>13.88</v>
      </c>
      <c r="AJ2466" s="1"/>
      <c r="AK2466" s="1" t="s">
        <v>7693</v>
      </c>
      <c r="AL2466" s="9">
        <f t="shared" si="251"/>
        <v>1</v>
      </c>
    </row>
    <row r="2467" spans="1:38" ht="15" x14ac:dyDescent="0.25">
      <c r="A2467" s="1" t="s">
        <v>7694</v>
      </c>
      <c r="B2467" s="1" t="s">
        <v>7695</v>
      </c>
      <c r="C2467" s="1" t="s">
        <v>43</v>
      </c>
      <c r="D2467" s="1" t="s">
        <v>43</v>
      </c>
      <c r="E2467" s="6">
        <v>1175.76</v>
      </c>
      <c r="F2467" s="1" t="s">
        <v>40</v>
      </c>
      <c r="G2467" s="6">
        <f ca="1">IFERROR(__xludf.DUMMYFUNCTION("iferror(GOOGLEFINANCE(TRIM(F2467)&amp;"":"" &amp; TRIM(B2467), ""price""),0
)"),152.16)</f>
        <v>152.16</v>
      </c>
      <c r="H2467" s="6">
        <v>276.7</v>
      </c>
      <c r="I2467" s="6">
        <f t="shared" ca="1" si="0"/>
        <v>152.16</v>
      </c>
      <c r="J2467" s="6">
        <f ca="1">IFERROR(__xludf.DUMMYFUNCTION("IFERROR(GOOGLEFINANCE(B2467, ""volume""), 0)"),37062)</f>
        <v>37062</v>
      </c>
      <c r="K2467" s="6">
        <v>1.34</v>
      </c>
      <c r="L2467" s="6">
        <f ca="1">IFERROR(__xludf.DUMMYFUNCTION("IFERROR(GOOGLEFINANCE(B2467,""changepct""),K2467)"),-3.76)</f>
        <v>-3.76</v>
      </c>
      <c r="M2467" s="6">
        <f ca="1">IFERROR(__xludf.DUMMYFUNCTION("IFERROR(GOOGLEFINANCE(B2467,""change""),0)"),-5.94)</f>
        <v>-5.94</v>
      </c>
      <c r="N2467" s="6">
        <v>2</v>
      </c>
      <c r="O2467" s="7">
        <v>45536</v>
      </c>
      <c r="P2467" s="6">
        <v>-90.86</v>
      </c>
      <c r="Q2467" s="7">
        <v>45536</v>
      </c>
      <c r="R2467" s="6">
        <v>0</v>
      </c>
      <c r="S2467" s="9"/>
      <c r="T2467" s="6">
        <v>2.64</v>
      </c>
      <c r="U2467" s="6">
        <v>2</v>
      </c>
      <c r="V2467" s="7">
        <v>45352</v>
      </c>
      <c r="W2467" s="10">
        <f ca="1">IFERROR(__xludf.DUMMYFUNCTION("IFERROR(GOOGLEFINANCE(B2467,""pe""),V2467)"),45352)</f>
        <v>45352</v>
      </c>
      <c r="X2467" s="6">
        <v>0</v>
      </c>
      <c r="Y2467" s="6">
        <v>-11.03</v>
      </c>
      <c r="Z2467" s="6">
        <v>-8.4</v>
      </c>
      <c r="AA2467" s="3" t="s">
        <v>7696</v>
      </c>
      <c r="AB2467" s="11"/>
      <c r="AC2467" s="12"/>
      <c r="AD2467" s="12"/>
      <c r="AE2467" s="1">
        <v>0</v>
      </c>
      <c r="AF2467" s="1">
        <f ca="1">IFERROR(__xludf.DUMMYFUNCTION("IFERROR(GOOGLEFINANCE(TRIM(F2467)&amp;"":"" &amp; TRIM(B2467),""high52""),AE2467)"),249.37)</f>
        <v>249.37</v>
      </c>
      <c r="AG2467" s="1">
        <v>0</v>
      </c>
      <c r="AH2467" s="1">
        <f ca="1">IFERROR(__xludf.DUMMYFUNCTION("IFERROR(GOOGLEFINANCE(TRIM(F2467)&amp;"":"" &amp; TRIM(B2467),""low52""),AE2467)"),144.1)</f>
        <v>144.1</v>
      </c>
      <c r="AI2467" s="1">
        <f ca="1">IFERROR(__xludf.DUMMYFUNCTION("IFERROR(GOOGLEFINANCE(B2467,""eps""),0)"),-31.79)</f>
        <v>-31.79</v>
      </c>
      <c r="AJ2467" s="1"/>
      <c r="AK2467" s="1" t="s">
        <v>7697</v>
      </c>
      <c r="AL2467" s="9">
        <f t="shared" si="251"/>
        <v>1</v>
      </c>
    </row>
    <row r="2468" spans="1:38" ht="15" x14ac:dyDescent="0.25">
      <c r="A2468" s="1" t="s">
        <v>7698</v>
      </c>
      <c r="B2468" s="1" t="s">
        <v>7699</v>
      </c>
      <c r="C2468" s="1" t="s">
        <v>52</v>
      </c>
      <c r="D2468" s="1" t="s">
        <v>52</v>
      </c>
      <c r="E2468" s="6">
        <v>202.62</v>
      </c>
      <c r="F2468" s="1" t="s">
        <v>40</v>
      </c>
      <c r="G2468" s="6">
        <f ca="1">IFERROR(__xludf.DUMMYFUNCTION("iferror(GOOGLEFINANCE(TRIM(F2468)&amp;"":"" &amp; TRIM(B2468), ""price""),0
)"),0)</f>
        <v>0</v>
      </c>
      <c r="H2468" s="6">
        <v>95.3</v>
      </c>
      <c r="I2468" s="6">
        <f t="shared" ca="1" si="0"/>
        <v>95.3</v>
      </c>
      <c r="J2468" s="6">
        <f ca="1">IFERROR(__xludf.DUMMYFUNCTION("IFERROR(GOOGLEFINANCE(B2468, ""volume""), 0)"),0)</f>
        <v>0</v>
      </c>
      <c r="K2468" s="6">
        <v>6.96</v>
      </c>
      <c r="L2468" s="6">
        <f ca="1">IFERROR(__xludf.DUMMYFUNCTION("IFERROR(GOOGLEFINANCE(B2468,""changepct""),K2468)"),6.96)</f>
        <v>6.96</v>
      </c>
      <c r="M2468" s="6">
        <f ca="1">IFERROR(__xludf.DUMMYFUNCTION("IFERROR(GOOGLEFINANCE(B2468,""change""),0)"),0)</f>
        <v>0</v>
      </c>
      <c r="N2468" s="6">
        <v>1</v>
      </c>
      <c r="O2468" s="7">
        <v>45536</v>
      </c>
      <c r="P2468" s="6">
        <v>1.32</v>
      </c>
      <c r="Q2468" s="6">
        <v>203.94</v>
      </c>
      <c r="R2468" s="7">
        <v>45352</v>
      </c>
      <c r="S2468" s="6">
        <v>42.81</v>
      </c>
      <c r="T2468" s="6">
        <v>7.71</v>
      </c>
      <c r="U2468" s="7">
        <v>45352</v>
      </c>
      <c r="V2468" s="6">
        <v>26.27</v>
      </c>
      <c r="W2468" s="6">
        <f ca="1">IFERROR(__xludf.DUMMYFUNCTION("IFERROR(GOOGLEFINANCE(B2468,""pe""),V2468)"),26.27)</f>
        <v>26.27</v>
      </c>
      <c r="X2468" s="12"/>
      <c r="Y2468" s="6">
        <v>3.6</v>
      </c>
      <c r="Z2468" s="6">
        <v>2</v>
      </c>
      <c r="AA2468" s="8">
        <v>45352</v>
      </c>
      <c r="AB2468" s="4">
        <v>0.03</v>
      </c>
      <c r="AC2468" s="6">
        <v>14.31</v>
      </c>
      <c r="AD2468" s="6">
        <v>20.56</v>
      </c>
      <c r="AE2468" s="1">
        <v>0</v>
      </c>
      <c r="AF2468" s="1">
        <f ca="1">IFERROR(__xludf.DUMMYFUNCTION("IFERROR(GOOGLEFINANCE(TRIM(F2468)&amp;"":"" &amp; TRIM(B2468),""high52""),AE2468)"),0)</f>
        <v>0</v>
      </c>
      <c r="AG2468" s="1">
        <v>0</v>
      </c>
      <c r="AH2468" s="1">
        <f ca="1">IFERROR(__xludf.DUMMYFUNCTION("IFERROR(GOOGLEFINANCE(TRIM(F2468)&amp;"":"" &amp; TRIM(B2468),""low52""),AE2468)"),0)</f>
        <v>0</v>
      </c>
      <c r="AI2468" s="1">
        <f ca="1">IFERROR(__xludf.DUMMYFUNCTION("IFERROR(GOOGLEFINANCE(B2468,""eps""),0)"),0)</f>
        <v>0</v>
      </c>
      <c r="AJ2468" s="1"/>
      <c r="AK2468" s="1" t="s">
        <v>7700</v>
      </c>
      <c r="AL2468" s="1" t="b">
        <f>ISNUMBER(AA2468)</f>
        <v>1</v>
      </c>
    </row>
    <row r="2469" spans="1:38" ht="15" x14ac:dyDescent="0.25">
      <c r="A2469" s="1" t="s">
        <v>7701</v>
      </c>
      <c r="B2469" s="1" t="s">
        <v>7702</v>
      </c>
      <c r="C2469" s="1" t="s">
        <v>186</v>
      </c>
      <c r="D2469" s="1" t="s">
        <v>186</v>
      </c>
      <c r="E2469" s="6">
        <v>2674.29</v>
      </c>
      <c r="F2469" s="1" t="s">
        <v>40</v>
      </c>
      <c r="G2469" s="6">
        <f ca="1">IFERROR(__xludf.DUMMYFUNCTION("iferror(GOOGLEFINANCE(TRIM(F2469)&amp;"":"" &amp; TRIM(B2469), ""price""),0
)"),534)</f>
        <v>534</v>
      </c>
      <c r="H2469" s="6">
        <v>613.5</v>
      </c>
      <c r="I2469" s="6">
        <f t="shared" ca="1" si="0"/>
        <v>534</v>
      </c>
      <c r="J2469" s="6">
        <f ca="1">IFERROR(__xludf.DUMMYFUNCTION("IFERROR(GOOGLEFINANCE(B2469, ""volume""), 0)"),71762)</f>
        <v>71762</v>
      </c>
      <c r="K2469" s="6">
        <v>-0.36</v>
      </c>
      <c r="L2469" s="6">
        <f ca="1">IFERROR(__xludf.DUMMYFUNCTION("IFERROR(GOOGLEFINANCE(B2469,""changepct""),K2469)"),1.4)</f>
        <v>1.4</v>
      </c>
      <c r="M2469" s="6">
        <f ca="1">IFERROR(__xludf.DUMMYFUNCTION("IFERROR(GOOGLEFINANCE(B2469,""change""),0)"),7.35)</f>
        <v>7.35</v>
      </c>
      <c r="N2469" s="6">
        <v>2</v>
      </c>
      <c r="O2469" s="7">
        <v>45536</v>
      </c>
      <c r="P2469" s="6">
        <v>10.8</v>
      </c>
      <c r="Q2469" s="6">
        <v>2619.56</v>
      </c>
      <c r="R2469" s="7">
        <v>45536</v>
      </c>
      <c r="S2469" s="6">
        <v>820.34</v>
      </c>
      <c r="T2469" s="6">
        <v>136.74</v>
      </c>
      <c r="U2469" s="7">
        <v>45536</v>
      </c>
      <c r="V2469" s="6">
        <v>19.559999999999999</v>
      </c>
      <c r="W2469" s="6">
        <f ca="1">IFERROR(__xludf.DUMMYFUNCTION("IFERROR(GOOGLEFINANCE(B2469,""pe""),V2469)"),15.1)</f>
        <v>15.1</v>
      </c>
      <c r="X2469" s="6">
        <v>3.03</v>
      </c>
      <c r="Y2469" s="6">
        <v>3.03</v>
      </c>
      <c r="Z2469" s="6">
        <v>2</v>
      </c>
      <c r="AA2469" s="8">
        <v>45352</v>
      </c>
      <c r="AB2469" s="4">
        <v>0.02</v>
      </c>
      <c r="AC2469" s="6">
        <v>15.11</v>
      </c>
      <c r="AD2469" s="6">
        <v>19.47</v>
      </c>
      <c r="AE2469" s="1">
        <v>0</v>
      </c>
      <c r="AF2469" s="1">
        <f ca="1">IFERROR(__xludf.DUMMYFUNCTION("IFERROR(GOOGLEFINANCE(TRIM(F2469)&amp;"":"" &amp; TRIM(B2469),""high52""),AE2469)"),629.9)</f>
        <v>629.9</v>
      </c>
      <c r="AG2469" s="1">
        <v>0</v>
      </c>
      <c r="AH2469" s="1">
        <f ca="1">IFERROR(__xludf.DUMMYFUNCTION("IFERROR(GOOGLEFINANCE(TRIM(F2469)&amp;"":"" &amp; TRIM(B2469),""low52""),AE2469)"),441)</f>
        <v>441</v>
      </c>
      <c r="AI2469" s="1">
        <f ca="1">IFERROR(__xludf.DUMMYFUNCTION("IFERROR(GOOGLEFINANCE(B2469,""eps""),0)"),35.37)</f>
        <v>35.369999999999997</v>
      </c>
      <c r="AJ2469" s="1"/>
      <c r="AK2469" s="1" t="s">
        <v>7703</v>
      </c>
      <c r="AL2469" s="9">
        <f t="shared" ref="AL2469:AL2475" si="252">IF(AA2469&lt;&gt;AB2469,1,0)</f>
        <v>1</v>
      </c>
    </row>
    <row r="2470" spans="1:38" ht="15" x14ac:dyDescent="0.25">
      <c r="A2470" s="1" t="s">
        <v>7704</v>
      </c>
      <c r="B2470" s="1" t="s">
        <v>7705</v>
      </c>
      <c r="C2470" s="1" t="s">
        <v>2152</v>
      </c>
      <c r="D2470" s="1" t="s">
        <v>2152</v>
      </c>
      <c r="E2470" s="6">
        <v>90891.6</v>
      </c>
      <c r="F2470" s="1" t="s">
        <v>40</v>
      </c>
      <c r="G2470" s="6">
        <f ca="1">IFERROR(__xludf.DUMMYFUNCTION("iferror(GOOGLEFINANCE(TRIM(F2470)&amp;"":"" &amp; TRIM(B2470), ""price""),0
)"),2433)</f>
        <v>2433</v>
      </c>
      <c r="H2470" s="6">
        <v>2276.9499999999998</v>
      </c>
      <c r="I2470" s="6">
        <f t="shared" ca="1" si="0"/>
        <v>2433</v>
      </c>
      <c r="J2470" s="6">
        <f ca="1">IFERROR(__xludf.DUMMYFUNCTION("IFERROR(GOOGLEFINANCE(B2470, ""volume""), 0)"),1511439)</f>
        <v>1511439</v>
      </c>
      <c r="K2470" s="6">
        <v>1.03</v>
      </c>
      <c r="L2470" s="6">
        <f ca="1">IFERROR(__xludf.DUMMYFUNCTION("IFERROR(GOOGLEFINANCE(B2470,""changepct""),K2470)"),1.61)</f>
        <v>1.61</v>
      </c>
      <c r="M2470" s="6">
        <f ca="1">IFERROR(__xludf.DUMMYFUNCTION("IFERROR(GOOGLEFINANCE(B2470,""change""),0)"),38.5)</f>
        <v>38.5</v>
      </c>
      <c r="N2470" s="6">
        <v>2</v>
      </c>
      <c r="O2470" s="7">
        <v>45536</v>
      </c>
      <c r="P2470" s="9"/>
      <c r="Q2470" s="6">
        <v>77297.52</v>
      </c>
      <c r="R2470" s="7">
        <v>45536</v>
      </c>
      <c r="S2470" s="6">
        <v>10579.97</v>
      </c>
      <c r="T2470" s="6">
        <v>2437.09</v>
      </c>
      <c r="U2470" s="7">
        <v>45536</v>
      </c>
      <c r="V2470" s="6">
        <v>35.35</v>
      </c>
      <c r="W2470" s="6">
        <f ca="1">IFERROR(__xludf.DUMMYFUNCTION("IFERROR(GOOGLEFINANCE(B2470,""pe""),V2470)"),42.05)</f>
        <v>42.05</v>
      </c>
      <c r="X2470" s="9"/>
      <c r="Y2470" s="6">
        <v>12.47</v>
      </c>
      <c r="Z2470" s="6">
        <v>2</v>
      </c>
      <c r="AA2470" s="8">
        <v>45352</v>
      </c>
      <c r="AB2470" s="4">
        <v>0</v>
      </c>
      <c r="AC2470" s="6">
        <v>32.880000000000003</v>
      </c>
      <c r="AD2470" s="6">
        <v>44.34</v>
      </c>
      <c r="AE2470" s="1">
        <v>0</v>
      </c>
      <c r="AF2470" s="1">
        <f ca="1">IFERROR(__xludf.DUMMYFUNCTION("IFERROR(GOOGLEFINANCE(TRIM(F2470)&amp;"":"" &amp; TRIM(B2470),""high52""),AE2470)"),3775)</f>
        <v>3775</v>
      </c>
      <c r="AG2470" s="1">
        <v>0</v>
      </c>
      <c r="AH2470" s="1">
        <f ca="1">IFERROR(__xludf.DUMMYFUNCTION("IFERROR(GOOGLEFINANCE(TRIM(F2470)&amp;"":"" &amp; TRIM(B2470),""low52""),AE2470)"),1918.05)</f>
        <v>1918.05</v>
      </c>
      <c r="AI2470" s="1">
        <f ca="1">IFERROR(__xludf.DUMMYFUNCTION("IFERROR(GOOGLEFINANCE(B2470,""eps""),0)"),57.86)</f>
        <v>57.86</v>
      </c>
      <c r="AJ2470" s="1"/>
      <c r="AK2470" s="1" t="s">
        <v>7706</v>
      </c>
      <c r="AL2470" s="9">
        <f t="shared" si="252"/>
        <v>1</v>
      </c>
    </row>
    <row r="2471" spans="1:38" ht="15" x14ac:dyDescent="0.25">
      <c r="A2471" s="1" t="s">
        <v>7707</v>
      </c>
      <c r="B2471" s="1" t="s">
        <v>7708</v>
      </c>
      <c r="C2471" s="1" t="s">
        <v>416</v>
      </c>
      <c r="D2471" s="1" t="s">
        <v>416</v>
      </c>
      <c r="E2471" s="6">
        <v>620.96</v>
      </c>
      <c r="F2471" s="1" t="s">
        <v>40</v>
      </c>
      <c r="G2471" s="6">
        <f ca="1">IFERROR(__xludf.DUMMYFUNCTION("iferror(GOOGLEFINANCE(TRIM(F2471)&amp;"":"" &amp; TRIM(B2471), ""price""),0
)"),194.63)</f>
        <v>194.63</v>
      </c>
      <c r="H2471" s="6">
        <v>1569.9</v>
      </c>
      <c r="I2471" s="6">
        <f t="shared" ca="1" si="0"/>
        <v>194.63</v>
      </c>
      <c r="J2471" s="6">
        <f ca="1">IFERROR(__xludf.DUMMYFUNCTION("IFERROR(GOOGLEFINANCE(B2471, ""volume""), 0)"),17683)</f>
        <v>17683</v>
      </c>
      <c r="K2471" s="6">
        <v>1.32</v>
      </c>
      <c r="L2471" s="6">
        <f ca="1">IFERROR(__xludf.DUMMYFUNCTION("IFERROR(GOOGLEFINANCE(B2471,""changepct""),K2471)"),1.27)</f>
        <v>1.27</v>
      </c>
      <c r="M2471" s="6">
        <f ca="1">IFERROR(__xludf.DUMMYFUNCTION("IFERROR(GOOGLEFINANCE(B2471,""change""),0)"),2.44)</f>
        <v>2.44</v>
      </c>
      <c r="N2471" s="6">
        <v>1</v>
      </c>
      <c r="O2471" s="7">
        <v>45536</v>
      </c>
      <c r="P2471" s="9"/>
      <c r="Q2471" s="6">
        <v>615.69000000000005</v>
      </c>
      <c r="R2471" s="7">
        <v>45536</v>
      </c>
      <c r="S2471" s="6">
        <v>204.48</v>
      </c>
      <c r="T2471" s="6">
        <v>29.51</v>
      </c>
      <c r="U2471" s="7">
        <v>45536</v>
      </c>
      <c r="V2471" s="6">
        <v>21.04</v>
      </c>
      <c r="W2471" s="6">
        <f ca="1">IFERROR(__xludf.DUMMYFUNCTION("IFERROR(GOOGLEFINANCE(B2471,""pe""),V2471)"),19.95)</f>
        <v>19.95</v>
      </c>
      <c r="X2471" s="6">
        <v>1.21</v>
      </c>
      <c r="Y2471" s="6">
        <v>2.86</v>
      </c>
      <c r="Z2471" s="6">
        <v>1</v>
      </c>
      <c r="AA2471" s="8">
        <v>45352</v>
      </c>
      <c r="AB2471" s="4">
        <v>0</v>
      </c>
      <c r="AC2471" s="6">
        <v>15.83</v>
      </c>
      <c r="AD2471" s="6">
        <v>21.27</v>
      </c>
      <c r="AE2471" s="1">
        <v>0</v>
      </c>
      <c r="AF2471" s="1">
        <f ca="1">IFERROR(__xludf.DUMMYFUNCTION("IFERROR(GOOGLEFINANCE(TRIM(F2471)&amp;"":"" &amp; TRIM(B2471),""high52""),AE2471)"),337.77)</f>
        <v>337.77</v>
      </c>
      <c r="AG2471" s="1">
        <v>0</v>
      </c>
      <c r="AH2471" s="1">
        <f ca="1">IFERROR(__xludf.DUMMYFUNCTION("IFERROR(GOOGLEFINANCE(TRIM(F2471)&amp;"":"" &amp; TRIM(B2471),""low52""),AE2471)"),189.07)</f>
        <v>189.07</v>
      </c>
      <c r="AI2471" s="1">
        <f ca="1">IFERROR(__xludf.DUMMYFUNCTION("IFERROR(GOOGLEFINANCE(B2471,""eps""),0)"),9.76)</f>
        <v>9.76</v>
      </c>
      <c r="AJ2471" s="1"/>
      <c r="AK2471" s="1" t="s">
        <v>7709</v>
      </c>
      <c r="AL2471" s="9">
        <f t="shared" si="252"/>
        <v>1</v>
      </c>
    </row>
    <row r="2472" spans="1:38" ht="15" x14ac:dyDescent="0.25">
      <c r="A2472" s="1" t="s">
        <v>7710</v>
      </c>
      <c r="B2472" s="1" t="s">
        <v>7711</v>
      </c>
      <c r="C2472" s="1" t="s">
        <v>86</v>
      </c>
      <c r="D2472" s="1" t="s">
        <v>86</v>
      </c>
      <c r="E2472" s="6">
        <v>797.93</v>
      </c>
      <c r="F2472" s="1" t="s">
        <v>40</v>
      </c>
      <c r="G2472" s="6">
        <f ca="1">IFERROR(__xludf.DUMMYFUNCTION("iferror(GOOGLEFINANCE(TRIM(F2472)&amp;"":"" &amp; TRIM(B2472), ""price""),0
)"),25.47)</f>
        <v>25.47</v>
      </c>
      <c r="H2472" s="6">
        <v>65.44</v>
      </c>
      <c r="I2472" s="6">
        <f t="shared" ca="1" si="0"/>
        <v>25.47</v>
      </c>
      <c r="J2472" s="6">
        <f ca="1">IFERROR(__xludf.DUMMYFUNCTION("IFERROR(GOOGLEFINANCE(B2472, ""volume""), 0)"),84008)</f>
        <v>84008</v>
      </c>
      <c r="K2472" s="6">
        <v>-2.08</v>
      </c>
      <c r="L2472" s="6">
        <f ca="1">IFERROR(__xludf.DUMMYFUNCTION("IFERROR(GOOGLEFINANCE(B2472,""changepct""),K2472)"),8.29)</f>
        <v>8.2899999999999991</v>
      </c>
      <c r="M2472" s="6">
        <f ca="1">IFERROR(__xludf.DUMMYFUNCTION("IFERROR(GOOGLEFINANCE(B2472,""change""),0)"),1.95)</f>
        <v>1.95</v>
      </c>
      <c r="N2472" s="6">
        <v>2</v>
      </c>
      <c r="O2472" s="7">
        <v>45536</v>
      </c>
      <c r="P2472" s="6">
        <v>957.06</v>
      </c>
      <c r="Q2472" s="6">
        <v>1711.36</v>
      </c>
      <c r="R2472" s="7">
        <v>45536</v>
      </c>
      <c r="S2472" s="6">
        <v>123.42</v>
      </c>
      <c r="T2472" s="6">
        <v>227.05</v>
      </c>
      <c r="U2472" s="7">
        <v>45536</v>
      </c>
      <c r="V2472" s="6">
        <v>3.51</v>
      </c>
      <c r="W2472" s="6">
        <f ca="1">IFERROR(__xludf.DUMMYFUNCTION("IFERROR(GOOGLEFINANCE(B2472,""pe""),V2472)"),3.51)</f>
        <v>3.51</v>
      </c>
      <c r="X2472" s="12"/>
      <c r="Y2472" s="6">
        <v>0.79</v>
      </c>
      <c r="Z2472" s="6">
        <v>2</v>
      </c>
      <c r="AA2472" s="8">
        <v>45352</v>
      </c>
      <c r="AB2472" s="4">
        <v>1.46</v>
      </c>
      <c r="AC2472" s="6">
        <v>-5.13</v>
      </c>
      <c r="AD2472" s="6">
        <v>6.42</v>
      </c>
      <c r="AE2472" s="1">
        <v>0</v>
      </c>
      <c r="AF2472" s="1">
        <f ca="1">IFERROR(__xludf.DUMMYFUNCTION("IFERROR(GOOGLEFINANCE(TRIM(F2472)&amp;"":"" &amp; TRIM(B2472),""high52""),AE2472)"),57)</f>
        <v>57</v>
      </c>
      <c r="AG2472" s="1">
        <v>0</v>
      </c>
      <c r="AH2472" s="1">
        <f ca="1">IFERROR(__xludf.DUMMYFUNCTION("IFERROR(GOOGLEFINANCE(TRIM(F2472)&amp;"":"" &amp; TRIM(B2472),""low52""),AE2472)"),22.7)</f>
        <v>22.7</v>
      </c>
      <c r="AI2472" s="1">
        <f ca="1">IFERROR(__xludf.DUMMYFUNCTION("IFERROR(GOOGLEFINANCE(B2472,""eps""),0)"),-20.11)</f>
        <v>-20.11</v>
      </c>
      <c r="AJ2472" s="1"/>
      <c r="AK2472" s="1" t="s">
        <v>7712</v>
      </c>
      <c r="AL2472" s="9">
        <f t="shared" si="252"/>
        <v>1</v>
      </c>
    </row>
    <row r="2473" spans="1:38" ht="15" x14ac:dyDescent="0.25">
      <c r="A2473" s="1" t="s">
        <v>7713</v>
      </c>
      <c r="B2473" s="1" t="s">
        <v>7714</v>
      </c>
      <c r="C2473" s="1" t="s">
        <v>1913</v>
      </c>
      <c r="D2473" s="1" t="s">
        <v>1913</v>
      </c>
      <c r="E2473" s="6">
        <v>481.96</v>
      </c>
      <c r="F2473" s="1" t="s">
        <v>40</v>
      </c>
      <c r="G2473" s="6">
        <f ca="1">IFERROR(__xludf.DUMMYFUNCTION("iferror(GOOGLEFINANCE(TRIM(F2473)&amp;"":"" &amp; TRIM(B2473), ""price""),0
)"),41.99)</f>
        <v>41.99</v>
      </c>
      <c r="H2473" s="6">
        <v>45.9</v>
      </c>
      <c r="I2473" s="6">
        <f t="shared" ca="1" si="0"/>
        <v>41.99</v>
      </c>
      <c r="J2473" s="6">
        <f ca="1">IFERROR(__xludf.DUMMYFUNCTION("IFERROR(GOOGLEFINANCE(B2473, ""volume""), 0)"),312280)</f>
        <v>312280</v>
      </c>
      <c r="K2473" s="6">
        <v>-0.52</v>
      </c>
      <c r="L2473" s="6">
        <f ca="1">IFERROR(__xludf.DUMMYFUNCTION("IFERROR(GOOGLEFINANCE(B2473,""changepct""),K2473)"),-0.47)</f>
        <v>-0.47</v>
      </c>
      <c r="M2473" s="6">
        <f ca="1">IFERROR(__xludf.DUMMYFUNCTION("IFERROR(GOOGLEFINANCE(B2473,""change""),0)"),-0.2)</f>
        <v>-0.2</v>
      </c>
      <c r="N2473" s="6">
        <v>2</v>
      </c>
      <c r="O2473" s="7">
        <v>45536</v>
      </c>
      <c r="P2473" s="6">
        <v>1884.11</v>
      </c>
      <c r="Q2473" s="6">
        <v>2351.44</v>
      </c>
      <c r="R2473" s="7">
        <v>45536</v>
      </c>
      <c r="S2473" s="6">
        <v>1192.95</v>
      </c>
      <c r="T2473" s="6">
        <v>-236.2</v>
      </c>
      <c r="U2473" s="7">
        <v>45536</v>
      </c>
      <c r="V2473" s="6">
        <v>0</v>
      </c>
      <c r="W2473" s="6">
        <f ca="1">IFERROR(__xludf.DUMMYFUNCTION("IFERROR(GOOGLEFINANCE(B2473,""pe""),V2473)"),0)</f>
        <v>0</v>
      </c>
      <c r="X2473" s="9"/>
      <c r="Y2473" s="6">
        <v>5.98</v>
      </c>
      <c r="Z2473" s="6">
        <v>2</v>
      </c>
      <c r="AA2473" s="8">
        <v>45352</v>
      </c>
      <c r="AB2473" s="4">
        <v>-1970.69</v>
      </c>
      <c r="AC2473" s="6">
        <v>-203.61</v>
      </c>
      <c r="AD2473" s="6">
        <v>-7.61</v>
      </c>
      <c r="AE2473" s="1">
        <v>0</v>
      </c>
      <c r="AF2473" s="1">
        <f ca="1">IFERROR(__xludf.DUMMYFUNCTION("IFERROR(GOOGLEFINANCE(TRIM(F2473)&amp;"":"" &amp; TRIM(B2473),""high52""),AE2473)"),68.47)</f>
        <v>68.47</v>
      </c>
      <c r="AG2473" s="1">
        <v>0</v>
      </c>
      <c r="AH2473" s="1">
        <f ca="1">IFERROR(__xludf.DUMMYFUNCTION("IFERROR(GOOGLEFINANCE(TRIM(F2473)&amp;"":"" &amp; TRIM(B2473),""low52""),AE2473)"),27.6)</f>
        <v>27.6</v>
      </c>
      <c r="AI2473" s="1">
        <f ca="1">IFERROR(__xludf.DUMMYFUNCTION("IFERROR(GOOGLEFINANCE(B2473,""eps""),0)"),-26.3)</f>
        <v>-26.3</v>
      </c>
      <c r="AJ2473" s="1"/>
      <c r="AK2473" s="9"/>
      <c r="AL2473" s="9">
        <f t="shared" si="252"/>
        <v>1</v>
      </c>
    </row>
    <row r="2474" spans="1:38" ht="15" x14ac:dyDescent="0.25">
      <c r="A2474" s="1" t="s">
        <v>7715</v>
      </c>
      <c r="B2474" s="1" t="s">
        <v>7716</v>
      </c>
      <c r="C2474" s="1" t="s">
        <v>151</v>
      </c>
      <c r="D2474" s="1" t="s">
        <v>151</v>
      </c>
      <c r="E2474" s="6">
        <v>23.06</v>
      </c>
      <c r="F2474" s="1" t="s">
        <v>53</v>
      </c>
      <c r="G2474" s="6">
        <f ca="1">IFERROR(__xludf.DUMMYFUNCTION("iferror(GOOGLEFINANCE(TRIM(F2474)&amp;"":"" &amp; TRIM(B2474), ""price""),0
)"),0)</f>
        <v>0</v>
      </c>
      <c r="H2474" s="6">
        <v>40</v>
      </c>
      <c r="I2474" s="6">
        <f t="shared" ca="1" si="0"/>
        <v>40</v>
      </c>
      <c r="J2474" s="6">
        <f ca="1">IFERROR(__xludf.DUMMYFUNCTION("IFERROR(GOOGLEFINANCE(B2474, ""volume""), 0)"),0)</f>
        <v>0</v>
      </c>
      <c r="K2474" s="6">
        <v>5.79</v>
      </c>
      <c r="L2474" s="6">
        <f ca="1">IFERROR(__xludf.DUMMYFUNCTION("IFERROR(GOOGLEFINANCE(B2474,""changepct""),K2474)"),5.79)</f>
        <v>5.79</v>
      </c>
      <c r="M2474" s="6">
        <f ca="1">IFERROR(__xludf.DUMMYFUNCTION("IFERROR(GOOGLEFINANCE(B2474,""change""),0)"),0)</f>
        <v>0</v>
      </c>
      <c r="N2474" s="6">
        <v>1</v>
      </c>
      <c r="O2474" s="7">
        <v>45536</v>
      </c>
      <c r="P2474" s="6">
        <v>6.66</v>
      </c>
      <c r="Q2474" s="6">
        <v>29.72</v>
      </c>
      <c r="R2474" s="7">
        <v>45536</v>
      </c>
      <c r="S2474" s="6">
        <v>27.02</v>
      </c>
      <c r="T2474" s="6">
        <v>-10.6</v>
      </c>
      <c r="U2474" s="7">
        <v>45536</v>
      </c>
      <c r="V2474" s="6">
        <v>0</v>
      </c>
      <c r="W2474" s="6">
        <f ca="1">IFERROR(__xludf.DUMMYFUNCTION("IFERROR(GOOGLEFINANCE(B2474,""pe""),V2474)"),0)</f>
        <v>0</v>
      </c>
      <c r="X2474" s="9"/>
      <c r="Y2474" s="6">
        <v>5.42</v>
      </c>
      <c r="Z2474" s="6">
        <v>1</v>
      </c>
      <c r="AA2474" s="8">
        <v>45352</v>
      </c>
      <c r="AB2474" s="4">
        <v>1.34</v>
      </c>
      <c r="AC2474" s="6">
        <v>-115.59</v>
      </c>
      <c r="AD2474" s="6">
        <v>-71.63</v>
      </c>
      <c r="AE2474" s="1">
        <v>0</v>
      </c>
      <c r="AF2474" s="1">
        <f ca="1">IFERROR(__xludf.DUMMYFUNCTION("IFERROR(GOOGLEFINANCE(TRIM(F2474)&amp;"":"" &amp; TRIM(B2474),""high52""),AE2474)"),0)</f>
        <v>0</v>
      </c>
      <c r="AG2474" s="1">
        <v>0</v>
      </c>
      <c r="AH2474" s="1">
        <f ca="1">IFERROR(__xludf.DUMMYFUNCTION("IFERROR(GOOGLEFINANCE(TRIM(F2474)&amp;"":"" &amp; TRIM(B2474),""low52""),AE2474)"),0)</f>
        <v>0</v>
      </c>
      <c r="AI2474" s="1">
        <f ca="1">IFERROR(__xludf.DUMMYFUNCTION("IFERROR(GOOGLEFINANCE(B2474,""eps""),0)"),0)</f>
        <v>0</v>
      </c>
      <c r="AJ2474" s="1"/>
      <c r="AK2474" s="1" t="s">
        <v>7717</v>
      </c>
      <c r="AL2474" s="9">
        <f t="shared" si="252"/>
        <v>1</v>
      </c>
    </row>
    <row r="2475" spans="1:38" ht="15" x14ac:dyDescent="0.25">
      <c r="A2475" s="1" t="s">
        <v>7718</v>
      </c>
      <c r="B2475" s="1" t="s">
        <v>7719</v>
      </c>
      <c r="C2475" s="1" t="s">
        <v>86</v>
      </c>
      <c r="D2475" s="1" t="s">
        <v>86</v>
      </c>
      <c r="E2475" s="6">
        <v>93.73</v>
      </c>
      <c r="F2475" s="1" t="s">
        <v>40</v>
      </c>
      <c r="G2475" s="6">
        <f ca="1">IFERROR(__xludf.DUMMYFUNCTION("iferror(GOOGLEFINANCE(TRIM(F2475)&amp;"":"" &amp; TRIM(B2475), ""price""),0
)"),0)</f>
        <v>0</v>
      </c>
      <c r="H2475" s="6">
        <v>4.5</v>
      </c>
      <c r="I2475" s="6">
        <f t="shared" ca="1" si="0"/>
        <v>4.5</v>
      </c>
      <c r="J2475" s="6">
        <f ca="1">IFERROR(__xludf.DUMMYFUNCTION("IFERROR(GOOGLEFINANCE(B2475, ""volume""), 0)"),0)</f>
        <v>0</v>
      </c>
      <c r="K2475" s="6">
        <v>0.67</v>
      </c>
      <c r="L2475" s="6">
        <f ca="1">IFERROR(__xludf.DUMMYFUNCTION("IFERROR(GOOGLEFINANCE(B2475,""changepct""),K2475)"),0.67)</f>
        <v>0.67</v>
      </c>
      <c r="M2475" s="6">
        <f ca="1">IFERROR(__xludf.DUMMYFUNCTION("IFERROR(GOOGLEFINANCE(B2475,""change""),0)"),0)</f>
        <v>0</v>
      </c>
      <c r="N2475" s="6">
        <v>2</v>
      </c>
      <c r="O2475" s="7">
        <v>45536</v>
      </c>
      <c r="P2475" s="6">
        <v>3106.25</v>
      </c>
      <c r="Q2475" s="6">
        <v>3174.78</v>
      </c>
      <c r="R2475" s="7">
        <v>45536</v>
      </c>
      <c r="S2475" s="6">
        <v>133.4</v>
      </c>
      <c r="T2475" s="6">
        <v>-895.08</v>
      </c>
      <c r="U2475" s="7">
        <v>45536</v>
      </c>
      <c r="V2475" s="6">
        <v>0</v>
      </c>
      <c r="W2475" s="6">
        <f ca="1">IFERROR(__xludf.DUMMYFUNCTION("IFERROR(GOOGLEFINANCE(B2475,""pe""),V2475)"),0)</f>
        <v>0</v>
      </c>
      <c r="X2475" s="6">
        <v>0</v>
      </c>
      <c r="Y2475" s="6">
        <v>-0.02</v>
      </c>
      <c r="Z2475" s="6">
        <v>2</v>
      </c>
      <c r="AA2475" s="8">
        <v>45352</v>
      </c>
      <c r="AB2475" s="4">
        <v>-0.74</v>
      </c>
      <c r="AC2475" s="6">
        <v>0</v>
      </c>
      <c r="AD2475" s="6">
        <v>0</v>
      </c>
      <c r="AE2475" s="1">
        <v>0</v>
      </c>
      <c r="AF2475" s="1">
        <f ca="1">IFERROR(__xludf.DUMMYFUNCTION("IFERROR(GOOGLEFINANCE(TRIM(F2475)&amp;"":"" &amp; TRIM(B2475),""high52""),AE2475)"),0)</f>
        <v>0</v>
      </c>
      <c r="AG2475" s="1">
        <v>0</v>
      </c>
      <c r="AH2475" s="1">
        <f ca="1">IFERROR(__xludf.DUMMYFUNCTION("IFERROR(GOOGLEFINANCE(TRIM(F2475)&amp;"":"" &amp; TRIM(B2475),""low52""),AE2475)"),0)</f>
        <v>0</v>
      </c>
      <c r="AI2475" s="1">
        <f ca="1">IFERROR(__xludf.DUMMYFUNCTION("IFERROR(GOOGLEFINANCE(B2475,""eps""),0)"),0)</f>
        <v>0</v>
      </c>
      <c r="AJ2475" s="1"/>
      <c r="AK2475" s="1" t="s">
        <v>7720</v>
      </c>
      <c r="AL2475" s="9">
        <f t="shared" si="252"/>
        <v>1</v>
      </c>
    </row>
    <row r="2476" spans="1:38" ht="15" x14ac:dyDescent="0.25">
      <c r="A2476" s="1" t="s">
        <v>7721</v>
      </c>
      <c r="B2476" s="1" t="s">
        <v>7722</v>
      </c>
      <c r="C2476" s="1" t="s">
        <v>135</v>
      </c>
      <c r="D2476" s="1" t="s">
        <v>135</v>
      </c>
      <c r="E2476" s="6">
        <v>150.08000000000001</v>
      </c>
      <c r="F2476" s="1" t="s">
        <v>40</v>
      </c>
      <c r="G2476" s="6">
        <f ca="1">IFERROR(__xludf.DUMMYFUNCTION("iferror(GOOGLEFINANCE(TRIM(F2476)&amp;"":"" &amp; TRIM(B2476), ""price""),0
)"),0)</f>
        <v>0</v>
      </c>
      <c r="H2476" s="6">
        <v>207</v>
      </c>
      <c r="I2476" s="6">
        <f t="shared" ca="1" si="0"/>
        <v>207</v>
      </c>
      <c r="J2476" s="6">
        <f ca="1">IFERROR(__xludf.DUMMYFUNCTION("IFERROR(GOOGLEFINANCE(B2476, ""volume""), 0)"),6564)</f>
        <v>6564</v>
      </c>
      <c r="K2476" s="6">
        <v>1</v>
      </c>
      <c r="L2476" s="6">
        <f ca="1">IFERROR(__xludf.DUMMYFUNCTION("IFERROR(GOOGLEFINANCE(B2476,""changepct""),K2476)"),-2.43)</f>
        <v>-2.4300000000000002</v>
      </c>
      <c r="M2476" s="6">
        <f ca="1">IFERROR(__xludf.DUMMYFUNCTION("IFERROR(GOOGLEFINANCE(B2476,""change""),0)"),-1.12)</f>
        <v>-1.1200000000000001</v>
      </c>
      <c r="N2476" s="6">
        <v>1</v>
      </c>
      <c r="O2476" s="7">
        <v>45536</v>
      </c>
      <c r="P2476" s="6">
        <v>20.85</v>
      </c>
      <c r="Q2476" s="6">
        <v>170.93</v>
      </c>
      <c r="R2476" s="7">
        <v>45352</v>
      </c>
      <c r="S2476" s="6">
        <v>42.13</v>
      </c>
      <c r="T2476" s="6">
        <v>2.2400000000000002</v>
      </c>
      <c r="U2476" s="7">
        <v>45352</v>
      </c>
      <c r="V2476" s="6">
        <v>66.959999999999994</v>
      </c>
      <c r="W2476" s="6">
        <f ca="1">IFERROR(__xludf.DUMMYFUNCTION("IFERROR(GOOGLEFINANCE(B2476,""pe""),V2476)"),66.96)</f>
        <v>66.959999999999994</v>
      </c>
      <c r="X2476" s="9"/>
      <c r="Y2476" s="6">
        <v>4.74</v>
      </c>
      <c r="Z2476" s="6">
        <v>1</v>
      </c>
      <c r="AA2476" s="8">
        <v>45352</v>
      </c>
      <c r="AB2476" s="4">
        <v>1.02</v>
      </c>
      <c r="AC2476" s="6">
        <v>15.44</v>
      </c>
      <c r="AD2476" s="6">
        <v>17.38</v>
      </c>
      <c r="AE2476" s="1">
        <v>0</v>
      </c>
      <c r="AF2476" s="1">
        <f ca="1">IFERROR(__xludf.DUMMYFUNCTION("IFERROR(GOOGLEFINANCE(TRIM(F2476)&amp;"":"" &amp; TRIM(B2476),""high52""),AE2476)"),0)</f>
        <v>0</v>
      </c>
      <c r="AG2476" s="1">
        <v>0</v>
      </c>
      <c r="AH2476" s="1">
        <f ca="1">IFERROR(__xludf.DUMMYFUNCTION("IFERROR(GOOGLEFINANCE(TRIM(F2476)&amp;"":"" &amp; TRIM(B2476),""low52""),AE2476)"),0)</f>
        <v>0</v>
      </c>
      <c r="AI2476" s="1">
        <f ca="1">IFERROR(__xludf.DUMMYFUNCTION("IFERROR(GOOGLEFINANCE(B2476,""eps""),0)"),0)</f>
        <v>0</v>
      </c>
      <c r="AJ2476" s="1"/>
      <c r="AK2476" s="9"/>
      <c r="AL2476" s="1" t="b">
        <f>ISBLANK(AB2476)</f>
        <v>0</v>
      </c>
    </row>
    <row r="2477" spans="1:38" ht="15" x14ac:dyDescent="0.25">
      <c r="A2477" s="1" t="s">
        <v>7723</v>
      </c>
      <c r="B2477" s="1" t="s">
        <v>7724</v>
      </c>
      <c r="C2477" s="1" t="s">
        <v>151</v>
      </c>
      <c r="D2477" s="1" t="s">
        <v>151</v>
      </c>
      <c r="E2477" s="6">
        <v>102.3</v>
      </c>
      <c r="F2477" s="1" t="s">
        <v>53</v>
      </c>
      <c r="G2477" s="6">
        <f ca="1">IFERROR(__xludf.DUMMYFUNCTION("iferror(GOOGLEFINANCE(TRIM(F2477)&amp;"":"" &amp; TRIM(B2477), ""price""),0
)"),0)</f>
        <v>0</v>
      </c>
      <c r="H2477" s="6">
        <v>50.01</v>
      </c>
      <c r="I2477" s="6">
        <f t="shared" ca="1" si="0"/>
        <v>50.01</v>
      </c>
      <c r="J2477" s="6">
        <f ca="1">IFERROR(__xludf.DUMMYFUNCTION("IFERROR(GOOGLEFINANCE(B2477, ""volume""), 0)"),0)</f>
        <v>0</v>
      </c>
      <c r="K2477" s="6">
        <v>-5.28</v>
      </c>
      <c r="L2477" s="6">
        <f ca="1">IFERROR(__xludf.DUMMYFUNCTION("IFERROR(GOOGLEFINANCE(B2477,""changepct""),K2477)"),-5.28)</f>
        <v>-5.28</v>
      </c>
      <c r="M2477" s="6">
        <f ca="1">IFERROR(__xludf.DUMMYFUNCTION("IFERROR(GOOGLEFINANCE(B2477,""change""),0)"),0)</f>
        <v>0</v>
      </c>
      <c r="N2477" s="6">
        <v>2</v>
      </c>
      <c r="O2477" s="7">
        <v>45536</v>
      </c>
      <c r="P2477" s="6">
        <v>79.62</v>
      </c>
      <c r="Q2477" s="6">
        <v>176.23</v>
      </c>
      <c r="R2477" s="7">
        <v>45536</v>
      </c>
      <c r="S2477" s="6">
        <v>370.3</v>
      </c>
      <c r="T2477" s="6">
        <v>2.4</v>
      </c>
      <c r="U2477" s="7">
        <v>45536</v>
      </c>
      <c r="V2477" s="6">
        <v>42.75</v>
      </c>
      <c r="W2477" s="6">
        <f ca="1">IFERROR(__xludf.DUMMYFUNCTION("IFERROR(GOOGLEFINANCE(B2477,""pe""),V2477)"),42.75)</f>
        <v>42.75</v>
      </c>
      <c r="X2477" s="6">
        <v>1.46</v>
      </c>
      <c r="Y2477" s="6">
        <v>3.13</v>
      </c>
      <c r="Z2477" s="6">
        <v>2</v>
      </c>
      <c r="AA2477" s="8">
        <v>45352</v>
      </c>
      <c r="AB2477" s="4">
        <v>2.69</v>
      </c>
      <c r="AC2477" s="6">
        <v>13.39</v>
      </c>
      <c r="AD2477" s="6">
        <v>8.14</v>
      </c>
      <c r="AE2477" s="1">
        <v>0</v>
      </c>
      <c r="AF2477" s="1">
        <f ca="1">IFERROR(__xludf.DUMMYFUNCTION("IFERROR(GOOGLEFINANCE(TRIM(F2477)&amp;"":"" &amp; TRIM(B2477),""high52""),AE2477)"),0)</f>
        <v>0</v>
      </c>
      <c r="AG2477" s="1">
        <v>0</v>
      </c>
      <c r="AH2477" s="1">
        <f ca="1">IFERROR(__xludf.DUMMYFUNCTION("IFERROR(GOOGLEFINANCE(TRIM(F2477)&amp;"":"" &amp; TRIM(B2477),""low52""),AE2477)"),0)</f>
        <v>0</v>
      </c>
      <c r="AI2477" s="1">
        <f ca="1">IFERROR(__xludf.DUMMYFUNCTION("IFERROR(GOOGLEFINANCE(B2477,""eps""),0)"),0)</f>
        <v>0</v>
      </c>
      <c r="AJ2477" s="1"/>
      <c r="AK2477" s="1" t="s">
        <v>7725</v>
      </c>
      <c r="AL2477" s="9">
        <f t="shared" ref="AL2477:AL2480" si="253">IF(AA2477&lt;&gt;AB2477,1,0)</f>
        <v>1</v>
      </c>
    </row>
    <row r="2478" spans="1:38" ht="15" x14ac:dyDescent="0.25">
      <c r="A2478" s="1" t="s">
        <v>7726</v>
      </c>
      <c r="B2478" s="1" t="s">
        <v>7727</v>
      </c>
      <c r="C2478" s="1" t="s">
        <v>151</v>
      </c>
      <c r="D2478" s="1" t="s">
        <v>151</v>
      </c>
      <c r="E2478" s="6">
        <v>20.29</v>
      </c>
      <c r="F2478" s="1" t="s">
        <v>53</v>
      </c>
      <c r="G2478" s="6">
        <f ca="1">IFERROR(__xludf.DUMMYFUNCTION("iferror(GOOGLEFINANCE(TRIM(F2478)&amp;"":"" &amp; TRIM(B2478), ""price""),0
)"),0)</f>
        <v>0</v>
      </c>
      <c r="H2478" s="6">
        <v>324.64999999999998</v>
      </c>
      <c r="I2478" s="6">
        <f t="shared" ca="1" si="0"/>
        <v>324.64999999999998</v>
      </c>
      <c r="J2478" s="6">
        <f ca="1">IFERROR(__xludf.DUMMYFUNCTION("IFERROR(GOOGLEFINANCE(B2478, ""volume""), 0)"),0)</f>
        <v>0</v>
      </c>
      <c r="K2478" s="12"/>
      <c r="L2478" s="6" t="str">
        <f ca="1">IFERROR(__xludf.DUMMYFUNCTION("IFERROR(GOOGLEFINANCE(B2478,""changepct""),K2478)"),"")</f>
        <v/>
      </c>
      <c r="M2478" s="6">
        <f ca="1">IFERROR(__xludf.DUMMYFUNCTION("IFERROR(GOOGLEFINANCE(B2478,""change""),0)"),0)</f>
        <v>0</v>
      </c>
      <c r="N2478" s="6">
        <v>2</v>
      </c>
      <c r="O2478" s="7">
        <v>45536</v>
      </c>
      <c r="P2478" s="6">
        <v>0.73</v>
      </c>
      <c r="Q2478" s="6">
        <v>21.03</v>
      </c>
      <c r="R2478" s="7">
        <v>45536</v>
      </c>
      <c r="S2478" s="6">
        <v>4.26</v>
      </c>
      <c r="T2478" s="6">
        <v>0.08</v>
      </c>
      <c r="U2478" s="7">
        <v>45536</v>
      </c>
      <c r="V2478" s="6">
        <v>256.83999999999997</v>
      </c>
      <c r="W2478" s="6">
        <f ca="1">IFERROR(__xludf.DUMMYFUNCTION("IFERROR(GOOGLEFINANCE(B2478,""pe""),V2478)"),256.84)</f>
        <v>256.83999999999997</v>
      </c>
      <c r="X2478" s="6">
        <v>24.03</v>
      </c>
      <c r="Y2478" s="6">
        <v>-13.8</v>
      </c>
      <c r="Z2478" s="6">
        <v>2</v>
      </c>
      <c r="AA2478" s="8">
        <v>45352</v>
      </c>
      <c r="AB2478" s="4">
        <v>-0.59</v>
      </c>
      <c r="AC2478" s="6">
        <v>0</v>
      </c>
      <c r="AD2478" s="6">
        <v>0</v>
      </c>
      <c r="AE2478" s="1">
        <v>0</v>
      </c>
      <c r="AF2478" s="1">
        <f ca="1">IFERROR(__xludf.DUMMYFUNCTION("IFERROR(GOOGLEFINANCE(TRIM(F2478)&amp;"":"" &amp; TRIM(B2478),""high52""),AE2478)"),0)</f>
        <v>0</v>
      </c>
      <c r="AG2478" s="1">
        <v>0</v>
      </c>
      <c r="AH2478" s="1">
        <f ca="1">IFERROR(__xludf.DUMMYFUNCTION("IFERROR(GOOGLEFINANCE(TRIM(F2478)&amp;"":"" &amp; TRIM(B2478),""low52""),AE2478)"),0)</f>
        <v>0</v>
      </c>
      <c r="AI2478" s="1">
        <f ca="1">IFERROR(__xludf.DUMMYFUNCTION("IFERROR(GOOGLEFINANCE(B2478,""eps""),0)"),0)</f>
        <v>0</v>
      </c>
      <c r="AJ2478" s="1"/>
      <c r="AK2478" s="9"/>
      <c r="AL2478" s="9">
        <f t="shared" si="253"/>
        <v>1</v>
      </c>
    </row>
    <row r="2479" spans="1:38" ht="15" x14ac:dyDescent="0.25">
      <c r="A2479" s="1" t="s">
        <v>7728</v>
      </c>
      <c r="B2479" s="1" t="s">
        <v>7729</v>
      </c>
      <c r="C2479" s="1" t="s">
        <v>151</v>
      </c>
      <c r="D2479" s="1" t="s">
        <v>151</v>
      </c>
      <c r="E2479" s="6">
        <v>23.91</v>
      </c>
      <c r="F2479" s="1" t="s">
        <v>53</v>
      </c>
      <c r="G2479" s="6">
        <f ca="1">IFERROR(__xludf.DUMMYFUNCTION("iferror(GOOGLEFINANCE(TRIM(F2479)&amp;"":"" &amp; TRIM(B2479), ""price""),0
)"),0)</f>
        <v>0</v>
      </c>
      <c r="H2479" s="6">
        <v>48.5</v>
      </c>
      <c r="I2479" s="6">
        <f t="shared" ca="1" si="0"/>
        <v>48.5</v>
      </c>
      <c r="J2479" s="6">
        <f ca="1">IFERROR(__xludf.DUMMYFUNCTION("IFERROR(GOOGLEFINANCE(B2479, ""volume""), 0)"),0)</f>
        <v>0</v>
      </c>
      <c r="K2479" s="6">
        <v>-1.5</v>
      </c>
      <c r="L2479" s="6">
        <f ca="1">IFERROR(__xludf.DUMMYFUNCTION("IFERROR(GOOGLEFINANCE(B2479,""changepct""),K2479)"),-1.5)</f>
        <v>-1.5</v>
      </c>
      <c r="M2479" s="6">
        <f ca="1">IFERROR(__xludf.DUMMYFUNCTION("IFERROR(GOOGLEFINANCE(B2479,""change""),0)"),0)</f>
        <v>0</v>
      </c>
      <c r="N2479" s="6">
        <v>1</v>
      </c>
      <c r="O2479" s="7">
        <v>45536</v>
      </c>
      <c r="P2479" s="6">
        <v>12.13</v>
      </c>
      <c r="Q2479" s="6">
        <v>34.58</v>
      </c>
      <c r="R2479" s="7">
        <v>45536</v>
      </c>
      <c r="S2479" s="6">
        <v>20.22</v>
      </c>
      <c r="T2479" s="6">
        <v>-0.15</v>
      </c>
      <c r="U2479" s="7">
        <v>45536</v>
      </c>
      <c r="V2479" s="6">
        <v>0</v>
      </c>
      <c r="W2479" s="6">
        <f ca="1">IFERROR(__xludf.DUMMYFUNCTION("IFERROR(GOOGLEFINANCE(B2479,""pe""),V2479)"),0)</f>
        <v>0</v>
      </c>
      <c r="X2479" s="6">
        <v>0</v>
      </c>
      <c r="Y2479" s="6">
        <v>1.17</v>
      </c>
      <c r="Z2479" s="6">
        <v>1</v>
      </c>
      <c r="AA2479" s="17">
        <v>45352</v>
      </c>
      <c r="AB2479" s="18">
        <v>0.6</v>
      </c>
      <c r="AC2479" s="6">
        <v>0.11</v>
      </c>
      <c r="AD2479" s="6">
        <v>5.62</v>
      </c>
      <c r="AE2479" s="1">
        <v>0</v>
      </c>
      <c r="AF2479" s="1">
        <f ca="1">IFERROR(__xludf.DUMMYFUNCTION("IFERROR(GOOGLEFINANCE(TRIM(F2479)&amp;"":"" &amp; TRIM(B2479),""high52""),AE2479)"),0)</f>
        <v>0</v>
      </c>
      <c r="AG2479" s="1">
        <v>0</v>
      </c>
      <c r="AH2479" s="1">
        <f ca="1">IFERROR(__xludf.DUMMYFUNCTION("IFERROR(GOOGLEFINANCE(TRIM(F2479)&amp;"":"" &amp; TRIM(B2479),""low52""),AE2479)"),0)</f>
        <v>0</v>
      </c>
      <c r="AI2479" s="1">
        <f ca="1">IFERROR(__xludf.DUMMYFUNCTION("IFERROR(GOOGLEFINANCE(B2479,""eps""),0)"),0)</f>
        <v>0</v>
      </c>
      <c r="AJ2479" s="1"/>
      <c r="AK2479" s="9"/>
      <c r="AL2479" s="9">
        <f t="shared" si="253"/>
        <v>1</v>
      </c>
    </row>
    <row r="2480" spans="1:38" ht="15" x14ac:dyDescent="0.25">
      <c r="A2480" s="1" t="s">
        <v>7730</v>
      </c>
      <c r="B2480" s="1" t="s">
        <v>7731</v>
      </c>
      <c r="C2480" s="1" t="s">
        <v>151</v>
      </c>
      <c r="D2480" s="1" t="s">
        <v>151</v>
      </c>
      <c r="E2480" s="6">
        <v>156.74</v>
      </c>
      <c r="F2480" s="1" t="s">
        <v>53</v>
      </c>
      <c r="G2480" s="6">
        <f ca="1">IFERROR(__xludf.DUMMYFUNCTION("iferror(GOOGLEFINANCE(TRIM(F2480)&amp;"":"" &amp; TRIM(B2480), ""price""),0
)"),0)</f>
        <v>0</v>
      </c>
      <c r="H2480" s="6">
        <v>592</v>
      </c>
      <c r="I2480" s="6">
        <f t="shared" ca="1" si="0"/>
        <v>592</v>
      </c>
      <c r="J2480" s="6">
        <f ca="1">IFERROR(__xludf.DUMMYFUNCTION("IFERROR(GOOGLEFINANCE(B2480, ""volume""), 0)"),0)</f>
        <v>0</v>
      </c>
      <c r="K2480" s="6">
        <v>-0.05</v>
      </c>
      <c r="L2480" s="6">
        <f ca="1">IFERROR(__xludf.DUMMYFUNCTION("IFERROR(GOOGLEFINANCE(B2480,""changepct""),K2480)"),-0.05)</f>
        <v>-0.05</v>
      </c>
      <c r="M2480" s="6">
        <f ca="1">IFERROR(__xludf.DUMMYFUNCTION("IFERROR(GOOGLEFINANCE(B2480,""change""),0)"),0)</f>
        <v>0</v>
      </c>
      <c r="N2480" s="6">
        <v>1</v>
      </c>
      <c r="O2480" s="7">
        <v>45536</v>
      </c>
      <c r="P2480" s="6">
        <v>4.3</v>
      </c>
      <c r="Q2480" s="6">
        <v>158.27000000000001</v>
      </c>
      <c r="R2480" s="7">
        <v>45536</v>
      </c>
      <c r="S2480" s="6">
        <v>135.13</v>
      </c>
      <c r="T2480" s="6">
        <v>11.52</v>
      </c>
      <c r="U2480" s="7">
        <v>45536</v>
      </c>
      <c r="V2480" s="6">
        <v>13.61</v>
      </c>
      <c r="W2480" s="6">
        <f ca="1">IFERROR(__xludf.DUMMYFUNCTION("IFERROR(GOOGLEFINANCE(B2480,""pe""),V2480)"),13.61)</f>
        <v>13.61</v>
      </c>
      <c r="X2480" s="6">
        <v>0.46</v>
      </c>
      <c r="Y2480" s="6">
        <v>3.39</v>
      </c>
      <c r="Z2480" s="6">
        <v>1</v>
      </c>
      <c r="AA2480" s="8">
        <v>45352</v>
      </c>
      <c r="AB2480" s="4">
        <v>0.02</v>
      </c>
      <c r="AC2480" s="6">
        <v>29.56</v>
      </c>
      <c r="AD2480" s="6">
        <v>35.14</v>
      </c>
      <c r="AE2480" s="1">
        <v>0</v>
      </c>
      <c r="AF2480" s="1">
        <f ca="1">IFERROR(__xludf.DUMMYFUNCTION("IFERROR(GOOGLEFINANCE(TRIM(F2480)&amp;"":"" &amp; TRIM(B2480),""high52""),AE2480)"),0)</f>
        <v>0</v>
      </c>
      <c r="AG2480" s="1">
        <v>0</v>
      </c>
      <c r="AH2480" s="1">
        <f ca="1">IFERROR(__xludf.DUMMYFUNCTION("IFERROR(GOOGLEFINANCE(TRIM(F2480)&amp;"":"" &amp; TRIM(B2480),""low52""),AE2480)"),0)</f>
        <v>0</v>
      </c>
      <c r="AI2480" s="1">
        <f ca="1">IFERROR(__xludf.DUMMYFUNCTION("IFERROR(GOOGLEFINANCE(B2480,""eps""),0)"),0)</f>
        <v>0</v>
      </c>
      <c r="AJ2480" s="1"/>
      <c r="AK2480" s="9"/>
      <c r="AL2480" s="9">
        <f t="shared" si="253"/>
        <v>1</v>
      </c>
    </row>
    <row r="2481" spans="1:38" ht="15" x14ac:dyDescent="0.25">
      <c r="A2481" s="1" t="s">
        <v>7732</v>
      </c>
      <c r="B2481" s="1" t="s">
        <v>7733</v>
      </c>
      <c r="C2481" s="1" t="s">
        <v>223</v>
      </c>
      <c r="D2481" s="1" t="s">
        <v>223</v>
      </c>
      <c r="E2481" s="6">
        <v>4289.38</v>
      </c>
      <c r="F2481" s="1" t="s">
        <v>40</v>
      </c>
      <c r="G2481" s="6">
        <f ca="1">IFERROR(__xludf.DUMMYFUNCTION("iferror(GOOGLEFINANCE(TRIM(F2481)&amp;"":"" &amp; TRIM(B2481), ""price""),0
)"),390.15)</f>
        <v>390.15</v>
      </c>
      <c r="H2481" s="6">
        <v>609.6</v>
      </c>
      <c r="I2481" s="6">
        <f t="shared" ca="1" si="0"/>
        <v>390.15</v>
      </c>
      <c r="J2481" s="6">
        <f ca="1">IFERROR(__xludf.DUMMYFUNCTION("IFERROR(GOOGLEFINANCE(B2481, ""volume""), 0)"),96372)</f>
        <v>96372</v>
      </c>
      <c r="K2481" s="6">
        <v>0.16</v>
      </c>
      <c r="L2481" s="6">
        <f ca="1">IFERROR(__xludf.DUMMYFUNCTION("IFERROR(GOOGLEFINANCE(B2481,""changepct""),K2481)"),-2.85)</f>
        <v>-2.85</v>
      </c>
      <c r="M2481" s="6">
        <f ca="1">IFERROR(__xludf.DUMMYFUNCTION("IFERROR(GOOGLEFINANCE(B2481,""change""),0)"),-11.45)</f>
        <v>-11.45</v>
      </c>
      <c r="N2481" s="6">
        <v>2</v>
      </c>
      <c r="O2481" s="7">
        <v>45536</v>
      </c>
      <c r="P2481" s="9"/>
      <c r="Q2481" s="6">
        <v>4041.25</v>
      </c>
      <c r="R2481" s="7">
        <v>45536</v>
      </c>
      <c r="S2481" s="6">
        <v>681.24</v>
      </c>
      <c r="T2481" s="6">
        <v>87.07</v>
      </c>
      <c r="U2481" s="7">
        <v>45536</v>
      </c>
      <c r="V2481" s="6">
        <v>50.19</v>
      </c>
      <c r="W2481" s="6">
        <f ca="1">IFERROR(__xludf.DUMMYFUNCTION("IFERROR(GOOGLEFINANCE(B2481,""pe""),V2481)"),33.9)</f>
        <v>33.9</v>
      </c>
      <c r="X2481" s="9"/>
      <c r="Y2481" s="6">
        <v>8.7799999999999994</v>
      </c>
      <c r="Z2481" s="6">
        <v>2</v>
      </c>
      <c r="AA2481" s="8">
        <v>45352</v>
      </c>
      <c r="AB2481" s="4">
        <v>0</v>
      </c>
      <c r="AC2481" s="6">
        <v>17.21</v>
      </c>
      <c r="AD2481" s="6">
        <v>20.64</v>
      </c>
      <c r="AE2481" s="1">
        <v>0</v>
      </c>
      <c r="AF2481" s="1">
        <f ca="1">IFERROR(__xludf.DUMMYFUNCTION("IFERROR(GOOGLEFINANCE(TRIM(F2481)&amp;"":"" &amp; TRIM(B2481),""high52""),AE2481)"),594.1)</f>
        <v>594.1</v>
      </c>
      <c r="AG2481" s="1">
        <v>0</v>
      </c>
      <c r="AH2481" s="1">
        <f ca="1">IFERROR(__xludf.DUMMYFUNCTION("IFERROR(GOOGLEFINANCE(TRIM(F2481)&amp;"":"" &amp; TRIM(B2481),""low52""),AE2481)"),387.3)</f>
        <v>387.3</v>
      </c>
      <c r="AI2481" s="1">
        <f ca="1">IFERROR(__xludf.DUMMYFUNCTION("IFERROR(GOOGLEFINANCE(B2481,""eps""),0)"),11.51)</f>
        <v>11.51</v>
      </c>
      <c r="AJ2481" s="1"/>
      <c r="AK2481" s="1" t="s">
        <v>7734</v>
      </c>
      <c r="AL2481" s="1" t="b">
        <f>ISNUMBER(AA2481)</f>
        <v>1</v>
      </c>
    </row>
    <row r="2482" spans="1:38" ht="15" x14ac:dyDescent="0.25">
      <c r="A2482" s="1" t="s">
        <v>7735</v>
      </c>
      <c r="B2482" s="1" t="s">
        <v>7736</v>
      </c>
      <c r="C2482" s="1" t="s">
        <v>151</v>
      </c>
      <c r="D2482" s="1" t="s">
        <v>151</v>
      </c>
      <c r="E2482" s="6">
        <v>290.39</v>
      </c>
      <c r="F2482" s="1" t="s">
        <v>53</v>
      </c>
      <c r="G2482" s="6">
        <f ca="1">IFERROR(__xludf.DUMMYFUNCTION("iferror(GOOGLEFINANCE(TRIM(F2482)&amp;"":"" &amp; TRIM(B2482), ""price""),0
)"),0)</f>
        <v>0</v>
      </c>
      <c r="H2482" s="6">
        <v>193.5</v>
      </c>
      <c r="I2482" s="6">
        <f t="shared" ca="1" si="0"/>
        <v>193.5</v>
      </c>
      <c r="J2482" s="6">
        <f ca="1">IFERROR(__xludf.DUMMYFUNCTION("IFERROR(GOOGLEFINANCE(B2482, ""volume""), 0)"),0)</f>
        <v>0</v>
      </c>
      <c r="K2482" s="9"/>
      <c r="L2482" s="6" t="str">
        <f ca="1">IFERROR(__xludf.DUMMYFUNCTION("IFERROR(GOOGLEFINANCE(B2482,""changepct""),K2482)"),"")</f>
        <v/>
      </c>
      <c r="M2482" s="6">
        <f ca="1">IFERROR(__xludf.DUMMYFUNCTION("IFERROR(GOOGLEFINANCE(B2482,""change""),0)"),0)</f>
        <v>0</v>
      </c>
      <c r="N2482" s="6">
        <v>1</v>
      </c>
      <c r="O2482" s="7">
        <v>45536</v>
      </c>
      <c r="P2482" s="6">
        <v>5.35</v>
      </c>
      <c r="Q2482" s="6">
        <v>295.22000000000003</v>
      </c>
      <c r="R2482" s="7">
        <v>45536</v>
      </c>
      <c r="S2482" s="6">
        <v>36.369999999999997</v>
      </c>
      <c r="T2482" s="6">
        <v>2.2799999999999998</v>
      </c>
      <c r="U2482" s="7">
        <v>45536</v>
      </c>
      <c r="V2482" s="6">
        <v>127.53</v>
      </c>
      <c r="W2482" s="6">
        <f ca="1">IFERROR(__xludf.DUMMYFUNCTION("IFERROR(GOOGLEFINANCE(B2482,""pe""),V2482)"),127.53)</f>
        <v>127.53</v>
      </c>
      <c r="X2482" s="6">
        <v>10.29</v>
      </c>
      <c r="Y2482" s="6">
        <v>14.57</v>
      </c>
      <c r="Z2482" s="6">
        <v>1</v>
      </c>
      <c r="AA2482" s="8">
        <v>45352</v>
      </c>
      <c r="AB2482" s="4">
        <v>0.03</v>
      </c>
      <c r="AC2482" s="6">
        <v>12.01</v>
      </c>
      <c r="AD2482" s="6">
        <v>17.11</v>
      </c>
      <c r="AE2482" s="1">
        <v>0</v>
      </c>
      <c r="AF2482" s="1">
        <f ca="1">IFERROR(__xludf.DUMMYFUNCTION("IFERROR(GOOGLEFINANCE(TRIM(F2482)&amp;"":"" &amp; TRIM(B2482),""high52""),AE2482)"),0)</f>
        <v>0</v>
      </c>
      <c r="AG2482" s="1">
        <v>0</v>
      </c>
      <c r="AH2482" s="1">
        <f ca="1">IFERROR(__xludf.DUMMYFUNCTION("IFERROR(GOOGLEFINANCE(TRIM(F2482)&amp;"":"" &amp; TRIM(B2482),""low52""),AE2482)"),0)</f>
        <v>0</v>
      </c>
      <c r="AI2482" s="1">
        <f ca="1">IFERROR(__xludf.DUMMYFUNCTION("IFERROR(GOOGLEFINANCE(B2482,""eps""),0)"),0)</f>
        <v>0</v>
      </c>
      <c r="AJ2482" s="1"/>
      <c r="AK2482" s="9"/>
      <c r="AL2482" s="9">
        <f t="shared" ref="AL2482:AL2501" si="254">IF(AA2482&lt;&gt;AB2482,1,0)</f>
        <v>1</v>
      </c>
    </row>
    <row r="2483" spans="1:38" ht="15" x14ac:dyDescent="0.25">
      <c r="A2483" s="1" t="s">
        <v>7737</v>
      </c>
      <c r="B2483" s="1" t="s">
        <v>7738</v>
      </c>
      <c r="C2483" s="1" t="s">
        <v>106</v>
      </c>
      <c r="D2483" s="1" t="s">
        <v>106</v>
      </c>
      <c r="E2483" s="6">
        <v>665.48</v>
      </c>
      <c r="F2483" s="1" t="s">
        <v>40</v>
      </c>
      <c r="G2483" s="6">
        <f ca="1">IFERROR(__xludf.DUMMYFUNCTION("iferror(GOOGLEFINANCE(TRIM(F2483)&amp;"":"" &amp; TRIM(B2483), ""price""),0
)"),369.9)</f>
        <v>369.9</v>
      </c>
      <c r="H2483" s="6">
        <v>525.15</v>
      </c>
      <c r="I2483" s="6">
        <f t="shared" ca="1" si="0"/>
        <v>369.9</v>
      </c>
      <c r="J2483" s="6">
        <f ca="1">IFERROR(__xludf.DUMMYFUNCTION("IFERROR(GOOGLEFINANCE(B2483, ""volume""), 0)"),40323)</f>
        <v>40323</v>
      </c>
      <c r="K2483" s="6">
        <v>0.2</v>
      </c>
      <c r="L2483" s="6">
        <f ca="1">IFERROR(__xludf.DUMMYFUNCTION("IFERROR(GOOGLEFINANCE(B2483,""changepct""),K2483)"),5.43)</f>
        <v>5.43</v>
      </c>
      <c r="M2483" s="6">
        <f ca="1">IFERROR(__xludf.DUMMYFUNCTION("IFERROR(GOOGLEFINANCE(B2483,""change""),0)"),19.05)</f>
        <v>19.05</v>
      </c>
      <c r="N2483" s="6">
        <v>2</v>
      </c>
      <c r="O2483" s="7">
        <v>45536</v>
      </c>
      <c r="P2483" s="6">
        <v>20.170000000000002</v>
      </c>
      <c r="Q2483" s="6">
        <v>685.65</v>
      </c>
      <c r="R2483" s="7">
        <v>45536</v>
      </c>
      <c r="S2483" s="6">
        <v>181.61</v>
      </c>
      <c r="T2483" s="6">
        <v>5.78</v>
      </c>
      <c r="U2483" s="7">
        <v>45536</v>
      </c>
      <c r="V2483" s="6">
        <v>95.55</v>
      </c>
      <c r="W2483" s="6">
        <f ca="1">IFERROR(__xludf.DUMMYFUNCTION("IFERROR(GOOGLEFINANCE(B2483,""pe""),V2483)"),47.15)</f>
        <v>47.15</v>
      </c>
      <c r="X2483" s="6">
        <v>-50.55</v>
      </c>
      <c r="Y2483" s="6">
        <v>3.18</v>
      </c>
      <c r="Z2483" s="6">
        <v>2</v>
      </c>
      <c r="AA2483" s="8">
        <v>45352</v>
      </c>
      <c r="AB2483" s="4">
        <v>0.16</v>
      </c>
      <c r="AC2483" s="6">
        <v>4.9400000000000004</v>
      </c>
      <c r="AD2483" s="6">
        <v>8.4600000000000009</v>
      </c>
      <c r="AE2483" s="1">
        <v>0</v>
      </c>
      <c r="AF2483" s="1">
        <f ca="1">IFERROR(__xludf.DUMMYFUNCTION("IFERROR(GOOGLEFINANCE(TRIM(F2483)&amp;"":"" &amp; TRIM(B2483),""high52""),AE2483)"),560.7)</f>
        <v>560.70000000000005</v>
      </c>
      <c r="AG2483" s="1">
        <v>0</v>
      </c>
      <c r="AH2483" s="1">
        <f ca="1">IFERROR(__xludf.DUMMYFUNCTION("IFERROR(GOOGLEFINANCE(TRIM(F2483)&amp;"":"" &amp; TRIM(B2483),""low52""),AE2483)"),292.95)</f>
        <v>292.95</v>
      </c>
      <c r="AI2483" s="1">
        <f ca="1">IFERROR(__xludf.DUMMYFUNCTION("IFERROR(GOOGLEFINANCE(B2483,""eps""),0)"),7.84)</f>
        <v>7.84</v>
      </c>
      <c r="AJ2483" s="1"/>
      <c r="AK2483" s="1" t="s">
        <v>7739</v>
      </c>
      <c r="AL2483" s="9">
        <f t="shared" si="254"/>
        <v>1</v>
      </c>
    </row>
    <row r="2484" spans="1:38" ht="15" x14ac:dyDescent="0.25">
      <c r="A2484" s="1" t="s">
        <v>7740</v>
      </c>
      <c r="B2484" s="1" t="s">
        <v>7741</v>
      </c>
      <c r="C2484" s="1" t="s">
        <v>151</v>
      </c>
      <c r="D2484" s="1" t="s">
        <v>151</v>
      </c>
      <c r="E2484" s="6">
        <v>33.65</v>
      </c>
      <c r="F2484" s="1" t="s">
        <v>53</v>
      </c>
      <c r="G2484" s="6">
        <f ca="1">IFERROR(__xludf.DUMMYFUNCTION("iferror(GOOGLEFINANCE(TRIM(F2484)&amp;"":"" &amp; TRIM(B2484), ""price""),0
)"),0)</f>
        <v>0</v>
      </c>
      <c r="H2484" s="6">
        <v>107.75</v>
      </c>
      <c r="I2484" s="6">
        <f t="shared" ca="1" si="0"/>
        <v>107.75</v>
      </c>
      <c r="J2484" s="6">
        <f ca="1">IFERROR(__xludf.DUMMYFUNCTION("IFERROR(GOOGLEFINANCE(B2484, ""volume""), 0)"),0)</f>
        <v>0</v>
      </c>
      <c r="K2484" s="6">
        <v>4.16</v>
      </c>
      <c r="L2484" s="6">
        <f ca="1">IFERROR(__xludf.DUMMYFUNCTION("IFERROR(GOOGLEFINANCE(B2484,""changepct""),K2484)"),4.16)</f>
        <v>4.16</v>
      </c>
      <c r="M2484" s="6">
        <f ca="1">IFERROR(__xludf.DUMMYFUNCTION("IFERROR(GOOGLEFINANCE(B2484,""change""),0)"),0)</f>
        <v>0</v>
      </c>
      <c r="N2484" s="6">
        <v>1</v>
      </c>
      <c r="O2484" s="7">
        <v>45536</v>
      </c>
      <c r="P2484" s="6">
        <v>36.979999999999997</v>
      </c>
      <c r="Q2484" s="6">
        <v>70.63</v>
      </c>
      <c r="R2484" s="7">
        <v>45536</v>
      </c>
      <c r="S2484" s="6">
        <v>15.11</v>
      </c>
      <c r="T2484" s="6">
        <v>4.3899999999999997</v>
      </c>
      <c r="U2484" s="7">
        <v>45536</v>
      </c>
      <c r="V2484" s="6">
        <v>7.67</v>
      </c>
      <c r="W2484" s="6">
        <f ca="1">IFERROR(__xludf.DUMMYFUNCTION("IFERROR(GOOGLEFINANCE(B2484,""pe""),V2484)"),7.67)</f>
        <v>7.67</v>
      </c>
      <c r="X2484" s="6">
        <v>0.61</v>
      </c>
      <c r="Y2484" s="6">
        <v>-9.5</v>
      </c>
      <c r="Z2484" s="6">
        <v>1</v>
      </c>
      <c r="AA2484" s="8">
        <v>45352</v>
      </c>
      <c r="AB2484" s="4">
        <v>-5.53</v>
      </c>
      <c r="AC2484" s="6">
        <v>0</v>
      </c>
      <c r="AD2484" s="6">
        <v>1.38</v>
      </c>
      <c r="AE2484" s="1">
        <v>0</v>
      </c>
      <c r="AF2484" s="1">
        <f ca="1">IFERROR(__xludf.DUMMYFUNCTION("IFERROR(GOOGLEFINANCE(TRIM(F2484)&amp;"":"" &amp; TRIM(B2484),""high52""),AE2484)"),0)</f>
        <v>0</v>
      </c>
      <c r="AG2484" s="1">
        <v>0</v>
      </c>
      <c r="AH2484" s="1">
        <f ca="1">IFERROR(__xludf.DUMMYFUNCTION("IFERROR(GOOGLEFINANCE(TRIM(F2484)&amp;"":"" &amp; TRIM(B2484),""low52""),AE2484)"),0)</f>
        <v>0</v>
      </c>
      <c r="AI2484" s="1">
        <f ca="1">IFERROR(__xludf.DUMMYFUNCTION("IFERROR(GOOGLEFINANCE(B2484,""eps""),0)"),0)</f>
        <v>0</v>
      </c>
      <c r="AJ2484" s="1"/>
      <c r="AK2484" s="9"/>
      <c r="AL2484" s="9">
        <f t="shared" si="254"/>
        <v>1</v>
      </c>
    </row>
    <row r="2485" spans="1:38" ht="15" x14ac:dyDescent="0.25">
      <c r="A2485" s="1" t="s">
        <v>7742</v>
      </c>
      <c r="B2485" s="1" t="s">
        <v>7743</v>
      </c>
      <c r="C2485" s="1" t="s">
        <v>106</v>
      </c>
      <c r="D2485" s="1" t="s">
        <v>106</v>
      </c>
      <c r="E2485" s="6">
        <v>61.83</v>
      </c>
      <c r="F2485" s="1" t="s">
        <v>40</v>
      </c>
      <c r="G2485" s="6">
        <f ca="1">IFERROR(__xludf.DUMMYFUNCTION("iferror(GOOGLEFINANCE(TRIM(F2485)&amp;"":"" &amp; TRIM(B2485), ""price""),0
)"),0)</f>
        <v>0</v>
      </c>
      <c r="H2485" s="6">
        <v>51.8</v>
      </c>
      <c r="I2485" s="6">
        <f t="shared" ca="1" si="0"/>
        <v>51.8</v>
      </c>
      <c r="J2485" s="6">
        <f ca="1">IFERROR(__xludf.DUMMYFUNCTION("IFERROR(GOOGLEFINANCE(B2485, ""volume""), 0)"),0)</f>
        <v>0</v>
      </c>
      <c r="K2485" s="6">
        <v>-1.99</v>
      </c>
      <c r="L2485" s="6">
        <f ca="1">IFERROR(__xludf.DUMMYFUNCTION("IFERROR(GOOGLEFINANCE(B2485,""changepct""),K2485)"),-1.99)</f>
        <v>-1.99</v>
      </c>
      <c r="M2485" s="6">
        <f ca="1">IFERROR(__xludf.DUMMYFUNCTION("IFERROR(GOOGLEFINANCE(B2485,""change""),0)"),0)</f>
        <v>0</v>
      </c>
      <c r="N2485" s="6">
        <v>1</v>
      </c>
      <c r="O2485" s="7">
        <v>45536</v>
      </c>
      <c r="P2485" s="6">
        <v>12.88</v>
      </c>
      <c r="Q2485" s="6">
        <v>74.709999999999994</v>
      </c>
      <c r="R2485" s="14"/>
      <c r="S2485" s="9"/>
      <c r="T2485" s="9"/>
      <c r="U2485" s="7">
        <v>45352</v>
      </c>
      <c r="V2485" s="6">
        <v>25.72</v>
      </c>
      <c r="W2485" s="6">
        <f ca="1">IFERROR(__xludf.DUMMYFUNCTION("IFERROR(GOOGLEFINANCE(B2485,""pe""),V2485)"),25.72)</f>
        <v>25.72</v>
      </c>
      <c r="X2485" s="9"/>
      <c r="Y2485" s="6">
        <v>2.4</v>
      </c>
      <c r="Z2485" s="6">
        <v>1</v>
      </c>
      <c r="AA2485" s="8">
        <v>45352</v>
      </c>
      <c r="AB2485" s="4">
        <v>0.83</v>
      </c>
      <c r="AC2485" s="6">
        <v>19.899999999999999</v>
      </c>
      <c r="AD2485" s="6">
        <v>16.600000000000001</v>
      </c>
      <c r="AE2485" s="1">
        <v>0</v>
      </c>
      <c r="AF2485" s="1">
        <f ca="1">IFERROR(__xludf.DUMMYFUNCTION("IFERROR(GOOGLEFINANCE(TRIM(F2485)&amp;"":"" &amp; TRIM(B2485),""high52""),AE2485)"),0)</f>
        <v>0</v>
      </c>
      <c r="AG2485" s="1">
        <v>0</v>
      </c>
      <c r="AH2485" s="1">
        <f ca="1">IFERROR(__xludf.DUMMYFUNCTION("IFERROR(GOOGLEFINANCE(TRIM(F2485)&amp;"":"" &amp; TRIM(B2485),""low52""),AE2485)"),0)</f>
        <v>0</v>
      </c>
      <c r="AI2485" s="1">
        <f ca="1">IFERROR(__xludf.DUMMYFUNCTION("IFERROR(GOOGLEFINANCE(B2485,""eps""),0)"),0)</f>
        <v>0</v>
      </c>
      <c r="AJ2485" s="1"/>
      <c r="AK2485" s="1" t="s">
        <v>7744</v>
      </c>
      <c r="AL2485" s="9">
        <f t="shared" si="254"/>
        <v>1</v>
      </c>
    </row>
    <row r="2486" spans="1:38" ht="15" x14ac:dyDescent="0.25">
      <c r="A2486" s="1" t="s">
        <v>7745</v>
      </c>
      <c r="B2486" s="1" t="s">
        <v>7746</v>
      </c>
      <c r="C2486" s="1" t="s">
        <v>106</v>
      </c>
      <c r="D2486" s="1" t="s">
        <v>106</v>
      </c>
      <c r="E2486" s="6">
        <v>475.08</v>
      </c>
      <c r="F2486" s="1" t="s">
        <v>40</v>
      </c>
      <c r="G2486" s="6">
        <f ca="1">IFERROR(__xludf.DUMMYFUNCTION("iferror(GOOGLEFINANCE(TRIM(F2486)&amp;"":"" &amp; TRIM(B2486), ""price""),0
)"),47.5)</f>
        <v>47.5</v>
      </c>
      <c r="H2486" s="6">
        <v>56.8</v>
      </c>
      <c r="I2486" s="6">
        <f t="shared" ca="1" si="0"/>
        <v>47.5</v>
      </c>
      <c r="J2486" s="6">
        <f ca="1">IFERROR(__xludf.DUMMYFUNCTION("IFERROR(GOOGLEFINANCE(B2486, ""volume""), 0)"),597269)</f>
        <v>597269</v>
      </c>
      <c r="K2486" s="6">
        <v>-0.98</v>
      </c>
      <c r="L2486" s="6">
        <f ca="1">IFERROR(__xludf.DUMMYFUNCTION("IFERROR(GOOGLEFINANCE(B2486,""changepct""),K2486)"),-3.12)</f>
        <v>-3.12</v>
      </c>
      <c r="M2486" s="6">
        <f ca="1">IFERROR(__xludf.DUMMYFUNCTION("IFERROR(GOOGLEFINANCE(B2486,""change""),0)"),-1.53)</f>
        <v>-1.53</v>
      </c>
      <c r="N2486" s="6">
        <v>1</v>
      </c>
      <c r="O2486" s="7">
        <v>45536</v>
      </c>
      <c r="P2486" s="6">
        <v>10.32</v>
      </c>
      <c r="Q2486" s="6">
        <v>485.4</v>
      </c>
      <c r="R2486" s="7">
        <v>45536</v>
      </c>
      <c r="S2486" s="6">
        <v>141.24</v>
      </c>
      <c r="T2486" s="6">
        <v>7.68</v>
      </c>
      <c r="U2486" s="7">
        <v>45536</v>
      </c>
      <c r="V2486" s="6">
        <v>61.88</v>
      </c>
      <c r="W2486" s="6">
        <f ca="1">IFERROR(__xludf.DUMMYFUNCTION("IFERROR(GOOGLEFINANCE(B2486,""pe""),V2486)"),34.41)</f>
        <v>34.409999999999997</v>
      </c>
      <c r="X2486" s="6">
        <v>1.57</v>
      </c>
      <c r="Y2486" s="6">
        <v>8.56</v>
      </c>
      <c r="Z2486" s="6">
        <v>1</v>
      </c>
      <c r="AA2486" s="8">
        <v>45352</v>
      </c>
      <c r="AB2486" s="4">
        <v>0.13</v>
      </c>
      <c r="AC2486" s="6">
        <v>17.23</v>
      </c>
      <c r="AD2486" s="6">
        <v>21.9</v>
      </c>
      <c r="AE2486" s="1">
        <v>0</v>
      </c>
      <c r="AF2486" s="1">
        <f ca="1">IFERROR(__xludf.DUMMYFUNCTION("IFERROR(GOOGLEFINANCE(TRIM(F2486)&amp;"":"" &amp; TRIM(B2486),""high52""),AE2486)"),79.83)</f>
        <v>79.83</v>
      </c>
      <c r="AG2486" s="1">
        <v>0</v>
      </c>
      <c r="AH2486" s="1">
        <f ca="1">IFERROR(__xludf.DUMMYFUNCTION("IFERROR(GOOGLEFINANCE(TRIM(F2486)&amp;"":"" &amp; TRIM(B2486),""low52""),AE2486)"),37.18)</f>
        <v>37.18</v>
      </c>
      <c r="AI2486" s="1">
        <f ca="1">IFERROR(__xludf.DUMMYFUNCTION("IFERROR(GOOGLEFINANCE(B2486,""eps""),0)"),1.38)</f>
        <v>1.38</v>
      </c>
      <c r="AJ2486" s="1"/>
      <c r="AK2486" s="1" t="s">
        <v>7747</v>
      </c>
      <c r="AL2486" s="9">
        <f t="shared" si="254"/>
        <v>1</v>
      </c>
    </row>
    <row r="2487" spans="1:38" ht="15" x14ac:dyDescent="0.25">
      <c r="A2487" s="1" t="s">
        <v>7748</v>
      </c>
      <c r="B2487" s="1" t="s">
        <v>7749</v>
      </c>
      <c r="C2487" s="1" t="s">
        <v>151</v>
      </c>
      <c r="D2487" s="1" t="s">
        <v>151</v>
      </c>
      <c r="E2487" s="6">
        <v>43.15</v>
      </c>
      <c r="F2487" s="1" t="s">
        <v>53</v>
      </c>
      <c r="G2487" s="6">
        <f ca="1">IFERROR(__xludf.DUMMYFUNCTION("iferror(GOOGLEFINANCE(TRIM(F2487)&amp;"":"" &amp; TRIM(B2487), ""price""),0
)"),0)</f>
        <v>0</v>
      </c>
      <c r="H2487" s="6">
        <v>4.99</v>
      </c>
      <c r="I2487" s="6">
        <f t="shared" ca="1" si="0"/>
        <v>4.99</v>
      </c>
      <c r="J2487" s="6">
        <f ca="1">IFERROR(__xludf.DUMMYFUNCTION("IFERROR(GOOGLEFINANCE(B2487, ""volume""), 0)"),0)</f>
        <v>0</v>
      </c>
      <c r="K2487" s="6">
        <v>4.83</v>
      </c>
      <c r="L2487" s="6">
        <f ca="1">IFERROR(__xludf.DUMMYFUNCTION("IFERROR(GOOGLEFINANCE(B2487,""changepct""),K2487)"),4.83)</f>
        <v>4.83</v>
      </c>
      <c r="M2487" s="6">
        <f ca="1">IFERROR(__xludf.DUMMYFUNCTION("IFERROR(GOOGLEFINANCE(B2487,""change""),0)"),0)</f>
        <v>0</v>
      </c>
      <c r="N2487" s="6">
        <v>1</v>
      </c>
      <c r="O2487" s="7">
        <v>45536</v>
      </c>
      <c r="P2487" s="6">
        <v>5.84</v>
      </c>
      <c r="Q2487" s="6">
        <v>48.99</v>
      </c>
      <c r="R2487" s="7">
        <v>45536</v>
      </c>
      <c r="S2487" s="6">
        <v>28.36</v>
      </c>
      <c r="T2487" s="6">
        <v>1.58</v>
      </c>
      <c r="U2487" s="7">
        <v>45536</v>
      </c>
      <c r="V2487" s="6">
        <v>27.26</v>
      </c>
      <c r="W2487" s="6">
        <f ca="1">IFERROR(__xludf.DUMMYFUNCTION("IFERROR(GOOGLEFINANCE(B2487,""pe""),V2487)"),27.26)</f>
        <v>27.26</v>
      </c>
      <c r="X2487" s="6">
        <v>2.11</v>
      </c>
      <c r="Y2487" s="6">
        <v>-13.71</v>
      </c>
      <c r="Z2487" s="6">
        <v>1</v>
      </c>
      <c r="AA2487" s="8">
        <v>45352</v>
      </c>
      <c r="AB2487" s="4">
        <v>-1.54</v>
      </c>
      <c r="AC2487" s="6">
        <v>0</v>
      </c>
      <c r="AD2487" s="6">
        <v>34.17</v>
      </c>
      <c r="AE2487" s="1">
        <v>0</v>
      </c>
      <c r="AF2487" s="1">
        <f ca="1">IFERROR(__xludf.DUMMYFUNCTION("IFERROR(GOOGLEFINANCE(TRIM(F2487)&amp;"":"" &amp; TRIM(B2487),""high52""),AE2487)"),0)</f>
        <v>0</v>
      </c>
      <c r="AG2487" s="1">
        <v>0</v>
      </c>
      <c r="AH2487" s="1">
        <f ca="1">IFERROR(__xludf.DUMMYFUNCTION("IFERROR(GOOGLEFINANCE(TRIM(F2487)&amp;"":"" &amp; TRIM(B2487),""low52""),AE2487)"),0)</f>
        <v>0</v>
      </c>
      <c r="AI2487" s="1">
        <f ca="1">IFERROR(__xludf.DUMMYFUNCTION("IFERROR(GOOGLEFINANCE(B2487,""eps""),0)"),0)</f>
        <v>0</v>
      </c>
      <c r="AJ2487" s="1"/>
      <c r="AK2487" s="1" t="s">
        <v>7750</v>
      </c>
      <c r="AL2487" s="9">
        <f t="shared" si="254"/>
        <v>1</v>
      </c>
    </row>
    <row r="2488" spans="1:38" ht="15" x14ac:dyDescent="0.25">
      <c r="A2488" s="1" t="s">
        <v>7751</v>
      </c>
      <c r="B2488" s="1" t="s">
        <v>7752</v>
      </c>
      <c r="C2488" s="1" t="s">
        <v>106</v>
      </c>
      <c r="D2488" s="1" t="s">
        <v>106</v>
      </c>
      <c r="E2488" s="6">
        <v>9981.27</v>
      </c>
      <c r="F2488" s="1" t="s">
        <v>40</v>
      </c>
      <c r="G2488" s="6">
        <f ca="1">IFERROR(__xludf.DUMMYFUNCTION("iferror(GOOGLEFINANCE(TRIM(F2488)&amp;"":"" &amp; TRIM(B2488), ""price""),0
)"),815.3)</f>
        <v>815.3</v>
      </c>
      <c r="H2488" s="6">
        <v>842.9</v>
      </c>
      <c r="I2488" s="6">
        <f t="shared" ca="1" si="0"/>
        <v>815.3</v>
      </c>
      <c r="J2488" s="6">
        <f ca="1">IFERROR(__xludf.DUMMYFUNCTION("IFERROR(GOOGLEFINANCE(B2488, ""volume""), 0)"),128953)</f>
        <v>128953</v>
      </c>
      <c r="K2488" s="6">
        <v>1.24</v>
      </c>
      <c r="L2488" s="6">
        <f ca="1">IFERROR(__xludf.DUMMYFUNCTION("IFERROR(GOOGLEFINANCE(B2488,""changepct""),K2488)"),-0.81)</f>
        <v>-0.81</v>
      </c>
      <c r="M2488" s="6">
        <f ca="1">IFERROR(__xludf.DUMMYFUNCTION("IFERROR(GOOGLEFINANCE(B2488,""change""),0)"),-6.65)</f>
        <v>-6.65</v>
      </c>
      <c r="N2488" s="6">
        <v>2</v>
      </c>
      <c r="O2488" s="7">
        <v>45536</v>
      </c>
      <c r="P2488" s="9"/>
      <c r="Q2488" s="6">
        <v>9713.67</v>
      </c>
      <c r="R2488" s="7">
        <v>45536</v>
      </c>
      <c r="S2488" s="6">
        <v>5996.97</v>
      </c>
      <c r="T2488" s="6">
        <v>100.31</v>
      </c>
      <c r="U2488" s="7">
        <v>45536</v>
      </c>
      <c r="V2488" s="6">
        <v>99.59</v>
      </c>
      <c r="W2488" s="6">
        <f ca="1">IFERROR(__xludf.DUMMYFUNCTION("IFERROR(GOOGLEFINANCE(B2488,""pe""),V2488)"),47.27)</f>
        <v>47.27</v>
      </c>
      <c r="X2488" s="9"/>
      <c r="Y2488" s="6">
        <v>6.09</v>
      </c>
      <c r="Z2488" s="6">
        <v>2</v>
      </c>
      <c r="AA2488" s="8">
        <v>45352</v>
      </c>
      <c r="AB2488" s="4">
        <v>0</v>
      </c>
      <c r="AC2488" s="6">
        <v>4.3600000000000003</v>
      </c>
      <c r="AD2488" s="6">
        <v>12.19</v>
      </c>
      <c r="AE2488" s="1">
        <v>0</v>
      </c>
      <c r="AF2488" s="1">
        <f ca="1">IFERROR(__xludf.DUMMYFUNCTION("IFERROR(GOOGLEFINANCE(TRIM(F2488)&amp;"":"" &amp; TRIM(B2488),""high52""),AE2488)"),1045.3)</f>
        <v>1045.3</v>
      </c>
      <c r="AG2488" s="1">
        <v>0</v>
      </c>
      <c r="AH2488" s="1">
        <f ca="1">IFERROR(__xludf.DUMMYFUNCTION("IFERROR(GOOGLEFINANCE(TRIM(F2488)&amp;"":"" &amp; TRIM(B2488),""low52""),AE2488)"),678.05)</f>
        <v>678.05</v>
      </c>
      <c r="AI2488" s="1">
        <f ca="1">IFERROR(__xludf.DUMMYFUNCTION("IFERROR(GOOGLEFINANCE(B2488,""eps""),0)"),17.25)</f>
        <v>17.25</v>
      </c>
      <c r="AJ2488" s="1"/>
      <c r="AK2488" s="1" t="s">
        <v>7753</v>
      </c>
      <c r="AL2488" s="9">
        <f t="shared" si="254"/>
        <v>1</v>
      </c>
    </row>
    <row r="2489" spans="1:38" ht="15" x14ac:dyDescent="0.25">
      <c r="A2489" s="1" t="s">
        <v>7754</v>
      </c>
      <c r="B2489" s="1" t="s">
        <v>7755</v>
      </c>
      <c r="C2489" s="1" t="s">
        <v>2222</v>
      </c>
      <c r="D2489" s="1" t="s">
        <v>2222</v>
      </c>
      <c r="E2489" s="6">
        <v>12.09</v>
      </c>
      <c r="F2489" s="1" t="s">
        <v>53</v>
      </c>
      <c r="G2489" s="6">
        <f ca="1">IFERROR(__xludf.DUMMYFUNCTION("iferror(GOOGLEFINANCE(TRIM(F2489)&amp;"":"" &amp; TRIM(B2489), ""price""),0
)"),0)</f>
        <v>0</v>
      </c>
      <c r="H2489" s="6">
        <v>52.27</v>
      </c>
      <c r="I2489" s="6">
        <f t="shared" ca="1" si="0"/>
        <v>52.27</v>
      </c>
      <c r="J2489" s="6">
        <f ca="1">IFERROR(__xludf.DUMMYFUNCTION("IFERROR(GOOGLEFINANCE(B2489, ""volume""), 0)"),0)</f>
        <v>0</v>
      </c>
      <c r="K2489" s="9"/>
      <c r="L2489" s="6" t="str">
        <f ca="1">IFERROR(__xludf.DUMMYFUNCTION("IFERROR(GOOGLEFINANCE(B2489,""changepct""),K2489)"),"")</f>
        <v/>
      </c>
      <c r="M2489" s="6">
        <f ca="1">IFERROR(__xludf.DUMMYFUNCTION("IFERROR(GOOGLEFINANCE(B2489,""change""),0)"),0)</f>
        <v>0</v>
      </c>
      <c r="N2489" s="6">
        <v>1</v>
      </c>
      <c r="O2489" s="7">
        <v>45536</v>
      </c>
      <c r="P2489" s="6">
        <v>1.42</v>
      </c>
      <c r="Q2489" s="6">
        <v>11.93</v>
      </c>
      <c r="R2489" s="7">
        <v>45536</v>
      </c>
      <c r="S2489" s="6">
        <v>0.72</v>
      </c>
      <c r="T2489" s="6">
        <v>-2.62</v>
      </c>
      <c r="U2489" s="7">
        <v>45536</v>
      </c>
      <c r="V2489" s="6">
        <v>0</v>
      </c>
      <c r="W2489" s="6">
        <f ca="1">IFERROR(__xludf.DUMMYFUNCTION("IFERROR(GOOGLEFINANCE(B2489,""pe""),V2489)"),0)</f>
        <v>0</v>
      </c>
      <c r="X2489" s="6">
        <v>0</v>
      </c>
      <c r="Y2489" s="6">
        <v>2.94</v>
      </c>
      <c r="Z2489" s="6">
        <v>1</v>
      </c>
      <c r="AA2489" s="8">
        <v>45352</v>
      </c>
      <c r="AB2489" s="4">
        <v>0.28999999999999998</v>
      </c>
      <c r="AC2489" s="6">
        <v>9.48</v>
      </c>
      <c r="AD2489" s="6">
        <v>12.86</v>
      </c>
      <c r="AE2489" s="1">
        <v>0</v>
      </c>
      <c r="AF2489" s="1">
        <f ca="1">IFERROR(__xludf.DUMMYFUNCTION("IFERROR(GOOGLEFINANCE(TRIM(F2489)&amp;"":"" &amp; TRIM(B2489),""high52""),AE2489)"),0)</f>
        <v>0</v>
      </c>
      <c r="AG2489" s="1">
        <v>0</v>
      </c>
      <c r="AH2489" s="1">
        <f ca="1">IFERROR(__xludf.DUMMYFUNCTION("IFERROR(GOOGLEFINANCE(TRIM(F2489)&amp;"":"" &amp; TRIM(B2489),""low52""),AE2489)"),0)</f>
        <v>0</v>
      </c>
      <c r="AI2489" s="1">
        <f ca="1">IFERROR(__xludf.DUMMYFUNCTION("IFERROR(GOOGLEFINANCE(B2489,""eps""),0)"),0)</f>
        <v>0</v>
      </c>
      <c r="AJ2489" s="1"/>
      <c r="AK2489" s="1" t="s">
        <v>7756</v>
      </c>
      <c r="AL2489" s="9">
        <f t="shared" si="254"/>
        <v>1</v>
      </c>
    </row>
    <row r="2490" spans="1:38" ht="15" x14ac:dyDescent="0.25">
      <c r="A2490" s="1" t="s">
        <v>7757</v>
      </c>
      <c r="B2490" s="1" t="s">
        <v>7758</v>
      </c>
      <c r="C2490" s="1" t="s">
        <v>82</v>
      </c>
      <c r="D2490" s="1" t="s">
        <v>82</v>
      </c>
      <c r="E2490" s="6">
        <v>55.79</v>
      </c>
      <c r="F2490" s="1" t="s">
        <v>40</v>
      </c>
      <c r="G2490" s="6">
        <f ca="1">IFERROR(__xludf.DUMMYFUNCTION("iferror(GOOGLEFINANCE(TRIM(F2490)&amp;"":"" &amp; TRIM(B2490), ""price""),0
)"),0)</f>
        <v>0</v>
      </c>
      <c r="H2490" s="6">
        <v>52.75</v>
      </c>
      <c r="I2490" s="6">
        <f t="shared" ca="1" si="0"/>
        <v>52.75</v>
      </c>
      <c r="J2490" s="6">
        <f ca="1">IFERROR(__xludf.DUMMYFUNCTION("IFERROR(GOOGLEFINANCE(B2490, ""volume""), 0)"),0)</f>
        <v>0</v>
      </c>
      <c r="K2490" s="6">
        <v>4.9800000000000004</v>
      </c>
      <c r="L2490" s="6">
        <f ca="1">IFERROR(__xludf.DUMMYFUNCTION("IFERROR(GOOGLEFINANCE(B2490,""changepct""),K2490)"),4.98)</f>
        <v>4.9800000000000004</v>
      </c>
      <c r="M2490" s="6">
        <f ca="1">IFERROR(__xludf.DUMMYFUNCTION("IFERROR(GOOGLEFINANCE(B2490,""change""),0)"),0)</f>
        <v>0</v>
      </c>
      <c r="N2490" s="6">
        <v>1</v>
      </c>
      <c r="O2490" s="7">
        <v>45536</v>
      </c>
      <c r="P2490" s="6">
        <v>0.56000000000000005</v>
      </c>
      <c r="Q2490" s="6">
        <v>56.35</v>
      </c>
      <c r="R2490" s="7">
        <v>45352</v>
      </c>
      <c r="S2490" s="6">
        <v>48.4</v>
      </c>
      <c r="T2490" s="6">
        <v>1.37</v>
      </c>
      <c r="U2490" s="7">
        <v>45352</v>
      </c>
      <c r="V2490" s="6">
        <v>40.74</v>
      </c>
      <c r="W2490" s="6">
        <f ca="1">IFERROR(__xludf.DUMMYFUNCTION("IFERROR(GOOGLEFINANCE(B2490,""pe""),V2490)"),40.74)</f>
        <v>40.74</v>
      </c>
      <c r="X2490" s="9"/>
      <c r="Y2490" s="6">
        <v>1.2</v>
      </c>
      <c r="Z2490" s="6">
        <v>1</v>
      </c>
      <c r="AA2490" s="8">
        <v>45352</v>
      </c>
      <c r="AB2490" s="4">
        <v>0</v>
      </c>
      <c r="AC2490" s="6">
        <v>3.01</v>
      </c>
      <c r="AD2490" s="6">
        <v>3.79</v>
      </c>
      <c r="AE2490" s="1">
        <v>0</v>
      </c>
      <c r="AF2490" s="1">
        <f ca="1">IFERROR(__xludf.DUMMYFUNCTION("IFERROR(GOOGLEFINANCE(TRIM(F2490)&amp;"":"" &amp; TRIM(B2490),""high52""),AE2490)"),0)</f>
        <v>0</v>
      </c>
      <c r="AG2490" s="1">
        <v>0</v>
      </c>
      <c r="AH2490" s="1">
        <f ca="1">IFERROR(__xludf.DUMMYFUNCTION("IFERROR(GOOGLEFINANCE(TRIM(F2490)&amp;"":"" &amp; TRIM(B2490),""low52""),AE2490)"),0)</f>
        <v>0</v>
      </c>
      <c r="AI2490" s="1">
        <f ca="1">IFERROR(__xludf.DUMMYFUNCTION("IFERROR(GOOGLEFINANCE(B2490,""eps""),0)"),0)</f>
        <v>0</v>
      </c>
      <c r="AJ2490" s="1"/>
      <c r="AK2490" s="1" t="s">
        <v>7759</v>
      </c>
      <c r="AL2490" s="9">
        <f t="shared" si="254"/>
        <v>1</v>
      </c>
    </row>
    <row r="2491" spans="1:38" ht="15" x14ac:dyDescent="0.25">
      <c r="A2491" s="1" t="s">
        <v>7760</v>
      </c>
      <c r="B2491" s="1" t="s">
        <v>7761</v>
      </c>
      <c r="C2491" s="1" t="s">
        <v>2222</v>
      </c>
      <c r="D2491" s="1" t="s">
        <v>2222</v>
      </c>
      <c r="E2491" s="6">
        <v>11.03</v>
      </c>
      <c r="F2491" s="1" t="s">
        <v>53</v>
      </c>
      <c r="G2491" s="6">
        <f ca="1">IFERROR(__xludf.DUMMYFUNCTION("iferror(GOOGLEFINANCE(TRIM(F2491)&amp;"":"" &amp; TRIM(B2491), ""price""),0
)"),0)</f>
        <v>0</v>
      </c>
      <c r="H2491" s="6">
        <v>25.49</v>
      </c>
      <c r="I2491" s="6">
        <f t="shared" ca="1" si="0"/>
        <v>25.49</v>
      </c>
      <c r="J2491" s="6">
        <f ca="1">IFERROR(__xludf.DUMMYFUNCTION("IFERROR(GOOGLEFINANCE(B2491, ""volume""), 0)"),0)</f>
        <v>0</v>
      </c>
      <c r="K2491" s="6">
        <v>4.47</v>
      </c>
      <c r="L2491" s="6">
        <f ca="1">IFERROR(__xludf.DUMMYFUNCTION("IFERROR(GOOGLEFINANCE(B2491,""changepct""),K2491)"),4.47)</f>
        <v>4.47</v>
      </c>
      <c r="M2491" s="6">
        <f ca="1">IFERROR(__xludf.DUMMYFUNCTION("IFERROR(GOOGLEFINANCE(B2491,""change""),0)"),0)</f>
        <v>0</v>
      </c>
      <c r="N2491" s="6">
        <v>1</v>
      </c>
      <c r="O2491" s="7">
        <v>45536</v>
      </c>
      <c r="P2491" s="6">
        <v>0.39</v>
      </c>
      <c r="Q2491" s="6">
        <v>11.42</v>
      </c>
      <c r="R2491" s="7">
        <v>45536</v>
      </c>
      <c r="S2491" s="6">
        <v>4.01</v>
      </c>
      <c r="T2491" s="6">
        <v>0.15</v>
      </c>
      <c r="U2491" s="7">
        <v>45536</v>
      </c>
      <c r="V2491" s="6">
        <v>73.989999999999995</v>
      </c>
      <c r="W2491" s="6">
        <f ca="1">IFERROR(__xludf.DUMMYFUNCTION("IFERROR(GOOGLEFINANCE(B2491,""pe""),V2491)"),73.99)</f>
        <v>73.989999999999995</v>
      </c>
      <c r="X2491" s="6">
        <v>-4.75</v>
      </c>
      <c r="Y2491" s="6">
        <v>3.55</v>
      </c>
      <c r="Z2491" s="6">
        <v>1</v>
      </c>
      <c r="AA2491" s="8">
        <v>45352</v>
      </c>
      <c r="AB2491" s="4">
        <v>0.01</v>
      </c>
      <c r="AC2491" s="6">
        <v>1.99</v>
      </c>
      <c r="AD2491" s="6">
        <v>4.08</v>
      </c>
      <c r="AE2491" s="1">
        <v>0</v>
      </c>
      <c r="AF2491" s="1">
        <f ca="1">IFERROR(__xludf.DUMMYFUNCTION("IFERROR(GOOGLEFINANCE(TRIM(F2491)&amp;"":"" &amp; TRIM(B2491),""high52""),AE2491)"),0)</f>
        <v>0</v>
      </c>
      <c r="AG2491" s="1">
        <v>0</v>
      </c>
      <c r="AH2491" s="1">
        <f ca="1">IFERROR(__xludf.DUMMYFUNCTION("IFERROR(GOOGLEFINANCE(TRIM(F2491)&amp;"":"" &amp; TRIM(B2491),""low52""),AE2491)"),0)</f>
        <v>0</v>
      </c>
      <c r="AI2491" s="1">
        <f ca="1">IFERROR(__xludf.DUMMYFUNCTION("IFERROR(GOOGLEFINANCE(B2491,""eps""),0)"),0)</f>
        <v>0</v>
      </c>
      <c r="AJ2491" s="1"/>
      <c r="AK2491" s="1" t="s">
        <v>7762</v>
      </c>
      <c r="AL2491" s="9">
        <f t="shared" si="254"/>
        <v>1</v>
      </c>
    </row>
    <row r="2492" spans="1:38" ht="15" x14ac:dyDescent="0.25">
      <c r="A2492" s="1" t="s">
        <v>7763</v>
      </c>
      <c r="B2492" s="1" t="s">
        <v>7764</v>
      </c>
      <c r="C2492" s="1" t="s">
        <v>57</v>
      </c>
      <c r="D2492" s="1" t="s">
        <v>57</v>
      </c>
      <c r="E2492" s="6">
        <v>664.59</v>
      </c>
      <c r="F2492" s="1" t="s">
        <v>40</v>
      </c>
      <c r="G2492" s="6">
        <f ca="1">IFERROR(__xludf.DUMMYFUNCTION("iferror(GOOGLEFINANCE(TRIM(F2492)&amp;"":"" &amp; TRIM(B2492), ""price""),0
)"),165.99)</f>
        <v>165.99</v>
      </c>
      <c r="H2492" s="6">
        <v>90.45</v>
      </c>
      <c r="I2492" s="6">
        <f t="shared" ca="1" si="0"/>
        <v>165.99</v>
      </c>
      <c r="J2492" s="6">
        <f ca="1">IFERROR(__xludf.DUMMYFUNCTION("IFERROR(GOOGLEFINANCE(B2492, ""volume""), 0)"),39713)</f>
        <v>39713</v>
      </c>
      <c r="K2492" s="6">
        <v>0.53</v>
      </c>
      <c r="L2492" s="6">
        <f ca="1">IFERROR(__xludf.DUMMYFUNCTION("IFERROR(GOOGLEFINANCE(B2492,""changepct""),K2492)"),-1.71)</f>
        <v>-1.71</v>
      </c>
      <c r="M2492" s="6">
        <f ca="1">IFERROR(__xludf.DUMMYFUNCTION("IFERROR(GOOGLEFINANCE(B2492,""change""),0)"),-2.88)</f>
        <v>-2.88</v>
      </c>
      <c r="N2492" s="6">
        <v>2</v>
      </c>
      <c r="O2492" s="7">
        <v>45536</v>
      </c>
      <c r="P2492" s="6">
        <v>140.55000000000001</v>
      </c>
      <c r="Q2492" s="6">
        <v>796.16</v>
      </c>
      <c r="R2492" s="7">
        <v>45536</v>
      </c>
      <c r="S2492" s="6">
        <v>0</v>
      </c>
      <c r="T2492" s="6">
        <v>2.33</v>
      </c>
      <c r="U2492" s="7">
        <v>45536</v>
      </c>
      <c r="V2492" s="6">
        <v>0</v>
      </c>
      <c r="W2492" s="6">
        <f ca="1">IFERROR(__xludf.DUMMYFUNCTION("IFERROR(GOOGLEFINANCE(B2492,""pe""),V2492)"),8.88)</f>
        <v>8.8800000000000008</v>
      </c>
      <c r="X2492" s="9"/>
      <c r="Y2492" s="6">
        <v>5.46</v>
      </c>
      <c r="Z2492" s="6">
        <v>2</v>
      </c>
      <c r="AA2492" s="8">
        <v>45352</v>
      </c>
      <c r="AB2492" s="4">
        <v>0.95</v>
      </c>
      <c r="AC2492" s="6">
        <v>4.76</v>
      </c>
      <c r="AD2492" s="6">
        <v>8.3000000000000007</v>
      </c>
      <c r="AE2492" s="1">
        <v>0</v>
      </c>
      <c r="AF2492" s="1">
        <f ca="1">IFERROR(__xludf.DUMMYFUNCTION("IFERROR(GOOGLEFINANCE(TRIM(F2492)&amp;"":"" &amp; TRIM(B2492),""high52""),AE2492)"),231)</f>
        <v>231</v>
      </c>
      <c r="AG2492" s="1">
        <v>0</v>
      </c>
      <c r="AH2492" s="1">
        <f ca="1">IFERROR(__xludf.DUMMYFUNCTION("IFERROR(GOOGLEFINANCE(TRIM(F2492)&amp;"":"" &amp; TRIM(B2492),""low52""),AE2492)"),49.06)</f>
        <v>49.06</v>
      </c>
      <c r="AI2492" s="1">
        <f ca="1">IFERROR(__xludf.DUMMYFUNCTION("IFERROR(GOOGLEFINANCE(B2492,""eps""),0)"),18.69)</f>
        <v>18.690000000000001</v>
      </c>
      <c r="AJ2492" s="1"/>
      <c r="AK2492" s="1" t="s">
        <v>7765</v>
      </c>
      <c r="AL2492" s="9">
        <f t="shared" si="254"/>
        <v>1</v>
      </c>
    </row>
    <row r="2493" spans="1:38" ht="15" x14ac:dyDescent="0.25">
      <c r="A2493" s="1" t="s">
        <v>7766</v>
      </c>
      <c r="B2493" s="1" t="s">
        <v>7767</v>
      </c>
      <c r="C2493" s="1" t="s">
        <v>324</v>
      </c>
      <c r="D2493" s="1" t="s">
        <v>324</v>
      </c>
      <c r="E2493" s="6">
        <v>276.41000000000003</v>
      </c>
      <c r="F2493" s="1" t="s">
        <v>40</v>
      </c>
      <c r="G2493" s="6">
        <f ca="1">IFERROR(__xludf.DUMMYFUNCTION("iferror(GOOGLEFINANCE(TRIM(F2493)&amp;"":"" &amp; TRIM(B2493), ""price""),0
)"),224)</f>
        <v>224</v>
      </c>
      <c r="H2493" s="6">
        <v>252.89</v>
      </c>
      <c r="I2493" s="6">
        <f t="shared" ca="1" si="0"/>
        <v>224</v>
      </c>
      <c r="J2493" s="6">
        <f ca="1">IFERROR(__xludf.DUMMYFUNCTION("IFERROR(GOOGLEFINANCE(B2493, ""volume""), 0)"),2051)</f>
        <v>2051</v>
      </c>
      <c r="K2493" s="6">
        <v>3.76</v>
      </c>
      <c r="L2493" s="6">
        <f ca="1">IFERROR(__xludf.DUMMYFUNCTION("IFERROR(GOOGLEFINANCE(B2493,""changepct""),K2493)"),-2.6)</f>
        <v>-2.6</v>
      </c>
      <c r="M2493" s="6">
        <f ca="1">IFERROR(__xludf.DUMMYFUNCTION("IFERROR(GOOGLEFINANCE(B2493,""change""),0)"),-5.99)</f>
        <v>-5.99</v>
      </c>
      <c r="N2493" s="6">
        <v>2</v>
      </c>
      <c r="O2493" s="7">
        <v>45536</v>
      </c>
      <c r="P2493" s="6">
        <v>178.84</v>
      </c>
      <c r="Q2493" s="6">
        <v>454</v>
      </c>
      <c r="R2493" s="7">
        <v>45536</v>
      </c>
      <c r="S2493" s="6">
        <v>282.14</v>
      </c>
      <c r="T2493" s="6">
        <v>4.24</v>
      </c>
      <c r="U2493" s="7">
        <v>45536</v>
      </c>
      <c r="V2493" s="6">
        <v>65.13</v>
      </c>
      <c r="W2493" s="6">
        <f ca="1">IFERROR(__xludf.DUMMYFUNCTION("IFERROR(GOOGLEFINANCE(B2493,""pe""),V2493)"),42.54)</f>
        <v>42.54</v>
      </c>
      <c r="X2493" s="6">
        <v>3.11</v>
      </c>
      <c r="Y2493" s="6">
        <v>3.01</v>
      </c>
      <c r="Z2493" s="6">
        <v>2</v>
      </c>
      <c r="AA2493" s="8">
        <v>45352</v>
      </c>
      <c r="AB2493" s="4">
        <v>0.62</v>
      </c>
      <c r="AC2493" s="6">
        <v>9.15</v>
      </c>
      <c r="AD2493" s="6">
        <v>10.029999999999999</v>
      </c>
      <c r="AE2493" s="1">
        <v>0</v>
      </c>
      <c r="AF2493" s="1">
        <f ca="1">IFERROR(__xludf.DUMMYFUNCTION("IFERROR(GOOGLEFINANCE(TRIM(F2493)&amp;"":"" &amp; TRIM(B2493),""high52""),AE2493)"),305)</f>
        <v>305</v>
      </c>
      <c r="AG2493" s="1">
        <v>0</v>
      </c>
      <c r="AH2493" s="1">
        <f ca="1">IFERROR(__xludf.DUMMYFUNCTION("IFERROR(GOOGLEFINANCE(TRIM(F2493)&amp;"":"" &amp; TRIM(B2493),""low52""),AE2493)"),187.61)</f>
        <v>187.61</v>
      </c>
      <c r="AI2493" s="1">
        <f ca="1">IFERROR(__xludf.DUMMYFUNCTION("IFERROR(GOOGLEFINANCE(B2493,""eps""),0)"),5.27)</f>
        <v>5.27</v>
      </c>
      <c r="AJ2493" s="1"/>
      <c r="AK2493" s="9"/>
      <c r="AL2493" s="9">
        <f t="shared" si="254"/>
        <v>1</v>
      </c>
    </row>
    <row r="2494" spans="1:38" ht="15" x14ac:dyDescent="0.25">
      <c r="A2494" s="1" t="s">
        <v>7768</v>
      </c>
      <c r="B2494" s="1" t="s">
        <v>7769</v>
      </c>
      <c r="C2494" s="1" t="s">
        <v>2222</v>
      </c>
      <c r="D2494" s="1" t="s">
        <v>2222</v>
      </c>
      <c r="E2494" s="6">
        <v>57.42</v>
      </c>
      <c r="F2494" s="1" t="s">
        <v>53</v>
      </c>
      <c r="G2494" s="6">
        <f ca="1">IFERROR(__xludf.DUMMYFUNCTION("iferror(GOOGLEFINANCE(TRIM(F2494)&amp;"":"" &amp; TRIM(B2494), ""price""),0
)"),0)</f>
        <v>0</v>
      </c>
      <c r="H2494" s="6">
        <v>33.21</v>
      </c>
      <c r="I2494" s="6">
        <f t="shared" ca="1" si="0"/>
        <v>33.21</v>
      </c>
      <c r="J2494" s="6">
        <f ca="1">IFERROR(__xludf.DUMMYFUNCTION("IFERROR(GOOGLEFINANCE(B2494, ""volume""), 0)"),0)</f>
        <v>0</v>
      </c>
      <c r="K2494" s="6">
        <v>1</v>
      </c>
      <c r="L2494" s="6">
        <f ca="1">IFERROR(__xludf.DUMMYFUNCTION("IFERROR(GOOGLEFINANCE(B2494,""changepct""),K2494)"),1)</f>
        <v>1</v>
      </c>
      <c r="M2494" s="6">
        <f ca="1">IFERROR(__xludf.DUMMYFUNCTION("IFERROR(GOOGLEFINANCE(B2494,""change""),0)"),0)</f>
        <v>0</v>
      </c>
      <c r="N2494" s="6">
        <v>1</v>
      </c>
      <c r="O2494" s="7">
        <v>45536</v>
      </c>
      <c r="P2494" s="9"/>
      <c r="Q2494" s="6">
        <v>55.19</v>
      </c>
      <c r="R2494" s="7">
        <v>45536</v>
      </c>
      <c r="S2494" s="6">
        <v>34.6</v>
      </c>
      <c r="T2494" s="6">
        <v>3.12</v>
      </c>
      <c r="U2494" s="7">
        <v>45536</v>
      </c>
      <c r="V2494" s="6">
        <v>18.37</v>
      </c>
      <c r="W2494" s="6">
        <f ca="1">IFERROR(__xludf.DUMMYFUNCTION("IFERROR(GOOGLEFINANCE(B2494,""pe""),V2494)"),18.37)</f>
        <v>18.37</v>
      </c>
      <c r="X2494" s="6">
        <v>0.73</v>
      </c>
      <c r="Y2494" s="6">
        <v>4.1100000000000003</v>
      </c>
      <c r="Z2494" s="6">
        <v>1</v>
      </c>
      <c r="AA2494" s="17">
        <v>45352</v>
      </c>
      <c r="AB2494" s="18">
        <v>0</v>
      </c>
      <c r="AC2494" s="6">
        <v>24.65</v>
      </c>
      <c r="AD2494" s="6">
        <v>25.23</v>
      </c>
      <c r="AE2494" s="1">
        <v>0</v>
      </c>
      <c r="AF2494" s="1">
        <f ca="1">IFERROR(__xludf.DUMMYFUNCTION("IFERROR(GOOGLEFINANCE(TRIM(F2494)&amp;"":"" &amp; TRIM(B2494),""high52""),AE2494)"),0)</f>
        <v>0</v>
      </c>
      <c r="AG2494" s="1">
        <v>0</v>
      </c>
      <c r="AH2494" s="1">
        <f ca="1">IFERROR(__xludf.DUMMYFUNCTION("IFERROR(GOOGLEFINANCE(TRIM(F2494)&amp;"":"" &amp; TRIM(B2494),""low52""),AE2494)"),0)</f>
        <v>0</v>
      </c>
      <c r="AI2494" s="1">
        <f ca="1">IFERROR(__xludf.DUMMYFUNCTION("IFERROR(GOOGLEFINANCE(B2494,""eps""),0)"),0)</f>
        <v>0</v>
      </c>
      <c r="AJ2494" s="1"/>
      <c r="AK2494" s="1" t="s">
        <v>7770</v>
      </c>
      <c r="AL2494" s="9">
        <f t="shared" si="254"/>
        <v>1</v>
      </c>
    </row>
    <row r="2495" spans="1:38" ht="15" x14ac:dyDescent="0.25">
      <c r="A2495" s="1" t="s">
        <v>7771</v>
      </c>
      <c r="B2495" s="1" t="s">
        <v>7772</v>
      </c>
      <c r="C2495" s="1" t="s">
        <v>416</v>
      </c>
      <c r="D2495" s="1" t="s">
        <v>416</v>
      </c>
      <c r="E2495" s="6">
        <v>671.2</v>
      </c>
      <c r="F2495" s="1" t="s">
        <v>40</v>
      </c>
      <c r="G2495" s="6">
        <f ca="1">IFERROR(__xludf.DUMMYFUNCTION("iferror(GOOGLEFINANCE(TRIM(F2495)&amp;"":"" &amp; TRIM(B2495), ""price""),0
)"),0)</f>
        <v>0</v>
      </c>
      <c r="H2495" s="6">
        <v>361.25</v>
      </c>
      <c r="I2495" s="6">
        <f t="shared" ca="1" si="0"/>
        <v>361.25</v>
      </c>
      <c r="J2495" s="6">
        <f ca="1">IFERROR(__xludf.DUMMYFUNCTION("IFERROR(GOOGLEFINANCE(B2495, ""volume""), 0)"),0)</f>
        <v>0</v>
      </c>
      <c r="K2495" s="6">
        <v>1.4</v>
      </c>
      <c r="L2495" s="6">
        <f ca="1">IFERROR(__xludf.DUMMYFUNCTION("IFERROR(GOOGLEFINANCE(B2495,""changepct""),K2495)"),1.4)</f>
        <v>1.4</v>
      </c>
      <c r="M2495" s="6">
        <f ca="1">IFERROR(__xludf.DUMMYFUNCTION("IFERROR(GOOGLEFINANCE(B2495,""change""),0)"),0)</f>
        <v>0</v>
      </c>
      <c r="N2495" s="6">
        <v>1</v>
      </c>
      <c r="O2495" s="7">
        <v>45536</v>
      </c>
      <c r="P2495" s="6">
        <v>33.58</v>
      </c>
      <c r="Q2495" s="6">
        <v>665.31</v>
      </c>
      <c r="R2495" s="7">
        <v>45352</v>
      </c>
      <c r="S2495" s="6">
        <v>306.26</v>
      </c>
      <c r="T2495" s="6">
        <v>20.72</v>
      </c>
      <c r="U2495" s="7">
        <v>45352</v>
      </c>
      <c r="V2495" s="6">
        <v>32.39</v>
      </c>
      <c r="W2495" s="6">
        <f ca="1">IFERROR(__xludf.DUMMYFUNCTION("IFERROR(GOOGLEFINANCE(B2495,""pe""),V2495)"),32.39)</f>
        <v>32.39</v>
      </c>
      <c r="X2495" s="12"/>
      <c r="Y2495" s="6">
        <v>5.58</v>
      </c>
      <c r="Z2495" s="6">
        <v>1</v>
      </c>
      <c r="AA2495" s="8">
        <v>45352</v>
      </c>
      <c r="AB2495" s="4">
        <v>0.3</v>
      </c>
      <c r="AC2495" s="6">
        <v>24.24</v>
      </c>
      <c r="AD2495" s="6">
        <v>27.03</v>
      </c>
      <c r="AE2495" s="1">
        <v>0</v>
      </c>
      <c r="AF2495" s="1">
        <f ca="1">IFERROR(__xludf.DUMMYFUNCTION("IFERROR(GOOGLEFINANCE(TRIM(F2495)&amp;"":"" &amp; TRIM(B2495),""high52""),AE2495)"),0)</f>
        <v>0</v>
      </c>
      <c r="AG2495" s="1">
        <v>0</v>
      </c>
      <c r="AH2495" s="1">
        <f ca="1">IFERROR(__xludf.DUMMYFUNCTION("IFERROR(GOOGLEFINANCE(TRIM(F2495)&amp;"":"" &amp; TRIM(B2495),""low52""),AE2495)"),0)</f>
        <v>0</v>
      </c>
      <c r="AI2495" s="1">
        <f ca="1">IFERROR(__xludf.DUMMYFUNCTION("IFERROR(GOOGLEFINANCE(B2495,""eps""),0)"),0)</f>
        <v>0</v>
      </c>
      <c r="AJ2495" s="1"/>
      <c r="AK2495" s="1" t="s">
        <v>7773</v>
      </c>
      <c r="AL2495" s="9">
        <f t="shared" si="254"/>
        <v>1</v>
      </c>
    </row>
    <row r="2496" spans="1:38" ht="15" x14ac:dyDescent="0.25">
      <c r="A2496" s="1" t="s">
        <v>7774</v>
      </c>
      <c r="B2496" s="1" t="s">
        <v>7775</v>
      </c>
      <c r="C2496" s="1" t="s">
        <v>2222</v>
      </c>
      <c r="D2496" s="1" t="s">
        <v>2222</v>
      </c>
      <c r="E2496" s="6">
        <v>67.319999999999993</v>
      </c>
      <c r="F2496" s="1" t="s">
        <v>53</v>
      </c>
      <c r="G2496" s="6">
        <f ca="1">IFERROR(__xludf.DUMMYFUNCTION("iferror(GOOGLEFINANCE(TRIM(F2496)&amp;"":"" &amp; TRIM(B2496), ""price""),0
)"),0)</f>
        <v>0</v>
      </c>
      <c r="H2496" s="6">
        <v>129</v>
      </c>
      <c r="I2496" s="6">
        <f t="shared" ca="1" si="0"/>
        <v>129</v>
      </c>
      <c r="J2496" s="6">
        <f ca="1">IFERROR(__xludf.DUMMYFUNCTION("IFERROR(GOOGLEFINANCE(B2496, ""volume""), 0)"),5)</f>
        <v>5</v>
      </c>
      <c r="K2496" s="6">
        <v>-3.37</v>
      </c>
      <c r="L2496" s="6">
        <f ca="1">IFERROR(__xludf.DUMMYFUNCTION("IFERROR(GOOGLEFINANCE(B2496,""changepct""),K2496)"),3.19)</f>
        <v>3.19</v>
      </c>
      <c r="M2496" s="6">
        <f ca="1">IFERROR(__xludf.DUMMYFUNCTION("IFERROR(GOOGLEFINANCE(B2496,""change""),0)"),0.05)</f>
        <v>0.05</v>
      </c>
      <c r="N2496" s="6">
        <v>1</v>
      </c>
      <c r="O2496" s="7">
        <v>45536</v>
      </c>
      <c r="P2496" s="6">
        <v>28.65</v>
      </c>
      <c r="Q2496" s="6">
        <v>95.46</v>
      </c>
      <c r="R2496" s="7">
        <v>45536</v>
      </c>
      <c r="S2496" s="6">
        <v>43.51</v>
      </c>
      <c r="T2496" s="6">
        <v>-4.4800000000000004</v>
      </c>
      <c r="U2496" s="7">
        <v>45536</v>
      </c>
      <c r="V2496" s="6">
        <v>0</v>
      </c>
      <c r="W2496" s="6">
        <f ca="1">IFERROR(__xludf.DUMMYFUNCTION("IFERROR(GOOGLEFINANCE(B2496,""pe""),V2496)"),18.77)</f>
        <v>18.77</v>
      </c>
      <c r="X2496" s="9"/>
      <c r="Y2496" s="6">
        <v>-19.61</v>
      </c>
      <c r="Z2496" s="6">
        <v>1</v>
      </c>
      <c r="AA2496" s="8">
        <v>45352</v>
      </c>
      <c r="AB2496" s="4">
        <v>-28.49</v>
      </c>
      <c r="AC2496" s="6">
        <v>0</v>
      </c>
      <c r="AD2496" s="6">
        <v>-5.74</v>
      </c>
      <c r="AE2496" s="1">
        <v>0</v>
      </c>
      <c r="AF2496" s="1">
        <f ca="1">IFERROR(__xludf.DUMMYFUNCTION("IFERROR(GOOGLEFINANCE(TRIM(F2496)&amp;"":"" &amp; TRIM(B2496),""high52""),AE2496)"),0)</f>
        <v>0</v>
      </c>
      <c r="AG2496" s="1">
        <v>0</v>
      </c>
      <c r="AH2496" s="1">
        <f ca="1">IFERROR(__xludf.DUMMYFUNCTION("IFERROR(GOOGLEFINANCE(TRIM(F2496)&amp;"":"" &amp; TRIM(B2496),""low52""),AE2496)"),0)</f>
        <v>0</v>
      </c>
      <c r="AI2496" s="1">
        <f ca="1">IFERROR(__xludf.DUMMYFUNCTION("IFERROR(GOOGLEFINANCE(B2496,""eps""),0)"),0.08)</f>
        <v>0.08</v>
      </c>
      <c r="AJ2496" s="1"/>
      <c r="AK2496" s="1" t="s">
        <v>7776</v>
      </c>
      <c r="AL2496" s="9">
        <f t="shared" si="254"/>
        <v>1</v>
      </c>
    </row>
    <row r="2497" spans="1:38" ht="15" x14ac:dyDescent="0.25">
      <c r="A2497" s="1" t="s">
        <v>7777</v>
      </c>
      <c r="B2497" s="1" t="s">
        <v>7778</v>
      </c>
      <c r="C2497" s="1" t="s">
        <v>135</v>
      </c>
      <c r="D2497" s="1" t="s">
        <v>135</v>
      </c>
      <c r="E2497" s="6">
        <v>2060.4499999999998</v>
      </c>
      <c r="F2497" s="1" t="s">
        <v>40</v>
      </c>
      <c r="G2497" s="6">
        <f ca="1">IFERROR(__xludf.DUMMYFUNCTION("iferror(GOOGLEFINANCE(TRIM(F2497)&amp;"":"" &amp; TRIM(B2497), ""price""),0
)"),53.01)</f>
        <v>53.01</v>
      </c>
      <c r="H2497" s="6">
        <v>81.06</v>
      </c>
      <c r="I2497" s="6">
        <f t="shared" ca="1" si="0"/>
        <v>53.01</v>
      </c>
      <c r="J2497" s="6">
        <f ca="1">IFERROR(__xludf.DUMMYFUNCTION("IFERROR(GOOGLEFINANCE(B2497, ""volume""), 0)"),17030)</f>
        <v>17030</v>
      </c>
      <c r="K2497" s="6">
        <v>0.1</v>
      </c>
      <c r="L2497" s="6">
        <f ca="1">IFERROR(__xludf.DUMMYFUNCTION("IFERROR(GOOGLEFINANCE(B2497,""changepct""),K2497)"),-0.14)</f>
        <v>-0.14000000000000001</v>
      </c>
      <c r="M2497" s="6">
        <f ca="1">IFERROR(__xludf.DUMMYFUNCTION("IFERROR(GOOGLEFINANCE(B2497,""change""),0)"),-0.05)</f>
        <v>-0.05</v>
      </c>
      <c r="N2497" s="6">
        <v>2</v>
      </c>
      <c r="O2497" s="7">
        <v>45536</v>
      </c>
      <c r="P2497" s="6">
        <v>797.28</v>
      </c>
      <c r="Q2497" s="6">
        <v>2824.95</v>
      </c>
      <c r="R2497" s="7">
        <v>45536</v>
      </c>
      <c r="S2497" s="6">
        <v>1719.56</v>
      </c>
      <c r="T2497" s="6">
        <v>-82.22</v>
      </c>
      <c r="U2497" s="7">
        <v>45536</v>
      </c>
      <c r="V2497" s="6">
        <v>0</v>
      </c>
      <c r="W2497" s="6">
        <f ca="1">IFERROR(__xludf.DUMMYFUNCTION("IFERROR(GOOGLEFINANCE(B2497,""pe""),V2497)"),25.89)</f>
        <v>25.89</v>
      </c>
      <c r="X2497" s="12"/>
      <c r="Y2497" s="6">
        <v>1.37</v>
      </c>
      <c r="Z2497" s="6">
        <v>2</v>
      </c>
      <c r="AA2497" s="8">
        <v>45352</v>
      </c>
      <c r="AB2497" s="4">
        <v>0.55000000000000004</v>
      </c>
      <c r="AC2497" s="6">
        <v>-6.63</v>
      </c>
      <c r="AD2497" s="6">
        <v>-2.94</v>
      </c>
      <c r="AE2497" s="1">
        <v>0</v>
      </c>
      <c r="AF2497" s="1">
        <f ca="1">IFERROR(__xludf.DUMMYFUNCTION("IFERROR(GOOGLEFINANCE(TRIM(F2497)&amp;"":"" &amp; TRIM(B2497),""high52""),AE2497)"),106.3)</f>
        <v>106.3</v>
      </c>
      <c r="AG2497" s="1">
        <v>0</v>
      </c>
      <c r="AH2497" s="1">
        <f ca="1">IFERROR(__xludf.DUMMYFUNCTION("IFERROR(GOOGLEFINANCE(TRIM(F2497)&amp;"":"" &amp; TRIM(B2497),""low52""),AE2497)"),52.17)</f>
        <v>52.17</v>
      </c>
      <c r="AI2497" s="1">
        <f ca="1">IFERROR(__xludf.DUMMYFUNCTION("IFERROR(GOOGLEFINANCE(B2497,""eps""),0)"),1.34)</f>
        <v>1.34</v>
      </c>
      <c r="AJ2497" s="1"/>
      <c r="AK2497" s="1" t="s">
        <v>7779</v>
      </c>
      <c r="AL2497" s="9">
        <f t="shared" si="254"/>
        <v>1</v>
      </c>
    </row>
    <row r="2498" spans="1:38" ht="15" x14ac:dyDescent="0.25">
      <c r="A2498" s="1" t="s">
        <v>7780</v>
      </c>
      <c r="B2498" s="1" t="s">
        <v>7781</v>
      </c>
      <c r="C2498" s="1" t="s">
        <v>2222</v>
      </c>
      <c r="D2498" s="1" t="s">
        <v>2222</v>
      </c>
      <c r="E2498" s="6">
        <v>16.54</v>
      </c>
      <c r="F2498" s="1" t="s">
        <v>53</v>
      </c>
      <c r="G2498" s="6">
        <f ca="1">IFERROR(__xludf.DUMMYFUNCTION("iferror(GOOGLEFINANCE(TRIM(F2498)&amp;"":"" &amp; TRIM(B2498), ""price""),0
)"),0)</f>
        <v>0</v>
      </c>
      <c r="H2498" s="6">
        <v>47.25</v>
      </c>
      <c r="I2498" s="6">
        <f t="shared" ca="1" si="0"/>
        <v>47.25</v>
      </c>
      <c r="J2498" s="6">
        <f ca="1">IFERROR(__xludf.DUMMYFUNCTION("IFERROR(GOOGLEFINANCE(B2498, ""volume""), 0)"),0)</f>
        <v>0</v>
      </c>
      <c r="K2498" s="6">
        <v>-3.96</v>
      </c>
      <c r="L2498" s="6">
        <f ca="1">IFERROR(__xludf.DUMMYFUNCTION("IFERROR(GOOGLEFINANCE(B2498,""changepct""),K2498)"),-3.96)</f>
        <v>-3.96</v>
      </c>
      <c r="M2498" s="6">
        <f ca="1">IFERROR(__xludf.DUMMYFUNCTION("IFERROR(GOOGLEFINANCE(B2498,""change""),0)"),0)</f>
        <v>0</v>
      </c>
      <c r="N2498" s="6">
        <v>1</v>
      </c>
      <c r="O2498" s="7">
        <v>45536</v>
      </c>
      <c r="P2498" s="6">
        <v>0.52</v>
      </c>
      <c r="Q2498" s="6">
        <v>17.059999999999999</v>
      </c>
      <c r="R2498" s="7">
        <v>45536</v>
      </c>
      <c r="S2498" s="6">
        <v>0</v>
      </c>
      <c r="T2498" s="6">
        <v>-1.31</v>
      </c>
      <c r="U2498" s="7">
        <v>45536</v>
      </c>
      <c r="V2498" s="6">
        <v>0</v>
      </c>
      <c r="W2498" s="6">
        <f ca="1">IFERROR(__xludf.DUMMYFUNCTION("IFERROR(GOOGLEFINANCE(B2498,""pe""),V2498)"),0)</f>
        <v>0</v>
      </c>
      <c r="X2498" s="6">
        <v>0</v>
      </c>
      <c r="Y2498" s="6">
        <v>1.19</v>
      </c>
      <c r="Z2498" s="6">
        <v>1</v>
      </c>
      <c r="AA2498" s="8">
        <v>45352</v>
      </c>
      <c r="AB2498" s="4">
        <v>0.05</v>
      </c>
      <c r="AC2498" s="6">
        <v>-4.78</v>
      </c>
      <c r="AD2498" s="6">
        <v>-3.95</v>
      </c>
      <c r="AE2498" s="1">
        <v>0</v>
      </c>
      <c r="AF2498" s="1">
        <f ca="1">IFERROR(__xludf.DUMMYFUNCTION("IFERROR(GOOGLEFINANCE(TRIM(F2498)&amp;"":"" &amp; TRIM(B2498),""high52""),AE2498)"),0)</f>
        <v>0</v>
      </c>
      <c r="AG2498" s="1">
        <v>0</v>
      </c>
      <c r="AH2498" s="1">
        <f ca="1">IFERROR(__xludf.DUMMYFUNCTION("IFERROR(GOOGLEFINANCE(TRIM(F2498)&amp;"":"" &amp; TRIM(B2498),""low52""),AE2498)"),0)</f>
        <v>0</v>
      </c>
      <c r="AI2498" s="1">
        <f ca="1">IFERROR(__xludf.DUMMYFUNCTION("IFERROR(GOOGLEFINANCE(B2498,""eps""),0)"),0)</f>
        <v>0</v>
      </c>
      <c r="AJ2498" s="1"/>
      <c r="AK2498" s="1" t="s">
        <v>7782</v>
      </c>
      <c r="AL2498" s="9">
        <f t="shared" si="254"/>
        <v>1</v>
      </c>
    </row>
    <row r="2499" spans="1:38" ht="15" x14ac:dyDescent="0.25">
      <c r="A2499" s="1" t="s">
        <v>7783</v>
      </c>
      <c r="B2499" s="1" t="s">
        <v>7784</v>
      </c>
      <c r="C2499" s="1" t="s">
        <v>2222</v>
      </c>
      <c r="D2499" s="1" t="s">
        <v>2222</v>
      </c>
      <c r="E2499" s="6">
        <v>477.62</v>
      </c>
      <c r="F2499" s="1" t="s">
        <v>53</v>
      </c>
      <c r="G2499" s="6">
        <f ca="1">IFERROR(__xludf.DUMMYFUNCTION("iferror(GOOGLEFINANCE(TRIM(F2499)&amp;"":"" &amp; TRIM(B2499), ""price""),0
)"),0)</f>
        <v>0</v>
      </c>
      <c r="H2499" s="6">
        <v>60.89</v>
      </c>
      <c r="I2499" s="6">
        <f t="shared" ca="1" si="0"/>
        <v>60.89</v>
      </c>
      <c r="J2499" s="6">
        <f ca="1">IFERROR(__xludf.DUMMYFUNCTION("IFERROR(GOOGLEFINANCE(B2499, ""volume""), 0)"),0)</f>
        <v>0</v>
      </c>
      <c r="K2499" s="6">
        <v>-2</v>
      </c>
      <c r="L2499" s="6">
        <f ca="1">IFERROR(__xludf.DUMMYFUNCTION("IFERROR(GOOGLEFINANCE(B2499,""changepct""),K2499)"),-2)</f>
        <v>-2</v>
      </c>
      <c r="M2499" s="6">
        <f ca="1">IFERROR(__xludf.DUMMYFUNCTION("IFERROR(GOOGLEFINANCE(B2499,""change""),0)"),0)</f>
        <v>0</v>
      </c>
      <c r="N2499" s="6">
        <v>1</v>
      </c>
      <c r="O2499" s="7">
        <v>45536</v>
      </c>
      <c r="P2499" s="9"/>
      <c r="Q2499" s="6">
        <v>477.62</v>
      </c>
      <c r="R2499" s="7">
        <v>45536</v>
      </c>
      <c r="S2499" s="6">
        <v>0.01</v>
      </c>
      <c r="T2499" s="6">
        <v>-0.24</v>
      </c>
      <c r="U2499" s="7">
        <v>45536</v>
      </c>
      <c r="V2499" s="6">
        <v>0</v>
      </c>
      <c r="W2499" s="6">
        <f ca="1">IFERROR(__xludf.DUMMYFUNCTION("IFERROR(GOOGLEFINANCE(B2499,""pe""),V2499)"),0)</f>
        <v>0</v>
      </c>
      <c r="X2499" s="12"/>
      <c r="Y2499" s="6">
        <v>16.57</v>
      </c>
      <c r="Z2499" s="6">
        <v>1</v>
      </c>
      <c r="AA2499" s="8">
        <v>45352</v>
      </c>
      <c r="AB2499" s="4">
        <v>0</v>
      </c>
      <c r="AC2499" s="6">
        <v>-3.43</v>
      </c>
      <c r="AD2499" s="6">
        <v>-0.59</v>
      </c>
      <c r="AE2499" s="1">
        <v>0</v>
      </c>
      <c r="AF2499" s="1">
        <f ca="1">IFERROR(__xludf.DUMMYFUNCTION("IFERROR(GOOGLEFINANCE(TRIM(F2499)&amp;"":"" &amp; TRIM(B2499),""high52""),AE2499)"),0)</f>
        <v>0</v>
      </c>
      <c r="AG2499" s="1">
        <v>0</v>
      </c>
      <c r="AH2499" s="1">
        <f ca="1">IFERROR(__xludf.DUMMYFUNCTION("IFERROR(GOOGLEFINANCE(TRIM(F2499)&amp;"":"" &amp; TRIM(B2499),""low52""),AE2499)"),0)</f>
        <v>0</v>
      </c>
      <c r="AI2499" s="1">
        <f ca="1">IFERROR(__xludf.DUMMYFUNCTION("IFERROR(GOOGLEFINANCE(B2499,""eps""),0)"),0)</f>
        <v>0</v>
      </c>
      <c r="AJ2499" s="1"/>
      <c r="AK2499" s="9"/>
      <c r="AL2499" s="9">
        <f t="shared" si="254"/>
        <v>1</v>
      </c>
    </row>
    <row r="2500" spans="1:38" ht="15" x14ac:dyDescent="0.25">
      <c r="A2500" s="1" t="s">
        <v>7785</v>
      </c>
      <c r="B2500" s="1" t="s">
        <v>7786</v>
      </c>
      <c r="C2500" s="1" t="s">
        <v>57</v>
      </c>
      <c r="D2500" s="1" t="s">
        <v>57</v>
      </c>
      <c r="E2500" s="6">
        <v>7.26</v>
      </c>
      <c r="F2500" s="1" t="s">
        <v>40</v>
      </c>
      <c r="G2500" s="6">
        <f ca="1">IFERROR(__xludf.DUMMYFUNCTION("iferror(GOOGLEFINANCE(TRIM(F2500)&amp;"":"" &amp; TRIM(B2500), ""price""),0
)"),0)</f>
        <v>0</v>
      </c>
      <c r="H2500" s="6">
        <v>4.25</v>
      </c>
      <c r="I2500" s="6">
        <f t="shared" ca="1" si="0"/>
        <v>4.25</v>
      </c>
      <c r="J2500" s="6">
        <f ca="1">IFERROR(__xludf.DUMMYFUNCTION("IFERROR(GOOGLEFINANCE(B2500, ""volume""), 0)"),0)</f>
        <v>0</v>
      </c>
      <c r="K2500" s="9"/>
      <c r="L2500" s="6" t="str">
        <f ca="1">IFERROR(__xludf.DUMMYFUNCTION("IFERROR(GOOGLEFINANCE(B2500,""changepct""),K2500)"),"")</f>
        <v/>
      </c>
      <c r="M2500" s="6">
        <f ca="1">IFERROR(__xludf.DUMMYFUNCTION("IFERROR(GOOGLEFINANCE(B2500,""change""),0)"),0)</f>
        <v>0</v>
      </c>
      <c r="N2500" s="6">
        <v>1</v>
      </c>
      <c r="O2500" s="7">
        <v>45536</v>
      </c>
      <c r="P2500" s="6">
        <v>1.07</v>
      </c>
      <c r="Q2500" s="6">
        <v>8.33</v>
      </c>
      <c r="R2500" s="7">
        <v>45536</v>
      </c>
      <c r="S2500" s="6">
        <v>0</v>
      </c>
      <c r="T2500" s="6">
        <v>11.21</v>
      </c>
      <c r="U2500" s="7">
        <v>45444</v>
      </c>
      <c r="V2500" s="6">
        <v>0.64</v>
      </c>
      <c r="W2500" s="6">
        <f ca="1">IFERROR(__xludf.DUMMYFUNCTION("IFERROR(GOOGLEFINANCE(B2500,""pe""),V2500)"),0.64)</f>
        <v>0.64</v>
      </c>
      <c r="X2500" s="6">
        <v>0</v>
      </c>
      <c r="Y2500" s="6">
        <v>0.81</v>
      </c>
      <c r="Z2500" s="6">
        <v>1</v>
      </c>
      <c r="AA2500" s="8">
        <v>45352</v>
      </c>
      <c r="AB2500" s="4">
        <v>0.52</v>
      </c>
      <c r="AC2500" s="6">
        <v>0</v>
      </c>
      <c r="AD2500" s="6">
        <v>362.73</v>
      </c>
      <c r="AE2500" s="1">
        <v>0</v>
      </c>
      <c r="AF2500" s="1">
        <f ca="1">IFERROR(__xludf.DUMMYFUNCTION("IFERROR(GOOGLEFINANCE(TRIM(F2500)&amp;"":"" &amp; TRIM(B2500),""high52""),AE2500)"),0)</f>
        <v>0</v>
      </c>
      <c r="AG2500" s="1">
        <v>0</v>
      </c>
      <c r="AH2500" s="1">
        <f ca="1">IFERROR(__xludf.DUMMYFUNCTION("IFERROR(GOOGLEFINANCE(TRIM(F2500)&amp;"":"" &amp; TRIM(B2500),""low52""),AE2500)"),0)</f>
        <v>0</v>
      </c>
      <c r="AI2500" s="1">
        <f ca="1">IFERROR(__xludf.DUMMYFUNCTION("IFERROR(GOOGLEFINANCE(B2500,""eps""),0)"),0)</f>
        <v>0</v>
      </c>
      <c r="AJ2500" s="1"/>
      <c r="AK2500" s="1" t="s">
        <v>7787</v>
      </c>
      <c r="AL2500" s="9">
        <f t="shared" si="254"/>
        <v>1</v>
      </c>
    </row>
    <row r="2501" spans="1:38" ht="15" x14ac:dyDescent="0.25">
      <c r="A2501" s="1" t="s">
        <v>7788</v>
      </c>
      <c r="B2501" s="1" t="s">
        <v>7789</v>
      </c>
      <c r="C2501" s="1" t="s">
        <v>2222</v>
      </c>
      <c r="D2501" s="1" t="s">
        <v>2222</v>
      </c>
      <c r="E2501" s="6">
        <v>0</v>
      </c>
      <c r="F2501" s="1" t="s">
        <v>53</v>
      </c>
      <c r="G2501" s="6">
        <f ca="1">IFERROR(__xludf.DUMMYFUNCTION("iferror(GOOGLEFINANCE(TRIM(F2501)&amp;"":"" &amp; TRIM(B2501), ""price""),0
)"),0)</f>
        <v>0</v>
      </c>
      <c r="H2501" s="6">
        <v>24.49</v>
      </c>
      <c r="I2501" s="6">
        <f t="shared" ca="1" si="0"/>
        <v>24.49</v>
      </c>
      <c r="J2501" s="6">
        <f ca="1">IFERROR(__xludf.DUMMYFUNCTION("IFERROR(GOOGLEFINANCE(B2501, ""volume""), 0)"),0)</f>
        <v>0</v>
      </c>
      <c r="K2501" s="6">
        <v>4.97</v>
      </c>
      <c r="L2501" s="6">
        <f ca="1">IFERROR(__xludf.DUMMYFUNCTION("IFERROR(GOOGLEFINANCE(B2501,""changepct""),K2501)"),4.97)</f>
        <v>4.97</v>
      </c>
      <c r="M2501" s="6">
        <f ca="1">IFERROR(__xludf.DUMMYFUNCTION("IFERROR(GOOGLEFINANCE(B2501,""change""),0)"),0)</f>
        <v>0</v>
      </c>
      <c r="N2501" s="6">
        <v>1</v>
      </c>
      <c r="O2501" s="7">
        <v>45352</v>
      </c>
      <c r="P2501" s="6">
        <v>0.8</v>
      </c>
      <c r="Q2501" s="6">
        <v>0.32</v>
      </c>
      <c r="R2501" s="9"/>
      <c r="S2501" s="9"/>
      <c r="T2501" s="9"/>
      <c r="U2501" s="7">
        <v>45352</v>
      </c>
      <c r="V2501" s="14"/>
      <c r="W2501" s="10" t="str">
        <f ca="1">IFERROR(__xludf.DUMMYFUNCTION("IFERROR(GOOGLEFINANCE(B2501,""pe""),V2501)"),"")</f>
        <v/>
      </c>
      <c r="X2501" s="9"/>
      <c r="Y2501" s="9"/>
      <c r="Z2501" s="6">
        <v>1</v>
      </c>
      <c r="AA2501" s="8">
        <v>45352</v>
      </c>
      <c r="AB2501" s="4">
        <v>0.06</v>
      </c>
      <c r="AC2501" s="6">
        <v>5.32</v>
      </c>
      <c r="AD2501" s="6">
        <v>7.18</v>
      </c>
      <c r="AE2501" s="1">
        <v>0</v>
      </c>
      <c r="AF2501" s="1">
        <f ca="1">IFERROR(__xludf.DUMMYFUNCTION("IFERROR(GOOGLEFINANCE(TRIM(F2501)&amp;"":"" &amp; TRIM(B2501),""high52""),AE2501)"),0)</f>
        <v>0</v>
      </c>
      <c r="AG2501" s="1">
        <v>0</v>
      </c>
      <c r="AH2501" s="1">
        <f ca="1">IFERROR(__xludf.DUMMYFUNCTION("IFERROR(GOOGLEFINANCE(TRIM(F2501)&amp;"":"" &amp; TRIM(B2501),""low52""),AE2501)"),0)</f>
        <v>0</v>
      </c>
      <c r="AI2501" s="1">
        <f ca="1">IFERROR(__xludf.DUMMYFUNCTION("IFERROR(GOOGLEFINANCE(B2501,""eps""),0)"),0)</f>
        <v>0</v>
      </c>
      <c r="AJ2501" s="1"/>
      <c r="AK2501" s="1" t="s">
        <v>7790</v>
      </c>
      <c r="AL2501" s="9">
        <f t="shared" si="254"/>
        <v>1</v>
      </c>
    </row>
    <row r="2502" spans="1:38" ht="15" x14ac:dyDescent="0.25">
      <c r="A2502" s="1" t="s">
        <v>7791</v>
      </c>
      <c r="B2502" s="1" t="s">
        <v>7792</v>
      </c>
      <c r="C2502" s="1" t="s">
        <v>907</v>
      </c>
      <c r="D2502" s="1" t="s">
        <v>907</v>
      </c>
      <c r="E2502" s="6">
        <v>682.85</v>
      </c>
      <c r="F2502" s="1" t="s">
        <v>40</v>
      </c>
      <c r="G2502" s="6">
        <f ca="1">IFERROR(__xludf.DUMMYFUNCTION("iferror(GOOGLEFINANCE(TRIM(F2502)&amp;"":"" &amp; TRIM(B2502), ""price""),0
)"),111.5)</f>
        <v>111.5</v>
      </c>
      <c r="H2502" s="6">
        <v>122.26</v>
      </c>
      <c r="I2502" s="6">
        <f t="shared" ca="1" si="0"/>
        <v>111.5</v>
      </c>
      <c r="J2502" s="6">
        <f ca="1">IFERROR(__xludf.DUMMYFUNCTION("IFERROR(GOOGLEFINANCE(B2502, ""volume""), 0)"),28499)</f>
        <v>28499</v>
      </c>
      <c r="K2502" s="6">
        <v>-0.13</v>
      </c>
      <c r="L2502" s="6">
        <f ca="1">IFERROR(__xludf.DUMMYFUNCTION("IFERROR(GOOGLEFINANCE(B2502,""changepct""),K2502)"),-0.96)</f>
        <v>-0.96</v>
      </c>
      <c r="M2502" s="6">
        <f ca="1">IFERROR(__xludf.DUMMYFUNCTION("IFERROR(GOOGLEFINANCE(B2502,""change""),0)"),-1.08)</f>
        <v>-1.08</v>
      </c>
      <c r="N2502" s="6">
        <v>2</v>
      </c>
      <c r="O2502" s="7">
        <v>45536</v>
      </c>
      <c r="P2502" s="6">
        <v>46.88</v>
      </c>
      <c r="Q2502" s="6">
        <v>702.54</v>
      </c>
      <c r="R2502" s="7">
        <v>45536</v>
      </c>
      <c r="S2502" s="6">
        <v>222.89</v>
      </c>
      <c r="T2502" s="6">
        <v>23.95</v>
      </c>
      <c r="U2502" s="7">
        <v>45536</v>
      </c>
      <c r="V2502" s="6">
        <v>28.51</v>
      </c>
      <c r="W2502" s="6">
        <f ca="1">IFERROR(__xludf.DUMMYFUNCTION("IFERROR(GOOGLEFINANCE(B2502,""pe""),V2502)"),20.13)</f>
        <v>20.13</v>
      </c>
      <c r="X2502" s="9"/>
      <c r="Y2502" s="6">
        <v>4.66</v>
      </c>
      <c r="Z2502" s="6">
        <v>2</v>
      </c>
      <c r="AA2502" s="8">
        <v>45352</v>
      </c>
      <c r="AB2502" s="4">
        <v>0.23</v>
      </c>
      <c r="AC2502" s="6">
        <v>17.510000000000002</v>
      </c>
      <c r="AD2502" s="6">
        <v>22.3</v>
      </c>
      <c r="AE2502" s="1">
        <v>0</v>
      </c>
      <c r="AF2502" s="1">
        <f ca="1">IFERROR(__xludf.DUMMYFUNCTION("IFERROR(GOOGLEFINANCE(TRIM(F2502)&amp;"":"" &amp; TRIM(B2502),""high52""),AE2502)"),145.9)</f>
        <v>145.9</v>
      </c>
      <c r="AG2502" s="1">
        <v>0</v>
      </c>
      <c r="AH2502" s="1">
        <f ca="1">IFERROR(__xludf.DUMMYFUNCTION("IFERROR(GOOGLEFINANCE(TRIM(F2502)&amp;"":"" &amp; TRIM(B2502),""low52""),AE2502)"),86)</f>
        <v>86</v>
      </c>
      <c r="AI2502" s="1">
        <f ca="1">IFERROR(__xludf.DUMMYFUNCTION("IFERROR(GOOGLEFINANCE(B2502,""eps""),0)"),5.54)</f>
        <v>5.54</v>
      </c>
      <c r="AJ2502" s="1"/>
      <c r="AK2502" s="1" t="s">
        <v>7793</v>
      </c>
      <c r="AL2502" s="1" t="b">
        <f>ISNUMBER(AA2502)</f>
        <v>1</v>
      </c>
    </row>
    <row r="2503" spans="1:38" ht="15" x14ac:dyDescent="0.25">
      <c r="A2503" s="1" t="s">
        <v>7794</v>
      </c>
      <c r="B2503" s="1" t="s">
        <v>7795</v>
      </c>
      <c r="C2503" s="1" t="s">
        <v>86</v>
      </c>
      <c r="D2503" s="1" t="s">
        <v>86</v>
      </c>
      <c r="E2503" s="6">
        <v>59.4</v>
      </c>
      <c r="F2503" s="1" t="s">
        <v>40</v>
      </c>
      <c r="G2503" s="6">
        <f ca="1">IFERROR(__xludf.DUMMYFUNCTION("iferror(GOOGLEFINANCE(TRIM(F2503)&amp;"":"" &amp; TRIM(B2503), ""price""),0
)"),1.37)</f>
        <v>1.37</v>
      </c>
      <c r="H2503" s="6">
        <v>3.28</v>
      </c>
      <c r="I2503" s="6">
        <f t="shared" ca="1" si="0"/>
        <v>1.37</v>
      </c>
      <c r="J2503" s="6">
        <f ca="1">IFERROR(__xludf.DUMMYFUNCTION("IFERROR(GOOGLEFINANCE(B2503, ""volume""), 0)"),30154)</f>
        <v>30154</v>
      </c>
      <c r="K2503" s="6">
        <v>4.79</v>
      </c>
      <c r="L2503" s="6">
        <f ca="1">IFERROR(__xludf.DUMMYFUNCTION("IFERROR(GOOGLEFINANCE(B2503,""changepct""),K2503)"),-1.44)</f>
        <v>-1.44</v>
      </c>
      <c r="M2503" s="6">
        <f ca="1">IFERROR(__xludf.DUMMYFUNCTION("IFERROR(GOOGLEFINANCE(B2503,""change""),0)"),-0.02)</f>
        <v>-0.02</v>
      </c>
      <c r="N2503" s="6">
        <v>1</v>
      </c>
      <c r="O2503" s="7">
        <v>45170</v>
      </c>
      <c r="P2503" s="6">
        <v>245.46</v>
      </c>
      <c r="Q2503" s="6">
        <v>292.75</v>
      </c>
      <c r="R2503" s="7">
        <v>45261</v>
      </c>
      <c r="S2503" s="6">
        <v>50.1</v>
      </c>
      <c r="T2503" s="6">
        <v>-222.14</v>
      </c>
      <c r="U2503" s="7">
        <v>45261</v>
      </c>
      <c r="V2503" s="6">
        <v>0</v>
      </c>
      <c r="W2503" s="6">
        <f ca="1">IFERROR(__xludf.DUMMYFUNCTION("IFERROR(GOOGLEFINANCE(B2503,""pe""),V2503)"),0)</f>
        <v>0</v>
      </c>
      <c r="X2503" s="9"/>
      <c r="Y2503" s="6">
        <v>0.4</v>
      </c>
      <c r="Z2503" s="6">
        <v>2</v>
      </c>
      <c r="AA2503" s="8">
        <v>44986</v>
      </c>
      <c r="AB2503" s="4">
        <v>-0.83</v>
      </c>
      <c r="AC2503" s="6">
        <v>0</v>
      </c>
      <c r="AD2503" s="6">
        <v>-20.94</v>
      </c>
      <c r="AE2503" s="1">
        <v>0</v>
      </c>
      <c r="AF2503" s="1">
        <f ca="1">IFERROR(__xludf.DUMMYFUNCTION("IFERROR(GOOGLEFINANCE(TRIM(F2503)&amp;"":"" &amp; TRIM(B2503),""high52""),AE2503)"),3.3)</f>
        <v>3.3</v>
      </c>
      <c r="AG2503" s="1">
        <v>0</v>
      </c>
      <c r="AH2503" s="1">
        <f ca="1">IFERROR(__xludf.DUMMYFUNCTION("IFERROR(GOOGLEFINANCE(TRIM(F2503)&amp;"":"" &amp; TRIM(B2503),""low52""),AE2503)"),1.14)</f>
        <v>1.1399999999999999</v>
      </c>
      <c r="AI2503" s="1">
        <f ca="1">IFERROR(__xludf.DUMMYFUNCTION("IFERROR(GOOGLEFINANCE(B2503,""eps""),0)"),0)</f>
        <v>0</v>
      </c>
      <c r="AJ2503" s="1"/>
      <c r="AK2503" s="1" t="s">
        <v>7796</v>
      </c>
      <c r="AL2503" s="9">
        <f t="shared" ref="AL2503:AL2509" si="255">IF(AA2503&lt;&gt;AB2503,1,0)</f>
        <v>1</v>
      </c>
    </row>
    <row r="2504" spans="1:38" ht="15" x14ac:dyDescent="0.25">
      <c r="A2504" s="1" t="s">
        <v>7797</v>
      </c>
      <c r="B2504" s="1" t="s">
        <v>7798</v>
      </c>
      <c r="C2504" s="1" t="s">
        <v>1528</v>
      </c>
      <c r="D2504" s="1" t="s">
        <v>1528</v>
      </c>
      <c r="E2504" s="6">
        <v>17.86</v>
      </c>
      <c r="F2504" s="1" t="s">
        <v>40</v>
      </c>
      <c r="G2504" s="6">
        <f ca="1">IFERROR(__xludf.DUMMYFUNCTION("iferror(GOOGLEFINANCE(TRIM(F2504)&amp;"":"" &amp; TRIM(B2504), ""price""),0
)"),0)</f>
        <v>0</v>
      </c>
      <c r="H2504" s="6">
        <v>4.05</v>
      </c>
      <c r="I2504" s="6">
        <f t="shared" ca="1" si="0"/>
        <v>4.05</v>
      </c>
      <c r="J2504" s="6">
        <f ca="1">IFERROR(__xludf.DUMMYFUNCTION("IFERROR(GOOGLEFINANCE(B2504, ""volume""), 0)"),0)</f>
        <v>0</v>
      </c>
      <c r="K2504" s="12"/>
      <c r="L2504" s="6" t="str">
        <f ca="1">IFERROR(__xludf.DUMMYFUNCTION("IFERROR(GOOGLEFINANCE(B2504,""changepct""),K2504)"),"")</f>
        <v/>
      </c>
      <c r="M2504" s="6">
        <f ca="1">IFERROR(__xludf.DUMMYFUNCTION("IFERROR(GOOGLEFINANCE(B2504,""change""),0)"),0)</f>
        <v>0</v>
      </c>
      <c r="N2504" s="6">
        <v>1</v>
      </c>
      <c r="O2504" s="7">
        <v>44986</v>
      </c>
      <c r="P2504" s="6">
        <v>3761.47</v>
      </c>
      <c r="Q2504" s="6">
        <v>3768.25</v>
      </c>
      <c r="R2504" s="7">
        <v>45078</v>
      </c>
      <c r="S2504" s="6">
        <v>259.79000000000002</v>
      </c>
      <c r="T2504" s="6">
        <v>-315.85000000000002</v>
      </c>
      <c r="U2504" s="7">
        <v>45078</v>
      </c>
      <c r="V2504" s="6">
        <v>0</v>
      </c>
      <c r="W2504" s="6">
        <f ca="1">IFERROR(__xludf.DUMMYFUNCTION("IFERROR(GOOGLEFINANCE(B2504,""pe""),V2504)"),0)</f>
        <v>0</v>
      </c>
      <c r="X2504" s="6">
        <v>0</v>
      </c>
      <c r="Y2504" s="6">
        <v>-0.01</v>
      </c>
      <c r="Z2504" s="6">
        <v>1</v>
      </c>
      <c r="AA2504" s="8">
        <v>44986</v>
      </c>
      <c r="AB2504" s="4">
        <v>-1.49</v>
      </c>
      <c r="AC2504" s="6">
        <v>0</v>
      </c>
      <c r="AD2504" s="6">
        <v>-22.43</v>
      </c>
      <c r="AE2504" s="1">
        <v>0</v>
      </c>
      <c r="AF2504" s="1">
        <f ca="1">IFERROR(__xludf.DUMMYFUNCTION("IFERROR(GOOGLEFINANCE(TRIM(F2504)&amp;"":"" &amp; TRIM(B2504),""high52""),AE2504)"),0)</f>
        <v>0</v>
      </c>
      <c r="AG2504" s="1">
        <v>0</v>
      </c>
      <c r="AH2504" s="1">
        <f ca="1">IFERROR(__xludf.DUMMYFUNCTION("IFERROR(GOOGLEFINANCE(TRIM(F2504)&amp;"":"" &amp; TRIM(B2504),""low52""),AE2504)"),0)</f>
        <v>0</v>
      </c>
      <c r="AI2504" s="1">
        <f ca="1">IFERROR(__xludf.DUMMYFUNCTION("IFERROR(GOOGLEFINANCE(B2504,""eps""),0)"),0)</f>
        <v>0</v>
      </c>
      <c r="AJ2504" s="1"/>
      <c r="AK2504" s="1" t="s">
        <v>7799</v>
      </c>
      <c r="AL2504" s="9">
        <f t="shared" si="255"/>
        <v>1</v>
      </c>
    </row>
    <row r="2505" spans="1:38" ht="15" x14ac:dyDescent="0.25">
      <c r="A2505" s="1" t="s">
        <v>7800</v>
      </c>
      <c r="B2505" s="1" t="s">
        <v>7801</v>
      </c>
      <c r="C2505" s="1" t="s">
        <v>1425</v>
      </c>
      <c r="D2505" s="1" t="s">
        <v>1425</v>
      </c>
      <c r="E2505" s="6">
        <v>34981.85</v>
      </c>
      <c r="F2505" s="1" t="s">
        <v>40</v>
      </c>
      <c r="G2505" s="6">
        <f ca="1">IFERROR(__xludf.DUMMYFUNCTION("iferror(GOOGLEFINANCE(TRIM(F2505)&amp;"":"" &amp; TRIM(B2505), ""price""),0
)"),1011.2)</f>
        <v>1011.2</v>
      </c>
      <c r="H2505" s="6">
        <v>1275.8499999999999</v>
      </c>
      <c r="I2505" s="6">
        <f t="shared" ca="1" si="0"/>
        <v>1011.2</v>
      </c>
      <c r="J2505" s="6">
        <f ca="1">IFERROR(__xludf.DUMMYFUNCTION("IFERROR(GOOGLEFINANCE(B2505, ""volume""), 0)"),77943)</f>
        <v>77943</v>
      </c>
      <c r="K2505" s="6">
        <v>-0.67</v>
      </c>
      <c r="L2505" s="6">
        <f ca="1">IFERROR(__xludf.DUMMYFUNCTION("IFERROR(GOOGLEFINANCE(B2505,""changepct""),K2505)"),-1.93)</f>
        <v>-1.93</v>
      </c>
      <c r="M2505" s="6">
        <f ca="1">IFERROR(__xludf.DUMMYFUNCTION("IFERROR(GOOGLEFINANCE(B2505,""change""),0)"),-19.9)</f>
        <v>-19.899999999999999</v>
      </c>
      <c r="N2505" s="6">
        <v>2</v>
      </c>
      <c r="O2505" s="7">
        <v>45536</v>
      </c>
      <c r="P2505" s="9"/>
      <c r="Q2505" s="6">
        <v>34748.300000000003</v>
      </c>
      <c r="R2505" s="7">
        <v>45536</v>
      </c>
      <c r="S2505" s="6">
        <v>2380.0100000000002</v>
      </c>
      <c r="T2505" s="6">
        <v>415.98</v>
      </c>
      <c r="U2505" s="7">
        <v>45536</v>
      </c>
      <c r="V2505" s="6">
        <v>84.44</v>
      </c>
      <c r="W2505" s="6">
        <f ca="1">IFERROR(__xludf.DUMMYFUNCTION("IFERROR(GOOGLEFINANCE(B2505,""pe""),V2505)"),70.88)</f>
        <v>70.88</v>
      </c>
      <c r="X2505" s="12"/>
      <c r="Y2505" s="6">
        <v>17.760000000000002</v>
      </c>
      <c r="Z2505" s="6">
        <v>2</v>
      </c>
      <c r="AA2505" s="8">
        <v>45352</v>
      </c>
      <c r="AB2505" s="4">
        <v>0</v>
      </c>
      <c r="AC2505" s="6">
        <v>24.4</v>
      </c>
      <c r="AD2505" s="6">
        <v>31.72</v>
      </c>
      <c r="AE2505" s="1">
        <v>0</v>
      </c>
      <c r="AF2505" s="1">
        <f ca="1">IFERROR(__xludf.DUMMYFUNCTION("IFERROR(GOOGLEFINANCE(TRIM(F2505)&amp;"":"" &amp; TRIM(B2505),""high52""),AE2505)"),1345)</f>
        <v>1345</v>
      </c>
      <c r="AG2505" s="1">
        <v>0</v>
      </c>
      <c r="AH2505" s="1">
        <f ca="1">IFERROR(__xludf.DUMMYFUNCTION("IFERROR(GOOGLEFINANCE(TRIM(F2505)&amp;"":"" &amp; TRIM(B2505),""low52""),AE2505)"),990.05)</f>
        <v>990.05</v>
      </c>
      <c r="AI2505" s="1">
        <f ca="1">IFERROR(__xludf.DUMMYFUNCTION("IFERROR(GOOGLEFINANCE(B2505,""eps""),0)"),14.27)</f>
        <v>14.27</v>
      </c>
      <c r="AJ2505" s="1"/>
      <c r="AK2505" s="1" t="s">
        <v>7802</v>
      </c>
      <c r="AL2505" s="9">
        <f t="shared" si="255"/>
        <v>1</v>
      </c>
    </row>
    <row r="2506" spans="1:38" ht="15" x14ac:dyDescent="0.25">
      <c r="A2506" s="1" t="s">
        <v>7803</v>
      </c>
      <c r="B2506" s="1" t="s">
        <v>7804</v>
      </c>
      <c r="C2506" s="1" t="s">
        <v>163</v>
      </c>
      <c r="D2506" s="1" t="s">
        <v>163</v>
      </c>
      <c r="E2506" s="6">
        <v>10510.57</v>
      </c>
      <c r="F2506" s="1" t="s">
        <v>40</v>
      </c>
      <c r="G2506" s="6">
        <f ca="1">IFERROR(__xludf.DUMMYFUNCTION("iferror(GOOGLEFINANCE(TRIM(F2506)&amp;"":"" &amp; TRIM(B2506), ""price""),0
)"),1914)</f>
        <v>1914</v>
      </c>
      <c r="H2506" s="6">
        <v>2023.1</v>
      </c>
      <c r="I2506" s="6">
        <f t="shared" ca="1" si="0"/>
        <v>1914</v>
      </c>
      <c r="J2506" s="6">
        <f ca="1">IFERROR(__xludf.DUMMYFUNCTION("IFERROR(GOOGLEFINANCE(B2506, ""volume""), 0)"),26193)</f>
        <v>26193</v>
      </c>
      <c r="K2506" s="6">
        <v>-1.27</v>
      </c>
      <c r="L2506" s="6">
        <f ca="1">IFERROR(__xludf.DUMMYFUNCTION("IFERROR(GOOGLEFINANCE(B2506,""changepct""),K2506)"),0.82)</f>
        <v>0.82</v>
      </c>
      <c r="M2506" s="6">
        <f ca="1">IFERROR(__xludf.DUMMYFUNCTION("IFERROR(GOOGLEFINANCE(B2506,""change""),0)"),15.5)</f>
        <v>15.5</v>
      </c>
      <c r="N2506" s="6">
        <v>2</v>
      </c>
      <c r="O2506" s="7">
        <v>45536</v>
      </c>
      <c r="P2506" s="9"/>
      <c r="Q2506" s="6">
        <v>10456.219999999999</v>
      </c>
      <c r="R2506" s="7">
        <v>45536</v>
      </c>
      <c r="S2506" s="6">
        <v>1285.26</v>
      </c>
      <c r="T2506" s="6">
        <v>148.62</v>
      </c>
      <c r="U2506" s="7">
        <v>45536</v>
      </c>
      <c r="V2506" s="6">
        <v>71</v>
      </c>
      <c r="W2506" s="6">
        <f ca="1">IFERROR(__xludf.DUMMYFUNCTION("IFERROR(GOOGLEFINANCE(B2506,""pe""),V2506)"),62.65)</f>
        <v>62.65</v>
      </c>
      <c r="X2506" s="6">
        <v>56.8</v>
      </c>
      <c r="Y2506" s="6">
        <v>8.8800000000000008</v>
      </c>
      <c r="Z2506" s="6">
        <v>2</v>
      </c>
      <c r="AA2506" s="8">
        <v>45352</v>
      </c>
      <c r="AB2506" s="4">
        <v>0</v>
      </c>
      <c r="AC2506" s="6">
        <v>12.42</v>
      </c>
      <c r="AD2506" s="6">
        <v>18.73</v>
      </c>
      <c r="AE2506" s="1">
        <v>0</v>
      </c>
      <c r="AF2506" s="1">
        <f ca="1">IFERROR(__xludf.DUMMYFUNCTION("IFERROR(GOOGLEFINANCE(TRIM(F2506)&amp;"":"" &amp; TRIM(B2506),""high52""),AE2506)"),2263)</f>
        <v>2263</v>
      </c>
      <c r="AG2506" s="1">
        <v>0</v>
      </c>
      <c r="AH2506" s="1">
        <f ca="1">IFERROR(__xludf.DUMMYFUNCTION("IFERROR(GOOGLEFINANCE(TRIM(F2506)&amp;"":"" &amp; TRIM(B2506),""low52""),AE2506)"),1315)</f>
        <v>1315</v>
      </c>
      <c r="AI2506" s="1">
        <f ca="1">IFERROR(__xludf.DUMMYFUNCTION("IFERROR(GOOGLEFINANCE(B2506,""eps""),0)"),30.55)</f>
        <v>30.55</v>
      </c>
      <c r="AJ2506" s="1"/>
      <c r="AK2506" s="1" t="s">
        <v>7805</v>
      </c>
      <c r="AL2506" s="9">
        <f t="shared" si="255"/>
        <v>1</v>
      </c>
    </row>
    <row r="2507" spans="1:38" ht="15" x14ac:dyDescent="0.25">
      <c r="A2507" s="1" t="s">
        <v>7806</v>
      </c>
      <c r="B2507" s="1" t="s">
        <v>7807</v>
      </c>
      <c r="C2507" s="1" t="s">
        <v>125</v>
      </c>
      <c r="D2507" s="1" t="s">
        <v>125</v>
      </c>
      <c r="E2507" s="6">
        <v>2044.02</v>
      </c>
      <c r="F2507" s="1" t="s">
        <v>40</v>
      </c>
      <c r="G2507" s="6">
        <f ca="1">IFERROR(__xludf.DUMMYFUNCTION("iferror(GOOGLEFINANCE(TRIM(F2507)&amp;"":"" &amp; TRIM(B2507), ""price""),0
)"),42.82)</f>
        <v>42.82</v>
      </c>
      <c r="H2507" s="6">
        <v>86.91</v>
      </c>
      <c r="I2507" s="6">
        <f t="shared" ca="1" si="0"/>
        <v>42.82</v>
      </c>
      <c r="J2507" s="6">
        <f ca="1">IFERROR(__xludf.DUMMYFUNCTION("IFERROR(GOOGLEFINANCE(B2507, ""volume""), 0)"),1469345)</f>
        <v>1469345</v>
      </c>
      <c r="K2507" s="6">
        <v>2.48</v>
      </c>
      <c r="L2507" s="6">
        <f ca="1">IFERROR(__xludf.DUMMYFUNCTION("IFERROR(GOOGLEFINANCE(B2507,""changepct""),K2507)"),4.98)</f>
        <v>4.9800000000000004</v>
      </c>
      <c r="M2507" s="6">
        <f ca="1">IFERROR(__xludf.DUMMYFUNCTION("IFERROR(GOOGLEFINANCE(B2507,""change""),0)"),2.03)</f>
        <v>2.0299999999999998</v>
      </c>
      <c r="N2507" s="6">
        <v>2</v>
      </c>
      <c r="O2507" s="7">
        <v>45536</v>
      </c>
      <c r="P2507" s="6">
        <v>42.53</v>
      </c>
      <c r="Q2507" s="6">
        <v>2076.1799999999998</v>
      </c>
      <c r="R2507" s="7">
        <v>45170</v>
      </c>
      <c r="S2507" s="6">
        <v>36.979999999999997</v>
      </c>
      <c r="T2507" s="6">
        <v>11.55</v>
      </c>
      <c r="U2507" s="7">
        <v>45170</v>
      </c>
      <c r="V2507" s="6">
        <v>180.95</v>
      </c>
      <c r="W2507" s="6">
        <f ca="1">IFERROR(__xludf.DUMMYFUNCTION("IFERROR(GOOGLEFINANCE(B2507,""pe""),V2507)"),107.72)</f>
        <v>107.72</v>
      </c>
      <c r="X2507" s="6">
        <v>12.14</v>
      </c>
      <c r="Y2507" s="6">
        <v>9.4600000000000009</v>
      </c>
      <c r="Z2507" s="6">
        <v>2</v>
      </c>
      <c r="AA2507" s="8">
        <v>44986</v>
      </c>
      <c r="AB2507" s="4">
        <v>3.57</v>
      </c>
      <c r="AC2507" s="6">
        <v>5.4</v>
      </c>
      <c r="AD2507" s="6">
        <v>1.42</v>
      </c>
      <c r="AE2507" s="1">
        <v>0</v>
      </c>
      <c r="AF2507" s="1">
        <f ca="1">IFERROR(__xludf.DUMMYFUNCTION("IFERROR(GOOGLEFINANCE(TRIM(F2507)&amp;"":"" &amp; TRIM(B2507),""high52""),AE2507)"),82.97)</f>
        <v>82.97</v>
      </c>
      <c r="AG2507" s="1">
        <v>0</v>
      </c>
      <c r="AH2507" s="1">
        <f ca="1">IFERROR(__xludf.DUMMYFUNCTION("IFERROR(GOOGLEFINANCE(TRIM(F2507)&amp;"":"" &amp; TRIM(B2507),""low52""),AE2507)"),33.31)</f>
        <v>33.31</v>
      </c>
      <c r="AI2507" s="1">
        <f ca="1">IFERROR(__xludf.DUMMYFUNCTION("IFERROR(GOOGLEFINANCE(B2507,""eps""),0)"),0.4)</f>
        <v>0.4</v>
      </c>
      <c r="AJ2507" s="1"/>
      <c r="AK2507" s="1" t="s">
        <v>7808</v>
      </c>
      <c r="AL2507" s="9">
        <f t="shared" si="255"/>
        <v>1</v>
      </c>
    </row>
    <row r="2508" spans="1:38" ht="15" x14ac:dyDescent="0.25">
      <c r="A2508" s="1" t="s">
        <v>7809</v>
      </c>
      <c r="B2508" s="1" t="s">
        <v>7810</v>
      </c>
      <c r="C2508" s="1" t="s">
        <v>57</v>
      </c>
      <c r="D2508" s="1" t="s">
        <v>57</v>
      </c>
      <c r="E2508" s="6">
        <v>49.26</v>
      </c>
      <c r="F2508" s="1" t="s">
        <v>40</v>
      </c>
      <c r="G2508" s="6">
        <f ca="1">IFERROR(__xludf.DUMMYFUNCTION("iferror(GOOGLEFINANCE(TRIM(F2508)&amp;"":"" &amp; TRIM(B2508), ""price""),0
)"),0)</f>
        <v>0</v>
      </c>
      <c r="H2508" s="6">
        <v>34.450000000000003</v>
      </c>
      <c r="I2508" s="6">
        <f t="shared" ca="1" si="0"/>
        <v>34.450000000000003</v>
      </c>
      <c r="J2508" s="6">
        <f ca="1">IFERROR(__xludf.DUMMYFUNCTION("IFERROR(GOOGLEFINANCE(B2508, ""volume""), 0)"),0)</f>
        <v>0</v>
      </c>
      <c r="K2508" s="6">
        <v>0</v>
      </c>
      <c r="L2508" s="6">
        <f ca="1">IFERROR(__xludf.DUMMYFUNCTION("IFERROR(GOOGLEFINANCE(B2508,""changepct""),K2508)"),0)</f>
        <v>0</v>
      </c>
      <c r="M2508" s="6">
        <f ca="1">IFERROR(__xludf.DUMMYFUNCTION("IFERROR(GOOGLEFINANCE(B2508,""change""),0)"),0)</f>
        <v>0</v>
      </c>
      <c r="N2508" s="6">
        <v>1</v>
      </c>
      <c r="O2508" s="7">
        <v>45536</v>
      </c>
      <c r="P2508" s="6">
        <v>6.39</v>
      </c>
      <c r="Q2508" s="6">
        <v>55.65</v>
      </c>
      <c r="R2508" s="7">
        <v>45352</v>
      </c>
      <c r="S2508" s="6">
        <v>21.48</v>
      </c>
      <c r="T2508" s="6">
        <v>3.11</v>
      </c>
      <c r="U2508" s="7">
        <v>45352</v>
      </c>
      <c r="V2508" s="6">
        <v>15.84</v>
      </c>
      <c r="W2508" s="6">
        <f ca="1">IFERROR(__xludf.DUMMYFUNCTION("IFERROR(GOOGLEFINANCE(B2508,""pe""),V2508)"),15.84)</f>
        <v>15.84</v>
      </c>
      <c r="X2508" s="9"/>
      <c r="Y2508" s="6">
        <v>1.04</v>
      </c>
      <c r="Z2508" s="6">
        <v>1</v>
      </c>
      <c r="AA2508" s="8">
        <v>45352</v>
      </c>
      <c r="AB2508" s="4">
        <v>0.08</v>
      </c>
      <c r="AC2508" s="6">
        <v>9.73</v>
      </c>
      <c r="AD2508" s="6">
        <v>14.34</v>
      </c>
      <c r="AE2508" s="1">
        <v>0</v>
      </c>
      <c r="AF2508" s="1">
        <f ca="1">IFERROR(__xludf.DUMMYFUNCTION("IFERROR(GOOGLEFINANCE(TRIM(F2508)&amp;"":"" &amp; TRIM(B2508),""high52""),AE2508)"),0)</f>
        <v>0</v>
      </c>
      <c r="AG2508" s="1">
        <v>0</v>
      </c>
      <c r="AH2508" s="1">
        <f ca="1">IFERROR(__xludf.DUMMYFUNCTION("IFERROR(GOOGLEFINANCE(TRIM(F2508)&amp;"":"" &amp; TRIM(B2508),""low52""),AE2508)"),0)</f>
        <v>0</v>
      </c>
      <c r="AI2508" s="1">
        <f ca="1">IFERROR(__xludf.DUMMYFUNCTION("IFERROR(GOOGLEFINANCE(B2508,""eps""),0)"),0)</f>
        <v>0</v>
      </c>
      <c r="AJ2508" s="1"/>
      <c r="AK2508" s="1" t="s">
        <v>7811</v>
      </c>
      <c r="AL2508" s="9">
        <f t="shared" si="255"/>
        <v>1</v>
      </c>
    </row>
    <row r="2509" spans="1:38" ht="15" x14ac:dyDescent="0.25">
      <c r="A2509" s="1" t="s">
        <v>7812</v>
      </c>
      <c r="B2509" s="1" t="s">
        <v>7813</v>
      </c>
      <c r="C2509" s="1" t="s">
        <v>535</v>
      </c>
      <c r="D2509" s="1" t="s">
        <v>535</v>
      </c>
      <c r="E2509" s="6">
        <v>72.819999999999993</v>
      </c>
      <c r="F2509" s="1" t="s">
        <v>40</v>
      </c>
      <c r="G2509" s="6">
        <f ca="1">IFERROR(__xludf.DUMMYFUNCTION("iferror(GOOGLEFINANCE(TRIM(F2509)&amp;"":"" &amp; TRIM(B2509), ""price""),0
)"),0)</f>
        <v>0</v>
      </c>
      <c r="H2509" s="6">
        <v>42.85</v>
      </c>
      <c r="I2509" s="6">
        <f t="shared" ca="1" si="0"/>
        <v>42.85</v>
      </c>
      <c r="J2509" s="6">
        <f ca="1">IFERROR(__xludf.DUMMYFUNCTION("IFERROR(GOOGLEFINANCE(B2509, ""volume""), 0)"),0)</f>
        <v>0</v>
      </c>
      <c r="K2509" s="9"/>
      <c r="L2509" s="6" t="str">
        <f ca="1">IFERROR(__xludf.DUMMYFUNCTION("IFERROR(GOOGLEFINANCE(B2509,""changepct""),K2509)"),"")</f>
        <v/>
      </c>
      <c r="M2509" s="6">
        <f ca="1">IFERROR(__xludf.DUMMYFUNCTION("IFERROR(GOOGLEFINANCE(B2509,""change""),0)"),0)</f>
        <v>0</v>
      </c>
      <c r="N2509" s="6">
        <v>1</v>
      </c>
      <c r="O2509" s="7">
        <v>45536</v>
      </c>
      <c r="P2509" s="6">
        <v>15.62</v>
      </c>
      <c r="Q2509" s="6">
        <v>88.44</v>
      </c>
      <c r="R2509" s="7">
        <v>45352</v>
      </c>
      <c r="S2509" s="6">
        <v>89.06</v>
      </c>
      <c r="T2509" s="6">
        <v>3.19</v>
      </c>
      <c r="U2509" s="7">
        <v>45352</v>
      </c>
      <c r="V2509" s="6">
        <v>22.85</v>
      </c>
      <c r="W2509" s="6">
        <f ca="1">IFERROR(__xludf.DUMMYFUNCTION("IFERROR(GOOGLEFINANCE(B2509,""pe""),V2509)"),22.85)</f>
        <v>22.85</v>
      </c>
      <c r="X2509" s="6">
        <v>2.2400000000000002</v>
      </c>
      <c r="Y2509" s="6">
        <v>1.57</v>
      </c>
      <c r="Z2509" s="6">
        <v>1</v>
      </c>
      <c r="AA2509" s="8">
        <v>45352</v>
      </c>
      <c r="AB2509" s="4">
        <v>0.33</v>
      </c>
      <c r="AC2509" s="6">
        <v>7.14</v>
      </c>
      <c r="AD2509" s="6">
        <v>10.210000000000001</v>
      </c>
      <c r="AE2509" s="1">
        <v>0</v>
      </c>
      <c r="AF2509" s="1">
        <f ca="1">IFERROR(__xludf.DUMMYFUNCTION("IFERROR(GOOGLEFINANCE(TRIM(F2509)&amp;"":"" &amp; TRIM(B2509),""high52""),AE2509)"),0)</f>
        <v>0</v>
      </c>
      <c r="AG2509" s="1">
        <v>0</v>
      </c>
      <c r="AH2509" s="1">
        <f ca="1">IFERROR(__xludf.DUMMYFUNCTION("IFERROR(GOOGLEFINANCE(TRIM(F2509)&amp;"":"" &amp; TRIM(B2509),""low52""),AE2509)"),0)</f>
        <v>0</v>
      </c>
      <c r="AI2509" s="1">
        <f ca="1">IFERROR(__xludf.DUMMYFUNCTION("IFERROR(GOOGLEFINANCE(B2509,""eps""),0)"),0)</f>
        <v>0</v>
      </c>
      <c r="AJ2509" s="1"/>
      <c r="AK2509" s="1" t="s">
        <v>7814</v>
      </c>
      <c r="AL2509" s="9">
        <f t="shared" si="255"/>
        <v>1</v>
      </c>
    </row>
    <row r="2510" spans="1:38" ht="15" x14ac:dyDescent="0.25">
      <c r="A2510" s="1" t="s">
        <v>7815</v>
      </c>
      <c r="B2510" s="1" t="s">
        <v>7816</v>
      </c>
      <c r="C2510" s="1" t="s">
        <v>355</v>
      </c>
      <c r="D2510" s="1" t="s">
        <v>355</v>
      </c>
      <c r="E2510" s="6">
        <v>12267.17</v>
      </c>
      <c r="F2510" s="1" t="s">
        <v>40</v>
      </c>
      <c r="G2510" s="6">
        <f ca="1">IFERROR(__xludf.DUMMYFUNCTION("iferror(GOOGLEFINANCE(TRIM(F2510)&amp;"":"" &amp; TRIM(B2510), ""price""),0
)"),560.4)</f>
        <v>560.4</v>
      </c>
      <c r="H2510" s="6">
        <v>516.04999999999995</v>
      </c>
      <c r="I2510" s="6">
        <f t="shared" ca="1" si="0"/>
        <v>560.4</v>
      </c>
      <c r="J2510" s="6">
        <f ca="1">IFERROR(__xludf.DUMMYFUNCTION("IFERROR(GOOGLEFINANCE(B2510, ""volume""), 0)"),107570)</f>
        <v>107570</v>
      </c>
      <c r="K2510" s="6">
        <v>0.39</v>
      </c>
      <c r="L2510" s="6">
        <f ca="1">IFERROR(__xludf.DUMMYFUNCTION("IFERROR(GOOGLEFINANCE(B2510,""changepct""),K2510)"),1.51)</f>
        <v>1.51</v>
      </c>
      <c r="M2510" s="6">
        <f ca="1">IFERROR(__xludf.DUMMYFUNCTION("IFERROR(GOOGLEFINANCE(B2510,""change""),0)"),8.35)</f>
        <v>8.35</v>
      </c>
      <c r="N2510" s="6">
        <v>2</v>
      </c>
      <c r="O2510" s="7">
        <v>45536</v>
      </c>
      <c r="P2510" s="6">
        <v>334.06</v>
      </c>
      <c r="Q2510" s="6">
        <v>12428.37</v>
      </c>
      <c r="R2510" s="7">
        <v>45536</v>
      </c>
      <c r="S2510" s="6">
        <v>4863.1899999999996</v>
      </c>
      <c r="T2510" s="6">
        <v>253.5</v>
      </c>
      <c r="U2510" s="7">
        <v>45536</v>
      </c>
      <c r="V2510" s="6">
        <v>46.86</v>
      </c>
      <c r="W2510" s="6">
        <f ca="1">IFERROR(__xludf.DUMMYFUNCTION("IFERROR(GOOGLEFINANCE(B2510,""pe""),V2510)"),50.02)</f>
        <v>50.02</v>
      </c>
      <c r="X2510" s="6">
        <v>6.14</v>
      </c>
      <c r="Y2510" s="6">
        <v>5.84</v>
      </c>
      <c r="Z2510" s="6">
        <v>2</v>
      </c>
      <c r="AA2510" s="8">
        <v>45352</v>
      </c>
      <c r="AB2510" s="4">
        <v>0.18</v>
      </c>
      <c r="AC2510" s="6">
        <v>12.64</v>
      </c>
      <c r="AD2510" s="6">
        <v>16.350000000000001</v>
      </c>
      <c r="AE2510" s="1">
        <v>0</v>
      </c>
      <c r="AF2510" s="1">
        <f ca="1">IFERROR(__xludf.DUMMYFUNCTION("IFERROR(GOOGLEFINANCE(TRIM(F2510)&amp;"":"" &amp; TRIM(B2510),""high52""),AE2510)"),619.95)</f>
        <v>619.95000000000005</v>
      </c>
      <c r="AG2510" s="1">
        <v>0</v>
      </c>
      <c r="AH2510" s="1">
        <f ca="1">IFERROR(__xludf.DUMMYFUNCTION("IFERROR(GOOGLEFINANCE(TRIM(F2510)&amp;"":"" &amp; TRIM(B2510),""low52""),AE2510)"),445.05)</f>
        <v>445.05</v>
      </c>
      <c r="AI2510" s="1">
        <f ca="1">IFERROR(__xludf.DUMMYFUNCTION("IFERROR(GOOGLEFINANCE(B2510,""eps""),0)"),11.2)</f>
        <v>11.2</v>
      </c>
      <c r="AJ2510" s="1"/>
      <c r="AK2510" s="1" t="s">
        <v>7817</v>
      </c>
      <c r="AL2510" s="1" t="b">
        <f>ISNUMBER(AA2510)</f>
        <v>1</v>
      </c>
    </row>
    <row r="2511" spans="1:38" ht="15" x14ac:dyDescent="0.25">
      <c r="A2511" s="1" t="s">
        <v>7818</v>
      </c>
      <c r="B2511" s="1" t="s">
        <v>7819</v>
      </c>
      <c r="C2511" s="1" t="s">
        <v>57</v>
      </c>
      <c r="D2511" s="1" t="s">
        <v>57</v>
      </c>
      <c r="E2511" s="6">
        <v>26.8</v>
      </c>
      <c r="F2511" s="1" t="s">
        <v>40</v>
      </c>
      <c r="G2511" s="6">
        <f ca="1">IFERROR(__xludf.DUMMYFUNCTION("iferror(GOOGLEFINANCE(TRIM(F2511)&amp;"":"" &amp; TRIM(B2511), ""price""),0
)"),0)</f>
        <v>0</v>
      </c>
      <c r="H2511" s="6">
        <v>63.25</v>
      </c>
      <c r="I2511" s="6">
        <f t="shared" ca="1" si="0"/>
        <v>63.25</v>
      </c>
      <c r="J2511" s="6">
        <f ca="1">IFERROR(__xludf.DUMMYFUNCTION("IFERROR(GOOGLEFINANCE(B2511, ""volume""), 0)"),0)</f>
        <v>0</v>
      </c>
      <c r="K2511" s="9"/>
      <c r="L2511" s="6" t="str">
        <f ca="1">IFERROR(__xludf.DUMMYFUNCTION("IFERROR(GOOGLEFINANCE(B2511,""changepct""),K2511)"),"")</f>
        <v/>
      </c>
      <c r="M2511" s="6">
        <f ca="1">IFERROR(__xludf.DUMMYFUNCTION("IFERROR(GOOGLEFINANCE(B2511,""change""),0)"),0)</f>
        <v>0</v>
      </c>
      <c r="N2511" s="6">
        <v>1</v>
      </c>
      <c r="O2511" s="7">
        <v>45536</v>
      </c>
      <c r="P2511" s="9"/>
      <c r="Q2511" s="6">
        <v>26.8</v>
      </c>
      <c r="R2511" s="7">
        <v>45352</v>
      </c>
      <c r="S2511" s="6">
        <v>34.979999999999997</v>
      </c>
      <c r="T2511" s="6">
        <v>0.18</v>
      </c>
      <c r="U2511" s="7">
        <v>45352</v>
      </c>
      <c r="V2511" s="6">
        <v>149.52000000000001</v>
      </c>
      <c r="W2511" s="6">
        <f ca="1">IFERROR(__xludf.DUMMYFUNCTION("IFERROR(GOOGLEFINANCE(B2511,""pe""),V2511)"),149.52)</f>
        <v>149.52000000000001</v>
      </c>
      <c r="X2511" s="6">
        <v>-4.2699999999999996</v>
      </c>
      <c r="Y2511" s="6">
        <v>2.08</v>
      </c>
      <c r="Z2511" s="6">
        <v>2</v>
      </c>
      <c r="AA2511" s="8">
        <v>45352</v>
      </c>
      <c r="AB2511" s="4">
        <v>0</v>
      </c>
      <c r="AC2511" s="6">
        <v>1.0900000000000001</v>
      </c>
      <c r="AD2511" s="6">
        <v>2.71</v>
      </c>
      <c r="AE2511" s="1">
        <v>0</v>
      </c>
      <c r="AF2511" s="1">
        <f ca="1">IFERROR(__xludf.DUMMYFUNCTION("IFERROR(GOOGLEFINANCE(TRIM(F2511)&amp;"":"" &amp; TRIM(B2511),""high52""),AE2511)"),0)</f>
        <v>0</v>
      </c>
      <c r="AG2511" s="1">
        <v>0</v>
      </c>
      <c r="AH2511" s="1">
        <f ca="1">IFERROR(__xludf.DUMMYFUNCTION("IFERROR(GOOGLEFINANCE(TRIM(F2511)&amp;"":"" &amp; TRIM(B2511),""low52""),AE2511)"),0)</f>
        <v>0</v>
      </c>
      <c r="AI2511" s="1">
        <f ca="1">IFERROR(__xludf.DUMMYFUNCTION("IFERROR(GOOGLEFINANCE(B2511,""eps""),0)"),0)</f>
        <v>0</v>
      </c>
      <c r="AJ2511" s="1"/>
      <c r="AK2511" s="1" t="s">
        <v>7820</v>
      </c>
      <c r="AL2511" s="9">
        <f t="shared" ref="AL2511:AL2520" si="256">IF(AA2511&lt;&gt;AB2511,1,0)</f>
        <v>1</v>
      </c>
    </row>
    <row r="2512" spans="1:38" ht="15" x14ac:dyDescent="0.25">
      <c r="A2512" s="1" t="s">
        <v>7821</v>
      </c>
      <c r="B2512" s="1" t="s">
        <v>7822</v>
      </c>
      <c r="C2512" s="1" t="s">
        <v>43</v>
      </c>
      <c r="D2512" s="1" t="s">
        <v>43</v>
      </c>
      <c r="E2512" s="6">
        <v>0</v>
      </c>
      <c r="F2512" s="1" t="s">
        <v>40</v>
      </c>
      <c r="G2512" s="6">
        <f ca="1">IFERROR(__xludf.DUMMYFUNCTION("iferror(GOOGLEFINANCE(TRIM(F2512)&amp;"":"" &amp; TRIM(B2512), ""price""),0
)"),0)</f>
        <v>0</v>
      </c>
      <c r="H2512" s="6">
        <v>364.94</v>
      </c>
      <c r="I2512" s="6">
        <f t="shared" ca="1" si="0"/>
        <v>364.94</v>
      </c>
      <c r="J2512" s="6">
        <f ca="1">IFERROR(__xludf.DUMMYFUNCTION("IFERROR(GOOGLEFINANCE(B2512, ""volume""), 0)"),0)</f>
        <v>0</v>
      </c>
      <c r="K2512" s="6">
        <v>0.05</v>
      </c>
      <c r="L2512" s="6">
        <f ca="1">IFERROR(__xludf.DUMMYFUNCTION("IFERROR(GOOGLEFINANCE(B2512,""changepct""),K2512)"),0.05)</f>
        <v>0.05</v>
      </c>
      <c r="M2512" s="6">
        <f ca="1">IFERROR(__xludf.DUMMYFUNCTION("IFERROR(GOOGLEFINANCE(B2512,""change""),0)"),0)</f>
        <v>0</v>
      </c>
      <c r="N2512" s="6">
        <v>1</v>
      </c>
      <c r="O2512" s="14"/>
      <c r="P2512" s="9"/>
      <c r="Q2512" s="7">
        <v>45352</v>
      </c>
      <c r="R2512" s="14"/>
      <c r="S2512" s="9"/>
      <c r="T2512" s="9"/>
      <c r="U2512" s="6">
        <v>2</v>
      </c>
      <c r="V2512" s="7">
        <v>45352</v>
      </c>
      <c r="W2512" s="10">
        <f ca="1">IFERROR(__xludf.DUMMYFUNCTION("IFERROR(GOOGLEFINANCE(B2512,""pe""),V2512)"),45352)</f>
        <v>45352</v>
      </c>
      <c r="X2512" s="6">
        <v>0.49</v>
      </c>
      <c r="Y2512" s="6">
        <v>3.88</v>
      </c>
      <c r="Z2512" s="6">
        <v>6.61</v>
      </c>
      <c r="AA2512" s="3" t="s">
        <v>7823</v>
      </c>
      <c r="AB2512" s="3"/>
      <c r="AC2512" s="9"/>
      <c r="AD2512" s="9"/>
      <c r="AE2512" s="1">
        <v>0</v>
      </c>
      <c r="AF2512" s="1">
        <f ca="1">IFERROR(__xludf.DUMMYFUNCTION("IFERROR(GOOGLEFINANCE(TRIM(F2512)&amp;"":"" &amp; TRIM(B2512),""high52""),AE2512)"),0)</f>
        <v>0</v>
      </c>
      <c r="AG2512" s="1">
        <v>0</v>
      </c>
      <c r="AH2512" s="1">
        <f ca="1">IFERROR(__xludf.DUMMYFUNCTION("IFERROR(GOOGLEFINANCE(TRIM(F2512)&amp;"":"" &amp; TRIM(B2512),""low52""),AE2512)"),0)</f>
        <v>0</v>
      </c>
      <c r="AI2512" s="1">
        <f ca="1">IFERROR(__xludf.DUMMYFUNCTION("IFERROR(GOOGLEFINANCE(B2512,""eps""),0)"),0)</f>
        <v>0</v>
      </c>
      <c r="AJ2512" s="1"/>
      <c r="AK2512" s="1" t="s">
        <v>7824</v>
      </c>
      <c r="AL2512" s="9">
        <f t="shared" si="256"/>
        <v>1</v>
      </c>
    </row>
    <row r="2513" spans="1:38" ht="15" x14ac:dyDescent="0.25">
      <c r="A2513" s="1" t="s">
        <v>7825</v>
      </c>
      <c r="B2513" s="1" t="s">
        <v>7826</v>
      </c>
      <c r="C2513" s="1" t="s">
        <v>57</v>
      </c>
      <c r="D2513" s="1" t="s">
        <v>57</v>
      </c>
      <c r="E2513" s="6">
        <v>935.06</v>
      </c>
      <c r="F2513" s="1" t="s">
        <v>40</v>
      </c>
      <c r="G2513" s="6">
        <f ca="1">IFERROR(__xludf.DUMMYFUNCTION("iferror(GOOGLEFINANCE(TRIM(F2513)&amp;"":"" &amp; TRIM(B2513), ""price""),0
)"),215)</f>
        <v>215</v>
      </c>
      <c r="H2513" s="6">
        <v>295.2</v>
      </c>
      <c r="I2513" s="6">
        <f t="shared" ca="1" si="0"/>
        <v>215</v>
      </c>
      <c r="J2513" s="6">
        <f ca="1">IFERROR(__xludf.DUMMYFUNCTION("IFERROR(GOOGLEFINANCE(B2513, ""volume""), 0)"),113757)</f>
        <v>113757</v>
      </c>
      <c r="K2513" s="6">
        <v>0.56000000000000005</v>
      </c>
      <c r="L2513" s="6">
        <f ca="1">IFERROR(__xludf.DUMMYFUNCTION("IFERROR(GOOGLEFINANCE(B2513,""changepct""),K2513)"),-1.4)</f>
        <v>-1.4</v>
      </c>
      <c r="M2513" s="6">
        <f ca="1">IFERROR(__xludf.DUMMYFUNCTION("IFERROR(GOOGLEFINANCE(B2513,""change""),0)"),-3.05)</f>
        <v>-3.05</v>
      </c>
      <c r="N2513" s="6">
        <v>2</v>
      </c>
      <c r="O2513" s="7">
        <v>45536</v>
      </c>
      <c r="P2513" s="9"/>
      <c r="Q2513" s="6">
        <v>810</v>
      </c>
      <c r="R2513" s="7">
        <v>45536</v>
      </c>
      <c r="S2513" s="6">
        <v>410.03</v>
      </c>
      <c r="T2513" s="6">
        <v>27.62</v>
      </c>
      <c r="U2513" s="7">
        <v>45536</v>
      </c>
      <c r="V2513" s="6">
        <v>33.85</v>
      </c>
      <c r="W2513" s="6">
        <f ca="1">IFERROR(__xludf.DUMMYFUNCTION("IFERROR(GOOGLEFINANCE(B2513,""pe""),V2513)"),22.2)</f>
        <v>22.2</v>
      </c>
      <c r="X2513" s="6">
        <v>0.57999999999999996</v>
      </c>
      <c r="Y2513" s="6">
        <v>3.83</v>
      </c>
      <c r="Z2513" s="6">
        <v>2</v>
      </c>
      <c r="AA2513" s="8">
        <v>45352</v>
      </c>
      <c r="AB2513" s="4">
        <v>0</v>
      </c>
      <c r="AC2513" s="6">
        <v>13.37</v>
      </c>
      <c r="AD2513" s="6">
        <v>16.73</v>
      </c>
      <c r="AE2513" s="1">
        <v>0</v>
      </c>
      <c r="AF2513" s="1">
        <f ca="1">IFERROR(__xludf.DUMMYFUNCTION("IFERROR(GOOGLEFINANCE(TRIM(F2513)&amp;"":"" &amp; TRIM(B2513),""high52""),AE2513)"),307.68)</f>
        <v>307.68</v>
      </c>
      <c r="AG2513" s="1">
        <v>0</v>
      </c>
      <c r="AH2513" s="1">
        <f ca="1">IFERROR(__xludf.DUMMYFUNCTION("IFERROR(GOOGLEFINANCE(TRIM(F2513)&amp;"":"" &amp; TRIM(B2513),""low52""),AE2513)"),145)</f>
        <v>145</v>
      </c>
      <c r="AI2513" s="1">
        <f ca="1">IFERROR(__xludf.DUMMYFUNCTION("IFERROR(GOOGLEFINANCE(B2513,""eps""),0)"),9.69)</f>
        <v>9.69</v>
      </c>
      <c r="AJ2513" s="1"/>
      <c r="AK2513" s="1" t="s">
        <v>7827</v>
      </c>
      <c r="AL2513" s="9">
        <f t="shared" si="256"/>
        <v>1</v>
      </c>
    </row>
    <row r="2514" spans="1:38" ht="15" x14ac:dyDescent="0.25">
      <c r="A2514" s="1" t="s">
        <v>7828</v>
      </c>
      <c r="B2514" s="1" t="s">
        <v>7829</v>
      </c>
      <c r="C2514" s="1" t="s">
        <v>835</v>
      </c>
      <c r="D2514" s="1" t="s">
        <v>835</v>
      </c>
      <c r="E2514" s="6">
        <v>330.37</v>
      </c>
      <c r="F2514" s="1" t="s">
        <v>53</v>
      </c>
      <c r="G2514" s="6">
        <f ca="1">IFERROR(__xludf.DUMMYFUNCTION("iferror(GOOGLEFINANCE(TRIM(F2514)&amp;"":"" &amp; TRIM(B2514), ""price""),0
)"),0)</f>
        <v>0</v>
      </c>
      <c r="H2514" s="6">
        <v>28.94</v>
      </c>
      <c r="I2514" s="6">
        <f t="shared" ca="1" si="0"/>
        <v>28.94</v>
      </c>
      <c r="J2514" s="6">
        <f ca="1">IFERROR(__xludf.DUMMYFUNCTION("IFERROR(GOOGLEFINANCE(B2514, ""volume""), 0)"),3)</f>
        <v>3</v>
      </c>
      <c r="K2514" s="6">
        <v>-2</v>
      </c>
      <c r="L2514" s="6">
        <f ca="1">IFERROR(__xludf.DUMMYFUNCTION("IFERROR(GOOGLEFINANCE(B2514,""changepct""),K2514)"),-2.78)</f>
        <v>-2.78</v>
      </c>
      <c r="M2514" s="6">
        <f ca="1">IFERROR(__xludf.DUMMYFUNCTION("IFERROR(GOOGLEFINANCE(B2514,""change""),0)"),-1.87)</f>
        <v>-1.87</v>
      </c>
      <c r="N2514" s="6">
        <v>2</v>
      </c>
      <c r="O2514" s="7">
        <v>45536</v>
      </c>
      <c r="P2514" s="9"/>
      <c r="Q2514" s="6">
        <v>330.37</v>
      </c>
      <c r="R2514" s="7">
        <v>45536</v>
      </c>
      <c r="S2514" s="6">
        <v>0.99</v>
      </c>
      <c r="T2514" s="6">
        <v>0.12</v>
      </c>
      <c r="U2514" s="7">
        <v>45536</v>
      </c>
      <c r="V2514" s="6">
        <v>136.46</v>
      </c>
      <c r="W2514" s="6">
        <f ca="1">IFERROR(__xludf.DUMMYFUNCTION("IFERROR(GOOGLEFINANCE(B2514,""pe""),V2514)"),136.46)</f>
        <v>136.46</v>
      </c>
      <c r="X2514" s="6">
        <v>1.08</v>
      </c>
      <c r="Y2514" s="6">
        <v>16.489999999999998</v>
      </c>
      <c r="Z2514" s="6">
        <v>2</v>
      </c>
      <c r="AA2514" s="8">
        <v>45352</v>
      </c>
      <c r="AB2514" s="4">
        <v>0</v>
      </c>
      <c r="AC2514" s="6">
        <v>12.84</v>
      </c>
      <c r="AD2514" s="6">
        <v>12.86</v>
      </c>
      <c r="AE2514" s="1">
        <v>0</v>
      </c>
      <c r="AF2514" s="1">
        <f ca="1">IFERROR(__xludf.DUMMYFUNCTION("IFERROR(GOOGLEFINANCE(TRIM(F2514)&amp;"":"" &amp; TRIM(B2514),""high52""),AE2514)"),0)</f>
        <v>0</v>
      </c>
      <c r="AG2514" s="1">
        <v>0</v>
      </c>
      <c r="AH2514" s="1">
        <f ca="1">IFERROR(__xludf.DUMMYFUNCTION("IFERROR(GOOGLEFINANCE(TRIM(F2514)&amp;"":"" &amp; TRIM(B2514),""low52""),AE2514)"),0)</f>
        <v>0</v>
      </c>
      <c r="AI2514" s="1">
        <f ca="1">IFERROR(__xludf.DUMMYFUNCTION("IFERROR(GOOGLEFINANCE(B2514,""eps""),0)"),0)</f>
        <v>0</v>
      </c>
      <c r="AJ2514" s="1"/>
      <c r="AK2514" s="9"/>
      <c r="AL2514" s="9">
        <f t="shared" si="256"/>
        <v>1</v>
      </c>
    </row>
    <row r="2515" spans="1:38" ht="15" x14ac:dyDescent="0.25">
      <c r="A2515" s="1" t="s">
        <v>7830</v>
      </c>
      <c r="B2515" s="1" t="s">
        <v>7831</v>
      </c>
      <c r="C2515" s="1" t="s">
        <v>860</v>
      </c>
      <c r="D2515" s="1" t="s">
        <v>860</v>
      </c>
      <c r="E2515" s="6">
        <v>577.38</v>
      </c>
      <c r="F2515" s="1" t="s">
        <v>40</v>
      </c>
      <c r="G2515" s="6">
        <f ca="1">IFERROR(__xludf.DUMMYFUNCTION("iferror(GOOGLEFINANCE(TRIM(F2515)&amp;"":"" &amp; TRIM(B2515), ""price""),0
)"),31.5)</f>
        <v>31.5</v>
      </c>
      <c r="H2515" s="6">
        <v>25.42</v>
      </c>
      <c r="I2515" s="6">
        <f t="shared" ca="1" si="0"/>
        <v>31.5</v>
      </c>
      <c r="J2515" s="6">
        <f ca="1">IFERROR(__xludf.DUMMYFUNCTION("IFERROR(GOOGLEFINANCE(B2515, ""volume""), 0)"),696523)</f>
        <v>696523</v>
      </c>
      <c r="K2515" s="6">
        <v>1.8</v>
      </c>
      <c r="L2515" s="6">
        <f ca="1">IFERROR(__xludf.DUMMYFUNCTION("IFERROR(GOOGLEFINANCE(B2515,""changepct""),K2515)"),0.54)</f>
        <v>0.54</v>
      </c>
      <c r="M2515" s="6">
        <f ca="1">IFERROR(__xludf.DUMMYFUNCTION("IFERROR(GOOGLEFINANCE(B2515,""change""),0)"),0.17)</f>
        <v>0.17</v>
      </c>
      <c r="N2515" s="6">
        <v>1</v>
      </c>
      <c r="O2515" s="7">
        <v>45536</v>
      </c>
      <c r="P2515" s="6">
        <v>113.36</v>
      </c>
      <c r="Q2515" s="6">
        <v>679.2</v>
      </c>
      <c r="R2515" s="7">
        <v>45536</v>
      </c>
      <c r="S2515" s="6">
        <v>970.5</v>
      </c>
      <c r="T2515" s="6">
        <v>-47.77</v>
      </c>
      <c r="U2515" s="7">
        <v>45536</v>
      </c>
      <c r="V2515" s="6">
        <v>0</v>
      </c>
      <c r="W2515" s="6">
        <f ca="1">IFERROR(__xludf.DUMMYFUNCTION("IFERROR(GOOGLEFINANCE(B2515,""pe""),V2515)"),0)</f>
        <v>0</v>
      </c>
      <c r="X2515" s="9"/>
      <c r="Y2515" s="6">
        <v>4.42</v>
      </c>
      <c r="Z2515" s="6">
        <v>1</v>
      </c>
      <c r="AA2515" s="8">
        <v>45352</v>
      </c>
      <c r="AB2515" s="4">
        <v>0.8</v>
      </c>
      <c r="AC2515" s="6">
        <v>-38.97</v>
      </c>
      <c r="AD2515" s="6">
        <v>-18.809999999999999</v>
      </c>
      <c r="AE2515" s="1">
        <v>0</v>
      </c>
      <c r="AF2515" s="1">
        <f ca="1">IFERROR(__xludf.DUMMYFUNCTION("IFERROR(GOOGLEFINANCE(TRIM(F2515)&amp;"":"" &amp; TRIM(B2515),""high52""),AE2515)"),36)</f>
        <v>36</v>
      </c>
      <c r="AG2515" s="1">
        <v>0</v>
      </c>
      <c r="AH2515" s="1">
        <f ca="1">IFERROR(__xludf.DUMMYFUNCTION("IFERROR(GOOGLEFINANCE(TRIM(F2515)&amp;"":"" &amp; TRIM(B2515),""low52""),AE2515)"),10.26)</f>
        <v>10.26</v>
      </c>
      <c r="AI2515" s="1">
        <f ca="1">IFERROR(__xludf.DUMMYFUNCTION("IFERROR(GOOGLEFINANCE(B2515,""eps""),0)"),-0.77)</f>
        <v>-0.77</v>
      </c>
      <c r="AJ2515" s="1"/>
      <c r="AK2515" s="1" t="s">
        <v>7832</v>
      </c>
      <c r="AL2515" s="9">
        <f t="shared" si="256"/>
        <v>1</v>
      </c>
    </row>
    <row r="2516" spans="1:38" ht="15" x14ac:dyDescent="0.25">
      <c r="A2516" s="1" t="s">
        <v>7833</v>
      </c>
      <c r="B2516" s="1" t="s">
        <v>7834</v>
      </c>
      <c r="C2516" s="1" t="s">
        <v>835</v>
      </c>
      <c r="D2516" s="1" t="s">
        <v>835</v>
      </c>
      <c r="E2516" s="6">
        <v>20.37</v>
      </c>
      <c r="F2516" s="1" t="s">
        <v>53</v>
      </c>
      <c r="G2516" s="6">
        <f ca="1">IFERROR(__xludf.DUMMYFUNCTION("iferror(GOOGLEFINANCE(TRIM(F2516)&amp;"":"" &amp; TRIM(B2516), ""price""),0
)"),0)</f>
        <v>0</v>
      </c>
      <c r="H2516" s="6">
        <v>6.88</v>
      </c>
      <c r="I2516" s="6">
        <f t="shared" ca="1" si="0"/>
        <v>6.88</v>
      </c>
      <c r="J2516" s="6">
        <f ca="1">IFERROR(__xludf.DUMMYFUNCTION("IFERROR(GOOGLEFINANCE(B2516, ""volume""), 0)"),0)</f>
        <v>0</v>
      </c>
      <c r="K2516" s="6">
        <v>1.33</v>
      </c>
      <c r="L2516" s="6">
        <f ca="1">IFERROR(__xludf.DUMMYFUNCTION("IFERROR(GOOGLEFINANCE(B2516,""changepct""),K2516)"),1.33)</f>
        <v>1.33</v>
      </c>
      <c r="M2516" s="6">
        <f ca="1">IFERROR(__xludf.DUMMYFUNCTION("IFERROR(GOOGLEFINANCE(B2516,""change""),0)"),0)</f>
        <v>0</v>
      </c>
      <c r="N2516" s="6">
        <v>1</v>
      </c>
      <c r="O2516" s="7">
        <v>45536</v>
      </c>
      <c r="P2516" s="12"/>
      <c r="Q2516" s="6">
        <v>20.37</v>
      </c>
      <c r="R2516" s="7">
        <v>45536</v>
      </c>
      <c r="S2516" s="6">
        <v>0.02</v>
      </c>
      <c r="T2516" s="6">
        <v>-0.01</v>
      </c>
      <c r="U2516" s="7">
        <v>45536</v>
      </c>
      <c r="V2516" s="6">
        <v>0</v>
      </c>
      <c r="W2516" s="6">
        <f ca="1">IFERROR(__xludf.DUMMYFUNCTION("IFERROR(GOOGLEFINANCE(B2516,""pe""),V2516)"),0)</f>
        <v>0</v>
      </c>
      <c r="X2516" s="6">
        <v>0</v>
      </c>
      <c r="Y2516" s="6">
        <v>0.61</v>
      </c>
      <c r="Z2516" s="6">
        <v>1</v>
      </c>
      <c r="AA2516" s="8">
        <v>44986</v>
      </c>
      <c r="AB2516" s="4">
        <v>0</v>
      </c>
      <c r="AC2516" s="6">
        <v>0.02</v>
      </c>
      <c r="AD2516" s="6">
        <v>0.03</v>
      </c>
      <c r="AE2516" s="1">
        <v>0</v>
      </c>
      <c r="AF2516" s="1">
        <f ca="1">IFERROR(__xludf.DUMMYFUNCTION("IFERROR(GOOGLEFINANCE(TRIM(F2516)&amp;"":"" &amp; TRIM(B2516),""high52""),AE2516)"),0)</f>
        <v>0</v>
      </c>
      <c r="AG2516" s="1">
        <v>0</v>
      </c>
      <c r="AH2516" s="1">
        <f ca="1">IFERROR(__xludf.DUMMYFUNCTION("IFERROR(GOOGLEFINANCE(TRIM(F2516)&amp;"":"" &amp; TRIM(B2516),""low52""),AE2516)"),0)</f>
        <v>0</v>
      </c>
      <c r="AI2516" s="1">
        <f ca="1">IFERROR(__xludf.DUMMYFUNCTION("IFERROR(GOOGLEFINANCE(B2516,""eps""),0)"),0)</f>
        <v>0</v>
      </c>
      <c r="AJ2516" s="1"/>
      <c r="AK2516" s="1" t="s">
        <v>7835</v>
      </c>
      <c r="AL2516" s="9">
        <f t="shared" si="256"/>
        <v>1</v>
      </c>
    </row>
    <row r="2517" spans="1:38" ht="15" x14ac:dyDescent="0.25">
      <c r="A2517" s="1" t="s">
        <v>7836</v>
      </c>
      <c r="B2517" s="1" t="s">
        <v>7837</v>
      </c>
      <c r="C2517" s="1" t="s">
        <v>1425</v>
      </c>
      <c r="D2517" s="1" t="s">
        <v>1425</v>
      </c>
      <c r="E2517" s="6">
        <v>532.77</v>
      </c>
      <c r="F2517" s="1" t="s">
        <v>40</v>
      </c>
      <c r="G2517" s="6">
        <f ca="1">IFERROR(__xludf.DUMMYFUNCTION("iferror(GOOGLEFINANCE(TRIM(F2517)&amp;"":"" &amp; TRIM(B2517), ""price""),0
)"),38.83)</f>
        <v>38.83</v>
      </c>
      <c r="H2517" s="6">
        <v>38.950000000000003</v>
      </c>
      <c r="I2517" s="6">
        <f t="shared" ca="1" si="0"/>
        <v>38.83</v>
      </c>
      <c r="J2517" s="6">
        <f ca="1">IFERROR(__xludf.DUMMYFUNCTION("IFERROR(GOOGLEFINANCE(B2517, ""volume""), 0)"),415424)</f>
        <v>415424</v>
      </c>
      <c r="K2517" s="6">
        <v>1.22</v>
      </c>
      <c r="L2517" s="6">
        <f ca="1">IFERROR(__xludf.DUMMYFUNCTION("IFERROR(GOOGLEFINANCE(B2517,""changepct""),K2517)"),0.99)</f>
        <v>0.99</v>
      </c>
      <c r="M2517" s="6">
        <f ca="1">IFERROR(__xludf.DUMMYFUNCTION("IFERROR(GOOGLEFINANCE(B2517,""change""),0)"),0.38)</f>
        <v>0.38</v>
      </c>
      <c r="N2517" s="6">
        <v>2</v>
      </c>
      <c r="O2517" s="7">
        <v>45536</v>
      </c>
      <c r="P2517" s="6">
        <v>38.58</v>
      </c>
      <c r="Q2517" s="6">
        <v>571.35</v>
      </c>
      <c r="R2517" s="7">
        <v>45536</v>
      </c>
      <c r="S2517" s="6">
        <v>638.96</v>
      </c>
      <c r="T2517" s="6">
        <v>12.12</v>
      </c>
      <c r="U2517" s="7">
        <v>45536</v>
      </c>
      <c r="V2517" s="6">
        <v>43.95</v>
      </c>
      <c r="W2517" s="6">
        <f ca="1">IFERROR(__xludf.DUMMYFUNCTION("IFERROR(GOOGLEFINANCE(B2517,""pe""),V2517)"),55.16)</f>
        <v>55.16</v>
      </c>
      <c r="X2517" s="6">
        <v>-1.8</v>
      </c>
      <c r="Y2517" s="6">
        <v>0.96</v>
      </c>
      <c r="Z2517" s="6">
        <v>2</v>
      </c>
      <c r="AA2517" s="8">
        <v>45352</v>
      </c>
      <c r="AB2517" s="4">
        <v>0.06</v>
      </c>
      <c r="AC2517" s="6">
        <v>2.2200000000000002</v>
      </c>
      <c r="AD2517" s="6">
        <v>4.87</v>
      </c>
      <c r="AE2517" s="1">
        <v>0</v>
      </c>
      <c r="AF2517" s="1">
        <f ca="1">IFERROR(__xludf.DUMMYFUNCTION("IFERROR(GOOGLEFINANCE(TRIM(F2517)&amp;"":"" &amp; TRIM(B2517),""high52""),AE2517)"),44.64)</f>
        <v>44.64</v>
      </c>
      <c r="AG2517" s="1">
        <v>0</v>
      </c>
      <c r="AH2517" s="1">
        <f ca="1">IFERROR(__xludf.DUMMYFUNCTION("IFERROR(GOOGLEFINANCE(TRIM(F2517)&amp;"":"" &amp; TRIM(B2517),""low52""),AE2517)"),25.03)</f>
        <v>25.03</v>
      </c>
      <c r="AI2517" s="1">
        <f ca="1">IFERROR(__xludf.DUMMYFUNCTION("IFERROR(GOOGLEFINANCE(B2517,""eps""),0)"),0.7)</f>
        <v>0.7</v>
      </c>
      <c r="AJ2517" s="1"/>
      <c r="AK2517" s="1" t="s">
        <v>7838</v>
      </c>
      <c r="AL2517" s="9">
        <f t="shared" si="256"/>
        <v>1</v>
      </c>
    </row>
    <row r="2518" spans="1:38" ht="15" x14ac:dyDescent="0.25">
      <c r="A2518" s="1" t="s">
        <v>7839</v>
      </c>
      <c r="B2518" s="1" t="s">
        <v>7840</v>
      </c>
      <c r="C2518" s="1" t="s">
        <v>835</v>
      </c>
      <c r="D2518" s="1" t="s">
        <v>835</v>
      </c>
      <c r="E2518" s="6">
        <v>52.48</v>
      </c>
      <c r="F2518" s="1" t="s">
        <v>53</v>
      </c>
      <c r="G2518" s="6">
        <f ca="1">IFERROR(__xludf.DUMMYFUNCTION("iferror(GOOGLEFINANCE(TRIM(F2518)&amp;"":"" &amp; TRIM(B2518), ""price""),0
)"),0)</f>
        <v>0</v>
      </c>
      <c r="H2518" s="6">
        <v>35.07</v>
      </c>
      <c r="I2518" s="6">
        <f t="shared" ca="1" si="0"/>
        <v>35.07</v>
      </c>
      <c r="J2518" s="6">
        <f ca="1">IFERROR(__xludf.DUMMYFUNCTION("IFERROR(GOOGLEFINANCE(B2518, ""volume""), 0)"),0)</f>
        <v>0</v>
      </c>
      <c r="K2518" s="6">
        <v>1.98</v>
      </c>
      <c r="L2518" s="6">
        <f ca="1">IFERROR(__xludf.DUMMYFUNCTION("IFERROR(GOOGLEFINANCE(B2518,""changepct""),K2518)"),1.98)</f>
        <v>1.98</v>
      </c>
      <c r="M2518" s="6">
        <f ca="1">IFERROR(__xludf.DUMMYFUNCTION("IFERROR(GOOGLEFINANCE(B2518,""change""),0)"),0)</f>
        <v>0</v>
      </c>
      <c r="N2518" s="6">
        <v>2</v>
      </c>
      <c r="O2518" s="7">
        <v>45536</v>
      </c>
      <c r="P2518" s="6">
        <v>1.68</v>
      </c>
      <c r="Q2518" s="6">
        <v>54.16</v>
      </c>
      <c r="R2518" s="7">
        <v>45536</v>
      </c>
      <c r="S2518" s="6">
        <v>0</v>
      </c>
      <c r="T2518" s="6">
        <v>-0.53</v>
      </c>
      <c r="U2518" s="7">
        <v>45536</v>
      </c>
      <c r="V2518" s="6">
        <v>0</v>
      </c>
      <c r="W2518" s="6">
        <f ca="1">IFERROR(__xludf.DUMMYFUNCTION("IFERROR(GOOGLEFINANCE(B2518,""pe""),V2518)"),0)</f>
        <v>0</v>
      </c>
      <c r="X2518" s="6">
        <v>0</v>
      </c>
      <c r="Y2518" s="6">
        <v>1.75</v>
      </c>
      <c r="Z2518" s="6">
        <v>2</v>
      </c>
      <c r="AA2518" s="8">
        <v>45352</v>
      </c>
      <c r="AB2518" s="4">
        <v>0.06</v>
      </c>
      <c r="AC2518" s="6">
        <v>-2.08</v>
      </c>
      <c r="AD2518" s="6">
        <v>-1.97</v>
      </c>
      <c r="AE2518" s="1">
        <v>0</v>
      </c>
      <c r="AF2518" s="1">
        <f ca="1">IFERROR(__xludf.DUMMYFUNCTION("IFERROR(GOOGLEFINANCE(TRIM(F2518)&amp;"":"" &amp; TRIM(B2518),""high52""),AE2518)"),0)</f>
        <v>0</v>
      </c>
      <c r="AG2518" s="1">
        <v>0</v>
      </c>
      <c r="AH2518" s="1">
        <f ca="1">IFERROR(__xludf.DUMMYFUNCTION("IFERROR(GOOGLEFINANCE(TRIM(F2518)&amp;"":"" &amp; TRIM(B2518),""low52""),AE2518)"),0)</f>
        <v>0</v>
      </c>
      <c r="AI2518" s="1">
        <f ca="1">IFERROR(__xludf.DUMMYFUNCTION("IFERROR(GOOGLEFINANCE(B2518,""eps""),0)"),0)</f>
        <v>0</v>
      </c>
      <c r="AJ2518" s="1"/>
      <c r="AK2518" s="1" t="s">
        <v>7841</v>
      </c>
      <c r="AL2518" s="9">
        <f t="shared" si="256"/>
        <v>1</v>
      </c>
    </row>
    <row r="2519" spans="1:38" ht="15" x14ac:dyDescent="0.25">
      <c r="A2519" s="1" t="s">
        <v>7842</v>
      </c>
      <c r="B2519" s="1" t="s">
        <v>7843</v>
      </c>
      <c r="C2519" s="1" t="s">
        <v>835</v>
      </c>
      <c r="D2519" s="1" t="s">
        <v>835</v>
      </c>
      <c r="E2519" s="6">
        <v>64.72</v>
      </c>
      <c r="F2519" s="1" t="s">
        <v>53</v>
      </c>
      <c r="G2519" s="6">
        <f ca="1">IFERROR(__xludf.DUMMYFUNCTION("iferror(GOOGLEFINANCE(TRIM(F2519)&amp;"":"" &amp; TRIM(B2519), ""price""),0
)"),0)</f>
        <v>0</v>
      </c>
      <c r="H2519" s="6">
        <v>104.1</v>
      </c>
      <c r="I2519" s="6">
        <f t="shared" ca="1" si="0"/>
        <v>104.1</v>
      </c>
      <c r="J2519" s="6">
        <f ca="1">IFERROR(__xludf.DUMMYFUNCTION("IFERROR(GOOGLEFINANCE(B2519, ""volume""), 0)"),0)</f>
        <v>0</v>
      </c>
      <c r="K2519" s="6">
        <v>-4.97</v>
      </c>
      <c r="L2519" s="6">
        <f ca="1">IFERROR(__xludf.DUMMYFUNCTION("IFERROR(GOOGLEFINANCE(B2519,""changepct""),K2519)"),-4.97)</f>
        <v>-4.97</v>
      </c>
      <c r="M2519" s="6">
        <f ca="1">IFERROR(__xludf.DUMMYFUNCTION("IFERROR(GOOGLEFINANCE(B2519,""change""),0)"),0)</f>
        <v>0</v>
      </c>
      <c r="N2519" s="6">
        <v>2</v>
      </c>
      <c r="O2519" s="7">
        <v>45536</v>
      </c>
      <c r="P2519" s="9"/>
      <c r="Q2519" s="6">
        <v>61.04</v>
      </c>
      <c r="R2519" s="7">
        <v>45536</v>
      </c>
      <c r="S2519" s="6">
        <v>19.850000000000001</v>
      </c>
      <c r="T2519" s="6">
        <v>3.42</v>
      </c>
      <c r="U2519" s="7">
        <v>45536</v>
      </c>
      <c r="V2519" s="6">
        <v>21.7</v>
      </c>
      <c r="W2519" s="6">
        <f ca="1">IFERROR(__xludf.DUMMYFUNCTION("IFERROR(GOOGLEFINANCE(B2519,""pe""),V2519)"),21.7)</f>
        <v>21.7</v>
      </c>
      <c r="X2519" s="6">
        <v>2.31</v>
      </c>
      <c r="Y2519" s="6">
        <v>1.55</v>
      </c>
      <c r="Z2519" s="6">
        <v>2</v>
      </c>
      <c r="AA2519" s="8">
        <v>45352</v>
      </c>
      <c r="AB2519" s="4">
        <v>0</v>
      </c>
      <c r="AC2519" s="6">
        <v>-1.28</v>
      </c>
      <c r="AD2519" s="6">
        <v>-0.74</v>
      </c>
      <c r="AE2519" s="1">
        <v>0</v>
      </c>
      <c r="AF2519" s="1">
        <f ca="1">IFERROR(__xludf.DUMMYFUNCTION("IFERROR(GOOGLEFINANCE(TRIM(F2519)&amp;"":"" &amp; TRIM(B2519),""high52""),AE2519)"),0)</f>
        <v>0</v>
      </c>
      <c r="AG2519" s="1">
        <v>0</v>
      </c>
      <c r="AH2519" s="1">
        <f ca="1">IFERROR(__xludf.DUMMYFUNCTION("IFERROR(GOOGLEFINANCE(TRIM(F2519)&amp;"":"" &amp; TRIM(B2519),""low52""),AE2519)"),0)</f>
        <v>0</v>
      </c>
      <c r="AI2519" s="1">
        <f ca="1">IFERROR(__xludf.DUMMYFUNCTION("IFERROR(GOOGLEFINANCE(B2519,""eps""),0)"),0)</f>
        <v>0</v>
      </c>
      <c r="AJ2519" s="1"/>
      <c r="AK2519" s="1" t="s">
        <v>7844</v>
      </c>
      <c r="AL2519" s="9">
        <f t="shared" si="256"/>
        <v>1</v>
      </c>
    </row>
    <row r="2520" spans="1:38" ht="15" x14ac:dyDescent="0.25">
      <c r="A2520" s="1" t="s">
        <v>7845</v>
      </c>
      <c r="B2520" s="1" t="s">
        <v>7846</v>
      </c>
      <c r="C2520" s="1" t="s">
        <v>219</v>
      </c>
      <c r="D2520" s="1" t="s">
        <v>219</v>
      </c>
      <c r="E2520" s="6">
        <v>6485.71</v>
      </c>
      <c r="F2520" s="1" t="s">
        <v>40</v>
      </c>
      <c r="G2520" s="6">
        <f ca="1">IFERROR(__xludf.DUMMYFUNCTION("iferror(GOOGLEFINANCE(TRIM(F2520)&amp;"":"" &amp; TRIM(B2520), ""price""),0
)"),358.8)</f>
        <v>358.8</v>
      </c>
      <c r="H2520" s="6">
        <v>350.45</v>
      </c>
      <c r="I2520" s="6">
        <f t="shared" ca="1" si="0"/>
        <v>358.8</v>
      </c>
      <c r="J2520" s="6">
        <f ca="1">IFERROR(__xludf.DUMMYFUNCTION("IFERROR(GOOGLEFINANCE(B2520, ""volume""), 0)"),788795)</f>
        <v>788795</v>
      </c>
      <c r="K2520" s="6">
        <v>1.08</v>
      </c>
      <c r="L2520" s="6">
        <f ca="1">IFERROR(__xludf.DUMMYFUNCTION("IFERROR(GOOGLEFINANCE(B2520,""changepct""),K2520)"),1.64)</f>
        <v>1.64</v>
      </c>
      <c r="M2520" s="6">
        <f ca="1">IFERROR(__xludf.DUMMYFUNCTION("IFERROR(GOOGLEFINANCE(B2520,""change""),0)"),5.8)</f>
        <v>5.8</v>
      </c>
      <c r="N2520" s="6">
        <v>2</v>
      </c>
      <c r="O2520" s="7">
        <v>45536</v>
      </c>
      <c r="P2520" s="6">
        <v>327.91</v>
      </c>
      <c r="Q2520" s="6">
        <v>6763.2</v>
      </c>
      <c r="R2520" s="7">
        <v>45536</v>
      </c>
      <c r="S2520" s="6">
        <v>1083.04</v>
      </c>
      <c r="T2520" s="6">
        <v>87.52</v>
      </c>
      <c r="U2520" s="7">
        <v>45536</v>
      </c>
      <c r="V2520" s="6">
        <v>73.489999999999995</v>
      </c>
      <c r="W2520" s="6">
        <f ca="1">IFERROR(__xludf.DUMMYFUNCTION("IFERROR(GOOGLEFINANCE(B2520,""pe""),V2520)"),62.63)</f>
        <v>62.63</v>
      </c>
      <c r="X2520" s="6">
        <v>-10.79</v>
      </c>
      <c r="Y2520" s="6">
        <v>4.8099999999999996</v>
      </c>
      <c r="Z2520" s="6">
        <v>2</v>
      </c>
      <c r="AA2520" s="8">
        <v>45352</v>
      </c>
      <c r="AB2520" s="4">
        <v>0.25</v>
      </c>
      <c r="AC2520" s="6">
        <v>7.05</v>
      </c>
      <c r="AD2520" s="6">
        <v>10.07</v>
      </c>
      <c r="AE2520" s="1">
        <v>0</v>
      </c>
      <c r="AF2520" s="1">
        <f ca="1">IFERROR(__xludf.DUMMYFUNCTION("IFERROR(GOOGLEFINANCE(TRIM(F2520)&amp;"":"" &amp; TRIM(B2520),""high52""),AE2520)"),469)</f>
        <v>469</v>
      </c>
      <c r="AG2520" s="1">
        <v>0</v>
      </c>
      <c r="AH2520" s="1">
        <f ca="1">IFERROR(__xludf.DUMMYFUNCTION("IFERROR(GOOGLEFINANCE(TRIM(F2520)&amp;"":"" &amp; TRIM(B2520),""low52""),AE2520)"),226.93)</f>
        <v>226.93</v>
      </c>
      <c r="AI2520" s="1">
        <f ca="1">IFERROR(__xludf.DUMMYFUNCTION("IFERROR(GOOGLEFINANCE(B2520,""eps""),0)"),5.73)</f>
        <v>5.73</v>
      </c>
      <c r="AJ2520" s="1"/>
      <c r="AK2520" s="1" t="s">
        <v>7847</v>
      </c>
      <c r="AL2520" s="9">
        <f t="shared" si="256"/>
        <v>1</v>
      </c>
    </row>
    <row r="2521" spans="1:38" ht="15" x14ac:dyDescent="0.25">
      <c r="A2521" s="1" t="s">
        <v>7848</v>
      </c>
      <c r="B2521" s="1" t="s">
        <v>7849</v>
      </c>
      <c r="C2521" s="1" t="s">
        <v>223</v>
      </c>
      <c r="D2521" s="1" t="s">
        <v>223</v>
      </c>
      <c r="E2521" s="6">
        <v>203.51</v>
      </c>
      <c r="F2521" s="1" t="s">
        <v>40</v>
      </c>
      <c r="G2521" s="6">
        <f ca="1">IFERROR(__xludf.DUMMYFUNCTION("iferror(GOOGLEFINANCE(TRIM(F2521)&amp;"":"" &amp; TRIM(B2521), ""price""),0
)"),60)</f>
        <v>60</v>
      </c>
      <c r="H2521" s="6">
        <v>114.21</v>
      </c>
      <c r="I2521" s="6">
        <f t="shared" ca="1" si="0"/>
        <v>60</v>
      </c>
      <c r="J2521" s="6">
        <f ca="1">IFERROR(__xludf.DUMMYFUNCTION("IFERROR(GOOGLEFINANCE(B2521, ""volume""), 0)"),2153)</f>
        <v>2153</v>
      </c>
      <c r="K2521" s="6">
        <v>-0.79</v>
      </c>
      <c r="L2521" s="6">
        <f ca="1">IFERROR(__xludf.DUMMYFUNCTION("IFERROR(GOOGLEFINANCE(B2521,""changepct""),K2521)"),-2.91)</f>
        <v>-2.91</v>
      </c>
      <c r="M2521" s="6">
        <f ca="1">IFERROR(__xludf.DUMMYFUNCTION("IFERROR(GOOGLEFINANCE(B2521,""change""),0)"),-1.8)</f>
        <v>-1.8</v>
      </c>
      <c r="N2521" s="6">
        <v>2</v>
      </c>
      <c r="O2521" s="7">
        <v>45536</v>
      </c>
      <c r="P2521" s="6">
        <v>140.18</v>
      </c>
      <c r="Q2521" s="6">
        <v>332.89</v>
      </c>
      <c r="R2521" s="7">
        <v>45536</v>
      </c>
      <c r="S2521" s="6">
        <v>116.39</v>
      </c>
      <c r="T2521" s="6">
        <v>8.85</v>
      </c>
      <c r="U2521" s="7">
        <v>45536</v>
      </c>
      <c r="V2521" s="6">
        <v>32.409999999999997</v>
      </c>
      <c r="W2521" s="6">
        <f ca="1">IFERROR(__xludf.DUMMYFUNCTION("IFERROR(GOOGLEFINANCE(B2521,""pe""),V2521)"),28.7)</f>
        <v>28.7</v>
      </c>
      <c r="X2521" s="6">
        <v>0.16</v>
      </c>
      <c r="Y2521" s="6">
        <v>1.33</v>
      </c>
      <c r="Z2521" s="6">
        <v>2</v>
      </c>
      <c r="AA2521" s="8">
        <v>45352</v>
      </c>
      <c r="AB2521" s="4">
        <v>1.18</v>
      </c>
      <c r="AC2521" s="6">
        <v>5.9</v>
      </c>
      <c r="AD2521" s="6">
        <v>10.75</v>
      </c>
      <c r="AE2521" s="1">
        <v>0</v>
      </c>
      <c r="AF2521" s="1">
        <f ca="1">IFERROR(__xludf.DUMMYFUNCTION("IFERROR(GOOGLEFINANCE(TRIM(F2521)&amp;"":"" &amp; TRIM(B2521),""high52""),AE2521)"),102.9)</f>
        <v>102.9</v>
      </c>
      <c r="AG2521" s="1">
        <v>0</v>
      </c>
      <c r="AH2521" s="1">
        <f ca="1">IFERROR(__xludf.DUMMYFUNCTION("IFERROR(GOOGLEFINANCE(TRIM(F2521)&amp;"":"" &amp; TRIM(B2521),""low52""),AE2521)"),53.11)</f>
        <v>53.11</v>
      </c>
      <c r="AI2521" s="1">
        <f ca="1">IFERROR(__xludf.DUMMYFUNCTION("IFERROR(GOOGLEFINANCE(B2521,""eps""),0)"),2.09)</f>
        <v>2.09</v>
      </c>
      <c r="AJ2521" s="1"/>
      <c r="AK2521" s="1" t="s">
        <v>7850</v>
      </c>
      <c r="AL2521" s="1" t="b">
        <f>ISNUMBER(AA2521)</f>
        <v>1</v>
      </c>
    </row>
    <row r="2522" spans="1:38" ht="15" x14ac:dyDescent="0.25">
      <c r="A2522" s="1" t="s">
        <v>7851</v>
      </c>
      <c r="B2522" s="1" t="s">
        <v>7852</v>
      </c>
      <c r="C2522" s="1" t="s">
        <v>227</v>
      </c>
      <c r="D2522" s="1" t="s">
        <v>227</v>
      </c>
      <c r="E2522" s="6">
        <v>106.54</v>
      </c>
      <c r="F2522" s="1" t="s">
        <v>40</v>
      </c>
      <c r="G2522" s="6">
        <f ca="1">IFERROR(__xludf.DUMMYFUNCTION("iferror(GOOGLEFINANCE(TRIM(F2522)&amp;"":"" &amp; TRIM(B2522), ""price""),0
)"),1.01)</f>
        <v>1.01</v>
      </c>
      <c r="H2522" s="6">
        <v>2.41</v>
      </c>
      <c r="I2522" s="6">
        <f t="shared" ca="1" si="0"/>
        <v>1.01</v>
      </c>
      <c r="J2522" s="6">
        <f ca="1">IFERROR(__xludf.DUMMYFUNCTION("IFERROR(GOOGLEFINANCE(B2522, ""volume""), 0)"),812105)</f>
        <v>812105</v>
      </c>
      <c r="K2522" s="6">
        <v>0.42</v>
      </c>
      <c r="L2522" s="6">
        <f ca="1">IFERROR(__xludf.DUMMYFUNCTION("IFERROR(GOOGLEFINANCE(B2522,""changepct""),K2522)"),1)</f>
        <v>1</v>
      </c>
      <c r="M2522" s="6">
        <f ca="1">IFERROR(__xludf.DUMMYFUNCTION("IFERROR(GOOGLEFINANCE(B2522,""change""),0)"),0.01)</f>
        <v>0.01</v>
      </c>
      <c r="N2522" s="6">
        <v>1</v>
      </c>
      <c r="O2522" s="7">
        <v>45536</v>
      </c>
      <c r="P2522" s="6">
        <v>6.08</v>
      </c>
      <c r="Q2522" s="6">
        <v>112.61</v>
      </c>
      <c r="R2522" s="7">
        <v>45536</v>
      </c>
      <c r="S2522" s="6">
        <v>64.319999999999993</v>
      </c>
      <c r="T2522" s="6">
        <v>2.58</v>
      </c>
      <c r="U2522" s="7">
        <v>45536</v>
      </c>
      <c r="V2522" s="6">
        <v>41.29</v>
      </c>
      <c r="W2522" s="6">
        <f ca="1">IFERROR(__xludf.DUMMYFUNCTION("IFERROR(GOOGLEFINANCE(B2522,""pe""),V2522)"),20.2)</f>
        <v>20.2</v>
      </c>
      <c r="X2522" s="6">
        <v>-3.4</v>
      </c>
      <c r="Y2522" s="6">
        <v>1.67</v>
      </c>
      <c r="Z2522" s="6">
        <v>1</v>
      </c>
      <c r="AA2522" s="8">
        <v>45352</v>
      </c>
      <c r="AB2522" s="4">
        <v>0.02</v>
      </c>
      <c r="AC2522" s="6">
        <v>5.39</v>
      </c>
      <c r="AD2522" s="6">
        <v>6.91</v>
      </c>
      <c r="AE2522" s="1">
        <v>0</v>
      </c>
      <c r="AF2522" s="1">
        <f ca="1">IFERROR(__xludf.DUMMYFUNCTION("IFERROR(GOOGLEFINANCE(TRIM(F2522)&amp;"":"" &amp; TRIM(B2522),""high52""),AE2522)"),2.5)</f>
        <v>2.5</v>
      </c>
      <c r="AG2522" s="1">
        <v>0</v>
      </c>
      <c r="AH2522" s="1">
        <f ca="1">IFERROR(__xludf.DUMMYFUNCTION("IFERROR(GOOGLEFINANCE(TRIM(F2522)&amp;"":"" &amp; TRIM(B2522),""low52""),AE2522)"),0.95)</f>
        <v>0.95</v>
      </c>
      <c r="AI2522" s="1">
        <f ca="1">IFERROR(__xludf.DUMMYFUNCTION("IFERROR(GOOGLEFINANCE(B2522,""eps""),0)"),0.05)</f>
        <v>0.05</v>
      </c>
      <c r="AJ2522" s="1"/>
      <c r="AK2522" s="1" t="s">
        <v>7853</v>
      </c>
      <c r="AL2522" s="9">
        <f t="shared" ref="AL2522:AL2526" si="257">IF(AA2522&lt;&gt;AB2522,1,0)</f>
        <v>1</v>
      </c>
    </row>
    <row r="2523" spans="1:38" ht="15" x14ac:dyDescent="0.25">
      <c r="A2523" s="1" t="s">
        <v>7854</v>
      </c>
      <c r="B2523" s="1" t="s">
        <v>7855</v>
      </c>
      <c r="C2523" s="1" t="s">
        <v>317</v>
      </c>
      <c r="D2523" s="1" t="s">
        <v>317</v>
      </c>
      <c r="E2523" s="6">
        <v>311.93</v>
      </c>
      <c r="F2523" s="1" t="s">
        <v>40</v>
      </c>
      <c r="G2523" s="6">
        <f ca="1">IFERROR(__xludf.DUMMYFUNCTION("iferror(GOOGLEFINANCE(TRIM(F2523)&amp;"":"" &amp; TRIM(B2523), ""price""),0
)"),5.02)</f>
        <v>5.0199999999999996</v>
      </c>
      <c r="H2523" s="6">
        <v>8.4700000000000006</v>
      </c>
      <c r="I2523" s="6">
        <f t="shared" ca="1" si="0"/>
        <v>5.0199999999999996</v>
      </c>
      <c r="J2523" s="6">
        <f ca="1">IFERROR(__xludf.DUMMYFUNCTION("IFERROR(GOOGLEFINANCE(B2523, ""volume""), 0)"),683223)</f>
        <v>683223</v>
      </c>
      <c r="K2523" s="6">
        <v>1.93</v>
      </c>
      <c r="L2523" s="6">
        <f ca="1">IFERROR(__xludf.DUMMYFUNCTION("IFERROR(GOOGLEFINANCE(B2523,""changepct""),K2523)"),-5.28)</f>
        <v>-5.28</v>
      </c>
      <c r="M2523" s="6">
        <f ca="1">IFERROR(__xludf.DUMMYFUNCTION("IFERROR(GOOGLEFINANCE(B2523,""change""),0)"),-0.28)</f>
        <v>-0.28000000000000003</v>
      </c>
      <c r="N2523" s="6">
        <v>1</v>
      </c>
      <c r="O2523" s="7">
        <v>45536</v>
      </c>
      <c r="P2523" s="6">
        <v>0.35</v>
      </c>
      <c r="Q2523" s="6">
        <v>312.27999999999997</v>
      </c>
      <c r="R2523" s="7">
        <v>45536</v>
      </c>
      <c r="S2523" s="6">
        <v>246.76</v>
      </c>
      <c r="T2523" s="6">
        <v>12.54</v>
      </c>
      <c r="U2523" s="7">
        <v>45536</v>
      </c>
      <c r="V2523" s="6">
        <v>24.89</v>
      </c>
      <c r="W2523" s="6">
        <f ca="1">IFERROR(__xludf.DUMMYFUNCTION("IFERROR(GOOGLEFINANCE(B2523,""pe""),V2523)"),22.48)</f>
        <v>22.48</v>
      </c>
      <c r="X2523" s="6">
        <v>0.53</v>
      </c>
      <c r="Y2523" s="6">
        <v>4.78</v>
      </c>
      <c r="Z2523" s="6">
        <v>1</v>
      </c>
      <c r="AA2523" s="8">
        <v>45352</v>
      </c>
      <c r="AB2523" s="4">
        <v>0.31</v>
      </c>
      <c r="AC2523" s="6">
        <v>20.21</v>
      </c>
      <c r="AD2523" s="6">
        <v>18.989999999999998</v>
      </c>
      <c r="AE2523" s="1">
        <v>0</v>
      </c>
      <c r="AF2523" s="1">
        <f ca="1">IFERROR(__xludf.DUMMYFUNCTION("IFERROR(GOOGLEFINANCE(TRIM(F2523)&amp;"":"" &amp; TRIM(B2523),""high52""),AE2523)"),9.78)</f>
        <v>9.7799999999999994</v>
      </c>
      <c r="AG2523" s="1">
        <v>0</v>
      </c>
      <c r="AH2523" s="1">
        <f ca="1">IFERROR(__xludf.DUMMYFUNCTION("IFERROR(GOOGLEFINANCE(TRIM(F2523)&amp;"":"" &amp; TRIM(B2523),""low52""),AE2523)"),4.51)</f>
        <v>4.51</v>
      </c>
      <c r="AI2523" s="1">
        <f ca="1">IFERROR(__xludf.DUMMYFUNCTION("IFERROR(GOOGLEFINANCE(B2523,""eps""),0)"),0.22)</f>
        <v>0.22</v>
      </c>
      <c r="AJ2523" s="1"/>
      <c r="AK2523" s="1" t="s">
        <v>7856</v>
      </c>
      <c r="AL2523" s="9">
        <f t="shared" si="257"/>
        <v>1</v>
      </c>
    </row>
    <row r="2524" spans="1:38" ht="15" x14ac:dyDescent="0.25">
      <c r="A2524" s="1" t="s">
        <v>7857</v>
      </c>
      <c r="B2524" s="1" t="s">
        <v>7858</v>
      </c>
      <c r="C2524" s="1" t="s">
        <v>2185</v>
      </c>
      <c r="D2524" s="1" t="s">
        <v>2185</v>
      </c>
      <c r="E2524" s="6">
        <v>130.52000000000001</v>
      </c>
      <c r="F2524" s="1" t="s">
        <v>53</v>
      </c>
      <c r="G2524" s="6">
        <f ca="1">IFERROR(__xludf.DUMMYFUNCTION("iferror(GOOGLEFINANCE(TRIM(F2524)&amp;"":"" &amp; TRIM(B2524), ""price""),0
)"),0)</f>
        <v>0</v>
      </c>
      <c r="H2524" s="6">
        <v>22.5</v>
      </c>
      <c r="I2524" s="6">
        <f t="shared" ca="1" si="0"/>
        <v>22.5</v>
      </c>
      <c r="J2524" s="6">
        <f ca="1">IFERROR(__xludf.DUMMYFUNCTION("IFERROR(GOOGLEFINANCE(B2524, ""volume""), 0)"),0)</f>
        <v>0</v>
      </c>
      <c r="K2524" s="6">
        <v>-0.75</v>
      </c>
      <c r="L2524" s="6">
        <f ca="1">IFERROR(__xludf.DUMMYFUNCTION("IFERROR(GOOGLEFINANCE(B2524,""changepct""),K2524)"),-0.75)</f>
        <v>-0.75</v>
      </c>
      <c r="M2524" s="6">
        <f ca="1">IFERROR(__xludf.DUMMYFUNCTION("IFERROR(GOOGLEFINANCE(B2524,""change""),0)"),0)</f>
        <v>0</v>
      </c>
      <c r="N2524" s="6">
        <v>2</v>
      </c>
      <c r="O2524" s="7">
        <v>45536</v>
      </c>
      <c r="P2524" s="6">
        <v>64.19</v>
      </c>
      <c r="Q2524" s="6">
        <v>188.94</v>
      </c>
      <c r="R2524" s="7">
        <v>45536</v>
      </c>
      <c r="S2524" s="6">
        <v>170.03</v>
      </c>
      <c r="T2524" s="6">
        <v>2.85</v>
      </c>
      <c r="U2524" s="7">
        <v>45536</v>
      </c>
      <c r="V2524" s="6">
        <v>33.92</v>
      </c>
      <c r="W2524" s="6">
        <f ca="1">IFERROR(__xludf.DUMMYFUNCTION("IFERROR(GOOGLEFINANCE(B2524,""pe""),V2524)"),33.92)</f>
        <v>33.92</v>
      </c>
      <c r="X2524" s="6">
        <v>1.32</v>
      </c>
      <c r="Y2524" s="6">
        <v>3.12</v>
      </c>
      <c r="Z2524" s="6">
        <v>2</v>
      </c>
      <c r="AA2524" s="8">
        <v>45352</v>
      </c>
      <c r="AB2524" s="4">
        <v>1.6</v>
      </c>
      <c r="AC2524" s="6">
        <v>8.15</v>
      </c>
      <c r="AD2524" s="6">
        <v>11.12</v>
      </c>
      <c r="AE2524" s="1">
        <v>0</v>
      </c>
      <c r="AF2524" s="1">
        <f ca="1">IFERROR(__xludf.DUMMYFUNCTION("IFERROR(GOOGLEFINANCE(TRIM(F2524)&amp;"":"" &amp; TRIM(B2524),""high52""),AE2524)"),0)</f>
        <v>0</v>
      </c>
      <c r="AG2524" s="1">
        <v>0</v>
      </c>
      <c r="AH2524" s="1">
        <f ca="1">IFERROR(__xludf.DUMMYFUNCTION("IFERROR(GOOGLEFINANCE(TRIM(F2524)&amp;"":"" &amp; TRIM(B2524),""low52""),AE2524)"),0)</f>
        <v>0</v>
      </c>
      <c r="AI2524" s="1">
        <f ca="1">IFERROR(__xludf.DUMMYFUNCTION("IFERROR(GOOGLEFINANCE(B2524,""eps""),0)"),0)</f>
        <v>0</v>
      </c>
      <c r="AJ2524" s="1"/>
      <c r="AK2524" s="1" t="s">
        <v>7859</v>
      </c>
      <c r="AL2524" s="9">
        <f t="shared" si="257"/>
        <v>1</v>
      </c>
    </row>
    <row r="2525" spans="1:38" ht="15" x14ac:dyDescent="0.25">
      <c r="A2525" s="1" t="s">
        <v>7860</v>
      </c>
      <c r="B2525" s="1" t="s">
        <v>7861</v>
      </c>
      <c r="C2525" s="1" t="s">
        <v>2185</v>
      </c>
      <c r="D2525" s="1" t="s">
        <v>2185</v>
      </c>
      <c r="E2525" s="6">
        <v>30.27</v>
      </c>
      <c r="F2525" s="1" t="s">
        <v>53</v>
      </c>
      <c r="G2525" s="6">
        <f ca="1">IFERROR(__xludf.DUMMYFUNCTION("iferror(GOOGLEFINANCE(TRIM(F2525)&amp;"":"" &amp; TRIM(B2525), ""price""),0
)"),0)</f>
        <v>0</v>
      </c>
      <c r="H2525" s="6">
        <v>2.74</v>
      </c>
      <c r="I2525" s="6">
        <f t="shared" ca="1" si="0"/>
        <v>2.74</v>
      </c>
      <c r="J2525" s="6">
        <f ca="1">IFERROR(__xludf.DUMMYFUNCTION("IFERROR(GOOGLEFINANCE(B2525, ""volume""), 0)"),0)</f>
        <v>0</v>
      </c>
      <c r="K2525" s="6">
        <v>0</v>
      </c>
      <c r="L2525" s="6">
        <f ca="1">IFERROR(__xludf.DUMMYFUNCTION("IFERROR(GOOGLEFINANCE(B2525,""changepct""),K2525)"),0)</f>
        <v>0</v>
      </c>
      <c r="M2525" s="6">
        <f ca="1">IFERROR(__xludf.DUMMYFUNCTION("IFERROR(GOOGLEFINANCE(B2525,""change""),0)"),0)</f>
        <v>0</v>
      </c>
      <c r="N2525" s="6">
        <v>1</v>
      </c>
      <c r="O2525" s="7">
        <v>45536</v>
      </c>
      <c r="P2525" s="6">
        <v>0.04</v>
      </c>
      <c r="Q2525" s="6">
        <v>30.32</v>
      </c>
      <c r="R2525" s="7">
        <v>45536</v>
      </c>
      <c r="S2525" s="6">
        <v>0.44</v>
      </c>
      <c r="T2525" s="6">
        <v>-0.36</v>
      </c>
      <c r="U2525" s="7">
        <v>45536</v>
      </c>
      <c r="V2525" s="6">
        <v>0</v>
      </c>
      <c r="W2525" s="6">
        <f ca="1">IFERROR(__xludf.DUMMYFUNCTION("IFERROR(GOOGLEFINANCE(B2525,""pe""),V2525)"),0)</f>
        <v>0</v>
      </c>
      <c r="X2525" s="6">
        <v>0</v>
      </c>
      <c r="Y2525" s="6">
        <v>1.85</v>
      </c>
      <c r="Z2525" s="6">
        <v>1</v>
      </c>
      <c r="AA2525" s="8">
        <v>45352</v>
      </c>
      <c r="AB2525" s="4">
        <v>0</v>
      </c>
      <c r="AC2525" s="6">
        <v>0.53</v>
      </c>
      <c r="AD2525" s="6">
        <v>1.1000000000000001</v>
      </c>
      <c r="AE2525" s="1">
        <v>0</v>
      </c>
      <c r="AF2525" s="1">
        <f ca="1">IFERROR(__xludf.DUMMYFUNCTION("IFERROR(GOOGLEFINANCE(TRIM(F2525)&amp;"":"" &amp; TRIM(B2525),""high52""),AE2525)"),0)</f>
        <v>0</v>
      </c>
      <c r="AG2525" s="1">
        <v>0</v>
      </c>
      <c r="AH2525" s="1">
        <f ca="1">IFERROR(__xludf.DUMMYFUNCTION("IFERROR(GOOGLEFINANCE(TRIM(F2525)&amp;"":"" &amp; TRIM(B2525),""low52""),AE2525)"),0)</f>
        <v>0</v>
      </c>
      <c r="AI2525" s="1">
        <f ca="1">IFERROR(__xludf.DUMMYFUNCTION("IFERROR(GOOGLEFINANCE(B2525,""eps""),0)"),0)</f>
        <v>0</v>
      </c>
      <c r="AJ2525" s="1"/>
      <c r="AK2525" s="1" t="s">
        <v>7862</v>
      </c>
      <c r="AL2525" s="9">
        <f t="shared" si="257"/>
        <v>1</v>
      </c>
    </row>
    <row r="2526" spans="1:38" ht="15" x14ac:dyDescent="0.25">
      <c r="A2526" s="1" t="s">
        <v>7863</v>
      </c>
      <c r="B2526" s="1" t="s">
        <v>7864</v>
      </c>
      <c r="C2526" s="1" t="s">
        <v>1528</v>
      </c>
      <c r="D2526" s="1" t="s">
        <v>1528</v>
      </c>
      <c r="E2526" s="6">
        <v>2225.3000000000002</v>
      </c>
      <c r="F2526" s="1" t="s">
        <v>40</v>
      </c>
      <c r="G2526" s="6">
        <f ca="1">IFERROR(__xludf.DUMMYFUNCTION("iferror(GOOGLEFINANCE(TRIM(F2526)&amp;"":"" &amp; TRIM(B2526), ""price""),0
)"),400)</f>
        <v>400</v>
      </c>
      <c r="H2526" s="6">
        <v>455.3</v>
      </c>
      <c r="I2526" s="6">
        <f t="shared" ca="1" si="0"/>
        <v>400</v>
      </c>
      <c r="J2526" s="6">
        <f ca="1">IFERROR(__xludf.DUMMYFUNCTION("IFERROR(GOOGLEFINANCE(B2526, ""volume""), 0)"),67783)</f>
        <v>67783</v>
      </c>
      <c r="K2526" s="6">
        <v>-0.97</v>
      </c>
      <c r="L2526" s="6">
        <f ca="1">IFERROR(__xludf.DUMMYFUNCTION("IFERROR(GOOGLEFINANCE(B2526,""changepct""),K2526)"),0.38)</f>
        <v>0.38</v>
      </c>
      <c r="M2526" s="6">
        <f ca="1">IFERROR(__xludf.DUMMYFUNCTION("IFERROR(GOOGLEFINANCE(B2526,""change""),0)"),1.5)</f>
        <v>1.5</v>
      </c>
      <c r="N2526" s="6">
        <v>2</v>
      </c>
      <c r="O2526" s="7">
        <v>45536</v>
      </c>
      <c r="P2526" s="6">
        <v>1098.7</v>
      </c>
      <c r="Q2526" s="6">
        <v>3105.82</v>
      </c>
      <c r="R2526" s="7">
        <v>45536</v>
      </c>
      <c r="S2526" s="6">
        <v>1576.7</v>
      </c>
      <c r="T2526" s="6">
        <v>131.63999999999999</v>
      </c>
      <c r="U2526" s="7">
        <v>45536</v>
      </c>
      <c r="V2526" s="6">
        <v>16.899999999999999</v>
      </c>
      <c r="W2526" s="6">
        <f ca="1">IFERROR(__xludf.DUMMYFUNCTION("IFERROR(GOOGLEFINANCE(B2526,""pe""),V2526)"),20.2)</f>
        <v>20.2</v>
      </c>
      <c r="X2526" s="6">
        <v>1.45</v>
      </c>
      <c r="Y2526" s="6">
        <v>2.61</v>
      </c>
      <c r="Z2526" s="6">
        <v>2</v>
      </c>
      <c r="AA2526" s="8">
        <v>45352</v>
      </c>
      <c r="AB2526" s="4">
        <v>1.18</v>
      </c>
      <c r="AC2526" s="6">
        <v>18.48</v>
      </c>
      <c r="AD2526" s="6">
        <v>14.73</v>
      </c>
      <c r="AE2526" s="1">
        <v>0</v>
      </c>
      <c r="AF2526" s="1">
        <f ca="1">IFERROR(__xludf.DUMMYFUNCTION("IFERROR(GOOGLEFINANCE(TRIM(F2526)&amp;"":"" &amp; TRIM(B2526),""high52""),AE2526)"),439.2)</f>
        <v>439.2</v>
      </c>
      <c r="AG2526" s="1">
        <v>0</v>
      </c>
      <c r="AH2526" s="1">
        <f ca="1">IFERROR(__xludf.DUMMYFUNCTION("IFERROR(GOOGLEFINANCE(TRIM(F2526)&amp;"":"" &amp; TRIM(B2526),""low52""),AE2526)"),288.1)</f>
        <v>288.10000000000002</v>
      </c>
      <c r="AI2526" s="1">
        <f ca="1">IFERROR(__xludf.DUMMYFUNCTION("IFERROR(GOOGLEFINANCE(B2526,""eps""),0)"),19.8)</f>
        <v>19.8</v>
      </c>
      <c r="AJ2526" s="1"/>
      <c r="AK2526" s="1" t="s">
        <v>7865</v>
      </c>
      <c r="AL2526" s="9">
        <f t="shared" si="257"/>
        <v>1</v>
      </c>
    </row>
    <row r="2527" spans="1:38" ht="15" x14ac:dyDescent="0.25">
      <c r="A2527" s="1" t="s">
        <v>7866</v>
      </c>
      <c r="B2527" s="1" t="s">
        <v>7867</v>
      </c>
      <c r="C2527" s="1" t="s">
        <v>264</v>
      </c>
      <c r="D2527" s="1" t="s">
        <v>264</v>
      </c>
      <c r="E2527" s="6">
        <v>866.48</v>
      </c>
      <c r="F2527" s="1" t="s">
        <v>40</v>
      </c>
      <c r="G2527" s="6">
        <f ca="1">IFERROR(__xludf.DUMMYFUNCTION("iferror(GOOGLEFINANCE(TRIM(F2527)&amp;"":"" &amp; TRIM(B2527), ""price""),0
)"),242.95)</f>
        <v>242.95</v>
      </c>
      <c r="H2527" s="6">
        <v>345.35</v>
      </c>
      <c r="I2527" s="6">
        <f t="shared" ca="1" si="0"/>
        <v>242.95</v>
      </c>
      <c r="J2527" s="6">
        <f ca="1">IFERROR(__xludf.DUMMYFUNCTION("IFERROR(GOOGLEFINANCE(B2527, ""volume""), 0)"),0)</f>
        <v>0</v>
      </c>
      <c r="K2527" s="6">
        <v>1.25</v>
      </c>
      <c r="L2527" s="6">
        <f ca="1">IFERROR(__xludf.DUMMYFUNCTION("IFERROR(GOOGLEFINANCE(B2527,""changepct""),K2527)"),25)</f>
        <v>25</v>
      </c>
      <c r="M2527" s="6">
        <f ca="1">IFERROR(__xludf.DUMMYFUNCTION("IFERROR(GOOGLEFINANCE(B2527,""change""),0)"),700)</f>
        <v>700</v>
      </c>
      <c r="N2527" s="6">
        <v>2</v>
      </c>
      <c r="O2527" s="7">
        <v>45536</v>
      </c>
      <c r="P2527" s="6">
        <v>121.93</v>
      </c>
      <c r="Q2527" s="6">
        <v>988</v>
      </c>
      <c r="R2527" s="7">
        <v>45536</v>
      </c>
      <c r="S2527" s="6">
        <v>601.39</v>
      </c>
      <c r="T2527" s="6">
        <v>28.83</v>
      </c>
      <c r="U2527" s="7">
        <v>45536</v>
      </c>
      <c r="V2527" s="6">
        <v>24</v>
      </c>
      <c r="W2527" s="6">
        <f ca="1">IFERROR(__xludf.DUMMYFUNCTION("IFERROR(GOOGLEFINANCE(B2527,""pe""),V2527)"),12.84)</f>
        <v>12.84</v>
      </c>
      <c r="X2527" s="6">
        <v>3.45</v>
      </c>
      <c r="Y2527" s="6">
        <v>2.86</v>
      </c>
      <c r="Z2527" s="6">
        <v>2</v>
      </c>
      <c r="AA2527" s="8">
        <v>45352</v>
      </c>
      <c r="AB2527" s="4">
        <v>0.32</v>
      </c>
      <c r="AC2527" s="6">
        <v>11.59</v>
      </c>
      <c r="AD2527" s="6">
        <v>13.43</v>
      </c>
      <c r="AE2527" s="1">
        <v>0</v>
      </c>
      <c r="AF2527" s="1">
        <f ca="1">IFERROR(__xludf.DUMMYFUNCTION("IFERROR(GOOGLEFINANCE(TRIM(F2527)&amp;"":"" &amp; TRIM(B2527),""high52""),AE2527)"),318)</f>
        <v>318</v>
      </c>
      <c r="AG2527" s="1">
        <v>0</v>
      </c>
      <c r="AH2527" s="1">
        <f ca="1">IFERROR(__xludf.DUMMYFUNCTION("IFERROR(GOOGLEFINANCE(TRIM(F2527)&amp;"":"" &amp; TRIM(B2527),""low52""),AE2527)"),218)</f>
        <v>218</v>
      </c>
      <c r="AI2527" s="1">
        <f ca="1">IFERROR(__xludf.DUMMYFUNCTION("IFERROR(GOOGLEFINANCE(B2527,""eps""),0)"),2.73)</f>
        <v>2.73</v>
      </c>
      <c r="AJ2527" s="1"/>
      <c r="AK2527" s="1" t="s">
        <v>7868</v>
      </c>
      <c r="AL2527" s="1" t="b">
        <f>ISNUMBER(AA2527)</f>
        <v>1</v>
      </c>
    </row>
    <row r="2528" spans="1:38" ht="15" x14ac:dyDescent="0.25">
      <c r="A2528" s="1" t="s">
        <v>7869</v>
      </c>
      <c r="B2528" s="1" t="s">
        <v>7870</v>
      </c>
      <c r="C2528" s="1" t="s">
        <v>227</v>
      </c>
      <c r="D2528" s="1" t="s">
        <v>227</v>
      </c>
      <c r="E2528" s="6">
        <v>11098.5</v>
      </c>
      <c r="F2528" s="1" t="s">
        <v>40</v>
      </c>
      <c r="G2528" s="6">
        <f ca="1">IFERROR(__xludf.DUMMYFUNCTION("iferror(GOOGLEFINANCE(TRIM(F2528)&amp;"":"" &amp; TRIM(B2528), ""price""),0
)"),63.1)</f>
        <v>63.1</v>
      </c>
      <c r="H2528" s="6">
        <v>74.7</v>
      </c>
      <c r="I2528" s="6">
        <f t="shared" ca="1" si="0"/>
        <v>63.1</v>
      </c>
      <c r="J2528" s="6">
        <f ca="1">IFERROR(__xludf.DUMMYFUNCTION("IFERROR(GOOGLEFINANCE(B2528, ""volume""), 0)"),0)</f>
        <v>0</v>
      </c>
      <c r="K2528" s="6">
        <v>0.95</v>
      </c>
      <c r="L2528" s="6">
        <f ca="1">IFERROR(__xludf.DUMMYFUNCTION("IFERROR(GOOGLEFINANCE(B2528,""changepct""),K2528)"),0)</f>
        <v>0</v>
      </c>
      <c r="M2528" s="6">
        <f ca="1">IFERROR(__xludf.DUMMYFUNCTION("IFERROR(GOOGLEFINANCE(B2528,""change""),0)"),0)</f>
        <v>0</v>
      </c>
      <c r="N2528" s="6">
        <v>2</v>
      </c>
      <c r="O2528" s="7">
        <v>45536</v>
      </c>
      <c r="P2528" s="6">
        <v>153.12</v>
      </c>
      <c r="Q2528" s="6">
        <v>9845.7000000000007</v>
      </c>
      <c r="R2528" s="7">
        <v>45536</v>
      </c>
      <c r="S2528" s="6">
        <v>3.58</v>
      </c>
      <c r="T2528" s="6">
        <v>124.49</v>
      </c>
      <c r="U2528" s="7">
        <v>45536</v>
      </c>
      <c r="V2528" s="6">
        <v>53.82</v>
      </c>
      <c r="W2528" s="6">
        <f ca="1">IFERROR(__xludf.DUMMYFUNCTION("IFERROR(GOOGLEFINANCE(B2528,""pe""),V2528)"),53.82)</f>
        <v>53.82</v>
      </c>
      <c r="X2528" s="6">
        <v>9.49</v>
      </c>
      <c r="Y2528" s="6">
        <v>6.45</v>
      </c>
      <c r="Z2528" s="6">
        <v>2</v>
      </c>
      <c r="AA2528" s="8">
        <v>45352</v>
      </c>
      <c r="AB2528" s="4">
        <v>0.09</v>
      </c>
      <c r="AC2528" s="6">
        <v>12.65</v>
      </c>
      <c r="AD2528" s="6">
        <v>11.9</v>
      </c>
      <c r="AE2528" s="1">
        <v>0</v>
      </c>
      <c r="AF2528" s="1">
        <f ca="1">IFERROR(__xludf.DUMMYFUNCTION("IFERROR(GOOGLEFINANCE(TRIM(F2528)&amp;"":"" &amp; TRIM(B2528),""high52""),AE2528)"),88.19)</f>
        <v>88.19</v>
      </c>
      <c r="AG2528" s="1">
        <v>0</v>
      </c>
      <c r="AH2528" s="1">
        <f ca="1">IFERROR(__xludf.DUMMYFUNCTION("IFERROR(GOOGLEFINANCE(TRIM(F2528)&amp;"":"" &amp; TRIM(B2528),""low52""),AE2528)"),44.5)</f>
        <v>44.5</v>
      </c>
      <c r="AI2528" s="1">
        <f ca="1">IFERROR(__xludf.DUMMYFUNCTION("IFERROR(GOOGLEFINANCE(B2528,""eps""),0)"),0)</f>
        <v>0</v>
      </c>
      <c r="AJ2528" s="1"/>
      <c r="AK2528" s="1" t="s">
        <v>7871</v>
      </c>
      <c r="AL2528" s="9">
        <f t="shared" ref="AL2528:AL2579" si="258">IF(AA2528&lt;&gt;AB2528,1,0)</f>
        <v>1</v>
      </c>
    </row>
    <row r="2529" spans="1:38" ht="15" x14ac:dyDescent="0.25">
      <c r="A2529" s="1" t="s">
        <v>7872</v>
      </c>
      <c r="B2529" s="1" t="s">
        <v>7873</v>
      </c>
      <c r="C2529" s="1" t="s">
        <v>706</v>
      </c>
      <c r="D2529" s="1" t="s">
        <v>706</v>
      </c>
      <c r="E2529" s="6">
        <v>183.96</v>
      </c>
      <c r="F2529" s="1" t="s">
        <v>40</v>
      </c>
      <c r="G2529" s="6">
        <f ca="1">IFERROR(__xludf.DUMMYFUNCTION("iferror(GOOGLEFINANCE(TRIM(F2529)&amp;"":"" &amp; TRIM(B2529), ""price""),0
)"),41.27)</f>
        <v>41.27</v>
      </c>
      <c r="H2529" s="6">
        <v>53.5</v>
      </c>
      <c r="I2529" s="6">
        <f t="shared" ca="1" si="0"/>
        <v>41.27</v>
      </c>
      <c r="J2529" s="6">
        <f ca="1">IFERROR(__xludf.DUMMYFUNCTION("IFERROR(GOOGLEFINANCE(B2529, ""volume""), 0)"),603)</f>
        <v>603</v>
      </c>
      <c r="K2529" s="6">
        <v>2.4900000000000002</v>
      </c>
      <c r="L2529" s="6">
        <f ca="1">IFERROR(__xludf.DUMMYFUNCTION("IFERROR(GOOGLEFINANCE(B2529,""changepct""),K2529)"),-0.67)</f>
        <v>-0.67</v>
      </c>
      <c r="M2529" s="6">
        <f ca="1">IFERROR(__xludf.DUMMYFUNCTION("IFERROR(GOOGLEFINANCE(B2529,""change""),0)"),-0.28)</f>
        <v>-0.28000000000000003</v>
      </c>
      <c r="N2529" s="6">
        <v>1</v>
      </c>
      <c r="O2529" s="7">
        <v>45536</v>
      </c>
      <c r="P2529" s="6">
        <v>2.59</v>
      </c>
      <c r="Q2529" s="6">
        <v>183.09</v>
      </c>
      <c r="R2529" s="7">
        <v>45536</v>
      </c>
      <c r="S2529" s="6">
        <v>269.82</v>
      </c>
      <c r="T2529" s="6">
        <v>12.37</v>
      </c>
      <c r="U2529" s="7">
        <v>45536</v>
      </c>
      <c r="V2529" s="6">
        <v>14.87</v>
      </c>
      <c r="W2529" s="6">
        <f ca="1">IFERROR(__xludf.DUMMYFUNCTION("IFERROR(GOOGLEFINANCE(B2529,""pe""),V2529)"),26.12)</f>
        <v>26.12</v>
      </c>
      <c r="X2529" s="6">
        <v>0.7</v>
      </c>
      <c r="Y2529" s="6">
        <v>1.42</v>
      </c>
      <c r="Z2529" s="6">
        <v>1</v>
      </c>
      <c r="AA2529" s="8">
        <v>45352</v>
      </c>
      <c r="AB2529" s="4">
        <v>0</v>
      </c>
      <c r="AC2529" s="6">
        <v>21.88</v>
      </c>
      <c r="AD2529" s="6">
        <v>25.24</v>
      </c>
      <c r="AE2529" s="1">
        <v>0</v>
      </c>
      <c r="AF2529" s="1">
        <f ca="1">IFERROR(__xludf.DUMMYFUNCTION("IFERROR(GOOGLEFINANCE(TRIM(F2529)&amp;"":"" &amp; TRIM(B2529),""high52""),AE2529)"),62)</f>
        <v>62</v>
      </c>
      <c r="AG2529" s="1">
        <v>0</v>
      </c>
      <c r="AH2529" s="1">
        <f ca="1">IFERROR(__xludf.DUMMYFUNCTION("IFERROR(GOOGLEFINANCE(TRIM(F2529)&amp;"":"" &amp; TRIM(B2529),""low52""),AE2529)"),31.35)</f>
        <v>31.35</v>
      </c>
      <c r="AI2529" s="1">
        <f ca="1">IFERROR(__xludf.DUMMYFUNCTION("IFERROR(GOOGLEFINANCE(B2529,""eps""),0)"),1.58)</f>
        <v>1.58</v>
      </c>
      <c r="AJ2529" s="1"/>
      <c r="AK2529" s="1" t="s">
        <v>7874</v>
      </c>
      <c r="AL2529" s="9">
        <f t="shared" si="258"/>
        <v>1</v>
      </c>
    </row>
    <row r="2530" spans="1:38" ht="15" x14ac:dyDescent="0.25">
      <c r="A2530" s="1" t="s">
        <v>7875</v>
      </c>
      <c r="B2530" s="1" t="s">
        <v>7876</v>
      </c>
      <c r="C2530" s="1" t="s">
        <v>2185</v>
      </c>
      <c r="D2530" s="1" t="s">
        <v>2185</v>
      </c>
      <c r="E2530" s="6">
        <v>20.97</v>
      </c>
      <c r="F2530" s="1" t="s">
        <v>53</v>
      </c>
      <c r="G2530" s="6">
        <f ca="1">IFERROR(__xludf.DUMMYFUNCTION("iferror(GOOGLEFINANCE(TRIM(F2530)&amp;"":"" &amp; TRIM(B2530), ""price""),0
)"),0)</f>
        <v>0</v>
      </c>
      <c r="H2530" s="6">
        <v>10.199999999999999</v>
      </c>
      <c r="I2530" s="6">
        <f t="shared" ca="1" si="0"/>
        <v>10.199999999999999</v>
      </c>
      <c r="J2530" s="6">
        <f ca="1">IFERROR(__xludf.DUMMYFUNCTION("IFERROR(GOOGLEFINANCE(B2530, ""volume""), 0)"),354069)</f>
        <v>354069</v>
      </c>
      <c r="K2530" s="6">
        <v>0</v>
      </c>
      <c r="L2530" s="6">
        <f ca="1">IFERROR(__xludf.DUMMYFUNCTION("IFERROR(GOOGLEFINANCE(B2530,""changepct""),K2530)"),0)</f>
        <v>0</v>
      </c>
      <c r="M2530" s="6">
        <f ca="1">IFERROR(__xludf.DUMMYFUNCTION("IFERROR(GOOGLEFINANCE(B2530,""change""),0)"),0)</f>
        <v>0</v>
      </c>
      <c r="N2530" s="6">
        <v>1</v>
      </c>
      <c r="O2530" s="7">
        <v>45536</v>
      </c>
      <c r="P2530" s="6">
        <v>5.34</v>
      </c>
      <c r="Q2530" s="6">
        <v>26.31</v>
      </c>
      <c r="R2530" s="7">
        <v>45536</v>
      </c>
      <c r="S2530" s="6">
        <v>3.2</v>
      </c>
      <c r="T2530" s="6">
        <v>2.87</v>
      </c>
      <c r="U2530" s="7">
        <v>45536</v>
      </c>
      <c r="V2530" s="6">
        <v>7.31</v>
      </c>
      <c r="W2530" s="6">
        <f ca="1">IFERROR(__xludf.DUMMYFUNCTION("IFERROR(GOOGLEFINANCE(B2530,""pe""),V2530)"),7.31)</f>
        <v>7.31</v>
      </c>
      <c r="X2530" s="6">
        <v>0.44</v>
      </c>
      <c r="Y2530" s="6">
        <v>-10.31</v>
      </c>
      <c r="Z2530" s="6">
        <v>1</v>
      </c>
      <c r="AA2530" s="8">
        <v>45352</v>
      </c>
      <c r="AB2530" s="4">
        <v>-2.61</v>
      </c>
      <c r="AC2530" s="6">
        <v>0</v>
      </c>
      <c r="AD2530" s="6">
        <v>4.68</v>
      </c>
      <c r="AE2530" s="1">
        <v>0</v>
      </c>
      <c r="AF2530" s="1">
        <f ca="1">IFERROR(__xludf.DUMMYFUNCTION("IFERROR(GOOGLEFINANCE(TRIM(F2530)&amp;"":"" &amp; TRIM(B2530),""high52""),AE2530)"),0)</f>
        <v>0</v>
      </c>
      <c r="AG2530" s="1">
        <v>0</v>
      </c>
      <c r="AH2530" s="1">
        <f ca="1">IFERROR(__xludf.DUMMYFUNCTION("IFERROR(GOOGLEFINANCE(TRIM(F2530)&amp;"":"" &amp; TRIM(B2530),""low52""),AE2530)"),0)</f>
        <v>0</v>
      </c>
      <c r="AI2530" s="1">
        <f ca="1">IFERROR(__xludf.DUMMYFUNCTION("IFERROR(GOOGLEFINANCE(B2530,""eps""),0)"),0)</f>
        <v>0</v>
      </c>
      <c r="AJ2530" s="1"/>
      <c r="AK2530" s="1" t="s">
        <v>7877</v>
      </c>
      <c r="AL2530" s="9">
        <f t="shared" si="258"/>
        <v>1</v>
      </c>
    </row>
    <row r="2531" spans="1:38" ht="15" x14ac:dyDescent="0.25">
      <c r="A2531" s="1" t="s">
        <v>7878</v>
      </c>
      <c r="B2531" s="1" t="s">
        <v>7879</v>
      </c>
      <c r="C2531" s="1" t="s">
        <v>2185</v>
      </c>
      <c r="D2531" s="1" t="s">
        <v>2185</v>
      </c>
      <c r="E2531" s="6">
        <v>247.89</v>
      </c>
      <c r="F2531" s="1" t="s">
        <v>53</v>
      </c>
      <c r="G2531" s="6">
        <f ca="1">IFERROR(__xludf.DUMMYFUNCTION("iferror(GOOGLEFINANCE(TRIM(F2531)&amp;"":"" &amp; TRIM(B2531), ""price""),0
)"),0)</f>
        <v>0</v>
      </c>
      <c r="H2531" s="6">
        <v>2.13</v>
      </c>
      <c r="I2531" s="6">
        <f t="shared" ca="1" si="0"/>
        <v>2.13</v>
      </c>
      <c r="J2531" s="6">
        <f ca="1">IFERROR(__xludf.DUMMYFUNCTION("IFERROR(GOOGLEFINANCE(B2531, ""volume""), 0)"),0)</f>
        <v>0</v>
      </c>
      <c r="K2531" s="6">
        <v>0</v>
      </c>
      <c r="L2531" s="6">
        <f ca="1">IFERROR(__xludf.DUMMYFUNCTION("IFERROR(GOOGLEFINANCE(B2531,""changepct""),K2531)"),0)</f>
        <v>0</v>
      </c>
      <c r="M2531" s="6">
        <f ca="1">IFERROR(__xludf.DUMMYFUNCTION("IFERROR(GOOGLEFINANCE(B2531,""change""),0)"),0)</f>
        <v>0</v>
      </c>
      <c r="N2531" s="6">
        <v>2</v>
      </c>
      <c r="O2531" s="7">
        <v>45536</v>
      </c>
      <c r="P2531" s="6">
        <v>21.21</v>
      </c>
      <c r="Q2531" s="6">
        <v>239.13</v>
      </c>
      <c r="R2531" s="7">
        <v>45536</v>
      </c>
      <c r="S2531" s="6">
        <v>187.84</v>
      </c>
      <c r="T2531" s="6">
        <v>10.119999999999999</v>
      </c>
      <c r="U2531" s="15">
        <v>45536</v>
      </c>
      <c r="V2531" s="6">
        <v>24.49</v>
      </c>
      <c r="W2531" s="6">
        <f ca="1">IFERROR(__xludf.DUMMYFUNCTION("IFERROR(GOOGLEFINANCE(B2531,""pe""),V2531)"),24.49)</f>
        <v>24.49</v>
      </c>
      <c r="X2531" s="6">
        <v>0.12</v>
      </c>
      <c r="Y2531" s="6">
        <v>0.81</v>
      </c>
      <c r="Z2531" s="6">
        <v>2</v>
      </c>
      <c r="AA2531" s="8">
        <v>45352</v>
      </c>
      <c r="AB2531" s="4">
        <v>0</v>
      </c>
      <c r="AC2531" s="6">
        <v>2.33</v>
      </c>
      <c r="AD2531" s="6">
        <v>2.36</v>
      </c>
      <c r="AE2531" s="1">
        <v>0</v>
      </c>
      <c r="AF2531" s="1">
        <f ca="1">IFERROR(__xludf.DUMMYFUNCTION("IFERROR(GOOGLEFINANCE(TRIM(F2531)&amp;"":"" &amp; TRIM(B2531),""high52""),AE2531)"),0)</f>
        <v>0</v>
      </c>
      <c r="AG2531" s="1">
        <v>0</v>
      </c>
      <c r="AH2531" s="1">
        <f ca="1">IFERROR(__xludf.DUMMYFUNCTION("IFERROR(GOOGLEFINANCE(TRIM(F2531)&amp;"":"" &amp; TRIM(B2531),""low52""),AE2531)"),0)</f>
        <v>0</v>
      </c>
      <c r="AI2531" s="1">
        <f ca="1">IFERROR(__xludf.DUMMYFUNCTION("IFERROR(GOOGLEFINANCE(B2531,""eps""),0)"),0)</f>
        <v>0</v>
      </c>
      <c r="AJ2531" s="1"/>
      <c r="AK2531" s="1" t="s">
        <v>7880</v>
      </c>
      <c r="AL2531" s="9">
        <f t="shared" si="258"/>
        <v>1</v>
      </c>
    </row>
    <row r="2532" spans="1:38" ht="15" x14ac:dyDescent="0.25">
      <c r="A2532" s="1" t="s">
        <v>7881</v>
      </c>
      <c r="B2532" s="1" t="s">
        <v>7882</v>
      </c>
      <c r="C2532" s="1" t="s">
        <v>71</v>
      </c>
      <c r="D2532" s="1" t="s">
        <v>71</v>
      </c>
      <c r="E2532" s="6">
        <v>309.63</v>
      </c>
      <c r="F2532" s="1" t="s">
        <v>40</v>
      </c>
      <c r="G2532" s="6">
        <f ca="1">IFERROR(__xludf.DUMMYFUNCTION("iferror(GOOGLEFINANCE(TRIM(F2532)&amp;"":"" &amp; TRIM(B2532), ""price""),0
)"),124.48)</f>
        <v>124.48</v>
      </c>
      <c r="H2532" s="6">
        <v>128.80000000000001</v>
      </c>
      <c r="I2532" s="6">
        <f t="shared" ca="1" si="0"/>
        <v>124.48</v>
      </c>
      <c r="J2532" s="6">
        <f ca="1">IFERROR(__xludf.DUMMYFUNCTION("IFERROR(GOOGLEFINANCE(B2532, ""volume""), 0)"),34639)</f>
        <v>34639</v>
      </c>
      <c r="K2532" s="6">
        <v>3.85</v>
      </c>
      <c r="L2532" s="6">
        <f ca="1">IFERROR(__xludf.DUMMYFUNCTION("IFERROR(GOOGLEFINANCE(B2532,""changepct""),K2532)"),-4.52)</f>
        <v>-4.5199999999999996</v>
      </c>
      <c r="M2532" s="6">
        <f ca="1">IFERROR(__xludf.DUMMYFUNCTION("IFERROR(GOOGLEFINANCE(B2532,""change""),0)"),-5.89)</f>
        <v>-5.89</v>
      </c>
      <c r="N2532" s="6">
        <v>2</v>
      </c>
      <c r="O2532" s="7">
        <v>45536</v>
      </c>
      <c r="P2532" s="6">
        <v>18.010000000000002</v>
      </c>
      <c r="Q2532" s="6">
        <v>319.58999999999997</v>
      </c>
      <c r="R2532" s="7">
        <v>45536</v>
      </c>
      <c r="S2532" s="6">
        <v>24.51</v>
      </c>
      <c r="T2532" s="6">
        <v>-12.76</v>
      </c>
      <c r="U2532" s="7">
        <v>45536</v>
      </c>
      <c r="V2532" s="6">
        <v>14.17</v>
      </c>
      <c r="W2532" s="6">
        <f ca="1">IFERROR(__xludf.DUMMYFUNCTION("IFERROR(GOOGLEFINANCE(B2532,""pe""),V2532)"),18.54)</f>
        <v>18.54</v>
      </c>
      <c r="X2532" s="6">
        <v>6.11</v>
      </c>
      <c r="Y2532" s="6">
        <v>0.56000000000000005</v>
      </c>
      <c r="Z2532" s="6">
        <v>2</v>
      </c>
      <c r="AA2532" s="8">
        <v>45352</v>
      </c>
      <c r="AB2532" s="4">
        <v>0.03</v>
      </c>
      <c r="AC2532" s="6">
        <v>3.11</v>
      </c>
      <c r="AD2532" s="6">
        <v>5.74</v>
      </c>
      <c r="AE2532" s="1">
        <v>0</v>
      </c>
      <c r="AF2532" s="1">
        <f ca="1">IFERROR(__xludf.DUMMYFUNCTION("IFERROR(GOOGLEFINANCE(TRIM(F2532)&amp;"":"" &amp; TRIM(B2532),""high52""),AE2532)"),167.5)</f>
        <v>167.5</v>
      </c>
      <c r="AG2532" s="1">
        <v>0</v>
      </c>
      <c r="AH2532" s="1">
        <f ca="1">IFERROR(__xludf.DUMMYFUNCTION("IFERROR(GOOGLEFINANCE(TRIM(F2532)&amp;"":"" &amp; TRIM(B2532),""low52""),AE2532)"),90)</f>
        <v>90</v>
      </c>
      <c r="AI2532" s="1">
        <f ca="1">IFERROR(__xludf.DUMMYFUNCTION("IFERROR(GOOGLEFINANCE(B2532,""eps""),0)"),6.71)</f>
        <v>6.71</v>
      </c>
      <c r="AJ2532" s="1"/>
      <c r="AK2532" s="1" t="s">
        <v>7883</v>
      </c>
      <c r="AL2532" s="9">
        <f t="shared" si="258"/>
        <v>1</v>
      </c>
    </row>
    <row r="2533" spans="1:38" ht="15" x14ac:dyDescent="0.25">
      <c r="A2533" s="1" t="s">
        <v>7884</v>
      </c>
      <c r="B2533" s="1" t="s">
        <v>7885</v>
      </c>
      <c r="C2533" s="1" t="s">
        <v>125</v>
      </c>
      <c r="D2533" s="1" t="s">
        <v>125</v>
      </c>
      <c r="E2533" s="6">
        <v>620.28</v>
      </c>
      <c r="F2533" s="1" t="s">
        <v>40</v>
      </c>
      <c r="G2533" s="6">
        <f ca="1">IFERROR(__xludf.DUMMYFUNCTION("iferror(GOOGLEFINANCE(TRIM(F2533)&amp;"":"" &amp; TRIM(B2533), ""price""),0
)"),147.8)</f>
        <v>147.80000000000001</v>
      </c>
      <c r="H2533" s="6">
        <v>187.79</v>
      </c>
      <c r="I2533" s="6">
        <f t="shared" ca="1" si="0"/>
        <v>147.80000000000001</v>
      </c>
      <c r="J2533" s="6">
        <f ca="1">IFERROR(__xludf.DUMMYFUNCTION("IFERROR(GOOGLEFINANCE(B2533, ""volume""), 0)"),68196)</f>
        <v>68196</v>
      </c>
      <c r="K2533" s="6">
        <v>-1.78</v>
      </c>
      <c r="L2533" s="6">
        <f ca="1">IFERROR(__xludf.DUMMYFUNCTION("IFERROR(GOOGLEFINANCE(B2533,""changepct""),K2533)"),0.02)</f>
        <v>0.02</v>
      </c>
      <c r="M2533" s="6">
        <f ca="1">IFERROR(__xludf.DUMMYFUNCTION("IFERROR(GOOGLEFINANCE(B2533,""change""),0)"),0.03)</f>
        <v>0.03</v>
      </c>
      <c r="N2533" s="6">
        <v>2</v>
      </c>
      <c r="O2533" s="7">
        <v>45536</v>
      </c>
      <c r="P2533" s="6">
        <v>46.59</v>
      </c>
      <c r="Q2533" s="6">
        <v>665.67</v>
      </c>
      <c r="R2533" s="7">
        <v>45536</v>
      </c>
      <c r="S2533" s="6">
        <v>460.32</v>
      </c>
      <c r="T2533" s="6">
        <v>19.57</v>
      </c>
      <c r="U2533" s="7">
        <v>45536</v>
      </c>
      <c r="V2533" s="6">
        <v>31.7</v>
      </c>
      <c r="W2533" s="6">
        <f ca="1">IFERROR(__xludf.DUMMYFUNCTION("IFERROR(GOOGLEFINANCE(B2533,""pe""),V2533)"),15.09)</f>
        <v>15.09</v>
      </c>
      <c r="X2533" s="12"/>
      <c r="Y2533" s="6">
        <v>3.01</v>
      </c>
      <c r="Z2533" s="6">
        <v>2</v>
      </c>
      <c r="AA2533" s="8">
        <v>45352</v>
      </c>
      <c r="AB2533" s="4">
        <v>0.16</v>
      </c>
      <c r="AC2533" s="6">
        <v>10.96</v>
      </c>
      <c r="AD2533" s="6">
        <v>15.03</v>
      </c>
      <c r="AE2533" s="1">
        <v>0</v>
      </c>
      <c r="AF2533" s="1">
        <f ca="1">IFERROR(__xludf.DUMMYFUNCTION("IFERROR(GOOGLEFINANCE(TRIM(F2533)&amp;"":"" &amp; TRIM(B2533),""high52""),AE2533)"),197.45)</f>
        <v>197.45</v>
      </c>
      <c r="AG2533" s="1">
        <v>0</v>
      </c>
      <c r="AH2533" s="1">
        <f ca="1">IFERROR(__xludf.DUMMYFUNCTION("IFERROR(GOOGLEFINANCE(TRIM(F2533)&amp;"":"" &amp; TRIM(B2533),""low52""),AE2533)"),112)</f>
        <v>112</v>
      </c>
      <c r="AI2533" s="1">
        <f ca="1">IFERROR(__xludf.DUMMYFUNCTION("IFERROR(GOOGLEFINANCE(B2533,""eps""),0)"),9.8)</f>
        <v>9.8000000000000007</v>
      </c>
      <c r="AJ2533" s="1"/>
      <c r="AK2533" s="6">
        <v>100</v>
      </c>
      <c r="AL2533" s="9">
        <f t="shared" si="258"/>
        <v>1</v>
      </c>
    </row>
    <row r="2534" spans="1:38" ht="15" x14ac:dyDescent="0.25">
      <c r="A2534" s="1" t="s">
        <v>7886</v>
      </c>
      <c r="B2534" s="1" t="s">
        <v>7887</v>
      </c>
      <c r="C2534" s="1" t="s">
        <v>186</v>
      </c>
      <c r="D2534" s="1" t="s">
        <v>186</v>
      </c>
      <c r="E2534" s="6">
        <v>105.4</v>
      </c>
      <c r="F2534" s="1" t="s">
        <v>40</v>
      </c>
      <c r="G2534" s="6">
        <f ca="1">IFERROR(__xludf.DUMMYFUNCTION("iferror(GOOGLEFINANCE(TRIM(F2534)&amp;"":"" &amp; TRIM(B2534), ""price""),0
)"),0)</f>
        <v>0</v>
      </c>
      <c r="H2534" s="6">
        <v>64.8</v>
      </c>
      <c r="I2534" s="6">
        <f t="shared" ca="1" si="0"/>
        <v>64.8</v>
      </c>
      <c r="J2534" s="6">
        <f ca="1">IFERROR(__xludf.DUMMYFUNCTION("IFERROR(GOOGLEFINANCE(B2534, ""volume""), 0)"),0)</f>
        <v>0</v>
      </c>
      <c r="K2534" s="6">
        <v>12.11</v>
      </c>
      <c r="L2534" s="6">
        <f ca="1">IFERROR(__xludf.DUMMYFUNCTION("IFERROR(GOOGLEFINANCE(B2534,""changepct""),K2534)"),12.11)</f>
        <v>12.11</v>
      </c>
      <c r="M2534" s="6">
        <f ca="1">IFERROR(__xludf.DUMMYFUNCTION("IFERROR(GOOGLEFINANCE(B2534,""change""),0)"),0)</f>
        <v>0</v>
      </c>
      <c r="N2534" s="6">
        <v>1</v>
      </c>
      <c r="O2534" s="7">
        <v>45536</v>
      </c>
      <c r="P2534" s="6">
        <v>26.45</v>
      </c>
      <c r="Q2534" s="6">
        <v>131.86000000000001</v>
      </c>
      <c r="R2534" s="7">
        <v>45352</v>
      </c>
      <c r="S2534" s="6">
        <v>199.61</v>
      </c>
      <c r="T2534" s="6">
        <v>10.75</v>
      </c>
      <c r="U2534" s="7">
        <v>45352</v>
      </c>
      <c r="V2534" s="6">
        <v>9.8000000000000007</v>
      </c>
      <c r="W2534" s="6">
        <f ca="1">IFERROR(__xludf.DUMMYFUNCTION("IFERROR(GOOGLEFINANCE(B2534,""pe""),V2534)"),9.8)</f>
        <v>9.8000000000000007</v>
      </c>
      <c r="X2534" s="6">
        <v>1.25</v>
      </c>
      <c r="Y2534" s="6">
        <v>1.05</v>
      </c>
      <c r="Z2534" s="6">
        <v>2</v>
      </c>
      <c r="AA2534" s="8">
        <v>45352</v>
      </c>
      <c r="AB2534" s="4">
        <v>0.22</v>
      </c>
      <c r="AC2534" s="6">
        <v>11.25</v>
      </c>
      <c r="AD2534" s="6">
        <v>14.62</v>
      </c>
      <c r="AE2534" s="1">
        <v>0</v>
      </c>
      <c r="AF2534" s="1">
        <f ca="1">IFERROR(__xludf.DUMMYFUNCTION("IFERROR(GOOGLEFINANCE(TRIM(F2534)&amp;"":"" &amp; TRIM(B2534),""high52""),AE2534)"),0)</f>
        <v>0</v>
      </c>
      <c r="AG2534" s="1">
        <v>0</v>
      </c>
      <c r="AH2534" s="1">
        <f ca="1">IFERROR(__xludf.DUMMYFUNCTION("IFERROR(GOOGLEFINANCE(TRIM(F2534)&amp;"":"" &amp; TRIM(B2534),""low52""),AE2534)"),0)</f>
        <v>0</v>
      </c>
      <c r="AI2534" s="1">
        <f ca="1">IFERROR(__xludf.DUMMYFUNCTION("IFERROR(GOOGLEFINANCE(B2534,""eps""),0)"),0)</f>
        <v>0</v>
      </c>
      <c r="AJ2534" s="1"/>
      <c r="AK2534" s="1" t="s">
        <v>7888</v>
      </c>
      <c r="AL2534" s="9">
        <f t="shared" si="258"/>
        <v>1</v>
      </c>
    </row>
    <row r="2535" spans="1:38" ht="15" x14ac:dyDescent="0.25">
      <c r="A2535" s="1" t="s">
        <v>7889</v>
      </c>
      <c r="B2535" s="1" t="s">
        <v>7890</v>
      </c>
      <c r="C2535" s="1" t="s">
        <v>186</v>
      </c>
      <c r="D2535" s="1" t="s">
        <v>186</v>
      </c>
      <c r="E2535" s="6">
        <v>61.16</v>
      </c>
      <c r="F2535" s="1" t="s">
        <v>40</v>
      </c>
      <c r="G2535" s="6">
        <f ca="1">IFERROR(__xludf.DUMMYFUNCTION("iferror(GOOGLEFINANCE(TRIM(F2535)&amp;"":"" &amp; TRIM(B2535), ""price""),0
)"),23.09)</f>
        <v>23.09</v>
      </c>
      <c r="H2535" s="6">
        <v>42.41</v>
      </c>
      <c r="I2535" s="6">
        <f t="shared" ca="1" si="0"/>
        <v>23.09</v>
      </c>
      <c r="J2535" s="6">
        <f ca="1">IFERROR(__xludf.DUMMYFUNCTION("IFERROR(GOOGLEFINANCE(B2535, ""volume""), 0)"),21734)</f>
        <v>21734</v>
      </c>
      <c r="K2535" s="6">
        <v>-1.83</v>
      </c>
      <c r="L2535" s="6">
        <f ca="1">IFERROR(__xludf.DUMMYFUNCTION("IFERROR(GOOGLEFINANCE(B2535,""changepct""),K2535)"),-3.15)</f>
        <v>-3.15</v>
      </c>
      <c r="M2535" s="6">
        <f ca="1">IFERROR(__xludf.DUMMYFUNCTION("IFERROR(GOOGLEFINANCE(B2535,""change""),0)"),-0.75)</f>
        <v>-0.75</v>
      </c>
      <c r="N2535" s="6">
        <v>2</v>
      </c>
      <c r="O2535" s="7">
        <v>45536</v>
      </c>
      <c r="P2535" s="6">
        <v>60.64</v>
      </c>
      <c r="Q2535" s="6">
        <v>121.67</v>
      </c>
      <c r="R2535" s="7">
        <v>45536</v>
      </c>
      <c r="S2535" s="6">
        <v>102.95</v>
      </c>
      <c r="T2535" s="6">
        <v>-1.74</v>
      </c>
      <c r="U2535" s="7">
        <v>45536</v>
      </c>
      <c r="V2535" s="6">
        <v>0</v>
      </c>
      <c r="W2535" s="6">
        <f ca="1">IFERROR(__xludf.DUMMYFUNCTION("IFERROR(GOOGLEFINANCE(B2535,""pe""),V2535)"),0)</f>
        <v>0</v>
      </c>
      <c r="X2535" s="9"/>
      <c r="Y2535" s="6">
        <v>0.2</v>
      </c>
      <c r="Z2535" s="6">
        <v>2</v>
      </c>
      <c r="AA2535" s="17">
        <v>45352</v>
      </c>
      <c r="AB2535" s="18">
        <v>0.19</v>
      </c>
      <c r="AC2535" s="6">
        <v>-0.85</v>
      </c>
      <c r="AD2535" s="6">
        <v>0.51</v>
      </c>
      <c r="AE2535" s="1">
        <v>0</v>
      </c>
      <c r="AF2535" s="1">
        <f ca="1">IFERROR(__xludf.DUMMYFUNCTION("IFERROR(GOOGLEFINANCE(TRIM(F2535)&amp;"":"" &amp; TRIM(B2535),""high52""),AE2535)"),40.19)</f>
        <v>40.19</v>
      </c>
      <c r="AG2535" s="1">
        <v>0</v>
      </c>
      <c r="AH2535" s="1">
        <f ca="1">IFERROR(__xludf.DUMMYFUNCTION("IFERROR(GOOGLEFINANCE(TRIM(F2535)&amp;"":"" &amp; TRIM(B2535),""low52""),AE2535)"),21.99)</f>
        <v>21.99</v>
      </c>
      <c r="AI2535" s="1">
        <f ca="1">IFERROR(__xludf.DUMMYFUNCTION("IFERROR(GOOGLEFINANCE(B2535,""eps""),0)"),-1.1)</f>
        <v>-1.1000000000000001</v>
      </c>
      <c r="AJ2535" s="1"/>
      <c r="AK2535" s="1" t="s">
        <v>7891</v>
      </c>
      <c r="AL2535" s="9">
        <f t="shared" si="258"/>
        <v>1</v>
      </c>
    </row>
    <row r="2536" spans="1:38" ht="15" x14ac:dyDescent="0.25">
      <c r="A2536" s="1" t="s">
        <v>7892</v>
      </c>
      <c r="B2536" s="1" t="s">
        <v>7893</v>
      </c>
      <c r="C2536" s="1" t="s">
        <v>39</v>
      </c>
      <c r="D2536" s="1" t="s">
        <v>39</v>
      </c>
      <c r="E2536" s="6">
        <v>6879.83</v>
      </c>
      <c r="F2536" s="1" t="s">
        <v>40</v>
      </c>
      <c r="G2536" s="6">
        <f ca="1">IFERROR(__xludf.DUMMYFUNCTION("iferror(GOOGLEFINANCE(TRIM(F2536)&amp;"":"" &amp; TRIM(B2536), ""price""),0
)"),329)</f>
        <v>329</v>
      </c>
      <c r="H2536" s="6">
        <v>349.35</v>
      </c>
      <c r="I2536" s="6">
        <f t="shared" ca="1" si="0"/>
        <v>329</v>
      </c>
      <c r="J2536" s="6">
        <f ca="1">IFERROR(__xludf.DUMMYFUNCTION("IFERROR(GOOGLEFINANCE(B2536, ""volume""), 0)"),1922253)</f>
        <v>1922253</v>
      </c>
      <c r="K2536" s="6">
        <v>3.28</v>
      </c>
      <c r="L2536" s="6">
        <f ca="1">IFERROR(__xludf.DUMMYFUNCTION("IFERROR(GOOGLEFINANCE(B2536,""changepct""),K2536)"),-5.19)</f>
        <v>-5.19</v>
      </c>
      <c r="M2536" s="6">
        <f ca="1">IFERROR(__xludf.DUMMYFUNCTION("IFERROR(GOOGLEFINANCE(B2536,""change""),0)"),-18)</f>
        <v>-18</v>
      </c>
      <c r="N2536" s="6">
        <v>1</v>
      </c>
      <c r="O2536" s="7">
        <v>45536</v>
      </c>
      <c r="P2536" s="9"/>
      <c r="Q2536" s="6">
        <v>5872.49</v>
      </c>
      <c r="R2536" s="7">
        <v>45536</v>
      </c>
      <c r="S2536" s="6">
        <v>1506.92</v>
      </c>
      <c r="T2536" s="6">
        <v>347.56</v>
      </c>
      <c r="U2536" s="7">
        <v>45536</v>
      </c>
      <c r="V2536" s="6">
        <v>19.79</v>
      </c>
      <c r="W2536" s="6">
        <f ca="1">IFERROR(__xludf.DUMMYFUNCTION("IFERROR(GOOGLEFINANCE(B2536,""pe""),V2536)"),22.22)</f>
        <v>22.22</v>
      </c>
      <c r="X2536" s="6">
        <v>-2.16</v>
      </c>
      <c r="Y2536" s="6">
        <v>2.64</v>
      </c>
      <c r="Z2536" s="6">
        <v>1</v>
      </c>
      <c r="AA2536" s="17">
        <v>45352</v>
      </c>
      <c r="AB2536" s="18">
        <v>0</v>
      </c>
      <c r="AC2536" s="6">
        <v>12.49</v>
      </c>
      <c r="AD2536" s="6">
        <v>16.48</v>
      </c>
      <c r="AE2536" s="1">
        <v>0</v>
      </c>
      <c r="AF2536" s="1">
        <f ca="1">IFERROR(__xludf.DUMMYFUNCTION("IFERROR(GOOGLEFINANCE(TRIM(F2536)&amp;"":"" &amp; TRIM(B2536),""high52""),AE2536)"),405.6)</f>
        <v>405.6</v>
      </c>
      <c r="AG2536" s="1">
        <v>0</v>
      </c>
      <c r="AH2536" s="1">
        <f ca="1">IFERROR(__xludf.DUMMYFUNCTION("IFERROR(GOOGLEFINANCE(TRIM(F2536)&amp;"":"" &amp; TRIM(B2536),""low52""),AE2536)"),274.05)</f>
        <v>274.05</v>
      </c>
      <c r="AI2536" s="1">
        <f ca="1">IFERROR(__xludf.DUMMYFUNCTION("IFERROR(GOOGLEFINANCE(B2536,""eps""),0)"),14.81)</f>
        <v>14.81</v>
      </c>
      <c r="AJ2536" s="1"/>
      <c r="AK2536" s="1" t="s">
        <v>7894</v>
      </c>
      <c r="AL2536" s="9">
        <f t="shared" si="258"/>
        <v>1</v>
      </c>
    </row>
    <row r="2537" spans="1:38" ht="15" x14ac:dyDescent="0.25">
      <c r="A2537" s="1" t="s">
        <v>7895</v>
      </c>
      <c r="B2537" s="1" t="s">
        <v>7896</v>
      </c>
      <c r="C2537" s="1" t="s">
        <v>2185</v>
      </c>
      <c r="D2537" s="1" t="s">
        <v>2185</v>
      </c>
      <c r="E2537" s="6">
        <v>72.180000000000007</v>
      </c>
      <c r="F2537" s="1" t="s">
        <v>53</v>
      </c>
      <c r="G2537" s="6">
        <f ca="1">IFERROR(__xludf.DUMMYFUNCTION("iferror(GOOGLEFINANCE(TRIM(F2537)&amp;"":"" &amp; TRIM(B2537), ""price""),0
)"),0)</f>
        <v>0</v>
      </c>
      <c r="H2537" s="6">
        <v>35.5</v>
      </c>
      <c r="I2537" s="6">
        <f t="shared" ca="1" si="0"/>
        <v>35.5</v>
      </c>
      <c r="J2537" s="6">
        <f ca="1">IFERROR(__xludf.DUMMYFUNCTION("IFERROR(GOOGLEFINANCE(B2537, ""volume""), 0)"),0)</f>
        <v>0</v>
      </c>
      <c r="K2537" s="6">
        <v>3.05</v>
      </c>
      <c r="L2537" s="6">
        <f ca="1">IFERROR(__xludf.DUMMYFUNCTION("IFERROR(GOOGLEFINANCE(B2537,""changepct""),K2537)"),0.09)</f>
        <v>0.09</v>
      </c>
      <c r="M2537" s="6">
        <f ca="1">IFERROR(__xludf.DUMMYFUNCTION("IFERROR(GOOGLEFINANCE(B2537,""change""),0)"),0.04)</f>
        <v>0.04</v>
      </c>
      <c r="N2537" s="6">
        <v>2</v>
      </c>
      <c r="O2537" s="7">
        <v>45536</v>
      </c>
      <c r="P2537" s="6">
        <v>3.92</v>
      </c>
      <c r="Q2537" s="6">
        <v>76.099999999999994</v>
      </c>
      <c r="R2537" s="7">
        <v>45536</v>
      </c>
      <c r="S2537" s="6">
        <v>0.34</v>
      </c>
      <c r="T2537" s="6">
        <v>1.28</v>
      </c>
      <c r="U2537" s="7">
        <v>45536</v>
      </c>
      <c r="V2537" s="6">
        <v>56.48</v>
      </c>
      <c r="W2537" s="6">
        <f ca="1">IFERROR(__xludf.DUMMYFUNCTION("IFERROR(GOOGLEFINANCE(B2537,""pe""),V2537)"),56.48)</f>
        <v>56.48</v>
      </c>
      <c r="X2537" s="6">
        <v>-15.18</v>
      </c>
      <c r="Y2537" s="6">
        <v>1.61</v>
      </c>
      <c r="Z2537" s="6">
        <v>2</v>
      </c>
      <c r="AA2537" s="17">
        <v>45352</v>
      </c>
      <c r="AB2537" s="18">
        <v>0.09</v>
      </c>
      <c r="AC2537" s="6">
        <v>2.34</v>
      </c>
      <c r="AD2537" s="6">
        <v>3.75</v>
      </c>
      <c r="AE2537" s="1">
        <v>0</v>
      </c>
      <c r="AF2537" s="1">
        <f ca="1">IFERROR(__xludf.DUMMYFUNCTION("IFERROR(GOOGLEFINANCE(TRIM(F2537)&amp;"":"" &amp; TRIM(B2537),""high52""),AE2537)"),0)</f>
        <v>0</v>
      </c>
      <c r="AG2537" s="1">
        <v>0</v>
      </c>
      <c r="AH2537" s="1">
        <f ca="1">IFERROR(__xludf.DUMMYFUNCTION("IFERROR(GOOGLEFINANCE(TRIM(F2537)&amp;"":"" &amp; TRIM(B2537),""low52""),AE2537)"),0)</f>
        <v>0</v>
      </c>
      <c r="AI2537" s="1">
        <f ca="1">IFERROR(__xludf.DUMMYFUNCTION("IFERROR(GOOGLEFINANCE(B2537,""eps""),0)"),0)</f>
        <v>0</v>
      </c>
      <c r="AJ2537" s="1"/>
      <c r="AK2537" s="9"/>
      <c r="AL2537" s="9">
        <f t="shared" si="258"/>
        <v>1</v>
      </c>
    </row>
    <row r="2538" spans="1:38" ht="15" x14ac:dyDescent="0.25">
      <c r="A2538" s="1" t="s">
        <v>7897</v>
      </c>
      <c r="B2538" s="1" t="s">
        <v>7898</v>
      </c>
      <c r="C2538" s="1" t="s">
        <v>2432</v>
      </c>
      <c r="D2538" s="1" t="s">
        <v>2432</v>
      </c>
      <c r="E2538" s="6">
        <v>100.51</v>
      </c>
      <c r="F2538" s="1" t="s">
        <v>40</v>
      </c>
      <c r="G2538" s="6">
        <f ca="1">IFERROR(__xludf.DUMMYFUNCTION("iferror(GOOGLEFINANCE(TRIM(F2538)&amp;"":"" &amp; TRIM(B2538), ""price""),0
)"),13.75)</f>
        <v>13.75</v>
      </c>
      <c r="H2538" s="6">
        <v>18.399999999999999</v>
      </c>
      <c r="I2538" s="6">
        <f t="shared" ca="1" si="0"/>
        <v>13.75</v>
      </c>
      <c r="J2538" s="6">
        <f ca="1">IFERROR(__xludf.DUMMYFUNCTION("IFERROR(GOOGLEFINANCE(B2538, ""volume""), 0)"),132751)</f>
        <v>132751</v>
      </c>
      <c r="K2538" s="6">
        <v>-1.76</v>
      </c>
      <c r="L2538" s="6">
        <f ca="1">IFERROR(__xludf.DUMMYFUNCTION("IFERROR(GOOGLEFINANCE(B2538,""changepct""),K2538)"),1.25)</f>
        <v>1.25</v>
      </c>
      <c r="M2538" s="6">
        <f ca="1">IFERROR(__xludf.DUMMYFUNCTION("IFERROR(GOOGLEFINANCE(B2538,""change""),0)"),0.17)</f>
        <v>0.17</v>
      </c>
      <c r="N2538" s="6">
        <v>1</v>
      </c>
      <c r="O2538" s="7">
        <v>45536</v>
      </c>
      <c r="P2538" s="6">
        <v>50.86</v>
      </c>
      <c r="Q2538" s="6">
        <v>139.6</v>
      </c>
      <c r="R2538" s="7">
        <v>45536</v>
      </c>
      <c r="S2538" s="6">
        <v>485.79</v>
      </c>
      <c r="T2538" s="6">
        <v>7.56</v>
      </c>
      <c r="U2538" s="7">
        <v>45536</v>
      </c>
      <c r="V2538" s="6">
        <v>13.29</v>
      </c>
      <c r="W2538" s="6">
        <f ca="1">IFERROR(__xludf.DUMMYFUNCTION("IFERROR(GOOGLEFINANCE(B2538,""pe""),V2538)"),12.09)</f>
        <v>12.09</v>
      </c>
      <c r="X2538" s="6">
        <v>2.4500000000000002</v>
      </c>
      <c r="Y2538" s="6">
        <v>1.62</v>
      </c>
      <c r="Z2538" s="6">
        <v>1</v>
      </c>
      <c r="AA2538" s="8">
        <v>45352</v>
      </c>
      <c r="AB2538" s="4">
        <v>0.86</v>
      </c>
      <c r="AC2538" s="6">
        <v>11.55</v>
      </c>
      <c r="AD2538" s="6">
        <v>14.88</v>
      </c>
      <c r="AE2538" s="1">
        <v>0</v>
      </c>
      <c r="AF2538" s="1">
        <f ca="1">IFERROR(__xludf.DUMMYFUNCTION("IFERROR(GOOGLEFINANCE(TRIM(F2538)&amp;"":"" &amp; TRIM(B2538),""high52""),AE2538)"),16.65)</f>
        <v>16.649999999999999</v>
      </c>
      <c r="AG2538" s="1">
        <v>0</v>
      </c>
      <c r="AH2538" s="1">
        <f ca="1">IFERROR(__xludf.DUMMYFUNCTION("IFERROR(GOOGLEFINANCE(TRIM(F2538)&amp;"":"" &amp; TRIM(B2538),""low52""),AE2538)"),11.56)</f>
        <v>11.56</v>
      </c>
      <c r="AI2538" s="1">
        <f ca="1">IFERROR(__xludf.DUMMYFUNCTION("IFERROR(GOOGLEFINANCE(B2538,""eps""),0)"),1.14)</f>
        <v>1.1399999999999999</v>
      </c>
      <c r="AJ2538" s="1"/>
      <c r="AK2538" s="1" t="s">
        <v>7899</v>
      </c>
      <c r="AL2538" s="9">
        <f t="shared" si="258"/>
        <v>1</v>
      </c>
    </row>
    <row r="2539" spans="1:38" ht="15" x14ac:dyDescent="0.25">
      <c r="A2539" s="1" t="s">
        <v>7900</v>
      </c>
      <c r="B2539" s="1" t="s">
        <v>7901</v>
      </c>
      <c r="C2539" s="1" t="s">
        <v>82</v>
      </c>
      <c r="D2539" s="1" t="s">
        <v>82</v>
      </c>
      <c r="E2539" s="6">
        <v>2207.23</v>
      </c>
      <c r="F2539" s="1" t="s">
        <v>40</v>
      </c>
      <c r="G2539" s="6">
        <f ca="1">IFERROR(__xludf.DUMMYFUNCTION("iferror(GOOGLEFINANCE(TRIM(F2539)&amp;"":"" &amp; TRIM(B2539), ""price""),0
)"),540)</f>
        <v>540</v>
      </c>
      <c r="H2539" s="6">
        <v>667</v>
      </c>
      <c r="I2539" s="6">
        <f t="shared" ca="1" si="0"/>
        <v>540</v>
      </c>
      <c r="J2539" s="6">
        <f ca="1">IFERROR(__xludf.DUMMYFUNCTION("IFERROR(GOOGLEFINANCE(B2539, ""volume""), 0)"),27662)</f>
        <v>27662</v>
      </c>
      <c r="K2539" s="6">
        <v>0.69</v>
      </c>
      <c r="L2539" s="6">
        <f ca="1">IFERROR(__xludf.DUMMYFUNCTION("IFERROR(GOOGLEFINANCE(B2539,""changepct""),K2539)"),-0.04)</f>
        <v>-0.04</v>
      </c>
      <c r="M2539" s="6">
        <f ca="1">IFERROR(__xludf.DUMMYFUNCTION("IFERROR(GOOGLEFINANCE(B2539,""change""),0)"),-0.2)</f>
        <v>-0.2</v>
      </c>
      <c r="N2539" s="6">
        <v>1</v>
      </c>
      <c r="O2539" s="7">
        <v>45536</v>
      </c>
      <c r="P2539" s="6">
        <v>160.91999999999999</v>
      </c>
      <c r="Q2539" s="6">
        <v>2362.6799999999998</v>
      </c>
      <c r="R2539" s="7">
        <v>45536</v>
      </c>
      <c r="S2539" s="6">
        <v>730.36</v>
      </c>
      <c r="T2539" s="6">
        <v>62.8</v>
      </c>
      <c r="U2539" s="7">
        <v>45536</v>
      </c>
      <c r="V2539" s="6">
        <v>35.14</v>
      </c>
      <c r="W2539" s="6">
        <f ca="1">IFERROR(__xludf.DUMMYFUNCTION("IFERROR(GOOGLEFINANCE(B2539,""pe""),V2539)"),26.47)</f>
        <v>26.47</v>
      </c>
      <c r="X2539" s="6">
        <v>2.13</v>
      </c>
      <c r="Y2539" s="6">
        <v>3.54</v>
      </c>
      <c r="Z2539" s="6">
        <v>1</v>
      </c>
      <c r="AA2539" s="17">
        <v>45352</v>
      </c>
      <c r="AB2539" s="18">
        <v>0.21</v>
      </c>
      <c r="AC2539" s="6">
        <v>11.55</v>
      </c>
      <c r="AD2539" s="6">
        <v>14.49</v>
      </c>
      <c r="AE2539" s="1">
        <v>0</v>
      </c>
      <c r="AF2539" s="1">
        <f ca="1">IFERROR(__xludf.DUMMYFUNCTION("IFERROR(GOOGLEFINANCE(TRIM(F2539)&amp;"":"" &amp; TRIM(B2539),""high52""),AE2539)"),892.9)</f>
        <v>892.9</v>
      </c>
      <c r="AG2539" s="1">
        <v>0</v>
      </c>
      <c r="AH2539" s="1">
        <f ca="1">IFERROR(__xludf.DUMMYFUNCTION("IFERROR(GOOGLEFINANCE(TRIM(F2539)&amp;"":"" &amp; TRIM(B2539),""low52""),AE2539)"),410)</f>
        <v>410</v>
      </c>
      <c r="AI2539" s="1">
        <f ca="1">IFERROR(__xludf.DUMMYFUNCTION("IFERROR(GOOGLEFINANCE(B2539,""eps""),0)"),20.4)</f>
        <v>20.399999999999999</v>
      </c>
      <c r="AJ2539" s="1"/>
      <c r="AK2539" s="1" t="s">
        <v>7902</v>
      </c>
      <c r="AL2539" s="9">
        <f t="shared" si="258"/>
        <v>1</v>
      </c>
    </row>
    <row r="2540" spans="1:38" ht="15" x14ac:dyDescent="0.25">
      <c r="A2540" s="1" t="s">
        <v>7903</v>
      </c>
      <c r="B2540" s="1" t="s">
        <v>7904</v>
      </c>
      <c r="C2540" s="1" t="s">
        <v>2185</v>
      </c>
      <c r="D2540" s="1" t="s">
        <v>2185</v>
      </c>
      <c r="E2540" s="6">
        <v>7.25</v>
      </c>
      <c r="F2540" s="1" t="s">
        <v>53</v>
      </c>
      <c r="G2540" s="6">
        <f ca="1">IFERROR(__xludf.DUMMYFUNCTION("iferror(GOOGLEFINANCE(TRIM(F2540)&amp;"":"" &amp; TRIM(B2540), ""price""),0
)"),0)</f>
        <v>0</v>
      </c>
      <c r="H2540" s="6">
        <v>5.17</v>
      </c>
      <c r="I2540" s="6">
        <f t="shared" ca="1" si="0"/>
        <v>5.17</v>
      </c>
      <c r="J2540" s="6">
        <f ca="1">IFERROR(__xludf.DUMMYFUNCTION("IFERROR(GOOGLEFINANCE(B2540, ""volume""), 0)"),0)</f>
        <v>0</v>
      </c>
      <c r="K2540" s="6">
        <v>-4.96</v>
      </c>
      <c r="L2540" s="6">
        <f ca="1">IFERROR(__xludf.DUMMYFUNCTION("IFERROR(GOOGLEFINANCE(B2540,""changepct""),K2540)"),-4.96)</f>
        <v>-4.96</v>
      </c>
      <c r="M2540" s="6">
        <f ca="1">IFERROR(__xludf.DUMMYFUNCTION("IFERROR(GOOGLEFINANCE(B2540,""change""),0)"),0)</f>
        <v>0</v>
      </c>
      <c r="N2540" s="6">
        <v>1</v>
      </c>
      <c r="O2540" s="7">
        <v>45536</v>
      </c>
      <c r="P2540" s="6">
        <v>2.64</v>
      </c>
      <c r="Q2540" s="6">
        <v>9.3800000000000008</v>
      </c>
      <c r="R2540" s="7">
        <v>45536</v>
      </c>
      <c r="S2540" s="6">
        <v>4</v>
      </c>
      <c r="T2540" s="6">
        <v>-2.2999999999999998</v>
      </c>
      <c r="U2540" s="7">
        <v>45536</v>
      </c>
      <c r="V2540" s="6">
        <v>0</v>
      </c>
      <c r="W2540" s="6">
        <f ca="1">IFERROR(__xludf.DUMMYFUNCTION("IFERROR(GOOGLEFINANCE(B2540,""pe""),V2540)"),0)</f>
        <v>0</v>
      </c>
      <c r="X2540" s="6">
        <v>0</v>
      </c>
      <c r="Y2540" s="6">
        <v>11.24</v>
      </c>
      <c r="Z2540" s="6">
        <v>1</v>
      </c>
      <c r="AA2540" s="8">
        <v>45352</v>
      </c>
      <c r="AB2540" s="4">
        <v>1.29</v>
      </c>
      <c r="AC2540" s="6">
        <v>-86.82</v>
      </c>
      <c r="AD2540" s="6">
        <v>-50.19</v>
      </c>
      <c r="AE2540" s="1">
        <v>0</v>
      </c>
      <c r="AF2540" s="1">
        <f ca="1">IFERROR(__xludf.DUMMYFUNCTION("IFERROR(GOOGLEFINANCE(TRIM(F2540)&amp;"":"" &amp; TRIM(B2540),""high52""),AE2540)"),0)</f>
        <v>0</v>
      </c>
      <c r="AG2540" s="1">
        <v>0</v>
      </c>
      <c r="AH2540" s="1">
        <f ca="1">IFERROR(__xludf.DUMMYFUNCTION("IFERROR(GOOGLEFINANCE(TRIM(F2540)&amp;"":"" &amp; TRIM(B2540),""low52""),AE2540)"),0)</f>
        <v>0</v>
      </c>
      <c r="AI2540" s="1">
        <f ca="1">IFERROR(__xludf.DUMMYFUNCTION("IFERROR(GOOGLEFINANCE(B2540,""eps""),0)"),0)</f>
        <v>0</v>
      </c>
      <c r="AJ2540" s="1"/>
      <c r="AK2540" s="9"/>
      <c r="AL2540" s="9">
        <f t="shared" si="258"/>
        <v>1</v>
      </c>
    </row>
    <row r="2541" spans="1:38" ht="15" x14ac:dyDescent="0.25">
      <c r="A2541" s="1" t="s">
        <v>7905</v>
      </c>
      <c r="B2541" s="1" t="s">
        <v>7906</v>
      </c>
      <c r="C2541" s="1" t="s">
        <v>2185</v>
      </c>
      <c r="D2541" s="1" t="s">
        <v>2185</v>
      </c>
      <c r="E2541" s="6">
        <v>49.78</v>
      </c>
      <c r="F2541" s="1" t="s">
        <v>53</v>
      </c>
      <c r="G2541" s="6">
        <f ca="1">IFERROR(__xludf.DUMMYFUNCTION("iferror(GOOGLEFINANCE(TRIM(F2541)&amp;"":"" &amp; TRIM(B2541), ""price""),0
)"),0)</f>
        <v>0</v>
      </c>
      <c r="H2541" s="6">
        <v>36.6</v>
      </c>
      <c r="I2541" s="6">
        <f t="shared" ca="1" si="0"/>
        <v>36.6</v>
      </c>
      <c r="J2541" s="6">
        <f ca="1">IFERROR(__xludf.DUMMYFUNCTION("IFERROR(GOOGLEFINANCE(B2541, ""volume""), 0)"),0)</f>
        <v>0</v>
      </c>
      <c r="K2541" s="12"/>
      <c r="L2541" s="6" t="str">
        <f ca="1">IFERROR(__xludf.DUMMYFUNCTION("IFERROR(GOOGLEFINANCE(B2541,""changepct""),K2541)"),"")</f>
        <v/>
      </c>
      <c r="M2541" s="6">
        <f ca="1">IFERROR(__xludf.DUMMYFUNCTION("IFERROR(GOOGLEFINANCE(B2541,""change""),0)"),0)</f>
        <v>0</v>
      </c>
      <c r="N2541" s="6">
        <v>1</v>
      </c>
      <c r="O2541" s="7">
        <v>45352</v>
      </c>
      <c r="P2541" s="6">
        <v>20.41</v>
      </c>
      <c r="Q2541" s="6">
        <v>69.599999999999994</v>
      </c>
      <c r="R2541" s="14"/>
      <c r="S2541" s="9"/>
      <c r="T2541" s="9"/>
      <c r="U2541" s="15">
        <v>45352</v>
      </c>
      <c r="V2541" s="6">
        <v>12.9</v>
      </c>
      <c r="W2541" s="6">
        <f ca="1">IFERROR(__xludf.DUMMYFUNCTION("IFERROR(GOOGLEFINANCE(B2541,""pe""),V2541)"),12.9)</f>
        <v>12.9</v>
      </c>
      <c r="X2541" s="12"/>
      <c r="Y2541" s="6">
        <v>1.37</v>
      </c>
      <c r="Z2541" s="6">
        <v>1</v>
      </c>
      <c r="AA2541" s="8">
        <v>45352</v>
      </c>
      <c r="AB2541" s="4">
        <v>1.02</v>
      </c>
      <c r="AC2541" s="6">
        <v>21.35</v>
      </c>
      <c r="AD2541" s="6">
        <v>19.170000000000002</v>
      </c>
      <c r="AE2541" s="1">
        <v>0</v>
      </c>
      <c r="AF2541" s="1">
        <f ca="1">IFERROR(__xludf.DUMMYFUNCTION("IFERROR(GOOGLEFINANCE(TRIM(F2541)&amp;"":"" &amp; TRIM(B2541),""high52""),AE2541)"),0)</f>
        <v>0</v>
      </c>
      <c r="AG2541" s="1">
        <v>0</v>
      </c>
      <c r="AH2541" s="1">
        <f ca="1">IFERROR(__xludf.DUMMYFUNCTION("IFERROR(GOOGLEFINANCE(TRIM(F2541)&amp;"":"" &amp; TRIM(B2541),""low52""),AE2541)"),0)</f>
        <v>0</v>
      </c>
      <c r="AI2541" s="1">
        <f ca="1">IFERROR(__xludf.DUMMYFUNCTION("IFERROR(GOOGLEFINANCE(B2541,""eps""),0)"),0)</f>
        <v>0</v>
      </c>
      <c r="AJ2541" s="1"/>
      <c r="AK2541" s="1" t="s">
        <v>7907</v>
      </c>
      <c r="AL2541" s="9">
        <f t="shared" si="258"/>
        <v>1</v>
      </c>
    </row>
    <row r="2542" spans="1:38" ht="15" x14ac:dyDescent="0.25">
      <c r="A2542" s="1" t="s">
        <v>7908</v>
      </c>
      <c r="B2542" s="1" t="s">
        <v>7909</v>
      </c>
      <c r="C2542" s="1" t="s">
        <v>1663</v>
      </c>
      <c r="D2542" s="1" t="s">
        <v>1663</v>
      </c>
      <c r="E2542" s="6">
        <v>595.85</v>
      </c>
      <c r="F2542" s="1" t="s">
        <v>40</v>
      </c>
      <c r="G2542" s="6">
        <f ca="1">IFERROR(__xludf.DUMMYFUNCTION("iferror(GOOGLEFINANCE(TRIM(F2542)&amp;"":"" &amp; TRIM(B2542), ""price""),0
)"),129.35)</f>
        <v>129.35</v>
      </c>
      <c r="H2542" s="6">
        <v>207.51</v>
      </c>
      <c r="I2542" s="6">
        <f t="shared" ca="1" si="0"/>
        <v>129.35</v>
      </c>
      <c r="J2542" s="6">
        <f ca="1">IFERROR(__xludf.DUMMYFUNCTION("IFERROR(GOOGLEFINANCE(B2542, ""volume""), 0)"),40915)</f>
        <v>40915</v>
      </c>
      <c r="K2542" s="6">
        <v>-0.37</v>
      </c>
      <c r="L2542" s="6">
        <f ca="1">IFERROR(__xludf.DUMMYFUNCTION("IFERROR(GOOGLEFINANCE(B2542,""changepct""),K2542)"),-2.52)</f>
        <v>-2.52</v>
      </c>
      <c r="M2542" s="6">
        <f ca="1">IFERROR(__xludf.DUMMYFUNCTION("IFERROR(GOOGLEFINANCE(B2542,""change""),0)"),-3.34)</f>
        <v>-3.34</v>
      </c>
      <c r="N2542" s="6">
        <v>2</v>
      </c>
      <c r="O2542" s="7">
        <v>45536</v>
      </c>
      <c r="P2542" s="9"/>
      <c r="Q2542" s="6">
        <v>573.41</v>
      </c>
      <c r="R2542" s="7">
        <v>45536</v>
      </c>
      <c r="S2542" s="6">
        <v>166.37</v>
      </c>
      <c r="T2542" s="6">
        <v>26.62</v>
      </c>
      <c r="U2542" s="7">
        <v>45536</v>
      </c>
      <c r="V2542" s="6">
        <v>22.38</v>
      </c>
      <c r="W2542" s="6">
        <f ca="1">IFERROR(__xludf.DUMMYFUNCTION("IFERROR(GOOGLEFINANCE(B2542,""pe""),V2542)"),128.88)</f>
        <v>128.88</v>
      </c>
      <c r="X2542" s="6">
        <v>1.21</v>
      </c>
      <c r="Y2542" s="6">
        <v>4.6399999999999997</v>
      </c>
      <c r="Z2542" s="6">
        <v>2</v>
      </c>
      <c r="AA2542" s="8">
        <v>45352</v>
      </c>
      <c r="AB2542" s="4">
        <v>0</v>
      </c>
      <c r="AC2542" s="6">
        <v>24.84</v>
      </c>
      <c r="AD2542" s="6">
        <v>33.83</v>
      </c>
      <c r="AE2542" s="1">
        <v>0</v>
      </c>
      <c r="AF2542" s="1">
        <f ca="1">IFERROR(__xludf.DUMMYFUNCTION("IFERROR(GOOGLEFINANCE(TRIM(F2542)&amp;"":"" &amp; TRIM(B2542),""high52""),AE2542)"),221)</f>
        <v>221</v>
      </c>
      <c r="AG2542" s="1">
        <v>0</v>
      </c>
      <c r="AH2542" s="1">
        <f ca="1">IFERROR(__xludf.DUMMYFUNCTION("IFERROR(GOOGLEFINANCE(TRIM(F2542)&amp;"":"" &amp; TRIM(B2542),""low52""),AE2542)"),109.95)</f>
        <v>109.95</v>
      </c>
      <c r="AI2542" s="1">
        <f ca="1">IFERROR(__xludf.DUMMYFUNCTION("IFERROR(GOOGLEFINANCE(B2542,""eps""),0)"),1)</f>
        <v>1</v>
      </c>
      <c r="AJ2542" s="1"/>
      <c r="AK2542" s="1" t="s">
        <v>7910</v>
      </c>
      <c r="AL2542" s="9">
        <f t="shared" si="258"/>
        <v>1</v>
      </c>
    </row>
    <row r="2543" spans="1:38" ht="15" x14ac:dyDescent="0.25">
      <c r="A2543" s="1" t="s">
        <v>7911</v>
      </c>
      <c r="B2543" s="1" t="s">
        <v>7912</v>
      </c>
      <c r="C2543" s="1" t="s">
        <v>75</v>
      </c>
      <c r="D2543" s="1" t="s">
        <v>75</v>
      </c>
      <c r="E2543" s="6">
        <v>3690.02</v>
      </c>
      <c r="F2543" s="1" t="s">
        <v>40</v>
      </c>
      <c r="G2543" s="6">
        <f ca="1">IFERROR(__xludf.DUMMYFUNCTION("iferror(GOOGLEFINANCE(TRIM(F2543)&amp;"":"" &amp; TRIM(B2543), ""price""),0
)"),286.55)</f>
        <v>286.55</v>
      </c>
      <c r="H2543" s="6">
        <v>466</v>
      </c>
      <c r="I2543" s="6">
        <f t="shared" ca="1" si="0"/>
        <v>286.55</v>
      </c>
      <c r="J2543" s="6">
        <f ca="1">IFERROR(__xludf.DUMMYFUNCTION("IFERROR(GOOGLEFINANCE(B2543, ""volume""), 0)"),94856)</f>
        <v>94856</v>
      </c>
      <c r="K2543" s="6">
        <v>-0.61</v>
      </c>
      <c r="L2543" s="6">
        <f ca="1">IFERROR(__xludf.DUMMYFUNCTION("IFERROR(GOOGLEFINANCE(B2543,""changepct""),K2543)"),3.71)</f>
        <v>3.71</v>
      </c>
      <c r="M2543" s="6">
        <f ca="1">IFERROR(__xludf.DUMMYFUNCTION("IFERROR(GOOGLEFINANCE(B2543,""change""),0)"),10.25)</f>
        <v>10.25</v>
      </c>
      <c r="N2543" s="6">
        <v>2</v>
      </c>
      <c r="O2543" s="7">
        <v>45536</v>
      </c>
      <c r="P2543" s="6">
        <v>153.13999999999999</v>
      </c>
      <c r="Q2543" s="7">
        <v>45536</v>
      </c>
      <c r="R2543" s="6">
        <v>24.1</v>
      </c>
      <c r="S2543" s="6">
        <v>0.41</v>
      </c>
      <c r="T2543" s="6">
        <v>5.0599999999999996</v>
      </c>
      <c r="U2543" s="6">
        <v>2</v>
      </c>
      <c r="V2543" s="7">
        <v>45352</v>
      </c>
      <c r="W2543" s="6">
        <f ca="1">IFERROR(__xludf.DUMMYFUNCTION("IFERROR(GOOGLEFINANCE(B2543,""pe""),V2543)"),14.19)</f>
        <v>14.19</v>
      </c>
      <c r="X2543" s="6">
        <v>0.33</v>
      </c>
      <c r="Y2543" s="6">
        <v>44.22</v>
      </c>
      <c r="Z2543" s="6">
        <v>51.82</v>
      </c>
      <c r="AA2543" s="3" t="s">
        <v>7913</v>
      </c>
      <c r="AB2543" s="3"/>
      <c r="AC2543" s="9"/>
      <c r="AD2543" s="9"/>
      <c r="AE2543" s="1">
        <v>0</v>
      </c>
      <c r="AF2543" s="1">
        <f ca="1">IFERROR(__xludf.DUMMYFUNCTION("IFERROR(GOOGLEFINANCE(TRIM(F2543)&amp;"":"" &amp; TRIM(B2543),""high52""),AE2543)"),454.95)</f>
        <v>454.95</v>
      </c>
      <c r="AG2543" s="1">
        <v>0</v>
      </c>
      <c r="AH2543" s="1">
        <f ca="1">IFERROR(__xludf.DUMMYFUNCTION("IFERROR(GOOGLEFINANCE(TRIM(F2543)&amp;"":"" &amp; TRIM(B2543),""low52""),AE2543)"),265.1)</f>
        <v>265.10000000000002</v>
      </c>
      <c r="AI2543" s="1">
        <f ca="1">IFERROR(__xludf.DUMMYFUNCTION("IFERROR(GOOGLEFINANCE(B2543,""eps""),0)"),20.19)</f>
        <v>20.190000000000001</v>
      </c>
      <c r="AJ2543" s="1"/>
      <c r="AK2543" s="1" t="s">
        <v>7914</v>
      </c>
      <c r="AL2543" s="9">
        <f t="shared" si="258"/>
        <v>1</v>
      </c>
    </row>
    <row r="2544" spans="1:38" ht="15" x14ac:dyDescent="0.25">
      <c r="A2544" s="1" t="s">
        <v>7915</v>
      </c>
      <c r="B2544" s="1" t="s">
        <v>7916</v>
      </c>
      <c r="C2544" s="1" t="s">
        <v>227</v>
      </c>
      <c r="D2544" s="1" t="s">
        <v>227</v>
      </c>
      <c r="E2544" s="6">
        <v>58.31</v>
      </c>
      <c r="F2544" s="1" t="s">
        <v>40</v>
      </c>
      <c r="G2544" s="6">
        <f ca="1">IFERROR(__xludf.DUMMYFUNCTION("iferror(GOOGLEFINANCE(TRIM(F2544)&amp;"":"" &amp; TRIM(B2544), ""price""),0
)"),0)</f>
        <v>0</v>
      </c>
      <c r="H2544" s="6">
        <v>33.5</v>
      </c>
      <c r="I2544" s="6">
        <f t="shared" ca="1" si="0"/>
        <v>33.5</v>
      </c>
      <c r="J2544" s="6">
        <f ca="1">IFERROR(__xludf.DUMMYFUNCTION("IFERROR(GOOGLEFINANCE(B2544, ""volume""), 0)"),0)</f>
        <v>0</v>
      </c>
      <c r="K2544" s="6">
        <v>1.52</v>
      </c>
      <c r="L2544" s="6">
        <f ca="1">IFERROR(__xludf.DUMMYFUNCTION("IFERROR(GOOGLEFINANCE(B2544,""changepct""),K2544)"),1.52)</f>
        <v>1.52</v>
      </c>
      <c r="M2544" s="6">
        <f ca="1">IFERROR(__xludf.DUMMYFUNCTION("IFERROR(GOOGLEFINANCE(B2544,""change""),0)"),0)</f>
        <v>0</v>
      </c>
      <c r="N2544" s="6">
        <v>1</v>
      </c>
      <c r="O2544" s="7">
        <v>45536</v>
      </c>
      <c r="P2544" s="6">
        <v>17.89</v>
      </c>
      <c r="Q2544" s="6">
        <v>76.2</v>
      </c>
      <c r="R2544" s="7">
        <v>45352</v>
      </c>
      <c r="S2544" s="6">
        <v>70.72</v>
      </c>
      <c r="T2544" s="6">
        <v>2.44</v>
      </c>
      <c r="U2544" s="7">
        <v>45352</v>
      </c>
      <c r="V2544" s="6">
        <v>23.87</v>
      </c>
      <c r="W2544" s="6">
        <f ca="1">IFERROR(__xludf.DUMMYFUNCTION("IFERROR(GOOGLEFINANCE(B2544,""pe""),V2544)"),23.87)</f>
        <v>23.87</v>
      </c>
      <c r="X2544" s="9"/>
      <c r="Y2544" s="6">
        <v>2.0699999999999998</v>
      </c>
      <c r="Z2544" s="6">
        <v>2</v>
      </c>
      <c r="AA2544" s="8">
        <v>45352</v>
      </c>
      <c r="AB2544" s="4">
        <v>1.47</v>
      </c>
      <c r="AC2544" s="6">
        <v>11.86</v>
      </c>
      <c r="AD2544" s="6">
        <v>10.34</v>
      </c>
      <c r="AE2544" s="1">
        <v>0</v>
      </c>
      <c r="AF2544" s="1">
        <f ca="1">IFERROR(__xludf.DUMMYFUNCTION("IFERROR(GOOGLEFINANCE(TRIM(F2544)&amp;"":"" &amp; TRIM(B2544),""high52""),AE2544)"),0)</f>
        <v>0</v>
      </c>
      <c r="AG2544" s="1">
        <v>0</v>
      </c>
      <c r="AH2544" s="1">
        <f ca="1">IFERROR(__xludf.DUMMYFUNCTION("IFERROR(GOOGLEFINANCE(TRIM(F2544)&amp;"":"" &amp; TRIM(B2544),""low52""),AE2544)"),0)</f>
        <v>0</v>
      </c>
      <c r="AI2544" s="1">
        <f ca="1">IFERROR(__xludf.DUMMYFUNCTION("IFERROR(GOOGLEFINANCE(B2544,""eps""),0)"),0)</f>
        <v>0</v>
      </c>
      <c r="AJ2544" s="1"/>
      <c r="AK2544" s="1" t="s">
        <v>7917</v>
      </c>
      <c r="AL2544" s="9">
        <f t="shared" si="258"/>
        <v>1</v>
      </c>
    </row>
    <row r="2545" spans="1:38" ht="15" x14ac:dyDescent="0.25">
      <c r="A2545" s="1" t="s">
        <v>7918</v>
      </c>
      <c r="B2545" s="1" t="s">
        <v>3835</v>
      </c>
      <c r="C2545" s="1" t="s">
        <v>57</v>
      </c>
      <c r="D2545" s="1" t="s">
        <v>57</v>
      </c>
      <c r="E2545" s="6">
        <v>61.76</v>
      </c>
      <c r="F2545" s="1" t="s">
        <v>53</v>
      </c>
      <c r="G2545" s="6">
        <f ca="1">IFERROR(__xludf.DUMMYFUNCTION("iferror(GOOGLEFINANCE(TRIM(F2545)&amp;"":"" &amp; TRIM(B2545), ""price""),0
)"),0)</f>
        <v>0</v>
      </c>
      <c r="H2545" s="6">
        <v>17.989999999999998</v>
      </c>
      <c r="I2545" s="6">
        <f t="shared" ca="1" si="0"/>
        <v>17.989999999999998</v>
      </c>
      <c r="J2545" s="6">
        <f ca="1">IFERROR(__xludf.DUMMYFUNCTION("IFERROR(GOOGLEFINANCE(B2545, ""volume""), 0)"),0)</f>
        <v>0</v>
      </c>
      <c r="K2545" s="6">
        <v>0.11</v>
      </c>
      <c r="L2545" s="6">
        <f ca="1">IFERROR(__xludf.DUMMYFUNCTION("IFERROR(GOOGLEFINANCE(B2545,""changepct""),K2545)"),0.11)</f>
        <v>0.11</v>
      </c>
      <c r="M2545" s="6">
        <f ca="1">IFERROR(__xludf.DUMMYFUNCTION("IFERROR(GOOGLEFINANCE(B2545,""change""),0)"),0)</f>
        <v>0</v>
      </c>
      <c r="N2545" s="6">
        <v>2</v>
      </c>
      <c r="O2545" s="7">
        <v>45536</v>
      </c>
      <c r="P2545" s="6">
        <v>9.6199999999999992</v>
      </c>
      <c r="Q2545" s="6">
        <v>71.39</v>
      </c>
      <c r="R2545" s="7">
        <v>44805</v>
      </c>
      <c r="S2545" s="6">
        <v>13.99</v>
      </c>
      <c r="T2545" s="6">
        <v>-0.3</v>
      </c>
      <c r="U2545" s="7">
        <v>44805</v>
      </c>
      <c r="V2545" s="6">
        <v>0</v>
      </c>
      <c r="W2545" s="6">
        <f ca="1">IFERROR(__xludf.DUMMYFUNCTION("IFERROR(GOOGLEFINANCE(B2545,""pe""),V2545)"),0)</f>
        <v>0</v>
      </c>
      <c r="X2545" s="6">
        <v>0</v>
      </c>
      <c r="Y2545" s="9"/>
      <c r="Z2545" s="6">
        <v>1</v>
      </c>
      <c r="AA2545" s="8">
        <v>45352</v>
      </c>
      <c r="AB2545" s="4">
        <v>0.22</v>
      </c>
      <c r="AC2545" s="6">
        <v>-7.92</v>
      </c>
      <c r="AD2545" s="6">
        <v>-3.28</v>
      </c>
      <c r="AE2545" s="1">
        <v>0</v>
      </c>
      <c r="AF2545" s="1">
        <f ca="1">IFERROR(__xludf.DUMMYFUNCTION("IFERROR(GOOGLEFINANCE(TRIM(F2545)&amp;"":"" &amp; TRIM(B2545),""high52""),AE2545)"),0)</f>
        <v>0</v>
      </c>
      <c r="AG2545" s="1">
        <v>0</v>
      </c>
      <c r="AH2545" s="1">
        <f ca="1">IFERROR(__xludf.DUMMYFUNCTION("IFERROR(GOOGLEFINANCE(TRIM(F2545)&amp;"":"" &amp; TRIM(B2545),""low52""),AE2545)"),0)</f>
        <v>0</v>
      </c>
      <c r="AI2545" s="1">
        <f ca="1">IFERROR(__xludf.DUMMYFUNCTION("IFERROR(GOOGLEFINANCE(B2545,""eps""),0)"),0)</f>
        <v>0</v>
      </c>
      <c r="AJ2545" s="1"/>
      <c r="AK2545" s="1" t="s">
        <v>7919</v>
      </c>
      <c r="AL2545" s="9">
        <f t="shared" si="258"/>
        <v>1</v>
      </c>
    </row>
    <row r="2546" spans="1:38" ht="15" x14ac:dyDescent="0.25">
      <c r="A2546" s="1" t="s">
        <v>7920</v>
      </c>
      <c r="B2546" s="1" t="s">
        <v>7921</v>
      </c>
      <c r="C2546" s="1" t="s">
        <v>186</v>
      </c>
      <c r="D2546" s="1" t="s">
        <v>186</v>
      </c>
      <c r="E2546" s="6">
        <v>1663.54</v>
      </c>
      <c r="F2546" s="1" t="s">
        <v>40</v>
      </c>
      <c r="G2546" s="6">
        <f ca="1">IFERROR(__xludf.DUMMYFUNCTION("iferror(GOOGLEFINANCE(TRIM(F2546)&amp;"":"" &amp; TRIM(B2546), ""price""),0
)"),580)</f>
        <v>580</v>
      </c>
      <c r="H2546" s="6">
        <v>806.05</v>
      </c>
      <c r="I2546" s="6">
        <f t="shared" ca="1" si="0"/>
        <v>580</v>
      </c>
      <c r="J2546" s="6">
        <f ca="1">IFERROR(__xludf.DUMMYFUNCTION("IFERROR(GOOGLEFINANCE(B2546, ""volume""), 0)"),28472)</f>
        <v>28472</v>
      </c>
      <c r="K2546" s="6">
        <v>0.41</v>
      </c>
      <c r="L2546" s="6">
        <f ca="1">IFERROR(__xludf.DUMMYFUNCTION("IFERROR(GOOGLEFINANCE(B2546,""changepct""),K2546)"),2.36)</f>
        <v>2.36</v>
      </c>
      <c r="M2546" s="6">
        <f ca="1">IFERROR(__xludf.DUMMYFUNCTION("IFERROR(GOOGLEFINANCE(B2546,""change""),0)"),13.35)</f>
        <v>13.35</v>
      </c>
      <c r="N2546" s="6">
        <v>2</v>
      </c>
      <c r="O2546" s="7">
        <v>45536</v>
      </c>
      <c r="P2546" s="6">
        <v>463.71</v>
      </c>
      <c r="Q2546" s="6">
        <v>2119.04</v>
      </c>
      <c r="R2546" s="7">
        <v>45536</v>
      </c>
      <c r="S2546" s="6">
        <v>1056.4100000000001</v>
      </c>
      <c r="T2546" s="6">
        <v>54.28</v>
      </c>
      <c r="U2546" s="7">
        <v>45536</v>
      </c>
      <c r="V2546" s="6">
        <v>30.65</v>
      </c>
      <c r="W2546" s="6">
        <f ca="1">IFERROR(__xludf.DUMMYFUNCTION("IFERROR(GOOGLEFINANCE(B2546,""pe""),V2546)"),12.43)</f>
        <v>12.43</v>
      </c>
      <c r="X2546" s="12"/>
      <c r="Y2546" s="6">
        <v>2.2200000000000002</v>
      </c>
      <c r="Z2546" s="6">
        <v>2</v>
      </c>
      <c r="AA2546" s="8">
        <v>45352</v>
      </c>
      <c r="AB2546" s="4">
        <v>0.27</v>
      </c>
      <c r="AC2546" s="6">
        <v>7.63</v>
      </c>
      <c r="AD2546" s="6">
        <v>12.12</v>
      </c>
      <c r="AE2546" s="1">
        <v>0</v>
      </c>
      <c r="AF2546" s="1">
        <f ca="1">IFERROR(__xludf.DUMMYFUNCTION("IFERROR(GOOGLEFINANCE(TRIM(F2546)&amp;"":"" &amp; TRIM(B2546),""high52""),AE2546)"),860.95)</f>
        <v>860.95</v>
      </c>
      <c r="AG2546" s="1">
        <v>0</v>
      </c>
      <c r="AH2546" s="1">
        <f ca="1">IFERROR(__xludf.DUMMYFUNCTION("IFERROR(GOOGLEFINANCE(TRIM(F2546)&amp;"":"" &amp; TRIM(B2546),""low52""),AE2546)"),518.05)</f>
        <v>518.04999999999995</v>
      </c>
      <c r="AI2546" s="1">
        <f ca="1">IFERROR(__xludf.DUMMYFUNCTION("IFERROR(GOOGLEFINANCE(B2546,""eps""),0)"),46.64)</f>
        <v>46.64</v>
      </c>
      <c r="AJ2546" s="1"/>
      <c r="AK2546" s="1" t="s">
        <v>7922</v>
      </c>
      <c r="AL2546" s="9">
        <f t="shared" si="258"/>
        <v>1</v>
      </c>
    </row>
    <row r="2547" spans="1:38" ht="15" x14ac:dyDescent="0.25">
      <c r="A2547" s="1" t="s">
        <v>7923</v>
      </c>
      <c r="B2547" s="1" t="s">
        <v>7924</v>
      </c>
      <c r="C2547" s="1" t="s">
        <v>57</v>
      </c>
      <c r="D2547" s="1" t="s">
        <v>57</v>
      </c>
      <c r="E2547" s="6">
        <v>19.03</v>
      </c>
      <c r="F2547" s="1" t="s">
        <v>53</v>
      </c>
      <c r="G2547" s="6">
        <f ca="1">IFERROR(__xludf.DUMMYFUNCTION("iferror(GOOGLEFINANCE(TRIM(F2547)&amp;"":"" &amp; TRIM(B2547), ""price""),0
)"),0)</f>
        <v>0</v>
      </c>
      <c r="H2547" s="6">
        <v>11.27</v>
      </c>
      <c r="I2547" s="6">
        <f t="shared" ca="1" si="0"/>
        <v>11.27</v>
      </c>
      <c r="J2547" s="6">
        <f ca="1">IFERROR(__xludf.DUMMYFUNCTION("IFERROR(GOOGLEFINANCE(B2547, ""volume""), 0)"),0)</f>
        <v>0</v>
      </c>
      <c r="K2547" s="6">
        <v>0</v>
      </c>
      <c r="L2547" s="6">
        <f ca="1">IFERROR(__xludf.DUMMYFUNCTION("IFERROR(GOOGLEFINANCE(B2547,""changepct""),K2547)"),0)</f>
        <v>0</v>
      </c>
      <c r="M2547" s="6">
        <f ca="1">IFERROR(__xludf.DUMMYFUNCTION("IFERROR(GOOGLEFINANCE(B2547,""change""),0)"),0)</f>
        <v>0</v>
      </c>
      <c r="N2547" s="6">
        <v>1</v>
      </c>
      <c r="O2547" s="7">
        <v>45536</v>
      </c>
      <c r="P2547" s="9"/>
      <c r="Q2547" s="6">
        <v>19.03</v>
      </c>
      <c r="R2547" s="7">
        <v>45261</v>
      </c>
      <c r="S2547" s="6">
        <v>1.43</v>
      </c>
      <c r="T2547" s="6">
        <v>0.11</v>
      </c>
      <c r="U2547" s="7">
        <v>45352</v>
      </c>
      <c r="V2547" s="6">
        <v>225.31</v>
      </c>
      <c r="W2547" s="6">
        <f ca="1">IFERROR(__xludf.DUMMYFUNCTION("IFERROR(GOOGLEFINANCE(B2547,""pe""),V2547)"),225.31)</f>
        <v>225.31</v>
      </c>
      <c r="X2547" s="9"/>
      <c r="Y2547" s="6">
        <v>0.98</v>
      </c>
      <c r="Z2547" s="6">
        <v>1</v>
      </c>
      <c r="AA2547" s="8">
        <v>45352</v>
      </c>
      <c r="AB2547" s="4">
        <v>0</v>
      </c>
      <c r="AC2547" s="6">
        <v>0.44</v>
      </c>
      <c r="AD2547" s="6">
        <v>0.48</v>
      </c>
      <c r="AE2547" s="1">
        <v>0</v>
      </c>
      <c r="AF2547" s="1">
        <f ca="1">IFERROR(__xludf.DUMMYFUNCTION("IFERROR(GOOGLEFINANCE(TRIM(F2547)&amp;"":"" &amp; TRIM(B2547),""high52""),AE2547)"),0)</f>
        <v>0</v>
      </c>
      <c r="AG2547" s="1">
        <v>0</v>
      </c>
      <c r="AH2547" s="1">
        <f ca="1">IFERROR(__xludf.DUMMYFUNCTION("IFERROR(GOOGLEFINANCE(TRIM(F2547)&amp;"":"" &amp; TRIM(B2547),""low52""),AE2547)"),0)</f>
        <v>0</v>
      </c>
      <c r="AI2547" s="1">
        <f ca="1">IFERROR(__xludf.DUMMYFUNCTION("IFERROR(GOOGLEFINANCE(B2547,""eps""),0)"),0)</f>
        <v>0</v>
      </c>
      <c r="AJ2547" s="1"/>
      <c r="AK2547" s="1" t="s">
        <v>7925</v>
      </c>
      <c r="AL2547" s="9">
        <f t="shared" si="258"/>
        <v>1</v>
      </c>
    </row>
    <row r="2548" spans="1:38" ht="15" x14ac:dyDescent="0.25">
      <c r="A2548" s="1" t="s">
        <v>7926</v>
      </c>
      <c r="B2548" s="1" t="s">
        <v>7927</v>
      </c>
      <c r="C2548" s="1" t="s">
        <v>57</v>
      </c>
      <c r="D2548" s="1" t="s">
        <v>57</v>
      </c>
      <c r="E2548" s="6">
        <v>74.5</v>
      </c>
      <c r="F2548" s="1" t="s">
        <v>53</v>
      </c>
      <c r="G2548" s="6">
        <f ca="1">IFERROR(__xludf.DUMMYFUNCTION("iferror(GOOGLEFINANCE(TRIM(F2548)&amp;"":"" &amp; TRIM(B2548), ""price""),0
)"),0)</f>
        <v>0</v>
      </c>
      <c r="H2548" s="6">
        <v>235</v>
      </c>
      <c r="I2548" s="6">
        <f t="shared" ca="1" si="0"/>
        <v>235</v>
      </c>
      <c r="J2548" s="6">
        <f ca="1">IFERROR(__xludf.DUMMYFUNCTION("IFERROR(GOOGLEFINANCE(B2548, ""volume""), 0)"),0)</f>
        <v>0</v>
      </c>
      <c r="K2548" s="6">
        <v>-2.77</v>
      </c>
      <c r="L2548" s="6">
        <f ca="1">IFERROR(__xludf.DUMMYFUNCTION("IFERROR(GOOGLEFINANCE(B2548,""changepct""),K2548)"),-2.77)</f>
        <v>-2.77</v>
      </c>
      <c r="M2548" s="6">
        <f ca="1">IFERROR(__xludf.DUMMYFUNCTION("IFERROR(GOOGLEFINANCE(B2548,""change""),0)"),0)</f>
        <v>0</v>
      </c>
      <c r="N2548" s="6">
        <v>1</v>
      </c>
      <c r="O2548" s="7">
        <v>45536</v>
      </c>
      <c r="P2548" s="6">
        <v>0.57999999999999996</v>
      </c>
      <c r="Q2548" s="6">
        <v>75.08</v>
      </c>
      <c r="R2548" s="7">
        <v>45352</v>
      </c>
      <c r="S2548" s="6">
        <v>42.04</v>
      </c>
      <c r="T2548" s="6">
        <v>0.04</v>
      </c>
      <c r="U2548" s="7">
        <v>45352</v>
      </c>
      <c r="V2548" s="6">
        <v>0</v>
      </c>
      <c r="W2548" s="6">
        <f ca="1">IFERROR(__xludf.DUMMYFUNCTION("IFERROR(GOOGLEFINANCE(B2548,""pe""),V2548)"),0)</f>
        <v>0</v>
      </c>
      <c r="X2548" s="9"/>
      <c r="Y2548" s="6">
        <v>4.74</v>
      </c>
      <c r="Z2548" s="6">
        <v>1</v>
      </c>
      <c r="AA2548" s="17">
        <v>45352</v>
      </c>
      <c r="AB2548" s="18">
        <v>0</v>
      </c>
      <c r="AC2548" s="6">
        <v>0.43</v>
      </c>
      <c r="AD2548" s="6">
        <v>0.64</v>
      </c>
      <c r="AE2548" s="1">
        <v>0</v>
      </c>
      <c r="AF2548" s="1">
        <f ca="1">IFERROR(__xludf.DUMMYFUNCTION("IFERROR(GOOGLEFINANCE(TRIM(F2548)&amp;"":"" &amp; TRIM(B2548),""high52""),AE2548)"),0)</f>
        <v>0</v>
      </c>
      <c r="AG2548" s="1">
        <v>0</v>
      </c>
      <c r="AH2548" s="1">
        <f ca="1">IFERROR(__xludf.DUMMYFUNCTION("IFERROR(GOOGLEFINANCE(TRIM(F2548)&amp;"":"" &amp; TRIM(B2548),""low52""),AE2548)"),0)</f>
        <v>0</v>
      </c>
      <c r="AI2548" s="1">
        <f ca="1">IFERROR(__xludf.DUMMYFUNCTION("IFERROR(GOOGLEFINANCE(B2548,""eps""),0)"),0)</f>
        <v>0</v>
      </c>
      <c r="AJ2548" s="1"/>
      <c r="AK2548" s="12"/>
      <c r="AL2548" s="9">
        <f t="shared" si="258"/>
        <v>1</v>
      </c>
    </row>
    <row r="2549" spans="1:38" ht="15" x14ac:dyDescent="0.25">
      <c r="A2549" s="1" t="s">
        <v>7928</v>
      </c>
      <c r="B2549" s="1" t="s">
        <v>7929</v>
      </c>
      <c r="C2549" s="1" t="s">
        <v>154</v>
      </c>
      <c r="D2549" s="1" t="s">
        <v>154</v>
      </c>
      <c r="E2549" s="6">
        <v>36.909999999999997</v>
      </c>
      <c r="F2549" s="1" t="s">
        <v>40</v>
      </c>
      <c r="G2549" s="6">
        <f ca="1">IFERROR(__xludf.DUMMYFUNCTION("iferror(GOOGLEFINANCE(TRIM(F2549)&amp;"":"" &amp; TRIM(B2549), ""price""),0
)"),6.82)</f>
        <v>6.82</v>
      </c>
      <c r="H2549" s="6">
        <v>10.56</v>
      </c>
      <c r="I2549" s="6">
        <f t="shared" ca="1" si="0"/>
        <v>6.82</v>
      </c>
      <c r="J2549" s="6">
        <f ca="1">IFERROR(__xludf.DUMMYFUNCTION("IFERROR(GOOGLEFINANCE(B2549, ""volume""), 0)"),1395)</f>
        <v>1395</v>
      </c>
      <c r="K2549" s="6">
        <v>2.62</v>
      </c>
      <c r="L2549" s="6">
        <f ca="1">IFERROR(__xludf.DUMMYFUNCTION("IFERROR(GOOGLEFINANCE(B2549,""changepct""),K2549)"),1.79)</f>
        <v>1.79</v>
      </c>
      <c r="M2549" s="6">
        <f ca="1">IFERROR(__xludf.DUMMYFUNCTION("IFERROR(GOOGLEFINANCE(B2549,""change""),0)"),0.12)</f>
        <v>0.12</v>
      </c>
      <c r="N2549" s="6">
        <v>1</v>
      </c>
      <c r="O2549" s="7">
        <v>45352</v>
      </c>
      <c r="P2549" s="6">
        <v>505.66</v>
      </c>
      <c r="Q2549" s="6">
        <v>538.41</v>
      </c>
      <c r="R2549" s="7">
        <v>45352</v>
      </c>
      <c r="S2549" s="6">
        <v>32.83</v>
      </c>
      <c r="T2549" s="6">
        <v>-201.28</v>
      </c>
      <c r="U2549" s="7">
        <v>45352</v>
      </c>
      <c r="V2549" s="6">
        <v>0</v>
      </c>
      <c r="W2549" s="6">
        <f ca="1">IFERROR(__xludf.DUMMYFUNCTION("IFERROR(GOOGLEFINANCE(B2549,""pe""),V2549)"),0)</f>
        <v>0</v>
      </c>
      <c r="X2549" s="12"/>
      <c r="Y2549" s="6">
        <v>-0.08</v>
      </c>
      <c r="Z2549" s="6">
        <v>2</v>
      </c>
      <c r="AA2549" s="8">
        <v>44986</v>
      </c>
      <c r="AB2549" s="4">
        <v>-1.85</v>
      </c>
      <c r="AC2549" s="6">
        <v>0</v>
      </c>
      <c r="AD2549" s="6">
        <v>-31.59</v>
      </c>
      <c r="AE2549" s="1">
        <v>0</v>
      </c>
      <c r="AF2549" s="1">
        <f ca="1">IFERROR(__xludf.DUMMYFUNCTION("IFERROR(GOOGLEFINANCE(TRIM(F2549)&amp;"":"" &amp; TRIM(B2549),""high52""),AE2549)"),9.99)</f>
        <v>9.99</v>
      </c>
      <c r="AG2549" s="1">
        <v>0</v>
      </c>
      <c r="AH2549" s="1">
        <f ca="1">IFERROR(__xludf.DUMMYFUNCTION("IFERROR(GOOGLEFINANCE(TRIM(F2549)&amp;"":"" &amp; TRIM(B2549),""low52""),AE2549)"),4.56)</f>
        <v>4.5599999999999996</v>
      </c>
      <c r="AI2549" s="1">
        <f ca="1">IFERROR(__xludf.DUMMYFUNCTION("IFERROR(GOOGLEFINANCE(B2549,""eps""),0)"),0)</f>
        <v>0</v>
      </c>
      <c r="AJ2549" s="1"/>
      <c r="AK2549" s="1" t="s">
        <v>7930</v>
      </c>
      <c r="AL2549" s="9">
        <f t="shared" si="258"/>
        <v>1</v>
      </c>
    </row>
    <row r="2550" spans="1:38" ht="15" x14ac:dyDescent="0.25">
      <c r="A2550" s="1" t="s">
        <v>7931</v>
      </c>
      <c r="B2550" s="1" t="s">
        <v>7932</v>
      </c>
      <c r="C2550" s="1" t="s">
        <v>106</v>
      </c>
      <c r="D2550" s="1" t="s">
        <v>106</v>
      </c>
      <c r="E2550" s="6">
        <v>4325</v>
      </c>
      <c r="F2550" s="1" t="s">
        <v>40</v>
      </c>
      <c r="G2550" s="6">
        <f ca="1">IFERROR(__xludf.DUMMYFUNCTION("iferror(GOOGLEFINANCE(TRIM(F2550)&amp;"":"" &amp; TRIM(B2550), ""price""),0
)"),35.94)</f>
        <v>35.94</v>
      </c>
      <c r="H2550" s="6">
        <v>79.709999999999994</v>
      </c>
      <c r="I2550" s="6">
        <f t="shared" ca="1" si="0"/>
        <v>35.94</v>
      </c>
      <c r="J2550" s="6">
        <f ca="1">IFERROR(__xludf.DUMMYFUNCTION("IFERROR(GOOGLEFINANCE(B2550, ""volume""), 0)"),1564219)</f>
        <v>1564219</v>
      </c>
      <c r="K2550" s="6">
        <v>1.03</v>
      </c>
      <c r="L2550" s="6">
        <f ca="1">IFERROR(__xludf.DUMMYFUNCTION("IFERROR(GOOGLEFINANCE(B2550,""changepct""),K2550)"),-1.64)</f>
        <v>-1.64</v>
      </c>
      <c r="M2550" s="6">
        <f ca="1">IFERROR(__xludf.DUMMYFUNCTION("IFERROR(GOOGLEFINANCE(B2550,""change""),0)"),-0.6)</f>
        <v>-0.6</v>
      </c>
      <c r="N2550" s="6">
        <v>2</v>
      </c>
      <c r="O2550" s="7">
        <v>45536</v>
      </c>
      <c r="P2550" s="6">
        <v>33.49</v>
      </c>
      <c r="Q2550" s="6">
        <v>4303.1099999999997</v>
      </c>
      <c r="R2550" s="7">
        <v>45536</v>
      </c>
      <c r="S2550" s="6">
        <v>1760.57</v>
      </c>
      <c r="T2550" s="6">
        <v>131.75</v>
      </c>
      <c r="U2550" s="7">
        <v>45536</v>
      </c>
      <c r="V2550" s="6">
        <v>32.94</v>
      </c>
      <c r="W2550" s="6">
        <f ca="1">IFERROR(__xludf.DUMMYFUNCTION("IFERROR(GOOGLEFINANCE(B2550,""pe""),V2550)"),19.91)</f>
        <v>19.91</v>
      </c>
      <c r="X2550" s="6">
        <v>1.21</v>
      </c>
      <c r="Y2550" s="6">
        <v>3.89</v>
      </c>
      <c r="Z2550" s="6">
        <v>2</v>
      </c>
      <c r="AA2550" s="17">
        <v>45352</v>
      </c>
      <c r="AB2550" s="18">
        <v>0.03</v>
      </c>
      <c r="AC2550" s="6">
        <v>12.08</v>
      </c>
      <c r="AD2550" s="6">
        <v>16.82</v>
      </c>
      <c r="AE2550" s="1">
        <v>0</v>
      </c>
      <c r="AF2550" s="1">
        <f ca="1">IFERROR(__xludf.DUMMYFUNCTION("IFERROR(GOOGLEFINANCE(TRIM(F2550)&amp;"":"" &amp; TRIM(B2550),""high52""),AE2550)"),70.5)</f>
        <v>70.5</v>
      </c>
      <c r="AG2550" s="1">
        <v>0</v>
      </c>
      <c r="AH2550" s="1">
        <f ca="1">IFERROR(__xludf.DUMMYFUNCTION("IFERROR(GOOGLEFINANCE(TRIM(F2550)&amp;"":"" &amp; TRIM(B2550),""low52""),AE2550)"),33.5)</f>
        <v>33.5</v>
      </c>
      <c r="AI2550" s="1">
        <f ca="1">IFERROR(__xludf.DUMMYFUNCTION("IFERROR(GOOGLEFINANCE(B2550,""eps""),0)"),1.8)</f>
        <v>1.8</v>
      </c>
      <c r="AJ2550" s="1"/>
      <c r="AK2550" s="1" t="s">
        <v>7933</v>
      </c>
      <c r="AL2550" s="9">
        <f t="shared" si="258"/>
        <v>1</v>
      </c>
    </row>
    <row r="2551" spans="1:38" ht="15" x14ac:dyDescent="0.25">
      <c r="A2551" s="1" t="s">
        <v>7934</v>
      </c>
      <c r="B2551" s="1" t="s">
        <v>7935</v>
      </c>
      <c r="C2551" s="1" t="s">
        <v>57</v>
      </c>
      <c r="D2551" s="1" t="s">
        <v>57</v>
      </c>
      <c r="E2551" s="6">
        <v>226.91</v>
      </c>
      <c r="F2551" s="1" t="s">
        <v>53</v>
      </c>
      <c r="G2551" s="6">
        <f ca="1">IFERROR(__xludf.DUMMYFUNCTION("iferror(GOOGLEFINANCE(TRIM(F2551)&amp;"":"" &amp; TRIM(B2551), ""price""),0
)"),0)</f>
        <v>0</v>
      </c>
      <c r="H2551" s="6">
        <v>152.19999999999999</v>
      </c>
      <c r="I2551" s="6">
        <f t="shared" ca="1" si="0"/>
        <v>152.19999999999999</v>
      </c>
      <c r="J2551" s="6">
        <f ca="1">IFERROR(__xludf.DUMMYFUNCTION("IFERROR(GOOGLEFINANCE(B2551, ""volume""), 0)"),0)</f>
        <v>0</v>
      </c>
      <c r="K2551" s="6">
        <v>1.47</v>
      </c>
      <c r="L2551" s="6">
        <f ca="1">IFERROR(__xludf.DUMMYFUNCTION("IFERROR(GOOGLEFINANCE(B2551,""changepct""),K2551)"),1.47)</f>
        <v>1.47</v>
      </c>
      <c r="M2551" s="6">
        <f ca="1">IFERROR(__xludf.DUMMYFUNCTION("IFERROR(GOOGLEFINANCE(B2551,""change""),0)"),0)</f>
        <v>0</v>
      </c>
      <c r="N2551" s="6">
        <v>2</v>
      </c>
      <c r="O2551" s="7">
        <v>45536</v>
      </c>
      <c r="P2551" s="6">
        <v>50.37</v>
      </c>
      <c r="Q2551" s="6">
        <v>277.29000000000002</v>
      </c>
      <c r="R2551" s="7">
        <v>45352</v>
      </c>
      <c r="S2551" s="6">
        <v>43.4</v>
      </c>
      <c r="T2551" s="6">
        <v>-3.31</v>
      </c>
      <c r="U2551" s="7">
        <v>45352</v>
      </c>
      <c r="V2551" s="6">
        <v>0</v>
      </c>
      <c r="W2551" s="6">
        <f ca="1">IFERROR(__xludf.DUMMYFUNCTION("IFERROR(GOOGLEFINANCE(B2551,""pe""),V2551)"),0)</f>
        <v>0</v>
      </c>
      <c r="X2551" s="6">
        <v>0</v>
      </c>
      <c r="Y2551" s="6">
        <v>4.6500000000000004</v>
      </c>
      <c r="Z2551" s="6">
        <v>2</v>
      </c>
      <c r="AA2551" s="8">
        <v>45352</v>
      </c>
      <c r="AB2551" s="4">
        <v>1.18</v>
      </c>
      <c r="AC2551" s="6">
        <v>-8.1300000000000008</v>
      </c>
      <c r="AD2551" s="6">
        <v>4.71</v>
      </c>
      <c r="AE2551" s="1">
        <v>0</v>
      </c>
      <c r="AF2551" s="1">
        <f ca="1">IFERROR(__xludf.DUMMYFUNCTION("IFERROR(GOOGLEFINANCE(TRIM(F2551)&amp;"":"" &amp; TRIM(B2551),""high52""),AE2551)"),0)</f>
        <v>0</v>
      </c>
      <c r="AG2551" s="1">
        <v>0</v>
      </c>
      <c r="AH2551" s="1">
        <f ca="1">IFERROR(__xludf.DUMMYFUNCTION("IFERROR(GOOGLEFINANCE(TRIM(F2551)&amp;"":"" &amp; TRIM(B2551),""low52""),AE2551)"),0)</f>
        <v>0</v>
      </c>
      <c r="AI2551" s="1">
        <f ca="1">IFERROR(__xludf.DUMMYFUNCTION("IFERROR(GOOGLEFINANCE(B2551,""eps""),0)"),0)</f>
        <v>0</v>
      </c>
      <c r="AJ2551" s="1"/>
      <c r="AK2551" s="1" t="s">
        <v>7936</v>
      </c>
      <c r="AL2551" s="9">
        <f t="shared" si="258"/>
        <v>1</v>
      </c>
    </row>
    <row r="2552" spans="1:38" ht="15" x14ac:dyDescent="0.25">
      <c r="A2552" s="1" t="s">
        <v>7937</v>
      </c>
      <c r="B2552" s="1" t="s">
        <v>7938</v>
      </c>
      <c r="C2552" s="1" t="s">
        <v>57</v>
      </c>
      <c r="D2552" s="1" t="s">
        <v>57</v>
      </c>
      <c r="E2552" s="6">
        <v>13.01</v>
      </c>
      <c r="F2552" s="1" t="s">
        <v>53</v>
      </c>
      <c r="G2552" s="6">
        <f ca="1">IFERROR(__xludf.DUMMYFUNCTION("iferror(GOOGLEFINANCE(TRIM(F2552)&amp;"":"" &amp; TRIM(B2552), ""price""),0
)"),0)</f>
        <v>0</v>
      </c>
      <c r="H2552" s="6">
        <v>84.3</v>
      </c>
      <c r="I2552" s="6">
        <f t="shared" ca="1" si="0"/>
        <v>84.3</v>
      </c>
      <c r="J2552" s="6">
        <f ca="1">IFERROR(__xludf.DUMMYFUNCTION("IFERROR(GOOGLEFINANCE(B2552, ""volume""), 0)"),0)</f>
        <v>0</v>
      </c>
      <c r="K2552" s="6">
        <v>-9.26</v>
      </c>
      <c r="L2552" s="6">
        <f ca="1">IFERROR(__xludf.DUMMYFUNCTION("IFERROR(GOOGLEFINANCE(B2552,""changepct""),K2552)"),-9.26)</f>
        <v>-9.26</v>
      </c>
      <c r="M2552" s="6">
        <f ca="1">IFERROR(__xludf.DUMMYFUNCTION("IFERROR(GOOGLEFINANCE(B2552,""change""),0)"),0)</f>
        <v>0</v>
      </c>
      <c r="N2552" s="6">
        <v>1</v>
      </c>
      <c r="O2552" s="7">
        <v>45536</v>
      </c>
      <c r="P2552" s="6">
        <v>3.67</v>
      </c>
      <c r="Q2552" s="6">
        <v>16.68</v>
      </c>
      <c r="R2552" s="7">
        <v>45352</v>
      </c>
      <c r="S2552" s="6">
        <v>2.72</v>
      </c>
      <c r="T2552" s="6">
        <v>0.01</v>
      </c>
      <c r="U2552" s="7">
        <v>45352</v>
      </c>
      <c r="V2552" s="6">
        <v>0</v>
      </c>
      <c r="W2552" s="6">
        <f ca="1">IFERROR(__xludf.DUMMYFUNCTION("IFERROR(GOOGLEFINANCE(B2552,""pe""),V2552)"),0)</f>
        <v>0</v>
      </c>
      <c r="X2552" s="9"/>
      <c r="Y2552" s="6">
        <v>2.59</v>
      </c>
      <c r="Z2552" s="6">
        <v>2</v>
      </c>
      <c r="AA2552" s="8">
        <v>45352</v>
      </c>
      <c r="AB2552" s="4">
        <v>0</v>
      </c>
      <c r="AC2552" s="6">
        <v>0.01</v>
      </c>
      <c r="AD2552" s="6">
        <v>1.5</v>
      </c>
      <c r="AE2552" s="1">
        <v>0</v>
      </c>
      <c r="AF2552" s="1">
        <f ca="1">IFERROR(__xludf.DUMMYFUNCTION("IFERROR(GOOGLEFINANCE(TRIM(F2552)&amp;"":"" &amp; TRIM(B2552),""high52""),AE2552)"),0)</f>
        <v>0</v>
      </c>
      <c r="AG2552" s="1">
        <v>0</v>
      </c>
      <c r="AH2552" s="1">
        <f ca="1">IFERROR(__xludf.DUMMYFUNCTION("IFERROR(GOOGLEFINANCE(TRIM(F2552)&amp;"":"" &amp; TRIM(B2552),""low52""),AE2552)"),0)</f>
        <v>0</v>
      </c>
      <c r="AI2552" s="1">
        <f ca="1">IFERROR(__xludf.DUMMYFUNCTION("IFERROR(GOOGLEFINANCE(B2552,""eps""),0)"),0)</f>
        <v>0</v>
      </c>
      <c r="AJ2552" s="1"/>
      <c r="AK2552" s="1" t="s">
        <v>7939</v>
      </c>
      <c r="AL2552" s="9">
        <f t="shared" si="258"/>
        <v>1</v>
      </c>
    </row>
    <row r="2553" spans="1:38" ht="15" x14ac:dyDescent="0.25">
      <c r="A2553" s="1" t="s">
        <v>7940</v>
      </c>
      <c r="B2553" s="1" t="s">
        <v>7941</v>
      </c>
      <c r="C2553" s="1" t="s">
        <v>4934</v>
      </c>
      <c r="D2553" s="1" t="s">
        <v>4934</v>
      </c>
      <c r="E2553" s="6">
        <v>710.66</v>
      </c>
      <c r="F2553" s="1" t="s">
        <v>40</v>
      </c>
      <c r="G2553" s="6">
        <f ca="1">IFERROR(__xludf.DUMMYFUNCTION("iferror(GOOGLEFINANCE(TRIM(F2553)&amp;"":"" &amp; TRIM(B2553), ""price""),0
)"),0)</f>
        <v>0</v>
      </c>
      <c r="H2553" s="6">
        <v>289</v>
      </c>
      <c r="I2553" s="6">
        <f t="shared" ca="1" si="0"/>
        <v>289</v>
      </c>
      <c r="J2553" s="6">
        <f ca="1">IFERROR(__xludf.DUMMYFUNCTION("IFERROR(GOOGLEFINANCE(B2553, ""volume""), 0)"),1730)</f>
        <v>1730</v>
      </c>
      <c r="K2553" s="6">
        <v>1.4</v>
      </c>
      <c r="L2553" s="6">
        <f ca="1">IFERROR(__xludf.DUMMYFUNCTION("IFERROR(GOOGLEFINANCE(B2553,""changepct""),K2553)"),-1.93)</f>
        <v>-1.93</v>
      </c>
      <c r="M2553" s="6">
        <f ca="1">IFERROR(__xludf.DUMMYFUNCTION("IFERROR(GOOGLEFINANCE(B2553,""change""),0)"),-0.54)</f>
        <v>-0.54</v>
      </c>
      <c r="N2553" s="6">
        <v>1</v>
      </c>
      <c r="O2553" s="7">
        <v>45536</v>
      </c>
      <c r="P2553" s="6">
        <v>1.65</v>
      </c>
      <c r="Q2553" s="6">
        <v>712.32</v>
      </c>
      <c r="R2553" s="7">
        <v>45352</v>
      </c>
      <c r="S2553" s="6">
        <v>174.56</v>
      </c>
      <c r="T2553" s="6">
        <v>10.48</v>
      </c>
      <c r="U2553" s="7">
        <v>45352</v>
      </c>
      <c r="V2553" s="6">
        <v>67.8</v>
      </c>
      <c r="W2553" s="6">
        <f ca="1">IFERROR(__xludf.DUMMYFUNCTION("IFERROR(GOOGLEFINANCE(B2553,""pe""),V2553)"),7.13)</f>
        <v>7.13</v>
      </c>
      <c r="X2553" s="14"/>
      <c r="Y2553" s="6">
        <v>9.58</v>
      </c>
      <c r="Z2553" s="6">
        <v>2</v>
      </c>
      <c r="AA2553" s="8">
        <v>45352</v>
      </c>
      <c r="AB2553" s="4">
        <v>0.06</v>
      </c>
      <c r="AC2553" s="6">
        <v>23.93</v>
      </c>
      <c r="AD2553" s="6">
        <v>27.31</v>
      </c>
      <c r="AE2553" s="1">
        <v>0</v>
      </c>
      <c r="AF2553" s="1">
        <f ca="1">IFERROR(__xludf.DUMMYFUNCTION("IFERROR(GOOGLEFINANCE(TRIM(F2553)&amp;"":"" &amp; TRIM(B2553),""high52""),AE2553)"),0)</f>
        <v>0</v>
      </c>
      <c r="AG2553" s="1">
        <v>0</v>
      </c>
      <c r="AH2553" s="1">
        <f ca="1">IFERROR(__xludf.DUMMYFUNCTION("IFERROR(GOOGLEFINANCE(TRIM(F2553)&amp;"":"" &amp; TRIM(B2553),""low52""),AE2553)"),0)</f>
        <v>0</v>
      </c>
      <c r="AI2553" s="1">
        <f ca="1">IFERROR(__xludf.DUMMYFUNCTION("IFERROR(GOOGLEFINANCE(B2553,""eps""),0)"),3.86)</f>
        <v>3.86</v>
      </c>
      <c r="AJ2553" s="1"/>
      <c r="AK2553" s="1" t="s">
        <v>7942</v>
      </c>
      <c r="AL2553" s="9">
        <f t="shared" si="258"/>
        <v>1</v>
      </c>
    </row>
    <row r="2554" spans="1:38" ht="15" x14ac:dyDescent="0.25">
      <c r="A2554" s="1" t="s">
        <v>7943</v>
      </c>
      <c r="B2554" s="1" t="s">
        <v>7944</v>
      </c>
      <c r="C2554" s="1" t="s">
        <v>57</v>
      </c>
      <c r="D2554" s="1" t="s">
        <v>57</v>
      </c>
      <c r="E2554" s="6">
        <v>17.25</v>
      </c>
      <c r="F2554" s="1" t="s">
        <v>53</v>
      </c>
      <c r="G2554" s="6">
        <f ca="1">IFERROR(__xludf.DUMMYFUNCTION("iferror(GOOGLEFINANCE(TRIM(F2554)&amp;"":"" &amp; TRIM(B2554), ""price""),0
)"),0)</f>
        <v>0</v>
      </c>
      <c r="H2554" s="6">
        <v>10.45</v>
      </c>
      <c r="I2554" s="6">
        <f t="shared" ca="1" si="0"/>
        <v>10.45</v>
      </c>
      <c r="J2554" s="6">
        <f ca="1">IFERROR(__xludf.DUMMYFUNCTION("IFERROR(GOOGLEFINANCE(B2554, ""volume""), 0)"),0)</f>
        <v>0</v>
      </c>
      <c r="K2554" s="6">
        <v>-3.95</v>
      </c>
      <c r="L2554" s="6">
        <f ca="1">IFERROR(__xludf.DUMMYFUNCTION("IFERROR(GOOGLEFINANCE(B2554,""changepct""),K2554)"),-3.95)</f>
        <v>-3.95</v>
      </c>
      <c r="M2554" s="6">
        <f ca="1">IFERROR(__xludf.DUMMYFUNCTION("IFERROR(GOOGLEFINANCE(B2554,""change""),0)"),0)</f>
        <v>0</v>
      </c>
      <c r="N2554" s="6">
        <v>1</v>
      </c>
      <c r="O2554" s="7">
        <v>45536</v>
      </c>
      <c r="P2554" s="6">
        <v>3.62</v>
      </c>
      <c r="Q2554" s="6">
        <v>17.329999999999998</v>
      </c>
      <c r="R2554" s="7">
        <v>45352</v>
      </c>
      <c r="S2554" s="6">
        <v>3.95</v>
      </c>
      <c r="T2554" s="6">
        <v>1.21</v>
      </c>
      <c r="U2554" s="7">
        <v>45352</v>
      </c>
      <c r="V2554" s="6">
        <v>14.3</v>
      </c>
      <c r="W2554" s="6">
        <f ca="1">IFERROR(__xludf.DUMMYFUNCTION("IFERROR(GOOGLEFINANCE(B2554,""pe""),V2554)"),14.3)</f>
        <v>14.3</v>
      </c>
      <c r="X2554" s="6">
        <v>0.18</v>
      </c>
      <c r="Y2554" s="6">
        <v>0.96</v>
      </c>
      <c r="Z2554" s="6">
        <v>1</v>
      </c>
      <c r="AA2554" s="8">
        <v>45352</v>
      </c>
      <c r="AB2554" s="4">
        <v>0.01</v>
      </c>
      <c r="AC2554" s="6">
        <v>10.57</v>
      </c>
      <c r="AD2554" s="6">
        <v>14.2</v>
      </c>
      <c r="AE2554" s="1">
        <v>0</v>
      </c>
      <c r="AF2554" s="1">
        <f ca="1">IFERROR(__xludf.DUMMYFUNCTION("IFERROR(GOOGLEFINANCE(TRIM(F2554)&amp;"":"" &amp; TRIM(B2554),""high52""),AE2554)"),0)</f>
        <v>0</v>
      </c>
      <c r="AG2554" s="1">
        <v>0</v>
      </c>
      <c r="AH2554" s="1">
        <f ca="1">IFERROR(__xludf.DUMMYFUNCTION("IFERROR(GOOGLEFINANCE(TRIM(F2554)&amp;"":"" &amp; TRIM(B2554),""low52""),AE2554)"),0)</f>
        <v>0</v>
      </c>
      <c r="AI2554" s="1">
        <f ca="1">IFERROR(__xludf.DUMMYFUNCTION("IFERROR(GOOGLEFINANCE(B2554,""eps""),0)"),0)</f>
        <v>0</v>
      </c>
      <c r="AJ2554" s="1"/>
      <c r="AK2554" s="9"/>
      <c r="AL2554" s="9">
        <f t="shared" si="258"/>
        <v>1</v>
      </c>
    </row>
    <row r="2555" spans="1:38" ht="15" x14ac:dyDescent="0.25">
      <c r="A2555" s="1" t="s">
        <v>7945</v>
      </c>
      <c r="B2555" s="1" t="s">
        <v>7946</v>
      </c>
      <c r="C2555" s="1" t="s">
        <v>219</v>
      </c>
      <c r="D2555" s="1" t="s">
        <v>219</v>
      </c>
      <c r="E2555" s="6">
        <v>26526.65</v>
      </c>
      <c r="F2555" s="1" t="s">
        <v>40</v>
      </c>
      <c r="G2555" s="6">
        <f ca="1">IFERROR(__xludf.DUMMYFUNCTION("iferror(GOOGLEFINANCE(TRIM(F2555)&amp;"":"" &amp; TRIM(B2555), ""price""),0
)"),44.01)</f>
        <v>44.01</v>
      </c>
      <c r="H2555" s="6">
        <v>59.55</v>
      </c>
      <c r="I2555" s="6">
        <f t="shared" ca="1" si="0"/>
        <v>44.01</v>
      </c>
      <c r="J2555" s="6">
        <f ca="1">IFERROR(__xludf.DUMMYFUNCTION("IFERROR(GOOGLEFINANCE(B2555, ""volume""), 0)"),6598221)</f>
        <v>6598221</v>
      </c>
      <c r="K2555" s="6">
        <v>-0.7</v>
      </c>
      <c r="L2555" s="6">
        <f ca="1">IFERROR(__xludf.DUMMYFUNCTION("IFERROR(GOOGLEFINANCE(B2555,""changepct""),K2555)"),4.07)</f>
        <v>4.07</v>
      </c>
      <c r="M2555" s="6">
        <f ca="1">IFERROR(__xludf.DUMMYFUNCTION("IFERROR(GOOGLEFINANCE(B2555,""change""),0)"),1.72)</f>
        <v>1.72</v>
      </c>
      <c r="N2555" s="6">
        <v>1</v>
      </c>
      <c r="O2555" s="7">
        <v>45536</v>
      </c>
      <c r="P2555" s="6">
        <v>9</v>
      </c>
      <c r="Q2555" s="6">
        <v>26483</v>
      </c>
      <c r="R2555" s="7">
        <v>45536</v>
      </c>
      <c r="S2555" s="6">
        <v>8860.43</v>
      </c>
      <c r="T2555" s="6">
        <v>660.25</v>
      </c>
      <c r="U2555" s="7">
        <v>45536</v>
      </c>
      <c r="V2555" s="6">
        <v>40.18</v>
      </c>
      <c r="W2555" s="6">
        <f ca="1">IFERROR(__xludf.DUMMYFUNCTION("IFERROR(GOOGLEFINANCE(B2555,""pe""),V2555)"),46.48)</f>
        <v>46.48</v>
      </c>
      <c r="X2555" s="9"/>
      <c r="Y2555" s="6">
        <v>16.399999999999999</v>
      </c>
      <c r="Z2555" s="6">
        <v>1</v>
      </c>
      <c r="AA2555" s="8">
        <v>45352</v>
      </c>
      <c r="AB2555" s="4">
        <v>0.01</v>
      </c>
      <c r="AC2555" s="6">
        <v>42.45</v>
      </c>
      <c r="AD2555" s="6">
        <v>56.35</v>
      </c>
      <c r="AE2555" s="1">
        <v>0</v>
      </c>
      <c r="AF2555" s="1">
        <f ca="1">IFERROR(__xludf.DUMMYFUNCTION("IFERROR(GOOGLEFINANCE(TRIM(F2555)&amp;"":"" &amp; TRIM(B2555),""high52""),AE2555)"),53.59)</f>
        <v>53.59</v>
      </c>
      <c r="AG2555" s="1">
        <v>0</v>
      </c>
      <c r="AH2555" s="1">
        <f ca="1">IFERROR(__xludf.DUMMYFUNCTION("IFERROR(GOOGLEFINANCE(TRIM(F2555)&amp;"":"" &amp; TRIM(B2555),""low52""),AE2555)"),30.72)</f>
        <v>30.72</v>
      </c>
      <c r="AI2555" s="1">
        <f ca="1">IFERROR(__xludf.DUMMYFUNCTION("IFERROR(GOOGLEFINANCE(B2555,""eps""),0)"),0.95)</f>
        <v>0.95</v>
      </c>
      <c r="AJ2555" s="1"/>
      <c r="AK2555" s="1" t="s">
        <v>7947</v>
      </c>
      <c r="AL2555" s="9">
        <f t="shared" si="258"/>
        <v>1</v>
      </c>
    </row>
    <row r="2556" spans="1:38" ht="15" x14ac:dyDescent="0.25">
      <c r="A2556" s="1" t="s">
        <v>7948</v>
      </c>
      <c r="B2556" s="1" t="s">
        <v>7949</v>
      </c>
      <c r="C2556" s="1" t="s">
        <v>75</v>
      </c>
      <c r="D2556" s="1" t="s">
        <v>75</v>
      </c>
      <c r="E2556" s="6">
        <v>59004.97</v>
      </c>
      <c r="F2556" s="1" t="s">
        <v>40</v>
      </c>
      <c r="G2556" s="6">
        <f ca="1">IFERROR(__xludf.DUMMYFUNCTION("iferror(GOOGLEFINANCE(TRIM(F2556)&amp;"":"" &amp; TRIM(B2556), ""price""),0
)"),748.7)</f>
        <v>748.7</v>
      </c>
      <c r="H2556" s="6">
        <v>987.55</v>
      </c>
      <c r="I2556" s="6">
        <f t="shared" ca="1" si="0"/>
        <v>748.7</v>
      </c>
      <c r="J2556" s="6">
        <f ca="1">IFERROR(__xludf.DUMMYFUNCTION("IFERROR(GOOGLEFINANCE(B2556, ""volume""), 0)"),1160648)</f>
        <v>1160648</v>
      </c>
      <c r="K2556" s="6">
        <v>0.24</v>
      </c>
      <c r="L2556" s="6">
        <f ca="1">IFERROR(__xludf.DUMMYFUNCTION("IFERROR(GOOGLEFINANCE(B2556,""changepct""),K2556)"),3.68)</f>
        <v>3.68</v>
      </c>
      <c r="M2556" s="6">
        <f ca="1">IFERROR(__xludf.DUMMYFUNCTION("IFERROR(GOOGLEFINANCE(B2556,""change""),0)"),26.55)</f>
        <v>26.55</v>
      </c>
      <c r="N2556" s="6">
        <v>2</v>
      </c>
      <c r="O2556" s="7">
        <v>45536</v>
      </c>
      <c r="P2556" s="6">
        <v>3391.47</v>
      </c>
      <c r="Q2556" s="7">
        <v>45536</v>
      </c>
      <c r="R2556" s="6">
        <v>17.43</v>
      </c>
      <c r="S2556" s="6">
        <v>0.33</v>
      </c>
      <c r="T2556" s="6">
        <v>5.33</v>
      </c>
      <c r="U2556" s="6">
        <v>2</v>
      </c>
      <c r="V2556" s="7">
        <v>45352</v>
      </c>
      <c r="W2556" s="6">
        <f ca="1">IFERROR(__xludf.DUMMYFUNCTION("IFERROR(GOOGLEFINANCE(B2556,""pe""),V2556)"),22.55)</f>
        <v>22.55</v>
      </c>
      <c r="X2556" s="6">
        <v>1.59</v>
      </c>
      <c r="Y2556" s="6">
        <v>33.07</v>
      </c>
      <c r="Z2556" s="6">
        <v>20.75</v>
      </c>
      <c r="AA2556" s="3" t="s">
        <v>7950</v>
      </c>
      <c r="AB2556" s="3"/>
      <c r="AC2556" s="9"/>
      <c r="AD2556" s="9"/>
      <c r="AE2556" s="1">
        <v>0</v>
      </c>
      <c r="AF2556" s="1">
        <f ca="1">IFERROR(__xludf.DUMMYFUNCTION("IFERROR(GOOGLEFINANCE(TRIM(F2556)&amp;"":"" &amp; TRIM(B2556),""high52""),AE2556)"),1097.1)</f>
        <v>1097.0999999999999</v>
      </c>
      <c r="AG2556" s="1">
        <v>0</v>
      </c>
      <c r="AH2556" s="1">
        <f ca="1">IFERROR(__xludf.DUMMYFUNCTION("IFERROR(GOOGLEFINANCE(TRIM(F2556)&amp;"":"" &amp; TRIM(B2556),""low52""),AE2556)"),513)</f>
        <v>513</v>
      </c>
      <c r="AI2556" s="1">
        <f ca="1">IFERROR(__xludf.DUMMYFUNCTION("IFERROR(GOOGLEFINANCE(B2556,""eps""),0)"),33.2)</f>
        <v>33.200000000000003</v>
      </c>
      <c r="AJ2556" s="1"/>
      <c r="AK2556" s="1" t="s">
        <v>7951</v>
      </c>
      <c r="AL2556" s="9">
        <f t="shared" si="258"/>
        <v>1</v>
      </c>
    </row>
    <row r="2557" spans="1:38" ht="15" x14ac:dyDescent="0.25">
      <c r="A2557" s="1" t="s">
        <v>7952</v>
      </c>
      <c r="B2557" s="1" t="s">
        <v>7953</v>
      </c>
      <c r="C2557" s="1" t="s">
        <v>2432</v>
      </c>
      <c r="D2557" s="1" t="s">
        <v>2432</v>
      </c>
      <c r="E2557" s="6">
        <v>2951.41</v>
      </c>
      <c r="F2557" s="1" t="s">
        <v>40</v>
      </c>
      <c r="G2557" s="6">
        <f ca="1">IFERROR(__xludf.DUMMYFUNCTION("iferror(GOOGLEFINANCE(TRIM(F2557)&amp;"":"" &amp; TRIM(B2557), ""price""),0
)"),11.31)</f>
        <v>11.31</v>
      </c>
      <c r="H2557" s="6">
        <v>29.72</v>
      </c>
      <c r="I2557" s="6">
        <f t="shared" ca="1" si="0"/>
        <v>11.31</v>
      </c>
      <c r="J2557" s="6">
        <f ca="1">IFERROR(__xludf.DUMMYFUNCTION("IFERROR(GOOGLEFINANCE(B2557, ""volume""), 0)"),3122241)</f>
        <v>3122241</v>
      </c>
      <c r="K2557" s="6">
        <v>-1.26</v>
      </c>
      <c r="L2557" s="6">
        <f ca="1">IFERROR(__xludf.DUMMYFUNCTION("IFERROR(GOOGLEFINANCE(B2557,""changepct""),K2557)"),-3.42)</f>
        <v>-3.42</v>
      </c>
      <c r="M2557" s="6">
        <f ca="1">IFERROR(__xludf.DUMMYFUNCTION("IFERROR(GOOGLEFINANCE(B2557,""change""),0)"),-0.4)</f>
        <v>-0.4</v>
      </c>
      <c r="N2557" s="6">
        <v>1</v>
      </c>
      <c r="O2557" s="7">
        <v>45536</v>
      </c>
      <c r="P2557" s="6">
        <v>88.05</v>
      </c>
      <c r="Q2557" s="6">
        <v>3031.13</v>
      </c>
      <c r="R2557" s="7">
        <v>45536</v>
      </c>
      <c r="S2557" s="6">
        <v>437.95</v>
      </c>
      <c r="T2557" s="6">
        <v>38.299999999999997</v>
      </c>
      <c r="U2557" s="7">
        <v>45536</v>
      </c>
      <c r="V2557" s="6">
        <v>77.06</v>
      </c>
      <c r="W2557" s="6">
        <f ca="1">IFERROR(__xludf.DUMMYFUNCTION("IFERROR(GOOGLEFINANCE(B2557,""pe""),V2557)"),19.92)</f>
        <v>19.920000000000002</v>
      </c>
      <c r="X2557" s="12"/>
      <c r="Y2557" s="6">
        <v>8.56</v>
      </c>
      <c r="Z2557" s="6">
        <v>1</v>
      </c>
      <c r="AA2557" s="8">
        <v>45352</v>
      </c>
      <c r="AB2557" s="4">
        <v>0.34</v>
      </c>
      <c r="AC2557" s="6">
        <v>13.85</v>
      </c>
      <c r="AD2557" s="6">
        <v>16.649999999999999</v>
      </c>
      <c r="AE2557" s="1">
        <v>0</v>
      </c>
      <c r="AF2557" s="1">
        <f ca="1">IFERROR(__xludf.DUMMYFUNCTION("IFERROR(GOOGLEFINANCE(TRIM(F2557)&amp;"":"" &amp; TRIM(B2557),""high52""),AE2557)"),25.5)</f>
        <v>25.5</v>
      </c>
      <c r="AG2557" s="1">
        <v>0</v>
      </c>
      <c r="AH2557" s="1">
        <f ca="1">IFERROR(__xludf.DUMMYFUNCTION("IFERROR(GOOGLEFINANCE(TRIM(F2557)&amp;"":"" &amp; TRIM(B2557),""low52""),AE2557)"),10.62)</f>
        <v>10.62</v>
      </c>
      <c r="AI2557" s="1">
        <f ca="1">IFERROR(__xludf.DUMMYFUNCTION("IFERROR(GOOGLEFINANCE(B2557,""eps""),0)"),0.57)</f>
        <v>0.56999999999999995</v>
      </c>
      <c r="AJ2557" s="1"/>
      <c r="AK2557" s="1" t="s">
        <v>7954</v>
      </c>
      <c r="AL2557" s="9">
        <f t="shared" si="258"/>
        <v>1</v>
      </c>
    </row>
    <row r="2558" spans="1:38" ht="15" x14ac:dyDescent="0.25">
      <c r="A2558" s="1" t="s">
        <v>7955</v>
      </c>
      <c r="B2558" s="1" t="s">
        <v>7956</v>
      </c>
      <c r="C2558" s="1" t="s">
        <v>321</v>
      </c>
      <c r="D2558" s="1" t="s">
        <v>321</v>
      </c>
      <c r="E2558" s="6">
        <v>35.270000000000003</v>
      </c>
      <c r="F2558" s="1" t="s">
        <v>40</v>
      </c>
      <c r="G2558" s="6">
        <f ca="1">IFERROR(__xludf.DUMMYFUNCTION("iferror(GOOGLEFINANCE(TRIM(F2558)&amp;"":"" &amp; TRIM(B2558), ""price""),0
)"),0)</f>
        <v>0</v>
      </c>
      <c r="H2558" s="6">
        <v>39.35</v>
      </c>
      <c r="I2558" s="6">
        <f t="shared" ca="1" si="0"/>
        <v>39.35</v>
      </c>
      <c r="J2558" s="6">
        <f ca="1">IFERROR(__xludf.DUMMYFUNCTION("IFERROR(GOOGLEFINANCE(B2558, ""volume""), 0)"),0)</f>
        <v>0</v>
      </c>
      <c r="K2558" s="9"/>
      <c r="L2558" s="6" t="str">
        <f ca="1">IFERROR(__xludf.DUMMYFUNCTION("IFERROR(GOOGLEFINANCE(B2558,""changepct""),K2558)"),"")</f>
        <v/>
      </c>
      <c r="M2558" s="6">
        <f ca="1">IFERROR(__xludf.DUMMYFUNCTION("IFERROR(GOOGLEFINANCE(B2558,""change""),0)"),0)</f>
        <v>0</v>
      </c>
      <c r="N2558" s="6">
        <v>1</v>
      </c>
      <c r="O2558" s="7">
        <v>45536</v>
      </c>
      <c r="P2558" s="6">
        <v>4.47</v>
      </c>
      <c r="Q2558" s="6">
        <v>39.74</v>
      </c>
      <c r="R2558" s="7">
        <v>45352</v>
      </c>
      <c r="S2558" s="6">
        <v>10.64</v>
      </c>
      <c r="T2558" s="6">
        <v>-2.25</v>
      </c>
      <c r="U2558" s="7">
        <v>45352</v>
      </c>
      <c r="V2558" s="6">
        <v>0</v>
      </c>
      <c r="W2558" s="6">
        <f ca="1">IFERROR(__xludf.DUMMYFUNCTION("IFERROR(GOOGLEFINANCE(B2558,""pe""),V2558)"),0)</f>
        <v>0</v>
      </c>
      <c r="X2558" s="12"/>
      <c r="Y2558" s="6">
        <v>2.09</v>
      </c>
      <c r="Z2558" s="6">
        <v>2</v>
      </c>
      <c r="AA2558" s="8">
        <v>45352</v>
      </c>
      <c r="AB2558" s="4">
        <v>0.33</v>
      </c>
      <c r="AC2558" s="6">
        <v>-20.74</v>
      </c>
      <c r="AD2558" s="6">
        <v>-18.73</v>
      </c>
      <c r="AE2558" s="1">
        <v>0</v>
      </c>
      <c r="AF2558" s="1">
        <f ca="1">IFERROR(__xludf.DUMMYFUNCTION("IFERROR(GOOGLEFINANCE(TRIM(F2558)&amp;"":"" &amp; TRIM(B2558),""high52""),AE2558)"),0)</f>
        <v>0</v>
      </c>
      <c r="AG2558" s="1">
        <v>0</v>
      </c>
      <c r="AH2558" s="1">
        <f ca="1">IFERROR(__xludf.DUMMYFUNCTION("IFERROR(GOOGLEFINANCE(TRIM(F2558)&amp;"":"" &amp; TRIM(B2558),""low52""),AE2558)"),0)</f>
        <v>0</v>
      </c>
      <c r="AI2558" s="1">
        <f ca="1">IFERROR(__xludf.DUMMYFUNCTION("IFERROR(GOOGLEFINANCE(B2558,""eps""),0)"),0)</f>
        <v>0</v>
      </c>
      <c r="AJ2558" s="1"/>
      <c r="AK2558" s="1" t="s">
        <v>7957</v>
      </c>
      <c r="AL2558" s="9">
        <f t="shared" si="258"/>
        <v>1</v>
      </c>
    </row>
    <row r="2559" spans="1:38" ht="15" x14ac:dyDescent="0.25">
      <c r="A2559" s="1" t="s">
        <v>7958</v>
      </c>
      <c r="B2559" s="1" t="s">
        <v>7959</v>
      </c>
      <c r="C2559" s="1" t="s">
        <v>57</v>
      </c>
      <c r="D2559" s="1" t="s">
        <v>57</v>
      </c>
      <c r="E2559" s="6">
        <v>6.47</v>
      </c>
      <c r="F2559" s="1" t="s">
        <v>53</v>
      </c>
      <c r="G2559" s="6">
        <f ca="1">IFERROR(__xludf.DUMMYFUNCTION("iferror(GOOGLEFINANCE(TRIM(F2559)&amp;"":"" &amp; TRIM(B2559), ""price""),0
)"),0)</f>
        <v>0</v>
      </c>
      <c r="H2559" s="6">
        <v>6.45</v>
      </c>
      <c r="I2559" s="6">
        <f t="shared" ca="1" si="0"/>
        <v>6.45</v>
      </c>
      <c r="J2559" s="6">
        <f ca="1">IFERROR(__xludf.DUMMYFUNCTION("IFERROR(GOOGLEFINANCE(B2559, ""volume""), 0)"),0)</f>
        <v>0</v>
      </c>
      <c r="K2559" s="6">
        <v>3.7</v>
      </c>
      <c r="L2559" s="6">
        <f ca="1">IFERROR(__xludf.DUMMYFUNCTION("IFERROR(GOOGLEFINANCE(B2559,""changepct""),K2559)"),3.7)</f>
        <v>3.7</v>
      </c>
      <c r="M2559" s="6">
        <f ca="1">IFERROR(__xludf.DUMMYFUNCTION("IFERROR(GOOGLEFINANCE(B2559,""change""),0)"),0)</f>
        <v>0</v>
      </c>
      <c r="N2559" s="6">
        <v>2</v>
      </c>
      <c r="O2559" s="7">
        <v>45536</v>
      </c>
      <c r="P2559" s="6">
        <v>2.0099999999999998</v>
      </c>
      <c r="Q2559" s="6">
        <v>8.49</v>
      </c>
      <c r="R2559" s="7">
        <v>45352</v>
      </c>
      <c r="S2559" s="6">
        <v>3.21</v>
      </c>
      <c r="T2559" s="6">
        <v>-3.76</v>
      </c>
      <c r="U2559" s="7">
        <v>45352</v>
      </c>
      <c r="V2559" s="6">
        <v>0</v>
      </c>
      <c r="W2559" s="6">
        <f ca="1">IFERROR(__xludf.DUMMYFUNCTION("IFERROR(GOOGLEFINANCE(B2559,""pe""),V2559)"),0)</f>
        <v>0</v>
      </c>
      <c r="X2559" s="12"/>
      <c r="Y2559" s="6">
        <v>0.69</v>
      </c>
      <c r="Z2559" s="6">
        <v>2</v>
      </c>
      <c r="AA2559" s="8">
        <v>45352</v>
      </c>
      <c r="AB2559" s="4">
        <v>0.19</v>
      </c>
      <c r="AC2559" s="6">
        <v>-32.79</v>
      </c>
      <c r="AD2559" s="6">
        <v>-26.77</v>
      </c>
      <c r="AE2559" s="1">
        <v>0</v>
      </c>
      <c r="AF2559" s="1">
        <f ca="1">IFERROR(__xludf.DUMMYFUNCTION("IFERROR(GOOGLEFINANCE(TRIM(F2559)&amp;"":"" &amp; TRIM(B2559),""high52""),AE2559)"),0)</f>
        <v>0</v>
      </c>
      <c r="AG2559" s="1">
        <v>0</v>
      </c>
      <c r="AH2559" s="1">
        <f ca="1">IFERROR(__xludf.DUMMYFUNCTION("IFERROR(GOOGLEFINANCE(TRIM(F2559)&amp;"":"" &amp; TRIM(B2559),""low52""),AE2559)"),0)</f>
        <v>0</v>
      </c>
      <c r="AI2559" s="1">
        <f ca="1">IFERROR(__xludf.DUMMYFUNCTION("IFERROR(GOOGLEFINANCE(B2559,""eps""),0)"),0)</f>
        <v>0</v>
      </c>
      <c r="AJ2559" s="1"/>
      <c r="AK2559" s="1" t="s">
        <v>7960</v>
      </c>
      <c r="AL2559" s="9">
        <f t="shared" si="258"/>
        <v>1</v>
      </c>
    </row>
    <row r="2560" spans="1:38" ht="15" x14ac:dyDescent="0.25">
      <c r="A2560" s="1" t="s">
        <v>7961</v>
      </c>
      <c r="B2560" s="1" t="s">
        <v>7962</v>
      </c>
      <c r="C2560" s="1" t="s">
        <v>57</v>
      </c>
      <c r="D2560" s="1" t="s">
        <v>57</v>
      </c>
      <c r="E2560" s="6">
        <v>54914.28</v>
      </c>
      <c r="F2560" s="1" t="s">
        <v>40</v>
      </c>
      <c r="G2560" s="6">
        <f ca="1">IFERROR(__xludf.DUMMYFUNCTION("iferror(GOOGLEFINANCE(TRIM(F2560)&amp;"":"" &amp; TRIM(B2560), ""price""),0
)"),2766)</f>
        <v>2766</v>
      </c>
      <c r="H2560" s="6">
        <v>2852.15</v>
      </c>
      <c r="I2560" s="6">
        <f t="shared" ca="1" si="0"/>
        <v>2766</v>
      </c>
      <c r="J2560" s="6">
        <f ca="1">IFERROR(__xludf.DUMMYFUNCTION("IFERROR(GOOGLEFINANCE(B2560, ""volume""), 0)"),265952)</f>
        <v>265952</v>
      </c>
      <c r="K2560" s="6">
        <v>-1.61</v>
      </c>
      <c r="L2560" s="6">
        <f ca="1">IFERROR(__xludf.DUMMYFUNCTION("IFERROR(GOOGLEFINANCE(B2560,""changepct""),K2560)"),-0.14)</f>
        <v>-0.14000000000000001</v>
      </c>
      <c r="M2560" s="6">
        <f ca="1">IFERROR(__xludf.DUMMYFUNCTION("IFERROR(GOOGLEFINANCE(B2560,""change""),0)"),-3.9)</f>
        <v>-3.9</v>
      </c>
      <c r="N2560" s="6">
        <v>2</v>
      </c>
      <c r="O2560" s="7">
        <v>45536</v>
      </c>
      <c r="P2560" s="6">
        <v>980.38</v>
      </c>
      <c r="Q2560" s="6">
        <v>54845.97</v>
      </c>
      <c r="R2560" s="7">
        <v>45536</v>
      </c>
      <c r="S2560" s="6">
        <v>13708.61</v>
      </c>
      <c r="T2560" s="6">
        <v>1594.66</v>
      </c>
      <c r="U2560" s="7">
        <v>45536</v>
      </c>
      <c r="V2560" s="6">
        <v>34.44</v>
      </c>
      <c r="W2560" s="6">
        <f ca="1">IFERROR(__xludf.DUMMYFUNCTION("IFERROR(GOOGLEFINANCE(B2560,""pe""),V2560)"),29.33)</f>
        <v>29.33</v>
      </c>
      <c r="X2560" s="6">
        <v>4.4800000000000004</v>
      </c>
      <c r="Y2560" s="6">
        <v>6.33</v>
      </c>
      <c r="Z2560" s="6">
        <v>2</v>
      </c>
      <c r="AA2560" s="8">
        <v>45352</v>
      </c>
      <c r="AB2560" s="4">
        <v>0.18</v>
      </c>
      <c r="AC2560" s="6">
        <v>19.11</v>
      </c>
      <c r="AD2560" s="6">
        <v>24.14</v>
      </c>
      <c r="AE2560" s="1">
        <v>0</v>
      </c>
      <c r="AF2560" s="1">
        <f ca="1">IFERROR(__xludf.DUMMYFUNCTION("IFERROR(GOOGLEFINANCE(TRIM(F2560)&amp;"":"" &amp; TRIM(B2560),""high52""),AE2560)"),3037.2)</f>
        <v>3037.2</v>
      </c>
      <c r="AG2560" s="1">
        <v>0</v>
      </c>
      <c r="AH2560" s="1">
        <f ca="1">IFERROR(__xludf.DUMMYFUNCTION("IFERROR(GOOGLEFINANCE(TRIM(F2560)&amp;"":"" &amp; TRIM(B2560),""low52""),AE2560)"),2044.55)</f>
        <v>2044.55</v>
      </c>
      <c r="AI2560" s="1">
        <f ca="1">IFERROR(__xludf.DUMMYFUNCTION("IFERROR(GOOGLEFINANCE(B2560,""eps""),0)"),94.29)</f>
        <v>94.29</v>
      </c>
      <c r="AJ2560" s="1"/>
      <c r="AK2560" s="1" t="s">
        <v>7963</v>
      </c>
      <c r="AL2560" s="9">
        <f t="shared" si="258"/>
        <v>1</v>
      </c>
    </row>
    <row r="2561" spans="1:38" ht="15" x14ac:dyDescent="0.25">
      <c r="A2561" s="1" t="s">
        <v>7964</v>
      </c>
      <c r="B2561" s="1" t="s">
        <v>7965</v>
      </c>
      <c r="C2561" s="1" t="s">
        <v>57</v>
      </c>
      <c r="D2561" s="1" t="s">
        <v>57</v>
      </c>
      <c r="E2561" s="6">
        <v>128.33000000000001</v>
      </c>
      <c r="F2561" s="1" t="s">
        <v>40</v>
      </c>
      <c r="G2561" s="6">
        <f ca="1">IFERROR(__xludf.DUMMYFUNCTION("iferror(GOOGLEFINANCE(TRIM(F2561)&amp;"":"" &amp; TRIM(B2561), ""price""),0
)"),0)</f>
        <v>0</v>
      </c>
      <c r="H2561" s="6">
        <v>0.33</v>
      </c>
      <c r="I2561" s="6">
        <f t="shared" ca="1" si="0"/>
        <v>0.33</v>
      </c>
      <c r="J2561" s="6">
        <f ca="1">IFERROR(__xludf.DUMMYFUNCTION("IFERROR(GOOGLEFINANCE(B2561, ""volume""), 0)"),0)</f>
        <v>0</v>
      </c>
      <c r="K2561" s="9"/>
      <c r="L2561" s="6" t="str">
        <f ca="1">IFERROR(__xludf.DUMMYFUNCTION("IFERROR(GOOGLEFINANCE(B2561,""changepct""),K2561)"),"")</f>
        <v/>
      </c>
      <c r="M2561" s="6">
        <f ca="1">IFERROR(__xludf.DUMMYFUNCTION("IFERROR(GOOGLEFINANCE(B2561,""change""),0)"),0)</f>
        <v>0</v>
      </c>
      <c r="N2561" s="6">
        <v>2</v>
      </c>
      <c r="O2561" s="7">
        <v>45536</v>
      </c>
      <c r="P2561" s="6">
        <v>31.24</v>
      </c>
      <c r="Q2561" s="6">
        <v>124.62</v>
      </c>
      <c r="R2561" s="7">
        <v>45536</v>
      </c>
      <c r="S2561" s="6">
        <v>0.48</v>
      </c>
      <c r="T2561" s="6">
        <v>-3.53</v>
      </c>
      <c r="U2561" s="7">
        <v>45536</v>
      </c>
      <c r="V2561" s="6">
        <v>0</v>
      </c>
      <c r="W2561" s="6">
        <f ca="1">IFERROR(__xludf.DUMMYFUNCTION("IFERROR(GOOGLEFINANCE(B2561,""pe""),V2561)"),0)</f>
        <v>0</v>
      </c>
      <c r="X2561" s="6">
        <v>0</v>
      </c>
      <c r="Y2561" s="6">
        <v>0.3</v>
      </c>
      <c r="Z2561" s="6">
        <v>1</v>
      </c>
      <c r="AA2561" s="8">
        <v>44621</v>
      </c>
      <c r="AB2561" s="4">
        <v>0.05</v>
      </c>
      <c r="AC2561" s="6">
        <v>-0.95</v>
      </c>
      <c r="AD2561" s="6">
        <v>-0.94</v>
      </c>
      <c r="AE2561" s="1">
        <v>0</v>
      </c>
      <c r="AF2561" s="1">
        <f ca="1">IFERROR(__xludf.DUMMYFUNCTION("IFERROR(GOOGLEFINANCE(TRIM(F2561)&amp;"":"" &amp; TRIM(B2561),""high52""),AE2561)"),0)</f>
        <v>0</v>
      </c>
      <c r="AG2561" s="1">
        <v>0</v>
      </c>
      <c r="AH2561" s="1">
        <f ca="1">IFERROR(__xludf.DUMMYFUNCTION("IFERROR(GOOGLEFINANCE(TRIM(F2561)&amp;"":"" &amp; TRIM(B2561),""low52""),AE2561)"),0)</f>
        <v>0</v>
      </c>
      <c r="AI2561" s="1">
        <f ca="1">IFERROR(__xludf.DUMMYFUNCTION("IFERROR(GOOGLEFINANCE(B2561,""eps""),0)"),0)</f>
        <v>0</v>
      </c>
      <c r="AJ2561" s="1"/>
      <c r="AK2561" s="1" t="s">
        <v>7966</v>
      </c>
      <c r="AL2561" s="9">
        <f t="shared" si="258"/>
        <v>1</v>
      </c>
    </row>
    <row r="2562" spans="1:38" ht="15" x14ac:dyDescent="0.25">
      <c r="A2562" s="1" t="s">
        <v>7967</v>
      </c>
      <c r="B2562" s="1" t="s">
        <v>7968</v>
      </c>
      <c r="C2562" s="1" t="s">
        <v>778</v>
      </c>
      <c r="D2562" s="1" t="s">
        <v>778</v>
      </c>
      <c r="E2562" s="6">
        <v>3565.02</v>
      </c>
      <c r="F2562" s="1" t="s">
        <v>40</v>
      </c>
      <c r="G2562" s="6">
        <f ca="1">IFERROR(__xludf.DUMMYFUNCTION("iferror(GOOGLEFINANCE(TRIM(F2562)&amp;"":"" &amp; TRIM(B2562), ""price""),0
)"),1882.5)</f>
        <v>1882.5</v>
      </c>
      <c r="H2562" s="6">
        <v>2091.3000000000002</v>
      </c>
      <c r="I2562" s="6">
        <f t="shared" ca="1" si="0"/>
        <v>1882.5</v>
      </c>
      <c r="J2562" s="6">
        <f ca="1">IFERROR(__xludf.DUMMYFUNCTION("IFERROR(GOOGLEFINANCE(B2562, ""volume""), 0)"),12479)</f>
        <v>12479</v>
      </c>
      <c r="K2562" s="6">
        <v>1.1399999999999999</v>
      </c>
      <c r="L2562" s="6">
        <f ca="1">IFERROR(__xludf.DUMMYFUNCTION("IFERROR(GOOGLEFINANCE(B2562,""changepct""),K2562)"),-2.94)</f>
        <v>-2.94</v>
      </c>
      <c r="M2562" s="6">
        <f ca="1">IFERROR(__xludf.DUMMYFUNCTION("IFERROR(GOOGLEFINANCE(B2562,""change""),0)"),-57)</f>
        <v>-57</v>
      </c>
      <c r="N2562" s="6">
        <v>2</v>
      </c>
      <c r="O2562" s="7">
        <v>45536</v>
      </c>
      <c r="P2562" s="9"/>
      <c r="Q2562" s="6">
        <v>3473.31</v>
      </c>
      <c r="R2562" s="7">
        <v>45536</v>
      </c>
      <c r="S2562" s="6">
        <v>641.65</v>
      </c>
      <c r="T2562" s="6">
        <v>119.57</v>
      </c>
      <c r="U2562" s="7">
        <v>45536</v>
      </c>
      <c r="V2562" s="6">
        <v>29.82</v>
      </c>
      <c r="W2562" s="6">
        <f ca="1">IFERROR(__xludf.DUMMYFUNCTION("IFERROR(GOOGLEFINANCE(B2562,""pe""),V2562)"),17.91)</f>
        <v>17.91</v>
      </c>
      <c r="X2562" s="6">
        <v>3.2</v>
      </c>
      <c r="Y2562" s="6">
        <v>8</v>
      </c>
      <c r="Z2562" s="6">
        <v>2</v>
      </c>
      <c r="AA2562" s="8">
        <v>45352</v>
      </c>
      <c r="AB2562" s="4">
        <v>0</v>
      </c>
      <c r="AC2562" s="6">
        <v>26.79</v>
      </c>
      <c r="AD2562" s="6">
        <v>36.56</v>
      </c>
      <c r="AE2562" s="1">
        <v>0</v>
      </c>
      <c r="AF2562" s="1">
        <f ca="1">IFERROR(__xludf.DUMMYFUNCTION("IFERROR(GOOGLEFINANCE(TRIM(F2562)&amp;"":"" &amp; TRIM(B2562),""high52""),AE2562)"),3079)</f>
        <v>3079</v>
      </c>
      <c r="AG2562" s="1">
        <v>0</v>
      </c>
      <c r="AH2562" s="1">
        <f ca="1">IFERROR(__xludf.DUMMYFUNCTION("IFERROR(GOOGLEFINANCE(TRIM(F2562)&amp;"":"" &amp; TRIM(B2562),""low52""),AE2562)"),1750)</f>
        <v>1750</v>
      </c>
      <c r="AI2562" s="1">
        <f ca="1">IFERROR(__xludf.DUMMYFUNCTION("IFERROR(GOOGLEFINANCE(B2562,""eps""),0)"),105.12)</f>
        <v>105.12</v>
      </c>
      <c r="AJ2562" s="1"/>
      <c r="AK2562" s="1" t="s">
        <v>7969</v>
      </c>
      <c r="AL2562" s="9">
        <f t="shared" si="258"/>
        <v>1</v>
      </c>
    </row>
    <row r="2563" spans="1:38" ht="15" x14ac:dyDescent="0.25">
      <c r="A2563" s="1" t="s">
        <v>7970</v>
      </c>
      <c r="B2563" s="1" t="s">
        <v>7971</v>
      </c>
      <c r="C2563" s="1" t="s">
        <v>57</v>
      </c>
      <c r="D2563" s="1" t="s">
        <v>57</v>
      </c>
      <c r="E2563" s="6">
        <v>98.87</v>
      </c>
      <c r="F2563" s="1" t="s">
        <v>53</v>
      </c>
      <c r="G2563" s="6">
        <f ca="1">IFERROR(__xludf.DUMMYFUNCTION("iferror(GOOGLEFINANCE(TRIM(F2563)&amp;"":"" &amp; TRIM(B2563), ""price""),0
)"),0)</f>
        <v>0</v>
      </c>
      <c r="H2563" s="6">
        <v>145.4</v>
      </c>
      <c r="I2563" s="6">
        <f t="shared" ca="1" si="0"/>
        <v>145.4</v>
      </c>
      <c r="J2563" s="6">
        <f ca="1">IFERROR(__xludf.DUMMYFUNCTION("IFERROR(GOOGLEFINANCE(B2563, ""volume""), 0)"),0)</f>
        <v>0</v>
      </c>
      <c r="K2563" s="9"/>
      <c r="L2563" s="6" t="str">
        <f ca="1">IFERROR(__xludf.DUMMYFUNCTION("IFERROR(GOOGLEFINANCE(B2563,""changepct""),K2563)"),"")</f>
        <v/>
      </c>
      <c r="M2563" s="6">
        <f ca="1">IFERROR(__xludf.DUMMYFUNCTION("IFERROR(GOOGLEFINANCE(B2563,""change""),0)"),0)</f>
        <v>0</v>
      </c>
      <c r="N2563" s="6">
        <v>1</v>
      </c>
      <c r="O2563" s="7">
        <v>45536</v>
      </c>
      <c r="P2563" s="6">
        <v>1.75</v>
      </c>
      <c r="Q2563" s="6">
        <v>100.63</v>
      </c>
      <c r="R2563" s="7">
        <v>45352</v>
      </c>
      <c r="S2563" s="6">
        <v>38.72</v>
      </c>
      <c r="T2563" s="6">
        <v>2.68</v>
      </c>
      <c r="U2563" s="7">
        <v>45352</v>
      </c>
      <c r="V2563" s="6">
        <v>36.880000000000003</v>
      </c>
      <c r="W2563" s="6">
        <f ca="1">IFERROR(__xludf.DUMMYFUNCTION("IFERROR(GOOGLEFINANCE(B2563,""pe""),V2563)"),36.88)</f>
        <v>36.880000000000003</v>
      </c>
      <c r="X2563" s="9"/>
      <c r="Y2563" s="6">
        <v>2.91</v>
      </c>
      <c r="Z2563" s="6">
        <v>2</v>
      </c>
      <c r="AA2563" s="8">
        <v>45352</v>
      </c>
      <c r="AB2563" s="4">
        <v>0.02</v>
      </c>
      <c r="AC2563" s="6">
        <v>14.24</v>
      </c>
      <c r="AD2563" s="6">
        <v>22.68</v>
      </c>
      <c r="AE2563" s="1">
        <v>0</v>
      </c>
      <c r="AF2563" s="1">
        <f ca="1">IFERROR(__xludf.DUMMYFUNCTION("IFERROR(GOOGLEFINANCE(TRIM(F2563)&amp;"":"" &amp; TRIM(B2563),""high52""),AE2563)"),0)</f>
        <v>0</v>
      </c>
      <c r="AG2563" s="1">
        <v>0</v>
      </c>
      <c r="AH2563" s="1">
        <f ca="1">IFERROR(__xludf.DUMMYFUNCTION("IFERROR(GOOGLEFINANCE(TRIM(F2563)&amp;"":"" &amp; TRIM(B2563),""low52""),AE2563)"),0)</f>
        <v>0</v>
      </c>
      <c r="AI2563" s="1">
        <f ca="1">IFERROR(__xludf.DUMMYFUNCTION("IFERROR(GOOGLEFINANCE(B2563,""eps""),0)"),0)</f>
        <v>0</v>
      </c>
      <c r="AJ2563" s="1"/>
      <c r="AK2563" s="1" t="s">
        <v>7972</v>
      </c>
      <c r="AL2563" s="9">
        <f t="shared" si="258"/>
        <v>1</v>
      </c>
    </row>
    <row r="2564" spans="1:38" ht="15" x14ac:dyDescent="0.25">
      <c r="A2564" s="1" t="s">
        <v>7973</v>
      </c>
      <c r="B2564" s="1" t="s">
        <v>7974</v>
      </c>
      <c r="C2564" s="1" t="s">
        <v>828</v>
      </c>
      <c r="D2564" s="1" t="s">
        <v>828</v>
      </c>
      <c r="E2564" s="6">
        <v>54796.31</v>
      </c>
      <c r="F2564" s="1" t="s">
        <v>40</v>
      </c>
      <c r="G2564" s="6">
        <f ca="1">IFERROR(__xludf.DUMMYFUNCTION("iferror(GOOGLEFINANCE(TRIM(F2564)&amp;"":"" &amp; TRIM(B2564), ""price""),0
)"),133800)</f>
        <v>133800</v>
      </c>
      <c r="H2564" s="6">
        <v>128705.2</v>
      </c>
      <c r="I2564" s="6">
        <f t="shared" ca="1" si="0"/>
        <v>133800</v>
      </c>
      <c r="J2564" s="6">
        <f ca="1">IFERROR(__xludf.DUMMYFUNCTION("IFERROR(GOOGLEFINANCE(B2564, ""volume""), 0)"),230530)</f>
        <v>230530</v>
      </c>
      <c r="K2564" s="6">
        <v>-0.39</v>
      </c>
      <c r="L2564" s="6">
        <f ca="1">IFERROR(__xludf.DUMMYFUNCTION("IFERROR(GOOGLEFINANCE(B2564,""changepct""),K2564)"),-0.88)</f>
        <v>-0.88</v>
      </c>
      <c r="M2564" s="6">
        <f ca="1">IFERROR(__xludf.DUMMYFUNCTION("IFERROR(GOOGLEFINANCE(B2564,""change""),0)"),-1)</f>
        <v>-1</v>
      </c>
      <c r="N2564" s="6">
        <v>2</v>
      </c>
      <c r="O2564" s="7">
        <v>45536</v>
      </c>
      <c r="P2564" s="6">
        <v>2310.19</v>
      </c>
      <c r="Q2564" s="6">
        <v>56832.27</v>
      </c>
      <c r="R2564" s="7">
        <v>45536</v>
      </c>
      <c r="S2564" s="6">
        <v>26589.360000000001</v>
      </c>
      <c r="T2564" s="6">
        <v>1947.54</v>
      </c>
      <c r="U2564" s="7">
        <v>45536</v>
      </c>
      <c r="V2564" s="6">
        <v>28.14</v>
      </c>
      <c r="W2564" s="6">
        <f ca="1">IFERROR(__xludf.DUMMYFUNCTION("IFERROR(GOOGLEFINANCE(B2564,""pe""),V2564)"),15.63)</f>
        <v>15.63</v>
      </c>
      <c r="X2564" s="6">
        <v>2.17</v>
      </c>
      <c r="Y2564" s="6">
        <v>3.1</v>
      </c>
      <c r="Z2564" s="6">
        <v>2</v>
      </c>
      <c r="AA2564" s="8">
        <v>45352</v>
      </c>
      <c r="AB2564" s="4">
        <v>0.12</v>
      </c>
      <c r="AC2564" s="6">
        <v>13.25</v>
      </c>
      <c r="AD2564" s="6">
        <v>17.54</v>
      </c>
      <c r="AE2564" s="1">
        <v>0</v>
      </c>
      <c r="AF2564" s="1">
        <f ca="1">IFERROR(__xludf.DUMMYFUNCTION("IFERROR(GOOGLEFINANCE(TRIM(F2564)&amp;"":"" &amp; TRIM(B2564),""high52""),AE2564)"),163600)</f>
        <v>163600</v>
      </c>
      <c r="AG2564" s="1">
        <v>0</v>
      </c>
      <c r="AH2564" s="1">
        <f ca="1">IFERROR(__xludf.DUMMYFUNCTION("IFERROR(GOOGLEFINANCE(TRIM(F2564)&amp;"":"" &amp; TRIM(B2564),""low52""),AE2564)"),102124.05)</f>
        <v>102124.05</v>
      </c>
      <c r="AI2564" s="1">
        <f ca="1">IFERROR(__xludf.DUMMYFUNCTION("IFERROR(GOOGLEFINANCE(B2564,""eps""),0)"),0.07)</f>
        <v>7.0000000000000007E-2</v>
      </c>
      <c r="AJ2564" s="1"/>
      <c r="AK2564" s="1" t="s">
        <v>7975</v>
      </c>
      <c r="AL2564" s="9">
        <f t="shared" si="258"/>
        <v>1</v>
      </c>
    </row>
    <row r="2565" spans="1:38" ht="15" x14ac:dyDescent="0.25">
      <c r="A2565" s="1" t="s">
        <v>7976</v>
      </c>
      <c r="B2565" s="1" t="s">
        <v>7977</v>
      </c>
      <c r="C2565" s="1" t="s">
        <v>2185</v>
      </c>
      <c r="D2565" s="1" t="s">
        <v>2185</v>
      </c>
      <c r="E2565" s="6">
        <v>159.63999999999999</v>
      </c>
      <c r="F2565" s="1" t="s">
        <v>40</v>
      </c>
      <c r="G2565" s="6">
        <f ca="1">IFERROR(__xludf.DUMMYFUNCTION("iferror(GOOGLEFINANCE(TRIM(F2565)&amp;"":"" &amp; TRIM(B2565), ""price""),0
)"),0)</f>
        <v>0</v>
      </c>
      <c r="H2565" s="6">
        <v>84.22</v>
      </c>
      <c r="I2565" s="6">
        <f t="shared" ca="1" si="0"/>
        <v>84.22</v>
      </c>
      <c r="J2565" s="6">
        <f ca="1">IFERROR(__xludf.DUMMYFUNCTION("IFERROR(GOOGLEFINANCE(B2565, ""volume""), 0)"),0)</f>
        <v>0</v>
      </c>
      <c r="K2565" s="6">
        <v>-1.27</v>
      </c>
      <c r="L2565" s="6">
        <f ca="1">IFERROR(__xludf.DUMMYFUNCTION("IFERROR(GOOGLEFINANCE(B2565,""changepct""),K2565)"),-1.27)</f>
        <v>-1.27</v>
      </c>
      <c r="M2565" s="6">
        <f ca="1">IFERROR(__xludf.DUMMYFUNCTION("IFERROR(GOOGLEFINANCE(B2565,""change""),0)"),0)</f>
        <v>0</v>
      </c>
      <c r="N2565" s="6">
        <v>2</v>
      </c>
      <c r="O2565" s="7">
        <v>45536</v>
      </c>
      <c r="P2565" s="6">
        <v>125.97</v>
      </c>
      <c r="Q2565" s="6">
        <v>258.64</v>
      </c>
      <c r="R2565" s="7">
        <v>45536</v>
      </c>
      <c r="S2565" s="6">
        <v>50.31</v>
      </c>
      <c r="T2565" s="6">
        <v>10.91</v>
      </c>
      <c r="U2565" s="7">
        <v>45536</v>
      </c>
      <c r="V2565" s="6">
        <v>14.64</v>
      </c>
      <c r="W2565" s="6">
        <f ca="1">IFERROR(__xludf.DUMMYFUNCTION("IFERROR(GOOGLEFINANCE(B2565,""pe""),V2565)"),14.64)</f>
        <v>14.64</v>
      </c>
      <c r="X2565" s="12"/>
      <c r="Y2565" s="6">
        <v>2.2000000000000002</v>
      </c>
      <c r="Z2565" s="6">
        <v>2</v>
      </c>
      <c r="AA2565" s="8">
        <v>45352</v>
      </c>
      <c r="AB2565" s="4">
        <v>1.69</v>
      </c>
      <c r="AC2565" s="6">
        <v>4.92</v>
      </c>
      <c r="AD2565" s="6">
        <v>7.55</v>
      </c>
      <c r="AE2565" s="1">
        <v>0</v>
      </c>
      <c r="AF2565" s="1">
        <f ca="1">IFERROR(__xludf.DUMMYFUNCTION("IFERROR(GOOGLEFINANCE(TRIM(F2565)&amp;"":"" &amp; TRIM(B2565),""high52""),AE2565)"),0)</f>
        <v>0</v>
      </c>
      <c r="AG2565" s="1">
        <v>0</v>
      </c>
      <c r="AH2565" s="1">
        <f ca="1">IFERROR(__xludf.DUMMYFUNCTION("IFERROR(GOOGLEFINANCE(TRIM(F2565)&amp;"":"" &amp; TRIM(B2565),""low52""),AE2565)"),0)</f>
        <v>0</v>
      </c>
      <c r="AI2565" s="1">
        <f ca="1">IFERROR(__xludf.DUMMYFUNCTION("IFERROR(GOOGLEFINANCE(B2565,""eps""),0)"),0)</f>
        <v>0</v>
      </c>
      <c r="AJ2565" s="1"/>
      <c r="AK2565" s="9"/>
      <c r="AL2565" s="9">
        <f t="shared" si="258"/>
        <v>1</v>
      </c>
    </row>
    <row r="2566" spans="1:38" ht="15" x14ac:dyDescent="0.25">
      <c r="A2566" s="1" t="s">
        <v>7978</v>
      </c>
      <c r="B2566" s="1" t="s">
        <v>7979</v>
      </c>
      <c r="C2566" s="1" t="s">
        <v>324</v>
      </c>
      <c r="D2566" s="1" t="s">
        <v>324</v>
      </c>
      <c r="E2566" s="6">
        <v>10011.58</v>
      </c>
      <c r="F2566" s="1" t="s">
        <v>40</v>
      </c>
      <c r="G2566" s="6">
        <f ca="1">IFERROR(__xludf.DUMMYFUNCTION("iferror(GOOGLEFINANCE(TRIM(F2566)&amp;"":"" &amp; TRIM(B2566), ""price""),0
)"),214.01)</f>
        <v>214.01</v>
      </c>
      <c r="H2566" s="6">
        <v>1636.8</v>
      </c>
      <c r="I2566" s="6">
        <f t="shared" ca="1" si="0"/>
        <v>214.01</v>
      </c>
      <c r="J2566" s="6">
        <f ca="1">IFERROR(__xludf.DUMMYFUNCTION("IFERROR(GOOGLEFINANCE(B2566, ""volume""), 0)"),799465)</f>
        <v>799465</v>
      </c>
      <c r="K2566" s="6">
        <v>0.4</v>
      </c>
      <c r="L2566" s="6">
        <f ca="1">IFERROR(__xludf.DUMMYFUNCTION("IFERROR(GOOGLEFINANCE(B2566,""changepct""),K2566)"),-2.95)</f>
        <v>-2.95</v>
      </c>
      <c r="M2566" s="6">
        <f ca="1">IFERROR(__xludf.DUMMYFUNCTION("IFERROR(GOOGLEFINANCE(B2566,""change""),0)"),-6.51)</f>
        <v>-6.51</v>
      </c>
      <c r="N2566" s="6">
        <v>2</v>
      </c>
      <c r="O2566" s="7">
        <v>45536</v>
      </c>
      <c r="P2566" s="6">
        <v>112.09</v>
      </c>
      <c r="Q2566" s="6">
        <v>9761.0499999999993</v>
      </c>
      <c r="R2566" s="7">
        <v>45536</v>
      </c>
      <c r="S2566" s="6">
        <v>1770.94</v>
      </c>
      <c r="T2566" s="6">
        <v>142.49</v>
      </c>
      <c r="U2566" s="7">
        <v>45536</v>
      </c>
      <c r="V2566" s="6">
        <v>70.209999999999994</v>
      </c>
      <c r="W2566" s="6">
        <f ca="1">IFERROR(__xludf.DUMMYFUNCTION("IFERROR(GOOGLEFINANCE(B2566,""pe""),V2566)"),48.18)</f>
        <v>48.18</v>
      </c>
      <c r="X2566" s="12"/>
      <c r="Y2566" s="6">
        <v>8.98</v>
      </c>
      <c r="Z2566" s="6">
        <v>2</v>
      </c>
      <c r="AA2566" s="8">
        <v>45352</v>
      </c>
      <c r="AB2566" s="4">
        <v>0.34</v>
      </c>
      <c r="AC2566" s="6">
        <v>23.26</v>
      </c>
      <c r="AD2566" s="6">
        <v>25.83</v>
      </c>
      <c r="AE2566" s="1">
        <v>0</v>
      </c>
      <c r="AF2566" s="1">
        <f ca="1">IFERROR(__xludf.DUMMYFUNCTION("IFERROR(GOOGLEFINANCE(TRIM(F2566)&amp;"":"" &amp; TRIM(B2566),""high52""),AE2566)"),330.8)</f>
        <v>330.8</v>
      </c>
      <c r="AG2566" s="1">
        <v>0</v>
      </c>
      <c r="AH2566" s="1">
        <f ca="1">IFERROR(__xludf.DUMMYFUNCTION("IFERROR(GOOGLEFINANCE(TRIM(F2566)&amp;"":"" &amp; TRIM(B2566),""low52""),AE2566)"),208.67)</f>
        <v>208.67</v>
      </c>
      <c r="AI2566" s="1">
        <f ca="1">IFERROR(__xludf.DUMMYFUNCTION("IFERROR(GOOGLEFINANCE(B2566,""eps""),0)"),4.44)</f>
        <v>4.4400000000000004</v>
      </c>
      <c r="AJ2566" s="1"/>
      <c r="AK2566" s="1" t="s">
        <v>7980</v>
      </c>
      <c r="AL2566" s="9">
        <f t="shared" si="258"/>
        <v>1</v>
      </c>
    </row>
    <row r="2567" spans="1:38" ht="15" x14ac:dyDescent="0.25">
      <c r="A2567" s="1" t="s">
        <v>7981</v>
      </c>
      <c r="B2567" s="1" t="s">
        <v>7982</v>
      </c>
      <c r="C2567" s="1" t="s">
        <v>219</v>
      </c>
      <c r="D2567" s="1" t="s">
        <v>219</v>
      </c>
      <c r="E2567" s="6">
        <v>1715.48</v>
      </c>
      <c r="F2567" s="1" t="s">
        <v>40</v>
      </c>
      <c r="G2567" s="6">
        <f ca="1">IFERROR(__xludf.DUMMYFUNCTION("iferror(GOOGLEFINANCE(TRIM(F2567)&amp;"":"" &amp; TRIM(B2567), ""price""),0
)"),29.7)</f>
        <v>29.7</v>
      </c>
      <c r="H2567" s="6">
        <v>44.11</v>
      </c>
      <c r="I2567" s="6">
        <f t="shared" ca="1" si="0"/>
        <v>29.7</v>
      </c>
      <c r="J2567" s="6">
        <f ca="1">IFERROR(__xludf.DUMMYFUNCTION("IFERROR(GOOGLEFINANCE(B2567, ""volume""), 0)"),702260)</f>
        <v>702260</v>
      </c>
      <c r="K2567" s="6">
        <v>-0.76</v>
      </c>
      <c r="L2567" s="6">
        <f ca="1">IFERROR(__xludf.DUMMYFUNCTION("IFERROR(GOOGLEFINANCE(B2567,""changepct""),K2567)"),1.89)</f>
        <v>1.89</v>
      </c>
      <c r="M2567" s="6">
        <f ca="1">IFERROR(__xludf.DUMMYFUNCTION("IFERROR(GOOGLEFINANCE(B2567,""change""),0)"),0.55)</f>
        <v>0.55000000000000004</v>
      </c>
      <c r="N2567" s="6">
        <v>2</v>
      </c>
      <c r="O2567" s="7">
        <v>45536</v>
      </c>
      <c r="P2567" s="6">
        <v>737.23</v>
      </c>
      <c r="Q2567" s="6">
        <v>2433.1799999999998</v>
      </c>
      <c r="R2567" s="7">
        <v>45536</v>
      </c>
      <c r="S2567" s="6">
        <v>2957.46</v>
      </c>
      <c r="T2567" s="6">
        <v>11.8</v>
      </c>
      <c r="U2567" s="7">
        <v>45536</v>
      </c>
      <c r="V2567" s="6">
        <v>113.89</v>
      </c>
      <c r="W2567" s="6">
        <f ca="1">IFERROR(__xludf.DUMMYFUNCTION("IFERROR(GOOGLEFINANCE(B2567,""pe""),V2567)"),113.89)</f>
        <v>113.89</v>
      </c>
      <c r="X2567" s="6">
        <v>4.6900000000000004</v>
      </c>
      <c r="Y2567" s="6">
        <v>2.96</v>
      </c>
      <c r="Z2567" s="6">
        <v>2</v>
      </c>
      <c r="AA2567" s="8">
        <v>45352</v>
      </c>
      <c r="AB2567" s="4">
        <v>1.34</v>
      </c>
      <c r="AC2567" s="6">
        <v>2.4900000000000002</v>
      </c>
      <c r="AD2567" s="6">
        <v>7.92</v>
      </c>
      <c r="AE2567" s="1">
        <v>0</v>
      </c>
      <c r="AF2567" s="1">
        <f ca="1">IFERROR(__xludf.DUMMYFUNCTION("IFERROR(GOOGLEFINANCE(TRIM(F2567)&amp;"":"" &amp; TRIM(B2567),""high52""),AE2567)"),41)</f>
        <v>41</v>
      </c>
      <c r="AG2567" s="1">
        <v>0</v>
      </c>
      <c r="AH2567" s="1">
        <f ca="1">IFERROR(__xludf.DUMMYFUNCTION("IFERROR(GOOGLEFINANCE(TRIM(F2567)&amp;"":"" &amp; TRIM(B2567),""low52""),AE2567)"),21.6)</f>
        <v>21.6</v>
      </c>
      <c r="AI2567" s="1">
        <f ca="1">IFERROR(__xludf.DUMMYFUNCTION("IFERROR(GOOGLEFINANCE(B2567,""eps""),0)"),-1.35)</f>
        <v>-1.35</v>
      </c>
      <c r="AJ2567" s="1"/>
      <c r="AK2567" s="1" t="s">
        <v>7983</v>
      </c>
      <c r="AL2567" s="9">
        <f t="shared" si="258"/>
        <v>1</v>
      </c>
    </row>
    <row r="2568" spans="1:38" ht="15" x14ac:dyDescent="0.25">
      <c r="A2568" s="1" t="s">
        <v>7984</v>
      </c>
      <c r="B2568" s="1" t="s">
        <v>7985</v>
      </c>
      <c r="C2568" s="1" t="s">
        <v>1739</v>
      </c>
      <c r="D2568" s="1" t="s">
        <v>1739</v>
      </c>
      <c r="E2568" s="6">
        <v>4878.72</v>
      </c>
      <c r="F2568" s="1" t="s">
        <v>40</v>
      </c>
      <c r="G2568" s="6">
        <f ca="1">IFERROR(__xludf.DUMMYFUNCTION("iferror(GOOGLEFINANCE(TRIM(F2568)&amp;"":"" &amp; TRIM(B2568), ""price""),0
)"),447.5)</f>
        <v>447.5</v>
      </c>
      <c r="H2568" s="6">
        <v>702</v>
      </c>
      <c r="I2568" s="6">
        <f t="shared" ca="1" si="0"/>
        <v>447.5</v>
      </c>
      <c r="J2568" s="6">
        <f ca="1">IFERROR(__xludf.DUMMYFUNCTION("IFERROR(GOOGLEFINANCE(B2568, ""volume""), 0)"),281029)</f>
        <v>281029</v>
      </c>
      <c r="K2568" s="6">
        <v>1.2</v>
      </c>
      <c r="L2568" s="6">
        <f ca="1">IFERROR(__xludf.DUMMYFUNCTION("IFERROR(GOOGLEFINANCE(B2568,""changepct""),K2568)"),-1.5)</f>
        <v>-1.5</v>
      </c>
      <c r="M2568" s="6">
        <f ca="1">IFERROR(__xludf.DUMMYFUNCTION("IFERROR(GOOGLEFINANCE(B2568,""change""),0)"),-6.8)</f>
        <v>-6.8</v>
      </c>
      <c r="N2568" s="6">
        <v>2</v>
      </c>
      <c r="O2568" s="7">
        <v>45536</v>
      </c>
      <c r="P2568" s="6">
        <v>145</v>
      </c>
      <c r="Q2568" s="6">
        <v>3995.92</v>
      </c>
      <c r="R2568" s="7">
        <v>45536</v>
      </c>
      <c r="S2568" s="6">
        <v>645.47</v>
      </c>
      <c r="T2568" s="6">
        <v>208.02</v>
      </c>
      <c r="U2568" s="7">
        <v>45536</v>
      </c>
      <c r="V2568" s="6">
        <v>22.51</v>
      </c>
      <c r="W2568" s="6">
        <f ca="1">IFERROR(__xludf.DUMMYFUNCTION("IFERROR(GOOGLEFINANCE(B2568,""pe""),V2568)"),7.57)</f>
        <v>7.57</v>
      </c>
      <c r="X2568" s="6">
        <v>1.04</v>
      </c>
      <c r="Y2568" s="6">
        <v>5.0199999999999996</v>
      </c>
      <c r="Z2568" s="6">
        <v>2</v>
      </c>
      <c r="AA2568" s="8">
        <v>45352</v>
      </c>
      <c r="AB2568" s="4">
        <v>0.16</v>
      </c>
      <c r="AC2568" s="6">
        <v>24.39</v>
      </c>
      <c r="AD2568" s="6">
        <v>34.659999999999997</v>
      </c>
      <c r="AE2568" s="1">
        <v>0</v>
      </c>
      <c r="AF2568" s="1">
        <f ca="1">IFERROR(__xludf.DUMMYFUNCTION("IFERROR(GOOGLEFINANCE(TRIM(F2568)&amp;"":"" &amp; TRIM(B2568),""high52""),AE2568)"),611.8)</f>
        <v>611.79999999999995</v>
      </c>
      <c r="AG2568" s="1">
        <v>0</v>
      </c>
      <c r="AH2568" s="1">
        <f ca="1">IFERROR(__xludf.DUMMYFUNCTION("IFERROR(GOOGLEFINANCE(TRIM(F2568)&amp;"":"" &amp; TRIM(B2568),""low52""),AE2568)"),411.1)</f>
        <v>411.1</v>
      </c>
      <c r="AI2568" s="1">
        <f ca="1">IFERROR(__xludf.DUMMYFUNCTION("IFERROR(GOOGLEFINANCE(B2568,""eps""),0)"),59.11)</f>
        <v>59.11</v>
      </c>
      <c r="AJ2568" s="1"/>
      <c r="AK2568" s="1" t="s">
        <v>7986</v>
      </c>
      <c r="AL2568" s="9">
        <f t="shared" si="258"/>
        <v>1</v>
      </c>
    </row>
    <row r="2569" spans="1:38" ht="15" x14ac:dyDescent="0.25">
      <c r="A2569" s="1" t="s">
        <v>7987</v>
      </c>
      <c r="B2569" s="1" t="s">
        <v>7988</v>
      </c>
      <c r="C2569" s="1" t="s">
        <v>57</v>
      </c>
      <c r="D2569" s="1" t="s">
        <v>57</v>
      </c>
      <c r="E2569" s="6">
        <v>1485.99</v>
      </c>
      <c r="F2569" s="1" t="s">
        <v>53</v>
      </c>
      <c r="G2569" s="6">
        <f ca="1">IFERROR(__xludf.DUMMYFUNCTION("iferror(GOOGLEFINANCE(TRIM(F2569)&amp;"":"" &amp; TRIM(B2569), ""price""),0
)"),0)</f>
        <v>0</v>
      </c>
      <c r="H2569" s="6">
        <v>636.54999999999995</v>
      </c>
      <c r="I2569" s="6">
        <f t="shared" ca="1" si="0"/>
        <v>636.54999999999995</v>
      </c>
      <c r="J2569" s="6">
        <f ca="1">IFERROR(__xludf.DUMMYFUNCTION("IFERROR(GOOGLEFINANCE(B2569, ""volume""), 0)"),0)</f>
        <v>0</v>
      </c>
      <c r="K2569" s="6">
        <v>1.1499999999999999</v>
      </c>
      <c r="L2569" s="6">
        <f ca="1">IFERROR(__xludf.DUMMYFUNCTION("IFERROR(GOOGLEFINANCE(B2569,""changepct""),K2569)"),1.15)</f>
        <v>1.1499999999999999</v>
      </c>
      <c r="M2569" s="6">
        <f ca="1">IFERROR(__xludf.DUMMYFUNCTION("IFERROR(GOOGLEFINANCE(B2569,""change""),0)"),0)</f>
        <v>0</v>
      </c>
      <c r="N2569" s="6">
        <v>1</v>
      </c>
      <c r="O2569" s="7">
        <v>45536</v>
      </c>
      <c r="P2569" s="6">
        <v>5.63</v>
      </c>
      <c r="Q2569" s="6">
        <v>1491.62</v>
      </c>
      <c r="R2569" s="7">
        <v>45352</v>
      </c>
      <c r="S2569" s="6">
        <v>20.76</v>
      </c>
      <c r="T2569" s="6">
        <v>5.64</v>
      </c>
      <c r="U2569" s="7">
        <v>45352</v>
      </c>
      <c r="V2569" s="6">
        <v>263.57</v>
      </c>
      <c r="W2569" s="6">
        <f ca="1">IFERROR(__xludf.DUMMYFUNCTION("IFERROR(GOOGLEFINANCE(B2569,""pe""),V2569)"),263.57)</f>
        <v>263.57</v>
      </c>
      <c r="X2569" s="9"/>
      <c r="Y2569" s="6">
        <v>13.89</v>
      </c>
      <c r="Z2569" s="6">
        <v>2</v>
      </c>
      <c r="AA2569" s="8">
        <v>45352</v>
      </c>
      <c r="AB2569" s="4">
        <v>0.05</v>
      </c>
      <c r="AC2569" s="6">
        <v>9.85</v>
      </c>
      <c r="AD2569" s="6">
        <v>11.49</v>
      </c>
      <c r="AE2569" s="1">
        <v>0</v>
      </c>
      <c r="AF2569" s="1">
        <f ca="1">IFERROR(__xludf.DUMMYFUNCTION("IFERROR(GOOGLEFINANCE(TRIM(F2569)&amp;"":"" &amp; TRIM(B2569),""high52""),AE2569)"),0)</f>
        <v>0</v>
      </c>
      <c r="AG2569" s="1">
        <v>0</v>
      </c>
      <c r="AH2569" s="1">
        <f ca="1">IFERROR(__xludf.DUMMYFUNCTION("IFERROR(GOOGLEFINANCE(TRIM(F2569)&amp;"":"" &amp; TRIM(B2569),""low52""),AE2569)"),0)</f>
        <v>0</v>
      </c>
      <c r="AI2569" s="1">
        <f ca="1">IFERROR(__xludf.DUMMYFUNCTION("IFERROR(GOOGLEFINANCE(B2569,""eps""),0)"),0)</f>
        <v>0</v>
      </c>
      <c r="AJ2569" s="1"/>
      <c r="AK2569" s="1" t="s">
        <v>7989</v>
      </c>
      <c r="AL2569" s="9">
        <f t="shared" si="258"/>
        <v>1</v>
      </c>
    </row>
    <row r="2570" spans="1:38" ht="15" x14ac:dyDescent="0.25">
      <c r="A2570" s="1" t="s">
        <v>7990</v>
      </c>
      <c r="B2570" s="1" t="s">
        <v>7991</v>
      </c>
      <c r="C2570" s="1" t="s">
        <v>321</v>
      </c>
      <c r="D2570" s="1" t="s">
        <v>321</v>
      </c>
      <c r="E2570" s="6">
        <v>19.5</v>
      </c>
      <c r="F2570" s="1" t="s">
        <v>40</v>
      </c>
      <c r="G2570" s="6">
        <f ca="1">IFERROR(__xludf.DUMMYFUNCTION("iferror(GOOGLEFINANCE(TRIM(F2570)&amp;"":"" &amp; TRIM(B2570), ""price""),0
)"),1.38)</f>
        <v>1.38</v>
      </c>
      <c r="H2570" s="6">
        <v>2.62</v>
      </c>
      <c r="I2570" s="6">
        <f t="shared" ca="1" si="0"/>
        <v>1.38</v>
      </c>
      <c r="J2570" s="6">
        <f ca="1">IFERROR(__xludf.DUMMYFUNCTION("IFERROR(GOOGLEFINANCE(B2570, ""volume""), 0)"),39513)</f>
        <v>39513</v>
      </c>
      <c r="K2570" s="6">
        <v>4.8</v>
      </c>
      <c r="L2570" s="6">
        <f ca="1">IFERROR(__xludf.DUMMYFUNCTION("IFERROR(GOOGLEFINANCE(B2570,""changepct""),K2570)"),-4.83)</f>
        <v>-4.83</v>
      </c>
      <c r="M2570" s="6">
        <f ca="1">IFERROR(__xludf.DUMMYFUNCTION("IFERROR(GOOGLEFINANCE(B2570,""change""),0)"),-0.07)</f>
        <v>-7.0000000000000007E-2</v>
      </c>
      <c r="N2570" s="6">
        <v>2</v>
      </c>
      <c r="O2570" s="7">
        <v>45536</v>
      </c>
      <c r="P2570" s="6">
        <v>118.44</v>
      </c>
      <c r="Q2570" s="6">
        <v>125.63</v>
      </c>
      <c r="R2570" s="7">
        <v>45536</v>
      </c>
      <c r="S2570" s="6">
        <v>45.91</v>
      </c>
      <c r="T2570" s="6">
        <v>-29.82</v>
      </c>
      <c r="U2570" s="7">
        <v>45536</v>
      </c>
      <c r="V2570" s="6">
        <v>0</v>
      </c>
      <c r="W2570" s="6">
        <f ca="1">IFERROR(__xludf.DUMMYFUNCTION("IFERROR(GOOGLEFINANCE(B2570,""pe""),V2570)"),0)</f>
        <v>0</v>
      </c>
      <c r="X2570" s="9"/>
      <c r="Y2570" s="6">
        <v>1.1200000000000001</v>
      </c>
      <c r="Z2570" s="6">
        <v>2</v>
      </c>
      <c r="AA2570" s="8">
        <v>45352</v>
      </c>
      <c r="AB2570" s="4">
        <v>3.94</v>
      </c>
      <c r="AC2570" s="6">
        <v>-64.12</v>
      </c>
      <c r="AD2570" s="6">
        <v>-9.33</v>
      </c>
      <c r="AE2570" s="1">
        <v>0</v>
      </c>
      <c r="AF2570" s="1">
        <f ca="1">IFERROR(__xludf.DUMMYFUNCTION("IFERROR(GOOGLEFINANCE(TRIM(F2570)&amp;"":"" &amp; TRIM(B2570),""high52""),AE2570)"),2.55)</f>
        <v>2.5499999999999998</v>
      </c>
      <c r="AG2570" s="1">
        <v>0</v>
      </c>
      <c r="AH2570" s="1">
        <f ca="1">IFERROR(__xludf.DUMMYFUNCTION("IFERROR(GOOGLEFINANCE(TRIM(F2570)&amp;"":"" &amp; TRIM(B2570),""low52""),AE2570)"),1.35)</f>
        <v>1.35</v>
      </c>
      <c r="AI2570" s="1">
        <f ca="1">IFERROR(__xludf.DUMMYFUNCTION("IFERROR(GOOGLEFINANCE(B2570,""eps""),0)"),-3.13)</f>
        <v>-3.13</v>
      </c>
      <c r="AJ2570" s="1"/>
      <c r="AK2570" s="1" t="s">
        <v>7992</v>
      </c>
      <c r="AL2570" s="9">
        <f t="shared" si="258"/>
        <v>1</v>
      </c>
    </row>
    <row r="2571" spans="1:38" ht="15" x14ac:dyDescent="0.25">
      <c r="A2571" s="1" t="s">
        <v>7993</v>
      </c>
      <c r="B2571" s="1" t="s">
        <v>7994</v>
      </c>
      <c r="C2571" s="1" t="s">
        <v>112</v>
      </c>
      <c r="D2571" s="1" t="s">
        <v>112</v>
      </c>
      <c r="E2571" s="6">
        <v>5289.42</v>
      </c>
      <c r="F2571" s="1" t="s">
        <v>40</v>
      </c>
      <c r="G2571" s="6">
        <f ca="1">IFERROR(__xludf.DUMMYFUNCTION("iferror(GOOGLEFINANCE(TRIM(F2571)&amp;"":"" &amp; TRIM(B2571), ""price""),0
)"),3035.6)</f>
        <v>3035.6</v>
      </c>
      <c r="H2571" s="6">
        <v>1742.85</v>
      </c>
      <c r="I2571" s="6">
        <f t="shared" ca="1" si="0"/>
        <v>3035.6</v>
      </c>
      <c r="J2571" s="6">
        <f ca="1">IFERROR(__xludf.DUMMYFUNCTION("IFERROR(GOOGLEFINANCE(B2571, ""volume""), 0)"),1317281)</f>
        <v>1317281</v>
      </c>
      <c r="K2571" s="6">
        <v>1.3</v>
      </c>
      <c r="L2571" s="6">
        <f ca="1">IFERROR(__xludf.DUMMYFUNCTION("IFERROR(GOOGLEFINANCE(B2571,""changepct""),K2571)"),-1.64)</f>
        <v>-1.64</v>
      </c>
      <c r="M2571" s="6">
        <f ca="1">IFERROR(__xludf.DUMMYFUNCTION("IFERROR(GOOGLEFINANCE(B2571,""change""),0)"),-50.6)</f>
        <v>-50.6</v>
      </c>
      <c r="N2571" s="6">
        <v>2</v>
      </c>
      <c r="O2571" s="7">
        <v>45536</v>
      </c>
      <c r="P2571" s="6">
        <v>183.69</v>
      </c>
      <c r="Q2571" s="6">
        <v>5461.03</v>
      </c>
      <c r="R2571" s="7">
        <v>45536</v>
      </c>
      <c r="S2571" s="6">
        <v>579.80999999999995</v>
      </c>
      <c r="T2571" s="6">
        <v>38.520000000000003</v>
      </c>
      <c r="U2571" s="7">
        <v>45536</v>
      </c>
      <c r="V2571" s="6">
        <v>137.32</v>
      </c>
      <c r="W2571" s="6">
        <f ca="1">IFERROR(__xludf.DUMMYFUNCTION("IFERROR(GOOGLEFINANCE(B2571,""pe""),V2571)"),147.05)</f>
        <v>147.05000000000001</v>
      </c>
      <c r="X2571" s="9"/>
      <c r="Y2571" s="6">
        <v>7.56</v>
      </c>
      <c r="Z2571" s="6">
        <v>2</v>
      </c>
      <c r="AA2571" s="8">
        <v>45352</v>
      </c>
      <c r="AB2571" s="4">
        <v>0.28000000000000003</v>
      </c>
      <c r="AC2571" s="6">
        <v>8.66</v>
      </c>
      <c r="AD2571" s="6">
        <v>11.69</v>
      </c>
      <c r="AE2571" s="1">
        <v>0</v>
      </c>
      <c r="AF2571" s="1">
        <f ca="1">IFERROR(__xludf.DUMMYFUNCTION("IFERROR(GOOGLEFINANCE(TRIM(F2571)&amp;"":"" &amp; TRIM(B2571),""high52""),AE2571)"),3188)</f>
        <v>3188</v>
      </c>
      <c r="AG2571" s="1">
        <v>0</v>
      </c>
      <c r="AH2571" s="1">
        <f ca="1">IFERROR(__xludf.DUMMYFUNCTION("IFERROR(GOOGLEFINANCE(TRIM(F2571)&amp;"":"" &amp; TRIM(B2571),""low52""),AE2571)"),1155.6)</f>
        <v>1155.5999999999999</v>
      </c>
      <c r="AI2571" s="1">
        <f ca="1">IFERROR(__xludf.DUMMYFUNCTION("IFERROR(GOOGLEFINANCE(B2571,""eps""),0)"),20.64)</f>
        <v>20.64</v>
      </c>
      <c r="AJ2571" s="1"/>
      <c r="AK2571" s="1" t="s">
        <v>7995</v>
      </c>
      <c r="AL2571" s="9">
        <f t="shared" si="258"/>
        <v>1</v>
      </c>
    </row>
    <row r="2572" spans="1:38" ht="15" x14ac:dyDescent="0.25">
      <c r="A2572" s="1" t="s">
        <v>7996</v>
      </c>
      <c r="B2572" s="1" t="s">
        <v>7997</v>
      </c>
      <c r="C2572" s="1" t="s">
        <v>43</v>
      </c>
      <c r="D2572" s="1" t="s">
        <v>43</v>
      </c>
      <c r="E2572" s="6">
        <v>1768.48</v>
      </c>
      <c r="F2572" s="1" t="s">
        <v>40</v>
      </c>
      <c r="G2572" s="6">
        <f ca="1">IFERROR(__xludf.DUMMYFUNCTION("iferror(GOOGLEFINANCE(TRIM(F2572)&amp;"":"" &amp; TRIM(B2572), ""price""),0
)"),114.8)</f>
        <v>114.8</v>
      </c>
      <c r="H2572" s="6">
        <v>107.18</v>
      </c>
      <c r="I2572" s="6">
        <f t="shared" ca="1" si="0"/>
        <v>114.8</v>
      </c>
      <c r="J2572" s="6">
        <f ca="1">IFERROR(__xludf.DUMMYFUNCTION("IFERROR(GOOGLEFINANCE(B2572, ""volume""), 0)"),969854)</f>
        <v>969854</v>
      </c>
      <c r="K2572" s="6">
        <v>-1.25</v>
      </c>
      <c r="L2572" s="6">
        <f ca="1">IFERROR(__xludf.DUMMYFUNCTION("IFERROR(GOOGLEFINANCE(B2572,""changepct""),K2572)"),2.33)</f>
        <v>2.33</v>
      </c>
      <c r="M2572" s="6">
        <f ca="1">IFERROR(__xludf.DUMMYFUNCTION("IFERROR(GOOGLEFINANCE(B2572,""change""),0)"),2.61)</f>
        <v>2.61</v>
      </c>
      <c r="N2572" s="6">
        <v>2</v>
      </c>
      <c r="O2572" s="7">
        <v>45536</v>
      </c>
      <c r="P2572" s="6">
        <v>18.66</v>
      </c>
      <c r="Q2572" s="7">
        <v>45536</v>
      </c>
      <c r="R2572" s="6">
        <v>94.27</v>
      </c>
      <c r="S2572" s="9"/>
      <c r="T2572" s="6">
        <v>6.81</v>
      </c>
      <c r="U2572" s="6">
        <v>2</v>
      </c>
      <c r="V2572" s="7">
        <v>45352</v>
      </c>
      <c r="W2572" s="6">
        <f ca="1">IFERROR(__xludf.DUMMYFUNCTION("IFERROR(GOOGLEFINANCE(B2572,""pe""),V2572)"),105.87)</f>
        <v>105.87</v>
      </c>
      <c r="X2572" s="6">
        <v>2.87</v>
      </c>
      <c r="Y2572" s="6">
        <v>7.2</v>
      </c>
      <c r="Z2572" s="6">
        <v>7.48</v>
      </c>
      <c r="AA2572" s="3" t="s">
        <v>7998</v>
      </c>
      <c r="AB2572" s="11"/>
      <c r="AC2572" s="9"/>
      <c r="AD2572" s="9"/>
      <c r="AE2572" s="1">
        <v>0</v>
      </c>
      <c r="AF2572" s="1">
        <f ca="1">IFERROR(__xludf.DUMMYFUNCTION("IFERROR(GOOGLEFINANCE(TRIM(F2572)&amp;"":"" &amp; TRIM(B2572),""high52""),AE2572)"),126.34)</f>
        <v>126.34</v>
      </c>
      <c r="AG2572" s="1">
        <v>0</v>
      </c>
      <c r="AH2572" s="1">
        <f ca="1">IFERROR(__xludf.DUMMYFUNCTION("IFERROR(GOOGLEFINANCE(TRIM(F2572)&amp;"":"" &amp; TRIM(B2572),""low52""),AE2572)"),63.11)</f>
        <v>63.11</v>
      </c>
      <c r="AI2572" s="1">
        <f ca="1">IFERROR(__xludf.DUMMYFUNCTION("IFERROR(GOOGLEFINANCE(B2572,""eps""),0)"),1.08)</f>
        <v>1.08</v>
      </c>
      <c r="AJ2572" s="1"/>
      <c r="AK2572" s="1" t="s">
        <v>7999</v>
      </c>
      <c r="AL2572" s="9">
        <f t="shared" si="258"/>
        <v>1</v>
      </c>
    </row>
    <row r="2573" spans="1:38" ht="15" x14ac:dyDescent="0.25">
      <c r="A2573" s="1" t="s">
        <v>8000</v>
      </c>
      <c r="B2573" s="1" t="s">
        <v>8001</v>
      </c>
      <c r="C2573" s="1" t="s">
        <v>219</v>
      </c>
      <c r="D2573" s="1" t="s">
        <v>219</v>
      </c>
      <c r="E2573" s="6">
        <v>1916.01</v>
      </c>
      <c r="F2573" s="1" t="s">
        <v>40</v>
      </c>
      <c r="G2573" s="6">
        <f ca="1">IFERROR(__xludf.DUMMYFUNCTION("iferror(GOOGLEFINANCE(TRIM(F2573)&amp;"":"" &amp; TRIM(B2573), ""price""),0
)"),124.85)</f>
        <v>124.85</v>
      </c>
      <c r="H2573" s="6">
        <v>133.68</v>
      </c>
      <c r="I2573" s="6">
        <f t="shared" ca="1" si="0"/>
        <v>124.85</v>
      </c>
      <c r="J2573" s="6">
        <f ca="1">IFERROR(__xludf.DUMMYFUNCTION("IFERROR(GOOGLEFINANCE(B2573, ""volume""), 0)"),62680)</f>
        <v>62680</v>
      </c>
      <c r="K2573" s="6">
        <v>0.71</v>
      </c>
      <c r="L2573" s="6">
        <f ca="1">IFERROR(__xludf.DUMMYFUNCTION("IFERROR(GOOGLEFINANCE(B2573,""changepct""),K2573)"),2.05)</f>
        <v>2.0499999999999998</v>
      </c>
      <c r="M2573" s="6">
        <f ca="1">IFERROR(__xludf.DUMMYFUNCTION("IFERROR(GOOGLEFINANCE(B2573,""change""),0)"),2.51)</f>
        <v>2.5099999999999998</v>
      </c>
      <c r="N2573" s="6">
        <v>2</v>
      </c>
      <c r="O2573" s="7">
        <v>45536</v>
      </c>
      <c r="P2573" s="6">
        <v>1479.98</v>
      </c>
      <c r="Q2573" s="6">
        <v>3383.59</v>
      </c>
      <c r="R2573" s="7">
        <v>45536</v>
      </c>
      <c r="S2573" s="6">
        <v>4936.67</v>
      </c>
      <c r="T2573" s="6">
        <v>98.56</v>
      </c>
      <c r="U2573" s="7">
        <v>45536</v>
      </c>
      <c r="V2573" s="6">
        <v>19.440000000000001</v>
      </c>
      <c r="W2573" s="6">
        <f ca="1">IFERROR(__xludf.DUMMYFUNCTION("IFERROR(GOOGLEFINANCE(B2573,""pe""),V2573)"),27.91)</f>
        <v>27.91</v>
      </c>
      <c r="X2573" s="6">
        <v>0.82</v>
      </c>
      <c r="Y2573" s="6">
        <v>2.04</v>
      </c>
      <c r="Z2573" s="6">
        <v>2</v>
      </c>
      <c r="AA2573" s="8">
        <v>45352</v>
      </c>
      <c r="AB2573" s="4">
        <v>1.62</v>
      </c>
      <c r="AC2573" s="6">
        <v>11.57</v>
      </c>
      <c r="AD2573" s="6">
        <v>10.83</v>
      </c>
      <c r="AE2573" s="1">
        <v>0</v>
      </c>
      <c r="AF2573" s="1">
        <f ca="1">IFERROR(__xludf.DUMMYFUNCTION("IFERROR(GOOGLEFINANCE(TRIM(F2573)&amp;"":"" &amp; TRIM(B2573),""high52""),AE2573)"),162)</f>
        <v>162</v>
      </c>
      <c r="AG2573" s="1">
        <v>0</v>
      </c>
      <c r="AH2573" s="1">
        <f ca="1">IFERROR(__xludf.DUMMYFUNCTION("IFERROR(GOOGLEFINANCE(TRIM(F2573)&amp;"":"" &amp; TRIM(B2573),""low52""),AE2573)"),84.4)</f>
        <v>84.4</v>
      </c>
      <c r="AI2573" s="1">
        <f ca="1">IFERROR(__xludf.DUMMYFUNCTION("IFERROR(GOOGLEFINANCE(B2573,""eps""),0)"),4.47)</f>
        <v>4.47</v>
      </c>
      <c r="AJ2573" s="1"/>
      <c r="AK2573" s="9"/>
      <c r="AL2573" s="9">
        <f t="shared" si="258"/>
        <v>1</v>
      </c>
    </row>
    <row r="2574" spans="1:38" ht="15" x14ac:dyDescent="0.25">
      <c r="A2574" s="1" t="s">
        <v>8002</v>
      </c>
      <c r="B2574" s="1" t="s">
        <v>8003</v>
      </c>
      <c r="C2574" s="1" t="s">
        <v>324</v>
      </c>
      <c r="D2574" s="1" t="s">
        <v>324</v>
      </c>
      <c r="E2574" s="6">
        <v>1179.9000000000001</v>
      </c>
      <c r="F2574" s="1" t="s">
        <v>40</v>
      </c>
      <c r="G2574" s="6">
        <f ca="1">IFERROR(__xludf.DUMMYFUNCTION("iferror(GOOGLEFINANCE(TRIM(F2574)&amp;"":"" &amp; TRIM(B2574), ""price""),0
)"),23)</f>
        <v>23</v>
      </c>
      <c r="H2574" s="6">
        <v>39.61</v>
      </c>
      <c r="I2574" s="6">
        <f t="shared" ca="1" si="0"/>
        <v>23</v>
      </c>
      <c r="J2574" s="6">
        <f ca="1">IFERROR(__xludf.DUMMYFUNCTION("IFERROR(GOOGLEFINANCE(B2574, ""volume""), 0)"),288450)</f>
        <v>288450</v>
      </c>
      <c r="K2574" s="6">
        <v>0.76</v>
      </c>
      <c r="L2574" s="6">
        <f ca="1">IFERROR(__xludf.DUMMYFUNCTION("IFERROR(GOOGLEFINANCE(B2574,""changepct""),K2574)"),-2.21)</f>
        <v>-2.21</v>
      </c>
      <c r="M2574" s="6">
        <f ca="1">IFERROR(__xludf.DUMMYFUNCTION("IFERROR(GOOGLEFINANCE(B2574,""change""),0)"),-0.52)</f>
        <v>-0.52</v>
      </c>
      <c r="N2574" s="6">
        <v>2</v>
      </c>
      <c r="O2574" s="7">
        <v>45536</v>
      </c>
      <c r="P2574" s="6">
        <v>425.53</v>
      </c>
      <c r="Q2574" s="6">
        <v>1562.22</v>
      </c>
      <c r="R2574" s="7">
        <v>45536</v>
      </c>
      <c r="S2574" s="6">
        <v>1095.3699999999999</v>
      </c>
      <c r="T2574" s="6">
        <v>44.12</v>
      </c>
      <c r="U2574" s="7">
        <v>45536</v>
      </c>
      <c r="V2574" s="6">
        <v>26.85</v>
      </c>
      <c r="W2574" s="6">
        <f ca="1">IFERROR(__xludf.DUMMYFUNCTION("IFERROR(GOOGLEFINANCE(B2574,""pe""),V2574)"),14.58)</f>
        <v>14.58</v>
      </c>
      <c r="X2574" s="9"/>
      <c r="Y2574" s="6">
        <v>2.96</v>
      </c>
      <c r="Z2574" s="6">
        <v>2</v>
      </c>
      <c r="AA2574" s="8">
        <v>45352</v>
      </c>
      <c r="AB2574" s="4">
        <v>0.91</v>
      </c>
      <c r="AC2574" s="6">
        <v>27.32</v>
      </c>
      <c r="AD2574" s="6">
        <v>19.39</v>
      </c>
      <c r="AE2574" s="1">
        <v>0</v>
      </c>
      <c r="AF2574" s="1">
        <f ca="1">IFERROR(__xludf.DUMMYFUNCTION("IFERROR(GOOGLEFINANCE(TRIM(F2574)&amp;"":"" &amp; TRIM(B2574),""high52""),AE2574)"),39.05)</f>
        <v>39.049999999999997</v>
      </c>
      <c r="AG2574" s="1">
        <v>0</v>
      </c>
      <c r="AH2574" s="1">
        <f ca="1">IFERROR(__xludf.DUMMYFUNCTION("IFERROR(GOOGLEFINANCE(TRIM(F2574)&amp;"":"" &amp; TRIM(B2574),""low52""),AE2574)"),20.16)</f>
        <v>20.16</v>
      </c>
      <c r="AI2574" s="1">
        <f ca="1">IFERROR(__xludf.DUMMYFUNCTION("IFERROR(GOOGLEFINANCE(B2574,""eps""),0)"),1.58)</f>
        <v>1.58</v>
      </c>
      <c r="AJ2574" s="1"/>
      <c r="AK2574" s="1" t="s">
        <v>8004</v>
      </c>
      <c r="AL2574" s="9">
        <f t="shared" si="258"/>
        <v>1</v>
      </c>
    </row>
    <row r="2575" spans="1:38" ht="15" x14ac:dyDescent="0.25">
      <c r="A2575" s="1" t="s">
        <v>8005</v>
      </c>
      <c r="B2575" s="1" t="s">
        <v>8006</v>
      </c>
      <c r="C2575" s="1" t="s">
        <v>1229</v>
      </c>
      <c r="D2575" s="1" t="s">
        <v>1229</v>
      </c>
      <c r="E2575" s="6">
        <v>205.55</v>
      </c>
      <c r="F2575" s="1" t="s">
        <v>40</v>
      </c>
      <c r="G2575" s="6">
        <f ca="1">IFERROR(__xludf.DUMMYFUNCTION("iferror(GOOGLEFINANCE(TRIM(F2575)&amp;"":"" &amp; TRIM(B2575), ""price""),0
)"),58.8)</f>
        <v>58.8</v>
      </c>
      <c r="H2575" s="6">
        <v>90.6</v>
      </c>
      <c r="I2575" s="6">
        <f t="shared" ca="1" si="0"/>
        <v>58.8</v>
      </c>
      <c r="J2575" s="6">
        <f ca="1">IFERROR(__xludf.DUMMYFUNCTION("IFERROR(GOOGLEFINANCE(B2575, ""volume""), 0)"),13941)</f>
        <v>13941</v>
      </c>
      <c r="K2575" s="6">
        <v>-0.54</v>
      </c>
      <c r="L2575" s="6">
        <f ca="1">IFERROR(__xludf.DUMMYFUNCTION("IFERROR(GOOGLEFINANCE(B2575,""changepct""),K2575)"),5.34)</f>
        <v>5.34</v>
      </c>
      <c r="M2575" s="6">
        <f ca="1">IFERROR(__xludf.DUMMYFUNCTION("IFERROR(GOOGLEFINANCE(B2575,""change""),0)"),2.98)</f>
        <v>2.98</v>
      </c>
      <c r="N2575" s="6">
        <v>2</v>
      </c>
      <c r="O2575" s="7">
        <v>45536</v>
      </c>
      <c r="P2575" s="6">
        <v>73.319999999999993</v>
      </c>
      <c r="Q2575" s="6">
        <v>267.55</v>
      </c>
      <c r="R2575" s="7">
        <v>45536</v>
      </c>
      <c r="S2575" s="6">
        <v>173.53</v>
      </c>
      <c r="T2575" s="6">
        <v>-17.989999999999998</v>
      </c>
      <c r="U2575" s="7">
        <v>45536</v>
      </c>
      <c r="V2575" s="6">
        <v>0</v>
      </c>
      <c r="W2575" s="6">
        <f ca="1">IFERROR(__xludf.DUMMYFUNCTION("IFERROR(GOOGLEFINANCE(B2575,""pe""),V2575)"),0)</f>
        <v>0</v>
      </c>
      <c r="X2575" s="9"/>
      <c r="Y2575" s="6">
        <v>-5.33</v>
      </c>
      <c r="Z2575" s="6">
        <v>2</v>
      </c>
      <c r="AA2575" s="8">
        <v>45352</v>
      </c>
      <c r="AB2575" s="4">
        <v>-2.72</v>
      </c>
      <c r="AC2575" s="6">
        <v>0</v>
      </c>
      <c r="AD2575" s="6">
        <v>17.510000000000002</v>
      </c>
      <c r="AE2575" s="1">
        <v>0</v>
      </c>
      <c r="AF2575" s="1">
        <f ca="1">IFERROR(__xludf.DUMMYFUNCTION("IFERROR(GOOGLEFINANCE(TRIM(F2575)&amp;"":"" &amp; TRIM(B2575),""high52""),AE2575)"),92.45)</f>
        <v>92.45</v>
      </c>
      <c r="AG2575" s="1">
        <v>0</v>
      </c>
      <c r="AH2575" s="1">
        <f ca="1">IFERROR(__xludf.DUMMYFUNCTION("IFERROR(GOOGLEFINANCE(TRIM(F2575)&amp;"":"" &amp; TRIM(B2575),""low52""),AE2575)"),54.45)</f>
        <v>54.45</v>
      </c>
      <c r="AI2575" s="1">
        <f ca="1">IFERROR(__xludf.DUMMYFUNCTION("IFERROR(GOOGLEFINANCE(B2575,""eps""),0)"),-7.09)</f>
        <v>-7.09</v>
      </c>
      <c r="AJ2575" s="1"/>
      <c r="AK2575" s="1" t="s">
        <v>8007</v>
      </c>
      <c r="AL2575" s="9">
        <f t="shared" si="258"/>
        <v>1</v>
      </c>
    </row>
    <row r="2576" spans="1:38" ht="15" x14ac:dyDescent="0.25">
      <c r="A2576" s="1" t="s">
        <v>8008</v>
      </c>
      <c r="B2576" s="1" t="s">
        <v>8009</v>
      </c>
      <c r="C2576" s="1" t="s">
        <v>57</v>
      </c>
      <c r="D2576" s="1" t="s">
        <v>57</v>
      </c>
      <c r="E2576" s="6">
        <v>180.68</v>
      </c>
      <c r="F2576" s="1" t="s">
        <v>53</v>
      </c>
      <c r="G2576" s="6">
        <f ca="1">IFERROR(__xludf.DUMMYFUNCTION("iferror(GOOGLEFINANCE(TRIM(F2576)&amp;"":"" &amp; TRIM(B2576), ""price""),0
)"),0)</f>
        <v>0</v>
      </c>
      <c r="H2576" s="6">
        <v>82.7</v>
      </c>
      <c r="I2576" s="6">
        <f t="shared" ca="1" si="0"/>
        <v>82.7</v>
      </c>
      <c r="J2576" s="6">
        <f ca="1">IFERROR(__xludf.DUMMYFUNCTION("IFERROR(GOOGLEFINANCE(B2576, ""volume""), 0)"),0)</f>
        <v>0</v>
      </c>
      <c r="K2576" s="6">
        <v>2.17</v>
      </c>
      <c r="L2576" s="6">
        <f ca="1">IFERROR(__xludf.DUMMYFUNCTION("IFERROR(GOOGLEFINANCE(B2576,""changepct""),K2576)"),2.17)</f>
        <v>2.17</v>
      </c>
      <c r="M2576" s="6">
        <f ca="1">IFERROR(__xludf.DUMMYFUNCTION("IFERROR(GOOGLEFINANCE(B2576,""change""),0)"),0)</f>
        <v>0</v>
      </c>
      <c r="N2576" s="6">
        <v>1</v>
      </c>
      <c r="O2576" s="7">
        <v>45536</v>
      </c>
      <c r="P2576" s="6">
        <v>0.66</v>
      </c>
      <c r="Q2576" s="6">
        <v>181.34</v>
      </c>
      <c r="R2576" s="7">
        <v>45536</v>
      </c>
      <c r="S2576" s="6">
        <v>13.7</v>
      </c>
      <c r="T2576" s="6">
        <v>1.1499999999999999</v>
      </c>
      <c r="U2576" s="7">
        <v>45536</v>
      </c>
      <c r="V2576" s="6">
        <v>157.11000000000001</v>
      </c>
      <c r="W2576" s="6">
        <f ca="1">IFERROR(__xludf.DUMMYFUNCTION("IFERROR(GOOGLEFINANCE(B2576,""pe""),V2576)"),157.11)</f>
        <v>157.11000000000001</v>
      </c>
      <c r="X2576" s="6">
        <v>9.92</v>
      </c>
      <c r="Y2576" s="6">
        <v>9.44</v>
      </c>
      <c r="Z2576" s="6">
        <v>1</v>
      </c>
      <c r="AA2576" s="8">
        <v>45352</v>
      </c>
      <c r="AB2576" s="4">
        <v>0.04</v>
      </c>
      <c r="AC2576" s="6">
        <v>20.73</v>
      </c>
      <c r="AD2576" s="6">
        <v>18.399999999999999</v>
      </c>
      <c r="AE2576" s="1">
        <v>0</v>
      </c>
      <c r="AF2576" s="1">
        <f ca="1">IFERROR(__xludf.DUMMYFUNCTION("IFERROR(GOOGLEFINANCE(TRIM(F2576)&amp;"":"" &amp; TRIM(B2576),""high52""),AE2576)"),0)</f>
        <v>0</v>
      </c>
      <c r="AG2576" s="1">
        <v>0</v>
      </c>
      <c r="AH2576" s="1">
        <f ca="1">IFERROR(__xludf.DUMMYFUNCTION("IFERROR(GOOGLEFINANCE(TRIM(F2576)&amp;"":"" &amp; TRIM(B2576),""low52""),AE2576)"),0)</f>
        <v>0</v>
      </c>
      <c r="AI2576" s="1">
        <f ca="1">IFERROR(__xludf.DUMMYFUNCTION("IFERROR(GOOGLEFINANCE(B2576,""eps""),0)"),0)</f>
        <v>0</v>
      </c>
      <c r="AJ2576" s="1"/>
      <c r="AK2576" s="1" t="s">
        <v>8010</v>
      </c>
      <c r="AL2576" s="9">
        <f t="shared" si="258"/>
        <v>1</v>
      </c>
    </row>
    <row r="2577" spans="1:38" ht="15" x14ac:dyDescent="0.25">
      <c r="A2577" s="1" t="s">
        <v>8011</v>
      </c>
      <c r="B2577" s="1" t="s">
        <v>8012</v>
      </c>
      <c r="C2577" s="1" t="s">
        <v>57</v>
      </c>
      <c r="D2577" s="1" t="s">
        <v>57</v>
      </c>
      <c r="E2577" s="6">
        <v>391.04</v>
      </c>
      <c r="F2577" s="1" t="s">
        <v>53</v>
      </c>
      <c r="G2577" s="6">
        <f ca="1">IFERROR(__xludf.DUMMYFUNCTION("iferror(GOOGLEFINANCE(TRIM(F2577)&amp;"":"" &amp; TRIM(B2577), ""price""),0
)"),0)</f>
        <v>0</v>
      </c>
      <c r="H2577" s="6">
        <v>188</v>
      </c>
      <c r="I2577" s="6">
        <f t="shared" ca="1" si="0"/>
        <v>188</v>
      </c>
      <c r="J2577" s="6">
        <f ca="1">IFERROR(__xludf.DUMMYFUNCTION("IFERROR(GOOGLEFINANCE(B2577, ""volume""), 0)"),0)</f>
        <v>0</v>
      </c>
      <c r="K2577" s="6">
        <v>-3.84</v>
      </c>
      <c r="L2577" s="6">
        <f ca="1">IFERROR(__xludf.DUMMYFUNCTION("IFERROR(GOOGLEFINANCE(B2577,""changepct""),K2577)"),-3.84)</f>
        <v>-3.84</v>
      </c>
      <c r="M2577" s="6">
        <f ca="1">IFERROR(__xludf.DUMMYFUNCTION("IFERROR(GOOGLEFINANCE(B2577,""change""),0)"),0)</f>
        <v>0</v>
      </c>
      <c r="N2577" s="6">
        <v>2</v>
      </c>
      <c r="O2577" s="7">
        <v>45536</v>
      </c>
      <c r="P2577" s="9"/>
      <c r="Q2577" s="6">
        <v>362.06</v>
      </c>
      <c r="R2577" s="7">
        <v>45536</v>
      </c>
      <c r="S2577" s="6">
        <v>91.46</v>
      </c>
      <c r="T2577" s="6">
        <v>16.850000000000001</v>
      </c>
      <c r="U2577" s="7">
        <v>45536</v>
      </c>
      <c r="V2577" s="6">
        <v>26.02</v>
      </c>
      <c r="W2577" s="6">
        <f ca="1">IFERROR(__xludf.DUMMYFUNCTION("IFERROR(GOOGLEFINANCE(B2577,""pe""),V2577)"),26.02)</f>
        <v>26.02</v>
      </c>
      <c r="X2577" s="6">
        <v>-16.68</v>
      </c>
      <c r="Y2577" s="6">
        <v>1.72</v>
      </c>
      <c r="Z2577" s="6">
        <v>2</v>
      </c>
      <c r="AA2577" s="8">
        <v>45352</v>
      </c>
      <c r="AB2577" s="4">
        <v>0</v>
      </c>
      <c r="AC2577" s="6">
        <v>7.08</v>
      </c>
      <c r="AD2577" s="6">
        <v>9.27</v>
      </c>
      <c r="AE2577" s="1">
        <v>0</v>
      </c>
      <c r="AF2577" s="1">
        <f ca="1">IFERROR(__xludf.DUMMYFUNCTION("IFERROR(GOOGLEFINANCE(TRIM(F2577)&amp;"":"" &amp; TRIM(B2577),""high52""),AE2577)"),0)</f>
        <v>0</v>
      </c>
      <c r="AG2577" s="1">
        <v>0</v>
      </c>
      <c r="AH2577" s="1">
        <f ca="1">IFERROR(__xludf.DUMMYFUNCTION("IFERROR(GOOGLEFINANCE(TRIM(F2577)&amp;"":"" &amp; TRIM(B2577),""low52""),AE2577)"),0)</f>
        <v>0</v>
      </c>
      <c r="AI2577" s="1">
        <f ca="1">IFERROR(__xludf.DUMMYFUNCTION("IFERROR(GOOGLEFINANCE(B2577,""eps""),0)"),0)</f>
        <v>0</v>
      </c>
      <c r="AJ2577" s="1"/>
      <c r="AK2577" s="1" t="s">
        <v>8013</v>
      </c>
      <c r="AL2577" s="9">
        <f t="shared" si="258"/>
        <v>1</v>
      </c>
    </row>
    <row r="2578" spans="1:38" ht="15" x14ac:dyDescent="0.25">
      <c r="A2578" s="1" t="s">
        <v>8014</v>
      </c>
      <c r="B2578" s="1" t="s">
        <v>8015</v>
      </c>
      <c r="C2578" s="1" t="s">
        <v>75</v>
      </c>
      <c r="D2578" s="1" t="s">
        <v>75</v>
      </c>
      <c r="E2578" s="6">
        <v>32325.83</v>
      </c>
      <c r="F2578" s="1" t="s">
        <v>40</v>
      </c>
      <c r="G2578" s="6">
        <f ca="1">IFERROR(__xludf.DUMMYFUNCTION("iferror(GOOGLEFINANCE(TRIM(F2578)&amp;"":"" &amp; TRIM(B2578), ""price""),0
)"),2344)</f>
        <v>2344</v>
      </c>
      <c r="H2578" s="6">
        <v>6270</v>
      </c>
      <c r="I2578" s="6">
        <f t="shared" ca="1" si="0"/>
        <v>2344</v>
      </c>
      <c r="J2578" s="6">
        <f ca="1">IFERROR(__xludf.DUMMYFUNCTION("IFERROR(GOOGLEFINANCE(B2578, ""volume""), 0)"),0)</f>
        <v>0</v>
      </c>
      <c r="K2578" s="6">
        <v>-1.0900000000000001</v>
      </c>
      <c r="L2578" s="6">
        <f ca="1">IFERROR(__xludf.DUMMYFUNCTION("IFERROR(GOOGLEFINANCE(B2578,""changepct""),K2578)"),-0.37)</f>
        <v>-0.37</v>
      </c>
      <c r="M2578" s="6">
        <f ca="1">IFERROR(__xludf.DUMMYFUNCTION("IFERROR(GOOGLEFINANCE(B2578,""change""),0)"),-85.53)</f>
        <v>-85.53</v>
      </c>
      <c r="N2578" s="6">
        <v>2</v>
      </c>
      <c r="O2578" s="7">
        <v>45536</v>
      </c>
      <c r="P2578" s="6">
        <v>345.51</v>
      </c>
      <c r="Q2578" s="7">
        <v>45536</v>
      </c>
      <c r="R2578" s="6">
        <v>93.14</v>
      </c>
      <c r="S2578" s="6">
        <v>-7.05</v>
      </c>
      <c r="T2578" s="6">
        <v>13.22</v>
      </c>
      <c r="U2578" s="6">
        <v>2</v>
      </c>
      <c r="V2578" s="7">
        <v>45352</v>
      </c>
      <c r="W2578" s="10">
        <f ca="1">IFERROR(__xludf.DUMMYFUNCTION("IFERROR(GOOGLEFINANCE(B2578,""pe""),V2578)"),45352)</f>
        <v>45352</v>
      </c>
      <c r="X2578" s="6">
        <v>0</v>
      </c>
      <c r="Y2578" s="6">
        <v>3.93</v>
      </c>
      <c r="Z2578" s="6">
        <v>4.84</v>
      </c>
      <c r="AA2578" s="3" t="s">
        <v>8016</v>
      </c>
      <c r="AB2578" s="11"/>
      <c r="AC2578" s="9"/>
      <c r="AD2578" s="9"/>
      <c r="AE2578" s="1">
        <v>0</v>
      </c>
      <c r="AF2578" s="1">
        <f ca="1">IFERROR(__xludf.DUMMYFUNCTION("IFERROR(GOOGLEFINANCE(TRIM(F2578)&amp;"":"" &amp; TRIM(B2578),""high52""),AE2578)"),2705)</f>
        <v>2705</v>
      </c>
      <c r="AG2578" s="1">
        <v>0</v>
      </c>
      <c r="AH2578" s="1">
        <f ca="1">IFERROR(__xludf.DUMMYFUNCTION("IFERROR(GOOGLEFINANCE(TRIM(F2578)&amp;"":"" &amp; TRIM(B2578),""low52""),AE2578)"),881.63)</f>
        <v>881.63</v>
      </c>
      <c r="AI2578" s="1">
        <f ca="1">IFERROR(__xludf.DUMMYFUNCTION("IFERROR(GOOGLEFINANCE(B2578,""eps""),0)"),0)</f>
        <v>0</v>
      </c>
      <c r="AJ2578" s="1"/>
      <c r="AK2578" s="1" t="s">
        <v>8017</v>
      </c>
      <c r="AL2578" s="9">
        <f t="shared" si="258"/>
        <v>1</v>
      </c>
    </row>
    <row r="2579" spans="1:38" ht="15" x14ac:dyDescent="0.25">
      <c r="A2579" s="1" t="s">
        <v>8018</v>
      </c>
      <c r="B2579" s="1" t="s">
        <v>8019</v>
      </c>
      <c r="C2579" s="1" t="s">
        <v>57</v>
      </c>
      <c r="D2579" s="1" t="s">
        <v>57</v>
      </c>
      <c r="E2579" s="6">
        <v>405.76</v>
      </c>
      <c r="F2579" s="1" t="s">
        <v>53</v>
      </c>
      <c r="G2579" s="6">
        <f ca="1">IFERROR(__xludf.DUMMYFUNCTION("iferror(GOOGLEFINANCE(TRIM(F2579)&amp;"":"" &amp; TRIM(B2579), ""price""),0
)"),0)</f>
        <v>0</v>
      </c>
      <c r="H2579" s="6">
        <v>317</v>
      </c>
      <c r="I2579" s="6">
        <f t="shared" ca="1" si="0"/>
        <v>317</v>
      </c>
      <c r="J2579" s="6">
        <f ca="1">IFERROR(__xludf.DUMMYFUNCTION("IFERROR(GOOGLEFINANCE(B2579, ""volume""), 0)"),0)</f>
        <v>0</v>
      </c>
      <c r="K2579" s="6">
        <v>0</v>
      </c>
      <c r="L2579" s="6">
        <f ca="1">IFERROR(__xludf.DUMMYFUNCTION("IFERROR(GOOGLEFINANCE(B2579,""changepct""),K2579)"),0)</f>
        <v>0</v>
      </c>
      <c r="M2579" s="6">
        <f ca="1">IFERROR(__xludf.DUMMYFUNCTION("IFERROR(GOOGLEFINANCE(B2579,""change""),0)"),0)</f>
        <v>0</v>
      </c>
      <c r="N2579" s="6">
        <v>2</v>
      </c>
      <c r="O2579" s="7">
        <v>45536</v>
      </c>
      <c r="P2579" s="6">
        <v>6.26</v>
      </c>
      <c r="Q2579" s="6">
        <v>412.02</v>
      </c>
      <c r="R2579" s="7">
        <v>45536</v>
      </c>
      <c r="S2579" s="6">
        <v>31</v>
      </c>
      <c r="T2579" s="6">
        <v>7.06</v>
      </c>
      <c r="U2579" s="7">
        <v>45536</v>
      </c>
      <c r="V2579" s="6">
        <v>69.81</v>
      </c>
      <c r="W2579" s="6">
        <f ca="1">IFERROR(__xludf.DUMMYFUNCTION("IFERROR(GOOGLEFINANCE(B2579,""pe""),V2579)"),69.81)</f>
        <v>69.81</v>
      </c>
      <c r="X2579" s="6">
        <v>0.41</v>
      </c>
      <c r="Y2579" s="6">
        <v>4.97</v>
      </c>
      <c r="Z2579" s="6">
        <v>2</v>
      </c>
      <c r="AA2579" s="8">
        <v>45352</v>
      </c>
      <c r="AB2579" s="4">
        <v>0.06</v>
      </c>
      <c r="AC2579" s="6">
        <v>21.37</v>
      </c>
      <c r="AD2579" s="6">
        <v>22.76</v>
      </c>
      <c r="AE2579" s="1">
        <v>0</v>
      </c>
      <c r="AF2579" s="1">
        <f ca="1">IFERROR(__xludf.DUMMYFUNCTION("IFERROR(GOOGLEFINANCE(TRIM(F2579)&amp;"":"" &amp; TRIM(B2579),""high52""),AE2579)"),0)</f>
        <v>0</v>
      </c>
      <c r="AG2579" s="1">
        <v>0</v>
      </c>
      <c r="AH2579" s="1">
        <f ca="1">IFERROR(__xludf.DUMMYFUNCTION("IFERROR(GOOGLEFINANCE(TRIM(F2579)&amp;"":"" &amp; TRIM(B2579),""low52""),AE2579)"),0)</f>
        <v>0</v>
      </c>
      <c r="AI2579" s="1">
        <f ca="1">IFERROR(__xludf.DUMMYFUNCTION("IFERROR(GOOGLEFINANCE(B2579,""eps""),0)"),0)</f>
        <v>0</v>
      </c>
      <c r="AJ2579" s="1"/>
      <c r="AK2579" s="1" t="s">
        <v>8020</v>
      </c>
      <c r="AL2579" s="9">
        <f t="shared" si="258"/>
        <v>1</v>
      </c>
    </row>
    <row r="2580" spans="1:38" ht="15" x14ac:dyDescent="0.25">
      <c r="A2580" s="1" t="s">
        <v>8021</v>
      </c>
      <c r="B2580" s="1" t="s">
        <v>8022</v>
      </c>
      <c r="C2580" s="1" t="s">
        <v>355</v>
      </c>
      <c r="D2580" s="1" t="s">
        <v>355</v>
      </c>
      <c r="E2580" s="6">
        <v>1056.7</v>
      </c>
      <c r="F2580" s="1" t="s">
        <v>40</v>
      </c>
      <c r="G2580" s="6">
        <f ca="1">IFERROR(__xludf.DUMMYFUNCTION("iferror(GOOGLEFINANCE(TRIM(F2580)&amp;"":"" &amp; TRIM(B2580), ""price""),0
)"),71.65)</f>
        <v>71.650000000000006</v>
      </c>
      <c r="H2580" s="6">
        <v>105.08</v>
      </c>
      <c r="I2580" s="6">
        <f t="shared" ca="1" si="0"/>
        <v>71.650000000000006</v>
      </c>
      <c r="J2580" s="6">
        <f ca="1">IFERROR(__xludf.DUMMYFUNCTION("IFERROR(GOOGLEFINANCE(B2580, ""volume""), 0)"),41180)</f>
        <v>41180</v>
      </c>
      <c r="K2580" s="6">
        <v>-0.62</v>
      </c>
      <c r="L2580" s="6">
        <f ca="1">IFERROR(__xludf.DUMMYFUNCTION("IFERROR(GOOGLEFINANCE(B2580,""changepct""),K2580)"),0.08)</f>
        <v>0.08</v>
      </c>
      <c r="M2580" s="6">
        <f ca="1">IFERROR(__xludf.DUMMYFUNCTION("IFERROR(GOOGLEFINANCE(B2580,""change""),0)"),0.06)</f>
        <v>0.06</v>
      </c>
      <c r="N2580" s="6">
        <v>2</v>
      </c>
      <c r="O2580" s="7">
        <v>45536</v>
      </c>
      <c r="P2580" s="6">
        <v>130.78</v>
      </c>
      <c r="Q2580" s="6">
        <v>1178.78</v>
      </c>
      <c r="R2580" s="7">
        <v>45536</v>
      </c>
      <c r="S2580" s="6">
        <v>1860.9</v>
      </c>
      <c r="T2580" s="6">
        <v>43.73</v>
      </c>
      <c r="U2580" s="7">
        <v>45536</v>
      </c>
      <c r="V2580" s="6">
        <v>23.35</v>
      </c>
      <c r="W2580" s="6">
        <f ca="1">IFERROR(__xludf.DUMMYFUNCTION("IFERROR(GOOGLEFINANCE(B2580,""pe""),V2580)"),21.68)</f>
        <v>21.68</v>
      </c>
      <c r="X2580" s="6">
        <v>5.52</v>
      </c>
      <c r="Y2580" s="6">
        <v>2.57</v>
      </c>
      <c r="Z2580" s="6">
        <v>2</v>
      </c>
      <c r="AA2580" s="8">
        <v>45352</v>
      </c>
      <c r="AB2580" s="4">
        <v>0.25</v>
      </c>
      <c r="AC2580" s="6">
        <v>9.68</v>
      </c>
      <c r="AD2580" s="6">
        <v>18.05</v>
      </c>
      <c r="AE2580" s="1">
        <v>0</v>
      </c>
      <c r="AF2580" s="1">
        <f ca="1">IFERROR(__xludf.DUMMYFUNCTION("IFERROR(GOOGLEFINANCE(TRIM(F2580)&amp;"":"" &amp; TRIM(B2580),""high52""),AE2580)"),114.55)</f>
        <v>114.55</v>
      </c>
      <c r="AG2580" s="1">
        <v>0</v>
      </c>
      <c r="AH2580" s="1">
        <f ca="1">IFERROR(__xludf.DUMMYFUNCTION("IFERROR(GOOGLEFINANCE(TRIM(F2580)&amp;"":"" &amp; TRIM(B2580),""low52""),AE2580)"),60.52)</f>
        <v>60.52</v>
      </c>
      <c r="AI2580" s="1">
        <f ca="1">IFERROR(__xludf.DUMMYFUNCTION("IFERROR(GOOGLEFINANCE(B2580,""eps""),0)"),3.31)</f>
        <v>3.31</v>
      </c>
      <c r="AJ2580" s="1"/>
      <c r="AK2580" s="1" t="s">
        <v>8023</v>
      </c>
      <c r="AL2580" s="1" t="b">
        <f t="shared" ref="AL2580:AL2582" si="259">ISNUMBER(AA2580)</f>
        <v>1</v>
      </c>
    </row>
    <row r="2581" spans="1:38" ht="15" x14ac:dyDescent="0.25">
      <c r="A2581" s="1" t="s">
        <v>8024</v>
      </c>
      <c r="B2581" s="1" t="s">
        <v>8025</v>
      </c>
      <c r="C2581" s="1" t="s">
        <v>355</v>
      </c>
      <c r="D2581" s="1" t="s">
        <v>355</v>
      </c>
      <c r="E2581" s="6">
        <v>607.52</v>
      </c>
      <c r="F2581" s="1" t="s">
        <v>40</v>
      </c>
      <c r="G2581" s="6">
        <f ca="1">IFERROR(__xludf.DUMMYFUNCTION("iferror(GOOGLEFINANCE(TRIM(F2581)&amp;"":"" &amp; TRIM(B2581), ""price""),0
)"),117.75)</f>
        <v>117.75</v>
      </c>
      <c r="H2581" s="6">
        <v>151.33000000000001</v>
      </c>
      <c r="I2581" s="6">
        <f t="shared" ca="1" si="0"/>
        <v>117.75</v>
      </c>
      <c r="J2581" s="6">
        <f ca="1">IFERROR(__xludf.DUMMYFUNCTION("IFERROR(GOOGLEFINANCE(B2581, ""volume""), 0)"),22973)</f>
        <v>22973</v>
      </c>
      <c r="K2581" s="6">
        <v>0.16</v>
      </c>
      <c r="L2581" s="6">
        <f ca="1">IFERROR(__xludf.DUMMYFUNCTION("IFERROR(GOOGLEFINANCE(B2581,""changepct""),K2581)"),-0.82)</f>
        <v>-0.82</v>
      </c>
      <c r="M2581" s="6">
        <f ca="1">IFERROR(__xludf.DUMMYFUNCTION("IFERROR(GOOGLEFINANCE(B2581,""change""),0)"),-0.97)</f>
        <v>-0.97</v>
      </c>
      <c r="N2581" s="6">
        <v>1</v>
      </c>
      <c r="O2581" s="7">
        <v>45536</v>
      </c>
      <c r="P2581" s="9"/>
      <c r="Q2581" s="6">
        <v>596.17999999999995</v>
      </c>
      <c r="R2581" s="7">
        <v>45536</v>
      </c>
      <c r="S2581" s="6">
        <v>1226.07</v>
      </c>
      <c r="T2581" s="6">
        <v>30.43</v>
      </c>
      <c r="U2581" s="7">
        <v>45536</v>
      </c>
      <c r="V2581" s="6">
        <v>19.96</v>
      </c>
      <c r="W2581" s="6">
        <f ca="1">IFERROR(__xludf.DUMMYFUNCTION("IFERROR(GOOGLEFINANCE(B2581,""pe""),V2581)"),18.21)</f>
        <v>18.21</v>
      </c>
      <c r="X2581" s="6">
        <v>-1.58</v>
      </c>
      <c r="Y2581" s="6">
        <v>0.92</v>
      </c>
      <c r="Z2581" s="6">
        <v>1</v>
      </c>
      <c r="AA2581" s="8">
        <v>45352</v>
      </c>
      <c r="AB2581" s="4">
        <v>0</v>
      </c>
      <c r="AC2581" s="6">
        <v>4.68</v>
      </c>
      <c r="AD2581" s="6">
        <v>5.55</v>
      </c>
      <c r="AE2581" s="1">
        <v>0</v>
      </c>
      <c r="AF2581" s="1">
        <f ca="1">IFERROR(__xludf.DUMMYFUNCTION("IFERROR(GOOGLEFINANCE(TRIM(F2581)&amp;"":"" &amp; TRIM(B2581),""high52""),AE2581)"),157.5)</f>
        <v>157.5</v>
      </c>
      <c r="AG2581" s="1">
        <v>0</v>
      </c>
      <c r="AH2581" s="1">
        <f ca="1">IFERROR(__xludf.DUMMYFUNCTION("IFERROR(GOOGLEFINANCE(TRIM(F2581)&amp;"":"" &amp; TRIM(B2581),""low52""),AE2581)"),104.2)</f>
        <v>104.2</v>
      </c>
      <c r="AI2581" s="1">
        <f ca="1">IFERROR(__xludf.DUMMYFUNCTION("IFERROR(GOOGLEFINANCE(B2581,""eps""),0)"),6.47)</f>
        <v>6.47</v>
      </c>
      <c r="AJ2581" s="1"/>
      <c r="AK2581" s="1" t="s">
        <v>8026</v>
      </c>
      <c r="AL2581" s="1" t="b">
        <f t="shared" si="259"/>
        <v>1</v>
      </c>
    </row>
    <row r="2582" spans="1:38" ht="15" x14ac:dyDescent="0.25">
      <c r="A2582" s="1" t="s">
        <v>8027</v>
      </c>
      <c r="B2582" s="1" t="s">
        <v>8028</v>
      </c>
      <c r="C2582" s="1" t="s">
        <v>889</v>
      </c>
      <c r="D2582" s="1" t="s">
        <v>889</v>
      </c>
      <c r="E2582" s="6">
        <v>309.81</v>
      </c>
      <c r="F2582" s="1" t="s">
        <v>40</v>
      </c>
      <c r="G2582" s="6">
        <f ca="1">IFERROR(__xludf.DUMMYFUNCTION("iferror(GOOGLEFINANCE(TRIM(F2582)&amp;"":"" &amp; TRIM(B2582), ""price""),0
)"),32.89)</f>
        <v>32.89</v>
      </c>
      <c r="H2582" s="6">
        <v>51.92</v>
      </c>
      <c r="I2582" s="6">
        <f t="shared" ca="1" si="0"/>
        <v>32.89</v>
      </c>
      <c r="J2582" s="6">
        <f ca="1">IFERROR(__xludf.DUMMYFUNCTION("IFERROR(GOOGLEFINANCE(B2582, ""volume""), 0)"),11736)</f>
        <v>11736</v>
      </c>
      <c r="K2582" s="6">
        <v>1.49</v>
      </c>
      <c r="L2582" s="6">
        <f ca="1">IFERROR(__xludf.DUMMYFUNCTION("IFERROR(GOOGLEFINANCE(B2582,""changepct""),K2582)"),0.64)</f>
        <v>0.64</v>
      </c>
      <c r="M2582" s="6">
        <f ca="1">IFERROR(__xludf.DUMMYFUNCTION("IFERROR(GOOGLEFINANCE(B2582,""change""),0)"),0.21)</f>
        <v>0.21</v>
      </c>
      <c r="N2582" s="6">
        <v>2</v>
      </c>
      <c r="O2582" s="7">
        <v>45536</v>
      </c>
      <c r="P2582" s="6">
        <v>101.92</v>
      </c>
      <c r="Q2582" s="6">
        <v>407.14</v>
      </c>
      <c r="R2582" s="7">
        <v>45536</v>
      </c>
      <c r="S2582" s="6">
        <v>189.02</v>
      </c>
      <c r="T2582" s="6">
        <v>7.42</v>
      </c>
      <c r="U2582" s="7">
        <v>45536</v>
      </c>
      <c r="V2582" s="6">
        <v>39.909999999999997</v>
      </c>
      <c r="W2582" s="6">
        <f ca="1">IFERROR(__xludf.DUMMYFUNCTION("IFERROR(GOOGLEFINANCE(B2582,""pe""),V2582)"),20.29)</f>
        <v>20.29</v>
      </c>
      <c r="X2582" s="14"/>
      <c r="Y2582" s="6">
        <v>0.84</v>
      </c>
      <c r="Z2582" s="6">
        <v>2</v>
      </c>
      <c r="AA2582" s="8">
        <v>45352</v>
      </c>
      <c r="AB2582" s="4">
        <v>0.28999999999999998</v>
      </c>
      <c r="AC2582" s="6">
        <v>1.43</v>
      </c>
      <c r="AD2582" s="6">
        <v>4.7699999999999996</v>
      </c>
      <c r="AE2582" s="1">
        <v>0</v>
      </c>
      <c r="AF2582" s="1">
        <f ca="1">IFERROR(__xludf.DUMMYFUNCTION("IFERROR(GOOGLEFINANCE(TRIM(F2582)&amp;"":"" &amp; TRIM(B2582),""high52""),AE2582)"),48.5)</f>
        <v>48.5</v>
      </c>
      <c r="AG2582" s="1">
        <v>0</v>
      </c>
      <c r="AH2582" s="1">
        <f ca="1">IFERROR(__xludf.DUMMYFUNCTION("IFERROR(GOOGLEFINANCE(TRIM(F2582)&amp;"":"" &amp; TRIM(B2582),""low52""),AE2582)"),29.92)</f>
        <v>29.92</v>
      </c>
      <c r="AI2582" s="1">
        <f ca="1">IFERROR(__xludf.DUMMYFUNCTION("IFERROR(GOOGLEFINANCE(B2582,""eps""),0)"),1.62)</f>
        <v>1.62</v>
      </c>
      <c r="AJ2582" s="1"/>
      <c r="AK2582" s="1" t="s">
        <v>8029</v>
      </c>
      <c r="AL2582" s="1" t="b">
        <f t="shared" si="259"/>
        <v>1</v>
      </c>
    </row>
    <row r="2583" spans="1:38" ht="15" x14ac:dyDescent="0.25">
      <c r="A2583" s="1" t="s">
        <v>8030</v>
      </c>
      <c r="B2583" s="1" t="s">
        <v>8031</v>
      </c>
      <c r="C2583" s="1" t="s">
        <v>1682</v>
      </c>
      <c r="D2583" s="1" t="s">
        <v>1682</v>
      </c>
      <c r="E2583" s="6">
        <v>422.08</v>
      </c>
      <c r="F2583" s="1" t="s">
        <v>40</v>
      </c>
      <c r="G2583" s="6">
        <f ca="1">IFERROR(__xludf.DUMMYFUNCTION("iferror(GOOGLEFINANCE(TRIM(F2583)&amp;"":"" &amp; TRIM(B2583), ""price""),0
)"),6.1)</f>
        <v>6.1</v>
      </c>
      <c r="H2583" s="6">
        <v>12.24</v>
      </c>
      <c r="I2583" s="6">
        <f t="shared" ca="1" si="0"/>
        <v>6.1</v>
      </c>
      <c r="J2583" s="6">
        <f ca="1">IFERROR(__xludf.DUMMYFUNCTION("IFERROR(GOOGLEFINANCE(B2583, ""volume""), 0)"),54375)</f>
        <v>54375</v>
      </c>
      <c r="K2583" s="6">
        <v>0.33</v>
      </c>
      <c r="L2583" s="6">
        <f ca="1">IFERROR(__xludf.DUMMYFUNCTION("IFERROR(GOOGLEFINANCE(B2583,""changepct""),K2583)"),0.99)</f>
        <v>0.99</v>
      </c>
      <c r="M2583" s="6">
        <f ca="1">IFERROR(__xludf.DUMMYFUNCTION("IFERROR(GOOGLEFINANCE(B2583,""change""),0)"),0.06)</f>
        <v>0.06</v>
      </c>
      <c r="N2583" s="6">
        <v>1</v>
      </c>
      <c r="O2583" s="7">
        <v>45536</v>
      </c>
      <c r="P2583" s="6">
        <v>95.81</v>
      </c>
      <c r="Q2583" s="6">
        <v>514.07000000000005</v>
      </c>
      <c r="R2583" s="7">
        <v>45536</v>
      </c>
      <c r="S2583" s="6">
        <v>237.5</v>
      </c>
      <c r="T2583" s="6">
        <v>6.13</v>
      </c>
      <c r="U2583" s="7">
        <v>45536</v>
      </c>
      <c r="V2583" s="6">
        <v>68.86</v>
      </c>
      <c r="W2583" s="6">
        <f ca="1">IFERROR(__xludf.DUMMYFUNCTION("IFERROR(GOOGLEFINANCE(B2583,""pe""),V2583)"),68.86)</f>
        <v>68.86</v>
      </c>
      <c r="X2583" s="6">
        <v>-1.94</v>
      </c>
      <c r="Y2583" s="6">
        <v>0.79</v>
      </c>
      <c r="Z2583" s="6">
        <v>1</v>
      </c>
      <c r="AA2583" s="8">
        <v>45352</v>
      </c>
      <c r="AB2583" s="4">
        <v>0.17</v>
      </c>
      <c r="AC2583" s="6">
        <v>1.3</v>
      </c>
      <c r="AD2583" s="6">
        <v>3.7</v>
      </c>
      <c r="AE2583" s="1">
        <v>0</v>
      </c>
      <c r="AF2583" s="1">
        <f ca="1">IFERROR(__xludf.DUMMYFUNCTION("IFERROR(GOOGLEFINANCE(TRIM(F2583)&amp;"":"" &amp; TRIM(B2583),""high52""),AE2583)"),12.2)</f>
        <v>12.2</v>
      </c>
      <c r="AG2583" s="1">
        <v>0</v>
      </c>
      <c r="AH2583" s="1">
        <f ca="1">IFERROR(__xludf.DUMMYFUNCTION("IFERROR(GOOGLEFINANCE(TRIM(F2583)&amp;"":"" &amp; TRIM(B2583),""low52""),AE2583)"),5.78)</f>
        <v>5.78</v>
      </c>
      <c r="AI2583" s="1">
        <f ca="1">IFERROR(__xludf.DUMMYFUNCTION("IFERROR(GOOGLEFINANCE(B2583,""eps""),0)"),-1.29)</f>
        <v>-1.29</v>
      </c>
      <c r="AJ2583" s="1"/>
      <c r="AK2583" s="1" t="s">
        <v>8032</v>
      </c>
      <c r="AL2583" s="9">
        <f t="shared" ref="AL2583:AL2623" si="260">IF(AA2583&lt;&gt;AB2583,1,0)</f>
        <v>1</v>
      </c>
    </row>
    <row r="2584" spans="1:38" ht="15" x14ac:dyDescent="0.25">
      <c r="A2584" s="1" t="s">
        <v>8033</v>
      </c>
      <c r="B2584" s="1" t="s">
        <v>8034</v>
      </c>
      <c r="C2584" s="1" t="s">
        <v>208</v>
      </c>
      <c r="D2584" s="1" t="s">
        <v>208</v>
      </c>
      <c r="E2584" s="6">
        <v>551.65</v>
      </c>
      <c r="F2584" s="1" t="s">
        <v>40</v>
      </c>
      <c r="G2584" s="6">
        <f ca="1">IFERROR(__xludf.DUMMYFUNCTION("iferror(GOOGLEFINANCE(TRIM(F2584)&amp;"":"" &amp; TRIM(B2584), ""price""),0
)"),230.25)</f>
        <v>230.25</v>
      </c>
      <c r="H2584" s="6">
        <v>336.4</v>
      </c>
      <c r="I2584" s="6">
        <f t="shared" ca="1" si="0"/>
        <v>230.25</v>
      </c>
      <c r="J2584" s="6">
        <f ca="1">IFERROR(__xludf.DUMMYFUNCTION("IFERROR(GOOGLEFINANCE(B2584, ""volume""), 0)"),14694)</f>
        <v>14694</v>
      </c>
      <c r="K2584" s="6">
        <v>0.15</v>
      </c>
      <c r="L2584" s="6">
        <f ca="1">IFERROR(__xludf.DUMMYFUNCTION("IFERROR(GOOGLEFINANCE(B2584,""changepct""),K2584)"),-1.69)</f>
        <v>-1.69</v>
      </c>
      <c r="M2584" s="6">
        <f ca="1">IFERROR(__xludf.DUMMYFUNCTION("IFERROR(GOOGLEFINANCE(B2584,""change""),0)"),-3.96)</f>
        <v>-3.96</v>
      </c>
      <c r="N2584" s="6">
        <v>1</v>
      </c>
      <c r="O2584" s="7">
        <v>45536</v>
      </c>
      <c r="P2584" s="6">
        <v>48.46</v>
      </c>
      <c r="Q2584" s="7">
        <v>45536</v>
      </c>
      <c r="R2584" s="6">
        <v>11.38</v>
      </c>
      <c r="S2584" s="6">
        <v>-1.1499999999999999</v>
      </c>
      <c r="T2584" s="6">
        <v>0.86</v>
      </c>
      <c r="U2584" s="6">
        <v>1</v>
      </c>
      <c r="V2584" s="7">
        <v>45352</v>
      </c>
      <c r="W2584" s="6">
        <f ca="1">IFERROR(__xludf.DUMMYFUNCTION("IFERROR(GOOGLEFINANCE(B2584,""pe""),V2584)"),30.98)</f>
        <v>30.98</v>
      </c>
      <c r="X2584" s="6">
        <v>2.71</v>
      </c>
      <c r="Y2584" s="6">
        <v>22.28</v>
      </c>
      <c r="Z2584" s="6">
        <v>14.27</v>
      </c>
      <c r="AA2584" s="3" t="s">
        <v>8035</v>
      </c>
      <c r="AB2584" s="3"/>
      <c r="AC2584" s="9"/>
      <c r="AD2584" s="9"/>
      <c r="AE2584" s="1">
        <v>0</v>
      </c>
      <c r="AF2584" s="1">
        <f ca="1">IFERROR(__xludf.DUMMYFUNCTION("IFERROR(GOOGLEFINANCE(TRIM(F2584)&amp;"":"" &amp; TRIM(B2584),""high52""),AE2584)"),366.3)</f>
        <v>366.3</v>
      </c>
      <c r="AG2584" s="1">
        <v>0</v>
      </c>
      <c r="AH2584" s="1">
        <f ca="1">IFERROR(__xludf.DUMMYFUNCTION("IFERROR(GOOGLEFINANCE(TRIM(F2584)&amp;"":"" &amp; TRIM(B2584),""low52""),AE2584)"),214.1)</f>
        <v>214.1</v>
      </c>
      <c r="AI2584" s="1">
        <f ca="1">IFERROR(__xludf.DUMMYFUNCTION("IFERROR(GOOGLEFINANCE(B2584,""eps""),0)"),7.43)</f>
        <v>7.43</v>
      </c>
      <c r="AJ2584" s="1"/>
      <c r="AK2584" s="1" t="s">
        <v>8036</v>
      </c>
      <c r="AL2584" s="9">
        <f t="shared" si="260"/>
        <v>1</v>
      </c>
    </row>
    <row r="2585" spans="1:38" ht="15" x14ac:dyDescent="0.25">
      <c r="A2585" s="1" t="s">
        <v>8037</v>
      </c>
      <c r="B2585" s="1" t="s">
        <v>8038</v>
      </c>
      <c r="C2585" s="1" t="s">
        <v>57</v>
      </c>
      <c r="D2585" s="1" t="s">
        <v>57</v>
      </c>
      <c r="E2585" s="6">
        <v>194.12</v>
      </c>
      <c r="F2585" s="1" t="s">
        <v>53</v>
      </c>
      <c r="G2585" s="6">
        <f ca="1">IFERROR(__xludf.DUMMYFUNCTION("iferror(GOOGLEFINANCE(TRIM(F2585)&amp;"":"" &amp; TRIM(B2585), ""price""),0
)"),0)</f>
        <v>0</v>
      </c>
      <c r="H2585" s="6">
        <v>76.989999999999995</v>
      </c>
      <c r="I2585" s="6">
        <f t="shared" ca="1" si="0"/>
        <v>76.989999999999995</v>
      </c>
      <c r="J2585" s="6">
        <f ca="1">IFERROR(__xludf.DUMMYFUNCTION("IFERROR(GOOGLEFINANCE(B2585, ""volume""), 0)"),0)</f>
        <v>0</v>
      </c>
      <c r="K2585" s="6">
        <v>3.12</v>
      </c>
      <c r="L2585" s="6">
        <f ca="1">IFERROR(__xludf.DUMMYFUNCTION("IFERROR(GOOGLEFINANCE(B2585,""changepct""),K2585)"),3.12)</f>
        <v>3.12</v>
      </c>
      <c r="M2585" s="6">
        <f ca="1">IFERROR(__xludf.DUMMYFUNCTION("IFERROR(GOOGLEFINANCE(B2585,""change""),0)"),0)</f>
        <v>0</v>
      </c>
      <c r="N2585" s="6">
        <v>1</v>
      </c>
      <c r="O2585" s="7">
        <v>45536</v>
      </c>
      <c r="P2585" s="6">
        <v>0.06</v>
      </c>
      <c r="Q2585" s="6">
        <v>185.75</v>
      </c>
      <c r="R2585" s="7">
        <v>45536</v>
      </c>
      <c r="S2585" s="6">
        <v>1.65</v>
      </c>
      <c r="T2585" s="6">
        <v>-1.4</v>
      </c>
      <c r="U2585" s="7">
        <v>45536</v>
      </c>
      <c r="V2585" s="6">
        <v>0</v>
      </c>
      <c r="W2585" s="6">
        <f ca="1">IFERROR(__xludf.DUMMYFUNCTION("IFERROR(GOOGLEFINANCE(B2585,""pe""),V2585)"),0)</f>
        <v>0</v>
      </c>
      <c r="X2585" s="9"/>
      <c r="Y2585" s="6">
        <v>5.54</v>
      </c>
      <c r="Z2585" s="6">
        <v>1</v>
      </c>
      <c r="AA2585" s="8">
        <v>45352</v>
      </c>
      <c r="AB2585" s="4">
        <v>0</v>
      </c>
      <c r="AC2585" s="6">
        <v>-20.440000000000001</v>
      </c>
      <c r="AD2585" s="6">
        <v>-13.28</v>
      </c>
      <c r="AE2585" s="1">
        <v>0</v>
      </c>
      <c r="AF2585" s="1">
        <f ca="1">IFERROR(__xludf.DUMMYFUNCTION("IFERROR(GOOGLEFINANCE(TRIM(F2585)&amp;"":"" &amp; TRIM(B2585),""high52""),AE2585)"),0)</f>
        <v>0</v>
      </c>
      <c r="AG2585" s="1">
        <v>0</v>
      </c>
      <c r="AH2585" s="1">
        <f ca="1">IFERROR(__xludf.DUMMYFUNCTION("IFERROR(GOOGLEFINANCE(TRIM(F2585)&amp;"":"" &amp; TRIM(B2585),""low52""),AE2585)"),0)</f>
        <v>0</v>
      </c>
      <c r="AI2585" s="1">
        <f ca="1">IFERROR(__xludf.DUMMYFUNCTION("IFERROR(GOOGLEFINANCE(B2585,""eps""),0)"),0)</f>
        <v>0</v>
      </c>
      <c r="AJ2585" s="1"/>
      <c r="AK2585" s="1" t="s">
        <v>8039</v>
      </c>
      <c r="AL2585" s="9">
        <f t="shared" si="260"/>
        <v>1</v>
      </c>
    </row>
    <row r="2586" spans="1:38" ht="15" x14ac:dyDescent="0.25">
      <c r="A2586" s="1" t="s">
        <v>8040</v>
      </c>
      <c r="B2586" s="1" t="s">
        <v>8041</v>
      </c>
      <c r="C2586" s="1" t="s">
        <v>57</v>
      </c>
      <c r="D2586" s="1" t="s">
        <v>57</v>
      </c>
      <c r="E2586" s="6">
        <v>10.48</v>
      </c>
      <c r="F2586" s="1" t="s">
        <v>53</v>
      </c>
      <c r="G2586" s="6">
        <f ca="1">IFERROR(__xludf.DUMMYFUNCTION("iferror(GOOGLEFINANCE(TRIM(F2586)&amp;"":"" &amp; TRIM(B2586), ""price""),0
)"),0)</f>
        <v>0</v>
      </c>
      <c r="H2586" s="6">
        <v>69.86</v>
      </c>
      <c r="I2586" s="6">
        <f t="shared" ca="1" si="0"/>
        <v>69.86</v>
      </c>
      <c r="J2586" s="6">
        <f ca="1">IFERROR(__xludf.DUMMYFUNCTION("IFERROR(GOOGLEFINANCE(B2586, ""volume""), 0)"),0)</f>
        <v>0</v>
      </c>
      <c r="K2586" s="9"/>
      <c r="L2586" s="6" t="str">
        <f ca="1">IFERROR(__xludf.DUMMYFUNCTION("IFERROR(GOOGLEFINANCE(B2586,""changepct""),K2586)"),"")</f>
        <v/>
      </c>
      <c r="M2586" s="6">
        <f ca="1">IFERROR(__xludf.DUMMYFUNCTION("IFERROR(GOOGLEFINANCE(B2586,""change""),0)"),0)</f>
        <v>0</v>
      </c>
      <c r="N2586" s="6">
        <v>1</v>
      </c>
      <c r="O2586" s="7">
        <v>45536</v>
      </c>
      <c r="P2586" s="6">
        <v>0.01</v>
      </c>
      <c r="Q2586" s="6">
        <v>10.49</v>
      </c>
      <c r="R2586" s="7">
        <v>45536</v>
      </c>
      <c r="S2586" s="6">
        <v>0.28000000000000003</v>
      </c>
      <c r="T2586" s="6">
        <v>0.2</v>
      </c>
      <c r="U2586" s="7">
        <v>45536</v>
      </c>
      <c r="V2586" s="6">
        <v>51.37</v>
      </c>
      <c r="W2586" s="6">
        <f ca="1">IFERROR(__xludf.DUMMYFUNCTION("IFERROR(GOOGLEFINANCE(B2586,""pe""),V2586)"),51.37)</f>
        <v>51.37</v>
      </c>
      <c r="X2586" s="6">
        <v>0.73</v>
      </c>
      <c r="Y2586" s="6">
        <v>19</v>
      </c>
      <c r="Z2586" s="6">
        <v>1</v>
      </c>
      <c r="AA2586" s="8">
        <v>45352</v>
      </c>
      <c r="AB2586" s="4">
        <v>0.45</v>
      </c>
      <c r="AC2586" s="6">
        <v>24.51</v>
      </c>
      <c r="AD2586" s="6">
        <v>18.59</v>
      </c>
      <c r="AE2586" s="1">
        <v>0</v>
      </c>
      <c r="AF2586" s="1">
        <f ca="1">IFERROR(__xludf.DUMMYFUNCTION("IFERROR(GOOGLEFINANCE(TRIM(F2586)&amp;"":"" &amp; TRIM(B2586),""high52""),AE2586)"),0)</f>
        <v>0</v>
      </c>
      <c r="AG2586" s="1">
        <v>0</v>
      </c>
      <c r="AH2586" s="1">
        <f ca="1">IFERROR(__xludf.DUMMYFUNCTION("IFERROR(GOOGLEFINANCE(TRIM(F2586)&amp;"":"" &amp; TRIM(B2586),""low52""),AE2586)"),0)</f>
        <v>0</v>
      </c>
      <c r="AI2586" s="1">
        <f ca="1">IFERROR(__xludf.DUMMYFUNCTION("IFERROR(GOOGLEFINANCE(B2586,""eps""),0)"),0)</f>
        <v>0</v>
      </c>
      <c r="AJ2586" s="1"/>
      <c r="AK2586" s="1" t="s">
        <v>8042</v>
      </c>
      <c r="AL2586" s="9">
        <f t="shared" si="260"/>
        <v>1</v>
      </c>
    </row>
    <row r="2587" spans="1:38" ht="15" x14ac:dyDescent="0.25">
      <c r="A2587" s="1" t="s">
        <v>8043</v>
      </c>
      <c r="B2587" s="1" t="s">
        <v>8044</v>
      </c>
      <c r="C2587" s="1" t="s">
        <v>57</v>
      </c>
      <c r="D2587" s="1" t="s">
        <v>57</v>
      </c>
      <c r="E2587" s="6">
        <v>623.83000000000004</v>
      </c>
      <c r="F2587" s="1" t="s">
        <v>53</v>
      </c>
      <c r="G2587" s="6">
        <f ca="1">IFERROR(__xludf.DUMMYFUNCTION("iferror(GOOGLEFINANCE(TRIM(F2587)&amp;"":"" &amp; TRIM(B2587), ""price""),0
)"),0)</f>
        <v>0</v>
      </c>
      <c r="H2587" s="6">
        <v>360.35</v>
      </c>
      <c r="I2587" s="6">
        <f t="shared" ca="1" si="0"/>
        <v>360.35</v>
      </c>
      <c r="J2587" s="6">
        <f ca="1">IFERROR(__xludf.DUMMYFUNCTION("IFERROR(GOOGLEFINANCE(B2587, ""volume""), 0)"),0)</f>
        <v>0</v>
      </c>
      <c r="K2587" s="6">
        <v>-2</v>
      </c>
      <c r="L2587" s="6">
        <f ca="1">IFERROR(__xludf.DUMMYFUNCTION("IFERROR(GOOGLEFINANCE(B2587,""changepct""),K2587)"),-2)</f>
        <v>-2</v>
      </c>
      <c r="M2587" s="6">
        <f ca="1">IFERROR(__xludf.DUMMYFUNCTION("IFERROR(GOOGLEFINANCE(B2587,""change""),0)"),0)</f>
        <v>0</v>
      </c>
      <c r="N2587" s="6">
        <v>1</v>
      </c>
      <c r="O2587" s="7">
        <v>45536</v>
      </c>
      <c r="P2587" s="6">
        <v>4.0599999999999996</v>
      </c>
      <c r="Q2587" s="6">
        <v>627.89</v>
      </c>
      <c r="R2587" s="7">
        <v>45536</v>
      </c>
      <c r="S2587" s="6">
        <v>6.47</v>
      </c>
      <c r="T2587" s="6">
        <v>0.37</v>
      </c>
      <c r="U2587" s="7">
        <v>45536</v>
      </c>
      <c r="V2587" s="6">
        <v>0</v>
      </c>
      <c r="W2587" s="6">
        <f ca="1">IFERROR(__xludf.DUMMYFUNCTION("IFERROR(GOOGLEFINANCE(B2587,""pe""),V2587)"),0)</f>
        <v>0</v>
      </c>
      <c r="X2587" s="6">
        <v>0</v>
      </c>
      <c r="Y2587" s="6">
        <v>21.41</v>
      </c>
      <c r="Z2587" s="6">
        <v>1</v>
      </c>
      <c r="AA2587" s="8">
        <v>45352</v>
      </c>
      <c r="AB2587" s="4">
        <v>2.25</v>
      </c>
      <c r="AC2587" s="6">
        <v>103.81</v>
      </c>
      <c r="AD2587" s="6">
        <v>41.7</v>
      </c>
      <c r="AE2587" s="1">
        <v>0</v>
      </c>
      <c r="AF2587" s="1">
        <f ca="1">IFERROR(__xludf.DUMMYFUNCTION("IFERROR(GOOGLEFINANCE(TRIM(F2587)&amp;"":"" &amp; TRIM(B2587),""high52""),AE2587)"),0)</f>
        <v>0</v>
      </c>
      <c r="AG2587" s="1">
        <v>0</v>
      </c>
      <c r="AH2587" s="1">
        <f ca="1">IFERROR(__xludf.DUMMYFUNCTION("IFERROR(GOOGLEFINANCE(TRIM(F2587)&amp;"":"" &amp; TRIM(B2587),""low52""),AE2587)"),0)</f>
        <v>0</v>
      </c>
      <c r="AI2587" s="1">
        <f ca="1">IFERROR(__xludf.DUMMYFUNCTION("IFERROR(GOOGLEFINANCE(B2587,""eps""),0)"),0)</f>
        <v>0</v>
      </c>
      <c r="AJ2587" s="1"/>
      <c r="AK2587" s="1" t="s">
        <v>8045</v>
      </c>
      <c r="AL2587" s="9">
        <f t="shared" si="260"/>
        <v>1</v>
      </c>
    </row>
    <row r="2588" spans="1:38" ht="15" x14ac:dyDescent="0.25">
      <c r="A2588" s="1" t="s">
        <v>8046</v>
      </c>
      <c r="B2588" s="1" t="s">
        <v>8047</v>
      </c>
      <c r="C2588" s="1" t="s">
        <v>57</v>
      </c>
      <c r="D2588" s="1" t="s">
        <v>57</v>
      </c>
      <c r="E2588" s="6">
        <v>121.96</v>
      </c>
      <c r="F2588" s="1" t="s">
        <v>53</v>
      </c>
      <c r="G2588" s="6">
        <f ca="1">IFERROR(__xludf.DUMMYFUNCTION("iferror(GOOGLEFINANCE(TRIM(F2588)&amp;"":"" &amp; TRIM(B2588), ""price""),0
)"),0)</f>
        <v>0</v>
      </c>
      <c r="H2588" s="6">
        <v>147.9</v>
      </c>
      <c r="I2588" s="6">
        <f t="shared" ca="1" si="0"/>
        <v>147.9</v>
      </c>
      <c r="J2588" s="6">
        <f ca="1">IFERROR(__xludf.DUMMYFUNCTION("IFERROR(GOOGLEFINANCE(B2588, ""volume""), 0)"),0)</f>
        <v>0</v>
      </c>
      <c r="K2588" s="12"/>
      <c r="L2588" s="6" t="str">
        <f ca="1">IFERROR(__xludf.DUMMYFUNCTION("IFERROR(GOOGLEFINANCE(B2588,""changepct""),K2588)"),"")</f>
        <v/>
      </c>
      <c r="M2588" s="6">
        <f ca="1">IFERROR(__xludf.DUMMYFUNCTION("IFERROR(GOOGLEFINANCE(B2588,""change""),0)"),0)</f>
        <v>0</v>
      </c>
      <c r="N2588" s="6">
        <v>2</v>
      </c>
      <c r="O2588" s="7">
        <v>45536</v>
      </c>
      <c r="P2588" s="6">
        <v>101.98</v>
      </c>
      <c r="Q2588" s="6">
        <v>176.26</v>
      </c>
      <c r="R2588" s="7">
        <v>45536</v>
      </c>
      <c r="S2588" s="6">
        <v>51.86</v>
      </c>
      <c r="T2588" s="6">
        <v>-6.62</v>
      </c>
      <c r="U2588" s="7">
        <v>45536</v>
      </c>
      <c r="V2588" s="6">
        <v>0</v>
      </c>
      <c r="W2588" s="6">
        <f ca="1">IFERROR(__xludf.DUMMYFUNCTION("IFERROR(GOOGLEFINANCE(B2588,""pe""),V2588)"),0)</f>
        <v>0</v>
      </c>
      <c r="X2588" s="12"/>
      <c r="Y2588" s="6">
        <v>4.05</v>
      </c>
      <c r="Z2588" s="6">
        <v>2</v>
      </c>
      <c r="AA2588" s="8">
        <v>45352</v>
      </c>
      <c r="AB2588" s="4">
        <v>3.17</v>
      </c>
      <c r="AC2588" s="6">
        <v>-86.34</v>
      </c>
      <c r="AD2588" s="6">
        <v>0.01</v>
      </c>
      <c r="AE2588" s="1">
        <v>0</v>
      </c>
      <c r="AF2588" s="1">
        <f ca="1">IFERROR(__xludf.DUMMYFUNCTION("IFERROR(GOOGLEFINANCE(TRIM(F2588)&amp;"":"" &amp; TRIM(B2588),""high52""),AE2588)"),0)</f>
        <v>0</v>
      </c>
      <c r="AG2588" s="1">
        <v>0</v>
      </c>
      <c r="AH2588" s="1">
        <f ca="1">IFERROR(__xludf.DUMMYFUNCTION("IFERROR(GOOGLEFINANCE(TRIM(F2588)&amp;"":"" &amp; TRIM(B2588),""low52""),AE2588)"),0)</f>
        <v>0</v>
      </c>
      <c r="AI2588" s="1">
        <f ca="1">IFERROR(__xludf.DUMMYFUNCTION("IFERROR(GOOGLEFINANCE(B2588,""eps""),0)"),0)</f>
        <v>0</v>
      </c>
      <c r="AJ2588" s="1"/>
      <c r="AK2588" s="1" t="s">
        <v>8048</v>
      </c>
      <c r="AL2588" s="9">
        <f t="shared" si="260"/>
        <v>1</v>
      </c>
    </row>
    <row r="2589" spans="1:38" ht="15" x14ac:dyDescent="0.25">
      <c r="A2589" s="1" t="s">
        <v>8049</v>
      </c>
      <c r="B2589" s="1" t="s">
        <v>8050</v>
      </c>
      <c r="C2589" s="1" t="s">
        <v>57</v>
      </c>
      <c r="D2589" s="1" t="s">
        <v>57</v>
      </c>
      <c r="E2589" s="6">
        <v>1618.6</v>
      </c>
      <c r="F2589" s="1" t="s">
        <v>53</v>
      </c>
      <c r="G2589" s="6">
        <f ca="1">IFERROR(__xludf.DUMMYFUNCTION("iferror(GOOGLEFINANCE(TRIM(F2589)&amp;"":"" &amp; TRIM(B2589), ""price""),0
)"),0)</f>
        <v>0</v>
      </c>
      <c r="H2589" s="6">
        <v>1380</v>
      </c>
      <c r="I2589" s="6">
        <f t="shared" ca="1" si="0"/>
        <v>1380</v>
      </c>
      <c r="J2589" s="6">
        <f ca="1">IFERROR(__xludf.DUMMYFUNCTION("IFERROR(GOOGLEFINANCE(B2589, ""volume""), 0)"),0)</f>
        <v>0</v>
      </c>
      <c r="K2589" s="6">
        <v>0.39</v>
      </c>
      <c r="L2589" s="6">
        <f ca="1">IFERROR(__xludf.DUMMYFUNCTION("IFERROR(GOOGLEFINANCE(B2589,""changepct""),K2589)"),0.39)</f>
        <v>0.39</v>
      </c>
      <c r="M2589" s="6">
        <f ca="1">IFERROR(__xludf.DUMMYFUNCTION("IFERROR(GOOGLEFINANCE(B2589,""change""),0)"),0)</f>
        <v>0</v>
      </c>
      <c r="N2589" s="6">
        <v>2</v>
      </c>
      <c r="O2589" s="7">
        <v>45536</v>
      </c>
      <c r="P2589" s="6">
        <v>77.91</v>
      </c>
      <c r="Q2589" s="6">
        <v>1629.74</v>
      </c>
      <c r="R2589" s="7">
        <v>45536</v>
      </c>
      <c r="S2589" s="6">
        <v>209.87</v>
      </c>
      <c r="T2589" s="6">
        <v>1.39</v>
      </c>
      <c r="U2589" s="7">
        <v>45536</v>
      </c>
      <c r="V2589" s="6">
        <v>507.4</v>
      </c>
      <c r="W2589" s="6">
        <f ca="1">IFERROR(__xludf.DUMMYFUNCTION("IFERROR(GOOGLEFINANCE(B2589,""pe""),V2589)"),507.4)</f>
        <v>507.4</v>
      </c>
      <c r="X2589" s="9"/>
      <c r="Y2589" s="6">
        <v>11.31</v>
      </c>
      <c r="Z2589" s="6">
        <v>2</v>
      </c>
      <c r="AA2589" s="8">
        <v>45352</v>
      </c>
      <c r="AB2589" s="4">
        <v>0.64</v>
      </c>
      <c r="AC2589" s="6">
        <v>-7.94</v>
      </c>
      <c r="AD2589" s="6">
        <v>-0.4</v>
      </c>
      <c r="AE2589" s="1">
        <v>0</v>
      </c>
      <c r="AF2589" s="1">
        <f ca="1">IFERROR(__xludf.DUMMYFUNCTION("IFERROR(GOOGLEFINANCE(TRIM(F2589)&amp;"":"" &amp; TRIM(B2589),""high52""),AE2589)"),0)</f>
        <v>0</v>
      </c>
      <c r="AG2589" s="1">
        <v>0</v>
      </c>
      <c r="AH2589" s="1">
        <f ca="1">IFERROR(__xludf.DUMMYFUNCTION("IFERROR(GOOGLEFINANCE(TRIM(F2589)&amp;"":"" &amp; TRIM(B2589),""low52""),AE2589)"),0)</f>
        <v>0</v>
      </c>
      <c r="AI2589" s="1">
        <f ca="1">IFERROR(__xludf.DUMMYFUNCTION("IFERROR(GOOGLEFINANCE(B2589,""eps""),0)"),0)</f>
        <v>0</v>
      </c>
      <c r="AJ2589" s="1"/>
      <c r="AK2589" s="1" t="s">
        <v>8051</v>
      </c>
      <c r="AL2589" s="9">
        <f t="shared" si="260"/>
        <v>1</v>
      </c>
    </row>
    <row r="2590" spans="1:38" ht="15" x14ac:dyDescent="0.25">
      <c r="A2590" s="1" t="s">
        <v>8052</v>
      </c>
      <c r="B2590" s="1" t="s">
        <v>8053</v>
      </c>
      <c r="C2590" s="1" t="s">
        <v>57</v>
      </c>
      <c r="D2590" s="1" t="s">
        <v>57</v>
      </c>
      <c r="E2590" s="6">
        <v>140.99</v>
      </c>
      <c r="F2590" s="1" t="s">
        <v>53</v>
      </c>
      <c r="G2590" s="6">
        <f ca="1">IFERROR(__xludf.DUMMYFUNCTION("iferror(GOOGLEFINANCE(TRIM(F2590)&amp;"":"" &amp; TRIM(B2590), ""price""),0
)"),0)</f>
        <v>0</v>
      </c>
      <c r="H2590" s="6">
        <v>101.85</v>
      </c>
      <c r="I2590" s="6">
        <f t="shared" ca="1" si="0"/>
        <v>101.85</v>
      </c>
      <c r="J2590" s="6">
        <f ca="1">IFERROR(__xludf.DUMMYFUNCTION("IFERROR(GOOGLEFINANCE(B2590, ""volume""), 0)"),0)</f>
        <v>0</v>
      </c>
      <c r="K2590" s="6">
        <v>1.49</v>
      </c>
      <c r="L2590" s="6">
        <f ca="1">IFERROR(__xludf.DUMMYFUNCTION("IFERROR(GOOGLEFINANCE(B2590,""changepct""),K2590)"),1.49)</f>
        <v>1.49</v>
      </c>
      <c r="M2590" s="6">
        <f ca="1">IFERROR(__xludf.DUMMYFUNCTION("IFERROR(GOOGLEFINANCE(B2590,""change""),0)"),0)</f>
        <v>0</v>
      </c>
      <c r="N2590" s="6">
        <v>2</v>
      </c>
      <c r="O2590" s="7">
        <v>45352</v>
      </c>
      <c r="P2590" s="6">
        <v>86.34</v>
      </c>
      <c r="Q2590" s="6">
        <v>226.96</v>
      </c>
      <c r="R2590" s="7">
        <v>45536</v>
      </c>
      <c r="S2590" s="6">
        <v>16.420000000000002</v>
      </c>
      <c r="T2590" s="6">
        <v>206.96</v>
      </c>
      <c r="U2590" s="7">
        <v>45536</v>
      </c>
      <c r="V2590" s="6">
        <v>0.68</v>
      </c>
      <c r="W2590" s="6">
        <f ca="1">IFERROR(__xludf.DUMMYFUNCTION("IFERROR(GOOGLEFINANCE(B2590,""pe""),V2590)"),0.68)</f>
        <v>0.68</v>
      </c>
      <c r="X2590" s="6">
        <v>0</v>
      </c>
      <c r="Y2590" s="6">
        <v>0.75</v>
      </c>
      <c r="Z2590" s="6">
        <v>2</v>
      </c>
      <c r="AA2590" s="8">
        <v>45352</v>
      </c>
      <c r="AB2590" s="4">
        <v>0.43</v>
      </c>
      <c r="AC2590" s="6">
        <v>217.68</v>
      </c>
      <c r="AD2590" s="6">
        <v>123.87</v>
      </c>
      <c r="AE2590" s="1">
        <v>0</v>
      </c>
      <c r="AF2590" s="1">
        <f ca="1">IFERROR(__xludf.DUMMYFUNCTION("IFERROR(GOOGLEFINANCE(TRIM(F2590)&amp;"":"" &amp; TRIM(B2590),""high52""),AE2590)"),0)</f>
        <v>0</v>
      </c>
      <c r="AG2590" s="1">
        <v>0</v>
      </c>
      <c r="AH2590" s="1">
        <f ca="1">IFERROR(__xludf.DUMMYFUNCTION("IFERROR(GOOGLEFINANCE(TRIM(F2590)&amp;"":"" &amp; TRIM(B2590),""low52""),AE2590)"),0)</f>
        <v>0</v>
      </c>
      <c r="AI2590" s="1">
        <f ca="1">IFERROR(__xludf.DUMMYFUNCTION("IFERROR(GOOGLEFINANCE(B2590,""eps""),0)"),0)</f>
        <v>0</v>
      </c>
      <c r="AJ2590" s="1"/>
      <c r="AK2590" s="1" t="s">
        <v>8054</v>
      </c>
      <c r="AL2590" s="9">
        <f t="shared" si="260"/>
        <v>1</v>
      </c>
    </row>
    <row r="2591" spans="1:38" ht="15" x14ac:dyDescent="0.25">
      <c r="A2591" s="1" t="s">
        <v>8055</v>
      </c>
      <c r="B2591" s="1" t="s">
        <v>8056</v>
      </c>
      <c r="C2591" s="1" t="s">
        <v>57</v>
      </c>
      <c r="D2591" s="1" t="s">
        <v>57</v>
      </c>
      <c r="E2591" s="6">
        <v>240.16</v>
      </c>
      <c r="F2591" s="1" t="s">
        <v>53</v>
      </c>
      <c r="G2591" s="6">
        <f ca="1">IFERROR(__xludf.DUMMYFUNCTION("iferror(GOOGLEFINANCE(TRIM(F2591)&amp;"":"" &amp; TRIM(B2591), ""price""),0
)"),0)</f>
        <v>0</v>
      </c>
      <c r="H2591" s="6">
        <v>223.05</v>
      </c>
      <c r="I2591" s="6">
        <f t="shared" ca="1" si="0"/>
        <v>223.05</v>
      </c>
      <c r="J2591" s="6">
        <f ca="1">IFERROR(__xludf.DUMMYFUNCTION("IFERROR(GOOGLEFINANCE(B2591, ""volume""), 0)"),0)</f>
        <v>0</v>
      </c>
      <c r="K2591" s="6">
        <v>1.99</v>
      </c>
      <c r="L2591" s="6">
        <f ca="1">IFERROR(__xludf.DUMMYFUNCTION("IFERROR(GOOGLEFINANCE(B2591,""changepct""),K2591)"),1.99)</f>
        <v>1.99</v>
      </c>
      <c r="M2591" s="6">
        <f ca="1">IFERROR(__xludf.DUMMYFUNCTION("IFERROR(GOOGLEFINANCE(B2591,""change""),0)"),0)</f>
        <v>0</v>
      </c>
      <c r="N2591" s="6">
        <v>1</v>
      </c>
      <c r="O2591" s="7">
        <v>45536</v>
      </c>
      <c r="P2591" s="6">
        <v>3.66</v>
      </c>
      <c r="Q2591" s="6">
        <v>240.98</v>
      </c>
      <c r="R2591" s="7">
        <v>45536</v>
      </c>
      <c r="S2591" s="6">
        <v>52.32</v>
      </c>
      <c r="T2591" s="6">
        <v>6.94</v>
      </c>
      <c r="U2591" s="7">
        <v>45536</v>
      </c>
      <c r="V2591" s="6">
        <v>34.590000000000003</v>
      </c>
      <c r="W2591" s="6">
        <f ca="1">IFERROR(__xludf.DUMMYFUNCTION("IFERROR(GOOGLEFINANCE(B2591,""pe""),V2591)"),34.59)</f>
        <v>34.590000000000003</v>
      </c>
      <c r="X2591" s="6">
        <v>6.02</v>
      </c>
      <c r="Y2591" s="6">
        <v>5.46</v>
      </c>
      <c r="Z2591" s="6">
        <v>1</v>
      </c>
      <c r="AA2591" s="8">
        <v>45352</v>
      </c>
      <c r="AB2591" s="4">
        <v>0.03</v>
      </c>
      <c r="AC2591" s="6">
        <v>14.06</v>
      </c>
      <c r="AD2591" s="6">
        <v>19.38</v>
      </c>
      <c r="AE2591" s="1">
        <v>0</v>
      </c>
      <c r="AF2591" s="1">
        <f ca="1">IFERROR(__xludf.DUMMYFUNCTION("IFERROR(GOOGLEFINANCE(TRIM(F2591)&amp;"":"" &amp; TRIM(B2591),""high52""),AE2591)"),0)</f>
        <v>0</v>
      </c>
      <c r="AG2591" s="1">
        <v>0</v>
      </c>
      <c r="AH2591" s="1">
        <f ca="1">IFERROR(__xludf.DUMMYFUNCTION("IFERROR(GOOGLEFINANCE(TRIM(F2591)&amp;"":"" &amp; TRIM(B2591),""low52""),AE2591)"),0)</f>
        <v>0</v>
      </c>
      <c r="AI2591" s="1">
        <f ca="1">IFERROR(__xludf.DUMMYFUNCTION("IFERROR(GOOGLEFINANCE(B2591,""eps""),0)"),0)</f>
        <v>0</v>
      </c>
      <c r="AJ2591" s="1"/>
      <c r="AK2591" s="1" t="s">
        <v>8057</v>
      </c>
      <c r="AL2591" s="9">
        <f t="shared" si="260"/>
        <v>1</v>
      </c>
    </row>
    <row r="2592" spans="1:38" ht="15" x14ac:dyDescent="0.25">
      <c r="A2592" s="1" t="s">
        <v>8058</v>
      </c>
      <c r="B2592" s="1" t="s">
        <v>8059</v>
      </c>
      <c r="C2592" s="1" t="s">
        <v>208</v>
      </c>
      <c r="D2592" s="1" t="s">
        <v>208</v>
      </c>
      <c r="E2592" s="6">
        <v>90588.32</v>
      </c>
      <c r="F2592" s="1" t="s">
        <v>40</v>
      </c>
      <c r="G2592" s="6">
        <f ca="1">IFERROR(__xludf.DUMMYFUNCTION("iferror(GOOGLEFINANCE(TRIM(F2592)&amp;"":"" &amp; TRIM(B2592), ""price""),0
)"),3570)</f>
        <v>3570</v>
      </c>
      <c r="H2592" s="6">
        <v>2240.9</v>
      </c>
      <c r="I2592" s="6">
        <f t="shared" ca="1" si="0"/>
        <v>3570</v>
      </c>
      <c r="J2592" s="6">
        <f ca="1">IFERROR(__xludf.DUMMYFUNCTION("IFERROR(GOOGLEFINANCE(B2592, ""volume""), 0)"),1113164)</f>
        <v>1113164</v>
      </c>
      <c r="K2592" s="6">
        <v>-0.71</v>
      </c>
      <c r="L2592" s="6">
        <f ca="1">IFERROR(__xludf.DUMMYFUNCTION("IFERROR(GOOGLEFINANCE(B2592,""changepct""),K2592)"),2.2)</f>
        <v>2.2000000000000002</v>
      </c>
      <c r="M2592" s="6">
        <f ca="1">IFERROR(__xludf.DUMMYFUNCTION("IFERROR(GOOGLEFINANCE(B2592,""change""),0)"),76.9)</f>
        <v>76.900000000000006</v>
      </c>
      <c r="N2592" s="6">
        <v>2</v>
      </c>
      <c r="O2592" s="7">
        <v>45536</v>
      </c>
      <c r="P2592" s="6">
        <v>4844.47</v>
      </c>
      <c r="Q2592" s="7">
        <v>45536</v>
      </c>
      <c r="R2592" s="6">
        <v>19.36</v>
      </c>
      <c r="S2592" s="6">
        <v>1.23</v>
      </c>
      <c r="T2592" s="6">
        <v>3.4</v>
      </c>
      <c r="U2592" s="6">
        <v>2</v>
      </c>
      <c r="V2592" s="7">
        <v>45352</v>
      </c>
      <c r="W2592" s="6">
        <f ca="1">IFERROR(__xludf.DUMMYFUNCTION("IFERROR(GOOGLEFINANCE(B2592,""pe""),V2592)"),19.54)</f>
        <v>19.54</v>
      </c>
      <c r="X2592" s="6">
        <v>2.72</v>
      </c>
      <c r="Y2592" s="6">
        <v>19.100000000000001</v>
      </c>
      <c r="Z2592" s="6">
        <v>13.4</v>
      </c>
      <c r="AA2592" s="3" t="s">
        <v>8060</v>
      </c>
      <c r="AB2592" s="3"/>
      <c r="AC2592" s="9"/>
      <c r="AD2592" s="9"/>
      <c r="AE2592" s="1">
        <v>0</v>
      </c>
      <c r="AF2592" s="1">
        <f ca="1">IFERROR(__xludf.DUMMYFUNCTION("IFERROR(GOOGLEFINANCE(TRIM(F2592)&amp;"":"" &amp; TRIM(B2592),""high52""),AE2592)"),4149.5)</f>
        <v>4149.5</v>
      </c>
      <c r="AG2592" s="1">
        <v>0</v>
      </c>
      <c r="AH2592" s="1">
        <f ca="1">IFERROR(__xludf.DUMMYFUNCTION("IFERROR(GOOGLEFINANCE(TRIM(F2592)&amp;"":"" &amp; TRIM(B2592),""low52""),AE2592)"),1965)</f>
        <v>1965</v>
      </c>
      <c r="AI2592" s="1">
        <f ca="1">IFERROR(__xludf.DUMMYFUNCTION("IFERROR(GOOGLEFINANCE(B2592,""eps""),0)"),182.67)</f>
        <v>182.67</v>
      </c>
      <c r="AJ2592" s="1"/>
      <c r="AK2592" s="9"/>
      <c r="AL2592" s="9">
        <f t="shared" si="260"/>
        <v>1</v>
      </c>
    </row>
    <row r="2593" spans="1:38" ht="15" x14ac:dyDescent="0.25">
      <c r="A2593" s="1" t="s">
        <v>8061</v>
      </c>
      <c r="B2593" s="1" t="s">
        <v>8062</v>
      </c>
      <c r="C2593" s="1" t="s">
        <v>208</v>
      </c>
      <c r="D2593" s="1" t="s">
        <v>208</v>
      </c>
      <c r="E2593" s="6">
        <v>3068.01</v>
      </c>
      <c r="F2593" s="1" t="s">
        <v>40</v>
      </c>
      <c r="G2593" s="6">
        <f ca="1">IFERROR(__xludf.DUMMYFUNCTION("iferror(GOOGLEFINANCE(TRIM(F2593)&amp;"":"" &amp; TRIM(B2593), ""price""),0
)"),173.18)</f>
        <v>173.18</v>
      </c>
      <c r="H2593" s="6">
        <v>181.72</v>
      </c>
      <c r="I2593" s="6">
        <f t="shared" ca="1" si="0"/>
        <v>173.18</v>
      </c>
      <c r="J2593" s="6">
        <f ca="1">IFERROR(__xludf.DUMMYFUNCTION("IFERROR(GOOGLEFINANCE(B2593, ""volume""), 0)"),189933)</f>
        <v>189933</v>
      </c>
      <c r="K2593" s="6">
        <v>1.1399999999999999</v>
      </c>
      <c r="L2593" s="6">
        <f ca="1">IFERROR(__xludf.DUMMYFUNCTION("IFERROR(GOOGLEFINANCE(B2593,""changepct""),K2593)"),-0.2)</f>
        <v>-0.2</v>
      </c>
      <c r="M2593" s="6">
        <f ca="1">IFERROR(__xludf.DUMMYFUNCTION("IFERROR(GOOGLEFINANCE(B2593,""change""),0)"),-0.34)</f>
        <v>-0.34</v>
      </c>
      <c r="N2593" s="6">
        <v>1</v>
      </c>
      <c r="O2593" s="7">
        <v>45536</v>
      </c>
      <c r="P2593" s="6">
        <v>419.16</v>
      </c>
      <c r="Q2593" s="7">
        <v>45536</v>
      </c>
      <c r="R2593" s="6">
        <v>7.32</v>
      </c>
      <c r="S2593" s="9"/>
      <c r="T2593" s="6">
        <v>1.02</v>
      </c>
      <c r="U2593" s="6">
        <v>1</v>
      </c>
      <c r="V2593" s="7">
        <v>45352</v>
      </c>
      <c r="W2593" s="10">
        <f ca="1">IFERROR(__xludf.DUMMYFUNCTION("IFERROR(GOOGLEFINANCE(B2593,""pe""),V2593)"),45352)</f>
        <v>45352</v>
      </c>
      <c r="X2593" s="6">
        <v>3</v>
      </c>
      <c r="Y2593" s="6">
        <v>20.5</v>
      </c>
      <c r="Z2593" s="6">
        <v>15.2</v>
      </c>
      <c r="AA2593" s="3" t="s">
        <v>8063</v>
      </c>
      <c r="AB2593" s="3"/>
      <c r="AC2593" s="9"/>
      <c r="AD2593" s="9"/>
      <c r="AE2593" s="1">
        <v>0</v>
      </c>
      <c r="AF2593" s="1">
        <f ca="1">IFERROR(__xludf.DUMMYFUNCTION("IFERROR(GOOGLEFINANCE(TRIM(F2593)&amp;"":"" &amp; TRIM(B2593),""high52""),AE2593)"),199.39)</f>
        <v>199.39</v>
      </c>
      <c r="AG2593" s="1">
        <v>0</v>
      </c>
      <c r="AH2593" s="1">
        <f ca="1">IFERROR(__xludf.DUMMYFUNCTION("IFERROR(GOOGLEFINANCE(TRIM(F2593)&amp;"":"" &amp; TRIM(B2593),""low52""),AE2593)"),119.25)</f>
        <v>119.25</v>
      </c>
      <c r="AI2593" s="1">
        <f ca="1">IFERROR(__xludf.DUMMYFUNCTION("IFERROR(GOOGLEFINANCE(B2593,""eps""),0)"),-22.91)</f>
        <v>-22.91</v>
      </c>
      <c r="AJ2593" s="1"/>
      <c r="AK2593" s="1" t="s">
        <v>8064</v>
      </c>
      <c r="AL2593" s="9">
        <f t="shared" si="260"/>
        <v>1</v>
      </c>
    </row>
    <row r="2594" spans="1:38" ht="15" x14ac:dyDescent="0.25">
      <c r="A2594" s="1" t="s">
        <v>8065</v>
      </c>
      <c r="B2594" s="1" t="s">
        <v>8066</v>
      </c>
      <c r="C2594" s="1" t="s">
        <v>57</v>
      </c>
      <c r="D2594" s="1" t="s">
        <v>57</v>
      </c>
      <c r="E2594" s="6">
        <v>174.41</v>
      </c>
      <c r="F2594" s="1" t="s">
        <v>53</v>
      </c>
      <c r="G2594" s="6">
        <f ca="1">IFERROR(__xludf.DUMMYFUNCTION("iferror(GOOGLEFINANCE(TRIM(F2594)&amp;"":"" &amp; TRIM(B2594), ""price""),0
)"),0)</f>
        <v>0</v>
      </c>
      <c r="H2594" s="6">
        <v>0.88</v>
      </c>
      <c r="I2594" s="6">
        <f t="shared" ca="1" si="0"/>
        <v>0.88</v>
      </c>
      <c r="J2594" s="6">
        <f ca="1">IFERROR(__xludf.DUMMYFUNCTION("IFERROR(GOOGLEFINANCE(B2594, ""volume""), 0)"),0)</f>
        <v>0</v>
      </c>
      <c r="K2594" s="6">
        <v>0</v>
      </c>
      <c r="L2594" s="6">
        <f ca="1">IFERROR(__xludf.DUMMYFUNCTION("IFERROR(GOOGLEFINANCE(B2594,""changepct""),K2594)"),0)</f>
        <v>0</v>
      </c>
      <c r="M2594" s="6">
        <f ca="1">IFERROR(__xludf.DUMMYFUNCTION("IFERROR(GOOGLEFINANCE(B2594,""change""),0)"),0)</f>
        <v>0</v>
      </c>
      <c r="N2594" s="6">
        <v>2</v>
      </c>
      <c r="O2594" s="7">
        <v>45536</v>
      </c>
      <c r="P2594" s="6">
        <v>51.53</v>
      </c>
      <c r="Q2594" s="6">
        <v>219.45</v>
      </c>
      <c r="R2594" s="7">
        <v>45536</v>
      </c>
      <c r="S2594" s="6">
        <v>215.84</v>
      </c>
      <c r="T2594" s="6">
        <v>8.93</v>
      </c>
      <c r="U2594" s="7">
        <v>45536</v>
      </c>
      <c r="V2594" s="6">
        <v>19.52</v>
      </c>
      <c r="W2594" s="6">
        <f ca="1">IFERROR(__xludf.DUMMYFUNCTION("IFERROR(GOOGLEFINANCE(B2594,""pe""),V2594)"),19.52)</f>
        <v>19.52</v>
      </c>
      <c r="X2594" s="9"/>
      <c r="Y2594" s="6">
        <v>0.46</v>
      </c>
      <c r="Z2594" s="6">
        <v>2</v>
      </c>
      <c r="AA2594" s="8">
        <v>45352</v>
      </c>
      <c r="AB2594" s="4">
        <v>0</v>
      </c>
      <c r="AC2594" s="6">
        <v>1.31</v>
      </c>
      <c r="AD2594" s="6">
        <v>1.35</v>
      </c>
      <c r="AE2594" s="1">
        <v>0</v>
      </c>
      <c r="AF2594" s="1">
        <f ca="1">IFERROR(__xludf.DUMMYFUNCTION("IFERROR(GOOGLEFINANCE(TRIM(F2594)&amp;"":"" &amp; TRIM(B2594),""high52""),AE2594)"),0)</f>
        <v>0</v>
      </c>
      <c r="AG2594" s="1">
        <v>0</v>
      </c>
      <c r="AH2594" s="1">
        <f ca="1">IFERROR(__xludf.DUMMYFUNCTION("IFERROR(GOOGLEFINANCE(TRIM(F2594)&amp;"":"" &amp; TRIM(B2594),""low52""),AE2594)"),0)</f>
        <v>0</v>
      </c>
      <c r="AI2594" s="1">
        <f ca="1">IFERROR(__xludf.DUMMYFUNCTION("IFERROR(GOOGLEFINANCE(B2594,""eps""),0)"),0)</f>
        <v>0</v>
      </c>
      <c r="AJ2594" s="1"/>
      <c r="AK2594" s="1" t="s">
        <v>8067</v>
      </c>
      <c r="AL2594" s="9">
        <f t="shared" si="260"/>
        <v>1</v>
      </c>
    </row>
    <row r="2595" spans="1:38" ht="15" x14ac:dyDescent="0.25">
      <c r="A2595" s="1" t="s">
        <v>8068</v>
      </c>
      <c r="B2595" s="1" t="s">
        <v>8069</v>
      </c>
      <c r="C2595" s="1" t="s">
        <v>94</v>
      </c>
      <c r="D2595" s="1" t="s">
        <v>94</v>
      </c>
      <c r="E2595" s="6">
        <v>91.99</v>
      </c>
      <c r="F2595" s="1" t="s">
        <v>40</v>
      </c>
      <c r="G2595" s="6">
        <f ca="1">IFERROR(__xludf.DUMMYFUNCTION("iferror(GOOGLEFINANCE(TRIM(F2595)&amp;"":"" &amp; TRIM(B2595), ""price""),0
)"),0)</f>
        <v>0</v>
      </c>
      <c r="H2595" s="6">
        <v>80.099999999999994</v>
      </c>
      <c r="I2595" s="6">
        <f t="shared" ca="1" si="0"/>
        <v>80.099999999999994</v>
      </c>
      <c r="J2595" s="6">
        <f ca="1">IFERROR(__xludf.DUMMYFUNCTION("IFERROR(GOOGLEFINANCE(B2595, ""volume""), 0)"),0)</f>
        <v>0</v>
      </c>
      <c r="K2595" s="6">
        <v>-0.8</v>
      </c>
      <c r="L2595" s="6">
        <f ca="1">IFERROR(__xludf.DUMMYFUNCTION("IFERROR(GOOGLEFINANCE(B2595,""changepct""),K2595)"),-0.8)</f>
        <v>-0.8</v>
      </c>
      <c r="M2595" s="6">
        <f ca="1">IFERROR(__xludf.DUMMYFUNCTION("IFERROR(GOOGLEFINANCE(B2595,""change""),0)"),0)</f>
        <v>0</v>
      </c>
      <c r="N2595" s="6">
        <v>1</v>
      </c>
      <c r="O2595" s="14"/>
      <c r="P2595" s="9"/>
      <c r="Q2595" s="7">
        <v>45352</v>
      </c>
      <c r="R2595" s="6">
        <v>11.01</v>
      </c>
      <c r="S2595" s="9"/>
      <c r="T2595" s="6">
        <v>1.57</v>
      </c>
      <c r="U2595" s="6">
        <v>1</v>
      </c>
      <c r="V2595" s="7">
        <v>45352</v>
      </c>
      <c r="W2595" s="10">
        <f ca="1">IFERROR(__xludf.DUMMYFUNCTION("IFERROR(GOOGLEFINANCE(B2595,""pe""),V2595)"),45352)</f>
        <v>45352</v>
      </c>
      <c r="X2595" s="6">
        <v>0.56999999999999995</v>
      </c>
      <c r="Y2595" s="6">
        <v>66.2</v>
      </c>
      <c r="Z2595" s="6">
        <v>63.7</v>
      </c>
      <c r="AA2595" s="3" t="s">
        <v>8070</v>
      </c>
      <c r="AB2595" s="3"/>
      <c r="AC2595" s="9"/>
      <c r="AD2595" s="9"/>
      <c r="AE2595" s="1">
        <v>0</v>
      </c>
      <c r="AF2595" s="1">
        <f ca="1">IFERROR(__xludf.DUMMYFUNCTION("IFERROR(GOOGLEFINANCE(TRIM(F2595)&amp;"":"" &amp; TRIM(B2595),""high52""),AE2595)"),0)</f>
        <v>0</v>
      </c>
      <c r="AG2595" s="1">
        <v>0</v>
      </c>
      <c r="AH2595" s="1">
        <f ca="1">IFERROR(__xludf.DUMMYFUNCTION("IFERROR(GOOGLEFINANCE(TRIM(F2595)&amp;"":"" &amp; TRIM(B2595),""low52""),AE2595)"),0)</f>
        <v>0</v>
      </c>
      <c r="AI2595" s="1">
        <f ca="1">IFERROR(__xludf.DUMMYFUNCTION("IFERROR(GOOGLEFINANCE(B2595,""eps""),0)"),0)</f>
        <v>0</v>
      </c>
      <c r="AJ2595" s="1"/>
      <c r="AK2595" s="1" t="s">
        <v>8071</v>
      </c>
      <c r="AL2595" s="9">
        <f t="shared" si="260"/>
        <v>1</v>
      </c>
    </row>
    <row r="2596" spans="1:38" ht="15" x14ac:dyDescent="0.25">
      <c r="A2596" s="1" t="s">
        <v>8072</v>
      </c>
      <c r="B2596" s="1" t="s">
        <v>8073</v>
      </c>
      <c r="C2596" s="1" t="s">
        <v>57</v>
      </c>
      <c r="D2596" s="1" t="s">
        <v>57</v>
      </c>
      <c r="E2596" s="6">
        <v>40.56</v>
      </c>
      <c r="F2596" s="1" t="s">
        <v>53</v>
      </c>
      <c r="G2596" s="6">
        <f ca="1">IFERROR(__xludf.DUMMYFUNCTION("iferror(GOOGLEFINANCE(TRIM(F2596)&amp;"":"" &amp; TRIM(B2596), ""price""),0
)"),0)</f>
        <v>0</v>
      </c>
      <c r="H2596" s="6">
        <v>35.4</v>
      </c>
      <c r="I2596" s="6">
        <f t="shared" ca="1" si="0"/>
        <v>35.4</v>
      </c>
      <c r="J2596" s="6">
        <f ca="1">IFERROR(__xludf.DUMMYFUNCTION("IFERROR(GOOGLEFINANCE(B2596, ""volume""), 0)"),0)</f>
        <v>0</v>
      </c>
      <c r="K2596" s="6">
        <v>1.1100000000000001</v>
      </c>
      <c r="L2596" s="6">
        <f ca="1">IFERROR(__xludf.DUMMYFUNCTION("IFERROR(GOOGLEFINANCE(B2596,""changepct""),K2596)"),1.11)</f>
        <v>1.1100000000000001</v>
      </c>
      <c r="M2596" s="6">
        <f ca="1">IFERROR(__xludf.DUMMYFUNCTION("IFERROR(GOOGLEFINANCE(B2596,""change""),0)"),0)</f>
        <v>0</v>
      </c>
      <c r="N2596" s="6">
        <v>2</v>
      </c>
      <c r="O2596" s="7">
        <v>45536</v>
      </c>
      <c r="P2596" s="9"/>
      <c r="Q2596" s="6">
        <v>35.42</v>
      </c>
      <c r="R2596" s="15">
        <v>45536</v>
      </c>
      <c r="S2596" s="6">
        <v>22.15</v>
      </c>
      <c r="T2596" s="6">
        <v>2.82</v>
      </c>
      <c r="U2596" s="15">
        <v>45536</v>
      </c>
      <c r="V2596" s="6">
        <v>14.41</v>
      </c>
      <c r="W2596" s="6">
        <f ca="1">IFERROR(__xludf.DUMMYFUNCTION("IFERROR(GOOGLEFINANCE(B2596,""pe""),V2596)"),14.41)</f>
        <v>14.41</v>
      </c>
      <c r="X2596" s="6">
        <v>0.26</v>
      </c>
      <c r="Y2596" s="6">
        <v>1.89</v>
      </c>
      <c r="Z2596" s="6">
        <v>2</v>
      </c>
      <c r="AA2596" s="8">
        <v>45352</v>
      </c>
      <c r="AB2596" s="4">
        <v>0</v>
      </c>
      <c r="AC2596" s="6">
        <v>9.67</v>
      </c>
      <c r="AD2596" s="6">
        <v>12.54</v>
      </c>
      <c r="AE2596" s="1">
        <v>0</v>
      </c>
      <c r="AF2596" s="1">
        <f ca="1">IFERROR(__xludf.DUMMYFUNCTION("IFERROR(GOOGLEFINANCE(TRIM(F2596)&amp;"":"" &amp; TRIM(B2596),""high52""),AE2596)"),0)</f>
        <v>0</v>
      </c>
      <c r="AG2596" s="1">
        <v>0</v>
      </c>
      <c r="AH2596" s="1">
        <f ca="1">IFERROR(__xludf.DUMMYFUNCTION("IFERROR(GOOGLEFINANCE(TRIM(F2596)&amp;"":"" &amp; TRIM(B2596),""low52""),AE2596)"),0)</f>
        <v>0</v>
      </c>
      <c r="AI2596" s="1">
        <f ca="1">IFERROR(__xludf.DUMMYFUNCTION("IFERROR(GOOGLEFINANCE(B2596,""eps""),0)"),0)</f>
        <v>0</v>
      </c>
      <c r="AJ2596" s="1"/>
      <c r="AK2596" s="1" t="s">
        <v>8074</v>
      </c>
      <c r="AL2596" s="9">
        <f t="shared" si="260"/>
        <v>1</v>
      </c>
    </row>
    <row r="2597" spans="1:38" ht="15" x14ac:dyDescent="0.25">
      <c r="A2597" s="1" t="s">
        <v>8075</v>
      </c>
      <c r="B2597" s="1" t="s">
        <v>8076</v>
      </c>
      <c r="C2597" s="1" t="s">
        <v>208</v>
      </c>
      <c r="D2597" s="1" t="s">
        <v>208</v>
      </c>
      <c r="E2597" s="6">
        <v>768.94</v>
      </c>
      <c r="F2597" s="1" t="s">
        <v>40</v>
      </c>
      <c r="G2597" s="6">
        <f ca="1">IFERROR(__xludf.DUMMYFUNCTION("iferror(GOOGLEFINANCE(TRIM(F2597)&amp;"":"" &amp; TRIM(B2597), ""price""),0
)"),1987)</f>
        <v>1987</v>
      </c>
      <c r="H2597" s="6">
        <v>3080.25</v>
      </c>
      <c r="I2597" s="6">
        <f t="shared" ca="1" si="0"/>
        <v>1987</v>
      </c>
      <c r="J2597" s="6">
        <f ca="1">IFERROR(__xludf.DUMMYFUNCTION("IFERROR(GOOGLEFINANCE(B2597, ""volume""), 0)"),123)</f>
        <v>123</v>
      </c>
      <c r="K2597" s="6">
        <v>-1.58</v>
      </c>
      <c r="L2597" s="6">
        <f ca="1">IFERROR(__xludf.DUMMYFUNCTION("IFERROR(GOOGLEFINANCE(B2597,""changepct""),K2597)"),-0.36)</f>
        <v>-0.36</v>
      </c>
      <c r="M2597" s="6">
        <f ca="1">IFERROR(__xludf.DUMMYFUNCTION("IFERROR(GOOGLEFINANCE(B2597,""change""),0)"),-7.1)</f>
        <v>-7.1</v>
      </c>
      <c r="N2597" s="6">
        <v>1</v>
      </c>
      <c r="O2597" s="7">
        <v>45536</v>
      </c>
      <c r="P2597" s="6">
        <v>7.21</v>
      </c>
      <c r="Q2597" s="7">
        <v>45536</v>
      </c>
      <c r="R2597" s="6">
        <v>106.72</v>
      </c>
      <c r="S2597" s="6">
        <v>8.14</v>
      </c>
      <c r="T2597" s="6">
        <v>0.33</v>
      </c>
      <c r="U2597" s="6">
        <v>1</v>
      </c>
      <c r="V2597" s="7">
        <v>45352</v>
      </c>
      <c r="W2597" s="6">
        <f ca="1">IFERROR(__xludf.DUMMYFUNCTION("IFERROR(GOOGLEFINANCE(B2597,""pe""),V2597)"),36.28)</f>
        <v>36.28</v>
      </c>
      <c r="X2597" s="6">
        <v>0</v>
      </c>
      <c r="Y2597" s="6">
        <v>0.34</v>
      </c>
      <c r="Z2597" s="6">
        <v>0.46</v>
      </c>
      <c r="AA2597" s="3" t="s">
        <v>8077</v>
      </c>
      <c r="AB2597" s="11"/>
      <c r="AC2597" s="9"/>
      <c r="AD2597" s="9"/>
      <c r="AE2597" s="1">
        <v>0</v>
      </c>
      <c r="AF2597" s="1">
        <f ca="1">IFERROR(__xludf.DUMMYFUNCTION("IFERROR(GOOGLEFINANCE(TRIM(F2597)&amp;"":"" &amp; TRIM(B2597),""high52""),AE2597)"),3320.9)</f>
        <v>3320.9</v>
      </c>
      <c r="AG2597" s="1">
        <v>0</v>
      </c>
      <c r="AH2597" s="1">
        <f ca="1">IFERROR(__xludf.DUMMYFUNCTION("IFERROR(GOOGLEFINANCE(TRIM(F2597)&amp;"":"" &amp; TRIM(B2597),""low52""),AE2597)"),1911)</f>
        <v>1911</v>
      </c>
      <c r="AI2597" s="1">
        <f ca="1">IFERROR(__xludf.DUMMYFUNCTION("IFERROR(GOOGLEFINANCE(B2597,""eps""),0)"),54.77)</f>
        <v>54.77</v>
      </c>
      <c r="AJ2597" s="1"/>
      <c r="AK2597" s="1" t="s">
        <v>8078</v>
      </c>
      <c r="AL2597" s="9">
        <f t="shared" si="260"/>
        <v>1</v>
      </c>
    </row>
    <row r="2598" spans="1:38" ht="15" x14ac:dyDescent="0.25">
      <c r="A2598" s="1" t="s">
        <v>8079</v>
      </c>
      <c r="B2598" s="1" t="s">
        <v>8080</v>
      </c>
      <c r="C2598" s="1" t="s">
        <v>697</v>
      </c>
      <c r="D2598" s="1" t="s">
        <v>697</v>
      </c>
      <c r="E2598" s="6">
        <v>1344.62</v>
      </c>
      <c r="F2598" s="1" t="s">
        <v>40</v>
      </c>
      <c r="G2598" s="6">
        <f ca="1">IFERROR(__xludf.DUMMYFUNCTION("iferror(GOOGLEFINANCE(TRIM(F2598)&amp;"":"" &amp; TRIM(B2598), ""price""),0
)"),134)</f>
        <v>134</v>
      </c>
      <c r="H2598" s="6">
        <v>66.510000000000005</v>
      </c>
      <c r="I2598" s="6">
        <f t="shared" ca="1" si="0"/>
        <v>134</v>
      </c>
      <c r="J2598" s="6">
        <f ca="1">IFERROR(__xludf.DUMMYFUNCTION("IFERROR(GOOGLEFINANCE(B2598, ""volume""), 0)"),724488)</f>
        <v>724488</v>
      </c>
      <c r="K2598" s="6">
        <v>-1.28</v>
      </c>
      <c r="L2598" s="6">
        <f ca="1">IFERROR(__xludf.DUMMYFUNCTION("IFERROR(GOOGLEFINANCE(B2598,""changepct""),K2598)"),-2.59)</f>
        <v>-2.59</v>
      </c>
      <c r="M2598" s="6">
        <f ca="1">IFERROR(__xludf.DUMMYFUNCTION("IFERROR(GOOGLEFINANCE(B2598,""change""),0)"),-3.56)</f>
        <v>-3.56</v>
      </c>
      <c r="N2598" s="6">
        <v>2</v>
      </c>
      <c r="O2598" s="7">
        <v>45536</v>
      </c>
      <c r="P2598" s="6">
        <v>521.77</v>
      </c>
      <c r="Q2598" s="6">
        <v>1811.03</v>
      </c>
      <c r="R2598" s="7">
        <v>45536</v>
      </c>
      <c r="S2598" s="6">
        <v>1587.88</v>
      </c>
      <c r="T2598" s="6">
        <v>-30.63</v>
      </c>
      <c r="U2598" s="7">
        <v>45536</v>
      </c>
      <c r="V2598" s="6">
        <v>0</v>
      </c>
      <c r="W2598" s="6">
        <f ca="1">IFERROR(__xludf.DUMMYFUNCTION("IFERROR(GOOGLEFINANCE(B2598,""pe""),V2598)"),0)</f>
        <v>0</v>
      </c>
      <c r="X2598" s="12"/>
      <c r="Y2598" s="6">
        <v>2.66</v>
      </c>
      <c r="Z2598" s="6">
        <v>2</v>
      </c>
      <c r="AA2598" s="8">
        <v>45352</v>
      </c>
      <c r="AB2598" s="4">
        <v>1.55</v>
      </c>
      <c r="AC2598" s="6">
        <v>-10.9</v>
      </c>
      <c r="AD2598" s="6">
        <v>-0.04</v>
      </c>
      <c r="AE2598" s="1">
        <v>0</v>
      </c>
      <c r="AF2598" s="1">
        <f ca="1">IFERROR(__xludf.DUMMYFUNCTION("IFERROR(GOOGLEFINANCE(TRIM(F2598)&amp;"":"" &amp; TRIM(B2598),""high52""),AE2598)"),311.05)</f>
        <v>311.05</v>
      </c>
      <c r="AG2598" s="1">
        <v>0</v>
      </c>
      <c r="AH2598" s="1">
        <f ca="1">IFERROR(__xludf.DUMMYFUNCTION("IFERROR(GOOGLEFINANCE(TRIM(F2598)&amp;"":"" &amp; TRIM(B2598),""low52""),AE2598)"),49.26)</f>
        <v>49.26</v>
      </c>
      <c r="AI2598" s="1">
        <f ca="1">IFERROR(__xludf.DUMMYFUNCTION("IFERROR(GOOGLEFINANCE(B2598,""eps""),0)"),-2.06)</f>
        <v>-2.06</v>
      </c>
      <c r="AJ2598" s="1"/>
      <c r="AK2598" s="9"/>
      <c r="AL2598" s="9">
        <f t="shared" si="260"/>
        <v>1</v>
      </c>
    </row>
    <row r="2599" spans="1:38" ht="15" x14ac:dyDescent="0.25">
      <c r="A2599" s="1" t="s">
        <v>8081</v>
      </c>
      <c r="B2599" s="1" t="s">
        <v>8082</v>
      </c>
      <c r="C2599" s="1" t="s">
        <v>43</v>
      </c>
      <c r="D2599" s="1" t="s">
        <v>43</v>
      </c>
      <c r="E2599" s="6">
        <v>430.36</v>
      </c>
      <c r="F2599" s="1" t="s">
        <v>40</v>
      </c>
      <c r="G2599" s="6">
        <f ca="1">IFERROR(__xludf.DUMMYFUNCTION("iferror(GOOGLEFINANCE(TRIM(F2599)&amp;"":"" &amp; TRIM(B2599), ""price""),0
)"),2525)</f>
        <v>2525</v>
      </c>
      <c r="H2599" s="6">
        <v>4368.05</v>
      </c>
      <c r="I2599" s="6">
        <f t="shared" ca="1" si="0"/>
        <v>2525</v>
      </c>
      <c r="J2599" s="6">
        <f ca="1">IFERROR(__xludf.DUMMYFUNCTION("IFERROR(GOOGLEFINANCE(B2599, ""volume""), 0)"),77)</f>
        <v>77</v>
      </c>
      <c r="K2599" s="6">
        <v>1.5</v>
      </c>
      <c r="L2599" s="6">
        <f ca="1">IFERROR(__xludf.DUMMYFUNCTION("IFERROR(GOOGLEFINANCE(B2599,""changepct""),K2599)"),-1.22)</f>
        <v>-1.22</v>
      </c>
      <c r="M2599" s="6">
        <f ca="1">IFERROR(__xludf.DUMMYFUNCTION("IFERROR(GOOGLEFINANCE(B2599,""change""),0)"),-31.3)</f>
        <v>-31.3</v>
      </c>
      <c r="N2599" s="6">
        <v>2</v>
      </c>
      <c r="O2599" s="7">
        <v>45536</v>
      </c>
      <c r="P2599" s="6">
        <v>19.77</v>
      </c>
      <c r="Q2599" s="7">
        <v>45536</v>
      </c>
      <c r="R2599" s="6">
        <v>11.64</v>
      </c>
      <c r="S2599" s="6">
        <v>0.38</v>
      </c>
      <c r="T2599" s="6">
        <v>0.49</v>
      </c>
      <c r="U2599" s="6">
        <v>2</v>
      </c>
      <c r="V2599" s="7">
        <v>45352</v>
      </c>
      <c r="W2599" s="6">
        <f ca="1">IFERROR(__xludf.DUMMYFUNCTION("IFERROR(GOOGLEFINANCE(B2599,""pe""),V2599)"),8.14)</f>
        <v>8.14</v>
      </c>
      <c r="X2599" s="6">
        <v>0</v>
      </c>
      <c r="Y2599" s="6">
        <v>4.29</v>
      </c>
      <c r="Z2599" s="6">
        <v>4.71</v>
      </c>
      <c r="AA2599" s="3" t="s">
        <v>8083</v>
      </c>
      <c r="AB2599" s="11"/>
      <c r="AC2599" s="9"/>
      <c r="AD2599" s="9"/>
      <c r="AE2599" s="1">
        <v>0</v>
      </c>
      <c r="AF2599" s="1">
        <f ca="1">IFERROR(__xludf.DUMMYFUNCTION("IFERROR(GOOGLEFINANCE(TRIM(F2599)&amp;"":"" &amp; TRIM(B2599),""high52""),AE2599)"),4685.4)</f>
        <v>4685.3999999999996</v>
      </c>
      <c r="AG2599" s="1">
        <v>0</v>
      </c>
      <c r="AH2599" s="1">
        <f ca="1">IFERROR(__xludf.DUMMYFUNCTION("IFERROR(GOOGLEFINANCE(TRIM(F2599)&amp;"":"" &amp; TRIM(B2599),""low52""),AE2599)"),2405)</f>
        <v>2405</v>
      </c>
      <c r="AI2599" s="1">
        <f ca="1">IFERROR(__xludf.DUMMYFUNCTION("IFERROR(GOOGLEFINANCE(B2599,""eps""),0)"),310.04)</f>
        <v>310.04000000000002</v>
      </c>
      <c r="AJ2599" s="1"/>
      <c r="AK2599" s="9"/>
      <c r="AL2599" s="9">
        <f t="shared" si="260"/>
        <v>1</v>
      </c>
    </row>
    <row r="2600" spans="1:38" ht="15" x14ac:dyDescent="0.25">
      <c r="A2600" s="1" t="s">
        <v>8084</v>
      </c>
      <c r="B2600" s="1" t="s">
        <v>8085</v>
      </c>
      <c r="C2600" s="1" t="s">
        <v>57</v>
      </c>
      <c r="D2600" s="1" t="s">
        <v>57</v>
      </c>
      <c r="E2600" s="6">
        <v>2116.4</v>
      </c>
      <c r="F2600" s="1" t="s">
        <v>53</v>
      </c>
      <c r="G2600" s="6">
        <f ca="1">IFERROR(__xludf.DUMMYFUNCTION("iferror(GOOGLEFINANCE(TRIM(F2600)&amp;"":"" &amp; TRIM(B2600), ""price""),0
)"),0)</f>
        <v>0</v>
      </c>
      <c r="H2600" s="6">
        <v>96.78</v>
      </c>
      <c r="I2600" s="6">
        <f t="shared" ca="1" si="0"/>
        <v>96.78</v>
      </c>
      <c r="J2600" s="6">
        <f ca="1">IFERROR(__xludf.DUMMYFUNCTION("IFERROR(GOOGLEFINANCE(B2600, ""volume""), 0)"),0)</f>
        <v>0</v>
      </c>
      <c r="K2600" s="6">
        <v>-0.25</v>
      </c>
      <c r="L2600" s="6">
        <f ca="1">IFERROR(__xludf.DUMMYFUNCTION("IFERROR(GOOGLEFINANCE(B2600,""changepct""),K2600)"),-0.25)</f>
        <v>-0.25</v>
      </c>
      <c r="M2600" s="6">
        <f ca="1">IFERROR(__xludf.DUMMYFUNCTION("IFERROR(GOOGLEFINANCE(B2600,""change""),0)"),0)</f>
        <v>0</v>
      </c>
      <c r="N2600" s="6">
        <v>2</v>
      </c>
      <c r="O2600" s="7">
        <v>45536</v>
      </c>
      <c r="P2600" s="6">
        <v>65.48</v>
      </c>
      <c r="Q2600" s="6">
        <v>2181.88</v>
      </c>
      <c r="R2600" s="7">
        <v>45536</v>
      </c>
      <c r="S2600" s="6">
        <v>847.34</v>
      </c>
      <c r="T2600" s="6">
        <v>34.479999999999997</v>
      </c>
      <c r="U2600" s="7">
        <v>45536</v>
      </c>
      <c r="V2600" s="6">
        <v>61.39</v>
      </c>
      <c r="W2600" s="6">
        <f ca="1">IFERROR(__xludf.DUMMYFUNCTION("IFERROR(GOOGLEFINANCE(B2600,""pe""),V2600)"),61.39)</f>
        <v>61.39</v>
      </c>
      <c r="X2600" s="9"/>
      <c r="Y2600" s="6">
        <v>21.41</v>
      </c>
      <c r="Z2600" s="6">
        <v>2</v>
      </c>
      <c r="AA2600" s="8">
        <v>45352</v>
      </c>
      <c r="AB2600" s="4">
        <v>0.83</v>
      </c>
      <c r="AC2600" s="6">
        <v>20.73</v>
      </c>
      <c r="AD2600" s="6">
        <v>18.97</v>
      </c>
      <c r="AE2600" s="1">
        <v>0</v>
      </c>
      <c r="AF2600" s="1">
        <f ca="1">IFERROR(__xludf.DUMMYFUNCTION("IFERROR(GOOGLEFINANCE(TRIM(F2600)&amp;"":"" &amp; TRIM(B2600),""high52""),AE2600)"),0)</f>
        <v>0</v>
      </c>
      <c r="AG2600" s="1">
        <v>0</v>
      </c>
      <c r="AH2600" s="1">
        <f ca="1">IFERROR(__xludf.DUMMYFUNCTION("IFERROR(GOOGLEFINANCE(TRIM(F2600)&amp;"":"" &amp; TRIM(B2600),""low52""),AE2600)"),0)</f>
        <v>0</v>
      </c>
      <c r="AI2600" s="1">
        <f ca="1">IFERROR(__xludf.DUMMYFUNCTION("IFERROR(GOOGLEFINANCE(B2600,""eps""),0)"),0)</f>
        <v>0</v>
      </c>
      <c r="AJ2600" s="1"/>
      <c r="AK2600" s="1" t="s">
        <v>8086</v>
      </c>
      <c r="AL2600" s="9">
        <f t="shared" si="260"/>
        <v>1</v>
      </c>
    </row>
    <row r="2601" spans="1:38" ht="15" x14ac:dyDescent="0.25">
      <c r="A2601" s="1" t="s">
        <v>8087</v>
      </c>
      <c r="B2601" s="1" t="s">
        <v>8088</v>
      </c>
      <c r="C2601" s="1" t="s">
        <v>502</v>
      </c>
      <c r="D2601" s="1" t="s">
        <v>502</v>
      </c>
      <c r="E2601" s="6">
        <v>568.16</v>
      </c>
      <c r="F2601" s="1" t="s">
        <v>40</v>
      </c>
      <c r="G2601" s="6">
        <f ca="1">IFERROR(__xludf.DUMMYFUNCTION("iferror(GOOGLEFINANCE(TRIM(F2601)&amp;"":"" &amp; TRIM(B2601), ""price""),0
)"),4.82)</f>
        <v>4.82</v>
      </c>
      <c r="H2601" s="6">
        <v>9.5500000000000007</v>
      </c>
      <c r="I2601" s="6">
        <f t="shared" ca="1" si="0"/>
        <v>4.82</v>
      </c>
      <c r="J2601" s="6">
        <f ca="1">IFERROR(__xludf.DUMMYFUNCTION("IFERROR(GOOGLEFINANCE(B2601, ""volume""), 0)"),509870)</f>
        <v>509870</v>
      </c>
      <c r="K2601" s="6">
        <v>0.63</v>
      </c>
      <c r="L2601" s="6">
        <f ca="1">IFERROR(__xludf.DUMMYFUNCTION("IFERROR(GOOGLEFINANCE(B2601,""changepct""),K2601)"),-2.43)</f>
        <v>-2.4300000000000002</v>
      </c>
      <c r="M2601" s="6">
        <f ca="1">IFERROR(__xludf.DUMMYFUNCTION("IFERROR(GOOGLEFINANCE(B2601,""change""),0)"),-0.12)</f>
        <v>-0.12</v>
      </c>
      <c r="N2601" s="6">
        <v>2</v>
      </c>
      <c r="O2601" s="7">
        <v>45536</v>
      </c>
      <c r="P2601" s="6">
        <v>19</v>
      </c>
      <c r="Q2601" s="6">
        <v>566.67999999999995</v>
      </c>
      <c r="R2601" s="7">
        <v>45536</v>
      </c>
      <c r="S2601" s="6">
        <v>3239.97</v>
      </c>
      <c r="T2601" s="6">
        <v>2088.71</v>
      </c>
      <c r="U2601" s="7">
        <v>45536</v>
      </c>
      <c r="V2601" s="6">
        <v>0.27</v>
      </c>
      <c r="W2601" s="6">
        <f ca="1">IFERROR(__xludf.DUMMYFUNCTION("IFERROR(GOOGLEFINANCE(B2601,""pe""),V2601)"),0.27)</f>
        <v>0.27</v>
      </c>
      <c r="X2601" s="12"/>
      <c r="Y2601" s="6">
        <v>-0.62</v>
      </c>
      <c r="Z2601" s="6">
        <v>2</v>
      </c>
      <c r="AA2601" s="8">
        <v>45352</v>
      </c>
      <c r="AB2601" s="4">
        <v>-0.8</v>
      </c>
      <c r="AC2601" s="6">
        <v>0</v>
      </c>
      <c r="AD2601" s="6">
        <v>0</v>
      </c>
      <c r="AE2601" s="1">
        <v>0</v>
      </c>
      <c r="AF2601" s="1">
        <f ca="1">IFERROR(__xludf.DUMMYFUNCTION("IFERROR(GOOGLEFINANCE(TRIM(F2601)&amp;"":"" &amp; TRIM(B2601),""high52""),AE2601)"),8.83)</f>
        <v>8.83</v>
      </c>
      <c r="AG2601" s="1">
        <v>0</v>
      </c>
      <c r="AH2601" s="1">
        <f ca="1">IFERROR(__xludf.DUMMYFUNCTION("IFERROR(GOOGLEFINANCE(TRIM(F2601)&amp;"":"" &amp; TRIM(B2601),""low52""),AE2601)"),4.04)</f>
        <v>4.04</v>
      </c>
      <c r="AI2601" s="1">
        <f ca="1">IFERROR(__xludf.DUMMYFUNCTION("IFERROR(GOOGLEFINANCE(B2601,""eps""),0)"),-0.4)</f>
        <v>-0.4</v>
      </c>
      <c r="AJ2601" s="1"/>
      <c r="AK2601" s="9"/>
      <c r="AL2601" s="9">
        <f t="shared" si="260"/>
        <v>1</v>
      </c>
    </row>
    <row r="2602" spans="1:38" ht="15" x14ac:dyDescent="0.25">
      <c r="A2602" s="1" t="s">
        <v>8089</v>
      </c>
      <c r="B2602" s="1" t="s">
        <v>8090</v>
      </c>
      <c r="C2602" s="1" t="s">
        <v>208</v>
      </c>
      <c r="D2602" s="1" t="s">
        <v>208</v>
      </c>
      <c r="E2602" s="6">
        <v>46.68</v>
      </c>
      <c r="F2602" s="1" t="s">
        <v>40</v>
      </c>
      <c r="G2602" s="6">
        <f ca="1">IFERROR(__xludf.DUMMYFUNCTION("iferror(GOOGLEFINANCE(TRIM(F2602)&amp;"":"" &amp; TRIM(B2602), ""price""),0
)"),24.6)</f>
        <v>24.6</v>
      </c>
      <c r="H2602" s="6">
        <v>37.04</v>
      </c>
      <c r="I2602" s="6">
        <f t="shared" ca="1" si="0"/>
        <v>24.6</v>
      </c>
      <c r="J2602" s="6">
        <f ca="1">IFERROR(__xludf.DUMMYFUNCTION("IFERROR(GOOGLEFINANCE(B2602, ""volume""), 0)"),5105)</f>
        <v>5105</v>
      </c>
      <c r="K2602" s="6">
        <v>1.98</v>
      </c>
      <c r="L2602" s="6">
        <f ca="1">IFERROR(__xludf.DUMMYFUNCTION("IFERROR(GOOGLEFINANCE(B2602,""changepct""),K2602)"),-7.87)</f>
        <v>-7.87</v>
      </c>
      <c r="M2602" s="6">
        <f ca="1">IFERROR(__xludf.DUMMYFUNCTION("IFERROR(GOOGLEFINANCE(B2602,""change""),0)"),-2.1)</f>
        <v>-2.1</v>
      </c>
      <c r="N2602" s="6">
        <v>1</v>
      </c>
      <c r="O2602" s="7">
        <v>45536</v>
      </c>
      <c r="P2602" s="6">
        <v>18.28</v>
      </c>
      <c r="Q2602" s="7">
        <v>45536</v>
      </c>
      <c r="R2602" s="6">
        <v>2.5499999999999998</v>
      </c>
      <c r="S2602" s="6">
        <v>0.14000000000000001</v>
      </c>
      <c r="T2602" s="6">
        <v>4.25</v>
      </c>
      <c r="U2602" s="6">
        <v>1</v>
      </c>
      <c r="V2602" s="7">
        <v>45352</v>
      </c>
      <c r="W2602" s="6">
        <f ca="1">IFERROR(__xludf.DUMMYFUNCTION("IFERROR(GOOGLEFINANCE(B2602,""pe""),V2602)"),1.87)</f>
        <v>1.87</v>
      </c>
      <c r="X2602" s="6">
        <v>37.25</v>
      </c>
      <c r="Y2602" s="6">
        <v>0</v>
      </c>
      <c r="Z2602" s="6">
        <v>32.369999999999997</v>
      </c>
      <c r="AA2602" s="3" t="s">
        <v>8091</v>
      </c>
      <c r="AB2602" s="3"/>
      <c r="AC2602" s="9"/>
      <c r="AD2602" s="9"/>
      <c r="AE2602" s="1">
        <v>0</v>
      </c>
      <c r="AF2602" s="1">
        <f ca="1">IFERROR(__xludf.DUMMYFUNCTION("IFERROR(GOOGLEFINANCE(TRIM(F2602)&amp;"":"" &amp; TRIM(B2602),""high52""),AE2602)"),42.75)</f>
        <v>42.75</v>
      </c>
      <c r="AG2602" s="1">
        <v>0</v>
      </c>
      <c r="AH2602" s="1">
        <f ca="1">IFERROR(__xludf.DUMMYFUNCTION("IFERROR(GOOGLEFINANCE(TRIM(F2602)&amp;"":"" &amp; TRIM(B2602),""low52""),AE2602)"),23.23)</f>
        <v>23.23</v>
      </c>
      <c r="AI2602" s="1">
        <f ca="1">IFERROR(__xludf.DUMMYFUNCTION("IFERROR(GOOGLEFINANCE(B2602,""eps""),0)"),13.16)</f>
        <v>13.16</v>
      </c>
      <c r="AJ2602" s="1"/>
      <c r="AK2602" s="1" t="s">
        <v>8092</v>
      </c>
      <c r="AL2602" s="9">
        <f t="shared" si="260"/>
        <v>1</v>
      </c>
    </row>
    <row r="2603" spans="1:38" ht="15" x14ac:dyDescent="0.25">
      <c r="A2603" s="1" t="s">
        <v>8093</v>
      </c>
      <c r="B2603" s="1" t="s">
        <v>8094</v>
      </c>
      <c r="C2603" s="1" t="s">
        <v>706</v>
      </c>
      <c r="D2603" s="1" t="s">
        <v>706</v>
      </c>
      <c r="E2603" s="6">
        <v>113.12</v>
      </c>
      <c r="F2603" s="1" t="s">
        <v>40</v>
      </c>
      <c r="G2603" s="6">
        <f ca="1">IFERROR(__xludf.DUMMYFUNCTION("iferror(GOOGLEFINANCE(TRIM(F2603)&amp;"":"" &amp; TRIM(B2603), ""price""),0
)"),24.61)</f>
        <v>24.61</v>
      </c>
      <c r="H2603" s="6">
        <v>36.700000000000003</v>
      </c>
      <c r="I2603" s="6">
        <f t="shared" ca="1" si="0"/>
        <v>24.61</v>
      </c>
      <c r="J2603" s="6">
        <f ca="1">IFERROR(__xludf.DUMMYFUNCTION("IFERROR(GOOGLEFINANCE(B2603, ""volume""), 0)"),2425)</f>
        <v>2425</v>
      </c>
      <c r="K2603" s="6">
        <v>1.8</v>
      </c>
      <c r="L2603" s="6">
        <f ca="1">IFERROR(__xludf.DUMMYFUNCTION("IFERROR(GOOGLEFINANCE(B2603,""changepct""),K2603)"),-0.24)</f>
        <v>-0.24</v>
      </c>
      <c r="M2603" s="6">
        <f ca="1">IFERROR(__xludf.DUMMYFUNCTION("IFERROR(GOOGLEFINANCE(B2603,""change""),0)"),-0.06)</f>
        <v>-0.06</v>
      </c>
      <c r="N2603" s="6">
        <v>1</v>
      </c>
      <c r="O2603" s="7">
        <v>45536</v>
      </c>
      <c r="P2603" s="6">
        <v>166.07</v>
      </c>
      <c r="Q2603" s="6">
        <v>275.88</v>
      </c>
      <c r="R2603" s="7">
        <v>45536</v>
      </c>
      <c r="S2603" s="6">
        <v>599.64</v>
      </c>
      <c r="T2603" s="6">
        <v>5.14</v>
      </c>
      <c r="U2603" s="7">
        <v>45536</v>
      </c>
      <c r="V2603" s="6">
        <v>21.99</v>
      </c>
      <c r="W2603" s="6">
        <f ca="1">IFERROR(__xludf.DUMMYFUNCTION("IFERROR(GOOGLEFINANCE(B2603,""pe""),V2603)"),28.8)</f>
        <v>28.8</v>
      </c>
      <c r="X2603" s="6">
        <v>1.58</v>
      </c>
      <c r="Y2603" s="6">
        <v>0.74</v>
      </c>
      <c r="Z2603" s="6">
        <v>1</v>
      </c>
      <c r="AA2603" s="8">
        <v>45352</v>
      </c>
      <c r="AB2603" s="4">
        <v>1.1299999999999999</v>
      </c>
      <c r="AC2603" s="6">
        <v>4.66</v>
      </c>
      <c r="AD2603" s="6">
        <v>6.17</v>
      </c>
      <c r="AE2603" s="1">
        <v>0</v>
      </c>
      <c r="AF2603" s="1">
        <f ca="1">IFERROR(__xludf.DUMMYFUNCTION("IFERROR(GOOGLEFINANCE(TRIM(F2603)&amp;"":"" &amp; TRIM(B2603),""high52""),AE2603)"),40)</f>
        <v>40</v>
      </c>
      <c r="AG2603" s="1">
        <v>0</v>
      </c>
      <c r="AH2603" s="1">
        <f ca="1">IFERROR(__xludf.DUMMYFUNCTION("IFERROR(GOOGLEFINANCE(TRIM(F2603)&amp;"":"" &amp; TRIM(B2603),""low52""),AE2603)"),22.5)</f>
        <v>22.5</v>
      </c>
      <c r="AI2603" s="1">
        <f ca="1">IFERROR(__xludf.DUMMYFUNCTION("IFERROR(GOOGLEFINANCE(B2603,""eps""),0)"),0.85)</f>
        <v>0.85</v>
      </c>
      <c r="AJ2603" s="1"/>
      <c r="AK2603" s="1" t="s">
        <v>8095</v>
      </c>
      <c r="AL2603" s="9">
        <f t="shared" si="260"/>
        <v>1</v>
      </c>
    </row>
    <row r="2604" spans="1:38" ht="15" x14ac:dyDescent="0.25">
      <c r="A2604" s="1" t="s">
        <v>8096</v>
      </c>
      <c r="B2604" s="1" t="s">
        <v>8097</v>
      </c>
      <c r="C2604" s="1" t="s">
        <v>208</v>
      </c>
      <c r="D2604" s="1" t="s">
        <v>208</v>
      </c>
      <c r="E2604" s="6">
        <v>537.54999999999995</v>
      </c>
      <c r="F2604" s="1" t="s">
        <v>40</v>
      </c>
      <c r="G2604" s="6">
        <f ca="1">IFERROR(__xludf.DUMMYFUNCTION("iferror(GOOGLEFINANCE(TRIM(F2604)&amp;"":"" &amp; TRIM(B2604), ""price""),0
)"),228.95)</f>
        <v>228.95</v>
      </c>
      <c r="H2604" s="6">
        <v>325.3</v>
      </c>
      <c r="I2604" s="6">
        <f t="shared" ca="1" si="0"/>
        <v>228.95</v>
      </c>
      <c r="J2604" s="6">
        <f ca="1">IFERROR(__xludf.DUMMYFUNCTION("IFERROR(GOOGLEFINANCE(B2604, ""volume""), 0)"),2295)</f>
        <v>2295</v>
      </c>
      <c r="K2604" s="6">
        <v>0.98</v>
      </c>
      <c r="L2604" s="6">
        <f ca="1">IFERROR(__xludf.DUMMYFUNCTION("IFERROR(GOOGLEFINANCE(B2604,""changepct""),K2604)"),-1.62)</f>
        <v>-1.62</v>
      </c>
      <c r="M2604" s="6">
        <f ca="1">IFERROR(__xludf.DUMMYFUNCTION("IFERROR(GOOGLEFINANCE(B2604,""change""),0)"),-3.76)</f>
        <v>-3.76</v>
      </c>
      <c r="N2604" s="6">
        <v>2</v>
      </c>
      <c r="O2604" s="7">
        <v>45536</v>
      </c>
      <c r="P2604" s="6">
        <v>39.799999999999997</v>
      </c>
      <c r="Q2604" s="7">
        <v>45536</v>
      </c>
      <c r="R2604" s="6">
        <v>17.43</v>
      </c>
      <c r="S2604" s="6">
        <v>-1.25</v>
      </c>
      <c r="T2604" s="6">
        <v>0.33</v>
      </c>
      <c r="U2604" s="6">
        <v>2</v>
      </c>
      <c r="V2604" s="7">
        <v>45352</v>
      </c>
      <c r="W2604" s="6">
        <f ca="1">IFERROR(__xludf.DUMMYFUNCTION("IFERROR(GOOGLEFINANCE(B2604,""pe""),V2604)"),6.44)</f>
        <v>6.44</v>
      </c>
      <c r="X2604" s="6">
        <v>0</v>
      </c>
      <c r="Y2604" s="6">
        <v>0.77</v>
      </c>
      <c r="Z2604" s="6">
        <v>0.98</v>
      </c>
      <c r="AA2604" s="3" t="s">
        <v>8098</v>
      </c>
      <c r="AB2604" s="3"/>
      <c r="AC2604" s="12"/>
      <c r="AD2604" s="12"/>
      <c r="AE2604" s="1">
        <v>0</v>
      </c>
      <c r="AF2604" s="1">
        <f ca="1">IFERROR(__xludf.DUMMYFUNCTION("IFERROR(GOOGLEFINANCE(TRIM(F2604)&amp;"":"" &amp; TRIM(B2604),""high52""),AE2604)"),376.65)</f>
        <v>376.65</v>
      </c>
      <c r="AG2604" s="1">
        <v>0</v>
      </c>
      <c r="AH2604" s="1">
        <f ca="1">IFERROR(__xludf.DUMMYFUNCTION("IFERROR(GOOGLEFINANCE(TRIM(F2604)&amp;"":"" &amp; TRIM(B2604),""low52""),AE2604)"),215)</f>
        <v>215</v>
      </c>
      <c r="AI2604" s="1">
        <f ca="1">IFERROR(__xludf.DUMMYFUNCTION("IFERROR(GOOGLEFINANCE(B2604,""eps""),0)"),35.56)</f>
        <v>35.56</v>
      </c>
      <c r="AJ2604" s="1"/>
      <c r="AK2604" s="1" t="s">
        <v>8099</v>
      </c>
      <c r="AL2604" s="9">
        <f t="shared" si="260"/>
        <v>1</v>
      </c>
    </row>
    <row r="2605" spans="1:38" ht="15" x14ac:dyDescent="0.25">
      <c r="A2605" s="1" t="s">
        <v>8100</v>
      </c>
      <c r="B2605" s="1" t="s">
        <v>8101</v>
      </c>
      <c r="C2605" s="1" t="s">
        <v>57</v>
      </c>
      <c r="D2605" s="1" t="s">
        <v>57</v>
      </c>
      <c r="E2605" s="6">
        <v>3340.94</v>
      </c>
      <c r="F2605" s="1" t="s">
        <v>53</v>
      </c>
      <c r="G2605" s="6">
        <f ca="1">IFERROR(__xludf.DUMMYFUNCTION("iferror(GOOGLEFINANCE(TRIM(F2605)&amp;"":"" &amp; TRIM(B2605), ""price""),0
)"),0)</f>
        <v>0</v>
      </c>
      <c r="H2605" s="6">
        <v>2009.95</v>
      </c>
      <c r="I2605" s="6">
        <f t="shared" ca="1" si="0"/>
        <v>2009.95</v>
      </c>
      <c r="J2605" s="6">
        <f ca="1">IFERROR(__xludf.DUMMYFUNCTION("IFERROR(GOOGLEFINANCE(B2605, ""volume""), 0)"),0)</f>
        <v>0</v>
      </c>
      <c r="K2605" s="6">
        <v>4.93</v>
      </c>
      <c r="L2605" s="6">
        <f ca="1">IFERROR(__xludf.DUMMYFUNCTION("IFERROR(GOOGLEFINANCE(B2605,""changepct""),K2605)"),4.93)</f>
        <v>4.93</v>
      </c>
      <c r="M2605" s="6">
        <f ca="1">IFERROR(__xludf.DUMMYFUNCTION("IFERROR(GOOGLEFINANCE(B2605,""change""),0)"),0)</f>
        <v>0</v>
      </c>
      <c r="N2605" s="6">
        <v>2</v>
      </c>
      <c r="O2605" s="7">
        <v>45536</v>
      </c>
      <c r="P2605" s="6">
        <v>10.85</v>
      </c>
      <c r="Q2605" s="6">
        <v>3145.61</v>
      </c>
      <c r="R2605" s="7">
        <v>45536</v>
      </c>
      <c r="S2605" s="6">
        <v>304.74</v>
      </c>
      <c r="T2605" s="6">
        <v>31.77</v>
      </c>
      <c r="U2605" s="7">
        <v>45536</v>
      </c>
      <c r="V2605" s="6">
        <v>73.37</v>
      </c>
      <c r="W2605" s="6">
        <f ca="1">IFERROR(__xludf.DUMMYFUNCTION("IFERROR(GOOGLEFINANCE(B2605,""pe""),V2605)"),73.37)</f>
        <v>73.37</v>
      </c>
      <c r="X2605" s="6">
        <v>1.24</v>
      </c>
      <c r="Y2605" s="6">
        <v>9.15</v>
      </c>
      <c r="Z2605" s="6">
        <v>2</v>
      </c>
      <c r="AA2605" s="8">
        <v>45352</v>
      </c>
      <c r="AB2605" s="4">
        <v>0.02</v>
      </c>
      <c r="AC2605" s="6">
        <v>16.57</v>
      </c>
      <c r="AD2605" s="6">
        <v>22.71</v>
      </c>
      <c r="AE2605" s="1">
        <v>0</v>
      </c>
      <c r="AF2605" s="1">
        <f ca="1">IFERROR(__xludf.DUMMYFUNCTION("IFERROR(GOOGLEFINANCE(TRIM(F2605)&amp;"":"" &amp; TRIM(B2605),""high52""),AE2605)"),0)</f>
        <v>0</v>
      </c>
      <c r="AG2605" s="1">
        <v>0</v>
      </c>
      <c r="AH2605" s="1">
        <f ca="1">IFERROR(__xludf.DUMMYFUNCTION("IFERROR(GOOGLEFINANCE(TRIM(F2605)&amp;"":"" &amp; TRIM(B2605),""low52""),AE2605)"),0)</f>
        <v>0</v>
      </c>
      <c r="AI2605" s="1">
        <f ca="1">IFERROR(__xludf.DUMMYFUNCTION("IFERROR(GOOGLEFINANCE(B2605,""eps""),0)"),0)</f>
        <v>0</v>
      </c>
      <c r="AJ2605" s="1"/>
      <c r="AK2605" s="1" t="s">
        <v>8102</v>
      </c>
      <c r="AL2605" s="9">
        <f t="shared" si="260"/>
        <v>1</v>
      </c>
    </row>
    <row r="2606" spans="1:38" ht="15" x14ac:dyDescent="0.25">
      <c r="A2606" s="1" t="s">
        <v>8103</v>
      </c>
      <c r="B2606" s="1" t="s">
        <v>8104</v>
      </c>
      <c r="C2606" s="1" t="s">
        <v>57</v>
      </c>
      <c r="D2606" s="1" t="s">
        <v>57</v>
      </c>
      <c r="E2606" s="6">
        <v>172.77</v>
      </c>
      <c r="F2606" s="1" t="s">
        <v>53</v>
      </c>
      <c r="G2606" s="6">
        <f ca="1">IFERROR(__xludf.DUMMYFUNCTION("iferror(GOOGLEFINANCE(TRIM(F2606)&amp;"":"" &amp; TRIM(B2606), ""price""),0
)"),0)</f>
        <v>0</v>
      </c>
      <c r="H2606" s="6">
        <v>360</v>
      </c>
      <c r="I2606" s="6">
        <f t="shared" ca="1" si="0"/>
        <v>360</v>
      </c>
      <c r="J2606" s="6">
        <f ca="1">IFERROR(__xludf.DUMMYFUNCTION("IFERROR(GOOGLEFINANCE(B2606, ""volume""), 0)"),0)</f>
        <v>0</v>
      </c>
      <c r="K2606" s="6">
        <v>5.23</v>
      </c>
      <c r="L2606" s="6">
        <f ca="1">IFERROR(__xludf.DUMMYFUNCTION("IFERROR(GOOGLEFINANCE(B2606,""changepct""),K2606)"),5.23)</f>
        <v>5.23</v>
      </c>
      <c r="M2606" s="6">
        <f ca="1">IFERROR(__xludf.DUMMYFUNCTION("IFERROR(GOOGLEFINANCE(B2606,""change""),0)"),0)</f>
        <v>0</v>
      </c>
      <c r="N2606" s="6">
        <v>2</v>
      </c>
      <c r="O2606" s="7">
        <v>45536</v>
      </c>
      <c r="P2606" s="9"/>
      <c r="Q2606" s="6">
        <v>163.87</v>
      </c>
      <c r="R2606" s="7">
        <v>45536</v>
      </c>
      <c r="S2606" s="6">
        <v>75.27</v>
      </c>
      <c r="T2606" s="6">
        <v>7.75</v>
      </c>
      <c r="U2606" s="7">
        <v>45536</v>
      </c>
      <c r="V2606" s="6">
        <v>22.31</v>
      </c>
      <c r="W2606" s="6">
        <f ca="1">IFERROR(__xludf.DUMMYFUNCTION("IFERROR(GOOGLEFINANCE(B2606,""pe""),V2606)"),22.31)</f>
        <v>22.31</v>
      </c>
      <c r="X2606" s="6">
        <v>1.07</v>
      </c>
      <c r="Y2606" s="6">
        <v>2.6</v>
      </c>
      <c r="Z2606" s="6">
        <v>2</v>
      </c>
      <c r="AA2606" s="8">
        <v>45352</v>
      </c>
      <c r="AB2606" s="4">
        <v>0</v>
      </c>
      <c r="AC2606" s="6">
        <v>15.92</v>
      </c>
      <c r="AD2606" s="6">
        <v>22.4</v>
      </c>
      <c r="AE2606" s="1">
        <v>0</v>
      </c>
      <c r="AF2606" s="1">
        <f ca="1">IFERROR(__xludf.DUMMYFUNCTION("IFERROR(GOOGLEFINANCE(TRIM(F2606)&amp;"":"" &amp; TRIM(B2606),""high52""),AE2606)"),0)</f>
        <v>0</v>
      </c>
      <c r="AG2606" s="1">
        <v>0</v>
      </c>
      <c r="AH2606" s="1">
        <f ca="1">IFERROR(__xludf.DUMMYFUNCTION("IFERROR(GOOGLEFINANCE(TRIM(F2606)&amp;"":"" &amp; TRIM(B2606),""low52""),AE2606)"),0)</f>
        <v>0</v>
      </c>
      <c r="AI2606" s="1">
        <f ca="1">IFERROR(__xludf.DUMMYFUNCTION("IFERROR(GOOGLEFINANCE(B2606,""eps""),0)"),0)</f>
        <v>0</v>
      </c>
      <c r="AJ2606" s="1"/>
      <c r="AK2606" s="9"/>
      <c r="AL2606" s="9">
        <f t="shared" si="260"/>
        <v>1</v>
      </c>
    </row>
    <row r="2607" spans="1:38" ht="15" x14ac:dyDescent="0.25">
      <c r="A2607" s="1" t="s">
        <v>8105</v>
      </c>
      <c r="B2607" s="1" t="s">
        <v>8106</v>
      </c>
      <c r="C2607" s="1" t="s">
        <v>706</v>
      </c>
      <c r="D2607" s="1" t="s">
        <v>706</v>
      </c>
      <c r="E2607" s="6">
        <v>613.52</v>
      </c>
      <c r="F2607" s="1" t="s">
        <v>40</v>
      </c>
      <c r="G2607" s="6">
        <f ca="1">IFERROR(__xludf.DUMMYFUNCTION("iferror(GOOGLEFINANCE(TRIM(F2607)&amp;"":"" &amp; TRIM(B2607), ""price""),0
)"),96.05)</f>
        <v>96.05</v>
      </c>
      <c r="H2607" s="6">
        <v>145.37</v>
      </c>
      <c r="I2607" s="6">
        <f t="shared" ca="1" si="0"/>
        <v>96.05</v>
      </c>
      <c r="J2607" s="6">
        <f ca="1">IFERROR(__xludf.DUMMYFUNCTION("IFERROR(GOOGLEFINANCE(B2607, ""volume""), 0)"),16299)</f>
        <v>16299</v>
      </c>
      <c r="K2607" s="6">
        <v>2.2200000000000002</v>
      </c>
      <c r="L2607" s="6">
        <f ca="1">IFERROR(__xludf.DUMMYFUNCTION("IFERROR(GOOGLEFINANCE(B2607,""changepct""),K2607)"),-1.24)</f>
        <v>-1.24</v>
      </c>
      <c r="M2607" s="6">
        <f ca="1">IFERROR(__xludf.DUMMYFUNCTION("IFERROR(GOOGLEFINANCE(B2607,""change""),0)"),-1.21)</f>
        <v>-1.21</v>
      </c>
      <c r="N2607" s="6">
        <v>2</v>
      </c>
      <c r="O2607" s="7">
        <v>45536</v>
      </c>
      <c r="P2607" s="6">
        <v>457.61</v>
      </c>
      <c r="Q2607" s="6">
        <v>1066.95</v>
      </c>
      <c r="R2607" s="7">
        <v>45536</v>
      </c>
      <c r="S2607" s="6">
        <v>1446.76</v>
      </c>
      <c r="T2607" s="6">
        <v>21.42</v>
      </c>
      <c r="U2607" s="7">
        <v>45536</v>
      </c>
      <c r="V2607" s="6">
        <v>28.31</v>
      </c>
      <c r="W2607" s="6">
        <f ca="1">IFERROR(__xludf.DUMMYFUNCTION("IFERROR(GOOGLEFINANCE(B2607,""pe""),V2607)"),10.1)</f>
        <v>10.1</v>
      </c>
      <c r="X2607" s="6">
        <v>1.22</v>
      </c>
      <c r="Y2607" s="6">
        <v>0.63</v>
      </c>
      <c r="Z2607" s="6">
        <v>2</v>
      </c>
      <c r="AA2607" s="8">
        <v>45352</v>
      </c>
      <c r="AB2607" s="4">
        <v>0.55000000000000004</v>
      </c>
      <c r="AC2607" s="6">
        <v>1.01</v>
      </c>
      <c r="AD2607" s="6">
        <v>2.95</v>
      </c>
      <c r="AE2607" s="1">
        <v>0</v>
      </c>
      <c r="AF2607" s="1">
        <f ca="1">IFERROR(__xludf.DUMMYFUNCTION("IFERROR(GOOGLEFINANCE(TRIM(F2607)&amp;"":"" &amp; TRIM(B2607),""high52""),AE2607)"),150)</f>
        <v>150</v>
      </c>
      <c r="AG2607" s="1">
        <v>0</v>
      </c>
      <c r="AH2607" s="1">
        <f ca="1">IFERROR(__xludf.DUMMYFUNCTION("IFERROR(GOOGLEFINANCE(TRIM(F2607)&amp;"":"" &amp; TRIM(B2607),""low52""),AE2607)"),88.8)</f>
        <v>88.8</v>
      </c>
      <c r="AI2607" s="1">
        <f ca="1">IFERROR(__xludf.DUMMYFUNCTION("IFERROR(GOOGLEFINANCE(B2607,""eps""),0)"),9.51)</f>
        <v>9.51</v>
      </c>
      <c r="AJ2607" s="1"/>
      <c r="AK2607" s="1" t="s">
        <v>8107</v>
      </c>
      <c r="AL2607" s="9">
        <f t="shared" si="260"/>
        <v>1</v>
      </c>
    </row>
    <row r="2608" spans="1:38" ht="15" x14ac:dyDescent="0.25">
      <c r="A2608" s="1" t="s">
        <v>8108</v>
      </c>
      <c r="B2608" s="1" t="s">
        <v>8109</v>
      </c>
      <c r="C2608" s="1" t="s">
        <v>57</v>
      </c>
      <c r="D2608" s="1" t="s">
        <v>57</v>
      </c>
      <c r="E2608" s="6">
        <v>12.65</v>
      </c>
      <c r="F2608" s="1" t="s">
        <v>53</v>
      </c>
      <c r="G2608" s="6">
        <f ca="1">IFERROR(__xludf.DUMMYFUNCTION("iferror(GOOGLEFINANCE(TRIM(F2608)&amp;"":"" &amp; TRIM(B2608), ""price""),0
)"),0)</f>
        <v>0</v>
      </c>
      <c r="H2608" s="6">
        <v>23.44</v>
      </c>
      <c r="I2608" s="6">
        <f t="shared" ca="1" si="0"/>
        <v>23.44</v>
      </c>
      <c r="J2608" s="6">
        <f ca="1">IFERROR(__xludf.DUMMYFUNCTION("IFERROR(GOOGLEFINANCE(B2608, ""volume""), 0)"),0)</f>
        <v>0</v>
      </c>
      <c r="K2608" s="12"/>
      <c r="L2608" s="6">
        <f ca="1">IFERROR(__xludf.DUMMYFUNCTION("IFERROR(GOOGLEFINANCE(B2608,""changepct""),K2608)"),0.27)</f>
        <v>0.27</v>
      </c>
      <c r="M2608" s="6">
        <f ca="1">IFERROR(__xludf.DUMMYFUNCTION("IFERROR(GOOGLEFINANCE(B2608,""change""),0)"),0.16)</f>
        <v>0.16</v>
      </c>
      <c r="N2608" s="6">
        <v>1</v>
      </c>
      <c r="O2608" s="7">
        <v>45536</v>
      </c>
      <c r="P2608" s="9"/>
      <c r="Q2608" s="6">
        <v>12.65</v>
      </c>
      <c r="R2608" s="7">
        <v>45536</v>
      </c>
      <c r="S2608" s="6">
        <v>5.19</v>
      </c>
      <c r="T2608" s="6">
        <v>0.02</v>
      </c>
      <c r="U2608" s="7">
        <v>45536</v>
      </c>
      <c r="V2608" s="6">
        <v>744.19</v>
      </c>
      <c r="W2608" s="6">
        <f ca="1">IFERROR(__xludf.DUMMYFUNCTION("IFERROR(GOOGLEFINANCE(B2608,""pe""),V2608)"),744.19)</f>
        <v>744.19</v>
      </c>
      <c r="X2608" s="6">
        <v>-44.46</v>
      </c>
      <c r="Y2608" s="6">
        <v>2.74</v>
      </c>
      <c r="Z2608" s="6">
        <v>1</v>
      </c>
      <c r="AA2608" s="8">
        <v>45352</v>
      </c>
      <c r="AB2608" s="4">
        <v>0</v>
      </c>
      <c r="AC2608" s="6">
        <v>0.17</v>
      </c>
      <c r="AD2608" s="6">
        <v>0.18</v>
      </c>
      <c r="AE2608" s="1">
        <v>0</v>
      </c>
      <c r="AF2608" s="1">
        <f ca="1">IFERROR(__xludf.DUMMYFUNCTION("IFERROR(GOOGLEFINANCE(TRIM(F2608)&amp;"":"" &amp; TRIM(B2608),""high52""),AE2608)"),0)</f>
        <v>0</v>
      </c>
      <c r="AG2608" s="1">
        <v>0</v>
      </c>
      <c r="AH2608" s="1">
        <f ca="1">IFERROR(__xludf.DUMMYFUNCTION("IFERROR(GOOGLEFINANCE(TRIM(F2608)&amp;"":"" &amp; TRIM(B2608),""low52""),AE2608)"),0)</f>
        <v>0</v>
      </c>
      <c r="AI2608" s="1">
        <f ca="1">IFERROR(__xludf.DUMMYFUNCTION("IFERROR(GOOGLEFINANCE(B2608,""eps""),0)"),0)</f>
        <v>0</v>
      </c>
      <c r="AJ2608" s="1"/>
      <c r="AK2608" s="1" t="s">
        <v>8110</v>
      </c>
      <c r="AL2608" s="9">
        <f t="shared" si="260"/>
        <v>1</v>
      </c>
    </row>
    <row r="2609" spans="1:38" ht="15" x14ac:dyDescent="0.25">
      <c r="A2609" s="1" t="s">
        <v>8111</v>
      </c>
      <c r="B2609" s="1" t="s">
        <v>8112</v>
      </c>
      <c r="C2609" s="1" t="s">
        <v>82</v>
      </c>
      <c r="D2609" s="1" t="s">
        <v>82</v>
      </c>
      <c r="E2609" s="6">
        <v>657.11</v>
      </c>
      <c r="F2609" s="1" t="s">
        <v>40</v>
      </c>
      <c r="G2609" s="6">
        <f ca="1">IFERROR(__xludf.DUMMYFUNCTION("iferror(GOOGLEFINANCE(TRIM(F2609)&amp;"":"" &amp; TRIM(B2609), ""price""),0
)"),229)</f>
        <v>229</v>
      </c>
      <c r="H2609" s="6">
        <v>275</v>
      </c>
      <c r="I2609" s="6">
        <f t="shared" ca="1" si="0"/>
        <v>229</v>
      </c>
      <c r="J2609" s="6">
        <f ca="1">IFERROR(__xludf.DUMMYFUNCTION("IFERROR(GOOGLEFINANCE(B2609, ""volume""), 0)"),2307)</f>
        <v>2307</v>
      </c>
      <c r="K2609" s="6">
        <v>2.25</v>
      </c>
      <c r="L2609" s="6">
        <f ca="1">IFERROR(__xludf.DUMMYFUNCTION("IFERROR(GOOGLEFINANCE(B2609,""changepct""),K2609)"),-0.95)</f>
        <v>-0.95</v>
      </c>
      <c r="M2609" s="6">
        <f ca="1">IFERROR(__xludf.DUMMYFUNCTION("IFERROR(GOOGLEFINANCE(B2609,""change""),0)"),-2.19)</f>
        <v>-2.19</v>
      </c>
      <c r="N2609" s="6">
        <v>2</v>
      </c>
      <c r="O2609" s="7">
        <v>45536</v>
      </c>
      <c r="P2609" s="6">
        <v>110.87</v>
      </c>
      <c r="Q2609" s="6">
        <v>762.12</v>
      </c>
      <c r="R2609" s="7">
        <v>45536</v>
      </c>
      <c r="S2609" s="6">
        <v>643.08000000000004</v>
      </c>
      <c r="T2609" s="6">
        <v>4.74</v>
      </c>
      <c r="U2609" s="7">
        <v>45536</v>
      </c>
      <c r="V2609" s="6">
        <v>30.65</v>
      </c>
      <c r="W2609" s="6">
        <f ca="1">IFERROR(__xludf.DUMMYFUNCTION("IFERROR(GOOGLEFINANCE(B2609,""pe""),V2609)"),9.28)</f>
        <v>9.2799999999999994</v>
      </c>
      <c r="X2609" s="6">
        <v>-4.45</v>
      </c>
      <c r="Y2609" s="6">
        <v>0.76</v>
      </c>
      <c r="Z2609" s="6">
        <v>2</v>
      </c>
      <c r="AA2609" s="8">
        <v>45352</v>
      </c>
      <c r="AB2609" s="4">
        <v>0.16</v>
      </c>
      <c r="AC2609" s="6">
        <v>-1.2</v>
      </c>
      <c r="AD2609" s="6">
        <v>-0.04</v>
      </c>
      <c r="AE2609" s="1">
        <v>0</v>
      </c>
      <c r="AF2609" s="1">
        <f ca="1">IFERROR(__xludf.DUMMYFUNCTION("IFERROR(GOOGLEFINANCE(TRIM(F2609)&amp;"":"" &amp; TRIM(B2609),""high52""),AE2609)"),389.95)</f>
        <v>389.95</v>
      </c>
      <c r="AG2609" s="1">
        <v>0</v>
      </c>
      <c r="AH2609" s="1">
        <f ca="1">IFERROR(__xludf.DUMMYFUNCTION("IFERROR(GOOGLEFINANCE(TRIM(F2609)&amp;"":"" &amp; TRIM(B2609),""low52""),AE2609)"),176.42)</f>
        <v>176.42</v>
      </c>
      <c r="AI2609" s="1">
        <f ca="1">IFERROR(__xludf.DUMMYFUNCTION("IFERROR(GOOGLEFINANCE(B2609,""eps""),0)"),24.68)</f>
        <v>24.68</v>
      </c>
      <c r="AJ2609" s="1"/>
      <c r="AK2609" s="1" t="s">
        <v>8113</v>
      </c>
      <c r="AL2609" s="9">
        <f t="shared" si="260"/>
        <v>1</v>
      </c>
    </row>
    <row r="2610" spans="1:38" ht="15" x14ac:dyDescent="0.25">
      <c r="A2610" s="1" t="s">
        <v>8114</v>
      </c>
      <c r="B2610" s="1" t="s">
        <v>8115</v>
      </c>
      <c r="C2610" s="1" t="s">
        <v>57</v>
      </c>
      <c r="D2610" s="1" t="s">
        <v>57</v>
      </c>
      <c r="E2610" s="6">
        <v>20.25</v>
      </c>
      <c r="F2610" s="1" t="s">
        <v>53</v>
      </c>
      <c r="G2610" s="6">
        <f ca="1">IFERROR(__xludf.DUMMYFUNCTION("iferror(GOOGLEFINANCE(TRIM(F2610)&amp;"":"" &amp; TRIM(B2610), ""price""),0
)"),0)</f>
        <v>0</v>
      </c>
      <c r="H2610" s="6">
        <v>90.05</v>
      </c>
      <c r="I2610" s="6">
        <f t="shared" ca="1" si="0"/>
        <v>90.05</v>
      </c>
      <c r="J2610" s="6">
        <f ca="1">IFERROR(__xludf.DUMMYFUNCTION("IFERROR(GOOGLEFINANCE(B2610, ""volume""), 0)"),0)</f>
        <v>0</v>
      </c>
      <c r="K2610" s="9"/>
      <c r="L2610" s="6" t="str">
        <f ca="1">IFERROR(__xludf.DUMMYFUNCTION("IFERROR(GOOGLEFINANCE(B2610,""changepct""),K2610)"),"")</f>
        <v/>
      </c>
      <c r="M2610" s="6">
        <f ca="1">IFERROR(__xludf.DUMMYFUNCTION("IFERROR(GOOGLEFINANCE(B2610,""change""),0)"),0)</f>
        <v>0</v>
      </c>
      <c r="N2610" s="6">
        <v>1</v>
      </c>
      <c r="O2610" s="7">
        <v>45536</v>
      </c>
      <c r="P2610" s="6">
        <v>0.03</v>
      </c>
      <c r="Q2610" s="6">
        <v>17.579999999999998</v>
      </c>
      <c r="R2610" s="7">
        <v>45536</v>
      </c>
      <c r="S2610" s="6">
        <v>0.26</v>
      </c>
      <c r="T2610" s="6">
        <v>0.44</v>
      </c>
      <c r="U2610" s="7">
        <v>45536</v>
      </c>
      <c r="V2610" s="6">
        <v>46.45</v>
      </c>
      <c r="W2610" s="6">
        <f ca="1">IFERROR(__xludf.DUMMYFUNCTION("IFERROR(GOOGLEFINANCE(B2610,""pe""),V2610)"),46.45)</f>
        <v>46.45</v>
      </c>
      <c r="X2610" s="6">
        <v>5.1100000000000003</v>
      </c>
      <c r="Y2610" s="6">
        <v>4.28</v>
      </c>
      <c r="Z2610" s="6">
        <v>1</v>
      </c>
      <c r="AA2610" s="8">
        <v>45352</v>
      </c>
      <c r="AB2610" s="4">
        <v>0.01</v>
      </c>
      <c r="AC2610" s="6">
        <v>11.96</v>
      </c>
      <c r="AD2610" s="6">
        <v>14.51</v>
      </c>
      <c r="AE2610" s="1">
        <v>0</v>
      </c>
      <c r="AF2610" s="1">
        <f ca="1">IFERROR(__xludf.DUMMYFUNCTION("IFERROR(GOOGLEFINANCE(TRIM(F2610)&amp;"":"" &amp; TRIM(B2610),""high52""),AE2610)"),0)</f>
        <v>0</v>
      </c>
      <c r="AG2610" s="1">
        <v>0</v>
      </c>
      <c r="AH2610" s="1">
        <f ca="1">IFERROR(__xludf.DUMMYFUNCTION("IFERROR(GOOGLEFINANCE(TRIM(F2610)&amp;"":"" &amp; TRIM(B2610),""low52""),AE2610)"),0)</f>
        <v>0</v>
      </c>
      <c r="AI2610" s="1">
        <f ca="1">IFERROR(__xludf.DUMMYFUNCTION("IFERROR(GOOGLEFINANCE(B2610,""eps""),0)"),0)</f>
        <v>0</v>
      </c>
      <c r="AJ2610" s="1"/>
      <c r="AK2610" s="1" t="s">
        <v>8116</v>
      </c>
      <c r="AL2610" s="9">
        <f t="shared" si="260"/>
        <v>1</v>
      </c>
    </row>
    <row r="2611" spans="1:38" ht="15" x14ac:dyDescent="0.25">
      <c r="A2611" s="1" t="s">
        <v>8117</v>
      </c>
      <c r="B2611" s="1" t="s">
        <v>8118</v>
      </c>
      <c r="C2611" s="1" t="s">
        <v>57</v>
      </c>
      <c r="D2611" s="1" t="s">
        <v>57</v>
      </c>
      <c r="E2611" s="6">
        <v>33.880000000000003</v>
      </c>
      <c r="F2611" s="1" t="s">
        <v>53</v>
      </c>
      <c r="G2611" s="6">
        <f ca="1">IFERROR(__xludf.DUMMYFUNCTION("iferror(GOOGLEFINANCE(TRIM(F2611)&amp;"":"" &amp; TRIM(B2611), ""price""),0
)"),0)</f>
        <v>0</v>
      </c>
      <c r="H2611" s="6">
        <v>45.68</v>
      </c>
      <c r="I2611" s="6">
        <f t="shared" ca="1" si="0"/>
        <v>45.68</v>
      </c>
      <c r="J2611" s="6">
        <f ca="1">IFERROR(__xludf.DUMMYFUNCTION("IFERROR(GOOGLEFINANCE(B2611, ""volume""), 0)"),0)</f>
        <v>0</v>
      </c>
      <c r="K2611" s="6">
        <v>1.1299999999999999</v>
      </c>
      <c r="L2611" s="6">
        <f ca="1">IFERROR(__xludf.DUMMYFUNCTION("IFERROR(GOOGLEFINANCE(B2611,""changepct""),K2611)"),1.13)</f>
        <v>1.1299999999999999</v>
      </c>
      <c r="M2611" s="6">
        <f ca="1">IFERROR(__xludf.DUMMYFUNCTION("IFERROR(GOOGLEFINANCE(B2611,""change""),0)"),0)</f>
        <v>0</v>
      </c>
      <c r="N2611" s="6">
        <v>2</v>
      </c>
      <c r="O2611" s="7">
        <v>45536</v>
      </c>
      <c r="P2611" s="6">
        <v>0.01</v>
      </c>
      <c r="Q2611" s="6">
        <v>31.98</v>
      </c>
      <c r="R2611" s="7">
        <v>45536</v>
      </c>
      <c r="S2611" s="6">
        <v>14.91</v>
      </c>
      <c r="T2611" s="6">
        <v>0.87</v>
      </c>
      <c r="U2611" s="7">
        <v>45536</v>
      </c>
      <c r="V2611" s="6">
        <v>38.979999999999997</v>
      </c>
      <c r="W2611" s="6">
        <f ca="1">IFERROR(__xludf.DUMMYFUNCTION("IFERROR(GOOGLEFINANCE(B2611,""pe""),V2611)"),38.98)</f>
        <v>38.979999999999997</v>
      </c>
      <c r="X2611" s="6">
        <v>-0.7</v>
      </c>
      <c r="Y2611" s="6">
        <v>1.24</v>
      </c>
      <c r="Z2611" s="6">
        <v>2</v>
      </c>
      <c r="AA2611" s="8">
        <v>45352</v>
      </c>
      <c r="AB2611" s="4">
        <v>7.0000000000000007E-2</v>
      </c>
      <c r="AC2611" s="6">
        <v>0.13</v>
      </c>
      <c r="AD2611" s="6">
        <v>8.49</v>
      </c>
      <c r="AE2611" s="1">
        <v>0</v>
      </c>
      <c r="AF2611" s="1">
        <f ca="1">IFERROR(__xludf.DUMMYFUNCTION("IFERROR(GOOGLEFINANCE(TRIM(F2611)&amp;"":"" &amp; TRIM(B2611),""high52""),AE2611)"),0)</f>
        <v>0</v>
      </c>
      <c r="AG2611" s="1">
        <v>0</v>
      </c>
      <c r="AH2611" s="1">
        <f ca="1">IFERROR(__xludf.DUMMYFUNCTION("IFERROR(GOOGLEFINANCE(TRIM(F2611)&amp;"":"" &amp; TRIM(B2611),""low52""),AE2611)"),0)</f>
        <v>0</v>
      </c>
      <c r="AI2611" s="1">
        <f ca="1">IFERROR(__xludf.DUMMYFUNCTION("IFERROR(GOOGLEFINANCE(B2611,""eps""),0)"),0)</f>
        <v>0</v>
      </c>
      <c r="AJ2611" s="1"/>
      <c r="AK2611" s="1" t="s">
        <v>8119</v>
      </c>
      <c r="AL2611" s="9">
        <f t="shared" si="260"/>
        <v>1</v>
      </c>
    </row>
    <row r="2612" spans="1:38" ht="15" x14ac:dyDescent="0.25">
      <c r="A2612" s="1" t="s">
        <v>8120</v>
      </c>
      <c r="B2612" s="1" t="s">
        <v>8121</v>
      </c>
      <c r="C2612" s="1" t="s">
        <v>57</v>
      </c>
      <c r="D2612" s="1" t="s">
        <v>57</v>
      </c>
      <c r="E2612" s="6">
        <v>69.900000000000006</v>
      </c>
      <c r="F2612" s="1" t="s">
        <v>53</v>
      </c>
      <c r="G2612" s="6">
        <f ca="1">IFERROR(__xludf.DUMMYFUNCTION("iferror(GOOGLEFINANCE(TRIM(F2612)&amp;"":"" &amp; TRIM(B2612), ""price""),0
)"),0)</f>
        <v>0</v>
      </c>
      <c r="H2612" s="6">
        <v>4.5999999999999996</v>
      </c>
      <c r="I2612" s="6">
        <f t="shared" ca="1" si="0"/>
        <v>4.5999999999999996</v>
      </c>
      <c r="J2612" s="6">
        <f ca="1">IFERROR(__xludf.DUMMYFUNCTION("IFERROR(GOOGLEFINANCE(B2612, ""volume""), 0)"),0)</f>
        <v>0</v>
      </c>
      <c r="K2612" s="6">
        <v>0</v>
      </c>
      <c r="L2612" s="6">
        <f ca="1">IFERROR(__xludf.DUMMYFUNCTION("IFERROR(GOOGLEFINANCE(B2612,""changepct""),K2612)"),0)</f>
        <v>0</v>
      </c>
      <c r="M2612" s="6">
        <f ca="1">IFERROR(__xludf.DUMMYFUNCTION("IFERROR(GOOGLEFINANCE(B2612,""change""),0)"),0)</f>
        <v>0</v>
      </c>
      <c r="N2612" s="6">
        <v>2</v>
      </c>
      <c r="O2612" s="7">
        <v>45536</v>
      </c>
      <c r="P2612" s="6">
        <v>452.32</v>
      </c>
      <c r="Q2612" s="6">
        <v>521.59</v>
      </c>
      <c r="R2612" s="15">
        <v>45536</v>
      </c>
      <c r="S2612" s="6">
        <v>7.28</v>
      </c>
      <c r="T2612" s="6">
        <v>-4.33</v>
      </c>
      <c r="U2612" s="7">
        <v>45536</v>
      </c>
      <c r="V2612" s="6">
        <v>0</v>
      </c>
      <c r="W2612" s="6">
        <f ca="1">IFERROR(__xludf.DUMMYFUNCTION("IFERROR(GOOGLEFINANCE(B2612,""pe""),V2612)"),0)</f>
        <v>0</v>
      </c>
      <c r="X2612" s="6">
        <v>0</v>
      </c>
      <c r="Y2612" s="6">
        <v>-0.08</v>
      </c>
      <c r="Z2612" s="6">
        <v>2</v>
      </c>
      <c r="AA2612" s="8">
        <v>45352</v>
      </c>
      <c r="AB2612" s="4">
        <v>-0.86</v>
      </c>
      <c r="AC2612" s="6">
        <v>0</v>
      </c>
      <c r="AD2612" s="6">
        <v>0</v>
      </c>
      <c r="AE2612" s="1">
        <v>0</v>
      </c>
      <c r="AF2612" s="1">
        <f ca="1">IFERROR(__xludf.DUMMYFUNCTION("IFERROR(GOOGLEFINANCE(TRIM(F2612)&amp;"":"" &amp; TRIM(B2612),""high52""),AE2612)"),0)</f>
        <v>0</v>
      </c>
      <c r="AG2612" s="1">
        <v>0</v>
      </c>
      <c r="AH2612" s="1">
        <f ca="1">IFERROR(__xludf.DUMMYFUNCTION("IFERROR(GOOGLEFINANCE(TRIM(F2612)&amp;"":"" &amp; TRIM(B2612),""low52""),AE2612)"),0)</f>
        <v>0</v>
      </c>
      <c r="AI2612" s="1">
        <f ca="1">IFERROR(__xludf.DUMMYFUNCTION("IFERROR(GOOGLEFINANCE(B2612,""eps""),0)"),0)</f>
        <v>0</v>
      </c>
      <c r="AJ2612" s="1"/>
      <c r="AK2612" s="1" t="s">
        <v>8122</v>
      </c>
      <c r="AL2612" s="9">
        <f t="shared" si="260"/>
        <v>1</v>
      </c>
    </row>
    <row r="2613" spans="1:38" ht="15" x14ac:dyDescent="0.25">
      <c r="A2613" s="1" t="s">
        <v>8123</v>
      </c>
      <c r="B2613" s="1" t="s">
        <v>8124</v>
      </c>
      <c r="C2613" s="1" t="s">
        <v>57</v>
      </c>
      <c r="D2613" s="1" t="s">
        <v>57</v>
      </c>
      <c r="E2613" s="6">
        <v>337.25</v>
      </c>
      <c r="F2613" s="1" t="s">
        <v>53</v>
      </c>
      <c r="G2613" s="6">
        <f ca="1">IFERROR(__xludf.DUMMYFUNCTION("iferror(GOOGLEFINANCE(TRIM(F2613)&amp;"":"" &amp; TRIM(B2613), ""price""),0
)"),0)</f>
        <v>0</v>
      </c>
      <c r="H2613" s="6">
        <v>7.89</v>
      </c>
      <c r="I2613" s="6">
        <f t="shared" ca="1" si="0"/>
        <v>7.89</v>
      </c>
      <c r="J2613" s="6">
        <f ca="1">IFERROR(__xludf.DUMMYFUNCTION("IFERROR(GOOGLEFINANCE(B2613, ""volume""), 0)"),0)</f>
        <v>0</v>
      </c>
      <c r="K2613" s="6">
        <v>-1</v>
      </c>
      <c r="L2613" s="6">
        <f ca="1">IFERROR(__xludf.DUMMYFUNCTION("IFERROR(GOOGLEFINANCE(B2613,""changepct""),K2613)"),-1)</f>
        <v>-1</v>
      </c>
      <c r="M2613" s="6">
        <f ca="1">IFERROR(__xludf.DUMMYFUNCTION("IFERROR(GOOGLEFINANCE(B2613,""change""),0)"),0)</f>
        <v>0</v>
      </c>
      <c r="N2613" s="6">
        <v>2</v>
      </c>
      <c r="O2613" s="7">
        <v>45536</v>
      </c>
      <c r="P2613" s="9"/>
      <c r="Q2613" s="6">
        <v>337.25</v>
      </c>
      <c r="R2613" s="7">
        <v>45536</v>
      </c>
      <c r="S2613" s="6">
        <v>187.44</v>
      </c>
      <c r="T2613" s="6">
        <v>6.62</v>
      </c>
      <c r="U2613" s="7">
        <v>45536</v>
      </c>
      <c r="V2613" s="6">
        <v>50.37</v>
      </c>
      <c r="W2613" s="6">
        <f ca="1">IFERROR(__xludf.DUMMYFUNCTION("IFERROR(GOOGLEFINANCE(B2613,""pe""),V2613)"),50.37)</f>
        <v>50.37</v>
      </c>
      <c r="X2613" s="12"/>
      <c r="Y2613" s="6">
        <v>2.06</v>
      </c>
      <c r="Z2613" s="6">
        <v>2</v>
      </c>
      <c r="AA2613" s="8">
        <v>45352</v>
      </c>
      <c r="AB2613" s="4">
        <v>0</v>
      </c>
      <c r="AC2613" s="6">
        <v>10.82</v>
      </c>
      <c r="AD2613" s="6">
        <v>12.25</v>
      </c>
      <c r="AE2613" s="1">
        <v>0</v>
      </c>
      <c r="AF2613" s="1">
        <f ca="1">IFERROR(__xludf.DUMMYFUNCTION("IFERROR(GOOGLEFINANCE(TRIM(F2613)&amp;"":"" &amp; TRIM(B2613),""high52""),AE2613)"),0)</f>
        <v>0</v>
      </c>
      <c r="AG2613" s="1">
        <v>0</v>
      </c>
      <c r="AH2613" s="1">
        <f ca="1">IFERROR(__xludf.DUMMYFUNCTION("IFERROR(GOOGLEFINANCE(TRIM(F2613)&amp;"":"" &amp; TRIM(B2613),""low52""),AE2613)"),0)</f>
        <v>0</v>
      </c>
      <c r="AI2613" s="1">
        <f ca="1">IFERROR(__xludf.DUMMYFUNCTION("IFERROR(GOOGLEFINANCE(B2613,""eps""),0)"),0)</f>
        <v>0</v>
      </c>
      <c r="AJ2613" s="1"/>
      <c r="AK2613" s="1" t="s">
        <v>8125</v>
      </c>
      <c r="AL2613" s="9">
        <f t="shared" si="260"/>
        <v>1</v>
      </c>
    </row>
    <row r="2614" spans="1:38" ht="15" x14ac:dyDescent="0.25">
      <c r="A2614" s="1" t="s">
        <v>8126</v>
      </c>
      <c r="B2614" s="1" t="s">
        <v>8127</v>
      </c>
      <c r="C2614" s="1" t="s">
        <v>706</v>
      </c>
      <c r="D2614" s="1" t="s">
        <v>706</v>
      </c>
      <c r="E2614" s="6">
        <v>962.58</v>
      </c>
      <c r="F2614" s="1" t="s">
        <v>40</v>
      </c>
      <c r="G2614" s="6">
        <f ca="1">IFERROR(__xludf.DUMMYFUNCTION("iferror(GOOGLEFINANCE(TRIM(F2614)&amp;"":"" &amp; TRIM(B2614), ""price""),0
)"),164.4)</f>
        <v>164.4</v>
      </c>
      <c r="H2614" s="6">
        <v>274.60000000000002</v>
      </c>
      <c r="I2614" s="6">
        <f t="shared" ca="1" si="0"/>
        <v>164.4</v>
      </c>
      <c r="J2614" s="6">
        <f ca="1">IFERROR(__xludf.DUMMYFUNCTION("IFERROR(GOOGLEFINANCE(B2614, ""volume""), 0)"),21868)</f>
        <v>21868</v>
      </c>
      <c r="K2614" s="6">
        <v>2.52</v>
      </c>
      <c r="L2614" s="6">
        <f ca="1">IFERROR(__xludf.DUMMYFUNCTION("IFERROR(GOOGLEFINANCE(B2614,""changepct""),K2614)"),-2.11)</f>
        <v>-2.11</v>
      </c>
      <c r="M2614" s="6">
        <f ca="1">IFERROR(__xludf.DUMMYFUNCTION("IFERROR(GOOGLEFINANCE(B2614,""change""),0)"),-3.54)</f>
        <v>-3.54</v>
      </c>
      <c r="N2614" s="6">
        <v>1</v>
      </c>
      <c r="O2614" s="7">
        <v>45536</v>
      </c>
      <c r="P2614" s="6">
        <v>734.54</v>
      </c>
      <c r="Q2614" s="6">
        <v>1685.33</v>
      </c>
      <c r="R2614" s="7">
        <v>45536</v>
      </c>
      <c r="S2614" s="6">
        <v>3170.09</v>
      </c>
      <c r="T2614" s="6">
        <v>-26.4</v>
      </c>
      <c r="U2614" s="7">
        <v>45536</v>
      </c>
      <c r="V2614" s="6">
        <v>0</v>
      </c>
      <c r="W2614" s="6">
        <f ca="1">IFERROR(__xludf.DUMMYFUNCTION("IFERROR(GOOGLEFINANCE(B2614,""pe""),V2614)"),17.19)</f>
        <v>17.190000000000001</v>
      </c>
      <c r="X2614" s="12"/>
      <c r="Y2614" s="6">
        <v>0.65</v>
      </c>
      <c r="Z2614" s="6">
        <v>1</v>
      </c>
      <c r="AA2614" s="8">
        <v>45352</v>
      </c>
      <c r="AB2614" s="4">
        <v>0.78</v>
      </c>
      <c r="AC2614" s="6">
        <v>-3.37</v>
      </c>
      <c r="AD2614" s="6">
        <v>0.36</v>
      </c>
      <c r="AE2614" s="1">
        <v>0</v>
      </c>
      <c r="AF2614" s="1">
        <f ca="1">IFERROR(__xludf.DUMMYFUNCTION("IFERROR(GOOGLEFINANCE(TRIM(F2614)&amp;"":"" &amp; TRIM(B2614),""high52""),AE2614)"),309)</f>
        <v>309</v>
      </c>
      <c r="AG2614" s="1">
        <v>0</v>
      </c>
      <c r="AH2614" s="1">
        <f ca="1">IFERROR(__xludf.DUMMYFUNCTION("IFERROR(GOOGLEFINANCE(TRIM(F2614)&amp;"":"" &amp; TRIM(B2614),""low52""),AE2614)"),149.2)</f>
        <v>149.19999999999999</v>
      </c>
      <c r="AI2614" s="1">
        <f ca="1">IFERROR(__xludf.DUMMYFUNCTION("IFERROR(GOOGLEFINANCE(B2614,""eps""),0)"),9.56)</f>
        <v>9.56</v>
      </c>
      <c r="AJ2614" s="1"/>
      <c r="AK2614" s="1" t="s">
        <v>8128</v>
      </c>
      <c r="AL2614" s="9">
        <f t="shared" si="260"/>
        <v>1</v>
      </c>
    </row>
    <row r="2615" spans="1:38" ht="15" x14ac:dyDescent="0.25">
      <c r="A2615" s="1" t="s">
        <v>8129</v>
      </c>
      <c r="B2615" s="1" t="s">
        <v>8130</v>
      </c>
      <c r="C2615" s="1" t="s">
        <v>324</v>
      </c>
      <c r="D2615" s="1" t="s">
        <v>324</v>
      </c>
      <c r="E2615" s="6">
        <v>76.84</v>
      </c>
      <c r="F2615" s="1" t="s">
        <v>40</v>
      </c>
      <c r="G2615" s="6">
        <f ca="1">IFERROR(__xludf.DUMMYFUNCTION("iferror(GOOGLEFINANCE(TRIM(F2615)&amp;"":"" &amp; TRIM(B2615), ""price""),0
)"),27.45)</f>
        <v>27.45</v>
      </c>
      <c r="H2615" s="6">
        <v>42.9</v>
      </c>
      <c r="I2615" s="6">
        <f t="shared" ca="1" si="0"/>
        <v>27.45</v>
      </c>
      <c r="J2615" s="6">
        <f ca="1">IFERROR(__xludf.DUMMYFUNCTION("IFERROR(GOOGLEFINANCE(B2615, ""volume""), 0)"),1072)</f>
        <v>1072</v>
      </c>
      <c r="K2615" s="6">
        <v>-0.88</v>
      </c>
      <c r="L2615" s="6">
        <f ca="1">IFERROR(__xludf.DUMMYFUNCTION("IFERROR(GOOGLEFINANCE(B2615,""changepct""),K2615)"),4.06)</f>
        <v>4.0599999999999996</v>
      </c>
      <c r="M2615" s="6">
        <f ca="1">IFERROR(__xludf.DUMMYFUNCTION("IFERROR(GOOGLEFINANCE(B2615,""change""),0)"),1.07)</f>
        <v>1.07</v>
      </c>
      <c r="N2615" s="6">
        <v>1</v>
      </c>
      <c r="O2615" s="7">
        <v>45536</v>
      </c>
      <c r="P2615" s="6">
        <v>16.670000000000002</v>
      </c>
      <c r="Q2615" s="6">
        <v>92.79</v>
      </c>
      <c r="R2615" s="7">
        <v>45536</v>
      </c>
      <c r="S2615" s="6">
        <v>43.15</v>
      </c>
      <c r="T2615" s="6">
        <v>-2.99</v>
      </c>
      <c r="U2615" s="7">
        <v>45536</v>
      </c>
      <c r="V2615" s="6">
        <v>0</v>
      </c>
      <c r="W2615" s="6">
        <f ca="1">IFERROR(__xludf.DUMMYFUNCTION("IFERROR(GOOGLEFINANCE(B2615,""pe""),V2615)"),0)</f>
        <v>0</v>
      </c>
      <c r="X2615" s="9"/>
      <c r="Y2615" s="6">
        <v>3.09</v>
      </c>
      <c r="Z2615" s="6">
        <v>1</v>
      </c>
      <c r="AA2615" s="8">
        <v>45352</v>
      </c>
      <c r="AB2615" s="4">
        <v>0.94</v>
      </c>
      <c r="AC2615" s="6">
        <v>-12.07</v>
      </c>
      <c r="AD2615" s="6">
        <v>-1.82</v>
      </c>
      <c r="AE2615" s="1">
        <v>0</v>
      </c>
      <c r="AF2615" s="1">
        <f ca="1">IFERROR(__xludf.DUMMYFUNCTION("IFERROR(GOOGLEFINANCE(TRIM(F2615)&amp;"":"" &amp; TRIM(B2615),""high52""),AE2615)"),42.87)</f>
        <v>42.87</v>
      </c>
      <c r="AG2615" s="1">
        <v>0</v>
      </c>
      <c r="AH2615" s="1">
        <f ca="1">IFERROR(__xludf.DUMMYFUNCTION("IFERROR(GOOGLEFINANCE(TRIM(F2615)&amp;"":"" &amp; TRIM(B2615),""low52""),AE2615)"),22.19)</f>
        <v>22.19</v>
      </c>
      <c r="AI2615" s="1">
        <f ca="1">IFERROR(__xludf.DUMMYFUNCTION("IFERROR(GOOGLEFINANCE(B2615,""eps""),0)"),-1.81)</f>
        <v>-1.81</v>
      </c>
      <c r="AJ2615" s="1"/>
      <c r="AK2615" s="1" t="s">
        <v>8131</v>
      </c>
      <c r="AL2615" s="9">
        <f t="shared" si="260"/>
        <v>1</v>
      </c>
    </row>
    <row r="2616" spans="1:38" ht="15" x14ac:dyDescent="0.25">
      <c r="A2616" s="1" t="s">
        <v>8132</v>
      </c>
      <c r="B2616" s="1" t="s">
        <v>8133</v>
      </c>
      <c r="C2616" s="1" t="s">
        <v>57</v>
      </c>
      <c r="D2616" s="1" t="s">
        <v>57</v>
      </c>
      <c r="E2616" s="6">
        <v>723.66</v>
      </c>
      <c r="F2616" s="1" t="s">
        <v>53</v>
      </c>
      <c r="G2616" s="6">
        <f ca="1">IFERROR(__xludf.DUMMYFUNCTION("iferror(GOOGLEFINANCE(TRIM(F2616)&amp;"":"" &amp; TRIM(B2616), ""price""),0
)"),0)</f>
        <v>0</v>
      </c>
      <c r="H2616" s="6">
        <v>1499</v>
      </c>
      <c r="I2616" s="6">
        <f t="shared" ca="1" si="0"/>
        <v>1499</v>
      </c>
      <c r="J2616" s="6">
        <f ca="1">IFERROR(__xludf.DUMMYFUNCTION("IFERROR(GOOGLEFINANCE(B2616, ""volume""), 0)"),0)</f>
        <v>0</v>
      </c>
      <c r="K2616" s="6">
        <v>0.89</v>
      </c>
      <c r="L2616" s="6">
        <f ca="1">IFERROR(__xludf.DUMMYFUNCTION("IFERROR(GOOGLEFINANCE(B2616,""changepct""),K2616)"),0.89)</f>
        <v>0.89</v>
      </c>
      <c r="M2616" s="6">
        <f ca="1">IFERROR(__xludf.DUMMYFUNCTION("IFERROR(GOOGLEFINANCE(B2616,""change""),0)"),0)</f>
        <v>0</v>
      </c>
      <c r="N2616" s="6">
        <v>1</v>
      </c>
      <c r="O2616" s="7">
        <v>45536</v>
      </c>
      <c r="P2616" s="6">
        <v>22.74</v>
      </c>
      <c r="Q2616" s="6">
        <v>746.4</v>
      </c>
      <c r="R2616" s="7">
        <v>45536</v>
      </c>
      <c r="S2616" s="6">
        <v>215.92</v>
      </c>
      <c r="T2616" s="6">
        <v>20.64</v>
      </c>
      <c r="U2616" s="7">
        <v>45536</v>
      </c>
      <c r="V2616" s="6">
        <v>35.07</v>
      </c>
      <c r="W2616" s="6">
        <f ca="1">IFERROR(__xludf.DUMMYFUNCTION("IFERROR(GOOGLEFINANCE(B2616,""pe""),V2616)"),35.07)</f>
        <v>35.07</v>
      </c>
      <c r="X2616" s="6">
        <v>0.26</v>
      </c>
      <c r="Y2616" s="6">
        <v>10.99</v>
      </c>
      <c r="Z2616" s="6">
        <v>1</v>
      </c>
      <c r="AA2616" s="8">
        <v>45352</v>
      </c>
      <c r="AB2616" s="4">
        <v>0.39</v>
      </c>
      <c r="AC2616" s="6">
        <v>47.41</v>
      </c>
      <c r="AD2616" s="6">
        <v>44.75</v>
      </c>
      <c r="AE2616" s="1">
        <v>0</v>
      </c>
      <c r="AF2616" s="1">
        <f ca="1">IFERROR(__xludf.DUMMYFUNCTION("IFERROR(GOOGLEFINANCE(TRIM(F2616)&amp;"":"" &amp; TRIM(B2616),""high52""),AE2616)"),0)</f>
        <v>0</v>
      </c>
      <c r="AG2616" s="1">
        <v>0</v>
      </c>
      <c r="AH2616" s="1">
        <f ca="1">IFERROR(__xludf.DUMMYFUNCTION("IFERROR(GOOGLEFINANCE(TRIM(F2616)&amp;"":"" &amp; TRIM(B2616),""low52""),AE2616)"),0)</f>
        <v>0</v>
      </c>
      <c r="AI2616" s="1">
        <f ca="1">IFERROR(__xludf.DUMMYFUNCTION("IFERROR(GOOGLEFINANCE(B2616,""eps""),0)"),0)</f>
        <v>0</v>
      </c>
      <c r="AJ2616" s="1"/>
      <c r="AK2616" s="1" t="s">
        <v>8134</v>
      </c>
      <c r="AL2616" s="9">
        <f t="shared" si="260"/>
        <v>1</v>
      </c>
    </row>
    <row r="2617" spans="1:38" ht="15" x14ac:dyDescent="0.25">
      <c r="A2617" s="1" t="s">
        <v>8135</v>
      </c>
      <c r="B2617" s="1" t="s">
        <v>8136</v>
      </c>
      <c r="C2617" s="1" t="s">
        <v>43</v>
      </c>
      <c r="D2617" s="1" t="s">
        <v>43</v>
      </c>
      <c r="E2617" s="6">
        <v>4148.2</v>
      </c>
      <c r="F2617" s="1" t="s">
        <v>40</v>
      </c>
      <c r="G2617" s="6">
        <f ca="1">IFERROR(__xludf.DUMMYFUNCTION("iferror(GOOGLEFINANCE(TRIM(F2617)&amp;"":"" &amp; TRIM(B2617), ""price""),0
)"),5778)</f>
        <v>5778</v>
      </c>
      <c r="H2617" s="6">
        <v>8182.9</v>
      </c>
      <c r="I2617" s="6">
        <f t="shared" ca="1" si="0"/>
        <v>5778</v>
      </c>
      <c r="J2617" s="6">
        <f ca="1">IFERROR(__xludf.DUMMYFUNCTION("IFERROR(GOOGLEFINANCE(B2617, ""volume""), 0)"),2841)</f>
        <v>2841</v>
      </c>
      <c r="K2617" s="6">
        <v>1.33</v>
      </c>
      <c r="L2617" s="6">
        <f ca="1">IFERROR(__xludf.DUMMYFUNCTION("IFERROR(GOOGLEFINANCE(B2617,""changepct""),K2617)"),2.02)</f>
        <v>2.02</v>
      </c>
      <c r="M2617" s="6">
        <f ca="1">IFERROR(__xludf.DUMMYFUNCTION("IFERROR(GOOGLEFINANCE(B2617,""change""),0)"),114.5)</f>
        <v>114.5</v>
      </c>
      <c r="N2617" s="6">
        <v>2</v>
      </c>
      <c r="O2617" s="7">
        <v>45536</v>
      </c>
      <c r="P2617" s="6">
        <v>82.01</v>
      </c>
      <c r="Q2617" s="7">
        <v>45536</v>
      </c>
      <c r="R2617" s="6">
        <v>49.94</v>
      </c>
      <c r="S2617" s="6">
        <v>11.43</v>
      </c>
      <c r="T2617" s="6">
        <v>0.24</v>
      </c>
      <c r="U2617" s="6">
        <v>2</v>
      </c>
      <c r="V2617" s="7">
        <v>45352</v>
      </c>
      <c r="W2617" s="6">
        <f ca="1">IFERROR(__xludf.DUMMYFUNCTION("IFERROR(GOOGLEFINANCE(B2617,""pe""),V2617)"),112.6)</f>
        <v>112.6</v>
      </c>
      <c r="X2617" s="6">
        <v>0</v>
      </c>
      <c r="Y2617" s="6">
        <v>0.55000000000000004</v>
      </c>
      <c r="Z2617" s="6">
        <v>0.73</v>
      </c>
      <c r="AA2617" s="3" t="s">
        <v>8137</v>
      </c>
      <c r="AB2617" s="11"/>
      <c r="AC2617" s="9"/>
      <c r="AD2617" s="9"/>
      <c r="AE2617" s="1">
        <v>0</v>
      </c>
      <c r="AF2617" s="1">
        <f ca="1">IFERROR(__xludf.DUMMYFUNCTION("IFERROR(GOOGLEFINANCE(TRIM(F2617)&amp;"":"" &amp; TRIM(B2617),""high52""),AE2617)"),8730)</f>
        <v>8730</v>
      </c>
      <c r="AG2617" s="1">
        <v>0</v>
      </c>
      <c r="AH2617" s="1">
        <f ca="1">IFERROR(__xludf.DUMMYFUNCTION("IFERROR(GOOGLEFINANCE(TRIM(F2617)&amp;"":"" &amp; TRIM(B2617),""low52""),AE2617)"),4600)</f>
        <v>4600</v>
      </c>
      <c r="AI2617" s="1">
        <f ca="1">IFERROR(__xludf.DUMMYFUNCTION("IFERROR(GOOGLEFINANCE(B2617,""eps""),0)"),51.32)</f>
        <v>51.32</v>
      </c>
      <c r="AJ2617" s="1"/>
      <c r="AK2617" s="1" t="s">
        <v>8138</v>
      </c>
      <c r="AL2617" s="9">
        <f t="shared" si="260"/>
        <v>1</v>
      </c>
    </row>
    <row r="2618" spans="1:38" ht="15" x14ac:dyDescent="0.25">
      <c r="A2618" s="1" t="s">
        <v>8139</v>
      </c>
      <c r="B2618" s="1" t="s">
        <v>8140</v>
      </c>
      <c r="C2618" s="1" t="s">
        <v>151</v>
      </c>
      <c r="D2618" s="1" t="s">
        <v>151</v>
      </c>
      <c r="E2618" s="6">
        <v>189.13</v>
      </c>
      <c r="F2618" s="1" t="s">
        <v>40</v>
      </c>
      <c r="G2618" s="6">
        <f ca="1">IFERROR(__xludf.DUMMYFUNCTION("iferror(GOOGLEFINANCE(TRIM(F2618)&amp;"":"" &amp; TRIM(B2618), ""price""),0
)"),0)</f>
        <v>0</v>
      </c>
      <c r="H2618" s="6">
        <v>144.75</v>
      </c>
      <c r="I2618" s="6">
        <f t="shared" ca="1" si="0"/>
        <v>144.75</v>
      </c>
      <c r="J2618" s="6">
        <f ca="1">IFERROR(__xludf.DUMMYFUNCTION("IFERROR(GOOGLEFINANCE(B2618, ""volume""), 0)"),0)</f>
        <v>0</v>
      </c>
      <c r="K2618" s="6">
        <v>0</v>
      </c>
      <c r="L2618" s="6">
        <f ca="1">IFERROR(__xludf.DUMMYFUNCTION("IFERROR(GOOGLEFINANCE(B2618,""changepct""),K2618)"),0)</f>
        <v>0</v>
      </c>
      <c r="M2618" s="6">
        <f ca="1">IFERROR(__xludf.DUMMYFUNCTION("IFERROR(GOOGLEFINANCE(B2618,""change""),0)"),0)</f>
        <v>0</v>
      </c>
      <c r="N2618" s="6">
        <v>1</v>
      </c>
      <c r="O2618" s="7">
        <v>45536</v>
      </c>
      <c r="P2618" s="6">
        <v>37.409999999999997</v>
      </c>
      <c r="Q2618" s="6">
        <v>226.54</v>
      </c>
      <c r="R2618" s="7">
        <v>45352</v>
      </c>
      <c r="S2618" s="6">
        <v>144.74</v>
      </c>
      <c r="T2618" s="6">
        <v>9.27</v>
      </c>
      <c r="U2618" s="7">
        <v>45352</v>
      </c>
      <c r="V2618" s="6">
        <v>20.399999999999999</v>
      </c>
      <c r="W2618" s="6">
        <f ca="1">IFERROR(__xludf.DUMMYFUNCTION("IFERROR(GOOGLEFINANCE(B2618,""pe""),V2618)"),20.4)</f>
        <v>20.399999999999999</v>
      </c>
      <c r="X2618" s="12"/>
      <c r="Y2618" s="6">
        <v>1.98</v>
      </c>
      <c r="Z2618" s="6">
        <v>1</v>
      </c>
      <c r="AA2618" s="8">
        <v>45352</v>
      </c>
      <c r="AB2618" s="4">
        <v>0.97</v>
      </c>
      <c r="AC2618" s="6">
        <v>41.62</v>
      </c>
      <c r="AD2618" s="6">
        <v>29.88</v>
      </c>
      <c r="AE2618" s="1">
        <v>0</v>
      </c>
      <c r="AF2618" s="1">
        <f ca="1">IFERROR(__xludf.DUMMYFUNCTION("IFERROR(GOOGLEFINANCE(TRIM(F2618)&amp;"":"" &amp; TRIM(B2618),""high52""),AE2618)"),0)</f>
        <v>0</v>
      </c>
      <c r="AG2618" s="1">
        <v>0</v>
      </c>
      <c r="AH2618" s="1">
        <f ca="1">IFERROR(__xludf.DUMMYFUNCTION("IFERROR(GOOGLEFINANCE(TRIM(F2618)&amp;"":"" &amp; TRIM(B2618),""low52""),AE2618)"),0)</f>
        <v>0</v>
      </c>
      <c r="AI2618" s="1">
        <f ca="1">IFERROR(__xludf.DUMMYFUNCTION("IFERROR(GOOGLEFINANCE(B2618,""eps""),0)"),0)</f>
        <v>0</v>
      </c>
      <c r="AJ2618" s="1"/>
      <c r="AK2618" s="1" t="s">
        <v>8141</v>
      </c>
      <c r="AL2618" s="9">
        <f t="shared" si="260"/>
        <v>1</v>
      </c>
    </row>
    <row r="2619" spans="1:38" ht="15" x14ac:dyDescent="0.25">
      <c r="A2619" s="1" t="s">
        <v>8142</v>
      </c>
      <c r="B2619" s="1" t="s">
        <v>8143</v>
      </c>
      <c r="C2619" s="1" t="s">
        <v>782</v>
      </c>
      <c r="D2619" s="1" t="s">
        <v>782</v>
      </c>
      <c r="E2619" s="6">
        <v>502.97</v>
      </c>
      <c r="F2619" s="1" t="s">
        <v>40</v>
      </c>
      <c r="G2619" s="6">
        <f ca="1">IFERROR(__xludf.DUMMYFUNCTION("iferror(GOOGLEFINANCE(TRIM(F2619)&amp;"":"" &amp; TRIM(B2619), ""price""),0
)"),0)</f>
        <v>0</v>
      </c>
      <c r="H2619" s="6">
        <v>216.25</v>
      </c>
      <c r="I2619" s="6">
        <f t="shared" ca="1" si="0"/>
        <v>216.25</v>
      </c>
      <c r="J2619" s="6">
        <f ca="1">IFERROR(__xludf.DUMMYFUNCTION("IFERROR(GOOGLEFINANCE(B2619, ""volume""), 0)"),0)</f>
        <v>0</v>
      </c>
      <c r="K2619" s="6">
        <v>-1.68</v>
      </c>
      <c r="L2619" s="6">
        <f ca="1">IFERROR(__xludf.DUMMYFUNCTION("IFERROR(GOOGLEFINANCE(B2619,""changepct""),K2619)"),-1.68)</f>
        <v>-1.68</v>
      </c>
      <c r="M2619" s="6">
        <f ca="1">IFERROR(__xludf.DUMMYFUNCTION("IFERROR(GOOGLEFINANCE(B2619,""change""),0)"),0)</f>
        <v>0</v>
      </c>
      <c r="N2619" s="6">
        <v>1</v>
      </c>
      <c r="O2619" s="7">
        <v>45536</v>
      </c>
      <c r="P2619" s="6">
        <v>8.5</v>
      </c>
      <c r="Q2619" s="6">
        <v>511.47</v>
      </c>
      <c r="R2619" s="14"/>
      <c r="S2619" s="9"/>
      <c r="T2619" s="9"/>
      <c r="U2619" s="7">
        <v>44986</v>
      </c>
      <c r="V2619" s="6">
        <v>208.22</v>
      </c>
      <c r="W2619" s="6">
        <f ca="1">IFERROR(__xludf.DUMMYFUNCTION("IFERROR(GOOGLEFINANCE(B2619,""pe""),V2619)"),208.22)</f>
        <v>208.22</v>
      </c>
      <c r="X2619" s="9"/>
      <c r="Y2619" s="6">
        <v>11.29</v>
      </c>
      <c r="Z2619" s="6">
        <v>2</v>
      </c>
      <c r="AA2619" s="8">
        <v>45352</v>
      </c>
      <c r="AB2619" s="4">
        <v>0.41</v>
      </c>
      <c r="AC2619" s="6">
        <v>19.37</v>
      </c>
      <c r="AD2619" s="6">
        <v>20.9</v>
      </c>
      <c r="AE2619" s="1">
        <v>0</v>
      </c>
      <c r="AF2619" s="1">
        <f ca="1">IFERROR(__xludf.DUMMYFUNCTION("IFERROR(GOOGLEFINANCE(TRIM(F2619)&amp;"":"" &amp; TRIM(B2619),""high52""),AE2619)"),0)</f>
        <v>0</v>
      </c>
      <c r="AG2619" s="1">
        <v>0</v>
      </c>
      <c r="AH2619" s="1">
        <f ca="1">IFERROR(__xludf.DUMMYFUNCTION("IFERROR(GOOGLEFINANCE(TRIM(F2619)&amp;"":"" &amp; TRIM(B2619),""low52""),AE2619)"),0)</f>
        <v>0</v>
      </c>
      <c r="AI2619" s="1">
        <f ca="1">IFERROR(__xludf.DUMMYFUNCTION("IFERROR(GOOGLEFINANCE(B2619,""eps""),0)"),0)</f>
        <v>0</v>
      </c>
      <c r="AJ2619" s="1"/>
      <c r="AK2619" s="1" t="s">
        <v>8144</v>
      </c>
      <c r="AL2619" s="9">
        <f t="shared" si="260"/>
        <v>1</v>
      </c>
    </row>
    <row r="2620" spans="1:38" ht="15" x14ac:dyDescent="0.25">
      <c r="A2620" s="1" t="s">
        <v>8145</v>
      </c>
      <c r="B2620" s="1" t="s">
        <v>8146</v>
      </c>
      <c r="C2620" s="1" t="s">
        <v>186</v>
      </c>
      <c r="D2620" s="1" t="s">
        <v>186</v>
      </c>
      <c r="E2620" s="6">
        <v>717.85</v>
      </c>
      <c r="F2620" s="1" t="s">
        <v>40</v>
      </c>
      <c r="G2620" s="6">
        <f ca="1">IFERROR(__xludf.DUMMYFUNCTION("iferror(GOOGLEFINANCE(TRIM(F2620)&amp;"":"" &amp; TRIM(B2620), ""price""),0
)"),2.73)</f>
        <v>2.73</v>
      </c>
      <c r="H2620" s="6">
        <v>4.99</v>
      </c>
      <c r="I2620" s="6">
        <f t="shared" ca="1" si="0"/>
        <v>2.73</v>
      </c>
      <c r="J2620" s="6">
        <f ca="1">IFERROR(__xludf.DUMMYFUNCTION("IFERROR(GOOGLEFINANCE(B2620, ""volume""), 0)"),2215156)</f>
        <v>2215156</v>
      </c>
      <c r="K2620" s="6">
        <v>0.4</v>
      </c>
      <c r="L2620" s="6">
        <f ca="1">IFERROR(__xludf.DUMMYFUNCTION("IFERROR(GOOGLEFINANCE(B2620,""changepct""),K2620)"),-2.5)</f>
        <v>-2.5</v>
      </c>
      <c r="M2620" s="6">
        <f ca="1">IFERROR(__xludf.DUMMYFUNCTION("IFERROR(GOOGLEFINANCE(B2620,""change""),0)"),-0.07)</f>
        <v>-7.0000000000000007E-2</v>
      </c>
      <c r="N2620" s="6">
        <v>1</v>
      </c>
      <c r="O2620" s="7">
        <v>45536</v>
      </c>
      <c r="P2620" s="6">
        <v>307.73</v>
      </c>
      <c r="Q2620" s="6">
        <v>1001.56</v>
      </c>
      <c r="R2620" s="7">
        <v>45536</v>
      </c>
      <c r="S2620" s="6">
        <v>2613.17</v>
      </c>
      <c r="T2620" s="6">
        <v>51.33</v>
      </c>
      <c r="U2620" s="7">
        <v>45536</v>
      </c>
      <c r="V2620" s="6">
        <v>13.98</v>
      </c>
      <c r="W2620" s="6">
        <f ca="1">IFERROR(__xludf.DUMMYFUNCTION("IFERROR(GOOGLEFINANCE(B2620,""pe""),V2620)"),10.13)</f>
        <v>10.130000000000001</v>
      </c>
      <c r="X2620" s="6">
        <v>0.91</v>
      </c>
      <c r="Y2620" s="6">
        <v>1.19</v>
      </c>
      <c r="Z2620" s="6">
        <v>1</v>
      </c>
      <c r="AA2620" s="8">
        <v>45352</v>
      </c>
      <c r="AB2620" s="4">
        <v>0.56000000000000005</v>
      </c>
      <c r="AC2620" s="6">
        <v>7.99</v>
      </c>
      <c r="AD2620" s="6">
        <v>11.7</v>
      </c>
      <c r="AE2620" s="1">
        <v>0</v>
      </c>
      <c r="AF2620" s="1">
        <f ca="1">IFERROR(__xludf.DUMMYFUNCTION("IFERROR(GOOGLEFINANCE(TRIM(F2620)&amp;"":"" &amp; TRIM(B2620),""high52""),AE2620)"),5.08)</f>
        <v>5.08</v>
      </c>
      <c r="AG2620" s="1">
        <v>0</v>
      </c>
      <c r="AH2620" s="1">
        <f ca="1">IFERROR(__xludf.DUMMYFUNCTION("IFERROR(GOOGLEFINANCE(TRIM(F2620)&amp;"":"" &amp; TRIM(B2620),""low52""),AE2620)"),2.7)</f>
        <v>2.7</v>
      </c>
      <c r="AI2620" s="1">
        <f ca="1">IFERROR(__xludf.DUMMYFUNCTION("IFERROR(GOOGLEFINANCE(B2620,""eps""),0)"),0.27)</f>
        <v>0.27</v>
      </c>
      <c r="AJ2620" s="1"/>
      <c r="AK2620" s="1" t="s">
        <v>8147</v>
      </c>
      <c r="AL2620" s="9">
        <f t="shared" si="260"/>
        <v>1</v>
      </c>
    </row>
    <row r="2621" spans="1:38" ht="15" x14ac:dyDescent="0.25">
      <c r="A2621" s="1" t="s">
        <v>8148</v>
      </c>
      <c r="B2621" s="1" t="s">
        <v>8149</v>
      </c>
      <c r="C2621" s="1" t="s">
        <v>186</v>
      </c>
      <c r="D2621" s="1" t="s">
        <v>186</v>
      </c>
      <c r="E2621" s="6">
        <v>64.010000000000005</v>
      </c>
      <c r="F2621" s="1" t="s">
        <v>40</v>
      </c>
      <c r="G2621" s="6">
        <f ca="1">IFERROR(__xludf.DUMMYFUNCTION("iferror(GOOGLEFINANCE(TRIM(F2621)&amp;"":"" &amp; TRIM(B2621), ""price""),0
)"),35.58)</f>
        <v>35.58</v>
      </c>
      <c r="H2621" s="6">
        <v>37.049999999999997</v>
      </c>
      <c r="I2621" s="6">
        <f t="shared" ca="1" si="0"/>
        <v>35.58</v>
      </c>
      <c r="J2621" s="6">
        <f ca="1">IFERROR(__xludf.DUMMYFUNCTION("IFERROR(GOOGLEFINANCE(B2621, ""volume""), 0)"),127182)</f>
        <v>127182</v>
      </c>
      <c r="K2621" s="6">
        <v>-0.08</v>
      </c>
      <c r="L2621" s="6">
        <f ca="1">IFERROR(__xludf.DUMMYFUNCTION("IFERROR(GOOGLEFINANCE(B2621,""changepct""),K2621)"),-4.41)</f>
        <v>-4.41</v>
      </c>
      <c r="M2621" s="6">
        <f ca="1">IFERROR(__xludf.DUMMYFUNCTION("IFERROR(GOOGLEFINANCE(B2621,""change""),0)"),-1.64)</f>
        <v>-1.64</v>
      </c>
      <c r="N2621" s="6">
        <v>2</v>
      </c>
      <c r="O2621" s="7">
        <v>45536</v>
      </c>
      <c r="P2621" s="6">
        <v>10.27</v>
      </c>
      <c r="Q2621" s="6">
        <v>74.27</v>
      </c>
      <c r="R2621" s="7">
        <v>45536</v>
      </c>
      <c r="S2621" s="6">
        <v>64.430000000000007</v>
      </c>
      <c r="T2621" s="6">
        <v>5.56</v>
      </c>
      <c r="U2621" s="7">
        <v>45536</v>
      </c>
      <c r="V2621" s="6">
        <v>11.51</v>
      </c>
      <c r="W2621" s="6">
        <f ca="1">IFERROR(__xludf.DUMMYFUNCTION("IFERROR(GOOGLEFINANCE(B2621,""pe""),V2621)"),27.22)</f>
        <v>27.22</v>
      </c>
      <c r="X2621" s="6">
        <v>-0.84</v>
      </c>
      <c r="Y2621" s="6">
        <v>1.37</v>
      </c>
      <c r="Z2621" s="6">
        <v>2</v>
      </c>
      <c r="AA2621" s="8">
        <v>45352</v>
      </c>
      <c r="AB2621" s="4">
        <v>0.67</v>
      </c>
      <c r="AC2621" s="6">
        <v>1.98</v>
      </c>
      <c r="AD2621" s="6">
        <v>7.01</v>
      </c>
      <c r="AE2621" s="1">
        <v>0</v>
      </c>
      <c r="AF2621" s="1">
        <f ca="1">IFERROR(__xludf.DUMMYFUNCTION("IFERROR(GOOGLEFINANCE(TRIM(F2621)&amp;"":"" &amp; TRIM(B2621),""high52""),AE2621)"),59)</f>
        <v>59</v>
      </c>
      <c r="AG2621" s="1">
        <v>0</v>
      </c>
      <c r="AH2621" s="1">
        <f ca="1">IFERROR(__xludf.DUMMYFUNCTION("IFERROR(GOOGLEFINANCE(TRIM(F2621)&amp;"":"" &amp; TRIM(B2621),""low52""),AE2621)"),26)</f>
        <v>26</v>
      </c>
      <c r="AI2621" s="1">
        <f ca="1">IFERROR(__xludf.DUMMYFUNCTION("IFERROR(GOOGLEFINANCE(B2621,""eps""),0)"),1.31)</f>
        <v>1.31</v>
      </c>
      <c r="AJ2621" s="1"/>
      <c r="AK2621" s="1" t="s">
        <v>8150</v>
      </c>
      <c r="AL2621" s="9">
        <f t="shared" si="260"/>
        <v>1</v>
      </c>
    </row>
    <row r="2622" spans="1:38" ht="15" x14ac:dyDescent="0.25">
      <c r="A2622" s="1" t="s">
        <v>8151</v>
      </c>
      <c r="B2622" s="1" t="s">
        <v>8152</v>
      </c>
      <c r="C2622" s="1" t="s">
        <v>57</v>
      </c>
      <c r="D2622" s="1" t="s">
        <v>57</v>
      </c>
      <c r="E2622" s="6">
        <v>167.56</v>
      </c>
      <c r="F2622" s="1" t="s">
        <v>53</v>
      </c>
      <c r="G2622" s="6">
        <f ca="1">IFERROR(__xludf.DUMMYFUNCTION("iferror(GOOGLEFINANCE(TRIM(F2622)&amp;"":"" &amp; TRIM(B2622), ""price""),0
)"),0)</f>
        <v>0</v>
      </c>
      <c r="H2622" s="6">
        <v>425.85</v>
      </c>
      <c r="I2622" s="6">
        <f t="shared" ca="1" si="0"/>
        <v>425.85</v>
      </c>
      <c r="J2622" s="6">
        <f ca="1">IFERROR(__xludf.DUMMYFUNCTION("IFERROR(GOOGLEFINANCE(B2622, ""volume""), 0)"),0)</f>
        <v>0</v>
      </c>
      <c r="K2622" s="6">
        <v>1.66</v>
      </c>
      <c r="L2622" s="6">
        <f ca="1">IFERROR(__xludf.DUMMYFUNCTION("IFERROR(GOOGLEFINANCE(B2622,""changepct""),K2622)"),1.66)</f>
        <v>1.66</v>
      </c>
      <c r="M2622" s="6">
        <f ca="1">IFERROR(__xludf.DUMMYFUNCTION("IFERROR(GOOGLEFINANCE(B2622,""change""),0)"),0)</f>
        <v>0</v>
      </c>
      <c r="N2622" s="6">
        <v>1</v>
      </c>
      <c r="O2622" s="7">
        <v>45536</v>
      </c>
      <c r="P2622" s="6">
        <v>4.26</v>
      </c>
      <c r="Q2622" s="6">
        <v>56.5</v>
      </c>
      <c r="R2622" s="7">
        <v>45536</v>
      </c>
      <c r="S2622" s="6">
        <v>24.59</v>
      </c>
      <c r="T2622" s="6">
        <v>17.3</v>
      </c>
      <c r="U2622" s="7">
        <v>45536</v>
      </c>
      <c r="V2622" s="6">
        <v>9.68</v>
      </c>
      <c r="W2622" s="6">
        <f ca="1">IFERROR(__xludf.DUMMYFUNCTION("IFERROR(GOOGLEFINANCE(B2622,""pe""),V2622)"),9.68)</f>
        <v>9.68</v>
      </c>
      <c r="X2622" s="6">
        <v>0.61</v>
      </c>
      <c r="Y2622" s="6">
        <v>1.1399999999999999</v>
      </c>
      <c r="Z2622" s="6">
        <v>1</v>
      </c>
      <c r="AA2622" s="8">
        <v>45352</v>
      </c>
      <c r="AB2622" s="4">
        <v>0.03</v>
      </c>
      <c r="AC2622" s="6">
        <v>13.35</v>
      </c>
      <c r="AD2622" s="6">
        <v>17.89</v>
      </c>
      <c r="AE2622" s="1">
        <v>0</v>
      </c>
      <c r="AF2622" s="1">
        <f ca="1">IFERROR(__xludf.DUMMYFUNCTION("IFERROR(GOOGLEFINANCE(TRIM(F2622)&amp;"":"" &amp; TRIM(B2622),""high52""),AE2622)"),0)</f>
        <v>0</v>
      </c>
      <c r="AG2622" s="1">
        <v>0</v>
      </c>
      <c r="AH2622" s="1">
        <f ca="1">IFERROR(__xludf.DUMMYFUNCTION("IFERROR(GOOGLEFINANCE(TRIM(F2622)&amp;"":"" &amp; TRIM(B2622),""low52""),AE2622)"),0)</f>
        <v>0</v>
      </c>
      <c r="AI2622" s="1">
        <f ca="1">IFERROR(__xludf.DUMMYFUNCTION("IFERROR(GOOGLEFINANCE(B2622,""eps""),0)"),0)</f>
        <v>0</v>
      </c>
      <c r="AJ2622" s="1"/>
      <c r="AK2622" s="1" t="s">
        <v>8153</v>
      </c>
      <c r="AL2622" s="9">
        <f t="shared" si="260"/>
        <v>1</v>
      </c>
    </row>
    <row r="2623" spans="1:38" ht="15" x14ac:dyDescent="0.25">
      <c r="A2623" s="1" t="s">
        <v>8154</v>
      </c>
      <c r="B2623" s="1" t="s">
        <v>8155</v>
      </c>
      <c r="C2623" s="1" t="s">
        <v>163</v>
      </c>
      <c r="D2623" s="1" t="s">
        <v>163</v>
      </c>
      <c r="E2623" s="6">
        <v>26563.84</v>
      </c>
      <c r="F2623" s="1" t="s">
        <v>40</v>
      </c>
      <c r="G2623" s="6">
        <f ca="1">IFERROR(__xludf.DUMMYFUNCTION("iferror(GOOGLEFINANCE(TRIM(F2623)&amp;"":"" &amp; TRIM(B2623), ""price""),0
)"),1770)</f>
        <v>1770</v>
      </c>
      <c r="H2623" s="6">
        <v>1310</v>
      </c>
      <c r="I2623" s="6">
        <f t="shared" ca="1" si="0"/>
        <v>1770</v>
      </c>
      <c r="J2623" s="6">
        <f ca="1">IFERROR(__xludf.DUMMYFUNCTION("IFERROR(GOOGLEFINANCE(B2623, ""volume""), 0)"),303235)</f>
        <v>303235</v>
      </c>
      <c r="K2623" s="6">
        <v>0.75</v>
      </c>
      <c r="L2623" s="6">
        <f ca="1">IFERROR(__xludf.DUMMYFUNCTION("IFERROR(GOOGLEFINANCE(B2623,""changepct""),K2623)"),-1.77)</f>
        <v>-1.77</v>
      </c>
      <c r="M2623" s="6">
        <f ca="1">IFERROR(__xludf.DUMMYFUNCTION("IFERROR(GOOGLEFINANCE(B2623,""change""),0)"),-31.9)</f>
        <v>-31.9</v>
      </c>
      <c r="N2623" s="6">
        <v>2</v>
      </c>
      <c r="O2623" s="7">
        <v>45536</v>
      </c>
      <c r="P2623" s="6">
        <v>1513.45</v>
      </c>
      <c r="Q2623" s="6">
        <v>27748.400000000001</v>
      </c>
      <c r="R2623" s="7">
        <v>45536</v>
      </c>
      <c r="S2623" s="6">
        <v>5224.01</v>
      </c>
      <c r="T2623" s="6">
        <v>779.18</v>
      </c>
      <c r="U2623" s="7">
        <v>45536</v>
      </c>
      <c r="V2623" s="6">
        <v>34.11</v>
      </c>
      <c r="W2623" s="6">
        <f ca="1">IFERROR(__xludf.DUMMYFUNCTION("IFERROR(GOOGLEFINANCE(B2623,""pe""),V2623)"),42.53)</f>
        <v>42.53</v>
      </c>
      <c r="X2623" s="6">
        <v>0.5</v>
      </c>
      <c r="Y2623" s="6">
        <v>8.2899999999999991</v>
      </c>
      <c r="Z2623" s="6">
        <v>2</v>
      </c>
      <c r="AA2623" s="8">
        <v>45352</v>
      </c>
      <c r="AB2623" s="4">
        <v>0.5</v>
      </c>
      <c r="AC2623" s="6">
        <v>31.5</v>
      </c>
      <c r="AD2623" s="6">
        <v>27.71</v>
      </c>
      <c r="AE2623" s="1">
        <v>0</v>
      </c>
      <c r="AF2623" s="1">
        <f ca="1">IFERROR(__xludf.DUMMYFUNCTION("IFERROR(GOOGLEFINANCE(TRIM(F2623)&amp;"":"" &amp; TRIM(B2623),""high52""),AE2623)"),2370.2)</f>
        <v>2370.1999999999998</v>
      </c>
      <c r="AG2623" s="1">
        <v>0</v>
      </c>
      <c r="AH2623" s="1">
        <f ca="1">IFERROR(__xludf.DUMMYFUNCTION("IFERROR(GOOGLEFINANCE(TRIM(F2623)&amp;"":"" &amp; TRIM(B2623),""low52""),AE2623)"),1300.95)</f>
        <v>1300.95</v>
      </c>
      <c r="AI2623" s="1">
        <f ca="1">IFERROR(__xludf.DUMMYFUNCTION("IFERROR(GOOGLEFINANCE(B2623,""eps""),0)"),41.61)</f>
        <v>41.61</v>
      </c>
      <c r="AJ2623" s="1"/>
      <c r="AK2623" s="1" t="s">
        <v>8156</v>
      </c>
      <c r="AL2623" s="9">
        <f t="shared" si="260"/>
        <v>1</v>
      </c>
    </row>
    <row r="2624" spans="1:38" ht="15" x14ac:dyDescent="0.25">
      <c r="A2624" s="1" t="s">
        <v>8157</v>
      </c>
      <c r="B2624" s="1" t="s">
        <v>8158</v>
      </c>
      <c r="C2624" s="1" t="s">
        <v>99</v>
      </c>
      <c r="D2624" s="1" t="s">
        <v>99</v>
      </c>
      <c r="E2624" s="6">
        <v>81.87</v>
      </c>
      <c r="F2624" s="1" t="s">
        <v>40</v>
      </c>
      <c r="G2624" s="6">
        <f ca="1">IFERROR(__xludf.DUMMYFUNCTION("iferror(GOOGLEFINANCE(TRIM(F2624)&amp;"":"" &amp; TRIM(B2624), ""price""),0
)"),28.3)</f>
        <v>28.3</v>
      </c>
      <c r="H2624" s="6">
        <v>21.71</v>
      </c>
      <c r="I2624" s="6">
        <f t="shared" ca="1" si="0"/>
        <v>28.3</v>
      </c>
      <c r="J2624" s="6">
        <f ca="1">IFERROR(__xludf.DUMMYFUNCTION("IFERROR(GOOGLEFINANCE(B2624, ""volume""), 0)"),73625)</f>
        <v>73625</v>
      </c>
      <c r="K2624" s="6">
        <v>0.88</v>
      </c>
      <c r="L2624" s="6">
        <f ca="1">IFERROR(__xludf.DUMMYFUNCTION("IFERROR(GOOGLEFINANCE(B2624,""changepct""),K2624)"),-0.46)</f>
        <v>-0.46</v>
      </c>
      <c r="M2624" s="6">
        <f ca="1">IFERROR(__xludf.DUMMYFUNCTION("IFERROR(GOOGLEFINANCE(B2624,""change""),0)"),-0.13)</f>
        <v>-0.13</v>
      </c>
      <c r="N2624" s="6">
        <v>1</v>
      </c>
      <c r="O2624" s="7">
        <v>45536</v>
      </c>
      <c r="P2624" s="6">
        <v>10.75</v>
      </c>
      <c r="Q2624" s="6">
        <v>92.62</v>
      </c>
      <c r="R2624" s="7">
        <v>45536</v>
      </c>
      <c r="S2624" s="6">
        <v>53.51</v>
      </c>
      <c r="T2624" s="6">
        <v>3.05</v>
      </c>
      <c r="U2624" s="7">
        <v>45536</v>
      </c>
      <c r="V2624" s="6">
        <v>26.87</v>
      </c>
      <c r="W2624" s="6">
        <f ca="1">IFERROR(__xludf.DUMMYFUNCTION("IFERROR(GOOGLEFINANCE(B2624,""pe""),V2624)"),23.21)</f>
        <v>23.21</v>
      </c>
      <c r="X2624" s="6">
        <v>1.5</v>
      </c>
      <c r="Y2624" s="6">
        <v>1.88</v>
      </c>
      <c r="Z2624" s="6">
        <v>1</v>
      </c>
      <c r="AA2624" s="8">
        <v>45352</v>
      </c>
      <c r="AB2624" s="4">
        <v>0.56999999999999995</v>
      </c>
      <c r="AC2624" s="6">
        <v>6.22</v>
      </c>
      <c r="AD2624" s="6">
        <v>8.81</v>
      </c>
      <c r="AE2624" s="1">
        <v>0</v>
      </c>
      <c r="AF2624" s="1">
        <f ca="1">IFERROR(__xludf.DUMMYFUNCTION("IFERROR(GOOGLEFINANCE(TRIM(F2624)&amp;"":"" &amp; TRIM(B2624),""high52""),AE2624)"),30.47)</f>
        <v>30.47</v>
      </c>
      <c r="AG2624" s="1">
        <v>0</v>
      </c>
      <c r="AH2624" s="1">
        <f ca="1">IFERROR(__xludf.DUMMYFUNCTION("IFERROR(GOOGLEFINANCE(TRIM(F2624)&amp;"":"" &amp; TRIM(B2624),""low52""),AE2624)"),14.82)</f>
        <v>14.82</v>
      </c>
      <c r="AI2624" s="1">
        <f ca="1">IFERROR(__xludf.DUMMYFUNCTION("IFERROR(GOOGLEFINANCE(B2624,""eps""),0)"),1.22)</f>
        <v>1.22</v>
      </c>
      <c r="AJ2624" s="1"/>
      <c r="AK2624" s="1" t="s">
        <v>8159</v>
      </c>
      <c r="AL2624" s="1" t="b">
        <f>ISNUMBER(AA2624)</f>
        <v>1</v>
      </c>
    </row>
    <row r="2625" spans="1:38" ht="15" x14ac:dyDescent="0.25">
      <c r="A2625" s="1" t="s">
        <v>8160</v>
      </c>
      <c r="B2625" s="1" t="s">
        <v>8161</v>
      </c>
      <c r="C2625" s="1" t="s">
        <v>106</v>
      </c>
      <c r="D2625" s="1" t="s">
        <v>106</v>
      </c>
      <c r="E2625" s="6">
        <v>24812.99</v>
      </c>
      <c r="F2625" s="1" t="s">
        <v>40</v>
      </c>
      <c r="G2625" s="6">
        <f ca="1">IFERROR(__xludf.DUMMYFUNCTION("iferror(GOOGLEFINANCE(TRIM(F2625)&amp;"":"" &amp; TRIM(B2625), ""price""),0
)"),823)</f>
        <v>823</v>
      </c>
      <c r="H2625" s="6">
        <v>1379.45</v>
      </c>
      <c r="I2625" s="6">
        <f t="shared" ca="1" si="0"/>
        <v>823</v>
      </c>
      <c r="J2625" s="6">
        <f ca="1">IFERROR(__xludf.DUMMYFUNCTION("IFERROR(GOOGLEFINANCE(B2625, ""volume""), 0)"),292623)</f>
        <v>292623</v>
      </c>
      <c r="K2625" s="6">
        <v>-0.49</v>
      </c>
      <c r="L2625" s="6">
        <f ca="1">IFERROR(__xludf.DUMMYFUNCTION("IFERROR(GOOGLEFINANCE(B2625,""changepct""),K2625)"),0.64)</f>
        <v>0.64</v>
      </c>
      <c r="M2625" s="6">
        <f ca="1">IFERROR(__xludf.DUMMYFUNCTION("IFERROR(GOOGLEFINANCE(B2625,""change""),0)"),5.2)</f>
        <v>5.2</v>
      </c>
      <c r="N2625" s="6">
        <v>2</v>
      </c>
      <c r="O2625" s="7">
        <v>45536</v>
      </c>
      <c r="P2625" s="6">
        <v>201</v>
      </c>
      <c r="Q2625" s="6">
        <v>23451.89</v>
      </c>
      <c r="R2625" s="7">
        <v>45536</v>
      </c>
      <c r="S2625" s="6">
        <v>4560.6000000000004</v>
      </c>
      <c r="T2625" s="6">
        <v>1944</v>
      </c>
      <c r="U2625" s="7">
        <v>45536</v>
      </c>
      <c r="V2625" s="6">
        <v>12.76</v>
      </c>
      <c r="W2625" s="6">
        <f ca="1">IFERROR(__xludf.DUMMYFUNCTION("IFERROR(GOOGLEFINANCE(B2625,""pe""),V2625)"),9.58)</f>
        <v>9.58</v>
      </c>
      <c r="X2625" s="6">
        <v>0.77</v>
      </c>
      <c r="Y2625" s="6">
        <v>3.47</v>
      </c>
      <c r="Z2625" s="6">
        <v>2</v>
      </c>
      <c r="AA2625" s="8">
        <v>45352</v>
      </c>
      <c r="AB2625" s="4">
        <v>0.06</v>
      </c>
      <c r="AC2625" s="6">
        <v>25.88</v>
      </c>
      <c r="AD2625" s="6">
        <v>30.08</v>
      </c>
      <c r="AE2625" s="1">
        <v>0</v>
      </c>
      <c r="AF2625" s="1">
        <f ca="1">IFERROR(__xludf.DUMMYFUNCTION("IFERROR(GOOGLEFINANCE(TRIM(F2625)&amp;"":"" &amp; TRIM(B2625),""high52""),AE2625)"),1341)</f>
        <v>1341</v>
      </c>
      <c r="AG2625" s="1">
        <v>0</v>
      </c>
      <c r="AH2625" s="1">
        <f ca="1">IFERROR(__xludf.DUMMYFUNCTION("IFERROR(GOOGLEFINANCE(TRIM(F2625)&amp;"":"" &amp; TRIM(B2625),""low52""),AE2625)"),726.8)</f>
        <v>726.8</v>
      </c>
      <c r="AI2625" s="1">
        <f ca="1">IFERROR(__xludf.DUMMYFUNCTION("IFERROR(GOOGLEFINANCE(B2625,""eps""),0)"),85.91)</f>
        <v>85.91</v>
      </c>
      <c r="AJ2625" s="1"/>
      <c r="AK2625" s="1" t="s">
        <v>8162</v>
      </c>
      <c r="AL2625" s="9">
        <f t="shared" ref="AL2625:AL2626" si="261">IF(AA2625&lt;&gt;AB2625,1,0)</f>
        <v>1</v>
      </c>
    </row>
    <row r="2626" spans="1:38" ht="15" x14ac:dyDescent="0.25">
      <c r="A2626" s="1" t="s">
        <v>8163</v>
      </c>
      <c r="B2626" s="1" t="s">
        <v>8164</v>
      </c>
      <c r="C2626" s="1" t="s">
        <v>57</v>
      </c>
      <c r="D2626" s="1" t="s">
        <v>57</v>
      </c>
      <c r="E2626" s="6">
        <v>11.14</v>
      </c>
      <c r="F2626" s="1" t="s">
        <v>53</v>
      </c>
      <c r="G2626" s="6">
        <f ca="1">IFERROR(__xludf.DUMMYFUNCTION("iferror(GOOGLEFINANCE(TRIM(F2626)&amp;"":"" &amp; TRIM(B2626), ""price""),0
)"),0)</f>
        <v>0</v>
      </c>
      <c r="H2626" s="6">
        <v>10.71</v>
      </c>
      <c r="I2626" s="6">
        <f t="shared" ca="1" si="0"/>
        <v>10.71</v>
      </c>
      <c r="J2626" s="6">
        <f ca="1">IFERROR(__xludf.DUMMYFUNCTION("IFERROR(GOOGLEFINANCE(B2626, ""volume""), 0)"),0)</f>
        <v>0</v>
      </c>
      <c r="K2626" s="12"/>
      <c r="L2626" s="6" t="str">
        <f ca="1">IFERROR(__xludf.DUMMYFUNCTION("IFERROR(GOOGLEFINANCE(B2626,""changepct""),K2626)"),"")</f>
        <v/>
      </c>
      <c r="M2626" s="6">
        <f ca="1">IFERROR(__xludf.DUMMYFUNCTION("IFERROR(GOOGLEFINANCE(B2626,""change""),0)"),0)</f>
        <v>0</v>
      </c>
      <c r="N2626" s="6">
        <v>1</v>
      </c>
      <c r="O2626" s="7">
        <v>45536</v>
      </c>
      <c r="P2626" s="6">
        <v>0.24</v>
      </c>
      <c r="Q2626" s="6">
        <v>11.38</v>
      </c>
      <c r="R2626" s="7">
        <v>45536</v>
      </c>
      <c r="S2626" s="6">
        <v>1.86</v>
      </c>
      <c r="T2626" s="6">
        <v>-7.0000000000000007E-2</v>
      </c>
      <c r="U2626" s="7">
        <v>45536</v>
      </c>
      <c r="V2626" s="6">
        <v>0</v>
      </c>
      <c r="W2626" s="6">
        <f ca="1">IFERROR(__xludf.DUMMYFUNCTION("IFERROR(GOOGLEFINANCE(B2626,""pe""),V2626)"),0)</f>
        <v>0</v>
      </c>
      <c r="X2626" s="6">
        <v>0</v>
      </c>
      <c r="Y2626" s="6">
        <v>1.05</v>
      </c>
      <c r="Z2626" s="6">
        <v>1</v>
      </c>
      <c r="AA2626" s="8">
        <v>45352</v>
      </c>
      <c r="AB2626" s="4">
        <v>0.02</v>
      </c>
      <c r="AC2626" s="6">
        <v>-1.79</v>
      </c>
      <c r="AD2626" s="6">
        <v>-2.36</v>
      </c>
      <c r="AE2626" s="1">
        <v>0</v>
      </c>
      <c r="AF2626" s="1">
        <f ca="1">IFERROR(__xludf.DUMMYFUNCTION("IFERROR(GOOGLEFINANCE(TRIM(F2626)&amp;"":"" &amp; TRIM(B2626),""high52""),AE2626)"),0)</f>
        <v>0</v>
      </c>
      <c r="AG2626" s="1">
        <v>0</v>
      </c>
      <c r="AH2626" s="1">
        <f ca="1">IFERROR(__xludf.DUMMYFUNCTION("IFERROR(GOOGLEFINANCE(TRIM(F2626)&amp;"":"" &amp; TRIM(B2626),""low52""),AE2626)"),0)</f>
        <v>0</v>
      </c>
      <c r="AI2626" s="1">
        <f ca="1">IFERROR(__xludf.DUMMYFUNCTION("IFERROR(GOOGLEFINANCE(B2626,""eps""),0)"),0)</f>
        <v>0</v>
      </c>
      <c r="AJ2626" s="1"/>
      <c r="AK2626" s="1" t="s">
        <v>8165</v>
      </c>
      <c r="AL2626" s="9">
        <f t="shared" si="261"/>
        <v>1</v>
      </c>
    </row>
    <row r="2627" spans="1:38" ht="15" x14ac:dyDescent="0.25">
      <c r="A2627" s="1" t="s">
        <v>8166</v>
      </c>
      <c r="B2627" s="1" t="s">
        <v>8167</v>
      </c>
      <c r="C2627" s="1" t="s">
        <v>99</v>
      </c>
      <c r="D2627" s="1" t="s">
        <v>99</v>
      </c>
      <c r="E2627" s="6">
        <v>357.85</v>
      </c>
      <c r="F2627" s="1" t="s">
        <v>40</v>
      </c>
      <c r="G2627" s="6">
        <f ca="1">IFERROR(__xludf.DUMMYFUNCTION("iferror(GOOGLEFINANCE(TRIM(F2627)&amp;"":"" &amp; TRIM(B2627), ""price""),0
)"),148.8)</f>
        <v>148.80000000000001</v>
      </c>
      <c r="H2627" s="6">
        <v>192.85</v>
      </c>
      <c r="I2627" s="6">
        <f t="shared" ca="1" si="0"/>
        <v>148.80000000000001</v>
      </c>
      <c r="J2627" s="6">
        <f ca="1">IFERROR(__xludf.DUMMYFUNCTION("IFERROR(GOOGLEFINANCE(B2627, ""volume""), 0)"),19129)</f>
        <v>19129</v>
      </c>
      <c r="K2627" s="6">
        <v>1.18</v>
      </c>
      <c r="L2627" s="6">
        <f ca="1">IFERROR(__xludf.DUMMYFUNCTION("IFERROR(GOOGLEFINANCE(B2627,""changepct""),K2627)"),2.45)</f>
        <v>2.4500000000000002</v>
      </c>
      <c r="M2627" s="6">
        <f ca="1">IFERROR(__xludf.DUMMYFUNCTION("IFERROR(GOOGLEFINANCE(B2627,""change""),0)"),3.56)</f>
        <v>3.56</v>
      </c>
      <c r="N2627" s="6">
        <v>2</v>
      </c>
      <c r="O2627" s="7">
        <v>45536</v>
      </c>
      <c r="P2627" s="6">
        <v>127.5</v>
      </c>
      <c r="Q2627" s="6">
        <v>485.35</v>
      </c>
      <c r="R2627" s="7">
        <v>45536</v>
      </c>
      <c r="S2627" s="6">
        <v>350.84</v>
      </c>
      <c r="T2627" s="6">
        <v>39.96</v>
      </c>
      <c r="U2627" s="7">
        <v>45536</v>
      </c>
      <c r="V2627" s="6">
        <v>8.9600000000000009</v>
      </c>
      <c r="W2627" s="6">
        <f ca="1">IFERROR(__xludf.DUMMYFUNCTION("IFERROR(GOOGLEFINANCE(B2627,""pe""),V2627)"),6.44)</f>
        <v>6.44</v>
      </c>
      <c r="X2627" s="9"/>
      <c r="Y2627" s="6">
        <v>0.56000000000000005</v>
      </c>
      <c r="Z2627" s="6">
        <v>2</v>
      </c>
      <c r="AA2627" s="8">
        <v>45352</v>
      </c>
      <c r="AB2627" s="4">
        <v>0.18</v>
      </c>
      <c r="AC2627" s="6">
        <v>6.7</v>
      </c>
      <c r="AD2627" s="6">
        <v>7.26</v>
      </c>
      <c r="AE2627" s="1">
        <v>0</v>
      </c>
      <c r="AF2627" s="1">
        <f ca="1">IFERROR(__xludf.DUMMYFUNCTION("IFERROR(GOOGLEFINANCE(TRIM(F2627)&amp;"":"" &amp; TRIM(B2627),""high52""),AE2627)"),238.69)</f>
        <v>238.69</v>
      </c>
      <c r="AG2627" s="1">
        <v>0</v>
      </c>
      <c r="AH2627" s="1">
        <f ca="1">IFERROR(__xludf.DUMMYFUNCTION("IFERROR(GOOGLEFINANCE(TRIM(F2627)&amp;"":"" &amp; TRIM(B2627),""low52""),AE2627)"),136)</f>
        <v>136</v>
      </c>
      <c r="AI2627" s="1">
        <f ca="1">IFERROR(__xludf.DUMMYFUNCTION("IFERROR(GOOGLEFINANCE(B2627,""eps""),0)"),23.11)</f>
        <v>23.11</v>
      </c>
      <c r="AJ2627" s="1"/>
      <c r="AK2627" s="9"/>
      <c r="AL2627" s="1" t="b">
        <f>ISBLANK(AB2627)</f>
        <v>0</v>
      </c>
    </row>
    <row r="2628" spans="1:38" ht="15" x14ac:dyDescent="0.25">
      <c r="A2628" s="1" t="s">
        <v>8168</v>
      </c>
      <c r="B2628" s="1" t="s">
        <v>8169</v>
      </c>
      <c r="C2628" s="1" t="s">
        <v>57</v>
      </c>
      <c r="D2628" s="1" t="s">
        <v>57</v>
      </c>
      <c r="E2628" s="6">
        <v>133.68</v>
      </c>
      <c r="F2628" s="1" t="s">
        <v>53</v>
      </c>
      <c r="G2628" s="6">
        <f ca="1">IFERROR(__xludf.DUMMYFUNCTION("iferror(GOOGLEFINANCE(TRIM(F2628)&amp;"":"" &amp; TRIM(B2628), ""price""),0
)"),0)</f>
        <v>0</v>
      </c>
      <c r="H2628" s="6">
        <v>92.74</v>
      </c>
      <c r="I2628" s="6">
        <f t="shared" ca="1" si="0"/>
        <v>92.74</v>
      </c>
      <c r="J2628" s="6">
        <f ca="1">IFERROR(__xludf.DUMMYFUNCTION("IFERROR(GOOGLEFINANCE(B2628, ""volume""), 0)"),0)</f>
        <v>0</v>
      </c>
      <c r="K2628" s="9"/>
      <c r="L2628" s="6" t="str">
        <f ca="1">IFERROR(__xludf.DUMMYFUNCTION("IFERROR(GOOGLEFINANCE(B2628,""changepct""),K2628)"),"")</f>
        <v/>
      </c>
      <c r="M2628" s="6">
        <f ca="1">IFERROR(__xludf.DUMMYFUNCTION("IFERROR(GOOGLEFINANCE(B2628,""change""),0)"),0)</f>
        <v>0</v>
      </c>
      <c r="N2628" s="6">
        <v>1</v>
      </c>
      <c r="O2628" s="7">
        <v>45536</v>
      </c>
      <c r="P2628" s="6">
        <v>1.35</v>
      </c>
      <c r="Q2628" s="6">
        <v>135.03</v>
      </c>
      <c r="R2628" s="7">
        <v>45536</v>
      </c>
      <c r="S2628" s="6">
        <v>1.05</v>
      </c>
      <c r="T2628" s="6">
        <v>0.1</v>
      </c>
      <c r="U2628" s="7">
        <v>45536</v>
      </c>
      <c r="V2628" s="6">
        <v>0</v>
      </c>
      <c r="W2628" s="6">
        <f ca="1">IFERROR(__xludf.DUMMYFUNCTION("IFERROR(GOOGLEFINANCE(B2628,""pe""),V2628)"),0)</f>
        <v>0</v>
      </c>
      <c r="X2628" s="12"/>
      <c r="Y2628" s="6">
        <v>10.19</v>
      </c>
      <c r="Z2628" s="6">
        <v>1</v>
      </c>
      <c r="AA2628" s="8">
        <v>45352</v>
      </c>
      <c r="AB2628" s="4">
        <v>0</v>
      </c>
      <c r="AC2628" s="6">
        <v>0</v>
      </c>
      <c r="AD2628" s="6">
        <v>0</v>
      </c>
      <c r="AE2628" s="1">
        <v>0</v>
      </c>
      <c r="AF2628" s="1">
        <f ca="1">IFERROR(__xludf.DUMMYFUNCTION("IFERROR(GOOGLEFINANCE(TRIM(F2628)&amp;"":"" &amp; TRIM(B2628),""high52""),AE2628)"),0)</f>
        <v>0</v>
      </c>
      <c r="AG2628" s="1">
        <v>0</v>
      </c>
      <c r="AH2628" s="1">
        <f ca="1">IFERROR(__xludf.DUMMYFUNCTION("IFERROR(GOOGLEFINANCE(TRIM(F2628)&amp;"":"" &amp; TRIM(B2628),""low52""),AE2628)"),0)</f>
        <v>0</v>
      </c>
      <c r="AI2628" s="1">
        <f ca="1">IFERROR(__xludf.DUMMYFUNCTION("IFERROR(GOOGLEFINANCE(B2628,""eps""),0)"),0)</f>
        <v>0</v>
      </c>
      <c r="AJ2628" s="1"/>
      <c r="AK2628" s="9"/>
      <c r="AL2628" s="9">
        <f t="shared" ref="AL2628:AL2629" si="262">IF(AA2628&lt;&gt;AB2628,1,0)</f>
        <v>1</v>
      </c>
    </row>
    <row r="2629" spans="1:38" ht="15" x14ac:dyDescent="0.25">
      <c r="A2629" s="1" t="s">
        <v>8170</v>
      </c>
      <c r="B2629" s="1" t="s">
        <v>8171</v>
      </c>
      <c r="C2629" s="1" t="s">
        <v>57</v>
      </c>
      <c r="D2629" s="1" t="s">
        <v>57</v>
      </c>
      <c r="E2629" s="6">
        <v>21.39</v>
      </c>
      <c r="F2629" s="1" t="s">
        <v>53</v>
      </c>
      <c r="G2629" s="6">
        <f ca="1">IFERROR(__xludf.DUMMYFUNCTION("iferror(GOOGLEFINANCE(TRIM(F2629)&amp;"":"" &amp; TRIM(B2629), ""price""),0
)"),0)</f>
        <v>0</v>
      </c>
      <c r="H2629" s="6">
        <v>10.45</v>
      </c>
      <c r="I2629" s="6">
        <f t="shared" ca="1" si="0"/>
        <v>10.45</v>
      </c>
      <c r="J2629" s="6">
        <f ca="1">IFERROR(__xludf.DUMMYFUNCTION("IFERROR(GOOGLEFINANCE(B2629, ""volume""), 0)"),0)</f>
        <v>0</v>
      </c>
      <c r="K2629" s="9"/>
      <c r="L2629" s="6" t="str">
        <f ca="1">IFERROR(__xludf.DUMMYFUNCTION("IFERROR(GOOGLEFINANCE(B2629,""changepct""),K2629)"),"")</f>
        <v/>
      </c>
      <c r="M2629" s="6">
        <f ca="1">IFERROR(__xludf.DUMMYFUNCTION("IFERROR(GOOGLEFINANCE(B2629,""change""),0)"),0)</f>
        <v>0</v>
      </c>
      <c r="N2629" s="6">
        <v>1</v>
      </c>
      <c r="O2629" s="7">
        <v>45536</v>
      </c>
      <c r="P2629" s="9"/>
      <c r="Q2629" s="6">
        <v>21.39</v>
      </c>
      <c r="R2629" s="7">
        <v>45536</v>
      </c>
      <c r="S2629" s="6">
        <v>61.05</v>
      </c>
      <c r="T2629" s="6">
        <v>0.68</v>
      </c>
      <c r="U2629" s="7">
        <v>45536</v>
      </c>
      <c r="V2629" s="6">
        <v>31.64</v>
      </c>
      <c r="W2629" s="6">
        <f ca="1">IFERROR(__xludf.DUMMYFUNCTION("IFERROR(GOOGLEFINANCE(B2629,""pe""),V2629)"),31.64)</f>
        <v>31.64</v>
      </c>
      <c r="X2629" s="6">
        <v>-20.02</v>
      </c>
      <c r="Y2629" s="6">
        <v>0.54</v>
      </c>
      <c r="Z2629" s="6">
        <v>1</v>
      </c>
      <c r="AA2629" s="8">
        <v>45352</v>
      </c>
      <c r="AB2629" s="4">
        <v>0</v>
      </c>
      <c r="AC2629" s="6">
        <v>0.69</v>
      </c>
      <c r="AD2629" s="6">
        <v>0.79</v>
      </c>
      <c r="AE2629" s="1">
        <v>0</v>
      </c>
      <c r="AF2629" s="1">
        <f ca="1">IFERROR(__xludf.DUMMYFUNCTION("IFERROR(GOOGLEFINANCE(TRIM(F2629)&amp;"":"" &amp; TRIM(B2629),""high52""),AE2629)"),0)</f>
        <v>0</v>
      </c>
      <c r="AG2629" s="1">
        <v>0</v>
      </c>
      <c r="AH2629" s="1">
        <f ca="1">IFERROR(__xludf.DUMMYFUNCTION("IFERROR(GOOGLEFINANCE(TRIM(F2629)&amp;"":"" &amp; TRIM(B2629),""low52""),AE2629)"),0)</f>
        <v>0</v>
      </c>
      <c r="AI2629" s="1">
        <f ca="1">IFERROR(__xludf.DUMMYFUNCTION("IFERROR(GOOGLEFINANCE(B2629,""eps""),0)"),0)</f>
        <v>0</v>
      </c>
      <c r="AJ2629" s="1"/>
      <c r="AK2629" s="9"/>
      <c r="AL2629" s="9">
        <f t="shared" si="262"/>
        <v>1</v>
      </c>
    </row>
    <row r="2630" spans="1:38" ht="15" x14ac:dyDescent="0.25">
      <c r="A2630" s="1" t="s">
        <v>8172</v>
      </c>
      <c r="B2630" s="1" t="s">
        <v>8173</v>
      </c>
      <c r="C2630" s="1" t="s">
        <v>264</v>
      </c>
      <c r="D2630" s="1" t="s">
        <v>264</v>
      </c>
      <c r="E2630" s="6">
        <v>39763.08</v>
      </c>
      <c r="F2630" s="1" t="s">
        <v>40</v>
      </c>
      <c r="G2630" s="6">
        <f ca="1">IFERROR(__xludf.DUMMYFUNCTION("iferror(GOOGLEFINANCE(TRIM(F2630)&amp;"":"" &amp; TRIM(B2630), ""price""),0
)"),371.5)</f>
        <v>371.5</v>
      </c>
      <c r="H2630" s="6">
        <v>215.35</v>
      </c>
      <c r="I2630" s="6">
        <f t="shared" ca="1" si="0"/>
        <v>371.5</v>
      </c>
      <c r="J2630" s="6">
        <f ca="1">IFERROR(__xludf.DUMMYFUNCTION("IFERROR(GOOGLEFINANCE(B2630, ""volume""), 0)"),31185668)</f>
        <v>31185668</v>
      </c>
      <c r="K2630" s="6">
        <v>-0.55000000000000004</v>
      </c>
      <c r="L2630" s="6">
        <f ca="1">IFERROR(__xludf.DUMMYFUNCTION("IFERROR(GOOGLEFINANCE(B2630,""changepct""),K2630)"),4.88)</f>
        <v>4.88</v>
      </c>
      <c r="M2630" s="6">
        <f ca="1">IFERROR(__xludf.DUMMYFUNCTION("IFERROR(GOOGLEFINANCE(B2630,""change""),0)"),17.3)</f>
        <v>17.3</v>
      </c>
      <c r="N2630" s="6">
        <v>2</v>
      </c>
      <c r="O2630" s="7">
        <v>45536</v>
      </c>
      <c r="P2630" s="6">
        <v>35.130000000000003</v>
      </c>
      <c r="Q2630" s="6">
        <v>36175.440000000002</v>
      </c>
      <c r="R2630" s="7">
        <v>45536</v>
      </c>
      <c r="S2630" s="6">
        <v>13783.53</v>
      </c>
      <c r="T2630" s="6">
        <v>3167.7</v>
      </c>
      <c r="U2630" s="7">
        <v>45536</v>
      </c>
      <c r="V2630" s="6">
        <v>12.82</v>
      </c>
      <c r="W2630" s="6">
        <f ca="1">IFERROR(__xludf.DUMMYFUNCTION("IFERROR(GOOGLEFINANCE(B2630,""pe""),V2630)"),11.11)</f>
        <v>11.11</v>
      </c>
      <c r="X2630" s="6">
        <v>-18.059999999999999</v>
      </c>
      <c r="Y2630" s="6">
        <v>2.54</v>
      </c>
      <c r="Z2630" s="6">
        <v>2</v>
      </c>
      <c r="AA2630" s="8">
        <v>45352</v>
      </c>
      <c r="AB2630" s="4">
        <v>0</v>
      </c>
      <c r="AC2630" s="6">
        <v>14.45</v>
      </c>
      <c r="AD2630" s="6">
        <v>19.78</v>
      </c>
      <c r="AE2630" s="1">
        <v>0</v>
      </c>
      <c r="AF2630" s="1">
        <f ca="1">IFERROR(__xludf.DUMMYFUNCTION("IFERROR(GOOGLEFINANCE(TRIM(F2630)&amp;"":"" &amp; TRIM(B2630),""high52""),AE2630)"),431.5)</f>
        <v>431.5</v>
      </c>
      <c r="AG2630" s="1">
        <v>0</v>
      </c>
      <c r="AH2630" s="1">
        <f ca="1">IFERROR(__xludf.DUMMYFUNCTION("IFERROR(GOOGLEFINANCE(TRIM(F2630)&amp;"":"" &amp; TRIM(B2630),""low52""),AE2630)"),137.75)</f>
        <v>137.75</v>
      </c>
      <c r="AI2630" s="1">
        <f ca="1">IFERROR(__xludf.DUMMYFUNCTION("IFERROR(GOOGLEFINANCE(B2630,""eps""),0)"),33.44)</f>
        <v>33.44</v>
      </c>
      <c r="AJ2630" s="1"/>
      <c r="AK2630" s="1" t="s">
        <v>8174</v>
      </c>
      <c r="AL2630" s="1" t="b">
        <f>ISNUMBER(AA2630)</f>
        <v>1</v>
      </c>
    </row>
    <row r="2631" spans="1:38" ht="15" x14ac:dyDescent="0.25">
      <c r="A2631" s="1" t="s">
        <v>8175</v>
      </c>
      <c r="B2631" s="1" t="s">
        <v>8176</v>
      </c>
      <c r="C2631" s="1" t="s">
        <v>502</v>
      </c>
      <c r="D2631" s="1" t="s">
        <v>502</v>
      </c>
      <c r="E2631" s="6">
        <v>5904.11</v>
      </c>
      <c r="F2631" s="1" t="s">
        <v>40</v>
      </c>
      <c r="G2631" s="6">
        <f ca="1">IFERROR(__xludf.DUMMYFUNCTION("iferror(GOOGLEFINANCE(TRIM(F2631)&amp;"":"" &amp; TRIM(B2631), ""price""),0
)"),79.43)</f>
        <v>79.430000000000007</v>
      </c>
      <c r="H2631" s="6">
        <v>120.79</v>
      </c>
      <c r="I2631" s="6">
        <f t="shared" ca="1" si="0"/>
        <v>79.430000000000007</v>
      </c>
      <c r="J2631" s="6">
        <f ca="1">IFERROR(__xludf.DUMMYFUNCTION("IFERROR(GOOGLEFINANCE(B2631, ""volume""), 0)"),179544)</f>
        <v>179544</v>
      </c>
      <c r="K2631" s="6">
        <v>0.33</v>
      </c>
      <c r="L2631" s="6">
        <f ca="1">IFERROR(__xludf.DUMMYFUNCTION("IFERROR(GOOGLEFINANCE(B2631,""changepct""),K2631)"),-10.34)</f>
        <v>-10.34</v>
      </c>
      <c r="M2631" s="6">
        <f ca="1">IFERROR(__xludf.DUMMYFUNCTION("IFERROR(GOOGLEFINANCE(B2631,""change""),0)"),-0.02)</f>
        <v>-0.02</v>
      </c>
      <c r="N2631" s="6">
        <v>2</v>
      </c>
      <c r="O2631" s="7">
        <v>45536</v>
      </c>
      <c r="P2631" s="6">
        <v>1409.13</v>
      </c>
      <c r="Q2631" s="6">
        <v>7247</v>
      </c>
      <c r="R2631" s="7">
        <v>45536</v>
      </c>
      <c r="S2631" s="6">
        <v>22347.31</v>
      </c>
      <c r="T2631" s="6">
        <v>269.8</v>
      </c>
      <c r="U2631" s="7">
        <v>45536</v>
      </c>
      <c r="V2631" s="6">
        <v>16.309999999999999</v>
      </c>
      <c r="W2631" s="6">
        <f ca="1">IFERROR(__xludf.DUMMYFUNCTION("IFERROR(GOOGLEFINANCE(B2631,""pe""),V2631)"),16.31)</f>
        <v>16.309999999999999</v>
      </c>
      <c r="X2631" s="6">
        <v>-1.3</v>
      </c>
      <c r="Y2631" s="6">
        <v>2.3199999999999998</v>
      </c>
      <c r="Z2631" s="6">
        <v>2</v>
      </c>
      <c r="AA2631" s="8">
        <v>45352</v>
      </c>
      <c r="AB2631" s="4">
        <v>1.6</v>
      </c>
      <c r="AC2631" s="6">
        <v>5.89</v>
      </c>
      <c r="AD2631" s="6">
        <v>6.84</v>
      </c>
      <c r="AE2631" s="1">
        <v>0</v>
      </c>
      <c r="AF2631" s="1">
        <f ca="1">IFERROR(__xludf.DUMMYFUNCTION("IFERROR(GOOGLEFINANCE(TRIM(F2631)&amp;"":"" &amp; TRIM(B2631),""high52""),AE2631)"),112.2)</f>
        <v>112.2</v>
      </c>
      <c r="AG2631" s="1">
        <v>0</v>
      </c>
      <c r="AH2631" s="1">
        <f ca="1">IFERROR(__xludf.DUMMYFUNCTION("IFERROR(GOOGLEFINANCE(TRIM(F2631)&amp;"":"" &amp; TRIM(B2631),""low52""),AE2631)"),71)</f>
        <v>71</v>
      </c>
      <c r="AI2631" s="1">
        <f ca="1">IFERROR(__xludf.DUMMYFUNCTION("IFERROR(GOOGLEFINANCE(B2631,""eps""),0)"),-0.02)</f>
        <v>-0.02</v>
      </c>
      <c r="AJ2631" s="1"/>
      <c r="AK2631" s="1" t="s">
        <v>8177</v>
      </c>
      <c r="AL2631" s="9">
        <f t="shared" ref="AL2631:AL2643" si="263">IF(AA2631&lt;&gt;AB2631,1,0)</f>
        <v>1</v>
      </c>
    </row>
    <row r="2632" spans="1:38" ht="15" x14ac:dyDescent="0.25">
      <c r="A2632" s="1" t="s">
        <v>8178</v>
      </c>
      <c r="B2632" s="1" t="s">
        <v>8179</v>
      </c>
      <c r="C2632" s="1" t="s">
        <v>4298</v>
      </c>
      <c r="D2632" s="1" t="s">
        <v>4298</v>
      </c>
      <c r="E2632" s="6">
        <v>0</v>
      </c>
      <c r="F2632" s="1" t="s">
        <v>40</v>
      </c>
      <c r="G2632" s="6">
        <f ca="1">IFERROR(__xludf.DUMMYFUNCTION("iferror(GOOGLEFINANCE(TRIM(F2632)&amp;"":"" &amp; TRIM(B2632), ""price""),0
)"),0)</f>
        <v>0</v>
      </c>
      <c r="H2632" s="6">
        <v>132</v>
      </c>
      <c r="I2632" s="6">
        <f t="shared" ca="1" si="0"/>
        <v>132</v>
      </c>
      <c r="J2632" s="6">
        <f ca="1">IFERROR(__xludf.DUMMYFUNCTION("IFERROR(GOOGLEFINANCE(B2632, ""volume""), 0)"),0)</f>
        <v>0</v>
      </c>
      <c r="K2632" s="9"/>
      <c r="L2632" s="6" t="str">
        <f ca="1">IFERROR(__xludf.DUMMYFUNCTION("IFERROR(GOOGLEFINANCE(B2632,""changepct""),K2632)"),"")</f>
        <v/>
      </c>
      <c r="M2632" s="6">
        <f ca="1">IFERROR(__xludf.DUMMYFUNCTION("IFERROR(GOOGLEFINANCE(B2632,""change""),0)"),0)</f>
        <v>0</v>
      </c>
      <c r="N2632" s="6">
        <v>1</v>
      </c>
      <c r="O2632" s="14"/>
      <c r="P2632" s="9"/>
      <c r="Q2632" s="7">
        <v>45352</v>
      </c>
      <c r="R2632" s="9"/>
      <c r="S2632" s="12"/>
      <c r="T2632" s="9"/>
      <c r="U2632" s="6">
        <v>2</v>
      </c>
      <c r="V2632" s="7">
        <v>45352</v>
      </c>
      <c r="W2632" s="10">
        <f ca="1">IFERROR(__xludf.DUMMYFUNCTION("IFERROR(GOOGLEFINANCE(B2632,""pe""),V2632)"),45352)</f>
        <v>45352</v>
      </c>
      <c r="X2632" s="6">
        <v>0.82</v>
      </c>
      <c r="Y2632" s="6">
        <v>2.7</v>
      </c>
      <c r="Z2632" s="6">
        <v>2.82</v>
      </c>
      <c r="AA2632" s="3" t="s">
        <v>8180</v>
      </c>
      <c r="AB2632" s="16"/>
      <c r="AC2632" s="12"/>
      <c r="AD2632" s="12"/>
      <c r="AE2632" s="1">
        <v>0</v>
      </c>
      <c r="AF2632" s="1">
        <f ca="1">IFERROR(__xludf.DUMMYFUNCTION("IFERROR(GOOGLEFINANCE(TRIM(F2632)&amp;"":"" &amp; TRIM(B2632),""high52""),AE2632)"),0)</f>
        <v>0</v>
      </c>
      <c r="AG2632" s="1">
        <v>0</v>
      </c>
      <c r="AH2632" s="1">
        <f ca="1">IFERROR(__xludf.DUMMYFUNCTION("IFERROR(GOOGLEFINANCE(TRIM(F2632)&amp;"":"" &amp; TRIM(B2632),""low52""),AE2632)"),0)</f>
        <v>0</v>
      </c>
      <c r="AI2632" s="1">
        <f ca="1">IFERROR(__xludf.DUMMYFUNCTION("IFERROR(GOOGLEFINANCE(B2632,""eps""),0)"),0)</f>
        <v>0</v>
      </c>
      <c r="AJ2632" s="1"/>
      <c r="AK2632" s="1" t="s">
        <v>8181</v>
      </c>
      <c r="AL2632" s="9">
        <f t="shared" si="263"/>
        <v>1</v>
      </c>
    </row>
    <row r="2633" spans="1:38" ht="15" x14ac:dyDescent="0.25">
      <c r="A2633" s="1" t="s">
        <v>8182</v>
      </c>
      <c r="B2633" s="1" t="s">
        <v>8183</v>
      </c>
      <c r="C2633" s="1" t="s">
        <v>268</v>
      </c>
      <c r="D2633" s="1" t="s">
        <v>268</v>
      </c>
      <c r="E2633" s="6">
        <v>14540.53</v>
      </c>
      <c r="F2633" s="1" t="s">
        <v>40</v>
      </c>
      <c r="G2633" s="6">
        <f ca="1">IFERROR(__xludf.DUMMYFUNCTION("iferror(GOOGLEFINANCE(TRIM(F2633)&amp;"":"" &amp; TRIM(B2633), ""price""),0
)"),551)</f>
        <v>551</v>
      </c>
      <c r="H2633" s="6">
        <v>1001</v>
      </c>
      <c r="I2633" s="6">
        <f t="shared" ca="1" si="0"/>
        <v>551</v>
      </c>
      <c r="J2633" s="6">
        <f ca="1">IFERROR(__xludf.DUMMYFUNCTION("IFERROR(GOOGLEFINANCE(B2633, ""volume""), 0)"),306015)</f>
        <v>306015</v>
      </c>
      <c r="K2633" s="6">
        <v>-0.1</v>
      </c>
      <c r="L2633" s="6">
        <f ca="1">IFERROR(__xludf.DUMMYFUNCTION("IFERROR(GOOGLEFINANCE(B2633,""changepct""),K2633)"),3.16)</f>
        <v>3.16</v>
      </c>
      <c r="M2633" s="6">
        <f ca="1">IFERROR(__xludf.DUMMYFUNCTION("IFERROR(GOOGLEFINANCE(B2633,""change""),0)"),16.9)</f>
        <v>16.899999999999999</v>
      </c>
      <c r="N2633" s="6">
        <v>2</v>
      </c>
      <c r="O2633" s="7">
        <v>45536</v>
      </c>
      <c r="P2633" s="6">
        <v>677.94</v>
      </c>
      <c r="Q2633" s="6">
        <v>14329.75</v>
      </c>
      <c r="R2633" s="7">
        <v>45536</v>
      </c>
      <c r="S2633" s="6">
        <v>3976.7</v>
      </c>
      <c r="T2633" s="6">
        <v>1496.97</v>
      </c>
      <c r="U2633" s="7">
        <v>45536</v>
      </c>
      <c r="V2633" s="6">
        <v>12.74</v>
      </c>
      <c r="W2633" s="6">
        <f ca="1">IFERROR(__xludf.DUMMYFUNCTION("IFERROR(GOOGLEFINANCE(B2633,""pe""),V2633)"),17.12)</f>
        <v>17.12</v>
      </c>
      <c r="X2633" s="6">
        <v>0.51</v>
      </c>
      <c r="Y2633" s="6">
        <v>1.97</v>
      </c>
      <c r="Z2633" s="6">
        <v>2</v>
      </c>
      <c r="AA2633" s="8">
        <v>45352</v>
      </c>
      <c r="AB2633" s="4">
        <v>0.06</v>
      </c>
      <c r="AC2633" s="6">
        <v>19.41</v>
      </c>
      <c r="AD2633" s="6">
        <v>20.149999999999999</v>
      </c>
      <c r="AE2633" s="1">
        <v>0</v>
      </c>
      <c r="AF2633" s="1">
        <f ca="1">IFERROR(__xludf.DUMMYFUNCTION("IFERROR(GOOGLEFINANCE(TRIM(F2633)&amp;"":"" &amp; TRIM(B2633),""high52""),AE2633)"),735)</f>
        <v>735</v>
      </c>
      <c r="AG2633" s="1">
        <v>0</v>
      </c>
      <c r="AH2633" s="1">
        <f ca="1">IFERROR(__xludf.DUMMYFUNCTION("IFERROR(GOOGLEFINANCE(TRIM(F2633)&amp;"":"" &amp; TRIM(B2633),""low52""),AE2633)"),356.05)</f>
        <v>356.05</v>
      </c>
      <c r="AI2633" s="1">
        <f ca="1">IFERROR(__xludf.DUMMYFUNCTION("IFERROR(GOOGLEFINANCE(B2633,""eps""),0)"),32.18)</f>
        <v>32.18</v>
      </c>
      <c r="AJ2633" s="1"/>
      <c r="AK2633" s="1" t="s">
        <v>8184</v>
      </c>
      <c r="AL2633" s="9">
        <f t="shared" si="263"/>
        <v>1</v>
      </c>
    </row>
    <row r="2634" spans="1:38" ht="15" x14ac:dyDescent="0.25">
      <c r="A2634" s="1" t="s">
        <v>8185</v>
      </c>
      <c r="B2634" s="1" t="s">
        <v>8186</v>
      </c>
      <c r="C2634" s="1" t="s">
        <v>57</v>
      </c>
      <c r="D2634" s="1" t="s">
        <v>57</v>
      </c>
      <c r="E2634" s="6">
        <v>102.41</v>
      </c>
      <c r="F2634" s="1" t="s">
        <v>53</v>
      </c>
      <c r="G2634" s="6">
        <f ca="1">IFERROR(__xludf.DUMMYFUNCTION("iferror(GOOGLEFINANCE(TRIM(F2634)&amp;"":"" &amp; TRIM(B2634), ""price""),0
)"),0)</f>
        <v>0</v>
      </c>
      <c r="H2634" s="6">
        <v>122.6</v>
      </c>
      <c r="I2634" s="6">
        <f t="shared" ca="1" si="0"/>
        <v>122.6</v>
      </c>
      <c r="J2634" s="6">
        <f ca="1">IFERROR(__xludf.DUMMYFUNCTION("IFERROR(GOOGLEFINANCE(B2634, ""volume""), 0)"),0)</f>
        <v>0</v>
      </c>
      <c r="K2634" s="6">
        <v>2</v>
      </c>
      <c r="L2634" s="6">
        <f ca="1">IFERROR(__xludf.DUMMYFUNCTION("IFERROR(GOOGLEFINANCE(B2634,""changepct""),K2634)"),2)</f>
        <v>2</v>
      </c>
      <c r="M2634" s="6">
        <f ca="1">IFERROR(__xludf.DUMMYFUNCTION("IFERROR(GOOGLEFINANCE(B2634,""change""),0)"),0)</f>
        <v>0</v>
      </c>
      <c r="N2634" s="6">
        <v>1</v>
      </c>
      <c r="O2634" s="7">
        <v>45536</v>
      </c>
      <c r="P2634" s="6">
        <v>0</v>
      </c>
      <c r="Q2634" s="6">
        <v>102.3</v>
      </c>
      <c r="R2634" s="7">
        <v>45536</v>
      </c>
      <c r="S2634" s="6">
        <v>4.0199999999999996</v>
      </c>
      <c r="T2634" s="6">
        <v>0.81</v>
      </c>
      <c r="U2634" s="7">
        <v>45536</v>
      </c>
      <c r="V2634" s="6">
        <v>125.81</v>
      </c>
      <c r="W2634" s="6">
        <f ca="1">IFERROR(__xludf.DUMMYFUNCTION("IFERROR(GOOGLEFINANCE(B2634,""pe""),V2634)"),125.81)</f>
        <v>125.81</v>
      </c>
      <c r="X2634" s="6">
        <v>-6</v>
      </c>
      <c r="Y2634" s="6">
        <v>3.99</v>
      </c>
      <c r="Z2634" s="6">
        <v>1</v>
      </c>
      <c r="AA2634" s="8">
        <v>45352</v>
      </c>
      <c r="AB2634" s="4">
        <v>0</v>
      </c>
      <c r="AC2634" s="6">
        <v>0.78</v>
      </c>
      <c r="AD2634" s="6">
        <v>1.67</v>
      </c>
      <c r="AE2634" s="1">
        <v>0</v>
      </c>
      <c r="AF2634" s="1">
        <f ca="1">IFERROR(__xludf.DUMMYFUNCTION("IFERROR(GOOGLEFINANCE(TRIM(F2634)&amp;"":"" &amp; TRIM(B2634),""high52""),AE2634)"),0)</f>
        <v>0</v>
      </c>
      <c r="AG2634" s="1">
        <v>0</v>
      </c>
      <c r="AH2634" s="1">
        <f ca="1">IFERROR(__xludf.DUMMYFUNCTION("IFERROR(GOOGLEFINANCE(TRIM(F2634)&amp;"":"" &amp; TRIM(B2634),""low52""),AE2634)"),0)</f>
        <v>0</v>
      </c>
      <c r="AI2634" s="1">
        <f ca="1">IFERROR(__xludf.DUMMYFUNCTION("IFERROR(GOOGLEFINANCE(B2634,""eps""),0)"),0)</f>
        <v>0</v>
      </c>
      <c r="AJ2634" s="1"/>
      <c r="AK2634" s="1" t="s">
        <v>8187</v>
      </c>
      <c r="AL2634" s="9">
        <f t="shared" si="263"/>
        <v>1</v>
      </c>
    </row>
    <row r="2635" spans="1:38" ht="15" x14ac:dyDescent="0.25">
      <c r="A2635" s="1" t="s">
        <v>8188</v>
      </c>
      <c r="B2635" s="1" t="s">
        <v>8189</v>
      </c>
      <c r="C2635" s="1" t="s">
        <v>135</v>
      </c>
      <c r="D2635" s="1" t="s">
        <v>135</v>
      </c>
      <c r="E2635" s="6">
        <v>16373.17</v>
      </c>
      <c r="F2635" s="1" t="s">
        <v>40</v>
      </c>
      <c r="G2635" s="6">
        <f ca="1">IFERROR(__xludf.DUMMYFUNCTION("iferror(GOOGLEFINANCE(TRIM(F2635)&amp;"":"" &amp; TRIM(B2635), ""price""),0
)"),5949)</f>
        <v>5949</v>
      </c>
      <c r="H2635" s="6">
        <v>3306.75</v>
      </c>
      <c r="I2635" s="6">
        <f t="shared" ca="1" si="0"/>
        <v>5949</v>
      </c>
      <c r="J2635" s="6">
        <f ca="1">IFERROR(__xludf.DUMMYFUNCTION("IFERROR(GOOGLEFINANCE(B2635, ""volume""), 0)"),159782)</f>
        <v>159782</v>
      </c>
      <c r="K2635" s="6">
        <v>0.15</v>
      </c>
      <c r="L2635" s="6">
        <f ca="1">IFERROR(__xludf.DUMMYFUNCTION("IFERROR(GOOGLEFINANCE(B2635,""changepct""),K2635)"),-0.02)</f>
        <v>-0.02</v>
      </c>
      <c r="M2635" s="6">
        <f ca="1">IFERROR(__xludf.DUMMYFUNCTION("IFERROR(GOOGLEFINANCE(B2635,""change""),0)"),-1)</f>
        <v>-1</v>
      </c>
      <c r="N2635" s="6">
        <v>2</v>
      </c>
      <c r="O2635" s="7">
        <v>45536</v>
      </c>
      <c r="P2635" s="6">
        <v>1357.97</v>
      </c>
      <c r="Q2635" s="6">
        <v>17700.919999999998</v>
      </c>
      <c r="R2635" s="7">
        <v>45536</v>
      </c>
      <c r="S2635" s="6">
        <v>2146.0100000000002</v>
      </c>
      <c r="T2635" s="6">
        <v>258.42</v>
      </c>
      <c r="U2635" s="7">
        <v>45536</v>
      </c>
      <c r="V2635" s="6">
        <v>63.36</v>
      </c>
      <c r="W2635" s="6">
        <f ca="1">IFERROR(__xludf.DUMMYFUNCTION("IFERROR(GOOGLEFINANCE(B2635,""pe""),V2635)"),67.17)</f>
        <v>67.17</v>
      </c>
      <c r="X2635" s="6">
        <v>7.11</v>
      </c>
      <c r="Y2635" s="6">
        <v>6.63</v>
      </c>
      <c r="Z2635" s="6">
        <v>2</v>
      </c>
      <c r="AA2635" s="13">
        <v>45352</v>
      </c>
      <c r="AB2635" s="4">
        <v>0.56999999999999995</v>
      </c>
      <c r="AC2635" s="6">
        <v>11.94</v>
      </c>
      <c r="AD2635" s="6">
        <v>12.14</v>
      </c>
      <c r="AE2635" s="1">
        <v>0</v>
      </c>
      <c r="AF2635" s="1">
        <f ca="1">IFERROR(__xludf.DUMMYFUNCTION("IFERROR(GOOGLEFINANCE(TRIM(F2635)&amp;"":"" &amp; TRIM(B2635),""high52""),AE2635)"),6273.5)</f>
        <v>6273.5</v>
      </c>
      <c r="AG2635" s="1">
        <v>0</v>
      </c>
      <c r="AH2635" s="1">
        <f ca="1">IFERROR(__xludf.DUMMYFUNCTION("IFERROR(GOOGLEFINANCE(TRIM(F2635)&amp;"":"" &amp; TRIM(B2635),""low52""),AE2635)"),3566)</f>
        <v>3566</v>
      </c>
      <c r="AI2635" s="1">
        <f ca="1">IFERROR(__xludf.DUMMYFUNCTION("IFERROR(GOOGLEFINANCE(B2635,""eps""),0)"),88.56)</f>
        <v>88.56</v>
      </c>
      <c r="AJ2635" s="1"/>
      <c r="AK2635" s="1" t="s">
        <v>8190</v>
      </c>
      <c r="AL2635" s="9">
        <f t="shared" si="263"/>
        <v>1</v>
      </c>
    </row>
    <row r="2636" spans="1:38" ht="15" x14ac:dyDescent="0.25">
      <c r="A2636" s="1" t="s">
        <v>8191</v>
      </c>
      <c r="B2636" s="1" t="s">
        <v>8192</v>
      </c>
      <c r="C2636" s="1" t="s">
        <v>259</v>
      </c>
      <c r="D2636" s="1" t="s">
        <v>259</v>
      </c>
      <c r="E2636" s="6">
        <v>2474.54</v>
      </c>
      <c r="F2636" s="1" t="s">
        <v>40</v>
      </c>
      <c r="G2636" s="6">
        <f ca="1">IFERROR(__xludf.DUMMYFUNCTION("iferror(GOOGLEFINANCE(TRIM(F2636)&amp;"":"" &amp; TRIM(B2636), ""price""),0
)"),96.4)</f>
        <v>96.4</v>
      </c>
      <c r="H2636" s="6">
        <v>164.14</v>
      </c>
      <c r="I2636" s="6">
        <f t="shared" ca="1" si="0"/>
        <v>96.4</v>
      </c>
      <c r="J2636" s="6">
        <f ca="1">IFERROR(__xludf.DUMMYFUNCTION("IFERROR(GOOGLEFINANCE(B2636, ""volume""), 0)"),359289)</f>
        <v>359289</v>
      </c>
      <c r="K2636" s="6">
        <v>-0.17</v>
      </c>
      <c r="L2636" s="6">
        <f ca="1">IFERROR(__xludf.DUMMYFUNCTION("IFERROR(GOOGLEFINANCE(B2636,""changepct""),K2636)"),1.27)</f>
        <v>1.27</v>
      </c>
      <c r="M2636" s="6">
        <f ca="1">IFERROR(__xludf.DUMMYFUNCTION("IFERROR(GOOGLEFINANCE(B2636,""change""),0)"),1.21)</f>
        <v>1.21</v>
      </c>
      <c r="N2636" s="6">
        <v>1</v>
      </c>
      <c r="O2636" s="7">
        <v>45536</v>
      </c>
      <c r="P2636" s="6">
        <v>205.93</v>
      </c>
      <c r="Q2636" s="6">
        <v>2680.46</v>
      </c>
      <c r="R2636" s="7">
        <v>45536</v>
      </c>
      <c r="S2636" s="6">
        <v>485.52</v>
      </c>
      <c r="T2636" s="6">
        <v>-15.61</v>
      </c>
      <c r="U2636" s="7">
        <v>45536</v>
      </c>
      <c r="V2636" s="6">
        <v>0</v>
      </c>
      <c r="W2636" s="6">
        <f ca="1">IFERROR(__xludf.DUMMYFUNCTION("IFERROR(GOOGLEFINANCE(B2636,""pe""),V2636)"),0)</f>
        <v>0</v>
      </c>
      <c r="X2636" s="9"/>
      <c r="Y2636" s="6">
        <v>1.26</v>
      </c>
      <c r="Z2636" s="6">
        <v>1</v>
      </c>
      <c r="AA2636" s="8">
        <v>45352</v>
      </c>
      <c r="AB2636" s="4">
        <v>0.11</v>
      </c>
      <c r="AC2636" s="6">
        <v>0.28000000000000003</v>
      </c>
      <c r="AD2636" s="6">
        <v>1.24</v>
      </c>
      <c r="AE2636" s="1">
        <v>0</v>
      </c>
      <c r="AF2636" s="1">
        <f ca="1">IFERROR(__xludf.DUMMYFUNCTION("IFERROR(GOOGLEFINANCE(TRIM(F2636)&amp;"":"" &amp; TRIM(B2636),""high52""),AE2636)"),140.2)</f>
        <v>140.19999999999999</v>
      </c>
      <c r="AG2636" s="1">
        <v>0</v>
      </c>
      <c r="AH2636" s="1">
        <f ca="1">IFERROR(__xludf.DUMMYFUNCTION("IFERROR(GOOGLEFINANCE(TRIM(F2636)&amp;"":"" &amp; TRIM(B2636),""low52""),AE2636)"),80.54)</f>
        <v>80.540000000000006</v>
      </c>
      <c r="AI2636" s="1">
        <f ca="1">IFERROR(__xludf.DUMMYFUNCTION("IFERROR(GOOGLEFINANCE(B2636,""eps""),0)"),-0.16)</f>
        <v>-0.16</v>
      </c>
      <c r="AJ2636" s="1"/>
      <c r="AK2636" s="1" t="s">
        <v>8193</v>
      </c>
      <c r="AL2636" s="9">
        <f t="shared" si="263"/>
        <v>1</v>
      </c>
    </row>
    <row r="2637" spans="1:38" ht="15" x14ac:dyDescent="0.25">
      <c r="A2637" s="1" t="s">
        <v>8194</v>
      </c>
      <c r="B2637" s="1" t="s">
        <v>8195</v>
      </c>
      <c r="C2637" s="1" t="s">
        <v>57</v>
      </c>
      <c r="D2637" s="1" t="s">
        <v>57</v>
      </c>
      <c r="E2637" s="6">
        <v>39.909999999999997</v>
      </c>
      <c r="F2637" s="1" t="s">
        <v>53</v>
      </c>
      <c r="G2637" s="6">
        <f ca="1">IFERROR(__xludf.DUMMYFUNCTION("iferror(GOOGLEFINANCE(TRIM(F2637)&amp;"":"" &amp; TRIM(B2637), ""price""),0
)"),0)</f>
        <v>0</v>
      </c>
      <c r="H2637" s="6">
        <v>50</v>
      </c>
      <c r="I2637" s="6">
        <f t="shared" ca="1" si="0"/>
        <v>50</v>
      </c>
      <c r="J2637" s="6">
        <f ca="1">IFERROR(__xludf.DUMMYFUNCTION("IFERROR(GOOGLEFINANCE(B2637, ""volume""), 0)"),0)</f>
        <v>0</v>
      </c>
      <c r="K2637" s="6">
        <v>-0.7</v>
      </c>
      <c r="L2637" s="6">
        <f ca="1">IFERROR(__xludf.DUMMYFUNCTION("IFERROR(GOOGLEFINANCE(B2637,""changepct""),K2637)"),-0.7)</f>
        <v>-0.7</v>
      </c>
      <c r="M2637" s="6">
        <f ca="1">IFERROR(__xludf.DUMMYFUNCTION("IFERROR(GOOGLEFINANCE(B2637,""change""),0)"),0)</f>
        <v>0</v>
      </c>
      <c r="N2637" s="6">
        <v>1</v>
      </c>
      <c r="O2637" s="7">
        <v>45536</v>
      </c>
      <c r="P2637" s="9"/>
      <c r="Q2637" s="6">
        <v>39.909999999999997</v>
      </c>
      <c r="R2637" s="7">
        <v>45536</v>
      </c>
      <c r="S2637" s="6">
        <v>3.2</v>
      </c>
      <c r="T2637" s="6">
        <v>1.76</v>
      </c>
      <c r="U2637" s="7">
        <v>45536</v>
      </c>
      <c r="V2637" s="6">
        <v>22.69</v>
      </c>
      <c r="W2637" s="6">
        <f ca="1">IFERROR(__xludf.DUMMYFUNCTION("IFERROR(GOOGLEFINANCE(B2637,""pe""),V2637)"),22.69)</f>
        <v>22.69</v>
      </c>
      <c r="X2637" s="6">
        <v>0.35</v>
      </c>
      <c r="Y2637" s="6">
        <v>13.98</v>
      </c>
      <c r="Z2637" s="6">
        <v>1</v>
      </c>
      <c r="AA2637" s="8">
        <v>45352</v>
      </c>
      <c r="AB2637" s="4">
        <v>0.46</v>
      </c>
      <c r="AC2637" s="6">
        <v>261.92</v>
      </c>
      <c r="AD2637" s="6">
        <v>127.32</v>
      </c>
      <c r="AE2637" s="1">
        <v>0</v>
      </c>
      <c r="AF2637" s="1">
        <f ca="1">IFERROR(__xludf.DUMMYFUNCTION("IFERROR(GOOGLEFINANCE(TRIM(F2637)&amp;"":"" &amp; TRIM(B2637),""high52""),AE2637)"),0)</f>
        <v>0</v>
      </c>
      <c r="AG2637" s="1">
        <v>0</v>
      </c>
      <c r="AH2637" s="1">
        <f ca="1">IFERROR(__xludf.DUMMYFUNCTION("IFERROR(GOOGLEFINANCE(TRIM(F2637)&amp;"":"" &amp; TRIM(B2637),""low52""),AE2637)"),0)</f>
        <v>0</v>
      </c>
      <c r="AI2637" s="1">
        <f ca="1">IFERROR(__xludf.DUMMYFUNCTION("IFERROR(GOOGLEFINANCE(B2637,""eps""),0)"),0)</f>
        <v>0</v>
      </c>
      <c r="AJ2637" s="1"/>
      <c r="AK2637" s="1" t="s">
        <v>8196</v>
      </c>
      <c r="AL2637" s="9">
        <f t="shared" si="263"/>
        <v>1</v>
      </c>
    </row>
    <row r="2638" spans="1:38" ht="15" x14ac:dyDescent="0.25">
      <c r="A2638" s="1" t="s">
        <v>8197</v>
      </c>
      <c r="B2638" s="1" t="s">
        <v>8198</v>
      </c>
      <c r="C2638" s="1" t="s">
        <v>778</v>
      </c>
      <c r="D2638" s="1" t="s">
        <v>778</v>
      </c>
      <c r="E2638" s="6">
        <v>3237.45</v>
      </c>
      <c r="F2638" s="1" t="s">
        <v>40</v>
      </c>
      <c r="G2638" s="6">
        <f ca="1">IFERROR(__xludf.DUMMYFUNCTION("iferror(GOOGLEFINANCE(TRIM(F2638)&amp;"":"" &amp; TRIM(B2638), ""price""),0
)"),138.33)</f>
        <v>138.33000000000001</v>
      </c>
      <c r="H2638" s="6">
        <v>146.21</v>
      </c>
      <c r="I2638" s="6">
        <f t="shared" ca="1" si="0"/>
        <v>138.33000000000001</v>
      </c>
      <c r="J2638" s="6">
        <f ca="1">IFERROR(__xludf.DUMMYFUNCTION("IFERROR(GOOGLEFINANCE(B2638, ""volume""), 0)"),74432)</f>
        <v>74432</v>
      </c>
      <c r="K2638" s="6">
        <v>-0.18</v>
      </c>
      <c r="L2638" s="6">
        <f ca="1">IFERROR(__xludf.DUMMYFUNCTION("IFERROR(GOOGLEFINANCE(B2638,""changepct""),K2638)"),-2.5)</f>
        <v>-2.5</v>
      </c>
      <c r="M2638" s="6">
        <f ca="1">IFERROR(__xludf.DUMMYFUNCTION("IFERROR(GOOGLEFINANCE(B2638,""change""),0)"),-3.54)</f>
        <v>-3.54</v>
      </c>
      <c r="N2638" s="6">
        <v>2</v>
      </c>
      <c r="O2638" s="7">
        <v>45536</v>
      </c>
      <c r="P2638" s="6">
        <v>30.76</v>
      </c>
      <c r="Q2638" s="6">
        <v>3094.83</v>
      </c>
      <c r="R2638" s="7">
        <v>45536</v>
      </c>
      <c r="S2638" s="6">
        <v>1763.64</v>
      </c>
      <c r="T2638" s="6">
        <v>778.29</v>
      </c>
      <c r="U2638" s="7">
        <v>45536</v>
      </c>
      <c r="V2638" s="6">
        <v>4.4800000000000004</v>
      </c>
      <c r="W2638" s="6">
        <f ca="1">IFERROR(__xludf.DUMMYFUNCTION("IFERROR(GOOGLEFINANCE(B2638,""pe""),V2638)"),15.37)</f>
        <v>15.37</v>
      </c>
      <c r="X2638" s="6">
        <v>0.95</v>
      </c>
      <c r="Y2638" s="6">
        <v>1.79</v>
      </c>
      <c r="Z2638" s="6">
        <v>2</v>
      </c>
      <c r="AA2638" s="8">
        <v>45352</v>
      </c>
      <c r="AB2638" s="4">
        <v>0.19</v>
      </c>
      <c r="AC2638" s="6">
        <v>20.6</v>
      </c>
      <c r="AD2638" s="6">
        <v>21.04</v>
      </c>
      <c r="AE2638" s="1">
        <v>0</v>
      </c>
      <c r="AF2638" s="1">
        <f ca="1">IFERROR(__xludf.DUMMYFUNCTION("IFERROR(GOOGLEFINANCE(TRIM(F2638)&amp;"":"" &amp; TRIM(B2638),""high52""),AE2638)"),168.5)</f>
        <v>168.5</v>
      </c>
      <c r="AG2638" s="1">
        <v>0</v>
      </c>
      <c r="AH2638" s="1">
        <f ca="1">IFERROR(__xludf.DUMMYFUNCTION("IFERROR(GOOGLEFINANCE(TRIM(F2638)&amp;"":"" &amp; TRIM(B2638),""low52""),AE2638)"),127.51)</f>
        <v>127.51</v>
      </c>
      <c r="AI2638" s="1">
        <f ca="1">IFERROR(__xludf.DUMMYFUNCTION("IFERROR(GOOGLEFINANCE(B2638,""eps""),0)"),9)</f>
        <v>9</v>
      </c>
      <c r="AJ2638" s="1"/>
      <c r="AK2638" s="9"/>
      <c r="AL2638" s="9">
        <f t="shared" si="263"/>
        <v>1</v>
      </c>
    </row>
    <row r="2639" spans="1:38" ht="15" x14ac:dyDescent="0.25">
      <c r="A2639" s="1" t="s">
        <v>8199</v>
      </c>
      <c r="B2639" s="1" t="s">
        <v>8200</v>
      </c>
      <c r="C2639" s="1" t="s">
        <v>57</v>
      </c>
      <c r="D2639" s="1" t="s">
        <v>57</v>
      </c>
      <c r="E2639" s="6">
        <v>8648.4599999999991</v>
      </c>
      <c r="F2639" s="1" t="s">
        <v>40</v>
      </c>
      <c r="G2639" s="6">
        <f ca="1">IFERROR(__xludf.DUMMYFUNCTION("iferror(GOOGLEFINANCE(TRIM(F2639)&amp;"":"" &amp; TRIM(B2639), ""price""),0
)"),280)</f>
        <v>280</v>
      </c>
      <c r="H2639" s="6">
        <v>1023.25</v>
      </c>
      <c r="I2639" s="6">
        <f t="shared" ca="1" si="0"/>
        <v>280</v>
      </c>
      <c r="J2639" s="6">
        <f ca="1">IFERROR(__xludf.DUMMYFUNCTION("IFERROR(GOOGLEFINANCE(B2639, ""volume""), 0)"),1004976)</f>
        <v>1004976</v>
      </c>
      <c r="K2639" s="6">
        <v>1.29</v>
      </c>
      <c r="L2639" s="6">
        <f ca="1">IFERROR(__xludf.DUMMYFUNCTION("IFERROR(GOOGLEFINANCE(B2639,""changepct""),K2639)"),-1.13)</f>
        <v>-1.1299999999999999</v>
      </c>
      <c r="M2639" s="6">
        <f ca="1">IFERROR(__xludf.DUMMYFUNCTION("IFERROR(GOOGLEFINANCE(B2639,""change""),0)"),-3.2)</f>
        <v>-3.2</v>
      </c>
      <c r="N2639" s="6">
        <v>2</v>
      </c>
      <c r="O2639" s="7">
        <v>45536</v>
      </c>
      <c r="P2639" s="6">
        <v>52.33</v>
      </c>
      <c r="Q2639" s="6">
        <v>8045.93</v>
      </c>
      <c r="R2639" s="7">
        <v>45536</v>
      </c>
      <c r="S2639" s="6">
        <v>1155.6300000000001</v>
      </c>
      <c r="T2639" s="6">
        <v>91.72</v>
      </c>
      <c r="U2639" s="7">
        <v>45536</v>
      </c>
      <c r="V2639" s="6">
        <v>139.83000000000001</v>
      </c>
      <c r="W2639" s="6">
        <f ca="1">IFERROR(__xludf.DUMMYFUNCTION("IFERROR(GOOGLEFINANCE(B2639,""pe""),V2639)"),170.26)</f>
        <v>170.26</v>
      </c>
      <c r="X2639" s="9"/>
      <c r="Y2639" s="6">
        <v>3.15</v>
      </c>
      <c r="Z2639" s="6">
        <v>2</v>
      </c>
      <c r="AA2639" s="8">
        <v>45352</v>
      </c>
      <c r="AB2639" s="4">
        <v>0</v>
      </c>
      <c r="AC2639" s="6">
        <v>5.77</v>
      </c>
      <c r="AD2639" s="6">
        <v>7.08</v>
      </c>
      <c r="AE2639" s="1">
        <v>0</v>
      </c>
      <c r="AF2639" s="1">
        <f ca="1">IFERROR(__xludf.DUMMYFUNCTION("IFERROR(GOOGLEFINANCE(TRIM(F2639)&amp;"":"" &amp; TRIM(B2639),""high52""),AE2639)"),363.25)</f>
        <v>363.25</v>
      </c>
      <c r="AG2639" s="1">
        <v>0</v>
      </c>
      <c r="AH2639" s="1">
        <f ca="1">IFERROR(__xludf.DUMMYFUNCTION("IFERROR(GOOGLEFINANCE(TRIM(F2639)&amp;"":"" &amp; TRIM(B2639),""low52""),AE2639)"),221.35)</f>
        <v>221.35</v>
      </c>
      <c r="AI2639" s="1">
        <f ca="1">IFERROR(__xludf.DUMMYFUNCTION("IFERROR(GOOGLEFINANCE(B2639,""eps""),0)"),1.64)</f>
        <v>1.64</v>
      </c>
      <c r="AJ2639" s="1"/>
      <c r="AK2639" s="1" t="s">
        <v>8201</v>
      </c>
      <c r="AL2639" s="9">
        <f t="shared" si="263"/>
        <v>1</v>
      </c>
    </row>
    <row r="2640" spans="1:38" ht="15" x14ac:dyDescent="0.25">
      <c r="A2640" s="1" t="s">
        <v>8202</v>
      </c>
      <c r="B2640" s="1" t="s">
        <v>8203</v>
      </c>
      <c r="C2640" s="1" t="s">
        <v>57</v>
      </c>
      <c r="D2640" s="1" t="s">
        <v>57</v>
      </c>
      <c r="E2640" s="6">
        <v>7.8</v>
      </c>
      <c r="F2640" s="1" t="s">
        <v>53</v>
      </c>
      <c r="G2640" s="6">
        <f ca="1">IFERROR(__xludf.DUMMYFUNCTION("iferror(GOOGLEFINANCE(TRIM(F2640)&amp;"":"" &amp; TRIM(B2640), ""price""),0
)"),0)</f>
        <v>0</v>
      </c>
      <c r="H2640" s="6">
        <v>8.19</v>
      </c>
      <c r="I2640" s="6">
        <f t="shared" ca="1" si="0"/>
        <v>8.19</v>
      </c>
      <c r="J2640" s="6">
        <f ca="1">IFERROR(__xludf.DUMMYFUNCTION("IFERROR(GOOGLEFINANCE(B2640, ""volume""), 0)"),0)</f>
        <v>0</v>
      </c>
      <c r="K2640" s="6">
        <v>5</v>
      </c>
      <c r="L2640" s="6">
        <f ca="1">IFERROR(__xludf.DUMMYFUNCTION("IFERROR(GOOGLEFINANCE(B2640,""changepct""),K2640)"),5)</f>
        <v>5</v>
      </c>
      <c r="M2640" s="6">
        <f ca="1">IFERROR(__xludf.DUMMYFUNCTION("IFERROR(GOOGLEFINANCE(B2640,""change""),0)"),0)</f>
        <v>0</v>
      </c>
      <c r="N2640" s="6">
        <v>2</v>
      </c>
      <c r="O2640" s="7">
        <v>45536</v>
      </c>
      <c r="P2640" s="6">
        <v>0.88</v>
      </c>
      <c r="Q2640" s="6">
        <v>8.4499999999999993</v>
      </c>
      <c r="R2640" s="7">
        <v>45536</v>
      </c>
      <c r="S2640" s="6">
        <v>0.02</v>
      </c>
      <c r="T2640" s="6">
        <v>-0.31</v>
      </c>
      <c r="U2640" s="7">
        <v>45536</v>
      </c>
      <c r="V2640" s="6">
        <v>0</v>
      </c>
      <c r="W2640" s="6">
        <f ca="1">IFERROR(__xludf.DUMMYFUNCTION("IFERROR(GOOGLEFINANCE(B2640,""pe""),V2640)"),0)</f>
        <v>0</v>
      </c>
      <c r="X2640" s="12"/>
      <c r="Y2640" s="6">
        <v>3.13</v>
      </c>
      <c r="Z2640" s="6">
        <v>2</v>
      </c>
      <c r="AA2640" s="8">
        <v>45352</v>
      </c>
      <c r="AB2640" s="4">
        <v>0.34</v>
      </c>
      <c r="AC2640" s="6">
        <v>-119.26</v>
      </c>
      <c r="AD2640" s="6">
        <v>-109.61</v>
      </c>
      <c r="AE2640" s="1">
        <v>0</v>
      </c>
      <c r="AF2640" s="1">
        <f ca="1">IFERROR(__xludf.DUMMYFUNCTION("IFERROR(GOOGLEFINANCE(TRIM(F2640)&amp;"":"" &amp; TRIM(B2640),""high52""),AE2640)"),0)</f>
        <v>0</v>
      </c>
      <c r="AG2640" s="1">
        <v>0</v>
      </c>
      <c r="AH2640" s="1">
        <f ca="1">IFERROR(__xludf.DUMMYFUNCTION("IFERROR(GOOGLEFINANCE(TRIM(F2640)&amp;"":"" &amp; TRIM(B2640),""low52""),AE2640)"),0)</f>
        <v>0</v>
      </c>
      <c r="AI2640" s="1">
        <f ca="1">IFERROR(__xludf.DUMMYFUNCTION("IFERROR(GOOGLEFINANCE(B2640,""eps""),0)"),0)</f>
        <v>0</v>
      </c>
      <c r="AJ2640" s="1"/>
      <c r="AK2640" s="1" t="s">
        <v>8204</v>
      </c>
      <c r="AL2640" s="9">
        <f t="shared" si="263"/>
        <v>1</v>
      </c>
    </row>
    <row r="2641" spans="1:38" ht="15" x14ac:dyDescent="0.25">
      <c r="A2641" s="1" t="s">
        <v>8205</v>
      </c>
      <c r="B2641" s="1" t="s">
        <v>8206</v>
      </c>
      <c r="C2641" s="1" t="s">
        <v>487</v>
      </c>
      <c r="D2641" s="1" t="s">
        <v>487</v>
      </c>
      <c r="E2641" s="6">
        <v>25199.1</v>
      </c>
      <c r="F2641" s="1" t="s">
        <v>40</v>
      </c>
      <c r="G2641" s="6">
        <f ca="1">IFERROR(__xludf.DUMMYFUNCTION("iferror(GOOGLEFINANCE(TRIM(F2641)&amp;"":"" &amp; TRIM(B2641), ""price""),0
)"),97.3)</f>
        <v>97.3</v>
      </c>
      <c r="H2641" s="6">
        <v>93.42</v>
      </c>
      <c r="I2641" s="6">
        <f t="shared" ca="1" si="0"/>
        <v>97.3</v>
      </c>
      <c r="J2641" s="6">
        <f ca="1">IFERROR(__xludf.DUMMYFUNCTION("IFERROR(GOOGLEFINANCE(B2641, ""volume""), 0)"),8021250)</f>
        <v>8021250</v>
      </c>
      <c r="K2641" s="6">
        <v>7.0000000000000007E-2</v>
      </c>
      <c r="L2641" s="6">
        <f ca="1">IFERROR(__xludf.DUMMYFUNCTION("IFERROR(GOOGLEFINANCE(B2641,""changepct""),K2641)"),2)</f>
        <v>2</v>
      </c>
      <c r="M2641" s="6">
        <f ca="1">IFERROR(__xludf.DUMMYFUNCTION("IFERROR(GOOGLEFINANCE(B2641,""change""),0)"),1.91)</f>
        <v>1.91</v>
      </c>
      <c r="N2641" s="6">
        <v>2</v>
      </c>
      <c r="O2641" s="7">
        <v>45536</v>
      </c>
      <c r="P2641" s="9"/>
      <c r="Q2641" s="6">
        <v>20391.28</v>
      </c>
      <c r="R2641" s="7">
        <v>45536</v>
      </c>
      <c r="S2641" s="6">
        <v>11040</v>
      </c>
      <c r="T2641" s="6">
        <v>487.11</v>
      </c>
      <c r="U2641" s="7">
        <v>45536</v>
      </c>
      <c r="V2641" s="6">
        <v>53.21</v>
      </c>
      <c r="W2641" s="6">
        <f ca="1">IFERROR(__xludf.DUMMYFUNCTION("IFERROR(GOOGLEFINANCE(B2641,""pe""),V2641)"),43.72)</f>
        <v>43.72</v>
      </c>
      <c r="X2641" s="6">
        <v>7.12</v>
      </c>
      <c r="Y2641" s="6">
        <v>10.38</v>
      </c>
      <c r="Z2641" s="6">
        <v>2</v>
      </c>
      <c r="AA2641" s="8">
        <v>45352</v>
      </c>
      <c r="AB2641" s="4">
        <v>0</v>
      </c>
      <c r="AC2641" s="6">
        <v>19.87</v>
      </c>
      <c r="AD2641" s="6">
        <v>37.07</v>
      </c>
      <c r="AE2641" s="1">
        <v>0</v>
      </c>
      <c r="AF2641" s="1">
        <f ca="1">IFERROR(__xludf.DUMMYFUNCTION("IFERROR(GOOGLEFINANCE(TRIM(F2641)&amp;"":"" &amp; TRIM(B2641),""high52""),AE2641)"),130.7)</f>
        <v>130.69999999999999</v>
      </c>
      <c r="AG2641" s="1">
        <v>0</v>
      </c>
      <c r="AH2641" s="1">
        <f ca="1">IFERROR(__xludf.DUMMYFUNCTION("IFERROR(GOOGLEFINANCE(TRIM(F2641)&amp;"":"" &amp; TRIM(B2641),""low52""),AE2641)"),70.8)</f>
        <v>70.8</v>
      </c>
      <c r="AI2641" s="1">
        <f ca="1">IFERROR(__xludf.DUMMYFUNCTION("IFERROR(GOOGLEFINANCE(B2641,""eps""),0)"),2.23)</f>
        <v>2.23</v>
      </c>
      <c r="AJ2641" s="1"/>
      <c r="AK2641" s="1" t="s">
        <v>8207</v>
      </c>
      <c r="AL2641" s="9">
        <f t="shared" si="263"/>
        <v>1</v>
      </c>
    </row>
    <row r="2642" spans="1:38" ht="15" x14ac:dyDescent="0.25">
      <c r="A2642" s="1" t="s">
        <v>8208</v>
      </c>
      <c r="B2642" s="1" t="s">
        <v>8209</v>
      </c>
      <c r="C2642" s="1" t="s">
        <v>86</v>
      </c>
      <c r="D2642" s="1" t="s">
        <v>86</v>
      </c>
      <c r="E2642" s="6">
        <v>17479.25</v>
      </c>
      <c r="F2642" s="1" t="s">
        <v>40</v>
      </c>
      <c r="G2642" s="6">
        <f ca="1">IFERROR(__xludf.DUMMYFUNCTION("iferror(GOOGLEFINANCE(TRIM(F2642)&amp;"":"" &amp; TRIM(B2642), ""price""),0
)"),148)</f>
        <v>148</v>
      </c>
      <c r="H2642" s="6">
        <v>278.10000000000002</v>
      </c>
      <c r="I2642" s="6">
        <f t="shared" ca="1" si="0"/>
        <v>148</v>
      </c>
      <c r="J2642" s="6">
        <f ca="1">IFERROR(__xludf.DUMMYFUNCTION("IFERROR(GOOGLEFINANCE(B2642, ""volume""), 0)"),317209)</f>
        <v>317209</v>
      </c>
      <c r="K2642" s="6">
        <v>-0.13</v>
      </c>
      <c r="L2642" s="6">
        <f ca="1">IFERROR(__xludf.DUMMYFUNCTION("IFERROR(GOOGLEFINANCE(B2642,""changepct""),K2642)"),0.57)</f>
        <v>0.56999999999999995</v>
      </c>
      <c r="M2642" s="6">
        <f ca="1">IFERROR(__xludf.DUMMYFUNCTION("IFERROR(GOOGLEFINANCE(B2642,""change""),0)"),0.8)</f>
        <v>0.8</v>
      </c>
      <c r="N2642" s="6">
        <v>2</v>
      </c>
      <c r="O2642" s="7">
        <v>45536</v>
      </c>
      <c r="P2642" s="6">
        <v>1726.39</v>
      </c>
      <c r="Q2642" s="6">
        <v>18354.7</v>
      </c>
      <c r="R2642" s="7">
        <v>45536</v>
      </c>
      <c r="S2642" s="6">
        <v>22468.92</v>
      </c>
      <c r="T2642" s="6">
        <v>864.51</v>
      </c>
      <c r="U2642" s="7">
        <v>45536</v>
      </c>
      <c r="V2642" s="6">
        <v>20.99</v>
      </c>
      <c r="W2642" s="6">
        <f ca="1">IFERROR(__xludf.DUMMYFUNCTION("IFERROR(GOOGLEFINANCE(B2642,""pe""),V2642)"),20.99)</f>
        <v>20.99</v>
      </c>
      <c r="X2642" s="6">
        <v>8.33</v>
      </c>
      <c r="Y2642" s="6">
        <v>2.54</v>
      </c>
      <c r="Z2642" s="6">
        <v>2</v>
      </c>
      <c r="AA2642" s="8">
        <v>45352</v>
      </c>
      <c r="AB2642" s="4">
        <v>0.15</v>
      </c>
      <c r="AC2642" s="6">
        <v>11.56</v>
      </c>
      <c r="AD2642" s="6">
        <v>22.43</v>
      </c>
      <c r="AE2642" s="1">
        <v>0</v>
      </c>
      <c r="AF2642" s="1">
        <f ca="1">IFERROR(__xludf.DUMMYFUNCTION("IFERROR(GOOGLEFINANCE(TRIM(F2642)&amp;"":"" &amp; TRIM(B2642),""high52""),AE2642)"),247.7)</f>
        <v>247.7</v>
      </c>
      <c r="AG2642" s="1">
        <v>0</v>
      </c>
      <c r="AH2642" s="1">
        <f ca="1">IFERROR(__xludf.DUMMYFUNCTION("IFERROR(GOOGLEFINANCE(TRIM(F2642)&amp;"":"" &amp; TRIM(B2642),""low52""),AE2642)"),138.57)</f>
        <v>138.57</v>
      </c>
      <c r="AI2642" s="1">
        <f ca="1">IFERROR(__xludf.DUMMYFUNCTION("IFERROR(GOOGLEFINANCE(B2642,""eps""),0)"),-0.03)</f>
        <v>-0.03</v>
      </c>
      <c r="AJ2642" s="1"/>
      <c r="AK2642" s="1" t="s">
        <v>8210</v>
      </c>
      <c r="AL2642" s="9">
        <f t="shared" si="263"/>
        <v>1</v>
      </c>
    </row>
    <row r="2643" spans="1:38" ht="15" x14ac:dyDescent="0.25">
      <c r="A2643" s="1" t="s">
        <v>8211</v>
      </c>
      <c r="B2643" s="1" t="s">
        <v>8212</v>
      </c>
      <c r="C2643" s="1" t="s">
        <v>57</v>
      </c>
      <c r="D2643" s="1" t="s">
        <v>57</v>
      </c>
      <c r="E2643" s="6">
        <v>14.41</v>
      </c>
      <c r="F2643" s="1" t="s">
        <v>53</v>
      </c>
      <c r="G2643" s="6">
        <f ca="1">IFERROR(__xludf.DUMMYFUNCTION("iferror(GOOGLEFINANCE(TRIM(F2643)&amp;"":"" &amp; TRIM(B2643), ""price""),0
)"),0)</f>
        <v>0</v>
      </c>
      <c r="H2643" s="6">
        <v>48.99</v>
      </c>
      <c r="I2643" s="6">
        <f t="shared" ca="1" si="0"/>
        <v>48.99</v>
      </c>
      <c r="J2643" s="6">
        <f ca="1">IFERROR(__xludf.DUMMYFUNCTION("IFERROR(GOOGLEFINANCE(B2643, ""volume""), 0)"),0)</f>
        <v>0</v>
      </c>
      <c r="K2643" s="6">
        <v>2.4700000000000002</v>
      </c>
      <c r="L2643" s="6">
        <f ca="1">IFERROR(__xludf.DUMMYFUNCTION("IFERROR(GOOGLEFINANCE(B2643,""changepct""),K2643)"),2.47)</f>
        <v>2.4700000000000002</v>
      </c>
      <c r="M2643" s="6">
        <f ca="1">IFERROR(__xludf.DUMMYFUNCTION("IFERROR(GOOGLEFINANCE(B2643,""change""),0)"),0)</f>
        <v>0</v>
      </c>
      <c r="N2643" s="6">
        <v>1</v>
      </c>
      <c r="O2643" s="7">
        <v>45536</v>
      </c>
      <c r="P2643" s="6">
        <v>1.64</v>
      </c>
      <c r="Q2643" s="6">
        <v>9.52</v>
      </c>
      <c r="R2643" s="7">
        <v>45536</v>
      </c>
      <c r="S2643" s="6">
        <v>6.66</v>
      </c>
      <c r="T2643" s="6">
        <v>2.74</v>
      </c>
      <c r="U2643" s="15">
        <v>45536</v>
      </c>
      <c r="V2643" s="6">
        <v>5.27</v>
      </c>
      <c r="W2643" s="6">
        <f ca="1">IFERROR(__xludf.DUMMYFUNCTION("IFERROR(GOOGLEFINANCE(B2643,""pe""),V2643)"),5.27)</f>
        <v>5.27</v>
      </c>
      <c r="X2643" s="6">
        <v>-0.96</v>
      </c>
      <c r="Y2643" s="6">
        <v>0.94</v>
      </c>
      <c r="Z2643" s="6">
        <v>1</v>
      </c>
      <c r="AA2643" s="8">
        <v>45352</v>
      </c>
      <c r="AB2643" s="4">
        <v>0</v>
      </c>
      <c r="AC2643" s="6">
        <v>5.78</v>
      </c>
      <c r="AD2643" s="6">
        <v>15</v>
      </c>
      <c r="AE2643" s="1">
        <v>0</v>
      </c>
      <c r="AF2643" s="1">
        <f ca="1">IFERROR(__xludf.DUMMYFUNCTION("IFERROR(GOOGLEFINANCE(TRIM(F2643)&amp;"":"" &amp; TRIM(B2643),""high52""),AE2643)"),0)</f>
        <v>0</v>
      </c>
      <c r="AG2643" s="1">
        <v>0</v>
      </c>
      <c r="AH2643" s="1">
        <f ca="1">IFERROR(__xludf.DUMMYFUNCTION("IFERROR(GOOGLEFINANCE(TRIM(F2643)&amp;"":"" &amp; TRIM(B2643),""low52""),AE2643)"),0)</f>
        <v>0</v>
      </c>
      <c r="AI2643" s="1">
        <f ca="1">IFERROR(__xludf.DUMMYFUNCTION("IFERROR(GOOGLEFINANCE(B2643,""eps""),0)"),0)</f>
        <v>0</v>
      </c>
      <c r="AJ2643" s="1"/>
      <c r="AK2643" s="9"/>
      <c r="AL2643" s="9">
        <f t="shared" si="263"/>
        <v>1</v>
      </c>
    </row>
    <row r="2644" spans="1:38" ht="15" x14ac:dyDescent="0.25">
      <c r="A2644" s="1" t="s">
        <v>8213</v>
      </c>
      <c r="B2644" s="1" t="s">
        <v>8214</v>
      </c>
      <c r="C2644" s="1" t="s">
        <v>239</v>
      </c>
      <c r="D2644" s="1" t="s">
        <v>239</v>
      </c>
      <c r="E2644" s="6">
        <v>1007.79</v>
      </c>
      <c r="F2644" s="1" t="s">
        <v>40</v>
      </c>
      <c r="G2644" s="6">
        <f ca="1">IFERROR(__xludf.DUMMYFUNCTION("iferror(GOOGLEFINANCE(TRIM(F2644)&amp;"":"" &amp; TRIM(B2644), ""price""),0
)"),183)</f>
        <v>183</v>
      </c>
      <c r="H2644" s="6">
        <v>222.82</v>
      </c>
      <c r="I2644" s="6">
        <f t="shared" ca="1" si="0"/>
        <v>183</v>
      </c>
      <c r="J2644" s="6">
        <f ca="1">IFERROR(__xludf.DUMMYFUNCTION("IFERROR(GOOGLEFINANCE(B2644, ""volume""), 0)"),147360)</f>
        <v>147360</v>
      </c>
      <c r="K2644" s="6">
        <v>0.67</v>
      </c>
      <c r="L2644" s="6">
        <f ca="1">IFERROR(__xludf.DUMMYFUNCTION("IFERROR(GOOGLEFINANCE(B2644,""changepct""),K2644)"),-1.65)</f>
        <v>-1.65</v>
      </c>
      <c r="M2644" s="6">
        <f ca="1">IFERROR(__xludf.DUMMYFUNCTION("IFERROR(GOOGLEFINANCE(B2644,""change""),0)"),-3.07)</f>
        <v>-3.07</v>
      </c>
      <c r="N2644" s="6">
        <v>2</v>
      </c>
      <c r="O2644" s="7">
        <v>45536</v>
      </c>
      <c r="P2644" s="6">
        <v>243.7</v>
      </c>
      <c r="Q2644" s="6">
        <v>1220.1199999999999</v>
      </c>
      <c r="R2644" s="7">
        <v>45536</v>
      </c>
      <c r="S2644" s="6">
        <v>1685.23</v>
      </c>
      <c r="T2644" s="6">
        <v>63.88</v>
      </c>
      <c r="U2644" s="7">
        <v>45536</v>
      </c>
      <c r="V2644" s="6">
        <v>15.78</v>
      </c>
      <c r="W2644" s="6">
        <f ca="1">IFERROR(__xludf.DUMMYFUNCTION("IFERROR(GOOGLEFINANCE(B2644,""pe""),V2644)"),16.53)</f>
        <v>16.53</v>
      </c>
      <c r="X2644" s="9"/>
      <c r="Y2644" s="6">
        <v>1.18</v>
      </c>
      <c r="Z2644" s="6">
        <v>2</v>
      </c>
      <c r="AA2644" s="8">
        <v>45352</v>
      </c>
      <c r="AB2644" s="4">
        <v>0.23</v>
      </c>
      <c r="AC2644" s="6">
        <v>11.52</v>
      </c>
      <c r="AD2644" s="6">
        <v>16.399999999999999</v>
      </c>
      <c r="AE2644" s="1">
        <v>0</v>
      </c>
      <c r="AF2644" s="1">
        <f ca="1">IFERROR(__xludf.DUMMYFUNCTION("IFERROR(GOOGLEFINANCE(TRIM(F2644)&amp;"":"" &amp; TRIM(B2644),""high52""),AE2644)"),239.39)</f>
        <v>239.39</v>
      </c>
      <c r="AG2644" s="1">
        <v>0</v>
      </c>
      <c r="AH2644" s="1">
        <f ca="1">IFERROR(__xludf.DUMMYFUNCTION("IFERROR(GOOGLEFINANCE(TRIM(F2644)&amp;"":"" &amp; TRIM(B2644),""low52""),AE2644)"),179.21)</f>
        <v>179.21</v>
      </c>
      <c r="AI2644" s="1">
        <f ca="1">IFERROR(__xludf.DUMMYFUNCTION("IFERROR(GOOGLEFINANCE(B2644,""eps""),0)"),11.07)</f>
        <v>11.07</v>
      </c>
      <c r="AJ2644" s="1"/>
      <c r="AK2644" s="1" t="s">
        <v>8215</v>
      </c>
      <c r="AL2644" s="1" t="b">
        <f>ISNUMBER(AA2644)</f>
        <v>1</v>
      </c>
    </row>
    <row r="2645" spans="1:38" ht="15" x14ac:dyDescent="0.25">
      <c r="A2645" s="1" t="s">
        <v>8216</v>
      </c>
      <c r="B2645" s="1" t="s">
        <v>8217</v>
      </c>
      <c r="C2645" s="1" t="s">
        <v>57</v>
      </c>
      <c r="D2645" s="1" t="s">
        <v>57</v>
      </c>
      <c r="E2645" s="6">
        <v>77.87</v>
      </c>
      <c r="F2645" s="1" t="s">
        <v>53</v>
      </c>
      <c r="G2645" s="6">
        <f ca="1">IFERROR(__xludf.DUMMYFUNCTION("iferror(GOOGLEFINANCE(TRIM(F2645)&amp;"":"" &amp; TRIM(B2645), ""price""),0
)"),0)</f>
        <v>0</v>
      </c>
      <c r="H2645" s="6">
        <v>50.9</v>
      </c>
      <c r="I2645" s="6">
        <f t="shared" ca="1" si="0"/>
        <v>50.9</v>
      </c>
      <c r="J2645" s="6">
        <f ca="1">IFERROR(__xludf.DUMMYFUNCTION("IFERROR(GOOGLEFINANCE(B2645, ""volume""), 0)"),0)</f>
        <v>0</v>
      </c>
      <c r="K2645" s="6">
        <v>3.5</v>
      </c>
      <c r="L2645" s="6">
        <f ca="1">IFERROR(__xludf.DUMMYFUNCTION("IFERROR(GOOGLEFINANCE(B2645,""changepct""),K2645)"),3.5)</f>
        <v>3.5</v>
      </c>
      <c r="M2645" s="6">
        <f ca="1">IFERROR(__xludf.DUMMYFUNCTION("IFERROR(GOOGLEFINANCE(B2645,""change""),0)"),0)</f>
        <v>0</v>
      </c>
      <c r="N2645" s="6">
        <v>2</v>
      </c>
      <c r="O2645" s="7">
        <v>45536</v>
      </c>
      <c r="P2645" s="6">
        <v>10.130000000000001</v>
      </c>
      <c r="Q2645" s="6">
        <v>88</v>
      </c>
      <c r="R2645" s="7">
        <v>45536</v>
      </c>
      <c r="S2645" s="6">
        <v>45.48</v>
      </c>
      <c r="T2645" s="6">
        <v>0.06</v>
      </c>
      <c r="U2645" s="7">
        <v>45536</v>
      </c>
      <c r="V2645" s="6">
        <v>654.38</v>
      </c>
      <c r="W2645" s="6">
        <f ca="1">IFERROR(__xludf.DUMMYFUNCTION("IFERROR(GOOGLEFINANCE(B2645,""pe""),V2645)"),654.38)</f>
        <v>654.38</v>
      </c>
      <c r="X2645" s="9"/>
      <c r="Y2645" s="6">
        <v>1.54</v>
      </c>
      <c r="Z2645" s="6">
        <v>2</v>
      </c>
      <c r="AA2645" s="8">
        <v>45352</v>
      </c>
      <c r="AB2645" s="4">
        <v>0.25</v>
      </c>
      <c r="AC2645" s="6">
        <v>-3.01</v>
      </c>
      <c r="AD2645" s="6">
        <v>-1.03</v>
      </c>
      <c r="AE2645" s="1">
        <v>0</v>
      </c>
      <c r="AF2645" s="1">
        <f ca="1">IFERROR(__xludf.DUMMYFUNCTION("IFERROR(GOOGLEFINANCE(TRIM(F2645)&amp;"":"" &amp; TRIM(B2645),""high52""),AE2645)"),0)</f>
        <v>0</v>
      </c>
      <c r="AG2645" s="1">
        <v>0</v>
      </c>
      <c r="AH2645" s="1">
        <f ca="1">IFERROR(__xludf.DUMMYFUNCTION("IFERROR(GOOGLEFINANCE(TRIM(F2645)&amp;"":"" &amp; TRIM(B2645),""low52""),AE2645)"),0)</f>
        <v>0</v>
      </c>
      <c r="AI2645" s="1">
        <f ca="1">IFERROR(__xludf.DUMMYFUNCTION("IFERROR(GOOGLEFINANCE(B2645,""eps""),0)"),0)</f>
        <v>0</v>
      </c>
      <c r="AJ2645" s="1"/>
      <c r="AK2645" s="1" t="s">
        <v>8218</v>
      </c>
      <c r="AL2645" s="9">
        <f t="shared" ref="AL2645:AL2648" si="264">IF(AA2645&lt;&gt;AB2645,1,0)</f>
        <v>1</v>
      </c>
    </row>
    <row r="2646" spans="1:38" ht="15" x14ac:dyDescent="0.25">
      <c r="A2646" s="1" t="s">
        <v>8219</v>
      </c>
      <c r="B2646" s="1" t="s">
        <v>8220</v>
      </c>
      <c r="C2646" s="1" t="s">
        <v>57</v>
      </c>
      <c r="D2646" s="1" t="s">
        <v>57</v>
      </c>
      <c r="E2646" s="6">
        <v>13.79</v>
      </c>
      <c r="F2646" s="1" t="s">
        <v>53</v>
      </c>
      <c r="G2646" s="6">
        <f ca="1">IFERROR(__xludf.DUMMYFUNCTION("iferror(GOOGLEFINANCE(TRIM(F2646)&amp;"":"" &amp; TRIM(B2646), ""price""),0
)"),0)</f>
        <v>0</v>
      </c>
      <c r="H2646" s="6">
        <v>2.94</v>
      </c>
      <c r="I2646" s="6">
        <f t="shared" ca="1" si="0"/>
        <v>2.94</v>
      </c>
      <c r="J2646" s="6">
        <f ca="1">IFERROR(__xludf.DUMMYFUNCTION("IFERROR(GOOGLEFINANCE(B2646, ""volume""), 0)"),0)</f>
        <v>0</v>
      </c>
      <c r="K2646" s="6">
        <v>1.73</v>
      </c>
      <c r="L2646" s="6">
        <f ca="1">IFERROR(__xludf.DUMMYFUNCTION("IFERROR(GOOGLEFINANCE(B2646,""changepct""),K2646)"),1.73)</f>
        <v>1.73</v>
      </c>
      <c r="M2646" s="6">
        <f ca="1">IFERROR(__xludf.DUMMYFUNCTION("IFERROR(GOOGLEFINANCE(B2646,""change""),0)"),0)</f>
        <v>0</v>
      </c>
      <c r="N2646" s="6">
        <v>1</v>
      </c>
      <c r="O2646" s="7">
        <v>45536</v>
      </c>
      <c r="P2646" s="9"/>
      <c r="Q2646" s="6">
        <v>13.79</v>
      </c>
      <c r="R2646" s="7">
        <v>45536</v>
      </c>
      <c r="S2646" s="6">
        <v>0.2</v>
      </c>
      <c r="T2646" s="6">
        <v>-0.02</v>
      </c>
      <c r="U2646" s="7">
        <v>45536</v>
      </c>
      <c r="V2646" s="6">
        <v>0</v>
      </c>
      <c r="W2646" s="6">
        <f ca="1">IFERROR(__xludf.DUMMYFUNCTION("IFERROR(GOOGLEFINANCE(B2646,""pe""),V2646)"),0)</f>
        <v>0</v>
      </c>
      <c r="X2646" s="9"/>
      <c r="Y2646" s="6">
        <v>21.3</v>
      </c>
      <c r="Z2646" s="6">
        <v>1</v>
      </c>
      <c r="AA2646" s="8">
        <v>45352</v>
      </c>
      <c r="AB2646" s="4">
        <v>0</v>
      </c>
      <c r="AC2646" s="6">
        <v>-4.58</v>
      </c>
      <c r="AD2646" s="6">
        <v>-4.51</v>
      </c>
      <c r="AE2646" s="1">
        <v>0</v>
      </c>
      <c r="AF2646" s="1">
        <f ca="1">IFERROR(__xludf.DUMMYFUNCTION("IFERROR(GOOGLEFINANCE(TRIM(F2646)&amp;"":"" &amp; TRIM(B2646),""high52""),AE2646)"),0)</f>
        <v>0</v>
      </c>
      <c r="AG2646" s="1">
        <v>0</v>
      </c>
      <c r="AH2646" s="1">
        <f ca="1">IFERROR(__xludf.DUMMYFUNCTION("IFERROR(GOOGLEFINANCE(TRIM(F2646)&amp;"":"" &amp; TRIM(B2646),""low52""),AE2646)"),0)</f>
        <v>0</v>
      </c>
      <c r="AI2646" s="1">
        <f ca="1">IFERROR(__xludf.DUMMYFUNCTION("IFERROR(GOOGLEFINANCE(B2646,""eps""),0)"),0)</f>
        <v>0</v>
      </c>
      <c r="AJ2646" s="1"/>
      <c r="AK2646" s="1" t="s">
        <v>8221</v>
      </c>
      <c r="AL2646" s="9">
        <f t="shared" si="264"/>
        <v>1</v>
      </c>
    </row>
    <row r="2647" spans="1:38" ht="15" x14ac:dyDescent="0.25">
      <c r="A2647" s="1" t="s">
        <v>8222</v>
      </c>
      <c r="B2647" s="1" t="s">
        <v>8223</v>
      </c>
      <c r="C2647" s="1" t="s">
        <v>57</v>
      </c>
      <c r="D2647" s="1" t="s">
        <v>57</v>
      </c>
      <c r="E2647" s="6">
        <v>55.28</v>
      </c>
      <c r="F2647" s="1" t="s">
        <v>53</v>
      </c>
      <c r="G2647" s="6">
        <f ca="1">IFERROR(__xludf.DUMMYFUNCTION("iferror(GOOGLEFINANCE(TRIM(F2647)&amp;"":"" &amp; TRIM(B2647), ""price""),0
)"),0)</f>
        <v>0</v>
      </c>
      <c r="H2647" s="6">
        <v>16.86</v>
      </c>
      <c r="I2647" s="6">
        <f t="shared" ca="1" si="0"/>
        <v>16.86</v>
      </c>
      <c r="J2647" s="6">
        <f ca="1">IFERROR(__xludf.DUMMYFUNCTION("IFERROR(GOOGLEFINANCE(B2647, ""volume""), 0)"),0)</f>
        <v>0</v>
      </c>
      <c r="K2647" s="6">
        <v>4.9800000000000004</v>
      </c>
      <c r="L2647" s="6">
        <f ca="1">IFERROR(__xludf.DUMMYFUNCTION("IFERROR(GOOGLEFINANCE(B2647,""changepct""),K2647)"),4.98)</f>
        <v>4.9800000000000004</v>
      </c>
      <c r="M2647" s="6">
        <f ca="1">IFERROR(__xludf.DUMMYFUNCTION("IFERROR(GOOGLEFINANCE(B2647,""change""),0)"),0)</f>
        <v>0</v>
      </c>
      <c r="N2647" s="6">
        <v>2</v>
      </c>
      <c r="O2647" s="7">
        <v>45536</v>
      </c>
      <c r="P2647" s="6">
        <v>15.91</v>
      </c>
      <c r="Q2647" s="6">
        <v>66.13</v>
      </c>
      <c r="R2647" s="7">
        <v>45536</v>
      </c>
      <c r="S2647" s="6">
        <v>7.56</v>
      </c>
      <c r="T2647" s="6">
        <v>-2.5099999999999998</v>
      </c>
      <c r="U2647" s="7">
        <v>45536</v>
      </c>
      <c r="V2647" s="6">
        <v>0</v>
      </c>
      <c r="W2647" s="6">
        <f ca="1">IFERROR(__xludf.DUMMYFUNCTION("IFERROR(GOOGLEFINANCE(B2647,""pe""),V2647)"),0)</f>
        <v>0</v>
      </c>
      <c r="X2647" s="6">
        <v>0</v>
      </c>
      <c r="Y2647" s="6">
        <v>-82.53</v>
      </c>
      <c r="Z2647" s="6">
        <v>2</v>
      </c>
      <c r="AA2647" s="8">
        <v>45352</v>
      </c>
      <c r="AB2647" s="4">
        <v>-2.0099999999999998</v>
      </c>
      <c r="AC2647" s="6">
        <v>0</v>
      </c>
      <c r="AD2647" s="6">
        <v>-10.050000000000001</v>
      </c>
      <c r="AE2647" s="1">
        <v>0</v>
      </c>
      <c r="AF2647" s="1">
        <f ca="1">IFERROR(__xludf.DUMMYFUNCTION("IFERROR(GOOGLEFINANCE(TRIM(F2647)&amp;"":"" &amp; TRIM(B2647),""high52""),AE2647)"),0)</f>
        <v>0</v>
      </c>
      <c r="AG2647" s="1">
        <v>0</v>
      </c>
      <c r="AH2647" s="1">
        <f ca="1">IFERROR(__xludf.DUMMYFUNCTION("IFERROR(GOOGLEFINANCE(TRIM(F2647)&amp;"":"" &amp; TRIM(B2647),""low52""),AE2647)"),0)</f>
        <v>0</v>
      </c>
      <c r="AI2647" s="1">
        <f ca="1">IFERROR(__xludf.DUMMYFUNCTION("IFERROR(GOOGLEFINANCE(B2647,""eps""),0)"),0)</f>
        <v>0</v>
      </c>
      <c r="AJ2647" s="1"/>
      <c r="AK2647" s="1" t="s">
        <v>8224</v>
      </c>
      <c r="AL2647" s="9">
        <f t="shared" si="264"/>
        <v>1</v>
      </c>
    </row>
    <row r="2648" spans="1:38" ht="15" x14ac:dyDescent="0.25">
      <c r="A2648" s="1" t="s">
        <v>8225</v>
      </c>
      <c r="B2648" s="1" t="s">
        <v>8226</v>
      </c>
      <c r="C2648" s="1" t="s">
        <v>1682</v>
      </c>
      <c r="D2648" s="1" t="s">
        <v>1682</v>
      </c>
      <c r="E2648" s="6">
        <v>356.92</v>
      </c>
      <c r="F2648" s="1" t="s">
        <v>40</v>
      </c>
      <c r="G2648" s="6">
        <f ca="1">IFERROR(__xludf.DUMMYFUNCTION("iferror(GOOGLEFINANCE(TRIM(F2648)&amp;"":"" &amp; TRIM(B2648), ""price""),0
)"),94.5)</f>
        <v>94.5</v>
      </c>
      <c r="H2648" s="6">
        <v>108.79</v>
      </c>
      <c r="I2648" s="6">
        <f t="shared" ca="1" si="0"/>
        <v>94.5</v>
      </c>
      <c r="J2648" s="6">
        <f ca="1">IFERROR(__xludf.DUMMYFUNCTION("IFERROR(GOOGLEFINANCE(B2648, ""volume""), 0)"),15344)</f>
        <v>15344</v>
      </c>
      <c r="K2648" s="6">
        <v>3.06</v>
      </c>
      <c r="L2648" s="6">
        <f ca="1">IFERROR(__xludf.DUMMYFUNCTION("IFERROR(GOOGLEFINANCE(B2648,""changepct""),K2648)"),2.96)</f>
        <v>2.96</v>
      </c>
      <c r="M2648" s="6">
        <f ca="1">IFERROR(__xludf.DUMMYFUNCTION("IFERROR(GOOGLEFINANCE(B2648,""change""),0)"),2.72)</f>
        <v>2.72</v>
      </c>
      <c r="N2648" s="6">
        <v>1</v>
      </c>
      <c r="O2648" s="7">
        <v>45536</v>
      </c>
      <c r="P2648" s="9"/>
      <c r="Q2648" s="6">
        <v>356.92</v>
      </c>
      <c r="R2648" s="7">
        <v>45536</v>
      </c>
      <c r="S2648" s="6">
        <v>0</v>
      </c>
      <c r="T2648" s="6">
        <v>1.07</v>
      </c>
      <c r="U2648" s="7">
        <v>45536</v>
      </c>
      <c r="V2648" s="6">
        <v>334.19</v>
      </c>
      <c r="W2648" s="6">
        <f ca="1">IFERROR(__xludf.DUMMYFUNCTION("IFERROR(GOOGLEFINANCE(B2648,""pe""),V2648)"),334.19)</f>
        <v>334.19</v>
      </c>
      <c r="X2648" s="6">
        <v>21.9</v>
      </c>
      <c r="Y2648" s="6">
        <v>5.97</v>
      </c>
      <c r="Z2648" s="6">
        <v>1</v>
      </c>
      <c r="AA2648" s="8">
        <v>45352</v>
      </c>
      <c r="AB2648" s="4">
        <v>0</v>
      </c>
      <c r="AC2648" s="6">
        <v>2.4700000000000002</v>
      </c>
      <c r="AD2648" s="6">
        <v>2.76</v>
      </c>
      <c r="AE2648" s="1">
        <v>0</v>
      </c>
      <c r="AF2648" s="1">
        <f ca="1">IFERROR(__xludf.DUMMYFUNCTION("IFERROR(GOOGLEFINANCE(TRIM(F2648)&amp;"":"" &amp; TRIM(B2648),""high52""),AE2648)"),112.25)</f>
        <v>112.25</v>
      </c>
      <c r="AG2648" s="1">
        <v>0</v>
      </c>
      <c r="AH2648" s="1">
        <f ca="1">IFERROR(__xludf.DUMMYFUNCTION("IFERROR(GOOGLEFINANCE(TRIM(F2648)&amp;"":"" &amp; TRIM(B2648),""low52""),AE2648)"),48.94)</f>
        <v>48.94</v>
      </c>
      <c r="AI2648" s="1">
        <f ca="1">IFERROR(__xludf.DUMMYFUNCTION("IFERROR(GOOGLEFINANCE(B2648,""eps""),0)"),-145.91)</f>
        <v>-145.91</v>
      </c>
      <c r="AJ2648" s="1"/>
      <c r="AK2648" s="1" t="s">
        <v>8227</v>
      </c>
      <c r="AL2648" s="9">
        <f t="shared" si="264"/>
        <v>1</v>
      </c>
    </row>
    <row r="2649" spans="1:38" ht="15" x14ac:dyDescent="0.25">
      <c r="A2649" s="1" t="s">
        <v>8228</v>
      </c>
      <c r="B2649" s="1" t="s">
        <v>8229</v>
      </c>
      <c r="C2649" s="1" t="s">
        <v>355</v>
      </c>
      <c r="D2649" s="1" t="s">
        <v>355</v>
      </c>
      <c r="E2649" s="6">
        <v>1840.03</v>
      </c>
      <c r="F2649" s="1" t="s">
        <v>40</v>
      </c>
      <c r="G2649" s="6">
        <f ca="1">IFERROR(__xludf.DUMMYFUNCTION("iferror(GOOGLEFINANCE(TRIM(F2649)&amp;"":"" &amp; TRIM(B2649), ""price""),0
)"),685)</f>
        <v>685</v>
      </c>
      <c r="H2649" s="6">
        <v>798.4</v>
      </c>
      <c r="I2649" s="6">
        <f t="shared" ca="1" si="0"/>
        <v>685</v>
      </c>
      <c r="J2649" s="6">
        <f ca="1">IFERROR(__xludf.DUMMYFUNCTION("IFERROR(GOOGLEFINANCE(B2649, ""volume""), 0)"),19933)</f>
        <v>19933</v>
      </c>
      <c r="K2649" s="6">
        <v>3.16</v>
      </c>
      <c r="L2649" s="6">
        <f ca="1">IFERROR(__xludf.DUMMYFUNCTION("IFERROR(GOOGLEFINANCE(B2649,""changepct""),K2649)"),1.33)</f>
        <v>1.33</v>
      </c>
      <c r="M2649" s="6">
        <f ca="1">IFERROR(__xludf.DUMMYFUNCTION("IFERROR(GOOGLEFINANCE(B2649,""change""),0)"),9)</f>
        <v>9</v>
      </c>
      <c r="N2649" s="6">
        <v>2</v>
      </c>
      <c r="O2649" s="7">
        <v>45536</v>
      </c>
      <c r="P2649" s="6">
        <v>1.62</v>
      </c>
      <c r="Q2649" s="6">
        <v>1820</v>
      </c>
      <c r="R2649" s="7">
        <v>45536</v>
      </c>
      <c r="S2649" s="6">
        <v>661.85</v>
      </c>
      <c r="T2649" s="6">
        <v>35.840000000000003</v>
      </c>
      <c r="U2649" s="7">
        <v>45536</v>
      </c>
      <c r="V2649" s="6">
        <v>42.17</v>
      </c>
      <c r="W2649" s="6">
        <f ca="1">IFERROR(__xludf.DUMMYFUNCTION("IFERROR(GOOGLEFINANCE(B2649,""pe""),V2649)"),27.98)</f>
        <v>27.98</v>
      </c>
      <c r="X2649" s="9"/>
      <c r="Y2649" s="6">
        <v>6.75</v>
      </c>
      <c r="Z2649" s="6">
        <v>2</v>
      </c>
      <c r="AA2649" s="8">
        <v>45352</v>
      </c>
      <c r="AB2649" s="4">
        <v>0.01</v>
      </c>
      <c r="AC2649" s="6">
        <v>16.420000000000002</v>
      </c>
      <c r="AD2649" s="6">
        <v>22.02</v>
      </c>
      <c r="AE2649" s="1">
        <v>0</v>
      </c>
      <c r="AF2649" s="1">
        <f ca="1">IFERROR(__xludf.DUMMYFUNCTION("IFERROR(GOOGLEFINANCE(TRIM(F2649)&amp;"":"" &amp; TRIM(B2649),""high52""),AE2649)"),1220)</f>
        <v>1220</v>
      </c>
      <c r="AG2649" s="1">
        <v>0</v>
      </c>
      <c r="AH2649" s="1">
        <f ca="1">IFERROR(__xludf.DUMMYFUNCTION("IFERROR(GOOGLEFINANCE(TRIM(F2649)&amp;"":"" &amp; TRIM(B2649),""low52""),AE2649)"),551)</f>
        <v>551</v>
      </c>
      <c r="AI2649" s="1">
        <f ca="1">IFERROR(__xludf.DUMMYFUNCTION("IFERROR(GOOGLEFINANCE(B2649,""eps""),0)"),24.48)</f>
        <v>24.48</v>
      </c>
      <c r="AJ2649" s="1"/>
      <c r="AK2649" s="1" t="s">
        <v>8230</v>
      </c>
      <c r="AL2649" s="1" t="b">
        <f>ISNUMBER(AA2649)</f>
        <v>1</v>
      </c>
    </row>
    <row r="2650" spans="1:38" ht="15" x14ac:dyDescent="0.25">
      <c r="A2650" s="1" t="s">
        <v>8231</v>
      </c>
      <c r="B2650" s="1" t="s">
        <v>8232</v>
      </c>
      <c r="C2650" s="1" t="s">
        <v>106</v>
      </c>
      <c r="D2650" s="1" t="s">
        <v>106</v>
      </c>
      <c r="E2650" s="6">
        <v>909.83</v>
      </c>
      <c r="F2650" s="1" t="s">
        <v>40</v>
      </c>
      <c r="G2650" s="6">
        <f ca="1">IFERROR(__xludf.DUMMYFUNCTION("iferror(GOOGLEFINANCE(TRIM(F2650)&amp;"":"" &amp; TRIM(B2650), ""price""),0
)"),13.94)</f>
        <v>13.94</v>
      </c>
      <c r="H2650" s="6">
        <v>41.35</v>
      </c>
      <c r="I2650" s="6">
        <f t="shared" ca="1" si="0"/>
        <v>13.94</v>
      </c>
      <c r="J2650" s="6">
        <f ca="1">IFERROR(__xludf.DUMMYFUNCTION("IFERROR(GOOGLEFINANCE(B2650, ""volume""), 0)"),250349)</f>
        <v>250349</v>
      </c>
      <c r="K2650" s="6">
        <v>2</v>
      </c>
      <c r="L2650" s="6">
        <f ca="1">IFERROR(__xludf.DUMMYFUNCTION("IFERROR(GOOGLEFINANCE(B2650,""changepct""),K2650)"),4.5)</f>
        <v>4.5</v>
      </c>
      <c r="M2650" s="6">
        <f ca="1">IFERROR(__xludf.DUMMYFUNCTION("IFERROR(GOOGLEFINANCE(B2650,""change""),0)"),0.6)</f>
        <v>0.6</v>
      </c>
      <c r="N2650" s="6">
        <v>2</v>
      </c>
      <c r="O2650" s="7">
        <v>45536</v>
      </c>
      <c r="P2650" s="6">
        <v>629.12</v>
      </c>
      <c r="Q2650" s="6">
        <v>1538.94</v>
      </c>
      <c r="R2650" s="7">
        <v>45536</v>
      </c>
      <c r="S2650" s="6">
        <v>1680.94</v>
      </c>
      <c r="T2650" s="6">
        <v>10.72</v>
      </c>
      <c r="U2650" s="7">
        <v>45536</v>
      </c>
      <c r="V2650" s="6">
        <v>84.82</v>
      </c>
      <c r="W2650" s="6">
        <f ca="1">IFERROR(__xludf.DUMMYFUNCTION("IFERROR(GOOGLEFINANCE(B2650,""pe""),V2650)"),84.82)</f>
        <v>84.82</v>
      </c>
      <c r="X2650" s="6">
        <v>-2.34</v>
      </c>
      <c r="Y2650" s="6">
        <v>0.84</v>
      </c>
      <c r="Z2650" s="6">
        <v>2</v>
      </c>
      <c r="AA2650" s="8">
        <v>45352</v>
      </c>
      <c r="AB2650" s="4">
        <v>0.59</v>
      </c>
      <c r="AC2650" s="6">
        <v>0.47</v>
      </c>
      <c r="AD2650" s="6">
        <v>6.54</v>
      </c>
      <c r="AE2650" s="1">
        <v>0</v>
      </c>
      <c r="AF2650" s="1">
        <f ca="1">IFERROR(__xludf.DUMMYFUNCTION("IFERROR(GOOGLEFINANCE(TRIM(F2650)&amp;"":"" &amp; TRIM(B2650),""high52""),AE2650)"),38.9)</f>
        <v>38.9</v>
      </c>
      <c r="AG2650" s="1">
        <v>0</v>
      </c>
      <c r="AH2650" s="1">
        <f ca="1">IFERROR(__xludf.DUMMYFUNCTION("IFERROR(GOOGLEFINANCE(TRIM(F2650)&amp;"":"" &amp; TRIM(B2650),""low52""),AE2650)"),13.05)</f>
        <v>13.05</v>
      </c>
      <c r="AI2650" s="1">
        <f ca="1">IFERROR(__xludf.DUMMYFUNCTION("IFERROR(GOOGLEFINANCE(B2650,""eps""),0)"),-15.87)</f>
        <v>-15.87</v>
      </c>
      <c r="AJ2650" s="1"/>
      <c r="AK2650" s="1" t="s">
        <v>8233</v>
      </c>
      <c r="AL2650" s="9">
        <f t="shared" ref="AL2650:AL2652" si="265">IF(AA2650&lt;&gt;AB2650,1,0)</f>
        <v>1</v>
      </c>
    </row>
    <row r="2651" spans="1:38" ht="15" x14ac:dyDescent="0.25">
      <c r="A2651" s="1" t="s">
        <v>8234</v>
      </c>
      <c r="B2651" s="1" t="s">
        <v>8235</v>
      </c>
      <c r="C2651" s="1" t="s">
        <v>186</v>
      </c>
      <c r="D2651" s="1" t="s">
        <v>186</v>
      </c>
      <c r="E2651" s="6">
        <v>116.35</v>
      </c>
      <c r="F2651" s="1" t="s">
        <v>40</v>
      </c>
      <c r="G2651" s="6">
        <f ca="1">IFERROR(__xludf.DUMMYFUNCTION("iferror(GOOGLEFINANCE(TRIM(F2651)&amp;"":"" &amp; TRIM(B2651), ""price""),0
)"),0)</f>
        <v>0</v>
      </c>
      <c r="H2651" s="6">
        <v>55</v>
      </c>
      <c r="I2651" s="6">
        <f t="shared" ca="1" si="0"/>
        <v>55</v>
      </c>
      <c r="J2651" s="6">
        <f ca="1">IFERROR(__xludf.DUMMYFUNCTION("IFERROR(GOOGLEFINANCE(B2651, ""volume""), 0)"),0)</f>
        <v>0</v>
      </c>
      <c r="K2651" s="6">
        <v>-4.43</v>
      </c>
      <c r="L2651" s="6">
        <f ca="1">IFERROR(__xludf.DUMMYFUNCTION("IFERROR(GOOGLEFINANCE(B2651,""changepct""),K2651)"),-4.43)</f>
        <v>-4.43</v>
      </c>
      <c r="M2651" s="6">
        <f ca="1">IFERROR(__xludf.DUMMYFUNCTION("IFERROR(GOOGLEFINANCE(B2651,""change""),0)"),0)</f>
        <v>0</v>
      </c>
      <c r="N2651" s="6">
        <v>1</v>
      </c>
      <c r="O2651" s="7">
        <v>45536</v>
      </c>
      <c r="P2651" s="6">
        <v>82.69</v>
      </c>
      <c r="Q2651" s="6">
        <v>199.04</v>
      </c>
      <c r="R2651" s="14"/>
      <c r="S2651" s="9"/>
      <c r="T2651" s="9"/>
      <c r="U2651" s="7">
        <v>45352</v>
      </c>
      <c r="V2651" s="6">
        <v>47.29</v>
      </c>
      <c r="W2651" s="6">
        <f ca="1">IFERROR(__xludf.DUMMYFUNCTION("IFERROR(GOOGLEFINANCE(B2651,""pe""),V2651)"),47.29)</f>
        <v>47.29</v>
      </c>
      <c r="X2651" s="12"/>
      <c r="Y2651" s="6">
        <v>3.19</v>
      </c>
      <c r="Z2651" s="6">
        <v>1</v>
      </c>
      <c r="AA2651" s="8">
        <v>45352</v>
      </c>
      <c r="AB2651" s="4">
        <v>2.97</v>
      </c>
      <c r="AC2651" s="6">
        <v>11.06</v>
      </c>
      <c r="AD2651" s="6">
        <v>9.59</v>
      </c>
      <c r="AE2651" s="1">
        <v>0</v>
      </c>
      <c r="AF2651" s="1">
        <f ca="1">IFERROR(__xludf.DUMMYFUNCTION("IFERROR(GOOGLEFINANCE(TRIM(F2651)&amp;"":"" &amp; TRIM(B2651),""high52""),AE2651)"),0)</f>
        <v>0</v>
      </c>
      <c r="AG2651" s="1">
        <v>0</v>
      </c>
      <c r="AH2651" s="1">
        <f ca="1">IFERROR(__xludf.DUMMYFUNCTION("IFERROR(GOOGLEFINANCE(TRIM(F2651)&amp;"":"" &amp; TRIM(B2651),""low52""),AE2651)"),0)</f>
        <v>0</v>
      </c>
      <c r="AI2651" s="1">
        <f ca="1">IFERROR(__xludf.DUMMYFUNCTION("IFERROR(GOOGLEFINANCE(B2651,""eps""),0)"),0)</f>
        <v>0</v>
      </c>
      <c r="AJ2651" s="1"/>
      <c r="AK2651" s="1" t="s">
        <v>8236</v>
      </c>
      <c r="AL2651" s="9">
        <f t="shared" si="265"/>
        <v>1</v>
      </c>
    </row>
    <row r="2652" spans="1:38" ht="15" x14ac:dyDescent="0.25">
      <c r="A2652" s="1" t="s">
        <v>8237</v>
      </c>
      <c r="B2652" s="1" t="s">
        <v>8238</v>
      </c>
      <c r="C2652" s="1" t="s">
        <v>57</v>
      </c>
      <c r="D2652" s="1" t="s">
        <v>57</v>
      </c>
      <c r="E2652" s="6">
        <v>74.349999999999994</v>
      </c>
      <c r="F2652" s="1" t="s">
        <v>53</v>
      </c>
      <c r="G2652" s="6">
        <f ca="1">IFERROR(__xludf.DUMMYFUNCTION("iferror(GOOGLEFINANCE(TRIM(F2652)&amp;"":"" &amp; TRIM(B2652), ""price""),0
)"),0)</f>
        <v>0</v>
      </c>
      <c r="H2652" s="6">
        <v>14.34</v>
      </c>
      <c r="I2652" s="6">
        <f t="shared" ca="1" si="0"/>
        <v>14.34</v>
      </c>
      <c r="J2652" s="6">
        <f ca="1">IFERROR(__xludf.DUMMYFUNCTION("IFERROR(GOOGLEFINANCE(B2652, ""volume""), 0)"),0)</f>
        <v>0</v>
      </c>
      <c r="K2652" s="6">
        <v>7.58</v>
      </c>
      <c r="L2652" s="6">
        <f ca="1">IFERROR(__xludf.DUMMYFUNCTION("IFERROR(GOOGLEFINANCE(B2652,""changepct""),K2652)"),7.58)</f>
        <v>7.58</v>
      </c>
      <c r="M2652" s="6">
        <f ca="1">IFERROR(__xludf.DUMMYFUNCTION("IFERROR(GOOGLEFINANCE(B2652,""change""),0)"),0)</f>
        <v>0</v>
      </c>
      <c r="N2652" s="6">
        <v>2</v>
      </c>
      <c r="O2652" s="7">
        <v>45536</v>
      </c>
      <c r="P2652" s="6">
        <v>0.08</v>
      </c>
      <c r="Q2652" s="6">
        <v>72.55</v>
      </c>
      <c r="R2652" s="7">
        <v>45536</v>
      </c>
      <c r="S2652" s="6">
        <v>9.18</v>
      </c>
      <c r="T2652" s="6">
        <v>0.06</v>
      </c>
      <c r="U2652" s="7">
        <v>45536</v>
      </c>
      <c r="V2652" s="6">
        <v>0</v>
      </c>
      <c r="W2652" s="6">
        <f ca="1">IFERROR(__xludf.DUMMYFUNCTION("IFERROR(GOOGLEFINANCE(B2652,""pe""),V2652)"),0)</f>
        <v>0</v>
      </c>
      <c r="X2652" s="6">
        <v>0</v>
      </c>
      <c r="Y2652" s="6">
        <v>1.31</v>
      </c>
      <c r="Z2652" s="6">
        <v>2</v>
      </c>
      <c r="AA2652" s="8">
        <v>45352</v>
      </c>
      <c r="AB2652" s="4">
        <v>0</v>
      </c>
      <c r="AC2652" s="6">
        <v>0.89</v>
      </c>
      <c r="AD2652" s="6">
        <v>1.1599999999999999</v>
      </c>
      <c r="AE2652" s="1">
        <v>0</v>
      </c>
      <c r="AF2652" s="1">
        <f ca="1">IFERROR(__xludf.DUMMYFUNCTION("IFERROR(GOOGLEFINANCE(TRIM(F2652)&amp;"":"" &amp; TRIM(B2652),""high52""),AE2652)"),0)</f>
        <v>0</v>
      </c>
      <c r="AG2652" s="1">
        <v>0</v>
      </c>
      <c r="AH2652" s="1">
        <f ca="1">IFERROR(__xludf.DUMMYFUNCTION("IFERROR(GOOGLEFINANCE(TRIM(F2652)&amp;"":"" &amp; TRIM(B2652),""low52""),AE2652)"),0)</f>
        <v>0</v>
      </c>
      <c r="AI2652" s="1">
        <f ca="1">IFERROR(__xludf.DUMMYFUNCTION("IFERROR(GOOGLEFINANCE(B2652,""eps""),0)"),0)</f>
        <v>0</v>
      </c>
      <c r="AJ2652" s="1"/>
      <c r="AK2652" s="1" t="s">
        <v>8239</v>
      </c>
      <c r="AL2652" s="9">
        <f t="shared" si="265"/>
        <v>1</v>
      </c>
    </row>
    <row r="2653" spans="1:38" ht="15" x14ac:dyDescent="0.25">
      <c r="A2653" s="1" t="s">
        <v>8240</v>
      </c>
      <c r="B2653" s="1" t="s">
        <v>8241</v>
      </c>
      <c r="C2653" s="1" t="s">
        <v>521</v>
      </c>
      <c r="D2653" s="1" t="s">
        <v>521</v>
      </c>
      <c r="E2653" s="6">
        <v>1102.31</v>
      </c>
      <c r="F2653" s="1" t="s">
        <v>40</v>
      </c>
      <c r="G2653" s="6">
        <f ca="1">IFERROR(__xludf.DUMMYFUNCTION("iferror(GOOGLEFINANCE(TRIM(F2653)&amp;"":"" &amp; TRIM(B2653), ""price""),0
)"),90.8)</f>
        <v>90.8</v>
      </c>
      <c r="H2653" s="6">
        <v>126.26</v>
      </c>
      <c r="I2653" s="6">
        <f t="shared" ca="1" si="0"/>
        <v>90.8</v>
      </c>
      <c r="J2653" s="6">
        <f ca="1">IFERROR(__xludf.DUMMYFUNCTION("IFERROR(GOOGLEFINANCE(B2653, ""volume""), 0)"),93892)</f>
        <v>93892</v>
      </c>
      <c r="K2653" s="6">
        <v>-0.05</v>
      </c>
      <c r="L2653" s="6">
        <f ca="1">IFERROR(__xludf.DUMMYFUNCTION("IFERROR(GOOGLEFINANCE(B2653,""changepct""),K2653)"),0.79)</f>
        <v>0.79</v>
      </c>
      <c r="M2653" s="6">
        <f ca="1">IFERROR(__xludf.DUMMYFUNCTION("IFERROR(GOOGLEFINANCE(B2653,""change""),0)"),0.71)</f>
        <v>0.71</v>
      </c>
      <c r="N2653" s="6">
        <v>2</v>
      </c>
      <c r="O2653" s="7">
        <v>45536</v>
      </c>
      <c r="P2653" s="6">
        <v>306.36</v>
      </c>
      <c r="Q2653" s="6">
        <v>1344.5</v>
      </c>
      <c r="R2653" s="7">
        <v>45536</v>
      </c>
      <c r="S2653" s="6">
        <v>1246.3499999999999</v>
      </c>
      <c r="T2653" s="6">
        <v>48.37</v>
      </c>
      <c r="U2653" s="7">
        <v>45536</v>
      </c>
      <c r="V2653" s="6">
        <v>22.79</v>
      </c>
      <c r="W2653" s="6">
        <f ca="1">IFERROR(__xludf.DUMMYFUNCTION("IFERROR(GOOGLEFINANCE(B2653,""pe""),V2653)"),21.43)</f>
        <v>21.43</v>
      </c>
      <c r="X2653" s="6">
        <v>23.99</v>
      </c>
      <c r="Y2653" s="6">
        <v>2.0699999999999998</v>
      </c>
      <c r="Z2653" s="6">
        <v>2</v>
      </c>
      <c r="AA2653" s="17">
        <v>45352</v>
      </c>
      <c r="AB2653" s="18">
        <v>0.63</v>
      </c>
      <c r="AC2653" s="6">
        <v>11.02</v>
      </c>
      <c r="AD2653" s="6">
        <v>12.37</v>
      </c>
      <c r="AE2653" s="1">
        <v>0</v>
      </c>
      <c r="AF2653" s="1">
        <f ca="1">IFERROR(__xludf.DUMMYFUNCTION("IFERROR(GOOGLEFINANCE(TRIM(F2653)&amp;"":"" &amp; TRIM(B2653),""high52""),AE2653)"),180.9)</f>
        <v>180.9</v>
      </c>
      <c r="AG2653" s="1">
        <v>0</v>
      </c>
      <c r="AH2653" s="1">
        <f ca="1">IFERROR(__xludf.DUMMYFUNCTION("IFERROR(GOOGLEFINANCE(TRIM(F2653)&amp;"":"" &amp; TRIM(B2653),""low52""),AE2653)"),78.55)</f>
        <v>78.55</v>
      </c>
      <c r="AI2653" s="1">
        <f ca="1">IFERROR(__xludf.DUMMYFUNCTION("IFERROR(GOOGLEFINANCE(B2653,""eps""),0)"),4.24)</f>
        <v>4.24</v>
      </c>
      <c r="AJ2653" s="1"/>
      <c r="AK2653" s="1" t="s">
        <v>8242</v>
      </c>
      <c r="AL2653" s="1" t="b">
        <f>ISNUMBER(AA2653)</f>
        <v>1</v>
      </c>
    </row>
    <row r="2654" spans="1:38" ht="15" x14ac:dyDescent="0.25">
      <c r="A2654" s="1" t="s">
        <v>8243</v>
      </c>
      <c r="B2654" s="1" t="s">
        <v>8244</v>
      </c>
      <c r="C2654" s="1" t="s">
        <v>57</v>
      </c>
      <c r="D2654" s="1" t="s">
        <v>57</v>
      </c>
      <c r="E2654" s="6">
        <v>4291.8</v>
      </c>
      <c r="F2654" s="1" t="s">
        <v>53</v>
      </c>
      <c r="G2654" s="6">
        <f ca="1">IFERROR(__xludf.DUMMYFUNCTION("iferror(GOOGLEFINANCE(TRIM(F2654)&amp;"":"" &amp; TRIM(B2654), ""price""),0
)"),0)</f>
        <v>0</v>
      </c>
      <c r="H2654" s="6">
        <v>73.39</v>
      </c>
      <c r="I2654" s="6">
        <f t="shared" ca="1" si="0"/>
        <v>73.39</v>
      </c>
      <c r="J2654" s="6">
        <f ca="1">IFERROR(__xludf.DUMMYFUNCTION("IFERROR(GOOGLEFINANCE(B2654, ""volume""), 0)"),1651653)</f>
        <v>1651653</v>
      </c>
      <c r="K2654" s="6">
        <v>-7.0000000000000007E-2</v>
      </c>
      <c r="L2654" s="6">
        <f ca="1">IFERROR(__xludf.DUMMYFUNCTION("IFERROR(GOOGLEFINANCE(B2654,""changepct""),K2654)"),0.22)</f>
        <v>0.22</v>
      </c>
      <c r="M2654" s="6">
        <f ca="1">IFERROR(__xludf.DUMMYFUNCTION("IFERROR(GOOGLEFINANCE(B2654,""change""),0)"),0.05)</f>
        <v>0.05</v>
      </c>
      <c r="N2654" s="6">
        <v>2</v>
      </c>
      <c r="O2654" s="7">
        <v>45536</v>
      </c>
      <c r="P2654" s="6">
        <v>219.55</v>
      </c>
      <c r="Q2654" s="6">
        <v>4500.34</v>
      </c>
      <c r="R2654" s="7">
        <v>45536</v>
      </c>
      <c r="S2654" s="6">
        <v>558.05999999999995</v>
      </c>
      <c r="T2654" s="6">
        <v>112.92</v>
      </c>
      <c r="U2654" s="7">
        <v>45536</v>
      </c>
      <c r="V2654" s="6">
        <v>38.15</v>
      </c>
      <c r="W2654" s="6">
        <f ca="1">IFERROR(__xludf.DUMMYFUNCTION("IFERROR(GOOGLEFINANCE(B2654,""pe""),V2654)"),12.53)</f>
        <v>12.53</v>
      </c>
      <c r="X2654" s="6">
        <v>0.56999999999999995</v>
      </c>
      <c r="Y2654" s="6">
        <v>9.4</v>
      </c>
      <c r="Z2654" s="6">
        <v>2</v>
      </c>
      <c r="AA2654" s="8">
        <v>45352</v>
      </c>
      <c r="AB2654" s="4">
        <v>0.63</v>
      </c>
      <c r="AC2654" s="6">
        <v>29.27</v>
      </c>
      <c r="AD2654" s="6">
        <v>28.25</v>
      </c>
      <c r="AE2654" s="1">
        <v>0</v>
      </c>
      <c r="AF2654" s="1">
        <f ca="1">IFERROR(__xludf.DUMMYFUNCTION("IFERROR(GOOGLEFINANCE(TRIM(F2654)&amp;"":"" &amp; TRIM(B2654),""high52""),AE2654)"),0)</f>
        <v>0</v>
      </c>
      <c r="AG2654" s="1">
        <v>0</v>
      </c>
      <c r="AH2654" s="1">
        <f ca="1">IFERROR(__xludf.DUMMYFUNCTION("IFERROR(GOOGLEFINANCE(TRIM(F2654)&amp;"":"" &amp; TRIM(B2654),""low52""),AE2654)"),0)</f>
        <v>0</v>
      </c>
      <c r="AI2654" s="1">
        <f ca="1">IFERROR(__xludf.DUMMYFUNCTION("IFERROR(GOOGLEFINANCE(B2654,""eps""),0)"),1.84)</f>
        <v>1.84</v>
      </c>
      <c r="AJ2654" s="1"/>
      <c r="AK2654" s="1" t="s">
        <v>8245</v>
      </c>
      <c r="AL2654" s="9">
        <f t="shared" ref="AL2654:AL2703" si="266">IF(AA2654&lt;&gt;AB2654,1,0)</f>
        <v>1</v>
      </c>
    </row>
    <row r="2655" spans="1:38" ht="15" x14ac:dyDescent="0.25">
      <c r="A2655" s="1" t="s">
        <v>8246</v>
      </c>
      <c r="B2655" s="1" t="s">
        <v>8247</v>
      </c>
      <c r="C2655" s="1" t="s">
        <v>57</v>
      </c>
      <c r="D2655" s="1" t="s">
        <v>57</v>
      </c>
      <c r="E2655" s="6">
        <v>5.23</v>
      </c>
      <c r="F2655" s="1" t="s">
        <v>53</v>
      </c>
      <c r="G2655" s="6">
        <f ca="1">IFERROR(__xludf.DUMMYFUNCTION("iferror(GOOGLEFINANCE(TRIM(F2655)&amp;"":"" &amp; TRIM(B2655), ""price""),0
)"),0)</f>
        <v>0</v>
      </c>
      <c r="H2655" s="6">
        <v>9.69</v>
      </c>
      <c r="I2655" s="6">
        <f t="shared" ca="1" si="0"/>
        <v>9.69</v>
      </c>
      <c r="J2655" s="6">
        <f ca="1">IFERROR(__xludf.DUMMYFUNCTION("IFERROR(GOOGLEFINANCE(B2655, ""volume""), 0)"),0)</f>
        <v>0</v>
      </c>
      <c r="K2655" s="6">
        <v>2</v>
      </c>
      <c r="L2655" s="6">
        <f ca="1">IFERROR(__xludf.DUMMYFUNCTION("IFERROR(GOOGLEFINANCE(B2655,""changepct""),K2655)"),2)</f>
        <v>2</v>
      </c>
      <c r="M2655" s="6">
        <f ca="1">IFERROR(__xludf.DUMMYFUNCTION("IFERROR(GOOGLEFINANCE(B2655,""change""),0)"),0)</f>
        <v>0</v>
      </c>
      <c r="N2655" s="6">
        <v>1</v>
      </c>
      <c r="O2655" s="7">
        <v>45536</v>
      </c>
      <c r="P2655" s="6">
        <v>1.21</v>
      </c>
      <c r="Q2655" s="6">
        <v>6.44</v>
      </c>
      <c r="R2655" s="7">
        <v>45536</v>
      </c>
      <c r="S2655" s="6">
        <v>4.0199999999999996</v>
      </c>
      <c r="T2655" s="6">
        <v>-0.48</v>
      </c>
      <c r="U2655" s="7">
        <v>45536</v>
      </c>
      <c r="V2655" s="6">
        <v>0</v>
      </c>
      <c r="W2655" s="6">
        <f ca="1">IFERROR(__xludf.DUMMYFUNCTION("IFERROR(GOOGLEFINANCE(B2655,""pe""),V2655)"),0)</f>
        <v>0</v>
      </c>
      <c r="X2655" s="6">
        <v>0</v>
      </c>
      <c r="Y2655" s="6">
        <v>1.27</v>
      </c>
      <c r="Z2655" s="6">
        <v>2</v>
      </c>
      <c r="AA2655" s="8">
        <v>45352</v>
      </c>
      <c r="AB2655" s="4">
        <v>0.44</v>
      </c>
      <c r="AC2655" s="6">
        <v>-9.3800000000000008</v>
      </c>
      <c r="AD2655" s="6">
        <v>-4.4800000000000004</v>
      </c>
      <c r="AE2655" s="1">
        <v>0</v>
      </c>
      <c r="AF2655" s="1">
        <f ca="1">IFERROR(__xludf.DUMMYFUNCTION("IFERROR(GOOGLEFINANCE(TRIM(F2655)&amp;"":"" &amp; TRIM(B2655),""high52""),AE2655)"),0)</f>
        <v>0</v>
      </c>
      <c r="AG2655" s="1">
        <v>0</v>
      </c>
      <c r="AH2655" s="1">
        <f ca="1">IFERROR(__xludf.DUMMYFUNCTION("IFERROR(GOOGLEFINANCE(TRIM(F2655)&amp;"":"" &amp; TRIM(B2655),""low52""),AE2655)"),0)</f>
        <v>0</v>
      </c>
      <c r="AI2655" s="1">
        <f ca="1">IFERROR(__xludf.DUMMYFUNCTION("IFERROR(GOOGLEFINANCE(B2655,""eps""),0)"),0)</f>
        <v>0</v>
      </c>
      <c r="AJ2655" s="1"/>
      <c r="AK2655" s="1" t="s">
        <v>8248</v>
      </c>
      <c r="AL2655" s="9">
        <f t="shared" si="266"/>
        <v>1</v>
      </c>
    </row>
    <row r="2656" spans="1:38" ht="15" x14ac:dyDescent="0.25">
      <c r="A2656" s="1" t="s">
        <v>8249</v>
      </c>
      <c r="B2656" s="1" t="s">
        <v>8250</v>
      </c>
      <c r="C2656" s="1" t="s">
        <v>2185</v>
      </c>
      <c r="D2656" s="1" t="s">
        <v>2185</v>
      </c>
      <c r="E2656" s="6">
        <v>3097.83</v>
      </c>
      <c r="F2656" s="1" t="s">
        <v>40</v>
      </c>
      <c r="G2656" s="6">
        <f ca="1">IFERROR(__xludf.DUMMYFUNCTION("iferror(GOOGLEFINANCE(TRIM(F2656)&amp;"":"" &amp; TRIM(B2656), ""price""),0
)"),640)</f>
        <v>640</v>
      </c>
      <c r="H2656" s="6">
        <v>1363</v>
      </c>
      <c r="I2656" s="6">
        <f t="shared" ca="1" si="0"/>
        <v>640</v>
      </c>
      <c r="J2656" s="6">
        <f ca="1">IFERROR(__xludf.DUMMYFUNCTION("IFERROR(GOOGLEFINANCE(B2656, ""volume""), 0)"),45012)</f>
        <v>45012</v>
      </c>
      <c r="K2656" s="6">
        <v>0.42</v>
      </c>
      <c r="L2656" s="6">
        <f ca="1">IFERROR(__xludf.DUMMYFUNCTION("IFERROR(GOOGLEFINANCE(B2656,""changepct""),K2656)"),1.22)</f>
        <v>1.22</v>
      </c>
      <c r="M2656" s="6">
        <f ca="1">IFERROR(__xludf.DUMMYFUNCTION("IFERROR(GOOGLEFINANCE(B2656,""change""),0)"),7.7)</f>
        <v>7.7</v>
      </c>
      <c r="N2656" s="6">
        <v>2</v>
      </c>
      <c r="O2656" s="7">
        <v>45536</v>
      </c>
      <c r="P2656" s="6">
        <v>29.25</v>
      </c>
      <c r="Q2656" s="6">
        <v>3115.89</v>
      </c>
      <c r="R2656" s="7">
        <v>45536</v>
      </c>
      <c r="S2656" s="6">
        <v>321.48</v>
      </c>
      <c r="T2656" s="6">
        <v>20.14</v>
      </c>
      <c r="U2656" s="7">
        <v>45536</v>
      </c>
      <c r="V2656" s="6">
        <v>148.15</v>
      </c>
      <c r="W2656" s="6">
        <f ca="1">IFERROR(__xludf.DUMMYFUNCTION("IFERROR(GOOGLEFINANCE(B2656,""pe""),V2656)"),148.15)</f>
        <v>148.15</v>
      </c>
      <c r="X2656" s="6">
        <v>122.44</v>
      </c>
      <c r="Y2656" s="6">
        <v>24.39</v>
      </c>
      <c r="Z2656" s="6">
        <v>2</v>
      </c>
      <c r="AA2656" s="8">
        <v>45352</v>
      </c>
      <c r="AB2656" s="4">
        <v>0.27</v>
      </c>
      <c r="AC2656" s="6">
        <v>20.75</v>
      </c>
      <c r="AD2656" s="6">
        <v>27.24</v>
      </c>
      <c r="AE2656" s="1">
        <v>0</v>
      </c>
      <c r="AF2656" s="1">
        <f ca="1">IFERROR(__xludf.DUMMYFUNCTION("IFERROR(GOOGLEFINANCE(TRIM(F2656)&amp;"":"" &amp; TRIM(B2656),""high52""),AE2656)"),1161)</f>
        <v>1161</v>
      </c>
      <c r="AG2656" s="1">
        <v>0</v>
      </c>
      <c r="AH2656" s="1">
        <f ca="1">IFERROR(__xludf.DUMMYFUNCTION("IFERROR(GOOGLEFINANCE(TRIM(F2656)&amp;"":"" &amp; TRIM(B2656),""low52""),AE2656)"),580.15)</f>
        <v>580.15</v>
      </c>
      <c r="AI2656" s="1">
        <f ca="1">IFERROR(__xludf.DUMMYFUNCTION("IFERROR(GOOGLEFINANCE(B2656,""eps""),0)"),-0.81)</f>
        <v>-0.81</v>
      </c>
      <c r="AJ2656" s="1"/>
      <c r="AK2656" s="9"/>
      <c r="AL2656" s="9">
        <f t="shared" si="266"/>
        <v>1</v>
      </c>
    </row>
    <row r="2657" spans="1:38" ht="15" x14ac:dyDescent="0.25">
      <c r="A2657" s="1" t="s">
        <v>8251</v>
      </c>
      <c r="B2657" s="1" t="s">
        <v>8252</v>
      </c>
      <c r="C2657" s="1" t="s">
        <v>135</v>
      </c>
      <c r="D2657" s="1" t="s">
        <v>135</v>
      </c>
      <c r="E2657" s="6">
        <v>5747.38</v>
      </c>
      <c r="F2657" s="1" t="s">
        <v>40</v>
      </c>
      <c r="G2657" s="6">
        <f ca="1">IFERROR(__xludf.DUMMYFUNCTION("iferror(GOOGLEFINANCE(TRIM(F2657)&amp;"":"" &amp; TRIM(B2657), ""price""),0
)"),1263)</f>
        <v>1263</v>
      </c>
      <c r="H2657" s="6">
        <v>2193.15</v>
      </c>
      <c r="I2657" s="6">
        <f t="shared" ca="1" si="0"/>
        <v>1263</v>
      </c>
      <c r="J2657" s="6">
        <f ca="1">IFERROR(__xludf.DUMMYFUNCTION("IFERROR(GOOGLEFINANCE(B2657, ""volume""), 0)"),47143)</f>
        <v>47143</v>
      </c>
      <c r="K2657" s="6">
        <v>0.52</v>
      </c>
      <c r="L2657" s="6">
        <f ca="1">IFERROR(__xludf.DUMMYFUNCTION("IFERROR(GOOGLEFINANCE(B2657,""changepct""),K2657)"),2.17)</f>
        <v>2.17</v>
      </c>
      <c r="M2657" s="6">
        <f ca="1">IFERROR(__xludf.DUMMYFUNCTION("IFERROR(GOOGLEFINANCE(B2657,""change""),0)"),26.8)</f>
        <v>26.8</v>
      </c>
      <c r="N2657" s="6">
        <v>2</v>
      </c>
      <c r="O2657" s="7">
        <v>45536</v>
      </c>
      <c r="P2657" s="6">
        <v>503.27</v>
      </c>
      <c r="Q2657" s="6">
        <v>6250.65</v>
      </c>
      <c r="R2657" s="7">
        <v>45536</v>
      </c>
      <c r="S2657" s="6">
        <v>737.4</v>
      </c>
      <c r="T2657" s="6">
        <v>40.24</v>
      </c>
      <c r="U2657" s="7">
        <v>45536</v>
      </c>
      <c r="V2657" s="6">
        <v>142.19</v>
      </c>
      <c r="W2657" s="6">
        <f ca="1">IFERROR(__xludf.DUMMYFUNCTION("IFERROR(GOOGLEFINANCE(B2657,""pe""),V2657)"),127.79)</f>
        <v>127.79</v>
      </c>
      <c r="X2657" s="6">
        <v>12.67</v>
      </c>
      <c r="Y2657" s="6">
        <v>7.4</v>
      </c>
      <c r="Z2657" s="6">
        <v>2</v>
      </c>
      <c r="AA2657" s="8">
        <v>45352</v>
      </c>
      <c r="AB2657" s="4">
        <v>0.52</v>
      </c>
      <c r="AC2657" s="6">
        <v>5.74</v>
      </c>
      <c r="AD2657" s="6">
        <v>9.49</v>
      </c>
      <c r="AE2657" s="1">
        <v>0</v>
      </c>
      <c r="AF2657" s="1">
        <f ca="1">IFERROR(__xludf.DUMMYFUNCTION("IFERROR(GOOGLEFINANCE(TRIM(F2657)&amp;"":"" &amp; TRIM(B2657),""high52""),AE2657)"),2191)</f>
        <v>2191</v>
      </c>
      <c r="AG2657" s="1">
        <v>0</v>
      </c>
      <c r="AH2657" s="1">
        <f ca="1">IFERROR(__xludf.DUMMYFUNCTION("IFERROR(GOOGLEFINANCE(TRIM(F2657)&amp;"":"" &amp; TRIM(B2657),""low52""),AE2657)"),966.7)</f>
        <v>966.7</v>
      </c>
      <c r="AI2657" s="1">
        <f ca="1">IFERROR(__xludf.DUMMYFUNCTION("IFERROR(GOOGLEFINANCE(B2657,""eps""),0)"),9.88)</f>
        <v>9.8800000000000008</v>
      </c>
      <c r="AJ2657" s="1"/>
      <c r="AK2657" s="1" t="s">
        <v>8253</v>
      </c>
      <c r="AL2657" s="9">
        <f t="shared" si="266"/>
        <v>1</v>
      </c>
    </row>
    <row r="2658" spans="1:38" ht="15" x14ac:dyDescent="0.25">
      <c r="A2658" s="1" t="s">
        <v>8254</v>
      </c>
      <c r="B2658" s="1" t="s">
        <v>8255</v>
      </c>
      <c r="C2658" s="1" t="s">
        <v>57</v>
      </c>
      <c r="D2658" s="1" t="s">
        <v>57</v>
      </c>
      <c r="E2658" s="6">
        <v>63.6</v>
      </c>
      <c r="F2658" s="1" t="s">
        <v>53</v>
      </c>
      <c r="G2658" s="6">
        <f ca="1">IFERROR(__xludf.DUMMYFUNCTION("iferror(GOOGLEFINANCE(TRIM(F2658)&amp;"":"" &amp; TRIM(B2658), ""price""),0
)"),0)</f>
        <v>0</v>
      </c>
      <c r="H2658" s="6">
        <v>200</v>
      </c>
      <c r="I2658" s="6">
        <f t="shared" ca="1" si="0"/>
        <v>200</v>
      </c>
      <c r="J2658" s="6">
        <f ca="1">IFERROR(__xludf.DUMMYFUNCTION("IFERROR(GOOGLEFINANCE(B2658, ""volume""), 0)"),0)</f>
        <v>0</v>
      </c>
      <c r="K2658" s="6">
        <v>-1.23</v>
      </c>
      <c r="L2658" s="6">
        <f ca="1">IFERROR(__xludf.DUMMYFUNCTION("IFERROR(GOOGLEFINANCE(B2658,""changepct""),K2658)"),-1.23)</f>
        <v>-1.23</v>
      </c>
      <c r="M2658" s="6">
        <f ca="1">IFERROR(__xludf.DUMMYFUNCTION("IFERROR(GOOGLEFINANCE(B2658,""change""),0)"),0)</f>
        <v>0</v>
      </c>
      <c r="N2658" s="6">
        <v>2</v>
      </c>
      <c r="O2658" s="7">
        <v>45536</v>
      </c>
      <c r="P2658" s="9"/>
      <c r="Q2658" s="6">
        <v>62.02</v>
      </c>
      <c r="R2658" s="15">
        <v>45536</v>
      </c>
      <c r="S2658" s="6">
        <v>4.4800000000000004</v>
      </c>
      <c r="T2658" s="6">
        <v>0.76</v>
      </c>
      <c r="U2658" s="15">
        <v>45536</v>
      </c>
      <c r="V2658" s="6">
        <v>83.46</v>
      </c>
      <c r="W2658" s="6">
        <f ca="1">IFERROR(__xludf.DUMMYFUNCTION("IFERROR(GOOGLEFINANCE(B2658,""pe""),V2658)"),83.46)</f>
        <v>83.46</v>
      </c>
      <c r="X2658" s="6">
        <v>8.1300000000000008</v>
      </c>
      <c r="Y2658" s="6">
        <v>2.88</v>
      </c>
      <c r="Z2658" s="6">
        <v>2</v>
      </c>
      <c r="AA2658" s="8">
        <v>45352</v>
      </c>
      <c r="AB2658" s="4">
        <v>0</v>
      </c>
      <c r="AC2658" s="6">
        <v>3.18</v>
      </c>
      <c r="AD2658" s="6">
        <v>4.33</v>
      </c>
      <c r="AE2658" s="1">
        <v>0</v>
      </c>
      <c r="AF2658" s="1">
        <f ca="1">IFERROR(__xludf.DUMMYFUNCTION("IFERROR(GOOGLEFINANCE(TRIM(F2658)&amp;"":"" &amp; TRIM(B2658),""high52""),AE2658)"),0)</f>
        <v>0</v>
      </c>
      <c r="AG2658" s="1">
        <v>0</v>
      </c>
      <c r="AH2658" s="1">
        <f ca="1">IFERROR(__xludf.DUMMYFUNCTION("IFERROR(GOOGLEFINANCE(TRIM(F2658)&amp;"":"" &amp; TRIM(B2658),""low52""),AE2658)"),0)</f>
        <v>0</v>
      </c>
      <c r="AI2658" s="1">
        <f ca="1">IFERROR(__xludf.DUMMYFUNCTION("IFERROR(GOOGLEFINANCE(B2658,""eps""),0)"),0)</f>
        <v>0</v>
      </c>
      <c r="AJ2658" s="1"/>
      <c r="AK2658" s="9"/>
      <c r="AL2658" s="9">
        <f t="shared" si="266"/>
        <v>1</v>
      </c>
    </row>
    <row r="2659" spans="1:38" ht="15" x14ac:dyDescent="0.25">
      <c r="A2659" s="1" t="s">
        <v>8256</v>
      </c>
      <c r="B2659" s="1" t="s">
        <v>8257</v>
      </c>
      <c r="C2659" s="1" t="s">
        <v>163</v>
      </c>
      <c r="D2659" s="1" t="s">
        <v>163</v>
      </c>
      <c r="E2659" s="6">
        <v>333.19</v>
      </c>
      <c r="F2659" s="1" t="s">
        <v>40</v>
      </c>
      <c r="G2659" s="6">
        <f ca="1">IFERROR(__xludf.DUMMYFUNCTION("iferror(GOOGLEFINANCE(TRIM(F2659)&amp;"":"" &amp; TRIM(B2659), ""price""),0
)"),0)</f>
        <v>0</v>
      </c>
      <c r="H2659" s="6">
        <v>201.35</v>
      </c>
      <c r="I2659" s="6">
        <f t="shared" ca="1" si="0"/>
        <v>201.35</v>
      </c>
      <c r="J2659" s="6">
        <f ca="1">IFERROR(__xludf.DUMMYFUNCTION("IFERROR(GOOGLEFINANCE(B2659, ""volume""), 0)"),0)</f>
        <v>0</v>
      </c>
      <c r="K2659" s="6">
        <v>-0.37</v>
      </c>
      <c r="L2659" s="6">
        <f ca="1">IFERROR(__xludf.DUMMYFUNCTION("IFERROR(GOOGLEFINANCE(B2659,""changepct""),K2659)"),-0.37)</f>
        <v>-0.37</v>
      </c>
      <c r="M2659" s="6">
        <f ca="1">IFERROR(__xludf.DUMMYFUNCTION("IFERROR(GOOGLEFINANCE(B2659,""change""),0)"),0)</f>
        <v>0</v>
      </c>
      <c r="N2659" s="6">
        <v>1</v>
      </c>
      <c r="O2659" s="7">
        <v>45536</v>
      </c>
      <c r="P2659" s="9"/>
      <c r="Q2659" s="6">
        <v>333.19</v>
      </c>
      <c r="R2659" s="7">
        <v>45352</v>
      </c>
      <c r="S2659" s="6">
        <v>27.23</v>
      </c>
      <c r="T2659" s="6">
        <v>4.41</v>
      </c>
      <c r="U2659" s="7">
        <v>45352</v>
      </c>
      <c r="V2659" s="6">
        <v>74</v>
      </c>
      <c r="W2659" s="6">
        <f ca="1">IFERROR(__xludf.DUMMYFUNCTION("IFERROR(GOOGLEFINANCE(B2659,""pe""),V2659)"),74)</f>
        <v>74</v>
      </c>
      <c r="X2659" s="9"/>
      <c r="Y2659" s="6">
        <v>5.92</v>
      </c>
      <c r="Z2659" s="6">
        <v>1</v>
      </c>
      <c r="AA2659" s="8">
        <v>45352</v>
      </c>
      <c r="AB2659" s="4">
        <v>0</v>
      </c>
      <c r="AC2659" s="6">
        <v>51.3</v>
      </c>
      <c r="AD2659" s="6">
        <v>62.97</v>
      </c>
      <c r="AE2659" s="1">
        <v>0</v>
      </c>
      <c r="AF2659" s="1">
        <f ca="1">IFERROR(__xludf.DUMMYFUNCTION("IFERROR(GOOGLEFINANCE(TRIM(F2659)&amp;"":"" &amp; TRIM(B2659),""high52""),AE2659)"),0)</f>
        <v>0</v>
      </c>
      <c r="AG2659" s="1">
        <v>0</v>
      </c>
      <c r="AH2659" s="1">
        <f ca="1">IFERROR(__xludf.DUMMYFUNCTION("IFERROR(GOOGLEFINANCE(TRIM(F2659)&amp;"":"" &amp; TRIM(B2659),""low52""),AE2659)"),0)</f>
        <v>0</v>
      </c>
      <c r="AI2659" s="1">
        <f ca="1">IFERROR(__xludf.DUMMYFUNCTION("IFERROR(GOOGLEFINANCE(B2659,""eps""),0)"),0)</f>
        <v>0</v>
      </c>
      <c r="AJ2659" s="1"/>
      <c r="AK2659" s="1" t="s">
        <v>8258</v>
      </c>
      <c r="AL2659" s="9">
        <f t="shared" si="266"/>
        <v>1</v>
      </c>
    </row>
    <row r="2660" spans="1:38" ht="15" x14ac:dyDescent="0.25">
      <c r="A2660" s="1" t="s">
        <v>8259</v>
      </c>
      <c r="B2660" s="1" t="s">
        <v>8260</v>
      </c>
      <c r="C2660" s="1" t="s">
        <v>416</v>
      </c>
      <c r="D2660" s="1" t="s">
        <v>416</v>
      </c>
      <c r="E2660" s="6">
        <v>6952.28</v>
      </c>
      <c r="F2660" s="1" t="s">
        <v>40</v>
      </c>
      <c r="G2660" s="6">
        <f ca="1">IFERROR(__xludf.DUMMYFUNCTION("iferror(GOOGLEFINANCE(TRIM(F2660)&amp;"":"" &amp; TRIM(B2660), ""price""),0
)"),1135)</f>
        <v>1135</v>
      </c>
      <c r="H2660" s="6">
        <v>998.45</v>
      </c>
      <c r="I2660" s="6">
        <f t="shared" ca="1" si="0"/>
        <v>1135</v>
      </c>
      <c r="J2660" s="6">
        <f ca="1">IFERROR(__xludf.DUMMYFUNCTION("IFERROR(GOOGLEFINANCE(B2660, ""volume""), 0)"),52907)</f>
        <v>52907</v>
      </c>
      <c r="K2660" s="6">
        <v>1.1000000000000001</v>
      </c>
      <c r="L2660" s="6">
        <f ca="1">IFERROR(__xludf.DUMMYFUNCTION("IFERROR(GOOGLEFINANCE(B2660,""changepct""),K2660)"),1.23)</f>
        <v>1.23</v>
      </c>
      <c r="M2660" s="6">
        <f ca="1">IFERROR(__xludf.DUMMYFUNCTION("IFERROR(GOOGLEFINANCE(B2660,""change""),0)"),13.8)</f>
        <v>13.8</v>
      </c>
      <c r="N2660" s="6">
        <v>1</v>
      </c>
      <c r="O2660" s="7">
        <v>45536</v>
      </c>
      <c r="P2660" s="9"/>
      <c r="Q2660" s="6">
        <v>6933.63</v>
      </c>
      <c r="R2660" s="7">
        <v>45536</v>
      </c>
      <c r="S2660" s="6">
        <v>700.2</v>
      </c>
      <c r="T2660" s="6">
        <v>375.53</v>
      </c>
      <c r="U2660" s="7">
        <v>45536</v>
      </c>
      <c r="V2660" s="6">
        <v>18.510000000000002</v>
      </c>
      <c r="W2660" s="6">
        <f ca="1">IFERROR(__xludf.DUMMYFUNCTION("IFERROR(GOOGLEFINANCE(B2660,""pe""),V2660)"),19.59)</f>
        <v>19.59</v>
      </c>
      <c r="X2660" s="6">
        <v>1.81</v>
      </c>
      <c r="Y2660" s="6">
        <v>2.86</v>
      </c>
      <c r="Z2660" s="6">
        <v>2</v>
      </c>
      <c r="AA2660" s="8">
        <v>44986</v>
      </c>
      <c r="AB2660" s="4">
        <v>0</v>
      </c>
      <c r="AC2660" s="6">
        <v>15.87</v>
      </c>
      <c r="AD2660" s="6">
        <v>20.71</v>
      </c>
      <c r="AE2660" s="1">
        <v>0</v>
      </c>
      <c r="AF2660" s="1">
        <f ca="1">IFERROR(__xludf.DUMMYFUNCTION("IFERROR(GOOGLEFINANCE(TRIM(F2660)&amp;"":"" &amp; TRIM(B2660),""high52""),AE2660)"),1638.9)</f>
        <v>1638.9</v>
      </c>
      <c r="AG2660" s="1">
        <v>0</v>
      </c>
      <c r="AH2660" s="1">
        <f ca="1">IFERROR(__xludf.DUMMYFUNCTION("IFERROR(GOOGLEFINANCE(TRIM(F2660)&amp;"":"" &amp; TRIM(B2660),""low52""),AE2660)"),842.6)</f>
        <v>842.6</v>
      </c>
      <c r="AI2660" s="1">
        <f ca="1">IFERROR(__xludf.DUMMYFUNCTION("IFERROR(GOOGLEFINANCE(B2660,""eps""),0)"),57.94)</f>
        <v>57.94</v>
      </c>
      <c r="AJ2660" s="1"/>
      <c r="AK2660" s="1" t="s">
        <v>8261</v>
      </c>
      <c r="AL2660" s="9">
        <f t="shared" si="266"/>
        <v>1</v>
      </c>
    </row>
    <row r="2661" spans="1:38" ht="15" x14ac:dyDescent="0.25">
      <c r="A2661" s="1" t="s">
        <v>8262</v>
      </c>
      <c r="B2661" s="1" t="s">
        <v>8263</v>
      </c>
      <c r="C2661" s="1" t="s">
        <v>57</v>
      </c>
      <c r="D2661" s="1" t="s">
        <v>57</v>
      </c>
      <c r="E2661" s="6">
        <v>4354.18</v>
      </c>
      <c r="F2661" s="1" t="s">
        <v>53</v>
      </c>
      <c r="G2661" s="6">
        <f ca="1">IFERROR(__xludf.DUMMYFUNCTION("iferror(GOOGLEFINANCE(TRIM(F2661)&amp;"":"" &amp; TRIM(B2661), ""price""),0
)"),0)</f>
        <v>0</v>
      </c>
      <c r="H2661" s="6">
        <v>225.8</v>
      </c>
      <c r="I2661" s="6">
        <f t="shared" ca="1" si="0"/>
        <v>225.8</v>
      </c>
      <c r="J2661" s="6">
        <f ca="1">IFERROR(__xludf.DUMMYFUNCTION("IFERROR(GOOGLEFINANCE(B2661, ""volume""), 0)"),4578444)</f>
        <v>4578444</v>
      </c>
      <c r="K2661" s="6">
        <v>-1.01</v>
      </c>
      <c r="L2661" s="6">
        <f ca="1">IFERROR(__xludf.DUMMYFUNCTION("IFERROR(GOOGLEFINANCE(B2661,""changepct""),K2661)"),3.26)</f>
        <v>3.26</v>
      </c>
      <c r="M2661" s="6">
        <f ca="1">IFERROR(__xludf.DUMMYFUNCTION("IFERROR(GOOGLEFINANCE(B2661,""change""),0)"),6.33)</f>
        <v>6.33</v>
      </c>
      <c r="N2661" s="6">
        <v>2</v>
      </c>
      <c r="O2661" s="7">
        <v>45536</v>
      </c>
      <c r="P2661" s="6">
        <v>64.58</v>
      </c>
      <c r="Q2661" s="6">
        <v>4369.91</v>
      </c>
      <c r="R2661" s="7">
        <v>45536</v>
      </c>
      <c r="S2661" s="6">
        <v>371.03</v>
      </c>
      <c r="T2661" s="6">
        <v>16.77</v>
      </c>
      <c r="U2661" s="7">
        <v>45536</v>
      </c>
      <c r="V2661" s="6">
        <v>259.67</v>
      </c>
      <c r="W2661" s="6">
        <f ca="1">IFERROR(__xludf.DUMMYFUNCTION("IFERROR(GOOGLEFINANCE(B2661,""pe""),V2661)"),93.43)</f>
        <v>93.43</v>
      </c>
      <c r="X2661" s="6">
        <v>13.84</v>
      </c>
      <c r="Y2661" s="6">
        <v>14.84</v>
      </c>
      <c r="Z2661" s="6">
        <v>2</v>
      </c>
      <c r="AA2661" s="8">
        <v>45352</v>
      </c>
      <c r="AB2661" s="4">
        <v>0.18</v>
      </c>
      <c r="AC2661" s="6">
        <v>5.75</v>
      </c>
      <c r="AD2661" s="6">
        <v>7.43</v>
      </c>
      <c r="AE2661" s="1">
        <v>0</v>
      </c>
      <c r="AF2661" s="1">
        <f ca="1">IFERROR(__xludf.DUMMYFUNCTION("IFERROR(GOOGLEFINANCE(TRIM(F2661)&amp;"":"" &amp; TRIM(B2661),""high52""),AE2661)"),0)</f>
        <v>0</v>
      </c>
      <c r="AG2661" s="1">
        <v>0</v>
      </c>
      <c r="AH2661" s="1">
        <f ca="1">IFERROR(__xludf.DUMMYFUNCTION("IFERROR(GOOGLEFINANCE(TRIM(F2661)&amp;"":"" &amp; TRIM(B2661),""low52""),AE2661)"),0)</f>
        <v>0</v>
      </c>
      <c r="AI2661" s="1">
        <f ca="1">IFERROR(__xludf.DUMMYFUNCTION("IFERROR(GOOGLEFINANCE(B2661,""eps""),0)"),2.15)</f>
        <v>2.15</v>
      </c>
      <c r="AJ2661" s="1"/>
      <c r="AK2661" s="1" t="s">
        <v>8264</v>
      </c>
      <c r="AL2661" s="9">
        <f t="shared" si="266"/>
        <v>1</v>
      </c>
    </row>
    <row r="2662" spans="1:38" ht="15" x14ac:dyDescent="0.25">
      <c r="A2662" s="1" t="s">
        <v>8265</v>
      </c>
      <c r="B2662" s="1" t="s">
        <v>8266</v>
      </c>
      <c r="C2662" s="1" t="s">
        <v>324</v>
      </c>
      <c r="D2662" s="1" t="s">
        <v>324</v>
      </c>
      <c r="E2662" s="6">
        <v>212129</v>
      </c>
      <c r="F2662" s="1" t="s">
        <v>40</v>
      </c>
      <c r="G2662" s="6">
        <f ca="1">IFERROR(__xludf.DUMMYFUNCTION("iferror(GOOGLEFINANCE(TRIM(F2662)&amp;"":"" &amp; TRIM(B2662), ""price""),0
)"),1306.3)</f>
        <v>1306.3</v>
      </c>
      <c r="H2662" s="6">
        <v>2210.5</v>
      </c>
      <c r="I2662" s="6">
        <f t="shared" ca="1" si="0"/>
        <v>1306.3</v>
      </c>
      <c r="J2662" s="6">
        <f ca="1">IFERROR(__xludf.DUMMYFUNCTION("IFERROR(GOOGLEFINANCE(B2662, ""volume""), 0)"),1254558)</f>
        <v>1254558</v>
      </c>
      <c r="K2662" s="6">
        <v>0.47</v>
      </c>
      <c r="L2662" s="6">
        <f ca="1">IFERROR(__xludf.DUMMYFUNCTION("IFERROR(GOOGLEFINANCE(B2662,""changepct""),K2662)"),1.86)</f>
        <v>1.86</v>
      </c>
      <c r="M2662" s="6">
        <f ca="1">IFERROR(__xludf.DUMMYFUNCTION("IFERROR(GOOGLEFINANCE(B2662,""change""),0)"),23.8)</f>
        <v>23.8</v>
      </c>
      <c r="N2662" s="6">
        <v>1</v>
      </c>
      <c r="O2662" s="7">
        <v>45536</v>
      </c>
      <c r="P2662" s="6">
        <v>30.43</v>
      </c>
      <c r="Q2662" s="6">
        <v>212018.9</v>
      </c>
      <c r="R2662" s="7">
        <v>45536</v>
      </c>
      <c r="S2662" s="6">
        <v>19785.96</v>
      </c>
      <c r="T2662" s="6">
        <v>3322.74</v>
      </c>
      <c r="U2662" s="7">
        <v>45536</v>
      </c>
      <c r="V2662" s="6">
        <v>63.84</v>
      </c>
      <c r="W2662" s="6">
        <f ca="1">IFERROR(__xludf.DUMMYFUNCTION("IFERROR(GOOGLEFINANCE(B2662,""pe""),V2662)"),77.23)</f>
        <v>77.23</v>
      </c>
      <c r="X2662" s="6">
        <v>3.26</v>
      </c>
      <c r="Y2662" s="6">
        <v>53.16</v>
      </c>
      <c r="Z2662" s="6">
        <v>1</v>
      </c>
      <c r="AA2662" s="8">
        <v>45352</v>
      </c>
      <c r="AB2662" s="4">
        <v>0.01</v>
      </c>
      <c r="AC2662" s="6">
        <v>135.61000000000001</v>
      </c>
      <c r="AD2662" s="6">
        <v>185.43</v>
      </c>
      <c r="AE2662" s="1">
        <v>0</v>
      </c>
      <c r="AF2662" s="1">
        <f ca="1">IFERROR(__xludf.DUMMYFUNCTION("IFERROR(GOOGLEFINANCE(TRIM(F2662)&amp;"":"" &amp; TRIM(B2662),""high52""),AE2662)"),1339.6)</f>
        <v>1339.6</v>
      </c>
      <c r="AG2662" s="1">
        <v>0</v>
      </c>
      <c r="AH2662" s="1">
        <f ca="1">IFERROR(__xludf.DUMMYFUNCTION("IFERROR(GOOGLEFINANCE(TRIM(F2662)&amp;"":"" &amp; TRIM(B2662),""low52""),AE2662)"),1055)</f>
        <v>1055</v>
      </c>
      <c r="AI2662" s="1">
        <f ca="1">IFERROR(__xludf.DUMMYFUNCTION("IFERROR(GOOGLEFINANCE(B2662,""eps""),0)"),16.92)</f>
        <v>16.920000000000002</v>
      </c>
      <c r="AJ2662" s="1"/>
      <c r="AK2662" s="9"/>
      <c r="AL2662" s="9">
        <f t="shared" si="266"/>
        <v>1</v>
      </c>
    </row>
    <row r="2663" spans="1:38" ht="15" x14ac:dyDescent="0.25">
      <c r="A2663" s="1" t="s">
        <v>8267</v>
      </c>
      <c r="B2663" s="1" t="s">
        <v>8268</v>
      </c>
      <c r="C2663" s="1" t="s">
        <v>1739</v>
      </c>
      <c r="D2663" s="1" t="s">
        <v>1739</v>
      </c>
      <c r="E2663" s="6">
        <v>24.24</v>
      </c>
      <c r="F2663" s="1" t="s">
        <v>40</v>
      </c>
      <c r="G2663" s="6">
        <f ca="1">IFERROR(__xludf.DUMMYFUNCTION("iferror(GOOGLEFINANCE(TRIM(F2663)&amp;"":"" &amp; TRIM(B2663), ""price""),0
)"),0)</f>
        <v>0</v>
      </c>
      <c r="H2663" s="6">
        <v>11.3</v>
      </c>
      <c r="I2663" s="6">
        <f t="shared" ca="1" si="0"/>
        <v>11.3</v>
      </c>
      <c r="J2663" s="6">
        <f ca="1">IFERROR(__xludf.DUMMYFUNCTION("IFERROR(GOOGLEFINANCE(B2663, ""volume""), 0)"),0)</f>
        <v>0</v>
      </c>
      <c r="K2663" s="9"/>
      <c r="L2663" s="6" t="str">
        <f ca="1">IFERROR(__xludf.DUMMYFUNCTION("IFERROR(GOOGLEFINANCE(B2663,""changepct""),K2663)"),"")</f>
        <v/>
      </c>
      <c r="M2663" s="6">
        <f ca="1">IFERROR(__xludf.DUMMYFUNCTION("IFERROR(GOOGLEFINANCE(B2663,""change""),0)"),0)</f>
        <v>0</v>
      </c>
      <c r="N2663" s="6">
        <v>1</v>
      </c>
      <c r="O2663" s="7">
        <v>45536</v>
      </c>
      <c r="P2663" s="6">
        <v>1.19</v>
      </c>
      <c r="Q2663" s="6">
        <v>25.44</v>
      </c>
      <c r="R2663" s="7">
        <v>45352</v>
      </c>
      <c r="S2663" s="6">
        <v>26.19</v>
      </c>
      <c r="T2663" s="6">
        <v>-1.72</v>
      </c>
      <c r="U2663" s="7">
        <v>45352</v>
      </c>
      <c r="V2663" s="6">
        <v>0</v>
      </c>
      <c r="W2663" s="6">
        <f ca="1">IFERROR(__xludf.DUMMYFUNCTION("IFERROR(GOOGLEFINANCE(B2663,""pe""),V2663)"),0)</f>
        <v>0</v>
      </c>
      <c r="X2663" s="9"/>
      <c r="Y2663" s="6">
        <v>2.62</v>
      </c>
      <c r="Z2663" s="6">
        <v>2</v>
      </c>
      <c r="AA2663" s="8">
        <v>45352</v>
      </c>
      <c r="AB2663" s="4">
        <v>0.14000000000000001</v>
      </c>
      <c r="AC2663" s="6">
        <v>-31.82</v>
      </c>
      <c r="AD2663" s="6">
        <v>-7.16</v>
      </c>
      <c r="AE2663" s="1">
        <v>0</v>
      </c>
      <c r="AF2663" s="1">
        <f ca="1">IFERROR(__xludf.DUMMYFUNCTION("IFERROR(GOOGLEFINANCE(TRIM(F2663)&amp;"":"" &amp; TRIM(B2663),""high52""),AE2663)"),0)</f>
        <v>0</v>
      </c>
      <c r="AG2663" s="1">
        <v>0</v>
      </c>
      <c r="AH2663" s="1">
        <f ca="1">IFERROR(__xludf.DUMMYFUNCTION("IFERROR(GOOGLEFINANCE(TRIM(F2663)&amp;"":"" &amp; TRIM(B2663),""low52""),AE2663)"),0)</f>
        <v>0</v>
      </c>
      <c r="AI2663" s="1">
        <f ca="1">IFERROR(__xludf.DUMMYFUNCTION("IFERROR(GOOGLEFINANCE(B2663,""eps""),0)"),0)</f>
        <v>0</v>
      </c>
      <c r="AJ2663" s="1"/>
      <c r="AK2663" s="1" t="s">
        <v>8269</v>
      </c>
      <c r="AL2663" s="9">
        <f t="shared" si="266"/>
        <v>1</v>
      </c>
    </row>
    <row r="2664" spans="1:38" ht="15" x14ac:dyDescent="0.25">
      <c r="A2664" s="1" t="s">
        <v>8270</v>
      </c>
      <c r="B2664" s="1" t="s">
        <v>8271</v>
      </c>
      <c r="C2664" s="1" t="s">
        <v>57</v>
      </c>
      <c r="D2664" s="1" t="s">
        <v>57</v>
      </c>
      <c r="E2664" s="6">
        <v>26.24</v>
      </c>
      <c r="F2664" s="1" t="s">
        <v>53</v>
      </c>
      <c r="G2664" s="6">
        <f ca="1">IFERROR(__xludf.DUMMYFUNCTION("iferror(GOOGLEFINANCE(TRIM(F2664)&amp;"":"" &amp; TRIM(B2664), ""price""),0
)"),0)</f>
        <v>0</v>
      </c>
      <c r="H2664" s="6">
        <v>8.6</v>
      </c>
      <c r="I2664" s="6">
        <f t="shared" ca="1" si="0"/>
        <v>8.6</v>
      </c>
      <c r="J2664" s="6">
        <f ca="1">IFERROR(__xludf.DUMMYFUNCTION("IFERROR(GOOGLEFINANCE(B2664, ""volume""), 0)"),0)</f>
        <v>0</v>
      </c>
      <c r="K2664" s="9"/>
      <c r="L2664" s="6" t="str">
        <f ca="1">IFERROR(__xludf.DUMMYFUNCTION("IFERROR(GOOGLEFINANCE(B2664,""changepct""),K2664)"),"")</f>
        <v/>
      </c>
      <c r="M2664" s="6">
        <f ca="1">IFERROR(__xludf.DUMMYFUNCTION("IFERROR(GOOGLEFINANCE(B2664,""change""),0)"),0)</f>
        <v>0</v>
      </c>
      <c r="N2664" s="6">
        <v>1</v>
      </c>
      <c r="O2664" s="7">
        <v>45536</v>
      </c>
      <c r="P2664" s="6">
        <v>3.27</v>
      </c>
      <c r="Q2664" s="6">
        <v>29.51</v>
      </c>
      <c r="R2664" s="7">
        <v>45536</v>
      </c>
      <c r="S2664" s="6">
        <v>2.6</v>
      </c>
      <c r="T2664" s="6">
        <v>-2.83</v>
      </c>
      <c r="U2664" s="7">
        <v>45536</v>
      </c>
      <c r="V2664" s="6">
        <v>0</v>
      </c>
      <c r="W2664" s="6">
        <f ca="1">IFERROR(__xludf.DUMMYFUNCTION("IFERROR(GOOGLEFINANCE(B2664,""pe""),V2664)"),0)</f>
        <v>0</v>
      </c>
      <c r="X2664" s="9"/>
      <c r="Y2664" s="6">
        <v>-14.52</v>
      </c>
      <c r="Z2664" s="6">
        <v>1</v>
      </c>
      <c r="AA2664" s="8">
        <v>45352</v>
      </c>
      <c r="AB2664" s="4">
        <v>-4.0199999999999996</v>
      </c>
      <c r="AC2664" s="6">
        <v>0</v>
      </c>
      <c r="AD2664" s="6">
        <v>-84.65</v>
      </c>
      <c r="AE2664" s="1">
        <v>0</v>
      </c>
      <c r="AF2664" s="1">
        <f ca="1">IFERROR(__xludf.DUMMYFUNCTION("IFERROR(GOOGLEFINANCE(TRIM(F2664)&amp;"":"" &amp; TRIM(B2664),""high52""),AE2664)"),0)</f>
        <v>0</v>
      </c>
      <c r="AG2664" s="1">
        <v>0</v>
      </c>
      <c r="AH2664" s="1">
        <f ca="1">IFERROR(__xludf.DUMMYFUNCTION("IFERROR(GOOGLEFINANCE(TRIM(F2664)&amp;"":"" &amp; TRIM(B2664),""low52""),AE2664)"),0)</f>
        <v>0</v>
      </c>
      <c r="AI2664" s="1">
        <f ca="1">IFERROR(__xludf.DUMMYFUNCTION("IFERROR(GOOGLEFINANCE(B2664,""eps""),0)"),0)</f>
        <v>0</v>
      </c>
      <c r="AJ2664" s="1"/>
      <c r="AK2664" s="12"/>
      <c r="AL2664" s="9">
        <f t="shared" si="266"/>
        <v>1</v>
      </c>
    </row>
    <row r="2665" spans="1:38" ht="15" x14ac:dyDescent="0.25">
      <c r="A2665" s="1" t="s">
        <v>8272</v>
      </c>
      <c r="B2665" s="1" t="s">
        <v>8273</v>
      </c>
      <c r="C2665" s="1" t="s">
        <v>2185</v>
      </c>
      <c r="D2665" s="1" t="s">
        <v>2185</v>
      </c>
      <c r="E2665" s="6">
        <v>16158.95</v>
      </c>
      <c r="F2665" s="1" t="s">
        <v>40</v>
      </c>
      <c r="G2665" s="6">
        <f ca="1">IFERROR(__xludf.DUMMYFUNCTION("iferror(GOOGLEFINANCE(TRIM(F2665)&amp;"":"" &amp; TRIM(B2665), ""price""),0
)"),3190)</f>
        <v>3190</v>
      </c>
      <c r="H2665" s="6">
        <v>2866.9</v>
      </c>
      <c r="I2665" s="6">
        <f t="shared" ca="1" si="0"/>
        <v>3190</v>
      </c>
      <c r="J2665" s="6">
        <f ca="1">IFERROR(__xludf.DUMMYFUNCTION("IFERROR(GOOGLEFINANCE(B2665, ""volume""), 0)"),3204707)</f>
        <v>3204707</v>
      </c>
      <c r="K2665" s="6">
        <v>-0.46</v>
      </c>
      <c r="L2665" s="6">
        <f ca="1">IFERROR(__xludf.DUMMYFUNCTION("IFERROR(GOOGLEFINANCE(B2665,""changepct""),K2665)"),-3.5)</f>
        <v>-3.5</v>
      </c>
      <c r="M2665" s="6">
        <f ca="1">IFERROR(__xludf.DUMMYFUNCTION("IFERROR(GOOGLEFINANCE(B2665,""change""),0)"),-115.7)</f>
        <v>-115.7</v>
      </c>
      <c r="N2665" s="6">
        <v>1</v>
      </c>
      <c r="O2665" s="7">
        <v>45536</v>
      </c>
      <c r="P2665" s="6">
        <v>1.44</v>
      </c>
      <c r="Q2665" s="6">
        <v>16045.11</v>
      </c>
      <c r="R2665" s="7">
        <v>45536</v>
      </c>
      <c r="S2665" s="6">
        <v>919.67</v>
      </c>
      <c r="T2665" s="6">
        <v>96.83</v>
      </c>
      <c r="U2665" s="7">
        <v>45536</v>
      </c>
      <c r="V2665" s="6">
        <v>166.88</v>
      </c>
      <c r="W2665" s="6">
        <f ca="1">IFERROR(__xludf.DUMMYFUNCTION("IFERROR(GOOGLEFINANCE(B2665,""pe""),V2665)"),101.58)</f>
        <v>101.58</v>
      </c>
      <c r="X2665" s="9"/>
      <c r="Y2665" s="6">
        <v>35.44</v>
      </c>
      <c r="Z2665" s="6">
        <v>1</v>
      </c>
      <c r="AA2665" s="8">
        <v>45352</v>
      </c>
      <c r="AB2665" s="4">
        <v>0</v>
      </c>
      <c r="AC2665" s="6">
        <v>29.97</v>
      </c>
      <c r="AD2665" s="6">
        <v>39.44</v>
      </c>
      <c r="AE2665" s="1">
        <v>0</v>
      </c>
      <c r="AF2665" s="1">
        <f ca="1">IFERROR(__xludf.DUMMYFUNCTION("IFERROR(GOOGLEFINANCE(TRIM(F2665)&amp;"":"" &amp; TRIM(B2665),""high52""),AE2665)"),4479)</f>
        <v>4479</v>
      </c>
      <c r="AG2665" s="1">
        <v>0</v>
      </c>
      <c r="AH2665" s="1">
        <f ca="1">IFERROR(__xludf.DUMMYFUNCTION("IFERROR(GOOGLEFINANCE(TRIM(F2665)&amp;"":"" &amp; TRIM(B2665),""low52""),AE2665)"),1251.55)</f>
        <v>1251.55</v>
      </c>
      <c r="AI2665" s="1">
        <f ca="1">IFERROR(__xludf.DUMMYFUNCTION("IFERROR(GOOGLEFINANCE(B2665,""eps""),0)"),31.4)</f>
        <v>31.4</v>
      </c>
      <c r="AJ2665" s="1"/>
      <c r="AK2665" s="9"/>
      <c r="AL2665" s="9">
        <f t="shared" si="266"/>
        <v>1</v>
      </c>
    </row>
    <row r="2666" spans="1:38" ht="15" x14ac:dyDescent="0.25">
      <c r="A2666" s="1" t="s">
        <v>8274</v>
      </c>
      <c r="B2666" s="1" t="s">
        <v>8275</v>
      </c>
      <c r="C2666" s="1" t="s">
        <v>57</v>
      </c>
      <c r="D2666" s="1" t="s">
        <v>57</v>
      </c>
      <c r="E2666" s="6">
        <v>49.86</v>
      </c>
      <c r="F2666" s="1" t="s">
        <v>53</v>
      </c>
      <c r="G2666" s="6">
        <f ca="1">IFERROR(__xludf.DUMMYFUNCTION("iferror(GOOGLEFINANCE(TRIM(F2666)&amp;"":"" &amp; TRIM(B2666), ""price""),0
)"),0)</f>
        <v>0</v>
      </c>
      <c r="H2666" s="6">
        <v>199.7</v>
      </c>
      <c r="I2666" s="6">
        <f t="shared" ca="1" si="0"/>
        <v>199.7</v>
      </c>
      <c r="J2666" s="6">
        <f ca="1">IFERROR(__xludf.DUMMYFUNCTION("IFERROR(GOOGLEFINANCE(B2666, ""volume""), 0)"),0)</f>
        <v>0</v>
      </c>
      <c r="K2666" s="6">
        <v>1.29</v>
      </c>
      <c r="L2666" s="6">
        <f ca="1">IFERROR(__xludf.DUMMYFUNCTION("IFERROR(GOOGLEFINANCE(B2666,""changepct""),K2666)"),1.29)</f>
        <v>1.29</v>
      </c>
      <c r="M2666" s="6">
        <f ca="1">IFERROR(__xludf.DUMMYFUNCTION("IFERROR(GOOGLEFINANCE(B2666,""change""),0)"),0)</f>
        <v>0</v>
      </c>
      <c r="N2666" s="6">
        <v>1</v>
      </c>
      <c r="O2666" s="7">
        <v>45536</v>
      </c>
      <c r="P2666" s="9"/>
      <c r="Q2666" s="6">
        <v>37.700000000000003</v>
      </c>
      <c r="R2666" s="7">
        <v>45536</v>
      </c>
      <c r="S2666" s="6">
        <v>2.0699999999999998</v>
      </c>
      <c r="T2666" s="6">
        <v>13.47</v>
      </c>
      <c r="U2666" s="7">
        <v>45536</v>
      </c>
      <c r="V2666" s="6">
        <v>3.7</v>
      </c>
      <c r="W2666" s="6">
        <f ca="1">IFERROR(__xludf.DUMMYFUNCTION("IFERROR(GOOGLEFINANCE(B2666,""pe""),V2666)"),3.7)</f>
        <v>3.7</v>
      </c>
      <c r="X2666" s="6">
        <v>0.04</v>
      </c>
      <c r="Y2666" s="6">
        <v>1.51</v>
      </c>
      <c r="Z2666" s="6">
        <v>1</v>
      </c>
      <c r="AA2666" s="17">
        <v>45352</v>
      </c>
      <c r="AB2666" s="18">
        <v>0</v>
      </c>
      <c r="AC2666" s="6">
        <v>45.09</v>
      </c>
      <c r="AD2666" s="6">
        <v>53.49</v>
      </c>
      <c r="AE2666" s="1">
        <v>0</v>
      </c>
      <c r="AF2666" s="1">
        <f ca="1">IFERROR(__xludf.DUMMYFUNCTION("IFERROR(GOOGLEFINANCE(TRIM(F2666)&amp;"":"" &amp; TRIM(B2666),""high52""),AE2666)"),0)</f>
        <v>0</v>
      </c>
      <c r="AG2666" s="1">
        <v>0</v>
      </c>
      <c r="AH2666" s="1">
        <f ca="1">IFERROR(__xludf.DUMMYFUNCTION("IFERROR(GOOGLEFINANCE(TRIM(F2666)&amp;"":"" &amp; TRIM(B2666),""low52""),AE2666)"),0)</f>
        <v>0</v>
      </c>
      <c r="AI2666" s="1">
        <f ca="1">IFERROR(__xludf.DUMMYFUNCTION("IFERROR(GOOGLEFINANCE(B2666,""eps""),0)"),0)</f>
        <v>0</v>
      </c>
      <c r="AJ2666" s="1"/>
      <c r="AK2666" s="9"/>
      <c r="AL2666" s="9">
        <f t="shared" si="266"/>
        <v>1</v>
      </c>
    </row>
    <row r="2667" spans="1:38" ht="15" x14ac:dyDescent="0.25">
      <c r="A2667" s="1" t="s">
        <v>8276</v>
      </c>
      <c r="B2667" s="1" t="s">
        <v>8277</v>
      </c>
      <c r="C2667" s="1" t="s">
        <v>57</v>
      </c>
      <c r="D2667" s="1" t="s">
        <v>57</v>
      </c>
      <c r="E2667" s="6">
        <v>180.74</v>
      </c>
      <c r="F2667" s="1" t="s">
        <v>53</v>
      </c>
      <c r="G2667" s="6">
        <f ca="1">IFERROR(__xludf.DUMMYFUNCTION("iferror(GOOGLEFINANCE(TRIM(F2667)&amp;"":"" &amp; TRIM(B2667), ""price""),0
)"),0)</f>
        <v>0</v>
      </c>
      <c r="H2667" s="6">
        <v>74.989999999999995</v>
      </c>
      <c r="I2667" s="6">
        <f t="shared" ca="1" si="0"/>
        <v>74.989999999999995</v>
      </c>
      <c r="J2667" s="6">
        <f ca="1">IFERROR(__xludf.DUMMYFUNCTION("IFERROR(GOOGLEFINANCE(B2667, ""volume""), 0)"),0)</f>
        <v>0</v>
      </c>
      <c r="K2667" s="6">
        <v>0.31</v>
      </c>
      <c r="L2667" s="6">
        <f ca="1">IFERROR(__xludf.DUMMYFUNCTION("IFERROR(GOOGLEFINANCE(B2667,""changepct""),K2667)"),0.31)</f>
        <v>0.31</v>
      </c>
      <c r="M2667" s="6">
        <f ca="1">IFERROR(__xludf.DUMMYFUNCTION("IFERROR(GOOGLEFINANCE(B2667,""change""),0)"),0)</f>
        <v>0</v>
      </c>
      <c r="N2667" s="6">
        <v>2</v>
      </c>
      <c r="O2667" s="7">
        <v>45536</v>
      </c>
      <c r="P2667" s="6">
        <v>18.399999999999999</v>
      </c>
      <c r="Q2667" s="6">
        <v>197.29</v>
      </c>
      <c r="R2667" s="7">
        <v>45536</v>
      </c>
      <c r="S2667" s="6">
        <v>32.72</v>
      </c>
      <c r="T2667" s="6">
        <v>6.34</v>
      </c>
      <c r="U2667" s="7">
        <v>45536</v>
      </c>
      <c r="V2667" s="6">
        <v>28.48</v>
      </c>
      <c r="W2667" s="6">
        <f ca="1">IFERROR(__xludf.DUMMYFUNCTION("IFERROR(GOOGLEFINANCE(B2667,""pe""),V2667)"),28.48)</f>
        <v>28.48</v>
      </c>
      <c r="X2667" s="6">
        <v>1.32</v>
      </c>
      <c r="Y2667" s="6">
        <v>3.52</v>
      </c>
      <c r="Z2667" s="6">
        <v>2</v>
      </c>
      <c r="AA2667" s="8">
        <v>45352</v>
      </c>
      <c r="AB2667" s="4">
        <v>0.28999999999999998</v>
      </c>
      <c r="AC2667" s="6">
        <v>18.2</v>
      </c>
      <c r="AD2667" s="6">
        <v>21.36</v>
      </c>
      <c r="AE2667" s="1">
        <v>0</v>
      </c>
      <c r="AF2667" s="1">
        <f ca="1">IFERROR(__xludf.DUMMYFUNCTION("IFERROR(GOOGLEFINANCE(TRIM(F2667)&amp;"":"" &amp; TRIM(B2667),""high52""),AE2667)"),0)</f>
        <v>0</v>
      </c>
      <c r="AG2667" s="1">
        <v>0</v>
      </c>
      <c r="AH2667" s="1">
        <f ca="1">IFERROR(__xludf.DUMMYFUNCTION("IFERROR(GOOGLEFINANCE(TRIM(F2667)&amp;"":"" &amp; TRIM(B2667),""low52""),AE2667)"),0)</f>
        <v>0</v>
      </c>
      <c r="AI2667" s="1">
        <f ca="1">IFERROR(__xludf.DUMMYFUNCTION("IFERROR(GOOGLEFINANCE(B2667,""eps""),0)"),0)</f>
        <v>0</v>
      </c>
      <c r="AJ2667" s="1"/>
      <c r="AK2667" s="1" t="s">
        <v>8278</v>
      </c>
      <c r="AL2667" s="9">
        <f t="shared" si="266"/>
        <v>1</v>
      </c>
    </row>
    <row r="2668" spans="1:38" ht="15" x14ac:dyDescent="0.25">
      <c r="A2668" s="1" t="s">
        <v>8279</v>
      </c>
      <c r="B2668" s="1" t="s">
        <v>8280</v>
      </c>
      <c r="C2668" s="1" t="s">
        <v>1682</v>
      </c>
      <c r="D2668" s="1" t="s">
        <v>1682</v>
      </c>
      <c r="E2668" s="6">
        <v>10997.54</v>
      </c>
      <c r="F2668" s="1" t="s">
        <v>40</v>
      </c>
      <c r="G2668" s="6">
        <f ca="1">IFERROR(__xludf.DUMMYFUNCTION("iferror(GOOGLEFINANCE(TRIM(F2668)&amp;"":"" &amp; TRIM(B2668), ""price""),0
)"),36.46)</f>
        <v>36.46</v>
      </c>
      <c r="H2668" s="6">
        <v>73.7</v>
      </c>
      <c r="I2668" s="6">
        <f t="shared" ca="1" si="0"/>
        <v>36.46</v>
      </c>
      <c r="J2668" s="6">
        <f ca="1">IFERROR(__xludf.DUMMYFUNCTION("IFERROR(GOOGLEFINANCE(B2668, ""volume""), 0)"),4217838)</f>
        <v>4217838</v>
      </c>
      <c r="K2668" s="6">
        <v>3.31</v>
      </c>
      <c r="L2668" s="6">
        <f ca="1">IFERROR(__xludf.DUMMYFUNCTION("IFERROR(GOOGLEFINANCE(B2668,""changepct""),K2668)"),-1.03)</f>
        <v>-1.03</v>
      </c>
      <c r="M2668" s="6">
        <f ca="1">IFERROR(__xludf.DUMMYFUNCTION("IFERROR(GOOGLEFINANCE(B2668,""change""),0)"),-0.38)</f>
        <v>-0.38</v>
      </c>
      <c r="N2668" s="6">
        <v>2</v>
      </c>
      <c r="O2668" s="7">
        <v>45536</v>
      </c>
      <c r="P2668" s="6">
        <v>8468.82</v>
      </c>
      <c r="Q2668" s="6">
        <v>14548.69</v>
      </c>
      <c r="R2668" s="7">
        <v>45536</v>
      </c>
      <c r="S2668" s="6">
        <v>9159.11</v>
      </c>
      <c r="T2668" s="6">
        <v>-769.68</v>
      </c>
      <c r="U2668" s="7">
        <v>45536</v>
      </c>
      <c r="V2668" s="6">
        <v>0</v>
      </c>
      <c r="W2668" s="6">
        <f ca="1">IFERROR(__xludf.DUMMYFUNCTION("IFERROR(GOOGLEFINANCE(B2668,""pe""),V2668)"),36.39)</f>
        <v>36.39</v>
      </c>
      <c r="X2668" s="6">
        <v>0</v>
      </c>
      <c r="Y2668" s="6">
        <v>0.75</v>
      </c>
      <c r="Z2668" s="6">
        <v>2</v>
      </c>
      <c r="AA2668" s="8">
        <v>45352</v>
      </c>
      <c r="AB2668" s="4">
        <v>0.49</v>
      </c>
      <c r="AC2668" s="6">
        <v>-4.2300000000000004</v>
      </c>
      <c r="AD2668" s="6">
        <v>-0.46</v>
      </c>
      <c r="AE2668" s="1">
        <v>0</v>
      </c>
      <c r="AF2668" s="1">
        <f ca="1">IFERROR(__xludf.DUMMYFUNCTION("IFERROR(GOOGLEFINANCE(TRIM(F2668)&amp;"":"" &amp; TRIM(B2668),""high52""),AE2668)"),65.29)</f>
        <v>65.290000000000006</v>
      </c>
      <c r="AG2668" s="1">
        <v>0</v>
      </c>
      <c r="AH2668" s="1">
        <f ca="1">IFERROR(__xludf.DUMMYFUNCTION("IFERROR(GOOGLEFINANCE(TRIM(F2668)&amp;"":"" &amp; TRIM(B2668),""low52""),AE2668)"),35)</f>
        <v>35</v>
      </c>
      <c r="AI2668" s="1">
        <f ca="1">IFERROR(__xludf.DUMMYFUNCTION("IFERROR(GOOGLEFINANCE(B2668,""eps""),0)"),1)</f>
        <v>1</v>
      </c>
      <c r="AJ2668" s="1"/>
      <c r="AK2668" s="9"/>
      <c r="AL2668" s="9">
        <f t="shared" si="266"/>
        <v>1</v>
      </c>
    </row>
    <row r="2669" spans="1:38" ht="15" x14ac:dyDescent="0.25">
      <c r="A2669" s="1" t="s">
        <v>8281</v>
      </c>
      <c r="B2669" s="1" t="s">
        <v>8282</v>
      </c>
      <c r="C2669" s="1" t="s">
        <v>57</v>
      </c>
      <c r="D2669" s="1" t="s">
        <v>57</v>
      </c>
      <c r="E2669" s="6">
        <v>5111.76</v>
      </c>
      <c r="F2669" s="1" t="s">
        <v>40</v>
      </c>
      <c r="G2669" s="6">
        <f ca="1">IFERROR(__xludf.DUMMYFUNCTION("iferror(GOOGLEFINANCE(TRIM(F2669)&amp;"":"" &amp; TRIM(B2669), ""price""),0
)"),1193)</f>
        <v>1193</v>
      </c>
      <c r="H2669" s="6">
        <v>2610</v>
      </c>
      <c r="I2669" s="6">
        <f t="shared" ca="1" si="0"/>
        <v>1193</v>
      </c>
      <c r="J2669" s="6">
        <f ca="1">IFERROR(__xludf.DUMMYFUNCTION("IFERROR(GOOGLEFINANCE(B2669, ""volume""), 0)"),16152)</f>
        <v>16152</v>
      </c>
      <c r="K2669" s="6">
        <v>-1</v>
      </c>
      <c r="L2669" s="6">
        <f ca="1">IFERROR(__xludf.DUMMYFUNCTION("IFERROR(GOOGLEFINANCE(B2669,""changepct""),K2669)"),-0.43)</f>
        <v>-0.43</v>
      </c>
      <c r="M2669" s="6">
        <f ca="1">IFERROR(__xludf.DUMMYFUNCTION("IFERROR(GOOGLEFINANCE(B2669,""change""),0)"),-5.2)</f>
        <v>-5.2</v>
      </c>
      <c r="N2669" s="6">
        <v>1</v>
      </c>
      <c r="O2669" s="7">
        <v>45536</v>
      </c>
      <c r="P2669" s="6">
        <v>0.1</v>
      </c>
      <c r="Q2669" s="6">
        <v>5111.8599999999997</v>
      </c>
      <c r="R2669" s="7">
        <v>45352</v>
      </c>
      <c r="S2669" s="6">
        <v>127.51</v>
      </c>
      <c r="T2669" s="6">
        <v>26.71</v>
      </c>
      <c r="U2669" s="7">
        <v>45352</v>
      </c>
      <c r="V2669" s="6">
        <v>191.4</v>
      </c>
      <c r="W2669" s="6">
        <f ca="1">IFERROR(__xludf.DUMMYFUNCTION("IFERROR(GOOGLEFINANCE(B2669,""pe""),V2669)"),85.33)</f>
        <v>85.33</v>
      </c>
      <c r="X2669" s="12"/>
      <c r="Y2669" s="6">
        <v>72.099999999999994</v>
      </c>
      <c r="Z2669" s="6">
        <v>2</v>
      </c>
      <c r="AA2669" s="8">
        <v>45352</v>
      </c>
      <c r="AB2669" s="4">
        <v>0</v>
      </c>
      <c r="AC2669" s="6">
        <v>63.63</v>
      </c>
      <c r="AD2669" s="6">
        <v>81.819999999999993</v>
      </c>
      <c r="AE2669" s="1">
        <v>0</v>
      </c>
      <c r="AF2669" s="1">
        <f ca="1">IFERROR(__xludf.DUMMYFUNCTION("IFERROR(GOOGLEFINANCE(TRIM(F2669)&amp;"":"" &amp; TRIM(B2669),""high52""),AE2669)"),2425)</f>
        <v>2425</v>
      </c>
      <c r="AG2669" s="1">
        <v>0</v>
      </c>
      <c r="AH2669" s="1">
        <f ca="1">IFERROR(__xludf.DUMMYFUNCTION("IFERROR(GOOGLEFINANCE(TRIM(F2669)&amp;"":"" &amp; TRIM(B2669),""low52""),AE2669)"),1144.5)</f>
        <v>1144.5</v>
      </c>
      <c r="AI2669" s="1">
        <f ca="1">IFERROR(__xludf.DUMMYFUNCTION("IFERROR(GOOGLEFINANCE(B2669,""eps""),0)"),13.98)</f>
        <v>13.98</v>
      </c>
      <c r="AJ2669" s="1"/>
      <c r="AK2669" s="1" t="s">
        <v>8283</v>
      </c>
      <c r="AL2669" s="9">
        <f t="shared" si="266"/>
        <v>1</v>
      </c>
    </row>
    <row r="2670" spans="1:38" ht="15" x14ac:dyDescent="0.25">
      <c r="A2670" s="1" t="s">
        <v>8284</v>
      </c>
      <c r="B2670" s="1" t="s">
        <v>8285</v>
      </c>
      <c r="C2670" s="1" t="s">
        <v>106</v>
      </c>
      <c r="D2670" s="1" t="s">
        <v>106</v>
      </c>
      <c r="E2670" s="6">
        <v>18337.439999999999</v>
      </c>
      <c r="F2670" s="1" t="s">
        <v>40</v>
      </c>
      <c r="G2670" s="6">
        <f ca="1">IFERROR(__xludf.DUMMYFUNCTION("iferror(GOOGLEFINANCE(TRIM(F2670)&amp;"":"" &amp; TRIM(B2670), ""price""),0
)"),13166)</f>
        <v>13166</v>
      </c>
      <c r="H2670" s="6">
        <v>14245.2</v>
      </c>
      <c r="I2670" s="6">
        <f t="shared" ca="1" si="0"/>
        <v>13166</v>
      </c>
      <c r="J2670" s="6">
        <f ca="1">IFERROR(__xludf.DUMMYFUNCTION("IFERROR(GOOGLEFINANCE(B2670, ""volume""), 0)"),33836)</f>
        <v>33836</v>
      </c>
      <c r="K2670" s="6">
        <v>-0.45</v>
      </c>
      <c r="L2670" s="6">
        <f ca="1">IFERROR(__xludf.DUMMYFUNCTION("IFERROR(GOOGLEFINANCE(B2670,""changepct""),K2670)"),-2.75)</f>
        <v>-2.75</v>
      </c>
      <c r="M2670" s="6">
        <f ca="1">IFERROR(__xludf.DUMMYFUNCTION("IFERROR(GOOGLEFINANCE(B2670,""change""),0)"),-372)</f>
        <v>-372</v>
      </c>
      <c r="N2670" s="6">
        <v>2</v>
      </c>
      <c r="O2670" s="7">
        <v>45536</v>
      </c>
      <c r="P2670" s="6">
        <v>94.15</v>
      </c>
      <c r="Q2670" s="6">
        <v>18344.59</v>
      </c>
      <c r="R2670" s="7">
        <v>45536</v>
      </c>
      <c r="S2670" s="6">
        <v>1528.28</v>
      </c>
      <c r="T2670" s="6">
        <v>279.67</v>
      </c>
      <c r="U2670" s="7">
        <v>45536</v>
      </c>
      <c r="V2670" s="6">
        <v>65.569999999999993</v>
      </c>
      <c r="W2670" s="6">
        <f ca="1">IFERROR(__xludf.DUMMYFUNCTION("IFERROR(GOOGLEFINANCE(B2670,""pe""),V2670)"),70.34)</f>
        <v>70.34</v>
      </c>
      <c r="X2670" s="6">
        <v>0.83</v>
      </c>
      <c r="Y2670" s="6">
        <v>13.15</v>
      </c>
      <c r="Z2670" s="6">
        <v>2</v>
      </c>
      <c r="AA2670" s="8">
        <v>45352</v>
      </c>
      <c r="AB2670" s="4">
        <v>0.06</v>
      </c>
      <c r="AC2670" s="6">
        <v>26.38</v>
      </c>
      <c r="AD2670" s="6">
        <v>33.51</v>
      </c>
      <c r="AE2670" s="1">
        <v>0</v>
      </c>
      <c r="AF2670" s="1">
        <f ca="1">IFERROR(__xludf.DUMMYFUNCTION("IFERROR(GOOGLEFINANCE(TRIM(F2670)&amp;"":"" &amp; TRIM(B2670),""high52""),AE2670)"),19747)</f>
        <v>19747</v>
      </c>
      <c r="AG2670" s="1">
        <v>0</v>
      </c>
      <c r="AH2670" s="1">
        <f ca="1">IFERROR(__xludf.DUMMYFUNCTION("IFERROR(GOOGLEFINANCE(TRIM(F2670)&amp;"":"" &amp; TRIM(B2670),""low52""),AE2670)"),10190.7)</f>
        <v>10190.700000000001</v>
      </c>
      <c r="AI2670" s="1">
        <f ca="1">IFERROR(__xludf.DUMMYFUNCTION("IFERROR(GOOGLEFINANCE(B2670,""eps""),0)"),187.18)</f>
        <v>187.18</v>
      </c>
      <c r="AJ2670" s="1"/>
      <c r="AK2670" s="9"/>
      <c r="AL2670" s="9">
        <f t="shared" si="266"/>
        <v>1</v>
      </c>
    </row>
    <row r="2671" spans="1:38" ht="15" x14ac:dyDescent="0.25">
      <c r="A2671" s="1" t="s">
        <v>8286</v>
      </c>
      <c r="B2671" s="1" t="s">
        <v>8287</v>
      </c>
      <c r="C2671" s="1" t="s">
        <v>1682</v>
      </c>
      <c r="D2671" s="1" t="s">
        <v>1682</v>
      </c>
      <c r="E2671" s="6">
        <v>1062.81</v>
      </c>
      <c r="F2671" s="1" t="s">
        <v>40</v>
      </c>
      <c r="G2671" s="6">
        <f ca="1">IFERROR(__xludf.DUMMYFUNCTION("iferror(GOOGLEFINANCE(TRIM(F2671)&amp;"":"" &amp; TRIM(B2671), ""price""),0
)"),80.77)</f>
        <v>80.77</v>
      </c>
      <c r="H2671" s="6">
        <v>163.85</v>
      </c>
      <c r="I2671" s="6">
        <f t="shared" ca="1" si="0"/>
        <v>80.77</v>
      </c>
      <c r="J2671" s="6">
        <f ca="1">IFERROR(__xludf.DUMMYFUNCTION("IFERROR(GOOGLEFINANCE(B2671, ""volume""), 0)"),158917)</f>
        <v>158917</v>
      </c>
      <c r="K2671" s="6">
        <v>-7.0000000000000007E-2</v>
      </c>
      <c r="L2671" s="6">
        <f ca="1">IFERROR(__xludf.DUMMYFUNCTION("IFERROR(GOOGLEFINANCE(B2671,""changepct""),K2671)"),0.64)</f>
        <v>0.64</v>
      </c>
      <c r="M2671" s="6">
        <f ca="1">IFERROR(__xludf.DUMMYFUNCTION("IFERROR(GOOGLEFINANCE(B2671,""change""),0)"),0.51)</f>
        <v>0.51</v>
      </c>
      <c r="N2671" s="6">
        <v>2</v>
      </c>
      <c r="O2671" s="7">
        <v>45536</v>
      </c>
      <c r="P2671" s="6">
        <v>132.11000000000001</v>
      </c>
      <c r="Q2671" s="6">
        <v>1181.05</v>
      </c>
      <c r="R2671" s="7">
        <v>45536</v>
      </c>
      <c r="S2671" s="6">
        <v>409.71</v>
      </c>
      <c r="T2671" s="6">
        <v>-119.89</v>
      </c>
      <c r="U2671" s="7">
        <v>45536</v>
      </c>
      <c r="V2671" s="6">
        <v>0</v>
      </c>
      <c r="W2671" s="6">
        <f ca="1">IFERROR(__xludf.DUMMYFUNCTION("IFERROR(GOOGLEFINANCE(B2671,""pe""),V2671)"),0)</f>
        <v>0</v>
      </c>
      <c r="X2671" s="12"/>
      <c r="Y2671" s="6">
        <v>6.74</v>
      </c>
      <c r="Z2671" s="6">
        <v>2</v>
      </c>
      <c r="AA2671" s="8">
        <v>45352</v>
      </c>
      <c r="AB2671" s="4">
        <v>0.12</v>
      </c>
      <c r="AC2671" s="6">
        <v>-7.96</v>
      </c>
      <c r="AD2671" s="6">
        <v>-5.41</v>
      </c>
      <c r="AE2671" s="1">
        <v>0</v>
      </c>
      <c r="AF2671" s="1">
        <f ca="1">IFERROR(__xludf.DUMMYFUNCTION("IFERROR(GOOGLEFINANCE(TRIM(F2671)&amp;"":"" &amp; TRIM(B2671),""high52""),AE2671)"),141.29)</f>
        <v>141.29</v>
      </c>
      <c r="AG2671" s="1">
        <v>0</v>
      </c>
      <c r="AH2671" s="1">
        <f ca="1">IFERROR(__xludf.DUMMYFUNCTION("IFERROR(GOOGLEFINANCE(TRIM(F2671)&amp;"":"" &amp; TRIM(B2671),""low52""),AE2671)"),77.11)</f>
        <v>77.11</v>
      </c>
      <c r="AI2671" s="1">
        <f ca="1">IFERROR(__xludf.DUMMYFUNCTION("IFERROR(GOOGLEFINANCE(B2671,""eps""),0)"),-34.52)</f>
        <v>-34.520000000000003</v>
      </c>
      <c r="AJ2671" s="1"/>
      <c r="AK2671" s="1" t="s">
        <v>8288</v>
      </c>
      <c r="AL2671" s="9">
        <f t="shared" si="266"/>
        <v>1</v>
      </c>
    </row>
    <row r="2672" spans="1:38" ht="15" x14ac:dyDescent="0.25">
      <c r="A2672" s="1" t="s">
        <v>8289</v>
      </c>
      <c r="B2672" s="1" t="s">
        <v>8290</v>
      </c>
      <c r="C2672" s="1" t="s">
        <v>57</v>
      </c>
      <c r="D2672" s="1" t="s">
        <v>57</v>
      </c>
      <c r="E2672" s="6">
        <v>11.12</v>
      </c>
      <c r="F2672" s="1" t="s">
        <v>53</v>
      </c>
      <c r="G2672" s="6">
        <f ca="1">IFERROR(__xludf.DUMMYFUNCTION("iferror(GOOGLEFINANCE(TRIM(F2672)&amp;"":"" &amp; TRIM(B2672), ""price""),0
)"),0)</f>
        <v>0</v>
      </c>
      <c r="H2672" s="6">
        <v>10.39</v>
      </c>
      <c r="I2672" s="6">
        <f t="shared" ca="1" si="0"/>
        <v>10.39</v>
      </c>
      <c r="J2672" s="6">
        <f ca="1">IFERROR(__xludf.DUMMYFUNCTION("IFERROR(GOOGLEFINANCE(B2672, ""volume""), 0)"),0)</f>
        <v>0</v>
      </c>
      <c r="K2672" s="6">
        <v>-1.8</v>
      </c>
      <c r="L2672" s="6">
        <f ca="1">IFERROR(__xludf.DUMMYFUNCTION("IFERROR(GOOGLEFINANCE(B2672,""changepct""),K2672)"),-1.8)</f>
        <v>-1.8</v>
      </c>
      <c r="M2672" s="6">
        <f ca="1">IFERROR(__xludf.DUMMYFUNCTION("IFERROR(GOOGLEFINANCE(B2672,""change""),0)"),0)</f>
        <v>0</v>
      </c>
      <c r="N2672" s="6">
        <v>1</v>
      </c>
      <c r="O2672" s="7">
        <v>45536</v>
      </c>
      <c r="P2672" s="6">
        <v>0.22</v>
      </c>
      <c r="Q2672" s="6">
        <v>7.87</v>
      </c>
      <c r="R2672" s="7">
        <v>45536</v>
      </c>
      <c r="S2672" s="6">
        <v>18.420000000000002</v>
      </c>
      <c r="T2672" s="6">
        <v>-1.98</v>
      </c>
      <c r="U2672" s="7">
        <v>45536</v>
      </c>
      <c r="V2672" s="6">
        <v>0</v>
      </c>
      <c r="W2672" s="6">
        <f ca="1">IFERROR(__xludf.DUMMYFUNCTION("IFERROR(GOOGLEFINANCE(B2672,""pe""),V2672)"),0)</f>
        <v>0</v>
      </c>
      <c r="X2672" s="6">
        <v>0</v>
      </c>
      <c r="Y2672" s="6">
        <v>0.7</v>
      </c>
      <c r="Z2672" s="6">
        <v>2</v>
      </c>
      <c r="AA2672" s="8">
        <v>44986</v>
      </c>
      <c r="AB2672" s="4">
        <v>0.05</v>
      </c>
      <c r="AC2672" s="6">
        <v>12.02</v>
      </c>
      <c r="AD2672" s="6">
        <v>14.92</v>
      </c>
      <c r="AE2672" s="1">
        <v>0</v>
      </c>
      <c r="AF2672" s="1">
        <f ca="1">IFERROR(__xludf.DUMMYFUNCTION("IFERROR(GOOGLEFINANCE(TRIM(F2672)&amp;"":"" &amp; TRIM(B2672),""high52""),AE2672)"),0)</f>
        <v>0</v>
      </c>
      <c r="AG2672" s="1">
        <v>0</v>
      </c>
      <c r="AH2672" s="1">
        <f ca="1">IFERROR(__xludf.DUMMYFUNCTION("IFERROR(GOOGLEFINANCE(TRIM(F2672)&amp;"":"" &amp; TRIM(B2672),""low52""),AE2672)"),0)</f>
        <v>0</v>
      </c>
      <c r="AI2672" s="1">
        <f ca="1">IFERROR(__xludf.DUMMYFUNCTION("IFERROR(GOOGLEFINANCE(B2672,""eps""),0)"),0)</f>
        <v>0</v>
      </c>
      <c r="AJ2672" s="1"/>
      <c r="AK2672" s="1" t="s">
        <v>8291</v>
      </c>
      <c r="AL2672" s="9">
        <f t="shared" si="266"/>
        <v>1</v>
      </c>
    </row>
    <row r="2673" spans="1:38" ht="15" x14ac:dyDescent="0.25">
      <c r="A2673" s="1" t="s">
        <v>8292</v>
      </c>
      <c r="B2673" s="1" t="s">
        <v>8293</v>
      </c>
      <c r="C2673" s="1" t="s">
        <v>57</v>
      </c>
      <c r="D2673" s="1" t="s">
        <v>57</v>
      </c>
      <c r="E2673" s="6">
        <v>187.07</v>
      </c>
      <c r="F2673" s="1" t="s">
        <v>53</v>
      </c>
      <c r="G2673" s="6">
        <f ca="1">IFERROR(__xludf.DUMMYFUNCTION("iferror(GOOGLEFINANCE(TRIM(F2673)&amp;"":"" &amp; TRIM(B2673), ""price""),0
)"),0)</f>
        <v>0</v>
      </c>
      <c r="H2673" s="6">
        <v>118</v>
      </c>
      <c r="I2673" s="6">
        <f t="shared" ca="1" si="0"/>
        <v>118</v>
      </c>
      <c r="J2673" s="6">
        <f ca="1">IFERROR(__xludf.DUMMYFUNCTION("IFERROR(GOOGLEFINANCE(B2673, ""volume""), 0)"),0)</f>
        <v>0</v>
      </c>
      <c r="K2673" s="6">
        <v>0.08</v>
      </c>
      <c r="L2673" s="6">
        <f ca="1">IFERROR(__xludf.DUMMYFUNCTION("IFERROR(GOOGLEFINANCE(B2673,""changepct""),K2673)"),0.08)</f>
        <v>0.08</v>
      </c>
      <c r="M2673" s="6">
        <f ca="1">IFERROR(__xludf.DUMMYFUNCTION("IFERROR(GOOGLEFINANCE(B2673,""change""),0)"),0)</f>
        <v>0</v>
      </c>
      <c r="N2673" s="6">
        <v>1</v>
      </c>
      <c r="O2673" s="7">
        <v>45536</v>
      </c>
      <c r="P2673" s="9"/>
      <c r="Q2673" s="6">
        <v>187.07</v>
      </c>
      <c r="R2673" s="7">
        <v>45536</v>
      </c>
      <c r="S2673" s="6">
        <v>28.14</v>
      </c>
      <c r="T2673" s="6">
        <v>5.37</v>
      </c>
      <c r="U2673" s="7">
        <v>45536</v>
      </c>
      <c r="V2673" s="6">
        <v>34.86</v>
      </c>
      <c r="W2673" s="6">
        <f ca="1">IFERROR(__xludf.DUMMYFUNCTION("IFERROR(GOOGLEFINANCE(B2673,""pe""),V2673)"),34.86)</f>
        <v>34.86</v>
      </c>
      <c r="X2673" s="6">
        <v>0.74</v>
      </c>
      <c r="Y2673" s="6">
        <v>3.51</v>
      </c>
      <c r="Z2673" s="6">
        <v>1</v>
      </c>
      <c r="AA2673" s="8">
        <v>45352</v>
      </c>
      <c r="AB2673" s="4">
        <v>0</v>
      </c>
      <c r="AC2673" s="6">
        <v>9.01</v>
      </c>
      <c r="AD2673" s="6">
        <v>12.04</v>
      </c>
      <c r="AE2673" s="1">
        <v>0</v>
      </c>
      <c r="AF2673" s="1">
        <f ca="1">IFERROR(__xludf.DUMMYFUNCTION("IFERROR(GOOGLEFINANCE(TRIM(F2673)&amp;"":"" &amp; TRIM(B2673),""high52""),AE2673)"),0)</f>
        <v>0</v>
      </c>
      <c r="AG2673" s="1">
        <v>0</v>
      </c>
      <c r="AH2673" s="1">
        <f ca="1">IFERROR(__xludf.DUMMYFUNCTION("IFERROR(GOOGLEFINANCE(TRIM(F2673)&amp;"":"" &amp; TRIM(B2673),""low52""),AE2673)"),0)</f>
        <v>0</v>
      </c>
      <c r="AI2673" s="1">
        <f ca="1">IFERROR(__xludf.DUMMYFUNCTION("IFERROR(GOOGLEFINANCE(B2673,""eps""),0)"),0)</f>
        <v>0</v>
      </c>
      <c r="AJ2673" s="1"/>
      <c r="AK2673" s="1" t="s">
        <v>8294</v>
      </c>
      <c r="AL2673" s="9">
        <f t="shared" si="266"/>
        <v>1</v>
      </c>
    </row>
    <row r="2674" spans="1:38" ht="15" x14ac:dyDescent="0.25">
      <c r="A2674" s="1" t="s">
        <v>8295</v>
      </c>
      <c r="B2674" s="1" t="s">
        <v>8296</v>
      </c>
      <c r="C2674" s="1" t="s">
        <v>57</v>
      </c>
      <c r="D2674" s="1" t="s">
        <v>57</v>
      </c>
      <c r="E2674" s="6">
        <v>48.89</v>
      </c>
      <c r="F2674" s="1" t="s">
        <v>53</v>
      </c>
      <c r="G2674" s="6">
        <f ca="1">IFERROR(__xludf.DUMMYFUNCTION("iferror(GOOGLEFINANCE(TRIM(F2674)&amp;"":"" &amp; TRIM(B2674), ""price""),0
)"),0)</f>
        <v>0</v>
      </c>
      <c r="H2674" s="6">
        <v>290.45</v>
      </c>
      <c r="I2674" s="6">
        <f t="shared" ca="1" si="0"/>
        <v>290.45</v>
      </c>
      <c r="J2674" s="6">
        <f ca="1">IFERROR(__xludf.DUMMYFUNCTION("IFERROR(GOOGLEFINANCE(B2674, ""volume""), 0)"),0)</f>
        <v>0</v>
      </c>
      <c r="K2674" s="6">
        <v>-4.99</v>
      </c>
      <c r="L2674" s="6">
        <f ca="1">IFERROR(__xludf.DUMMYFUNCTION("IFERROR(GOOGLEFINANCE(B2674,""changepct""),K2674)"),-4.99)</f>
        <v>-4.99</v>
      </c>
      <c r="M2674" s="6">
        <f ca="1">IFERROR(__xludf.DUMMYFUNCTION("IFERROR(GOOGLEFINANCE(B2674,""change""),0)"),0)</f>
        <v>0</v>
      </c>
      <c r="N2674" s="6">
        <v>1</v>
      </c>
      <c r="O2674" s="7">
        <v>45536</v>
      </c>
      <c r="P2674" s="6">
        <v>9.48</v>
      </c>
      <c r="Q2674" s="6">
        <v>58.37</v>
      </c>
      <c r="R2674" s="7">
        <v>45536</v>
      </c>
      <c r="S2674" s="6">
        <v>0.11</v>
      </c>
      <c r="T2674" s="6">
        <v>0.56000000000000005</v>
      </c>
      <c r="U2674" s="7">
        <v>45536</v>
      </c>
      <c r="V2674" s="6">
        <v>86.69</v>
      </c>
      <c r="W2674" s="6">
        <f ca="1">IFERROR(__xludf.DUMMYFUNCTION("IFERROR(GOOGLEFINANCE(B2674,""pe""),V2674)"),86.69)</f>
        <v>86.69</v>
      </c>
      <c r="X2674" s="9"/>
      <c r="Y2674" s="6">
        <v>2.2599999999999998</v>
      </c>
      <c r="Z2674" s="6">
        <v>1</v>
      </c>
      <c r="AA2674" s="8">
        <v>45352</v>
      </c>
      <c r="AB2674" s="4">
        <v>18.11</v>
      </c>
      <c r="AC2674" s="6">
        <v>-10.71</v>
      </c>
      <c r="AD2674" s="6">
        <v>-0.5</v>
      </c>
      <c r="AE2674" s="1">
        <v>0</v>
      </c>
      <c r="AF2674" s="1">
        <f ca="1">IFERROR(__xludf.DUMMYFUNCTION("IFERROR(GOOGLEFINANCE(TRIM(F2674)&amp;"":"" &amp; TRIM(B2674),""high52""),AE2674)"),0)</f>
        <v>0</v>
      </c>
      <c r="AG2674" s="1">
        <v>0</v>
      </c>
      <c r="AH2674" s="1">
        <f ca="1">IFERROR(__xludf.DUMMYFUNCTION("IFERROR(GOOGLEFINANCE(TRIM(F2674)&amp;"":"" &amp; TRIM(B2674),""low52""),AE2674)"),0)</f>
        <v>0</v>
      </c>
      <c r="AI2674" s="1">
        <f ca="1">IFERROR(__xludf.DUMMYFUNCTION("IFERROR(GOOGLEFINANCE(B2674,""eps""),0)"),0)</f>
        <v>0</v>
      </c>
      <c r="AJ2674" s="1"/>
      <c r="AK2674" s="1" t="s">
        <v>8297</v>
      </c>
      <c r="AL2674" s="9">
        <f t="shared" si="266"/>
        <v>1</v>
      </c>
    </row>
    <row r="2675" spans="1:38" ht="15" x14ac:dyDescent="0.25">
      <c r="A2675" s="1" t="s">
        <v>8298</v>
      </c>
      <c r="B2675" s="1" t="s">
        <v>8299</v>
      </c>
      <c r="C2675" s="1" t="s">
        <v>57</v>
      </c>
      <c r="D2675" s="1" t="s">
        <v>57</v>
      </c>
      <c r="E2675" s="6">
        <v>7.08</v>
      </c>
      <c r="F2675" s="1" t="s">
        <v>53</v>
      </c>
      <c r="G2675" s="6">
        <f ca="1">IFERROR(__xludf.DUMMYFUNCTION("iferror(GOOGLEFINANCE(TRIM(F2675)&amp;"":"" &amp; TRIM(B2675), ""price""),0
)"),0)</f>
        <v>0</v>
      </c>
      <c r="H2675" s="6">
        <v>4.1100000000000003</v>
      </c>
      <c r="I2675" s="6">
        <f t="shared" ca="1" si="0"/>
        <v>4.1100000000000003</v>
      </c>
      <c r="J2675" s="6">
        <f ca="1">IFERROR(__xludf.DUMMYFUNCTION("IFERROR(GOOGLEFINANCE(B2675, ""volume""), 0)"),0)</f>
        <v>0</v>
      </c>
      <c r="K2675" s="6">
        <v>0</v>
      </c>
      <c r="L2675" s="6">
        <f ca="1">IFERROR(__xludf.DUMMYFUNCTION("IFERROR(GOOGLEFINANCE(B2675,""changepct""),K2675)"),0)</f>
        <v>0</v>
      </c>
      <c r="M2675" s="6">
        <f ca="1">IFERROR(__xludf.DUMMYFUNCTION("IFERROR(GOOGLEFINANCE(B2675,""change""),0)"),0)</f>
        <v>0</v>
      </c>
      <c r="N2675" s="6">
        <v>1</v>
      </c>
      <c r="O2675" s="7">
        <v>45536</v>
      </c>
      <c r="P2675" s="9"/>
      <c r="Q2675" s="6">
        <v>7.08</v>
      </c>
      <c r="R2675" s="7">
        <v>45536</v>
      </c>
      <c r="S2675" s="6">
        <v>0.09</v>
      </c>
      <c r="T2675" s="6">
        <v>-0.08</v>
      </c>
      <c r="U2675" s="7">
        <v>45536</v>
      </c>
      <c r="V2675" s="6">
        <v>0</v>
      </c>
      <c r="W2675" s="6">
        <f ca="1">IFERROR(__xludf.DUMMYFUNCTION("IFERROR(GOOGLEFINANCE(B2675,""pe""),V2675)"),0)</f>
        <v>0</v>
      </c>
      <c r="X2675" s="6">
        <v>0</v>
      </c>
      <c r="Y2675" s="6">
        <v>0.61</v>
      </c>
      <c r="Z2675" s="6">
        <v>1</v>
      </c>
      <c r="AA2675" s="8">
        <v>45352</v>
      </c>
      <c r="AB2675" s="4">
        <v>0</v>
      </c>
      <c r="AC2675" s="6">
        <v>-0.83</v>
      </c>
      <c r="AD2675" s="6">
        <v>-0.83</v>
      </c>
      <c r="AE2675" s="1">
        <v>0</v>
      </c>
      <c r="AF2675" s="1">
        <f ca="1">IFERROR(__xludf.DUMMYFUNCTION("IFERROR(GOOGLEFINANCE(TRIM(F2675)&amp;"":"" &amp; TRIM(B2675),""high52""),AE2675)"),0)</f>
        <v>0</v>
      </c>
      <c r="AG2675" s="1">
        <v>0</v>
      </c>
      <c r="AH2675" s="1">
        <f ca="1">IFERROR(__xludf.DUMMYFUNCTION("IFERROR(GOOGLEFINANCE(TRIM(F2675)&amp;"":"" &amp; TRIM(B2675),""low52""),AE2675)"),0)</f>
        <v>0</v>
      </c>
      <c r="AI2675" s="1">
        <f ca="1">IFERROR(__xludf.DUMMYFUNCTION("IFERROR(GOOGLEFINANCE(B2675,""eps""),0)"),0)</f>
        <v>0</v>
      </c>
      <c r="AJ2675" s="1"/>
      <c r="AK2675" s="1" t="s">
        <v>8300</v>
      </c>
      <c r="AL2675" s="9">
        <f t="shared" si="266"/>
        <v>1</v>
      </c>
    </row>
    <row r="2676" spans="1:38" ht="15" x14ac:dyDescent="0.25">
      <c r="A2676" s="1" t="s">
        <v>8301</v>
      </c>
      <c r="B2676" s="1" t="s">
        <v>8302</v>
      </c>
      <c r="C2676" s="1" t="s">
        <v>57</v>
      </c>
      <c r="D2676" s="1" t="s">
        <v>57</v>
      </c>
      <c r="E2676" s="6">
        <v>24111.95</v>
      </c>
      <c r="F2676" s="1" t="s">
        <v>40</v>
      </c>
      <c r="G2676" s="6">
        <f ca="1">IFERROR(__xludf.DUMMYFUNCTION("iferror(GOOGLEFINANCE(TRIM(F2676)&amp;"":"" &amp; TRIM(B2676), ""price""),0
)"),557.8)</f>
        <v>557.79999999999995</v>
      </c>
      <c r="H2676" s="6">
        <v>1697.5</v>
      </c>
      <c r="I2676" s="6">
        <f t="shared" ca="1" si="0"/>
        <v>557.79999999999995</v>
      </c>
      <c r="J2676" s="6">
        <f ca="1">IFERROR(__xludf.DUMMYFUNCTION("IFERROR(GOOGLEFINANCE(B2676, ""volume""), 0)"),557766)</f>
        <v>557766</v>
      </c>
      <c r="K2676" s="6">
        <v>-1.24</v>
      </c>
      <c r="L2676" s="6">
        <f ca="1">IFERROR(__xludf.DUMMYFUNCTION("IFERROR(GOOGLEFINANCE(B2676,""changepct""),K2676)"),-2.63)</f>
        <v>-2.63</v>
      </c>
      <c r="M2676" s="6">
        <f ca="1">IFERROR(__xludf.DUMMYFUNCTION("IFERROR(GOOGLEFINANCE(B2676,""change""),0)"),-15.05)</f>
        <v>-15.05</v>
      </c>
      <c r="N2676" s="6">
        <v>2</v>
      </c>
      <c r="O2676" s="7">
        <v>45536</v>
      </c>
      <c r="P2676" s="6">
        <v>2.29</v>
      </c>
      <c r="Q2676" s="6">
        <v>23780.62</v>
      </c>
      <c r="R2676" s="7">
        <v>45536</v>
      </c>
      <c r="S2676" s="6">
        <v>1374.8</v>
      </c>
      <c r="T2676" s="6">
        <v>291.52</v>
      </c>
      <c r="U2676" s="7">
        <v>45536</v>
      </c>
      <c r="V2676" s="6">
        <v>82.71</v>
      </c>
      <c r="W2676" s="6">
        <f ca="1">IFERROR(__xludf.DUMMYFUNCTION("IFERROR(GOOGLEFINANCE(B2676,""pe""),V2676)"),26.4)</f>
        <v>26.4</v>
      </c>
      <c r="X2676" s="6">
        <v>4.1900000000000004</v>
      </c>
      <c r="Y2676" s="6">
        <v>18.559999999999999</v>
      </c>
      <c r="Z2676" s="6">
        <v>2</v>
      </c>
      <c r="AA2676" s="8">
        <v>45352</v>
      </c>
      <c r="AB2676" s="4">
        <v>0</v>
      </c>
      <c r="AC2676" s="6">
        <v>23.51</v>
      </c>
      <c r="AD2676" s="6">
        <v>27.88</v>
      </c>
      <c r="AE2676" s="1">
        <v>0</v>
      </c>
      <c r="AF2676" s="1">
        <f ca="1">IFERROR(__xludf.DUMMYFUNCTION("IFERROR(GOOGLEFINANCE(TRIM(F2676)&amp;"":"" &amp; TRIM(B2676),""high52""),AE2676)"),1377.15)</f>
        <v>1377.15</v>
      </c>
      <c r="AG2676" s="1">
        <v>0</v>
      </c>
      <c r="AH2676" s="1">
        <f ca="1">IFERROR(__xludf.DUMMYFUNCTION("IFERROR(GOOGLEFINANCE(TRIM(F2676)&amp;"":"" &amp; TRIM(B2676),""low52""),AE2676)"),544.15)</f>
        <v>544.15</v>
      </c>
      <c r="AI2676" s="1">
        <f ca="1">IFERROR(__xludf.DUMMYFUNCTION("IFERROR(GOOGLEFINANCE(B2676,""eps""),0)"),21.13)</f>
        <v>21.13</v>
      </c>
      <c r="AJ2676" s="1"/>
      <c r="AK2676" s="1" t="s">
        <v>8303</v>
      </c>
      <c r="AL2676" s="9">
        <f t="shared" si="266"/>
        <v>1</v>
      </c>
    </row>
    <row r="2677" spans="1:38" ht="15" x14ac:dyDescent="0.25">
      <c r="A2677" s="1" t="s">
        <v>8304</v>
      </c>
      <c r="B2677" s="1" t="s">
        <v>8305</v>
      </c>
      <c r="C2677" s="1" t="s">
        <v>227</v>
      </c>
      <c r="D2677" s="1" t="s">
        <v>227</v>
      </c>
      <c r="E2677" s="6">
        <v>324.49</v>
      </c>
      <c r="F2677" s="1" t="s">
        <v>40</v>
      </c>
      <c r="G2677" s="6">
        <f ca="1">IFERROR(__xludf.DUMMYFUNCTION("iferror(GOOGLEFINANCE(TRIM(F2677)&amp;"":"" &amp; TRIM(B2677), ""price""),0
)"),0)</f>
        <v>0</v>
      </c>
      <c r="H2677" s="6">
        <v>84.5</v>
      </c>
      <c r="I2677" s="6">
        <f t="shared" ca="1" si="0"/>
        <v>84.5</v>
      </c>
      <c r="J2677" s="6">
        <f ca="1">IFERROR(__xludf.DUMMYFUNCTION("IFERROR(GOOGLEFINANCE(B2677, ""volume""), 0)"),0)</f>
        <v>0</v>
      </c>
      <c r="K2677" s="6">
        <v>0.24</v>
      </c>
      <c r="L2677" s="6">
        <f ca="1">IFERROR(__xludf.DUMMYFUNCTION("IFERROR(GOOGLEFINANCE(B2677,""changepct""),K2677)"),0.24)</f>
        <v>0.24</v>
      </c>
      <c r="M2677" s="6">
        <f ca="1">IFERROR(__xludf.DUMMYFUNCTION("IFERROR(GOOGLEFINANCE(B2677,""change""),0)"),0)</f>
        <v>0</v>
      </c>
      <c r="N2677" s="6">
        <v>1</v>
      </c>
      <c r="O2677" s="7">
        <v>45536</v>
      </c>
      <c r="P2677" s="6">
        <v>16.79</v>
      </c>
      <c r="Q2677" s="6">
        <v>341.28</v>
      </c>
      <c r="R2677" s="7">
        <v>45352</v>
      </c>
      <c r="S2677" s="6">
        <v>61.73</v>
      </c>
      <c r="T2677" s="6">
        <v>6.32</v>
      </c>
      <c r="U2677" s="7">
        <v>45352</v>
      </c>
      <c r="V2677" s="6">
        <v>51.37</v>
      </c>
      <c r="W2677" s="6">
        <f ca="1">IFERROR(__xludf.DUMMYFUNCTION("IFERROR(GOOGLEFINANCE(B2677,""pe""),V2677)"),51.37)</f>
        <v>51.37</v>
      </c>
      <c r="X2677" s="9"/>
      <c r="Y2677" s="6">
        <v>2.78</v>
      </c>
      <c r="Z2677" s="6">
        <v>1</v>
      </c>
      <c r="AA2677" s="8">
        <v>45352</v>
      </c>
      <c r="AB2677" s="4">
        <v>0.14000000000000001</v>
      </c>
      <c r="AC2677" s="6">
        <v>19.579999999999998</v>
      </c>
      <c r="AD2677" s="6">
        <v>20.94</v>
      </c>
      <c r="AE2677" s="1">
        <v>0</v>
      </c>
      <c r="AF2677" s="1">
        <f ca="1">IFERROR(__xludf.DUMMYFUNCTION("IFERROR(GOOGLEFINANCE(TRIM(F2677)&amp;"":"" &amp; TRIM(B2677),""high52""),AE2677)"),0)</f>
        <v>0</v>
      </c>
      <c r="AG2677" s="1">
        <v>0</v>
      </c>
      <c r="AH2677" s="1">
        <f ca="1">IFERROR(__xludf.DUMMYFUNCTION("IFERROR(GOOGLEFINANCE(TRIM(F2677)&amp;"":"" &amp; TRIM(B2677),""low52""),AE2677)"),0)</f>
        <v>0</v>
      </c>
      <c r="AI2677" s="1">
        <f ca="1">IFERROR(__xludf.DUMMYFUNCTION("IFERROR(GOOGLEFINANCE(B2677,""eps""),0)"),0)</f>
        <v>0</v>
      </c>
      <c r="AJ2677" s="1"/>
      <c r="AK2677" s="1" t="s">
        <v>8306</v>
      </c>
      <c r="AL2677" s="9">
        <f t="shared" si="266"/>
        <v>1</v>
      </c>
    </row>
    <row r="2678" spans="1:38" ht="15" x14ac:dyDescent="0.25">
      <c r="A2678" s="1" t="s">
        <v>8307</v>
      </c>
      <c r="B2678" s="1" t="s">
        <v>8308</v>
      </c>
      <c r="C2678" s="1" t="s">
        <v>219</v>
      </c>
      <c r="D2678" s="1" t="s">
        <v>219</v>
      </c>
      <c r="E2678" s="6">
        <v>120.49</v>
      </c>
      <c r="F2678" s="1" t="s">
        <v>40</v>
      </c>
      <c r="G2678" s="6">
        <f ca="1">IFERROR(__xludf.DUMMYFUNCTION("iferror(GOOGLEFINANCE(TRIM(F2678)&amp;"":"" &amp; TRIM(B2678), ""price""),0
)"),0)</f>
        <v>0</v>
      </c>
      <c r="H2678" s="6">
        <v>73.150000000000006</v>
      </c>
      <c r="I2678" s="6">
        <f t="shared" ca="1" si="0"/>
        <v>73.150000000000006</v>
      </c>
      <c r="J2678" s="6">
        <f ca="1">IFERROR(__xludf.DUMMYFUNCTION("IFERROR(GOOGLEFINANCE(B2678, ""volume""), 0)"),0)</f>
        <v>0</v>
      </c>
      <c r="K2678" s="6">
        <v>4.95</v>
      </c>
      <c r="L2678" s="6">
        <f ca="1">IFERROR(__xludf.DUMMYFUNCTION("IFERROR(GOOGLEFINANCE(B2678,""changepct""),K2678)"),4.95)</f>
        <v>4.95</v>
      </c>
      <c r="M2678" s="6">
        <f ca="1">IFERROR(__xludf.DUMMYFUNCTION("IFERROR(GOOGLEFINANCE(B2678,""change""),0)"),0)</f>
        <v>0</v>
      </c>
      <c r="N2678" s="6">
        <v>1</v>
      </c>
      <c r="O2678" s="7">
        <v>45352</v>
      </c>
      <c r="P2678" s="6">
        <v>59.11</v>
      </c>
      <c r="Q2678" s="6">
        <v>166.83</v>
      </c>
      <c r="R2678" s="9"/>
      <c r="S2678" s="9"/>
      <c r="T2678" s="9"/>
      <c r="U2678" s="7">
        <v>45352</v>
      </c>
      <c r="V2678" s="6">
        <v>28.23</v>
      </c>
      <c r="W2678" s="6">
        <f ca="1">IFERROR(__xludf.DUMMYFUNCTION("IFERROR(GOOGLEFINANCE(B2678,""pe""),V2678)"),28.23)</f>
        <v>28.23</v>
      </c>
      <c r="X2678" s="9"/>
      <c r="Y2678" s="6">
        <v>1.47</v>
      </c>
      <c r="Z2678" s="6">
        <v>1</v>
      </c>
      <c r="AA2678" s="8">
        <v>45352</v>
      </c>
      <c r="AB2678" s="4">
        <v>1.46</v>
      </c>
      <c r="AC2678" s="6">
        <v>11.13</v>
      </c>
      <c r="AD2678" s="6">
        <v>10.98</v>
      </c>
      <c r="AE2678" s="1">
        <v>0</v>
      </c>
      <c r="AF2678" s="1">
        <f ca="1">IFERROR(__xludf.DUMMYFUNCTION("IFERROR(GOOGLEFINANCE(TRIM(F2678)&amp;"":"" &amp; TRIM(B2678),""high52""),AE2678)"),0)</f>
        <v>0</v>
      </c>
      <c r="AG2678" s="1">
        <v>0</v>
      </c>
      <c r="AH2678" s="1">
        <f ca="1">IFERROR(__xludf.DUMMYFUNCTION("IFERROR(GOOGLEFINANCE(TRIM(F2678)&amp;"":"" &amp; TRIM(B2678),""low52""),AE2678)"),0)</f>
        <v>0</v>
      </c>
      <c r="AI2678" s="1">
        <f ca="1">IFERROR(__xludf.DUMMYFUNCTION("IFERROR(GOOGLEFINANCE(B2678,""eps""),0)"),0)</f>
        <v>0</v>
      </c>
      <c r="AJ2678" s="1"/>
      <c r="AK2678" s="1" t="s">
        <v>8309</v>
      </c>
      <c r="AL2678" s="9">
        <f t="shared" si="266"/>
        <v>1</v>
      </c>
    </row>
    <row r="2679" spans="1:38" ht="15" x14ac:dyDescent="0.25">
      <c r="A2679" s="1" t="s">
        <v>8310</v>
      </c>
      <c r="B2679" s="1" t="s">
        <v>8311</v>
      </c>
      <c r="C2679" s="1" t="s">
        <v>57</v>
      </c>
      <c r="D2679" s="1" t="s">
        <v>57</v>
      </c>
      <c r="E2679" s="6">
        <v>113.99</v>
      </c>
      <c r="F2679" s="1" t="s">
        <v>53</v>
      </c>
      <c r="G2679" s="6">
        <f ca="1">IFERROR(__xludf.DUMMYFUNCTION("iferror(GOOGLEFINANCE(TRIM(F2679)&amp;"":"" &amp; TRIM(B2679), ""price""),0
)"),0)</f>
        <v>0</v>
      </c>
      <c r="H2679" s="6">
        <v>3.37</v>
      </c>
      <c r="I2679" s="6">
        <f t="shared" ca="1" si="0"/>
        <v>3.37</v>
      </c>
      <c r="J2679" s="6">
        <f ca="1">IFERROR(__xludf.DUMMYFUNCTION("IFERROR(GOOGLEFINANCE(B2679, ""volume""), 0)"),174694)</f>
        <v>174694</v>
      </c>
      <c r="K2679" s="6">
        <v>-2.3199999999999998</v>
      </c>
      <c r="L2679" s="6">
        <f ca="1">IFERROR(__xludf.DUMMYFUNCTION("IFERROR(GOOGLEFINANCE(B2679,""changepct""),K2679)"),-1.05)</f>
        <v>-1.05</v>
      </c>
      <c r="M2679" s="6">
        <f ca="1">IFERROR(__xludf.DUMMYFUNCTION("IFERROR(GOOGLEFINANCE(B2679,""change""),0)"),-0.03)</f>
        <v>-0.03</v>
      </c>
      <c r="N2679" s="6">
        <v>1</v>
      </c>
      <c r="O2679" s="7">
        <v>45536</v>
      </c>
      <c r="P2679" s="9"/>
      <c r="Q2679" s="6">
        <v>113.99</v>
      </c>
      <c r="R2679" s="7">
        <v>45536</v>
      </c>
      <c r="S2679" s="6">
        <v>15</v>
      </c>
      <c r="T2679" s="6">
        <v>-13.76</v>
      </c>
      <c r="U2679" s="7">
        <v>45536</v>
      </c>
      <c r="V2679" s="6">
        <v>0</v>
      </c>
      <c r="W2679" s="6">
        <f ca="1">IFERROR(__xludf.DUMMYFUNCTION("IFERROR(GOOGLEFINANCE(B2679,""pe""),V2679)"),18.81)</f>
        <v>18.809999999999999</v>
      </c>
      <c r="X2679" s="6">
        <v>0</v>
      </c>
      <c r="Y2679" s="6">
        <v>1.01</v>
      </c>
      <c r="Z2679" s="6">
        <v>2</v>
      </c>
      <c r="AA2679" s="17">
        <v>45352</v>
      </c>
      <c r="AB2679" s="18">
        <v>0.14000000000000001</v>
      </c>
      <c r="AC2679" s="6">
        <v>0.65</v>
      </c>
      <c r="AD2679" s="6">
        <v>1.23</v>
      </c>
      <c r="AE2679" s="1">
        <v>0</v>
      </c>
      <c r="AF2679" s="1">
        <f ca="1">IFERROR(__xludf.DUMMYFUNCTION("IFERROR(GOOGLEFINANCE(TRIM(F2679)&amp;"":"" &amp; TRIM(B2679),""high52""),AE2679)"),0)</f>
        <v>0</v>
      </c>
      <c r="AG2679" s="1">
        <v>0</v>
      </c>
      <c r="AH2679" s="1">
        <f ca="1">IFERROR(__xludf.DUMMYFUNCTION("IFERROR(GOOGLEFINANCE(TRIM(F2679)&amp;"":"" &amp; TRIM(B2679),""low52""),AE2679)"),0)</f>
        <v>0</v>
      </c>
      <c r="AI2679" s="1">
        <f ca="1">IFERROR(__xludf.DUMMYFUNCTION("IFERROR(GOOGLEFINANCE(B2679,""eps""),0)"),0.15)</f>
        <v>0.15</v>
      </c>
      <c r="AJ2679" s="1"/>
      <c r="AK2679" s="1" t="s">
        <v>8312</v>
      </c>
      <c r="AL2679" s="9">
        <f t="shared" si="266"/>
        <v>1</v>
      </c>
    </row>
    <row r="2680" spans="1:38" ht="15" x14ac:dyDescent="0.25">
      <c r="A2680" s="1" t="s">
        <v>8313</v>
      </c>
      <c r="B2680" s="1" t="s">
        <v>8314</v>
      </c>
      <c r="C2680" s="1" t="s">
        <v>57</v>
      </c>
      <c r="D2680" s="1" t="s">
        <v>57</v>
      </c>
      <c r="E2680" s="6">
        <v>10.85</v>
      </c>
      <c r="F2680" s="1" t="s">
        <v>53</v>
      </c>
      <c r="G2680" s="6">
        <f ca="1">IFERROR(__xludf.DUMMYFUNCTION("iferror(GOOGLEFINANCE(TRIM(F2680)&amp;"":"" &amp; TRIM(B2680), ""price""),0
)"),0)</f>
        <v>0</v>
      </c>
      <c r="H2680" s="6">
        <v>8.3699999999999992</v>
      </c>
      <c r="I2680" s="6">
        <f t="shared" ca="1" si="0"/>
        <v>8.3699999999999992</v>
      </c>
      <c r="J2680" s="6">
        <f ca="1">IFERROR(__xludf.DUMMYFUNCTION("IFERROR(GOOGLEFINANCE(B2680, ""volume""), 0)"),0)</f>
        <v>0</v>
      </c>
      <c r="K2680" s="9"/>
      <c r="L2680" s="6" t="str">
        <f ca="1">IFERROR(__xludf.DUMMYFUNCTION("IFERROR(GOOGLEFINANCE(B2680,""changepct""),K2680)"),"")</f>
        <v/>
      </c>
      <c r="M2680" s="6">
        <f ca="1">IFERROR(__xludf.DUMMYFUNCTION("IFERROR(GOOGLEFINANCE(B2680,""change""),0)"),0)</f>
        <v>0</v>
      </c>
      <c r="N2680" s="6">
        <v>1</v>
      </c>
      <c r="O2680" s="7">
        <v>45536</v>
      </c>
      <c r="P2680" s="6">
        <v>5.69</v>
      </c>
      <c r="Q2680" s="6">
        <v>16.55</v>
      </c>
      <c r="R2680" s="7">
        <v>45536</v>
      </c>
      <c r="S2680" s="6">
        <v>2.1800000000000002</v>
      </c>
      <c r="T2680" s="6">
        <v>0.06</v>
      </c>
      <c r="U2680" s="7">
        <v>45536</v>
      </c>
      <c r="V2680" s="6">
        <v>175.07</v>
      </c>
      <c r="W2680" s="6">
        <f ca="1">IFERROR(__xludf.DUMMYFUNCTION("IFERROR(GOOGLEFINANCE(B2680,""pe""),V2680)"),175.07)</f>
        <v>175.07</v>
      </c>
      <c r="X2680" s="6">
        <v>11</v>
      </c>
      <c r="Y2680" s="6">
        <v>4.0599999999999996</v>
      </c>
      <c r="Z2680" s="6">
        <v>1</v>
      </c>
      <c r="AA2680" s="8">
        <v>45352</v>
      </c>
      <c r="AB2680" s="4">
        <v>2.44</v>
      </c>
      <c r="AC2680" s="6">
        <v>2.42</v>
      </c>
      <c r="AD2680" s="6">
        <v>0.99</v>
      </c>
      <c r="AE2680" s="1">
        <v>0</v>
      </c>
      <c r="AF2680" s="1">
        <f ca="1">IFERROR(__xludf.DUMMYFUNCTION("IFERROR(GOOGLEFINANCE(TRIM(F2680)&amp;"":"" &amp; TRIM(B2680),""high52""),AE2680)"),0)</f>
        <v>0</v>
      </c>
      <c r="AG2680" s="1">
        <v>0</v>
      </c>
      <c r="AH2680" s="1">
        <f ca="1">IFERROR(__xludf.DUMMYFUNCTION("IFERROR(GOOGLEFINANCE(TRIM(F2680)&amp;"":"" &amp; TRIM(B2680),""low52""),AE2680)"),0)</f>
        <v>0</v>
      </c>
      <c r="AI2680" s="1">
        <f ca="1">IFERROR(__xludf.DUMMYFUNCTION("IFERROR(GOOGLEFINANCE(B2680,""eps""),0)"),0)</f>
        <v>0</v>
      </c>
      <c r="AJ2680" s="1"/>
      <c r="AK2680" s="1" t="s">
        <v>8315</v>
      </c>
      <c r="AL2680" s="9">
        <f t="shared" si="266"/>
        <v>1</v>
      </c>
    </row>
    <row r="2681" spans="1:38" ht="15" x14ac:dyDescent="0.25">
      <c r="A2681" s="1" t="s">
        <v>8316</v>
      </c>
      <c r="B2681" s="1" t="s">
        <v>8317</v>
      </c>
      <c r="C2681" s="1" t="s">
        <v>778</v>
      </c>
      <c r="D2681" s="1" t="s">
        <v>778</v>
      </c>
      <c r="E2681" s="6">
        <v>56.86</v>
      </c>
      <c r="F2681" s="1" t="s">
        <v>40</v>
      </c>
      <c r="G2681" s="6">
        <f ca="1">IFERROR(__xludf.DUMMYFUNCTION("iferror(GOOGLEFINANCE(TRIM(F2681)&amp;"":"" &amp; TRIM(B2681), ""price""),0
)"),5.18)</f>
        <v>5.18</v>
      </c>
      <c r="H2681" s="6">
        <v>8.3000000000000007</v>
      </c>
      <c r="I2681" s="6">
        <f t="shared" ca="1" si="0"/>
        <v>5.18</v>
      </c>
      <c r="J2681" s="6">
        <f ca="1">IFERROR(__xludf.DUMMYFUNCTION("IFERROR(GOOGLEFINANCE(B2681, ""volume""), 0)"),8600)</f>
        <v>8600</v>
      </c>
      <c r="K2681" s="6">
        <v>-0.24</v>
      </c>
      <c r="L2681" s="6">
        <f ca="1">IFERROR(__xludf.DUMMYFUNCTION("IFERROR(GOOGLEFINANCE(B2681,""changepct""),K2681)"),-0.38)</f>
        <v>-0.38</v>
      </c>
      <c r="M2681" s="6">
        <f ca="1">IFERROR(__xludf.DUMMYFUNCTION("IFERROR(GOOGLEFINANCE(B2681,""change""),0)"),-0.02)</f>
        <v>-0.02</v>
      </c>
      <c r="N2681" s="6">
        <v>2</v>
      </c>
      <c r="O2681" s="7">
        <v>45536</v>
      </c>
      <c r="P2681" s="6">
        <v>206.43</v>
      </c>
      <c r="Q2681" s="6">
        <v>262.45999999999998</v>
      </c>
      <c r="R2681" s="7">
        <v>45536</v>
      </c>
      <c r="S2681" s="6">
        <v>39.090000000000003</v>
      </c>
      <c r="T2681" s="6">
        <v>-35.47</v>
      </c>
      <c r="U2681" s="7">
        <v>45536</v>
      </c>
      <c r="V2681" s="6">
        <v>0</v>
      </c>
      <c r="W2681" s="6">
        <f ca="1">IFERROR(__xludf.DUMMYFUNCTION("IFERROR(GOOGLEFINANCE(B2681,""pe""),V2681)"),0.48)</f>
        <v>0.48</v>
      </c>
      <c r="X2681" s="6">
        <v>0</v>
      </c>
      <c r="Y2681" s="6">
        <v>-0.55000000000000004</v>
      </c>
      <c r="Z2681" s="6">
        <v>2</v>
      </c>
      <c r="AA2681" s="8">
        <v>45352</v>
      </c>
      <c r="AB2681" s="4">
        <v>-2.23</v>
      </c>
      <c r="AC2681" s="6">
        <v>0</v>
      </c>
      <c r="AD2681" s="6">
        <v>-17.04</v>
      </c>
      <c r="AE2681" s="1">
        <v>0</v>
      </c>
      <c r="AF2681" s="1">
        <f ca="1">IFERROR(__xludf.DUMMYFUNCTION("IFERROR(GOOGLEFINANCE(TRIM(F2681)&amp;"":"" &amp; TRIM(B2681),""high52""),AE2681)"),8.48)</f>
        <v>8.48</v>
      </c>
      <c r="AG2681" s="1">
        <v>0</v>
      </c>
      <c r="AH2681" s="1">
        <f ca="1">IFERROR(__xludf.DUMMYFUNCTION("IFERROR(GOOGLEFINANCE(TRIM(F2681)&amp;"":"" &amp; TRIM(B2681),""low52""),AE2681)"),5)</f>
        <v>5</v>
      </c>
      <c r="AI2681" s="1">
        <f ca="1">IFERROR(__xludf.DUMMYFUNCTION("IFERROR(GOOGLEFINANCE(B2681,""eps""),0)"),10.87)</f>
        <v>10.87</v>
      </c>
      <c r="AJ2681" s="1"/>
      <c r="AK2681" s="1" t="s">
        <v>8318</v>
      </c>
      <c r="AL2681" s="9">
        <f t="shared" si="266"/>
        <v>1</v>
      </c>
    </row>
    <row r="2682" spans="1:38" ht="15" x14ac:dyDescent="0.25">
      <c r="A2682" s="1" t="s">
        <v>8319</v>
      </c>
      <c r="B2682" s="1" t="s">
        <v>8320</v>
      </c>
      <c r="C2682" s="1" t="s">
        <v>57</v>
      </c>
      <c r="D2682" s="1" t="s">
        <v>57</v>
      </c>
      <c r="E2682" s="6">
        <v>145.52000000000001</v>
      </c>
      <c r="F2682" s="1" t="s">
        <v>53</v>
      </c>
      <c r="G2682" s="6">
        <f ca="1">IFERROR(__xludf.DUMMYFUNCTION("iferror(GOOGLEFINANCE(TRIM(F2682)&amp;"":"" &amp; TRIM(B2682), ""price""),0
)"),0)</f>
        <v>0</v>
      </c>
      <c r="H2682" s="6">
        <v>29.2</v>
      </c>
      <c r="I2682" s="6">
        <f t="shared" ca="1" si="0"/>
        <v>29.2</v>
      </c>
      <c r="J2682" s="6">
        <f ca="1">IFERROR(__xludf.DUMMYFUNCTION("IFERROR(GOOGLEFINANCE(B2682, ""volume""), 0)"),0)</f>
        <v>0</v>
      </c>
      <c r="K2682" s="6">
        <v>-1.98</v>
      </c>
      <c r="L2682" s="6">
        <f ca="1">IFERROR(__xludf.DUMMYFUNCTION("IFERROR(GOOGLEFINANCE(B2682,""changepct""),K2682)"),-1.98)</f>
        <v>-1.98</v>
      </c>
      <c r="M2682" s="6">
        <f ca="1">IFERROR(__xludf.DUMMYFUNCTION("IFERROR(GOOGLEFINANCE(B2682,""change""),0)"),0)</f>
        <v>0</v>
      </c>
      <c r="N2682" s="6">
        <v>1</v>
      </c>
      <c r="O2682" s="7">
        <v>45536</v>
      </c>
      <c r="P2682" s="9"/>
      <c r="Q2682" s="6">
        <v>145.52000000000001</v>
      </c>
      <c r="R2682" s="7">
        <v>45536</v>
      </c>
      <c r="S2682" s="6">
        <v>1</v>
      </c>
      <c r="T2682" s="6">
        <v>0.62</v>
      </c>
      <c r="U2682" s="7">
        <v>45536</v>
      </c>
      <c r="V2682" s="6">
        <v>233.21</v>
      </c>
      <c r="W2682" s="6">
        <f ca="1">IFERROR(__xludf.DUMMYFUNCTION("IFERROR(GOOGLEFINANCE(B2682,""pe""),V2682)"),233.21)</f>
        <v>233.21</v>
      </c>
      <c r="X2682" s="6">
        <v>-4.5999999999999996</v>
      </c>
      <c r="Y2682" s="6">
        <v>0.99</v>
      </c>
      <c r="Z2682" s="6">
        <v>1</v>
      </c>
      <c r="AA2682" s="8">
        <v>45352</v>
      </c>
      <c r="AB2682" s="4">
        <v>0.05</v>
      </c>
      <c r="AC2682" s="6">
        <v>0.14000000000000001</v>
      </c>
      <c r="AD2682" s="6">
        <v>0.49</v>
      </c>
      <c r="AE2682" s="1">
        <v>0</v>
      </c>
      <c r="AF2682" s="1">
        <f ca="1">IFERROR(__xludf.DUMMYFUNCTION("IFERROR(GOOGLEFINANCE(TRIM(F2682)&amp;"":"" &amp; TRIM(B2682),""high52""),AE2682)"),0)</f>
        <v>0</v>
      </c>
      <c r="AG2682" s="1">
        <v>0</v>
      </c>
      <c r="AH2682" s="1">
        <f ca="1">IFERROR(__xludf.DUMMYFUNCTION("IFERROR(GOOGLEFINANCE(TRIM(F2682)&amp;"":"" &amp; TRIM(B2682),""low52""),AE2682)"),0)</f>
        <v>0</v>
      </c>
      <c r="AI2682" s="1">
        <f ca="1">IFERROR(__xludf.DUMMYFUNCTION("IFERROR(GOOGLEFINANCE(B2682,""eps""),0)"),0)</f>
        <v>0</v>
      </c>
      <c r="AJ2682" s="1"/>
      <c r="AK2682" s="1" t="s">
        <v>8321</v>
      </c>
      <c r="AL2682" s="9">
        <f t="shared" si="266"/>
        <v>1</v>
      </c>
    </row>
    <row r="2683" spans="1:38" ht="15" x14ac:dyDescent="0.25">
      <c r="A2683" s="1" t="s">
        <v>8322</v>
      </c>
      <c r="B2683" s="1" t="s">
        <v>8323</v>
      </c>
      <c r="C2683" s="1" t="s">
        <v>43</v>
      </c>
      <c r="D2683" s="1" t="s">
        <v>43</v>
      </c>
      <c r="E2683" s="6">
        <v>0</v>
      </c>
      <c r="F2683" s="1" t="s">
        <v>40</v>
      </c>
      <c r="G2683" s="6">
        <f ca="1">IFERROR(__xludf.DUMMYFUNCTION("iferror(GOOGLEFINANCE(TRIM(F2683)&amp;"":"" &amp; TRIM(B2683), ""price""),0
)"),0)</f>
        <v>0</v>
      </c>
      <c r="H2683" s="6">
        <v>139.9</v>
      </c>
      <c r="I2683" s="6">
        <f t="shared" ca="1" si="0"/>
        <v>139.9</v>
      </c>
      <c r="J2683" s="6">
        <f ca="1">IFERROR(__xludf.DUMMYFUNCTION("IFERROR(GOOGLEFINANCE(B2683, ""volume""), 0)"),0)</f>
        <v>0</v>
      </c>
      <c r="K2683" s="6">
        <v>0.03</v>
      </c>
      <c r="L2683" s="6">
        <f ca="1">IFERROR(__xludf.DUMMYFUNCTION("IFERROR(GOOGLEFINANCE(B2683,""changepct""),K2683)"),2.61)</f>
        <v>2.61</v>
      </c>
      <c r="M2683" s="6">
        <f ca="1">IFERROR(__xludf.DUMMYFUNCTION("IFERROR(GOOGLEFINANCE(B2683,""change""),0)"),5.41)</f>
        <v>5.41</v>
      </c>
      <c r="N2683" s="6">
        <v>1</v>
      </c>
      <c r="O2683" s="7">
        <v>45352</v>
      </c>
      <c r="P2683" s="6">
        <v>893.91</v>
      </c>
      <c r="Q2683" s="7">
        <v>45352</v>
      </c>
      <c r="R2683" s="14"/>
      <c r="S2683" s="9"/>
      <c r="T2683" s="9"/>
      <c r="U2683" s="6">
        <v>2</v>
      </c>
      <c r="V2683" s="7">
        <v>45352</v>
      </c>
      <c r="W2683" s="6">
        <f ca="1">IFERROR(__xludf.DUMMYFUNCTION("IFERROR(GOOGLEFINANCE(B2683,""pe""),V2683)"),12.66)</f>
        <v>12.66</v>
      </c>
      <c r="X2683" s="6">
        <v>0.28999999999999998</v>
      </c>
      <c r="Y2683" s="6">
        <v>7.99</v>
      </c>
      <c r="Z2683" s="6">
        <v>8.8800000000000008</v>
      </c>
      <c r="AA2683" s="3" t="s">
        <v>8324</v>
      </c>
      <c r="AB2683" s="11"/>
      <c r="AC2683" s="9"/>
      <c r="AD2683" s="9"/>
      <c r="AE2683" s="1">
        <v>0</v>
      </c>
      <c r="AF2683" s="1">
        <f ca="1">IFERROR(__xludf.DUMMYFUNCTION("IFERROR(GOOGLEFINANCE(TRIM(F2683)&amp;"":"" &amp; TRIM(B2683),""high52""),AE2683)"),0)</f>
        <v>0</v>
      </c>
      <c r="AG2683" s="1">
        <v>0</v>
      </c>
      <c r="AH2683" s="1">
        <f ca="1">IFERROR(__xludf.DUMMYFUNCTION("IFERROR(GOOGLEFINANCE(TRIM(F2683)&amp;"":"" &amp; TRIM(B2683),""low52""),AE2683)"),0)</f>
        <v>0</v>
      </c>
      <c r="AI2683" s="1">
        <f ca="1">IFERROR(__xludf.DUMMYFUNCTION("IFERROR(GOOGLEFINANCE(B2683,""eps""),0)"),16.77)</f>
        <v>16.77</v>
      </c>
      <c r="AJ2683" s="1"/>
      <c r="AK2683" s="1" t="s">
        <v>8325</v>
      </c>
      <c r="AL2683" s="9">
        <f t="shared" si="266"/>
        <v>1</v>
      </c>
    </row>
    <row r="2684" spans="1:38" ht="15" x14ac:dyDescent="0.25">
      <c r="A2684" s="1" t="s">
        <v>8326</v>
      </c>
      <c r="B2684" s="1" t="s">
        <v>8327</v>
      </c>
      <c r="C2684" s="1" t="s">
        <v>57</v>
      </c>
      <c r="D2684" s="1" t="s">
        <v>57</v>
      </c>
      <c r="E2684" s="6">
        <v>78.87</v>
      </c>
      <c r="F2684" s="1" t="s">
        <v>53</v>
      </c>
      <c r="G2684" s="6">
        <f ca="1">IFERROR(__xludf.DUMMYFUNCTION("iferror(GOOGLEFINANCE(TRIM(F2684)&amp;"":"" &amp; TRIM(B2684), ""price""),0
)"),0)</f>
        <v>0</v>
      </c>
      <c r="H2684" s="6">
        <v>130</v>
      </c>
      <c r="I2684" s="6">
        <f t="shared" ca="1" si="0"/>
        <v>130</v>
      </c>
      <c r="J2684" s="6">
        <f ca="1">IFERROR(__xludf.DUMMYFUNCTION("IFERROR(GOOGLEFINANCE(B2684, ""volume""), 0)"),0)</f>
        <v>0</v>
      </c>
      <c r="K2684" s="6">
        <v>0</v>
      </c>
      <c r="L2684" s="6">
        <f ca="1">IFERROR(__xludf.DUMMYFUNCTION("IFERROR(GOOGLEFINANCE(B2684,""changepct""),K2684)"),0)</f>
        <v>0</v>
      </c>
      <c r="M2684" s="6">
        <f ca="1">IFERROR(__xludf.DUMMYFUNCTION("IFERROR(GOOGLEFINANCE(B2684,""change""),0)"),0)</f>
        <v>0</v>
      </c>
      <c r="N2684" s="6">
        <v>1</v>
      </c>
      <c r="O2684" s="7">
        <v>45536</v>
      </c>
      <c r="P2684" s="9"/>
      <c r="Q2684" s="6">
        <v>78.87</v>
      </c>
      <c r="R2684" s="7">
        <v>45536</v>
      </c>
      <c r="S2684" s="6">
        <v>0</v>
      </c>
      <c r="T2684" s="6">
        <v>-2.5099999999999998</v>
      </c>
      <c r="U2684" s="7">
        <v>45536</v>
      </c>
      <c r="V2684" s="6">
        <v>0</v>
      </c>
      <c r="W2684" s="6">
        <f ca="1">IFERROR(__xludf.DUMMYFUNCTION("IFERROR(GOOGLEFINANCE(B2684,""pe""),V2684)"),0)</f>
        <v>0</v>
      </c>
      <c r="X2684" s="9"/>
      <c r="Y2684" s="6">
        <v>-228.23</v>
      </c>
      <c r="Z2684" s="6">
        <v>1</v>
      </c>
      <c r="AA2684" s="8">
        <v>45352</v>
      </c>
      <c r="AB2684" s="4">
        <v>0</v>
      </c>
      <c r="AC2684" s="6">
        <v>-245.89</v>
      </c>
      <c r="AD2684" s="6">
        <v>-281.35000000000002</v>
      </c>
      <c r="AE2684" s="1">
        <v>0</v>
      </c>
      <c r="AF2684" s="1">
        <f ca="1">IFERROR(__xludf.DUMMYFUNCTION("IFERROR(GOOGLEFINANCE(TRIM(F2684)&amp;"":"" &amp; TRIM(B2684),""high52""),AE2684)"),0)</f>
        <v>0</v>
      </c>
      <c r="AG2684" s="1">
        <v>0</v>
      </c>
      <c r="AH2684" s="1">
        <f ca="1">IFERROR(__xludf.DUMMYFUNCTION("IFERROR(GOOGLEFINANCE(TRIM(F2684)&amp;"":"" &amp; TRIM(B2684),""low52""),AE2684)"),0)</f>
        <v>0</v>
      </c>
      <c r="AI2684" s="1">
        <f ca="1">IFERROR(__xludf.DUMMYFUNCTION("IFERROR(GOOGLEFINANCE(B2684,""eps""),0)"),0)</f>
        <v>0</v>
      </c>
      <c r="AJ2684" s="1"/>
      <c r="AK2684" s="1" t="s">
        <v>8328</v>
      </c>
      <c r="AL2684" s="9">
        <f t="shared" si="266"/>
        <v>1</v>
      </c>
    </row>
    <row r="2685" spans="1:38" ht="15" x14ac:dyDescent="0.25">
      <c r="A2685" s="1" t="s">
        <v>8329</v>
      </c>
      <c r="B2685" s="1" t="s">
        <v>8330</v>
      </c>
      <c r="C2685" s="1" t="s">
        <v>57</v>
      </c>
      <c r="D2685" s="1" t="s">
        <v>57</v>
      </c>
      <c r="E2685" s="6">
        <v>16.77</v>
      </c>
      <c r="F2685" s="1" t="s">
        <v>53</v>
      </c>
      <c r="G2685" s="6">
        <f ca="1">IFERROR(__xludf.DUMMYFUNCTION("iferror(GOOGLEFINANCE(TRIM(F2685)&amp;"":"" &amp; TRIM(B2685), ""price""),0
)"),0)</f>
        <v>0</v>
      </c>
      <c r="H2685" s="6">
        <v>3.06</v>
      </c>
      <c r="I2685" s="6">
        <f t="shared" ca="1" si="0"/>
        <v>3.06</v>
      </c>
      <c r="J2685" s="6">
        <f ca="1">IFERROR(__xludf.DUMMYFUNCTION("IFERROR(GOOGLEFINANCE(B2685, ""volume""), 0)"),0)</f>
        <v>0</v>
      </c>
      <c r="K2685" s="6">
        <v>-1.92</v>
      </c>
      <c r="L2685" s="6">
        <f ca="1">IFERROR(__xludf.DUMMYFUNCTION("IFERROR(GOOGLEFINANCE(B2685,""changepct""),K2685)"),-1.92)</f>
        <v>-1.92</v>
      </c>
      <c r="M2685" s="6">
        <f ca="1">IFERROR(__xludf.DUMMYFUNCTION("IFERROR(GOOGLEFINANCE(B2685,""change""),0)"),0)</f>
        <v>0</v>
      </c>
      <c r="N2685" s="6">
        <v>1</v>
      </c>
      <c r="O2685" s="7">
        <v>45536</v>
      </c>
      <c r="P2685" s="6">
        <v>3.2</v>
      </c>
      <c r="Q2685" s="6">
        <v>19.97</v>
      </c>
      <c r="R2685" s="7">
        <v>45536</v>
      </c>
      <c r="S2685" s="6">
        <v>6.85</v>
      </c>
      <c r="T2685" s="6">
        <v>-3.36</v>
      </c>
      <c r="U2685" s="7">
        <v>45536</v>
      </c>
      <c r="V2685" s="6">
        <v>0</v>
      </c>
      <c r="W2685" s="6">
        <f ca="1">IFERROR(__xludf.DUMMYFUNCTION("IFERROR(GOOGLEFINANCE(B2685,""pe""),V2685)"),0)</f>
        <v>0</v>
      </c>
      <c r="X2685" s="9"/>
      <c r="Y2685" s="6">
        <v>0.5</v>
      </c>
      <c r="Z2685" s="6">
        <v>1</v>
      </c>
      <c r="AA2685" s="8">
        <v>45352</v>
      </c>
      <c r="AB2685" s="4">
        <v>0.01</v>
      </c>
      <c r="AC2685" s="6">
        <v>-45.97</v>
      </c>
      <c r="AD2685" s="6">
        <v>-61.03</v>
      </c>
      <c r="AE2685" s="1">
        <v>0</v>
      </c>
      <c r="AF2685" s="1">
        <f ca="1">IFERROR(__xludf.DUMMYFUNCTION("IFERROR(GOOGLEFINANCE(TRIM(F2685)&amp;"":"" &amp; TRIM(B2685),""high52""),AE2685)"),0)</f>
        <v>0</v>
      </c>
      <c r="AG2685" s="1">
        <v>0</v>
      </c>
      <c r="AH2685" s="1">
        <f ca="1">IFERROR(__xludf.DUMMYFUNCTION("IFERROR(GOOGLEFINANCE(TRIM(F2685)&amp;"":"" &amp; TRIM(B2685),""low52""),AE2685)"),0)</f>
        <v>0</v>
      </c>
      <c r="AI2685" s="1">
        <f ca="1">IFERROR(__xludf.DUMMYFUNCTION("IFERROR(GOOGLEFINANCE(B2685,""eps""),0)"),0)</f>
        <v>0</v>
      </c>
      <c r="AJ2685" s="1"/>
      <c r="AK2685" s="1" t="s">
        <v>8331</v>
      </c>
      <c r="AL2685" s="9">
        <f t="shared" si="266"/>
        <v>1</v>
      </c>
    </row>
    <row r="2686" spans="1:38" ht="15" x14ac:dyDescent="0.25">
      <c r="A2686" s="1" t="s">
        <v>8332</v>
      </c>
      <c r="B2686" s="1" t="s">
        <v>8333</v>
      </c>
      <c r="C2686" s="1" t="s">
        <v>106</v>
      </c>
      <c r="D2686" s="1" t="s">
        <v>106</v>
      </c>
      <c r="E2686" s="6">
        <v>1122.67</v>
      </c>
      <c r="F2686" s="1" t="s">
        <v>40</v>
      </c>
      <c r="G2686" s="6">
        <f ca="1">IFERROR(__xludf.DUMMYFUNCTION("iferror(GOOGLEFINANCE(TRIM(F2686)&amp;"":"" &amp; TRIM(B2686), ""price""),0
)"),1780)</f>
        <v>1780</v>
      </c>
      <c r="H2686" s="6">
        <v>1834.95</v>
      </c>
      <c r="I2686" s="6">
        <f t="shared" ca="1" si="0"/>
        <v>1780</v>
      </c>
      <c r="J2686" s="6">
        <f ca="1">IFERROR(__xludf.DUMMYFUNCTION("IFERROR(GOOGLEFINANCE(B2686, ""volume""), 0)"),3500)</f>
        <v>3500</v>
      </c>
      <c r="K2686" s="6">
        <v>0.73</v>
      </c>
      <c r="L2686" s="6">
        <f ca="1">IFERROR(__xludf.DUMMYFUNCTION("IFERROR(GOOGLEFINANCE(B2686,""changepct""),K2686)"),3.47)</f>
        <v>3.47</v>
      </c>
      <c r="M2686" s="6">
        <f ca="1">IFERROR(__xludf.DUMMYFUNCTION("IFERROR(GOOGLEFINANCE(B2686,""change""),0)"),59.7)</f>
        <v>59.7</v>
      </c>
      <c r="N2686" s="6">
        <v>2</v>
      </c>
      <c r="O2686" s="7">
        <v>45536</v>
      </c>
      <c r="P2686" s="6">
        <v>49.2</v>
      </c>
      <c r="Q2686" s="6">
        <v>1162.48</v>
      </c>
      <c r="R2686" s="7">
        <v>45536</v>
      </c>
      <c r="S2686" s="6">
        <v>371.95</v>
      </c>
      <c r="T2686" s="6">
        <v>41.39</v>
      </c>
      <c r="U2686" s="7">
        <v>45536</v>
      </c>
      <c r="V2686" s="6">
        <v>27.12</v>
      </c>
      <c r="W2686" s="6">
        <f ca="1">IFERROR(__xludf.DUMMYFUNCTION("IFERROR(GOOGLEFINANCE(B2686,""pe""),V2686)"),52.44)</f>
        <v>52.44</v>
      </c>
      <c r="X2686" s="6">
        <v>1.75</v>
      </c>
      <c r="Y2686" s="6">
        <v>4.01</v>
      </c>
      <c r="Z2686" s="6">
        <v>2</v>
      </c>
      <c r="AA2686" s="8">
        <v>45352</v>
      </c>
      <c r="AB2686" s="4">
        <v>0.13</v>
      </c>
      <c r="AC2686" s="6">
        <v>17.03</v>
      </c>
      <c r="AD2686" s="6">
        <v>20.38</v>
      </c>
      <c r="AE2686" s="1">
        <v>0</v>
      </c>
      <c r="AF2686" s="1">
        <f ca="1">IFERROR(__xludf.DUMMYFUNCTION("IFERROR(GOOGLEFINANCE(TRIM(F2686)&amp;"":"" &amp; TRIM(B2686),""high52""),AE2686)"),2050)</f>
        <v>2050</v>
      </c>
      <c r="AG2686" s="1">
        <v>0</v>
      </c>
      <c r="AH2686" s="1">
        <f ca="1">IFERROR(__xludf.DUMMYFUNCTION("IFERROR(GOOGLEFINANCE(TRIM(F2686)&amp;"":"" &amp; TRIM(B2686),""low52""),AE2686)"),957)</f>
        <v>957</v>
      </c>
      <c r="AI2686" s="1">
        <f ca="1">IFERROR(__xludf.DUMMYFUNCTION("IFERROR(GOOGLEFINANCE(B2686,""eps""),0)"),33.94)</f>
        <v>33.94</v>
      </c>
      <c r="AJ2686" s="1"/>
      <c r="AK2686" s="1" t="s">
        <v>8334</v>
      </c>
      <c r="AL2686" s="9">
        <f t="shared" si="266"/>
        <v>1</v>
      </c>
    </row>
    <row r="2687" spans="1:38" ht="15" x14ac:dyDescent="0.25">
      <c r="A2687" s="1" t="s">
        <v>8335</v>
      </c>
      <c r="B2687" s="1" t="s">
        <v>8336</v>
      </c>
      <c r="C2687" s="1" t="s">
        <v>268</v>
      </c>
      <c r="D2687" s="1" t="s">
        <v>268</v>
      </c>
      <c r="E2687" s="6">
        <v>82821.31</v>
      </c>
      <c r="F2687" s="1" t="s">
        <v>40</v>
      </c>
      <c r="G2687" s="6">
        <f ca="1">IFERROR(__xludf.DUMMYFUNCTION("iferror(GOOGLEFINANCE(TRIM(F2687)&amp;"":"" &amp; TRIM(B2687), ""price""),0
)"),78.08)</f>
        <v>78.08</v>
      </c>
      <c r="H2687" s="6">
        <v>82.63</v>
      </c>
      <c r="I2687" s="6">
        <f t="shared" ca="1" si="0"/>
        <v>78.08</v>
      </c>
      <c r="J2687" s="6">
        <f ca="1">IFERROR(__xludf.DUMMYFUNCTION("IFERROR(GOOGLEFINANCE(B2687, ""volume""), 0)"),12293921)</f>
        <v>12293921</v>
      </c>
      <c r="K2687" s="6">
        <v>0.19</v>
      </c>
      <c r="L2687" s="6">
        <f ca="1">IFERROR(__xludf.DUMMYFUNCTION("IFERROR(GOOGLEFINANCE(B2687,""changepct""),K2687)"),1.4)</f>
        <v>1.4</v>
      </c>
      <c r="M2687" s="6">
        <f ca="1">IFERROR(__xludf.DUMMYFUNCTION("IFERROR(GOOGLEFINANCE(B2687,""change""),0)"),1.08)</f>
        <v>1.08</v>
      </c>
      <c r="N2687" s="6">
        <v>2</v>
      </c>
      <c r="O2687" s="7">
        <v>45536</v>
      </c>
      <c r="P2687" s="6">
        <v>34143.07</v>
      </c>
      <c r="Q2687" s="6">
        <v>114183.4</v>
      </c>
      <c r="R2687" s="7">
        <v>45536</v>
      </c>
      <c r="S2687" s="6">
        <v>9689.77</v>
      </c>
      <c r="T2687" s="6">
        <v>2943.52</v>
      </c>
      <c r="U2687" s="7">
        <v>45536</v>
      </c>
      <c r="V2687" s="6">
        <v>32.979999999999997</v>
      </c>
      <c r="W2687" s="6">
        <f ca="1">IFERROR(__xludf.DUMMYFUNCTION("IFERROR(GOOGLEFINANCE(B2687,""pe""),V2687)"),24.71)</f>
        <v>24.71</v>
      </c>
      <c r="X2687" s="6">
        <v>4.7699999999999996</v>
      </c>
      <c r="Y2687" s="6">
        <v>2.06</v>
      </c>
      <c r="Z2687" s="6">
        <v>2</v>
      </c>
      <c r="AA2687" s="8">
        <v>45352</v>
      </c>
      <c r="AB2687" s="4">
        <v>0.84</v>
      </c>
      <c r="AC2687" s="6">
        <v>10.65</v>
      </c>
      <c r="AD2687" s="6">
        <v>8.35</v>
      </c>
      <c r="AE2687" s="1">
        <v>0</v>
      </c>
      <c r="AF2687" s="1">
        <f ca="1">IFERROR(__xludf.DUMMYFUNCTION("IFERROR(GOOGLEFINANCE(TRIM(F2687)&amp;"":"" &amp; TRIM(B2687),""high52""),AE2687)"),92.34)</f>
        <v>92.34</v>
      </c>
      <c r="AG2687" s="1">
        <v>0</v>
      </c>
      <c r="AH2687" s="1">
        <f ca="1">IFERROR(__xludf.DUMMYFUNCTION("IFERROR(GOOGLEFINANCE(TRIM(F2687)&amp;"":"" &amp; TRIM(B2687),""low52""),AE2687)"),71)</f>
        <v>71</v>
      </c>
      <c r="AI2687" s="1">
        <f ca="1">IFERROR(__xludf.DUMMYFUNCTION("IFERROR(GOOGLEFINANCE(B2687,""eps""),0)"),3.16)</f>
        <v>3.16</v>
      </c>
      <c r="AJ2687" s="1"/>
      <c r="AK2687" s="1" t="s">
        <v>8337</v>
      </c>
      <c r="AL2687" s="9">
        <f t="shared" si="266"/>
        <v>1</v>
      </c>
    </row>
    <row r="2688" spans="1:38" ht="15" x14ac:dyDescent="0.25">
      <c r="A2688" s="1" t="s">
        <v>8338</v>
      </c>
      <c r="B2688" s="1" t="s">
        <v>8339</v>
      </c>
      <c r="C2688" s="1" t="s">
        <v>163</v>
      </c>
      <c r="D2688" s="1" t="s">
        <v>163</v>
      </c>
      <c r="E2688" s="6">
        <v>40.31</v>
      </c>
      <c r="F2688" s="1" t="s">
        <v>40</v>
      </c>
      <c r="G2688" s="6">
        <f ca="1">IFERROR(__xludf.DUMMYFUNCTION("iferror(GOOGLEFINANCE(TRIM(F2688)&amp;"":"" &amp; TRIM(B2688), ""price""),0
)"),0)</f>
        <v>0</v>
      </c>
      <c r="H2688" s="6">
        <v>29</v>
      </c>
      <c r="I2688" s="6">
        <f t="shared" ca="1" si="0"/>
        <v>29</v>
      </c>
      <c r="J2688" s="6">
        <f ca="1">IFERROR(__xludf.DUMMYFUNCTION("IFERROR(GOOGLEFINANCE(B2688, ""volume""), 0)"),0)</f>
        <v>0</v>
      </c>
      <c r="K2688" s="9"/>
      <c r="L2688" s="6" t="str">
        <f ca="1">IFERROR(__xludf.DUMMYFUNCTION("IFERROR(GOOGLEFINANCE(B2688,""changepct""),K2688)"),"")</f>
        <v/>
      </c>
      <c r="M2688" s="6">
        <f ca="1">IFERROR(__xludf.DUMMYFUNCTION("IFERROR(GOOGLEFINANCE(B2688,""change""),0)"),0)</f>
        <v>0</v>
      </c>
      <c r="N2688" s="6">
        <v>1</v>
      </c>
      <c r="O2688" s="7">
        <v>45536</v>
      </c>
      <c r="P2688" s="6">
        <v>11.77</v>
      </c>
      <c r="Q2688" s="6">
        <v>52.08</v>
      </c>
      <c r="R2688" s="7">
        <v>45352</v>
      </c>
      <c r="S2688" s="6">
        <v>24.18</v>
      </c>
      <c r="T2688" s="6">
        <v>-3.23</v>
      </c>
      <c r="U2688" s="7">
        <v>45352</v>
      </c>
      <c r="V2688" s="6">
        <v>0</v>
      </c>
      <c r="W2688" s="6">
        <f ca="1">IFERROR(__xludf.DUMMYFUNCTION("IFERROR(GOOGLEFINANCE(B2688,""pe""),V2688)"),0)</f>
        <v>0</v>
      </c>
      <c r="X2688" s="9"/>
      <c r="Y2688" s="6">
        <v>0.61</v>
      </c>
      <c r="Z2688" s="6">
        <v>1</v>
      </c>
      <c r="AA2688" s="8">
        <v>45352</v>
      </c>
      <c r="AB2688" s="4">
        <v>0.19</v>
      </c>
      <c r="AC2688" s="6">
        <v>-4.7699999999999996</v>
      </c>
      <c r="AD2688" s="6">
        <v>-0.24</v>
      </c>
      <c r="AE2688" s="1">
        <v>0</v>
      </c>
      <c r="AF2688" s="1">
        <f ca="1">IFERROR(__xludf.DUMMYFUNCTION("IFERROR(GOOGLEFINANCE(TRIM(F2688)&amp;"":"" &amp; TRIM(B2688),""high52""),AE2688)"),0)</f>
        <v>0</v>
      </c>
      <c r="AG2688" s="1">
        <v>0</v>
      </c>
      <c r="AH2688" s="1">
        <f ca="1">IFERROR(__xludf.DUMMYFUNCTION("IFERROR(GOOGLEFINANCE(TRIM(F2688)&amp;"":"" &amp; TRIM(B2688),""low52""),AE2688)"),0)</f>
        <v>0</v>
      </c>
      <c r="AI2688" s="1">
        <f ca="1">IFERROR(__xludf.DUMMYFUNCTION("IFERROR(GOOGLEFINANCE(B2688,""eps""),0)"),0)</f>
        <v>0</v>
      </c>
      <c r="AJ2688" s="1"/>
      <c r="AK2688" s="1" t="s">
        <v>8340</v>
      </c>
      <c r="AL2688" s="9">
        <f t="shared" si="266"/>
        <v>1</v>
      </c>
    </row>
    <row r="2689" spans="1:38" ht="15" x14ac:dyDescent="0.25">
      <c r="A2689" s="1" t="s">
        <v>8341</v>
      </c>
      <c r="B2689" s="1" t="s">
        <v>8342</v>
      </c>
      <c r="C2689" s="1" t="s">
        <v>57</v>
      </c>
      <c r="D2689" s="1" t="s">
        <v>57</v>
      </c>
      <c r="E2689" s="6">
        <v>77.2</v>
      </c>
      <c r="F2689" s="1" t="s">
        <v>53</v>
      </c>
      <c r="G2689" s="6">
        <f ca="1">IFERROR(__xludf.DUMMYFUNCTION("iferror(GOOGLEFINANCE(TRIM(F2689)&amp;"":"" &amp; TRIM(B2689), ""price""),0
)"),0)</f>
        <v>0</v>
      </c>
      <c r="H2689" s="6">
        <v>103.6</v>
      </c>
      <c r="I2689" s="6">
        <f t="shared" ca="1" si="0"/>
        <v>103.6</v>
      </c>
      <c r="J2689" s="6">
        <f ca="1">IFERROR(__xludf.DUMMYFUNCTION("IFERROR(GOOGLEFINANCE(B2689, ""volume""), 0)"),0)</f>
        <v>0</v>
      </c>
      <c r="K2689" s="6">
        <v>1.22</v>
      </c>
      <c r="L2689" s="6">
        <f ca="1">IFERROR(__xludf.DUMMYFUNCTION("IFERROR(GOOGLEFINANCE(B2689,""changepct""),K2689)"),1.22)</f>
        <v>1.22</v>
      </c>
      <c r="M2689" s="6">
        <f ca="1">IFERROR(__xludf.DUMMYFUNCTION("IFERROR(GOOGLEFINANCE(B2689,""change""),0)"),0)</f>
        <v>0</v>
      </c>
      <c r="N2689" s="6">
        <v>2</v>
      </c>
      <c r="O2689" s="7">
        <v>45536</v>
      </c>
      <c r="P2689" s="6">
        <v>10.66</v>
      </c>
      <c r="Q2689" s="6">
        <v>54.89</v>
      </c>
      <c r="R2689" s="7">
        <v>45536</v>
      </c>
      <c r="S2689" s="6">
        <v>57.75</v>
      </c>
      <c r="T2689" s="6">
        <v>3.89</v>
      </c>
      <c r="U2689" s="7">
        <v>45536</v>
      </c>
      <c r="V2689" s="6">
        <v>19.829999999999998</v>
      </c>
      <c r="W2689" s="6">
        <f ca="1">IFERROR(__xludf.DUMMYFUNCTION("IFERROR(GOOGLEFINANCE(B2689,""pe""),V2689)"),19.83)</f>
        <v>19.829999999999998</v>
      </c>
      <c r="X2689" s="6">
        <v>0.69</v>
      </c>
      <c r="Y2689" s="6">
        <v>1.54</v>
      </c>
      <c r="Z2689" s="6">
        <v>2</v>
      </c>
      <c r="AA2689" s="8">
        <v>45352</v>
      </c>
      <c r="AB2689" s="4">
        <v>0.22</v>
      </c>
      <c r="AC2689" s="6">
        <v>15.75</v>
      </c>
      <c r="AD2689" s="6">
        <v>19.82</v>
      </c>
      <c r="AE2689" s="1">
        <v>0</v>
      </c>
      <c r="AF2689" s="1">
        <f ca="1">IFERROR(__xludf.DUMMYFUNCTION("IFERROR(GOOGLEFINANCE(TRIM(F2689)&amp;"":"" &amp; TRIM(B2689),""high52""),AE2689)"),0)</f>
        <v>0</v>
      </c>
      <c r="AG2689" s="1">
        <v>0</v>
      </c>
      <c r="AH2689" s="1">
        <f ca="1">IFERROR(__xludf.DUMMYFUNCTION("IFERROR(GOOGLEFINANCE(TRIM(F2689)&amp;"":"" &amp; TRIM(B2689),""low52""),AE2689)"),0)</f>
        <v>0</v>
      </c>
      <c r="AI2689" s="1">
        <f ca="1">IFERROR(__xludf.DUMMYFUNCTION("IFERROR(GOOGLEFINANCE(B2689,""eps""),0)"),0)</f>
        <v>0</v>
      </c>
      <c r="AJ2689" s="1"/>
      <c r="AK2689" s="1" t="s">
        <v>8343</v>
      </c>
      <c r="AL2689" s="9">
        <f t="shared" si="266"/>
        <v>1</v>
      </c>
    </row>
    <row r="2690" spans="1:38" ht="15" x14ac:dyDescent="0.25">
      <c r="A2690" s="1" t="s">
        <v>8344</v>
      </c>
      <c r="B2690" s="1" t="s">
        <v>8345</v>
      </c>
      <c r="C2690" s="1" t="s">
        <v>57</v>
      </c>
      <c r="D2690" s="1" t="s">
        <v>57</v>
      </c>
      <c r="E2690" s="6">
        <v>6245.74</v>
      </c>
      <c r="F2690" s="1" t="s">
        <v>40</v>
      </c>
      <c r="G2690" s="6">
        <f ca="1">IFERROR(__xludf.DUMMYFUNCTION("iferror(GOOGLEFINANCE(TRIM(F2690)&amp;"":"" &amp; TRIM(B2690), ""price""),0
)"),388.65)</f>
        <v>388.65</v>
      </c>
      <c r="H2690" s="6">
        <v>462.4</v>
      </c>
      <c r="I2690" s="6">
        <f t="shared" ca="1" si="0"/>
        <v>388.65</v>
      </c>
      <c r="J2690" s="6">
        <f ca="1">IFERROR(__xludf.DUMMYFUNCTION("IFERROR(GOOGLEFINANCE(B2690, ""volume""), 0)"),27051)</f>
        <v>27051</v>
      </c>
      <c r="K2690" s="6">
        <v>0.83</v>
      </c>
      <c r="L2690" s="6">
        <f ca="1">IFERROR(__xludf.DUMMYFUNCTION("IFERROR(GOOGLEFINANCE(B2690,""changepct""),K2690)"),-0.26)</f>
        <v>-0.26</v>
      </c>
      <c r="M2690" s="6">
        <f ca="1">IFERROR(__xludf.DUMMYFUNCTION("IFERROR(GOOGLEFINANCE(B2690,""change""),0)"),-1)</f>
        <v>-1</v>
      </c>
      <c r="N2690" s="6">
        <v>2</v>
      </c>
      <c r="O2690" s="7">
        <v>45536</v>
      </c>
      <c r="P2690" s="6">
        <v>81.64</v>
      </c>
      <c r="Q2690" s="6">
        <v>6034.43</v>
      </c>
      <c r="R2690" s="7">
        <v>45536</v>
      </c>
      <c r="S2690" s="6">
        <v>1593.91</v>
      </c>
      <c r="T2690" s="6">
        <v>228.24</v>
      </c>
      <c r="U2690" s="7">
        <v>45536</v>
      </c>
      <c r="V2690" s="6">
        <v>27.36</v>
      </c>
      <c r="W2690" s="6">
        <f ca="1">IFERROR(__xludf.DUMMYFUNCTION("IFERROR(GOOGLEFINANCE(B2690,""pe""),V2690)"),26.46)</f>
        <v>26.46</v>
      </c>
      <c r="X2690" s="12"/>
      <c r="Y2690" s="6">
        <v>5.77</v>
      </c>
      <c r="Z2690" s="6">
        <v>2</v>
      </c>
      <c r="AA2690" s="8">
        <v>45352</v>
      </c>
      <c r="AB2690" s="4">
        <v>0.1</v>
      </c>
      <c r="AC2690" s="6">
        <v>25.4</v>
      </c>
      <c r="AD2690" s="6">
        <v>33.979999999999997</v>
      </c>
      <c r="AE2690" s="1">
        <v>0</v>
      </c>
      <c r="AF2690" s="1">
        <f ca="1">IFERROR(__xludf.DUMMYFUNCTION("IFERROR(GOOGLEFINANCE(TRIM(F2690)&amp;"":"" &amp; TRIM(B2690),""high52""),AE2690)"),487.65)</f>
        <v>487.65</v>
      </c>
      <c r="AG2690" s="1">
        <v>0</v>
      </c>
      <c r="AH2690" s="1">
        <f ca="1">IFERROR(__xludf.DUMMYFUNCTION("IFERROR(GOOGLEFINANCE(TRIM(F2690)&amp;"":"" &amp; TRIM(B2690),""low52""),AE2690)"),300.05)</f>
        <v>300.05</v>
      </c>
      <c r="AI2690" s="1">
        <f ca="1">IFERROR(__xludf.DUMMYFUNCTION("IFERROR(GOOGLEFINANCE(B2690,""eps""),0)"),14.69)</f>
        <v>14.69</v>
      </c>
      <c r="AJ2690" s="1"/>
      <c r="AK2690" s="1" t="s">
        <v>8346</v>
      </c>
      <c r="AL2690" s="9">
        <f t="shared" si="266"/>
        <v>1</v>
      </c>
    </row>
    <row r="2691" spans="1:38" ht="15" x14ac:dyDescent="0.25">
      <c r="A2691" s="1" t="s">
        <v>8347</v>
      </c>
      <c r="B2691" s="1" t="s">
        <v>8348</v>
      </c>
      <c r="C2691" s="1" t="s">
        <v>835</v>
      </c>
      <c r="D2691" s="1" t="s">
        <v>835</v>
      </c>
      <c r="E2691" s="6">
        <v>2687.16</v>
      </c>
      <c r="F2691" s="1" t="s">
        <v>40</v>
      </c>
      <c r="G2691" s="6">
        <f ca="1">IFERROR(__xludf.DUMMYFUNCTION("iferror(GOOGLEFINANCE(TRIM(F2691)&amp;"":"" &amp; TRIM(B2691), ""price""),0
)"),77.09)</f>
        <v>77.09</v>
      </c>
      <c r="H2691" s="6">
        <v>199.54</v>
      </c>
      <c r="I2691" s="6">
        <f t="shared" ca="1" si="0"/>
        <v>77.09</v>
      </c>
      <c r="J2691" s="6">
        <f ca="1">IFERROR(__xludf.DUMMYFUNCTION("IFERROR(GOOGLEFINANCE(B2691, ""volume""), 0)"),520287)</f>
        <v>520287</v>
      </c>
      <c r="K2691" s="6">
        <v>0.52</v>
      </c>
      <c r="L2691" s="6">
        <f ca="1">IFERROR(__xludf.DUMMYFUNCTION("IFERROR(GOOGLEFINANCE(B2691,""changepct""),K2691)"),-0.8)</f>
        <v>-0.8</v>
      </c>
      <c r="M2691" s="6">
        <f ca="1">IFERROR(__xludf.DUMMYFUNCTION("IFERROR(GOOGLEFINANCE(B2691,""change""),0)"),-0.62)</f>
        <v>-0.62</v>
      </c>
      <c r="N2691" s="6">
        <v>2</v>
      </c>
      <c r="O2691" s="7">
        <v>45536</v>
      </c>
      <c r="P2691" s="6">
        <v>0.63</v>
      </c>
      <c r="Q2691" s="6">
        <v>2628</v>
      </c>
      <c r="R2691" s="7">
        <v>45536</v>
      </c>
      <c r="S2691" s="6">
        <v>332.71</v>
      </c>
      <c r="T2691" s="6">
        <v>48.28</v>
      </c>
      <c r="U2691" s="7">
        <v>45536</v>
      </c>
      <c r="V2691" s="6">
        <v>59.55</v>
      </c>
      <c r="W2691" s="6">
        <f ca="1">IFERROR(__xludf.DUMMYFUNCTION("IFERROR(GOOGLEFINANCE(B2691,""pe""),V2691)"),33.12)</f>
        <v>33.119999999999997</v>
      </c>
      <c r="X2691" s="6">
        <v>-4</v>
      </c>
      <c r="Y2691" s="6">
        <v>2.56</v>
      </c>
      <c r="Z2691" s="6">
        <v>2</v>
      </c>
      <c r="AA2691" s="8">
        <v>45352</v>
      </c>
      <c r="AB2691" s="4">
        <v>0</v>
      </c>
      <c r="AC2691" s="6">
        <v>4.04</v>
      </c>
      <c r="AD2691" s="6">
        <v>4.6900000000000004</v>
      </c>
      <c r="AE2691" s="1">
        <v>0</v>
      </c>
      <c r="AF2691" s="1">
        <f ca="1">IFERROR(__xludf.DUMMYFUNCTION("IFERROR(GOOGLEFINANCE(TRIM(F2691)&amp;"":"" &amp; TRIM(B2691),""high52""),AE2691)"),156.9)</f>
        <v>156.9</v>
      </c>
      <c r="AG2691" s="1">
        <v>0</v>
      </c>
      <c r="AH2691" s="1">
        <f ca="1">IFERROR(__xludf.DUMMYFUNCTION("IFERROR(GOOGLEFINANCE(TRIM(F2691)&amp;"":"" &amp; TRIM(B2691),""low52""),AE2691)"),71.46)</f>
        <v>71.459999999999994</v>
      </c>
      <c r="AI2691" s="1">
        <f ca="1">IFERROR(__xludf.DUMMYFUNCTION("IFERROR(GOOGLEFINANCE(B2691,""eps""),0)"),2.33)</f>
        <v>2.33</v>
      </c>
      <c r="AJ2691" s="1"/>
      <c r="AK2691" s="1" t="s">
        <v>8349</v>
      </c>
      <c r="AL2691" s="9">
        <f t="shared" si="266"/>
        <v>1</v>
      </c>
    </row>
    <row r="2692" spans="1:38" ht="15" x14ac:dyDescent="0.25">
      <c r="A2692" s="1" t="s">
        <v>8350</v>
      </c>
      <c r="B2692" s="1" t="s">
        <v>8351</v>
      </c>
      <c r="C2692" s="1" t="s">
        <v>487</v>
      </c>
      <c r="D2692" s="1" t="s">
        <v>487</v>
      </c>
      <c r="E2692" s="6">
        <v>566.80999999999995</v>
      </c>
      <c r="F2692" s="1" t="s">
        <v>40</v>
      </c>
      <c r="G2692" s="6">
        <f ca="1">IFERROR(__xludf.DUMMYFUNCTION("iferror(GOOGLEFINANCE(TRIM(F2692)&amp;"":"" &amp; TRIM(B2692), ""price""),0
)"),8.09)</f>
        <v>8.09</v>
      </c>
      <c r="H2692" s="6">
        <v>14.49</v>
      </c>
      <c r="I2692" s="6">
        <f t="shared" ca="1" si="0"/>
        <v>8.09</v>
      </c>
      <c r="J2692" s="6">
        <f ca="1">IFERROR(__xludf.DUMMYFUNCTION("IFERROR(GOOGLEFINANCE(B2692, ""volume""), 0)"),229238)</f>
        <v>229238</v>
      </c>
      <c r="K2692" s="6">
        <v>0.98</v>
      </c>
      <c r="L2692" s="6">
        <f ca="1">IFERROR(__xludf.DUMMYFUNCTION("IFERROR(GOOGLEFINANCE(B2692,""changepct""),K2692)"),-0.74)</f>
        <v>-0.74</v>
      </c>
      <c r="M2692" s="6">
        <f ca="1">IFERROR(__xludf.DUMMYFUNCTION("IFERROR(GOOGLEFINANCE(B2692,""change""),0)"),-0.06)</f>
        <v>-0.06</v>
      </c>
      <c r="N2692" s="6">
        <v>2</v>
      </c>
      <c r="O2692" s="7">
        <v>45536</v>
      </c>
      <c r="P2692" s="6">
        <v>29.66</v>
      </c>
      <c r="Q2692" s="6">
        <v>586.39</v>
      </c>
      <c r="R2692" s="7">
        <v>45536</v>
      </c>
      <c r="S2692" s="6">
        <v>202.18</v>
      </c>
      <c r="T2692" s="6">
        <v>19.09</v>
      </c>
      <c r="U2692" s="7">
        <v>45536</v>
      </c>
      <c r="V2692" s="6">
        <v>30.2</v>
      </c>
      <c r="W2692" s="6">
        <f ca="1">IFERROR(__xludf.DUMMYFUNCTION("IFERROR(GOOGLEFINANCE(B2692,""pe""),V2692)"),13.94)</f>
        <v>13.94</v>
      </c>
      <c r="X2692" s="6">
        <v>-2.78</v>
      </c>
      <c r="Y2692" s="6">
        <v>3.68</v>
      </c>
      <c r="Z2692" s="6">
        <v>2</v>
      </c>
      <c r="AA2692" s="8">
        <v>45352</v>
      </c>
      <c r="AB2692" s="4">
        <v>0.24</v>
      </c>
      <c r="AC2692" s="6">
        <v>8.26</v>
      </c>
      <c r="AD2692" s="6">
        <v>12.47</v>
      </c>
      <c r="AE2692" s="1">
        <v>0</v>
      </c>
      <c r="AF2692" s="1">
        <f ca="1">IFERROR(__xludf.DUMMYFUNCTION("IFERROR(GOOGLEFINANCE(TRIM(F2692)&amp;"":"" &amp; TRIM(B2692),""high52""),AE2692)"),13.78)</f>
        <v>13.78</v>
      </c>
      <c r="AG2692" s="1">
        <v>0</v>
      </c>
      <c r="AH2692" s="1">
        <f ca="1">IFERROR(__xludf.DUMMYFUNCTION("IFERROR(GOOGLEFINANCE(TRIM(F2692)&amp;"":"" &amp; TRIM(B2692),""low52""),AE2692)"),7.67)</f>
        <v>7.67</v>
      </c>
      <c r="AI2692" s="1">
        <f ca="1">IFERROR(__xludf.DUMMYFUNCTION("IFERROR(GOOGLEFINANCE(B2692,""eps""),0)"),0.58)</f>
        <v>0.57999999999999996</v>
      </c>
      <c r="AJ2692" s="1"/>
      <c r="AK2692" s="9"/>
      <c r="AL2692" s="9">
        <f t="shared" si="266"/>
        <v>1</v>
      </c>
    </row>
    <row r="2693" spans="1:38" ht="15" x14ac:dyDescent="0.25">
      <c r="A2693" s="1" t="s">
        <v>8352</v>
      </c>
      <c r="B2693" s="1" t="s">
        <v>8353</v>
      </c>
      <c r="C2693" s="1" t="s">
        <v>57</v>
      </c>
      <c r="D2693" s="1" t="s">
        <v>57</v>
      </c>
      <c r="E2693" s="6">
        <v>48.58</v>
      </c>
      <c r="F2693" s="1" t="s">
        <v>53</v>
      </c>
      <c r="G2693" s="6">
        <f ca="1">IFERROR(__xludf.DUMMYFUNCTION("iferror(GOOGLEFINANCE(TRIM(F2693)&amp;"":"" &amp; TRIM(B2693), ""price""),0
)"),0)</f>
        <v>0</v>
      </c>
      <c r="H2693" s="6">
        <v>60.28</v>
      </c>
      <c r="I2693" s="6">
        <f t="shared" ca="1" si="0"/>
        <v>60.28</v>
      </c>
      <c r="J2693" s="6">
        <f ca="1">IFERROR(__xludf.DUMMYFUNCTION("IFERROR(GOOGLEFINANCE(B2693, ""volume""), 0)"),0)</f>
        <v>0</v>
      </c>
      <c r="K2693" s="6">
        <v>1.62</v>
      </c>
      <c r="L2693" s="6">
        <f ca="1">IFERROR(__xludf.DUMMYFUNCTION("IFERROR(GOOGLEFINANCE(B2693,""changepct""),K2693)"),1.62)</f>
        <v>1.62</v>
      </c>
      <c r="M2693" s="6">
        <f ca="1">IFERROR(__xludf.DUMMYFUNCTION("IFERROR(GOOGLEFINANCE(B2693,""change""),0)"),0)</f>
        <v>0</v>
      </c>
      <c r="N2693" s="6">
        <v>2</v>
      </c>
      <c r="O2693" s="7">
        <v>45536</v>
      </c>
      <c r="P2693" s="6">
        <v>1.34</v>
      </c>
      <c r="Q2693" s="6">
        <v>49.92</v>
      </c>
      <c r="R2693" s="7">
        <v>45536</v>
      </c>
      <c r="S2693" s="6">
        <v>33.18</v>
      </c>
      <c r="T2693" s="6">
        <v>0.42</v>
      </c>
      <c r="U2693" s="7">
        <v>45536</v>
      </c>
      <c r="V2693" s="6">
        <v>96.97</v>
      </c>
      <c r="W2693" s="6">
        <f ca="1">IFERROR(__xludf.DUMMYFUNCTION("IFERROR(GOOGLEFINANCE(B2693,""pe""),V2693)"),96.97)</f>
        <v>96.97</v>
      </c>
      <c r="X2693" s="9"/>
      <c r="Y2693" s="6">
        <v>3.18</v>
      </c>
      <c r="Z2693" s="6">
        <v>2</v>
      </c>
      <c r="AA2693" s="8">
        <v>45352</v>
      </c>
      <c r="AB2693" s="4">
        <v>0.25</v>
      </c>
      <c r="AC2693" s="6">
        <v>33.549999999999997</v>
      </c>
      <c r="AD2693" s="6">
        <v>31.81</v>
      </c>
      <c r="AE2693" s="1">
        <v>0</v>
      </c>
      <c r="AF2693" s="1">
        <f ca="1">IFERROR(__xludf.DUMMYFUNCTION("IFERROR(GOOGLEFINANCE(TRIM(F2693)&amp;"":"" &amp; TRIM(B2693),""high52""),AE2693)"),0)</f>
        <v>0</v>
      </c>
      <c r="AG2693" s="1">
        <v>0</v>
      </c>
      <c r="AH2693" s="1">
        <f ca="1">IFERROR(__xludf.DUMMYFUNCTION("IFERROR(GOOGLEFINANCE(TRIM(F2693)&amp;"":"" &amp; TRIM(B2693),""low52""),AE2693)"),0)</f>
        <v>0</v>
      </c>
      <c r="AI2693" s="1">
        <f ca="1">IFERROR(__xludf.DUMMYFUNCTION("IFERROR(GOOGLEFINANCE(B2693,""eps""),0)"),0)</f>
        <v>0</v>
      </c>
      <c r="AJ2693" s="1"/>
      <c r="AK2693" s="1" t="s">
        <v>8354</v>
      </c>
      <c r="AL2693" s="9">
        <f t="shared" si="266"/>
        <v>1</v>
      </c>
    </row>
    <row r="2694" spans="1:38" ht="15" x14ac:dyDescent="0.25">
      <c r="A2694" s="1" t="s">
        <v>8355</v>
      </c>
      <c r="B2694" s="1" t="s">
        <v>8356</v>
      </c>
      <c r="C2694" s="1" t="s">
        <v>487</v>
      </c>
      <c r="D2694" s="1" t="s">
        <v>487</v>
      </c>
      <c r="E2694" s="6">
        <v>705.06</v>
      </c>
      <c r="F2694" s="1" t="s">
        <v>40</v>
      </c>
      <c r="G2694" s="6">
        <f ca="1">IFERROR(__xludf.DUMMYFUNCTION("iferror(GOOGLEFINANCE(TRIM(F2694)&amp;"":"" &amp; TRIM(B2694), ""price""),0
)"),14.07)</f>
        <v>14.07</v>
      </c>
      <c r="H2694" s="6">
        <v>17.920000000000002</v>
      </c>
      <c r="I2694" s="6">
        <f t="shared" ca="1" si="0"/>
        <v>14.07</v>
      </c>
      <c r="J2694" s="6">
        <f ca="1">IFERROR(__xludf.DUMMYFUNCTION("IFERROR(GOOGLEFINANCE(B2694, ""volume""), 0)"),424888)</f>
        <v>424888</v>
      </c>
      <c r="K2694" s="6">
        <v>1.99</v>
      </c>
      <c r="L2694" s="6">
        <f ca="1">IFERROR(__xludf.DUMMYFUNCTION("IFERROR(GOOGLEFINANCE(B2694,""changepct""),K2694)"),-2.7)</f>
        <v>-2.7</v>
      </c>
      <c r="M2694" s="6">
        <f ca="1">IFERROR(__xludf.DUMMYFUNCTION("IFERROR(GOOGLEFINANCE(B2694,""change""),0)"),-0.39)</f>
        <v>-0.39</v>
      </c>
      <c r="N2694" s="6">
        <v>2</v>
      </c>
      <c r="O2694" s="7">
        <v>45536</v>
      </c>
      <c r="P2694" s="6">
        <v>20.09</v>
      </c>
      <c r="Q2694" s="6">
        <v>705.69</v>
      </c>
      <c r="R2694" s="7">
        <v>45536</v>
      </c>
      <c r="S2694" s="6">
        <v>153.72999999999999</v>
      </c>
      <c r="T2694" s="6">
        <v>20.170000000000002</v>
      </c>
      <c r="U2694" s="7">
        <v>45536</v>
      </c>
      <c r="V2694" s="6">
        <v>35.130000000000003</v>
      </c>
      <c r="W2694" s="6">
        <f ca="1">IFERROR(__xludf.DUMMYFUNCTION("IFERROR(GOOGLEFINANCE(B2694,""pe""),V2694)"),27.34)</f>
        <v>27.34</v>
      </c>
      <c r="X2694" s="6">
        <v>0.98</v>
      </c>
      <c r="Y2694" s="6">
        <v>5.27</v>
      </c>
      <c r="Z2694" s="6">
        <v>2</v>
      </c>
      <c r="AA2694" s="8">
        <v>45352</v>
      </c>
      <c r="AB2694" s="4">
        <v>0</v>
      </c>
      <c r="AC2694" s="6">
        <v>11.1</v>
      </c>
      <c r="AD2694" s="6">
        <v>17.149999999999999</v>
      </c>
      <c r="AE2694" s="1">
        <v>0</v>
      </c>
      <c r="AF2694" s="1">
        <f ca="1">IFERROR(__xludf.DUMMYFUNCTION("IFERROR(GOOGLEFINANCE(TRIM(F2694)&amp;"":"" &amp; TRIM(B2694),""high52""),AE2694)"),20.47)</f>
        <v>20.47</v>
      </c>
      <c r="AG2694" s="1">
        <v>0</v>
      </c>
      <c r="AH2694" s="1">
        <f ca="1">IFERROR(__xludf.DUMMYFUNCTION("IFERROR(GOOGLEFINANCE(TRIM(F2694)&amp;"":"" &amp; TRIM(B2694),""low52""),AE2694)"),10.21)</f>
        <v>10.210000000000001</v>
      </c>
      <c r="AI2694" s="1">
        <f ca="1">IFERROR(__xludf.DUMMYFUNCTION("IFERROR(GOOGLEFINANCE(B2694,""eps""),0)"),0.51)</f>
        <v>0.51</v>
      </c>
      <c r="AJ2694" s="1"/>
      <c r="AK2694" s="1" t="s">
        <v>8357</v>
      </c>
      <c r="AL2694" s="9">
        <f t="shared" si="266"/>
        <v>1</v>
      </c>
    </row>
    <row r="2695" spans="1:38" ht="15" x14ac:dyDescent="0.25">
      <c r="A2695" s="1" t="s">
        <v>8358</v>
      </c>
      <c r="B2695" s="1" t="s">
        <v>8359</v>
      </c>
      <c r="C2695" s="1" t="s">
        <v>82</v>
      </c>
      <c r="D2695" s="1" t="s">
        <v>82</v>
      </c>
      <c r="E2695" s="6">
        <v>2924.89</v>
      </c>
      <c r="F2695" s="1" t="s">
        <v>40</v>
      </c>
      <c r="G2695" s="6">
        <f ca="1">IFERROR(__xludf.DUMMYFUNCTION("iferror(GOOGLEFINANCE(TRIM(F2695)&amp;"":"" &amp; TRIM(B2695), ""price""),0
)"),1380)</f>
        <v>1380</v>
      </c>
      <c r="H2695" s="6">
        <v>1965</v>
      </c>
      <c r="I2695" s="6">
        <f t="shared" ca="1" si="0"/>
        <v>1380</v>
      </c>
      <c r="J2695" s="6">
        <f ca="1">IFERROR(__xludf.DUMMYFUNCTION("IFERROR(GOOGLEFINANCE(B2695, ""volume""), 0)"),678)</f>
        <v>678</v>
      </c>
      <c r="K2695" s="6">
        <v>0.05</v>
      </c>
      <c r="L2695" s="6">
        <f ca="1">IFERROR(__xludf.DUMMYFUNCTION("IFERROR(GOOGLEFINANCE(B2695,""changepct""),K2695)"),0.39)</f>
        <v>0.39</v>
      </c>
      <c r="M2695" s="6">
        <f ca="1">IFERROR(__xludf.DUMMYFUNCTION("IFERROR(GOOGLEFINANCE(B2695,""change""),0)"),5.3)</f>
        <v>5.3</v>
      </c>
      <c r="N2695" s="6">
        <v>2</v>
      </c>
      <c r="O2695" s="7">
        <v>45536</v>
      </c>
      <c r="P2695" s="6">
        <v>308.26</v>
      </c>
      <c r="Q2695" s="6">
        <v>3193.27</v>
      </c>
      <c r="R2695" s="7">
        <v>45536</v>
      </c>
      <c r="S2695" s="6">
        <v>3202.09</v>
      </c>
      <c r="T2695" s="6">
        <v>107.76</v>
      </c>
      <c r="U2695" s="7">
        <v>45536</v>
      </c>
      <c r="V2695" s="6">
        <v>25.3</v>
      </c>
      <c r="W2695" s="6">
        <f ca="1">IFERROR(__xludf.DUMMYFUNCTION("IFERROR(GOOGLEFINANCE(B2695,""pe""),V2695)"),19.72)</f>
        <v>19.72</v>
      </c>
      <c r="X2695" s="6">
        <v>30.85</v>
      </c>
      <c r="Y2695" s="6">
        <v>2.04</v>
      </c>
      <c r="Z2695" s="6">
        <v>2</v>
      </c>
      <c r="AA2695" s="8">
        <v>45352</v>
      </c>
      <c r="AB2695" s="4">
        <v>0.18</v>
      </c>
      <c r="AC2695" s="6">
        <v>8.99</v>
      </c>
      <c r="AD2695" s="6">
        <v>12.71</v>
      </c>
      <c r="AE2695" s="1">
        <v>0</v>
      </c>
      <c r="AF2695" s="1">
        <f ca="1">IFERROR(__xludf.DUMMYFUNCTION("IFERROR(GOOGLEFINANCE(TRIM(F2695)&amp;"":"" &amp; TRIM(B2695),""high52""),AE2695)"),1865)</f>
        <v>1865</v>
      </c>
      <c r="AG2695" s="1">
        <v>0</v>
      </c>
      <c r="AH2695" s="1">
        <f ca="1">IFERROR(__xludf.DUMMYFUNCTION("IFERROR(GOOGLEFINANCE(TRIM(F2695)&amp;"":"" &amp; TRIM(B2695),""low52""),AE2695)"),1330.7)</f>
        <v>1330.7</v>
      </c>
      <c r="AI2695" s="1">
        <f ca="1">IFERROR(__xludf.DUMMYFUNCTION("IFERROR(GOOGLEFINANCE(B2695,""eps""),0)"),69.97)</f>
        <v>69.97</v>
      </c>
      <c r="AJ2695" s="1"/>
      <c r="AK2695" s="1" t="s">
        <v>8360</v>
      </c>
      <c r="AL2695" s="9">
        <f t="shared" si="266"/>
        <v>1</v>
      </c>
    </row>
    <row r="2696" spans="1:38" ht="15" x14ac:dyDescent="0.25">
      <c r="A2696" s="1" t="s">
        <v>8361</v>
      </c>
      <c r="B2696" s="1" t="s">
        <v>8362</v>
      </c>
      <c r="C2696" s="1" t="s">
        <v>57</v>
      </c>
      <c r="D2696" s="1" t="s">
        <v>57</v>
      </c>
      <c r="E2696" s="6">
        <v>1029.1099999999999</v>
      </c>
      <c r="F2696" s="1" t="s">
        <v>40</v>
      </c>
      <c r="G2696" s="6">
        <f ca="1">IFERROR(__xludf.DUMMYFUNCTION("iferror(GOOGLEFINANCE(TRIM(F2696)&amp;"":"" &amp; TRIM(B2696), ""price""),0
)"),339.4)</f>
        <v>339.4</v>
      </c>
      <c r="H2696" s="6">
        <v>548.25</v>
      </c>
      <c r="I2696" s="6">
        <f t="shared" ca="1" si="0"/>
        <v>339.4</v>
      </c>
      <c r="J2696" s="6">
        <f ca="1">IFERROR(__xludf.DUMMYFUNCTION("IFERROR(GOOGLEFINANCE(B2696, ""volume""), 0)"),2321)</f>
        <v>2321</v>
      </c>
      <c r="K2696" s="6">
        <v>-0.94</v>
      </c>
      <c r="L2696" s="6">
        <f ca="1">IFERROR(__xludf.DUMMYFUNCTION("IFERROR(GOOGLEFINANCE(B2696,""changepct""),K2696)"),2.17)</f>
        <v>2.17</v>
      </c>
      <c r="M2696" s="6">
        <f ca="1">IFERROR(__xludf.DUMMYFUNCTION("IFERROR(GOOGLEFINANCE(B2696,""change""),0)"),7.2)</f>
        <v>7.2</v>
      </c>
      <c r="N2696" s="6">
        <v>2</v>
      </c>
      <c r="O2696" s="7">
        <v>45536</v>
      </c>
      <c r="P2696" s="6">
        <v>2.25</v>
      </c>
      <c r="Q2696" s="6">
        <v>1031.3599999999999</v>
      </c>
      <c r="R2696" s="7">
        <v>45536</v>
      </c>
      <c r="S2696" s="6">
        <v>121.86</v>
      </c>
      <c r="T2696" s="6">
        <v>21.78</v>
      </c>
      <c r="U2696" s="7">
        <v>45536</v>
      </c>
      <c r="V2696" s="6">
        <v>47.24</v>
      </c>
      <c r="W2696" s="6">
        <f ca="1">IFERROR(__xludf.DUMMYFUNCTION("IFERROR(GOOGLEFINANCE(B2696,""pe""),V2696)"),21.31)</f>
        <v>21.31</v>
      </c>
      <c r="X2696" s="12"/>
      <c r="Y2696" s="6">
        <v>21.74</v>
      </c>
      <c r="Z2696" s="6">
        <v>2</v>
      </c>
      <c r="AA2696" s="17">
        <v>45352</v>
      </c>
      <c r="AB2696" s="18">
        <v>7.0000000000000007E-2</v>
      </c>
      <c r="AC2696" s="6">
        <v>44.38</v>
      </c>
      <c r="AD2696" s="6">
        <v>54.88</v>
      </c>
      <c r="AE2696" s="1">
        <v>0</v>
      </c>
      <c r="AF2696" s="1">
        <f ca="1">IFERROR(__xludf.DUMMYFUNCTION("IFERROR(GOOGLEFINANCE(TRIM(F2696)&amp;"":"" &amp; TRIM(B2696),""high52""),AE2696)"),529.5)</f>
        <v>529.5</v>
      </c>
      <c r="AG2696" s="1">
        <v>0</v>
      </c>
      <c r="AH2696" s="1">
        <f ca="1">IFERROR(__xludf.DUMMYFUNCTION("IFERROR(GOOGLEFINANCE(TRIM(F2696)&amp;"":"" &amp; TRIM(B2696),""low52""),AE2696)"),322.6)</f>
        <v>322.60000000000002</v>
      </c>
      <c r="AI2696" s="1">
        <f ca="1">IFERROR(__xludf.DUMMYFUNCTION("IFERROR(GOOGLEFINANCE(B2696,""eps""),0)"),15.93)</f>
        <v>15.93</v>
      </c>
      <c r="AJ2696" s="1"/>
      <c r="AK2696" s="1" t="s">
        <v>8363</v>
      </c>
      <c r="AL2696" s="9">
        <f t="shared" si="266"/>
        <v>1</v>
      </c>
    </row>
    <row r="2697" spans="1:38" ht="15" x14ac:dyDescent="0.25">
      <c r="A2697" s="1" t="s">
        <v>8364</v>
      </c>
      <c r="B2697" s="1" t="s">
        <v>8365</v>
      </c>
      <c r="C2697" s="1" t="s">
        <v>386</v>
      </c>
      <c r="D2697" s="1" t="s">
        <v>386</v>
      </c>
      <c r="E2697" s="6">
        <v>48024.65</v>
      </c>
      <c r="F2697" s="1" t="s">
        <v>40</v>
      </c>
      <c r="G2697" s="6">
        <f ca="1">IFERROR(__xludf.DUMMYFUNCTION("iferror(GOOGLEFINANCE(TRIM(F2697)&amp;"":"" &amp; TRIM(B2697), ""price""),0
)"),876)</f>
        <v>876</v>
      </c>
      <c r="H2697" s="6">
        <v>765.8</v>
      </c>
      <c r="I2697" s="6">
        <f t="shared" ca="1" si="0"/>
        <v>876</v>
      </c>
      <c r="J2697" s="6">
        <f ca="1">IFERROR(__xludf.DUMMYFUNCTION("IFERROR(GOOGLEFINANCE(B2697, ""volume""), 0)"),1025197)</f>
        <v>1025197</v>
      </c>
      <c r="K2697" s="6">
        <v>1.05</v>
      </c>
      <c r="L2697" s="6">
        <f ca="1">IFERROR(__xludf.DUMMYFUNCTION("IFERROR(GOOGLEFINANCE(B2697,""changepct""),K2697)"),0.7)</f>
        <v>0.7</v>
      </c>
      <c r="M2697" s="6">
        <f ca="1">IFERROR(__xludf.DUMMYFUNCTION("IFERROR(GOOGLEFINANCE(B2697,""change""),0)"),6.05)</f>
        <v>6.05</v>
      </c>
      <c r="N2697" s="6">
        <v>2</v>
      </c>
      <c r="O2697" s="7">
        <v>45536</v>
      </c>
      <c r="P2697" s="6">
        <v>1318.78</v>
      </c>
      <c r="Q2697" s="7">
        <v>45536</v>
      </c>
      <c r="R2697" s="6">
        <v>36.39</v>
      </c>
      <c r="S2697" s="6">
        <v>2.0299999999999998</v>
      </c>
      <c r="T2697" s="6">
        <v>11.81</v>
      </c>
      <c r="U2697" s="6">
        <v>2</v>
      </c>
      <c r="V2697" s="7">
        <v>45352</v>
      </c>
      <c r="W2697" s="6">
        <f ca="1">IFERROR(__xludf.DUMMYFUNCTION("IFERROR(GOOGLEFINANCE(B2697,""pe""),V2697)"),40.57)</f>
        <v>40.57</v>
      </c>
      <c r="X2697" s="6">
        <v>0</v>
      </c>
      <c r="Y2697" s="6">
        <v>30.48</v>
      </c>
      <c r="Z2697" s="6">
        <v>36.24</v>
      </c>
      <c r="AA2697" s="3" t="s">
        <v>8366</v>
      </c>
      <c r="AB2697" s="3"/>
      <c r="AC2697" s="9"/>
      <c r="AD2697" s="9"/>
      <c r="AE2697" s="1">
        <v>0</v>
      </c>
      <c r="AF2697" s="1">
        <f ca="1">IFERROR(__xludf.DUMMYFUNCTION("IFERROR(GOOGLEFINANCE(TRIM(F2697)&amp;"":"" &amp; TRIM(B2697),""high52""),AE2697)"),987.35)</f>
        <v>987.35</v>
      </c>
      <c r="AG2697" s="1">
        <v>0</v>
      </c>
      <c r="AH2697" s="1">
        <f ca="1">IFERROR(__xludf.DUMMYFUNCTION("IFERROR(GOOGLEFINANCE(TRIM(F2697)&amp;"":"" &amp; TRIM(B2697),""low52""),AE2697)"),498.05)</f>
        <v>498.05</v>
      </c>
      <c r="AI2697" s="1">
        <f ca="1">IFERROR(__xludf.DUMMYFUNCTION("IFERROR(GOOGLEFINANCE(B2697,""eps""),0)"),8.55)</f>
        <v>8.5500000000000007</v>
      </c>
      <c r="AJ2697" s="1"/>
      <c r="AK2697" s="1" t="s">
        <v>8367</v>
      </c>
      <c r="AL2697" s="9">
        <f t="shared" si="266"/>
        <v>1</v>
      </c>
    </row>
    <row r="2698" spans="1:38" ht="15" x14ac:dyDescent="0.25">
      <c r="A2698" s="1" t="s">
        <v>8368</v>
      </c>
      <c r="B2698" s="1" t="s">
        <v>8369</v>
      </c>
      <c r="C2698" s="1" t="s">
        <v>86</v>
      </c>
      <c r="D2698" s="1" t="s">
        <v>86</v>
      </c>
      <c r="E2698" s="6">
        <v>341.5</v>
      </c>
      <c r="F2698" s="1" t="s">
        <v>40</v>
      </c>
      <c r="G2698" s="6">
        <f ca="1">IFERROR(__xludf.DUMMYFUNCTION("iferror(GOOGLEFINANCE(TRIM(F2698)&amp;"":"" &amp; TRIM(B2698), ""price""),0
)"),30.56)</f>
        <v>30.56</v>
      </c>
      <c r="H2698" s="6">
        <v>70.510000000000005</v>
      </c>
      <c r="I2698" s="6">
        <f t="shared" ca="1" si="0"/>
        <v>30.56</v>
      </c>
      <c r="J2698" s="6">
        <f ca="1">IFERROR(__xludf.DUMMYFUNCTION("IFERROR(GOOGLEFINANCE(B2698, ""volume""), 0)"),48104)</f>
        <v>48104</v>
      </c>
      <c r="K2698" s="6">
        <v>0</v>
      </c>
      <c r="L2698" s="6">
        <f ca="1">IFERROR(__xludf.DUMMYFUNCTION("IFERROR(GOOGLEFINANCE(B2698,""changepct""),K2698)"),-0.84)</f>
        <v>-0.84</v>
      </c>
      <c r="M2698" s="6">
        <f ca="1">IFERROR(__xludf.DUMMYFUNCTION("IFERROR(GOOGLEFINANCE(B2698,""change""),0)"),-0.26)</f>
        <v>-0.26</v>
      </c>
      <c r="N2698" s="6">
        <v>2</v>
      </c>
      <c r="O2698" s="7">
        <v>45536</v>
      </c>
      <c r="P2698" s="6">
        <v>2.4700000000000002</v>
      </c>
      <c r="Q2698" s="6">
        <v>343.97</v>
      </c>
      <c r="R2698" s="7">
        <v>45536</v>
      </c>
      <c r="S2698" s="6">
        <v>481.4</v>
      </c>
      <c r="T2698" s="6">
        <v>13.31</v>
      </c>
      <c r="U2698" s="7">
        <v>45536</v>
      </c>
      <c r="V2698" s="6">
        <v>25.65</v>
      </c>
      <c r="W2698" s="6">
        <f ca="1">IFERROR(__xludf.DUMMYFUNCTION("IFERROR(GOOGLEFINANCE(B2698,""pe""),V2698)"),7.49)</f>
        <v>7.49</v>
      </c>
      <c r="X2698" s="12"/>
      <c r="Y2698" s="6">
        <v>1.76</v>
      </c>
      <c r="Z2698" s="6">
        <v>2</v>
      </c>
      <c r="AA2698" s="8">
        <v>45352</v>
      </c>
      <c r="AB2698" s="4">
        <v>0</v>
      </c>
      <c r="AC2698" s="6">
        <v>5.91</v>
      </c>
      <c r="AD2698" s="6">
        <v>7.48</v>
      </c>
      <c r="AE2698" s="1">
        <v>0</v>
      </c>
      <c r="AF2698" s="1">
        <f ca="1">IFERROR(__xludf.DUMMYFUNCTION("IFERROR(GOOGLEFINANCE(TRIM(F2698)&amp;"":"" &amp; TRIM(B2698),""high52""),AE2698)"),69.88)</f>
        <v>69.88</v>
      </c>
      <c r="AG2698" s="1">
        <v>0</v>
      </c>
      <c r="AH2698" s="1">
        <f ca="1">IFERROR(__xludf.DUMMYFUNCTION("IFERROR(GOOGLEFINANCE(TRIM(F2698)&amp;"":"" &amp; TRIM(B2698),""low52""),AE2698)"),27.2)</f>
        <v>27.2</v>
      </c>
      <c r="AI2698" s="1">
        <f ca="1">IFERROR(__xludf.DUMMYFUNCTION("IFERROR(GOOGLEFINANCE(B2698,""eps""),0)"),4.08)</f>
        <v>4.08</v>
      </c>
      <c r="AJ2698" s="1"/>
      <c r="AK2698" s="1" t="s">
        <v>8370</v>
      </c>
      <c r="AL2698" s="9">
        <f t="shared" si="266"/>
        <v>1</v>
      </c>
    </row>
    <row r="2699" spans="1:38" ht="15" x14ac:dyDescent="0.25">
      <c r="A2699" s="1" t="s">
        <v>8371</v>
      </c>
      <c r="B2699" s="1" t="s">
        <v>8372</v>
      </c>
      <c r="C2699" s="1" t="s">
        <v>57</v>
      </c>
      <c r="D2699" s="1" t="s">
        <v>57</v>
      </c>
      <c r="E2699" s="6">
        <v>59.76</v>
      </c>
      <c r="F2699" s="1" t="s">
        <v>53</v>
      </c>
      <c r="G2699" s="6">
        <f ca="1">IFERROR(__xludf.DUMMYFUNCTION("iferror(GOOGLEFINANCE(TRIM(F2699)&amp;"":"" &amp; TRIM(B2699), ""price""),0
)"),0)</f>
        <v>0</v>
      </c>
      <c r="H2699" s="6">
        <v>54.99</v>
      </c>
      <c r="I2699" s="6">
        <f t="shared" ca="1" si="0"/>
        <v>54.99</v>
      </c>
      <c r="J2699" s="6">
        <f ca="1">IFERROR(__xludf.DUMMYFUNCTION("IFERROR(GOOGLEFINANCE(B2699, ""volume""), 0)"),0)</f>
        <v>0</v>
      </c>
      <c r="K2699" s="6">
        <v>0.11</v>
      </c>
      <c r="L2699" s="6">
        <f ca="1">IFERROR(__xludf.DUMMYFUNCTION("IFERROR(GOOGLEFINANCE(B2699,""changepct""),K2699)"),0.11)</f>
        <v>0.11</v>
      </c>
      <c r="M2699" s="6">
        <f ca="1">IFERROR(__xludf.DUMMYFUNCTION("IFERROR(GOOGLEFINANCE(B2699,""change""),0)"),0)</f>
        <v>0</v>
      </c>
      <c r="N2699" s="6">
        <v>1</v>
      </c>
      <c r="O2699" s="7">
        <v>45536</v>
      </c>
      <c r="P2699" s="9"/>
      <c r="Q2699" s="6">
        <v>52.46</v>
      </c>
      <c r="R2699" s="7">
        <v>45536</v>
      </c>
      <c r="S2699" s="6">
        <v>13.33</v>
      </c>
      <c r="T2699" s="6">
        <v>2.74</v>
      </c>
      <c r="U2699" s="7">
        <v>45536</v>
      </c>
      <c r="V2699" s="6">
        <v>21.82</v>
      </c>
      <c r="W2699" s="6">
        <f ca="1">IFERROR(__xludf.DUMMYFUNCTION("IFERROR(GOOGLEFINANCE(B2699,""pe""),V2699)"),21.82)</f>
        <v>21.82</v>
      </c>
      <c r="X2699" s="6">
        <v>60.62</v>
      </c>
      <c r="Y2699" s="6">
        <v>2.98</v>
      </c>
      <c r="Z2699" s="6">
        <v>1</v>
      </c>
      <c r="AA2699" s="8">
        <v>45352</v>
      </c>
      <c r="AB2699" s="4">
        <v>0</v>
      </c>
      <c r="AC2699" s="6">
        <v>13.74</v>
      </c>
      <c r="AD2699" s="6">
        <v>18.329999999999998</v>
      </c>
      <c r="AE2699" s="1">
        <v>0</v>
      </c>
      <c r="AF2699" s="1">
        <f ca="1">IFERROR(__xludf.DUMMYFUNCTION("IFERROR(GOOGLEFINANCE(TRIM(F2699)&amp;"":"" &amp; TRIM(B2699),""high52""),AE2699)"),0)</f>
        <v>0</v>
      </c>
      <c r="AG2699" s="1">
        <v>0</v>
      </c>
      <c r="AH2699" s="1">
        <f ca="1">IFERROR(__xludf.DUMMYFUNCTION("IFERROR(GOOGLEFINANCE(TRIM(F2699)&amp;"":"" &amp; TRIM(B2699),""low52""),AE2699)"),0)</f>
        <v>0</v>
      </c>
      <c r="AI2699" s="1">
        <f ca="1">IFERROR(__xludf.DUMMYFUNCTION("IFERROR(GOOGLEFINANCE(B2699,""eps""),0)"),0)</f>
        <v>0</v>
      </c>
      <c r="AJ2699" s="1"/>
      <c r="AK2699" s="1" t="s">
        <v>8373</v>
      </c>
      <c r="AL2699" s="9">
        <f t="shared" si="266"/>
        <v>1</v>
      </c>
    </row>
    <row r="2700" spans="1:38" ht="15" x14ac:dyDescent="0.25">
      <c r="A2700" s="1" t="s">
        <v>8374</v>
      </c>
      <c r="B2700" s="1" t="s">
        <v>8375</v>
      </c>
      <c r="C2700" s="1" t="s">
        <v>64</v>
      </c>
      <c r="D2700" s="1" t="s">
        <v>64</v>
      </c>
      <c r="E2700" s="6">
        <v>14.71</v>
      </c>
      <c r="F2700" s="1" t="s">
        <v>40</v>
      </c>
      <c r="G2700" s="6">
        <f ca="1">IFERROR(__xludf.DUMMYFUNCTION("iferror(GOOGLEFINANCE(TRIM(F2700)&amp;"":"" &amp; TRIM(B2700), ""price""),0
)"),165)</f>
        <v>165</v>
      </c>
      <c r="H2700" s="6">
        <v>245.18</v>
      </c>
      <c r="I2700" s="6">
        <f t="shared" ca="1" si="0"/>
        <v>165</v>
      </c>
      <c r="J2700" s="6">
        <f ca="1">IFERROR(__xludf.DUMMYFUNCTION("IFERROR(GOOGLEFINANCE(B2700, ""volume""), 0)"),2205)</f>
        <v>2205</v>
      </c>
      <c r="K2700" s="9"/>
      <c r="L2700" s="6">
        <f ca="1">IFERROR(__xludf.DUMMYFUNCTION("IFERROR(GOOGLEFINANCE(B2700,""changepct""),K2700)"),1.63)</f>
        <v>1.63</v>
      </c>
      <c r="M2700" s="6">
        <f ca="1">IFERROR(__xludf.DUMMYFUNCTION("IFERROR(GOOGLEFINANCE(B2700,""change""),0)"),2.64)</f>
        <v>2.64</v>
      </c>
      <c r="N2700" s="6">
        <v>1</v>
      </c>
      <c r="O2700" s="7">
        <v>45536</v>
      </c>
      <c r="P2700" s="6">
        <v>2.11</v>
      </c>
      <c r="Q2700" s="6">
        <v>16.82</v>
      </c>
      <c r="R2700" s="7">
        <v>45536</v>
      </c>
      <c r="S2700" s="6">
        <v>3.26</v>
      </c>
      <c r="T2700" s="6">
        <v>1.01</v>
      </c>
      <c r="U2700" s="7">
        <v>45536</v>
      </c>
      <c r="V2700" s="6">
        <v>14.61</v>
      </c>
      <c r="W2700" s="6">
        <f ca="1">IFERROR(__xludf.DUMMYFUNCTION("IFERROR(GOOGLEFINANCE(B2700,""pe""),V2700)"),6.42)</f>
        <v>6.42</v>
      </c>
      <c r="X2700" s="6">
        <v>3.37</v>
      </c>
      <c r="Y2700" s="6">
        <v>1.08</v>
      </c>
      <c r="Z2700" s="6">
        <v>1</v>
      </c>
      <c r="AA2700" s="8">
        <v>45352</v>
      </c>
      <c r="AB2700" s="4">
        <v>0.11</v>
      </c>
      <c r="AC2700" s="6">
        <v>6.45</v>
      </c>
      <c r="AD2700" s="6">
        <v>7.96</v>
      </c>
      <c r="AE2700" s="1">
        <v>0</v>
      </c>
      <c r="AF2700" s="1">
        <f ca="1">IFERROR(__xludf.DUMMYFUNCTION("IFERROR(GOOGLEFINANCE(TRIM(F2700)&amp;"":"" &amp; TRIM(B2700),""high52""),AE2700)"),612.5)</f>
        <v>612.5</v>
      </c>
      <c r="AG2700" s="1">
        <v>0</v>
      </c>
      <c r="AH2700" s="1">
        <f ca="1">IFERROR(__xludf.DUMMYFUNCTION("IFERROR(GOOGLEFINANCE(TRIM(F2700)&amp;"":"" &amp; TRIM(B2700),""low52""),AE2700)"),155)</f>
        <v>155</v>
      </c>
      <c r="AI2700" s="1">
        <f ca="1">IFERROR(__xludf.DUMMYFUNCTION("IFERROR(GOOGLEFINANCE(B2700,""eps""),0)"),25.7)</f>
        <v>25.7</v>
      </c>
      <c r="AJ2700" s="1"/>
      <c r="AK2700" s="9"/>
      <c r="AL2700" s="9">
        <f t="shared" si="266"/>
        <v>1</v>
      </c>
    </row>
    <row r="2701" spans="1:38" ht="15" x14ac:dyDescent="0.25">
      <c r="A2701" s="1" t="s">
        <v>8376</v>
      </c>
      <c r="B2701" s="1" t="s">
        <v>8377</v>
      </c>
      <c r="C2701" s="1" t="s">
        <v>57</v>
      </c>
      <c r="D2701" s="1" t="s">
        <v>57</v>
      </c>
      <c r="E2701" s="6">
        <v>393.87</v>
      </c>
      <c r="F2701" s="1" t="s">
        <v>53</v>
      </c>
      <c r="G2701" s="6">
        <f ca="1">IFERROR(__xludf.DUMMYFUNCTION("iferror(GOOGLEFINANCE(TRIM(F2701)&amp;"":"" &amp; TRIM(B2701), ""price""),0
)"),0)</f>
        <v>0</v>
      </c>
      <c r="H2701" s="6">
        <v>24.76</v>
      </c>
      <c r="I2701" s="6">
        <f t="shared" ca="1" si="0"/>
        <v>24.76</v>
      </c>
      <c r="J2701" s="6">
        <f ca="1">IFERROR(__xludf.DUMMYFUNCTION("IFERROR(GOOGLEFINANCE(B2701, ""volume""), 0)"),0)</f>
        <v>0</v>
      </c>
      <c r="K2701" s="6">
        <v>-1.98</v>
      </c>
      <c r="L2701" s="6">
        <f ca="1">IFERROR(__xludf.DUMMYFUNCTION("IFERROR(GOOGLEFINANCE(B2701,""changepct""),K2701)"),-1.98)</f>
        <v>-1.98</v>
      </c>
      <c r="M2701" s="6">
        <f ca="1">IFERROR(__xludf.DUMMYFUNCTION("IFERROR(GOOGLEFINANCE(B2701,""change""),0)"),0)</f>
        <v>0</v>
      </c>
      <c r="N2701" s="6">
        <v>1</v>
      </c>
      <c r="O2701" s="7">
        <v>45536</v>
      </c>
      <c r="P2701" s="6">
        <v>36.03</v>
      </c>
      <c r="Q2701" s="6">
        <v>429.9</v>
      </c>
      <c r="R2701" s="7">
        <v>45536</v>
      </c>
      <c r="S2701" s="6">
        <v>2.33</v>
      </c>
      <c r="T2701" s="6">
        <v>-0.73</v>
      </c>
      <c r="U2701" s="7">
        <v>45536</v>
      </c>
      <c r="V2701" s="6">
        <v>0</v>
      </c>
      <c r="W2701" s="6">
        <f ca="1">IFERROR(__xludf.DUMMYFUNCTION("IFERROR(GOOGLEFINANCE(B2701,""pe""),V2701)"),0)</f>
        <v>0</v>
      </c>
      <c r="X2701" s="6">
        <v>0</v>
      </c>
      <c r="Y2701" s="6">
        <v>3.27</v>
      </c>
      <c r="Z2701" s="6">
        <v>1</v>
      </c>
      <c r="AA2701" s="8">
        <v>45352</v>
      </c>
      <c r="AB2701" s="4">
        <v>1.45</v>
      </c>
      <c r="AC2701" s="6">
        <v>0.05</v>
      </c>
      <c r="AD2701" s="6">
        <v>0.04</v>
      </c>
      <c r="AE2701" s="1">
        <v>0</v>
      </c>
      <c r="AF2701" s="1">
        <f ca="1">IFERROR(__xludf.DUMMYFUNCTION("IFERROR(GOOGLEFINANCE(TRIM(F2701)&amp;"":"" &amp; TRIM(B2701),""high52""),AE2701)"),0)</f>
        <v>0</v>
      </c>
      <c r="AG2701" s="1">
        <v>0</v>
      </c>
      <c r="AH2701" s="1">
        <f ca="1">IFERROR(__xludf.DUMMYFUNCTION("IFERROR(GOOGLEFINANCE(TRIM(F2701)&amp;"":"" &amp; TRIM(B2701),""low52""),AE2701)"),0)</f>
        <v>0</v>
      </c>
      <c r="AI2701" s="1">
        <f ca="1">IFERROR(__xludf.DUMMYFUNCTION("IFERROR(GOOGLEFINANCE(B2701,""eps""),0)"),0)</f>
        <v>0</v>
      </c>
      <c r="AJ2701" s="1"/>
      <c r="AK2701" s="1" t="s">
        <v>8378</v>
      </c>
      <c r="AL2701" s="9">
        <f t="shared" si="266"/>
        <v>1</v>
      </c>
    </row>
    <row r="2702" spans="1:38" ht="15" x14ac:dyDescent="0.25">
      <c r="A2702" s="1" t="s">
        <v>8379</v>
      </c>
      <c r="B2702" s="1" t="s">
        <v>8380</v>
      </c>
      <c r="C2702" s="1" t="s">
        <v>57</v>
      </c>
      <c r="D2702" s="1" t="s">
        <v>57</v>
      </c>
      <c r="E2702" s="6">
        <v>161.34</v>
      </c>
      <c r="F2702" s="1" t="s">
        <v>53</v>
      </c>
      <c r="G2702" s="6">
        <f ca="1">IFERROR(__xludf.DUMMYFUNCTION("iferror(GOOGLEFINANCE(TRIM(F2702)&amp;"":"" &amp; TRIM(B2702), ""price""),0
)"),0)</f>
        <v>0</v>
      </c>
      <c r="H2702" s="6">
        <v>69.2</v>
      </c>
      <c r="I2702" s="6">
        <f t="shared" ca="1" si="0"/>
        <v>69.2</v>
      </c>
      <c r="J2702" s="6">
        <f ca="1">IFERROR(__xludf.DUMMYFUNCTION("IFERROR(GOOGLEFINANCE(B2702, ""volume""), 0)"),0)</f>
        <v>0</v>
      </c>
      <c r="K2702" s="6">
        <v>3.81</v>
      </c>
      <c r="L2702" s="6">
        <f ca="1">IFERROR(__xludf.DUMMYFUNCTION("IFERROR(GOOGLEFINANCE(B2702,""changepct""),K2702)"),3.81)</f>
        <v>3.81</v>
      </c>
      <c r="M2702" s="6">
        <f ca="1">IFERROR(__xludf.DUMMYFUNCTION("IFERROR(GOOGLEFINANCE(B2702,""change""),0)"),0)</f>
        <v>0</v>
      </c>
      <c r="N2702" s="6">
        <v>1</v>
      </c>
      <c r="O2702" s="7">
        <v>45536</v>
      </c>
      <c r="P2702" s="6">
        <v>0.28000000000000003</v>
      </c>
      <c r="Q2702" s="6">
        <v>161.63</v>
      </c>
      <c r="R2702" s="7">
        <v>45536</v>
      </c>
      <c r="S2702" s="6">
        <v>6.42</v>
      </c>
      <c r="T2702" s="6">
        <v>0.06</v>
      </c>
      <c r="U2702" s="7">
        <v>45536</v>
      </c>
      <c r="V2702" s="6">
        <v>0</v>
      </c>
      <c r="W2702" s="6">
        <f ca="1">IFERROR(__xludf.DUMMYFUNCTION("IFERROR(GOOGLEFINANCE(B2702,""pe""),V2702)"),0)</f>
        <v>0</v>
      </c>
      <c r="X2702" s="6">
        <v>0</v>
      </c>
      <c r="Y2702" s="6">
        <v>6.45</v>
      </c>
      <c r="Z2702" s="6">
        <v>1</v>
      </c>
      <c r="AA2702" s="8">
        <v>45352</v>
      </c>
      <c r="AB2702" s="4">
        <v>0</v>
      </c>
      <c r="AC2702" s="6">
        <v>3.64</v>
      </c>
      <c r="AD2702" s="6">
        <v>4.46</v>
      </c>
      <c r="AE2702" s="1">
        <v>0</v>
      </c>
      <c r="AF2702" s="1">
        <f ca="1">IFERROR(__xludf.DUMMYFUNCTION("IFERROR(GOOGLEFINANCE(TRIM(F2702)&amp;"":"" &amp; TRIM(B2702),""high52""),AE2702)"),0)</f>
        <v>0</v>
      </c>
      <c r="AG2702" s="1">
        <v>0</v>
      </c>
      <c r="AH2702" s="1">
        <f ca="1">IFERROR(__xludf.DUMMYFUNCTION("IFERROR(GOOGLEFINANCE(TRIM(F2702)&amp;"":"" &amp; TRIM(B2702),""low52""),AE2702)"),0)</f>
        <v>0</v>
      </c>
      <c r="AI2702" s="1">
        <f ca="1">IFERROR(__xludf.DUMMYFUNCTION("IFERROR(GOOGLEFINANCE(B2702,""eps""),0)"),0)</f>
        <v>0</v>
      </c>
      <c r="AJ2702" s="1"/>
      <c r="AK2702" s="1" t="s">
        <v>8381</v>
      </c>
      <c r="AL2702" s="9">
        <f t="shared" si="266"/>
        <v>1</v>
      </c>
    </row>
    <row r="2703" spans="1:38" ht="15" x14ac:dyDescent="0.25">
      <c r="A2703" s="1" t="s">
        <v>8382</v>
      </c>
      <c r="B2703" s="1" t="s">
        <v>8383</v>
      </c>
      <c r="C2703" s="1" t="s">
        <v>57</v>
      </c>
      <c r="D2703" s="1" t="s">
        <v>57</v>
      </c>
      <c r="E2703" s="6">
        <v>436.93</v>
      </c>
      <c r="F2703" s="1" t="s">
        <v>53</v>
      </c>
      <c r="G2703" s="6">
        <f ca="1">IFERROR(__xludf.DUMMYFUNCTION("iferror(GOOGLEFINANCE(TRIM(F2703)&amp;"":"" &amp; TRIM(B2703), ""price""),0
)"),0)</f>
        <v>0</v>
      </c>
      <c r="H2703" s="6">
        <v>299.95</v>
      </c>
      <c r="I2703" s="6">
        <f t="shared" ca="1" si="0"/>
        <v>299.95</v>
      </c>
      <c r="J2703" s="6">
        <f ca="1">IFERROR(__xludf.DUMMYFUNCTION("IFERROR(GOOGLEFINANCE(B2703, ""volume""), 0)"),0)</f>
        <v>0</v>
      </c>
      <c r="K2703" s="6">
        <v>1.35</v>
      </c>
      <c r="L2703" s="6">
        <f ca="1">IFERROR(__xludf.DUMMYFUNCTION("IFERROR(GOOGLEFINANCE(B2703,""changepct""),K2703)"),1.35)</f>
        <v>1.35</v>
      </c>
      <c r="M2703" s="6">
        <f ca="1">IFERROR(__xludf.DUMMYFUNCTION("IFERROR(GOOGLEFINANCE(B2703,""change""),0)"),0)</f>
        <v>0</v>
      </c>
      <c r="N2703" s="6">
        <v>1</v>
      </c>
      <c r="O2703" s="7">
        <v>45536</v>
      </c>
      <c r="P2703" s="9"/>
      <c r="Q2703" s="6">
        <v>436.93</v>
      </c>
      <c r="R2703" s="7">
        <v>45536</v>
      </c>
      <c r="S2703" s="6">
        <v>21.08</v>
      </c>
      <c r="T2703" s="6">
        <v>11.88</v>
      </c>
      <c r="U2703" s="7">
        <v>45536</v>
      </c>
      <c r="V2703" s="6">
        <v>36.78</v>
      </c>
      <c r="W2703" s="6">
        <f ca="1">IFERROR(__xludf.DUMMYFUNCTION("IFERROR(GOOGLEFINANCE(B2703,""pe""),V2703)"),36.78)</f>
        <v>36.78</v>
      </c>
      <c r="X2703" s="6">
        <v>2.34</v>
      </c>
      <c r="Y2703" s="6">
        <v>4.13</v>
      </c>
      <c r="Z2703" s="6">
        <v>2</v>
      </c>
      <c r="AA2703" s="8">
        <v>45352</v>
      </c>
      <c r="AB2703" s="4">
        <v>0</v>
      </c>
      <c r="AC2703" s="6">
        <v>6.76</v>
      </c>
      <c r="AD2703" s="6">
        <v>10.039999999999999</v>
      </c>
      <c r="AE2703" s="1">
        <v>0</v>
      </c>
      <c r="AF2703" s="1">
        <f ca="1">IFERROR(__xludf.DUMMYFUNCTION("IFERROR(GOOGLEFINANCE(TRIM(F2703)&amp;"":"" &amp; TRIM(B2703),""high52""),AE2703)"),0)</f>
        <v>0</v>
      </c>
      <c r="AG2703" s="1">
        <v>0</v>
      </c>
      <c r="AH2703" s="1">
        <f ca="1">IFERROR(__xludf.DUMMYFUNCTION("IFERROR(GOOGLEFINANCE(TRIM(F2703)&amp;"":"" &amp; TRIM(B2703),""low52""),AE2703)"),0)</f>
        <v>0</v>
      </c>
      <c r="AI2703" s="1">
        <f ca="1">IFERROR(__xludf.DUMMYFUNCTION("IFERROR(GOOGLEFINANCE(B2703,""eps""),0)"),0)</f>
        <v>0</v>
      </c>
      <c r="AJ2703" s="1"/>
      <c r="AK2703" s="1" t="s">
        <v>8384</v>
      </c>
      <c r="AL2703" s="9">
        <f t="shared" si="266"/>
        <v>1</v>
      </c>
    </row>
    <row r="2704" spans="1:38" ht="15" x14ac:dyDescent="0.25">
      <c r="A2704" s="1" t="s">
        <v>8385</v>
      </c>
      <c r="B2704" s="1" t="s">
        <v>8386</v>
      </c>
      <c r="C2704" s="1" t="s">
        <v>99</v>
      </c>
      <c r="D2704" s="1" t="s">
        <v>99</v>
      </c>
      <c r="E2704" s="6">
        <v>322.51</v>
      </c>
      <c r="F2704" s="1" t="s">
        <v>40</v>
      </c>
      <c r="G2704" s="6">
        <f ca="1">IFERROR(__xludf.DUMMYFUNCTION("iferror(GOOGLEFINANCE(TRIM(F2704)&amp;"":"" &amp; TRIM(B2704), ""price""),0
)"),0)</f>
        <v>0</v>
      </c>
      <c r="H2704" s="6">
        <v>407.95</v>
      </c>
      <c r="I2704" s="6">
        <f t="shared" ca="1" si="0"/>
        <v>407.95</v>
      </c>
      <c r="J2704" s="6">
        <f ca="1">IFERROR(__xludf.DUMMYFUNCTION("IFERROR(GOOGLEFINANCE(B2704, ""volume""), 0)"),0)</f>
        <v>0</v>
      </c>
      <c r="K2704" s="6">
        <v>1.32</v>
      </c>
      <c r="L2704" s="6">
        <f ca="1">IFERROR(__xludf.DUMMYFUNCTION("IFERROR(GOOGLEFINANCE(B2704,""changepct""),K2704)"),1.32)</f>
        <v>1.32</v>
      </c>
      <c r="M2704" s="6">
        <f ca="1">IFERROR(__xludf.DUMMYFUNCTION("IFERROR(GOOGLEFINANCE(B2704,""change""),0)"),0)</f>
        <v>0</v>
      </c>
      <c r="N2704" s="6">
        <v>1</v>
      </c>
      <c r="O2704" s="7">
        <v>45536</v>
      </c>
      <c r="P2704" s="6">
        <v>0.71</v>
      </c>
      <c r="Q2704" s="6">
        <v>323.22000000000003</v>
      </c>
      <c r="R2704" s="7">
        <v>45536</v>
      </c>
      <c r="S2704" s="6">
        <v>151.80000000000001</v>
      </c>
      <c r="T2704" s="6">
        <v>17.940000000000001</v>
      </c>
      <c r="U2704" s="7">
        <v>45536</v>
      </c>
      <c r="V2704" s="6">
        <v>17.98</v>
      </c>
      <c r="W2704" s="6">
        <f ca="1">IFERROR(__xludf.DUMMYFUNCTION("IFERROR(GOOGLEFINANCE(B2704,""pe""),V2704)"),17.98)</f>
        <v>17.98</v>
      </c>
      <c r="X2704" s="9"/>
      <c r="Y2704" s="6">
        <v>3.3</v>
      </c>
      <c r="Z2704" s="6">
        <v>1</v>
      </c>
      <c r="AA2704" s="8">
        <v>45352</v>
      </c>
      <c r="AB2704" s="4">
        <v>0.02</v>
      </c>
      <c r="AC2704" s="6">
        <v>32.369999999999997</v>
      </c>
      <c r="AD2704" s="6">
        <v>33.83</v>
      </c>
      <c r="AE2704" s="1">
        <v>0</v>
      </c>
      <c r="AF2704" s="1">
        <f ca="1">IFERROR(__xludf.DUMMYFUNCTION("IFERROR(GOOGLEFINANCE(TRIM(F2704)&amp;"":"" &amp; TRIM(B2704),""high52""),AE2704)"),0)</f>
        <v>0</v>
      </c>
      <c r="AG2704" s="1">
        <v>0</v>
      </c>
      <c r="AH2704" s="1">
        <f ca="1">IFERROR(__xludf.DUMMYFUNCTION("IFERROR(GOOGLEFINANCE(TRIM(F2704)&amp;"":"" &amp; TRIM(B2704),""low52""),AE2704)"),0)</f>
        <v>0</v>
      </c>
      <c r="AI2704" s="1">
        <f ca="1">IFERROR(__xludf.DUMMYFUNCTION("IFERROR(GOOGLEFINANCE(B2704,""eps""),0)"),0)</f>
        <v>0</v>
      </c>
      <c r="AJ2704" s="1"/>
      <c r="AK2704" s="1" t="s">
        <v>8387</v>
      </c>
      <c r="AL2704" s="1" t="b">
        <f>ISNUMBER(AA2704)</f>
        <v>1</v>
      </c>
    </row>
    <row r="2705" spans="1:38" ht="15" x14ac:dyDescent="0.25">
      <c r="A2705" s="1" t="s">
        <v>8388</v>
      </c>
      <c r="B2705" s="1" t="s">
        <v>8389</v>
      </c>
      <c r="C2705" s="1" t="s">
        <v>889</v>
      </c>
      <c r="D2705" s="1" t="s">
        <v>889</v>
      </c>
      <c r="E2705" s="6">
        <v>968.66</v>
      </c>
      <c r="F2705" s="1" t="s">
        <v>40</v>
      </c>
      <c r="G2705" s="6">
        <f ca="1">IFERROR(__xludf.DUMMYFUNCTION("iferror(GOOGLEFINANCE(TRIM(F2705)&amp;"":"" &amp; TRIM(B2705), ""price""),0
)"),81)</f>
        <v>81</v>
      </c>
      <c r="H2705" s="6">
        <v>134.84</v>
      </c>
      <c r="I2705" s="6">
        <f t="shared" ca="1" si="0"/>
        <v>81</v>
      </c>
      <c r="J2705" s="6">
        <f ca="1">IFERROR(__xludf.DUMMYFUNCTION("IFERROR(GOOGLEFINANCE(B2705, ""volume""), 0)"),200185)</f>
        <v>200185</v>
      </c>
      <c r="K2705" s="6">
        <v>7.0000000000000007E-2</v>
      </c>
      <c r="L2705" s="6">
        <f ca="1">IFERROR(__xludf.DUMMYFUNCTION("IFERROR(GOOGLEFINANCE(B2705,""changepct""),K2705)"),1.49)</f>
        <v>1.49</v>
      </c>
      <c r="M2705" s="6">
        <f ca="1">IFERROR(__xludf.DUMMYFUNCTION("IFERROR(GOOGLEFINANCE(B2705,""change""),0)"),1.19)</f>
        <v>1.19</v>
      </c>
      <c r="N2705" s="6">
        <v>2</v>
      </c>
      <c r="O2705" s="7">
        <v>45536</v>
      </c>
      <c r="P2705" s="6">
        <v>933.22</v>
      </c>
      <c r="Q2705" s="6">
        <v>1901.88</v>
      </c>
      <c r="R2705" s="7">
        <v>45536</v>
      </c>
      <c r="S2705" s="6">
        <v>288.5</v>
      </c>
      <c r="T2705" s="6">
        <v>-176.68</v>
      </c>
      <c r="U2705" s="7">
        <v>45536</v>
      </c>
      <c r="V2705" s="6">
        <v>0</v>
      </c>
      <c r="W2705" s="6">
        <f ca="1">IFERROR(__xludf.DUMMYFUNCTION("IFERROR(GOOGLEFINANCE(B2705,""pe""),V2705)"),0)</f>
        <v>0</v>
      </c>
      <c r="X2705" s="12"/>
      <c r="Y2705" s="6">
        <v>-1.64</v>
      </c>
      <c r="Z2705" s="6">
        <v>2</v>
      </c>
      <c r="AA2705" s="8">
        <v>45352</v>
      </c>
      <c r="AB2705" s="4">
        <v>-1.9</v>
      </c>
      <c r="AC2705" s="6">
        <v>0</v>
      </c>
      <c r="AD2705" s="6">
        <v>-13.58</v>
      </c>
      <c r="AE2705" s="1">
        <v>0</v>
      </c>
      <c r="AF2705" s="1">
        <f ca="1">IFERROR(__xludf.DUMMYFUNCTION("IFERROR(GOOGLEFINANCE(TRIM(F2705)&amp;"":"" &amp; TRIM(B2705),""high52""),AE2705)"),163.95)</f>
        <v>163.95</v>
      </c>
      <c r="AG2705" s="1">
        <v>0</v>
      </c>
      <c r="AH2705" s="1">
        <f ca="1">IFERROR(__xludf.DUMMYFUNCTION("IFERROR(GOOGLEFINANCE(TRIM(F2705)&amp;"":"" &amp; TRIM(B2705),""low52""),AE2705)"),76.8)</f>
        <v>76.8</v>
      </c>
      <c r="AI2705" s="1">
        <f ca="1">IFERROR(__xludf.DUMMYFUNCTION("IFERROR(GOOGLEFINANCE(B2705,""eps""),0)"),-90.12)</f>
        <v>-90.12</v>
      </c>
      <c r="AJ2705" s="1"/>
      <c r="AK2705" s="9"/>
      <c r="AL2705" s="1" t="b">
        <f>ISBLANK(AB2705)</f>
        <v>0</v>
      </c>
    </row>
    <row r="2706" spans="1:38" ht="15" x14ac:dyDescent="0.25">
      <c r="A2706" s="1" t="s">
        <v>8390</v>
      </c>
      <c r="B2706" s="1" t="s">
        <v>8391</v>
      </c>
      <c r="C2706" s="1" t="s">
        <v>57</v>
      </c>
      <c r="D2706" s="1" t="s">
        <v>57</v>
      </c>
      <c r="E2706" s="6">
        <v>13.03</v>
      </c>
      <c r="F2706" s="1" t="s">
        <v>53</v>
      </c>
      <c r="G2706" s="6">
        <f ca="1">IFERROR(__xludf.DUMMYFUNCTION("iferror(GOOGLEFINANCE(TRIM(F2706)&amp;"":"" &amp; TRIM(B2706), ""price""),0
)"),0)</f>
        <v>0</v>
      </c>
      <c r="H2706" s="6">
        <v>26.05</v>
      </c>
      <c r="I2706" s="6">
        <f t="shared" ca="1" si="0"/>
        <v>26.05</v>
      </c>
      <c r="J2706" s="6">
        <f ca="1">IFERROR(__xludf.DUMMYFUNCTION("IFERROR(GOOGLEFINANCE(B2706, ""volume""), 0)"),0)</f>
        <v>0</v>
      </c>
      <c r="K2706" s="6">
        <v>0.35</v>
      </c>
      <c r="L2706" s="6">
        <f ca="1">IFERROR(__xludf.DUMMYFUNCTION("IFERROR(GOOGLEFINANCE(B2706,""changepct""),K2706)"),0.35)</f>
        <v>0.35</v>
      </c>
      <c r="M2706" s="6">
        <f ca="1">IFERROR(__xludf.DUMMYFUNCTION("IFERROR(GOOGLEFINANCE(B2706,""change""),0)"),0)</f>
        <v>0</v>
      </c>
      <c r="N2706" s="6">
        <v>2</v>
      </c>
      <c r="O2706" s="7">
        <v>45536</v>
      </c>
      <c r="P2706" s="9"/>
      <c r="Q2706" s="6">
        <v>12.74</v>
      </c>
      <c r="R2706" s="7">
        <v>45536</v>
      </c>
      <c r="S2706" s="6">
        <v>14</v>
      </c>
      <c r="T2706" s="6">
        <v>0.25</v>
      </c>
      <c r="U2706" s="7">
        <v>45536</v>
      </c>
      <c r="V2706" s="6">
        <v>43.15</v>
      </c>
      <c r="W2706" s="6">
        <f ca="1">IFERROR(__xludf.DUMMYFUNCTION("IFERROR(GOOGLEFINANCE(B2706,""pe""),V2706)"),43.15)</f>
        <v>43.15</v>
      </c>
      <c r="X2706" s="6">
        <v>0.4</v>
      </c>
      <c r="Y2706" s="6">
        <v>2.2599999999999998</v>
      </c>
      <c r="Z2706" s="6">
        <v>2</v>
      </c>
      <c r="AA2706" s="8">
        <v>45352</v>
      </c>
      <c r="AB2706" s="4">
        <v>0</v>
      </c>
      <c r="AC2706" s="6">
        <v>4.21</v>
      </c>
      <c r="AD2706" s="6">
        <v>5.43</v>
      </c>
      <c r="AE2706" s="1">
        <v>0</v>
      </c>
      <c r="AF2706" s="1">
        <f ca="1">IFERROR(__xludf.DUMMYFUNCTION("IFERROR(GOOGLEFINANCE(TRIM(F2706)&amp;"":"" &amp; TRIM(B2706),""high52""),AE2706)"),0)</f>
        <v>0</v>
      </c>
      <c r="AG2706" s="1">
        <v>0</v>
      </c>
      <c r="AH2706" s="1">
        <f ca="1">IFERROR(__xludf.DUMMYFUNCTION("IFERROR(GOOGLEFINANCE(TRIM(F2706)&amp;"":"" &amp; TRIM(B2706),""low52""),AE2706)"),0)</f>
        <v>0</v>
      </c>
      <c r="AI2706" s="1">
        <f ca="1">IFERROR(__xludf.DUMMYFUNCTION("IFERROR(GOOGLEFINANCE(B2706,""eps""),0)"),0)</f>
        <v>0</v>
      </c>
      <c r="AJ2706" s="1"/>
      <c r="AK2706" s="1" t="s">
        <v>8392</v>
      </c>
      <c r="AL2706" s="9">
        <f t="shared" ref="AL2706:AL2731" si="267">IF(AA2706&lt;&gt;AB2706,1,0)</f>
        <v>1</v>
      </c>
    </row>
    <row r="2707" spans="1:38" ht="15" x14ac:dyDescent="0.25">
      <c r="A2707" s="1" t="s">
        <v>8393</v>
      </c>
      <c r="B2707" s="1" t="s">
        <v>8394</v>
      </c>
      <c r="C2707" s="1" t="s">
        <v>57</v>
      </c>
      <c r="D2707" s="1" t="s">
        <v>57</v>
      </c>
      <c r="E2707" s="6">
        <v>7.89</v>
      </c>
      <c r="F2707" s="1" t="s">
        <v>53</v>
      </c>
      <c r="G2707" s="6">
        <f ca="1">IFERROR(__xludf.DUMMYFUNCTION("iferror(GOOGLEFINANCE(TRIM(F2707)&amp;"":"" &amp; TRIM(B2707), ""price""),0
)"),0)</f>
        <v>0</v>
      </c>
      <c r="H2707" s="6">
        <v>2.2999999999999998</v>
      </c>
      <c r="I2707" s="6">
        <f t="shared" ca="1" si="0"/>
        <v>2.2999999999999998</v>
      </c>
      <c r="J2707" s="6">
        <f ca="1">IFERROR(__xludf.DUMMYFUNCTION("IFERROR(GOOGLEFINANCE(B2707, ""volume""), 0)"),0)</f>
        <v>0</v>
      </c>
      <c r="K2707" s="6">
        <v>0.88</v>
      </c>
      <c r="L2707" s="6">
        <f ca="1">IFERROR(__xludf.DUMMYFUNCTION("IFERROR(GOOGLEFINANCE(B2707,""changepct""),K2707)"),0.88)</f>
        <v>0.88</v>
      </c>
      <c r="M2707" s="6">
        <f ca="1">IFERROR(__xludf.DUMMYFUNCTION("IFERROR(GOOGLEFINANCE(B2707,""change""),0)"),0)</f>
        <v>0</v>
      </c>
      <c r="N2707" s="6">
        <v>1</v>
      </c>
      <c r="O2707" s="7">
        <v>45536</v>
      </c>
      <c r="P2707" s="6">
        <v>0.01</v>
      </c>
      <c r="Q2707" s="6">
        <v>7.82</v>
      </c>
      <c r="R2707" s="7">
        <v>45536</v>
      </c>
      <c r="S2707" s="6">
        <v>0</v>
      </c>
      <c r="T2707" s="6">
        <v>-0.09</v>
      </c>
      <c r="U2707" s="7">
        <v>45536</v>
      </c>
      <c r="V2707" s="6">
        <v>0</v>
      </c>
      <c r="W2707" s="6">
        <f ca="1">IFERROR(__xludf.DUMMYFUNCTION("IFERROR(GOOGLEFINANCE(B2707,""pe""),V2707)"),0)</f>
        <v>0</v>
      </c>
      <c r="X2707" s="6">
        <v>0</v>
      </c>
      <c r="Y2707" s="6">
        <v>0.89</v>
      </c>
      <c r="Z2707" s="6">
        <v>2</v>
      </c>
      <c r="AA2707" s="8">
        <v>45352</v>
      </c>
      <c r="AB2707" s="4">
        <v>0</v>
      </c>
      <c r="AC2707" s="6">
        <v>0.32</v>
      </c>
      <c r="AD2707" s="6">
        <v>0.41</v>
      </c>
      <c r="AE2707" s="1">
        <v>0</v>
      </c>
      <c r="AF2707" s="1">
        <f ca="1">IFERROR(__xludf.DUMMYFUNCTION("IFERROR(GOOGLEFINANCE(TRIM(F2707)&amp;"":"" &amp; TRIM(B2707),""high52""),AE2707)"),0)</f>
        <v>0</v>
      </c>
      <c r="AG2707" s="1">
        <v>0</v>
      </c>
      <c r="AH2707" s="1">
        <f ca="1">IFERROR(__xludf.DUMMYFUNCTION("IFERROR(GOOGLEFINANCE(TRIM(F2707)&amp;"":"" &amp; TRIM(B2707),""low52""),AE2707)"),0)</f>
        <v>0</v>
      </c>
      <c r="AI2707" s="1">
        <f ca="1">IFERROR(__xludf.DUMMYFUNCTION("IFERROR(GOOGLEFINANCE(B2707,""eps""),0)"),0)</f>
        <v>0</v>
      </c>
      <c r="AJ2707" s="1"/>
      <c r="AK2707" s="9"/>
      <c r="AL2707" s="9">
        <f t="shared" si="267"/>
        <v>1</v>
      </c>
    </row>
    <row r="2708" spans="1:38" ht="15" x14ac:dyDescent="0.25">
      <c r="A2708" s="1" t="s">
        <v>8395</v>
      </c>
      <c r="B2708" s="1" t="s">
        <v>8396</v>
      </c>
      <c r="C2708" s="1" t="s">
        <v>57</v>
      </c>
      <c r="D2708" s="1" t="s">
        <v>57</v>
      </c>
      <c r="E2708" s="6">
        <v>55.23</v>
      </c>
      <c r="F2708" s="1" t="s">
        <v>53</v>
      </c>
      <c r="G2708" s="6">
        <f ca="1">IFERROR(__xludf.DUMMYFUNCTION("iferror(GOOGLEFINANCE(TRIM(F2708)&amp;"":"" &amp; TRIM(B2708), ""price""),0
)"),0)</f>
        <v>0</v>
      </c>
      <c r="H2708" s="6">
        <v>108.25</v>
      </c>
      <c r="I2708" s="6">
        <f t="shared" ca="1" si="0"/>
        <v>108.25</v>
      </c>
      <c r="J2708" s="6">
        <f ca="1">IFERROR(__xludf.DUMMYFUNCTION("IFERROR(GOOGLEFINANCE(B2708, ""volume""), 0)"),0)</f>
        <v>0</v>
      </c>
      <c r="K2708" s="6">
        <v>-1.99</v>
      </c>
      <c r="L2708" s="6">
        <f ca="1">IFERROR(__xludf.DUMMYFUNCTION("IFERROR(GOOGLEFINANCE(B2708,""changepct""),K2708)"),-1.99)</f>
        <v>-1.99</v>
      </c>
      <c r="M2708" s="6">
        <f ca="1">IFERROR(__xludf.DUMMYFUNCTION("IFERROR(GOOGLEFINANCE(B2708,""change""),0)"),0)</f>
        <v>0</v>
      </c>
      <c r="N2708" s="6">
        <v>1</v>
      </c>
      <c r="O2708" s="7">
        <v>45536</v>
      </c>
      <c r="P2708" s="6">
        <v>11.64</v>
      </c>
      <c r="Q2708" s="6">
        <v>66.819999999999993</v>
      </c>
      <c r="R2708" s="7">
        <v>45536</v>
      </c>
      <c r="S2708" s="6">
        <v>1.78</v>
      </c>
      <c r="T2708" s="6">
        <v>-8.09</v>
      </c>
      <c r="U2708" s="7">
        <v>45536</v>
      </c>
      <c r="V2708" s="6">
        <v>0</v>
      </c>
      <c r="W2708" s="6">
        <f ca="1">IFERROR(__xludf.DUMMYFUNCTION("IFERROR(GOOGLEFINANCE(B2708,""pe""),V2708)"),0)</f>
        <v>0</v>
      </c>
      <c r="X2708" s="9"/>
      <c r="Y2708" s="6">
        <v>-2.59</v>
      </c>
      <c r="Z2708" s="6">
        <v>1</v>
      </c>
      <c r="AA2708" s="8">
        <v>45352</v>
      </c>
      <c r="AB2708" s="4">
        <v>-1.1299999999999999</v>
      </c>
      <c r="AC2708" s="6">
        <v>0</v>
      </c>
      <c r="AD2708" s="6">
        <v>-79.849999999999994</v>
      </c>
      <c r="AE2708" s="1">
        <v>0</v>
      </c>
      <c r="AF2708" s="1">
        <f ca="1">IFERROR(__xludf.DUMMYFUNCTION("IFERROR(GOOGLEFINANCE(TRIM(F2708)&amp;"":"" &amp; TRIM(B2708),""high52""),AE2708)"),0)</f>
        <v>0</v>
      </c>
      <c r="AG2708" s="1">
        <v>0</v>
      </c>
      <c r="AH2708" s="1">
        <f ca="1">IFERROR(__xludf.DUMMYFUNCTION("IFERROR(GOOGLEFINANCE(TRIM(F2708)&amp;"":"" &amp; TRIM(B2708),""low52""),AE2708)"),0)</f>
        <v>0</v>
      </c>
      <c r="AI2708" s="1">
        <f ca="1">IFERROR(__xludf.DUMMYFUNCTION("IFERROR(GOOGLEFINANCE(B2708,""eps""),0)"),0)</f>
        <v>0</v>
      </c>
      <c r="AJ2708" s="1"/>
      <c r="AK2708" s="1" t="s">
        <v>8397</v>
      </c>
      <c r="AL2708" s="9">
        <f t="shared" si="267"/>
        <v>1</v>
      </c>
    </row>
    <row r="2709" spans="1:38" ht="15" x14ac:dyDescent="0.25">
      <c r="A2709" s="1" t="s">
        <v>8398</v>
      </c>
      <c r="B2709" s="1" t="s">
        <v>8399</v>
      </c>
      <c r="C2709" s="1" t="s">
        <v>706</v>
      </c>
      <c r="D2709" s="1" t="s">
        <v>706</v>
      </c>
      <c r="E2709" s="6">
        <v>2464.12</v>
      </c>
      <c r="F2709" s="1" t="s">
        <v>40</v>
      </c>
      <c r="G2709" s="6">
        <f ca="1">IFERROR(__xludf.DUMMYFUNCTION("iferror(GOOGLEFINANCE(TRIM(F2709)&amp;"":"" &amp; TRIM(B2709), ""price""),0
)"),327.5)</f>
        <v>327.5</v>
      </c>
      <c r="H2709" s="6">
        <v>436</v>
      </c>
      <c r="I2709" s="6">
        <f t="shared" ca="1" si="0"/>
        <v>327.5</v>
      </c>
      <c r="J2709" s="6">
        <f ca="1">IFERROR(__xludf.DUMMYFUNCTION("IFERROR(GOOGLEFINANCE(B2709, ""volume""), 0)"),42062)</f>
        <v>42062</v>
      </c>
      <c r="K2709" s="6">
        <v>-0.66</v>
      </c>
      <c r="L2709" s="6">
        <f ca="1">IFERROR(__xludf.DUMMYFUNCTION("IFERROR(GOOGLEFINANCE(B2709,""changepct""),K2709)"),0.6)</f>
        <v>0.6</v>
      </c>
      <c r="M2709" s="6">
        <f ca="1">IFERROR(__xludf.DUMMYFUNCTION("IFERROR(GOOGLEFINANCE(B2709,""change""),0)"),1.95)</f>
        <v>1.95</v>
      </c>
      <c r="N2709" s="6">
        <v>1</v>
      </c>
      <c r="O2709" s="7">
        <v>45536</v>
      </c>
      <c r="P2709" s="6">
        <v>1179.8399999999999</v>
      </c>
      <c r="Q2709" s="6">
        <v>3630.59</v>
      </c>
      <c r="R2709" s="7">
        <v>45536</v>
      </c>
      <c r="S2709" s="6">
        <v>3176.63</v>
      </c>
      <c r="T2709" s="6">
        <v>155.19999999999999</v>
      </c>
      <c r="U2709" s="7">
        <v>45536</v>
      </c>
      <c r="V2709" s="6">
        <v>15.88</v>
      </c>
      <c r="W2709" s="6">
        <f ca="1">IFERROR(__xludf.DUMMYFUNCTION("IFERROR(GOOGLEFINANCE(B2709,""pe""),V2709)"),11.03)</f>
        <v>11.03</v>
      </c>
      <c r="X2709" s="6">
        <v>1.03</v>
      </c>
      <c r="Y2709" s="6">
        <v>2.02</v>
      </c>
      <c r="Z2709" s="6">
        <v>1</v>
      </c>
      <c r="AA2709" s="8">
        <v>45352</v>
      </c>
      <c r="AB2709" s="4">
        <v>1.17</v>
      </c>
      <c r="AC2709" s="6">
        <v>12.09</v>
      </c>
      <c r="AD2709" s="6">
        <v>11.61</v>
      </c>
      <c r="AE2709" s="1">
        <v>0</v>
      </c>
      <c r="AF2709" s="1">
        <f ca="1">IFERROR(__xludf.DUMMYFUNCTION("IFERROR(GOOGLEFINANCE(TRIM(F2709)&amp;"":"" &amp; TRIM(B2709),""high52""),AE2709)"),424.95)</f>
        <v>424.95</v>
      </c>
      <c r="AG2709" s="1">
        <v>0</v>
      </c>
      <c r="AH2709" s="1">
        <f ca="1">IFERROR(__xludf.DUMMYFUNCTION("IFERROR(GOOGLEFINANCE(TRIM(F2709)&amp;"":"" &amp; TRIM(B2709),""low52""),AE2709)"),290.5)</f>
        <v>290.5</v>
      </c>
      <c r="AI2709" s="1">
        <f ca="1">IFERROR(__xludf.DUMMYFUNCTION("IFERROR(GOOGLEFINANCE(B2709,""eps""),0)"),29.68)</f>
        <v>29.68</v>
      </c>
      <c r="AJ2709" s="1"/>
      <c r="AK2709" s="9"/>
      <c r="AL2709" s="9">
        <f t="shared" si="267"/>
        <v>1</v>
      </c>
    </row>
    <row r="2710" spans="1:38" ht="15" x14ac:dyDescent="0.25">
      <c r="A2710" s="1" t="s">
        <v>8400</v>
      </c>
      <c r="B2710" s="1" t="s">
        <v>8401</v>
      </c>
      <c r="C2710" s="1" t="s">
        <v>57</v>
      </c>
      <c r="D2710" s="1" t="s">
        <v>57</v>
      </c>
      <c r="E2710" s="6">
        <v>39.81</v>
      </c>
      <c r="F2710" s="1" t="s">
        <v>53</v>
      </c>
      <c r="G2710" s="6">
        <f ca="1">IFERROR(__xludf.DUMMYFUNCTION("iferror(GOOGLEFINANCE(TRIM(F2710)&amp;"":"" &amp; TRIM(B2710), ""price""),0
)"),0)</f>
        <v>0</v>
      </c>
      <c r="H2710" s="6">
        <v>1.1299999999999999</v>
      </c>
      <c r="I2710" s="6">
        <f t="shared" ca="1" si="0"/>
        <v>1.1299999999999999</v>
      </c>
      <c r="J2710" s="6">
        <f ca="1">IFERROR(__xludf.DUMMYFUNCTION("IFERROR(GOOGLEFINANCE(B2710, ""volume""), 0)"),0)</f>
        <v>0</v>
      </c>
      <c r="K2710" s="6">
        <v>1.8</v>
      </c>
      <c r="L2710" s="6">
        <f ca="1">IFERROR(__xludf.DUMMYFUNCTION("IFERROR(GOOGLEFINANCE(B2710,""changepct""),K2710)"),1.8)</f>
        <v>1.8</v>
      </c>
      <c r="M2710" s="6">
        <f ca="1">IFERROR(__xludf.DUMMYFUNCTION("IFERROR(GOOGLEFINANCE(B2710,""change""),0)"),0)</f>
        <v>0</v>
      </c>
      <c r="N2710" s="6">
        <v>1</v>
      </c>
      <c r="O2710" s="7">
        <v>45536</v>
      </c>
      <c r="P2710" s="6">
        <v>7.48</v>
      </c>
      <c r="Q2710" s="6">
        <v>47.29</v>
      </c>
      <c r="R2710" s="7">
        <v>45536</v>
      </c>
      <c r="S2710" s="6">
        <v>13.88</v>
      </c>
      <c r="T2710" s="6">
        <v>-2.09</v>
      </c>
      <c r="U2710" s="7">
        <v>45536</v>
      </c>
      <c r="V2710" s="6">
        <v>0</v>
      </c>
      <c r="W2710" s="6">
        <f ca="1">IFERROR(__xludf.DUMMYFUNCTION("IFERROR(GOOGLEFINANCE(B2710,""pe""),V2710)"),0)</f>
        <v>0</v>
      </c>
      <c r="X2710" s="12"/>
      <c r="Y2710" s="6">
        <v>1.04</v>
      </c>
      <c r="Z2710" s="6">
        <v>1</v>
      </c>
      <c r="AA2710" s="8">
        <v>45352</v>
      </c>
      <c r="AB2710" s="4">
        <v>0.03</v>
      </c>
      <c r="AC2710" s="6">
        <v>-14.8</v>
      </c>
      <c r="AD2710" s="6">
        <v>-4.96</v>
      </c>
      <c r="AE2710" s="1">
        <v>0</v>
      </c>
      <c r="AF2710" s="1">
        <f ca="1">IFERROR(__xludf.DUMMYFUNCTION("IFERROR(GOOGLEFINANCE(TRIM(F2710)&amp;"":"" &amp; TRIM(B2710),""high52""),AE2710)"),0)</f>
        <v>0</v>
      </c>
      <c r="AG2710" s="1">
        <v>0</v>
      </c>
      <c r="AH2710" s="1">
        <f ca="1">IFERROR(__xludf.DUMMYFUNCTION("IFERROR(GOOGLEFINANCE(TRIM(F2710)&amp;"":"" &amp; TRIM(B2710),""low52""),AE2710)"),0)</f>
        <v>0</v>
      </c>
      <c r="AI2710" s="1">
        <f ca="1">IFERROR(__xludf.DUMMYFUNCTION("IFERROR(GOOGLEFINANCE(B2710,""eps""),0)"),0)</f>
        <v>0</v>
      </c>
      <c r="AJ2710" s="1"/>
      <c r="AK2710" s="1" t="s">
        <v>8402</v>
      </c>
      <c r="AL2710" s="9">
        <f t="shared" si="267"/>
        <v>1</v>
      </c>
    </row>
    <row r="2711" spans="1:38" ht="15" x14ac:dyDescent="0.25">
      <c r="A2711" s="1" t="s">
        <v>8403</v>
      </c>
      <c r="B2711" s="1" t="s">
        <v>8404</v>
      </c>
      <c r="C2711" s="1" t="s">
        <v>57</v>
      </c>
      <c r="D2711" s="1" t="s">
        <v>57</v>
      </c>
      <c r="E2711" s="6">
        <v>3.1</v>
      </c>
      <c r="F2711" s="1" t="s">
        <v>53</v>
      </c>
      <c r="G2711" s="6">
        <f ca="1">IFERROR(__xludf.DUMMYFUNCTION("iferror(GOOGLEFINANCE(TRIM(F2711)&amp;"":"" &amp; TRIM(B2711), ""price""),0
)"),0)</f>
        <v>0</v>
      </c>
      <c r="H2711" s="6">
        <v>1.55</v>
      </c>
      <c r="I2711" s="6">
        <f t="shared" ca="1" si="0"/>
        <v>1.55</v>
      </c>
      <c r="J2711" s="6">
        <f ca="1">IFERROR(__xludf.DUMMYFUNCTION("IFERROR(GOOGLEFINANCE(B2711, ""volume""), 0)"),0)</f>
        <v>0</v>
      </c>
      <c r="K2711" s="9"/>
      <c r="L2711" s="6" t="str">
        <f ca="1">IFERROR(__xludf.DUMMYFUNCTION("IFERROR(GOOGLEFINANCE(B2711,""changepct""),K2711)"),"")</f>
        <v/>
      </c>
      <c r="M2711" s="6">
        <f ca="1">IFERROR(__xludf.DUMMYFUNCTION("IFERROR(GOOGLEFINANCE(B2711,""change""),0)"),0)</f>
        <v>0</v>
      </c>
      <c r="N2711" s="6">
        <v>1</v>
      </c>
      <c r="O2711" s="7">
        <v>45536</v>
      </c>
      <c r="P2711" s="9"/>
      <c r="Q2711" s="6">
        <v>3.1</v>
      </c>
      <c r="R2711" s="7">
        <v>45536</v>
      </c>
      <c r="S2711" s="6">
        <v>0</v>
      </c>
      <c r="T2711" s="6">
        <v>-0.2</v>
      </c>
      <c r="U2711" s="7">
        <v>45536</v>
      </c>
      <c r="V2711" s="6">
        <v>0</v>
      </c>
      <c r="W2711" s="6">
        <f ca="1">IFERROR(__xludf.DUMMYFUNCTION("IFERROR(GOOGLEFINANCE(B2711,""pe""),V2711)"),0)</f>
        <v>0</v>
      </c>
      <c r="X2711" s="6">
        <v>0</v>
      </c>
      <c r="Y2711" s="6">
        <v>2.21</v>
      </c>
      <c r="Z2711" s="6">
        <v>1</v>
      </c>
      <c r="AA2711" s="8">
        <v>45352</v>
      </c>
      <c r="AB2711" s="4">
        <v>0</v>
      </c>
      <c r="AC2711" s="6">
        <v>-11.87</v>
      </c>
      <c r="AD2711" s="6">
        <v>-11.87</v>
      </c>
      <c r="AE2711" s="1">
        <v>0</v>
      </c>
      <c r="AF2711" s="1">
        <f ca="1">IFERROR(__xludf.DUMMYFUNCTION("IFERROR(GOOGLEFINANCE(TRIM(F2711)&amp;"":"" &amp; TRIM(B2711),""high52""),AE2711)"),0)</f>
        <v>0</v>
      </c>
      <c r="AG2711" s="1">
        <v>0</v>
      </c>
      <c r="AH2711" s="1">
        <f ca="1">IFERROR(__xludf.DUMMYFUNCTION("IFERROR(GOOGLEFINANCE(TRIM(F2711)&amp;"":"" &amp; TRIM(B2711),""low52""),AE2711)"),0)</f>
        <v>0</v>
      </c>
      <c r="AI2711" s="1">
        <f ca="1">IFERROR(__xludf.DUMMYFUNCTION("IFERROR(GOOGLEFINANCE(B2711,""eps""),0)"),0)</f>
        <v>0</v>
      </c>
      <c r="AJ2711" s="1"/>
      <c r="AK2711" s="1" t="s">
        <v>8405</v>
      </c>
      <c r="AL2711" s="9">
        <f t="shared" si="267"/>
        <v>1</v>
      </c>
    </row>
    <row r="2712" spans="1:38" ht="15" x14ac:dyDescent="0.25">
      <c r="A2712" s="1" t="s">
        <v>8406</v>
      </c>
      <c r="B2712" s="1" t="s">
        <v>8407</v>
      </c>
      <c r="C2712" s="1" t="s">
        <v>416</v>
      </c>
      <c r="D2712" s="1" t="s">
        <v>416</v>
      </c>
      <c r="E2712" s="6">
        <v>234.13</v>
      </c>
      <c r="F2712" s="1" t="s">
        <v>40</v>
      </c>
      <c r="G2712" s="6">
        <f ca="1">IFERROR(__xludf.DUMMYFUNCTION("iferror(GOOGLEFINANCE(TRIM(F2712)&amp;"":"" &amp; TRIM(B2712), ""price""),0
)"),179)</f>
        <v>179</v>
      </c>
      <c r="H2712" s="6">
        <v>232.42</v>
      </c>
      <c r="I2712" s="6">
        <f t="shared" ca="1" si="0"/>
        <v>179</v>
      </c>
      <c r="J2712" s="6">
        <f ca="1">IFERROR(__xludf.DUMMYFUNCTION("IFERROR(GOOGLEFINANCE(B2712, ""volume""), 0)"),2523)</f>
        <v>2523</v>
      </c>
      <c r="K2712" s="6">
        <v>1.76</v>
      </c>
      <c r="L2712" s="6">
        <f ca="1">IFERROR(__xludf.DUMMYFUNCTION("IFERROR(GOOGLEFINANCE(B2712,""changepct""),K2712)"),1.81)</f>
        <v>1.81</v>
      </c>
      <c r="M2712" s="6">
        <f ca="1">IFERROR(__xludf.DUMMYFUNCTION("IFERROR(GOOGLEFINANCE(B2712,""change""),0)"),3.18)</f>
        <v>3.18</v>
      </c>
      <c r="N2712" s="6">
        <v>1</v>
      </c>
      <c r="O2712" s="7">
        <v>45536</v>
      </c>
      <c r="P2712" s="9"/>
      <c r="Q2712" s="6">
        <v>229.07</v>
      </c>
      <c r="R2712" s="7">
        <v>45536</v>
      </c>
      <c r="S2712" s="6">
        <v>89.65</v>
      </c>
      <c r="T2712" s="6">
        <v>7.93</v>
      </c>
      <c r="U2712" s="7">
        <v>45536</v>
      </c>
      <c r="V2712" s="6">
        <v>29.53</v>
      </c>
      <c r="W2712" s="6">
        <f ca="1">IFERROR(__xludf.DUMMYFUNCTION("IFERROR(GOOGLEFINANCE(B2712,""pe""),V2712)"),23.66)</f>
        <v>23.66</v>
      </c>
      <c r="X2712" s="12"/>
      <c r="Y2712" s="6">
        <v>3</v>
      </c>
      <c r="Z2712" s="6">
        <v>2</v>
      </c>
      <c r="AA2712" s="8">
        <v>44986</v>
      </c>
      <c r="AB2712" s="4">
        <v>0.04</v>
      </c>
      <c r="AC2712" s="6">
        <v>-0.34</v>
      </c>
      <c r="AD2712" s="6">
        <v>0.39</v>
      </c>
      <c r="AE2712" s="1">
        <v>0</v>
      </c>
      <c r="AF2712" s="1">
        <f ca="1">IFERROR(__xludf.DUMMYFUNCTION("IFERROR(GOOGLEFINANCE(TRIM(F2712)&amp;"":"" &amp; TRIM(B2712),""high52""),AE2712)"),421.6)</f>
        <v>421.6</v>
      </c>
      <c r="AG2712" s="1">
        <v>0</v>
      </c>
      <c r="AH2712" s="1">
        <f ca="1">IFERROR(__xludf.DUMMYFUNCTION("IFERROR(GOOGLEFINANCE(TRIM(F2712)&amp;"":"" &amp; TRIM(B2712),""low52""),AE2712)"),170)</f>
        <v>170</v>
      </c>
      <c r="AI2712" s="1">
        <f ca="1">IFERROR(__xludf.DUMMYFUNCTION("IFERROR(GOOGLEFINANCE(B2712,""eps""),0)"),7.57)</f>
        <v>7.57</v>
      </c>
      <c r="AJ2712" s="1"/>
      <c r="AK2712" s="1" t="s">
        <v>8408</v>
      </c>
      <c r="AL2712" s="9">
        <f t="shared" si="267"/>
        <v>1</v>
      </c>
    </row>
    <row r="2713" spans="1:38" ht="15" x14ac:dyDescent="0.25">
      <c r="A2713" s="1" t="s">
        <v>8409</v>
      </c>
      <c r="B2713" s="1" t="s">
        <v>8410</v>
      </c>
      <c r="C2713" s="1" t="s">
        <v>3720</v>
      </c>
      <c r="D2713" s="1" t="s">
        <v>3720</v>
      </c>
      <c r="E2713" s="6">
        <v>15045.56</v>
      </c>
      <c r="F2713" s="1" t="s">
        <v>40</v>
      </c>
      <c r="G2713" s="6">
        <f ca="1">IFERROR(__xludf.DUMMYFUNCTION("iferror(GOOGLEFINANCE(TRIM(F2713)&amp;"":"" &amp; TRIM(B2713), ""price""),0
)"),79.22)</f>
        <v>79.22</v>
      </c>
      <c r="H2713" s="6">
        <v>84.74</v>
      </c>
      <c r="I2713" s="6">
        <f t="shared" ca="1" si="0"/>
        <v>79.22</v>
      </c>
      <c r="J2713" s="6">
        <f ca="1">IFERROR(__xludf.DUMMYFUNCTION("IFERROR(GOOGLEFINANCE(B2713, ""volume""), 0)"),1648616)</f>
        <v>1648616</v>
      </c>
      <c r="K2713" s="6">
        <v>3.15</v>
      </c>
      <c r="L2713" s="6">
        <f ca="1">IFERROR(__xludf.DUMMYFUNCTION("IFERROR(GOOGLEFINANCE(B2713,""changepct""),K2713)"),2.25)</f>
        <v>2.25</v>
      </c>
      <c r="M2713" s="6">
        <f ca="1">IFERROR(__xludf.DUMMYFUNCTION("IFERROR(GOOGLEFINANCE(B2713,""change""),0)"),1.74)</f>
        <v>1.74</v>
      </c>
      <c r="N2713" s="6">
        <v>1</v>
      </c>
      <c r="O2713" s="14"/>
      <c r="P2713" s="9"/>
      <c r="Q2713" s="7">
        <v>45352</v>
      </c>
      <c r="R2713" s="6">
        <v>183.81</v>
      </c>
      <c r="S2713" s="9"/>
      <c r="T2713" s="6">
        <v>3</v>
      </c>
      <c r="U2713" s="6">
        <v>1</v>
      </c>
      <c r="V2713" s="7">
        <v>45352</v>
      </c>
      <c r="W2713" s="6">
        <f ca="1">IFERROR(__xludf.DUMMYFUNCTION("IFERROR(GOOGLEFINANCE(B2713,""pe""),V2713)"),424.84)</f>
        <v>424.84</v>
      </c>
      <c r="X2713" s="6">
        <v>0</v>
      </c>
      <c r="Y2713" s="6">
        <v>5.68</v>
      </c>
      <c r="Z2713" s="6">
        <v>4.84</v>
      </c>
      <c r="AA2713" s="3" t="s">
        <v>8411</v>
      </c>
      <c r="AB2713" s="3"/>
      <c r="AC2713" s="12"/>
      <c r="AD2713" s="12"/>
      <c r="AE2713" s="1">
        <v>0</v>
      </c>
      <c r="AF2713" s="1">
        <f ca="1">IFERROR(__xludf.DUMMYFUNCTION("IFERROR(GOOGLEFINANCE(TRIM(F2713)&amp;"":"" &amp; TRIM(B2713),""high52""),AE2713)"),95.21)</f>
        <v>95.21</v>
      </c>
      <c r="AG2713" s="1">
        <v>0</v>
      </c>
      <c r="AH2713" s="1">
        <f ca="1">IFERROR(__xludf.DUMMYFUNCTION("IFERROR(GOOGLEFINANCE(TRIM(F2713)&amp;"":"" &amp; TRIM(B2713),""low52""),AE2713)"),68.54)</f>
        <v>68.540000000000006</v>
      </c>
      <c r="AI2713" s="1">
        <f ca="1">IFERROR(__xludf.DUMMYFUNCTION("IFERROR(GOOGLEFINANCE(B2713,""eps""),0)"),0.19)</f>
        <v>0.19</v>
      </c>
      <c r="AJ2713" s="1"/>
      <c r="AK2713" s="1" t="s">
        <v>8412</v>
      </c>
      <c r="AL2713" s="9">
        <f t="shared" si="267"/>
        <v>1</v>
      </c>
    </row>
    <row r="2714" spans="1:38" ht="15" x14ac:dyDescent="0.25">
      <c r="A2714" s="1" t="s">
        <v>8413</v>
      </c>
      <c r="B2714" s="1" t="s">
        <v>8414</v>
      </c>
      <c r="C2714" s="1" t="s">
        <v>317</v>
      </c>
      <c r="D2714" s="1" t="s">
        <v>317</v>
      </c>
      <c r="E2714" s="6">
        <v>40.75</v>
      </c>
      <c r="F2714" s="1" t="s">
        <v>40</v>
      </c>
      <c r="G2714" s="6">
        <f ca="1">IFERROR(__xludf.DUMMYFUNCTION("iferror(GOOGLEFINANCE(TRIM(F2714)&amp;"":"" &amp; TRIM(B2714), ""price""),0
)"),63)</f>
        <v>63</v>
      </c>
      <c r="H2714" s="6">
        <v>65.260000000000005</v>
      </c>
      <c r="I2714" s="6">
        <f t="shared" ca="1" si="0"/>
        <v>63</v>
      </c>
      <c r="J2714" s="6">
        <f ca="1">IFERROR(__xludf.DUMMYFUNCTION("IFERROR(GOOGLEFINANCE(B2714, ""volume""), 0)"),1240)</f>
        <v>1240</v>
      </c>
      <c r="K2714" s="6">
        <v>-5.01</v>
      </c>
      <c r="L2714" s="6">
        <f ca="1">IFERROR(__xludf.DUMMYFUNCTION("IFERROR(GOOGLEFINANCE(B2714,""changepct""),K2714)"),-3.08)</f>
        <v>-3.08</v>
      </c>
      <c r="M2714" s="6">
        <f ca="1">IFERROR(__xludf.DUMMYFUNCTION("IFERROR(GOOGLEFINANCE(B2714,""change""),0)"),-2)</f>
        <v>-2</v>
      </c>
      <c r="N2714" s="6">
        <v>2</v>
      </c>
      <c r="O2714" s="7">
        <v>45536</v>
      </c>
      <c r="P2714" s="9"/>
      <c r="Q2714" s="6">
        <v>39.21</v>
      </c>
      <c r="R2714" s="7">
        <v>45536</v>
      </c>
      <c r="S2714" s="6">
        <v>23.16</v>
      </c>
      <c r="T2714" s="6">
        <v>0.06</v>
      </c>
      <c r="U2714" s="7">
        <v>45536</v>
      </c>
      <c r="V2714" s="6">
        <v>646.78</v>
      </c>
      <c r="W2714" s="6">
        <f ca="1">IFERROR(__xludf.DUMMYFUNCTION("IFERROR(GOOGLEFINANCE(B2714,""pe""),V2714)"),646.78)</f>
        <v>646.78</v>
      </c>
      <c r="X2714" s="6">
        <v>45.45</v>
      </c>
      <c r="Y2714" s="6">
        <v>-0.08</v>
      </c>
      <c r="Z2714" s="6">
        <v>2</v>
      </c>
      <c r="AA2714" s="8">
        <v>45352</v>
      </c>
      <c r="AB2714" s="4">
        <v>0</v>
      </c>
      <c r="AC2714" s="6">
        <v>0</v>
      </c>
      <c r="AD2714" s="6">
        <v>0</v>
      </c>
      <c r="AE2714" s="1">
        <v>0</v>
      </c>
      <c r="AF2714" s="1">
        <f ca="1">IFERROR(__xludf.DUMMYFUNCTION("IFERROR(GOOGLEFINANCE(TRIM(F2714)&amp;"":"" &amp; TRIM(B2714),""high52""),AE2714)"),87.78)</f>
        <v>87.78</v>
      </c>
      <c r="AG2714" s="1">
        <v>0</v>
      </c>
      <c r="AH2714" s="1">
        <f ca="1">IFERROR(__xludf.DUMMYFUNCTION("IFERROR(GOOGLEFINANCE(TRIM(F2714)&amp;"":"" &amp; TRIM(B2714),""low52""),AE2714)"),53)</f>
        <v>53</v>
      </c>
      <c r="AI2714" s="1">
        <f ca="1">IFERROR(__xludf.DUMMYFUNCTION("IFERROR(GOOGLEFINANCE(B2714,""eps""),0)"),-9.68)</f>
        <v>-9.68</v>
      </c>
      <c r="AJ2714" s="1"/>
      <c r="AK2714" s="1" t="s">
        <v>8415</v>
      </c>
      <c r="AL2714" s="9">
        <f t="shared" si="267"/>
        <v>1</v>
      </c>
    </row>
    <row r="2715" spans="1:38" ht="15" x14ac:dyDescent="0.25">
      <c r="A2715" s="1" t="s">
        <v>8416</v>
      </c>
      <c r="B2715" s="1" t="s">
        <v>8417</v>
      </c>
      <c r="C2715" s="1" t="s">
        <v>268</v>
      </c>
      <c r="D2715" s="1" t="s">
        <v>268</v>
      </c>
      <c r="E2715" s="6">
        <v>33515.01</v>
      </c>
      <c r="F2715" s="1" t="s">
        <v>40</v>
      </c>
      <c r="G2715" s="6">
        <f ca="1">IFERROR(__xludf.DUMMYFUNCTION("iferror(GOOGLEFINANCE(TRIM(F2715)&amp;"":"" &amp; TRIM(B2715), ""price""),0
)"),249.1)</f>
        <v>249.1</v>
      </c>
      <c r="H2715" s="6">
        <v>242.62</v>
      </c>
      <c r="I2715" s="6">
        <f t="shared" ca="1" si="0"/>
        <v>249.1</v>
      </c>
      <c r="J2715" s="6">
        <f ca="1">IFERROR(__xludf.DUMMYFUNCTION("IFERROR(GOOGLEFINANCE(B2715, ""volume""), 0)"),1296445)</f>
        <v>1296445</v>
      </c>
      <c r="K2715" s="6">
        <v>0.4</v>
      </c>
      <c r="L2715" s="6">
        <f ca="1">IFERROR(__xludf.DUMMYFUNCTION("IFERROR(GOOGLEFINANCE(B2715,""changepct""),K2715)"),1.3)</f>
        <v>1.3</v>
      </c>
      <c r="M2715" s="6">
        <f ca="1">IFERROR(__xludf.DUMMYFUNCTION("IFERROR(GOOGLEFINANCE(B2715,""change""),0)"),3.2)</f>
        <v>3.2</v>
      </c>
      <c r="N2715" s="6">
        <v>2</v>
      </c>
      <c r="O2715" s="7">
        <v>45536</v>
      </c>
      <c r="P2715" s="6">
        <v>22486.33</v>
      </c>
      <c r="Q2715" s="6">
        <v>55057.58</v>
      </c>
      <c r="R2715" s="7">
        <v>45536</v>
      </c>
      <c r="S2715" s="6">
        <v>13738.33</v>
      </c>
      <c r="T2715" s="6">
        <v>1916.88</v>
      </c>
      <c r="U2715" s="7">
        <v>45536</v>
      </c>
      <c r="V2715" s="6">
        <v>18.260000000000002</v>
      </c>
      <c r="W2715" s="6">
        <f ca="1">IFERROR(__xludf.DUMMYFUNCTION("IFERROR(GOOGLEFINANCE(B2715,""pe""),V2715)"),12.88)</f>
        <v>12.88</v>
      </c>
      <c r="X2715" s="6">
        <v>4.6500000000000004</v>
      </c>
      <c r="Y2715" s="6">
        <v>1.89</v>
      </c>
      <c r="Z2715" s="6">
        <v>2</v>
      </c>
      <c r="AA2715" s="8">
        <v>45352</v>
      </c>
      <c r="AB2715" s="4">
        <v>1.35</v>
      </c>
      <c r="AC2715" s="6">
        <v>11.78</v>
      </c>
      <c r="AD2715" s="6">
        <v>9.77</v>
      </c>
      <c r="AE2715" s="1">
        <v>0</v>
      </c>
      <c r="AF2715" s="1">
        <f ca="1">IFERROR(__xludf.DUMMYFUNCTION("IFERROR(GOOGLEFINANCE(TRIM(F2715)&amp;"":"" &amp; TRIM(B2715),""high52""),AE2715)"),292.2)</f>
        <v>292.2</v>
      </c>
      <c r="AG2715" s="1">
        <v>0</v>
      </c>
      <c r="AH2715" s="1">
        <f ca="1">IFERROR(__xludf.DUMMYFUNCTION("IFERROR(GOOGLEFINANCE(TRIM(F2715)&amp;"":"" &amp; TRIM(B2715),""low52""),AE2715)"),186.03)</f>
        <v>186.03</v>
      </c>
      <c r="AI2715" s="1">
        <f ca="1">IFERROR(__xludf.DUMMYFUNCTION("IFERROR(GOOGLEFINANCE(B2715,""eps""),0)"),19.35)</f>
        <v>19.350000000000001</v>
      </c>
      <c r="AJ2715" s="1"/>
      <c r="AK2715" s="9"/>
      <c r="AL2715" s="9">
        <f t="shared" si="267"/>
        <v>1</v>
      </c>
    </row>
    <row r="2716" spans="1:38" ht="15" x14ac:dyDescent="0.25">
      <c r="A2716" s="1" t="s">
        <v>8418</v>
      </c>
      <c r="B2716" s="1" t="s">
        <v>8419</v>
      </c>
      <c r="C2716" s="1" t="s">
        <v>39</v>
      </c>
      <c r="D2716" s="1" t="s">
        <v>39</v>
      </c>
      <c r="E2716" s="6">
        <v>59476.65</v>
      </c>
      <c r="F2716" s="1" t="s">
        <v>40</v>
      </c>
      <c r="G2716" s="6">
        <f ca="1">IFERROR(__xludf.DUMMYFUNCTION("iferror(GOOGLEFINANCE(TRIM(F2716)&amp;"":"" &amp; TRIM(B2716), ""price""),0
)"),81.9)</f>
        <v>81.900000000000006</v>
      </c>
      <c r="H2716" s="6">
        <v>67.569999999999993</v>
      </c>
      <c r="I2716" s="6">
        <f t="shared" ca="1" si="0"/>
        <v>81.900000000000006</v>
      </c>
      <c r="J2716" s="6">
        <f ca="1">IFERROR(__xludf.DUMMYFUNCTION("IFERROR(GOOGLEFINANCE(B2716, ""volume""), 0)"),18052520)</f>
        <v>18052520</v>
      </c>
      <c r="K2716" s="6">
        <v>-0.18</v>
      </c>
      <c r="L2716" s="6">
        <f ca="1">IFERROR(__xludf.DUMMYFUNCTION("IFERROR(GOOGLEFINANCE(B2716,""changepct""),K2716)"),1.89)</f>
        <v>1.89</v>
      </c>
      <c r="M2716" s="6">
        <f ca="1">IFERROR(__xludf.DUMMYFUNCTION("IFERROR(GOOGLEFINANCE(B2716,""change""),0)"),1.52)</f>
        <v>1.52</v>
      </c>
      <c r="N2716" s="6">
        <v>2</v>
      </c>
      <c r="O2716" s="7">
        <v>45536</v>
      </c>
      <c r="P2716" s="6">
        <v>4155.7</v>
      </c>
      <c r="Q2716" s="6">
        <v>49372.32</v>
      </c>
      <c r="R2716" s="7">
        <v>45536</v>
      </c>
      <c r="S2716" s="6">
        <v>22232.31</v>
      </c>
      <c r="T2716" s="6">
        <v>6045.36</v>
      </c>
      <c r="U2716" s="7">
        <v>45536</v>
      </c>
      <c r="V2716" s="6">
        <v>9.7799999999999994</v>
      </c>
      <c r="W2716" s="6">
        <f ca="1">IFERROR(__xludf.DUMMYFUNCTION("IFERROR(GOOGLEFINANCE(B2716,""pe""),V2716)"),10.25)</f>
        <v>10.25</v>
      </c>
      <c r="X2716" s="6">
        <v>2.15</v>
      </c>
      <c r="Y2716" s="6">
        <v>2.0499999999999998</v>
      </c>
      <c r="Z2716" s="6">
        <v>2</v>
      </c>
      <c r="AA2716" s="8">
        <v>45352</v>
      </c>
      <c r="AB2716" s="4">
        <v>0.13</v>
      </c>
      <c r="AC2716" s="6">
        <v>23.08</v>
      </c>
      <c r="AD2716" s="6">
        <v>29.88</v>
      </c>
      <c r="AE2716" s="1">
        <v>0</v>
      </c>
      <c r="AF2716" s="1">
        <f ca="1">IFERROR(__xludf.DUMMYFUNCTION("IFERROR(GOOGLEFINANCE(TRIM(F2716)&amp;"":"" &amp; TRIM(B2716),""high52""),AE2716)"),86.72)</f>
        <v>86.72</v>
      </c>
      <c r="AG2716" s="1">
        <v>0</v>
      </c>
      <c r="AH2716" s="1">
        <f ca="1">IFERROR(__xludf.DUMMYFUNCTION("IFERROR(GOOGLEFINANCE(TRIM(F2716)&amp;"":"" &amp; TRIM(B2716),""low52""),AE2716)"),59.53)</f>
        <v>59.53</v>
      </c>
      <c r="AI2716" s="1">
        <f ca="1">IFERROR(__xludf.DUMMYFUNCTION("IFERROR(GOOGLEFINANCE(B2716,""eps""),0)"),7.99)</f>
        <v>7.99</v>
      </c>
      <c r="AJ2716" s="1"/>
      <c r="AK2716" s="1" t="s">
        <v>8420</v>
      </c>
      <c r="AL2716" s="9">
        <f t="shared" si="267"/>
        <v>1</v>
      </c>
    </row>
    <row r="2717" spans="1:38" ht="15" x14ac:dyDescent="0.25">
      <c r="A2717" s="1" t="s">
        <v>8421</v>
      </c>
      <c r="B2717" s="1" t="s">
        <v>8422</v>
      </c>
      <c r="C2717" s="1" t="s">
        <v>57</v>
      </c>
      <c r="D2717" s="1" t="s">
        <v>57</v>
      </c>
      <c r="E2717" s="6">
        <v>2133.5</v>
      </c>
      <c r="F2717" s="1" t="s">
        <v>53</v>
      </c>
      <c r="G2717" s="6">
        <f ca="1">IFERROR(__xludf.DUMMYFUNCTION("iferror(GOOGLEFINANCE(TRIM(F2717)&amp;"":"" &amp; TRIM(B2717), ""price""),0
)"),0)</f>
        <v>0</v>
      </c>
      <c r="H2717" s="6">
        <v>3434</v>
      </c>
      <c r="I2717" s="6">
        <f t="shared" ca="1" si="0"/>
        <v>3434</v>
      </c>
      <c r="J2717" s="6">
        <f ca="1">IFERROR(__xludf.DUMMYFUNCTION("IFERROR(GOOGLEFINANCE(B2717, ""volume""), 0)"),0)</f>
        <v>0</v>
      </c>
      <c r="K2717" s="6">
        <v>1</v>
      </c>
      <c r="L2717" s="6">
        <f ca="1">IFERROR(__xludf.DUMMYFUNCTION("IFERROR(GOOGLEFINANCE(B2717,""changepct""),K2717)"),1)</f>
        <v>1</v>
      </c>
      <c r="M2717" s="6">
        <f ca="1">IFERROR(__xludf.DUMMYFUNCTION("IFERROR(GOOGLEFINANCE(B2717,""change""),0)"),0)</f>
        <v>0</v>
      </c>
      <c r="N2717" s="6">
        <v>2</v>
      </c>
      <c r="O2717" s="7">
        <v>45536</v>
      </c>
      <c r="P2717" s="6">
        <v>2.27</v>
      </c>
      <c r="Q2717" s="6">
        <v>2135.77</v>
      </c>
      <c r="R2717" s="7">
        <v>45536</v>
      </c>
      <c r="S2717" s="6">
        <v>218.97</v>
      </c>
      <c r="T2717" s="6">
        <v>17.39</v>
      </c>
      <c r="U2717" s="7">
        <v>45536</v>
      </c>
      <c r="V2717" s="6">
        <v>122.69</v>
      </c>
      <c r="W2717" s="6">
        <f ca="1">IFERROR(__xludf.DUMMYFUNCTION("IFERROR(GOOGLEFINANCE(B2717,""pe""),V2717)"),122.69)</f>
        <v>122.69</v>
      </c>
      <c r="X2717" s="6">
        <v>6.56</v>
      </c>
      <c r="Y2717" s="6">
        <v>287.02999999999997</v>
      </c>
      <c r="Z2717" s="6">
        <v>2</v>
      </c>
      <c r="AA2717" s="8">
        <v>45352</v>
      </c>
      <c r="AB2717" s="4">
        <v>1.01</v>
      </c>
      <c r="AC2717" s="6">
        <v>0</v>
      </c>
      <c r="AD2717" s="6">
        <v>94.7</v>
      </c>
      <c r="AE2717" s="1">
        <v>0</v>
      </c>
      <c r="AF2717" s="1">
        <f ca="1">IFERROR(__xludf.DUMMYFUNCTION("IFERROR(GOOGLEFINANCE(TRIM(F2717)&amp;"":"" &amp; TRIM(B2717),""high52""),AE2717)"),0)</f>
        <v>0</v>
      </c>
      <c r="AG2717" s="1">
        <v>0</v>
      </c>
      <c r="AH2717" s="1">
        <f ca="1">IFERROR(__xludf.DUMMYFUNCTION("IFERROR(GOOGLEFINANCE(TRIM(F2717)&amp;"":"" &amp; TRIM(B2717),""low52""),AE2717)"),0)</f>
        <v>0</v>
      </c>
      <c r="AI2717" s="1">
        <f ca="1">IFERROR(__xludf.DUMMYFUNCTION("IFERROR(GOOGLEFINANCE(B2717,""eps""),0)"),0)</f>
        <v>0</v>
      </c>
      <c r="AJ2717" s="1"/>
      <c r="AK2717" s="1" t="s">
        <v>8423</v>
      </c>
      <c r="AL2717" s="9">
        <f t="shared" si="267"/>
        <v>1</v>
      </c>
    </row>
    <row r="2718" spans="1:38" ht="15" x14ac:dyDescent="0.25">
      <c r="A2718" s="1" t="s">
        <v>8424</v>
      </c>
      <c r="B2718" s="1" t="s">
        <v>8425</v>
      </c>
      <c r="C2718" s="1" t="s">
        <v>219</v>
      </c>
      <c r="D2718" s="1" t="s">
        <v>219</v>
      </c>
      <c r="E2718" s="6">
        <v>12792.09</v>
      </c>
      <c r="F2718" s="1" t="s">
        <v>40</v>
      </c>
      <c r="G2718" s="6">
        <f ca="1">IFERROR(__xludf.DUMMYFUNCTION("iferror(GOOGLEFINANCE(TRIM(F2718)&amp;"":"" &amp; TRIM(B2718), ""price""),0
)"),42.38)</f>
        <v>42.38</v>
      </c>
      <c r="H2718" s="6">
        <v>43.56</v>
      </c>
      <c r="I2718" s="6">
        <f t="shared" ca="1" si="0"/>
        <v>42.38</v>
      </c>
      <c r="J2718" s="6">
        <f ca="1">IFERROR(__xludf.DUMMYFUNCTION("IFERROR(GOOGLEFINANCE(B2718, ""volume""), 0)"),4287539)</f>
        <v>4287539</v>
      </c>
      <c r="K2718" s="6">
        <v>-0.16</v>
      </c>
      <c r="L2718" s="6">
        <f ca="1">IFERROR(__xludf.DUMMYFUNCTION("IFERROR(GOOGLEFINANCE(B2718,""changepct""),K2718)"),2.76)</f>
        <v>2.76</v>
      </c>
      <c r="M2718" s="6">
        <f ca="1">IFERROR(__xludf.DUMMYFUNCTION("IFERROR(GOOGLEFINANCE(B2718,""change""),0)"),1.14)</f>
        <v>1.1399999999999999</v>
      </c>
      <c r="N2718" s="6">
        <v>1</v>
      </c>
      <c r="O2718" s="7">
        <v>45536</v>
      </c>
      <c r="P2718" s="6">
        <v>6503.08</v>
      </c>
      <c r="Q2718" s="6">
        <v>18566.509999999998</v>
      </c>
      <c r="R2718" s="7">
        <v>45536</v>
      </c>
      <c r="S2718" s="6">
        <v>6316.84</v>
      </c>
      <c r="T2718" s="6">
        <v>-2571.84</v>
      </c>
      <c r="U2718" s="7">
        <v>45536</v>
      </c>
      <c r="V2718" s="6">
        <v>0</v>
      </c>
      <c r="W2718" s="6">
        <f ca="1">IFERROR(__xludf.DUMMYFUNCTION("IFERROR(GOOGLEFINANCE(B2718,""pe""),V2718)"),0)</f>
        <v>0</v>
      </c>
      <c r="X2718" s="12"/>
      <c r="Y2718" s="6">
        <v>0.89</v>
      </c>
      <c r="Z2718" s="6">
        <v>1</v>
      </c>
      <c r="AA2718" s="8">
        <v>45352</v>
      </c>
      <c r="AB2718" s="4">
        <v>0.43</v>
      </c>
      <c r="AC2718" s="6">
        <v>-9.59</v>
      </c>
      <c r="AD2718" s="6">
        <v>-8.69</v>
      </c>
      <c r="AE2718" s="1">
        <v>0</v>
      </c>
      <c r="AF2718" s="1">
        <f ca="1">IFERROR(__xludf.DUMMYFUNCTION("IFERROR(GOOGLEFINANCE(TRIM(F2718)&amp;"":"" &amp; TRIM(B2718),""high52""),AE2718)"),49.65)</f>
        <v>49.65</v>
      </c>
      <c r="AG2718" s="1">
        <v>0</v>
      </c>
      <c r="AH2718" s="1">
        <f ca="1">IFERROR(__xludf.DUMMYFUNCTION("IFERROR(GOOGLEFINANCE(TRIM(F2718)&amp;"":"" &amp; TRIM(B2718),""low52""),AE2718)"),32.13)</f>
        <v>32.130000000000003</v>
      </c>
      <c r="AI2718" s="1">
        <f ca="1">IFERROR(__xludf.DUMMYFUNCTION("IFERROR(GOOGLEFINANCE(B2718,""eps""),0)"),-4.51)</f>
        <v>-4.51</v>
      </c>
      <c r="AJ2718" s="1"/>
      <c r="AK2718" s="1" t="s">
        <v>8426</v>
      </c>
      <c r="AL2718" s="9">
        <f t="shared" si="267"/>
        <v>1</v>
      </c>
    </row>
    <row r="2719" spans="1:38" ht="15" x14ac:dyDescent="0.25">
      <c r="A2719" s="1" t="s">
        <v>8427</v>
      </c>
      <c r="B2719" s="1" t="s">
        <v>8428</v>
      </c>
      <c r="C2719" s="1" t="s">
        <v>57</v>
      </c>
      <c r="D2719" s="1" t="s">
        <v>57</v>
      </c>
      <c r="E2719" s="6">
        <v>112.13</v>
      </c>
      <c r="F2719" s="1" t="s">
        <v>53</v>
      </c>
      <c r="G2719" s="6">
        <f ca="1">IFERROR(__xludf.DUMMYFUNCTION("iferror(GOOGLEFINANCE(TRIM(F2719)&amp;"":"" &amp; TRIM(B2719), ""price""),0
)"),0)</f>
        <v>0</v>
      </c>
      <c r="H2719" s="6">
        <v>40.25</v>
      </c>
      <c r="I2719" s="6">
        <f t="shared" ca="1" si="0"/>
        <v>40.25</v>
      </c>
      <c r="J2719" s="6">
        <f ca="1">IFERROR(__xludf.DUMMYFUNCTION("IFERROR(GOOGLEFINANCE(B2719, ""volume""), 0)"),0)</f>
        <v>0</v>
      </c>
      <c r="K2719" s="6">
        <v>0.05</v>
      </c>
      <c r="L2719" s="6">
        <f ca="1">IFERROR(__xludf.DUMMYFUNCTION("IFERROR(GOOGLEFINANCE(B2719,""changepct""),K2719)"),0.05)</f>
        <v>0.05</v>
      </c>
      <c r="M2719" s="6">
        <f ca="1">IFERROR(__xludf.DUMMYFUNCTION("IFERROR(GOOGLEFINANCE(B2719,""change""),0)"),0)</f>
        <v>0</v>
      </c>
      <c r="N2719" s="6">
        <v>1</v>
      </c>
      <c r="O2719" s="7">
        <v>45536</v>
      </c>
      <c r="P2719" s="6">
        <v>2.5499999999999998</v>
      </c>
      <c r="Q2719" s="6">
        <v>114.68</v>
      </c>
      <c r="R2719" s="7">
        <v>45536</v>
      </c>
      <c r="S2719" s="6">
        <v>35.76</v>
      </c>
      <c r="T2719" s="6">
        <v>4.92</v>
      </c>
      <c r="U2719" s="7">
        <v>45536</v>
      </c>
      <c r="V2719" s="6">
        <v>22.77</v>
      </c>
      <c r="W2719" s="6">
        <f ca="1">IFERROR(__xludf.DUMMYFUNCTION("IFERROR(GOOGLEFINANCE(B2719,""pe""),V2719)"),22.77)</f>
        <v>22.77</v>
      </c>
      <c r="X2719" s="6">
        <v>0.06</v>
      </c>
      <c r="Y2719" s="6">
        <v>1.6</v>
      </c>
      <c r="Z2719" s="6">
        <v>1</v>
      </c>
      <c r="AA2719" s="8">
        <v>45352</v>
      </c>
      <c r="AB2719" s="4">
        <v>7.0000000000000007E-2</v>
      </c>
      <c r="AC2719" s="6">
        <v>26.04</v>
      </c>
      <c r="AD2719" s="6">
        <v>20.2</v>
      </c>
      <c r="AE2719" s="1">
        <v>0</v>
      </c>
      <c r="AF2719" s="1">
        <f ca="1">IFERROR(__xludf.DUMMYFUNCTION("IFERROR(GOOGLEFINANCE(TRIM(F2719)&amp;"":"" &amp; TRIM(B2719),""high52""),AE2719)"),0)</f>
        <v>0</v>
      </c>
      <c r="AG2719" s="1">
        <v>0</v>
      </c>
      <c r="AH2719" s="1">
        <f ca="1">IFERROR(__xludf.DUMMYFUNCTION("IFERROR(GOOGLEFINANCE(TRIM(F2719)&amp;"":"" &amp; TRIM(B2719),""low52""),AE2719)"),0)</f>
        <v>0</v>
      </c>
      <c r="AI2719" s="1">
        <f ca="1">IFERROR(__xludf.DUMMYFUNCTION("IFERROR(GOOGLEFINANCE(B2719,""eps""),0)"),0)</f>
        <v>0</v>
      </c>
      <c r="AJ2719" s="1"/>
      <c r="AK2719" s="1" t="s">
        <v>8429</v>
      </c>
      <c r="AL2719" s="9">
        <f t="shared" si="267"/>
        <v>1</v>
      </c>
    </row>
    <row r="2720" spans="1:38" ht="15" x14ac:dyDescent="0.25">
      <c r="A2720" s="1" t="s">
        <v>8430</v>
      </c>
      <c r="B2720" s="1" t="s">
        <v>8431</v>
      </c>
      <c r="C2720" s="1" t="s">
        <v>135</v>
      </c>
      <c r="D2720" s="1" t="s">
        <v>135</v>
      </c>
      <c r="E2720" s="6">
        <v>4172.33</v>
      </c>
      <c r="F2720" s="1" t="s">
        <v>40</v>
      </c>
      <c r="G2720" s="6">
        <f ca="1">IFERROR(__xludf.DUMMYFUNCTION("iferror(GOOGLEFINANCE(TRIM(F2720)&amp;"":"" &amp; TRIM(B2720), ""price""),0
)"),133.7)</f>
        <v>133.69999999999999</v>
      </c>
      <c r="H2720" s="6">
        <v>252.32</v>
      </c>
      <c r="I2720" s="6">
        <f t="shared" ca="1" si="0"/>
        <v>133.69999999999999</v>
      </c>
      <c r="J2720" s="6">
        <f ca="1">IFERROR(__xludf.DUMMYFUNCTION("IFERROR(GOOGLEFINANCE(B2720, ""volume""), 0)"),290347)</f>
        <v>290347</v>
      </c>
      <c r="K2720" s="6">
        <v>0.84</v>
      </c>
      <c r="L2720" s="6">
        <f ca="1">IFERROR(__xludf.DUMMYFUNCTION("IFERROR(GOOGLEFINANCE(B2720,""changepct""),K2720)"),-1.01)</f>
        <v>-1.01</v>
      </c>
      <c r="M2720" s="6">
        <f ca="1">IFERROR(__xludf.DUMMYFUNCTION("IFERROR(GOOGLEFINANCE(B2720,""change""),0)"),-1.36)</f>
        <v>-1.36</v>
      </c>
      <c r="N2720" s="6">
        <v>2</v>
      </c>
      <c r="O2720" s="7">
        <v>45536</v>
      </c>
      <c r="P2720" s="9"/>
      <c r="Q2720" s="6">
        <v>4145.97</v>
      </c>
      <c r="R2720" s="7">
        <v>45536</v>
      </c>
      <c r="S2720" s="6">
        <v>1431.99</v>
      </c>
      <c r="T2720" s="6">
        <v>140.72999999999999</v>
      </c>
      <c r="U2720" s="7">
        <v>45536</v>
      </c>
      <c r="V2720" s="6">
        <v>29.65</v>
      </c>
      <c r="W2720" s="6">
        <f ca="1">IFERROR(__xludf.DUMMYFUNCTION("IFERROR(GOOGLEFINANCE(B2720,""pe""),V2720)"),35.46)</f>
        <v>35.46</v>
      </c>
      <c r="X2720" s="6">
        <v>-4.6500000000000004</v>
      </c>
      <c r="Y2720" s="6">
        <v>2.36</v>
      </c>
      <c r="Z2720" s="6">
        <v>2</v>
      </c>
      <c r="AA2720" s="8">
        <v>45352</v>
      </c>
      <c r="AB2720" s="4">
        <v>0</v>
      </c>
      <c r="AC2720" s="6">
        <v>8.2100000000000009</v>
      </c>
      <c r="AD2720" s="6">
        <v>11.17</v>
      </c>
      <c r="AE2720" s="1">
        <v>0</v>
      </c>
      <c r="AF2720" s="1">
        <f ca="1">IFERROR(__xludf.DUMMYFUNCTION("IFERROR(GOOGLEFINANCE(TRIM(F2720)&amp;"":"" &amp; TRIM(B2720),""high52""),AE2720)"),240.41)</f>
        <v>240.41</v>
      </c>
      <c r="AG2720" s="1">
        <v>0</v>
      </c>
      <c r="AH2720" s="1">
        <f ca="1">IFERROR(__xludf.DUMMYFUNCTION("IFERROR(GOOGLEFINANCE(TRIM(F2720)&amp;"":"" &amp; TRIM(B2720),""low52""),AE2720)"),125.31)</f>
        <v>125.31</v>
      </c>
      <c r="AI2720" s="1">
        <f ca="1">IFERROR(__xludf.DUMMYFUNCTION("IFERROR(GOOGLEFINANCE(B2720,""eps""),0)"),3.77)</f>
        <v>3.77</v>
      </c>
      <c r="AJ2720" s="1"/>
      <c r="AK2720" s="1" t="s">
        <v>8432</v>
      </c>
      <c r="AL2720" s="9">
        <f t="shared" si="267"/>
        <v>1</v>
      </c>
    </row>
    <row r="2721" spans="1:38" ht="15" x14ac:dyDescent="0.25">
      <c r="A2721" s="1" t="s">
        <v>8433</v>
      </c>
      <c r="B2721" s="1" t="s">
        <v>8434</v>
      </c>
      <c r="C2721" s="1" t="s">
        <v>1913</v>
      </c>
      <c r="D2721" s="1" t="s">
        <v>1913</v>
      </c>
      <c r="E2721" s="6">
        <v>30.68</v>
      </c>
      <c r="F2721" s="1" t="s">
        <v>40</v>
      </c>
      <c r="G2721" s="6">
        <f ca="1">IFERROR(__xludf.DUMMYFUNCTION("iferror(GOOGLEFINANCE(TRIM(F2721)&amp;"":"" &amp; TRIM(B2721), ""price""),0
)"),87.22)</f>
        <v>87.22</v>
      </c>
      <c r="H2721" s="6">
        <v>25.81</v>
      </c>
      <c r="I2721" s="6">
        <f t="shared" ca="1" si="0"/>
        <v>87.22</v>
      </c>
      <c r="J2721" s="6">
        <f ca="1">IFERROR(__xludf.DUMMYFUNCTION("IFERROR(GOOGLEFINANCE(B2721, ""volume""), 0)"),256)</f>
        <v>256</v>
      </c>
      <c r="K2721" s="6">
        <v>0</v>
      </c>
      <c r="L2721" s="6">
        <f ca="1">IFERROR(__xludf.DUMMYFUNCTION("IFERROR(GOOGLEFINANCE(B2721,""changepct""),K2721)"),-2)</f>
        <v>-2</v>
      </c>
      <c r="M2721" s="6">
        <f ca="1">IFERROR(__xludf.DUMMYFUNCTION("IFERROR(GOOGLEFINANCE(B2721,""change""),0)"),-1.78)</f>
        <v>-1.78</v>
      </c>
      <c r="N2721" s="6">
        <v>1</v>
      </c>
      <c r="O2721" s="7">
        <v>45536</v>
      </c>
      <c r="P2721" s="6">
        <v>10.47</v>
      </c>
      <c r="Q2721" s="6">
        <v>40.840000000000003</v>
      </c>
      <c r="R2721" s="7">
        <v>45536</v>
      </c>
      <c r="S2721" s="6">
        <v>7.14</v>
      </c>
      <c r="T2721" s="6">
        <v>-1.5</v>
      </c>
      <c r="U2721" s="7">
        <v>45536</v>
      </c>
      <c r="V2721" s="6">
        <v>0</v>
      </c>
      <c r="W2721" s="6">
        <f ca="1">IFERROR(__xludf.DUMMYFUNCTION("IFERROR(GOOGLEFINANCE(B2721,""pe""),V2721)"),0)</f>
        <v>0</v>
      </c>
      <c r="X2721" s="9"/>
      <c r="Y2721" s="6">
        <v>2.21</v>
      </c>
      <c r="Z2721" s="6">
        <v>1</v>
      </c>
      <c r="AA2721" s="8">
        <v>45352</v>
      </c>
      <c r="AB2721" s="4">
        <v>0.81</v>
      </c>
      <c r="AC2721" s="6">
        <v>-12.37</v>
      </c>
      <c r="AD2721" s="6">
        <v>-2.6</v>
      </c>
      <c r="AE2721" s="1">
        <v>0</v>
      </c>
      <c r="AF2721" s="1">
        <f ca="1">IFERROR(__xludf.DUMMYFUNCTION("IFERROR(GOOGLEFINANCE(TRIM(F2721)&amp;"":"" &amp; TRIM(B2721),""high52""),AE2721)"),99.35)</f>
        <v>99.35</v>
      </c>
      <c r="AG2721" s="1">
        <v>0</v>
      </c>
      <c r="AH2721" s="1">
        <f ca="1">IFERROR(__xludf.DUMMYFUNCTION("IFERROR(GOOGLEFINANCE(TRIM(F2721)&amp;"":"" &amp; TRIM(B2721),""low52""),AE2721)"),26.52)</f>
        <v>26.52</v>
      </c>
      <c r="AI2721" s="1">
        <f ca="1">IFERROR(__xludf.DUMMYFUNCTION("IFERROR(GOOGLEFINANCE(B2721,""eps""),0)"),-0.47)</f>
        <v>-0.47</v>
      </c>
      <c r="AJ2721" s="1"/>
      <c r="AK2721" s="1" t="s">
        <v>8435</v>
      </c>
      <c r="AL2721" s="9">
        <f t="shared" si="267"/>
        <v>1</v>
      </c>
    </row>
    <row r="2722" spans="1:38" ht="15" x14ac:dyDescent="0.25">
      <c r="A2722" s="1" t="s">
        <v>8436</v>
      </c>
      <c r="B2722" s="1" t="s">
        <v>8437</v>
      </c>
      <c r="C2722" s="1" t="s">
        <v>259</v>
      </c>
      <c r="D2722" s="1" t="s">
        <v>259</v>
      </c>
      <c r="E2722" s="6">
        <v>375.3</v>
      </c>
      <c r="F2722" s="1" t="s">
        <v>40</v>
      </c>
      <c r="G2722" s="6">
        <f ca="1">IFERROR(__xludf.DUMMYFUNCTION("iferror(GOOGLEFINANCE(TRIM(F2722)&amp;"":"" &amp; TRIM(B2722), ""price""),0
)"),13.7)</f>
        <v>13.7</v>
      </c>
      <c r="H2722" s="6">
        <v>36.9</v>
      </c>
      <c r="I2722" s="6">
        <f t="shared" ca="1" si="0"/>
        <v>13.7</v>
      </c>
      <c r="J2722" s="6">
        <f ca="1">IFERROR(__xludf.DUMMYFUNCTION("IFERROR(GOOGLEFINANCE(B2722, ""volume""), 0)"),165652)</f>
        <v>165652</v>
      </c>
      <c r="K2722" s="6">
        <v>-1.47</v>
      </c>
      <c r="L2722" s="6">
        <f ca="1">IFERROR(__xludf.DUMMYFUNCTION("IFERROR(GOOGLEFINANCE(B2722,""changepct""),K2722)"),-7.37)</f>
        <v>-7.37</v>
      </c>
      <c r="M2722" s="6">
        <f ca="1">IFERROR(__xludf.DUMMYFUNCTION("IFERROR(GOOGLEFINANCE(B2722,""change""),0)"),-1.09)</f>
        <v>-1.0900000000000001</v>
      </c>
      <c r="N2722" s="6">
        <v>1</v>
      </c>
      <c r="O2722" s="7">
        <v>45536</v>
      </c>
      <c r="P2722" s="6">
        <v>94.66</v>
      </c>
      <c r="Q2722" s="6">
        <v>469.97</v>
      </c>
      <c r="R2722" s="7">
        <v>45536</v>
      </c>
      <c r="S2722" s="6">
        <v>337</v>
      </c>
      <c r="T2722" s="6">
        <v>11.93</v>
      </c>
      <c r="U2722" s="7">
        <v>45536</v>
      </c>
      <c r="V2722" s="6">
        <v>31.46</v>
      </c>
      <c r="W2722" s="6">
        <f ca="1">IFERROR(__xludf.DUMMYFUNCTION("IFERROR(GOOGLEFINANCE(B2722,""pe""),V2722)"),18.13)</f>
        <v>18.13</v>
      </c>
      <c r="X2722" s="6">
        <v>2.6</v>
      </c>
      <c r="Y2722" s="6">
        <v>1.74</v>
      </c>
      <c r="Z2722" s="6">
        <v>1</v>
      </c>
      <c r="AA2722" s="8">
        <v>45352</v>
      </c>
      <c r="AB2722" s="4">
        <v>0.53</v>
      </c>
      <c r="AC2722" s="6">
        <v>5.37</v>
      </c>
      <c r="AD2722" s="6">
        <v>7.55</v>
      </c>
      <c r="AE2722" s="1">
        <v>0</v>
      </c>
      <c r="AF2722" s="1">
        <f ca="1">IFERROR(__xludf.DUMMYFUNCTION("IFERROR(GOOGLEFINANCE(TRIM(F2722)&amp;"":"" &amp; TRIM(B2722),""high52""),AE2722)"),32)</f>
        <v>32</v>
      </c>
      <c r="AG2722" s="1">
        <v>0</v>
      </c>
      <c r="AH2722" s="1">
        <f ca="1">IFERROR(__xludf.DUMMYFUNCTION("IFERROR(GOOGLEFINANCE(TRIM(F2722)&amp;"":"" &amp; TRIM(B2722),""low52""),AE2722)"),13.5)</f>
        <v>13.5</v>
      </c>
      <c r="AI2722" s="1">
        <f ca="1">IFERROR(__xludf.DUMMYFUNCTION("IFERROR(GOOGLEFINANCE(B2722,""eps""),0)"),0.76)</f>
        <v>0.76</v>
      </c>
      <c r="AJ2722" s="1"/>
      <c r="AK2722" s="9"/>
      <c r="AL2722" s="9">
        <f t="shared" si="267"/>
        <v>1</v>
      </c>
    </row>
    <row r="2723" spans="1:38" ht="15" x14ac:dyDescent="0.25">
      <c r="A2723" s="1" t="s">
        <v>8438</v>
      </c>
      <c r="B2723" s="1" t="s">
        <v>8439</v>
      </c>
      <c r="C2723" s="1" t="s">
        <v>57</v>
      </c>
      <c r="D2723" s="1" t="s">
        <v>57</v>
      </c>
      <c r="E2723" s="6">
        <v>73.819999999999993</v>
      </c>
      <c r="F2723" s="1" t="s">
        <v>53</v>
      </c>
      <c r="G2723" s="6">
        <f ca="1">IFERROR(__xludf.DUMMYFUNCTION("iferror(GOOGLEFINANCE(TRIM(F2723)&amp;"":"" &amp; TRIM(B2723), ""price""),0
)"),0)</f>
        <v>0</v>
      </c>
      <c r="H2723" s="6">
        <v>18.36</v>
      </c>
      <c r="I2723" s="6">
        <f t="shared" ca="1" si="0"/>
        <v>18.36</v>
      </c>
      <c r="J2723" s="6">
        <f ca="1">IFERROR(__xludf.DUMMYFUNCTION("IFERROR(GOOGLEFINANCE(B2723, ""volume""), 0)"),0)</f>
        <v>0</v>
      </c>
      <c r="K2723" s="6">
        <v>-1.98</v>
      </c>
      <c r="L2723" s="6">
        <f ca="1">IFERROR(__xludf.DUMMYFUNCTION("IFERROR(GOOGLEFINANCE(B2723,""changepct""),K2723)"),-1.98)</f>
        <v>-1.98</v>
      </c>
      <c r="M2723" s="6">
        <f ca="1">IFERROR(__xludf.DUMMYFUNCTION("IFERROR(GOOGLEFINANCE(B2723,""change""),0)"),0)</f>
        <v>0</v>
      </c>
      <c r="N2723" s="6">
        <v>2</v>
      </c>
      <c r="O2723" s="7">
        <v>45536</v>
      </c>
      <c r="P2723" s="6">
        <v>16.690000000000001</v>
      </c>
      <c r="Q2723" s="6">
        <v>90.28</v>
      </c>
      <c r="R2723" s="7">
        <v>45536</v>
      </c>
      <c r="S2723" s="6">
        <v>0</v>
      </c>
      <c r="T2723" s="6">
        <v>-0.42</v>
      </c>
      <c r="U2723" s="7">
        <v>45536</v>
      </c>
      <c r="V2723" s="6">
        <v>0</v>
      </c>
      <c r="W2723" s="6">
        <f ca="1">IFERROR(__xludf.DUMMYFUNCTION("IFERROR(GOOGLEFINANCE(B2723,""pe""),V2723)"),0)</f>
        <v>0</v>
      </c>
      <c r="X2723" s="9"/>
      <c r="Y2723" s="6">
        <v>1.93</v>
      </c>
      <c r="Z2723" s="6">
        <v>2</v>
      </c>
      <c r="AA2723" s="8">
        <v>45352</v>
      </c>
      <c r="AB2723" s="4">
        <v>0.09</v>
      </c>
      <c r="AC2723" s="6">
        <v>-0.99</v>
      </c>
      <c r="AD2723" s="6">
        <v>-0.55000000000000004</v>
      </c>
      <c r="AE2723" s="1">
        <v>0</v>
      </c>
      <c r="AF2723" s="1">
        <f ca="1">IFERROR(__xludf.DUMMYFUNCTION("IFERROR(GOOGLEFINANCE(TRIM(F2723)&amp;"":"" &amp; TRIM(B2723),""high52""),AE2723)"),0)</f>
        <v>0</v>
      </c>
      <c r="AG2723" s="1">
        <v>0</v>
      </c>
      <c r="AH2723" s="1">
        <f ca="1">IFERROR(__xludf.DUMMYFUNCTION("IFERROR(GOOGLEFINANCE(TRIM(F2723)&amp;"":"" &amp; TRIM(B2723),""low52""),AE2723)"),0)</f>
        <v>0</v>
      </c>
      <c r="AI2723" s="1">
        <f ca="1">IFERROR(__xludf.DUMMYFUNCTION("IFERROR(GOOGLEFINANCE(B2723,""eps""),0)"),0)</f>
        <v>0</v>
      </c>
      <c r="AJ2723" s="1"/>
      <c r="AK2723" s="1" t="s">
        <v>8440</v>
      </c>
      <c r="AL2723" s="9">
        <f t="shared" si="267"/>
        <v>1</v>
      </c>
    </row>
    <row r="2724" spans="1:38" ht="15" x14ac:dyDescent="0.25">
      <c r="A2724" s="1" t="s">
        <v>8441</v>
      </c>
      <c r="B2724" s="1" t="s">
        <v>8442</v>
      </c>
      <c r="C2724" s="1" t="s">
        <v>57</v>
      </c>
      <c r="D2724" s="1" t="s">
        <v>57</v>
      </c>
      <c r="E2724" s="6">
        <v>46.71</v>
      </c>
      <c r="F2724" s="1" t="s">
        <v>53</v>
      </c>
      <c r="G2724" s="6">
        <f ca="1">IFERROR(__xludf.DUMMYFUNCTION("iferror(GOOGLEFINANCE(TRIM(F2724)&amp;"":"" &amp; TRIM(B2724), ""price""),0
)"),0)</f>
        <v>0</v>
      </c>
      <c r="H2724" s="6">
        <v>8.85</v>
      </c>
      <c r="I2724" s="6">
        <f t="shared" ca="1" si="0"/>
        <v>8.85</v>
      </c>
      <c r="J2724" s="6">
        <f ca="1">IFERROR(__xludf.DUMMYFUNCTION("IFERROR(GOOGLEFINANCE(B2724, ""volume""), 0)"),0)</f>
        <v>0</v>
      </c>
      <c r="K2724" s="6">
        <v>-0.45</v>
      </c>
      <c r="L2724" s="6">
        <f ca="1">IFERROR(__xludf.DUMMYFUNCTION("IFERROR(GOOGLEFINANCE(B2724,""changepct""),K2724)"),-0.45)</f>
        <v>-0.45</v>
      </c>
      <c r="M2724" s="6">
        <f ca="1">IFERROR(__xludf.DUMMYFUNCTION("IFERROR(GOOGLEFINANCE(B2724,""change""),0)"),0)</f>
        <v>0</v>
      </c>
      <c r="N2724" s="6">
        <v>2</v>
      </c>
      <c r="O2724" s="7">
        <v>45536</v>
      </c>
      <c r="P2724" s="6">
        <v>4.62</v>
      </c>
      <c r="Q2724" s="6">
        <v>50.74</v>
      </c>
      <c r="R2724" s="7">
        <v>45536</v>
      </c>
      <c r="S2724" s="6">
        <v>7.69</v>
      </c>
      <c r="T2724" s="6">
        <v>-2.1800000000000002</v>
      </c>
      <c r="U2724" s="7">
        <v>45536</v>
      </c>
      <c r="V2724" s="6">
        <v>0</v>
      </c>
      <c r="W2724" s="6">
        <f ca="1">IFERROR(__xludf.DUMMYFUNCTION("IFERROR(GOOGLEFINANCE(B2724,""pe""),V2724)"),0)</f>
        <v>0</v>
      </c>
      <c r="X2724" s="9"/>
      <c r="Y2724" s="6">
        <v>2.73</v>
      </c>
      <c r="Z2724" s="6">
        <v>2</v>
      </c>
      <c r="AA2724" s="8">
        <v>45352</v>
      </c>
      <c r="AB2724" s="4">
        <v>0.04</v>
      </c>
      <c r="AC2724" s="6">
        <v>-20.29</v>
      </c>
      <c r="AD2724" s="6">
        <v>-8.09</v>
      </c>
      <c r="AE2724" s="1">
        <v>0</v>
      </c>
      <c r="AF2724" s="1">
        <f ca="1">IFERROR(__xludf.DUMMYFUNCTION("IFERROR(GOOGLEFINANCE(TRIM(F2724)&amp;"":"" &amp; TRIM(B2724),""high52""),AE2724)"),0)</f>
        <v>0</v>
      </c>
      <c r="AG2724" s="1">
        <v>0</v>
      </c>
      <c r="AH2724" s="1">
        <f ca="1">IFERROR(__xludf.DUMMYFUNCTION("IFERROR(GOOGLEFINANCE(TRIM(F2724)&amp;"":"" &amp; TRIM(B2724),""low52""),AE2724)"),0)</f>
        <v>0</v>
      </c>
      <c r="AI2724" s="1">
        <f ca="1">IFERROR(__xludf.DUMMYFUNCTION("IFERROR(GOOGLEFINANCE(B2724,""eps""),0)"),0)</f>
        <v>0</v>
      </c>
      <c r="AJ2724" s="1"/>
      <c r="AK2724" s="1" t="s">
        <v>8443</v>
      </c>
      <c r="AL2724" s="9">
        <f t="shared" si="267"/>
        <v>1</v>
      </c>
    </row>
    <row r="2725" spans="1:38" ht="15" x14ac:dyDescent="0.25">
      <c r="A2725" s="1" t="s">
        <v>8444</v>
      </c>
      <c r="B2725" s="1" t="s">
        <v>8445</v>
      </c>
      <c r="C2725" s="1" t="s">
        <v>57</v>
      </c>
      <c r="D2725" s="1" t="s">
        <v>57</v>
      </c>
      <c r="E2725" s="6">
        <v>10.37</v>
      </c>
      <c r="F2725" s="1" t="s">
        <v>53</v>
      </c>
      <c r="G2725" s="6">
        <f ca="1">IFERROR(__xludf.DUMMYFUNCTION("iferror(GOOGLEFINANCE(TRIM(F2725)&amp;"":"" &amp; TRIM(B2725), ""price""),0
)"),0)</f>
        <v>0</v>
      </c>
      <c r="H2725" s="6">
        <v>6.56</v>
      </c>
      <c r="I2725" s="6">
        <f t="shared" ca="1" si="0"/>
        <v>6.56</v>
      </c>
      <c r="J2725" s="6">
        <f ca="1">IFERROR(__xludf.DUMMYFUNCTION("IFERROR(GOOGLEFINANCE(B2725, ""volume""), 0)"),597515)</f>
        <v>597515</v>
      </c>
      <c r="K2725" s="6">
        <v>-1.94</v>
      </c>
      <c r="L2725" s="6">
        <f ca="1">IFERROR(__xludf.DUMMYFUNCTION("IFERROR(GOOGLEFINANCE(B2725,""changepct""),K2725)"),-6.67)</f>
        <v>-6.67</v>
      </c>
      <c r="M2725" s="6">
        <f ca="1">IFERROR(__xludf.DUMMYFUNCTION("IFERROR(GOOGLEFINANCE(B2725,""change""),0)"),-0.17)</f>
        <v>-0.17</v>
      </c>
      <c r="N2725" s="6">
        <v>1</v>
      </c>
      <c r="O2725" s="7">
        <v>45536</v>
      </c>
      <c r="P2725" s="9"/>
      <c r="Q2725" s="6">
        <v>10.37</v>
      </c>
      <c r="R2725" s="7">
        <v>45536</v>
      </c>
      <c r="S2725" s="6">
        <v>0</v>
      </c>
      <c r="T2725" s="6">
        <v>7.0000000000000007E-2</v>
      </c>
      <c r="U2725" s="7">
        <v>45536</v>
      </c>
      <c r="V2725" s="6">
        <v>159.53</v>
      </c>
      <c r="W2725" s="6">
        <f ca="1">IFERROR(__xludf.DUMMYFUNCTION("IFERROR(GOOGLEFINANCE(B2725,""pe""),V2725)"),159.53)</f>
        <v>159.53</v>
      </c>
      <c r="X2725" s="6">
        <v>5.05</v>
      </c>
      <c r="Y2725" s="6">
        <v>0.34</v>
      </c>
      <c r="Z2725" s="6">
        <v>1</v>
      </c>
      <c r="AA2725" s="8">
        <v>45352</v>
      </c>
      <c r="AB2725" s="4">
        <v>0</v>
      </c>
      <c r="AC2725" s="6">
        <v>0.03</v>
      </c>
      <c r="AD2725" s="6">
        <v>0.11</v>
      </c>
      <c r="AE2725" s="1">
        <v>0</v>
      </c>
      <c r="AF2725" s="1">
        <f ca="1">IFERROR(__xludf.DUMMYFUNCTION("IFERROR(GOOGLEFINANCE(TRIM(F2725)&amp;"":"" &amp; TRIM(B2725),""high52""),AE2725)"),0)</f>
        <v>0</v>
      </c>
      <c r="AG2725" s="1">
        <v>0</v>
      </c>
      <c r="AH2725" s="1">
        <f ca="1">IFERROR(__xludf.DUMMYFUNCTION("IFERROR(GOOGLEFINANCE(TRIM(F2725)&amp;"":"" &amp; TRIM(B2725),""low52""),AE2725)"),0)</f>
        <v>0</v>
      </c>
      <c r="AI2725" s="1">
        <f ca="1">IFERROR(__xludf.DUMMYFUNCTION("IFERROR(GOOGLEFINANCE(B2725,""eps""),0)"),-0.19)</f>
        <v>-0.19</v>
      </c>
      <c r="AJ2725" s="1"/>
      <c r="AK2725" s="1" t="s">
        <v>8446</v>
      </c>
      <c r="AL2725" s="9">
        <f t="shared" si="267"/>
        <v>1</v>
      </c>
    </row>
    <row r="2726" spans="1:38" ht="15" x14ac:dyDescent="0.25">
      <c r="A2726" s="1" t="s">
        <v>8447</v>
      </c>
      <c r="B2726" s="1" t="s">
        <v>8448</v>
      </c>
      <c r="C2726" s="1" t="s">
        <v>57</v>
      </c>
      <c r="D2726" s="1" t="s">
        <v>57</v>
      </c>
      <c r="E2726" s="6">
        <v>148.35</v>
      </c>
      <c r="F2726" s="1" t="s">
        <v>53</v>
      </c>
      <c r="G2726" s="6">
        <f ca="1">IFERROR(__xludf.DUMMYFUNCTION("iferror(GOOGLEFINANCE(TRIM(F2726)&amp;"":"" &amp; TRIM(B2726), ""price""),0
)"),0)</f>
        <v>0</v>
      </c>
      <c r="H2726" s="6">
        <v>64.989999999999995</v>
      </c>
      <c r="I2726" s="6">
        <f t="shared" ca="1" si="0"/>
        <v>64.989999999999995</v>
      </c>
      <c r="J2726" s="6">
        <f ca="1">IFERROR(__xludf.DUMMYFUNCTION("IFERROR(GOOGLEFINANCE(B2726, ""volume""), 0)"),0)</f>
        <v>0</v>
      </c>
      <c r="K2726" s="6">
        <v>0.43</v>
      </c>
      <c r="L2726" s="6">
        <f ca="1">IFERROR(__xludf.DUMMYFUNCTION("IFERROR(GOOGLEFINANCE(B2726,""changepct""),K2726)"),0.43)</f>
        <v>0.43</v>
      </c>
      <c r="M2726" s="6">
        <f ca="1">IFERROR(__xludf.DUMMYFUNCTION("IFERROR(GOOGLEFINANCE(B2726,""change""),0)"),0)</f>
        <v>0</v>
      </c>
      <c r="N2726" s="6">
        <v>2</v>
      </c>
      <c r="O2726" s="7">
        <v>45536</v>
      </c>
      <c r="P2726" s="6">
        <v>3.52</v>
      </c>
      <c r="Q2726" s="6">
        <v>145.79</v>
      </c>
      <c r="R2726" s="7">
        <v>45536</v>
      </c>
      <c r="S2726" s="6">
        <v>86.14</v>
      </c>
      <c r="T2726" s="6">
        <v>8.06</v>
      </c>
      <c r="U2726" s="7">
        <v>45536</v>
      </c>
      <c r="V2726" s="6">
        <v>18.399999999999999</v>
      </c>
      <c r="W2726" s="6">
        <f ca="1">IFERROR(__xludf.DUMMYFUNCTION("IFERROR(GOOGLEFINANCE(B2726,""pe""),V2726)"),18.4)</f>
        <v>18.399999999999999</v>
      </c>
      <c r="X2726" s="6">
        <v>-3.99</v>
      </c>
      <c r="Y2726" s="6">
        <v>1.07</v>
      </c>
      <c r="Z2726" s="6">
        <v>2</v>
      </c>
      <c r="AA2726" s="8">
        <v>45352</v>
      </c>
      <c r="AB2726" s="4">
        <v>0.02</v>
      </c>
      <c r="AC2726" s="6">
        <v>6.11</v>
      </c>
      <c r="AD2726" s="6">
        <v>7.58</v>
      </c>
      <c r="AE2726" s="1">
        <v>0</v>
      </c>
      <c r="AF2726" s="1">
        <f ca="1">IFERROR(__xludf.DUMMYFUNCTION("IFERROR(GOOGLEFINANCE(TRIM(F2726)&amp;"":"" &amp; TRIM(B2726),""high52""),AE2726)"),0)</f>
        <v>0</v>
      </c>
      <c r="AG2726" s="1">
        <v>0</v>
      </c>
      <c r="AH2726" s="1">
        <f ca="1">IFERROR(__xludf.DUMMYFUNCTION("IFERROR(GOOGLEFINANCE(TRIM(F2726)&amp;"":"" &amp; TRIM(B2726),""low52""),AE2726)"),0)</f>
        <v>0</v>
      </c>
      <c r="AI2726" s="1">
        <f ca="1">IFERROR(__xludf.DUMMYFUNCTION("IFERROR(GOOGLEFINANCE(B2726,""eps""),0)"),0)</f>
        <v>0</v>
      </c>
      <c r="AJ2726" s="1"/>
      <c r="AK2726" s="1" t="s">
        <v>8449</v>
      </c>
      <c r="AL2726" s="9">
        <f t="shared" si="267"/>
        <v>1</v>
      </c>
    </row>
    <row r="2727" spans="1:38" ht="15" x14ac:dyDescent="0.25">
      <c r="A2727" s="1" t="s">
        <v>8450</v>
      </c>
      <c r="B2727" s="1" t="s">
        <v>8451</v>
      </c>
      <c r="C2727" s="1" t="s">
        <v>57</v>
      </c>
      <c r="D2727" s="1" t="s">
        <v>57</v>
      </c>
      <c r="E2727" s="6">
        <v>8.0399999999999991</v>
      </c>
      <c r="F2727" s="1" t="s">
        <v>53</v>
      </c>
      <c r="G2727" s="6">
        <f ca="1">IFERROR(__xludf.DUMMYFUNCTION("iferror(GOOGLEFINANCE(TRIM(F2727)&amp;"":"" &amp; TRIM(B2727), ""price""),0
)"),0)</f>
        <v>0</v>
      </c>
      <c r="H2727" s="6">
        <v>7.12</v>
      </c>
      <c r="I2727" s="6">
        <f t="shared" ca="1" si="0"/>
        <v>7.12</v>
      </c>
      <c r="J2727" s="6">
        <f ca="1">IFERROR(__xludf.DUMMYFUNCTION("IFERROR(GOOGLEFINANCE(B2727, ""volume""), 0)"),0)</f>
        <v>0</v>
      </c>
      <c r="K2727" s="6">
        <v>-6.93</v>
      </c>
      <c r="L2727" s="6">
        <f ca="1">IFERROR(__xludf.DUMMYFUNCTION("IFERROR(GOOGLEFINANCE(B2727,""changepct""),K2727)"),-6.93)</f>
        <v>-6.93</v>
      </c>
      <c r="M2727" s="6">
        <f ca="1">IFERROR(__xludf.DUMMYFUNCTION("IFERROR(GOOGLEFINANCE(B2727,""change""),0)"),0)</f>
        <v>0</v>
      </c>
      <c r="N2727" s="6">
        <v>1</v>
      </c>
      <c r="O2727" s="7">
        <v>45536</v>
      </c>
      <c r="P2727" s="6">
        <v>25.56</v>
      </c>
      <c r="Q2727" s="6">
        <v>33.6</v>
      </c>
      <c r="R2727" s="7">
        <v>45536</v>
      </c>
      <c r="S2727" s="6">
        <v>42.62</v>
      </c>
      <c r="T2727" s="6">
        <v>-0.2</v>
      </c>
      <c r="U2727" s="7">
        <v>45536</v>
      </c>
      <c r="V2727" s="6">
        <v>0</v>
      </c>
      <c r="W2727" s="6">
        <f ca="1">IFERROR(__xludf.DUMMYFUNCTION("IFERROR(GOOGLEFINANCE(B2727,""pe""),V2727)"),0)</f>
        <v>0</v>
      </c>
      <c r="X2727" s="6">
        <v>0</v>
      </c>
      <c r="Y2727" s="6">
        <v>-25.25</v>
      </c>
      <c r="Z2727" s="6">
        <v>1</v>
      </c>
      <c r="AA2727" s="8">
        <v>45352</v>
      </c>
      <c r="AB2727" s="4">
        <v>3.09</v>
      </c>
      <c r="AC2727" s="6">
        <v>34.590000000000003</v>
      </c>
      <c r="AD2727" s="6">
        <v>10.53</v>
      </c>
      <c r="AE2727" s="1">
        <v>0</v>
      </c>
      <c r="AF2727" s="1">
        <f ca="1">IFERROR(__xludf.DUMMYFUNCTION("IFERROR(GOOGLEFINANCE(TRIM(F2727)&amp;"":"" &amp; TRIM(B2727),""high52""),AE2727)"),0)</f>
        <v>0</v>
      </c>
      <c r="AG2727" s="1">
        <v>0</v>
      </c>
      <c r="AH2727" s="1">
        <f ca="1">IFERROR(__xludf.DUMMYFUNCTION("IFERROR(GOOGLEFINANCE(TRIM(F2727)&amp;"":"" &amp; TRIM(B2727),""low52""),AE2727)"),0)</f>
        <v>0</v>
      </c>
      <c r="AI2727" s="1">
        <f ca="1">IFERROR(__xludf.DUMMYFUNCTION("IFERROR(GOOGLEFINANCE(B2727,""eps""),0)"),0)</f>
        <v>0</v>
      </c>
      <c r="AJ2727" s="1"/>
      <c r="AK2727" s="1" t="s">
        <v>8452</v>
      </c>
      <c r="AL2727" s="9">
        <f t="shared" si="267"/>
        <v>1</v>
      </c>
    </row>
    <row r="2728" spans="1:38" ht="15" x14ac:dyDescent="0.25">
      <c r="A2728" s="1" t="s">
        <v>8453</v>
      </c>
      <c r="B2728" s="1" t="s">
        <v>8454</v>
      </c>
      <c r="C2728" s="1" t="s">
        <v>208</v>
      </c>
      <c r="D2728" s="1" t="s">
        <v>208</v>
      </c>
      <c r="E2728" s="6">
        <v>3580.2</v>
      </c>
      <c r="F2728" s="1" t="s">
        <v>40</v>
      </c>
      <c r="G2728" s="6">
        <f ca="1">IFERROR(__xludf.DUMMYFUNCTION("iferror(GOOGLEFINANCE(TRIM(F2728)&amp;"":"" &amp; TRIM(B2728), ""price""),0
)"),243)</f>
        <v>243</v>
      </c>
      <c r="H2728" s="6">
        <v>232.23</v>
      </c>
      <c r="I2728" s="6">
        <f t="shared" ca="1" si="0"/>
        <v>243</v>
      </c>
      <c r="J2728" s="6">
        <f ca="1">IFERROR(__xludf.DUMMYFUNCTION("IFERROR(GOOGLEFINANCE(B2728, ""volume""), 0)"),2760348)</f>
        <v>2760348</v>
      </c>
      <c r="K2728" s="6">
        <v>4.6900000000000004</v>
      </c>
      <c r="L2728" s="6">
        <f ca="1">IFERROR(__xludf.DUMMYFUNCTION("IFERROR(GOOGLEFINANCE(B2728,""changepct""),K2728)"),-5.02)</f>
        <v>-5.0199999999999996</v>
      </c>
      <c r="M2728" s="6">
        <f ca="1">IFERROR(__xludf.DUMMYFUNCTION("IFERROR(GOOGLEFINANCE(B2728,""change""),0)"),-12.85)</f>
        <v>-12.85</v>
      </c>
      <c r="N2728" s="6">
        <v>2</v>
      </c>
      <c r="O2728" s="14"/>
      <c r="P2728" s="9"/>
      <c r="Q2728" s="7">
        <v>45352</v>
      </c>
      <c r="R2728" s="6">
        <v>11.61</v>
      </c>
      <c r="S2728" s="9"/>
      <c r="T2728" s="6">
        <v>1.08</v>
      </c>
      <c r="U2728" s="6">
        <v>2</v>
      </c>
      <c r="V2728" s="7">
        <v>45352</v>
      </c>
      <c r="W2728" s="6">
        <f ca="1">IFERROR(__xludf.DUMMYFUNCTION("IFERROR(GOOGLEFINANCE(B2728,""pe""),V2728)"),13.8)</f>
        <v>13.8</v>
      </c>
      <c r="X2728" s="6">
        <v>3.96</v>
      </c>
      <c r="Y2728" s="6">
        <v>15.67</v>
      </c>
      <c r="Z2728" s="6">
        <v>11.3</v>
      </c>
      <c r="AA2728" s="3" t="s">
        <v>8455</v>
      </c>
      <c r="AB2728" s="3"/>
      <c r="AC2728" s="12"/>
      <c r="AD2728" s="12"/>
      <c r="AE2728" s="1">
        <v>0</v>
      </c>
      <c r="AF2728" s="1">
        <f ca="1">IFERROR(__xludf.DUMMYFUNCTION("IFERROR(GOOGLEFINANCE(TRIM(F2728)&amp;"":"" &amp; TRIM(B2728),""high52""),AE2728)"),290)</f>
        <v>290</v>
      </c>
      <c r="AG2728" s="1">
        <v>0</v>
      </c>
      <c r="AH2728" s="1">
        <f ca="1">IFERROR(__xludf.DUMMYFUNCTION("IFERROR(GOOGLEFINANCE(TRIM(F2728)&amp;"":"" &amp; TRIM(B2728),""low52""),AE2728)"),141.47)</f>
        <v>141.47</v>
      </c>
      <c r="AI2728" s="1">
        <f ca="1">IFERROR(__xludf.DUMMYFUNCTION("IFERROR(GOOGLEFINANCE(B2728,""eps""),0)"),17.61)</f>
        <v>17.61</v>
      </c>
      <c r="AJ2728" s="1"/>
      <c r="AK2728" s="1" t="s">
        <v>8456</v>
      </c>
      <c r="AL2728" s="9">
        <f t="shared" si="267"/>
        <v>1</v>
      </c>
    </row>
    <row r="2729" spans="1:38" ht="15" x14ac:dyDescent="0.25">
      <c r="A2729" s="1" t="s">
        <v>8457</v>
      </c>
      <c r="B2729" s="1" t="s">
        <v>8458</v>
      </c>
      <c r="C2729" s="1" t="s">
        <v>697</v>
      </c>
      <c r="D2729" s="1" t="s">
        <v>697</v>
      </c>
      <c r="E2729" s="6">
        <v>581.86</v>
      </c>
      <c r="F2729" s="1" t="s">
        <v>40</v>
      </c>
      <c r="G2729" s="6">
        <f ca="1">IFERROR(__xludf.DUMMYFUNCTION("iferror(GOOGLEFINANCE(TRIM(F2729)&amp;"":"" &amp; TRIM(B2729), ""price""),0
)"),34.99)</f>
        <v>34.99</v>
      </c>
      <c r="H2729" s="6">
        <v>63.18</v>
      </c>
      <c r="I2729" s="6">
        <f t="shared" ca="1" si="0"/>
        <v>34.99</v>
      </c>
      <c r="J2729" s="6">
        <f ca="1">IFERROR(__xludf.DUMMYFUNCTION("IFERROR(GOOGLEFINANCE(B2729, ""volume""), 0)"),144880)</f>
        <v>144880</v>
      </c>
      <c r="K2729" s="6">
        <v>0.53</v>
      </c>
      <c r="L2729" s="6">
        <f ca="1">IFERROR(__xludf.DUMMYFUNCTION("IFERROR(GOOGLEFINANCE(B2729,""changepct""),K2729)"),1.24)</f>
        <v>1.24</v>
      </c>
      <c r="M2729" s="6">
        <f ca="1">IFERROR(__xludf.DUMMYFUNCTION("IFERROR(GOOGLEFINANCE(B2729,""change""),0)"),0.43)</f>
        <v>0.43</v>
      </c>
      <c r="N2729" s="6">
        <v>2</v>
      </c>
      <c r="O2729" s="7">
        <v>45536</v>
      </c>
      <c r="P2729" s="6">
        <v>56.26</v>
      </c>
      <c r="Q2729" s="6">
        <v>589.30999999999995</v>
      </c>
      <c r="R2729" s="7">
        <v>45536</v>
      </c>
      <c r="S2729" s="6">
        <v>273.86</v>
      </c>
      <c r="T2729" s="6">
        <v>28.98</v>
      </c>
      <c r="U2729" s="7">
        <v>45536</v>
      </c>
      <c r="V2729" s="6">
        <v>20.079999999999998</v>
      </c>
      <c r="W2729" s="6">
        <f ca="1">IFERROR(__xludf.DUMMYFUNCTION("IFERROR(GOOGLEFINANCE(B2729,""pe""),V2729)"),12.03)</f>
        <v>12.03</v>
      </c>
      <c r="X2729" s="12"/>
      <c r="Y2729" s="6">
        <v>2.84</v>
      </c>
      <c r="Z2729" s="6">
        <v>2</v>
      </c>
      <c r="AA2729" s="8">
        <v>45352</v>
      </c>
      <c r="AB2729" s="4">
        <v>0.32</v>
      </c>
      <c r="AC2729" s="6">
        <v>22.03</v>
      </c>
      <c r="AD2729" s="6">
        <v>21.79</v>
      </c>
      <c r="AE2729" s="1">
        <v>0</v>
      </c>
      <c r="AF2729" s="1">
        <f ca="1">IFERROR(__xludf.DUMMYFUNCTION("IFERROR(GOOGLEFINANCE(TRIM(F2729)&amp;"":"" &amp; TRIM(B2729),""high52""),AE2729)"),64.68)</f>
        <v>64.680000000000007</v>
      </c>
      <c r="AG2729" s="1">
        <v>0</v>
      </c>
      <c r="AH2729" s="1">
        <f ca="1">IFERROR(__xludf.DUMMYFUNCTION("IFERROR(GOOGLEFINANCE(TRIM(F2729)&amp;"":"" &amp; TRIM(B2729),""low52""),AE2729)"),32)</f>
        <v>32</v>
      </c>
      <c r="AI2729" s="1">
        <f ca="1">IFERROR(__xludf.DUMMYFUNCTION("IFERROR(GOOGLEFINANCE(B2729,""eps""),0)"),2.91)</f>
        <v>2.91</v>
      </c>
      <c r="AJ2729" s="1"/>
      <c r="AK2729" s="1" t="s">
        <v>8459</v>
      </c>
      <c r="AL2729" s="9">
        <f t="shared" si="267"/>
        <v>1</v>
      </c>
    </row>
    <row r="2730" spans="1:38" ht="15" x14ac:dyDescent="0.25">
      <c r="A2730" s="1" t="s">
        <v>8460</v>
      </c>
      <c r="B2730" s="1" t="s">
        <v>8461</v>
      </c>
      <c r="C2730" s="1" t="s">
        <v>57</v>
      </c>
      <c r="D2730" s="1" t="s">
        <v>57</v>
      </c>
      <c r="E2730" s="6">
        <v>131.66</v>
      </c>
      <c r="F2730" s="1" t="s">
        <v>53</v>
      </c>
      <c r="G2730" s="6">
        <f ca="1">IFERROR(__xludf.DUMMYFUNCTION("iferror(GOOGLEFINANCE(TRIM(F2730)&amp;"":"" &amp; TRIM(B2730), ""price""),0
)"),0)</f>
        <v>0</v>
      </c>
      <c r="H2730" s="6">
        <v>36.5</v>
      </c>
      <c r="I2730" s="6">
        <f t="shared" ca="1" si="0"/>
        <v>36.5</v>
      </c>
      <c r="J2730" s="6">
        <f ca="1">IFERROR(__xludf.DUMMYFUNCTION("IFERROR(GOOGLEFINANCE(B2730, ""volume""), 0)"),0)</f>
        <v>0</v>
      </c>
      <c r="K2730" s="6">
        <v>1.93</v>
      </c>
      <c r="L2730" s="6">
        <f ca="1">IFERROR(__xludf.DUMMYFUNCTION("IFERROR(GOOGLEFINANCE(B2730,""changepct""),K2730)"),1.93)</f>
        <v>1.93</v>
      </c>
      <c r="M2730" s="6">
        <f ca="1">IFERROR(__xludf.DUMMYFUNCTION("IFERROR(GOOGLEFINANCE(B2730,""change""),0)"),0)</f>
        <v>0</v>
      </c>
      <c r="N2730" s="6">
        <v>1</v>
      </c>
      <c r="O2730" s="7">
        <v>45536</v>
      </c>
      <c r="P2730" s="6">
        <v>18.41</v>
      </c>
      <c r="Q2730" s="6">
        <v>128.29</v>
      </c>
      <c r="R2730" s="7">
        <v>45536</v>
      </c>
      <c r="S2730" s="6">
        <v>66.97</v>
      </c>
      <c r="T2730" s="6">
        <v>4.41</v>
      </c>
      <c r="U2730" s="7">
        <v>45536</v>
      </c>
      <c r="V2730" s="6">
        <v>29.88</v>
      </c>
      <c r="W2730" s="6">
        <f ca="1">IFERROR(__xludf.DUMMYFUNCTION("IFERROR(GOOGLEFINANCE(B2730,""pe""),V2730)"),29.88)</f>
        <v>29.88</v>
      </c>
      <c r="X2730" s="6">
        <v>0.35</v>
      </c>
      <c r="Y2730" s="6">
        <v>2.16</v>
      </c>
      <c r="Z2730" s="6">
        <v>1</v>
      </c>
      <c r="AA2730" s="8">
        <v>45352</v>
      </c>
      <c r="AB2730" s="4">
        <v>0.2</v>
      </c>
      <c r="AC2730" s="6">
        <v>6.64</v>
      </c>
      <c r="AD2730" s="6">
        <v>9.39</v>
      </c>
      <c r="AE2730" s="1">
        <v>0</v>
      </c>
      <c r="AF2730" s="1">
        <f ca="1">IFERROR(__xludf.DUMMYFUNCTION("IFERROR(GOOGLEFINANCE(TRIM(F2730)&amp;"":"" &amp; TRIM(B2730),""high52""),AE2730)"),0)</f>
        <v>0</v>
      </c>
      <c r="AG2730" s="1">
        <v>0</v>
      </c>
      <c r="AH2730" s="1">
        <f ca="1">IFERROR(__xludf.DUMMYFUNCTION("IFERROR(GOOGLEFINANCE(TRIM(F2730)&amp;"":"" &amp; TRIM(B2730),""low52""),AE2730)"),0)</f>
        <v>0</v>
      </c>
      <c r="AI2730" s="1">
        <f ca="1">IFERROR(__xludf.DUMMYFUNCTION("IFERROR(GOOGLEFINANCE(B2730,""eps""),0)"),0)</f>
        <v>0</v>
      </c>
      <c r="AJ2730" s="1"/>
      <c r="AK2730" s="1" t="s">
        <v>8462</v>
      </c>
      <c r="AL2730" s="9">
        <f t="shared" si="267"/>
        <v>1</v>
      </c>
    </row>
    <row r="2731" spans="1:38" ht="15" x14ac:dyDescent="0.25">
      <c r="A2731" s="1" t="s">
        <v>8463</v>
      </c>
      <c r="B2731" s="1" t="s">
        <v>8464</v>
      </c>
      <c r="C2731" s="1" t="s">
        <v>373</v>
      </c>
      <c r="D2731" s="1" t="s">
        <v>373</v>
      </c>
      <c r="E2731" s="6">
        <v>614.39</v>
      </c>
      <c r="F2731" s="1" t="s">
        <v>40</v>
      </c>
      <c r="G2731" s="6">
        <f ca="1">IFERROR(__xludf.DUMMYFUNCTION("iferror(GOOGLEFINANCE(TRIM(F2731)&amp;"":"" &amp; TRIM(B2731), ""price""),0
)"),443.05)</f>
        <v>443.05</v>
      </c>
      <c r="H2731" s="6">
        <v>360.55</v>
      </c>
      <c r="I2731" s="6">
        <f t="shared" ca="1" si="0"/>
        <v>443.05</v>
      </c>
      <c r="J2731" s="6">
        <f ca="1">IFERROR(__xludf.DUMMYFUNCTION("IFERROR(GOOGLEFINANCE(B2731, ""volume""), 0)"),4878)</f>
        <v>4878</v>
      </c>
      <c r="K2731" s="6">
        <v>0</v>
      </c>
      <c r="L2731" s="6">
        <f ca="1">IFERROR(__xludf.DUMMYFUNCTION("IFERROR(GOOGLEFINANCE(B2731,""changepct""),K2731)"),1.56)</f>
        <v>1.56</v>
      </c>
      <c r="M2731" s="6">
        <f ca="1">IFERROR(__xludf.DUMMYFUNCTION("IFERROR(GOOGLEFINANCE(B2731,""change""),0)"),6.8)</f>
        <v>6.8</v>
      </c>
      <c r="N2731" s="6">
        <v>1</v>
      </c>
      <c r="O2731" s="7">
        <v>45536</v>
      </c>
      <c r="P2731" s="6">
        <v>668.8</v>
      </c>
      <c r="Q2731" s="6">
        <v>1273.33</v>
      </c>
      <c r="R2731" s="7">
        <v>45536</v>
      </c>
      <c r="S2731" s="6">
        <v>1358.19</v>
      </c>
      <c r="T2731" s="6">
        <v>58.84</v>
      </c>
      <c r="U2731" s="7">
        <v>45536</v>
      </c>
      <c r="V2731" s="6">
        <v>10.44</v>
      </c>
      <c r="W2731" s="6">
        <f ca="1">IFERROR(__xludf.DUMMYFUNCTION("IFERROR(GOOGLEFINANCE(B2731,""pe""),V2731)"),35.95)</f>
        <v>35.950000000000003</v>
      </c>
      <c r="X2731" s="6">
        <v>1.8</v>
      </c>
      <c r="Y2731" s="6">
        <v>0.8</v>
      </c>
      <c r="Z2731" s="6">
        <v>1</v>
      </c>
      <c r="AA2731" s="8">
        <v>45352</v>
      </c>
      <c r="AB2731" s="4">
        <v>0.73</v>
      </c>
      <c r="AC2731" s="6">
        <v>17.98</v>
      </c>
      <c r="AD2731" s="6">
        <v>14.23</v>
      </c>
      <c r="AE2731" s="1">
        <v>0</v>
      </c>
      <c r="AF2731" s="1">
        <f ca="1">IFERROR(__xludf.DUMMYFUNCTION("IFERROR(GOOGLEFINANCE(TRIM(F2731)&amp;"":"" &amp; TRIM(B2731),""high52""),AE2731)"),514)</f>
        <v>514</v>
      </c>
      <c r="AG2731" s="1">
        <v>0</v>
      </c>
      <c r="AH2731" s="1">
        <f ca="1">IFERROR(__xludf.DUMMYFUNCTION("IFERROR(GOOGLEFINANCE(TRIM(F2731)&amp;"":"" &amp; TRIM(B2731),""low52""),AE2731)"),205.75)</f>
        <v>205.75</v>
      </c>
      <c r="AI2731" s="1">
        <f ca="1">IFERROR(__xludf.DUMMYFUNCTION("IFERROR(GOOGLEFINANCE(B2731,""eps""),0)"),12.32)</f>
        <v>12.32</v>
      </c>
      <c r="AJ2731" s="1"/>
      <c r="AK2731" s="1" t="s">
        <v>8465</v>
      </c>
      <c r="AL2731" s="9">
        <f t="shared" si="267"/>
        <v>1</v>
      </c>
    </row>
    <row r="2732" spans="1:38" ht="15" x14ac:dyDescent="0.25">
      <c r="A2732" s="1" t="s">
        <v>8466</v>
      </c>
      <c r="B2732" s="1" t="s">
        <v>8467</v>
      </c>
      <c r="C2732" s="1" t="s">
        <v>907</v>
      </c>
      <c r="D2732" s="1" t="s">
        <v>907</v>
      </c>
      <c r="E2732" s="6">
        <v>2787.01</v>
      </c>
      <c r="F2732" s="1" t="s">
        <v>40</v>
      </c>
      <c r="G2732" s="6">
        <f ca="1">IFERROR(__xludf.DUMMYFUNCTION("iferror(GOOGLEFINANCE(TRIM(F2732)&amp;"":"" &amp; TRIM(B2732), ""price""),0
)"),252.65)</f>
        <v>252.65</v>
      </c>
      <c r="H2732" s="6">
        <v>289.95</v>
      </c>
      <c r="I2732" s="6">
        <f t="shared" ca="1" si="0"/>
        <v>252.65</v>
      </c>
      <c r="J2732" s="6">
        <f ca="1">IFERROR(__xludf.DUMMYFUNCTION("IFERROR(GOOGLEFINANCE(B2732, ""volume""), 0)"),107016)</f>
        <v>107016</v>
      </c>
      <c r="K2732" s="6">
        <v>0.9</v>
      </c>
      <c r="L2732" s="6">
        <f ca="1">IFERROR(__xludf.DUMMYFUNCTION("IFERROR(GOOGLEFINANCE(B2732,""changepct""),K2732)"),-0.1)</f>
        <v>-0.1</v>
      </c>
      <c r="M2732" s="6">
        <f ca="1">IFERROR(__xludf.DUMMYFUNCTION("IFERROR(GOOGLEFINANCE(B2732,""change""),0)"),-0.25)</f>
        <v>-0.25</v>
      </c>
      <c r="N2732" s="6">
        <v>2</v>
      </c>
      <c r="O2732" s="7">
        <v>45536</v>
      </c>
      <c r="P2732" s="6">
        <v>145.43</v>
      </c>
      <c r="Q2732" s="6">
        <v>2863.21</v>
      </c>
      <c r="R2732" s="7">
        <v>45536</v>
      </c>
      <c r="S2732" s="6">
        <v>1133.82</v>
      </c>
      <c r="T2732" s="6">
        <v>259.45</v>
      </c>
      <c r="U2732" s="7">
        <v>45536</v>
      </c>
      <c r="V2732" s="6">
        <v>10.84</v>
      </c>
      <c r="W2732" s="6">
        <f ca="1">IFERROR(__xludf.DUMMYFUNCTION("IFERROR(GOOGLEFINANCE(B2732,""pe""),V2732)"),26.64)</f>
        <v>26.64</v>
      </c>
      <c r="X2732" s="6">
        <v>-98.58</v>
      </c>
      <c r="Y2732" s="6">
        <v>2.99</v>
      </c>
      <c r="Z2732" s="6">
        <v>2</v>
      </c>
      <c r="AA2732" s="8">
        <v>45352</v>
      </c>
      <c r="AB2732" s="4">
        <v>0.2</v>
      </c>
      <c r="AC2732" s="6">
        <v>31.62</v>
      </c>
      <c r="AD2732" s="6">
        <v>33.43</v>
      </c>
      <c r="AE2732" s="1">
        <v>0</v>
      </c>
      <c r="AF2732" s="1">
        <f ca="1">IFERROR(__xludf.DUMMYFUNCTION("IFERROR(GOOGLEFINANCE(TRIM(F2732)&amp;"":"" &amp; TRIM(B2732),""high52""),AE2732)"),313.25)</f>
        <v>313.25</v>
      </c>
      <c r="AG2732" s="1">
        <v>0</v>
      </c>
      <c r="AH2732" s="1">
        <f ca="1">IFERROR(__xludf.DUMMYFUNCTION("IFERROR(GOOGLEFINANCE(TRIM(F2732)&amp;"":"" &amp; TRIM(B2732),""low52""),AE2732)"),191.45)</f>
        <v>191.45</v>
      </c>
      <c r="AI2732" s="1">
        <f ca="1">IFERROR(__xludf.DUMMYFUNCTION("IFERROR(GOOGLEFINANCE(B2732,""eps""),0)"),9.49)</f>
        <v>9.49</v>
      </c>
      <c r="AJ2732" s="1"/>
      <c r="AK2732" s="9"/>
      <c r="AL2732" s="1" t="b">
        <f>ISBLANK(AB2732)</f>
        <v>0</v>
      </c>
    </row>
    <row r="2733" spans="1:38" ht="15" x14ac:dyDescent="0.25">
      <c r="A2733" s="1" t="s">
        <v>8468</v>
      </c>
      <c r="B2733" s="1" t="s">
        <v>8469</v>
      </c>
      <c r="C2733" s="1" t="s">
        <v>907</v>
      </c>
      <c r="D2733" s="1" t="s">
        <v>907</v>
      </c>
      <c r="E2733" s="6">
        <v>60.63</v>
      </c>
      <c r="F2733" s="1" t="s">
        <v>40</v>
      </c>
      <c r="G2733" s="6">
        <f ca="1">IFERROR(__xludf.DUMMYFUNCTION("iferror(GOOGLEFINANCE(TRIM(F2733)&amp;"":"" &amp; TRIM(B2733), ""price""),0
)"),30.71)</f>
        <v>30.71</v>
      </c>
      <c r="H2733" s="6">
        <v>25.11</v>
      </c>
      <c r="I2733" s="6">
        <f t="shared" ca="1" si="0"/>
        <v>30.71</v>
      </c>
      <c r="J2733" s="6">
        <f ca="1">IFERROR(__xludf.DUMMYFUNCTION("IFERROR(GOOGLEFINANCE(B2733, ""volume""), 0)"),23160)</f>
        <v>23160</v>
      </c>
      <c r="K2733" s="6">
        <v>-1.34</v>
      </c>
      <c r="L2733" s="6">
        <f ca="1">IFERROR(__xludf.DUMMYFUNCTION("IFERROR(GOOGLEFINANCE(B2733,""changepct""),K2733)"),0.82)</f>
        <v>0.82</v>
      </c>
      <c r="M2733" s="6">
        <f ca="1">IFERROR(__xludf.DUMMYFUNCTION("IFERROR(GOOGLEFINANCE(B2733,""change""),0)"),0.25)</f>
        <v>0.25</v>
      </c>
      <c r="N2733" s="6">
        <v>2</v>
      </c>
      <c r="O2733" s="7">
        <v>45536</v>
      </c>
      <c r="P2733" s="6">
        <v>118.04</v>
      </c>
      <c r="Q2733" s="6">
        <v>177.42</v>
      </c>
      <c r="R2733" s="7">
        <v>45536</v>
      </c>
      <c r="S2733" s="6">
        <v>67.41</v>
      </c>
      <c r="T2733" s="6">
        <v>-29.24</v>
      </c>
      <c r="U2733" s="7">
        <v>45536</v>
      </c>
      <c r="V2733" s="6">
        <v>0</v>
      </c>
      <c r="W2733" s="6">
        <f ca="1">IFERROR(__xludf.DUMMYFUNCTION("IFERROR(GOOGLEFINANCE(B2733,""pe""),V2733)"),3.35)</f>
        <v>3.35</v>
      </c>
      <c r="X2733" s="6">
        <v>0</v>
      </c>
      <c r="Y2733" s="6">
        <v>-1.08</v>
      </c>
      <c r="Z2733" s="6">
        <v>2</v>
      </c>
      <c r="AA2733" s="8">
        <v>45352</v>
      </c>
      <c r="AB2733" s="4">
        <v>-2.82</v>
      </c>
      <c r="AC2733" s="6">
        <v>0</v>
      </c>
      <c r="AD2733" s="6">
        <v>-17.71</v>
      </c>
      <c r="AE2733" s="1">
        <v>0</v>
      </c>
      <c r="AF2733" s="1">
        <f ca="1">IFERROR(__xludf.DUMMYFUNCTION("IFERROR(GOOGLEFINANCE(TRIM(F2733)&amp;"":"" &amp; TRIM(B2733),""high52""),AE2733)"),40.8)</f>
        <v>40.799999999999997</v>
      </c>
      <c r="AG2733" s="1">
        <v>0</v>
      </c>
      <c r="AH2733" s="1">
        <f ca="1">IFERROR(__xludf.DUMMYFUNCTION("IFERROR(GOOGLEFINANCE(TRIM(F2733)&amp;"":"" &amp; TRIM(B2733),""low52""),AE2733)"),19.5)</f>
        <v>19.5</v>
      </c>
      <c r="AI2733" s="1">
        <f ca="1">IFERROR(__xludf.DUMMYFUNCTION("IFERROR(GOOGLEFINANCE(B2733,""eps""),0)"),9.18)</f>
        <v>9.18</v>
      </c>
      <c r="AJ2733" s="1"/>
      <c r="AK2733" s="1" t="s">
        <v>8470</v>
      </c>
      <c r="AL2733" s="1" t="b">
        <f>ISNUMBER(AA2733)</f>
        <v>1</v>
      </c>
    </row>
    <row r="2734" spans="1:38" ht="15" x14ac:dyDescent="0.25">
      <c r="A2734" s="1" t="s">
        <v>8471</v>
      </c>
      <c r="B2734" s="1" t="s">
        <v>8472</v>
      </c>
      <c r="C2734" s="1" t="s">
        <v>268</v>
      </c>
      <c r="D2734" s="1" t="s">
        <v>268</v>
      </c>
      <c r="E2734" s="6">
        <v>107772.8</v>
      </c>
      <c r="F2734" s="1" t="s">
        <v>40</v>
      </c>
      <c r="G2734" s="6">
        <f ca="1">IFERROR(__xludf.DUMMYFUNCTION("iferror(GOOGLEFINANCE(TRIM(F2734)&amp;"":"" &amp; TRIM(B2734), ""price""),0
)"),85.3)</f>
        <v>85.3</v>
      </c>
      <c r="H2734" s="6">
        <v>129.44999999999999</v>
      </c>
      <c r="I2734" s="6">
        <f t="shared" ca="1" si="0"/>
        <v>85.3</v>
      </c>
      <c r="J2734" s="6">
        <f ca="1">IFERROR(__xludf.DUMMYFUNCTION("IFERROR(GOOGLEFINANCE(B2734, ""volume""), 0)"),4958852)</f>
        <v>4958852</v>
      </c>
      <c r="K2734" s="6">
        <v>1.17</v>
      </c>
      <c r="L2734" s="6">
        <f ca="1">IFERROR(__xludf.DUMMYFUNCTION("IFERROR(GOOGLEFINANCE(B2734,""changepct""),K2734)"),-1.16)</f>
        <v>-1.1599999999999999</v>
      </c>
      <c r="M2734" s="6">
        <f ca="1">IFERROR(__xludf.DUMMYFUNCTION("IFERROR(GOOGLEFINANCE(B2734,""change""),0)"),-1)</f>
        <v>-1</v>
      </c>
      <c r="N2734" s="6">
        <v>1</v>
      </c>
      <c r="O2734" s="7">
        <v>45352</v>
      </c>
      <c r="P2734" s="6">
        <v>12796.74</v>
      </c>
      <c r="Q2734" s="6">
        <v>120097.4</v>
      </c>
      <c r="R2734" s="14"/>
      <c r="S2734" s="9"/>
      <c r="T2734" s="9"/>
      <c r="U2734" s="7">
        <v>45352</v>
      </c>
      <c r="V2734" s="6">
        <v>290.91000000000003</v>
      </c>
      <c r="W2734" s="6">
        <f ca="1">IFERROR(__xludf.DUMMYFUNCTION("IFERROR(GOOGLEFINANCE(B2734,""pe""),V2734)"),130.63)</f>
        <v>130.63</v>
      </c>
      <c r="X2734" s="9"/>
      <c r="Y2734" s="6">
        <v>5.97</v>
      </c>
      <c r="Z2734" s="6">
        <v>2</v>
      </c>
      <c r="AA2734" s="8">
        <v>45352</v>
      </c>
      <c r="AB2734" s="4">
        <v>2.0499999999999998</v>
      </c>
      <c r="AC2734" s="6">
        <v>6.2</v>
      </c>
      <c r="AD2734" s="6">
        <v>8.0399999999999991</v>
      </c>
      <c r="AE2734" s="1">
        <v>0</v>
      </c>
      <c r="AF2734" s="1">
        <f ca="1">IFERROR(__xludf.DUMMYFUNCTION("IFERROR(GOOGLEFINANCE(TRIM(F2734)&amp;"":"" &amp; TRIM(B2734),""high52""),AE2734)"),117.64)</f>
        <v>117.64</v>
      </c>
      <c r="AG2734" s="1">
        <v>0</v>
      </c>
      <c r="AH2734" s="1">
        <f ca="1">IFERROR(__xludf.DUMMYFUNCTION("IFERROR(GOOGLEFINANCE(TRIM(F2734)&amp;"":"" &amp; TRIM(B2734),""low52""),AE2734)"),84.05)</f>
        <v>84.05</v>
      </c>
      <c r="AI2734" s="1">
        <f ca="1">IFERROR(__xludf.DUMMYFUNCTION("IFERROR(GOOGLEFINANCE(B2734,""eps""),0)"),0.65)</f>
        <v>0.65</v>
      </c>
      <c r="AJ2734" s="1"/>
      <c r="AK2734" s="1" t="s">
        <v>8473</v>
      </c>
      <c r="AL2734" s="9">
        <f t="shared" ref="AL2734:AL2739" si="268">IF(AA2734&lt;&gt;AB2734,1,0)</f>
        <v>1</v>
      </c>
    </row>
    <row r="2735" spans="1:38" ht="15" x14ac:dyDescent="0.25">
      <c r="A2735" s="1" t="s">
        <v>8474</v>
      </c>
      <c r="B2735" s="1" t="s">
        <v>8475</v>
      </c>
      <c r="C2735" s="1" t="s">
        <v>268</v>
      </c>
      <c r="D2735" s="1" t="s">
        <v>268</v>
      </c>
      <c r="E2735" s="6">
        <v>327747.3</v>
      </c>
      <c r="F2735" s="1" t="s">
        <v>40</v>
      </c>
      <c r="G2735" s="6">
        <f ca="1">IFERROR(__xludf.DUMMYFUNCTION("iferror(GOOGLEFINANCE(TRIM(F2735)&amp;"":"" &amp; TRIM(B2735), ""price""),0
)"),352.4)</f>
        <v>352.4</v>
      </c>
      <c r="H2735" s="6">
        <v>339.65</v>
      </c>
      <c r="I2735" s="6">
        <f t="shared" ca="1" si="0"/>
        <v>352.4</v>
      </c>
      <c r="J2735" s="6">
        <f ca="1">IFERROR(__xludf.DUMMYFUNCTION("IFERROR(GOOGLEFINANCE(B2735, ""volume""), 0)"),12622760)</f>
        <v>12622760</v>
      </c>
      <c r="K2735" s="6">
        <v>0.49</v>
      </c>
      <c r="L2735" s="6">
        <f ca="1">IFERROR(__xludf.DUMMYFUNCTION("IFERROR(GOOGLEFINANCE(B2735,""changepct""),K2735)"),2.22)</f>
        <v>2.2200000000000002</v>
      </c>
      <c r="M2735" s="6">
        <f ca="1">IFERROR(__xludf.DUMMYFUNCTION("IFERROR(GOOGLEFINANCE(B2735,""change""),0)"),7.65)</f>
        <v>7.65</v>
      </c>
      <c r="N2735" s="6">
        <v>2</v>
      </c>
      <c r="O2735" s="7">
        <v>45536</v>
      </c>
      <c r="P2735" s="6">
        <v>239932.3</v>
      </c>
      <c r="Q2735" s="6">
        <v>559857.19999999995</v>
      </c>
      <c r="R2735" s="7">
        <v>45536</v>
      </c>
      <c r="S2735" s="6">
        <v>183659.3</v>
      </c>
      <c r="T2735" s="6">
        <v>17934.32</v>
      </c>
      <c r="U2735" s="7">
        <v>45536</v>
      </c>
      <c r="V2735" s="6">
        <v>17.16</v>
      </c>
      <c r="W2735" s="6">
        <f ca="1">IFERROR(__xludf.DUMMYFUNCTION("IFERROR(GOOGLEFINANCE(B2735,""pe""),V2735)"),14.13)</f>
        <v>14.13</v>
      </c>
      <c r="X2735" s="6">
        <v>1.98</v>
      </c>
      <c r="Y2735" s="6">
        <v>1.95</v>
      </c>
      <c r="Z2735" s="6">
        <v>2</v>
      </c>
      <c r="AA2735" s="8">
        <v>45352</v>
      </c>
      <c r="AB2735" s="4">
        <v>1.46</v>
      </c>
      <c r="AC2735" s="6">
        <v>13.86</v>
      </c>
      <c r="AD2735" s="6">
        <v>10.58</v>
      </c>
      <c r="AE2735" s="1">
        <v>0</v>
      </c>
      <c r="AF2735" s="1">
        <f ca="1">IFERROR(__xludf.DUMMYFUNCTION("IFERROR(GOOGLEFINANCE(TRIM(F2735)&amp;"":"" &amp; TRIM(B2735),""high52""),AE2735)"),371.45)</f>
        <v>371.45</v>
      </c>
      <c r="AG2735" s="1">
        <v>0</v>
      </c>
      <c r="AH2735" s="1">
        <f ca="1">IFERROR(__xludf.DUMMYFUNCTION("IFERROR(GOOGLEFINANCE(TRIM(F2735)&amp;"":"" &amp; TRIM(B2735),""low52""),AE2735)"),292.8)</f>
        <v>292.8</v>
      </c>
      <c r="AI2735" s="1">
        <f ca="1">IFERROR(__xludf.DUMMYFUNCTION("IFERROR(GOOGLEFINANCE(B2735,""eps""),0)"),24.93)</f>
        <v>24.93</v>
      </c>
      <c r="AJ2735" s="1"/>
      <c r="AK2735" s="1" t="s">
        <v>8476</v>
      </c>
      <c r="AL2735" s="9">
        <f t="shared" si="268"/>
        <v>1</v>
      </c>
    </row>
    <row r="2736" spans="1:38" ht="15" x14ac:dyDescent="0.25">
      <c r="A2736" s="1" t="s">
        <v>8477</v>
      </c>
      <c r="B2736" s="1" t="s">
        <v>8478</v>
      </c>
      <c r="C2736" s="1" t="s">
        <v>57</v>
      </c>
      <c r="D2736" s="1" t="s">
        <v>57</v>
      </c>
      <c r="E2736" s="6">
        <v>2848.4</v>
      </c>
      <c r="F2736" s="1" t="s">
        <v>40</v>
      </c>
      <c r="G2736" s="6">
        <f ca="1">IFERROR(__xludf.DUMMYFUNCTION("iferror(GOOGLEFINANCE(TRIM(F2736)&amp;"":"" &amp; TRIM(B2736), ""price""),0
)"),904)</f>
        <v>904</v>
      </c>
      <c r="H2736" s="6">
        <v>1129.3499999999999</v>
      </c>
      <c r="I2736" s="6">
        <f t="shared" ca="1" si="0"/>
        <v>904</v>
      </c>
      <c r="J2736" s="6">
        <f ca="1">IFERROR(__xludf.DUMMYFUNCTION("IFERROR(GOOGLEFINANCE(B2736, ""volume""), 0)"),19210)</f>
        <v>19210</v>
      </c>
      <c r="K2736" s="6">
        <v>4.0199999999999996</v>
      </c>
      <c r="L2736" s="6">
        <f ca="1">IFERROR(__xludf.DUMMYFUNCTION("IFERROR(GOOGLEFINANCE(B2736,""changepct""),K2736)"),-0.14)</f>
        <v>-0.14000000000000001</v>
      </c>
      <c r="M2736" s="6">
        <f ca="1">IFERROR(__xludf.DUMMYFUNCTION("IFERROR(GOOGLEFINANCE(B2736,""change""),0)"),-1.3)</f>
        <v>-1.3</v>
      </c>
      <c r="N2736" s="6">
        <v>2</v>
      </c>
      <c r="O2736" s="7">
        <v>45536</v>
      </c>
      <c r="P2736" s="9"/>
      <c r="Q2736" s="6">
        <v>2788.92</v>
      </c>
      <c r="R2736" s="7">
        <v>45536</v>
      </c>
      <c r="S2736" s="6">
        <v>811.98</v>
      </c>
      <c r="T2736" s="6">
        <v>156.71</v>
      </c>
      <c r="U2736" s="7">
        <v>45536</v>
      </c>
      <c r="V2736" s="6">
        <v>18.18</v>
      </c>
      <c r="W2736" s="6">
        <f ca="1">IFERROR(__xludf.DUMMYFUNCTION("IFERROR(GOOGLEFINANCE(B2736,""pe""),V2736)"),14.76)</f>
        <v>14.76</v>
      </c>
      <c r="X2736" s="6">
        <v>0.87</v>
      </c>
      <c r="Y2736" s="6">
        <v>3.98</v>
      </c>
      <c r="Z2736" s="6">
        <v>2</v>
      </c>
      <c r="AA2736" s="8">
        <v>45352</v>
      </c>
      <c r="AB2736" s="4">
        <v>0</v>
      </c>
      <c r="AC2736" s="6">
        <v>27.61</v>
      </c>
      <c r="AD2736" s="6">
        <v>36.99</v>
      </c>
      <c r="AE2736" s="1">
        <v>0</v>
      </c>
      <c r="AF2736" s="1">
        <f ca="1">IFERROR(__xludf.DUMMYFUNCTION("IFERROR(GOOGLEFINANCE(TRIM(F2736)&amp;"":"" &amp; TRIM(B2736),""high52""),AE2736)"),1378)</f>
        <v>1378</v>
      </c>
      <c r="AG2736" s="1">
        <v>0</v>
      </c>
      <c r="AH2736" s="1">
        <f ca="1">IFERROR(__xludf.DUMMYFUNCTION("IFERROR(GOOGLEFINANCE(TRIM(F2736)&amp;"":"" &amp; TRIM(B2736),""low52""),AE2736)"),725)</f>
        <v>725</v>
      </c>
      <c r="AI2736" s="1">
        <f ca="1">IFERROR(__xludf.DUMMYFUNCTION("IFERROR(GOOGLEFINANCE(B2736,""eps""),0)"),61.24)</f>
        <v>61.24</v>
      </c>
      <c r="AJ2736" s="1"/>
      <c r="AK2736" s="1" t="s">
        <v>8479</v>
      </c>
      <c r="AL2736" s="9">
        <f t="shared" si="268"/>
        <v>1</v>
      </c>
    </row>
    <row r="2737" spans="1:38" ht="15" x14ac:dyDescent="0.25">
      <c r="A2737" s="1" t="s">
        <v>8480</v>
      </c>
      <c r="B2737" s="1" t="s">
        <v>8481</v>
      </c>
      <c r="C2737" s="1" t="s">
        <v>227</v>
      </c>
      <c r="D2737" s="1" t="s">
        <v>227</v>
      </c>
      <c r="E2737" s="6">
        <v>690.92</v>
      </c>
      <c r="F2737" s="1" t="s">
        <v>40</v>
      </c>
      <c r="G2737" s="6">
        <f ca="1">IFERROR(__xludf.DUMMYFUNCTION("iferror(GOOGLEFINANCE(TRIM(F2737)&amp;"":"" &amp; TRIM(B2737), ""price""),0
)"),52.25)</f>
        <v>52.25</v>
      </c>
      <c r="H2737" s="6">
        <v>100.5</v>
      </c>
      <c r="I2737" s="6">
        <f t="shared" ca="1" si="0"/>
        <v>52.25</v>
      </c>
      <c r="J2737" s="6">
        <f ca="1">IFERROR(__xludf.DUMMYFUNCTION("IFERROR(GOOGLEFINANCE(B2737, ""volume""), 0)"),0)</f>
        <v>0</v>
      </c>
      <c r="K2737" s="6">
        <v>-0.16</v>
      </c>
      <c r="L2737" s="6">
        <f ca="1">IFERROR(__xludf.DUMMYFUNCTION("IFERROR(GOOGLEFINANCE(B2737,""changepct""),K2737)"),0)</f>
        <v>0</v>
      </c>
      <c r="M2737" s="6">
        <f ca="1">IFERROR(__xludf.DUMMYFUNCTION("IFERROR(GOOGLEFINANCE(B2737,""change""),0)"),0)</f>
        <v>0</v>
      </c>
      <c r="N2737" s="6">
        <v>2</v>
      </c>
      <c r="O2737" s="7">
        <v>45536</v>
      </c>
      <c r="P2737" s="6">
        <v>17.82</v>
      </c>
      <c r="Q2737" s="6">
        <v>708.74</v>
      </c>
      <c r="R2737" s="7">
        <v>45536</v>
      </c>
      <c r="S2737" s="6">
        <v>205.07</v>
      </c>
      <c r="T2737" s="6">
        <v>13.12</v>
      </c>
      <c r="U2737" s="7">
        <v>45536</v>
      </c>
      <c r="V2737" s="6">
        <v>58.55</v>
      </c>
      <c r="W2737" s="6">
        <f ca="1">IFERROR(__xludf.DUMMYFUNCTION("IFERROR(GOOGLEFINANCE(B2737,""pe""),V2737)"),9.67)</f>
        <v>9.67</v>
      </c>
      <c r="X2737" s="9"/>
      <c r="Y2737" s="6">
        <v>7.19</v>
      </c>
      <c r="Z2737" s="6">
        <v>2</v>
      </c>
      <c r="AA2737" s="17">
        <v>45352</v>
      </c>
      <c r="AB2737" s="18">
        <v>0.16</v>
      </c>
      <c r="AC2737" s="6">
        <v>10.86</v>
      </c>
      <c r="AD2737" s="6">
        <v>15.01</v>
      </c>
      <c r="AE2737" s="1">
        <v>0</v>
      </c>
      <c r="AF2737" s="1">
        <f ca="1">IFERROR(__xludf.DUMMYFUNCTION("IFERROR(GOOGLEFINANCE(TRIM(F2737)&amp;"":"" &amp; TRIM(B2737),""high52""),AE2737)"),106.49)</f>
        <v>106.49</v>
      </c>
      <c r="AG2737" s="1">
        <v>0</v>
      </c>
      <c r="AH2737" s="1">
        <f ca="1">IFERROR(__xludf.DUMMYFUNCTION("IFERROR(GOOGLEFINANCE(TRIM(F2737)&amp;"":"" &amp; TRIM(B2737),""low52""),AE2737)"),48.8)</f>
        <v>48.8</v>
      </c>
      <c r="AI2737" s="1">
        <f ca="1">IFERROR(__xludf.DUMMYFUNCTION("IFERROR(GOOGLEFINANCE(B2737,""eps""),0)"),0.5)</f>
        <v>0.5</v>
      </c>
      <c r="AJ2737" s="1"/>
      <c r="AK2737" s="1" t="s">
        <v>8482</v>
      </c>
      <c r="AL2737" s="9">
        <f t="shared" si="268"/>
        <v>1</v>
      </c>
    </row>
    <row r="2738" spans="1:38" ht="15" x14ac:dyDescent="0.25">
      <c r="A2738" s="1" t="s">
        <v>8483</v>
      </c>
      <c r="B2738" s="1" t="s">
        <v>8484</v>
      </c>
      <c r="C2738" s="1" t="s">
        <v>4423</v>
      </c>
      <c r="D2738" s="1" t="s">
        <v>4423</v>
      </c>
      <c r="E2738" s="6">
        <v>281.75</v>
      </c>
      <c r="F2738" s="1" t="s">
        <v>40</v>
      </c>
      <c r="G2738" s="6">
        <f ca="1">IFERROR(__xludf.DUMMYFUNCTION("iferror(GOOGLEFINANCE(TRIM(F2738)&amp;"":"" &amp; TRIM(B2738), ""price""),0
)"),272.15)</f>
        <v>272.14999999999998</v>
      </c>
      <c r="H2738" s="6">
        <v>287.05</v>
      </c>
      <c r="I2738" s="6">
        <f t="shared" ca="1" si="0"/>
        <v>272.14999999999998</v>
      </c>
      <c r="J2738" s="6">
        <f ca="1">IFERROR(__xludf.DUMMYFUNCTION("IFERROR(GOOGLEFINANCE(B2738, ""volume""), 0)"),21733)</f>
        <v>21733</v>
      </c>
      <c r="K2738" s="6">
        <v>1.84</v>
      </c>
      <c r="L2738" s="6">
        <f ca="1">IFERROR(__xludf.DUMMYFUNCTION("IFERROR(GOOGLEFINANCE(B2738,""changepct""),K2738)"),-1)</f>
        <v>-1</v>
      </c>
      <c r="M2738" s="6">
        <f ca="1">IFERROR(__xludf.DUMMYFUNCTION("IFERROR(GOOGLEFINANCE(B2738,""change""),0)"),-2.75)</f>
        <v>-2.75</v>
      </c>
      <c r="N2738" s="6">
        <v>2</v>
      </c>
      <c r="O2738" s="7">
        <v>45536</v>
      </c>
      <c r="P2738" s="6">
        <v>2.2400000000000002</v>
      </c>
      <c r="Q2738" s="6">
        <v>259.98</v>
      </c>
      <c r="R2738" s="7">
        <v>45536</v>
      </c>
      <c r="S2738" s="6">
        <v>90.8</v>
      </c>
      <c r="T2738" s="6">
        <v>-2.8</v>
      </c>
      <c r="U2738" s="7">
        <v>45536</v>
      </c>
      <c r="V2738" s="6">
        <v>0</v>
      </c>
      <c r="W2738" s="6">
        <f ca="1">IFERROR(__xludf.DUMMYFUNCTION("IFERROR(GOOGLEFINANCE(B2738,""pe""),V2738)"),25.79)</f>
        <v>25.79</v>
      </c>
      <c r="X2738" s="12"/>
      <c r="Y2738" s="6">
        <v>1.45</v>
      </c>
      <c r="Z2738" s="6">
        <v>2</v>
      </c>
      <c r="AA2738" s="8">
        <v>45352</v>
      </c>
      <c r="AB2738" s="4">
        <v>0</v>
      </c>
      <c r="AC2738" s="6">
        <v>-0.92</v>
      </c>
      <c r="AD2738" s="6">
        <v>-1.06</v>
      </c>
      <c r="AE2738" s="1">
        <v>0</v>
      </c>
      <c r="AF2738" s="1">
        <f ca="1">IFERROR(__xludf.DUMMYFUNCTION("IFERROR(GOOGLEFINANCE(TRIM(F2738)&amp;"":"" &amp; TRIM(B2738),""high52""),AE2738)"),343)</f>
        <v>343</v>
      </c>
      <c r="AG2738" s="1">
        <v>0</v>
      </c>
      <c r="AH2738" s="1">
        <f ca="1">IFERROR(__xludf.DUMMYFUNCTION("IFERROR(GOOGLEFINANCE(TRIM(F2738)&amp;"":"" &amp; TRIM(B2738),""low52""),AE2738)"),203.62)</f>
        <v>203.62</v>
      </c>
      <c r="AI2738" s="1">
        <f ca="1">IFERROR(__xludf.DUMMYFUNCTION("IFERROR(GOOGLEFINANCE(B2738,""eps""),0)"),10.55)</f>
        <v>10.55</v>
      </c>
      <c r="AJ2738" s="1"/>
      <c r="AK2738" s="1" t="s">
        <v>8485</v>
      </c>
      <c r="AL2738" s="9">
        <f t="shared" si="268"/>
        <v>1</v>
      </c>
    </row>
    <row r="2739" spans="1:38" ht="15" x14ac:dyDescent="0.25">
      <c r="A2739" s="1" t="s">
        <v>8486</v>
      </c>
      <c r="B2739" s="1" t="s">
        <v>8487</v>
      </c>
      <c r="C2739" s="1" t="s">
        <v>48</v>
      </c>
      <c r="D2739" s="1" t="s">
        <v>48</v>
      </c>
      <c r="E2739" s="6">
        <v>25926.37</v>
      </c>
      <c r="F2739" s="1" t="s">
        <v>40</v>
      </c>
      <c r="G2739" s="6">
        <f ca="1">IFERROR(__xludf.DUMMYFUNCTION("iferror(GOOGLEFINANCE(TRIM(F2739)&amp;"":"" &amp; TRIM(B2739), ""price""),0
)"),1283)</f>
        <v>1283</v>
      </c>
      <c r="H2739" s="6">
        <v>7166.3</v>
      </c>
      <c r="I2739" s="6">
        <f t="shared" ca="1" si="0"/>
        <v>1283</v>
      </c>
      <c r="J2739" s="6">
        <f ca="1">IFERROR(__xludf.DUMMYFUNCTION("IFERROR(GOOGLEFINANCE(B2739, ""volume""), 0)"),954796)</f>
        <v>954796</v>
      </c>
      <c r="K2739" s="6">
        <v>-0.78</v>
      </c>
      <c r="L2739" s="6">
        <f ca="1">IFERROR(__xludf.DUMMYFUNCTION("IFERROR(GOOGLEFINANCE(B2739,""changepct""),K2739)"),2.94)</f>
        <v>2.94</v>
      </c>
      <c r="M2739" s="6">
        <f ca="1">IFERROR(__xludf.DUMMYFUNCTION("IFERROR(GOOGLEFINANCE(B2739,""change""),0)"),36.7)</f>
        <v>36.700000000000003</v>
      </c>
      <c r="N2739" s="6">
        <v>2</v>
      </c>
      <c r="O2739" s="7">
        <v>45536</v>
      </c>
      <c r="P2739" s="6">
        <v>832.48</v>
      </c>
      <c r="Q2739" s="7">
        <v>45536</v>
      </c>
      <c r="R2739" s="6">
        <v>31.02</v>
      </c>
      <c r="S2739" s="9"/>
      <c r="T2739" s="6">
        <v>8.26</v>
      </c>
      <c r="U2739" s="6">
        <v>2</v>
      </c>
      <c r="V2739" s="7">
        <v>45352</v>
      </c>
      <c r="W2739" s="6">
        <f ca="1">IFERROR(__xludf.DUMMYFUNCTION("IFERROR(GOOGLEFINANCE(B2739,""pe""),V2739)"),23.29)</f>
        <v>23.29</v>
      </c>
      <c r="X2739" s="6">
        <v>2.39</v>
      </c>
      <c r="Y2739" s="6">
        <v>25.01</v>
      </c>
      <c r="Z2739" s="6">
        <v>16.59</v>
      </c>
      <c r="AA2739" s="3" t="s">
        <v>8488</v>
      </c>
      <c r="AB2739" s="3"/>
      <c r="AC2739" s="9"/>
      <c r="AD2739" s="9"/>
      <c r="AE2739" s="1">
        <v>0</v>
      </c>
      <c r="AF2739" s="1">
        <f ca="1">IFERROR(__xludf.DUMMYFUNCTION("IFERROR(GOOGLEFINANCE(TRIM(F2739)&amp;"":"" &amp; TRIM(B2739),""high52""),AE2739)"),1701.7)</f>
        <v>1701.7</v>
      </c>
      <c r="AG2739" s="1">
        <v>0</v>
      </c>
      <c r="AH2739" s="1">
        <f ca="1">IFERROR(__xludf.DUMMYFUNCTION("IFERROR(GOOGLEFINANCE(TRIM(F2739)&amp;"":"" &amp; TRIM(B2739),""low52""),AE2739)"),947.09)</f>
        <v>947.09</v>
      </c>
      <c r="AI2739" s="1">
        <f ca="1">IFERROR(__xludf.DUMMYFUNCTION("IFERROR(GOOGLEFINANCE(B2739,""eps""),0)"),55.08)</f>
        <v>55.08</v>
      </c>
      <c r="AJ2739" s="1"/>
      <c r="AK2739" s="1" t="s">
        <v>8489</v>
      </c>
      <c r="AL2739" s="9">
        <f t="shared" si="268"/>
        <v>1</v>
      </c>
    </row>
    <row r="2740" spans="1:38" ht="15" x14ac:dyDescent="0.25">
      <c r="A2740" s="1" t="s">
        <v>8490</v>
      </c>
      <c r="B2740" s="1" t="s">
        <v>8491</v>
      </c>
      <c r="C2740" s="1" t="s">
        <v>239</v>
      </c>
      <c r="D2740" s="1" t="s">
        <v>239</v>
      </c>
      <c r="E2740" s="6">
        <v>12741.55</v>
      </c>
      <c r="F2740" s="1" t="s">
        <v>40</v>
      </c>
      <c r="G2740" s="6">
        <f ca="1">IFERROR(__xludf.DUMMYFUNCTION("iferror(GOOGLEFINANCE(TRIM(F2740)&amp;"":"" &amp; TRIM(B2740), ""price""),0
)"),338)</f>
        <v>338</v>
      </c>
      <c r="H2740" s="6">
        <v>357.6</v>
      </c>
      <c r="I2740" s="6">
        <f t="shared" ca="1" si="0"/>
        <v>338</v>
      </c>
      <c r="J2740" s="6">
        <f ca="1">IFERROR(__xludf.DUMMYFUNCTION("IFERROR(GOOGLEFINANCE(B2740, ""volume""), 0)"),186307)</f>
        <v>186307</v>
      </c>
      <c r="K2740" s="6">
        <v>0.22</v>
      </c>
      <c r="L2740" s="6">
        <f ca="1">IFERROR(__xludf.DUMMYFUNCTION("IFERROR(GOOGLEFINANCE(B2740,""changepct""),K2740)"),2.78)</f>
        <v>2.78</v>
      </c>
      <c r="M2740" s="6">
        <f ca="1">IFERROR(__xludf.DUMMYFUNCTION("IFERROR(GOOGLEFINANCE(B2740,""change""),0)"),9.15)</f>
        <v>9.15</v>
      </c>
      <c r="N2740" s="6">
        <v>2</v>
      </c>
      <c r="O2740" s="7">
        <v>45536</v>
      </c>
      <c r="P2740" s="6">
        <v>4613.3999999999996</v>
      </c>
      <c r="Q2740" s="6">
        <v>17242.13</v>
      </c>
      <c r="R2740" s="7">
        <v>45536</v>
      </c>
      <c r="S2740" s="6">
        <v>10259.48</v>
      </c>
      <c r="T2740" s="6">
        <v>49.05</v>
      </c>
      <c r="U2740" s="7">
        <v>45536</v>
      </c>
      <c r="V2740" s="6">
        <v>259.77</v>
      </c>
      <c r="W2740" s="6">
        <f ca="1">IFERROR(__xludf.DUMMYFUNCTION("IFERROR(GOOGLEFINANCE(B2740,""pe""),V2740)"),31.36)</f>
        <v>31.36</v>
      </c>
      <c r="X2740" s="9"/>
      <c r="Y2740" s="6">
        <v>1.43</v>
      </c>
      <c r="Z2740" s="6">
        <v>2</v>
      </c>
      <c r="AA2740" s="8">
        <v>45352</v>
      </c>
      <c r="AB2740" s="4">
        <v>0.46</v>
      </c>
      <c r="AC2740" s="6">
        <v>1.65</v>
      </c>
      <c r="AD2740" s="6">
        <v>5.56</v>
      </c>
      <c r="AE2740" s="1">
        <v>0</v>
      </c>
      <c r="AF2740" s="1">
        <f ca="1">IFERROR(__xludf.DUMMYFUNCTION("IFERROR(GOOGLEFINANCE(TRIM(F2740)&amp;"":"" &amp; TRIM(B2740),""high52""),AE2740)"),477.5)</f>
        <v>477.5</v>
      </c>
      <c r="AG2740" s="1">
        <v>0</v>
      </c>
      <c r="AH2740" s="1">
        <f ca="1">IFERROR(__xludf.DUMMYFUNCTION("IFERROR(GOOGLEFINANCE(TRIM(F2740)&amp;"":"" &amp; TRIM(B2740),""low52""),AE2740)"),287.05)</f>
        <v>287.05</v>
      </c>
      <c r="AI2740" s="1">
        <f ca="1">IFERROR(__xludf.DUMMYFUNCTION("IFERROR(GOOGLEFINANCE(B2740,""eps""),0)"),10.78)</f>
        <v>10.78</v>
      </c>
      <c r="AJ2740" s="1"/>
      <c r="AK2740" s="1" t="s">
        <v>8492</v>
      </c>
      <c r="AL2740" s="1" t="b">
        <f>ISNUMBER(AA2740)</f>
        <v>1</v>
      </c>
    </row>
    <row r="2741" spans="1:38" ht="15" x14ac:dyDescent="0.25">
      <c r="A2741" s="1" t="s">
        <v>8493</v>
      </c>
      <c r="B2741" s="1" t="s">
        <v>8494</v>
      </c>
      <c r="C2741" s="1" t="s">
        <v>5080</v>
      </c>
      <c r="D2741" s="1" t="s">
        <v>5080</v>
      </c>
      <c r="E2741" s="6">
        <v>0</v>
      </c>
      <c r="F2741" s="1" t="s">
        <v>40</v>
      </c>
      <c r="G2741" s="6">
        <f ca="1">IFERROR(__xludf.DUMMYFUNCTION("iferror(GOOGLEFINANCE(TRIM(F2741)&amp;"":"" &amp; TRIM(B2741), ""price""),0
)"),0)</f>
        <v>0</v>
      </c>
      <c r="H2741" s="6">
        <v>101.35</v>
      </c>
      <c r="I2741" s="6">
        <f t="shared" ca="1" si="0"/>
        <v>101.35</v>
      </c>
      <c r="J2741" s="6">
        <f ca="1">IFERROR(__xludf.DUMMYFUNCTION("IFERROR(GOOGLEFINANCE(B2741, ""volume""), 0)"),0)</f>
        <v>0</v>
      </c>
      <c r="K2741" s="9"/>
      <c r="L2741" s="6" t="str">
        <f ca="1">IFERROR(__xludf.DUMMYFUNCTION("IFERROR(GOOGLEFINANCE(B2741,""changepct""),K2741)"),"")</f>
        <v/>
      </c>
      <c r="M2741" s="6">
        <f ca="1">IFERROR(__xludf.DUMMYFUNCTION("IFERROR(GOOGLEFINANCE(B2741,""change""),0)"),0)</f>
        <v>0</v>
      </c>
      <c r="N2741" s="6">
        <v>1</v>
      </c>
      <c r="O2741" s="14"/>
      <c r="P2741" s="9"/>
      <c r="Q2741" s="6">
        <v>0</v>
      </c>
      <c r="R2741" s="14"/>
      <c r="S2741" s="9"/>
      <c r="T2741" s="9"/>
      <c r="U2741" s="6">
        <v>0</v>
      </c>
      <c r="V2741" s="9"/>
      <c r="W2741" s="6" t="str">
        <f ca="1">IFERROR(__xludf.DUMMYFUNCTION("IFERROR(GOOGLEFINANCE(B2741,""pe""),V2741)"),"")</f>
        <v/>
      </c>
      <c r="X2741" s="12"/>
      <c r="Y2741" s="9"/>
      <c r="Z2741" s="6">
        <v>1</v>
      </c>
      <c r="AA2741" s="3">
        <v>0</v>
      </c>
      <c r="AB2741" s="11"/>
      <c r="AC2741" s="9"/>
      <c r="AD2741" s="9"/>
      <c r="AE2741" s="1">
        <v>0</v>
      </c>
      <c r="AF2741" s="1">
        <f ca="1">IFERROR(__xludf.DUMMYFUNCTION("IFERROR(GOOGLEFINANCE(TRIM(F2741)&amp;"":"" &amp; TRIM(B2741),""high52""),AE2741)"),0)</f>
        <v>0</v>
      </c>
      <c r="AG2741" s="1">
        <v>0</v>
      </c>
      <c r="AH2741" s="1">
        <f ca="1">IFERROR(__xludf.DUMMYFUNCTION("IFERROR(GOOGLEFINANCE(TRIM(F2741)&amp;"":"" &amp; TRIM(B2741),""low52""),AE2741)"),0)</f>
        <v>0</v>
      </c>
      <c r="AI2741" s="1">
        <f ca="1">IFERROR(__xludf.DUMMYFUNCTION("IFERROR(GOOGLEFINANCE(B2741,""eps""),0)"),0)</f>
        <v>0</v>
      </c>
      <c r="AJ2741" s="1"/>
      <c r="AK2741" s="1" t="s">
        <v>8495</v>
      </c>
      <c r="AL2741" s="9">
        <f t="shared" ref="AL2741:AL2752" si="269">IF(AA2741&lt;&gt;AB2741,1,0)</f>
        <v>0</v>
      </c>
    </row>
    <row r="2742" spans="1:38" ht="15" x14ac:dyDescent="0.25">
      <c r="A2742" s="1" t="s">
        <v>8496</v>
      </c>
      <c r="B2742" s="1" t="s">
        <v>8497</v>
      </c>
      <c r="C2742" s="1" t="s">
        <v>487</v>
      </c>
      <c r="D2742" s="1" t="s">
        <v>487</v>
      </c>
      <c r="E2742" s="6">
        <v>83041.3</v>
      </c>
      <c r="F2742" s="1" t="s">
        <v>40</v>
      </c>
      <c r="G2742" s="6">
        <f ca="1">IFERROR(__xludf.DUMMYFUNCTION("iferror(GOOGLEFINANCE(TRIM(F2742)&amp;"":"" &amp; TRIM(B2742), ""price""),0
)"),1474.4)</f>
        <v>1474.4</v>
      </c>
      <c r="H2742" s="6">
        <v>2267.25</v>
      </c>
      <c r="I2742" s="6">
        <f t="shared" ca="1" si="0"/>
        <v>1474.4</v>
      </c>
      <c r="J2742" s="6">
        <f ca="1">IFERROR(__xludf.DUMMYFUNCTION("IFERROR(GOOGLEFINANCE(B2742, ""volume""), 0)"),1040919)</f>
        <v>1040919</v>
      </c>
      <c r="K2742" s="6">
        <v>-0.66</v>
      </c>
      <c r="L2742" s="6">
        <f ca="1">IFERROR(__xludf.DUMMYFUNCTION("IFERROR(GOOGLEFINANCE(B2742,""changepct""),K2742)"),1.58)</f>
        <v>1.58</v>
      </c>
      <c r="M2742" s="6">
        <f ca="1">IFERROR(__xludf.DUMMYFUNCTION("IFERROR(GOOGLEFINANCE(B2742,""change""),0)"),22.9)</f>
        <v>22.9</v>
      </c>
      <c r="N2742" s="6">
        <v>2</v>
      </c>
      <c r="O2742" s="7">
        <v>45536</v>
      </c>
      <c r="P2742" s="6">
        <v>2080.27</v>
      </c>
      <c r="Q2742" s="6">
        <v>83453.34</v>
      </c>
      <c r="R2742" s="7">
        <v>45536</v>
      </c>
      <c r="S2742" s="6">
        <v>5093.46</v>
      </c>
      <c r="T2742" s="6">
        <v>2312.37</v>
      </c>
      <c r="U2742" s="7">
        <v>45536</v>
      </c>
      <c r="V2742" s="6">
        <v>35.76</v>
      </c>
      <c r="W2742" s="6">
        <f ca="1">IFERROR(__xludf.DUMMYFUNCTION("IFERROR(GOOGLEFINANCE(B2742,""pe""),V2742)"),23.77)</f>
        <v>23.77</v>
      </c>
      <c r="X2742" s="6">
        <v>1.91</v>
      </c>
      <c r="Y2742" s="6">
        <v>5.61</v>
      </c>
      <c r="Z2742" s="6">
        <v>2</v>
      </c>
      <c r="AA2742" s="8">
        <v>45352</v>
      </c>
      <c r="AB2742" s="4">
        <v>0.18</v>
      </c>
      <c r="AC2742" s="6">
        <v>14.79</v>
      </c>
      <c r="AD2742" s="6">
        <v>16.579999999999998</v>
      </c>
      <c r="AE2742" s="1">
        <v>0</v>
      </c>
      <c r="AF2742" s="1">
        <f ca="1">IFERROR(__xludf.DUMMYFUNCTION("IFERROR(GOOGLEFINANCE(TRIM(F2742)&amp;"":"" &amp; TRIM(B2742),""high52""),AE2742)"),2005)</f>
        <v>2005</v>
      </c>
      <c r="AG2742" s="1">
        <v>0</v>
      </c>
      <c r="AH2742" s="1">
        <f ca="1">IFERROR(__xludf.DUMMYFUNCTION("IFERROR(GOOGLEFINANCE(TRIM(F2742)&amp;"":"" &amp; TRIM(B2742),""low52""),AE2742)"),1425.5)</f>
        <v>1425.5</v>
      </c>
      <c r="AI2742" s="1">
        <f ca="1">IFERROR(__xludf.DUMMYFUNCTION("IFERROR(GOOGLEFINANCE(B2742,""eps""),0)"),62.02)</f>
        <v>62.02</v>
      </c>
      <c r="AJ2742" s="1"/>
      <c r="AK2742" s="1" t="s">
        <v>8498</v>
      </c>
      <c r="AL2742" s="9">
        <f t="shared" si="269"/>
        <v>1</v>
      </c>
    </row>
    <row r="2743" spans="1:38" ht="15" x14ac:dyDescent="0.25">
      <c r="A2743" s="1" t="s">
        <v>8499</v>
      </c>
      <c r="B2743" s="1" t="s">
        <v>8500</v>
      </c>
      <c r="C2743" s="1" t="s">
        <v>416</v>
      </c>
      <c r="D2743" s="1" t="s">
        <v>416</v>
      </c>
      <c r="E2743" s="6">
        <v>610.45000000000005</v>
      </c>
      <c r="F2743" s="1" t="s">
        <v>40</v>
      </c>
      <c r="G2743" s="6">
        <f ca="1">IFERROR(__xludf.DUMMYFUNCTION("iferror(GOOGLEFINANCE(TRIM(F2743)&amp;"":"" &amp; TRIM(B2743), ""price""),0
)"),0)</f>
        <v>0</v>
      </c>
      <c r="H2743" s="6">
        <v>254.6</v>
      </c>
      <c r="I2743" s="6">
        <f t="shared" ca="1" si="0"/>
        <v>254.6</v>
      </c>
      <c r="J2743" s="6">
        <f ca="1">IFERROR(__xludf.DUMMYFUNCTION("IFERROR(GOOGLEFINANCE(B2743, ""volume""), 0)"),0)</f>
        <v>0</v>
      </c>
      <c r="K2743" s="6">
        <v>1.98</v>
      </c>
      <c r="L2743" s="6">
        <f ca="1">IFERROR(__xludf.DUMMYFUNCTION("IFERROR(GOOGLEFINANCE(B2743,""changepct""),K2743)"),1.98)</f>
        <v>1.98</v>
      </c>
      <c r="M2743" s="6">
        <f ca="1">IFERROR(__xludf.DUMMYFUNCTION("IFERROR(GOOGLEFINANCE(B2743,""change""),0)"),0)</f>
        <v>0</v>
      </c>
      <c r="N2743" s="6">
        <v>1</v>
      </c>
      <c r="O2743" s="7">
        <v>45536</v>
      </c>
      <c r="P2743" s="6">
        <v>52.44</v>
      </c>
      <c r="Q2743" s="6">
        <v>662.9</v>
      </c>
      <c r="R2743" s="9"/>
      <c r="S2743" s="12"/>
      <c r="T2743" s="9"/>
      <c r="U2743" s="7">
        <v>45352</v>
      </c>
      <c r="V2743" s="6">
        <v>49.99</v>
      </c>
      <c r="W2743" s="6">
        <f ca="1">IFERROR(__xludf.DUMMYFUNCTION("IFERROR(GOOGLEFINANCE(B2743,""pe""),V2743)"),49.99)</f>
        <v>49.99</v>
      </c>
      <c r="X2743" s="9"/>
      <c r="Y2743" s="6">
        <v>6.35</v>
      </c>
      <c r="Z2743" s="6">
        <v>1</v>
      </c>
      <c r="AA2743" s="8">
        <v>45352</v>
      </c>
      <c r="AB2743" s="4">
        <v>1.38</v>
      </c>
      <c r="AC2743" s="6">
        <v>50.96</v>
      </c>
      <c r="AD2743" s="6">
        <v>31.14</v>
      </c>
      <c r="AE2743" s="1">
        <v>0</v>
      </c>
      <c r="AF2743" s="1">
        <f ca="1">IFERROR(__xludf.DUMMYFUNCTION("IFERROR(GOOGLEFINANCE(TRIM(F2743)&amp;"":"" &amp; TRIM(B2743),""high52""),AE2743)"),0)</f>
        <v>0</v>
      </c>
      <c r="AG2743" s="1">
        <v>0</v>
      </c>
      <c r="AH2743" s="1">
        <f ca="1">IFERROR(__xludf.DUMMYFUNCTION("IFERROR(GOOGLEFINANCE(TRIM(F2743)&amp;"":"" &amp; TRIM(B2743),""low52""),AE2743)"),0)</f>
        <v>0</v>
      </c>
      <c r="AI2743" s="1">
        <f ca="1">IFERROR(__xludf.DUMMYFUNCTION("IFERROR(GOOGLEFINANCE(B2743,""eps""),0)"),0)</f>
        <v>0</v>
      </c>
      <c r="AJ2743" s="1"/>
      <c r="AK2743" s="1" t="s">
        <v>8501</v>
      </c>
      <c r="AL2743" s="9">
        <f t="shared" si="269"/>
        <v>1</v>
      </c>
    </row>
    <row r="2744" spans="1:38" ht="15" x14ac:dyDescent="0.25">
      <c r="A2744" s="1" t="s">
        <v>8502</v>
      </c>
      <c r="B2744" s="1" t="s">
        <v>8503</v>
      </c>
      <c r="C2744" s="1" t="s">
        <v>535</v>
      </c>
      <c r="D2744" s="1" t="s">
        <v>535</v>
      </c>
      <c r="E2744" s="6">
        <v>39.15</v>
      </c>
      <c r="F2744" s="1" t="s">
        <v>53</v>
      </c>
      <c r="G2744" s="6">
        <f ca="1">IFERROR(__xludf.DUMMYFUNCTION("iferror(GOOGLEFINANCE(TRIM(F2744)&amp;"":"" &amp; TRIM(B2744), ""price""),0
)"),0)</f>
        <v>0</v>
      </c>
      <c r="H2744" s="6">
        <v>101.74</v>
      </c>
      <c r="I2744" s="6">
        <f t="shared" ca="1" si="0"/>
        <v>101.74</v>
      </c>
      <c r="J2744" s="6">
        <f ca="1">IFERROR(__xludf.DUMMYFUNCTION("IFERROR(GOOGLEFINANCE(B2744, ""volume""), 0)"),0)</f>
        <v>0</v>
      </c>
      <c r="K2744" s="6">
        <v>4.99</v>
      </c>
      <c r="L2744" s="6">
        <f ca="1">IFERROR(__xludf.DUMMYFUNCTION("IFERROR(GOOGLEFINANCE(B2744,""changepct""),K2744)"),4.99)</f>
        <v>4.99</v>
      </c>
      <c r="M2744" s="6">
        <f ca="1">IFERROR(__xludf.DUMMYFUNCTION("IFERROR(GOOGLEFINANCE(B2744,""change""),0)"),0)</f>
        <v>0</v>
      </c>
      <c r="N2744" s="6">
        <v>1</v>
      </c>
      <c r="O2744" s="7">
        <v>45536</v>
      </c>
      <c r="P2744" s="6">
        <v>17.989999999999998</v>
      </c>
      <c r="Q2744" s="6">
        <v>56.85</v>
      </c>
      <c r="R2744" s="7">
        <v>45536</v>
      </c>
      <c r="S2744" s="6">
        <v>72.63</v>
      </c>
      <c r="T2744" s="6">
        <v>1.86</v>
      </c>
      <c r="U2744" s="7">
        <v>45536</v>
      </c>
      <c r="V2744" s="6">
        <v>21.09</v>
      </c>
      <c r="W2744" s="6">
        <f ca="1">IFERROR(__xludf.DUMMYFUNCTION("IFERROR(GOOGLEFINANCE(B2744,""pe""),V2744)"),21.09)</f>
        <v>21.09</v>
      </c>
      <c r="X2744" s="6">
        <v>3.42</v>
      </c>
      <c r="Y2744" s="6">
        <v>1.73</v>
      </c>
      <c r="Z2744" s="6">
        <v>1</v>
      </c>
      <c r="AA2744" s="8">
        <v>45352</v>
      </c>
      <c r="AB2744" s="4">
        <v>0.64</v>
      </c>
      <c r="AC2744" s="6">
        <v>8.02</v>
      </c>
      <c r="AD2744" s="6">
        <v>10.91</v>
      </c>
      <c r="AE2744" s="1">
        <v>0</v>
      </c>
      <c r="AF2744" s="1">
        <f ca="1">IFERROR(__xludf.DUMMYFUNCTION("IFERROR(GOOGLEFINANCE(TRIM(F2744)&amp;"":"" &amp; TRIM(B2744),""high52""),AE2744)"),0)</f>
        <v>0</v>
      </c>
      <c r="AG2744" s="1">
        <v>0</v>
      </c>
      <c r="AH2744" s="1">
        <f ca="1">IFERROR(__xludf.DUMMYFUNCTION("IFERROR(GOOGLEFINANCE(TRIM(F2744)&amp;"":"" &amp; TRIM(B2744),""low52""),AE2744)"),0)</f>
        <v>0</v>
      </c>
      <c r="AI2744" s="1">
        <f ca="1">IFERROR(__xludf.DUMMYFUNCTION("IFERROR(GOOGLEFINANCE(B2744,""eps""),0)"),0)</f>
        <v>0</v>
      </c>
      <c r="AJ2744" s="1"/>
      <c r="AK2744" s="1" t="s">
        <v>8504</v>
      </c>
      <c r="AL2744" s="9">
        <f t="shared" si="269"/>
        <v>1</v>
      </c>
    </row>
    <row r="2745" spans="1:38" ht="15" x14ac:dyDescent="0.25">
      <c r="A2745" s="1" t="s">
        <v>8505</v>
      </c>
      <c r="B2745" s="1" t="s">
        <v>8506</v>
      </c>
      <c r="C2745" s="1" t="s">
        <v>535</v>
      </c>
      <c r="D2745" s="1" t="s">
        <v>535</v>
      </c>
      <c r="E2745" s="6">
        <v>35.119999999999997</v>
      </c>
      <c r="F2745" s="1" t="s">
        <v>53</v>
      </c>
      <c r="G2745" s="6">
        <f ca="1">IFERROR(__xludf.DUMMYFUNCTION("iferror(GOOGLEFINANCE(TRIM(F2745)&amp;"":"" &amp; TRIM(B2745), ""price""),0
)"),0)</f>
        <v>0</v>
      </c>
      <c r="H2745" s="6">
        <v>83.5</v>
      </c>
      <c r="I2745" s="6">
        <f t="shared" ca="1" si="0"/>
        <v>83.5</v>
      </c>
      <c r="J2745" s="6">
        <f ca="1">IFERROR(__xludf.DUMMYFUNCTION("IFERROR(GOOGLEFINANCE(B2745, ""volume""), 0)"),0)</f>
        <v>0</v>
      </c>
      <c r="K2745" s="6">
        <v>-0.14000000000000001</v>
      </c>
      <c r="L2745" s="6">
        <f ca="1">IFERROR(__xludf.DUMMYFUNCTION("IFERROR(GOOGLEFINANCE(B2745,""changepct""),K2745)"),-0.14)</f>
        <v>-0.14000000000000001</v>
      </c>
      <c r="M2745" s="6">
        <f ca="1">IFERROR(__xludf.DUMMYFUNCTION("IFERROR(GOOGLEFINANCE(B2745,""change""),0)"),0)</f>
        <v>0</v>
      </c>
      <c r="N2745" s="6">
        <v>1</v>
      </c>
      <c r="O2745" s="7">
        <v>45536</v>
      </c>
      <c r="P2745" s="6">
        <v>19.989999999999998</v>
      </c>
      <c r="Q2745" s="6">
        <v>53.97</v>
      </c>
      <c r="R2745" s="7">
        <v>45536</v>
      </c>
      <c r="S2745" s="6">
        <v>76.569999999999993</v>
      </c>
      <c r="T2745" s="6">
        <v>1.79</v>
      </c>
      <c r="U2745" s="7">
        <v>45536</v>
      </c>
      <c r="V2745" s="6">
        <v>19.61</v>
      </c>
      <c r="W2745" s="6">
        <f ca="1">IFERROR(__xludf.DUMMYFUNCTION("IFERROR(GOOGLEFINANCE(B2745,""pe""),V2745)"),19.61)</f>
        <v>19.61</v>
      </c>
      <c r="X2745" s="6">
        <v>1.91</v>
      </c>
      <c r="Y2745" s="6">
        <v>1.4</v>
      </c>
      <c r="Z2745" s="6">
        <v>1</v>
      </c>
      <c r="AA2745" s="8">
        <v>45352</v>
      </c>
      <c r="AB2745" s="4">
        <v>0.84</v>
      </c>
      <c r="AC2745" s="6">
        <v>9.66</v>
      </c>
      <c r="AD2745" s="6">
        <v>13.44</v>
      </c>
      <c r="AE2745" s="1">
        <v>0</v>
      </c>
      <c r="AF2745" s="1">
        <f ca="1">IFERROR(__xludf.DUMMYFUNCTION("IFERROR(GOOGLEFINANCE(TRIM(F2745)&amp;"":"" &amp; TRIM(B2745),""high52""),AE2745)"),0)</f>
        <v>0</v>
      </c>
      <c r="AG2745" s="1">
        <v>0</v>
      </c>
      <c r="AH2745" s="1">
        <f ca="1">IFERROR(__xludf.DUMMYFUNCTION("IFERROR(GOOGLEFINANCE(TRIM(F2745)&amp;"":"" &amp; TRIM(B2745),""low52""),AE2745)"),0)</f>
        <v>0</v>
      </c>
      <c r="AI2745" s="1">
        <f ca="1">IFERROR(__xludf.DUMMYFUNCTION("IFERROR(GOOGLEFINANCE(B2745,""eps""),0)"),0)</f>
        <v>0</v>
      </c>
      <c r="AJ2745" s="1"/>
      <c r="AK2745" s="1" t="s">
        <v>8507</v>
      </c>
      <c r="AL2745" s="9">
        <f t="shared" si="269"/>
        <v>1</v>
      </c>
    </row>
    <row r="2746" spans="1:38" ht="15" x14ac:dyDescent="0.25">
      <c r="A2746" s="1" t="s">
        <v>8508</v>
      </c>
      <c r="B2746" s="1" t="s">
        <v>8509</v>
      </c>
      <c r="C2746" s="1" t="s">
        <v>135</v>
      </c>
      <c r="D2746" s="1" t="s">
        <v>135</v>
      </c>
      <c r="E2746" s="6">
        <v>530.72</v>
      </c>
      <c r="F2746" s="1" t="s">
        <v>40</v>
      </c>
      <c r="G2746" s="6">
        <f ca="1">IFERROR(__xludf.DUMMYFUNCTION("iferror(GOOGLEFINANCE(TRIM(F2746)&amp;"":"" &amp; TRIM(B2746), ""price""),0
)"),93.29)</f>
        <v>93.29</v>
      </c>
      <c r="H2746" s="6">
        <v>107.17</v>
      </c>
      <c r="I2746" s="6">
        <f t="shared" ca="1" si="0"/>
        <v>93.29</v>
      </c>
      <c r="J2746" s="6">
        <f ca="1">IFERROR(__xludf.DUMMYFUNCTION("IFERROR(GOOGLEFINANCE(B2746, ""volume""), 0)"),18888)</f>
        <v>18888</v>
      </c>
      <c r="K2746" s="6">
        <v>1.23</v>
      </c>
      <c r="L2746" s="6">
        <f ca="1">IFERROR(__xludf.DUMMYFUNCTION("IFERROR(GOOGLEFINANCE(B2746,""changepct""),K2746)"),-1.14)</f>
        <v>-1.1399999999999999</v>
      </c>
      <c r="M2746" s="6">
        <f ca="1">IFERROR(__xludf.DUMMYFUNCTION("IFERROR(GOOGLEFINANCE(B2746,""change""),0)"),-1.08)</f>
        <v>-1.08</v>
      </c>
      <c r="N2746" s="6">
        <v>1</v>
      </c>
      <c r="O2746" s="14"/>
      <c r="P2746" s="9"/>
      <c r="Q2746" s="6">
        <v>530.72</v>
      </c>
      <c r="R2746" s="14"/>
      <c r="S2746" s="9"/>
      <c r="T2746" s="9"/>
      <c r="U2746" s="6">
        <v>0</v>
      </c>
      <c r="V2746" s="9"/>
      <c r="W2746" s="6">
        <f ca="1">IFERROR(__xludf.DUMMYFUNCTION("IFERROR(GOOGLEFINANCE(B2746,""pe""),V2746)"),13.02)</f>
        <v>13.02</v>
      </c>
      <c r="X2746" s="12"/>
      <c r="Y2746" s="9"/>
      <c r="Z2746" s="6">
        <v>1</v>
      </c>
      <c r="AA2746" s="3">
        <v>0</v>
      </c>
      <c r="AB2746" s="11"/>
      <c r="AC2746" s="9"/>
      <c r="AD2746" s="9"/>
      <c r="AE2746" s="1">
        <v>0</v>
      </c>
      <c r="AF2746" s="1">
        <f ca="1">IFERROR(__xludf.DUMMYFUNCTION("IFERROR(GOOGLEFINANCE(TRIM(F2746)&amp;"":"" &amp; TRIM(B2746),""high52""),AE2746)"),159.42)</f>
        <v>159.41999999999999</v>
      </c>
      <c r="AG2746" s="1">
        <v>0</v>
      </c>
      <c r="AH2746" s="1">
        <f ca="1">IFERROR(__xludf.DUMMYFUNCTION("IFERROR(GOOGLEFINANCE(TRIM(F2746)&amp;"":"" &amp; TRIM(B2746),""low52""),AE2746)"),63.63)</f>
        <v>63.63</v>
      </c>
      <c r="AI2746" s="1">
        <f ca="1">IFERROR(__xludf.DUMMYFUNCTION("IFERROR(GOOGLEFINANCE(B2746,""eps""),0)"),7.17)</f>
        <v>7.17</v>
      </c>
      <c r="AJ2746" s="1"/>
      <c r="AK2746" s="1" t="s">
        <v>8510</v>
      </c>
      <c r="AL2746" s="9">
        <f t="shared" si="269"/>
        <v>0</v>
      </c>
    </row>
    <row r="2747" spans="1:38" ht="15" x14ac:dyDescent="0.25">
      <c r="A2747" s="1" t="s">
        <v>8511</v>
      </c>
      <c r="B2747" s="1" t="s">
        <v>8512</v>
      </c>
      <c r="C2747" s="1" t="s">
        <v>5080</v>
      </c>
      <c r="D2747" s="1" t="s">
        <v>5080</v>
      </c>
      <c r="E2747" s="6">
        <v>236.75</v>
      </c>
      <c r="F2747" s="1" t="s">
        <v>40</v>
      </c>
      <c r="G2747" s="6">
        <f ca="1">IFERROR(__xludf.DUMMYFUNCTION("iferror(GOOGLEFINANCE(TRIM(F2747)&amp;"":"" &amp; TRIM(B2747), ""price""),0
)"),26.2)</f>
        <v>26.2</v>
      </c>
      <c r="H2747" s="6">
        <v>73.400000000000006</v>
      </c>
      <c r="I2747" s="6">
        <f t="shared" ca="1" si="0"/>
        <v>26.2</v>
      </c>
      <c r="J2747" s="6">
        <f ca="1">IFERROR(__xludf.DUMMYFUNCTION("IFERROR(GOOGLEFINANCE(B2747, ""volume""), 0)"),12699)</f>
        <v>12699</v>
      </c>
      <c r="K2747" s="6">
        <v>-2.76</v>
      </c>
      <c r="L2747" s="6">
        <f ca="1">IFERROR(__xludf.DUMMYFUNCTION("IFERROR(GOOGLEFINANCE(B2747,""changepct""),K2747)"),-1.21)</f>
        <v>-1.21</v>
      </c>
      <c r="M2747" s="6">
        <f ca="1">IFERROR(__xludf.DUMMYFUNCTION("IFERROR(GOOGLEFINANCE(B2747,""change""),0)"),-0.32)</f>
        <v>-0.32</v>
      </c>
      <c r="N2747" s="6">
        <v>1</v>
      </c>
      <c r="O2747" s="14"/>
      <c r="P2747" s="9"/>
      <c r="Q2747" s="6">
        <v>236.75</v>
      </c>
      <c r="R2747" s="14"/>
      <c r="S2747" s="9"/>
      <c r="T2747" s="9"/>
      <c r="U2747" s="6">
        <v>0</v>
      </c>
      <c r="V2747" s="9"/>
      <c r="W2747" s="6" t="str">
        <f ca="1">IFERROR(__xludf.DUMMYFUNCTION("IFERROR(GOOGLEFINANCE(B2747,""pe""),V2747)"),"")</f>
        <v/>
      </c>
      <c r="X2747" s="12"/>
      <c r="Y2747" s="9"/>
      <c r="Z2747" s="6">
        <v>1</v>
      </c>
      <c r="AA2747" s="3">
        <v>0</v>
      </c>
      <c r="AB2747" s="11"/>
      <c r="AC2747" s="9"/>
      <c r="AD2747" s="9"/>
      <c r="AE2747" s="1">
        <v>0</v>
      </c>
      <c r="AF2747" s="1">
        <f ca="1">IFERROR(__xludf.DUMMYFUNCTION("IFERROR(GOOGLEFINANCE(TRIM(F2747)&amp;"":"" &amp; TRIM(B2747),""high52""),AE2747)"),56.6)</f>
        <v>56.6</v>
      </c>
      <c r="AG2747" s="1">
        <v>0</v>
      </c>
      <c r="AH2747" s="1">
        <f ca="1">IFERROR(__xludf.DUMMYFUNCTION("IFERROR(GOOGLEFINANCE(TRIM(F2747)&amp;"":"" &amp; TRIM(B2747),""low52""),AE2747)"),26)</f>
        <v>26</v>
      </c>
      <c r="AI2747" s="1">
        <f ca="1">IFERROR(__xludf.DUMMYFUNCTION("IFERROR(GOOGLEFINANCE(B2747,""eps""),0)"),-0.36)</f>
        <v>-0.36</v>
      </c>
      <c r="AJ2747" s="1"/>
      <c r="AK2747" s="1" t="s">
        <v>8513</v>
      </c>
      <c r="AL2747" s="9">
        <f t="shared" si="269"/>
        <v>0</v>
      </c>
    </row>
    <row r="2748" spans="1:38" ht="15" x14ac:dyDescent="0.25">
      <c r="A2748" s="1" t="s">
        <v>8514</v>
      </c>
      <c r="B2748" s="1" t="s">
        <v>8515</v>
      </c>
      <c r="C2748" s="1" t="s">
        <v>103</v>
      </c>
      <c r="D2748" s="1" t="s">
        <v>103</v>
      </c>
      <c r="E2748" s="6">
        <v>309474.90000000002</v>
      </c>
      <c r="F2748" s="1" t="s">
        <v>40</v>
      </c>
      <c r="G2748" s="6">
        <f ca="1">IFERROR(__xludf.DUMMYFUNCTION("iferror(GOOGLEFINANCE(TRIM(F2748)&amp;"":"" &amp; TRIM(B2748), ""price""),0
)"),254.25)</f>
        <v>254.25</v>
      </c>
      <c r="H2748" s="6">
        <v>251.43</v>
      </c>
      <c r="I2748" s="6">
        <f t="shared" ca="1" si="0"/>
        <v>254.25</v>
      </c>
      <c r="J2748" s="6">
        <f ca="1">IFERROR(__xludf.DUMMYFUNCTION("IFERROR(GOOGLEFINANCE(B2748, ""volume""), 0)"),17015974)</f>
        <v>17015974</v>
      </c>
      <c r="K2748" s="6">
        <v>2.1800000000000002</v>
      </c>
      <c r="L2748" s="6">
        <f ca="1">IFERROR(__xludf.DUMMYFUNCTION("IFERROR(GOOGLEFINANCE(B2748,""changepct""),K2748)"),-0.02)</f>
        <v>-0.02</v>
      </c>
      <c r="M2748" s="6">
        <f ca="1">IFERROR(__xludf.DUMMYFUNCTION("IFERROR(GOOGLEFINANCE(B2748,""change""),0)"),-0.05)</f>
        <v>-0.05</v>
      </c>
      <c r="N2748" s="6">
        <v>2</v>
      </c>
      <c r="O2748" s="7">
        <v>45536</v>
      </c>
      <c r="P2748" s="6">
        <v>157898</v>
      </c>
      <c r="Q2748" s="6">
        <v>430084.4</v>
      </c>
      <c r="R2748" s="7">
        <v>45536</v>
      </c>
      <c r="S2748" s="6">
        <v>657245.5</v>
      </c>
      <c r="T2748" s="6">
        <v>40937.9</v>
      </c>
      <c r="U2748" s="7">
        <v>45536</v>
      </c>
      <c r="V2748" s="6">
        <v>7.61</v>
      </c>
      <c r="W2748" s="6">
        <f ca="1">IFERROR(__xludf.DUMMYFUNCTION("IFERROR(GOOGLEFINANCE(B2748,""pe""),V2748)"),8.75)</f>
        <v>8.75</v>
      </c>
      <c r="X2748" s="6">
        <v>0.77</v>
      </c>
      <c r="Y2748" s="6">
        <v>0.88</v>
      </c>
      <c r="Z2748" s="6">
        <v>2</v>
      </c>
      <c r="AA2748" s="8">
        <v>45352</v>
      </c>
      <c r="AB2748" s="4">
        <v>0.36</v>
      </c>
      <c r="AC2748" s="6">
        <v>18.420000000000002</v>
      </c>
      <c r="AD2748" s="6">
        <v>20.41</v>
      </c>
      <c r="AE2748" s="1">
        <v>0</v>
      </c>
      <c r="AF2748" s="1">
        <f ca="1">IFERROR(__xludf.DUMMYFUNCTION("IFERROR(GOOGLEFINANCE(TRIM(F2748)&amp;"":"" &amp; TRIM(B2748),""high52""),AE2748)"),277.77)</f>
        <v>277.77</v>
      </c>
      <c r="AG2748" s="1">
        <v>0</v>
      </c>
      <c r="AH2748" s="1">
        <f ca="1">IFERROR(__xludf.DUMMYFUNCTION("IFERROR(GOOGLEFINANCE(TRIM(F2748)&amp;"":"" &amp; TRIM(B2748),""low52""),AE2748)"),205)</f>
        <v>205</v>
      </c>
      <c r="AI2748" s="1">
        <f ca="1">IFERROR(__xludf.DUMMYFUNCTION("IFERROR(GOOGLEFINANCE(B2748,""eps""),0)"),29.04)</f>
        <v>29.04</v>
      </c>
      <c r="AJ2748" s="1"/>
      <c r="AK2748" s="1" t="s">
        <v>8516</v>
      </c>
      <c r="AL2748" s="9">
        <f t="shared" si="269"/>
        <v>1</v>
      </c>
    </row>
    <row r="2749" spans="1:38" ht="15" x14ac:dyDescent="0.25">
      <c r="A2749" s="1" t="s">
        <v>8517</v>
      </c>
      <c r="B2749" s="1" t="s">
        <v>8518</v>
      </c>
      <c r="C2749" s="1" t="s">
        <v>535</v>
      </c>
      <c r="D2749" s="1" t="s">
        <v>535</v>
      </c>
      <c r="E2749" s="6">
        <v>26.52</v>
      </c>
      <c r="F2749" s="1" t="s">
        <v>53</v>
      </c>
      <c r="G2749" s="6">
        <f ca="1">IFERROR(__xludf.DUMMYFUNCTION("iferror(GOOGLEFINANCE(TRIM(F2749)&amp;"":"" &amp; TRIM(B2749), ""price""),0
)"),0)</f>
        <v>0</v>
      </c>
      <c r="H2749" s="6">
        <v>1.03</v>
      </c>
      <c r="I2749" s="6">
        <f t="shared" ca="1" si="0"/>
        <v>1.03</v>
      </c>
      <c r="J2749" s="6">
        <f ca="1">IFERROR(__xludf.DUMMYFUNCTION("IFERROR(GOOGLEFINANCE(B2749, ""volume""), 0)"),0)</f>
        <v>0</v>
      </c>
      <c r="K2749" s="6">
        <v>-0.96</v>
      </c>
      <c r="L2749" s="6">
        <f ca="1">IFERROR(__xludf.DUMMYFUNCTION("IFERROR(GOOGLEFINANCE(B2749,""changepct""),K2749)"),-0.96)</f>
        <v>-0.96</v>
      </c>
      <c r="M2749" s="6">
        <f ca="1">IFERROR(__xludf.DUMMYFUNCTION("IFERROR(GOOGLEFINANCE(B2749,""change""),0)"),0)</f>
        <v>0</v>
      </c>
      <c r="N2749" s="6">
        <v>1</v>
      </c>
      <c r="O2749" s="7">
        <v>45536</v>
      </c>
      <c r="P2749" s="6">
        <v>6.67</v>
      </c>
      <c r="Q2749" s="6">
        <v>33.19</v>
      </c>
      <c r="R2749" s="7">
        <v>45536</v>
      </c>
      <c r="S2749" s="6">
        <v>0.04</v>
      </c>
      <c r="T2749" s="6">
        <v>0.79</v>
      </c>
      <c r="U2749" s="7">
        <v>45536</v>
      </c>
      <c r="V2749" s="6">
        <v>33.61</v>
      </c>
      <c r="W2749" s="6">
        <f ca="1">IFERROR(__xludf.DUMMYFUNCTION("IFERROR(GOOGLEFINANCE(B2749,""pe""),V2749)"),33.61)</f>
        <v>33.61</v>
      </c>
      <c r="X2749" s="6">
        <v>2.23</v>
      </c>
      <c r="Y2749" s="6">
        <v>0.67</v>
      </c>
      <c r="Z2749" s="6">
        <v>1</v>
      </c>
      <c r="AA2749" s="8">
        <v>45352</v>
      </c>
      <c r="AB2749" s="4">
        <v>0.14000000000000001</v>
      </c>
      <c r="AC2749" s="6">
        <v>1.28</v>
      </c>
      <c r="AD2749" s="6">
        <v>6.56</v>
      </c>
      <c r="AE2749" s="1">
        <v>0</v>
      </c>
      <c r="AF2749" s="1">
        <f ca="1">IFERROR(__xludf.DUMMYFUNCTION("IFERROR(GOOGLEFINANCE(TRIM(F2749)&amp;"":"" &amp; TRIM(B2749),""high52""),AE2749)"),0)</f>
        <v>0</v>
      </c>
      <c r="AG2749" s="1">
        <v>0</v>
      </c>
      <c r="AH2749" s="1">
        <f ca="1">IFERROR(__xludf.DUMMYFUNCTION("IFERROR(GOOGLEFINANCE(TRIM(F2749)&amp;"":"" &amp; TRIM(B2749),""low52""),AE2749)"),0)</f>
        <v>0</v>
      </c>
      <c r="AI2749" s="1">
        <f ca="1">IFERROR(__xludf.DUMMYFUNCTION("IFERROR(GOOGLEFINANCE(B2749,""eps""),0)"),0)</f>
        <v>0</v>
      </c>
      <c r="AJ2749" s="1"/>
      <c r="AK2749" s="1" t="s">
        <v>8519</v>
      </c>
      <c r="AL2749" s="9">
        <f t="shared" si="269"/>
        <v>1</v>
      </c>
    </row>
    <row r="2750" spans="1:38" ht="15" x14ac:dyDescent="0.25">
      <c r="A2750" s="1" t="s">
        <v>8520</v>
      </c>
      <c r="B2750" s="1" t="s">
        <v>8521</v>
      </c>
      <c r="C2750" s="1" t="s">
        <v>219</v>
      </c>
      <c r="D2750" s="1" t="s">
        <v>219</v>
      </c>
      <c r="E2750" s="6">
        <v>315.08</v>
      </c>
      <c r="F2750" s="1" t="s">
        <v>40</v>
      </c>
      <c r="G2750" s="6">
        <f ca="1">IFERROR(__xludf.DUMMYFUNCTION("iferror(GOOGLEFINANCE(TRIM(F2750)&amp;"":"" &amp; TRIM(B2750), ""price""),0
)"),46)</f>
        <v>46</v>
      </c>
      <c r="H2750" s="6">
        <v>69.400000000000006</v>
      </c>
      <c r="I2750" s="6">
        <f t="shared" ca="1" si="0"/>
        <v>46</v>
      </c>
      <c r="J2750" s="6">
        <f ca="1">IFERROR(__xludf.DUMMYFUNCTION("IFERROR(GOOGLEFINANCE(B2750, ""volume""), 0)"),35926)</f>
        <v>35926</v>
      </c>
      <c r="K2750" s="6">
        <v>-0.03</v>
      </c>
      <c r="L2750" s="6">
        <f ca="1">IFERROR(__xludf.DUMMYFUNCTION("IFERROR(GOOGLEFINANCE(B2750,""changepct""),K2750)"),1.57)</f>
        <v>1.57</v>
      </c>
      <c r="M2750" s="6">
        <f ca="1">IFERROR(__xludf.DUMMYFUNCTION("IFERROR(GOOGLEFINANCE(B2750,""change""),0)"),0.71)</f>
        <v>0.71</v>
      </c>
      <c r="N2750" s="6">
        <v>1</v>
      </c>
      <c r="O2750" s="7">
        <v>45536</v>
      </c>
      <c r="P2750" s="6">
        <v>86.68</v>
      </c>
      <c r="Q2750" s="6">
        <v>389.08</v>
      </c>
      <c r="R2750" s="15">
        <v>45536</v>
      </c>
      <c r="S2750" s="6">
        <v>64.63</v>
      </c>
      <c r="T2750" s="6">
        <v>-53.75</v>
      </c>
      <c r="U2750" s="7">
        <v>45536</v>
      </c>
      <c r="V2750" s="6">
        <v>0</v>
      </c>
      <c r="W2750" s="6">
        <f ca="1">IFERROR(__xludf.DUMMYFUNCTION("IFERROR(GOOGLEFINANCE(B2750,""pe""),V2750)"),0)</f>
        <v>0</v>
      </c>
      <c r="X2750" s="6">
        <v>0</v>
      </c>
      <c r="Y2750" s="6">
        <v>-7.12</v>
      </c>
      <c r="Z2750" s="6">
        <v>1</v>
      </c>
      <c r="AA2750" s="8">
        <v>45352</v>
      </c>
      <c r="AB2750" s="4">
        <v>-3.28</v>
      </c>
      <c r="AC2750" s="6">
        <v>0</v>
      </c>
      <c r="AD2750" s="6">
        <v>-119.83</v>
      </c>
      <c r="AE2750" s="1">
        <v>0</v>
      </c>
      <c r="AF2750" s="1">
        <f ca="1">IFERROR(__xludf.DUMMYFUNCTION("IFERROR(GOOGLEFINANCE(TRIM(F2750)&amp;"":"" &amp; TRIM(B2750),""high52""),AE2750)"),100.66)</f>
        <v>100.66</v>
      </c>
      <c r="AG2750" s="1">
        <v>0</v>
      </c>
      <c r="AH2750" s="1">
        <f ca="1">IFERROR(__xludf.DUMMYFUNCTION("IFERROR(GOOGLEFINANCE(TRIM(F2750)&amp;"":"" &amp; TRIM(B2750),""low52""),AE2750)"),43.82)</f>
        <v>43.82</v>
      </c>
      <c r="AI2750" s="1">
        <f ca="1">IFERROR(__xludf.DUMMYFUNCTION("IFERROR(GOOGLEFINANCE(B2750,""eps""),0)"),-7.89)</f>
        <v>-7.89</v>
      </c>
      <c r="AJ2750" s="1"/>
      <c r="AK2750" s="1" t="s">
        <v>8522</v>
      </c>
      <c r="AL2750" s="9">
        <f t="shared" si="269"/>
        <v>1</v>
      </c>
    </row>
    <row r="2751" spans="1:38" ht="15" x14ac:dyDescent="0.25">
      <c r="A2751" s="1" t="s">
        <v>8523</v>
      </c>
      <c r="B2751" s="1" t="s">
        <v>8524</v>
      </c>
      <c r="C2751" s="1" t="s">
        <v>103</v>
      </c>
      <c r="D2751" s="1" t="s">
        <v>103</v>
      </c>
      <c r="E2751" s="6">
        <v>75401.399999999994</v>
      </c>
      <c r="F2751" s="1" t="s">
        <v>40</v>
      </c>
      <c r="G2751" s="6">
        <f ca="1">IFERROR(__xludf.DUMMYFUNCTION("iferror(GOOGLEFINANCE(TRIM(F2751)&amp;"":"" &amp; TRIM(B2751), ""price""),0
)"),483.5)</f>
        <v>483.5</v>
      </c>
      <c r="H2751" s="6">
        <v>487.05</v>
      </c>
      <c r="I2751" s="6">
        <f t="shared" ca="1" si="0"/>
        <v>483.5</v>
      </c>
      <c r="J2751" s="6">
        <f ca="1">IFERROR(__xludf.DUMMYFUNCTION("IFERROR(GOOGLEFINANCE(B2751, ""volume""), 0)"),243)</f>
        <v>243</v>
      </c>
      <c r="K2751" s="6">
        <v>5.13</v>
      </c>
      <c r="L2751" s="6">
        <f ca="1">IFERROR(__xludf.DUMMYFUNCTION("IFERROR(GOOGLEFINANCE(B2751,""changepct""),K2751)"),0)</f>
        <v>0</v>
      </c>
      <c r="M2751" s="6">
        <f ca="1">IFERROR(__xludf.DUMMYFUNCTION("IFERROR(GOOGLEFINANCE(B2751,""change""),0)"),0)</f>
        <v>0</v>
      </c>
      <c r="N2751" s="6">
        <v>2</v>
      </c>
      <c r="O2751" s="7">
        <v>45536</v>
      </c>
      <c r="P2751" s="6">
        <v>27357.88</v>
      </c>
      <c r="Q2751" s="6">
        <v>94700.93</v>
      </c>
      <c r="R2751" s="7">
        <v>45536</v>
      </c>
      <c r="S2751" s="6">
        <v>38565.18</v>
      </c>
      <c r="T2751" s="6">
        <v>8260.9</v>
      </c>
      <c r="U2751" s="7">
        <v>45536</v>
      </c>
      <c r="V2751" s="6">
        <v>8.99</v>
      </c>
      <c r="W2751" s="6">
        <f ca="1">IFERROR(__xludf.DUMMYFUNCTION("IFERROR(GOOGLEFINANCE(B2751,""pe""),V2751)"),8.99)</f>
        <v>8.99</v>
      </c>
      <c r="X2751" s="6">
        <v>0.55000000000000004</v>
      </c>
      <c r="Y2751" s="6">
        <v>1.43</v>
      </c>
      <c r="Z2751" s="6">
        <v>2</v>
      </c>
      <c r="AA2751" s="8">
        <v>45352</v>
      </c>
      <c r="AB2751" s="4">
        <v>0.49</v>
      </c>
      <c r="AC2751" s="6">
        <v>16.079999999999998</v>
      </c>
      <c r="AD2751" s="6">
        <v>15.21</v>
      </c>
      <c r="AE2751" s="1">
        <v>0</v>
      </c>
      <c r="AF2751" s="1">
        <f ca="1">IFERROR(__xludf.DUMMYFUNCTION("IFERROR(GOOGLEFINANCE(TRIM(F2751)&amp;"":"" &amp; TRIM(B2751),""high52""),AE2751)"),522.5)</f>
        <v>522.5</v>
      </c>
      <c r="AG2751" s="1">
        <v>0</v>
      </c>
      <c r="AH2751" s="1">
        <f ca="1">IFERROR(__xludf.DUMMYFUNCTION("IFERROR(GOOGLEFINANCE(TRIM(F2751)&amp;"":"" &amp; TRIM(B2751),""low52""),AE2751)"),325)</f>
        <v>325</v>
      </c>
      <c r="AI2751" s="1">
        <f ca="1">IFERROR(__xludf.DUMMYFUNCTION("IFERROR(GOOGLEFINANCE(B2751,""eps""),0)"),-13.88)</f>
        <v>-13.88</v>
      </c>
      <c r="AJ2751" s="1"/>
      <c r="AK2751" s="1" t="s">
        <v>8525</v>
      </c>
      <c r="AL2751" s="9">
        <f t="shared" si="269"/>
        <v>1</v>
      </c>
    </row>
    <row r="2752" spans="1:38" ht="15" x14ac:dyDescent="0.25">
      <c r="A2752" s="1" t="s">
        <v>8526</v>
      </c>
      <c r="B2752" s="1" t="s">
        <v>8527</v>
      </c>
      <c r="C2752" s="1" t="s">
        <v>567</v>
      </c>
      <c r="D2752" s="1" t="s">
        <v>567</v>
      </c>
      <c r="E2752" s="6">
        <v>27.32</v>
      </c>
      <c r="F2752" s="1" t="s">
        <v>53</v>
      </c>
      <c r="G2752" s="6">
        <f ca="1">IFERROR(__xludf.DUMMYFUNCTION("iferror(GOOGLEFINANCE(TRIM(F2752)&amp;"":"" &amp; TRIM(B2752), ""price""),0
)"),0)</f>
        <v>0</v>
      </c>
      <c r="H2752" s="6">
        <v>2.65</v>
      </c>
      <c r="I2752" s="6">
        <f t="shared" ca="1" si="0"/>
        <v>2.65</v>
      </c>
      <c r="J2752" s="6">
        <f ca="1">IFERROR(__xludf.DUMMYFUNCTION("IFERROR(GOOGLEFINANCE(B2752, ""volume""), 0)"),0)</f>
        <v>0</v>
      </c>
      <c r="K2752" s="6">
        <v>4.74</v>
      </c>
      <c r="L2752" s="6">
        <f ca="1">IFERROR(__xludf.DUMMYFUNCTION("IFERROR(GOOGLEFINANCE(B2752,""changepct""),K2752)"),4.74)</f>
        <v>4.74</v>
      </c>
      <c r="M2752" s="6">
        <f ca="1">IFERROR(__xludf.DUMMYFUNCTION("IFERROR(GOOGLEFINANCE(B2752,""change""),0)"),0)</f>
        <v>0</v>
      </c>
      <c r="N2752" s="6">
        <v>1</v>
      </c>
      <c r="O2752" s="7">
        <v>45536</v>
      </c>
      <c r="P2752" s="6">
        <v>28.61</v>
      </c>
      <c r="Q2752" s="6">
        <v>55.49</v>
      </c>
      <c r="R2752" s="7">
        <v>45536</v>
      </c>
      <c r="S2752" s="6">
        <v>42.95</v>
      </c>
      <c r="T2752" s="6">
        <v>0.3</v>
      </c>
      <c r="U2752" s="7">
        <v>45536</v>
      </c>
      <c r="V2752" s="6">
        <v>91.06</v>
      </c>
      <c r="W2752" s="6">
        <f ca="1">IFERROR(__xludf.DUMMYFUNCTION("IFERROR(GOOGLEFINANCE(B2752,""pe""),V2752)"),91.06)</f>
        <v>91.06</v>
      </c>
      <c r="X2752" s="6">
        <v>4.24</v>
      </c>
      <c r="Y2752" s="6">
        <v>2.16</v>
      </c>
      <c r="Z2752" s="6">
        <v>1</v>
      </c>
      <c r="AA2752" s="8">
        <v>45352</v>
      </c>
      <c r="AB2752" s="4">
        <v>2.29</v>
      </c>
      <c r="AC2752" s="6">
        <v>2.92</v>
      </c>
      <c r="AD2752" s="6">
        <v>5.03</v>
      </c>
      <c r="AE2752" s="1">
        <v>0</v>
      </c>
      <c r="AF2752" s="1">
        <f ca="1">IFERROR(__xludf.DUMMYFUNCTION("IFERROR(GOOGLEFINANCE(TRIM(F2752)&amp;"":"" &amp; TRIM(B2752),""high52""),AE2752)"),0)</f>
        <v>0</v>
      </c>
      <c r="AG2752" s="1">
        <v>0</v>
      </c>
      <c r="AH2752" s="1">
        <f ca="1">IFERROR(__xludf.DUMMYFUNCTION("IFERROR(GOOGLEFINANCE(TRIM(F2752)&amp;"":"" &amp; TRIM(B2752),""low52""),AE2752)"),0)</f>
        <v>0</v>
      </c>
      <c r="AI2752" s="1">
        <f ca="1">IFERROR(__xludf.DUMMYFUNCTION("IFERROR(GOOGLEFINANCE(B2752,""eps""),0)"),0)</f>
        <v>0</v>
      </c>
      <c r="AJ2752" s="1"/>
      <c r="AK2752" s="1" t="s">
        <v>8528</v>
      </c>
      <c r="AL2752" s="9">
        <f t="shared" si="269"/>
        <v>1</v>
      </c>
    </row>
    <row r="2753" spans="1:38" ht="15" x14ac:dyDescent="0.25">
      <c r="A2753" s="1" t="s">
        <v>8529</v>
      </c>
      <c r="B2753" s="1" t="s">
        <v>8530</v>
      </c>
      <c r="C2753" s="1" t="s">
        <v>669</v>
      </c>
      <c r="D2753" s="1" t="s">
        <v>669</v>
      </c>
      <c r="E2753" s="6">
        <v>37320.03</v>
      </c>
      <c r="F2753" s="1" t="s">
        <v>40</v>
      </c>
      <c r="G2753" s="6">
        <f ca="1">IFERROR(__xludf.DUMMYFUNCTION("iferror(GOOGLEFINANCE(TRIM(F2753)&amp;"":"" &amp; TRIM(B2753), ""price""),0
)"),31.95)</f>
        <v>31.95</v>
      </c>
      <c r="H2753" s="6">
        <v>83.5</v>
      </c>
      <c r="I2753" s="6">
        <f t="shared" ca="1" si="0"/>
        <v>31.95</v>
      </c>
      <c r="J2753" s="6">
        <f ca="1">IFERROR(__xludf.DUMMYFUNCTION("IFERROR(GOOGLEFINANCE(B2753, ""volume""), 0)"),40129664)</f>
        <v>40129664</v>
      </c>
      <c r="K2753" s="6">
        <v>-1.43</v>
      </c>
      <c r="L2753" s="6">
        <f ca="1">IFERROR(__xludf.DUMMYFUNCTION("IFERROR(GOOGLEFINANCE(B2753,""changepct""),K2753)"),1.43)</f>
        <v>1.43</v>
      </c>
      <c r="M2753" s="6">
        <f ca="1">IFERROR(__xludf.DUMMYFUNCTION("IFERROR(GOOGLEFINANCE(B2753,""change""),0)"),0.45)</f>
        <v>0.45</v>
      </c>
      <c r="N2753" s="6">
        <v>2</v>
      </c>
      <c r="O2753" s="7">
        <v>45536</v>
      </c>
      <c r="P2753" s="6">
        <v>3093</v>
      </c>
      <c r="Q2753" s="6">
        <v>34495.03</v>
      </c>
      <c r="R2753" s="14"/>
      <c r="S2753" s="9"/>
      <c r="T2753" s="9"/>
      <c r="U2753" s="7">
        <v>45352</v>
      </c>
      <c r="V2753" s="6">
        <v>0</v>
      </c>
      <c r="W2753" s="6">
        <f ca="1">IFERROR(__xludf.DUMMYFUNCTION("IFERROR(GOOGLEFINANCE(B2753,""pe""),V2753)"),0)</f>
        <v>0</v>
      </c>
      <c r="X2753" s="9"/>
      <c r="Y2753" s="6">
        <v>5.68</v>
      </c>
      <c r="Z2753" s="6">
        <v>2</v>
      </c>
      <c r="AA2753" s="8">
        <v>45352</v>
      </c>
      <c r="AB2753" s="4">
        <v>1.35</v>
      </c>
      <c r="AC2753" s="6">
        <v>0</v>
      </c>
      <c r="AD2753" s="6">
        <v>-33.24</v>
      </c>
      <c r="AE2753" s="1">
        <v>0</v>
      </c>
      <c r="AF2753" s="1">
        <f ca="1">IFERROR(__xludf.DUMMYFUNCTION("IFERROR(GOOGLEFINANCE(TRIM(F2753)&amp;"":"" &amp; TRIM(B2753),""high52""),AE2753)"),77)</f>
        <v>77</v>
      </c>
      <c r="AG2753" s="1">
        <v>0</v>
      </c>
      <c r="AH2753" s="1">
        <f ca="1">IFERROR(__xludf.DUMMYFUNCTION("IFERROR(GOOGLEFINANCE(TRIM(F2753)&amp;"":"" &amp; TRIM(B2753),""low52""),AE2753)"),30.46)</f>
        <v>30.46</v>
      </c>
      <c r="AI2753" s="1">
        <f ca="1">IFERROR(__xludf.DUMMYFUNCTION("IFERROR(GOOGLEFINANCE(B2753,""eps""),0)"),-5.18)</f>
        <v>-5.18</v>
      </c>
      <c r="AJ2753" s="1"/>
      <c r="AK2753" s="1" t="s">
        <v>8531</v>
      </c>
      <c r="AL2753" s="1" t="b">
        <f>ISNUMBER(AA2753)</f>
        <v>1</v>
      </c>
    </row>
    <row r="2754" spans="1:38" ht="15" x14ac:dyDescent="0.25">
      <c r="A2754" s="1" t="s">
        <v>8532</v>
      </c>
      <c r="B2754" s="1" t="s">
        <v>8533</v>
      </c>
      <c r="C2754" s="1" t="s">
        <v>567</v>
      </c>
      <c r="D2754" s="1" t="s">
        <v>567</v>
      </c>
      <c r="E2754" s="6">
        <v>11.9</v>
      </c>
      <c r="F2754" s="1" t="s">
        <v>53</v>
      </c>
      <c r="G2754" s="6">
        <f ca="1">IFERROR(__xludf.DUMMYFUNCTION("iferror(GOOGLEFINANCE(TRIM(F2754)&amp;"":"" &amp; TRIM(B2754), ""price""),0
)"),0)</f>
        <v>0</v>
      </c>
      <c r="H2754" s="6">
        <v>26.61</v>
      </c>
      <c r="I2754" s="6">
        <f t="shared" ca="1" si="0"/>
        <v>26.61</v>
      </c>
      <c r="J2754" s="6">
        <f ca="1">IFERROR(__xludf.DUMMYFUNCTION("IFERROR(GOOGLEFINANCE(B2754, ""volume""), 0)"),0)</f>
        <v>0</v>
      </c>
      <c r="K2754" s="6">
        <v>0.04</v>
      </c>
      <c r="L2754" s="6">
        <f ca="1">IFERROR(__xludf.DUMMYFUNCTION("IFERROR(GOOGLEFINANCE(B2754,""changepct""),K2754)"),0.04)</f>
        <v>0.04</v>
      </c>
      <c r="M2754" s="6">
        <f ca="1">IFERROR(__xludf.DUMMYFUNCTION("IFERROR(GOOGLEFINANCE(B2754,""change""),0)"),0)</f>
        <v>0</v>
      </c>
      <c r="N2754" s="6">
        <v>1</v>
      </c>
      <c r="O2754" s="7">
        <v>45536</v>
      </c>
      <c r="P2754" s="6">
        <v>15.77</v>
      </c>
      <c r="Q2754" s="6">
        <v>23.95</v>
      </c>
      <c r="R2754" s="7">
        <v>45536</v>
      </c>
      <c r="S2754" s="6">
        <v>23.55</v>
      </c>
      <c r="T2754" s="6">
        <v>0.09</v>
      </c>
      <c r="U2754" s="7">
        <v>45536</v>
      </c>
      <c r="V2754" s="6">
        <v>138.37</v>
      </c>
      <c r="W2754" s="6">
        <f ca="1">IFERROR(__xludf.DUMMYFUNCTION("IFERROR(GOOGLEFINANCE(B2754,""pe""),V2754)"),138.37)</f>
        <v>138.37</v>
      </c>
      <c r="X2754" s="6">
        <v>-23.06</v>
      </c>
      <c r="Y2754" s="6">
        <v>0.79</v>
      </c>
      <c r="Z2754" s="6">
        <v>1</v>
      </c>
      <c r="AA2754" s="8">
        <v>45352</v>
      </c>
      <c r="AB2754" s="4">
        <v>1.34</v>
      </c>
      <c r="AC2754" s="6">
        <v>2.15</v>
      </c>
      <c r="AD2754" s="6">
        <v>5.96</v>
      </c>
      <c r="AE2754" s="1">
        <v>0</v>
      </c>
      <c r="AF2754" s="1">
        <f ca="1">IFERROR(__xludf.DUMMYFUNCTION("IFERROR(GOOGLEFINANCE(TRIM(F2754)&amp;"":"" &amp; TRIM(B2754),""high52""),AE2754)"),0)</f>
        <v>0</v>
      </c>
      <c r="AG2754" s="1">
        <v>0</v>
      </c>
      <c r="AH2754" s="1">
        <f ca="1">IFERROR(__xludf.DUMMYFUNCTION("IFERROR(GOOGLEFINANCE(TRIM(F2754)&amp;"":"" &amp; TRIM(B2754),""low52""),AE2754)"),0)</f>
        <v>0</v>
      </c>
      <c r="AI2754" s="1">
        <f ca="1">IFERROR(__xludf.DUMMYFUNCTION("IFERROR(GOOGLEFINANCE(B2754,""eps""),0)"),0)</f>
        <v>0</v>
      </c>
      <c r="AJ2754" s="1"/>
      <c r="AK2754" s="1" t="s">
        <v>8534</v>
      </c>
      <c r="AL2754" s="9">
        <f t="shared" ref="AL2754:AL2757" si="270">IF(AA2754&lt;&gt;AB2754,1,0)</f>
        <v>1</v>
      </c>
    </row>
    <row r="2755" spans="1:38" ht="15" x14ac:dyDescent="0.25">
      <c r="A2755" s="1" t="s">
        <v>8535</v>
      </c>
      <c r="B2755" s="1" t="s">
        <v>8536</v>
      </c>
      <c r="C2755" s="1" t="s">
        <v>567</v>
      </c>
      <c r="D2755" s="1" t="s">
        <v>567</v>
      </c>
      <c r="E2755" s="6">
        <v>7.04</v>
      </c>
      <c r="F2755" s="1" t="s">
        <v>53</v>
      </c>
      <c r="G2755" s="6">
        <f ca="1">IFERROR(__xludf.DUMMYFUNCTION("iferror(GOOGLEFINANCE(TRIM(F2755)&amp;"":"" &amp; TRIM(B2755), ""price""),0
)"),0)</f>
        <v>0</v>
      </c>
      <c r="H2755" s="6">
        <v>20.91</v>
      </c>
      <c r="I2755" s="6">
        <f t="shared" ca="1" si="0"/>
        <v>20.91</v>
      </c>
      <c r="J2755" s="6">
        <f ca="1">IFERROR(__xludf.DUMMYFUNCTION("IFERROR(GOOGLEFINANCE(B2755, ""volume""), 0)"),0)</f>
        <v>0</v>
      </c>
      <c r="K2755" s="6">
        <v>-1.97</v>
      </c>
      <c r="L2755" s="6">
        <f ca="1">IFERROR(__xludf.DUMMYFUNCTION("IFERROR(GOOGLEFINANCE(B2755,""changepct""),K2755)"),-1.97)</f>
        <v>-1.97</v>
      </c>
      <c r="M2755" s="6">
        <f ca="1">IFERROR(__xludf.DUMMYFUNCTION("IFERROR(GOOGLEFINANCE(B2755,""change""),0)"),0)</f>
        <v>0</v>
      </c>
      <c r="N2755" s="6">
        <v>1</v>
      </c>
      <c r="O2755" s="7">
        <v>45536</v>
      </c>
      <c r="P2755" s="9"/>
      <c r="Q2755" s="6">
        <v>7.04</v>
      </c>
      <c r="R2755" s="7">
        <v>45536</v>
      </c>
      <c r="S2755" s="6">
        <v>0</v>
      </c>
      <c r="T2755" s="6">
        <v>-0.06</v>
      </c>
      <c r="U2755" s="7">
        <v>45536</v>
      </c>
      <c r="V2755" s="6">
        <v>0</v>
      </c>
      <c r="W2755" s="6">
        <f ca="1">IFERROR(__xludf.DUMMYFUNCTION("IFERROR(GOOGLEFINANCE(B2755,""pe""),V2755)"),0)</f>
        <v>0</v>
      </c>
      <c r="X2755" s="6">
        <v>0</v>
      </c>
      <c r="Y2755" s="6">
        <v>2.2400000000000002</v>
      </c>
      <c r="Z2755" s="6">
        <v>1</v>
      </c>
      <c r="AA2755" s="8">
        <v>45352</v>
      </c>
      <c r="AB2755" s="4">
        <v>0</v>
      </c>
      <c r="AC2755" s="6">
        <v>-2.31</v>
      </c>
      <c r="AD2755" s="6">
        <v>-2.21</v>
      </c>
      <c r="AE2755" s="1">
        <v>0</v>
      </c>
      <c r="AF2755" s="1">
        <f ca="1">IFERROR(__xludf.DUMMYFUNCTION("IFERROR(GOOGLEFINANCE(TRIM(F2755)&amp;"":"" &amp; TRIM(B2755),""high52""),AE2755)"),0)</f>
        <v>0</v>
      </c>
      <c r="AG2755" s="1">
        <v>0</v>
      </c>
      <c r="AH2755" s="1">
        <f ca="1">IFERROR(__xludf.DUMMYFUNCTION("IFERROR(GOOGLEFINANCE(TRIM(F2755)&amp;"":"" &amp; TRIM(B2755),""low52""),AE2755)"),0)</f>
        <v>0</v>
      </c>
      <c r="AI2755" s="1">
        <f ca="1">IFERROR(__xludf.DUMMYFUNCTION("IFERROR(GOOGLEFINANCE(B2755,""eps""),0)"),0)</f>
        <v>0</v>
      </c>
      <c r="AJ2755" s="1"/>
      <c r="AK2755" s="1" t="s">
        <v>8537</v>
      </c>
      <c r="AL2755" s="9">
        <f t="shared" si="270"/>
        <v>1</v>
      </c>
    </row>
    <row r="2756" spans="1:38" ht="15" x14ac:dyDescent="0.25">
      <c r="A2756" s="1" t="s">
        <v>8538</v>
      </c>
      <c r="B2756" s="1" t="s">
        <v>8539</v>
      </c>
      <c r="C2756" s="1" t="s">
        <v>567</v>
      </c>
      <c r="D2756" s="1" t="s">
        <v>567</v>
      </c>
      <c r="E2756" s="6">
        <v>102.16</v>
      </c>
      <c r="F2756" s="1" t="s">
        <v>53</v>
      </c>
      <c r="G2756" s="6">
        <f ca="1">IFERROR(__xludf.DUMMYFUNCTION("iferror(GOOGLEFINANCE(TRIM(F2756)&amp;"":"" &amp; TRIM(B2756), ""price""),0
)"),0)</f>
        <v>0</v>
      </c>
      <c r="H2756" s="6">
        <v>60.55</v>
      </c>
      <c r="I2756" s="6">
        <f t="shared" ca="1" si="0"/>
        <v>60.55</v>
      </c>
      <c r="J2756" s="6">
        <f ca="1">IFERROR(__xludf.DUMMYFUNCTION("IFERROR(GOOGLEFINANCE(B2756, ""volume""), 0)"),0)</f>
        <v>0</v>
      </c>
      <c r="K2756" s="6">
        <v>-0.49</v>
      </c>
      <c r="L2756" s="6">
        <f ca="1">IFERROR(__xludf.DUMMYFUNCTION("IFERROR(GOOGLEFINANCE(B2756,""changepct""),K2756)"),-0.49)</f>
        <v>-0.49</v>
      </c>
      <c r="M2756" s="6">
        <f ca="1">IFERROR(__xludf.DUMMYFUNCTION("IFERROR(GOOGLEFINANCE(B2756,""change""),0)"),0)</f>
        <v>0</v>
      </c>
      <c r="N2756" s="6">
        <v>2</v>
      </c>
      <c r="O2756" s="7">
        <v>45536</v>
      </c>
      <c r="P2756" s="6">
        <v>69.88</v>
      </c>
      <c r="Q2756" s="6">
        <v>172.04</v>
      </c>
      <c r="R2756" s="7">
        <v>45536</v>
      </c>
      <c r="S2756" s="6">
        <v>25.06</v>
      </c>
      <c r="T2756" s="6">
        <v>2.62</v>
      </c>
      <c r="U2756" s="7">
        <v>45536</v>
      </c>
      <c r="V2756" s="6">
        <v>38.92</v>
      </c>
      <c r="W2756" s="6">
        <f ca="1">IFERROR(__xludf.DUMMYFUNCTION("IFERROR(GOOGLEFINANCE(B2756,""pe""),V2756)"),38.92)</f>
        <v>38.92</v>
      </c>
      <c r="X2756" s="6">
        <v>-8.09</v>
      </c>
      <c r="Y2756" s="6">
        <v>1.17</v>
      </c>
      <c r="Z2756" s="6">
        <v>2</v>
      </c>
      <c r="AA2756" s="8">
        <v>45352</v>
      </c>
      <c r="AB2756" s="4">
        <v>0.88</v>
      </c>
      <c r="AC2756" s="6">
        <v>2.82</v>
      </c>
      <c r="AD2756" s="6">
        <v>6.3</v>
      </c>
      <c r="AE2756" s="1">
        <v>0</v>
      </c>
      <c r="AF2756" s="1">
        <f ca="1">IFERROR(__xludf.DUMMYFUNCTION("IFERROR(GOOGLEFINANCE(TRIM(F2756)&amp;"":"" &amp; TRIM(B2756),""high52""),AE2756)"),0)</f>
        <v>0</v>
      </c>
      <c r="AG2756" s="1">
        <v>0</v>
      </c>
      <c r="AH2756" s="1">
        <f ca="1">IFERROR(__xludf.DUMMYFUNCTION("IFERROR(GOOGLEFINANCE(TRIM(F2756)&amp;"":"" &amp; TRIM(B2756),""low52""),AE2756)"),0)</f>
        <v>0</v>
      </c>
      <c r="AI2756" s="1">
        <f ca="1">IFERROR(__xludf.DUMMYFUNCTION("IFERROR(GOOGLEFINANCE(B2756,""eps""),0)"),0)</f>
        <v>0</v>
      </c>
      <c r="AJ2756" s="1"/>
      <c r="AK2756" s="1" t="s">
        <v>8540</v>
      </c>
      <c r="AL2756" s="9">
        <f t="shared" si="270"/>
        <v>1</v>
      </c>
    </row>
    <row r="2757" spans="1:38" ht="15" x14ac:dyDescent="0.25">
      <c r="A2757" s="1" t="s">
        <v>8541</v>
      </c>
      <c r="B2757" s="1" t="s">
        <v>8542</v>
      </c>
      <c r="C2757" s="1" t="s">
        <v>567</v>
      </c>
      <c r="D2757" s="1" t="s">
        <v>567</v>
      </c>
      <c r="E2757" s="6">
        <v>127.3</v>
      </c>
      <c r="F2757" s="1" t="s">
        <v>53</v>
      </c>
      <c r="G2757" s="6">
        <f ca="1">IFERROR(__xludf.DUMMYFUNCTION("iferror(GOOGLEFINANCE(TRIM(F2757)&amp;"":"" &amp; TRIM(B2757), ""price""),0
)"),0)</f>
        <v>0</v>
      </c>
      <c r="H2757" s="6">
        <v>11.84</v>
      </c>
      <c r="I2757" s="6">
        <f t="shared" ca="1" si="0"/>
        <v>11.84</v>
      </c>
      <c r="J2757" s="6">
        <f ca="1">IFERROR(__xludf.DUMMYFUNCTION("IFERROR(GOOGLEFINANCE(B2757, ""volume""), 0)"),0)</f>
        <v>0</v>
      </c>
      <c r="K2757" s="6">
        <v>0.42</v>
      </c>
      <c r="L2757" s="6">
        <f ca="1">IFERROR(__xludf.DUMMYFUNCTION("IFERROR(GOOGLEFINANCE(B2757,""changepct""),K2757)"),0.42)</f>
        <v>0.42</v>
      </c>
      <c r="M2757" s="6">
        <f ca="1">IFERROR(__xludf.DUMMYFUNCTION("IFERROR(GOOGLEFINANCE(B2757,""change""),0)"),0)</f>
        <v>0</v>
      </c>
      <c r="N2757" s="6">
        <v>2</v>
      </c>
      <c r="O2757" s="7">
        <v>45536</v>
      </c>
      <c r="P2757" s="6">
        <v>68.56</v>
      </c>
      <c r="Q2757" s="6">
        <v>182.05</v>
      </c>
      <c r="R2757" s="7">
        <v>45536</v>
      </c>
      <c r="S2757" s="6">
        <v>262.51</v>
      </c>
      <c r="T2757" s="6">
        <v>6.07</v>
      </c>
      <c r="U2757" s="7">
        <v>45536</v>
      </c>
      <c r="V2757" s="6">
        <v>20.57</v>
      </c>
      <c r="W2757" s="6">
        <f ca="1">IFERROR(__xludf.DUMMYFUNCTION("IFERROR(GOOGLEFINANCE(B2757,""pe""),V2757)"),20.57)</f>
        <v>20.57</v>
      </c>
      <c r="X2757" s="6">
        <v>2.66</v>
      </c>
      <c r="Y2757" s="6">
        <v>1.27</v>
      </c>
      <c r="Z2757" s="6">
        <v>2</v>
      </c>
      <c r="AA2757" s="8">
        <v>45352</v>
      </c>
      <c r="AB2757" s="4">
        <v>0.81</v>
      </c>
      <c r="AC2757" s="6">
        <v>6.06</v>
      </c>
      <c r="AD2757" s="6">
        <v>7.76</v>
      </c>
      <c r="AE2757" s="1">
        <v>0</v>
      </c>
      <c r="AF2757" s="1">
        <f ca="1">IFERROR(__xludf.DUMMYFUNCTION("IFERROR(GOOGLEFINANCE(TRIM(F2757)&amp;"":"" &amp; TRIM(B2757),""high52""),AE2757)"),0)</f>
        <v>0</v>
      </c>
      <c r="AG2757" s="1">
        <v>0</v>
      </c>
      <c r="AH2757" s="1">
        <f ca="1">IFERROR(__xludf.DUMMYFUNCTION("IFERROR(GOOGLEFINANCE(TRIM(F2757)&amp;"":"" &amp; TRIM(B2757),""low52""),AE2757)"),0)</f>
        <v>0</v>
      </c>
      <c r="AI2757" s="1">
        <f ca="1">IFERROR(__xludf.DUMMYFUNCTION("IFERROR(GOOGLEFINANCE(B2757,""eps""),0)"),0)</f>
        <v>0</v>
      </c>
      <c r="AJ2757" s="1"/>
      <c r="AK2757" s="1" t="s">
        <v>8543</v>
      </c>
      <c r="AL2757" s="9">
        <f t="shared" si="270"/>
        <v>1</v>
      </c>
    </row>
    <row r="2758" spans="1:38" ht="15" x14ac:dyDescent="0.25">
      <c r="A2758" s="1" t="s">
        <v>8544</v>
      </c>
      <c r="B2758" s="1" t="s">
        <v>8545</v>
      </c>
      <c r="C2758" s="1" t="s">
        <v>970</v>
      </c>
      <c r="D2758" s="1" t="s">
        <v>970</v>
      </c>
      <c r="E2758" s="6">
        <v>12255.47</v>
      </c>
      <c r="F2758" s="1" t="s">
        <v>40</v>
      </c>
      <c r="G2758" s="6">
        <f ca="1">IFERROR(__xludf.DUMMYFUNCTION("iferror(GOOGLEFINANCE(TRIM(F2758)&amp;"":"" &amp; TRIM(B2758), ""price""),0
)"),1086)</f>
        <v>1086</v>
      </c>
      <c r="H2758" s="6">
        <v>1502.45</v>
      </c>
      <c r="I2758" s="6">
        <f t="shared" ca="1" si="0"/>
        <v>1086</v>
      </c>
      <c r="J2758" s="6">
        <f ca="1">IFERROR(__xludf.DUMMYFUNCTION("IFERROR(GOOGLEFINANCE(B2758, ""volume""), 0)"),247566)</f>
        <v>247566</v>
      </c>
      <c r="K2758" s="6">
        <v>0.63</v>
      </c>
      <c r="L2758" s="6">
        <f ca="1">IFERROR(__xludf.DUMMYFUNCTION("IFERROR(GOOGLEFINANCE(B2758,""changepct""),K2758)"),1.41)</f>
        <v>1.41</v>
      </c>
      <c r="M2758" s="6">
        <f ca="1">IFERROR(__xludf.DUMMYFUNCTION("IFERROR(GOOGLEFINANCE(B2758,""change""),0)"),15.1)</f>
        <v>15.1</v>
      </c>
      <c r="N2758" s="6">
        <v>2</v>
      </c>
      <c r="O2758" s="7">
        <v>45536</v>
      </c>
      <c r="P2758" s="6">
        <v>186.72</v>
      </c>
      <c r="Q2758" s="6">
        <v>12223.46</v>
      </c>
      <c r="R2758" s="7">
        <v>45536</v>
      </c>
      <c r="S2758" s="6">
        <v>1468.56</v>
      </c>
      <c r="T2758" s="6">
        <v>100.08</v>
      </c>
      <c r="U2758" s="7">
        <v>45536</v>
      </c>
      <c r="V2758" s="6">
        <v>109.17</v>
      </c>
      <c r="W2758" s="6">
        <f ca="1">IFERROR(__xludf.DUMMYFUNCTION("IFERROR(GOOGLEFINANCE(B2758,""pe""),V2758)"),62.38)</f>
        <v>62.38</v>
      </c>
      <c r="X2758" s="6">
        <v>2.3199999999999998</v>
      </c>
      <c r="Y2758" s="6">
        <v>12.48</v>
      </c>
      <c r="Z2758" s="6">
        <v>2</v>
      </c>
      <c r="AA2758" s="8">
        <v>45352</v>
      </c>
      <c r="AB2758" s="4">
        <v>0.13</v>
      </c>
      <c r="AC2758" s="6">
        <v>8.9700000000000006</v>
      </c>
      <c r="AD2758" s="6">
        <v>14.83</v>
      </c>
      <c r="AE2758" s="1">
        <v>0</v>
      </c>
      <c r="AF2758" s="1">
        <f ca="1">IFERROR(__xludf.DUMMYFUNCTION("IFERROR(GOOGLEFINANCE(TRIM(F2758)&amp;"":"" &amp; TRIM(B2758),""high52""),AE2758)"),1714.2)</f>
        <v>1714.2</v>
      </c>
      <c r="AG2758" s="1">
        <v>0</v>
      </c>
      <c r="AH2758" s="1">
        <f ca="1">IFERROR(__xludf.DUMMYFUNCTION("IFERROR(GOOGLEFINANCE(TRIM(F2758)&amp;"":"" &amp; TRIM(B2758),""low52""),AE2758)"),965.1)</f>
        <v>965.1</v>
      </c>
      <c r="AI2758" s="1">
        <f ca="1">IFERROR(__xludf.DUMMYFUNCTION("IFERROR(GOOGLEFINANCE(B2758,""eps""),0)"),17.41)</f>
        <v>17.41</v>
      </c>
      <c r="AJ2758" s="1"/>
      <c r="AK2758" s="1" t="s">
        <v>8546</v>
      </c>
      <c r="AL2758" s="1" t="b">
        <f>ISNUMBER(AA2758)</f>
        <v>1</v>
      </c>
    </row>
    <row r="2759" spans="1:38" ht="15" x14ac:dyDescent="0.25">
      <c r="A2759" s="1" t="s">
        <v>8547</v>
      </c>
      <c r="B2759" s="1" t="s">
        <v>8548</v>
      </c>
      <c r="C2759" s="1" t="s">
        <v>259</v>
      </c>
      <c r="D2759" s="1" t="s">
        <v>259</v>
      </c>
      <c r="E2759" s="6">
        <v>25.22</v>
      </c>
      <c r="F2759" s="1" t="s">
        <v>53</v>
      </c>
      <c r="G2759" s="6">
        <f ca="1">IFERROR(__xludf.DUMMYFUNCTION("iferror(GOOGLEFINANCE(TRIM(F2759)&amp;"":"" &amp; TRIM(B2759), ""price""),0
)"),0)</f>
        <v>0</v>
      </c>
      <c r="H2759" s="6">
        <v>0.7</v>
      </c>
      <c r="I2759" s="6">
        <f t="shared" ca="1" si="0"/>
        <v>0.7</v>
      </c>
      <c r="J2759" s="6">
        <f ca="1">IFERROR(__xludf.DUMMYFUNCTION("IFERROR(GOOGLEFINANCE(B2759, ""volume""), 0)"),0)</f>
        <v>0</v>
      </c>
      <c r="K2759" s="6">
        <v>0</v>
      </c>
      <c r="L2759" s="6">
        <f ca="1">IFERROR(__xludf.DUMMYFUNCTION("IFERROR(GOOGLEFINANCE(B2759,""changepct""),K2759)"),0)</f>
        <v>0</v>
      </c>
      <c r="M2759" s="6">
        <f ca="1">IFERROR(__xludf.DUMMYFUNCTION("IFERROR(GOOGLEFINANCE(B2759,""change""),0)"),0)</f>
        <v>0</v>
      </c>
      <c r="N2759" s="6">
        <v>1</v>
      </c>
      <c r="O2759" s="7">
        <v>45536</v>
      </c>
      <c r="P2759" s="6">
        <v>18.649999999999999</v>
      </c>
      <c r="Q2759" s="6">
        <v>43.87</v>
      </c>
      <c r="R2759" s="15">
        <v>45261</v>
      </c>
      <c r="S2759" s="6">
        <v>52.24</v>
      </c>
      <c r="T2759" s="6">
        <v>-0.91</v>
      </c>
      <c r="U2759" s="7">
        <v>45352</v>
      </c>
      <c r="V2759" s="6">
        <v>0</v>
      </c>
      <c r="W2759" s="6">
        <f ca="1">IFERROR(__xludf.DUMMYFUNCTION("IFERROR(GOOGLEFINANCE(B2759,""pe""),V2759)"),0)</f>
        <v>0</v>
      </c>
      <c r="X2759" s="6">
        <v>0</v>
      </c>
      <c r="Y2759" s="6">
        <v>-10.51</v>
      </c>
      <c r="Z2759" s="6">
        <v>1</v>
      </c>
      <c r="AA2759" s="8">
        <v>45352</v>
      </c>
      <c r="AB2759" s="4">
        <v>-7.63</v>
      </c>
      <c r="AC2759" s="6">
        <v>0</v>
      </c>
      <c r="AD2759" s="6">
        <v>-17.239999999999998</v>
      </c>
      <c r="AE2759" s="1">
        <v>0</v>
      </c>
      <c r="AF2759" s="1">
        <f ca="1">IFERROR(__xludf.DUMMYFUNCTION("IFERROR(GOOGLEFINANCE(TRIM(F2759)&amp;"":"" &amp; TRIM(B2759),""high52""),AE2759)"),0)</f>
        <v>0</v>
      </c>
      <c r="AG2759" s="1">
        <v>0</v>
      </c>
      <c r="AH2759" s="1">
        <f ca="1">IFERROR(__xludf.DUMMYFUNCTION("IFERROR(GOOGLEFINANCE(TRIM(F2759)&amp;"":"" &amp; TRIM(B2759),""low52""),AE2759)"),0)</f>
        <v>0</v>
      </c>
      <c r="AI2759" s="1">
        <f ca="1">IFERROR(__xludf.DUMMYFUNCTION("IFERROR(GOOGLEFINANCE(B2759,""eps""),0)"),0)</f>
        <v>0</v>
      </c>
      <c r="AJ2759" s="1"/>
      <c r="AK2759" s="1" t="s">
        <v>8549</v>
      </c>
      <c r="AL2759" s="9">
        <f t="shared" ref="AL2759:AL2760" si="271">IF(AA2759&lt;&gt;AB2759,1,0)</f>
        <v>1</v>
      </c>
    </row>
    <row r="2760" spans="1:38" ht="15" x14ac:dyDescent="0.25">
      <c r="A2760" s="1" t="s">
        <v>8550</v>
      </c>
      <c r="B2760" s="1" t="s">
        <v>8551</v>
      </c>
      <c r="C2760" s="1" t="s">
        <v>86</v>
      </c>
      <c r="D2760" s="1" t="s">
        <v>86</v>
      </c>
      <c r="E2760" s="6">
        <v>1550.49</v>
      </c>
      <c r="F2760" s="1" t="s">
        <v>40</v>
      </c>
      <c r="G2760" s="6">
        <f ca="1">IFERROR(__xludf.DUMMYFUNCTION("iferror(GOOGLEFINANCE(TRIM(F2760)&amp;"":"" &amp; TRIM(B2760), ""price""),0
)"),79.85)</f>
        <v>79.849999999999994</v>
      </c>
      <c r="H2760" s="6">
        <v>173.5</v>
      </c>
      <c r="I2760" s="6">
        <f t="shared" ca="1" si="0"/>
        <v>79.849999999999994</v>
      </c>
      <c r="J2760" s="6">
        <f ca="1">IFERROR(__xludf.DUMMYFUNCTION("IFERROR(GOOGLEFINANCE(B2760, ""volume""), 0)"),62699)</f>
        <v>62699</v>
      </c>
      <c r="K2760" s="6">
        <v>7.54</v>
      </c>
      <c r="L2760" s="6">
        <f ca="1">IFERROR(__xludf.DUMMYFUNCTION("IFERROR(GOOGLEFINANCE(B2760,""changepct""),K2760)"),4.91)</f>
        <v>4.91</v>
      </c>
      <c r="M2760" s="6">
        <f ca="1">IFERROR(__xludf.DUMMYFUNCTION("IFERROR(GOOGLEFINANCE(B2760,""change""),0)"),3.74)</f>
        <v>3.74</v>
      </c>
      <c r="N2760" s="6">
        <v>2</v>
      </c>
      <c r="O2760" s="7">
        <v>45536</v>
      </c>
      <c r="P2760" s="6">
        <v>102.52</v>
      </c>
      <c r="Q2760" s="6">
        <v>1584.43</v>
      </c>
      <c r="R2760" s="7">
        <v>45536</v>
      </c>
      <c r="S2760" s="6">
        <v>975.15</v>
      </c>
      <c r="T2760" s="6">
        <v>25.77</v>
      </c>
      <c r="U2760" s="7">
        <v>45536</v>
      </c>
      <c r="V2760" s="6">
        <v>60.46</v>
      </c>
      <c r="W2760" s="6">
        <f ca="1">IFERROR(__xludf.DUMMYFUNCTION("IFERROR(GOOGLEFINANCE(B2760,""pe""),V2760)"),29.5)</f>
        <v>29.5</v>
      </c>
      <c r="X2760" s="6">
        <v>2.48</v>
      </c>
      <c r="Y2760" s="6">
        <v>2.11</v>
      </c>
      <c r="Z2760" s="6">
        <v>2</v>
      </c>
      <c r="AA2760" s="8">
        <v>45352</v>
      </c>
      <c r="AB2760" s="4">
        <v>0.12</v>
      </c>
      <c r="AC2760" s="6">
        <v>6.7</v>
      </c>
      <c r="AD2760" s="6">
        <v>13.46</v>
      </c>
      <c r="AE2760" s="1">
        <v>0</v>
      </c>
      <c r="AF2760" s="1">
        <f ca="1">IFERROR(__xludf.DUMMYFUNCTION("IFERROR(GOOGLEFINANCE(TRIM(F2760)&amp;"":"" &amp; TRIM(B2760),""high52""),AE2760)"),149.9)</f>
        <v>149.9</v>
      </c>
      <c r="AG2760" s="1">
        <v>0</v>
      </c>
      <c r="AH2760" s="1">
        <f ca="1">IFERROR(__xludf.DUMMYFUNCTION("IFERROR(GOOGLEFINANCE(TRIM(F2760)&amp;"":"" &amp; TRIM(B2760),""low52""),AE2760)"),71.5)</f>
        <v>71.5</v>
      </c>
      <c r="AI2760" s="1">
        <f ca="1">IFERROR(__xludf.DUMMYFUNCTION("IFERROR(GOOGLEFINANCE(B2760,""eps""),0)"),2.71)</f>
        <v>2.71</v>
      </c>
      <c r="AJ2760" s="1"/>
      <c r="AK2760" s="9"/>
      <c r="AL2760" s="9">
        <f t="shared" si="271"/>
        <v>1</v>
      </c>
    </row>
    <row r="2761" spans="1:38" ht="15" x14ac:dyDescent="0.25">
      <c r="A2761" s="1" t="s">
        <v>8552</v>
      </c>
      <c r="B2761" s="1" t="s">
        <v>8553</v>
      </c>
      <c r="C2761" s="1" t="s">
        <v>355</v>
      </c>
      <c r="D2761" s="1" t="s">
        <v>355</v>
      </c>
      <c r="E2761" s="6">
        <v>252.49</v>
      </c>
      <c r="F2761" s="1" t="s">
        <v>40</v>
      </c>
      <c r="G2761" s="6">
        <f ca="1">IFERROR(__xludf.DUMMYFUNCTION("iferror(GOOGLEFINANCE(TRIM(F2761)&amp;"":"" &amp; TRIM(B2761), ""price""),0
)"),113.65)</f>
        <v>113.65</v>
      </c>
      <c r="H2761" s="6">
        <v>120.89</v>
      </c>
      <c r="I2761" s="6">
        <f t="shared" ca="1" si="0"/>
        <v>113.65</v>
      </c>
      <c r="J2761" s="6">
        <f ca="1">IFERROR(__xludf.DUMMYFUNCTION("IFERROR(GOOGLEFINANCE(B2761, ""volume""), 0)"),94535)</f>
        <v>94535</v>
      </c>
      <c r="K2761" s="6">
        <v>0.99</v>
      </c>
      <c r="L2761" s="6">
        <f ca="1">IFERROR(__xludf.DUMMYFUNCTION("IFERROR(GOOGLEFINANCE(B2761,""changepct""),K2761)"),3.07)</f>
        <v>3.07</v>
      </c>
      <c r="M2761" s="6">
        <f ca="1">IFERROR(__xludf.DUMMYFUNCTION("IFERROR(GOOGLEFINANCE(B2761,""change""),0)"),3.38)</f>
        <v>3.38</v>
      </c>
      <c r="N2761" s="6">
        <v>1</v>
      </c>
      <c r="O2761" s="7">
        <v>45536</v>
      </c>
      <c r="P2761" s="6">
        <v>98.66</v>
      </c>
      <c r="Q2761" s="6">
        <v>280.43</v>
      </c>
      <c r="R2761" s="7">
        <v>45536</v>
      </c>
      <c r="S2761" s="6">
        <v>372.11</v>
      </c>
      <c r="T2761" s="6">
        <v>34.51</v>
      </c>
      <c r="U2761" s="7">
        <v>45536</v>
      </c>
      <c r="V2761" s="6">
        <v>7.32</v>
      </c>
      <c r="W2761" s="6">
        <f ca="1">IFERROR(__xludf.DUMMYFUNCTION("IFERROR(GOOGLEFINANCE(B2761,""pe""),V2761)"),12.04)</f>
        <v>12.04</v>
      </c>
      <c r="X2761" s="6">
        <v>-0.68</v>
      </c>
      <c r="Y2761" s="6">
        <v>0.81</v>
      </c>
      <c r="Z2761" s="6">
        <v>1</v>
      </c>
      <c r="AA2761" s="8">
        <v>45352</v>
      </c>
      <c r="AB2761" s="4">
        <v>0.37</v>
      </c>
      <c r="AC2761" s="6">
        <v>4</v>
      </c>
      <c r="AD2761" s="6">
        <v>10.85</v>
      </c>
      <c r="AE2761" s="1">
        <v>0</v>
      </c>
      <c r="AF2761" s="1">
        <f ca="1">IFERROR(__xludf.DUMMYFUNCTION("IFERROR(GOOGLEFINANCE(TRIM(F2761)&amp;"":"" &amp; TRIM(B2761),""high52""),AE2761)"),165.8)</f>
        <v>165.8</v>
      </c>
      <c r="AG2761" s="1">
        <v>0</v>
      </c>
      <c r="AH2761" s="1">
        <f ca="1">IFERROR(__xludf.DUMMYFUNCTION("IFERROR(GOOGLEFINANCE(TRIM(F2761)&amp;"":"" &amp; TRIM(B2761),""low52""),AE2761)"),77.55)</f>
        <v>77.55</v>
      </c>
      <c r="AI2761" s="1">
        <f ca="1">IFERROR(__xludf.DUMMYFUNCTION("IFERROR(GOOGLEFINANCE(B2761,""eps""),0)"),9.44)</f>
        <v>9.44</v>
      </c>
      <c r="AJ2761" s="1"/>
      <c r="AK2761" s="1" t="s">
        <v>8554</v>
      </c>
      <c r="AL2761" s="1" t="b">
        <f>ISNUMBER(AA2761)</f>
        <v>1</v>
      </c>
    </row>
    <row r="2762" spans="1:38" ht="15" x14ac:dyDescent="0.25">
      <c r="A2762" s="1" t="s">
        <v>8555</v>
      </c>
      <c r="B2762" s="1" t="s">
        <v>8556</v>
      </c>
      <c r="C2762" s="1" t="s">
        <v>259</v>
      </c>
      <c r="D2762" s="1" t="s">
        <v>259</v>
      </c>
      <c r="E2762" s="6">
        <v>38.35</v>
      </c>
      <c r="F2762" s="1" t="s">
        <v>53</v>
      </c>
      <c r="G2762" s="6">
        <f ca="1">IFERROR(__xludf.DUMMYFUNCTION("iferror(GOOGLEFINANCE(TRIM(F2762)&amp;"":"" &amp; TRIM(B2762), ""price""),0
)"),0)</f>
        <v>0</v>
      </c>
      <c r="H2762" s="6">
        <v>94</v>
      </c>
      <c r="I2762" s="6">
        <f t="shared" ca="1" si="0"/>
        <v>94</v>
      </c>
      <c r="J2762" s="6">
        <f ca="1">IFERROR(__xludf.DUMMYFUNCTION("IFERROR(GOOGLEFINANCE(B2762, ""volume""), 0)"),0)</f>
        <v>0</v>
      </c>
      <c r="K2762" s="9"/>
      <c r="L2762" s="6" t="str">
        <f ca="1">IFERROR(__xludf.DUMMYFUNCTION("IFERROR(GOOGLEFINANCE(B2762,""changepct""),K2762)"),"")</f>
        <v/>
      </c>
      <c r="M2762" s="6">
        <f ca="1">IFERROR(__xludf.DUMMYFUNCTION("IFERROR(GOOGLEFINANCE(B2762,""change""),0)"),0)</f>
        <v>0</v>
      </c>
      <c r="N2762" s="6">
        <v>1</v>
      </c>
      <c r="O2762" s="7">
        <v>45536</v>
      </c>
      <c r="P2762" s="6">
        <v>5.71</v>
      </c>
      <c r="Q2762" s="6">
        <v>44.06</v>
      </c>
      <c r="R2762" s="7">
        <v>45352</v>
      </c>
      <c r="S2762" s="6">
        <v>61.7</v>
      </c>
      <c r="T2762" s="6">
        <v>1.78</v>
      </c>
      <c r="U2762" s="7">
        <v>45352</v>
      </c>
      <c r="V2762" s="6">
        <v>21.53</v>
      </c>
      <c r="W2762" s="6">
        <f ca="1">IFERROR(__xludf.DUMMYFUNCTION("IFERROR(GOOGLEFINANCE(B2762,""pe""),V2762)"),21.53)</f>
        <v>21.53</v>
      </c>
      <c r="X2762" s="9"/>
      <c r="Y2762" s="6">
        <v>2.77</v>
      </c>
      <c r="Z2762" s="6">
        <v>2</v>
      </c>
      <c r="AA2762" s="8">
        <v>45352</v>
      </c>
      <c r="AB2762" s="4">
        <v>0.16</v>
      </c>
      <c r="AC2762" s="6">
        <v>15.17</v>
      </c>
      <c r="AD2762" s="6">
        <v>20.25</v>
      </c>
      <c r="AE2762" s="1">
        <v>0</v>
      </c>
      <c r="AF2762" s="1">
        <f ca="1">IFERROR(__xludf.DUMMYFUNCTION("IFERROR(GOOGLEFINANCE(TRIM(F2762)&amp;"":"" &amp; TRIM(B2762),""high52""),AE2762)"),0)</f>
        <v>0</v>
      </c>
      <c r="AG2762" s="1">
        <v>0</v>
      </c>
      <c r="AH2762" s="1">
        <f ca="1">IFERROR(__xludf.DUMMYFUNCTION("IFERROR(GOOGLEFINANCE(TRIM(F2762)&amp;"":"" &amp; TRIM(B2762),""low52""),AE2762)"),0)</f>
        <v>0</v>
      </c>
      <c r="AI2762" s="1">
        <f ca="1">IFERROR(__xludf.DUMMYFUNCTION("IFERROR(GOOGLEFINANCE(B2762,""eps""),0)"),0)</f>
        <v>0</v>
      </c>
      <c r="AJ2762" s="1"/>
      <c r="AK2762" s="1" t="s">
        <v>8557</v>
      </c>
      <c r="AL2762" s="9">
        <f t="shared" ref="AL2762:AL2764" si="272">IF(AA2762&lt;&gt;AB2762,1,0)</f>
        <v>1</v>
      </c>
    </row>
    <row r="2763" spans="1:38" ht="15" x14ac:dyDescent="0.25">
      <c r="A2763" s="1" t="s">
        <v>8558</v>
      </c>
      <c r="B2763" s="1" t="s">
        <v>8559</v>
      </c>
      <c r="C2763" s="1" t="s">
        <v>487</v>
      </c>
      <c r="D2763" s="1" t="s">
        <v>487</v>
      </c>
      <c r="E2763" s="6">
        <v>1975.33</v>
      </c>
      <c r="F2763" s="1" t="s">
        <v>40</v>
      </c>
      <c r="G2763" s="6">
        <f ca="1">IFERROR(__xludf.DUMMYFUNCTION("iferror(GOOGLEFINANCE(TRIM(F2763)&amp;"":"" &amp; TRIM(B2763), ""price""),0
)"),75.58)</f>
        <v>75.58</v>
      </c>
      <c r="H2763" s="6">
        <v>108.58</v>
      </c>
      <c r="I2763" s="6">
        <f t="shared" ca="1" si="0"/>
        <v>75.58</v>
      </c>
      <c r="J2763" s="6">
        <f ca="1">IFERROR(__xludf.DUMMYFUNCTION("IFERROR(GOOGLEFINANCE(B2763, ""volume""), 0)"),199169)</f>
        <v>199169</v>
      </c>
      <c r="K2763" s="6">
        <v>0.6</v>
      </c>
      <c r="L2763" s="6">
        <f ca="1">IFERROR(__xludf.DUMMYFUNCTION("IFERROR(GOOGLEFINANCE(B2763,""changepct""),K2763)"),4.25)</f>
        <v>4.25</v>
      </c>
      <c r="M2763" s="6">
        <f ca="1">IFERROR(__xludf.DUMMYFUNCTION("IFERROR(GOOGLEFINANCE(B2763,""change""),0)"),3.08)</f>
        <v>3.08</v>
      </c>
      <c r="N2763" s="6">
        <v>2</v>
      </c>
      <c r="O2763" s="7">
        <v>45536</v>
      </c>
      <c r="P2763" s="6">
        <v>630.27</v>
      </c>
      <c r="Q2763" s="6">
        <v>2028.05</v>
      </c>
      <c r="R2763" s="7">
        <v>45536</v>
      </c>
      <c r="S2763" s="6">
        <v>1865.58</v>
      </c>
      <c r="T2763" s="6">
        <v>-601.78</v>
      </c>
      <c r="U2763" s="7">
        <v>45536</v>
      </c>
      <c r="V2763" s="6">
        <v>0</v>
      </c>
      <c r="W2763" s="6">
        <f ca="1">IFERROR(__xludf.DUMMYFUNCTION("IFERROR(GOOGLEFINANCE(B2763,""pe""),V2763)"),0)</f>
        <v>0</v>
      </c>
      <c r="X2763" s="9"/>
      <c r="Y2763" s="6">
        <v>20.97</v>
      </c>
      <c r="Z2763" s="6">
        <v>2</v>
      </c>
      <c r="AA2763" s="8">
        <v>45352</v>
      </c>
      <c r="AB2763" s="4">
        <v>1.52</v>
      </c>
      <c r="AC2763" s="6">
        <v>-58.92</v>
      </c>
      <c r="AD2763" s="6">
        <v>-24.09</v>
      </c>
      <c r="AE2763" s="1">
        <v>0</v>
      </c>
      <c r="AF2763" s="1">
        <f ca="1">IFERROR(__xludf.DUMMYFUNCTION("IFERROR(GOOGLEFINANCE(TRIM(F2763)&amp;"":"" &amp; TRIM(B2763),""high52""),AE2763)"),113.4)</f>
        <v>113.4</v>
      </c>
      <c r="AG2763" s="1">
        <v>0</v>
      </c>
      <c r="AH2763" s="1">
        <f ca="1">IFERROR(__xludf.DUMMYFUNCTION("IFERROR(GOOGLEFINANCE(TRIM(F2763)&amp;"":"" &amp; TRIM(B2763),""low52""),AE2763)"),62.5)</f>
        <v>62.5</v>
      </c>
      <c r="AI2763" s="1">
        <f ca="1">IFERROR(__xludf.DUMMYFUNCTION("IFERROR(GOOGLEFINANCE(B2763,""eps""),0)"),-35.61)</f>
        <v>-35.61</v>
      </c>
      <c r="AJ2763" s="1"/>
      <c r="AK2763" s="9"/>
      <c r="AL2763" s="9">
        <f t="shared" si="272"/>
        <v>1</v>
      </c>
    </row>
    <row r="2764" spans="1:38" ht="15" x14ac:dyDescent="0.25">
      <c r="A2764" s="1" t="s">
        <v>8560</v>
      </c>
      <c r="B2764" s="1" t="s">
        <v>8561</v>
      </c>
      <c r="C2764" s="1" t="s">
        <v>151</v>
      </c>
      <c r="D2764" s="1" t="s">
        <v>151</v>
      </c>
      <c r="E2764" s="6">
        <v>123.16</v>
      </c>
      <c r="F2764" s="1" t="s">
        <v>40</v>
      </c>
      <c r="G2764" s="6">
        <f ca="1">IFERROR(__xludf.DUMMYFUNCTION("iferror(GOOGLEFINANCE(TRIM(F2764)&amp;"":"" &amp; TRIM(B2764), ""price""),0
)"),0)</f>
        <v>0</v>
      </c>
      <c r="H2764" s="6">
        <v>103</v>
      </c>
      <c r="I2764" s="6">
        <f t="shared" ca="1" si="0"/>
        <v>103</v>
      </c>
      <c r="J2764" s="6">
        <f ca="1">IFERROR(__xludf.DUMMYFUNCTION("IFERROR(GOOGLEFINANCE(B2764, ""volume""), 0)"),0)</f>
        <v>0</v>
      </c>
      <c r="K2764" s="6">
        <v>-1.53</v>
      </c>
      <c r="L2764" s="6">
        <f ca="1">IFERROR(__xludf.DUMMYFUNCTION("IFERROR(GOOGLEFINANCE(B2764,""changepct""),K2764)"),-1.53)</f>
        <v>-1.53</v>
      </c>
      <c r="M2764" s="6">
        <f ca="1">IFERROR(__xludf.DUMMYFUNCTION("IFERROR(GOOGLEFINANCE(B2764,""change""),0)"),0)</f>
        <v>0</v>
      </c>
      <c r="N2764" s="6">
        <v>1</v>
      </c>
      <c r="O2764" s="7">
        <v>45536</v>
      </c>
      <c r="P2764" s="6">
        <v>14.53</v>
      </c>
      <c r="Q2764" s="6">
        <v>137.69</v>
      </c>
      <c r="R2764" s="7">
        <v>45352</v>
      </c>
      <c r="S2764" s="6">
        <v>80.290000000000006</v>
      </c>
      <c r="T2764" s="6">
        <v>3.66</v>
      </c>
      <c r="U2764" s="7">
        <v>45352</v>
      </c>
      <c r="V2764" s="6">
        <v>33.619999999999997</v>
      </c>
      <c r="W2764" s="6">
        <f ca="1">IFERROR(__xludf.DUMMYFUNCTION("IFERROR(GOOGLEFINANCE(B2764,""pe""),V2764)"),33.62)</f>
        <v>33.619999999999997</v>
      </c>
      <c r="X2764" s="6">
        <v>0.36</v>
      </c>
      <c r="Y2764" s="6">
        <v>2.35</v>
      </c>
      <c r="Z2764" s="6">
        <v>1</v>
      </c>
      <c r="AA2764" s="8">
        <v>45352</v>
      </c>
      <c r="AB2764" s="4">
        <v>0.28999999999999998</v>
      </c>
      <c r="AC2764" s="6">
        <v>9.39</v>
      </c>
      <c r="AD2764" s="6">
        <v>13.5</v>
      </c>
      <c r="AE2764" s="1">
        <v>0</v>
      </c>
      <c r="AF2764" s="1">
        <f ca="1">IFERROR(__xludf.DUMMYFUNCTION("IFERROR(GOOGLEFINANCE(TRIM(F2764)&amp;"":"" &amp; TRIM(B2764),""high52""),AE2764)"),0)</f>
        <v>0</v>
      </c>
      <c r="AG2764" s="1">
        <v>0</v>
      </c>
      <c r="AH2764" s="1">
        <f ca="1">IFERROR(__xludf.DUMMYFUNCTION("IFERROR(GOOGLEFINANCE(TRIM(F2764)&amp;"":"" &amp; TRIM(B2764),""low52""),AE2764)"),0)</f>
        <v>0</v>
      </c>
      <c r="AI2764" s="1">
        <f ca="1">IFERROR(__xludf.DUMMYFUNCTION("IFERROR(GOOGLEFINANCE(B2764,""eps""),0)"),0)</f>
        <v>0</v>
      </c>
      <c r="AJ2764" s="1"/>
      <c r="AK2764" s="1" t="s">
        <v>8562</v>
      </c>
      <c r="AL2764" s="9">
        <f t="shared" si="272"/>
        <v>1</v>
      </c>
    </row>
    <row r="2765" spans="1:38" ht="15" x14ac:dyDescent="0.25">
      <c r="A2765" s="1" t="s">
        <v>8563</v>
      </c>
      <c r="B2765" s="1" t="s">
        <v>8564</v>
      </c>
      <c r="C2765" s="1" t="s">
        <v>135</v>
      </c>
      <c r="D2765" s="1" t="s">
        <v>135</v>
      </c>
      <c r="E2765" s="6">
        <v>16.36</v>
      </c>
      <c r="F2765" s="1" t="s">
        <v>40</v>
      </c>
      <c r="G2765" s="6">
        <f ca="1">IFERROR(__xludf.DUMMYFUNCTION("iferror(GOOGLEFINANCE(TRIM(F2765)&amp;"":"" &amp; TRIM(B2765), ""price""),0
)"),5.4)</f>
        <v>5.4</v>
      </c>
      <c r="H2765" s="6">
        <v>8.6999999999999993</v>
      </c>
      <c r="I2765" s="6">
        <f t="shared" ca="1" si="0"/>
        <v>5.4</v>
      </c>
      <c r="J2765" s="6">
        <f ca="1">IFERROR(__xludf.DUMMYFUNCTION("IFERROR(GOOGLEFINANCE(B2765, ""volume""), 0)"),12613)</f>
        <v>12613</v>
      </c>
      <c r="K2765" s="6">
        <v>4.95</v>
      </c>
      <c r="L2765" s="6">
        <f ca="1">IFERROR(__xludf.DUMMYFUNCTION("IFERROR(GOOGLEFINANCE(B2765,""changepct""),K2765)"),0.19)</f>
        <v>0.19</v>
      </c>
      <c r="M2765" s="6">
        <f ca="1">IFERROR(__xludf.DUMMYFUNCTION("IFERROR(GOOGLEFINANCE(B2765,""change""),0)"),0.01)</f>
        <v>0.01</v>
      </c>
      <c r="N2765" s="6">
        <v>1</v>
      </c>
      <c r="O2765" s="7">
        <v>44621</v>
      </c>
      <c r="P2765" s="6">
        <v>225.51</v>
      </c>
      <c r="Q2765" s="6">
        <v>241.54</v>
      </c>
      <c r="R2765" s="7">
        <v>44713</v>
      </c>
      <c r="S2765" s="6">
        <v>19.36</v>
      </c>
      <c r="T2765" s="6">
        <v>-13.22</v>
      </c>
      <c r="U2765" s="7">
        <v>44713</v>
      </c>
      <c r="V2765" s="6">
        <v>0</v>
      </c>
      <c r="W2765" s="6">
        <f ca="1">IFERROR(__xludf.DUMMYFUNCTION("IFERROR(GOOGLEFINANCE(B2765,""pe""),V2765)"),0)</f>
        <v>0</v>
      </c>
      <c r="X2765" s="9"/>
      <c r="Y2765" s="9"/>
      <c r="Z2765" s="6">
        <v>1</v>
      </c>
      <c r="AA2765" s="8">
        <v>44256</v>
      </c>
      <c r="AB2765" s="4">
        <v>-1.44</v>
      </c>
      <c r="AC2765" s="6">
        <v>0</v>
      </c>
      <c r="AD2765" s="6">
        <v>12.4</v>
      </c>
      <c r="AE2765" s="1">
        <v>0</v>
      </c>
      <c r="AF2765" s="1">
        <f ca="1">IFERROR(__xludf.DUMMYFUNCTION("IFERROR(GOOGLEFINANCE(TRIM(F2765)&amp;"":"" &amp; TRIM(B2765),""high52""),AE2765)"),8.38)</f>
        <v>8.3800000000000008</v>
      </c>
      <c r="AG2765" s="1">
        <v>0</v>
      </c>
      <c r="AH2765" s="1">
        <f ca="1">IFERROR(__xludf.DUMMYFUNCTION("IFERROR(GOOGLEFINANCE(TRIM(F2765)&amp;"":"" &amp; TRIM(B2765),""low52""),AE2765)"),4.77)</f>
        <v>4.7699999999999996</v>
      </c>
      <c r="AI2765" s="1">
        <f ca="1">IFERROR(__xludf.DUMMYFUNCTION("IFERROR(GOOGLEFINANCE(B2765,""eps""),0)"),0)</f>
        <v>0</v>
      </c>
      <c r="AJ2765" s="1"/>
      <c r="AK2765" s="1" t="s">
        <v>8565</v>
      </c>
      <c r="AL2765" s="1" t="b">
        <f>ISNUMBER(AA2765)</f>
        <v>1</v>
      </c>
    </row>
    <row r="2766" spans="1:38" ht="15" x14ac:dyDescent="0.25">
      <c r="A2766" s="1" t="s">
        <v>8566</v>
      </c>
      <c r="B2766" s="1" t="s">
        <v>8567</v>
      </c>
      <c r="C2766" s="1" t="s">
        <v>359</v>
      </c>
      <c r="D2766" s="1" t="s">
        <v>359</v>
      </c>
      <c r="E2766" s="6">
        <v>151.83000000000001</v>
      </c>
      <c r="F2766" s="1" t="s">
        <v>40</v>
      </c>
      <c r="G2766" s="6">
        <f ca="1">IFERROR(__xludf.DUMMYFUNCTION("iferror(GOOGLEFINANCE(TRIM(F2766)&amp;"":"" &amp; TRIM(B2766), ""price""),0
)"),0)</f>
        <v>0</v>
      </c>
      <c r="H2766" s="6">
        <v>277.55</v>
      </c>
      <c r="I2766" s="6">
        <f t="shared" ca="1" si="0"/>
        <v>277.55</v>
      </c>
      <c r="J2766" s="6">
        <f ca="1">IFERROR(__xludf.DUMMYFUNCTION("IFERROR(GOOGLEFINANCE(B2766, ""volume""), 0)"),0)</f>
        <v>0</v>
      </c>
      <c r="K2766" s="6">
        <v>3.26</v>
      </c>
      <c r="L2766" s="6">
        <f ca="1">IFERROR(__xludf.DUMMYFUNCTION("IFERROR(GOOGLEFINANCE(B2766,""changepct""),K2766)"),3.26)</f>
        <v>3.26</v>
      </c>
      <c r="M2766" s="6">
        <f ca="1">IFERROR(__xludf.DUMMYFUNCTION("IFERROR(GOOGLEFINANCE(B2766,""change""),0)"),0)</f>
        <v>0</v>
      </c>
      <c r="N2766" s="6">
        <v>1</v>
      </c>
      <c r="O2766" s="7">
        <v>45536</v>
      </c>
      <c r="P2766" s="6">
        <v>0.88</v>
      </c>
      <c r="Q2766" s="6">
        <v>152.71</v>
      </c>
      <c r="R2766" s="7">
        <v>45352</v>
      </c>
      <c r="S2766" s="6">
        <v>233.52</v>
      </c>
      <c r="T2766" s="6">
        <v>6.06</v>
      </c>
      <c r="U2766" s="7">
        <v>45352</v>
      </c>
      <c r="V2766" s="6">
        <v>25.06</v>
      </c>
      <c r="W2766" s="6">
        <f ca="1">IFERROR(__xludf.DUMMYFUNCTION("IFERROR(GOOGLEFINANCE(B2766,""pe""),V2766)"),25.06)</f>
        <v>25.06</v>
      </c>
      <c r="X2766" s="12"/>
      <c r="Y2766" s="6">
        <v>1.65</v>
      </c>
      <c r="Z2766" s="6">
        <v>1</v>
      </c>
      <c r="AA2766" s="8">
        <v>45352</v>
      </c>
      <c r="AB2766" s="4">
        <v>0.01</v>
      </c>
      <c r="AC2766" s="6">
        <v>8.4600000000000009</v>
      </c>
      <c r="AD2766" s="6">
        <v>7.4</v>
      </c>
      <c r="AE2766" s="1">
        <v>0</v>
      </c>
      <c r="AF2766" s="1">
        <f ca="1">IFERROR(__xludf.DUMMYFUNCTION("IFERROR(GOOGLEFINANCE(TRIM(F2766)&amp;"":"" &amp; TRIM(B2766),""high52""),AE2766)"),0)</f>
        <v>0</v>
      </c>
      <c r="AG2766" s="1">
        <v>0</v>
      </c>
      <c r="AH2766" s="1">
        <f ca="1">IFERROR(__xludf.DUMMYFUNCTION("IFERROR(GOOGLEFINANCE(TRIM(F2766)&amp;"":"" &amp; TRIM(B2766),""low52""),AE2766)"),0)</f>
        <v>0</v>
      </c>
      <c r="AI2766" s="1">
        <f ca="1">IFERROR(__xludf.DUMMYFUNCTION("IFERROR(GOOGLEFINANCE(B2766,""eps""),0)"),0)</f>
        <v>0</v>
      </c>
      <c r="AJ2766" s="1"/>
      <c r="AK2766" s="1" t="s">
        <v>8568</v>
      </c>
      <c r="AL2766" s="9">
        <f t="shared" ref="AL2766:AL2767" si="273">IF(AA2766&lt;&gt;AB2766,1,0)</f>
        <v>1</v>
      </c>
    </row>
    <row r="2767" spans="1:38" ht="15" x14ac:dyDescent="0.25">
      <c r="A2767" s="1" t="s">
        <v>8569</v>
      </c>
      <c r="B2767" s="1" t="s">
        <v>8570</v>
      </c>
      <c r="C2767" s="1" t="s">
        <v>4934</v>
      </c>
      <c r="D2767" s="1" t="s">
        <v>4934</v>
      </c>
      <c r="E2767" s="6">
        <v>4785.4799999999996</v>
      </c>
      <c r="F2767" s="1" t="s">
        <v>40</v>
      </c>
      <c r="G2767" s="6">
        <f ca="1">IFERROR(__xludf.DUMMYFUNCTION("iferror(GOOGLEFINANCE(TRIM(F2767)&amp;"":"" &amp; TRIM(B2767), ""price""),0
)"),199.9)</f>
        <v>199.9</v>
      </c>
      <c r="H2767" s="6">
        <v>605.9</v>
      </c>
      <c r="I2767" s="6">
        <f t="shared" ca="1" si="0"/>
        <v>199.9</v>
      </c>
      <c r="J2767" s="6">
        <f ca="1">IFERROR(__xludf.DUMMYFUNCTION("IFERROR(GOOGLEFINANCE(B2767, ""volume""), 0)"),659448)</f>
        <v>659448</v>
      </c>
      <c r="K2767" s="6">
        <v>-1.61</v>
      </c>
      <c r="L2767" s="6">
        <f ca="1">IFERROR(__xludf.DUMMYFUNCTION("IFERROR(GOOGLEFINANCE(B2767,""changepct""),K2767)"),0.25)</f>
        <v>0.25</v>
      </c>
      <c r="M2767" s="6">
        <f ca="1">IFERROR(__xludf.DUMMYFUNCTION("IFERROR(GOOGLEFINANCE(B2767,""change""),0)"),0.5)</f>
        <v>0.5</v>
      </c>
      <c r="N2767" s="6">
        <v>1</v>
      </c>
      <c r="O2767" s="7">
        <v>45352</v>
      </c>
      <c r="P2767" s="6">
        <v>211.7</v>
      </c>
      <c r="Q2767" s="6">
        <v>4609.6899999999996</v>
      </c>
      <c r="R2767" s="14"/>
      <c r="S2767" s="9"/>
      <c r="T2767" s="9"/>
      <c r="U2767" s="7">
        <v>45352</v>
      </c>
      <c r="V2767" s="6">
        <v>535.16999999999996</v>
      </c>
      <c r="W2767" s="6">
        <f ca="1">IFERROR(__xludf.DUMMYFUNCTION("IFERROR(GOOGLEFINANCE(B2767,""pe""),V2767)"),535.17)</f>
        <v>535.16999999999996</v>
      </c>
      <c r="X2767" s="12"/>
      <c r="Y2767" s="6">
        <v>6.91</v>
      </c>
      <c r="Z2767" s="6">
        <v>2</v>
      </c>
      <c r="AA2767" s="8">
        <v>45352</v>
      </c>
      <c r="AB2767" s="4">
        <v>2.0299999999999998</v>
      </c>
      <c r="AC2767" s="6">
        <v>14.49</v>
      </c>
      <c r="AD2767" s="6">
        <v>18.489999999999998</v>
      </c>
      <c r="AE2767" s="1">
        <v>0</v>
      </c>
      <c r="AF2767" s="1">
        <f ca="1">IFERROR(__xludf.DUMMYFUNCTION("IFERROR(GOOGLEFINANCE(TRIM(F2767)&amp;"":"" &amp; TRIM(B2767),""high52""),AE2767)"),418.8)</f>
        <v>418.8</v>
      </c>
      <c r="AG2767" s="1">
        <v>0</v>
      </c>
      <c r="AH2767" s="1">
        <f ca="1">IFERROR(__xludf.DUMMYFUNCTION("IFERROR(GOOGLEFINANCE(TRIM(F2767)&amp;"":"" &amp; TRIM(B2767),""low52""),AE2767)"),190.62)</f>
        <v>190.62</v>
      </c>
      <c r="AI2767" s="1">
        <f ca="1">IFERROR(__xludf.DUMMYFUNCTION("IFERROR(GOOGLEFINANCE(B2767,""eps""),0)"),-25.79)</f>
        <v>-25.79</v>
      </c>
      <c r="AJ2767" s="1"/>
      <c r="AK2767" s="1" t="s">
        <v>8571</v>
      </c>
      <c r="AL2767" s="9">
        <f t="shared" si="273"/>
        <v>1</v>
      </c>
    </row>
    <row r="2768" spans="1:38" ht="15" x14ac:dyDescent="0.25">
      <c r="A2768" s="1" t="s">
        <v>8572</v>
      </c>
      <c r="B2768" s="1" t="s">
        <v>8573</v>
      </c>
      <c r="C2768" s="1" t="s">
        <v>90</v>
      </c>
      <c r="D2768" s="1" t="s">
        <v>90</v>
      </c>
      <c r="E2768" s="6">
        <v>1443.17</v>
      </c>
      <c r="F2768" s="1" t="s">
        <v>40</v>
      </c>
      <c r="G2768" s="6">
        <f ca="1">IFERROR(__xludf.DUMMYFUNCTION("iferror(GOOGLEFINANCE(TRIM(F2768)&amp;"":"" &amp; TRIM(B2768), ""price""),0
)"),49.3)</f>
        <v>49.3</v>
      </c>
      <c r="H2768" s="6">
        <v>56.31</v>
      </c>
      <c r="I2768" s="6">
        <f t="shared" ca="1" si="0"/>
        <v>49.3</v>
      </c>
      <c r="J2768" s="6">
        <f ca="1">IFERROR(__xludf.DUMMYFUNCTION("IFERROR(GOOGLEFINANCE(B2768, ""volume""), 0)"),1212876)</f>
        <v>1212876</v>
      </c>
      <c r="K2768" s="6">
        <v>0.46</v>
      </c>
      <c r="L2768" s="6">
        <f ca="1">IFERROR(__xludf.DUMMYFUNCTION("IFERROR(GOOGLEFINANCE(B2768,""changepct""),K2768)"),-1.44)</f>
        <v>-1.44</v>
      </c>
      <c r="M2768" s="6">
        <f ca="1">IFERROR(__xludf.DUMMYFUNCTION("IFERROR(GOOGLEFINANCE(B2768,""change""),0)"),-0.72)</f>
        <v>-0.72</v>
      </c>
      <c r="N2768" s="6">
        <v>2</v>
      </c>
      <c r="O2768" s="7">
        <v>45536</v>
      </c>
      <c r="P2768" s="6">
        <v>34.5</v>
      </c>
      <c r="Q2768" s="6">
        <v>1460.52</v>
      </c>
      <c r="R2768" s="7">
        <v>45536</v>
      </c>
      <c r="S2768" s="6">
        <v>217.78</v>
      </c>
      <c r="T2768" s="6">
        <v>28.62</v>
      </c>
      <c r="U2768" s="7">
        <v>45536</v>
      </c>
      <c r="V2768" s="6">
        <v>50.43</v>
      </c>
      <c r="W2768" s="6">
        <f ca="1">IFERROR(__xludf.DUMMYFUNCTION("IFERROR(GOOGLEFINANCE(B2768,""pe""),V2768)"),36.08)</f>
        <v>36.08</v>
      </c>
      <c r="X2768" s="6">
        <v>3.1</v>
      </c>
      <c r="Y2768" s="6">
        <v>3.89</v>
      </c>
      <c r="Z2768" s="6">
        <v>2</v>
      </c>
      <c r="AA2768" s="8">
        <v>45352</v>
      </c>
      <c r="AB2768" s="4">
        <v>0.22</v>
      </c>
      <c r="AC2768" s="6">
        <v>23.32</v>
      </c>
      <c r="AD2768" s="6">
        <v>29.26</v>
      </c>
      <c r="AE2768" s="1">
        <v>0</v>
      </c>
      <c r="AF2768" s="1">
        <f ca="1">IFERROR(__xludf.DUMMYFUNCTION("IFERROR(GOOGLEFINANCE(TRIM(F2768)&amp;"":"" &amp; TRIM(B2768),""high52""),AE2768)"),69.99)</f>
        <v>69.989999999999995</v>
      </c>
      <c r="AG2768" s="1">
        <v>0</v>
      </c>
      <c r="AH2768" s="1">
        <f ca="1">IFERROR(__xludf.DUMMYFUNCTION("IFERROR(GOOGLEFINANCE(TRIM(F2768)&amp;"":"" &amp; TRIM(B2768),""low52""),AE2768)"),41.01)</f>
        <v>41.01</v>
      </c>
      <c r="AI2768" s="1">
        <f ca="1">IFERROR(__xludf.DUMMYFUNCTION("IFERROR(GOOGLEFINANCE(B2768,""eps""),0)"),1.37)</f>
        <v>1.37</v>
      </c>
      <c r="AJ2768" s="1"/>
      <c r="AK2768" s="1" t="s">
        <v>8574</v>
      </c>
      <c r="AL2768" s="1" t="b">
        <f>ISNUMBER(AA2768)</f>
        <v>1</v>
      </c>
    </row>
    <row r="2769" spans="1:38" ht="15" x14ac:dyDescent="0.25">
      <c r="A2769" s="1" t="s">
        <v>8575</v>
      </c>
      <c r="B2769" s="1" t="s">
        <v>8576</v>
      </c>
      <c r="C2769" s="1" t="s">
        <v>4934</v>
      </c>
      <c r="D2769" s="1" t="s">
        <v>4934</v>
      </c>
      <c r="E2769" s="6">
        <v>62590.97</v>
      </c>
      <c r="F2769" s="1" t="s">
        <v>40</v>
      </c>
      <c r="G2769" s="6">
        <f ca="1">IFERROR(__xludf.DUMMYFUNCTION("iferror(GOOGLEFINANCE(TRIM(F2769)&amp;"":"" &amp; TRIM(B2769), ""price""),0
)"),1172)</f>
        <v>1172</v>
      </c>
      <c r="H2769" s="6">
        <v>994</v>
      </c>
      <c r="I2769" s="6">
        <f t="shared" ca="1" si="0"/>
        <v>1172</v>
      </c>
      <c r="J2769" s="6">
        <f ca="1">IFERROR(__xludf.DUMMYFUNCTION("IFERROR(GOOGLEFINANCE(B2769, ""volume""), 0)"),2484739)</f>
        <v>2484739</v>
      </c>
      <c r="K2769" s="6">
        <v>1.18</v>
      </c>
      <c r="L2769" s="6">
        <f ca="1">IFERROR(__xludf.DUMMYFUNCTION("IFERROR(GOOGLEFINANCE(B2769,""changepct""),K2769)"),1.14)</f>
        <v>1.1399999999999999</v>
      </c>
      <c r="M2769" s="6">
        <f ca="1">IFERROR(__xludf.DUMMYFUNCTION("IFERROR(GOOGLEFINANCE(B2769,""change""),0)"),13.2)</f>
        <v>13.2</v>
      </c>
      <c r="N2769" s="6">
        <v>2</v>
      </c>
      <c r="O2769" s="7">
        <v>45536</v>
      </c>
      <c r="P2769" s="9"/>
      <c r="Q2769" s="6">
        <v>57561.97</v>
      </c>
      <c r="R2769" s="7">
        <v>45536</v>
      </c>
      <c r="S2769" s="6">
        <v>8278.7000000000007</v>
      </c>
      <c r="T2769" s="6">
        <v>-437.7</v>
      </c>
      <c r="U2769" s="7">
        <v>45536</v>
      </c>
      <c r="V2769" s="6">
        <v>0</v>
      </c>
      <c r="W2769" s="6">
        <f ca="1">IFERROR(__xludf.DUMMYFUNCTION("IFERROR(GOOGLEFINANCE(B2769,""pe""),V2769)"),0)</f>
        <v>0</v>
      </c>
      <c r="X2769" s="9"/>
      <c r="Y2769" s="6">
        <v>4.3099999999999996</v>
      </c>
      <c r="Z2769" s="6">
        <v>2</v>
      </c>
      <c r="AA2769" s="8">
        <v>45352</v>
      </c>
      <c r="AB2769" s="4">
        <v>0</v>
      </c>
      <c r="AC2769" s="6">
        <v>-14.04</v>
      </c>
      <c r="AD2769" s="6">
        <v>-10.36</v>
      </c>
      <c r="AE2769" s="1">
        <v>0</v>
      </c>
      <c r="AF2769" s="1">
        <f ca="1">IFERROR(__xludf.DUMMYFUNCTION("IFERROR(GOOGLEFINANCE(TRIM(F2769)&amp;"":"" &amp; TRIM(B2769),""high52""),AE2769)"),1381.8)</f>
        <v>1381.8</v>
      </c>
      <c r="AG2769" s="1">
        <v>0</v>
      </c>
      <c r="AH2769" s="1">
        <f ca="1">IFERROR(__xludf.DUMMYFUNCTION("IFERROR(GOOGLEFINANCE(TRIM(F2769)&amp;"":"" &amp; TRIM(B2769),""low52""),AE2769)"),651.5)</f>
        <v>651.5</v>
      </c>
      <c r="AI2769" s="1">
        <f ca="1">IFERROR(__xludf.DUMMYFUNCTION("IFERROR(GOOGLEFINANCE(B2769,""eps""),0)"),-2.77)</f>
        <v>-2.77</v>
      </c>
      <c r="AJ2769" s="1"/>
      <c r="AK2769" s="1" t="s">
        <v>8577</v>
      </c>
      <c r="AL2769" s="9">
        <f t="shared" ref="AL2769:AL2785" si="274">IF(AA2769&lt;&gt;AB2769,1,0)</f>
        <v>1</v>
      </c>
    </row>
    <row r="2770" spans="1:38" ht="15" x14ac:dyDescent="0.25">
      <c r="A2770" s="1" t="s">
        <v>8578</v>
      </c>
      <c r="B2770" s="1" t="s">
        <v>8579</v>
      </c>
      <c r="C2770" s="1" t="s">
        <v>259</v>
      </c>
      <c r="D2770" s="1" t="s">
        <v>259</v>
      </c>
      <c r="E2770" s="6">
        <v>38.130000000000003</v>
      </c>
      <c r="F2770" s="1" t="s">
        <v>40</v>
      </c>
      <c r="G2770" s="6">
        <f ca="1">IFERROR(__xludf.DUMMYFUNCTION("iferror(GOOGLEFINANCE(TRIM(F2770)&amp;"":"" &amp; TRIM(B2770), ""price""),0
)"),0)</f>
        <v>0</v>
      </c>
      <c r="H2770" s="6">
        <v>110.2</v>
      </c>
      <c r="I2770" s="6">
        <f t="shared" ca="1" si="0"/>
        <v>110.2</v>
      </c>
      <c r="J2770" s="6">
        <f ca="1">IFERROR(__xludf.DUMMYFUNCTION("IFERROR(GOOGLEFINANCE(B2770, ""volume""), 0)"),0)</f>
        <v>0</v>
      </c>
      <c r="K2770" s="6">
        <v>4.16</v>
      </c>
      <c r="L2770" s="6">
        <f ca="1">IFERROR(__xludf.DUMMYFUNCTION("IFERROR(GOOGLEFINANCE(B2770,""changepct""),K2770)"),4.16)</f>
        <v>4.16</v>
      </c>
      <c r="M2770" s="6">
        <f ca="1">IFERROR(__xludf.DUMMYFUNCTION("IFERROR(GOOGLEFINANCE(B2770,""change""),0)"),0)</f>
        <v>0</v>
      </c>
      <c r="N2770" s="6">
        <v>1</v>
      </c>
      <c r="O2770" s="7">
        <v>45536</v>
      </c>
      <c r="P2770" s="6">
        <v>1.29</v>
      </c>
      <c r="Q2770" s="6">
        <v>39.42</v>
      </c>
      <c r="R2770" s="7">
        <v>45352</v>
      </c>
      <c r="S2770" s="6">
        <v>28.73</v>
      </c>
      <c r="T2770" s="6">
        <v>0.66</v>
      </c>
      <c r="U2770" s="7">
        <v>45352</v>
      </c>
      <c r="V2770" s="6">
        <v>58.21</v>
      </c>
      <c r="W2770" s="6">
        <f ca="1">IFERROR(__xludf.DUMMYFUNCTION("IFERROR(GOOGLEFINANCE(B2770,""pe""),V2770)"),58.21)</f>
        <v>58.21</v>
      </c>
      <c r="X2770" s="9"/>
      <c r="Y2770" s="6">
        <v>3.21</v>
      </c>
      <c r="Z2770" s="6">
        <v>1</v>
      </c>
      <c r="AA2770" s="8">
        <v>45352</v>
      </c>
      <c r="AB2770" s="4">
        <v>0.19</v>
      </c>
      <c r="AC2770" s="6">
        <v>10.85</v>
      </c>
      <c r="AD2770" s="6">
        <v>10.61</v>
      </c>
      <c r="AE2770" s="1">
        <v>0</v>
      </c>
      <c r="AF2770" s="1">
        <f ca="1">IFERROR(__xludf.DUMMYFUNCTION("IFERROR(GOOGLEFINANCE(TRIM(F2770)&amp;"":"" &amp; TRIM(B2770),""high52""),AE2770)"),0)</f>
        <v>0</v>
      </c>
      <c r="AG2770" s="1">
        <v>0</v>
      </c>
      <c r="AH2770" s="1">
        <f ca="1">IFERROR(__xludf.DUMMYFUNCTION("IFERROR(GOOGLEFINANCE(TRIM(F2770)&amp;"":"" &amp; TRIM(B2770),""low52""),AE2770)"),0)</f>
        <v>0</v>
      </c>
      <c r="AI2770" s="1">
        <f ca="1">IFERROR(__xludf.DUMMYFUNCTION("IFERROR(GOOGLEFINANCE(B2770,""eps""),0)"),0)</f>
        <v>0</v>
      </c>
      <c r="AJ2770" s="1"/>
      <c r="AK2770" s="1" t="s">
        <v>8580</v>
      </c>
      <c r="AL2770" s="9">
        <f t="shared" si="274"/>
        <v>1</v>
      </c>
    </row>
    <row r="2771" spans="1:38" ht="15" x14ac:dyDescent="0.25">
      <c r="A2771" s="1" t="s">
        <v>8581</v>
      </c>
      <c r="B2771" s="1" t="s">
        <v>8582</v>
      </c>
      <c r="C2771" s="1" t="s">
        <v>43</v>
      </c>
      <c r="D2771" s="1" t="s">
        <v>43</v>
      </c>
      <c r="E2771" s="6">
        <v>22.62</v>
      </c>
      <c r="F2771" s="1" t="s">
        <v>40</v>
      </c>
      <c r="G2771" s="6">
        <f ca="1">IFERROR(__xludf.DUMMYFUNCTION("iferror(GOOGLEFINANCE(TRIM(F2771)&amp;"":"" &amp; TRIM(B2771), ""price""),0
)"),15.5)</f>
        <v>15.5</v>
      </c>
      <c r="H2771" s="6">
        <v>16.62</v>
      </c>
      <c r="I2771" s="6">
        <f t="shared" ca="1" si="0"/>
        <v>15.5</v>
      </c>
      <c r="J2771" s="6">
        <f ca="1">IFERROR(__xludf.DUMMYFUNCTION("IFERROR(GOOGLEFINANCE(B2771, ""volume""), 0)"),4458)</f>
        <v>4458</v>
      </c>
      <c r="K2771" s="6">
        <v>-0.72</v>
      </c>
      <c r="L2771" s="6">
        <f ca="1">IFERROR(__xludf.DUMMYFUNCTION("IFERROR(GOOGLEFINANCE(B2771,""changepct""),K2771)"),2.51)</f>
        <v>2.5099999999999998</v>
      </c>
      <c r="M2771" s="6">
        <f ca="1">IFERROR(__xludf.DUMMYFUNCTION("IFERROR(GOOGLEFINANCE(B2771,""change""),0)"),0.38)</f>
        <v>0.38</v>
      </c>
      <c r="N2771" s="6">
        <v>2</v>
      </c>
      <c r="O2771" s="7">
        <v>45536</v>
      </c>
      <c r="P2771" s="6">
        <v>-4.87</v>
      </c>
      <c r="Q2771" s="7">
        <v>45536</v>
      </c>
      <c r="R2771" s="6">
        <v>0</v>
      </c>
      <c r="S2771" s="6">
        <v>0</v>
      </c>
      <c r="T2771" s="6">
        <v>0.49</v>
      </c>
      <c r="U2771" s="6">
        <v>2</v>
      </c>
      <c r="V2771" s="7">
        <v>45352</v>
      </c>
      <c r="W2771" s="10">
        <f ca="1">IFERROR(__xludf.DUMMYFUNCTION("IFERROR(GOOGLEFINANCE(B2771,""pe""),V2771)"),45352)</f>
        <v>45352</v>
      </c>
      <c r="X2771" s="6">
        <v>0.52</v>
      </c>
      <c r="Y2771" s="6">
        <v>0.95</v>
      </c>
      <c r="Z2771" s="6">
        <v>9.52</v>
      </c>
      <c r="AA2771" s="3" t="s">
        <v>8583</v>
      </c>
      <c r="AB2771" s="3"/>
      <c r="AC2771" s="9"/>
      <c r="AD2771" s="9"/>
      <c r="AE2771" s="1">
        <v>0</v>
      </c>
      <c r="AF2771" s="1">
        <f ca="1">IFERROR(__xludf.DUMMYFUNCTION("IFERROR(GOOGLEFINANCE(TRIM(F2771)&amp;"":"" &amp; TRIM(B2771),""high52""),AE2771)"),18.59)</f>
        <v>18.59</v>
      </c>
      <c r="AG2771" s="1">
        <v>0</v>
      </c>
      <c r="AH2771" s="1">
        <f ca="1">IFERROR(__xludf.DUMMYFUNCTION("IFERROR(GOOGLEFINANCE(TRIM(F2771)&amp;"":"" &amp; TRIM(B2771),""low52""),AE2771)"),9.08)</f>
        <v>9.08</v>
      </c>
      <c r="AI2771" s="1">
        <f ca="1">IFERROR(__xludf.DUMMYFUNCTION("IFERROR(GOOGLEFINANCE(B2771,""eps""),0)"),-3.5)</f>
        <v>-3.5</v>
      </c>
      <c r="AJ2771" s="1"/>
      <c r="AK2771" s="1" t="s">
        <v>8584</v>
      </c>
      <c r="AL2771" s="9">
        <f t="shared" si="274"/>
        <v>1</v>
      </c>
    </row>
    <row r="2772" spans="1:38" ht="15" x14ac:dyDescent="0.25">
      <c r="A2772" s="1" t="s">
        <v>8585</v>
      </c>
      <c r="B2772" s="1" t="s">
        <v>8586</v>
      </c>
      <c r="C2772" s="1" t="s">
        <v>259</v>
      </c>
      <c r="D2772" s="1" t="s">
        <v>259</v>
      </c>
      <c r="E2772" s="6">
        <v>316.58</v>
      </c>
      <c r="F2772" s="1" t="s">
        <v>53</v>
      </c>
      <c r="G2772" s="6">
        <f ca="1">IFERROR(__xludf.DUMMYFUNCTION("iferror(GOOGLEFINANCE(TRIM(F2772)&amp;"":"" &amp; TRIM(B2772), ""price""),0
)"),0)</f>
        <v>0</v>
      </c>
      <c r="H2772" s="6">
        <v>227.95</v>
      </c>
      <c r="I2772" s="6">
        <f t="shared" ca="1" si="0"/>
        <v>227.95</v>
      </c>
      <c r="J2772" s="6">
        <f ca="1">IFERROR(__xludf.DUMMYFUNCTION("IFERROR(GOOGLEFINANCE(B2772, ""volume""), 0)"),0)</f>
        <v>0</v>
      </c>
      <c r="K2772" s="6">
        <v>-1.75</v>
      </c>
      <c r="L2772" s="6">
        <f ca="1">IFERROR(__xludf.DUMMYFUNCTION("IFERROR(GOOGLEFINANCE(B2772,""changepct""),K2772)"),-1.75)</f>
        <v>-1.75</v>
      </c>
      <c r="M2772" s="6">
        <f ca="1">IFERROR(__xludf.DUMMYFUNCTION("IFERROR(GOOGLEFINANCE(B2772,""change""),0)"),0)</f>
        <v>0</v>
      </c>
      <c r="N2772" s="6">
        <v>1</v>
      </c>
      <c r="O2772" s="7">
        <v>45536</v>
      </c>
      <c r="P2772" s="6">
        <v>1.27</v>
      </c>
      <c r="Q2772" s="6">
        <v>317.85000000000002</v>
      </c>
      <c r="R2772" s="7">
        <v>45352</v>
      </c>
      <c r="S2772" s="6">
        <v>142.94</v>
      </c>
      <c r="T2772" s="6">
        <v>6.79</v>
      </c>
      <c r="U2772" s="7">
        <v>45352</v>
      </c>
      <c r="V2772" s="6">
        <v>46.62</v>
      </c>
      <c r="W2772" s="6">
        <f ca="1">IFERROR(__xludf.DUMMYFUNCTION("IFERROR(GOOGLEFINANCE(B2772,""pe""),V2772)"),46.62)</f>
        <v>46.62</v>
      </c>
      <c r="X2772" s="6">
        <v>1.1499999999999999</v>
      </c>
      <c r="Y2772" s="6">
        <v>5.15</v>
      </c>
      <c r="Z2772" s="6">
        <v>2</v>
      </c>
      <c r="AA2772" s="8">
        <v>45352</v>
      </c>
      <c r="AB2772" s="4">
        <v>0</v>
      </c>
      <c r="AC2772" s="6">
        <v>15.24</v>
      </c>
      <c r="AD2772" s="6">
        <v>20.46</v>
      </c>
      <c r="AE2772" s="1">
        <v>0</v>
      </c>
      <c r="AF2772" s="1">
        <f ca="1">IFERROR(__xludf.DUMMYFUNCTION("IFERROR(GOOGLEFINANCE(TRIM(F2772)&amp;"":"" &amp; TRIM(B2772),""high52""),AE2772)"),0)</f>
        <v>0</v>
      </c>
      <c r="AG2772" s="1">
        <v>0</v>
      </c>
      <c r="AH2772" s="1">
        <f ca="1">IFERROR(__xludf.DUMMYFUNCTION("IFERROR(GOOGLEFINANCE(TRIM(F2772)&amp;"":"" &amp; TRIM(B2772),""low52""),AE2772)"),0)</f>
        <v>0</v>
      </c>
      <c r="AI2772" s="1">
        <f ca="1">IFERROR(__xludf.DUMMYFUNCTION("IFERROR(GOOGLEFINANCE(B2772,""eps""),0)"),0)</f>
        <v>0</v>
      </c>
      <c r="AJ2772" s="1"/>
      <c r="AK2772" s="1" t="s">
        <v>8587</v>
      </c>
      <c r="AL2772" s="9">
        <f t="shared" si="274"/>
        <v>1</v>
      </c>
    </row>
    <row r="2773" spans="1:38" ht="15" x14ac:dyDescent="0.25">
      <c r="A2773" s="1" t="s">
        <v>8588</v>
      </c>
      <c r="B2773" s="1" t="s">
        <v>8589</v>
      </c>
      <c r="C2773" s="1" t="s">
        <v>57</v>
      </c>
      <c r="D2773" s="1" t="s">
        <v>57</v>
      </c>
      <c r="E2773" s="6">
        <v>723.84</v>
      </c>
      <c r="F2773" s="1" t="s">
        <v>40</v>
      </c>
      <c r="G2773" s="6">
        <f ca="1">IFERROR(__xludf.DUMMYFUNCTION("iferror(GOOGLEFINANCE(TRIM(F2773)&amp;"":"" &amp; TRIM(B2773), ""price""),0
)"),47.15)</f>
        <v>47.15</v>
      </c>
      <c r="H2773" s="6">
        <v>71.319999999999993</v>
      </c>
      <c r="I2773" s="6">
        <f t="shared" ca="1" si="0"/>
        <v>47.15</v>
      </c>
      <c r="J2773" s="6">
        <f ca="1">IFERROR(__xludf.DUMMYFUNCTION("IFERROR(GOOGLEFINANCE(B2773, ""volume""), 0)"),249068)</f>
        <v>249068</v>
      </c>
      <c r="K2773" s="6">
        <v>4.9400000000000004</v>
      </c>
      <c r="L2773" s="6">
        <f ca="1">IFERROR(__xludf.DUMMYFUNCTION("IFERROR(GOOGLEFINANCE(B2773,""changepct""),K2773)"),0.4)</f>
        <v>0.4</v>
      </c>
      <c r="M2773" s="6">
        <f ca="1">IFERROR(__xludf.DUMMYFUNCTION("IFERROR(GOOGLEFINANCE(B2773,""change""),0)"),0.19)</f>
        <v>0.19</v>
      </c>
      <c r="N2773" s="6">
        <v>2</v>
      </c>
      <c r="O2773" s="7">
        <v>45536</v>
      </c>
      <c r="P2773" s="6">
        <v>26.28</v>
      </c>
      <c r="Q2773" s="6">
        <v>708.86</v>
      </c>
      <c r="R2773" s="7">
        <v>45536</v>
      </c>
      <c r="S2773" s="6">
        <v>495.2</v>
      </c>
      <c r="T2773" s="6">
        <v>-30.48</v>
      </c>
      <c r="U2773" s="7">
        <v>45536</v>
      </c>
      <c r="V2773" s="6">
        <v>0</v>
      </c>
      <c r="W2773" s="6">
        <f ca="1">IFERROR(__xludf.DUMMYFUNCTION("IFERROR(GOOGLEFINANCE(B2773,""pe""),V2773)"),55.95)</f>
        <v>55.95</v>
      </c>
      <c r="X2773" s="6">
        <v>0</v>
      </c>
      <c r="Y2773" s="6">
        <v>1.1499999999999999</v>
      </c>
      <c r="Z2773" s="6">
        <v>2</v>
      </c>
      <c r="AA2773" s="8">
        <v>45352</v>
      </c>
      <c r="AB2773" s="4">
        <v>0.02</v>
      </c>
      <c r="AC2773" s="6">
        <v>2.38</v>
      </c>
      <c r="AD2773" s="6">
        <v>4.88</v>
      </c>
      <c r="AE2773" s="1">
        <v>0</v>
      </c>
      <c r="AF2773" s="1">
        <f ca="1">IFERROR(__xludf.DUMMYFUNCTION("IFERROR(GOOGLEFINANCE(TRIM(F2773)&amp;"":"" &amp; TRIM(B2773),""high52""),AE2773)"),75.73)</f>
        <v>75.73</v>
      </c>
      <c r="AG2773" s="1">
        <v>0</v>
      </c>
      <c r="AH2773" s="1">
        <f ca="1">IFERROR(__xludf.DUMMYFUNCTION("IFERROR(GOOGLEFINANCE(TRIM(F2773)&amp;"":"" &amp; TRIM(B2773),""low52""),AE2773)"),41.07)</f>
        <v>41.07</v>
      </c>
      <c r="AI2773" s="1">
        <f ca="1">IFERROR(__xludf.DUMMYFUNCTION("IFERROR(GOOGLEFINANCE(B2773,""eps""),0)"),0.84)</f>
        <v>0.84</v>
      </c>
      <c r="AJ2773" s="1"/>
      <c r="AK2773" s="1" t="s">
        <v>8590</v>
      </c>
      <c r="AL2773" s="9">
        <f t="shared" si="274"/>
        <v>1</v>
      </c>
    </row>
    <row r="2774" spans="1:38" ht="15" x14ac:dyDescent="0.25">
      <c r="A2774" s="1" t="s">
        <v>8591</v>
      </c>
      <c r="B2774" s="1" t="s">
        <v>8592</v>
      </c>
      <c r="C2774" s="1" t="s">
        <v>57</v>
      </c>
      <c r="D2774" s="1" t="s">
        <v>57</v>
      </c>
      <c r="E2774" s="6">
        <v>740.91</v>
      </c>
      <c r="F2774" s="1" t="s">
        <v>40</v>
      </c>
      <c r="G2774" s="6">
        <f ca="1">IFERROR(__xludf.DUMMYFUNCTION("iferror(GOOGLEFINANCE(TRIM(F2774)&amp;"":"" &amp; TRIM(B2774), ""price""),0
)"),322.4)</f>
        <v>322.39999999999998</v>
      </c>
      <c r="H2774" s="6">
        <v>330</v>
      </c>
      <c r="I2774" s="6">
        <f t="shared" ca="1" si="0"/>
        <v>322.39999999999998</v>
      </c>
      <c r="J2774" s="6">
        <f ca="1">IFERROR(__xludf.DUMMYFUNCTION("IFERROR(GOOGLEFINANCE(B2774, ""volume""), 0)"),95707)</f>
        <v>95707</v>
      </c>
      <c r="K2774" s="6">
        <v>1.68</v>
      </c>
      <c r="L2774" s="6">
        <f ca="1">IFERROR(__xludf.DUMMYFUNCTION("IFERROR(GOOGLEFINANCE(B2774,""changepct""),K2774)"),-7.36)</f>
        <v>-7.36</v>
      </c>
      <c r="M2774" s="6">
        <f ca="1">IFERROR(__xludf.DUMMYFUNCTION("IFERROR(GOOGLEFINANCE(B2774,""change""),0)"),-25.6)</f>
        <v>-25.6</v>
      </c>
      <c r="N2774" s="6">
        <v>2</v>
      </c>
      <c r="O2774" s="7">
        <v>45536</v>
      </c>
      <c r="P2774" s="12"/>
      <c r="Q2774" s="6">
        <v>717.57</v>
      </c>
      <c r="R2774" s="7">
        <v>45536</v>
      </c>
      <c r="S2774" s="6">
        <v>473.17</v>
      </c>
      <c r="T2774" s="6">
        <v>24.09</v>
      </c>
      <c r="U2774" s="7">
        <v>45536</v>
      </c>
      <c r="V2774" s="6">
        <v>30.75</v>
      </c>
      <c r="W2774" s="6">
        <f ca="1">IFERROR(__xludf.DUMMYFUNCTION("IFERROR(GOOGLEFINANCE(B2774,""pe""),V2774)"),16.26)</f>
        <v>16.260000000000002</v>
      </c>
      <c r="X2774" s="6">
        <v>1.1299999999999999</v>
      </c>
      <c r="Y2774" s="6">
        <v>3.55</v>
      </c>
      <c r="Z2774" s="6">
        <v>2</v>
      </c>
      <c r="AA2774" s="8">
        <v>45352</v>
      </c>
      <c r="AB2774" s="4">
        <v>0</v>
      </c>
      <c r="AC2774" s="6">
        <v>18.34</v>
      </c>
      <c r="AD2774" s="6">
        <v>24.38</v>
      </c>
      <c r="AE2774" s="1">
        <v>0</v>
      </c>
      <c r="AF2774" s="1">
        <f ca="1">IFERROR(__xludf.DUMMYFUNCTION("IFERROR(GOOGLEFINANCE(TRIM(F2774)&amp;"":"" &amp; TRIM(B2774),""high52""),AE2774)"),385)</f>
        <v>385</v>
      </c>
      <c r="AG2774" s="1">
        <v>0</v>
      </c>
      <c r="AH2774" s="1">
        <f ca="1">IFERROR(__xludf.DUMMYFUNCTION("IFERROR(GOOGLEFINANCE(TRIM(F2774)&amp;"":"" &amp; TRIM(B2774),""low52""),AE2774)"),206)</f>
        <v>206</v>
      </c>
      <c r="AI2774" s="1">
        <f ca="1">IFERROR(__xludf.DUMMYFUNCTION("IFERROR(GOOGLEFINANCE(B2774,""eps""),0)"),19.83)</f>
        <v>19.829999999999998</v>
      </c>
      <c r="AJ2774" s="1"/>
      <c r="AK2774" s="12"/>
      <c r="AL2774" s="9">
        <f t="shared" si="274"/>
        <v>1</v>
      </c>
    </row>
    <row r="2775" spans="1:38" ht="15" x14ac:dyDescent="0.25">
      <c r="A2775" s="1" t="s">
        <v>8593</v>
      </c>
      <c r="B2775" s="1" t="s">
        <v>8594</v>
      </c>
      <c r="C2775" s="1" t="s">
        <v>259</v>
      </c>
      <c r="D2775" s="1" t="s">
        <v>259</v>
      </c>
      <c r="E2775" s="6">
        <v>62.65</v>
      </c>
      <c r="F2775" s="1" t="s">
        <v>53</v>
      </c>
      <c r="G2775" s="6">
        <f ca="1">IFERROR(__xludf.DUMMYFUNCTION("iferror(GOOGLEFINANCE(TRIM(F2775)&amp;"":"" &amp; TRIM(B2775), ""price""),0
)"),0)</f>
        <v>0</v>
      </c>
      <c r="H2775" s="6">
        <v>117</v>
      </c>
      <c r="I2775" s="6">
        <f t="shared" ca="1" si="0"/>
        <v>117</v>
      </c>
      <c r="J2775" s="6">
        <f ca="1">IFERROR(__xludf.DUMMYFUNCTION("IFERROR(GOOGLEFINANCE(B2775, ""volume""), 0)"),0)</f>
        <v>0</v>
      </c>
      <c r="K2775" s="6">
        <v>1.17</v>
      </c>
      <c r="L2775" s="6">
        <f ca="1">IFERROR(__xludf.DUMMYFUNCTION("IFERROR(GOOGLEFINANCE(B2775,""changepct""),K2775)"),1.17)</f>
        <v>1.17</v>
      </c>
      <c r="M2775" s="6">
        <f ca="1">IFERROR(__xludf.DUMMYFUNCTION("IFERROR(GOOGLEFINANCE(B2775,""change""),0)"),0)</f>
        <v>0</v>
      </c>
      <c r="N2775" s="6">
        <v>1</v>
      </c>
      <c r="O2775" s="7">
        <v>45536</v>
      </c>
      <c r="P2775" s="6">
        <v>18.7</v>
      </c>
      <c r="Q2775" s="6">
        <v>78.739999999999995</v>
      </c>
      <c r="R2775" s="7">
        <v>45536</v>
      </c>
      <c r="S2775" s="6">
        <v>169.38</v>
      </c>
      <c r="T2775" s="6">
        <v>2.5099999999999998</v>
      </c>
      <c r="U2775" s="7">
        <v>45536</v>
      </c>
      <c r="V2775" s="6">
        <v>24.96</v>
      </c>
      <c r="W2775" s="6">
        <f ca="1">IFERROR(__xludf.DUMMYFUNCTION("IFERROR(GOOGLEFINANCE(B2775,""pe""),V2775)"),24.96)</f>
        <v>24.96</v>
      </c>
      <c r="X2775" s="6">
        <v>-1.7</v>
      </c>
      <c r="Y2775" s="6">
        <v>1.18</v>
      </c>
      <c r="Z2775" s="6">
        <v>1</v>
      </c>
      <c r="AA2775" s="8">
        <v>45352</v>
      </c>
      <c r="AB2775" s="4">
        <v>0.44</v>
      </c>
      <c r="AC2775" s="6">
        <v>5.26</v>
      </c>
      <c r="AD2775" s="6">
        <v>8.51</v>
      </c>
      <c r="AE2775" s="1">
        <v>0</v>
      </c>
      <c r="AF2775" s="1">
        <f ca="1">IFERROR(__xludf.DUMMYFUNCTION("IFERROR(GOOGLEFINANCE(TRIM(F2775)&amp;"":"" &amp; TRIM(B2775),""high52""),AE2775)"),0)</f>
        <v>0</v>
      </c>
      <c r="AG2775" s="1">
        <v>0</v>
      </c>
      <c r="AH2775" s="1">
        <f ca="1">IFERROR(__xludf.DUMMYFUNCTION("IFERROR(GOOGLEFINANCE(TRIM(F2775)&amp;"":"" &amp; TRIM(B2775),""low52""),AE2775)"),0)</f>
        <v>0</v>
      </c>
      <c r="AI2775" s="1">
        <f ca="1">IFERROR(__xludf.DUMMYFUNCTION("IFERROR(GOOGLEFINANCE(B2775,""eps""),0)"),0)</f>
        <v>0</v>
      </c>
      <c r="AJ2775" s="1"/>
      <c r="AK2775" s="1" t="s">
        <v>8595</v>
      </c>
      <c r="AL2775" s="9">
        <f t="shared" si="274"/>
        <v>1</v>
      </c>
    </row>
    <row r="2776" spans="1:38" ht="15" x14ac:dyDescent="0.25">
      <c r="A2776" s="1" t="s">
        <v>8596</v>
      </c>
      <c r="B2776" s="1" t="s">
        <v>8597</v>
      </c>
      <c r="C2776" s="1" t="s">
        <v>106</v>
      </c>
      <c r="D2776" s="1" t="s">
        <v>106</v>
      </c>
      <c r="E2776" s="6">
        <v>171.98</v>
      </c>
      <c r="F2776" s="1" t="s">
        <v>40</v>
      </c>
      <c r="G2776" s="6">
        <f ca="1">IFERROR(__xludf.DUMMYFUNCTION("iferror(GOOGLEFINANCE(TRIM(F2776)&amp;"":"" &amp; TRIM(B2776), ""price""),0
)"),0)</f>
        <v>0</v>
      </c>
      <c r="H2776" s="6">
        <v>90.1</v>
      </c>
      <c r="I2776" s="6">
        <f t="shared" ca="1" si="0"/>
        <v>90.1</v>
      </c>
      <c r="J2776" s="6">
        <f ca="1">IFERROR(__xludf.DUMMYFUNCTION("IFERROR(GOOGLEFINANCE(B2776, ""volume""), 0)"),127553)</f>
        <v>127553</v>
      </c>
      <c r="K2776" s="6">
        <v>-5.01</v>
      </c>
      <c r="L2776" s="6">
        <f ca="1">IFERROR(__xludf.DUMMYFUNCTION("IFERROR(GOOGLEFINANCE(B2776,""changepct""),K2776)"),-4.05)</f>
        <v>-4.05</v>
      </c>
      <c r="M2776" s="6">
        <f ca="1">IFERROR(__xludf.DUMMYFUNCTION("IFERROR(GOOGLEFINANCE(B2776,""change""),0)"),-0.07)</f>
        <v>-7.0000000000000007E-2</v>
      </c>
      <c r="N2776" s="6">
        <v>1</v>
      </c>
      <c r="O2776" s="7">
        <v>45352</v>
      </c>
      <c r="P2776" s="6">
        <v>30.78</v>
      </c>
      <c r="Q2776" s="6">
        <v>201.3</v>
      </c>
      <c r="R2776" s="14"/>
      <c r="S2776" s="9"/>
      <c r="T2776" s="9"/>
      <c r="U2776" s="7">
        <v>45352</v>
      </c>
      <c r="V2776" s="6">
        <v>56.73</v>
      </c>
      <c r="W2776" s="6">
        <f ca="1">IFERROR(__xludf.DUMMYFUNCTION("IFERROR(GOOGLEFINANCE(B2776,""pe""),V2776)"),56.73)</f>
        <v>56.73</v>
      </c>
      <c r="X2776" s="9"/>
      <c r="Y2776" s="6">
        <v>3.17</v>
      </c>
      <c r="Z2776" s="6">
        <v>1</v>
      </c>
      <c r="AA2776" s="8">
        <v>45352</v>
      </c>
      <c r="AB2776" s="4">
        <v>1.24</v>
      </c>
      <c r="AC2776" s="6">
        <v>14.07</v>
      </c>
      <c r="AD2776" s="6">
        <v>12.05</v>
      </c>
      <c r="AE2776" s="1">
        <v>0</v>
      </c>
      <c r="AF2776" s="1">
        <f ca="1">IFERROR(__xludf.DUMMYFUNCTION("IFERROR(GOOGLEFINANCE(TRIM(F2776)&amp;"":"" &amp; TRIM(B2776),""high52""),AE2776)"),0)</f>
        <v>0</v>
      </c>
      <c r="AG2776" s="1">
        <v>0</v>
      </c>
      <c r="AH2776" s="1">
        <f ca="1">IFERROR(__xludf.DUMMYFUNCTION("IFERROR(GOOGLEFINANCE(TRIM(F2776)&amp;"":"" &amp; TRIM(B2776),""low52""),AE2776)"),0)</f>
        <v>0</v>
      </c>
      <c r="AI2776" s="1">
        <f ca="1">IFERROR(__xludf.DUMMYFUNCTION("IFERROR(GOOGLEFINANCE(B2776,""eps""),0)"),-0.03)</f>
        <v>-0.03</v>
      </c>
      <c r="AJ2776" s="1"/>
      <c r="AK2776" s="1" t="s">
        <v>8598</v>
      </c>
      <c r="AL2776" s="9">
        <f t="shared" si="274"/>
        <v>1</v>
      </c>
    </row>
    <row r="2777" spans="1:38" ht="15" x14ac:dyDescent="0.25">
      <c r="A2777" s="1" t="s">
        <v>8599</v>
      </c>
      <c r="B2777" s="1" t="s">
        <v>8600</v>
      </c>
      <c r="C2777" s="1" t="s">
        <v>227</v>
      </c>
      <c r="D2777" s="1" t="s">
        <v>227</v>
      </c>
      <c r="E2777" s="6">
        <v>6383.48</v>
      </c>
      <c r="F2777" s="1" t="s">
        <v>40</v>
      </c>
      <c r="G2777" s="6">
        <f ca="1">IFERROR(__xludf.DUMMYFUNCTION("iferror(GOOGLEFINANCE(TRIM(F2777)&amp;"":"" &amp; TRIM(B2777), ""price""),0
)"),388)</f>
        <v>388</v>
      </c>
      <c r="H2777" s="6">
        <v>754.05</v>
      </c>
      <c r="I2777" s="6">
        <f t="shared" ca="1" si="0"/>
        <v>388</v>
      </c>
      <c r="J2777" s="6">
        <f ca="1">IFERROR(__xludf.DUMMYFUNCTION("IFERROR(GOOGLEFINANCE(B2777, ""volume""), 0)"),68933)</f>
        <v>68933</v>
      </c>
      <c r="K2777" s="6">
        <v>1.59</v>
      </c>
      <c r="L2777" s="6">
        <f ca="1">IFERROR(__xludf.DUMMYFUNCTION("IFERROR(GOOGLEFINANCE(B2777,""changepct""),K2777)"),-0.74)</f>
        <v>-0.74</v>
      </c>
      <c r="M2777" s="6">
        <f ca="1">IFERROR(__xludf.DUMMYFUNCTION("IFERROR(GOOGLEFINANCE(B2777,""change""),0)"),-2.9)</f>
        <v>-2.9</v>
      </c>
      <c r="N2777" s="6">
        <v>2</v>
      </c>
      <c r="O2777" s="7">
        <v>45536</v>
      </c>
      <c r="P2777" s="6">
        <v>178.7</v>
      </c>
      <c r="Q2777" s="6">
        <v>6500.17</v>
      </c>
      <c r="R2777" s="7">
        <v>45536</v>
      </c>
      <c r="S2777" s="6">
        <v>1941.04</v>
      </c>
      <c r="T2777" s="6">
        <v>62.34</v>
      </c>
      <c r="U2777" s="7">
        <v>45536</v>
      </c>
      <c r="V2777" s="6">
        <v>94.1</v>
      </c>
      <c r="W2777" s="6">
        <f ca="1">IFERROR(__xludf.DUMMYFUNCTION("IFERROR(GOOGLEFINANCE(B2777,""pe""),V2777)"),49.88)</f>
        <v>49.88</v>
      </c>
      <c r="X2777" s="6">
        <v>3.89</v>
      </c>
      <c r="Y2777" s="6">
        <v>14.11</v>
      </c>
      <c r="Z2777" s="6">
        <v>2</v>
      </c>
      <c r="AA2777" s="8">
        <v>45352</v>
      </c>
      <c r="AB2777" s="4">
        <v>0.25</v>
      </c>
      <c r="AC2777" s="6">
        <v>14.03</v>
      </c>
      <c r="AD2777" s="6">
        <v>17.29</v>
      </c>
      <c r="AE2777" s="1">
        <v>0</v>
      </c>
      <c r="AF2777" s="1">
        <f ca="1">IFERROR(__xludf.DUMMYFUNCTION("IFERROR(GOOGLEFINANCE(TRIM(F2777)&amp;"":"" &amp; TRIM(B2777),""high52""),AE2777)"),713)</f>
        <v>713</v>
      </c>
      <c r="AG2777" s="1">
        <v>0</v>
      </c>
      <c r="AH2777" s="1">
        <f ca="1">IFERROR(__xludf.DUMMYFUNCTION("IFERROR(GOOGLEFINANCE(TRIM(F2777)&amp;"":"" &amp; TRIM(B2777),""low52""),AE2777)"),366)</f>
        <v>366</v>
      </c>
      <c r="AI2777" s="1">
        <f ca="1">IFERROR(__xludf.DUMMYFUNCTION("IFERROR(GOOGLEFINANCE(B2777,""eps""),0)"),7.78)</f>
        <v>7.78</v>
      </c>
      <c r="AJ2777" s="1"/>
      <c r="AK2777" s="1" t="s">
        <v>8601</v>
      </c>
      <c r="AL2777" s="9">
        <f t="shared" si="274"/>
        <v>1</v>
      </c>
    </row>
    <row r="2778" spans="1:38" ht="15" x14ac:dyDescent="0.25">
      <c r="A2778" s="1" t="s">
        <v>8602</v>
      </c>
      <c r="B2778" s="1" t="s">
        <v>8603</v>
      </c>
      <c r="C2778" s="1" t="s">
        <v>57</v>
      </c>
      <c r="D2778" s="1" t="s">
        <v>57</v>
      </c>
      <c r="E2778" s="6">
        <v>109817.60000000001</v>
      </c>
      <c r="F2778" s="1" t="s">
        <v>40</v>
      </c>
      <c r="G2778" s="6">
        <f ca="1">IFERROR(__xludf.DUMMYFUNCTION("iferror(GOOGLEFINANCE(TRIM(F2778)&amp;"":"" &amp; TRIM(B2778), ""price""),0
)"),7735.5)</f>
        <v>7735.5</v>
      </c>
      <c r="H2778" s="6">
        <v>12592.05</v>
      </c>
      <c r="I2778" s="6">
        <f t="shared" ca="1" si="0"/>
        <v>7735.5</v>
      </c>
      <c r="J2778" s="6">
        <f ca="1">IFERROR(__xludf.DUMMYFUNCTION("IFERROR(GOOGLEFINANCE(B2778, ""volume""), 0)"),99623)</f>
        <v>99623</v>
      </c>
      <c r="K2778" s="6">
        <v>-0.45</v>
      </c>
      <c r="L2778" s="6">
        <f ca="1">IFERROR(__xludf.DUMMYFUNCTION("IFERROR(GOOGLEFINANCE(B2778,""changepct""),K2778)"),-0.25)</f>
        <v>-0.25</v>
      </c>
      <c r="M2778" s="6">
        <f ca="1">IFERROR(__xludf.DUMMYFUNCTION("IFERROR(GOOGLEFINANCE(B2778,""change""),0)"),-19)</f>
        <v>-19</v>
      </c>
      <c r="N2778" s="6">
        <v>2</v>
      </c>
      <c r="O2778" s="7">
        <v>45536</v>
      </c>
      <c r="P2778" s="9"/>
      <c r="Q2778" s="6">
        <v>105016.6</v>
      </c>
      <c r="R2778" s="7">
        <v>45536</v>
      </c>
      <c r="S2778" s="6">
        <v>6881.36</v>
      </c>
      <c r="T2778" s="6">
        <v>2495.33</v>
      </c>
      <c r="U2778" s="7">
        <v>45536</v>
      </c>
      <c r="V2778" s="6">
        <v>44.01</v>
      </c>
      <c r="W2778" s="6">
        <f ca="1">IFERROR(__xludf.DUMMYFUNCTION("IFERROR(GOOGLEFINANCE(B2778,""pe""),V2778)"),27.64)</f>
        <v>27.64</v>
      </c>
      <c r="X2778" s="6">
        <v>4.45</v>
      </c>
      <c r="Y2778" s="6">
        <v>15.55</v>
      </c>
      <c r="Z2778" s="6">
        <v>2</v>
      </c>
      <c r="AA2778" s="17">
        <v>45352</v>
      </c>
      <c r="AB2778" s="18">
        <v>0</v>
      </c>
      <c r="AC2778" s="6">
        <v>29.53</v>
      </c>
      <c r="AD2778" s="6">
        <v>39.83</v>
      </c>
      <c r="AE2778" s="1">
        <v>0</v>
      </c>
      <c r="AF2778" s="1">
        <f ca="1">IFERROR(__xludf.DUMMYFUNCTION("IFERROR(GOOGLEFINANCE(TRIM(F2778)&amp;"":"" &amp; TRIM(B2778),""high52""),AE2778)"),9950)</f>
        <v>9950</v>
      </c>
      <c r="AG2778" s="1">
        <v>0</v>
      </c>
      <c r="AH2778" s="1">
        <f ca="1">IFERROR(__xludf.DUMMYFUNCTION("IFERROR(GOOGLEFINANCE(TRIM(F2778)&amp;"":"" &amp; TRIM(B2778),""low52""),AE2778)"),7038)</f>
        <v>7038</v>
      </c>
      <c r="AI2778" s="1">
        <f ca="1">IFERROR(__xludf.DUMMYFUNCTION("IFERROR(GOOGLEFINANCE(B2778,""eps""),0)"),279.88)</f>
        <v>279.88</v>
      </c>
      <c r="AJ2778" s="1"/>
      <c r="AK2778" s="1" t="s">
        <v>8604</v>
      </c>
      <c r="AL2778" s="9">
        <f t="shared" si="274"/>
        <v>1</v>
      </c>
    </row>
    <row r="2779" spans="1:38" ht="15" x14ac:dyDescent="0.25">
      <c r="A2779" s="1" t="s">
        <v>8605</v>
      </c>
      <c r="B2779" s="1" t="s">
        <v>8606</v>
      </c>
      <c r="C2779" s="1" t="s">
        <v>186</v>
      </c>
      <c r="D2779" s="1" t="s">
        <v>186</v>
      </c>
      <c r="E2779" s="6">
        <v>588.37</v>
      </c>
      <c r="F2779" s="1" t="s">
        <v>40</v>
      </c>
      <c r="G2779" s="6">
        <f ca="1">IFERROR(__xludf.DUMMYFUNCTION("iferror(GOOGLEFINANCE(TRIM(F2779)&amp;"":"" &amp; TRIM(B2779), ""price""),0
)"),174.8)</f>
        <v>174.8</v>
      </c>
      <c r="H2779" s="6">
        <v>225.44</v>
      </c>
      <c r="I2779" s="6">
        <f t="shared" ca="1" si="0"/>
        <v>174.8</v>
      </c>
      <c r="J2779" s="6">
        <f ca="1">IFERROR(__xludf.DUMMYFUNCTION("IFERROR(GOOGLEFINANCE(B2779, ""volume""), 0)"),4758)</f>
        <v>4758</v>
      </c>
      <c r="K2779" s="6">
        <v>2.35</v>
      </c>
      <c r="L2779" s="6">
        <f ca="1">IFERROR(__xludf.DUMMYFUNCTION("IFERROR(GOOGLEFINANCE(B2779,""changepct""),K2779)"),2.61)</f>
        <v>2.61</v>
      </c>
      <c r="M2779" s="6">
        <f ca="1">IFERROR(__xludf.DUMMYFUNCTION("IFERROR(GOOGLEFINANCE(B2779,""change""),0)"),4.45)</f>
        <v>4.45</v>
      </c>
      <c r="N2779" s="6">
        <v>2</v>
      </c>
      <c r="O2779" s="7">
        <v>45536</v>
      </c>
      <c r="P2779" s="6">
        <v>19.02</v>
      </c>
      <c r="Q2779" s="6">
        <v>602.88</v>
      </c>
      <c r="R2779" s="7">
        <v>45536</v>
      </c>
      <c r="S2779" s="6">
        <v>202.09</v>
      </c>
      <c r="T2779" s="6">
        <v>34.44</v>
      </c>
      <c r="U2779" s="7">
        <v>45536</v>
      </c>
      <c r="V2779" s="6">
        <v>15.98</v>
      </c>
      <c r="W2779" s="6">
        <f ca="1">IFERROR(__xludf.DUMMYFUNCTION("IFERROR(GOOGLEFINANCE(B2779,""pe""),V2779)"),12.12)</f>
        <v>12.12</v>
      </c>
      <c r="X2779" s="6">
        <v>2.77</v>
      </c>
      <c r="Y2779" s="6">
        <v>2.2599999999999998</v>
      </c>
      <c r="Z2779" s="6">
        <v>2</v>
      </c>
      <c r="AA2779" s="8">
        <v>45352</v>
      </c>
      <c r="AB2779" s="4">
        <v>0.08</v>
      </c>
      <c r="AC2779" s="6">
        <v>15.14</v>
      </c>
      <c r="AD2779" s="6">
        <v>18.93</v>
      </c>
      <c r="AE2779" s="1">
        <v>0</v>
      </c>
      <c r="AF2779" s="1">
        <f ca="1">IFERROR(__xludf.DUMMYFUNCTION("IFERROR(GOOGLEFINANCE(TRIM(F2779)&amp;"":"" &amp; TRIM(B2779),""high52""),AE2779)"),265)</f>
        <v>265</v>
      </c>
      <c r="AG2779" s="1">
        <v>0</v>
      </c>
      <c r="AH2779" s="1">
        <f ca="1">IFERROR(__xludf.DUMMYFUNCTION("IFERROR(GOOGLEFINANCE(TRIM(F2779)&amp;"":"" &amp; TRIM(B2779),""low52""),AE2779)"),138.7)</f>
        <v>138.69999999999999</v>
      </c>
      <c r="AI2779" s="1">
        <f ca="1">IFERROR(__xludf.DUMMYFUNCTION("IFERROR(GOOGLEFINANCE(B2779,""eps""),0)"),14.42)</f>
        <v>14.42</v>
      </c>
      <c r="AJ2779" s="1"/>
      <c r="AK2779" s="1" t="s">
        <v>8607</v>
      </c>
      <c r="AL2779" s="9">
        <f t="shared" si="274"/>
        <v>1</v>
      </c>
    </row>
    <row r="2780" spans="1:38" ht="15" x14ac:dyDescent="0.25">
      <c r="A2780" s="1" t="s">
        <v>8608</v>
      </c>
      <c r="B2780" s="1" t="s">
        <v>8609</v>
      </c>
      <c r="C2780" s="1" t="s">
        <v>106</v>
      </c>
      <c r="D2780" s="1" t="s">
        <v>106</v>
      </c>
      <c r="E2780" s="6">
        <v>9476.1</v>
      </c>
      <c r="F2780" s="1" t="s">
        <v>40</v>
      </c>
      <c r="G2780" s="6">
        <f ca="1">IFERROR(__xludf.DUMMYFUNCTION("iferror(GOOGLEFINANCE(TRIM(F2780)&amp;"":"" &amp; TRIM(B2780), ""price""),0
)"),676.1)</f>
        <v>676.1</v>
      </c>
      <c r="H2780" s="6">
        <v>1929.95</v>
      </c>
      <c r="I2780" s="6">
        <f t="shared" ca="1" si="0"/>
        <v>676.1</v>
      </c>
      <c r="J2780" s="6">
        <f ca="1">IFERROR(__xludf.DUMMYFUNCTION("IFERROR(GOOGLEFINANCE(B2780, ""volume""), 0)"),24630)</f>
        <v>24630</v>
      </c>
      <c r="K2780" s="6">
        <v>3.02</v>
      </c>
      <c r="L2780" s="6">
        <f ca="1">IFERROR(__xludf.DUMMYFUNCTION("IFERROR(GOOGLEFINANCE(B2780,""changepct""),K2780)"),-0.86)</f>
        <v>-0.86</v>
      </c>
      <c r="M2780" s="6">
        <f ca="1">IFERROR(__xludf.DUMMYFUNCTION("IFERROR(GOOGLEFINANCE(B2780,""change""),0)"),-5.85)</f>
        <v>-5.85</v>
      </c>
      <c r="N2780" s="6">
        <v>2</v>
      </c>
      <c r="O2780" s="7">
        <v>45536</v>
      </c>
      <c r="P2780" s="6">
        <v>164.4</v>
      </c>
      <c r="Q2780" s="6">
        <v>9396.6200000000008</v>
      </c>
      <c r="R2780" s="7">
        <v>45536</v>
      </c>
      <c r="S2780" s="6">
        <v>904.8</v>
      </c>
      <c r="T2780" s="6">
        <v>117.87</v>
      </c>
      <c r="U2780" s="7">
        <v>45536</v>
      </c>
      <c r="V2780" s="6">
        <v>79.650000000000006</v>
      </c>
      <c r="W2780" s="6">
        <f ca="1">IFERROR(__xludf.DUMMYFUNCTION("IFERROR(GOOGLEFINANCE(B2780,""pe""),V2780)"),65.59)</f>
        <v>65.59</v>
      </c>
      <c r="X2780" s="6">
        <v>3.62</v>
      </c>
      <c r="Y2780" s="6">
        <v>7.74</v>
      </c>
      <c r="Z2780" s="6">
        <v>2</v>
      </c>
      <c r="AA2780" s="8">
        <v>45352</v>
      </c>
      <c r="AB2780" s="4">
        <v>0.12</v>
      </c>
      <c r="AC2780" s="6">
        <v>10.23</v>
      </c>
      <c r="AD2780" s="6">
        <v>9.35</v>
      </c>
      <c r="AE2780" s="1">
        <v>0</v>
      </c>
      <c r="AF2780" s="1">
        <f ca="1">IFERROR(__xludf.DUMMYFUNCTION("IFERROR(GOOGLEFINANCE(TRIM(F2780)&amp;"":"" &amp; TRIM(B2780),""high52""),AE2780)"),1511.25)</f>
        <v>1511.25</v>
      </c>
      <c r="AG2780" s="1">
        <v>0</v>
      </c>
      <c r="AH2780" s="1">
        <f ca="1">IFERROR(__xludf.DUMMYFUNCTION("IFERROR(GOOGLEFINANCE(TRIM(F2780)&amp;"":"" &amp; TRIM(B2780),""low52""),AE2780)"),603.8)</f>
        <v>603.79999999999995</v>
      </c>
      <c r="AI2780" s="1">
        <f ca="1">IFERROR(__xludf.DUMMYFUNCTION("IFERROR(GOOGLEFINANCE(B2780,""eps""),0)"),10.31)</f>
        <v>10.31</v>
      </c>
      <c r="AJ2780" s="1"/>
      <c r="AK2780" s="1" t="s">
        <v>8610</v>
      </c>
      <c r="AL2780" s="9">
        <f t="shared" si="274"/>
        <v>1</v>
      </c>
    </row>
    <row r="2781" spans="1:38" ht="15" x14ac:dyDescent="0.25">
      <c r="A2781" s="1" t="s">
        <v>8611</v>
      </c>
      <c r="B2781" s="1" t="s">
        <v>8612</v>
      </c>
      <c r="C2781" s="1" t="s">
        <v>86</v>
      </c>
      <c r="D2781" s="1" t="s">
        <v>86</v>
      </c>
      <c r="E2781" s="6">
        <v>4586.74</v>
      </c>
      <c r="F2781" s="1" t="s">
        <v>40</v>
      </c>
      <c r="G2781" s="6">
        <f ca="1">IFERROR(__xludf.DUMMYFUNCTION("iferror(GOOGLEFINANCE(TRIM(F2781)&amp;"":"" &amp; TRIM(B2781), ""price""),0
)"),0)</f>
        <v>0</v>
      </c>
      <c r="H2781" s="6">
        <v>2305</v>
      </c>
      <c r="I2781" s="6">
        <f t="shared" ca="1" si="0"/>
        <v>2305</v>
      </c>
      <c r="J2781" s="6">
        <f ca="1">IFERROR(__xludf.DUMMYFUNCTION("IFERROR(GOOGLEFINANCE(B2781, ""volume""), 0)"),0)</f>
        <v>0</v>
      </c>
      <c r="K2781" s="6">
        <v>2.11</v>
      </c>
      <c r="L2781" s="6">
        <f ca="1">IFERROR(__xludf.DUMMYFUNCTION("IFERROR(GOOGLEFINANCE(B2781,""changepct""),K2781)"),2.11)</f>
        <v>2.11</v>
      </c>
      <c r="M2781" s="6">
        <f ca="1">IFERROR(__xludf.DUMMYFUNCTION("IFERROR(GOOGLEFINANCE(B2781,""change""),0)"),0)</f>
        <v>0</v>
      </c>
      <c r="N2781" s="6">
        <v>1</v>
      </c>
      <c r="O2781" s="7">
        <v>45536</v>
      </c>
      <c r="P2781" s="6">
        <v>35.549999999999997</v>
      </c>
      <c r="Q2781" s="6">
        <v>4622.29</v>
      </c>
      <c r="R2781" s="7">
        <v>45352</v>
      </c>
      <c r="S2781" s="6">
        <v>377.31</v>
      </c>
      <c r="T2781" s="6">
        <v>55.13</v>
      </c>
      <c r="U2781" s="7">
        <v>45352</v>
      </c>
      <c r="V2781" s="6">
        <v>83.19</v>
      </c>
      <c r="W2781" s="6">
        <f ca="1">IFERROR(__xludf.DUMMYFUNCTION("IFERROR(GOOGLEFINANCE(B2781,""pe""),V2781)"),83.19)</f>
        <v>83.19</v>
      </c>
      <c r="X2781" s="14"/>
      <c r="Y2781" s="6">
        <v>12.81</v>
      </c>
      <c r="Z2781" s="6">
        <v>2</v>
      </c>
      <c r="AA2781" s="8">
        <v>45352</v>
      </c>
      <c r="AB2781" s="4">
        <v>1.26</v>
      </c>
      <c r="AC2781" s="6">
        <v>61.02</v>
      </c>
      <c r="AD2781" s="6">
        <v>37.79</v>
      </c>
      <c r="AE2781" s="1">
        <v>0</v>
      </c>
      <c r="AF2781" s="1">
        <f ca="1">IFERROR(__xludf.DUMMYFUNCTION("IFERROR(GOOGLEFINANCE(TRIM(F2781)&amp;"":"" &amp; TRIM(B2781),""high52""),AE2781)"),0)</f>
        <v>0</v>
      </c>
      <c r="AG2781" s="1">
        <v>0</v>
      </c>
      <c r="AH2781" s="1">
        <f ca="1">IFERROR(__xludf.DUMMYFUNCTION("IFERROR(GOOGLEFINANCE(TRIM(F2781)&amp;"":"" &amp; TRIM(B2781),""low52""),AE2781)"),0)</f>
        <v>0</v>
      </c>
      <c r="AI2781" s="1">
        <f ca="1">IFERROR(__xludf.DUMMYFUNCTION("IFERROR(GOOGLEFINANCE(B2781,""eps""),0)"),0)</f>
        <v>0</v>
      </c>
      <c r="AJ2781" s="1"/>
      <c r="AK2781" s="9"/>
      <c r="AL2781" s="9">
        <f t="shared" si="274"/>
        <v>1</v>
      </c>
    </row>
    <row r="2782" spans="1:38" ht="15" x14ac:dyDescent="0.25">
      <c r="A2782" s="1" t="s">
        <v>8613</v>
      </c>
      <c r="B2782" s="1" t="s">
        <v>8614</v>
      </c>
      <c r="C2782" s="1" t="s">
        <v>483</v>
      </c>
      <c r="D2782" s="1" t="s">
        <v>483</v>
      </c>
      <c r="E2782" s="6">
        <v>612.16999999999996</v>
      </c>
      <c r="F2782" s="1" t="s">
        <v>40</v>
      </c>
      <c r="G2782" s="6">
        <f ca="1">IFERROR(__xludf.DUMMYFUNCTION("iferror(GOOGLEFINANCE(TRIM(F2782)&amp;"":"" &amp; TRIM(B2782), ""price""),0
)"),63.68)</f>
        <v>63.68</v>
      </c>
      <c r="H2782" s="6">
        <v>39.11</v>
      </c>
      <c r="I2782" s="6">
        <f t="shared" ca="1" si="0"/>
        <v>63.68</v>
      </c>
      <c r="J2782" s="6">
        <f ca="1">IFERROR(__xludf.DUMMYFUNCTION("IFERROR(GOOGLEFINANCE(B2782, ""volume""), 0)"),126824)</f>
        <v>126824</v>
      </c>
      <c r="K2782" s="6">
        <v>0.26</v>
      </c>
      <c r="L2782" s="6">
        <f ca="1">IFERROR(__xludf.DUMMYFUNCTION("IFERROR(GOOGLEFINANCE(B2782,""changepct""),K2782)"),-2.97)</f>
        <v>-2.97</v>
      </c>
      <c r="M2782" s="6">
        <f ca="1">IFERROR(__xludf.DUMMYFUNCTION("IFERROR(GOOGLEFINANCE(B2782,""change""),0)"),-1.95)</f>
        <v>-1.95</v>
      </c>
      <c r="N2782" s="6">
        <v>2</v>
      </c>
      <c r="O2782" s="7">
        <v>45536</v>
      </c>
      <c r="P2782" s="6">
        <v>9.32</v>
      </c>
      <c r="Q2782" s="6">
        <v>597.54999999999995</v>
      </c>
      <c r="R2782" s="7">
        <v>45536</v>
      </c>
      <c r="S2782" s="6">
        <v>220.8</v>
      </c>
      <c r="T2782" s="6">
        <v>3.81</v>
      </c>
      <c r="U2782" s="7">
        <v>45536</v>
      </c>
      <c r="V2782" s="6">
        <v>4.07</v>
      </c>
      <c r="W2782" s="6">
        <f ca="1">IFERROR(__xludf.DUMMYFUNCTION("IFERROR(GOOGLEFINANCE(B2782,""pe""),V2782)"),40.99)</f>
        <v>40.99</v>
      </c>
      <c r="X2782" s="6">
        <v>-1.23</v>
      </c>
      <c r="Y2782" s="6">
        <v>0.53</v>
      </c>
      <c r="Z2782" s="6">
        <v>2</v>
      </c>
      <c r="AA2782" s="8">
        <v>45352</v>
      </c>
      <c r="AB2782" s="4">
        <v>0.12</v>
      </c>
      <c r="AC2782" s="6">
        <v>0.05</v>
      </c>
      <c r="AD2782" s="6">
        <v>-0.03</v>
      </c>
      <c r="AE2782" s="1">
        <v>0</v>
      </c>
      <c r="AF2782" s="1">
        <f ca="1">IFERROR(__xludf.DUMMYFUNCTION("IFERROR(GOOGLEFINANCE(TRIM(F2782)&amp;"":"" &amp; TRIM(B2782),""high52""),AE2782)"),67.89)</f>
        <v>67.89</v>
      </c>
      <c r="AG2782" s="1">
        <v>0</v>
      </c>
      <c r="AH2782" s="1">
        <f ca="1">IFERROR(__xludf.DUMMYFUNCTION("IFERROR(GOOGLEFINANCE(TRIM(F2782)&amp;"":"" &amp; TRIM(B2782),""low52""),AE2782)"),35.66)</f>
        <v>35.659999999999997</v>
      </c>
      <c r="AI2782" s="1">
        <f ca="1">IFERROR(__xludf.DUMMYFUNCTION("IFERROR(GOOGLEFINANCE(B2782,""eps""),0)"),1.55)</f>
        <v>1.55</v>
      </c>
      <c r="AJ2782" s="1"/>
      <c r="AK2782" s="1" t="s">
        <v>8615</v>
      </c>
      <c r="AL2782" s="9">
        <f t="shared" si="274"/>
        <v>1</v>
      </c>
    </row>
    <row r="2783" spans="1:38" ht="15" x14ac:dyDescent="0.25">
      <c r="A2783" s="1" t="s">
        <v>8616</v>
      </c>
      <c r="B2783" s="1" t="s">
        <v>8617</v>
      </c>
      <c r="C2783" s="1" t="s">
        <v>259</v>
      </c>
      <c r="D2783" s="1" t="s">
        <v>259</v>
      </c>
      <c r="E2783" s="6">
        <v>52.23</v>
      </c>
      <c r="F2783" s="1" t="s">
        <v>53</v>
      </c>
      <c r="G2783" s="6">
        <f ca="1">IFERROR(__xludf.DUMMYFUNCTION("iferror(GOOGLEFINANCE(TRIM(F2783)&amp;"":"" &amp; TRIM(B2783), ""price""),0
)"),0)</f>
        <v>0</v>
      </c>
      <c r="H2783" s="6">
        <v>28.56</v>
      </c>
      <c r="I2783" s="6">
        <f t="shared" ca="1" si="0"/>
        <v>28.56</v>
      </c>
      <c r="J2783" s="6">
        <f ca="1">IFERROR(__xludf.DUMMYFUNCTION("IFERROR(GOOGLEFINANCE(B2783, ""volume""), 0)"),0)</f>
        <v>0</v>
      </c>
      <c r="K2783" s="6">
        <v>-0.49</v>
      </c>
      <c r="L2783" s="6">
        <f ca="1">IFERROR(__xludf.DUMMYFUNCTION("IFERROR(GOOGLEFINANCE(B2783,""changepct""),K2783)"),-0.49)</f>
        <v>-0.49</v>
      </c>
      <c r="M2783" s="6">
        <f ca="1">IFERROR(__xludf.DUMMYFUNCTION("IFERROR(GOOGLEFINANCE(B2783,""change""),0)"),0)</f>
        <v>0</v>
      </c>
      <c r="N2783" s="6">
        <v>1</v>
      </c>
      <c r="O2783" s="7">
        <v>45536</v>
      </c>
      <c r="P2783" s="6">
        <v>12.19</v>
      </c>
      <c r="Q2783" s="6">
        <v>64.42</v>
      </c>
      <c r="R2783" s="7">
        <v>45536</v>
      </c>
      <c r="S2783" s="6">
        <v>78.06</v>
      </c>
      <c r="T2783" s="6">
        <v>2.17</v>
      </c>
      <c r="U2783" s="7">
        <v>45536</v>
      </c>
      <c r="V2783" s="6">
        <v>24.12</v>
      </c>
      <c r="W2783" s="6">
        <f ca="1">IFERROR(__xludf.DUMMYFUNCTION("IFERROR(GOOGLEFINANCE(B2783,""pe""),V2783)"),24.12)</f>
        <v>24.12</v>
      </c>
      <c r="X2783" s="6">
        <v>0.99</v>
      </c>
      <c r="Y2783" s="6">
        <v>3.16</v>
      </c>
      <c r="Z2783" s="6">
        <v>1</v>
      </c>
      <c r="AA2783" s="8">
        <v>45352</v>
      </c>
      <c r="AB2783" s="4">
        <v>0.71</v>
      </c>
      <c r="AC2783" s="6">
        <v>13.01</v>
      </c>
      <c r="AD2783" s="6">
        <v>14.55</v>
      </c>
      <c r="AE2783" s="1">
        <v>0</v>
      </c>
      <c r="AF2783" s="1">
        <f ca="1">IFERROR(__xludf.DUMMYFUNCTION("IFERROR(GOOGLEFINANCE(TRIM(F2783)&amp;"":"" &amp; TRIM(B2783),""high52""),AE2783)"),0)</f>
        <v>0</v>
      </c>
      <c r="AG2783" s="1">
        <v>0</v>
      </c>
      <c r="AH2783" s="1">
        <f ca="1">IFERROR(__xludf.DUMMYFUNCTION("IFERROR(GOOGLEFINANCE(TRIM(F2783)&amp;"":"" &amp; TRIM(B2783),""low52""),AE2783)"),0)</f>
        <v>0</v>
      </c>
      <c r="AI2783" s="1">
        <f ca="1">IFERROR(__xludf.DUMMYFUNCTION("IFERROR(GOOGLEFINANCE(B2783,""eps""),0)"),0)</f>
        <v>0</v>
      </c>
      <c r="AJ2783" s="1"/>
      <c r="AK2783" s="1" t="s">
        <v>8618</v>
      </c>
      <c r="AL2783" s="9">
        <f t="shared" si="274"/>
        <v>1</v>
      </c>
    </row>
    <row r="2784" spans="1:38" ht="15" x14ac:dyDescent="0.25">
      <c r="A2784" s="1" t="s">
        <v>8619</v>
      </c>
      <c r="B2784" s="1" t="s">
        <v>8620</v>
      </c>
      <c r="C2784" s="1" t="s">
        <v>259</v>
      </c>
      <c r="D2784" s="1" t="s">
        <v>259</v>
      </c>
      <c r="E2784" s="6">
        <v>145.13</v>
      </c>
      <c r="F2784" s="1" t="s">
        <v>53</v>
      </c>
      <c r="G2784" s="6">
        <f ca="1">IFERROR(__xludf.DUMMYFUNCTION("iferror(GOOGLEFINANCE(TRIM(F2784)&amp;"":"" &amp; TRIM(B2784), ""price""),0
)"),0)</f>
        <v>0</v>
      </c>
      <c r="H2784" s="6">
        <v>12.2</v>
      </c>
      <c r="I2784" s="6">
        <f t="shared" ca="1" si="0"/>
        <v>12.2</v>
      </c>
      <c r="J2784" s="6">
        <f ca="1">IFERROR(__xludf.DUMMYFUNCTION("IFERROR(GOOGLEFINANCE(B2784, ""volume""), 0)"),0)</f>
        <v>0</v>
      </c>
      <c r="K2784" s="6">
        <v>1.08</v>
      </c>
      <c r="L2784" s="6">
        <f ca="1">IFERROR(__xludf.DUMMYFUNCTION("IFERROR(GOOGLEFINANCE(B2784,""changepct""),K2784)"),1.08)</f>
        <v>1.08</v>
      </c>
      <c r="M2784" s="6">
        <f ca="1">IFERROR(__xludf.DUMMYFUNCTION("IFERROR(GOOGLEFINANCE(B2784,""change""),0)"),0)</f>
        <v>0</v>
      </c>
      <c r="N2784" s="6">
        <v>1</v>
      </c>
      <c r="O2784" s="7">
        <v>45536</v>
      </c>
      <c r="P2784" s="6">
        <v>28.04</v>
      </c>
      <c r="Q2784" s="6">
        <v>173.17</v>
      </c>
      <c r="R2784" s="7">
        <v>45536</v>
      </c>
      <c r="S2784" s="6">
        <v>74.55</v>
      </c>
      <c r="T2784" s="6">
        <v>2.58</v>
      </c>
      <c r="U2784" s="7">
        <v>45536</v>
      </c>
      <c r="V2784" s="6">
        <v>56.21</v>
      </c>
      <c r="W2784" s="6">
        <f ca="1">IFERROR(__xludf.DUMMYFUNCTION("IFERROR(GOOGLEFINANCE(B2784,""pe""),V2784)"),56.21)</f>
        <v>56.21</v>
      </c>
      <c r="X2784" s="6">
        <v>-2.68</v>
      </c>
      <c r="Y2784" s="6">
        <v>2.66</v>
      </c>
      <c r="Z2784" s="6">
        <v>1</v>
      </c>
      <c r="AA2784" s="8">
        <v>45352</v>
      </c>
      <c r="AB2784" s="4">
        <v>0.46</v>
      </c>
      <c r="AC2784" s="6">
        <v>1.5</v>
      </c>
      <c r="AD2784" s="6">
        <v>5.16</v>
      </c>
      <c r="AE2784" s="1">
        <v>0</v>
      </c>
      <c r="AF2784" s="1">
        <f ca="1">IFERROR(__xludf.DUMMYFUNCTION("IFERROR(GOOGLEFINANCE(TRIM(F2784)&amp;"":"" &amp; TRIM(B2784),""high52""),AE2784)"),0)</f>
        <v>0</v>
      </c>
      <c r="AG2784" s="1">
        <v>0</v>
      </c>
      <c r="AH2784" s="1">
        <f ca="1">IFERROR(__xludf.DUMMYFUNCTION("IFERROR(GOOGLEFINANCE(TRIM(F2784)&amp;"":"" &amp; TRIM(B2784),""low52""),AE2784)"),0)</f>
        <v>0</v>
      </c>
      <c r="AI2784" s="1">
        <f ca="1">IFERROR(__xludf.DUMMYFUNCTION("IFERROR(GOOGLEFINANCE(B2784,""eps""),0)"),0)</f>
        <v>0</v>
      </c>
      <c r="AJ2784" s="1"/>
      <c r="AK2784" s="1" t="s">
        <v>8621</v>
      </c>
      <c r="AL2784" s="9">
        <f t="shared" si="274"/>
        <v>1</v>
      </c>
    </row>
    <row r="2785" spans="1:38" ht="15" x14ac:dyDescent="0.25">
      <c r="A2785" s="1" t="s">
        <v>8622</v>
      </c>
      <c r="B2785" s="1" t="s">
        <v>8623</v>
      </c>
      <c r="C2785" s="1" t="s">
        <v>259</v>
      </c>
      <c r="D2785" s="1" t="s">
        <v>259</v>
      </c>
      <c r="E2785" s="6">
        <v>15.96</v>
      </c>
      <c r="F2785" s="1" t="s">
        <v>53</v>
      </c>
      <c r="G2785" s="6">
        <f ca="1">IFERROR(__xludf.DUMMYFUNCTION("iferror(GOOGLEFINANCE(TRIM(F2785)&amp;"":"" &amp; TRIM(B2785), ""price""),0
)"),0)</f>
        <v>0</v>
      </c>
      <c r="H2785" s="6">
        <v>38.5</v>
      </c>
      <c r="I2785" s="6">
        <f t="shared" ca="1" si="0"/>
        <v>38.5</v>
      </c>
      <c r="J2785" s="6">
        <f ca="1">IFERROR(__xludf.DUMMYFUNCTION("IFERROR(GOOGLEFINANCE(B2785, ""volume""), 0)"),0)</f>
        <v>0</v>
      </c>
      <c r="K2785" s="12"/>
      <c r="L2785" s="6" t="str">
        <f ca="1">IFERROR(__xludf.DUMMYFUNCTION("IFERROR(GOOGLEFINANCE(B2785,""changepct""),K2785)"),"")</f>
        <v/>
      </c>
      <c r="M2785" s="6">
        <f ca="1">IFERROR(__xludf.DUMMYFUNCTION("IFERROR(GOOGLEFINANCE(B2785,""change""),0)"),0)</f>
        <v>0</v>
      </c>
      <c r="N2785" s="6">
        <v>1</v>
      </c>
      <c r="O2785" s="7">
        <v>45536</v>
      </c>
      <c r="P2785" s="6">
        <v>0.24</v>
      </c>
      <c r="Q2785" s="6">
        <v>16.2</v>
      </c>
      <c r="R2785" s="7">
        <v>45536</v>
      </c>
      <c r="S2785" s="6">
        <v>39.36</v>
      </c>
      <c r="T2785" s="6">
        <v>1.24</v>
      </c>
      <c r="U2785" s="7">
        <v>45536</v>
      </c>
      <c r="V2785" s="6">
        <v>12.87</v>
      </c>
      <c r="W2785" s="6">
        <f ca="1">IFERROR(__xludf.DUMMYFUNCTION("IFERROR(GOOGLEFINANCE(B2785,""pe""),V2785)"),12.87)</f>
        <v>12.87</v>
      </c>
      <c r="X2785" s="6">
        <v>0.54</v>
      </c>
      <c r="Y2785" s="6">
        <v>0.76</v>
      </c>
      <c r="Z2785" s="6">
        <v>1</v>
      </c>
      <c r="AA2785" s="8">
        <v>45352</v>
      </c>
      <c r="AB2785" s="4">
        <v>0.02</v>
      </c>
      <c r="AC2785" s="6">
        <v>11.61</v>
      </c>
      <c r="AD2785" s="6">
        <v>12.92</v>
      </c>
      <c r="AE2785" s="1">
        <v>0</v>
      </c>
      <c r="AF2785" s="1">
        <f ca="1">IFERROR(__xludf.DUMMYFUNCTION("IFERROR(GOOGLEFINANCE(TRIM(F2785)&amp;"":"" &amp; TRIM(B2785),""high52""),AE2785)"),0)</f>
        <v>0</v>
      </c>
      <c r="AG2785" s="1">
        <v>0</v>
      </c>
      <c r="AH2785" s="1">
        <f ca="1">IFERROR(__xludf.DUMMYFUNCTION("IFERROR(GOOGLEFINANCE(TRIM(F2785)&amp;"":"" &amp; TRIM(B2785),""low52""),AE2785)"),0)</f>
        <v>0</v>
      </c>
      <c r="AI2785" s="1">
        <f ca="1">IFERROR(__xludf.DUMMYFUNCTION("IFERROR(GOOGLEFINANCE(B2785,""eps""),0)"),0)</f>
        <v>0</v>
      </c>
      <c r="AJ2785" s="1"/>
      <c r="AK2785" s="1" t="s">
        <v>8624</v>
      </c>
      <c r="AL2785" s="9">
        <f t="shared" si="274"/>
        <v>1</v>
      </c>
    </row>
    <row r="2786" spans="1:38" ht="15" x14ac:dyDescent="0.25">
      <c r="A2786" s="1" t="s">
        <v>8625</v>
      </c>
      <c r="B2786" s="1" t="s">
        <v>8626</v>
      </c>
      <c r="C2786" s="1" t="s">
        <v>889</v>
      </c>
      <c r="D2786" s="1" t="s">
        <v>889</v>
      </c>
      <c r="E2786" s="6">
        <v>471.58</v>
      </c>
      <c r="F2786" s="1" t="s">
        <v>40</v>
      </c>
      <c r="G2786" s="6">
        <f ca="1">IFERROR(__xludf.DUMMYFUNCTION("iferror(GOOGLEFINANCE(TRIM(F2786)&amp;"":"" &amp; TRIM(B2786), ""price""),0
)"),270.1)</f>
        <v>270.10000000000002</v>
      </c>
      <c r="H2786" s="6">
        <v>322.95</v>
      </c>
      <c r="I2786" s="6">
        <f t="shared" ca="1" si="0"/>
        <v>270.10000000000002</v>
      </c>
      <c r="J2786" s="6">
        <f ca="1">IFERROR(__xludf.DUMMYFUNCTION("IFERROR(GOOGLEFINANCE(B2786, ""volume""), 0)"),7212)</f>
        <v>7212</v>
      </c>
      <c r="K2786" s="6">
        <v>0.47</v>
      </c>
      <c r="L2786" s="6">
        <f ca="1">IFERROR(__xludf.DUMMYFUNCTION("IFERROR(GOOGLEFINANCE(B2786,""changepct""),K2786)"),-1.69)</f>
        <v>-1.69</v>
      </c>
      <c r="M2786" s="6">
        <f ca="1">IFERROR(__xludf.DUMMYFUNCTION("IFERROR(GOOGLEFINANCE(B2786,""change""),0)"),-4.65)</f>
        <v>-4.6500000000000004</v>
      </c>
      <c r="N2786" s="6">
        <v>2</v>
      </c>
      <c r="O2786" s="7">
        <v>45536</v>
      </c>
      <c r="P2786" s="6">
        <v>41</v>
      </c>
      <c r="Q2786" s="6">
        <v>506.77</v>
      </c>
      <c r="R2786" s="7">
        <v>45536</v>
      </c>
      <c r="S2786" s="6">
        <v>679.1</v>
      </c>
      <c r="T2786" s="6">
        <v>0.32</v>
      </c>
      <c r="U2786" s="7">
        <v>45536</v>
      </c>
      <c r="V2786" s="6">
        <v>703.85</v>
      </c>
      <c r="W2786" s="6">
        <f ca="1">IFERROR(__xludf.DUMMYFUNCTION("IFERROR(GOOGLEFINANCE(B2786,""pe""),V2786)"),43.58)</f>
        <v>43.58</v>
      </c>
      <c r="X2786" s="6">
        <v>-19.010000000000002</v>
      </c>
      <c r="Y2786" s="6">
        <v>1.51</v>
      </c>
      <c r="Z2786" s="6">
        <v>2</v>
      </c>
      <c r="AA2786" s="8">
        <v>45352</v>
      </c>
      <c r="AB2786" s="4">
        <v>0.13</v>
      </c>
      <c r="AC2786" s="6">
        <v>0.3</v>
      </c>
      <c r="AD2786" s="6">
        <v>0.93</v>
      </c>
      <c r="AE2786" s="1">
        <v>0</v>
      </c>
      <c r="AF2786" s="1">
        <f ca="1">IFERROR(__xludf.DUMMYFUNCTION("IFERROR(GOOGLEFINANCE(TRIM(F2786)&amp;"":"" &amp; TRIM(B2786),""high52""),AE2786)"),338.2)</f>
        <v>338.2</v>
      </c>
      <c r="AG2786" s="1">
        <v>0</v>
      </c>
      <c r="AH2786" s="1">
        <f ca="1">IFERROR(__xludf.DUMMYFUNCTION("IFERROR(GOOGLEFINANCE(TRIM(F2786)&amp;"":"" &amp; TRIM(B2786),""low52""),AE2786)"),216)</f>
        <v>216</v>
      </c>
      <c r="AI2786" s="1">
        <f ca="1">IFERROR(__xludf.DUMMYFUNCTION("IFERROR(GOOGLEFINANCE(B2786,""eps""),0)"),6.2)</f>
        <v>6.2</v>
      </c>
      <c r="AJ2786" s="1"/>
      <c r="AK2786" s="1" t="s">
        <v>8627</v>
      </c>
      <c r="AL2786" s="1" t="b">
        <f>ISNUMBER(AA2786)</f>
        <v>1</v>
      </c>
    </row>
    <row r="2787" spans="1:38" ht="15" x14ac:dyDescent="0.25">
      <c r="A2787" s="1" t="s">
        <v>8628</v>
      </c>
      <c r="B2787" s="1" t="s">
        <v>8629</v>
      </c>
      <c r="C2787" s="1" t="s">
        <v>259</v>
      </c>
      <c r="D2787" s="1" t="s">
        <v>259</v>
      </c>
      <c r="E2787" s="6">
        <v>84.59</v>
      </c>
      <c r="F2787" s="1" t="s">
        <v>53</v>
      </c>
      <c r="G2787" s="6">
        <f ca="1">IFERROR(__xludf.DUMMYFUNCTION("iferror(GOOGLEFINANCE(TRIM(F2787)&amp;"":"" &amp; TRIM(B2787), ""price""),0
)"),0)</f>
        <v>0</v>
      </c>
      <c r="H2787" s="6">
        <v>71.64</v>
      </c>
      <c r="I2787" s="6">
        <f t="shared" ca="1" si="0"/>
        <v>71.64</v>
      </c>
      <c r="J2787" s="6">
        <f ca="1">IFERROR(__xludf.DUMMYFUNCTION("IFERROR(GOOGLEFINANCE(B2787, ""volume""), 0)"),0)</f>
        <v>0</v>
      </c>
      <c r="K2787" s="6">
        <v>-2</v>
      </c>
      <c r="L2787" s="6">
        <f ca="1">IFERROR(__xludf.DUMMYFUNCTION("IFERROR(GOOGLEFINANCE(B2787,""changepct""),K2787)"),-2)</f>
        <v>-2</v>
      </c>
      <c r="M2787" s="6">
        <f ca="1">IFERROR(__xludf.DUMMYFUNCTION("IFERROR(GOOGLEFINANCE(B2787,""change""),0)"),0)</f>
        <v>0</v>
      </c>
      <c r="N2787" s="6">
        <v>1</v>
      </c>
      <c r="O2787" s="7">
        <v>45536</v>
      </c>
      <c r="P2787" s="6">
        <v>3.4</v>
      </c>
      <c r="Q2787" s="6">
        <v>87.99</v>
      </c>
      <c r="R2787" s="7">
        <v>45536</v>
      </c>
      <c r="S2787" s="6">
        <v>1.87</v>
      </c>
      <c r="T2787" s="6">
        <v>0.86</v>
      </c>
      <c r="U2787" s="7">
        <v>45536</v>
      </c>
      <c r="V2787" s="6">
        <v>98.71</v>
      </c>
      <c r="W2787" s="6">
        <f ca="1">IFERROR(__xludf.DUMMYFUNCTION("IFERROR(GOOGLEFINANCE(B2787,""pe""),V2787)"),98.71)</f>
        <v>98.71</v>
      </c>
      <c r="X2787" s="6">
        <v>-8.11</v>
      </c>
      <c r="Y2787" s="6">
        <v>7.57</v>
      </c>
      <c r="Z2787" s="6">
        <v>1</v>
      </c>
      <c r="AA2787" s="8">
        <v>45352</v>
      </c>
      <c r="AB2787" s="4">
        <v>-3.34</v>
      </c>
      <c r="AC2787" s="6">
        <v>0</v>
      </c>
      <c r="AD2787" s="6">
        <v>-6.1</v>
      </c>
      <c r="AE2787" s="1">
        <v>0</v>
      </c>
      <c r="AF2787" s="1">
        <f ca="1">IFERROR(__xludf.DUMMYFUNCTION("IFERROR(GOOGLEFINANCE(TRIM(F2787)&amp;"":"" &amp; TRIM(B2787),""high52""),AE2787)"),0)</f>
        <v>0</v>
      </c>
      <c r="AG2787" s="1">
        <v>0</v>
      </c>
      <c r="AH2787" s="1">
        <f ca="1">IFERROR(__xludf.DUMMYFUNCTION("IFERROR(GOOGLEFINANCE(TRIM(F2787)&amp;"":"" &amp; TRIM(B2787),""low52""),AE2787)"),0)</f>
        <v>0</v>
      </c>
      <c r="AI2787" s="1">
        <f ca="1">IFERROR(__xludf.DUMMYFUNCTION("IFERROR(GOOGLEFINANCE(B2787,""eps""),0)"),0)</f>
        <v>0</v>
      </c>
      <c r="AJ2787" s="1"/>
      <c r="AK2787" s="1" t="s">
        <v>8630</v>
      </c>
      <c r="AL2787" s="9">
        <f t="shared" ref="AL2787:AL2789" si="275">IF(AA2787&lt;&gt;AB2787,1,0)</f>
        <v>1</v>
      </c>
    </row>
    <row r="2788" spans="1:38" ht="15" x14ac:dyDescent="0.25">
      <c r="A2788" s="1" t="s">
        <v>8631</v>
      </c>
      <c r="B2788" s="1" t="s">
        <v>8632</v>
      </c>
      <c r="C2788" s="1" t="s">
        <v>259</v>
      </c>
      <c r="D2788" s="1" t="s">
        <v>259</v>
      </c>
      <c r="E2788" s="6">
        <v>50.4</v>
      </c>
      <c r="F2788" s="1" t="s">
        <v>53</v>
      </c>
      <c r="G2788" s="6">
        <f ca="1">IFERROR(__xludf.DUMMYFUNCTION("iferror(GOOGLEFINANCE(TRIM(F2788)&amp;"":"" &amp; TRIM(B2788), ""price""),0
)"),0)</f>
        <v>0</v>
      </c>
      <c r="H2788" s="6">
        <v>70.209999999999994</v>
      </c>
      <c r="I2788" s="6">
        <f t="shared" ca="1" si="0"/>
        <v>70.209999999999994</v>
      </c>
      <c r="J2788" s="6">
        <f ca="1">IFERROR(__xludf.DUMMYFUNCTION("IFERROR(GOOGLEFINANCE(B2788, ""volume""), 0)"),0)</f>
        <v>0</v>
      </c>
      <c r="K2788" s="6">
        <v>0.3</v>
      </c>
      <c r="L2788" s="6">
        <f ca="1">IFERROR(__xludf.DUMMYFUNCTION("IFERROR(GOOGLEFINANCE(B2788,""changepct""),K2788)"),0.3)</f>
        <v>0.3</v>
      </c>
      <c r="M2788" s="6">
        <f ca="1">IFERROR(__xludf.DUMMYFUNCTION("IFERROR(GOOGLEFINANCE(B2788,""change""),0)"),0)</f>
        <v>0</v>
      </c>
      <c r="N2788" s="6">
        <v>1</v>
      </c>
      <c r="O2788" s="7">
        <v>45536</v>
      </c>
      <c r="P2788" s="6">
        <v>36.83</v>
      </c>
      <c r="Q2788" s="6">
        <v>80.430000000000007</v>
      </c>
      <c r="R2788" s="7">
        <v>45536</v>
      </c>
      <c r="S2788" s="6">
        <v>437.07</v>
      </c>
      <c r="T2788" s="6">
        <v>4.25</v>
      </c>
      <c r="U2788" s="7">
        <v>45536</v>
      </c>
      <c r="V2788" s="6">
        <v>11.85</v>
      </c>
      <c r="W2788" s="6">
        <f ca="1">IFERROR(__xludf.DUMMYFUNCTION("IFERROR(GOOGLEFINANCE(B2788,""pe""),V2788)"),11.85)</f>
        <v>11.85</v>
      </c>
      <c r="X2788" s="6">
        <v>7.0000000000000007E-2</v>
      </c>
      <c r="Y2788" s="6">
        <v>1.53</v>
      </c>
      <c r="Z2788" s="6">
        <v>1</v>
      </c>
      <c r="AA2788" s="8">
        <v>45352</v>
      </c>
      <c r="AB2788" s="4">
        <v>0.77</v>
      </c>
      <c r="AC2788" s="6">
        <v>5.14</v>
      </c>
      <c r="AD2788" s="6">
        <v>16.48</v>
      </c>
      <c r="AE2788" s="1">
        <v>0</v>
      </c>
      <c r="AF2788" s="1">
        <f ca="1">IFERROR(__xludf.DUMMYFUNCTION("IFERROR(GOOGLEFINANCE(TRIM(F2788)&amp;"":"" &amp; TRIM(B2788),""high52""),AE2788)"),0)</f>
        <v>0</v>
      </c>
      <c r="AG2788" s="1">
        <v>0</v>
      </c>
      <c r="AH2788" s="1">
        <f ca="1">IFERROR(__xludf.DUMMYFUNCTION("IFERROR(GOOGLEFINANCE(TRIM(F2788)&amp;"":"" &amp; TRIM(B2788),""low52""),AE2788)"),0)</f>
        <v>0</v>
      </c>
      <c r="AI2788" s="1">
        <f ca="1">IFERROR(__xludf.DUMMYFUNCTION("IFERROR(GOOGLEFINANCE(B2788,""eps""),0)"),0)</f>
        <v>0</v>
      </c>
      <c r="AJ2788" s="1"/>
      <c r="AK2788" s="1" t="s">
        <v>8633</v>
      </c>
      <c r="AL2788" s="9">
        <f t="shared" si="275"/>
        <v>1</v>
      </c>
    </row>
    <row r="2789" spans="1:38" ht="15" x14ac:dyDescent="0.25">
      <c r="A2789" s="1" t="s">
        <v>8634</v>
      </c>
      <c r="B2789" s="1" t="s">
        <v>8635</v>
      </c>
      <c r="C2789" s="1" t="s">
        <v>259</v>
      </c>
      <c r="D2789" s="1" t="s">
        <v>259</v>
      </c>
      <c r="E2789" s="6">
        <v>24.5</v>
      </c>
      <c r="F2789" s="1" t="s">
        <v>53</v>
      </c>
      <c r="G2789" s="6">
        <f ca="1">IFERROR(__xludf.DUMMYFUNCTION("iferror(GOOGLEFINANCE(TRIM(F2789)&amp;"":"" &amp; TRIM(B2789), ""price""),0
)"),0)</f>
        <v>0</v>
      </c>
      <c r="H2789" s="6">
        <v>49</v>
      </c>
      <c r="I2789" s="6">
        <f t="shared" ca="1" si="0"/>
        <v>49</v>
      </c>
      <c r="J2789" s="6">
        <f ca="1">IFERROR(__xludf.DUMMYFUNCTION("IFERROR(GOOGLEFINANCE(B2789, ""volume""), 0)"),0)</f>
        <v>0</v>
      </c>
      <c r="K2789" s="6">
        <v>0</v>
      </c>
      <c r="L2789" s="6">
        <f ca="1">IFERROR(__xludf.DUMMYFUNCTION("IFERROR(GOOGLEFINANCE(B2789,""changepct""),K2789)"),0)</f>
        <v>0</v>
      </c>
      <c r="M2789" s="6">
        <f ca="1">IFERROR(__xludf.DUMMYFUNCTION("IFERROR(GOOGLEFINANCE(B2789,""change""),0)"),0)</f>
        <v>0</v>
      </c>
      <c r="N2789" s="6">
        <v>1</v>
      </c>
      <c r="O2789" s="7">
        <v>45536</v>
      </c>
      <c r="P2789" s="6">
        <v>56.43</v>
      </c>
      <c r="Q2789" s="6">
        <v>79.28</v>
      </c>
      <c r="R2789" s="7">
        <v>45536</v>
      </c>
      <c r="S2789" s="6">
        <v>93.85</v>
      </c>
      <c r="T2789" s="6">
        <v>1.95</v>
      </c>
      <c r="U2789" s="7">
        <v>45536</v>
      </c>
      <c r="V2789" s="6">
        <v>12.54</v>
      </c>
      <c r="W2789" s="6">
        <f ca="1">IFERROR(__xludf.DUMMYFUNCTION("IFERROR(GOOGLEFINANCE(B2789,""pe""),V2789)"),12.54)</f>
        <v>12.54</v>
      </c>
      <c r="X2789" s="6">
        <v>0.3</v>
      </c>
      <c r="Y2789" s="6">
        <v>1.78</v>
      </c>
      <c r="Z2789" s="6">
        <v>1</v>
      </c>
      <c r="AA2789" s="8">
        <v>45352</v>
      </c>
      <c r="AB2789" s="4">
        <v>4.5599999999999996</v>
      </c>
      <c r="AC2789" s="6">
        <v>10.199999999999999</v>
      </c>
      <c r="AD2789" s="6">
        <v>2.75</v>
      </c>
      <c r="AE2789" s="1">
        <v>0</v>
      </c>
      <c r="AF2789" s="1">
        <f ca="1">IFERROR(__xludf.DUMMYFUNCTION("IFERROR(GOOGLEFINANCE(TRIM(F2789)&amp;"":"" &amp; TRIM(B2789),""high52""),AE2789)"),0)</f>
        <v>0</v>
      </c>
      <c r="AG2789" s="1">
        <v>0</v>
      </c>
      <c r="AH2789" s="1">
        <f ca="1">IFERROR(__xludf.DUMMYFUNCTION("IFERROR(GOOGLEFINANCE(TRIM(F2789)&amp;"":"" &amp; TRIM(B2789),""low52""),AE2789)"),0)</f>
        <v>0</v>
      </c>
      <c r="AI2789" s="1">
        <f ca="1">IFERROR(__xludf.DUMMYFUNCTION("IFERROR(GOOGLEFINANCE(B2789,""eps""),0)"),0)</f>
        <v>0</v>
      </c>
      <c r="AJ2789" s="1"/>
      <c r="AK2789" s="9"/>
      <c r="AL2789" s="9">
        <f t="shared" si="275"/>
        <v>1</v>
      </c>
    </row>
    <row r="2790" spans="1:38" ht="15" x14ac:dyDescent="0.25">
      <c r="A2790" s="1" t="s">
        <v>8636</v>
      </c>
      <c r="B2790" s="1" t="s">
        <v>8637</v>
      </c>
      <c r="C2790" s="1" t="s">
        <v>239</v>
      </c>
      <c r="D2790" s="1" t="s">
        <v>239</v>
      </c>
      <c r="E2790" s="6">
        <v>7116.29</v>
      </c>
      <c r="F2790" s="1" t="s">
        <v>40</v>
      </c>
      <c r="G2790" s="6">
        <f ca="1">IFERROR(__xludf.DUMMYFUNCTION("iferror(GOOGLEFINANCE(TRIM(F2790)&amp;"":"" &amp; TRIM(B2790), ""price""),0
)"),156.95)</f>
        <v>156.94999999999999</v>
      </c>
      <c r="H2790" s="6">
        <v>344.4</v>
      </c>
      <c r="I2790" s="6">
        <f t="shared" ca="1" si="0"/>
        <v>156.94999999999999</v>
      </c>
      <c r="J2790" s="6">
        <f ca="1">IFERROR(__xludf.DUMMYFUNCTION("IFERROR(GOOGLEFINANCE(B2790, ""volume""), 0)"),344415)</f>
        <v>344415</v>
      </c>
      <c r="K2790" s="6">
        <v>-0.76</v>
      </c>
      <c r="L2790" s="6">
        <f ca="1">IFERROR(__xludf.DUMMYFUNCTION("IFERROR(GOOGLEFINANCE(B2790,""changepct""),K2790)"),2.16)</f>
        <v>2.16</v>
      </c>
      <c r="M2790" s="6">
        <f ca="1">IFERROR(__xludf.DUMMYFUNCTION("IFERROR(GOOGLEFINANCE(B2790,""change""),0)"),3.32)</f>
        <v>3.32</v>
      </c>
      <c r="N2790" s="6">
        <v>1</v>
      </c>
      <c r="O2790" s="7">
        <v>45536</v>
      </c>
      <c r="P2790" s="6">
        <v>136.31</v>
      </c>
      <c r="Q2790" s="6">
        <v>7245.83</v>
      </c>
      <c r="R2790" s="7">
        <v>45536</v>
      </c>
      <c r="S2790" s="6">
        <v>2879.63</v>
      </c>
      <c r="T2790" s="6">
        <v>152.22999999999999</v>
      </c>
      <c r="U2790" s="7">
        <v>45536</v>
      </c>
      <c r="V2790" s="6">
        <v>46.75</v>
      </c>
      <c r="W2790" s="6">
        <f ca="1">IFERROR(__xludf.DUMMYFUNCTION("IFERROR(GOOGLEFINANCE(B2790,""pe""),V2790)"),9.94)</f>
        <v>9.94</v>
      </c>
      <c r="X2790" s="6">
        <v>1.57</v>
      </c>
      <c r="Y2790" s="6">
        <v>4.0599999999999996</v>
      </c>
      <c r="Z2790" s="6">
        <v>1</v>
      </c>
      <c r="AA2790" s="8">
        <v>45352</v>
      </c>
      <c r="AB2790" s="4">
        <v>7.0000000000000007E-2</v>
      </c>
      <c r="AC2790" s="6">
        <v>10.48</v>
      </c>
      <c r="AD2790" s="6">
        <v>16.32</v>
      </c>
      <c r="AE2790" s="1">
        <v>0</v>
      </c>
      <c r="AF2790" s="1">
        <f ca="1">IFERROR(__xludf.DUMMYFUNCTION("IFERROR(GOOGLEFINANCE(TRIM(F2790)&amp;"":"" &amp; TRIM(B2790),""high52""),AE2790)"),362.4)</f>
        <v>362.4</v>
      </c>
      <c r="AG2790" s="1">
        <v>0</v>
      </c>
      <c r="AH2790" s="1">
        <f ca="1">IFERROR(__xludf.DUMMYFUNCTION("IFERROR(GOOGLEFINANCE(TRIM(F2790)&amp;"":"" &amp; TRIM(B2790),""low52""),AE2790)"),150.65)</f>
        <v>150.65</v>
      </c>
      <c r="AI2790" s="1">
        <f ca="1">IFERROR(__xludf.DUMMYFUNCTION("IFERROR(GOOGLEFINANCE(B2790,""eps""),0)"),15.79)</f>
        <v>15.79</v>
      </c>
      <c r="AJ2790" s="1"/>
      <c r="AK2790" s="1" t="s">
        <v>8638</v>
      </c>
      <c r="AL2790" s="1" t="b">
        <f>ISNUMBER(AA2790)</f>
        <v>1</v>
      </c>
    </row>
    <row r="2791" spans="1:38" ht="15" x14ac:dyDescent="0.25">
      <c r="A2791" s="1" t="s">
        <v>8639</v>
      </c>
      <c r="B2791" s="1" t="s">
        <v>8640</v>
      </c>
      <c r="C2791" s="1" t="s">
        <v>259</v>
      </c>
      <c r="D2791" s="1" t="s">
        <v>259</v>
      </c>
      <c r="E2791" s="6">
        <v>22.95</v>
      </c>
      <c r="F2791" s="1" t="s">
        <v>53</v>
      </c>
      <c r="G2791" s="6">
        <f ca="1">IFERROR(__xludf.DUMMYFUNCTION("iferror(GOOGLEFINANCE(TRIM(F2791)&amp;"":"" &amp; TRIM(B2791), ""price""),0
)"),0)</f>
        <v>0</v>
      </c>
      <c r="H2791" s="6">
        <v>46.8</v>
      </c>
      <c r="I2791" s="6">
        <f t="shared" ca="1" si="0"/>
        <v>46.8</v>
      </c>
      <c r="J2791" s="6">
        <f ca="1">IFERROR(__xludf.DUMMYFUNCTION("IFERROR(GOOGLEFINANCE(B2791, ""volume""), 0)"),0)</f>
        <v>0</v>
      </c>
      <c r="K2791" s="6">
        <v>1.81</v>
      </c>
      <c r="L2791" s="6">
        <f ca="1">IFERROR(__xludf.DUMMYFUNCTION("IFERROR(GOOGLEFINANCE(B2791,""changepct""),K2791)"),1.81)</f>
        <v>1.81</v>
      </c>
      <c r="M2791" s="6">
        <f ca="1">IFERROR(__xludf.DUMMYFUNCTION("IFERROR(GOOGLEFINANCE(B2791,""change""),0)"),0)</f>
        <v>0</v>
      </c>
      <c r="N2791" s="6">
        <v>1</v>
      </c>
      <c r="O2791" s="7">
        <v>45536</v>
      </c>
      <c r="P2791" s="6">
        <v>22.27</v>
      </c>
      <c r="Q2791" s="6">
        <v>44.47</v>
      </c>
      <c r="R2791" s="7">
        <v>45536</v>
      </c>
      <c r="S2791" s="6">
        <v>89.4</v>
      </c>
      <c r="T2791" s="6">
        <v>-0.18</v>
      </c>
      <c r="U2791" s="7">
        <v>45536</v>
      </c>
      <c r="V2791" s="6">
        <v>0</v>
      </c>
      <c r="W2791" s="6">
        <f ca="1">IFERROR(__xludf.DUMMYFUNCTION("IFERROR(GOOGLEFINANCE(B2791,""pe""),V2791)"),0)</f>
        <v>0</v>
      </c>
      <c r="X2791" s="6">
        <v>0</v>
      </c>
      <c r="Y2791" s="6">
        <v>1.24</v>
      </c>
      <c r="Z2791" s="6">
        <v>1</v>
      </c>
      <c r="AA2791" s="8">
        <v>45352</v>
      </c>
      <c r="AB2791" s="4">
        <v>1.06</v>
      </c>
      <c r="AC2791" s="6">
        <v>4.8600000000000003</v>
      </c>
      <c r="AD2791" s="6">
        <v>8.92</v>
      </c>
      <c r="AE2791" s="1">
        <v>0</v>
      </c>
      <c r="AF2791" s="1">
        <f ca="1">IFERROR(__xludf.DUMMYFUNCTION("IFERROR(GOOGLEFINANCE(TRIM(F2791)&amp;"":"" &amp; TRIM(B2791),""high52""),AE2791)"),0)</f>
        <v>0</v>
      </c>
      <c r="AG2791" s="1">
        <v>0</v>
      </c>
      <c r="AH2791" s="1">
        <f ca="1">IFERROR(__xludf.DUMMYFUNCTION("IFERROR(GOOGLEFINANCE(TRIM(F2791)&amp;"":"" &amp; TRIM(B2791),""low52""),AE2791)"),0)</f>
        <v>0</v>
      </c>
      <c r="AI2791" s="1">
        <f ca="1">IFERROR(__xludf.DUMMYFUNCTION("IFERROR(GOOGLEFINANCE(B2791,""eps""),0)"),0)</f>
        <v>0</v>
      </c>
      <c r="AJ2791" s="1"/>
      <c r="AK2791" s="9"/>
      <c r="AL2791" s="9">
        <f t="shared" ref="AL2791:AL2803" si="276">IF(AA2791&lt;&gt;AB2791,1,0)</f>
        <v>1</v>
      </c>
    </row>
    <row r="2792" spans="1:38" ht="15" x14ac:dyDescent="0.25">
      <c r="A2792" s="1" t="s">
        <v>8641</v>
      </c>
      <c r="B2792" s="1" t="s">
        <v>8642</v>
      </c>
      <c r="C2792" s="1" t="s">
        <v>4673</v>
      </c>
      <c r="D2792" s="1" t="s">
        <v>4673</v>
      </c>
      <c r="E2792" s="6">
        <v>606.92999999999995</v>
      </c>
      <c r="F2792" s="1" t="s">
        <v>40</v>
      </c>
      <c r="G2792" s="6">
        <f ca="1">IFERROR(__xludf.DUMMYFUNCTION("iferror(GOOGLEFINANCE(TRIM(F2792)&amp;"":"" &amp; TRIM(B2792), ""price""),0
)"),41)</f>
        <v>41</v>
      </c>
      <c r="H2792" s="6">
        <v>51.34</v>
      </c>
      <c r="I2792" s="6">
        <f t="shared" ca="1" si="0"/>
        <v>41</v>
      </c>
      <c r="J2792" s="6">
        <f ca="1">IFERROR(__xludf.DUMMYFUNCTION("IFERROR(GOOGLEFINANCE(B2792, ""volume""), 0)"),102661)</f>
        <v>102661</v>
      </c>
      <c r="K2792" s="6">
        <v>1.26</v>
      </c>
      <c r="L2792" s="6">
        <f ca="1">IFERROR(__xludf.DUMMYFUNCTION("IFERROR(GOOGLEFINANCE(B2792,""changepct""),K2792)"),-1.7)</f>
        <v>-1.7</v>
      </c>
      <c r="M2792" s="6">
        <f ca="1">IFERROR(__xludf.DUMMYFUNCTION("IFERROR(GOOGLEFINANCE(B2792,""change""),0)"),-0.71)</f>
        <v>-0.71</v>
      </c>
      <c r="N2792" s="6">
        <v>2</v>
      </c>
      <c r="O2792" s="7">
        <v>45536</v>
      </c>
      <c r="P2792" s="6">
        <v>54.38</v>
      </c>
      <c r="Q2792" s="6">
        <v>658.09</v>
      </c>
      <c r="R2792" s="7">
        <v>45536</v>
      </c>
      <c r="S2792" s="6">
        <v>325.77999999999997</v>
      </c>
      <c r="T2792" s="6">
        <v>14.3</v>
      </c>
      <c r="U2792" s="7">
        <v>45536</v>
      </c>
      <c r="V2792" s="6">
        <v>42.43</v>
      </c>
      <c r="W2792" s="6">
        <f ca="1">IFERROR(__xludf.DUMMYFUNCTION("IFERROR(GOOGLEFINANCE(B2792,""pe""),V2792)"),42.43)</f>
        <v>42.43</v>
      </c>
      <c r="X2792" s="12"/>
      <c r="Y2792" s="6">
        <v>2.19</v>
      </c>
      <c r="Z2792" s="6">
        <v>2</v>
      </c>
      <c r="AA2792" s="8">
        <v>45352</v>
      </c>
      <c r="AB2792" s="4">
        <v>0.21</v>
      </c>
      <c r="AC2792" s="6">
        <v>7.1</v>
      </c>
      <c r="AD2792" s="6">
        <v>9.39</v>
      </c>
      <c r="AE2792" s="1">
        <v>0</v>
      </c>
      <c r="AF2792" s="1">
        <f ca="1">IFERROR(__xludf.DUMMYFUNCTION("IFERROR(GOOGLEFINANCE(TRIM(F2792)&amp;"":"" &amp; TRIM(B2792),""high52""),AE2792)"),56.64)</f>
        <v>56.64</v>
      </c>
      <c r="AG2792" s="1">
        <v>0</v>
      </c>
      <c r="AH2792" s="1">
        <f ca="1">IFERROR(__xludf.DUMMYFUNCTION("IFERROR(GOOGLEFINANCE(TRIM(F2792)&amp;"":"" &amp; TRIM(B2792),""low52""),AE2792)"),28.67)</f>
        <v>28.67</v>
      </c>
      <c r="AI2792" s="1">
        <f ca="1">IFERROR(__xludf.DUMMYFUNCTION("IFERROR(GOOGLEFINANCE(B2792,""eps""),0)"),0)</f>
        <v>0</v>
      </c>
      <c r="AJ2792" s="1"/>
      <c r="AK2792" s="1" t="s">
        <v>8643</v>
      </c>
      <c r="AL2792" s="9">
        <f t="shared" si="276"/>
        <v>1</v>
      </c>
    </row>
    <row r="2793" spans="1:38" ht="15" x14ac:dyDescent="0.25">
      <c r="A2793" s="1" t="s">
        <v>8644</v>
      </c>
      <c r="B2793" s="1" t="s">
        <v>8645</v>
      </c>
      <c r="C2793" s="1" t="s">
        <v>1265</v>
      </c>
      <c r="D2793" s="1" t="s">
        <v>1265</v>
      </c>
      <c r="E2793" s="6">
        <v>5069.57</v>
      </c>
      <c r="F2793" s="1" t="s">
        <v>40</v>
      </c>
      <c r="G2793" s="6">
        <f ca="1">IFERROR(__xludf.DUMMYFUNCTION("iferror(GOOGLEFINANCE(TRIM(F2793)&amp;"":"" &amp; TRIM(B2793), ""price""),0
)"),172.5)</f>
        <v>172.5</v>
      </c>
      <c r="H2793" s="6">
        <v>238.93</v>
      </c>
      <c r="I2793" s="6">
        <f t="shared" ca="1" si="0"/>
        <v>172.5</v>
      </c>
      <c r="J2793" s="6">
        <f ca="1">IFERROR(__xludf.DUMMYFUNCTION("IFERROR(GOOGLEFINANCE(B2793, ""volume""), 0)"),57188)</f>
        <v>57188</v>
      </c>
      <c r="K2793" s="6">
        <v>0.53</v>
      </c>
      <c r="L2793" s="6">
        <f ca="1">IFERROR(__xludf.DUMMYFUNCTION("IFERROR(GOOGLEFINANCE(B2793,""changepct""),K2793)"),-1.99)</f>
        <v>-1.99</v>
      </c>
      <c r="M2793" s="6">
        <f ca="1">IFERROR(__xludf.DUMMYFUNCTION("IFERROR(GOOGLEFINANCE(B2793,""change""),0)"),-3.51)</f>
        <v>-3.51</v>
      </c>
      <c r="N2793" s="6">
        <v>1</v>
      </c>
      <c r="O2793" s="7">
        <v>45536</v>
      </c>
      <c r="P2793" s="6">
        <v>21.34</v>
      </c>
      <c r="Q2793" s="6">
        <v>5050.4399999999996</v>
      </c>
      <c r="R2793" s="7">
        <v>45536</v>
      </c>
      <c r="S2793" s="6">
        <v>2954.6</v>
      </c>
      <c r="T2793" s="6">
        <v>61.91</v>
      </c>
      <c r="U2793" s="7">
        <v>45536</v>
      </c>
      <c r="V2793" s="6">
        <v>81.89</v>
      </c>
      <c r="W2793" s="6">
        <f ca="1">IFERROR(__xludf.DUMMYFUNCTION("IFERROR(GOOGLEFINANCE(B2793,""pe""),V2793)"),42.25)</f>
        <v>42.25</v>
      </c>
      <c r="X2793" s="6">
        <v>-31.14</v>
      </c>
      <c r="Y2793" s="6">
        <v>7.79</v>
      </c>
      <c r="Z2793" s="6">
        <v>1</v>
      </c>
      <c r="AA2793" s="17">
        <v>45352</v>
      </c>
      <c r="AB2793" s="18">
        <v>0.03</v>
      </c>
      <c r="AC2793" s="6">
        <v>12.38</v>
      </c>
      <c r="AD2793" s="6">
        <v>19.05</v>
      </c>
      <c r="AE2793" s="1">
        <v>0</v>
      </c>
      <c r="AF2793" s="1">
        <f ca="1">IFERROR(__xludf.DUMMYFUNCTION("IFERROR(GOOGLEFINANCE(TRIM(F2793)&amp;"":"" &amp; TRIM(B2793),""high52""),AE2793)"),248.9)</f>
        <v>248.9</v>
      </c>
      <c r="AG2793" s="1">
        <v>0</v>
      </c>
      <c r="AH2793" s="1">
        <f ca="1">IFERROR(__xludf.DUMMYFUNCTION("IFERROR(GOOGLEFINANCE(TRIM(F2793)&amp;"":"" &amp; TRIM(B2793),""low52""),AE2793)"),155.35)</f>
        <v>155.35</v>
      </c>
      <c r="AI2793" s="1">
        <f ca="1">IFERROR(__xludf.DUMMYFUNCTION("IFERROR(GOOGLEFINANCE(B2793,""eps""),0)"),4.08)</f>
        <v>4.08</v>
      </c>
      <c r="AJ2793" s="1"/>
      <c r="AK2793" s="1" t="s">
        <v>8646</v>
      </c>
      <c r="AL2793" s="9">
        <f t="shared" si="276"/>
        <v>1</v>
      </c>
    </row>
    <row r="2794" spans="1:38" ht="15" x14ac:dyDescent="0.25">
      <c r="A2794" s="1" t="s">
        <v>8647</v>
      </c>
      <c r="B2794" s="1" t="s">
        <v>8648</v>
      </c>
      <c r="C2794" s="1" t="s">
        <v>259</v>
      </c>
      <c r="D2794" s="1" t="s">
        <v>259</v>
      </c>
      <c r="E2794" s="6">
        <v>85.85</v>
      </c>
      <c r="F2794" s="1" t="s">
        <v>53</v>
      </c>
      <c r="G2794" s="6">
        <f ca="1">IFERROR(__xludf.DUMMYFUNCTION("iferror(GOOGLEFINANCE(TRIM(F2794)&amp;"":"" &amp; TRIM(B2794), ""price""),0
)"),0)</f>
        <v>0</v>
      </c>
      <c r="H2794" s="6">
        <v>78.569999999999993</v>
      </c>
      <c r="I2794" s="6">
        <f t="shared" ca="1" si="0"/>
        <v>78.569999999999993</v>
      </c>
      <c r="J2794" s="6">
        <f ca="1">IFERROR(__xludf.DUMMYFUNCTION("IFERROR(GOOGLEFINANCE(B2794, ""volume""), 0)"),0)</f>
        <v>0</v>
      </c>
      <c r="K2794" s="9"/>
      <c r="L2794" s="6" t="str">
        <f ca="1">IFERROR(__xludf.DUMMYFUNCTION("IFERROR(GOOGLEFINANCE(B2794,""changepct""),K2794)"),"")</f>
        <v/>
      </c>
      <c r="M2794" s="6">
        <f ca="1">IFERROR(__xludf.DUMMYFUNCTION("IFERROR(GOOGLEFINANCE(B2794,""change""),0)"),0)</f>
        <v>0</v>
      </c>
      <c r="N2794" s="6">
        <v>2</v>
      </c>
      <c r="O2794" s="7">
        <v>45536</v>
      </c>
      <c r="P2794" s="6">
        <v>9.65</v>
      </c>
      <c r="Q2794" s="6">
        <v>93.45</v>
      </c>
      <c r="R2794" s="7">
        <v>45536</v>
      </c>
      <c r="S2794" s="6">
        <v>33.25</v>
      </c>
      <c r="T2794" s="6">
        <v>-37.07</v>
      </c>
      <c r="U2794" s="7">
        <v>45536</v>
      </c>
      <c r="V2794" s="6">
        <v>0</v>
      </c>
      <c r="W2794" s="6">
        <f ca="1">IFERROR(__xludf.DUMMYFUNCTION("IFERROR(GOOGLEFINANCE(B2794,""pe""),V2794)"),0)</f>
        <v>0</v>
      </c>
      <c r="X2794" s="9"/>
      <c r="Y2794" s="6">
        <v>-0.75</v>
      </c>
      <c r="Z2794" s="6">
        <v>2</v>
      </c>
      <c r="AA2794" s="8">
        <v>45352</v>
      </c>
      <c r="AB2794" s="4">
        <v>-0.11</v>
      </c>
      <c r="AC2794" s="6">
        <v>0</v>
      </c>
      <c r="AD2794" s="6">
        <v>0</v>
      </c>
      <c r="AE2794" s="1">
        <v>0</v>
      </c>
      <c r="AF2794" s="1">
        <f ca="1">IFERROR(__xludf.DUMMYFUNCTION("IFERROR(GOOGLEFINANCE(TRIM(F2794)&amp;"":"" &amp; TRIM(B2794),""high52""),AE2794)"),0)</f>
        <v>0</v>
      </c>
      <c r="AG2794" s="1">
        <v>0</v>
      </c>
      <c r="AH2794" s="1">
        <f ca="1">IFERROR(__xludf.DUMMYFUNCTION("IFERROR(GOOGLEFINANCE(TRIM(F2794)&amp;"":"" &amp; TRIM(B2794),""low52""),AE2794)"),0)</f>
        <v>0</v>
      </c>
      <c r="AI2794" s="1">
        <f ca="1">IFERROR(__xludf.DUMMYFUNCTION("IFERROR(GOOGLEFINANCE(B2794,""eps""),0)"),0)</f>
        <v>0</v>
      </c>
      <c r="AJ2794" s="1"/>
      <c r="AK2794" s="1" t="s">
        <v>8649</v>
      </c>
      <c r="AL2794" s="9">
        <f t="shared" si="276"/>
        <v>1</v>
      </c>
    </row>
    <row r="2795" spans="1:38" ht="15" x14ac:dyDescent="0.25">
      <c r="A2795" s="1" t="s">
        <v>8650</v>
      </c>
      <c r="B2795" s="1" t="s">
        <v>8651</v>
      </c>
      <c r="C2795" s="1" t="s">
        <v>259</v>
      </c>
      <c r="D2795" s="1" t="s">
        <v>259</v>
      </c>
      <c r="E2795" s="6">
        <v>161.63999999999999</v>
      </c>
      <c r="F2795" s="1" t="s">
        <v>53</v>
      </c>
      <c r="G2795" s="6">
        <f ca="1">IFERROR(__xludf.DUMMYFUNCTION("iferror(GOOGLEFINANCE(TRIM(F2795)&amp;"":"" &amp; TRIM(B2795), ""price""),0
)"),0)</f>
        <v>0</v>
      </c>
      <c r="H2795" s="6">
        <v>2424</v>
      </c>
      <c r="I2795" s="6">
        <f t="shared" ca="1" si="0"/>
        <v>2424</v>
      </c>
      <c r="J2795" s="6">
        <f ca="1">IFERROR(__xludf.DUMMYFUNCTION("IFERROR(GOOGLEFINANCE(B2795, ""volume""), 0)"),0)</f>
        <v>0</v>
      </c>
      <c r="K2795" s="6">
        <v>0.28999999999999998</v>
      </c>
      <c r="L2795" s="6">
        <f ca="1">IFERROR(__xludf.DUMMYFUNCTION("IFERROR(GOOGLEFINANCE(B2795,""changepct""),K2795)"),0.29)</f>
        <v>0.28999999999999998</v>
      </c>
      <c r="M2795" s="6">
        <f ca="1">IFERROR(__xludf.DUMMYFUNCTION("IFERROR(GOOGLEFINANCE(B2795,""change""),0)"),0)</f>
        <v>0</v>
      </c>
      <c r="N2795" s="6">
        <v>1</v>
      </c>
      <c r="O2795" s="7">
        <v>45536</v>
      </c>
      <c r="P2795" s="6">
        <v>6.76</v>
      </c>
      <c r="Q2795" s="6">
        <v>158.9</v>
      </c>
      <c r="R2795" s="7">
        <v>45536</v>
      </c>
      <c r="S2795" s="6">
        <v>13.88</v>
      </c>
      <c r="T2795" s="6">
        <v>1.82</v>
      </c>
      <c r="U2795" s="7">
        <v>45536</v>
      </c>
      <c r="V2795" s="6">
        <v>88.62</v>
      </c>
      <c r="W2795" s="6">
        <f ca="1">IFERROR(__xludf.DUMMYFUNCTION("IFERROR(GOOGLEFINANCE(B2795,""pe""),V2795)"),88.62)</f>
        <v>88.62</v>
      </c>
      <c r="X2795" s="6">
        <v>8.2200000000000006</v>
      </c>
      <c r="Y2795" s="6">
        <v>7.45</v>
      </c>
      <c r="Z2795" s="6">
        <v>1</v>
      </c>
      <c r="AA2795" s="8">
        <v>45352</v>
      </c>
      <c r="AB2795" s="4">
        <v>0.23</v>
      </c>
      <c r="AC2795" s="6">
        <v>11.07</v>
      </c>
      <c r="AD2795" s="6">
        <v>14.69</v>
      </c>
      <c r="AE2795" s="1">
        <v>0</v>
      </c>
      <c r="AF2795" s="1">
        <f ca="1">IFERROR(__xludf.DUMMYFUNCTION("IFERROR(GOOGLEFINANCE(TRIM(F2795)&amp;"":"" &amp; TRIM(B2795),""high52""),AE2795)"),0)</f>
        <v>0</v>
      </c>
      <c r="AG2795" s="1">
        <v>0</v>
      </c>
      <c r="AH2795" s="1">
        <f ca="1">IFERROR(__xludf.DUMMYFUNCTION("IFERROR(GOOGLEFINANCE(TRIM(F2795)&amp;"":"" &amp; TRIM(B2795),""low52""),AE2795)"),0)</f>
        <v>0</v>
      </c>
      <c r="AI2795" s="1">
        <f ca="1">IFERROR(__xludf.DUMMYFUNCTION("IFERROR(GOOGLEFINANCE(B2795,""eps""),0)"),0)</f>
        <v>0</v>
      </c>
      <c r="AJ2795" s="1"/>
      <c r="AK2795" s="1" t="s">
        <v>8652</v>
      </c>
      <c r="AL2795" s="9">
        <f t="shared" si="276"/>
        <v>1</v>
      </c>
    </row>
    <row r="2796" spans="1:38" ht="15" x14ac:dyDescent="0.25">
      <c r="A2796" s="1" t="s">
        <v>8653</v>
      </c>
      <c r="B2796" s="1" t="s">
        <v>8654</v>
      </c>
      <c r="C2796" s="1" t="s">
        <v>259</v>
      </c>
      <c r="D2796" s="1" t="s">
        <v>259</v>
      </c>
      <c r="E2796" s="6">
        <v>893.3</v>
      </c>
      <c r="F2796" s="1" t="s">
        <v>53</v>
      </c>
      <c r="G2796" s="6">
        <f ca="1">IFERROR(__xludf.DUMMYFUNCTION("iferror(GOOGLEFINANCE(TRIM(F2796)&amp;"":"" &amp; TRIM(B2796), ""price""),0
)"),0)</f>
        <v>0</v>
      </c>
      <c r="H2796" s="6">
        <v>37.090000000000003</v>
      </c>
      <c r="I2796" s="6">
        <f t="shared" ca="1" si="0"/>
        <v>37.090000000000003</v>
      </c>
      <c r="J2796" s="6">
        <f ca="1">IFERROR(__xludf.DUMMYFUNCTION("IFERROR(GOOGLEFINANCE(B2796, ""volume""), 0)"),0)</f>
        <v>0</v>
      </c>
      <c r="K2796" s="6">
        <v>-1.1499999999999999</v>
      </c>
      <c r="L2796" s="6">
        <f ca="1">IFERROR(__xludf.DUMMYFUNCTION("IFERROR(GOOGLEFINANCE(B2796,""changepct""),K2796)"),-1.15)</f>
        <v>-1.1499999999999999</v>
      </c>
      <c r="M2796" s="6">
        <f ca="1">IFERROR(__xludf.DUMMYFUNCTION("IFERROR(GOOGLEFINANCE(B2796,""change""),0)"),0)</f>
        <v>0</v>
      </c>
      <c r="N2796" s="6">
        <v>2</v>
      </c>
      <c r="O2796" s="15">
        <v>45536</v>
      </c>
      <c r="P2796" s="6">
        <v>102.14</v>
      </c>
      <c r="Q2796" s="6">
        <v>995.45</v>
      </c>
      <c r="R2796" s="7">
        <v>45536</v>
      </c>
      <c r="S2796" s="6">
        <v>677.36</v>
      </c>
      <c r="T2796" s="6">
        <v>57.93</v>
      </c>
      <c r="U2796" s="7">
        <v>45536</v>
      </c>
      <c r="V2796" s="6">
        <v>15.7</v>
      </c>
      <c r="W2796" s="6">
        <f ca="1">IFERROR(__xludf.DUMMYFUNCTION("IFERROR(GOOGLEFINANCE(B2796,""pe""),V2796)"),15.7)</f>
        <v>15.7</v>
      </c>
      <c r="X2796" s="9"/>
      <c r="Y2796" s="6">
        <v>1.96</v>
      </c>
      <c r="Z2796" s="6">
        <v>2</v>
      </c>
      <c r="AA2796" s="8">
        <v>45352</v>
      </c>
      <c r="AB2796" s="4">
        <v>0.28000000000000003</v>
      </c>
      <c r="AC2796" s="6">
        <v>20.010000000000002</v>
      </c>
      <c r="AD2796" s="6">
        <v>16.88</v>
      </c>
      <c r="AE2796" s="1">
        <v>0</v>
      </c>
      <c r="AF2796" s="1">
        <f ca="1">IFERROR(__xludf.DUMMYFUNCTION("IFERROR(GOOGLEFINANCE(TRIM(F2796)&amp;"":"" &amp; TRIM(B2796),""high52""),AE2796)"),0)</f>
        <v>0</v>
      </c>
      <c r="AG2796" s="1">
        <v>0</v>
      </c>
      <c r="AH2796" s="1">
        <f ca="1">IFERROR(__xludf.DUMMYFUNCTION("IFERROR(GOOGLEFINANCE(TRIM(F2796)&amp;"":"" &amp; TRIM(B2796),""low52""),AE2796)"),0)</f>
        <v>0</v>
      </c>
      <c r="AI2796" s="1">
        <f ca="1">IFERROR(__xludf.DUMMYFUNCTION("IFERROR(GOOGLEFINANCE(B2796,""eps""),0)"),0)</f>
        <v>0</v>
      </c>
      <c r="AJ2796" s="1"/>
      <c r="AK2796" s="9"/>
      <c r="AL2796" s="9">
        <f t="shared" si="276"/>
        <v>1</v>
      </c>
    </row>
    <row r="2797" spans="1:38" ht="15" x14ac:dyDescent="0.25">
      <c r="A2797" s="1" t="s">
        <v>8655</v>
      </c>
      <c r="B2797" s="1" t="s">
        <v>8656</v>
      </c>
      <c r="C2797" s="1" t="s">
        <v>268</v>
      </c>
      <c r="D2797" s="1" t="s">
        <v>268</v>
      </c>
      <c r="E2797" s="6">
        <v>1987.12</v>
      </c>
      <c r="F2797" s="1" t="s">
        <v>40</v>
      </c>
      <c r="G2797" s="6">
        <f ca="1">IFERROR(__xludf.DUMMYFUNCTION("iferror(GOOGLEFINANCE(TRIM(F2797)&amp;"":"" &amp; TRIM(B2797), ""price""),0
)"),10.17)</f>
        <v>10.17</v>
      </c>
      <c r="H2797" s="6">
        <v>17.03</v>
      </c>
      <c r="I2797" s="6">
        <f t="shared" ca="1" si="0"/>
        <v>10.17</v>
      </c>
      <c r="J2797" s="6">
        <f ca="1">IFERROR(__xludf.DUMMYFUNCTION("IFERROR(GOOGLEFINANCE(B2797, ""volume""), 0)"),6365974)</f>
        <v>6365974</v>
      </c>
      <c r="K2797" s="6">
        <v>0.59</v>
      </c>
      <c r="L2797" s="6">
        <f ca="1">IFERROR(__xludf.DUMMYFUNCTION("IFERROR(GOOGLEFINANCE(B2797,""changepct""),K2797)"),-6.53)</f>
        <v>-6.53</v>
      </c>
      <c r="M2797" s="6">
        <f ca="1">IFERROR(__xludf.DUMMYFUNCTION("IFERROR(GOOGLEFINANCE(B2797,""change""),0)"),-0.71)</f>
        <v>-0.71</v>
      </c>
      <c r="N2797" s="6">
        <v>2</v>
      </c>
      <c r="O2797" s="7">
        <v>45536</v>
      </c>
      <c r="P2797" s="6">
        <v>586.03</v>
      </c>
      <c r="Q2797" s="6">
        <v>2386.2800000000002</v>
      </c>
      <c r="R2797" s="7">
        <v>45536</v>
      </c>
      <c r="S2797" s="6">
        <v>257.48</v>
      </c>
      <c r="T2797" s="6">
        <v>26.57</v>
      </c>
      <c r="U2797" s="7">
        <v>45536</v>
      </c>
      <c r="V2797" s="6">
        <v>61.24</v>
      </c>
      <c r="W2797" s="6">
        <f ca="1">IFERROR(__xludf.DUMMYFUNCTION("IFERROR(GOOGLEFINANCE(B2797,""pe""),V2797)"),17.76)</f>
        <v>17.760000000000002</v>
      </c>
      <c r="X2797" s="6">
        <v>2.85</v>
      </c>
      <c r="Y2797" s="6">
        <v>1.89</v>
      </c>
      <c r="Z2797" s="6">
        <v>2</v>
      </c>
      <c r="AA2797" s="8">
        <v>45352</v>
      </c>
      <c r="AB2797" s="4">
        <v>0.94</v>
      </c>
      <c r="AC2797" s="6">
        <v>5.85</v>
      </c>
      <c r="AD2797" s="6">
        <v>7.62</v>
      </c>
      <c r="AE2797" s="1">
        <v>0</v>
      </c>
      <c r="AF2797" s="1">
        <f ca="1">IFERROR(__xludf.DUMMYFUNCTION("IFERROR(GOOGLEFINANCE(TRIM(F2797)&amp;"":"" &amp; TRIM(B2797),""high52""),AE2797)"),15.81)</f>
        <v>15.81</v>
      </c>
      <c r="AG2797" s="1">
        <v>0</v>
      </c>
      <c r="AH2797" s="1">
        <f ca="1">IFERROR(__xludf.DUMMYFUNCTION("IFERROR(GOOGLEFINANCE(TRIM(F2797)&amp;"":"" &amp; TRIM(B2797),""low52""),AE2797)"),9.68)</f>
        <v>9.68</v>
      </c>
      <c r="AI2797" s="1">
        <f ca="1">IFERROR(__xludf.DUMMYFUNCTION("IFERROR(GOOGLEFINANCE(B2797,""eps""),0)"),0.57)</f>
        <v>0.56999999999999995</v>
      </c>
      <c r="AJ2797" s="1"/>
      <c r="AK2797" s="9"/>
      <c r="AL2797" s="9">
        <f t="shared" si="276"/>
        <v>1</v>
      </c>
    </row>
    <row r="2798" spans="1:38" ht="15" x14ac:dyDescent="0.25">
      <c r="A2798" s="1" t="s">
        <v>8657</v>
      </c>
      <c r="B2798" s="1" t="s">
        <v>8658</v>
      </c>
      <c r="C2798" s="1" t="s">
        <v>373</v>
      </c>
      <c r="D2798" s="1" t="s">
        <v>373</v>
      </c>
      <c r="E2798" s="6">
        <v>785.3</v>
      </c>
      <c r="F2798" s="1" t="s">
        <v>40</v>
      </c>
      <c r="G2798" s="6">
        <f ca="1">IFERROR(__xludf.DUMMYFUNCTION("iferror(GOOGLEFINANCE(TRIM(F2798)&amp;"":"" &amp; TRIM(B2798), ""price""),0
)"),19.67)</f>
        <v>19.670000000000002</v>
      </c>
      <c r="H2798" s="6">
        <v>37.36</v>
      </c>
      <c r="I2798" s="6">
        <f t="shared" ca="1" si="0"/>
        <v>19.670000000000002</v>
      </c>
      <c r="J2798" s="6">
        <f ca="1">IFERROR(__xludf.DUMMYFUNCTION("IFERROR(GOOGLEFINANCE(B2798, ""volume""), 0)"),161147)</f>
        <v>161147</v>
      </c>
      <c r="K2798" s="6">
        <v>1.03</v>
      </c>
      <c r="L2798" s="6">
        <f ca="1">IFERROR(__xludf.DUMMYFUNCTION("IFERROR(GOOGLEFINANCE(B2798,""changepct""),K2798)"),0.72)</f>
        <v>0.72</v>
      </c>
      <c r="M2798" s="6">
        <f ca="1">IFERROR(__xludf.DUMMYFUNCTION("IFERROR(GOOGLEFINANCE(B2798,""change""),0)"),0.14)</f>
        <v>0.14000000000000001</v>
      </c>
      <c r="N2798" s="6">
        <v>1</v>
      </c>
      <c r="O2798" s="7">
        <v>45536</v>
      </c>
      <c r="P2798" s="6">
        <v>321.54000000000002</v>
      </c>
      <c r="Q2798" s="6">
        <v>1101.8</v>
      </c>
      <c r="R2798" s="7">
        <v>45536</v>
      </c>
      <c r="S2798" s="6">
        <v>892.15</v>
      </c>
      <c r="T2798" s="6">
        <v>-35.71</v>
      </c>
      <c r="U2798" s="7">
        <v>45536</v>
      </c>
      <c r="V2798" s="6">
        <v>0</v>
      </c>
      <c r="W2798" s="6">
        <f ca="1">IFERROR(__xludf.DUMMYFUNCTION("IFERROR(GOOGLEFINANCE(B2798,""pe""),V2798)"),0)</f>
        <v>0</v>
      </c>
      <c r="X2798" s="6">
        <v>0</v>
      </c>
      <c r="Y2798" s="6">
        <v>0.46</v>
      </c>
      <c r="Z2798" s="6">
        <v>1</v>
      </c>
      <c r="AA2798" s="8">
        <v>45352</v>
      </c>
      <c r="AB2798" s="4">
        <v>0.2</v>
      </c>
      <c r="AC2798" s="6">
        <v>0.4</v>
      </c>
      <c r="AD2798" s="6">
        <v>2.29</v>
      </c>
      <c r="AE2798" s="1">
        <v>0</v>
      </c>
      <c r="AF2798" s="1">
        <f ca="1">IFERROR(__xludf.DUMMYFUNCTION("IFERROR(GOOGLEFINANCE(TRIM(F2798)&amp;"":"" &amp; TRIM(B2798),""high52""),AE2798)"),31.69)</f>
        <v>31.69</v>
      </c>
      <c r="AG2798" s="1">
        <v>0</v>
      </c>
      <c r="AH2798" s="1">
        <f ca="1">IFERROR(__xludf.DUMMYFUNCTION("IFERROR(GOOGLEFINANCE(TRIM(F2798)&amp;"":"" &amp; TRIM(B2798),""low52""),AE2798)"),19.11)</f>
        <v>19.11</v>
      </c>
      <c r="AI2798" s="1">
        <f ca="1">IFERROR(__xludf.DUMMYFUNCTION("IFERROR(GOOGLEFINANCE(B2798,""eps""),0)"),-1.19)</f>
        <v>-1.19</v>
      </c>
      <c r="AJ2798" s="1"/>
      <c r="AK2798" s="1" t="s">
        <v>8659</v>
      </c>
      <c r="AL2798" s="9">
        <f t="shared" si="276"/>
        <v>1</v>
      </c>
    </row>
    <row r="2799" spans="1:38" ht="15" x14ac:dyDescent="0.25">
      <c r="A2799" s="1" t="s">
        <v>8660</v>
      </c>
      <c r="B2799" s="1" t="s">
        <v>8661</v>
      </c>
      <c r="C2799" s="1" t="s">
        <v>82</v>
      </c>
      <c r="D2799" s="1" t="s">
        <v>82</v>
      </c>
      <c r="E2799" s="6">
        <v>111.8</v>
      </c>
      <c r="F2799" s="1" t="s">
        <v>40</v>
      </c>
      <c r="G2799" s="6">
        <f ca="1">IFERROR(__xludf.DUMMYFUNCTION("iferror(GOOGLEFINANCE(TRIM(F2799)&amp;"":"" &amp; TRIM(B2799), ""price""),0
)"),60.06)</f>
        <v>60.06</v>
      </c>
      <c r="H2799" s="6">
        <v>113.31</v>
      </c>
      <c r="I2799" s="6">
        <f t="shared" ca="1" si="0"/>
        <v>60.06</v>
      </c>
      <c r="J2799" s="6">
        <f ca="1">IFERROR(__xludf.DUMMYFUNCTION("IFERROR(GOOGLEFINANCE(B2799, ""volume""), 0)"),4441)</f>
        <v>4441</v>
      </c>
      <c r="K2799" s="6">
        <v>1.69</v>
      </c>
      <c r="L2799" s="6">
        <f ca="1">IFERROR(__xludf.DUMMYFUNCTION("IFERROR(GOOGLEFINANCE(B2799,""changepct""),K2799)"),-0.53)</f>
        <v>-0.53</v>
      </c>
      <c r="M2799" s="6">
        <f ca="1">IFERROR(__xludf.DUMMYFUNCTION("IFERROR(GOOGLEFINANCE(B2799,""change""),0)"),-0.32)</f>
        <v>-0.32</v>
      </c>
      <c r="N2799" s="6">
        <v>1</v>
      </c>
      <c r="O2799" s="7">
        <v>45536</v>
      </c>
      <c r="P2799" s="6">
        <v>57.85</v>
      </c>
      <c r="Q2799" s="6">
        <v>166.51</v>
      </c>
      <c r="R2799" s="7">
        <v>45536</v>
      </c>
      <c r="S2799" s="6">
        <v>164.57</v>
      </c>
      <c r="T2799" s="6">
        <v>-1.1000000000000001</v>
      </c>
      <c r="U2799" s="7">
        <v>45536</v>
      </c>
      <c r="V2799" s="6">
        <v>0</v>
      </c>
      <c r="W2799" s="6">
        <f ca="1">IFERROR(__xludf.DUMMYFUNCTION("IFERROR(GOOGLEFINANCE(B2799,""pe""),V2799)"),0)</f>
        <v>0</v>
      </c>
      <c r="X2799" s="9"/>
      <c r="Y2799" s="6">
        <v>1.68</v>
      </c>
      <c r="Z2799" s="6">
        <v>1</v>
      </c>
      <c r="AA2799" s="8">
        <v>45352</v>
      </c>
      <c r="AB2799" s="4">
        <v>0.94</v>
      </c>
      <c r="AC2799" s="6">
        <v>-1.55</v>
      </c>
      <c r="AD2799" s="6">
        <v>3.97</v>
      </c>
      <c r="AE2799" s="1">
        <v>0</v>
      </c>
      <c r="AF2799" s="1">
        <f ca="1">IFERROR(__xludf.DUMMYFUNCTION("IFERROR(GOOGLEFINANCE(TRIM(F2799)&amp;"":"" &amp; TRIM(B2799),""high52""),AE2799)"),110.4)</f>
        <v>110.4</v>
      </c>
      <c r="AG2799" s="1">
        <v>0</v>
      </c>
      <c r="AH2799" s="1">
        <f ca="1">IFERROR(__xludf.DUMMYFUNCTION("IFERROR(GOOGLEFINANCE(TRIM(F2799)&amp;"":"" &amp; TRIM(B2799),""low52""),AE2799)"),60)</f>
        <v>60</v>
      </c>
      <c r="AI2799" s="1">
        <f ca="1">IFERROR(__xludf.DUMMYFUNCTION("IFERROR(GOOGLEFINANCE(B2799,""eps""),0)"),-2.82)</f>
        <v>-2.82</v>
      </c>
      <c r="AJ2799" s="1"/>
      <c r="AK2799" s="9"/>
      <c r="AL2799" s="9">
        <f t="shared" si="276"/>
        <v>1</v>
      </c>
    </row>
    <row r="2800" spans="1:38" ht="15" x14ac:dyDescent="0.25">
      <c r="A2800" s="1" t="s">
        <v>8662</v>
      </c>
      <c r="B2800" s="1" t="s">
        <v>8663</v>
      </c>
      <c r="C2800" s="1" t="s">
        <v>227</v>
      </c>
      <c r="D2800" s="1" t="s">
        <v>227</v>
      </c>
      <c r="E2800" s="6">
        <v>2039.2</v>
      </c>
      <c r="F2800" s="1" t="s">
        <v>40</v>
      </c>
      <c r="G2800" s="6">
        <f ca="1">IFERROR(__xludf.DUMMYFUNCTION("iferror(GOOGLEFINANCE(TRIM(F2800)&amp;"":"" &amp; TRIM(B2800), ""price""),0
)"),343)</f>
        <v>343</v>
      </c>
      <c r="H2800" s="6">
        <v>537.85</v>
      </c>
      <c r="I2800" s="6">
        <f t="shared" ca="1" si="0"/>
        <v>343</v>
      </c>
      <c r="J2800" s="6">
        <f ca="1">IFERROR(__xludf.DUMMYFUNCTION("IFERROR(GOOGLEFINANCE(B2800, ""volume""), 0)"),831343)</f>
        <v>831343</v>
      </c>
      <c r="K2800" s="6">
        <v>9.7799999999999994</v>
      </c>
      <c r="L2800" s="6">
        <f ca="1">IFERROR(__xludf.DUMMYFUNCTION("IFERROR(GOOGLEFINANCE(B2800,""changepct""),K2800)"),-1.92)</f>
        <v>-1.92</v>
      </c>
      <c r="M2800" s="6">
        <f ca="1">IFERROR(__xludf.DUMMYFUNCTION("IFERROR(GOOGLEFINANCE(B2800,""change""),0)"),-6.7)</f>
        <v>-6.7</v>
      </c>
      <c r="N2800" s="6">
        <v>1</v>
      </c>
      <c r="O2800" s="7">
        <v>45536</v>
      </c>
      <c r="P2800" s="6">
        <v>3.11</v>
      </c>
      <c r="Q2800" s="6">
        <v>1932.83</v>
      </c>
      <c r="R2800" s="14"/>
      <c r="S2800" s="9"/>
      <c r="T2800" s="9"/>
      <c r="U2800" s="7">
        <v>45352</v>
      </c>
      <c r="V2800" s="6">
        <v>49.2</v>
      </c>
      <c r="W2800" s="6">
        <f ca="1">IFERROR(__xludf.DUMMYFUNCTION("IFERROR(GOOGLEFINANCE(B2800,""pe""),V2800)"),30.87)</f>
        <v>30.87</v>
      </c>
      <c r="X2800" s="9"/>
      <c r="Y2800" s="6">
        <v>6.63</v>
      </c>
      <c r="Z2800" s="6">
        <v>1</v>
      </c>
      <c r="AA2800" s="8">
        <v>45352</v>
      </c>
      <c r="AB2800" s="4">
        <v>0.03</v>
      </c>
      <c r="AC2800" s="6">
        <v>27.26</v>
      </c>
      <c r="AD2800" s="6">
        <v>35.4</v>
      </c>
      <c r="AE2800" s="1">
        <v>0</v>
      </c>
      <c r="AF2800" s="1">
        <f ca="1">IFERROR(__xludf.DUMMYFUNCTION("IFERROR(GOOGLEFINANCE(TRIM(F2800)&amp;"":"" &amp; TRIM(B2800),""high52""),AE2800)"),466.73)</f>
        <v>466.73</v>
      </c>
      <c r="AG2800" s="1">
        <v>0</v>
      </c>
      <c r="AH2800" s="1">
        <f ca="1">IFERROR(__xludf.DUMMYFUNCTION("IFERROR(GOOGLEFINANCE(TRIM(F2800)&amp;"":"" &amp; TRIM(B2800),""low52""),AE2800)"),267.45)</f>
        <v>267.45</v>
      </c>
      <c r="AI2800" s="1">
        <f ca="1">IFERROR(__xludf.DUMMYFUNCTION("IFERROR(GOOGLEFINANCE(B2800,""eps""),0)"),11.11)</f>
        <v>11.11</v>
      </c>
      <c r="AJ2800" s="1"/>
      <c r="AK2800" s="1" t="s">
        <v>8664</v>
      </c>
      <c r="AL2800" s="9">
        <f t="shared" si="276"/>
        <v>1</v>
      </c>
    </row>
    <row r="2801" spans="1:38" ht="15" x14ac:dyDescent="0.25">
      <c r="A2801" s="1" t="s">
        <v>8665</v>
      </c>
      <c r="B2801" s="1" t="s">
        <v>8666</v>
      </c>
      <c r="C2801" s="1" t="s">
        <v>135</v>
      </c>
      <c r="D2801" s="1" t="s">
        <v>135</v>
      </c>
      <c r="E2801" s="6">
        <v>1405.04</v>
      </c>
      <c r="F2801" s="1" t="s">
        <v>40</v>
      </c>
      <c r="G2801" s="6">
        <f ca="1">IFERROR(__xludf.DUMMYFUNCTION("iferror(GOOGLEFINANCE(TRIM(F2801)&amp;"":"" &amp; TRIM(B2801), ""price""),0
)"),280.6)</f>
        <v>280.60000000000002</v>
      </c>
      <c r="H2801" s="6">
        <v>444</v>
      </c>
      <c r="I2801" s="6">
        <f t="shared" ca="1" si="0"/>
        <v>280.60000000000002</v>
      </c>
      <c r="J2801" s="6">
        <f ca="1">IFERROR(__xludf.DUMMYFUNCTION("IFERROR(GOOGLEFINANCE(B2801, ""volume""), 0)"),6070)</f>
        <v>6070</v>
      </c>
      <c r="K2801" s="6">
        <v>6.5</v>
      </c>
      <c r="L2801" s="6">
        <f ca="1">IFERROR(__xludf.DUMMYFUNCTION("IFERROR(GOOGLEFINANCE(B2801,""changepct""),K2801)"),-1.11)</f>
        <v>-1.1100000000000001</v>
      </c>
      <c r="M2801" s="6">
        <f ca="1">IFERROR(__xludf.DUMMYFUNCTION("IFERROR(GOOGLEFINANCE(B2801,""change""),0)"),-3.15)</f>
        <v>-3.15</v>
      </c>
      <c r="N2801" s="6">
        <v>2</v>
      </c>
      <c r="O2801" s="7">
        <v>45536</v>
      </c>
      <c r="P2801" s="6">
        <v>248.71</v>
      </c>
      <c r="Q2801" s="6">
        <v>1634.71</v>
      </c>
      <c r="R2801" s="7">
        <v>45536</v>
      </c>
      <c r="S2801" s="6">
        <v>866.42</v>
      </c>
      <c r="T2801" s="6">
        <v>38.49</v>
      </c>
      <c r="U2801" s="7">
        <v>45536</v>
      </c>
      <c r="V2801" s="6">
        <v>36.51</v>
      </c>
      <c r="W2801" s="6">
        <f ca="1">IFERROR(__xludf.DUMMYFUNCTION("IFERROR(GOOGLEFINANCE(B2801,""pe""),V2801)"),96.35)</f>
        <v>96.35</v>
      </c>
      <c r="X2801" s="6">
        <v>-1.17</v>
      </c>
      <c r="Y2801" s="6">
        <v>2.14</v>
      </c>
      <c r="Z2801" s="6">
        <v>2</v>
      </c>
      <c r="AA2801" s="8">
        <v>45352</v>
      </c>
      <c r="AB2801" s="4">
        <v>0.32</v>
      </c>
      <c r="AC2801" s="6">
        <v>1.45</v>
      </c>
      <c r="AD2801" s="6">
        <v>4.07</v>
      </c>
      <c r="AE2801" s="1">
        <v>0</v>
      </c>
      <c r="AF2801" s="1">
        <f ca="1">IFERROR(__xludf.DUMMYFUNCTION("IFERROR(GOOGLEFINANCE(TRIM(F2801)&amp;"":"" &amp; TRIM(B2801),""high52""),AE2801)"),432)</f>
        <v>432</v>
      </c>
      <c r="AG2801" s="1">
        <v>0</v>
      </c>
      <c r="AH2801" s="1">
        <f ca="1">IFERROR(__xludf.DUMMYFUNCTION("IFERROR(GOOGLEFINANCE(TRIM(F2801)&amp;"":"" &amp; TRIM(B2801),""low52""),AE2801)"),251)</f>
        <v>251</v>
      </c>
      <c r="AI2801" s="1">
        <f ca="1">IFERROR(__xludf.DUMMYFUNCTION("IFERROR(GOOGLEFINANCE(B2801,""eps""),0)"),2.91)</f>
        <v>2.91</v>
      </c>
      <c r="AJ2801" s="1"/>
      <c r="AK2801" s="1" t="s">
        <v>8667</v>
      </c>
      <c r="AL2801" s="9">
        <f t="shared" si="276"/>
        <v>1</v>
      </c>
    </row>
    <row r="2802" spans="1:38" ht="15" x14ac:dyDescent="0.25">
      <c r="A2802" s="1" t="s">
        <v>8668</v>
      </c>
      <c r="B2802" s="1" t="s">
        <v>8669</v>
      </c>
      <c r="C2802" s="1" t="s">
        <v>135</v>
      </c>
      <c r="D2802" s="1" t="s">
        <v>135</v>
      </c>
      <c r="E2802" s="6">
        <v>229.32</v>
      </c>
      <c r="F2802" s="1" t="s">
        <v>40</v>
      </c>
      <c r="G2802" s="6">
        <f ca="1">IFERROR(__xludf.DUMMYFUNCTION("iferror(GOOGLEFINANCE(TRIM(F2802)&amp;"":"" &amp; TRIM(B2802), ""price""),0
)"),0)</f>
        <v>0</v>
      </c>
      <c r="H2802" s="6">
        <v>231.5</v>
      </c>
      <c r="I2802" s="6">
        <f t="shared" ca="1" si="0"/>
        <v>231.5</v>
      </c>
      <c r="J2802" s="6">
        <f ca="1">IFERROR(__xludf.DUMMYFUNCTION("IFERROR(GOOGLEFINANCE(B2802, ""volume""), 0)"),0)</f>
        <v>0</v>
      </c>
      <c r="K2802" s="6">
        <v>1.33</v>
      </c>
      <c r="L2802" s="6">
        <f ca="1">IFERROR(__xludf.DUMMYFUNCTION("IFERROR(GOOGLEFINANCE(B2802,""changepct""),K2802)"),1.33)</f>
        <v>1.33</v>
      </c>
      <c r="M2802" s="6">
        <f ca="1">IFERROR(__xludf.DUMMYFUNCTION("IFERROR(GOOGLEFINANCE(B2802,""change""),0)"),0)</f>
        <v>0</v>
      </c>
      <c r="N2802" s="6">
        <v>2</v>
      </c>
      <c r="O2802" s="7">
        <v>45536</v>
      </c>
      <c r="P2802" s="6">
        <v>3.45</v>
      </c>
      <c r="Q2802" s="6">
        <v>221.87</v>
      </c>
      <c r="R2802" s="7">
        <v>45536</v>
      </c>
      <c r="S2802" s="6">
        <v>278.24</v>
      </c>
      <c r="T2802" s="6">
        <v>24.67</v>
      </c>
      <c r="U2802" s="7">
        <v>45536</v>
      </c>
      <c r="V2802" s="6">
        <v>7.94</v>
      </c>
      <c r="W2802" s="6">
        <f ca="1">IFERROR(__xludf.DUMMYFUNCTION("IFERROR(GOOGLEFINANCE(B2802,""pe""),V2802)"),7.94)</f>
        <v>7.94</v>
      </c>
      <c r="X2802" s="6">
        <v>-0.86</v>
      </c>
      <c r="Y2802" s="6">
        <v>0.87</v>
      </c>
      <c r="Z2802" s="6">
        <v>2</v>
      </c>
      <c r="AA2802" s="8">
        <v>45352</v>
      </c>
      <c r="AB2802" s="4">
        <v>0.21</v>
      </c>
      <c r="AC2802" s="6">
        <v>8</v>
      </c>
      <c r="AD2802" s="6">
        <v>10.14</v>
      </c>
      <c r="AE2802" s="1">
        <v>0</v>
      </c>
      <c r="AF2802" s="1">
        <f ca="1">IFERROR(__xludf.DUMMYFUNCTION("IFERROR(GOOGLEFINANCE(TRIM(F2802)&amp;"":"" &amp; TRIM(B2802),""high52""),AE2802)"),0)</f>
        <v>0</v>
      </c>
      <c r="AG2802" s="1">
        <v>0</v>
      </c>
      <c r="AH2802" s="1">
        <f ca="1">IFERROR(__xludf.DUMMYFUNCTION("IFERROR(GOOGLEFINANCE(TRIM(F2802)&amp;"":"" &amp; TRIM(B2802),""low52""),AE2802)"),0)</f>
        <v>0</v>
      </c>
      <c r="AI2802" s="1">
        <f ca="1">IFERROR(__xludf.DUMMYFUNCTION("IFERROR(GOOGLEFINANCE(B2802,""eps""),0)"),0)</f>
        <v>0</v>
      </c>
      <c r="AJ2802" s="1"/>
      <c r="AK2802" s="1" t="s">
        <v>8670</v>
      </c>
      <c r="AL2802" s="9">
        <f t="shared" si="276"/>
        <v>1</v>
      </c>
    </row>
    <row r="2803" spans="1:38" ht="15" x14ac:dyDescent="0.25">
      <c r="A2803" s="1" t="s">
        <v>8671</v>
      </c>
      <c r="B2803" s="1" t="s">
        <v>8672</v>
      </c>
      <c r="C2803" s="1" t="s">
        <v>410</v>
      </c>
      <c r="D2803" s="1" t="s">
        <v>410</v>
      </c>
      <c r="E2803" s="6">
        <v>3245.15</v>
      </c>
      <c r="F2803" s="1" t="s">
        <v>40</v>
      </c>
      <c r="G2803" s="6">
        <f ca="1">IFERROR(__xludf.DUMMYFUNCTION("iferror(GOOGLEFINANCE(TRIM(F2803)&amp;"":"" &amp; TRIM(B2803), ""price""),0
)"),103.76)</f>
        <v>103.76</v>
      </c>
      <c r="H2803" s="6">
        <v>182.82</v>
      </c>
      <c r="I2803" s="6">
        <f t="shared" ca="1" si="0"/>
        <v>103.76</v>
      </c>
      <c r="J2803" s="6">
        <f ca="1">IFERROR(__xludf.DUMMYFUNCTION("IFERROR(GOOGLEFINANCE(B2803, ""volume""), 0)"),125526)</f>
        <v>125526</v>
      </c>
      <c r="K2803" s="6">
        <v>0.69</v>
      </c>
      <c r="L2803" s="6">
        <f ca="1">IFERROR(__xludf.DUMMYFUNCTION("IFERROR(GOOGLEFINANCE(B2803,""changepct""),K2803)"),2.27)</f>
        <v>2.27</v>
      </c>
      <c r="M2803" s="6">
        <f ca="1">IFERROR(__xludf.DUMMYFUNCTION("IFERROR(GOOGLEFINANCE(B2803,""change""),0)"),2.3)</f>
        <v>2.2999999999999998</v>
      </c>
      <c r="N2803" s="6">
        <v>2</v>
      </c>
      <c r="O2803" s="7">
        <v>45536</v>
      </c>
      <c r="P2803" s="6">
        <v>179.11</v>
      </c>
      <c r="Q2803" s="6">
        <v>3414.86</v>
      </c>
      <c r="R2803" s="7">
        <v>45536</v>
      </c>
      <c r="S2803" s="6">
        <v>394.81</v>
      </c>
      <c r="T2803" s="6">
        <v>43.39</v>
      </c>
      <c r="U2803" s="7">
        <v>45536</v>
      </c>
      <c r="V2803" s="6">
        <v>76.81</v>
      </c>
      <c r="W2803" s="6">
        <f ca="1">IFERROR(__xludf.DUMMYFUNCTION("IFERROR(GOOGLEFINANCE(B2803,""pe""),V2803)"),33.77)</f>
        <v>33.770000000000003</v>
      </c>
      <c r="X2803" s="6">
        <v>1.73</v>
      </c>
      <c r="Y2803" s="6">
        <v>5.05</v>
      </c>
      <c r="Z2803" s="6">
        <v>2</v>
      </c>
      <c r="AA2803" s="8">
        <v>45352</v>
      </c>
      <c r="AB2803" s="4">
        <v>0.27</v>
      </c>
      <c r="AC2803" s="6">
        <v>8.65</v>
      </c>
      <c r="AD2803" s="6">
        <v>11.27</v>
      </c>
      <c r="AE2803" s="1">
        <v>0</v>
      </c>
      <c r="AF2803" s="1">
        <f ca="1">IFERROR(__xludf.DUMMYFUNCTION("IFERROR(GOOGLEFINANCE(TRIM(F2803)&amp;"":"" &amp; TRIM(B2803),""high52""),AE2803)"),168.99)</f>
        <v>168.99</v>
      </c>
      <c r="AG2803" s="1">
        <v>0</v>
      </c>
      <c r="AH2803" s="1">
        <f ca="1">IFERROR(__xludf.DUMMYFUNCTION("IFERROR(GOOGLEFINANCE(TRIM(F2803)&amp;"":"" &amp; TRIM(B2803),""low52""),AE2803)"),98.08)</f>
        <v>98.08</v>
      </c>
      <c r="AI2803" s="1">
        <f ca="1">IFERROR(__xludf.DUMMYFUNCTION("IFERROR(GOOGLEFINANCE(B2803,""eps""),0)"),3.07)</f>
        <v>3.07</v>
      </c>
      <c r="AJ2803" s="1"/>
      <c r="AK2803" s="1" t="s">
        <v>8673</v>
      </c>
      <c r="AL2803" s="9">
        <f t="shared" si="276"/>
        <v>1</v>
      </c>
    </row>
    <row r="2804" spans="1:38" ht="15" x14ac:dyDescent="0.25">
      <c r="A2804" s="1" t="s">
        <v>8674</v>
      </c>
      <c r="B2804" s="1" t="s">
        <v>8675</v>
      </c>
      <c r="C2804" s="1" t="s">
        <v>889</v>
      </c>
      <c r="D2804" s="1" t="s">
        <v>889</v>
      </c>
      <c r="E2804" s="6">
        <v>72.180000000000007</v>
      </c>
      <c r="F2804" s="1" t="s">
        <v>40</v>
      </c>
      <c r="G2804" s="6">
        <f ca="1">IFERROR(__xludf.DUMMYFUNCTION("iferror(GOOGLEFINANCE(TRIM(F2804)&amp;"":"" &amp; TRIM(B2804), ""price""),0
)"),7.23)</f>
        <v>7.23</v>
      </c>
      <c r="H2804" s="6">
        <v>9.74</v>
      </c>
      <c r="I2804" s="6">
        <f t="shared" ca="1" si="0"/>
        <v>7.23</v>
      </c>
      <c r="J2804" s="6">
        <f ca="1">IFERROR(__xludf.DUMMYFUNCTION("IFERROR(GOOGLEFINANCE(B2804, ""volume""), 0)"),111478)</f>
        <v>111478</v>
      </c>
      <c r="K2804" s="6">
        <v>-0.51</v>
      </c>
      <c r="L2804" s="6">
        <f ca="1">IFERROR(__xludf.DUMMYFUNCTION("IFERROR(GOOGLEFINANCE(B2804,""changepct""),K2804)"),-1.9)</f>
        <v>-1.9</v>
      </c>
      <c r="M2804" s="6">
        <f ca="1">IFERROR(__xludf.DUMMYFUNCTION("IFERROR(GOOGLEFINANCE(B2804,""change""),0)"),-0.14)</f>
        <v>-0.14000000000000001</v>
      </c>
      <c r="N2804" s="6">
        <v>1</v>
      </c>
      <c r="O2804" s="7">
        <v>45536</v>
      </c>
      <c r="P2804" s="6">
        <v>6.46</v>
      </c>
      <c r="Q2804" s="6">
        <v>77.53</v>
      </c>
      <c r="R2804" s="7">
        <v>45536</v>
      </c>
      <c r="S2804" s="6">
        <v>5.7</v>
      </c>
      <c r="T2804" s="6">
        <v>-8.4</v>
      </c>
      <c r="U2804" s="7">
        <v>45536</v>
      </c>
      <c r="V2804" s="6">
        <v>0</v>
      </c>
      <c r="W2804" s="6">
        <f ca="1">IFERROR(__xludf.DUMMYFUNCTION("IFERROR(GOOGLEFINANCE(B2804,""pe""),V2804)"),4.62)</f>
        <v>4.62</v>
      </c>
      <c r="X2804" s="9"/>
      <c r="Y2804" s="6">
        <v>1.1100000000000001</v>
      </c>
      <c r="Z2804" s="6">
        <v>1</v>
      </c>
      <c r="AA2804" s="8">
        <v>45352</v>
      </c>
      <c r="AB2804" s="4">
        <v>0.85</v>
      </c>
      <c r="AC2804" s="6">
        <v>-17.61</v>
      </c>
      <c r="AD2804" s="6">
        <v>-7.75</v>
      </c>
      <c r="AE2804" s="1">
        <v>0</v>
      </c>
      <c r="AF2804" s="1">
        <f ca="1">IFERROR(__xludf.DUMMYFUNCTION("IFERROR(GOOGLEFINANCE(TRIM(F2804)&amp;"":"" &amp; TRIM(B2804),""high52""),AE2804)"),17.6)</f>
        <v>17.600000000000001</v>
      </c>
      <c r="AG2804" s="1">
        <v>0</v>
      </c>
      <c r="AH2804" s="1">
        <f ca="1">IFERROR(__xludf.DUMMYFUNCTION("IFERROR(GOOGLEFINANCE(TRIM(F2804)&amp;"":"" &amp; TRIM(B2804),""low52""),AE2804)"),6.91)</f>
        <v>6.91</v>
      </c>
      <c r="AI2804" s="1">
        <f ca="1">IFERROR(__xludf.DUMMYFUNCTION("IFERROR(GOOGLEFINANCE(B2804,""eps""),0)"),1.56)</f>
        <v>1.56</v>
      </c>
      <c r="AJ2804" s="1"/>
      <c r="AK2804" s="1" t="s">
        <v>8676</v>
      </c>
      <c r="AL2804" s="1" t="b">
        <f>ISNUMBER(AA2804)</f>
        <v>1</v>
      </c>
    </row>
    <row r="2805" spans="1:38" ht="15" x14ac:dyDescent="0.25">
      <c r="A2805" s="1" t="s">
        <v>8677</v>
      </c>
      <c r="B2805" s="1" t="s">
        <v>8678</v>
      </c>
      <c r="C2805" s="1" t="s">
        <v>259</v>
      </c>
      <c r="D2805" s="1" t="s">
        <v>259</v>
      </c>
      <c r="E2805" s="6">
        <v>144.01</v>
      </c>
      <c r="F2805" s="1" t="s">
        <v>53</v>
      </c>
      <c r="G2805" s="6">
        <f ca="1">IFERROR(__xludf.DUMMYFUNCTION("iferror(GOOGLEFINANCE(TRIM(F2805)&amp;"":"" &amp; TRIM(B2805), ""price""),0
)"),0)</f>
        <v>0</v>
      </c>
      <c r="H2805" s="6">
        <v>816.05</v>
      </c>
      <c r="I2805" s="6">
        <f t="shared" ca="1" si="0"/>
        <v>816.05</v>
      </c>
      <c r="J2805" s="6">
        <f ca="1">IFERROR(__xludf.DUMMYFUNCTION("IFERROR(GOOGLEFINANCE(B2805, ""volume""), 0)"),0)</f>
        <v>0</v>
      </c>
      <c r="K2805" s="6">
        <v>2</v>
      </c>
      <c r="L2805" s="6">
        <f ca="1">IFERROR(__xludf.DUMMYFUNCTION("IFERROR(GOOGLEFINANCE(B2805,""changepct""),K2805)"),2)</f>
        <v>2</v>
      </c>
      <c r="M2805" s="6">
        <f ca="1">IFERROR(__xludf.DUMMYFUNCTION("IFERROR(GOOGLEFINANCE(B2805,""change""),0)"),0)</f>
        <v>0</v>
      </c>
      <c r="N2805" s="6">
        <v>1</v>
      </c>
      <c r="O2805" s="7">
        <v>45536</v>
      </c>
      <c r="P2805" s="6">
        <v>7.18</v>
      </c>
      <c r="Q2805" s="6">
        <v>151.05000000000001</v>
      </c>
      <c r="R2805" s="7">
        <v>45536</v>
      </c>
      <c r="S2805" s="6">
        <v>98.32</v>
      </c>
      <c r="T2805" s="6">
        <v>1.36</v>
      </c>
      <c r="U2805" s="7">
        <v>45536</v>
      </c>
      <c r="V2805" s="6">
        <v>106.28</v>
      </c>
      <c r="W2805" s="6">
        <f ca="1">IFERROR(__xludf.DUMMYFUNCTION("IFERROR(GOOGLEFINANCE(B2805,""pe""),V2805)"),106.28)</f>
        <v>106.28</v>
      </c>
      <c r="X2805" s="6">
        <v>2.77</v>
      </c>
      <c r="Y2805" s="6">
        <v>1.36</v>
      </c>
      <c r="Z2805" s="6">
        <v>1</v>
      </c>
      <c r="AA2805" s="8">
        <v>45352</v>
      </c>
      <c r="AB2805" s="4">
        <v>0.11</v>
      </c>
      <c r="AC2805" s="6">
        <v>1.1000000000000001</v>
      </c>
      <c r="AD2805" s="6">
        <v>2.6</v>
      </c>
      <c r="AE2805" s="1">
        <v>0</v>
      </c>
      <c r="AF2805" s="1">
        <f ca="1">IFERROR(__xludf.DUMMYFUNCTION("IFERROR(GOOGLEFINANCE(TRIM(F2805)&amp;"":"" &amp; TRIM(B2805),""high52""),AE2805)"),0)</f>
        <v>0</v>
      </c>
      <c r="AG2805" s="1">
        <v>0</v>
      </c>
      <c r="AH2805" s="1">
        <f ca="1">IFERROR(__xludf.DUMMYFUNCTION("IFERROR(GOOGLEFINANCE(TRIM(F2805)&amp;"":"" &amp; TRIM(B2805),""low52""),AE2805)"),0)</f>
        <v>0</v>
      </c>
      <c r="AI2805" s="1">
        <f ca="1">IFERROR(__xludf.DUMMYFUNCTION("IFERROR(GOOGLEFINANCE(B2805,""eps""),0)"),0)</f>
        <v>0</v>
      </c>
      <c r="AJ2805" s="1"/>
      <c r="AK2805" s="1" t="s">
        <v>8679</v>
      </c>
      <c r="AL2805" s="9">
        <f t="shared" ref="AL2805:AL2828" si="277">IF(AA2805&lt;&gt;AB2805,1,0)</f>
        <v>1</v>
      </c>
    </row>
    <row r="2806" spans="1:38" ht="15" x14ac:dyDescent="0.25">
      <c r="A2806" s="1" t="s">
        <v>8680</v>
      </c>
      <c r="B2806" s="1" t="s">
        <v>8681</v>
      </c>
      <c r="C2806" s="1" t="s">
        <v>259</v>
      </c>
      <c r="D2806" s="1" t="s">
        <v>259</v>
      </c>
      <c r="E2806" s="6">
        <v>119.27</v>
      </c>
      <c r="F2806" s="1" t="s">
        <v>40</v>
      </c>
      <c r="G2806" s="6">
        <f ca="1">IFERROR(__xludf.DUMMYFUNCTION("iferror(GOOGLEFINANCE(TRIM(F2806)&amp;"":"" &amp; TRIM(B2806), ""price""),0
)"),55)</f>
        <v>55</v>
      </c>
      <c r="H2806" s="6">
        <v>56.8</v>
      </c>
      <c r="I2806" s="6">
        <f t="shared" ca="1" si="0"/>
        <v>55</v>
      </c>
      <c r="J2806" s="6">
        <f ca="1">IFERROR(__xludf.DUMMYFUNCTION("IFERROR(GOOGLEFINANCE(B2806, ""volume""), 0)"),60380)</f>
        <v>60380</v>
      </c>
      <c r="K2806" s="6">
        <v>-0.02</v>
      </c>
      <c r="L2806" s="6">
        <f ca="1">IFERROR(__xludf.DUMMYFUNCTION("IFERROR(GOOGLEFINANCE(B2806,""changepct""),K2806)"),-0.45)</f>
        <v>-0.45</v>
      </c>
      <c r="M2806" s="6">
        <f ca="1">IFERROR(__xludf.DUMMYFUNCTION("IFERROR(GOOGLEFINANCE(B2806,""change""),0)"),-0.25)</f>
        <v>-0.25</v>
      </c>
      <c r="N2806" s="6">
        <v>1</v>
      </c>
      <c r="O2806" s="7">
        <v>45536</v>
      </c>
      <c r="P2806" s="6">
        <v>39.61</v>
      </c>
      <c r="Q2806" s="6">
        <v>156.99</v>
      </c>
      <c r="R2806" s="7">
        <v>45536</v>
      </c>
      <c r="S2806" s="6">
        <v>313.3</v>
      </c>
      <c r="T2806" s="6">
        <v>1.82</v>
      </c>
      <c r="U2806" s="7">
        <v>45536</v>
      </c>
      <c r="V2806" s="6">
        <v>65.42</v>
      </c>
      <c r="W2806" s="6">
        <f ca="1">IFERROR(__xludf.DUMMYFUNCTION("IFERROR(GOOGLEFINANCE(B2806,""pe""),V2806)"),65.42)</f>
        <v>65.42</v>
      </c>
      <c r="X2806" s="6">
        <v>-3.43</v>
      </c>
      <c r="Y2806" s="6">
        <v>1.3</v>
      </c>
      <c r="Z2806" s="6">
        <v>1</v>
      </c>
      <c r="AA2806" s="8">
        <v>45352</v>
      </c>
      <c r="AB2806" s="4">
        <v>0.15</v>
      </c>
      <c r="AC2806" s="6">
        <v>4.21</v>
      </c>
      <c r="AD2806" s="6">
        <v>7.09</v>
      </c>
      <c r="AE2806" s="1">
        <v>0</v>
      </c>
      <c r="AF2806" s="1">
        <f ca="1">IFERROR(__xludf.DUMMYFUNCTION("IFERROR(GOOGLEFINANCE(TRIM(F2806)&amp;"":"" &amp; TRIM(B2806),""high52""),AE2806)"),64.84)</f>
        <v>64.84</v>
      </c>
      <c r="AG2806" s="1">
        <v>0</v>
      </c>
      <c r="AH2806" s="1">
        <f ca="1">IFERROR(__xludf.DUMMYFUNCTION("IFERROR(GOOGLEFINANCE(TRIM(F2806)&amp;"":"" &amp; TRIM(B2806),""low52""),AE2806)"),49.01)</f>
        <v>49.01</v>
      </c>
      <c r="AI2806" s="1">
        <f ca="1">IFERROR(__xludf.DUMMYFUNCTION("IFERROR(GOOGLEFINANCE(B2806,""eps""),0)"),-0.06)</f>
        <v>-0.06</v>
      </c>
      <c r="AJ2806" s="1"/>
      <c r="AK2806" s="1" t="s">
        <v>8682</v>
      </c>
      <c r="AL2806" s="9">
        <f t="shared" si="277"/>
        <v>1</v>
      </c>
    </row>
    <row r="2807" spans="1:38" ht="15" x14ac:dyDescent="0.25">
      <c r="A2807" s="1" t="s">
        <v>8683</v>
      </c>
      <c r="B2807" s="1" t="s">
        <v>8684</v>
      </c>
      <c r="C2807" s="1" t="s">
        <v>259</v>
      </c>
      <c r="D2807" s="1" t="s">
        <v>259</v>
      </c>
      <c r="E2807" s="6">
        <v>125.44</v>
      </c>
      <c r="F2807" s="1" t="s">
        <v>53</v>
      </c>
      <c r="G2807" s="6">
        <f ca="1">IFERROR(__xludf.DUMMYFUNCTION("iferror(GOOGLEFINANCE(TRIM(F2807)&amp;"":"" &amp; TRIM(B2807), ""price""),0
)"),0)</f>
        <v>0</v>
      </c>
      <c r="H2807" s="6">
        <v>18.11</v>
      </c>
      <c r="I2807" s="6">
        <f t="shared" ca="1" si="0"/>
        <v>18.11</v>
      </c>
      <c r="J2807" s="6">
        <f ca="1">IFERROR(__xludf.DUMMYFUNCTION("IFERROR(GOOGLEFINANCE(B2807, ""volume""), 0)"),0)</f>
        <v>0</v>
      </c>
      <c r="K2807" s="6">
        <v>0.89</v>
      </c>
      <c r="L2807" s="6">
        <f ca="1">IFERROR(__xludf.DUMMYFUNCTION("IFERROR(GOOGLEFINANCE(B2807,""changepct""),K2807)"),0.89)</f>
        <v>0.89</v>
      </c>
      <c r="M2807" s="6">
        <f ca="1">IFERROR(__xludf.DUMMYFUNCTION("IFERROR(GOOGLEFINANCE(B2807,""change""),0)"),0)</f>
        <v>0</v>
      </c>
      <c r="N2807" s="6">
        <v>2</v>
      </c>
      <c r="O2807" s="7">
        <v>45536</v>
      </c>
      <c r="P2807" s="6">
        <v>30.68</v>
      </c>
      <c r="Q2807" s="6">
        <v>156.12</v>
      </c>
      <c r="R2807" s="7">
        <v>45536</v>
      </c>
      <c r="S2807" s="6">
        <v>248.52</v>
      </c>
      <c r="T2807" s="6">
        <v>8.1999999999999993</v>
      </c>
      <c r="U2807" s="7">
        <v>45536</v>
      </c>
      <c r="V2807" s="6">
        <v>15.06</v>
      </c>
      <c r="W2807" s="6">
        <f ca="1">IFERROR(__xludf.DUMMYFUNCTION("IFERROR(GOOGLEFINANCE(B2807,""pe""),V2807)"),15.06)</f>
        <v>15.06</v>
      </c>
      <c r="X2807" s="6">
        <v>0.45</v>
      </c>
      <c r="Y2807" s="6">
        <v>2.16</v>
      </c>
      <c r="Z2807" s="6">
        <v>2</v>
      </c>
      <c r="AA2807" s="8">
        <v>45352</v>
      </c>
      <c r="AB2807" s="4">
        <v>0.82</v>
      </c>
      <c r="AC2807" s="6">
        <v>32.6</v>
      </c>
      <c r="AD2807" s="6">
        <v>27.43</v>
      </c>
      <c r="AE2807" s="1">
        <v>0</v>
      </c>
      <c r="AF2807" s="1">
        <f ca="1">IFERROR(__xludf.DUMMYFUNCTION("IFERROR(GOOGLEFINANCE(TRIM(F2807)&amp;"":"" &amp; TRIM(B2807),""high52""),AE2807)"),0)</f>
        <v>0</v>
      </c>
      <c r="AG2807" s="1">
        <v>0</v>
      </c>
      <c r="AH2807" s="1">
        <f ca="1">IFERROR(__xludf.DUMMYFUNCTION("IFERROR(GOOGLEFINANCE(TRIM(F2807)&amp;"":"" &amp; TRIM(B2807),""low52""),AE2807)"),0)</f>
        <v>0</v>
      </c>
      <c r="AI2807" s="1">
        <f ca="1">IFERROR(__xludf.DUMMYFUNCTION("IFERROR(GOOGLEFINANCE(B2807,""eps""),0)"),0)</f>
        <v>0</v>
      </c>
      <c r="AJ2807" s="1"/>
      <c r="AK2807" s="1" t="s">
        <v>8685</v>
      </c>
      <c r="AL2807" s="9">
        <f t="shared" si="277"/>
        <v>1</v>
      </c>
    </row>
    <row r="2808" spans="1:38" ht="15" x14ac:dyDescent="0.25">
      <c r="A2808" s="1" t="s">
        <v>8686</v>
      </c>
      <c r="B2808" s="1" t="s">
        <v>8687</v>
      </c>
      <c r="C2808" s="1" t="s">
        <v>1682</v>
      </c>
      <c r="D2808" s="1" t="s">
        <v>1682</v>
      </c>
      <c r="E2808" s="6">
        <v>7.39</v>
      </c>
      <c r="F2808" s="1" t="s">
        <v>40</v>
      </c>
      <c r="G2808" s="6">
        <f ca="1">IFERROR(__xludf.DUMMYFUNCTION("iferror(GOOGLEFINANCE(TRIM(F2808)&amp;"":"" &amp; TRIM(B2808), ""price""),0
)"),1.41)</f>
        <v>1.41</v>
      </c>
      <c r="H2808" s="6">
        <v>2.11</v>
      </c>
      <c r="I2808" s="6">
        <f t="shared" ca="1" si="0"/>
        <v>1.41</v>
      </c>
      <c r="J2808" s="6">
        <f ca="1">IFERROR(__xludf.DUMMYFUNCTION("IFERROR(GOOGLEFINANCE(B2808, ""volume""), 0)"),50810)</f>
        <v>50810</v>
      </c>
      <c r="K2808" s="9"/>
      <c r="L2808" s="6">
        <f ca="1">IFERROR(__xludf.DUMMYFUNCTION("IFERROR(GOOGLEFINANCE(B2808,""changepct""),K2808)"),1.44)</f>
        <v>1.44</v>
      </c>
      <c r="M2808" s="6">
        <f ca="1">IFERROR(__xludf.DUMMYFUNCTION("IFERROR(GOOGLEFINANCE(B2808,""change""),0)"),0.02)</f>
        <v>0.02</v>
      </c>
      <c r="N2808" s="6">
        <v>1</v>
      </c>
      <c r="O2808" s="7">
        <v>44256</v>
      </c>
      <c r="P2808" s="6">
        <v>229.82</v>
      </c>
      <c r="Q2808" s="6">
        <v>233.14</v>
      </c>
      <c r="R2808" s="7">
        <v>44348</v>
      </c>
      <c r="S2808" s="6">
        <v>60.26</v>
      </c>
      <c r="T2808" s="6">
        <v>-28.81</v>
      </c>
      <c r="U2808" s="7">
        <v>44348</v>
      </c>
      <c r="V2808" s="6">
        <v>0</v>
      </c>
      <c r="W2808" s="6">
        <f ca="1">IFERROR(__xludf.DUMMYFUNCTION("IFERROR(GOOGLEFINANCE(B2808,""pe""),V2808)"),0)</f>
        <v>0</v>
      </c>
      <c r="X2808" s="9"/>
      <c r="Y2808" s="9"/>
      <c r="Z2808" s="6">
        <v>1</v>
      </c>
      <c r="AA2808" s="8">
        <v>44256</v>
      </c>
      <c r="AB2808" s="4">
        <v>-2.96</v>
      </c>
      <c r="AC2808" s="6">
        <v>0</v>
      </c>
      <c r="AD2808" s="6">
        <v>-13.46</v>
      </c>
      <c r="AE2808" s="1">
        <v>0</v>
      </c>
      <c r="AF2808" s="1">
        <f ca="1">IFERROR(__xludf.DUMMYFUNCTION("IFERROR(GOOGLEFINANCE(TRIM(F2808)&amp;"":"" &amp; TRIM(B2808),""high52""),AE2808)"),2.34)</f>
        <v>2.34</v>
      </c>
      <c r="AG2808" s="1">
        <v>0</v>
      </c>
      <c r="AH2808" s="1">
        <f ca="1">IFERROR(__xludf.DUMMYFUNCTION("IFERROR(GOOGLEFINANCE(TRIM(F2808)&amp;"":"" &amp; TRIM(B2808),""low52""),AE2808)"),1.15)</f>
        <v>1.1499999999999999</v>
      </c>
      <c r="AI2808" s="1">
        <f ca="1">IFERROR(__xludf.DUMMYFUNCTION("IFERROR(GOOGLEFINANCE(B2808,""eps""),0)"),0)</f>
        <v>0</v>
      </c>
      <c r="AJ2808" s="1"/>
      <c r="AK2808" s="1" t="s">
        <v>8688</v>
      </c>
      <c r="AL2808" s="9">
        <f t="shared" si="277"/>
        <v>1</v>
      </c>
    </row>
    <row r="2809" spans="1:38" ht="15" x14ac:dyDescent="0.25">
      <c r="A2809" s="1" t="s">
        <v>8689</v>
      </c>
      <c r="B2809" s="1" t="s">
        <v>8690</v>
      </c>
      <c r="C2809" s="1" t="s">
        <v>106</v>
      </c>
      <c r="D2809" s="1" t="s">
        <v>106</v>
      </c>
      <c r="E2809" s="6">
        <v>14.55</v>
      </c>
      <c r="F2809" s="1" t="s">
        <v>40</v>
      </c>
      <c r="G2809" s="6">
        <f ca="1">IFERROR(__xludf.DUMMYFUNCTION("iferror(GOOGLEFINANCE(TRIM(F2809)&amp;"":"" &amp; TRIM(B2809), ""price""),0
)"),12.79)</f>
        <v>12.79</v>
      </c>
      <c r="H2809" s="6">
        <v>18</v>
      </c>
      <c r="I2809" s="6">
        <f t="shared" ca="1" si="0"/>
        <v>12.79</v>
      </c>
      <c r="J2809" s="6">
        <f ca="1">IFERROR(__xludf.DUMMYFUNCTION("IFERROR(GOOGLEFINANCE(B2809, ""volume""), 0)"),4054)</f>
        <v>4054</v>
      </c>
      <c r="K2809" s="6">
        <v>-0.39</v>
      </c>
      <c r="L2809" s="6">
        <f ca="1">IFERROR(__xludf.DUMMYFUNCTION("IFERROR(GOOGLEFINANCE(B2809,""changepct""),K2809)"),0.31)</f>
        <v>0.31</v>
      </c>
      <c r="M2809" s="6">
        <f ca="1">IFERROR(__xludf.DUMMYFUNCTION("IFERROR(GOOGLEFINANCE(B2809,""change""),0)"),0.04)</f>
        <v>0.04</v>
      </c>
      <c r="N2809" s="6">
        <v>1</v>
      </c>
      <c r="O2809" s="7">
        <v>45536</v>
      </c>
      <c r="P2809" s="6">
        <v>0.2</v>
      </c>
      <c r="Q2809" s="6">
        <v>14.3</v>
      </c>
      <c r="R2809" s="7">
        <v>45536</v>
      </c>
      <c r="S2809" s="6">
        <v>0.71</v>
      </c>
      <c r="T2809" s="6">
        <v>-7.51</v>
      </c>
      <c r="U2809" s="7">
        <v>45536</v>
      </c>
      <c r="V2809" s="6">
        <v>0</v>
      </c>
      <c r="W2809" s="6">
        <f ca="1">IFERROR(__xludf.DUMMYFUNCTION("IFERROR(GOOGLEFINANCE(B2809,""pe""),V2809)"),0)</f>
        <v>0</v>
      </c>
      <c r="X2809" s="12"/>
      <c r="Y2809" s="6">
        <v>6.48</v>
      </c>
      <c r="Z2809" s="6">
        <v>1</v>
      </c>
      <c r="AA2809" s="8">
        <v>45352</v>
      </c>
      <c r="AB2809" s="4">
        <v>0.64</v>
      </c>
      <c r="AC2809" s="6">
        <v>-117.48</v>
      </c>
      <c r="AD2809" s="6">
        <v>-60.11</v>
      </c>
      <c r="AE2809" s="1">
        <v>0</v>
      </c>
      <c r="AF2809" s="1">
        <f ca="1">IFERROR(__xludf.DUMMYFUNCTION("IFERROR(GOOGLEFINANCE(TRIM(F2809)&amp;"":"" &amp; TRIM(B2809),""high52""),AE2809)"),18.93)</f>
        <v>18.93</v>
      </c>
      <c r="AG2809" s="1">
        <v>0</v>
      </c>
      <c r="AH2809" s="1">
        <f ca="1">IFERROR(__xludf.DUMMYFUNCTION("IFERROR(GOOGLEFINANCE(TRIM(F2809)&amp;"":"" &amp; TRIM(B2809),""low52""),AE2809)"),9.64)</f>
        <v>9.64</v>
      </c>
      <c r="AI2809" s="1">
        <f ca="1">IFERROR(__xludf.DUMMYFUNCTION("IFERROR(GOOGLEFINANCE(B2809,""eps""),0)"),-1.17)</f>
        <v>-1.17</v>
      </c>
      <c r="AJ2809" s="1"/>
      <c r="AK2809" s="1" t="s">
        <v>8691</v>
      </c>
      <c r="AL2809" s="9">
        <f t="shared" si="277"/>
        <v>1</v>
      </c>
    </row>
    <row r="2810" spans="1:38" ht="15" x14ac:dyDescent="0.25">
      <c r="A2810" s="1" t="s">
        <v>8692</v>
      </c>
      <c r="B2810" s="1" t="s">
        <v>8693</v>
      </c>
      <c r="C2810" s="1" t="s">
        <v>4423</v>
      </c>
      <c r="D2810" s="1" t="s">
        <v>4423</v>
      </c>
      <c r="E2810" s="6">
        <v>501.3</v>
      </c>
      <c r="F2810" s="1" t="s">
        <v>40</v>
      </c>
      <c r="G2810" s="6">
        <f ca="1">IFERROR(__xludf.DUMMYFUNCTION("iferror(GOOGLEFINANCE(TRIM(F2810)&amp;"":"" &amp; TRIM(B2810), ""price""),0
)"),0)</f>
        <v>0</v>
      </c>
      <c r="H2810" s="6">
        <v>325</v>
      </c>
      <c r="I2810" s="6">
        <f t="shared" ca="1" si="0"/>
        <v>325</v>
      </c>
      <c r="J2810" s="6">
        <f ca="1">IFERROR(__xludf.DUMMYFUNCTION("IFERROR(GOOGLEFINANCE(B2810, ""volume""), 0)"),0)</f>
        <v>0</v>
      </c>
      <c r="K2810" s="6">
        <v>4.57</v>
      </c>
      <c r="L2810" s="6">
        <f ca="1">IFERROR(__xludf.DUMMYFUNCTION("IFERROR(GOOGLEFINANCE(B2810,""changepct""),K2810)"),4.57)</f>
        <v>4.57</v>
      </c>
      <c r="M2810" s="6">
        <f ca="1">IFERROR(__xludf.DUMMYFUNCTION("IFERROR(GOOGLEFINANCE(B2810,""change""),0)"),0)</f>
        <v>0</v>
      </c>
      <c r="N2810" s="6">
        <v>1</v>
      </c>
      <c r="O2810" s="7">
        <v>45352</v>
      </c>
      <c r="P2810" s="6">
        <v>25.45</v>
      </c>
      <c r="Q2810" s="6">
        <v>521.97</v>
      </c>
      <c r="R2810" s="14"/>
      <c r="S2810" s="9"/>
      <c r="T2810" s="9"/>
      <c r="U2810" s="7">
        <v>45352</v>
      </c>
      <c r="V2810" s="6">
        <v>38.409999999999997</v>
      </c>
      <c r="W2810" s="6">
        <f ca="1">IFERROR(__xludf.DUMMYFUNCTION("IFERROR(GOOGLEFINANCE(B2810,""pe""),V2810)"),38.41)</f>
        <v>38.409999999999997</v>
      </c>
      <c r="X2810" s="9"/>
      <c r="Y2810" s="6">
        <v>5.1100000000000003</v>
      </c>
      <c r="Z2810" s="6">
        <v>1</v>
      </c>
      <c r="AA2810" s="8">
        <v>45352</v>
      </c>
      <c r="AB2810" s="4">
        <v>1</v>
      </c>
      <c r="AC2810" s="6">
        <v>69.37</v>
      </c>
      <c r="AD2810" s="6">
        <v>54.36</v>
      </c>
      <c r="AE2810" s="1">
        <v>0</v>
      </c>
      <c r="AF2810" s="1">
        <f ca="1">IFERROR(__xludf.DUMMYFUNCTION("IFERROR(GOOGLEFINANCE(TRIM(F2810)&amp;"":"" &amp; TRIM(B2810),""high52""),AE2810)"),0)</f>
        <v>0</v>
      </c>
      <c r="AG2810" s="1">
        <v>0</v>
      </c>
      <c r="AH2810" s="1">
        <f ca="1">IFERROR(__xludf.DUMMYFUNCTION("IFERROR(GOOGLEFINANCE(TRIM(F2810)&amp;"":"" &amp; TRIM(B2810),""low52""),AE2810)"),0)</f>
        <v>0</v>
      </c>
      <c r="AI2810" s="1">
        <f ca="1">IFERROR(__xludf.DUMMYFUNCTION("IFERROR(GOOGLEFINANCE(B2810,""eps""),0)"),0)</f>
        <v>0</v>
      </c>
      <c r="AJ2810" s="1"/>
      <c r="AK2810" s="1" t="s">
        <v>8694</v>
      </c>
      <c r="AL2810" s="9">
        <f t="shared" si="277"/>
        <v>1</v>
      </c>
    </row>
    <row r="2811" spans="1:38" ht="15" x14ac:dyDescent="0.25">
      <c r="A2811" s="1" t="s">
        <v>8695</v>
      </c>
      <c r="B2811" s="1" t="s">
        <v>8696</v>
      </c>
      <c r="C2811" s="1" t="s">
        <v>359</v>
      </c>
      <c r="D2811" s="1" t="s">
        <v>359</v>
      </c>
      <c r="E2811" s="6">
        <v>399.64</v>
      </c>
      <c r="F2811" s="1" t="s">
        <v>40</v>
      </c>
      <c r="G2811" s="6">
        <f ca="1">IFERROR(__xludf.DUMMYFUNCTION("iferror(GOOGLEFINANCE(TRIM(F2811)&amp;"":"" &amp; TRIM(B2811), ""price""),0
)"),14.2)</f>
        <v>14.2</v>
      </c>
      <c r="H2811" s="6">
        <v>30.62</v>
      </c>
      <c r="I2811" s="6">
        <f t="shared" ca="1" si="0"/>
        <v>14.2</v>
      </c>
      <c r="J2811" s="6">
        <f ca="1">IFERROR(__xludf.DUMMYFUNCTION("IFERROR(GOOGLEFINANCE(B2811, ""volume""), 0)"),130165)</f>
        <v>130165</v>
      </c>
      <c r="K2811" s="6">
        <v>2</v>
      </c>
      <c r="L2811" s="6">
        <f ca="1">IFERROR(__xludf.DUMMYFUNCTION("IFERROR(GOOGLEFINANCE(B2811,""changepct""),K2811)"),-0.14)</f>
        <v>-0.14000000000000001</v>
      </c>
      <c r="M2811" s="6">
        <f ca="1">IFERROR(__xludf.DUMMYFUNCTION("IFERROR(GOOGLEFINANCE(B2811,""change""),0)"),-0.02)</f>
        <v>-0.02</v>
      </c>
      <c r="N2811" s="6">
        <v>1</v>
      </c>
      <c r="O2811" s="7">
        <v>45536</v>
      </c>
      <c r="P2811" s="6">
        <v>147.88999999999999</v>
      </c>
      <c r="Q2811" s="6">
        <v>547.53</v>
      </c>
      <c r="R2811" s="7">
        <v>45536</v>
      </c>
      <c r="S2811" s="6">
        <v>1347.52</v>
      </c>
      <c r="T2811" s="6">
        <v>19.760000000000002</v>
      </c>
      <c r="U2811" s="7">
        <v>45536</v>
      </c>
      <c r="V2811" s="6">
        <v>20.22</v>
      </c>
      <c r="W2811" s="6">
        <f ca="1">IFERROR(__xludf.DUMMYFUNCTION("IFERROR(GOOGLEFINANCE(B2811,""pe""),V2811)"),9.68)</f>
        <v>9.68</v>
      </c>
      <c r="X2811" s="6">
        <v>1.18</v>
      </c>
      <c r="Y2811" s="6">
        <v>1.9</v>
      </c>
      <c r="Z2811" s="6">
        <v>1</v>
      </c>
      <c r="AA2811" s="8">
        <v>45352</v>
      </c>
      <c r="AB2811" s="4">
        <v>0.62</v>
      </c>
      <c r="AC2811" s="6">
        <v>11.73</v>
      </c>
      <c r="AD2811" s="6">
        <v>22.46</v>
      </c>
      <c r="AE2811" s="1">
        <v>0</v>
      </c>
      <c r="AF2811" s="1">
        <f ca="1">IFERROR(__xludf.DUMMYFUNCTION("IFERROR(GOOGLEFINANCE(TRIM(F2811)&amp;"":"" &amp; TRIM(B2811),""high52""),AE2811)"),33.08)</f>
        <v>33.08</v>
      </c>
      <c r="AG2811" s="1">
        <v>0</v>
      </c>
      <c r="AH2811" s="1">
        <f ca="1">IFERROR(__xludf.DUMMYFUNCTION("IFERROR(GOOGLEFINANCE(TRIM(F2811)&amp;"":"" &amp; TRIM(B2811),""low52""),AE2811)"),11.31)</f>
        <v>11.31</v>
      </c>
      <c r="AI2811" s="1">
        <f ca="1">IFERROR(__xludf.DUMMYFUNCTION("IFERROR(GOOGLEFINANCE(B2811,""eps""),0)"),1.47)</f>
        <v>1.47</v>
      </c>
      <c r="AJ2811" s="1"/>
      <c r="AK2811" s="1" t="s">
        <v>8697</v>
      </c>
      <c r="AL2811" s="9">
        <f t="shared" si="277"/>
        <v>1</v>
      </c>
    </row>
    <row r="2812" spans="1:38" ht="15" x14ac:dyDescent="0.25">
      <c r="A2812" s="1" t="s">
        <v>8698</v>
      </c>
      <c r="B2812" s="1" t="s">
        <v>8699</v>
      </c>
      <c r="C2812" s="1" t="s">
        <v>227</v>
      </c>
      <c r="D2812" s="1" t="s">
        <v>227</v>
      </c>
      <c r="E2812" s="6">
        <v>932.93</v>
      </c>
      <c r="F2812" s="1" t="s">
        <v>40</v>
      </c>
      <c r="G2812" s="6">
        <f ca="1">IFERROR(__xludf.DUMMYFUNCTION("iferror(GOOGLEFINANCE(TRIM(F2812)&amp;"":"" &amp; TRIM(B2812), ""price""),0
)"),51.31)</f>
        <v>51.31</v>
      </c>
      <c r="H2812" s="6">
        <v>69.53</v>
      </c>
      <c r="I2812" s="6">
        <f t="shared" ca="1" si="0"/>
        <v>51.31</v>
      </c>
      <c r="J2812" s="6">
        <f ca="1">IFERROR(__xludf.DUMMYFUNCTION("IFERROR(GOOGLEFINANCE(B2812, ""volume""), 0)"),107073)</f>
        <v>107073</v>
      </c>
      <c r="K2812" s="6">
        <v>0.04</v>
      </c>
      <c r="L2812" s="6">
        <f ca="1">IFERROR(__xludf.DUMMYFUNCTION("IFERROR(GOOGLEFINANCE(B2812,""changepct""),K2812)"),-7.18)</f>
        <v>-7.18</v>
      </c>
      <c r="M2812" s="6">
        <f ca="1">IFERROR(__xludf.DUMMYFUNCTION("IFERROR(GOOGLEFINANCE(B2812,""change""),0)"),-3.97)</f>
        <v>-3.97</v>
      </c>
      <c r="N2812" s="6">
        <v>2</v>
      </c>
      <c r="O2812" s="7">
        <v>45536</v>
      </c>
      <c r="P2812" s="9"/>
      <c r="Q2812" s="6">
        <v>894.05</v>
      </c>
      <c r="R2812" s="7">
        <v>45536</v>
      </c>
      <c r="S2812" s="6">
        <v>1.87</v>
      </c>
      <c r="T2812" s="6">
        <v>2.68</v>
      </c>
      <c r="U2812" s="7">
        <v>45536</v>
      </c>
      <c r="V2812" s="6">
        <v>136.97</v>
      </c>
      <c r="W2812" s="6">
        <f ca="1">IFERROR(__xludf.DUMMYFUNCTION("IFERROR(GOOGLEFINANCE(B2812,""pe""),V2812)"),5.45)</f>
        <v>5.45</v>
      </c>
      <c r="X2812" s="6">
        <v>-4.6399999999999997</v>
      </c>
      <c r="Y2812" s="6">
        <v>1.1100000000000001</v>
      </c>
      <c r="Z2812" s="6">
        <v>2</v>
      </c>
      <c r="AA2812" s="8">
        <v>45352</v>
      </c>
      <c r="AB2812" s="4">
        <v>0</v>
      </c>
      <c r="AC2812" s="6">
        <v>0.21</v>
      </c>
      <c r="AD2812" s="6">
        <v>0.48</v>
      </c>
      <c r="AE2812" s="1">
        <v>0</v>
      </c>
      <c r="AF2812" s="1">
        <f ca="1">IFERROR(__xludf.DUMMYFUNCTION("IFERROR(GOOGLEFINANCE(TRIM(F2812)&amp;"":"" &amp; TRIM(B2812),""high52""),AE2812)"),110.8)</f>
        <v>110.8</v>
      </c>
      <c r="AG2812" s="1">
        <v>0</v>
      </c>
      <c r="AH2812" s="1">
        <f ca="1">IFERROR(__xludf.DUMMYFUNCTION("IFERROR(GOOGLEFINANCE(TRIM(F2812)&amp;"":"" &amp; TRIM(B2812),""low52""),AE2812)"),46.11)</f>
        <v>46.11</v>
      </c>
      <c r="AI2812" s="1">
        <f ca="1">IFERROR(__xludf.DUMMYFUNCTION("IFERROR(GOOGLEFINANCE(B2812,""eps""),0)"),9.42)</f>
        <v>9.42</v>
      </c>
      <c r="AJ2812" s="1"/>
      <c r="AK2812" s="1" t="s">
        <v>8700</v>
      </c>
      <c r="AL2812" s="9">
        <f t="shared" si="277"/>
        <v>1</v>
      </c>
    </row>
    <row r="2813" spans="1:38" ht="15" x14ac:dyDescent="0.25">
      <c r="A2813" s="1" t="s">
        <v>8701</v>
      </c>
      <c r="B2813" s="1" t="s">
        <v>8702</v>
      </c>
      <c r="C2813" s="1" t="s">
        <v>259</v>
      </c>
      <c r="D2813" s="1" t="s">
        <v>259</v>
      </c>
      <c r="E2813" s="6">
        <v>763.55</v>
      </c>
      <c r="F2813" s="1" t="s">
        <v>53</v>
      </c>
      <c r="G2813" s="6">
        <f ca="1">IFERROR(__xludf.DUMMYFUNCTION("iferror(GOOGLEFINANCE(TRIM(F2813)&amp;"":"" &amp; TRIM(B2813), ""price""),0
)"),0)</f>
        <v>0</v>
      </c>
      <c r="H2813" s="6">
        <v>71.55</v>
      </c>
      <c r="I2813" s="6">
        <f t="shared" ca="1" si="0"/>
        <v>71.55</v>
      </c>
      <c r="J2813" s="6">
        <f ca="1">IFERROR(__xludf.DUMMYFUNCTION("IFERROR(GOOGLEFINANCE(B2813, ""volume""), 0)"),24262)</f>
        <v>24262</v>
      </c>
      <c r="K2813" s="6">
        <v>-0.93</v>
      </c>
      <c r="L2813" s="6">
        <f ca="1">IFERROR(__xludf.DUMMYFUNCTION("IFERROR(GOOGLEFINANCE(B2813,""changepct""),K2813)"),-0.76)</f>
        <v>-0.76</v>
      </c>
      <c r="M2813" s="6">
        <f ca="1">IFERROR(__xludf.DUMMYFUNCTION("IFERROR(GOOGLEFINANCE(B2813,""change""),0)"),-0.23)</f>
        <v>-0.23</v>
      </c>
      <c r="N2813" s="6">
        <v>1</v>
      </c>
      <c r="O2813" s="7">
        <v>45536</v>
      </c>
      <c r="P2813" s="6">
        <v>34.130000000000003</v>
      </c>
      <c r="Q2813" s="6">
        <v>797.68</v>
      </c>
      <c r="R2813" s="7">
        <v>45536</v>
      </c>
      <c r="S2813" s="6">
        <v>406</v>
      </c>
      <c r="T2813" s="6">
        <v>19.87</v>
      </c>
      <c r="U2813" s="7">
        <v>45536</v>
      </c>
      <c r="V2813" s="6">
        <v>38.43</v>
      </c>
      <c r="W2813" s="6">
        <f ca="1">IFERROR(__xludf.DUMMYFUNCTION("IFERROR(GOOGLEFINANCE(B2813,""pe""),V2813)"),11.19)</f>
        <v>11.19</v>
      </c>
      <c r="X2813" s="6">
        <v>2.5</v>
      </c>
      <c r="Y2813" s="6">
        <v>6.18</v>
      </c>
      <c r="Z2813" s="6">
        <v>1</v>
      </c>
      <c r="AA2813" s="8">
        <v>45352</v>
      </c>
      <c r="AB2813" s="4">
        <v>0.11</v>
      </c>
      <c r="AC2813" s="6">
        <v>12.44</v>
      </c>
      <c r="AD2813" s="6">
        <v>16.760000000000002</v>
      </c>
      <c r="AE2813" s="1">
        <v>0</v>
      </c>
      <c r="AF2813" s="1">
        <f ca="1">IFERROR(__xludf.DUMMYFUNCTION("IFERROR(GOOGLEFINANCE(TRIM(F2813)&amp;"":"" &amp; TRIM(B2813),""high52""),AE2813)"),0)</f>
        <v>0</v>
      </c>
      <c r="AG2813" s="1">
        <v>0</v>
      </c>
      <c r="AH2813" s="1">
        <f ca="1">IFERROR(__xludf.DUMMYFUNCTION("IFERROR(GOOGLEFINANCE(TRIM(F2813)&amp;"":"" &amp; TRIM(B2813),""low52""),AE2813)"),0)</f>
        <v>0</v>
      </c>
      <c r="AI2813" s="1">
        <f ca="1">IFERROR(__xludf.DUMMYFUNCTION("IFERROR(GOOGLEFINANCE(B2813,""eps""),0)"),2.67)</f>
        <v>2.67</v>
      </c>
      <c r="AJ2813" s="1"/>
      <c r="AK2813" s="1" t="s">
        <v>8703</v>
      </c>
      <c r="AL2813" s="9">
        <f t="shared" si="277"/>
        <v>1</v>
      </c>
    </row>
    <row r="2814" spans="1:38" ht="15" x14ac:dyDescent="0.25">
      <c r="A2814" s="1" t="s">
        <v>8704</v>
      </c>
      <c r="B2814" s="1" t="s">
        <v>8705</v>
      </c>
      <c r="C2814" s="1" t="s">
        <v>43</v>
      </c>
      <c r="D2814" s="1" t="s">
        <v>43</v>
      </c>
      <c r="E2814" s="6">
        <v>1228.58</v>
      </c>
      <c r="F2814" s="1" t="s">
        <v>40</v>
      </c>
      <c r="G2814" s="6">
        <f ca="1">IFERROR(__xludf.DUMMYFUNCTION("iferror(GOOGLEFINANCE(TRIM(F2814)&amp;"":"" &amp; TRIM(B2814), ""price""),0
)"),27.53)</f>
        <v>27.53</v>
      </c>
      <c r="H2814" s="6">
        <v>48.15</v>
      </c>
      <c r="I2814" s="6">
        <f t="shared" ca="1" si="0"/>
        <v>27.53</v>
      </c>
      <c r="J2814" s="6">
        <f ca="1">IFERROR(__xludf.DUMMYFUNCTION("IFERROR(GOOGLEFINANCE(B2814, ""volume""), 0)"),98212)</f>
        <v>98212</v>
      </c>
      <c r="K2814" s="6">
        <v>0.4</v>
      </c>
      <c r="L2814" s="6">
        <f ca="1">IFERROR(__xludf.DUMMYFUNCTION("IFERROR(GOOGLEFINANCE(B2814,""changepct""),K2814)"),0.58)</f>
        <v>0.57999999999999996</v>
      </c>
      <c r="M2814" s="6">
        <f ca="1">IFERROR(__xludf.DUMMYFUNCTION("IFERROR(GOOGLEFINANCE(B2814,""change""),0)"),0.16)</f>
        <v>0.16</v>
      </c>
      <c r="N2814" s="6">
        <v>1</v>
      </c>
      <c r="O2814" s="7">
        <v>45536</v>
      </c>
      <c r="P2814" s="6">
        <v>9.2100000000000009</v>
      </c>
      <c r="Q2814" s="7">
        <v>45536</v>
      </c>
      <c r="R2814" s="6">
        <v>133.41</v>
      </c>
      <c r="S2814" s="6">
        <v>-4.01</v>
      </c>
      <c r="T2814" s="6">
        <v>0.49</v>
      </c>
      <c r="U2814" s="6">
        <v>1</v>
      </c>
      <c r="V2814" s="7">
        <v>45352</v>
      </c>
      <c r="W2814" s="6">
        <f ca="1">IFERROR(__xludf.DUMMYFUNCTION("IFERROR(GOOGLEFINANCE(B2814,""pe""),V2814)"),15.37)</f>
        <v>15.37</v>
      </c>
      <c r="X2814" s="6">
        <v>0</v>
      </c>
      <c r="Y2814" s="6">
        <v>0.26</v>
      </c>
      <c r="Z2814" s="6">
        <v>0.45</v>
      </c>
      <c r="AA2814" s="3" t="s">
        <v>8706</v>
      </c>
      <c r="AB2814" s="3"/>
      <c r="AC2814" s="9"/>
      <c r="AD2814" s="9"/>
      <c r="AE2814" s="1">
        <v>0</v>
      </c>
      <c r="AF2814" s="1">
        <f ca="1">IFERROR(__xludf.DUMMYFUNCTION("IFERROR(GOOGLEFINANCE(TRIM(F2814)&amp;"":"" &amp; TRIM(B2814),""high52""),AE2814)"),50.9)</f>
        <v>50.9</v>
      </c>
      <c r="AG2814" s="1">
        <v>0</v>
      </c>
      <c r="AH2814" s="1">
        <f ca="1">IFERROR(__xludf.DUMMYFUNCTION("IFERROR(GOOGLEFINANCE(TRIM(F2814)&amp;"":"" &amp; TRIM(B2814),""low52""),AE2814)"),25.48)</f>
        <v>25.48</v>
      </c>
      <c r="AI2814" s="1">
        <f ca="1">IFERROR(__xludf.DUMMYFUNCTION("IFERROR(GOOGLEFINANCE(B2814,""eps""),0)"),1.47)</f>
        <v>1.47</v>
      </c>
      <c r="AJ2814" s="1"/>
      <c r="AK2814" s="9"/>
      <c r="AL2814" s="9">
        <f t="shared" si="277"/>
        <v>1</v>
      </c>
    </row>
    <row r="2815" spans="1:38" ht="15" x14ac:dyDescent="0.25">
      <c r="A2815" s="1" t="s">
        <v>8707</v>
      </c>
      <c r="B2815" s="1" t="s">
        <v>8708</v>
      </c>
      <c r="C2815" s="1" t="s">
        <v>186</v>
      </c>
      <c r="D2815" s="1" t="s">
        <v>186</v>
      </c>
      <c r="E2815" s="6">
        <v>53754.48</v>
      </c>
      <c r="F2815" s="1" t="s">
        <v>40</v>
      </c>
      <c r="G2815" s="6">
        <f ca="1">IFERROR(__xludf.DUMMYFUNCTION("iferror(GOOGLEFINANCE(TRIM(F2815)&amp;"":"" &amp; TRIM(B2815), ""price""),0
)"),33000)</f>
        <v>33000</v>
      </c>
      <c r="H2815" s="6">
        <v>48338.65</v>
      </c>
      <c r="I2815" s="6">
        <f t="shared" ca="1" si="0"/>
        <v>33000</v>
      </c>
      <c r="J2815" s="6">
        <f ca="1">IFERROR(__xludf.DUMMYFUNCTION("IFERROR(GOOGLEFINANCE(B2815, ""volume""), 0)"),10777)</f>
        <v>10777</v>
      </c>
      <c r="K2815" s="6">
        <v>0.39</v>
      </c>
      <c r="L2815" s="6">
        <f ca="1">IFERROR(__xludf.DUMMYFUNCTION("IFERROR(GOOGLEFINANCE(B2815,""changepct""),K2815)"),0.78)</f>
        <v>0.78</v>
      </c>
      <c r="M2815" s="6">
        <f ca="1">IFERROR(__xludf.DUMMYFUNCTION("IFERROR(GOOGLEFINANCE(B2815,""change""),0)"),255)</f>
        <v>255</v>
      </c>
      <c r="N2815" s="6">
        <v>1</v>
      </c>
      <c r="O2815" s="7">
        <v>45536</v>
      </c>
      <c r="P2815" s="9"/>
      <c r="Q2815" s="6">
        <v>53158.1</v>
      </c>
      <c r="R2815" s="7">
        <v>45536</v>
      </c>
      <c r="S2815" s="6">
        <v>4747.91</v>
      </c>
      <c r="T2815" s="6">
        <v>621.04</v>
      </c>
      <c r="U2815" s="7">
        <v>45536</v>
      </c>
      <c r="V2815" s="6">
        <v>86.56</v>
      </c>
      <c r="W2815" s="6">
        <f ca="1">IFERROR(__xludf.DUMMYFUNCTION("IFERROR(GOOGLEFINANCE(B2815,""pe""),V2815)"),48.16)</f>
        <v>48.16</v>
      </c>
      <c r="X2815" s="6">
        <v>11.33</v>
      </c>
      <c r="Y2815" s="6">
        <v>36.08</v>
      </c>
      <c r="Z2815" s="6">
        <v>1</v>
      </c>
      <c r="AA2815" s="8">
        <v>45352</v>
      </c>
      <c r="AB2815" s="4">
        <v>0</v>
      </c>
      <c r="AC2815" s="6">
        <v>38.36</v>
      </c>
      <c r="AD2815" s="6">
        <v>49.84</v>
      </c>
      <c r="AE2815" s="1">
        <v>0</v>
      </c>
      <c r="AF2815" s="1">
        <f ca="1">IFERROR(__xludf.DUMMYFUNCTION("IFERROR(GOOGLEFINANCE(TRIM(F2815)&amp;"":"" &amp; TRIM(B2815),""high52""),AE2815)"),50590)</f>
        <v>50590</v>
      </c>
      <c r="AG2815" s="1">
        <v>0</v>
      </c>
      <c r="AH2815" s="1">
        <f ca="1">IFERROR(__xludf.DUMMYFUNCTION("IFERROR(GOOGLEFINANCE(TRIM(F2815)&amp;"":"" &amp; TRIM(B2815),""low52""),AE2815)"),31740)</f>
        <v>31740</v>
      </c>
      <c r="AI2815" s="1">
        <f ca="1">IFERROR(__xludf.DUMMYFUNCTION("IFERROR(GOOGLEFINANCE(B2815,""eps""),0)"),685.16)</f>
        <v>685.16</v>
      </c>
      <c r="AJ2815" s="1"/>
      <c r="AK2815" s="1" t="s">
        <v>8709</v>
      </c>
      <c r="AL2815" s="9">
        <f t="shared" si="277"/>
        <v>1</v>
      </c>
    </row>
    <row r="2816" spans="1:38" ht="15" x14ac:dyDescent="0.25">
      <c r="A2816" s="1" t="s">
        <v>8710</v>
      </c>
      <c r="B2816" s="1" t="s">
        <v>8711</v>
      </c>
      <c r="C2816" s="1" t="s">
        <v>208</v>
      </c>
      <c r="D2816" s="1" t="s">
        <v>208</v>
      </c>
      <c r="E2816" s="6">
        <v>4406.7</v>
      </c>
      <c r="F2816" s="1" t="s">
        <v>40</v>
      </c>
      <c r="G2816" s="6">
        <f ca="1">IFERROR(__xludf.DUMMYFUNCTION("iferror(GOOGLEFINANCE(TRIM(F2816)&amp;"":"" &amp; TRIM(B2816), ""price""),0
)"),33.59)</f>
        <v>33.590000000000003</v>
      </c>
      <c r="H2816" s="6">
        <v>49.31</v>
      </c>
      <c r="I2816" s="6">
        <f t="shared" ca="1" si="0"/>
        <v>33.590000000000003</v>
      </c>
      <c r="J2816" s="6">
        <f ca="1">IFERROR(__xludf.DUMMYFUNCTION("IFERROR(GOOGLEFINANCE(B2816, ""volume""), 0)"),3582018)</f>
        <v>3582018</v>
      </c>
      <c r="K2816" s="6">
        <v>0.51</v>
      </c>
      <c r="L2816" s="6">
        <f ca="1">IFERROR(__xludf.DUMMYFUNCTION("IFERROR(GOOGLEFINANCE(B2816,""changepct""),K2816)"),-1.93)</f>
        <v>-1.93</v>
      </c>
      <c r="M2816" s="6">
        <f ca="1">IFERROR(__xludf.DUMMYFUNCTION("IFERROR(GOOGLEFINANCE(B2816,""change""),0)"),-0.66)</f>
        <v>-0.66</v>
      </c>
      <c r="N2816" s="6">
        <v>2</v>
      </c>
      <c r="O2816" s="7">
        <v>45536</v>
      </c>
      <c r="P2816" s="6">
        <v>184.48</v>
      </c>
      <c r="Q2816" s="7">
        <v>45536</v>
      </c>
      <c r="R2816" s="6">
        <v>23.89</v>
      </c>
      <c r="S2816" s="6">
        <v>0.92</v>
      </c>
      <c r="T2816" s="6">
        <v>3.11</v>
      </c>
      <c r="U2816" s="6">
        <v>2</v>
      </c>
      <c r="V2816" s="7">
        <v>45352</v>
      </c>
      <c r="W2816" s="6">
        <f ca="1">IFERROR(__xludf.DUMMYFUNCTION("IFERROR(GOOGLEFINANCE(B2816,""pe""),V2816)"),14.56)</f>
        <v>14.56</v>
      </c>
      <c r="X2816" s="6">
        <v>2</v>
      </c>
      <c r="Y2816" s="6">
        <v>14.4</v>
      </c>
      <c r="Z2816" s="6">
        <v>14.09</v>
      </c>
      <c r="AA2816" s="3" t="s">
        <v>8712</v>
      </c>
      <c r="AB2816" s="11"/>
      <c r="AC2816" s="9"/>
      <c r="AD2816" s="9"/>
      <c r="AE2816" s="1">
        <v>0</v>
      </c>
      <c r="AF2816" s="1">
        <f ca="1">IFERROR(__xludf.DUMMYFUNCTION("IFERROR(GOOGLEFINANCE(TRIM(F2816)&amp;"":"" &amp; TRIM(B2816),""high52""),AE2816)"),46.45)</f>
        <v>46.45</v>
      </c>
      <c r="AG2816" s="1">
        <v>0</v>
      </c>
      <c r="AH2816" s="1">
        <f ca="1">IFERROR(__xludf.DUMMYFUNCTION("IFERROR(GOOGLEFINANCE(TRIM(F2816)&amp;"":"" &amp; TRIM(B2816),""low52""),AE2816)"),29.38)</f>
        <v>29.38</v>
      </c>
      <c r="AI2816" s="1">
        <f ca="1">IFERROR(__xludf.DUMMYFUNCTION("IFERROR(GOOGLEFINANCE(B2816,""eps""),0)"),2.31)</f>
        <v>2.31</v>
      </c>
      <c r="AJ2816" s="1"/>
      <c r="AK2816" s="1" t="s">
        <v>8713</v>
      </c>
      <c r="AL2816" s="9">
        <f t="shared" si="277"/>
        <v>1</v>
      </c>
    </row>
    <row r="2817" spans="1:38" ht="15" x14ac:dyDescent="0.25">
      <c r="A2817" s="1" t="s">
        <v>8714</v>
      </c>
      <c r="B2817" s="1" t="s">
        <v>8715</v>
      </c>
      <c r="C2817" s="1" t="s">
        <v>373</v>
      </c>
      <c r="D2817" s="1" t="s">
        <v>373</v>
      </c>
      <c r="E2817" s="6">
        <v>1465.83</v>
      </c>
      <c r="F2817" s="1" t="s">
        <v>40</v>
      </c>
      <c r="G2817" s="6">
        <f ca="1">IFERROR(__xludf.DUMMYFUNCTION("iferror(GOOGLEFINANCE(TRIM(F2817)&amp;"":"" &amp; TRIM(B2817), ""price""),0
)"),87.67)</f>
        <v>87.67</v>
      </c>
      <c r="H2817" s="6">
        <v>328.3</v>
      </c>
      <c r="I2817" s="6">
        <f t="shared" ca="1" si="0"/>
        <v>87.67</v>
      </c>
      <c r="J2817" s="6">
        <f ca="1">IFERROR(__xludf.DUMMYFUNCTION("IFERROR(GOOGLEFINANCE(B2817, ""volume""), 0)"),107081)</f>
        <v>107081</v>
      </c>
      <c r="K2817" s="6">
        <v>0.26</v>
      </c>
      <c r="L2817" s="6">
        <f ca="1">IFERROR(__xludf.DUMMYFUNCTION("IFERROR(GOOGLEFINANCE(B2817,""changepct""),K2817)"),-5.33)</f>
        <v>-5.33</v>
      </c>
      <c r="M2817" s="6">
        <f ca="1">IFERROR(__xludf.DUMMYFUNCTION("IFERROR(GOOGLEFINANCE(B2817,""change""),0)"),-4.94)</f>
        <v>-4.9400000000000004</v>
      </c>
      <c r="N2817" s="6">
        <v>2</v>
      </c>
      <c r="O2817" s="7">
        <v>45536</v>
      </c>
      <c r="P2817" s="6">
        <v>161.76</v>
      </c>
      <c r="Q2817" s="6">
        <v>1578.48</v>
      </c>
      <c r="R2817" s="7">
        <v>45536</v>
      </c>
      <c r="S2817" s="6">
        <v>401.79</v>
      </c>
      <c r="T2817" s="6">
        <v>43.41</v>
      </c>
      <c r="U2817" s="7">
        <v>45536</v>
      </c>
      <c r="V2817" s="6">
        <v>33.76</v>
      </c>
      <c r="W2817" s="6">
        <f ca="1">IFERROR(__xludf.DUMMYFUNCTION("IFERROR(GOOGLEFINANCE(B2817,""pe""),V2817)"),47.34)</f>
        <v>47.34</v>
      </c>
      <c r="X2817" s="12"/>
      <c r="Y2817" s="6">
        <v>3.44</v>
      </c>
      <c r="Z2817" s="6">
        <v>2</v>
      </c>
      <c r="AA2817" s="8">
        <v>45352</v>
      </c>
      <c r="AB2817" s="4">
        <v>0.73</v>
      </c>
      <c r="AC2817" s="6">
        <v>19.149999999999999</v>
      </c>
      <c r="AD2817" s="6">
        <v>20.53</v>
      </c>
      <c r="AE2817" s="1">
        <v>0</v>
      </c>
      <c r="AF2817" s="1">
        <f ca="1">IFERROR(__xludf.DUMMYFUNCTION("IFERROR(GOOGLEFINANCE(TRIM(F2817)&amp;"":"" &amp; TRIM(B2817),""high52""),AE2817)"),267.4)</f>
        <v>267.39999999999998</v>
      </c>
      <c r="AG2817" s="1">
        <v>0</v>
      </c>
      <c r="AH2817" s="1">
        <f ca="1">IFERROR(__xludf.DUMMYFUNCTION("IFERROR(GOOGLEFINANCE(TRIM(F2817)&amp;"":"" &amp; TRIM(B2817),""low52""),AE2817)"),85.17)</f>
        <v>85.17</v>
      </c>
      <c r="AI2817" s="1">
        <f ca="1">IFERROR(__xludf.DUMMYFUNCTION("IFERROR(GOOGLEFINANCE(B2817,""eps""),0)"),1.85)</f>
        <v>1.85</v>
      </c>
      <c r="AJ2817" s="1"/>
      <c r="AK2817" s="1" t="s">
        <v>8716</v>
      </c>
      <c r="AL2817" s="9">
        <f t="shared" si="277"/>
        <v>1</v>
      </c>
    </row>
    <row r="2818" spans="1:38" ht="15" x14ac:dyDescent="0.25">
      <c r="A2818" s="1" t="s">
        <v>8717</v>
      </c>
      <c r="B2818" s="1" t="s">
        <v>8718</v>
      </c>
      <c r="C2818" s="1" t="s">
        <v>259</v>
      </c>
      <c r="D2818" s="1" t="s">
        <v>259</v>
      </c>
      <c r="E2818" s="6">
        <v>2522.19</v>
      </c>
      <c r="F2818" s="1" t="s">
        <v>53</v>
      </c>
      <c r="G2818" s="6">
        <f ca="1">IFERROR(__xludf.DUMMYFUNCTION("iferror(GOOGLEFINANCE(TRIM(F2818)&amp;"":"" &amp; TRIM(B2818), ""price""),0
)"),0)</f>
        <v>0</v>
      </c>
      <c r="H2818" s="6">
        <v>1065.3499999999999</v>
      </c>
      <c r="I2818" s="6">
        <f t="shared" ca="1" si="0"/>
        <v>1065.3499999999999</v>
      </c>
      <c r="J2818" s="6">
        <f ca="1">IFERROR(__xludf.DUMMYFUNCTION("IFERROR(GOOGLEFINANCE(B2818, ""volume""), 0)"),0)</f>
        <v>0</v>
      </c>
      <c r="K2818" s="6">
        <v>5</v>
      </c>
      <c r="L2818" s="6">
        <f ca="1">IFERROR(__xludf.DUMMYFUNCTION("IFERROR(GOOGLEFINANCE(B2818,""changepct""),K2818)"),5)</f>
        <v>5</v>
      </c>
      <c r="M2818" s="6">
        <f ca="1">IFERROR(__xludf.DUMMYFUNCTION("IFERROR(GOOGLEFINANCE(B2818,""change""),0)"),0)</f>
        <v>0</v>
      </c>
      <c r="N2818" s="6">
        <v>1</v>
      </c>
      <c r="O2818" s="7">
        <v>45536</v>
      </c>
      <c r="P2818" s="6">
        <v>11.06</v>
      </c>
      <c r="Q2818" s="6">
        <v>2533.25</v>
      </c>
      <c r="R2818" s="14"/>
      <c r="S2818" s="9"/>
      <c r="T2818" s="9"/>
      <c r="U2818" s="7">
        <v>45352</v>
      </c>
      <c r="V2818" s="6">
        <v>99.14</v>
      </c>
      <c r="W2818" s="6">
        <f ca="1">IFERROR(__xludf.DUMMYFUNCTION("IFERROR(GOOGLEFINANCE(B2818,""pe""),V2818)"),99.14)</f>
        <v>99.14</v>
      </c>
      <c r="X2818" s="9"/>
      <c r="Y2818" s="6">
        <v>14.24</v>
      </c>
      <c r="Z2818" s="6">
        <v>1</v>
      </c>
      <c r="AA2818" s="8">
        <v>45352</v>
      </c>
      <c r="AB2818" s="4">
        <v>0.18</v>
      </c>
      <c r="AC2818" s="6">
        <v>28.82</v>
      </c>
      <c r="AD2818" s="6">
        <v>37.090000000000003</v>
      </c>
      <c r="AE2818" s="1">
        <v>0</v>
      </c>
      <c r="AF2818" s="1">
        <f ca="1">IFERROR(__xludf.DUMMYFUNCTION("IFERROR(GOOGLEFINANCE(TRIM(F2818)&amp;"":"" &amp; TRIM(B2818),""high52""),AE2818)"),0)</f>
        <v>0</v>
      </c>
      <c r="AG2818" s="1">
        <v>0</v>
      </c>
      <c r="AH2818" s="1">
        <f ca="1">IFERROR(__xludf.DUMMYFUNCTION("IFERROR(GOOGLEFINANCE(TRIM(F2818)&amp;"":"" &amp; TRIM(B2818),""low52""),AE2818)"),0)</f>
        <v>0</v>
      </c>
      <c r="AI2818" s="1">
        <f ca="1">IFERROR(__xludf.DUMMYFUNCTION("IFERROR(GOOGLEFINANCE(B2818,""eps""),0)"),0)</f>
        <v>0</v>
      </c>
      <c r="AJ2818" s="1"/>
      <c r="AK2818" s="1" t="s">
        <v>8719</v>
      </c>
      <c r="AL2818" s="9">
        <f t="shared" si="277"/>
        <v>1</v>
      </c>
    </row>
    <row r="2819" spans="1:38" ht="15" x14ac:dyDescent="0.25">
      <c r="A2819" s="1" t="s">
        <v>8720</v>
      </c>
      <c r="B2819" s="1" t="s">
        <v>8721</v>
      </c>
      <c r="C2819" s="1" t="s">
        <v>43</v>
      </c>
      <c r="D2819" s="1" t="s">
        <v>43</v>
      </c>
      <c r="E2819" s="6">
        <v>166.05</v>
      </c>
      <c r="F2819" s="1" t="s">
        <v>40</v>
      </c>
      <c r="G2819" s="6">
        <f ca="1">IFERROR(__xludf.DUMMYFUNCTION("iferror(GOOGLEFINANCE(TRIM(F2819)&amp;"":"" &amp; TRIM(B2819), ""price""),0
)"),97.08)</f>
        <v>97.08</v>
      </c>
      <c r="H2819" s="6">
        <v>167.97</v>
      </c>
      <c r="I2819" s="6">
        <f t="shared" ca="1" si="0"/>
        <v>97.08</v>
      </c>
      <c r="J2819" s="6">
        <f ca="1">IFERROR(__xludf.DUMMYFUNCTION("IFERROR(GOOGLEFINANCE(B2819, ""volume""), 0)"),1049)</f>
        <v>1049</v>
      </c>
      <c r="K2819" s="6">
        <v>0.9</v>
      </c>
      <c r="L2819" s="6">
        <f ca="1">IFERROR(__xludf.DUMMYFUNCTION("IFERROR(GOOGLEFINANCE(B2819,""changepct""),K2819)"),-0.35)</f>
        <v>-0.35</v>
      </c>
      <c r="M2819" s="6">
        <f ca="1">IFERROR(__xludf.DUMMYFUNCTION("IFERROR(GOOGLEFINANCE(B2819,""change""),0)"),-0.34)</f>
        <v>-0.34</v>
      </c>
      <c r="N2819" s="6">
        <v>2</v>
      </c>
      <c r="O2819" s="7">
        <v>45536</v>
      </c>
      <c r="P2819" s="6">
        <v>-14.49</v>
      </c>
      <c r="Q2819" s="7">
        <v>45536</v>
      </c>
      <c r="R2819" s="6">
        <v>0</v>
      </c>
      <c r="S2819" s="9"/>
      <c r="T2819" s="6">
        <v>0.28000000000000003</v>
      </c>
      <c r="U2819" s="6">
        <v>2</v>
      </c>
      <c r="V2819" s="7">
        <v>45352</v>
      </c>
      <c r="W2819" s="10">
        <f ca="1">IFERROR(__xludf.DUMMYFUNCTION("IFERROR(GOOGLEFINANCE(B2819,""pe""),V2819)"),45352)</f>
        <v>45352</v>
      </c>
      <c r="X2819" s="6">
        <v>7.0000000000000007E-2</v>
      </c>
      <c r="Y2819" s="6">
        <v>-3.88</v>
      </c>
      <c r="Z2819" s="6">
        <v>-2.72</v>
      </c>
      <c r="AA2819" s="3" t="s">
        <v>8722</v>
      </c>
      <c r="AB2819" s="3"/>
      <c r="AC2819" s="9"/>
      <c r="AD2819" s="9"/>
      <c r="AE2819" s="1">
        <v>0</v>
      </c>
      <c r="AF2819" s="1">
        <f ca="1">IFERROR(__xludf.DUMMYFUNCTION("IFERROR(GOOGLEFINANCE(TRIM(F2819)&amp;"":"" &amp; TRIM(B2819),""high52""),AE2819)"),151)</f>
        <v>151</v>
      </c>
      <c r="AG2819" s="1">
        <v>0</v>
      </c>
      <c r="AH2819" s="1">
        <f ca="1">IFERROR(__xludf.DUMMYFUNCTION("IFERROR(GOOGLEFINANCE(TRIM(F2819)&amp;"":"" &amp; TRIM(B2819),""low52""),AE2819)"),94.26)</f>
        <v>94.26</v>
      </c>
      <c r="AI2819" s="1">
        <f ca="1">IFERROR(__xludf.DUMMYFUNCTION("IFERROR(GOOGLEFINANCE(B2819,""eps""),0)"),-11.01)</f>
        <v>-11.01</v>
      </c>
      <c r="AJ2819" s="1"/>
      <c r="AK2819" s="1" t="s">
        <v>8723</v>
      </c>
      <c r="AL2819" s="9">
        <f t="shared" si="277"/>
        <v>1</v>
      </c>
    </row>
    <row r="2820" spans="1:38" ht="15" x14ac:dyDescent="0.25">
      <c r="A2820" s="1" t="s">
        <v>8724</v>
      </c>
      <c r="B2820" s="1" t="s">
        <v>8725</v>
      </c>
      <c r="C2820" s="1" t="s">
        <v>57</v>
      </c>
      <c r="D2820" s="1" t="s">
        <v>57</v>
      </c>
      <c r="E2820" s="6">
        <v>98.47</v>
      </c>
      <c r="F2820" s="1" t="s">
        <v>40</v>
      </c>
      <c r="G2820" s="6">
        <f ca="1">IFERROR(__xludf.DUMMYFUNCTION("iferror(GOOGLEFINANCE(TRIM(F2820)&amp;"":"" &amp; TRIM(B2820), ""price""),0
)"),35.06)</f>
        <v>35.06</v>
      </c>
      <c r="H2820" s="6">
        <v>80.55</v>
      </c>
      <c r="I2820" s="6">
        <f t="shared" ca="1" si="0"/>
        <v>35.06</v>
      </c>
      <c r="J2820" s="6">
        <f ca="1">IFERROR(__xludf.DUMMYFUNCTION("IFERROR(GOOGLEFINANCE(B2820, ""volume""), 0)"),3263)</f>
        <v>3263</v>
      </c>
      <c r="K2820" s="6">
        <v>0.64</v>
      </c>
      <c r="L2820" s="6">
        <f ca="1">IFERROR(__xludf.DUMMYFUNCTION("IFERROR(GOOGLEFINANCE(B2820,""changepct""),K2820)"),-3.95)</f>
        <v>-3.95</v>
      </c>
      <c r="M2820" s="6">
        <f ca="1">IFERROR(__xludf.DUMMYFUNCTION("IFERROR(GOOGLEFINANCE(B2820,""change""),0)"),-1.44)</f>
        <v>-1.44</v>
      </c>
      <c r="N2820" s="6">
        <v>2</v>
      </c>
      <c r="O2820" s="7">
        <v>45536</v>
      </c>
      <c r="P2820" s="6">
        <v>66.89</v>
      </c>
      <c r="Q2820" s="6">
        <v>111.27</v>
      </c>
      <c r="R2820" s="7">
        <v>45536</v>
      </c>
      <c r="S2820" s="6">
        <v>89.1</v>
      </c>
      <c r="T2820" s="6">
        <v>-7.49</v>
      </c>
      <c r="U2820" s="7">
        <v>45536</v>
      </c>
      <c r="V2820" s="6">
        <v>0</v>
      </c>
      <c r="W2820" s="6">
        <f ca="1">IFERROR(__xludf.DUMMYFUNCTION("IFERROR(GOOGLEFINANCE(B2820,""pe""),V2820)"),0)</f>
        <v>0</v>
      </c>
      <c r="X2820" s="6">
        <v>0</v>
      </c>
      <c r="Y2820" s="6">
        <v>1.82</v>
      </c>
      <c r="Z2820" s="6">
        <v>2</v>
      </c>
      <c r="AA2820" s="8">
        <v>45352</v>
      </c>
      <c r="AB2820" s="4">
        <v>1.1299999999999999</v>
      </c>
      <c r="AC2820" s="6">
        <v>-8.7799999999999994</v>
      </c>
      <c r="AD2820" s="6">
        <v>1.35</v>
      </c>
      <c r="AE2820" s="1">
        <v>0</v>
      </c>
      <c r="AF2820" s="1">
        <f ca="1">IFERROR(__xludf.DUMMYFUNCTION("IFERROR(GOOGLEFINANCE(TRIM(F2820)&amp;"":"" &amp; TRIM(B2820),""high52""),AE2820)"),73.6)</f>
        <v>73.599999999999994</v>
      </c>
      <c r="AG2820" s="1">
        <v>0</v>
      </c>
      <c r="AH2820" s="1">
        <f ca="1">IFERROR(__xludf.DUMMYFUNCTION("IFERROR(GOOGLEFINANCE(TRIM(F2820)&amp;"":"" &amp; TRIM(B2820),""low52""),AE2820)"),32.56)</f>
        <v>32.56</v>
      </c>
      <c r="AI2820" s="1">
        <f ca="1">IFERROR(__xludf.DUMMYFUNCTION("IFERROR(GOOGLEFINANCE(B2820,""eps""),0)"),-7.32)</f>
        <v>-7.32</v>
      </c>
      <c r="AJ2820" s="1"/>
      <c r="AK2820" s="1" t="s">
        <v>8726</v>
      </c>
      <c r="AL2820" s="9">
        <f t="shared" si="277"/>
        <v>1</v>
      </c>
    </row>
    <row r="2821" spans="1:38" ht="15" x14ac:dyDescent="0.25">
      <c r="A2821" s="1" t="s">
        <v>8727</v>
      </c>
      <c r="B2821" s="1" t="s">
        <v>8728</v>
      </c>
      <c r="C2821" s="1" t="s">
        <v>106</v>
      </c>
      <c r="D2821" s="1" t="s">
        <v>106</v>
      </c>
      <c r="E2821" s="6">
        <v>2630.11</v>
      </c>
      <c r="F2821" s="1" t="s">
        <v>40</v>
      </c>
      <c r="G2821" s="6">
        <f ca="1">IFERROR(__xludf.DUMMYFUNCTION("iferror(GOOGLEFINANCE(TRIM(F2821)&amp;"":"" &amp; TRIM(B2821), ""price""),0
)"),368.15)</f>
        <v>368.15</v>
      </c>
      <c r="H2821" s="6">
        <v>427.3</v>
      </c>
      <c r="I2821" s="6">
        <f t="shared" ca="1" si="0"/>
        <v>368.15</v>
      </c>
      <c r="J2821" s="6">
        <f ca="1">IFERROR(__xludf.DUMMYFUNCTION("IFERROR(GOOGLEFINANCE(B2821, ""volume""), 0)"),101518)</f>
        <v>101518</v>
      </c>
      <c r="K2821" s="6">
        <v>-0.28000000000000003</v>
      </c>
      <c r="L2821" s="6">
        <f ca="1">IFERROR(__xludf.DUMMYFUNCTION("IFERROR(GOOGLEFINANCE(B2821,""changepct""),K2821)"),0.33)</f>
        <v>0.33</v>
      </c>
      <c r="M2821" s="6">
        <f ca="1">IFERROR(__xludf.DUMMYFUNCTION("IFERROR(GOOGLEFINANCE(B2821,""change""),0)"),1.2)</f>
        <v>1.2</v>
      </c>
      <c r="N2821" s="6">
        <v>2</v>
      </c>
      <c r="O2821" s="7">
        <v>45536</v>
      </c>
      <c r="P2821" s="6">
        <v>21.57</v>
      </c>
      <c r="Q2821" s="6">
        <v>2511.25</v>
      </c>
      <c r="R2821" s="7">
        <v>45536</v>
      </c>
      <c r="S2821" s="6">
        <v>550.03</v>
      </c>
      <c r="T2821" s="6">
        <v>-15.36</v>
      </c>
      <c r="U2821" s="7">
        <v>45536</v>
      </c>
      <c r="V2821" s="6">
        <v>0</v>
      </c>
      <c r="W2821" s="6">
        <f ca="1">IFERROR(__xludf.DUMMYFUNCTION("IFERROR(GOOGLEFINANCE(B2821,""pe""),V2821)"),0)</f>
        <v>0</v>
      </c>
      <c r="X2821" s="6">
        <v>0</v>
      </c>
      <c r="Y2821" s="6">
        <v>3.16</v>
      </c>
      <c r="Z2821" s="6">
        <v>2</v>
      </c>
      <c r="AA2821" s="8">
        <v>45352</v>
      </c>
      <c r="AB2821" s="4">
        <v>0.02</v>
      </c>
      <c r="AC2821" s="6">
        <v>-0.18</v>
      </c>
      <c r="AD2821" s="6">
        <v>0.59</v>
      </c>
      <c r="AE2821" s="1">
        <v>0</v>
      </c>
      <c r="AF2821" s="1">
        <f ca="1">IFERROR(__xludf.DUMMYFUNCTION("IFERROR(GOOGLEFINANCE(TRIM(F2821)&amp;"":"" &amp; TRIM(B2821),""high52""),AE2821)"),581.9)</f>
        <v>581.9</v>
      </c>
      <c r="AG2821" s="1">
        <v>0</v>
      </c>
      <c r="AH2821" s="1">
        <f ca="1">IFERROR(__xludf.DUMMYFUNCTION("IFERROR(GOOGLEFINANCE(TRIM(F2821)&amp;"":"" &amp; TRIM(B2821),""low52""),AE2821)"),281.1)</f>
        <v>281.10000000000002</v>
      </c>
      <c r="AI2821" s="1">
        <f ca="1">IFERROR(__xludf.DUMMYFUNCTION("IFERROR(GOOGLEFINANCE(B2821,""eps""),0)"),-1.18)</f>
        <v>-1.18</v>
      </c>
      <c r="AJ2821" s="1"/>
      <c r="AK2821" s="9"/>
      <c r="AL2821" s="9">
        <f t="shared" si="277"/>
        <v>1</v>
      </c>
    </row>
    <row r="2822" spans="1:38" ht="15" x14ac:dyDescent="0.25">
      <c r="A2822" s="1" t="s">
        <v>8729</v>
      </c>
      <c r="B2822" s="1" t="s">
        <v>8730</v>
      </c>
      <c r="C2822" s="1" t="s">
        <v>259</v>
      </c>
      <c r="D2822" s="1" t="s">
        <v>259</v>
      </c>
      <c r="E2822" s="6">
        <v>24.01</v>
      </c>
      <c r="F2822" s="1" t="s">
        <v>53</v>
      </c>
      <c r="G2822" s="6">
        <f ca="1">IFERROR(__xludf.DUMMYFUNCTION("iferror(GOOGLEFINANCE(TRIM(F2822)&amp;"":"" &amp; TRIM(B2822), ""price""),0
)"),0)</f>
        <v>0</v>
      </c>
      <c r="H2822" s="6">
        <v>63</v>
      </c>
      <c r="I2822" s="6">
        <f t="shared" ca="1" si="0"/>
        <v>63</v>
      </c>
      <c r="J2822" s="6">
        <f ca="1">IFERROR(__xludf.DUMMYFUNCTION("IFERROR(GOOGLEFINANCE(B2822, ""volume""), 0)"),0)</f>
        <v>0</v>
      </c>
      <c r="K2822" s="9"/>
      <c r="L2822" s="6" t="str">
        <f ca="1">IFERROR(__xludf.DUMMYFUNCTION("IFERROR(GOOGLEFINANCE(B2822,""changepct""),K2822)"),"")</f>
        <v/>
      </c>
      <c r="M2822" s="6">
        <f ca="1">IFERROR(__xludf.DUMMYFUNCTION("IFERROR(GOOGLEFINANCE(B2822,""change""),0)"),0)</f>
        <v>0</v>
      </c>
      <c r="N2822" s="6">
        <v>1</v>
      </c>
      <c r="O2822" s="7">
        <v>45536</v>
      </c>
      <c r="P2822" s="6">
        <v>0.78</v>
      </c>
      <c r="Q2822" s="6">
        <v>24.79</v>
      </c>
      <c r="R2822" s="14"/>
      <c r="S2822" s="9"/>
      <c r="T2822" s="9"/>
      <c r="U2822" s="7">
        <v>45352</v>
      </c>
      <c r="V2822" s="6">
        <v>13.4</v>
      </c>
      <c r="W2822" s="6">
        <f ca="1">IFERROR(__xludf.DUMMYFUNCTION("IFERROR(GOOGLEFINANCE(B2822,""pe""),V2822)"),13.4)</f>
        <v>13.4</v>
      </c>
      <c r="X2822" s="9"/>
      <c r="Y2822" s="6">
        <v>1.82</v>
      </c>
      <c r="Z2822" s="6">
        <v>1</v>
      </c>
      <c r="AA2822" s="8">
        <v>45352</v>
      </c>
      <c r="AB2822" s="4">
        <v>0.43</v>
      </c>
      <c r="AC2822" s="6">
        <v>46.42</v>
      </c>
      <c r="AD2822" s="6">
        <v>44.79</v>
      </c>
      <c r="AE2822" s="1">
        <v>0</v>
      </c>
      <c r="AF2822" s="1">
        <f ca="1">IFERROR(__xludf.DUMMYFUNCTION("IFERROR(GOOGLEFINANCE(TRIM(F2822)&amp;"":"" &amp; TRIM(B2822),""high52""),AE2822)"),0)</f>
        <v>0</v>
      </c>
      <c r="AG2822" s="1">
        <v>0</v>
      </c>
      <c r="AH2822" s="1">
        <f ca="1">IFERROR(__xludf.DUMMYFUNCTION("IFERROR(GOOGLEFINANCE(TRIM(F2822)&amp;"":"" &amp; TRIM(B2822),""low52""),AE2822)"),0)</f>
        <v>0</v>
      </c>
      <c r="AI2822" s="1">
        <f ca="1">IFERROR(__xludf.DUMMYFUNCTION("IFERROR(GOOGLEFINANCE(B2822,""eps""),0)"),0)</f>
        <v>0</v>
      </c>
      <c r="AJ2822" s="1"/>
      <c r="AK2822" s="1" t="s">
        <v>8731</v>
      </c>
      <c r="AL2822" s="9">
        <f t="shared" si="277"/>
        <v>1</v>
      </c>
    </row>
    <row r="2823" spans="1:38" ht="15" x14ac:dyDescent="0.25">
      <c r="A2823" s="1" t="s">
        <v>8732</v>
      </c>
      <c r="B2823" s="1" t="s">
        <v>8733</v>
      </c>
      <c r="C2823" s="1" t="s">
        <v>2185</v>
      </c>
      <c r="D2823" s="1" t="s">
        <v>2185</v>
      </c>
      <c r="E2823" s="6">
        <v>415.5</v>
      </c>
      <c r="F2823" s="1" t="s">
        <v>40</v>
      </c>
      <c r="G2823" s="6">
        <f ca="1">IFERROR(__xludf.DUMMYFUNCTION("iferror(GOOGLEFINANCE(TRIM(F2823)&amp;"":"" &amp; TRIM(B2823), ""price""),0
)"),309)</f>
        <v>309</v>
      </c>
      <c r="H2823" s="6">
        <v>272.85000000000002</v>
      </c>
      <c r="I2823" s="6">
        <f t="shared" ca="1" si="0"/>
        <v>309</v>
      </c>
      <c r="J2823" s="6">
        <f ca="1">IFERROR(__xludf.DUMMYFUNCTION("IFERROR(GOOGLEFINANCE(B2823, ""volume""), 0)"),3852)</f>
        <v>3852</v>
      </c>
      <c r="K2823" s="6">
        <v>0</v>
      </c>
      <c r="L2823" s="6">
        <f ca="1">IFERROR(__xludf.DUMMYFUNCTION("IFERROR(GOOGLEFINANCE(B2823,""changepct""),K2823)"),4.99)</f>
        <v>4.99</v>
      </c>
      <c r="M2823" s="6">
        <f ca="1">IFERROR(__xludf.DUMMYFUNCTION("IFERROR(GOOGLEFINANCE(B2823,""change""),0)"),14.7)</f>
        <v>14.7</v>
      </c>
      <c r="N2823" s="6">
        <v>2</v>
      </c>
      <c r="O2823" s="7">
        <v>45536</v>
      </c>
      <c r="P2823" s="6">
        <v>12.85</v>
      </c>
      <c r="Q2823" s="6">
        <v>422.23</v>
      </c>
      <c r="R2823" s="7">
        <v>45536</v>
      </c>
      <c r="S2823" s="6">
        <v>105.22</v>
      </c>
      <c r="T2823" s="6">
        <v>0.99</v>
      </c>
      <c r="U2823" s="7">
        <v>45536</v>
      </c>
      <c r="V2823" s="6">
        <v>138.82</v>
      </c>
      <c r="W2823" s="6">
        <f ca="1">IFERROR(__xludf.DUMMYFUNCTION("IFERROR(GOOGLEFINANCE(B2823,""pe""),V2823)"),70.88)</f>
        <v>70.88</v>
      </c>
      <c r="X2823" s="6">
        <v>14.52</v>
      </c>
      <c r="Y2823" s="6">
        <v>11.36</v>
      </c>
      <c r="Z2823" s="6">
        <v>2</v>
      </c>
      <c r="AA2823" s="8">
        <v>45352</v>
      </c>
      <c r="AB2823" s="4">
        <v>1</v>
      </c>
      <c r="AC2823" s="6">
        <v>-1.85</v>
      </c>
      <c r="AD2823" s="6">
        <v>6.26</v>
      </c>
      <c r="AE2823" s="1">
        <v>0</v>
      </c>
      <c r="AF2823" s="1">
        <f ca="1">IFERROR(__xludf.DUMMYFUNCTION("IFERROR(GOOGLEFINANCE(TRIM(F2823)&amp;"":"" &amp; TRIM(B2823),""high52""),AE2823)"),472.15)</f>
        <v>472.15</v>
      </c>
      <c r="AG2823" s="1">
        <v>0</v>
      </c>
      <c r="AH2823" s="1">
        <f ca="1">IFERROR(__xludf.DUMMYFUNCTION("IFERROR(GOOGLEFINANCE(TRIM(F2823)&amp;"":"" &amp; TRIM(B2823),""low52""),AE2823)"),171.85)</f>
        <v>171.85</v>
      </c>
      <c r="AI2823" s="1">
        <f ca="1">IFERROR(__xludf.DUMMYFUNCTION("IFERROR(GOOGLEFINANCE(B2823,""eps""),0)"),4.36)</f>
        <v>4.3600000000000003</v>
      </c>
      <c r="AJ2823" s="1"/>
      <c r="AK2823" s="9"/>
      <c r="AL2823" s="9">
        <f t="shared" si="277"/>
        <v>1</v>
      </c>
    </row>
    <row r="2824" spans="1:38" ht="15" x14ac:dyDescent="0.25">
      <c r="A2824" s="1" t="s">
        <v>8734</v>
      </c>
      <c r="B2824" s="1" t="s">
        <v>8735</v>
      </c>
      <c r="C2824" s="1" t="s">
        <v>843</v>
      </c>
      <c r="D2824" s="1" t="s">
        <v>843</v>
      </c>
      <c r="E2824" s="6">
        <v>2246.13</v>
      </c>
      <c r="F2824" s="1" t="s">
        <v>40</v>
      </c>
      <c r="G2824" s="6">
        <f ca="1">IFERROR(__xludf.DUMMYFUNCTION("iferror(GOOGLEFINANCE(TRIM(F2824)&amp;"":"" &amp; TRIM(B2824), ""price""),0
)"),293.65)</f>
        <v>293.64999999999998</v>
      </c>
      <c r="H2824" s="6">
        <v>372.8</v>
      </c>
      <c r="I2824" s="6">
        <f t="shared" ca="1" si="0"/>
        <v>293.64999999999998</v>
      </c>
      <c r="J2824" s="6">
        <f ca="1">IFERROR(__xludf.DUMMYFUNCTION("IFERROR(GOOGLEFINANCE(B2824, ""volume""), 0)"),22066)</f>
        <v>22066</v>
      </c>
      <c r="K2824" s="6">
        <v>0.66</v>
      </c>
      <c r="L2824" s="6">
        <f ca="1">IFERROR(__xludf.DUMMYFUNCTION("IFERROR(GOOGLEFINANCE(B2824,""changepct""),K2824)"),-0.46)</f>
        <v>-0.46</v>
      </c>
      <c r="M2824" s="6">
        <f ca="1">IFERROR(__xludf.DUMMYFUNCTION("IFERROR(GOOGLEFINANCE(B2824,""change""),0)"),-1.35)</f>
        <v>-1.35</v>
      </c>
      <c r="N2824" s="6">
        <v>2</v>
      </c>
      <c r="O2824" s="7">
        <v>45536</v>
      </c>
      <c r="P2824" s="9"/>
      <c r="Q2824" s="6">
        <v>2157.69</v>
      </c>
      <c r="R2824" s="7">
        <v>45536</v>
      </c>
      <c r="S2824" s="6">
        <v>2622.49</v>
      </c>
      <c r="T2824" s="6">
        <v>196.6</v>
      </c>
      <c r="U2824" s="7">
        <v>45536</v>
      </c>
      <c r="V2824" s="6">
        <v>11.42</v>
      </c>
      <c r="W2824" s="6">
        <f ca="1">IFERROR(__xludf.DUMMYFUNCTION("IFERROR(GOOGLEFINANCE(B2824,""pe""),V2824)"),9.43)</f>
        <v>9.43</v>
      </c>
      <c r="X2824" s="6">
        <v>0.38</v>
      </c>
      <c r="Y2824" s="6">
        <v>1.91</v>
      </c>
      <c r="Z2824" s="6">
        <v>2</v>
      </c>
      <c r="AA2824" s="8">
        <v>45352</v>
      </c>
      <c r="AB2824" s="4">
        <v>0.02</v>
      </c>
      <c r="AC2824" s="6">
        <v>18.989999999999998</v>
      </c>
      <c r="AD2824" s="6">
        <v>24.87</v>
      </c>
      <c r="AE2824" s="1">
        <v>0</v>
      </c>
      <c r="AF2824" s="1">
        <f ca="1">IFERROR(__xludf.DUMMYFUNCTION("IFERROR(GOOGLEFINANCE(TRIM(F2824)&amp;"":"" &amp; TRIM(B2824),""high52""),AE2824)"),403.9)</f>
        <v>403.9</v>
      </c>
      <c r="AG2824" s="1">
        <v>0</v>
      </c>
      <c r="AH2824" s="1">
        <f ca="1">IFERROR(__xludf.DUMMYFUNCTION("IFERROR(GOOGLEFINANCE(TRIM(F2824)&amp;"":"" &amp; TRIM(B2824),""low52""),AE2824)"),265.55)</f>
        <v>265.55</v>
      </c>
      <c r="AI2824" s="1">
        <f ca="1">IFERROR(__xludf.DUMMYFUNCTION("IFERROR(GOOGLEFINANCE(B2824,""eps""),0)"),31.14)</f>
        <v>31.14</v>
      </c>
      <c r="AJ2824" s="1"/>
      <c r="AK2824" s="1" t="s">
        <v>8736</v>
      </c>
      <c r="AL2824" s="9">
        <f t="shared" si="277"/>
        <v>1</v>
      </c>
    </row>
    <row r="2825" spans="1:38" ht="15" x14ac:dyDescent="0.25">
      <c r="A2825" s="1" t="s">
        <v>8737</v>
      </c>
      <c r="B2825" s="1" t="s">
        <v>8738</v>
      </c>
      <c r="C2825" s="1" t="s">
        <v>487</v>
      </c>
      <c r="D2825" s="1" t="s">
        <v>487</v>
      </c>
      <c r="E2825" s="6">
        <v>338.5</v>
      </c>
      <c r="F2825" s="1" t="s">
        <v>40</v>
      </c>
      <c r="G2825" s="6">
        <f ca="1">IFERROR(__xludf.DUMMYFUNCTION("iferror(GOOGLEFINANCE(TRIM(F2825)&amp;"":"" &amp; TRIM(B2825), ""price""),0
)"),289)</f>
        <v>289</v>
      </c>
      <c r="H2825" s="6">
        <v>198.4</v>
      </c>
      <c r="I2825" s="6">
        <f t="shared" ca="1" si="0"/>
        <v>289</v>
      </c>
      <c r="J2825" s="6">
        <f ca="1">IFERROR(__xludf.DUMMYFUNCTION("IFERROR(GOOGLEFINANCE(B2825, ""volume""), 0)"),26)</f>
        <v>26</v>
      </c>
      <c r="K2825" s="6">
        <v>2.2599999999999998</v>
      </c>
      <c r="L2825" s="6">
        <f ca="1">IFERROR(__xludf.DUMMYFUNCTION("IFERROR(GOOGLEFINANCE(B2825,""changepct""),K2825)"),3.03)</f>
        <v>3.03</v>
      </c>
      <c r="M2825" s="6">
        <f ca="1">IFERROR(__xludf.DUMMYFUNCTION("IFERROR(GOOGLEFINANCE(B2825,""change""),0)"),8.5)</f>
        <v>8.5</v>
      </c>
      <c r="N2825" s="6">
        <v>2</v>
      </c>
      <c r="O2825" s="7">
        <v>45536</v>
      </c>
      <c r="P2825" s="6">
        <v>60.14</v>
      </c>
      <c r="Q2825" s="6">
        <v>398.64</v>
      </c>
      <c r="R2825" s="7">
        <v>45536</v>
      </c>
      <c r="S2825" s="6">
        <v>59.54</v>
      </c>
      <c r="T2825" s="6">
        <v>5.41</v>
      </c>
      <c r="U2825" s="7">
        <v>45536</v>
      </c>
      <c r="V2825" s="6">
        <v>62.5</v>
      </c>
      <c r="W2825" s="6">
        <f ca="1">IFERROR(__xludf.DUMMYFUNCTION("IFERROR(GOOGLEFINANCE(B2825,""pe""),V2825)"),38.66)</f>
        <v>38.659999999999997</v>
      </c>
      <c r="X2825" s="6">
        <v>2.87</v>
      </c>
      <c r="Y2825" s="6">
        <v>2.63</v>
      </c>
      <c r="Z2825" s="6">
        <v>2</v>
      </c>
      <c r="AA2825" s="8">
        <v>45352</v>
      </c>
      <c r="AB2825" s="4">
        <v>0.68</v>
      </c>
      <c r="AC2825" s="6">
        <v>4.2</v>
      </c>
      <c r="AD2825" s="6">
        <v>5.09</v>
      </c>
      <c r="AE2825" s="1">
        <v>0</v>
      </c>
      <c r="AF2825" s="1">
        <f ca="1">IFERROR(__xludf.DUMMYFUNCTION("IFERROR(GOOGLEFINANCE(TRIM(F2825)&amp;"":"" &amp; TRIM(B2825),""high52""),AE2825)"),352.3)</f>
        <v>352.3</v>
      </c>
      <c r="AG2825" s="1">
        <v>0</v>
      </c>
      <c r="AH2825" s="1">
        <f ca="1">IFERROR(__xludf.DUMMYFUNCTION("IFERROR(GOOGLEFINANCE(TRIM(F2825)&amp;"":"" &amp; TRIM(B2825),""low52""),AE2825)"),142.05)</f>
        <v>142.05000000000001</v>
      </c>
      <c r="AI2825" s="1">
        <f ca="1">IFERROR(__xludf.DUMMYFUNCTION("IFERROR(GOOGLEFINANCE(B2825,""eps""),0)"),7.48)</f>
        <v>7.48</v>
      </c>
      <c r="AJ2825" s="1"/>
      <c r="AK2825" s="1" t="s">
        <v>8739</v>
      </c>
      <c r="AL2825" s="9">
        <f t="shared" si="277"/>
        <v>1</v>
      </c>
    </row>
    <row r="2826" spans="1:38" ht="15" x14ac:dyDescent="0.25">
      <c r="A2826" s="1" t="s">
        <v>8740</v>
      </c>
      <c r="B2826" s="1" t="s">
        <v>8741</v>
      </c>
      <c r="C2826" s="1" t="s">
        <v>135</v>
      </c>
      <c r="D2826" s="1" t="s">
        <v>135</v>
      </c>
      <c r="E2826" s="6">
        <v>268.23</v>
      </c>
      <c r="F2826" s="1" t="s">
        <v>40</v>
      </c>
      <c r="G2826" s="6">
        <f ca="1">IFERROR(__xludf.DUMMYFUNCTION("iferror(GOOGLEFINANCE(TRIM(F2826)&amp;"":"" &amp; TRIM(B2826), ""price""),0
)"),89.6)</f>
        <v>89.6</v>
      </c>
      <c r="H2826" s="6">
        <v>216.58</v>
      </c>
      <c r="I2826" s="6">
        <f t="shared" ca="1" si="0"/>
        <v>89.6</v>
      </c>
      <c r="J2826" s="6">
        <f ca="1">IFERROR(__xludf.DUMMYFUNCTION("IFERROR(GOOGLEFINANCE(B2826, ""volume""), 0)"),130)</f>
        <v>130</v>
      </c>
      <c r="K2826" s="6">
        <v>-0.65</v>
      </c>
      <c r="L2826" s="6">
        <f ca="1">IFERROR(__xludf.DUMMYFUNCTION("IFERROR(GOOGLEFINANCE(B2826,""changepct""),K2826)"),-4.78)</f>
        <v>-4.78</v>
      </c>
      <c r="M2826" s="6">
        <f ca="1">IFERROR(__xludf.DUMMYFUNCTION("IFERROR(GOOGLEFINANCE(B2826,""change""),0)"),-1.32)</f>
        <v>-1.32</v>
      </c>
      <c r="N2826" s="6">
        <v>1</v>
      </c>
      <c r="O2826" s="7">
        <v>45536</v>
      </c>
      <c r="P2826" s="9"/>
      <c r="Q2826" s="6">
        <v>268.23</v>
      </c>
      <c r="R2826" s="15">
        <v>45536</v>
      </c>
      <c r="S2826" s="6">
        <v>104.08</v>
      </c>
      <c r="T2826" s="6">
        <v>18.27</v>
      </c>
      <c r="U2826" s="15">
        <v>45536</v>
      </c>
      <c r="V2826" s="6">
        <v>14.68</v>
      </c>
      <c r="W2826" s="6">
        <f ca="1">IFERROR(__xludf.DUMMYFUNCTION("IFERROR(GOOGLEFINANCE(B2826,""pe""),V2826)"),14.68)</f>
        <v>14.68</v>
      </c>
      <c r="X2826" s="6">
        <v>0.35</v>
      </c>
      <c r="Y2826" s="6">
        <v>2.77</v>
      </c>
      <c r="Z2826" s="6">
        <v>1</v>
      </c>
      <c r="AA2826" s="8">
        <v>45352</v>
      </c>
      <c r="AB2826" s="4">
        <v>0</v>
      </c>
      <c r="AC2826" s="6">
        <v>18.489999999999998</v>
      </c>
      <c r="AD2826" s="6">
        <v>25.02</v>
      </c>
      <c r="AE2826" s="1">
        <v>0</v>
      </c>
      <c r="AF2826" s="1">
        <f ca="1">IFERROR(__xludf.DUMMYFUNCTION("IFERROR(GOOGLEFINANCE(TRIM(F2826)&amp;"":"" &amp; TRIM(B2826),""high52""),AE2826)"),203.25)</f>
        <v>203.25</v>
      </c>
      <c r="AG2826" s="1">
        <v>0</v>
      </c>
      <c r="AH2826" s="1">
        <f ca="1">IFERROR(__xludf.DUMMYFUNCTION("IFERROR(GOOGLEFINANCE(TRIM(F2826)&amp;"":"" &amp; TRIM(B2826),""low52""),AE2826)"),81.01)</f>
        <v>81.010000000000005</v>
      </c>
      <c r="AI2826" s="1">
        <f ca="1">IFERROR(__xludf.DUMMYFUNCTION("IFERROR(GOOGLEFINANCE(B2826,""eps""),0)"),-2.18)</f>
        <v>-2.1800000000000002</v>
      </c>
      <c r="AJ2826" s="1"/>
      <c r="AK2826" s="1" t="s">
        <v>8742</v>
      </c>
      <c r="AL2826" s="9">
        <f t="shared" si="277"/>
        <v>1</v>
      </c>
    </row>
    <row r="2827" spans="1:38" ht="15" x14ac:dyDescent="0.25">
      <c r="A2827" s="1" t="s">
        <v>8743</v>
      </c>
      <c r="B2827" s="1" t="s">
        <v>8744</v>
      </c>
      <c r="C2827" s="1" t="s">
        <v>502</v>
      </c>
      <c r="D2827" s="1" t="s">
        <v>502</v>
      </c>
      <c r="E2827" s="6">
        <v>9321.93</v>
      </c>
      <c r="F2827" s="1" t="s">
        <v>40</v>
      </c>
      <c r="G2827" s="6">
        <f ca="1">IFERROR(__xludf.DUMMYFUNCTION("iferror(GOOGLEFINANCE(TRIM(F2827)&amp;"":"" &amp; TRIM(B2827), ""price""),0
)"),132.69)</f>
        <v>132.69</v>
      </c>
      <c r="H2827" s="6">
        <v>117.6</v>
      </c>
      <c r="I2827" s="6">
        <f t="shared" ca="1" si="0"/>
        <v>132.69</v>
      </c>
      <c r="J2827" s="6">
        <f ca="1">IFERROR(__xludf.DUMMYFUNCTION("IFERROR(GOOGLEFINANCE(B2827, ""volume""), 0)"),5533260)</f>
        <v>5533260</v>
      </c>
      <c r="K2827" s="6">
        <v>2.93</v>
      </c>
      <c r="L2827" s="6">
        <f ca="1">IFERROR(__xludf.DUMMYFUNCTION("IFERROR(GOOGLEFINANCE(B2827,""changepct""),K2827)"),-2.09)</f>
        <v>-2.09</v>
      </c>
      <c r="M2827" s="6">
        <f ca="1">IFERROR(__xludf.DUMMYFUNCTION("IFERROR(GOOGLEFINANCE(B2827,""change""),0)"),-2.83)</f>
        <v>-2.83</v>
      </c>
      <c r="N2827" s="6">
        <v>2</v>
      </c>
      <c r="O2827" s="7">
        <v>45536</v>
      </c>
      <c r="P2827" s="6">
        <v>4327.72</v>
      </c>
      <c r="Q2827" s="6">
        <v>13107.76</v>
      </c>
      <c r="R2827" s="7">
        <v>45536</v>
      </c>
      <c r="S2827" s="6">
        <v>11059.04</v>
      </c>
      <c r="T2827" s="6">
        <v>363.01</v>
      </c>
      <c r="U2827" s="7">
        <v>45536</v>
      </c>
      <c r="V2827" s="6">
        <v>25.65</v>
      </c>
      <c r="W2827" s="6">
        <f ca="1">IFERROR(__xludf.DUMMYFUNCTION("IFERROR(GOOGLEFINANCE(B2827,""pe""),V2827)"),11.83)</f>
        <v>11.83</v>
      </c>
      <c r="X2827" s="9"/>
      <c r="Y2827" s="6">
        <v>2.48</v>
      </c>
      <c r="Z2827" s="6">
        <v>2</v>
      </c>
      <c r="AA2827" s="8">
        <v>45352</v>
      </c>
      <c r="AB2827" s="4">
        <v>1.1200000000000001</v>
      </c>
      <c r="AC2827" s="6">
        <v>2.83</v>
      </c>
      <c r="AD2827" s="6">
        <v>6.46</v>
      </c>
      <c r="AE2827" s="1">
        <v>0</v>
      </c>
      <c r="AF2827" s="1">
        <f ca="1">IFERROR(__xludf.DUMMYFUNCTION("IFERROR(GOOGLEFINANCE(TRIM(F2827)&amp;"":"" &amp; TRIM(B2827),""high52""),AE2827)"),234.39)</f>
        <v>234.39</v>
      </c>
      <c r="AG2827" s="1">
        <v>0</v>
      </c>
      <c r="AH2827" s="1">
        <f ca="1">IFERROR(__xludf.DUMMYFUNCTION("IFERROR(GOOGLEFINANCE(TRIM(F2827)&amp;"":"" &amp; TRIM(B2827),""low52""),AE2827)"),83.25)</f>
        <v>83.25</v>
      </c>
      <c r="AI2827" s="1">
        <f ca="1">IFERROR(__xludf.DUMMYFUNCTION("IFERROR(GOOGLEFINANCE(B2827,""eps""),0)"),11.22)</f>
        <v>11.22</v>
      </c>
      <c r="AJ2827" s="1"/>
      <c r="AK2827" s="1" t="s">
        <v>8745</v>
      </c>
      <c r="AL2827" s="9">
        <f t="shared" si="277"/>
        <v>1</v>
      </c>
    </row>
    <row r="2828" spans="1:38" ht="15" x14ac:dyDescent="0.25">
      <c r="A2828" s="1" t="s">
        <v>8746</v>
      </c>
      <c r="B2828" s="1" t="s">
        <v>8747</v>
      </c>
      <c r="C2828" s="1" t="s">
        <v>324</v>
      </c>
      <c r="D2828" s="1" t="s">
        <v>324</v>
      </c>
      <c r="E2828" s="6">
        <v>2250.83</v>
      </c>
      <c r="F2828" s="1" t="s">
        <v>40</v>
      </c>
      <c r="G2828" s="6">
        <f ca="1">IFERROR(__xludf.DUMMYFUNCTION("iferror(GOOGLEFINANCE(TRIM(F2828)&amp;"":"" &amp; TRIM(B2828), ""price""),0
)"),239.1)</f>
        <v>239.1</v>
      </c>
      <c r="H2828" s="6">
        <v>191.46</v>
      </c>
      <c r="I2828" s="6">
        <f t="shared" ca="1" si="0"/>
        <v>239.1</v>
      </c>
      <c r="J2828" s="6">
        <f ca="1">IFERROR(__xludf.DUMMYFUNCTION("IFERROR(GOOGLEFINANCE(B2828, ""volume""), 0)"),862364)</f>
        <v>862364</v>
      </c>
      <c r="K2828" s="6">
        <v>1.62</v>
      </c>
      <c r="L2828" s="6">
        <f ca="1">IFERROR(__xludf.DUMMYFUNCTION("IFERROR(GOOGLEFINANCE(B2828,""changepct""),K2828)"),-1.65)</f>
        <v>-1.65</v>
      </c>
      <c r="M2828" s="6">
        <f ca="1">IFERROR(__xludf.DUMMYFUNCTION("IFERROR(GOOGLEFINANCE(B2828,""change""),0)"),-4)</f>
        <v>-4</v>
      </c>
      <c r="N2828" s="6">
        <v>2</v>
      </c>
      <c r="O2828" s="7">
        <v>45536</v>
      </c>
      <c r="P2828" s="6">
        <v>613.14</v>
      </c>
      <c r="Q2828" s="6">
        <v>2847.2</v>
      </c>
      <c r="R2828" s="7">
        <v>45536</v>
      </c>
      <c r="S2828" s="6">
        <v>3220.2</v>
      </c>
      <c r="T2828" s="6">
        <v>100.49</v>
      </c>
      <c r="U2828" s="7">
        <v>45536</v>
      </c>
      <c r="V2828" s="6">
        <v>22.4</v>
      </c>
      <c r="W2828" s="6">
        <f ca="1">IFERROR(__xludf.DUMMYFUNCTION("IFERROR(GOOGLEFINANCE(B2828,""pe""),V2828)"),22.24)</f>
        <v>22.24</v>
      </c>
      <c r="X2828" s="6">
        <v>-4.01</v>
      </c>
      <c r="Y2828" s="6">
        <v>2.34</v>
      </c>
      <c r="Z2828" s="6">
        <v>2</v>
      </c>
      <c r="AA2828" s="8">
        <v>45352</v>
      </c>
      <c r="AB2828" s="4">
        <v>0.67</v>
      </c>
      <c r="AC2828" s="6">
        <v>10.56</v>
      </c>
      <c r="AD2828" s="6">
        <v>11.1</v>
      </c>
      <c r="AE2828" s="1">
        <v>0</v>
      </c>
      <c r="AF2828" s="1">
        <f ca="1">IFERROR(__xludf.DUMMYFUNCTION("IFERROR(GOOGLEFINANCE(TRIM(F2828)&amp;"":"" &amp; TRIM(B2828),""high52""),AE2828)"),376.95)</f>
        <v>376.95</v>
      </c>
      <c r="AG2828" s="1">
        <v>0</v>
      </c>
      <c r="AH2828" s="1">
        <f ca="1">IFERROR(__xludf.DUMMYFUNCTION("IFERROR(GOOGLEFINANCE(TRIM(F2828)&amp;"":"" &amp; TRIM(B2828),""low52""),AE2828)"),135.49)</f>
        <v>135.49</v>
      </c>
      <c r="AI2828" s="1">
        <f ca="1">IFERROR(__xludf.DUMMYFUNCTION("IFERROR(GOOGLEFINANCE(B2828,""eps""),0)"),10.75)</f>
        <v>10.75</v>
      </c>
      <c r="AJ2828" s="1"/>
      <c r="AK2828" s="1" t="s">
        <v>8748</v>
      </c>
      <c r="AL2828" s="9">
        <f t="shared" si="277"/>
        <v>1</v>
      </c>
    </row>
    <row r="2829" spans="1:38" ht="15" x14ac:dyDescent="0.25">
      <c r="A2829" s="1" t="s">
        <v>8749</v>
      </c>
      <c r="B2829" s="1" t="s">
        <v>8750</v>
      </c>
      <c r="C2829" s="1" t="s">
        <v>135</v>
      </c>
      <c r="D2829" s="1" t="s">
        <v>135</v>
      </c>
      <c r="E2829" s="6">
        <v>183.92</v>
      </c>
      <c r="F2829" s="1" t="s">
        <v>40</v>
      </c>
      <c r="G2829" s="6">
        <f ca="1">IFERROR(__xludf.DUMMYFUNCTION("iferror(GOOGLEFINANCE(TRIM(F2829)&amp;"":"" &amp; TRIM(B2829), ""price""),0
)"),0)</f>
        <v>0</v>
      </c>
      <c r="H2829" s="6">
        <v>94</v>
      </c>
      <c r="I2829" s="6">
        <f t="shared" ca="1" si="0"/>
        <v>94</v>
      </c>
      <c r="J2829" s="6">
        <f ca="1">IFERROR(__xludf.DUMMYFUNCTION("IFERROR(GOOGLEFINANCE(B2829, ""volume""), 0)"),0)</f>
        <v>0</v>
      </c>
      <c r="K2829" s="6">
        <v>0</v>
      </c>
      <c r="L2829" s="6">
        <f ca="1">IFERROR(__xludf.DUMMYFUNCTION("IFERROR(GOOGLEFINANCE(B2829,""changepct""),K2829)"),0)</f>
        <v>0</v>
      </c>
      <c r="M2829" s="6">
        <f ca="1">IFERROR(__xludf.DUMMYFUNCTION("IFERROR(GOOGLEFINANCE(B2829,""change""),0)"),0)</f>
        <v>0</v>
      </c>
      <c r="N2829" s="6">
        <v>1</v>
      </c>
      <c r="O2829" s="7">
        <v>45536</v>
      </c>
      <c r="P2829" s="6">
        <v>6.25</v>
      </c>
      <c r="Q2829" s="6">
        <v>190.17</v>
      </c>
      <c r="R2829" s="7">
        <v>45352</v>
      </c>
      <c r="S2829" s="6">
        <v>121.33</v>
      </c>
      <c r="T2829" s="6">
        <v>14.31</v>
      </c>
      <c r="U2829" s="7">
        <v>45352</v>
      </c>
      <c r="V2829" s="6">
        <v>12.85</v>
      </c>
      <c r="W2829" s="6">
        <f ca="1">IFERROR(__xludf.DUMMYFUNCTION("IFERROR(GOOGLEFINANCE(B2829,""pe""),V2829)"),12.85)</f>
        <v>12.85</v>
      </c>
      <c r="X2829" s="9"/>
      <c r="Y2829" s="6">
        <v>2.2000000000000002</v>
      </c>
      <c r="Z2829" s="6">
        <v>1</v>
      </c>
      <c r="AA2829" s="8">
        <v>45352</v>
      </c>
      <c r="AB2829" s="4">
        <v>0.1</v>
      </c>
      <c r="AC2829" s="6">
        <v>27.06</v>
      </c>
      <c r="AD2829" s="6">
        <v>28.98</v>
      </c>
      <c r="AE2829" s="1">
        <v>0</v>
      </c>
      <c r="AF2829" s="1">
        <f ca="1">IFERROR(__xludf.DUMMYFUNCTION("IFERROR(GOOGLEFINANCE(TRIM(F2829)&amp;"":"" &amp; TRIM(B2829),""high52""),AE2829)"),0)</f>
        <v>0</v>
      </c>
      <c r="AG2829" s="1">
        <v>0</v>
      </c>
      <c r="AH2829" s="1">
        <f ca="1">IFERROR(__xludf.DUMMYFUNCTION("IFERROR(GOOGLEFINANCE(TRIM(F2829)&amp;"":"" &amp; TRIM(B2829),""low52""),AE2829)"),0)</f>
        <v>0</v>
      </c>
      <c r="AI2829" s="1">
        <f ca="1">IFERROR(__xludf.DUMMYFUNCTION("IFERROR(GOOGLEFINANCE(B2829,""eps""),0)"),0)</f>
        <v>0</v>
      </c>
      <c r="AJ2829" s="1"/>
      <c r="AK2829" s="1" t="s">
        <v>8751</v>
      </c>
      <c r="AL2829" s="1" t="b">
        <f>ISNUMBER(AA2829)</f>
        <v>1</v>
      </c>
    </row>
    <row r="2830" spans="1:38" ht="15" x14ac:dyDescent="0.25">
      <c r="A2830" s="1" t="s">
        <v>8752</v>
      </c>
      <c r="B2830" s="1" t="s">
        <v>8753</v>
      </c>
      <c r="C2830" s="1" t="s">
        <v>57</v>
      </c>
      <c r="D2830" s="1" t="s">
        <v>57</v>
      </c>
      <c r="E2830" s="6">
        <v>111.06</v>
      </c>
      <c r="F2830" s="1" t="s">
        <v>40</v>
      </c>
      <c r="G2830" s="6">
        <f ca="1">IFERROR(__xludf.DUMMYFUNCTION("iferror(GOOGLEFINANCE(TRIM(F2830)&amp;"":"" &amp; TRIM(B2830), ""price""),0
)"),0)</f>
        <v>0</v>
      </c>
      <c r="H2830" s="6">
        <v>96.5</v>
      </c>
      <c r="I2830" s="6">
        <f t="shared" ca="1" si="0"/>
        <v>96.5</v>
      </c>
      <c r="J2830" s="6">
        <f ca="1">IFERROR(__xludf.DUMMYFUNCTION("IFERROR(GOOGLEFINANCE(B2830, ""volume""), 0)"),0)</f>
        <v>0</v>
      </c>
      <c r="K2830" s="9"/>
      <c r="L2830" s="6" t="str">
        <f ca="1">IFERROR(__xludf.DUMMYFUNCTION("IFERROR(GOOGLEFINANCE(B2830,""changepct""),K2830)"),"")</f>
        <v/>
      </c>
      <c r="M2830" s="6">
        <f ca="1">IFERROR(__xludf.DUMMYFUNCTION("IFERROR(GOOGLEFINANCE(B2830,""change""),0)"),0)</f>
        <v>0</v>
      </c>
      <c r="N2830" s="6">
        <v>1</v>
      </c>
      <c r="O2830" s="7">
        <v>45536</v>
      </c>
      <c r="P2830" s="9"/>
      <c r="Q2830" s="6">
        <v>111.06</v>
      </c>
      <c r="R2830" s="7">
        <v>45352</v>
      </c>
      <c r="S2830" s="6">
        <v>20.45</v>
      </c>
      <c r="T2830" s="6">
        <v>3.41</v>
      </c>
      <c r="U2830" s="7">
        <v>45352</v>
      </c>
      <c r="V2830" s="6">
        <v>32.56</v>
      </c>
      <c r="W2830" s="6">
        <f ca="1">IFERROR(__xludf.DUMMYFUNCTION("IFERROR(GOOGLEFINANCE(B2830,""pe""),V2830)"),32.56)</f>
        <v>32.56</v>
      </c>
      <c r="X2830" s="9"/>
      <c r="Y2830" s="6">
        <v>2.96</v>
      </c>
      <c r="Z2830" s="6">
        <v>2</v>
      </c>
      <c r="AA2830" s="8">
        <v>45352</v>
      </c>
      <c r="AB2830" s="4">
        <v>0</v>
      </c>
      <c r="AC2830" s="6">
        <v>13.71</v>
      </c>
      <c r="AD2830" s="6">
        <v>17.510000000000002</v>
      </c>
      <c r="AE2830" s="1">
        <v>0</v>
      </c>
      <c r="AF2830" s="1">
        <f ca="1">IFERROR(__xludf.DUMMYFUNCTION("IFERROR(GOOGLEFINANCE(TRIM(F2830)&amp;"":"" &amp; TRIM(B2830),""high52""),AE2830)"),0)</f>
        <v>0</v>
      </c>
      <c r="AG2830" s="1">
        <v>0</v>
      </c>
      <c r="AH2830" s="1">
        <f ca="1">IFERROR(__xludf.DUMMYFUNCTION("IFERROR(GOOGLEFINANCE(TRIM(F2830)&amp;"":"" &amp; TRIM(B2830),""low52""),AE2830)"),0)</f>
        <v>0</v>
      </c>
      <c r="AI2830" s="1">
        <f ca="1">IFERROR(__xludf.DUMMYFUNCTION("IFERROR(GOOGLEFINANCE(B2830,""eps""),0)"),0)</f>
        <v>0</v>
      </c>
      <c r="AJ2830" s="1"/>
      <c r="AK2830" s="1" t="s">
        <v>8754</v>
      </c>
      <c r="AL2830" s="9">
        <f>IF(AA2830&lt;&gt;AB2830,1,0)</f>
        <v>1</v>
      </c>
    </row>
    <row r="2831" spans="1:38" ht="15" x14ac:dyDescent="0.25">
      <c r="A2831" s="1" t="s">
        <v>8755</v>
      </c>
      <c r="B2831" s="1" t="s">
        <v>8756</v>
      </c>
      <c r="C2831" s="1" t="s">
        <v>577</v>
      </c>
      <c r="D2831" s="1" t="s">
        <v>577</v>
      </c>
      <c r="E2831" s="6">
        <v>2586.7600000000002</v>
      </c>
      <c r="F2831" s="1" t="s">
        <v>40</v>
      </c>
      <c r="G2831" s="6">
        <f ca="1">IFERROR(__xludf.DUMMYFUNCTION("iferror(GOOGLEFINANCE(TRIM(F2831)&amp;"":"" &amp; TRIM(B2831), ""price""),0
)"),32.9)</f>
        <v>32.9</v>
      </c>
      <c r="H2831" s="6">
        <v>85.25</v>
      </c>
      <c r="I2831" s="6">
        <f t="shared" ca="1" si="0"/>
        <v>32.9</v>
      </c>
      <c r="J2831" s="6">
        <f ca="1">IFERROR(__xludf.DUMMYFUNCTION("IFERROR(GOOGLEFINANCE(B2831, ""volume""), 0)"),556026)</f>
        <v>556026</v>
      </c>
      <c r="K2831" s="6">
        <v>0.27</v>
      </c>
      <c r="L2831" s="6">
        <f ca="1">IFERROR(__xludf.DUMMYFUNCTION("IFERROR(GOOGLEFINANCE(B2831,""changepct""),K2831)"),0.86)</f>
        <v>0.86</v>
      </c>
      <c r="M2831" s="6">
        <f ca="1">IFERROR(__xludf.DUMMYFUNCTION("IFERROR(GOOGLEFINANCE(B2831,""change""),0)"),0.28)</f>
        <v>0.28000000000000003</v>
      </c>
      <c r="N2831" s="6">
        <v>2</v>
      </c>
      <c r="O2831" s="7">
        <v>45536</v>
      </c>
      <c r="P2831" s="6">
        <v>15.08</v>
      </c>
      <c r="Q2831" s="6">
        <v>2577.7600000000002</v>
      </c>
      <c r="R2831" s="7">
        <v>45536</v>
      </c>
      <c r="S2831" s="6">
        <v>1284.57</v>
      </c>
      <c r="T2831" s="6">
        <v>97.15</v>
      </c>
      <c r="U2831" s="7">
        <v>45536</v>
      </c>
      <c r="V2831" s="6">
        <v>26.63</v>
      </c>
      <c r="W2831" s="6">
        <f ca="1">IFERROR(__xludf.DUMMYFUNCTION("IFERROR(GOOGLEFINANCE(B2831,""pe""),V2831)"),13.76)</f>
        <v>13.76</v>
      </c>
      <c r="X2831" s="6">
        <v>1.1100000000000001</v>
      </c>
      <c r="Y2831" s="6">
        <v>3.83</v>
      </c>
      <c r="Z2831" s="6">
        <v>2</v>
      </c>
      <c r="AA2831" s="8">
        <v>45352</v>
      </c>
      <c r="AB2831" s="4">
        <v>0.16</v>
      </c>
      <c r="AC2831" s="6">
        <v>19.61</v>
      </c>
      <c r="AD2831" s="6">
        <v>14.9</v>
      </c>
      <c r="AE2831" s="1">
        <v>0</v>
      </c>
      <c r="AF2831" s="1">
        <f ca="1">IFERROR(__xludf.DUMMYFUNCTION("IFERROR(GOOGLEFINANCE(TRIM(F2831)&amp;"":"" &amp; TRIM(B2831),""high52""),AE2831)"),71.6)</f>
        <v>71.599999999999994</v>
      </c>
      <c r="AG2831" s="1">
        <v>0</v>
      </c>
      <c r="AH2831" s="1">
        <f ca="1">IFERROR(__xludf.DUMMYFUNCTION("IFERROR(GOOGLEFINANCE(TRIM(F2831)&amp;"":"" &amp; TRIM(B2831),""low52""),AE2831)"),31.05)</f>
        <v>31.05</v>
      </c>
      <c r="AI2831" s="1">
        <f ca="1">IFERROR(__xludf.DUMMYFUNCTION("IFERROR(GOOGLEFINANCE(B2831,""eps""),0)"),2.39)</f>
        <v>2.39</v>
      </c>
      <c r="AJ2831" s="1"/>
      <c r="AK2831" s="1" t="s">
        <v>8757</v>
      </c>
      <c r="AL2831" s="1" t="b">
        <f>ISNUMBER(AA2831)</f>
        <v>1</v>
      </c>
    </row>
    <row r="2832" spans="1:38" ht="15" x14ac:dyDescent="0.25">
      <c r="A2832" s="1" t="s">
        <v>8758</v>
      </c>
      <c r="B2832" s="1" t="s">
        <v>8759</v>
      </c>
      <c r="C2832" s="1" t="s">
        <v>186</v>
      </c>
      <c r="D2832" s="1" t="s">
        <v>186</v>
      </c>
      <c r="E2832" s="6">
        <v>58.7</v>
      </c>
      <c r="F2832" s="1" t="s">
        <v>40</v>
      </c>
      <c r="G2832" s="6">
        <f ca="1">IFERROR(__xludf.DUMMYFUNCTION("iferror(GOOGLEFINANCE(TRIM(F2832)&amp;"":"" &amp; TRIM(B2832), ""price""),0
)"),0)</f>
        <v>0</v>
      </c>
      <c r="H2832" s="6">
        <v>84.9</v>
      </c>
      <c r="I2832" s="6">
        <f t="shared" ca="1" si="0"/>
        <v>84.9</v>
      </c>
      <c r="J2832" s="6">
        <f ca="1">IFERROR(__xludf.DUMMYFUNCTION("IFERROR(GOOGLEFINANCE(B2832, ""volume""), 0)"),0)</f>
        <v>0</v>
      </c>
      <c r="K2832" s="6">
        <v>0.41</v>
      </c>
      <c r="L2832" s="6">
        <f ca="1">IFERROR(__xludf.DUMMYFUNCTION("IFERROR(GOOGLEFINANCE(B2832,""changepct""),K2832)"),0.41)</f>
        <v>0.41</v>
      </c>
      <c r="M2832" s="6">
        <f ca="1">IFERROR(__xludf.DUMMYFUNCTION("IFERROR(GOOGLEFINANCE(B2832,""change""),0)"),0)</f>
        <v>0</v>
      </c>
      <c r="N2832" s="6">
        <v>1</v>
      </c>
      <c r="O2832" s="7">
        <v>45536</v>
      </c>
      <c r="P2832" s="6">
        <v>17.079999999999998</v>
      </c>
      <c r="Q2832" s="6">
        <v>66.290000000000006</v>
      </c>
      <c r="R2832" s="14"/>
      <c r="S2832" s="9"/>
      <c r="T2832" s="9"/>
      <c r="U2832" s="6">
        <v>0</v>
      </c>
      <c r="V2832" s="9"/>
      <c r="W2832" s="6" t="str">
        <f ca="1">IFERROR(__xludf.DUMMYFUNCTION("IFERROR(GOOGLEFINANCE(B2832,""pe""),V2832)"),"")</f>
        <v/>
      </c>
      <c r="X2832" s="14"/>
      <c r="Y2832" s="6">
        <v>0.9</v>
      </c>
      <c r="Z2832" s="6">
        <v>1</v>
      </c>
      <c r="AA2832" s="8">
        <v>45352</v>
      </c>
      <c r="AB2832" s="4">
        <v>0.54</v>
      </c>
      <c r="AC2832" s="6">
        <v>11.68</v>
      </c>
      <c r="AD2832" s="6">
        <v>11.03</v>
      </c>
      <c r="AE2832" s="1">
        <v>0</v>
      </c>
      <c r="AF2832" s="1">
        <f ca="1">IFERROR(__xludf.DUMMYFUNCTION("IFERROR(GOOGLEFINANCE(TRIM(F2832)&amp;"":"" &amp; TRIM(B2832),""high52""),AE2832)"),0)</f>
        <v>0</v>
      </c>
      <c r="AG2832" s="1">
        <v>0</v>
      </c>
      <c r="AH2832" s="1">
        <f ca="1">IFERROR(__xludf.DUMMYFUNCTION("IFERROR(GOOGLEFINANCE(TRIM(F2832)&amp;"":"" &amp; TRIM(B2832),""low52""),AE2832)"),0)</f>
        <v>0</v>
      </c>
      <c r="AI2832" s="1">
        <f ca="1">IFERROR(__xludf.DUMMYFUNCTION("IFERROR(GOOGLEFINANCE(B2832,""eps""),0)"),0)</f>
        <v>0</v>
      </c>
      <c r="AJ2832" s="1"/>
      <c r="AK2832" s="1" t="s">
        <v>8760</v>
      </c>
      <c r="AL2832" s="9">
        <f t="shared" ref="AL2832:AL2862" si="278">IF(AA2832&lt;&gt;AB2832,1,0)</f>
        <v>1</v>
      </c>
    </row>
    <row r="2833" spans="1:38" ht="15" x14ac:dyDescent="0.25">
      <c r="A2833" s="1" t="s">
        <v>8761</v>
      </c>
      <c r="B2833" s="1" t="s">
        <v>8762</v>
      </c>
      <c r="C2833" s="1" t="s">
        <v>4423</v>
      </c>
      <c r="D2833" s="1" t="s">
        <v>4423</v>
      </c>
      <c r="E2833" s="6">
        <v>54.05</v>
      </c>
      <c r="F2833" s="1" t="s">
        <v>53</v>
      </c>
      <c r="G2833" s="6">
        <f ca="1">IFERROR(__xludf.DUMMYFUNCTION("iferror(GOOGLEFINANCE(TRIM(F2833)&amp;"":"" &amp; TRIM(B2833), ""price""),0
)"),0)</f>
        <v>0</v>
      </c>
      <c r="H2833" s="6">
        <v>62.25</v>
      </c>
      <c r="I2833" s="6">
        <f t="shared" ca="1" si="0"/>
        <v>62.25</v>
      </c>
      <c r="J2833" s="6">
        <f ca="1">IFERROR(__xludf.DUMMYFUNCTION("IFERROR(GOOGLEFINANCE(B2833, ""volume""), 0)"),0)</f>
        <v>0</v>
      </c>
      <c r="K2833" s="9"/>
      <c r="L2833" s="6" t="str">
        <f ca="1">IFERROR(__xludf.DUMMYFUNCTION("IFERROR(GOOGLEFINANCE(B2833,""changepct""),K2833)"),"")</f>
        <v/>
      </c>
      <c r="M2833" s="6">
        <f ca="1">IFERROR(__xludf.DUMMYFUNCTION("IFERROR(GOOGLEFINANCE(B2833,""change""),0)"),0)</f>
        <v>0</v>
      </c>
      <c r="N2833" s="6">
        <v>1</v>
      </c>
      <c r="O2833" s="7">
        <v>45536</v>
      </c>
      <c r="P2833" s="6">
        <v>2.76</v>
      </c>
      <c r="Q2833" s="6">
        <v>56.81</v>
      </c>
      <c r="R2833" s="7">
        <v>45352</v>
      </c>
      <c r="S2833" s="6">
        <v>31.07</v>
      </c>
      <c r="T2833" s="6">
        <v>2.63</v>
      </c>
      <c r="U2833" s="7">
        <v>45352</v>
      </c>
      <c r="V2833" s="6">
        <v>20.55</v>
      </c>
      <c r="W2833" s="6">
        <f ca="1">IFERROR(__xludf.DUMMYFUNCTION("IFERROR(GOOGLEFINANCE(B2833,""pe""),V2833)"),20.55)</f>
        <v>20.55</v>
      </c>
      <c r="X2833" s="12"/>
      <c r="Y2833" s="6">
        <v>2.39</v>
      </c>
      <c r="Z2833" s="6">
        <v>1</v>
      </c>
      <c r="AA2833" s="8">
        <v>45352</v>
      </c>
      <c r="AB2833" s="4">
        <v>0.55000000000000004</v>
      </c>
      <c r="AC2833" s="6">
        <v>29.65</v>
      </c>
      <c r="AD2833" s="6">
        <v>28.84</v>
      </c>
      <c r="AE2833" s="1">
        <v>0</v>
      </c>
      <c r="AF2833" s="1">
        <f ca="1">IFERROR(__xludf.DUMMYFUNCTION("IFERROR(GOOGLEFINANCE(TRIM(F2833)&amp;"":"" &amp; TRIM(B2833),""high52""),AE2833)"),0)</f>
        <v>0</v>
      </c>
      <c r="AG2833" s="1">
        <v>0</v>
      </c>
      <c r="AH2833" s="1">
        <f ca="1">IFERROR(__xludf.DUMMYFUNCTION("IFERROR(GOOGLEFINANCE(TRIM(F2833)&amp;"":"" &amp; TRIM(B2833),""low52""),AE2833)"),0)</f>
        <v>0</v>
      </c>
      <c r="AI2833" s="1">
        <f ca="1">IFERROR(__xludf.DUMMYFUNCTION("IFERROR(GOOGLEFINANCE(B2833,""eps""),0)"),0)</f>
        <v>0</v>
      </c>
      <c r="AJ2833" s="1"/>
      <c r="AK2833" s="1" t="s">
        <v>8763</v>
      </c>
      <c r="AL2833" s="9">
        <f t="shared" si="278"/>
        <v>1</v>
      </c>
    </row>
    <row r="2834" spans="1:38" ht="15" x14ac:dyDescent="0.25">
      <c r="A2834" s="1" t="s">
        <v>8764</v>
      </c>
      <c r="B2834" s="1" t="s">
        <v>8765</v>
      </c>
      <c r="C2834" s="1" t="s">
        <v>4423</v>
      </c>
      <c r="D2834" s="1" t="s">
        <v>4423</v>
      </c>
      <c r="E2834" s="6">
        <v>132.63999999999999</v>
      </c>
      <c r="F2834" s="1" t="s">
        <v>53</v>
      </c>
      <c r="G2834" s="6">
        <f ca="1">IFERROR(__xludf.DUMMYFUNCTION("iferror(GOOGLEFINANCE(TRIM(F2834)&amp;"":"" &amp; TRIM(B2834), ""price""),0
)"),0)</f>
        <v>0</v>
      </c>
      <c r="H2834" s="6">
        <v>126</v>
      </c>
      <c r="I2834" s="6">
        <f t="shared" ca="1" si="0"/>
        <v>126</v>
      </c>
      <c r="J2834" s="6">
        <f ca="1">IFERROR(__xludf.DUMMYFUNCTION("IFERROR(GOOGLEFINANCE(B2834, ""volume""), 0)"),0)</f>
        <v>0</v>
      </c>
      <c r="K2834" s="6">
        <v>-0.83</v>
      </c>
      <c r="L2834" s="6">
        <f ca="1">IFERROR(__xludf.DUMMYFUNCTION("IFERROR(GOOGLEFINANCE(B2834,""changepct""),K2834)"),-0.83)</f>
        <v>-0.83</v>
      </c>
      <c r="M2834" s="6">
        <f ca="1">IFERROR(__xludf.DUMMYFUNCTION("IFERROR(GOOGLEFINANCE(B2834,""change""),0)"),0)</f>
        <v>0</v>
      </c>
      <c r="N2834" s="6">
        <v>1</v>
      </c>
      <c r="O2834" s="7">
        <v>45536</v>
      </c>
      <c r="P2834" s="6">
        <v>14.45</v>
      </c>
      <c r="Q2834" s="6">
        <v>147.09</v>
      </c>
      <c r="R2834" s="7">
        <v>45352</v>
      </c>
      <c r="S2834" s="6">
        <v>105.61</v>
      </c>
      <c r="T2834" s="6">
        <v>9.8000000000000007</v>
      </c>
      <c r="U2834" s="7">
        <v>45352</v>
      </c>
      <c r="V2834" s="6">
        <v>13.54</v>
      </c>
      <c r="W2834" s="6">
        <f ca="1">IFERROR(__xludf.DUMMYFUNCTION("IFERROR(GOOGLEFINANCE(B2834,""pe""),V2834)"),13.54)</f>
        <v>13.54</v>
      </c>
      <c r="X2834" s="9"/>
      <c r="Y2834" s="6">
        <v>2.42</v>
      </c>
      <c r="Z2834" s="6">
        <v>1</v>
      </c>
      <c r="AA2834" s="8">
        <v>45352</v>
      </c>
      <c r="AB2834" s="4">
        <v>0.12</v>
      </c>
      <c r="AC2834" s="6">
        <v>25.06</v>
      </c>
      <c r="AD2834" s="6">
        <v>29.87</v>
      </c>
      <c r="AE2834" s="1">
        <v>0</v>
      </c>
      <c r="AF2834" s="1">
        <f ca="1">IFERROR(__xludf.DUMMYFUNCTION("IFERROR(GOOGLEFINANCE(TRIM(F2834)&amp;"":"" &amp; TRIM(B2834),""high52""),AE2834)"),0)</f>
        <v>0</v>
      </c>
      <c r="AG2834" s="1">
        <v>0</v>
      </c>
      <c r="AH2834" s="1">
        <f ca="1">IFERROR(__xludf.DUMMYFUNCTION("IFERROR(GOOGLEFINANCE(TRIM(F2834)&amp;"":"" &amp; TRIM(B2834),""low52""),AE2834)"),0)</f>
        <v>0</v>
      </c>
      <c r="AI2834" s="1">
        <f ca="1">IFERROR(__xludf.DUMMYFUNCTION("IFERROR(GOOGLEFINANCE(B2834,""eps""),0)"),0)</f>
        <v>0</v>
      </c>
      <c r="AJ2834" s="1"/>
      <c r="AK2834" s="1" t="s">
        <v>8766</v>
      </c>
      <c r="AL2834" s="9">
        <f t="shared" si="278"/>
        <v>1</v>
      </c>
    </row>
    <row r="2835" spans="1:38" ht="15" x14ac:dyDescent="0.25">
      <c r="A2835" s="1" t="s">
        <v>8767</v>
      </c>
      <c r="B2835" s="1" t="s">
        <v>8768</v>
      </c>
      <c r="C2835" s="1" t="s">
        <v>1528</v>
      </c>
      <c r="D2835" s="1" t="s">
        <v>1528</v>
      </c>
      <c r="E2835" s="6">
        <v>135.81</v>
      </c>
      <c r="F2835" s="1" t="s">
        <v>40</v>
      </c>
      <c r="G2835" s="6">
        <f ca="1">IFERROR(__xludf.DUMMYFUNCTION("iferror(GOOGLEFINANCE(TRIM(F2835)&amp;"":"" &amp; TRIM(B2835), ""price""),0
)"),0)</f>
        <v>0</v>
      </c>
      <c r="H2835" s="6">
        <v>68</v>
      </c>
      <c r="I2835" s="6">
        <f t="shared" ca="1" si="0"/>
        <v>68</v>
      </c>
      <c r="J2835" s="6">
        <f ca="1">IFERROR(__xludf.DUMMYFUNCTION("IFERROR(GOOGLEFINANCE(B2835, ""volume""), 0)"),0)</f>
        <v>0</v>
      </c>
      <c r="K2835" s="6">
        <v>-1.45</v>
      </c>
      <c r="L2835" s="6">
        <f ca="1">IFERROR(__xludf.DUMMYFUNCTION("IFERROR(GOOGLEFINANCE(B2835,""changepct""),K2835)"),-1.45)</f>
        <v>-1.45</v>
      </c>
      <c r="M2835" s="6">
        <f ca="1">IFERROR(__xludf.DUMMYFUNCTION("IFERROR(GOOGLEFINANCE(B2835,""change""),0)"),0)</f>
        <v>0</v>
      </c>
      <c r="N2835" s="6">
        <v>1</v>
      </c>
      <c r="O2835" s="7">
        <v>45536</v>
      </c>
      <c r="P2835" s="6">
        <v>25.95</v>
      </c>
      <c r="Q2835" s="6">
        <v>161.75</v>
      </c>
      <c r="R2835" s="14"/>
      <c r="S2835" s="9"/>
      <c r="T2835" s="9"/>
      <c r="U2835" s="6">
        <v>0</v>
      </c>
      <c r="V2835" s="9"/>
      <c r="W2835" s="6" t="str">
        <f ca="1">IFERROR(__xludf.DUMMYFUNCTION("IFERROR(GOOGLEFINANCE(B2835,""pe""),V2835)"),"")</f>
        <v/>
      </c>
      <c r="X2835" s="12"/>
      <c r="Y2835" s="6">
        <v>2.4900000000000002</v>
      </c>
      <c r="Z2835" s="6">
        <v>1</v>
      </c>
      <c r="AA2835" s="8">
        <v>45352</v>
      </c>
      <c r="AB2835" s="4">
        <v>1.0900000000000001</v>
      </c>
      <c r="AC2835" s="6">
        <v>31.65</v>
      </c>
      <c r="AD2835" s="6">
        <v>25.47</v>
      </c>
      <c r="AE2835" s="1">
        <v>0</v>
      </c>
      <c r="AF2835" s="1">
        <f ca="1">IFERROR(__xludf.DUMMYFUNCTION("IFERROR(GOOGLEFINANCE(TRIM(F2835)&amp;"":"" &amp; TRIM(B2835),""high52""),AE2835)"),0)</f>
        <v>0</v>
      </c>
      <c r="AG2835" s="1">
        <v>0</v>
      </c>
      <c r="AH2835" s="1">
        <f ca="1">IFERROR(__xludf.DUMMYFUNCTION("IFERROR(GOOGLEFINANCE(TRIM(F2835)&amp;"":"" &amp; TRIM(B2835),""low52""),AE2835)"),0)</f>
        <v>0</v>
      </c>
      <c r="AI2835" s="1">
        <f ca="1">IFERROR(__xludf.DUMMYFUNCTION("IFERROR(GOOGLEFINANCE(B2835,""eps""),0)"),0)</f>
        <v>0</v>
      </c>
      <c r="AJ2835" s="1"/>
      <c r="AK2835" s="1" t="s">
        <v>8769</v>
      </c>
      <c r="AL2835" s="9">
        <f t="shared" si="278"/>
        <v>1</v>
      </c>
    </row>
    <row r="2836" spans="1:38" ht="15" x14ac:dyDescent="0.25">
      <c r="A2836" s="1" t="s">
        <v>8770</v>
      </c>
      <c r="B2836" s="1" t="s">
        <v>8771</v>
      </c>
      <c r="C2836" s="1" t="s">
        <v>1019</v>
      </c>
      <c r="D2836" s="1" t="s">
        <v>1019</v>
      </c>
      <c r="E2836" s="6">
        <v>4060.39</v>
      </c>
      <c r="F2836" s="1" t="s">
        <v>40</v>
      </c>
      <c r="G2836" s="6">
        <f ca="1">IFERROR(__xludf.DUMMYFUNCTION("iferror(GOOGLEFINANCE(TRIM(F2836)&amp;"":"" &amp; TRIM(B2836), ""price""),0
)"),656.3)</f>
        <v>656.3</v>
      </c>
      <c r="H2836" s="6">
        <v>1017</v>
      </c>
      <c r="I2836" s="6">
        <f t="shared" ca="1" si="0"/>
        <v>656.3</v>
      </c>
      <c r="J2836" s="6">
        <f ca="1">IFERROR(__xludf.DUMMYFUNCTION("IFERROR(GOOGLEFINANCE(B2836, ""volume""), 0)"),878006)</f>
        <v>878006</v>
      </c>
      <c r="K2836" s="6">
        <v>0.98</v>
      </c>
      <c r="L2836" s="6">
        <f ca="1">IFERROR(__xludf.DUMMYFUNCTION("IFERROR(GOOGLEFINANCE(B2836,""changepct""),K2836)"),0.15)</f>
        <v>0.15</v>
      </c>
      <c r="M2836" s="6">
        <f ca="1">IFERROR(__xludf.DUMMYFUNCTION("IFERROR(GOOGLEFINANCE(B2836,""change""),0)"),1)</f>
        <v>1</v>
      </c>
      <c r="N2836" s="6">
        <v>2</v>
      </c>
      <c r="O2836" s="7">
        <v>45536</v>
      </c>
      <c r="P2836" s="6">
        <v>67.819999999999993</v>
      </c>
      <c r="Q2836" s="6">
        <v>4110.28</v>
      </c>
      <c r="R2836" s="7">
        <v>45536</v>
      </c>
      <c r="S2836" s="6">
        <v>314.52999999999997</v>
      </c>
      <c r="T2836" s="6">
        <v>42.25</v>
      </c>
      <c r="U2836" s="7">
        <v>45536</v>
      </c>
      <c r="V2836" s="6">
        <v>89.55</v>
      </c>
      <c r="W2836" s="6">
        <f ca="1">IFERROR(__xludf.DUMMYFUNCTION("IFERROR(GOOGLEFINANCE(B2836,""pe""),V2836)"),72)</f>
        <v>72</v>
      </c>
      <c r="X2836" s="9"/>
      <c r="Y2836" s="6">
        <v>7.17</v>
      </c>
      <c r="Z2836" s="6">
        <v>2</v>
      </c>
      <c r="AA2836" s="8">
        <v>45352</v>
      </c>
      <c r="AB2836" s="4">
        <v>0.16</v>
      </c>
      <c r="AC2836" s="6">
        <v>7.76</v>
      </c>
      <c r="AD2836" s="6">
        <v>11.34</v>
      </c>
      <c r="AE2836" s="1">
        <v>0</v>
      </c>
      <c r="AF2836" s="1">
        <f ca="1">IFERROR(__xludf.DUMMYFUNCTION("IFERROR(GOOGLEFINANCE(TRIM(F2836)&amp;"":"" &amp; TRIM(B2836),""high52""),AE2836)"),972.5)</f>
        <v>972.5</v>
      </c>
      <c r="AG2836" s="1">
        <v>0</v>
      </c>
      <c r="AH2836" s="1">
        <f ca="1">IFERROR(__xludf.DUMMYFUNCTION("IFERROR(GOOGLEFINANCE(TRIM(F2836)&amp;"":"" &amp; TRIM(B2836),""low52""),AE2836)"),404.7)</f>
        <v>404.7</v>
      </c>
      <c r="AI2836" s="1">
        <f ca="1">IFERROR(__xludf.DUMMYFUNCTION("IFERROR(GOOGLEFINANCE(B2836,""eps""),0)"),9.11)</f>
        <v>9.11</v>
      </c>
      <c r="AJ2836" s="1"/>
      <c r="AK2836" s="1" t="s">
        <v>8772</v>
      </c>
      <c r="AL2836" s="9">
        <f t="shared" si="278"/>
        <v>1</v>
      </c>
    </row>
    <row r="2837" spans="1:38" ht="15" x14ac:dyDescent="0.25">
      <c r="A2837" s="1" t="s">
        <v>8773</v>
      </c>
      <c r="B2837" s="1" t="s">
        <v>8774</v>
      </c>
      <c r="C2837" s="1" t="s">
        <v>4423</v>
      </c>
      <c r="D2837" s="1" t="s">
        <v>4423</v>
      </c>
      <c r="E2837" s="6">
        <v>48.93</v>
      </c>
      <c r="F2837" s="1" t="s">
        <v>53</v>
      </c>
      <c r="G2837" s="6">
        <f ca="1">IFERROR(__xludf.DUMMYFUNCTION("iferror(GOOGLEFINANCE(TRIM(F2837)&amp;"":"" &amp; TRIM(B2837), ""price""),0
)"),0)</f>
        <v>0</v>
      </c>
      <c r="H2837" s="6">
        <v>99.85</v>
      </c>
      <c r="I2837" s="6">
        <f t="shared" ca="1" si="0"/>
        <v>99.85</v>
      </c>
      <c r="J2837" s="6">
        <f ca="1">IFERROR(__xludf.DUMMYFUNCTION("IFERROR(GOOGLEFINANCE(B2837, ""volume""), 0)"),0)</f>
        <v>0</v>
      </c>
      <c r="K2837" s="6">
        <v>2.85</v>
      </c>
      <c r="L2837" s="6">
        <f ca="1">IFERROR(__xludf.DUMMYFUNCTION("IFERROR(GOOGLEFINANCE(B2837,""changepct""),K2837)"),2.85)</f>
        <v>2.85</v>
      </c>
      <c r="M2837" s="6">
        <f ca="1">IFERROR(__xludf.DUMMYFUNCTION("IFERROR(GOOGLEFINANCE(B2837,""change""),0)"),0)</f>
        <v>0</v>
      </c>
      <c r="N2837" s="6">
        <v>2</v>
      </c>
      <c r="O2837" s="7">
        <v>45536</v>
      </c>
      <c r="P2837" s="6">
        <v>12.34</v>
      </c>
      <c r="Q2837" s="6">
        <v>44.08</v>
      </c>
      <c r="R2837" s="7">
        <v>45536</v>
      </c>
      <c r="S2837" s="6">
        <v>97.76</v>
      </c>
      <c r="T2837" s="6">
        <v>-3.55</v>
      </c>
      <c r="U2837" s="7">
        <v>45536</v>
      </c>
      <c r="V2837" s="6">
        <v>0</v>
      </c>
      <c r="W2837" s="6">
        <f ca="1">IFERROR(__xludf.DUMMYFUNCTION("IFERROR(GOOGLEFINANCE(B2837,""pe""),V2837)"),0)</f>
        <v>0</v>
      </c>
      <c r="X2837" s="9"/>
      <c r="Y2837" s="6">
        <v>0.84</v>
      </c>
      <c r="Z2837" s="6">
        <v>2</v>
      </c>
      <c r="AA2837" s="8">
        <v>45352</v>
      </c>
      <c r="AB2837" s="4">
        <v>0.19</v>
      </c>
      <c r="AC2837" s="6">
        <v>-4.87</v>
      </c>
      <c r="AD2837" s="6">
        <v>-1.2</v>
      </c>
      <c r="AE2837" s="1">
        <v>0</v>
      </c>
      <c r="AF2837" s="1">
        <f ca="1">IFERROR(__xludf.DUMMYFUNCTION("IFERROR(GOOGLEFINANCE(TRIM(F2837)&amp;"":"" &amp; TRIM(B2837),""high52""),AE2837)"),0)</f>
        <v>0</v>
      </c>
      <c r="AG2837" s="1">
        <v>0</v>
      </c>
      <c r="AH2837" s="1">
        <f ca="1">IFERROR(__xludf.DUMMYFUNCTION("IFERROR(GOOGLEFINANCE(TRIM(F2837)&amp;"":"" &amp; TRIM(B2837),""low52""),AE2837)"),0)</f>
        <v>0</v>
      </c>
      <c r="AI2837" s="1">
        <f ca="1">IFERROR(__xludf.DUMMYFUNCTION("IFERROR(GOOGLEFINANCE(B2837,""eps""),0)"),0)</f>
        <v>0</v>
      </c>
      <c r="AJ2837" s="1"/>
      <c r="AK2837" s="1" t="s">
        <v>8775</v>
      </c>
      <c r="AL2837" s="9">
        <f t="shared" si="278"/>
        <v>1</v>
      </c>
    </row>
    <row r="2838" spans="1:38" ht="15" x14ac:dyDescent="0.25">
      <c r="A2838" s="1" t="s">
        <v>8776</v>
      </c>
      <c r="B2838" s="1" t="s">
        <v>8777</v>
      </c>
      <c r="C2838" s="1" t="s">
        <v>4423</v>
      </c>
      <c r="D2838" s="1" t="s">
        <v>4423</v>
      </c>
      <c r="E2838" s="6">
        <v>74.64</v>
      </c>
      <c r="F2838" s="1" t="s">
        <v>53</v>
      </c>
      <c r="G2838" s="6">
        <f ca="1">IFERROR(__xludf.DUMMYFUNCTION("iferror(GOOGLEFINANCE(TRIM(F2838)&amp;"":"" &amp; TRIM(B2838), ""price""),0
)"),0)</f>
        <v>0</v>
      </c>
      <c r="H2838" s="6">
        <v>1.17</v>
      </c>
      <c r="I2838" s="6">
        <f t="shared" ca="1" si="0"/>
        <v>1.17</v>
      </c>
      <c r="J2838" s="6">
        <f ca="1">IFERROR(__xludf.DUMMYFUNCTION("IFERROR(GOOGLEFINANCE(B2838, ""volume""), 0)"),0)</f>
        <v>0</v>
      </c>
      <c r="K2838" s="6">
        <v>-1.68</v>
      </c>
      <c r="L2838" s="6">
        <f ca="1">IFERROR(__xludf.DUMMYFUNCTION("IFERROR(GOOGLEFINANCE(B2838,""changepct""),K2838)"),-1.68)</f>
        <v>-1.68</v>
      </c>
      <c r="M2838" s="6">
        <f ca="1">IFERROR(__xludf.DUMMYFUNCTION("IFERROR(GOOGLEFINANCE(B2838,""change""),0)"),0)</f>
        <v>0</v>
      </c>
      <c r="N2838" s="6">
        <v>1</v>
      </c>
      <c r="O2838" s="7">
        <v>45536</v>
      </c>
      <c r="P2838" s="6">
        <v>1.01</v>
      </c>
      <c r="Q2838" s="6">
        <v>75.290000000000006</v>
      </c>
      <c r="R2838" s="7">
        <v>45536</v>
      </c>
      <c r="S2838" s="6">
        <v>6.86</v>
      </c>
      <c r="T2838" s="6">
        <v>4.8899999999999997</v>
      </c>
      <c r="U2838" s="7">
        <v>45536</v>
      </c>
      <c r="V2838" s="6">
        <v>15.27</v>
      </c>
      <c r="W2838" s="6">
        <f ca="1">IFERROR(__xludf.DUMMYFUNCTION("IFERROR(GOOGLEFINANCE(B2838,""pe""),V2838)"),15.27)</f>
        <v>15.27</v>
      </c>
      <c r="X2838" s="6">
        <v>2.23</v>
      </c>
      <c r="Y2838" s="6">
        <v>1.0900000000000001</v>
      </c>
      <c r="Z2838" s="6">
        <v>1</v>
      </c>
      <c r="AA2838" s="8">
        <v>45352</v>
      </c>
      <c r="AB2838" s="4">
        <v>0.06</v>
      </c>
      <c r="AC2838" s="6">
        <v>1.53</v>
      </c>
      <c r="AD2838" s="6">
        <v>2.0699999999999998</v>
      </c>
      <c r="AE2838" s="1">
        <v>0</v>
      </c>
      <c r="AF2838" s="1">
        <f ca="1">IFERROR(__xludf.DUMMYFUNCTION("IFERROR(GOOGLEFINANCE(TRIM(F2838)&amp;"":"" &amp; TRIM(B2838),""high52""),AE2838)"),0)</f>
        <v>0</v>
      </c>
      <c r="AG2838" s="1">
        <v>0</v>
      </c>
      <c r="AH2838" s="1">
        <f ca="1">IFERROR(__xludf.DUMMYFUNCTION("IFERROR(GOOGLEFINANCE(TRIM(F2838)&amp;"":"" &amp; TRIM(B2838),""low52""),AE2838)"),0)</f>
        <v>0</v>
      </c>
      <c r="AI2838" s="1">
        <f ca="1">IFERROR(__xludf.DUMMYFUNCTION("IFERROR(GOOGLEFINANCE(B2838,""eps""),0)"),0)</f>
        <v>0</v>
      </c>
      <c r="AJ2838" s="1"/>
      <c r="AK2838" s="9"/>
      <c r="AL2838" s="9">
        <f t="shared" si="278"/>
        <v>1</v>
      </c>
    </row>
    <row r="2839" spans="1:38" ht="15" x14ac:dyDescent="0.25">
      <c r="A2839" s="1" t="s">
        <v>8778</v>
      </c>
      <c r="B2839" s="1" t="s">
        <v>8779</v>
      </c>
      <c r="C2839" s="1" t="s">
        <v>1400</v>
      </c>
      <c r="D2839" s="1" t="s">
        <v>1400</v>
      </c>
      <c r="E2839" s="6">
        <v>107.28</v>
      </c>
      <c r="F2839" s="1" t="s">
        <v>40</v>
      </c>
      <c r="G2839" s="6">
        <f ca="1">IFERROR(__xludf.DUMMYFUNCTION("iferror(GOOGLEFINANCE(TRIM(F2839)&amp;"":"" &amp; TRIM(B2839), ""price""),0
)"),2.85)</f>
        <v>2.85</v>
      </c>
      <c r="H2839" s="6">
        <v>3.32</v>
      </c>
      <c r="I2839" s="6">
        <f t="shared" ca="1" si="0"/>
        <v>2.85</v>
      </c>
      <c r="J2839" s="6">
        <f ca="1">IFERROR(__xludf.DUMMYFUNCTION("IFERROR(GOOGLEFINANCE(B2839, ""volume""), 0)"),5388388)</f>
        <v>5388388</v>
      </c>
      <c r="K2839" s="6">
        <v>3.11</v>
      </c>
      <c r="L2839" s="6">
        <f ca="1">IFERROR(__xludf.DUMMYFUNCTION("IFERROR(GOOGLEFINANCE(B2839,""changepct""),K2839)"),-3.06)</f>
        <v>-3.06</v>
      </c>
      <c r="M2839" s="6">
        <f ca="1">IFERROR(__xludf.DUMMYFUNCTION("IFERROR(GOOGLEFINANCE(B2839,""change""),0)"),-0.09)</f>
        <v>-0.09</v>
      </c>
      <c r="N2839" s="6">
        <v>1</v>
      </c>
      <c r="O2839" s="7">
        <v>45536</v>
      </c>
      <c r="P2839" s="9"/>
      <c r="Q2839" s="6">
        <v>107.25</v>
      </c>
      <c r="R2839" s="7">
        <v>45536</v>
      </c>
      <c r="S2839" s="6">
        <v>0</v>
      </c>
      <c r="T2839" s="6">
        <v>-0.37</v>
      </c>
      <c r="U2839" s="7">
        <v>45536</v>
      </c>
      <c r="V2839" s="6">
        <v>0</v>
      </c>
      <c r="W2839" s="6">
        <f ca="1">IFERROR(__xludf.DUMMYFUNCTION("IFERROR(GOOGLEFINANCE(B2839,""pe""),V2839)"),688.41)</f>
        <v>688.41</v>
      </c>
      <c r="X2839" s="9"/>
      <c r="Y2839" s="6">
        <v>6.16</v>
      </c>
      <c r="Z2839" s="6">
        <v>1</v>
      </c>
      <c r="AA2839" s="8">
        <v>45352</v>
      </c>
      <c r="AB2839" s="4">
        <v>0</v>
      </c>
      <c r="AC2839" s="6">
        <v>-1.98</v>
      </c>
      <c r="AD2839" s="6">
        <v>-1.64</v>
      </c>
      <c r="AE2839" s="1">
        <v>0</v>
      </c>
      <c r="AF2839" s="1">
        <f ca="1">IFERROR(__xludf.DUMMYFUNCTION("IFERROR(GOOGLEFINANCE(TRIM(F2839)&amp;"":"" &amp; TRIM(B2839),""high52""),AE2839)"),3.26)</f>
        <v>3.26</v>
      </c>
      <c r="AG2839" s="1">
        <v>0</v>
      </c>
      <c r="AH2839" s="1">
        <f ca="1">IFERROR(__xludf.DUMMYFUNCTION("IFERROR(GOOGLEFINANCE(TRIM(F2839)&amp;"":"" &amp; TRIM(B2839),""low52""),AE2839)"),1.53)</f>
        <v>1.53</v>
      </c>
      <c r="AI2839" s="1">
        <f ca="1">IFERROR(__xludf.DUMMYFUNCTION("IFERROR(GOOGLEFINANCE(B2839,""eps""),0)"),0)</f>
        <v>0</v>
      </c>
      <c r="AJ2839" s="1"/>
      <c r="AK2839" s="1" t="s">
        <v>8780</v>
      </c>
      <c r="AL2839" s="9">
        <f t="shared" si="278"/>
        <v>1</v>
      </c>
    </row>
    <row r="2840" spans="1:38" ht="15" x14ac:dyDescent="0.25">
      <c r="A2840" s="1" t="s">
        <v>8781</v>
      </c>
      <c r="B2840" s="1" t="s">
        <v>8782</v>
      </c>
      <c r="C2840" s="1" t="s">
        <v>151</v>
      </c>
      <c r="D2840" s="1" t="s">
        <v>151</v>
      </c>
      <c r="E2840" s="6">
        <v>428.04</v>
      </c>
      <c r="F2840" s="1" t="s">
        <v>40</v>
      </c>
      <c r="G2840" s="6">
        <f ca="1">IFERROR(__xludf.DUMMYFUNCTION("iferror(GOOGLEFINANCE(TRIM(F2840)&amp;"":"" &amp; TRIM(B2840), ""price""),0
)"),0)</f>
        <v>0</v>
      </c>
      <c r="H2840" s="6">
        <v>385</v>
      </c>
      <c r="I2840" s="6">
        <f t="shared" ca="1" si="0"/>
        <v>385</v>
      </c>
      <c r="J2840" s="6">
        <f ca="1">IFERROR(__xludf.DUMMYFUNCTION("IFERROR(GOOGLEFINANCE(B2840, ""volume""), 0)"),0)</f>
        <v>0</v>
      </c>
      <c r="K2840" s="9"/>
      <c r="L2840" s="6" t="str">
        <f ca="1">IFERROR(__xludf.DUMMYFUNCTION("IFERROR(GOOGLEFINANCE(B2840,""changepct""),K2840)"),"")</f>
        <v/>
      </c>
      <c r="M2840" s="6">
        <f ca="1">IFERROR(__xludf.DUMMYFUNCTION("IFERROR(GOOGLEFINANCE(B2840,""change""),0)"),0)</f>
        <v>0</v>
      </c>
      <c r="N2840" s="6">
        <v>1</v>
      </c>
      <c r="O2840" s="7">
        <v>45536</v>
      </c>
      <c r="P2840" s="6">
        <v>43.8</v>
      </c>
      <c r="Q2840" s="6">
        <v>471.84</v>
      </c>
      <c r="R2840" s="7">
        <v>45352</v>
      </c>
      <c r="S2840" s="6">
        <v>79.260000000000005</v>
      </c>
      <c r="T2840" s="6">
        <v>2.0099999999999998</v>
      </c>
      <c r="U2840" s="7">
        <v>45352</v>
      </c>
      <c r="V2840" s="6">
        <v>213.29</v>
      </c>
      <c r="W2840" s="6">
        <f ca="1">IFERROR(__xludf.DUMMYFUNCTION("IFERROR(GOOGLEFINANCE(B2840,""pe""),V2840)"),213.29)</f>
        <v>213.29</v>
      </c>
      <c r="X2840" s="6">
        <v>-19.25</v>
      </c>
      <c r="Y2840" s="6">
        <v>8.5500000000000007</v>
      </c>
      <c r="Z2840" s="6">
        <v>2</v>
      </c>
      <c r="AA2840" s="8">
        <v>45352</v>
      </c>
      <c r="AB2840" s="4">
        <v>0.78</v>
      </c>
      <c r="AC2840" s="6">
        <v>4.01</v>
      </c>
      <c r="AD2840" s="6">
        <v>7.23</v>
      </c>
      <c r="AE2840" s="1">
        <v>0</v>
      </c>
      <c r="AF2840" s="1">
        <f ca="1">IFERROR(__xludf.DUMMYFUNCTION("IFERROR(GOOGLEFINANCE(TRIM(F2840)&amp;"":"" &amp; TRIM(B2840),""high52""),AE2840)"),0)</f>
        <v>0</v>
      </c>
      <c r="AG2840" s="1">
        <v>0</v>
      </c>
      <c r="AH2840" s="1">
        <f ca="1">IFERROR(__xludf.DUMMYFUNCTION("IFERROR(GOOGLEFINANCE(TRIM(F2840)&amp;"":"" &amp; TRIM(B2840),""low52""),AE2840)"),0)</f>
        <v>0</v>
      </c>
      <c r="AI2840" s="1">
        <f ca="1">IFERROR(__xludf.DUMMYFUNCTION("IFERROR(GOOGLEFINANCE(B2840,""eps""),0)"),0)</f>
        <v>0</v>
      </c>
      <c r="AJ2840" s="1"/>
      <c r="AK2840" s="1" t="s">
        <v>8783</v>
      </c>
      <c r="AL2840" s="9">
        <f t="shared" si="278"/>
        <v>1</v>
      </c>
    </row>
    <row r="2841" spans="1:38" ht="15" x14ac:dyDescent="0.25">
      <c r="A2841" s="1" t="s">
        <v>8784</v>
      </c>
      <c r="B2841" s="1" t="s">
        <v>8785</v>
      </c>
      <c r="C2841" s="1" t="s">
        <v>4423</v>
      </c>
      <c r="D2841" s="1" t="s">
        <v>4423</v>
      </c>
      <c r="E2841" s="6">
        <v>708.18</v>
      </c>
      <c r="F2841" s="1" t="s">
        <v>53</v>
      </c>
      <c r="G2841" s="6">
        <f ca="1">IFERROR(__xludf.DUMMYFUNCTION("iferror(GOOGLEFINANCE(TRIM(F2841)&amp;"":"" &amp; TRIM(B2841), ""price""),0
)"),0)</f>
        <v>0</v>
      </c>
      <c r="H2841" s="6">
        <v>597.9</v>
      </c>
      <c r="I2841" s="6">
        <f t="shared" ca="1" si="0"/>
        <v>597.9</v>
      </c>
      <c r="J2841" s="6">
        <f ca="1">IFERROR(__xludf.DUMMYFUNCTION("IFERROR(GOOGLEFINANCE(B2841, ""volume""), 0)"),0)</f>
        <v>0</v>
      </c>
      <c r="K2841" s="6">
        <v>1.34</v>
      </c>
      <c r="L2841" s="6">
        <f ca="1">IFERROR(__xludf.DUMMYFUNCTION("IFERROR(GOOGLEFINANCE(B2841,""changepct""),K2841)"),1.34)</f>
        <v>1.34</v>
      </c>
      <c r="M2841" s="6">
        <f ca="1">IFERROR(__xludf.DUMMYFUNCTION("IFERROR(GOOGLEFINANCE(B2841,""change""),0)"),0)</f>
        <v>0</v>
      </c>
      <c r="N2841" s="6">
        <v>2</v>
      </c>
      <c r="O2841" s="7">
        <v>45536</v>
      </c>
      <c r="P2841" s="9"/>
      <c r="Q2841" s="6">
        <v>708.18</v>
      </c>
      <c r="R2841" s="7">
        <v>45536</v>
      </c>
      <c r="S2841" s="6">
        <v>59.49</v>
      </c>
      <c r="T2841" s="6">
        <v>16.899999999999999</v>
      </c>
      <c r="U2841" s="7">
        <v>45536</v>
      </c>
      <c r="V2841" s="6">
        <v>41.91</v>
      </c>
      <c r="W2841" s="6">
        <f ca="1">IFERROR(__xludf.DUMMYFUNCTION("IFERROR(GOOGLEFINANCE(B2841,""pe""),V2841)"),41.91)</f>
        <v>41.91</v>
      </c>
      <c r="X2841" s="12"/>
      <c r="Y2841" s="6">
        <v>7.38</v>
      </c>
      <c r="Z2841" s="6">
        <v>2</v>
      </c>
      <c r="AA2841" s="8">
        <v>45352</v>
      </c>
      <c r="AB2841" s="4">
        <v>0</v>
      </c>
      <c r="AC2841" s="6">
        <v>18.21</v>
      </c>
      <c r="AD2841" s="6">
        <v>24.42</v>
      </c>
      <c r="AE2841" s="1">
        <v>0</v>
      </c>
      <c r="AF2841" s="1">
        <f ca="1">IFERROR(__xludf.DUMMYFUNCTION("IFERROR(GOOGLEFINANCE(TRIM(F2841)&amp;"":"" &amp; TRIM(B2841),""high52""),AE2841)"),0)</f>
        <v>0</v>
      </c>
      <c r="AG2841" s="1">
        <v>0</v>
      </c>
      <c r="AH2841" s="1">
        <f ca="1">IFERROR(__xludf.DUMMYFUNCTION("IFERROR(GOOGLEFINANCE(TRIM(F2841)&amp;"":"" &amp; TRIM(B2841),""low52""),AE2841)"),0)</f>
        <v>0</v>
      </c>
      <c r="AI2841" s="1">
        <f ca="1">IFERROR(__xludf.DUMMYFUNCTION("IFERROR(GOOGLEFINANCE(B2841,""eps""),0)"),0)</f>
        <v>0</v>
      </c>
      <c r="AJ2841" s="1"/>
      <c r="AK2841" s="1" t="s">
        <v>8786</v>
      </c>
      <c r="AL2841" s="9">
        <f t="shared" si="278"/>
        <v>1</v>
      </c>
    </row>
    <row r="2842" spans="1:38" ht="15" x14ac:dyDescent="0.25">
      <c r="A2842" s="1" t="s">
        <v>8787</v>
      </c>
      <c r="B2842" s="1" t="s">
        <v>8788</v>
      </c>
      <c r="C2842" s="1" t="s">
        <v>4423</v>
      </c>
      <c r="D2842" s="1" t="s">
        <v>4423</v>
      </c>
      <c r="E2842" s="6">
        <v>108.15</v>
      </c>
      <c r="F2842" s="1" t="s">
        <v>53</v>
      </c>
      <c r="G2842" s="6">
        <f ca="1">IFERROR(__xludf.DUMMYFUNCTION("iferror(GOOGLEFINANCE(TRIM(F2842)&amp;"":"" &amp; TRIM(B2842), ""price""),0
)"),0)</f>
        <v>0</v>
      </c>
      <c r="H2842" s="6">
        <v>80.099999999999994</v>
      </c>
      <c r="I2842" s="6">
        <f t="shared" ca="1" si="0"/>
        <v>80.099999999999994</v>
      </c>
      <c r="J2842" s="6">
        <f ca="1">IFERROR(__xludf.DUMMYFUNCTION("IFERROR(GOOGLEFINANCE(B2842, ""volume""), 0)"),0)</f>
        <v>0</v>
      </c>
      <c r="K2842" s="6">
        <v>-2.14</v>
      </c>
      <c r="L2842" s="6">
        <f ca="1">IFERROR(__xludf.DUMMYFUNCTION("IFERROR(GOOGLEFINANCE(B2842,""changepct""),K2842)"),-2.14)</f>
        <v>-2.14</v>
      </c>
      <c r="M2842" s="6">
        <f ca="1">IFERROR(__xludf.DUMMYFUNCTION("IFERROR(GOOGLEFINANCE(B2842,""change""),0)"),0)</f>
        <v>0</v>
      </c>
      <c r="N2842" s="6">
        <v>1</v>
      </c>
      <c r="O2842" s="7">
        <v>45536</v>
      </c>
      <c r="P2842" s="6">
        <v>28.12</v>
      </c>
      <c r="Q2842" s="6">
        <v>136.11000000000001</v>
      </c>
      <c r="R2842" s="7">
        <v>45536</v>
      </c>
      <c r="S2842" s="6">
        <v>44.96</v>
      </c>
      <c r="T2842" s="6">
        <v>3.27</v>
      </c>
      <c r="U2842" s="7">
        <v>45536</v>
      </c>
      <c r="V2842" s="6">
        <v>33.11</v>
      </c>
      <c r="W2842" s="6">
        <f ca="1">IFERROR(__xludf.DUMMYFUNCTION("IFERROR(GOOGLEFINANCE(B2842,""pe""),V2842)"),33.11)</f>
        <v>33.11</v>
      </c>
      <c r="X2842" s="6">
        <v>1.08</v>
      </c>
      <c r="Y2842" s="6">
        <v>4.8099999999999996</v>
      </c>
      <c r="Z2842" s="6">
        <v>1</v>
      </c>
      <c r="AA2842" s="8">
        <v>45352</v>
      </c>
      <c r="AB2842" s="4">
        <v>2.39</v>
      </c>
      <c r="AC2842" s="6">
        <v>36.32</v>
      </c>
      <c r="AD2842" s="6">
        <v>19.579999999999998</v>
      </c>
      <c r="AE2842" s="1">
        <v>0</v>
      </c>
      <c r="AF2842" s="1">
        <f ca="1">IFERROR(__xludf.DUMMYFUNCTION("IFERROR(GOOGLEFINANCE(TRIM(F2842)&amp;"":"" &amp; TRIM(B2842),""high52""),AE2842)"),0)</f>
        <v>0</v>
      </c>
      <c r="AG2842" s="1">
        <v>0</v>
      </c>
      <c r="AH2842" s="1">
        <f ca="1">IFERROR(__xludf.DUMMYFUNCTION("IFERROR(GOOGLEFINANCE(TRIM(F2842)&amp;"":"" &amp; TRIM(B2842),""low52""),AE2842)"),0)</f>
        <v>0</v>
      </c>
      <c r="AI2842" s="1">
        <f ca="1">IFERROR(__xludf.DUMMYFUNCTION("IFERROR(GOOGLEFINANCE(B2842,""eps""),0)"),0)</f>
        <v>0</v>
      </c>
      <c r="AJ2842" s="1"/>
      <c r="AK2842" s="1" t="s">
        <v>8789</v>
      </c>
      <c r="AL2842" s="9">
        <f t="shared" si="278"/>
        <v>1</v>
      </c>
    </row>
    <row r="2843" spans="1:38" ht="15" x14ac:dyDescent="0.25">
      <c r="A2843" s="1" t="s">
        <v>8790</v>
      </c>
      <c r="B2843" s="1" t="s">
        <v>8791</v>
      </c>
      <c r="C2843" s="1" t="s">
        <v>4423</v>
      </c>
      <c r="D2843" s="1" t="s">
        <v>4423</v>
      </c>
      <c r="E2843" s="6">
        <v>44.99</v>
      </c>
      <c r="F2843" s="1" t="s">
        <v>53</v>
      </c>
      <c r="G2843" s="6">
        <f ca="1">IFERROR(__xludf.DUMMYFUNCTION("iferror(GOOGLEFINANCE(TRIM(F2843)&amp;"":"" &amp; TRIM(B2843), ""price""),0
)"),0)</f>
        <v>0</v>
      </c>
      <c r="H2843" s="6">
        <v>125.1</v>
      </c>
      <c r="I2843" s="6">
        <f t="shared" ca="1" si="0"/>
        <v>125.1</v>
      </c>
      <c r="J2843" s="6">
        <f ca="1">IFERROR(__xludf.DUMMYFUNCTION("IFERROR(GOOGLEFINANCE(B2843, ""volume""), 0)"),0)</f>
        <v>0</v>
      </c>
      <c r="K2843" s="6">
        <v>0.08</v>
      </c>
      <c r="L2843" s="6">
        <f ca="1">IFERROR(__xludf.DUMMYFUNCTION("IFERROR(GOOGLEFINANCE(B2843,""changepct""),K2843)"),0.08)</f>
        <v>0.08</v>
      </c>
      <c r="M2843" s="6">
        <f ca="1">IFERROR(__xludf.DUMMYFUNCTION("IFERROR(GOOGLEFINANCE(B2843,""change""),0)"),0)</f>
        <v>0</v>
      </c>
      <c r="N2843" s="6">
        <v>2</v>
      </c>
      <c r="O2843" s="7">
        <v>45536</v>
      </c>
      <c r="P2843" s="6">
        <v>6.06</v>
      </c>
      <c r="Q2843" s="6">
        <v>49.91</v>
      </c>
      <c r="R2843" s="7">
        <v>45536</v>
      </c>
      <c r="S2843" s="6">
        <v>19.84</v>
      </c>
      <c r="T2843" s="6">
        <v>2.2400000000000002</v>
      </c>
      <c r="U2843" s="7">
        <v>45536</v>
      </c>
      <c r="V2843" s="6">
        <v>20.14</v>
      </c>
      <c r="W2843" s="6">
        <f ca="1">IFERROR(__xludf.DUMMYFUNCTION("IFERROR(GOOGLEFINANCE(B2843,""pe""),V2843)"),20.14)</f>
        <v>20.14</v>
      </c>
      <c r="X2843" s="6">
        <v>0.23</v>
      </c>
      <c r="Y2843" s="6">
        <v>3.35</v>
      </c>
      <c r="Z2843" s="6">
        <v>2</v>
      </c>
      <c r="AA2843" s="8">
        <v>45352</v>
      </c>
      <c r="AB2843" s="4">
        <v>0.33</v>
      </c>
      <c r="AC2843" s="6">
        <v>29.58</v>
      </c>
      <c r="AD2843" s="6">
        <v>34.76</v>
      </c>
      <c r="AE2843" s="1">
        <v>0</v>
      </c>
      <c r="AF2843" s="1">
        <f ca="1">IFERROR(__xludf.DUMMYFUNCTION("IFERROR(GOOGLEFINANCE(TRIM(F2843)&amp;"":"" &amp; TRIM(B2843),""high52""),AE2843)"),0)</f>
        <v>0</v>
      </c>
      <c r="AG2843" s="1">
        <v>0</v>
      </c>
      <c r="AH2843" s="1">
        <f ca="1">IFERROR(__xludf.DUMMYFUNCTION("IFERROR(GOOGLEFINANCE(TRIM(F2843)&amp;"":"" &amp; TRIM(B2843),""low52""),AE2843)"),0)</f>
        <v>0</v>
      </c>
      <c r="AI2843" s="1">
        <f ca="1">IFERROR(__xludf.DUMMYFUNCTION("IFERROR(GOOGLEFINANCE(B2843,""eps""),0)"),0)</f>
        <v>0</v>
      </c>
      <c r="AJ2843" s="1"/>
      <c r="AK2843" s="1" t="s">
        <v>8792</v>
      </c>
      <c r="AL2843" s="9">
        <f t="shared" si="278"/>
        <v>1</v>
      </c>
    </row>
    <row r="2844" spans="1:38" ht="15" x14ac:dyDescent="0.25">
      <c r="A2844" s="1" t="s">
        <v>8793</v>
      </c>
      <c r="B2844" s="1" t="s">
        <v>8794</v>
      </c>
      <c r="C2844" s="1" t="s">
        <v>487</v>
      </c>
      <c r="D2844" s="1" t="s">
        <v>487</v>
      </c>
      <c r="E2844" s="6">
        <v>1041.3900000000001</v>
      </c>
      <c r="F2844" s="1" t="s">
        <v>40</v>
      </c>
      <c r="G2844" s="6">
        <f ca="1">IFERROR(__xludf.DUMMYFUNCTION("iferror(GOOGLEFINANCE(TRIM(F2844)&amp;"":"" &amp; TRIM(B2844), ""price""),0
)"),8.55)</f>
        <v>8.5500000000000007</v>
      </c>
      <c r="H2844" s="6">
        <v>23.58</v>
      </c>
      <c r="I2844" s="6">
        <f t="shared" ca="1" si="0"/>
        <v>8.5500000000000007</v>
      </c>
      <c r="J2844" s="6">
        <f ca="1">IFERROR(__xludf.DUMMYFUNCTION("IFERROR(GOOGLEFINANCE(B2844, ""volume""), 0)"),347031)</f>
        <v>347031</v>
      </c>
      <c r="K2844" s="6">
        <v>-2.04</v>
      </c>
      <c r="L2844" s="6">
        <f ca="1">IFERROR(__xludf.DUMMYFUNCTION("IFERROR(GOOGLEFINANCE(B2844,""changepct""),K2844)"),-1.38)</f>
        <v>-1.38</v>
      </c>
      <c r="M2844" s="6">
        <f ca="1">IFERROR(__xludf.DUMMYFUNCTION("IFERROR(GOOGLEFINANCE(B2844,""change""),0)"),-0.12)</f>
        <v>-0.12</v>
      </c>
      <c r="N2844" s="6">
        <v>2</v>
      </c>
      <c r="O2844" s="7">
        <v>45536</v>
      </c>
      <c r="P2844" s="6">
        <v>2648.61</v>
      </c>
      <c r="Q2844" s="6">
        <v>3616.13</v>
      </c>
      <c r="R2844" s="7">
        <v>45536</v>
      </c>
      <c r="S2844" s="6">
        <v>429.88</v>
      </c>
      <c r="T2844" s="6">
        <v>-552.78</v>
      </c>
      <c r="U2844" s="7">
        <v>45536</v>
      </c>
      <c r="V2844" s="6">
        <v>0</v>
      </c>
      <c r="W2844" s="6">
        <f ca="1">IFERROR(__xludf.DUMMYFUNCTION("IFERROR(GOOGLEFINANCE(B2844,""pe""),V2844)"),0)</f>
        <v>0</v>
      </c>
      <c r="X2844" s="6">
        <v>0</v>
      </c>
      <c r="Y2844" s="6">
        <v>-0.54</v>
      </c>
      <c r="Z2844" s="6">
        <v>2</v>
      </c>
      <c r="AA2844" s="8">
        <v>45352</v>
      </c>
      <c r="AB2844" s="4">
        <v>-1.68</v>
      </c>
      <c r="AC2844" s="6">
        <v>0</v>
      </c>
      <c r="AD2844" s="6">
        <v>-2.9</v>
      </c>
      <c r="AE2844" s="1">
        <v>0</v>
      </c>
      <c r="AF2844" s="1">
        <f ca="1">IFERROR(__xludf.DUMMYFUNCTION("IFERROR(GOOGLEFINANCE(TRIM(F2844)&amp;"":"" &amp; TRIM(B2844),""high52""),AE2844)"),27.39)</f>
        <v>27.39</v>
      </c>
      <c r="AG2844" s="1">
        <v>0</v>
      </c>
      <c r="AH2844" s="1">
        <f ca="1">IFERROR(__xludf.DUMMYFUNCTION("IFERROR(GOOGLEFINANCE(TRIM(F2844)&amp;"":"" &amp; TRIM(B2844),""low52""),AE2844)"),8.2)</f>
        <v>8.1999999999999993</v>
      </c>
      <c r="AI2844" s="1">
        <f ca="1">IFERROR(__xludf.DUMMYFUNCTION("IFERROR(GOOGLEFINANCE(B2844,""eps""),0)"),-7.61)</f>
        <v>-7.61</v>
      </c>
      <c r="AJ2844" s="1"/>
      <c r="AK2844" s="1" t="s">
        <v>8795</v>
      </c>
      <c r="AL2844" s="9">
        <f t="shared" si="278"/>
        <v>1</v>
      </c>
    </row>
    <row r="2845" spans="1:38" ht="15" x14ac:dyDescent="0.25">
      <c r="A2845" s="1" t="s">
        <v>8796</v>
      </c>
      <c r="B2845" s="1" t="s">
        <v>8797</v>
      </c>
      <c r="C2845" s="1" t="s">
        <v>4967</v>
      </c>
      <c r="D2845" s="1" t="s">
        <v>4967</v>
      </c>
      <c r="E2845" s="6">
        <v>25.9</v>
      </c>
      <c r="F2845" s="1" t="s">
        <v>53</v>
      </c>
      <c r="G2845" s="6">
        <f ca="1">IFERROR(__xludf.DUMMYFUNCTION("iferror(GOOGLEFINANCE(TRIM(F2845)&amp;"":"" &amp; TRIM(B2845), ""price""),0
)"),0)</f>
        <v>0</v>
      </c>
      <c r="H2845" s="6">
        <v>42</v>
      </c>
      <c r="I2845" s="6">
        <f t="shared" ca="1" si="0"/>
        <v>42</v>
      </c>
      <c r="J2845" s="6">
        <f ca="1">IFERROR(__xludf.DUMMYFUNCTION("IFERROR(GOOGLEFINANCE(B2845, ""volume""), 0)"),0)</f>
        <v>0</v>
      </c>
      <c r="K2845" s="6">
        <v>-2.78</v>
      </c>
      <c r="L2845" s="6">
        <f ca="1">IFERROR(__xludf.DUMMYFUNCTION("IFERROR(GOOGLEFINANCE(B2845,""changepct""),K2845)"),-2.78)</f>
        <v>-2.78</v>
      </c>
      <c r="M2845" s="6">
        <f ca="1">IFERROR(__xludf.DUMMYFUNCTION("IFERROR(GOOGLEFINANCE(B2845,""change""),0)"),0)</f>
        <v>0</v>
      </c>
      <c r="N2845" s="6">
        <v>1</v>
      </c>
      <c r="O2845" s="7">
        <v>45536</v>
      </c>
      <c r="P2845" s="6">
        <v>4.9400000000000004</v>
      </c>
      <c r="Q2845" s="6">
        <v>30.84</v>
      </c>
      <c r="R2845" s="7">
        <v>45536</v>
      </c>
      <c r="S2845" s="6">
        <v>29.53</v>
      </c>
      <c r="T2845" s="6">
        <v>0.65</v>
      </c>
      <c r="U2845" s="7">
        <v>45536</v>
      </c>
      <c r="V2845" s="6">
        <v>39.67</v>
      </c>
      <c r="W2845" s="6">
        <f ca="1">IFERROR(__xludf.DUMMYFUNCTION("IFERROR(GOOGLEFINANCE(B2845,""pe""),V2845)"),39.67)</f>
        <v>39.67</v>
      </c>
      <c r="X2845" s="6">
        <v>1.1499999999999999</v>
      </c>
      <c r="Y2845" s="6">
        <v>3.01</v>
      </c>
      <c r="Z2845" s="6">
        <v>1</v>
      </c>
      <c r="AA2845" s="8">
        <v>45352</v>
      </c>
      <c r="AB2845" s="4">
        <v>0.77</v>
      </c>
      <c r="AC2845" s="6">
        <v>6.56</v>
      </c>
      <c r="AD2845" s="6">
        <v>10.24</v>
      </c>
      <c r="AE2845" s="1">
        <v>0</v>
      </c>
      <c r="AF2845" s="1">
        <f ca="1">IFERROR(__xludf.DUMMYFUNCTION("IFERROR(GOOGLEFINANCE(TRIM(F2845)&amp;"":"" &amp; TRIM(B2845),""high52""),AE2845)"),0)</f>
        <v>0</v>
      </c>
      <c r="AG2845" s="1">
        <v>0</v>
      </c>
      <c r="AH2845" s="1">
        <f ca="1">IFERROR(__xludf.DUMMYFUNCTION("IFERROR(GOOGLEFINANCE(TRIM(F2845)&amp;"":"" &amp; TRIM(B2845),""low52""),AE2845)"),0)</f>
        <v>0</v>
      </c>
      <c r="AI2845" s="1">
        <f ca="1">IFERROR(__xludf.DUMMYFUNCTION("IFERROR(GOOGLEFINANCE(B2845,""eps""),0)"),0)</f>
        <v>0</v>
      </c>
      <c r="AJ2845" s="1"/>
      <c r="AK2845" s="1" t="s">
        <v>8798</v>
      </c>
      <c r="AL2845" s="9">
        <f t="shared" si="278"/>
        <v>1</v>
      </c>
    </row>
    <row r="2846" spans="1:38" ht="15" x14ac:dyDescent="0.25">
      <c r="A2846" s="1" t="s">
        <v>8799</v>
      </c>
      <c r="B2846" s="1" t="s">
        <v>8800</v>
      </c>
      <c r="C2846" s="1" t="s">
        <v>4967</v>
      </c>
      <c r="D2846" s="1" t="s">
        <v>4967</v>
      </c>
      <c r="E2846" s="6">
        <v>8.14</v>
      </c>
      <c r="F2846" s="1" t="s">
        <v>53</v>
      </c>
      <c r="G2846" s="6">
        <f ca="1">IFERROR(__xludf.DUMMYFUNCTION("iferror(GOOGLEFINANCE(TRIM(F2846)&amp;"":"" &amp; TRIM(B2846), ""price""),0
)"),0)</f>
        <v>0</v>
      </c>
      <c r="H2846" s="6">
        <v>18.45</v>
      </c>
      <c r="I2846" s="6">
        <f t="shared" ca="1" si="0"/>
        <v>18.45</v>
      </c>
      <c r="J2846" s="6">
        <f ca="1">IFERROR(__xludf.DUMMYFUNCTION("IFERROR(GOOGLEFINANCE(B2846, ""volume""), 0)"),0)</f>
        <v>0</v>
      </c>
      <c r="K2846" s="6">
        <v>-1.97</v>
      </c>
      <c r="L2846" s="6">
        <f ca="1">IFERROR(__xludf.DUMMYFUNCTION("IFERROR(GOOGLEFINANCE(B2846,""changepct""),K2846)"),-1.97)</f>
        <v>-1.97</v>
      </c>
      <c r="M2846" s="6">
        <f ca="1">IFERROR(__xludf.DUMMYFUNCTION("IFERROR(GOOGLEFINANCE(B2846,""change""),0)"),0)</f>
        <v>0</v>
      </c>
      <c r="N2846" s="6">
        <v>1</v>
      </c>
      <c r="O2846" s="7">
        <v>45536</v>
      </c>
      <c r="P2846" s="9"/>
      <c r="Q2846" s="6">
        <v>8.14</v>
      </c>
      <c r="R2846" s="7">
        <v>45536</v>
      </c>
      <c r="S2846" s="6">
        <v>0.16</v>
      </c>
      <c r="T2846" s="6">
        <v>-0.01</v>
      </c>
      <c r="U2846" s="7">
        <v>45536</v>
      </c>
      <c r="V2846" s="6">
        <v>0</v>
      </c>
      <c r="W2846" s="6">
        <f ca="1">IFERROR(__xludf.DUMMYFUNCTION("IFERROR(GOOGLEFINANCE(B2846,""pe""),V2846)"),0)</f>
        <v>0</v>
      </c>
      <c r="X2846" s="12"/>
      <c r="Y2846" s="6">
        <v>11.52</v>
      </c>
      <c r="Z2846" s="6">
        <v>1</v>
      </c>
      <c r="AA2846" s="8">
        <v>45352</v>
      </c>
      <c r="AB2846" s="4">
        <v>0</v>
      </c>
      <c r="AC2846" s="6">
        <v>-2.77</v>
      </c>
      <c r="AD2846" s="6">
        <v>-2.77</v>
      </c>
      <c r="AE2846" s="1">
        <v>0</v>
      </c>
      <c r="AF2846" s="1">
        <f ca="1">IFERROR(__xludf.DUMMYFUNCTION("IFERROR(GOOGLEFINANCE(TRIM(F2846)&amp;"":"" &amp; TRIM(B2846),""high52""),AE2846)"),0)</f>
        <v>0</v>
      </c>
      <c r="AG2846" s="1">
        <v>0</v>
      </c>
      <c r="AH2846" s="1">
        <f ca="1">IFERROR(__xludf.DUMMYFUNCTION("IFERROR(GOOGLEFINANCE(TRIM(F2846)&amp;"":"" &amp; TRIM(B2846),""low52""),AE2846)"),0)</f>
        <v>0</v>
      </c>
      <c r="AI2846" s="1">
        <f ca="1">IFERROR(__xludf.DUMMYFUNCTION("IFERROR(GOOGLEFINANCE(B2846,""eps""),0)"),0)</f>
        <v>0</v>
      </c>
      <c r="AJ2846" s="1"/>
      <c r="AK2846" s="1" t="s">
        <v>8801</v>
      </c>
      <c r="AL2846" s="9">
        <f t="shared" si="278"/>
        <v>1</v>
      </c>
    </row>
    <row r="2847" spans="1:38" ht="15" x14ac:dyDescent="0.25">
      <c r="A2847" s="1" t="s">
        <v>8802</v>
      </c>
      <c r="B2847" s="1" t="s">
        <v>8803</v>
      </c>
      <c r="C2847" s="1" t="s">
        <v>4967</v>
      </c>
      <c r="D2847" s="1" t="s">
        <v>4967</v>
      </c>
      <c r="E2847" s="6">
        <v>8623.1</v>
      </c>
      <c r="F2847" s="1" t="s">
        <v>53</v>
      </c>
      <c r="G2847" s="6">
        <f ca="1">IFERROR(__xludf.DUMMYFUNCTION("iferror(GOOGLEFINANCE(TRIM(F2847)&amp;"":"" &amp; TRIM(B2847), ""price""),0
)"),0)</f>
        <v>0</v>
      </c>
      <c r="H2847" s="6">
        <v>4387.3500000000004</v>
      </c>
      <c r="I2847" s="6">
        <f t="shared" ca="1" si="0"/>
        <v>4387.3500000000004</v>
      </c>
      <c r="J2847" s="6">
        <f ca="1">IFERROR(__xludf.DUMMYFUNCTION("IFERROR(GOOGLEFINANCE(B2847, ""volume""), 0)"),0)</f>
        <v>0</v>
      </c>
      <c r="K2847" s="6">
        <v>1.76</v>
      </c>
      <c r="L2847" s="6">
        <f ca="1">IFERROR(__xludf.DUMMYFUNCTION("IFERROR(GOOGLEFINANCE(B2847,""changepct""),K2847)"),1.76)</f>
        <v>1.76</v>
      </c>
      <c r="M2847" s="6">
        <f ca="1">IFERROR(__xludf.DUMMYFUNCTION("IFERROR(GOOGLEFINANCE(B2847,""change""),0)"),0)</f>
        <v>0</v>
      </c>
      <c r="N2847" s="6">
        <v>1</v>
      </c>
      <c r="O2847" s="7">
        <v>45536</v>
      </c>
      <c r="P2847" s="9"/>
      <c r="Q2847" s="6">
        <v>8623.1</v>
      </c>
      <c r="R2847" s="7">
        <v>45536</v>
      </c>
      <c r="S2847" s="6">
        <v>24.23</v>
      </c>
      <c r="T2847" s="6">
        <v>16.579999999999998</v>
      </c>
      <c r="U2847" s="7">
        <v>45536</v>
      </c>
      <c r="V2847" s="6">
        <v>520</v>
      </c>
      <c r="W2847" s="6">
        <f ca="1">IFERROR(__xludf.DUMMYFUNCTION("IFERROR(GOOGLEFINANCE(B2847,""pe""),V2847)"),520)</f>
        <v>520</v>
      </c>
      <c r="X2847" s="6">
        <v>20.5</v>
      </c>
      <c r="Y2847" s="6">
        <v>32.35</v>
      </c>
      <c r="Z2847" s="6">
        <v>1</v>
      </c>
      <c r="AA2847" s="8">
        <v>45352</v>
      </c>
      <c r="AB2847" s="4">
        <v>0</v>
      </c>
      <c r="AC2847" s="6">
        <v>5.85</v>
      </c>
      <c r="AD2847" s="6">
        <v>7.92</v>
      </c>
      <c r="AE2847" s="1">
        <v>0</v>
      </c>
      <c r="AF2847" s="1">
        <f ca="1">IFERROR(__xludf.DUMMYFUNCTION("IFERROR(GOOGLEFINANCE(TRIM(F2847)&amp;"":"" &amp; TRIM(B2847),""high52""),AE2847)"),0)</f>
        <v>0</v>
      </c>
      <c r="AG2847" s="1">
        <v>0</v>
      </c>
      <c r="AH2847" s="1">
        <f ca="1">IFERROR(__xludf.DUMMYFUNCTION("IFERROR(GOOGLEFINANCE(TRIM(F2847)&amp;"":"" &amp; TRIM(B2847),""low52""),AE2847)"),0)</f>
        <v>0</v>
      </c>
      <c r="AI2847" s="1">
        <f ca="1">IFERROR(__xludf.DUMMYFUNCTION("IFERROR(GOOGLEFINANCE(B2847,""eps""),0)"),0)</f>
        <v>0</v>
      </c>
      <c r="AJ2847" s="1"/>
      <c r="AK2847" s="1" t="s">
        <v>8804</v>
      </c>
      <c r="AL2847" s="9">
        <f t="shared" si="278"/>
        <v>1</v>
      </c>
    </row>
    <row r="2848" spans="1:38" ht="15" x14ac:dyDescent="0.25">
      <c r="A2848" s="1" t="s">
        <v>8805</v>
      </c>
      <c r="B2848" s="1" t="s">
        <v>8806</v>
      </c>
      <c r="C2848" s="1" t="s">
        <v>159</v>
      </c>
      <c r="D2848" s="1" t="s">
        <v>159</v>
      </c>
      <c r="E2848" s="6">
        <v>151.15</v>
      </c>
      <c r="F2848" s="1" t="s">
        <v>40</v>
      </c>
      <c r="G2848" s="6">
        <f ca="1">IFERROR(__xludf.DUMMYFUNCTION("iferror(GOOGLEFINANCE(TRIM(F2848)&amp;"":"" &amp; TRIM(B2848), ""price""),0
)"),0)</f>
        <v>0</v>
      </c>
      <c r="H2848" s="6">
        <v>132</v>
      </c>
      <c r="I2848" s="6">
        <f t="shared" ca="1" si="0"/>
        <v>132</v>
      </c>
      <c r="J2848" s="6">
        <f ca="1">IFERROR(__xludf.DUMMYFUNCTION("IFERROR(GOOGLEFINANCE(B2848, ""volume""), 0)"),0)</f>
        <v>0</v>
      </c>
      <c r="K2848" s="6">
        <v>-1.86</v>
      </c>
      <c r="L2848" s="6">
        <f ca="1">IFERROR(__xludf.DUMMYFUNCTION("IFERROR(GOOGLEFINANCE(B2848,""changepct""),K2848)"),-1.86)</f>
        <v>-1.86</v>
      </c>
      <c r="M2848" s="6">
        <f ca="1">IFERROR(__xludf.DUMMYFUNCTION("IFERROR(GOOGLEFINANCE(B2848,""change""),0)"),0)</f>
        <v>0</v>
      </c>
      <c r="N2848" s="6">
        <v>1</v>
      </c>
      <c r="O2848" s="7">
        <v>45536</v>
      </c>
      <c r="P2848" s="6">
        <v>6.24</v>
      </c>
      <c r="Q2848" s="6">
        <v>157.38999999999999</v>
      </c>
      <c r="R2848" s="7">
        <v>45352</v>
      </c>
      <c r="S2848" s="6">
        <v>60.79</v>
      </c>
      <c r="T2848" s="6">
        <v>6.22</v>
      </c>
      <c r="U2848" s="7">
        <v>45352</v>
      </c>
      <c r="V2848" s="6">
        <v>24.3</v>
      </c>
      <c r="W2848" s="6">
        <f ca="1">IFERROR(__xludf.DUMMYFUNCTION("IFERROR(GOOGLEFINANCE(B2848,""pe""),V2848)"),24.3)</f>
        <v>24.3</v>
      </c>
      <c r="X2848" s="9"/>
      <c r="Y2848" s="6">
        <v>5.22</v>
      </c>
      <c r="Z2848" s="6">
        <v>2</v>
      </c>
      <c r="AA2848" s="8">
        <v>45352</v>
      </c>
      <c r="AB2848" s="4">
        <v>0.04</v>
      </c>
      <c r="AC2848" s="6">
        <v>24.22</v>
      </c>
      <c r="AD2848" s="6">
        <v>30.15</v>
      </c>
      <c r="AE2848" s="1">
        <v>0</v>
      </c>
      <c r="AF2848" s="1">
        <f ca="1">IFERROR(__xludf.DUMMYFUNCTION("IFERROR(GOOGLEFINANCE(TRIM(F2848)&amp;"":"" &amp; TRIM(B2848),""high52""),AE2848)"),0)</f>
        <v>0</v>
      </c>
      <c r="AG2848" s="1">
        <v>0</v>
      </c>
      <c r="AH2848" s="1">
        <f ca="1">IFERROR(__xludf.DUMMYFUNCTION("IFERROR(GOOGLEFINANCE(TRIM(F2848)&amp;"":"" &amp; TRIM(B2848),""low52""),AE2848)"),0)</f>
        <v>0</v>
      </c>
      <c r="AI2848" s="1">
        <f ca="1">IFERROR(__xludf.DUMMYFUNCTION("IFERROR(GOOGLEFINANCE(B2848,""eps""),0)"),0)</f>
        <v>0</v>
      </c>
      <c r="AJ2848" s="1"/>
      <c r="AK2848" s="9"/>
      <c r="AL2848" s="9">
        <f t="shared" si="278"/>
        <v>1</v>
      </c>
    </row>
    <row r="2849" spans="1:38" ht="15" x14ac:dyDescent="0.25">
      <c r="A2849" s="1" t="s">
        <v>8807</v>
      </c>
      <c r="B2849" s="1" t="s">
        <v>8808</v>
      </c>
      <c r="C2849" s="1" t="s">
        <v>4967</v>
      </c>
      <c r="D2849" s="1" t="s">
        <v>4967</v>
      </c>
      <c r="E2849" s="6">
        <v>151.26</v>
      </c>
      <c r="F2849" s="1" t="s">
        <v>53</v>
      </c>
      <c r="G2849" s="6">
        <f ca="1">IFERROR(__xludf.DUMMYFUNCTION("iferror(GOOGLEFINANCE(TRIM(F2849)&amp;"":"" &amp; TRIM(B2849), ""price""),0
)"),0)</f>
        <v>0</v>
      </c>
      <c r="H2849" s="6">
        <v>307.7</v>
      </c>
      <c r="I2849" s="6">
        <f t="shared" ca="1" si="0"/>
        <v>307.7</v>
      </c>
      <c r="J2849" s="6">
        <f ca="1">IFERROR(__xludf.DUMMYFUNCTION("IFERROR(GOOGLEFINANCE(B2849, ""volume""), 0)"),0)</f>
        <v>0</v>
      </c>
      <c r="K2849" s="6">
        <v>3.27</v>
      </c>
      <c r="L2849" s="6">
        <f ca="1">IFERROR(__xludf.DUMMYFUNCTION("IFERROR(GOOGLEFINANCE(B2849,""changepct""),K2849)"),3.27)</f>
        <v>3.27</v>
      </c>
      <c r="M2849" s="6">
        <f ca="1">IFERROR(__xludf.DUMMYFUNCTION("IFERROR(GOOGLEFINANCE(B2849,""change""),0)"),0)</f>
        <v>0</v>
      </c>
      <c r="N2849" s="6">
        <v>1</v>
      </c>
      <c r="O2849" s="7">
        <v>45536</v>
      </c>
      <c r="P2849" s="6">
        <v>26.29</v>
      </c>
      <c r="Q2849" s="6">
        <v>176.76</v>
      </c>
      <c r="R2849" s="7">
        <v>45536</v>
      </c>
      <c r="S2849" s="6">
        <v>191.19</v>
      </c>
      <c r="T2849" s="6">
        <v>11.18</v>
      </c>
      <c r="U2849" s="7">
        <v>45536</v>
      </c>
      <c r="V2849" s="6">
        <v>13.53</v>
      </c>
      <c r="W2849" s="6">
        <f ca="1">IFERROR(__xludf.DUMMYFUNCTION("IFERROR(GOOGLEFINANCE(B2849,""pe""),V2849)"),13.53)</f>
        <v>13.53</v>
      </c>
      <c r="X2849" s="6">
        <v>0.87</v>
      </c>
      <c r="Y2849" s="6">
        <v>2.74</v>
      </c>
      <c r="Z2849" s="6">
        <v>1</v>
      </c>
      <c r="AA2849" s="8">
        <v>45352</v>
      </c>
      <c r="AB2849" s="4">
        <v>0.41</v>
      </c>
      <c r="AC2849" s="6">
        <v>31.57</v>
      </c>
      <c r="AD2849" s="6">
        <v>31.75</v>
      </c>
      <c r="AE2849" s="1">
        <v>0</v>
      </c>
      <c r="AF2849" s="1">
        <f ca="1">IFERROR(__xludf.DUMMYFUNCTION("IFERROR(GOOGLEFINANCE(TRIM(F2849)&amp;"":"" &amp; TRIM(B2849),""high52""),AE2849)"),0)</f>
        <v>0</v>
      </c>
      <c r="AG2849" s="1">
        <v>0</v>
      </c>
      <c r="AH2849" s="1">
        <f ca="1">IFERROR(__xludf.DUMMYFUNCTION("IFERROR(GOOGLEFINANCE(TRIM(F2849)&amp;"":"" &amp; TRIM(B2849),""low52""),AE2849)"),0)</f>
        <v>0</v>
      </c>
      <c r="AI2849" s="1">
        <f ca="1">IFERROR(__xludf.DUMMYFUNCTION("IFERROR(GOOGLEFINANCE(B2849,""eps""),0)"),0)</f>
        <v>0</v>
      </c>
      <c r="AJ2849" s="1"/>
      <c r="AK2849" s="1" t="s">
        <v>8809</v>
      </c>
      <c r="AL2849" s="9">
        <f t="shared" si="278"/>
        <v>1</v>
      </c>
    </row>
    <row r="2850" spans="1:38" ht="15" x14ac:dyDescent="0.25">
      <c r="A2850" s="1" t="s">
        <v>8810</v>
      </c>
      <c r="B2850" s="1" t="s">
        <v>8811</v>
      </c>
      <c r="C2850" s="1" t="s">
        <v>706</v>
      </c>
      <c r="D2850" s="1" t="s">
        <v>706</v>
      </c>
      <c r="E2850" s="6">
        <v>850.76</v>
      </c>
      <c r="F2850" s="1" t="s">
        <v>40</v>
      </c>
      <c r="G2850" s="6">
        <f ca="1">IFERROR(__xludf.DUMMYFUNCTION("iferror(GOOGLEFINANCE(TRIM(F2850)&amp;"":"" &amp; TRIM(B2850), ""price""),0
)"),800)</f>
        <v>800</v>
      </c>
      <c r="H2850" s="6">
        <v>564.45000000000005</v>
      </c>
      <c r="I2850" s="6">
        <f t="shared" ca="1" si="0"/>
        <v>800</v>
      </c>
      <c r="J2850" s="6">
        <f ca="1">IFERROR(__xludf.DUMMYFUNCTION("IFERROR(GOOGLEFINANCE(B2850, ""volume""), 0)"),255)</f>
        <v>255</v>
      </c>
      <c r="K2850" s="6">
        <v>4.72</v>
      </c>
      <c r="L2850" s="6">
        <f ca="1">IFERROR(__xludf.DUMMYFUNCTION("IFERROR(GOOGLEFINANCE(B2850,""changepct""),K2850)"),-0.55)</f>
        <v>-0.55000000000000004</v>
      </c>
      <c r="M2850" s="6">
        <f ca="1">IFERROR(__xludf.DUMMYFUNCTION("IFERROR(GOOGLEFINANCE(B2850,""change""),0)"),-4.4)</f>
        <v>-4.4000000000000004</v>
      </c>
      <c r="N2850" s="6">
        <v>1</v>
      </c>
      <c r="O2850" s="7">
        <v>45536</v>
      </c>
      <c r="P2850" s="6">
        <v>116.33</v>
      </c>
      <c r="Q2850" s="6">
        <v>967.08</v>
      </c>
      <c r="R2850" s="7">
        <v>45352</v>
      </c>
      <c r="S2850" s="6">
        <v>658.38</v>
      </c>
      <c r="T2850" s="6">
        <v>8.3000000000000007</v>
      </c>
      <c r="U2850" s="7">
        <v>45352</v>
      </c>
      <c r="V2850" s="6">
        <v>102.45</v>
      </c>
      <c r="W2850" s="6">
        <f ca="1">IFERROR(__xludf.DUMMYFUNCTION("IFERROR(GOOGLEFINANCE(B2850,""pe""),V2850)"),92.34)</f>
        <v>92.34</v>
      </c>
      <c r="X2850" s="9"/>
      <c r="Y2850" s="6">
        <v>5.87</v>
      </c>
      <c r="Z2850" s="6">
        <v>2</v>
      </c>
      <c r="AA2850" s="8">
        <v>45352</v>
      </c>
      <c r="AB2850" s="4">
        <v>1.27</v>
      </c>
      <c r="AC2850" s="6">
        <v>7.22</v>
      </c>
      <c r="AD2850" s="6">
        <v>10.18</v>
      </c>
      <c r="AE2850" s="1">
        <v>0</v>
      </c>
      <c r="AF2850" s="1">
        <f ca="1">IFERROR(__xludf.DUMMYFUNCTION("IFERROR(GOOGLEFINANCE(TRIM(F2850)&amp;"":"" &amp; TRIM(B2850),""high52""),AE2850)"),860)</f>
        <v>860</v>
      </c>
      <c r="AG2850" s="1">
        <v>0</v>
      </c>
      <c r="AH2850" s="1">
        <f ca="1">IFERROR(__xludf.DUMMYFUNCTION("IFERROR(GOOGLEFINANCE(TRIM(F2850)&amp;"":"" &amp; TRIM(B2850),""low52""),AE2850)"),661)</f>
        <v>661</v>
      </c>
      <c r="AI2850" s="1">
        <f ca="1">IFERROR(__xludf.DUMMYFUNCTION("IFERROR(GOOGLEFINANCE(B2850,""eps""),0)"),8.66)</f>
        <v>8.66</v>
      </c>
      <c r="AJ2850" s="1"/>
      <c r="AK2850" s="1" t="s">
        <v>8812</v>
      </c>
      <c r="AL2850" s="9">
        <f t="shared" si="278"/>
        <v>1</v>
      </c>
    </row>
    <row r="2851" spans="1:38" ht="15" x14ac:dyDescent="0.25">
      <c r="A2851" s="1" t="s">
        <v>8813</v>
      </c>
      <c r="B2851" s="1" t="s">
        <v>8814</v>
      </c>
      <c r="C2851" s="1" t="s">
        <v>1400</v>
      </c>
      <c r="D2851" s="1" t="s">
        <v>1400</v>
      </c>
      <c r="E2851" s="6">
        <v>385.95</v>
      </c>
      <c r="F2851" s="1" t="s">
        <v>40</v>
      </c>
      <c r="G2851" s="6">
        <f ca="1">IFERROR(__xludf.DUMMYFUNCTION("iferror(GOOGLEFINANCE(TRIM(F2851)&amp;"":"" &amp; TRIM(B2851), ""price""),0
)"),44.13)</f>
        <v>44.13</v>
      </c>
      <c r="H2851" s="6">
        <v>44.37</v>
      </c>
      <c r="I2851" s="6">
        <f t="shared" ca="1" si="0"/>
        <v>44.13</v>
      </c>
      <c r="J2851" s="6">
        <f ca="1">IFERROR(__xludf.DUMMYFUNCTION("IFERROR(GOOGLEFINANCE(B2851, ""volume""), 0)"),63096)</f>
        <v>63096</v>
      </c>
      <c r="K2851" s="6">
        <v>2</v>
      </c>
      <c r="L2851" s="6">
        <f ca="1">IFERROR(__xludf.DUMMYFUNCTION("IFERROR(GOOGLEFINANCE(B2851,""changepct""),K2851)"),-1.67)</f>
        <v>-1.67</v>
      </c>
      <c r="M2851" s="6">
        <f ca="1">IFERROR(__xludf.DUMMYFUNCTION("IFERROR(GOOGLEFINANCE(B2851,""change""),0)"),-0.75)</f>
        <v>-0.75</v>
      </c>
      <c r="N2851" s="6">
        <v>1</v>
      </c>
      <c r="O2851" s="7">
        <v>45536</v>
      </c>
      <c r="P2851" s="6">
        <v>101.58</v>
      </c>
      <c r="Q2851" s="6">
        <v>458.48</v>
      </c>
      <c r="R2851" s="7">
        <v>45536</v>
      </c>
      <c r="S2851" s="6">
        <v>612.07000000000005</v>
      </c>
      <c r="T2851" s="6">
        <v>35.58</v>
      </c>
      <c r="U2851" s="7">
        <v>45536</v>
      </c>
      <c r="V2851" s="6">
        <v>10.85</v>
      </c>
      <c r="W2851" s="6">
        <f ca="1">IFERROR(__xludf.DUMMYFUNCTION("IFERROR(GOOGLEFINANCE(B2851,""pe""),V2851)"),9.96)</f>
        <v>9.9600000000000009</v>
      </c>
      <c r="X2851" s="6">
        <v>-0.8</v>
      </c>
      <c r="Y2851" s="6">
        <v>1.1299999999999999</v>
      </c>
      <c r="Z2851" s="6">
        <v>1</v>
      </c>
      <c r="AA2851" s="8">
        <v>45352</v>
      </c>
      <c r="AB2851" s="4">
        <v>0.13</v>
      </c>
      <c r="AC2851" s="6">
        <v>4.09</v>
      </c>
      <c r="AD2851" s="6">
        <v>6.09</v>
      </c>
      <c r="AE2851" s="1">
        <v>0</v>
      </c>
      <c r="AF2851" s="1">
        <f ca="1">IFERROR(__xludf.DUMMYFUNCTION("IFERROR(GOOGLEFINANCE(TRIM(F2851)&amp;"":"" &amp; TRIM(B2851),""high52""),AE2851)"),63.5)</f>
        <v>63.5</v>
      </c>
      <c r="AG2851" s="1">
        <v>0</v>
      </c>
      <c r="AH2851" s="1">
        <f ca="1">IFERROR(__xludf.DUMMYFUNCTION("IFERROR(GOOGLEFINANCE(TRIM(F2851)&amp;"":"" &amp; TRIM(B2851),""low52""),AE2851)"),38.64)</f>
        <v>38.64</v>
      </c>
      <c r="AI2851" s="1">
        <f ca="1">IFERROR(__xludf.DUMMYFUNCTION("IFERROR(GOOGLEFINANCE(B2851,""eps""),0)"),4.43)</f>
        <v>4.43</v>
      </c>
      <c r="AJ2851" s="1"/>
      <c r="AK2851" s="1" t="s">
        <v>8815</v>
      </c>
      <c r="AL2851" s="9">
        <f t="shared" si="278"/>
        <v>1</v>
      </c>
    </row>
    <row r="2852" spans="1:38" ht="15" x14ac:dyDescent="0.25">
      <c r="A2852" s="1" t="s">
        <v>8816</v>
      </c>
      <c r="B2852" s="1" t="s">
        <v>8817</v>
      </c>
      <c r="C2852" s="1" t="s">
        <v>317</v>
      </c>
      <c r="D2852" s="1" t="s">
        <v>317</v>
      </c>
      <c r="E2852" s="6">
        <v>66668.59</v>
      </c>
      <c r="F2852" s="1" t="s">
        <v>40</v>
      </c>
      <c r="G2852" s="6">
        <f ca="1">IFERROR(__xludf.DUMMYFUNCTION("iferror(GOOGLEFINANCE(TRIM(F2852)&amp;"":"" &amp; TRIM(B2852), ""price""),0
)"),494.3)</f>
        <v>494.3</v>
      </c>
      <c r="H2852" s="6">
        <v>1846.95</v>
      </c>
      <c r="I2852" s="6">
        <f t="shared" ca="1" si="0"/>
        <v>494.3</v>
      </c>
      <c r="J2852" s="6">
        <f ca="1">IFERROR(__xludf.DUMMYFUNCTION("IFERROR(GOOGLEFINANCE(B2852, ""volume""), 0)"),3620261)</f>
        <v>3620261</v>
      </c>
      <c r="K2852" s="6">
        <v>0.48</v>
      </c>
      <c r="L2852" s="6">
        <f ca="1">IFERROR(__xludf.DUMMYFUNCTION("IFERROR(GOOGLEFINANCE(B2852,""changepct""),K2852)"),-0.29)</f>
        <v>-0.28999999999999998</v>
      </c>
      <c r="M2852" s="6">
        <f ca="1">IFERROR(__xludf.DUMMYFUNCTION("IFERROR(GOOGLEFINANCE(B2852,""change""),0)"),-1.45)</f>
        <v>-1.45</v>
      </c>
      <c r="N2852" s="6">
        <v>2</v>
      </c>
      <c r="O2852" s="7">
        <v>45536</v>
      </c>
      <c r="P2852" s="6">
        <v>1115.57</v>
      </c>
      <c r="Q2852" s="6">
        <v>67198.02</v>
      </c>
      <c r="R2852" s="7">
        <v>43525</v>
      </c>
      <c r="S2852" s="6">
        <v>12729.23</v>
      </c>
      <c r="T2852" s="6">
        <v>-87.97</v>
      </c>
      <c r="U2852" s="7">
        <v>43525</v>
      </c>
      <c r="V2852" s="6">
        <v>0</v>
      </c>
      <c r="W2852" s="6">
        <f ca="1">IFERROR(__xludf.DUMMYFUNCTION("IFERROR(GOOGLEFINANCE(B2852,""pe""),V2852)"),37.74)</f>
        <v>37.74</v>
      </c>
      <c r="X2852" s="6">
        <v>0</v>
      </c>
      <c r="Y2852" s="9"/>
      <c r="Z2852" s="6">
        <v>1</v>
      </c>
      <c r="AA2852" s="8">
        <v>45352</v>
      </c>
      <c r="AB2852" s="4">
        <v>0.1</v>
      </c>
      <c r="AC2852" s="6">
        <v>7.64</v>
      </c>
      <c r="AD2852" s="6">
        <v>11.15</v>
      </c>
      <c r="AE2852" s="1">
        <v>0</v>
      </c>
      <c r="AF2852" s="1">
        <f ca="1">IFERROR(__xludf.DUMMYFUNCTION("IFERROR(GOOGLEFINANCE(TRIM(F2852)&amp;"":"" &amp; TRIM(B2852),""high52""),AE2852)"),670.33)</f>
        <v>670.33</v>
      </c>
      <c r="AG2852" s="1">
        <v>0</v>
      </c>
      <c r="AH2852" s="1">
        <f ca="1">IFERROR(__xludf.DUMMYFUNCTION("IFERROR(GOOGLEFINANCE(TRIM(F2852)&amp;"":"" &amp; TRIM(B2852),""low52""),AE2852)"),480)</f>
        <v>480</v>
      </c>
      <c r="AI2852" s="1">
        <f ca="1">IFERROR(__xludf.DUMMYFUNCTION("IFERROR(GOOGLEFINANCE(B2852,""eps""),0)"),13.1)</f>
        <v>13.1</v>
      </c>
      <c r="AJ2852" s="1"/>
      <c r="AK2852" s="1" t="s">
        <v>8818</v>
      </c>
      <c r="AL2852" s="9">
        <f t="shared" si="278"/>
        <v>1</v>
      </c>
    </row>
    <row r="2853" spans="1:38" ht="15" x14ac:dyDescent="0.25">
      <c r="A2853" s="1" t="s">
        <v>8819</v>
      </c>
      <c r="B2853" s="1" t="s">
        <v>8820</v>
      </c>
      <c r="C2853" s="1" t="s">
        <v>1497</v>
      </c>
      <c r="D2853" s="1" t="s">
        <v>1497</v>
      </c>
      <c r="E2853" s="6">
        <v>359.32</v>
      </c>
      <c r="F2853" s="1" t="s">
        <v>53</v>
      </c>
      <c r="G2853" s="6">
        <f ca="1">IFERROR(__xludf.DUMMYFUNCTION("iferror(GOOGLEFINANCE(TRIM(F2853)&amp;"":"" &amp; TRIM(B2853), ""price""),0
)"),0)</f>
        <v>0</v>
      </c>
      <c r="H2853" s="6">
        <v>140.1</v>
      </c>
      <c r="I2853" s="6">
        <f t="shared" ca="1" si="0"/>
        <v>140.1</v>
      </c>
      <c r="J2853" s="6">
        <f ca="1">IFERROR(__xludf.DUMMYFUNCTION("IFERROR(GOOGLEFINANCE(B2853, ""volume""), 0)"),0)</f>
        <v>0</v>
      </c>
      <c r="K2853" s="6">
        <v>-3.38</v>
      </c>
      <c r="L2853" s="6">
        <f ca="1">IFERROR(__xludf.DUMMYFUNCTION("IFERROR(GOOGLEFINANCE(B2853,""changepct""),K2853)"),-3.38)</f>
        <v>-3.38</v>
      </c>
      <c r="M2853" s="6">
        <f ca="1">IFERROR(__xludf.DUMMYFUNCTION("IFERROR(GOOGLEFINANCE(B2853,""change""),0)"),0)</f>
        <v>0</v>
      </c>
      <c r="N2853" s="6">
        <v>1</v>
      </c>
      <c r="O2853" s="7">
        <v>45536</v>
      </c>
      <c r="P2853" s="6">
        <v>70.94</v>
      </c>
      <c r="Q2853" s="6">
        <v>430.27</v>
      </c>
      <c r="R2853" s="7">
        <v>45352</v>
      </c>
      <c r="S2853" s="6">
        <v>412.99</v>
      </c>
      <c r="T2853" s="6">
        <v>7.52</v>
      </c>
      <c r="U2853" s="7">
        <v>45352</v>
      </c>
      <c r="V2853" s="6">
        <v>47.77</v>
      </c>
      <c r="W2853" s="6">
        <f ca="1">IFERROR(__xludf.DUMMYFUNCTION("IFERROR(GOOGLEFINANCE(B2853,""pe""),V2853)"),47.77)</f>
        <v>47.77</v>
      </c>
      <c r="X2853" s="9"/>
      <c r="Y2853" s="6">
        <v>3.19</v>
      </c>
      <c r="Z2853" s="6">
        <v>1</v>
      </c>
      <c r="AA2853" s="8">
        <v>45352</v>
      </c>
      <c r="AB2853" s="4">
        <v>0.8</v>
      </c>
      <c r="AC2853" s="6">
        <v>12.46</v>
      </c>
      <c r="AD2853" s="6">
        <v>13.69</v>
      </c>
      <c r="AE2853" s="1">
        <v>0</v>
      </c>
      <c r="AF2853" s="1">
        <f ca="1">IFERROR(__xludf.DUMMYFUNCTION("IFERROR(GOOGLEFINANCE(TRIM(F2853)&amp;"":"" &amp; TRIM(B2853),""high52""),AE2853)"),0)</f>
        <v>0</v>
      </c>
      <c r="AG2853" s="1">
        <v>0</v>
      </c>
      <c r="AH2853" s="1">
        <f ca="1">IFERROR(__xludf.DUMMYFUNCTION("IFERROR(GOOGLEFINANCE(TRIM(F2853)&amp;"":"" &amp; TRIM(B2853),""low52""),AE2853)"),0)</f>
        <v>0</v>
      </c>
      <c r="AI2853" s="1">
        <f ca="1">IFERROR(__xludf.DUMMYFUNCTION("IFERROR(GOOGLEFINANCE(B2853,""eps""),0)"),0)</f>
        <v>0</v>
      </c>
      <c r="AJ2853" s="1"/>
      <c r="AK2853" s="1" t="s">
        <v>8821</v>
      </c>
      <c r="AL2853" s="9">
        <f t="shared" si="278"/>
        <v>1</v>
      </c>
    </row>
    <row r="2854" spans="1:38" ht="15" x14ac:dyDescent="0.25">
      <c r="A2854" s="1" t="s">
        <v>8822</v>
      </c>
      <c r="B2854" s="1" t="s">
        <v>8823</v>
      </c>
      <c r="C2854" s="1" t="s">
        <v>1497</v>
      </c>
      <c r="D2854" s="1" t="s">
        <v>1497</v>
      </c>
      <c r="E2854" s="6">
        <v>29.87</v>
      </c>
      <c r="F2854" s="1" t="s">
        <v>53</v>
      </c>
      <c r="G2854" s="6">
        <f ca="1">IFERROR(__xludf.DUMMYFUNCTION("iferror(GOOGLEFINANCE(TRIM(F2854)&amp;"":"" &amp; TRIM(B2854), ""price""),0
)"),0)</f>
        <v>0</v>
      </c>
      <c r="H2854" s="6">
        <v>4.21</v>
      </c>
      <c r="I2854" s="6">
        <f t="shared" ca="1" si="0"/>
        <v>4.21</v>
      </c>
      <c r="J2854" s="6">
        <f ca="1">IFERROR(__xludf.DUMMYFUNCTION("IFERROR(GOOGLEFINANCE(B2854, ""volume""), 0)"),0)</f>
        <v>0</v>
      </c>
      <c r="K2854" s="6">
        <v>-1.64</v>
      </c>
      <c r="L2854" s="6">
        <f ca="1">IFERROR(__xludf.DUMMYFUNCTION("IFERROR(GOOGLEFINANCE(B2854,""changepct""),K2854)"),-1.64)</f>
        <v>-1.64</v>
      </c>
      <c r="M2854" s="6">
        <f ca="1">IFERROR(__xludf.DUMMYFUNCTION("IFERROR(GOOGLEFINANCE(B2854,""change""),0)"),0)</f>
        <v>0</v>
      </c>
      <c r="N2854" s="6">
        <v>1</v>
      </c>
      <c r="O2854" s="7">
        <v>45536</v>
      </c>
      <c r="P2854" s="6">
        <v>5.0999999999999996</v>
      </c>
      <c r="Q2854" s="6">
        <v>34.979999999999997</v>
      </c>
      <c r="R2854" s="7">
        <v>45536</v>
      </c>
      <c r="S2854" s="6">
        <v>88.88</v>
      </c>
      <c r="T2854" s="6">
        <v>-1.28</v>
      </c>
      <c r="U2854" s="7">
        <v>45536</v>
      </c>
      <c r="V2854" s="6">
        <v>0</v>
      </c>
      <c r="W2854" s="6">
        <f ca="1">IFERROR(__xludf.DUMMYFUNCTION("IFERROR(GOOGLEFINANCE(B2854,""pe""),V2854)"),0)</f>
        <v>0</v>
      </c>
      <c r="X2854" s="6">
        <v>0</v>
      </c>
      <c r="Y2854" s="6">
        <v>0.72</v>
      </c>
      <c r="Z2854" s="6">
        <v>1</v>
      </c>
      <c r="AA2854" s="8">
        <v>45352</v>
      </c>
      <c r="AB2854" s="4">
        <v>0.02</v>
      </c>
      <c r="AC2854" s="6">
        <v>1.78</v>
      </c>
      <c r="AD2854" s="6">
        <v>4.8899999999999997</v>
      </c>
      <c r="AE2854" s="1">
        <v>0</v>
      </c>
      <c r="AF2854" s="1">
        <f ca="1">IFERROR(__xludf.DUMMYFUNCTION("IFERROR(GOOGLEFINANCE(TRIM(F2854)&amp;"":"" &amp; TRIM(B2854),""high52""),AE2854)"),0)</f>
        <v>0</v>
      </c>
      <c r="AG2854" s="1">
        <v>0</v>
      </c>
      <c r="AH2854" s="1">
        <f ca="1">IFERROR(__xludf.DUMMYFUNCTION("IFERROR(GOOGLEFINANCE(TRIM(F2854)&amp;"":"" &amp; TRIM(B2854),""low52""),AE2854)"),0)</f>
        <v>0</v>
      </c>
      <c r="AI2854" s="1">
        <f ca="1">IFERROR(__xludf.DUMMYFUNCTION("IFERROR(GOOGLEFINANCE(B2854,""eps""),0)"),0)</f>
        <v>0</v>
      </c>
      <c r="AJ2854" s="1"/>
      <c r="AK2854" s="1" t="s">
        <v>8824</v>
      </c>
      <c r="AL2854" s="9">
        <f t="shared" si="278"/>
        <v>1</v>
      </c>
    </row>
    <row r="2855" spans="1:38" ht="15" x14ac:dyDescent="0.25">
      <c r="A2855" s="1" t="s">
        <v>8825</v>
      </c>
      <c r="B2855" s="1" t="s">
        <v>8826</v>
      </c>
      <c r="C2855" s="1" t="s">
        <v>1497</v>
      </c>
      <c r="D2855" s="1" t="s">
        <v>1497</v>
      </c>
      <c r="E2855" s="6">
        <v>137.57</v>
      </c>
      <c r="F2855" s="1" t="s">
        <v>53</v>
      </c>
      <c r="G2855" s="6">
        <f ca="1">IFERROR(__xludf.DUMMYFUNCTION("iferror(GOOGLEFINANCE(TRIM(F2855)&amp;"":"" &amp; TRIM(B2855), ""price""),0
)"),0)</f>
        <v>0</v>
      </c>
      <c r="H2855" s="6">
        <v>9.41</v>
      </c>
      <c r="I2855" s="6">
        <f t="shared" ca="1" si="0"/>
        <v>9.41</v>
      </c>
      <c r="J2855" s="6">
        <f ca="1">IFERROR(__xludf.DUMMYFUNCTION("IFERROR(GOOGLEFINANCE(B2855, ""volume""), 0)"),0)</f>
        <v>0</v>
      </c>
      <c r="K2855" s="6">
        <v>1.95</v>
      </c>
      <c r="L2855" s="6">
        <f ca="1">IFERROR(__xludf.DUMMYFUNCTION("IFERROR(GOOGLEFINANCE(B2855,""changepct""),K2855)"),1.95)</f>
        <v>1.95</v>
      </c>
      <c r="M2855" s="6">
        <f ca="1">IFERROR(__xludf.DUMMYFUNCTION("IFERROR(GOOGLEFINANCE(B2855,""change""),0)"),0)</f>
        <v>0</v>
      </c>
      <c r="N2855" s="6">
        <v>1</v>
      </c>
      <c r="O2855" s="7">
        <v>45536</v>
      </c>
      <c r="P2855" s="6">
        <v>58.38</v>
      </c>
      <c r="Q2855" s="6">
        <v>195.95</v>
      </c>
      <c r="R2855" s="7">
        <v>45536</v>
      </c>
      <c r="S2855" s="6">
        <v>131.21</v>
      </c>
      <c r="T2855" s="6">
        <v>-1.24</v>
      </c>
      <c r="U2855" s="7">
        <v>45536</v>
      </c>
      <c r="V2855" s="6">
        <v>0</v>
      </c>
      <c r="W2855" s="6">
        <f ca="1">IFERROR(__xludf.DUMMYFUNCTION("IFERROR(GOOGLEFINANCE(B2855,""pe""),V2855)"),0)</f>
        <v>0</v>
      </c>
      <c r="X2855" s="6">
        <v>0</v>
      </c>
      <c r="Y2855" s="6">
        <v>-3.51</v>
      </c>
      <c r="Z2855" s="6">
        <v>1</v>
      </c>
      <c r="AA2855" s="8">
        <v>45352</v>
      </c>
      <c r="AB2855" s="4">
        <v>-1.51</v>
      </c>
      <c r="AC2855" s="6">
        <v>0</v>
      </c>
      <c r="AD2855" s="6">
        <v>-6.18</v>
      </c>
      <c r="AE2855" s="1">
        <v>0</v>
      </c>
      <c r="AF2855" s="1">
        <f ca="1">IFERROR(__xludf.DUMMYFUNCTION("IFERROR(GOOGLEFINANCE(TRIM(F2855)&amp;"":"" &amp; TRIM(B2855),""high52""),AE2855)"),0)</f>
        <v>0</v>
      </c>
      <c r="AG2855" s="1">
        <v>0</v>
      </c>
      <c r="AH2855" s="1">
        <f ca="1">IFERROR(__xludf.DUMMYFUNCTION("IFERROR(GOOGLEFINANCE(TRIM(F2855)&amp;"":"" &amp; TRIM(B2855),""low52""),AE2855)"),0)</f>
        <v>0</v>
      </c>
      <c r="AI2855" s="1">
        <f ca="1">IFERROR(__xludf.DUMMYFUNCTION("IFERROR(GOOGLEFINANCE(B2855,""eps""),0)"),0)</f>
        <v>0</v>
      </c>
      <c r="AJ2855" s="1"/>
      <c r="AK2855" s="1" t="s">
        <v>8827</v>
      </c>
      <c r="AL2855" s="9">
        <f t="shared" si="278"/>
        <v>1</v>
      </c>
    </row>
    <row r="2856" spans="1:38" ht="15" x14ac:dyDescent="0.25">
      <c r="A2856" s="1" t="s">
        <v>8828</v>
      </c>
      <c r="B2856" s="1" t="s">
        <v>8829</v>
      </c>
      <c r="C2856" s="1" t="s">
        <v>86</v>
      </c>
      <c r="D2856" s="1" t="s">
        <v>86</v>
      </c>
      <c r="E2856" s="6">
        <v>4460.84</v>
      </c>
      <c r="F2856" s="1" t="s">
        <v>40</v>
      </c>
      <c r="G2856" s="6">
        <f ca="1">IFERROR(__xludf.DUMMYFUNCTION("iferror(GOOGLEFINANCE(TRIM(F2856)&amp;"":"" &amp; TRIM(B2856), ""price""),0
)"),28.39)</f>
        <v>28.39</v>
      </c>
      <c r="H2856" s="6">
        <v>52.74</v>
      </c>
      <c r="I2856" s="6">
        <f t="shared" ca="1" si="0"/>
        <v>28.39</v>
      </c>
      <c r="J2856" s="6">
        <f ca="1">IFERROR(__xludf.DUMMYFUNCTION("IFERROR(GOOGLEFINANCE(B2856, ""volume""), 0)"),3564391)</f>
        <v>3564391</v>
      </c>
      <c r="K2856" s="6">
        <v>-0.21</v>
      </c>
      <c r="L2856" s="6">
        <f ca="1">IFERROR(__xludf.DUMMYFUNCTION("IFERROR(GOOGLEFINANCE(B2856,""changepct""),K2856)"),1.21)</f>
        <v>1.21</v>
      </c>
      <c r="M2856" s="6">
        <f ca="1">IFERROR(__xludf.DUMMYFUNCTION("IFERROR(GOOGLEFINANCE(B2856,""change""),0)"),0.34)</f>
        <v>0.34</v>
      </c>
      <c r="N2856" s="6">
        <v>2</v>
      </c>
      <c r="O2856" s="7">
        <v>45536</v>
      </c>
      <c r="P2856" s="6">
        <v>1437.69</v>
      </c>
      <c r="Q2856" s="6">
        <v>5898.53</v>
      </c>
      <c r="R2856" s="7">
        <v>45536</v>
      </c>
      <c r="S2856" s="6">
        <v>4680.17</v>
      </c>
      <c r="T2856" s="6">
        <v>330.75</v>
      </c>
      <c r="U2856" s="7">
        <v>45536</v>
      </c>
      <c r="V2856" s="6">
        <v>13.22</v>
      </c>
      <c r="W2856" s="6">
        <f ca="1">IFERROR(__xludf.DUMMYFUNCTION("IFERROR(GOOGLEFINANCE(B2856,""pe""),V2856)"),9.59)</f>
        <v>9.59</v>
      </c>
      <c r="X2856" s="6">
        <v>0.61</v>
      </c>
      <c r="Y2856" s="6">
        <v>1.25</v>
      </c>
      <c r="Z2856" s="6">
        <v>2</v>
      </c>
      <c r="AA2856" s="8">
        <v>45352</v>
      </c>
      <c r="AB2856" s="4">
        <v>0.61</v>
      </c>
      <c r="AC2856" s="6">
        <v>10.25</v>
      </c>
      <c r="AD2856" s="6">
        <v>16.13</v>
      </c>
      <c r="AE2856" s="1">
        <v>0</v>
      </c>
      <c r="AF2856" s="1">
        <f ca="1">IFERROR(__xludf.DUMMYFUNCTION("IFERROR(GOOGLEFINANCE(TRIM(F2856)&amp;"":"" &amp; TRIM(B2856),""high52""),AE2856)"),47.29)</f>
        <v>47.29</v>
      </c>
      <c r="AG2856" s="1">
        <v>0</v>
      </c>
      <c r="AH2856" s="1">
        <f ca="1">IFERROR(__xludf.DUMMYFUNCTION("IFERROR(GOOGLEFINANCE(TRIM(F2856)&amp;"":"" &amp; TRIM(B2856),""low52""),AE2856)"),26.2)</f>
        <v>26.2</v>
      </c>
      <c r="AI2856" s="1">
        <f ca="1">IFERROR(__xludf.DUMMYFUNCTION("IFERROR(GOOGLEFINANCE(B2856,""eps""),0)"),2.96)</f>
        <v>2.96</v>
      </c>
      <c r="AJ2856" s="1"/>
      <c r="AK2856" s="1" t="s">
        <v>8830</v>
      </c>
      <c r="AL2856" s="9">
        <f t="shared" si="278"/>
        <v>1</v>
      </c>
    </row>
    <row r="2857" spans="1:38" ht="15" x14ac:dyDescent="0.25">
      <c r="A2857" s="1" t="s">
        <v>8831</v>
      </c>
      <c r="B2857" s="1" t="s">
        <v>8832</v>
      </c>
      <c r="C2857" s="1" t="s">
        <v>259</v>
      </c>
      <c r="D2857" s="1" t="s">
        <v>259</v>
      </c>
      <c r="E2857" s="6">
        <v>157.75</v>
      </c>
      <c r="F2857" s="1" t="s">
        <v>40</v>
      </c>
      <c r="G2857" s="6">
        <f ca="1">IFERROR(__xludf.DUMMYFUNCTION("iferror(GOOGLEFINANCE(TRIM(F2857)&amp;"":"" &amp; TRIM(B2857), ""price""),0
)"),12.06)</f>
        <v>12.06</v>
      </c>
      <c r="H2857" s="6">
        <v>22.7</v>
      </c>
      <c r="I2857" s="6">
        <f t="shared" ca="1" si="0"/>
        <v>12.06</v>
      </c>
      <c r="J2857" s="6">
        <f ca="1">IFERROR(__xludf.DUMMYFUNCTION("IFERROR(GOOGLEFINANCE(B2857, ""volume""), 0)"),54002)</f>
        <v>54002</v>
      </c>
      <c r="K2857" s="6">
        <v>0.22</v>
      </c>
      <c r="L2857" s="6">
        <f ca="1">IFERROR(__xludf.DUMMYFUNCTION("IFERROR(GOOGLEFINANCE(B2857,""changepct""),K2857)"),-1.87)</f>
        <v>-1.87</v>
      </c>
      <c r="M2857" s="6">
        <f ca="1">IFERROR(__xludf.DUMMYFUNCTION("IFERROR(GOOGLEFINANCE(B2857,""change""),0)"),-0.23)</f>
        <v>-0.23</v>
      </c>
      <c r="N2857" s="6">
        <v>1</v>
      </c>
      <c r="O2857" s="7">
        <v>45536</v>
      </c>
      <c r="P2857" s="6">
        <v>13.8</v>
      </c>
      <c r="Q2857" s="6">
        <v>157.18</v>
      </c>
      <c r="R2857" s="7">
        <v>45536</v>
      </c>
      <c r="S2857" s="6">
        <v>328.99</v>
      </c>
      <c r="T2857" s="6">
        <v>6.72</v>
      </c>
      <c r="U2857" s="7">
        <v>45536</v>
      </c>
      <c r="V2857" s="6">
        <v>23.48</v>
      </c>
      <c r="W2857" s="6">
        <f ca="1">IFERROR(__xludf.DUMMYFUNCTION("IFERROR(GOOGLEFINANCE(B2857,""pe""),V2857)"),10.69)</f>
        <v>10.69</v>
      </c>
      <c r="X2857" s="6">
        <v>-8.9600000000000009</v>
      </c>
      <c r="Y2857" s="6">
        <v>1.26</v>
      </c>
      <c r="Z2857" s="6">
        <v>1</v>
      </c>
      <c r="AA2857" s="8">
        <v>45352</v>
      </c>
      <c r="AB2857" s="4">
        <v>0.2</v>
      </c>
      <c r="AC2857" s="6">
        <v>4.67</v>
      </c>
      <c r="AD2857" s="6">
        <v>5.65</v>
      </c>
      <c r="AE2857" s="1">
        <v>0</v>
      </c>
      <c r="AF2857" s="1">
        <f ca="1">IFERROR(__xludf.DUMMYFUNCTION("IFERROR(GOOGLEFINANCE(TRIM(F2857)&amp;"":"" &amp; TRIM(B2857),""high52""),AE2857)"),20.39)</f>
        <v>20.39</v>
      </c>
      <c r="AG2857" s="1">
        <v>0</v>
      </c>
      <c r="AH2857" s="1">
        <f ca="1">IFERROR(__xludf.DUMMYFUNCTION("IFERROR(GOOGLEFINANCE(TRIM(F2857)&amp;"":"" &amp; TRIM(B2857),""low52""),AE2857)"),11.46)</f>
        <v>11.46</v>
      </c>
      <c r="AI2857" s="1">
        <f ca="1">IFERROR(__xludf.DUMMYFUNCTION("IFERROR(GOOGLEFINANCE(B2857,""eps""),0)"),1.13)</f>
        <v>1.1299999999999999</v>
      </c>
      <c r="AJ2857" s="1"/>
      <c r="AK2857" s="1" t="s">
        <v>8833</v>
      </c>
      <c r="AL2857" s="9">
        <f t="shared" si="278"/>
        <v>1</v>
      </c>
    </row>
    <row r="2858" spans="1:38" ht="15" x14ac:dyDescent="0.25">
      <c r="A2858" s="1" t="s">
        <v>8834</v>
      </c>
      <c r="B2858" s="1" t="s">
        <v>8835</v>
      </c>
      <c r="C2858" s="1" t="s">
        <v>1497</v>
      </c>
      <c r="D2858" s="1" t="s">
        <v>1497</v>
      </c>
      <c r="E2858" s="6">
        <v>49.61</v>
      </c>
      <c r="F2858" s="1" t="s">
        <v>53</v>
      </c>
      <c r="G2858" s="6">
        <f ca="1">IFERROR(__xludf.DUMMYFUNCTION("iferror(GOOGLEFINANCE(TRIM(F2858)&amp;"":"" &amp; TRIM(B2858), ""price""),0
)"),0)</f>
        <v>0</v>
      </c>
      <c r="H2858" s="6">
        <v>35.270000000000003</v>
      </c>
      <c r="I2858" s="6">
        <f t="shared" ca="1" si="0"/>
        <v>35.270000000000003</v>
      </c>
      <c r="J2858" s="6">
        <f ca="1">IFERROR(__xludf.DUMMYFUNCTION("IFERROR(GOOGLEFINANCE(B2858, ""volume""), 0)"),0)</f>
        <v>0</v>
      </c>
      <c r="K2858" s="6">
        <v>0.83</v>
      </c>
      <c r="L2858" s="6">
        <f ca="1">IFERROR(__xludf.DUMMYFUNCTION("IFERROR(GOOGLEFINANCE(B2858,""changepct""),K2858)"),0.83)</f>
        <v>0.83</v>
      </c>
      <c r="M2858" s="6">
        <f ca="1">IFERROR(__xludf.DUMMYFUNCTION("IFERROR(GOOGLEFINANCE(B2858,""change""),0)"),0)</f>
        <v>0</v>
      </c>
      <c r="N2858" s="6">
        <v>1</v>
      </c>
      <c r="O2858" s="7">
        <v>45536</v>
      </c>
      <c r="P2858" s="6">
        <v>19.829999999999998</v>
      </c>
      <c r="Q2858" s="6">
        <v>67.55</v>
      </c>
      <c r="R2858" s="7">
        <v>45536</v>
      </c>
      <c r="S2858" s="6">
        <v>549.91</v>
      </c>
      <c r="T2858" s="6">
        <v>2.83</v>
      </c>
      <c r="U2858" s="7">
        <v>45536</v>
      </c>
      <c r="V2858" s="6">
        <v>17.52</v>
      </c>
      <c r="W2858" s="6">
        <f ca="1">IFERROR(__xludf.DUMMYFUNCTION("IFERROR(GOOGLEFINANCE(B2858,""pe""),V2858)"),17.52)</f>
        <v>17.52</v>
      </c>
      <c r="X2858" s="6">
        <v>-5.96</v>
      </c>
      <c r="Y2858" s="6">
        <v>0.62</v>
      </c>
      <c r="Z2858" s="6">
        <v>1</v>
      </c>
      <c r="AA2858" s="8">
        <v>45352</v>
      </c>
      <c r="AB2858" s="4">
        <v>0.38</v>
      </c>
      <c r="AC2858" s="6">
        <v>3</v>
      </c>
      <c r="AD2858" s="6">
        <v>4.57</v>
      </c>
      <c r="AE2858" s="1">
        <v>0</v>
      </c>
      <c r="AF2858" s="1">
        <f ca="1">IFERROR(__xludf.DUMMYFUNCTION("IFERROR(GOOGLEFINANCE(TRIM(F2858)&amp;"":"" &amp; TRIM(B2858),""high52""),AE2858)"),0)</f>
        <v>0</v>
      </c>
      <c r="AG2858" s="1">
        <v>0</v>
      </c>
      <c r="AH2858" s="1">
        <f ca="1">IFERROR(__xludf.DUMMYFUNCTION("IFERROR(GOOGLEFINANCE(TRIM(F2858)&amp;"":"" &amp; TRIM(B2858),""low52""),AE2858)"),0)</f>
        <v>0</v>
      </c>
      <c r="AI2858" s="1">
        <f ca="1">IFERROR(__xludf.DUMMYFUNCTION("IFERROR(GOOGLEFINANCE(B2858,""eps""),0)"),0)</f>
        <v>0</v>
      </c>
      <c r="AJ2858" s="1"/>
      <c r="AK2858" s="1" t="s">
        <v>8836</v>
      </c>
      <c r="AL2858" s="9">
        <f t="shared" si="278"/>
        <v>1</v>
      </c>
    </row>
    <row r="2859" spans="1:38" ht="15" x14ac:dyDescent="0.25">
      <c r="A2859" s="1" t="s">
        <v>8837</v>
      </c>
      <c r="B2859" s="1" t="s">
        <v>8838</v>
      </c>
      <c r="C2859" s="1" t="s">
        <v>1528</v>
      </c>
      <c r="D2859" s="1" t="s">
        <v>1528</v>
      </c>
      <c r="E2859" s="6">
        <v>82.23</v>
      </c>
      <c r="F2859" s="1" t="s">
        <v>40</v>
      </c>
      <c r="G2859" s="6">
        <f ca="1">IFERROR(__xludf.DUMMYFUNCTION("iferror(GOOGLEFINANCE(TRIM(F2859)&amp;"":"" &amp; TRIM(B2859), ""price""),0
)"),0)</f>
        <v>0</v>
      </c>
      <c r="H2859" s="6">
        <v>106</v>
      </c>
      <c r="I2859" s="6">
        <f t="shared" ca="1" si="0"/>
        <v>106</v>
      </c>
      <c r="J2859" s="6">
        <f ca="1">IFERROR(__xludf.DUMMYFUNCTION("IFERROR(GOOGLEFINANCE(B2859, ""volume""), 0)"),0)</f>
        <v>0</v>
      </c>
      <c r="K2859" s="12"/>
      <c r="L2859" s="6" t="str">
        <f ca="1">IFERROR(__xludf.DUMMYFUNCTION("IFERROR(GOOGLEFINANCE(B2859,""changepct""),K2859)"),"")</f>
        <v/>
      </c>
      <c r="M2859" s="6">
        <f ca="1">IFERROR(__xludf.DUMMYFUNCTION("IFERROR(GOOGLEFINANCE(B2859,""change""),0)"),0)</f>
        <v>0</v>
      </c>
      <c r="N2859" s="6">
        <v>1</v>
      </c>
      <c r="O2859" s="7">
        <v>45536</v>
      </c>
      <c r="P2859" s="6">
        <v>19.21</v>
      </c>
      <c r="Q2859" s="6">
        <v>101.44</v>
      </c>
      <c r="R2859" s="7">
        <v>45352</v>
      </c>
      <c r="S2859" s="6">
        <v>37.72</v>
      </c>
      <c r="T2859" s="6">
        <v>1.44</v>
      </c>
      <c r="U2859" s="7">
        <v>45352</v>
      </c>
      <c r="V2859" s="6">
        <v>57.06</v>
      </c>
      <c r="W2859" s="6">
        <f ca="1">IFERROR(__xludf.DUMMYFUNCTION("IFERROR(GOOGLEFINANCE(B2859,""pe""),V2859)"),57.06)</f>
        <v>57.06</v>
      </c>
      <c r="X2859" s="9"/>
      <c r="Y2859" s="6">
        <v>4.3600000000000003</v>
      </c>
      <c r="Z2859" s="6">
        <v>1</v>
      </c>
      <c r="AA2859" s="8">
        <v>45352</v>
      </c>
      <c r="AB2859" s="4">
        <v>0.62</v>
      </c>
      <c r="AC2859" s="6">
        <v>11.86</v>
      </c>
      <c r="AD2859" s="6">
        <v>12.27</v>
      </c>
      <c r="AE2859" s="1">
        <v>0</v>
      </c>
      <c r="AF2859" s="1">
        <f ca="1">IFERROR(__xludf.DUMMYFUNCTION("IFERROR(GOOGLEFINANCE(TRIM(F2859)&amp;"":"" &amp; TRIM(B2859),""high52""),AE2859)"),0)</f>
        <v>0</v>
      </c>
      <c r="AG2859" s="1">
        <v>0</v>
      </c>
      <c r="AH2859" s="1">
        <f ca="1">IFERROR(__xludf.DUMMYFUNCTION("IFERROR(GOOGLEFINANCE(TRIM(F2859)&amp;"":"" &amp; TRIM(B2859),""low52""),AE2859)"),0)</f>
        <v>0</v>
      </c>
      <c r="AI2859" s="1">
        <f ca="1">IFERROR(__xludf.DUMMYFUNCTION("IFERROR(GOOGLEFINANCE(B2859,""eps""),0)"),0)</f>
        <v>0</v>
      </c>
      <c r="AJ2859" s="1"/>
      <c r="AK2859" s="1" t="s">
        <v>8839</v>
      </c>
      <c r="AL2859" s="9">
        <f t="shared" si="278"/>
        <v>1</v>
      </c>
    </row>
    <row r="2860" spans="1:38" ht="15" x14ac:dyDescent="0.25">
      <c r="A2860" s="1" t="s">
        <v>8840</v>
      </c>
      <c r="B2860" s="1" t="s">
        <v>8841</v>
      </c>
      <c r="C2860" s="1" t="s">
        <v>416</v>
      </c>
      <c r="D2860" s="1" t="s">
        <v>416</v>
      </c>
      <c r="E2860" s="6">
        <v>583.95000000000005</v>
      </c>
      <c r="F2860" s="1" t="s">
        <v>40</v>
      </c>
      <c r="G2860" s="6">
        <f ca="1">IFERROR(__xludf.DUMMYFUNCTION("iferror(GOOGLEFINANCE(TRIM(F2860)&amp;"":"" &amp; TRIM(B2860), ""price""),0
)"),17.65)</f>
        <v>17.649999999999999</v>
      </c>
      <c r="H2860" s="6">
        <v>477</v>
      </c>
      <c r="I2860" s="6">
        <f t="shared" ca="1" si="0"/>
        <v>17.649999999999999</v>
      </c>
      <c r="J2860" s="6">
        <f ca="1">IFERROR(__xludf.DUMMYFUNCTION("IFERROR(GOOGLEFINANCE(B2860, ""volume""), 0)"),41467)</f>
        <v>41467</v>
      </c>
      <c r="K2860" s="6">
        <v>0.21</v>
      </c>
      <c r="L2860" s="6">
        <f ca="1">IFERROR(__xludf.DUMMYFUNCTION("IFERROR(GOOGLEFINANCE(B2860,""changepct""),K2860)"),-1.34)</f>
        <v>-1.34</v>
      </c>
      <c r="M2860" s="6">
        <f ca="1">IFERROR(__xludf.DUMMYFUNCTION("IFERROR(GOOGLEFINANCE(B2860,""change""),0)"),-0.24)</f>
        <v>-0.24</v>
      </c>
      <c r="N2860" s="6">
        <v>2</v>
      </c>
      <c r="O2860" s="7">
        <v>45536</v>
      </c>
      <c r="P2860" s="6">
        <v>117.83</v>
      </c>
      <c r="Q2860" s="6">
        <v>698.46</v>
      </c>
      <c r="R2860" s="7">
        <v>45536</v>
      </c>
      <c r="S2860" s="6">
        <v>323.88</v>
      </c>
      <c r="T2860" s="6">
        <v>10.6</v>
      </c>
      <c r="U2860" s="7">
        <v>45536</v>
      </c>
      <c r="V2860" s="6">
        <v>62.16</v>
      </c>
      <c r="W2860" s="6">
        <f ca="1">IFERROR(__xludf.DUMMYFUNCTION("IFERROR(GOOGLEFINANCE(B2860,""pe""),V2860)"),18.7)</f>
        <v>18.7</v>
      </c>
      <c r="X2860" s="12"/>
      <c r="Y2860" s="6">
        <v>6.47</v>
      </c>
      <c r="Z2860" s="6">
        <v>2</v>
      </c>
      <c r="AA2860" s="8">
        <v>45352</v>
      </c>
      <c r="AB2860" s="4">
        <v>1.66</v>
      </c>
      <c r="AC2860" s="6">
        <v>17.829999999999998</v>
      </c>
      <c r="AD2860" s="6">
        <v>13.75</v>
      </c>
      <c r="AE2860" s="1">
        <v>0</v>
      </c>
      <c r="AF2860" s="1">
        <f ca="1">IFERROR(__xludf.DUMMYFUNCTION("IFERROR(GOOGLEFINANCE(TRIM(F2860)&amp;"":"" &amp; TRIM(B2860),""high52""),AE2860)"),55.39)</f>
        <v>55.39</v>
      </c>
      <c r="AG2860" s="1">
        <v>0</v>
      </c>
      <c r="AH2860" s="1">
        <f ca="1">IFERROR(__xludf.DUMMYFUNCTION("IFERROR(GOOGLEFINANCE(TRIM(F2860)&amp;"":"" &amp; TRIM(B2860),""low52""),AE2860)"),16.24)</f>
        <v>16.239999999999998</v>
      </c>
      <c r="AI2860" s="1">
        <f ca="1">IFERROR(__xludf.DUMMYFUNCTION("IFERROR(GOOGLEFINANCE(B2860,""eps""),0)"),0.94)</f>
        <v>0.94</v>
      </c>
      <c r="AJ2860" s="1"/>
      <c r="AK2860" s="1" t="s">
        <v>8842</v>
      </c>
      <c r="AL2860" s="9">
        <f t="shared" si="278"/>
        <v>1</v>
      </c>
    </row>
    <row r="2861" spans="1:38" ht="15" x14ac:dyDescent="0.25">
      <c r="A2861" s="1" t="s">
        <v>8843</v>
      </c>
      <c r="B2861" s="1" t="s">
        <v>8844</v>
      </c>
      <c r="C2861" s="1" t="s">
        <v>4934</v>
      </c>
      <c r="D2861" s="1" t="s">
        <v>4934</v>
      </c>
      <c r="E2861" s="6">
        <v>101274.3</v>
      </c>
      <c r="F2861" s="1" t="s">
        <v>40</v>
      </c>
      <c r="G2861" s="6">
        <f ca="1">IFERROR(__xludf.DUMMYFUNCTION("iferror(GOOGLEFINANCE(TRIM(F2861)&amp;"":"" &amp; TRIM(B2861), ""price""),0
)"),1545)</f>
        <v>1545</v>
      </c>
      <c r="H2861" s="6">
        <v>2193.15</v>
      </c>
      <c r="I2861" s="6">
        <f t="shared" ca="1" si="0"/>
        <v>1545</v>
      </c>
      <c r="J2861" s="6">
        <f ca="1">IFERROR(__xludf.DUMMYFUNCTION("IFERROR(GOOGLEFINANCE(B2861, ""volume""), 0)"),2457489)</f>
        <v>2457489</v>
      </c>
      <c r="K2861" s="6">
        <v>-0.46</v>
      </c>
      <c r="L2861" s="6">
        <f ca="1">IFERROR(__xludf.DUMMYFUNCTION("IFERROR(GOOGLEFINANCE(B2861,""changepct""),K2861)"),-4.58)</f>
        <v>-4.58</v>
      </c>
      <c r="M2861" s="6">
        <f ca="1">IFERROR(__xludf.DUMMYFUNCTION("IFERROR(GOOGLEFINANCE(B2861,""change""),0)"),-74.1)</f>
        <v>-74.099999999999994</v>
      </c>
      <c r="N2861" s="6">
        <v>2</v>
      </c>
      <c r="O2861" s="7">
        <v>45536</v>
      </c>
      <c r="P2861" s="9"/>
      <c r="Q2861" s="6">
        <v>100955.8</v>
      </c>
      <c r="R2861" s="7">
        <v>45536</v>
      </c>
      <c r="S2861" s="6">
        <v>4138.18</v>
      </c>
      <c r="T2861" s="6">
        <v>209.67</v>
      </c>
      <c r="U2861" s="7">
        <v>45536</v>
      </c>
      <c r="V2861" s="6">
        <v>483.44</v>
      </c>
      <c r="W2861" s="6">
        <f ca="1">IFERROR(__xludf.DUMMYFUNCTION("IFERROR(GOOGLEFINANCE(B2861,""pe""),V2861)"),155.07)</f>
        <v>155.07</v>
      </c>
      <c r="X2861" s="9"/>
      <c r="Y2861" s="6">
        <v>16.579999999999998</v>
      </c>
      <c r="Z2861" s="6">
        <v>2</v>
      </c>
      <c r="AA2861" s="8">
        <v>45352</v>
      </c>
      <c r="AB2861" s="4">
        <v>0</v>
      </c>
      <c r="AC2861" s="6">
        <v>1.35</v>
      </c>
      <c r="AD2861" s="6">
        <v>1.83</v>
      </c>
      <c r="AE2861" s="1">
        <v>0</v>
      </c>
      <c r="AF2861" s="1">
        <f ca="1">IFERROR(__xludf.DUMMYFUNCTION("IFERROR(GOOGLEFINANCE(TRIM(F2861)&amp;"":"" &amp; TRIM(B2861),""high52""),AE2861)"),1978)</f>
        <v>1978</v>
      </c>
      <c r="AG2861" s="1">
        <v>0</v>
      </c>
      <c r="AH2861" s="1">
        <f ca="1">IFERROR(__xludf.DUMMYFUNCTION("IFERROR(GOOGLEFINANCE(TRIM(F2861)&amp;"":"" &amp; TRIM(B2861),""low52""),AE2861)"),1311.35)</f>
        <v>1311.35</v>
      </c>
      <c r="AI2861" s="1">
        <f ca="1">IFERROR(__xludf.DUMMYFUNCTION("IFERROR(GOOGLEFINANCE(B2861,""eps""),0)"),9.96)</f>
        <v>9.9600000000000009</v>
      </c>
      <c r="AJ2861" s="1"/>
      <c r="AK2861" s="9"/>
      <c r="AL2861" s="9">
        <f t="shared" si="278"/>
        <v>1</v>
      </c>
    </row>
    <row r="2862" spans="1:38" ht="15" x14ac:dyDescent="0.25">
      <c r="A2862" s="1" t="s">
        <v>8845</v>
      </c>
      <c r="B2862" s="1" t="s">
        <v>8846</v>
      </c>
      <c r="C2862" s="1" t="s">
        <v>2432</v>
      </c>
      <c r="D2862" s="1" t="s">
        <v>2432</v>
      </c>
      <c r="E2862" s="6">
        <v>9282.69</v>
      </c>
      <c r="F2862" s="1" t="s">
        <v>40</v>
      </c>
      <c r="G2862" s="6">
        <f ca="1">IFERROR(__xludf.DUMMYFUNCTION("iferror(GOOGLEFINANCE(TRIM(F2862)&amp;"":"" &amp; TRIM(B2862), ""price""),0
)"),10.45)</f>
        <v>10.45</v>
      </c>
      <c r="H2862" s="6">
        <v>15.72</v>
      </c>
      <c r="I2862" s="6">
        <f t="shared" ca="1" si="0"/>
        <v>10.45</v>
      </c>
      <c r="J2862" s="6">
        <f ca="1">IFERROR(__xludf.DUMMYFUNCTION("IFERROR(GOOGLEFINANCE(B2862, ""volume""), 0)"),33697181)</f>
        <v>33697181</v>
      </c>
      <c r="K2862" s="6">
        <v>-1.19</v>
      </c>
      <c r="L2862" s="6">
        <f ca="1">IFERROR(__xludf.DUMMYFUNCTION("IFERROR(GOOGLEFINANCE(B2862,""changepct""),K2862)"),1.75)</f>
        <v>1.75</v>
      </c>
      <c r="M2862" s="6">
        <f ca="1">IFERROR(__xludf.DUMMYFUNCTION("IFERROR(GOOGLEFINANCE(B2862,""change""),0)"),0.18)</f>
        <v>0.18</v>
      </c>
      <c r="N2862" s="6">
        <v>2</v>
      </c>
      <c r="O2862" s="7">
        <v>45536</v>
      </c>
      <c r="P2862" s="6">
        <v>3950.2</v>
      </c>
      <c r="Q2862" s="6">
        <v>13221.1</v>
      </c>
      <c r="R2862" s="7">
        <v>45536</v>
      </c>
      <c r="S2862" s="6">
        <v>994.67</v>
      </c>
      <c r="T2862" s="6">
        <v>15.32</v>
      </c>
      <c r="U2862" s="7">
        <v>45536</v>
      </c>
      <c r="V2862" s="6">
        <v>605.91999999999996</v>
      </c>
      <c r="W2862" s="6">
        <f ca="1">IFERROR(__xludf.DUMMYFUNCTION("IFERROR(GOOGLEFINANCE(B2862,""pe""),V2862)"),15.42)</f>
        <v>15.42</v>
      </c>
      <c r="X2862" s="9"/>
      <c r="Y2862" s="6">
        <v>2.2999999999999998</v>
      </c>
      <c r="Z2862" s="6">
        <v>2</v>
      </c>
      <c r="AA2862" s="8">
        <v>45352</v>
      </c>
      <c r="AB2862" s="4">
        <v>1.39</v>
      </c>
      <c r="AC2862" s="6">
        <v>-19.059999999999999</v>
      </c>
      <c r="AD2862" s="6">
        <v>-1.77</v>
      </c>
      <c r="AE2862" s="1">
        <v>0</v>
      </c>
      <c r="AF2862" s="1">
        <f ca="1">IFERROR(__xludf.DUMMYFUNCTION("IFERROR(GOOGLEFINANCE(TRIM(F2862)&amp;"":"" &amp; TRIM(B2862),""high52""),AE2862)"),19.65)</f>
        <v>19.649999999999999</v>
      </c>
      <c r="AG2862" s="1">
        <v>0</v>
      </c>
      <c r="AH2862" s="1">
        <f ca="1">IFERROR(__xludf.DUMMYFUNCTION("IFERROR(GOOGLEFINANCE(TRIM(F2862)&amp;"":"" &amp; TRIM(B2862),""low52""),AE2862)"),8.67)</f>
        <v>8.67</v>
      </c>
      <c r="AI2862" s="1">
        <f ca="1">IFERROR(__xludf.DUMMYFUNCTION("IFERROR(GOOGLEFINANCE(B2862,""eps""),0)"),0.68)</f>
        <v>0.68</v>
      </c>
      <c r="AJ2862" s="1"/>
      <c r="AK2862" s="1" t="s">
        <v>8847</v>
      </c>
      <c r="AL2862" s="9">
        <f t="shared" si="278"/>
        <v>1</v>
      </c>
    </row>
    <row r="2863" spans="1:38" ht="15" x14ac:dyDescent="0.25">
      <c r="A2863" s="1" t="s">
        <v>8848</v>
      </c>
      <c r="B2863" s="1" t="s">
        <v>8849</v>
      </c>
      <c r="C2863" s="1" t="s">
        <v>3892</v>
      </c>
      <c r="D2863" s="1" t="s">
        <v>3892</v>
      </c>
      <c r="E2863" s="6">
        <v>17697.330000000002</v>
      </c>
      <c r="F2863" s="1" t="s">
        <v>40</v>
      </c>
      <c r="G2863" s="6">
        <f ca="1">IFERROR(__xludf.DUMMYFUNCTION("iferror(GOOGLEFINANCE(TRIM(F2863)&amp;"":"" &amp; TRIM(B2863), ""price""),0
)"),267.15)</f>
        <v>267.14999999999998</v>
      </c>
      <c r="H2863" s="6">
        <v>468.6</v>
      </c>
      <c r="I2863" s="6">
        <f t="shared" ca="1" si="0"/>
        <v>267.14999999999998</v>
      </c>
      <c r="J2863" s="6">
        <f ca="1">IFERROR(__xludf.DUMMYFUNCTION("IFERROR(GOOGLEFINANCE(B2863, ""volume""), 0)"),891131)</f>
        <v>891131</v>
      </c>
      <c r="K2863" s="6">
        <v>-0.04</v>
      </c>
      <c r="L2863" s="6">
        <f ca="1">IFERROR(__xludf.DUMMYFUNCTION("IFERROR(GOOGLEFINANCE(B2863,""changepct""),K2863)"),2.18)</f>
        <v>2.1800000000000002</v>
      </c>
      <c r="M2863" s="6">
        <f ca="1">IFERROR(__xludf.DUMMYFUNCTION("IFERROR(GOOGLEFINANCE(B2863,""change""),0)"),5.7)</f>
        <v>5.7</v>
      </c>
      <c r="N2863" s="6">
        <v>2</v>
      </c>
      <c r="O2863" s="7">
        <v>45536</v>
      </c>
      <c r="P2863" s="6">
        <v>4750.37</v>
      </c>
      <c r="Q2863" s="6">
        <v>22191.01</v>
      </c>
      <c r="R2863" s="7">
        <v>45536</v>
      </c>
      <c r="S2863" s="6">
        <v>7892.3</v>
      </c>
      <c r="T2863" s="6">
        <v>500.3</v>
      </c>
      <c r="U2863" s="7">
        <v>45536</v>
      </c>
      <c r="V2863" s="6">
        <v>35.36</v>
      </c>
      <c r="W2863" s="6">
        <f ca="1">IFERROR(__xludf.DUMMYFUNCTION("IFERROR(GOOGLEFINANCE(B2863,""pe""),V2863)"),29.03)</f>
        <v>29.03</v>
      </c>
      <c r="X2863" s="6">
        <v>7</v>
      </c>
      <c r="Y2863" s="6">
        <v>4.6399999999999997</v>
      </c>
      <c r="Z2863" s="6">
        <v>2</v>
      </c>
      <c r="AA2863" s="8">
        <v>45352</v>
      </c>
      <c r="AB2863" s="4">
        <v>1.48</v>
      </c>
      <c r="AC2863" s="6">
        <v>16.16</v>
      </c>
      <c r="AD2863" s="6">
        <v>14.48</v>
      </c>
      <c r="AE2863" s="1">
        <v>0</v>
      </c>
      <c r="AF2863" s="1">
        <f ca="1">IFERROR(__xludf.DUMMYFUNCTION("IFERROR(GOOGLEFINANCE(TRIM(F2863)&amp;"":"" &amp; TRIM(B2863),""high52""),AE2863)"),444.15)</f>
        <v>444.15</v>
      </c>
      <c r="AG2863" s="1">
        <v>0</v>
      </c>
      <c r="AH2863" s="1">
        <f ca="1">IFERROR(__xludf.DUMMYFUNCTION("IFERROR(GOOGLEFINANCE(TRIM(F2863)&amp;"":"" &amp; TRIM(B2863),""low52""),AE2863)"),254.5)</f>
        <v>254.5</v>
      </c>
      <c r="AI2863" s="1">
        <f ca="1">IFERROR(__xludf.DUMMYFUNCTION("IFERROR(GOOGLEFINANCE(B2863,""eps""),0)"),9.2)</f>
        <v>9.1999999999999993</v>
      </c>
      <c r="AJ2863" s="1"/>
      <c r="AK2863" s="1" t="s">
        <v>8850</v>
      </c>
      <c r="AL2863" s="1" t="b">
        <f>ISNUMBER(AA2863)</f>
        <v>1</v>
      </c>
    </row>
    <row r="2864" spans="1:38" ht="15" x14ac:dyDescent="0.25">
      <c r="A2864" s="1" t="s">
        <v>8851</v>
      </c>
      <c r="B2864" s="1" t="s">
        <v>8852</v>
      </c>
      <c r="C2864" s="1" t="s">
        <v>186</v>
      </c>
      <c r="D2864" s="1" t="s">
        <v>186</v>
      </c>
      <c r="E2864" s="6">
        <v>8626.34</v>
      </c>
      <c r="F2864" s="1" t="s">
        <v>40</v>
      </c>
      <c r="G2864" s="6">
        <f ca="1">IFERROR(__xludf.DUMMYFUNCTION("iferror(GOOGLEFINANCE(TRIM(F2864)&amp;"":"" &amp; TRIM(B2864), ""price""),0
)"),326.35)</f>
        <v>326.35000000000002</v>
      </c>
      <c r="H2864" s="6">
        <v>608.75</v>
      </c>
      <c r="I2864" s="6">
        <f t="shared" ca="1" si="0"/>
        <v>326.35000000000002</v>
      </c>
      <c r="J2864" s="6">
        <f ca="1">IFERROR(__xludf.DUMMYFUNCTION("IFERROR(GOOGLEFINANCE(B2864, ""volume""), 0)"),52440)</f>
        <v>52440</v>
      </c>
      <c r="K2864" s="6">
        <v>-0.45</v>
      </c>
      <c r="L2864" s="6">
        <f ca="1">IFERROR(__xludf.DUMMYFUNCTION("IFERROR(GOOGLEFINANCE(B2864,""changepct""),K2864)"),-2.65)</f>
        <v>-2.65</v>
      </c>
      <c r="M2864" s="6">
        <f ca="1">IFERROR(__xludf.DUMMYFUNCTION("IFERROR(GOOGLEFINANCE(B2864,""change""),0)"),-8.9)</f>
        <v>-8.9</v>
      </c>
      <c r="N2864" s="6">
        <v>2</v>
      </c>
      <c r="O2864" s="7">
        <v>45536</v>
      </c>
      <c r="P2864" s="6">
        <v>975.84</v>
      </c>
      <c r="Q2864" s="6">
        <v>8738.01</v>
      </c>
      <c r="R2864" s="7">
        <v>45536</v>
      </c>
      <c r="S2864" s="6">
        <v>11722.3</v>
      </c>
      <c r="T2864" s="6">
        <v>211.15</v>
      </c>
      <c r="U2864" s="7">
        <v>45536</v>
      </c>
      <c r="V2864" s="6">
        <v>56.72</v>
      </c>
      <c r="W2864" s="6">
        <f ca="1">IFERROR(__xludf.DUMMYFUNCTION("IFERROR(GOOGLEFINANCE(B2864,""pe""),V2864)"),42.87)</f>
        <v>42.87</v>
      </c>
      <c r="X2864" s="6">
        <v>2.11</v>
      </c>
      <c r="Y2864" s="6">
        <v>5.38</v>
      </c>
      <c r="Z2864" s="6">
        <v>2</v>
      </c>
      <c r="AA2864" s="8">
        <v>45352</v>
      </c>
      <c r="AB2864" s="4">
        <v>0.84</v>
      </c>
      <c r="AC2864" s="6">
        <v>18.899999999999999</v>
      </c>
      <c r="AD2864" s="6">
        <v>19.16</v>
      </c>
      <c r="AE2864" s="1">
        <v>0</v>
      </c>
      <c r="AF2864" s="1">
        <f ca="1">IFERROR(__xludf.DUMMYFUNCTION("IFERROR(GOOGLEFINANCE(TRIM(F2864)&amp;"":"" &amp; TRIM(B2864),""high52""),AE2864)"),504)</f>
        <v>504</v>
      </c>
      <c r="AG2864" s="1">
        <v>0</v>
      </c>
      <c r="AH2864" s="1">
        <f ca="1">IFERROR(__xludf.DUMMYFUNCTION("IFERROR(GOOGLEFINANCE(TRIM(F2864)&amp;"":"" &amp; TRIM(B2864),""low52""),AE2864)"),289.95)</f>
        <v>289.95</v>
      </c>
      <c r="AI2864" s="1">
        <f ca="1">IFERROR(__xludf.DUMMYFUNCTION("IFERROR(GOOGLEFINANCE(B2864,""eps""),0)"),7.61)</f>
        <v>7.61</v>
      </c>
      <c r="AJ2864" s="1"/>
      <c r="AK2864" s="1" t="s">
        <v>8853</v>
      </c>
      <c r="AL2864" s="9">
        <f t="shared" ref="AL2864:AL2900" si="279">IF(AA2864&lt;&gt;AB2864,1,0)</f>
        <v>1</v>
      </c>
    </row>
    <row r="2865" spans="1:38" ht="15" x14ac:dyDescent="0.25">
      <c r="A2865" s="1" t="s">
        <v>8854</v>
      </c>
      <c r="B2865" s="1" t="s">
        <v>8855</v>
      </c>
      <c r="C2865" s="1" t="s">
        <v>1497</v>
      </c>
      <c r="D2865" s="1" t="s">
        <v>1497</v>
      </c>
      <c r="E2865" s="6">
        <v>555.82000000000005</v>
      </c>
      <c r="F2865" s="1" t="s">
        <v>53</v>
      </c>
      <c r="G2865" s="6">
        <f ca="1">IFERROR(__xludf.DUMMYFUNCTION("iferror(GOOGLEFINANCE(TRIM(F2865)&amp;"":"" &amp; TRIM(B2865), ""price""),0
)"),0)</f>
        <v>0</v>
      </c>
      <c r="H2865" s="6">
        <v>1842</v>
      </c>
      <c r="I2865" s="6">
        <f t="shared" ca="1" si="0"/>
        <v>1842</v>
      </c>
      <c r="J2865" s="6">
        <f ca="1">IFERROR(__xludf.DUMMYFUNCTION("IFERROR(GOOGLEFINANCE(B2865, ""volume""), 0)"),0)</f>
        <v>0</v>
      </c>
      <c r="K2865" s="6">
        <v>-0.52</v>
      </c>
      <c r="L2865" s="6">
        <f ca="1">IFERROR(__xludf.DUMMYFUNCTION("IFERROR(GOOGLEFINANCE(B2865,""changepct""),K2865)"),-0.52)</f>
        <v>-0.52</v>
      </c>
      <c r="M2865" s="6">
        <f ca="1">IFERROR(__xludf.DUMMYFUNCTION("IFERROR(GOOGLEFINANCE(B2865,""change""),0)"),0)</f>
        <v>0</v>
      </c>
      <c r="N2865" s="6">
        <v>2</v>
      </c>
      <c r="O2865" s="7">
        <v>45536</v>
      </c>
      <c r="P2865" s="6">
        <v>16.989999999999998</v>
      </c>
      <c r="Q2865" s="6">
        <v>572.79999999999995</v>
      </c>
      <c r="R2865" s="7">
        <v>45536</v>
      </c>
      <c r="S2865" s="6">
        <v>922.75</v>
      </c>
      <c r="T2865" s="6">
        <v>34.409999999999997</v>
      </c>
      <c r="U2865" s="7">
        <v>45536</v>
      </c>
      <c r="V2865" s="6">
        <v>16.149999999999999</v>
      </c>
      <c r="W2865" s="6">
        <f ca="1">IFERROR(__xludf.DUMMYFUNCTION("IFERROR(GOOGLEFINANCE(B2865,""pe""),V2865)"),16.15)</f>
        <v>16.149999999999999</v>
      </c>
      <c r="X2865" s="6">
        <v>0.81</v>
      </c>
      <c r="Y2865" s="6">
        <v>2.2599999999999998</v>
      </c>
      <c r="Z2865" s="6">
        <v>2</v>
      </c>
      <c r="AA2865" s="8">
        <v>45352</v>
      </c>
      <c r="AB2865" s="4">
        <v>0.05</v>
      </c>
      <c r="AC2865" s="6">
        <v>14.52</v>
      </c>
      <c r="AD2865" s="6">
        <v>19.03</v>
      </c>
      <c r="AE2865" s="1">
        <v>0</v>
      </c>
      <c r="AF2865" s="1">
        <f ca="1">IFERROR(__xludf.DUMMYFUNCTION("IFERROR(GOOGLEFINANCE(TRIM(F2865)&amp;"":"" &amp; TRIM(B2865),""high52""),AE2865)"),0)</f>
        <v>0</v>
      </c>
      <c r="AG2865" s="1">
        <v>0</v>
      </c>
      <c r="AH2865" s="1">
        <f ca="1">IFERROR(__xludf.DUMMYFUNCTION("IFERROR(GOOGLEFINANCE(TRIM(F2865)&amp;"":"" &amp; TRIM(B2865),""low52""),AE2865)"),0)</f>
        <v>0</v>
      </c>
      <c r="AI2865" s="1">
        <f ca="1">IFERROR(__xludf.DUMMYFUNCTION("IFERROR(GOOGLEFINANCE(B2865,""eps""),0)"),0)</f>
        <v>0</v>
      </c>
      <c r="AJ2865" s="1"/>
      <c r="AK2865" s="1" t="s">
        <v>8856</v>
      </c>
      <c r="AL2865" s="9">
        <f t="shared" si="279"/>
        <v>1</v>
      </c>
    </row>
    <row r="2866" spans="1:38" ht="15" x14ac:dyDescent="0.25">
      <c r="A2866" s="1" t="s">
        <v>8857</v>
      </c>
      <c r="B2866" s="1" t="s">
        <v>8858</v>
      </c>
      <c r="C2866" s="1" t="s">
        <v>1497</v>
      </c>
      <c r="D2866" s="1" t="s">
        <v>1497</v>
      </c>
      <c r="E2866" s="6">
        <v>50.34</v>
      </c>
      <c r="F2866" s="1" t="s">
        <v>53</v>
      </c>
      <c r="G2866" s="6">
        <f ca="1">IFERROR(__xludf.DUMMYFUNCTION("iferror(GOOGLEFINANCE(TRIM(F2866)&amp;"":"" &amp; TRIM(B2866), ""price""),0
)"),0)</f>
        <v>0</v>
      </c>
      <c r="H2866" s="6">
        <v>266.95</v>
      </c>
      <c r="I2866" s="6">
        <f t="shared" ca="1" si="0"/>
        <v>266.95</v>
      </c>
      <c r="J2866" s="6">
        <f ca="1">IFERROR(__xludf.DUMMYFUNCTION("IFERROR(GOOGLEFINANCE(B2866, ""volume""), 0)"),0)</f>
        <v>0</v>
      </c>
      <c r="K2866" s="6">
        <v>5</v>
      </c>
      <c r="L2866" s="6">
        <f ca="1">IFERROR(__xludf.DUMMYFUNCTION("IFERROR(GOOGLEFINANCE(B2866,""changepct""),K2866)"),5)</f>
        <v>5</v>
      </c>
      <c r="M2866" s="6">
        <f ca="1">IFERROR(__xludf.DUMMYFUNCTION("IFERROR(GOOGLEFINANCE(B2866,""change""),0)"),0)</f>
        <v>0</v>
      </c>
      <c r="N2866" s="6">
        <v>1</v>
      </c>
      <c r="O2866" s="7">
        <v>45536</v>
      </c>
      <c r="P2866" s="9"/>
      <c r="Q2866" s="6">
        <v>50.34</v>
      </c>
      <c r="R2866" s="7">
        <v>45536</v>
      </c>
      <c r="S2866" s="6">
        <v>0.4</v>
      </c>
      <c r="T2866" s="6">
        <v>0.63</v>
      </c>
      <c r="U2866" s="7">
        <v>45536</v>
      </c>
      <c r="V2866" s="6">
        <v>80.290000000000006</v>
      </c>
      <c r="W2866" s="6">
        <f ca="1">IFERROR(__xludf.DUMMYFUNCTION("IFERROR(GOOGLEFINANCE(B2866,""pe""),V2866)"),80.29)</f>
        <v>80.290000000000006</v>
      </c>
      <c r="X2866" s="9"/>
      <c r="Y2866" s="6">
        <v>12.26</v>
      </c>
      <c r="Z2866" s="6">
        <v>1</v>
      </c>
      <c r="AA2866" s="8">
        <v>45352</v>
      </c>
      <c r="AB2866" s="4">
        <v>0</v>
      </c>
      <c r="AC2866" s="6">
        <v>5.51</v>
      </c>
      <c r="AD2866" s="6">
        <v>6.53</v>
      </c>
      <c r="AE2866" s="1">
        <v>0</v>
      </c>
      <c r="AF2866" s="1">
        <f ca="1">IFERROR(__xludf.DUMMYFUNCTION("IFERROR(GOOGLEFINANCE(TRIM(F2866)&amp;"":"" &amp; TRIM(B2866),""high52""),AE2866)"),0)</f>
        <v>0</v>
      </c>
      <c r="AG2866" s="1">
        <v>0</v>
      </c>
      <c r="AH2866" s="1">
        <f ca="1">IFERROR(__xludf.DUMMYFUNCTION("IFERROR(GOOGLEFINANCE(TRIM(F2866)&amp;"":"" &amp; TRIM(B2866),""low52""),AE2866)"),0)</f>
        <v>0</v>
      </c>
      <c r="AI2866" s="1">
        <f ca="1">IFERROR(__xludf.DUMMYFUNCTION("IFERROR(GOOGLEFINANCE(B2866,""eps""),0)"),0)</f>
        <v>0</v>
      </c>
      <c r="AJ2866" s="1"/>
      <c r="AK2866" s="1" t="s">
        <v>8859</v>
      </c>
      <c r="AL2866" s="9">
        <f t="shared" si="279"/>
        <v>1</v>
      </c>
    </row>
    <row r="2867" spans="1:38" ht="15" x14ac:dyDescent="0.25">
      <c r="A2867" s="1" t="s">
        <v>8860</v>
      </c>
      <c r="B2867" s="1" t="s">
        <v>8861</v>
      </c>
      <c r="C2867" s="1" t="s">
        <v>1497</v>
      </c>
      <c r="D2867" s="1" t="s">
        <v>1497</v>
      </c>
      <c r="E2867" s="6">
        <v>614.05999999999995</v>
      </c>
      <c r="F2867" s="1" t="s">
        <v>53</v>
      </c>
      <c r="G2867" s="6">
        <f ca="1">IFERROR(__xludf.DUMMYFUNCTION("iferror(GOOGLEFINANCE(TRIM(F2867)&amp;"":"" &amp; TRIM(B2867), ""price""),0
)"),0)</f>
        <v>0</v>
      </c>
      <c r="H2867" s="6">
        <v>222</v>
      </c>
      <c r="I2867" s="6">
        <f t="shared" ca="1" si="0"/>
        <v>222</v>
      </c>
      <c r="J2867" s="6">
        <f ca="1">IFERROR(__xludf.DUMMYFUNCTION("IFERROR(GOOGLEFINANCE(B2867, ""volume""), 0)"),0)</f>
        <v>0</v>
      </c>
      <c r="K2867" s="6">
        <v>0.79</v>
      </c>
      <c r="L2867" s="6">
        <f ca="1">IFERROR(__xludf.DUMMYFUNCTION("IFERROR(GOOGLEFINANCE(B2867,""changepct""),K2867)"),0.79)</f>
        <v>0.79</v>
      </c>
      <c r="M2867" s="6">
        <f ca="1">IFERROR(__xludf.DUMMYFUNCTION("IFERROR(GOOGLEFINANCE(B2867,""change""),0)"),0)</f>
        <v>0</v>
      </c>
      <c r="N2867" s="6">
        <v>1</v>
      </c>
      <c r="O2867" s="7">
        <v>45536</v>
      </c>
      <c r="P2867" s="6">
        <v>142.03</v>
      </c>
      <c r="Q2867" s="6">
        <v>753.31</v>
      </c>
      <c r="R2867" s="7">
        <v>45536</v>
      </c>
      <c r="S2867" s="6">
        <v>1300.4100000000001</v>
      </c>
      <c r="T2867" s="6">
        <v>27.66</v>
      </c>
      <c r="U2867" s="7">
        <v>45536</v>
      </c>
      <c r="V2867" s="6">
        <v>22.2</v>
      </c>
      <c r="W2867" s="6">
        <f ca="1">IFERROR(__xludf.DUMMYFUNCTION("IFERROR(GOOGLEFINANCE(B2867,""pe""),V2867)"),22.2)</f>
        <v>22.2</v>
      </c>
      <c r="X2867" s="6">
        <v>0.61</v>
      </c>
      <c r="Y2867" s="6">
        <v>7.31</v>
      </c>
      <c r="Z2867" s="6">
        <v>1</v>
      </c>
      <c r="AA2867" s="8">
        <v>45352</v>
      </c>
      <c r="AB2867" s="4">
        <v>1.54</v>
      </c>
      <c r="AC2867" s="6">
        <v>29.64</v>
      </c>
      <c r="AD2867" s="6">
        <v>24.19</v>
      </c>
      <c r="AE2867" s="1">
        <v>0</v>
      </c>
      <c r="AF2867" s="1">
        <f ca="1">IFERROR(__xludf.DUMMYFUNCTION("IFERROR(GOOGLEFINANCE(TRIM(F2867)&amp;"":"" &amp; TRIM(B2867),""high52""),AE2867)"),0)</f>
        <v>0</v>
      </c>
      <c r="AG2867" s="1">
        <v>0</v>
      </c>
      <c r="AH2867" s="1">
        <f ca="1">IFERROR(__xludf.DUMMYFUNCTION("IFERROR(GOOGLEFINANCE(TRIM(F2867)&amp;"":"" &amp; TRIM(B2867),""low52""),AE2867)"),0)</f>
        <v>0</v>
      </c>
      <c r="AI2867" s="1">
        <f ca="1">IFERROR(__xludf.DUMMYFUNCTION("IFERROR(GOOGLEFINANCE(B2867,""eps""),0)"),0)</f>
        <v>0</v>
      </c>
      <c r="AJ2867" s="1"/>
      <c r="AK2867" s="1" t="s">
        <v>8862</v>
      </c>
      <c r="AL2867" s="9">
        <f t="shared" si="279"/>
        <v>1</v>
      </c>
    </row>
    <row r="2868" spans="1:38" ht="15" x14ac:dyDescent="0.25">
      <c r="A2868" s="1" t="s">
        <v>8863</v>
      </c>
      <c r="B2868" s="1" t="s">
        <v>8864</v>
      </c>
      <c r="C2868" s="1" t="s">
        <v>71</v>
      </c>
      <c r="D2868" s="1" t="s">
        <v>71</v>
      </c>
      <c r="E2868" s="6">
        <v>298.74</v>
      </c>
      <c r="F2868" s="1" t="s">
        <v>40</v>
      </c>
      <c r="G2868" s="6">
        <f ca="1">IFERROR(__xludf.DUMMYFUNCTION("iferror(GOOGLEFINANCE(TRIM(F2868)&amp;"":"" &amp; TRIM(B2868), ""price""),0
)"),0)</f>
        <v>0</v>
      </c>
      <c r="H2868" s="6">
        <v>285</v>
      </c>
      <c r="I2868" s="6">
        <f t="shared" ca="1" si="0"/>
        <v>285</v>
      </c>
      <c r="J2868" s="6">
        <f ca="1">IFERROR(__xludf.DUMMYFUNCTION("IFERROR(GOOGLEFINANCE(B2868, ""volume""), 0)"),0)</f>
        <v>0</v>
      </c>
      <c r="K2868" s="9"/>
      <c r="L2868" s="6" t="str">
        <f ca="1">IFERROR(__xludf.DUMMYFUNCTION("IFERROR(GOOGLEFINANCE(B2868,""changepct""),K2868)"),"")</f>
        <v/>
      </c>
      <c r="M2868" s="6">
        <f ca="1">IFERROR(__xludf.DUMMYFUNCTION("IFERROR(GOOGLEFINANCE(B2868,""change""),0)"),0)</f>
        <v>0</v>
      </c>
      <c r="N2868" s="6">
        <v>1</v>
      </c>
      <c r="O2868" s="7">
        <v>45536</v>
      </c>
      <c r="P2868" s="9"/>
      <c r="Q2868" s="6">
        <v>298.74</v>
      </c>
      <c r="R2868" s="7">
        <v>45352</v>
      </c>
      <c r="S2868" s="6">
        <v>22.01</v>
      </c>
      <c r="T2868" s="6">
        <v>9.07</v>
      </c>
      <c r="U2868" s="7">
        <v>45352</v>
      </c>
      <c r="V2868" s="6">
        <v>32.94</v>
      </c>
      <c r="W2868" s="6">
        <f ca="1">IFERROR(__xludf.DUMMYFUNCTION("IFERROR(GOOGLEFINANCE(B2868,""pe""),V2868)"),32.94)</f>
        <v>32.94</v>
      </c>
      <c r="X2868" s="9"/>
      <c r="Y2868" s="6">
        <v>4.08</v>
      </c>
      <c r="Z2868" s="6">
        <v>2</v>
      </c>
      <c r="AA2868" s="8">
        <v>45352</v>
      </c>
      <c r="AB2868" s="4">
        <v>0</v>
      </c>
      <c r="AC2868" s="6">
        <v>16.41</v>
      </c>
      <c r="AD2868" s="6">
        <v>22.2</v>
      </c>
      <c r="AE2868" s="1">
        <v>0</v>
      </c>
      <c r="AF2868" s="1">
        <f ca="1">IFERROR(__xludf.DUMMYFUNCTION("IFERROR(GOOGLEFINANCE(TRIM(F2868)&amp;"":"" &amp; TRIM(B2868),""high52""),AE2868)"),0)</f>
        <v>0</v>
      </c>
      <c r="AG2868" s="1">
        <v>0</v>
      </c>
      <c r="AH2868" s="1">
        <f ca="1">IFERROR(__xludf.DUMMYFUNCTION("IFERROR(GOOGLEFINANCE(TRIM(F2868)&amp;"":"" &amp; TRIM(B2868),""low52""),AE2868)"),0)</f>
        <v>0</v>
      </c>
      <c r="AI2868" s="1">
        <f ca="1">IFERROR(__xludf.DUMMYFUNCTION("IFERROR(GOOGLEFINANCE(B2868,""eps""),0)"),0)</f>
        <v>0</v>
      </c>
      <c r="AJ2868" s="1"/>
      <c r="AK2868" s="1" t="s">
        <v>8865</v>
      </c>
      <c r="AL2868" s="9">
        <f t="shared" si="279"/>
        <v>1</v>
      </c>
    </row>
    <row r="2869" spans="1:38" ht="15" x14ac:dyDescent="0.25">
      <c r="A2869" s="1" t="s">
        <v>8866</v>
      </c>
      <c r="B2869" s="1" t="s">
        <v>8867</v>
      </c>
      <c r="C2869" s="1" t="s">
        <v>1497</v>
      </c>
      <c r="D2869" s="1" t="s">
        <v>1497</v>
      </c>
      <c r="E2869" s="6">
        <v>34.93</v>
      </c>
      <c r="F2869" s="1" t="s">
        <v>53</v>
      </c>
      <c r="G2869" s="6">
        <f ca="1">IFERROR(__xludf.DUMMYFUNCTION("iferror(GOOGLEFINANCE(TRIM(F2869)&amp;"":"" &amp; TRIM(B2869), ""price""),0
)"),0)</f>
        <v>0</v>
      </c>
      <c r="H2869" s="6">
        <v>36</v>
      </c>
      <c r="I2869" s="6">
        <f t="shared" ca="1" si="0"/>
        <v>36</v>
      </c>
      <c r="J2869" s="6">
        <f ca="1">IFERROR(__xludf.DUMMYFUNCTION("IFERROR(GOOGLEFINANCE(B2869, ""volume""), 0)"),0)</f>
        <v>0</v>
      </c>
      <c r="K2869" s="6">
        <v>4.53</v>
      </c>
      <c r="L2869" s="6">
        <f ca="1">IFERROR(__xludf.DUMMYFUNCTION("IFERROR(GOOGLEFINANCE(B2869,""changepct""),K2869)"),4.53)</f>
        <v>4.53</v>
      </c>
      <c r="M2869" s="6">
        <f ca="1">IFERROR(__xludf.DUMMYFUNCTION("IFERROR(GOOGLEFINANCE(B2869,""change""),0)"),0)</f>
        <v>0</v>
      </c>
      <c r="N2869" s="6">
        <v>2</v>
      </c>
      <c r="O2869" s="7">
        <v>45536</v>
      </c>
      <c r="P2869" s="6">
        <v>20.9</v>
      </c>
      <c r="Q2869" s="6">
        <v>55.83</v>
      </c>
      <c r="R2869" s="7">
        <v>45536</v>
      </c>
      <c r="S2869" s="6">
        <v>51.97</v>
      </c>
      <c r="T2869" s="6">
        <v>1.53</v>
      </c>
      <c r="U2869" s="7">
        <v>45536</v>
      </c>
      <c r="V2869" s="6">
        <v>22.87</v>
      </c>
      <c r="W2869" s="6">
        <f ca="1">IFERROR(__xludf.DUMMYFUNCTION("IFERROR(GOOGLEFINANCE(B2869,""pe""),V2869)"),22.87)</f>
        <v>22.87</v>
      </c>
      <c r="X2869" s="9"/>
      <c r="Y2869" s="6">
        <v>2.5499999999999998</v>
      </c>
      <c r="Z2869" s="6">
        <v>2</v>
      </c>
      <c r="AA2869" s="8">
        <v>45352</v>
      </c>
      <c r="AB2869" s="4">
        <v>1.48</v>
      </c>
      <c r="AC2869" s="6">
        <v>13.8</v>
      </c>
      <c r="AD2869" s="6">
        <v>13.02</v>
      </c>
      <c r="AE2869" s="1">
        <v>0</v>
      </c>
      <c r="AF2869" s="1">
        <f ca="1">IFERROR(__xludf.DUMMYFUNCTION("IFERROR(GOOGLEFINANCE(TRIM(F2869)&amp;"":"" &amp; TRIM(B2869),""high52""),AE2869)"),0)</f>
        <v>0</v>
      </c>
      <c r="AG2869" s="1">
        <v>0</v>
      </c>
      <c r="AH2869" s="1">
        <f ca="1">IFERROR(__xludf.DUMMYFUNCTION("IFERROR(GOOGLEFINANCE(TRIM(F2869)&amp;"":"" &amp; TRIM(B2869),""low52""),AE2869)"),0)</f>
        <v>0</v>
      </c>
      <c r="AI2869" s="1">
        <f ca="1">IFERROR(__xludf.DUMMYFUNCTION("IFERROR(GOOGLEFINANCE(B2869,""eps""),0)"),0)</f>
        <v>0</v>
      </c>
      <c r="AJ2869" s="1"/>
      <c r="AK2869" s="12"/>
      <c r="AL2869" s="9">
        <f t="shared" si="279"/>
        <v>1</v>
      </c>
    </row>
    <row r="2870" spans="1:38" ht="15" x14ac:dyDescent="0.25">
      <c r="A2870" s="1" t="s">
        <v>8868</v>
      </c>
      <c r="B2870" s="1" t="s">
        <v>8869</v>
      </c>
      <c r="C2870" s="1" t="s">
        <v>186</v>
      </c>
      <c r="D2870" s="1" t="s">
        <v>186</v>
      </c>
      <c r="E2870" s="6">
        <v>7041.17</v>
      </c>
      <c r="F2870" s="1" t="s">
        <v>40</v>
      </c>
      <c r="G2870" s="6">
        <f ca="1">IFERROR(__xludf.DUMMYFUNCTION("iferror(GOOGLEFINANCE(TRIM(F2870)&amp;"":"" &amp; TRIM(B2870), ""price""),0
)"),1602)</f>
        <v>1602</v>
      </c>
      <c r="H2870" s="6">
        <v>1520.1</v>
      </c>
      <c r="I2870" s="6">
        <f t="shared" ca="1" si="0"/>
        <v>1602</v>
      </c>
      <c r="J2870" s="6">
        <f ca="1">IFERROR(__xludf.DUMMYFUNCTION("IFERROR(GOOGLEFINANCE(B2870, ""volume""), 0)"),44342)</f>
        <v>44342</v>
      </c>
      <c r="K2870" s="6">
        <v>-0.88</v>
      </c>
      <c r="L2870" s="6">
        <f ca="1">IFERROR(__xludf.DUMMYFUNCTION("IFERROR(GOOGLEFINANCE(B2870,""changepct""),K2870)"),0.07)</f>
        <v>7.0000000000000007E-2</v>
      </c>
      <c r="M2870" s="6">
        <f ca="1">IFERROR(__xludf.DUMMYFUNCTION("IFERROR(GOOGLEFINANCE(B2870,""change""),0)"),1.1)</f>
        <v>1.1000000000000001</v>
      </c>
      <c r="N2870" s="6">
        <v>2</v>
      </c>
      <c r="O2870" s="7">
        <v>45536</v>
      </c>
      <c r="P2870" s="6">
        <v>498.47</v>
      </c>
      <c r="Q2870" s="6">
        <v>7140.69</v>
      </c>
      <c r="R2870" s="7">
        <v>45536</v>
      </c>
      <c r="S2870" s="6">
        <v>3836.07</v>
      </c>
      <c r="T2870" s="6">
        <v>200.36</v>
      </c>
      <c r="U2870" s="7">
        <v>45536</v>
      </c>
      <c r="V2870" s="6">
        <v>33.380000000000003</v>
      </c>
      <c r="W2870" s="6">
        <f ca="1">IFERROR(__xludf.DUMMYFUNCTION("IFERROR(GOOGLEFINANCE(B2870,""pe""),V2870)"),28.35)</f>
        <v>28.35</v>
      </c>
      <c r="X2870" s="6">
        <v>1.24</v>
      </c>
      <c r="Y2870" s="6">
        <v>6.62</v>
      </c>
      <c r="Z2870" s="6">
        <v>2</v>
      </c>
      <c r="AA2870" s="8">
        <v>45352</v>
      </c>
      <c r="AB2870" s="4">
        <v>0.56000000000000005</v>
      </c>
      <c r="AC2870" s="6">
        <v>22.36</v>
      </c>
      <c r="AD2870" s="6">
        <v>24.15</v>
      </c>
      <c r="AE2870" s="1">
        <v>0</v>
      </c>
      <c r="AF2870" s="1">
        <f ca="1">IFERROR(__xludf.DUMMYFUNCTION("IFERROR(GOOGLEFINANCE(TRIM(F2870)&amp;"":"" &amp; TRIM(B2870),""high52""),AE2870)"),1993.3)</f>
        <v>1993.3</v>
      </c>
      <c r="AG2870" s="1">
        <v>0</v>
      </c>
      <c r="AH2870" s="1">
        <f ca="1">IFERROR(__xludf.DUMMYFUNCTION("IFERROR(GOOGLEFINANCE(TRIM(F2870)&amp;"":"" &amp; TRIM(B2870),""low52""),AE2870)"),875)</f>
        <v>875</v>
      </c>
      <c r="AI2870" s="1">
        <f ca="1">IFERROR(__xludf.DUMMYFUNCTION("IFERROR(GOOGLEFINANCE(B2870,""eps""),0)"),56.51)</f>
        <v>56.51</v>
      </c>
      <c r="AJ2870" s="1"/>
      <c r="AK2870" s="1" t="s">
        <v>8870</v>
      </c>
      <c r="AL2870" s="9">
        <f t="shared" si="279"/>
        <v>1</v>
      </c>
    </row>
    <row r="2871" spans="1:38" ht="15" x14ac:dyDescent="0.25">
      <c r="A2871" s="1" t="s">
        <v>8871</v>
      </c>
      <c r="B2871" s="1" t="s">
        <v>8872</v>
      </c>
      <c r="C2871" s="1" t="s">
        <v>82</v>
      </c>
      <c r="D2871" s="1" t="s">
        <v>82</v>
      </c>
      <c r="E2871" s="6">
        <v>66.08</v>
      </c>
      <c r="F2871" s="1" t="s">
        <v>40</v>
      </c>
      <c r="G2871" s="6">
        <f ca="1">IFERROR(__xludf.DUMMYFUNCTION("iferror(GOOGLEFINANCE(TRIM(F2871)&amp;"":"" &amp; TRIM(B2871), ""price""),0
)"),19.09)</f>
        <v>19.09</v>
      </c>
      <c r="H2871" s="6">
        <v>38.68</v>
      </c>
      <c r="I2871" s="6">
        <f t="shared" ca="1" si="0"/>
        <v>19.09</v>
      </c>
      <c r="J2871" s="6">
        <f ca="1">IFERROR(__xludf.DUMMYFUNCTION("IFERROR(GOOGLEFINANCE(B2871, ""volume""), 0)"),7599)</f>
        <v>7599</v>
      </c>
      <c r="K2871" s="6">
        <v>-1.25</v>
      </c>
      <c r="L2871" s="6">
        <f ca="1">IFERROR(__xludf.DUMMYFUNCTION("IFERROR(GOOGLEFINANCE(B2871,""changepct""),K2871)"),-2)</f>
        <v>-2</v>
      </c>
      <c r="M2871" s="6">
        <f ca="1">IFERROR(__xludf.DUMMYFUNCTION("IFERROR(GOOGLEFINANCE(B2871,""change""),0)"),-0.39)</f>
        <v>-0.39</v>
      </c>
      <c r="N2871" s="6">
        <v>1</v>
      </c>
      <c r="O2871" s="7">
        <v>45536</v>
      </c>
      <c r="P2871" s="6">
        <v>0.03</v>
      </c>
      <c r="Q2871" s="6">
        <v>66.11</v>
      </c>
      <c r="R2871" s="7">
        <v>45536</v>
      </c>
      <c r="S2871" s="6">
        <v>19.21</v>
      </c>
      <c r="T2871" s="6">
        <v>1.61</v>
      </c>
      <c r="U2871" s="7">
        <v>45536</v>
      </c>
      <c r="V2871" s="6">
        <v>40.97</v>
      </c>
      <c r="W2871" s="6">
        <f ca="1">IFERROR(__xludf.DUMMYFUNCTION("IFERROR(GOOGLEFINANCE(B2871,""pe""),V2871)"),40.97)</f>
        <v>40.97</v>
      </c>
      <c r="X2871" s="6">
        <v>2.5</v>
      </c>
      <c r="Y2871" s="6">
        <v>1.65</v>
      </c>
      <c r="Z2871" s="6">
        <v>1</v>
      </c>
      <c r="AA2871" s="8">
        <v>45352</v>
      </c>
      <c r="AB2871" s="4">
        <v>0</v>
      </c>
      <c r="AC2871" s="6">
        <v>1.71</v>
      </c>
      <c r="AD2871" s="6">
        <v>0.99</v>
      </c>
      <c r="AE2871" s="1">
        <v>0</v>
      </c>
      <c r="AF2871" s="1">
        <f ca="1">IFERROR(__xludf.DUMMYFUNCTION("IFERROR(GOOGLEFINANCE(TRIM(F2871)&amp;"":"" &amp; TRIM(B2871),""high52""),AE2871)"),41)</f>
        <v>41</v>
      </c>
      <c r="AG2871" s="1">
        <v>0</v>
      </c>
      <c r="AH2871" s="1">
        <f ca="1">IFERROR(__xludf.DUMMYFUNCTION("IFERROR(GOOGLEFINANCE(TRIM(F2871)&amp;"":"" &amp; TRIM(B2871),""low52""),AE2871)"),18.32)</f>
        <v>18.32</v>
      </c>
      <c r="AI2871" s="1">
        <f ca="1">IFERROR(__xludf.DUMMYFUNCTION("IFERROR(GOOGLEFINANCE(B2871,""eps""),0)"),-3.41)</f>
        <v>-3.41</v>
      </c>
      <c r="AJ2871" s="1"/>
      <c r="AK2871" s="1" t="s">
        <v>8873</v>
      </c>
      <c r="AL2871" s="9">
        <f t="shared" si="279"/>
        <v>1</v>
      </c>
    </row>
    <row r="2872" spans="1:38" ht="15" x14ac:dyDescent="0.25">
      <c r="A2872" s="1" t="s">
        <v>8874</v>
      </c>
      <c r="B2872" s="1" t="s">
        <v>8875</v>
      </c>
      <c r="C2872" s="1" t="s">
        <v>57</v>
      </c>
      <c r="D2872" s="1" t="s">
        <v>57</v>
      </c>
      <c r="E2872" s="6">
        <v>499.73</v>
      </c>
      <c r="F2872" s="1" t="s">
        <v>40</v>
      </c>
      <c r="G2872" s="6">
        <f ca="1">IFERROR(__xludf.DUMMYFUNCTION("iferror(GOOGLEFINANCE(TRIM(F2872)&amp;"":"" &amp; TRIM(B2872), ""price""),0
)"),0)</f>
        <v>0</v>
      </c>
      <c r="H2872" s="6">
        <v>490</v>
      </c>
      <c r="I2872" s="6">
        <f t="shared" ca="1" si="0"/>
        <v>490</v>
      </c>
      <c r="J2872" s="6">
        <f ca="1">IFERROR(__xludf.DUMMYFUNCTION("IFERROR(GOOGLEFINANCE(B2872, ""volume""), 0)"),0)</f>
        <v>0</v>
      </c>
      <c r="K2872" s="6">
        <v>2.04</v>
      </c>
      <c r="L2872" s="6">
        <f ca="1">IFERROR(__xludf.DUMMYFUNCTION("IFERROR(GOOGLEFINANCE(B2872,""changepct""),K2872)"),2.04)</f>
        <v>2.04</v>
      </c>
      <c r="M2872" s="6">
        <f ca="1">IFERROR(__xludf.DUMMYFUNCTION("IFERROR(GOOGLEFINANCE(B2872,""change""),0)"),0)</f>
        <v>0</v>
      </c>
      <c r="N2872" s="6">
        <v>1</v>
      </c>
      <c r="O2872" s="7">
        <v>45536</v>
      </c>
      <c r="P2872" s="6">
        <v>17.7</v>
      </c>
      <c r="Q2872" s="6">
        <v>517.42999999999995</v>
      </c>
      <c r="R2872" s="12"/>
      <c r="S2872" s="12"/>
      <c r="T2872" s="12"/>
      <c r="U2872" s="7">
        <v>45352</v>
      </c>
      <c r="V2872" s="6">
        <v>92.29</v>
      </c>
      <c r="W2872" s="6">
        <f ca="1">IFERROR(__xludf.DUMMYFUNCTION("IFERROR(GOOGLEFINANCE(B2872,""pe""),V2872)"),92.29)</f>
        <v>92.29</v>
      </c>
      <c r="X2872" s="12"/>
      <c r="Y2872" s="6">
        <v>5.99</v>
      </c>
      <c r="Z2872" s="6">
        <v>2</v>
      </c>
      <c r="AA2872" s="8">
        <v>45352</v>
      </c>
      <c r="AB2872" s="4">
        <v>1.55</v>
      </c>
      <c r="AC2872" s="6">
        <v>-16.260000000000002</v>
      </c>
      <c r="AD2872" s="6">
        <v>3.98</v>
      </c>
      <c r="AE2872" s="1">
        <v>0</v>
      </c>
      <c r="AF2872" s="1">
        <f ca="1">IFERROR(__xludf.DUMMYFUNCTION("IFERROR(GOOGLEFINANCE(TRIM(F2872)&amp;"":"" &amp; TRIM(B2872),""high52""),AE2872)"),0)</f>
        <v>0</v>
      </c>
      <c r="AG2872" s="1">
        <v>0</v>
      </c>
      <c r="AH2872" s="1">
        <f ca="1">IFERROR(__xludf.DUMMYFUNCTION("IFERROR(GOOGLEFINANCE(TRIM(F2872)&amp;"":"" &amp; TRIM(B2872),""low52""),AE2872)"),0)</f>
        <v>0</v>
      </c>
      <c r="AI2872" s="1">
        <f ca="1">IFERROR(__xludf.DUMMYFUNCTION("IFERROR(GOOGLEFINANCE(B2872,""eps""),0)"),0)</f>
        <v>0</v>
      </c>
      <c r="AJ2872" s="1"/>
      <c r="AK2872" s="1" t="s">
        <v>8876</v>
      </c>
      <c r="AL2872" s="9">
        <f t="shared" si="279"/>
        <v>1</v>
      </c>
    </row>
    <row r="2873" spans="1:38" ht="15" x14ac:dyDescent="0.25">
      <c r="A2873" s="1" t="s">
        <v>8877</v>
      </c>
      <c r="B2873" s="1" t="s">
        <v>8878</v>
      </c>
      <c r="C2873" s="1" t="s">
        <v>1497</v>
      </c>
      <c r="D2873" s="1" t="s">
        <v>1497</v>
      </c>
      <c r="E2873" s="6">
        <v>100.3</v>
      </c>
      <c r="F2873" s="1" t="s">
        <v>53</v>
      </c>
      <c r="G2873" s="6">
        <f ca="1">IFERROR(__xludf.DUMMYFUNCTION("iferror(GOOGLEFINANCE(TRIM(F2873)&amp;"":"" &amp; TRIM(B2873), ""price""),0
)"),0)</f>
        <v>0</v>
      </c>
      <c r="H2873" s="6">
        <v>23.96</v>
      </c>
      <c r="I2873" s="6">
        <f t="shared" ca="1" si="0"/>
        <v>23.96</v>
      </c>
      <c r="J2873" s="6">
        <f ca="1">IFERROR(__xludf.DUMMYFUNCTION("IFERROR(GOOGLEFINANCE(B2873, ""volume""), 0)"),0)</f>
        <v>0</v>
      </c>
      <c r="K2873" s="6">
        <v>2.13</v>
      </c>
      <c r="L2873" s="6">
        <f ca="1">IFERROR(__xludf.DUMMYFUNCTION("IFERROR(GOOGLEFINANCE(B2873,""changepct""),K2873)"),2.13)</f>
        <v>2.13</v>
      </c>
      <c r="M2873" s="6">
        <f ca="1">IFERROR(__xludf.DUMMYFUNCTION("IFERROR(GOOGLEFINANCE(B2873,""change""),0)"),0)</f>
        <v>0</v>
      </c>
      <c r="N2873" s="6">
        <v>1</v>
      </c>
      <c r="O2873" s="7">
        <v>45536</v>
      </c>
      <c r="P2873" s="6">
        <v>88.64</v>
      </c>
      <c r="Q2873" s="6">
        <v>183.44</v>
      </c>
      <c r="R2873" s="7">
        <v>45536</v>
      </c>
      <c r="S2873" s="6">
        <v>128.27000000000001</v>
      </c>
      <c r="T2873" s="6">
        <v>-0.14000000000000001</v>
      </c>
      <c r="U2873" s="7">
        <v>45536</v>
      </c>
      <c r="V2873" s="6">
        <v>0</v>
      </c>
      <c r="W2873" s="6">
        <f ca="1">IFERROR(__xludf.DUMMYFUNCTION("IFERROR(GOOGLEFINANCE(B2873,""pe""),V2873)"),0)</f>
        <v>0</v>
      </c>
      <c r="X2873" s="6">
        <v>0</v>
      </c>
      <c r="Y2873" s="6">
        <v>2.81</v>
      </c>
      <c r="Z2873" s="6">
        <v>1</v>
      </c>
      <c r="AA2873" s="8">
        <v>45352</v>
      </c>
      <c r="AB2873" s="4">
        <v>2.59</v>
      </c>
      <c r="AC2873" s="6">
        <v>4.37</v>
      </c>
      <c r="AD2873" s="6">
        <v>11.34</v>
      </c>
      <c r="AE2873" s="1">
        <v>0</v>
      </c>
      <c r="AF2873" s="1">
        <f ca="1">IFERROR(__xludf.DUMMYFUNCTION("IFERROR(GOOGLEFINANCE(TRIM(F2873)&amp;"":"" &amp; TRIM(B2873),""high52""),AE2873)"),0)</f>
        <v>0</v>
      </c>
      <c r="AG2873" s="1">
        <v>0</v>
      </c>
      <c r="AH2873" s="1">
        <f ca="1">IFERROR(__xludf.DUMMYFUNCTION("IFERROR(GOOGLEFINANCE(TRIM(F2873)&amp;"":"" &amp; TRIM(B2873),""low52""),AE2873)"),0)</f>
        <v>0</v>
      </c>
      <c r="AI2873" s="1">
        <f ca="1">IFERROR(__xludf.DUMMYFUNCTION("IFERROR(GOOGLEFINANCE(B2873,""eps""),0)"),0)</f>
        <v>0</v>
      </c>
      <c r="AJ2873" s="1"/>
      <c r="AK2873" s="1" t="s">
        <v>8879</v>
      </c>
      <c r="AL2873" s="9">
        <f t="shared" si="279"/>
        <v>1</v>
      </c>
    </row>
    <row r="2874" spans="1:38" ht="15" x14ac:dyDescent="0.25">
      <c r="A2874" s="1" t="s">
        <v>8880</v>
      </c>
      <c r="B2874" s="1" t="s">
        <v>8881</v>
      </c>
      <c r="C2874" s="1" t="s">
        <v>487</v>
      </c>
      <c r="D2874" s="1" t="s">
        <v>487</v>
      </c>
      <c r="E2874" s="6">
        <v>1462.22</v>
      </c>
      <c r="F2874" s="1" t="s">
        <v>40</v>
      </c>
      <c r="G2874" s="6">
        <f ca="1">IFERROR(__xludf.DUMMYFUNCTION("iferror(GOOGLEFINANCE(TRIM(F2874)&amp;"":"" &amp; TRIM(B2874), ""price""),0
)"),20.2)</f>
        <v>20.2</v>
      </c>
      <c r="H2874" s="6">
        <v>45.55</v>
      </c>
      <c r="I2874" s="6">
        <f t="shared" ca="1" si="0"/>
        <v>20.2</v>
      </c>
      <c r="J2874" s="6">
        <f ca="1">IFERROR(__xludf.DUMMYFUNCTION("IFERROR(GOOGLEFINANCE(B2874, ""volume""), 0)"),189399)</f>
        <v>189399</v>
      </c>
      <c r="K2874" s="6">
        <v>1.2</v>
      </c>
      <c r="L2874" s="6">
        <f ca="1">IFERROR(__xludf.DUMMYFUNCTION("IFERROR(GOOGLEFINANCE(B2874,""changepct""),K2874)"),1.51)</f>
        <v>1.51</v>
      </c>
      <c r="M2874" s="6">
        <f ca="1">IFERROR(__xludf.DUMMYFUNCTION("IFERROR(GOOGLEFINANCE(B2874,""change""),0)"),0.3)</f>
        <v>0.3</v>
      </c>
      <c r="N2874" s="6">
        <v>2</v>
      </c>
      <c r="O2874" s="7">
        <v>45536</v>
      </c>
      <c r="P2874" s="6">
        <v>402.89</v>
      </c>
      <c r="Q2874" s="6">
        <v>1852.32</v>
      </c>
      <c r="R2874" s="7">
        <v>45536</v>
      </c>
      <c r="S2874" s="6">
        <v>350.3</v>
      </c>
      <c r="T2874" s="6">
        <v>59.01</v>
      </c>
      <c r="U2874" s="7">
        <v>45536</v>
      </c>
      <c r="V2874" s="6">
        <v>25.02</v>
      </c>
      <c r="W2874" s="6">
        <f ca="1">IFERROR(__xludf.DUMMYFUNCTION("IFERROR(GOOGLEFINANCE(B2874,""pe""),V2874)"),25.02)</f>
        <v>25.02</v>
      </c>
      <c r="X2874" s="6">
        <v>1.48</v>
      </c>
      <c r="Y2874" s="6">
        <v>5.42</v>
      </c>
      <c r="Z2874" s="6">
        <v>2</v>
      </c>
      <c r="AA2874" s="8">
        <v>45352</v>
      </c>
      <c r="AB2874" s="4">
        <v>1.23</v>
      </c>
      <c r="AC2874" s="6">
        <v>101.56</v>
      </c>
      <c r="AD2874" s="6">
        <v>33.93</v>
      </c>
      <c r="AE2874" s="1">
        <v>0</v>
      </c>
      <c r="AF2874" s="1">
        <f ca="1">IFERROR(__xludf.DUMMYFUNCTION("IFERROR(GOOGLEFINANCE(TRIM(F2874)&amp;"":"" &amp; TRIM(B2874),""high52""),AE2874)"),46)</f>
        <v>46</v>
      </c>
      <c r="AG2874" s="1">
        <v>0</v>
      </c>
      <c r="AH2874" s="1">
        <f ca="1">IFERROR(__xludf.DUMMYFUNCTION("IFERROR(GOOGLEFINANCE(TRIM(F2874)&amp;"":"" &amp; TRIM(B2874),""low52""),AE2874)"),18.96)</f>
        <v>18.96</v>
      </c>
      <c r="AI2874" s="1">
        <f ca="1">IFERROR(__xludf.DUMMYFUNCTION("IFERROR(GOOGLEFINANCE(B2874,""eps""),0)"),-1.83)</f>
        <v>-1.83</v>
      </c>
      <c r="AJ2874" s="1"/>
      <c r="AK2874" s="1" t="s">
        <v>8882</v>
      </c>
      <c r="AL2874" s="9">
        <f t="shared" si="279"/>
        <v>1</v>
      </c>
    </row>
    <row r="2875" spans="1:38" ht="15" x14ac:dyDescent="0.25">
      <c r="A2875" s="1" t="s">
        <v>8883</v>
      </c>
      <c r="B2875" s="1" t="s">
        <v>8884</v>
      </c>
      <c r="C2875" s="1" t="s">
        <v>1497</v>
      </c>
      <c r="D2875" s="1" t="s">
        <v>1497</v>
      </c>
      <c r="E2875" s="6">
        <v>80.36</v>
      </c>
      <c r="F2875" s="1" t="s">
        <v>53</v>
      </c>
      <c r="G2875" s="6">
        <f ca="1">IFERROR(__xludf.DUMMYFUNCTION("iferror(GOOGLEFINANCE(TRIM(F2875)&amp;"":"" &amp; TRIM(B2875), ""price""),0
)"),0)</f>
        <v>0</v>
      </c>
      <c r="H2875" s="6">
        <v>276.8</v>
      </c>
      <c r="I2875" s="6">
        <f t="shared" ca="1" si="0"/>
        <v>276.8</v>
      </c>
      <c r="J2875" s="6">
        <f ca="1">IFERROR(__xludf.DUMMYFUNCTION("IFERROR(GOOGLEFINANCE(B2875, ""volume""), 0)"),0)</f>
        <v>0</v>
      </c>
      <c r="K2875" s="6">
        <v>3.34</v>
      </c>
      <c r="L2875" s="6">
        <f ca="1">IFERROR(__xludf.DUMMYFUNCTION("IFERROR(GOOGLEFINANCE(B2875,""changepct""),K2875)"),3.34)</f>
        <v>3.34</v>
      </c>
      <c r="M2875" s="6">
        <f ca="1">IFERROR(__xludf.DUMMYFUNCTION("IFERROR(GOOGLEFINANCE(B2875,""change""),0)"),0)</f>
        <v>0</v>
      </c>
      <c r="N2875" s="6">
        <v>1</v>
      </c>
      <c r="O2875" s="7">
        <v>45536</v>
      </c>
      <c r="P2875" s="6">
        <v>2.44</v>
      </c>
      <c r="Q2875" s="6">
        <v>81.58</v>
      </c>
      <c r="R2875" s="7">
        <v>45536</v>
      </c>
      <c r="S2875" s="6">
        <v>15.41</v>
      </c>
      <c r="T2875" s="6">
        <v>4.8600000000000003</v>
      </c>
      <c r="U2875" s="7">
        <v>45536</v>
      </c>
      <c r="V2875" s="6">
        <v>16.52</v>
      </c>
      <c r="W2875" s="6">
        <f ca="1">IFERROR(__xludf.DUMMYFUNCTION("IFERROR(GOOGLEFINANCE(B2875,""pe""),V2875)"),16.52)</f>
        <v>16.52</v>
      </c>
      <c r="X2875" s="6">
        <v>0.85</v>
      </c>
      <c r="Y2875" s="6">
        <v>6.36</v>
      </c>
      <c r="Z2875" s="6">
        <v>1</v>
      </c>
      <c r="AA2875" s="8">
        <v>45352</v>
      </c>
      <c r="AB2875" s="4">
        <v>0.25</v>
      </c>
      <c r="AC2875" s="6">
        <v>41.32</v>
      </c>
      <c r="AD2875" s="6">
        <v>48.49</v>
      </c>
      <c r="AE2875" s="1">
        <v>0</v>
      </c>
      <c r="AF2875" s="1">
        <f ca="1">IFERROR(__xludf.DUMMYFUNCTION("IFERROR(GOOGLEFINANCE(TRIM(F2875)&amp;"":"" &amp; TRIM(B2875),""high52""),AE2875)"),0)</f>
        <v>0</v>
      </c>
      <c r="AG2875" s="1">
        <v>0</v>
      </c>
      <c r="AH2875" s="1">
        <f ca="1">IFERROR(__xludf.DUMMYFUNCTION("IFERROR(GOOGLEFINANCE(TRIM(F2875)&amp;"":"" &amp; TRIM(B2875),""low52""),AE2875)"),0)</f>
        <v>0</v>
      </c>
      <c r="AI2875" s="1">
        <f ca="1">IFERROR(__xludf.DUMMYFUNCTION("IFERROR(GOOGLEFINANCE(B2875,""eps""),0)"),0)</f>
        <v>0</v>
      </c>
      <c r="AJ2875" s="1"/>
      <c r="AK2875" s="1" t="s">
        <v>8885</v>
      </c>
      <c r="AL2875" s="9">
        <f t="shared" si="279"/>
        <v>1</v>
      </c>
    </row>
    <row r="2876" spans="1:38" ht="15" x14ac:dyDescent="0.25">
      <c r="A2876" s="1" t="s">
        <v>8886</v>
      </c>
      <c r="B2876" s="1" t="s">
        <v>8887</v>
      </c>
      <c r="C2876" s="1" t="s">
        <v>219</v>
      </c>
      <c r="D2876" s="1" t="s">
        <v>219</v>
      </c>
      <c r="E2876" s="6">
        <v>2705</v>
      </c>
      <c r="F2876" s="1" t="s">
        <v>40</v>
      </c>
      <c r="G2876" s="6">
        <f ca="1">IFERROR(__xludf.DUMMYFUNCTION("iferror(GOOGLEFINANCE(TRIM(F2876)&amp;"":"" &amp; TRIM(B2876), ""price""),0
)"),164.5)</f>
        <v>164.5</v>
      </c>
      <c r="H2876" s="6">
        <v>197.71</v>
      </c>
      <c r="I2876" s="6">
        <f t="shared" ca="1" si="0"/>
        <v>164.5</v>
      </c>
      <c r="J2876" s="6">
        <f ca="1">IFERROR(__xludf.DUMMYFUNCTION("IFERROR(GOOGLEFINANCE(B2876, ""volume""), 0)"),300429)</f>
        <v>300429</v>
      </c>
      <c r="K2876" s="6">
        <v>-1.26</v>
      </c>
      <c r="L2876" s="6">
        <f ca="1">IFERROR(__xludf.DUMMYFUNCTION("IFERROR(GOOGLEFINANCE(B2876,""changepct""),K2876)"),1.93)</f>
        <v>1.93</v>
      </c>
      <c r="M2876" s="6">
        <f ca="1">IFERROR(__xludf.DUMMYFUNCTION("IFERROR(GOOGLEFINANCE(B2876,""change""),0)"),3.11)</f>
        <v>3.11</v>
      </c>
      <c r="N2876" s="6">
        <v>2</v>
      </c>
      <c r="O2876" s="7">
        <v>45536</v>
      </c>
      <c r="P2876" s="6">
        <v>801.77</v>
      </c>
      <c r="Q2876" s="6">
        <v>3350.35</v>
      </c>
      <c r="R2876" s="7">
        <v>45536</v>
      </c>
      <c r="S2876" s="6">
        <v>3048.61</v>
      </c>
      <c r="T2876" s="6">
        <v>107.45</v>
      </c>
      <c r="U2876" s="7">
        <v>45536</v>
      </c>
      <c r="V2876" s="6">
        <v>25.22</v>
      </c>
      <c r="W2876" s="6">
        <f ca="1">IFERROR(__xludf.DUMMYFUNCTION("IFERROR(GOOGLEFINANCE(B2876,""pe""),V2876)"),17.05)</f>
        <v>17.05</v>
      </c>
      <c r="X2876" s="6">
        <v>3.09</v>
      </c>
      <c r="Y2876" s="6">
        <v>2.91</v>
      </c>
      <c r="Z2876" s="6">
        <v>2</v>
      </c>
      <c r="AA2876" s="8">
        <v>45352</v>
      </c>
      <c r="AB2876" s="4">
        <v>0.84</v>
      </c>
      <c r="AC2876" s="6">
        <v>11.89</v>
      </c>
      <c r="AD2876" s="6">
        <v>16.399999999999999</v>
      </c>
      <c r="AE2876" s="1">
        <v>0</v>
      </c>
      <c r="AF2876" s="1">
        <f ca="1">IFERROR(__xludf.DUMMYFUNCTION("IFERROR(GOOGLEFINANCE(TRIM(F2876)&amp;"":"" &amp; TRIM(B2876),""high52""),AE2876)"),279.9)</f>
        <v>279.89999999999998</v>
      </c>
      <c r="AG2876" s="1">
        <v>0</v>
      </c>
      <c r="AH2876" s="1">
        <f ca="1">IFERROR(__xludf.DUMMYFUNCTION("IFERROR(GOOGLEFINANCE(TRIM(F2876)&amp;"":"" &amp; TRIM(B2876),""low52""),AE2876)"),135.65)</f>
        <v>135.65</v>
      </c>
      <c r="AI2876" s="1">
        <f ca="1">IFERROR(__xludf.DUMMYFUNCTION("IFERROR(GOOGLEFINANCE(B2876,""eps""),0)"),9.65)</f>
        <v>9.65</v>
      </c>
      <c r="AJ2876" s="1"/>
      <c r="AK2876" s="1" t="s">
        <v>8888</v>
      </c>
      <c r="AL2876" s="9">
        <f t="shared" si="279"/>
        <v>1</v>
      </c>
    </row>
    <row r="2877" spans="1:38" ht="15" x14ac:dyDescent="0.25">
      <c r="A2877" s="1" t="s">
        <v>8889</v>
      </c>
      <c r="B2877" s="1" t="s">
        <v>8890</v>
      </c>
      <c r="C2877" s="1" t="s">
        <v>801</v>
      </c>
      <c r="D2877" s="1" t="s">
        <v>801</v>
      </c>
      <c r="E2877" s="6">
        <v>71.66</v>
      </c>
      <c r="F2877" s="1" t="s">
        <v>40</v>
      </c>
      <c r="G2877" s="6">
        <f ca="1">IFERROR(__xludf.DUMMYFUNCTION("iferror(GOOGLEFINANCE(TRIM(F2877)&amp;"":"" &amp; TRIM(B2877), ""price""),0
)"),0)</f>
        <v>0</v>
      </c>
      <c r="H2877" s="6">
        <v>91</v>
      </c>
      <c r="I2877" s="6">
        <f t="shared" ca="1" si="0"/>
        <v>91</v>
      </c>
      <c r="J2877" s="6">
        <f ca="1">IFERROR(__xludf.DUMMYFUNCTION("IFERROR(GOOGLEFINANCE(B2877, ""volume""), 0)"),0)</f>
        <v>0</v>
      </c>
      <c r="K2877" s="6">
        <v>-2.1</v>
      </c>
      <c r="L2877" s="6">
        <f ca="1">IFERROR(__xludf.DUMMYFUNCTION("IFERROR(GOOGLEFINANCE(B2877,""changepct""),K2877)"),-2.1)</f>
        <v>-2.1</v>
      </c>
      <c r="M2877" s="6">
        <f ca="1">IFERROR(__xludf.DUMMYFUNCTION("IFERROR(GOOGLEFINANCE(B2877,""change""),0)"),0)</f>
        <v>0</v>
      </c>
      <c r="N2877" s="6">
        <v>1</v>
      </c>
      <c r="O2877" s="7">
        <v>45536</v>
      </c>
      <c r="P2877" s="6">
        <v>29.81</v>
      </c>
      <c r="Q2877" s="6">
        <v>101.47</v>
      </c>
      <c r="R2877" s="7">
        <v>45352</v>
      </c>
      <c r="S2877" s="6">
        <v>57.77</v>
      </c>
      <c r="T2877" s="6">
        <v>4.4400000000000004</v>
      </c>
      <c r="U2877" s="7">
        <v>45352</v>
      </c>
      <c r="V2877" s="6">
        <v>16.13</v>
      </c>
      <c r="W2877" s="6">
        <f ca="1">IFERROR(__xludf.DUMMYFUNCTION("IFERROR(GOOGLEFINANCE(B2877,""pe""),V2877)"),16.13)</f>
        <v>16.13</v>
      </c>
      <c r="X2877" s="9"/>
      <c r="Y2877" s="6">
        <v>2.4500000000000002</v>
      </c>
      <c r="Z2877" s="6">
        <v>1</v>
      </c>
      <c r="AA2877" s="8">
        <v>45352</v>
      </c>
      <c r="AB2877" s="4">
        <v>0.83</v>
      </c>
      <c r="AC2877" s="6">
        <v>23.46</v>
      </c>
      <c r="AD2877" s="6">
        <v>17.62</v>
      </c>
      <c r="AE2877" s="1">
        <v>0</v>
      </c>
      <c r="AF2877" s="1">
        <f ca="1">IFERROR(__xludf.DUMMYFUNCTION("IFERROR(GOOGLEFINANCE(TRIM(F2877)&amp;"":"" &amp; TRIM(B2877),""high52""),AE2877)"),0)</f>
        <v>0</v>
      </c>
      <c r="AG2877" s="1">
        <v>0</v>
      </c>
      <c r="AH2877" s="1">
        <f ca="1">IFERROR(__xludf.DUMMYFUNCTION("IFERROR(GOOGLEFINANCE(TRIM(F2877)&amp;"":"" &amp; TRIM(B2877),""low52""),AE2877)"),0)</f>
        <v>0</v>
      </c>
      <c r="AI2877" s="1">
        <f ca="1">IFERROR(__xludf.DUMMYFUNCTION("IFERROR(GOOGLEFINANCE(B2877,""eps""),0)"),0)</f>
        <v>0</v>
      </c>
      <c r="AJ2877" s="1"/>
      <c r="AK2877" s="1" t="s">
        <v>8891</v>
      </c>
      <c r="AL2877" s="9">
        <f t="shared" si="279"/>
        <v>1</v>
      </c>
    </row>
    <row r="2878" spans="1:38" ht="15" x14ac:dyDescent="0.25">
      <c r="A2878" s="1" t="s">
        <v>8892</v>
      </c>
      <c r="B2878" s="1" t="s">
        <v>8893</v>
      </c>
      <c r="C2878" s="1" t="s">
        <v>112</v>
      </c>
      <c r="D2878" s="1" t="s">
        <v>112</v>
      </c>
      <c r="E2878" s="6">
        <v>35.869999999999997</v>
      </c>
      <c r="F2878" s="1" t="s">
        <v>40</v>
      </c>
      <c r="G2878" s="6">
        <f ca="1">IFERROR(__xludf.DUMMYFUNCTION("iferror(GOOGLEFINANCE(TRIM(F2878)&amp;"":"" &amp; TRIM(B2878), ""price""),0
)"),0)</f>
        <v>0</v>
      </c>
      <c r="H2878" s="6">
        <v>21.4</v>
      </c>
      <c r="I2878" s="6">
        <f t="shared" ca="1" si="0"/>
        <v>21.4</v>
      </c>
      <c r="J2878" s="6">
        <f ca="1">IFERROR(__xludf.DUMMYFUNCTION("IFERROR(GOOGLEFINANCE(B2878, ""volume""), 0)"),0)</f>
        <v>0</v>
      </c>
      <c r="K2878" s="6">
        <v>4.3899999999999997</v>
      </c>
      <c r="L2878" s="6">
        <f ca="1">IFERROR(__xludf.DUMMYFUNCTION("IFERROR(GOOGLEFINANCE(B2878,""changepct""),K2878)"),4.39)</f>
        <v>4.3899999999999997</v>
      </c>
      <c r="M2878" s="6">
        <f ca="1">IFERROR(__xludf.DUMMYFUNCTION("IFERROR(GOOGLEFINANCE(B2878,""change""),0)"),0)</f>
        <v>0</v>
      </c>
      <c r="N2878" s="6">
        <v>1</v>
      </c>
      <c r="O2878" s="7">
        <v>45352</v>
      </c>
      <c r="P2878" s="6">
        <v>7.79</v>
      </c>
      <c r="Q2878" s="6">
        <v>42.19</v>
      </c>
      <c r="R2878" s="7">
        <v>45352</v>
      </c>
      <c r="S2878" s="6">
        <v>5.89</v>
      </c>
      <c r="T2878" s="6">
        <v>0.82</v>
      </c>
      <c r="U2878" s="7">
        <v>45352</v>
      </c>
      <c r="V2878" s="6">
        <v>43.74</v>
      </c>
      <c r="W2878" s="6">
        <f ca="1">IFERROR(__xludf.DUMMYFUNCTION("IFERROR(GOOGLEFINANCE(B2878,""pe""),V2878)"),43.74)</f>
        <v>43.74</v>
      </c>
      <c r="X2878" s="6">
        <v>1.05</v>
      </c>
      <c r="Y2878" s="6">
        <v>1.0900000000000001</v>
      </c>
      <c r="Z2878" s="6">
        <v>1</v>
      </c>
      <c r="AA2878" s="8">
        <v>45352</v>
      </c>
      <c r="AB2878" s="4">
        <v>0.24</v>
      </c>
      <c r="AC2878" s="6">
        <v>3.06</v>
      </c>
      <c r="AD2878" s="6">
        <v>0.91</v>
      </c>
      <c r="AE2878" s="1">
        <v>0</v>
      </c>
      <c r="AF2878" s="1">
        <f ca="1">IFERROR(__xludf.DUMMYFUNCTION("IFERROR(GOOGLEFINANCE(TRIM(F2878)&amp;"":"" &amp; TRIM(B2878),""high52""),AE2878)"),0)</f>
        <v>0</v>
      </c>
      <c r="AG2878" s="1">
        <v>0</v>
      </c>
      <c r="AH2878" s="1">
        <f ca="1">IFERROR(__xludf.DUMMYFUNCTION("IFERROR(GOOGLEFINANCE(TRIM(F2878)&amp;"":"" &amp; TRIM(B2878),""low52""),AE2878)"),0)</f>
        <v>0</v>
      </c>
      <c r="AI2878" s="1">
        <f ca="1">IFERROR(__xludf.DUMMYFUNCTION("IFERROR(GOOGLEFINANCE(B2878,""eps""),0)"),0)</f>
        <v>0</v>
      </c>
      <c r="AJ2878" s="1"/>
      <c r="AK2878" s="1" t="s">
        <v>8894</v>
      </c>
      <c r="AL2878" s="9">
        <f t="shared" si="279"/>
        <v>1</v>
      </c>
    </row>
    <row r="2879" spans="1:38" ht="15" x14ac:dyDescent="0.25">
      <c r="A2879" s="1" t="s">
        <v>8895</v>
      </c>
      <c r="B2879" s="1" t="s">
        <v>8896</v>
      </c>
      <c r="C2879" s="1" t="s">
        <v>57</v>
      </c>
      <c r="D2879" s="1" t="s">
        <v>57</v>
      </c>
      <c r="E2879" s="6">
        <v>99831.33</v>
      </c>
      <c r="F2879" s="1" t="s">
        <v>40</v>
      </c>
      <c r="G2879" s="6">
        <f ca="1">IFERROR(__xludf.DUMMYFUNCTION("iferror(GOOGLEFINANCE(TRIM(F2879)&amp;"":"" &amp; TRIM(B2879), ""price""),0
)"),6068.5)</f>
        <v>6068.5</v>
      </c>
      <c r="H2879" s="6">
        <v>6429.25</v>
      </c>
      <c r="I2879" s="6">
        <f t="shared" ca="1" si="0"/>
        <v>6068.5</v>
      </c>
      <c r="J2879" s="6">
        <f ca="1">IFERROR(__xludf.DUMMYFUNCTION("IFERROR(GOOGLEFINANCE(B2879, ""volume""), 0)"),180834)</f>
        <v>180834</v>
      </c>
      <c r="K2879" s="6">
        <v>-0.8</v>
      </c>
      <c r="L2879" s="6">
        <f ca="1">IFERROR(__xludf.DUMMYFUNCTION("IFERROR(GOOGLEFINANCE(B2879,""changepct""),K2879)"),0.01)</f>
        <v>0.01</v>
      </c>
      <c r="M2879" s="6">
        <f ca="1">IFERROR(__xludf.DUMMYFUNCTION("IFERROR(GOOGLEFINANCE(B2879,""change""),0)"),0.5)</f>
        <v>0.5</v>
      </c>
      <c r="N2879" s="6">
        <v>2</v>
      </c>
      <c r="O2879" s="7">
        <v>45536</v>
      </c>
      <c r="P2879" s="6">
        <v>263.24</v>
      </c>
      <c r="Q2879" s="6">
        <v>99107.53</v>
      </c>
      <c r="R2879" s="7">
        <v>45536</v>
      </c>
      <c r="S2879" s="6">
        <v>10723.06</v>
      </c>
      <c r="T2879" s="6">
        <v>1232.8699999999999</v>
      </c>
      <c r="U2879" s="7">
        <v>45536</v>
      </c>
      <c r="V2879" s="6">
        <v>80.97</v>
      </c>
      <c r="W2879" s="6">
        <f ca="1">IFERROR(__xludf.DUMMYFUNCTION("IFERROR(GOOGLEFINANCE(B2879,""pe""),V2879)"),54.82)</f>
        <v>54.82</v>
      </c>
      <c r="X2879" s="6">
        <v>3.18</v>
      </c>
      <c r="Y2879" s="6">
        <v>17.940000000000001</v>
      </c>
      <c r="Z2879" s="6">
        <v>2</v>
      </c>
      <c r="AA2879" s="8">
        <v>45352</v>
      </c>
      <c r="AB2879" s="4">
        <v>0.04</v>
      </c>
      <c r="AC2879" s="6">
        <v>25.86</v>
      </c>
      <c r="AD2879" s="6">
        <v>31.26</v>
      </c>
      <c r="AE2879" s="1">
        <v>0</v>
      </c>
      <c r="AF2879" s="1">
        <f ca="1">IFERROR(__xludf.DUMMYFUNCTION("IFERROR(GOOGLEFINANCE(TRIM(F2879)&amp;"":"" &amp; TRIM(B2879),""high52""),AE2879)"),6599)</f>
        <v>6599</v>
      </c>
      <c r="AG2879" s="1">
        <v>0</v>
      </c>
      <c r="AH2879" s="1">
        <f ca="1">IFERROR(__xludf.DUMMYFUNCTION("IFERROR(GOOGLEFINANCE(TRIM(F2879)&amp;"":"" &amp; TRIM(B2879),""low52""),AE2879)"),4148.95)</f>
        <v>4148.95</v>
      </c>
      <c r="AI2879" s="1">
        <f ca="1">IFERROR(__xludf.DUMMYFUNCTION("IFERROR(GOOGLEFINANCE(B2879,""eps""),0)"),110.69)</f>
        <v>110.69</v>
      </c>
      <c r="AJ2879" s="1"/>
      <c r="AK2879" s="9"/>
      <c r="AL2879" s="9">
        <f t="shared" si="279"/>
        <v>1</v>
      </c>
    </row>
    <row r="2880" spans="1:38" ht="15" x14ac:dyDescent="0.25">
      <c r="A2880" s="1" t="s">
        <v>8897</v>
      </c>
      <c r="B2880" s="1" t="s">
        <v>8898</v>
      </c>
      <c r="C2880" s="1" t="s">
        <v>2222</v>
      </c>
      <c r="D2880" s="1" t="s">
        <v>2222</v>
      </c>
      <c r="E2880" s="6">
        <v>538.09</v>
      </c>
      <c r="F2880" s="1" t="s">
        <v>40</v>
      </c>
      <c r="G2880" s="6">
        <f ca="1">IFERROR(__xludf.DUMMYFUNCTION("iferror(GOOGLEFINANCE(TRIM(F2880)&amp;"":"" &amp; TRIM(B2880), ""price""),0
)"),0)</f>
        <v>0</v>
      </c>
      <c r="H2880" s="6">
        <v>208</v>
      </c>
      <c r="I2880" s="6">
        <f t="shared" ca="1" si="0"/>
        <v>208</v>
      </c>
      <c r="J2880" s="6">
        <f ca="1">IFERROR(__xludf.DUMMYFUNCTION("IFERROR(GOOGLEFINANCE(B2880, ""volume""), 0)"),0)</f>
        <v>0</v>
      </c>
      <c r="K2880" s="6">
        <v>-4.5199999999999996</v>
      </c>
      <c r="L2880" s="6">
        <f ca="1">IFERROR(__xludf.DUMMYFUNCTION("IFERROR(GOOGLEFINANCE(B2880,""changepct""),K2880)"),-4.52)</f>
        <v>-4.5199999999999996</v>
      </c>
      <c r="M2880" s="6">
        <f ca="1">IFERROR(__xludf.DUMMYFUNCTION("IFERROR(GOOGLEFINANCE(B2880,""change""),0)"),0)</f>
        <v>0</v>
      </c>
      <c r="N2880" s="6">
        <v>1</v>
      </c>
      <c r="O2880" s="7">
        <v>45536</v>
      </c>
      <c r="P2880" s="6">
        <v>138.06</v>
      </c>
      <c r="Q2880" s="6">
        <v>676.15</v>
      </c>
      <c r="R2880" s="7">
        <v>45352</v>
      </c>
      <c r="S2880" s="6">
        <v>538.64</v>
      </c>
      <c r="T2880" s="6">
        <v>82.46</v>
      </c>
      <c r="U2880" s="7">
        <v>45352</v>
      </c>
      <c r="V2880" s="6">
        <v>6.53</v>
      </c>
      <c r="W2880" s="6">
        <f ca="1">IFERROR(__xludf.DUMMYFUNCTION("IFERROR(GOOGLEFINANCE(B2880,""pe""),V2880)"),6.53)</f>
        <v>6.53</v>
      </c>
      <c r="X2880" s="9"/>
      <c r="Y2880" s="6">
        <v>2.39</v>
      </c>
      <c r="Z2880" s="6">
        <v>1</v>
      </c>
      <c r="AA2880" s="8">
        <v>45352</v>
      </c>
      <c r="AB2880" s="4">
        <v>0.63</v>
      </c>
      <c r="AC2880" s="6">
        <v>105.6</v>
      </c>
      <c r="AD2880" s="6">
        <v>61.85</v>
      </c>
      <c r="AE2880" s="1">
        <v>0</v>
      </c>
      <c r="AF2880" s="1">
        <f ca="1">IFERROR(__xludf.DUMMYFUNCTION("IFERROR(GOOGLEFINANCE(TRIM(F2880)&amp;"":"" &amp; TRIM(B2880),""high52""),AE2880)"),0)</f>
        <v>0</v>
      </c>
      <c r="AG2880" s="1">
        <v>0</v>
      </c>
      <c r="AH2880" s="1">
        <f ca="1">IFERROR(__xludf.DUMMYFUNCTION("IFERROR(GOOGLEFINANCE(TRIM(F2880)&amp;"":"" &amp; TRIM(B2880),""low52""),AE2880)"),0)</f>
        <v>0</v>
      </c>
      <c r="AI2880" s="1">
        <f ca="1">IFERROR(__xludf.DUMMYFUNCTION("IFERROR(GOOGLEFINANCE(B2880,""eps""),0)"),0)</f>
        <v>0</v>
      </c>
      <c r="AJ2880" s="1"/>
      <c r="AK2880" s="9"/>
      <c r="AL2880" s="9">
        <f t="shared" si="279"/>
        <v>1</v>
      </c>
    </row>
    <row r="2881" spans="1:38" ht="15" x14ac:dyDescent="0.25">
      <c r="A2881" s="1" t="s">
        <v>8899</v>
      </c>
      <c r="B2881" s="1" t="s">
        <v>8900</v>
      </c>
      <c r="C2881" s="1" t="s">
        <v>2222</v>
      </c>
      <c r="D2881" s="1" t="s">
        <v>2222</v>
      </c>
      <c r="E2881" s="6">
        <v>49155</v>
      </c>
      <c r="F2881" s="1" t="s">
        <v>40</v>
      </c>
      <c r="G2881" s="6">
        <f ca="1">IFERROR(__xludf.DUMMYFUNCTION("iferror(GOOGLEFINANCE(TRIM(F2881)&amp;"":"" &amp; TRIM(B2881), ""price""),0
)"),291)</f>
        <v>291</v>
      </c>
      <c r="H2881" s="6">
        <v>332.7</v>
      </c>
      <c r="I2881" s="6">
        <f t="shared" ca="1" si="0"/>
        <v>291</v>
      </c>
      <c r="J2881" s="6">
        <f ca="1">IFERROR(__xludf.DUMMYFUNCTION("IFERROR(GOOGLEFINANCE(B2881, ""volume""), 0)"),3096050)</f>
        <v>3096050</v>
      </c>
      <c r="K2881" s="6">
        <v>1.51</v>
      </c>
      <c r="L2881" s="6">
        <f ca="1">IFERROR(__xludf.DUMMYFUNCTION("IFERROR(GOOGLEFINANCE(B2881,""changepct""),K2881)"),3.47)</f>
        <v>3.47</v>
      </c>
      <c r="M2881" s="6">
        <f ca="1">IFERROR(__xludf.DUMMYFUNCTION("IFERROR(GOOGLEFINANCE(B2881,""change""),0)"),9.75)</f>
        <v>9.75</v>
      </c>
      <c r="N2881" s="6">
        <v>2</v>
      </c>
      <c r="O2881" s="7">
        <v>45536</v>
      </c>
      <c r="P2881" s="9"/>
      <c r="Q2881" s="6">
        <v>39223.46</v>
      </c>
      <c r="R2881" s="7">
        <v>45536</v>
      </c>
      <c r="S2881" s="6">
        <v>54979.79</v>
      </c>
      <c r="T2881" s="6">
        <v>3874.12</v>
      </c>
      <c r="U2881" s="7">
        <v>45536</v>
      </c>
      <c r="V2881" s="6">
        <v>12.43</v>
      </c>
      <c r="W2881" s="6">
        <f ca="1">IFERROR(__xludf.DUMMYFUNCTION("IFERROR(GOOGLEFINANCE(B2881,""pe""),V2881)"),11.9)</f>
        <v>11.9</v>
      </c>
      <c r="X2881" s="6">
        <v>1.2</v>
      </c>
      <c r="Y2881" s="6">
        <v>2.6</v>
      </c>
      <c r="Z2881" s="6">
        <v>2</v>
      </c>
      <c r="AA2881" s="8">
        <v>45352</v>
      </c>
      <c r="AB2881" s="4">
        <v>0.02</v>
      </c>
      <c r="AC2881" s="6">
        <v>21.59</v>
      </c>
      <c r="AD2881" s="6">
        <v>30.2</v>
      </c>
      <c r="AE2881" s="1">
        <v>0</v>
      </c>
      <c r="AF2881" s="1">
        <f ca="1">IFERROR(__xludf.DUMMYFUNCTION("IFERROR(GOOGLEFINANCE(TRIM(F2881)&amp;"":"" &amp; TRIM(B2881),""high52""),AE2881)"),326.5)</f>
        <v>326.5</v>
      </c>
      <c r="AG2881" s="1">
        <v>0</v>
      </c>
      <c r="AH2881" s="1">
        <f ca="1">IFERROR(__xludf.DUMMYFUNCTION("IFERROR(GOOGLEFINANCE(TRIM(F2881)&amp;"":"" &amp; TRIM(B2881),""low52""),AE2881)"),263.5)</f>
        <v>263.5</v>
      </c>
      <c r="AI2881" s="1">
        <f ca="1">IFERROR(__xludf.DUMMYFUNCTION("IFERROR(GOOGLEFINANCE(B2881,""eps""),0)"),24.45)</f>
        <v>24.45</v>
      </c>
      <c r="AJ2881" s="1"/>
      <c r="AK2881" s="1" t="s">
        <v>8901</v>
      </c>
      <c r="AL2881" s="9">
        <f t="shared" si="279"/>
        <v>1</v>
      </c>
    </row>
    <row r="2882" spans="1:38" ht="15" x14ac:dyDescent="0.25">
      <c r="A2882" s="1" t="s">
        <v>8902</v>
      </c>
      <c r="B2882" s="1" t="s">
        <v>8903</v>
      </c>
      <c r="C2882" s="1" t="s">
        <v>106</v>
      </c>
      <c r="D2882" s="1" t="s">
        <v>106</v>
      </c>
      <c r="E2882" s="6">
        <v>24345.34</v>
      </c>
      <c r="F2882" s="1" t="s">
        <v>40</v>
      </c>
      <c r="G2882" s="6">
        <f ca="1">IFERROR(__xludf.DUMMYFUNCTION("iferror(GOOGLEFINANCE(TRIM(F2882)&amp;"":"" &amp; TRIM(B2882), ""price""),0
)"),4589.9)</f>
        <v>4589.8999999999996</v>
      </c>
      <c r="H2882" s="6">
        <v>5290.4</v>
      </c>
      <c r="I2882" s="6">
        <f t="shared" ca="1" si="0"/>
        <v>4589.8999999999996</v>
      </c>
      <c r="J2882" s="6">
        <f ca="1">IFERROR(__xludf.DUMMYFUNCTION("IFERROR(GOOGLEFINANCE(B2882, ""volume""), 0)"),8903)</f>
        <v>8903</v>
      </c>
      <c r="K2882" s="6">
        <v>-0.63</v>
      </c>
      <c r="L2882" s="6">
        <f ca="1">IFERROR(__xludf.DUMMYFUNCTION("IFERROR(GOOGLEFINANCE(B2882,""changepct""),K2882)"),1.4)</f>
        <v>1.4</v>
      </c>
      <c r="M2882" s="6">
        <f ca="1">IFERROR(__xludf.DUMMYFUNCTION("IFERROR(GOOGLEFINANCE(B2882,""change""),0)"),63.4)</f>
        <v>63.4</v>
      </c>
      <c r="N2882" s="6">
        <v>1</v>
      </c>
      <c r="O2882" s="7">
        <v>45536</v>
      </c>
      <c r="P2882" s="6">
        <v>2.5</v>
      </c>
      <c r="Q2882" s="6">
        <v>22066.52</v>
      </c>
      <c r="R2882" s="7">
        <v>45536</v>
      </c>
      <c r="S2882" s="6">
        <v>2238.0500000000002</v>
      </c>
      <c r="T2882" s="6">
        <v>617.9</v>
      </c>
      <c r="U2882" s="7">
        <v>45536</v>
      </c>
      <c r="V2882" s="6">
        <v>39.4</v>
      </c>
      <c r="W2882" s="6">
        <f ca="1">IFERROR(__xludf.DUMMYFUNCTION("IFERROR(GOOGLEFINANCE(B2882,""pe""),V2882)"),25.02)</f>
        <v>25.02</v>
      </c>
      <c r="X2882" s="6">
        <v>8.01</v>
      </c>
      <c r="Y2882" s="6">
        <v>6.49</v>
      </c>
      <c r="Z2882" s="6">
        <v>1</v>
      </c>
      <c r="AA2882" s="8">
        <v>45352</v>
      </c>
      <c r="AB2882" s="4">
        <v>0</v>
      </c>
      <c r="AC2882" s="6">
        <v>16.21</v>
      </c>
      <c r="AD2882" s="6">
        <v>22.37</v>
      </c>
      <c r="AE2882" s="1">
        <v>0</v>
      </c>
      <c r="AF2882" s="1">
        <f ca="1">IFERROR(__xludf.DUMMYFUNCTION("IFERROR(GOOGLEFINANCE(TRIM(F2882)&amp;"":"" &amp; TRIM(B2882),""high52""),AE2882)"),5993)</f>
        <v>5993</v>
      </c>
      <c r="AG2882" s="1">
        <v>0</v>
      </c>
      <c r="AH2882" s="1">
        <f ca="1">IFERROR(__xludf.DUMMYFUNCTION("IFERROR(GOOGLEFINANCE(TRIM(F2882)&amp;"":"" &amp; TRIM(B2882),""low52""),AE2882)"),3701)</f>
        <v>3701</v>
      </c>
      <c r="AI2882" s="1">
        <f ca="1">IFERROR(__xludf.DUMMYFUNCTION("IFERROR(GOOGLEFINANCE(B2882,""eps""),0)"),183.48)</f>
        <v>183.48</v>
      </c>
      <c r="AJ2882" s="1"/>
      <c r="AK2882" s="1" t="s">
        <v>8904</v>
      </c>
      <c r="AL2882" s="9">
        <f t="shared" si="279"/>
        <v>1</v>
      </c>
    </row>
    <row r="2883" spans="1:38" ht="15" x14ac:dyDescent="0.25">
      <c r="A2883" s="1" t="s">
        <v>8905</v>
      </c>
      <c r="B2883" s="1" t="s">
        <v>8906</v>
      </c>
      <c r="C2883" s="1" t="s">
        <v>39</v>
      </c>
      <c r="D2883" s="1" t="s">
        <v>39</v>
      </c>
      <c r="E2883" s="6">
        <v>1791.22</v>
      </c>
      <c r="F2883" s="1" t="s">
        <v>53</v>
      </c>
      <c r="G2883" s="6">
        <f ca="1">IFERROR(__xludf.DUMMYFUNCTION("iferror(GOOGLEFINANCE(TRIM(F2883)&amp;"":"" &amp; TRIM(B2883), ""price""),0
)"),0)</f>
        <v>0</v>
      </c>
      <c r="H2883" s="6">
        <v>120.8</v>
      </c>
      <c r="I2883" s="6">
        <f t="shared" ca="1" si="0"/>
        <v>120.8</v>
      </c>
      <c r="J2883" s="6">
        <f ca="1">IFERROR(__xludf.DUMMYFUNCTION("IFERROR(GOOGLEFINANCE(B2883, ""volume""), 0)"),0)</f>
        <v>0</v>
      </c>
      <c r="K2883" s="6">
        <v>4.63</v>
      </c>
      <c r="L2883" s="6">
        <f ca="1">IFERROR(__xludf.DUMMYFUNCTION("IFERROR(GOOGLEFINANCE(B2883,""changepct""),K2883)"),4.63)</f>
        <v>4.63</v>
      </c>
      <c r="M2883" s="6">
        <f ca="1">IFERROR(__xludf.DUMMYFUNCTION("IFERROR(GOOGLEFINANCE(B2883,""change""),0)"),0)</f>
        <v>0</v>
      </c>
      <c r="N2883" s="6">
        <v>2</v>
      </c>
      <c r="O2883" s="7">
        <v>45536</v>
      </c>
      <c r="P2883" s="6">
        <v>124.12</v>
      </c>
      <c r="Q2883" s="6">
        <v>1902.8</v>
      </c>
      <c r="R2883" s="7">
        <v>45536</v>
      </c>
      <c r="S2883" s="6">
        <v>10.28</v>
      </c>
      <c r="T2883" s="6">
        <v>-50.87</v>
      </c>
      <c r="U2883" s="7">
        <v>45536</v>
      </c>
      <c r="V2883" s="6">
        <v>0</v>
      </c>
      <c r="W2883" s="6">
        <f ca="1">IFERROR(__xludf.DUMMYFUNCTION("IFERROR(GOOGLEFINANCE(B2883,""pe""),V2883)"),0)</f>
        <v>0</v>
      </c>
      <c r="X2883" s="9"/>
      <c r="Y2883" s="6">
        <v>8.1199999999999992</v>
      </c>
      <c r="Z2883" s="6">
        <v>2</v>
      </c>
      <c r="AA2883" s="8">
        <v>45352</v>
      </c>
      <c r="AB2883" s="4">
        <v>0.5</v>
      </c>
      <c r="AC2883" s="6">
        <v>-14.18</v>
      </c>
      <c r="AD2883" s="6">
        <v>-8.77</v>
      </c>
      <c r="AE2883" s="1">
        <v>0</v>
      </c>
      <c r="AF2883" s="1">
        <f ca="1">IFERROR(__xludf.DUMMYFUNCTION("IFERROR(GOOGLEFINANCE(TRIM(F2883)&amp;"":"" &amp; TRIM(B2883),""high52""),AE2883)"),0)</f>
        <v>0</v>
      </c>
      <c r="AG2883" s="1">
        <v>0</v>
      </c>
      <c r="AH2883" s="1">
        <f ca="1">IFERROR(__xludf.DUMMYFUNCTION("IFERROR(GOOGLEFINANCE(TRIM(F2883)&amp;"":"" &amp; TRIM(B2883),""low52""),AE2883)"),0)</f>
        <v>0</v>
      </c>
      <c r="AI2883" s="1">
        <f ca="1">IFERROR(__xludf.DUMMYFUNCTION("IFERROR(GOOGLEFINANCE(B2883,""eps""),0)"),0)</f>
        <v>0</v>
      </c>
      <c r="AJ2883" s="1"/>
      <c r="AK2883" s="1" t="s">
        <v>8907</v>
      </c>
      <c r="AL2883" s="9">
        <f t="shared" si="279"/>
        <v>1</v>
      </c>
    </row>
    <row r="2884" spans="1:38" ht="15" x14ac:dyDescent="0.25">
      <c r="A2884" s="1" t="s">
        <v>8908</v>
      </c>
      <c r="B2884" s="1" t="s">
        <v>8909</v>
      </c>
      <c r="C2884" s="1" t="s">
        <v>1265</v>
      </c>
      <c r="D2884" s="1" t="s">
        <v>1265</v>
      </c>
      <c r="E2884" s="6">
        <v>28715.61</v>
      </c>
      <c r="F2884" s="1" t="s">
        <v>40</v>
      </c>
      <c r="G2884" s="6">
        <f ca="1">IFERROR(__xludf.DUMMYFUNCTION("iferror(GOOGLEFINANCE(TRIM(F2884)&amp;"":"" &amp; TRIM(B2884), ""price""),0
)"),563.55)</f>
        <v>563.54999999999995</v>
      </c>
      <c r="H2884" s="6">
        <v>1011.1</v>
      </c>
      <c r="I2884" s="6">
        <f t="shared" ca="1" si="0"/>
        <v>563.54999999999995</v>
      </c>
      <c r="J2884" s="6">
        <f ca="1">IFERROR(__xludf.DUMMYFUNCTION("IFERROR(GOOGLEFINANCE(B2884, ""volume""), 0)"),3502398)</f>
        <v>3502398</v>
      </c>
      <c r="K2884" s="6">
        <v>-0.25</v>
      </c>
      <c r="L2884" s="6">
        <f ca="1">IFERROR(__xludf.DUMMYFUNCTION("IFERROR(GOOGLEFINANCE(B2884,""changepct""),K2884)"),4.07)</f>
        <v>4.07</v>
      </c>
      <c r="M2884" s="6">
        <f ca="1">IFERROR(__xludf.DUMMYFUNCTION("IFERROR(GOOGLEFINANCE(B2884,""change""),0)"),22.05)</f>
        <v>22.05</v>
      </c>
      <c r="N2884" s="6">
        <v>2</v>
      </c>
      <c r="O2884" s="7">
        <v>45536</v>
      </c>
      <c r="P2884" s="6">
        <v>383.79</v>
      </c>
      <c r="Q2884" s="6">
        <v>28952.31</v>
      </c>
      <c r="R2884" s="7">
        <v>45536</v>
      </c>
      <c r="S2884" s="6">
        <v>3600.44</v>
      </c>
      <c r="T2884" s="6">
        <v>195.21</v>
      </c>
      <c r="U2884" s="7">
        <v>45536</v>
      </c>
      <c r="V2884" s="6">
        <v>149.75</v>
      </c>
      <c r="W2884" s="6">
        <f ca="1">IFERROR(__xludf.DUMMYFUNCTION("IFERROR(GOOGLEFINANCE(B2884,""pe""),V2884)"),62.9)</f>
        <v>62.9</v>
      </c>
      <c r="X2884" s="9"/>
      <c r="Y2884" s="6">
        <v>10.85</v>
      </c>
      <c r="Z2884" s="6">
        <v>2</v>
      </c>
      <c r="AA2884" s="8">
        <v>45352</v>
      </c>
      <c r="AB2884" s="4">
        <v>0.35</v>
      </c>
      <c r="AC2884" s="6">
        <v>19.420000000000002</v>
      </c>
      <c r="AD2884" s="6">
        <v>19.53</v>
      </c>
      <c r="AE2884" s="1">
        <v>0</v>
      </c>
      <c r="AF2884" s="1">
        <f ca="1">IFERROR(__xludf.DUMMYFUNCTION("IFERROR(GOOGLEFINANCE(TRIM(F2884)&amp;"":"" &amp; TRIM(B2884),""high52""),AE2884)"),1008)</f>
        <v>1008</v>
      </c>
      <c r="AG2884" s="1">
        <v>0</v>
      </c>
      <c r="AH2884" s="1">
        <f ca="1">IFERROR(__xludf.DUMMYFUNCTION("IFERROR(GOOGLEFINANCE(TRIM(F2884)&amp;"":"" &amp; TRIM(B2884),""low52""),AE2884)"),465)</f>
        <v>465</v>
      </c>
      <c r="AI2884" s="1">
        <f ca="1">IFERROR(__xludf.DUMMYFUNCTION("IFERROR(GOOGLEFINANCE(B2884,""eps""),0)"),8.96)</f>
        <v>8.9600000000000009</v>
      </c>
      <c r="AJ2884" s="1"/>
      <c r="AK2884" s="1" t="s">
        <v>8910</v>
      </c>
      <c r="AL2884" s="9">
        <f t="shared" si="279"/>
        <v>1</v>
      </c>
    </row>
    <row r="2885" spans="1:38" ht="15" x14ac:dyDescent="0.25">
      <c r="A2885" s="1" t="s">
        <v>8911</v>
      </c>
      <c r="B2885" s="1" t="s">
        <v>8912</v>
      </c>
      <c r="C2885" s="1" t="s">
        <v>39</v>
      </c>
      <c r="D2885" s="1" t="s">
        <v>39</v>
      </c>
      <c r="E2885" s="6">
        <v>15.34</v>
      </c>
      <c r="F2885" s="1" t="s">
        <v>53</v>
      </c>
      <c r="G2885" s="6">
        <f ca="1">IFERROR(__xludf.DUMMYFUNCTION("iferror(GOOGLEFINANCE(TRIM(F2885)&amp;"":"" &amp; TRIM(B2885), ""price""),0
)"),0)</f>
        <v>0</v>
      </c>
      <c r="H2885" s="6">
        <v>29.65</v>
      </c>
      <c r="I2885" s="6">
        <f t="shared" ca="1" si="0"/>
        <v>29.65</v>
      </c>
      <c r="J2885" s="6">
        <f ca="1">IFERROR(__xludf.DUMMYFUNCTION("IFERROR(GOOGLEFINANCE(B2885, ""volume""), 0)"),0)</f>
        <v>0</v>
      </c>
      <c r="K2885" s="6">
        <v>2.4500000000000002</v>
      </c>
      <c r="L2885" s="6">
        <f ca="1">IFERROR(__xludf.DUMMYFUNCTION("IFERROR(GOOGLEFINANCE(B2885,""changepct""),K2885)"),2.45)</f>
        <v>2.4500000000000002</v>
      </c>
      <c r="M2885" s="6">
        <f ca="1">IFERROR(__xludf.DUMMYFUNCTION("IFERROR(GOOGLEFINANCE(B2885,""change""),0)"),0)</f>
        <v>0</v>
      </c>
      <c r="N2885" s="6">
        <v>1</v>
      </c>
      <c r="O2885" s="7">
        <v>45536</v>
      </c>
      <c r="P2885" s="6">
        <v>0.3</v>
      </c>
      <c r="Q2885" s="6">
        <v>15.64</v>
      </c>
      <c r="R2885" s="7">
        <v>45536</v>
      </c>
      <c r="S2885" s="6">
        <v>1.37</v>
      </c>
      <c r="T2885" s="6">
        <v>0.19</v>
      </c>
      <c r="U2885" s="7">
        <v>45536</v>
      </c>
      <c r="V2885" s="6">
        <v>80.739999999999995</v>
      </c>
      <c r="W2885" s="6">
        <f ca="1">IFERROR(__xludf.DUMMYFUNCTION("IFERROR(GOOGLEFINANCE(B2885,""pe""),V2885)"),80.74)</f>
        <v>80.739999999999995</v>
      </c>
      <c r="X2885" s="6">
        <v>4.28</v>
      </c>
      <c r="Y2885" s="6">
        <v>7.63</v>
      </c>
      <c r="Z2885" s="6">
        <v>1</v>
      </c>
      <c r="AA2885" s="8">
        <v>45352</v>
      </c>
      <c r="AB2885" s="4">
        <v>0.15</v>
      </c>
      <c r="AC2885" s="6">
        <v>38.24</v>
      </c>
      <c r="AD2885" s="6">
        <v>32.340000000000003</v>
      </c>
      <c r="AE2885" s="1">
        <v>0</v>
      </c>
      <c r="AF2885" s="1">
        <f ca="1">IFERROR(__xludf.DUMMYFUNCTION("IFERROR(GOOGLEFINANCE(TRIM(F2885)&amp;"":"" &amp; TRIM(B2885),""high52""),AE2885)"),0)</f>
        <v>0</v>
      </c>
      <c r="AG2885" s="1">
        <v>0</v>
      </c>
      <c r="AH2885" s="1">
        <f ca="1">IFERROR(__xludf.DUMMYFUNCTION("IFERROR(GOOGLEFINANCE(TRIM(F2885)&amp;"":"" &amp; TRIM(B2885),""low52""),AE2885)"),0)</f>
        <v>0</v>
      </c>
      <c r="AI2885" s="1">
        <f ca="1">IFERROR(__xludf.DUMMYFUNCTION("IFERROR(GOOGLEFINANCE(B2885,""eps""),0)"),0)</f>
        <v>0</v>
      </c>
      <c r="AJ2885" s="1"/>
      <c r="AK2885" s="1" t="s">
        <v>8913</v>
      </c>
      <c r="AL2885" s="9">
        <f t="shared" si="279"/>
        <v>1</v>
      </c>
    </row>
    <row r="2886" spans="1:38" ht="15" x14ac:dyDescent="0.25">
      <c r="A2886" s="1" t="s">
        <v>8914</v>
      </c>
      <c r="B2886" s="1" t="s">
        <v>8915</v>
      </c>
      <c r="C2886" s="1" t="s">
        <v>1682</v>
      </c>
      <c r="D2886" s="1" t="s">
        <v>1682</v>
      </c>
      <c r="E2886" s="6">
        <v>318.23</v>
      </c>
      <c r="F2886" s="1" t="s">
        <v>40</v>
      </c>
      <c r="G2886" s="6">
        <f ca="1">IFERROR(__xludf.DUMMYFUNCTION("iferror(GOOGLEFINANCE(TRIM(F2886)&amp;"":"" &amp; TRIM(B2886), ""price""),0
)"),0)</f>
        <v>0</v>
      </c>
      <c r="H2886" s="6">
        <v>240</v>
      </c>
      <c r="I2886" s="6">
        <f t="shared" ca="1" si="0"/>
        <v>240</v>
      </c>
      <c r="J2886" s="6">
        <f ca="1">IFERROR(__xludf.DUMMYFUNCTION("IFERROR(GOOGLEFINANCE(B2886, ""volume""), 0)"),0)</f>
        <v>0</v>
      </c>
      <c r="K2886" s="6">
        <v>2.41</v>
      </c>
      <c r="L2886" s="6">
        <f ca="1">IFERROR(__xludf.DUMMYFUNCTION("IFERROR(GOOGLEFINANCE(B2886,""changepct""),K2886)"),2.41)</f>
        <v>2.41</v>
      </c>
      <c r="M2886" s="6">
        <f ca="1">IFERROR(__xludf.DUMMYFUNCTION("IFERROR(GOOGLEFINANCE(B2886,""change""),0)"),0)</f>
        <v>0</v>
      </c>
      <c r="N2886" s="6">
        <v>1</v>
      </c>
      <c r="O2886" s="7">
        <v>45536</v>
      </c>
      <c r="P2886" s="6">
        <v>44.53</v>
      </c>
      <c r="Q2886" s="6">
        <v>362.76</v>
      </c>
      <c r="R2886" s="7">
        <v>45352</v>
      </c>
      <c r="S2886" s="6">
        <v>89.33</v>
      </c>
      <c r="T2886" s="6">
        <v>24.12</v>
      </c>
      <c r="U2886" s="7">
        <v>45352</v>
      </c>
      <c r="V2886" s="6">
        <v>13.2</v>
      </c>
      <c r="W2886" s="6">
        <f ca="1">IFERROR(__xludf.DUMMYFUNCTION("IFERROR(GOOGLEFINANCE(B2886,""pe""),V2886)"),13.2)</f>
        <v>13.2</v>
      </c>
      <c r="X2886" s="12"/>
      <c r="Y2886" s="6">
        <v>2.11</v>
      </c>
      <c r="Z2886" s="6">
        <v>1</v>
      </c>
      <c r="AA2886" s="8">
        <v>45352</v>
      </c>
      <c r="AB2886" s="4">
        <v>0.14000000000000001</v>
      </c>
      <c r="AC2886" s="6">
        <v>25.52</v>
      </c>
      <c r="AD2886" s="6">
        <v>31.88</v>
      </c>
      <c r="AE2886" s="1">
        <v>0</v>
      </c>
      <c r="AF2886" s="1">
        <f ca="1">IFERROR(__xludf.DUMMYFUNCTION("IFERROR(GOOGLEFINANCE(TRIM(F2886)&amp;"":"" &amp; TRIM(B2886),""high52""),AE2886)"),0)</f>
        <v>0</v>
      </c>
      <c r="AG2886" s="1">
        <v>0</v>
      </c>
      <c r="AH2886" s="1">
        <f ca="1">IFERROR(__xludf.DUMMYFUNCTION("IFERROR(GOOGLEFINANCE(TRIM(F2886)&amp;"":"" &amp; TRIM(B2886),""low52""),AE2886)"),0)</f>
        <v>0</v>
      </c>
      <c r="AI2886" s="1">
        <f ca="1">IFERROR(__xludf.DUMMYFUNCTION("IFERROR(GOOGLEFINANCE(B2886,""eps""),0)"),0)</f>
        <v>0</v>
      </c>
      <c r="AJ2886" s="1"/>
      <c r="AK2886" s="1" t="s">
        <v>8916</v>
      </c>
      <c r="AL2886" s="9">
        <f t="shared" si="279"/>
        <v>1</v>
      </c>
    </row>
    <row r="2887" spans="1:38" ht="15" x14ac:dyDescent="0.25">
      <c r="A2887" s="1" t="s">
        <v>8917</v>
      </c>
      <c r="B2887" s="1" t="s">
        <v>8918</v>
      </c>
      <c r="C2887" s="1" t="s">
        <v>227</v>
      </c>
      <c r="D2887" s="1" t="s">
        <v>227</v>
      </c>
      <c r="E2887" s="6">
        <v>54.94</v>
      </c>
      <c r="F2887" s="1" t="s">
        <v>40</v>
      </c>
      <c r="G2887" s="6">
        <f ca="1">IFERROR(__xludf.DUMMYFUNCTION("iferror(GOOGLEFINANCE(TRIM(F2887)&amp;"":"" &amp; TRIM(B2887), ""price""),0
)"),0)</f>
        <v>0</v>
      </c>
      <c r="H2887" s="6">
        <v>27.95</v>
      </c>
      <c r="I2887" s="6">
        <f t="shared" ca="1" si="0"/>
        <v>27.95</v>
      </c>
      <c r="J2887" s="6">
        <f ca="1">IFERROR(__xludf.DUMMYFUNCTION("IFERROR(GOOGLEFINANCE(B2887, ""volume""), 0)"),0)</f>
        <v>0</v>
      </c>
      <c r="K2887" s="6">
        <v>-1.58</v>
      </c>
      <c r="L2887" s="6">
        <f ca="1">IFERROR(__xludf.DUMMYFUNCTION("IFERROR(GOOGLEFINANCE(B2887,""changepct""),K2887)"),-1.58)</f>
        <v>-1.58</v>
      </c>
      <c r="M2887" s="6">
        <f ca="1">IFERROR(__xludf.DUMMYFUNCTION("IFERROR(GOOGLEFINANCE(B2887,""change""),0)"),0)</f>
        <v>0</v>
      </c>
      <c r="N2887" s="6">
        <v>1</v>
      </c>
      <c r="O2887" s="7">
        <v>45536</v>
      </c>
      <c r="P2887" s="6">
        <v>36.94</v>
      </c>
      <c r="Q2887" s="6">
        <v>91.89</v>
      </c>
      <c r="R2887" s="14"/>
      <c r="S2887" s="9"/>
      <c r="T2887" s="9"/>
      <c r="U2887" s="7">
        <v>45352</v>
      </c>
      <c r="V2887" s="6">
        <v>10.199999999999999</v>
      </c>
      <c r="W2887" s="6">
        <f ca="1">IFERROR(__xludf.DUMMYFUNCTION("IFERROR(GOOGLEFINANCE(B2887,""pe""),V2887)"),10.2)</f>
        <v>10.199999999999999</v>
      </c>
      <c r="X2887" s="12"/>
      <c r="Y2887" s="6">
        <v>0.59</v>
      </c>
      <c r="Z2887" s="6">
        <v>2</v>
      </c>
      <c r="AA2887" s="8">
        <v>45352</v>
      </c>
      <c r="AB2887" s="4">
        <v>0.59</v>
      </c>
      <c r="AC2887" s="6">
        <v>11.24</v>
      </c>
      <c r="AD2887" s="6">
        <v>15.46</v>
      </c>
      <c r="AE2887" s="1">
        <v>0</v>
      </c>
      <c r="AF2887" s="1">
        <f ca="1">IFERROR(__xludf.DUMMYFUNCTION("IFERROR(GOOGLEFINANCE(TRIM(F2887)&amp;"":"" &amp; TRIM(B2887),""high52""),AE2887)"),0)</f>
        <v>0</v>
      </c>
      <c r="AG2887" s="1">
        <v>0</v>
      </c>
      <c r="AH2887" s="1">
        <f ca="1">IFERROR(__xludf.DUMMYFUNCTION("IFERROR(GOOGLEFINANCE(TRIM(F2887)&amp;"":"" &amp; TRIM(B2887),""low52""),AE2887)"),0)</f>
        <v>0</v>
      </c>
      <c r="AI2887" s="1">
        <f ca="1">IFERROR(__xludf.DUMMYFUNCTION("IFERROR(GOOGLEFINANCE(B2887,""eps""),0)"),0)</f>
        <v>0</v>
      </c>
      <c r="AJ2887" s="1"/>
      <c r="AK2887" s="1" t="s">
        <v>8919</v>
      </c>
      <c r="AL2887" s="9">
        <f t="shared" si="279"/>
        <v>1</v>
      </c>
    </row>
    <row r="2888" spans="1:38" ht="15" x14ac:dyDescent="0.25">
      <c r="A2888" s="1" t="s">
        <v>8920</v>
      </c>
      <c r="B2888" s="1" t="s">
        <v>8921</v>
      </c>
      <c r="C2888" s="1" t="s">
        <v>697</v>
      </c>
      <c r="D2888" s="1" t="s">
        <v>697</v>
      </c>
      <c r="E2888" s="6">
        <v>56445.97</v>
      </c>
      <c r="F2888" s="1" t="s">
        <v>40</v>
      </c>
      <c r="G2888" s="6">
        <f ca="1">IFERROR(__xludf.DUMMYFUNCTION("iferror(GOOGLEFINANCE(TRIM(F2888)&amp;"":"" &amp; TRIM(B2888), ""price""),0
)"),3100)</f>
        <v>3100</v>
      </c>
      <c r="H2888" s="6">
        <v>3693.05</v>
      </c>
      <c r="I2888" s="6">
        <f t="shared" ca="1" si="0"/>
        <v>3100</v>
      </c>
      <c r="J2888" s="6">
        <f ca="1">IFERROR(__xludf.DUMMYFUNCTION("IFERROR(GOOGLEFINANCE(B2888, ""volume""), 0)"),335538)</f>
        <v>335538</v>
      </c>
      <c r="K2888" s="6">
        <v>-0.71</v>
      </c>
      <c r="L2888" s="6">
        <f ca="1">IFERROR(__xludf.DUMMYFUNCTION("IFERROR(GOOGLEFINANCE(B2888,""changepct""),K2888)"),0.06)</f>
        <v>0.06</v>
      </c>
      <c r="M2888" s="6">
        <f ca="1">IFERROR(__xludf.DUMMYFUNCTION("IFERROR(GOOGLEFINANCE(B2888,""change""),0)"),2)</f>
        <v>2</v>
      </c>
      <c r="N2888" s="6">
        <v>2</v>
      </c>
      <c r="O2888" s="7">
        <v>45536</v>
      </c>
      <c r="P2888" s="6">
        <v>107.3</v>
      </c>
      <c r="Q2888" s="6">
        <v>53709.27</v>
      </c>
      <c r="R2888" s="7">
        <v>45536</v>
      </c>
      <c r="S2888" s="6">
        <v>7928.4</v>
      </c>
      <c r="T2888" s="6">
        <v>1768.5</v>
      </c>
      <c r="U2888" s="7">
        <v>45536</v>
      </c>
      <c r="V2888" s="6">
        <v>31.8</v>
      </c>
      <c r="W2888" s="6">
        <f ca="1">IFERROR(__xludf.DUMMYFUNCTION("IFERROR(GOOGLEFINANCE(B2888,""pe""),V2888)"),31.1)</f>
        <v>31.1</v>
      </c>
      <c r="X2888" s="6">
        <v>0.98</v>
      </c>
      <c r="Y2888" s="6">
        <v>5.91</v>
      </c>
      <c r="Z2888" s="6">
        <v>2</v>
      </c>
      <c r="AA2888" s="8">
        <v>45352</v>
      </c>
      <c r="AB2888" s="4">
        <v>0.01</v>
      </c>
      <c r="AC2888" s="6">
        <v>21.11</v>
      </c>
      <c r="AD2888" s="6">
        <v>24.14</v>
      </c>
      <c r="AE2888" s="1">
        <v>0</v>
      </c>
      <c r="AF2888" s="1">
        <f ca="1">IFERROR(__xludf.DUMMYFUNCTION("IFERROR(GOOGLEFINANCE(TRIM(F2888)&amp;"":"" &amp; TRIM(B2888),""high52""),AE2888)"),4330)</f>
        <v>4330</v>
      </c>
      <c r="AG2888" s="1">
        <v>0</v>
      </c>
      <c r="AH2888" s="1">
        <f ca="1">IFERROR(__xludf.DUMMYFUNCTION("IFERROR(GOOGLEFINANCE(TRIM(F2888)&amp;"":"" &amp; TRIM(B2888),""low52""),AE2888)"),2951.1)</f>
        <v>2951.1</v>
      </c>
      <c r="AI2888" s="1">
        <f ca="1">IFERROR(__xludf.DUMMYFUNCTION("IFERROR(GOOGLEFINANCE(B2888,""eps""),0)"),99.67)</f>
        <v>99.67</v>
      </c>
      <c r="AJ2888" s="1"/>
      <c r="AK2888" s="1" t="s">
        <v>8922</v>
      </c>
      <c r="AL2888" s="9">
        <f t="shared" si="279"/>
        <v>1</v>
      </c>
    </row>
    <row r="2889" spans="1:38" ht="15" x14ac:dyDescent="0.25">
      <c r="A2889" s="1" t="s">
        <v>8923</v>
      </c>
      <c r="B2889" s="1" t="s">
        <v>8924</v>
      </c>
      <c r="C2889" s="1" t="s">
        <v>1682</v>
      </c>
      <c r="D2889" s="1" t="s">
        <v>1682</v>
      </c>
      <c r="E2889" s="6">
        <v>105.04</v>
      </c>
      <c r="F2889" s="1" t="s">
        <v>40</v>
      </c>
      <c r="G2889" s="6">
        <f ca="1">IFERROR(__xludf.DUMMYFUNCTION("iferror(GOOGLEFINANCE(TRIM(F2889)&amp;"":"" &amp; TRIM(B2889), ""price""),0
)"),0)</f>
        <v>0</v>
      </c>
      <c r="H2889" s="6">
        <v>36.9</v>
      </c>
      <c r="I2889" s="6">
        <f t="shared" ca="1" si="0"/>
        <v>36.9</v>
      </c>
      <c r="J2889" s="6">
        <f ca="1">IFERROR(__xludf.DUMMYFUNCTION("IFERROR(GOOGLEFINANCE(B2889, ""volume""), 0)"),0)</f>
        <v>0</v>
      </c>
      <c r="K2889" s="6">
        <v>2.93</v>
      </c>
      <c r="L2889" s="6">
        <f ca="1">IFERROR(__xludf.DUMMYFUNCTION("IFERROR(GOOGLEFINANCE(B2889,""changepct""),K2889)"),2.93)</f>
        <v>2.93</v>
      </c>
      <c r="M2889" s="6">
        <f ca="1">IFERROR(__xludf.DUMMYFUNCTION("IFERROR(GOOGLEFINANCE(B2889,""change""),0)"),0)</f>
        <v>0</v>
      </c>
      <c r="N2889" s="6">
        <v>1</v>
      </c>
      <c r="O2889" s="7">
        <v>45536</v>
      </c>
      <c r="P2889" s="6">
        <v>1.79</v>
      </c>
      <c r="Q2889" s="6">
        <v>106.83</v>
      </c>
      <c r="R2889" s="14"/>
      <c r="S2889" s="9"/>
      <c r="T2889" s="9"/>
      <c r="U2889" s="6">
        <v>0</v>
      </c>
      <c r="V2889" s="9"/>
      <c r="W2889" s="6" t="str">
        <f ca="1">IFERROR(__xludf.DUMMYFUNCTION("IFERROR(GOOGLEFINANCE(B2889,""pe""),V2889)"),"")</f>
        <v/>
      </c>
      <c r="X2889" s="9"/>
      <c r="Y2889" s="6">
        <v>4.08</v>
      </c>
      <c r="Z2889" s="6">
        <v>1</v>
      </c>
      <c r="AA2889" s="8">
        <v>45352</v>
      </c>
      <c r="AB2889" s="4">
        <v>0.79</v>
      </c>
      <c r="AC2889" s="6">
        <v>41.73</v>
      </c>
      <c r="AD2889" s="6">
        <v>31.67</v>
      </c>
      <c r="AE2889" s="1">
        <v>0</v>
      </c>
      <c r="AF2889" s="1">
        <f ca="1">IFERROR(__xludf.DUMMYFUNCTION("IFERROR(GOOGLEFINANCE(TRIM(F2889)&amp;"":"" &amp; TRIM(B2889),""high52""),AE2889)"),0)</f>
        <v>0</v>
      </c>
      <c r="AG2889" s="1">
        <v>0</v>
      </c>
      <c r="AH2889" s="1">
        <f ca="1">IFERROR(__xludf.DUMMYFUNCTION("IFERROR(GOOGLEFINANCE(TRIM(F2889)&amp;"":"" &amp; TRIM(B2889),""low52""),AE2889)"),0)</f>
        <v>0</v>
      </c>
      <c r="AI2889" s="1">
        <f ca="1">IFERROR(__xludf.DUMMYFUNCTION("IFERROR(GOOGLEFINANCE(B2889,""eps""),0)"),0)</f>
        <v>0</v>
      </c>
      <c r="AJ2889" s="1"/>
      <c r="AK2889" s="1" t="s">
        <v>8925</v>
      </c>
      <c r="AL2889" s="9">
        <f t="shared" si="279"/>
        <v>1</v>
      </c>
    </row>
    <row r="2890" spans="1:38" ht="15" x14ac:dyDescent="0.25">
      <c r="A2890" s="1" t="s">
        <v>8926</v>
      </c>
      <c r="B2890" s="1" t="s">
        <v>8927</v>
      </c>
      <c r="C2890" s="1" t="s">
        <v>135</v>
      </c>
      <c r="D2890" s="1" t="s">
        <v>135</v>
      </c>
      <c r="E2890" s="6">
        <v>148799.29999999999</v>
      </c>
      <c r="F2890" s="1" t="s">
        <v>40</v>
      </c>
      <c r="G2890" s="6">
        <f ca="1">IFERROR(__xludf.DUMMYFUNCTION("iferror(GOOGLEFINANCE(TRIM(F2890)&amp;"":"" &amp; TRIM(B2890), ""price""),0
)"),1415)</f>
        <v>1415</v>
      </c>
      <c r="H2890" s="6">
        <v>2926.85</v>
      </c>
      <c r="I2890" s="6">
        <f t="shared" ca="1" si="0"/>
        <v>1415</v>
      </c>
      <c r="J2890" s="6">
        <f ca="1">IFERROR(__xludf.DUMMYFUNCTION("IFERROR(GOOGLEFINANCE(B2890, ""volume""), 0)"),1594471)</f>
        <v>1594471</v>
      </c>
      <c r="K2890" s="6">
        <v>0.01</v>
      </c>
      <c r="L2890" s="6">
        <f ca="1">IFERROR(__xludf.DUMMYFUNCTION("IFERROR(GOOGLEFINANCE(B2890,""changepct""),K2890)"),-0.62)</f>
        <v>-0.62</v>
      </c>
      <c r="M2890" s="6">
        <f ca="1">IFERROR(__xludf.DUMMYFUNCTION("IFERROR(GOOGLEFINANCE(B2890,""change""),0)"),-8.8)</f>
        <v>-8.8000000000000007</v>
      </c>
      <c r="N2890" s="6">
        <v>2</v>
      </c>
      <c r="O2890" s="7">
        <v>45536</v>
      </c>
      <c r="P2890" s="6">
        <v>137.5</v>
      </c>
      <c r="Q2890" s="6">
        <v>148550</v>
      </c>
      <c r="R2890" s="7">
        <v>45536</v>
      </c>
      <c r="S2890" s="6">
        <v>12662.1</v>
      </c>
      <c r="T2890" s="6">
        <v>1930.55</v>
      </c>
      <c r="U2890" s="7">
        <v>45536</v>
      </c>
      <c r="V2890" s="6">
        <v>77.8</v>
      </c>
      <c r="W2890" s="6">
        <f ca="1">IFERROR(__xludf.DUMMYFUNCTION("IFERROR(GOOGLEFINANCE(B2890,""pe""),V2890)"),64.8)</f>
        <v>64.8</v>
      </c>
      <c r="X2890" s="6">
        <v>5.67</v>
      </c>
      <c r="Y2890" s="6">
        <v>17.07</v>
      </c>
      <c r="Z2890" s="6">
        <v>2</v>
      </c>
      <c r="AA2890" s="8">
        <v>45352</v>
      </c>
      <c r="AB2890" s="4">
        <v>0.02</v>
      </c>
      <c r="AC2890" s="6">
        <v>22.45</v>
      </c>
      <c r="AD2890" s="6">
        <v>30.55</v>
      </c>
      <c r="AE2890" s="1">
        <v>0</v>
      </c>
      <c r="AF2890" s="1">
        <f ca="1">IFERROR(__xludf.DUMMYFUNCTION("IFERROR(GOOGLEFINANCE(TRIM(F2890)&amp;"":"" &amp; TRIM(B2890),""high52""),AE2890)"),1574.95)</f>
        <v>1574.95</v>
      </c>
      <c r="AG2890" s="1">
        <v>0</v>
      </c>
      <c r="AH2890" s="1">
        <f ca="1">IFERROR(__xludf.DUMMYFUNCTION("IFERROR(GOOGLEFINANCE(TRIM(F2890)&amp;"":"" &amp; TRIM(B2890),""low52""),AE2890)"),1311.1)</f>
        <v>1311.1</v>
      </c>
      <c r="AI2890" s="1">
        <f ca="1">IFERROR(__xludf.DUMMYFUNCTION("IFERROR(GOOGLEFINANCE(B2890,""eps""),0)"),21.84)</f>
        <v>21.84</v>
      </c>
      <c r="AJ2890" s="1"/>
      <c r="AK2890" s="1" t="s">
        <v>8928</v>
      </c>
      <c r="AL2890" s="9">
        <f t="shared" si="279"/>
        <v>1</v>
      </c>
    </row>
    <row r="2891" spans="1:38" ht="15" x14ac:dyDescent="0.25">
      <c r="A2891" s="1" t="s">
        <v>8929</v>
      </c>
      <c r="B2891" s="1" t="s">
        <v>8930</v>
      </c>
      <c r="C2891" s="1" t="s">
        <v>39</v>
      </c>
      <c r="D2891" s="1" t="s">
        <v>39</v>
      </c>
      <c r="E2891" s="6">
        <v>38.86</v>
      </c>
      <c r="F2891" s="1" t="s">
        <v>53</v>
      </c>
      <c r="G2891" s="6">
        <f ca="1">IFERROR(__xludf.DUMMYFUNCTION("iferror(GOOGLEFINANCE(TRIM(F2891)&amp;"":"" &amp; TRIM(B2891), ""price""),0
)"),0)</f>
        <v>0</v>
      </c>
      <c r="H2891" s="6">
        <v>39.39</v>
      </c>
      <c r="I2891" s="6">
        <f t="shared" ca="1" si="0"/>
        <v>39.39</v>
      </c>
      <c r="J2891" s="6">
        <f ca="1">IFERROR(__xludf.DUMMYFUNCTION("IFERROR(GOOGLEFINANCE(B2891, ""volume""), 0)"),0)</f>
        <v>0</v>
      </c>
      <c r="K2891" s="6">
        <v>1.97</v>
      </c>
      <c r="L2891" s="6">
        <f ca="1">IFERROR(__xludf.DUMMYFUNCTION("IFERROR(GOOGLEFINANCE(B2891,""changepct""),K2891)"),1.97)</f>
        <v>1.97</v>
      </c>
      <c r="M2891" s="6">
        <f ca="1">IFERROR(__xludf.DUMMYFUNCTION("IFERROR(GOOGLEFINANCE(B2891,""change""),0)"),0)</f>
        <v>0</v>
      </c>
      <c r="N2891" s="6">
        <v>1</v>
      </c>
      <c r="O2891" s="7">
        <v>45536</v>
      </c>
      <c r="P2891" s="6">
        <v>21.04</v>
      </c>
      <c r="Q2891" s="6">
        <v>59.9</v>
      </c>
      <c r="R2891" s="7">
        <v>45536</v>
      </c>
      <c r="S2891" s="6">
        <v>45.92</v>
      </c>
      <c r="T2891" s="6">
        <v>0.27</v>
      </c>
      <c r="U2891" s="7">
        <v>45536</v>
      </c>
      <c r="V2891" s="6">
        <v>144.44</v>
      </c>
      <c r="W2891" s="6">
        <f ca="1">IFERROR(__xludf.DUMMYFUNCTION("IFERROR(GOOGLEFINANCE(B2891,""pe""),V2891)"),144.44)</f>
        <v>144.44</v>
      </c>
      <c r="X2891" s="9"/>
      <c r="Y2891" s="6">
        <v>1.78</v>
      </c>
      <c r="Z2891" s="6">
        <v>1</v>
      </c>
      <c r="AA2891" s="8">
        <v>45352</v>
      </c>
      <c r="AB2891" s="4">
        <v>1.06</v>
      </c>
      <c r="AC2891" s="6">
        <v>-2.64</v>
      </c>
      <c r="AD2891" s="6">
        <v>3.26</v>
      </c>
      <c r="AE2891" s="1">
        <v>0</v>
      </c>
      <c r="AF2891" s="1">
        <f ca="1">IFERROR(__xludf.DUMMYFUNCTION("IFERROR(GOOGLEFINANCE(TRIM(F2891)&amp;"":"" &amp; TRIM(B2891),""high52""),AE2891)"),0)</f>
        <v>0</v>
      </c>
      <c r="AG2891" s="1">
        <v>0</v>
      </c>
      <c r="AH2891" s="1">
        <f ca="1">IFERROR(__xludf.DUMMYFUNCTION("IFERROR(GOOGLEFINANCE(TRIM(F2891)&amp;"":"" &amp; TRIM(B2891),""low52""),AE2891)"),0)</f>
        <v>0</v>
      </c>
      <c r="AI2891" s="1">
        <f ca="1">IFERROR(__xludf.DUMMYFUNCTION("IFERROR(GOOGLEFINANCE(B2891,""eps""),0)"),0)</f>
        <v>0</v>
      </c>
      <c r="AJ2891" s="1"/>
      <c r="AK2891" s="1" t="s">
        <v>8931</v>
      </c>
      <c r="AL2891" s="9">
        <f t="shared" si="279"/>
        <v>1</v>
      </c>
    </row>
    <row r="2892" spans="1:38" ht="15" x14ac:dyDescent="0.25">
      <c r="A2892" s="1" t="s">
        <v>8932</v>
      </c>
      <c r="B2892" s="1" t="s">
        <v>8933</v>
      </c>
      <c r="C2892" s="1" t="s">
        <v>82</v>
      </c>
      <c r="D2892" s="1" t="s">
        <v>82</v>
      </c>
      <c r="E2892" s="6">
        <v>331.82</v>
      </c>
      <c r="F2892" s="1" t="s">
        <v>40</v>
      </c>
      <c r="G2892" s="6">
        <f ca="1">IFERROR(__xludf.DUMMYFUNCTION("iferror(GOOGLEFINANCE(TRIM(F2892)&amp;"":"" &amp; TRIM(B2892), ""price""),0
)"),8.52)</f>
        <v>8.52</v>
      </c>
      <c r="H2892" s="6">
        <v>14.25</v>
      </c>
      <c r="I2892" s="6">
        <f t="shared" ca="1" si="0"/>
        <v>8.52</v>
      </c>
      <c r="J2892" s="6">
        <f ca="1">IFERROR(__xludf.DUMMYFUNCTION("IFERROR(GOOGLEFINANCE(B2892, ""volume""), 0)"),102739)</f>
        <v>102739</v>
      </c>
      <c r="K2892" s="6">
        <v>0.56000000000000005</v>
      </c>
      <c r="L2892" s="6">
        <f ca="1">IFERROR(__xludf.DUMMYFUNCTION("IFERROR(GOOGLEFINANCE(B2892,""changepct""),K2892)"),-1.39)</f>
        <v>-1.39</v>
      </c>
      <c r="M2892" s="6">
        <f ca="1">IFERROR(__xludf.DUMMYFUNCTION("IFERROR(GOOGLEFINANCE(B2892,""change""),0)"),-0.12)</f>
        <v>-0.12</v>
      </c>
      <c r="N2892" s="6">
        <v>1</v>
      </c>
      <c r="O2892" s="7">
        <v>45536</v>
      </c>
      <c r="P2892" s="6">
        <v>16.09</v>
      </c>
      <c r="Q2892" s="6">
        <v>345.82</v>
      </c>
      <c r="R2892" s="7">
        <v>45536</v>
      </c>
      <c r="S2892" s="6">
        <v>94.83</v>
      </c>
      <c r="T2892" s="6">
        <v>4.9800000000000004</v>
      </c>
      <c r="U2892" s="7">
        <v>45536</v>
      </c>
      <c r="V2892" s="6">
        <v>66.62</v>
      </c>
      <c r="W2892" s="6">
        <f ca="1">IFERROR(__xludf.DUMMYFUNCTION("IFERROR(GOOGLEFINANCE(B2892,""pe""),V2892)"),44.22)</f>
        <v>44.22</v>
      </c>
      <c r="X2892" s="6">
        <v>5.12</v>
      </c>
      <c r="Y2892" s="6">
        <v>4.32</v>
      </c>
      <c r="Z2892" s="6">
        <v>1</v>
      </c>
      <c r="AA2892" s="8">
        <v>45352</v>
      </c>
      <c r="AB2892" s="4">
        <v>0.21</v>
      </c>
      <c r="AC2892" s="6">
        <v>6.43</v>
      </c>
      <c r="AD2892" s="6">
        <v>8.51</v>
      </c>
      <c r="AE2892" s="1">
        <v>0</v>
      </c>
      <c r="AF2892" s="1">
        <f ca="1">IFERROR(__xludf.DUMMYFUNCTION("IFERROR(GOOGLEFINANCE(TRIM(F2892)&amp;"":"" &amp; TRIM(B2892),""high52""),AE2892)"),20.64)</f>
        <v>20.64</v>
      </c>
      <c r="AG2892" s="1">
        <v>0</v>
      </c>
      <c r="AH2892" s="1">
        <f ca="1">IFERROR(__xludf.DUMMYFUNCTION("IFERROR(GOOGLEFINANCE(TRIM(F2892)&amp;"":"" &amp; TRIM(B2892),""low52""),AE2892)"),8.2)</f>
        <v>8.1999999999999993</v>
      </c>
      <c r="AI2892" s="1">
        <f ca="1">IFERROR(__xludf.DUMMYFUNCTION("IFERROR(GOOGLEFINANCE(B2892,""eps""),0)"),0.19)</f>
        <v>0.19</v>
      </c>
      <c r="AJ2892" s="1"/>
      <c r="AK2892" s="1" t="s">
        <v>8934</v>
      </c>
      <c r="AL2892" s="9">
        <f t="shared" si="279"/>
        <v>1</v>
      </c>
    </row>
    <row r="2893" spans="1:38" ht="15" x14ac:dyDescent="0.25">
      <c r="A2893" s="1" t="s">
        <v>8935</v>
      </c>
      <c r="B2893" s="1" t="s">
        <v>8936</v>
      </c>
      <c r="C2893" s="1" t="s">
        <v>43</v>
      </c>
      <c r="D2893" s="1" t="s">
        <v>43</v>
      </c>
      <c r="E2893" s="6">
        <v>6007.58</v>
      </c>
      <c r="F2893" s="1" t="s">
        <v>40</v>
      </c>
      <c r="G2893" s="6">
        <f ca="1">IFERROR(__xludf.DUMMYFUNCTION("iferror(GOOGLEFINANCE(TRIM(F2893)&amp;"":"" &amp; TRIM(B2893), ""price""),0
)"),4565)</f>
        <v>4565</v>
      </c>
      <c r="H2893" s="6">
        <v>5497.6</v>
      </c>
      <c r="I2893" s="6">
        <f t="shared" ca="1" si="0"/>
        <v>4565</v>
      </c>
      <c r="J2893" s="6">
        <f ca="1">IFERROR(__xludf.DUMMYFUNCTION("IFERROR(GOOGLEFINANCE(B2893, ""volume""), 0)"),1915)</f>
        <v>1915</v>
      </c>
      <c r="K2893" s="6">
        <v>1.07</v>
      </c>
      <c r="L2893" s="6">
        <f ca="1">IFERROR(__xludf.DUMMYFUNCTION("IFERROR(GOOGLEFINANCE(B2893,""changepct""),K2893)"),-0.38)</f>
        <v>-0.38</v>
      </c>
      <c r="M2893" s="6">
        <f ca="1">IFERROR(__xludf.DUMMYFUNCTION("IFERROR(GOOGLEFINANCE(B2893,""change""),0)"),-17.2)</f>
        <v>-17.2</v>
      </c>
      <c r="N2893" s="6">
        <v>2</v>
      </c>
      <c r="O2893" s="7">
        <v>45536</v>
      </c>
      <c r="P2893" s="6">
        <v>164.98</v>
      </c>
      <c r="Q2893" s="7">
        <v>45536</v>
      </c>
      <c r="R2893" s="6">
        <v>30.47</v>
      </c>
      <c r="S2893" s="6">
        <v>-4.78</v>
      </c>
      <c r="T2893" s="6">
        <v>0.35</v>
      </c>
      <c r="U2893" s="6">
        <v>2</v>
      </c>
      <c r="V2893" s="7">
        <v>45352</v>
      </c>
      <c r="W2893" s="6">
        <f ca="1">IFERROR(__xludf.DUMMYFUNCTION("IFERROR(GOOGLEFINANCE(B2893,""pe""),V2893)"),174.48)</f>
        <v>174.48</v>
      </c>
      <c r="X2893" s="6">
        <v>0.06</v>
      </c>
      <c r="Y2893" s="6">
        <v>1.1599999999999999</v>
      </c>
      <c r="Z2893" s="6">
        <v>2.0099999999999998</v>
      </c>
      <c r="AA2893" s="3" t="s">
        <v>8937</v>
      </c>
      <c r="AB2893" s="3"/>
      <c r="AC2893" s="9"/>
      <c r="AD2893" s="9"/>
      <c r="AE2893" s="1">
        <v>0</v>
      </c>
      <c r="AF2893" s="1">
        <f ca="1">IFERROR(__xludf.DUMMYFUNCTION("IFERROR(GOOGLEFINANCE(TRIM(F2893)&amp;"":"" &amp; TRIM(B2893),""high52""),AE2893)"),5980)</f>
        <v>5980</v>
      </c>
      <c r="AG2893" s="1">
        <v>0</v>
      </c>
      <c r="AH2893" s="1">
        <f ca="1">IFERROR(__xludf.DUMMYFUNCTION("IFERROR(GOOGLEFINANCE(TRIM(F2893)&amp;"":"" &amp; TRIM(B2893),""low52""),AE2893)"),3279.55)</f>
        <v>3279.55</v>
      </c>
      <c r="AI2893" s="1">
        <f ca="1">IFERROR(__xludf.DUMMYFUNCTION("IFERROR(GOOGLEFINANCE(B2893,""eps""),0)"),26.16)</f>
        <v>26.16</v>
      </c>
      <c r="AJ2893" s="1"/>
      <c r="AK2893" s="1" t="s">
        <v>8938</v>
      </c>
      <c r="AL2893" s="9">
        <f t="shared" si="279"/>
        <v>1</v>
      </c>
    </row>
    <row r="2894" spans="1:38" ht="15" x14ac:dyDescent="0.25">
      <c r="A2894" s="1" t="s">
        <v>8939</v>
      </c>
      <c r="B2894" s="1" t="s">
        <v>8940</v>
      </c>
      <c r="C2894" s="1" t="s">
        <v>706</v>
      </c>
      <c r="D2894" s="1" t="s">
        <v>706</v>
      </c>
      <c r="E2894" s="6">
        <v>175.65</v>
      </c>
      <c r="F2894" s="1" t="s">
        <v>40</v>
      </c>
      <c r="G2894" s="6">
        <f ca="1">IFERROR(__xludf.DUMMYFUNCTION("iferror(GOOGLEFINANCE(TRIM(F2894)&amp;"":"" &amp; TRIM(B2894), ""price""),0
)"),25)</f>
        <v>25</v>
      </c>
      <c r="H2894" s="6">
        <v>56.75</v>
      </c>
      <c r="I2894" s="6">
        <f t="shared" ca="1" si="0"/>
        <v>25</v>
      </c>
      <c r="J2894" s="6">
        <f ca="1">IFERROR(__xludf.DUMMYFUNCTION("IFERROR(GOOGLEFINANCE(B2894, ""volume""), 0)"),60777)</f>
        <v>60777</v>
      </c>
      <c r="K2894" s="6">
        <v>-1.34</v>
      </c>
      <c r="L2894" s="6">
        <f ca="1">IFERROR(__xludf.DUMMYFUNCTION("IFERROR(GOOGLEFINANCE(B2894,""changepct""),K2894)"),-7.24)</f>
        <v>-7.24</v>
      </c>
      <c r="M2894" s="6">
        <f ca="1">IFERROR(__xludf.DUMMYFUNCTION("IFERROR(GOOGLEFINANCE(B2894,""change""),0)"),-1.95)</f>
        <v>-1.95</v>
      </c>
      <c r="N2894" s="6">
        <v>2</v>
      </c>
      <c r="O2894" s="7">
        <v>45536</v>
      </c>
      <c r="P2894" s="6">
        <v>95.27</v>
      </c>
      <c r="Q2894" s="6">
        <v>267.97000000000003</v>
      </c>
      <c r="R2894" s="7">
        <v>45536</v>
      </c>
      <c r="S2894" s="6">
        <v>370.17</v>
      </c>
      <c r="T2894" s="6">
        <v>3.43</v>
      </c>
      <c r="U2894" s="7">
        <v>45536</v>
      </c>
      <c r="V2894" s="6">
        <v>50.99</v>
      </c>
      <c r="W2894" s="6">
        <f ca="1">IFERROR(__xludf.DUMMYFUNCTION("IFERROR(GOOGLEFINANCE(B2894,""pe""),V2894)"),90.4)</f>
        <v>90.4</v>
      </c>
      <c r="X2894" s="6">
        <v>-8.5500000000000007</v>
      </c>
      <c r="Y2894" s="6">
        <v>1.19</v>
      </c>
      <c r="Z2894" s="6">
        <v>2</v>
      </c>
      <c r="AA2894" s="8">
        <v>45352</v>
      </c>
      <c r="AB2894" s="4">
        <v>0.76</v>
      </c>
      <c r="AC2894" s="6">
        <v>2.68</v>
      </c>
      <c r="AD2894" s="6">
        <v>5.79</v>
      </c>
      <c r="AE2894" s="1">
        <v>0</v>
      </c>
      <c r="AF2894" s="1">
        <f ca="1">IFERROR(__xludf.DUMMYFUNCTION("IFERROR(GOOGLEFINANCE(TRIM(F2894)&amp;"":"" &amp; TRIM(B2894),""high52""),AE2894)"),53.69)</f>
        <v>53.69</v>
      </c>
      <c r="AG2894" s="1">
        <v>0</v>
      </c>
      <c r="AH2894" s="1">
        <f ca="1">IFERROR(__xludf.DUMMYFUNCTION("IFERROR(GOOGLEFINANCE(TRIM(F2894)&amp;"":"" &amp; TRIM(B2894),""low52""),AE2894)"),23.2)</f>
        <v>23.2</v>
      </c>
      <c r="AI2894" s="1">
        <f ca="1">IFERROR(__xludf.DUMMYFUNCTION("IFERROR(GOOGLEFINANCE(B2894,""eps""),0)"),0.28)</f>
        <v>0.28000000000000003</v>
      </c>
      <c r="AJ2894" s="1"/>
      <c r="AK2894" s="1" t="s">
        <v>8941</v>
      </c>
      <c r="AL2894" s="9">
        <f t="shared" si="279"/>
        <v>1</v>
      </c>
    </row>
    <row r="2895" spans="1:38" ht="15" x14ac:dyDescent="0.25">
      <c r="A2895" s="1" t="s">
        <v>8942</v>
      </c>
      <c r="B2895" s="1" t="s">
        <v>8943</v>
      </c>
      <c r="C2895" s="1" t="s">
        <v>71</v>
      </c>
      <c r="D2895" s="1" t="s">
        <v>71</v>
      </c>
      <c r="E2895" s="6">
        <v>26.8</v>
      </c>
      <c r="F2895" s="1" t="s">
        <v>53</v>
      </c>
      <c r="G2895" s="6">
        <f ca="1">IFERROR(__xludf.DUMMYFUNCTION("iferror(GOOGLEFINANCE(TRIM(F2895)&amp;"":"" &amp; TRIM(B2895), ""price""),0
)"),0)</f>
        <v>0</v>
      </c>
      <c r="H2895" s="6">
        <v>190.25</v>
      </c>
      <c r="I2895" s="6">
        <f t="shared" ca="1" si="0"/>
        <v>190.25</v>
      </c>
      <c r="J2895" s="6">
        <f ca="1">IFERROR(__xludf.DUMMYFUNCTION("IFERROR(GOOGLEFINANCE(B2895, ""volume""), 0)"),0)</f>
        <v>0</v>
      </c>
      <c r="K2895" s="6">
        <v>-4.04</v>
      </c>
      <c r="L2895" s="6">
        <f ca="1">IFERROR(__xludf.DUMMYFUNCTION("IFERROR(GOOGLEFINANCE(B2895,""changepct""),K2895)"),-4.04)</f>
        <v>-4.04</v>
      </c>
      <c r="M2895" s="6">
        <f ca="1">IFERROR(__xludf.DUMMYFUNCTION("IFERROR(GOOGLEFINANCE(B2895,""change""),0)"),0)</f>
        <v>0</v>
      </c>
      <c r="N2895" s="6">
        <v>1</v>
      </c>
      <c r="O2895" s="7">
        <v>45536</v>
      </c>
      <c r="P2895" s="6">
        <v>0.1</v>
      </c>
      <c r="Q2895" s="6">
        <v>26.9</v>
      </c>
      <c r="R2895" s="7">
        <v>45352</v>
      </c>
      <c r="S2895" s="6">
        <v>5.38</v>
      </c>
      <c r="T2895" s="6">
        <v>1.01</v>
      </c>
      <c r="U2895" s="7">
        <v>45352</v>
      </c>
      <c r="V2895" s="6">
        <v>26.6</v>
      </c>
      <c r="W2895" s="6">
        <f ca="1">IFERROR(__xludf.DUMMYFUNCTION("IFERROR(GOOGLEFINANCE(B2895,""pe""),V2895)"),26.6)</f>
        <v>26.6</v>
      </c>
      <c r="X2895" s="9"/>
      <c r="Y2895" s="6">
        <v>3.96</v>
      </c>
      <c r="Z2895" s="6">
        <v>1</v>
      </c>
      <c r="AA2895" s="8">
        <v>45352</v>
      </c>
      <c r="AB2895" s="4">
        <v>0.21</v>
      </c>
      <c r="AC2895" s="6">
        <v>84.98</v>
      </c>
      <c r="AD2895" s="6">
        <v>80.41</v>
      </c>
      <c r="AE2895" s="1">
        <v>0</v>
      </c>
      <c r="AF2895" s="1">
        <f ca="1">IFERROR(__xludf.DUMMYFUNCTION("IFERROR(GOOGLEFINANCE(TRIM(F2895)&amp;"":"" &amp; TRIM(B2895),""high52""),AE2895)"),0)</f>
        <v>0</v>
      </c>
      <c r="AG2895" s="1">
        <v>0</v>
      </c>
      <c r="AH2895" s="1">
        <f ca="1">IFERROR(__xludf.DUMMYFUNCTION("IFERROR(GOOGLEFINANCE(TRIM(F2895)&amp;"":"" &amp; TRIM(B2895),""low52""),AE2895)"),0)</f>
        <v>0</v>
      </c>
      <c r="AI2895" s="1">
        <f ca="1">IFERROR(__xludf.DUMMYFUNCTION("IFERROR(GOOGLEFINANCE(B2895,""eps""),0)"),0)</f>
        <v>0</v>
      </c>
      <c r="AJ2895" s="1"/>
      <c r="AK2895" s="1" t="s">
        <v>8944</v>
      </c>
      <c r="AL2895" s="9">
        <f t="shared" si="279"/>
        <v>1</v>
      </c>
    </row>
    <row r="2896" spans="1:38" ht="15" x14ac:dyDescent="0.25">
      <c r="A2896" s="1" t="s">
        <v>8945</v>
      </c>
      <c r="B2896" s="1" t="s">
        <v>8946</v>
      </c>
      <c r="C2896" s="1" t="s">
        <v>208</v>
      </c>
      <c r="D2896" s="1" t="s">
        <v>208</v>
      </c>
      <c r="E2896" s="6">
        <v>25384.28</v>
      </c>
      <c r="F2896" s="1" t="s">
        <v>40</v>
      </c>
      <c r="G2896" s="6">
        <f ca="1">IFERROR(__xludf.DUMMYFUNCTION("iferror(GOOGLEFINANCE(TRIM(F2896)&amp;"":"" &amp; TRIM(B2896), ""price""),0
)"),0)</f>
        <v>0</v>
      </c>
      <c r="H2896" s="6">
        <v>1116</v>
      </c>
      <c r="I2896" s="6">
        <f t="shared" ca="1" si="0"/>
        <v>1116</v>
      </c>
      <c r="J2896" s="6">
        <f ca="1">IFERROR(__xludf.DUMMYFUNCTION("IFERROR(GOOGLEFINANCE(B2896, ""volume""), 0)"),0)</f>
        <v>0</v>
      </c>
      <c r="K2896" s="6">
        <v>-0.84</v>
      </c>
      <c r="L2896" s="6">
        <f ca="1">IFERROR(__xludf.DUMMYFUNCTION("IFERROR(GOOGLEFINANCE(B2896,""changepct""),K2896)"),-0.84)</f>
        <v>-0.84</v>
      </c>
      <c r="M2896" s="6">
        <f ca="1">IFERROR(__xludf.DUMMYFUNCTION("IFERROR(GOOGLEFINANCE(B2896,""change""),0)"),0)</f>
        <v>0</v>
      </c>
      <c r="N2896" s="6">
        <v>2</v>
      </c>
      <c r="O2896" s="7">
        <v>45536</v>
      </c>
      <c r="P2896" s="6">
        <v>-1999.88</v>
      </c>
      <c r="Q2896" s="7">
        <v>45536</v>
      </c>
      <c r="R2896" s="6">
        <v>0</v>
      </c>
      <c r="S2896" s="9"/>
      <c r="T2896" s="6">
        <v>0.94</v>
      </c>
      <c r="U2896" s="6">
        <v>2</v>
      </c>
      <c r="V2896" s="7">
        <v>45352</v>
      </c>
      <c r="W2896" s="10">
        <f ca="1">IFERROR(__xludf.DUMMYFUNCTION("IFERROR(GOOGLEFINANCE(B2896,""pe""),V2896)"),45352)</f>
        <v>45352</v>
      </c>
      <c r="X2896" s="6">
        <v>2.02</v>
      </c>
      <c r="Y2896" s="6">
        <v>-5.85</v>
      </c>
      <c r="Z2896" s="6">
        <v>1.4</v>
      </c>
      <c r="AA2896" s="3" t="s">
        <v>8947</v>
      </c>
      <c r="AB2896" s="11"/>
      <c r="AC2896" s="9"/>
      <c r="AD2896" s="9"/>
      <c r="AE2896" s="1">
        <v>0</v>
      </c>
      <c r="AF2896" s="1">
        <f ca="1">IFERROR(__xludf.DUMMYFUNCTION("IFERROR(GOOGLEFINANCE(TRIM(F2896)&amp;"":"" &amp; TRIM(B2896),""high52""),AE2896)"),0)</f>
        <v>0</v>
      </c>
      <c r="AG2896" s="1">
        <v>0</v>
      </c>
      <c r="AH2896" s="1">
        <f ca="1">IFERROR(__xludf.DUMMYFUNCTION("IFERROR(GOOGLEFINANCE(TRIM(F2896)&amp;"":"" &amp; TRIM(B2896),""low52""),AE2896)"),0)</f>
        <v>0</v>
      </c>
      <c r="AI2896" s="1">
        <f ca="1">IFERROR(__xludf.DUMMYFUNCTION("IFERROR(GOOGLEFINANCE(B2896,""eps""),0)"),0)</f>
        <v>0</v>
      </c>
      <c r="AJ2896" s="1"/>
      <c r="AK2896" s="1" t="s">
        <v>8948</v>
      </c>
      <c r="AL2896" s="9">
        <f t="shared" si="279"/>
        <v>1</v>
      </c>
    </row>
    <row r="2897" spans="1:38" ht="15" x14ac:dyDescent="0.25">
      <c r="A2897" s="1" t="s">
        <v>8949</v>
      </c>
      <c r="B2897" s="1" t="s">
        <v>8950</v>
      </c>
      <c r="C2897" s="1" t="s">
        <v>106</v>
      </c>
      <c r="D2897" s="1" t="s">
        <v>106</v>
      </c>
      <c r="E2897" s="6">
        <v>34118.129999999997</v>
      </c>
      <c r="F2897" s="1" t="s">
        <v>40</v>
      </c>
      <c r="G2897" s="6">
        <f ca="1">IFERROR(__xludf.DUMMYFUNCTION("iferror(GOOGLEFINANCE(TRIM(F2897)&amp;"":"" &amp; TRIM(B2897), ""price""),0
)"),156)</f>
        <v>156</v>
      </c>
      <c r="H2897" s="6">
        <v>257.85000000000002</v>
      </c>
      <c r="I2897" s="6">
        <f t="shared" ca="1" si="0"/>
        <v>156</v>
      </c>
      <c r="J2897" s="6">
        <f ca="1">IFERROR(__xludf.DUMMYFUNCTION("IFERROR(GOOGLEFINANCE(B2897, ""volume""), 0)"),2194812)</f>
        <v>2194812</v>
      </c>
      <c r="K2897" s="6">
        <v>0.21</v>
      </c>
      <c r="L2897" s="6">
        <f ca="1">IFERROR(__xludf.DUMMYFUNCTION("IFERROR(GOOGLEFINANCE(B2897,""changepct""),K2897)"),2.81)</f>
        <v>2.81</v>
      </c>
      <c r="M2897" s="6">
        <f ca="1">IFERROR(__xludf.DUMMYFUNCTION("IFERROR(GOOGLEFINANCE(B2897,""change""),0)"),4.27)</f>
        <v>4.2699999999999996</v>
      </c>
      <c r="N2897" s="6">
        <v>2</v>
      </c>
      <c r="O2897" s="7">
        <v>45536</v>
      </c>
      <c r="P2897" s="6">
        <v>4643.09</v>
      </c>
      <c r="Q2897" s="6">
        <v>38363.21</v>
      </c>
      <c r="R2897" s="7">
        <v>45536</v>
      </c>
      <c r="S2897" s="6">
        <v>8703.82</v>
      </c>
      <c r="T2897" s="6">
        <v>-20.32</v>
      </c>
      <c r="U2897" s="7">
        <v>45536</v>
      </c>
      <c r="V2897" s="6">
        <v>752.66</v>
      </c>
      <c r="W2897" s="6">
        <f ca="1">IFERROR(__xludf.DUMMYFUNCTION("IFERROR(GOOGLEFINANCE(B2897,""pe""),V2897)"),752.66)</f>
        <v>752.66</v>
      </c>
      <c r="X2897" s="12"/>
      <c r="Y2897" s="6">
        <v>4.3099999999999996</v>
      </c>
      <c r="Z2897" s="6">
        <v>2</v>
      </c>
      <c r="AA2897" s="8">
        <v>45352</v>
      </c>
      <c r="AB2897" s="4">
        <v>0.57999999999999996</v>
      </c>
      <c r="AC2897" s="6">
        <v>0.24</v>
      </c>
      <c r="AD2897" s="6">
        <v>5.07</v>
      </c>
      <c r="AE2897" s="1">
        <v>0</v>
      </c>
      <c r="AF2897" s="1">
        <f ca="1">IFERROR(__xludf.DUMMYFUNCTION("IFERROR(GOOGLEFINANCE(TRIM(F2897)&amp;"":"" &amp; TRIM(B2897),""high52""),AE2897)"),240.95)</f>
        <v>240.95</v>
      </c>
      <c r="AG2897" s="1">
        <v>0</v>
      </c>
      <c r="AH2897" s="1">
        <f ca="1">IFERROR(__xludf.DUMMYFUNCTION("IFERROR(GOOGLEFINANCE(TRIM(F2897)&amp;"":"" &amp; TRIM(B2897),""low52""),AE2897)"),148.31)</f>
        <v>148.31</v>
      </c>
      <c r="AI2897" s="1">
        <f ca="1">IFERROR(__xludf.DUMMYFUNCTION("IFERROR(GOOGLEFINANCE(B2897,""eps""),0)"),-1.26)</f>
        <v>-1.26</v>
      </c>
      <c r="AJ2897" s="1"/>
      <c r="AK2897" s="1" t="s">
        <v>8951</v>
      </c>
      <c r="AL2897" s="9">
        <f t="shared" si="279"/>
        <v>1</v>
      </c>
    </row>
    <row r="2898" spans="1:38" ht="15" x14ac:dyDescent="0.25">
      <c r="A2898" s="1" t="s">
        <v>8952</v>
      </c>
      <c r="B2898" s="1" t="s">
        <v>8953</v>
      </c>
      <c r="C2898" s="1" t="s">
        <v>112</v>
      </c>
      <c r="D2898" s="1" t="s">
        <v>112</v>
      </c>
      <c r="E2898" s="6">
        <v>5085.12</v>
      </c>
      <c r="F2898" s="1" t="s">
        <v>40</v>
      </c>
      <c r="G2898" s="6">
        <f ca="1">IFERROR(__xludf.DUMMYFUNCTION("iferror(GOOGLEFINANCE(TRIM(F2898)&amp;"":"" &amp; TRIM(B2898), ""price""),0
)"),750)</f>
        <v>750</v>
      </c>
      <c r="H2898" s="6">
        <v>1341.1</v>
      </c>
      <c r="I2898" s="6">
        <f t="shared" ca="1" si="0"/>
        <v>750</v>
      </c>
      <c r="J2898" s="6">
        <f ca="1">IFERROR(__xludf.DUMMYFUNCTION("IFERROR(GOOGLEFINANCE(B2898, ""volume""), 0)"),28954)</f>
        <v>28954</v>
      </c>
      <c r="K2898" s="6">
        <v>-0.91</v>
      </c>
      <c r="L2898" s="6">
        <f ca="1">IFERROR(__xludf.DUMMYFUNCTION("IFERROR(GOOGLEFINANCE(B2898,""changepct""),K2898)"),-2.27)</f>
        <v>-2.27</v>
      </c>
      <c r="M2898" s="6">
        <f ca="1">IFERROR(__xludf.DUMMYFUNCTION("IFERROR(GOOGLEFINANCE(B2898,""change""),0)"),-17.4)</f>
        <v>-17.399999999999999</v>
      </c>
      <c r="N2898" s="6">
        <v>2</v>
      </c>
      <c r="O2898" s="7">
        <v>45536</v>
      </c>
      <c r="P2898" s="6">
        <v>468.74</v>
      </c>
      <c r="Q2898" s="6">
        <v>5414.47</v>
      </c>
      <c r="R2898" s="7">
        <v>45536</v>
      </c>
      <c r="S2898" s="6">
        <v>1433.67</v>
      </c>
      <c r="T2898" s="6">
        <v>112.25</v>
      </c>
      <c r="U2898" s="7">
        <v>45536</v>
      </c>
      <c r="V2898" s="6">
        <v>45.3</v>
      </c>
      <c r="W2898" s="6">
        <f ca="1">IFERROR(__xludf.DUMMYFUNCTION("IFERROR(GOOGLEFINANCE(B2898,""pe""),V2898)"),21.25)</f>
        <v>21.25</v>
      </c>
      <c r="X2898" s="12"/>
      <c r="Y2898" s="6">
        <v>5.82</v>
      </c>
      <c r="Z2898" s="6">
        <v>2</v>
      </c>
      <c r="AA2898" s="8">
        <v>45352</v>
      </c>
      <c r="AB2898" s="4">
        <v>1.29</v>
      </c>
      <c r="AC2898" s="6">
        <v>24.04</v>
      </c>
      <c r="AD2898" s="6">
        <v>21.8</v>
      </c>
      <c r="AE2898" s="1">
        <v>0</v>
      </c>
      <c r="AF2898" s="1">
        <f ca="1">IFERROR(__xludf.DUMMYFUNCTION("IFERROR(GOOGLEFINANCE(TRIM(F2898)&amp;"":"" &amp; TRIM(B2898),""high52""),AE2898)"),1177.95)</f>
        <v>1177.95</v>
      </c>
      <c r="AG2898" s="1">
        <v>0</v>
      </c>
      <c r="AH2898" s="1">
        <f ca="1">IFERROR(__xludf.DUMMYFUNCTION("IFERROR(GOOGLEFINANCE(TRIM(F2898)&amp;"":"" &amp; TRIM(B2898),""low52""),AE2898)"),675)</f>
        <v>675</v>
      </c>
      <c r="AI2898" s="1">
        <f ca="1">IFERROR(__xludf.DUMMYFUNCTION("IFERROR(GOOGLEFINANCE(B2898,""eps""),0)"),35.3)</f>
        <v>35.299999999999997</v>
      </c>
      <c r="AJ2898" s="1"/>
      <c r="AK2898" s="1" t="s">
        <v>8954</v>
      </c>
      <c r="AL2898" s="9">
        <f t="shared" si="279"/>
        <v>1</v>
      </c>
    </row>
    <row r="2899" spans="1:38" ht="15" x14ac:dyDescent="0.25">
      <c r="A2899" s="1" t="s">
        <v>8955</v>
      </c>
      <c r="B2899" s="1" t="s">
        <v>8956</v>
      </c>
      <c r="C2899" s="1" t="s">
        <v>71</v>
      </c>
      <c r="D2899" s="1" t="s">
        <v>71</v>
      </c>
      <c r="E2899" s="6">
        <v>349.78</v>
      </c>
      <c r="F2899" s="1" t="s">
        <v>53</v>
      </c>
      <c r="G2899" s="6">
        <f ca="1">IFERROR(__xludf.DUMMYFUNCTION("iferror(GOOGLEFINANCE(TRIM(F2899)&amp;"":"" &amp; TRIM(B2899), ""price""),0
)"),0)</f>
        <v>0</v>
      </c>
      <c r="H2899" s="6">
        <v>350.5</v>
      </c>
      <c r="I2899" s="6">
        <f t="shared" ca="1" si="0"/>
        <v>350.5</v>
      </c>
      <c r="J2899" s="6">
        <f ca="1">IFERROR(__xludf.DUMMYFUNCTION("IFERROR(GOOGLEFINANCE(B2899, ""volume""), 0)"),0)</f>
        <v>0</v>
      </c>
      <c r="K2899" s="9"/>
      <c r="L2899" s="6" t="str">
        <f ca="1">IFERROR(__xludf.DUMMYFUNCTION("IFERROR(GOOGLEFINANCE(B2899,""changepct""),K2899)"),"")</f>
        <v/>
      </c>
      <c r="M2899" s="6">
        <f ca="1">IFERROR(__xludf.DUMMYFUNCTION("IFERROR(GOOGLEFINANCE(B2899,""change""),0)"),0)</f>
        <v>0</v>
      </c>
      <c r="N2899" s="6">
        <v>1</v>
      </c>
      <c r="O2899" s="7">
        <v>45536</v>
      </c>
      <c r="P2899" s="6">
        <v>14.84</v>
      </c>
      <c r="Q2899" s="6">
        <v>364.56</v>
      </c>
      <c r="R2899" s="7">
        <v>45352</v>
      </c>
      <c r="S2899" s="6">
        <v>29.18</v>
      </c>
      <c r="T2899" s="6">
        <v>4.3099999999999996</v>
      </c>
      <c r="U2899" s="7">
        <v>45352</v>
      </c>
      <c r="V2899" s="6">
        <v>81.209999999999994</v>
      </c>
      <c r="W2899" s="6">
        <f ca="1">IFERROR(__xludf.DUMMYFUNCTION("IFERROR(GOOGLEFINANCE(B2899,""pe""),V2899)"),81.21)</f>
        <v>81.209999999999994</v>
      </c>
      <c r="X2899" s="9"/>
      <c r="Y2899" s="6">
        <v>4.16</v>
      </c>
      <c r="Z2899" s="6">
        <v>1</v>
      </c>
      <c r="AA2899" s="17">
        <v>44986</v>
      </c>
      <c r="AB2899" s="18">
        <v>2.38</v>
      </c>
      <c r="AC2899" s="6">
        <v>50.49</v>
      </c>
      <c r="AD2899" s="6">
        <v>17.79</v>
      </c>
      <c r="AE2899" s="1">
        <v>0</v>
      </c>
      <c r="AF2899" s="1">
        <f ca="1">IFERROR(__xludf.DUMMYFUNCTION("IFERROR(GOOGLEFINANCE(TRIM(F2899)&amp;"":"" &amp; TRIM(B2899),""high52""),AE2899)"),0)</f>
        <v>0</v>
      </c>
      <c r="AG2899" s="1">
        <v>0</v>
      </c>
      <c r="AH2899" s="1">
        <f ca="1">IFERROR(__xludf.DUMMYFUNCTION("IFERROR(GOOGLEFINANCE(TRIM(F2899)&amp;"":"" &amp; TRIM(B2899),""low52""),AE2899)"),0)</f>
        <v>0</v>
      </c>
      <c r="AI2899" s="1">
        <f ca="1">IFERROR(__xludf.DUMMYFUNCTION("IFERROR(GOOGLEFINANCE(B2899,""eps""),0)"),0)</f>
        <v>0</v>
      </c>
      <c r="AJ2899" s="1"/>
      <c r="AK2899" s="9"/>
      <c r="AL2899" s="9">
        <f t="shared" si="279"/>
        <v>1</v>
      </c>
    </row>
    <row r="2900" spans="1:38" ht="15" x14ac:dyDescent="0.25">
      <c r="A2900" s="1" t="s">
        <v>8957</v>
      </c>
      <c r="B2900" s="1" t="s">
        <v>8958</v>
      </c>
      <c r="C2900" s="1" t="s">
        <v>801</v>
      </c>
      <c r="D2900" s="1" t="s">
        <v>801</v>
      </c>
      <c r="E2900" s="6">
        <v>3425.72</v>
      </c>
      <c r="F2900" s="1" t="s">
        <v>40</v>
      </c>
      <c r="G2900" s="6">
        <f ca="1">IFERROR(__xludf.DUMMYFUNCTION("iferror(GOOGLEFINANCE(TRIM(F2900)&amp;"":"" &amp; TRIM(B2900), ""price""),0
)"),1299)</f>
        <v>1299</v>
      </c>
      <c r="H2900" s="6">
        <v>2510.85</v>
      </c>
      <c r="I2900" s="6">
        <f t="shared" ca="1" si="0"/>
        <v>1299</v>
      </c>
      <c r="J2900" s="6">
        <f ca="1">IFERROR(__xludf.DUMMYFUNCTION("IFERROR(GOOGLEFINANCE(B2900, ""volume""), 0)"),3953)</f>
        <v>3953</v>
      </c>
      <c r="K2900" s="6">
        <v>0.11</v>
      </c>
      <c r="L2900" s="6">
        <f ca="1">IFERROR(__xludf.DUMMYFUNCTION("IFERROR(GOOGLEFINANCE(B2900,""changepct""),K2900)"),-0.14)</f>
        <v>-0.14000000000000001</v>
      </c>
      <c r="M2900" s="6">
        <f ca="1">IFERROR(__xludf.DUMMYFUNCTION("IFERROR(GOOGLEFINANCE(B2900,""change""),0)"),-1.8)</f>
        <v>-1.8</v>
      </c>
      <c r="N2900" s="6">
        <v>2</v>
      </c>
      <c r="O2900" s="7">
        <v>45536</v>
      </c>
      <c r="P2900" s="6">
        <v>38.9</v>
      </c>
      <c r="Q2900" s="6">
        <v>3395.67</v>
      </c>
      <c r="R2900" s="7">
        <v>45536</v>
      </c>
      <c r="S2900" s="6">
        <v>544.89</v>
      </c>
      <c r="T2900" s="6">
        <v>114.44</v>
      </c>
      <c r="U2900" s="7">
        <v>45536</v>
      </c>
      <c r="V2900" s="6">
        <v>29.93</v>
      </c>
      <c r="W2900" s="6">
        <f ca="1">IFERROR(__xludf.DUMMYFUNCTION("IFERROR(GOOGLEFINANCE(B2900,""pe""),V2900)"),18.38)</f>
        <v>18.38</v>
      </c>
      <c r="X2900" s="6">
        <v>1.26</v>
      </c>
      <c r="Y2900" s="6">
        <v>6.21</v>
      </c>
      <c r="Z2900" s="6">
        <v>2</v>
      </c>
      <c r="AA2900" s="8">
        <v>45352</v>
      </c>
      <c r="AB2900" s="4">
        <v>0.09</v>
      </c>
      <c r="AC2900" s="6">
        <v>18.23</v>
      </c>
      <c r="AD2900" s="6">
        <v>22.63</v>
      </c>
      <c r="AE2900" s="1">
        <v>0</v>
      </c>
      <c r="AF2900" s="1">
        <f ca="1">IFERROR(__xludf.DUMMYFUNCTION("IFERROR(GOOGLEFINANCE(TRIM(F2900)&amp;"":"" &amp; TRIM(B2900),""high52""),AE2900)"),2199.1)</f>
        <v>2199.1</v>
      </c>
      <c r="AG2900" s="1">
        <v>0</v>
      </c>
      <c r="AH2900" s="1">
        <f ca="1">IFERROR(__xludf.DUMMYFUNCTION("IFERROR(GOOGLEFINANCE(TRIM(F2900)&amp;"":"" &amp; TRIM(B2900),""low52""),AE2900)"),1220.1)</f>
        <v>1220.0999999999999</v>
      </c>
      <c r="AI2900" s="1">
        <f ca="1">IFERROR(__xludf.DUMMYFUNCTION("IFERROR(GOOGLEFINANCE(B2900,""eps""),0)"),70.68)</f>
        <v>70.680000000000007</v>
      </c>
      <c r="AJ2900" s="1"/>
      <c r="AK2900" s="1" t="s">
        <v>8959</v>
      </c>
      <c r="AL2900" s="9">
        <f t="shared" si="279"/>
        <v>1</v>
      </c>
    </row>
    <row r="2901" spans="1:38" ht="15" x14ac:dyDescent="0.25">
      <c r="A2901" s="1" t="s">
        <v>8960</v>
      </c>
      <c r="B2901" s="1" t="s">
        <v>8961</v>
      </c>
      <c r="C2901" s="1" t="s">
        <v>90</v>
      </c>
      <c r="D2901" s="1" t="s">
        <v>90</v>
      </c>
      <c r="E2901" s="6">
        <v>22.12</v>
      </c>
      <c r="F2901" s="1" t="s">
        <v>40</v>
      </c>
      <c r="G2901" s="6">
        <f ca="1">IFERROR(__xludf.DUMMYFUNCTION("iferror(GOOGLEFINANCE(TRIM(F2901)&amp;"":"" &amp; TRIM(B2901), ""price""),0
)"),0)</f>
        <v>0</v>
      </c>
      <c r="H2901" s="6">
        <v>25.8</v>
      </c>
      <c r="I2901" s="6">
        <f t="shared" ca="1" si="0"/>
        <v>25.8</v>
      </c>
      <c r="J2901" s="6">
        <f ca="1">IFERROR(__xludf.DUMMYFUNCTION("IFERROR(GOOGLEFINANCE(B2901, ""volume""), 0)"),0)</f>
        <v>0</v>
      </c>
      <c r="K2901" s="9"/>
      <c r="L2901" s="6" t="str">
        <f ca="1">IFERROR(__xludf.DUMMYFUNCTION("IFERROR(GOOGLEFINANCE(B2901,""changepct""),K2901)"),"")</f>
        <v/>
      </c>
      <c r="M2901" s="6">
        <f ca="1">IFERROR(__xludf.DUMMYFUNCTION("IFERROR(GOOGLEFINANCE(B2901,""change""),0)"),0)</f>
        <v>0</v>
      </c>
      <c r="N2901" s="6">
        <v>1</v>
      </c>
      <c r="O2901" s="7">
        <v>45536</v>
      </c>
      <c r="P2901" s="6">
        <v>14.27</v>
      </c>
      <c r="Q2901" s="6">
        <v>32.869999999999997</v>
      </c>
      <c r="R2901" s="7">
        <v>45352</v>
      </c>
      <c r="S2901" s="6">
        <v>63.18</v>
      </c>
      <c r="T2901" s="6">
        <v>2.52</v>
      </c>
      <c r="U2901" s="7">
        <v>45352</v>
      </c>
      <c r="V2901" s="6">
        <v>8.77</v>
      </c>
      <c r="W2901" s="6">
        <f ca="1">IFERROR(__xludf.DUMMYFUNCTION("IFERROR(GOOGLEFINANCE(B2901,""pe""),V2901)"),8.77)</f>
        <v>8.77</v>
      </c>
      <c r="X2901" s="9"/>
      <c r="Y2901" s="6">
        <v>0.96</v>
      </c>
      <c r="Z2901" s="6">
        <v>2</v>
      </c>
      <c r="AA2901" s="8">
        <v>45352</v>
      </c>
      <c r="AB2901" s="4">
        <v>0.65</v>
      </c>
      <c r="AC2901" s="6">
        <v>18.010000000000002</v>
      </c>
      <c r="AD2901" s="6">
        <v>17.079999999999998</v>
      </c>
      <c r="AE2901" s="1">
        <v>0</v>
      </c>
      <c r="AF2901" s="1">
        <f ca="1">IFERROR(__xludf.DUMMYFUNCTION("IFERROR(GOOGLEFINANCE(TRIM(F2901)&amp;"":"" &amp; TRIM(B2901),""high52""),AE2901)"),0)</f>
        <v>0</v>
      </c>
      <c r="AG2901" s="1">
        <v>0</v>
      </c>
      <c r="AH2901" s="1">
        <f ca="1">IFERROR(__xludf.DUMMYFUNCTION("IFERROR(GOOGLEFINANCE(TRIM(F2901)&amp;"":"" &amp; TRIM(B2901),""low52""),AE2901)"),0)</f>
        <v>0</v>
      </c>
      <c r="AI2901" s="1">
        <f ca="1">IFERROR(__xludf.DUMMYFUNCTION("IFERROR(GOOGLEFINANCE(B2901,""eps""),0)"),0)</f>
        <v>0</v>
      </c>
      <c r="AJ2901" s="1"/>
      <c r="AK2901" s="9"/>
      <c r="AL2901" s="1" t="b">
        <f>ISBLANK(AB2901)</f>
        <v>0</v>
      </c>
    </row>
    <row r="2902" spans="1:38" ht="15" x14ac:dyDescent="0.25">
      <c r="A2902" s="1" t="s">
        <v>8962</v>
      </c>
      <c r="B2902" s="1" t="s">
        <v>8963</v>
      </c>
      <c r="C2902" s="1" t="s">
        <v>71</v>
      </c>
      <c r="D2902" s="1" t="s">
        <v>71</v>
      </c>
      <c r="E2902" s="6">
        <v>12.79</v>
      </c>
      <c r="F2902" s="1" t="s">
        <v>53</v>
      </c>
      <c r="G2902" s="6">
        <f ca="1">IFERROR(__xludf.DUMMYFUNCTION("iferror(GOOGLEFINANCE(TRIM(F2902)&amp;"":"" &amp; TRIM(B2902), ""price""),0
)"),0)</f>
        <v>0</v>
      </c>
      <c r="H2902" s="6">
        <v>15.84</v>
      </c>
      <c r="I2902" s="6">
        <f t="shared" ca="1" si="0"/>
        <v>15.84</v>
      </c>
      <c r="J2902" s="6">
        <f ca="1">IFERROR(__xludf.DUMMYFUNCTION("IFERROR(GOOGLEFINANCE(B2902, ""volume""), 0)"),0)</f>
        <v>0</v>
      </c>
      <c r="K2902" s="6">
        <v>2</v>
      </c>
      <c r="L2902" s="6">
        <f ca="1">IFERROR(__xludf.DUMMYFUNCTION("IFERROR(GOOGLEFINANCE(B2902,""changepct""),K2902)"),2)</f>
        <v>2</v>
      </c>
      <c r="M2902" s="6">
        <f ca="1">IFERROR(__xludf.DUMMYFUNCTION("IFERROR(GOOGLEFINANCE(B2902,""change""),0)"),0)</f>
        <v>0</v>
      </c>
      <c r="N2902" s="6">
        <v>1</v>
      </c>
      <c r="O2902" s="7">
        <v>45536</v>
      </c>
      <c r="P2902" s="6">
        <v>0.6</v>
      </c>
      <c r="Q2902" s="6">
        <v>13.38</v>
      </c>
      <c r="R2902" s="7">
        <v>45536</v>
      </c>
      <c r="S2902" s="6">
        <v>1.42</v>
      </c>
      <c r="T2902" s="6">
        <v>0.66</v>
      </c>
      <c r="U2902" s="7">
        <v>45536</v>
      </c>
      <c r="V2902" s="6">
        <v>19.260000000000002</v>
      </c>
      <c r="W2902" s="6">
        <f ca="1">IFERROR(__xludf.DUMMYFUNCTION("IFERROR(GOOGLEFINANCE(B2902,""pe""),V2902)"),19.26)</f>
        <v>19.260000000000002</v>
      </c>
      <c r="X2902" s="9"/>
      <c r="Y2902" s="6">
        <v>-6.87</v>
      </c>
      <c r="Z2902" s="6">
        <v>1</v>
      </c>
      <c r="AA2902" s="8">
        <v>45352</v>
      </c>
      <c r="AB2902" s="4">
        <v>-0.25</v>
      </c>
      <c r="AC2902" s="6">
        <v>0</v>
      </c>
      <c r="AD2902" s="6">
        <v>0</v>
      </c>
      <c r="AE2902" s="1">
        <v>0</v>
      </c>
      <c r="AF2902" s="1">
        <f ca="1">IFERROR(__xludf.DUMMYFUNCTION("IFERROR(GOOGLEFINANCE(TRIM(F2902)&amp;"":"" &amp; TRIM(B2902),""high52""),AE2902)"),0)</f>
        <v>0</v>
      </c>
      <c r="AG2902" s="1">
        <v>0</v>
      </c>
      <c r="AH2902" s="1">
        <f ca="1">IFERROR(__xludf.DUMMYFUNCTION("IFERROR(GOOGLEFINANCE(TRIM(F2902)&amp;"":"" &amp; TRIM(B2902),""low52""),AE2902)"),0)</f>
        <v>0</v>
      </c>
      <c r="AI2902" s="1">
        <f ca="1">IFERROR(__xludf.DUMMYFUNCTION("IFERROR(GOOGLEFINANCE(B2902,""eps""),0)"),0)</f>
        <v>0</v>
      </c>
      <c r="AJ2902" s="1"/>
      <c r="AK2902" s="1" t="s">
        <v>8964</v>
      </c>
      <c r="AL2902" s="9">
        <f t="shared" ref="AL2902:AL2910" si="280">IF(AA2902&lt;&gt;AB2902,1,0)</f>
        <v>1</v>
      </c>
    </row>
    <row r="2903" spans="1:38" ht="15" x14ac:dyDescent="0.25">
      <c r="A2903" s="1" t="s">
        <v>8965</v>
      </c>
      <c r="B2903" s="1" t="s">
        <v>8966</v>
      </c>
      <c r="C2903" s="1" t="s">
        <v>135</v>
      </c>
      <c r="D2903" s="1" t="s">
        <v>135</v>
      </c>
      <c r="E2903" s="6">
        <v>647.13</v>
      </c>
      <c r="F2903" s="1" t="s">
        <v>40</v>
      </c>
      <c r="G2903" s="6">
        <f ca="1">IFERROR(__xludf.DUMMYFUNCTION("iferror(GOOGLEFINANCE(TRIM(F2903)&amp;"":"" &amp; TRIM(B2903), ""price""),0
)"),148.3)</f>
        <v>148.30000000000001</v>
      </c>
      <c r="H2903" s="6">
        <v>254.1</v>
      </c>
      <c r="I2903" s="6">
        <f t="shared" ca="1" si="0"/>
        <v>148.30000000000001</v>
      </c>
      <c r="J2903" s="6">
        <f ca="1">IFERROR(__xludf.DUMMYFUNCTION("IFERROR(GOOGLEFINANCE(B2903, ""volume""), 0)"),3501)</f>
        <v>3501</v>
      </c>
      <c r="K2903" s="6">
        <v>1.2</v>
      </c>
      <c r="L2903" s="6">
        <f ca="1">IFERROR(__xludf.DUMMYFUNCTION("IFERROR(GOOGLEFINANCE(B2903,""changepct""),K2903)"),-0.77)</f>
        <v>-0.77</v>
      </c>
      <c r="M2903" s="6">
        <f ca="1">IFERROR(__xludf.DUMMYFUNCTION("IFERROR(GOOGLEFINANCE(B2903,""change""),0)"),-1.15)</f>
        <v>-1.1499999999999999</v>
      </c>
      <c r="N2903" s="6">
        <v>1</v>
      </c>
      <c r="O2903" s="7">
        <v>45536</v>
      </c>
      <c r="P2903" s="6">
        <v>2.0099999999999998</v>
      </c>
      <c r="Q2903" s="6">
        <v>645.07000000000005</v>
      </c>
      <c r="R2903" s="7">
        <v>45536</v>
      </c>
      <c r="S2903" s="6">
        <v>792.96</v>
      </c>
      <c r="T2903" s="6">
        <v>34.5</v>
      </c>
      <c r="U2903" s="7">
        <v>45536</v>
      </c>
      <c r="V2903" s="6">
        <v>18.760000000000002</v>
      </c>
      <c r="W2903" s="6">
        <f ca="1">IFERROR(__xludf.DUMMYFUNCTION("IFERROR(GOOGLEFINANCE(B2903,""pe""),V2903)"),11.91)</f>
        <v>11.91</v>
      </c>
      <c r="X2903" s="6">
        <v>9.06</v>
      </c>
      <c r="Y2903" s="6">
        <v>1.53</v>
      </c>
      <c r="Z2903" s="6">
        <v>1</v>
      </c>
      <c r="AA2903" s="8">
        <v>45352</v>
      </c>
      <c r="AB2903" s="4">
        <v>0</v>
      </c>
      <c r="AC2903" s="6">
        <v>8.6300000000000008</v>
      </c>
      <c r="AD2903" s="6">
        <v>11.81</v>
      </c>
      <c r="AE2903" s="1">
        <v>0</v>
      </c>
      <c r="AF2903" s="1">
        <f ca="1">IFERROR(__xludf.DUMMYFUNCTION("IFERROR(GOOGLEFINANCE(TRIM(F2903)&amp;"":"" &amp; TRIM(B2903),""high52""),AE2903)"),234.39)</f>
        <v>234.39</v>
      </c>
      <c r="AG2903" s="1">
        <v>0</v>
      </c>
      <c r="AH2903" s="1">
        <f ca="1">IFERROR(__xludf.DUMMYFUNCTION("IFERROR(GOOGLEFINANCE(TRIM(F2903)&amp;"":"" &amp; TRIM(B2903),""low52""),AE2903)"),145.55)</f>
        <v>145.55000000000001</v>
      </c>
      <c r="AI2903" s="1">
        <f ca="1">IFERROR(__xludf.DUMMYFUNCTION("IFERROR(GOOGLEFINANCE(B2903,""eps""),0)"),12.46)</f>
        <v>12.46</v>
      </c>
      <c r="AJ2903" s="1"/>
      <c r="AK2903" s="1" t="s">
        <v>8967</v>
      </c>
      <c r="AL2903" s="9">
        <f t="shared" si="280"/>
        <v>1</v>
      </c>
    </row>
    <row r="2904" spans="1:38" ht="15" x14ac:dyDescent="0.25">
      <c r="A2904" s="1" t="s">
        <v>8968</v>
      </c>
      <c r="B2904" s="1" t="s">
        <v>8969</v>
      </c>
      <c r="C2904" s="1" t="s">
        <v>71</v>
      </c>
      <c r="D2904" s="1" t="s">
        <v>71</v>
      </c>
      <c r="E2904" s="6">
        <v>70.150000000000006</v>
      </c>
      <c r="F2904" s="1" t="s">
        <v>53</v>
      </c>
      <c r="G2904" s="6">
        <f ca="1">IFERROR(__xludf.DUMMYFUNCTION("iferror(GOOGLEFINANCE(TRIM(F2904)&amp;"":"" &amp; TRIM(B2904), ""price""),0
)"),0)</f>
        <v>0</v>
      </c>
      <c r="H2904" s="6">
        <v>60.6</v>
      </c>
      <c r="I2904" s="6">
        <f t="shared" ca="1" si="0"/>
        <v>60.6</v>
      </c>
      <c r="J2904" s="6">
        <f ca="1">IFERROR(__xludf.DUMMYFUNCTION("IFERROR(GOOGLEFINANCE(B2904, ""volume""), 0)"),0)</f>
        <v>0</v>
      </c>
      <c r="K2904" s="6">
        <v>0</v>
      </c>
      <c r="L2904" s="6">
        <f ca="1">IFERROR(__xludf.DUMMYFUNCTION("IFERROR(GOOGLEFINANCE(B2904,""changepct""),K2904)"),0)</f>
        <v>0</v>
      </c>
      <c r="M2904" s="6">
        <f ca="1">IFERROR(__xludf.DUMMYFUNCTION("IFERROR(GOOGLEFINANCE(B2904,""change""),0)"),0)</f>
        <v>0</v>
      </c>
      <c r="N2904" s="6">
        <v>1</v>
      </c>
      <c r="O2904" s="7">
        <v>45536</v>
      </c>
      <c r="P2904" s="6">
        <v>45.03</v>
      </c>
      <c r="Q2904" s="6">
        <v>115.14</v>
      </c>
      <c r="R2904" s="7">
        <v>45536</v>
      </c>
      <c r="S2904" s="6">
        <v>0</v>
      </c>
      <c r="T2904" s="6">
        <v>-0.75</v>
      </c>
      <c r="U2904" s="7">
        <v>45536</v>
      </c>
      <c r="V2904" s="6">
        <v>0</v>
      </c>
      <c r="W2904" s="6">
        <f ca="1">IFERROR(__xludf.DUMMYFUNCTION("IFERROR(GOOGLEFINANCE(B2904,""pe""),V2904)"),0)</f>
        <v>0</v>
      </c>
      <c r="X2904" s="6">
        <v>0</v>
      </c>
      <c r="Y2904" s="6">
        <v>-0.77</v>
      </c>
      <c r="Z2904" s="6">
        <v>1</v>
      </c>
      <c r="AA2904" s="8">
        <v>45352</v>
      </c>
      <c r="AB2904" s="4">
        <v>-0.49</v>
      </c>
      <c r="AC2904" s="6">
        <v>0</v>
      </c>
      <c r="AD2904" s="6">
        <v>0</v>
      </c>
      <c r="AE2904" s="1">
        <v>0</v>
      </c>
      <c r="AF2904" s="1">
        <f ca="1">IFERROR(__xludf.DUMMYFUNCTION("IFERROR(GOOGLEFINANCE(TRIM(F2904)&amp;"":"" &amp; TRIM(B2904),""high52""),AE2904)"),0)</f>
        <v>0</v>
      </c>
      <c r="AG2904" s="1">
        <v>0</v>
      </c>
      <c r="AH2904" s="1">
        <f ca="1">IFERROR(__xludf.DUMMYFUNCTION("IFERROR(GOOGLEFINANCE(TRIM(F2904)&amp;"":"" &amp; TRIM(B2904),""low52""),AE2904)"),0)</f>
        <v>0</v>
      </c>
      <c r="AI2904" s="1">
        <f ca="1">IFERROR(__xludf.DUMMYFUNCTION("IFERROR(GOOGLEFINANCE(B2904,""eps""),0)"),0)</f>
        <v>0</v>
      </c>
      <c r="AJ2904" s="1"/>
      <c r="AK2904" s="1" t="s">
        <v>8970</v>
      </c>
      <c r="AL2904" s="9">
        <f t="shared" si="280"/>
        <v>1</v>
      </c>
    </row>
    <row r="2905" spans="1:38" ht="15" x14ac:dyDescent="0.25">
      <c r="A2905" s="1" t="s">
        <v>8971</v>
      </c>
      <c r="B2905" s="1" t="s">
        <v>8972</v>
      </c>
      <c r="C2905" s="1" t="s">
        <v>71</v>
      </c>
      <c r="D2905" s="1" t="s">
        <v>71</v>
      </c>
      <c r="E2905" s="6">
        <v>5.78</v>
      </c>
      <c r="F2905" s="1" t="s">
        <v>53</v>
      </c>
      <c r="G2905" s="6">
        <f ca="1">IFERROR(__xludf.DUMMYFUNCTION("iferror(GOOGLEFINANCE(TRIM(F2905)&amp;"":"" &amp; TRIM(B2905), ""price""),0
)"),0)</f>
        <v>0</v>
      </c>
      <c r="H2905" s="6">
        <v>10.55</v>
      </c>
      <c r="I2905" s="6">
        <f t="shared" ca="1" si="0"/>
        <v>10.55</v>
      </c>
      <c r="J2905" s="6">
        <f ca="1">IFERROR(__xludf.DUMMYFUNCTION("IFERROR(GOOGLEFINANCE(B2905, ""volume""), 0)"),0)</f>
        <v>0</v>
      </c>
      <c r="K2905" s="6">
        <v>-9.67</v>
      </c>
      <c r="L2905" s="6">
        <f ca="1">IFERROR(__xludf.DUMMYFUNCTION("IFERROR(GOOGLEFINANCE(B2905,""changepct""),K2905)"),-9.67)</f>
        <v>-9.67</v>
      </c>
      <c r="M2905" s="6">
        <f ca="1">IFERROR(__xludf.DUMMYFUNCTION("IFERROR(GOOGLEFINANCE(B2905,""change""),0)"),0)</f>
        <v>0</v>
      </c>
      <c r="N2905" s="6">
        <v>1</v>
      </c>
      <c r="O2905" s="7">
        <v>45536</v>
      </c>
      <c r="P2905" s="6">
        <v>0.14000000000000001</v>
      </c>
      <c r="Q2905" s="6">
        <v>5.92</v>
      </c>
      <c r="R2905" s="7">
        <v>45536</v>
      </c>
      <c r="S2905" s="6">
        <v>0.36</v>
      </c>
      <c r="T2905" s="6">
        <v>0.19</v>
      </c>
      <c r="U2905" s="7">
        <v>45536</v>
      </c>
      <c r="V2905" s="6">
        <v>29.96</v>
      </c>
      <c r="W2905" s="6">
        <f ca="1">IFERROR(__xludf.DUMMYFUNCTION("IFERROR(GOOGLEFINANCE(B2905,""pe""),V2905)"),29.96)</f>
        <v>29.96</v>
      </c>
      <c r="X2905" s="6">
        <v>1.05</v>
      </c>
      <c r="Y2905" s="6">
        <v>1.1499999999999999</v>
      </c>
      <c r="Z2905" s="6">
        <v>1</v>
      </c>
      <c r="AA2905" s="8">
        <v>45352</v>
      </c>
      <c r="AB2905" s="4">
        <v>0.03</v>
      </c>
      <c r="AC2905" s="6">
        <v>3.94</v>
      </c>
      <c r="AD2905" s="6">
        <v>4.41</v>
      </c>
      <c r="AE2905" s="1">
        <v>0</v>
      </c>
      <c r="AF2905" s="1">
        <f ca="1">IFERROR(__xludf.DUMMYFUNCTION("IFERROR(GOOGLEFINANCE(TRIM(F2905)&amp;"":"" &amp; TRIM(B2905),""high52""),AE2905)"),0)</f>
        <v>0</v>
      </c>
      <c r="AG2905" s="1">
        <v>0</v>
      </c>
      <c r="AH2905" s="1">
        <f ca="1">IFERROR(__xludf.DUMMYFUNCTION("IFERROR(GOOGLEFINANCE(TRIM(F2905)&amp;"":"" &amp; TRIM(B2905),""low52""),AE2905)"),0)</f>
        <v>0</v>
      </c>
      <c r="AI2905" s="1">
        <f ca="1">IFERROR(__xludf.DUMMYFUNCTION("IFERROR(GOOGLEFINANCE(B2905,""eps""),0)"),0)</f>
        <v>0</v>
      </c>
      <c r="AJ2905" s="1"/>
      <c r="AK2905" s="1" t="s">
        <v>8973</v>
      </c>
      <c r="AL2905" s="9">
        <f t="shared" si="280"/>
        <v>1</v>
      </c>
    </row>
    <row r="2906" spans="1:38" ht="15" x14ac:dyDescent="0.25">
      <c r="A2906" s="1" t="s">
        <v>8974</v>
      </c>
      <c r="B2906" s="1" t="s">
        <v>8975</v>
      </c>
      <c r="C2906" s="1" t="s">
        <v>71</v>
      </c>
      <c r="D2906" s="1" t="s">
        <v>71</v>
      </c>
      <c r="E2906" s="6">
        <v>22.38</v>
      </c>
      <c r="F2906" s="1" t="s">
        <v>53</v>
      </c>
      <c r="G2906" s="6">
        <f ca="1">IFERROR(__xludf.DUMMYFUNCTION("iferror(GOOGLEFINANCE(TRIM(F2906)&amp;"":"" &amp; TRIM(B2906), ""price""),0
)"),0)</f>
        <v>0</v>
      </c>
      <c r="H2906" s="6">
        <v>11.41</v>
      </c>
      <c r="I2906" s="6">
        <f t="shared" ca="1" si="0"/>
        <v>11.41</v>
      </c>
      <c r="J2906" s="6">
        <f ca="1">IFERROR(__xludf.DUMMYFUNCTION("IFERROR(GOOGLEFINANCE(B2906, ""volume""), 0)"),0)</f>
        <v>0</v>
      </c>
      <c r="K2906" s="6">
        <v>0</v>
      </c>
      <c r="L2906" s="6">
        <f ca="1">IFERROR(__xludf.DUMMYFUNCTION("IFERROR(GOOGLEFINANCE(B2906,""changepct""),K2906)"),0)</f>
        <v>0</v>
      </c>
      <c r="M2906" s="6">
        <f ca="1">IFERROR(__xludf.DUMMYFUNCTION("IFERROR(GOOGLEFINANCE(B2906,""change""),0)"),0)</f>
        <v>0</v>
      </c>
      <c r="N2906" s="6">
        <v>2</v>
      </c>
      <c r="O2906" s="7">
        <v>45536</v>
      </c>
      <c r="P2906" s="6">
        <v>0.96</v>
      </c>
      <c r="Q2906" s="6">
        <v>23.34</v>
      </c>
      <c r="R2906" s="7">
        <v>45536</v>
      </c>
      <c r="S2906" s="6">
        <v>1.63</v>
      </c>
      <c r="T2906" s="6">
        <v>0.13</v>
      </c>
      <c r="U2906" s="7">
        <v>45536</v>
      </c>
      <c r="V2906" s="6">
        <v>176.25</v>
      </c>
      <c r="W2906" s="6">
        <f ca="1">IFERROR(__xludf.DUMMYFUNCTION("IFERROR(GOOGLEFINANCE(B2906,""pe""),V2906)"),176.25)</f>
        <v>176.25</v>
      </c>
      <c r="X2906" s="6">
        <v>-13.62</v>
      </c>
      <c r="Y2906" s="6">
        <v>1.1299999999999999</v>
      </c>
      <c r="Z2906" s="6">
        <v>2</v>
      </c>
      <c r="AA2906" s="8">
        <v>44986</v>
      </c>
      <c r="AB2906" s="4">
        <v>0.19</v>
      </c>
      <c r="AC2906" s="6">
        <v>-0.51</v>
      </c>
      <c r="AD2906" s="6">
        <v>-0.4</v>
      </c>
      <c r="AE2906" s="1">
        <v>0</v>
      </c>
      <c r="AF2906" s="1">
        <f ca="1">IFERROR(__xludf.DUMMYFUNCTION("IFERROR(GOOGLEFINANCE(TRIM(F2906)&amp;"":"" &amp; TRIM(B2906),""high52""),AE2906)"),0)</f>
        <v>0</v>
      </c>
      <c r="AG2906" s="1">
        <v>0</v>
      </c>
      <c r="AH2906" s="1">
        <f ca="1">IFERROR(__xludf.DUMMYFUNCTION("IFERROR(GOOGLEFINANCE(TRIM(F2906)&amp;"":"" &amp; TRIM(B2906),""low52""),AE2906)"),0)</f>
        <v>0</v>
      </c>
      <c r="AI2906" s="1">
        <f ca="1">IFERROR(__xludf.DUMMYFUNCTION("IFERROR(GOOGLEFINANCE(B2906,""eps""),0)"),0)</f>
        <v>0</v>
      </c>
      <c r="AJ2906" s="1"/>
      <c r="AK2906" s="1" t="s">
        <v>8976</v>
      </c>
      <c r="AL2906" s="9">
        <f t="shared" si="280"/>
        <v>1</v>
      </c>
    </row>
    <row r="2907" spans="1:38" ht="15" x14ac:dyDescent="0.25">
      <c r="A2907" s="1" t="s">
        <v>8977</v>
      </c>
      <c r="B2907" s="1" t="s">
        <v>8978</v>
      </c>
      <c r="C2907" s="1" t="s">
        <v>71</v>
      </c>
      <c r="D2907" s="1" t="s">
        <v>71</v>
      </c>
      <c r="E2907" s="6">
        <v>32.36</v>
      </c>
      <c r="F2907" s="1" t="s">
        <v>53</v>
      </c>
      <c r="G2907" s="6">
        <f ca="1">IFERROR(__xludf.DUMMYFUNCTION("iferror(GOOGLEFINANCE(TRIM(F2907)&amp;"":"" &amp; TRIM(B2907), ""price""),0
)"),0)</f>
        <v>0</v>
      </c>
      <c r="H2907" s="6">
        <v>62.06</v>
      </c>
      <c r="I2907" s="6">
        <f t="shared" ca="1" si="0"/>
        <v>62.06</v>
      </c>
      <c r="J2907" s="6">
        <f ca="1">IFERROR(__xludf.DUMMYFUNCTION("IFERROR(GOOGLEFINANCE(B2907, ""volume""), 0)"),0)</f>
        <v>0</v>
      </c>
      <c r="K2907" s="6">
        <v>-1.99</v>
      </c>
      <c r="L2907" s="6">
        <f ca="1">IFERROR(__xludf.DUMMYFUNCTION("IFERROR(GOOGLEFINANCE(B2907,""changepct""),K2907)"),-1.99)</f>
        <v>-1.99</v>
      </c>
      <c r="M2907" s="6">
        <f ca="1">IFERROR(__xludf.DUMMYFUNCTION("IFERROR(GOOGLEFINANCE(B2907,""change""),0)"),0)</f>
        <v>0</v>
      </c>
      <c r="N2907" s="6">
        <v>1</v>
      </c>
      <c r="O2907" s="7">
        <v>45536</v>
      </c>
      <c r="P2907" s="6">
        <v>0.04</v>
      </c>
      <c r="Q2907" s="6">
        <v>32.4</v>
      </c>
      <c r="R2907" s="7">
        <v>45536</v>
      </c>
      <c r="S2907" s="6">
        <v>0</v>
      </c>
      <c r="T2907" s="6">
        <v>-0.01</v>
      </c>
      <c r="U2907" s="7">
        <v>45536</v>
      </c>
      <c r="V2907" s="6">
        <v>0</v>
      </c>
      <c r="W2907" s="6">
        <f ca="1">IFERROR(__xludf.DUMMYFUNCTION("IFERROR(GOOGLEFINANCE(B2907,""pe""),V2907)"),0)</f>
        <v>0</v>
      </c>
      <c r="X2907" s="9"/>
      <c r="Y2907" s="6">
        <v>6.9</v>
      </c>
      <c r="Z2907" s="6">
        <v>1</v>
      </c>
      <c r="AA2907" s="8">
        <v>45352</v>
      </c>
      <c r="AB2907" s="4">
        <v>0.03</v>
      </c>
      <c r="AC2907" s="6">
        <v>-3.9</v>
      </c>
      <c r="AD2907" s="6">
        <v>-3.82</v>
      </c>
      <c r="AE2907" s="1">
        <v>0</v>
      </c>
      <c r="AF2907" s="1">
        <f ca="1">IFERROR(__xludf.DUMMYFUNCTION("IFERROR(GOOGLEFINANCE(TRIM(F2907)&amp;"":"" &amp; TRIM(B2907),""high52""),AE2907)"),0)</f>
        <v>0</v>
      </c>
      <c r="AG2907" s="1">
        <v>0</v>
      </c>
      <c r="AH2907" s="1">
        <f ca="1">IFERROR(__xludf.DUMMYFUNCTION("IFERROR(GOOGLEFINANCE(TRIM(F2907)&amp;"":"" &amp; TRIM(B2907),""low52""),AE2907)"),0)</f>
        <v>0</v>
      </c>
      <c r="AI2907" s="1">
        <f ca="1">IFERROR(__xludf.DUMMYFUNCTION("IFERROR(GOOGLEFINANCE(B2907,""eps""),0)"),0)</f>
        <v>0</v>
      </c>
      <c r="AJ2907" s="1"/>
      <c r="AK2907" s="1" t="s">
        <v>8979</v>
      </c>
      <c r="AL2907" s="9">
        <f t="shared" si="280"/>
        <v>1</v>
      </c>
    </row>
    <row r="2908" spans="1:38" ht="15" x14ac:dyDescent="0.25">
      <c r="A2908" s="1" t="s">
        <v>8980</v>
      </c>
      <c r="B2908" s="1" t="s">
        <v>8981</v>
      </c>
      <c r="C2908" s="1" t="s">
        <v>71</v>
      </c>
      <c r="D2908" s="1" t="s">
        <v>71</v>
      </c>
      <c r="E2908" s="6">
        <v>329.87</v>
      </c>
      <c r="F2908" s="1" t="s">
        <v>53</v>
      </c>
      <c r="G2908" s="6">
        <f ca="1">IFERROR(__xludf.DUMMYFUNCTION("iferror(GOOGLEFINANCE(TRIM(F2908)&amp;"":"" &amp; TRIM(B2908), ""price""),0
)"),0)</f>
        <v>0</v>
      </c>
      <c r="H2908" s="6">
        <v>13.15</v>
      </c>
      <c r="I2908" s="6">
        <f t="shared" ca="1" si="0"/>
        <v>13.15</v>
      </c>
      <c r="J2908" s="6">
        <f ca="1">IFERROR(__xludf.DUMMYFUNCTION("IFERROR(GOOGLEFINANCE(B2908, ""volume""), 0)"),0)</f>
        <v>0</v>
      </c>
      <c r="K2908" s="9"/>
      <c r="L2908" s="6" t="str">
        <f ca="1">IFERROR(__xludf.DUMMYFUNCTION("IFERROR(GOOGLEFINANCE(B2908,""changepct""),K2908)"),"")</f>
        <v/>
      </c>
      <c r="M2908" s="6">
        <f ca="1">IFERROR(__xludf.DUMMYFUNCTION("IFERROR(GOOGLEFINANCE(B2908,""change""),0)"),0)</f>
        <v>0</v>
      </c>
      <c r="N2908" s="6">
        <v>2</v>
      </c>
      <c r="O2908" s="7">
        <v>45536</v>
      </c>
      <c r="P2908" s="6">
        <v>3.58</v>
      </c>
      <c r="Q2908" s="6">
        <v>333.45</v>
      </c>
      <c r="R2908" s="7">
        <v>45536</v>
      </c>
      <c r="S2908" s="6">
        <v>0</v>
      </c>
      <c r="T2908" s="6">
        <v>-0.28000000000000003</v>
      </c>
      <c r="U2908" s="7">
        <v>45536</v>
      </c>
      <c r="V2908" s="6">
        <v>0</v>
      </c>
      <c r="W2908" s="6">
        <f ca="1">IFERROR(__xludf.DUMMYFUNCTION("IFERROR(GOOGLEFINANCE(B2908,""pe""),V2908)"),0)</f>
        <v>0</v>
      </c>
      <c r="X2908" s="9"/>
      <c r="Y2908" s="6">
        <v>14.75</v>
      </c>
      <c r="Z2908" s="6">
        <v>2</v>
      </c>
      <c r="AA2908" s="8">
        <v>45352</v>
      </c>
      <c r="AB2908" s="4">
        <v>0.16</v>
      </c>
      <c r="AC2908" s="6">
        <v>-1.19</v>
      </c>
      <c r="AD2908" s="6">
        <v>-1.03</v>
      </c>
      <c r="AE2908" s="1">
        <v>0</v>
      </c>
      <c r="AF2908" s="1">
        <f ca="1">IFERROR(__xludf.DUMMYFUNCTION("IFERROR(GOOGLEFINANCE(TRIM(F2908)&amp;"":"" &amp; TRIM(B2908),""high52""),AE2908)"),0)</f>
        <v>0</v>
      </c>
      <c r="AG2908" s="1">
        <v>0</v>
      </c>
      <c r="AH2908" s="1">
        <f ca="1">IFERROR(__xludf.DUMMYFUNCTION("IFERROR(GOOGLEFINANCE(TRIM(F2908)&amp;"":"" &amp; TRIM(B2908),""low52""),AE2908)"),0)</f>
        <v>0</v>
      </c>
      <c r="AI2908" s="1">
        <f ca="1">IFERROR(__xludf.DUMMYFUNCTION("IFERROR(GOOGLEFINANCE(B2908,""eps""),0)"),0)</f>
        <v>0</v>
      </c>
      <c r="AJ2908" s="1"/>
      <c r="AK2908" s="1" t="s">
        <v>8982</v>
      </c>
      <c r="AL2908" s="9">
        <f t="shared" si="280"/>
        <v>1</v>
      </c>
    </row>
    <row r="2909" spans="1:38" ht="15" x14ac:dyDescent="0.25">
      <c r="A2909" s="1" t="s">
        <v>8983</v>
      </c>
      <c r="B2909" s="1" t="s">
        <v>8984</v>
      </c>
      <c r="C2909" s="1" t="s">
        <v>71</v>
      </c>
      <c r="D2909" s="1" t="s">
        <v>71</v>
      </c>
      <c r="E2909" s="6">
        <v>114.5</v>
      </c>
      <c r="F2909" s="1" t="s">
        <v>53</v>
      </c>
      <c r="G2909" s="6">
        <f ca="1">IFERROR(__xludf.DUMMYFUNCTION("iferror(GOOGLEFINANCE(TRIM(F2909)&amp;"":"" &amp; TRIM(B2909), ""price""),0
)"),0)</f>
        <v>0</v>
      </c>
      <c r="H2909" s="6">
        <v>95.05</v>
      </c>
      <c r="I2909" s="6">
        <f t="shared" ca="1" si="0"/>
        <v>95.05</v>
      </c>
      <c r="J2909" s="6">
        <f ca="1">IFERROR(__xludf.DUMMYFUNCTION("IFERROR(GOOGLEFINANCE(B2909, ""volume""), 0)"),0)</f>
        <v>0</v>
      </c>
      <c r="K2909" s="6">
        <v>-1.1000000000000001</v>
      </c>
      <c r="L2909" s="6">
        <f ca="1">IFERROR(__xludf.DUMMYFUNCTION("IFERROR(GOOGLEFINANCE(B2909,""changepct""),K2909)"),-1.1)</f>
        <v>-1.1000000000000001</v>
      </c>
      <c r="M2909" s="6">
        <f ca="1">IFERROR(__xludf.DUMMYFUNCTION("IFERROR(GOOGLEFINANCE(B2909,""change""),0)"),0)</f>
        <v>0</v>
      </c>
      <c r="N2909" s="6">
        <v>1</v>
      </c>
      <c r="O2909" s="7">
        <v>45536</v>
      </c>
      <c r="P2909" s="6">
        <v>0</v>
      </c>
      <c r="Q2909" s="6">
        <v>107.62</v>
      </c>
      <c r="R2909" s="14"/>
      <c r="S2909" s="9"/>
      <c r="T2909" s="9"/>
      <c r="U2909" s="7">
        <v>45352</v>
      </c>
      <c r="V2909" s="6">
        <v>27.59</v>
      </c>
      <c r="W2909" s="6">
        <f ca="1">IFERROR(__xludf.DUMMYFUNCTION("IFERROR(GOOGLEFINANCE(B2909,""pe""),V2909)"),27.59)</f>
        <v>27.59</v>
      </c>
      <c r="X2909" s="9"/>
      <c r="Y2909" s="6">
        <v>2.27</v>
      </c>
      <c r="Z2909" s="6">
        <v>1</v>
      </c>
      <c r="AA2909" s="8">
        <v>45352</v>
      </c>
      <c r="AB2909" s="4">
        <v>0.08</v>
      </c>
      <c r="AC2909" s="6">
        <v>8.8699999999999992</v>
      </c>
      <c r="AD2909" s="6">
        <v>11.64</v>
      </c>
      <c r="AE2909" s="1">
        <v>0</v>
      </c>
      <c r="AF2909" s="1">
        <f ca="1">IFERROR(__xludf.DUMMYFUNCTION("IFERROR(GOOGLEFINANCE(TRIM(F2909)&amp;"":"" &amp; TRIM(B2909),""high52""),AE2909)"),0)</f>
        <v>0</v>
      </c>
      <c r="AG2909" s="1">
        <v>0</v>
      </c>
      <c r="AH2909" s="1">
        <f ca="1">IFERROR(__xludf.DUMMYFUNCTION("IFERROR(GOOGLEFINANCE(TRIM(F2909)&amp;"":"" &amp; TRIM(B2909),""low52""),AE2909)"),0)</f>
        <v>0</v>
      </c>
      <c r="AI2909" s="1">
        <f ca="1">IFERROR(__xludf.DUMMYFUNCTION("IFERROR(GOOGLEFINANCE(B2909,""eps""),0)"),0)</f>
        <v>0</v>
      </c>
      <c r="AJ2909" s="1"/>
      <c r="AK2909" s="1" t="s">
        <v>8985</v>
      </c>
      <c r="AL2909" s="9">
        <f t="shared" si="280"/>
        <v>1</v>
      </c>
    </row>
    <row r="2910" spans="1:38" ht="15" x14ac:dyDescent="0.25">
      <c r="A2910" s="1" t="s">
        <v>8986</v>
      </c>
      <c r="B2910" s="1" t="s">
        <v>8987</v>
      </c>
      <c r="C2910" s="1" t="s">
        <v>135</v>
      </c>
      <c r="D2910" s="1" t="s">
        <v>135</v>
      </c>
      <c r="E2910" s="6">
        <v>2361.2199999999998</v>
      </c>
      <c r="F2910" s="1" t="s">
        <v>40</v>
      </c>
      <c r="G2910" s="6">
        <f ca="1">IFERROR(__xludf.DUMMYFUNCTION("iferror(GOOGLEFINANCE(TRIM(F2910)&amp;"":"" &amp; TRIM(B2910), ""price""),0
)"),227.9)</f>
        <v>227.9</v>
      </c>
      <c r="H2910" s="6">
        <v>431.25</v>
      </c>
      <c r="I2910" s="6">
        <f t="shared" ca="1" si="0"/>
        <v>227.9</v>
      </c>
      <c r="J2910" s="6">
        <f ca="1">IFERROR(__xludf.DUMMYFUNCTION("IFERROR(GOOGLEFINANCE(B2910, ""volume""), 0)"),98259)</f>
        <v>98259</v>
      </c>
      <c r="K2910" s="6">
        <v>0.28000000000000003</v>
      </c>
      <c r="L2910" s="6">
        <f ca="1">IFERROR(__xludf.DUMMYFUNCTION("IFERROR(GOOGLEFINANCE(B2910,""changepct""),K2910)"),1.96)</f>
        <v>1.96</v>
      </c>
      <c r="M2910" s="6">
        <f ca="1">IFERROR(__xludf.DUMMYFUNCTION("IFERROR(GOOGLEFINANCE(B2910,""change""),0)"),4.39)</f>
        <v>4.3899999999999997</v>
      </c>
      <c r="N2910" s="6">
        <v>2</v>
      </c>
      <c r="O2910" s="7">
        <v>45536</v>
      </c>
      <c r="P2910" s="6">
        <v>10.32</v>
      </c>
      <c r="Q2910" s="6">
        <v>2202.27</v>
      </c>
      <c r="R2910" s="7">
        <v>45536</v>
      </c>
      <c r="S2910" s="6">
        <v>343.86</v>
      </c>
      <c r="T2910" s="6">
        <v>52.93</v>
      </c>
      <c r="U2910" s="7">
        <v>45536</v>
      </c>
      <c r="V2910" s="6">
        <v>45.02</v>
      </c>
      <c r="W2910" s="6">
        <f ca="1">IFERROR(__xludf.DUMMYFUNCTION("IFERROR(GOOGLEFINANCE(B2910,""pe""),V2910)"),29.74)</f>
        <v>29.74</v>
      </c>
      <c r="X2910" s="9"/>
      <c r="Y2910" s="6">
        <v>6.51</v>
      </c>
      <c r="Z2910" s="6">
        <v>2</v>
      </c>
      <c r="AA2910" s="8">
        <v>45352</v>
      </c>
      <c r="AB2910" s="4">
        <v>0.02</v>
      </c>
      <c r="AC2910" s="6">
        <v>22.14</v>
      </c>
      <c r="AD2910" s="6">
        <v>29.08</v>
      </c>
      <c r="AE2910" s="1">
        <v>0</v>
      </c>
      <c r="AF2910" s="1">
        <f ca="1">IFERROR(__xludf.DUMMYFUNCTION("IFERROR(GOOGLEFINANCE(TRIM(F2910)&amp;"":"" &amp; TRIM(B2910),""high52""),AE2910)"),342.4)</f>
        <v>342.4</v>
      </c>
      <c r="AG2910" s="1">
        <v>0</v>
      </c>
      <c r="AH2910" s="1">
        <f ca="1">IFERROR(__xludf.DUMMYFUNCTION("IFERROR(GOOGLEFINANCE(TRIM(F2910)&amp;"":"" &amp; TRIM(B2910),""low52""),AE2910)"),213)</f>
        <v>213</v>
      </c>
      <c r="AI2910" s="1">
        <f ca="1">IFERROR(__xludf.DUMMYFUNCTION("IFERROR(GOOGLEFINANCE(B2910,""eps""),0)"),7.66)</f>
        <v>7.66</v>
      </c>
      <c r="AJ2910" s="1"/>
      <c r="AK2910" s="9"/>
      <c r="AL2910" s="9">
        <f t="shared" si="280"/>
        <v>1</v>
      </c>
    </row>
    <row r="2911" spans="1:38" ht="15" x14ac:dyDescent="0.25">
      <c r="A2911" s="1" t="s">
        <v>8988</v>
      </c>
      <c r="B2911" s="1" t="s">
        <v>8989</v>
      </c>
      <c r="C2911" s="1" t="s">
        <v>577</v>
      </c>
      <c r="D2911" s="1" t="s">
        <v>577</v>
      </c>
      <c r="E2911" s="6">
        <v>344.15</v>
      </c>
      <c r="F2911" s="1" t="s">
        <v>40</v>
      </c>
      <c r="G2911" s="6">
        <f ca="1">IFERROR(__xludf.DUMMYFUNCTION("iferror(GOOGLEFINANCE(TRIM(F2911)&amp;"":"" &amp; TRIM(B2911), ""price""),0
)"),40.34)</f>
        <v>40.340000000000003</v>
      </c>
      <c r="H2911" s="6">
        <v>79.75</v>
      </c>
      <c r="I2911" s="6">
        <f t="shared" ca="1" si="0"/>
        <v>40.340000000000003</v>
      </c>
      <c r="J2911" s="6">
        <f ca="1">IFERROR(__xludf.DUMMYFUNCTION("IFERROR(GOOGLEFINANCE(B2911, ""volume""), 0)"),88748)</f>
        <v>88748</v>
      </c>
      <c r="K2911" s="6">
        <v>0.96</v>
      </c>
      <c r="L2911" s="6">
        <f ca="1">IFERROR(__xludf.DUMMYFUNCTION("IFERROR(GOOGLEFINANCE(B2911,""changepct""),K2911)"),1.23)</f>
        <v>1.23</v>
      </c>
      <c r="M2911" s="6">
        <f ca="1">IFERROR(__xludf.DUMMYFUNCTION("IFERROR(GOOGLEFINANCE(B2911,""change""),0)"),0.49)</f>
        <v>0.49</v>
      </c>
      <c r="N2911" s="6">
        <v>1</v>
      </c>
      <c r="O2911" s="7">
        <v>45536</v>
      </c>
      <c r="P2911" s="6">
        <v>21.63</v>
      </c>
      <c r="Q2911" s="6">
        <v>357.36</v>
      </c>
      <c r="R2911" s="7">
        <v>45536</v>
      </c>
      <c r="S2911" s="6">
        <v>197.7</v>
      </c>
      <c r="T2911" s="6">
        <v>1.97</v>
      </c>
      <c r="U2911" s="7">
        <v>45536</v>
      </c>
      <c r="V2911" s="6">
        <v>174.61</v>
      </c>
      <c r="W2911" s="6">
        <f ca="1">IFERROR(__xludf.DUMMYFUNCTION("IFERROR(GOOGLEFINANCE(B2911,""pe""),V2911)"),48.71)</f>
        <v>48.71</v>
      </c>
      <c r="X2911" s="12"/>
      <c r="Y2911" s="6">
        <v>2.86</v>
      </c>
      <c r="Z2911" s="6">
        <v>1</v>
      </c>
      <c r="AA2911" s="8">
        <v>45352</v>
      </c>
      <c r="AB2911" s="4">
        <v>0.35</v>
      </c>
      <c r="AC2911" s="6">
        <v>4.26</v>
      </c>
      <c r="AD2911" s="6">
        <v>7.53</v>
      </c>
      <c r="AE2911" s="1">
        <v>0</v>
      </c>
      <c r="AF2911" s="1">
        <f ca="1">IFERROR(__xludf.DUMMYFUNCTION("IFERROR(GOOGLEFINANCE(TRIM(F2911)&amp;"":"" &amp; TRIM(B2911),""high52""),AE2911)"),73.25)</f>
        <v>73.25</v>
      </c>
      <c r="AG2911" s="1">
        <v>0</v>
      </c>
      <c r="AH2911" s="1">
        <f ca="1">IFERROR(__xludf.DUMMYFUNCTION("IFERROR(GOOGLEFINANCE(TRIM(F2911)&amp;"":"" &amp; TRIM(B2911),""low52""),AE2911)"),34.63)</f>
        <v>34.630000000000003</v>
      </c>
      <c r="AI2911" s="1">
        <f ca="1">IFERROR(__xludf.DUMMYFUNCTION("IFERROR(GOOGLEFINANCE(B2911,""eps""),0)"),0.83)</f>
        <v>0.83</v>
      </c>
      <c r="AJ2911" s="1"/>
      <c r="AK2911" s="1" t="s">
        <v>8990</v>
      </c>
      <c r="AL2911" s="1" t="b">
        <f>ISNUMBER(AA2911)</f>
        <v>1</v>
      </c>
    </row>
    <row r="2912" spans="1:38" ht="15" x14ac:dyDescent="0.25">
      <c r="A2912" s="1" t="s">
        <v>8991</v>
      </c>
      <c r="B2912" s="1" t="s">
        <v>8992</v>
      </c>
      <c r="C2912" s="1" t="s">
        <v>359</v>
      </c>
      <c r="D2912" s="1" t="s">
        <v>359</v>
      </c>
      <c r="E2912" s="6">
        <v>9368.6200000000008</v>
      </c>
      <c r="F2912" s="1" t="s">
        <v>40</v>
      </c>
      <c r="G2912" s="6">
        <f ca="1">IFERROR(__xludf.DUMMYFUNCTION("iferror(GOOGLEFINANCE(TRIM(F2912)&amp;"":"" &amp; TRIM(B2912), ""price""),0
)"),545.2)</f>
        <v>545.20000000000005</v>
      </c>
      <c r="H2912" s="6">
        <v>690</v>
      </c>
      <c r="I2912" s="6">
        <f t="shared" ca="1" si="0"/>
        <v>545.20000000000005</v>
      </c>
      <c r="J2912" s="6">
        <f ca="1">IFERROR(__xludf.DUMMYFUNCTION("IFERROR(GOOGLEFINANCE(B2912, ""volume""), 0)"),77550)</f>
        <v>77550</v>
      </c>
      <c r="K2912" s="6">
        <v>-0.05</v>
      </c>
      <c r="L2912" s="6">
        <f ca="1">IFERROR(__xludf.DUMMYFUNCTION("IFERROR(GOOGLEFINANCE(B2912,""changepct""),K2912)"),-0.59)</f>
        <v>-0.59</v>
      </c>
      <c r="M2912" s="6">
        <f ca="1">IFERROR(__xludf.DUMMYFUNCTION("IFERROR(GOOGLEFINANCE(B2912,""change""),0)"),-3.25)</f>
        <v>-3.25</v>
      </c>
      <c r="N2912" s="6">
        <v>2</v>
      </c>
      <c r="O2912" s="7">
        <v>45536</v>
      </c>
      <c r="P2912" s="6">
        <v>165.37</v>
      </c>
      <c r="Q2912" s="6">
        <v>9165.92</v>
      </c>
      <c r="R2912" s="14"/>
      <c r="S2912" s="9"/>
      <c r="T2912" s="9"/>
      <c r="U2912" s="7">
        <v>45352</v>
      </c>
      <c r="V2912" s="6">
        <v>60.7</v>
      </c>
      <c r="W2912" s="6">
        <f ca="1">IFERROR(__xludf.DUMMYFUNCTION("IFERROR(GOOGLEFINANCE(B2912,""pe""),V2912)"),23.43)</f>
        <v>23.43</v>
      </c>
      <c r="X2912" s="9"/>
      <c r="Y2912" s="6">
        <v>6.66</v>
      </c>
      <c r="Z2912" s="6">
        <v>2</v>
      </c>
      <c r="AA2912" s="8">
        <v>45352</v>
      </c>
      <c r="AB2912" s="4">
        <v>0.74</v>
      </c>
      <c r="AC2912" s="6">
        <v>36.53</v>
      </c>
      <c r="AD2912" s="6">
        <v>32.229999999999997</v>
      </c>
      <c r="AE2912" s="1">
        <v>0</v>
      </c>
      <c r="AF2912" s="1">
        <f ca="1">IFERROR(__xludf.DUMMYFUNCTION("IFERROR(GOOGLEFINANCE(TRIM(F2912)&amp;"":"" &amp; TRIM(B2912),""high52""),AE2912)"),701.4)</f>
        <v>701.4</v>
      </c>
      <c r="AG2912" s="1">
        <v>0</v>
      </c>
      <c r="AH2912" s="1">
        <f ca="1">IFERROR(__xludf.DUMMYFUNCTION("IFERROR(GOOGLEFINANCE(TRIM(F2912)&amp;"":"" &amp; TRIM(B2912),""low52""),AE2912)"),473.8)</f>
        <v>473.8</v>
      </c>
      <c r="AI2912" s="1">
        <f ca="1">IFERROR(__xludf.DUMMYFUNCTION("IFERROR(GOOGLEFINANCE(B2912,""eps""),0)"),23.27)</f>
        <v>23.27</v>
      </c>
      <c r="AJ2912" s="1"/>
      <c r="AK2912" s="1" t="s">
        <v>8993</v>
      </c>
      <c r="AL2912" s="9">
        <f t="shared" ref="AL2912:AL2919" si="281">IF(AA2912&lt;&gt;AB2912,1,0)</f>
        <v>1</v>
      </c>
    </row>
    <row r="2913" spans="1:38" ht="15" x14ac:dyDescent="0.25">
      <c r="A2913" s="1" t="s">
        <v>8994</v>
      </c>
      <c r="B2913" s="1" t="s">
        <v>8995</v>
      </c>
      <c r="C2913" s="1" t="s">
        <v>208</v>
      </c>
      <c r="D2913" s="1" t="s">
        <v>208</v>
      </c>
      <c r="E2913" s="6">
        <v>2025.11</v>
      </c>
      <c r="F2913" s="1" t="s">
        <v>40</v>
      </c>
      <c r="G2913" s="6">
        <f ca="1">IFERROR(__xludf.DUMMYFUNCTION("iferror(GOOGLEFINANCE(TRIM(F2913)&amp;"":"" &amp; TRIM(B2913), ""price""),0
)"),77.7)</f>
        <v>77.7</v>
      </c>
      <c r="H2913" s="6">
        <v>113.43</v>
      </c>
      <c r="I2913" s="6">
        <f t="shared" ca="1" si="0"/>
        <v>77.7</v>
      </c>
      <c r="J2913" s="6">
        <f ca="1">IFERROR(__xludf.DUMMYFUNCTION("IFERROR(GOOGLEFINANCE(B2913, ""volume""), 0)"),340173)</f>
        <v>340173</v>
      </c>
      <c r="K2913" s="6">
        <v>0.61</v>
      </c>
      <c r="L2913" s="6">
        <f ca="1">IFERROR(__xludf.DUMMYFUNCTION("IFERROR(GOOGLEFINANCE(B2913,""changepct""),K2913)"),-1.7)</f>
        <v>-1.7</v>
      </c>
      <c r="M2913" s="6">
        <f ca="1">IFERROR(__xludf.DUMMYFUNCTION("IFERROR(GOOGLEFINANCE(B2913,""change""),0)"),-1.34)</f>
        <v>-1.34</v>
      </c>
      <c r="N2913" s="6">
        <v>1</v>
      </c>
      <c r="O2913" s="7">
        <v>45536</v>
      </c>
      <c r="P2913" s="6">
        <v>220.79</v>
      </c>
      <c r="Q2913" s="7">
        <v>45536</v>
      </c>
      <c r="R2913" s="6">
        <v>9.17</v>
      </c>
      <c r="S2913" s="6">
        <v>1.91</v>
      </c>
      <c r="T2913" s="6">
        <v>1.37</v>
      </c>
      <c r="U2913" s="6">
        <v>1</v>
      </c>
      <c r="V2913" s="7">
        <v>45352</v>
      </c>
      <c r="W2913" s="6">
        <f ca="1">IFERROR(__xludf.DUMMYFUNCTION("IFERROR(GOOGLEFINANCE(B2913,""pe""),V2913)"),5.75)</f>
        <v>5.75</v>
      </c>
      <c r="X2913" s="6">
        <v>16.84</v>
      </c>
      <c r="Y2913" s="6">
        <v>5.36</v>
      </c>
      <c r="Z2913" s="6">
        <v>6.84</v>
      </c>
      <c r="AA2913" s="3" t="s">
        <v>8996</v>
      </c>
      <c r="AB2913" s="3"/>
      <c r="AC2913" s="9"/>
      <c r="AD2913" s="9"/>
      <c r="AE2913" s="1">
        <v>0</v>
      </c>
      <c r="AF2913" s="1">
        <f ca="1">IFERROR(__xludf.DUMMYFUNCTION("IFERROR(GOOGLEFINANCE(TRIM(F2913)&amp;"":"" &amp; TRIM(B2913),""high52""),AE2913)"),119.8)</f>
        <v>119.8</v>
      </c>
      <c r="AG2913" s="1">
        <v>0</v>
      </c>
      <c r="AH2913" s="1">
        <f ca="1">IFERROR(__xludf.DUMMYFUNCTION("IFERROR(GOOGLEFINANCE(TRIM(F2913)&amp;"":"" &amp; TRIM(B2913),""low52""),AE2913)"),74.25)</f>
        <v>74.25</v>
      </c>
      <c r="AI2913" s="1">
        <f ca="1">IFERROR(__xludf.DUMMYFUNCTION("IFERROR(GOOGLEFINANCE(B2913,""eps""),0)"),13.52)</f>
        <v>13.52</v>
      </c>
      <c r="AJ2913" s="1"/>
      <c r="AK2913" s="1" t="s">
        <v>8997</v>
      </c>
      <c r="AL2913" s="9">
        <f t="shared" si="281"/>
        <v>1</v>
      </c>
    </row>
    <row r="2914" spans="1:38" ht="15" x14ac:dyDescent="0.25">
      <c r="A2914" s="1" t="s">
        <v>8998</v>
      </c>
      <c r="B2914" s="1" t="s">
        <v>8999</v>
      </c>
      <c r="C2914" s="1" t="s">
        <v>94</v>
      </c>
      <c r="D2914" s="1" t="s">
        <v>94</v>
      </c>
      <c r="E2914" s="6">
        <v>24035.3</v>
      </c>
      <c r="F2914" s="1" t="s">
        <v>40</v>
      </c>
      <c r="G2914" s="6">
        <f ca="1">IFERROR(__xludf.DUMMYFUNCTION("iferror(GOOGLEFINANCE(TRIM(F2914)&amp;"":"" &amp; TRIM(B2914), ""price""),0
)"),806.4)</f>
        <v>806.4</v>
      </c>
      <c r="H2914" s="6">
        <v>935.4</v>
      </c>
      <c r="I2914" s="6">
        <f t="shared" ca="1" si="0"/>
        <v>806.4</v>
      </c>
      <c r="J2914" s="6">
        <f ca="1">IFERROR(__xludf.DUMMYFUNCTION("IFERROR(GOOGLEFINANCE(B2914, ""volume""), 0)"),1474478)</f>
        <v>1474478</v>
      </c>
      <c r="K2914" s="6">
        <v>1.1499999999999999</v>
      </c>
      <c r="L2914" s="6">
        <f ca="1">IFERROR(__xludf.DUMMYFUNCTION("IFERROR(GOOGLEFINANCE(B2914,""changepct""),K2914)"),0.13)</f>
        <v>0.13</v>
      </c>
      <c r="M2914" s="6">
        <f ca="1">IFERROR(__xludf.DUMMYFUNCTION("IFERROR(GOOGLEFINANCE(B2914,""change""),0)"),1.05)</f>
        <v>1.05</v>
      </c>
      <c r="N2914" s="6">
        <v>2</v>
      </c>
      <c r="O2914" s="7">
        <v>45536</v>
      </c>
      <c r="P2914" s="6">
        <v>1680.18</v>
      </c>
      <c r="Q2914" s="7">
        <v>45536</v>
      </c>
      <c r="R2914" s="6">
        <v>14.31</v>
      </c>
      <c r="S2914" s="6">
        <v>2.97</v>
      </c>
      <c r="T2914" s="6">
        <v>1.51</v>
      </c>
      <c r="U2914" s="6">
        <v>2</v>
      </c>
      <c r="V2914" s="7">
        <v>45352</v>
      </c>
      <c r="W2914" s="6">
        <f ca="1">IFERROR(__xludf.DUMMYFUNCTION("IFERROR(GOOGLEFINANCE(B2914,""pe""),V2914)"),9.63)</f>
        <v>9.6300000000000008</v>
      </c>
      <c r="X2914" s="6">
        <v>3.69</v>
      </c>
      <c r="Y2914" s="6">
        <v>11.65</v>
      </c>
      <c r="Z2914" s="6">
        <v>9.24</v>
      </c>
      <c r="AA2914" s="19" t="s">
        <v>9000</v>
      </c>
      <c r="AB2914" s="22"/>
      <c r="AC2914" s="9"/>
      <c r="AD2914" s="9"/>
      <c r="AE2914" s="1">
        <v>0</v>
      </c>
      <c r="AF2914" s="1">
        <f ca="1">IFERROR(__xludf.DUMMYFUNCTION("IFERROR(GOOGLEFINANCE(TRIM(F2914)&amp;"":"" &amp; TRIM(B2914),""high52""),AE2914)"),1141.9)</f>
        <v>1141.9000000000001</v>
      </c>
      <c r="AG2914" s="1">
        <v>0</v>
      </c>
      <c r="AH2914" s="1">
        <f ca="1">IFERROR(__xludf.DUMMYFUNCTION("IFERROR(GOOGLEFINANCE(TRIM(F2914)&amp;"":"" &amp; TRIM(B2914),""low52""),AE2914)"),746.7)</f>
        <v>746.7</v>
      </c>
      <c r="AI2914" s="1">
        <f ca="1">IFERROR(__xludf.DUMMYFUNCTION("IFERROR(GOOGLEFINANCE(B2914,""eps""),0)"),83.78)</f>
        <v>83.78</v>
      </c>
      <c r="AJ2914" s="1"/>
      <c r="AK2914" s="9"/>
      <c r="AL2914" s="9">
        <f t="shared" si="281"/>
        <v>1</v>
      </c>
    </row>
    <row r="2915" spans="1:38" ht="15" x14ac:dyDescent="0.25">
      <c r="A2915" s="1" t="s">
        <v>9001</v>
      </c>
      <c r="B2915" s="1" t="s">
        <v>9002</v>
      </c>
      <c r="C2915" s="1" t="s">
        <v>86</v>
      </c>
      <c r="D2915" s="1" t="s">
        <v>86</v>
      </c>
      <c r="E2915" s="6">
        <v>8454.25</v>
      </c>
      <c r="F2915" s="1" t="s">
        <v>40</v>
      </c>
      <c r="G2915" s="6">
        <f ca="1">IFERROR(__xludf.DUMMYFUNCTION("iferror(GOOGLEFINANCE(TRIM(F2915)&amp;"":"" &amp; TRIM(B2915), ""price""),0
)"),218.8)</f>
        <v>218.8</v>
      </c>
      <c r="H2915" s="6">
        <v>320.95</v>
      </c>
      <c r="I2915" s="6">
        <f t="shared" ca="1" si="0"/>
        <v>218.8</v>
      </c>
      <c r="J2915" s="6">
        <f ca="1">IFERROR(__xludf.DUMMYFUNCTION("IFERROR(GOOGLEFINANCE(B2915, ""volume""), 0)"),366200)</f>
        <v>366200</v>
      </c>
      <c r="K2915" s="6">
        <v>-2.37</v>
      </c>
      <c r="L2915" s="6">
        <f ca="1">IFERROR(__xludf.DUMMYFUNCTION("IFERROR(GOOGLEFINANCE(B2915,""changepct""),K2915)"),-3.1)</f>
        <v>-3.1</v>
      </c>
      <c r="M2915" s="6">
        <f ca="1">IFERROR(__xludf.DUMMYFUNCTION("IFERROR(GOOGLEFINANCE(B2915,""change""),0)"),-7)</f>
        <v>-7</v>
      </c>
      <c r="N2915" s="6">
        <v>2</v>
      </c>
      <c r="O2915" s="7">
        <v>45536</v>
      </c>
      <c r="P2915" s="6">
        <v>8779.77</v>
      </c>
      <c r="Q2915" s="6">
        <v>16067.26</v>
      </c>
      <c r="R2915" s="7">
        <v>45536</v>
      </c>
      <c r="S2915" s="6">
        <v>8241.36</v>
      </c>
      <c r="T2915" s="6">
        <v>1239.51</v>
      </c>
      <c r="U2915" s="7">
        <v>45536</v>
      </c>
      <c r="V2915" s="6">
        <v>6.82</v>
      </c>
      <c r="W2915" s="6">
        <f ca="1">IFERROR(__xludf.DUMMYFUNCTION("IFERROR(GOOGLEFINANCE(B2915,""pe""),V2915)"),6.98)</f>
        <v>6.98</v>
      </c>
      <c r="X2915" s="6">
        <v>0.33</v>
      </c>
      <c r="Y2915" s="6">
        <v>1.45</v>
      </c>
      <c r="Z2915" s="6">
        <v>2</v>
      </c>
      <c r="AA2915" s="17">
        <v>45352</v>
      </c>
      <c r="AB2915" s="18">
        <v>1.55</v>
      </c>
      <c r="AC2915" s="6">
        <v>19.21</v>
      </c>
      <c r="AD2915" s="6">
        <v>16.07</v>
      </c>
      <c r="AE2915" s="1">
        <v>0</v>
      </c>
      <c r="AF2915" s="1">
        <f ca="1">IFERROR(__xludf.DUMMYFUNCTION("IFERROR(GOOGLEFINANCE(TRIM(F2915)&amp;"":"" &amp; TRIM(B2915),""high52""),AE2915)"),331.8)</f>
        <v>331.8</v>
      </c>
      <c r="AG2915" s="1">
        <v>0</v>
      </c>
      <c r="AH2915" s="1">
        <f ca="1">IFERROR(__xludf.DUMMYFUNCTION("IFERROR(GOOGLEFINANCE(TRIM(F2915)&amp;"":"" &amp; TRIM(B2915),""low52""),AE2915)"),205.45)</f>
        <v>205.45</v>
      </c>
      <c r="AI2915" s="1">
        <f ca="1">IFERROR(__xludf.DUMMYFUNCTION("IFERROR(GOOGLEFINANCE(B2915,""eps""),0)"),31.33)</f>
        <v>31.33</v>
      </c>
      <c r="AJ2915" s="1"/>
      <c r="AK2915" s="1" t="s">
        <v>9003</v>
      </c>
      <c r="AL2915" s="9">
        <f t="shared" si="281"/>
        <v>1</v>
      </c>
    </row>
    <row r="2916" spans="1:38" ht="15" x14ac:dyDescent="0.25">
      <c r="A2916" s="1" t="s">
        <v>9004</v>
      </c>
      <c r="B2916" s="1" t="s">
        <v>9005</v>
      </c>
      <c r="C2916" s="1" t="s">
        <v>487</v>
      </c>
      <c r="D2916" s="1" t="s">
        <v>487</v>
      </c>
      <c r="E2916" s="6">
        <v>50.03</v>
      </c>
      <c r="F2916" s="1" t="s">
        <v>40</v>
      </c>
      <c r="G2916" s="6">
        <f ca="1">IFERROR(__xludf.DUMMYFUNCTION("iferror(GOOGLEFINANCE(TRIM(F2916)&amp;"":"" &amp; TRIM(B2916), ""price""),0
)"),0)</f>
        <v>0</v>
      </c>
      <c r="H2916" s="6">
        <v>69.44</v>
      </c>
      <c r="I2916" s="6">
        <f t="shared" ca="1" si="0"/>
        <v>69.44</v>
      </c>
      <c r="J2916" s="6">
        <f ca="1">IFERROR(__xludf.DUMMYFUNCTION("IFERROR(GOOGLEFINANCE(B2916, ""volume""), 0)"),0)</f>
        <v>0</v>
      </c>
      <c r="K2916" s="9"/>
      <c r="L2916" s="6" t="str">
        <f ca="1">IFERROR(__xludf.DUMMYFUNCTION("IFERROR(GOOGLEFINANCE(B2916,""changepct""),K2916)"),"")</f>
        <v/>
      </c>
      <c r="M2916" s="6">
        <f ca="1">IFERROR(__xludf.DUMMYFUNCTION("IFERROR(GOOGLEFINANCE(B2916,""change""),0)"),0)</f>
        <v>0</v>
      </c>
      <c r="N2916" s="6">
        <v>1</v>
      </c>
      <c r="O2916" s="7">
        <v>45170</v>
      </c>
      <c r="P2916" s="6">
        <v>512.24</v>
      </c>
      <c r="Q2916" s="6">
        <v>556.44000000000005</v>
      </c>
      <c r="R2916" s="7">
        <v>45261</v>
      </c>
      <c r="S2916" s="6">
        <v>12.03</v>
      </c>
      <c r="T2916" s="6">
        <v>-57.75</v>
      </c>
      <c r="U2916" s="7">
        <v>45261</v>
      </c>
      <c r="V2916" s="6">
        <v>0</v>
      </c>
      <c r="W2916" s="6">
        <f ca="1">IFERROR(__xludf.DUMMYFUNCTION("IFERROR(GOOGLEFINANCE(B2916,""pe""),V2916)"),0)</f>
        <v>0</v>
      </c>
      <c r="X2916" s="9"/>
      <c r="Y2916" s="6">
        <v>0.67</v>
      </c>
      <c r="Z2916" s="6">
        <v>2</v>
      </c>
      <c r="AA2916" s="8">
        <v>44986</v>
      </c>
      <c r="AB2916" s="4">
        <v>3.53</v>
      </c>
      <c r="AC2916" s="6">
        <v>-34.86</v>
      </c>
      <c r="AD2916" s="6">
        <v>0.93</v>
      </c>
      <c r="AE2916" s="1">
        <v>0</v>
      </c>
      <c r="AF2916" s="1">
        <f ca="1">IFERROR(__xludf.DUMMYFUNCTION("IFERROR(GOOGLEFINANCE(TRIM(F2916)&amp;"":"" &amp; TRIM(B2916),""high52""),AE2916)"),0)</f>
        <v>0</v>
      </c>
      <c r="AG2916" s="1">
        <v>0</v>
      </c>
      <c r="AH2916" s="1">
        <f ca="1">IFERROR(__xludf.DUMMYFUNCTION("IFERROR(GOOGLEFINANCE(TRIM(F2916)&amp;"":"" &amp; TRIM(B2916),""low52""),AE2916)"),0)</f>
        <v>0</v>
      </c>
      <c r="AI2916" s="1">
        <f ca="1">IFERROR(__xludf.DUMMYFUNCTION("IFERROR(GOOGLEFINANCE(B2916,""eps""),0)"),0)</f>
        <v>0</v>
      </c>
      <c r="AJ2916" s="1"/>
      <c r="AK2916" s="1" t="s">
        <v>9006</v>
      </c>
      <c r="AL2916" s="9">
        <f t="shared" si="281"/>
        <v>1</v>
      </c>
    </row>
    <row r="2917" spans="1:38" ht="15" x14ac:dyDescent="0.25">
      <c r="A2917" s="1" t="s">
        <v>9007</v>
      </c>
      <c r="B2917" s="1" t="s">
        <v>9008</v>
      </c>
      <c r="C2917" s="1" t="s">
        <v>584</v>
      </c>
      <c r="D2917" s="1" t="s">
        <v>584</v>
      </c>
      <c r="E2917" s="6">
        <v>393.74</v>
      </c>
      <c r="F2917" s="1" t="s">
        <v>40</v>
      </c>
      <c r="G2917" s="6">
        <f ca="1">IFERROR(__xludf.DUMMYFUNCTION("iferror(GOOGLEFINANCE(TRIM(F2917)&amp;"":"" &amp; TRIM(B2917), ""price""),0
)"),242.32)</f>
        <v>242.32</v>
      </c>
      <c r="H2917" s="6">
        <v>368.45</v>
      </c>
      <c r="I2917" s="6">
        <f t="shared" ca="1" si="0"/>
        <v>242.32</v>
      </c>
      <c r="J2917" s="6">
        <f ca="1">IFERROR(__xludf.DUMMYFUNCTION("IFERROR(GOOGLEFINANCE(B2917, ""volume""), 0)"),1805)</f>
        <v>1805</v>
      </c>
      <c r="K2917" s="6">
        <v>-0.65</v>
      </c>
      <c r="L2917" s="6">
        <f ca="1">IFERROR(__xludf.DUMMYFUNCTION("IFERROR(GOOGLEFINANCE(B2917,""changepct""),K2917)"),0.5)</f>
        <v>0.5</v>
      </c>
      <c r="M2917" s="6">
        <f ca="1">IFERROR(__xludf.DUMMYFUNCTION("IFERROR(GOOGLEFINANCE(B2917,""change""),0)"),1.21)</f>
        <v>1.21</v>
      </c>
      <c r="N2917" s="6">
        <v>1</v>
      </c>
      <c r="O2917" s="7">
        <v>45536</v>
      </c>
      <c r="P2917" s="9"/>
      <c r="Q2917" s="6">
        <v>353.87</v>
      </c>
      <c r="R2917" s="7">
        <v>45536</v>
      </c>
      <c r="S2917" s="6">
        <v>378.92</v>
      </c>
      <c r="T2917" s="6">
        <v>28.61</v>
      </c>
      <c r="U2917" s="7">
        <v>45536</v>
      </c>
      <c r="V2917" s="6">
        <v>13.76</v>
      </c>
      <c r="W2917" s="6">
        <f ca="1">IFERROR(__xludf.DUMMYFUNCTION("IFERROR(GOOGLEFINANCE(B2917,""pe""),V2917)"),14.39)</f>
        <v>14.39</v>
      </c>
      <c r="X2917" s="6">
        <v>1.17</v>
      </c>
      <c r="Y2917" s="6">
        <v>1.04</v>
      </c>
      <c r="Z2917" s="6">
        <v>1</v>
      </c>
      <c r="AA2917" s="8">
        <v>45352</v>
      </c>
      <c r="AB2917" s="4">
        <v>0</v>
      </c>
      <c r="AC2917" s="6">
        <v>8.98</v>
      </c>
      <c r="AD2917" s="6">
        <v>12.25</v>
      </c>
      <c r="AE2917" s="1">
        <v>0</v>
      </c>
      <c r="AF2917" s="1">
        <f ca="1">IFERROR(__xludf.DUMMYFUNCTION("IFERROR(GOOGLEFINANCE(TRIM(F2917)&amp;"":"" &amp; TRIM(B2917),""high52""),AE2917)"),361)</f>
        <v>361</v>
      </c>
      <c r="AG2917" s="1">
        <v>0</v>
      </c>
      <c r="AH2917" s="1">
        <f ca="1">IFERROR(__xludf.DUMMYFUNCTION("IFERROR(GOOGLEFINANCE(TRIM(F2917)&amp;"":"" &amp; TRIM(B2917),""low52""),AE2917)"),240.2)</f>
        <v>240.2</v>
      </c>
      <c r="AI2917" s="1">
        <f ca="1">IFERROR(__xludf.DUMMYFUNCTION("IFERROR(GOOGLEFINANCE(B2917,""eps""),0)"),16.84)</f>
        <v>16.84</v>
      </c>
      <c r="AJ2917" s="1"/>
      <c r="AK2917" s="1" t="s">
        <v>9009</v>
      </c>
      <c r="AL2917" s="9">
        <f t="shared" si="281"/>
        <v>1</v>
      </c>
    </row>
    <row r="2918" spans="1:38" ht="15" x14ac:dyDescent="0.25">
      <c r="A2918" s="1" t="s">
        <v>9010</v>
      </c>
      <c r="B2918" s="1" t="s">
        <v>9011</v>
      </c>
      <c r="C2918" s="1" t="s">
        <v>103</v>
      </c>
      <c r="D2918" s="1" t="s">
        <v>103</v>
      </c>
      <c r="E2918" s="6">
        <v>18.3</v>
      </c>
      <c r="F2918" s="1" t="s">
        <v>53</v>
      </c>
      <c r="G2918" s="6">
        <f ca="1">IFERROR(__xludf.DUMMYFUNCTION("iferror(GOOGLEFINANCE(TRIM(F2918)&amp;"":"" &amp; TRIM(B2918), ""price""),0
)"),0)</f>
        <v>0</v>
      </c>
      <c r="H2918" s="6">
        <v>19.399999999999999</v>
      </c>
      <c r="I2918" s="6">
        <f t="shared" ca="1" si="0"/>
        <v>19.399999999999999</v>
      </c>
      <c r="J2918" s="6">
        <f ca="1">IFERROR(__xludf.DUMMYFUNCTION("IFERROR(GOOGLEFINANCE(B2918, ""volume""), 0)"),0)</f>
        <v>0</v>
      </c>
      <c r="K2918" s="6">
        <v>4.47</v>
      </c>
      <c r="L2918" s="6">
        <f ca="1">IFERROR(__xludf.DUMMYFUNCTION("IFERROR(GOOGLEFINANCE(B2918,""changepct""),K2918)"),4.47)</f>
        <v>4.47</v>
      </c>
      <c r="M2918" s="6">
        <f ca="1">IFERROR(__xludf.DUMMYFUNCTION("IFERROR(GOOGLEFINANCE(B2918,""change""),0)"),0)</f>
        <v>0</v>
      </c>
      <c r="N2918" s="6">
        <v>1</v>
      </c>
      <c r="O2918" s="7">
        <v>45536</v>
      </c>
      <c r="P2918" s="6">
        <v>0.08</v>
      </c>
      <c r="Q2918" s="6">
        <v>18.39</v>
      </c>
      <c r="R2918" s="7">
        <v>45536</v>
      </c>
      <c r="S2918" s="6">
        <v>2.37</v>
      </c>
      <c r="T2918" s="6">
        <v>-0.23</v>
      </c>
      <c r="U2918" s="7">
        <v>45536</v>
      </c>
      <c r="V2918" s="6">
        <v>0</v>
      </c>
      <c r="W2918" s="6">
        <f ca="1">IFERROR(__xludf.DUMMYFUNCTION("IFERROR(GOOGLEFINANCE(B2918,""pe""),V2918)"),0)</f>
        <v>0</v>
      </c>
      <c r="X2918" s="6">
        <v>0</v>
      </c>
      <c r="Y2918" s="6">
        <v>2.98</v>
      </c>
      <c r="Z2918" s="6">
        <v>1</v>
      </c>
      <c r="AA2918" s="8">
        <v>45352</v>
      </c>
      <c r="AB2918" s="4">
        <v>0.02</v>
      </c>
      <c r="AC2918" s="6">
        <v>19.34</v>
      </c>
      <c r="AD2918" s="6">
        <v>5.84</v>
      </c>
      <c r="AE2918" s="1">
        <v>0</v>
      </c>
      <c r="AF2918" s="1">
        <f ca="1">IFERROR(__xludf.DUMMYFUNCTION("IFERROR(GOOGLEFINANCE(TRIM(F2918)&amp;"":"" &amp; TRIM(B2918),""high52""),AE2918)"),0)</f>
        <v>0</v>
      </c>
      <c r="AG2918" s="1">
        <v>0</v>
      </c>
      <c r="AH2918" s="1">
        <f ca="1">IFERROR(__xludf.DUMMYFUNCTION("IFERROR(GOOGLEFINANCE(TRIM(F2918)&amp;"":"" &amp; TRIM(B2918),""low52""),AE2918)"),0)</f>
        <v>0</v>
      </c>
      <c r="AI2918" s="1">
        <f ca="1">IFERROR(__xludf.DUMMYFUNCTION("IFERROR(GOOGLEFINANCE(B2918,""eps""),0)"),0)</f>
        <v>0</v>
      </c>
      <c r="AJ2918" s="1"/>
      <c r="AK2918" s="1" t="s">
        <v>9012</v>
      </c>
      <c r="AL2918" s="9">
        <f t="shared" si="281"/>
        <v>1</v>
      </c>
    </row>
    <row r="2919" spans="1:38" ht="15" x14ac:dyDescent="0.25">
      <c r="A2919" s="1" t="s">
        <v>9013</v>
      </c>
      <c r="B2919" s="1" t="s">
        <v>9014</v>
      </c>
      <c r="C2919" s="1" t="s">
        <v>103</v>
      </c>
      <c r="D2919" s="1" t="s">
        <v>103</v>
      </c>
      <c r="E2919" s="6">
        <v>245.38</v>
      </c>
      <c r="F2919" s="1" t="s">
        <v>53</v>
      </c>
      <c r="G2919" s="6">
        <f ca="1">IFERROR(__xludf.DUMMYFUNCTION("iferror(GOOGLEFINANCE(TRIM(F2919)&amp;"":"" &amp; TRIM(B2919), ""price""),0
)"),0)</f>
        <v>0</v>
      </c>
      <c r="H2919" s="6">
        <v>18.73</v>
      </c>
      <c r="I2919" s="6">
        <f t="shared" ca="1" si="0"/>
        <v>18.73</v>
      </c>
      <c r="J2919" s="6">
        <f ca="1">IFERROR(__xludf.DUMMYFUNCTION("IFERROR(GOOGLEFINANCE(B2919, ""volume""), 0)"),0)</f>
        <v>0</v>
      </c>
      <c r="K2919" s="6">
        <v>-1.99</v>
      </c>
      <c r="L2919" s="6">
        <f ca="1">IFERROR(__xludf.DUMMYFUNCTION("IFERROR(GOOGLEFINANCE(B2919,""changepct""),K2919)"),-1.99)</f>
        <v>-1.99</v>
      </c>
      <c r="M2919" s="6">
        <f ca="1">IFERROR(__xludf.DUMMYFUNCTION("IFERROR(GOOGLEFINANCE(B2919,""change""),0)"),0)</f>
        <v>0</v>
      </c>
      <c r="N2919" s="6">
        <v>2</v>
      </c>
      <c r="O2919" s="7">
        <v>45536</v>
      </c>
      <c r="P2919" s="6">
        <v>54.57</v>
      </c>
      <c r="Q2919" s="6">
        <v>299.95</v>
      </c>
      <c r="R2919" s="7">
        <v>45536</v>
      </c>
      <c r="S2919" s="6">
        <v>25.6</v>
      </c>
      <c r="T2919" s="6">
        <v>-1.73</v>
      </c>
      <c r="U2919" s="7">
        <v>45536</v>
      </c>
      <c r="V2919" s="6">
        <v>0</v>
      </c>
      <c r="W2919" s="6">
        <f ca="1">IFERROR(__xludf.DUMMYFUNCTION("IFERROR(GOOGLEFINANCE(B2919,""pe""),V2919)"),0)</f>
        <v>0</v>
      </c>
      <c r="X2919" s="6">
        <v>0</v>
      </c>
      <c r="Y2919" s="6">
        <v>1.56</v>
      </c>
      <c r="Z2919" s="6">
        <v>2</v>
      </c>
      <c r="AA2919" s="8">
        <v>45352</v>
      </c>
      <c r="AB2919" s="4">
        <v>0.39</v>
      </c>
      <c r="AC2919" s="6">
        <v>-3.67</v>
      </c>
      <c r="AD2919" s="6">
        <v>-1.1299999999999999</v>
      </c>
      <c r="AE2919" s="1">
        <v>0</v>
      </c>
      <c r="AF2919" s="1">
        <f ca="1">IFERROR(__xludf.DUMMYFUNCTION("IFERROR(GOOGLEFINANCE(TRIM(F2919)&amp;"":"" &amp; TRIM(B2919),""high52""),AE2919)"),0)</f>
        <v>0</v>
      </c>
      <c r="AG2919" s="1">
        <v>0</v>
      </c>
      <c r="AH2919" s="1">
        <f ca="1">IFERROR(__xludf.DUMMYFUNCTION("IFERROR(GOOGLEFINANCE(TRIM(F2919)&amp;"":"" &amp; TRIM(B2919),""low52""),AE2919)"),0)</f>
        <v>0</v>
      </c>
      <c r="AI2919" s="1">
        <f ca="1">IFERROR(__xludf.DUMMYFUNCTION("IFERROR(GOOGLEFINANCE(B2919,""eps""),0)"),0)</f>
        <v>0</v>
      </c>
      <c r="AJ2919" s="1"/>
      <c r="AK2919" s="1" t="s">
        <v>9015</v>
      </c>
      <c r="AL2919" s="9">
        <f t="shared" si="281"/>
        <v>1</v>
      </c>
    </row>
    <row r="2920" spans="1:38" ht="15" x14ac:dyDescent="0.25">
      <c r="A2920" s="1" t="s">
        <v>9016</v>
      </c>
      <c r="B2920" s="1" t="s">
        <v>9017</v>
      </c>
      <c r="C2920" s="1" t="s">
        <v>889</v>
      </c>
      <c r="D2920" s="1" t="s">
        <v>889</v>
      </c>
      <c r="E2920" s="6">
        <v>3636.15</v>
      </c>
      <c r="F2920" s="1" t="s">
        <v>40</v>
      </c>
      <c r="G2920" s="6">
        <f ca="1">IFERROR(__xludf.DUMMYFUNCTION("iferror(GOOGLEFINANCE(TRIM(F2920)&amp;"":"" &amp; TRIM(B2920), ""price""),0
)"),720.4)</f>
        <v>720.4</v>
      </c>
      <c r="H2920" s="6">
        <v>1198</v>
      </c>
      <c r="I2920" s="6">
        <f t="shared" ca="1" si="0"/>
        <v>720.4</v>
      </c>
      <c r="J2920" s="6">
        <f ca="1">IFERROR(__xludf.DUMMYFUNCTION("IFERROR(GOOGLEFINANCE(B2920, ""volume""), 0)"),45739)</f>
        <v>45739</v>
      </c>
      <c r="K2920" s="6">
        <v>2.16</v>
      </c>
      <c r="L2920" s="6">
        <f ca="1">IFERROR(__xludf.DUMMYFUNCTION("IFERROR(GOOGLEFINANCE(B2920,""changepct""),K2920)"),2.7)</f>
        <v>2.7</v>
      </c>
      <c r="M2920" s="6">
        <f ca="1">IFERROR(__xludf.DUMMYFUNCTION("IFERROR(GOOGLEFINANCE(B2920,""change""),0)"),18.95)</f>
        <v>18.95</v>
      </c>
      <c r="N2920" s="6">
        <v>2</v>
      </c>
      <c r="O2920" s="7">
        <v>45536</v>
      </c>
      <c r="P2920" s="6">
        <v>374.94</v>
      </c>
      <c r="Q2920" s="6">
        <v>3948.44</v>
      </c>
      <c r="R2920" s="7">
        <v>45536</v>
      </c>
      <c r="S2920" s="6">
        <v>770.4</v>
      </c>
      <c r="T2920" s="6">
        <v>115.57</v>
      </c>
      <c r="U2920" s="7">
        <v>45536</v>
      </c>
      <c r="V2920" s="6">
        <v>31.68</v>
      </c>
      <c r="W2920" s="6">
        <f ca="1">IFERROR(__xludf.DUMMYFUNCTION("IFERROR(GOOGLEFINANCE(B2920,""pe""),V2920)"),15.46)</f>
        <v>15.46</v>
      </c>
      <c r="X2920" s="6">
        <v>19.8</v>
      </c>
      <c r="Y2920" s="6">
        <v>5.44</v>
      </c>
      <c r="Z2920" s="6">
        <v>2</v>
      </c>
      <c r="AA2920" s="8">
        <v>45352</v>
      </c>
      <c r="AB2920" s="4">
        <v>0.66</v>
      </c>
      <c r="AC2920" s="6">
        <v>16.62</v>
      </c>
      <c r="AD2920" s="6">
        <v>18.489999999999998</v>
      </c>
      <c r="AE2920" s="1">
        <v>0</v>
      </c>
      <c r="AF2920" s="1">
        <f ca="1">IFERROR(__xludf.DUMMYFUNCTION("IFERROR(GOOGLEFINANCE(TRIM(F2920)&amp;"":"" &amp; TRIM(B2920),""high52""),AE2920)"),1451.65)</f>
        <v>1451.65</v>
      </c>
      <c r="AG2920" s="1">
        <v>0</v>
      </c>
      <c r="AH2920" s="1">
        <f ca="1">IFERROR(__xludf.DUMMYFUNCTION("IFERROR(GOOGLEFINANCE(TRIM(F2920)&amp;"":"" &amp; TRIM(B2920),""low52""),AE2920)"),692.6)</f>
        <v>692.6</v>
      </c>
      <c r="AI2920" s="1">
        <f ca="1">IFERROR(__xludf.DUMMYFUNCTION("IFERROR(GOOGLEFINANCE(B2920,""eps""),0)"),46.59)</f>
        <v>46.59</v>
      </c>
      <c r="AJ2920" s="1"/>
      <c r="AK2920" s="1" t="s">
        <v>9018</v>
      </c>
      <c r="AL2920" s="1" t="b">
        <f>ISNUMBER(AA2920)</f>
        <v>1</v>
      </c>
    </row>
    <row r="2921" spans="1:38" ht="15" x14ac:dyDescent="0.25">
      <c r="A2921" s="1" t="s">
        <v>9019</v>
      </c>
      <c r="B2921" s="1" t="s">
        <v>9020</v>
      </c>
      <c r="C2921" s="1" t="s">
        <v>4423</v>
      </c>
      <c r="D2921" s="1" t="s">
        <v>4423</v>
      </c>
      <c r="E2921" s="6">
        <v>27440.02</v>
      </c>
      <c r="F2921" s="1" t="s">
        <v>40</v>
      </c>
      <c r="G2921" s="6">
        <f ca="1">IFERROR(__xludf.DUMMYFUNCTION("iferror(GOOGLEFINANCE(TRIM(F2921)&amp;"":"" &amp; TRIM(B2921), ""price""),0
)"),1464.9)</f>
        <v>1464.9</v>
      </c>
      <c r="H2921" s="6">
        <v>2730</v>
      </c>
      <c r="I2921" s="6">
        <f t="shared" ca="1" si="0"/>
        <v>1464.9</v>
      </c>
      <c r="J2921" s="6">
        <f ca="1">IFERROR(__xludf.DUMMYFUNCTION("IFERROR(GOOGLEFINANCE(B2921, ""volume""), 0)"),130604)</f>
        <v>130604</v>
      </c>
      <c r="K2921" s="6">
        <v>0.75</v>
      </c>
      <c r="L2921" s="6">
        <f ca="1">IFERROR(__xludf.DUMMYFUNCTION("IFERROR(GOOGLEFINANCE(B2921,""changepct""),K2921)"),-2.65)</f>
        <v>-2.65</v>
      </c>
      <c r="M2921" s="6">
        <f ca="1">IFERROR(__xludf.DUMMYFUNCTION("IFERROR(GOOGLEFINANCE(B2921,""change""),0)"),-39.8)</f>
        <v>-39.799999999999997</v>
      </c>
      <c r="N2921" s="6">
        <v>2</v>
      </c>
      <c r="O2921" s="7">
        <v>45536</v>
      </c>
      <c r="P2921" s="6">
        <v>157.59</v>
      </c>
      <c r="Q2921" s="6">
        <v>27405.5</v>
      </c>
      <c r="R2921" s="7">
        <v>45536</v>
      </c>
      <c r="S2921" s="6">
        <v>1522.46</v>
      </c>
      <c r="T2921" s="6">
        <v>292.74</v>
      </c>
      <c r="U2921" s="7">
        <v>45536</v>
      </c>
      <c r="V2921" s="6">
        <v>93.06</v>
      </c>
      <c r="W2921" s="6">
        <f ca="1">IFERROR(__xludf.DUMMYFUNCTION("IFERROR(GOOGLEFINANCE(B2921,""pe""),V2921)"),41.14)</f>
        <v>41.14</v>
      </c>
      <c r="X2921" s="6">
        <v>2.94</v>
      </c>
      <c r="Y2921" s="6">
        <v>10.59</v>
      </c>
      <c r="Z2921" s="6">
        <v>2</v>
      </c>
      <c r="AA2921" s="8">
        <v>45352</v>
      </c>
      <c r="AB2921" s="4">
        <v>0.12</v>
      </c>
      <c r="AC2921" s="6">
        <v>19.09</v>
      </c>
      <c r="AD2921" s="6">
        <v>23.63</v>
      </c>
      <c r="AE2921" s="1">
        <v>0</v>
      </c>
      <c r="AF2921" s="1">
        <f ca="1">IFERROR(__xludf.DUMMYFUNCTION("IFERROR(GOOGLEFINANCE(TRIM(F2921)&amp;"":"" &amp; TRIM(B2921),""high52""),AE2921)"),2937.6)</f>
        <v>2937.6</v>
      </c>
      <c r="AG2921" s="1">
        <v>0</v>
      </c>
      <c r="AH2921" s="1">
        <f ca="1">IFERROR(__xludf.DUMMYFUNCTION("IFERROR(GOOGLEFINANCE(TRIM(F2921)&amp;"":"" &amp; TRIM(B2921),""low52""),AE2921)"),1430)</f>
        <v>1430</v>
      </c>
      <c r="AI2921" s="1">
        <f ca="1">IFERROR(__xludf.DUMMYFUNCTION("IFERROR(GOOGLEFINANCE(B2921,""eps""),0)"),35.6)</f>
        <v>35.6</v>
      </c>
      <c r="AJ2921" s="1"/>
      <c r="AK2921" s="1" t="s">
        <v>9021</v>
      </c>
      <c r="AL2921" s="9">
        <f>IF(AA2921&lt;&gt;AB2921,1,0)</f>
        <v>1</v>
      </c>
    </row>
    <row r="2922" spans="1:38" ht="15" x14ac:dyDescent="0.25">
      <c r="A2922" s="1" t="s">
        <v>9022</v>
      </c>
      <c r="B2922" s="1" t="s">
        <v>9023</v>
      </c>
      <c r="C2922" s="1" t="s">
        <v>577</v>
      </c>
      <c r="D2922" s="1" t="s">
        <v>577</v>
      </c>
      <c r="E2922" s="6">
        <v>111075.9</v>
      </c>
      <c r="F2922" s="1" t="s">
        <v>40</v>
      </c>
      <c r="G2922" s="6">
        <f ca="1">IFERROR(__xludf.DUMMYFUNCTION("iferror(GOOGLEFINANCE(TRIM(F2922)&amp;"":"" &amp; TRIM(B2922), ""price""),0
)"),7055.5)</f>
        <v>7055.5</v>
      </c>
      <c r="H2922" s="6">
        <v>7313.6</v>
      </c>
      <c r="I2922" s="6">
        <f t="shared" ca="1" si="0"/>
        <v>7055.5</v>
      </c>
      <c r="J2922" s="6">
        <f ca="1">IFERROR(__xludf.DUMMYFUNCTION("IFERROR(GOOGLEFINANCE(B2922, ""volume""), 0)"),292881)</f>
        <v>292881</v>
      </c>
      <c r="K2922" s="6">
        <v>-1.04</v>
      </c>
      <c r="L2922" s="6">
        <f ca="1">IFERROR(__xludf.DUMMYFUNCTION("IFERROR(GOOGLEFINANCE(B2922,""changepct""),K2922)"),3.47)</f>
        <v>3.47</v>
      </c>
      <c r="M2922" s="6">
        <f ca="1">IFERROR(__xludf.DUMMYFUNCTION("IFERROR(GOOGLEFINANCE(B2922,""change""),0)"),236.5)</f>
        <v>236.5</v>
      </c>
      <c r="N2922" s="6">
        <v>2</v>
      </c>
      <c r="O2922" s="7">
        <v>45536</v>
      </c>
      <c r="P2922" s="6">
        <v>110.26</v>
      </c>
      <c r="Q2922" s="6">
        <v>110842.7</v>
      </c>
      <c r="R2922" s="7">
        <v>45536</v>
      </c>
      <c r="S2922" s="6">
        <v>20128.82</v>
      </c>
      <c r="T2922" s="6">
        <v>1816.82</v>
      </c>
      <c r="U2922" s="7">
        <v>45536</v>
      </c>
      <c r="V2922" s="6">
        <v>61.89</v>
      </c>
      <c r="W2922" s="6">
        <f ca="1">IFERROR(__xludf.DUMMYFUNCTION("IFERROR(GOOGLEFINANCE(B2922,""pe""),V2922)"),40.56)</f>
        <v>40.56</v>
      </c>
      <c r="X2922" s="6">
        <v>2.14</v>
      </c>
      <c r="Y2922" s="6">
        <v>12.92</v>
      </c>
      <c r="Z2922" s="6">
        <v>2</v>
      </c>
      <c r="AA2922" s="8">
        <v>45352</v>
      </c>
      <c r="AB2922" s="4">
        <v>0.01</v>
      </c>
      <c r="AC2922" s="6">
        <v>24.49</v>
      </c>
      <c r="AD2922" s="6">
        <v>32.93</v>
      </c>
      <c r="AE2922" s="1">
        <v>0</v>
      </c>
      <c r="AF2922" s="1">
        <f ca="1">IFERROR(__xludf.DUMMYFUNCTION("IFERROR(GOOGLEFINANCE(TRIM(F2922)&amp;"":"" &amp; TRIM(B2922),""high52""),AE2922)"),7948)</f>
        <v>7948</v>
      </c>
      <c r="AG2922" s="1">
        <v>0</v>
      </c>
      <c r="AH2922" s="1">
        <f ca="1">IFERROR(__xludf.DUMMYFUNCTION("IFERROR(GOOGLEFINANCE(TRIM(F2922)&amp;"":"" &amp; TRIM(B2922),""low52""),AE2922)"),4555)</f>
        <v>4555</v>
      </c>
      <c r="AI2922" s="1">
        <f ca="1">IFERROR(__xludf.DUMMYFUNCTION("IFERROR(GOOGLEFINANCE(B2922,""eps""),0)"),173.97)</f>
        <v>173.97</v>
      </c>
      <c r="AJ2922" s="1"/>
      <c r="AK2922" s="1" t="s">
        <v>9024</v>
      </c>
      <c r="AL2922" s="1" t="b">
        <f>ISNUMBER(AA2922)</f>
        <v>1</v>
      </c>
    </row>
    <row r="2923" spans="1:38" ht="15" x14ac:dyDescent="0.25">
      <c r="A2923" s="1" t="s">
        <v>9025</v>
      </c>
      <c r="B2923" s="1" t="s">
        <v>9026</v>
      </c>
      <c r="C2923" s="1" t="s">
        <v>82</v>
      </c>
      <c r="D2923" s="1" t="s">
        <v>82</v>
      </c>
      <c r="E2923" s="6">
        <v>4298.88</v>
      </c>
      <c r="F2923" s="1" t="s">
        <v>40</v>
      </c>
      <c r="G2923" s="6">
        <f ca="1">IFERROR(__xludf.DUMMYFUNCTION("iferror(GOOGLEFINANCE(TRIM(F2923)&amp;"":"" &amp; TRIM(B2923), ""price""),0
)"),832.25)</f>
        <v>832.25</v>
      </c>
      <c r="H2923" s="6">
        <v>1373.5</v>
      </c>
      <c r="I2923" s="6">
        <f t="shared" ca="1" si="0"/>
        <v>832.25</v>
      </c>
      <c r="J2923" s="6">
        <f ca="1">IFERROR(__xludf.DUMMYFUNCTION("IFERROR(GOOGLEFINANCE(B2923, ""volume""), 0)"),25739)</f>
        <v>25739</v>
      </c>
      <c r="K2923" s="6">
        <v>0.28999999999999998</v>
      </c>
      <c r="L2923" s="6">
        <f ca="1">IFERROR(__xludf.DUMMYFUNCTION("IFERROR(GOOGLEFINANCE(B2923,""changepct""),K2923)"),-0.54)</f>
        <v>-0.54</v>
      </c>
      <c r="M2923" s="6">
        <f ca="1">IFERROR(__xludf.DUMMYFUNCTION("IFERROR(GOOGLEFINANCE(B2923,""change""),0)"),-4.55)</f>
        <v>-4.55</v>
      </c>
      <c r="N2923" s="6">
        <v>2</v>
      </c>
      <c r="O2923" s="7">
        <v>45536</v>
      </c>
      <c r="P2923" s="6">
        <v>896.31</v>
      </c>
      <c r="Q2923" s="6">
        <v>4379.04</v>
      </c>
      <c r="R2923" s="7">
        <v>45536</v>
      </c>
      <c r="S2923" s="6">
        <v>6598.72</v>
      </c>
      <c r="T2923" s="6">
        <v>309.68</v>
      </c>
      <c r="U2923" s="7">
        <v>45536</v>
      </c>
      <c r="V2923" s="6">
        <v>27.85</v>
      </c>
      <c r="W2923" s="6">
        <f ca="1">IFERROR(__xludf.DUMMYFUNCTION("IFERROR(GOOGLEFINANCE(B2923,""pe""),V2923)"),35.66)</f>
        <v>35.659999999999997</v>
      </c>
      <c r="X2923" s="6">
        <v>-0.79</v>
      </c>
      <c r="Y2923" s="6">
        <v>1.1499999999999999</v>
      </c>
      <c r="Z2923" s="6">
        <v>2</v>
      </c>
      <c r="AA2923" s="8">
        <v>45352</v>
      </c>
      <c r="AB2923" s="4">
        <v>0.21</v>
      </c>
      <c r="AC2923" s="6">
        <v>2.4700000000000002</v>
      </c>
      <c r="AD2923" s="6">
        <v>2.78</v>
      </c>
      <c r="AE2923" s="1">
        <v>0</v>
      </c>
      <c r="AF2923" s="1">
        <f ca="1">IFERROR(__xludf.DUMMYFUNCTION("IFERROR(GOOGLEFINANCE(TRIM(F2923)&amp;"":"" &amp; TRIM(B2923),""high52""),AE2923)"),1398)</f>
        <v>1398</v>
      </c>
      <c r="AG2923" s="1">
        <v>0</v>
      </c>
      <c r="AH2923" s="1">
        <f ca="1">IFERROR(__xludf.DUMMYFUNCTION("IFERROR(GOOGLEFINANCE(TRIM(F2923)&amp;"":"" &amp; TRIM(B2923),""low52""),AE2923)"),774)</f>
        <v>774</v>
      </c>
      <c r="AI2923" s="1">
        <f ca="1">IFERROR(__xludf.DUMMYFUNCTION("IFERROR(GOOGLEFINANCE(B2923,""eps""),0)"),23.34)</f>
        <v>23.34</v>
      </c>
      <c r="AJ2923" s="1"/>
      <c r="AK2923" s="1" t="s">
        <v>9027</v>
      </c>
      <c r="AL2923" s="9">
        <f t="shared" ref="AL2923:AL2927" si="282">IF(AA2923&lt;&gt;AB2923,1,0)</f>
        <v>1</v>
      </c>
    </row>
    <row r="2924" spans="1:38" ht="15" x14ac:dyDescent="0.25">
      <c r="A2924" s="1" t="s">
        <v>9028</v>
      </c>
      <c r="B2924" s="1" t="s">
        <v>9029</v>
      </c>
      <c r="C2924" s="1" t="s">
        <v>82</v>
      </c>
      <c r="D2924" s="1" t="s">
        <v>82</v>
      </c>
      <c r="E2924" s="6">
        <v>31.13</v>
      </c>
      <c r="F2924" s="1" t="s">
        <v>40</v>
      </c>
      <c r="G2924" s="6">
        <f ca="1">IFERROR(__xludf.DUMMYFUNCTION("iferror(GOOGLEFINANCE(TRIM(F2924)&amp;"":"" &amp; TRIM(B2924), ""price""),0
)"),0)</f>
        <v>0</v>
      </c>
      <c r="H2924" s="6">
        <v>27.45</v>
      </c>
      <c r="I2924" s="6">
        <f t="shared" ca="1" si="0"/>
        <v>27.45</v>
      </c>
      <c r="J2924" s="6">
        <f ca="1">IFERROR(__xludf.DUMMYFUNCTION("IFERROR(GOOGLEFINANCE(B2924, ""volume""), 0)"),0)</f>
        <v>0</v>
      </c>
      <c r="K2924" s="9"/>
      <c r="L2924" s="6" t="str">
        <f ca="1">IFERROR(__xludf.DUMMYFUNCTION("IFERROR(GOOGLEFINANCE(B2924,""changepct""),K2924)"),"")</f>
        <v/>
      </c>
      <c r="M2924" s="6">
        <f ca="1">IFERROR(__xludf.DUMMYFUNCTION("IFERROR(GOOGLEFINANCE(B2924,""change""),0)"),0)</f>
        <v>0</v>
      </c>
      <c r="N2924" s="6">
        <v>1</v>
      </c>
      <c r="O2924" s="7">
        <v>45536</v>
      </c>
      <c r="P2924" s="6">
        <v>17.86</v>
      </c>
      <c r="Q2924" s="6">
        <v>48.54</v>
      </c>
      <c r="R2924" s="7">
        <v>45352</v>
      </c>
      <c r="S2924" s="6">
        <v>44.46</v>
      </c>
      <c r="T2924" s="6">
        <v>2.0699999999999998</v>
      </c>
      <c r="U2924" s="7">
        <v>45352</v>
      </c>
      <c r="V2924" s="6">
        <v>15.03</v>
      </c>
      <c r="W2924" s="6">
        <f ca="1">IFERROR(__xludf.DUMMYFUNCTION("IFERROR(GOOGLEFINANCE(B2924,""pe""),V2924)"),15.03)</f>
        <v>15.03</v>
      </c>
      <c r="X2924" s="9"/>
      <c r="Y2924" s="6">
        <v>1.25</v>
      </c>
      <c r="Z2924" s="6">
        <v>1</v>
      </c>
      <c r="AA2924" s="8">
        <v>45352</v>
      </c>
      <c r="AB2924" s="4">
        <v>0.67</v>
      </c>
      <c r="AC2924" s="6">
        <v>10.28</v>
      </c>
      <c r="AD2924" s="6">
        <v>13.63</v>
      </c>
      <c r="AE2924" s="1">
        <v>0</v>
      </c>
      <c r="AF2924" s="1">
        <f ca="1">IFERROR(__xludf.DUMMYFUNCTION("IFERROR(GOOGLEFINANCE(TRIM(F2924)&amp;"":"" &amp; TRIM(B2924),""high52""),AE2924)"),0)</f>
        <v>0</v>
      </c>
      <c r="AG2924" s="1">
        <v>0</v>
      </c>
      <c r="AH2924" s="1">
        <f ca="1">IFERROR(__xludf.DUMMYFUNCTION("IFERROR(GOOGLEFINANCE(TRIM(F2924)&amp;"":"" &amp; TRIM(B2924),""low52""),AE2924)"),0)</f>
        <v>0</v>
      </c>
      <c r="AI2924" s="1">
        <f ca="1">IFERROR(__xludf.DUMMYFUNCTION("IFERROR(GOOGLEFINANCE(B2924,""eps""),0)"),0)</f>
        <v>0</v>
      </c>
      <c r="AJ2924" s="1"/>
      <c r="AK2924" s="1" t="s">
        <v>9030</v>
      </c>
      <c r="AL2924" s="9">
        <f t="shared" si="282"/>
        <v>1</v>
      </c>
    </row>
    <row r="2925" spans="1:38" ht="15" x14ac:dyDescent="0.25">
      <c r="A2925" s="1" t="s">
        <v>9031</v>
      </c>
      <c r="B2925" s="1" t="s">
        <v>9032</v>
      </c>
      <c r="C2925" s="1" t="s">
        <v>1497</v>
      </c>
      <c r="D2925" s="1" t="s">
        <v>1497</v>
      </c>
      <c r="E2925" s="6">
        <v>2490.7399999999998</v>
      </c>
      <c r="F2925" s="1" t="s">
        <v>40</v>
      </c>
      <c r="G2925" s="6">
        <f ca="1">IFERROR(__xludf.DUMMYFUNCTION("iferror(GOOGLEFINANCE(TRIM(F2925)&amp;"":"" &amp; TRIM(B2925), ""price""),0
)"),1205)</f>
        <v>1205</v>
      </c>
      <c r="H2925" s="6">
        <v>903.65</v>
      </c>
      <c r="I2925" s="6">
        <f t="shared" ca="1" si="0"/>
        <v>1205</v>
      </c>
      <c r="J2925" s="6">
        <f ca="1">IFERROR(__xludf.DUMMYFUNCTION("IFERROR(GOOGLEFINANCE(B2925, ""volume""), 0)"),275925)</f>
        <v>275925</v>
      </c>
      <c r="K2925" s="6">
        <v>1.89</v>
      </c>
      <c r="L2925" s="6">
        <f ca="1">IFERROR(__xludf.DUMMYFUNCTION("IFERROR(GOOGLEFINANCE(B2925,""changepct""),K2925)"),1.16)</f>
        <v>1.1599999999999999</v>
      </c>
      <c r="M2925" s="6">
        <f ca="1">IFERROR(__xludf.DUMMYFUNCTION("IFERROR(GOOGLEFINANCE(B2925,""change""),0)"),13.8)</f>
        <v>13.8</v>
      </c>
      <c r="N2925" s="6">
        <v>2</v>
      </c>
      <c r="O2925" s="7">
        <v>45536</v>
      </c>
      <c r="P2925" s="6">
        <v>145.47</v>
      </c>
      <c r="Q2925" s="6">
        <v>2628.94</v>
      </c>
      <c r="R2925" s="7">
        <v>45536</v>
      </c>
      <c r="S2925" s="6">
        <v>1842.88</v>
      </c>
      <c r="T2925" s="6">
        <v>50.3</v>
      </c>
      <c r="U2925" s="7">
        <v>45536</v>
      </c>
      <c r="V2925" s="6">
        <v>49.52</v>
      </c>
      <c r="W2925" s="6">
        <f ca="1">IFERROR(__xludf.DUMMYFUNCTION("IFERROR(GOOGLEFINANCE(B2925,""pe""),V2925)"),32.14)</f>
        <v>32.14</v>
      </c>
      <c r="X2925" s="9"/>
      <c r="Y2925" s="6">
        <v>4.38</v>
      </c>
      <c r="Z2925" s="6">
        <v>2</v>
      </c>
      <c r="AA2925" s="8">
        <v>45352</v>
      </c>
      <c r="AB2925" s="4">
        <v>0.3</v>
      </c>
      <c r="AC2925" s="6">
        <v>10.61</v>
      </c>
      <c r="AD2925" s="6">
        <v>14.18</v>
      </c>
      <c r="AE2925" s="1">
        <v>0</v>
      </c>
      <c r="AF2925" s="1">
        <f ca="1">IFERROR(__xludf.DUMMYFUNCTION("IFERROR(GOOGLEFINANCE(TRIM(F2925)&amp;"":"" &amp; TRIM(B2925),""high52""),AE2925)"),1578)</f>
        <v>1578</v>
      </c>
      <c r="AG2925" s="1">
        <v>0</v>
      </c>
      <c r="AH2925" s="1">
        <f ca="1">IFERROR(__xludf.DUMMYFUNCTION("IFERROR(GOOGLEFINANCE(TRIM(F2925)&amp;"":"" &amp; TRIM(B2925),""low52""),AE2925)"),490)</f>
        <v>490</v>
      </c>
      <c r="AI2925" s="1">
        <f ca="1">IFERROR(__xludf.DUMMYFUNCTION("IFERROR(GOOGLEFINANCE(B2925,""eps""),0)"),37.49)</f>
        <v>37.49</v>
      </c>
      <c r="AJ2925" s="1"/>
      <c r="AK2925" s="1" t="s">
        <v>9033</v>
      </c>
      <c r="AL2925" s="9">
        <f t="shared" si="282"/>
        <v>1</v>
      </c>
    </row>
    <row r="2926" spans="1:38" ht="15" x14ac:dyDescent="0.25">
      <c r="A2926" s="1" t="s">
        <v>9034</v>
      </c>
      <c r="B2926" s="1" t="s">
        <v>9035</v>
      </c>
      <c r="C2926" s="1" t="s">
        <v>1118</v>
      </c>
      <c r="D2926" s="1" t="s">
        <v>1118</v>
      </c>
      <c r="E2926" s="6">
        <v>353.48</v>
      </c>
      <c r="F2926" s="1" t="s">
        <v>40</v>
      </c>
      <c r="G2926" s="6">
        <f ca="1">IFERROR(__xludf.DUMMYFUNCTION("iferror(GOOGLEFINANCE(TRIM(F2926)&amp;"":"" &amp; TRIM(B2926), ""price""),0
)"),266.6)</f>
        <v>266.60000000000002</v>
      </c>
      <c r="H2926" s="6">
        <v>413.45</v>
      </c>
      <c r="I2926" s="6">
        <f t="shared" ca="1" si="0"/>
        <v>266.60000000000002</v>
      </c>
      <c r="J2926" s="6">
        <f ca="1">IFERROR(__xludf.DUMMYFUNCTION("IFERROR(GOOGLEFINANCE(B2926, ""volume""), 0)"),12600)</f>
        <v>12600</v>
      </c>
      <c r="K2926" s="6">
        <v>0.57999999999999996</v>
      </c>
      <c r="L2926" s="6">
        <f ca="1">IFERROR(__xludf.DUMMYFUNCTION("IFERROR(GOOGLEFINANCE(B2926,""changepct""),K2926)"),-0.21)</f>
        <v>-0.21</v>
      </c>
      <c r="M2926" s="6">
        <f ca="1">IFERROR(__xludf.DUMMYFUNCTION("IFERROR(GOOGLEFINANCE(B2926,""change""),0)"),-0.55)</f>
        <v>-0.55000000000000004</v>
      </c>
      <c r="N2926" s="6">
        <v>1</v>
      </c>
      <c r="O2926" s="7">
        <v>45536</v>
      </c>
      <c r="P2926" s="9"/>
      <c r="Q2926" s="6">
        <v>336.39</v>
      </c>
      <c r="R2926" s="7">
        <v>45536</v>
      </c>
      <c r="S2926" s="6">
        <v>345.01</v>
      </c>
      <c r="T2926" s="6">
        <v>37.549999999999997</v>
      </c>
      <c r="U2926" s="7">
        <v>45536</v>
      </c>
      <c r="V2926" s="6">
        <v>9.41</v>
      </c>
      <c r="W2926" s="6">
        <f ca="1">IFERROR(__xludf.DUMMYFUNCTION("IFERROR(GOOGLEFINANCE(B2926,""pe""),V2926)"),12.19)</f>
        <v>12.19</v>
      </c>
      <c r="X2926" s="6">
        <v>0.25</v>
      </c>
      <c r="Y2926" s="6">
        <v>0.59</v>
      </c>
      <c r="Z2926" s="6">
        <v>1</v>
      </c>
      <c r="AA2926" s="8">
        <v>45352</v>
      </c>
      <c r="AB2926" s="4">
        <v>0</v>
      </c>
      <c r="AC2926" s="6">
        <v>9.33</v>
      </c>
      <c r="AD2926" s="6">
        <v>10.35</v>
      </c>
      <c r="AE2926" s="1">
        <v>0</v>
      </c>
      <c r="AF2926" s="1">
        <f ca="1">IFERROR(__xludf.DUMMYFUNCTION("IFERROR(GOOGLEFINANCE(TRIM(F2926)&amp;"":"" &amp; TRIM(B2926),""high52""),AE2926)"),368.45)</f>
        <v>368.45</v>
      </c>
      <c r="AG2926" s="1">
        <v>0</v>
      </c>
      <c r="AH2926" s="1">
        <f ca="1">IFERROR(__xludf.DUMMYFUNCTION("IFERROR(GOOGLEFINANCE(TRIM(F2926)&amp;"":"" &amp; TRIM(B2926),""low52""),AE2926)"),253.05)</f>
        <v>253.05</v>
      </c>
      <c r="AI2926" s="1">
        <f ca="1">IFERROR(__xludf.DUMMYFUNCTION("IFERROR(GOOGLEFINANCE(B2926,""eps""),0)"),21.88)</f>
        <v>21.88</v>
      </c>
      <c r="AJ2926" s="1"/>
      <c r="AK2926" s="1" t="s">
        <v>9036</v>
      </c>
      <c r="AL2926" s="9">
        <f t="shared" si="282"/>
        <v>1</v>
      </c>
    </row>
    <row r="2927" spans="1:38" ht="15" x14ac:dyDescent="0.25">
      <c r="A2927" s="1" t="s">
        <v>9037</v>
      </c>
      <c r="B2927" s="1" t="s">
        <v>9038</v>
      </c>
      <c r="C2927" s="1" t="s">
        <v>208</v>
      </c>
      <c r="D2927" s="1" t="s">
        <v>208</v>
      </c>
      <c r="E2927" s="6">
        <v>25000.75</v>
      </c>
      <c r="F2927" s="1" t="s">
        <v>40</v>
      </c>
      <c r="G2927" s="6">
        <f ca="1">IFERROR(__xludf.DUMMYFUNCTION("iferror(GOOGLEFINANCE(TRIM(F2927)&amp;"":"" &amp; TRIM(B2927), ""price""),0
)"),391.1)</f>
        <v>391.1</v>
      </c>
      <c r="H2927" s="6">
        <v>324.05</v>
      </c>
      <c r="I2927" s="6">
        <f t="shared" ca="1" si="0"/>
        <v>391.1</v>
      </c>
      <c r="J2927" s="6">
        <f ca="1">IFERROR(__xludf.DUMMYFUNCTION("IFERROR(GOOGLEFINANCE(B2927, ""volume""), 0)"),1513670)</f>
        <v>1513670</v>
      </c>
      <c r="K2927" s="6">
        <v>0.81</v>
      </c>
      <c r="L2927" s="6">
        <f ca="1">IFERROR(__xludf.DUMMYFUNCTION("IFERROR(GOOGLEFINANCE(B2927,""changepct""),K2927)"),0.31)</f>
        <v>0.31</v>
      </c>
      <c r="M2927" s="6">
        <f ca="1">IFERROR(__xludf.DUMMYFUNCTION("IFERROR(GOOGLEFINANCE(B2927,""change""),0)"),1.2)</f>
        <v>1.2</v>
      </c>
      <c r="N2927" s="6">
        <v>2</v>
      </c>
      <c r="O2927" s="7">
        <v>45536</v>
      </c>
      <c r="P2927" s="6">
        <v>417.44</v>
      </c>
      <c r="Q2927" s="7">
        <v>45536</v>
      </c>
      <c r="R2927" s="6">
        <v>59.89</v>
      </c>
      <c r="S2927" s="6">
        <v>2.13</v>
      </c>
      <c r="T2927" s="6">
        <v>3.1</v>
      </c>
      <c r="U2927" s="6">
        <v>2</v>
      </c>
      <c r="V2927" s="7">
        <v>45352</v>
      </c>
      <c r="W2927" s="6">
        <f ca="1">IFERROR(__xludf.DUMMYFUNCTION("IFERROR(GOOGLEFINANCE(B2927,""pe""),V2927)"),88.49)</f>
        <v>88.49</v>
      </c>
      <c r="X2927" s="6">
        <v>1.86</v>
      </c>
      <c r="Y2927" s="6">
        <v>22.25</v>
      </c>
      <c r="Z2927" s="6">
        <v>14.96</v>
      </c>
      <c r="AA2927" s="3" t="s">
        <v>9039</v>
      </c>
      <c r="AB2927" s="3"/>
      <c r="AC2927" s="9"/>
      <c r="AD2927" s="9"/>
      <c r="AE2927" s="1">
        <v>0</v>
      </c>
      <c r="AF2927" s="1">
        <f ca="1">IFERROR(__xludf.DUMMYFUNCTION("IFERROR(GOOGLEFINANCE(TRIM(F2927)&amp;"":"" &amp; TRIM(B2927),""high52""),AE2927)"),570.4)</f>
        <v>570.4</v>
      </c>
      <c r="AG2927" s="1">
        <v>0</v>
      </c>
      <c r="AH2927" s="1">
        <f ca="1">IFERROR(__xludf.DUMMYFUNCTION("IFERROR(GOOGLEFINANCE(TRIM(F2927)&amp;"":"" &amp; TRIM(B2927),""low52""),AE2927)"),267.2)</f>
        <v>267.2</v>
      </c>
      <c r="AI2927" s="1">
        <f ca="1">IFERROR(__xludf.DUMMYFUNCTION("IFERROR(GOOGLEFINANCE(B2927,""eps""),0)"),4.42)</f>
        <v>4.42</v>
      </c>
      <c r="AJ2927" s="1"/>
      <c r="AK2927" s="9"/>
      <c r="AL2927" s="9">
        <f t="shared" si="282"/>
        <v>1</v>
      </c>
    </row>
    <row r="2928" spans="1:38" ht="15" x14ac:dyDescent="0.25">
      <c r="A2928" s="1" t="s">
        <v>9040</v>
      </c>
      <c r="B2928" s="1" t="s">
        <v>9041</v>
      </c>
      <c r="C2928" s="1" t="s">
        <v>693</v>
      </c>
      <c r="D2928" s="1" t="s">
        <v>693</v>
      </c>
      <c r="E2928" s="6">
        <v>1124.93</v>
      </c>
      <c r="F2928" s="1" t="s">
        <v>40</v>
      </c>
      <c r="G2928" s="6">
        <f ca="1">IFERROR(__xludf.DUMMYFUNCTION("iferror(GOOGLEFINANCE(TRIM(F2928)&amp;"":"" &amp; TRIM(B2928), ""price""),0
)"),108)</f>
        <v>108</v>
      </c>
      <c r="H2928" s="6">
        <v>161.65</v>
      </c>
      <c r="I2928" s="6">
        <f t="shared" ca="1" si="0"/>
        <v>108</v>
      </c>
      <c r="J2928" s="6">
        <f ca="1">IFERROR(__xludf.DUMMYFUNCTION("IFERROR(GOOGLEFINANCE(B2928, ""volume""), 0)"),25518)</f>
        <v>25518</v>
      </c>
      <c r="K2928" s="6">
        <v>1.92</v>
      </c>
      <c r="L2928" s="6">
        <f ca="1">IFERROR(__xludf.DUMMYFUNCTION("IFERROR(GOOGLEFINANCE(B2928,""changepct""),K2928)"),-0.49)</f>
        <v>-0.49</v>
      </c>
      <c r="M2928" s="6">
        <f ca="1">IFERROR(__xludf.DUMMYFUNCTION("IFERROR(GOOGLEFINANCE(B2928,""change""),0)"),-0.53)</f>
        <v>-0.53</v>
      </c>
      <c r="N2928" s="6">
        <v>2</v>
      </c>
      <c r="O2928" s="7">
        <v>45536</v>
      </c>
      <c r="P2928" s="6">
        <v>506.88</v>
      </c>
      <c r="Q2928" s="6">
        <v>1585.27</v>
      </c>
      <c r="R2928" s="7">
        <v>45536</v>
      </c>
      <c r="S2928" s="6">
        <v>5584.73</v>
      </c>
      <c r="T2928" s="6">
        <v>49.05</v>
      </c>
      <c r="U2928" s="7">
        <v>45536</v>
      </c>
      <c r="V2928" s="6">
        <v>22.93</v>
      </c>
      <c r="W2928" s="6">
        <f ca="1">IFERROR(__xludf.DUMMYFUNCTION("IFERROR(GOOGLEFINANCE(B2928,""pe""),V2928)"),22.93)</f>
        <v>22.93</v>
      </c>
      <c r="X2928" s="9"/>
      <c r="Y2928" s="6">
        <v>1.7</v>
      </c>
      <c r="Z2928" s="6">
        <v>2</v>
      </c>
      <c r="AA2928" s="8">
        <v>45352</v>
      </c>
      <c r="AB2928" s="4">
        <v>0.68</v>
      </c>
      <c r="AC2928" s="6">
        <v>15.27</v>
      </c>
      <c r="AD2928" s="6">
        <v>20.5</v>
      </c>
      <c r="AE2928" s="1">
        <v>0</v>
      </c>
      <c r="AF2928" s="1">
        <f ca="1">IFERROR(__xludf.DUMMYFUNCTION("IFERROR(GOOGLEFINANCE(TRIM(F2928)&amp;"":"" &amp; TRIM(B2928),""high52""),AE2928)"),163)</f>
        <v>163</v>
      </c>
      <c r="AG2928" s="1">
        <v>0</v>
      </c>
      <c r="AH2928" s="1">
        <f ca="1">IFERROR(__xludf.DUMMYFUNCTION("IFERROR(GOOGLEFINANCE(TRIM(F2928)&amp;"":"" &amp; TRIM(B2928),""low52""),AE2928)"),86.75)</f>
        <v>86.75</v>
      </c>
      <c r="AI2928" s="1">
        <f ca="1">IFERROR(__xludf.DUMMYFUNCTION("IFERROR(GOOGLEFINANCE(B2928,""eps""),0)"),-4.41)</f>
        <v>-4.41</v>
      </c>
      <c r="AJ2928" s="1"/>
      <c r="AK2928" s="1" t="s">
        <v>9042</v>
      </c>
      <c r="AL2928" s="1" t="b">
        <f>ISNUMBER(AA2928)</f>
        <v>1</v>
      </c>
    </row>
    <row r="2929" spans="1:38" ht="15" x14ac:dyDescent="0.25">
      <c r="A2929" s="1" t="s">
        <v>9043</v>
      </c>
      <c r="B2929" s="1" t="s">
        <v>9044</v>
      </c>
      <c r="C2929" s="1" t="s">
        <v>483</v>
      </c>
      <c r="D2929" s="1" t="s">
        <v>483</v>
      </c>
      <c r="E2929" s="6">
        <v>47.25</v>
      </c>
      <c r="F2929" s="1" t="s">
        <v>53</v>
      </c>
      <c r="G2929" s="6">
        <f ca="1">IFERROR(__xludf.DUMMYFUNCTION("iferror(GOOGLEFINANCE(TRIM(F2929)&amp;"":"" &amp; TRIM(B2929), ""price""),0
)"),0)</f>
        <v>0</v>
      </c>
      <c r="H2929" s="6">
        <v>174.95</v>
      </c>
      <c r="I2929" s="6">
        <f t="shared" ca="1" si="0"/>
        <v>174.95</v>
      </c>
      <c r="J2929" s="6">
        <f ca="1">IFERROR(__xludf.DUMMYFUNCTION("IFERROR(GOOGLEFINANCE(B2929, ""volume""), 0)"),0)</f>
        <v>0</v>
      </c>
      <c r="K2929" s="6">
        <v>-1.99</v>
      </c>
      <c r="L2929" s="6">
        <f ca="1">IFERROR(__xludf.DUMMYFUNCTION("IFERROR(GOOGLEFINANCE(B2929,""changepct""),K2929)"),-1.99)</f>
        <v>-1.99</v>
      </c>
      <c r="M2929" s="6">
        <f ca="1">IFERROR(__xludf.DUMMYFUNCTION("IFERROR(GOOGLEFINANCE(B2929,""change""),0)"),0)</f>
        <v>0</v>
      </c>
      <c r="N2929" s="6">
        <v>1</v>
      </c>
      <c r="O2929" s="7">
        <v>45352</v>
      </c>
      <c r="P2929" s="6">
        <v>2.89</v>
      </c>
      <c r="Q2929" s="6">
        <v>48.25</v>
      </c>
      <c r="R2929" s="7">
        <v>45352</v>
      </c>
      <c r="S2929" s="6">
        <v>10.72</v>
      </c>
      <c r="T2929" s="6">
        <v>0.65</v>
      </c>
      <c r="U2929" s="7">
        <v>45352</v>
      </c>
      <c r="V2929" s="6">
        <v>72.459999999999994</v>
      </c>
      <c r="W2929" s="6">
        <f ca="1">IFERROR(__xludf.DUMMYFUNCTION("IFERROR(GOOGLEFINANCE(B2929,""pe""),V2929)"),72.46)</f>
        <v>72.459999999999994</v>
      </c>
      <c r="X2929" s="9"/>
      <c r="Y2929" s="6">
        <v>4.47</v>
      </c>
      <c r="Z2929" s="6">
        <v>1</v>
      </c>
      <c r="AA2929" s="8">
        <v>45352</v>
      </c>
      <c r="AB2929" s="4">
        <v>0.27</v>
      </c>
      <c r="AC2929" s="6">
        <v>6.16</v>
      </c>
      <c r="AD2929" s="6">
        <v>6.66</v>
      </c>
      <c r="AE2929" s="1">
        <v>0</v>
      </c>
      <c r="AF2929" s="1">
        <f ca="1">IFERROR(__xludf.DUMMYFUNCTION("IFERROR(GOOGLEFINANCE(TRIM(F2929)&amp;"":"" &amp; TRIM(B2929),""high52""),AE2929)"),0)</f>
        <v>0</v>
      </c>
      <c r="AG2929" s="1">
        <v>0</v>
      </c>
      <c r="AH2929" s="1">
        <f ca="1">IFERROR(__xludf.DUMMYFUNCTION("IFERROR(GOOGLEFINANCE(TRIM(F2929)&amp;"":"" &amp; TRIM(B2929),""low52""),AE2929)"),0)</f>
        <v>0</v>
      </c>
      <c r="AI2929" s="1">
        <f ca="1">IFERROR(__xludf.DUMMYFUNCTION("IFERROR(GOOGLEFINANCE(B2929,""eps""),0)"),0)</f>
        <v>0</v>
      </c>
      <c r="AJ2929" s="1"/>
      <c r="AK2929" s="1" t="s">
        <v>9045</v>
      </c>
      <c r="AL2929" s="9">
        <f t="shared" ref="AL2929:AL2941" si="283">IF(AA2929&lt;&gt;AB2929,1,0)</f>
        <v>1</v>
      </c>
    </row>
    <row r="2930" spans="1:38" ht="15" x14ac:dyDescent="0.25">
      <c r="A2930" s="1" t="s">
        <v>9046</v>
      </c>
      <c r="B2930" s="1" t="s">
        <v>9047</v>
      </c>
      <c r="C2930" s="1" t="s">
        <v>483</v>
      </c>
      <c r="D2930" s="1" t="s">
        <v>483</v>
      </c>
      <c r="E2930" s="6">
        <v>334.8</v>
      </c>
      <c r="F2930" s="1" t="s">
        <v>53</v>
      </c>
      <c r="G2930" s="6">
        <f ca="1">IFERROR(__xludf.DUMMYFUNCTION("iferror(GOOGLEFINANCE(TRIM(F2930)&amp;"":"" &amp; TRIM(B2930), ""price""),0
)"),0)</f>
        <v>0</v>
      </c>
      <c r="H2930" s="6">
        <v>319.10000000000002</v>
      </c>
      <c r="I2930" s="6">
        <f t="shared" ca="1" si="0"/>
        <v>319.10000000000002</v>
      </c>
      <c r="J2930" s="6">
        <f ca="1">IFERROR(__xludf.DUMMYFUNCTION("IFERROR(GOOGLEFINANCE(B2930, ""volume""), 0)"),0)</f>
        <v>0</v>
      </c>
      <c r="K2930" s="12"/>
      <c r="L2930" s="6" t="str">
        <f ca="1">IFERROR(__xludf.DUMMYFUNCTION("IFERROR(GOOGLEFINANCE(B2930,""changepct""),K2930)"),"")</f>
        <v/>
      </c>
      <c r="M2930" s="6">
        <f ca="1">IFERROR(__xludf.DUMMYFUNCTION("IFERROR(GOOGLEFINANCE(B2930,""change""),0)"),0)</f>
        <v>0</v>
      </c>
      <c r="N2930" s="6">
        <v>1</v>
      </c>
      <c r="O2930" s="7">
        <v>45536</v>
      </c>
      <c r="P2930" s="6">
        <v>9.64</v>
      </c>
      <c r="Q2930" s="6">
        <v>344.44</v>
      </c>
      <c r="R2930" s="7">
        <v>45352</v>
      </c>
      <c r="S2930" s="6">
        <v>34.58</v>
      </c>
      <c r="T2930" s="6">
        <v>1.32</v>
      </c>
      <c r="U2930" s="7">
        <v>45352</v>
      </c>
      <c r="V2930" s="6">
        <v>252.57</v>
      </c>
      <c r="W2930" s="6">
        <f ca="1">IFERROR(__xludf.DUMMYFUNCTION("IFERROR(GOOGLEFINANCE(B2930,""pe""),V2930)"),252.57)</f>
        <v>252.57</v>
      </c>
      <c r="X2930" s="9"/>
      <c r="Y2930" s="6">
        <v>21.9</v>
      </c>
      <c r="Z2930" s="6">
        <v>1</v>
      </c>
      <c r="AA2930" s="8">
        <v>45352</v>
      </c>
      <c r="AB2930" s="4">
        <v>0.38</v>
      </c>
      <c r="AC2930" s="6">
        <v>14.14</v>
      </c>
      <c r="AD2930" s="6">
        <v>16</v>
      </c>
      <c r="AE2930" s="1">
        <v>0</v>
      </c>
      <c r="AF2930" s="1">
        <f ca="1">IFERROR(__xludf.DUMMYFUNCTION("IFERROR(GOOGLEFINANCE(TRIM(F2930)&amp;"":"" &amp; TRIM(B2930),""high52""),AE2930)"),0)</f>
        <v>0</v>
      </c>
      <c r="AG2930" s="1">
        <v>0</v>
      </c>
      <c r="AH2930" s="1">
        <f ca="1">IFERROR(__xludf.DUMMYFUNCTION("IFERROR(GOOGLEFINANCE(TRIM(F2930)&amp;"":"" &amp; TRIM(B2930),""low52""),AE2930)"),0)</f>
        <v>0</v>
      </c>
      <c r="AI2930" s="1">
        <f ca="1">IFERROR(__xludf.DUMMYFUNCTION("IFERROR(GOOGLEFINANCE(B2930,""eps""),0)"),0)</f>
        <v>0</v>
      </c>
      <c r="AJ2930" s="1"/>
      <c r="AK2930" s="1" t="s">
        <v>9048</v>
      </c>
      <c r="AL2930" s="9">
        <f t="shared" si="283"/>
        <v>1</v>
      </c>
    </row>
    <row r="2931" spans="1:38" ht="15" x14ac:dyDescent="0.25">
      <c r="A2931" s="1" t="s">
        <v>9049</v>
      </c>
      <c r="B2931" s="1" t="s">
        <v>9050</v>
      </c>
      <c r="C2931" s="1" t="s">
        <v>483</v>
      </c>
      <c r="D2931" s="1" t="s">
        <v>483</v>
      </c>
      <c r="E2931" s="6">
        <v>99.58</v>
      </c>
      <c r="F2931" s="1" t="s">
        <v>53</v>
      </c>
      <c r="G2931" s="6">
        <f ca="1">IFERROR(__xludf.DUMMYFUNCTION("iferror(GOOGLEFINANCE(TRIM(F2931)&amp;"":"" &amp; TRIM(B2931), ""price""),0
)"),0)</f>
        <v>0</v>
      </c>
      <c r="H2931" s="6">
        <v>179</v>
      </c>
      <c r="I2931" s="6">
        <f t="shared" ca="1" si="0"/>
        <v>179</v>
      </c>
      <c r="J2931" s="6">
        <f ca="1">IFERROR(__xludf.DUMMYFUNCTION("IFERROR(GOOGLEFINANCE(B2931, ""volume""), 0)"),0)</f>
        <v>0</v>
      </c>
      <c r="K2931" s="6">
        <v>0.14000000000000001</v>
      </c>
      <c r="L2931" s="6">
        <f ca="1">IFERROR(__xludf.DUMMYFUNCTION("IFERROR(GOOGLEFINANCE(B2931,""changepct""),K2931)"),0.14)</f>
        <v>0.14000000000000001</v>
      </c>
      <c r="M2931" s="6">
        <f ca="1">IFERROR(__xludf.DUMMYFUNCTION("IFERROR(GOOGLEFINANCE(B2931,""change""),0)"),0)</f>
        <v>0</v>
      </c>
      <c r="N2931" s="6">
        <v>1</v>
      </c>
      <c r="O2931" s="7">
        <v>45536</v>
      </c>
      <c r="P2931" s="6">
        <v>2.39</v>
      </c>
      <c r="Q2931" s="6">
        <v>101.97</v>
      </c>
      <c r="R2931" s="7">
        <v>45352</v>
      </c>
      <c r="S2931" s="6">
        <v>5.8</v>
      </c>
      <c r="T2931" s="6">
        <v>0.74</v>
      </c>
      <c r="U2931" s="7">
        <v>45352</v>
      </c>
      <c r="V2931" s="6">
        <v>135.44999999999999</v>
      </c>
      <c r="W2931" s="6">
        <f ca="1">IFERROR(__xludf.DUMMYFUNCTION("IFERROR(GOOGLEFINANCE(B2931,""pe""),V2931)"),135.45)</f>
        <v>135.44999999999999</v>
      </c>
      <c r="X2931" s="9"/>
      <c r="Y2931" s="6">
        <v>6.53</v>
      </c>
      <c r="Z2931" s="6">
        <v>1</v>
      </c>
      <c r="AA2931" s="8">
        <v>45352</v>
      </c>
      <c r="AB2931" s="4">
        <v>0.15</v>
      </c>
      <c r="AC2931" s="6">
        <v>4.9400000000000004</v>
      </c>
      <c r="AD2931" s="6">
        <v>6.17</v>
      </c>
      <c r="AE2931" s="1">
        <v>0</v>
      </c>
      <c r="AF2931" s="1">
        <f ca="1">IFERROR(__xludf.DUMMYFUNCTION("IFERROR(GOOGLEFINANCE(TRIM(F2931)&amp;"":"" &amp; TRIM(B2931),""high52""),AE2931)"),0)</f>
        <v>0</v>
      </c>
      <c r="AG2931" s="1">
        <v>0</v>
      </c>
      <c r="AH2931" s="1">
        <f ca="1">IFERROR(__xludf.DUMMYFUNCTION("IFERROR(GOOGLEFINANCE(TRIM(F2931)&amp;"":"" &amp; TRIM(B2931),""low52""),AE2931)"),0)</f>
        <v>0</v>
      </c>
      <c r="AI2931" s="1">
        <f ca="1">IFERROR(__xludf.DUMMYFUNCTION("IFERROR(GOOGLEFINANCE(B2931,""eps""),0)"),0)</f>
        <v>0</v>
      </c>
      <c r="AJ2931" s="1"/>
      <c r="AK2931" s="1" t="s">
        <v>9051</v>
      </c>
      <c r="AL2931" s="9">
        <f t="shared" si="283"/>
        <v>1</v>
      </c>
    </row>
    <row r="2932" spans="1:38" ht="15" x14ac:dyDescent="0.25">
      <c r="A2932" s="1" t="s">
        <v>9052</v>
      </c>
      <c r="B2932" s="1" t="s">
        <v>9053</v>
      </c>
      <c r="C2932" s="1" t="s">
        <v>227</v>
      </c>
      <c r="D2932" s="1" t="s">
        <v>227</v>
      </c>
      <c r="E2932" s="6">
        <v>240.82</v>
      </c>
      <c r="F2932" s="1" t="s">
        <v>40</v>
      </c>
      <c r="G2932" s="6">
        <f ca="1">IFERROR(__xludf.DUMMYFUNCTION("iferror(GOOGLEFINANCE(TRIM(F2932)&amp;"":"" &amp; TRIM(B2932), ""price""),0
)"),0)</f>
        <v>0</v>
      </c>
      <c r="H2932" s="6">
        <v>323</v>
      </c>
      <c r="I2932" s="6">
        <f t="shared" ca="1" si="0"/>
        <v>323</v>
      </c>
      <c r="J2932" s="6">
        <f ca="1">IFERROR(__xludf.DUMMYFUNCTION("IFERROR(GOOGLEFINANCE(B2932, ""volume""), 0)"),0)</f>
        <v>0</v>
      </c>
      <c r="K2932" s="6">
        <v>1.94</v>
      </c>
      <c r="L2932" s="6">
        <f ca="1">IFERROR(__xludf.DUMMYFUNCTION("IFERROR(GOOGLEFINANCE(B2932,""changepct""),K2932)"),1.94)</f>
        <v>1.94</v>
      </c>
      <c r="M2932" s="6">
        <f ca="1">IFERROR(__xludf.DUMMYFUNCTION("IFERROR(GOOGLEFINANCE(B2932,""change""),0)"),0)</f>
        <v>0</v>
      </c>
      <c r="N2932" s="6">
        <v>1</v>
      </c>
      <c r="O2932" s="7">
        <v>45536</v>
      </c>
      <c r="P2932" s="6">
        <v>6.31</v>
      </c>
      <c r="Q2932" s="6">
        <v>247.13</v>
      </c>
      <c r="R2932" s="14"/>
      <c r="S2932" s="9"/>
      <c r="T2932" s="9"/>
      <c r="U2932" s="6">
        <v>0</v>
      </c>
      <c r="V2932" s="9"/>
      <c r="W2932" s="6" t="str">
        <f ca="1">IFERROR(__xludf.DUMMYFUNCTION("IFERROR(GOOGLEFINANCE(B2932,""pe""),V2932)"),"")</f>
        <v/>
      </c>
      <c r="X2932" s="9"/>
      <c r="Y2932" s="6">
        <v>31.68</v>
      </c>
      <c r="Z2932" s="6">
        <v>2</v>
      </c>
      <c r="AA2932" s="8">
        <v>45352</v>
      </c>
      <c r="AB2932" s="4">
        <v>0.69</v>
      </c>
      <c r="AC2932" s="6">
        <v>85.48</v>
      </c>
      <c r="AD2932" s="6">
        <v>65.17</v>
      </c>
      <c r="AE2932" s="1">
        <v>0</v>
      </c>
      <c r="AF2932" s="1">
        <f ca="1">IFERROR(__xludf.DUMMYFUNCTION("IFERROR(GOOGLEFINANCE(TRIM(F2932)&amp;"":"" &amp; TRIM(B2932),""high52""),AE2932)"),0)</f>
        <v>0</v>
      </c>
      <c r="AG2932" s="1">
        <v>0</v>
      </c>
      <c r="AH2932" s="1">
        <f ca="1">IFERROR(__xludf.DUMMYFUNCTION("IFERROR(GOOGLEFINANCE(TRIM(F2932)&amp;"":"" &amp; TRIM(B2932),""low52""),AE2932)"),0)</f>
        <v>0</v>
      </c>
      <c r="AI2932" s="1">
        <f ca="1">IFERROR(__xludf.DUMMYFUNCTION("IFERROR(GOOGLEFINANCE(B2932,""eps""),0)"),0)</f>
        <v>0</v>
      </c>
      <c r="AJ2932" s="1"/>
      <c r="AK2932" s="1" t="s">
        <v>9054</v>
      </c>
      <c r="AL2932" s="9">
        <f t="shared" si="283"/>
        <v>1</v>
      </c>
    </row>
    <row r="2933" spans="1:38" ht="15" x14ac:dyDescent="0.25">
      <c r="A2933" s="1" t="s">
        <v>9055</v>
      </c>
      <c r="B2933" s="1" t="s">
        <v>9056</v>
      </c>
      <c r="C2933" s="1" t="s">
        <v>86</v>
      </c>
      <c r="D2933" s="1" t="s">
        <v>86</v>
      </c>
      <c r="E2933" s="6">
        <v>514.33000000000004</v>
      </c>
      <c r="F2933" s="1" t="s">
        <v>40</v>
      </c>
      <c r="G2933" s="6">
        <f ca="1">IFERROR(__xludf.DUMMYFUNCTION("iferror(GOOGLEFINANCE(TRIM(F2933)&amp;"":"" &amp; TRIM(B2933), ""price""),0
)"),102)</f>
        <v>102</v>
      </c>
      <c r="H2933" s="6">
        <v>318.39999999999998</v>
      </c>
      <c r="I2933" s="6">
        <f t="shared" ca="1" si="0"/>
        <v>102</v>
      </c>
      <c r="J2933" s="6">
        <f ca="1">IFERROR(__xludf.DUMMYFUNCTION("IFERROR(GOOGLEFINANCE(B2933, ""volume""), 0)"),22820)</f>
        <v>22820</v>
      </c>
      <c r="K2933" s="6">
        <v>-0.81</v>
      </c>
      <c r="L2933" s="6">
        <f ca="1">IFERROR(__xludf.DUMMYFUNCTION("IFERROR(GOOGLEFINANCE(B2933,""changepct""),K2933)"),-2.04)</f>
        <v>-2.04</v>
      </c>
      <c r="M2933" s="6">
        <f ca="1">IFERROR(__xludf.DUMMYFUNCTION("IFERROR(GOOGLEFINANCE(B2933,""change""),0)"),-2.12)</f>
        <v>-2.12</v>
      </c>
      <c r="N2933" s="6">
        <v>2</v>
      </c>
      <c r="O2933" s="7">
        <v>45536</v>
      </c>
      <c r="P2933" s="6">
        <v>16.86</v>
      </c>
      <c r="Q2933" s="6">
        <v>531.19000000000005</v>
      </c>
      <c r="R2933" s="7">
        <v>45536</v>
      </c>
      <c r="S2933" s="6">
        <v>134.74</v>
      </c>
      <c r="T2933" s="6">
        <v>9.26</v>
      </c>
      <c r="U2933" s="7">
        <v>45536</v>
      </c>
      <c r="V2933" s="6">
        <v>55.56</v>
      </c>
      <c r="W2933" s="6">
        <f ca="1">IFERROR(__xludf.DUMMYFUNCTION("IFERROR(GOOGLEFINANCE(B2933,""pe""),V2933)"),13.24)</f>
        <v>13.24</v>
      </c>
      <c r="X2933" s="9"/>
      <c r="Y2933" s="6">
        <v>5.34</v>
      </c>
      <c r="Z2933" s="6">
        <v>2</v>
      </c>
      <c r="AA2933" s="8">
        <v>45352</v>
      </c>
      <c r="AB2933" s="4">
        <v>0.28000000000000003</v>
      </c>
      <c r="AC2933" s="6">
        <v>12.38</v>
      </c>
      <c r="AD2933" s="6">
        <v>17.059999999999999</v>
      </c>
      <c r="AE2933" s="1">
        <v>0</v>
      </c>
      <c r="AF2933" s="1">
        <f ca="1">IFERROR(__xludf.DUMMYFUNCTION("IFERROR(GOOGLEFINANCE(TRIM(F2933)&amp;"":"" &amp; TRIM(B2933),""high52""),AE2933)"),289.45)</f>
        <v>289.45</v>
      </c>
      <c r="AG2933" s="1">
        <v>0</v>
      </c>
      <c r="AH2933" s="1">
        <f ca="1">IFERROR(__xludf.DUMMYFUNCTION("IFERROR(GOOGLEFINANCE(TRIM(F2933)&amp;"":"" &amp; TRIM(B2933),""low52""),AE2933)"),97.85)</f>
        <v>97.85</v>
      </c>
      <c r="AI2933" s="1">
        <f ca="1">IFERROR(__xludf.DUMMYFUNCTION("IFERROR(GOOGLEFINANCE(B2933,""eps""),0)"),7.71)</f>
        <v>7.71</v>
      </c>
      <c r="AJ2933" s="1"/>
      <c r="AK2933" s="1" t="s">
        <v>9057</v>
      </c>
      <c r="AL2933" s="9">
        <f t="shared" si="283"/>
        <v>1</v>
      </c>
    </row>
    <row r="2934" spans="1:38" ht="15" x14ac:dyDescent="0.25">
      <c r="A2934" s="1" t="s">
        <v>9058</v>
      </c>
      <c r="B2934" s="1" t="s">
        <v>9059</v>
      </c>
      <c r="C2934" s="1" t="s">
        <v>483</v>
      </c>
      <c r="D2934" s="1" t="s">
        <v>483</v>
      </c>
      <c r="E2934" s="6">
        <v>31.69</v>
      </c>
      <c r="F2934" s="1" t="s">
        <v>53</v>
      </c>
      <c r="G2934" s="6">
        <f ca="1">IFERROR(__xludf.DUMMYFUNCTION("iferror(GOOGLEFINANCE(TRIM(F2934)&amp;"":"" &amp; TRIM(B2934), ""price""),0
)"),0)</f>
        <v>0</v>
      </c>
      <c r="H2934" s="6">
        <v>28.67</v>
      </c>
      <c r="I2934" s="6">
        <f t="shared" ca="1" si="0"/>
        <v>28.67</v>
      </c>
      <c r="J2934" s="6">
        <f ca="1">IFERROR(__xludf.DUMMYFUNCTION("IFERROR(GOOGLEFINANCE(B2934, ""volume""), 0)"),0)</f>
        <v>0</v>
      </c>
      <c r="K2934" s="6">
        <v>0</v>
      </c>
      <c r="L2934" s="6">
        <f ca="1">IFERROR(__xludf.DUMMYFUNCTION("IFERROR(GOOGLEFINANCE(B2934,""changepct""),K2934)"),0)</f>
        <v>0</v>
      </c>
      <c r="M2934" s="6">
        <f ca="1">IFERROR(__xludf.DUMMYFUNCTION("IFERROR(GOOGLEFINANCE(B2934,""change""),0)"),0)</f>
        <v>0</v>
      </c>
      <c r="N2934" s="6">
        <v>2</v>
      </c>
      <c r="O2934" s="7">
        <v>45536</v>
      </c>
      <c r="P2934" s="6">
        <v>15.64</v>
      </c>
      <c r="Q2934" s="6">
        <v>47.33</v>
      </c>
      <c r="R2934" s="7">
        <v>45536</v>
      </c>
      <c r="S2934" s="6">
        <v>28.94</v>
      </c>
      <c r="T2934" s="6">
        <v>4.42</v>
      </c>
      <c r="U2934" s="7">
        <v>45536</v>
      </c>
      <c r="V2934" s="6">
        <v>7.16</v>
      </c>
      <c r="W2934" s="6">
        <f ca="1">IFERROR(__xludf.DUMMYFUNCTION("IFERROR(GOOGLEFINANCE(B2934,""pe""),V2934)"),7.16)</f>
        <v>7.16</v>
      </c>
      <c r="X2934" s="6">
        <v>0.37</v>
      </c>
      <c r="Y2934" s="6">
        <v>1.1100000000000001</v>
      </c>
      <c r="Z2934" s="6">
        <v>2</v>
      </c>
      <c r="AA2934" s="8">
        <v>45352</v>
      </c>
      <c r="AB2934" s="4">
        <v>0.56000000000000005</v>
      </c>
      <c r="AC2934" s="6">
        <v>17.23</v>
      </c>
      <c r="AD2934" s="6">
        <v>18.39</v>
      </c>
      <c r="AE2934" s="1">
        <v>0</v>
      </c>
      <c r="AF2934" s="1">
        <f ca="1">IFERROR(__xludf.DUMMYFUNCTION("IFERROR(GOOGLEFINANCE(TRIM(F2934)&amp;"":"" &amp; TRIM(B2934),""high52""),AE2934)"),0)</f>
        <v>0</v>
      </c>
      <c r="AG2934" s="1">
        <v>0</v>
      </c>
      <c r="AH2934" s="1">
        <f ca="1">IFERROR(__xludf.DUMMYFUNCTION("IFERROR(GOOGLEFINANCE(TRIM(F2934)&amp;"":"" &amp; TRIM(B2934),""low52""),AE2934)"),0)</f>
        <v>0</v>
      </c>
      <c r="AI2934" s="1">
        <f ca="1">IFERROR(__xludf.DUMMYFUNCTION("IFERROR(GOOGLEFINANCE(B2934,""eps""),0)"),0)</f>
        <v>0</v>
      </c>
      <c r="AJ2934" s="1"/>
      <c r="AK2934" s="1" t="s">
        <v>9060</v>
      </c>
      <c r="AL2934" s="9">
        <f t="shared" si="283"/>
        <v>1</v>
      </c>
    </row>
    <row r="2935" spans="1:38" ht="15" x14ac:dyDescent="0.25">
      <c r="A2935" s="1" t="s">
        <v>9061</v>
      </c>
      <c r="B2935" s="1" t="s">
        <v>9062</v>
      </c>
      <c r="C2935" s="1" t="s">
        <v>4298</v>
      </c>
      <c r="D2935" s="1" t="s">
        <v>4298</v>
      </c>
      <c r="E2935" s="6">
        <v>151590.20000000001</v>
      </c>
      <c r="F2935" s="1" t="s">
        <v>40</v>
      </c>
      <c r="G2935" s="6">
        <f ca="1">IFERROR(__xludf.DUMMYFUNCTION("iferror(GOOGLEFINANCE(TRIM(F2935)&amp;"":"" &amp; TRIM(B2935), ""price""),0
)"),386.3)</f>
        <v>386.3</v>
      </c>
      <c r="H2935" s="6">
        <v>463.25</v>
      </c>
      <c r="I2935" s="6">
        <f t="shared" ca="1" si="0"/>
        <v>386.3</v>
      </c>
      <c r="J2935" s="6">
        <f ca="1">IFERROR(__xludf.DUMMYFUNCTION("IFERROR(GOOGLEFINANCE(B2935, ""volume""), 0)"),14731376)</f>
        <v>14731376</v>
      </c>
      <c r="K2935" s="6">
        <v>0.85</v>
      </c>
      <c r="L2935" s="6">
        <f ca="1">IFERROR(__xludf.DUMMYFUNCTION("IFERROR(GOOGLEFINANCE(B2935,""changepct""),K2935)"),1.26)</f>
        <v>1.26</v>
      </c>
      <c r="M2935" s="6">
        <f ca="1">IFERROR(__xludf.DUMMYFUNCTION("IFERROR(GOOGLEFINANCE(B2935,""change""),0)"),4.8)</f>
        <v>4.8</v>
      </c>
      <c r="N2935" s="6">
        <v>2</v>
      </c>
      <c r="O2935" s="7">
        <v>45536</v>
      </c>
      <c r="P2935" s="6">
        <v>28248.01</v>
      </c>
      <c r="Q2935" s="7">
        <v>45536</v>
      </c>
      <c r="R2935" s="6">
        <v>7.15</v>
      </c>
      <c r="S2935" s="6">
        <v>0.48</v>
      </c>
      <c r="T2935" s="6">
        <v>1.38</v>
      </c>
      <c r="U2935" s="6">
        <v>2</v>
      </c>
      <c r="V2935" s="7">
        <v>45352</v>
      </c>
      <c r="W2935" s="6">
        <f ca="1">IFERROR(__xludf.DUMMYFUNCTION("IFERROR(GOOGLEFINANCE(B2935,""pe""),V2935)"),5.15)</f>
        <v>5.15</v>
      </c>
      <c r="X2935" s="6">
        <v>8.33</v>
      </c>
      <c r="Y2935" s="6">
        <v>28.56</v>
      </c>
      <c r="Z2935" s="6">
        <v>10.39</v>
      </c>
      <c r="AA2935" s="3" t="s">
        <v>9063</v>
      </c>
      <c r="AB2935" s="11"/>
      <c r="AC2935" s="12"/>
      <c r="AD2935" s="12"/>
      <c r="AE2935" s="1">
        <v>0</v>
      </c>
      <c r="AF2935" s="1">
        <f ca="1">IFERROR(__xludf.DUMMYFUNCTION("IFERROR(GOOGLEFINANCE(TRIM(F2935)&amp;"":"" &amp; TRIM(B2935),""high52""),AE2935)"),444.1)</f>
        <v>444.1</v>
      </c>
      <c r="AG2935" s="1">
        <v>0</v>
      </c>
      <c r="AH2935" s="1">
        <f ca="1">IFERROR(__xludf.DUMMYFUNCTION("IFERROR(GOOGLEFINANCE(TRIM(F2935)&amp;"":"" &amp; TRIM(B2935),""low52""),AE2935)"),329.9)</f>
        <v>329.9</v>
      </c>
      <c r="AI2935" s="1">
        <f ca="1">IFERROR(__xludf.DUMMYFUNCTION("IFERROR(GOOGLEFINANCE(B2935,""eps""),0)"),75.01)</f>
        <v>75.010000000000005</v>
      </c>
      <c r="AJ2935" s="1"/>
      <c r="AK2935" s="1" t="s">
        <v>9064</v>
      </c>
      <c r="AL2935" s="9">
        <f t="shared" si="283"/>
        <v>1</v>
      </c>
    </row>
    <row r="2936" spans="1:38" ht="15" x14ac:dyDescent="0.25">
      <c r="A2936" s="1" t="s">
        <v>9065</v>
      </c>
      <c r="B2936" s="1" t="s">
        <v>9066</v>
      </c>
      <c r="C2936" s="1" t="s">
        <v>483</v>
      </c>
      <c r="D2936" s="1" t="s">
        <v>483</v>
      </c>
      <c r="E2936" s="6">
        <v>17.84</v>
      </c>
      <c r="F2936" s="1" t="s">
        <v>53</v>
      </c>
      <c r="G2936" s="6">
        <f ca="1">IFERROR(__xludf.DUMMYFUNCTION("iferror(GOOGLEFINANCE(TRIM(F2936)&amp;"":"" &amp; TRIM(B2936), ""price""),0
)"),0)</f>
        <v>0</v>
      </c>
      <c r="H2936" s="6">
        <v>8.3699999999999992</v>
      </c>
      <c r="I2936" s="6">
        <f t="shared" ca="1" si="0"/>
        <v>8.3699999999999992</v>
      </c>
      <c r="J2936" s="6">
        <f ca="1">IFERROR(__xludf.DUMMYFUNCTION("IFERROR(GOOGLEFINANCE(B2936, ""volume""), 0)"),219357)</f>
        <v>219357</v>
      </c>
      <c r="K2936" s="6">
        <v>3.21</v>
      </c>
      <c r="L2936" s="6">
        <f ca="1">IFERROR(__xludf.DUMMYFUNCTION("IFERROR(GOOGLEFINANCE(B2936,""changepct""),K2936)"),-1.87)</f>
        <v>-1.87</v>
      </c>
      <c r="M2936" s="6">
        <f ca="1">IFERROR(__xludf.DUMMYFUNCTION("IFERROR(GOOGLEFINANCE(B2936,""change""),0)"),-3.4)</f>
        <v>-3.4</v>
      </c>
      <c r="N2936" s="6">
        <v>1</v>
      </c>
      <c r="O2936" s="7">
        <v>45536</v>
      </c>
      <c r="P2936" s="6">
        <v>2.16</v>
      </c>
      <c r="Q2936" s="6">
        <v>20.010000000000002</v>
      </c>
      <c r="R2936" s="7">
        <v>45536</v>
      </c>
      <c r="S2936" s="6">
        <v>25.6</v>
      </c>
      <c r="T2936" s="6">
        <v>-1.54</v>
      </c>
      <c r="U2936" s="7">
        <v>45536</v>
      </c>
      <c r="V2936" s="6">
        <v>0</v>
      </c>
      <c r="W2936" s="6">
        <f ca="1">IFERROR(__xludf.DUMMYFUNCTION("IFERROR(GOOGLEFINANCE(B2936,""pe""),V2936)"),0)</f>
        <v>0</v>
      </c>
      <c r="X2936" s="9"/>
      <c r="Y2936" s="6">
        <v>0.81</v>
      </c>
      <c r="Z2936" s="6">
        <v>1</v>
      </c>
      <c r="AA2936" s="8">
        <v>45352</v>
      </c>
      <c r="AB2936" s="4">
        <v>0.13</v>
      </c>
      <c r="AC2936" s="6">
        <v>-7.91</v>
      </c>
      <c r="AD2936" s="6">
        <v>-5.63</v>
      </c>
      <c r="AE2936" s="1">
        <v>0</v>
      </c>
      <c r="AF2936" s="1">
        <f ca="1">IFERROR(__xludf.DUMMYFUNCTION("IFERROR(GOOGLEFINANCE(TRIM(F2936)&amp;"":"" &amp; TRIM(B2936),""high52""),AE2936)"),0)</f>
        <v>0</v>
      </c>
      <c r="AG2936" s="1">
        <v>0</v>
      </c>
      <c r="AH2936" s="1">
        <f ca="1">IFERROR(__xludf.DUMMYFUNCTION("IFERROR(GOOGLEFINANCE(TRIM(F2936)&amp;"":"" &amp; TRIM(B2936),""low52""),AE2936)"),0)</f>
        <v>0</v>
      </c>
      <c r="AI2936" s="1">
        <f ca="1">IFERROR(__xludf.DUMMYFUNCTION("IFERROR(GOOGLEFINANCE(B2936,""eps""),0)"),0)</f>
        <v>0</v>
      </c>
      <c r="AJ2936" s="1"/>
      <c r="AK2936" s="1" t="s">
        <v>9067</v>
      </c>
      <c r="AL2936" s="9">
        <f t="shared" si="283"/>
        <v>1</v>
      </c>
    </row>
    <row r="2937" spans="1:38" ht="15" x14ac:dyDescent="0.25">
      <c r="A2937" s="1" t="s">
        <v>9068</v>
      </c>
      <c r="B2937" s="1" t="s">
        <v>9069</v>
      </c>
      <c r="C2937" s="1" t="s">
        <v>483</v>
      </c>
      <c r="D2937" s="1" t="s">
        <v>483</v>
      </c>
      <c r="E2937" s="6">
        <v>166.45</v>
      </c>
      <c r="F2937" s="1" t="s">
        <v>53</v>
      </c>
      <c r="G2937" s="6">
        <f ca="1">IFERROR(__xludf.DUMMYFUNCTION("iferror(GOOGLEFINANCE(TRIM(F2937)&amp;"":"" &amp; TRIM(B2937), ""price""),0
)"),0)</f>
        <v>0</v>
      </c>
      <c r="H2937" s="6">
        <v>1805.1</v>
      </c>
      <c r="I2937" s="6">
        <f t="shared" ca="1" si="0"/>
        <v>1805.1</v>
      </c>
      <c r="J2937" s="6">
        <f ca="1">IFERROR(__xludf.DUMMYFUNCTION("IFERROR(GOOGLEFINANCE(B2937, ""volume""), 0)"),0)</f>
        <v>0</v>
      </c>
      <c r="K2937" s="9"/>
      <c r="L2937" s="6" t="str">
        <f ca="1">IFERROR(__xludf.DUMMYFUNCTION("IFERROR(GOOGLEFINANCE(B2937,""changepct""),K2937)"),"")</f>
        <v/>
      </c>
      <c r="M2937" s="6">
        <f ca="1">IFERROR(__xludf.DUMMYFUNCTION("IFERROR(GOOGLEFINANCE(B2937,""change""),0)"),0)</f>
        <v>0</v>
      </c>
      <c r="N2937" s="6">
        <v>1</v>
      </c>
      <c r="O2937" s="7">
        <v>45536</v>
      </c>
      <c r="P2937" s="6">
        <v>1.18</v>
      </c>
      <c r="Q2937" s="6">
        <v>154.08000000000001</v>
      </c>
      <c r="R2937" s="7">
        <v>45536</v>
      </c>
      <c r="S2937" s="6">
        <v>221.7</v>
      </c>
      <c r="T2937" s="6">
        <v>2.95</v>
      </c>
      <c r="U2937" s="7">
        <v>45536</v>
      </c>
      <c r="V2937" s="6">
        <v>56.37</v>
      </c>
      <c r="W2937" s="6">
        <f ca="1">IFERROR(__xludf.DUMMYFUNCTION("IFERROR(GOOGLEFINANCE(B2937,""pe""),V2937)"),56.37)</f>
        <v>56.37</v>
      </c>
      <c r="X2937" s="6">
        <v>46.2</v>
      </c>
      <c r="Y2937" s="6">
        <v>1.91</v>
      </c>
      <c r="Z2937" s="6">
        <v>1</v>
      </c>
      <c r="AA2937" s="17">
        <v>45352</v>
      </c>
      <c r="AB2937" s="18">
        <v>0</v>
      </c>
      <c r="AC2937" s="6">
        <v>4.41</v>
      </c>
      <c r="AD2937" s="6">
        <v>6.33</v>
      </c>
      <c r="AE2937" s="1">
        <v>0</v>
      </c>
      <c r="AF2937" s="1">
        <f ca="1">IFERROR(__xludf.DUMMYFUNCTION("IFERROR(GOOGLEFINANCE(TRIM(F2937)&amp;"":"" &amp; TRIM(B2937),""high52""),AE2937)"),0)</f>
        <v>0</v>
      </c>
      <c r="AG2937" s="1">
        <v>0</v>
      </c>
      <c r="AH2937" s="1">
        <f ca="1">IFERROR(__xludf.DUMMYFUNCTION("IFERROR(GOOGLEFINANCE(TRIM(F2937)&amp;"":"" &amp; TRIM(B2937),""low52""),AE2937)"),0)</f>
        <v>0</v>
      </c>
      <c r="AI2937" s="1">
        <f ca="1">IFERROR(__xludf.DUMMYFUNCTION("IFERROR(GOOGLEFINANCE(B2937,""eps""),0)"),0)</f>
        <v>0</v>
      </c>
      <c r="AJ2937" s="1"/>
      <c r="AK2937" s="1" t="s">
        <v>9070</v>
      </c>
      <c r="AL2937" s="9">
        <f t="shared" si="283"/>
        <v>1</v>
      </c>
    </row>
    <row r="2938" spans="1:38" ht="15" x14ac:dyDescent="0.25">
      <c r="A2938" s="1" t="s">
        <v>9071</v>
      </c>
      <c r="B2938" s="1" t="s">
        <v>9072</v>
      </c>
      <c r="C2938" s="1" t="s">
        <v>268</v>
      </c>
      <c r="D2938" s="1" t="s">
        <v>268</v>
      </c>
      <c r="E2938" s="6">
        <v>293341</v>
      </c>
      <c r="F2938" s="1" t="s">
        <v>40</v>
      </c>
      <c r="G2938" s="6">
        <f ca="1">IFERROR(__xludf.DUMMYFUNCTION("iferror(GOOGLEFINANCE(TRIM(F2938)&amp;"":"" &amp; TRIM(B2938), ""price""),0
)"),270)</f>
        <v>270</v>
      </c>
      <c r="H2938" s="6">
        <v>315.25</v>
      </c>
      <c r="I2938" s="6">
        <f t="shared" ca="1" si="0"/>
        <v>270</v>
      </c>
      <c r="J2938" s="6">
        <f ca="1">IFERROR(__xludf.DUMMYFUNCTION("IFERROR(GOOGLEFINANCE(B2938, ""volume""), 0)"),37109237)</f>
        <v>37109237</v>
      </c>
      <c r="K2938" s="6">
        <v>0.03</v>
      </c>
      <c r="L2938" s="6">
        <f ca="1">IFERROR(__xludf.DUMMYFUNCTION("IFERROR(GOOGLEFINANCE(B2938,""changepct""),K2938)"),7.42)</f>
        <v>7.42</v>
      </c>
      <c r="M2938" s="6">
        <f ca="1">IFERROR(__xludf.DUMMYFUNCTION("IFERROR(GOOGLEFINANCE(B2938,""change""),0)"),18.65)</f>
        <v>18.649999999999999</v>
      </c>
      <c r="N2938" s="6">
        <v>2</v>
      </c>
      <c r="O2938" s="7">
        <v>45536</v>
      </c>
      <c r="P2938" s="6">
        <v>122499.3</v>
      </c>
      <c r="Q2938" s="6">
        <v>406884.9</v>
      </c>
      <c r="R2938" s="7">
        <v>45536</v>
      </c>
      <c r="S2938" s="6">
        <v>45811.839999999997</v>
      </c>
      <c r="T2938" s="6">
        <v>15645.46</v>
      </c>
      <c r="U2938" s="7">
        <v>45536</v>
      </c>
      <c r="V2938" s="6">
        <v>18.809999999999999</v>
      </c>
      <c r="W2938" s="6">
        <f ca="1">IFERROR(__xludf.DUMMYFUNCTION("IFERROR(GOOGLEFINANCE(B2938,""pe""),V2938)"),16.51)</f>
        <v>16.510000000000002</v>
      </c>
      <c r="X2938" s="6">
        <v>2.0499999999999998</v>
      </c>
      <c r="Y2938" s="6">
        <v>3.19</v>
      </c>
      <c r="Z2938" s="6">
        <v>2</v>
      </c>
      <c r="AA2938" s="8">
        <v>45352</v>
      </c>
      <c r="AB2938" s="4">
        <v>1.42</v>
      </c>
      <c r="AC2938" s="6">
        <v>18.3</v>
      </c>
      <c r="AD2938" s="6">
        <v>12.93</v>
      </c>
      <c r="AE2938" s="1">
        <v>0</v>
      </c>
      <c r="AF2938" s="1">
        <f ca="1">IFERROR(__xludf.DUMMYFUNCTION("IFERROR(GOOGLEFINANCE(TRIM(F2938)&amp;"":"" &amp; TRIM(B2938),""high52""),AE2938)"),322)</f>
        <v>322</v>
      </c>
      <c r="AG2938" s="1">
        <v>0</v>
      </c>
      <c r="AH2938" s="1">
        <f ca="1">IFERROR(__xludf.DUMMYFUNCTION("IFERROR(GOOGLEFINANCE(TRIM(F2938)&amp;"":"" &amp; TRIM(B2938),""low52""),AE2938)"),247.3)</f>
        <v>247.3</v>
      </c>
      <c r="AI2938" s="1">
        <f ca="1">IFERROR(__xludf.DUMMYFUNCTION("IFERROR(GOOGLEFINANCE(B2938,""eps""),0)"),16.35)</f>
        <v>16.350000000000001</v>
      </c>
      <c r="AJ2938" s="1"/>
      <c r="AK2938" s="1" t="s">
        <v>9073</v>
      </c>
      <c r="AL2938" s="9">
        <f t="shared" si="283"/>
        <v>1</v>
      </c>
    </row>
    <row r="2939" spans="1:38" ht="15" x14ac:dyDescent="0.25">
      <c r="A2939" s="1" t="s">
        <v>9074</v>
      </c>
      <c r="B2939" s="1" t="s">
        <v>9075</v>
      </c>
      <c r="C2939" s="1" t="s">
        <v>86</v>
      </c>
      <c r="D2939" s="1" t="s">
        <v>86</v>
      </c>
      <c r="E2939" s="6">
        <v>8937.2900000000009</v>
      </c>
      <c r="F2939" s="1" t="s">
        <v>40</v>
      </c>
      <c r="G2939" s="6">
        <f ca="1">IFERROR(__xludf.DUMMYFUNCTION("iferror(GOOGLEFINANCE(TRIM(F2939)&amp;"":"" &amp; TRIM(B2939), ""price""),0
)"),1965)</f>
        <v>1965</v>
      </c>
      <c r="H2939" s="6">
        <v>2850.85</v>
      </c>
      <c r="I2939" s="6">
        <f t="shared" ca="1" si="0"/>
        <v>1965</v>
      </c>
      <c r="J2939" s="6">
        <f ca="1">IFERROR(__xludf.DUMMYFUNCTION("IFERROR(GOOGLEFINANCE(B2939, ""volume""), 0)"),66021)</f>
        <v>66021</v>
      </c>
      <c r="K2939" s="6">
        <v>0.96</v>
      </c>
      <c r="L2939" s="6">
        <f ca="1">IFERROR(__xludf.DUMMYFUNCTION("IFERROR(GOOGLEFINANCE(B2939,""changepct""),K2939)"),-2.37)</f>
        <v>-2.37</v>
      </c>
      <c r="M2939" s="6">
        <f ca="1">IFERROR(__xludf.DUMMYFUNCTION("IFERROR(GOOGLEFINANCE(B2939,""change""),0)"),-47.6)</f>
        <v>-47.6</v>
      </c>
      <c r="N2939" s="6">
        <v>2</v>
      </c>
      <c r="O2939" s="7">
        <v>45536</v>
      </c>
      <c r="P2939" s="6">
        <v>656.04</v>
      </c>
      <c r="Q2939" s="6">
        <v>9106.81</v>
      </c>
      <c r="R2939" s="7">
        <v>45536</v>
      </c>
      <c r="S2939" s="6">
        <v>4451.91</v>
      </c>
      <c r="T2939" s="6">
        <v>280.39999999999998</v>
      </c>
      <c r="U2939" s="7">
        <v>45536</v>
      </c>
      <c r="V2939" s="6">
        <v>32.71</v>
      </c>
      <c r="W2939" s="6">
        <f ca="1">IFERROR(__xludf.DUMMYFUNCTION("IFERROR(GOOGLEFINANCE(B2939,""pe""),V2939)"),19.02)</f>
        <v>19.02</v>
      </c>
      <c r="X2939" s="6">
        <v>2.13</v>
      </c>
      <c r="Y2939" s="6">
        <v>4.53</v>
      </c>
      <c r="Z2939" s="6">
        <v>2</v>
      </c>
      <c r="AA2939" s="8">
        <v>45352</v>
      </c>
      <c r="AB2939" s="4">
        <v>0.21</v>
      </c>
      <c r="AC2939" s="6">
        <v>15.96</v>
      </c>
      <c r="AD2939" s="6">
        <v>23.93</v>
      </c>
      <c r="AE2939" s="1">
        <v>0</v>
      </c>
      <c r="AF2939" s="1">
        <f ca="1">IFERROR(__xludf.DUMMYFUNCTION("IFERROR(GOOGLEFINANCE(TRIM(F2939)&amp;"":"" &amp; TRIM(B2939),""high52""),AE2939)"),3415)</f>
        <v>3415</v>
      </c>
      <c r="AG2939" s="1">
        <v>0</v>
      </c>
      <c r="AH2939" s="1">
        <f ca="1">IFERROR(__xludf.DUMMYFUNCTION("IFERROR(GOOGLEFINANCE(TRIM(F2939)&amp;"":"" &amp; TRIM(B2939),""low52""),AE2939)"),1700)</f>
        <v>1700</v>
      </c>
      <c r="AI2939" s="1">
        <f ca="1">IFERROR(__xludf.DUMMYFUNCTION("IFERROR(GOOGLEFINANCE(B2939,""eps""),0)"),103.33)</f>
        <v>103.33</v>
      </c>
      <c r="AJ2939" s="1"/>
      <c r="AK2939" s="1" t="s">
        <v>9076</v>
      </c>
      <c r="AL2939" s="9">
        <f t="shared" si="283"/>
        <v>1</v>
      </c>
    </row>
    <row r="2940" spans="1:38" ht="15" x14ac:dyDescent="0.25">
      <c r="A2940" s="1" t="s">
        <v>9077</v>
      </c>
      <c r="B2940" s="1" t="s">
        <v>9078</v>
      </c>
      <c r="C2940" s="1" t="s">
        <v>483</v>
      </c>
      <c r="D2940" s="1" t="s">
        <v>483</v>
      </c>
      <c r="E2940" s="6">
        <v>17.920000000000002</v>
      </c>
      <c r="F2940" s="1" t="s">
        <v>53</v>
      </c>
      <c r="G2940" s="6">
        <f ca="1">IFERROR(__xludf.DUMMYFUNCTION("iferror(GOOGLEFINANCE(TRIM(F2940)&amp;"":"" &amp; TRIM(B2940), ""price""),0
)"),0)</f>
        <v>0</v>
      </c>
      <c r="H2940" s="6">
        <v>108</v>
      </c>
      <c r="I2940" s="6">
        <f t="shared" ca="1" si="0"/>
        <v>108</v>
      </c>
      <c r="J2940" s="6">
        <f ca="1">IFERROR(__xludf.DUMMYFUNCTION("IFERROR(GOOGLEFINANCE(B2940, ""volume""), 0)"),0)</f>
        <v>0</v>
      </c>
      <c r="K2940" s="6">
        <v>4.8499999999999996</v>
      </c>
      <c r="L2940" s="6">
        <f ca="1">IFERROR(__xludf.DUMMYFUNCTION("IFERROR(GOOGLEFINANCE(B2940,""changepct""),K2940)"),4.85)</f>
        <v>4.8499999999999996</v>
      </c>
      <c r="M2940" s="6">
        <f ca="1">IFERROR(__xludf.DUMMYFUNCTION("IFERROR(GOOGLEFINANCE(B2940,""change""),0)"),0)</f>
        <v>0</v>
      </c>
      <c r="N2940" s="6">
        <v>1</v>
      </c>
      <c r="O2940" s="7">
        <v>45536</v>
      </c>
      <c r="P2940" s="9"/>
      <c r="Q2940" s="6">
        <v>17.920000000000002</v>
      </c>
      <c r="R2940" s="7">
        <v>45536</v>
      </c>
      <c r="S2940" s="6">
        <v>24.52</v>
      </c>
      <c r="T2940" s="6">
        <v>0.46</v>
      </c>
      <c r="U2940" s="7">
        <v>45536</v>
      </c>
      <c r="V2940" s="6">
        <v>38.54</v>
      </c>
      <c r="W2940" s="6">
        <f ca="1">IFERROR(__xludf.DUMMYFUNCTION("IFERROR(GOOGLEFINANCE(B2940,""pe""),V2940)"),38.54)</f>
        <v>38.54</v>
      </c>
      <c r="X2940" s="6">
        <v>-2.99</v>
      </c>
      <c r="Y2940" s="6">
        <v>2.82</v>
      </c>
      <c r="Z2940" s="6">
        <v>1</v>
      </c>
      <c r="AA2940" s="8">
        <v>45352</v>
      </c>
      <c r="AB2940" s="4">
        <v>0.01</v>
      </c>
      <c r="AC2940" s="6">
        <v>3.68</v>
      </c>
      <c r="AD2940" s="6">
        <v>11.51</v>
      </c>
      <c r="AE2940" s="1">
        <v>0</v>
      </c>
      <c r="AF2940" s="1">
        <f ca="1">IFERROR(__xludf.DUMMYFUNCTION("IFERROR(GOOGLEFINANCE(TRIM(F2940)&amp;"":"" &amp; TRIM(B2940),""high52""),AE2940)"),0)</f>
        <v>0</v>
      </c>
      <c r="AG2940" s="1">
        <v>0</v>
      </c>
      <c r="AH2940" s="1">
        <f ca="1">IFERROR(__xludf.DUMMYFUNCTION("IFERROR(GOOGLEFINANCE(TRIM(F2940)&amp;"":"" &amp; TRIM(B2940),""low52""),AE2940)"),0)</f>
        <v>0</v>
      </c>
      <c r="AI2940" s="1">
        <f ca="1">IFERROR(__xludf.DUMMYFUNCTION("IFERROR(GOOGLEFINANCE(B2940,""eps""),0)"),0)</f>
        <v>0</v>
      </c>
      <c r="AJ2940" s="1"/>
      <c r="AK2940" s="1" t="s">
        <v>9079</v>
      </c>
      <c r="AL2940" s="9">
        <f t="shared" si="283"/>
        <v>1</v>
      </c>
    </row>
    <row r="2941" spans="1:38" ht="15" x14ac:dyDescent="0.25">
      <c r="A2941" s="1" t="s">
        <v>9080</v>
      </c>
      <c r="B2941" s="1" t="s">
        <v>9081</v>
      </c>
      <c r="C2941" s="1" t="s">
        <v>43</v>
      </c>
      <c r="D2941" s="1" t="s">
        <v>43</v>
      </c>
      <c r="E2941" s="6">
        <v>0</v>
      </c>
      <c r="F2941" s="1" t="s">
        <v>40</v>
      </c>
      <c r="G2941" s="6">
        <f ca="1">IFERROR(__xludf.DUMMYFUNCTION("iferror(GOOGLEFINANCE(TRIM(F2941)&amp;"":"" &amp; TRIM(B2941), ""price""),0
)"),0)</f>
        <v>0</v>
      </c>
      <c r="H2941" s="6">
        <v>85.94</v>
      </c>
      <c r="I2941" s="6">
        <f t="shared" ca="1" si="0"/>
        <v>85.94</v>
      </c>
      <c r="J2941" s="6">
        <f ca="1">IFERROR(__xludf.DUMMYFUNCTION("IFERROR(GOOGLEFINANCE(B2941, ""volume""), 0)"),0)</f>
        <v>0</v>
      </c>
      <c r="K2941" s="6">
        <v>-0.32</v>
      </c>
      <c r="L2941" s="6">
        <f ca="1">IFERROR(__xludf.DUMMYFUNCTION("IFERROR(GOOGLEFINANCE(B2941,""changepct""),K2941)"),-0.32)</f>
        <v>-0.32</v>
      </c>
      <c r="M2941" s="6">
        <f ca="1">IFERROR(__xludf.DUMMYFUNCTION("IFERROR(GOOGLEFINANCE(B2941,""change""),0)"),0)</f>
        <v>0</v>
      </c>
      <c r="N2941" s="6">
        <v>1</v>
      </c>
      <c r="O2941" s="14"/>
      <c r="P2941" s="12"/>
      <c r="Q2941" s="7">
        <v>45352</v>
      </c>
      <c r="R2941" s="14"/>
      <c r="S2941" s="9"/>
      <c r="T2941" s="9"/>
      <c r="U2941" s="6">
        <v>2</v>
      </c>
      <c r="V2941" s="7">
        <v>45352</v>
      </c>
      <c r="W2941" s="10">
        <f ca="1">IFERROR(__xludf.DUMMYFUNCTION("IFERROR(GOOGLEFINANCE(B2941,""pe""),V2941)"),45352)</f>
        <v>45352</v>
      </c>
      <c r="X2941" s="6">
        <v>0.08</v>
      </c>
      <c r="Y2941" s="6">
        <v>12.88</v>
      </c>
      <c r="Z2941" s="6">
        <v>13.94</v>
      </c>
      <c r="AA2941" s="3" t="s">
        <v>9082</v>
      </c>
      <c r="AB2941" s="11"/>
      <c r="AC2941" s="9"/>
      <c r="AD2941" s="9"/>
      <c r="AE2941" s="1">
        <v>0</v>
      </c>
      <c r="AF2941" s="1">
        <f ca="1">IFERROR(__xludf.DUMMYFUNCTION("IFERROR(GOOGLEFINANCE(TRIM(F2941)&amp;"":"" &amp; TRIM(B2941),""high52""),AE2941)"),0)</f>
        <v>0</v>
      </c>
      <c r="AG2941" s="1">
        <v>0</v>
      </c>
      <c r="AH2941" s="1">
        <f ca="1">IFERROR(__xludf.DUMMYFUNCTION("IFERROR(GOOGLEFINANCE(TRIM(F2941)&amp;"":"" &amp; TRIM(B2941),""low52""),AE2941)"),0)</f>
        <v>0</v>
      </c>
      <c r="AI2941" s="1">
        <f ca="1">IFERROR(__xludf.DUMMYFUNCTION("IFERROR(GOOGLEFINANCE(B2941,""eps""),0)"),0)</f>
        <v>0</v>
      </c>
      <c r="AJ2941" s="1"/>
      <c r="AK2941" s="1" t="s">
        <v>9083</v>
      </c>
      <c r="AL2941" s="9">
        <f t="shared" si="283"/>
        <v>1</v>
      </c>
    </row>
    <row r="2942" spans="1:38" ht="15" x14ac:dyDescent="0.25">
      <c r="A2942" s="1" t="s">
        <v>9084</v>
      </c>
      <c r="B2942" s="1" t="s">
        <v>9085</v>
      </c>
      <c r="C2942" s="1" t="s">
        <v>355</v>
      </c>
      <c r="D2942" s="1" t="s">
        <v>355</v>
      </c>
      <c r="E2942" s="6">
        <v>323.43</v>
      </c>
      <c r="F2942" s="1" t="s">
        <v>40</v>
      </c>
      <c r="G2942" s="6">
        <f ca="1">IFERROR(__xludf.DUMMYFUNCTION("iferror(GOOGLEFINANCE(TRIM(F2942)&amp;"":"" &amp; TRIM(B2942), ""price""),0
)"),184)</f>
        <v>184</v>
      </c>
      <c r="H2942" s="6">
        <v>230.82</v>
      </c>
      <c r="I2942" s="6">
        <f t="shared" ca="1" si="0"/>
        <v>184</v>
      </c>
      <c r="J2942" s="6">
        <f ca="1">IFERROR(__xludf.DUMMYFUNCTION("IFERROR(GOOGLEFINANCE(B2942, ""volume""), 0)"),36374)</f>
        <v>36374</v>
      </c>
      <c r="K2942" s="6">
        <v>0.46</v>
      </c>
      <c r="L2942" s="6">
        <f ca="1">IFERROR(__xludf.DUMMYFUNCTION("IFERROR(GOOGLEFINANCE(B2942,""changepct""),K2942)"),-4.29)</f>
        <v>-4.29</v>
      </c>
      <c r="M2942" s="6">
        <f ca="1">IFERROR(__xludf.DUMMYFUNCTION("IFERROR(GOOGLEFINANCE(B2942,""change""),0)"),-8.24)</f>
        <v>-8.24</v>
      </c>
      <c r="N2942" s="6">
        <v>2</v>
      </c>
      <c r="O2942" s="7">
        <v>45536</v>
      </c>
      <c r="P2942" s="6">
        <v>154.46</v>
      </c>
      <c r="Q2942" s="6">
        <v>476.46</v>
      </c>
      <c r="R2942" s="7">
        <v>45536</v>
      </c>
      <c r="S2942" s="6">
        <v>525.6</v>
      </c>
      <c r="T2942" s="6">
        <v>-6.52</v>
      </c>
      <c r="U2942" s="7">
        <v>45536</v>
      </c>
      <c r="V2942" s="6">
        <v>0</v>
      </c>
      <c r="W2942" s="6">
        <f ca="1">IFERROR(__xludf.DUMMYFUNCTION("IFERROR(GOOGLEFINANCE(B2942,""pe""),V2942)"),152.91)</f>
        <v>152.91</v>
      </c>
      <c r="X2942" s="9"/>
      <c r="Y2942" s="6">
        <v>1.1399999999999999</v>
      </c>
      <c r="Z2942" s="6">
        <v>2</v>
      </c>
      <c r="AA2942" s="8">
        <v>45352</v>
      </c>
      <c r="AB2942" s="4">
        <v>0.56999999999999995</v>
      </c>
      <c r="AC2942" s="6">
        <v>-4.53</v>
      </c>
      <c r="AD2942" s="6">
        <v>1.55</v>
      </c>
      <c r="AE2942" s="1">
        <v>0</v>
      </c>
      <c r="AF2942" s="1">
        <f ca="1">IFERROR(__xludf.DUMMYFUNCTION("IFERROR(GOOGLEFINANCE(TRIM(F2942)&amp;"":"" &amp; TRIM(B2942),""high52""),AE2942)"),294.79)</f>
        <v>294.79000000000002</v>
      </c>
      <c r="AG2942" s="1">
        <v>0</v>
      </c>
      <c r="AH2942" s="1">
        <f ca="1">IFERROR(__xludf.DUMMYFUNCTION("IFERROR(GOOGLEFINANCE(TRIM(F2942)&amp;"":"" &amp; TRIM(B2942),""low52""),AE2942)"),154.05)</f>
        <v>154.05000000000001</v>
      </c>
      <c r="AI2942" s="1">
        <f ca="1">IFERROR(__xludf.DUMMYFUNCTION("IFERROR(GOOGLEFINANCE(B2942,""eps""),0)"),1.2)</f>
        <v>1.2</v>
      </c>
      <c r="AJ2942" s="1"/>
      <c r="AK2942" s="1" t="s">
        <v>9086</v>
      </c>
      <c r="AL2942" s="1" t="b">
        <f>ISNUMBER(AA2942)</f>
        <v>1</v>
      </c>
    </row>
    <row r="2943" spans="1:38" ht="15" x14ac:dyDescent="0.25">
      <c r="A2943" s="1" t="s">
        <v>9087</v>
      </c>
      <c r="B2943" s="1" t="s">
        <v>9088</v>
      </c>
      <c r="C2943" s="1" t="s">
        <v>416</v>
      </c>
      <c r="D2943" s="1" t="s">
        <v>416</v>
      </c>
      <c r="E2943" s="6">
        <v>15426.51</v>
      </c>
      <c r="F2943" s="1" t="s">
        <v>40</v>
      </c>
      <c r="G2943" s="6">
        <f ca="1">IFERROR(__xludf.DUMMYFUNCTION("iferror(GOOGLEFINANCE(TRIM(F2943)&amp;"":"" &amp; TRIM(B2943), ""price""),0
)"),280)</f>
        <v>280</v>
      </c>
      <c r="H2943" s="6">
        <v>834.45</v>
      </c>
      <c r="I2943" s="6">
        <f t="shared" ca="1" si="0"/>
        <v>280</v>
      </c>
      <c r="J2943" s="6">
        <f ca="1">IFERROR(__xludf.DUMMYFUNCTION("IFERROR(GOOGLEFINANCE(B2943, ""volume""), 0)"),707907)</f>
        <v>707907</v>
      </c>
      <c r="K2943" s="6">
        <v>-0.44</v>
      </c>
      <c r="L2943" s="6">
        <f ca="1">IFERROR(__xludf.DUMMYFUNCTION("IFERROR(GOOGLEFINANCE(B2943,""changepct""),K2943)"),-1.94)</f>
        <v>-1.94</v>
      </c>
      <c r="M2943" s="6">
        <f ca="1">IFERROR(__xludf.DUMMYFUNCTION("IFERROR(GOOGLEFINANCE(B2943,""change""),0)"),-5.55)</f>
        <v>-5.55</v>
      </c>
      <c r="N2943" s="6">
        <v>2</v>
      </c>
      <c r="O2943" s="7">
        <v>45536</v>
      </c>
      <c r="P2943" s="9"/>
      <c r="Q2943" s="6">
        <v>15257.24</v>
      </c>
      <c r="R2943" s="7">
        <v>45536</v>
      </c>
      <c r="S2943" s="6">
        <v>3362.52</v>
      </c>
      <c r="T2943" s="6">
        <v>300.36</v>
      </c>
      <c r="U2943" s="7">
        <v>45536</v>
      </c>
      <c r="V2943" s="6">
        <v>51.36</v>
      </c>
      <c r="W2943" s="6">
        <f ca="1">IFERROR(__xludf.DUMMYFUNCTION("IFERROR(GOOGLEFINANCE(B2943,""pe""),V2943)"),48.8)</f>
        <v>48.8</v>
      </c>
      <c r="X2943" s="6">
        <v>1.56</v>
      </c>
      <c r="Y2943" s="6">
        <v>11.87</v>
      </c>
      <c r="Z2943" s="6">
        <v>2</v>
      </c>
      <c r="AA2943" s="8">
        <v>45352</v>
      </c>
      <c r="AB2943" s="4">
        <v>0</v>
      </c>
      <c r="AC2943" s="6">
        <v>24.12</v>
      </c>
      <c r="AD2943" s="6">
        <v>32.92</v>
      </c>
      <c r="AE2943" s="1">
        <v>0</v>
      </c>
      <c r="AF2943" s="1">
        <f ca="1">IFERROR(__xludf.DUMMYFUNCTION("IFERROR(GOOGLEFINANCE(TRIM(F2943)&amp;"":"" &amp; TRIM(B2943),""high52""),AE2943)"),639.9)</f>
        <v>639.9</v>
      </c>
      <c r="AG2943" s="1">
        <v>0</v>
      </c>
      <c r="AH2943" s="1">
        <f ca="1">IFERROR(__xludf.DUMMYFUNCTION("IFERROR(GOOGLEFINANCE(TRIM(F2943)&amp;"":"" &amp; TRIM(B2943),""low52""),AE2943)"),273)</f>
        <v>273</v>
      </c>
      <c r="AI2943" s="1">
        <f ca="1">IFERROR(__xludf.DUMMYFUNCTION("IFERROR(GOOGLEFINANCE(B2943,""eps""),0)"),5.74)</f>
        <v>5.74</v>
      </c>
      <c r="AJ2943" s="1"/>
      <c r="AK2943" s="1" t="s">
        <v>9089</v>
      </c>
      <c r="AL2943" s="9">
        <f t="shared" ref="AL2943:AL2953" si="284">IF(AA2943&lt;&gt;AB2943,1,0)</f>
        <v>1</v>
      </c>
    </row>
    <row r="2944" spans="1:38" ht="15" x14ac:dyDescent="0.25">
      <c r="A2944" s="1" t="s">
        <v>9090</v>
      </c>
      <c r="B2944" s="1" t="s">
        <v>9091</v>
      </c>
      <c r="C2944" s="1" t="s">
        <v>487</v>
      </c>
      <c r="D2944" s="1" t="s">
        <v>487</v>
      </c>
      <c r="E2944" s="6">
        <v>221.77</v>
      </c>
      <c r="F2944" s="1" t="s">
        <v>40</v>
      </c>
      <c r="G2944" s="6">
        <f ca="1">IFERROR(__xludf.DUMMYFUNCTION("iferror(GOOGLEFINANCE(TRIM(F2944)&amp;"":"" &amp; TRIM(B2944), ""price""),0
)"),22.3)</f>
        <v>22.3</v>
      </c>
      <c r="H2944" s="6">
        <v>32.299999999999997</v>
      </c>
      <c r="I2944" s="6">
        <f t="shared" ca="1" si="0"/>
        <v>22.3</v>
      </c>
      <c r="J2944" s="6">
        <f ca="1">IFERROR(__xludf.DUMMYFUNCTION("IFERROR(GOOGLEFINANCE(B2944, ""volume""), 0)"),23442)</f>
        <v>23442</v>
      </c>
      <c r="K2944" s="6">
        <v>1.83</v>
      </c>
      <c r="L2944" s="6">
        <f ca="1">IFERROR(__xludf.DUMMYFUNCTION("IFERROR(GOOGLEFINANCE(B2944,""changepct""),K2944)"),0.13)</f>
        <v>0.13</v>
      </c>
      <c r="M2944" s="6">
        <f ca="1">IFERROR(__xludf.DUMMYFUNCTION("IFERROR(GOOGLEFINANCE(B2944,""change""),0)"),0.03)</f>
        <v>0.03</v>
      </c>
      <c r="N2944" s="6">
        <v>2</v>
      </c>
      <c r="O2944" s="7">
        <v>45536</v>
      </c>
      <c r="P2944" s="6">
        <v>172.15</v>
      </c>
      <c r="Q2944" s="6">
        <v>393.92</v>
      </c>
      <c r="R2944" s="7">
        <v>45536</v>
      </c>
      <c r="S2944" s="6">
        <v>77.56</v>
      </c>
      <c r="T2944" s="6">
        <v>-40.950000000000003</v>
      </c>
      <c r="U2944" s="7">
        <v>45536</v>
      </c>
      <c r="V2944" s="6">
        <v>0</v>
      </c>
      <c r="W2944" s="6">
        <f ca="1">IFERROR(__xludf.DUMMYFUNCTION("IFERROR(GOOGLEFINANCE(B2944,""pe""),V2944)"),0)</f>
        <v>0</v>
      </c>
      <c r="X2944" s="12"/>
      <c r="Y2944" s="6">
        <v>0.44</v>
      </c>
      <c r="Z2944" s="6">
        <v>2</v>
      </c>
      <c r="AA2944" s="8">
        <v>45352</v>
      </c>
      <c r="AB2944" s="4">
        <v>0.35</v>
      </c>
      <c r="AC2944" s="6">
        <v>-7.43</v>
      </c>
      <c r="AD2944" s="6">
        <v>-5.17</v>
      </c>
      <c r="AE2944" s="1">
        <v>0</v>
      </c>
      <c r="AF2944" s="1">
        <f ca="1">IFERROR(__xludf.DUMMYFUNCTION("IFERROR(GOOGLEFINANCE(TRIM(F2944)&amp;"":"" &amp; TRIM(B2944),""high52""),AE2944)"),33.88)</f>
        <v>33.880000000000003</v>
      </c>
      <c r="AG2944" s="1">
        <v>0</v>
      </c>
      <c r="AH2944" s="1">
        <f ca="1">IFERROR(__xludf.DUMMYFUNCTION("IFERROR(GOOGLEFINANCE(TRIM(F2944)&amp;"":"" &amp; TRIM(B2944),""low52""),AE2944)"),17.12)</f>
        <v>17.12</v>
      </c>
      <c r="AI2944" s="1">
        <f ca="1">IFERROR(__xludf.DUMMYFUNCTION("IFERROR(GOOGLEFINANCE(B2944,""eps""),0)"),-3.44)</f>
        <v>-3.44</v>
      </c>
      <c r="AJ2944" s="1"/>
      <c r="AK2944" s="1" t="s">
        <v>9092</v>
      </c>
      <c r="AL2944" s="9">
        <f t="shared" si="284"/>
        <v>1</v>
      </c>
    </row>
    <row r="2945" spans="1:38" ht="15" x14ac:dyDescent="0.25">
      <c r="A2945" s="1" t="s">
        <v>9093</v>
      </c>
      <c r="B2945" s="1" t="s">
        <v>9094</v>
      </c>
      <c r="C2945" s="1" t="s">
        <v>219</v>
      </c>
      <c r="D2945" s="1" t="s">
        <v>219</v>
      </c>
      <c r="E2945" s="6">
        <v>2825.91</v>
      </c>
      <c r="F2945" s="1" t="s">
        <v>40</v>
      </c>
      <c r="G2945" s="6">
        <f ca="1">IFERROR(__xludf.DUMMYFUNCTION("iferror(GOOGLEFINANCE(TRIM(F2945)&amp;"":"" &amp; TRIM(B2945), ""price""),0
)"),119.05)</f>
        <v>119.05</v>
      </c>
      <c r="H2945" s="6">
        <v>158.41999999999999</v>
      </c>
      <c r="I2945" s="6">
        <f t="shared" ca="1" si="0"/>
        <v>119.05</v>
      </c>
      <c r="J2945" s="6">
        <f ca="1">IFERROR(__xludf.DUMMYFUNCTION("IFERROR(GOOGLEFINANCE(B2945, ""volume""), 0)"),359252)</f>
        <v>359252</v>
      </c>
      <c r="K2945" s="6">
        <v>0.32</v>
      </c>
      <c r="L2945" s="6">
        <f ca="1">IFERROR(__xludf.DUMMYFUNCTION("IFERROR(GOOGLEFINANCE(B2945,""changepct""),K2945)"),-0.26)</f>
        <v>-0.26</v>
      </c>
      <c r="M2945" s="6">
        <f ca="1">IFERROR(__xludf.DUMMYFUNCTION("IFERROR(GOOGLEFINANCE(B2945,""change""),0)"),-0.31)</f>
        <v>-0.31</v>
      </c>
      <c r="N2945" s="6">
        <v>1</v>
      </c>
      <c r="O2945" s="7">
        <v>45536</v>
      </c>
      <c r="P2945" s="6">
        <v>376.17</v>
      </c>
      <c r="Q2945" s="6">
        <v>2943.47</v>
      </c>
      <c r="R2945" s="7">
        <v>45536</v>
      </c>
      <c r="S2945" s="6">
        <v>4019.27</v>
      </c>
      <c r="T2945" s="6">
        <v>350.21</v>
      </c>
      <c r="U2945" s="7">
        <v>45536</v>
      </c>
      <c r="V2945" s="6">
        <v>8.07</v>
      </c>
      <c r="W2945" s="6">
        <f ca="1">IFERROR(__xludf.DUMMYFUNCTION("IFERROR(GOOGLEFINANCE(B2945,""pe""),V2945)"),6.51)</f>
        <v>6.51</v>
      </c>
      <c r="X2945" s="6">
        <v>-0.94</v>
      </c>
      <c r="Y2945" s="6">
        <v>0.89</v>
      </c>
      <c r="Z2945" s="6">
        <v>1</v>
      </c>
      <c r="AA2945" s="8">
        <v>45352</v>
      </c>
      <c r="AB2945" s="4">
        <v>0.09</v>
      </c>
      <c r="AC2945" s="6">
        <v>11.65</v>
      </c>
      <c r="AD2945" s="6">
        <v>11.96</v>
      </c>
      <c r="AE2945" s="1">
        <v>0</v>
      </c>
      <c r="AF2945" s="1">
        <f ca="1">IFERROR(__xludf.DUMMYFUNCTION("IFERROR(GOOGLEFINANCE(TRIM(F2945)&amp;"":"" &amp; TRIM(B2945),""high52""),AE2945)"),190.9)</f>
        <v>190.9</v>
      </c>
      <c r="AG2945" s="1">
        <v>0</v>
      </c>
      <c r="AH2945" s="1">
        <f ca="1">IFERROR(__xludf.DUMMYFUNCTION("IFERROR(GOOGLEFINANCE(TRIM(F2945)&amp;"":"" &amp; TRIM(B2945),""low52""),AE2945)"),110.24)</f>
        <v>110.24</v>
      </c>
      <c r="AI2945" s="1">
        <f ca="1">IFERROR(__xludf.DUMMYFUNCTION("IFERROR(GOOGLEFINANCE(B2945,""eps""),0)"),18.29)</f>
        <v>18.29</v>
      </c>
      <c r="AJ2945" s="1"/>
      <c r="AK2945" s="1" t="s">
        <v>9095</v>
      </c>
      <c r="AL2945" s="9">
        <f t="shared" si="284"/>
        <v>1</v>
      </c>
    </row>
    <row r="2946" spans="1:38" ht="15" x14ac:dyDescent="0.25">
      <c r="A2946" s="1" t="s">
        <v>9096</v>
      </c>
      <c r="B2946" s="1" t="s">
        <v>9097</v>
      </c>
      <c r="C2946" s="1" t="s">
        <v>82</v>
      </c>
      <c r="D2946" s="1" t="s">
        <v>82</v>
      </c>
      <c r="E2946" s="6">
        <v>1195.92</v>
      </c>
      <c r="F2946" s="1" t="s">
        <v>40</v>
      </c>
      <c r="G2946" s="6">
        <f ca="1">IFERROR(__xludf.DUMMYFUNCTION("iferror(GOOGLEFINANCE(TRIM(F2946)&amp;"":"" &amp; TRIM(B2946), ""price""),0
)"),209.7)</f>
        <v>209.7</v>
      </c>
      <c r="H2946" s="6">
        <v>501.8</v>
      </c>
      <c r="I2946" s="6">
        <f t="shared" ca="1" si="0"/>
        <v>209.7</v>
      </c>
      <c r="J2946" s="6">
        <f ca="1">IFERROR(__xludf.DUMMYFUNCTION("IFERROR(GOOGLEFINANCE(B2946, ""volume""), 0)"),41)</f>
        <v>41</v>
      </c>
      <c r="K2946" s="6">
        <v>0.44</v>
      </c>
      <c r="L2946" s="6">
        <f ca="1">IFERROR(__xludf.DUMMYFUNCTION("IFERROR(GOOGLEFINANCE(B2946,""changepct""),K2946)"),-0.12)</f>
        <v>-0.12</v>
      </c>
      <c r="M2946" s="6">
        <f ca="1">IFERROR(__xludf.DUMMYFUNCTION("IFERROR(GOOGLEFINANCE(B2946,""change""),0)"),-0.04)</f>
        <v>-0.04</v>
      </c>
      <c r="N2946" s="6">
        <v>1</v>
      </c>
      <c r="O2946" s="7">
        <v>45536</v>
      </c>
      <c r="P2946" s="6">
        <v>58.01</v>
      </c>
      <c r="Q2946" s="6">
        <v>1007.39</v>
      </c>
      <c r="R2946" s="7">
        <v>45536</v>
      </c>
      <c r="S2946" s="6">
        <v>727.96</v>
      </c>
      <c r="T2946" s="6">
        <v>98.2</v>
      </c>
      <c r="U2946" s="7">
        <v>45536</v>
      </c>
      <c r="V2946" s="6">
        <v>12.18</v>
      </c>
      <c r="W2946" s="6">
        <f ca="1">IFERROR(__xludf.DUMMYFUNCTION("IFERROR(GOOGLEFINANCE(B2946,""pe""),V2946)"),24.64)</f>
        <v>24.64</v>
      </c>
      <c r="X2946" s="6">
        <v>0.47</v>
      </c>
      <c r="Y2946" s="6">
        <v>2.91</v>
      </c>
      <c r="Z2946" s="6">
        <v>1</v>
      </c>
      <c r="AA2946" s="8">
        <v>45352</v>
      </c>
      <c r="AB2946" s="4">
        <v>0.11</v>
      </c>
      <c r="AC2946" s="6">
        <v>27.85</v>
      </c>
      <c r="AD2946" s="6">
        <v>32.72</v>
      </c>
      <c r="AE2946" s="1">
        <v>0</v>
      </c>
      <c r="AF2946" s="1">
        <f ca="1">IFERROR(__xludf.DUMMYFUNCTION("IFERROR(GOOGLEFINANCE(TRIM(F2946)&amp;"":"" &amp; TRIM(B2946),""high52""),AE2946)"),473.9)</f>
        <v>473.9</v>
      </c>
      <c r="AG2946" s="1">
        <v>0</v>
      </c>
      <c r="AH2946" s="1">
        <f ca="1">IFERROR(__xludf.DUMMYFUNCTION("IFERROR(GOOGLEFINANCE(TRIM(F2946)&amp;"":"" &amp; TRIM(B2946),""low52""),AE2946)"),186.41)</f>
        <v>186.41</v>
      </c>
      <c r="AI2946" s="1">
        <f ca="1">IFERROR(__xludf.DUMMYFUNCTION("IFERROR(GOOGLEFINANCE(B2946,""eps""),0)"),1.47)</f>
        <v>1.47</v>
      </c>
      <c r="AJ2946" s="1"/>
      <c r="AK2946" s="1" t="s">
        <v>9098</v>
      </c>
      <c r="AL2946" s="9">
        <f t="shared" si="284"/>
        <v>1</v>
      </c>
    </row>
    <row r="2947" spans="1:38" ht="15" x14ac:dyDescent="0.25">
      <c r="A2947" s="1" t="s">
        <v>9099</v>
      </c>
      <c r="B2947" s="1" t="s">
        <v>9100</v>
      </c>
      <c r="C2947" s="1" t="s">
        <v>219</v>
      </c>
      <c r="D2947" s="1" t="s">
        <v>219</v>
      </c>
      <c r="E2947" s="6">
        <v>145.08000000000001</v>
      </c>
      <c r="F2947" s="1" t="s">
        <v>40</v>
      </c>
      <c r="G2947" s="6">
        <f ca="1">IFERROR(__xludf.DUMMYFUNCTION("iferror(GOOGLEFINANCE(TRIM(F2947)&amp;"":"" &amp; TRIM(B2947), ""price""),0
)"),4.64)</f>
        <v>4.6399999999999997</v>
      </c>
      <c r="H2947" s="6">
        <v>8.39</v>
      </c>
      <c r="I2947" s="6">
        <f t="shared" ca="1" si="0"/>
        <v>4.6399999999999997</v>
      </c>
      <c r="J2947" s="6">
        <f ca="1">IFERROR(__xludf.DUMMYFUNCTION("IFERROR(GOOGLEFINANCE(B2947, ""volume""), 0)"),71272)</f>
        <v>71272</v>
      </c>
      <c r="K2947" s="6">
        <v>1.21</v>
      </c>
      <c r="L2947" s="6">
        <f ca="1">IFERROR(__xludf.DUMMYFUNCTION("IFERROR(GOOGLEFINANCE(B2947,""changepct""),K2947)"),-1.69)</f>
        <v>-1.69</v>
      </c>
      <c r="M2947" s="6">
        <f ca="1">IFERROR(__xludf.DUMMYFUNCTION("IFERROR(GOOGLEFINANCE(B2947,""change""),0)"),-0.08)</f>
        <v>-0.08</v>
      </c>
      <c r="N2947" s="6">
        <v>1</v>
      </c>
      <c r="O2947" s="7">
        <v>45536</v>
      </c>
      <c r="P2947" s="6">
        <v>3.82</v>
      </c>
      <c r="Q2947" s="6">
        <v>148</v>
      </c>
      <c r="R2947" s="7">
        <v>45536</v>
      </c>
      <c r="S2947" s="6">
        <v>87.62</v>
      </c>
      <c r="T2947" s="6">
        <v>36.43</v>
      </c>
      <c r="U2947" s="7">
        <v>45536</v>
      </c>
      <c r="V2947" s="6">
        <v>3.98</v>
      </c>
      <c r="W2947" s="6">
        <f ca="1">IFERROR(__xludf.DUMMYFUNCTION("IFERROR(GOOGLEFINANCE(B2947,""pe""),V2947)"),58.57)</f>
        <v>58.57</v>
      </c>
      <c r="X2947" s="6">
        <v>5.69</v>
      </c>
      <c r="Y2947" s="6">
        <v>17.96</v>
      </c>
      <c r="Z2947" s="6">
        <v>1</v>
      </c>
      <c r="AA2947" s="8">
        <v>45352</v>
      </c>
      <c r="AB2947" s="4">
        <v>0.02</v>
      </c>
      <c r="AC2947" s="6">
        <v>0</v>
      </c>
      <c r="AD2947" s="6">
        <v>0</v>
      </c>
      <c r="AE2947" s="1">
        <v>0</v>
      </c>
      <c r="AF2947" s="1">
        <f ca="1">IFERROR(__xludf.DUMMYFUNCTION("IFERROR(GOOGLEFINANCE(TRIM(F2947)&amp;"":"" &amp; TRIM(B2947),""high52""),AE2947)"),8.5)</f>
        <v>8.5</v>
      </c>
      <c r="AG2947" s="1">
        <v>0</v>
      </c>
      <c r="AH2947" s="1">
        <f ca="1">IFERROR(__xludf.DUMMYFUNCTION("IFERROR(GOOGLEFINANCE(TRIM(F2947)&amp;"":"" &amp; TRIM(B2947),""low52""),AE2947)"),3.92)</f>
        <v>3.92</v>
      </c>
      <c r="AI2947" s="1">
        <f ca="1">IFERROR(__xludf.DUMMYFUNCTION("IFERROR(GOOGLEFINANCE(B2947,""eps""),0)"),0.08)</f>
        <v>0.08</v>
      </c>
      <c r="AJ2947" s="1"/>
      <c r="AK2947" s="1" t="s">
        <v>9101</v>
      </c>
      <c r="AL2947" s="9">
        <f t="shared" si="284"/>
        <v>1</v>
      </c>
    </row>
    <row r="2948" spans="1:38" ht="15" x14ac:dyDescent="0.25">
      <c r="A2948" s="1" t="s">
        <v>9102</v>
      </c>
      <c r="B2948" s="1" t="s">
        <v>9103</v>
      </c>
      <c r="C2948" s="1" t="s">
        <v>593</v>
      </c>
      <c r="D2948" s="1" t="s">
        <v>593</v>
      </c>
      <c r="E2948" s="6">
        <v>112.29</v>
      </c>
      <c r="F2948" s="1" t="s">
        <v>53</v>
      </c>
      <c r="G2948" s="6">
        <f ca="1">IFERROR(__xludf.DUMMYFUNCTION("iferror(GOOGLEFINANCE(TRIM(F2948)&amp;"":"" &amp; TRIM(B2948), ""price""),0
)"),0)</f>
        <v>0</v>
      </c>
      <c r="H2948" s="6">
        <v>73.2</v>
      </c>
      <c r="I2948" s="6">
        <f t="shared" ca="1" si="0"/>
        <v>73.2</v>
      </c>
      <c r="J2948" s="6">
        <f ca="1">IFERROR(__xludf.DUMMYFUNCTION("IFERROR(GOOGLEFINANCE(B2948, ""volume""), 0)"),0)</f>
        <v>0</v>
      </c>
      <c r="K2948" s="9"/>
      <c r="L2948" s="6" t="str">
        <f ca="1">IFERROR(__xludf.DUMMYFUNCTION("IFERROR(GOOGLEFINANCE(B2948,""changepct""),K2948)"),"")</f>
        <v/>
      </c>
      <c r="M2948" s="6">
        <f ca="1">IFERROR(__xludf.DUMMYFUNCTION("IFERROR(GOOGLEFINANCE(B2948,""change""),0)"),0)</f>
        <v>0</v>
      </c>
      <c r="N2948" s="6">
        <v>1</v>
      </c>
      <c r="O2948" s="7">
        <v>45536</v>
      </c>
      <c r="P2948" s="6">
        <v>8.1300000000000008</v>
      </c>
      <c r="Q2948" s="6">
        <v>120.41</v>
      </c>
      <c r="R2948" s="7">
        <v>45352</v>
      </c>
      <c r="S2948" s="6">
        <v>11.66</v>
      </c>
      <c r="T2948" s="6">
        <v>0.74</v>
      </c>
      <c r="U2948" s="7">
        <v>45352</v>
      </c>
      <c r="V2948" s="6">
        <v>151.26</v>
      </c>
      <c r="W2948" s="6">
        <f ca="1">IFERROR(__xludf.DUMMYFUNCTION("IFERROR(GOOGLEFINANCE(B2948,""pe""),V2948)"),151.26)</f>
        <v>151.26</v>
      </c>
      <c r="X2948" s="9"/>
      <c r="Y2948" s="6">
        <v>3.42</v>
      </c>
      <c r="Z2948" s="6">
        <v>1</v>
      </c>
      <c r="AA2948" s="8">
        <v>45352</v>
      </c>
      <c r="AB2948" s="4">
        <v>0.31</v>
      </c>
      <c r="AC2948" s="6">
        <v>4.29</v>
      </c>
      <c r="AD2948" s="6">
        <v>7.87</v>
      </c>
      <c r="AE2948" s="1">
        <v>0</v>
      </c>
      <c r="AF2948" s="1">
        <f ca="1">IFERROR(__xludf.DUMMYFUNCTION("IFERROR(GOOGLEFINANCE(TRIM(F2948)&amp;"":"" &amp; TRIM(B2948),""high52""),AE2948)"),0)</f>
        <v>0</v>
      </c>
      <c r="AG2948" s="1">
        <v>0</v>
      </c>
      <c r="AH2948" s="1">
        <f ca="1">IFERROR(__xludf.DUMMYFUNCTION("IFERROR(GOOGLEFINANCE(TRIM(F2948)&amp;"":"" &amp; TRIM(B2948),""low52""),AE2948)"),0)</f>
        <v>0</v>
      </c>
      <c r="AI2948" s="1">
        <f ca="1">IFERROR(__xludf.DUMMYFUNCTION("IFERROR(GOOGLEFINANCE(B2948,""eps""),0)"),0)</f>
        <v>0</v>
      </c>
      <c r="AJ2948" s="1"/>
      <c r="AK2948" s="1" t="s">
        <v>9104</v>
      </c>
      <c r="AL2948" s="9">
        <f t="shared" si="284"/>
        <v>1</v>
      </c>
    </row>
    <row r="2949" spans="1:38" ht="15" x14ac:dyDescent="0.25">
      <c r="A2949" s="1" t="s">
        <v>9105</v>
      </c>
      <c r="B2949" s="1" t="s">
        <v>9106</v>
      </c>
      <c r="C2949" s="1" t="s">
        <v>82</v>
      </c>
      <c r="D2949" s="1" t="s">
        <v>82</v>
      </c>
      <c r="E2949" s="6">
        <v>158.04</v>
      </c>
      <c r="F2949" s="1" t="s">
        <v>40</v>
      </c>
      <c r="G2949" s="6">
        <f ca="1">IFERROR(__xludf.DUMMYFUNCTION("iferror(GOOGLEFINANCE(TRIM(F2949)&amp;"":"" &amp; TRIM(B2949), ""price""),0
)"),0)</f>
        <v>0</v>
      </c>
      <c r="H2949" s="6">
        <v>144.05000000000001</v>
      </c>
      <c r="I2949" s="6">
        <f t="shared" ca="1" si="0"/>
        <v>144.05000000000001</v>
      </c>
      <c r="J2949" s="6">
        <f ca="1">IFERROR(__xludf.DUMMYFUNCTION("IFERROR(GOOGLEFINANCE(B2949, ""volume""), 0)"),0)</f>
        <v>0</v>
      </c>
      <c r="K2949" s="9"/>
      <c r="L2949" s="6" t="str">
        <f ca="1">IFERROR(__xludf.DUMMYFUNCTION("IFERROR(GOOGLEFINANCE(B2949,""changepct""),K2949)"),"")</f>
        <v/>
      </c>
      <c r="M2949" s="6">
        <f ca="1">IFERROR(__xludf.DUMMYFUNCTION("IFERROR(GOOGLEFINANCE(B2949,""change""),0)"),0)</f>
        <v>0</v>
      </c>
      <c r="N2949" s="6">
        <v>1</v>
      </c>
      <c r="O2949" s="7">
        <v>45536</v>
      </c>
      <c r="P2949" s="6">
        <v>40.42</v>
      </c>
      <c r="Q2949" s="6">
        <v>198.46</v>
      </c>
      <c r="R2949" s="7">
        <v>45352</v>
      </c>
      <c r="S2949" s="6">
        <v>56.01</v>
      </c>
      <c r="T2949" s="6">
        <v>3.7</v>
      </c>
      <c r="U2949" s="7">
        <v>45352</v>
      </c>
      <c r="V2949" s="6">
        <v>42.7</v>
      </c>
      <c r="W2949" s="6">
        <f ca="1">IFERROR(__xludf.DUMMYFUNCTION("IFERROR(GOOGLEFINANCE(B2949,""pe""),V2949)"),42.7)</f>
        <v>42.7</v>
      </c>
      <c r="X2949" s="9"/>
      <c r="Y2949" s="6">
        <v>2.83</v>
      </c>
      <c r="Z2949" s="6">
        <v>2</v>
      </c>
      <c r="AA2949" s="8">
        <v>45352</v>
      </c>
      <c r="AB2949" s="4">
        <v>1.02</v>
      </c>
      <c r="AC2949" s="6">
        <v>16.13</v>
      </c>
      <c r="AD2949" s="6">
        <v>17</v>
      </c>
      <c r="AE2949" s="1">
        <v>0</v>
      </c>
      <c r="AF2949" s="1">
        <f ca="1">IFERROR(__xludf.DUMMYFUNCTION("IFERROR(GOOGLEFINANCE(TRIM(F2949)&amp;"":"" &amp; TRIM(B2949),""high52""),AE2949)"),0)</f>
        <v>0</v>
      </c>
      <c r="AG2949" s="1">
        <v>0</v>
      </c>
      <c r="AH2949" s="1">
        <f ca="1">IFERROR(__xludf.DUMMYFUNCTION("IFERROR(GOOGLEFINANCE(TRIM(F2949)&amp;"":"" &amp; TRIM(B2949),""low52""),AE2949)"),0)</f>
        <v>0</v>
      </c>
      <c r="AI2949" s="1">
        <f ca="1">IFERROR(__xludf.DUMMYFUNCTION("IFERROR(GOOGLEFINANCE(B2949,""eps""),0)"),0)</f>
        <v>0</v>
      </c>
      <c r="AJ2949" s="1"/>
      <c r="AK2949" s="9"/>
      <c r="AL2949" s="9">
        <f t="shared" si="284"/>
        <v>1</v>
      </c>
    </row>
    <row r="2950" spans="1:38" ht="15" x14ac:dyDescent="0.25">
      <c r="A2950" s="1" t="s">
        <v>9107</v>
      </c>
      <c r="B2950" s="1" t="s">
        <v>9108</v>
      </c>
      <c r="C2950" s="1" t="s">
        <v>259</v>
      </c>
      <c r="D2950" s="1" t="s">
        <v>259</v>
      </c>
      <c r="E2950" s="6">
        <v>116.27</v>
      </c>
      <c r="F2950" s="1" t="s">
        <v>40</v>
      </c>
      <c r="G2950" s="6">
        <f ca="1">IFERROR(__xludf.DUMMYFUNCTION("iferror(GOOGLEFINANCE(TRIM(F2950)&amp;"":"" &amp; TRIM(B2950), ""price""),0
)"),0)</f>
        <v>0</v>
      </c>
      <c r="H2950" s="6">
        <v>106</v>
      </c>
      <c r="I2950" s="6">
        <f t="shared" ca="1" si="0"/>
        <v>106</v>
      </c>
      <c r="J2950" s="6">
        <f ca="1">IFERROR(__xludf.DUMMYFUNCTION("IFERROR(GOOGLEFINANCE(B2950, ""volume""), 0)"),0)</f>
        <v>0</v>
      </c>
      <c r="K2950" s="6">
        <v>0.38</v>
      </c>
      <c r="L2950" s="6">
        <f ca="1">IFERROR(__xludf.DUMMYFUNCTION("IFERROR(GOOGLEFINANCE(B2950,""changepct""),K2950)"),0.38)</f>
        <v>0.38</v>
      </c>
      <c r="M2950" s="6">
        <f ca="1">IFERROR(__xludf.DUMMYFUNCTION("IFERROR(GOOGLEFINANCE(B2950,""change""),0)"),0)</f>
        <v>0</v>
      </c>
      <c r="N2950" s="6">
        <v>1</v>
      </c>
      <c r="O2950" s="7">
        <v>45536</v>
      </c>
      <c r="P2950" s="6">
        <v>20.13</v>
      </c>
      <c r="Q2950" s="6">
        <v>136.38999999999999</v>
      </c>
      <c r="R2950" s="14"/>
      <c r="S2950" s="9"/>
      <c r="T2950" s="9"/>
      <c r="U2950" s="7">
        <v>45352</v>
      </c>
      <c r="V2950" s="6">
        <v>28.6</v>
      </c>
      <c r="W2950" s="6">
        <f ca="1">IFERROR(__xludf.DUMMYFUNCTION("IFERROR(GOOGLEFINANCE(B2950,""pe""),V2950)"),28.6)</f>
        <v>28.6</v>
      </c>
      <c r="X2950" s="9"/>
      <c r="Y2950" s="6">
        <v>3.18</v>
      </c>
      <c r="Z2950" s="6">
        <v>1</v>
      </c>
      <c r="AA2950" s="8">
        <v>45352</v>
      </c>
      <c r="AB2950" s="4">
        <v>1.56</v>
      </c>
      <c r="AC2950" s="6">
        <v>43.26</v>
      </c>
      <c r="AD2950" s="6">
        <v>29.24</v>
      </c>
      <c r="AE2950" s="1">
        <v>0</v>
      </c>
      <c r="AF2950" s="1">
        <f ca="1">IFERROR(__xludf.DUMMYFUNCTION("IFERROR(GOOGLEFINANCE(TRIM(F2950)&amp;"":"" &amp; TRIM(B2950),""high52""),AE2950)"),0)</f>
        <v>0</v>
      </c>
      <c r="AG2950" s="1">
        <v>0</v>
      </c>
      <c r="AH2950" s="1">
        <f ca="1">IFERROR(__xludf.DUMMYFUNCTION("IFERROR(GOOGLEFINANCE(TRIM(F2950)&amp;"":"" &amp; TRIM(B2950),""low52""),AE2950)"),0)</f>
        <v>0</v>
      </c>
      <c r="AI2950" s="1">
        <f ca="1">IFERROR(__xludf.DUMMYFUNCTION("IFERROR(GOOGLEFINANCE(B2950,""eps""),0)"),0)</f>
        <v>0</v>
      </c>
      <c r="AJ2950" s="1"/>
      <c r="AK2950" s="1" t="s">
        <v>9109</v>
      </c>
      <c r="AL2950" s="9">
        <f t="shared" si="284"/>
        <v>1</v>
      </c>
    </row>
    <row r="2951" spans="1:38" ht="15" x14ac:dyDescent="0.25">
      <c r="A2951" s="1" t="s">
        <v>9110</v>
      </c>
      <c r="B2951" s="1" t="s">
        <v>9111</v>
      </c>
      <c r="C2951" s="1" t="s">
        <v>324</v>
      </c>
      <c r="D2951" s="1" t="s">
        <v>324</v>
      </c>
      <c r="E2951" s="6">
        <v>2713.1</v>
      </c>
      <c r="F2951" s="1" t="s">
        <v>40</v>
      </c>
      <c r="G2951" s="6">
        <f ca="1">IFERROR(__xludf.DUMMYFUNCTION("iferror(GOOGLEFINANCE(TRIM(F2951)&amp;"":"" &amp; TRIM(B2951), ""price""),0
)"),1089)</f>
        <v>1089</v>
      </c>
      <c r="H2951" s="6">
        <v>1147</v>
      </c>
      <c r="I2951" s="6">
        <f t="shared" ca="1" si="0"/>
        <v>1089</v>
      </c>
      <c r="J2951" s="6">
        <f ca="1">IFERROR(__xludf.DUMMYFUNCTION("IFERROR(GOOGLEFINANCE(B2951, ""volume""), 0)"),14873)</f>
        <v>14873</v>
      </c>
      <c r="K2951" s="6">
        <v>0.82</v>
      </c>
      <c r="L2951" s="6">
        <f ca="1">IFERROR(__xludf.DUMMYFUNCTION("IFERROR(GOOGLEFINANCE(B2951,""changepct""),K2951)"),0.04)</f>
        <v>0.04</v>
      </c>
      <c r="M2951" s="6">
        <f ca="1">IFERROR(__xludf.DUMMYFUNCTION("IFERROR(GOOGLEFINANCE(B2951,""change""),0)"),0.4)</f>
        <v>0.4</v>
      </c>
      <c r="N2951" s="6">
        <v>1</v>
      </c>
      <c r="O2951" s="7">
        <v>45536</v>
      </c>
      <c r="P2951" s="6">
        <v>20</v>
      </c>
      <c r="Q2951" s="6">
        <v>2695.57</v>
      </c>
      <c r="R2951" s="7">
        <v>45536</v>
      </c>
      <c r="S2951" s="6">
        <v>1658.93</v>
      </c>
      <c r="T2951" s="6">
        <v>38.770000000000003</v>
      </c>
      <c r="U2951" s="7">
        <v>45536</v>
      </c>
      <c r="V2951" s="6">
        <v>69.98</v>
      </c>
      <c r="W2951" s="6">
        <f ca="1">IFERROR(__xludf.DUMMYFUNCTION("IFERROR(GOOGLEFINANCE(B2951,""pe""),V2951)"),69.98)</f>
        <v>69.98</v>
      </c>
      <c r="X2951" s="6">
        <v>-4.8600000000000003</v>
      </c>
      <c r="Y2951" s="6">
        <v>3.65</v>
      </c>
      <c r="Z2951" s="6">
        <v>2</v>
      </c>
      <c r="AA2951" s="8">
        <v>44986</v>
      </c>
      <c r="AB2951" s="4">
        <v>0</v>
      </c>
      <c r="AC2951" s="6">
        <v>3.23</v>
      </c>
      <c r="AD2951" s="6">
        <v>1.21</v>
      </c>
      <c r="AE2951" s="1">
        <v>0</v>
      </c>
      <c r="AF2951" s="1">
        <f ca="1">IFERROR(__xludf.DUMMYFUNCTION("IFERROR(GOOGLEFINANCE(TRIM(F2951)&amp;"":"" &amp; TRIM(B2951),""high52""),AE2951)"),1295.7)</f>
        <v>1295.7</v>
      </c>
      <c r="AG2951" s="1">
        <v>0</v>
      </c>
      <c r="AH2951" s="1">
        <f ca="1">IFERROR(__xludf.DUMMYFUNCTION("IFERROR(GOOGLEFINANCE(TRIM(F2951)&amp;"":"" &amp; TRIM(B2951),""low52""),AE2951)"),889.2)</f>
        <v>889.2</v>
      </c>
      <c r="AI2951" s="1">
        <f ca="1">IFERROR(__xludf.DUMMYFUNCTION("IFERROR(GOOGLEFINANCE(B2951,""eps""),0)"),-18.65)</f>
        <v>-18.649999999999999</v>
      </c>
      <c r="AJ2951" s="1"/>
      <c r="AK2951" s="1" t="s">
        <v>9112</v>
      </c>
      <c r="AL2951" s="9">
        <f t="shared" si="284"/>
        <v>1</v>
      </c>
    </row>
    <row r="2952" spans="1:38" ht="15" x14ac:dyDescent="0.25">
      <c r="A2952" s="1" t="s">
        <v>9113</v>
      </c>
      <c r="B2952" s="1" t="s">
        <v>9114</v>
      </c>
      <c r="C2952" s="1" t="s">
        <v>86</v>
      </c>
      <c r="D2952" s="1" t="s">
        <v>86</v>
      </c>
      <c r="E2952" s="6">
        <v>390.45</v>
      </c>
      <c r="F2952" s="1" t="s">
        <v>40</v>
      </c>
      <c r="G2952" s="6">
        <f ca="1">IFERROR(__xludf.DUMMYFUNCTION("iferror(GOOGLEFINANCE(TRIM(F2952)&amp;"":"" &amp; TRIM(B2952), ""price""),0
)"),0)</f>
        <v>0</v>
      </c>
      <c r="H2952" s="6">
        <v>230.8</v>
      </c>
      <c r="I2952" s="6">
        <f t="shared" ca="1" si="0"/>
        <v>230.8</v>
      </c>
      <c r="J2952" s="6">
        <f ca="1">IFERROR(__xludf.DUMMYFUNCTION("IFERROR(GOOGLEFINANCE(B2952, ""volume""), 0)"),0)</f>
        <v>0</v>
      </c>
      <c r="K2952" s="6">
        <v>4.9800000000000004</v>
      </c>
      <c r="L2952" s="6">
        <f ca="1">IFERROR(__xludf.DUMMYFUNCTION("IFERROR(GOOGLEFINANCE(B2952,""changepct""),K2952)"),4.98)</f>
        <v>4.9800000000000004</v>
      </c>
      <c r="M2952" s="6">
        <f ca="1">IFERROR(__xludf.DUMMYFUNCTION("IFERROR(GOOGLEFINANCE(B2952,""change""),0)"),0)</f>
        <v>0</v>
      </c>
      <c r="N2952" s="6">
        <v>1</v>
      </c>
      <c r="O2952" s="7">
        <v>45536</v>
      </c>
      <c r="P2952" s="6">
        <v>7.55</v>
      </c>
      <c r="Q2952" s="6">
        <v>398</v>
      </c>
      <c r="R2952" s="7">
        <v>45352</v>
      </c>
      <c r="S2952" s="6">
        <v>68.83</v>
      </c>
      <c r="T2952" s="6">
        <v>10.050000000000001</v>
      </c>
      <c r="U2952" s="7">
        <v>45352</v>
      </c>
      <c r="V2952" s="6">
        <v>38.86</v>
      </c>
      <c r="W2952" s="6">
        <f ca="1">IFERROR(__xludf.DUMMYFUNCTION("IFERROR(GOOGLEFINANCE(B2952,""pe""),V2952)"),38.86)</f>
        <v>38.86</v>
      </c>
      <c r="X2952" s="9"/>
      <c r="Y2952" s="6">
        <v>6.42</v>
      </c>
      <c r="Z2952" s="6">
        <v>2</v>
      </c>
      <c r="AA2952" s="8">
        <v>45352</v>
      </c>
      <c r="AB2952" s="4">
        <v>7.0000000000000007E-2</v>
      </c>
      <c r="AC2952" s="6">
        <v>25.3</v>
      </c>
      <c r="AD2952" s="6">
        <v>32.15</v>
      </c>
      <c r="AE2952" s="1">
        <v>0</v>
      </c>
      <c r="AF2952" s="1">
        <f ca="1">IFERROR(__xludf.DUMMYFUNCTION("IFERROR(GOOGLEFINANCE(TRIM(F2952)&amp;"":"" &amp; TRIM(B2952),""high52""),AE2952)"),0)</f>
        <v>0</v>
      </c>
      <c r="AG2952" s="1">
        <v>0</v>
      </c>
      <c r="AH2952" s="1">
        <f ca="1">IFERROR(__xludf.DUMMYFUNCTION("IFERROR(GOOGLEFINANCE(TRIM(F2952)&amp;"":"" &amp; TRIM(B2952),""low52""),AE2952)"),0)</f>
        <v>0</v>
      </c>
      <c r="AI2952" s="1">
        <f ca="1">IFERROR(__xludf.DUMMYFUNCTION("IFERROR(GOOGLEFINANCE(B2952,""eps""),0)"),0)</f>
        <v>0</v>
      </c>
      <c r="AJ2952" s="1"/>
      <c r="AK2952" s="1" t="s">
        <v>9115</v>
      </c>
      <c r="AL2952" s="9">
        <f t="shared" si="284"/>
        <v>1</v>
      </c>
    </row>
    <row r="2953" spans="1:38" ht="15" x14ac:dyDescent="0.25">
      <c r="A2953" s="1" t="s">
        <v>9116</v>
      </c>
      <c r="B2953" s="1" t="s">
        <v>9117</v>
      </c>
      <c r="C2953" s="1" t="s">
        <v>359</v>
      </c>
      <c r="D2953" s="1" t="s">
        <v>359</v>
      </c>
      <c r="E2953" s="6">
        <v>260.43</v>
      </c>
      <c r="F2953" s="1" t="s">
        <v>40</v>
      </c>
      <c r="G2953" s="6">
        <f ca="1">IFERROR(__xludf.DUMMYFUNCTION("iferror(GOOGLEFINANCE(TRIM(F2953)&amp;"":"" &amp; TRIM(B2953), ""price""),0
)"),6.84)</f>
        <v>6.84</v>
      </c>
      <c r="H2953" s="6">
        <v>19.36</v>
      </c>
      <c r="I2953" s="6">
        <f t="shared" ca="1" si="0"/>
        <v>6.84</v>
      </c>
      <c r="J2953" s="6">
        <f ca="1">IFERROR(__xludf.DUMMYFUNCTION("IFERROR(GOOGLEFINANCE(B2953, ""volume""), 0)"),564563)</f>
        <v>564563</v>
      </c>
      <c r="K2953" s="6">
        <v>0.52</v>
      </c>
      <c r="L2953" s="6">
        <f ca="1">IFERROR(__xludf.DUMMYFUNCTION("IFERROR(GOOGLEFINANCE(B2953,""changepct""),K2953)"),-5)</f>
        <v>-5</v>
      </c>
      <c r="M2953" s="6">
        <f ca="1">IFERROR(__xludf.DUMMYFUNCTION("IFERROR(GOOGLEFINANCE(B2953,""change""),0)"),-0.36)</f>
        <v>-0.36</v>
      </c>
      <c r="N2953" s="6">
        <v>1</v>
      </c>
      <c r="O2953" s="7">
        <v>45536</v>
      </c>
      <c r="P2953" s="6">
        <v>114.81</v>
      </c>
      <c r="Q2953" s="6">
        <v>371.2</v>
      </c>
      <c r="R2953" s="7">
        <v>45536</v>
      </c>
      <c r="S2953" s="6">
        <v>168.03</v>
      </c>
      <c r="T2953" s="6">
        <v>-64.319999999999993</v>
      </c>
      <c r="U2953" s="7">
        <v>45536</v>
      </c>
      <c r="V2953" s="6">
        <v>0</v>
      </c>
      <c r="W2953" s="6">
        <f ca="1">IFERROR(__xludf.DUMMYFUNCTION("IFERROR(GOOGLEFINANCE(B2953,""pe""),V2953)"),3.1)</f>
        <v>3.1</v>
      </c>
      <c r="X2953" s="9"/>
      <c r="Y2953" s="6">
        <v>-4.67</v>
      </c>
      <c r="Z2953" s="6">
        <v>1</v>
      </c>
      <c r="AA2953" s="8">
        <v>45352</v>
      </c>
      <c r="AB2953" s="4">
        <v>-1.25</v>
      </c>
      <c r="AC2953" s="6">
        <v>0</v>
      </c>
      <c r="AD2953" s="6">
        <v>-191.47</v>
      </c>
      <c r="AE2953" s="1">
        <v>0</v>
      </c>
      <c r="AF2953" s="1">
        <f ca="1">IFERROR(__xludf.DUMMYFUNCTION("IFERROR(GOOGLEFINANCE(TRIM(F2953)&amp;"":"" &amp; TRIM(B2953),""high52""),AE2953)"),16.66)</f>
        <v>16.66</v>
      </c>
      <c r="AG2953" s="1">
        <v>0</v>
      </c>
      <c r="AH2953" s="1">
        <f ca="1">IFERROR(__xludf.DUMMYFUNCTION("IFERROR(GOOGLEFINANCE(TRIM(F2953)&amp;"":"" &amp; TRIM(B2953),""low52""),AE2953)"),6.82)</f>
        <v>6.82</v>
      </c>
      <c r="AI2953" s="1">
        <f ca="1">IFERROR(__xludf.DUMMYFUNCTION("IFERROR(GOOGLEFINANCE(B2953,""eps""),0)"),2.21)</f>
        <v>2.21</v>
      </c>
      <c r="AJ2953" s="1"/>
      <c r="AK2953" s="1" t="s">
        <v>9118</v>
      </c>
      <c r="AL2953" s="9">
        <f t="shared" si="284"/>
        <v>1</v>
      </c>
    </row>
    <row r="2954" spans="1:38" ht="15" x14ac:dyDescent="0.25">
      <c r="A2954" s="1" t="s">
        <v>9119</v>
      </c>
      <c r="B2954" s="1" t="s">
        <v>9120</v>
      </c>
      <c r="C2954" s="1" t="s">
        <v>355</v>
      </c>
      <c r="D2954" s="1" t="s">
        <v>355</v>
      </c>
      <c r="E2954" s="6">
        <v>3419.49</v>
      </c>
      <c r="F2954" s="1" t="s">
        <v>40</v>
      </c>
      <c r="G2954" s="6">
        <f ca="1">IFERROR(__xludf.DUMMYFUNCTION("iferror(GOOGLEFINANCE(TRIM(F2954)&amp;"":"" &amp; TRIM(B2954), ""price""),0
)"),141.15)</f>
        <v>141.15</v>
      </c>
      <c r="H2954" s="6">
        <v>358.3</v>
      </c>
      <c r="I2954" s="6">
        <f t="shared" ca="1" si="0"/>
        <v>141.15</v>
      </c>
      <c r="J2954" s="6">
        <f ca="1">IFERROR(__xludf.DUMMYFUNCTION("IFERROR(GOOGLEFINANCE(B2954, ""volume""), 0)"),191782)</f>
        <v>191782</v>
      </c>
      <c r="K2954" s="6">
        <v>-0.4</v>
      </c>
      <c r="L2954" s="6">
        <f ca="1">IFERROR(__xludf.DUMMYFUNCTION("IFERROR(GOOGLEFINANCE(B2954,""changepct""),K2954)"),-2.03)</f>
        <v>-2.0299999999999998</v>
      </c>
      <c r="M2954" s="6">
        <f ca="1">IFERROR(__xludf.DUMMYFUNCTION("IFERROR(GOOGLEFINANCE(B2954,""change""),0)"),-2.92)</f>
        <v>-2.92</v>
      </c>
      <c r="N2954" s="6">
        <v>2</v>
      </c>
      <c r="O2954" s="7">
        <v>45536</v>
      </c>
      <c r="P2954" s="6">
        <v>82.13</v>
      </c>
      <c r="Q2954" s="6">
        <v>3392.51</v>
      </c>
      <c r="R2954" s="7">
        <v>45536</v>
      </c>
      <c r="S2954" s="6">
        <v>994.3</v>
      </c>
      <c r="T2954" s="6">
        <v>47.84</v>
      </c>
      <c r="U2954" s="7">
        <v>45536</v>
      </c>
      <c r="V2954" s="6">
        <v>71.48</v>
      </c>
      <c r="W2954" s="6">
        <f ca="1">IFERROR(__xludf.DUMMYFUNCTION("IFERROR(GOOGLEFINANCE(B2954,""pe""),V2954)"),20.33)</f>
        <v>20.329999999999998</v>
      </c>
      <c r="X2954" s="6">
        <v>9.2799999999999994</v>
      </c>
      <c r="Y2954" s="6">
        <v>4.51</v>
      </c>
      <c r="Z2954" s="6">
        <v>2</v>
      </c>
      <c r="AA2954" s="8">
        <v>45352</v>
      </c>
      <c r="AB2954" s="4">
        <v>0.14000000000000001</v>
      </c>
      <c r="AC2954" s="6">
        <v>5.51</v>
      </c>
      <c r="AD2954" s="6">
        <v>8.25</v>
      </c>
      <c r="AE2954" s="1">
        <v>0</v>
      </c>
      <c r="AF2954" s="1">
        <f ca="1">IFERROR(__xludf.DUMMYFUNCTION("IFERROR(GOOGLEFINANCE(TRIM(F2954)&amp;"":"" &amp; TRIM(B2954),""high52""),AE2954)"),318.7)</f>
        <v>318.7</v>
      </c>
      <c r="AG2954" s="1">
        <v>0</v>
      </c>
      <c r="AH2954" s="1">
        <f ca="1">IFERROR(__xludf.DUMMYFUNCTION("IFERROR(GOOGLEFINANCE(TRIM(F2954)&amp;"":"" &amp; TRIM(B2954),""low52""),AE2954)"),130.35)</f>
        <v>130.35</v>
      </c>
      <c r="AI2954" s="1">
        <f ca="1">IFERROR(__xludf.DUMMYFUNCTION("IFERROR(GOOGLEFINANCE(B2954,""eps""),0)"),6.94)</f>
        <v>6.94</v>
      </c>
      <c r="AJ2954" s="1"/>
      <c r="AK2954" s="1" t="s">
        <v>9121</v>
      </c>
      <c r="AL2954" s="1" t="b">
        <f>ISNUMBER(AA2954)</f>
        <v>1</v>
      </c>
    </row>
    <row r="2955" spans="1:38" ht="15" x14ac:dyDescent="0.25">
      <c r="A2955" s="1" t="s">
        <v>9122</v>
      </c>
      <c r="B2955" s="1" t="s">
        <v>9123</v>
      </c>
      <c r="C2955" s="1" t="s">
        <v>373</v>
      </c>
      <c r="D2955" s="1" t="s">
        <v>373</v>
      </c>
      <c r="E2955" s="6">
        <v>16.39</v>
      </c>
      <c r="F2955" s="1" t="s">
        <v>53</v>
      </c>
      <c r="G2955" s="6">
        <f ca="1">IFERROR(__xludf.DUMMYFUNCTION("iferror(GOOGLEFINANCE(TRIM(F2955)&amp;"":"" &amp; TRIM(B2955), ""price""),0
)"),0)</f>
        <v>0</v>
      </c>
      <c r="H2955" s="6">
        <v>17.8</v>
      </c>
      <c r="I2955" s="6">
        <f t="shared" ca="1" si="0"/>
        <v>17.8</v>
      </c>
      <c r="J2955" s="6">
        <f ca="1">IFERROR(__xludf.DUMMYFUNCTION("IFERROR(GOOGLEFINANCE(B2955, ""volume""), 0)"),0)</f>
        <v>0</v>
      </c>
      <c r="K2955" s="6">
        <v>4.95</v>
      </c>
      <c r="L2955" s="6">
        <f ca="1">IFERROR(__xludf.DUMMYFUNCTION("IFERROR(GOOGLEFINANCE(B2955,""changepct""),K2955)"),4.95)</f>
        <v>4.95</v>
      </c>
      <c r="M2955" s="6">
        <f ca="1">IFERROR(__xludf.DUMMYFUNCTION("IFERROR(GOOGLEFINANCE(B2955,""change""),0)"),0)</f>
        <v>0</v>
      </c>
      <c r="N2955" s="6">
        <v>1</v>
      </c>
      <c r="O2955" s="7">
        <v>45352</v>
      </c>
      <c r="P2955" s="6">
        <v>46.27</v>
      </c>
      <c r="Q2955" s="6">
        <v>61.21</v>
      </c>
      <c r="R2955" s="7">
        <v>45352</v>
      </c>
      <c r="S2955" s="6">
        <v>56.7</v>
      </c>
      <c r="T2955" s="6">
        <v>-19.48</v>
      </c>
      <c r="U2955" s="7">
        <v>45352</v>
      </c>
      <c r="V2955" s="6">
        <v>0</v>
      </c>
      <c r="W2955" s="6">
        <f ca="1">IFERROR(__xludf.DUMMYFUNCTION("IFERROR(GOOGLEFINANCE(B2955,""pe""),V2955)"),0)</f>
        <v>0</v>
      </c>
      <c r="X2955" s="9"/>
      <c r="Y2955" s="6">
        <v>-0.56999999999999995</v>
      </c>
      <c r="Z2955" s="6">
        <v>1</v>
      </c>
      <c r="AA2955" s="8">
        <v>45352</v>
      </c>
      <c r="AB2955" s="4">
        <v>-2.4900000000000002</v>
      </c>
      <c r="AC2955" s="6">
        <v>0</v>
      </c>
      <c r="AD2955" s="6">
        <v>-53.85</v>
      </c>
      <c r="AE2955" s="1">
        <v>0</v>
      </c>
      <c r="AF2955" s="1">
        <f ca="1">IFERROR(__xludf.DUMMYFUNCTION("IFERROR(GOOGLEFINANCE(TRIM(F2955)&amp;"":"" &amp; TRIM(B2955),""high52""),AE2955)"),0)</f>
        <v>0</v>
      </c>
      <c r="AG2955" s="1">
        <v>0</v>
      </c>
      <c r="AH2955" s="1">
        <f ca="1">IFERROR(__xludf.DUMMYFUNCTION("IFERROR(GOOGLEFINANCE(TRIM(F2955)&amp;"":"" &amp; TRIM(B2955),""low52""),AE2955)"),0)</f>
        <v>0</v>
      </c>
      <c r="AI2955" s="1">
        <f ca="1">IFERROR(__xludf.DUMMYFUNCTION("IFERROR(GOOGLEFINANCE(B2955,""eps""),0)"),0)</f>
        <v>0</v>
      </c>
      <c r="AJ2955" s="1"/>
      <c r="AK2955" s="1" t="s">
        <v>9124</v>
      </c>
      <c r="AL2955" s="9">
        <f t="shared" ref="AL2955:AL2957" si="285">IF(AA2955&lt;&gt;AB2955,1,0)</f>
        <v>1</v>
      </c>
    </row>
    <row r="2956" spans="1:38" ht="15" x14ac:dyDescent="0.25">
      <c r="A2956" s="1" t="s">
        <v>9125</v>
      </c>
      <c r="B2956" s="1" t="s">
        <v>9126</v>
      </c>
      <c r="C2956" s="1" t="s">
        <v>1497</v>
      </c>
      <c r="D2956" s="1" t="s">
        <v>1497</v>
      </c>
      <c r="E2956" s="6">
        <v>102.17</v>
      </c>
      <c r="F2956" s="1" t="s">
        <v>40</v>
      </c>
      <c r="G2956" s="6">
        <f ca="1">IFERROR(__xludf.DUMMYFUNCTION("iferror(GOOGLEFINANCE(TRIM(F2956)&amp;"":"" &amp; TRIM(B2956), ""price""),0
)"),0)</f>
        <v>0</v>
      </c>
      <c r="H2956" s="6">
        <v>44.5</v>
      </c>
      <c r="I2956" s="6">
        <f t="shared" ca="1" si="0"/>
        <v>44.5</v>
      </c>
      <c r="J2956" s="6">
        <f ca="1">IFERROR(__xludf.DUMMYFUNCTION("IFERROR(GOOGLEFINANCE(B2956, ""volume""), 0)"),0)</f>
        <v>0</v>
      </c>
      <c r="K2956" s="9"/>
      <c r="L2956" s="6" t="str">
        <f ca="1">IFERROR(__xludf.DUMMYFUNCTION("IFERROR(GOOGLEFINANCE(B2956,""changepct""),K2956)"),"")</f>
        <v/>
      </c>
      <c r="M2956" s="6">
        <f ca="1">IFERROR(__xludf.DUMMYFUNCTION("IFERROR(GOOGLEFINANCE(B2956,""change""),0)"),0)</f>
        <v>0</v>
      </c>
      <c r="N2956" s="6">
        <v>1</v>
      </c>
      <c r="O2956" s="7">
        <v>45536</v>
      </c>
      <c r="P2956" s="9"/>
      <c r="Q2956" s="6">
        <v>102.17</v>
      </c>
      <c r="R2956" s="7">
        <v>45352</v>
      </c>
      <c r="S2956" s="6">
        <v>195.79</v>
      </c>
      <c r="T2956" s="6">
        <v>6.78</v>
      </c>
      <c r="U2956" s="7">
        <v>45352</v>
      </c>
      <c r="V2956" s="6">
        <v>15.06</v>
      </c>
      <c r="W2956" s="6">
        <f ca="1">IFERROR(__xludf.DUMMYFUNCTION("IFERROR(GOOGLEFINANCE(B2956,""pe""),V2956)"),15.06)</f>
        <v>15.06</v>
      </c>
      <c r="X2956" s="9"/>
      <c r="Y2956" s="6">
        <v>1.18</v>
      </c>
      <c r="Z2956" s="6">
        <v>1</v>
      </c>
      <c r="AA2956" s="8">
        <v>45352</v>
      </c>
      <c r="AB2956" s="4">
        <v>0</v>
      </c>
      <c r="AC2956" s="6">
        <v>10.08</v>
      </c>
      <c r="AD2956" s="6">
        <v>11.84</v>
      </c>
      <c r="AE2956" s="1">
        <v>0</v>
      </c>
      <c r="AF2956" s="1">
        <f ca="1">IFERROR(__xludf.DUMMYFUNCTION("IFERROR(GOOGLEFINANCE(TRIM(F2956)&amp;"":"" &amp; TRIM(B2956),""high52""),AE2956)"),0)</f>
        <v>0</v>
      </c>
      <c r="AG2956" s="1">
        <v>0</v>
      </c>
      <c r="AH2956" s="1">
        <f ca="1">IFERROR(__xludf.DUMMYFUNCTION("IFERROR(GOOGLEFINANCE(TRIM(F2956)&amp;"":"" &amp; TRIM(B2956),""low52""),AE2956)"),0)</f>
        <v>0</v>
      </c>
      <c r="AI2956" s="1">
        <f ca="1">IFERROR(__xludf.DUMMYFUNCTION("IFERROR(GOOGLEFINANCE(B2956,""eps""),0)"),0)</f>
        <v>0</v>
      </c>
      <c r="AJ2956" s="1"/>
      <c r="AK2956" s="1" t="s">
        <v>9127</v>
      </c>
      <c r="AL2956" s="9">
        <f t="shared" si="285"/>
        <v>1</v>
      </c>
    </row>
    <row r="2957" spans="1:38" ht="15" x14ac:dyDescent="0.25">
      <c r="A2957" s="1" t="s">
        <v>9128</v>
      </c>
      <c r="B2957" s="1" t="s">
        <v>9129</v>
      </c>
      <c r="C2957" s="1" t="s">
        <v>373</v>
      </c>
      <c r="D2957" s="1" t="s">
        <v>373</v>
      </c>
      <c r="E2957" s="6">
        <v>12</v>
      </c>
      <c r="F2957" s="1" t="s">
        <v>53</v>
      </c>
      <c r="G2957" s="6">
        <f ca="1">IFERROR(__xludf.DUMMYFUNCTION("iferror(GOOGLEFINANCE(TRIM(F2957)&amp;"":"" &amp; TRIM(B2957), ""price""),0
)"),0)</f>
        <v>0</v>
      </c>
      <c r="H2957" s="6">
        <v>7.44</v>
      </c>
      <c r="I2957" s="6">
        <f t="shared" ca="1" si="0"/>
        <v>7.44</v>
      </c>
      <c r="J2957" s="6">
        <f ca="1">IFERROR(__xludf.DUMMYFUNCTION("IFERROR(GOOGLEFINANCE(B2957, ""volume""), 0)"),0)</f>
        <v>0</v>
      </c>
      <c r="K2957" s="9"/>
      <c r="L2957" s="6" t="str">
        <f ca="1">IFERROR(__xludf.DUMMYFUNCTION("IFERROR(GOOGLEFINANCE(B2957,""changepct""),K2957)"),"")</f>
        <v/>
      </c>
      <c r="M2957" s="6">
        <f ca="1">IFERROR(__xludf.DUMMYFUNCTION("IFERROR(GOOGLEFINANCE(B2957,""change""),0)"),0)</f>
        <v>0</v>
      </c>
      <c r="N2957" s="6">
        <v>1</v>
      </c>
      <c r="O2957" s="7">
        <v>45536</v>
      </c>
      <c r="P2957" s="6">
        <v>14.41</v>
      </c>
      <c r="Q2957" s="6">
        <v>26.29</v>
      </c>
      <c r="R2957" s="7">
        <v>45536</v>
      </c>
      <c r="S2957" s="6">
        <v>0.3</v>
      </c>
      <c r="T2957" s="6">
        <v>-1.21</v>
      </c>
      <c r="U2957" s="7">
        <v>45536</v>
      </c>
      <c r="V2957" s="6">
        <v>0</v>
      </c>
      <c r="W2957" s="6">
        <f ca="1">IFERROR(__xludf.DUMMYFUNCTION("IFERROR(GOOGLEFINANCE(B2957,""pe""),V2957)"),0)</f>
        <v>0</v>
      </c>
      <c r="X2957" s="6">
        <v>0</v>
      </c>
      <c r="Y2957" s="6">
        <v>5.46</v>
      </c>
      <c r="Z2957" s="6">
        <v>1</v>
      </c>
      <c r="AA2957" s="8">
        <v>45352</v>
      </c>
      <c r="AB2957" s="4">
        <v>4.54</v>
      </c>
      <c r="AC2957" s="6">
        <v>-31.25</v>
      </c>
      <c r="AD2957" s="6">
        <v>-0.88</v>
      </c>
      <c r="AE2957" s="1">
        <v>0</v>
      </c>
      <c r="AF2957" s="1">
        <f ca="1">IFERROR(__xludf.DUMMYFUNCTION("IFERROR(GOOGLEFINANCE(TRIM(F2957)&amp;"":"" &amp; TRIM(B2957),""high52""),AE2957)"),0)</f>
        <v>0</v>
      </c>
      <c r="AG2957" s="1">
        <v>0</v>
      </c>
      <c r="AH2957" s="1">
        <f ca="1">IFERROR(__xludf.DUMMYFUNCTION("IFERROR(GOOGLEFINANCE(TRIM(F2957)&amp;"":"" &amp; TRIM(B2957),""low52""),AE2957)"),0)</f>
        <v>0</v>
      </c>
      <c r="AI2957" s="1">
        <f ca="1">IFERROR(__xludf.DUMMYFUNCTION("IFERROR(GOOGLEFINANCE(B2957,""eps""),0)"),0)</f>
        <v>0</v>
      </c>
      <c r="AJ2957" s="1"/>
      <c r="AK2957" s="1" t="s">
        <v>9130</v>
      </c>
      <c r="AL2957" s="9">
        <f t="shared" si="285"/>
        <v>1</v>
      </c>
    </row>
    <row r="2958" spans="1:38" ht="15" x14ac:dyDescent="0.25">
      <c r="A2958" s="1" t="s">
        <v>9131</v>
      </c>
      <c r="B2958" s="1" t="s">
        <v>9132</v>
      </c>
      <c r="C2958" s="1" t="s">
        <v>577</v>
      </c>
      <c r="D2958" s="1" t="s">
        <v>577</v>
      </c>
      <c r="E2958" s="6">
        <v>3146.14</v>
      </c>
      <c r="F2958" s="1" t="s">
        <v>40</v>
      </c>
      <c r="G2958" s="6">
        <f ca="1">IFERROR(__xludf.DUMMYFUNCTION("iferror(GOOGLEFINANCE(TRIM(F2958)&amp;"":"" &amp; TRIM(B2958), ""price""),0
)"),243)</f>
        <v>243</v>
      </c>
      <c r="H2958" s="6">
        <v>175.19</v>
      </c>
      <c r="I2958" s="6">
        <f t="shared" ca="1" si="0"/>
        <v>243</v>
      </c>
      <c r="J2958" s="6">
        <f ca="1">IFERROR(__xludf.DUMMYFUNCTION("IFERROR(GOOGLEFINANCE(B2958, ""volume""), 0)"),530843)</f>
        <v>530843</v>
      </c>
      <c r="K2958" s="6">
        <v>-0.48</v>
      </c>
      <c r="L2958" s="6">
        <f ca="1">IFERROR(__xludf.DUMMYFUNCTION("IFERROR(GOOGLEFINANCE(B2958,""changepct""),K2958)"),5.92)</f>
        <v>5.92</v>
      </c>
      <c r="M2958" s="6">
        <f ca="1">IFERROR(__xludf.DUMMYFUNCTION("IFERROR(GOOGLEFINANCE(B2958,""change""),0)"),13.59)</f>
        <v>13.59</v>
      </c>
      <c r="N2958" s="6">
        <v>1</v>
      </c>
      <c r="O2958" s="7">
        <v>45536</v>
      </c>
      <c r="P2958" s="6">
        <v>104.47</v>
      </c>
      <c r="Q2958" s="6">
        <v>3195.19</v>
      </c>
      <c r="R2958" s="7">
        <v>45536</v>
      </c>
      <c r="S2958" s="6">
        <v>3687.8</v>
      </c>
      <c r="T2958" s="6">
        <v>81.459999999999994</v>
      </c>
      <c r="U2958" s="7">
        <v>45536</v>
      </c>
      <c r="V2958" s="6">
        <v>38.619999999999997</v>
      </c>
      <c r="W2958" s="6">
        <f ca="1">IFERROR(__xludf.DUMMYFUNCTION("IFERROR(GOOGLEFINANCE(B2958,""pe""),V2958)"),39.06)</f>
        <v>39.06</v>
      </c>
      <c r="X2958" s="6">
        <v>3.29</v>
      </c>
      <c r="Y2958" s="6">
        <v>5.83</v>
      </c>
      <c r="Z2958" s="6">
        <v>1</v>
      </c>
      <c r="AA2958" s="8">
        <v>45352</v>
      </c>
      <c r="AB2958" s="4">
        <v>0.19</v>
      </c>
      <c r="AC2958" s="6">
        <v>15.23</v>
      </c>
      <c r="AD2958" s="6">
        <v>25.37</v>
      </c>
      <c r="AE2958" s="1">
        <v>0</v>
      </c>
      <c r="AF2958" s="1">
        <f ca="1">IFERROR(__xludf.DUMMYFUNCTION("IFERROR(GOOGLEFINANCE(TRIM(F2958)&amp;"":"" &amp; TRIM(B2958),""high52""),AE2958)"),277.15)</f>
        <v>277.14999999999998</v>
      </c>
      <c r="AG2958" s="1">
        <v>0</v>
      </c>
      <c r="AH2958" s="1">
        <f ca="1">IFERROR(__xludf.DUMMYFUNCTION("IFERROR(GOOGLEFINANCE(TRIM(F2958)&amp;"":"" &amp; TRIM(B2958),""low52""),AE2958)"),118)</f>
        <v>118</v>
      </c>
      <c r="AI2958" s="1">
        <f ca="1">IFERROR(__xludf.DUMMYFUNCTION("IFERROR(GOOGLEFINANCE(B2958,""eps""),0)"),6.22)</f>
        <v>6.22</v>
      </c>
      <c r="AJ2958" s="1"/>
      <c r="AK2958" s="1" t="s">
        <v>9133</v>
      </c>
      <c r="AL2958" s="1" t="b">
        <f>ISNUMBER(AA2958)</f>
        <v>1</v>
      </c>
    </row>
    <row r="2959" spans="1:38" ht="15" x14ac:dyDescent="0.25">
      <c r="A2959" s="1" t="s">
        <v>9134</v>
      </c>
      <c r="B2959" s="1" t="s">
        <v>9135</v>
      </c>
      <c r="C2959" s="1" t="s">
        <v>706</v>
      </c>
      <c r="D2959" s="1" t="s">
        <v>706</v>
      </c>
      <c r="E2959" s="6">
        <v>739.26</v>
      </c>
      <c r="F2959" s="1" t="s">
        <v>40</v>
      </c>
      <c r="G2959" s="6">
        <f ca="1">IFERROR(__xludf.DUMMYFUNCTION("iferror(GOOGLEFINANCE(TRIM(F2959)&amp;"":"" &amp; TRIM(B2959), ""price""),0
)"),327.3)</f>
        <v>327.3</v>
      </c>
      <c r="H2959" s="6">
        <v>600.20000000000005</v>
      </c>
      <c r="I2959" s="6">
        <f t="shared" ca="1" si="0"/>
        <v>327.3</v>
      </c>
      <c r="J2959" s="6">
        <f ca="1">IFERROR(__xludf.DUMMYFUNCTION("IFERROR(GOOGLEFINANCE(B2959, ""volume""), 0)"),783)</f>
        <v>783</v>
      </c>
      <c r="K2959" s="6">
        <v>-2.57</v>
      </c>
      <c r="L2959" s="6">
        <f ca="1">IFERROR(__xludf.DUMMYFUNCTION("IFERROR(GOOGLEFINANCE(B2959,""changepct""),K2959)"),-3.51)</f>
        <v>-3.51</v>
      </c>
      <c r="M2959" s="6">
        <f ca="1">IFERROR(__xludf.DUMMYFUNCTION("IFERROR(GOOGLEFINANCE(B2959,""change""),0)"),-11.9)</f>
        <v>-11.9</v>
      </c>
      <c r="N2959" s="6">
        <v>2</v>
      </c>
      <c r="O2959" s="7">
        <v>45536</v>
      </c>
      <c r="P2959" s="6">
        <v>347.18</v>
      </c>
      <c r="Q2959" s="6">
        <v>1080.68</v>
      </c>
      <c r="R2959" s="7">
        <v>45536</v>
      </c>
      <c r="S2959" s="6">
        <v>975.72</v>
      </c>
      <c r="T2959" s="6">
        <v>40.86</v>
      </c>
      <c r="U2959" s="7">
        <v>45536</v>
      </c>
      <c r="V2959" s="6">
        <v>18.09</v>
      </c>
      <c r="W2959" s="6">
        <f ca="1">IFERROR(__xludf.DUMMYFUNCTION("IFERROR(GOOGLEFINANCE(B2959,""pe""),V2959)"),12.55)</f>
        <v>12.55</v>
      </c>
      <c r="X2959" s="6">
        <v>0.67</v>
      </c>
      <c r="Y2959" s="6">
        <v>1.69</v>
      </c>
      <c r="Z2959" s="6">
        <v>2</v>
      </c>
      <c r="AA2959" s="8">
        <v>45352</v>
      </c>
      <c r="AB2959" s="4">
        <v>0.88</v>
      </c>
      <c r="AC2959" s="6">
        <v>4.07</v>
      </c>
      <c r="AD2959" s="6">
        <v>7.55</v>
      </c>
      <c r="AE2959" s="1">
        <v>0</v>
      </c>
      <c r="AF2959" s="1">
        <f ca="1">IFERROR(__xludf.DUMMYFUNCTION("IFERROR(GOOGLEFINANCE(TRIM(F2959)&amp;"":"" &amp; TRIM(B2959),""high52""),AE2959)"),643.65)</f>
        <v>643.65</v>
      </c>
      <c r="AG2959" s="1">
        <v>0</v>
      </c>
      <c r="AH2959" s="1">
        <f ca="1">IFERROR(__xludf.DUMMYFUNCTION("IFERROR(GOOGLEFINANCE(TRIM(F2959)&amp;"":"" &amp; TRIM(B2959),""low52""),AE2959)"),300.05)</f>
        <v>300.05</v>
      </c>
      <c r="AI2959" s="1">
        <f ca="1">IFERROR(__xludf.DUMMYFUNCTION("IFERROR(GOOGLEFINANCE(B2959,""eps""),0)"),26.09)</f>
        <v>26.09</v>
      </c>
      <c r="AJ2959" s="1"/>
      <c r="AK2959" s="1" t="s">
        <v>9136</v>
      </c>
      <c r="AL2959" s="9">
        <f t="shared" ref="AL2959:AL2970" si="286">IF(AA2959&lt;&gt;AB2959,1,0)</f>
        <v>1</v>
      </c>
    </row>
    <row r="2960" spans="1:38" ht="15" x14ac:dyDescent="0.25">
      <c r="A2960" s="1" t="s">
        <v>9137</v>
      </c>
      <c r="B2960" s="1" t="s">
        <v>9138</v>
      </c>
      <c r="C2960" s="1" t="s">
        <v>373</v>
      </c>
      <c r="D2960" s="1" t="s">
        <v>373</v>
      </c>
      <c r="E2960" s="6">
        <v>168.19</v>
      </c>
      <c r="F2960" s="1" t="s">
        <v>53</v>
      </c>
      <c r="G2960" s="6">
        <f ca="1">IFERROR(__xludf.DUMMYFUNCTION("iferror(GOOGLEFINANCE(TRIM(F2960)&amp;"":"" &amp; TRIM(B2960), ""price""),0
)"),0)</f>
        <v>0</v>
      </c>
      <c r="H2960" s="6">
        <v>359</v>
      </c>
      <c r="I2960" s="6">
        <f t="shared" ca="1" si="0"/>
        <v>359</v>
      </c>
      <c r="J2960" s="6">
        <f ca="1">IFERROR(__xludf.DUMMYFUNCTION("IFERROR(GOOGLEFINANCE(B2960, ""volume""), 0)"),0)</f>
        <v>0</v>
      </c>
      <c r="K2960" s="6">
        <v>5.88</v>
      </c>
      <c r="L2960" s="6">
        <f ca="1">IFERROR(__xludf.DUMMYFUNCTION("IFERROR(GOOGLEFINANCE(B2960,""changepct""),K2960)"),5.88)</f>
        <v>5.88</v>
      </c>
      <c r="M2960" s="6">
        <f ca="1">IFERROR(__xludf.DUMMYFUNCTION("IFERROR(GOOGLEFINANCE(B2960,""change""),0)"),0)</f>
        <v>0</v>
      </c>
      <c r="N2960" s="6">
        <v>1</v>
      </c>
      <c r="O2960" s="7">
        <v>45536</v>
      </c>
      <c r="P2960" s="6">
        <v>4.29</v>
      </c>
      <c r="Q2960" s="6">
        <v>156.88</v>
      </c>
      <c r="R2960" s="7">
        <v>45536</v>
      </c>
      <c r="S2960" s="6">
        <v>132.46</v>
      </c>
      <c r="T2960" s="6">
        <v>11.9</v>
      </c>
      <c r="U2960" s="7">
        <v>45536</v>
      </c>
      <c r="V2960" s="6">
        <v>14.14</v>
      </c>
      <c r="W2960" s="6">
        <f ca="1">IFERROR(__xludf.DUMMYFUNCTION("IFERROR(GOOGLEFINANCE(B2960,""pe""),V2960)"),14.14)</f>
        <v>14.14</v>
      </c>
      <c r="X2960" s="6">
        <v>0.74</v>
      </c>
      <c r="Y2960" s="6">
        <v>2.12</v>
      </c>
      <c r="Z2960" s="6">
        <v>1</v>
      </c>
      <c r="AA2960" s="8">
        <v>45352</v>
      </c>
      <c r="AB2960" s="4">
        <v>0.04</v>
      </c>
      <c r="AC2960" s="6">
        <v>16.690000000000001</v>
      </c>
      <c r="AD2960" s="6">
        <v>20.38</v>
      </c>
      <c r="AE2960" s="1">
        <v>0</v>
      </c>
      <c r="AF2960" s="1">
        <f ca="1">IFERROR(__xludf.DUMMYFUNCTION("IFERROR(GOOGLEFINANCE(TRIM(F2960)&amp;"":"" &amp; TRIM(B2960),""high52""),AE2960)"),0)</f>
        <v>0</v>
      </c>
      <c r="AG2960" s="1">
        <v>0</v>
      </c>
      <c r="AH2960" s="1">
        <f ca="1">IFERROR(__xludf.DUMMYFUNCTION("IFERROR(GOOGLEFINANCE(TRIM(F2960)&amp;"":"" &amp; TRIM(B2960),""low52""),AE2960)"),0)</f>
        <v>0</v>
      </c>
      <c r="AI2960" s="1">
        <f ca="1">IFERROR(__xludf.DUMMYFUNCTION("IFERROR(GOOGLEFINANCE(B2960,""eps""),0)"),0)</f>
        <v>0</v>
      </c>
      <c r="AJ2960" s="1"/>
      <c r="AK2960" s="1" t="s">
        <v>9139</v>
      </c>
      <c r="AL2960" s="9">
        <f t="shared" si="286"/>
        <v>1</v>
      </c>
    </row>
    <row r="2961" spans="1:38" ht="15" x14ac:dyDescent="0.25">
      <c r="A2961" s="1" t="s">
        <v>9140</v>
      </c>
      <c r="B2961" s="1" t="s">
        <v>9141</v>
      </c>
      <c r="C2961" s="1" t="s">
        <v>525</v>
      </c>
      <c r="D2961" s="1" t="s">
        <v>525</v>
      </c>
      <c r="E2961" s="6">
        <v>59817.760000000002</v>
      </c>
      <c r="F2961" s="1" t="s">
        <v>40</v>
      </c>
      <c r="G2961" s="6">
        <f ca="1">IFERROR(__xludf.DUMMYFUNCTION("iferror(GOOGLEFINANCE(TRIM(F2961)&amp;"":"" &amp; TRIM(B2961), ""price""),0
)"),738)</f>
        <v>738</v>
      </c>
      <c r="H2961" s="6">
        <v>1362</v>
      </c>
      <c r="I2961" s="6">
        <f t="shared" ca="1" si="0"/>
        <v>738</v>
      </c>
      <c r="J2961" s="6">
        <f ca="1">IFERROR(__xludf.DUMMYFUNCTION("IFERROR(GOOGLEFINANCE(B2961, ""volume""), 0)"),2593795)</f>
        <v>2593795</v>
      </c>
      <c r="K2961" s="6">
        <v>2.58</v>
      </c>
      <c r="L2961" s="6">
        <f ca="1">IFERROR(__xludf.DUMMYFUNCTION("IFERROR(GOOGLEFINANCE(B2961,""changepct""),K2961)"),6.73)</f>
        <v>6.73</v>
      </c>
      <c r="M2961" s="6">
        <f ca="1">IFERROR(__xludf.DUMMYFUNCTION("IFERROR(GOOGLEFINANCE(B2961,""change""),0)"),46.55)</f>
        <v>46.55</v>
      </c>
      <c r="N2961" s="6">
        <v>2</v>
      </c>
      <c r="O2961" s="7">
        <v>45536</v>
      </c>
      <c r="P2961" s="6">
        <v>1249.25</v>
      </c>
      <c r="Q2961" s="6">
        <v>59213.59</v>
      </c>
      <c r="R2961" s="14"/>
      <c r="S2961" s="9"/>
      <c r="T2961" s="9"/>
      <c r="U2961" s="7">
        <v>45352</v>
      </c>
      <c r="V2961" s="6">
        <v>258.55</v>
      </c>
      <c r="W2961" s="6">
        <f ca="1">IFERROR(__xludf.DUMMYFUNCTION("IFERROR(GOOGLEFINANCE(B2961,""pe""),V2961)"),26.16)</f>
        <v>26.16</v>
      </c>
      <c r="X2961" s="9"/>
      <c r="Y2961" s="6">
        <v>26.02</v>
      </c>
      <c r="Z2961" s="6">
        <v>2</v>
      </c>
      <c r="AA2961" s="8">
        <v>45352</v>
      </c>
      <c r="AB2961" s="4">
        <v>2.17</v>
      </c>
      <c r="AC2961" s="6">
        <v>44.02</v>
      </c>
      <c r="AD2961" s="6">
        <v>25.54</v>
      </c>
      <c r="AE2961" s="1">
        <v>0</v>
      </c>
      <c r="AF2961" s="1">
        <f ca="1">IFERROR(__xludf.DUMMYFUNCTION("IFERROR(GOOGLEFINANCE(TRIM(F2961)&amp;"":"" &amp; TRIM(B2961),""high52""),AE2961)"),1170)</f>
        <v>1170</v>
      </c>
      <c r="AG2961" s="1">
        <v>0</v>
      </c>
      <c r="AH2961" s="1">
        <f ca="1">IFERROR(__xludf.DUMMYFUNCTION("IFERROR(GOOGLEFINANCE(TRIM(F2961)&amp;"":"" &amp; TRIM(B2961),""low52""),AE2961)"),660)</f>
        <v>660</v>
      </c>
      <c r="AI2961" s="1">
        <f ca="1">IFERROR(__xludf.DUMMYFUNCTION("IFERROR(GOOGLEFINANCE(B2961,""eps""),0)"),28.21)</f>
        <v>28.21</v>
      </c>
      <c r="AJ2961" s="1"/>
      <c r="AK2961" s="1" t="s">
        <v>9142</v>
      </c>
      <c r="AL2961" s="9">
        <f t="shared" si="286"/>
        <v>1</v>
      </c>
    </row>
    <row r="2962" spans="1:38" ht="15" x14ac:dyDescent="0.25">
      <c r="A2962" s="1" t="s">
        <v>9143</v>
      </c>
      <c r="B2962" s="1" t="s">
        <v>9144</v>
      </c>
      <c r="C2962" s="1" t="s">
        <v>135</v>
      </c>
      <c r="D2962" s="1" t="s">
        <v>135</v>
      </c>
      <c r="E2962" s="6">
        <v>2876.22</v>
      </c>
      <c r="F2962" s="1" t="s">
        <v>40</v>
      </c>
      <c r="G2962" s="6">
        <f ca="1">IFERROR(__xludf.DUMMYFUNCTION("iferror(GOOGLEFINANCE(TRIM(F2962)&amp;"":"" &amp; TRIM(B2962), ""price""),0
)"),487.95)</f>
        <v>487.95</v>
      </c>
      <c r="H2962" s="6">
        <v>547</v>
      </c>
      <c r="I2962" s="6">
        <f t="shared" ca="1" si="0"/>
        <v>487.95</v>
      </c>
      <c r="J2962" s="6">
        <f ca="1">IFERROR(__xludf.DUMMYFUNCTION("IFERROR(GOOGLEFINANCE(B2962, ""volume""), 0)"),192461)</f>
        <v>192461</v>
      </c>
      <c r="K2962" s="6">
        <v>2.34</v>
      </c>
      <c r="L2962" s="6">
        <f ca="1">IFERROR(__xludf.DUMMYFUNCTION("IFERROR(GOOGLEFINANCE(B2962,""changepct""),K2962)"),1.32)</f>
        <v>1.32</v>
      </c>
      <c r="M2962" s="6">
        <f ca="1">IFERROR(__xludf.DUMMYFUNCTION("IFERROR(GOOGLEFINANCE(B2962,""change""),0)"),6.35)</f>
        <v>6.35</v>
      </c>
      <c r="N2962" s="6">
        <v>2</v>
      </c>
      <c r="O2962" s="7">
        <v>45352</v>
      </c>
      <c r="P2962" s="6">
        <v>61.45</v>
      </c>
      <c r="Q2962" s="6">
        <v>2908.43</v>
      </c>
      <c r="R2962" s="7">
        <v>45536</v>
      </c>
      <c r="S2962" s="6">
        <v>308.8</v>
      </c>
      <c r="T2962" s="6">
        <v>24.25</v>
      </c>
      <c r="U2962" s="7">
        <v>45536</v>
      </c>
      <c r="V2962" s="6">
        <v>118.89</v>
      </c>
      <c r="W2962" s="6">
        <f ca="1">IFERROR(__xludf.DUMMYFUNCTION("IFERROR(GOOGLEFINANCE(B2962,""pe""),V2962)"),56.9)</f>
        <v>56.9</v>
      </c>
      <c r="X2962" s="6">
        <v>5.92</v>
      </c>
      <c r="Y2962" s="6">
        <v>12.19</v>
      </c>
      <c r="Z2962" s="6">
        <v>2</v>
      </c>
      <c r="AA2962" s="8">
        <v>45352</v>
      </c>
      <c r="AB2962" s="4">
        <v>0.28000000000000003</v>
      </c>
      <c r="AC2962" s="6">
        <v>13.7</v>
      </c>
      <c r="AD2962" s="6">
        <v>18.28</v>
      </c>
      <c r="AE2962" s="1">
        <v>0</v>
      </c>
      <c r="AF2962" s="1">
        <f ca="1">IFERROR(__xludf.DUMMYFUNCTION("IFERROR(GOOGLEFINANCE(TRIM(F2962)&amp;"":"" &amp; TRIM(B2962),""high52""),AE2962)"),684)</f>
        <v>684</v>
      </c>
      <c r="AG2962" s="1">
        <v>0</v>
      </c>
      <c r="AH2962" s="1">
        <f ca="1">IFERROR(__xludf.DUMMYFUNCTION("IFERROR(GOOGLEFINANCE(TRIM(F2962)&amp;"":"" &amp; TRIM(B2962),""low52""),AE2962)"),309.15)</f>
        <v>309.14999999999998</v>
      </c>
      <c r="AI2962" s="1">
        <f ca="1">IFERROR(__xludf.DUMMYFUNCTION("IFERROR(GOOGLEFINANCE(B2962,""eps""),0)"),8.58)</f>
        <v>8.58</v>
      </c>
      <c r="AJ2962" s="1"/>
      <c r="AK2962" s="1" t="s">
        <v>9145</v>
      </c>
      <c r="AL2962" s="9">
        <f t="shared" si="286"/>
        <v>1</v>
      </c>
    </row>
    <row r="2963" spans="1:38" ht="15" x14ac:dyDescent="0.25">
      <c r="A2963" s="1" t="s">
        <v>9146</v>
      </c>
      <c r="B2963" s="1" t="s">
        <v>9147</v>
      </c>
      <c r="C2963" s="1" t="s">
        <v>373</v>
      </c>
      <c r="D2963" s="1" t="s">
        <v>373</v>
      </c>
      <c r="E2963" s="6">
        <v>29.44</v>
      </c>
      <c r="F2963" s="1" t="s">
        <v>53</v>
      </c>
      <c r="G2963" s="6">
        <f ca="1">IFERROR(__xludf.DUMMYFUNCTION("iferror(GOOGLEFINANCE(TRIM(F2963)&amp;"":"" &amp; TRIM(B2963), ""price""),0
)"),0)</f>
        <v>0</v>
      </c>
      <c r="H2963" s="6">
        <v>14.61</v>
      </c>
      <c r="I2963" s="6">
        <f t="shared" ca="1" si="0"/>
        <v>14.61</v>
      </c>
      <c r="J2963" s="6">
        <f ca="1">IFERROR(__xludf.DUMMYFUNCTION("IFERROR(GOOGLEFINANCE(B2963, ""volume""), 0)"),0)</f>
        <v>0</v>
      </c>
      <c r="K2963" s="6">
        <v>0</v>
      </c>
      <c r="L2963" s="6">
        <f ca="1">IFERROR(__xludf.DUMMYFUNCTION("IFERROR(GOOGLEFINANCE(B2963,""changepct""),K2963)"),0)</f>
        <v>0</v>
      </c>
      <c r="M2963" s="6">
        <f ca="1">IFERROR(__xludf.DUMMYFUNCTION("IFERROR(GOOGLEFINANCE(B2963,""change""),0)"),0)</f>
        <v>0</v>
      </c>
      <c r="N2963" s="6">
        <v>1</v>
      </c>
      <c r="O2963" s="7">
        <v>45536</v>
      </c>
      <c r="P2963" s="6">
        <v>2.4900000000000002</v>
      </c>
      <c r="Q2963" s="6">
        <v>31.93</v>
      </c>
      <c r="R2963" s="7">
        <v>45536</v>
      </c>
      <c r="S2963" s="6">
        <v>6.22</v>
      </c>
      <c r="T2963" s="6">
        <v>50.44</v>
      </c>
      <c r="U2963" s="7">
        <v>45536</v>
      </c>
      <c r="V2963" s="6">
        <v>0.57999999999999996</v>
      </c>
      <c r="W2963" s="6">
        <f ca="1">IFERROR(__xludf.DUMMYFUNCTION("IFERROR(GOOGLEFINANCE(B2963,""pe""),V2963)"),0.58)</f>
        <v>0.57999999999999996</v>
      </c>
      <c r="X2963" s="6">
        <v>-0.03</v>
      </c>
      <c r="Y2963" s="6">
        <v>0.99</v>
      </c>
      <c r="Z2963" s="6">
        <v>2</v>
      </c>
      <c r="AA2963" s="8">
        <v>44986</v>
      </c>
      <c r="AB2963" s="4">
        <v>-2.73</v>
      </c>
      <c r="AC2963" s="6">
        <v>0</v>
      </c>
      <c r="AD2963" s="6">
        <v>12.99</v>
      </c>
      <c r="AE2963" s="1">
        <v>0</v>
      </c>
      <c r="AF2963" s="1">
        <f ca="1">IFERROR(__xludf.DUMMYFUNCTION("IFERROR(GOOGLEFINANCE(TRIM(F2963)&amp;"":"" &amp; TRIM(B2963),""high52""),AE2963)"),0)</f>
        <v>0</v>
      </c>
      <c r="AG2963" s="1">
        <v>0</v>
      </c>
      <c r="AH2963" s="1">
        <f ca="1">IFERROR(__xludf.DUMMYFUNCTION("IFERROR(GOOGLEFINANCE(TRIM(F2963)&amp;"":"" &amp; TRIM(B2963),""low52""),AE2963)"),0)</f>
        <v>0</v>
      </c>
      <c r="AI2963" s="1">
        <f ca="1">IFERROR(__xludf.DUMMYFUNCTION("IFERROR(GOOGLEFINANCE(B2963,""eps""),0)"),0)</f>
        <v>0</v>
      </c>
      <c r="AJ2963" s="1"/>
      <c r="AK2963" s="1" t="s">
        <v>9148</v>
      </c>
      <c r="AL2963" s="9">
        <f t="shared" si="286"/>
        <v>1</v>
      </c>
    </row>
    <row r="2964" spans="1:38" ht="15" x14ac:dyDescent="0.25">
      <c r="A2964" s="1" t="s">
        <v>9149</v>
      </c>
      <c r="B2964" s="1" t="s">
        <v>9150</v>
      </c>
      <c r="C2964" s="1" t="s">
        <v>373</v>
      </c>
      <c r="D2964" s="1" t="s">
        <v>373</v>
      </c>
      <c r="E2964" s="6">
        <v>5.36</v>
      </c>
      <c r="F2964" s="1" t="s">
        <v>53</v>
      </c>
      <c r="G2964" s="6">
        <f ca="1">IFERROR(__xludf.DUMMYFUNCTION("iferror(GOOGLEFINANCE(TRIM(F2964)&amp;"":"" &amp; TRIM(B2964), ""price""),0
)"),0)</f>
        <v>0</v>
      </c>
      <c r="H2964" s="6">
        <v>10.95</v>
      </c>
      <c r="I2964" s="6">
        <f t="shared" ca="1" si="0"/>
        <v>10.95</v>
      </c>
      <c r="J2964" s="6">
        <f ca="1">IFERROR(__xludf.DUMMYFUNCTION("IFERROR(GOOGLEFINANCE(B2964, ""volume""), 0)"),0)</f>
        <v>0</v>
      </c>
      <c r="K2964" s="12"/>
      <c r="L2964" s="6" t="str">
        <f ca="1">IFERROR(__xludf.DUMMYFUNCTION("IFERROR(GOOGLEFINANCE(B2964,""changepct""),K2964)"),"")</f>
        <v/>
      </c>
      <c r="M2964" s="6">
        <f ca="1">IFERROR(__xludf.DUMMYFUNCTION("IFERROR(GOOGLEFINANCE(B2964,""change""),0)"),0)</f>
        <v>0</v>
      </c>
      <c r="N2964" s="6">
        <v>1</v>
      </c>
      <c r="O2964" s="7">
        <v>45536</v>
      </c>
      <c r="P2964" s="6">
        <v>2.02</v>
      </c>
      <c r="Q2964" s="6">
        <v>7.29</v>
      </c>
      <c r="R2964" s="7">
        <v>45536</v>
      </c>
      <c r="S2964" s="6">
        <v>0.02</v>
      </c>
      <c r="T2964" s="6">
        <v>-0.6</v>
      </c>
      <c r="U2964" s="7">
        <v>45536</v>
      </c>
      <c r="V2964" s="6">
        <v>0</v>
      </c>
      <c r="W2964" s="6">
        <f ca="1">IFERROR(__xludf.DUMMYFUNCTION("IFERROR(GOOGLEFINANCE(B2964,""pe""),V2964)"),0)</f>
        <v>0</v>
      </c>
      <c r="X2964" s="6">
        <v>0</v>
      </c>
      <c r="Y2964" s="6">
        <v>-0.63</v>
      </c>
      <c r="Z2964" s="6">
        <v>1</v>
      </c>
      <c r="AA2964" s="8">
        <v>45352</v>
      </c>
      <c r="AB2964" s="4">
        <v>-0.25</v>
      </c>
      <c r="AC2964" s="6">
        <v>0</v>
      </c>
      <c r="AD2964" s="6">
        <v>0</v>
      </c>
      <c r="AE2964" s="1">
        <v>0</v>
      </c>
      <c r="AF2964" s="1">
        <f ca="1">IFERROR(__xludf.DUMMYFUNCTION("IFERROR(GOOGLEFINANCE(TRIM(F2964)&amp;"":"" &amp; TRIM(B2964),""high52""),AE2964)"),0)</f>
        <v>0</v>
      </c>
      <c r="AG2964" s="1">
        <v>0</v>
      </c>
      <c r="AH2964" s="1">
        <f ca="1">IFERROR(__xludf.DUMMYFUNCTION("IFERROR(GOOGLEFINANCE(TRIM(F2964)&amp;"":"" &amp; TRIM(B2964),""low52""),AE2964)"),0)</f>
        <v>0</v>
      </c>
      <c r="AI2964" s="1">
        <f ca="1">IFERROR(__xludf.DUMMYFUNCTION("IFERROR(GOOGLEFINANCE(B2964,""eps""),0)"),0)</f>
        <v>0</v>
      </c>
      <c r="AJ2964" s="1"/>
      <c r="AK2964" s="1" t="s">
        <v>9151</v>
      </c>
      <c r="AL2964" s="9">
        <f t="shared" si="286"/>
        <v>1</v>
      </c>
    </row>
    <row r="2965" spans="1:38" ht="15" x14ac:dyDescent="0.25">
      <c r="A2965" s="1" t="s">
        <v>9152</v>
      </c>
      <c r="B2965" s="1" t="s">
        <v>9153</v>
      </c>
      <c r="C2965" s="1" t="s">
        <v>416</v>
      </c>
      <c r="D2965" s="1" t="s">
        <v>416</v>
      </c>
      <c r="E2965" s="6">
        <v>10.45</v>
      </c>
      <c r="F2965" s="1" t="s">
        <v>40</v>
      </c>
      <c r="G2965" s="6">
        <f ca="1">IFERROR(__xludf.DUMMYFUNCTION("iferror(GOOGLEFINANCE(TRIM(F2965)&amp;"":"" &amp; TRIM(B2965), ""price""),0
)"),3.05)</f>
        <v>3.05</v>
      </c>
      <c r="H2965" s="6">
        <v>3.65</v>
      </c>
      <c r="I2965" s="6">
        <f t="shared" ca="1" si="0"/>
        <v>3.05</v>
      </c>
      <c r="J2965" s="6">
        <f ca="1">IFERROR(__xludf.DUMMYFUNCTION("IFERROR(GOOGLEFINANCE(B2965, ""volume""), 0)"),31586)</f>
        <v>31586</v>
      </c>
      <c r="K2965" s="6">
        <v>4.8899999999999997</v>
      </c>
      <c r="L2965" s="6">
        <f ca="1">IFERROR(__xludf.DUMMYFUNCTION("IFERROR(GOOGLEFINANCE(B2965,""changepct""),K2965)"),-4.09)</f>
        <v>-4.09</v>
      </c>
      <c r="M2965" s="6">
        <f ca="1">IFERROR(__xludf.DUMMYFUNCTION("IFERROR(GOOGLEFINANCE(B2965,""change""),0)"),-0.13)</f>
        <v>-0.13</v>
      </c>
      <c r="N2965" s="6">
        <v>2</v>
      </c>
      <c r="O2965" s="7">
        <v>45536</v>
      </c>
      <c r="P2965" s="6">
        <v>167.11</v>
      </c>
      <c r="Q2965" s="6">
        <v>162.16999999999999</v>
      </c>
      <c r="R2965" s="7">
        <v>45536</v>
      </c>
      <c r="S2965" s="6">
        <v>0</v>
      </c>
      <c r="T2965" s="6">
        <v>-8.24</v>
      </c>
      <c r="U2965" s="7">
        <v>45536</v>
      </c>
      <c r="V2965" s="6">
        <v>0</v>
      </c>
      <c r="W2965" s="6">
        <f ca="1">IFERROR(__xludf.DUMMYFUNCTION("IFERROR(GOOGLEFINANCE(B2965,""pe""),V2965)"),0)</f>
        <v>0</v>
      </c>
      <c r="X2965" s="6">
        <v>0</v>
      </c>
      <c r="Y2965" s="6">
        <v>-0.03</v>
      </c>
      <c r="Z2965" s="6">
        <v>2</v>
      </c>
      <c r="AA2965" s="8">
        <v>45352</v>
      </c>
      <c r="AB2965" s="4">
        <v>-0.51</v>
      </c>
      <c r="AC2965" s="6">
        <v>0</v>
      </c>
      <c r="AD2965" s="6">
        <v>0</v>
      </c>
      <c r="AE2965" s="1">
        <v>0</v>
      </c>
      <c r="AF2965" s="1">
        <f ca="1">IFERROR(__xludf.DUMMYFUNCTION("IFERROR(GOOGLEFINANCE(TRIM(F2965)&amp;"":"" &amp; TRIM(B2965),""high52""),AE2965)"),4.34)</f>
        <v>4.34</v>
      </c>
      <c r="AG2965" s="1">
        <v>0</v>
      </c>
      <c r="AH2965" s="1">
        <f ca="1">IFERROR(__xludf.DUMMYFUNCTION("IFERROR(GOOGLEFINANCE(TRIM(F2965)&amp;"":"" &amp; TRIM(B2965),""low52""),AE2965)"),2.55)</f>
        <v>2.5499999999999998</v>
      </c>
      <c r="AI2965" s="1">
        <f ca="1">IFERROR(__xludf.DUMMYFUNCTION("IFERROR(GOOGLEFINANCE(B2965,""eps""),0)"),-2.18)</f>
        <v>-2.1800000000000002</v>
      </c>
      <c r="AJ2965" s="1"/>
      <c r="AK2965" s="1" t="s">
        <v>9154</v>
      </c>
      <c r="AL2965" s="9">
        <f t="shared" si="286"/>
        <v>1</v>
      </c>
    </row>
    <row r="2966" spans="1:38" ht="15" x14ac:dyDescent="0.25">
      <c r="A2966" s="1" t="s">
        <v>9155</v>
      </c>
      <c r="B2966" s="1" t="s">
        <v>9156</v>
      </c>
      <c r="C2966" s="1" t="s">
        <v>373</v>
      </c>
      <c r="D2966" s="1" t="s">
        <v>373</v>
      </c>
      <c r="E2966" s="6">
        <v>114.47</v>
      </c>
      <c r="F2966" s="1" t="s">
        <v>53</v>
      </c>
      <c r="G2966" s="6">
        <f ca="1">IFERROR(__xludf.DUMMYFUNCTION("iferror(GOOGLEFINANCE(TRIM(F2966)&amp;"":"" &amp; TRIM(B2966), ""price""),0
)"),0)</f>
        <v>0</v>
      </c>
      <c r="H2966" s="6">
        <v>102.35</v>
      </c>
      <c r="I2966" s="6">
        <f t="shared" ca="1" si="0"/>
        <v>102.35</v>
      </c>
      <c r="J2966" s="6">
        <f ca="1">IFERROR(__xludf.DUMMYFUNCTION("IFERROR(GOOGLEFINANCE(B2966, ""volume""), 0)"),0)</f>
        <v>0</v>
      </c>
      <c r="K2966" s="6">
        <v>-3.53</v>
      </c>
      <c r="L2966" s="6">
        <f ca="1">IFERROR(__xludf.DUMMYFUNCTION("IFERROR(GOOGLEFINANCE(B2966,""changepct""),K2966)"),-3.53)</f>
        <v>-3.53</v>
      </c>
      <c r="M2966" s="6">
        <f ca="1">IFERROR(__xludf.DUMMYFUNCTION("IFERROR(GOOGLEFINANCE(B2966,""change""),0)"),0)</f>
        <v>0</v>
      </c>
      <c r="N2966" s="6">
        <v>1</v>
      </c>
      <c r="O2966" s="7">
        <v>45536</v>
      </c>
      <c r="P2966" s="6">
        <v>38.82</v>
      </c>
      <c r="Q2966" s="6">
        <v>148.84</v>
      </c>
      <c r="R2966" s="7">
        <v>45536</v>
      </c>
      <c r="S2966" s="6">
        <v>249.45</v>
      </c>
      <c r="T2966" s="6">
        <v>1.55</v>
      </c>
      <c r="U2966" s="7">
        <v>45536</v>
      </c>
      <c r="V2966" s="6">
        <v>73.66</v>
      </c>
      <c r="W2966" s="6">
        <f ca="1">IFERROR(__xludf.DUMMYFUNCTION("IFERROR(GOOGLEFINANCE(B2966,""pe""),V2966)"),73.66)</f>
        <v>73.66</v>
      </c>
      <c r="X2966" s="6">
        <v>-35.24</v>
      </c>
      <c r="Y2966" s="6">
        <v>3.85</v>
      </c>
      <c r="Z2966" s="6">
        <v>1</v>
      </c>
      <c r="AA2966" s="8">
        <v>45352</v>
      </c>
      <c r="AB2966" s="4">
        <v>1.27</v>
      </c>
      <c r="AC2966" s="6">
        <v>5.21</v>
      </c>
      <c r="AD2966" s="6">
        <v>6.93</v>
      </c>
      <c r="AE2966" s="1">
        <v>0</v>
      </c>
      <c r="AF2966" s="1">
        <f ca="1">IFERROR(__xludf.DUMMYFUNCTION("IFERROR(GOOGLEFINANCE(TRIM(F2966)&amp;"":"" &amp; TRIM(B2966),""high52""),AE2966)"),0)</f>
        <v>0</v>
      </c>
      <c r="AG2966" s="1">
        <v>0</v>
      </c>
      <c r="AH2966" s="1">
        <f ca="1">IFERROR(__xludf.DUMMYFUNCTION("IFERROR(GOOGLEFINANCE(TRIM(F2966)&amp;"":"" &amp; TRIM(B2966),""low52""),AE2966)"),0)</f>
        <v>0</v>
      </c>
      <c r="AI2966" s="1">
        <f ca="1">IFERROR(__xludf.DUMMYFUNCTION("IFERROR(GOOGLEFINANCE(B2966,""eps""),0)"),0)</f>
        <v>0</v>
      </c>
      <c r="AJ2966" s="1"/>
      <c r="AK2966" s="1" t="s">
        <v>9157</v>
      </c>
      <c r="AL2966" s="9">
        <f t="shared" si="286"/>
        <v>1</v>
      </c>
    </row>
    <row r="2967" spans="1:38" ht="15" x14ac:dyDescent="0.25">
      <c r="A2967" s="1" t="s">
        <v>9158</v>
      </c>
      <c r="B2967" s="1" t="s">
        <v>9159</v>
      </c>
      <c r="C2967" s="1" t="s">
        <v>82</v>
      </c>
      <c r="D2967" s="1" t="s">
        <v>82</v>
      </c>
      <c r="E2967" s="6">
        <v>853.65</v>
      </c>
      <c r="F2967" s="1" t="s">
        <v>40</v>
      </c>
      <c r="G2967" s="6">
        <f ca="1">IFERROR(__xludf.DUMMYFUNCTION("iferror(GOOGLEFINANCE(TRIM(F2967)&amp;"":"" &amp; TRIM(B2967), ""price""),0
)"),50.12)</f>
        <v>50.12</v>
      </c>
      <c r="H2967" s="6">
        <v>84.75</v>
      </c>
      <c r="I2967" s="6">
        <f t="shared" ca="1" si="0"/>
        <v>50.12</v>
      </c>
      <c r="J2967" s="6">
        <f ca="1">IFERROR(__xludf.DUMMYFUNCTION("IFERROR(GOOGLEFINANCE(B2967, ""volume""), 0)"),103481)</f>
        <v>103481</v>
      </c>
      <c r="K2967" s="6">
        <v>4.47</v>
      </c>
      <c r="L2967" s="6">
        <f ca="1">IFERROR(__xludf.DUMMYFUNCTION("IFERROR(GOOGLEFINANCE(B2967,""changepct""),K2967)"),1.01)</f>
        <v>1.01</v>
      </c>
      <c r="M2967" s="6">
        <f ca="1">IFERROR(__xludf.DUMMYFUNCTION("IFERROR(GOOGLEFINANCE(B2967,""change""),0)"),0.5)</f>
        <v>0.5</v>
      </c>
      <c r="N2967" s="6">
        <v>1</v>
      </c>
      <c r="O2967" s="7">
        <v>45536</v>
      </c>
      <c r="P2967" s="9"/>
      <c r="Q2967" s="6">
        <v>853.65</v>
      </c>
      <c r="R2967" s="7">
        <v>45536</v>
      </c>
      <c r="S2967" s="6">
        <v>299.51</v>
      </c>
      <c r="T2967" s="6">
        <v>24.67</v>
      </c>
      <c r="U2967" s="7">
        <v>45536</v>
      </c>
      <c r="V2967" s="6">
        <v>34.6</v>
      </c>
      <c r="W2967" s="6">
        <f ca="1">IFERROR(__xludf.DUMMYFUNCTION("IFERROR(GOOGLEFINANCE(B2967,""pe""),V2967)"),18.21)</f>
        <v>18.21</v>
      </c>
      <c r="X2967" s="6">
        <v>0.97</v>
      </c>
      <c r="Y2967" s="6">
        <v>8.02</v>
      </c>
      <c r="Z2967" s="6">
        <v>1</v>
      </c>
      <c r="AA2967" s="8">
        <v>45352</v>
      </c>
      <c r="AB2967" s="4">
        <v>0.16</v>
      </c>
      <c r="AC2967" s="6">
        <v>24.51</v>
      </c>
      <c r="AD2967" s="6">
        <v>27.08</v>
      </c>
      <c r="AE2967" s="1">
        <v>0</v>
      </c>
      <c r="AF2967" s="1">
        <f ca="1">IFERROR(__xludf.DUMMYFUNCTION("IFERROR(GOOGLEFINANCE(TRIM(F2967)&amp;"":"" &amp; TRIM(B2967),""high52""),AE2967)"),76)</f>
        <v>76</v>
      </c>
      <c r="AG2967" s="1">
        <v>0</v>
      </c>
      <c r="AH2967" s="1">
        <f ca="1">IFERROR(__xludf.DUMMYFUNCTION("IFERROR(GOOGLEFINANCE(TRIM(F2967)&amp;"":"" &amp; TRIM(B2967),""low52""),AE2967)"),38)</f>
        <v>38</v>
      </c>
      <c r="AI2967" s="1">
        <f ca="1">IFERROR(__xludf.DUMMYFUNCTION("IFERROR(GOOGLEFINANCE(B2967,""eps""),0)"),2.75)</f>
        <v>2.75</v>
      </c>
      <c r="AJ2967" s="1"/>
      <c r="AK2967" s="1" t="s">
        <v>9160</v>
      </c>
      <c r="AL2967" s="9">
        <f t="shared" si="286"/>
        <v>1</v>
      </c>
    </row>
    <row r="2968" spans="1:38" ht="15" x14ac:dyDescent="0.25">
      <c r="A2968" s="1" t="s">
        <v>9161</v>
      </c>
      <c r="B2968" s="1" t="s">
        <v>9162</v>
      </c>
      <c r="C2968" s="1" t="s">
        <v>373</v>
      </c>
      <c r="D2968" s="1" t="s">
        <v>373</v>
      </c>
      <c r="E2968" s="6">
        <v>4.0599999999999996</v>
      </c>
      <c r="F2968" s="1" t="s">
        <v>53</v>
      </c>
      <c r="G2968" s="6">
        <f ca="1">IFERROR(__xludf.DUMMYFUNCTION("iferror(GOOGLEFINANCE(TRIM(F2968)&amp;"":"" &amp; TRIM(B2968), ""price""),0
)"),0)</f>
        <v>0</v>
      </c>
      <c r="H2968" s="6">
        <v>9.18</v>
      </c>
      <c r="I2968" s="6">
        <f t="shared" ca="1" si="0"/>
        <v>9.18</v>
      </c>
      <c r="J2968" s="6">
        <f ca="1">IFERROR(__xludf.DUMMYFUNCTION("IFERROR(GOOGLEFINANCE(B2968, ""volume""), 0)"),0)</f>
        <v>0</v>
      </c>
      <c r="K2968" s="6">
        <v>9.94</v>
      </c>
      <c r="L2968" s="6">
        <f ca="1">IFERROR(__xludf.DUMMYFUNCTION("IFERROR(GOOGLEFINANCE(B2968,""changepct""),K2968)"),9.94)</f>
        <v>9.94</v>
      </c>
      <c r="M2968" s="6">
        <f ca="1">IFERROR(__xludf.DUMMYFUNCTION("IFERROR(GOOGLEFINANCE(B2968,""change""),0)"),0)</f>
        <v>0</v>
      </c>
      <c r="N2968" s="6">
        <v>1</v>
      </c>
      <c r="O2968" s="7">
        <v>45536</v>
      </c>
      <c r="P2968" s="9"/>
      <c r="Q2968" s="6">
        <v>3.84</v>
      </c>
      <c r="R2968" s="7">
        <v>45536</v>
      </c>
      <c r="S2968" s="6">
        <v>0</v>
      </c>
      <c r="T2968" s="6">
        <v>0.03</v>
      </c>
      <c r="U2968" s="7">
        <v>45536</v>
      </c>
      <c r="V2968" s="6">
        <v>119.3</v>
      </c>
      <c r="W2968" s="6">
        <f ca="1">IFERROR(__xludf.DUMMYFUNCTION("IFERROR(GOOGLEFINANCE(B2968,""pe""),V2968)"),119.3)</f>
        <v>119.3</v>
      </c>
      <c r="X2968" s="6">
        <v>-1.94</v>
      </c>
      <c r="Y2968" s="6">
        <v>0.97</v>
      </c>
      <c r="Z2968" s="6">
        <v>1</v>
      </c>
      <c r="AA2968" s="8">
        <v>45352</v>
      </c>
      <c r="AB2968" s="4">
        <v>0</v>
      </c>
      <c r="AC2968" s="6">
        <v>0.04</v>
      </c>
      <c r="AD2968" s="6">
        <v>0.06</v>
      </c>
      <c r="AE2968" s="1">
        <v>0</v>
      </c>
      <c r="AF2968" s="1">
        <f ca="1">IFERROR(__xludf.DUMMYFUNCTION("IFERROR(GOOGLEFINANCE(TRIM(F2968)&amp;"":"" &amp; TRIM(B2968),""high52""),AE2968)"),0)</f>
        <v>0</v>
      </c>
      <c r="AG2968" s="1">
        <v>0</v>
      </c>
      <c r="AH2968" s="1">
        <f ca="1">IFERROR(__xludf.DUMMYFUNCTION("IFERROR(GOOGLEFINANCE(TRIM(F2968)&amp;"":"" &amp; TRIM(B2968),""low52""),AE2968)"),0)</f>
        <v>0</v>
      </c>
      <c r="AI2968" s="1">
        <f ca="1">IFERROR(__xludf.DUMMYFUNCTION("IFERROR(GOOGLEFINANCE(B2968,""eps""),0)"),0)</f>
        <v>0</v>
      </c>
      <c r="AJ2968" s="1"/>
      <c r="AK2968" s="1" t="s">
        <v>9163</v>
      </c>
      <c r="AL2968" s="9">
        <f t="shared" si="286"/>
        <v>1</v>
      </c>
    </row>
    <row r="2969" spans="1:38" ht="15" x14ac:dyDescent="0.25">
      <c r="A2969" s="1" t="s">
        <v>9164</v>
      </c>
      <c r="B2969" s="1" t="s">
        <v>9165</v>
      </c>
      <c r="C2969" s="1" t="s">
        <v>259</v>
      </c>
      <c r="D2969" s="1" t="s">
        <v>259</v>
      </c>
      <c r="E2969" s="6">
        <v>268.98</v>
      </c>
      <c r="F2969" s="1" t="s">
        <v>40</v>
      </c>
      <c r="G2969" s="6">
        <f ca="1">IFERROR(__xludf.DUMMYFUNCTION("iferror(GOOGLEFINANCE(TRIM(F2969)&amp;"":"" &amp; TRIM(B2969), ""price""),0
)"),0)</f>
        <v>0</v>
      </c>
      <c r="H2969" s="6">
        <v>117.65</v>
      </c>
      <c r="I2969" s="6">
        <f t="shared" ca="1" si="0"/>
        <v>117.65</v>
      </c>
      <c r="J2969" s="6">
        <f ca="1">IFERROR(__xludf.DUMMYFUNCTION("IFERROR(GOOGLEFINANCE(B2969, ""volume""), 0)"),0)</f>
        <v>0</v>
      </c>
      <c r="K2969" s="6">
        <v>0</v>
      </c>
      <c r="L2969" s="6">
        <f ca="1">IFERROR(__xludf.DUMMYFUNCTION("IFERROR(GOOGLEFINANCE(B2969,""changepct""),K2969)"),0)</f>
        <v>0</v>
      </c>
      <c r="M2969" s="6">
        <f ca="1">IFERROR(__xludf.DUMMYFUNCTION("IFERROR(GOOGLEFINANCE(B2969,""change""),0)"),0)</f>
        <v>0</v>
      </c>
      <c r="N2969" s="6">
        <v>1</v>
      </c>
      <c r="O2969" s="7">
        <v>45536</v>
      </c>
      <c r="P2969" s="6">
        <v>3.88</v>
      </c>
      <c r="Q2969" s="6">
        <v>272.86</v>
      </c>
      <c r="R2969" s="7">
        <v>45352</v>
      </c>
      <c r="S2969" s="6">
        <v>228.54</v>
      </c>
      <c r="T2969" s="6">
        <v>12.62</v>
      </c>
      <c r="U2969" s="7">
        <v>45352</v>
      </c>
      <c r="V2969" s="6">
        <v>21.31</v>
      </c>
      <c r="W2969" s="6">
        <f ca="1">IFERROR(__xludf.DUMMYFUNCTION("IFERROR(GOOGLEFINANCE(B2969,""pe""),V2969)"),21.31)</f>
        <v>21.31</v>
      </c>
      <c r="X2969" s="9"/>
      <c r="Y2969" s="6">
        <v>3.37</v>
      </c>
      <c r="Z2969" s="6">
        <v>1</v>
      </c>
      <c r="AA2969" s="8">
        <v>45352</v>
      </c>
      <c r="AB2969" s="4">
        <v>0.94</v>
      </c>
      <c r="AC2969" s="6">
        <v>37.92</v>
      </c>
      <c r="AD2969" s="6">
        <v>29.05</v>
      </c>
      <c r="AE2969" s="1">
        <v>0</v>
      </c>
      <c r="AF2969" s="1">
        <f ca="1">IFERROR(__xludf.DUMMYFUNCTION("IFERROR(GOOGLEFINANCE(TRIM(F2969)&amp;"":"" &amp; TRIM(B2969),""high52""),AE2969)"),0)</f>
        <v>0</v>
      </c>
      <c r="AG2969" s="1">
        <v>0</v>
      </c>
      <c r="AH2969" s="1">
        <f ca="1">IFERROR(__xludf.DUMMYFUNCTION("IFERROR(GOOGLEFINANCE(TRIM(F2969)&amp;"":"" &amp; TRIM(B2969),""low52""),AE2969)"),0)</f>
        <v>0</v>
      </c>
      <c r="AI2969" s="1">
        <f ca="1">IFERROR(__xludf.DUMMYFUNCTION("IFERROR(GOOGLEFINANCE(B2969,""eps""),0)"),0)</f>
        <v>0</v>
      </c>
      <c r="AJ2969" s="1"/>
      <c r="AK2969" s="1" t="s">
        <v>9166</v>
      </c>
      <c r="AL2969" s="9">
        <f t="shared" si="286"/>
        <v>1</v>
      </c>
    </row>
    <row r="2970" spans="1:38" ht="15" x14ac:dyDescent="0.25">
      <c r="A2970" s="1" t="s">
        <v>9167</v>
      </c>
      <c r="B2970" s="1" t="s">
        <v>9168</v>
      </c>
      <c r="C2970" s="1" t="s">
        <v>373</v>
      </c>
      <c r="D2970" s="1" t="s">
        <v>373</v>
      </c>
      <c r="E2970" s="6">
        <v>82.53</v>
      </c>
      <c r="F2970" s="1" t="s">
        <v>53</v>
      </c>
      <c r="G2970" s="6">
        <f ca="1">IFERROR(__xludf.DUMMYFUNCTION("iferror(GOOGLEFINANCE(TRIM(F2970)&amp;"":"" &amp; TRIM(B2970), ""price""),0
)"),0)</f>
        <v>0</v>
      </c>
      <c r="H2970" s="6">
        <v>38.47</v>
      </c>
      <c r="I2970" s="6">
        <f t="shared" ca="1" si="0"/>
        <v>38.47</v>
      </c>
      <c r="J2970" s="6">
        <f ca="1">IFERROR(__xludf.DUMMYFUNCTION("IFERROR(GOOGLEFINANCE(B2970, ""volume""), 0)"),0)</f>
        <v>0</v>
      </c>
      <c r="K2970" s="6">
        <v>2.97</v>
      </c>
      <c r="L2970" s="6">
        <f ca="1">IFERROR(__xludf.DUMMYFUNCTION("IFERROR(GOOGLEFINANCE(B2970,""changepct""),K2970)"),2.97)</f>
        <v>2.97</v>
      </c>
      <c r="M2970" s="6">
        <f ca="1">IFERROR(__xludf.DUMMYFUNCTION("IFERROR(GOOGLEFINANCE(B2970,""change""),0)"),0)</f>
        <v>0</v>
      </c>
      <c r="N2970" s="6">
        <v>1</v>
      </c>
      <c r="O2970" s="7">
        <v>45536</v>
      </c>
      <c r="P2970" s="6">
        <v>0.75</v>
      </c>
      <c r="Q2970" s="6">
        <v>82.92</v>
      </c>
      <c r="R2970" s="7">
        <v>45536</v>
      </c>
      <c r="S2970" s="6">
        <v>39.26</v>
      </c>
      <c r="T2970" s="6">
        <v>1.28</v>
      </c>
      <c r="U2970" s="7">
        <v>45536</v>
      </c>
      <c r="V2970" s="6">
        <v>64.48</v>
      </c>
      <c r="W2970" s="6">
        <f ca="1">IFERROR(__xludf.DUMMYFUNCTION("IFERROR(GOOGLEFINANCE(B2970,""pe""),V2970)"),64.48)</f>
        <v>64.48</v>
      </c>
      <c r="X2970" s="6">
        <v>-2.29</v>
      </c>
      <c r="Y2970" s="6">
        <v>2.17</v>
      </c>
      <c r="Z2970" s="6">
        <v>1</v>
      </c>
      <c r="AA2970" s="8">
        <v>45352</v>
      </c>
      <c r="AB2970" s="4">
        <v>7.86</v>
      </c>
      <c r="AC2970" s="6">
        <v>55.36</v>
      </c>
      <c r="AD2970" s="6">
        <v>4.76</v>
      </c>
      <c r="AE2970" s="1">
        <v>0</v>
      </c>
      <c r="AF2970" s="1">
        <f ca="1">IFERROR(__xludf.DUMMYFUNCTION("IFERROR(GOOGLEFINANCE(TRIM(F2970)&amp;"":"" &amp; TRIM(B2970),""high52""),AE2970)"),0)</f>
        <v>0</v>
      </c>
      <c r="AG2970" s="1">
        <v>0</v>
      </c>
      <c r="AH2970" s="1">
        <f ca="1">IFERROR(__xludf.DUMMYFUNCTION("IFERROR(GOOGLEFINANCE(TRIM(F2970)&amp;"":"" &amp; TRIM(B2970),""low52""),AE2970)"),0)</f>
        <v>0</v>
      </c>
      <c r="AI2970" s="1">
        <f ca="1">IFERROR(__xludf.DUMMYFUNCTION("IFERROR(GOOGLEFINANCE(B2970,""eps""),0)"),0)</f>
        <v>0</v>
      </c>
      <c r="AJ2970" s="1"/>
      <c r="AK2970" s="1" t="s">
        <v>9169</v>
      </c>
      <c r="AL2970" s="9">
        <f t="shared" si="286"/>
        <v>1</v>
      </c>
    </row>
    <row r="2971" spans="1:38" ht="15" x14ac:dyDescent="0.25">
      <c r="A2971" s="1" t="s">
        <v>9170</v>
      </c>
      <c r="B2971" s="1" t="s">
        <v>9171</v>
      </c>
      <c r="C2971" s="1" t="s">
        <v>355</v>
      </c>
      <c r="D2971" s="1" t="s">
        <v>355</v>
      </c>
      <c r="E2971" s="6">
        <v>82.88</v>
      </c>
      <c r="F2971" s="1" t="s">
        <v>40</v>
      </c>
      <c r="G2971" s="6">
        <f ca="1">IFERROR(__xludf.DUMMYFUNCTION("iferror(GOOGLEFINANCE(TRIM(F2971)&amp;"":"" &amp; TRIM(B2971), ""price""),0
)"),0)</f>
        <v>0</v>
      </c>
      <c r="H2971" s="6">
        <v>45.5</v>
      </c>
      <c r="I2971" s="6">
        <f t="shared" ca="1" si="0"/>
        <v>45.5</v>
      </c>
      <c r="J2971" s="6">
        <f ca="1">IFERROR(__xludf.DUMMYFUNCTION("IFERROR(GOOGLEFINANCE(B2971, ""volume""), 0)"),0)</f>
        <v>0</v>
      </c>
      <c r="K2971" s="6">
        <v>4.84</v>
      </c>
      <c r="L2971" s="6">
        <f ca="1">IFERROR(__xludf.DUMMYFUNCTION("IFERROR(GOOGLEFINANCE(B2971,""changepct""),K2971)"),4.84)</f>
        <v>4.84</v>
      </c>
      <c r="M2971" s="6">
        <f ca="1">IFERROR(__xludf.DUMMYFUNCTION("IFERROR(GOOGLEFINANCE(B2971,""change""),0)"),0)</f>
        <v>0</v>
      </c>
      <c r="N2971" s="6">
        <v>1</v>
      </c>
      <c r="O2971" s="7">
        <v>45352</v>
      </c>
      <c r="P2971" s="6">
        <v>9.7899999999999991</v>
      </c>
      <c r="Q2971" s="6">
        <v>92.47</v>
      </c>
      <c r="R2971" s="14"/>
      <c r="S2971" s="9"/>
      <c r="T2971" s="9"/>
      <c r="U2971" s="7">
        <v>45352</v>
      </c>
      <c r="V2971" s="6">
        <v>17.36</v>
      </c>
      <c r="W2971" s="6">
        <f ca="1">IFERROR(__xludf.DUMMYFUNCTION("IFERROR(GOOGLEFINANCE(B2971,""pe""),V2971)"),17.36)</f>
        <v>17.36</v>
      </c>
      <c r="X2971" s="12"/>
      <c r="Y2971" s="6">
        <v>1.54</v>
      </c>
      <c r="Z2971" s="6">
        <v>2</v>
      </c>
      <c r="AA2971" s="8">
        <v>45352</v>
      </c>
      <c r="AB2971" s="4">
        <v>0.59</v>
      </c>
      <c r="AC2971" s="6">
        <v>33.78</v>
      </c>
      <c r="AD2971" s="6">
        <v>36.200000000000003</v>
      </c>
      <c r="AE2971" s="1">
        <v>0</v>
      </c>
      <c r="AF2971" s="1">
        <f ca="1">IFERROR(__xludf.DUMMYFUNCTION("IFERROR(GOOGLEFINANCE(TRIM(F2971)&amp;"":"" &amp; TRIM(B2971),""high52""),AE2971)"),0)</f>
        <v>0</v>
      </c>
      <c r="AG2971" s="1">
        <v>0</v>
      </c>
      <c r="AH2971" s="1">
        <f ca="1">IFERROR(__xludf.DUMMYFUNCTION("IFERROR(GOOGLEFINANCE(TRIM(F2971)&amp;"":"" &amp; TRIM(B2971),""low52""),AE2971)"),0)</f>
        <v>0</v>
      </c>
      <c r="AI2971" s="1">
        <f ca="1">IFERROR(__xludf.DUMMYFUNCTION("IFERROR(GOOGLEFINANCE(B2971,""eps""),0)"),0)</f>
        <v>0</v>
      </c>
      <c r="AJ2971" s="1"/>
      <c r="AK2971" s="1" t="s">
        <v>9172</v>
      </c>
      <c r="AL2971" s="1" t="b">
        <f>ISNUMBER(AA2971)</f>
        <v>1</v>
      </c>
    </row>
    <row r="2972" spans="1:38" ht="15" x14ac:dyDescent="0.25">
      <c r="A2972" s="1" t="s">
        <v>9173</v>
      </c>
      <c r="B2972" s="1" t="s">
        <v>9174</v>
      </c>
      <c r="C2972" s="1" t="s">
        <v>112</v>
      </c>
      <c r="D2972" s="1" t="s">
        <v>112</v>
      </c>
      <c r="E2972" s="6">
        <v>92.72</v>
      </c>
      <c r="F2972" s="1" t="s">
        <v>40</v>
      </c>
      <c r="G2972" s="6">
        <f ca="1">IFERROR(__xludf.DUMMYFUNCTION("iferror(GOOGLEFINANCE(TRIM(F2972)&amp;"":"" &amp; TRIM(B2972), ""price""),0
)"),0)</f>
        <v>0</v>
      </c>
      <c r="H2972" s="6">
        <v>120.3</v>
      </c>
      <c r="I2972" s="6">
        <f t="shared" ca="1" si="0"/>
        <v>120.3</v>
      </c>
      <c r="J2972" s="6">
        <f ca="1">IFERROR(__xludf.DUMMYFUNCTION("IFERROR(GOOGLEFINANCE(B2972, ""volume""), 0)"),0)</f>
        <v>0</v>
      </c>
      <c r="K2972" s="6">
        <v>0</v>
      </c>
      <c r="L2972" s="6">
        <f ca="1">IFERROR(__xludf.DUMMYFUNCTION("IFERROR(GOOGLEFINANCE(B2972,""changepct""),K2972)"),0)</f>
        <v>0</v>
      </c>
      <c r="M2972" s="6">
        <f ca="1">IFERROR(__xludf.DUMMYFUNCTION("IFERROR(GOOGLEFINANCE(B2972,""change""),0)"),0)</f>
        <v>0</v>
      </c>
      <c r="N2972" s="6">
        <v>1</v>
      </c>
      <c r="O2972" s="7">
        <v>45536</v>
      </c>
      <c r="P2972" s="6">
        <v>9.41</v>
      </c>
      <c r="Q2972" s="6">
        <v>102.13</v>
      </c>
      <c r="R2972" s="7">
        <v>45352</v>
      </c>
      <c r="S2972" s="6">
        <v>26.19</v>
      </c>
      <c r="T2972" s="6">
        <v>2.52</v>
      </c>
      <c r="U2972" s="7">
        <v>45352</v>
      </c>
      <c r="V2972" s="6">
        <v>36.71</v>
      </c>
      <c r="W2972" s="6">
        <f ca="1">IFERROR(__xludf.DUMMYFUNCTION("IFERROR(GOOGLEFINANCE(B2972,""pe""),V2972)"),36.71)</f>
        <v>36.71</v>
      </c>
      <c r="X2972" s="9"/>
      <c r="Y2972" s="6">
        <v>3.74</v>
      </c>
      <c r="Z2972" s="6">
        <v>1</v>
      </c>
      <c r="AA2972" s="8">
        <v>45352</v>
      </c>
      <c r="AB2972" s="4">
        <v>0.56999999999999995</v>
      </c>
      <c r="AC2972" s="6">
        <v>16.989999999999998</v>
      </c>
      <c r="AD2972" s="6">
        <v>18.489999999999998</v>
      </c>
      <c r="AE2972" s="1">
        <v>0</v>
      </c>
      <c r="AF2972" s="1">
        <f ca="1">IFERROR(__xludf.DUMMYFUNCTION("IFERROR(GOOGLEFINANCE(TRIM(F2972)&amp;"":"" &amp; TRIM(B2972),""high52""),AE2972)"),0)</f>
        <v>0</v>
      </c>
      <c r="AG2972" s="1">
        <v>0</v>
      </c>
      <c r="AH2972" s="1">
        <f ca="1">IFERROR(__xludf.DUMMYFUNCTION("IFERROR(GOOGLEFINANCE(TRIM(F2972)&amp;"":"" &amp; TRIM(B2972),""low52""),AE2972)"),0)</f>
        <v>0</v>
      </c>
      <c r="AI2972" s="1">
        <f ca="1">IFERROR(__xludf.DUMMYFUNCTION("IFERROR(GOOGLEFINANCE(B2972,""eps""),0)"),0)</f>
        <v>0</v>
      </c>
      <c r="AJ2972" s="1"/>
      <c r="AK2972" s="9"/>
      <c r="AL2972" s="9">
        <f t="shared" ref="AL2972:AL2975" si="287">IF(AA2972&lt;&gt;AB2972,1,0)</f>
        <v>1</v>
      </c>
    </row>
    <row r="2973" spans="1:38" ht="15" x14ac:dyDescent="0.25">
      <c r="A2973" s="1" t="s">
        <v>9175</v>
      </c>
      <c r="B2973" s="1" t="s">
        <v>9176</v>
      </c>
      <c r="C2973" s="1" t="s">
        <v>487</v>
      </c>
      <c r="D2973" s="1" t="s">
        <v>487</v>
      </c>
      <c r="E2973" s="6">
        <v>71611.05</v>
      </c>
      <c r="F2973" s="1" t="s">
        <v>40</v>
      </c>
      <c r="G2973" s="6">
        <f ca="1">IFERROR(__xludf.DUMMYFUNCTION("iferror(GOOGLEFINANCE(TRIM(F2973)&amp;"":"" &amp; TRIM(B2973), ""price""),0
)"),1479.6)</f>
        <v>1479.6</v>
      </c>
      <c r="H2973" s="6">
        <v>1655.05</v>
      </c>
      <c r="I2973" s="6">
        <f t="shared" ca="1" si="0"/>
        <v>1479.6</v>
      </c>
      <c r="J2973" s="6">
        <f ca="1">IFERROR(__xludf.DUMMYFUNCTION("IFERROR(GOOGLEFINANCE(B2973, ""volume""), 0)"),710603)</f>
        <v>710603</v>
      </c>
      <c r="K2973" s="6">
        <v>-0.45</v>
      </c>
      <c r="L2973" s="6">
        <f ca="1">IFERROR(__xludf.DUMMYFUNCTION("IFERROR(GOOGLEFINANCE(B2973,""changepct""),K2973)"),-1.38)</f>
        <v>-1.38</v>
      </c>
      <c r="M2973" s="6">
        <f ca="1">IFERROR(__xludf.DUMMYFUNCTION("IFERROR(GOOGLEFINANCE(B2973,""change""),0)"),-20.7)</f>
        <v>-20.7</v>
      </c>
      <c r="N2973" s="6">
        <v>2</v>
      </c>
      <c r="O2973" s="7">
        <v>45536</v>
      </c>
      <c r="P2973" s="6">
        <v>10169.299999999999</v>
      </c>
      <c r="Q2973" s="6">
        <v>76900.25</v>
      </c>
      <c r="R2973" s="7">
        <v>45536</v>
      </c>
      <c r="S2973" s="6">
        <v>8126.3</v>
      </c>
      <c r="T2973" s="6">
        <v>943.1</v>
      </c>
      <c r="U2973" s="7">
        <v>45536</v>
      </c>
      <c r="V2973" s="6">
        <v>105.14</v>
      </c>
      <c r="W2973" s="6">
        <f ca="1">IFERROR(__xludf.DUMMYFUNCTION("IFERROR(GOOGLEFINANCE(B2973,""pe""),V2973)"),65.67)</f>
        <v>65.67</v>
      </c>
      <c r="X2973" s="6">
        <v>3.39</v>
      </c>
      <c r="Y2973" s="6">
        <v>4.33</v>
      </c>
      <c r="Z2973" s="6">
        <v>2</v>
      </c>
      <c r="AA2973" s="8">
        <v>45352</v>
      </c>
      <c r="AB2973" s="4">
        <v>1.02</v>
      </c>
      <c r="AC2973" s="6">
        <v>15.32</v>
      </c>
      <c r="AD2973" s="6">
        <v>16.36</v>
      </c>
      <c r="AE2973" s="1">
        <v>0</v>
      </c>
      <c r="AF2973" s="1">
        <f ca="1">IFERROR(__xludf.DUMMYFUNCTION("IFERROR(GOOGLEFINANCE(TRIM(F2973)&amp;"":"" &amp; TRIM(B2973),""high52""),AE2973)"),1814)</f>
        <v>1814</v>
      </c>
      <c r="AG2973" s="1">
        <v>0</v>
      </c>
      <c r="AH2973" s="1">
        <f ca="1">IFERROR(__xludf.DUMMYFUNCTION("IFERROR(GOOGLEFINANCE(TRIM(F2973)&amp;"":"" &amp; TRIM(B2973),""low52""),AE2973)"),1048.05)</f>
        <v>1048.05</v>
      </c>
      <c r="AI2973" s="1">
        <f ca="1">IFERROR(__xludf.DUMMYFUNCTION("IFERROR(GOOGLEFINANCE(B2973,""eps""),0)"),22.53)</f>
        <v>22.53</v>
      </c>
      <c r="AJ2973" s="1"/>
      <c r="AK2973" s="1" t="s">
        <v>9177</v>
      </c>
      <c r="AL2973" s="9">
        <f t="shared" si="287"/>
        <v>1</v>
      </c>
    </row>
    <row r="2974" spans="1:38" ht="15" x14ac:dyDescent="0.25">
      <c r="A2974" s="1" t="s">
        <v>9178</v>
      </c>
      <c r="B2974" s="1" t="s">
        <v>9179</v>
      </c>
      <c r="C2974" s="1" t="s">
        <v>373</v>
      </c>
      <c r="D2974" s="1" t="s">
        <v>373</v>
      </c>
      <c r="E2974" s="6">
        <v>56.03</v>
      </c>
      <c r="F2974" s="1" t="s">
        <v>53</v>
      </c>
      <c r="G2974" s="6">
        <f ca="1">IFERROR(__xludf.DUMMYFUNCTION("iferror(GOOGLEFINANCE(TRIM(F2974)&amp;"":"" &amp; TRIM(B2974), ""price""),0
)"),0)</f>
        <v>0</v>
      </c>
      <c r="H2974" s="6">
        <v>40.6</v>
      </c>
      <c r="I2974" s="6">
        <f t="shared" ca="1" si="0"/>
        <v>40.6</v>
      </c>
      <c r="J2974" s="6">
        <f ca="1">IFERROR(__xludf.DUMMYFUNCTION("IFERROR(GOOGLEFINANCE(B2974, ""volume""), 0)"),0)</f>
        <v>0</v>
      </c>
      <c r="K2974" s="6">
        <v>1.45</v>
      </c>
      <c r="L2974" s="6">
        <f ca="1">IFERROR(__xludf.DUMMYFUNCTION("IFERROR(GOOGLEFINANCE(B2974,""changepct""),K2974)"),1.45)</f>
        <v>1.45</v>
      </c>
      <c r="M2974" s="6">
        <f ca="1">IFERROR(__xludf.DUMMYFUNCTION("IFERROR(GOOGLEFINANCE(B2974,""change""),0)"),0)</f>
        <v>0</v>
      </c>
      <c r="N2974" s="6">
        <v>1</v>
      </c>
      <c r="O2974" s="7">
        <v>45536</v>
      </c>
      <c r="P2974" s="6">
        <v>76.81</v>
      </c>
      <c r="Q2974" s="6">
        <v>129.41</v>
      </c>
      <c r="R2974" s="7">
        <v>45536</v>
      </c>
      <c r="S2974" s="6">
        <v>177.38</v>
      </c>
      <c r="T2974" s="6">
        <v>6.63</v>
      </c>
      <c r="U2974" s="7">
        <v>45536</v>
      </c>
      <c r="V2974" s="6">
        <v>8.4499999999999993</v>
      </c>
      <c r="W2974" s="6">
        <f ca="1">IFERROR(__xludf.DUMMYFUNCTION("IFERROR(GOOGLEFINANCE(B2974,""pe""),V2974)"),8.45)</f>
        <v>8.4499999999999993</v>
      </c>
      <c r="X2974" s="6">
        <v>0.33</v>
      </c>
      <c r="Y2974" s="6">
        <v>1.1599999999999999</v>
      </c>
      <c r="Z2974" s="6">
        <v>1</v>
      </c>
      <c r="AA2974" s="8">
        <v>45352</v>
      </c>
      <c r="AB2974" s="4">
        <v>1.81</v>
      </c>
      <c r="AC2974" s="6">
        <v>15.63</v>
      </c>
      <c r="AD2974" s="6">
        <v>12.19</v>
      </c>
      <c r="AE2974" s="1">
        <v>0</v>
      </c>
      <c r="AF2974" s="1">
        <f ca="1">IFERROR(__xludf.DUMMYFUNCTION("IFERROR(GOOGLEFINANCE(TRIM(F2974)&amp;"":"" &amp; TRIM(B2974),""high52""),AE2974)"),0)</f>
        <v>0</v>
      </c>
      <c r="AG2974" s="1">
        <v>0</v>
      </c>
      <c r="AH2974" s="1">
        <f ca="1">IFERROR(__xludf.DUMMYFUNCTION("IFERROR(GOOGLEFINANCE(TRIM(F2974)&amp;"":"" &amp; TRIM(B2974),""low52""),AE2974)"),0)</f>
        <v>0</v>
      </c>
      <c r="AI2974" s="1">
        <f ca="1">IFERROR(__xludf.DUMMYFUNCTION("IFERROR(GOOGLEFINANCE(B2974,""eps""),0)"),0)</f>
        <v>0</v>
      </c>
      <c r="AJ2974" s="1"/>
      <c r="AK2974" s="1" t="s">
        <v>9180</v>
      </c>
      <c r="AL2974" s="9">
        <f t="shared" si="287"/>
        <v>1</v>
      </c>
    </row>
    <row r="2975" spans="1:38" ht="15" x14ac:dyDescent="0.25">
      <c r="A2975" s="1" t="s">
        <v>9181</v>
      </c>
      <c r="B2975" s="1" t="s">
        <v>9182</v>
      </c>
      <c r="C2975" s="1" t="s">
        <v>373</v>
      </c>
      <c r="D2975" s="1" t="s">
        <v>373</v>
      </c>
      <c r="E2975" s="6">
        <v>134.52000000000001</v>
      </c>
      <c r="F2975" s="1" t="s">
        <v>53</v>
      </c>
      <c r="G2975" s="6">
        <f ca="1">IFERROR(__xludf.DUMMYFUNCTION("iferror(GOOGLEFINANCE(TRIM(F2975)&amp;"":"" &amp; TRIM(B2975), ""price""),0
)"),0)</f>
        <v>0</v>
      </c>
      <c r="H2975" s="6">
        <v>70.5</v>
      </c>
      <c r="I2975" s="6">
        <f t="shared" ca="1" si="0"/>
        <v>70.5</v>
      </c>
      <c r="J2975" s="6">
        <f ca="1">IFERROR(__xludf.DUMMYFUNCTION("IFERROR(GOOGLEFINANCE(B2975, ""volume""), 0)"),0)</f>
        <v>0</v>
      </c>
      <c r="K2975" s="6">
        <v>-0.42</v>
      </c>
      <c r="L2975" s="6">
        <f ca="1">IFERROR(__xludf.DUMMYFUNCTION("IFERROR(GOOGLEFINANCE(B2975,""changepct""),K2975)"),-0.42)</f>
        <v>-0.42</v>
      </c>
      <c r="M2975" s="6">
        <f ca="1">IFERROR(__xludf.DUMMYFUNCTION("IFERROR(GOOGLEFINANCE(B2975,""change""),0)"),0)</f>
        <v>0</v>
      </c>
      <c r="N2975" s="6">
        <v>1</v>
      </c>
      <c r="O2975" s="7">
        <v>45536</v>
      </c>
      <c r="P2975" s="6">
        <v>101.42</v>
      </c>
      <c r="Q2975" s="6">
        <v>235.94</v>
      </c>
      <c r="R2975" s="7">
        <v>45536</v>
      </c>
      <c r="S2975" s="6">
        <v>339.56</v>
      </c>
      <c r="T2975" s="6">
        <v>1.1499999999999999</v>
      </c>
      <c r="U2975" s="7">
        <v>45536</v>
      </c>
      <c r="V2975" s="6">
        <v>116.97</v>
      </c>
      <c r="W2975" s="6">
        <f ca="1">IFERROR(__xludf.DUMMYFUNCTION("IFERROR(GOOGLEFINANCE(B2975,""pe""),V2975)"),116.97)</f>
        <v>116.97</v>
      </c>
      <c r="X2975" s="6">
        <v>-3.5</v>
      </c>
      <c r="Y2975" s="6">
        <v>0.54</v>
      </c>
      <c r="Z2975" s="6">
        <v>1</v>
      </c>
      <c r="AA2975" s="8">
        <v>45352</v>
      </c>
      <c r="AB2975" s="4">
        <v>0.55000000000000004</v>
      </c>
      <c r="AC2975" s="6">
        <v>0.2</v>
      </c>
      <c r="AD2975" s="6">
        <v>2.76</v>
      </c>
      <c r="AE2975" s="1">
        <v>0</v>
      </c>
      <c r="AF2975" s="1">
        <f ca="1">IFERROR(__xludf.DUMMYFUNCTION("IFERROR(GOOGLEFINANCE(TRIM(F2975)&amp;"":"" &amp; TRIM(B2975),""high52""),AE2975)"),0)</f>
        <v>0</v>
      </c>
      <c r="AG2975" s="1">
        <v>0</v>
      </c>
      <c r="AH2975" s="1">
        <f ca="1">IFERROR(__xludf.DUMMYFUNCTION("IFERROR(GOOGLEFINANCE(TRIM(F2975)&amp;"":"" &amp; TRIM(B2975),""low52""),AE2975)"),0)</f>
        <v>0</v>
      </c>
      <c r="AI2975" s="1">
        <f ca="1">IFERROR(__xludf.DUMMYFUNCTION("IFERROR(GOOGLEFINANCE(B2975,""eps""),0)"),0)</f>
        <v>0</v>
      </c>
      <c r="AJ2975" s="1"/>
      <c r="AK2975" s="1" t="s">
        <v>9183</v>
      </c>
      <c r="AL2975" s="9">
        <f t="shared" si="287"/>
        <v>1</v>
      </c>
    </row>
    <row r="2976" spans="1:38" ht="15" x14ac:dyDescent="0.25">
      <c r="A2976" s="1" t="s">
        <v>9184</v>
      </c>
      <c r="B2976" s="1" t="s">
        <v>9185</v>
      </c>
      <c r="C2976" s="1" t="s">
        <v>355</v>
      </c>
      <c r="D2976" s="1" t="s">
        <v>355</v>
      </c>
      <c r="E2976" s="6">
        <v>6749.19</v>
      </c>
      <c r="F2976" s="1" t="s">
        <v>40</v>
      </c>
      <c r="G2976" s="6">
        <f ca="1">IFERROR(__xludf.DUMMYFUNCTION("iferror(GOOGLEFINANCE(TRIM(F2976)&amp;"":"" &amp; TRIM(B2976), ""price""),0
)"),561)</f>
        <v>561</v>
      </c>
      <c r="H2976" s="6">
        <v>546.20000000000005</v>
      </c>
      <c r="I2976" s="6">
        <f t="shared" ca="1" si="0"/>
        <v>561</v>
      </c>
      <c r="J2976" s="6">
        <f ca="1">IFERROR(__xludf.DUMMYFUNCTION("IFERROR(GOOGLEFINANCE(B2976, ""volume""), 0)"),746645)</f>
        <v>746645</v>
      </c>
      <c r="K2976" s="6">
        <v>-1.43</v>
      </c>
      <c r="L2976" s="6">
        <f ca="1">IFERROR(__xludf.DUMMYFUNCTION("IFERROR(GOOGLEFINANCE(B2976,""changepct""),K2976)"),-1.32)</f>
        <v>-1.32</v>
      </c>
      <c r="M2976" s="6">
        <f ca="1">IFERROR(__xludf.DUMMYFUNCTION("IFERROR(GOOGLEFINANCE(B2976,""change""),0)"),-7.5)</f>
        <v>-7.5</v>
      </c>
      <c r="N2976" s="6">
        <v>2</v>
      </c>
      <c r="O2976" s="7">
        <v>45536</v>
      </c>
      <c r="P2976" s="6">
        <v>42.39</v>
      </c>
      <c r="Q2976" s="6">
        <v>6691.6</v>
      </c>
      <c r="R2976" s="7">
        <v>45536</v>
      </c>
      <c r="S2976" s="6">
        <v>2445.5100000000002</v>
      </c>
      <c r="T2976" s="6">
        <v>166.15</v>
      </c>
      <c r="U2976" s="7">
        <v>45536</v>
      </c>
      <c r="V2976" s="6">
        <v>40.619999999999997</v>
      </c>
      <c r="W2976" s="6">
        <f ca="1">IFERROR(__xludf.DUMMYFUNCTION("IFERROR(GOOGLEFINANCE(B2976,""pe""),V2976)"),32.2)</f>
        <v>32.200000000000003</v>
      </c>
      <c r="X2976" s="6">
        <v>1.77</v>
      </c>
      <c r="Y2976" s="6">
        <v>7.2</v>
      </c>
      <c r="Z2976" s="6">
        <v>2</v>
      </c>
      <c r="AA2976" s="8">
        <v>45352</v>
      </c>
      <c r="AB2976" s="4">
        <v>0.06</v>
      </c>
      <c r="AC2976" s="6">
        <v>18.149999999999999</v>
      </c>
      <c r="AD2976" s="6">
        <v>24.23</v>
      </c>
      <c r="AE2976" s="1">
        <v>0</v>
      </c>
      <c r="AF2976" s="1">
        <f ca="1">IFERROR(__xludf.DUMMYFUNCTION("IFERROR(GOOGLEFINANCE(TRIM(F2976)&amp;"":"" &amp; TRIM(B2976),""high52""),AE2976)"),694.2)</f>
        <v>694.2</v>
      </c>
      <c r="AG2976" s="1">
        <v>0</v>
      </c>
      <c r="AH2976" s="1">
        <f ca="1">IFERROR(__xludf.DUMMYFUNCTION("IFERROR(GOOGLEFINANCE(TRIM(F2976)&amp;"":"" &amp; TRIM(B2976),""low52""),AE2976)"),367.85)</f>
        <v>367.85</v>
      </c>
      <c r="AI2976" s="1">
        <f ca="1">IFERROR(__xludf.DUMMYFUNCTION("IFERROR(GOOGLEFINANCE(B2976,""eps""),0)"),17.42)</f>
        <v>17.420000000000002</v>
      </c>
      <c r="AJ2976" s="1"/>
      <c r="AK2976" s="1" t="s">
        <v>9186</v>
      </c>
      <c r="AL2976" s="1" t="b">
        <f>ISNUMBER(AA2976)</f>
        <v>1</v>
      </c>
    </row>
    <row r="2977" spans="1:38" ht="15" x14ac:dyDescent="0.25">
      <c r="A2977" s="1" t="s">
        <v>9187</v>
      </c>
      <c r="B2977" s="1" t="s">
        <v>9188</v>
      </c>
      <c r="C2977" s="1" t="s">
        <v>1229</v>
      </c>
      <c r="D2977" s="1" t="s">
        <v>1229</v>
      </c>
      <c r="E2977" s="6">
        <v>4244.82</v>
      </c>
      <c r="F2977" s="1" t="s">
        <v>40</v>
      </c>
      <c r="G2977" s="6">
        <f ca="1">IFERROR(__xludf.DUMMYFUNCTION("iferror(GOOGLEFINANCE(TRIM(F2977)&amp;"":"" &amp; TRIM(B2977), ""price""),0
)"),238)</f>
        <v>238</v>
      </c>
      <c r="H2977" s="6">
        <v>141.43</v>
      </c>
      <c r="I2977" s="6">
        <f t="shared" ca="1" si="0"/>
        <v>238</v>
      </c>
      <c r="J2977" s="6">
        <f ca="1">IFERROR(__xludf.DUMMYFUNCTION("IFERROR(GOOGLEFINANCE(B2977, ""volume""), 0)"),9572700)</f>
        <v>9572700</v>
      </c>
      <c r="K2977" s="6">
        <v>-1.1299999999999999</v>
      </c>
      <c r="L2977" s="6">
        <f ca="1">IFERROR(__xludf.DUMMYFUNCTION("IFERROR(GOOGLEFINANCE(B2977,""changepct""),K2977)"),7.3)</f>
        <v>7.3</v>
      </c>
      <c r="M2977" s="6">
        <f ca="1">IFERROR(__xludf.DUMMYFUNCTION("IFERROR(GOOGLEFINANCE(B2977,""change""),0)"),16.2)</f>
        <v>16.2</v>
      </c>
      <c r="N2977" s="6">
        <v>2</v>
      </c>
      <c r="O2977" s="7">
        <v>45536</v>
      </c>
      <c r="P2977" s="6">
        <v>3982.2</v>
      </c>
      <c r="Q2977" s="6">
        <v>7928.16</v>
      </c>
      <c r="R2977" s="7">
        <v>45536</v>
      </c>
      <c r="S2977" s="6">
        <v>3424.43</v>
      </c>
      <c r="T2977" s="6">
        <v>-267.08</v>
      </c>
      <c r="U2977" s="7">
        <v>45536</v>
      </c>
      <c r="V2977" s="6">
        <v>0</v>
      </c>
      <c r="W2977" s="6">
        <f ca="1">IFERROR(__xludf.DUMMYFUNCTION("IFERROR(GOOGLEFINANCE(B2977,""pe""),V2977)"),0)</f>
        <v>0</v>
      </c>
      <c r="X2977" s="12"/>
      <c r="Y2977" s="6">
        <v>10.17</v>
      </c>
      <c r="Z2977" s="6">
        <v>2</v>
      </c>
      <c r="AA2977" s="8">
        <v>45352</v>
      </c>
      <c r="AB2977" s="4">
        <v>11.85</v>
      </c>
      <c r="AC2977" s="6">
        <v>-1469.14</v>
      </c>
      <c r="AD2977" s="6">
        <v>-0.69</v>
      </c>
      <c r="AE2977" s="1">
        <v>0</v>
      </c>
      <c r="AF2977" s="1">
        <f ca="1">IFERROR(__xludf.DUMMYFUNCTION("IFERROR(GOOGLEFINANCE(TRIM(F2977)&amp;"":"" &amp; TRIM(B2977),""high52""),AE2977)"),250)</f>
        <v>250</v>
      </c>
      <c r="AG2977" s="1">
        <v>0</v>
      </c>
      <c r="AH2977" s="1">
        <f ca="1">IFERROR(__xludf.DUMMYFUNCTION("IFERROR(GOOGLEFINANCE(TRIM(F2977)&amp;"":"" &amp; TRIM(B2977),""low52""),AE2977)"),85)</f>
        <v>85</v>
      </c>
      <c r="AI2977" s="1">
        <f ca="1">IFERROR(__xludf.DUMMYFUNCTION("IFERROR(GOOGLEFINANCE(B2977,""eps""),0)"),-4.67)</f>
        <v>-4.67</v>
      </c>
      <c r="AJ2977" s="1"/>
      <c r="AK2977" s="1" t="s">
        <v>9189</v>
      </c>
      <c r="AL2977" s="9">
        <f t="shared" ref="AL2977:AL2980" si="288">IF(AA2977&lt;&gt;AB2977,1,0)</f>
        <v>1</v>
      </c>
    </row>
    <row r="2978" spans="1:38" ht="15" x14ac:dyDescent="0.25">
      <c r="A2978" s="1" t="s">
        <v>9190</v>
      </c>
      <c r="B2978" s="1" t="s">
        <v>9191</v>
      </c>
      <c r="C2978" s="1" t="s">
        <v>75</v>
      </c>
      <c r="D2978" s="1" t="s">
        <v>75</v>
      </c>
      <c r="E2978" s="6">
        <v>973.76</v>
      </c>
      <c r="F2978" s="1" t="s">
        <v>40</v>
      </c>
      <c r="G2978" s="6">
        <f ca="1">IFERROR(__xludf.DUMMYFUNCTION("iferror(GOOGLEFINANCE(TRIM(F2978)&amp;"":"" &amp; TRIM(B2978), ""price""),0
)"),264.85)</f>
        <v>264.85000000000002</v>
      </c>
      <c r="H2978" s="6">
        <v>286.7</v>
      </c>
      <c r="I2978" s="6">
        <f t="shared" ca="1" si="0"/>
        <v>264.85000000000002</v>
      </c>
      <c r="J2978" s="6">
        <f ca="1">IFERROR(__xludf.DUMMYFUNCTION("IFERROR(GOOGLEFINANCE(B2978, ""volume""), 0)"),38247)</f>
        <v>38247</v>
      </c>
      <c r="K2978" s="6">
        <v>-0.8</v>
      </c>
      <c r="L2978" s="6">
        <f ca="1">IFERROR(__xludf.DUMMYFUNCTION("IFERROR(GOOGLEFINANCE(B2978,""changepct""),K2978)"),-4.46)</f>
        <v>-4.46</v>
      </c>
      <c r="M2978" s="6">
        <f ca="1">IFERROR(__xludf.DUMMYFUNCTION("IFERROR(GOOGLEFINANCE(B2978,""change""),0)"),-12.35)</f>
        <v>-12.35</v>
      </c>
      <c r="N2978" s="6">
        <v>2</v>
      </c>
      <c r="O2978" s="7">
        <v>45536</v>
      </c>
      <c r="P2978" s="6">
        <v>38.880000000000003</v>
      </c>
      <c r="Q2978" s="7">
        <v>45536</v>
      </c>
      <c r="R2978" s="6">
        <v>25.05</v>
      </c>
      <c r="S2978" s="6">
        <v>3.13</v>
      </c>
      <c r="T2978" s="6">
        <v>5.16</v>
      </c>
      <c r="U2978" s="6">
        <v>2</v>
      </c>
      <c r="V2978" s="7">
        <v>45352</v>
      </c>
      <c r="W2978" s="6">
        <f ca="1">IFERROR(__xludf.DUMMYFUNCTION("IFERROR(GOOGLEFINANCE(B2978,""pe""),V2978)"),32.65)</f>
        <v>32.65</v>
      </c>
      <c r="X2978" s="6">
        <v>0</v>
      </c>
      <c r="Y2978" s="6">
        <v>13.56</v>
      </c>
      <c r="Z2978" s="6">
        <v>16.75</v>
      </c>
      <c r="AA2978" s="3" t="s">
        <v>9192</v>
      </c>
      <c r="AB2978" s="3"/>
      <c r="AC2978" s="9"/>
      <c r="AD2978" s="9"/>
      <c r="AE2978" s="1">
        <v>0</v>
      </c>
      <c r="AF2978" s="1">
        <f ca="1">IFERROR(__xludf.DUMMYFUNCTION("IFERROR(GOOGLEFINANCE(TRIM(F2978)&amp;"":"" &amp; TRIM(B2978),""high52""),AE2978)"),325)</f>
        <v>325</v>
      </c>
      <c r="AG2978" s="1">
        <v>0</v>
      </c>
      <c r="AH2978" s="1">
        <f ca="1">IFERROR(__xludf.DUMMYFUNCTION("IFERROR(GOOGLEFINANCE(TRIM(F2978)&amp;"":"" &amp; TRIM(B2978),""low52""),AE2978)"),196.85)</f>
        <v>196.85</v>
      </c>
      <c r="AI2978" s="1">
        <f ca="1">IFERROR(__xludf.DUMMYFUNCTION("IFERROR(GOOGLEFINANCE(B2978,""eps""),0)"),8.11)</f>
        <v>8.11</v>
      </c>
      <c r="AJ2978" s="1"/>
      <c r="AK2978" s="9"/>
      <c r="AL2978" s="9">
        <f t="shared" si="288"/>
        <v>1</v>
      </c>
    </row>
    <row r="2979" spans="1:38" ht="15" x14ac:dyDescent="0.25">
      <c r="A2979" s="1" t="s">
        <v>9193</v>
      </c>
      <c r="B2979" s="1" t="s">
        <v>9194</v>
      </c>
      <c r="C2979" s="1" t="s">
        <v>373</v>
      </c>
      <c r="D2979" s="1" t="s">
        <v>373</v>
      </c>
      <c r="E2979" s="6">
        <v>87.21</v>
      </c>
      <c r="F2979" s="1" t="s">
        <v>53</v>
      </c>
      <c r="G2979" s="6">
        <f ca="1">IFERROR(__xludf.DUMMYFUNCTION("iferror(GOOGLEFINANCE(TRIM(F2979)&amp;"":"" &amp; TRIM(B2979), ""price""),0
)"),0)</f>
        <v>0</v>
      </c>
      <c r="H2979" s="6">
        <v>145.5</v>
      </c>
      <c r="I2979" s="6">
        <f t="shared" ca="1" si="0"/>
        <v>145.5</v>
      </c>
      <c r="J2979" s="6">
        <f ca="1">IFERROR(__xludf.DUMMYFUNCTION("IFERROR(GOOGLEFINANCE(B2979, ""volume""), 0)"),0)</f>
        <v>0</v>
      </c>
      <c r="K2979" s="6">
        <v>11.11</v>
      </c>
      <c r="L2979" s="6">
        <f ca="1">IFERROR(__xludf.DUMMYFUNCTION("IFERROR(GOOGLEFINANCE(B2979,""changepct""),K2979)"),11.11)</f>
        <v>11.11</v>
      </c>
      <c r="M2979" s="6">
        <f ca="1">IFERROR(__xludf.DUMMYFUNCTION("IFERROR(GOOGLEFINANCE(B2979,""change""),0)"),0)</f>
        <v>0</v>
      </c>
      <c r="N2979" s="6">
        <v>1</v>
      </c>
      <c r="O2979" s="7">
        <v>45536</v>
      </c>
      <c r="P2979" s="6">
        <v>0.57999999999999996</v>
      </c>
      <c r="Q2979" s="6">
        <v>87.78</v>
      </c>
      <c r="R2979" s="7">
        <v>45536</v>
      </c>
      <c r="S2979" s="6">
        <v>107.75</v>
      </c>
      <c r="T2979" s="6">
        <v>3.43</v>
      </c>
      <c r="U2979" s="7">
        <v>45536</v>
      </c>
      <c r="V2979" s="6">
        <v>25.45</v>
      </c>
      <c r="W2979" s="6">
        <f ca="1">IFERROR(__xludf.DUMMYFUNCTION("IFERROR(GOOGLEFINANCE(B2979,""pe""),V2979)"),25.45)</f>
        <v>25.45</v>
      </c>
      <c r="X2979" s="6">
        <v>3.89</v>
      </c>
      <c r="Y2979" s="6">
        <v>2.41</v>
      </c>
      <c r="Z2979" s="6">
        <v>1</v>
      </c>
      <c r="AA2979" s="8">
        <v>45352</v>
      </c>
      <c r="AB2979" s="4">
        <v>0.02</v>
      </c>
      <c r="AC2979" s="6">
        <v>11.93</v>
      </c>
      <c r="AD2979" s="6">
        <v>15.53</v>
      </c>
      <c r="AE2979" s="1">
        <v>0</v>
      </c>
      <c r="AF2979" s="1">
        <f ca="1">IFERROR(__xludf.DUMMYFUNCTION("IFERROR(GOOGLEFINANCE(TRIM(F2979)&amp;"":"" &amp; TRIM(B2979),""high52""),AE2979)"),0)</f>
        <v>0</v>
      </c>
      <c r="AG2979" s="1">
        <v>0</v>
      </c>
      <c r="AH2979" s="1">
        <f ca="1">IFERROR(__xludf.DUMMYFUNCTION("IFERROR(GOOGLEFINANCE(TRIM(F2979)&amp;"":"" &amp; TRIM(B2979),""low52""),AE2979)"),0)</f>
        <v>0</v>
      </c>
      <c r="AI2979" s="1">
        <f ca="1">IFERROR(__xludf.DUMMYFUNCTION("IFERROR(GOOGLEFINANCE(B2979,""eps""),0)"),0)</f>
        <v>0</v>
      </c>
      <c r="AJ2979" s="1"/>
      <c r="AK2979" s="1" t="s">
        <v>9195</v>
      </c>
      <c r="AL2979" s="9">
        <f t="shared" si="288"/>
        <v>1</v>
      </c>
    </row>
    <row r="2980" spans="1:38" ht="15" x14ac:dyDescent="0.25">
      <c r="A2980" s="1" t="s">
        <v>9196</v>
      </c>
      <c r="B2980" s="1" t="s">
        <v>9197</v>
      </c>
      <c r="C2980" s="1" t="s">
        <v>82</v>
      </c>
      <c r="D2980" s="1" t="s">
        <v>82</v>
      </c>
      <c r="E2980" s="6">
        <v>4758</v>
      </c>
      <c r="F2980" s="1" t="s">
        <v>40</v>
      </c>
      <c r="G2980" s="6">
        <f ca="1">IFERROR(__xludf.DUMMYFUNCTION("iferror(GOOGLEFINANCE(TRIM(F2980)&amp;"":"" &amp; TRIM(B2980), ""price""),0
)"),236.8)</f>
        <v>236.8</v>
      </c>
      <c r="H2980" s="6">
        <v>429.05</v>
      </c>
      <c r="I2980" s="6">
        <f t="shared" ca="1" si="0"/>
        <v>236.8</v>
      </c>
      <c r="J2980" s="6">
        <f ca="1">IFERROR(__xludf.DUMMYFUNCTION("IFERROR(GOOGLEFINANCE(B2980, ""volume""), 0)"),86179)</f>
        <v>86179</v>
      </c>
      <c r="K2980" s="6">
        <v>-0.23</v>
      </c>
      <c r="L2980" s="6">
        <f ca="1">IFERROR(__xludf.DUMMYFUNCTION("IFERROR(GOOGLEFINANCE(B2980,""changepct""),K2980)"),-0.05)</f>
        <v>-0.05</v>
      </c>
      <c r="M2980" s="6">
        <f ca="1">IFERROR(__xludf.DUMMYFUNCTION("IFERROR(GOOGLEFINANCE(B2980,""change""),0)"),-0.12)</f>
        <v>-0.12</v>
      </c>
      <c r="N2980" s="6">
        <v>1</v>
      </c>
      <c r="O2980" s="7">
        <v>45536</v>
      </c>
      <c r="P2980" s="6">
        <v>158.32</v>
      </c>
      <c r="Q2980" s="6">
        <v>4839.12</v>
      </c>
      <c r="R2980" s="7">
        <v>45536</v>
      </c>
      <c r="S2980" s="6">
        <v>2585.2800000000002</v>
      </c>
      <c r="T2980" s="6">
        <v>131.66</v>
      </c>
      <c r="U2980" s="7">
        <v>45536</v>
      </c>
      <c r="V2980" s="6">
        <v>36.14</v>
      </c>
      <c r="W2980" s="6">
        <f ca="1">IFERROR(__xludf.DUMMYFUNCTION("IFERROR(GOOGLEFINANCE(B2980,""pe""),V2980)"),112.16)</f>
        <v>112.16</v>
      </c>
      <c r="X2980" s="6">
        <v>2.33</v>
      </c>
      <c r="Y2980" s="6">
        <v>3.03</v>
      </c>
      <c r="Z2980" s="6">
        <v>1</v>
      </c>
      <c r="AA2980" s="8">
        <v>45352</v>
      </c>
      <c r="AB2980" s="4">
        <v>7.0000000000000007E-2</v>
      </c>
      <c r="AC2980" s="6">
        <v>12.55</v>
      </c>
      <c r="AD2980" s="6">
        <v>16.25</v>
      </c>
      <c r="AE2980" s="1">
        <v>0</v>
      </c>
      <c r="AF2980" s="1">
        <f ca="1">IFERROR(__xludf.DUMMYFUNCTION("IFERROR(GOOGLEFINANCE(TRIM(F2980)&amp;"":"" &amp; TRIM(B2980),""high52""),AE2980)"),392.7)</f>
        <v>392.7</v>
      </c>
      <c r="AG2980" s="1">
        <v>0</v>
      </c>
      <c r="AH2980" s="1">
        <f ca="1">IFERROR(__xludf.DUMMYFUNCTION("IFERROR(GOOGLEFINANCE(TRIM(F2980)&amp;"":"" &amp; TRIM(B2980),""low52""),AE2980)"),229.05)</f>
        <v>229.05</v>
      </c>
      <c r="AI2980" s="1">
        <f ca="1">IFERROR(__xludf.DUMMYFUNCTION("IFERROR(GOOGLEFINANCE(B2980,""eps""),0)"),2.11)</f>
        <v>2.11</v>
      </c>
      <c r="AJ2980" s="1"/>
      <c r="AK2980" s="1" t="s">
        <v>9198</v>
      </c>
      <c r="AL2980" s="9">
        <f t="shared" si="288"/>
        <v>1</v>
      </c>
    </row>
    <row r="2981" spans="1:38" ht="15" x14ac:dyDescent="0.25">
      <c r="A2981" s="1" t="s">
        <v>9199</v>
      </c>
      <c r="B2981" s="1" t="s">
        <v>9200</v>
      </c>
      <c r="C2981" s="1" t="s">
        <v>239</v>
      </c>
      <c r="D2981" s="1" t="s">
        <v>239</v>
      </c>
      <c r="E2981" s="6">
        <v>8557.06</v>
      </c>
      <c r="F2981" s="1" t="s">
        <v>40</v>
      </c>
      <c r="G2981" s="6">
        <f ca="1">IFERROR(__xludf.DUMMYFUNCTION("iferror(GOOGLEFINANCE(TRIM(F2981)&amp;"":"" &amp; TRIM(B2981), ""price""),0
)"),125.25)</f>
        <v>125.25</v>
      </c>
      <c r="H2981" s="6">
        <v>171.25</v>
      </c>
      <c r="I2981" s="6">
        <f t="shared" ca="1" si="0"/>
        <v>125.25</v>
      </c>
      <c r="J2981" s="6">
        <f ca="1">IFERROR(__xludf.DUMMYFUNCTION("IFERROR(GOOGLEFINANCE(B2981, ""volume""), 0)"),292055)</f>
        <v>292055</v>
      </c>
      <c r="K2981" s="6">
        <v>0.84</v>
      </c>
      <c r="L2981" s="6">
        <f ca="1">IFERROR(__xludf.DUMMYFUNCTION("IFERROR(GOOGLEFINANCE(B2981,""changepct""),K2981)"),2.2)</f>
        <v>2.2000000000000002</v>
      </c>
      <c r="M2981" s="6">
        <f ca="1">IFERROR(__xludf.DUMMYFUNCTION("IFERROR(GOOGLEFINANCE(B2981,""change""),0)"),2.7)</f>
        <v>2.7</v>
      </c>
      <c r="N2981" s="6">
        <v>2</v>
      </c>
      <c r="O2981" s="7">
        <v>45536</v>
      </c>
      <c r="P2981" s="6">
        <v>1358.83</v>
      </c>
      <c r="Q2981" s="6">
        <v>9738.14</v>
      </c>
      <c r="R2981" s="7">
        <v>45536</v>
      </c>
      <c r="S2981" s="6">
        <v>7256.08</v>
      </c>
      <c r="T2981" s="6">
        <v>-180.57</v>
      </c>
      <c r="U2981" s="7">
        <v>45536</v>
      </c>
      <c r="V2981" s="6">
        <v>0</v>
      </c>
      <c r="W2981" s="6">
        <f ca="1">IFERROR(__xludf.DUMMYFUNCTION("IFERROR(GOOGLEFINANCE(B2981,""pe""),V2981)"),34.36)</f>
        <v>34.36</v>
      </c>
      <c r="X2981" s="9"/>
      <c r="Y2981" s="6">
        <v>6.61</v>
      </c>
      <c r="Z2981" s="6">
        <v>2</v>
      </c>
      <c r="AA2981" s="8">
        <v>45352</v>
      </c>
      <c r="AB2981" s="4">
        <v>1.32</v>
      </c>
      <c r="AC2981" s="6">
        <v>12.48</v>
      </c>
      <c r="AD2981" s="6">
        <v>11.68</v>
      </c>
      <c r="AE2981" s="1">
        <v>0</v>
      </c>
      <c r="AF2981" s="1">
        <f ca="1">IFERROR(__xludf.DUMMYFUNCTION("IFERROR(GOOGLEFINANCE(TRIM(F2981)&amp;"":"" &amp; TRIM(B2981),""high52""),AE2981)"),176)</f>
        <v>176</v>
      </c>
      <c r="AG2981" s="1">
        <v>0</v>
      </c>
      <c r="AH2981" s="1">
        <f ca="1">IFERROR(__xludf.DUMMYFUNCTION("IFERROR(GOOGLEFINANCE(TRIM(F2981)&amp;"":"" &amp; TRIM(B2981),""low52""),AE2981)"),105.3)</f>
        <v>105.3</v>
      </c>
      <c r="AI2981" s="1">
        <f ca="1">IFERROR(__xludf.DUMMYFUNCTION("IFERROR(GOOGLEFINANCE(B2981,""eps""),0)"),3.65)</f>
        <v>3.65</v>
      </c>
      <c r="AJ2981" s="1"/>
      <c r="AK2981" s="1" t="s">
        <v>9201</v>
      </c>
      <c r="AL2981" s="1" t="b">
        <f>ISNUMBER(AA2981)</f>
        <v>1</v>
      </c>
    </row>
    <row r="2982" spans="1:38" ht="15" x14ac:dyDescent="0.25">
      <c r="A2982" s="1" t="s">
        <v>9202</v>
      </c>
      <c r="B2982" s="1" t="s">
        <v>9203</v>
      </c>
      <c r="C2982" s="1" t="s">
        <v>373</v>
      </c>
      <c r="D2982" s="1" t="s">
        <v>373</v>
      </c>
      <c r="E2982" s="6">
        <v>4.6100000000000003</v>
      </c>
      <c r="F2982" s="1" t="s">
        <v>53</v>
      </c>
      <c r="G2982" s="6">
        <f ca="1">IFERROR(__xludf.DUMMYFUNCTION("iferror(GOOGLEFINANCE(TRIM(F2982)&amp;"":"" &amp; TRIM(B2982), ""price""),0
)"),0)</f>
        <v>0</v>
      </c>
      <c r="H2982" s="6">
        <v>6.71</v>
      </c>
      <c r="I2982" s="6">
        <f t="shared" ca="1" si="0"/>
        <v>6.71</v>
      </c>
      <c r="J2982" s="6">
        <f ca="1">IFERROR(__xludf.DUMMYFUNCTION("IFERROR(GOOGLEFINANCE(B2982, ""volume""), 0)"),0)</f>
        <v>0</v>
      </c>
      <c r="K2982" s="6">
        <v>4.68</v>
      </c>
      <c r="L2982" s="6">
        <f ca="1">IFERROR(__xludf.DUMMYFUNCTION("IFERROR(GOOGLEFINANCE(B2982,""changepct""),K2982)"),4.68)</f>
        <v>4.68</v>
      </c>
      <c r="M2982" s="6">
        <f ca="1">IFERROR(__xludf.DUMMYFUNCTION("IFERROR(GOOGLEFINANCE(B2982,""change""),0)"),0)</f>
        <v>0</v>
      </c>
      <c r="N2982" s="6">
        <v>1</v>
      </c>
      <c r="O2982" s="7">
        <v>45536</v>
      </c>
      <c r="P2982" s="6">
        <v>17.239999999999998</v>
      </c>
      <c r="Q2982" s="6">
        <v>21.85</v>
      </c>
      <c r="R2982" s="7">
        <v>45536</v>
      </c>
      <c r="S2982" s="6">
        <v>13.68</v>
      </c>
      <c r="T2982" s="6">
        <v>-1.18</v>
      </c>
      <c r="U2982" s="7">
        <v>45536</v>
      </c>
      <c r="V2982" s="6">
        <v>0</v>
      </c>
      <c r="W2982" s="6">
        <f ca="1">IFERROR(__xludf.DUMMYFUNCTION("IFERROR(GOOGLEFINANCE(B2982,""pe""),V2982)"),0)</f>
        <v>0</v>
      </c>
      <c r="X2982" s="9"/>
      <c r="Y2982" s="6">
        <v>-0.35</v>
      </c>
      <c r="Z2982" s="6">
        <v>1</v>
      </c>
      <c r="AA2982" s="8">
        <v>45352</v>
      </c>
      <c r="AB2982" s="4">
        <v>-1.35</v>
      </c>
      <c r="AC2982" s="6">
        <v>0</v>
      </c>
      <c r="AD2982" s="6">
        <v>-27.48</v>
      </c>
      <c r="AE2982" s="1">
        <v>0</v>
      </c>
      <c r="AF2982" s="1">
        <f ca="1">IFERROR(__xludf.DUMMYFUNCTION("IFERROR(GOOGLEFINANCE(TRIM(F2982)&amp;"":"" &amp; TRIM(B2982),""high52""),AE2982)"),0)</f>
        <v>0</v>
      </c>
      <c r="AG2982" s="1">
        <v>0</v>
      </c>
      <c r="AH2982" s="1">
        <f ca="1">IFERROR(__xludf.DUMMYFUNCTION("IFERROR(GOOGLEFINANCE(TRIM(F2982)&amp;"":"" &amp; TRIM(B2982),""low52""),AE2982)"),0)</f>
        <v>0</v>
      </c>
      <c r="AI2982" s="1">
        <f ca="1">IFERROR(__xludf.DUMMYFUNCTION("IFERROR(GOOGLEFINANCE(B2982,""eps""),0)"),0)</f>
        <v>0</v>
      </c>
      <c r="AJ2982" s="1"/>
      <c r="AK2982" s="1" t="s">
        <v>9204</v>
      </c>
      <c r="AL2982" s="9">
        <f t="shared" ref="AL2982:AL2989" si="289">IF(AA2982&lt;&gt;AB2982,1,0)</f>
        <v>1</v>
      </c>
    </row>
    <row r="2983" spans="1:38" ht="15" x14ac:dyDescent="0.25">
      <c r="A2983" s="1" t="s">
        <v>9205</v>
      </c>
      <c r="B2983" s="1" t="s">
        <v>9206</v>
      </c>
      <c r="C2983" s="1" t="s">
        <v>373</v>
      </c>
      <c r="D2983" s="1" t="s">
        <v>373</v>
      </c>
      <c r="E2983" s="6">
        <v>39.22</v>
      </c>
      <c r="F2983" s="1" t="s">
        <v>53</v>
      </c>
      <c r="G2983" s="6">
        <f ca="1">IFERROR(__xludf.DUMMYFUNCTION("iferror(GOOGLEFINANCE(TRIM(F2983)&amp;"":"" &amp; TRIM(B2983), ""price""),0
)"),0)</f>
        <v>0</v>
      </c>
      <c r="H2983" s="6">
        <v>300</v>
      </c>
      <c r="I2983" s="6">
        <f t="shared" ca="1" si="0"/>
        <v>300</v>
      </c>
      <c r="J2983" s="6">
        <f ca="1">IFERROR(__xludf.DUMMYFUNCTION("IFERROR(GOOGLEFINANCE(B2983, ""volume""), 0)"),0)</f>
        <v>0</v>
      </c>
      <c r="K2983" s="12"/>
      <c r="L2983" s="6" t="str">
        <f ca="1">IFERROR(__xludf.DUMMYFUNCTION("IFERROR(GOOGLEFINANCE(B2983,""changepct""),K2983)"),"")</f>
        <v/>
      </c>
      <c r="M2983" s="6">
        <f ca="1">IFERROR(__xludf.DUMMYFUNCTION("IFERROR(GOOGLEFINANCE(B2983,""change""),0)"),0)</f>
        <v>0</v>
      </c>
      <c r="N2983" s="6">
        <v>1</v>
      </c>
      <c r="O2983" s="7">
        <v>45536</v>
      </c>
      <c r="P2983" s="6">
        <v>29.87</v>
      </c>
      <c r="Q2983" s="6">
        <v>67.319999999999993</v>
      </c>
      <c r="R2983" s="7">
        <v>45536</v>
      </c>
      <c r="S2983" s="6">
        <v>188.04</v>
      </c>
      <c r="T2983" s="6">
        <v>4.24</v>
      </c>
      <c r="U2983" s="7">
        <v>45536</v>
      </c>
      <c r="V2983" s="6">
        <v>9.25</v>
      </c>
      <c r="W2983" s="6">
        <f ca="1">IFERROR(__xludf.DUMMYFUNCTION("IFERROR(GOOGLEFINANCE(B2983,""pe""),V2983)"),9.25)</f>
        <v>9.25</v>
      </c>
      <c r="X2983" s="6">
        <v>-0.56000000000000005</v>
      </c>
      <c r="Y2983" s="6">
        <v>0.91</v>
      </c>
      <c r="Z2983" s="6">
        <v>1</v>
      </c>
      <c r="AA2983" s="8">
        <v>45352</v>
      </c>
      <c r="AB2983" s="4">
        <v>0.65</v>
      </c>
      <c r="AC2983" s="6">
        <v>6.2</v>
      </c>
      <c r="AD2983" s="6">
        <v>9.2200000000000006</v>
      </c>
      <c r="AE2983" s="1">
        <v>0</v>
      </c>
      <c r="AF2983" s="1">
        <f ca="1">IFERROR(__xludf.DUMMYFUNCTION("IFERROR(GOOGLEFINANCE(TRIM(F2983)&amp;"":"" &amp; TRIM(B2983),""high52""),AE2983)"),0)</f>
        <v>0</v>
      </c>
      <c r="AG2983" s="1">
        <v>0</v>
      </c>
      <c r="AH2983" s="1">
        <f ca="1">IFERROR(__xludf.DUMMYFUNCTION("IFERROR(GOOGLEFINANCE(TRIM(F2983)&amp;"":"" &amp; TRIM(B2983),""low52""),AE2983)"),0)</f>
        <v>0</v>
      </c>
      <c r="AI2983" s="1">
        <f ca="1">IFERROR(__xludf.DUMMYFUNCTION("IFERROR(GOOGLEFINANCE(B2983,""eps""),0)"),0)</f>
        <v>0</v>
      </c>
      <c r="AJ2983" s="1"/>
      <c r="AK2983" s="1" t="s">
        <v>9207</v>
      </c>
      <c r="AL2983" s="9">
        <f t="shared" si="289"/>
        <v>1</v>
      </c>
    </row>
    <row r="2984" spans="1:38" ht="15" x14ac:dyDescent="0.25">
      <c r="A2984" s="1" t="s">
        <v>9208</v>
      </c>
      <c r="B2984" s="1" t="s">
        <v>9209</v>
      </c>
      <c r="C2984" s="1" t="s">
        <v>850</v>
      </c>
      <c r="D2984" s="1" t="s">
        <v>850</v>
      </c>
      <c r="E2984" s="6">
        <v>191.02</v>
      </c>
      <c r="F2984" s="1" t="s">
        <v>40</v>
      </c>
      <c r="G2984" s="6">
        <f ca="1">IFERROR(__xludf.DUMMYFUNCTION("iferror(GOOGLEFINANCE(TRIM(F2984)&amp;"":"" &amp; TRIM(B2984), ""price""),0
)"),50.18)</f>
        <v>50.18</v>
      </c>
      <c r="H2984" s="6">
        <v>141.97</v>
      </c>
      <c r="I2984" s="6">
        <f t="shared" ca="1" si="0"/>
        <v>50.18</v>
      </c>
      <c r="J2984" s="6">
        <f ca="1">IFERROR(__xludf.DUMMYFUNCTION("IFERROR(GOOGLEFINANCE(B2984, ""volume""), 0)"),8345)</f>
        <v>8345</v>
      </c>
      <c r="K2984" s="6">
        <v>-0.75</v>
      </c>
      <c r="L2984" s="6">
        <f ca="1">IFERROR(__xludf.DUMMYFUNCTION("IFERROR(GOOGLEFINANCE(B2984,""changepct""),K2984)"),3.4)</f>
        <v>3.4</v>
      </c>
      <c r="M2984" s="6">
        <f ca="1">IFERROR(__xludf.DUMMYFUNCTION("IFERROR(GOOGLEFINANCE(B2984,""change""),0)"),1.65)</f>
        <v>1.65</v>
      </c>
      <c r="N2984" s="6">
        <v>1</v>
      </c>
      <c r="O2984" s="7">
        <v>45536</v>
      </c>
      <c r="P2984" s="9"/>
      <c r="Q2984" s="6">
        <v>190.33</v>
      </c>
      <c r="R2984" s="7">
        <v>45536</v>
      </c>
      <c r="S2984" s="6">
        <v>91.42</v>
      </c>
      <c r="T2984" s="6">
        <v>6.9</v>
      </c>
      <c r="U2984" s="7">
        <v>45536</v>
      </c>
      <c r="V2984" s="6">
        <v>27.69</v>
      </c>
      <c r="W2984" s="6">
        <f ca="1">IFERROR(__xludf.DUMMYFUNCTION("IFERROR(GOOGLEFINANCE(B2984,""pe""),V2984)"),28.36)</f>
        <v>28.36</v>
      </c>
      <c r="X2984" s="6">
        <v>0.73</v>
      </c>
      <c r="Y2984" s="6">
        <v>2.73</v>
      </c>
      <c r="Z2984" s="6">
        <v>1</v>
      </c>
      <c r="AA2984" s="8">
        <v>45352</v>
      </c>
      <c r="AB2984" s="4">
        <v>0</v>
      </c>
      <c r="AC2984" s="6">
        <v>17.600000000000001</v>
      </c>
      <c r="AD2984" s="6">
        <v>23.02</v>
      </c>
      <c r="AE2984" s="1">
        <v>0</v>
      </c>
      <c r="AF2984" s="1">
        <f ca="1">IFERROR(__xludf.DUMMYFUNCTION("IFERROR(GOOGLEFINANCE(TRIM(F2984)&amp;"":"" &amp; TRIM(B2984),""high52""),AE2984)"),129.98)</f>
        <v>129.97999999999999</v>
      </c>
      <c r="AG2984" s="1">
        <v>0</v>
      </c>
      <c r="AH2984" s="1">
        <f ca="1">IFERROR(__xludf.DUMMYFUNCTION("IFERROR(GOOGLEFINANCE(TRIM(F2984)&amp;"":"" &amp; TRIM(B2984),""low52""),AE2984)"),45.5)</f>
        <v>45.5</v>
      </c>
      <c r="AI2984" s="1">
        <f ca="1">IFERROR(__xludf.DUMMYFUNCTION("IFERROR(GOOGLEFINANCE(B2984,""eps""),0)"),1.77)</f>
        <v>1.77</v>
      </c>
      <c r="AJ2984" s="1"/>
      <c r="AK2984" s="1" t="s">
        <v>9210</v>
      </c>
      <c r="AL2984" s="9">
        <f t="shared" si="289"/>
        <v>1</v>
      </c>
    </row>
    <row r="2985" spans="1:38" ht="15" x14ac:dyDescent="0.25">
      <c r="A2985" s="1" t="s">
        <v>9211</v>
      </c>
      <c r="B2985" s="1" t="s">
        <v>9212</v>
      </c>
      <c r="C2985" s="1" t="s">
        <v>373</v>
      </c>
      <c r="D2985" s="1" t="s">
        <v>373</v>
      </c>
      <c r="E2985" s="6">
        <v>171.18</v>
      </c>
      <c r="F2985" s="1" t="s">
        <v>53</v>
      </c>
      <c r="G2985" s="6">
        <f ca="1">IFERROR(__xludf.DUMMYFUNCTION("iferror(GOOGLEFINANCE(TRIM(F2985)&amp;"":"" &amp; TRIM(B2985), ""price""),0
)"),0)</f>
        <v>0</v>
      </c>
      <c r="H2985" s="6">
        <v>130</v>
      </c>
      <c r="I2985" s="6">
        <f t="shared" ca="1" si="0"/>
        <v>130</v>
      </c>
      <c r="J2985" s="6">
        <f ca="1">IFERROR(__xludf.DUMMYFUNCTION("IFERROR(GOOGLEFINANCE(B2985, ""volume""), 0)"),0)</f>
        <v>0</v>
      </c>
      <c r="K2985" s="6">
        <v>2.52</v>
      </c>
      <c r="L2985" s="6">
        <f ca="1">IFERROR(__xludf.DUMMYFUNCTION("IFERROR(GOOGLEFINANCE(B2985,""changepct""),K2985)"),2.52)</f>
        <v>2.52</v>
      </c>
      <c r="M2985" s="6">
        <f ca="1">IFERROR(__xludf.DUMMYFUNCTION("IFERROR(GOOGLEFINANCE(B2985,""change""),0)"),0)</f>
        <v>0</v>
      </c>
      <c r="N2985" s="6">
        <v>1</v>
      </c>
      <c r="O2985" s="7">
        <v>45536</v>
      </c>
      <c r="P2985" s="6">
        <v>54.47</v>
      </c>
      <c r="Q2985" s="6">
        <v>225.46</v>
      </c>
      <c r="R2985" s="7">
        <v>45536</v>
      </c>
      <c r="S2985" s="6">
        <v>32.770000000000003</v>
      </c>
      <c r="T2985" s="6">
        <v>0.99</v>
      </c>
      <c r="U2985" s="7">
        <v>45536</v>
      </c>
      <c r="V2985" s="6">
        <v>172.39</v>
      </c>
      <c r="W2985" s="6">
        <f ca="1">IFERROR(__xludf.DUMMYFUNCTION("IFERROR(GOOGLEFINANCE(B2985,""pe""),V2985)"),172.39)</f>
        <v>172.39</v>
      </c>
      <c r="X2985" s="6">
        <v>30.4</v>
      </c>
      <c r="Y2985" s="6">
        <v>47.82</v>
      </c>
      <c r="Z2985" s="6">
        <v>1</v>
      </c>
      <c r="AA2985" s="8">
        <v>45352</v>
      </c>
      <c r="AB2985" s="4">
        <v>16.28</v>
      </c>
      <c r="AC2985" s="6">
        <v>277.32</v>
      </c>
      <c r="AD2985" s="6">
        <v>12.03</v>
      </c>
      <c r="AE2985" s="1">
        <v>0</v>
      </c>
      <c r="AF2985" s="1">
        <f ca="1">IFERROR(__xludf.DUMMYFUNCTION("IFERROR(GOOGLEFINANCE(TRIM(F2985)&amp;"":"" &amp; TRIM(B2985),""high52""),AE2985)"),0)</f>
        <v>0</v>
      </c>
      <c r="AG2985" s="1">
        <v>0</v>
      </c>
      <c r="AH2985" s="1">
        <f ca="1">IFERROR(__xludf.DUMMYFUNCTION("IFERROR(GOOGLEFINANCE(TRIM(F2985)&amp;"":"" &amp; TRIM(B2985),""low52""),AE2985)"),0)</f>
        <v>0</v>
      </c>
      <c r="AI2985" s="1">
        <f ca="1">IFERROR(__xludf.DUMMYFUNCTION("IFERROR(GOOGLEFINANCE(B2985,""eps""),0)"),0)</f>
        <v>0</v>
      </c>
      <c r="AJ2985" s="1"/>
      <c r="AK2985" s="1" t="s">
        <v>9213</v>
      </c>
      <c r="AL2985" s="9">
        <f t="shared" si="289"/>
        <v>1</v>
      </c>
    </row>
    <row r="2986" spans="1:38" ht="15" x14ac:dyDescent="0.25">
      <c r="A2986" s="1" t="s">
        <v>9214</v>
      </c>
      <c r="B2986" s="1" t="s">
        <v>9215</v>
      </c>
      <c r="C2986" s="1" t="s">
        <v>112</v>
      </c>
      <c r="D2986" s="1" t="s">
        <v>112</v>
      </c>
      <c r="E2986" s="6">
        <v>418.78</v>
      </c>
      <c r="F2986" s="1" t="s">
        <v>40</v>
      </c>
      <c r="G2986" s="6">
        <f ca="1">IFERROR(__xludf.DUMMYFUNCTION("iferror(GOOGLEFINANCE(TRIM(F2986)&amp;"":"" &amp; TRIM(B2986), ""price""),0
)"),13)</f>
        <v>13</v>
      </c>
      <c r="H2986" s="6">
        <v>25.23</v>
      </c>
      <c r="I2986" s="6">
        <f t="shared" ca="1" si="0"/>
        <v>13</v>
      </c>
      <c r="J2986" s="6">
        <f ca="1">IFERROR(__xludf.DUMMYFUNCTION("IFERROR(GOOGLEFINANCE(B2986, ""volume""), 0)"),58953)</f>
        <v>58953</v>
      </c>
      <c r="K2986" s="6">
        <v>0.36</v>
      </c>
      <c r="L2986" s="6">
        <f ca="1">IFERROR(__xludf.DUMMYFUNCTION("IFERROR(GOOGLEFINANCE(B2986,""changepct""),K2986)"),0.08)</f>
        <v>0.08</v>
      </c>
      <c r="M2986" s="6">
        <f ca="1">IFERROR(__xludf.DUMMYFUNCTION("IFERROR(GOOGLEFINANCE(B2986,""change""),0)"),0.01)</f>
        <v>0.01</v>
      </c>
      <c r="N2986" s="6">
        <v>2</v>
      </c>
      <c r="O2986" s="7">
        <v>45536</v>
      </c>
      <c r="P2986" s="6">
        <v>146.49</v>
      </c>
      <c r="Q2986" s="6">
        <v>551.73</v>
      </c>
      <c r="R2986" s="7">
        <v>45536</v>
      </c>
      <c r="S2986" s="6">
        <v>327.99</v>
      </c>
      <c r="T2986" s="6">
        <v>21.62</v>
      </c>
      <c r="U2986" s="7">
        <v>45536</v>
      </c>
      <c r="V2986" s="6">
        <v>26.91</v>
      </c>
      <c r="W2986" s="6">
        <f ca="1">IFERROR(__xludf.DUMMYFUNCTION("IFERROR(GOOGLEFINANCE(B2986,""pe""),V2986)"),13.06)</f>
        <v>13.06</v>
      </c>
      <c r="X2986" s="6">
        <v>-11.7</v>
      </c>
      <c r="Y2986" s="6">
        <v>1.84</v>
      </c>
      <c r="Z2986" s="6">
        <v>2</v>
      </c>
      <c r="AA2986" s="8">
        <v>45352</v>
      </c>
      <c r="AB2986" s="4">
        <v>0.72</v>
      </c>
      <c r="AC2986" s="6">
        <v>9.3000000000000007</v>
      </c>
      <c r="AD2986" s="6">
        <v>12.11</v>
      </c>
      <c r="AE2986" s="1">
        <v>0</v>
      </c>
      <c r="AF2986" s="1">
        <f ca="1">IFERROR(__xludf.DUMMYFUNCTION("IFERROR(GOOGLEFINANCE(TRIM(F2986)&amp;"":"" &amp; TRIM(B2986),""high52""),AE2986)"),22.66)</f>
        <v>22.66</v>
      </c>
      <c r="AG2986" s="1">
        <v>0</v>
      </c>
      <c r="AH2986" s="1">
        <f ca="1">IFERROR(__xludf.DUMMYFUNCTION("IFERROR(GOOGLEFINANCE(TRIM(F2986)&amp;"":"" &amp; TRIM(B2986),""low52""),AE2986)"),12.44)</f>
        <v>12.44</v>
      </c>
      <c r="AI2986" s="1">
        <f ca="1">IFERROR(__xludf.DUMMYFUNCTION("IFERROR(GOOGLEFINANCE(B2986,""eps""),0)"),1)</f>
        <v>1</v>
      </c>
      <c r="AJ2986" s="1"/>
      <c r="AK2986" s="1" t="s">
        <v>9216</v>
      </c>
      <c r="AL2986" s="9">
        <f t="shared" si="289"/>
        <v>1</v>
      </c>
    </row>
    <row r="2987" spans="1:38" ht="15" x14ac:dyDescent="0.25">
      <c r="A2987" s="1" t="s">
        <v>9217</v>
      </c>
      <c r="B2987" s="1" t="s">
        <v>9218</v>
      </c>
      <c r="C2987" s="1" t="s">
        <v>373</v>
      </c>
      <c r="D2987" s="1" t="s">
        <v>373</v>
      </c>
      <c r="E2987" s="6">
        <v>185.07</v>
      </c>
      <c r="F2987" s="1" t="s">
        <v>53</v>
      </c>
      <c r="G2987" s="6">
        <f ca="1">IFERROR(__xludf.DUMMYFUNCTION("iferror(GOOGLEFINANCE(TRIM(F2987)&amp;"":"" &amp; TRIM(B2987), ""price""),0
)"),0)</f>
        <v>0</v>
      </c>
      <c r="H2987" s="6">
        <v>214.95</v>
      </c>
      <c r="I2987" s="6">
        <f t="shared" ca="1" si="0"/>
        <v>214.95</v>
      </c>
      <c r="J2987" s="6">
        <f ca="1">IFERROR(__xludf.DUMMYFUNCTION("IFERROR(GOOGLEFINANCE(B2987, ""volume""), 0)"),0)</f>
        <v>0</v>
      </c>
      <c r="K2987" s="6">
        <v>3.69</v>
      </c>
      <c r="L2987" s="6">
        <f ca="1">IFERROR(__xludf.DUMMYFUNCTION("IFERROR(GOOGLEFINANCE(B2987,""changepct""),K2987)"),3.69)</f>
        <v>3.69</v>
      </c>
      <c r="M2987" s="6">
        <f ca="1">IFERROR(__xludf.DUMMYFUNCTION("IFERROR(GOOGLEFINANCE(B2987,""change""),0)"),0)</f>
        <v>0</v>
      </c>
      <c r="N2987" s="6">
        <v>2</v>
      </c>
      <c r="O2987" s="7">
        <v>45536</v>
      </c>
      <c r="P2987" s="6">
        <v>261.8</v>
      </c>
      <c r="Q2987" s="6">
        <v>445.31</v>
      </c>
      <c r="R2987" s="7">
        <v>45536</v>
      </c>
      <c r="S2987" s="6">
        <v>380.23</v>
      </c>
      <c r="T2987" s="6">
        <v>7.88</v>
      </c>
      <c r="U2987" s="7">
        <v>45536</v>
      </c>
      <c r="V2987" s="6">
        <v>23.13</v>
      </c>
      <c r="W2987" s="6">
        <f ca="1">IFERROR(__xludf.DUMMYFUNCTION("IFERROR(GOOGLEFINANCE(B2987,""pe""),V2987)"),23.13)</f>
        <v>23.13</v>
      </c>
      <c r="X2987" s="6">
        <v>-1.2</v>
      </c>
      <c r="Y2987" s="6">
        <v>0.76</v>
      </c>
      <c r="Z2987" s="6">
        <v>2</v>
      </c>
      <c r="AA2987" s="8">
        <v>45352</v>
      </c>
      <c r="AB2987" s="4">
        <v>1</v>
      </c>
      <c r="AC2987" s="6">
        <v>3.79</v>
      </c>
      <c r="AD2987" s="6">
        <v>4.5</v>
      </c>
      <c r="AE2987" s="1">
        <v>0</v>
      </c>
      <c r="AF2987" s="1">
        <f ca="1">IFERROR(__xludf.DUMMYFUNCTION("IFERROR(GOOGLEFINANCE(TRIM(F2987)&amp;"":"" &amp; TRIM(B2987),""high52""),AE2987)"),0)</f>
        <v>0</v>
      </c>
      <c r="AG2987" s="1">
        <v>0</v>
      </c>
      <c r="AH2987" s="1">
        <f ca="1">IFERROR(__xludf.DUMMYFUNCTION("IFERROR(GOOGLEFINANCE(TRIM(F2987)&amp;"":"" &amp; TRIM(B2987),""low52""),AE2987)"),0)</f>
        <v>0</v>
      </c>
      <c r="AI2987" s="1">
        <f ca="1">IFERROR(__xludf.DUMMYFUNCTION("IFERROR(GOOGLEFINANCE(B2987,""eps""),0)"),0)</f>
        <v>0</v>
      </c>
      <c r="AJ2987" s="1"/>
      <c r="AK2987" s="1" t="s">
        <v>9219</v>
      </c>
      <c r="AL2987" s="9">
        <f t="shared" si="289"/>
        <v>1</v>
      </c>
    </row>
    <row r="2988" spans="1:38" ht="15" x14ac:dyDescent="0.25">
      <c r="A2988" s="1" t="s">
        <v>9220</v>
      </c>
      <c r="B2988" s="1" t="s">
        <v>9221</v>
      </c>
      <c r="C2988" s="1" t="s">
        <v>373</v>
      </c>
      <c r="D2988" s="1" t="s">
        <v>373</v>
      </c>
      <c r="E2988" s="6">
        <v>23.56</v>
      </c>
      <c r="F2988" s="1" t="s">
        <v>53</v>
      </c>
      <c r="G2988" s="6">
        <f ca="1">IFERROR(__xludf.DUMMYFUNCTION("iferror(GOOGLEFINANCE(TRIM(F2988)&amp;"":"" &amp; TRIM(B2988), ""price""),0
)"),0)</f>
        <v>0</v>
      </c>
      <c r="H2988" s="6">
        <v>12.4</v>
      </c>
      <c r="I2988" s="6">
        <f t="shared" ca="1" si="0"/>
        <v>12.4</v>
      </c>
      <c r="J2988" s="6">
        <f ca="1">IFERROR(__xludf.DUMMYFUNCTION("IFERROR(GOOGLEFINANCE(B2988, ""volume""), 0)"),0)</f>
        <v>0</v>
      </c>
      <c r="K2988" s="6">
        <v>0.56999999999999995</v>
      </c>
      <c r="L2988" s="6">
        <f ca="1">IFERROR(__xludf.DUMMYFUNCTION("IFERROR(GOOGLEFINANCE(B2988,""changepct""),K2988)"),0.57)</f>
        <v>0.56999999999999995</v>
      </c>
      <c r="M2988" s="6">
        <f ca="1">IFERROR(__xludf.DUMMYFUNCTION("IFERROR(GOOGLEFINANCE(B2988,""change""),0)"),0)</f>
        <v>0</v>
      </c>
      <c r="N2988" s="6">
        <v>1</v>
      </c>
      <c r="O2988" s="7">
        <v>45536</v>
      </c>
      <c r="P2988" s="6">
        <v>21.17</v>
      </c>
      <c r="Q2988" s="6">
        <v>44.73</v>
      </c>
      <c r="R2988" s="7">
        <v>45536</v>
      </c>
      <c r="S2988" s="6">
        <v>58.86</v>
      </c>
      <c r="T2988" s="6">
        <v>0.36</v>
      </c>
      <c r="U2988" s="7">
        <v>45536</v>
      </c>
      <c r="V2988" s="6">
        <v>65.819999999999993</v>
      </c>
      <c r="W2988" s="6">
        <f ca="1">IFERROR(__xludf.DUMMYFUNCTION("IFERROR(GOOGLEFINANCE(B2988,""pe""),V2988)"),65.82)</f>
        <v>65.819999999999993</v>
      </c>
      <c r="X2988" s="6">
        <v>4.34</v>
      </c>
      <c r="Y2988" s="6">
        <v>8.35</v>
      </c>
      <c r="Z2988" s="6">
        <v>1</v>
      </c>
      <c r="AA2988" s="8">
        <v>45352</v>
      </c>
      <c r="AB2988" s="4">
        <v>9.3800000000000008</v>
      </c>
      <c r="AC2988" s="6">
        <v>14.9</v>
      </c>
      <c r="AD2988" s="6">
        <v>4.93</v>
      </c>
      <c r="AE2988" s="1">
        <v>0</v>
      </c>
      <c r="AF2988" s="1">
        <f ca="1">IFERROR(__xludf.DUMMYFUNCTION("IFERROR(GOOGLEFINANCE(TRIM(F2988)&amp;"":"" &amp; TRIM(B2988),""high52""),AE2988)"),0)</f>
        <v>0</v>
      </c>
      <c r="AG2988" s="1">
        <v>0</v>
      </c>
      <c r="AH2988" s="1">
        <f ca="1">IFERROR(__xludf.DUMMYFUNCTION("IFERROR(GOOGLEFINANCE(TRIM(F2988)&amp;"":"" &amp; TRIM(B2988),""low52""),AE2988)"),0)</f>
        <v>0</v>
      </c>
      <c r="AI2988" s="1">
        <f ca="1">IFERROR(__xludf.DUMMYFUNCTION("IFERROR(GOOGLEFINANCE(B2988,""eps""),0)"),0)</f>
        <v>0</v>
      </c>
      <c r="AJ2988" s="1"/>
      <c r="AK2988" s="1" t="s">
        <v>9222</v>
      </c>
      <c r="AL2988" s="9">
        <f t="shared" si="289"/>
        <v>1</v>
      </c>
    </row>
    <row r="2989" spans="1:38" ht="15" x14ac:dyDescent="0.25">
      <c r="A2989" s="1" t="s">
        <v>9223</v>
      </c>
      <c r="B2989" s="1" t="s">
        <v>9224</v>
      </c>
      <c r="C2989" s="1" t="s">
        <v>373</v>
      </c>
      <c r="D2989" s="1" t="s">
        <v>373</v>
      </c>
      <c r="E2989" s="6">
        <v>48.84</v>
      </c>
      <c r="F2989" s="1" t="s">
        <v>53</v>
      </c>
      <c r="G2989" s="6">
        <f ca="1">IFERROR(__xludf.DUMMYFUNCTION("iferror(GOOGLEFINANCE(TRIM(F2989)&amp;"":"" &amp; TRIM(B2989), ""price""),0
)"),0)</f>
        <v>0</v>
      </c>
      <c r="H2989" s="6">
        <v>37.92</v>
      </c>
      <c r="I2989" s="6">
        <f t="shared" ca="1" si="0"/>
        <v>37.92</v>
      </c>
      <c r="J2989" s="6">
        <f ca="1">IFERROR(__xludf.DUMMYFUNCTION("IFERROR(GOOGLEFINANCE(B2989, ""volume""), 0)"),0)</f>
        <v>0</v>
      </c>
      <c r="K2989" s="9"/>
      <c r="L2989" s="6" t="str">
        <f ca="1">IFERROR(__xludf.DUMMYFUNCTION("IFERROR(GOOGLEFINANCE(B2989,""changepct""),K2989)"),"")</f>
        <v/>
      </c>
      <c r="M2989" s="6">
        <f ca="1">IFERROR(__xludf.DUMMYFUNCTION("IFERROR(GOOGLEFINANCE(B2989,""change""),0)"),0)</f>
        <v>0</v>
      </c>
      <c r="N2989" s="6">
        <v>1</v>
      </c>
      <c r="O2989" s="7">
        <v>45536</v>
      </c>
      <c r="P2989" s="6">
        <v>28.75</v>
      </c>
      <c r="Q2989" s="6">
        <v>74.319999999999993</v>
      </c>
      <c r="R2989" s="7">
        <v>45536</v>
      </c>
      <c r="S2989" s="6">
        <v>136.80000000000001</v>
      </c>
      <c r="T2989" s="6">
        <v>-2.06</v>
      </c>
      <c r="U2989" s="7">
        <v>45536</v>
      </c>
      <c r="V2989" s="6">
        <v>0</v>
      </c>
      <c r="W2989" s="6">
        <f ca="1">IFERROR(__xludf.DUMMYFUNCTION("IFERROR(GOOGLEFINANCE(B2989,""pe""),V2989)"),0)</f>
        <v>0</v>
      </c>
      <c r="X2989" s="6">
        <v>0</v>
      </c>
      <c r="Y2989" s="6">
        <v>1.49</v>
      </c>
      <c r="Z2989" s="6">
        <v>1</v>
      </c>
      <c r="AA2989" s="8">
        <v>45352</v>
      </c>
      <c r="AB2989" s="4">
        <v>0.79</v>
      </c>
      <c r="AC2989" s="6">
        <v>1.17</v>
      </c>
      <c r="AD2989" s="6">
        <v>6.89</v>
      </c>
      <c r="AE2989" s="1">
        <v>0</v>
      </c>
      <c r="AF2989" s="1">
        <f ca="1">IFERROR(__xludf.DUMMYFUNCTION("IFERROR(GOOGLEFINANCE(TRIM(F2989)&amp;"":"" &amp; TRIM(B2989),""high52""),AE2989)"),0)</f>
        <v>0</v>
      </c>
      <c r="AG2989" s="1">
        <v>0</v>
      </c>
      <c r="AH2989" s="1">
        <f ca="1">IFERROR(__xludf.DUMMYFUNCTION("IFERROR(GOOGLEFINANCE(TRIM(F2989)&amp;"":"" &amp; TRIM(B2989),""low52""),AE2989)"),0)</f>
        <v>0</v>
      </c>
      <c r="AI2989" s="1">
        <f ca="1">IFERROR(__xludf.DUMMYFUNCTION("IFERROR(GOOGLEFINANCE(B2989,""eps""),0)"),0)</f>
        <v>0</v>
      </c>
      <c r="AJ2989" s="1"/>
      <c r="AK2989" s="9"/>
      <c r="AL2989" s="9">
        <f t="shared" si="289"/>
        <v>1</v>
      </c>
    </row>
    <row r="2990" spans="1:38" ht="15" x14ac:dyDescent="0.25">
      <c r="A2990" s="1" t="s">
        <v>9225</v>
      </c>
      <c r="B2990" s="1" t="s">
        <v>9226</v>
      </c>
      <c r="C2990" s="1" t="s">
        <v>355</v>
      </c>
      <c r="D2990" s="1" t="s">
        <v>355</v>
      </c>
      <c r="E2990" s="6">
        <v>264.05</v>
      </c>
      <c r="F2990" s="1" t="s">
        <v>40</v>
      </c>
      <c r="G2990" s="6">
        <f ca="1">IFERROR(__xludf.DUMMYFUNCTION("iferror(GOOGLEFINANCE(TRIM(F2990)&amp;"":"" &amp; TRIM(B2990), ""price""),0
)"),0)</f>
        <v>0</v>
      </c>
      <c r="H2990" s="6">
        <v>200.3</v>
      </c>
      <c r="I2990" s="6">
        <f t="shared" ca="1" si="0"/>
        <v>200.3</v>
      </c>
      <c r="J2990" s="6">
        <f ca="1">IFERROR(__xludf.DUMMYFUNCTION("IFERROR(GOOGLEFINANCE(B2990, ""volume""), 0)"),0)</f>
        <v>0</v>
      </c>
      <c r="K2990" s="6">
        <v>0</v>
      </c>
      <c r="L2990" s="6">
        <f ca="1">IFERROR(__xludf.DUMMYFUNCTION("IFERROR(GOOGLEFINANCE(B2990,""changepct""),K2990)"),0)</f>
        <v>0</v>
      </c>
      <c r="M2990" s="6">
        <f ca="1">IFERROR(__xludf.DUMMYFUNCTION("IFERROR(GOOGLEFINANCE(B2990,""change""),0)"),0)</f>
        <v>0</v>
      </c>
      <c r="N2990" s="6">
        <v>2</v>
      </c>
      <c r="O2990" s="7">
        <v>45536</v>
      </c>
      <c r="P2990" s="6">
        <v>65.98</v>
      </c>
      <c r="Q2990" s="6">
        <v>327.58999999999997</v>
      </c>
      <c r="R2990" s="7">
        <v>45536</v>
      </c>
      <c r="S2990" s="6">
        <v>97.94</v>
      </c>
      <c r="T2990" s="6">
        <v>4.0999999999999996</v>
      </c>
      <c r="U2990" s="7">
        <v>45536</v>
      </c>
      <c r="V2990" s="6">
        <v>64.45</v>
      </c>
      <c r="W2990" s="6">
        <f ca="1">IFERROR(__xludf.DUMMYFUNCTION("IFERROR(GOOGLEFINANCE(B2990,""pe""),V2990)"),64.45)</f>
        <v>64.45</v>
      </c>
      <c r="X2990" s="12"/>
      <c r="Y2990" s="6">
        <v>6.24</v>
      </c>
      <c r="Z2990" s="6">
        <v>2</v>
      </c>
      <c r="AA2990" s="8">
        <v>45352</v>
      </c>
      <c r="AB2990" s="4">
        <v>1.52</v>
      </c>
      <c r="AC2990" s="6">
        <v>10.01</v>
      </c>
      <c r="AD2990" s="6">
        <v>10.52</v>
      </c>
      <c r="AE2990" s="1">
        <v>0</v>
      </c>
      <c r="AF2990" s="1">
        <f ca="1">IFERROR(__xludf.DUMMYFUNCTION("IFERROR(GOOGLEFINANCE(TRIM(F2990)&amp;"":"" &amp; TRIM(B2990),""high52""),AE2990)"),0)</f>
        <v>0</v>
      </c>
      <c r="AG2990" s="1">
        <v>0</v>
      </c>
      <c r="AH2990" s="1">
        <f ca="1">IFERROR(__xludf.DUMMYFUNCTION("IFERROR(GOOGLEFINANCE(TRIM(F2990)&amp;"":"" &amp; TRIM(B2990),""low52""),AE2990)"),0)</f>
        <v>0</v>
      </c>
      <c r="AI2990" s="1">
        <f ca="1">IFERROR(__xludf.DUMMYFUNCTION("IFERROR(GOOGLEFINANCE(B2990,""eps""),0)"),0)</f>
        <v>0</v>
      </c>
      <c r="AJ2990" s="1"/>
      <c r="AK2990" s="1" t="s">
        <v>9227</v>
      </c>
      <c r="AL2990" s="1" t="b">
        <f>ISNUMBER(AA2990)</f>
        <v>1</v>
      </c>
    </row>
    <row r="2991" spans="1:38" ht="15" x14ac:dyDescent="0.25">
      <c r="A2991" s="1" t="s">
        <v>9228</v>
      </c>
      <c r="B2991" s="1" t="s">
        <v>9229</v>
      </c>
      <c r="C2991" s="1" t="s">
        <v>1229</v>
      </c>
      <c r="D2991" s="1" t="s">
        <v>1229</v>
      </c>
      <c r="E2991" s="6">
        <v>82.48</v>
      </c>
      <c r="F2991" s="1" t="s">
        <v>40</v>
      </c>
      <c r="G2991" s="6">
        <f ca="1">IFERROR(__xludf.DUMMYFUNCTION("iferror(GOOGLEFINANCE(TRIM(F2991)&amp;"":"" &amp; TRIM(B2991), ""price""),0
)"),22.46)</f>
        <v>22.46</v>
      </c>
      <c r="H2991" s="6">
        <v>57.28</v>
      </c>
      <c r="I2991" s="6">
        <f t="shared" ca="1" si="0"/>
        <v>22.46</v>
      </c>
      <c r="J2991" s="6">
        <f ca="1">IFERROR(__xludf.DUMMYFUNCTION("IFERROR(GOOGLEFINANCE(B2991, ""volume""), 0)"),35)</f>
        <v>35</v>
      </c>
      <c r="K2991" s="6">
        <v>0.39</v>
      </c>
      <c r="L2991" s="6">
        <f ca="1">IFERROR(__xludf.DUMMYFUNCTION("IFERROR(GOOGLEFINANCE(B2991,""changepct""),K2991)"),-0.57)</f>
        <v>-0.56999999999999995</v>
      </c>
      <c r="M2991" s="6">
        <f ca="1">IFERROR(__xludf.DUMMYFUNCTION("IFERROR(GOOGLEFINANCE(B2991,""change""),0)"),-1.27)</f>
        <v>-1.27</v>
      </c>
      <c r="N2991" s="6">
        <v>2</v>
      </c>
      <c r="O2991" s="7">
        <v>45536</v>
      </c>
      <c r="P2991" s="6">
        <v>1.07</v>
      </c>
      <c r="Q2991" s="6">
        <v>80.900000000000006</v>
      </c>
      <c r="R2991" s="15">
        <v>45536</v>
      </c>
      <c r="S2991" s="6">
        <v>58.59</v>
      </c>
      <c r="T2991" s="6">
        <v>1.45</v>
      </c>
      <c r="U2991" s="15">
        <v>45536</v>
      </c>
      <c r="V2991" s="6">
        <v>56.68</v>
      </c>
      <c r="W2991" s="6">
        <f ca="1">IFERROR(__xludf.DUMMYFUNCTION("IFERROR(GOOGLEFINANCE(B2991,""pe""),V2991)"),13.45)</f>
        <v>13.45</v>
      </c>
      <c r="X2991" s="6">
        <v>2.85</v>
      </c>
      <c r="Y2991" s="6">
        <v>1.1100000000000001</v>
      </c>
      <c r="Z2991" s="6">
        <v>2</v>
      </c>
      <c r="AA2991" s="8">
        <v>45352</v>
      </c>
      <c r="AB2991" s="4">
        <v>0.02</v>
      </c>
      <c r="AC2991" s="6">
        <v>3.3</v>
      </c>
      <c r="AD2991" s="6">
        <v>3.32</v>
      </c>
      <c r="AE2991" s="1">
        <v>0</v>
      </c>
      <c r="AF2991" s="1">
        <f ca="1">IFERROR(__xludf.DUMMYFUNCTION("IFERROR(GOOGLEFINANCE(TRIM(F2991)&amp;"":"" &amp; TRIM(B2991),""high52""),AE2991)"),42.5)</f>
        <v>42.5</v>
      </c>
      <c r="AG2991" s="1">
        <v>0</v>
      </c>
      <c r="AH2991" s="1">
        <f ca="1">IFERROR(__xludf.DUMMYFUNCTION("IFERROR(GOOGLEFINANCE(TRIM(F2991)&amp;"":"" &amp; TRIM(B2991),""low52""),AE2991)"),21.76)</f>
        <v>21.76</v>
      </c>
      <c r="AI2991" s="1">
        <f ca="1">IFERROR(__xludf.DUMMYFUNCTION("IFERROR(GOOGLEFINANCE(B2991,""eps""),0)"),16.61)</f>
        <v>16.61</v>
      </c>
      <c r="AJ2991" s="1"/>
      <c r="AK2991" s="6">
        <v>43.9</v>
      </c>
      <c r="AL2991" s="9">
        <f t="shared" ref="AL2991:AL2999" si="290">IF(AA2991&lt;&gt;AB2991,1,0)</f>
        <v>1</v>
      </c>
    </row>
    <row r="2992" spans="1:38" ht="15" x14ac:dyDescent="0.25">
      <c r="A2992" s="1" t="s">
        <v>9230</v>
      </c>
      <c r="B2992" s="1" t="s">
        <v>9231</v>
      </c>
      <c r="C2992" s="1" t="s">
        <v>373</v>
      </c>
      <c r="D2992" s="1" t="s">
        <v>373</v>
      </c>
      <c r="E2992" s="6">
        <v>209.81</v>
      </c>
      <c r="F2992" s="1" t="s">
        <v>53</v>
      </c>
      <c r="G2992" s="6">
        <f ca="1">IFERROR(__xludf.DUMMYFUNCTION("iferror(GOOGLEFINANCE(TRIM(F2992)&amp;"":"" &amp; TRIM(B2992), ""price""),0
)"),0)</f>
        <v>0</v>
      </c>
      <c r="H2992" s="6">
        <v>108.8</v>
      </c>
      <c r="I2992" s="6">
        <f t="shared" ca="1" si="0"/>
        <v>108.8</v>
      </c>
      <c r="J2992" s="6">
        <f ca="1">IFERROR(__xludf.DUMMYFUNCTION("IFERROR(GOOGLEFINANCE(B2992, ""volume""), 0)"),0)</f>
        <v>0</v>
      </c>
      <c r="K2992" s="6">
        <v>-2.77</v>
      </c>
      <c r="L2992" s="6">
        <f ca="1">IFERROR(__xludf.DUMMYFUNCTION("IFERROR(GOOGLEFINANCE(B2992,""changepct""),K2992)"),-2.77)</f>
        <v>-2.77</v>
      </c>
      <c r="M2992" s="6">
        <f ca="1">IFERROR(__xludf.DUMMYFUNCTION("IFERROR(GOOGLEFINANCE(B2992,""change""),0)"),0)</f>
        <v>0</v>
      </c>
      <c r="N2992" s="6">
        <v>1</v>
      </c>
      <c r="O2992" s="7">
        <v>45536</v>
      </c>
      <c r="P2992" s="6">
        <v>188.66</v>
      </c>
      <c r="Q2992" s="6">
        <v>397.88</v>
      </c>
      <c r="R2992" s="7">
        <v>45536</v>
      </c>
      <c r="S2992" s="6">
        <v>354.17</v>
      </c>
      <c r="T2992" s="6">
        <v>-9.9700000000000006</v>
      </c>
      <c r="U2992" s="7">
        <v>45536</v>
      </c>
      <c r="V2992" s="6">
        <v>0</v>
      </c>
      <c r="W2992" s="6">
        <f ca="1">IFERROR(__xludf.DUMMYFUNCTION("IFERROR(GOOGLEFINANCE(B2992,""pe""),V2992)"),0)</f>
        <v>0</v>
      </c>
      <c r="X2992" s="12"/>
      <c r="Y2992" s="6">
        <v>0.97</v>
      </c>
      <c r="Z2992" s="6">
        <v>1</v>
      </c>
      <c r="AA2992" s="8">
        <v>45352</v>
      </c>
      <c r="AB2992" s="4">
        <v>0.9</v>
      </c>
      <c r="AC2992" s="6">
        <v>-5.92</v>
      </c>
      <c r="AD2992" s="6">
        <v>0.18</v>
      </c>
      <c r="AE2992" s="1">
        <v>0</v>
      </c>
      <c r="AF2992" s="1">
        <f ca="1">IFERROR(__xludf.DUMMYFUNCTION("IFERROR(GOOGLEFINANCE(TRIM(F2992)&amp;"":"" &amp; TRIM(B2992),""high52""),AE2992)"),0)</f>
        <v>0</v>
      </c>
      <c r="AG2992" s="1">
        <v>0</v>
      </c>
      <c r="AH2992" s="1">
        <f ca="1">IFERROR(__xludf.DUMMYFUNCTION("IFERROR(GOOGLEFINANCE(TRIM(F2992)&amp;"":"" &amp; TRIM(B2992),""low52""),AE2992)"),0)</f>
        <v>0</v>
      </c>
      <c r="AI2992" s="1">
        <f ca="1">IFERROR(__xludf.DUMMYFUNCTION("IFERROR(GOOGLEFINANCE(B2992,""eps""),0)"),0)</f>
        <v>0</v>
      </c>
      <c r="AJ2992" s="1"/>
      <c r="AK2992" s="1" t="s">
        <v>9232</v>
      </c>
      <c r="AL2992" s="9">
        <f t="shared" si="290"/>
        <v>1</v>
      </c>
    </row>
    <row r="2993" spans="1:38" ht="15" x14ac:dyDescent="0.25">
      <c r="A2993" s="1" t="s">
        <v>9233</v>
      </c>
      <c r="B2993" s="1" t="s">
        <v>9234</v>
      </c>
      <c r="C2993" s="1" t="s">
        <v>135</v>
      </c>
      <c r="D2993" s="1" t="s">
        <v>135</v>
      </c>
      <c r="E2993" s="6">
        <v>7027.58</v>
      </c>
      <c r="F2993" s="1" t="s">
        <v>40</v>
      </c>
      <c r="G2993" s="6">
        <f ca="1">IFERROR(__xludf.DUMMYFUNCTION("iferror(GOOGLEFINANCE(TRIM(F2993)&amp;"":"" &amp; TRIM(B2993), ""price""),0
)"),2807)</f>
        <v>2807</v>
      </c>
      <c r="H2993" s="6">
        <v>1808.55</v>
      </c>
      <c r="I2993" s="6">
        <f t="shared" ca="1" si="0"/>
        <v>2807</v>
      </c>
      <c r="J2993" s="6">
        <f ca="1">IFERROR(__xludf.DUMMYFUNCTION("IFERROR(GOOGLEFINANCE(B2993, ""volume""), 0)"),81583)</f>
        <v>81583</v>
      </c>
      <c r="K2993" s="6">
        <v>0.76</v>
      </c>
      <c r="L2993" s="6">
        <f ca="1">IFERROR(__xludf.DUMMYFUNCTION("IFERROR(GOOGLEFINANCE(B2993,""changepct""),K2993)"),-0.01)</f>
        <v>-0.01</v>
      </c>
      <c r="M2993" s="6">
        <f ca="1">IFERROR(__xludf.DUMMYFUNCTION("IFERROR(GOOGLEFINANCE(B2993,""change""),0)"),-0.3)</f>
        <v>-0.3</v>
      </c>
      <c r="N2993" s="6">
        <v>2</v>
      </c>
      <c r="O2993" s="7">
        <v>45536</v>
      </c>
      <c r="P2993" s="6">
        <v>1028.74</v>
      </c>
      <c r="Q2993" s="6">
        <v>8038.12</v>
      </c>
      <c r="R2993" s="7">
        <v>45536</v>
      </c>
      <c r="S2993" s="6">
        <v>1884.93</v>
      </c>
      <c r="T2993" s="6">
        <v>136.94</v>
      </c>
      <c r="U2993" s="7">
        <v>45536</v>
      </c>
      <c r="V2993" s="6">
        <v>51.74</v>
      </c>
      <c r="W2993" s="6">
        <f ca="1">IFERROR(__xludf.DUMMYFUNCTION("IFERROR(GOOGLEFINANCE(B2993,""pe""),V2993)"),41.1)</f>
        <v>41.1</v>
      </c>
      <c r="X2993" s="6">
        <v>37.49</v>
      </c>
      <c r="Y2993" s="6">
        <v>7.08</v>
      </c>
      <c r="Z2993" s="6">
        <v>2</v>
      </c>
      <c r="AA2993" s="8">
        <v>45352</v>
      </c>
      <c r="AB2993" s="4">
        <v>1.06</v>
      </c>
      <c r="AC2993" s="6">
        <v>10.88</v>
      </c>
      <c r="AD2993" s="6">
        <v>12.22</v>
      </c>
      <c r="AE2993" s="1">
        <v>0</v>
      </c>
      <c r="AF2993" s="1">
        <f ca="1">IFERROR(__xludf.DUMMYFUNCTION("IFERROR(GOOGLEFINANCE(TRIM(F2993)&amp;"":"" &amp; TRIM(B2993),""high52""),AE2993)"),3440.5)</f>
        <v>3440.5</v>
      </c>
      <c r="AG2993" s="1">
        <v>0</v>
      </c>
      <c r="AH2993" s="1">
        <f ca="1">IFERROR(__xludf.DUMMYFUNCTION("IFERROR(GOOGLEFINANCE(TRIM(F2993)&amp;"":"" &amp; TRIM(B2993),""low52""),AE2993)"),1368.15)</f>
        <v>1368.15</v>
      </c>
      <c r="AI2993" s="1">
        <f ca="1">IFERROR(__xludf.DUMMYFUNCTION("IFERROR(GOOGLEFINANCE(B2993,""eps""),0)"),68.3)</f>
        <v>68.3</v>
      </c>
      <c r="AJ2993" s="1"/>
      <c r="AK2993" s="1" t="s">
        <v>9235</v>
      </c>
      <c r="AL2993" s="9">
        <f t="shared" si="290"/>
        <v>1</v>
      </c>
    </row>
    <row r="2994" spans="1:38" ht="15" x14ac:dyDescent="0.25">
      <c r="A2994" s="1" t="s">
        <v>9236</v>
      </c>
      <c r="B2994" s="1" t="s">
        <v>9237</v>
      </c>
      <c r="C2994" s="1" t="s">
        <v>525</v>
      </c>
      <c r="D2994" s="1" t="s">
        <v>525</v>
      </c>
      <c r="E2994" s="6">
        <v>197.52</v>
      </c>
      <c r="F2994" s="1" t="s">
        <v>40</v>
      </c>
      <c r="G2994" s="6">
        <f ca="1">IFERROR(__xludf.DUMMYFUNCTION("iferror(GOOGLEFINANCE(TRIM(F2994)&amp;"":"" &amp; TRIM(B2994), ""price""),0
)"),0)</f>
        <v>0</v>
      </c>
      <c r="H2994" s="6">
        <v>188</v>
      </c>
      <c r="I2994" s="6">
        <f t="shared" ca="1" si="0"/>
        <v>188</v>
      </c>
      <c r="J2994" s="6">
        <f ca="1">IFERROR(__xludf.DUMMYFUNCTION("IFERROR(GOOGLEFINANCE(B2994, ""volume""), 0)"),0)</f>
        <v>0</v>
      </c>
      <c r="K2994" s="6">
        <v>1.76</v>
      </c>
      <c r="L2994" s="6">
        <f ca="1">IFERROR(__xludf.DUMMYFUNCTION("IFERROR(GOOGLEFINANCE(B2994,""changepct""),K2994)"),1.76)</f>
        <v>1.76</v>
      </c>
      <c r="M2994" s="6">
        <f ca="1">IFERROR(__xludf.DUMMYFUNCTION("IFERROR(GOOGLEFINANCE(B2994,""change""),0)"),0)</f>
        <v>0</v>
      </c>
      <c r="N2994" s="6">
        <v>1</v>
      </c>
      <c r="O2994" s="7">
        <v>45536</v>
      </c>
      <c r="P2994" s="6">
        <v>6.62</v>
      </c>
      <c r="Q2994" s="6">
        <v>204.14</v>
      </c>
      <c r="R2994" s="14"/>
      <c r="S2994" s="9"/>
      <c r="T2994" s="9"/>
      <c r="U2994" s="7">
        <v>45352</v>
      </c>
      <c r="V2994" s="6">
        <v>35.43</v>
      </c>
      <c r="W2994" s="6">
        <f ca="1">IFERROR(__xludf.DUMMYFUNCTION("IFERROR(GOOGLEFINANCE(B2994,""pe""),V2994)"),35.43)</f>
        <v>35.43</v>
      </c>
      <c r="X2994" s="12"/>
      <c r="Y2994" s="6">
        <v>4.7699999999999996</v>
      </c>
      <c r="Z2994" s="6">
        <v>1</v>
      </c>
      <c r="AA2994" s="8">
        <v>45352</v>
      </c>
      <c r="AB2994" s="4">
        <v>1.45</v>
      </c>
      <c r="AC2994" s="6">
        <v>143.86000000000001</v>
      </c>
      <c r="AD2994" s="6">
        <v>72.3</v>
      </c>
      <c r="AE2994" s="1">
        <v>0</v>
      </c>
      <c r="AF2994" s="1">
        <f ca="1">IFERROR(__xludf.DUMMYFUNCTION("IFERROR(GOOGLEFINANCE(TRIM(F2994)&amp;"":"" &amp; TRIM(B2994),""high52""),AE2994)"),0)</f>
        <v>0</v>
      </c>
      <c r="AG2994" s="1">
        <v>0</v>
      </c>
      <c r="AH2994" s="1">
        <f ca="1">IFERROR(__xludf.DUMMYFUNCTION("IFERROR(GOOGLEFINANCE(TRIM(F2994)&amp;"":"" &amp; TRIM(B2994),""low52""),AE2994)"),0)</f>
        <v>0</v>
      </c>
      <c r="AI2994" s="1">
        <f ca="1">IFERROR(__xludf.DUMMYFUNCTION("IFERROR(GOOGLEFINANCE(B2994,""eps""),0)"),0)</f>
        <v>0</v>
      </c>
      <c r="AJ2994" s="1"/>
      <c r="AK2994" s="1" t="s">
        <v>9238</v>
      </c>
      <c r="AL2994" s="9">
        <f t="shared" si="290"/>
        <v>1</v>
      </c>
    </row>
    <row r="2995" spans="1:38" ht="15" x14ac:dyDescent="0.25">
      <c r="A2995" s="1" t="s">
        <v>9239</v>
      </c>
      <c r="B2995" s="1" t="s">
        <v>9240</v>
      </c>
      <c r="C2995" s="1" t="s">
        <v>373</v>
      </c>
      <c r="D2995" s="1" t="s">
        <v>373</v>
      </c>
      <c r="E2995" s="6">
        <v>133.63999999999999</v>
      </c>
      <c r="F2995" s="1" t="s">
        <v>53</v>
      </c>
      <c r="G2995" s="6">
        <f ca="1">IFERROR(__xludf.DUMMYFUNCTION("iferror(GOOGLEFINANCE(TRIM(F2995)&amp;"":"" &amp; TRIM(B2995), ""price""),0
)"),0)</f>
        <v>0</v>
      </c>
      <c r="H2995" s="6">
        <v>96.6</v>
      </c>
      <c r="I2995" s="6">
        <f t="shared" ca="1" si="0"/>
        <v>96.6</v>
      </c>
      <c r="J2995" s="6">
        <f ca="1">IFERROR(__xludf.DUMMYFUNCTION("IFERROR(GOOGLEFINANCE(B2995, ""volume""), 0)"),0)</f>
        <v>0</v>
      </c>
      <c r="K2995" s="6">
        <v>0.11</v>
      </c>
      <c r="L2995" s="6">
        <f ca="1">IFERROR(__xludf.DUMMYFUNCTION("IFERROR(GOOGLEFINANCE(B2995,""changepct""),K2995)"),0.11)</f>
        <v>0.11</v>
      </c>
      <c r="M2995" s="6">
        <f ca="1">IFERROR(__xludf.DUMMYFUNCTION("IFERROR(GOOGLEFINANCE(B2995,""change""),0)"),0)</f>
        <v>0</v>
      </c>
      <c r="N2995" s="6">
        <v>2</v>
      </c>
      <c r="O2995" s="7">
        <v>45536</v>
      </c>
      <c r="P2995" s="6">
        <v>6.66</v>
      </c>
      <c r="Q2995" s="6">
        <v>136.35</v>
      </c>
      <c r="R2995" s="7">
        <v>45536</v>
      </c>
      <c r="S2995" s="6">
        <v>37.35</v>
      </c>
      <c r="T2995" s="6">
        <v>1.39</v>
      </c>
      <c r="U2995" s="7">
        <v>45536</v>
      </c>
      <c r="V2995" s="6">
        <v>33.78</v>
      </c>
      <c r="W2995" s="6">
        <f ca="1">IFERROR(__xludf.DUMMYFUNCTION("IFERROR(GOOGLEFINANCE(B2995,""pe""),V2995)"),33.78)</f>
        <v>33.78</v>
      </c>
      <c r="X2995" s="6">
        <v>0.6</v>
      </c>
      <c r="Y2995" s="6">
        <v>1.26</v>
      </c>
      <c r="Z2995" s="6">
        <v>2</v>
      </c>
      <c r="AA2995" s="8">
        <v>45352</v>
      </c>
      <c r="AB2995" s="4">
        <v>0.11</v>
      </c>
      <c r="AC2995" s="6">
        <v>6.48</v>
      </c>
      <c r="AD2995" s="6">
        <v>6.79</v>
      </c>
      <c r="AE2995" s="1">
        <v>0</v>
      </c>
      <c r="AF2995" s="1">
        <f ca="1">IFERROR(__xludf.DUMMYFUNCTION("IFERROR(GOOGLEFINANCE(TRIM(F2995)&amp;"":"" &amp; TRIM(B2995),""high52""),AE2995)"),0)</f>
        <v>0</v>
      </c>
      <c r="AG2995" s="1">
        <v>0</v>
      </c>
      <c r="AH2995" s="1">
        <f ca="1">IFERROR(__xludf.DUMMYFUNCTION("IFERROR(GOOGLEFINANCE(TRIM(F2995)&amp;"":"" &amp; TRIM(B2995),""low52""),AE2995)"),0)</f>
        <v>0</v>
      </c>
      <c r="AI2995" s="1">
        <f ca="1">IFERROR(__xludf.DUMMYFUNCTION("IFERROR(GOOGLEFINANCE(B2995,""eps""),0)"),0)</f>
        <v>0</v>
      </c>
      <c r="AJ2995" s="1"/>
      <c r="AK2995" s="1" t="s">
        <v>9241</v>
      </c>
      <c r="AL2995" s="9">
        <f t="shared" si="290"/>
        <v>1</v>
      </c>
    </row>
    <row r="2996" spans="1:38" ht="15" x14ac:dyDescent="0.25">
      <c r="A2996" s="1" t="s">
        <v>9242</v>
      </c>
      <c r="B2996" s="1" t="s">
        <v>9243</v>
      </c>
      <c r="C2996" s="1" t="s">
        <v>106</v>
      </c>
      <c r="D2996" s="1" t="s">
        <v>106</v>
      </c>
      <c r="E2996" s="6">
        <v>8721.56</v>
      </c>
      <c r="F2996" s="1" t="s">
        <v>40</v>
      </c>
      <c r="G2996" s="6">
        <f ca="1">IFERROR(__xludf.DUMMYFUNCTION("iferror(GOOGLEFINANCE(TRIM(F2996)&amp;"":"" &amp; TRIM(B2996), ""price""),0
)"),5234.5)</f>
        <v>5234.5</v>
      </c>
      <c r="H2996" s="6">
        <v>5236.5</v>
      </c>
      <c r="I2996" s="6">
        <f t="shared" ca="1" si="0"/>
        <v>5234.5</v>
      </c>
      <c r="J2996" s="6">
        <f ca="1">IFERROR(__xludf.DUMMYFUNCTION("IFERROR(GOOGLEFINANCE(B2996, ""volume""), 0)"),9078)</f>
        <v>9078</v>
      </c>
      <c r="K2996" s="6">
        <v>-0.31</v>
      </c>
      <c r="L2996" s="6">
        <f ca="1">IFERROR(__xludf.DUMMYFUNCTION("IFERROR(GOOGLEFINANCE(B2996,""changepct""),K2996)"),-1.33)</f>
        <v>-1.33</v>
      </c>
      <c r="M2996" s="6">
        <f ca="1">IFERROR(__xludf.DUMMYFUNCTION("IFERROR(GOOGLEFINANCE(B2996,""change""),0)"),-70.5)</f>
        <v>-70.5</v>
      </c>
      <c r="N2996" s="6">
        <v>1</v>
      </c>
      <c r="O2996" s="7">
        <v>45444</v>
      </c>
      <c r="P2996" s="6">
        <v>0</v>
      </c>
      <c r="Q2996" s="6">
        <v>8477.2000000000007</v>
      </c>
      <c r="R2996" s="7">
        <v>45536</v>
      </c>
      <c r="S2996" s="6">
        <v>1159.74</v>
      </c>
      <c r="T2996" s="6">
        <v>217.74</v>
      </c>
      <c r="U2996" s="7">
        <v>45536</v>
      </c>
      <c r="V2996" s="6">
        <v>40.049999999999997</v>
      </c>
      <c r="W2996" s="6">
        <f ca="1">IFERROR(__xludf.DUMMYFUNCTION("IFERROR(GOOGLEFINANCE(B2996,""pe""),V2996)"),28.35)</f>
        <v>28.35</v>
      </c>
      <c r="X2996" s="6">
        <v>-1.69</v>
      </c>
      <c r="Y2996" s="6">
        <v>14.25</v>
      </c>
      <c r="Z2996" s="6">
        <v>1</v>
      </c>
      <c r="AA2996" s="17">
        <v>45444</v>
      </c>
      <c r="AB2996" s="18">
        <v>0</v>
      </c>
      <c r="AC2996" s="6">
        <v>31.58</v>
      </c>
      <c r="AD2996" s="6">
        <v>42.52</v>
      </c>
      <c r="AE2996" s="1">
        <v>0</v>
      </c>
      <c r="AF2996" s="1">
        <f ca="1">IFERROR(__xludf.DUMMYFUNCTION("IFERROR(GOOGLEFINANCE(TRIM(F2996)&amp;"":"" &amp; TRIM(B2996),""high52""),AE2996)"),6739)</f>
        <v>6739</v>
      </c>
      <c r="AG2996" s="1">
        <v>0</v>
      </c>
      <c r="AH2996" s="1">
        <f ca="1">IFERROR(__xludf.DUMMYFUNCTION("IFERROR(GOOGLEFINANCE(TRIM(F2996)&amp;"":"" &amp; TRIM(B2996),""low52""),AE2996)"),4903.85)</f>
        <v>4903.8500000000004</v>
      </c>
      <c r="AI2996" s="1">
        <f ca="1">IFERROR(__xludf.DUMMYFUNCTION("IFERROR(GOOGLEFINANCE(B2996,""eps""),0)"),184.66)</f>
        <v>184.66</v>
      </c>
      <c r="AJ2996" s="1"/>
      <c r="AK2996" s="9"/>
      <c r="AL2996" s="9">
        <f t="shared" si="290"/>
        <v>1</v>
      </c>
    </row>
    <row r="2997" spans="1:38" ht="15" x14ac:dyDescent="0.25">
      <c r="A2997" s="1" t="s">
        <v>9244</v>
      </c>
      <c r="B2997" s="1" t="s">
        <v>9245</v>
      </c>
      <c r="C2997" s="1" t="s">
        <v>373</v>
      </c>
      <c r="D2997" s="1" t="s">
        <v>373</v>
      </c>
      <c r="E2997" s="6">
        <v>6.26</v>
      </c>
      <c r="F2997" s="1" t="s">
        <v>53</v>
      </c>
      <c r="G2997" s="6">
        <f ca="1">IFERROR(__xludf.DUMMYFUNCTION("iferror(GOOGLEFINANCE(TRIM(F2997)&amp;"":"" &amp; TRIM(B2997), ""price""),0
)"),0)</f>
        <v>0</v>
      </c>
      <c r="H2997" s="6">
        <v>9.59</v>
      </c>
      <c r="I2997" s="6">
        <f t="shared" ca="1" si="0"/>
        <v>9.59</v>
      </c>
      <c r="J2997" s="6">
        <f ca="1">IFERROR(__xludf.DUMMYFUNCTION("IFERROR(GOOGLEFINANCE(B2997, ""volume""), 0)"),0)</f>
        <v>0</v>
      </c>
      <c r="K2997" s="9"/>
      <c r="L2997" s="6" t="str">
        <f ca="1">IFERROR(__xludf.DUMMYFUNCTION("IFERROR(GOOGLEFINANCE(B2997,""changepct""),K2997)"),"")</f>
        <v/>
      </c>
      <c r="M2997" s="6">
        <f ca="1">IFERROR(__xludf.DUMMYFUNCTION("IFERROR(GOOGLEFINANCE(B2997,""change""),0)"),0)</f>
        <v>0</v>
      </c>
      <c r="N2997" s="6">
        <v>1</v>
      </c>
      <c r="O2997" s="7">
        <v>45536</v>
      </c>
      <c r="P2997" s="9"/>
      <c r="Q2997" s="6">
        <v>6.26</v>
      </c>
      <c r="R2997" s="7">
        <v>45536</v>
      </c>
      <c r="S2997" s="6">
        <v>0.19</v>
      </c>
      <c r="T2997" s="6">
        <v>0.64</v>
      </c>
      <c r="U2997" s="7">
        <v>45536</v>
      </c>
      <c r="V2997" s="6">
        <v>9.85</v>
      </c>
      <c r="W2997" s="6">
        <f ca="1">IFERROR(__xludf.DUMMYFUNCTION("IFERROR(GOOGLEFINANCE(B2997,""pe""),V2997)"),9.85)</f>
        <v>9.85</v>
      </c>
      <c r="X2997" s="6">
        <v>0.17</v>
      </c>
      <c r="Y2997" s="6">
        <v>1.9</v>
      </c>
      <c r="Z2997" s="6">
        <v>1</v>
      </c>
      <c r="AA2997" s="8">
        <v>45352</v>
      </c>
      <c r="AB2997" s="4">
        <v>0</v>
      </c>
      <c r="AC2997" s="6">
        <v>19.43</v>
      </c>
      <c r="AD2997" s="6">
        <v>2.71</v>
      </c>
      <c r="AE2997" s="1">
        <v>0</v>
      </c>
      <c r="AF2997" s="1">
        <f ca="1">IFERROR(__xludf.DUMMYFUNCTION("IFERROR(GOOGLEFINANCE(TRIM(F2997)&amp;"":"" &amp; TRIM(B2997),""high52""),AE2997)"),0)</f>
        <v>0</v>
      </c>
      <c r="AG2997" s="1">
        <v>0</v>
      </c>
      <c r="AH2997" s="1">
        <f ca="1">IFERROR(__xludf.DUMMYFUNCTION("IFERROR(GOOGLEFINANCE(TRIM(F2997)&amp;"":"" &amp; TRIM(B2997),""low52""),AE2997)"),0)</f>
        <v>0</v>
      </c>
      <c r="AI2997" s="1">
        <f ca="1">IFERROR(__xludf.DUMMYFUNCTION("IFERROR(GOOGLEFINANCE(B2997,""eps""),0)"),0)</f>
        <v>0</v>
      </c>
      <c r="AJ2997" s="1"/>
      <c r="AK2997" s="1" t="s">
        <v>9246</v>
      </c>
      <c r="AL2997" s="9">
        <f t="shared" si="290"/>
        <v>1</v>
      </c>
    </row>
    <row r="2998" spans="1:38" ht="15" x14ac:dyDescent="0.25">
      <c r="A2998" s="1" t="s">
        <v>9247</v>
      </c>
      <c r="B2998" s="1" t="s">
        <v>9248</v>
      </c>
      <c r="C2998" s="1" t="s">
        <v>373</v>
      </c>
      <c r="D2998" s="1" t="s">
        <v>373</v>
      </c>
      <c r="E2998" s="6">
        <v>33.75</v>
      </c>
      <c r="F2998" s="1" t="s">
        <v>53</v>
      </c>
      <c r="G2998" s="6">
        <f ca="1">IFERROR(__xludf.DUMMYFUNCTION("iferror(GOOGLEFINANCE(TRIM(F2998)&amp;"":"" &amp; TRIM(B2998), ""price""),0
)"),0)</f>
        <v>0</v>
      </c>
      <c r="H2998" s="6">
        <v>145</v>
      </c>
      <c r="I2998" s="6">
        <f t="shared" ca="1" si="0"/>
        <v>145</v>
      </c>
      <c r="J2998" s="6">
        <f ca="1">IFERROR(__xludf.DUMMYFUNCTION("IFERROR(GOOGLEFINANCE(B2998, ""volume""), 0)"),0)</f>
        <v>0</v>
      </c>
      <c r="K2998" s="6">
        <v>-1.99</v>
      </c>
      <c r="L2998" s="6">
        <f ca="1">IFERROR(__xludf.DUMMYFUNCTION("IFERROR(GOOGLEFINANCE(B2998,""changepct""),K2998)"),-1.99)</f>
        <v>-1.99</v>
      </c>
      <c r="M2998" s="6">
        <f ca="1">IFERROR(__xludf.DUMMYFUNCTION("IFERROR(GOOGLEFINANCE(B2998,""change""),0)"),0)</f>
        <v>0</v>
      </c>
      <c r="N2998" s="6">
        <v>1</v>
      </c>
      <c r="O2998" s="7">
        <v>45536</v>
      </c>
      <c r="P2998" s="6">
        <v>0.47</v>
      </c>
      <c r="Q2998" s="6">
        <v>1.01</v>
      </c>
      <c r="R2998" s="7">
        <v>45536</v>
      </c>
      <c r="S2998" s="6">
        <v>1.95</v>
      </c>
      <c r="T2998" s="6">
        <v>0.93</v>
      </c>
      <c r="U2998" s="7">
        <v>45536</v>
      </c>
      <c r="V2998" s="6">
        <v>36.450000000000003</v>
      </c>
      <c r="W2998" s="6">
        <f ca="1">IFERROR(__xludf.DUMMYFUNCTION("IFERROR(GOOGLEFINANCE(B2998,""pe""),V2998)"),36.45)</f>
        <v>36.450000000000003</v>
      </c>
      <c r="X2998" s="6">
        <v>0.4</v>
      </c>
      <c r="Y2998" s="6">
        <v>0.97</v>
      </c>
      <c r="Z2998" s="6">
        <v>1</v>
      </c>
      <c r="AA2998" s="8">
        <v>45352</v>
      </c>
      <c r="AB2998" s="4">
        <v>0.01</v>
      </c>
      <c r="AC2998" s="6">
        <v>2.46</v>
      </c>
      <c r="AD2998" s="6">
        <v>3.62</v>
      </c>
      <c r="AE2998" s="1">
        <v>0</v>
      </c>
      <c r="AF2998" s="1">
        <f ca="1">IFERROR(__xludf.DUMMYFUNCTION("IFERROR(GOOGLEFINANCE(TRIM(F2998)&amp;"":"" &amp; TRIM(B2998),""high52""),AE2998)"),0)</f>
        <v>0</v>
      </c>
      <c r="AG2998" s="1">
        <v>0</v>
      </c>
      <c r="AH2998" s="1">
        <f ca="1">IFERROR(__xludf.DUMMYFUNCTION("IFERROR(GOOGLEFINANCE(TRIM(F2998)&amp;"":"" &amp; TRIM(B2998),""low52""),AE2998)"),0)</f>
        <v>0</v>
      </c>
      <c r="AI2998" s="1">
        <f ca="1">IFERROR(__xludf.DUMMYFUNCTION("IFERROR(GOOGLEFINANCE(B2998,""eps""),0)"),0)</f>
        <v>0</v>
      </c>
      <c r="AJ2998" s="1"/>
      <c r="AK2998" s="1" t="s">
        <v>9249</v>
      </c>
      <c r="AL2998" s="9">
        <f t="shared" si="290"/>
        <v>1</v>
      </c>
    </row>
    <row r="2999" spans="1:38" ht="15" x14ac:dyDescent="0.25">
      <c r="A2999" s="1" t="s">
        <v>9250</v>
      </c>
      <c r="B2999" s="1" t="s">
        <v>9251</v>
      </c>
      <c r="C2999" s="1" t="s">
        <v>151</v>
      </c>
      <c r="D2999" s="1" t="s">
        <v>151</v>
      </c>
      <c r="E2999" s="6">
        <v>47301.78</v>
      </c>
      <c r="F2999" s="1" t="s">
        <v>40</v>
      </c>
      <c r="G2999" s="6">
        <f ca="1">IFERROR(__xludf.DUMMYFUNCTION("iferror(GOOGLEFINANCE(TRIM(F2999)&amp;"":"" &amp; TRIM(B2999), ""price""),0
)"),11752)</f>
        <v>11752</v>
      </c>
      <c r="H2999" s="6">
        <v>14691.7</v>
      </c>
      <c r="I2999" s="6">
        <f t="shared" ca="1" si="0"/>
        <v>11752</v>
      </c>
      <c r="J2999" s="6">
        <f ca="1">IFERROR(__xludf.DUMMYFUNCTION("IFERROR(GOOGLEFINANCE(B2999, ""volume""), 0)"),5177)</f>
        <v>5177</v>
      </c>
      <c r="K2999" s="6">
        <v>0.83</v>
      </c>
      <c r="L2999" s="6">
        <f ca="1">IFERROR(__xludf.DUMMYFUNCTION("IFERROR(GOOGLEFINANCE(B2999,""changepct""),K2999)"),-1.42)</f>
        <v>-1.42</v>
      </c>
      <c r="M2999" s="6">
        <f ca="1">IFERROR(__xludf.DUMMYFUNCTION("IFERROR(GOOGLEFINANCE(B2999,""change""),0)"),-169)</f>
        <v>-169</v>
      </c>
      <c r="N2999" s="6">
        <v>1</v>
      </c>
      <c r="O2999" s="7">
        <v>45444</v>
      </c>
      <c r="P2999" s="6">
        <v>0</v>
      </c>
      <c r="Q2999" s="6">
        <v>46713.58</v>
      </c>
      <c r="R2999" s="7">
        <v>45536</v>
      </c>
      <c r="S2999" s="6">
        <v>4202.51</v>
      </c>
      <c r="T2999" s="6">
        <v>676.23</v>
      </c>
      <c r="U2999" s="7">
        <v>45536</v>
      </c>
      <c r="V2999" s="6">
        <v>69.95</v>
      </c>
      <c r="W2999" s="6">
        <f ca="1">IFERROR(__xludf.DUMMYFUNCTION("IFERROR(GOOGLEFINANCE(B2999,""pe""),V2999)"),44.38)</f>
        <v>44.38</v>
      </c>
      <c r="X2999" s="6">
        <v>6.99</v>
      </c>
      <c r="Y2999" s="6">
        <v>50.87</v>
      </c>
      <c r="Z2999" s="6">
        <v>1</v>
      </c>
      <c r="AA2999" s="8">
        <v>45444</v>
      </c>
      <c r="AB2999" s="4">
        <v>0</v>
      </c>
      <c r="AC2999" s="6">
        <v>83.56</v>
      </c>
      <c r="AD2999" s="6">
        <v>112.27</v>
      </c>
      <c r="AE2999" s="1">
        <v>0</v>
      </c>
      <c r="AF2999" s="1">
        <f ca="1">IFERROR(__xludf.DUMMYFUNCTION("IFERROR(GOOGLEFINANCE(TRIM(F2999)&amp;"":"" &amp; TRIM(B2999),""high52""),AE2999)"),14800)</f>
        <v>14800</v>
      </c>
      <c r="AG2999" s="1">
        <v>0</v>
      </c>
      <c r="AH2999" s="1">
        <f ca="1">IFERROR(__xludf.DUMMYFUNCTION("IFERROR(GOOGLEFINANCE(TRIM(F2999)&amp;"":"" &amp; TRIM(B2999),""low52""),AE2999)"),11612)</f>
        <v>11612</v>
      </c>
      <c r="AI2999" s="1">
        <f ca="1">IFERROR(__xludf.DUMMYFUNCTION("IFERROR(GOOGLEFINANCE(B2999,""eps""),0)"),264.78)</f>
        <v>264.77999999999997</v>
      </c>
      <c r="AJ2999" s="1"/>
      <c r="AK2999" s="1" t="s">
        <v>9252</v>
      </c>
      <c r="AL2999" s="9">
        <f t="shared" si="290"/>
        <v>1</v>
      </c>
    </row>
    <row r="3000" spans="1:38" ht="15" x14ac:dyDescent="0.25">
      <c r="A3000" s="1" t="s">
        <v>9253</v>
      </c>
      <c r="B3000" s="1" t="s">
        <v>9254</v>
      </c>
      <c r="C3000" s="1" t="s">
        <v>135</v>
      </c>
      <c r="D3000" s="1" t="s">
        <v>135</v>
      </c>
      <c r="E3000" s="6">
        <v>133.59</v>
      </c>
      <c r="F3000" s="1" t="s">
        <v>40</v>
      </c>
      <c r="G3000" s="6">
        <f ca="1">IFERROR(__xludf.DUMMYFUNCTION("iferror(GOOGLEFINANCE(TRIM(F3000)&amp;"":"" &amp; TRIM(B3000), ""price""),0
)"),0)</f>
        <v>0</v>
      </c>
      <c r="H3000" s="6">
        <v>348.05</v>
      </c>
      <c r="I3000" s="6">
        <f t="shared" ca="1" si="0"/>
        <v>348.05</v>
      </c>
      <c r="J3000" s="6">
        <f ca="1">IFERROR(__xludf.DUMMYFUNCTION("IFERROR(GOOGLEFINANCE(B3000, ""volume""), 0)"),0)</f>
        <v>0</v>
      </c>
      <c r="K3000" s="6">
        <v>6.67</v>
      </c>
      <c r="L3000" s="6">
        <f ca="1">IFERROR(__xludf.DUMMYFUNCTION("IFERROR(GOOGLEFINANCE(B3000,""changepct""),K3000)"),6.67)</f>
        <v>6.67</v>
      </c>
      <c r="M3000" s="6">
        <f ca="1">IFERROR(__xludf.DUMMYFUNCTION("IFERROR(GOOGLEFINANCE(B3000,""change""),0)"),0)</f>
        <v>0</v>
      </c>
      <c r="N3000" s="6">
        <v>1</v>
      </c>
      <c r="O3000" s="7">
        <v>45536</v>
      </c>
      <c r="P3000" s="6">
        <v>-2.38</v>
      </c>
      <c r="Q3000" s="6">
        <v>131.21</v>
      </c>
      <c r="R3000" s="7">
        <v>45352</v>
      </c>
      <c r="S3000" s="6">
        <v>56.82</v>
      </c>
      <c r="T3000" s="6">
        <v>8.76</v>
      </c>
      <c r="U3000" s="7">
        <v>45352</v>
      </c>
      <c r="V3000" s="6">
        <v>15.25</v>
      </c>
      <c r="W3000" s="6">
        <f ca="1">IFERROR(__xludf.DUMMYFUNCTION("IFERROR(GOOGLEFINANCE(B3000,""pe""),V3000)"),15.25)</f>
        <v>15.25</v>
      </c>
      <c r="X3000" s="6">
        <v>0.45</v>
      </c>
      <c r="Y3000" s="6">
        <v>3.26</v>
      </c>
      <c r="Z3000" s="6">
        <v>1</v>
      </c>
      <c r="AA3000" s="8">
        <v>45352</v>
      </c>
      <c r="AB3000" s="4">
        <v>0.09</v>
      </c>
      <c r="AC3000" s="6">
        <v>23.88</v>
      </c>
      <c r="AD3000" s="6">
        <v>30.82</v>
      </c>
      <c r="AE3000" s="1">
        <v>0</v>
      </c>
      <c r="AF3000" s="1">
        <f ca="1">IFERROR(__xludf.DUMMYFUNCTION("IFERROR(GOOGLEFINANCE(TRIM(F3000)&amp;"":"" &amp; TRIM(B3000),""high52""),AE3000)"),0)</f>
        <v>0</v>
      </c>
      <c r="AG3000" s="1">
        <v>0</v>
      </c>
      <c r="AH3000" s="1">
        <f ca="1">IFERROR(__xludf.DUMMYFUNCTION("IFERROR(GOOGLEFINANCE(TRIM(F3000)&amp;"":"" &amp; TRIM(B3000),""low52""),AE3000)"),0)</f>
        <v>0</v>
      </c>
      <c r="AI3000" s="1">
        <f ca="1">IFERROR(__xludf.DUMMYFUNCTION("IFERROR(GOOGLEFINANCE(B3000,""eps""),0)"),0)</f>
        <v>0</v>
      </c>
      <c r="AJ3000" s="1"/>
      <c r="AK3000" s="1" t="s">
        <v>9255</v>
      </c>
      <c r="AL3000" s="1" t="b">
        <f>ISNUMBER(AA3000)</f>
        <v>1</v>
      </c>
    </row>
    <row r="3001" spans="1:38" ht="15" x14ac:dyDescent="0.25">
      <c r="A3001" s="1" t="s">
        <v>9256</v>
      </c>
      <c r="B3001" s="1" t="s">
        <v>9257</v>
      </c>
      <c r="C3001" s="1" t="s">
        <v>373</v>
      </c>
      <c r="D3001" s="1" t="s">
        <v>373</v>
      </c>
      <c r="E3001" s="6">
        <v>343.09</v>
      </c>
      <c r="F3001" s="1" t="s">
        <v>53</v>
      </c>
      <c r="G3001" s="6">
        <f ca="1">IFERROR(__xludf.DUMMYFUNCTION("iferror(GOOGLEFINANCE(TRIM(F3001)&amp;"":"" &amp; TRIM(B3001), ""price""),0
)"),0)</f>
        <v>0</v>
      </c>
      <c r="H3001" s="6">
        <v>151</v>
      </c>
      <c r="I3001" s="6">
        <f t="shared" ca="1" si="0"/>
        <v>151</v>
      </c>
      <c r="J3001" s="6">
        <f ca="1">IFERROR(__xludf.DUMMYFUNCTION("IFERROR(GOOGLEFINANCE(B3001, ""volume""), 0)"),0)</f>
        <v>0</v>
      </c>
      <c r="K3001" s="6">
        <v>2.2999999999999998</v>
      </c>
      <c r="L3001" s="6">
        <f ca="1">IFERROR(__xludf.DUMMYFUNCTION("IFERROR(GOOGLEFINANCE(B3001,""changepct""),K3001)"),2.3)</f>
        <v>2.2999999999999998</v>
      </c>
      <c r="M3001" s="6">
        <f ca="1">IFERROR(__xludf.DUMMYFUNCTION("IFERROR(GOOGLEFINANCE(B3001,""change""),0)"),0)</f>
        <v>0</v>
      </c>
      <c r="N3001" s="6">
        <v>1</v>
      </c>
      <c r="O3001" s="7">
        <v>45536</v>
      </c>
      <c r="P3001" s="6">
        <v>112.73</v>
      </c>
      <c r="Q3001" s="6">
        <v>455.82</v>
      </c>
      <c r="R3001" s="9"/>
      <c r="S3001" s="9"/>
      <c r="T3001" s="9"/>
      <c r="U3001" s="7">
        <v>45352</v>
      </c>
      <c r="V3001" s="6">
        <v>10.4</v>
      </c>
      <c r="W3001" s="6">
        <f ca="1">IFERROR(__xludf.DUMMYFUNCTION("IFERROR(GOOGLEFINANCE(B3001,""pe""),V3001)"),10.4)</f>
        <v>10.4</v>
      </c>
      <c r="X3001" s="9"/>
      <c r="Y3001" s="6">
        <v>1.1100000000000001</v>
      </c>
      <c r="Z3001" s="6">
        <v>2</v>
      </c>
      <c r="AA3001" s="8">
        <v>45352</v>
      </c>
      <c r="AB3001" s="4">
        <v>0.92</v>
      </c>
      <c r="AC3001" s="6">
        <v>18.11</v>
      </c>
      <c r="AD3001" s="6">
        <v>17.690000000000001</v>
      </c>
      <c r="AE3001" s="1">
        <v>0</v>
      </c>
      <c r="AF3001" s="1">
        <f ca="1">IFERROR(__xludf.DUMMYFUNCTION("IFERROR(GOOGLEFINANCE(TRIM(F3001)&amp;"":"" &amp; TRIM(B3001),""high52""),AE3001)"),0)</f>
        <v>0</v>
      </c>
      <c r="AG3001" s="1">
        <v>0</v>
      </c>
      <c r="AH3001" s="1">
        <f ca="1">IFERROR(__xludf.DUMMYFUNCTION("IFERROR(GOOGLEFINANCE(TRIM(F3001)&amp;"":"" &amp; TRIM(B3001),""low52""),AE3001)"),0)</f>
        <v>0</v>
      </c>
      <c r="AI3001" s="1">
        <f ca="1">IFERROR(__xludf.DUMMYFUNCTION("IFERROR(GOOGLEFINANCE(B3001,""eps""),0)"),0)</f>
        <v>0</v>
      </c>
      <c r="AJ3001" s="1"/>
      <c r="AK3001" s="9"/>
      <c r="AL3001" s="9">
        <f t="shared" ref="AL3001:AL3011" si="291">IF(AA3001&lt;&gt;AB3001,1,0)</f>
        <v>1</v>
      </c>
    </row>
    <row r="3002" spans="1:38" ht="15" x14ac:dyDescent="0.25">
      <c r="A3002" s="1" t="s">
        <v>9258</v>
      </c>
      <c r="B3002" s="1" t="s">
        <v>9259</v>
      </c>
      <c r="C3002" s="1" t="s">
        <v>373</v>
      </c>
      <c r="D3002" s="1" t="s">
        <v>373</v>
      </c>
      <c r="E3002" s="6">
        <v>124.77</v>
      </c>
      <c r="F3002" s="1" t="s">
        <v>53</v>
      </c>
      <c r="G3002" s="6">
        <f ca="1">IFERROR(__xludf.DUMMYFUNCTION("iferror(GOOGLEFINANCE(TRIM(F3002)&amp;"":"" &amp; TRIM(B3002), ""price""),0
)"),0)</f>
        <v>0</v>
      </c>
      <c r="H3002" s="6">
        <v>64.3</v>
      </c>
      <c r="I3002" s="6">
        <f t="shared" ca="1" si="0"/>
        <v>64.3</v>
      </c>
      <c r="J3002" s="6">
        <f ca="1">IFERROR(__xludf.DUMMYFUNCTION("IFERROR(GOOGLEFINANCE(B3002, ""volume""), 0)"),0)</f>
        <v>0</v>
      </c>
      <c r="K3002" s="6">
        <v>-0.86</v>
      </c>
      <c r="L3002" s="6">
        <f ca="1">IFERROR(__xludf.DUMMYFUNCTION("IFERROR(GOOGLEFINANCE(B3002,""changepct""),K3002)"),-0.86)</f>
        <v>-0.86</v>
      </c>
      <c r="M3002" s="6">
        <f ca="1">IFERROR(__xludf.DUMMYFUNCTION("IFERROR(GOOGLEFINANCE(B3002,""change""),0)"),0)</f>
        <v>0</v>
      </c>
      <c r="N3002" s="6">
        <v>1</v>
      </c>
      <c r="O3002" s="7">
        <v>45536</v>
      </c>
      <c r="P3002" s="6">
        <v>63.75</v>
      </c>
      <c r="Q3002" s="6">
        <v>188.53</v>
      </c>
      <c r="R3002" s="9"/>
      <c r="S3002" s="12"/>
      <c r="T3002" s="9"/>
      <c r="U3002" s="7">
        <v>45352</v>
      </c>
      <c r="V3002" s="6">
        <v>11</v>
      </c>
      <c r="W3002" s="6">
        <f ca="1">IFERROR(__xludf.DUMMYFUNCTION("IFERROR(GOOGLEFINANCE(B3002,""pe""),V3002)"),11)</f>
        <v>11</v>
      </c>
      <c r="X3002" s="9"/>
      <c r="Y3002" s="6">
        <v>1.24</v>
      </c>
      <c r="Z3002" s="6">
        <v>1</v>
      </c>
      <c r="AA3002" s="8">
        <v>45352</v>
      </c>
      <c r="AB3002" s="4">
        <v>1.19</v>
      </c>
      <c r="AC3002" s="6">
        <v>20.94</v>
      </c>
      <c r="AD3002" s="6">
        <v>15.56</v>
      </c>
      <c r="AE3002" s="1">
        <v>0</v>
      </c>
      <c r="AF3002" s="1">
        <f ca="1">IFERROR(__xludf.DUMMYFUNCTION("IFERROR(GOOGLEFINANCE(TRIM(F3002)&amp;"":"" &amp; TRIM(B3002),""high52""),AE3002)"),0)</f>
        <v>0</v>
      </c>
      <c r="AG3002" s="1">
        <v>0</v>
      </c>
      <c r="AH3002" s="1">
        <f ca="1">IFERROR(__xludf.DUMMYFUNCTION("IFERROR(GOOGLEFINANCE(TRIM(F3002)&amp;"":"" &amp; TRIM(B3002),""low52""),AE3002)"),0)</f>
        <v>0</v>
      </c>
      <c r="AI3002" s="1">
        <f ca="1">IFERROR(__xludf.DUMMYFUNCTION("IFERROR(GOOGLEFINANCE(B3002,""eps""),0)"),0)</f>
        <v>0</v>
      </c>
      <c r="AJ3002" s="1"/>
      <c r="AK3002" s="1" t="s">
        <v>9260</v>
      </c>
      <c r="AL3002" s="9">
        <f t="shared" si="291"/>
        <v>1</v>
      </c>
    </row>
    <row r="3003" spans="1:38" ht="15" x14ac:dyDescent="0.25">
      <c r="A3003" s="1" t="s">
        <v>9261</v>
      </c>
      <c r="B3003" s="1" t="s">
        <v>9262</v>
      </c>
      <c r="C3003" s="1" t="s">
        <v>324</v>
      </c>
      <c r="D3003" s="1" t="s">
        <v>324</v>
      </c>
      <c r="E3003" s="6">
        <v>596.28</v>
      </c>
      <c r="F3003" s="1" t="s">
        <v>40</v>
      </c>
      <c r="G3003" s="6">
        <f ca="1">IFERROR(__xludf.DUMMYFUNCTION("iferror(GOOGLEFINANCE(TRIM(F3003)&amp;"":"" &amp; TRIM(B3003), ""price""),0
)"),0)</f>
        <v>0</v>
      </c>
      <c r="H3003" s="6">
        <v>1661</v>
      </c>
      <c r="I3003" s="6">
        <f t="shared" ca="1" si="0"/>
        <v>1661</v>
      </c>
      <c r="J3003" s="6">
        <f ca="1">IFERROR(__xludf.DUMMYFUNCTION("IFERROR(GOOGLEFINANCE(B3003, ""volume""), 0)"),0)</f>
        <v>0</v>
      </c>
      <c r="K3003" s="6">
        <v>-3.99</v>
      </c>
      <c r="L3003" s="6">
        <f ca="1">IFERROR(__xludf.DUMMYFUNCTION("IFERROR(GOOGLEFINANCE(B3003,""changepct""),K3003)"),-0.25)</f>
        <v>-0.25</v>
      </c>
      <c r="M3003" s="6">
        <f ca="1">IFERROR(__xludf.DUMMYFUNCTION("IFERROR(GOOGLEFINANCE(B3003,""change""),0)"),-0.04)</f>
        <v>-0.04</v>
      </c>
      <c r="N3003" s="6">
        <v>1</v>
      </c>
      <c r="O3003" s="7">
        <v>45536</v>
      </c>
      <c r="P3003" s="6">
        <v>2.89</v>
      </c>
      <c r="Q3003" s="6">
        <v>599.16</v>
      </c>
      <c r="R3003" s="7">
        <v>45352</v>
      </c>
      <c r="S3003" s="6">
        <v>340.06</v>
      </c>
      <c r="T3003" s="6">
        <v>4.78</v>
      </c>
      <c r="U3003" s="7">
        <v>45352</v>
      </c>
      <c r="V3003" s="6">
        <v>124.78</v>
      </c>
      <c r="W3003" s="6">
        <f ca="1">IFERROR(__xludf.DUMMYFUNCTION("IFERROR(GOOGLEFINANCE(B3003,""pe""),V3003)"),16.26)</f>
        <v>16.260000000000002</v>
      </c>
      <c r="X3003" s="9"/>
      <c r="Y3003" s="6">
        <v>5.0199999999999996</v>
      </c>
      <c r="Z3003" s="6">
        <v>2</v>
      </c>
      <c r="AA3003" s="8">
        <v>45352</v>
      </c>
      <c r="AB3003" s="4">
        <v>0.02</v>
      </c>
      <c r="AC3003" s="6">
        <v>7.76</v>
      </c>
      <c r="AD3003" s="6">
        <v>10.37</v>
      </c>
      <c r="AE3003" s="1">
        <v>0</v>
      </c>
      <c r="AF3003" s="1">
        <f ca="1">IFERROR(__xludf.DUMMYFUNCTION("IFERROR(GOOGLEFINANCE(TRIM(F3003)&amp;"":"" &amp; TRIM(B3003),""high52""),AE3003)"),0)</f>
        <v>0</v>
      </c>
      <c r="AG3003" s="1">
        <v>0</v>
      </c>
      <c r="AH3003" s="1">
        <f ca="1">IFERROR(__xludf.DUMMYFUNCTION("IFERROR(GOOGLEFINANCE(TRIM(F3003)&amp;"":"" &amp; TRIM(B3003),""low52""),AE3003)"),0)</f>
        <v>0</v>
      </c>
      <c r="AI3003" s="1">
        <f ca="1">IFERROR(__xludf.DUMMYFUNCTION("IFERROR(GOOGLEFINANCE(B3003,""eps""),0)"),0.99)</f>
        <v>0.99</v>
      </c>
      <c r="AJ3003" s="1"/>
      <c r="AK3003" s="9"/>
      <c r="AL3003" s="9">
        <f t="shared" si="291"/>
        <v>1</v>
      </c>
    </row>
    <row r="3004" spans="1:38" ht="15" x14ac:dyDescent="0.25">
      <c r="A3004" s="1" t="s">
        <v>9263</v>
      </c>
      <c r="B3004" s="1" t="s">
        <v>9264</v>
      </c>
      <c r="C3004" s="1" t="s">
        <v>487</v>
      </c>
      <c r="D3004" s="1" t="s">
        <v>487</v>
      </c>
      <c r="E3004" s="6">
        <v>551.51</v>
      </c>
      <c r="F3004" s="1" t="s">
        <v>40</v>
      </c>
      <c r="G3004" s="6">
        <f ca="1">IFERROR(__xludf.DUMMYFUNCTION("iferror(GOOGLEFINANCE(TRIM(F3004)&amp;"":"" &amp; TRIM(B3004), ""price""),0
)"),48)</f>
        <v>48</v>
      </c>
      <c r="H3004" s="6">
        <v>37.25</v>
      </c>
      <c r="I3004" s="6">
        <f t="shared" ca="1" si="0"/>
        <v>48</v>
      </c>
      <c r="J3004" s="6">
        <f ca="1">IFERROR(__xludf.DUMMYFUNCTION("IFERROR(GOOGLEFINANCE(B3004, ""volume""), 0)"),91103)</f>
        <v>91103</v>
      </c>
      <c r="K3004" s="6">
        <v>2.93</v>
      </c>
      <c r="L3004" s="6">
        <f ca="1">IFERROR(__xludf.DUMMYFUNCTION("IFERROR(GOOGLEFINANCE(B3004,""changepct""),K3004)"),0.17)</f>
        <v>0.17</v>
      </c>
      <c r="M3004" s="6">
        <f ca="1">IFERROR(__xludf.DUMMYFUNCTION("IFERROR(GOOGLEFINANCE(B3004,""change""),0)"),0.08)</f>
        <v>0.08</v>
      </c>
      <c r="N3004" s="6">
        <v>2</v>
      </c>
      <c r="O3004" s="7">
        <v>45536</v>
      </c>
      <c r="P3004" s="6">
        <v>420.42</v>
      </c>
      <c r="Q3004" s="6">
        <v>881.72</v>
      </c>
      <c r="R3004" s="7">
        <v>45536</v>
      </c>
      <c r="S3004" s="6">
        <v>174</v>
      </c>
      <c r="T3004" s="6">
        <v>-19.62</v>
      </c>
      <c r="U3004" s="7">
        <v>45536</v>
      </c>
      <c r="V3004" s="6">
        <v>0</v>
      </c>
      <c r="W3004" s="6">
        <f ca="1">IFERROR(__xludf.DUMMYFUNCTION("IFERROR(GOOGLEFINANCE(B3004,""pe""),V3004)"),0)</f>
        <v>0</v>
      </c>
      <c r="X3004" s="6">
        <v>0</v>
      </c>
      <c r="Y3004" s="6">
        <v>1.08</v>
      </c>
      <c r="Z3004" s="6">
        <v>2</v>
      </c>
      <c r="AA3004" s="8">
        <v>45352</v>
      </c>
      <c r="AB3004" s="4">
        <v>0.83</v>
      </c>
      <c r="AC3004" s="6">
        <v>0.56000000000000005</v>
      </c>
      <c r="AD3004" s="6">
        <v>5.26</v>
      </c>
      <c r="AE3004" s="1">
        <v>0</v>
      </c>
      <c r="AF3004" s="1">
        <f ca="1">IFERROR(__xludf.DUMMYFUNCTION("IFERROR(GOOGLEFINANCE(TRIM(F3004)&amp;"":"" &amp; TRIM(B3004),""high52""),AE3004)"),72.77)</f>
        <v>72.77</v>
      </c>
      <c r="AG3004" s="1">
        <v>0</v>
      </c>
      <c r="AH3004" s="1">
        <f ca="1">IFERROR(__xludf.DUMMYFUNCTION("IFERROR(GOOGLEFINANCE(TRIM(F3004)&amp;"":"" &amp; TRIM(B3004),""low52""),AE3004)"),27.3)</f>
        <v>27.3</v>
      </c>
      <c r="AI3004" s="1">
        <f ca="1">IFERROR(__xludf.DUMMYFUNCTION("IFERROR(GOOGLEFINANCE(B3004,""eps""),0)"),-2.05)</f>
        <v>-2.0499999999999998</v>
      </c>
      <c r="AJ3004" s="1"/>
      <c r="AK3004" s="1" t="s">
        <v>9265</v>
      </c>
      <c r="AL3004" s="9">
        <f t="shared" si="291"/>
        <v>1</v>
      </c>
    </row>
    <row r="3005" spans="1:38" ht="15" x14ac:dyDescent="0.25">
      <c r="A3005" s="1" t="s">
        <v>9266</v>
      </c>
      <c r="B3005" s="1" t="s">
        <v>9267</v>
      </c>
      <c r="C3005" s="1" t="s">
        <v>48</v>
      </c>
      <c r="D3005" s="1" t="s">
        <v>48</v>
      </c>
      <c r="E3005" s="6">
        <v>11440.87</v>
      </c>
      <c r="F3005" s="1" t="s">
        <v>40</v>
      </c>
      <c r="G3005" s="6">
        <f ca="1">IFERROR(__xludf.DUMMYFUNCTION("iferror(GOOGLEFINANCE(TRIM(F3005)&amp;"":"" &amp; TRIM(B3005), ""price""),0
)"),2389.2)</f>
        <v>2389.1999999999998</v>
      </c>
      <c r="H3005" s="6">
        <v>2791.4</v>
      </c>
      <c r="I3005" s="6">
        <f t="shared" ca="1" si="0"/>
        <v>2389.1999999999998</v>
      </c>
      <c r="J3005" s="6">
        <f ca="1">IFERROR(__xludf.DUMMYFUNCTION("IFERROR(GOOGLEFINANCE(B3005, ""volume""), 0)"),20193)</f>
        <v>20193</v>
      </c>
      <c r="K3005" s="6">
        <v>1.05</v>
      </c>
      <c r="L3005" s="6">
        <f ca="1">IFERROR(__xludf.DUMMYFUNCTION("IFERROR(GOOGLEFINANCE(B3005,""changepct""),K3005)"),0.59)</f>
        <v>0.59</v>
      </c>
      <c r="M3005" s="6">
        <f ca="1">IFERROR(__xludf.DUMMYFUNCTION("IFERROR(GOOGLEFINANCE(B3005,""change""),0)"),13.9)</f>
        <v>13.9</v>
      </c>
      <c r="N3005" s="6">
        <v>2</v>
      </c>
      <c r="O3005" s="7">
        <v>45536</v>
      </c>
      <c r="P3005" s="6">
        <v>175.99</v>
      </c>
      <c r="Q3005" s="7">
        <v>45536</v>
      </c>
      <c r="R3005" s="6">
        <v>65.010000000000005</v>
      </c>
      <c r="S3005" s="9"/>
      <c r="T3005" s="6">
        <v>20.14</v>
      </c>
      <c r="U3005" s="6">
        <v>2</v>
      </c>
      <c r="V3005" s="7">
        <v>45352</v>
      </c>
      <c r="W3005" s="6">
        <f ca="1">IFERROR(__xludf.DUMMYFUNCTION("IFERROR(GOOGLEFINANCE(B3005,""pe""),V3005)"),46.08)</f>
        <v>46.08</v>
      </c>
      <c r="X3005" s="6">
        <v>0</v>
      </c>
      <c r="Y3005" s="6">
        <v>33.380000000000003</v>
      </c>
      <c r="Z3005" s="6">
        <v>45.21</v>
      </c>
      <c r="AA3005" s="3" t="s">
        <v>9268</v>
      </c>
      <c r="AB3005" s="3"/>
      <c r="AC3005" s="9"/>
      <c r="AD3005" s="9"/>
      <c r="AE3005" s="1">
        <v>0</v>
      </c>
      <c r="AF3005" s="1">
        <f ca="1">IFERROR(__xludf.DUMMYFUNCTION("IFERROR(GOOGLEFINANCE(TRIM(F3005)&amp;"":"" &amp; TRIM(B3005),""high52""),AE3005)"),3098)</f>
        <v>3098</v>
      </c>
      <c r="AG3005" s="1">
        <v>0</v>
      </c>
      <c r="AH3005" s="1">
        <f ca="1">IFERROR(__xludf.DUMMYFUNCTION("IFERROR(GOOGLEFINANCE(TRIM(F3005)&amp;"":"" &amp; TRIM(B3005),""low52""),AE3005)"),1570)</f>
        <v>1570</v>
      </c>
      <c r="AI3005" s="1">
        <f ca="1">IFERROR(__xludf.DUMMYFUNCTION("IFERROR(GOOGLEFINANCE(B3005,""eps""),0)"),51.85)</f>
        <v>51.85</v>
      </c>
      <c r="AJ3005" s="1"/>
      <c r="AK3005" s="1" t="s">
        <v>9269</v>
      </c>
      <c r="AL3005" s="9">
        <f t="shared" si="291"/>
        <v>1</v>
      </c>
    </row>
    <row r="3006" spans="1:38" ht="15" x14ac:dyDescent="0.25">
      <c r="A3006" s="1" t="s">
        <v>9270</v>
      </c>
      <c r="B3006" s="1" t="s">
        <v>9271</v>
      </c>
      <c r="C3006" s="1" t="s">
        <v>697</v>
      </c>
      <c r="D3006" s="1" t="s">
        <v>697</v>
      </c>
      <c r="E3006" s="6">
        <v>1717.05</v>
      </c>
      <c r="F3006" s="1" t="s">
        <v>53</v>
      </c>
      <c r="G3006" s="6">
        <f ca="1">IFERROR(__xludf.DUMMYFUNCTION("iferror(GOOGLEFINANCE(TRIM(F3006)&amp;"":"" &amp; TRIM(B3006), ""price""),0
)"),0)</f>
        <v>0</v>
      </c>
      <c r="H3006" s="6">
        <v>2040.5</v>
      </c>
      <c r="I3006" s="6">
        <f t="shared" ca="1" si="0"/>
        <v>2040.5</v>
      </c>
      <c r="J3006" s="6">
        <f ca="1">IFERROR(__xludf.DUMMYFUNCTION("IFERROR(GOOGLEFINANCE(B3006, ""volume""), 0)"),0)</f>
        <v>0</v>
      </c>
      <c r="K3006" s="6">
        <v>1.99</v>
      </c>
      <c r="L3006" s="6">
        <f ca="1">IFERROR(__xludf.DUMMYFUNCTION("IFERROR(GOOGLEFINANCE(B3006,""changepct""),K3006)"),1.99)</f>
        <v>1.99</v>
      </c>
      <c r="M3006" s="6">
        <f ca="1">IFERROR(__xludf.DUMMYFUNCTION("IFERROR(GOOGLEFINANCE(B3006,""change""),0)"),0)</f>
        <v>0</v>
      </c>
      <c r="N3006" s="6">
        <v>2</v>
      </c>
      <c r="O3006" s="7">
        <v>45536</v>
      </c>
      <c r="P3006" s="6">
        <v>0.77</v>
      </c>
      <c r="Q3006" s="6">
        <v>1651.15</v>
      </c>
      <c r="R3006" s="7">
        <v>45536</v>
      </c>
      <c r="S3006" s="6">
        <v>89.25</v>
      </c>
      <c r="T3006" s="6">
        <v>43.47</v>
      </c>
      <c r="U3006" s="7">
        <v>45536</v>
      </c>
      <c r="V3006" s="6">
        <v>39.590000000000003</v>
      </c>
      <c r="W3006" s="6">
        <f ca="1">IFERROR(__xludf.DUMMYFUNCTION("IFERROR(GOOGLEFINANCE(B3006,""pe""),V3006)"),39.59)</f>
        <v>39.590000000000003</v>
      </c>
      <c r="X3006" s="6">
        <v>0.87</v>
      </c>
      <c r="Y3006" s="6">
        <v>6.96</v>
      </c>
      <c r="Z3006" s="6">
        <v>2</v>
      </c>
      <c r="AA3006" s="8">
        <v>45352</v>
      </c>
      <c r="AB3006" s="4">
        <v>0</v>
      </c>
      <c r="AC3006" s="6">
        <v>15.42</v>
      </c>
      <c r="AD3006" s="6">
        <v>21.21</v>
      </c>
      <c r="AE3006" s="1">
        <v>0</v>
      </c>
      <c r="AF3006" s="1">
        <f ca="1">IFERROR(__xludf.DUMMYFUNCTION("IFERROR(GOOGLEFINANCE(TRIM(F3006)&amp;"":"" &amp; TRIM(B3006),""high52""),AE3006)"),0)</f>
        <v>0</v>
      </c>
      <c r="AG3006" s="1">
        <v>0</v>
      </c>
      <c r="AH3006" s="1">
        <f ca="1">IFERROR(__xludf.DUMMYFUNCTION("IFERROR(GOOGLEFINANCE(TRIM(F3006)&amp;"":"" &amp; TRIM(B3006),""low52""),AE3006)"),0)</f>
        <v>0</v>
      </c>
      <c r="AI3006" s="1">
        <f ca="1">IFERROR(__xludf.DUMMYFUNCTION("IFERROR(GOOGLEFINANCE(B3006,""eps""),0)"),0)</f>
        <v>0</v>
      </c>
      <c r="AJ3006" s="1"/>
      <c r="AK3006" s="1" t="s">
        <v>9272</v>
      </c>
      <c r="AL3006" s="9">
        <f t="shared" si="291"/>
        <v>1</v>
      </c>
    </row>
    <row r="3007" spans="1:38" ht="15" x14ac:dyDescent="0.25">
      <c r="A3007" s="1" t="s">
        <v>9273</v>
      </c>
      <c r="B3007" s="1" t="s">
        <v>9274</v>
      </c>
      <c r="C3007" s="1" t="s">
        <v>697</v>
      </c>
      <c r="D3007" s="1" t="s">
        <v>697</v>
      </c>
      <c r="E3007" s="6">
        <v>92.12</v>
      </c>
      <c r="F3007" s="1" t="s">
        <v>53</v>
      </c>
      <c r="G3007" s="6">
        <f ca="1">IFERROR(__xludf.DUMMYFUNCTION("iferror(GOOGLEFINANCE(TRIM(F3007)&amp;"":"" &amp; TRIM(B3007), ""price""),0
)"),0)</f>
        <v>0</v>
      </c>
      <c r="H3007" s="6">
        <v>96.9</v>
      </c>
      <c r="I3007" s="6">
        <f t="shared" ca="1" si="0"/>
        <v>96.9</v>
      </c>
      <c r="J3007" s="6">
        <f ca="1">IFERROR(__xludf.DUMMYFUNCTION("IFERROR(GOOGLEFINANCE(B3007, ""volume""), 0)"),0)</f>
        <v>0</v>
      </c>
      <c r="K3007" s="6">
        <v>0.8</v>
      </c>
      <c r="L3007" s="6">
        <f ca="1">IFERROR(__xludf.DUMMYFUNCTION("IFERROR(GOOGLEFINANCE(B3007,""changepct""),K3007)"),0.8)</f>
        <v>0.8</v>
      </c>
      <c r="M3007" s="6">
        <f ca="1">IFERROR(__xludf.DUMMYFUNCTION("IFERROR(GOOGLEFINANCE(B3007,""change""),0)"),0)</f>
        <v>0</v>
      </c>
      <c r="N3007" s="6">
        <v>2</v>
      </c>
      <c r="O3007" s="7">
        <v>45536</v>
      </c>
      <c r="P3007" s="6">
        <v>21.58</v>
      </c>
      <c r="Q3007" s="6">
        <v>112.76</v>
      </c>
      <c r="R3007" s="7">
        <v>45536</v>
      </c>
      <c r="S3007" s="6">
        <v>175.97</v>
      </c>
      <c r="T3007" s="6">
        <v>-7.96</v>
      </c>
      <c r="U3007" s="7">
        <v>45536</v>
      </c>
      <c r="V3007" s="6">
        <v>0</v>
      </c>
      <c r="W3007" s="6">
        <f ca="1">IFERROR(__xludf.DUMMYFUNCTION("IFERROR(GOOGLEFINANCE(B3007,""pe""),V3007)"),0)</f>
        <v>0</v>
      </c>
      <c r="X3007" s="9"/>
      <c r="Y3007" s="6">
        <v>2.84</v>
      </c>
      <c r="Z3007" s="6">
        <v>2</v>
      </c>
      <c r="AA3007" s="8">
        <v>45352</v>
      </c>
      <c r="AB3007" s="4">
        <v>0.53</v>
      </c>
      <c r="AC3007" s="6">
        <v>-24.71</v>
      </c>
      <c r="AD3007" s="6">
        <v>-19.02</v>
      </c>
      <c r="AE3007" s="1">
        <v>0</v>
      </c>
      <c r="AF3007" s="1">
        <f ca="1">IFERROR(__xludf.DUMMYFUNCTION("IFERROR(GOOGLEFINANCE(TRIM(F3007)&amp;"":"" &amp; TRIM(B3007),""high52""),AE3007)"),0)</f>
        <v>0</v>
      </c>
      <c r="AG3007" s="1">
        <v>0</v>
      </c>
      <c r="AH3007" s="1">
        <f ca="1">IFERROR(__xludf.DUMMYFUNCTION("IFERROR(GOOGLEFINANCE(TRIM(F3007)&amp;"":"" &amp; TRIM(B3007),""low52""),AE3007)"),0)</f>
        <v>0</v>
      </c>
      <c r="AI3007" s="1">
        <f ca="1">IFERROR(__xludf.DUMMYFUNCTION("IFERROR(GOOGLEFINANCE(B3007,""eps""),0)"),0)</f>
        <v>0</v>
      </c>
      <c r="AJ3007" s="1"/>
      <c r="AK3007" s="1" t="s">
        <v>9275</v>
      </c>
      <c r="AL3007" s="9">
        <f t="shared" si="291"/>
        <v>1</v>
      </c>
    </row>
    <row r="3008" spans="1:38" ht="15" x14ac:dyDescent="0.25">
      <c r="A3008" s="1" t="s">
        <v>9276</v>
      </c>
      <c r="B3008" s="1" t="s">
        <v>9277</v>
      </c>
      <c r="C3008" s="1" t="s">
        <v>1118</v>
      </c>
      <c r="D3008" s="1" t="s">
        <v>1118</v>
      </c>
      <c r="E3008" s="6">
        <v>216.09</v>
      </c>
      <c r="F3008" s="1" t="s">
        <v>40</v>
      </c>
      <c r="G3008" s="6">
        <f ca="1">IFERROR(__xludf.DUMMYFUNCTION("iferror(GOOGLEFINANCE(TRIM(F3008)&amp;"":"" &amp; TRIM(B3008), ""price""),0
)"),18.67)</f>
        <v>18.670000000000002</v>
      </c>
      <c r="H3008" s="6">
        <v>66.98</v>
      </c>
      <c r="I3008" s="6">
        <f t="shared" ca="1" si="0"/>
        <v>18.670000000000002</v>
      </c>
      <c r="J3008" s="6">
        <f ca="1">IFERROR(__xludf.DUMMYFUNCTION("IFERROR(GOOGLEFINANCE(B3008, ""volume""), 0)"),82795)</f>
        <v>82795</v>
      </c>
      <c r="K3008" s="6">
        <v>1.99</v>
      </c>
      <c r="L3008" s="6">
        <f ca="1">IFERROR(__xludf.DUMMYFUNCTION("IFERROR(GOOGLEFINANCE(B3008,""changepct""),K3008)"),-3.11)</f>
        <v>-3.11</v>
      </c>
      <c r="M3008" s="6">
        <f ca="1">IFERROR(__xludf.DUMMYFUNCTION("IFERROR(GOOGLEFINANCE(B3008,""change""),0)"),-0.6)</f>
        <v>-0.6</v>
      </c>
      <c r="N3008" s="6">
        <v>2</v>
      </c>
      <c r="O3008" s="7">
        <v>45536</v>
      </c>
      <c r="P3008" s="6">
        <v>29.46</v>
      </c>
      <c r="Q3008" s="6">
        <v>245.55</v>
      </c>
      <c r="R3008" s="7">
        <v>45536</v>
      </c>
      <c r="S3008" s="6">
        <v>149.82</v>
      </c>
      <c r="T3008" s="6">
        <v>6.46</v>
      </c>
      <c r="U3008" s="7">
        <v>45536</v>
      </c>
      <c r="V3008" s="6">
        <v>33.46</v>
      </c>
      <c r="W3008" s="6">
        <f ca="1">IFERROR(__xludf.DUMMYFUNCTION("IFERROR(GOOGLEFINANCE(B3008,""pe""),V3008)"),13.05)</f>
        <v>13.05</v>
      </c>
      <c r="X3008" s="6">
        <v>1.62</v>
      </c>
      <c r="Y3008" s="6">
        <v>2.04</v>
      </c>
      <c r="Z3008" s="6">
        <v>2</v>
      </c>
      <c r="AA3008" s="8">
        <v>45352</v>
      </c>
      <c r="AB3008" s="4">
        <v>0.28999999999999998</v>
      </c>
      <c r="AC3008" s="6">
        <v>6.31</v>
      </c>
      <c r="AD3008" s="6">
        <v>7.79</v>
      </c>
      <c r="AE3008" s="1">
        <v>0</v>
      </c>
      <c r="AF3008" s="1">
        <f ca="1">IFERROR(__xludf.DUMMYFUNCTION("IFERROR(GOOGLEFINANCE(TRIM(F3008)&amp;"":"" &amp; TRIM(B3008),""high52""),AE3008)"),55.12)</f>
        <v>55.12</v>
      </c>
      <c r="AG3008" s="1">
        <v>0</v>
      </c>
      <c r="AH3008" s="1">
        <f ca="1">IFERROR(__xludf.DUMMYFUNCTION("IFERROR(GOOGLEFINANCE(TRIM(F3008)&amp;"":"" &amp; TRIM(B3008),""low52""),AE3008)"),18.15)</f>
        <v>18.149999999999999</v>
      </c>
      <c r="AI3008" s="1">
        <f ca="1">IFERROR(__xludf.DUMMYFUNCTION("IFERROR(GOOGLEFINANCE(B3008,""eps""),0)"),1.43)</f>
        <v>1.43</v>
      </c>
      <c r="AJ3008" s="1"/>
      <c r="AK3008" s="1" t="s">
        <v>9278</v>
      </c>
      <c r="AL3008" s="9">
        <f t="shared" si="291"/>
        <v>1</v>
      </c>
    </row>
    <row r="3009" spans="1:38" ht="15" x14ac:dyDescent="0.25">
      <c r="A3009" s="1" t="s">
        <v>9279</v>
      </c>
      <c r="B3009" s="1" t="s">
        <v>9280</v>
      </c>
      <c r="C3009" s="1" t="s">
        <v>487</v>
      </c>
      <c r="D3009" s="1" t="s">
        <v>487</v>
      </c>
      <c r="E3009" s="6">
        <v>2689.1</v>
      </c>
      <c r="F3009" s="1" t="s">
        <v>40</v>
      </c>
      <c r="G3009" s="6">
        <f ca="1">IFERROR(__xludf.DUMMYFUNCTION("iferror(GOOGLEFINANCE(TRIM(F3009)&amp;"":"" &amp; TRIM(B3009), ""price""),0
)"),724)</f>
        <v>724</v>
      </c>
      <c r="H3009" s="6">
        <v>682.55</v>
      </c>
      <c r="I3009" s="6">
        <f t="shared" ca="1" si="0"/>
        <v>724</v>
      </c>
      <c r="J3009" s="6">
        <f ca="1">IFERROR(__xludf.DUMMYFUNCTION("IFERROR(GOOGLEFINANCE(B3009, ""volume""), 0)"),69163)</f>
        <v>69163</v>
      </c>
      <c r="K3009" s="6">
        <v>0.5</v>
      </c>
      <c r="L3009" s="6">
        <f ca="1">IFERROR(__xludf.DUMMYFUNCTION("IFERROR(GOOGLEFINANCE(B3009,""changepct""),K3009)"),-1.16)</f>
        <v>-1.1599999999999999</v>
      </c>
      <c r="M3009" s="6">
        <f ca="1">IFERROR(__xludf.DUMMYFUNCTION("IFERROR(GOOGLEFINANCE(B3009,""change""),0)"),-8.5)</f>
        <v>-8.5</v>
      </c>
      <c r="N3009" s="6">
        <v>2</v>
      </c>
      <c r="O3009" s="7">
        <v>45536</v>
      </c>
      <c r="P3009" s="6">
        <v>273.77999999999997</v>
      </c>
      <c r="Q3009" s="6">
        <v>2683.55</v>
      </c>
      <c r="R3009" s="7">
        <v>45536</v>
      </c>
      <c r="S3009" s="6">
        <v>2581.54</v>
      </c>
      <c r="T3009" s="6">
        <v>92.06</v>
      </c>
      <c r="U3009" s="7">
        <v>45536</v>
      </c>
      <c r="V3009" s="6">
        <v>29.39</v>
      </c>
      <c r="W3009" s="6">
        <f ca="1">IFERROR(__xludf.DUMMYFUNCTION("IFERROR(GOOGLEFINANCE(B3009,""pe""),V3009)"),69.74)</f>
        <v>69.739999999999995</v>
      </c>
      <c r="X3009" s="6">
        <v>4.47</v>
      </c>
      <c r="Y3009" s="6">
        <v>2.25</v>
      </c>
      <c r="Z3009" s="6">
        <v>2</v>
      </c>
      <c r="AA3009" s="8">
        <v>45352</v>
      </c>
      <c r="AB3009" s="4">
        <v>0.5</v>
      </c>
      <c r="AC3009" s="6">
        <v>14.39</v>
      </c>
      <c r="AD3009" s="6">
        <v>19.02</v>
      </c>
      <c r="AE3009" s="1">
        <v>0</v>
      </c>
      <c r="AF3009" s="1">
        <f ca="1">IFERROR(__xludf.DUMMYFUNCTION("IFERROR(GOOGLEFINANCE(TRIM(F3009)&amp;"":"" &amp; TRIM(B3009),""high52""),AE3009)"),1029.9)</f>
        <v>1029.9000000000001</v>
      </c>
      <c r="AG3009" s="1">
        <v>0</v>
      </c>
      <c r="AH3009" s="1">
        <f ca="1">IFERROR(__xludf.DUMMYFUNCTION("IFERROR(GOOGLEFINANCE(TRIM(F3009)&amp;"":"" &amp; TRIM(B3009),""low52""),AE3009)"),609)</f>
        <v>609</v>
      </c>
      <c r="AI3009" s="1">
        <f ca="1">IFERROR(__xludf.DUMMYFUNCTION("IFERROR(GOOGLEFINANCE(B3009,""eps""),0)"),10.38)</f>
        <v>10.38</v>
      </c>
      <c r="AJ3009" s="1"/>
      <c r="AK3009" s="1" t="s">
        <v>9281</v>
      </c>
      <c r="AL3009" s="9">
        <f t="shared" si="291"/>
        <v>1</v>
      </c>
    </row>
    <row r="3010" spans="1:38" ht="15" x14ac:dyDescent="0.25">
      <c r="A3010" s="1" t="s">
        <v>9282</v>
      </c>
      <c r="B3010" s="1" t="s">
        <v>9283</v>
      </c>
      <c r="C3010" s="1" t="s">
        <v>208</v>
      </c>
      <c r="D3010" s="1" t="s">
        <v>208</v>
      </c>
      <c r="E3010" s="6">
        <v>2771.45</v>
      </c>
      <c r="F3010" s="1" t="s">
        <v>40</v>
      </c>
      <c r="G3010" s="6">
        <f ca="1">IFERROR(__xludf.DUMMYFUNCTION("iferror(GOOGLEFINANCE(TRIM(F3010)&amp;"":"" &amp; TRIM(B3010), ""price""),0
)"),32.18)</f>
        <v>32.18</v>
      </c>
      <c r="H3010" s="6">
        <v>43.08</v>
      </c>
      <c r="I3010" s="6">
        <f t="shared" ca="1" si="0"/>
        <v>32.18</v>
      </c>
      <c r="J3010" s="6">
        <f ca="1">IFERROR(__xludf.DUMMYFUNCTION("IFERROR(GOOGLEFINANCE(B3010, ""volume""), 0)"),0)</f>
        <v>0</v>
      </c>
      <c r="K3010" s="6">
        <v>-0.35</v>
      </c>
      <c r="L3010" s="6">
        <f ca="1">IFERROR(__xludf.DUMMYFUNCTION("IFERROR(GOOGLEFINANCE(B3010,""changepct""),K3010)"),-0.25)</f>
        <v>-0.25</v>
      </c>
      <c r="M3010" s="6">
        <f ca="1">IFERROR(__xludf.DUMMYFUNCTION("IFERROR(GOOGLEFINANCE(B3010,""change""),0)"),-0.06)</f>
        <v>-0.06</v>
      </c>
      <c r="N3010" s="6">
        <v>2</v>
      </c>
      <c r="O3010" s="7">
        <v>45536</v>
      </c>
      <c r="P3010" s="6">
        <v>155.96</v>
      </c>
      <c r="Q3010" s="7">
        <v>45536</v>
      </c>
      <c r="R3010" s="6">
        <v>17.77</v>
      </c>
      <c r="S3010" s="6">
        <v>-6.63</v>
      </c>
      <c r="T3010" s="6">
        <v>1.05</v>
      </c>
      <c r="U3010" s="6">
        <v>2</v>
      </c>
      <c r="V3010" s="7">
        <v>45352</v>
      </c>
      <c r="W3010" s="6">
        <f ca="1">IFERROR(__xludf.DUMMYFUNCTION("IFERROR(GOOGLEFINANCE(B3010,""pe""),V3010)"),9.92)</f>
        <v>9.92</v>
      </c>
      <c r="X3010" s="6">
        <v>1.55</v>
      </c>
      <c r="Y3010" s="6">
        <v>6.45</v>
      </c>
      <c r="Z3010" s="6">
        <v>8.94</v>
      </c>
      <c r="AA3010" s="3" t="s">
        <v>9284</v>
      </c>
      <c r="AB3010" s="11"/>
      <c r="AC3010" s="9"/>
      <c r="AD3010" s="9"/>
      <c r="AE3010" s="1">
        <v>0</v>
      </c>
      <c r="AF3010" s="1">
        <f ca="1">IFERROR(__xludf.DUMMYFUNCTION("IFERROR(GOOGLEFINANCE(TRIM(F3010)&amp;"":"" &amp; TRIM(B3010),""high52""),AE3010)"),44.2)</f>
        <v>44.2</v>
      </c>
      <c r="AG3010" s="1">
        <v>0</v>
      </c>
      <c r="AH3010" s="1">
        <f ca="1">IFERROR(__xludf.DUMMYFUNCTION("IFERROR(GOOGLEFINANCE(TRIM(F3010)&amp;"":"" &amp; TRIM(B3010),""low52""),AE3010)"),29.41)</f>
        <v>29.41</v>
      </c>
      <c r="AI3010" s="1">
        <f ca="1">IFERROR(__xludf.DUMMYFUNCTION("IFERROR(GOOGLEFINANCE(B3010,""eps""),0)"),2.23)</f>
        <v>2.23</v>
      </c>
      <c r="AJ3010" s="1"/>
      <c r="AK3010" s="1" t="s">
        <v>9285</v>
      </c>
      <c r="AL3010" s="9">
        <f t="shared" si="291"/>
        <v>1</v>
      </c>
    </row>
    <row r="3011" spans="1:38" ht="15" x14ac:dyDescent="0.25">
      <c r="A3011" s="1" t="s">
        <v>9286</v>
      </c>
      <c r="B3011" s="1" t="s">
        <v>9287</v>
      </c>
      <c r="C3011" s="1" t="s">
        <v>268</v>
      </c>
      <c r="D3011" s="1" t="s">
        <v>268</v>
      </c>
      <c r="E3011" s="6">
        <v>4502.29</v>
      </c>
      <c r="F3011" s="1" t="s">
        <v>40</v>
      </c>
      <c r="G3011" s="6">
        <f ca="1">IFERROR(__xludf.DUMMYFUNCTION("iferror(GOOGLEFINANCE(TRIM(F3011)&amp;"":"" &amp; TRIM(B3011), ""price""),0
)"),170)</f>
        <v>170</v>
      </c>
      <c r="H3011" s="6">
        <v>153.03</v>
      </c>
      <c r="I3011" s="6">
        <f t="shared" ca="1" si="0"/>
        <v>170</v>
      </c>
      <c r="J3011" s="6">
        <f ca="1">IFERROR(__xludf.DUMMYFUNCTION("IFERROR(GOOGLEFINANCE(B3011, ""volume""), 0)"),430)</f>
        <v>430</v>
      </c>
      <c r="K3011" s="6">
        <v>0.59</v>
      </c>
      <c r="L3011" s="6">
        <f ca="1">IFERROR(__xludf.DUMMYFUNCTION("IFERROR(GOOGLEFINANCE(B3011,""changepct""),K3011)"),1.73)</f>
        <v>1.73</v>
      </c>
      <c r="M3011" s="6">
        <f ca="1">IFERROR(__xludf.DUMMYFUNCTION("IFERROR(GOOGLEFINANCE(B3011,""change""),0)"),2.65)</f>
        <v>2.65</v>
      </c>
      <c r="N3011" s="6">
        <v>2</v>
      </c>
      <c r="O3011" s="7">
        <v>45536</v>
      </c>
      <c r="P3011" s="6">
        <v>3652.74</v>
      </c>
      <c r="Q3011" s="6">
        <v>6366.61</v>
      </c>
      <c r="R3011" s="7">
        <v>45536</v>
      </c>
      <c r="S3011" s="6">
        <v>16792.62</v>
      </c>
      <c r="T3011" s="6">
        <v>503.98</v>
      </c>
      <c r="U3011" s="7">
        <v>45536</v>
      </c>
      <c r="V3011" s="6">
        <v>8.09</v>
      </c>
      <c r="W3011" s="6">
        <f ca="1">IFERROR(__xludf.DUMMYFUNCTION("IFERROR(GOOGLEFINANCE(B3011,""pe""),V3011)"),25.69)</f>
        <v>25.69</v>
      </c>
      <c r="X3011" s="6">
        <v>2.73</v>
      </c>
      <c r="Y3011" s="6">
        <v>0.85</v>
      </c>
      <c r="Z3011" s="6">
        <v>2</v>
      </c>
      <c r="AA3011" s="8">
        <v>45352</v>
      </c>
      <c r="AB3011" s="4">
        <v>0.84</v>
      </c>
      <c r="AC3011" s="6">
        <v>9.52</v>
      </c>
      <c r="AD3011" s="6">
        <v>10.34</v>
      </c>
      <c r="AE3011" s="1">
        <v>0</v>
      </c>
      <c r="AF3011" s="1">
        <f ca="1">IFERROR(__xludf.DUMMYFUNCTION("IFERROR(GOOGLEFINANCE(TRIM(F3011)&amp;"":"" &amp; TRIM(B3011),""high52""),AE3011)"),207)</f>
        <v>207</v>
      </c>
      <c r="AG3011" s="1">
        <v>0</v>
      </c>
      <c r="AH3011" s="1">
        <f ca="1">IFERROR(__xludf.DUMMYFUNCTION("IFERROR(GOOGLEFINANCE(TRIM(F3011)&amp;"":"" &amp; TRIM(B3011),""low52""),AE3011)"),128.8)</f>
        <v>128.80000000000001</v>
      </c>
      <c r="AI3011" s="1">
        <f ca="1">IFERROR(__xludf.DUMMYFUNCTION("IFERROR(GOOGLEFINANCE(B3011,""eps""),0)"),6.08)</f>
        <v>6.08</v>
      </c>
      <c r="AJ3011" s="1"/>
      <c r="AK3011" s="1" t="s">
        <v>9288</v>
      </c>
      <c r="AL3011" s="9">
        <f t="shared" si="291"/>
        <v>1</v>
      </c>
    </row>
    <row r="3012" spans="1:38" ht="15" x14ac:dyDescent="0.25">
      <c r="A3012" s="1" t="s">
        <v>9289</v>
      </c>
      <c r="B3012" s="1" t="s">
        <v>9290</v>
      </c>
      <c r="C3012" s="1" t="s">
        <v>521</v>
      </c>
      <c r="D3012" s="1" t="s">
        <v>521</v>
      </c>
      <c r="E3012" s="6">
        <v>19929.189999999999</v>
      </c>
      <c r="F3012" s="1" t="s">
        <v>40</v>
      </c>
      <c r="G3012" s="6">
        <f ca="1">IFERROR(__xludf.DUMMYFUNCTION("iferror(GOOGLEFINANCE(TRIM(F3012)&amp;"":"" &amp; TRIM(B3012), ""price""),0
)"),18150)</f>
        <v>18150</v>
      </c>
      <c r="H3012" s="6">
        <v>13438.9</v>
      </c>
      <c r="I3012" s="6">
        <f t="shared" ca="1" si="0"/>
        <v>18150</v>
      </c>
      <c r="J3012" s="6">
        <f ca="1">IFERROR(__xludf.DUMMYFUNCTION("IFERROR(GOOGLEFINANCE(B3012, ""volume""), 0)"),15563)</f>
        <v>15563</v>
      </c>
      <c r="K3012" s="6">
        <v>1.03</v>
      </c>
      <c r="L3012" s="6">
        <f ca="1">IFERROR(__xludf.DUMMYFUNCTION("IFERROR(GOOGLEFINANCE(B3012,""changepct""),K3012)"),0.58)</f>
        <v>0.57999999999999996</v>
      </c>
      <c r="M3012" s="6">
        <f ca="1">IFERROR(__xludf.DUMMYFUNCTION("IFERROR(GOOGLEFINANCE(B3012,""change""),0)"),105)</f>
        <v>105</v>
      </c>
      <c r="N3012" s="6">
        <v>2</v>
      </c>
      <c r="O3012" s="7">
        <v>45536</v>
      </c>
      <c r="P3012" s="6">
        <v>110.6</v>
      </c>
      <c r="Q3012" s="6">
        <v>19335.580000000002</v>
      </c>
      <c r="R3012" s="7">
        <v>45536</v>
      </c>
      <c r="S3012" s="6">
        <v>247.09</v>
      </c>
      <c r="T3012" s="6">
        <v>45</v>
      </c>
      <c r="U3012" s="7">
        <v>45536</v>
      </c>
      <c r="V3012" s="6">
        <v>442.85</v>
      </c>
      <c r="W3012" s="6">
        <f ca="1">IFERROR(__xludf.DUMMYFUNCTION("IFERROR(GOOGLEFINANCE(B3012,""pe""),V3012)"),438.14)</f>
        <v>438.14</v>
      </c>
      <c r="X3012" s="9"/>
      <c r="Y3012" s="6">
        <v>14.83</v>
      </c>
      <c r="Z3012" s="6">
        <v>2</v>
      </c>
      <c r="AA3012" s="8">
        <v>45352</v>
      </c>
      <c r="AB3012" s="4">
        <v>0.28000000000000003</v>
      </c>
      <c r="AC3012" s="6">
        <v>9.2799999999999994</v>
      </c>
      <c r="AD3012" s="6">
        <v>10.59</v>
      </c>
      <c r="AE3012" s="1">
        <v>0</v>
      </c>
      <c r="AF3012" s="1">
        <f ca="1">IFERROR(__xludf.DUMMYFUNCTION("IFERROR(GOOGLEFINANCE(TRIM(F3012)&amp;"":"" &amp; TRIM(B3012),""high52""),AE3012)"),19387)</f>
        <v>19387</v>
      </c>
      <c r="AG3012" s="1">
        <v>0</v>
      </c>
      <c r="AH3012" s="1">
        <f ca="1">IFERROR(__xludf.DUMMYFUNCTION("IFERROR(GOOGLEFINANCE(TRIM(F3012)&amp;"":"" &amp; TRIM(B3012),""low52""),AE3012)"),9756.3)</f>
        <v>9756.2999999999993</v>
      </c>
      <c r="AI3012" s="1">
        <f ca="1">IFERROR(__xludf.DUMMYFUNCTION("IFERROR(GOOGLEFINANCE(B3012,""eps""),0)"),41.43)</f>
        <v>41.43</v>
      </c>
      <c r="AJ3012" s="1"/>
      <c r="AK3012" s="1" t="s">
        <v>9291</v>
      </c>
      <c r="AL3012" s="1" t="b">
        <f t="shared" ref="AL3012:AL3013" si="292">ISNUMBER(AA3012)</f>
        <v>1</v>
      </c>
    </row>
    <row r="3013" spans="1:38" ht="15" x14ac:dyDescent="0.25">
      <c r="A3013" s="1" t="s">
        <v>9292</v>
      </c>
      <c r="B3013" s="1" t="s">
        <v>9293</v>
      </c>
      <c r="C3013" s="1" t="s">
        <v>223</v>
      </c>
      <c r="D3013" s="1" t="s">
        <v>223</v>
      </c>
      <c r="E3013" s="6">
        <v>560.75</v>
      </c>
      <c r="F3013" s="1" t="s">
        <v>40</v>
      </c>
      <c r="G3013" s="6">
        <f ca="1">IFERROR(__xludf.DUMMYFUNCTION("iferror(GOOGLEFINANCE(TRIM(F3013)&amp;"":"" &amp; TRIM(B3013), ""price""),0
)"),41.65)</f>
        <v>41.65</v>
      </c>
      <c r="H3013" s="6">
        <v>42.15</v>
      </c>
      <c r="I3013" s="6">
        <f t="shared" ca="1" si="0"/>
        <v>41.65</v>
      </c>
      <c r="J3013" s="6">
        <f ca="1">IFERROR(__xludf.DUMMYFUNCTION("IFERROR(GOOGLEFINANCE(B3013, ""volume""), 0)"),0)</f>
        <v>0</v>
      </c>
      <c r="K3013" s="6">
        <v>-0.26</v>
      </c>
      <c r="L3013" s="6">
        <f ca="1">IFERROR(__xludf.DUMMYFUNCTION("IFERROR(GOOGLEFINANCE(B3013,""changepct""),K3013)"),-1.27)</f>
        <v>-1.27</v>
      </c>
      <c r="M3013" s="6">
        <f ca="1">IFERROR(__xludf.DUMMYFUNCTION("IFERROR(GOOGLEFINANCE(B3013,""change""),0)"),-3.29)</f>
        <v>-3.29</v>
      </c>
      <c r="N3013" s="6">
        <v>1</v>
      </c>
      <c r="O3013" s="7">
        <v>45536</v>
      </c>
      <c r="P3013" s="6">
        <v>17.350000000000001</v>
      </c>
      <c r="Q3013" s="6">
        <v>576.16999999999996</v>
      </c>
      <c r="R3013" s="7">
        <v>45536</v>
      </c>
      <c r="S3013" s="6">
        <v>64.349999999999994</v>
      </c>
      <c r="T3013" s="6">
        <v>29.99</v>
      </c>
      <c r="U3013" s="7">
        <v>45536</v>
      </c>
      <c r="V3013" s="6">
        <v>18.7</v>
      </c>
      <c r="W3013" s="6">
        <f ca="1">IFERROR(__xludf.DUMMYFUNCTION("IFERROR(GOOGLEFINANCE(B3013,""pe""),V3013)"),18.7)</f>
        <v>18.7</v>
      </c>
      <c r="X3013" s="6">
        <v>-1.87</v>
      </c>
      <c r="Y3013" s="6">
        <v>0.92</v>
      </c>
      <c r="Z3013" s="6">
        <v>1</v>
      </c>
      <c r="AA3013" s="8">
        <v>45352</v>
      </c>
      <c r="AB3013" s="4">
        <v>0.04</v>
      </c>
      <c r="AC3013" s="6">
        <v>4.95</v>
      </c>
      <c r="AD3013" s="6">
        <v>11.86</v>
      </c>
      <c r="AE3013" s="1">
        <v>0</v>
      </c>
      <c r="AF3013" s="1">
        <f ca="1">IFERROR(__xludf.DUMMYFUNCTION("IFERROR(GOOGLEFINANCE(TRIM(F3013)&amp;"":"" &amp; TRIM(B3013),""high52""),AE3013)"),47.4)</f>
        <v>47.4</v>
      </c>
      <c r="AG3013" s="1">
        <v>0</v>
      </c>
      <c r="AH3013" s="1">
        <f ca="1">IFERROR(__xludf.DUMMYFUNCTION("IFERROR(GOOGLEFINANCE(TRIM(F3013)&amp;"":"" &amp; TRIM(B3013),""low52""),AE3013)"),34.72)</f>
        <v>34.72</v>
      </c>
      <c r="AI3013" s="1">
        <f ca="1">IFERROR(__xludf.DUMMYFUNCTION("IFERROR(GOOGLEFINANCE(B3013,""eps""),0)"),0)</f>
        <v>0</v>
      </c>
      <c r="AJ3013" s="1"/>
      <c r="AK3013" s="1" t="s">
        <v>9294</v>
      </c>
      <c r="AL3013" s="1" t="b">
        <f t="shared" si="292"/>
        <v>1</v>
      </c>
    </row>
    <row r="3014" spans="1:38" ht="15" x14ac:dyDescent="0.25">
      <c r="A3014" s="1" t="s">
        <v>9295</v>
      </c>
      <c r="B3014" s="1" t="s">
        <v>9296</v>
      </c>
      <c r="C3014" s="1" t="s">
        <v>697</v>
      </c>
      <c r="D3014" s="1" t="s">
        <v>697</v>
      </c>
      <c r="E3014" s="6">
        <v>47.25</v>
      </c>
      <c r="F3014" s="1" t="s">
        <v>53</v>
      </c>
      <c r="G3014" s="6">
        <f ca="1">IFERROR(__xludf.DUMMYFUNCTION("iferror(GOOGLEFINANCE(TRIM(F3014)&amp;"":"" &amp; TRIM(B3014), ""price""),0
)"),0)</f>
        <v>0</v>
      </c>
      <c r="H3014" s="6">
        <v>88</v>
      </c>
      <c r="I3014" s="6">
        <f t="shared" ca="1" si="0"/>
        <v>88</v>
      </c>
      <c r="J3014" s="6">
        <f ca="1">IFERROR(__xludf.DUMMYFUNCTION("IFERROR(GOOGLEFINANCE(B3014, ""volume""), 0)"),0)</f>
        <v>0</v>
      </c>
      <c r="K3014" s="6">
        <v>-2.98</v>
      </c>
      <c r="L3014" s="6">
        <f ca="1">IFERROR(__xludf.DUMMYFUNCTION("IFERROR(GOOGLEFINANCE(B3014,""changepct""),K3014)"),-2.98)</f>
        <v>-2.98</v>
      </c>
      <c r="M3014" s="6">
        <f ca="1">IFERROR(__xludf.DUMMYFUNCTION("IFERROR(GOOGLEFINANCE(B3014,""change""),0)"),0)</f>
        <v>0</v>
      </c>
      <c r="N3014" s="6">
        <v>1</v>
      </c>
      <c r="O3014" s="7">
        <v>45536</v>
      </c>
      <c r="P3014" s="6">
        <v>16.170000000000002</v>
      </c>
      <c r="Q3014" s="6">
        <v>63.42</v>
      </c>
      <c r="R3014" s="7">
        <v>45536</v>
      </c>
      <c r="S3014" s="6">
        <v>73.66</v>
      </c>
      <c r="T3014" s="6">
        <v>1.98</v>
      </c>
      <c r="U3014" s="7">
        <v>45536</v>
      </c>
      <c r="V3014" s="6">
        <v>23.89</v>
      </c>
      <c r="W3014" s="6">
        <f ca="1">IFERROR(__xludf.DUMMYFUNCTION("IFERROR(GOOGLEFINANCE(B3014,""pe""),V3014)"),23.89)</f>
        <v>23.89</v>
      </c>
      <c r="X3014" s="6">
        <v>1.23</v>
      </c>
      <c r="Y3014" s="6">
        <v>3.1</v>
      </c>
      <c r="Z3014" s="6">
        <v>1</v>
      </c>
      <c r="AA3014" s="8">
        <v>45352</v>
      </c>
      <c r="AB3014" s="4">
        <v>1.28</v>
      </c>
      <c r="AC3014" s="6">
        <v>13.46</v>
      </c>
      <c r="AD3014" s="6">
        <v>14.69</v>
      </c>
      <c r="AE3014" s="1">
        <v>0</v>
      </c>
      <c r="AF3014" s="1">
        <f ca="1">IFERROR(__xludf.DUMMYFUNCTION("IFERROR(GOOGLEFINANCE(TRIM(F3014)&amp;"":"" &amp; TRIM(B3014),""high52""),AE3014)"),0)</f>
        <v>0</v>
      </c>
      <c r="AG3014" s="1">
        <v>0</v>
      </c>
      <c r="AH3014" s="1">
        <f ca="1">IFERROR(__xludf.DUMMYFUNCTION("IFERROR(GOOGLEFINANCE(TRIM(F3014)&amp;"":"" &amp; TRIM(B3014),""low52""),AE3014)"),0)</f>
        <v>0</v>
      </c>
      <c r="AI3014" s="1">
        <f ca="1">IFERROR(__xludf.DUMMYFUNCTION("IFERROR(GOOGLEFINANCE(B3014,""eps""),0)"),0)</f>
        <v>0</v>
      </c>
      <c r="AJ3014" s="1"/>
      <c r="AK3014" s="1" t="s">
        <v>9297</v>
      </c>
      <c r="AL3014" s="9">
        <f t="shared" ref="AL3014:AL3016" si="293">IF(AA3014&lt;&gt;AB3014,1,0)</f>
        <v>1</v>
      </c>
    </row>
    <row r="3015" spans="1:38" ht="15" x14ac:dyDescent="0.25">
      <c r="A3015" s="1" t="s">
        <v>9298</v>
      </c>
      <c r="B3015" s="1" t="s">
        <v>9299</v>
      </c>
      <c r="C3015" s="1" t="s">
        <v>373</v>
      </c>
      <c r="D3015" s="1" t="s">
        <v>373</v>
      </c>
      <c r="E3015" s="6">
        <v>1779.36</v>
      </c>
      <c r="F3015" s="1" t="s">
        <v>40</v>
      </c>
      <c r="G3015" s="6">
        <f ca="1">IFERROR(__xludf.DUMMYFUNCTION("iferror(GOOGLEFINANCE(TRIM(F3015)&amp;"":"" &amp; TRIM(B3015), ""price""),0
)"),84.75)</f>
        <v>84.75</v>
      </c>
      <c r="H3015" s="6">
        <v>188.91</v>
      </c>
      <c r="I3015" s="6">
        <f t="shared" ca="1" si="0"/>
        <v>84.75</v>
      </c>
      <c r="J3015" s="6">
        <f ca="1">IFERROR(__xludf.DUMMYFUNCTION("IFERROR(GOOGLEFINANCE(B3015, ""volume""), 0)"),137812)</f>
        <v>137812</v>
      </c>
      <c r="K3015" s="6">
        <v>0.97</v>
      </c>
      <c r="L3015" s="6">
        <f ca="1">IFERROR(__xludf.DUMMYFUNCTION("IFERROR(GOOGLEFINANCE(B3015,""changepct""),K3015)"),-2.49)</f>
        <v>-2.4900000000000002</v>
      </c>
      <c r="M3015" s="6">
        <f ca="1">IFERROR(__xludf.DUMMYFUNCTION("IFERROR(GOOGLEFINANCE(B3015,""change""),0)"),-2.16)</f>
        <v>-2.16</v>
      </c>
      <c r="N3015" s="6">
        <v>1</v>
      </c>
      <c r="O3015" s="7">
        <v>45536</v>
      </c>
      <c r="P3015" s="6">
        <v>11.24</v>
      </c>
      <c r="Q3015" s="6">
        <v>1778.03</v>
      </c>
      <c r="R3015" s="7">
        <v>45536</v>
      </c>
      <c r="S3015" s="6">
        <v>834.34</v>
      </c>
      <c r="T3015" s="6">
        <v>126.59</v>
      </c>
      <c r="U3015" s="7">
        <v>45536</v>
      </c>
      <c r="V3015" s="6">
        <v>14.06</v>
      </c>
      <c r="W3015" s="6">
        <f ca="1">IFERROR(__xludf.DUMMYFUNCTION("IFERROR(GOOGLEFINANCE(B3015,""pe""),V3015)"),8.79)</f>
        <v>8.7899999999999991</v>
      </c>
      <c r="X3015" s="6">
        <v>0.33</v>
      </c>
      <c r="Y3015" s="6">
        <v>3.26</v>
      </c>
      <c r="Z3015" s="6">
        <v>1</v>
      </c>
      <c r="AA3015" s="8">
        <v>45352</v>
      </c>
      <c r="AB3015" s="4">
        <v>0.03</v>
      </c>
      <c r="AC3015" s="6">
        <v>22.07</v>
      </c>
      <c r="AD3015" s="6">
        <v>28.59</v>
      </c>
      <c r="AE3015" s="1">
        <v>0</v>
      </c>
      <c r="AF3015" s="1">
        <f ca="1">IFERROR(__xludf.DUMMYFUNCTION("IFERROR(GOOGLEFINANCE(TRIM(F3015)&amp;"":"" &amp; TRIM(B3015),""high52""),AE3015)"),148.39)</f>
        <v>148.38999999999999</v>
      </c>
      <c r="AG3015" s="1">
        <v>0</v>
      </c>
      <c r="AH3015" s="1">
        <f ca="1">IFERROR(__xludf.DUMMYFUNCTION("IFERROR(GOOGLEFINANCE(TRIM(F3015)&amp;"":"" &amp; TRIM(B3015),""low52""),AE3015)"),80.54)</f>
        <v>80.540000000000006</v>
      </c>
      <c r="AI3015" s="1">
        <f ca="1">IFERROR(__xludf.DUMMYFUNCTION("IFERROR(GOOGLEFINANCE(B3015,""eps""),0)"),9.65)</f>
        <v>9.65</v>
      </c>
      <c r="AJ3015" s="1"/>
      <c r="AK3015" s="1" t="s">
        <v>9300</v>
      </c>
      <c r="AL3015" s="9">
        <f t="shared" si="293"/>
        <v>1</v>
      </c>
    </row>
    <row r="3016" spans="1:38" ht="15" x14ac:dyDescent="0.25">
      <c r="A3016" s="1" t="s">
        <v>9301</v>
      </c>
      <c r="B3016" s="1" t="s">
        <v>9302</v>
      </c>
      <c r="C3016" s="1" t="s">
        <v>525</v>
      </c>
      <c r="D3016" s="1" t="s">
        <v>525</v>
      </c>
      <c r="E3016" s="6">
        <v>149.82</v>
      </c>
      <c r="F3016" s="1" t="s">
        <v>40</v>
      </c>
      <c r="G3016" s="6">
        <f ca="1">IFERROR(__xludf.DUMMYFUNCTION("iferror(GOOGLEFINANCE(TRIM(F3016)&amp;"":"" &amp; TRIM(B3016), ""price""),0
)"),0)</f>
        <v>0</v>
      </c>
      <c r="H3016" s="6">
        <v>68.75</v>
      </c>
      <c r="I3016" s="6">
        <f t="shared" ca="1" si="0"/>
        <v>68.75</v>
      </c>
      <c r="J3016" s="6">
        <f ca="1">IFERROR(__xludf.DUMMYFUNCTION("IFERROR(GOOGLEFINANCE(B3016, ""volume""), 0)"),0)</f>
        <v>0</v>
      </c>
      <c r="K3016" s="6">
        <v>7.0000000000000007E-2</v>
      </c>
      <c r="L3016" s="6">
        <f ca="1">IFERROR(__xludf.DUMMYFUNCTION("IFERROR(GOOGLEFINANCE(B3016,""changepct""),K3016)"),0.07)</f>
        <v>7.0000000000000007E-2</v>
      </c>
      <c r="M3016" s="6">
        <f ca="1">IFERROR(__xludf.DUMMYFUNCTION("IFERROR(GOOGLEFINANCE(B3016,""change""),0)"),0)</f>
        <v>0</v>
      </c>
      <c r="N3016" s="6">
        <v>1</v>
      </c>
      <c r="O3016" s="7">
        <v>45536</v>
      </c>
      <c r="P3016" s="6">
        <v>0.06</v>
      </c>
      <c r="Q3016" s="6">
        <v>149.88</v>
      </c>
      <c r="R3016" s="7">
        <v>45352</v>
      </c>
      <c r="S3016" s="6">
        <v>31.47</v>
      </c>
      <c r="T3016" s="6">
        <v>6.19</v>
      </c>
      <c r="U3016" s="7">
        <v>45352</v>
      </c>
      <c r="V3016" s="6">
        <v>24.21</v>
      </c>
      <c r="W3016" s="6">
        <f ca="1">IFERROR(__xludf.DUMMYFUNCTION("IFERROR(GOOGLEFINANCE(B3016,""pe""),V3016)"),24.21)</f>
        <v>24.21</v>
      </c>
      <c r="X3016" s="6">
        <v>0.88</v>
      </c>
      <c r="Y3016" s="6">
        <v>4.16</v>
      </c>
      <c r="Z3016" s="6">
        <v>2</v>
      </c>
      <c r="AA3016" s="8">
        <v>45352</v>
      </c>
      <c r="AB3016" s="4">
        <v>0.01</v>
      </c>
      <c r="AC3016" s="6">
        <v>33.020000000000003</v>
      </c>
      <c r="AD3016" s="6">
        <v>43.6</v>
      </c>
      <c r="AE3016" s="1">
        <v>0</v>
      </c>
      <c r="AF3016" s="1">
        <f ca="1">IFERROR(__xludf.DUMMYFUNCTION("IFERROR(GOOGLEFINANCE(TRIM(F3016)&amp;"":"" &amp; TRIM(B3016),""high52""),AE3016)"),0)</f>
        <v>0</v>
      </c>
      <c r="AG3016" s="1">
        <v>0</v>
      </c>
      <c r="AH3016" s="1">
        <f ca="1">IFERROR(__xludf.DUMMYFUNCTION("IFERROR(GOOGLEFINANCE(TRIM(F3016)&amp;"":"" &amp; TRIM(B3016),""low52""),AE3016)"),0)</f>
        <v>0</v>
      </c>
      <c r="AI3016" s="1">
        <f ca="1">IFERROR(__xludf.DUMMYFUNCTION("IFERROR(GOOGLEFINANCE(B3016,""eps""),0)"),0)</f>
        <v>0</v>
      </c>
      <c r="AJ3016" s="1"/>
      <c r="AK3016" s="1" t="s">
        <v>9303</v>
      </c>
      <c r="AL3016" s="9">
        <f t="shared" si="293"/>
        <v>1</v>
      </c>
    </row>
    <row r="3017" spans="1:38" ht="15" x14ac:dyDescent="0.25">
      <c r="A3017" s="1" t="s">
        <v>9304</v>
      </c>
      <c r="B3017" s="1" t="s">
        <v>9305</v>
      </c>
      <c r="C3017" s="1" t="s">
        <v>1379</v>
      </c>
      <c r="D3017" s="1" t="s">
        <v>1379</v>
      </c>
      <c r="E3017" s="6">
        <v>32980.71</v>
      </c>
      <c r="F3017" s="1" t="s">
        <v>40</v>
      </c>
      <c r="G3017" s="6">
        <f ca="1">IFERROR(__xludf.DUMMYFUNCTION("iferror(GOOGLEFINANCE(TRIM(F3017)&amp;"":"" &amp; TRIM(B3017), ""price""),0
)"),26.94)</f>
        <v>26.94</v>
      </c>
      <c r="H3017" s="6">
        <v>49.65</v>
      </c>
      <c r="I3017" s="6">
        <f t="shared" ca="1" si="0"/>
        <v>26.94</v>
      </c>
      <c r="J3017" s="6">
        <f ca="1">IFERROR(__xludf.DUMMYFUNCTION("IFERROR(GOOGLEFINANCE(B3017, ""volume""), 0)"),2146)</f>
        <v>2146</v>
      </c>
      <c r="K3017" s="6">
        <v>2.0299999999999998</v>
      </c>
      <c r="L3017" s="6">
        <f ca="1">IFERROR(__xludf.DUMMYFUNCTION("IFERROR(GOOGLEFINANCE(B3017,""changepct""),K3017)"),-0.06)</f>
        <v>-0.06</v>
      </c>
      <c r="M3017" s="6">
        <f ca="1">IFERROR(__xludf.DUMMYFUNCTION("IFERROR(GOOGLEFINANCE(B3017,""change""),0)"),-0.01)</f>
        <v>-0.01</v>
      </c>
      <c r="N3017" s="6">
        <v>1</v>
      </c>
      <c r="O3017" s="7">
        <v>45536</v>
      </c>
      <c r="P3017" s="6">
        <v>10363.52</v>
      </c>
      <c r="Q3017" s="6">
        <v>674.75</v>
      </c>
      <c r="R3017" s="7">
        <v>45536</v>
      </c>
      <c r="S3017" s="6">
        <v>48.88</v>
      </c>
      <c r="T3017" s="6">
        <v>1.93</v>
      </c>
      <c r="U3017" s="6">
        <v>3.14</v>
      </c>
      <c r="V3017" s="6">
        <v>1</v>
      </c>
      <c r="W3017" s="6">
        <f ca="1">IFERROR(__xludf.DUMMYFUNCTION("IFERROR(GOOGLEFINANCE(B3017,""pe""),V3017)"),1)</f>
        <v>1</v>
      </c>
      <c r="X3017" s="7">
        <v>45352</v>
      </c>
      <c r="Y3017" s="6">
        <v>4.1500000000000004</v>
      </c>
      <c r="Z3017" s="6">
        <v>1</v>
      </c>
      <c r="AA3017" s="8">
        <v>45352</v>
      </c>
      <c r="AB3017" s="4">
        <v>1.63</v>
      </c>
      <c r="AC3017" s="6">
        <v>2.0299999999999998</v>
      </c>
      <c r="AD3017" s="6">
        <v>11.72</v>
      </c>
      <c r="AE3017" s="1">
        <v>0</v>
      </c>
      <c r="AF3017" s="1">
        <f ca="1">IFERROR(__xludf.DUMMYFUNCTION("IFERROR(GOOGLEFINANCE(TRIM(F3017)&amp;"":"" &amp; TRIM(B3017),""high52""),AE3017)"),50.5)</f>
        <v>50.5</v>
      </c>
      <c r="AG3017" s="1">
        <v>0</v>
      </c>
      <c r="AH3017" s="1">
        <f ca="1">IFERROR(__xludf.DUMMYFUNCTION("IFERROR(GOOGLEFINANCE(TRIM(F3017)&amp;"":"" &amp; TRIM(B3017),""low52""),AE3017)"),25.22)</f>
        <v>25.22</v>
      </c>
      <c r="AI3017" s="1">
        <f ca="1">IFERROR(__xludf.DUMMYFUNCTION("IFERROR(GOOGLEFINANCE(B3017,""eps""),0)"),0)</f>
        <v>0</v>
      </c>
      <c r="AJ3017" s="1"/>
      <c r="AK3017" s="1" t="s">
        <v>9306</v>
      </c>
      <c r="AL3017" s="1" t="b">
        <f>ISNUMBER(AA3017)</f>
        <v>1</v>
      </c>
    </row>
    <row r="3018" spans="1:38" ht="15" x14ac:dyDescent="0.25">
      <c r="A3018" s="1" t="s">
        <v>9307</v>
      </c>
      <c r="B3018" s="1" t="s">
        <v>9308</v>
      </c>
      <c r="C3018" s="1" t="s">
        <v>697</v>
      </c>
      <c r="D3018" s="1" t="s">
        <v>697</v>
      </c>
      <c r="E3018" s="6">
        <v>1294.27</v>
      </c>
      <c r="F3018" s="1" t="s">
        <v>40</v>
      </c>
      <c r="G3018" s="6">
        <f ca="1">IFERROR(__xludf.DUMMYFUNCTION("iferror(GOOGLEFINANCE(TRIM(F3018)&amp;"":"" &amp; TRIM(B3018), ""price""),0
)"),1145.6)</f>
        <v>1145.5999999999999</v>
      </c>
      <c r="H3018" s="6">
        <v>1053.55</v>
      </c>
      <c r="I3018" s="6">
        <f t="shared" ca="1" si="0"/>
        <v>1145.5999999999999</v>
      </c>
      <c r="J3018" s="6">
        <f ca="1">IFERROR(__xludf.DUMMYFUNCTION("IFERROR(GOOGLEFINANCE(B3018, ""volume""), 0)"),3939)</f>
        <v>3939</v>
      </c>
      <c r="K3018" s="6">
        <v>-0.45</v>
      </c>
      <c r="L3018" s="6">
        <f ca="1">IFERROR(__xludf.DUMMYFUNCTION("IFERROR(GOOGLEFINANCE(B3018,""changepct""),K3018)"),-1.22)</f>
        <v>-1.22</v>
      </c>
      <c r="M3018" s="6">
        <f ca="1">IFERROR(__xludf.DUMMYFUNCTION("IFERROR(GOOGLEFINANCE(B3018,""change""),0)"),-14.2)</f>
        <v>-14.2</v>
      </c>
      <c r="N3018" s="6">
        <v>2</v>
      </c>
      <c r="O3018" s="7">
        <v>45536</v>
      </c>
      <c r="P3018" s="6">
        <v>73.459999999999994</v>
      </c>
      <c r="Q3018" s="6">
        <v>1352.33</v>
      </c>
      <c r="R3018" s="7">
        <v>45536</v>
      </c>
      <c r="S3018" s="6">
        <v>895.04</v>
      </c>
      <c r="T3018" s="6">
        <v>39.42</v>
      </c>
      <c r="U3018" s="7">
        <v>45536</v>
      </c>
      <c r="V3018" s="6">
        <v>32.83</v>
      </c>
      <c r="W3018" s="6">
        <f ca="1">IFERROR(__xludf.DUMMYFUNCTION("IFERROR(GOOGLEFINANCE(B3018,""pe""),V3018)"),23.79)</f>
        <v>23.79</v>
      </c>
      <c r="X3018" s="6">
        <v>1.66</v>
      </c>
      <c r="Y3018" s="6">
        <v>3.68</v>
      </c>
      <c r="Z3018" s="6">
        <v>2</v>
      </c>
      <c r="AA3018" s="8">
        <v>45352</v>
      </c>
      <c r="AB3018" s="4">
        <v>0.37</v>
      </c>
      <c r="AC3018" s="6">
        <v>17.54</v>
      </c>
      <c r="AD3018" s="6">
        <v>22.7</v>
      </c>
      <c r="AE3018" s="1">
        <v>0</v>
      </c>
      <c r="AF3018" s="1">
        <f ca="1">IFERROR(__xludf.DUMMYFUNCTION("IFERROR(GOOGLEFINANCE(TRIM(F3018)&amp;"":"" &amp; TRIM(B3018),""high52""),AE3018)"),1666)</f>
        <v>1666</v>
      </c>
      <c r="AG3018" s="1">
        <v>0</v>
      </c>
      <c r="AH3018" s="1">
        <f ca="1">IFERROR(__xludf.DUMMYFUNCTION("IFERROR(GOOGLEFINANCE(TRIM(F3018)&amp;"":"" &amp; TRIM(B3018),""low52""),AE3018)"),662)</f>
        <v>662</v>
      </c>
      <c r="AI3018" s="1">
        <f ca="1">IFERROR(__xludf.DUMMYFUNCTION("IFERROR(GOOGLEFINANCE(B3018,""eps""),0)"),48.16)</f>
        <v>48.16</v>
      </c>
      <c r="AJ3018" s="1"/>
      <c r="AK3018" s="9"/>
      <c r="AL3018" s="9">
        <f>IF(AA3018&lt;&gt;AB3018,1,0)</f>
        <v>1</v>
      </c>
    </row>
    <row r="3019" spans="1:38" ht="15" x14ac:dyDescent="0.25">
      <c r="A3019" s="1" t="s">
        <v>9309</v>
      </c>
      <c r="B3019" s="1" t="s">
        <v>9310</v>
      </c>
      <c r="C3019" s="1" t="s">
        <v>1379</v>
      </c>
      <c r="D3019" s="1" t="s">
        <v>1379</v>
      </c>
      <c r="E3019" s="6">
        <v>121193.1</v>
      </c>
      <c r="F3019" s="1" t="s">
        <v>40</v>
      </c>
      <c r="G3019" s="6">
        <f ca="1">IFERROR(__xludf.DUMMYFUNCTION("iferror(GOOGLEFINANCE(TRIM(F3019)&amp;"":"" &amp; TRIM(B3019), ""price""),0
)"),121.75)</f>
        <v>121.75</v>
      </c>
      <c r="H3019" s="6">
        <v>106.16</v>
      </c>
      <c r="I3019" s="6">
        <f t="shared" ca="1" si="0"/>
        <v>121.75</v>
      </c>
      <c r="J3019" s="6">
        <f ca="1">IFERROR(__xludf.DUMMYFUNCTION("IFERROR(GOOGLEFINANCE(B3019, ""volume""), 0)"),15793749)</f>
        <v>15793749</v>
      </c>
      <c r="K3019" s="6">
        <v>0.64</v>
      </c>
      <c r="L3019" s="6">
        <f ca="1">IFERROR(__xludf.DUMMYFUNCTION("IFERROR(GOOGLEFINANCE(B3019,""changepct""),K3019)"),0.13)</f>
        <v>0.13</v>
      </c>
      <c r="M3019" s="6">
        <f ca="1">IFERROR(__xludf.DUMMYFUNCTION("IFERROR(GOOGLEFINANCE(B3019,""change""),0)"),0.16)</f>
        <v>0.16</v>
      </c>
      <c r="N3019" s="6">
        <v>2</v>
      </c>
      <c r="O3019" s="7">
        <v>45536</v>
      </c>
      <c r="P3019" s="6">
        <v>116126</v>
      </c>
      <c r="Q3019" s="6">
        <v>13501.71</v>
      </c>
      <c r="R3019" s="7">
        <v>45536</v>
      </c>
      <c r="S3019" s="6">
        <v>8.3800000000000008</v>
      </c>
      <c r="T3019" s="6">
        <v>0.35</v>
      </c>
      <c r="U3019" s="6">
        <v>1.02</v>
      </c>
      <c r="V3019" s="6">
        <v>2</v>
      </c>
      <c r="W3019" s="6">
        <f ca="1">IFERROR(__xludf.DUMMYFUNCTION("IFERROR(GOOGLEFINANCE(B3019,""pe""),V3019)"),7.87)</f>
        <v>7.87</v>
      </c>
      <c r="X3019" s="7">
        <v>45352</v>
      </c>
      <c r="Y3019" s="6">
        <v>8.48</v>
      </c>
      <c r="Z3019" s="6">
        <v>1</v>
      </c>
      <c r="AA3019" s="8">
        <v>45352</v>
      </c>
      <c r="AB3019" s="4">
        <v>0.73</v>
      </c>
      <c r="AC3019" s="6">
        <v>2.7</v>
      </c>
      <c r="AD3019" s="6">
        <v>11.44</v>
      </c>
      <c r="AE3019" s="1">
        <v>0</v>
      </c>
      <c r="AF3019" s="1">
        <f ca="1">IFERROR(__xludf.DUMMYFUNCTION("IFERROR(GOOGLEFINANCE(TRIM(F3019)&amp;"":"" &amp; TRIM(B3019),""high52""),AE3019)"),135.15)</f>
        <v>135.15</v>
      </c>
      <c r="AG3019" s="1">
        <v>0</v>
      </c>
      <c r="AH3019" s="1">
        <f ca="1">IFERROR(__xludf.DUMMYFUNCTION("IFERROR(GOOGLEFINANCE(TRIM(F3019)&amp;"":"" &amp; TRIM(B3019),""low52""),AE3019)"),85.46)</f>
        <v>85.46</v>
      </c>
      <c r="AI3019" s="1">
        <f ca="1">IFERROR(__xludf.DUMMYFUNCTION("IFERROR(GOOGLEFINANCE(B3019,""eps""),0)"),15.47)</f>
        <v>15.47</v>
      </c>
      <c r="AJ3019" s="1"/>
      <c r="AK3019" s="1" t="s">
        <v>9311</v>
      </c>
      <c r="AL3019" s="1" t="b">
        <f>ISNUMBER(AA3019)</f>
        <v>1</v>
      </c>
    </row>
    <row r="3020" spans="1:38" ht="15" x14ac:dyDescent="0.25">
      <c r="A3020" s="1" t="s">
        <v>9312</v>
      </c>
      <c r="B3020" s="1" t="s">
        <v>9313</v>
      </c>
      <c r="C3020" s="1" t="s">
        <v>487</v>
      </c>
      <c r="D3020" s="1" t="s">
        <v>487</v>
      </c>
      <c r="E3020" s="6">
        <v>9222.75</v>
      </c>
      <c r="F3020" s="1" t="s">
        <v>40</v>
      </c>
      <c r="G3020" s="6">
        <f ca="1">IFERROR(__xludf.DUMMYFUNCTION("iferror(GOOGLEFINANCE(TRIM(F3020)&amp;"":"" &amp; TRIM(B3020), ""price""),0
)"),233)</f>
        <v>233</v>
      </c>
      <c r="H3020" s="6">
        <v>391.75</v>
      </c>
      <c r="I3020" s="6">
        <f t="shared" ca="1" si="0"/>
        <v>233</v>
      </c>
      <c r="J3020" s="6">
        <f ca="1">IFERROR(__xludf.DUMMYFUNCTION("IFERROR(GOOGLEFINANCE(B3020, ""volume""), 0)"),68060)</f>
        <v>68060</v>
      </c>
      <c r="K3020" s="6">
        <v>0.75</v>
      </c>
      <c r="L3020" s="6">
        <f ca="1">IFERROR(__xludf.DUMMYFUNCTION("IFERROR(GOOGLEFINANCE(B3020,""changepct""),K3020)"),2.73)</f>
        <v>2.73</v>
      </c>
      <c r="M3020" s="6">
        <f ca="1">IFERROR(__xludf.DUMMYFUNCTION("IFERROR(GOOGLEFINANCE(B3020,""change""),0)"),6.2)</f>
        <v>6.2</v>
      </c>
      <c r="N3020" s="6">
        <v>2</v>
      </c>
      <c r="O3020" s="7">
        <v>45536</v>
      </c>
      <c r="P3020" s="6">
        <v>3979.97</v>
      </c>
      <c r="Q3020" s="6">
        <v>12263.27</v>
      </c>
      <c r="R3020" s="7">
        <v>45536</v>
      </c>
      <c r="S3020" s="6">
        <v>2647.54</v>
      </c>
      <c r="T3020" s="6">
        <v>64.959999999999994</v>
      </c>
      <c r="U3020" s="7">
        <v>45536</v>
      </c>
      <c r="V3020" s="6">
        <v>132.36000000000001</v>
      </c>
      <c r="W3020" s="6">
        <f ca="1">IFERROR(__xludf.DUMMYFUNCTION("IFERROR(GOOGLEFINANCE(B3020,""pe""),V3020)"),132.36)</f>
        <v>132.36000000000001</v>
      </c>
      <c r="X3020" s="6">
        <v>-7.33</v>
      </c>
      <c r="Y3020" s="6">
        <v>4.9000000000000004</v>
      </c>
      <c r="Z3020" s="6">
        <v>2</v>
      </c>
      <c r="AA3020" s="8">
        <v>45352</v>
      </c>
      <c r="AB3020" s="4">
        <v>1.75</v>
      </c>
      <c r="AC3020" s="6">
        <v>2.17</v>
      </c>
      <c r="AD3020" s="6">
        <v>9.9700000000000006</v>
      </c>
      <c r="AE3020" s="1">
        <v>0</v>
      </c>
      <c r="AF3020" s="1">
        <f ca="1">IFERROR(__xludf.DUMMYFUNCTION("IFERROR(GOOGLEFINANCE(TRIM(F3020)&amp;"":"" &amp; TRIM(B3020),""high52""),AE3020)"),338.95)</f>
        <v>338.95</v>
      </c>
      <c r="AG3020" s="1">
        <v>0</v>
      </c>
      <c r="AH3020" s="1">
        <f ca="1">IFERROR(__xludf.DUMMYFUNCTION("IFERROR(GOOGLEFINANCE(TRIM(F3020)&amp;"":"" &amp; TRIM(B3020),""low52""),AE3020)"),208.7)</f>
        <v>208.7</v>
      </c>
      <c r="AI3020" s="1">
        <f ca="1">IFERROR(__xludf.DUMMYFUNCTION("IFERROR(GOOGLEFINANCE(B3020,""eps""),0)"),-12.13)</f>
        <v>-12.13</v>
      </c>
      <c r="AJ3020" s="1"/>
      <c r="AK3020" s="1" t="s">
        <v>9314</v>
      </c>
      <c r="AL3020" s="9">
        <f t="shared" ref="AL3020:AL3027" si="294">IF(AA3020&lt;&gt;AB3020,1,0)</f>
        <v>1</v>
      </c>
    </row>
    <row r="3021" spans="1:38" ht="15" x14ac:dyDescent="0.25">
      <c r="A3021" s="1" t="s">
        <v>9315</v>
      </c>
      <c r="B3021" s="1" t="s">
        <v>9316</v>
      </c>
      <c r="C3021" s="1" t="s">
        <v>359</v>
      </c>
      <c r="D3021" s="1" t="s">
        <v>359</v>
      </c>
      <c r="E3021" s="6">
        <v>184.7</v>
      </c>
      <c r="F3021" s="1" t="s">
        <v>40</v>
      </c>
      <c r="G3021" s="6">
        <f ca="1">IFERROR(__xludf.DUMMYFUNCTION("iferror(GOOGLEFINANCE(TRIM(F3021)&amp;"":"" &amp; TRIM(B3021), ""price""),0
)"),0)</f>
        <v>0</v>
      </c>
      <c r="H3021" s="6">
        <v>193.8</v>
      </c>
      <c r="I3021" s="6">
        <f t="shared" ca="1" si="0"/>
        <v>193.8</v>
      </c>
      <c r="J3021" s="6">
        <f ca="1">IFERROR(__xludf.DUMMYFUNCTION("IFERROR(GOOGLEFINANCE(B3021, ""volume""), 0)"),0)</f>
        <v>0</v>
      </c>
      <c r="K3021" s="6">
        <v>0.83</v>
      </c>
      <c r="L3021" s="6">
        <f ca="1">IFERROR(__xludf.DUMMYFUNCTION("IFERROR(GOOGLEFINANCE(B3021,""changepct""),K3021)"),0.83)</f>
        <v>0.83</v>
      </c>
      <c r="M3021" s="6">
        <f ca="1">IFERROR(__xludf.DUMMYFUNCTION("IFERROR(GOOGLEFINANCE(B3021,""change""),0)"),0)</f>
        <v>0</v>
      </c>
      <c r="N3021" s="6">
        <v>1</v>
      </c>
      <c r="O3021" s="7">
        <v>45352</v>
      </c>
      <c r="P3021" s="6">
        <v>25.63</v>
      </c>
      <c r="Q3021" s="6">
        <v>209.73</v>
      </c>
      <c r="R3021" s="14"/>
      <c r="S3021" s="9"/>
      <c r="T3021" s="9"/>
      <c r="U3021" s="7">
        <v>45352</v>
      </c>
      <c r="V3021" s="6">
        <v>38.36</v>
      </c>
      <c r="W3021" s="6">
        <f ca="1">IFERROR(__xludf.DUMMYFUNCTION("IFERROR(GOOGLEFINANCE(B3021,""pe""),V3021)"),38.36)</f>
        <v>38.36</v>
      </c>
      <c r="X3021" s="9"/>
      <c r="Y3021" s="6">
        <v>3.47</v>
      </c>
      <c r="Z3021" s="6">
        <v>1</v>
      </c>
      <c r="AA3021" s="8">
        <v>45352</v>
      </c>
      <c r="AB3021" s="4">
        <v>1.48</v>
      </c>
      <c r="AC3021" s="6">
        <v>34.770000000000003</v>
      </c>
      <c r="AD3021" s="6">
        <v>25.5</v>
      </c>
      <c r="AE3021" s="1">
        <v>0</v>
      </c>
      <c r="AF3021" s="1">
        <f ca="1">IFERROR(__xludf.DUMMYFUNCTION("IFERROR(GOOGLEFINANCE(TRIM(F3021)&amp;"":"" &amp; TRIM(B3021),""high52""),AE3021)"),0)</f>
        <v>0</v>
      </c>
      <c r="AG3021" s="1">
        <v>0</v>
      </c>
      <c r="AH3021" s="1">
        <f ca="1">IFERROR(__xludf.DUMMYFUNCTION("IFERROR(GOOGLEFINANCE(TRIM(F3021)&amp;"":"" &amp; TRIM(B3021),""low52""),AE3021)"),0)</f>
        <v>0</v>
      </c>
      <c r="AI3021" s="1">
        <f ca="1">IFERROR(__xludf.DUMMYFUNCTION("IFERROR(GOOGLEFINANCE(B3021,""eps""),0)"),0)</f>
        <v>0</v>
      </c>
      <c r="AJ3021" s="1"/>
      <c r="AK3021" s="1" t="s">
        <v>9317</v>
      </c>
      <c r="AL3021" s="9">
        <f t="shared" si="294"/>
        <v>1</v>
      </c>
    </row>
    <row r="3022" spans="1:38" ht="15" x14ac:dyDescent="0.25">
      <c r="A3022" s="1" t="s">
        <v>9318</v>
      </c>
      <c r="B3022" s="1" t="s">
        <v>9319</v>
      </c>
      <c r="C3022" s="1" t="s">
        <v>82</v>
      </c>
      <c r="D3022" s="1" t="s">
        <v>82</v>
      </c>
      <c r="E3022" s="6">
        <v>388.5</v>
      </c>
      <c r="F3022" s="1" t="s">
        <v>40</v>
      </c>
      <c r="G3022" s="6">
        <f ca="1">IFERROR(__xludf.DUMMYFUNCTION("iferror(GOOGLEFINANCE(TRIM(F3022)&amp;"":"" &amp; TRIM(B3022), ""price""),0
)"),0)</f>
        <v>0</v>
      </c>
      <c r="H3022" s="6">
        <v>183.1</v>
      </c>
      <c r="I3022" s="6">
        <f t="shared" ca="1" si="0"/>
        <v>183.1</v>
      </c>
      <c r="J3022" s="6">
        <f ca="1">IFERROR(__xludf.DUMMYFUNCTION("IFERROR(GOOGLEFINANCE(B3022, ""volume""), 0)"),0)</f>
        <v>0</v>
      </c>
      <c r="K3022" s="6">
        <v>-1.1100000000000001</v>
      </c>
      <c r="L3022" s="6">
        <f ca="1">IFERROR(__xludf.DUMMYFUNCTION("IFERROR(GOOGLEFINANCE(B3022,""changepct""),K3022)"),-1.11)</f>
        <v>-1.1100000000000001</v>
      </c>
      <c r="M3022" s="6">
        <f ca="1">IFERROR(__xludf.DUMMYFUNCTION("IFERROR(GOOGLEFINANCE(B3022,""change""),0)"),0)</f>
        <v>0</v>
      </c>
      <c r="N3022" s="6">
        <v>1</v>
      </c>
      <c r="O3022" s="7">
        <v>45536</v>
      </c>
      <c r="P3022" s="6">
        <v>68.53</v>
      </c>
      <c r="Q3022" s="6">
        <v>457.03</v>
      </c>
      <c r="R3022" s="7">
        <v>45352</v>
      </c>
      <c r="S3022" s="6">
        <v>103.74</v>
      </c>
      <c r="T3022" s="6">
        <v>3.83</v>
      </c>
      <c r="U3022" s="7">
        <v>45352</v>
      </c>
      <c r="V3022" s="6">
        <v>101.4</v>
      </c>
      <c r="W3022" s="6">
        <f ca="1">IFERROR(__xludf.DUMMYFUNCTION("IFERROR(GOOGLEFINANCE(B3022,""pe""),V3022)"),101.4)</f>
        <v>101.4</v>
      </c>
      <c r="X3022" s="9"/>
      <c r="Y3022" s="6">
        <v>3.48</v>
      </c>
      <c r="Z3022" s="6">
        <v>2</v>
      </c>
      <c r="AA3022" s="8">
        <v>45352</v>
      </c>
      <c r="AB3022" s="4">
        <v>1.1399999999999999</v>
      </c>
      <c r="AC3022" s="6">
        <v>7.33</v>
      </c>
      <c r="AD3022" s="6">
        <v>9.4600000000000009</v>
      </c>
      <c r="AE3022" s="1">
        <v>0</v>
      </c>
      <c r="AF3022" s="1">
        <f ca="1">IFERROR(__xludf.DUMMYFUNCTION("IFERROR(GOOGLEFINANCE(TRIM(F3022)&amp;"":"" &amp; TRIM(B3022),""high52""),AE3022)"),0)</f>
        <v>0</v>
      </c>
      <c r="AG3022" s="1">
        <v>0</v>
      </c>
      <c r="AH3022" s="1">
        <f ca="1">IFERROR(__xludf.DUMMYFUNCTION("IFERROR(GOOGLEFINANCE(TRIM(F3022)&amp;"":"" &amp; TRIM(B3022),""low52""),AE3022)"),0)</f>
        <v>0</v>
      </c>
      <c r="AI3022" s="1">
        <f ca="1">IFERROR(__xludf.DUMMYFUNCTION("IFERROR(GOOGLEFINANCE(B3022,""eps""),0)"),0)</f>
        <v>0</v>
      </c>
      <c r="AJ3022" s="1"/>
      <c r="AK3022" s="1" t="s">
        <v>9320</v>
      </c>
      <c r="AL3022" s="9">
        <f t="shared" si="294"/>
        <v>1</v>
      </c>
    </row>
    <row r="3023" spans="1:38" ht="15" x14ac:dyDescent="0.25">
      <c r="A3023" s="1" t="s">
        <v>9321</v>
      </c>
      <c r="B3023" s="1" t="s">
        <v>9322</v>
      </c>
      <c r="C3023" s="1" t="s">
        <v>697</v>
      </c>
      <c r="D3023" s="1" t="s">
        <v>697</v>
      </c>
      <c r="E3023" s="6">
        <v>16.170000000000002</v>
      </c>
      <c r="F3023" s="1" t="s">
        <v>53</v>
      </c>
      <c r="G3023" s="6">
        <f ca="1">IFERROR(__xludf.DUMMYFUNCTION("iferror(GOOGLEFINANCE(TRIM(F3023)&amp;"":"" &amp; TRIM(B3023), ""price""),0
)"),0)</f>
        <v>0</v>
      </c>
      <c r="H3023" s="6">
        <v>36.9</v>
      </c>
      <c r="I3023" s="6">
        <f t="shared" ca="1" si="0"/>
        <v>36.9</v>
      </c>
      <c r="J3023" s="6">
        <f ca="1">IFERROR(__xludf.DUMMYFUNCTION("IFERROR(GOOGLEFINANCE(B3023, ""volume""), 0)"),0)</f>
        <v>0</v>
      </c>
      <c r="K3023" s="6">
        <v>-1.86</v>
      </c>
      <c r="L3023" s="6">
        <f ca="1">IFERROR(__xludf.DUMMYFUNCTION("IFERROR(GOOGLEFINANCE(B3023,""changepct""),K3023)"),-1.86)</f>
        <v>-1.86</v>
      </c>
      <c r="M3023" s="6">
        <f ca="1">IFERROR(__xludf.DUMMYFUNCTION("IFERROR(GOOGLEFINANCE(B3023,""change""),0)"),0)</f>
        <v>0</v>
      </c>
      <c r="N3023" s="6">
        <v>1</v>
      </c>
      <c r="O3023" s="7">
        <v>45536</v>
      </c>
      <c r="P3023" s="6">
        <v>19.41</v>
      </c>
      <c r="Q3023" s="6">
        <v>35.57</v>
      </c>
      <c r="R3023" s="7">
        <v>45536</v>
      </c>
      <c r="S3023" s="6">
        <v>15.95</v>
      </c>
      <c r="T3023" s="6">
        <v>-2.77</v>
      </c>
      <c r="U3023" s="7">
        <v>45536</v>
      </c>
      <c r="V3023" s="6">
        <v>0</v>
      </c>
      <c r="W3023" s="6">
        <f ca="1">IFERROR(__xludf.DUMMYFUNCTION("IFERROR(GOOGLEFINANCE(B3023,""pe""),V3023)"),0)</f>
        <v>0</v>
      </c>
      <c r="X3023" s="9"/>
      <c r="Y3023" s="6">
        <v>2.69</v>
      </c>
      <c r="Z3023" s="6">
        <v>1</v>
      </c>
      <c r="AA3023" s="17">
        <v>45352</v>
      </c>
      <c r="AB3023" s="18">
        <v>2.4700000000000002</v>
      </c>
      <c r="AC3023" s="6">
        <v>-37.06</v>
      </c>
      <c r="AD3023" s="6">
        <v>-4.6399999999999997</v>
      </c>
      <c r="AE3023" s="1">
        <v>0</v>
      </c>
      <c r="AF3023" s="1">
        <f ca="1">IFERROR(__xludf.DUMMYFUNCTION("IFERROR(GOOGLEFINANCE(TRIM(F3023)&amp;"":"" &amp; TRIM(B3023),""high52""),AE3023)"),0)</f>
        <v>0</v>
      </c>
      <c r="AG3023" s="1">
        <v>0</v>
      </c>
      <c r="AH3023" s="1">
        <f ca="1">IFERROR(__xludf.DUMMYFUNCTION("IFERROR(GOOGLEFINANCE(TRIM(F3023)&amp;"":"" &amp; TRIM(B3023),""low52""),AE3023)"),0)</f>
        <v>0</v>
      </c>
      <c r="AI3023" s="1">
        <f ca="1">IFERROR(__xludf.DUMMYFUNCTION("IFERROR(GOOGLEFINANCE(B3023,""eps""),0)"),0)</f>
        <v>0</v>
      </c>
      <c r="AJ3023" s="1"/>
      <c r="AK3023" s="1" t="s">
        <v>9323</v>
      </c>
      <c r="AL3023" s="9">
        <f t="shared" si="294"/>
        <v>1</v>
      </c>
    </row>
    <row r="3024" spans="1:38" ht="15" x14ac:dyDescent="0.25">
      <c r="A3024" s="1" t="s">
        <v>9324</v>
      </c>
      <c r="B3024" s="1" t="s">
        <v>9325</v>
      </c>
      <c r="C3024" s="1" t="s">
        <v>487</v>
      </c>
      <c r="D3024" s="1" t="s">
        <v>487</v>
      </c>
      <c r="E3024" s="6">
        <v>906.2</v>
      </c>
      <c r="F3024" s="1" t="s">
        <v>40</v>
      </c>
      <c r="G3024" s="6">
        <f ca="1">IFERROR(__xludf.DUMMYFUNCTION("iferror(GOOGLEFINANCE(TRIM(F3024)&amp;"":"" &amp; TRIM(B3024), ""price""),0
)"),29.35)</f>
        <v>29.35</v>
      </c>
      <c r="H3024" s="6">
        <v>33.99</v>
      </c>
      <c r="I3024" s="6">
        <f t="shared" ca="1" si="0"/>
        <v>29.35</v>
      </c>
      <c r="J3024" s="6">
        <f ca="1">IFERROR(__xludf.DUMMYFUNCTION("IFERROR(GOOGLEFINANCE(B3024, ""volume""), 0)"),158776)</f>
        <v>158776</v>
      </c>
      <c r="K3024" s="6">
        <v>-2.77</v>
      </c>
      <c r="L3024" s="6">
        <f ca="1">IFERROR(__xludf.DUMMYFUNCTION("IFERROR(GOOGLEFINANCE(B3024,""changepct""),K3024)"),-1.21)</f>
        <v>-1.21</v>
      </c>
      <c r="M3024" s="6">
        <f ca="1">IFERROR(__xludf.DUMMYFUNCTION("IFERROR(GOOGLEFINANCE(B3024,""change""),0)"),-0.36)</f>
        <v>-0.36</v>
      </c>
      <c r="N3024" s="6">
        <v>2</v>
      </c>
      <c r="O3024" s="7">
        <v>45536</v>
      </c>
      <c r="P3024" s="6">
        <v>14.07</v>
      </c>
      <c r="Q3024" s="6">
        <v>916.81</v>
      </c>
      <c r="R3024" s="7">
        <v>45536</v>
      </c>
      <c r="S3024" s="6">
        <v>13.69</v>
      </c>
      <c r="T3024" s="6">
        <v>64.349999999999994</v>
      </c>
      <c r="U3024" s="7">
        <v>45536</v>
      </c>
      <c r="V3024" s="6">
        <v>13.9</v>
      </c>
      <c r="W3024" s="6">
        <f ca="1">IFERROR(__xludf.DUMMYFUNCTION("IFERROR(GOOGLEFINANCE(B3024,""pe""),V3024)"),13.9)</f>
        <v>13.9</v>
      </c>
      <c r="X3024" s="6">
        <v>1.01</v>
      </c>
      <c r="Y3024" s="6">
        <v>4.04</v>
      </c>
      <c r="Z3024" s="6">
        <v>2</v>
      </c>
      <c r="AA3024" s="8">
        <v>45352</v>
      </c>
      <c r="AB3024" s="4">
        <v>0.18</v>
      </c>
      <c r="AC3024" s="6">
        <v>35.549999999999997</v>
      </c>
      <c r="AD3024" s="6">
        <v>25.22</v>
      </c>
      <c r="AE3024" s="1">
        <v>0</v>
      </c>
      <c r="AF3024" s="1">
        <f ca="1">IFERROR(__xludf.DUMMYFUNCTION("IFERROR(GOOGLEFINANCE(TRIM(F3024)&amp;"":"" &amp; TRIM(B3024),""high52""),AE3024)"),39.41)</f>
        <v>39.409999999999997</v>
      </c>
      <c r="AG3024" s="1">
        <v>0</v>
      </c>
      <c r="AH3024" s="1">
        <f ca="1">IFERROR(__xludf.DUMMYFUNCTION("IFERROR(GOOGLEFINANCE(TRIM(F3024)&amp;"":"" &amp; TRIM(B3024),""low52""),AE3024)"),18.3)</f>
        <v>18.3</v>
      </c>
      <c r="AI3024" s="1">
        <f ca="1">IFERROR(__xludf.DUMMYFUNCTION("IFERROR(GOOGLEFINANCE(B3024,""eps""),0)"),-0.2)</f>
        <v>-0.2</v>
      </c>
      <c r="AJ3024" s="1"/>
      <c r="AK3024" s="9"/>
      <c r="AL3024" s="9">
        <f t="shared" si="294"/>
        <v>1</v>
      </c>
    </row>
    <row r="3025" spans="1:38" ht="15" x14ac:dyDescent="0.25">
      <c r="A3025" s="1" t="s">
        <v>9326</v>
      </c>
      <c r="B3025" s="1" t="s">
        <v>9327</v>
      </c>
      <c r="C3025" s="1" t="s">
        <v>1229</v>
      </c>
      <c r="D3025" s="1" t="s">
        <v>1229</v>
      </c>
      <c r="E3025" s="6">
        <v>12968.78</v>
      </c>
      <c r="F3025" s="1" t="s">
        <v>40</v>
      </c>
      <c r="G3025" s="6">
        <f ca="1">IFERROR(__xludf.DUMMYFUNCTION("iferror(GOOGLEFINANCE(TRIM(F3025)&amp;"":"" &amp; TRIM(B3025), ""price""),0
)"),965)</f>
        <v>965</v>
      </c>
      <c r="H3025" s="6">
        <v>1313.35</v>
      </c>
      <c r="I3025" s="6">
        <f t="shared" ca="1" si="0"/>
        <v>965</v>
      </c>
      <c r="J3025" s="6">
        <f ca="1">IFERROR(__xludf.DUMMYFUNCTION("IFERROR(GOOGLEFINANCE(B3025, ""volume""), 0)"),234051)</f>
        <v>234051</v>
      </c>
      <c r="K3025" s="6">
        <v>-0.52</v>
      </c>
      <c r="L3025" s="6">
        <f ca="1">IFERROR(__xludf.DUMMYFUNCTION("IFERROR(GOOGLEFINANCE(B3025,""changepct""),K3025)"),0.71)</f>
        <v>0.71</v>
      </c>
      <c r="M3025" s="6">
        <f ca="1">IFERROR(__xludf.DUMMYFUNCTION("IFERROR(GOOGLEFINANCE(B3025,""change""),0)"),6.85)</f>
        <v>6.85</v>
      </c>
      <c r="N3025" s="6">
        <v>2</v>
      </c>
      <c r="O3025" s="7">
        <v>45536</v>
      </c>
      <c r="P3025" s="6">
        <v>1721.3</v>
      </c>
      <c r="Q3025" s="6">
        <v>14129.58</v>
      </c>
      <c r="R3025" s="7">
        <v>45536</v>
      </c>
      <c r="S3025" s="6">
        <v>5615.1</v>
      </c>
      <c r="T3025" s="6">
        <v>-308</v>
      </c>
      <c r="U3025" s="7">
        <v>45536</v>
      </c>
      <c r="V3025" s="6">
        <v>0</v>
      </c>
      <c r="W3025" s="6">
        <f ca="1">IFERROR(__xludf.DUMMYFUNCTION("IFERROR(GOOGLEFINANCE(B3025,""pe""),V3025)"),0)</f>
        <v>0</v>
      </c>
      <c r="X3025" s="9"/>
      <c r="Y3025" s="6">
        <v>1.82</v>
      </c>
      <c r="Z3025" s="6">
        <v>2</v>
      </c>
      <c r="AA3025" s="8">
        <v>45352</v>
      </c>
      <c r="AB3025" s="4">
        <v>0.24</v>
      </c>
      <c r="AC3025" s="6">
        <v>-0.45</v>
      </c>
      <c r="AD3025" s="6">
        <v>8.23</v>
      </c>
      <c r="AE3025" s="1">
        <v>0</v>
      </c>
      <c r="AF3025" s="1">
        <f ca="1">IFERROR(__xludf.DUMMYFUNCTION("IFERROR(GOOGLEFINANCE(TRIM(F3025)&amp;"":"" &amp; TRIM(B3025),""high52""),AE3025)"),1249.7)</f>
        <v>1249.7</v>
      </c>
      <c r="AG3025" s="1">
        <v>0</v>
      </c>
      <c r="AH3025" s="1">
        <f ca="1">IFERROR(__xludf.DUMMYFUNCTION("IFERROR(GOOGLEFINANCE(TRIM(F3025)&amp;"":"" &amp; TRIM(B3025),""low52""),AE3025)"),830)</f>
        <v>830</v>
      </c>
      <c r="AI3025" s="1">
        <f ca="1">IFERROR(__xludf.DUMMYFUNCTION("IFERROR(GOOGLEFINANCE(B3025,""eps""),0)"),-51.59)</f>
        <v>-51.59</v>
      </c>
      <c r="AJ3025" s="1"/>
      <c r="AK3025" s="1" t="s">
        <v>9328</v>
      </c>
      <c r="AL3025" s="9">
        <f t="shared" si="294"/>
        <v>1</v>
      </c>
    </row>
    <row r="3026" spans="1:38" ht="15" x14ac:dyDescent="0.25">
      <c r="A3026" s="1" t="s">
        <v>9329</v>
      </c>
      <c r="B3026" s="1" t="s">
        <v>9330</v>
      </c>
      <c r="C3026" s="1" t="s">
        <v>483</v>
      </c>
      <c r="D3026" s="1" t="s">
        <v>483</v>
      </c>
      <c r="E3026" s="6">
        <v>759.05</v>
      </c>
      <c r="F3026" s="1" t="s">
        <v>40</v>
      </c>
      <c r="G3026" s="6">
        <f ca="1">IFERROR(__xludf.DUMMYFUNCTION("iferror(GOOGLEFINANCE(TRIM(F3026)&amp;"":"" &amp; TRIM(B3026), ""price""),0
)"),147)</f>
        <v>147</v>
      </c>
      <c r="H3026" s="6">
        <v>206.99</v>
      </c>
      <c r="I3026" s="6">
        <f t="shared" ca="1" si="0"/>
        <v>147</v>
      </c>
      <c r="J3026" s="6">
        <f ca="1">IFERROR(__xludf.DUMMYFUNCTION("IFERROR(GOOGLEFINANCE(B3026, ""volume""), 0)"),14601)</f>
        <v>14601</v>
      </c>
      <c r="K3026" s="6">
        <v>0.12</v>
      </c>
      <c r="L3026" s="6">
        <f ca="1">IFERROR(__xludf.DUMMYFUNCTION("IFERROR(GOOGLEFINANCE(B3026,""changepct""),K3026)"),-2.8)</f>
        <v>-2.8</v>
      </c>
      <c r="M3026" s="6">
        <f ca="1">IFERROR(__xludf.DUMMYFUNCTION("IFERROR(GOOGLEFINANCE(B3026,""change""),0)"),-4.23)</f>
        <v>-4.2300000000000004</v>
      </c>
      <c r="N3026" s="6">
        <v>1</v>
      </c>
      <c r="O3026" s="7">
        <v>45536</v>
      </c>
      <c r="P3026" s="6">
        <v>28.81</v>
      </c>
      <c r="Q3026" s="6">
        <v>781.35</v>
      </c>
      <c r="R3026" s="7">
        <v>45536</v>
      </c>
      <c r="S3026" s="6">
        <v>528.74</v>
      </c>
      <c r="T3026" s="6">
        <v>27.01</v>
      </c>
      <c r="U3026" s="7">
        <v>45536</v>
      </c>
      <c r="V3026" s="6">
        <v>28.1</v>
      </c>
      <c r="W3026" s="6">
        <f ca="1">IFERROR(__xludf.DUMMYFUNCTION("IFERROR(GOOGLEFINANCE(B3026,""pe""),V3026)"),19.7)</f>
        <v>19.7</v>
      </c>
      <c r="X3026" s="12"/>
      <c r="Y3026" s="6">
        <v>3.22</v>
      </c>
      <c r="Z3026" s="6">
        <v>1</v>
      </c>
      <c r="AA3026" s="8">
        <v>45352</v>
      </c>
      <c r="AB3026" s="4">
        <v>0.09</v>
      </c>
      <c r="AC3026" s="6">
        <v>17.809999999999999</v>
      </c>
      <c r="AD3026" s="6">
        <v>20.97</v>
      </c>
      <c r="AE3026" s="1">
        <v>0</v>
      </c>
      <c r="AF3026" s="1">
        <f ca="1">IFERROR(__xludf.DUMMYFUNCTION("IFERROR(GOOGLEFINANCE(TRIM(F3026)&amp;"":"" &amp; TRIM(B3026),""high52""),AE3026)"),198)</f>
        <v>198</v>
      </c>
      <c r="AG3026" s="1">
        <v>0</v>
      </c>
      <c r="AH3026" s="1">
        <f ca="1">IFERROR(__xludf.DUMMYFUNCTION("IFERROR(GOOGLEFINANCE(TRIM(F3026)&amp;"":"" &amp; TRIM(B3026),""low52""),AE3026)"),134.91)</f>
        <v>134.91</v>
      </c>
      <c r="AI3026" s="1">
        <f ca="1">IFERROR(__xludf.DUMMYFUNCTION("IFERROR(GOOGLEFINANCE(B3026,""eps""),0)"),7.46)</f>
        <v>7.46</v>
      </c>
      <c r="AJ3026" s="1"/>
      <c r="AK3026" s="1" t="s">
        <v>9331</v>
      </c>
      <c r="AL3026" s="9">
        <f t="shared" si="294"/>
        <v>1</v>
      </c>
    </row>
    <row r="3027" spans="1:38" ht="15" x14ac:dyDescent="0.25">
      <c r="A3027" s="1" t="s">
        <v>9332</v>
      </c>
      <c r="B3027" s="1" t="s">
        <v>9333</v>
      </c>
      <c r="C3027" s="1" t="s">
        <v>227</v>
      </c>
      <c r="D3027" s="1" t="s">
        <v>227</v>
      </c>
      <c r="E3027" s="6">
        <v>199.21</v>
      </c>
      <c r="F3027" s="1" t="s">
        <v>40</v>
      </c>
      <c r="G3027" s="6">
        <f ca="1">IFERROR(__xludf.DUMMYFUNCTION("iferror(GOOGLEFINANCE(TRIM(F3027)&amp;"":"" &amp; TRIM(B3027), ""price""),0
)"),0)</f>
        <v>0</v>
      </c>
      <c r="H3027" s="6">
        <v>111.6</v>
      </c>
      <c r="I3027" s="6">
        <f t="shared" ca="1" si="0"/>
        <v>111.6</v>
      </c>
      <c r="J3027" s="6">
        <f ca="1">IFERROR(__xludf.DUMMYFUNCTION("IFERROR(GOOGLEFINANCE(B3027, ""volume""), 0)"),0)</f>
        <v>0</v>
      </c>
      <c r="K3027" s="9"/>
      <c r="L3027" s="6" t="str">
        <f ca="1">IFERROR(__xludf.DUMMYFUNCTION("IFERROR(GOOGLEFINANCE(B3027,""changepct""),K3027)"),"")</f>
        <v/>
      </c>
      <c r="M3027" s="6">
        <f ca="1">IFERROR(__xludf.DUMMYFUNCTION("IFERROR(GOOGLEFINANCE(B3027,""change""),0)"),0)</f>
        <v>0</v>
      </c>
      <c r="N3027" s="6">
        <v>1</v>
      </c>
      <c r="O3027" s="7">
        <v>45536</v>
      </c>
      <c r="P3027" s="6">
        <v>69.41</v>
      </c>
      <c r="Q3027" s="6">
        <v>268.61</v>
      </c>
      <c r="R3027" s="7">
        <v>45536</v>
      </c>
      <c r="S3027" s="6">
        <v>130.63</v>
      </c>
      <c r="T3027" s="6">
        <v>8.99</v>
      </c>
      <c r="U3027" s="7">
        <v>45536</v>
      </c>
      <c r="V3027" s="6">
        <v>22.17</v>
      </c>
      <c r="W3027" s="6">
        <f ca="1">IFERROR(__xludf.DUMMYFUNCTION("IFERROR(GOOGLEFINANCE(B3027,""pe""),V3027)"),22.17)</f>
        <v>22.17</v>
      </c>
      <c r="X3027" s="9"/>
      <c r="Y3027" s="6">
        <v>2.39</v>
      </c>
      <c r="Z3027" s="6">
        <v>1</v>
      </c>
      <c r="AA3027" s="8">
        <v>45352</v>
      </c>
      <c r="AB3027" s="4">
        <v>0.44</v>
      </c>
      <c r="AC3027" s="6">
        <v>12.09</v>
      </c>
      <c r="AD3027" s="6">
        <v>14.7</v>
      </c>
      <c r="AE3027" s="1">
        <v>0</v>
      </c>
      <c r="AF3027" s="1">
        <f ca="1">IFERROR(__xludf.DUMMYFUNCTION("IFERROR(GOOGLEFINANCE(TRIM(F3027)&amp;"":"" &amp; TRIM(B3027),""high52""),AE3027)"),0)</f>
        <v>0</v>
      </c>
      <c r="AG3027" s="1">
        <v>0</v>
      </c>
      <c r="AH3027" s="1">
        <f ca="1">IFERROR(__xludf.DUMMYFUNCTION("IFERROR(GOOGLEFINANCE(TRIM(F3027)&amp;"":"" &amp; TRIM(B3027),""low52""),AE3027)"),0)</f>
        <v>0</v>
      </c>
      <c r="AI3027" s="1">
        <f ca="1">IFERROR(__xludf.DUMMYFUNCTION("IFERROR(GOOGLEFINANCE(B3027,""eps""),0)"),0)</f>
        <v>0</v>
      </c>
      <c r="AJ3027" s="1"/>
      <c r="AK3027" s="1" t="s">
        <v>9334</v>
      </c>
      <c r="AL3027" s="9">
        <f t="shared" si="294"/>
        <v>1</v>
      </c>
    </row>
    <row r="3028" spans="1:38" ht="15" x14ac:dyDescent="0.25">
      <c r="A3028" s="1" t="s">
        <v>9335</v>
      </c>
      <c r="B3028" s="1" t="s">
        <v>9336</v>
      </c>
      <c r="C3028" s="1" t="s">
        <v>90</v>
      </c>
      <c r="D3028" s="1" t="s">
        <v>90</v>
      </c>
      <c r="E3028" s="6">
        <v>21.99</v>
      </c>
      <c r="F3028" s="1" t="s">
        <v>40</v>
      </c>
      <c r="G3028" s="6">
        <f ca="1">IFERROR(__xludf.DUMMYFUNCTION("iferror(GOOGLEFINANCE(TRIM(F3028)&amp;"":"" &amp; TRIM(B3028), ""price""),0
)"),0)</f>
        <v>0</v>
      </c>
      <c r="H3028" s="6">
        <v>4.3</v>
      </c>
      <c r="I3028" s="6">
        <f t="shared" ca="1" si="0"/>
        <v>4.3</v>
      </c>
      <c r="J3028" s="6">
        <f ca="1">IFERROR(__xludf.DUMMYFUNCTION("IFERROR(GOOGLEFINANCE(B3028, ""volume""), 0)"),0)</f>
        <v>0</v>
      </c>
      <c r="K3028" s="6">
        <v>-1.1499999999999999</v>
      </c>
      <c r="L3028" s="6">
        <f ca="1">IFERROR(__xludf.DUMMYFUNCTION("IFERROR(GOOGLEFINANCE(B3028,""changepct""),K3028)"),-1.15)</f>
        <v>-1.1499999999999999</v>
      </c>
      <c r="M3028" s="6">
        <f ca="1">IFERROR(__xludf.DUMMYFUNCTION("IFERROR(GOOGLEFINANCE(B3028,""change""),0)"),0)</f>
        <v>0</v>
      </c>
      <c r="N3028" s="6">
        <v>1</v>
      </c>
      <c r="O3028" s="7">
        <v>45536</v>
      </c>
      <c r="P3028" s="9"/>
      <c r="Q3028" s="6">
        <v>19.2</v>
      </c>
      <c r="R3028" s="7">
        <v>45352</v>
      </c>
      <c r="S3028" s="6">
        <v>9.0299999999999994</v>
      </c>
      <c r="T3028" s="6">
        <v>0.81</v>
      </c>
      <c r="U3028" s="7">
        <v>45352</v>
      </c>
      <c r="V3028" s="6">
        <v>27.03</v>
      </c>
      <c r="W3028" s="6">
        <f ca="1">IFERROR(__xludf.DUMMYFUNCTION("IFERROR(GOOGLEFINANCE(B3028,""pe""),V3028)"),27.03)</f>
        <v>27.03</v>
      </c>
      <c r="X3028" s="9"/>
      <c r="Y3028" s="6">
        <v>1.1499999999999999</v>
      </c>
      <c r="Z3028" s="6">
        <v>1</v>
      </c>
      <c r="AA3028" s="8">
        <v>45352</v>
      </c>
      <c r="AB3028" s="4">
        <v>0</v>
      </c>
      <c r="AC3028" s="6">
        <v>4.33</v>
      </c>
      <c r="AD3028" s="6">
        <v>6.42</v>
      </c>
      <c r="AE3028" s="1">
        <v>0</v>
      </c>
      <c r="AF3028" s="1">
        <f ca="1">IFERROR(__xludf.DUMMYFUNCTION("IFERROR(GOOGLEFINANCE(TRIM(F3028)&amp;"":"" &amp; TRIM(B3028),""high52""),AE3028)"),0)</f>
        <v>0</v>
      </c>
      <c r="AG3028" s="1">
        <v>0</v>
      </c>
      <c r="AH3028" s="1">
        <f ca="1">IFERROR(__xludf.DUMMYFUNCTION("IFERROR(GOOGLEFINANCE(TRIM(F3028)&amp;"":"" &amp; TRIM(B3028),""low52""),AE3028)"),0)</f>
        <v>0</v>
      </c>
      <c r="AI3028" s="1">
        <f ca="1">IFERROR(__xludf.DUMMYFUNCTION("IFERROR(GOOGLEFINANCE(B3028,""eps""),0)"),0)</f>
        <v>0</v>
      </c>
      <c r="AJ3028" s="1"/>
      <c r="AK3028" s="1" t="s">
        <v>9337</v>
      </c>
      <c r="AL3028" s="1" t="b">
        <f>ISNUMBER(AA3028)</f>
        <v>1</v>
      </c>
    </row>
    <row r="3029" spans="1:38" ht="15" x14ac:dyDescent="0.25">
      <c r="A3029" s="1" t="s">
        <v>9338</v>
      </c>
      <c r="B3029" s="1" t="s">
        <v>9339</v>
      </c>
      <c r="C3029" s="1" t="s">
        <v>219</v>
      </c>
      <c r="D3029" s="1" t="s">
        <v>219</v>
      </c>
      <c r="E3029" s="6">
        <v>29.05</v>
      </c>
      <c r="F3029" s="1" t="s">
        <v>40</v>
      </c>
      <c r="G3029" s="6">
        <f ca="1">IFERROR(__xludf.DUMMYFUNCTION("iferror(GOOGLEFINANCE(TRIM(F3029)&amp;"":"" &amp; TRIM(B3029), ""price""),0
)"),0)</f>
        <v>0</v>
      </c>
      <c r="H3029" s="6">
        <v>101.8</v>
      </c>
      <c r="I3029" s="6">
        <f t="shared" ca="1" si="0"/>
        <v>101.8</v>
      </c>
      <c r="J3029" s="6">
        <f ca="1">IFERROR(__xludf.DUMMYFUNCTION("IFERROR(GOOGLEFINANCE(B3029, ""volume""), 0)"),0)</f>
        <v>0</v>
      </c>
      <c r="K3029" s="9"/>
      <c r="L3029" s="6" t="str">
        <f ca="1">IFERROR(__xludf.DUMMYFUNCTION("IFERROR(GOOGLEFINANCE(B3029,""changepct""),K3029)"),"")</f>
        <v/>
      </c>
      <c r="M3029" s="6">
        <f ca="1">IFERROR(__xludf.DUMMYFUNCTION("IFERROR(GOOGLEFINANCE(B3029,""change""),0)"),0)</f>
        <v>0</v>
      </c>
      <c r="N3029" s="6">
        <v>1</v>
      </c>
      <c r="O3029" s="7">
        <v>45536</v>
      </c>
      <c r="P3029" s="6">
        <v>45.06</v>
      </c>
      <c r="Q3029" s="6">
        <v>74.12</v>
      </c>
      <c r="R3029" s="7">
        <v>45352</v>
      </c>
      <c r="S3029" s="6">
        <v>154.69</v>
      </c>
      <c r="T3029" s="6">
        <v>1.34</v>
      </c>
      <c r="U3029" s="7">
        <v>45352</v>
      </c>
      <c r="V3029" s="6">
        <v>21.75</v>
      </c>
      <c r="W3029" s="6">
        <f ca="1">IFERROR(__xludf.DUMMYFUNCTION("IFERROR(GOOGLEFINANCE(B3029,""pe""),V3029)"),21.75)</f>
        <v>21.75</v>
      </c>
      <c r="X3029" s="9"/>
      <c r="Y3029" s="6">
        <v>1.01</v>
      </c>
      <c r="Z3029" s="6">
        <v>1</v>
      </c>
      <c r="AA3029" s="8">
        <v>45352</v>
      </c>
      <c r="AB3029" s="4">
        <v>1.21</v>
      </c>
      <c r="AC3029" s="6">
        <v>4.76</v>
      </c>
      <c r="AD3029" s="6">
        <v>6.81</v>
      </c>
      <c r="AE3029" s="1">
        <v>0</v>
      </c>
      <c r="AF3029" s="1">
        <f ca="1">IFERROR(__xludf.DUMMYFUNCTION("IFERROR(GOOGLEFINANCE(TRIM(F3029)&amp;"":"" &amp; TRIM(B3029),""high52""),AE3029)"),0)</f>
        <v>0</v>
      </c>
      <c r="AG3029" s="1">
        <v>0</v>
      </c>
      <c r="AH3029" s="1">
        <f ca="1">IFERROR(__xludf.DUMMYFUNCTION("IFERROR(GOOGLEFINANCE(TRIM(F3029)&amp;"":"" &amp; TRIM(B3029),""low52""),AE3029)"),0)</f>
        <v>0</v>
      </c>
      <c r="AI3029" s="1">
        <f ca="1">IFERROR(__xludf.DUMMYFUNCTION("IFERROR(GOOGLEFINANCE(B3029,""eps""),0)"),0)</f>
        <v>0</v>
      </c>
      <c r="AJ3029" s="1"/>
      <c r="AK3029" s="1" t="s">
        <v>9340</v>
      </c>
      <c r="AL3029" s="9">
        <f>IF(AA3029&lt;&gt;AB3029,1,0)</f>
        <v>1</v>
      </c>
    </row>
    <row r="3030" spans="1:38" ht="15" x14ac:dyDescent="0.25">
      <c r="A3030" s="1" t="s">
        <v>9341</v>
      </c>
      <c r="B3030" s="1" t="s">
        <v>9342</v>
      </c>
      <c r="C3030" s="1" t="s">
        <v>90</v>
      </c>
      <c r="D3030" s="1" t="s">
        <v>90</v>
      </c>
      <c r="E3030" s="6">
        <v>9937.52</v>
      </c>
      <c r="F3030" s="1" t="s">
        <v>40</v>
      </c>
      <c r="G3030" s="6">
        <f ca="1">IFERROR(__xludf.DUMMYFUNCTION("iferror(GOOGLEFINANCE(TRIM(F3030)&amp;"":"" &amp; TRIM(B3030), ""price""),0
)"),210.02)</f>
        <v>210.02</v>
      </c>
      <c r="H3030" s="6">
        <v>697.05</v>
      </c>
      <c r="I3030" s="6">
        <f t="shared" ca="1" si="0"/>
        <v>210.02</v>
      </c>
      <c r="J3030" s="6">
        <f ca="1">IFERROR(__xludf.DUMMYFUNCTION("IFERROR(GOOGLEFINANCE(B3030, ""volume""), 0)"),278780)</f>
        <v>278780</v>
      </c>
      <c r="K3030" s="6">
        <v>4.33</v>
      </c>
      <c r="L3030" s="6">
        <f ca="1">IFERROR(__xludf.DUMMYFUNCTION("IFERROR(GOOGLEFINANCE(B3030,""changepct""),K3030)"),0)</f>
        <v>0</v>
      </c>
      <c r="M3030" s="6">
        <f ca="1">IFERROR(__xludf.DUMMYFUNCTION("IFERROR(GOOGLEFINANCE(B3030,""change""),0)"),0.01)</f>
        <v>0.01</v>
      </c>
      <c r="N3030" s="6">
        <v>2</v>
      </c>
      <c r="O3030" s="7">
        <v>45536</v>
      </c>
      <c r="P3030" s="6">
        <v>252.64</v>
      </c>
      <c r="Q3030" s="6">
        <v>9703.6</v>
      </c>
      <c r="R3030" s="7">
        <v>45536</v>
      </c>
      <c r="S3030" s="6">
        <v>19934.05</v>
      </c>
      <c r="T3030" s="6">
        <v>366.82</v>
      </c>
      <c r="U3030" s="7">
        <v>45536</v>
      </c>
      <c r="V3030" s="6">
        <v>28.04</v>
      </c>
      <c r="W3030" s="6">
        <f ca="1">IFERROR(__xludf.DUMMYFUNCTION("IFERROR(GOOGLEFINANCE(B3030,""pe""),V3030)"),50.98)</f>
        <v>50.98</v>
      </c>
      <c r="X3030" s="6">
        <v>8.2200000000000006</v>
      </c>
      <c r="Y3030" s="6">
        <v>3.41</v>
      </c>
      <c r="Z3030" s="6">
        <v>2</v>
      </c>
      <c r="AA3030" s="8">
        <v>45352</v>
      </c>
      <c r="AB3030" s="4">
        <v>0.14000000000000001</v>
      </c>
      <c r="AC3030" s="6">
        <v>10.78</v>
      </c>
      <c r="AD3030" s="6">
        <v>13.29</v>
      </c>
      <c r="AE3030" s="1">
        <v>0</v>
      </c>
      <c r="AF3030" s="1">
        <f ca="1">IFERROR(__xludf.DUMMYFUNCTION("IFERROR(GOOGLEFINANCE(TRIM(F3030)&amp;"":"" &amp; TRIM(B3030),""high52""),AE3030)"),379.05)</f>
        <v>379.05</v>
      </c>
      <c r="AG3030" s="1">
        <v>0</v>
      </c>
      <c r="AH3030" s="1">
        <f ca="1">IFERROR(__xludf.DUMMYFUNCTION("IFERROR(GOOGLEFINANCE(TRIM(F3030)&amp;"":"" &amp; TRIM(B3030),""low52""),AE3030)"),191)</f>
        <v>191</v>
      </c>
      <c r="AI3030" s="1">
        <f ca="1">IFERROR(__xludf.DUMMYFUNCTION("IFERROR(GOOGLEFINANCE(B3030,""eps""),0)"),4.12)</f>
        <v>4.12</v>
      </c>
      <c r="AJ3030" s="1"/>
      <c r="AK3030" s="9"/>
      <c r="AL3030" s="1" t="b">
        <f>ISBLANK(AB3030)</f>
        <v>0</v>
      </c>
    </row>
    <row r="3031" spans="1:38" ht="15" x14ac:dyDescent="0.25">
      <c r="A3031" s="1" t="s">
        <v>9343</v>
      </c>
      <c r="B3031" s="1" t="s">
        <v>9344</v>
      </c>
      <c r="C3031" s="1" t="s">
        <v>697</v>
      </c>
      <c r="D3031" s="1" t="s">
        <v>697</v>
      </c>
      <c r="E3031" s="6">
        <v>91.93</v>
      </c>
      <c r="F3031" s="1" t="s">
        <v>53</v>
      </c>
      <c r="G3031" s="6">
        <f ca="1">IFERROR(__xludf.DUMMYFUNCTION("iferror(GOOGLEFINANCE(TRIM(F3031)&amp;"":"" &amp; TRIM(B3031), ""price""),0
)"),0)</f>
        <v>0</v>
      </c>
      <c r="H3031" s="6">
        <v>22.5</v>
      </c>
      <c r="I3031" s="6">
        <f t="shared" ca="1" si="0"/>
        <v>22.5</v>
      </c>
      <c r="J3031" s="6">
        <f ca="1">IFERROR(__xludf.DUMMYFUNCTION("IFERROR(GOOGLEFINANCE(B3031, ""volume""), 0)"),0)</f>
        <v>0</v>
      </c>
      <c r="K3031" s="6">
        <v>-1.57</v>
      </c>
      <c r="L3031" s="6">
        <f ca="1">IFERROR(__xludf.DUMMYFUNCTION("IFERROR(GOOGLEFINANCE(B3031,""changepct""),K3031)"),-1.57)</f>
        <v>-1.57</v>
      </c>
      <c r="M3031" s="6">
        <f ca="1">IFERROR(__xludf.DUMMYFUNCTION("IFERROR(GOOGLEFINANCE(B3031,""change""),0)"),0)</f>
        <v>0</v>
      </c>
      <c r="N3031" s="6">
        <v>1</v>
      </c>
      <c r="O3031" s="7">
        <v>45536</v>
      </c>
      <c r="P3031" s="6">
        <v>35.619999999999997</v>
      </c>
      <c r="Q3031" s="6">
        <v>127.47</v>
      </c>
      <c r="R3031" s="7">
        <v>45536</v>
      </c>
      <c r="S3031" s="6">
        <v>41.46</v>
      </c>
      <c r="T3031" s="6">
        <v>2.64</v>
      </c>
      <c r="U3031" s="7">
        <v>45536</v>
      </c>
      <c r="V3031" s="6">
        <v>34.86</v>
      </c>
      <c r="W3031" s="6">
        <f ca="1">IFERROR(__xludf.DUMMYFUNCTION("IFERROR(GOOGLEFINANCE(B3031,""pe""),V3031)"),34.86)</f>
        <v>34.86</v>
      </c>
      <c r="X3031" s="6">
        <v>-1.42</v>
      </c>
      <c r="Y3031" s="6">
        <v>3.18</v>
      </c>
      <c r="Z3031" s="6">
        <v>1</v>
      </c>
      <c r="AA3031" s="8">
        <v>45352</v>
      </c>
      <c r="AB3031" s="4">
        <v>1.45</v>
      </c>
      <c r="AC3031" s="6">
        <v>5.04</v>
      </c>
      <c r="AD3031" s="6">
        <v>6.35</v>
      </c>
      <c r="AE3031" s="1">
        <v>0</v>
      </c>
      <c r="AF3031" s="1">
        <f ca="1">IFERROR(__xludf.DUMMYFUNCTION("IFERROR(GOOGLEFINANCE(TRIM(F3031)&amp;"":"" &amp; TRIM(B3031),""high52""),AE3031)"),0)</f>
        <v>0</v>
      </c>
      <c r="AG3031" s="1">
        <v>0</v>
      </c>
      <c r="AH3031" s="1">
        <f ca="1">IFERROR(__xludf.DUMMYFUNCTION("IFERROR(GOOGLEFINANCE(TRIM(F3031)&amp;"":"" &amp; TRIM(B3031),""low52""),AE3031)"),0)</f>
        <v>0</v>
      </c>
      <c r="AI3031" s="1">
        <f ca="1">IFERROR(__xludf.DUMMYFUNCTION("IFERROR(GOOGLEFINANCE(B3031,""eps""),0)"),0)</f>
        <v>0</v>
      </c>
      <c r="AJ3031" s="1"/>
      <c r="AK3031" s="1" t="s">
        <v>9345</v>
      </c>
      <c r="AL3031" s="9">
        <f t="shared" ref="AL3031:AL3050" si="295">IF(AA3031&lt;&gt;AB3031,1,0)</f>
        <v>1</v>
      </c>
    </row>
    <row r="3032" spans="1:38" ht="15" x14ac:dyDescent="0.25">
      <c r="A3032" s="1" t="s">
        <v>9346</v>
      </c>
      <c r="B3032" s="1" t="s">
        <v>9347</v>
      </c>
      <c r="C3032" s="1" t="s">
        <v>697</v>
      </c>
      <c r="D3032" s="1" t="s">
        <v>697</v>
      </c>
      <c r="E3032" s="6">
        <v>891.82</v>
      </c>
      <c r="F3032" s="1" t="s">
        <v>53</v>
      </c>
      <c r="G3032" s="6">
        <f ca="1">IFERROR(__xludf.DUMMYFUNCTION("iferror(GOOGLEFINANCE(TRIM(F3032)&amp;"":"" &amp; TRIM(B3032), ""price""),0
)"),0)</f>
        <v>0</v>
      </c>
      <c r="H3032" s="6">
        <v>1596.6</v>
      </c>
      <c r="I3032" s="6">
        <f t="shared" ca="1" si="0"/>
        <v>1596.6</v>
      </c>
      <c r="J3032" s="6">
        <f ca="1">IFERROR(__xludf.DUMMYFUNCTION("IFERROR(GOOGLEFINANCE(B3032, ""volume""), 0)"),0)</f>
        <v>0</v>
      </c>
      <c r="K3032" s="6">
        <v>0</v>
      </c>
      <c r="L3032" s="6">
        <f ca="1">IFERROR(__xludf.DUMMYFUNCTION("IFERROR(GOOGLEFINANCE(B3032,""changepct""),K3032)"),0)</f>
        <v>0</v>
      </c>
      <c r="M3032" s="6">
        <f ca="1">IFERROR(__xludf.DUMMYFUNCTION("IFERROR(GOOGLEFINANCE(B3032,""change""),0)"),0)</f>
        <v>0</v>
      </c>
      <c r="N3032" s="6">
        <v>2</v>
      </c>
      <c r="O3032" s="7">
        <v>45536</v>
      </c>
      <c r="P3032" s="6">
        <v>34.43</v>
      </c>
      <c r="Q3032" s="6">
        <v>869.58</v>
      </c>
      <c r="R3032" s="7">
        <v>45536</v>
      </c>
      <c r="S3032" s="6">
        <v>611.08000000000004</v>
      </c>
      <c r="T3032" s="6">
        <v>38.549999999999997</v>
      </c>
      <c r="U3032" s="7">
        <v>45536</v>
      </c>
      <c r="V3032" s="6">
        <v>23.13</v>
      </c>
      <c r="W3032" s="6">
        <f ca="1">IFERROR(__xludf.DUMMYFUNCTION("IFERROR(GOOGLEFINANCE(B3032,""pe""),V3032)"),23.13)</f>
        <v>23.13</v>
      </c>
      <c r="X3032" s="6">
        <v>-2.29</v>
      </c>
      <c r="Y3032" s="6">
        <v>1.1299999999999999</v>
      </c>
      <c r="Z3032" s="6">
        <v>2</v>
      </c>
      <c r="AA3032" s="8">
        <v>45352</v>
      </c>
      <c r="AB3032" s="4">
        <v>7.0000000000000007E-2</v>
      </c>
      <c r="AC3032" s="6">
        <v>6.12</v>
      </c>
      <c r="AD3032" s="6">
        <v>10.11</v>
      </c>
      <c r="AE3032" s="1">
        <v>0</v>
      </c>
      <c r="AF3032" s="1">
        <f ca="1">IFERROR(__xludf.DUMMYFUNCTION("IFERROR(GOOGLEFINANCE(TRIM(F3032)&amp;"":"" &amp; TRIM(B3032),""high52""),AE3032)"),0)</f>
        <v>0</v>
      </c>
      <c r="AG3032" s="1">
        <v>0</v>
      </c>
      <c r="AH3032" s="1">
        <f ca="1">IFERROR(__xludf.DUMMYFUNCTION("IFERROR(GOOGLEFINANCE(TRIM(F3032)&amp;"":"" &amp; TRIM(B3032),""low52""),AE3032)"),0)</f>
        <v>0</v>
      </c>
      <c r="AI3032" s="1">
        <f ca="1">IFERROR(__xludf.DUMMYFUNCTION("IFERROR(GOOGLEFINANCE(B3032,""eps""),0)"),0)</f>
        <v>0</v>
      </c>
      <c r="AJ3032" s="1"/>
      <c r="AK3032" s="6">
        <v>32.42</v>
      </c>
      <c r="AL3032" s="9">
        <f t="shared" si="295"/>
        <v>1</v>
      </c>
    </row>
    <row r="3033" spans="1:38" ht="15" x14ac:dyDescent="0.25">
      <c r="A3033" s="1" t="s">
        <v>9348</v>
      </c>
      <c r="B3033" s="1" t="s">
        <v>9349</v>
      </c>
      <c r="C3033" s="1" t="s">
        <v>106</v>
      </c>
      <c r="D3033" s="1" t="s">
        <v>106</v>
      </c>
      <c r="E3033" s="6">
        <v>210.17</v>
      </c>
      <c r="F3033" s="1" t="s">
        <v>40</v>
      </c>
      <c r="G3033" s="6">
        <f ca="1">IFERROR(__xludf.DUMMYFUNCTION("iferror(GOOGLEFINANCE(TRIM(F3033)&amp;"":"" &amp; TRIM(B3033), ""price""),0
)"),0)</f>
        <v>0</v>
      </c>
      <c r="H3033" s="6">
        <v>137.80000000000001</v>
      </c>
      <c r="I3033" s="6">
        <f t="shared" ca="1" si="0"/>
        <v>137.80000000000001</v>
      </c>
      <c r="J3033" s="6">
        <f ca="1">IFERROR(__xludf.DUMMYFUNCTION("IFERROR(GOOGLEFINANCE(B3033, ""volume""), 0)"),0)</f>
        <v>0</v>
      </c>
      <c r="K3033" s="6">
        <v>7.45</v>
      </c>
      <c r="L3033" s="6">
        <f ca="1">IFERROR(__xludf.DUMMYFUNCTION("IFERROR(GOOGLEFINANCE(B3033,""changepct""),K3033)"),7.45)</f>
        <v>7.45</v>
      </c>
      <c r="M3033" s="6">
        <f ca="1">IFERROR(__xludf.DUMMYFUNCTION("IFERROR(GOOGLEFINANCE(B3033,""change""),0)"),0)</f>
        <v>0</v>
      </c>
      <c r="N3033" s="6">
        <v>1</v>
      </c>
      <c r="O3033" s="7">
        <v>45536</v>
      </c>
      <c r="P3033" s="6">
        <v>9.86</v>
      </c>
      <c r="Q3033" s="6">
        <v>220.02</v>
      </c>
      <c r="R3033" s="7">
        <v>45352</v>
      </c>
      <c r="S3033" s="6">
        <v>82.56</v>
      </c>
      <c r="T3033" s="6">
        <v>10.09</v>
      </c>
      <c r="U3033" s="7">
        <v>45352</v>
      </c>
      <c r="V3033" s="6">
        <v>20.82</v>
      </c>
      <c r="W3033" s="6">
        <f ca="1">IFERROR(__xludf.DUMMYFUNCTION("IFERROR(GOOGLEFINANCE(B3033,""pe""),V3033)"),20.82)</f>
        <v>20.82</v>
      </c>
      <c r="X3033" s="12"/>
      <c r="Y3033" s="6">
        <v>2.93</v>
      </c>
      <c r="Z3033" s="6">
        <v>1</v>
      </c>
      <c r="AA3033" s="8">
        <v>45352</v>
      </c>
      <c r="AB3033" s="4">
        <v>0.18</v>
      </c>
      <c r="AC3033" s="6">
        <v>46.15</v>
      </c>
      <c r="AD3033" s="6">
        <v>57.48</v>
      </c>
      <c r="AE3033" s="1">
        <v>0</v>
      </c>
      <c r="AF3033" s="1">
        <f ca="1">IFERROR(__xludf.DUMMYFUNCTION("IFERROR(GOOGLEFINANCE(TRIM(F3033)&amp;"":"" &amp; TRIM(B3033),""high52""),AE3033)"),0)</f>
        <v>0</v>
      </c>
      <c r="AG3033" s="1">
        <v>0</v>
      </c>
      <c r="AH3033" s="1">
        <f ca="1">IFERROR(__xludf.DUMMYFUNCTION("IFERROR(GOOGLEFINANCE(TRIM(F3033)&amp;"":"" &amp; TRIM(B3033),""low52""),AE3033)"),0)</f>
        <v>0</v>
      </c>
      <c r="AI3033" s="1">
        <f ca="1">IFERROR(__xludf.DUMMYFUNCTION("IFERROR(GOOGLEFINANCE(B3033,""eps""),0)"),0)</f>
        <v>0</v>
      </c>
      <c r="AJ3033" s="1"/>
      <c r="AK3033" s="1" t="s">
        <v>9350</v>
      </c>
      <c r="AL3033" s="9">
        <f t="shared" si="295"/>
        <v>1</v>
      </c>
    </row>
    <row r="3034" spans="1:38" ht="15" x14ac:dyDescent="0.25">
      <c r="A3034" s="1" t="s">
        <v>9351</v>
      </c>
      <c r="B3034" s="1" t="s">
        <v>9352</v>
      </c>
      <c r="C3034" s="1" t="s">
        <v>470</v>
      </c>
      <c r="D3034" s="1" t="s">
        <v>470</v>
      </c>
      <c r="E3034" s="6">
        <v>53.67</v>
      </c>
      <c r="F3034" s="1" t="s">
        <v>53</v>
      </c>
      <c r="G3034" s="6">
        <f ca="1">IFERROR(__xludf.DUMMYFUNCTION("iferror(GOOGLEFINANCE(TRIM(F3034)&amp;"":"" &amp; TRIM(B3034), ""price""),0
)"),0)</f>
        <v>0</v>
      </c>
      <c r="H3034" s="6">
        <v>114.2</v>
      </c>
      <c r="I3034" s="6">
        <f t="shared" ca="1" si="0"/>
        <v>114.2</v>
      </c>
      <c r="J3034" s="6">
        <f ca="1">IFERROR(__xludf.DUMMYFUNCTION("IFERROR(GOOGLEFINANCE(B3034, ""volume""), 0)"),0)</f>
        <v>0</v>
      </c>
      <c r="K3034" s="6">
        <v>0</v>
      </c>
      <c r="L3034" s="6">
        <f ca="1">IFERROR(__xludf.DUMMYFUNCTION("IFERROR(GOOGLEFINANCE(B3034,""changepct""),K3034)"),0)</f>
        <v>0</v>
      </c>
      <c r="M3034" s="6">
        <f ca="1">IFERROR(__xludf.DUMMYFUNCTION("IFERROR(GOOGLEFINANCE(B3034,""change""),0)"),0)</f>
        <v>0</v>
      </c>
      <c r="N3034" s="6">
        <v>1</v>
      </c>
      <c r="O3034" s="7">
        <v>45536</v>
      </c>
      <c r="P3034" s="6">
        <v>5.61</v>
      </c>
      <c r="Q3034" s="6">
        <v>59.29</v>
      </c>
      <c r="R3034" s="7">
        <v>45352</v>
      </c>
      <c r="S3034" s="6">
        <v>8.32</v>
      </c>
      <c r="T3034" s="6">
        <v>1.18</v>
      </c>
      <c r="U3034" s="7">
        <v>45352</v>
      </c>
      <c r="V3034" s="6">
        <v>45.37</v>
      </c>
      <c r="W3034" s="6">
        <f ca="1">IFERROR(__xludf.DUMMYFUNCTION("IFERROR(GOOGLEFINANCE(B3034,""pe""),V3034)"),45.37)</f>
        <v>45.37</v>
      </c>
      <c r="X3034" s="12"/>
      <c r="Y3034" s="6">
        <v>4.59</v>
      </c>
      <c r="Z3034" s="6">
        <v>1</v>
      </c>
      <c r="AA3034" s="8">
        <v>45352</v>
      </c>
      <c r="AB3034" s="4">
        <v>0.84</v>
      </c>
      <c r="AC3034" s="6">
        <v>21.95</v>
      </c>
      <c r="AD3034" s="6">
        <v>19.28</v>
      </c>
      <c r="AE3034" s="1">
        <v>0</v>
      </c>
      <c r="AF3034" s="1">
        <f ca="1">IFERROR(__xludf.DUMMYFUNCTION("IFERROR(GOOGLEFINANCE(TRIM(F3034)&amp;"":"" &amp; TRIM(B3034),""high52""),AE3034)"),0)</f>
        <v>0</v>
      </c>
      <c r="AG3034" s="1">
        <v>0</v>
      </c>
      <c r="AH3034" s="1">
        <f ca="1">IFERROR(__xludf.DUMMYFUNCTION("IFERROR(GOOGLEFINANCE(TRIM(F3034)&amp;"":"" &amp; TRIM(B3034),""low52""),AE3034)"),0)</f>
        <v>0</v>
      </c>
      <c r="AI3034" s="1">
        <f ca="1">IFERROR(__xludf.DUMMYFUNCTION("IFERROR(GOOGLEFINANCE(B3034,""eps""),0)"),0)</f>
        <v>0</v>
      </c>
      <c r="AJ3034" s="1"/>
      <c r="AK3034" s="1" t="s">
        <v>9353</v>
      </c>
      <c r="AL3034" s="9">
        <f t="shared" si="295"/>
        <v>1</v>
      </c>
    </row>
    <row r="3035" spans="1:38" ht="15" x14ac:dyDescent="0.25">
      <c r="A3035" s="1" t="s">
        <v>9354</v>
      </c>
      <c r="B3035" s="1" t="s">
        <v>9355</v>
      </c>
      <c r="C3035" s="1" t="s">
        <v>57</v>
      </c>
      <c r="D3035" s="1" t="s">
        <v>57</v>
      </c>
      <c r="E3035" s="6">
        <v>3494.65</v>
      </c>
      <c r="F3035" s="1" t="s">
        <v>40</v>
      </c>
      <c r="G3035" s="6">
        <f ca="1">IFERROR(__xludf.DUMMYFUNCTION("iferror(GOOGLEFINANCE(TRIM(F3035)&amp;"":"" &amp; TRIM(B3035), ""price""),0
)"),181.99)</f>
        <v>181.99</v>
      </c>
      <c r="H3035" s="6">
        <v>646.5</v>
      </c>
      <c r="I3035" s="6">
        <f t="shared" ca="1" si="0"/>
        <v>181.99</v>
      </c>
      <c r="J3035" s="6">
        <f ca="1">IFERROR(__xludf.DUMMYFUNCTION("IFERROR(GOOGLEFINANCE(B3035, ""volume""), 0)"),187840)</f>
        <v>187840</v>
      </c>
      <c r="K3035" s="6">
        <v>-0.28999999999999998</v>
      </c>
      <c r="L3035" s="6">
        <f ca="1">IFERROR(__xludf.DUMMYFUNCTION("IFERROR(GOOGLEFINANCE(B3035,""changepct""),K3035)"),-0.57)</f>
        <v>-0.56999999999999995</v>
      </c>
      <c r="M3035" s="6">
        <f ca="1">IFERROR(__xludf.DUMMYFUNCTION("IFERROR(GOOGLEFINANCE(B3035,""change""),0)"),-1.04)</f>
        <v>-1.04</v>
      </c>
      <c r="N3035" s="6">
        <v>2</v>
      </c>
      <c r="O3035" s="7">
        <v>45536</v>
      </c>
      <c r="P3035" s="12"/>
      <c r="Q3035" s="6">
        <v>3481.65</v>
      </c>
      <c r="R3035" s="7">
        <v>45536</v>
      </c>
      <c r="S3035" s="6">
        <v>305.73</v>
      </c>
      <c r="T3035" s="6">
        <v>32.28</v>
      </c>
      <c r="U3035" s="7">
        <v>45536</v>
      </c>
      <c r="V3035" s="6">
        <v>108.26</v>
      </c>
      <c r="W3035" s="6">
        <f ca="1">IFERROR(__xludf.DUMMYFUNCTION("IFERROR(GOOGLEFINANCE(B3035,""pe""),V3035)"),108.26)</f>
        <v>108.26</v>
      </c>
      <c r="X3035" s="6">
        <v>-4.63</v>
      </c>
      <c r="Y3035" s="6">
        <v>8.01</v>
      </c>
      <c r="Z3035" s="6">
        <v>2</v>
      </c>
      <c r="AA3035" s="8">
        <v>45352</v>
      </c>
      <c r="AB3035" s="4">
        <v>0</v>
      </c>
      <c r="AC3035" s="6">
        <v>5.79</v>
      </c>
      <c r="AD3035" s="6">
        <v>6.15</v>
      </c>
      <c r="AE3035" s="1">
        <v>0</v>
      </c>
      <c r="AF3035" s="1">
        <f ca="1">IFERROR(__xludf.DUMMYFUNCTION("IFERROR(GOOGLEFINANCE(TRIM(F3035)&amp;"":"" &amp; TRIM(B3035),""high52""),AE3035)"),472)</f>
        <v>472</v>
      </c>
      <c r="AG3035" s="1">
        <v>0</v>
      </c>
      <c r="AH3035" s="1">
        <f ca="1">IFERROR(__xludf.DUMMYFUNCTION("IFERROR(GOOGLEFINANCE(TRIM(F3035)&amp;"":"" &amp; TRIM(B3035),""low52""),AE3035)"),173)</f>
        <v>173</v>
      </c>
      <c r="AI3035" s="1">
        <f ca="1">IFERROR(__xludf.DUMMYFUNCTION("IFERROR(GOOGLEFINANCE(B3035,""eps""),0)"),-0.17)</f>
        <v>-0.17</v>
      </c>
      <c r="AJ3035" s="1"/>
      <c r="AK3035" s="1" t="s">
        <v>9356</v>
      </c>
      <c r="AL3035" s="9">
        <f t="shared" si="295"/>
        <v>1</v>
      </c>
    </row>
    <row r="3036" spans="1:38" ht="15" x14ac:dyDescent="0.25">
      <c r="A3036" s="1" t="s">
        <v>9357</v>
      </c>
      <c r="B3036" s="1" t="s">
        <v>9358</v>
      </c>
      <c r="C3036" s="1" t="s">
        <v>470</v>
      </c>
      <c r="D3036" s="1" t="s">
        <v>470</v>
      </c>
      <c r="E3036" s="6">
        <v>31.14</v>
      </c>
      <c r="F3036" s="1" t="s">
        <v>53</v>
      </c>
      <c r="G3036" s="6">
        <f ca="1">IFERROR(__xludf.DUMMYFUNCTION("iferror(GOOGLEFINANCE(TRIM(F3036)&amp;"":"" &amp; TRIM(B3036), ""price""),0
)"),0)</f>
        <v>0</v>
      </c>
      <c r="H3036" s="6">
        <v>15.99</v>
      </c>
      <c r="I3036" s="6">
        <f t="shared" ca="1" si="0"/>
        <v>15.99</v>
      </c>
      <c r="J3036" s="6">
        <f ca="1">IFERROR(__xludf.DUMMYFUNCTION("IFERROR(GOOGLEFINANCE(B3036, ""volume""), 0)"),0)</f>
        <v>0</v>
      </c>
      <c r="K3036" s="6">
        <v>0.63</v>
      </c>
      <c r="L3036" s="6">
        <f ca="1">IFERROR(__xludf.DUMMYFUNCTION("IFERROR(GOOGLEFINANCE(B3036,""changepct""),K3036)"),0.63)</f>
        <v>0.63</v>
      </c>
      <c r="M3036" s="6">
        <f ca="1">IFERROR(__xludf.DUMMYFUNCTION("IFERROR(GOOGLEFINANCE(B3036,""change""),0)"),0)</f>
        <v>0</v>
      </c>
      <c r="N3036" s="6">
        <v>1</v>
      </c>
      <c r="O3036" s="7">
        <v>45536</v>
      </c>
      <c r="P3036" s="6">
        <v>123.64</v>
      </c>
      <c r="Q3036" s="6">
        <v>125.76</v>
      </c>
      <c r="R3036" s="7">
        <v>45536</v>
      </c>
      <c r="S3036" s="6">
        <v>0</v>
      </c>
      <c r="T3036" s="6">
        <v>1.3</v>
      </c>
      <c r="U3036" s="7">
        <v>45536</v>
      </c>
      <c r="V3036" s="6">
        <v>23.88</v>
      </c>
      <c r="W3036" s="6">
        <f ca="1">IFERROR(__xludf.DUMMYFUNCTION("IFERROR(GOOGLEFINANCE(B3036,""pe""),V3036)"),23.88)</f>
        <v>23.88</v>
      </c>
      <c r="X3036" s="6">
        <v>0.72</v>
      </c>
      <c r="Y3036" s="6">
        <v>-0.28000000000000003</v>
      </c>
      <c r="Z3036" s="6">
        <v>1</v>
      </c>
      <c r="AA3036" s="8">
        <v>45352</v>
      </c>
      <c r="AB3036" s="4">
        <v>-1.1000000000000001</v>
      </c>
      <c r="AC3036" s="6">
        <v>0</v>
      </c>
      <c r="AD3036" s="6">
        <v>11.83</v>
      </c>
      <c r="AE3036" s="1">
        <v>0</v>
      </c>
      <c r="AF3036" s="1">
        <f ca="1">IFERROR(__xludf.DUMMYFUNCTION("IFERROR(GOOGLEFINANCE(TRIM(F3036)&amp;"":"" &amp; TRIM(B3036),""high52""),AE3036)"),0)</f>
        <v>0</v>
      </c>
      <c r="AG3036" s="1">
        <v>0</v>
      </c>
      <c r="AH3036" s="1">
        <f ca="1">IFERROR(__xludf.DUMMYFUNCTION("IFERROR(GOOGLEFINANCE(TRIM(F3036)&amp;"":"" &amp; TRIM(B3036),""low52""),AE3036)"),0)</f>
        <v>0</v>
      </c>
      <c r="AI3036" s="1">
        <f ca="1">IFERROR(__xludf.DUMMYFUNCTION("IFERROR(GOOGLEFINANCE(B3036,""eps""),0)"),0)</f>
        <v>0</v>
      </c>
      <c r="AJ3036" s="1"/>
      <c r="AK3036" s="1" t="s">
        <v>9359</v>
      </c>
      <c r="AL3036" s="9">
        <f t="shared" si="295"/>
        <v>1</v>
      </c>
    </row>
    <row r="3037" spans="1:38" ht="15" x14ac:dyDescent="0.25">
      <c r="A3037" s="1" t="s">
        <v>9360</v>
      </c>
      <c r="B3037" s="1" t="s">
        <v>9361</v>
      </c>
      <c r="C3037" s="1" t="s">
        <v>57</v>
      </c>
      <c r="D3037" s="1" t="s">
        <v>57</v>
      </c>
      <c r="E3037" s="6">
        <v>101.45</v>
      </c>
      <c r="F3037" s="1" t="s">
        <v>40</v>
      </c>
      <c r="G3037" s="6">
        <f ca="1">IFERROR(__xludf.DUMMYFUNCTION("iferror(GOOGLEFINANCE(TRIM(F3037)&amp;"":"" &amp; TRIM(B3037), ""price""),0
)"),0)</f>
        <v>0</v>
      </c>
      <c r="H3037" s="6">
        <v>96</v>
      </c>
      <c r="I3037" s="6">
        <f t="shared" ca="1" si="0"/>
        <v>96</v>
      </c>
      <c r="J3037" s="6">
        <f ca="1">IFERROR(__xludf.DUMMYFUNCTION("IFERROR(GOOGLEFINANCE(B3037, ""volume""), 0)"),0)</f>
        <v>0</v>
      </c>
      <c r="K3037" s="6">
        <v>2.35</v>
      </c>
      <c r="L3037" s="6">
        <f ca="1">IFERROR(__xludf.DUMMYFUNCTION("IFERROR(GOOGLEFINANCE(B3037,""changepct""),K3037)"),2.35)</f>
        <v>2.35</v>
      </c>
      <c r="M3037" s="6">
        <f ca="1">IFERROR(__xludf.DUMMYFUNCTION("IFERROR(GOOGLEFINANCE(B3037,""change""),0)"),0)</f>
        <v>0</v>
      </c>
      <c r="N3037" s="6">
        <v>2</v>
      </c>
      <c r="O3037" s="7">
        <v>45536</v>
      </c>
      <c r="P3037" s="6">
        <v>10.89</v>
      </c>
      <c r="Q3037" s="6">
        <v>112.34</v>
      </c>
      <c r="R3037" s="7">
        <v>45352</v>
      </c>
      <c r="S3037" s="6">
        <v>122.16</v>
      </c>
      <c r="T3037" s="6">
        <v>6.73</v>
      </c>
      <c r="U3037" s="7">
        <v>45352</v>
      </c>
      <c r="V3037" s="6">
        <v>15.07</v>
      </c>
      <c r="W3037" s="6">
        <f ca="1">IFERROR(__xludf.DUMMYFUNCTION("IFERROR(GOOGLEFINANCE(B3037,""pe""),V3037)"),15.07)</f>
        <v>15.07</v>
      </c>
      <c r="X3037" s="9"/>
      <c r="Y3037" s="6">
        <v>0.88</v>
      </c>
      <c r="Z3037" s="6">
        <v>2</v>
      </c>
      <c r="AA3037" s="8">
        <v>45352</v>
      </c>
      <c r="AB3037" s="4">
        <v>0.79</v>
      </c>
      <c r="AC3037" s="6">
        <v>31.98</v>
      </c>
      <c r="AD3037" s="6">
        <v>15.25</v>
      </c>
      <c r="AE3037" s="1">
        <v>0</v>
      </c>
      <c r="AF3037" s="1">
        <f ca="1">IFERROR(__xludf.DUMMYFUNCTION("IFERROR(GOOGLEFINANCE(TRIM(F3037)&amp;"":"" &amp; TRIM(B3037),""high52""),AE3037)"),0)</f>
        <v>0</v>
      </c>
      <c r="AG3037" s="1">
        <v>0</v>
      </c>
      <c r="AH3037" s="1">
        <f ca="1">IFERROR(__xludf.DUMMYFUNCTION("IFERROR(GOOGLEFINANCE(TRIM(F3037)&amp;"":"" &amp; TRIM(B3037),""low52""),AE3037)"),0)</f>
        <v>0</v>
      </c>
      <c r="AI3037" s="1">
        <f ca="1">IFERROR(__xludf.DUMMYFUNCTION("IFERROR(GOOGLEFINANCE(B3037,""eps""),0)"),0)</f>
        <v>0</v>
      </c>
      <c r="AJ3037" s="1"/>
      <c r="AK3037" s="1" t="s">
        <v>9362</v>
      </c>
      <c r="AL3037" s="9">
        <f t="shared" si="295"/>
        <v>1</v>
      </c>
    </row>
    <row r="3038" spans="1:38" ht="15" x14ac:dyDescent="0.25">
      <c r="A3038" s="1" t="s">
        <v>9363</v>
      </c>
      <c r="B3038" s="1" t="s">
        <v>9364</v>
      </c>
      <c r="C3038" s="1" t="s">
        <v>470</v>
      </c>
      <c r="D3038" s="1" t="s">
        <v>470</v>
      </c>
      <c r="E3038" s="6">
        <v>430.03</v>
      </c>
      <c r="F3038" s="1" t="s">
        <v>53</v>
      </c>
      <c r="G3038" s="6">
        <f ca="1">IFERROR(__xludf.DUMMYFUNCTION("iferror(GOOGLEFINANCE(TRIM(F3038)&amp;"":"" &amp; TRIM(B3038), ""price""),0
)"),0)</f>
        <v>0</v>
      </c>
      <c r="H3038" s="6">
        <v>340.1</v>
      </c>
      <c r="I3038" s="6">
        <f t="shared" ca="1" si="0"/>
        <v>340.1</v>
      </c>
      <c r="J3038" s="6">
        <f ca="1">IFERROR(__xludf.DUMMYFUNCTION("IFERROR(GOOGLEFINANCE(B3038, ""volume""), 0)"),0)</f>
        <v>0</v>
      </c>
      <c r="K3038" s="6">
        <v>-0.19</v>
      </c>
      <c r="L3038" s="6">
        <f ca="1">IFERROR(__xludf.DUMMYFUNCTION("IFERROR(GOOGLEFINANCE(B3038,""changepct""),K3038)"),-0.19)</f>
        <v>-0.19</v>
      </c>
      <c r="M3038" s="6">
        <f ca="1">IFERROR(__xludf.DUMMYFUNCTION("IFERROR(GOOGLEFINANCE(B3038,""change""),0)"),0)</f>
        <v>0</v>
      </c>
      <c r="N3038" s="6">
        <v>1</v>
      </c>
      <c r="O3038" s="7">
        <v>45536</v>
      </c>
      <c r="P3038" s="9"/>
      <c r="Q3038" s="6">
        <v>315.88</v>
      </c>
      <c r="R3038" s="7">
        <v>45536</v>
      </c>
      <c r="S3038" s="6">
        <v>68.040000000000006</v>
      </c>
      <c r="T3038" s="6">
        <v>14.91</v>
      </c>
      <c r="U3038" s="7">
        <v>45536</v>
      </c>
      <c r="V3038" s="6">
        <v>28.83</v>
      </c>
      <c r="W3038" s="6">
        <f ca="1">IFERROR(__xludf.DUMMYFUNCTION("IFERROR(GOOGLEFINANCE(B3038,""pe""),V3038)"),28.83)</f>
        <v>28.83</v>
      </c>
      <c r="X3038" s="6">
        <v>-4.66</v>
      </c>
      <c r="Y3038" s="6">
        <v>3.09</v>
      </c>
      <c r="Z3038" s="6">
        <v>1</v>
      </c>
      <c r="AA3038" s="8">
        <v>45352</v>
      </c>
      <c r="AB3038" s="4">
        <v>0</v>
      </c>
      <c r="AC3038" s="6">
        <v>8.56</v>
      </c>
      <c r="AD3038" s="6">
        <v>11.61</v>
      </c>
      <c r="AE3038" s="1">
        <v>0</v>
      </c>
      <c r="AF3038" s="1">
        <f ca="1">IFERROR(__xludf.DUMMYFUNCTION("IFERROR(GOOGLEFINANCE(TRIM(F3038)&amp;"":"" &amp; TRIM(B3038),""high52""),AE3038)"),0)</f>
        <v>0</v>
      </c>
      <c r="AG3038" s="1">
        <v>0</v>
      </c>
      <c r="AH3038" s="1">
        <f ca="1">IFERROR(__xludf.DUMMYFUNCTION("IFERROR(GOOGLEFINANCE(TRIM(F3038)&amp;"":"" &amp; TRIM(B3038),""low52""),AE3038)"),0)</f>
        <v>0</v>
      </c>
      <c r="AI3038" s="1">
        <f ca="1">IFERROR(__xludf.DUMMYFUNCTION("IFERROR(GOOGLEFINANCE(B3038,""eps""),0)"),0)</f>
        <v>0</v>
      </c>
      <c r="AJ3038" s="1"/>
      <c r="AK3038" s="1" t="s">
        <v>9365</v>
      </c>
      <c r="AL3038" s="9">
        <f t="shared" si="295"/>
        <v>1</v>
      </c>
    </row>
    <row r="3039" spans="1:38" ht="15" x14ac:dyDescent="0.25">
      <c r="A3039" s="1" t="s">
        <v>9366</v>
      </c>
      <c r="B3039" s="1" t="s">
        <v>9367</v>
      </c>
      <c r="C3039" s="1" t="s">
        <v>57</v>
      </c>
      <c r="D3039" s="1" t="s">
        <v>57</v>
      </c>
      <c r="E3039" s="6">
        <v>5.42</v>
      </c>
      <c r="F3039" s="1" t="s">
        <v>40</v>
      </c>
      <c r="G3039" s="6">
        <f ca="1">IFERROR(__xludf.DUMMYFUNCTION("iferror(GOOGLEFINANCE(TRIM(F3039)&amp;"":"" &amp; TRIM(B3039), ""price""),0
)"),1.35)</f>
        <v>1.35</v>
      </c>
      <c r="H3039" s="6">
        <v>2.3199999999999998</v>
      </c>
      <c r="I3039" s="6">
        <f t="shared" ca="1" si="0"/>
        <v>1.35</v>
      </c>
      <c r="J3039" s="6">
        <f ca="1">IFERROR(__xludf.DUMMYFUNCTION("IFERROR(GOOGLEFINANCE(B3039, ""volume""), 0)"),2241)</f>
        <v>2241</v>
      </c>
      <c r="K3039" s="9"/>
      <c r="L3039" s="6">
        <f ca="1">IFERROR(__xludf.DUMMYFUNCTION("IFERROR(GOOGLEFINANCE(B3039,""changepct""),K3039)"),0)</f>
        <v>0</v>
      </c>
      <c r="M3039" s="6">
        <f ca="1">IFERROR(__xludf.DUMMYFUNCTION("IFERROR(GOOGLEFINANCE(B3039,""change""),0)"),0)</f>
        <v>0</v>
      </c>
      <c r="N3039" s="6">
        <v>1</v>
      </c>
      <c r="O3039" s="7">
        <v>45536</v>
      </c>
      <c r="P3039" s="6">
        <v>13.23</v>
      </c>
      <c r="Q3039" s="6">
        <v>18.649999999999999</v>
      </c>
      <c r="R3039" s="7">
        <v>45536</v>
      </c>
      <c r="S3039" s="6">
        <v>0</v>
      </c>
      <c r="T3039" s="6">
        <v>-0.05</v>
      </c>
      <c r="U3039" s="7">
        <v>45536</v>
      </c>
      <c r="V3039" s="6">
        <v>0</v>
      </c>
      <c r="W3039" s="6">
        <f ca="1">IFERROR(__xludf.DUMMYFUNCTION("IFERROR(GOOGLEFINANCE(B3039,""pe""),V3039)"),0)</f>
        <v>0</v>
      </c>
      <c r="X3039" s="6">
        <v>0</v>
      </c>
      <c r="Y3039" s="6">
        <v>-0.42</v>
      </c>
      <c r="Z3039" s="6">
        <v>1</v>
      </c>
      <c r="AA3039" s="8">
        <v>45352</v>
      </c>
      <c r="AB3039" s="4">
        <v>-1.02</v>
      </c>
      <c r="AC3039" s="6">
        <v>0</v>
      </c>
      <c r="AD3039" s="6">
        <v>-50.17</v>
      </c>
      <c r="AE3039" s="1">
        <v>0</v>
      </c>
      <c r="AF3039" s="1">
        <f ca="1">IFERROR(__xludf.DUMMYFUNCTION("IFERROR(GOOGLEFINANCE(TRIM(F3039)&amp;"":"" &amp; TRIM(B3039),""high52""),AE3039)"),2.4)</f>
        <v>2.4</v>
      </c>
      <c r="AG3039" s="1">
        <v>0</v>
      </c>
      <c r="AH3039" s="1">
        <f ca="1">IFERROR(__xludf.DUMMYFUNCTION("IFERROR(GOOGLEFINANCE(TRIM(F3039)&amp;"":"" &amp; TRIM(B3039),""low52""),AE3039)"),1.33)</f>
        <v>1.33</v>
      </c>
      <c r="AI3039" s="1">
        <f ca="1">IFERROR(__xludf.DUMMYFUNCTION("IFERROR(GOOGLEFINANCE(B3039,""eps""),0)"),-0.04)</f>
        <v>-0.04</v>
      </c>
      <c r="AJ3039" s="1"/>
      <c r="AK3039" s="1" t="s">
        <v>9368</v>
      </c>
      <c r="AL3039" s="9">
        <f t="shared" si="295"/>
        <v>1</v>
      </c>
    </row>
    <row r="3040" spans="1:38" ht="15" x14ac:dyDescent="0.25">
      <c r="A3040" s="1" t="s">
        <v>9369</v>
      </c>
      <c r="B3040" s="1" t="s">
        <v>9370</v>
      </c>
      <c r="C3040" s="1" t="s">
        <v>470</v>
      </c>
      <c r="D3040" s="1" t="s">
        <v>470</v>
      </c>
      <c r="E3040" s="6">
        <v>67.2</v>
      </c>
      <c r="F3040" s="1" t="s">
        <v>53</v>
      </c>
      <c r="G3040" s="6">
        <f ca="1">IFERROR(__xludf.DUMMYFUNCTION("iferror(GOOGLEFINANCE(TRIM(F3040)&amp;"":"" &amp; TRIM(B3040), ""price""),0
)"),0)</f>
        <v>0</v>
      </c>
      <c r="H3040" s="6">
        <v>4.2300000000000004</v>
      </c>
      <c r="I3040" s="6">
        <f t="shared" ca="1" si="0"/>
        <v>4.2300000000000004</v>
      </c>
      <c r="J3040" s="6">
        <f ca="1">IFERROR(__xludf.DUMMYFUNCTION("IFERROR(GOOGLEFINANCE(B3040, ""volume""), 0)"),0)</f>
        <v>0</v>
      </c>
      <c r="K3040" s="6">
        <v>2.67</v>
      </c>
      <c r="L3040" s="6">
        <f ca="1">IFERROR(__xludf.DUMMYFUNCTION("IFERROR(GOOGLEFINANCE(B3040,""changepct""),K3040)"),2.67)</f>
        <v>2.67</v>
      </c>
      <c r="M3040" s="6">
        <f ca="1">IFERROR(__xludf.DUMMYFUNCTION("IFERROR(GOOGLEFINANCE(B3040,""change""),0)"),0)</f>
        <v>0</v>
      </c>
      <c r="N3040" s="6">
        <v>1</v>
      </c>
      <c r="O3040" s="7">
        <v>45536</v>
      </c>
      <c r="P3040" s="6">
        <v>174.63</v>
      </c>
      <c r="Q3040" s="6">
        <v>241.83</v>
      </c>
      <c r="R3040" s="7">
        <v>45536</v>
      </c>
      <c r="S3040" s="6">
        <v>1.19</v>
      </c>
      <c r="T3040" s="6">
        <v>-1.01</v>
      </c>
      <c r="U3040" s="7">
        <v>45536</v>
      </c>
      <c r="V3040" s="6">
        <v>0</v>
      </c>
      <c r="W3040" s="6">
        <f ca="1">IFERROR(__xludf.DUMMYFUNCTION("IFERROR(GOOGLEFINANCE(B3040,""pe""),V3040)"),0)</f>
        <v>0</v>
      </c>
      <c r="X3040" s="6">
        <v>0</v>
      </c>
      <c r="Y3040" s="6">
        <v>0.25</v>
      </c>
      <c r="Z3040" s="6">
        <v>1</v>
      </c>
      <c r="AA3040" s="8">
        <v>45352</v>
      </c>
      <c r="AB3040" s="4">
        <v>0.65</v>
      </c>
      <c r="AC3040" s="6">
        <v>-0.81</v>
      </c>
      <c r="AD3040" s="6">
        <v>-0.49</v>
      </c>
      <c r="AE3040" s="1">
        <v>0</v>
      </c>
      <c r="AF3040" s="1">
        <f ca="1">IFERROR(__xludf.DUMMYFUNCTION("IFERROR(GOOGLEFINANCE(TRIM(F3040)&amp;"":"" &amp; TRIM(B3040),""high52""),AE3040)"),0)</f>
        <v>0</v>
      </c>
      <c r="AG3040" s="1">
        <v>0</v>
      </c>
      <c r="AH3040" s="1">
        <f ca="1">IFERROR(__xludf.DUMMYFUNCTION("IFERROR(GOOGLEFINANCE(TRIM(F3040)&amp;"":"" &amp; TRIM(B3040),""low52""),AE3040)"),0)</f>
        <v>0</v>
      </c>
      <c r="AI3040" s="1">
        <f ca="1">IFERROR(__xludf.DUMMYFUNCTION("IFERROR(GOOGLEFINANCE(B3040,""eps""),0)"),0)</f>
        <v>0</v>
      </c>
      <c r="AJ3040" s="1"/>
      <c r="AK3040" s="1" t="s">
        <v>9371</v>
      </c>
      <c r="AL3040" s="9">
        <f t="shared" si="295"/>
        <v>1</v>
      </c>
    </row>
    <row r="3041" spans="1:38" ht="15" x14ac:dyDescent="0.25">
      <c r="A3041" s="1" t="s">
        <v>9372</v>
      </c>
      <c r="B3041" s="1" t="s">
        <v>9373</v>
      </c>
      <c r="C3041" s="1" t="s">
        <v>227</v>
      </c>
      <c r="D3041" s="1" t="s">
        <v>227</v>
      </c>
      <c r="E3041" s="6">
        <v>44.78</v>
      </c>
      <c r="F3041" s="1" t="s">
        <v>40</v>
      </c>
      <c r="G3041" s="6">
        <f ca="1">IFERROR(__xludf.DUMMYFUNCTION("iferror(GOOGLEFINANCE(TRIM(F3041)&amp;"":"" &amp; TRIM(B3041), ""price""),0
)"),0)</f>
        <v>0</v>
      </c>
      <c r="H3041" s="6">
        <v>42.85</v>
      </c>
      <c r="I3041" s="6">
        <f t="shared" ca="1" si="0"/>
        <v>42.85</v>
      </c>
      <c r="J3041" s="6">
        <f ca="1">IFERROR(__xludf.DUMMYFUNCTION("IFERROR(GOOGLEFINANCE(B3041, ""volume""), 0)"),0)</f>
        <v>0</v>
      </c>
      <c r="K3041" s="9"/>
      <c r="L3041" s="6" t="str">
        <f ca="1">IFERROR(__xludf.DUMMYFUNCTION("IFERROR(GOOGLEFINANCE(B3041,""changepct""),K3041)"),"")</f>
        <v/>
      </c>
      <c r="M3041" s="6">
        <f ca="1">IFERROR(__xludf.DUMMYFUNCTION("IFERROR(GOOGLEFINANCE(B3041,""change""),0)"),0)</f>
        <v>0</v>
      </c>
      <c r="N3041" s="6">
        <v>1</v>
      </c>
      <c r="O3041" s="7">
        <v>45536</v>
      </c>
      <c r="P3041" s="6">
        <v>72.86</v>
      </c>
      <c r="Q3041" s="6">
        <v>117.64</v>
      </c>
      <c r="R3041" s="14"/>
      <c r="S3041" s="9"/>
      <c r="T3041" s="9"/>
      <c r="U3041" s="7">
        <v>45352</v>
      </c>
      <c r="V3041" s="6">
        <v>11.4</v>
      </c>
      <c r="W3041" s="6">
        <f ca="1">IFERROR(__xludf.DUMMYFUNCTION("IFERROR(GOOGLEFINANCE(B3041,""pe""),V3041)"),11.4)</f>
        <v>11.4</v>
      </c>
      <c r="X3041" s="9"/>
      <c r="Y3041" s="6">
        <v>0.86</v>
      </c>
      <c r="Z3041" s="6">
        <v>2</v>
      </c>
      <c r="AA3041" s="8">
        <v>45352</v>
      </c>
      <c r="AB3041" s="4">
        <v>1.46</v>
      </c>
      <c r="AC3041" s="6">
        <v>12.65</v>
      </c>
      <c r="AD3041" s="6">
        <v>14.5</v>
      </c>
      <c r="AE3041" s="1">
        <v>0</v>
      </c>
      <c r="AF3041" s="1">
        <f ca="1">IFERROR(__xludf.DUMMYFUNCTION("IFERROR(GOOGLEFINANCE(TRIM(F3041)&amp;"":"" &amp; TRIM(B3041),""high52""),AE3041)"),0)</f>
        <v>0</v>
      </c>
      <c r="AG3041" s="1">
        <v>0</v>
      </c>
      <c r="AH3041" s="1">
        <f ca="1">IFERROR(__xludf.DUMMYFUNCTION("IFERROR(GOOGLEFINANCE(TRIM(F3041)&amp;"":"" &amp; TRIM(B3041),""low52""),AE3041)"),0)</f>
        <v>0</v>
      </c>
      <c r="AI3041" s="1">
        <f ca="1">IFERROR(__xludf.DUMMYFUNCTION("IFERROR(GOOGLEFINANCE(B3041,""eps""),0)"),0)</f>
        <v>0</v>
      </c>
      <c r="AJ3041" s="1"/>
      <c r="AK3041" s="1" t="s">
        <v>9374</v>
      </c>
      <c r="AL3041" s="9">
        <f t="shared" si="295"/>
        <v>1</v>
      </c>
    </row>
    <row r="3042" spans="1:38" ht="15" x14ac:dyDescent="0.25">
      <c r="A3042" s="1" t="s">
        <v>9375</v>
      </c>
      <c r="B3042" s="1" t="s">
        <v>9376</v>
      </c>
      <c r="C3042" s="1" t="s">
        <v>57</v>
      </c>
      <c r="D3042" s="1" t="s">
        <v>57</v>
      </c>
      <c r="E3042" s="6">
        <v>5437.82</v>
      </c>
      <c r="F3042" s="1" t="s">
        <v>40</v>
      </c>
      <c r="G3042" s="6">
        <f ca="1">IFERROR(__xludf.DUMMYFUNCTION("iferror(GOOGLEFINANCE(TRIM(F3042)&amp;"":"" &amp; TRIM(B3042), ""price""),0
)"),375)</f>
        <v>375</v>
      </c>
      <c r="H3042" s="6">
        <v>462.9</v>
      </c>
      <c r="I3042" s="6">
        <f t="shared" ca="1" si="0"/>
        <v>375</v>
      </c>
      <c r="J3042" s="6">
        <f ca="1">IFERROR(__xludf.DUMMYFUNCTION("IFERROR(GOOGLEFINANCE(B3042, ""volume""), 0)"),47926)</f>
        <v>47926</v>
      </c>
      <c r="K3042" s="6">
        <v>0.6</v>
      </c>
      <c r="L3042" s="6">
        <f ca="1">IFERROR(__xludf.DUMMYFUNCTION("IFERROR(GOOGLEFINANCE(B3042,""changepct""),K3042)"),1.94)</f>
        <v>1.94</v>
      </c>
      <c r="M3042" s="6">
        <f ca="1">IFERROR(__xludf.DUMMYFUNCTION("IFERROR(GOOGLEFINANCE(B3042,""change""),0)"),7.15)</f>
        <v>7.15</v>
      </c>
      <c r="N3042" s="6">
        <v>2</v>
      </c>
      <c r="O3042" s="7">
        <v>45444</v>
      </c>
      <c r="P3042" s="6">
        <v>2.66</v>
      </c>
      <c r="Q3042" s="6">
        <v>5268.55</v>
      </c>
      <c r="R3042" s="7">
        <v>45536</v>
      </c>
      <c r="S3042" s="6">
        <v>1709.09</v>
      </c>
      <c r="T3042" s="6">
        <v>138.36000000000001</v>
      </c>
      <c r="U3042" s="7">
        <v>45536</v>
      </c>
      <c r="V3042" s="6">
        <v>39.39</v>
      </c>
      <c r="W3042" s="6">
        <f ca="1">IFERROR(__xludf.DUMMYFUNCTION("IFERROR(GOOGLEFINANCE(B3042,""pe""),V3042)"),25.21)</f>
        <v>25.21</v>
      </c>
      <c r="X3042" s="6">
        <v>1.76</v>
      </c>
      <c r="Y3042" s="6">
        <v>8.4600000000000009</v>
      </c>
      <c r="Z3042" s="6">
        <v>2</v>
      </c>
      <c r="AA3042" s="8">
        <v>45261</v>
      </c>
      <c r="AB3042" s="4">
        <v>0.09</v>
      </c>
      <c r="AC3042" s="6">
        <v>24.22</v>
      </c>
      <c r="AD3042" s="6">
        <v>34.35</v>
      </c>
      <c r="AE3042" s="1">
        <v>0</v>
      </c>
      <c r="AF3042" s="1">
        <f ca="1">IFERROR(__xludf.DUMMYFUNCTION("IFERROR(GOOGLEFINANCE(TRIM(F3042)&amp;"":"" &amp; TRIM(B3042),""high52""),AE3042)"),496.9)</f>
        <v>496.9</v>
      </c>
      <c r="AG3042" s="1">
        <v>0</v>
      </c>
      <c r="AH3042" s="1">
        <f ca="1">IFERROR(__xludf.DUMMYFUNCTION("IFERROR(GOOGLEFINANCE(TRIM(F3042)&amp;"":"" &amp; TRIM(B3042),""low52""),AE3042)"),283)</f>
        <v>283</v>
      </c>
      <c r="AI3042" s="1">
        <f ca="1">IFERROR(__xludf.DUMMYFUNCTION("IFERROR(GOOGLEFINANCE(B3042,""eps""),0)"),14.87)</f>
        <v>14.87</v>
      </c>
      <c r="AJ3042" s="1"/>
      <c r="AK3042" s="1" t="s">
        <v>9377</v>
      </c>
      <c r="AL3042" s="9">
        <f t="shared" si="295"/>
        <v>1</v>
      </c>
    </row>
    <row r="3043" spans="1:38" ht="15" x14ac:dyDescent="0.25">
      <c r="A3043" s="1" t="s">
        <v>9378</v>
      </c>
      <c r="B3043" s="1" t="s">
        <v>9379</v>
      </c>
      <c r="C3043" s="1" t="s">
        <v>470</v>
      </c>
      <c r="D3043" s="1" t="s">
        <v>470</v>
      </c>
      <c r="E3043" s="6">
        <v>87.02</v>
      </c>
      <c r="F3043" s="1" t="s">
        <v>53</v>
      </c>
      <c r="G3043" s="6">
        <f ca="1">IFERROR(__xludf.DUMMYFUNCTION("iferror(GOOGLEFINANCE(TRIM(F3043)&amp;"":"" &amp; TRIM(B3043), ""price""),0
)"),0)</f>
        <v>0</v>
      </c>
      <c r="H3043" s="6">
        <v>125.2</v>
      </c>
      <c r="I3043" s="6">
        <f t="shared" ca="1" si="0"/>
        <v>125.2</v>
      </c>
      <c r="J3043" s="6">
        <f ca="1">IFERROR(__xludf.DUMMYFUNCTION("IFERROR(GOOGLEFINANCE(B3043, ""volume""), 0)"),0)</f>
        <v>0</v>
      </c>
      <c r="K3043" s="9"/>
      <c r="L3043" s="6" t="str">
        <f ca="1">IFERROR(__xludf.DUMMYFUNCTION("IFERROR(GOOGLEFINANCE(B3043,""changepct""),K3043)"),"")</f>
        <v/>
      </c>
      <c r="M3043" s="6">
        <f ca="1">IFERROR(__xludf.DUMMYFUNCTION("IFERROR(GOOGLEFINANCE(B3043,""change""),0)"),0)</f>
        <v>0</v>
      </c>
      <c r="N3043" s="6">
        <v>1</v>
      </c>
      <c r="O3043" s="7">
        <v>45536</v>
      </c>
      <c r="P3043" s="6">
        <v>25.14</v>
      </c>
      <c r="Q3043" s="6">
        <v>112.16</v>
      </c>
      <c r="R3043" s="14"/>
      <c r="S3043" s="9"/>
      <c r="T3043" s="9"/>
      <c r="U3043" s="7">
        <v>45352</v>
      </c>
      <c r="V3043" s="6">
        <v>24.97</v>
      </c>
      <c r="W3043" s="6">
        <f ca="1">IFERROR(__xludf.DUMMYFUNCTION("IFERROR(GOOGLEFINANCE(B3043,""pe""),V3043)"),24.97)</f>
        <v>24.97</v>
      </c>
      <c r="X3043" s="12"/>
      <c r="Y3043" s="6">
        <v>3.1</v>
      </c>
      <c r="Z3043" s="6">
        <v>1</v>
      </c>
      <c r="AA3043" s="8">
        <v>45352</v>
      </c>
      <c r="AB3043" s="4">
        <v>2.5</v>
      </c>
      <c r="AC3043" s="6">
        <v>61.77</v>
      </c>
      <c r="AD3043" s="6">
        <v>31.36</v>
      </c>
      <c r="AE3043" s="1">
        <v>0</v>
      </c>
      <c r="AF3043" s="1">
        <f ca="1">IFERROR(__xludf.DUMMYFUNCTION("IFERROR(GOOGLEFINANCE(TRIM(F3043)&amp;"":"" &amp; TRIM(B3043),""high52""),AE3043)"),0)</f>
        <v>0</v>
      </c>
      <c r="AG3043" s="1">
        <v>0</v>
      </c>
      <c r="AH3043" s="1">
        <f ca="1">IFERROR(__xludf.DUMMYFUNCTION("IFERROR(GOOGLEFINANCE(TRIM(F3043)&amp;"":"" &amp; TRIM(B3043),""low52""),AE3043)"),0)</f>
        <v>0</v>
      </c>
      <c r="AI3043" s="1">
        <f ca="1">IFERROR(__xludf.DUMMYFUNCTION("IFERROR(GOOGLEFINANCE(B3043,""eps""),0)"),0)</f>
        <v>0</v>
      </c>
      <c r="AJ3043" s="1"/>
      <c r="AK3043" s="1" t="s">
        <v>9380</v>
      </c>
      <c r="AL3043" s="9">
        <f t="shared" si="295"/>
        <v>1</v>
      </c>
    </row>
    <row r="3044" spans="1:38" ht="15" x14ac:dyDescent="0.25">
      <c r="A3044" s="1" t="s">
        <v>9381</v>
      </c>
      <c r="B3044" s="1" t="s">
        <v>9382</v>
      </c>
      <c r="C3044" s="1" t="s">
        <v>106</v>
      </c>
      <c r="D3044" s="1" t="s">
        <v>106</v>
      </c>
      <c r="E3044" s="6">
        <v>104.06</v>
      </c>
      <c r="F3044" s="1" t="s">
        <v>53</v>
      </c>
      <c r="G3044" s="6">
        <f ca="1">IFERROR(__xludf.DUMMYFUNCTION("iferror(GOOGLEFINANCE(TRIM(F3044)&amp;"":"" &amp; TRIM(B3044), ""price""),0
)"),0)</f>
        <v>0</v>
      </c>
      <c r="H3044" s="6">
        <v>24.42</v>
      </c>
      <c r="I3044" s="6">
        <f t="shared" ca="1" si="0"/>
        <v>24.42</v>
      </c>
      <c r="J3044" s="6">
        <f ca="1">IFERROR(__xludf.DUMMYFUNCTION("IFERROR(GOOGLEFINANCE(B3044, ""volume""), 0)"),0)</f>
        <v>0</v>
      </c>
      <c r="K3044" s="6">
        <v>1.33</v>
      </c>
      <c r="L3044" s="6">
        <f ca="1">IFERROR(__xludf.DUMMYFUNCTION("IFERROR(GOOGLEFINANCE(B3044,""changepct""),K3044)"),1.33)</f>
        <v>1.33</v>
      </c>
      <c r="M3044" s="6">
        <f ca="1">IFERROR(__xludf.DUMMYFUNCTION("IFERROR(GOOGLEFINANCE(B3044,""change""),0)"),0)</f>
        <v>0</v>
      </c>
      <c r="N3044" s="6">
        <v>1</v>
      </c>
      <c r="O3044" s="7">
        <v>45170</v>
      </c>
      <c r="P3044" s="6">
        <v>74.36</v>
      </c>
      <c r="Q3044" s="6">
        <v>169.52</v>
      </c>
      <c r="R3044" s="7">
        <v>44986</v>
      </c>
      <c r="S3044" s="6">
        <v>44.61</v>
      </c>
      <c r="T3044" s="6">
        <v>-17.059999999999999</v>
      </c>
      <c r="U3044" s="7">
        <v>44986</v>
      </c>
      <c r="V3044" s="6">
        <v>0</v>
      </c>
      <c r="W3044" s="6">
        <f ca="1">IFERROR(__xludf.DUMMYFUNCTION("IFERROR(GOOGLEFINANCE(B3044,""pe""),V3044)"),0)</f>
        <v>0</v>
      </c>
      <c r="X3044" s="9"/>
      <c r="Y3044" s="9"/>
      <c r="Z3044" s="6">
        <v>1</v>
      </c>
      <c r="AA3044" s="8">
        <v>44986</v>
      </c>
      <c r="AB3044" s="4">
        <v>-3.05</v>
      </c>
      <c r="AC3044" s="6">
        <v>0</v>
      </c>
      <c r="AD3044" s="6">
        <v>-25.63</v>
      </c>
      <c r="AE3044" s="1">
        <v>0</v>
      </c>
      <c r="AF3044" s="1">
        <f ca="1">IFERROR(__xludf.DUMMYFUNCTION("IFERROR(GOOGLEFINANCE(TRIM(F3044)&amp;"":"" &amp; TRIM(B3044),""high52""),AE3044)"),0)</f>
        <v>0</v>
      </c>
      <c r="AG3044" s="1">
        <v>0</v>
      </c>
      <c r="AH3044" s="1">
        <f ca="1">IFERROR(__xludf.DUMMYFUNCTION("IFERROR(GOOGLEFINANCE(TRIM(F3044)&amp;"":"" &amp; TRIM(B3044),""low52""),AE3044)"),0)</f>
        <v>0</v>
      </c>
      <c r="AI3044" s="1">
        <f ca="1">IFERROR(__xludf.DUMMYFUNCTION("IFERROR(GOOGLEFINANCE(B3044,""eps""),0)"),0)</f>
        <v>0</v>
      </c>
      <c r="AJ3044" s="1"/>
      <c r="AK3044" s="1" t="s">
        <v>9383</v>
      </c>
      <c r="AL3044" s="9">
        <f t="shared" si="295"/>
        <v>1</v>
      </c>
    </row>
    <row r="3045" spans="1:38" ht="15" x14ac:dyDescent="0.25">
      <c r="A3045" s="1" t="s">
        <v>9384</v>
      </c>
      <c r="B3045" s="1" t="s">
        <v>9385</v>
      </c>
      <c r="C3045" s="1" t="s">
        <v>487</v>
      </c>
      <c r="D3045" s="1" t="s">
        <v>487</v>
      </c>
      <c r="E3045" s="6">
        <v>976.97</v>
      </c>
      <c r="F3045" s="1" t="s">
        <v>40</v>
      </c>
      <c r="G3045" s="6">
        <f ca="1">IFERROR(__xludf.DUMMYFUNCTION("iferror(GOOGLEFINANCE(TRIM(F3045)&amp;"":"" &amp; TRIM(B3045), ""price""),0
)"),83.3)</f>
        <v>83.3</v>
      </c>
      <c r="H3045" s="6">
        <v>199.97</v>
      </c>
      <c r="I3045" s="6">
        <f t="shared" ca="1" si="0"/>
        <v>83.3</v>
      </c>
      <c r="J3045" s="6">
        <f ca="1">IFERROR(__xludf.DUMMYFUNCTION("IFERROR(GOOGLEFINANCE(B3045, ""volume""), 0)"),107769)</f>
        <v>107769</v>
      </c>
      <c r="K3045" s="6">
        <v>1.1399999999999999</v>
      </c>
      <c r="L3045" s="6">
        <f ca="1">IFERROR(__xludf.DUMMYFUNCTION("IFERROR(GOOGLEFINANCE(B3045,""changepct""),K3045)"),-1.9)</f>
        <v>-1.9</v>
      </c>
      <c r="M3045" s="6">
        <f ca="1">IFERROR(__xludf.DUMMYFUNCTION("IFERROR(GOOGLEFINANCE(B3045,""change""),0)"),-1.61)</f>
        <v>-1.61</v>
      </c>
      <c r="N3045" s="6">
        <v>2</v>
      </c>
      <c r="O3045" s="7">
        <v>45536</v>
      </c>
      <c r="P3045" s="6">
        <v>34.409999999999997</v>
      </c>
      <c r="Q3045" s="6">
        <v>1011.38</v>
      </c>
      <c r="R3045" s="7">
        <v>45536</v>
      </c>
      <c r="S3045" s="6">
        <v>1472.56</v>
      </c>
      <c r="T3045" s="6">
        <v>64.47</v>
      </c>
      <c r="U3045" s="7">
        <v>45536</v>
      </c>
      <c r="V3045" s="6">
        <v>15.15</v>
      </c>
      <c r="W3045" s="6">
        <f ca="1">IFERROR(__xludf.DUMMYFUNCTION("IFERROR(GOOGLEFINANCE(B3045,""pe""),V3045)"),6.79)</f>
        <v>6.79</v>
      </c>
      <c r="X3045" s="6">
        <v>0.77</v>
      </c>
      <c r="Y3045" s="6">
        <v>1.96</v>
      </c>
      <c r="Z3045" s="6">
        <v>2</v>
      </c>
      <c r="AA3045" s="8">
        <v>45352</v>
      </c>
      <c r="AB3045" s="4">
        <v>0.1</v>
      </c>
      <c r="AC3045" s="6">
        <v>14.61</v>
      </c>
      <c r="AD3045" s="6">
        <v>23.1</v>
      </c>
      <c r="AE3045" s="1">
        <v>0</v>
      </c>
      <c r="AF3045" s="1">
        <f ca="1">IFERROR(__xludf.DUMMYFUNCTION("IFERROR(GOOGLEFINANCE(TRIM(F3045)&amp;"":"" &amp; TRIM(B3045),""high52""),AE3045)"),179.4)</f>
        <v>179.4</v>
      </c>
      <c r="AG3045" s="1">
        <v>0</v>
      </c>
      <c r="AH3045" s="1">
        <f ca="1">IFERROR(__xludf.DUMMYFUNCTION("IFERROR(GOOGLEFINANCE(TRIM(F3045)&amp;"":"" &amp; TRIM(B3045),""low52""),AE3045)"),79.9)</f>
        <v>79.900000000000006</v>
      </c>
      <c r="AI3045" s="1">
        <f ca="1">IFERROR(__xludf.DUMMYFUNCTION("IFERROR(GOOGLEFINANCE(B3045,""eps""),0)"),12.28)</f>
        <v>12.28</v>
      </c>
      <c r="AJ3045" s="1"/>
      <c r="AK3045" s="1" t="s">
        <v>9386</v>
      </c>
      <c r="AL3045" s="9">
        <f t="shared" si="295"/>
        <v>1</v>
      </c>
    </row>
    <row r="3046" spans="1:38" ht="15" x14ac:dyDescent="0.25">
      <c r="A3046" s="1" t="s">
        <v>9387</v>
      </c>
      <c r="B3046" s="1" t="s">
        <v>9388</v>
      </c>
      <c r="C3046" s="1" t="s">
        <v>782</v>
      </c>
      <c r="D3046" s="1" t="s">
        <v>782</v>
      </c>
      <c r="E3046" s="6">
        <v>637.04999999999995</v>
      </c>
      <c r="F3046" s="1" t="s">
        <v>40</v>
      </c>
      <c r="G3046" s="6">
        <f ca="1">IFERROR(__xludf.DUMMYFUNCTION("iferror(GOOGLEFINANCE(TRIM(F3046)&amp;"":"" &amp; TRIM(B3046), ""price""),0
)"),100.25)</f>
        <v>100.25</v>
      </c>
      <c r="H3046" s="6">
        <v>367.55</v>
      </c>
      <c r="I3046" s="6">
        <f t="shared" ca="1" si="0"/>
        <v>100.25</v>
      </c>
      <c r="J3046" s="6">
        <f ca="1">IFERROR(__xludf.DUMMYFUNCTION("IFERROR(GOOGLEFINANCE(B3046, ""volume""), 0)"),1228)</f>
        <v>1228</v>
      </c>
      <c r="K3046" s="6">
        <v>0.16</v>
      </c>
      <c r="L3046" s="6">
        <f ca="1">IFERROR(__xludf.DUMMYFUNCTION("IFERROR(GOOGLEFINANCE(B3046,""changepct""),K3046)"),-1.56)</f>
        <v>-1.56</v>
      </c>
      <c r="M3046" s="6">
        <f ca="1">IFERROR(__xludf.DUMMYFUNCTION("IFERROR(GOOGLEFINANCE(B3046,""change""),0)"),-5.28)</f>
        <v>-5.28</v>
      </c>
      <c r="N3046" s="6">
        <v>2</v>
      </c>
      <c r="O3046" s="7">
        <v>45536</v>
      </c>
      <c r="P3046" s="6">
        <v>21.55</v>
      </c>
      <c r="Q3046" s="6">
        <v>633.4</v>
      </c>
      <c r="R3046" s="7">
        <v>45536</v>
      </c>
      <c r="S3046" s="6">
        <v>350.59</v>
      </c>
      <c r="T3046" s="6">
        <v>4.84</v>
      </c>
      <c r="U3046" s="7">
        <v>45536</v>
      </c>
      <c r="V3046" s="6">
        <v>131.43</v>
      </c>
      <c r="W3046" s="6">
        <f ca="1">IFERROR(__xludf.DUMMYFUNCTION("IFERROR(GOOGLEFINANCE(B3046,""pe""),V3046)"),131.43)</f>
        <v>131.43</v>
      </c>
      <c r="X3046" s="9"/>
      <c r="Y3046" s="6">
        <v>11.44</v>
      </c>
      <c r="Z3046" s="6">
        <v>2</v>
      </c>
      <c r="AA3046" s="8">
        <v>45352</v>
      </c>
      <c r="AB3046" s="4">
        <v>1.67</v>
      </c>
      <c r="AC3046" s="6">
        <v>7.23</v>
      </c>
      <c r="AD3046" s="6">
        <v>11.88</v>
      </c>
      <c r="AE3046" s="1">
        <v>0</v>
      </c>
      <c r="AF3046" s="1">
        <f ca="1">IFERROR(__xludf.DUMMYFUNCTION("IFERROR(GOOGLEFINANCE(TRIM(F3046)&amp;"":"" &amp; TRIM(B3046),""high52""),AE3046)"),348)</f>
        <v>348</v>
      </c>
      <c r="AG3046" s="1">
        <v>0</v>
      </c>
      <c r="AH3046" s="1">
        <f ca="1">IFERROR(__xludf.DUMMYFUNCTION("IFERROR(GOOGLEFINANCE(TRIM(F3046)&amp;"":"" &amp; TRIM(B3046),""low52""),AE3046)"),98.25)</f>
        <v>98.25</v>
      </c>
      <c r="AI3046" s="1">
        <f ca="1">IFERROR(__xludf.DUMMYFUNCTION("IFERROR(GOOGLEFINANCE(B3046,""eps""),0)"),0)</f>
        <v>0</v>
      </c>
      <c r="AJ3046" s="1"/>
      <c r="AK3046" s="1" t="s">
        <v>9389</v>
      </c>
      <c r="AL3046" s="9">
        <f t="shared" si="295"/>
        <v>1</v>
      </c>
    </row>
    <row r="3047" spans="1:38" ht="15" x14ac:dyDescent="0.25">
      <c r="A3047" s="1" t="s">
        <v>9390</v>
      </c>
      <c r="B3047" s="1" t="s">
        <v>9391</v>
      </c>
      <c r="C3047" s="1" t="s">
        <v>106</v>
      </c>
      <c r="D3047" s="1" t="s">
        <v>106</v>
      </c>
      <c r="E3047" s="6">
        <v>7.04</v>
      </c>
      <c r="F3047" s="1" t="s">
        <v>53</v>
      </c>
      <c r="G3047" s="6">
        <f ca="1">IFERROR(__xludf.DUMMYFUNCTION("iferror(GOOGLEFINANCE(TRIM(F3047)&amp;"":"" &amp; TRIM(B3047), ""price""),0
)"),0)</f>
        <v>0</v>
      </c>
      <c r="H3047" s="6">
        <v>23.46</v>
      </c>
      <c r="I3047" s="6">
        <f t="shared" ca="1" si="0"/>
        <v>23.46</v>
      </c>
      <c r="J3047" s="6">
        <f ca="1">IFERROR(__xludf.DUMMYFUNCTION("IFERROR(GOOGLEFINANCE(B3047, ""volume""), 0)"),0)</f>
        <v>0</v>
      </c>
      <c r="K3047" s="9"/>
      <c r="L3047" s="6" t="str">
        <f ca="1">IFERROR(__xludf.DUMMYFUNCTION("IFERROR(GOOGLEFINANCE(B3047,""changepct""),K3047)"),"")</f>
        <v/>
      </c>
      <c r="M3047" s="6">
        <f ca="1">IFERROR(__xludf.DUMMYFUNCTION("IFERROR(GOOGLEFINANCE(B3047,""change""),0)"),0)</f>
        <v>0</v>
      </c>
      <c r="N3047" s="6">
        <v>1</v>
      </c>
      <c r="O3047" s="7">
        <v>45536</v>
      </c>
      <c r="P3047" s="9"/>
      <c r="Q3047" s="6">
        <v>7.04</v>
      </c>
      <c r="R3047" s="7">
        <v>45352</v>
      </c>
      <c r="S3047" s="6">
        <v>16.489999999999998</v>
      </c>
      <c r="T3047" s="6">
        <v>-1.54</v>
      </c>
      <c r="U3047" s="7">
        <v>45352</v>
      </c>
      <c r="V3047" s="6">
        <v>0</v>
      </c>
      <c r="W3047" s="6">
        <f ca="1">IFERROR(__xludf.DUMMYFUNCTION("IFERROR(GOOGLEFINANCE(B3047,""pe""),V3047)"),0)</f>
        <v>0</v>
      </c>
      <c r="X3047" s="9"/>
      <c r="Y3047" s="6">
        <v>1.66</v>
      </c>
      <c r="Z3047" s="6">
        <v>1</v>
      </c>
      <c r="AA3047" s="8">
        <v>45352</v>
      </c>
      <c r="AB3047" s="4">
        <v>0</v>
      </c>
      <c r="AC3047" s="6">
        <v>-21.93</v>
      </c>
      <c r="AD3047" s="6">
        <v>-26.12</v>
      </c>
      <c r="AE3047" s="1">
        <v>0</v>
      </c>
      <c r="AF3047" s="1">
        <f ca="1">IFERROR(__xludf.DUMMYFUNCTION("IFERROR(GOOGLEFINANCE(TRIM(F3047)&amp;"":"" &amp; TRIM(B3047),""high52""),AE3047)"),0)</f>
        <v>0</v>
      </c>
      <c r="AG3047" s="1">
        <v>0</v>
      </c>
      <c r="AH3047" s="1">
        <f ca="1">IFERROR(__xludf.DUMMYFUNCTION("IFERROR(GOOGLEFINANCE(TRIM(F3047)&amp;"":"" &amp; TRIM(B3047),""low52""),AE3047)"),0)</f>
        <v>0</v>
      </c>
      <c r="AI3047" s="1">
        <f ca="1">IFERROR(__xludf.DUMMYFUNCTION("IFERROR(GOOGLEFINANCE(B3047,""eps""),0)"),0)</f>
        <v>0</v>
      </c>
      <c r="AJ3047" s="1"/>
      <c r="AK3047" s="1" t="s">
        <v>9392</v>
      </c>
      <c r="AL3047" s="9">
        <f t="shared" si="295"/>
        <v>1</v>
      </c>
    </row>
    <row r="3048" spans="1:38" ht="15" x14ac:dyDescent="0.25">
      <c r="A3048" s="1" t="s">
        <v>9393</v>
      </c>
      <c r="B3048" s="1" t="s">
        <v>9394</v>
      </c>
      <c r="C3048" s="1" t="s">
        <v>106</v>
      </c>
      <c r="D3048" s="1" t="s">
        <v>106</v>
      </c>
      <c r="E3048" s="6">
        <v>9.32</v>
      </c>
      <c r="F3048" s="1" t="s">
        <v>53</v>
      </c>
      <c r="G3048" s="6">
        <f ca="1">IFERROR(__xludf.DUMMYFUNCTION("iferror(GOOGLEFINANCE(TRIM(F3048)&amp;"":"" &amp; TRIM(B3048), ""price""),0
)"),0)</f>
        <v>0</v>
      </c>
      <c r="H3048" s="6">
        <v>3.66</v>
      </c>
      <c r="I3048" s="6">
        <f t="shared" ca="1" si="0"/>
        <v>3.66</v>
      </c>
      <c r="J3048" s="6">
        <f ca="1">IFERROR(__xludf.DUMMYFUNCTION("IFERROR(GOOGLEFINANCE(B3048, ""volume""), 0)"),0)</f>
        <v>0</v>
      </c>
      <c r="K3048" s="6">
        <v>-1.88</v>
      </c>
      <c r="L3048" s="6">
        <f ca="1">IFERROR(__xludf.DUMMYFUNCTION("IFERROR(GOOGLEFINANCE(B3048,""changepct""),K3048)"),-1.88)</f>
        <v>-1.88</v>
      </c>
      <c r="M3048" s="6">
        <f ca="1">IFERROR(__xludf.DUMMYFUNCTION("IFERROR(GOOGLEFINANCE(B3048,""change""),0)"),0)</f>
        <v>0</v>
      </c>
      <c r="N3048" s="6">
        <v>1</v>
      </c>
      <c r="O3048" s="7">
        <v>45352</v>
      </c>
      <c r="P3048" s="6">
        <v>55.69</v>
      </c>
      <c r="Q3048" s="6">
        <v>63.82</v>
      </c>
      <c r="R3048" s="7">
        <v>45352</v>
      </c>
      <c r="S3048" s="6">
        <v>58.75</v>
      </c>
      <c r="T3048" s="6">
        <v>0.39</v>
      </c>
      <c r="U3048" s="7">
        <v>45352</v>
      </c>
      <c r="V3048" s="6">
        <v>23.93</v>
      </c>
      <c r="W3048" s="6">
        <f ca="1">IFERROR(__xludf.DUMMYFUNCTION("IFERROR(GOOGLEFINANCE(B3048,""pe""),V3048)"),23.93)</f>
        <v>23.93</v>
      </c>
      <c r="X3048" s="12"/>
      <c r="Y3048" s="6">
        <v>0.21</v>
      </c>
      <c r="Z3048" s="6">
        <v>2</v>
      </c>
      <c r="AA3048" s="8">
        <v>45352</v>
      </c>
      <c r="AB3048" s="4">
        <v>1.4</v>
      </c>
      <c r="AC3048" s="6">
        <v>0.57999999999999996</v>
      </c>
      <c r="AD3048" s="6">
        <v>5.94</v>
      </c>
      <c r="AE3048" s="1">
        <v>0</v>
      </c>
      <c r="AF3048" s="1">
        <f ca="1">IFERROR(__xludf.DUMMYFUNCTION("IFERROR(GOOGLEFINANCE(TRIM(F3048)&amp;"":"" &amp; TRIM(B3048),""high52""),AE3048)"),0)</f>
        <v>0</v>
      </c>
      <c r="AG3048" s="1">
        <v>0</v>
      </c>
      <c r="AH3048" s="1">
        <f ca="1">IFERROR(__xludf.DUMMYFUNCTION("IFERROR(GOOGLEFINANCE(TRIM(F3048)&amp;"":"" &amp; TRIM(B3048),""low52""),AE3048)"),0)</f>
        <v>0</v>
      </c>
      <c r="AI3048" s="1">
        <f ca="1">IFERROR(__xludf.DUMMYFUNCTION("IFERROR(GOOGLEFINANCE(B3048,""eps""),0)"),0)</f>
        <v>0</v>
      </c>
      <c r="AJ3048" s="1"/>
      <c r="AK3048" s="1" t="s">
        <v>9395</v>
      </c>
      <c r="AL3048" s="9">
        <f t="shared" si="295"/>
        <v>1</v>
      </c>
    </row>
    <row r="3049" spans="1:38" ht="15" x14ac:dyDescent="0.25">
      <c r="A3049" s="1" t="s">
        <v>9396</v>
      </c>
      <c r="B3049" s="1" t="s">
        <v>9397</v>
      </c>
      <c r="C3049" s="1" t="s">
        <v>106</v>
      </c>
      <c r="D3049" s="1" t="s">
        <v>106</v>
      </c>
      <c r="E3049" s="6">
        <v>6.91</v>
      </c>
      <c r="F3049" s="1" t="s">
        <v>53</v>
      </c>
      <c r="G3049" s="6">
        <f ca="1">IFERROR(__xludf.DUMMYFUNCTION("iferror(GOOGLEFINANCE(TRIM(F3049)&amp;"":"" &amp; TRIM(B3049), ""price""),0
)"),0)</f>
        <v>0</v>
      </c>
      <c r="H3049" s="6">
        <v>32.9</v>
      </c>
      <c r="I3049" s="6">
        <f t="shared" ca="1" si="0"/>
        <v>32.9</v>
      </c>
      <c r="J3049" s="6">
        <f ca="1">IFERROR(__xludf.DUMMYFUNCTION("IFERROR(GOOGLEFINANCE(B3049, ""volume""), 0)"),0)</f>
        <v>0</v>
      </c>
      <c r="K3049" s="9"/>
      <c r="L3049" s="6" t="str">
        <f ca="1">IFERROR(__xludf.DUMMYFUNCTION("IFERROR(GOOGLEFINANCE(B3049,""changepct""),K3049)"),"")</f>
        <v/>
      </c>
      <c r="M3049" s="6">
        <f ca="1">IFERROR(__xludf.DUMMYFUNCTION("IFERROR(GOOGLEFINANCE(B3049,""change""),0)"),0)</f>
        <v>0</v>
      </c>
      <c r="N3049" s="6">
        <v>1</v>
      </c>
      <c r="O3049" s="7">
        <v>45536</v>
      </c>
      <c r="P3049" s="6">
        <v>1.21</v>
      </c>
      <c r="Q3049" s="6">
        <v>8.1199999999999992</v>
      </c>
      <c r="R3049" s="7">
        <v>45352</v>
      </c>
      <c r="S3049" s="6">
        <v>6.08</v>
      </c>
      <c r="T3049" s="6">
        <v>0.05</v>
      </c>
      <c r="U3049" s="7">
        <v>45352</v>
      </c>
      <c r="V3049" s="6">
        <v>145.03</v>
      </c>
      <c r="W3049" s="6">
        <f ca="1">IFERROR(__xludf.DUMMYFUNCTION("IFERROR(GOOGLEFINANCE(B3049,""pe""),V3049)"),145.03)</f>
        <v>145.03</v>
      </c>
      <c r="X3049" s="9"/>
      <c r="Y3049" s="6">
        <v>1.66</v>
      </c>
      <c r="Z3049" s="6">
        <v>2</v>
      </c>
      <c r="AA3049" s="8">
        <v>45352</v>
      </c>
      <c r="AB3049" s="4">
        <v>0.31</v>
      </c>
      <c r="AC3049" s="6">
        <v>0.87</v>
      </c>
      <c r="AD3049" s="6">
        <v>1.76</v>
      </c>
      <c r="AE3049" s="1">
        <v>0</v>
      </c>
      <c r="AF3049" s="1">
        <f ca="1">IFERROR(__xludf.DUMMYFUNCTION("IFERROR(GOOGLEFINANCE(TRIM(F3049)&amp;"":"" &amp; TRIM(B3049),""high52""),AE3049)"),0)</f>
        <v>0</v>
      </c>
      <c r="AG3049" s="1">
        <v>0</v>
      </c>
      <c r="AH3049" s="1">
        <f ca="1">IFERROR(__xludf.DUMMYFUNCTION("IFERROR(GOOGLEFINANCE(TRIM(F3049)&amp;"":"" &amp; TRIM(B3049),""low52""),AE3049)"),0)</f>
        <v>0</v>
      </c>
      <c r="AI3049" s="1">
        <f ca="1">IFERROR(__xludf.DUMMYFUNCTION("IFERROR(GOOGLEFINANCE(B3049,""eps""),0)"),0)</f>
        <v>0</v>
      </c>
      <c r="AJ3049" s="1"/>
      <c r="AK3049" s="1" t="s">
        <v>9398</v>
      </c>
      <c r="AL3049" s="9">
        <f t="shared" si="295"/>
        <v>1</v>
      </c>
    </row>
    <row r="3050" spans="1:38" ht="15" x14ac:dyDescent="0.25">
      <c r="A3050" s="1" t="s">
        <v>9399</v>
      </c>
      <c r="B3050" s="1" t="s">
        <v>9400</v>
      </c>
      <c r="C3050" s="1" t="s">
        <v>86</v>
      </c>
      <c r="D3050" s="1" t="s">
        <v>86</v>
      </c>
      <c r="E3050" s="6">
        <v>86.79</v>
      </c>
      <c r="F3050" s="1" t="s">
        <v>40</v>
      </c>
      <c r="G3050" s="6">
        <f ca="1">IFERROR(__xludf.DUMMYFUNCTION("iferror(GOOGLEFINANCE(TRIM(F3050)&amp;"":"" &amp; TRIM(B3050), ""price""),0
)"),0)</f>
        <v>0</v>
      </c>
      <c r="H3050" s="6">
        <v>47</v>
      </c>
      <c r="I3050" s="6">
        <f t="shared" ca="1" si="0"/>
        <v>47</v>
      </c>
      <c r="J3050" s="6">
        <f ca="1">IFERROR(__xludf.DUMMYFUNCTION("IFERROR(GOOGLEFINANCE(B3050, ""volume""), 0)"),0)</f>
        <v>0</v>
      </c>
      <c r="K3050" s="6">
        <v>0.75</v>
      </c>
      <c r="L3050" s="6">
        <f ca="1">IFERROR(__xludf.DUMMYFUNCTION("IFERROR(GOOGLEFINANCE(B3050,""changepct""),K3050)"),0.75)</f>
        <v>0.75</v>
      </c>
      <c r="M3050" s="6">
        <f ca="1">IFERROR(__xludf.DUMMYFUNCTION("IFERROR(GOOGLEFINANCE(B3050,""change""),0)"),0)</f>
        <v>0</v>
      </c>
      <c r="N3050" s="6">
        <v>1</v>
      </c>
      <c r="O3050" s="7">
        <v>45536</v>
      </c>
      <c r="P3050" s="6">
        <v>13.65</v>
      </c>
      <c r="Q3050" s="6">
        <v>100.44</v>
      </c>
      <c r="R3050" s="7">
        <v>45352</v>
      </c>
      <c r="S3050" s="6">
        <v>91.48</v>
      </c>
      <c r="T3050" s="6">
        <v>3.63</v>
      </c>
      <c r="U3050" s="7">
        <v>45352</v>
      </c>
      <c r="V3050" s="6">
        <v>23.92</v>
      </c>
      <c r="W3050" s="6">
        <f ca="1">IFERROR(__xludf.DUMMYFUNCTION("IFERROR(GOOGLEFINANCE(B3050,""pe""),V3050)"),23.92)</f>
        <v>23.92</v>
      </c>
      <c r="X3050" s="12"/>
      <c r="Y3050" s="6">
        <v>1.04</v>
      </c>
      <c r="Z3050" s="6">
        <v>1</v>
      </c>
      <c r="AA3050" s="8">
        <v>45352</v>
      </c>
      <c r="AB3050" s="4">
        <v>0.11</v>
      </c>
      <c r="AC3050" s="6">
        <v>4.46</v>
      </c>
      <c r="AD3050" s="6">
        <v>7.97</v>
      </c>
      <c r="AE3050" s="1">
        <v>0</v>
      </c>
      <c r="AF3050" s="1">
        <f ca="1">IFERROR(__xludf.DUMMYFUNCTION("IFERROR(GOOGLEFINANCE(TRIM(F3050)&amp;"":"" &amp; TRIM(B3050),""high52""),AE3050)"),0)</f>
        <v>0</v>
      </c>
      <c r="AG3050" s="1">
        <v>0</v>
      </c>
      <c r="AH3050" s="1">
        <f ca="1">IFERROR(__xludf.DUMMYFUNCTION("IFERROR(GOOGLEFINANCE(TRIM(F3050)&amp;"":"" &amp; TRIM(B3050),""low52""),AE3050)"),0)</f>
        <v>0</v>
      </c>
      <c r="AI3050" s="1">
        <f ca="1">IFERROR(__xludf.DUMMYFUNCTION("IFERROR(GOOGLEFINANCE(B3050,""eps""),0)"),0)</f>
        <v>0</v>
      </c>
      <c r="AJ3050" s="1"/>
      <c r="AK3050" s="9"/>
      <c r="AL3050" s="9">
        <f t="shared" si="295"/>
        <v>1</v>
      </c>
    </row>
    <row r="3051" spans="1:38" ht="15" x14ac:dyDescent="0.25">
      <c r="A3051" s="1" t="s">
        <v>9401</v>
      </c>
      <c r="B3051" s="1" t="s">
        <v>9402</v>
      </c>
      <c r="C3051" s="1" t="s">
        <v>355</v>
      </c>
      <c r="D3051" s="1" t="s">
        <v>355</v>
      </c>
      <c r="E3051" s="6">
        <v>926.3</v>
      </c>
      <c r="F3051" s="1" t="s">
        <v>40</v>
      </c>
      <c r="G3051" s="6">
        <f ca="1">IFERROR(__xludf.DUMMYFUNCTION("iferror(GOOGLEFINANCE(TRIM(F3051)&amp;"":"" &amp; TRIM(B3051), ""price""),0
)"),1015)</f>
        <v>1015</v>
      </c>
      <c r="H3051" s="6">
        <v>853.65</v>
      </c>
      <c r="I3051" s="6">
        <f t="shared" ca="1" si="0"/>
        <v>1015</v>
      </c>
      <c r="J3051" s="6">
        <f ca="1">IFERROR(__xludf.DUMMYFUNCTION("IFERROR(GOOGLEFINANCE(B3051, ""volume""), 0)"),19084)</f>
        <v>19084</v>
      </c>
      <c r="K3051" s="6">
        <v>-1.39</v>
      </c>
      <c r="L3051" s="6">
        <f ca="1">IFERROR(__xludf.DUMMYFUNCTION("IFERROR(GOOGLEFINANCE(B3051,""changepct""),K3051)"),1.66)</f>
        <v>1.66</v>
      </c>
      <c r="M3051" s="6">
        <f ca="1">IFERROR(__xludf.DUMMYFUNCTION("IFERROR(GOOGLEFINANCE(B3051,""change""),0)"),16.6)</f>
        <v>16.600000000000001</v>
      </c>
      <c r="N3051" s="6">
        <v>2</v>
      </c>
      <c r="O3051" s="7">
        <v>45536</v>
      </c>
      <c r="P3051" s="6">
        <v>312.95999999999998</v>
      </c>
      <c r="Q3051" s="6">
        <v>1236.31</v>
      </c>
      <c r="R3051" s="7">
        <v>45536</v>
      </c>
      <c r="S3051" s="6">
        <v>434.51</v>
      </c>
      <c r="T3051" s="6">
        <v>31.12</v>
      </c>
      <c r="U3051" s="7">
        <v>45536</v>
      </c>
      <c r="V3051" s="6">
        <v>29.77</v>
      </c>
      <c r="W3051" s="6">
        <f ca="1">IFERROR(__xludf.DUMMYFUNCTION("IFERROR(GOOGLEFINANCE(B3051,""pe""),V3051)"),34.3)</f>
        <v>34.299999999999997</v>
      </c>
      <c r="X3051" s="6">
        <v>0.93</v>
      </c>
      <c r="Y3051" s="6">
        <v>4.33</v>
      </c>
      <c r="Z3051" s="6">
        <v>2</v>
      </c>
      <c r="AA3051" s="8">
        <v>45352</v>
      </c>
      <c r="AB3051" s="4">
        <v>1.38</v>
      </c>
      <c r="AC3051" s="6">
        <v>21.17</v>
      </c>
      <c r="AD3051" s="6">
        <v>17.97</v>
      </c>
      <c r="AE3051" s="1">
        <v>0</v>
      </c>
      <c r="AF3051" s="1">
        <f ca="1">IFERROR(__xludf.DUMMYFUNCTION("IFERROR(GOOGLEFINANCE(TRIM(F3051)&amp;"":"" &amp; TRIM(B3051),""high52""),AE3051)"),1347.8)</f>
        <v>1347.8</v>
      </c>
      <c r="AG3051" s="1">
        <v>0</v>
      </c>
      <c r="AH3051" s="1">
        <f ca="1">IFERROR(__xludf.DUMMYFUNCTION("IFERROR(GOOGLEFINANCE(TRIM(F3051)&amp;"":"" &amp; TRIM(B3051),""low52""),AE3051)"),658.05)</f>
        <v>658.05</v>
      </c>
      <c r="AI3051" s="1">
        <f ca="1">IFERROR(__xludf.DUMMYFUNCTION("IFERROR(GOOGLEFINANCE(B3051,""eps""),0)"),29.59)</f>
        <v>29.59</v>
      </c>
      <c r="AJ3051" s="1"/>
      <c r="AK3051" s="1" t="s">
        <v>9403</v>
      </c>
      <c r="AL3051" s="1" t="b">
        <f>ISNUMBER(AA3051)</f>
        <v>1</v>
      </c>
    </row>
    <row r="3052" spans="1:38" ht="15" x14ac:dyDescent="0.25">
      <c r="A3052" s="1" t="s">
        <v>9404</v>
      </c>
      <c r="B3052" s="1" t="s">
        <v>9405</v>
      </c>
      <c r="C3052" s="1" t="s">
        <v>1229</v>
      </c>
      <c r="D3052" s="1" t="s">
        <v>1229</v>
      </c>
      <c r="E3052" s="6">
        <v>38.29</v>
      </c>
      <c r="F3052" s="1" t="s">
        <v>40</v>
      </c>
      <c r="G3052" s="6">
        <f ca="1">IFERROR(__xludf.DUMMYFUNCTION("iferror(GOOGLEFINANCE(TRIM(F3052)&amp;"":"" &amp; TRIM(B3052), ""price""),0
)"),3.16)</f>
        <v>3.16</v>
      </c>
      <c r="H3052" s="6">
        <v>6.83</v>
      </c>
      <c r="I3052" s="6">
        <f t="shared" ca="1" si="0"/>
        <v>3.16</v>
      </c>
      <c r="J3052" s="6">
        <f ca="1">IFERROR(__xludf.DUMMYFUNCTION("IFERROR(GOOGLEFINANCE(B3052, ""volume""), 0)"),18886)</f>
        <v>18886</v>
      </c>
      <c r="K3052" s="6">
        <v>-2.0099999999999998</v>
      </c>
      <c r="L3052" s="6">
        <f ca="1">IFERROR(__xludf.DUMMYFUNCTION("IFERROR(GOOGLEFINANCE(B3052,""changepct""),K3052)"),3.95)</f>
        <v>3.95</v>
      </c>
      <c r="M3052" s="6">
        <f ca="1">IFERROR(__xludf.DUMMYFUNCTION("IFERROR(GOOGLEFINANCE(B3052,""change""),0)"),0.12)</f>
        <v>0.12</v>
      </c>
      <c r="N3052" s="6">
        <v>2</v>
      </c>
      <c r="O3052" s="7">
        <v>45536</v>
      </c>
      <c r="P3052" s="6">
        <v>29.51</v>
      </c>
      <c r="Q3052" s="6">
        <v>67.8</v>
      </c>
      <c r="R3052" s="7">
        <v>45536</v>
      </c>
      <c r="S3052" s="6">
        <v>34.14</v>
      </c>
      <c r="T3052" s="6">
        <v>2.91</v>
      </c>
      <c r="U3052" s="7">
        <v>45536</v>
      </c>
      <c r="V3052" s="6">
        <v>13.14</v>
      </c>
      <c r="W3052" s="6">
        <f ca="1">IFERROR(__xludf.DUMMYFUNCTION("IFERROR(GOOGLEFINANCE(B3052,""pe""),V3052)"),13.14)</f>
        <v>13.14</v>
      </c>
      <c r="X3052" s="6">
        <v>0.92</v>
      </c>
      <c r="Y3052" s="6">
        <v>-3.49</v>
      </c>
      <c r="Z3052" s="6">
        <v>2</v>
      </c>
      <c r="AA3052" s="8">
        <v>45352</v>
      </c>
      <c r="AB3052" s="4">
        <v>-2.88</v>
      </c>
      <c r="AC3052" s="6">
        <v>0</v>
      </c>
      <c r="AD3052" s="6">
        <v>11.64</v>
      </c>
      <c r="AE3052" s="1">
        <v>0</v>
      </c>
      <c r="AF3052" s="1">
        <f ca="1">IFERROR(__xludf.DUMMYFUNCTION("IFERROR(GOOGLEFINANCE(TRIM(F3052)&amp;"":"" &amp; TRIM(B3052),""high52""),AE3052)"),5.37)</f>
        <v>5.37</v>
      </c>
      <c r="AG3052" s="1">
        <v>0</v>
      </c>
      <c r="AH3052" s="1">
        <f ca="1">IFERROR(__xludf.DUMMYFUNCTION("IFERROR(GOOGLEFINANCE(TRIM(F3052)&amp;"":"" &amp; TRIM(B3052),""low52""),AE3052)"),2.81)</f>
        <v>2.81</v>
      </c>
      <c r="AI3052" s="1">
        <f ca="1">IFERROR(__xludf.DUMMYFUNCTION("IFERROR(GOOGLEFINANCE(B3052,""eps""),0)"),-0.64)</f>
        <v>-0.64</v>
      </c>
      <c r="AJ3052" s="1"/>
      <c r="AK3052" s="9"/>
      <c r="AL3052" s="9">
        <f t="shared" ref="AL3052:AL3056" si="296">IF(AA3052&lt;&gt;AB3052,1,0)</f>
        <v>1</v>
      </c>
    </row>
    <row r="3053" spans="1:38" ht="15" x14ac:dyDescent="0.25">
      <c r="A3053" s="1" t="s">
        <v>9406</v>
      </c>
      <c r="B3053" s="1" t="s">
        <v>9407</v>
      </c>
      <c r="C3053" s="1" t="s">
        <v>2432</v>
      </c>
      <c r="D3053" s="1" t="s">
        <v>2432</v>
      </c>
      <c r="E3053" s="6">
        <v>1235.46</v>
      </c>
      <c r="F3053" s="1" t="s">
        <v>40</v>
      </c>
      <c r="G3053" s="6">
        <f ca="1">IFERROR(__xludf.DUMMYFUNCTION("iferror(GOOGLEFINANCE(TRIM(F3053)&amp;"":"" &amp; TRIM(B3053), ""price""),0
)"),67.99)</f>
        <v>67.989999999999995</v>
      </c>
      <c r="H3053" s="6">
        <v>105</v>
      </c>
      <c r="I3053" s="6">
        <f t="shared" ca="1" si="0"/>
        <v>67.989999999999995</v>
      </c>
      <c r="J3053" s="6">
        <f ca="1">IFERROR(__xludf.DUMMYFUNCTION("IFERROR(GOOGLEFINANCE(B3053, ""volume""), 0)"),154620)</f>
        <v>154620</v>
      </c>
      <c r="K3053" s="6">
        <v>-0.14000000000000001</v>
      </c>
      <c r="L3053" s="6">
        <f ca="1">IFERROR(__xludf.DUMMYFUNCTION("IFERROR(GOOGLEFINANCE(B3053,""changepct""),K3053)"),-0.37)</f>
        <v>-0.37</v>
      </c>
      <c r="M3053" s="6">
        <f ca="1">IFERROR(__xludf.DUMMYFUNCTION("IFERROR(GOOGLEFINANCE(B3053,""change""),0)"),-0.25)</f>
        <v>-0.25</v>
      </c>
      <c r="N3053" s="6">
        <v>1</v>
      </c>
      <c r="O3053" s="7">
        <v>45536</v>
      </c>
      <c r="P3053" s="6">
        <v>52.25</v>
      </c>
      <c r="Q3053" s="6">
        <v>1287.7</v>
      </c>
      <c r="R3053" s="7">
        <v>45536</v>
      </c>
      <c r="S3053" s="6">
        <v>554.6</v>
      </c>
      <c r="T3053" s="6">
        <v>50.8</v>
      </c>
      <c r="U3053" s="7">
        <v>45536</v>
      </c>
      <c r="V3053" s="6">
        <v>24.32</v>
      </c>
      <c r="W3053" s="6">
        <f ca="1">IFERROR(__xludf.DUMMYFUNCTION("IFERROR(GOOGLEFINANCE(B3053,""pe""),V3053)"),10.98)</f>
        <v>10.98</v>
      </c>
      <c r="X3053" s="6">
        <v>0.56999999999999995</v>
      </c>
      <c r="Y3053" s="6">
        <v>4.28</v>
      </c>
      <c r="Z3053" s="6">
        <v>1</v>
      </c>
      <c r="AA3053" s="8">
        <v>45352</v>
      </c>
      <c r="AB3053" s="4">
        <v>0.19</v>
      </c>
      <c r="AC3053" s="6">
        <v>20.62</v>
      </c>
      <c r="AD3053" s="6">
        <v>24.58</v>
      </c>
      <c r="AE3053" s="1">
        <v>0</v>
      </c>
      <c r="AF3053" s="1">
        <f ca="1">IFERROR(__xludf.DUMMYFUNCTION("IFERROR(GOOGLEFINANCE(TRIM(F3053)&amp;"":"" &amp; TRIM(B3053),""high52""),AE3053)"),111.5)</f>
        <v>111.5</v>
      </c>
      <c r="AG3053" s="1">
        <v>0</v>
      </c>
      <c r="AH3053" s="1">
        <f ca="1">IFERROR(__xludf.DUMMYFUNCTION("IFERROR(GOOGLEFINANCE(TRIM(F3053)&amp;"":"" &amp; TRIM(B3053),""low52""),AE3053)"),65.32)</f>
        <v>65.319999999999993</v>
      </c>
      <c r="AI3053" s="1">
        <f ca="1">IFERROR(__xludf.DUMMYFUNCTION("IFERROR(GOOGLEFINANCE(B3053,""eps""),0)"),6.19)</f>
        <v>6.19</v>
      </c>
      <c r="AJ3053" s="1"/>
      <c r="AK3053" s="1" t="s">
        <v>9408</v>
      </c>
      <c r="AL3053" s="9">
        <f t="shared" si="296"/>
        <v>1</v>
      </c>
    </row>
    <row r="3054" spans="1:38" ht="15" x14ac:dyDescent="0.25">
      <c r="A3054" s="1" t="s">
        <v>9409</v>
      </c>
      <c r="B3054" s="1" t="s">
        <v>9410</v>
      </c>
      <c r="C3054" s="1" t="s">
        <v>43</v>
      </c>
      <c r="D3054" s="1" t="s">
        <v>43</v>
      </c>
      <c r="E3054" s="6">
        <v>810.87</v>
      </c>
      <c r="F3054" s="1" t="s">
        <v>40</v>
      </c>
      <c r="G3054" s="6">
        <f ca="1">IFERROR(__xludf.DUMMYFUNCTION("iferror(GOOGLEFINANCE(TRIM(F3054)&amp;"":"" &amp; TRIM(B3054), ""price""),0
)"),44.97)</f>
        <v>44.97</v>
      </c>
      <c r="H3054" s="6">
        <v>76.260000000000005</v>
      </c>
      <c r="I3054" s="6">
        <f t="shared" ca="1" si="0"/>
        <v>44.97</v>
      </c>
      <c r="J3054" s="6">
        <f ca="1">IFERROR(__xludf.DUMMYFUNCTION("IFERROR(GOOGLEFINANCE(B3054, ""volume""), 0)"),72949)</f>
        <v>72949</v>
      </c>
      <c r="K3054" s="6">
        <v>0.24</v>
      </c>
      <c r="L3054" s="6">
        <f ca="1">IFERROR(__xludf.DUMMYFUNCTION("IFERROR(GOOGLEFINANCE(B3054,""changepct""),K3054)"),-0.9)</f>
        <v>-0.9</v>
      </c>
      <c r="M3054" s="6">
        <f ca="1">IFERROR(__xludf.DUMMYFUNCTION("IFERROR(GOOGLEFINANCE(B3054,""change""),0)"),-0.41)</f>
        <v>-0.41</v>
      </c>
      <c r="N3054" s="6">
        <v>2</v>
      </c>
      <c r="O3054" s="7">
        <v>45536</v>
      </c>
      <c r="P3054" s="6">
        <v>43.86</v>
      </c>
      <c r="Q3054" s="7">
        <v>45536</v>
      </c>
      <c r="R3054" s="6">
        <v>18.579999999999998</v>
      </c>
      <c r="S3054" s="9"/>
      <c r="T3054" s="6">
        <v>3.24</v>
      </c>
      <c r="U3054" s="6">
        <v>2</v>
      </c>
      <c r="V3054" s="7">
        <v>45352</v>
      </c>
      <c r="W3054" s="6">
        <f ca="1">IFERROR(__xludf.DUMMYFUNCTION("IFERROR(GOOGLEFINANCE(B3054,""pe""),V3054)"),12.22)</f>
        <v>12.22</v>
      </c>
      <c r="X3054" s="6">
        <v>0.11</v>
      </c>
      <c r="Y3054" s="6">
        <v>17.57</v>
      </c>
      <c r="Z3054" s="6">
        <v>28.86</v>
      </c>
      <c r="AA3054" s="3" t="s">
        <v>9411</v>
      </c>
      <c r="AB3054" s="3"/>
      <c r="AC3054" s="9"/>
      <c r="AD3054" s="9"/>
      <c r="AE3054" s="1">
        <v>0</v>
      </c>
      <c r="AF3054" s="1">
        <f ca="1">IFERROR(__xludf.DUMMYFUNCTION("IFERROR(GOOGLEFINANCE(TRIM(F3054)&amp;"":"" &amp; TRIM(B3054),""high52""),AE3054)"),73.8)</f>
        <v>73.8</v>
      </c>
      <c r="AG3054" s="1">
        <v>0</v>
      </c>
      <c r="AH3054" s="1">
        <f ca="1">IFERROR(__xludf.DUMMYFUNCTION("IFERROR(GOOGLEFINANCE(TRIM(F3054)&amp;"":"" &amp; TRIM(B3054),""low52""),AE3054)"),43.9)</f>
        <v>43.9</v>
      </c>
      <c r="AI3054" s="1">
        <f ca="1">IFERROR(__xludf.DUMMYFUNCTION("IFERROR(GOOGLEFINANCE(B3054,""eps""),0)"),3.68)</f>
        <v>3.68</v>
      </c>
      <c r="AJ3054" s="1"/>
      <c r="AK3054" s="1" t="s">
        <v>9412</v>
      </c>
      <c r="AL3054" s="9">
        <f t="shared" si="296"/>
        <v>1</v>
      </c>
    </row>
    <row r="3055" spans="1:38" ht="15" x14ac:dyDescent="0.25">
      <c r="A3055" s="1" t="s">
        <v>9413</v>
      </c>
      <c r="B3055" s="1" t="s">
        <v>9414</v>
      </c>
      <c r="C3055" s="1" t="s">
        <v>106</v>
      </c>
      <c r="D3055" s="1" t="s">
        <v>106</v>
      </c>
      <c r="E3055" s="6">
        <v>66.010000000000005</v>
      </c>
      <c r="F3055" s="1" t="s">
        <v>53</v>
      </c>
      <c r="G3055" s="6">
        <f ca="1">IFERROR(__xludf.DUMMYFUNCTION("iferror(GOOGLEFINANCE(TRIM(F3055)&amp;"":"" &amp; TRIM(B3055), ""price""),0
)"),0)</f>
        <v>0</v>
      </c>
      <c r="H3055" s="6">
        <v>57.98</v>
      </c>
      <c r="I3055" s="6">
        <f t="shared" ca="1" si="0"/>
        <v>57.98</v>
      </c>
      <c r="J3055" s="6">
        <f ca="1">IFERROR(__xludf.DUMMYFUNCTION("IFERROR(GOOGLEFINANCE(B3055, ""volume""), 0)"),0)</f>
        <v>0</v>
      </c>
      <c r="K3055" s="6">
        <v>1.54</v>
      </c>
      <c r="L3055" s="6">
        <f ca="1">IFERROR(__xludf.DUMMYFUNCTION("IFERROR(GOOGLEFINANCE(B3055,""changepct""),K3055)"),1.54)</f>
        <v>1.54</v>
      </c>
      <c r="M3055" s="6">
        <f ca="1">IFERROR(__xludf.DUMMYFUNCTION("IFERROR(GOOGLEFINANCE(B3055,""change""),0)"),0)</f>
        <v>0</v>
      </c>
      <c r="N3055" s="6">
        <v>1</v>
      </c>
      <c r="O3055" s="7">
        <v>45536</v>
      </c>
      <c r="P3055" s="6">
        <v>1.1200000000000001</v>
      </c>
      <c r="Q3055" s="6">
        <v>67.12</v>
      </c>
      <c r="R3055" s="7">
        <v>45352</v>
      </c>
      <c r="S3055" s="6">
        <v>40.020000000000003</v>
      </c>
      <c r="T3055" s="6">
        <v>6.2</v>
      </c>
      <c r="U3055" s="7">
        <v>45352</v>
      </c>
      <c r="V3055" s="6">
        <v>10.65</v>
      </c>
      <c r="W3055" s="6">
        <f ca="1">IFERROR(__xludf.DUMMYFUNCTION("IFERROR(GOOGLEFINANCE(B3055,""pe""),V3055)"),10.65)</f>
        <v>10.65</v>
      </c>
      <c r="X3055" s="9"/>
      <c r="Y3055" s="6">
        <v>1.89</v>
      </c>
      <c r="Z3055" s="6">
        <v>1</v>
      </c>
      <c r="AA3055" s="8">
        <v>45352</v>
      </c>
      <c r="AB3055" s="4">
        <v>0.02</v>
      </c>
      <c r="AC3055" s="6">
        <v>25.58</v>
      </c>
      <c r="AD3055" s="6">
        <v>33.619999999999997</v>
      </c>
      <c r="AE3055" s="1">
        <v>0</v>
      </c>
      <c r="AF3055" s="1">
        <f ca="1">IFERROR(__xludf.DUMMYFUNCTION("IFERROR(GOOGLEFINANCE(TRIM(F3055)&amp;"":"" &amp; TRIM(B3055),""high52""),AE3055)"),0)</f>
        <v>0</v>
      </c>
      <c r="AG3055" s="1">
        <v>0</v>
      </c>
      <c r="AH3055" s="1">
        <f ca="1">IFERROR(__xludf.DUMMYFUNCTION("IFERROR(GOOGLEFINANCE(TRIM(F3055)&amp;"":"" &amp; TRIM(B3055),""low52""),AE3055)"),0)</f>
        <v>0</v>
      </c>
      <c r="AI3055" s="1">
        <f ca="1">IFERROR(__xludf.DUMMYFUNCTION("IFERROR(GOOGLEFINANCE(B3055,""eps""),0)"),0)</f>
        <v>0</v>
      </c>
      <c r="AJ3055" s="1"/>
      <c r="AK3055" s="1" t="s">
        <v>9415</v>
      </c>
      <c r="AL3055" s="9">
        <f t="shared" si="296"/>
        <v>1</v>
      </c>
    </row>
    <row r="3056" spans="1:38" ht="15" x14ac:dyDescent="0.25">
      <c r="A3056" s="1" t="s">
        <v>9416</v>
      </c>
      <c r="B3056" s="1" t="s">
        <v>9417</v>
      </c>
      <c r="C3056" s="1" t="s">
        <v>106</v>
      </c>
      <c r="D3056" s="1" t="s">
        <v>106</v>
      </c>
      <c r="E3056" s="6">
        <v>870.2</v>
      </c>
      <c r="F3056" s="1" t="s">
        <v>53</v>
      </c>
      <c r="G3056" s="6">
        <f ca="1">IFERROR(__xludf.DUMMYFUNCTION("iferror(GOOGLEFINANCE(TRIM(F3056)&amp;"":"" &amp; TRIM(B3056), ""price""),0
)"),0)</f>
        <v>0</v>
      </c>
      <c r="H3056" s="6">
        <v>684.5</v>
      </c>
      <c r="I3056" s="6">
        <f t="shared" ca="1" si="0"/>
        <v>684.5</v>
      </c>
      <c r="J3056" s="6">
        <f ca="1">IFERROR(__xludf.DUMMYFUNCTION("IFERROR(GOOGLEFINANCE(B3056, ""volume""), 0)"),0)</f>
        <v>0</v>
      </c>
      <c r="K3056" s="6">
        <v>0.98</v>
      </c>
      <c r="L3056" s="6">
        <f ca="1">IFERROR(__xludf.DUMMYFUNCTION("IFERROR(GOOGLEFINANCE(B3056,""changepct""),K3056)"),0.98)</f>
        <v>0.98</v>
      </c>
      <c r="M3056" s="6">
        <f ca="1">IFERROR(__xludf.DUMMYFUNCTION("IFERROR(GOOGLEFINANCE(B3056,""change""),0)"),0)</f>
        <v>0</v>
      </c>
      <c r="N3056" s="6">
        <v>2</v>
      </c>
      <c r="O3056" s="7">
        <v>45536</v>
      </c>
      <c r="P3056" s="6">
        <v>33.700000000000003</v>
      </c>
      <c r="Q3056" s="6">
        <v>889.17</v>
      </c>
      <c r="R3056" s="7">
        <v>45352</v>
      </c>
      <c r="S3056" s="6">
        <v>125.9</v>
      </c>
      <c r="T3056" s="6">
        <v>28.11</v>
      </c>
      <c r="U3056" s="7">
        <v>45352</v>
      </c>
      <c r="V3056" s="6">
        <v>30.96</v>
      </c>
      <c r="W3056" s="6">
        <f ca="1">IFERROR(__xludf.DUMMYFUNCTION("IFERROR(GOOGLEFINANCE(B3056,""pe""),V3056)"),30.96)</f>
        <v>30.96</v>
      </c>
      <c r="X3056" s="6">
        <v>0.88</v>
      </c>
      <c r="Y3056" s="6">
        <v>6.54</v>
      </c>
      <c r="Z3056" s="6">
        <v>2</v>
      </c>
      <c r="AA3056" s="8">
        <v>45352</v>
      </c>
      <c r="AB3056" s="4">
        <v>0.3</v>
      </c>
      <c r="AC3056" s="6">
        <v>34.22</v>
      </c>
      <c r="AD3056" s="6">
        <v>37.81</v>
      </c>
      <c r="AE3056" s="1">
        <v>0</v>
      </c>
      <c r="AF3056" s="1">
        <f ca="1">IFERROR(__xludf.DUMMYFUNCTION("IFERROR(GOOGLEFINANCE(TRIM(F3056)&amp;"":"" &amp; TRIM(B3056),""high52""),AE3056)"),0)</f>
        <v>0</v>
      </c>
      <c r="AG3056" s="1">
        <v>0</v>
      </c>
      <c r="AH3056" s="1">
        <f ca="1">IFERROR(__xludf.DUMMYFUNCTION("IFERROR(GOOGLEFINANCE(TRIM(F3056)&amp;"":"" &amp; TRIM(B3056),""low52""),AE3056)"),0)</f>
        <v>0</v>
      </c>
      <c r="AI3056" s="1">
        <f ca="1">IFERROR(__xludf.DUMMYFUNCTION("IFERROR(GOOGLEFINANCE(B3056,""eps""),0)"),0)</f>
        <v>0</v>
      </c>
      <c r="AJ3056" s="1"/>
      <c r="AK3056" s="1" t="s">
        <v>9418</v>
      </c>
      <c r="AL3056" s="9">
        <f t="shared" si="296"/>
        <v>1</v>
      </c>
    </row>
    <row r="3057" spans="1:38" ht="15" x14ac:dyDescent="0.25">
      <c r="A3057" s="1" t="s">
        <v>9419</v>
      </c>
      <c r="B3057" s="1" t="s">
        <v>9420</v>
      </c>
      <c r="C3057" s="1" t="s">
        <v>643</v>
      </c>
      <c r="D3057" s="1" t="s">
        <v>643</v>
      </c>
      <c r="E3057" s="6">
        <v>34566.07</v>
      </c>
      <c r="F3057" s="1" t="s">
        <v>40</v>
      </c>
      <c r="G3057" s="6">
        <f ca="1">IFERROR(__xludf.DUMMYFUNCTION("iferror(GOOGLEFINANCE(TRIM(F3057)&amp;"":"" &amp; TRIM(B3057), ""price""),0
)"),2774.9)</f>
        <v>2774.9</v>
      </c>
      <c r="H3057" s="6">
        <v>2602.9499999999998</v>
      </c>
      <c r="I3057" s="6">
        <f t="shared" ca="1" si="0"/>
        <v>2774.9</v>
      </c>
      <c r="J3057" s="6">
        <f ca="1">IFERROR(__xludf.DUMMYFUNCTION("IFERROR(GOOGLEFINANCE(B3057, ""volume""), 0)"),306607)</f>
        <v>306607</v>
      </c>
      <c r="K3057" s="6">
        <v>0.62</v>
      </c>
      <c r="L3057" s="6">
        <f ca="1">IFERROR(__xludf.DUMMYFUNCTION("IFERROR(GOOGLEFINANCE(B3057,""changepct""),K3057)"),1.11)</f>
        <v>1.1100000000000001</v>
      </c>
      <c r="M3057" s="6">
        <f ca="1">IFERROR(__xludf.DUMMYFUNCTION("IFERROR(GOOGLEFINANCE(B3057,""change""),0)"),30.5)</f>
        <v>30.5</v>
      </c>
      <c r="N3057" s="6">
        <v>2</v>
      </c>
      <c r="O3057" s="7">
        <v>45536</v>
      </c>
      <c r="P3057" s="6">
        <v>815.25</v>
      </c>
      <c r="Q3057" s="6">
        <v>35310.53</v>
      </c>
      <c r="R3057" s="7">
        <v>45536</v>
      </c>
      <c r="S3057" s="6">
        <v>16312.8</v>
      </c>
      <c r="T3057" s="6">
        <v>289.16000000000003</v>
      </c>
      <c r="U3057" s="7">
        <v>45536</v>
      </c>
      <c r="V3057" s="6">
        <v>120.39</v>
      </c>
      <c r="W3057" s="6">
        <f ca="1">IFERROR(__xludf.DUMMYFUNCTION("IFERROR(GOOGLEFINANCE(B3057,""pe""),V3057)"),71.89)</f>
        <v>71.89</v>
      </c>
      <c r="X3057" s="6">
        <v>19.45</v>
      </c>
      <c r="Y3057" s="6">
        <v>13.48</v>
      </c>
      <c r="Z3057" s="6">
        <v>2</v>
      </c>
      <c r="AA3057" s="8">
        <v>45352</v>
      </c>
      <c r="AB3057" s="4">
        <v>0.3</v>
      </c>
      <c r="AC3057" s="6">
        <v>11.31</v>
      </c>
      <c r="AD3057" s="6">
        <v>13.42</v>
      </c>
      <c r="AE3057" s="1">
        <v>0</v>
      </c>
      <c r="AF3057" s="1">
        <f ca="1">IFERROR(__xludf.DUMMYFUNCTION("IFERROR(GOOGLEFINANCE(TRIM(F3057)&amp;"":"" &amp; TRIM(B3057),""high52""),AE3057)"),3591.9)</f>
        <v>3591.9</v>
      </c>
      <c r="AG3057" s="1">
        <v>0</v>
      </c>
      <c r="AH3057" s="1">
        <f ca="1">IFERROR(__xludf.DUMMYFUNCTION("IFERROR(GOOGLEFINANCE(TRIM(F3057)&amp;"":"" &amp; TRIM(B3057),""low52""),AE3057)"),1845.5)</f>
        <v>1845.5</v>
      </c>
      <c r="AI3057" s="1">
        <f ca="1">IFERROR(__xludf.DUMMYFUNCTION("IFERROR(GOOGLEFINANCE(B3057,""eps""),0)"),38.6)</f>
        <v>38.6</v>
      </c>
      <c r="AJ3057" s="1"/>
      <c r="AK3057" s="1" t="s">
        <v>9421</v>
      </c>
      <c r="AL3057" s="1" t="b">
        <f>ISNUMBER(AA3057)</f>
        <v>1</v>
      </c>
    </row>
    <row r="3058" spans="1:38" ht="15" x14ac:dyDescent="0.25">
      <c r="A3058" s="1" t="s">
        <v>9422</v>
      </c>
      <c r="B3058" s="1" t="s">
        <v>9423</v>
      </c>
      <c r="C3058" s="1" t="s">
        <v>106</v>
      </c>
      <c r="D3058" s="1" t="s">
        <v>106</v>
      </c>
      <c r="E3058" s="6">
        <v>1114.49</v>
      </c>
      <c r="F3058" s="1" t="s">
        <v>53</v>
      </c>
      <c r="G3058" s="6">
        <f ca="1">IFERROR(__xludf.DUMMYFUNCTION("iferror(GOOGLEFINANCE(TRIM(F3058)&amp;"":"" &amp; TRIM(B3058), ""price""),0
)"),0)</f>
        <v>0</v>
      </c>
      <c r="H3058" s="6">
        <v>46.9</v>
      </c>
      <c r="I3058" s="6">
        <f t="shared" ca="1" si="0"/>
        <v>46.9</v>
      </c>
      <c r="J3058" s="6">
        <f ca="1">IFERROR(__xludf.DUMMYFUNCTION("IFERROR(GOOGLEFINANCE(B3058, ""volume""), 0)"),0)</f>
        <v>0</v>
      </c>
      <c r="K3058" s="6">
        <v>1.27</v>
      </c>
      <c r="L3058" s="6">
        <f ca="1">IFERROR(__xludf.DUMMYFUNCTION("IFERROR(GOOGLEFINANCE(B3058,""changepct""),K3058)"),1.27)</f>
        <v>1.27</v>
      </c>
      <c r="M3058" s="6">
        <f ca="1">IFERROR(__xludf.DUMMYFUNCTION("IFERROR(GOOGLEFINANCE(B3058,""change""),0)"),0)</f>
        <v>0</v>
      </c>
      <c r="N3058" s="6">
        <v>1</v>
      </c>
      <c r="O3058" s="7">
        <v>45536</v>
      </c>
      <c r="P3058" s="6">
        <v>126.34</v>
      </c>
      <c r="Q3058" s="6">
        <v>1240.83</v>
      </c>
      <c r="R3058" s="7">
        <v>45352</v>
      </c>
      <c r="S3058" s="6">
        <v>465.56</v>
      </c>
      <c r="T3058" s="6">
        <v>11.36</v>
      </c>
      <c r="U3058" s="7">
        <v>45352</v>
      </c>
      <c r="V3058" s="6">
        <v>98.14</v>
      </c>
      <c r="W3058" s="6">
        <f ca="1">IFERROR(__xludf.DUMMYFUNCTION("IFERROR(GOOGLEFINANCE(B3058,""pe""),V3058)"),98.14)</f>
        <v>98.14</v>
      </c>
      <c r="X3058" s="9"/>
      <c r="Y3058" s="6">
        <v>9.99</v>
      </c>
      <c r="Z3058" s="6">
        <v>2</v>
      </c>
      <c r="AA3058" s="8">
        <v>45352</v>
      </c>
      <c r="AB3058" s="4">
        <v>0.94</v>
      </c>
      <c r="AC3058" s="6">
        <v>10.77</v>
      </c>
      <c r="AD3058" s="6">
        <v>13.75</v>
      </c>
      <c r="AE3058" s="1">
        <v>0</v>
      </c>
      <c r="AF3058" s="1">
        <f ca="1">IFERROR(__xludf.DUMMYFUNCTION("IFERROR(GOOGLEFINANCE(TRIM(F3058)&amp;"":"" &amp; TRIM(B3058),""high52""),AE3058)"),0)</f>
        <v>0</v>
      </c>
      <c r="AG3058" s="1">
        <v>0</v>
      </c>
      <c r="AH3058" s="1">
        <f ca="1">IFERROR(__xludf.DUMMYFUNCTION("IFERROR(GOOGLEFINANCE(TRIM(F3058)&amp;"":"" &amp; TRIM(B3058),""low52""),AE3058)"),0)</f>
        <v>0</v>
      </c>
      <c r="AI3058" s="1">
        <f ca="1">IFERROR(__xludf.DUMMYFUNCTION("IFERROR(GOOGLEFINANCE(B3058,""eps""),0)"),0)</f>
        <v>0</v>
      </c>
      <c r="AJ3058" s="1"/>
      <c r="AK3058" s="1" t="s">
        <v>9424</v>
      </c>
      <c r="AL3058" s="9">
        <f t="shared" ref="AL3058:AL3071" si="297">IF(AA3058&lt;&gt;AB3058,1,0)</f>
        <v>1</v>
      </c>
    </row>
    <row r="3059" spans="1:38" ht="15" x14ac:dyDescent="0.25">
      <c r="A3059" s="1" t="s">
        <v>9425</v>
      </c>
      <c r="B3059" s="1" t="s">
        <v>9426</v>
      </c>
      <c r="C3059" s="1" t="s">
        <v>106</v>
      </c>
      <c r="D3059" s="1" t="s">
        <v>106</v>
      </c>
      <c r="E3059" s="6">
        <v>332.61</v>
      </c>
      <c r="F3059" s="1" t="s">
        <v>53</v>
      </c>
      <c r="G3059" s="6">
        <f ca="1">IFERROR(__xludf.DUMMYFUNCTION("iferror(GOOGLEFINANCE(TRIM(F3059)&amp;"":"" &amp; TRIM(B3059), ""price""),0
)"),0)</f>
        <v>0</v>
      </c>
      <c r="H3059" s="6">
        <v>285</v>
      </c>
      <c r="I3059" s="6">
        <f t="shared" ca="1" si="0"/>
        <v>285</v>
      </c>
      <c r="J3059" s="6">
        <f ca="1">IFERROR(__xludf.DUMMYFUNCTION("IFERROR(GOOGLEFINANCE(B3059, ""volume""), 0)"),0)</f>
        <v>0</v>
      </c>
      <c r="K3059" s="6">
        <v>-1.47</v>
      </c>
      <c r="L3059" s="6">
        <f ca="1">IFERROR(__xludf.DUMMYFUNCTION("IFERROR(GOOGLEFINANCE(B3059,""changepct""),K3059)"),-1.47)</f>
        <v>-1.47</v>
      </c>
      <c r="M3059" s="6">
        <f ca="1">IFERROR(__xludf.DUMMYFUNCTION("IFERROR(GOOGLEFINANCE(B3059,""change""),0)"),0)</f>
        <v>0</v>
      </c>
      <c r="N3059" s="6">
        <v>2</v>
      </c>
      <c r="O3059" s="7">
        <v>45536</v>
      </c>
      <c r="P3059" s="6">
        <v>22.84</v>
      </c>
      <c r="Q3059" s="6">
        <v>355.45</v>
      </c>
      <c r="R3059" s="7">
        <v>45352</v>
      </c>
      <c r="S3059" s="6">
        <v>44.63</v>
      </c>
      <c r="T3059" s="6">
        <v>5.94</v>
      </c>
      <c r="U3059" s="7">
        <v>45352</v>
      </c>
      <c r="V3059" s="6">
        <v>52.43</v>
      </c>
      <c r="W3059" s="6">
        <f ca="1">IFERROR(__xludf.DUMMYFUNCTION("IFERROR(GOOGLEFINANCE(B3059,""pe""),V3059)"),52.43)</f>
        <v>52.43</v>
      </c>
      <c r="X3059" s="9"/>
      <c r="Y3059" s="6">
        <v>5.98</v>
      </c>
      <c r="Z3059" s="6">
        <v>2</v>
      </c>
      <c r="AA3059" s="8">
        <v>45352</v>
      </c>
      <c r="AB3059" s="4">
        <v>0.37</v>
      </c>
      <c r="AC3059" s="6">
        <v>12.52</v>
      </c>
      <c r="AD3059" s="6">
        <v>15.32</v>
      </c>
      <c r="AE3059" s="1">
        <v>0</v>
      </c>
      <c r="AF3059" s="1">
        <f ca="1">IFERROR(__xludf.DUMMYFUNCTION("IFERROR(GOOGLEFINANCE(TRIM(F3059)&amp;"":"" &amp; TRIM(B3059),""high52""),AE3059)"),0)</f>
        <v>0</v>
      </c>
      <c r="AG3059" s="1">
        <v>0</v>
      </c>
      <c r="AH3059" s="1">
        <f ca="1">IFERROR(__xludf.DUMMYFUNCTION("IFERROR(GOOGLEFINANCE(TRIM(F3059)&amp;"":"" &amp; TRIM(B3059),""low52""),AE3059)"),0)</f>
        <v>0</v>
      </c>
      <c r="AI3059" s="1">
        <f ca="1">IFERROR(__xludf.DUMMYFUNCTION("IFERROR(GOOGLEFINANCE(B3059,""eps""),0)"),0)</f>
        <v>0</v>
      </c>
      <c r="AJ3059" s="1"/>
      <c r="AK3059" s="1" t="s">
        <v>9427</v>
      </c>
      <c r="AL3059" s="9">
        <f t="shared" si="297"/>
        <v>1</v>
      </c>
    </row>
    <row r="3060" spans="1:38" ht="15" x14ac:dyDescent="0.25">
      <c r="A3060" s="1" t="s">
        <v>9428</v>
      </c>
      <c r="B3060" s="1" t="s">
        <v>9429</v>
      </c>
      <c r="C3060" s="1" t="s">
        <v>1739</v>
      </c>
      <c r="D3060" s="1" t="s">
        <v>1739</v>
      </c>
      <c r="E3060" s="6">
        <v>80.349999999999994</v>
      </c>
      <c r="F3060" s="1" t="s">
        <v>40</v>
      </c>
      <c r="G3060" s="6">
        <f ca="1">IFERROR(__xludf.DUMMYFUNCTION("iferror(GOOGLEFINANCE(TRIM(F3060)&amp;"":"" &amp; TRIM(B3060), ""price""),0
)"),0)</f>
        <v>0</v>
      </c>
      <c r="H3060" s="6">
        <v>114</v>
      </c>
      <c r="I3060" s="6">
        <f t="shared" ca="1" si="0"/>
        <v>114</v>
      </c>
      <c r="J3060" s="6">
        <f ca="1">IFERROR(__xludf.DUMMYFUNCTION("IFERROR(GOOGLEFINANCE(B3060, ""volume""), 0)"),0)</f>
        <v>0</v>
      </c>
      <c r="K3060" s="9"/>
      <c r="L3060" s="6" t="str">
        <f ca="1">IFERROR(__xludf.DUMMYFUNCTION("IFERROR(GOOGLEFINANCE(B3060,""changepct""),K3060)"),"")</f>
        <v/>
      </c>
      <c r="M3060" s="6">
        <f ca="1">IFERROR(__xludf.DUMMYFUNCTION("IFERROR(GOOGLEFINANCE(B3060,""change""),0)"),0)</f>
        <v>0</v>
      </c>
      <c r="N3060" s="6">
        <v>1</v>
      </c>
      <c r="O3060" s="7">
        <v>45536</v>
      </c>
      <c r="P3060" s="6">
        <v>0.32</v>
      </c>
      <c r="Q3060" s="6">
        <v>80.67</v>
      </c>
      <c r="R3060" s="7">
        <v>45352</v>
      </c>
      <c r="S3060" s="6">
        <v>15.27</v>
      </c>
      <c r="T3060" s="6">
        <v>1.59</v>
      </c>
      <c r="U3060" s="7">
        <v>45352</v>
      </c>
      <c r="V3060" s="6">
        <v>50.57</v>
      </c>
      <c r="W3060" s="6">
        <f ca="1">IFERROR(__xludf.DUMMYFUNCTION("IFERROR(GOOGLEFINANCE(B3060,""pe""),V3060)"),50.57)</f>
        <v>50.57</v>
      </c>
      <c r="X3060" s="9"/>
      <c r="Y3060" s="6">
        <v>3.34</v>
      </c>
      <c r="Z3060" s="6">
        <v>2</v>
      </c>
      <c r="AA3060" s="8">
        <v>44986</v>
      </c>
      <c r="AB3060" s="4">
        <v>0.24</v>
      </c>
      <c r="AC3060" s="6">
        <v>55.02</v>
      </c>
      <c r="AD3060" s="6">
        <v>47.85</v>
      </c>
      <c r="AE3060" s="1">
        <v>0</v>
      </c>
      <c r="AF3060" s="1">
        <f ca="1">IFERROR(__xludf.DUMMYFUNCTION("IFERROR(GOOGLEFINANCE(TRIM(F3060)&amp;"":"" &amp; TRIM(B3060),""high52""),AE3060)"),0)</f>
        <v>0</v>
      </c>
      <c r="AG3060" s="1">
        <v>0</v>
      </c>
      <c r="AH3060" s="1">
        <f ca="1">IFERROR(__xludf.DUMMYFUNCTION("IFERROR(GOOGLEFINANCE(TRIM(F3060)&amp;"":"" &amp; TRIM(B3060),""low52""),AE3060)"),0)</f>
        <v>0</v>
      </c>
      <c r="AI3060" s="1">
        <f ca="1">IFERROR(__xludf.DUMMYFUNCTION("IFERROR(GOOGLEFINANCE(B3060,""eps""),0)"),0)</f>
        <v>0</v>
      </c>
      <c r="AJ3060" s="1"/>
      <c r="AK3060" s="1" t="s">
        <v>9430</v>
      </c>
      <c r="AL3060" s="9">
        <f t="shared" si="297"/>
        <v>1</v>
      </c>
    </row>
    <row r="3061" spans="1:38" ht="15" x14ac:dyDescent="0.25">
      <c r="A3061" s="1" t="s">
        <v>9431</v>
      </c>
      <c r="B3061" s="1" t="s">
        <v>9432</v>
      </c>
      <c r="C3061" s="1" t="s">
        <v>39</v>
      </c>
      <c r="D3061" s="1" t="s">
        <v>39</v>
      </c>
      <c r="E3061" s="6">
        <v>3494.99</v>
      </c>
      <c r="F3061" s="1" t="s">
        <v>40</v>
      </c>
      <c r="G3061" s="6">
        <f ca="1">IFERROR(__xludf.DUMMYFUNCTION("iferror(GOOGLEFINANCE(TRIM(F3061)&amp;"":"" &amp; TRIM(B3061), ""price""),0
)"),739.8)</f>
        <v>739.8</v>
      </c>
      <c r="H3061" s="6">
        <v>745.55</v>
      </c>
      <c r="I3061" s="6">
        <f t="shared" ca="1" si="0"/>
        <v>739.8</v>
      </c>
      <c r="J3061" s="6">
        <f ca="1">IFERROR(__xludf.DUMMYFUNCTION("IFERROR(GOOGLEFINANCE(B3061, ""volume""), 0)"),27861)</f>
        <v>27861</v>
      </c>
      <c r="K3061" s="6">
        <v>-2.4700000000000002</v>
      </c>
      <c r="L3061" s="6">
        <f ca="1">IFERROR(__xludf.DUMMYFUNCTION("IFERROR(GOOGLEFINANCE(B3061,""changepct""),K3061)"),1.48)</f>
        <v>1.48</v>
      </c>
      <c r="M3061" s="6">
        <f ca="1">IFERROR(__xludf.DUMMYFUNCTION("IFERROR(GOOGLEFINANCE(B3061,""change""),0)"),10.8)</f>
        <v>10.8</v>
      </c>
      <c r="N3061" s="6">
        <v>2</v>
      </c>
      <c r="O3061" s="7">
        <v>45536</v>
      </c>
      <c r="P3061" s="6">
        <v>7.91</v>
      </c>
      <c r="Q3061" s="6">
        <v>3496.73</v>
      </c>
      <c r="R3061" s="7">
        <v>45536</v>
      </c>
      <c r="S3061" s="6">
        <v>164.18</v>
      </c>
      <c r="T3061" s="6">
        <v>30.92</v>
      </c>
      <c r="U3061" s="7">
        <v>45536</v>
      </c>
      <c r="V3061" s="6">
        <v>113.04</v>
      </c>
      <c r="W3061" s="6">
        <f ca="1">IFERROR(__xludf.DUMMYFUNCTION("IFERROR(GOOGLEFINANCE(B3061,""pe""),V3061)"),68.22)</f>
        <v>68.22</v>
      </c>
      <c r="X3061" s="12"/>
      <c r="Y3061" s="6">
        <v>17.79</v>
      </c>
      <c r="Z3061" s="6">
        <v>2</v>
      </c>
      <c r="AA3061" s="8">
        <v>45352</v>
      </c>
      <c r="AB3061" s="4">
        <v>0.06</v>
      </c>
      <c r="AC3061" s="6">
        <v>17.829999999999998</v>
      </c>
      <c r="AD3061" s="6">
        <v>22.89</v>
      </c>
      <c r="AE3061" s="1">
        <v>0</v>
      </c>
      <c r="AF3061" s="1">
        <f ca="1">IFERROR(__xludf.DUMMYFUNCTION("IFERROR(GOOGLEFINANCE(TRIM(F3061)&amp;"":"" &amp; TRIM(B3061),""high52""),AE3061)"),1065.5)</f>
        <v>1065.5</v>
      </c>
      <c r="AG3061" s="1">
        <v>0</v>
      </c>
      <c r="AH3061" s="1">
        <f ca="1">IFERROR(__xludf.DUMMYFUNCTION("IFERROR(GOOGLEFINANCE(TRIM(F3061)&amp;"":"" &amp; TRIM(B3061),""low52""),AE3061)"),449.5)</f>
        <v>449.5</v>
      </c>
      <c r="AI3061" s="1">
        <f ca="1">IFERROR(__xludf.DUMMYFUNCTION("IFERROR(GOOGLEFINANCE(B3061,""eps""),0)"),10.84)</f>
        <v>10.84</v>
      </c>
      <c r="AJ3061" s="1"/>
      <c r="AK3061" s="1" t="s">
        <v>9433</v>
      </c>
      <c r="AL3061" s="9">
        <f t="shared" si="297"/>
        <v>1</v>
      </c>
    </row>
    <row r="3062" spans="1:38" ht="15" x14ac:dyDescent="0.25">
      <c r="A3062" s="1" t="s">
        <v>9434</v>
      </c>
      <c r="B3062" s="1" t="s">
        <v>9435</v>
      </c>
      <c r="C3062" s="1" t="s">
        <v>86</v>
      </c>
      <c r="D3062" s="1" t="s">
        <v>86</v>
      </c>
      <c r="E3062" s="6">
        <v>89562.04</v>
      </c>
      <c r="F3062" s="1" t="s">
        <v>40</v>
      </c>
      <c r="G3062" s="6">
        <f ca="1">IFERROR(__xludf.DUMMYFUNCTION("iferror(GOOGLEFINANCE(TRIM(F3062)&amp;"":"" &amp; TRIM(B3062), ""price""),0
)"),324.5)</f>
        <v>324.5</v>
      </c>
      <c r="H3062" s="6">
        <v>434.2</v>
      </c>
      <c r="I3062" s="6">
        <f t="shared" ca="1" si="0"/>
        <v>324.5</v>
      </c>
      <c r="J3062" s="6">
        <f ca="1">IFERROR(__xludf.DUMMYFUNCTION("IFERROR(GOOGLEFINANCE(B3062, ""volume""), 0)"),34)</f>
        <v>34</v>
      </c>
      <c r="K3062" s="6">
        <v>1.08</v>
      </c>
      <c r="L3062" s="6">
        <f ca="1">IFERROR(__xludf.DUMMYFUNCTION("IFERROR(GOOGLEFINANCE(B3062,""changepct""),K3062)"),-5.58)</f>
        <v>-5.58</v>
      </c>
      <c r="M3062" s="6">
        <f ca="1">IFERROR(__xludf.DUMMYFUNCTION("IFERROR(GOOGLEFINANCE(B3062,""change""),0)"),-1.83)</f>
        <v>-1.83</v>
      </c>
      <c r="N3062" s="6">
        <v>2</v>
      </c>
      <c r="O3062" s="7">
        <v>45536</v>
      </c>
      <c r="P3062" s="6">
        <v>5404.06</v>
      </c>
      <c r="Q3062" s="6">
        <v>90566.2</v>
      </c>
      <c r="R3062" s="7">
        <v>45536</v>
      </c>
      <c r="S3062" s="6">
        <v>20332.09</v>
      </c>
      <c r="T3062" s="6">
        <v>1288.58</v>
      </c>
      <c r="U3062" s="7">
        <v>45536</v>
      </c>
      <c r="V3062" s="6">
        <v>66.44</v>
      </c>
      <c r="W3062" s="6">
        <f ca="1">IFERROR(__xludf.DUMMYFUNCTION("IFERROR(GOOGLEFINANCE(B3062,""pe""),V3062)"),66.44)</f>
        <v>66.44</v>
      </c>
      <c r="X3062" s="6">
        <v>3.62</v>
      </c>
      <c r="Y3062" s="6">
        <v>10.19</v>
      </c>
      <c r="Z3062" s="6">
        <v>2</v>
      </c>
      <c r="AA3062" s="8">
        <v>45352</v>
      </c>
      <c r="AB3062" s="4">
        <v>0.69</v>
      </c>
      <c r="AC3062" s="6">
        <v>19.690000000000001</v>
      </c>
      <c r="AD3062" s="6">
        <v>18.45</v>
      </c>
      <c r="AE3062" s="1">
        <v>0</v>
      </c>
      <c r="AF3062" s="1">
        <f ca="1">IFERROR(__xludf.DUMMYFUNCTION("IFERROR(GOOGLEFINANCE(TRIM(F3062)&amp;"":"" &amp; TRIM(B3062),""high52""),AE3062)"),447.8)</f>
        <v>447.8</v>
      </c>
      <c r="AG3062" s="1">
        <v>0</v>
      </c>
      <c r="AH3062" s="1">
        <f ca="1">IFERROR(__xludf.DUMMYFUNCTION("IFERROR(GOOGLEFINANCE(TRIM(F3062)&amp;"":"" &amp; TRIM(B3062),""low52""),AE3062)"),301.2)</f>
        <v>301.2</v>
      </c>
      <c r="AI3062" s="1">
        <f ca="1">IFERROR(__xludf.DUMMYFUNCTION("IFERROR(GOOGLEFINANCE(B3062,""eps""),0)"),0)</f>
        <v>0</v>
      </c>
      <c r="AJ3062" s="1"/>
      <c r="AK3062" s="1" t="s">
        <v>9436</v>
      </c>
      <c r="AL3062" s="9">
        <f t="shared" si="297"/>
        <v>1</v>
      </c>
    </row>
    <row r="3063" spans="1:38" ht="15" x14ac:dyDescent="0.25">
      <c r="A3063" s="1" t="s">
        <v>9437</v>
      </c>
      <c r="B3063" s="1" t="s">
        <v>9438</v>
      </c>
      <c r="C3063" s="1" t="s">
        <v>255</v>
      </c>
      <c r="D3063" s="1" t="s">
        <v>255</v>
      </c>
      <c r="E3063" s="6">
        <v>13546.81</v>
      </c>
      <c r="F3063" s="1" t="s">
        <v>40</v>
      </c>
      <c r="G3063" s="6">
        <f ca="1">IFERROR(__xludf.DUMMYFUNCTION("iferror(GOOGLEFINANCE(TRIM(F3063)&amp;"":"" &amp; TRIM(B3063), ""price""),0
)"),338.5)</f>
        <v>338.5</v>
      </c>
      <c r="H3063" s="6">
        <v>421.9</v>
      </c>
      <c r="I3063" s="6">
        <f t="shared" ca="1" si="0"/>
        <v>338.5</v>
      </c>
      <c r="J3063" s="6">
        <f ca="1">IFERROR(__xludf.DUMMYFUNCTION("IFERROR(GOOGLEFINANCE(B3063, ""volume""), 0)"),1326999)</f>
        <v>1326999</v>
      </c>
      <c r="K3063" s="6">
        <v>-0.08</v>
      </c>
      <c r="L3063" s="6">
        <f ca="1">IFERROR(__xludf.DUMMYFUNCTION("IFERROR(GOOGLEFINANCE(B3063,""changepct""),K3063)"),1.94)</f>
        <v>1.94</v>
      </c>
      <c r="M3063" s="6">
        <f ca="1">IFERROR(__xludf.DUMMYFUNCTION("IFERROR(GOOGLEFINANCE(B3063,""change""),0)"),6.45)</f>
        <v>6.45</v>
      </c>
      <c r="N3063" s="6">
        <v>1</v>
      </c>
      <c r="O3063" s="7">
        <v>45536</v>
      </c>
      <c r="P3063" s="9"/>
      <c r="Q3063" s="6">
        <v>13280.45</v>
      </c>
      <c r="R3063" s="7">
        <v>45536</v>
      </c>
      <c r="S3063" s="6">
        <v>2902.66</v>
      </c>
      <c r="T3063" s="6">
        <v>260.98</v>
      </c>
      <c r="U3063" s="7">
        <v>45536</v>
      </c>
      <c r="V3063" s="6">
        <v>51.91</v>
      </c>
      <c r="W3063" s="6">
        <f ca="1">IFERROR(__xludf.DUMMYFUNCTION("IFERROR(GOOGLEFINANCE(B3063,""pe""),V3063)"),33.89)</f>
        <v>33.89</v>
      </c>
      <c r="X3063" s="12"/>
      <c r="Y3063" s="6">
        <v>7.17</v>
      </c>
      <c r="Z3063" s="6">
        <v>2</v>
      </c>
      <c r="AA3063" s="8">
        <v>44986</v>
      </c>
      <c r="AB3063" s="4">
        <v>0</v>
      </c>
      <c r="AC3063" s="6">
        <v>11.91</v>
      </c>
      <c r="AD3063" s="6">
        <v>16.809999999999999</v>
      </c>
      <c r="AE3063" s="1">
        <v>0</v>
      </c>
      <c r="AF3063" s="1">
        <f ca="1">IFERROR(__xludf.DUMMYFUNCTION("IFERROR(GOOGLEFINANCE(TRIM(F3063)&amp;"":"" &amp; TRIM(B3063),""high52""),AE3063)"),478.95)</f>
        <v>478.95</v>
      </c>
      <c r="AG3063" s="1">
        <v>0</v>
      </c>
      <c r="AH3063" s="1">
        <f ca="1">IFERROR(__xludf.DUMMYFUNCTION("IFERROR(GOOGLEFINANCE(TRIM(F3063)&amp;"":"" &amp; TRIM(B3063),""low52""),AE3063)"),265.5)</f>
        <v>265.5</v>
      </c>
      <c r="AI3063" s="1">
        <f ca="1">IFERROR(__xludf.DUMMYFUNCTION("IFERROR(GOOGLEFINANCE(B3063,""eps""),0)"),9.99)</f>
        <v>9.99</v>
      </c>
      <c r="AJ3063" s="1"/>
      <c r="AK3063" s="1" t="s">
        <v>9439</v>
      </c>
      <c r="AL3063" s="9">
        <f t="shared" si="297"/>
        <v>1</v>
      </c>
    </row>
    <row r="3064" spans="1:38" ht="15" x14ac:dyDescent="0.25">
      <c r="A3064" s="1" t="s">
        <v>9440</v>
      </c>
      <c r="B3064" s="1" t="s">
        <v>9441</v>
      </c>
      <c r="C3064" s="1" t="s">
        <v>470</v>
      </c>
      <c r="D3064" s="1" t="s">
        <v>470</v>
      </c>
      <c r="E3064" s="6">
        <v>5958.36</v>
      </c>
      <c r="F3064" s="1" t="s">
        <v>40</v>
      </c>
      <c r="G3064" s="6">
        <f ca="1">IFERROR(__xludf.DUMMYFUNCTION("iferror(GOOGLEFINANCE(TRIM(F3064)&amp;"":"" &amp; TRIM(B3064), ""price""),0
)"),155.1)</f>
        <v>155.1</v>
      </c>
      <c r="H3064" s="6">
        <v>178.07</v>
      </c>
      <c r="I3064" s="6">
        <f t="shared" ca="1" si="0"/>
        <v>155.1</v>
      </c>
      <c r="J3064" s="6">
        <f ca="1">IFERROR(__xludf.DUMMYFUNCTION("IFERROR(GOOGLEFINANCE(B3064, ""volume""), 0)"),0)</f>
        <v>0</v>
      </c>
      <c r="K3064" s="6">
        <v>0.59</v>
      </c>
      <c r="L3064" s="6">
        <f ca="1">IFERROR(__xludf.DUMMYFUNCTION("IFERROR(GOOGLEFINANCE(B3064,""changepct""),K3064)"),-13.08)</f>
        <v>-13.08</v>
      </c>
      <c r="M3064" s="6">
        <f ca="1">IFERROR(__xludf.DUMMYFUNCTION("IFERROR(GOOGLEFINANCE(B3064,""change""),0)"),-0.36)</f>
        <v>-0.36</v>
      </c>
      <c r="N3064" s="6">
        <v>2</v>
      </c>
      <c r="O3064" s="7">
        <v>45444</v>
      </c>
      <c r="P3064" s="6">
        <v>7954.13</v>
      </c>
      <c r="Q3064" s="6">
        <v>12413.62</v>
      </c>
      <c r="R3064" s="7">
        <v>45536</v>
      </c>
      <c r="S3064" s="6">
        <v>15799.24</v>
      </c>
      <c r="T3064" s="6">
        <v>-1396.3</v>
      </c>
      <c r="U3064" s="7">
        <v>45536</v>
      </c>
      <c r="V3064" s="6">
        <v>0</v>
      </c>
      <c r="W3064" s="6">
        <f ca="1">IFERROR(__xludf.DUMMYFUNCTION("IFERROR(GOOGLEFINANCE(B3064,""pe""),V3064)"),0)</f>
        <v>0</v>
      </c>
      <c r="X3064" s="9"/>
      <c r="Y3064" s="6">
        <v>0.86</v>
      </c>
      <c r="Z3064" s="6">
        <v>2</v>
      </c>
      <c r="AA3064" s="8">
        <v>45261</v>
      </c>
      <c r="AB3064" s="4">
        <v>1.1100000000000001</v>
      </c>
      <c r="AC3064" s="6">
        <v>-10.1</v>
      </c>
      <c r="AD3064" s="6">
        <v>2.0299999999999998</v>
      </c>
      <c r="AE3064" s="1">
        <v>0</v>
      </c>
      <c r="AF3064" s="1">
        <f ca="1">IFERROR(__xludf.DUMMYFUNCTION("IFERROR(GOOGLEFINANCE(TRIM(F3064)&amp;"":"" &amp; TRIM(B3064),""high52""),AE3064)"),169.63)</f>
        <v>169.63</v>
      </c>
      <c r="AG3064" s="1">
        <v>0</v>
      </c>
      <c r="AH3064" s="1">
        <f ca="1">IFERROR(__xludf.DUMMYFUNCTION("IFERROR(GOOGLEFINANCE(TRIM(F3064)&amp;"":"" &amp; TRIM(B3064),""low52""),AE3064)"),99.9)</f>
        <v>99.9</v>
      </c>
      <c r="AI3064" s="1">
        <f ca="1">IFERROR(__xludf.DUMMYFUNCTION("IFERROR(GOOGLEFINANCE(B3064,""eps""),0)"),-0.77)</f>
        <v>-0.77</v>
      </c>
      <c r="AJ3064" s="1"/>
      <c r="AK3064" s="9"/>
      <c r="AL3064" s="9">
        <f t="shared" si="297"/>
        <v>1</v>
      </c>
    </row>
    <row r="3065" spans="1:38" ht="15" x14ac:dyDescent="0.25">
      <c r="A3065" s="1" t="s">
        <v>9442</v>
      </c>
      <c r="B3065" s="1" t="s">
        <v>9443</v>
      </c>
      <c r="C3065" s="1" t="s">
        <v>163</v>
      </c>
      <c r="D3065" s="1" t="s">
        <v>163</v>
      </c>
      <c r="E3065" s="6">
        <v>15815.66</v>
      </c>
      <c r="F3065" s="1" t="s">
        <v>40</v>
      </c>
      <c r="G3065" s="6">
        <f ca="1">IFERROR(__xludf.DUMMYFUNCTION("iferror(GOOGLEFINANCE(TRIM(F3065)&amp;"":"" &amp; TRIM(B3065), ""price""),0
)"),1148)</f>
        <v>1148</v>
      </c>
      <c r="H3065" s="6">
        <v>1581.75</v>
      </c>
      <c r="I3065" s="6">
        <f t="shared" ca="1" si="0"/>
        <v>1148</v>
      </c>
      <c r="J3065" s="6">
        <f ca="1">IFERROR(__xludf.DUMMYFUNCTION("IFERROR(GOOGLEFINANCE(B3065, ""volume""), 0)"),50627)</f>
        <v>50627</v>
      </c>
      <c r="K3065" s="6">
        <v>1.51</v>
      </c>
      <c r="L3065" s="6">
        <f ca="1">IFERROR(__xludf.DUMMYFUNCTION("IFERROR(GOOGLEFINANCE(B3065,""changepct""),K3065)"),0.31)</f>
        <v>0.31</v>
      </c>
      <c r="M3065" s="6">
        <f ca="1">IFERROR(__xludf.DUMMYFUNCTION("IFERROR(GOOGLEFINANCE(B3065,""change""),0)"),3.6)</f>
        <v>3.6</v>
      </c>
      <c r="N3065" s="6">
        <v>2</v>
      </c>
      <c r="O3065" s="7">
        <v>45536</v>
      </c>
      <c r="P3065" s="6">
        <v>0</v>
      </c>
      <c r="Q3065" s="6">
        <v>15788.31</v>
      </c>
      <c r="R3065" s="7">
        <v>45536</v>
      </c>
      <c r="S3065" s="6">
        <v>1424.74</v>
      </c>
      <c r="T3065" s="6">
        <v>232.37</v>
      </c>
      <c r="U3065" s="7">
        <v>45536</v>
      </c>
      <c r="V3065" s="6">
        <v>68.319999999999993</v>
      </c>
      <c r="W3065" s="6">
        <f ca="1">IFERROR(__xludf.DUMMYFUNCTION("IFERROR(GOOGLEFINANCE(B3065,""pe""),V3065)"),45.33)</f>
        <v>45.33</v>
      </c>
      <c r="X3065" s="12"/>
      <c r="Y3065" s="6">
        <v>11.77</v>
      </c>
      <c r="Z3065" s="6">
        <v>2</v>
      </c>
      <c r="AA3065" s="8">
        <v>45352</v>
      </c>
      <c r="AB3065" s="4">
        <v>0</v>
      </c>
      <c r="AC3065" s="6">
        <v>18.91</v>
      </c>
      <c r="AD3065" s="6">
        <v>30.82</v>
      </c>
      <c r="AE3065" s="1">
        <v>0</v>
      </c>
      <c r="AF3065" s="1">
        <f ca="1">IFERROR(__xludf.DUMMYFUNCTION("IFERROR(GOOGLEFINANCE(TRIM(F3065)&amp;"":"" &amp; TRIM(B3065),""high52""),AE3065)"),1645.7)</f>
        <v>1645.7</v>
      </c>
      <c r="AG3065" s="1">
        <v>0</v>
      </c>
      <c r="AH3065" s="1">
        <f ca="1">IFERROR(__xludf.DUMMYFUNCTION("IFERROR(GOOGLEFINANCE(TRIM(F3065)&amp;"":"" &amp; TRIM(B3065),""low52""),AE3065)"),1122)</f>
        <v>1122</v>
      </c>
      <c r="AI3065" s="1">
        <f ca="1">IFERROR(__xludf.DUMMYFUNCTION("IFERROR(GOOGLEFINANCE(B3065,""eps""),0)"),25.33)</f>
        <v>25.33</v>
      </c>
      <c r="AJ3065" s="1"/>
      <c r="AK3065" s="1" t="s">
        <v>9444</v>
      </c>
      <c r="AL3065" s="9">
        <f t="shared" si="297"/>
        <v>1</v>
      </c>
    </row>
    <row r="3066" spans="1:38" ht="15" x14ac:dyDescent="0.25">
      <c r="A3066" s="1" t="s">
        <v>9445</v>
      </c>
      <c r="B3066" s="1" t="s">
        <v>9446</v>
      </c>
      <c r="C3066" s="1" t="s">
        <v>106</v>
      </c>
      <c r="D3066" s="1" t="s">
        <v>106</v>
      </c>
      <c r="E3066" s="6">
        <v>584.29999999999995</v>
      </c>
      <c r="F3066" s="1" t="s">
        <v>53</v>
      </c>
      <c r="G3066" s="6">
        <f ca="1">IFERROR(__xludf.DUMMYFUNCTION("iferror(GOOGLEFINANCE(TRIM(F3066)&amp;"":"" &amp; TRIM(B3066), ""price""),0
)"),0)</f>
        <v>0</v>
      </c>
      <c r="H3066" s="6">
        <v>117.65</v>
      </c>
      <c r="I3066" s="6">
        <f t="shared" ca="1" si="0"/>
        <v>117.65</v>
      </c>
      <c r="J3066" s="6">
        <f ca="1">IFERROR(__xludf.DUMMYFUNCTION("IFERROR(GOOGLEFINANCE(B3066, ""volume""), 0)"),0)</f>
        <v>0</v>
      </c>
      <c r="K3066" s="6">
        <v>-2</v>
      </c>
      <c r="L3066" s="6">
        <f ca="1">IFERROR(__xludf.DUMMYFUNCTION("IFERROR(GOOGLEFINANCE(B3066,""changepct""),K3066)"),-2)</f>
        <v>-2</v>
      </c>
      <c r="M3066" s="6">
        <f ca="1">IFERROR(__xludf.DUMMYFUNCTION("IFERROR(GOOGLEFINANCE(B3066,""change""),0)"),0)</f>
        <v>0</v>
      </c>
      <c r="N3066" s="6">
        <v>1</v>
      </c>
      <c r="O3066" s="7">
        <v>45536</v>
      </c>
      <c r="P3066" s="9"/>
      <c r="Q3066" s="6">
        <v>584.29999999999995</v>
      </c>
      <c r="R3066" s="7">
        <v>45536</v>
      </c>
      <c r="S3066" s="6">
        <v>25.36</v>
      </c>
      <c r="T3066" s="6">
        <v>1.38</v>
      </c>
      <c r="U3066" s="7">
        <v>45536</v>
      </c>
      <c r="V3066" s="6">
        <v>423.72</v>
      </c>
      <c r="W3066" s="6">
        <f ca="1">IFERROR(__xludf.DUMMYFUNCTION("IFERROR(GOOGLEFINANCE(B3066,""pe""),V3066)"),423.72)</f>
        <v>423.72</v>
      </c>
      <c r="X3066" s="6">
        <v>-392.33</v>
      </c>
      <c r="Y3066" s="6">
        <v>75.739999999999995</v>
      </c>
      <c r="Z3066" s="6">
        <v>1</v>
      </c>
      <c r="AA3066" s="8">
        <v>45352</v>
      </c>
      <c r="AB3066" s="4">
        <v>0</v>
      </c>
      <c r="AC3066" s="6">
        <v>12.27</v>
      </c>
      <c r="AD3066" s="6">
        <v>12.71</v>
      </c>
      <c r="AE3066" s="1">
        <v>0</v>
      </c>
      <c r="AF3066" s="1">
        <f ca="1">IFERROR(__xludf.DUMMYFUNCTION("IFERROR(GOOGLEFINANCE(TRIM(F3066)&amp;"":"" &amp; TRIM(B3066),""high52""),AE3066)"),0)</f>
        <v>0</v>
      </c>
      <c r="AG3066" s="1">
        <v>0</v>
      </c>
      <c r="AH3066" s="1">
        <f ca="1">IFERROR(__xludf.DUMMYFUNCTION("IFERROR(GOOGLEFINANCE(TRIM(F3066)&amp;"":"" &amp; TRIM(B3066),""low52""),AE3066)"),0)</f>
        <v>0</v>
      </c>
      <c r="AI3066" s="1">
        <f ca="1">IFERROR(__xludf.DUMMYFUNCTION("IFERROR(GOOGLEFINANCE(B3066,""eps""),0)"),0)</f>
        <v>0</v>
      </c>
      <c r="AJ3066" s="1"/>
      <c r="AK3066" s="1" t="s">
        <v>9447</v>
      </c>
      <c r="AL3066" s="9">
        <f t="shared" si="297"/>
        <v>1</v>
      </c>
    </row>
    <row r="3067" spans="1:38" ht="15" x14ac:dyDescent="0.25">
      <c r="A3067" s="1" t="s">
        <v>9448</v>
      </c>
      <c r="B3067" s="1" t="s">
        <v>9449</v>
      </c>
      <c r="C3067" s="1" t="s">
        <v>317</v>
      </c>
      <c r="D3067" s="1" t="s">
        <v>317</v>
      </c>
      <c r="E3067" s="6">
        <v>79.959999999999994</v>
      </c>
      <c r="F3067" s="1" t="s">
        <v>40</v>
      </c>
      <c r="G3067" s="6">
        <f ca="1">IFERROR(__xludf.DUMMYFUNCTION("iferror(GOOGLEFINANCE(TRIM(F3067)&amp;"":"" &amp; TRIM(B3067), ""price""),0
)"),44.15)</f>
        <v>44.15</v>
      </c>
      <c r="H3067" s="6">
        <v>54</v>
      </c>
      <c r="I3067" s="6">
        <f t="shared" ca="1" si="0"/>
        <v>44.15</v>
      </c>
      <c r="J3067" s="6">
        <f ca="1">IFERROR(__xludf.DUMMYFUNCTION("IFERROR(GOOGLEFINANCE(B3067, ""volume""), 0)"),5362)</f>
        <v>5362</v>
      </c>
      <c r="K3067" s="6">
        <v>0.26</v>
      </c>
      <c r="L3067" s="6">
        <f ca="1">IFERROR(__xludf.DUMMYFUNCTION("IFERROR(GOOGLEFINANCE(B3067,""changepct""),K3067)"),0.43)</f>
        <v>0.43</v>
      </c>
      <c r="M3067" s="6">
        <f ca="1">IFERROR(__xludf.DUMMYFUNCTION("IFERROR(GOOGLEFINANCE(B3067,""change""),0)"),0.19)</f>
        <v>0.19</v>
      </c>
      <c r="N3067" s="6">
        <v>1</v>
      </c>
      <c r="O3067" s="7">
        <v>45536</v>
      </c>
      <c r="P3067" s="6">
        <v>30.04</v>
      </c>
      <c r="Q3067" s="6">
        <v>109.58</v>
      </c>
      <c r="R3067" s="7">
        <v>45536</v>
      </c>
      <c r="S3067" s="6">
        <v>117.55</v>
      </c>
      <c r="T3067" s="6">
        <v>1.46</v>
      </c>
      <c r="U3067" s="7">
        <v>45536</v>
      </c>
      <c r="V3067" s="6">
        <v>54.66</v>
      </c>
      <c r="W3067" s="6">
        <f ca="1">IFERROR(__xludf.DUMMYFUNCTION("IFERROR(GOOGLEFINANCE(B3067,""pe""),V3067)"),12.35)</f>
        <v>12.35</v>
      </c>
      <c r="X3067" s="6">
        <v>3.59</v>
      </c>
      <c r="Y3067" s="6">
        <v>-12.64</v>
      </c>
      <c r="Z3067" s="6">
        <v>1</v>
      </c>
      <c r="AA3067" s="8">
        <v>45352</v>
      </c>
      <c r="AB3067" s="4">
        <v>-4.4800000000000004</v>
      </c>
      <c r="AC3067" s="6">
        <v>0</v>
      </c>
      <c r="AD3067" s="6">
        <v>12.32</v>
      </c>
      <c r="AE3067" s="1">
        <v>0</v>
      </c>
      <c r="AF3067" s="1">
        <f ca="1">IFERROR(__xludf.DUMMYFUNCTION("IFERROR(GOOGLEFINANCE(TRIM(F3067)&amp;"":"" &amp; TRIM(B3067),""high52""),AE3067)"),73.8)</f>
        <v>73.8</v>
      </c>
      <c r="AG3067" s="1">
        <v>0</v>
      </c>
      <c r="AH3067" s="1">
        <f ca="1">IFERROR(__xludf.DUMMYFUNCTION("IFERROR(GOOGLEFINANCE(TRIM(F3067)&amp;"":"" &amp; TRIM(B3067),""low52""),AE3067)"),41.01)</f>
        <v>41.01</v>
      </c>
      <c r="AI3067" s="1">
        <f ca="1">IFERROR(__xludf.DUMMYFUNCTION("IFERROR(GOOGLEFINANCE(B3067,""eps""),0)"),3.57)</f>
        <v>3.57</v>
      </c>
      <c r="AJ3067" s="1"/>
      <c r="AK3067" s="1" t="s">
        <v>9450</v>
      </c>
      <c r="AL3067" s="9">
        <f t="shared" si="297"/>
        <v>1</v>
      </c>
    </row>
    <row r="3068" spans="1:38" ht="15" x14ac:dyDescent="0.25">
      <c r="A3068" s="1" t="s">
        <v>9451</v>
      </c>
      <c r="B3068" s="1" t="s">
        <v>9452</v>
      </c>
      <c r="C3068" s="1" t="s">
        <v>1400</v>
      </c>
      <c r="D3068" s="1" t="s">
        <v>1400</v>
      </c>
      <c r="E3068" s="6">
        <v>1324.03</v>
      </c>
      <c r="F3068" s="1" t="s">
        <v>40</v>
      </c>
      <c r="G3068" s="6">
        <f ca="1">IFERROR(__xludf.DUMMYFUNCTION("iferror(GOOGLEFINANCE(TRIM(F3068)&amp;"":"" &amp; TRIM(B3068), ""price""),0
)"),20.28)</f>
        <v>20.28</v>
      </c>
      <c r="H3068" s="6">
        <v>23.48</v>
      </c>
      <c r="I3068" s="6">
        <f t="shared" ca="1" si="0"/>
        <v>20.28</v>
      </c>
      <c r="J3068" s="6">
        <f ca="1">IFERROR(__xludf.DUMMYFUNCTION("IFERROR(GOOGLEFINANCE(B3068, ""volume""), 0)"),12500)</f>
        <v>12500</v>
      </c>
      <c r="K3068" s="6">
        <v>-2</v>
      </c>
      <c r="L3068" s="6">
        <f ca="1">IFERROR(__xludf.DUMMYFUNCTION("IFERROR(GOOGLEFINANCE(B3068,""changepct""),K3068)"),-0.25)</f>
        <v>-0.25</v>
      </c>
      <c r="M3068" s="6">
        <f ca="1">IFERROR(__xludf.DUMMYFUNCTION("IFERROR(GOOGLEFINANCE(B3068,""change""),0)"),-0.05)</f>
        <v>-0.05</v>
      </c>
      <c r="N3068" s="6">
        <v>1</v>
      </c>
      <c r="O3068" s="7">
        <v>45536</v>
      </c>
      <c r="P3068" s="6">
        <v>162.16999999999999</v>
      </c>
      <c r="Q3068" s="6">
        <v>1457.94</v>
      </c>
      <c r="R3068" s="7">
        <v>45536</v>
      </c>
      <c r="S3068" s="6">
        <v>826.61</v>
      </c>
      <c r="T3068" s="6">
        <v>-7.88</v>
      </c>
      <c r="U3068" s="7">
        <v>45536</v>
      </c>
      <c r="V3068" s="6">
        <v>0</v>
      </c>
      <c r="W3068" s="6">
        <f ca="1">IFERROR(__xludf.DUMMYFUNCTION("IFERROR(GOOGLEFINANCE(B3068,""pe""),V3068)"),38.87)</f>
        <v>38.869999999999997</v>
      </c>
      <c r="X3068" s="6">
        <v>0</v>
      </c>
      <c r="Y3068" s="6">
        <v>13.19</v>
      </c>
      <c r="Z3068" s="6">
        <v>1</v>
      </c>
      <c r="AA3068" s="8">
        <v>45352</v>
      </c>
      <c r="AB3068" s="4">
        <v>1.63</v>
      </c>
      <c r="AC3068" s="6">
        <v>4.9800000000000004</v>
      </c>
      <c r="AD3068" s="6">
        <v>8.2100000000000009</v>
      </c>
      <c r="AE3068" s="1">
        <v>0</v>
      </c>
      <c r="AF3068" s="1">
        <f ca="1">IFERROR(__xludf.DUMMYFUNCTION("IFERROR(GOOGLEFINANCE(TRIM(F3068)&amp;"":"" &amp; TRIM(B3068),""high52""),AE3068)"),31.59)</f>
        <v>31.59</v>
      </c>
      <c r="AG3068" s="1">
        <v>0</v>
      </c>
      <c r="AH3068" s="1">
        <f ca="1">IFERROR(__xludf.DUMMYFUNCTION("IFERROR(GOOGLEFINANCE(TRIM(F3068)&amp;"":"" &amp; TRIM(B3068),""low52""),AE3068)"),19.06)</f>
        <v>19.059999999999999</v>
      </c>
      <c r="AI3068" s="1">
        <f ca="1">IFERROR(__xludf.DUMMYFUNCTION("IFERROR(GOOGLEFINANCE(B3068,""eps""),0)"),0.52)</f>
        <v>0.52</v>
      </c>
      <c r="AJ3068" s="1"/>
      <c r="AK3068" s="1" t="s">
        <v>9453</v>
      </c>
      <c r="AL3068" s="9">
        <f t="shared" si="297"/>
        <v>1</v>
      </c>
    </row>
    <row r="3069" spans="1:38" ht="15" x14ac:dyDescent="0.25">
      <c r="A3069" s="1" t="s">
        <v>9454</v>
      </c>
      <c r="B3069" s="1" t="s">
        <v>9455</v>
      </c>
      <c r="C3069" s="1" t="s">
        <v>1682</v>
      </c>
      <c r="D3069" s="1" t="s">
        <v>1682</v>
      </c>
      <c r="E3069" s="6">
        <v>407.52</v>
      </c>
      <c r="F3069" s="1" t="s">
        <v>40</v>
      </c>
      <c r="G3069" s="6">
        <f ca="1">IFERROR(__xludf.DUMMYFUNCTION("iferror(GOOGLEFINANCE(TRIM(F3069)&amp;"":"" &amp; TRIM(B3069), ""price""),0
)"),39.95)</f>
        <v>39.950000000000003</v>
      </c>
      <c r="H3069" s="6">
        <v>78.5</v>
      </c>
      <c r="I3069" s="6">
        <f t="shared" ca="1" si="0"/>
        <v>39.950000000000003</v>
      </c>
      <c r="J3069" s="6">
        <f ca="1">IFERROR(__xludf.DUMMYFUNCTION("IFERROR(GOOGLEFINANCE(B3069, ""volume""), 0)"),7087)</f>
        <v>7087</v>
      </c>
      <c r="K3069" s="9"/>
      <c r="L3069" s="6">
        <f ca="1">IFERROR(__xludf.DUMMYFUNCTION("IFERROR(GOOGLEFINANCE(B3069,""changepct""),K3069)"),1.4)</f>
        <v>1.4</v>
      </c>
      <c r="M3069" s="6">
        <f ca="1">IFERROR(__xludf.DUMMYFUNCTION("IFERROR(GOOGLEFINANCE(B3069,""change""),0)"),0.55)</f>
        <v>0.55000000000000004</v>
      </c>
      <c r="N3069" s="6">
        <v>1</v>
      </c>
      <c r="O3069" s="7">
        <v>45536</v>
      </c>
      <c r="P3069" s="6">
        <v>30.46</v>
      </c>
      <c r="Q3069" s="6">
        <v>437.98</v>
      </c>
      <c r="R3069" s="7">
        <v>45536</v>
      </c>
      <c r="S3069" s="6">
        <v>117.11</v>
      </c>
      <c r="T3069" s="6">
        <v>-16.27</v>
      </c>
      <c r="U3069" s="7">
        <v>45536</v>
      </c>
      <c r="V3069" s="6">
        <v>0</v>
      </c>
      <c r="W3069" s="6">
        <f ca="1">IFERROR(__xludf.DUMMYFUNCTION("IFERROR(GOOGLEFINANCE(B3069,""pe""),V3069)"),0)</f>
        <v>0</v>
      </c>
      <c r="X3069" s="6">
        <v>0</v>
      </c>
      <c r="Y3069" s="6">
        <v>4.88</v>
      </c>
      <c r="Z3069" s="6">
        <v>1</v>
      </c>
      <c r="AA3069" s="8">
        <v>45352</v>
      </c>
      <c r="AB3069" s="4">
        <v>0.23</v>
      </c>
      <c r="AC3069" s="6">
        <v>0.81</v>
      </c>
      <c r="AD3069" s="6">
        <v>3.01</v>
      </c>
      <c r="AE3069" s="1">
        <v>0</v>
      </c>
      <c r="AF3069" s="1">
        <f ca="1">IFERROR(__xludf.DUMMYFUNCTION("IFERROR(GOOGLEFINANCE(TRIM(F3069)&amp;"":"" &amp; TRIM(B3069),""high52""),AE3069)"),95)</f>
        <v>95</v>
      </c>
      <c r="AG3069" s="1">
        <v>0</v>
      </c>
      <c r="AH3069" s="1">
        <f ca="1">IFERROR(__xludf.DUMMYFUNCTION("IFERROR(GOOGLEFINANCE(TRIM(F3069)&amp;"":"" &amp; TRIM(B3069),""low52""),AE3069)"),36.7)</f>
        <v>36.700000000000003</v>
      </c>
      <c r="AI3069" s="1">
        <f ca="1">IFERROR(__xludf.DUMMYFUNCTION("IFERROR(GOOGLEFINANCE(B3069,""eps""),0)"),-0.72)</f>
        <v>-0.72</v>
      </c>
      <c r="AJ3069" s="1"/>
      <c r="AK3069" s="1" t="s">
        <v>9456</v>
      </c>
      <c r="AL3069" s="9">
        <f t="shared" si="297"/>
        <v>1</v>
      </c>
    </row>
    <row r="3070" spans="1:38" ht="15" x14ac:dyDescent="0.25">
      <c r="A3070" s="1" t="s">
        <v>9457</v>
      </c>
      <c r="B3070" s="1" t="s">
        <v>9458</v>
      </c>
      <c r="C3070" s="1" t="s">
        <v>39</v>
      </c>
      <c r="D3070" s="1" t="s">
        <v>39</v>
      </c>
      <c r="E3070" s="6">
        <v>17.829999999999998</v>
      </c>
      <c r="F3070" s="1" t="s">
        <v>40</v>
      </c>
      <c r="G3070" s="6">
        <f ca="1">IFERROR(__xludf.DUMMYFUNCTION("iferror(GOOGLEFINANCE(TRIM(F3070)&amp;"":"" &amp; TRIM(B3070), ""price""),0
)"),39.42)</f>
        <v>39.42</v>
      </c>
      <c r="H3070" s="6">
        <v>58</v>
      </c>
      <c r="I3070" s="6">
        <f t="shared" ca="1" si="0"/>
        <v>39.42</v>
      </c>
      <c r="J3070" s="6">
        <f ca="1">IFERROR(__xludf.DUMMYFUNCTION("IFERROR(GOOGLEFINANCE(B3070, ""volume""), 0)"),1104)</f>
        <v>1104</v>
      </c>
      <c r="K3070" s="6">
        <v>4.83</v>
      </c>
      <c r="L3070" s="6">
        <f ca="1">IFERROR(__xludf.DUMMYFUNCTION("IFERROR(GOOGLEFINANCE(B3070,""changepct""),K3070)"),-4.32)</f>
        <v>-4.32</v>
      </c>
      <c r="M3070" s="6">
        <f ca="1">IFERROR(__xludf.DUMMYFUNCTION("IFERROR(GOOGLEFINANCE(B3070,""change""),0)"),-1.78)</f>
        <v>-1.78</v>
      </c>
      <c r="N3070" s="6">
        <v>2</v>
      </c>
      <c r="O3070" s="7">
        <v>45536</v>
      </c>
      <c r="P3070" s="9"/>
      <c r="Q3070" s="6">
        <v>17.059999999999999</v>
      </c>
      <c r="R3070" s="7">
        <v>45536</v>
      </c>
      <c r="S3070" s="6">
        <v>2.6</v>
      </c>
      <c r="T3070" s="6">
        <v>1.06</v>
      </c>
      <c r="U3070" s="7">
        <v>45536</v>
      </c>
      <c r="V3070" s="6">
        <v>16.88</v>
      </c>
      <c r="W3070" s="6">
        <f ca="1">IFERROR(__xludf.DUMMYFUNCTION("IFERROR(GOOGLEFINANCE(B3070,""pe""),V3070)"),16.88)</f>
        <v>16.88</v>
      </c>
      <c r="X3070" s="6">
        <v>4.08</v>
      </c>
      <c r="Y3070" s="6">
        <v>0.75</v>
      </c>
      <c r="Z3070" s="6">
        <v>2</v>
      </c>
      <c r="AA3070" s="8">
        <v>45352</v>
      </c>
      <c r="AB3070" s="4">
        <v>0.02</v>
      </c>
      <c r="AC3070" s="6">
        <v>3.41</v>
      </c>
      <c r="AD3070" s="6">
        <v>4.25</v>
      </c>
      <c r="AE3070" s="1">
        <v>0</v>
      </c>
      <c r="AF3070" s="1">
        <f ca="1">IFERROR(__xludf.DUMMYFUNCTION("IFERROR(GOOGLEFINANCE(TRIM(F3070)&amp;"":"" &amp; TRIM(B3070),""high52""),AE3070)"),62.99)</f>
        <v>62.99</v>
      </c>
      <c r="AG3070" s="1">
        <v>0</v>
      </c>
      <c r="AH3070" s="1">
        <f ca="1">IFERROR(__xludf.DUMMYFUNCTION("IFERROR(GOOGLEFINANCE(TRIM(F3070)&amp;"":"" &amp; TRIM(B3070),""low52""),AE3070)"),37.17)</f>
        <v>37.17</v>
      </c>
      <c r="AI3070" s="1">
        <f ca="1">IFERROR(__xludf.DUMMYFUNCTION("IFERROR(GOOGLEFINANCE(B3070,""eps""),0)"),-0.66)</f>
        <v>-0.66</v>
      </c>
      <c r="AJ3070" s="1"/>
      <c r="AK3070" s="1" t="s">
        <v>9459</v>
      </c>
      <c r="AL3070" s="9">
        <f t="shared" si="297"/>
        <v>1</v>
      </c>
    </row>
    <row r="3071" spans="1:38" ht="15" x14ac:dyDescent="0.25">
      <c r="A3071" s="1" t="s">
        <v>9460</v>
      </c>
      <c r="B3071" s="1" t="s">
        <v>9461</v>
      </c>
      <c r="C3071" s="1" t="s">
        <v>2432</v>
      </c>
      <c r="D3071" s="1" t="s">
        <v>2432</v>
      </c>
      <c r="E3071" s="6">
        <v>6848.55</v>
      </c>
      <c r="F3071" s="1" t="s">
        <v>40</v>
      </c>
      <c r="G3071" s="6">
        <f ca="1">IFERROR(__xludf.DUMMYFUNCTION("iferror(GOOGLEFINANCE(TRIM(F3071)&amp;"":"" &amp; TRIM(B3071), ""price""),0
)"),160.1)</f>
        <v>160.1</v>
      </c>
      <c r="H3071" s="6">
        <v>233.01</v>
      </c>
      <c r="I3071" s="6">
        <f t="shared" ca="1" si="0"/>
        <v>160.1</v>
      </c>
      <c r="J3071" s="6">
        <f ca="1">IFERROR(__xludf.DUMMYFUNCTION("IFERROR(GOOGLEFINANCE(B3071, ""volume""), 0)"),89777)</f>
        <v>89777</v>
      </c>
      <c r="K3071" s="6">
        <v>0.48</v>
      </c>
      <c r="L3071" s="6">
        <f ca="1">IFERROR(__xludf.DUMMYFUNCTION("IFERROR(GOOGLEFINANCE(B3071,""changepct""),K3071)"),-2.3)</f>
        <v>-2.2999999999999998</v>
      </c>
      <c r="M3071" s="6">
        <f ca="1">IFERROR(__xludf.DUMMYFUNCTION("IFERROR(GOOGLEFINANCE(B3071,""change""),0)"),-3.77)</f>
        <v>-3.77</v>
      </c>
      <c r="N3071" s="6">
        <v>2</v>
      </c>
      <c r="O3071" s="7">
        <v>45536</v>
      </c>
      <c r="P3071" s="6">
        <v>735.9</v>
      </c>
      <c r="Q3071" s="6">
        <v>5052.26</v>
      </c>
      <c r="R3071" s="7">
        <v>45536</v>
      </c>
      <c r="S3071" s="6">
        <v>284201</v>
      </c>
      <c r="T3071" s="6">
        <v>38.28</v>
      </c>
      <c r="U3071" s="7">
        <v>45536</v>
      </c>
      <c r="V3071" s="6">
        <v>178.92</v>
      </c>
      <c r="W3071" s="6">
        <f ca="1">IFERROR(__xludf.DUMMYFUNCTION("IFERROR(GOOGLEFINANCE(B3071,""pe""),V3071)"),35.85)</f>
        <v>35.85</v>
      </c>
      <c r="X3071" s="6">
        <v>-7.57</v>
      </c>
      <c r="Y3071" s="6">
        <v>0.44</v>
      </c>
      <c r="Z3071" s="6">
        <v>2</v>
      </c>
      <c r="AA3071" s="8">
        <v>45352</v>
      </c>
      <c r="AB3071" s="4">
        <v>0.04</v>
      </c>
      <c r="AC3071" s="6">
        <v>2.2400000000000002</v>
      </c>
      <c r="AD3071" s="6">
        <v>3.23</v>
      </c>
      <c r="AE3071" s="1">
        <v>0</v>
      </c>
      <c r="AF3071" s="1">
        <f ca="1">IFERROR(__xludf.DUMMYFUNCTION("IFERROR(GOOGLEFINANCE(TRIM(F3071)&amp;"":"" &amp; TRIM(B3071),""high52""),AE3071)"),237.88)</f>
        <v>237.88</v>
      </c>
      <c r="AG3071" s="1">
        <v>0</v>
      </c>
      <c r="AH3071" s="1">
        <f ca="1">IFERROR(__xludf.DUMMYFUNCTION("IFERROR(GOOGLEFINANCE(TRIM(F3071)&amp;"":"" &amp; TRIM(B3071),""low52""),AE3071)"),151.11)</f>
        <v>151.11000000000001</v>
      </c>
      <c r="AI3071" s="1">
        <f ca="1">IFERROR(__xludf.DUMMYFUNCTION("IFERROR(GOOGLEFINANCE(B3071,""eps""),0)"),4.47)</f>
        <v>4.47</v>
      </c>
      <c r="AJ3071" s="1"/>
      <c r="AK3071" s="1" t="s">
        <v>9462</v>
      </c>
      <c r="AL3071" s="9">
        <f t="shared" si="297"/>
        <v>1</v>
      </c>
    </row>
    <row r="3072" spans="1:38" ht="15" x14ac:dyDescent="0.25">
      <c r="A3072" s="1" t="s">
        <v>9463</v>
      </c>
      <c r="B3072" s="1" t="s">
        <v>9464</v>
      </c>
      <c r="C3072" s="1" t="s">
        <v>99</v>
      </c>
      <c r="D3072" s="1" t="s">
        <v>99</v>
      </c>
      <c r="E3072" s="6">
        <v>67.2</v>
      </c>
      <c r="F3072" s="1" t="s">
        <v>40</v>
      </c>
      <c r="G3072" s="6">
        <f ca="1">IFERROR(__xludf.DUMMYFUNCTION("iferror(GOOGLEFINANCE(TRIM(F3072)&amp;"":"" &amp; TRIM(B3072), ""price""),0
)"),0)</f>
        <v>0</v>
      </c>
      <c r="H3072" s="6">
        <v>28.1</v>
      </c>
      <c r="I3072" s="6">
        <f t="shared" ca="1" si="0"/>
        <v>28.1</v>
      </c>
      <c r="J3072" s="6">
        <f ca="1">IFERROR(__xludf.DUMMYFUNCTION("IFERROR(GOOGLEFINANCE(B3072, ""volume""), 0)"),0)</f>
        <v>0</v>
      </c>
      <c r="K3072" s="9"/>
      <c r="L3072" s="6" t="str">
        <f ca="1">IFERROR(__xludf.DUMMYFUNCTION("IFERROR(GOOGLEFINANCE(B3072,""changepct""),K3072)"),"")</f>
        <v/>
      </c>
      <c r="M3072" s="6">
        <f ca="1">IFERROR(__xludf.DUMMYFUNCTION("IFERROR(GOOGLEFINANCE(B3072,""change""),0)"),0)</f>
        <v>0</v>
      </c>
      <c r="N3072" s="6">
        <v>1</v>
      </c>
      <c r="O3072" s="7">
        <v>45536</v>
      </c>
      <c r="P3072" s="6">
        <v>58.94</v>
      </c>
      <c r="Q3072" s="6">
        <v>116.4</v>
      </c>
      <c r="R3072" s="7">
        <v>45352</v>
      </c>
      <c r="S3072" s="6">
        <v>564.84</v>
      </c>
      <c r="T3072" s="6">
        <v>9.7799999999999994</v>
      </c>
      <c r="U3072" s="7">
        <v>45352</v>
      </c>
      <c r="V3072" s="6">
        <v>6.87</v>
      </c>
      <c r="W3072" s="6">
        <f ca="1">IFERROR(__xludf.DUMMYFUNCTION("IFERROR(GOOGLEFINANCE(B3072,""pe""),V3072)"),6.87)</f>
        <v>6.87</v>
      </c>
      <c r="X3072" s="9"/>
      <c r="Y3072" s="6">
        <v>0.91</v>
      </c>
      <c r="Z3072" s="6">
        <v>1</v>
      </c>
      <c r="AA3072" s="8">
        <v>45352</v>
      </c>
      <c r="AB3072" s="4">
        <v>0.64</v>
      </c>
      <c r="AC3072" s="6">
        <v>19.989999999999998</v>
      </c>
      <c r="AD3072" s="6">
        <v>19.91</v>
      </c>
      <c r="AE3072" s="1">
        <v>0</v>
      </c>
      <c r="AF3072" s="1">
        <f ca="1">IFERROR(__xludf.DUMMYFUNCTION("IFERROR(GOOGLEFINANCE(TRIM(F3072)&amp;"":"" &amp; TRIM(B3072),""high52""),AE3072)"),0)</f>
        <v>0</v>
      </c>
      <c r="AG3072" s="1">
        <v>0</v>
      </c>
      <c r="AH3072" s="1">
        <f ca="1">IFERROR(__xludf.DUMMYFUNCTION("IFERROR(GOOGLEFINANCE(TRIM(F3072)&amp;"":"" &amp; TRIM(B3072),""low52""),AE3072)"),0)</f>
        <v>0</v>
      </c>
      <c r="AI3072" s="1">
        <f ca="1">IFERROR(__xludf.DUMMYFUNCTION("IFERROR(GOOGLEFINANCE(B3072,""eps""),0)"),0)</f>
        <v>0</v>
      </c>
      <c r="AJ3072" s="1"/>
      <c r="AK3072" s="1" t="s">
        <v>9465</v>
      </c>
      <c r="AL3072" s="1" t="b">
        <f>ISNUMBER(AA3072)</f>
        <v>1</v>
      </c>
    </row>
    <row r="3073" spans="1:38" ht="15" x14ac:dyDescent="0.25">
      <c r="A3073" s="1" t="s">
        <v>9466</v>
      </c>
      <c r="B3073" s="1" t="s">
        <v>9467</v>
      </c>
      <c r="C3073" s="1" t="s">
        <v>1497</v>
      </c>
      <c r="D3073" s="1" t="s">
        <v>1497</v>
      </c>
      <c r="E3073" s="6">
        <v>246.9</v>
      </c>
      <c r="F3073" s="1" t="s">
        <v>40</v>
      </c>
      <c r="G3073" s="6">
        <f ca="1">IFERROR(__xludf.DUMMYFUNCTION("iferror(GOOGLEFINANCE(TRIM(F3073)&amp;"":"" &amp; TRIM(B3073), ""price""),0
)"),4.08)</f>
        <v>4.08</v>
      </c>
      <c r="H3073" s="6">
        <v>8.73</v>
      </c>
      <c r="I3073" s="6">
        <f t="shared" ca="1" si="0"/>
        <v>4.08</v>
      </c>
      <c r="J3073" s="6">
        <f ca="1">IFERROR(__xludf.DUMMYFUNCTION("IFERROR(GOOGLEFINANCE(B3073, ""volume""), 0)"),361358)</f>
        <v>361358</v>
      </c>
      <c r="K3073" s="6">
        <v>-2.2400000000000002</v>
      </c>
      <c r="L3073" s="6">
        <f ca="1">IFERROR(__xludf.DUMMYFUNCTION("IFERROR(GOOGLEFINANCE(B3073,""changepct""),K3073)"),2.26)</f>
        <v>2.2599999999999998</v>
      </c>
      <c r="M3073" s="6">
        <f ca="1">IFERROR(__xludf.DUMMYFUNCTION("IFERROR(GOOGLEFINANCE(B3073,""change""),0)"),0.09)</f>
        <v>0.09</v>
      </c>
      <c r="N3073" s="6">
        <v>1</v>
      </c>
      <c r="O3073" s="7">
        <v>45536</v>
      </c>
      <c r="P3073" s="6">
        <v>86.22</v>
      </c>
      <c r="Q3073" s="6">
        <v>333.12</v>
      </c>
      <c r="R3073" s="7">
        <v>45536</v>
      </c>
      <c r="S3073" s="6">
        <v>1205.8</v>
      </c>
      <c r="T3073" s="6">
        <v>1.69</v>
      </c>
      <c r="U3073" s="7">
        <v>45536</v>
      </c>
      <c r="V3073" s="6">
        <v>146.09</v>
      </c>
      <c r="W3073" s="6">
        <f ca="1">IFERROR(__xludf.DUMMYFUNCTION("IFERROR(GOOGLEFINANCE(B3073,""pe""),V3073)"),146.09)</f>
        <v>146.09</v>
      </c>
      <c r="X3073" s="6">
        <v>2.06</v>
      </c>
      <c r="Y3073" s="6">
        <v>4.55</v>
      </c>
      <c r="Z3073" s="6">
        <v>1</v>
      </c>
      <c r="AA3073" s="8">
        <v>45352</v>
      </c>
      <c r="AB3073" s="4">
        <v>1.77</v>
      </c>
      <c r="AC3073" s="6">
        <v>31.06</v>
      </c>
      <c r="AD3073" s="6">
        <v>21.26</v>
      </c>
      <c r="AE3073" s="1">
        <v>0</v>
      </c>
      <c r="AF3073" s="1">
        <f ca="1">IFERROR(__xludf.DUMMYFUNCTION("IFERROR(GOOGLEFINANCE(TRIM(F3073)&amp;"":"" &amp; TRIM(B3073),""high52""),AE3073)"),8.3)</f>
        <v>8.3000000000000007</v>
      </c>
      <c r="AG3073" s="1">
        <v>0</v>
      </c>
      <c r="AH3073" s="1">
        <f ca="1">IFERROR(__xludf.DUMMYFUNCTION("IFERROR(GOOGLEFINANCE(TRIM(F3073)&amp;"":"" &amp; TRIM(B3073),""low52""),AE3073)"),3.75)</f>
        <v>3.75</v>
      </c>
      <c r="AI3073" s="1">
        <f ca="1">IFERROR(__xludf.DUMMYFUNCTION("IFERROR(GOOGLEFINANCE(B3073,""eps""),0)"),-0.05)</f>
        <v>-0.05</v>
      </c>
      <c r="AJ3073" s="1"/>
      <c r="AK3073" s="1" t="s">
        <v>9468</v>
      </c>
      <c r="AL3073" s="9">
        <f t="shared" ref="AL3073:AL3076" si="298">IF(AA3073&lt;&gt;AB3073,1,0)</f>
        <v>1</v>
      </c>
    </row>
    <row r="3074" spans="1:38" ht="15" x14ac:dyDescent="0.25">
      <c r="A3074" s="1" t="s">
        <v>9469</v>
      </c>
      <c r="B3074" s="1" t="s">
        <v>5766</v>
      </c>
      <c r="C3074" s="1" t="s">
        <v>71</v>
      </c>
      <c r="D3074" s="1" t="s">
        <v>71</v>
      </c>
      <c r="E3074" s="6">
        <v>252.75</v>
      </c>
      <c r="F3074" s="1" t="s">
        <v>40</v>
      </c>
      <c r="G3074" s="6">
        <f ca="1">IFERROR(__xludf.DUMMYFUNCTION("iferror(GOOGLEFINANCE(TRIM(F3074)&amp;"":"" &amp; TRIM(B3074), ""price""),0
)"),0)</f>
        <v>0</v>
      </c>
      <c r="H3074" s="6">
        <v>363</v>
      </c>
      <c r="I3074" s="6">
        <f t="shared" ca="1" si="0"/>
        <v>363</v>
      </c>
      <c r="J3074" s="6">
        <f ca="1">IFERROR(__xludf.DUMMYFUNCTION("IFERROR(GOOGLEFINANCE(B3074, ""volume""), 0)"),0)</f>
        <v>0</v>
      </c>
      <c r="K3074" s="6">
        <v>1.02</v>
      </c>
      <c r="L3074" s="6">
        <f ca="1">IFERROR(__xludf.DUMMYFUNCTION("IFERROR(GOOGLEFINANCE(B3074,""changepct""),K3074)"),1.02)</f>
        <v>1.02</v>
      </c>
      <c r="M3074" s="6">
        <f ca="1">IFERROR(__xludf.DUMMYFUNCTION("IFERROR(GOOGLEFINANCE(B3074,""change""),0)"),0)</f>
        <v>0</v>
      </c>
      <c r="N3074" s="6">
        <v>1</v>
      </c>
      <c r="O3074" s="7">
        <v>45536</v>
      </c>
      <c r="P3074" s="6">
        <v>17.14</v>
      </c>
      <c r="Q3074" s="6">
        <v>269.89</v>
      </c>
      <c r="R3074" s="14"/>
      <c r="S3074" s="9"/>
      <c r="T3074" s="9"/>
      <c r="U3074" s="7">
        <v>45352</v>
      </c>
      <c r="V3074" s="6">
        <v>54.73</v>
      </c>
      <c r="W3074" s="6">
        <f ca="1">IFERROR(__xludf.DUMMYFUNCTION("IFERROR(GOOGLEFINANCE(B3074,""pe""),V3074)"),54.73)</f>
        <v>54.73</v>
      </c>
      <c r="X3074" s="12"/>
      <c r="Y3074" s="6">
        <v>6.67</v>
      </c>
      <c r="Z3074" s="6">
        <v>2</v>
      </c>
      <c r="AA3074" s="8">
        <v>45352</v>
      </c>
      <c r="AB3074" s="4">
        <v>1.46</v>
      </c>
      <c r="AC3074" s="6">
        <v>50.89</v>
      </c>
      <c r="AD3074" s="6">
        <v>31.79</v>
      </c>
      <c r="AE3074" s="1">
        <v>0</v>
      </c>
      <c r="AF3074" s="1">
        <f ca="1">IFERROR(__xludf.DUMMYFUNCTION("IFERROR(GOOGLEFINANCE(TRIM(F3074)&amp;"":"" &amp; TRIM(B3074),""high52""),AE3074)"),0)</f>
        <v>0</v>
      </c>
      <c r="AG3074" s="1">
        <v>0</v>
      </c>
      <c r="AH3074" s="1">
        <f ca="1">IFERROR(__xludf.DUMMYFUNCTION("IFERROR(GOOGLEFINANCE(TRIM(F3074)&amp;"":"" &amp; TRIM(B3074),""low52""),AE3074)"),0)</f>
        <v>0</v>
      </c>
      <c r="AI3074" s="1">
        <f ca="1">IFERROR(__xludf.DUMMYFUNCTION("IFERROR(GOOGLEFINANCE(B3074,""eps""),0)"),0)</f>
        <v>0</v>
      </c>
      <c r="AJ3074" s="1"/>
      <c r="AK3074" s="1" t="s">
        <v>9470</v>
      </c>
      <c r="AL3074" s="9">
        <f t="shared" si="298"/>
        <v>1</v>
      </c>
    </row>
    <row r="3075" spans="1:38" ht="15" x14ac:dyDescent="0.25">
      <c r="A3075" s="1" t="s">
        <v>9471</v>
      </c>
      <c r="B3075" s="1" t="s">
        <v>9472</v>
      </c>
      <c r="C3075" s="1" t="s">
        <v>1497</v>
      </c>
      <c r="D3075" s="1" t="s">
        <v>1497</v>
      </c>
      <c r="E3075" s="6">
        <v>199.05</v>
      </c>
      <c r="F3075" s="1" t="s">
        <v>40</v>
      </c>
      <c r="G3075" s="6">
        <f ca="1">IFERROR(__xludf.DUMMYFUNCTION("iferror(GOOGLEFINANCE(TRIM(F3075)&amp;"":"" &amp; TRIM(B3075), ""price""),0
)"),0)</f>
        <v>0</v>
      </c>
      <c r="H3075" s="6">
        <v>89.45</v>
      </c>
      <c r="I3075" s="6">
        <f t="shared" ca="1" si="0"/>
        <v>89.45</v>
      </c>
      <c r="J3075" s="6">
        <f ca="1">IFERROR(__xludf.DUMMYFUNCTION("IFERROR(GOOGLEFINANCE(B3075, ""volume""), 0)"),0)</f>
        <v>0</v>
      </c>
      <c r="K3075" s="6">
        <v>-0.17</v>
      </c>
      <c r="L3075" s="6">
        <f ca="1">IFERROR(__xludf.DUMMYFUNCTION("IFERROR(GOOGLEFINANCE(B3075,""changepct""),K3075)"),-0.17)</f>
        <v>-0.17</v>
      </c>
      <c r="M3075" s="6">
        <f ca="1">IFERROR(__xludf.DUMMYFUNCTION("IFERROR(GOOGLEFINANCE(B3075,""change""),0)"),0)</f>
        <v>0</v>
      </c>
      <c r="N3075" s="6">
        <v>1</v>
      </c>
      <c r="O3075" s="7">
        <v>45536</v>
      </c>
      <c r="P3075" s="6">
        <v>38.119999999999997</v>
      </c>
      <c r="Q3075" s="6">
        <v>234.76</v>
      </c>
      <c r="R3075" s="14"/>
      <c r="S3075" s="9"/>
      <c r="T3075" s="9"/>
      <c r="U3075" s="7">
        <v>45352</v>
      </c>
      <c r="V3075" s="6">
        <v>38.83</v>
      </c>
      <c r="W3075" s="6">
        <f ca="1">IFERROR(__xludf.DUMMYFUNCTION("IFERROR(GOOGLEFINANCE(B3075,""pe""),V3075)"),38.83)</f>
        <v>38.83</v>
      </c>
      <c r="X3075" s="9"/>
      <c r="Y3075" s="6">
        <v>3.39</v>
      </c>
      <c r="Z3075" s="6">
        <v>1</v>
      </c>
      <c r="AA3075" s="8">
        <v>45352</v>
      </c>
      <c r="AB3075" s="4">
        <v>0.9</v>
      </c>
      <c r="AC3075" s="6">
        <v>17.079999999999998</v>
      </c>
      <c r="AD3075" s="6">
        <v>26.21</v>
      </c>
      <c r="AE3075" s="1">
        <v>0</v>
      </c>
      <c r="AF3075" s="1">
        <f ca="1">IFERROR(__xludf.DUMMYFUNCTION("IFERROR(GOOGLEFINANCE(TRIM(F3075)&amp;"":"" &amp; TRIM(B3075),""high52""),AE3075)"),0)</f>
        <v>0</v>
      </c>
      <c r="AG3075" s="1">
        <v>0</v>
      </c>
      <c r="AH3075" s="1">
        <f ca="1">IFERROR(__xludf.DUMMYFUNCTION("IFERROR(GOOGLEFINANCE(TRIM(F3075)&amp;"":"" &amp; TRIM(B3075),""low52""),AE3075)"),0)</f>
        <v>0</v>
      </c>
      <c r="AI3075" s="1">
        <f ca="1">IFERROR(__xludf.DUMMYFUNCTION("IFERROR(GOOGLEFINANCE(B3075,""eps""),0)"),0)</f>
        <v>0</v>
      </c>
      <c r="AJ3075" s="1"/>
      <c r="AK3075" s="1" t="s">
        <v>9473</v>
      </c>
      <c r="AL3075" s="9">
        <f t="shared" si="298"/>
        <v>1</v>
      </c>
    </row>
    <row r="3076" spans="1:38" ht="15" x14ac:dyDescent="0.25">
      <c r="A3076" s="1" t="s">
        <v>9474</v>
      </c>
      <c r="B3076" s="1" t="s">
        <v>9475</v>
      </c>
      <c r="C3076" s="1" t="s">
        <v>106</v>
      </c>
      <c r="D3076" s="1" t="s">
        <v>106</v>
      </c>
      <c r="E3076" s="6">
        <v>440.49</v>
      </c>
      <c r="F3076" s="1" t="s">
        <v>53</v>
      </c>
      <c r="G3076" s="6">
        <f ca="1">IFERROR(__xludf.DUMMYFUNCTION("iferror(GOOGLEFINANCE(TRIM(F3076)&amp;"":"" &amp; TRIM(B3076), ""price""),0
)"),0)</f>
        <v>0</v>
      </c>
      <c r="H3076" s="6">
        <v>57.48</v>
      </c>
      <c r="I3076" s="6">
        <f t="shared" ca="1" si="0"/>
        <v>57.48</v>
      </c>
      <c r="J3076" s="6">
        <f ca="1">IFERROR(__xludf.DUMMYFUNCTION("IFERROR(GOOGLEFINANCE(B3076, ""volume""), 0)"),0)</f>
        <v>0</v>
      </c>
      <c r="K3076" s="6">
        <v>0</v>
      </c>
      <c r="L3076" s="6">
        <f ca="1">IFERROR(__xludf.DUMMYFUNCTION("IFERROR(GOOGLEFINANCE(B3076,""changepct""),K3076)"),0)</f>
        <v>0</v>
      </c>
      <c r="M3076" s="6">
        <f ca="1">IFERROR(__xludf.DUMMYFUNCTION("IFERROR(GOOGLEFINANCE(B3076,""change""),0)"),0)</f>
        <v>0</v>
      </c>
      <c r="N3076" s="6">
        <v>2</v>
      </c>
      <c r="O3076" s="7">
        <v>45536</v>
      </c>
      <c r="P3076" s="6">
        <v>49.21</v>
      </c>
      <c r="Q3076" s="6">
        <v>463.79</v>
      </c>
      <c r="R3076" s="7">
        <v>45536</v>
      </c>
      <c r="S3076" s="6">
        <v>182.86</v>
      </c>
      <c r="T3076" s="6">
        <v>13.53</v>
      </c>
      <c r="U3076" s="7">
        <v>45536</v>
      </c>
      <c r="V3076" s="6">
        <v>33.46</v>
      </c>
      <c r="W3076" s="6">
        <f ca="1">IFERROR(__xludf.DUMMYFUNCTION("IFERROR(GOOGLEFINANCE(B3076,""pe""),V3076)"),33.46)</f>
        <v>33.46</v>
      </c>
      <c r="X3076" s="6">
        <v>5.6</v>
      </c>
      <c r="Y3076" s="6">
        <v>3.14</v>
      </c>
      <c r="Z3076" s="6">
        <v>2</v>
      </c>
      <c r="AA3076" s="8">
        <v>45352</v>
      </c>
      <c r="AB3076" s="4">
        <v>0.33</v>
      </c>
      <c r="AC3076" s="6">
        <v>4.24</v>
      </c>
      <c r="AD3076" s="6">
        <v>7.15</v>
      </c>
      <c r="AE3076" s="1">
        <v>0</v>
      </c>
      <c r="AF3076" s="1">
        <f ca="1">IFERROR(__xludf.DUMMYFUNCTION("IFERROR(GOOGLEFINANCE(TRIM(F3076)&amp;"":"" &amp; TRIM(B3076),""high52""),AE3076)"),0)</f>
        <v>0</v>
      </c>
      <c r="AG3076" s="1">
        <v>0</v>
      </c>
      <c r="AH3076" s="1">
        <f ca="1">IFERROR(__xludf.DUMMYFUNCTION("IFERROR(GOOGLEFINANCE(TRIM(F3076)&amp;"":"" &amp; TRIM(B3076),""low52""),AE3076)"),0)</f>
        <v>0</v>
      </c>
      <c r="AI3076" s="1">
        <f ca="1">IFERROR(__xludf.DUMMYFUNCTION("IFERROR(GOOGLEFINANCE(B3076,""eps""),0)"),0)</f>
        <v>0</v>
      </c>
      <c r="AJ3076" s="1"/>
      <c r="AK3076" s="9"/>
      <c r="AL3076" s="9">
        <f t="shared" si="298"/>
        <v>1</v>
      </c>
    </row>
    <row r="3077" spans="1:38" ht="15" x14ac:dyDescent="0.25">
      <c r="A3077" s="1" t="s">
        <v>9476</v>
      </c>
      <c r="B3077" s="1" t="s">
        <v>9477</v>
      </c>
      <c r="C3077" s="1" t="s">
        <v>355</v>
      </c>
      <c r="D3077" s="1" t="s">
        <v>355</v>
      </c>
      <c r="E3077" s="6">
        <v>2446.15</v>
      </c>
      <c r="F3077" s="1" t="s">
        <v>40</v>
      </c>
      <c r="G3077" s="6">
        <f ca="1">IFERROR(__xludf.DUMMYFUNCTION("iferror(GOOGLEFINANCE(TRIM(F3077)&amp;"":"" &amp; TRIM(B3077), ""price""),0
)"),398.55)</f>
        <v>398.55</v>
      </c>
      <c r="H3077" s="6">
        <v>484</v>
      </c>
      <c r="I3077" s="6">
        <f t="shared" ca="1" si="0"/>
        <v>398.55</v>
      </c>
      <c r="J3077" s="6">
        <f ca="1">IFERROR(__xludf.DUMMYFUNCTION("IFERROR(GOOGLEFINANCE(B3077, ""volume""), 0)"),161453)</f>
        <v>161453</v>
      </c>
      <c r="K3077" s="6">
        <v>0.43</v>
      </c>
      <c r="L3077" s="6">
        <f ca="1">IFERROR(__xludf.DUMMYFUNCTION("IFERROR(GOOGLEFINANCE(B3077,""changepct""),K3077)"),-3.74)</f>
        <v>-3.74</v>
      </c>
      <c r="M3077" s="6">
        <f ca="1">IFERROR(__xludf.DUMMYFUNCTION("IFERROR(GOOGLEFINANCE(B3077,""change""),0)"),-15.5)</f>
        <v>-15.5</v>
      </c>
      <c r="N3077" s="6">
        <v>2</v>
      </c>
      <c r="O3077" s="7">
        <v>45536</v>
      </c>
      <c r="P3077" s="6">
        <v>314.14</v>
      </c>
      <c r="Q3077" s="6">
        <v>2746.03</v>
      </c>
      <c r="R3077" s="7">
        <v>45536</v>
      </c>
      <c r="S3077" s="6">
        <v>937.73</v>
      </c>
      <c r="T3077" s="6">
        <v>74.209999999999994</v>
      </c>
      <c r="U3077" s="7">
        <v>45536</v>
      </c>
      <c r="V3077" s="6">
        <v>32.96</v>
      </c>
      <c r="W3077" s="6">
        <f ca="1">IFERROR(__xludf.DUMMYFUNCTION("IFERROR(GOOGLEFINANCE(B3077,""pe""),V3077)"),28.92)</f>
        <v>28.92</v>
      </c>
      <c r="X3077" s="6">
        <v>1.51</v>
      </c>
      <c r="Y3077" s="6">
        <v>4.5599999999999996</v>
      </c>
      <c r="Z3077" s="6">
        <v>2</v>
      </c>
      <c r="AA3077" s="8">
        <v>45352</v>
      </c>
      <c r="AB3077" s="4">
        <v>0.39</v>
      </c>
      <c r="AC3077" s="6">
        <v>15.55</v>
      </c>
      <c r="AD3077" s="6">
        <v>17.63</v>
      </c>
      <c r="AE3077" s="1">
        <v>0</v>
      </c>
      <c r="AF3077" s="1">
        <f ca="1">IFERROR(__xludf.DUMMYFUNCTION("IFERROR(GOOGLEFINANCE(TRIM(F3077)&amp;"":"" &amp; TRIM(B3077),""high52""),AE3077)"),540)</f>
        <v>540</v>
      </c>
      <c r="AG3077" s="1">
        <v>0</v>
      </c>
      <c r="AH3077" s="1">
        <f ca="1">IFERROR(__xludf.DUMMYFUNCTION("IFERROR(GOOGLEFINANCE(TRIM(F3077)&amp;"":"" &amp; TRIM(B3077),""low52""),AE3077)"),260)</f>
        <v>260</v>
      </c>
      <c r="AI3077" s="1">
        <f ca="1">IFERROR(__xludf.DUMMYFUNCTION("IFERROR(GOOGLEFINANCE(B3077,""eps""),0)"),13.78)</f>
        <v>13.78</v>
      </c>
      <c r="AJ3077" s="1"/>
      <c r="AK3077" s="1" t="s">
        <v>9478</v>
      </c>
      <c r="AL3077" s="1" t="b">
        <f>ISNUMBER(AA3077)</f>
        <v>1</v>
      </c>
    </row>
    <row r="3078" spans="1:38" ht="15" x14ac:dyDescent="0.25">
      <c r="A3078" s="1" t="s">
        <v>9479</v>
      </c>
      <c r="B3078" s="1" t="s">
        <v>9480</v>
      </c>
      <c r="C3078" s="1" t="s">
        <v>82</v>
      </c>
      <c r="D3078" s="1" t="s">
        <v>82</v>
      </c>
      <c r="E3078" s="6">
        <v>275.33</v>
      </c>
      <c r="F3078" s="1" t="s">
        <v>40</v>
      </c>
      <c r="G3078" s="6">
        <f ca="1">IFERROR(__xludf.DUMMYFUNCTION("iferror(GOOGLEFINANCE(TRIM(F3078)&amp;"":"" &amp; TRIM(B3078), ""price""),0
)"),16)</f>
        <v>16</v>
      </c>
      <c r="H3078" s="6">
        <v>38</v>
      </c>
      <c r="I3078" s="6">
        <f t="shared" ca="1" si="0"/>
        <v>16</v>
      </c>
      <c r="J3078" s="6">
        <f ca="1">IFERROR(__xludf.DUMMYFUNCTION("IFERROR(GOOGLEFINANCE(B3078, ""volume""), 0)"),86978)</f>
        <v>86978</v>
      </c>
      <c r="K3078" s="6">
        <v>1.23</v>
      </c>
      <c r="L3078" s="6">
        <f ca="1">IFERROR(__xludf.DUMMYFUNCTION("IFERROR(GOOGLEFINANCE(B3078,""changepct""),K3078)"),-1.05)</f>
        <v>-1.05</v>
      </c>
      <c r="M3078" s="6">
        <f ca="1">IFERROR(__xludf.DUMMYFUNCTION("IFERROR(GOOGLEFINANCE(B3078,""change""),0)"),-0.17)</f>
        <v>-0.17</v>
      </c>
      <c r="N3078" s="6">
        <v>2</v>
      </c>
      <c r="O3078" s="7">
        <v>45536</v>
      </c>
      <c r="P3078" s="6">
        <v>92.38</v>
      </c>
      <c r="Q3078" s="6">
        <v>359</v>
      </c>
      <c r="R3078" s="7">
        <v>45536</v>
      </c>
      <c r="S3078" s="6">
        <v>301.18</v>
      </c>
      <c r="T3078" s="6">
        <v>13.83</v>
      </c>
      <c r="U3078" s="7">
        <v>45536</v>
      </c>
      <c r="V3078" s="6">
        <v>28</v>
      </c>
      <c r="W3078" s="6">
        <f ca="1">IFERROR(__xludf.DUMMYFUNCTION("IFERROR(GOOGLEFINANCE(B3078,""pe""),V3078)"),10.47)</f>
        <v>10.47</v>
      </c>
      <c r="X3078" s="12"/>
      <c r="Y3078" s="6">
        <v>1.71</v>
      </c>
      <c r="Z3078" s="6">
        <v>2</v>
      </c>
      <c r="AA3078" s="17">
        <v>45352</v>
      </c>
      <c r="AB3078" s="18">
        <v>0.48</v>
      </c>
      <c r="AC3078" s="6">
        <v>6.14</v>
      </c>
      <c r="AD3078" s="6">
        <v>9.43</v>
      </c>
      <c r="AE3078" s="1">
        <v>0</v>
      </c>
      <c r="AF3078" s="1">
        <f ca="1">IFERROR(__xludf.DUMMYFUNCTION("IFERROR(GOOGLEFINANCE(TRIM(F3078)&amp;"":"" &amp; TRIM(B3078),""high52""),AE3078)"),37.47)</f>
        <v>37.47</v>
      </c>
      <c r="AG3078" s="1">
        <v>0</v>
      </c>
      <c r="AH3078" s="1">
        <f ca="1">IFERROR(__xludf.DUMMYFUNCTION("IFERROR(GOOGLEFINANCE(TRIM(F3078)&amp;"":"" &amp; TRIM(B3078),""low52""),AE3078)"),15.39)</f>
        <v>15.39</v>
      </c>
      <c r="AI3078" s="1">
        <f ca="1">IFERROR(__xludf.DUMMYFUNCTION("IFERROR(GOOGLEFINANCE(B3078,""eps""),0)"),1.53)</f>
        <v>1.53</v>
      </c>
      <c r="AJ3078" s="1"/>
      <c r="AK3078" s="1" t="s">
        <v>9481</v>
      </c>
      <c r="AL3078" s="9">
        <f t="shared" ref="AL3078:AL3086" si="299">IF(AA3078&lt;&gt;AB3078,1,0)</f>
        <v>1</v>
      </c>
    </row>
    <row r="3079" spans="1:38" ht="15" x14ac:dyDescent="0.25">
      <c r="A3079" s="1" t="s">
        <v>9482</v>
      </c>
      <c r="B3079" s="1" t="s">
        <v>9483</v>
      </c>
      <c r="C3079" s="1" t="s">
        <v>106</v>
      </c>
      <c r="D3079" s="1" t="s">
        <v>106</v>
      </c>
      <c r="E3079" s="6">
        <v>58.44</v>
      </c>
      <c r="F3079" s="1" t="s">
        <v>53</v>
      </c>
      <c r="G3079" s="6">
        <f ca="1">IFERROR(__xludf.DUMMYFUNCTION("iferror(GOOGLEFINANCE(TRIM(F3079)&amp;"":"" &amp; TRIM(B3079), ""price""),0
)"),0)</f>
        <v>0</v>
      </c>
      <c r="H3079" s="6">
        <v>44.32</v>
      </c>
      <c r="I3079" s="6">
        <f t="shared" ca="1" si="0"/>
        <v>44.32</v>
      </c>
      <c r="J3079" s="6">
        <f ca="1">IFERROR(__xludf.DUMMYFUNCTION("IFERROR(GOOGLEFINANCE(B3079, ""volume""), 0)"),42862)</f>
        <v>42862</v>
      </c>
      <c r="K3079" s="6">
        <v>-0.96</v>
      </c>
      <c r="L3079" s="6">
        <f ca="1">IFERROR(__xludf.DUMMYFUNCTION("IFERROR(GOOGLEFINANCE(B3079,""changepct""),K3079)"),1.89)</f>
        <v>1.89</v>
      </c>
      <c r="M3079" s="6">
        <f ca="1">IFERROR(__xludf.DUMMYFUNCTION("IFERROR(GOOGLEFINANCE(B3079,""change""),0)"),1)</f>
        <v>1</v>
      </c>
      <c r="N3079" s="6">
        <v>2</v>
      </c>
      <c r="O3079" s="7">
        <v>45536</v>
      </c>
      <c r="P3079" s="6">
        <v>82.29</v>
      </c>
      <c r="Q3079" s="6">
        <v>136.76</v>
      </c>
      <c r="R3079" s="7">
        <v>45536</v>
      </c>
      <c r="S3079" s="6">
        <v>107.68</v>
      </c>
      <c r="T3079" s="6">
        <v>-14.74</v>
      </c>
      <c r="U3079" s="7">
        <v>45536</v>
      </c>
      <c r="V3079" s="6">
        <v>0</v>
      </c>
      <c r="W3079" s="6">
        <f ca="1">IFERROR(__xludf.DUMMYFUNCTION("IFERROR(GOOGLEFINANCE(B3079,""pe""),V3079)"),21.74)</f>
        <v>21.74</v>
      </c>
      <c r="X3079" s="9"/>
      <c r="Y3079" s="6">
        <v>0.82</v>
      </c>
      <c r="Z3079" s="6">
        <v>2</v>
      </c>
      <c r="AA3079" s="8">
        <v>45352</v>
      </c>
      <c r="AB3079" s="4">
        <v>0.91</v>
      </c>
      <c r="AC3079" s="6">
        <v>-12.48</v>
      </c>
      <c r="AD3079" s="6">
        <v>0.46</v>
      </c>
      <c r="AE3079" s="1">
        <v>0</v>
      </c>
      <c r="AF3079" s="1">
        <f ca="1">IFERROR(__xludf.DUMMYFUNCTION("IFERROR(GOOGLEFINANCE(TRIM(F3079)&amp;"":"" &amp; TRIM(B3079),""high52""),AE3079)"),0)</f>
        <v>0</v>
      </c>
      <c r="AG3079" s="1">
        <v>0</v>
      </c>
      <c r="AH3079" s="1">
        <f ca="1">IFERROR(__xludf.DUMMYFUNCTION("IFERROR(GOOGLEFINANCE(TRIM(F3079)&amp;"":"" &amp; TRIM(B3079),""low52""),AE3079)"),0)</f>
        <v>0</v>
      </c>
      <c r="AI3079" s="1">
        <f ca="1">IFERROR(__xludf.DUMMYFUNCTION("IFERROR(GOOGLEFINANCE(B3079,""eps""),0)"),0.02)</f>
        <v>0.02</v>
      </c>
      <c r="AJ3079" s="1"/>
      <c r="AK3079" s="1" t="s">
        <v>9484</v>
      </c>
      <c r="AL3079" s="9">
        <f t="shared" si="299"/>
        <v>1</v>
      </c>
    </row>
    <row r="3080" spans="1:38" ht="15" x14ac:dyDescent="0.25">
      <c r="A3080" s="1" t="s">
        <v>9485</v>
      </c>
      <c r="B3080" s="1" t="s">
        <v>9486</v>
      </c>
      <c r="C3080" s="1" t="s">
        <v>1118</v>
      </c>
      <c r="D3080" s="1" t="s">
        <v>1118</v>
      </c>
      <c r="E3080" s="6">
        <v>192.15</v>
      </c>
      <c r="F3080" s="1" t="s">
        <v>40</v>
      </c>
      <c r="G3080" s="6">
        <f ca="1">IFERROR(__xludf.DUMMYFUNCTION("iferror(GOOGLEFINANCE(TRIM(F3080)&amp;"":"" &amp; TRIM(B3080), ""price""),0
)"),30)</f>
        <v>30</v>
      </c>
      <c r="H3080" s="6">
        <v>58.5</v>
      </c>
      <c r="I3080" s="6">
        <f t="shared" ca="1" si="0"/>
        <v>30</v>
      </c>
      <c r="J3080" s="6">
        <f ca="1">IFERROR(__xludf.DUMMYFUNCTION("IFERROR(GOOGLEFINANCE(B3080, ""volume""), 0)"),31358)</f>
        <v>31358</v>
      </c>
      <c r="K3080" s="6">
        <v>1.18</v>
      </c>
      <c r="L3080" s="6">
        <f ca="1">IFERROR(__xludf.DUMMYFUNCTION("IFERROR(GOOGLEFINANCE(B3080,""changepct""),K3080)"),1.56)</f>
        <v>1.56</v>
      </c>
      <c r="M3080" s="6">
        <f ca="1">IFERROR(__xludf.DUMMYFUNCTION("IFERROR(GOOGLEFINANCE(B3080,""change""),0)"),0.46)</f>
        <v>0.46</v>
      </c>
      <c r="N3080" s="6">
        <v>1</v>
      </c>
      <c r="O3080" s="7">
        <v>45536</v>
      </c>
      <c r="P3080" s="6">
        <v>380.46</v>
      </c>
      <c r="Q3080" s="6">
        <v>563.29</v>
      </c>
      <c r="R3080" s="7">
        <v>45536</v>
      </c>
      <c r="S3080" s="6">
        <v>708.83</v>
      </c>
      <c r="T3080" s="6">
        <v>4.72</v>
      </c>
      <c r="U3080" s="7">
        <v>45536</v>
      </c>
      <c r="V3080" s="6">
        <v>40.74</v>
      </c>
      <c r="W3080" s="6">
        <f ca="1">IFERROR(__xludf.DUMMYFUNCTION("IFERROR(GOOGLEFINANCE(B3080,""pe""),V3080)"),40.74)</f>
        <v>40.74</v>
      </c>
      <c r="X3080" s="6">
        <v>2.21</v>
      </c>
      <c r="Y3080" s="6">
        <v>0.68</v>
      </c>
      <c r="Z3080" s="6">
        <v>1</v>
      </c>
      <c r="AA3080" s="8">
        <v>45352</v>
      </c>
      <c r="AB3080" s="4">
        <v>1.48</v>
      </c>
      <c r="AC3080" s="6">
        <v>5.33</v>
      </c>
      <c r="AD3080" s="6">
        <v>6.85</v>
      </c>
      <c r="AE3080" s="1">
        <v>0</v>
      </c>
      <c r="AF3080" s="1">
        <f ca="1">IFERROR(__xludf.DUMMYFUNCTION("IFERROR(GOOGLEFINANCE(TRIM(F3080)&amp;"":"" &amp; TRIM(B3080),""high52""),AE3080)"),54.45)</f>
        <v>54.45</v>
      </c>
      <c r="AG3080" s="1">
        <v>0</v>
      </c>
      <c r="AH3080" s="1">
        <f ca="1">IFERROR(__xludf.DUMMYFUNCTION("IFERROR(GOOGLEFINANCE(TRIM(F3080)&amp;"":"" &amp; TRIM(B3080),""low52""),AE3080)"),28.81)</f>
        <v>28.81</v>
      </c>
      <c r="AI3080" s="1">
        <f ca="1">IFERROR(__xludf.DUMMYFUNCTION("IFERROR(GOOGLEFINANCE(B3080,""eps""),0)"),-9.05)</f>
        <v>-9.0500000000000007</v>
      </c>
      <c r="AJ3080" s="1"/>
      <c r="AK3080" s="1" t="s">
        <v>9487</v>
      </c>
      <c r="AL3080" s="9">
        <f t="shared" si="299"/>
        <v>1</v>
      </c>
    </row>
    <row r="3081" spans="1:38" ht="15" x14ac:dyDescent="0.25">
      <c r="A3081" s="1" t="s">
        <v>9488</v>
      </c>
      <c r="B3081" s="1" t="s">
        <v>9489</v>
      </c>
      <c r="C3081" s="1" t="s">
        <v>697</v>
      </c>
      <c r="D3081" s="1" t="s">
        <v>697</v>
      </c>
      <c r="E3081" s="6">
        <v>5892.41</v>
      </c>
      <c r="F3081" s="1" t="s">
        <v>40</v>
      </c>
      <c r="G3081" s="6">
        <f ca="1">IFERROR(__xludf.DUMMYFUNCTION("iferror(GOOGLEFINANCE(TRIM(F3081)&amp;"":"" &amp; TRIM(B3081), ""price""),0
)"),265.95)</f>
        <v>265.95</v>
      </c>
      <c r="H3081" s="6">
        <v>307.25</v>
      </c>
      <c r="I3081" s="6">
        <f t="shared" ca="1" si="0"/>
        <v>265.95</v>
      </c>
      <c r="J3081" s="6">
        <f ca="1">IFERROR(__xludf.DUMMYFUNCTION("IFERROR(GOOGLEFINANCE(B3081, ""volume""), 0)"),636189)</f>
        <v>636189</v>
      </c>
      <c r="K3081" s="6">
        <v>1.5</v>
      </c>
      <c r="L3081" s="6">
        <f ca="1">IFERROR(__xludf.DUMMYFUNCTION("IFERROR(GOOGLEFINANCE(B3081,""changepct""),K3081)"),1.64)</f>
        <v>1.64</v>
      </c>
      <c r="M3081" s="6">
        <f ca="1">IFERROR(__xludf.DUMMYFUNCTION("IFERROR(GOOGLEFINANCE(B3081,""change""),0)"),4.3)</f>
        <v>4.3</v>
      </c>
      <c r="N3081" s="6">
        <v>1</v>
      </c>
      <c r="O3081" s="7">
        <v>45536</v>
      </c>
      <c r="P3081" s="6">
        <v>1</v>
      </c>
      <c r="Q3081" s="6">
        <v>5876.41</v>
      </c>
      <c r="R3081" s="7">
        <v>45536</v>
      </c>
      <c r="S3081" s="6">
        <v>2745</v>
      </c>
      <c r="T3081" s="6">
        <v>149</v>
      </c>
      <c r="U3081" s="7">
        <v>45536</v>
      </c>
      <c r="V3081" s="6">
        <v>39.549999999999997</v>
      </c>
      <c r="W3081" s="6">
        <f ca="1">IFERROR(__xludf.DUMMYFUNCTION("IFERROR(GOOGLEFINANCE(B3081,""pe""),V3081)"),31)</f>
        <v>31</v>
      </c>
      <c r="X3081" s="6">
        <v>-42.99</v>
      </c>
      <c r="Y3081" s="6">
        <v>3.06</v>
      </c>
      <c r="Z3081" s="6">
        <v>1</v>
      </c>
      <c r="AA3081" s="8">
        <v>45352</v>
      </c>
      <c r="AB3081" s="4">
        <v>0</v>
      </c>
      <c r="AC3081" s="6">
        <v>8.31</v>
      </c>
      <c r="AD3081" s="6">
        <v>11.71</v>
      </c>
      <c r="AE3081" s="1">
        <v>0</v>
      </c>
      <c r="AF3081" s="1">
        <f ca="1">IFERROR(__xludf.DUMMYFUNCTION("IFERROR(GOOGLEFINANCE(TRIM(F3081)&amp;"":"" &amp; TRIM(B3081),""high52""),AE3081)"),385.9)</f>
        <v>385.9</v>
      </c>
      <c r="AG3081" s="1">
        <v>0</v>
      </c>
      <c r="AH3081" s="1">
        <f ca="1">IFERROR(__xludf.DUMMYFUNCTION("IFERROR(GOOGLEFINANCE(TRIM(F3081)&amp;"":"" &amp; TRIM(B3081),""low52""),AE3081)"),196)</f>
        <v>196</v>
      </c>
      <c r="AI3081" s="1">
        <f ca="1">IFERROR(__xludf.DUMMYFUNCTION("IFERROR(GOOGLEFINANCE(B3081,""eps""),0)"),8.58)</f>
        <v>8.58</v>
      </c>
      <c r="AJ3081" s="1"/>
      <c r="AK3081" s="1" t="s">
        <v>9490</v>
      </c>
      <c r="AL3081" s="9">
        <f t="shared" si="299"/>
        <v>1</v>
      </c>
    </row>
    <row r="3082" spans="1:38" ht="15" x14ac:dyDescent="0.25">
      <c r="A3082" s="1" t="s">
        <v>9491</v>
      </c>
      <c r="B3082" s="1" t="s">
        <v>9492</v>
      </c>
      <c r="C3082" s="1" t="s">
        <v>106</v>
      </c>
      <c r="D3082" s="1" t="s">
        <v>106</v>
      </c>
      <c r="E3082" s="6">
        <v>162.94999999999999</v>
      </c>
      <c r="F3082" s="1" t="s">
        <v>53</v>
      </c>
      <c r="G3082" s="6">
        <f ca="1">IFERROR(__xludf.DUMMYFUNCTION("iferror(GOOGLEFINANCE(TRIM(F3082)&amp;"":"" &amp; TRIM(B3082), ""price""),0
)"),0)</f>
        <v>0</v>
      </c>
      <c r="H3082" s="6">
        <v>266.75</v>
      </c>
      <c r="I3082" s="6">
        <f t="shared" ca="1" si="0"/>
        <v>266.75</v>
      </c>
      <c r="J3082" s="6">
        <f ca="1">IFERROR(__xludf.DUMMYFUNCTION("IFERROR(GOOGLEFINANCE(B3082, ""volume""), 0)"),0)</f>
        <v>0</v>
      </c>
      <c r="K3082" s="6">
        <v>2.0299999999999998</v>
      </c>
      <c r="L3082" s="6">
        <f ca="1">IFERROR(__xludf.DUMMYFUNCTION("IFERROR(GOOGLEFINANCE(B3082,""changepct""),K3082)"),2.03)</f>
        <v>2.0299999999999998</v>
      </c>
      <c r="M3082" s="6">
        <f ca="1">IFERROR(__xludf.DUMMYFUNCTION("IFERROR(GOOGLEFINANCE(B3082,""change""),0)"),0)</f>
        <v>0</v>
      </c>
      <c r="N3082" s="6">
        <v>1</v>
      </c>
      <c r="O3082" s="7">
        <v>45536</v>
      </c>
      <c r="P3082" s="6">
        <v>34.22</v>
      </c>
      <c r="Q3082" s="6">
        <v>196.48</v>
      </c>
      <c r="R3082" s="7">
        <v>45536</v>
      </c>
      <c r="S3082" s="6">
        <v>38.86</v>
      </c>
      <c r="T3082" s="6">
        <v>6.17</v>
      </c>
      <c r="U3082" s="7">
        <v>45536</v>
      </c>
      <c r="V3082" s="6">
        <v>26.43</v>
      </c>
      <c r="W3082" s="6">
        <f ca="1">IFERROR(__xludf.DUMMYFUNCTION("IFERROR(GOOGLEFINANCE(B3082,""pe""),V3082)"),26.43)</f>
        <v>26.43</v>
      </c>
      <c r="X3082" s="6">
        <v>2.1800000000000002</v>
      </c>
      <c r="Y3082" s="6">
        <v>3.76</v>
      </c>
      <c r="Z3082" s="6">
        <v>1</v>
      </c>
      <c r="AA3082" s="8">
        <v>45352</v>
      </c>
      <c r="AB3082" s="4">
        <v>0.63</v>
      </c>
      <c r="AC3082" s="6">
        <v>20.46</v>
      </c>
      <c r="AD3082" s="6">
        <v>20.37</v>
      </c>
      <c r="AE3082" s="1">
        <v>0</v>
      </c>
      <c r="AF3082" s="1">
        <f ca="1">IFERROR(__xludf.DUMMYFUNCTION("IFERROR(GOOGLEFINANCE(TRIM(F3082)&amp;"":"" &amp; TRIM(B3082),""high52""),AE3082)"),0)</f>
        <v>0</v>
      </c>
      <c r="AG3082" s="1">
        <v>0</v>
      </c>
      <c r="AH3082" s="1">
        <f ca="1">IFERROR(__xludf.DUMMYFUNCTION("IFERROR(GOOGLEFINANCE(TRIM(F3082)&amp;"":"" &amp; TRIM(B3082),""low52""),AE3082)"),0)</f>
        <v>0</v>
      </c>
      <c r="AI3082" s="1">
        <f ca="1">IFERROR(__xludf.DUMMYFUNCTION("IFERROR(GOOGLEFINANCE(B3082,""eps""),0)"),0)</f>
        <v>0</v>
      </c>
      <c r="AJ3082" s="1"/>
      <c r="AK3082" s="1" t="s">
        <v>9493</v>
      </c>
      <c r="AL3082" s="9">
        <f t="shared" si="299"/>
        <v>1</v>
      </c>
    </row>
    <row r="3083" spans="1:38" ht="15" x14ac:dyDescent="0.25">
      <c r="A3083" s="1" t="s">
        <v>9494</v>
      </c>
      <c r="B3083" s="1" t="s">
        <v>9495</v>
      </c>
      <c r="C3083" s="1" t="s">
        <v>1497</v>
      </c>
      <c r="D3083" s="1" t="s">
        <v>1497</v>
      </c>
      <c r="E3083" s="6">
        <v>2544.31</v>
      </c>
      <c r="F3083" s="1" t="s">
        <v>40</v>
      </c>
      <c r="G3083" s="6">
        <f ca="1">IFERROR(__xludf.DUMMYFUNCTION("iferror(GOOGLEFINANCE(TRIM(F3083)&amp;"":"" &amp; TRIM(B3083), ""price""),0
)"),286)</f>
        <v>286</v>
      </c>
      <c r="H3083" s="6">
        <v>584.15</v>
      </c>
      <c r="I3083" s="6">
        <f t="shared" ca="1" si="0"/>
        <v>286</v>
      </c>
      <c r="J3083" s="6">
        <f ca="1">IFERROR(__xludf.DUMMYFUNCTION("IFERROR(GOOGLEFINANCE(B3083, ""volume""), 0)"),16718)</f>
        <v>16718</v>
      </c>
      <c r="K3083" s="6">
        <v>0.64</v>
      </c>
      <c r="L3083" s="6">
        <f ca="1">IFERROR(__xludf.DUMMYFUNCTION("IFERROR(GOOGLEFINANCE(B3083,""changepct""),K3083)"),-0.87)</f>
        <v>-0.87</v>
      </c>
      <c r="M3083" s="6">
        <f ca="1">IFERROR(__xludf.DUMMYFUNCTION("IFERROR(GOOGLEFINANCE(B3083,""change""),0)"),-2.5)</f>
        <v>-2.5</v>
      </c>
      <c r="N3083" s="6">
        <v>2</v>
      </c>
      <c r="O3083" s="7">
        <v>45536</v>
      </c>
      <c r="P3083" s="6">
        <v>209.83</v>
      </c>
      <c r="Q3083" s="6">
        <v>2730.53</v>
      </c>
      <c r="R3083" s="7">
        <v>45536</v>
      </c>
      <c r="S3083" s="6">
        <v>3333.12</v>
      </c>
      <c r="T3083" s="6">
        <v>64.150000000000006</v>
      </c>
      <c r="U3083" s="7">
        <v>45536</v>
      </c>
      <c r="V3083" s="6">
        <v>42.57</v>
      </c>
      <c r="W3083" s="6">
        <f ca="1">IFERROR(__xludf.DUMMYFUNCTION("IFERROR(GOOGLEFINANCE(B3083,""pe""),V3083)"),36.12)</f>
        <v>36.119999999999997</v>
      </c>
      <c r="X3083" s="6">
        <v>1.56</v>
      </c>
      <c r="Y3083" s="6">
        <v>5.97</v>
      </c>
      <c r="Z3083" s="6">
        <v>2</v>
      </c>
      <c r="AA3083" s="8">
        <v>45352</v>
      </c>
      <c r="AB3083" s="4">
        <v>0.56000000000000005</v>
      </c>
      <c r="AC3083" s="6">
        <v>15.14</v>
      </c>
      <c r="AD3083" s="6">
        <v>18.97</v>
      </c>
      <c r="AE3083" s="1">
        <v>0</v>
      </c>
      <c r="AF3083" s="1">
        <f ca="1">IFERROR(__xludf.DUMMYFUNCTION("IFERROR(GOOGLEFINANCE(TRIM(F3083)&amp;"":"" &amp; TRIM(B3083),""high52""),AE3083)"),392.98)</f>
        <v>392.98</v>
      </c>
      <c r="AG3083" s="1">
        <v>0</v>
      </c>
      <c r="AH3083" s="1">
        <f ca="1">IFERROR(__xludf.DUMMYFUNCTION("IFERROR(GOOGLEFINANCE(TRIM(F3083)&amp;"":"" &amp; TRIM(B3083),""low52""),AE3083)"),228.3)</f>
        <v>228.3</v>
      </c>
      <c r="AI3083" s="1">
        <f ca="1">IFERROR(__xludf.DUMMYFUNCTION("IFERROR(GOOGLEFINANCE(B3083,""eps""),0)"),7.92)</f>
        <v>7.92</v>
      </c>
      <c r="AJ3083" s="1"/>
      <c r="AK3083" s="1" t="s">
        <v>9496</v>
      </c>
      <c r="AL3083" s="9">
        <f t="shared" si="299"/>
        <v>1</v>
      </c>
    </row>
    <row r="3084" spans="1:38" ht="15" x14ac:dyDescent="0.25">
      <c r="A3084" s="1" t="s">
        <v>9497</v>
      </c>
      <c r="B3084" s="1" t="s">
        <v>9498</v>
      </c>
      <c r="C3084" s="1" t="s">
        <v>106</v>
      </c>
      <c r="D3084" s="1" t="s">
        <v>106</v>
      </c>
      <c r="E3084" s="6">
        <v>30.75</v>
      </c>
      <c r="F3084" s="1" t="s">
        <v>53</v>
      </c>
      <c r="G3084" s="6">
        <f ca="1">IFERROR(__xludf.DUMMYFUNCTION("iferror(GOOGLEFINANCE(TRIM(F3084)&amp;"":"" &amp; TRIM(B3084), ""price""),0
)"),0)</f>
        <v>0</v>
      </c>
      <c r="H3084" s="6">
        <v>51.16</v>
      </c>
      <c r="I3084" s="6">
        <f t="shared" ca="1" si="0"/>
        <v>51.16</v>
      </c>
      <c r="J3084" s="6">
        <f ca="1">IFERROR(__xludf.DUMMYFUNCTION("IFERROR(GOOGLEFINANCE(B3084, ""volume""), 0)"),0)</f>
        <v>0</v>
      </c>
      <c r="K3084" s="6">
        <v>-1.99</v>
      </c>
      <c r="L3084" s="6">
        <f ca="1">IFERROR(__xludf.DUMMYFUNCTION("IFERROR(GOOGLEFINANCE(B3084,""changepct""),K3084)"),-1.99)</f>
        <v>-1.99</v>
      </c>
      <c r="M3084" s="6">
        <f ca="1">IFERROR(__xludf.DUMMYFUNCTION("IFERROR(GOOGLEFINANCE(B3084,""change""),0)"),0)</f>
        <v>0</v>
      </c>
      <c r="N3084" s="6">
        <v>1</v>
      </c>
      <c r="O3084" s="7">
        <v>45536</v>
      </c>
      <c r="P3084" s="6">
        <v>0.16</v>
      </c>
      <c r="Q3084" s="6">
        <v>30.91</v>
      </c>
      <c r="R3084" s="7">
        <v>45536</v>
      </c>
      <c r="S3084" s="6">
        <v>0</v>
      </c>
      <c r="T3084" s="6">
        <v>0.39</v>
      </c>
      <c r="U3084" s="7">
        <v>45536</v>
      </c>
      <c r="V3084" s="6">
        <v>79.650000000000006</v>
      </c>
      <c r="W3084" s="6">
        <f ca="1">IFERROR(__xludf.DUMMYFUNCTION("IFERROR(GOOGLEFINANCE(B3084,""pe""),V3084)"),79.65)</f>
        <v>79.650000000000006</v>
      </c>
      <c r="X3084" s="6">
        <v>6.21</v>
      </c>
      <c r="Y3084" s="6">
        <v>29.91</v>
      </c>
      <c r="Z3084" s="6">
        <v>1</v>
      </c>
      <c r="AA3084" s="8">
        <v>45352</v>
      </c>
      <c r="AB3084" s="4">
        <v>0.08</v>
      </c>
      <c r="AC3084" s="6">
        <v>-11.36</v>
      </c>
      <c r="AD3084" s="6">
        <v>-4.79</v>
      </c>
      <c r="AE3084" s="1">
        <v>0</v>
      </c>
      <c r="AF3084" s="1">
        <f ca="1">IFERROR(__xludf.DUMMYFUNCTION("IFERROR(GOOGLEFINANCE(TRIM(F3084)&amp;"":"" &amp; TRIM(B3084),""high52""),AE3084)"),0)</f>
        <v>0</v>
      </c>
      <c r="AG3084" s="1">
        <v>0</v>
      </c>
      <c r="AH3084" s="1">
        <f ca="1">IFERROR(__xludf.DUMMYFUNCTION("IFERROR(GOOGLEFINANCE(TRIM(F3084)&amp;"":"" &amp; TRIM(B3084),""low52""),AE3084)"),0)</f>
        <v>0</v>
      </c>
      <c r="AI3084" s="1">
        <f ca="1">IFERROR(__xludf.DUMMYFUNCTION("IFERROR(GOOGLEFINANCE(B3084,""eps""),0)"),0)</f>
        <v>0</v>
      </c>
      <c r="AJ3084" s="1"/>
      <c r="AK3084" s="1" t="s">
        <v>9499</v>
      </c>
      <c r="AL3084" s="9">
        <f t="shared" si="299"/>
        <v>1</v>
      </c>
    </row>
    <row r="3085" spans="1:38" ht="15" x14ac:dyDescent="0.25">
      <c r="A3085" s="1" t="s">
        <v>9500</v>
      </c>
      <c r="B3085" s="1" t="s">
        <v>9501</v>
      </c>
      <c r="C3085" s="1" t="s">
        <v>502</v>
      </c>
      <c r="D3085" s="1" t="s">
        <v>502</v>
      </c>
      <c r="E3085" s="6">
        <v>359</v>
      </c>
      <c r="F3085" s="1" t="s">
        <v>40</v>
      </c>
      <c r="G3085" s="6">
        <f ca="1">IFERROR(__xludf.DUMMYFUNCTION("iferror(GOOGLEFINANCE(TRIM(F3085)&amp;"":"" &amp; TRIM(B3085), ""price""),0
)"),151.95)</f>
        <v>151.94999999999999</v>
      </c>
      <c r="H3085" s="6">
        <v>197.1</v>
      </c>
      <c r="I3085" s="6">
        <f t="shared" ca="1" si="0"/>
        <v>151.94999999999999</v>
      </c>
      <c r="J3085" s="6">
        <f ca="1">IFERROR(__xludf.DUMMYFUNCTION("IFERROR(GOOGLEFINANCE(B3085, ""volume""), 0)"),40893)</f>
        <v>40893</v>
      </c>
      <c r="K3085" s="6">
        <v>-1.44</v>
      </c>
      <c r="L3085" s="6">
        <f ca="1">IFERROR(__xludf.DUMMYFUNCTION("IFERROR(GOOGLEFINANCE(B3085,""changepct""),K3085)"),-1.13)</f>
        <v>-1.1299999999999999</v>
      </c>
      <c r="M3085" s="6">
        <f ca="1">IFERROR(__xludf.DUMMYFUNCTION("IFERROR(GOOGLEFINANCE(B3085,""change""),0)"),-1.73)</f>
        <v>-1.73</v>
      </c>
      <c r="N3085" s="6">
        <v>1</v>
      </c>
      <c r="O3085" s="7">
        <v>45536</v>
      </c>
      <c r="P3085" s="6">
        <v>113.7</v>
      </c>
      <c r="Q3085" s="6">
        <v>462.41</v>
      </c>
      <c r="R3085" s="7">
        <v>45536</v>
      </c>
      <c r="S3085" s="6">
        <v>665.54</v>
      </c>
      <c r="T3085" s="6">
        <v>-22.2</v>
      </c>
      <c r="U3085" s="7">
        <v>45536</v>
      </c>
      <c r="V3085" s="6">
        <v>0</v>
      </c>
      <c r="W3085" s="6">
        <f ca="1">IFERROR(__xludf.DUMMYFUNCTION("IFERROR(GOOGLEFINANCE(B3085,""pe""),V3085)"),10.23)</f>
        <v>10.23</v>
      </c>
      <c r="X3085" s="9"/>
      <c r="Y3085" s="6">
        <v>1.25</v>
      </c>
      <c r="Z3085" s="6">
        <v>1</v>
      </c>
      <c r="AA3085" s="8">
        <v>45352</v>
      </c>
      <c r="AB3085" s="4">
        <v>0.52</v>
      </c>
      <c r="AC3085" s="6">
        <v>-10.62</v>
      </c>
      <c r="AD3085" s="6">
        <v>-6.7</v>
      </c>
      <c r="AE3085" s="1">
        <v>0</v>
      </c>
      <c r="AF3085" s="1">
        <f ca="1">IFERROR(__xludf.DUMMYFUNCTION("IFERROR(GOOGLEFINANCE(TRIM(F3085)&amp;"":"" &amp; TRIM(B3085),""high52""),AE3085)"),217.19)</f>
        <v>217.19</v>
      </c>
      <c r="AG3085" s="1">
        <v>0</v>
      </c>
      <c r="AH3085" s="1">
        <f ca="1">IFERROR(__xludf.DUMMYFUNCTION("IFERROR(GOOGLEFINANCE(TRIM(F3085)&amp;"":"" &amp; TRIM(B3085),""low52""),AE3085)"),80.85)</f>
        <v>80.849999999999994</v>
      </c>
      <c r="AI3085" s="1">
        <f ca="1">IFERROR(__xludf.DUMMYFUNCTION("IFERROR(GOOGLEFINANCE(B3085,""eps""),0)"),14.85)</f>
        <v>14.85</v>
      </c>
      <c r="AJ3085" s="1"/>
      <c r="AK3085" s="1" t="s">
        <v>9502</v>
      </c>
      <c r="AL3085" s="9">
        <f t="shared" si="299"/>
        <v>1</v>
      </c>
    </row>
    <row r="3086" spans="1:38" ht="15" x14ac:dyDescent="0.25">
      <c r="A3086" s="1" t="s">
        <v>9503</v>
      </c>
      <c r="B3086" s="1" t="s">
        <v>9504</v>
      </c>
      <c r="C3086" s="1" t="s">
        <v>219</v>
      </c>
      <c r="D3086" s="1" t="s">
        <v>219</v>
      </c>
      <c r="E3086" s="6">
        <v>1914.81</v>
      </c>
      <c r="F3086" s="1" t="s">
        <v>40</v>
      </c>
      <c r="G3086" s="6">
        <f ca="1">IFERROR(__xludf.DUMMYFUNCTION("iferror(GOOGLEFINANCE(TRIM(F3086)&amp;"":"" &amp; TRIM(B3086), ""price""),0
)"),7.66)</f>
        <v>7.66</v>
      </c>
      <c r="H3086" s="6">
        <v>12.39</v>
      </c>
      <c r="I3086" s="6">
        <f t="shared" ca="1" si="0"/>
        <v>7.66</v>
      </c>
      <c r="J3086" s="6">
        <f ca="1">IFERROR(__xludf.DUMMYFUNCTION("IFERROR(GOOGLEFINANCE(B3086, ""volume""), 0)"),5431201)</f>
        <v>5431201</v>
      </c>
      <c r="K3086" s="6">
        <v>0.56999999999999995</v>
      </c>
      <c r="L3086" s="6">
        <f ca="1">IFERROR(__xludf.DUMMYFUNCTION("IFERROR(GOOGLEFINANCE(B3086,""changepct""),K3086)"),-0.26)</f>
        <v>-0.26</v>
      </c>
      <c r="M3086" s="6">
        <f ca="1">IFERROR(__xludf.DUMMYFUNCTION("IFERROR(GOOGLEFINANCE(B3086,""change""),0)"),-0.02)</f>
        <v>-0.02</v>
      </c>
      <c r="N3086" s="6">
        <v>2</v>
      </c>
      <c r="O3086" s="7">
        <v>45536</v>
      </c>
      <c r="P3086" s="6">
        <v>95.19</v>
      </c>
      <c r="Q3086" s="6">
        <v>2010</v>
      </c>
      <c r="R3086" s="7">
        <v>45536</v>
      </c>
      <c r="S3086" s="6">
        <v>1010.34</v>
      </c>
      <c r="T3086" s="6">
        <v>27.06</v>
      </c>
      <c r="U3086" s="7">
        <v>45536</v>
      </c>
      <c r="V3086" s="6">
        <v>71.72</v>
      </c>
      <c r="W3086" s="6">
        <f ca="1">IFERROR(__xludf.DUMMYFUNCTION("IFERROR(GOOGLEFINANCE(B3086,""pe""),V3086)"),51.21)</f>
        <v>51.21</v>
      </c>
      <c r="X3086" s="6">
        <v>2.5299999999999998</v>
      </c>
      <c r="Y3086" s="6">
        <v>5.45</v>
      </c>
      <c r="Z3086" s="6">
        <v>2</v>
      </c>
      <c r="AA3086" s="8">
        <v>45352</v>
      </c>
      <c r="AB3086" s="4">
        <v>0.43</v>
      </c>
      <c r="AC3086" s="6">
        <v>10.75</v>
      </c>
      <c r="AD3086" s="6">
        <v>12.75</v>
      </c>
      <c r="AE3086" s="1">
        <v>0</v>
      </c>
      <c r="AF3086" s="1">
        <f ca="1">IFERROR(__xludf.DUMMYFUNCTION("IFERROR(GOOGLEFINANCE(TRIM(F3086)&amp;"":"" &amp; TRIM(B3086),""high52""),AE3086)"),14.9)</f>
        <v>14.9</v>
      </c>
      <c r="AG3086" s="1">
        <v>0</v>
      </c>
      <c r="AH3086" s="1">
        <f ca="1">IFERROR(__xludf.DUMMYFUNCTION("IFERROR(GOOGLEFINANCE(TRIM(F3086)&amp;"":"" &amp; TRIM(B3086),""low52""),AE3086)"),7.25)</f>
        <v>7.25</v>
      </c>
      <c r="AI3086" s="1">
        <f ca="1">IFERROR(__xludf.DUMMYFUNCTION("IFERROR(GOOGLEFINANCE(B3086,""eps""),0)"),0.15)</f>
        <v>0.15</v>
      </c>
      <c r="AJ3086" s="1"/>
      <c r="AK3086" s="1" t="s">
        <v>9505</v>
      </c>
      <c r="AL3086" s="9">
        <f t="shared" si="299"/>
        <v>1</v>
      </c>
    </row>
    <row r="3087" spans="1:38" ht="15" x14ac:dyDescent="0.25">
      <c r="A3087" s="1" t="s">
        <v>9506</v>
      </c>
      <c r="B3087" s="1" t="s">
        <v>9507</v>
      </c>
      <c r="C3087" s="1" t="s">
        <v>239</v>
      </c>
      <c r="D3087" s="1" t="s">
        <v>239</v>
      </c>
      <c r="E3087" s="6">
        <v>2357.73</v>
      </c>
      <c r="F3087" s="1" t="s">
        <v>40</v>
      </c>
      <c r="G3087" s="6">
        <f ca="1">IFERROR(__xludf.DUMMYFUNCTION("iferror(GOOGLEFINANCE(TRIM(F3087)&amp;"":"" &amp; TRIM(B3087), ""price""),0
)"),313.8)</f>
        <v>313.8</v>
      </c>
      <c r="H3087" s="6">
        <v>274.35000000000002</v>
      </c>
      <c r="I3087" s="6">
        <f t="shared" ca="1" si="0"/>
        <v>313.8</v>
      </c>
      <c r="J3087" s="6">
        <f ca="1">IFERROR(__xludf.DUMMYFUNCTION("IFERROR(GOOGLEFINANCE(B3087, ""volume""), 0)"),55353)</f>
        <v>55353</v>
      </c>
      <c r="K3087" s="6">
        <v>0.99</v>
      </c>
      <c r="L3087" s="6">
        <f ca="1">IFERROR(__xludf.DUMMYFUNCTION("IFERROR(GOOGLEFINANCE(B3087,""changepct""),K3087)"),3.72)</f>
        <v>3.72</v>
      </c>
      <c r="M3087" s="6">
        <f ca="1">IFERROR(__xludf.DUMMYFUNCTION("IFERROR(GOOGLEFINANCE(B3087,""change""),0)"),11.25)</f>
        <v>11.25</v>
      </c>
      <c r="N3087" s="6">
        <v>2</v>
      </c>
      <c r="O3087" s="7">
        <v>45536</v>
      </c>
      <c r="P3087" s="6">
        <v>130.05000000000001</v>
      </c>
      <c r="Q3087" s="6">
        <v>2397.15</v>
      </c>
      <c r="R3087" s="7">
        <v>45536</v>
      </c>
      <c r="S3087" s="6">
        <v>1594.87</v>
      </c>
      <c r="T3087" s="6">
        <v>82.04</v>
      </c>
      <c r="U3087" s="7">
        <v>45536</v>
      </c>
      <c r="V3087" s="6">
        <v>18.64</v>
      </c>
      <c r="W3087" s="6">
        <f ca="1">IFERROR(__xludf.DUMMYFUNCTION("IFERROR(GOOGLEFINANCE(B3087,""pe""),V3087)"),11.75)</f>
        <v>11.75</v>
      </c>
      <c r="X3087" s="6">
        <v>-2</v>
      </c>
      <c r="Y3087" s="6">
        <v>0.56999999999999995</v>
      </c>
      <c r="Z3087" s="6">
        <v>2</v>
      </c>
      <c r="AA3087" s="8">
        <v>45352</v>
      </c>
      <c r="AB3087" s="4">
        <v>0.06</v>
      </c>
      <c r="AC3087" s="6">
        <v>1.84</v>
      </c>
      <c r="AD3087" s="6">
        <v>3.14</v>
      </c>
      <c r="AE3087" s="1">
        <v>0</v>
      </c>
      <c r="AF3087" s="1">
        <f ca="1">IFERROR(__xludf.DUMMYFUNCTION("IFERROR(GOOGLEFINANCE(TRIM(F3087)&amp;"":"" &amp; TRIM(B3087),""high52""),AE3087)"),398.05)</f>
        <v>398.05</v>
      </c>
      <c r="AG3087" s="1">
        <v>0</v>
      </c>
      <c r="AH3087" s="1">
        <f ca="1">IFERROR(__xludf.DUMMYFUNCTION("IFERROR(GOOGLEFINANCE(TRIM(F3087)&amp;"":"" &amp; TRIM(B3087),""low52""),AE3087)"),215)</f>
        <v>215</v>
      </c>
      <c r="AI3087" s="1">
        <f ca="1">IFERROR(__xludf.DUMMYFUNCTION("IFERROR(GOOGLEFINANCE(B3087,""eps""),0)"),26.7)</f>
        <v>26.7</v>
      </c>
      <c r="AJ3087" s="1"/>
      <c r="AK3087" s="1" t="s">
        <v>9508</v>
      </c>
      <c r="AL3087" s="1" t="b">
        <f>ISNUMBER(AA3087)</f>
        <v>1</v>
      </c>
    </row>
    <row r="3088" spans="1:38" ht="15" x14ac:dyDescent="0.25">
      <c r="A3088" s="1" t="s">
        <v>9509</v>
      </c>
      <c r="B3088" s="1" t="s">
        <v>9510</v>
      </c>
      <c r="C3088" s="1" t="s">
        <v>57</v>
      </c>
      <c r="D3088" s="1" t="s">
        <v>57</v>
      </c>
      <c r="E3088" s="6">
        <v>1574.23</v>
      </c>
      <c r="F3088" s="1" t="s">
        <v>40</v>
      </c>
      <c r="G3088" s="6">
        <f ca="1">IFERROR(__xludf.DUMMYFUNCTION("iferror(GOOGLEFINANCE(TRIM(F3088)&amp;"":"" &amp; TRIM(B3088), ""price""),0
)"),484)</f>
        <v>484</v>
      </c>
      <c r="H3088" s="6">
        <v>435.55</v>
      </c>
      <c r="I3088" s="6">
        <f t="shared" ca="1" si="0"/>
        <v>484</v>
      </c>
      <c r="J3088" s="6">
        <f ca="1">IFERROR(__xludf.DUMMYFUNCTION("IFERROR(GOOGLEFINANCE(B3088, ""volume""), 0)"),380998)</f>
        <v>380998</v>
      </c>
      <c r="K3088" s="6">
        <v>2.66</v>
      </c>
      <c r="L3088" s="6">
        <f ca="1">IFERROR(__xludf.DUMMYFUNCTION("IFERROR(GOOGLEFINANCE(B3088,""changepct""),K3088)"),0.84)</f>
        <v>0.84</v>
      </c>
      <c r="M3088" s="6">
        <f ca="1">IFERROR(__xludf.DUMMYFUNCTION("IFERROR(GOOGLEFINANCE(B3088,""change""),0)"),4.05)</f>
        <v>4.05</v>
      </c>
      <c r="N3088" s="6">
        <v>2</v>
      </c>
      <c r="O3088" s="7">
        <v>45536</v>
      </c>
      <c r="P3088" s="12"/>
      <c r="Q3088" s="6">
        <v>1509.62</v>
      </c>
      <c r="R3088" s="7">
        <v>45536</v>
      </c>
      <c r="S3088" s="6">
        <v>538.95000000000005</v>
      </c>
      <c r="T3088" s="6">
        <v>-78.37</v>
      </c>
      <c r="U3088" s="7">
        <v>45536</v>
      </c>
      <c r="V3088" s="6">
        <v>0</v>
      </c>
      <c r="W3088" s="6">
        <f ca="1">IFERROR(__xludf.DUMMYFUNCTION("IFERROR(GOOGLEFINANCE(B3088,""pe""),V3088)"),214.37)</f>
        <v>214.37</v>
      </c>
      <c r="X3088" s="9"/>
      <c r="Y3088" s="6">
        <v>5.07</v>
      </c>
      <c r="Z3088" s="6">
        <v>2</v>
      </c>
      <c r="AA3088" s="8">
        <v>45352</v>
      </c>
      <c r="AB3088" s="4">
        <v>0</v>
      </c>
      <c r="AC3088" s="6">
        <v>-65.44</v>
      </c>
      <c r="AD3088" s="6">
        <v>-53.46</v>
      </c>
      <c r="AE3088" s="1">
        <v>0</v>
      </c>
      <c r="AF3088" s="1">
        <f ca="1">IFERROR(__xludf.DUMMYFUNCTION("IFERROR(GOOGLEFINANCE(TRIM(F3088)&amp;"":"" &amp; TRIM(B3088),""high52""),AE3088)"),682.35)</f>
        <v>682.35</v>
      </c>
      <c r="AG3088" s="1">
        <v>0</v>
      </c>
      <c r="AH3088" s="1">
        <f ca="1">IFERROR(__xludf.DUMMYFUNCTION("IFERROR(GOOGLEFINANCE(TRIM(F3088)&amp;"":"" &amp; TRIM(B3088),""low52""),AE3088)"),270)</f>
        <v>270</v>
      </c>
      <c r="AI3088" s="1">
        <f ca="1">IFERROR(__xludf.DUMMYFUNCTION("IFERROR(GOOGLEFINANCE(B3088,""eps""),0)"),2.26)</f>
        <v>2.2599999999999998</v>
      </c>
      <c r="AJ3088" s="1"/>
      <c r="AK3088" s="1" t="s">
        <v>9511</v>
      </c>
      <c r="AL3088" s="9">
        <f t="shared" ref="AL3088:AL3096" si="300">IF(AA3088&lt;&gt;AB3088,1,0)</f>
        <v>1</v>
      </c>
    </row>
    <row r="3089" spans="1:38" ht="15" x14ac:dyDescent="0.25">
      <c r="A3089" s="1" t="s">
        <v>9512</v>
      </c>
      <c r="B3089" s="1" t="s">
        <v>9513</v>
      </c>
      <c r="C3089" s="1" t="s">
        <v>106</v>
      </c>
      <c r="D3089" s="1" t="s">
        <v>106</v>
      </c>
      <c r="E3089" s="6">
        <v>56.39</v>
      </c>
      <c r="F3089" s="1" t="s">
        <v>53</v>
      </c>
      <c r="G3089" s="6">
        <f ca="1">IFERROR(__xludf.DUMMYFUNCTION("iferror(GOOGLEFINANCE(TRIM(F3089)&amp;"":"" &amp; TRIM(B3089), ""price""),0
)"),0)</f>
        <v>0</v>
      </c>
      <c r="H3089" s="6">
        <v>46.99</v>
      </c>
      <c r="I3089" s="6">
        <f t="shared" ca="1" si="0"/>
        <v>46.99</v>
      </c>
      <c r="J3089" s="6">
        <f ca="1">IFERROR(__xludf.DUMMYFUNCTION("IFERROR(GOOGLEFINANCE(B3089, ""volume""), 0)"),0)</f>
        <v>0</v>
      </c>
      <c r="K3089" s="6">
        <v>0</v>
      </c>
      <c r="L3089" s="6">
        <f ca="1">IFERROR(__xludf.DUMMYFUNCTION("IFERROR(GOOGLEFINANCE(B3089,""changepct""),K3089)"),0)</f>
        <v>0</v>
      </c>
      <c r="M3089" s="6">
        <f ca="1">IFERROR(__xludf.DUMMYFUNCTION("IFERROR(GOOGLEFINANCE(B3089,""change""),0)"),0)</f>
        <v>0</v>
      </c>
      <c r="N3089" s="6">
        <v>1</v>
      </c>
      <c r="O3089" s="7">
        <v>45536</v>
      </c>
      <c r="P3089" s="6">
        <v>2.02</v>
      </c>
      <c r="Q3089" s="6">
        <v>58.41</v>
      </c>
      <c r="R3089" s="7">
        <v>45536</v>
      </c>
      <c r="S3089" s="6">
        <v>13.09</v>
      </c>
      <c r="T3089" s="6">
        <v>0.12</v>
      </c>
      <c r="U3089" s="7">
        <v>45536</v>
      </c>
      <c r="V3089" s="6">
        <v>481.95</v>
      </c>
      <c r="W3089" s="6">
        <f ca="1">IFERROR(__xludf.DUMMYFUNCTION("IFERROR(GOOGLEFINANCE(B3089,""pe""),V3089)"),481.95)</f>
        <v>481.95</v>
      </c>
      <c r="X3089" s="9"/>
      <c r="Y3089" s="6">
        <v>4.59</v>
      </c>
      <c r="Z3089" s="6">
        <v>2</v>
      </c>
      <c r="AA3089" s="8">
        <v>45352</v>
      </c>
      <c r="AB3089" s="4">
        <v>1.04</v>
      </c>
      <c r="AC3089" s="6">
        <v>12.36</v>
      </c>
      <c r="AD3089" s="6">
        <v>10.119999999999999</v>
      </c>
      <c r="AE3089" s="1">
        <v>0</v>
      </c>
      <c r="AF3089" s="1">
        <f ca="1">IFERROR(__xludf.DUMMYFUNCTION("IFERROR(GOOGLEFINANCE(TRIM(F3089)&amp;"":"" &amp; TRIM(B3089),""high52""),AE3089)"),0)</f>
        <v>0</v>
      </c>
      <c r="AG3089" s="1">
        <v>0</v>
      </c>
      <c r="AH3089" s="1">
        <f ca="1">IFERROR(__xludf.DUMMYFUNCTION("IFERROR(GOOGLEFINANCE(TRIM(F3089)&amp;"":"" &amp; TRIM(B3089),""low52""),AE3089)"),0)</f>
        <v>0</v>
      </c>
      <c r="AI3089" s="1">
        <f ca="1">IFERROR(__xludf.DUMMYFUNCTION("IFERROR(GOOGLEFINANCE(B3089,""eps""),0)"),0)</f>
        <v>0</v>
      </c>
      <c r="AJ3089" s="1"/>
      <c r="AK3089" s="1" t="s">
        <v>9514</v>
      </c>
      <c r="AL3089" s="9">
        <f t="shared" si="300"/>
        <v>1</v>
      </c>
    </row>
    <row r="3090" spans="1:38" ht="15" x14ac:dyDescent="0.25">
      <c r="A3090" s="1" t="s">
        <v>9515</v>
      </c>
      <c r="B3090" s="1" t="s">
        <v>9516</v>
      </c>
      <c r="C3090" s="1" t="s">
        <v>106</v>
      </c>
      <c r="D3090" s="1" t="s">
        <v>106</v>
      </c>
      <c r="E3090" s="6">
        <v>200.35</v>
      </c>
      <c r="F3090" s="1" t="s">
        <v>53</v>
      </c>
      <c r="G3090" s="6">
        <f ca="1">IFERROR(__xludf.DUMMYFUNCTION("iferror(GOOGLEFINANCE(TRIM(F3090)&amp;"":"" &amp; TRIM(B3090), ""price""),0
)"),0)</f>
        <v>0</v>
      </c>
      <c r="H3090" s="6">
        <v>358.65</v>
      </c>
      <c r="I3090" s="6">
        <f t="shared" ca="1" si="0"/>
        <v>358.65</v>
      </c>
      <c r="J3090" s="6">
        <f ca="1">IFERROR(__xludf.DUMMYFUNCTION("IFERROR(GOOGLEFINANCE(B3090, ""volume""), 0)"),0)</f>
        <v>0</v>
      </c>
      <c r="K3090" s="6">
        <v>3.06</v>
      </c>
      <c r="L3090" s="6">
        <f ca="1">IFERROR(__xludf.DUMMYFUNCTION("IFERROR(GOOGLEFINANCE(B3090,""changepct""),K3090)"),3.06)</f>
        <v>3.06</v>
      </c>
      <c r="M3090" s="6">
        <f ca="1">IFERROR(__xludf.DUMMYFUNCTION("IFERROR(GOOGLEFINANCE(B3090,""change""),0)"),0)</f>
        <v>0</v>
      </c>
      <c r="N3090" s="6">
        <v>1</v>
      </c>
      <c r="O3090" s="7">
        <v>45536</v>
      </c>
      <c r="P3090" s="6">
        <v>3.7</v>
      </c>
      <c r="Q3090" s="6">
        <v>204.06</v>
      </c>
      <c r="R3090" s="7">
        <v>45536</v>
      </c>
      <c r="S3090" s="6">
        <v>80.66</v>
      </c>
      <c r="T3090" s="6">
        <v>9.7100000000000009</v>
      </c>
      <c r="U3090" s="7">
        <v>45536</v>
      </c>
      <c r="V3090" s="6">
        <v>20.63</v>
      </c>
      <c r="W3090" s="6">
        <f ca="1">IFERROR(__xludf.DUMMYFUNCTION("IFERROR(GOOGLEFINANCE(B3090,""pe""),V3090)"),20.63)</f>
        <v>20.63</v>
      </c>
      <c r="X3090" s="6">
        <v>1.34</v>
      </c>
      <c r="Y3090" s="6">
        <v>3.22</v>
      </c>
      <c r="Z3090" s="6">
        <v>1</v>
      </c>
      <c r="AA3090" s="8">
        <v>45352</v>
      </c>
      <c r="AB3090" s="4">
        <v>0.14000000000000001</v>
      </c>
      <c r="AC3090" s="6">
        <v>17.28</v>
      </c>
      <c r="AD3090" s="6">
        <v>21.03</v>
      </c>
      <c r="AE3090" s="1">
        <v>0</v>
      </c>
      <c r="AF3090" s="1">
        <f ca="1">IFERROR(__xludf.DUMMYFUNCTION("IFERROR(GOOGLEFINANCE(TRIM(F3090)&amp;"":"" &amp; TRIM(B3090),""high52""),AE3090)"),0)</f>
        <v>0</v>
      </c>
      <c r="AG3090" s="1">
        <v>0</v>
      </c>
      <c r="AH3090" s="1">
        <f ca="1">IFERROR(__xludf.DUMMYFUNCTION("IFERROR(GOOGLEFINANCE(TRIM(F3090)&amp;"":"" &amp; TRIM(B3090),""low52""),AE3090)"),0)</f>
        <v>0</v>
      </c>
      <c r="AI3090" s="1">
        <f ca="1">IFERROR(__xludf.DUMMYFUNCTION("IFERROR(GOOGLEFINANCE(B3090,""eps""),0)"),0)</f>
        <v>0</v>
      </c>
      <c r="AJ3090" s="1"/>
      <c r="AK3090" s="1" t="s">
        <v>9517</v>
      </c>
      <c r="AL3090" s="9">
        <f t="shared" si="300"/>
        <v>1</v>
      </c>
    </row>
    <row r="3091" spans="1:38" ht="15" x14ac:dyDescent="0.25">
      <c r="A3091" s="1" t="s">
        <v>9518</v>
      </c>
      <c r="B3091" s="1" t="s">
        <v>9519</v>
      </c>
      <c r="C3091" s="1" t="s">
        <v>106</v>
      </c>
      <c r="D3091" s="1" t="s">
        <v>106</v>
      </c>
      <c r="E3091" s="6">
        <v>18.079999999999998</v>
      </c>
      <c r="F3091" s="1" t="s">
        <v>53</v>
      </c>
      <c r="G3091" s="6">
        <f ca="1">IFERROR(__xludf.DUMMYFUNCTION("iferror(GOOGLEFINANCE(TRIM(F3091)&amp;"":"" &amp; TRIM(B3091), ""price""),0
)"),0)</f>
        <v>0</v>
      </c>
      <c r="H3091" s="6">
        <v>35.99</v>
      </c>
      <c r="I3091" s="6">
        <f t="shared" ca="1" si="0"/>
        <v>35.99</v>
      </c>
      <c r="J3091" s="6">
        <f ca="1">IFERROR(__xludf.DUMMYFUNCTION("IFERROR(GOOGLEFINANCE(B3091, ""volume""), 0)"),0)</f>
        <v>0</v>
      </c>
      <c r="K3091" s="6">
        <v>0.95</v>
      </c>
      <c r="L3091" s="6">
        <f ca="1">IFERROR(__xludf.DUMMYFUNCTION("IFERROR(GOOGLEFINANCE(B3091,""changepct""),K3091)"),0.95)</f>
        <v>0.95</v>
      </c>
      <c r="M3091" s="6">
        <f ca="1">IFERROR(__xludf.DUMMYFUNCTION("IFERROR(GOOGLEFINANCE(B3091,""change""),0)"),0)</f>
        <v>0</v>
      </c>
      <c r="N3091" s="6">
        <v>1</v>
      </c>
      <c r="O3091" s="7">
        <v>45352</v>
      </c>
      <c r="P3091" s="6">
        <v>5.09</v>
      </c>
      <c r="Q3091" s="6">
        <v>22.95</v>
      </c>
      <c r="R3091" s="7">
        <v>45536</v>
      </c>
      <c r="S3091" s="6">
        <v>22.8</v>
      </c>
      <c r="T3091" s="6">
        <v>0.34</v>
      </c>
      <c r="U3091" s="7">
        <v>45536</v>
      </c>
      <c r="V3091" s="6">
        <v>53.81</v>
      </c>
      <c r="W3091" s="6">
        <f ca="1">IFERROR(__xludf.DUMMYFUNCTION("IFERROR(GOOGLEFINANCE(B3091,""pe""),V3091)"),53.81)</f>
        <v>53.81</v>
      </c>
      <c r="X3091" s="6">
        <v>10.130000000000001</v>
      </c>
      <c r="Y3091" s="6">
        <v>1.95</v>
      </c>
      <c r="Z3091" s="6">
        <v>1</v>
      </c>
      <c r="AA3091" s="8">
        <v>45352</v>
      </c>
      <c r="AB3091" s="4">
        <v>0.56999999999999995</v>
      </c>
      <c r="AC3091" s="6">
        <v>9.07</v>
      </c>
      <c r="AD3091" s="6">
        <v>11.14</v>
      </c>
      <c r="AE3091" s="1">
        <v>0</v>
      </c>
      <c r="AF3091" s="1">
        <f ca="1">IFERROR(__xludf.DUMMYFUNCTION("IFERROR(GOOGLEFINANCE(TRIM(F3091)&amp;"":"" &amp; TRIM(B3091),""high52""),AE3091)"),0)</f>
        <v>0</v>
      </c>
      <c r="AG3091" s="1">
        <v>0</v>
      </c>
      <c r="AH3091" s="1">
        <f ca="1">IFERROR(__xludf.DUMMYFUNCTION("IFERROR(GOOGLEFINANCE(TRIM(F3091)&amp;"":"" &amp; TRIM(B3091),""low52""),AE3091)"),0)</f>
        <v>0</v>
      </c>
      <c r="AI3091" s="1">
        <f ca="1">IFERROR(__xludf.DUMMYFUNCTION("IFERROR(GOOGLEFINANCE(B3091,""eps""),0)"),0)</f>
        <v>0</v>
      </c>
      <c r="AJ3091" s="1"/>
      <c r="AK3091" s="1" t="s">
        <v>9520</v>
      </c>
      <c r="AL3091" s="9">
        <f t="shared" si="300"/>
        <v>1</v>
      </c>
    </row>
    <row r="3092" spans="1:38" ht="15" x14ac:dyDescent="0.25">
      <c r="A3092" s="1" t="s">
        <v>9521</v>
      </c>
      <c r="B3092" s="1" t="s">
        <v>9522</v>
      </c>
      <c r="C3092" s="1" t="s">
        <v>106</v>
      </c>
      <c r="D3092" s="1" t="s">
        <v>106</v>
      </c>
      <c r="E3092" s="6">
        <v>1025.25</v>
      </c>
      <c r="F3092" s="1" t="s">
        <v>53</v>
      </c>
      <c r="G3092" s="6">
        <f ca="1">IFERROR(__xludf.DUMMYFUNCTION("iferror(GOOGLEFINANCE(TRIM(F3092)&amp;"":"" &amp; TRIM(B3092), ""price""),0
)"),0)</f>
        <v>0</v>
      </c>
      <c r="H3092" s="6">
        <v>1470.5</v>
      </c>
      <c r="I3092" s="6">
        <f t="shared" ca="1" si="0"/>
        <v>1470.5</v>
      </c>
      <c r="J3092" s="6">
        <f ca="1">IFERROR(__xludf.DUMMYFUNCTION("IFERROR(GOOGLEFINANCE(B3092, ""volume""), 0)"),0)</f>
        <v>0</v>
      </c>
      <c r="K3092" s="6">
        <v>-1.1499999999999999</v>
      </c>
      <c r="L3092" s="6">
        <f ca="1">IFERROR(__xludf.DUMMYFUNCTION("IFERROR(GOOGLEFINANCE(B3092,""changepct""),K3092)"),-1.15)</f>
        <v>-1.1499999999999999</v>
      </c>
      <c r="M3092" s="6">
        <f ca="1">IFERROR(__xludf.DUMMYFUNCTION("IFERROR(GOOGLEFINANCE(B3092,""change""),0)"),0)</f>
        <v>0</v>
      </c>
      <c r="N3092" s="6">
        <v>2</v>
      </c>
      <c r="O3092" s="7">
        <v>45536</v>
      </c>
      <c r="P3092" s="6">
        <v>129.96</v>
      </c>
      <c r="Q3092" s="6">
        <v>1115.44</v>
      </c>
      <c r="R3092" s="7">
        <v>45536</v>
      </c>
      <c r="S3092" s="6">
        <v>291.77999999999997</v>
      </c>
      <c r="T3092" s="6">
        <v>-25.28</v>
      </c>
      <c r="U3092" s="7">
        <v>45536</v>
      </c>
      <c r="V3092" s="6">
        <v>0</v>
      </c>
      <c r="W3092" s="6">
        <f ca="1">IFERROR(__xludf.DUMMYFUNCTION("IFERROR(GOOGLEFINANCE(B3092,""pe""),V3092)"),0)</f>
        <v>0</v>
      </c>
      <c r="X3092" s="6">
        <v>0</v>
      </c>
      <c r="Y3092" s="6">
        <v>3.04</v>
      </c>
      <c r="Z3092" s="6">
        <v>2</v>
      </c>
      <c r="AA3092" s="8">
        <v>45352</v>
      </c>
      <c r="AB3092" s="4">
        <v>0.8</v>
      </c>
      <c r="AC3092" s="6">
        <v>5.54</v>
      </c>
      <c r="AD3092" s="6">
        <v>7.76</v>
      </c>
      <c r="AE3092" s="1">
        <v>0</v>
      </c>
      <c r="AF3092" s="1">
        <f ca="1">IFERROR(__xludf.DUMMYFUNCTION("IFERROR(GOOGLEFINANCE(TRIM(F3092)&amp;"":"" &amp; TRIM(B3092),""high52""),AE3092)"),0)</f>
        <v>0</v>
      </c>
      <c r="AG3092" s="1">
        <v>0</v>
      </c>
      <c r="AH3092" s="1">
        <f ca="1">IFERROR(__xludf.DUMMYFUNCTION("IFERROR(GOOGLEFINANCE(TRIM(F3092)&amp;"":"" &amp; TRIM(B3092),""low52""),AE3092)"),0)</f>
        <v>0</v>
      </c>
      <c r="AI3092" s="1">
        <f ca="1">IFERROR(__xludf.DUMMYFUNCTION("IFERROR(GOOGLEFINANCE(B3092,""eps""),0)"),0)</f>
        <v>0</v>
      </c>
      <c r="AJ3092" s="1"/>
      <c r="AK3092" s="1" t="s">
        <v>9523</v>
      </c>
      <c r="AL3092" s="9">
        <f t="shared" si="300"/>
        <v>1</v>
      </c>
    </row>
    <row r="3093" spans="1:38" ht="15" x14ac:dyDescent="0.25">
      <c r="A3093" s="1" t="s">
        <v>9524</v>
      </c>
      <c r="B3093" s="1" t="s">
        <v>9525</v>
      </c>
      <c r="C3093" s="1" t="s">
        <v>4100</v>
      </c>
      <c r="D3093" s="1" t="s">
        <v>4100</v>
      </c>
      <c r="E3093" s="6">
        <v>307.43</v>
      </c>
      <c r="F3093" s="1" t="s">
        <v>40</v>
      </c>
      <c r="G3093" s="6">
        <f ca="1">IFERROR(__xludf.DUMMYFUNCTION("iferror(GOOGLEFINANCE(TRIM(F3093)&amp;"":"" &amp; TRIM(B3093), ""price""),0
)"),0)</f>
        <v>0</v>
      </c>
      <c r="H3093" s="6">
        <v>139</v>
      </c>
      <c r="I3093" s="6">
        <f t="shared" ca="1" si="0"/>
        <v>139</v>
      </c>
      <c r="J3093" s="6">
        <f ca="1">IFERROR(__xludf.DUMMYFUNCTION("IFERROR(GOOGLEFINANCE(B3093, ""volume""), 0)"),0)</f>
        <v>0</v>
      </c>
      <c r="K3093" s="6">
        <v>0.04</v>
      </c>
      <c r="L3093" s="6">
        <f ca="1">IFERROR(__xludf.DUMMYFUNCTION("IFERROR(GOOGLEFINANCE(B3093,""changepct""),K3093)"),0)</f>
        <v>0</v>
      </c>
      <c r="M3093" s="6">
        <f ca="1">IFERROR(__xludf.DUMMYFUNCTION("IFERROR(GOOGLEFINANCE(B3093,""change""),0)"),0)</f>
        <v>0</v>
      </c>
      <c r="N3093" s="6">
        <v>1</v>
      </c>
      <c r="O3093" s="7">
        <v>45536</v>
      </c>
      <c r="P3093" s="6">
        <v>78.77</v>
      </c>
      <c r="Q3093" s="6">
        <v>386.2</v>
      </c>
      <c r="R3093" s="7">
        <v>45352</v>
      </c>
      <c r="S3093" s="6">
        <v>686.44</v>
      </c>
      <c r="T3093" s="6">
        <v>13.03</v>
      </c>
      <c r="U3093" s="7">
        <v>45352</v>
      </c>
      <c r="V3093" s="6">
        <v>23.59</v>
      </c>
      <c r="W3093" s="6">
        <f ca="1">IFERROR(__xludf.DUMMYFUNCTION("IFERROR(GOOGLEFINANCE(B3093,""pe""),V3093)"),13.4)</f>
        <v>13.4</v>
      </c>
      <c r="X3093" s="9"/>
      <c r="Y3093" s="6">
        <v>2.5</v>
      </c>
      <c r="Z3093" s="6">
        <v>2</v>
      </c>
      <c r="AA3093" s="8">
        <v>45352</v>
      </c>
      <c r="AB3093" s="4">
        <v>1.52</v>
      </c>
      <c r="AC3093" s="6">
        <v>21.61</v>
      </c>
      <c r="AD3093" s="6">
        <v>16.59</v>
      </c>
      <c r="AE3093" s="1">
        <v>0</v>
      </c>
      <c r="AF3093" s="1">
        <f ca="1">IFERROR(__xludf.DUMMYFUNCTION("IFERROR(GOOGLEFINANCE(TRIM(F3093)&amp;"":"" &amp; TRIM(B3093),""high52""),AE3093)"),0)</f>
        <v>0</v>
      </c>
      <c r="AG3093" s="1">
        <v>0</v>
      </c>
      <c r="AH3093" s="1">
        <f ca="1">IFERROR(__xludf.DUMMYFUNCTION("IFERROR(GOOGLEFINANCE(TRIM(F3093)&amp;"":"" &amp; TRIM(B3093),""low52""),AE3093)"),0)</f>
        <v>0</v>
      </c>
      <c r="AI3093" s="1">
        <f ca="1">IFERROR(__xludf.DUMMYFUNCTION("IFERROR(GOOGLEFINANCE(B3093,""eps""),0)"),0.08)</f>
        <v>0.08</v>
      </c>
      <c r="AJ3093" s="1"/>
      <c r="AK3093" s="1" t="s">
        <v>9526</v>
      </c>
      <c r="AL3093" s="9">
        <f t="shared" si="300"/>
        <v>1</v>
      </c>
    </row>
    <row r="3094" spans="1:38" ht="15" x14ac:dyDescent="0.25">
      <c r="A3094" s="1" t="s">
        <v>9527</v>
      </c>
      <c r="B3094" s="1" t="s">
        <v>9528</v>
      </c>
      <c r="C3094" s="1" t="s">
        <v>1528</v>
      </c>
      <c r="D3094" s="1" t="s">
        <v>1528</v>
      </c>
      <c r="E3094" s="6">
        <v>16566.36</v>
      </c>
      <c r="F3094" s="1" t="s">
        <v>40</v>
      </c>
      <c r="G3094" s="6">
        <f ca="1">IFERROR(__xludf.DUMMYFUNCTION("iferror(GOOGLEFINANCE(TRIM(F3094)&amp;"":"" &amp; TRIM(B3094), ""price""),0
)"),506)</f>
        <v>506</v>
      </c>
      <c r="H3094" s="6">
        <v>921</v>
      </c>
      <c r="I3094" s="6">
        <f t="shared" ca="1" si="0"/>
        <v>506</v>
      </c>
      <c r="J3094" s="6">
        <f ca="1">IFERROR(__xludf.DUMMYFUNCTION("IFERROR(GOOGLEFINANCE(B3094, ""volume""), 0)"),277382)</f>
        <v>277382</v>
      </c>
      <c r="K3094" s="6">
        <v>0.66</v>
      </c>
      <c r="L3094" s="6">
        <f ca="1">IFERROR(__xludf.DUMMYFUNCTION("IFERROR(GOOGLEFINANCE(B3094,""changepct""),K3094)"),-0.8)</f>
        <v>-0.8</v>
      </c>
      <c r="M3094" s="6">
        <f ca="1">IFERROR(__xludf.DUMMYFUNCTION("IFERROR(GOOGLEFINANCE(B3094,""change""),0)"),-4.1)</f>
        <v>-4.0999999999999996</v>
      </c>
      <c r="N3094" s="6">
        <v>2</v>
      </c>
      <c r="O3094" s="7">
        <v>45536</v>
      </c>
      <c r="P3094" s="6">
        <v>1400.05</v>
      </c>
      <c r="Q3094" s="6">
        <v>17889.37</v>
      </c>
      <c r="R3094" s="7">
        <v>45536</v>
      </c>
      <c r="S3094" s="6">
        <v>4139.71</v>
      </c>
      <c r="T3094" s="6">
        <v>370.85</v>
      </c>
      <c r="U3094" s="7">
        <v>45536</v>
      </c>
      <c r="V3094" s="6">
        <v>36.700000000000003</v>
      </c>
      <c r="W3094" s="6">
        <f ca="1">IFERROR(__xludf.DUMMYFUNCTION("IFERROR(GOOGLEFINANCE(B3094,""pe""),V3094)"),151.38)</f>
        <v>151.38</v>
      </c>
      <c r="X3094" s="6">
        <v>1.58</v>
      </c>
      <c r="Y3094" s="6">
        <v>5.63</v>
      </c>
      <c r="Z3094" s="6">
        <v>2</v>
      </c>
      <c r="AA3094" s="8">
        <v>45352</v>
      </c>
      <c r="AB3094" s="4">
        <v>0.42</v>
      </c>
      <c r="AC3094" s="6">
        <v>17.22</v>
      </c>
      <c r="AD3094" s="6">
        <v>19.059999999999999</v>
      </c>
      <c r="AE3094" s="1">
        <v>0</v>
      </c>
      <c r="AF3094" s="1">
        <f ca="1">IFERROR(__xludf.DUMMYFUNCTION("IFERROR(GOOGLEFINANCE(TRIM(F3094)&amp;"":"" &amp; TRIM(B3094),""high52""),AE3094)"),862.6)</f>
        <v>862.6</v>
      </c>
      <c r="AG3094" s="1">
        <v>0</v>
      </c>
      <c r="AH3094" s="1">
        <f ca="1">IFERROR(__xludf.DUMMYFUNCTION("IFERROR(GOOGLEFINANCE(TRIM(F3094)&amp;"":"" &amp; TRIM(B3094),""low52""),AE3094)"),474.3)</f>
        <v>474.3</v>
      </c>
      <c r="AI3094" s="1">
        <f ca="1">IFERROR(__xludf.DUMMYFUNCTION("IFERROR(GOOGLEFINANCE(B3094,""eps""),0)"),3.34)</f>
        <v>3.34</v>
      </c>
      <c r="AJ3094" s="1"/>
      <c r="AK3094" s="1" t="s">
        <v>9529</v>
      </c>
      <c r="AL3094" s="9">
        <f t="shared" si="300"/>
        <v>1</v>
      </c>
    </row>
    <row r="3095" spans="1:38" ht="15" x14ac:dyDescent="0.25">
      <c r="A3095" s="1" t="s">
        <v>9530</v>
      </c>
      <c r="B3095" s="1" t="s">
        <v>9531</v>
      </c>
      <c r="C3095" s="1" t="s">
        <v>86</v>
      </c>
      <c r="D3095" s="1" t="s">
        <v>86</v>
      </c>
      <c r="E3095" s="6">
        <v>4421.05</v>
      </c>
      <c r="F3095" s="1" t="s">
        <v>40</v>
      </c>
      <c r="G3095" s="6">
        <f ca="1">IFERROR(__xludf.DUMMYFUNCTION("iferror(GOOGLEFINANCE(TRIM(F3095)&amp;"":"" &amp; TRIM(B3095), ""price""),0
)"),452.85)</f>
        <v>452.85</v>
      </c>
      <c r="H3095" s="6">
        <v>641</v>
      </c>
      <c r="I3095" s="6">
        <f t="shared" ca="1" si="0"/>
        <v>452.85</v>
      </c>
      <c r="J3095" s="6">
        <f ca="1">IFERROR(__xludf.DUMMYFUNCTION("IFERROR(GOOGLEFINANCE(B3095, ""volume""), 0)"),66773)</f>
        <v>66773</v>
      </c>
      <c r="K3095" s="6">
        <v>0.69</v>
      </c>
      <c r="L3095" s="6">
        <f ca="1">IFERROR(__xludf.DUMMYFUNCTION("IFERROR(GOOGLEFINANCE(B3095,""changepct""),K3095)"),-0.98)</f>
        <v>-0.98</v>
      </c>
      <c r="M3095" s="6">
        <f ca="1">IFERROR(__xludf.DUMMYFUNCTION("IFERROR(GOOGLEFINANCE(B3095,""change""),0)"),-4.5)</f>
        <v>-4.5</v>
      </c>
      <c r="N3095" s="6">
        <v>2</v>
      </c>
      <c r="O3095" s="7">
        <v>45536</v>
      </c>
      <c r="P3095" s="6">
        <v>684.02</v>
      </c>
      <c r="Q3095" s="6">
        <v>4912.18</v>
      </c>
      <c r="R3095" s="7">
        <v>45536</v>
      </c>
      <c r="S3095" s="6">
        <v>2118.46</v>
      </c>
      <c r="T3095" s="6">
        <v>249.15</v>
      </c>
      <c r="U3095" s="7">
        <v>45536</v>
      </c>
      <c r="V3095" s="6">
        <v>18.45</v>
      </c>
      <c r="W3095" s="6">
        <f ca="1">IFERROR(__xludf.DUMMYFUNCTION("IFERROR(GOOGLEFINANCE(B3095,""pe""),V3095)"),15.56)</f>
        <v>15.56</v>
      </c>
      <c r="X3095" s="6">
        <v>0.04</v>
      </c>
      <c r="Y3095" s="6">
        <v>2.38</v>
      </c>
      <c r="Z3095" s="6">
        <v>2</v>
      </c>
      <c r="AA3095" s="8">
        <v>45352</v>
      </c>
      <c r="AB3095" s="4">
        <v>0.49</v>
      </c>
      <c r="AC3095" s="6">
        <v>20.56</v>
      </c>
      <c r="AD3095" s="6">
        <v>22.18</v>
      </c>
      <c r="AE3095" s="1">
        <v>0</v>
      </c>
      <c r="AF3095" s="1">
        <f ca="1">IFERROR(__xludf.DUMMYFUNCTION("IFERROR(GOOGLEFINANCE(TRIM(F3095)&amp;"":"" &amp; TRIM(B3095),""high52""),AE3095)"),705)</f>
        <v>705</v>
      </c>
      <c r="AG3095" s="1">
        <v>0</v>
      </c>
      <c r="AH3095" s="1">
        <f ca="1">IFERROR(__xludf.DUMMYFUNCTION("IFERROR(GOOGLEFINANCE(TRIM(F3095)&amp;"":"" &amp; TRIM(B3095),""low52""),AE3095)"),402.25)</f>
        <v>402.25</v>
      </c>
      <c r="AI3095" s="1">
        <f ca="1">IFERROR(__xludf.DUMMYFUNCTION("IFERROR(GOOGLEFINANCE(B3095,""eps""),0)"),29.1)</f>
        <v>29.1</v>
      </c>
      <c r="AJ3095" s="1"/>
      <c r="AK3095" s="1" t="s">
        <v>9532</v>
      </c>
      <c r="AL3095" s="9">
        <f t="shared" si="300"/>
        <v>1</v>
      </c>
    </row>
    <row r="3096" spans="1:38" ht="15" x14ac:dyDescent="0.25">
      <c r="A3096" s="1" t="s">
        <v>9533</v>
      </c>
      <c r="B3096" s="1" t="s">
        <v>9534</v>
      </c>
      <c r="C3096" s="1" t="s">
        <v>1118</v>
      </c>
      <c r="D3096" s="1" t="s">
        <v>1118</v>
      </c>
      <c r="E3096" s="6">
        <v>291.93</v>
      </c>
      <c r="F3096" s="1" t="s">
        <v>40</v>
      </c>
      <c r="G3096" s="6">
        <f ca="1">IFERROR(__xludf.DUMMYFUNCTION("iferror(GOOGLEFINANCE(TRIM(F3096)&amp;"":"" &amp; TRIM(B3096), ""price""),0
)"),10.84)</f>
        <v>10.84</v>
      </c>
      <c r="H3096" s="6">
        <v>19.079999999999998</v>
      </c>
      <c r="I3096" s="6">
        <f t="shared" ca="1" si="0"/>
        <v>10.84</v>
      </c>
      <c r="J3096" s="6">
        <f ca="1">IFERROR(__xludf.DUMMYFUNCTION("IFERROR(GOOGLEFINANCE(B3096, ""volume""), 0)"),128552)</f>
        <v>128552</v>
      </c>
      <c r="K3096" s="6">
        <v>0.63</v>
      </c>
      <c r="L3096" s="6">
        <f ca="1">IFERROR(__xludf.DUMMYFUNCTION("IFERROR(GOOGLEFINANCE(B3096,""changepct""),K3096)"),-1)</f>
        <v>-1</v>
      </c>
      <c r="M3096" s="6">
        <f ca="1">IFERROR(__xludf.DUMMYFUNCTION("IFERROR(GOOGLEFINANCE(B3096,""change""),0)"),-0.11)</f>
        <v>-0.11</v>
      </c>
      <c r="N3096" s="6">
        <v>1</v>
      </c>
      <c r="O3096" s="7">
        <v>45536</v>
      </c>
      <c r="P3096" s="6">
        <v>222.25</v>
      </c>
      <c r="Q3096" s="6">
        <v>490.99</v>
      </c>
      <c r="R3096" s="7">
        <v>45536</v>
      </c>
      <c r="S3096" s="6">
        <v>1600.16</v>
      </c>
      <c r="T3096" s="6">
        <v>14.32</v>
      </c>
      <c r="U3096" s="7">
        <v>45536</v>
      </c>
      <c r="V3096" s="6">
        <v>20.39</v>
      </c>
      <c r="W3096" s="6">
        <f ca="1">IFERROR(__xludf.DUMMYFUNCTION("IFERROR(GOOGLEFINANCE(B3096,""pe""),V3096)"),5.62)</f>
        <v>5.62</v>
      </c>
      <c r="X3096" s="6">
        <v>1.08</v>
      </c>
      <c r="Y3096" s="6">
        <v>0.55000000000000004</v>
      </c>
      <c r="Z3096" s="6">
        <v>1</v>
      </c>
      <c r="AA3096" s="8">
        <v>45352</v>
      </c>
      <c r="AB3096" s="4">
        <v>0.75</v>
      </c>
      <c r="AC3096" s="6">
        <v>5.61</v>
      </c>
      <c r="AD3096" s="6">
        <v>7.14</v>
      </c>
      <c r="AE3096" s="1">
        <v>0</v>
      </c>
      <c r="AF3096" s="1">
        <f ca="1">IFERROR(__xludf.DUMMYFUNCTION("IFERROR(GOOGLEFINANCE(TRIM(F3096)&amp;"":"" &amp; TRIM(B3096),""high52""),AE3096)"),17.9)</f>
        <v>17.899999999999999</v>
      </c>
      <c r="AG3096" s="1">
        <v>0</v>
      </c>
      <c r="AH3096" s="1">
        <f ca="1">IFERROR(__xludf.DUMMYFUNCTION("IFERROR(GOOGLEFINANCE(TRIM(F3096)&amp;"":"" &amp; TRIM(B3096),""low52""),AE3096)"),10.21)</f>
        <v>10.210000000000001</v>
      </c>
      <c r="AI3096" s="1">
        <f ca="1">IFERROR(__xludf.DUMMYFUNCTION("IFERROR(GOOGLEFINANCE(B3096,""eps""),0)"),1.93)</f>
        <v>1.93</v>
      </c>
      <c r="AJ3096" s="1"/>
      <c r="AK3096" s="1" t="s">
        <v>9535</v>
      </c>
      <c r="AL3096" s="9">
        <f t="shared" si="300"/>
        <v>1</v>
      </c>
    </row>
    <row r="3097" spans="1:38" ht="15" x14ac:dyDescent="0.25">
      <c r="A3097" s="1" t="s">
        <v>9536</v>
      </c>
      <c r="B3097" s="1" t="s">
        <v>9537</v>
      </c>
      <c r="C3097" s="1" t="s">
        <v>355</v>
      </c>
      <c r="D3097" s="1" t="s">
        <v>355</v>
      </c>
      <c r="E3097" s="6">
        <v>1459.65</v>
      </c>
      <c r="F3097" s="1" t="s">
        <v>40</v>
      </c>
      <c r="G3097" s="6">
        <f ca="1">IFERROR(__xludf.DUMMYFUNCTION("iferror(GOOGLEFINANCE(TRIM(F3097)&amp;"":"" &amp; TRIM(B3097), ""price""),0
)"),730)</f>
        <v>730</v>
      </c>
      <c r="H3097" s="6">
        <v>903</v>
      </c>
      <c r="I3097" s="6">
        <f t="shared" ca="1" si="0"/>
        <v>730</v>
      </c>
      <c r="J3097" s="6">
        <f ca="1">IFERROR(__xludf.DUMMYFUNCTION("IFERROR(GOOGLEFINANCE(B3097, ""volume""), 0)"),527818)</f>
        <v>527818</v>
      </c>
      <c r="K3097" s="6">
        <v>-0.04</v>
      </c>
      <c r="L3097" s="6">
        <f ca="1">IFERROR(__xludf.DUMMYFUNCTION("IFERROR(GOOGLEFINANCE(B3097,""changepct""),K3097)"),-5.51)</f>
        <v>-5.51</v>
      </c>
      <c r="M3097" s="6">
        <f ca="1">IFERROR(__xludf.DUMMYFUNCTION("IFERROR(GOOGLEFINANCE(B3097,""change""),0)"),-0.07)</f>
        <v>-7.0000000000000007E-2</v>
      </c>
      <c r="N3097" s="6">
        <v>2</v>
      </c>
      <c r="O3097" s="7">
        <v>45536</v>
      </c>
      <c r="P3097" s="6">
        <v>738.34</v>
      </c>
      <c r="Q3097" s="6">
        <v>2175.39</v>
      </c>
      <c r="R3097" s="7">
        <v>45536</v>
      </c>
      <c r="S3097" s="6">
        <v>2090.4</v>
      </c>
      <c r="T3097" s="6">
        <v>2.4500000000000002</v>
      </c>
      <c r="U3097" s="7">
        <v>45536</v>
      </c>
      <c r="V3097" s="6">
        <v>595.77</v>
      </c>
      <c r="W3097" s="6">
        <f ca="1">IFERROR(__xludf.DUMMYFUNCTION("IFERROR(GOOGLEFINANCE(B3097,""pe""),V3097)"),595.77)</f>
        <v>595.77</v>
      </c>
      <c r="X3097" s="12"/>
      <c r="Y3097" s="6">
        <v>5.67</v>
      </c>
      <c r="Z3097" s="6">
        <v>2</v>
      </c>
      <c r="AA3097" s="8">
        <v>45352</v>
      </c>
      <c r="AB3097" s="4">
        <v>2.74</v>
      </c>
      <c r="AC3097" s="6">
        <v>1.21</v>
      </c>
      <c r="AD3097" s="6">
        <v>-4.8899999999999997</v>
      </c>
      <c r="AE3097" s="1">
        <v>0</v>
      </c>
      <c r="AF3097" s="1">
        <f ca="1">IFERROR(__xludf.DUMMYFUNCTION("IFERROR(GOOGLEFINANCE(TRIM(F3097)&amp;"":"" &amp; TRIM(B3097),""high52""),AE3097)"),1049)</f>
        <v>1049</v>
      </c>
      <c r="AG3097" s="1">
        <v>0</v>
      </c>
      <c r="AH3097" s="1">
        <f ca="1">IFERROR(__xludf.DUMMYFUNCTION("IFERROR(GOOGLEFINANCE(TRIM(F3097)&amp;"":"" &amp; TRIM(B3097),""low52""),AE3097)"),575)</f>
        <v>575</v>
      </c>
      <c r="AI3097" s="1">
        <f ca="1">IFERROR(__xludf.DUMMYFUNCTION("IFERROR(GOOGLEFINANCE(B3097,""eps""),0)"),-0.11)</f>
        <v>-0.11</v>
      </c>
      <c r="AJ3097" s="1"/>
      <c r="AK3097" s="1" t="s">
        <v>9538</v>
      </c>
      <c r="AL3097" s="1" t="b">
        <f t="shared" ref="AL3097:AL3098" si="301">ISNUMBER(AA3097)</f>
        <v>1</v>
      </c>
    </row>
    <row r="3098" spans="1:38" ht="15" x14ac:dyDescent="0.25">
      <c r="A3098" s="1" t="s">
        <v>9539</v>
      </c>
      <c r="B3098" s="1" t="s">
        <v>9540</v>
      </c>
      <c r="C3098" s="1" t="s">
        <v>355</v>
      </c>
      <c r="D3098" s="1" t="s">
        <v>355</v>
      </c>
      <c r="E3098" s="6">
        <v>732.41</v>
      </c>
      <c r="F3098" s="1" t="s">
        <v>40</v>
      </c>
      <c r="G3098" s="6">
        <f ca="1">IFERROR(__xludf.DUMMYFUNCTION("iferror(GOOGLEFINANCE(TRIM(F3098)&amp;"":"" &amp; TRIM(B3098), ""price""),0
)"),0)</f>
        <v>0</v>
      </c>
      <c r="H3098" s="6">
        <v>955.4</v>
      </c>
      <c r="I3098" s="6">
        <f t="shared" ca="1" si="0"/>
        <v>955.4</v>
      </c>
      <c r="J3098" s="6">
        <f ca="1">IFERROR(__xludf.DUMMYFUNCTION("IFERROR(GOOGLEFINANCE(B3098, ""volume""), 0)"),0)</f>
        <v>0</v>
      </c>
      <c r="K3098" s="6">
        <v>0.79</v>
      </c>
      <c r="L3098" s="6">
        <f ca="1">IFERROR(__xludf.DUMMYFUNCTION("IFERROR(GOOGLEFINANCE(B3098,""changepct""),K3098)"),0.79)</f>
        <v>0.79</v>
      </c>
      <c r="M3098" s="6">
        <f ca="1">IFERROR(__xludf.DUMMYFUNCTION("IFERROR(GOOGLEFINANCE(B3098,""change""),0)"),0)</f>
        <v>0</v>
      </c>
      <c r="N3098" s="6">
        <v>1</v>
      </c>
      <c r="O3098" s="7">
        <v>45536</v>
      </c>
      <c r="P3098" s="6">
        <v>2.36</v>
      </c>
      <c r="Q3098" s="6">
        <v>733.72</v>
      </c>
      <c r="R3098" s="7">
        <v>45536</v>
      </c>
      <c r="S3098" s="6">
        <v>684.03</v>
      </c>
      <c r="T3098" s="6">
        <v>45.4</v>
      </c>
      <c r="U3098" s="7">
        <v>45536</v>
      </c>
      <c r="V3098" s="6">
        <v>16.13</v>
      </c>
      <c r="W3098" s="6">
        <f ca="1">IFERROR(__xludf.DUMMYFUNCTION("IFERROR(GOOGLEFINANCE(B3098,""pe""),V3098)"),16.13)</f>
        <v>16.13</v>
      </c>
      <c r="X3098" s="6">
        <v>7.87</v>
      </c>
      <c r="Y3098" s="6">
        <v>2.63</v>
      </c>
      <c r="Z3098" s="6">
        <v>1</v>
      </c>
      <c r="AA3098" s="8">
        <v>45352</v>
      </c>
      <c r="AB3098" s="4">
        <v>0</v>
      </c>
      <c r="AC3098" s="6">
        <v>14.86</v>
      </c>
      <c r="AD3098" s="6">
        <v>20.09</v>
      </c>
      <c r="AE3098" s="1">
        <v>0</v>
      </c>
      <c r="AF3098" s="1">
        <f ca="1">IFERROR(__xludf.DUMMYFUNCTION("IFERROR(GOOGLEFINANCE(TRIM(F3098)&amp;"":"" &amp; TRIM(B3098),""high52""),AE3098)"),0)</f>
        <v>0</v>
      </c>
      <c r="AG3098" s="1">
        <v>0</v>
      </c>
      <c r="AH3098" s="1">
        <f ca="1">IFERROR(__xludf.DUMMYFUNCTION("IFERROR(GOOGLEFINANCE(TRIM(F3098)&amp;"":"" &amp; TRIM(B3098),""low52""),AE3098)"),0)</f>
        <v>0</v>
      </c>
      <c r="AI3098" s="1">
        <f ca="1">IFERROR(__xludf.DUMMYFUNCTION("IFERROR(GOOGLEFINANCE(B3098,""eps""),0)"),0)</f>
        <v>0</v>
      </c>
      <c r="AJ3098" s="1"/>
      <c r="AK3098" s="1" t="s">
        <v>9541</v>
      </c>
      <c r="AL3098" s="1" t="b">
        <f t="shared" si="301"/>
        <v>1</v>
      </c>
    </row>
    <row r="3099" spans="1:38" ht="15" x14ac:dyDescent="0.25">
      <c r="A3099" s="1" t="s">
        <v>9542</v>
      </c>
      <c r="B3099" s="1" t="s">
        <v>9543</v>
      </c>
      <c r="C3099" s="1" t="s">
        <v>106</v>
      </c>
      <c r="D3099" s="1" t="s">
        <v>106</v>
      </c>
      <c r="E3099" s="6">
        <v>15.49</v>
      </c>
      <c r="F3099" s="1" t="s">
        <v>53</v>
      </c>
      <c r="G3099" s="6">
        <f ca="1">IFERROR(__xludf.DUMMYFUNCTION("iferror(GOOGLEFINANCE(TRIM(F3099)&amp;"":"" &amp; TRIM(B3099), ""price""),0
)"),0)</f>
        <v>0</v>
      </c>
      <c r="H3099" s="6">
        <v>103.35</v>
      </c>
      <c r="I3099" s="6">
        <f t="shared" ca="1" si="0"/>
        <v>103.35</v>
      </c>
      <c r="J3099" s="6">
        <f ca="1">IFERROR(__xludf.DUMMYFUNCTION("IFERROR(GOOGLEFINANCE(B3099, ""volume""), 0)"),0)</f>
        <v>0</v>
      </c>
      <c r="K3099" s="6">
        <v>0.05</v>
      </c>
      <c r="L3099" s="6">
        <f ca="1">IFERROR(__xludf.DUMMYFUNCTION("IFERROR(GOOGLEFINANCE(B3099,""changepct""),K3099)"),0.05)</f>
        <v>0.05</v>
      </c>
      <c r="M3099" s="6">
        <f ca="1">IFERROR(__xludf.DUMMYFUNCTION("IFERROR(GOOGLEFINANCE(B3099,""change""),0)"),0)</f>
        <v>0</v>
      </c>
      <c r="N3099" s="6">
        <v>1</v>
      </c>
      <c r="O3099" s="7">
        <v>45536</v>
      </c>
      <c r="P3099" s="9"/>
      <c r="Q3099" s="6">
        <v>8.74</v>
      </c>
      <c r="R3099" s="7">
        <v>45536</v>
      </c>
      <c r="S3099" s="6">
        <v>0</v>
      </c>
      <c r="T3099" s="6">
        <v>1.24</v>
      </c>
      <c r="U3099" s="7">
        <v>45536</v>
      </c>
      <c r="V3099" s="6">
        <v>12.45</v>
      </c>
      <c r="W3099" s="6">
        <f ca="1">IFERROR(__xludf.DUMMYFUNCTION("IFERROR(GOOGLEFINANCE(B3099,""pe""),V3099)"),12.45)</f>
        <v>12.45</v>
      </c>
      <c r="X3099" s="6">
        <v>0.3</v>
      </c>
      <c r="Y3099" s="6">
        <v>1.1299999999999999</v>
      </c>
      <c r="Z3099" s="6">
        <v>1</v>
      </c>
      <c r="AA3099" s="8">
        <v>45352</v>
      </c>
      <c r="AB3099" s="4">
        <v>0</v>
      </c>
      <c r="AC3099" s="6">
        <v>9.84</v>
      </c>
      <c r="AD3099" s="6">
        <v>13.49</v>
      </c>
      <c r="AE3099" s="1">
        <v>0</v>
      </c>
      <c r="AF3099" s="1">
        <f ca="1">IFERROR(__xludf.DUMMYFUNCTION("IFERROR(GOOGLEFINANCE(TRIM(F3099)&amp;"":"" &amp; TRIM(B3099),""high52""),AE3099)"),0)</f>
        <v>0</v>
      </c>
      <c r="AG3099" s="1">
        <v>0</v>
      </c>
      <c r="AH3099" s="1">
        <f ca="1">IFERROR(__xludf.DUMMYFUNCTION("IFERROR(GOOGLEFINANCE(TRIM(F3099)&amp;"":"" &amp; TRIM(B3099),""low52""),AE3099)"),0)</f>
        <v>0</v>
      </c>
      <c r="AI3099" s="1">
        <f ca="1">IFERROR(__xludf.DUMMYFUNCTION("IFERROR(GOOGLEFINANCE(B3099,""eps""),0)"),0)</f>
        <v>0</v>
      </c>
      <c r="AJ3099" s="1"/>
      <c r="AK3099" s="1" t="s">
        <v>9544</v>
      </c>
      <c r="AL3099" s="9">
        <f>IF(AA3099&lt;&gt;AB3099,1,0)</f>
        <v>1</v>
      </c>
    </row>
    <row r="3100" spans="1:38" ht="15" x14ac:dyDescent="0.25">
      <c r="A3100" s="1" t="s">
        <v>9545</v>
      </c>
      <c r="B3100" s="1" t="s">
        <v>9546</v>
      </c>
      <c r="C3100" s="1" t="s">
        <v>355</v>
      </c>
      <c r="D3100" s="1" t="s">
        <v>355</v>
      </c>
      <c r="E3100" s="6">
        <v>310.02999999999997</v>
      </c>
      <c r="F3100" s="1" t="s">
        <v>40</v>
      </c>
      <c r="G3100" s="6">
        <f ca="1">IFERROR(__xludf.DUMMYFUNCTION("iferror(GOOGLEFINANCE(TRIM(F3100)&amp;"":"" &amp; TRIM(B3100), ""price""),0
)"),0)</f>
        <v>0</v>
      </c>
      <c r="H3100" s="6">
        <v>437.2</v>
      </c>
      <c r="I3100" s="6">
        <f t="shared" ca="1" si="0"/>
        <v>437.2</v>
      </c>
      <c r="J3100" s="6">
        <f ca="1">IFERROR(__xludf.DUMMYFUNCTION("IFERROR(GOOGLEFINANCE(B3100, ""volume""), 0)"),0)</f>
        <v>0</v>
      </c>
      <c r="K3100" s="6">
        <v>1.75</v>
      </c>
      <c r="L3100" s="6">
        <f ca="1">IFERROR(__xludf.DUMMYFUNCTION("IFERROR(GOOGLEFINANCE(B3100,""changepct""),K3100)"),1.75)</f>
        <v>1.75</v>
      </c>
      <c r="M3100" s="6">
        <f ca="1">IFERROR(__xludf.DUMMYFUNCTION("IFERROR(GOOGLEFINANCE(B3100,""change""),0)"),0)</f>
        <v>0</v>
      </c>
      <c r="N3100" s="6">
        <v>1</v>
      </c>
      <c r="O3100" s="7">
        <v>45536</v>
      </c>
      <c r="P3100" s="6">
        <v>141.46</v>
      </c>
      <c r="Q3100" s="6">
        <v>438.58</v>
      </c>
      <c r="R3100" s="7">
        <v>45536</v>
      </c>
      <c r="S3100" s="6">
        <v>570.73</v>
      </c>
      <c r="T3100" s="6">
        <v>16.36</v>
      </c>
      <c r="U3100" s="7">
        <v>45536</v>
      </c>
      <c r="V3100" s="6">
        <v>18.95</v>
      </c>
      <c r="W3100" s="6">
        <f ca="1">IFERROR(__xludf.DUMMYFUNCTION("IFERROR(GOOGLEFINANCE(B3100,""pe""),V3100)"),18.95)</f>
        <v>18.95</v>
      </c>
      <c r="X3100" s="6">
        <v>0.74</v>
      </c>
      <c r="Y3100" s="6">
        <v>2.4900000000000002</v>
      </c>
      <c r="Z3100" s="6">
        <v>1</v>
      </c>
      <c r="AA3100" s="8">
        <v>45352</v>
      </c>
      <c r="AB3100" s="4">
        <v>1.01</v>
      </c>
      <c r="AC3100" s="6">
        <v>10.210000000000001</v>
      </c>
      <c r="AD3100" s="6">
        <v>10.94</v>
      </c>
      <c r="AE3100" s="1">
        <v>0</v>
      </c>
      <c r="AF3100" s="1">
        <f ca="1">IFERROR(__xludf.DUMMYFUNCTION("IFERROR(GOOGLEFINANCE(TRIM(F3100)&amp;"":"" &amp; TRIM(B3100),""high52""),AE3100)"),0)</f>
        <v>0</v>
      </c>
      <c r="AG3100" s="1">
        <v>0</v>
      </c>
      <c r="AH3100" s="1">
        <f ca="1">IFERROR(__xludf.DUMMYFUNCTION("IFERROR(GOOGLEFINANCE(TRIM(F3100)&amp;"":"" &amp; TRIM(B3100),""low52""),AE3100)"),0)</f>
        <v>0</v>
      </c>
      <c r="AI3100" s="1">
        <f ca="1">IFERROR(__xludf.DUMMYFUNCTION("IFERROR(GOOGLEFINANCE(B3100,""eps""),0)"),0)</f>
        <v>0</v>
      </c>
      <c r="AJ3100" s="1"/>
      <c r="AK3100" s="9"/>
      <c r="AL3100" s="1" t="b">
        <f>ISBLANK(AB3100)</f>
        <v>0</v>
      </c>
    </row>
    <row r="3101" spans="1:38" ht="15" x14ac:dyDescent="0.25">
      <c r="A3101" s="1" t="s">
        <v>9547</v>
      </c>
      <c r="B3101" s="1" t="s">
        <v>9548</v>
      </c>
      <c r="C3101" s="1" t="s">
        <v>106</v>
      </c>
      <c r="D3101" s="1" t="s">
        <v>106</v>
      </c>
      <c r="E3101" s="6">
        <v>17.13</v>
      </c>
      <c r="F3101" s="1" t="s">
        <v>53</v>
      </c>
      <c r="G3101" s="6">
        <f ca="1">IFERROR(__xludf.DUMMYFUNCTION("iferror(GOOGLEFINANCE(TRIM(F3101)&amp;"":"" &amp; TRIM(B3101), ""price""),0
)"),0)</f>
        <v>0</v>
      </c>
      <c r="H3101" s="6">
        <v>70.03</v>
      </c>
      <c r="I3101" s="6">
        <f t="shared" ca="1" si="0"/>
        <v>70.03</v>
      </c>
      <c r="J3101" s="6">
        <f ca="1">IFERROR(__xludf.DUMMYFUNCTION("IFERROR(GOOGLEFINANCE(B3101, ""volume""), 0)"),0)</f>
        <v>0</v>
      </c>
      <c r="K3101" s="6">
        <v>2.99</v>
      </c>
      <c r="L3101" s="6">
        <f ca="1">IFERROR(__xludf.DUMMYFUNCTION("IFERROR(GOOGLEFINANCE(B3101,""changepct""),K3101)"),2.99)</f>
        <v>2.99</v>
      </c>
      <c r="M3101" s="6">
        <f ca="1">IFERROR(__xludf.DUMMYFUNCTION("IFERROR(GOOGLEFINANCE(B3101,""change""),0)"),0)</f>
        <v>0</v>
      </c>
      <c r="N3101" s="6">
        <v>1</v>
      </c>
      <c r="O3101" s="7">
        <v>45536</v>
      </c>
      <c r="P3101" s="6">
        <v>0.81</v>
      </c>
      <c r="Q3101" s="6">
        <v>9.9</v>
      </c>
      <c r="R3101" s="7">
        <v>45536</v>
      </c>
      <c r="S3101" s="6">
        <v>6.95</v>
      </c>
      <c r="T3101" s="6">
        <v>0.53</v>
      </c>
      <c r="U3101" s="7">
        <v>45536</v>
      </c>
      <c r="V3101" s="6">
        <v>32.200000000000003</v>
      </c>
      <c r="W3101" s="6">
        <f ca="1">IFERROR(__xludf.DUMMYFUNCTION("IFERROR(GOOGLEFINANCE(B3101,""pe""),V3101)"),32.2)</f>
        <v>32.200000000000003</v>
      </c>
      <c r="X3101" s="6">
        <v>1.02</v>
      </c>
      <c r="Y3101" s="6">
        <v>1.83</v>
      </c>
      <c r="Z3101" s="6">
        <v>1</v>
      </c>
      <c r="AA3101" s="8">
        <v>45352</v>
      </c>
      <c r="AB3101" s="4">
        <v>0.06</v>
      </c>
      <c r="AC3101" s="6">
        <v>5.7</v>
      </c>
      <c r="AD3101" s="6">
        <v>7.67</v>
      </c>
      <c r="AE3101" s="1">
        <v>0</v>
      </c>
      <c r="AF3101" s="1">
        <f ca="1">IFERROR(__xludf.DUMMYFUNCTION("IFERROR(GOOGLEFINANCE(TRIM(F3101)&amp;"":"" &amp; TRIM(B3101),""high52""),AE3101)"),0)</f>
        <v>0</v>
      </c>
      <c r="AG3101" s="1">
        <v>0</v>
      </c>
      <c r="AH3101" s="1">
        <f ca="1">IFERROR(__xludf.DUMMYFUNCTION("IFERROR(GOOGLEFINANCE(TRIM(F3101)&amp;"":"" &amp; TRIM(B3101),""low52""),AE3101)"),0)</f>
        <v>0</v>
      </c>
      <c r="AI3101" s="1">
        <f ca="1">IFERROR(__xludf.DUMMYFUNCTION("IFERROR(GOOGLEFINANCE(B3101,""eps""),0)"),0)</f>
        <v>0</v>
      </c>
      <c r="AJ3101" s="1"/>
      <c r="AK3101" s="1" t="s">
        <v>9549</v>
      </c>
      <c r="AL3101" s="9">
        <f t="shared" ref="AL3101:AL3121" si="302">IF(AA3101&lt;&gt;AB3101,1,0)</f>
        <v>1</v>
      </c>
    </row>
    <row r="3102" spans="1:38" ht="15" x14ac:dyDescent="0.25">
      <c r="A3102" s="1" t="s">
        <v>9550</v>
      </c>
      <c r="B3102" s="1" t="s">
        <v>9551</v>
      </c>
      <c r="C3102" s="1" t="s">
        <v>43</v>
      </c>
      <c r="D3102" s="1" t="s">
        <v>43</v>
      </c>
      <c r="E3102" s="6">
        <v>2573.08</v>
      </c>
      <c r="F3102" s="1" t="s">
        <v>40</v>
      </c>
      <c r="G3102" s="6">
        <f ca="1">IFERROR(__xludf.DUMMYFUNCTION("iferror(GOOGLEFINANCE(TRIM(F3102)&amp;"":"" &amp; TRIM(B3102), ""price""),0
)"),1290.1)</f>
        <v>1290.0999999999999</v>
      </c>
      <c r="H3102" s="6">
        <v>1797.5</v>
      </c>
      <c r="I3102" s="6">
        <f t="shared" ca="1" si="0"/>
        <v>1290.0999999999999</v>
      </c>
      <c r="J3102" s="6">
        <f ca="1">IFERROR(__xludf.DUMMYFUNCTION("IFERROR(GOOGLEFINANCE(B3102, ""volume""), 0)"),4198)</f>
        <v>4198</v>
      </c>
      <c r="K3102" s="6">
        <v>0.15</v>
      </c>
      <c r="L3102" s="6">
        <f ca="1">IFERROR(__xludf.DUMMYFUNCTION("IFERROR(GOOGLEFINANCE(B3102,""changepct""),K3102)"),-0.49)</f>
        <v>-0.49</v>
      </c>
      <c r="M3102" s="6">
        <f ca="1">IFERROR(__xludf.DUMMYFUNCTION("IFERROR(GOOGLEFINANCE(B3102,""change""),0)"),-6.4)</f>
        <v>-6.4</v>
      </c>
      <c r="N3102" s="6">
        <v>2</v>
      </c>
      <c r="O3102" s="7">
        <v>45536</v>
      </c>
      <c r="P3102" s="6">
        <v>251.88</v>
      </c>
      <c r="Q3102" s="7">
        <v>45536</v>
      </c>
      <c r="R3102" s="6">
        <v>9.85</v>
      </c>
      <c r="S3102" s="6">
        <v>0.21</v>
      </c>
      <c r="T3102" s="6">
        <v>2.41</v>
      </c>
      <c r="U3102" s="6">
        <v>2</v>
      </c>
      <c r="V3102" s="7">
        <v>45352</v>
      </c>
      <c r="W3102" s="6">
        <f ca="1">IFERROR(__xludf.DUMMYFUNCTION("IFERROR(GOOGLEFINANCE(B3102,""pe""),V3102)"),20.31)</f>
        <v>20.309999999999999</v>
      </c>
      <c r="X3102" s="6">
        <v>0.91</v>
      </c>
      <c r="Y3102" s="6">
        <v>17.46</v>
      </c>
      <c r="Z3102" s="6">
        <v>8.68</v>
      </c>
      <c r="AA3102" s="3" t="s">
        <v>9552</v>
      </c>
      <c r="AB3102" s="3"/>
      <c r="AC3102" s="9"/>
      <c r="AD3102" s="9"/>
      <c r="AE3102" s="1">
        <v>0</v>
      </c>
      <c r="AF3102" s="1">
        <f ca="1">IFERROR(__xludf.DUMMYFUNCTION("IFERROR(GOOGLEFINANCE(TRIM(F3102)&amp;"":"" &amp; TRIM(B3102),""high52""),AE3102)"),1798)</f>
        <v>1798</v>
      </c>
      <c r="AG3102" s="1">
        <v>0</v>
      </c>
      <c r="AH3102" s="1">
        <f ca="1">IFERROR(__xludf.DUMMYFUNCTION("IFERROR(GOOGLEFINANCE(TRIM(F3102)&amp;"":"" &amp; TRIM(B3102),""low52""),AE3102)"),1151.1)</f>
        <v>1151.0999999999999</v>
      </c>
      <c r="AI3102" s="1">
        <f ca="1">IFERROR(__xludf.DUMMYFUNCTION("IFERROR(GOOGLEFINANCE(B3102,""eps""),0)"),63.52)</f>
        <v>63.52</v>
      </c>
      <c r="AJ3102" s="1"/>
      <c r="AK3102" s="1" t="s">
        <v>9553</v>
      </c>
      <c r="AL3102" s="9">
        <f t="shared" si="302"/>
        <v>1</v>
      </c>
    </row>
    <row r="3103" spans="1:38" ht="15" x14ac:dyDescent="0.25">
      <c r="A3103" s="1" t="s">
        <v>9554</v>
      </c>
      <c r="B3103" s="1" t="s">
        <v>9555</v>
      </c>
      <c r="C3103" s="1" t="s">
        <v>106</v>
      </c>
      <c r="D3103" s="1" t="s">
        <v>106</v>
      </c>
      <c r="E3103" s="6">
        <v>38.31</v>
      </c>
      <c r="F3103" s="1" t="s">
        <v>53</v>
      </c>
      <c r="G3103" s="6">
        <f ca="1">IFERROR(__xludf.DUMMYFUNCTION("iferror(GOOGLEFINANCE(TRIM(F3103)&amp;"":"" &amp; TRIM(B3103), ""price""),0
)"),0)</f>
        <v>0</v>
      </c>
      <c r="H3103" s="6">
        <v>38.01</v>
      </c>
      <c r="I3103" s="6">
        <f t="shared" ca="1" si="0"/>
        <v>38.01</v>
      </c>
      <c r="J3103" s="6">
        <f ca="1">IFERROR(__xludf.DUMMYFUNCTION("IFERROR(GOOGLEFINANCE(B3103, ""volume""), 0)"),0)</f>
        <v>0</v>
      </c>
      <c r="K3103" s="6">
        <v>-0.78</v>
      </c>
      <c r="L3103" s="6">
        <f ca="1">IFERROR(__xludf.DUMMYFUNCTION("IFERROR(GOOGLEFINANCE(B3103,""changepct""),K3103)"),-0.78)</f>
        <v>-0.78</v>
      </c>
      <c r="M3103" s="6">
        <f ca="1">IFERROR(__xludf.DUMMYFUNCTION("IFERROR(GOOGLEFINANCE(B3103,""change""),0)"),0)</f>
        <v>0</v>
      </c>
      <c r="N3103" s="6">
        <v>2</v>
      </c>
      <c r="O3103" s="7">
        <v>45536</v>
      </c>
      <c r="P3103" s="6">
        <v>19.09</v>
      </c>
      <c r="Q3103" s="6">
        <v>57.35</v>
      </c>
      <c r="R3103" s="7">
        <v>45536</v>
      </c>
      <c r="S3103" s="6">
        <v>52.49</v>
      </c>
      <c r="T3103" s="6">
        <v>-0.51</v>
      </c>
      <c r="U3103" s="7">
        <v>45536</v>
      </c>
      <c r="V3103" s="6">
        <v>0</v>
      </c>
      <c r="W3103" s="6">
        <f ca="1">IFERROR(__xludf.DUMMYFUNCTION("IFERROR(GOOGLEFINANCE(B3103,""pe""),V3103)"),0)</f>
        <v>0</v>
      </c>
      <c r="X3103" s="9"/>
      <c r="Y3103" s="6">
        <v>1.1299999999999999</v>
      </c>
      <c r="Z3103" s="6">
        <v>2</v>
      </c>
      <c r="AA3103" s="8">
        <v>45352</v>
      </c>
      <c r="AB3103" s="4">
        <v>0.52</v>
      </c>
      <c r="AC3103" s="6">
        <v>1.45</v>
      </c>
      <c r="AD3103" s="6">
        <v>4.99</v>
      </c>
      <c r="AE3103" s="1">
        <v>0</v>
      </c>
      <c r="AF3103" s="1">
        <f ca="1">IFERROR(__xludf.DUMMYFUNCTION("IFERROR(GOOGLEFINANCE(TRIM(F3103)&amp;"":"" &amp; TRIM(B3103),""high52""),AE3103)"),0)</f>
        <v>0</v>
      </c>
      <c r="AG3103" s="1">
        <v>0</v>
      </c>
      <c r="AH3103" s="1">
        <f ca="1">IFERROR(__xludf.DUMMYFUNCTION("IFERROR(GOOGLEFINANCE(TRIM(F3103)&amp;"":"" &amp; TRIM(B3103),""low52""),AE3103)"),0)</f>
        <v>0</v>
      </c>
      <c r="AI3103" s="1">
        <f ca="1">IFERROR(__xludf.DUMMYFUNCTION("IFERROR(GOOGLEFINANCE(B3103,""eps""),0)"),0)</f>
        <v>0</v>
      </c>
      <c r="AJ3103" s="1"/>
      <c r="AK3103" s="1" t="s">
        <v>9556</v>
      </c>
      <c r="AL3103" s="9">
        <f t="shared" si="302"/>
        <v>1</v>
      </c>
    </row>
    <row r="3104" spans="1:38" ht="15" x14ac:dyDescent="0.25">
      <c r="A3104" s="1" t="s">
        <v>9557</v>
      </c>
      <c r="B3104" s="1" t="s">
        <v>9558</v>
      </c>
      <c r="C3104" s="1" t="s">
        <v>106</v>
      </c>
      <c r="D3104" s="1" t="s">
        <v>106</v>
      </c>
      <c r="E3104" s="6">
        <v>287.49</v>
      </c>
      <c r="F3104" s="1" t="s">
        <v>53</v>
      </c>
      <c r="G3104" s="6">
        <f ca="1">IFERROR(__xludf.DUMMYFUNCTION("iferror(GOOGLEFINANCE(TRIM(F3104)&amp;"":"" &amp; TRIM(B3104), ""price""),0
)"),0)</f>
        <v>0</v>
      </c>
      <c r="H3104" s="6">
        <v>804.95</v>
      </c>
      <c r="I3104" s="6">
        <f t="shared" ca="1" si="0"/>
        <v>804.95</v>
      </c>
      <c r="J3104" s="6">
        <f ca="1">IFERROR(__xludf.DUMMYFUNCTION("IFERROR(GOOGLEFINANCE(B3104, ""volume""), 0)"),0)</f>
        <v>0</v>
      </c>
      <c r="K3104" s="6">
        <v>0.03</v>
      </c>
      <c r="L3104" s="6">
        <f ca="1">IFERROR(__xludf.DUMMYFUNCTION("IFERROR(GOOGLEFINANCE(B3104,""changepct""),K3104)"),0.03)</f>
        <v>0.03</v>
      </c>
      <c r="M3104" s="6">
        <f ca="1">IFERROR(__xludf.DUMMYFUNCTION("IFERROR(GOOGLEFINANCE(B3104,""change""),0)"),0)</f>
        <v>0</v>
      </c>
      <c r="N3104" s="6">
        <v>1</v>
      </c>
      <c r="O3104" s="7">
        <v>45536</v>
      </c>
      <c r="P3104" s="9"/>
      <c r="Q3104" s="6">
        <v>223.32</v>
      </c>
      <c r="R3104" s="7">
        <v>45536</v>
      </c>
      <c r="S3104" s="6">
        <v>110.85</v>
      </c>
      <c r="T3104" s="6">
        <v>23.13</v>
      </c>
      <c r="U3104" s="7">
        <v>45536</v>
      </c>
      <c r="V3104" s="6">
        <v>12.43</v>
      </c>
      <c r="W3104" s="6">
        <f ca="1">IFERROR(__xludf.DUMMYFUNCTION("IFERROR(GOOGLEFINANCE(B3104,""pe""),V3104)"),12.43)</f>
        <v>12.43</v>
      </c>
      <c r="X3104" s="6">
        <v>1.34</v>
      </c>
      <c r="Y3104" s="6">
        <v>1.41</v>
      </c>
      <c r="Z3104" s="6">
        <v>1</v>
      </c>
      <c r="AA3104" s="8">
        <v>45352</v>
      </c>
      <c r="AB3104" s="4">
        <v>0</v>
      </c>
      <c r="AC3104" s="6">
        <v>9.5</v>
      </c>
      <c r="AD3104" s="6">
        <v>12.48</v>
      </c>
      <c r="AE3104" s="1">
        <v>0</v>
      </c>
      <c r="AF3104" s="1">
        <f ca="1">IFERROR(__xludf.DUMMYFUNCTION("IFERROR(GOOGLEFINANCE(TRIM(F3104)&amp;"":"" &amp; TRIM(B3104),""high52""),AE3104)"),0)</f>
        <v>0</v>
      </c>
      <c r="AG3104" s="1">
        <v>0</v>
      </c>
      <c r="AH3104" s="1">
        <f ca="1">IFERROR(__xludf.DUMMYFUNCTION("IFERROR(GOOGLEFINANCE(TRIM(F3104)&amp;"":"" &amp; TRIM(B3104),""low52""),AE3104)"),0)</f>
        <v>0</v>
      </c>
      <c r="AI3104" s="1">
        <f ca="1">IFERROR(__xludf.DUMMYFUNCTION("IFERROR(GOOGLEFINANCE(B3104,""eps""),0)"),0)</f>
        <v>0</v>
      </c>
      <c r="AJ3104" s="1"/>
      <c r="AK3104" s="9"/>
      <c r="AL3104" s="9">
        <f t="shared" si="302"/>
        <v>1</v>
      </c>
    </row>
    <row r="3105" spans="1:38" ht="15" x14ac:dyDescent="0.25">
      <c r="A3105" s="1" t="s">
        <v>9559</v>
      </c>
      <c r="B3105" s="1" t="s">
        <v>9560</v>
      </c>
      <c r="C3105" s="1" t="s">
        <v>106</v>
      </c>
      <c r="D3105" s="1" t="s">
        <v>106</v>
      </c>
      <c r="E3105" s="6">
        <v>63.21</v>
      </c>
      <c r="F3105" s="1" t="s">
        <v>53</v>
      </c>
      <c r="G3105" s="6">
        <f ca="1">IFERROR(__xludf.DUMMYFUNCTION("iferror(GOOGLEFINANCE(TRIM(F3105)&amp;"":"" &amp; TRIM(B3105), ""price""),0
)"),0)</f>
        <v>0</v>
      </c>
      <c r="H3105" s="6">
        <v>29</v>
      </c>
      <c r="I3105" s="6">
        <f t="shared" ca="1" si="0"/>
        <v>29</v>
      </c>
      <c r="J3105" s="6">
        <f ca="1">IFERROR(__xludf.DUMMYFUNCTION("IFERROR(GOOGLEFINANCE(B3105, ""volume""), 0)"),0)</f>
        <v>0</v>
      </c>
      <c r="K3105" s="6">
        <v>0.17</v>
      </c>
      <c r="L3105" s="6">
        <f ca="1">IFERROR(__xludf.DUMMYFUNCTION("IFERROR(GOOGLEFINANCE(B3105,""changepct""),K3105)"),0.17)</f>
        <v>0.17</v>
      </c>
      <c r="M3105" s="6">
        <f ca="1">IFERROR(__xludf.DUMMYFUNCTION("IFERROR(GOOGLEFINANCE(B3105,""change""),0)"),0)</f>
        <v>0</v>
      </c>
      <c r="N3105" s="6">
        <v>2</v>
      </c>
      <c r="O3105" s="7">
        <v>45536</v>
      </c>
      <c r="P3105" s="6">
        <v>1.27</v>
      </c>
      <c r="Q3105" s="6">
        <v>64.48</v>
      </c>
      <c r="R3105" s="7">
        <v>45536</v>
      </c>
      <c r="S3105" s="6">
        <v>63.32</v>
      </c>
      <c r="T3105" s="6">
        <v>1.54</v>
      </c>
      <c r="U3105" s="7">
        <v>45536</v>
      </c>
      <c r="V3105" s="6">
        <v>40.96</v>
      </c>
      <c r="W3105" s="6">
        <f ca="1">IFERROR(__xludf.DUMMYFUNCTION("IFERROR(GOOGLEFINANCE(B3105,""pe""),V3105)"),40.96)</f>
        <v>40.96</v>
      </c>
      <c r="X3105" s="9"/>
      <c r="Y3105" s="6">
        <v>0.62</v>
      </c>
      <c r="Z3105" s="6">
        <v>2</v>
      </c>
      <c r="AA3105" s="8">
        <v>45352</v>
      </c>
      <c r="AB3105" s="4">
        <v>0.02</v>
      </c>
      <c r="AC3105" s="6">
        <v>1.69</v>
      </c>
      <c r="AD3105" s="6">
        <v>2.5299999999999998</v>
      </c>
      <c r="AE3105" s="1">
        <v>0</v>
      </c>
      <c r="AF3105" s="1">
        <f ca="1">IFERROR(__xludf.DUMMYFUNCTION("IFERROR(GOOGLEFINANCE(TRIM(F3105)&amp;"":"" &amp; TRIM(B3105),""high52""),AE3105)"),0)</f>
        <v>0</v>
      </c>
      <c r="AG3105" s="1">
        <v>0</v>
      </c>
      <c r="AH3105" s="1">
        <f ca="1">IFERROR(__xludf.DUMMYFUNCTION("IFERROR(GOOGLEFINANCE(TRIM(F3105)&amp;"":"" &amp; TRIM(B3105),""low52""),AE3105)"),0)</f>
        <v>0</v>
      </c>
      <c r="AI3105" s="1">
        <f ca="1">IFERROR(__xludf.DUMMYFUNCTION("IFERROR(GOOGLEFINANCE(B3105,""eps""),0)"),0)</f>
        <v>0</v>
      </c>
      <c r="AJ3105" s="1"/>
      <c r="AK3105" s="1" t="s">
        <v>9561</v>
      </c>
      <c r="AL3105" s="9">
        <f t="shared" si="302"/>
        <v>1</v>
      </c>
    </row>
    <row r="3106" spans="1:38" ht="15" x14ac:dyDescent="0.25">
      <c r="A3106" s="1" t="s">
        <v>9562</v>
      </c>
      <c r="B3106" s="1" t="s">
        <v>9563</v>
      </c>
      <c r="C3106" s="1" t="s">
        <v>106</v>
      </c>
      <c r="D3106" s="1" t="s">
        <v>106</v>
      </c>
      <c r="E3106" s="6">
        <v>16.37</v>
      </c>
      <c r="F3106" s="1" t="s">
        <v>53</v>
      </c>
      <c r="G3106" s="6">
        <f ca="1">IFERROR(__xludf.DUMMYFUNCTION("iferror(GOOGLEFINANCE(TRIM(F3106)&amp;"":"" &amp; TRIM(B3106), ""price""),0
)"),0)</f>
        <v>0</v>
      </c>
      <c r="H3106" s="6">
        <v>16.03</v>
      </c>
      <c r="I3106" s="6">
        <f t="shared" ca="1" si="0"/>
        <v>16.03</v>
      </c>
      <c r="J3106" s="6">
        <f ca="1">IFERROR(__xludf.DUMMYFUNCTION("IFERROR(GOOGLEFINANCE(B3106, ""volume""), 0)"),0)</f>
        <v>0</v>
      </c>
      <c r="K3106" s="6">
        <v>-1.1100000000000001</v>
      </c>
      <c r="L3106" s="6">
        <f ca="1">IFERROR(__xludf.DUMMYFUNCTION("IFERROR(GOOGLEFINANCE(B3106,""changepct""),K3106)"),-1.11)</f>
        <v>-1.1100000000000001</v>
      </c>
      <c r="M3106" s="6">
        <f ca="1">IFERROR(__xludf.DUMMYFUNCTION("IFERROR(GOOGLEFINANCE(B3106,""change""),0)"),0)</f>
        <v>0</v>
      </c>
      <c r="N3106" s="6">
        <v>2</v>
      </c>
      <c r="O3106" s="7">
        <v>45536</v>
      </c>
      <c r="P3106" s="6">
        <v>0.16</v>
      </c>
      <c r="Q3106" s="6">
        <v>16.53</v>
      </c>
      <c r="R3106" s="7">
        <v>45536</v>
      </c>
      <c r="S3106" s="6">
        <v>32.18</v>
      </c>
      <c r="T3106" s="6">
        <v>0.83</v>
      </c>
      <c r="U3106" s="7">
        <v>45536</v>
      </c>
      <c r="V3106" s="6">
        <v>19.63</v>
      </c>
      <c r="W3106" s="6">
        <f ca="1">IFERROR(__xludf.DUMMYFUNCTION("IFERROR(GOOGLEFINANCE(B3106,""pe""),V3106)"),19.63)</f>
        <v>19.63</v>
      </c>
      <c r="X3106" s="9"/>
      <c r="Y3106" s="6">
        <v>0.76</v>
      </c>
      <c r="Z3106" s="6">
        <v>2</v>
      </c>
      <c r="AA3106" s="8">
        <v>45352</v>
      </c>
      <c r="AB3106" s="4">
        <v>0</v>
      </c>
      <c r="AC3106" s="6">
        <v>-7.44</v>
      </c>
      <c r="AD3106" s="6">
        <v>-4.24</v>
      </c>
      <c r="AE3106" s="1">
        <v>0</v>
      </c>
      <c r="AF3106" s="1">
        <f ca="1">IFERROR(__xludf.DUMMYFUNCTION("IFERROR(GOOGLEFINANCE(TRIM(F3106)&amp;"":"" &amp; TRIM(B3106),""high52""),AE3106)"),0)</f>
        <v>0</v>
      </c>
      <c r="AG3106" s="1">
        <v>0</v>
      </c>
      <c r="AH3106" s="1">
        <f ca="1">IFERROR(__xludf.DUMMYFUNCTION("IFERROR(GOOGLEFINANCE(TRIM(F3106)&amp;"":"" &amp; TRIM(B3106),""low52""),AE3106)"),0)</f>
        <v>0</v>
      </c>
      <c r="AI3106" s="1">
        <f ca="1">IFERROR(__xludf.DUMMYFUNCTION("IFERROR(GOOGLEFINANCE(B3106,""eps""),0)"),0)</f>
        <v>0</v>
      </c>
      <c r="AJ3106" s="1"/>
      <c r="AK3106" s="1" t="s">
        <v>9564</v>
      </c>
      <c r="AL3106" s="9">
        <f t="shared" si="302"/>
        <v>1</v>
      </c>
    </row>
    <row r="3107" spans="1:38" ht="15" x14ac:dyDescent="0.25">
      <c r="A3107" s="1" t="s">
        <v>9565</v>
      </c>
      <c r="B3107" s="1" t="s">
        <v>9566</v>
      </c>
      <c r="C3107" s="1" t="s">
        <v>106</v>
      </c>
      <c r="D3107" s="1" t="s">
        <v>106</v>
      </c>
      <c r="E3107" s="6">
        <v>237.85</v>
      </c>
      <c r="F3107" s="1" t="s">
        <v>53</v>
      </c>
      <c r="G3107" s="6">
        <f ca="1">IFERROR(__xludf.DUMMYFUNCTION("iferror(GOOGLEFINANCE(TRIM(F3107)&amp;"":"" &amp; TRIM(B3107), ""price""),0
)"),0)</f>
        <v>0</v>
      </c>
      <c r="H3107" s="6">
        <v>172</v>
      </c>
      <c r="I3107" s="6">
        <f t="shared" ca="1" si="0"/>
        <v>172</v>
      </c>
      <c r="J3107" s="6">
        <f ca="1">IFERROR(__xludf.DUMMYFUNCTION("IFERROR(GOOGLEFINANCE(B3107, ""volume""), 0)"),0)</f>
        <v>0</v>
      </c>
      <c r="K3107" s="6">
        <v>0.35</v>
      </c>
      <c r="L3107" s="6">
        <f ca="1">IFERROR(__xludf.DUMMYFUNCTION("IFERROR(GOOGLEFINANCE(B3107,""changepct""),K3107)"),0.35)</f>
        <v>0.35</v>
      </c>
      <c r="M3107" s="6">
        <f ca="1">IFERROR(__xludf.DUMMYFUNCTION("IFERROR(GOOGLEFINANCE(B3107,""change""),0)"),0)</f>
        <v>0</v>
      </c>
      <c r="N3107" s="6">
        <v>1</v>
      </c>
      <c r="O3107" s="7">
        <v>45536</v>
      </c>
      <c r="P3107" s="6">
        <v>3.74</v>
      </c>
      <c r="Q3107" s="6">
        <v>213.72</v>
      </c>
      <c r="R3107" s="7">
        <v>45536</v>
      </c>
      <c r="S3107" s="6">
        <v>168.99</v>
      </c>
      <c r="T3107" s="6">
        <v>11.54</v>
      </c>
      <c r="U3107" s="7">
        <v>45536</v>
      </c>
      <c r="V3107" s="6">
        <v>20.62</v>
      </c>
      <c r="W3107" s="6">
        <f ca="1">IFERROR(__xludf.DUMMYFUNCTION("IFERROR(GOOGLEFINANCE(B3107,""pe""),V3107)"),20.62)</f>
        <v>20.62</v>
      </c>
      <c r="X3107" s="6">
        <v>1.73</v>
      </c>
      <c r="Y3107" s="6">
        <v>2.88</v>
      </c>
      <c r="Z3107" s="6">
        <v>1</v>
      </c>
      <c r="AA3107" s="8">
        <v>45352</v>
      </c>
      <c r="AB3107" s="4">
        <v>0.01</v>
      </c>
      <c r="AC3107" s="6">
        <v>14.62</v>
      </c>
      <c r="AD3107" s="6">
        <v>20.149999999999999</v>
      </c>
      <c r="AE3107" s="1">
        <v>0</v>
      </c>
      <c r="AF3107" s="1">
        <f ca="1">IFERROR(__xludf.DUMMYFUNCTION("IFERROR(GOOGLEFINANCE(TRIM(F3107)&amp;"":"" &amp; TRIM(B3107),""high52""),AE3107)"),0)</f>
        <v>0</v>
      </c>
      <c r="AG3107" s="1">
        <v>0</v>
      </c>
      <c r="AH3107" s="1">
        <f ca="1">IFERROR(__xludf.DUMMYFUNCTION("IFERROR(GOOGLEFINANCE(TRIM(F3107)&amp;"":"" &amp; TRIM(B3107),""low52""),AE3107)"),0)</f>
        <v>0</v>
      </c>
      <c r="AI3107" s="1">
        <f ca="1">IFERROR(__xludf.DUMMYFUNCTION("IFERROR(GOOGLEFINANCE(B3107,""eps""),0)"),0)</f>
        <v>0</v>
      </c>
      <c r="AJ3107" s="1"/>
      <c r="AK3107" s="1" t="s">
        <v>9567</v>
      </c>
      <c r="AL3107" s="9">
        <f t="shared" si="302"/>
        <v>1</v>
      </c>
    </row>
    <row r="3108" spans="1:38" ht="15" x14ac:dyDescent="0.25">
      <c r="A3108" s="1" t="s">
        <v>9568</v>
      </c>
      <c r="B3108" s="1" t="s">
        <v>9569</v>
      </c>
      <c r="C3108" s="1" t="s">
        <v>416</v>
      </c>
      <c r="D3108" s="1" t="s">
        <v>416</v>
      </c>
      <c r="E3108" s="6">
        <v>177.62</v>
      </c>
      <c r="F3108" s="1" t="s">
        <v>40</v>
      </c>
      <c r="G3108" s="6">
        <f ca="1">IFERROR(__xludf.DUMMYFUNCTION("iferror(GOOGLEFINANCE(TRIM(F3108)&amp;"":"" &amp; TRIM(B3108), ""price""),0
)"),0)</f>
        <v>0</v>
      </c>
      <c r="H3108" s="6">
        <v>340</v>
      </c>
      <c r="I3108" s="6">
        <f t="shared" ca="1" si="0"/>
        <v>340</v>
      </c>
      <c r="J3108" s="6">
        <f ca="1">IFERROR(__xludf.DUMMYFUNCTION("IFERROR(GOOGLEFINANCE(B3108, ""volume""), 0)"),0)</f>
        <v>0</v>
      </c>
      <c r="K3108" s="6">
        <v>-0.61</v>
      </c>
      <c r="L3108" s="6">
        <f ca="1">IFERROR(__xludf.DUMMYFUNCTION("IFERROR(GOOGLEFINANCE(B3108,""changepct""),K3108)"),-0.61)</f>
        <v>-0.61</v>
      </c>
      <c r="M3108" s="6">
        <f ca="1">IFERROR(__xludf.DUMMYFUNCTION("IFERROR(GOOGLEFINANCE(B3108,""change""),0)"),0)</f>
        <v>0</v>
      </c>
      <c r="N3108" s="6">
        <v>1</v>
      </c>
      <c r="O3108" s="7">
        <v>45536</v>
      </c>
      <c r="P3108" s="6">
        <v>14.63</v>
      </c>
      <c r="Q3108" s="6">
        <v>192.25</v>
      </c>
      <c r="R3108" s="12"/>
      <c r="S3108" s="12"/>
      <c r="T3108" s="12"/>
      <c r="U3108" s="7">
        <v>45352</v>
      </c>
      <c r="V3108" s="6">
        <v>42.98</v>
      </c>
      <c r="W3108" s="6">
        <f ca="1">IFERROR(__xludf.DUMMYFUNCTION("IFERROR(GOOGLEFINANCE(B3108,""pe""),V3108)"),42.98)</f>
        <v>42.98</v>
      </c>
      <c r="X3108" s="12"/>
      <c r="Y3108" s="6">
        <v>4.41</v>
      </c>
      <c r="Z3108" s="6">
        <v>1</v>
      </c>
      <c r="AA3108" s="8">
        <v>45352</v>
      </c>
      <c r="AB3108" s="4">
        <v>1.1100000000000001</v>
      </c>
      <c r="AC3108" s="6">
        <v>147</v>
      </c>
      <c r="AD3108" s="6">
        <v>44</v>
      </c>
      <c r="AE3108" s="1">
        <v>0</v>
      </c>
      <c r="AF3108" s="1">
        <f ca="1">IFERROR(__xludf.DUMMYFUNCTION("IFERROR(GOOGLEFINANCE(TRIM(F3108)&amp;"":"" &amp; TRIM(B3108),""high52""),AE3108)"),0)</f>
        <v>0</v>
      </c>
      <c r="AG3108" s="1">
        <v>0</v>
      </c>
      <c r="AH3108" s="1">
        <f ca="1">IFERROR(__xludf.DUMMYFUNCTION("IFERROR(GOOGLEFINANCE(TRIM(F3108)&amp;"":"" &amp; TRIM(B3108),""low52""),AE3108)"),0)</f>
        <v>0</v>
      </c>
      <c r="AI3108" s="1">
        <f ca="1">IFERROR(__xludf.DUMMYFUNCTION("IFERROR(GOOGLEFINANCE(B3108,""eps""),0)"),0)</f>
        <v>0</v>
      </c>
      <c r="AJ3108" s="1"/>
      <c r="AK3108" s="9"/>
      <c r="AL3108" s="9">
        <f t="shared" si="302"/>
        <v>1</v>
      </c>
    </row>
    <row r="3109" spans="1:38" ht="15" x14ac:dyDescent="0.25">
      <c r="A3109" s="1" t="s">
        <v>9570</v>
      </c>
      <c r="B3109" s="1" t="s">
        <v>9571</v>
      </c>
      <c r="C3109" s="1" t="s">
        <v>227</v>
      </c>
      <c r="D3109" s="1" t="s">
        <v>227</v>
      </c>
      <c r="E3109" s="6">
        <v>2652.79</v>
      </c>
      <c r="F3109" s="1" t="s">
        <v>40</v>
      </c>
      <c r="G3109" s="6">
        <f ca="1">IFERROR(__xludf.DUMMYFUNCTION("iferror(GOOGLEFINANCE(TRIM(F3109)&amp;"":"" &amp; TRIM(B3109), ""price""),0
)"),354.8)</f>
        <v>354.8</v>
      </c>
      <c r="H3109" s="6">
        <v>401.85</v>
      </c>
      <c r="I3109" s="6">
        <f t="shared" ca="1" si="0"/>
        <v>354.8</v>
      </c>
      <c r="J3109" s="6">
        <f ca="1">IFERROR(__xludf.DUMMYFUNCTION("IFERROR(GOOGLEFINANCE(B3109, ""volume""), 0)"),71569)</f>
        <v>71569</v>
      </c>
      <c r="K3109" s="6">
        <v>0.16</v>
      </c>
      <c r="L3109" s="6">
        <f ca="1">IFERROR(__xludf.DUMMYFUNCTION("IFERROR(GOOGLEFINANCE(B3109,""changepct""),K3109)"),-2.57)</f>
        <v>-2.57</v>
      </c>
      <c r="M3109" s="6">
        <f ca="1">IFERROR(__xludf.DUMMYFUNCTION("IFERROR(GOOGLEFINANCE(B3109,""change""),0)"),-9.35)</f>
        <v>-9.35</v>
      </c>
      <c r="N3109" s="6">
        <v>2</v>
      </c>
      <c r="O3109" s="7">
        <v>45536</v>
      </c>
      <c r="P3109" s="6">
        <v>802.76</v>
      </c>
      <c r="Q3109" s="6">
        <v>3381.5</v>
      </c>
      <c r="R3109" s="7">
        <v>45536</v>
      </c>
      <c r="S3109" s="6">
        <v>13599.44</v>
      </c>
      <c r="T3109" s="6">
        <v>196.74</v>
      </c>
      <c r="U3109" s="7">
        <v>45536</v>
      </c>
      <c r="V3109" s="6">
        <v>13.97</v>
      </c>
      <c r="W3109" s="6">
        <f ca="1">IFERROR(__xludf.DUMMYFUNCTION("IFERROR(GOOGLEFINANCE(B3109,""pe""),V3109)"),11.55)</f>
        <v>11.55</v>
      </c>
      <c r="X3109" s="12"/>
      <c r="Y3109" s="6">
        <v>1.6</v>
      </c>
      <c r="Z3109" s="6">
        <v>2</v>
      </c>
      <c r="AA3109" s="8">
        <v>45352</v>
      </c>
      <c r="AB3109" s="4">
        <v>0.44</v>
      </c>
      <c r="AC3109" s="6">
        <v>12.78</v>
      </c>
      <c r="AD3109" s="6">
        <v>15.12</v>
      </c>
      <c r="AE3109" s="1">
        <v>0</v>
      </c>
      <c r="AF3109" s="1">
        <f ca="1">IFERROR(__xludf.DUMMYFUNCTION("IFERROR(GOOGLEFINANCE(TRIM(F3109)&amp;"":"" &amp; TRIM(B3109),""high52""),AE3109)"),408.7)</f>
        <v>408.7</v>
      </c>
      <c r="AG3109" s="1">
        <v>0</v>
      </c>
      <c r="AH3109" s="1">
        <f ca="1">IFERROR(__xludf.DUMMYFUNCTION("IFERROR(GOOGLEFINANCE(TRIM(F3109)&amp;"":"" &amp; TRIM(B3109),""low52""),AE3109)"),245.15)</f>
        <v>245.15</v>
      </c>
      <c r="AI3109" s="1">
        <f ca="1">IFERROR(__xludf.DUMMYFUNCTION("IFERROR(GOOGLEFINANCE(B3109,""eps""),0)"),30.72)</f>
        <v>30.72</v>
      </c>
      <c r="AJ3109" s="1"/>
      <c r="AK3109" s="1" t="s">
        <v>9572</v>
      </c>
      <c r="AL3109" s="9">
        <f t="shared" si="302"/>
        <v>1</v>
      </c>
    </row>
    <row r="3110" spans="1:38" ht="15" x14ac:dyDescent="0.25">
      <c r="A3110" s="1" t="s">
        <v>9573</v>
      </c>
      <c r="B3110" s="1" t="s">
        <v>9574</v>
      </c>
      <c r="C3110" s="1" t="s">
        <v>502</v>
      </c>
      <c r="D3110" s="1" t="s">
        <v>502</v>
      </c>
      <c r="E3110" s="6">
        <v>9985.5499999999993</v>
      </c>
      <c r="F3110" s="1" t="s">
        <v>40</v>
      </c>
      <c r="G3110" s="6">
        <f ca="1">IFERROR(__xludf.DUMMYFUNCTION("iferror(GOOGLEFINANCE(TRIM(F3110)&amp;"":"" &amp; TRIM(B3110), ""price""),0
)"),136.02)</f>
        <v>136.02000000000001</v>
      </c>
      <c r="H3110" s="6">
        <v>181.25</v>
      </c>
      <c r="I3110" s="6">
        <f t="shared" ca="1" si="0"/>
        <v>136.02000000000001</v>
      </c>
      <c r="J3110" s="6">
        <f ca="1">IFERROR(__xludf.DUMMYFUNCTION("IFERROR(GOOGLEFINANCE(B3110, ""volume""), 0)"),52)</f>
        <v>52</v>
      </c>
      <c r="K3110" s="6">
        <v>0.09</v>
      </c>
      <c r="L3110" s="6">
        <f ca="1">IFERROR(__xludf.DUMMYFUNCTION("IFERROR(GOOGLEFINANCE(B3110,""changepct""),K3110)"),0.77)</f>
        <v>0.77</v>
      </c>
      <c r="M3110" s="6">
        <f ca="1">IFERROR(__xludf.DUMMYFUNCTION("IFERROR(GOOGLEFINANCE(B3110,""change""),0)"),0.42)</f>
        <v>0.42</v>
      </c>
      <c r="N3110" s="6">
        <v>2</v>
      </c>
      <c r="O3110" s="7">
        <v>45536</v>
      </c>
      <c r="P3110" s="6">
        <v>2750.94</v>
      </c>
      <c r="Q3110" s="6">
        <v>10895.59</v>
      </c>
      <c r="R3110" s="7">
        <v>45536</v>
      </c>
      <c r="S3110" s="6">
        <v>17468.79</v>
      </c>
      <c r="T3110" s="6">
        <v>197.48</v>
      </c>
      <c r="U3110" s="7">
        <v>45536</v>
      </c>
      <c r="V3110" s="6">
        <v>50.89</v>
      </c>
      <c r="W3110" s="6">
        <f ca="1">IFERROR(__xludf.DUMMYFUNCTION("IFERROR(GOOGLEFINANCE(B3110,""pe""),V3110)"),6.82)</f>
        <v>6.82</v>
      </c>
      <c r="X3110" s="6">
        <v>4.9000000000000004</v>
      </c>
      <c r="Y3110" s="6">
        <v>2.16</v>
      </c>
      <c r="Z3110" s="6">
        <v>2</v>
      </c>
      <c r="AA3110" s="8">
        <v>45352</v>
      </c>
      <c r="AB3110" s="4">
        <v>0.71</v>
      </c>
      <c r="AC3110" s="6">
        <v>4.9000000000000004</v>
      </c>
      <c r="AD3110" s="6">
        <v>6.85</v>
      </c>
      <c r="AE3110" s="1">
        <v>0</v>
      </c>
      <c r="AF3110" s="1">
        <f ca="1">IFERROR(__xludf.DUMMYFUNCTION("IFERROR(GOOGLEFINANCE(TRIM(F3110)&amp;"":"" &amp; TRIM(B3110),""high52""),AE3110)"),166.5)</f>
        <v>166.5</v>
      </c>
      <c r="AG3110" s="1">
        <v>0</v>
      </c>
      <c r="AH3110" s="1">
        <f ca="1">IFERROR(__xludf.DUMMYFUNCTION("IFERROR(GOOGLEFINANCE(TRIM(F3110)&amp;"":"" &amp; TRIM(B3110),""low52""),AE3110)"),110.8)</f>
        <v>110.8</v>
      </c>
      <c r="AI3110" s="1">
        <f ca="1">IFERROR(__xludf.DUMMYFUNCTION("IFERROR(GOOGLEFINANCE(B3110,""eps""),0)"),8.07)</f>
        <v>8.07</v>
      </c>
      <c r="AJ3110" s="1"/>
      <c r="AK3110" s="1" t="s">
        <v>9575</v>
      </c>
      <c r="AL3110" s="9">
        <f t="shared" si="302"/>
        <v>1</v>
      </c>
    </row>
    <row r="3111" spans="1:38" ht="15" x14ac:dyDescent="0.25">
      <c r="A3111" s="1" t="s">
        <v>9576</v>
      </c>
      <c r="B3111" s="1" t="s">
        <v>9577</v>
      </c>
      <c r="C3111" s="1" t="s">
        <v>106</v>
      </c>
      <c r="D3111" s="1" t="s">
        <v>106</v>
      </c>
      <c r="E3111" s="6">
        <v>22.47</v>
      </c>
      <c r="F3111" s="1" t="s">
        <v>53</v>
      </c>
      <c r="G3111" s="6">
        <f ca="1">IFERROR(__xludf.DUMMYFUNCTION("iferror(GOOGLEFINANCE(TRIM(F3111)&amp;"":"" &amp; TRIM(B3111), ""price""),0
)"),0)</f>
        <v>0</v>
      </c>
      <c r="H3111" s="6">
        <v>44.38</v>
      </c>
      <c r="I3111" s="6">
        <f t="shared" ca="1" si="0"/>
        <v>44.38</v>
      </c>
      <c r="J3111" s="6">
        <f ca="1">IFERROR(__xludf.DUMMYFUNCTION("IFERROR(GOOGLEFINANCE(B3111, ""volume""), 0)"),0)</f>
        <v>0</v>
      </c>
      <c r="K3111" s="6">
        <v>-1.33</v>
      </c>
      <c r="L3111" s="6">
        <f ca="1">IFERROR(__xludf.DUMMYFUNCTION("IFERROR(GOOGLEFINANCE(B3111,""changepct""),K3111)"),-1.33)</f>
        <v>-1.33</v>
      </c>
      <c r="M3111" s="6">
        <f ca="1">IFERROR(__xludf.DUMMYFUNCTION("IFERROR(GOOGLEFINANCE(B3111,""change""),0)"),0)</f>
        <v>0</v>
      </c>
      <c r="N3111" s="6">
        <v>1</v>
      </c>
      <c r="O3111" s="7">
        <v>45536</v>
      </c>
      <c r="P3111" s="12"/>
      <c r="Q3111" s="6">
        <v>15.83</v>
      </c>
      <c r="R3111" s="7">
        <v>45536</v>
      </c>
      <c r="S3111" s="6">
        <v>0.82</v>
      </c>
      <c r="T3111" s="6">
        <v>0.87</v>
      </c>
      <c r="U3111" s="7">
        <v>45536</v>
      </c>
      <c r="V3111" s="6">
        <v>25.95</v>
      </c>
      <c r="W3111" s="6">
        <f ca="1">IFERROR(__xludf.DUMMYFUNCTION("IFERROR(GOOGLEFINANCE(B3111,""pe""),V3111)"),25.95)</f>
        <v>25.95</v>
      </c>
      <c r="X3111" s="6">
        <v>-3.96</v>
      </c>
      <c r="Y3111" s="6">
        <v>2.89</v>
      </c>
      <c r="Z3111" s="6">
        <v>1</v>
      </c>
      <c r="AA3111" s="8">
        <v>45352</v>
      </c>
      <c r="AB3111" s="4">
        <v>0.01</v>
      </c>
      <c r="AC3111" s="6">
        <v>10.66</v>
      </c>
      <c r="AD3111" s="6">
        <v>11.42</v>
      </c>
      <c r="AE3111" s="1">
        <v>0</v>
      </c>
      <c r="AF3111" s="1">
        <f ca="1">IFERROR(__xludf.DUMMYFUNCTION("IFERROR(GOOGLEFINANCE(TRIM(F3111)&amp;"":"" &amp; TRIM(B3111),""high52""),AE3111)"),0)</f>
        <v>0</v>
      </c>
      <c r="AG3111" s="1">
        <v>0</v>
      </c>
      <c r="AH3111" s="1">
        <f ca="1">IFERROR(__xludf.DUMMYFUNCTION("IFERROR(GOOGLEFINANCE(TRIM(F3111)&amp;"":"" &amp; TRIM(B3111),""low52""),AE3111)"),0)</f>
        <v>0</v>
      </c>
      <c r="AI3111" s="1">
        <f ca="1">IFERROR(__xludf.DUMMYFUNCTION("IFERROR(GOOGLEFINANCE(B3111,""eps""),0)"),0)</f>
        <v>0</v>
      </c>
      <c r="AJ3111" s="1"/>
      <c r="AK3111" s="9"/>
      <c r="AL3111" s="9">
        <f t="shared" si="302"/>
        <v>1</v>
      </c>
    </row>
    <row r="3112" spans="1:38" ht="15" x14ac:dyDescent="0.25">
      <c r="A3112" s="1" t="s">
        <v>9578</v>
      </c>
      <c r="B3112" s="1" t="s">
        <v>9579</v>
      </c>
      <c r="C3112" s="1" t="s">
        <v>57</v>
      </c>
      <c r="D3112" s="1" t="s">
        <v>57</v>
      </c>
      <c r="E3112" s="6">
        <v>8537.36</v>
      </c>
      <c r="F3112" s="1" t="s">
        <v>40</v>
      </c>
      <c r="G3112" s="6">
        <f ca="1">IFERROR(__xludf.DUMMYFUNCTION("iferror(GOOGLEFINANCE(TRIM(F3112)&amp;"":"" &amp; TRIM(B3112), ""price""),0
)"),633.35)</f>
        <v>633.35</v>
      </c>
      <c r="H3112" s="6">
        <v>716.5</v>
      </c>
      <c r="I3112" s="6">
        <f t="shared" ca="1" si="0"/>
        <v>633.35</v>
      </c>
      <c r="J3112" s="6">
        <f ca="1">IFERROR(__xludf.DUMMYFUNCTION("IFERROR(GOOGLEFINANCE(B3112, ""volume""), 0)"),242790)</f>
        <v>242790</v>
      </c>
      <c r="K3112" s="6">
        <v>-1.02</v>
      </c>
      <c r="L3112" s="6">
        <f ca="1">IFERROR(__xludf.DUMMYFUNCTION("IFERROR(GOOGLEFINANCE(B3112,""changepct""),K3112)"),0.62)</f>
        <v>0.62</v>
      </c>
      <c r="M3112" s="6">
        <f ca="1">IFERROR(__xludf.DUMMYFUNCTION("IFERROR(GOOGLEFINANCE(B3112,""change""),0)"),3.9)</f>
        <v>3.9</v>
      </c>
      <c r="N3112" s="6">
        <v>2</v>
      </c>
      <c r="O3112" s="7">
        <v>45536</v>
      </c>
      <c r="P3112" s="9"/>
      <c r="Q3112" s="6">
        <v>8250.4500000000007</v>
      </c>
      <c r="R3112" s="7">
        <v>45536</v>
      </c>
      <c r="S3112" s="6">
        <v>1045.0999999999999</v>
      </c>
      <c r="T3112" s="6">
        <v>188.03</v>
      </c>
      <c r="U3112" s="7">
        <v>45536</v>
      </c>
      <c r="V3112" s="6">
        <v>45.4</v>
      </c>
      <c r="W3112" s="6">
        <f ca="1">IFERROR(__xludf.DUMMYFUNCTION("IFERROR(GOOGLEFINANCE(B3112,""pe""),V3112)"),35.81)</f>
        <v>35.81</v>
      </c>
      <c r="X3112" s="9"/>
      <c r="Y3112" s="6">
        <v>5.48</v>
      </c>
      <c r="Z3112" s="6">
        <v>2</v>
      </c>
      <c r="AA3112" s="8">
        <v>45352</v>
      </c>
      <c r="AB3112" s="4">
        <v>0</v>
      </c>
      <c r="AC3112" s="6">
        <v>13.63</v>
      </c>
      <c r="AD3112" s="6">
        <v>17.75</v>
      </c>
      <c r="AE3112" s="1">
        <v>0</v>
      </c>
      <c r="AF3112" s="1">
        <f ca="1">IFERROR(__xludf.DUMMYFUNCTION("IFERROR(GOOGLEFINANCE(TRIM(F3112)&amp;"":"" &amp; TRIM(B3112),""high52""),AE3112)"),741.6)</f>
        <v>741.6</v>
      </c>
      <c r="AG3112" s="1">
        <v>0</v>
      </c>
      <c r="AH3112" s="1">
        <f ca="1">IFERROR(__xludf.DUMMYFUNCTION("IFERROR(GOOGLEFINANCE(TRIM(F3112)&amp;"":"" &amp; TRIM(B3112),""low52""),AE3112)"),412.85)</f>
        <v>412.85</v>
      </c>
      <c r="AI3112" s="1">
        <f ca="1">IFERROR(__xludf.DUMMYFUNCTION("IFERROR(GOOGLEFINANCE(B3112,""eps""),0)"),17.69)</f>
        <v>17.690000000000001</v>
      </c>
      <c r="AJ3112" s="1"/>
      <c r="AK3112" s="1" t="s">
        <v>9580</v>
      </c>
      <c r="AL3112" s="9">
        <f t="shared" si="302"/>
        <v>1</v>
      </c>
    </row>
    <row r="3113" spans="1:38" ht="15" x14ac:dyDescent="0.25">
      <c r="A3113" s="1" t="s">
        <v>9581</v>
      </c>
      <c r="B3113" s="1" t="s">
        <v>9582</v>
      </c>
      <c r="C3113" s="1" t="s">
        <v>106</v>
      </c>
      <c r="D3113" s="1" t="s">
        <v>106</v>
      </c>
      <c r="E3113" s="6">
        <v>236</v>
      </c>
      <c r="F3113" s="1" t="s">
        <v>53</v>
      </c>
      <c r="G3113" s="6">
        <f ca="1">IFERROR(__xludf.DUMMYFUNCTION("iferror(GOOGLEFINANCE(TRIM(F3113)&amp;"":"" &amp; TRIM(B3113), ""price""),0
)"),0)</f>
        <v>0</v>
      </c>
      <c r="H3113" s="6">
        <v>289.10000000000002</v>
      </c>
      <c r="I3113" s="6">
        <f t="shared" ca="1" si="0"/>
        <v>289.10000000000002</v>
      </c>
      <c r="J3113" s="6">
        <f ca="1">IFERROR(__xludf.DUMMYFUNCTION("IFERROR(GOOGLEFINANCE(B3113, ""volume""), 0)"),0)</f>
        <v>0</v>
      </c>
      <c r="K3113" s="6">
        <v>-2</v>
      </c>
      <c r="L3113" s="6">
        <f ca="1">IFERROR(__xludf.DUMMYFUNCTION("IFERROR(GOOGLEFINANCE(B3113,""changepct""),K3113)"),-2)</f>
        <v>-2</v>
      </c>
      <c r="M3113" s="6">
        <f ca="1">IFERROR(__xludf.DUMMYFUNCTION("IFERROR(GOOGLEFINANCE(B3113,""change""),0)"),0)</f>
        <v>0</v>
      </c>
      <c r="N3113" s="6">
        <v>1</v>
      </c>
      <c r="O3113" s="7">
        <v>45536</v>
      </c>
      <c r="P3113" s="6">
        <v>51.4</v>
      </c>
      <c r="Q3113" s="6">
        <v>286.61</v>
      </c>
      <c r="R3113" s="7">
        <v>45536</v>
      </c>
      <c r="S3113" s="6">
        <v>181.62</v>
      </c>
      <c r="T3113" s="6">
        <v>-5.27</v>
      </c>
      <c r="U3113" s="7">
        <v>45536</v>
      </c>
      <c r="V3113" s="6">
        <v>0</v>
      </c>
      <c r="W3113" s="6">
        <f ca="1">IFERROR(__xludf.DUMMYFUNCTION("IFERROR(GOOGLEFINANCE(B3113,""pe""),V3113)"),0)</f>
        <v>0</v>
      </c>
      <c r="X3113" s="6">
        <v>0</v>
      </c>
      <c r="Y3113" s="6">
        <v>5.83</v>
      </c>
      <c r="Z3113" s="6">
        <v>1</v>
      </c>
      <c r="AA3113" s="8">
        <v>45352</v>
      </c>
      <c r="AB3113" s="4">
        <v>1.26</v>
      </c>
      <c r="AC3113" s="6">
        <v>0.3</v>
      </c>
      <c r="AD3113" s="6">
        <v>6.03</v>
      </c>
      <c r="AE3113" s="1">
        <v>0</v>
      </c>
      <c r="AF3113" s="1">
        <f ca="1">IFERROR(__xludf.DUMMYFUNCTION("IFERROR(GOOGLEFINANCE(TRIM(F3113)&amp;"":"" &amp; TRIM(B3113),""high52""),AE3113)"),0)</f>
        <v>0</v>
      </c>
      <c r="AG3113" s="1">
        <v>0</v>
      </c>
      <c r="AH3113" s="1">
        <f ca="1">IFERROR(__xludf.DUMMYFUNCTION("IFERROR(GOOGLEFINANCE(TRIM(F3113)&amp;"":"" &amp; TRIM(B3113),""low52""),AE3113)"),0)</f>
        <v>0</v>
      </c>
      <c r="AI3113" s="1">
        <f ca="1">IFERROR(__xludf.DUMMYFUNCTION("IFERROR(GOOGLEFINANCE(B3113,""eps""),0)"),0)</f>
        <v>0</v>
      </c>
      <c r="AJ3113" s="1"/>
      <c r="AK3113" s="1" t="s">
        <v>9583</v>
      </c>
      <c r="AL3113" s="9">
        <f t="shared" si="302"/>
        <v>1</v>
      </c>
    </row>
    <row r="3114" spans="1:38" ht="15" x14ac:dyDescent="0.25">
      <c r="A3114" s="1" t="s">
        <v>9584</v>
      </c>
      <c r="B3114" s="1" t="s">
        <v>9585</v>
      </c>
      <c r="C3114" s="1" t="s">
        <v>219</v>
      </c>
      <c r="D3114" s="1" t="s">
        <v>219</v>
      </c>
      <c r="E3114" s="6">
        <v>22425.23</v>
      </c>
      <c r="F3114" s="1" t="s">
        <v>40</v>
      </c>
      <c r="G3114" s="6">
        <f ca="1">IFERROR(__xludf.DUMMYFUNCTION("iferror(GOOGLEFINANCE(TRIM(F3114)&amp;"":"" &amp; TRIM(B3114), ""price""),0
)"),2091.7)</f>
        <v>2091.6999999999998</v>
      </c>
      <c r="H3114" s="6">
        <v>3180.05</v>
      </c>
      <c r="I3114" s="6">
        <f t="shared" ca="1" si="0"/>
        <v>2091.6999999999998</v>
      </c>
      <c r="J3114" s="6">
        <f ca="1">IFERROR(__xludf.DUMMYFUNCTION("IFERROR(GOOGLEFINANCE(B3114, ""volume""), 0)"),26031)</f>
        <v>26031</v>
      </c>
      <c r="K3114" s="6">
        <v>-0.61</v>
      </c>
      <c r="L3114" s="6">
        <f ca="1">IFERROR(__xludf.DUMMYFUNCTION("IFERROR(GOOGLEFINANCE(B3114,""changepct""),K3114)"),-2.19)</f>
        <v>-2.19</v>
      </c>
      <c r="M3114" s="6">
        <f ca="1">IFERROR(__xludf.DUMMYFUNCTION("IFERROR(GOOGLEFINANCE(B3114,""change""),0)"),-46.9)</f>
        <v>-46.9</v>
      </c>
      <c r="N3114" s="6">
        <v>2</v>
      </c>
      <c r="O3114" s="7">
        <v>45536</v>
      </c>
      <c r="P3114" s="6">
        <v>255.95</v>
      </c>
      <c r="Q3114" s="6">
        <v>22623.19</v>
      </c>
      <c r="R3114" s="7">
        <v>45536</v>
      </c>
      <c r="S3114" s="6">
        <v>4907.99</v>
      </c>
      <c r="T3114" s="6">
        <v>531.14</v>
      </c>
      <c r="U3114" s="7">
        <v>45536</v>
      </c>
      <c r="V3114" s="6">
        <v>42.27</v>
      </c>
      <c r="W3114" s="6">
        <f ca="1">IFERROR(__xludf.DUMMYFUNCTION("IFERROR(GOOGLEFINANCE(B3114,""pe""),V3114)"),24.22)</f>
        <v>24.22</v>
      </c>
      <c r="X3114" s="6">
        <v>2.14</v>
      </c>
      <c r="Y3114" s="6">
        <v>6.81</v>
      </c>
      <c r="Z3114" s="6">
        <v>2</v>
      </c>
      <c r="AA3114" s="8">
        <v>45352</v>
      </c>
      <c r="AB3114" s="4">
        <v>0.05</v>
      </c>
      <c r="AC3114" s="6">
        <v>21.76</v>
      </c>
      <c r="AD3114" s="6">
        <v>28.56</v>
      </c>
      <c r="AE3114" s="1">
        <v>0</v>
      </c>
      <c r="AF3114" s="1">
        <f ca="1">IFERROR(__xludf.DUMMYFUNCTION("IFERROR(GOOGLEFINANCE(TRIM(F3114)&amp;"":"" &amp; TRIM(B3114),""high52""),AE3114)"),3050)</f>
        <v>3050</v>
      </c>
      <c r="AG3114" s="1">
        <v>0</v>
      </c>
      <c r="AH3114" s="1">
        <f ca="1">IFERROR(__xludf.DUMMYFUNCTION("IFERROR(GOOGLEFINANCE(TRIM(F3114)&amp;"":"" &amp; TRIM(B3114),""low52""),AE3114)"),1943.5)</f>
        <v>1943.5</v>
      </c>
      <c r="AI3114" s="1">
        <f ca="1">IFERROR(__xludf.DUMMYFUNCTION("IFERROR(GOOGLEFINANCE(B3114,""eps""),0)"),86.36)</f>
        <v>86.36</v>
      </c>
      <c r="AJ3114" s="1"/>
      <c r="AK3114" s="1" t="s">
        <v>9586</v>
      </c>
      <c r="AL3114" s="9">
        <f t="shared" si="302"/>
        <v>1</v>
      </c>
    </row>
    <row r="3115" spans="1:38" ht="15" x14ac:dyDescent="0.25">
      <c r="A3115" s="1" t="s">
        <v>9587</v>
      </c>
      <c r="B3115" s="1" t="s">
        <v>9588</v>
      </c>
      <c r="C3115" s="1" t="s">
        <v>106</v>
      </c>
      <c r="D3115" s="1" t="s">
        <v>106</v>
      </c>
      <c r="E3115" s="6">
        <v>1181.95</v>
      </c>
      <c r="F3115" s="1" t="s">
        <v>53</v>
      </c>
      <c r="G3115" s="6">
        <f ca="1">IFERROR(__xludf.DUMMYFUNCTION("iferror(GOOGLEFINANCE(TRIM(F3115)&amp;"":"" &amp; TRIM(B3115), ""price""),0
)"),0)</f>
        <v>0</v>
      </c>
      <c r="H3115" s="6">
        <v>405.15</v>
      </c>
      <c r="I3115" s="6">
        <f t="shared" ca="1" si="0"/>
        <v>405.15</v>
      </c>
      <c r="J3115" s="6">
        <f ca="1">IFERROR(__xludf.DUMMYFUNCTION("IFERROR(GOOGLEFINANCE(B3115, ""volume""), 0)"),0)</f>
        <v>0</v>
      </c>
      <c r="K3115" s="6">
        <v>0.88</v>
      </c>
      <c r="L3115" s="6">
        <f ca="1">IFERROR(__xludf.DUMMYFUNCTION("IFERROR(GOOGLEFINANCE(B3115,""changepct""),K3115)"),0.88)</f>
        <v>0.88</v>
      </c>
      <c r="M3115" s="6">
        <f ca="1">IFERROR(__xludf.DUMMYFUNCTION("IFERROR(GOOGLEFINANCE(B3115,""change""),0)"),0)</f>
        <v>0</v>
      </c>
      <c r="N3115" s="6">
        <v>2</v>
      </c>
      <c r="O3115" s="7">
        <v>45536</v>
      </c>
      <c r="P3115" s="6">
        <v>118.68</v>
      </c>
      <c r="Q3115" s="6">
        <v>1263.78</v>
      </c>
      <c r="R3115" s="7">
        <v>45536</v>
      </c>
      <c r="S3115" s="6">
        <v>369.47</v>
      </c>
      <c r="T3115" s="6">
        <v>8.0299999999999994</v>
      </c>
      <c r="U3115" s="7">
        <v>45536</v>
      </c>
      <c r="V3115" s="6">
        <v>139.56</v>
      </c>
      <c r="W3115" s="6">
        <f ca="1">IFERROR(__xludf.DUMMYFUNCTION("IFERROR(GOOGLEFINANCE(B3115,""pe""),V3115)"),139.56)</f>
        <v>139.56</v>
      </c>
      <c r="X3115" s="12"/>
      <c r="Y3115" s="6">
        <v>4.07</v>
      </c>
      <c r="Z3115" s="6">
        <v>2</v>
      </c>
      <c r="AA3115" s="8">
        <v>45352</v>
      </c>
      <c r="AB3115" s="4">
        <v>0.48</v>
      </c>
      <c r="AC3115" s="6">
        <v>-8.3000000000000007</v>
      </c>
      <c r="AD3115" s="6">
        <v>1.58</v>
      </c>
      <c r="AE3115" s="1">
        <v>0</v>
      </c>
      <c r="AF3115" s="1">
        <f ca="1">IFERROR(__xludf.DUMMYFUNCTION("IFERROR(GOOGLEFINANCE(TRIM(F3115)&amp;"":"" &amp; TRIM(B3115),""high52""),AE3115)"),0)</f>
        <v>0</v>
      </c>
      <c r="AG3115" s="1">
        <v>0</v>
      </c>
      <c r="AH3115" s="1">
        <f ca="1">IFERROR(__xludf.DUMMYFUNCTION("IFERROR(GOOGLEFINANCE(TRIM(F3115)&amp;"":"" &amp; TRIM(B3115),""low52""),AE3115)"),0)</f>
        <v>0</v>
      </c>
      <c r="AI3115" s="1">
        <f ca="1">IFERROR(__xludf.DUMMYFUNCTION("IFERROR(GOOGLEFINANCE(B3115,""eps""),0)"),0)</f>
        <v>0</v>
      </c>
      <c r="AJ3115" s="1"/>
      <c r="AK3115" s="1" t="s">
        <v>9589</v>
      </c>
      <c r="AL3115" s="9">
        <f t="shared" si="302"/>
        <v>1</v>
      </c>
    </row>
    <row r="3116" spans="1:38" ht="15" x14ac:dyDescent="0.25">
      <c r="A3116" s="1" t="s">
        <v>9590</v>
      </c>
      <c r="B3116" s="1" t="s">
        <v>9591</v>
      </c>
      <c r="C3116" s="1" t="s">
        <v>106</v>
      </c>
      <c r="D3116" s="1" t="s">
        <v>106</v>
      </c>
      <c r="E3116" s="6">
        <v>353.16</v>
      </c>
      <c r="F3116" s="1" t="s">
        <v>53</v>
      </c>
      <c r="G3116" s="6">
        <f ca="1">IFERROR(__xludf.DUMMYFUNCTION("iferror(GOOGLEFINANCE(TRIM(F3116)&amp;"":"" &amp; TRIM(B3116), ""price""),0
)"),0)</f>
        <v>0</v>
      </c>
      <c r="H3116" s="6">
        <v>750.9</v>
      </c>
      <c r="I3116" s="6">
        <f t="shared" ca="1" si="0"/>
        <v>750.9</v>
      </c>
      <c r="J3116" s="6">
        <f ca="1">IFERROR(__xludf.DUMMYFUNCTION("IFERROR(GOOGLEFINANCE(B3116, ""volume""), 0)"),0)</f>
        <v>0</v>
      </c>
      <c r="K3116" s="6">
        <v>0.39</v>
      </c>
      <c r="L3116" s="6">
        <f ca="1">IFERROR(__xludf.DUMMYFUNCTION("IFERROR(GOOGLEFINANCE(B3116,""changepct""),K3116)"),0.39)</f>
        <v>0.39</v>
      </c>
      <c r="M3116" s="6">
        <f ca="1">IFERROR(__xludf.DUMMYFUNCTION("IFERROR(GOOGLEFINANCE(B3116,""change""),0)"),0)</f>
        <v>0</v>
      </c>
      <c r="N3116" s="6">
        <v>1</v>
      </c>
      <c r="O3116" s="7">
        <v>45536</v>
      </c>
      <c r="P3116" s="6">
        <v>137.15</v>
      </c>
      <c r="Q3116" s="6">
        <v>489.86</v>
      </c>
      <c r="R3116" s="7">
        <v>45536</v>
      </c>
      <c r="S3116" s="6">
        <v>391.21</v>
      </c>
      <c r="T3116" s="6">
        <v>17.690000000000001</v>
      </c>
      <c r="U3116" s="7">
        <v>45536</v>
      </c>
      <c r="V3116" s="6">
        <v>19.96</v>
      </c>
      <c r="W3116" s="6">
        <f ca="1">IFERROR(__xludf.DUMMYFUNCTION("IFERROR(GOOGLEFINANCE(B3116,""pe""),V3116)"),19.96)</f>
        <v>19.96</v>
      </c>
      <c r="X3116" s="6">
        <v>0.7</v>
      </c>
      <c r="Y3116" s="6">
        <v>2.7</v>
      </c>
      <c r="Z3116" s="6">
        <v>1</v>
      </c>
      <c r="AA3116" s="8">
        <v>45352</v>
      </c>
      <c r="AB3116" s="4">
        <v>0.88</v>
      </c>
      <c r="AC3116" s="6">
        <v>15.03</v>
      </c>
      <c r="AD3116" s="6">
        <v>17.13</v>
      </c>
      <c r="AE3116" s="1">
        <v>0</v>
      </c>
      <c r="AF3116" s="1">
        <f ca="1">IFERROR(__xludf.DUMMYFUNCTION("IFERROR(GOOGLEFINANCE(TRIM(F3116)&amp;"":"" &amp; TRIM(B3116),""high52""),AE3116)"),0)</f>
        <v>0</v>
      </c>
      <c r="AG3116" s="1">
        <v>0</v>
      </c>
      <c r="AH3116" s="1">
        <f ca="1">IFERROR(__xludf.DUMMYFUNCTION("IFERROR(GOOGLEFINANCE(TRIM(F3116)&amp;"":"" &amp; TRIM(B3116),""low52""),AE3116)"),0)</f>
        <v>0</v>
      </c>
      <c r="AI3116" s="1">
        <f ca="1">IFERROR(__xludf.DUMMYFUNCTION("IFERROR(GOOGLEFINANCE(B3116,""eps""),0)"),0)</f>
        <v>0</v>
      </c>
      <c r="AJ3116" s="1"/>
      <c r="AK3116" s="1" t="s">
        <v>9592</v>
      </c>
      <c r="AL3116" s="9">
        <f t="shared" si="302"/>
        <v>1</v>
      </c>
    </row>
    <row r="3117" spans="1:38" ht="15" x14ac:dyDescent="0.25">
      <c r="A3117" s="1" t="s">
        <v>9593</v>
      </c>
      <c r="B3117" s="1" t="s">
        <v>9594</v>
      </c>
      <c r="C3117" s="1" t="s">
        <v>106</v>
      </c>
      <c r="D3117" s="1" t="s">
        <v>106</v>
      </c>
      <c r="E3117" s="6">
        <v>408.27</v>
      </c>
      <c r="F3117" s="1" t="s">
        <v>53</v>
      </c>
      <c r="G3117" s="6">
        <f ca="1">IFERROR(__xludf.DUMMYFUNCTION("iferror(GOOGLEFINANCE(TRIM(F3117)&amp;"":"" &amp; TRIM(B3117), ""price""),0
)"),0)</f>
        <v>0</v>
      </c>
      <c r="H3117" s="6">
        <v>17.72</v>
      </c>
      <c r="I3117" s="6">
        <f t="shared" ca="1" si="0"/>
        <v>17.72</v>
      </c>
      <c r="J3117" s="6">
        <f ca="1">IFERROR(__xludf.DUMMYFUNCTION("IFERROR(GOOGLEFINANCE(B3117, ""volume""), 0)"),0)</f>
        <v>0</v>
      </c>
      <c r="K3117" s="6">
        <v>-1.28</v>
      </c>
      <c r="L3117" s="6">
        <f ca="1">IFERROR(__xludf.DUMMYFUNCTION("IFERROR(GOOGLEFINANCE(B3117,""changepct""),K3117)"),-1.28)</f>
        <v>-1.28</v>
      </c>
      <c r="M3117" s="6">
        <f ca="1">IFERROR(__xludf.DUMMYFUNCTION("IFERROR(GOOGLEFINANCE(B3117,""change""),0)"),0)</f>
        <v>0</v>
      </c>
      <c r="N3117" s="6">
        <v>2</v>
      </c>
      <c r="O3117" s="7">
        <v>45536</v>
      </c>
      <c r="P3117" s="6">
        <v>29.32</v>
      </c>
      <c r="Q3117" s="6">
        <v>437.59</v>
      </c>
      <c r="R3117" s="7">
        <v>45536</v>
      </c>
      <c r="S3117" s="6">
        <v>116.6</v>
      </c>
      <c r="T3117" s="6">
        <v>17.29</v>
      </c>
      <c r="U3117" s="7">
        <v>45536</v>
      </c>
      <c r="V3117" s="6">
        <v>24.38</v>
      </c>
      <c r="W3117" s="6">
        <f ca="1">IFERROR(__xludf.DUMMYFUNCTION("IFERROR(GOOGLEFINANCE(B3117,""pe""),V3117)"),24.38)</f>
        <v>24.38</v>
      </c>
      <c r="X3117" s="6">
        <v>0.56999999999999995</v>
      </c>
      <c r="Y3117" s="6">
        <v>2.34</v>
      </c>
      <c r="Z3117" s="6">
        <v>2</v>
      </c>
      <c r="AA3117" s="8">
        <v>45352</v>
      </c>
      <c r="AB3117" s="4">
        <v>0.12</v>
      </c>
      <c r="AC3117" s="6">
        <v>10.77</v>
      </c>
      <c r="AD3117" s="6">
        <v>13.64</v>
      </c>
      <c r="AE3117" s="1">
        <v>0</v>
      </c>
      <c r="AF3117" s="1">
        <f ca="1">IFERROR(__xludf.DUMMYFUNCTION("IFERROR(GOOGLEFINANCE(TRIM(F3117)&amp;"":"" &amp; TRIM(B3117),""high52""),AE3117)"),0)</f>
        <v>0</v>
      </c>
      <c r="AG3117" s="1">
        <v>0</v>
      </c>
      <c r="AH3117" s="1">
        <f ca="1">IFERROR(__xludf.DUMMYFUNCTION("IFERROR(GOOGLEFINANCE(TRIM(F3117)&amp;"":"" &amp; TRIM(B3117),""low52""),AE3117)"),0)</f>
        <v>0</v>
      </c>
      <c r="AI3117" s="1">
        <f ca="1">IFERROR(__xludf.DUMMYFUNCTION("IFERROR(GOOGLEFINANCE(B3117,""eps""),0)"),0)</f>
        <v>0</v>
      </c>
      <c r="AJ3117" s="1"/>
      <c r="AK3117" s="1" t="s">
        <v>9595</v>
      </c>
      <c r="AL3117" s="9">
        <f t="shared" si="302"/>
        <v>1</v>
      </c>
    </row>
    <row r="3118" spans="1:38" ht="15" x14ac:dyDescent="0.25">
      <c r="A3118" s="1" t="s">
        <v>9596</v>
      </c>
      <c r="B3118" s="1" t="s">
        <v>9597</v>
      </c>
      <c r="C3118" s="1" t="s">
        <v>219</v>
      </c>
      <c r="D3118" s="1" t="s">
        <v>219</v>
      </c>
      <c r="E3118" s="6">
        <v>1026.51</v>
      </c>
      <c r="F3118" s="1" t="s">
        <v>40</v>
      </c>
      <c r="G3118" s="6">
        <f ca="1">IFERROR(__xludf.DUMMYFUNCTION("iferror(GOOGLEFINANCE(TRIM(F3118)&amp;"":"" &amp; TRIM(B3118), ""price""),0
)"),146.7)</f>
        <v>146.69999999999999</v>
      </c>
      <c r="H3118" s="6">
        <v>194.54</v>
      </c>
      <c r="I3118" s="6">
        <f t="shared" ca="1" si="0"/>
        <v>146.69999999999999</v>
      </c>
      <c r="J3118" s="6">
        <f ca="1">IFERROR(__xludf.DUMMYFUNCTION("IFERROR(GOOGLEFINANCE(B3118, ""volume""), 0)"),481417)</f>
        <v>481417</v>
      </c>
      <c r="K3118" s="6">
        <v>0.86</v>
      </c>
      <c r="L3118" s="6">
        <f ca="1">IFERROR(__xludf.DUMMYFUNCTION("IFERROR(GOOGLEFINANCE(B3118,""changepct""),K3118)"),-1.37)</f>
        <v>-1.37</v>
      </c>
      <c r="M3118" s="6">
        <f ca="1">IFERROR(__xludf.DUMMYFUNCTION("IFERROR(GOOGLEFINANCE(B3118,""change""),0)"),-2.04)</f>
        <v>-2.04</v>
      </c>
      <c r="N3118" s="6">
        <v>1</v>
      </c>
      <c r="O3118" s="7">
        <v>45536</v>
      </c>
      <c r="P3118" s="6">
        <v>106.46</v>
      </c>
      <c r="Q3118" s="6">
        <v>1067.51</v>
      </c>
      <c r="R3118" s="7">
        <v>45536</v>
      </c>
      <c r="S3118" s="6">
        <v>769.44</v>
      </c>
      <c r="T3118" s="6">
        <v>39.659999999999997</v>
      </c>
      <c r="U3118" s="7">
        <v>45536</v>
      </c>
      <c r="V3118" s="6">
        <v>25.88</v>
      </c>
      <c r="W3118" s="6">
        <f ca="1">IFERROR(__xludf.DUMMYFUNCTION("IFERROR(GOOGLEFINANCE(B3118,""pe""),V3118)"),14.04)</f>
        <v>14.04</v>
      </c>
      <c r="X3118" s="9"/>
      <c r="Y3118" s="6">
        <v>3</v>
      </c>
      <c r="Z3118" s="6">
        <v>1</v>
      </c>
      <c r="AA3118" s="13">
        <v>45352</v>
      </c>
      <c r="AB3118" s="4">
        <v>0.82</v>
      </c>
      <c r="AC3118" s="6">
        <v>17.36</v>
      </c>
      <c r="AD3118" s="6">
        <v>12.87</v>
      </c>
      <c r="AE3118" s="1">
        <v>0</v>
      </c>
      <c r="AF3118" s="1">
        <f ca="1">IFERROR(__xludf.DUMMYFUNCTION("IFERROR(GOOGLEFINANCE(TRIM(F3118)&amp;"":"" &amp; TRIM(B3118),""high52""),AE3118)"),177)</f>
        <v>177</v>
      </c>
      <c r="AG3118" s="1">
        <v>0</v>
      </c>
      <c r="AH3118" s="1">
        <f ca="1">IFERROR(__xludf.DUMMYFUNCTION("IFERROR(GOOGLEFINANCE(TRIM(F3118)&amp;"":"" &amp; TRIM(B3118),""low52""),AE3118)"),115.99)</f>
        <v>115.99</v>
      </c>
      <c r="AI3118" s="1">
        <f ca="1">IFERROR(__xludf.DUMMYFUNCTION("IFERROR(GOOGLEFINANCE(B3118,""eps""),0)"),10.45)</f>
        <v>10.45</v>
      </c>
      <c r="AJ3118" s="1"/>
      <c r="AK3118" s="9"/>
      <c r="AL3118" s="9">
        <f t="shared" si="302"/>
        <v>1</v>
      </c>
    </row>
    <row r="3119" spans="1:38" ht="15" x14ac:dyDescent="0.25">
      <c r="A3119" s="1" t="s">
        <v>9598</v>
      </c>
      <c r="B3119" s="1" t="s">
        <v>9599</v>
      </c>
      <c r="C3119" s="1" t="s">
        <v>159</v>
      </c>
      <c r="D3119" s="1" t="s">
        <v>159</v>
      </c>
      <c r="E3119" s="6">
        <v>8964.02</v>
      </c>
      <c r="F3119" s="1" t="s">
        <v>40</v>
      </c>
      <c r="G3119" s="6">
        <f ca="1">IFERROR(__xludf.DUMMYFUNCTION("iferror(GOOGLEFINANCE(TRIM(F3119)&amp;"":"" &amp; TRIM(B3119), ""price""),0
)"),35.89)</f>
        <v>35.89</v>
      </c>
      <c r="H3119" s="6">
        <v>65.12</v>
      </c>
      <c r="I3119" s="6">
        <f t="shared" ca="1" si="0"/>
        <v>35.89</v>
      </c>
      <c r="J3119" s="6">
        <f ca="1">IFERROR(__xludf.DUMMYFUNCTION("IFERROR(GOOGLEFINANCE(B3119, ""volume""), 0)"),1422486)</f>
        <v>1422486</v>
      </c>
      <c r="K3119" s="6">
        <v>0.43</v>
      </c>
      <c r="L3119" s="6">
        <f ca="1">IFERROR(__xludf.DUMMYFUNCTION("IFERROR(GOOGLEFINANCE(B3119,""changepct""),K3119)"),0.42)</f>
        <v>0.42</v>
      </c>
      <c r="M3119" s="6">
        <f ca="1">IFERROR(__xludf.DUMMYFUNCTION("IFERROR(GOOGLEFINANCE(B3119,""change""),0)"),0.15)</f>
        <v>0.15</v>
      </c>
      <c r="N3119" s="6">
        <v>2</v>
      </c>
      <c r="O3119" s="7">
        <v>45536</v>
      </c>
      <c r="P3119" s="6">
        <v>1227.58</v>
      </c>
      <c r="Q3119" s="6">
        <v>10084.36</v>
      </c>
      <c r="R3119" s="7">
        <v>45536</v>
      </c>
      <c r="S3119" s="6">
        <v>7242.45</v>
      </c>
      <c r="T3119" s="6">
        <v>715.5</v>
      </c>
      <c r="U3119" s="7">
        <v>45536</v>
      </c>
      <c r="V3119" s="6">
        <v>12.5</v>
      </c>
      <c r="W3119" s="6">
        <f ca="1">IFERROR(__xludf.DUMMYFUNCTION("IFERROR(GOOGLEFINANCE(B3119,""pe""),V3119)"),12.5)</f>
        <v>12.5</v>
      </c>
      <c r="X3119" s="6">
        <v>0.67</v>
      </c>
      <c r="Y3119" s="6">
        <v>6.18</v>
      </c>
      <c r="Z3119" s="6">
        <v>2</v>
      </c>
      <c r="AA3119" s="8">
        <v>45352</v>
      </c>
      <c r="AB3119" s="4">
        <v>1.38</v>
      </c>
      <c r="AC3119" s="6">
        <v>68.150000000000006</v>
      </c>
      <c r="AD3119" s="6">
        <v>33.840000000000003</v>
      </c>
      <c r="AE3119" s="1">
        <v>0</v>
      </c>
      <c r="AF3119" s="1">
        <f ca="1">IFERROR(__xludf.DUMMYFUNCTION("IFERROR(GOOGLEFINANCE(TRIM(F3119)&amp;"":"" &amp; TRIM(B3119),""high52""),AE3119)"),69.7)</f>
        <v>69.7</v>
      </c>
      <c r="AG3119" s="1">
        <v>0</v>
      </c>
      <c r="AH3119" s="1">
        <f ca="1">IFERROR(__xludf.DUMMYFUNCTION("IFERROR(GOOGLEFINANCE(TRIM(F3119)&amp;"":"" &amp; TRIM(B3119),""low52""),AE3119)"),31.98)</f>
        <v>31.98</v>
      </c>
      <c r="AI3119" s="1">
        <f ca="1">IFERROR(__xludf.DUMMYFUNCTION("IFERROR(GOOGLEFINANCE(B3119,""eps""),0)"),-3.03)</f>
        <v>-3.03</v>
      </c>
      <c r="AJ3119" s="1"/>
      <c r="AK3119" s="1" t="s">
        <v>9600</v>
      </c>
      <c r="AL3119" s="9">
        <f t="shared" si="302"/>
        <v>1</v>
      </c>
    </row>
    <row r="3120" spans="1:38" ht="15" x14ac:dyDescent="0.25">
      <c r="A3120" s="1" t="s">
        <v>9601</v>
      </c>
      <c r="B3120" s="1" t="s">
        <v>9602</v>
      </c>
      <c r="C3120" s="1" t="s">
        <v>268</v>
      </c>
      <c r="D3120" s="1" t="s">
        <v>268</v>
      </c>
      <c r="E3120" s="6">
        <v>7260.38</v>
      </c>
      <c r="F3120" s="1" t="s">
        <v>40</v>
      </c>
      <c r="G3120" s="6">
        <f ca="1">IFERROR(__xludf.DUMMYFUNCTION("iferror(GOOGLEFINANCE(TRIM(F3120)&amp;"":"" &amp; TRIM(B3120), ""price""),0
)"),8.69)</f>
        <v>8.69</v>
      </c>
      <c r="H3120" s="6">
        <v>13.62</v>
      </c>
      <c r="I3120" s="6">
        <f t="shared" ca="1" si="0"/>
        <v>8.69</v>
      </c>
      <c r="J3120" s="6">
        <f ca="1">IFERROR(__xludf.DUMMYFUNCTION("IFERROR(GOOGLEFINANCE(B3120, ""volume""), 0)"),16664255)</f>
        <v>16664255</v>
      </c>
      <c r="K3120" s="6">
        <v>0.81</v>
      </c>
      <c r="L3120" s="6">
        <f ca="1">IFERROR(__xludf.DUMMYFUNCTION("IFERROR(GOOGLEFINANCE(B3120,""changepct""),K3120)"),-0.8)</f>
        <v>-0.8</v>
      </c>
      <c r="M3120" s="6">
        <f ca="1">IFERROR(__xludf.DUMMYFUNCTION("IFERROR(GOOGLEFINANCE(B3120,""change""),0)"),-0.07)</f>
        <v>-7.0000000000000007E-2</v>
      </c>
      <c r="N3120" s="6">
        <v>2</v>
      </c>
      <c r="O3120" s="7">
        <v>45536</v>
      </c>
      <c r="P3120" s="6">
        <v>3443.05</v>
      </c>
      <c r="Q3120" s="6">
        <v>10240.74</v>
      </c>
      <c r="R3120" s="7">
        <v>45536</v>
      </c>
      <c r="S3120" s="6">
        <v>3334.6</v>
      </c>
      <c r="T3120" s="6">
        <v>10170.43</v>
      </c>
      <c r="U3120" s="7">
        <v>45536</v>
      </c>
      <c r="V3120" s="6">
        <v>0.71</v>
      </c>
      <c r="W3120" s="6">
        <f ca="1">IFERROR(__xludf.DUMMYFUNCTION("IFERROR(GOOGLEFINANCE(B3120,""pe""),V3120)"),54.43)</f>
        <v>54.43</v>
      </c>
      <c r="X3120" s="6">
        <v>0.32</v>
      </c>
      <c r="Y3120" s="6">
        <v>1.63</v>
      </c>
      <c r="Z3120" s="6">
        <v>2</v>
      </c>
      <c r="AA3120" s="8">
        <v>45352</v>
      </c>
      <c r="AB3120" s="4">
        <v>0.81</v>
      </c>
      <c r="AC3120" s="6">
        <v>0</v>
      </c>
      <c r="AD3120" s="6">
        <v>156.41</v>
      </c>
      <c r="AE3120" s="1">
        <v>0</v>
      </c>
      <c r="AF3120" s="1">
        <f ca="1">IFERROR(__xludf.DUMMYFUNCTION("IFERROR(GOOGLEFINANCE(TRIM(F3120)&amp;"":"" &amp; TRIM(B3120),""high52""),AE3120)"),16.92)</f>
        <v>16.920000000000002</v>
      </c>
      <c r="AG3120" s="1">
        <v>0</v>
      </c>
      <c r="AH3120" s="1">
        <f ca="1">IFERROR(__xludf.DUMMYFUNCTION("IFERROR(GOOGLEFINANCE(TRIM(F3120)&amp;"":"" &amp; TRIM(B3120),""low52""),AE3120)"),7.88)</f>
        <v>7.88</v>
      </c>
      <c r="AI3120" s="1">
        <f ca="1">IFERROR(__xludf.DUMMYFUNCTION("IFERROR(GOOGLEFINANCE(B3120,""eps""),0)"),0.16)</f>
        <v>0.16</v>
      </c>
      <c r="AJ3120" s="1"/>
      <c r="AK3120" s="1" t="s">
        <v>9603</v>
      </c>
      <c r="AL3120" s="9">
        <f t="shared" si="302"/>
        <v>1</v>
      </c>
    </row>
    <row r="3121" spans="1:38" ht="15" x14ac:dyDescent="0.25">
      <c r="A3121" s="1" t="s">
        <v>9604</v>
      </c>
      <c r="B3121" s="1" t="s">
        <v>9605</v>
      </c>
      <c r="C3121" s="1" t="s">
        <v>106</v>
      </c>
      <c r="D3121" s="1" t="s">
        <v>106</v>
      </c>
      <c r="E3121" s="6">
        <v>84.38</v>
      </c>
      <c r="F3121" s="1" t="s">
        <v>53</v>
      </c>
      <c r="G3121" s="6">
        <f ca="1">IFERROR(__xludf.DUMMYFUNCTION("iferror(GOOGLEFINANCE(TRIM(F3121)&amp;"":"" &amp; TRIM(B3121), ""price""),0
)"),0)</f>
        <v>0</v>
      </c>
      <c r="H3121" s="6">
        <v>112.65</v>
      </c>
      <c r="I3121" s="6">
        <f t="shared" ca="1" si="0"/>
        <v>112.65</v>
      </c>
      <c r="J3121" s="6">
        <f ca="1">IFERROR(__xludf.DUMMYFUNCTION("IFERROR(GOOGLEFINANCE(B3121, ""volume""), 0)"),0)</f>
        <v>0</v>
      </c>
      <c r="K3121" s="6">
        <v>0.54</v>
      </c>
      <c r="L3121" s="6">
        <f ca="1">IFERROR(__xludf.DUMMYFUNCTION("IFERROR(GOOGLEFINANCE(B3121,""changepct""),K3121)"),0.54)</f>
        <v>0.54</v>
      </c>
      <c r="M3121" s="6">
        <f ca="1">IFERROR(__xludf.DUMMYFUNCTION("IFERROR(GOOGLEFINANCE(B3121,""change""),0)"),0)</f>
        <v>0</v>
      </c>
      <c r="N3121" s="6">
        <v>1</v>
      </c>
      <c r="O3121" s="7">
        <v>45536</v>
      </c>
      <c r="P3121" s="6">
        <v>58.83</v>
      </c>
      <c r="Q3121" s="6">
        <v>143.21</v>
      </c>
      <c r="R3121" s="7">
        <v>45536</v>
      </c>
      <c r="S3121" s="6">
        <v>140.05000000000001</v>
      </c>
      <c r="T3121" s="6">
        <v>6.61</v>
      </c>
      <c r="U3121" s="7">
        <v>45536</v>
      </c>
      <c r="V3121" s="6">
        <v>12.78</v>
      </c>
      <c r="W3121" s="6">
        <f ca="1">IFERROR(__xludf.DUMMYFUNCTION("IFERROR(GOOGLEFINANCE(B3121,""pe""),V3121)"),12.78)</f>
        <v>12.78</v>
      </c>
      <c r="X3121" s="6">
        <v>0.36</v>
      </c>
      <c r="Y3121" s="6">
        <v>2.02</v>
      </c>
      <c r="Z3121" s="6">
        <v>1</v>
      </c>
      <c r="AA3121" s="8">
        <v>45352</v>
      </c>
      <c r="AB3121" s="4">
        <v>1.48</v>
      </c>
      <c r="AC3121" s="6">
        <v>15.33</v>
      </c>
      <c r="AD3121" s="6">
        <v>12.63</v>
      </c>
      <c r="AE3121" s="1">
        <v>0</v>
      </c>
      <c r="AF3121" s="1">
        <f ca="1">IFERROR(__xludf.DUMMYFUNCTION("IFERROR(GOOGLEFINANCE(TRIM(F3121)&amp;"":"" &amp; TRIM(B3121),""high52""),AE3121)"),0)</f>
        <v>0</v>
      </c>
      <c r="AG3121" s="1">
        <v>0</v>
      </c>
      <c r="AH3121" s="1">
        <f ca="1">IFERROR(__xludf.DUMMYFUNCTION("IFERROR(GOOGLEFINANCE(TRIM(F3121)&amp;"":"" &amp; TRIM(B3121),""low52""),AE3121)"),0)</f>
        <v>0</v>
      </c>
      <c r="AI3121" s="1">
        <f ca="1">IFERROR(__xludf.DUMMYFUNCTION("IFERROR(GOOGLEFINANCE(B3121,""eps""),0)"),0)</f>
        <v>0</v>
      </c>
      <c r="AJ3121" s="1"/>
      <c r="AK3121" s="1" t="s">
        <v>9606</v>
      </c>
      <c r="AL3121" s="9">
        <f t="shared" si="302"/>
        <v>1</v>
      </c>
    </row>
    <row r="3122" spans="1:38" ht="15" x14ac:dyDescent="0.25">
      <c r="A3122" s="1" t="s">
        <v>9607</v>
      </c>
      <c r="B3122" s="1" t="s">
        <v>9608</v>
      </c>
      <c r="C3122" s="1" t="s">
        <v>643</v>
      </c>
      <c r="D3122" s="1" t="s">
        <v>643</v>
      </c>
      <c r="E3122" s="6">
        <v>67.08</v>
      </c>
      <c r="F3122" s="1" t="s">
        <v>40</v>
      </c>
      <c r="G3122" s="6">
        <f ca="1">IFERROR(__xludf.DUMMYFUNCTION("iferror(GOOGLEFINANCE(TRIM(F3122)&amp;"":"" &amp; TRIM(B3122), ""price""),0
)"),20.21)</f>
        <v>20.21</v>
      </c>
      <c r="H3122" s="6">
        <v>27.92</v>
      </c>
      <c r="I3122" s="6">
        <f t="shared" ca="1" si="0"/>
        <v>20.21</v>
      </c>
      <c r="J3122" s="6">
        <f ca="1">IFERROR(__xludf.DUMMYFUNCTION("IFERROR(GOOGLEFINANCE(B3122, ""volume""), 0)"),39508)</f>
        <v>39508</v>
      </c>
      <c r="K3122" s="6">
        <v>0</v>
      </c>
      <c r="L3122" s="6">
        <f ca="1">IFERROR(__xludf.DUMMYFUNCTION("IFERROR(GOOGLEFINANCE(B3122,""changepct""),K3122)"),-3.9)</f>
        <v>-3.9</v>
      </c>
      <c r="M3122" s="6">
        <f ca="1">IFERROR(__xludf.DUMMYFUNCTION("IFERROR(GOOGLEFINANCE(B3122,""change""),0)"),-0.82)</f>
        <v>-0.82</v>
      </c>
      <c r="N3122" s="6">
        <v>1</v>
      </c>
      <c r="O3122" s="7">
        <v>45536</v>
      </c>
      <c r="P3122" s="6">
        <v>40.82</v>
      </c>
      <c r="Q3122" s="6">
        <v>107.9</v>
      </c>
      <c r="R3122" s="7">
        <v>45536</v>
      </c>
      <c r="S3122" s="6">
        <v>62.55</v>
      </c>
      <c r="T3122" s="6">
        <v>0.2</v>
      </c>
      <c r="U3122" s="7">
        <v>45536</v>
      </c>
      <c r="V3122" s="6">
        <v>333.73</v>
      </c>
      <c r="W3122" s="6">
        <f ca="1">IFERROR(__xludf.DUMMYFUNCTION("IFERROR(GOOGLEFINANCE(B3122,""pe""),V3122)"),336.83)</f>
        <v>336.83</v>
      </c>
      <c r="X3122" s="6">
        <v>19.07</v>
      </c>
      <c r="Y3122" s="6">
        <v>1.6</v>
      </c>
      <c r="Z3122" s="6">
        <v>1</v>
      </c>
      <c r="AA3122" s="8">
        <v>45352</v>
      </c>
      <c r="AB3122" s="4">
        <v>0.95</v>
      </c>
      <c r="AC3122" s="6">
        <v>-4.5599999999999996</v>
      </c>
      <c r="AD3122" s="6">
        <v>-2.3199999999999998</v>
      </c>
      <c r="AE3122" s="1">
        <v>0</v>
      </c>
      <c r="AF3122" s="1">
        <f ca="1">IFERROR(__xludf.DUMMYFUNCTION("IFERROR(GOOGLEFINANCE(TRIM(F3122)&amp;"":"" &amp; TRIM(B3122),""high52""),AE3122)"),34.58)</f>
        <v>34.58</v>
      </c>
      <c r="AG3122" s="1">
        <v>0</v>
      </c>
      <c r="AH3122" s="1">
        <f ca="1">IFERROR(__xludf.DUMMYFUNCTION("IFERROR(GOOGLEFINANCE(TRIM(F3122)&amp;"":"" &amp; TRIM(B3122),""low52""),AE3122)"),19.02)</f>
        <v>19.02</v>
      </c>
      <c r="AI3122" s="1">
        <f ca="1">IFERROR(__xludf.DUMMYFUNCTION("IFERROR(GOOGLEFINANCE(B3122,""eps""),0)"),0.06)</f>
        <v>0.06</v>
      </c>
      <c r="AJ3122" s="1"/>
      <c r="AK3122" s="1" t="s">
        <v>9609</v>
      </c>
      <c r="AL3122" s="1" t="b">
        <f>ISNUMBER(AA3122)</f>
        <v>1</v>
      </c>
    </row>
    <row r="3123" spans="1:38" ht="15" x14ac:dyDescent="0.25">
      <c r="A3123" s="1" t="s">
        <v>9610</v>
      </c>
      <c r="B3123" s="1" t="s">
        <v>9611</v>
      </c>
      <c r="C3123" s="1" t="s">
        <v>487</v>
      </c>
      <c r="D3123" s="1" t="s">
        <v>487</v>
      </c>
      <c r="E3123" s="6">
        <v>456.75</v>
      </c>
      <c r="F3123" s="1" t="s">
        <v>40</v>
      </c>
      <c r="G3123" s="6">
        <f ca="1">IFERROR(__xludf.DUMMYFUNCTION("iferror(GOOGLEFINANCE(TRIM(F3123)&amp;"":"" &amp; TRIM(B3123), ""price""),0
)"),43.87)</f>
        <v>43.87</v>
      </c>
      <c r="H3123" s="6">
        <v>73.900000000000006</v>
      </c>
      <c r="I3123" s="6">
        <f t="shared" ca="1" si="0"/>
        <v>43.87</v>
      </c>
      <c r="J3123" s="6">
        <f ca="1">IFERROR(__xludf.DUMMYFUNCTION("IFERROR(GOOGLEFINANCE(B3123, ""volume""), 0)"),6132)</f>
        <v>6132</v>
      </c>
      <c r="K3123" s="6">
        <v>0.34</v>
      </c>
      <c r="L3123" s="6">
        <f ca="1">IFERROR(__xludf.DUMMYFUNCTION("IFERROR(GOOGLEFINANCE(B3123,""changepct""),K3123)"),1.11)</f>
        <v>1.1100000000000001</v>
      </c>
      <c r="M3123" s="6">
        <f ca="1">IFERROR(__xludf.DUMMYFUNCTION("IFERROR(GOOGLEFINANCE(B3123,""change""),0)"),0.48)</f>
        <v>0.48</v>
      </c>
      <c r="N3123" s="6">
        <v>2</v>
      </c>
      <c r="O3123" s="7">
        <v>45536</v>
      </c>
      <c r="P3123" s="6">
        <v>1.1299999999999999</v>
      </c>
      <c r="Q3123" s="6">
        <v>446.93</v>
      </c>
      <c r="R3123" s="7">
        <v>45536</v>
      </c>
      <c r="S3123" s="6">
        <v>0.6</v>
      </c>
      <c r="T3123" s="6">
        <v>-2.4300000000000002</v>
      </c>
      <c r="U3123" s="7">
        <v>45536</v>
      </c>
      <c r="V3123" s="6">
        <v>0</v>
      </c>
      <c r="W3123" s="6">
        <f ca="1">IFERROR(__xludf.DUMMYFUNCTION("IFERROR(GOOGLEFINANCE(B3123,""pe""),V3123)"),7.21)</f>
        <v>7.21</v>
      </c>
      <c r="X3123" s="9"/>
      <c r="Y3123" s="6">
        <v>1.88</v>
      </c>
      <c r="Z3123" s="6">
        <v>2</v>
      </c>
      <c r="AA3123" s="8">
        <v>45352</v>
      </c>
      <c r="AB3123" s="4">
        <v>0</v>
      </c>
      <c r="AC3123" s="6">
        <v>-0.88</v>
      </c>
      <c r="AD3123" s="6">
        <v>-0.75</v>
      </c>
      <c r="AE3123" s="1">
        <v>0</v>
      </c>
      <c r="AF3123" s="1">
        <f ca="1">IFERROR(__xludf.DUMMYFUNCTION("IFERROR(GOOGLEFINANCE(TRIM(F3123)&amp;"":"" &amp; TRIM(B3123),""high52""),AE3123)"),71.36)</f>
        <v>71.36</v>
      </c>
      <c r="AG3123" s="1">
        <v>0</v>
      </c>
      <c r="AH3123" s="1">
        <f ca="1">IFERROR(__xludf.DUMMYFUNCTION("IFERROR(GOOGLEFINANCE(TRIM(F3123)&amp;"":"" &amp; TRIM(B3123),""low52""),AE3123)"),38.15)</f>
        <v>38.15</v>
      </c>
      <c r="AI3123" s="1">
        <f ca="1">IFERROR(__xludf.DUMMYFUNCTION("IFERROR(GOOGLEFINANCE(B3123,""eps""),0)"),6.09)</f>
        <v>6.09</v>
      </c>
      <c r="AJ3123" s="1"/>
      <c r="AK3123" s="1" t="s">
        <v>9612</v>
      </c>
      <c r="AL3123" s="9">
        <f t="shared" ref="AL3123:AL3131" si="303">IF(AA3123&lt;&gt;AB3123,1,0)</f>
        <v>1</v>
      </c>
    </row>
    <row r="3124" spans="1:38" ht="15" x14ac:dyDescent="0.25">
      <c r="A3124" s="1" t="s">
        <v>9613</v>
      </c>
      <c r="B3124" s="1" t="s">
        <v>9614</v>
      </c>
      <c r="C3124" s="1" t="s">
        <v>106</v>
      </c>
      <c r="D3124" s="1" t="s">
        <v>106</v>
      </c>
      <c r="E3124" s="6">
        <v>37.299999999999997</v>
      </c>
      <c r="F3124" s="1" t="s">
        <v>53</v>
      </c>
      <c r="G3124" s="6">
        <f ca="1">IFERROR(__xludf.DUMMYFUNCTION("iferror(GOOGLEFINANCE(TRIM(F3124)&amp;"":"" &amp; TRIM(B3124), ""price""),0
)"),0)</f>
        <v>0</v>
      </c>
      <c r="H3124" s="6">
        <v>25.75</v>
      </c>
      <c r="I3124" s="6">
        <f t="shared" ca="1" si="0"/>
        <v>25.75</v>
      </c>
      <c r="J3124" s="6">
        <f ca="1">IFERROR(__xludf.DUMMYFUNCTION("IFERROR(GOOGLEFINANCE(B3124, ""volume""), 0)"),0)</f>
        <v>0</v>
      </c>
      <c r="K3124" s="6">
        <v>1.1399999999999999</v>
      </c>
      <c r="L3124" s="6">
        <f ca="1">IFERROR(__xludf.DUMMYFUNCTION("IFERROR(GOOGLEFINANCE(B3124,""changepct""),K3124)"),1.14)</f>
        <v>1.1399999999999999</v>
      </c>
      <c r="M3124" s="6">
        <f ca="1">IFERROR(__xludf.DUMMYFUNCTION("IFERROR(GOOGLEFINANCE(B3124,""change""),0)"),0)</f>
        <v>0</v>
      </c>
      <c r="N3124" s="6">
        <v>1</v>
      </c>
      <c r="O3124" s="7">
        <v>45536</v>
      </c>
      <c r="P3124" s="9"/>
      <c r="Q3124" s="6">
        <v>37.299999999999997</v>
      </c>
      <c r="R3124" s="7">
        <v>45536</v>
      </c>
      <c r="S3124" s="6">
        <v>17.29</v>
      </c>
      <c r="T3124" s="6">
        <v>0.77</v>
      </c>
      <c r="U3124" s="7">
        <v>45536</v>
      </c>
      <c r="V3124" s="6">
        <v>48.19</v>
      </c>
      <c r="W3124" s="6">
        <f ca="1">IFERROR(__xludf.DUMMYFUNCTION("IFERROR(GOOGLEFINANCE(B3124,""pe""),V3124)"),48.19)</f>
        <v>48.19</v>
      </c>
      <c r="X3124" s="6">
        <v>0.6</v>
      </c>
      <c r="Y3124" s="6">
        <v>3.83</v>
      </c>
      <c r="Z3124" s="6">
        <v>1</v>
      </c>
      <c r="AA3124" s="8">
        <v>45352</v>
      </c>
      <c r="AB3124" s="4">
        <v>0</v>
      </c>
      <c r="AC3124" s="6">
        <v>3.44</v>
      </c>
      <c r="AD3124" s="6">
        <v>2.54</v>
      </c>
      <c r="AE3124" s="1">
        <v>0</v>
      </c>
      <c r="AF3124" s="1">
        <f ca="1">IFERROR(__xludf.DUMMYFUNCTION("IFERROR(GOOGLEFINANCE(TRIM(F3124)&amp;"":"" &amp; TRIM(B3124),""high52""),AE3124)"),0)</f>
        <v>0</v>
      </c>
      <c r="AG3124" s="1">
        <v>0</v>
      </c>
      <c r="AH3124" s="1">
        <f ca="1">IFERROR(__xludf.DUMMYFUNCTION("IFERROR(GOOGLEFINANCE(TRIM(F3124)&amp;"":"" &amp; TRIM(B3124),""low52""),AE3124)"),0)</f>
        <v>0</v>
      </c>
      <c r="AI3124" s="1">
        <f ca="1">IFERROR(__xludf.DUMMYFUNCTION("IFERROR(GOOGLEFINANCE(B3124,""eps""),0)"),0)</f>
        <v>0</v>
      </c>
      <c r="AJ3124" s="1"/>
      <c r="AK3124" s="1" t="s">
        <v>9615</v>
      </c>
      <c r="AL3124" s="9">
        <f t="shared" si="303"/>
        <v>1</v>
      </c>
    </row>
    <row r="3125" spans="1:38" ht="15" x14ac:dyDescent="0.25">
      <c r="A3125" s="1" t="s">
        <v>9616</v>
      </c>
      <c r="B3125" s="1" t="s">
        <v>9617</v>
      </c>
      <c r="C3125" s="1" t="s">
        <v>106</v>
      </c>
      <c r="D3125" s="1" t="s">
        <v>106</v>
      </c>
      <c r="E3125" s="6">
        <v>60.85</v>
      </c>
      <c r="F3125" s="1" t="s">
        <v>53</v>
      </c>
      <c r="G3125" s="6">
        <f ca="1">IFERROR(__xludf.DUMMYFUNCTION("iferror(GOOGLEFINANCE(TRIM(F3125)&amp;"":"" &amp; TRIM(B3125), ""price""),0
)"),0)</f>
        <v>0</v>
      </c>
      <c r="H3125" s="6">
        <v>81.900000000000006</v>
      </c>
      <c r="I3125" s="6">
        <f t="shared" ca="1" si="0"/>
        <v>81.900000000000006</v>
      </c>
      <c r="J3125" s="6">
        <f ca="1">IFERROR(__xludf.DUMMYFUNCTION("IFERROR(GOOGLEFINANCE(B3125, ""volume""), 0)"),0)</f>
        <v>0</v>
      </c>
      <c r="K3125" s="6">
        <v>-0.12</v>
      </c>
      <c r="L3125" s="6">
        <f ca="1">IFERROR(__xludf.DUMMYFUNCTION("IFERROR(GOOGLEFINANCE(B3125,""changepct""),K3125)"),-0.12)</f>
        <v>-0.12</v>
      </c>
      <c r="M3125" s="6">
        <f ca="1">IFERROR(__xludf.DUMMYFUNCTION("IFERROR(GOOGLEFINANCE(B3125,""change""),0)"),0)</f>
        <v>0</v>
      </c>
      <c r="N3125" s="6">
        <v>1</v>
      </c>
      <c r="O3125" s="15">
        <v>45536</v>
      </c>
      <c r="P3125" s="6">
        <v>3.21</v>
      </c>
      <c r="Q3125" s="6">
        <v>64.05</v>
      </c>
      <c r="R3125" s="15">
        <v>45536</v>
      </c>
      <c r="S3125" s="6">
        <v>50.42</v>
      </c>
      <c r="T3125" s="6">
        <v>2.62</v>
      </c>
      <c r="U3125" s="15">
        <v>45536</v>
      </c>
      <c r="V3125" s="6">
        <v>23.21</v>
      </c>
      <c r="W3125" s="6">
        <f ca="1">IFERROR(__xludf.DUMMYFUNCTION("IFERROR(GOOGLEFINANCE(B3125,""pe""),V3125)"),23.21)</f>
        <v>23.21</v>
      </c>
      <c r="X3125" s="6">
        <v>-2.14</v>
      </c>
      <c r="Y3125" s="6">
        <v>6.87</v>
      </c>
      <c r="Z3125" s="6">
        <v>1</v>
      </c>
      <c r="AA3125" s="8">
        <v>45352</v>
      </c>
      <c r="AB3125" s="4">
        <v>0.54</v>
      </c>
      <c r="AC3125" s="6">
        <v>3.48</v>
      </c>
      <c r="AD3125" s="6">
        <v>9.7200000000000006</v>
      </c>
      <c r="AE3125" s="1">
        <v>0</v>
      </c>
      <c r="AF3125" s="1">
        <f ca="1">IFERROR(__xludf.DUMMYFUNCTION("IFERROR(GOOGLEFINANCE(TRIM(F3125)&amp;"":"" &amp; TRIM(B3125),""high52""),AE3125)"),0)</f>
        <v>0</v>
      </c>
      <c r="AG3125" s="1">
        <v>0</v>
      </c>
      <c r="AH3125" s="1">
        <f ca="1">IFERROR(__xludf.DUMMYFUNCTION("IFERROR(GOOGLEFINANCE(TRIM(F3125)&amp;"":"" &amp; TRIM(B3125),""low52""),AE3125)"),0)</f>
        <v>0</v>
      </c>
      <c r="AI3125" s="1">
        <f ca="1">IFERROR(__xludf.DUMMYFUNCTION("IFERROR(GOOGLEFINANCE(B3125,""eps""),0)"),0)</f>
        <v>0</v>
      </c>
      <c r="AJ3125" s="1"/>
      <c r="AK3125" s="1" t="s">
        <v>9618</v>
      </c>
      <c r="AL3125" s="9">
        <f t="shared" si="303"/>
        <v>1</v>
      </c>
    </row>
    <row r="3126" spans="1:38" ht="15" x14ac:dyDescent="0.25">
      <c r="A3126" s="1" t="s">
        <v>9619</v>
      </c>
      <c r="B3126" s="1" t="s">
        <v>9620</v>
      </c>
      <c r="C3126" s="1" t="s">
        <v>106</v>
      </c>
      <c r="D3126" s="1" t="s">
        <v>106</v>
      </c>
      <c r="E3126" s="6">
        <v>3604.57</v>
      </c>
      <c r="F3126" s="1" t="s">
        <v>53</v>
      </c>
      <c r="G3126" s="6">
        <f ca="1">IFERROR(__xludf.DUMMYFUNCTION("iferror(GOOGLEFINANCE(TRIM(F3126)&amp;"":"" &amp; TRIM(B3126), ""price""),0
)"),0)</f>
        <v>0</v>
      </c>
      <c r="H3126" s="6">
        <v>328.85</v>
      </c>
      <c r="I3126" s="6">
        <f t="shared" ca="1" si="0"/>
        <v>328.85</v>
      </c>
      <c r="J3126" s="6">
        <f ca="1">IFERROR(__xludf.DUMMYFUNCTION("IFERROR(GOOGLEFINANCE(B3126, ""volume""), 0)"),46186)</f>
        <v>46186</v>
      </c>
      <c r="K3126" s="6">
        <v>-0.59</v>
      </c>
      <c r="L3126" s="6">
        <f ca="1">IFERROR(__xludf.DUMMYFUNCTION("IFERROR(GOOGLEFINANCE(B3126,""changepct""),K3126)"),-1.82)</f>
        <v>-1.82</v>
      </c>
      <c r="M3126" s="6">
        <f ca="1">IFERROR(__xludf.DUMMYFUNCTION("IFERROR(GOOGLEFINANCE(B3126,""change""),0)"),-5.9)</f>
        <v>-5.9</v>
      </c>
      <c r="N3126" s="6">
        <v>1</v>
      </c>
      <c r="O3126" s="7">
        <v>45536</v>
      </c>
      <c r="P3126" s="6">
        <v>1.36</v>
      </c>
      <c r="Q3126" s="6">
        <v>3595.83</v>
      </c>
      <c r="R3126" s="7">
        <v>45536</v>
      </c>
      <c r="S3126" s="6">
        <v>154.41</v>
      </c>
      <c r="T3126" s="6">
        <v>52.7</v>
      </c>
      <c r="U3126" s="7">
        <v>45536</v>
      </c>
      <c r="V3126" s="6">
        <v>68.400000000000006</v>
      </c>
      <c r="W3126" s="6">
        <f ca="1">IFERROR(__xludf.DUMMYFUNCTION("IFERROR(GOOGLEFINANCE(B3126,""pe""),V3126)"),71.87)</f>
        <v>71.87</v>
      </c>
      <c r="X3126" s="6">
        <v>1.22</v>
      </c>
      <c r="Y3126" s="6">
        <v>16.13</v>
      </c>
      <c r="Z3126" s="6">
        <v>1</v>
      </c>
      <c r="AA3126" s="8">
        <v>45352</v>
      </c>
      <c r="AB3126" s="4">
        <v>0</v>
      </c>
      <c r="AC3126" s="6">
        <v>33.76</v>
      </c>
      <c r="AD3126" s="6">
        <v>45.4</v>
      </c>
      <c r="AE3126" s="1">
        <v>0</v>
      </c>
      <c r="AF3126" s="1">
        <f ca="1">IFERROR(__xludf.DUMMYFUNCTION("IFERROR(GOOGLEFINANCE(TRIM(F3126)&amp;"":"" &amp; TRIM(B3126),""high52""),AE3126)"),0)</f>
        <v>0</v>
      </c>
      <c r="AG3126" s="1">
        <v>0</v>
      </c>
      <c r="AH3126" s="1">
        <f ca="1">IFERROR(__xludf.DUMMYFUNCTION("IFERROR(GOOGLEFINANCE(TRIM(F3126)&amp;"":"" &amp; TRIM(B3126),""low52""),AE3126)"),0)</f>
        <v>0</v>
      </c>
      <c r="AI3126" s="1">
        <f ca="1">IFERROR(__xludf.DUMMYFUNCTION("IFERROR(GOOGLEFINANCE(B3126,""eps""),0)"),4.44)</f>
        <v>4.4400000000000004</v>
      </c>
      <c r="AJ3126" s="1"/>
      <c r="AK3126" s="1" t="s">
        <v>9621</v>
      </c>
      <c r="AL3126" s="9">
        <f t="shared" si="303"/>
        <v>1</v>
      </c>
    </row>
    <row r="3127" spans="1:38" ht="15" x14ac:dyDescent="0.25">
      <c r="A3127" s="1" t="s">
        <v>9622</v>
      </c>
      <c r="B3127" s="1" t="s">
        <v>9623</v>
      </c>
      <c r="C3127" s="1" t="s">
        <v>106</v>
      </c>
      <c r="D3127" s="1" t="s">
        <v>106</v>
      </c>
      <c r="E3127" s="6">
        <v>3.84</v>
      </c>
      <c r="F3127" s="1" t="s">
        <v>53</v>
      </c>
      <c r="G3127" s="6">
        <f ca="1">IFERROR(__xludf.DUMMYFUNCTION("iferror(GOOGLEFINANCE(TRIM(F3127)&amp;"":"" &amp; TRIM(B3127), ""price""),0
)"),0)</f>
        <v>0</v>
      </c>
      <c r="H3127" s="6">
        <v>11.49</v>
      </c>
      <c r="I3127" s="6">
        <f t="shared" ca="1" si="0"/>
        <v>11.49</v>
      </c>
      <c r="J3127" s="6">
        <f ca="1">IFERROR(__xludf.DUMMYFUNCTION("IFERROR(GOOGLEFINANCE(B3127, ""volume""), 0)"),0)</f>
        <v>0</v>
      </c>
      <c r="K3127" s="6">
        <v>3.79</v>
      </c>
      <c r="L3127" s="6">
        <f ca="1">IFERROR(__xludf.DUMMYFUNCTION("IFERROR(GOOGLEFINANCE(B3127,""changepct""),K3127)"),3.79)</f>
        <v>3.79</v>
      </c>
      <c r="M3127" s="6">
        <f ca="1">IFERROR(__xludf.DUMMYFUNCTION("IFERROR(GOOGLEFINANCE(B3127,""change""),0)"),0)</f>
        <v>0</v>
      </c>
      <c r="N3127" s="6">
        <v>1</v>
      </c>
      <c r="O3127" s="7">
        <v>45536</v>
      </c>
      <c r="P3127" s="6">
        <v>1.25</v>
      </c>
      <c r="Q3127" s="6">
        <v>5.09</v>
      </c>
      <c r="R3127" s="7">
        <v>45536</v>
      </c>
      <c r="S3127" s="6">
        <v>0.02</v>
      </c>
      <c r="T3127" s="6">
        <v>-0.32</v>
      </c>
      <c r="U3127" s="7">
        <v>45536</v>
      </c>
      <c r="V3127" s="6">
        <v>0</v>
      </c>
      <c r="W3127" s="6">
        <f ca="1">IFERROR(__xludf.DUMMYFUNCTION("IFERROR(GOOGLEFINANCE(B3127,""pe""),V3127)"),0)</f>
        <v>0</v>
      </c>
      <c r="X3127" s="12"/>
      <c r="Y3127" s="6">
        <v>-9.6300000000000008</v>
      </c>
      <c r="Z3127" s="6">
        <v>1</v>
      </c>
      <c r="AA3127" s="8">
        <v>45352</v>
      </c>
      <c r="AB3127" s="4">
        <v>-3.92</v>
      </c>
      <c r="AC3127" s="6">
        <v>0</v>
      </c>
      <c r="AD3127" s="6">
        <v>-53.8</v>
      </c>
      <c r="AE3127" s="1">
        <v>0</v>
      </c>
      <c r="AF3127" s="1">
        <f ca="1">IFERROR(__xludf.DUMMYFUNCTION("IFERROR(GOOGLEFINANCE(TRIM(F3127)&amp;"":"" &amp; TRIM(B3127),""high52""),AE3127)"),0)</f>
        <v>0</v>
      </c>
      <c r="AG3127" s="1">
        <v>0</v>
      </c>
      <c r="AH3127" s="1">
        <f ca="1">IFERROR(__xludf.DUMMYFUNCTION("IFERROR(GOOGLEFINANCE(TRIM(F3127)&amp;"":"" &amp; TRIM(B3127),""low52""),AE3127)"),0)</f>
        <v>0</v>
      </c>
      <c r="AI3127" s="1">
        <f ca="1">IFERROR(__xludf.DUMMYFUNCTION("IFERROR(GOOGLEFINANCE(B3127,""eps""),0)"),0)</f>
        <v>0</v>
      </c>
      <c r="AJ3127" s="1"/>
      <c r="AK3127" s="1" t="s">
        <v>9624</v>
      </c>
      <c r="AL3127" s="9">
        <f t="shared" si="303"/>
        <v>1</v>
      </c>
    </row>
    <row r="3128" spans="1:38" ht="15" x14ac:dyDescent="0.25">
      <c r="A3128" s="1" t="s">
        <v>9625</v>
      </c>
      <c r="B3128" s="1" t="s">
        <v>9626</v>
      </c>
      <c r="C3128" s="1" t="s">
        <v>268</v>
      </c>
      <c r="D3128" s="1" t="s">
        <v>268</v>
      </c>
      <c r="E3128" s="6">
        <v>2360.4899999999998</v>
      </c>
      <c r="F3128" s="1" t="s">
        <v>40</v>
      </c>
      <c r="G3128" s="6">
        <f ca="1">IFERROR(__xludf.DUMMYFUNCTION("iferror(GOOGLEFINANCE(TRIM(F3128)&amp;"":"" &amp; TRIM(B3128), ""price""),0
)"),150)</f>
        <v>150</v>
      </c>
      <c r="H3128" s="6">
        <v>134.37</v>
      </c>
      <c r="I3128" s="6">
        <f t="shared" ca="1" si="0"/>
        <v>150</v>
      </c>
      <c r="J3128" s="6">
        <f ca="1">IFERROR(__xludf.DUMMYFUNCTION("IFERROR(GOOGLEFINANCE(B3128, ""volume""), 0)"),172221)</f>
        <v>172221</v>
      </c>
      <c r="K3128" s="6">
        <v>1.75</v>
      </c>
      <c r="L3128" s="6">
        <f ca="1">IFERROR(__xludf.DUMMYFUNCTION("IFERROR(GOOGLEFINANCE(B3128,""changepct""),K3128)"),1.33)</f>
        <v>1.33</v>
      </c>
      <c r="M3128" s="6">
        <f ca="1">IFERROR(__xludf.DUMMYFUNCTION("IFERROR(GOOGLEFINANCE(B3128,""change""),0)"),1.97)</f>
        <v>1.97</v>
      </c>
      <c r="N3128" s="6">
        <v>2</v>
      </c>
      <c r="O3128" s="7">
        <v>45536</v>
      </c>
      <c r="P3128" s="6">
        <v>92.84</v>
      </c>
      <c r="Q3128" s="6">
        <v>2453.33</v>
      </c>
      <c r="R3128" s="7">
        <v>45536</v>
      </c>
      <c r="S3128" s="6">
        <v>84.89</v>
      </c>
      <c r="T3128" s="6">
        <v>-55.94</v>
      </c>
      <c r="U3128" s="7">
        <v>45536</v>
      </c>
      <c r="V3128" s="6">
        <v>0</v>
      </c>
      <c r="W3128" s="6">
        <f ca="1">IFERROR(__xludf.DUMMYFUNCTION("IFERROR(GOOGLEFINANCE(B3128,""pe""),V3128)"),33.67)</f>
        <v>33.67</v>
      </c>
      <c r="X3128" s="6">
        <v>0</v>
      </c>
      <c r="Y3128" s="6">
        <v>7.11</v>
      </c>
      <c r="Z3128" s="6">
        <v>2</v>
      </c>
      <c r="AA3128" s="8">
        <v>45352</v>
      </c>
      <c r="AB3128" s="4">
        <v>1.03</v>
      </c>
      <c r="AC3128" s="6">
        <v>-39.61</v>
      </c>
      <c r="AD3128" s="6">
        <v>-9.6999999999999993</v>
      </c>
      <c r="AE3128" s="1">
        <v>0</v>
      </c>
      <c r="AF3128" s="1">
        <f ca="1">IFERROR(__xludf.DUMMYFUNCTION("IFERROR(GOOGLEFINANCE(TRIM(F3128)&amp;"":"" &amp; TRIM(B3128),""high52""),AE3128)"),191.77)</f>
        <v>191.77</v>
      </c>
      <c r="AG3128" s="1">
        <v>0</v>
      </c>
      <c r="AH3128" s="1">
        <f ca="1">IFERROR(__xludf.DUMMYFUNCTION("IFERROR(GOOGLEFINANCE(TRIM(F3128)&amp;"":"" &amp; TRIM(B3128),""low52""),AE3128)"),93.41)</f>
        <v>93.41</v>
      </c>
      <c r="AI3128" s="1">
        <f ca="1">IFERROR(__xludf.DUMMYFUNCTION("IFERROR(GOOGLEFINANCE(B3128,""eps""),0)"),4.45)</f>
        <v>4.45</v>
      </c>
      <c r="AJ3128" s="1"/>
      <c r="AK3128" s="1" t="s">
        <v>9627</v>
      </c>
      <c r="AL3128" s="9">
        <f t="shared" si="303"/>
        <v>1</v>
      </c>
    </row>
    <row r="3129" spans="1:38" ht="15" x14ac:dyDescent="0.25">
      <c r="A3129" s="1" t="s">
        <v>9628</v>
      </c>
      <c r="B3129" s="1" t="s">
        <v>9629</v>
      </c>
      <c r="C3129" s="1" t="s">
        <v>186</v>
      </c>
      <c r="D3129" s="1" t="s">
        <v>186</v>
      </c>
      <c r="E3129" s="6">
        <v>12728.77</v>
      </c>
      <c r="F3129" s="1" t="s">
        <v>40</v>
      </c>
      <c r="G3129" s="6">
        <f ca="1">IFERROR(__xludf.DUMMYFUNCTION("iferror(GOOGLEFINANCE(TRIM(F3129)&amp;"":"" &amp; TRIM(B3129), ""price""),0
)"),1000)</f>
        <v>1000</v>
      </c>
      <c r="H3129" s="6">
        <v>2080.85</v>
      </c>
      <c r="I3129" s="6">
        <f t="shared" ca="1" si="0"/>
        <v>1000</v>
      </c>
      <c r="J3129" s="6">
        <f ca="1">IFERROR(__xludf.DUMMYFUNCTION("IFERROR(GOOGLEFINANCE(B3129, ""volume""), 0)"),77614)</f>
        <v>77614</v>
      </c>
      <c r="K3129" s="6">
        <v>-0.53</v>
      </c>
      <c r="L3129" s="6">
        <f ca="1">IFERROR(__xludf.DUMMYFUNCTION("IFERROR(GOOGLEFINANCE(B3129,""changepct""),K3129)"),0.08)</f>
        <v>0.08</v>
      </c>
      <c r="M3129" s="6">
        <f ca="1">IFERROR(__xludf.DUMMYFUNCTION("IFERROR(GOOGLEFINANCE(B3129,""change""),0)"),0.8)</f>
        <v>0.8</v>
      </c>
      <c r="N3129" s="6">
        <v>1</v>
      </c>
      <c r="O3129" s="7">
        <v>45536</v>
      </c>
      <c r="P3129" s="6">
        <v>1050.54</v>
      </c>
      <c r="Q3129" s="6">
        <v>13469.07</v>
      </c>
      <c r="R3129" s="14"/>
      <c r="S3129" s="9"/>
      <c r="T3129" s="9"/>
      <c r="U3129" s="7">
        <v>45352</v>
      </c>
      <c r="V3129" s="6">
        <v>87.68</v>
      </c>
      <c r="W3129" s="6">
        <f ca="1">IFERROR(__xludf.DUMMYFUNCTION("IFERROR(GOOGLEFINANCE(B3129,""pe""),V3129)"),114.19)</f>
        <v>114.19</v>
      </c>
      <c r="X3129" s="12"/>
      <c r="Y3129" s="6">
        <v>1.34</v>
      </c>
      <c r="Z3129" s="6">
        <v>1</v>
      </c>
      <c r="AA3129" s="8">
        <v>45352</v>
      </c>
      <c r="AB3129" s="4">
        <v>0</v>
      </c>
      <c r="AC3129" s="6">
        <v>11.69</v>
      </c>
      <c r="AD3129" s="6">
        <v>15.6</v>
      </c>
      <c r="AE3129" s="1">
        <v>0</v>
      </c>
      <c r="AF3129" s="1">
        <f ca="1">IFERROR(__xludf.DUMMYFUNCTION("IFERROR(GOOGLEFINANCE(TRIM(F3129)&amp;"":"" &amp; TRIM(B3129),""high52""),AE3129)"),1538.95)</f>
        <v>1538.95</v>
      </c>
      <c r="AG3129" s="1">
        <v>0</v>
      </c>
      <c r="AH3129" s="1">
        <f ca="1">IFERROR(__xludf.DUMMYFUNCTION("IFERROR(GOOGLEFINANCE(TRIM(F3129)&amp;"":"" &amp; TRIM(B3129),""low52""),AE3129)"),865.3)</f>
        <v>865.3</v>
      </c>
      <c r="AI3129" s="1">
        <f ca="1">IFERROR(__xludf.DUMMYFUNCTION("IFERROR(GOOGLEFINANCE(B3129,""eps""),0)"),8.76)</f>
        <v>8.76</v>
      </c>
      <c r="AJ3129" s="1"/>
      <c r="AK3129" s="1" t="s">
        <v>9630</v>
      </c>
      <c r="AL3129" s="9">
        <f t="shared" si="303"/>
        <v>1</v>
      </c>
    </row>
    <row r="3130" spans="1:38" ht="15" x14ac:dyDescent="0.25">
      <c r="A3130" s="1" t="s">
        <v>9631</v>
      </c>
      <c r="B3130" s="1" t="s">
        <v>9632</v>
      </c>
      <c r="C3130" s="1" t="s">
        <v>106</v>
      </c>
      <c r="D3130" s="1" t="s">
        <v>106</v>
      </c>
      <c r="E3130" s="6">
        <v>10.48</v>
      </c>
      <c r="F3130" s="1" t="s">
        <v>53</v>
      </c>
      <c r="G3130" s="6">
        <f ca="1">IFERROR(__xludf.DUMMYFUNCTION("iferror(GOOGLEFINANCE(TRIM(F3130)&amp;"":"" &amp; TRIM(B3130), ""price""),0
)"),0)</f>
        <v>0</v>
      </c>
      <c r="H3130" s="6">
        <v>10.220000000000001</v>
      </c>
      <c r="I3130" s="6">
        <f t="shared" ca="1" si="0"/>
        <v>10.220000000000001</v>
      </c>
      <c r="J3130" s="6">
        <f ca="1">IFERROR(__xludf.DUMMYFUNCTION("IFERROR(GOOGLEFINANCE(B3130, ""volume""), 0)"),0)</f>
        <v>0</v>
      </c>
      <c r="K3130" s="6">
        <v>0</v>
      </c>
      <c r="L3130" s="6">
        <f ca="1">IFERROR(__xludf.DUMMYFUNCTION("IFERROR(GOOGLEFINANCE(B3130,""changepct""),K3130)"),0)</f>
        <v>0</v>
      </c>
      <c r="M3130" s="6">
        <f ca="1">IFERROR(__xludf.DUMMYFUNCTION("IFERROR(GOOGLEFINANCE(B3130,""change""),0)"),0)</f>
        <v>0</v>
      </c>
      <c r="N3130" s="6">
        <v>1</v>
      </c>
      <c r="O3130" s="7">
        <v>45536</v>
      </c>
      <c r="P3130" s="6">
        <v>2.33</v>
      </c>
      <c r="Q3130" s="6">
        <v>12.8</v>
      </c>
      <c r="R3130" s="7">
        <v>45536</v>
      </c>
      <c r="S3130" s="6">
        <v>1.1200000000000001</v>
      </c>
      <c r="T3130" s="6">
        <v>0.14000000000000001</v>
      </c>
      <c r="U3130" s="7">
        <v>45536</v>
      </c>
      <c r="V3130" s="6">
        <v>73.78</v>
      </c>
      <c r="W3130" s="6">
        <f ca="1">IFERROR(__xludf.DUMMYFUNCTION("IFERROR(GOOGLEFINANCE(B3130,""pe""),V3130)"),73.78)</f>
        <v>73.78</v>
      </c>
      <c r="X3130" s="6">
        <v>-5.57</v>
      </c>
      <c r="Y3130" s="6">
        <v>12.53</v>
      </c>
      <c r="Z3130" s="6">
        <v>1</v>
      </c>
      <c r="AA3130" s="8">
        <v>45352</v>
      </c>
      <c r="AB3130" s="4">
        <v>3.18</v>
      </c>
      <c r="AC3130" s="6">
        <v>7.43</v>
      </c>
      <c r="AD3130" s="6">
        <v>1.74</v>
      </c>
      <c r="AE3130" s="1">
        <v>0</v>
      </c>
      <c r="AF3130" s="1">
        <f ca="1">IFERROR(__xludf.DUMMYFUNCTION("IFERROR(GOOGLEFINANCE(TRIM(F3130)&amp;"":"" &amp; TRIM(B3130),""high52""),AE3130)"),0)</f>
        <v>0</v>
      </c>
      <c r="AG3130" s="1">
        <v>0</v>
      </c>
      <c r="AH3130" s="1">
        <f ca="1">IFERROR(__xludf.DUMMYFUNCTION("IFERROR(GOOGLEFINANCE(TRIM(F3130)&amp;"":"" &amp; TRIM(B3130),""low52""),AE3130)"),0)</f>
        <v>0</v>
      </c>
      <c r="AI3130" s="1">
        <f ca="1">IFERROR(__xludf.DUMMYFUNCTION("IFERROR(GOOGLEFINANCE(B3130,""eps""),0)"),0)</f>
        <v>0</v>
      </c>
      <c r="AJ3130" s="1"/>
      <c r="AK3130" s="9"/>
      <c r="AL3130" s="9">
        <f t="shared" si="303"/>
        <v>1</v>
      </c>
    </row>
    <row r="3131" spans="1:38" ht="15" x14ac:dyDescent="0.25">
      <c r="A3131" s="1" t="s">
        <v>9633</v>
      </c>
      <c r="B3131" s="1" t="s">
        <v>9634</v>
      </c>
      <c r="C3131" s="1" t="s">
        <v>154</v>
      </c>
      <c r="D3131" s="1" t="s">
        <v>154</v>
      </c>
      <c r="E3131" s="6">
        <v>11833.48</v>
      </c>
      <c r="F3131" s="1" t="s">
        <v>40</v>
      </c>
      <c r="G3131" s="6">
        <f ca="1">IFERROR(__xludf.DUMMYFUNCTION("iferror(GOOGLEFINANCE(TRIM(F3131)&amp;"":"" &amp; TRIM(B3131), ""price""),0
)"),390.95)</f>
        <v>390.95</v>
      </c>
      <c r="H3131" s="6">
        <v>1761.25</v>
      </c>
      <c r="I3131" s="6">
        <f t="shared" ca="1" si="0"/>
        <v>390.95</v>
      </c>
      <c r="J3131" s="6">
        <f ca="1">IFERROR(__xludf.DUMMYFUNCTION("IFERROR(GOOGLEFINANCE(B3131, ""volume""), 0)"),374895)</f>
        <v>374895</v>
      </c>
      <c r="K3131" s="6">
        <v>-0.91</v>
      </c>
      <c r="L3131" s="6">
        <f ca="1">IFERROR(__xludf.DUMMYFUNCTION("IFERROR(GOOGLEFINANCE(B3131,""changepct""),K3131)"),-0.7)</f>
        <v>-0.7</v>
      </c>
      <c r="M3131" s="6">
        <f ca="1">IFERROR(__xludf.DUMMYFUNCTION("IFERROR(GOOGLEFINANCE(B3131,""change""),0)"),-2.75)</f>
        <v>-2.75</v>
      </c>
      <c r="N3131" s="6">
        <v>2</v>
      </c>
      <c r="O3131" s="7">
        <v>45536</v>
      </c>
      <c r="P3131" s="6">
        <v>905.87</v>
      </c>
      <c r="Q3131" s="6">
        <v>12299.06</v>
      </c>
      <c r="R3131" s="7">
        <v>45536</v>
      </c>
      <c r="S3131" s="6">
        <v>6977.05</v>
      </c>
      <c r="T3131" s="6">
        <v>563.29999999999995</v>
      </c>
      <c r="U3131" s="7">
        <v>45536</v>
      </c>
      <c r="V3131" s="6">
        <v>1.51</v>
      </c>
      <c r="W3131" s="6">
        <f ca="1">IFERROR(__xludf.DUMMYFUNCTION("IFERROR(GOOGLEFINANCE(B3131,""pe""),V3131)"),0.48)</f>
        <v>0.48</v>
      </c>
      <c r="X3131" s="6">
        <v>0.03</v>
      </c>
      <c r="Y3131" s="6">
        <v>3.3</v>
      </c>
      <c r="Z3131" s="6">
        <v>2</v>
      </c>
      <c r="AA3131" s="8">
        <v>45352</v>
      </c>
      <c r="AB3131" s="4">
        <v>0.73</v>
      </c>
      <c r="AC3131" s="6">
        <v>43.84</v>
      </c>
      <c r="AD3131" s="6">
        <v>34.549999999999997</v>
      </c>
      <c r="AE3131" s="1">
        <v>0</v>
      </c>
      <c r="AF3131" s="1">
        <f ca="1">IFERROR(__xludf.DUMMYFUNCTION("IFERROR(GOOGLEFINANCE(TRIM(F3131)&amp;"":"" &amp; TRIM(B3131),""high52""),AE3131)"),783.9)</f>
        <v>783.9</v>
      </c>
      <c r="AG3131" s="1">
        <v>0</v>
      </c>
      <c r="AH3131" s="1">
        <f ca="1">IFERROR(__xludf.DUMMYFUNCTION("IFERROR(GOOGLEFINANCE(TRIM(F3131)&amp;"":"" &amp; TRIM(B3131),""low52""),AE3131)"),361)</f>
        <v>361</v>
      </c>
      <c r="AI3131" s="1">
        <f ca="1">IFERROR(__xludf.DUMMYFUNCTION("IFERROR(GOOGLEFINANCE(B3131,""eps""),0)"),822.36)</f>
        <v>822.36</v>
      </c>
      <c r="AJ3131" s="1"/>
      <c r="AK3131" s="1" t="s">
        <v>9635</v>
      </c>
      <c r="AL3131" s="9">
        <f t="shared" si="303"/>
        <v>1</v>
      </c>
    </row>
    <row r="3132" spans="1:38" ht="15" x14ac:dyDescent="0.25">
      <c r="A3132" s="1" t="s">
        <v>9636</v>
      </c>
      <c r="B3132" s="1" t="s">
        <v>9637</v>
      </c>
      <c r="C3132" s="1" t="s">
        <v>1067</v>
      </c>
      <c r="D3132" s="1" t="s">
        <v>1067</v>
      </c>
      <c r="E3132" s="6">
        <v>9672.6299999999992</v>
      </c>
      <c r="F3132" s="1" t="s">
        <v>40</v>
      </c>
      <c r="G3132" s="6">
        <f ca="1">IFERROR(__xludf.DUMMYFUNCTION("iferror(GOOGLEFINANCE(TRIM(F3132)&amp;"":"" &amp; TRIM(B3132), ""price""),0
)"),296.6)</f>
        <v>296.60000000000002</v>
      </c>
      <c r="H3132" s="6">
        <v>159.66</v>
      </c>
      <c r="I3132" s="6">
        <f t="shared" ca="1" si="0"/>
        <v>296.60000000000002</v>
      </c>
      <c r="J3132" s="6">
        <f ca="1">IFERROR(__xludf.DUMMYFUNCTION("IFERROR(GOOGLEFINANCE(B3132, ""volume""), 0)"),4770076)</f>
        <v>4770076</v>
      </c>
      <c r="K3132" s="6">
        <v>0.34</v>
      </c>
      <c r="L3132" s="6">
        <f ca="1">IFERROR(__xludf.DUMMYFUNCTION("IFERROR(GOOGLEFINANCE(B3132,""changepct""),K3132)"),1.58)</f>
        <v>1.58</v>
      </c>
      <c r="M3132" s="6">
        <f ca="1">IFERROR(__xludf.DUMMYFUNCTION("IFERROR(GOOGLEFINANCE(B3132,""change""),0)"),4.6)</f>
        <v>4.5999999999999996</v>
      </c>
      <c r="N3132" s="6">
        <v>2</v>
      </c>
      <c r="O3132" s="7">
        <v>45536</v>
      </c>
      <c r="P3132" s="6">
        <v>13558.6</v>
      </c>
      <c r="Q3132" s="6">
        <v>1192.07</v>
      </c>
      <c r="R3132" s="7">
        <v>45536</v>
      </c>
      <c r="S3132" s="6">
        <v>8.11</v>
      </c>
      <c r="T3132" s="6">
        <v>1.02</v>
      </c>
      <c r="U3132" s="6">
        <v>0.63</v>
      </c>
      <c r="V3132" s="6">
        <v>2</v>
      </c>
      <c r="W3132" s="6">
        <f ca="1">IFERROR(__xludf.DUMMYFUNCTION("IFERROR(GOOGLEFINANCE(B3132,""pe""),V3132)"),25.39)</f>
        <v>25.39</v>
      </c>
      <c r="X3132" s="7">
        <v>45352</v>
      </c>
      <c r="Y3132" s="6">
        <v>8.9499999999999993</v>
      </c>
      <c r="Z3132" s="6">
        <v>1</v>
      </c>
      <c r="AA3132" s="8">
        <v>45352</v>
      </c>
      <c r="AB3132" s="4">
        <v>0.74</v>
      </c>
      <c r="AC3132" s="6">
        <v>4.72</v>
      </c>
      <c r="AD3132" s="6">
        <v>14.76</v>
      </c>
      <c r="AE3132" s="1">
        <v>0</v>
      </c>
      <c r="AF3132" s="1">
        <f ca="1">IFERROR(__xludf.DUMMYFUNCTION("IFERROR(GOOGLEFINANCE(TRIM(F3132)&amp;"":"" &amp; TRIM(B3132),""high52""),AE3132)"),332)</f>
        <v>332</v>
      </c>
      <c r="AG3132" s="1">
        <v>0</v>
      </c>
      <c r="AH3132" s="1">
        <f ca="1">IFERROR(__xludf.DUMMYFUNCTION("IFERROR(GOOGLEFINANCE(TRIM(F3132)&amp;"":"" &amp; TRIM(B3132),""low52""),AE3132)"),149.21)</f>
        <v>149.21</v>
      </c>
      <c r="AI3132" s="1">
        <f ca="1">IFERROR(__xludf.DUMMYFUNCTION("IFERROR(GOOGLEFINANCE(B3132,""eps""),0)"),11.68)</f>
        <v>11.68</v>
      </c>
      <c r="AJ3132" s="1"/>
      <c r="AK3132" s="1" t="s">
        <v>9638</v>
      </c>
      <c r="AL3132" s="1" t="b">
        <f>ISNUMBER(AA3132)</f>
        <v>1</v>
      </c>
    </row>
    <row r="3133" spans="1:38" ht="15" x14ac:dyDescent="0.25">
      <c r="A3133" s="1" t="s">
        <v>9639</v>
      </c>
      <c r="B3133" s="1" t="s">
        <v>9640</v>
      </c>
      <c r="C3133" s="1" t="s">
        <v>112</v>
      </c>
      <c r="D3133" s="1" t="s">
        <v>112</v>
      </c>
      <c r="E3133" s="6">
        <v>730.19</v>
      </c>
      <c r="F3133" s="1" t="s">
        <v>40</v>
      </c>
      <c r="G3133" s="6">
        <f ca="1">IFERROR(__xludf.DUMMYFUNCTION("iferror(GOOGLEFINANCE(TRIM(F3133)&amp;"":"" &amp; TRIM(B3133), ""price""),0
)"),0)</f>
        <v>0</v>
      </c>
      <c r="H3133" s="6">
        <v>712</v>
      </c>
      <c r="I3133" s="6">
        <f t="shared" ca="1" si="0"/>
        <v>712</v>
      </c>
      <c r="J3133" s="6">
        <f ca="1">IFERROR(__xludf.DUMMYFUNCTION("IFERROR(GOOGLEFINANCE(B3133, ""volume""), 0)"),0)</f>
        <v>0</v>
      </c>
      <c r="K3133" s="6">
        <v>-1.49</v>
      </c>
      <c r="L3133" s="6">
        <f ca="1">IFERROR(__xludf.DUMMYFUNCTION("IFERROR(GOOGLEFINANCE(B3133,""changepct""),K3133)"),-1.49)</f>
        <v>-1.49</v>
      </c>
      <c r="M3133" s="6">
        <f ca="1">IFERROR(__xludf.DUMMYFUNCTION("IFERROR(GOOGLEFINANCE(B3133,""change""),0)"),0)</f>
        <v>0</v>
      </c>
      <c r="N3133" s="6">
        <v>1</v>
      </c>
      <c r="O3133" s="7">
        <v>45536</v>
      </c>
      <c r="P3133" s="6">
        <v>10.72</v>
      </c>
      <c r="Q3133" s="6">
        <v>740.92</v>
      </c>
      <c r="R3133" s="7">
        <v>45536</v>
      </c>
      <c r="S3133" s="6">
        <v>194.03</v>
      </c>
      <c r="T3133" s="6">
        <v>18.850000000000001</v>
      </c>
      <c r="U3133" s="7">
        <v>45536</v>
      </c>
      <c r="V3133" s="6">
        <v>38.75</v>
      </c>
      <c r="W3133" s="6">
        <f ca="1">IFERROR(__xludf.DUMMYFUNCTION("IFERROR(GOOGLEFINANCE(B3133,""pe""),V3133)"),38.75)</f>
        <v>38.75</v>
      </c>
      <c r="X3133" s="12"/>
      <c r="Y3133" s="6">
        <v>6.82</v>
      </c>
      <c r="Z3133" s="6">
        <v>1</v>
      </c>
      <c r="AA3133" s="8">
        <v>45352</v>
      </c>
      <c r="AB3133" s="4">
        <v>0.02</v>
      </c>
      <c r="AC3133" s="6">
        <v>19.690000000000001</v>
      </c>
      <c r="AD3133" s="6">
        <v>28.61</v>
      </c>
      <c r="AE3133" s="1">
        <v>0</v>
      </c>
      <c r="AF3133" s="1">
        <f ca="1">IFERROR(__xludf.DUMMYFUNCTION("IFERROR(GOOGLEFINANCE(TRIM(F3133)&amp;"":"" &amp; TRIM(B3133),""high52""),AE3133)"),0)</f>
        <v>0</v>
      </c>
      <c r="AG3133" s="1">
        <v>0</v>
      </c>
      <c r="AH3133" s="1">
        <f ca="1">IFERROR(__xludf.DUMMYFUNCTION("IFERROR(GOOGLEFINANCE(TRIM(F3133)&amp;"":"" &amp; TRIM(B3133),""low52""),AE3133)"),0)</f>
        <v>0</v>
      </c>
      <c r="AI3133" s="1">
        <f ca="1">IFERROR(__xludf.DUMMYFUNCTION("IFERROR(GOOGLEFINANCE(B3133,""eps""),0)"),0)</f>
        <v>0</v>
      </c>
      <c r="AJ3133" s="1"/>
      <c r="AK3133" s="9"/>
      <c r="AL3133" s="9">
        <f t="shared" ref="AL3133:AL3142" si="304">IF(AA3133&lt;&gt;AB3133,1,0)</f>
        <v>1</v>
      </c>
    </row>
    <row r="3134" spans="1:38" ht="15" x14ac:dyDescent="0.25">
      <c r="A3134" s="1" t="s">
        <v>9641</v>
      </c>
      <c r="B3134" s="1" t="s">
        <v>9642</v>
      </c>
      <c r="C3134" s="1" t="s">
        <v>2432</v>
      </c>
      <c r="D3134" s="1" t="s">
        <v>2432</v>
      </c>
      <c r="E3134" s="6">
        <v>831</v>
      </c>
      <c r="F3134" s="1" t="s">
        <v>40</v>
      </c>
      <c r="G3134" s="6">
        <f ca="1">IFERROR(__xludf.DUMMYFUNCTION("iferror(GOOGLEFINANCE(TRIM(F3134)&amp;"":"" &amp; TRIM(B3134), ""price""),0
)"),136.99)</f>
        <v>136.99</v>
      </c>
      <c r="H3134" s="6">
        <v>217.42</v>
      </c>
      <c r="I3134" s="6">
        <f t="shared" ca="1" si="0"/>
        <v>136.99</v>
      </c>
      <c r="J3134" s="6">
        <f ca="1">IFERROR(__xludf.DUMMYFUNCTION("IFERROR(GOOGLEFINANCE(B3134, ""volume""), 0)"),52301)</f>
        <v>52301</v>
      </c>
      <c r="K3134" s="6">
        <v>5</v>
      </c>
      <c r="L3134" s="6">
        <f ca="1">IFERROR(__xludf.DUMMYFUNCTION("IFERROR(GOOGLEFINANCE(B3134,""changepct""),K3134)"),4.63)</f>
        <v>4.63</v>
      </c>
      <c r="M3134" s="6">
        <f ca="1">IFERROR(__xludf.DUMMYFUNCTION("IFERROR(GOOGLEFINANCE(B3134,""change""),0)"),6.06)</f>
        <v>6.06</v>
      </c>
      <c r="N3134" s="6">
        <v>1</v>
      </c>
      <c r="O3134" s="7">
        <v>45536</v>
      </c>
      <c r="P3134" s="6">
        <v>119.11</v>
      </c>
      <c r="Q3134" s="6">
        <v>935.48</v>
      </c>
      <c r="R3134" s="7">
        <v>45536</v>
      </c>
      <c r="S3134" s="6">
        <v>400.98</v>
      </c>
      <c r="T3134" s="6">
        <v>26.62</v>
      </c>
      <c r="U3134" s="7">
        <v>45536</v>
      </c>
      <c r="V3134" s="6">
        <v>31.21</v>
      </c>
      <c r="W3134" s="6">
        <f ca="1">IFERROR(__xludf.DUMMYFUNCTION("IFERROR(GOOGLEFINANCE(B3134,""pe""),V3134)"),11.58)</f>
        <v>11.58</v>
      </c>
      <c r="X3134" s="9"/>
      <c r="Y3134" s="6">
        <v>3.7</v>
      </c>
      <c r="Z3134" s="6">
        <v>1</v>
      </c>
      <c r="AA3134" s="8">
        <v>45352</v>
      </c>
      <c r="AB3134" s="4">
        <v>0.33</v>
      </c>
      <c r="AC3134" s="6">
        <v>14.38</v>
      </c>
      <c r="AD3134" s="6">
        <v>16.13</v>
      </c>
      <c r="AE3134" s="1">
        <v>0</v>
      </c>
      <c r="AF3134" s="1">
        <f ca="1">IFERROR(__xludf.DUMMYFUNCTION("IFERROR(GOOGLEFINANCE(TRIM(F3134)&amp;"":"" &amp; TRIM(B3134),""high52""),AE3134)"),219.9)</f>
        <v>219.9</v>
      </c>
      <c r="AG3134" s="1">
        <v>0</v>
      </c>
      <c r="AH3134" s="1">
        <f ca="1">IFERROR(__xludf.DUMMYFUNCTION("IFERROR(GOOGLEFINANCE(TRIM(F3134)&amp;"":"" &amp; TRIM(B3134),""low52""),AE3134)"),125.5)</f>
        <v>125.5</v>
      </c>
      <c r="AI3134" s="1">
        <f ca="1">IFERROR(__xludf.DUMMYFUNCTION("IFERROR(GOOGLEFINANCE(B3134,""eps""),0)"),11.83)</f>
        <v>11.83</v>
      </c>
      <c r="AJ3134" s="1"/>
      <c r="AK3134" s="1" t="s">
        <v>9643</v>
      </c>
      <c r="AL3134" s="9">
        <f t="shared" si="304"/>
        <v>1</v>
      </c>
    </row>
    <row r="3135" spans="1:38" ht="15" x14ac:dyDescent="0.25">
      <c r="A3135" s="1" t="s">
        <v>9644</v>
      </c>
      <c r="B3135" s="1" t="s">
        <v>9645</v>
      </c>
      <c r="C3135" s="1" t="s">
        <v>4298</v>
      </c>
      <c r="D3135" s="1" t="s">
        <v>4298</v>
      </c>
      <c r="E3135" s="6">
        <v>136690.70000000001</v>
      </c>
      <c r="F3135" s="1" t="s">
        <v>40</v>
      </c>
      <c r="G3135" s="6">
        <f ca="1">IFERROR(__xludf.DUMMYFUNCTION("iferror(GOOGLEFINANCE(TRIM(F3135)&amp;"":"" &amp; TRIM(B3135), ""price""),0
)"),364.75)</f>
        <v>364.75</v>
      </c>
      <c r="H3135" s="6">
        <v>526.35</v>
      </c>
      <c r="I3135" s="6">
        <f t="shared" ca="1" si="0"/>
        <v>364.75</v>
      </c>
      <c r="J3135" s="6">
        <f ca="1">IFERROR(__xludf.DUMMYFUNCTION("IFERROR(GOOGLEFINANCE(B3135, ""volume""), 0)"),14465153)</f>
        <v>14465153</v>
      </c>
      <c r="K3135" s="6">
        <v>1.52</v>
      </c>
      <c r="L3135" s="6">
        <f ca="1">IFERROR(__xludf.DUMMYFUNCTION("IFERROR(GOOGLEFINANCE(B3135,""changepct""),K3135)"),1.36)</f>
        <v>1.36</v>
      </c>
      <c r="M3135" s="6">
        <f ca="1">IFERROR(__xludf.DUMMYFUNCTION("IFERROR(GOOGLEFINANCE(B3135,""change""),0)"),4.9)</f>
        <v>4.9000000000000004</v>
      </c>
      <c r="N3135" s="6">
        <v>2</v>
      </c>
      <c r="O3135" s="7">
        <v>45536</v>
      </c>
      <c r="P3135" s="6">
        <v>14885.42</v>
      </c>
      <c r="Q3135" s="7">
        <v>45536</v>
      </c>
      <c r="R3135" s="6">
        <v>9.18</v>
      </c>
      <c r="S3135" s="6">
        <v>0.46</v>
      </c>
      <c r="T3135" s="6">
        <v>1.87</v>
      </c>
      <c r="U3135" s="6">
        <v>2</v>
      </c>
      <c r="V3135" s="7">
        <v>45352</v>
      </c>
      <c r="W3135" s="6">
        <f ca="1">IFERROR(__xludf.DUMMYFUNCTION("IFERROR(GOOGLEFINANCE(B3135,""pe""),V3135)"),5.57)</f>
        <v>5.57</v>
      </c>
      <c r="X3135" s="6">
        <v>6.42</v>
      </c>
      <c r="Y3135" s="6">
        <v>22.39</v>
      </c>
      <c r="Z3135" s="6">
        <v>10.050000000000001</v>
      </c>
      <c r="AA3135" s="3" t="s">
        <v>9646</v>
      </c>
      <c r="AB3135" s="11"/>
      <c r="AC3135" s="9"/>
      <c r="AD3135" s="9"/>
      <c r="AE3135" s="1">
        <v>0</v>
      </c>
      <c r="AF3135" s="1">
        <f ca="1">IFERROR(__xludf.DUMMYFUNCTION("IFERROR(GOOGLEFINANCE(TRIM(F3135)&amp;"":"" &amp; TRIM(B3135),""high52""),AE3135)"),451.9)</f>
        <v>451.9</v>
      </c>
      <c r="AG3135" s="1">
        <v>0</v>
      </c>
      <c r="AH3135" s="1">
        <f ca="1">IFERROR(__xludf.DUMMYFUNCTION("IFERROR(GOOGLEFINANCE(TRIM(F3135)&amp;"":"" &amp; TRIM(B3135),""low52""),AE3135)"),330.95)</f>
        <v>330.95</v>
      </c>
      <c r="AI3135" s="1">
        <f ca="1">IFERROR(__xludf.DUMMYFUNCTION("IFERROR(GOOGLEFINANCE(B3135,""eps""),0)"),65.49)</f>
        <v>65.489999999999995</v>
      </c>
      <c r="AJ3135" s="1"/>
      <c r="AK3135" s="9"/>
      <c r="AL3135" s="9">
        <f t="shared" si="304"/>
        <v>1</v>
      </c>
    </row>
    <row r="3136" spans="1:38" ht="15" x14ac:dyDescent="0.25">
      <c r="A3136" s="1" t="s">
        <v>9647</v>
      </c>
      <c r="B3136" s="1" t="s">
        <v>9648</v>
      </c>
      <c r="C3136" s="1" t="s">
        <v>227</v>
      </c>
      <c r="D3136" s="1" t="s">
        <v>227</v>
      </c>
      <c r="E3136" s="6">
        <v>15756.66</v>
      </c>
      <c r="F3136" s="1" t="s">
        <v>40</v>
      </c>
      <c r="G3136" s="6">
        <f ca="1">IFERROR(__xludf.DUMMYFUNCTION("iferror(GOOGLEFINANCE(TRIM(F3136)&amp;"":"" &amp; TRIM(B3136), ""price""),0
)"),268.95)</f>
        <v>268.95</v>
      </c>
      <c r="H3136" s="6">
        <v>201.8</v>
      </c>
      <c r="I3136" s="6">
        <f t="shared" ca="1" si="0"/>
        <v>268.95</v>
      </c>
      <c r="J3136" s="6">
        <f ca="1">IFERROR(__xludf.DUMMYFUNCTION("IFERROR(GOOGLEFINANCE(B3136, ""volume""), 0)"),1305758)</f>
        <v>1305758</v>
      </c>
      <c r="K3136" s="6">
        <v>0.19</v>
      </c>
      <c r="L3136" s="6">
        <f ca="1">IFERROR(__xludf.DUMMYFUNCTION("IFERROR(GOOGLEFINANCE(B3136,""changepct""),K3136)"),0.94)</f>
        <v>0.94</v>
      </c>
      <c r="M3136" s="6">
        <f ca="1">IFERROR(__xludf.DUMMYFUNCTION("IFERROR(GOOGLEFINANCE(B3136,""change""),0)"),2.5)</f>
        <v>2.5</v>
      </c>
      <c r="N3136" s="6">
        <v>2</v>
      </c>
      <c r="O3136" s="7">
        <v>45536</v>
      </c>
      <c r="P3136" s="6">
        <v>1577.29</v>
      </c>
      <c r="Q3136" s="6">
        <v>15619.96</v>
      </c>
      <c r="R3136" s="7">
        <v>45536</v>
      </c>
      <c r="S3136" s="6">
        <v>92116.27</v>
      </c>
      <c r="T3136" s="6">
        <v>1171.69</v>
      </c>
      <c r="U3136" s="7">
        <v>45536</v>
      </c>
      <c r="V3136" s="6">
        <v>13.07</v>
      </c>
      <c r="W3136" s="6">
        <f ca="1">IFERROR(__xludf.DUMMYFUNCTION("IFERROR(GOOGLEFINANCE(B3136,""pe""),V3136)"),12.16)</f>
        <v>12.16</v>
      </c>
      <c r="X3136" s="6">
        <v>0.78</v>
      </c>
      <c r="Y3136" s="6">
        <v>2.0699999999999998</v>
      </c>
      <c r="Z3136" s="6">
        <v>2</v>
      </c>
      <c r="AA3136" s="8">
        <v>45352</v>
      </c>
      <c r="AB3136" s="4">
        <v>0.37</v>
      </c>
      <c r="AC3136" s="6">
        <v>17.12</v>
      </c>
      <c r="AD3136" s="6">
        <v>23.63</v>
      </c>
      <c r="AE3136" s="1">
        <v>0</v>
      </c>
      <c r="AF3136" s="1">
        <f ca="1">IFERROR(__xludf.DUMMYFUNCTION("IFERROR(GOOGLEFINANCE(TRIM(F3136)&amp;"":"" &amp; TRIM(B3136),""high52""),AE3136)"),334.8)</f>
        <v>334.8</v>
      </c>
      <c r="AG3136" s="1">
        <v>0</v>
      </c>
      <c r="AH3136" s="1">
        <f ca="1">IFERROR(__xludf.DUMMYFUNCTION("IFERROR(GOOGLEFINANCE(TRIM(F3136)&amp;"":"" &amp; TRIM(B3136),""low52""),AE3136)"),176.94)</f>
        <v>176.94</v>
      </c>
      <c r="AI3136" s="1">
        <f ca="1">IFERROR(__xludf.DUMMYFUNCTION("IFERROR(GOOGLEFINANCE(B3136,""eps""),0)"),22.12)</f>
        <v>22.12</v>
      </c>
      <c r="AJ3136" s="1"/>
      <c r="AK3136" s="1" t="s">
        <v>9649</v>
      </c>
      <c r="AL3136" s="9">
        <f t="shared" si="304"/>
        <v>1</v>
      </c>
    </row>
    <row r="3137" spans="1:38" ht="15" x14ac:dyDescent="0.25">
      <c r="A3137" s="1" t="s">
        <v>9650</v>
      </c>
      <c r="B3137" s="1" t="s">
        <v>9651</v>
      </c>
      <c r="C3137" s="1" t="s">
        <v>106</v>
      </c>
      <c r="D3137" s="1" t="s">
        <v>106</v>
      </c>
      <c r="E3137" s="6">
        <v>28.11</v>
      </c>
      <c r="F3137" s="1" t="s">
        <v>53</v>
      </c>
      <c r="G3137" s="6">
        <f ca="1">IFERROR(__xludf.DUMMYFUNCTION("iferror(GOOGLEFINANCE(TRIM(F3137)&amp;"":"" &amp; TRIM(B3137), ""price""),0
)"),0)</f>
        <v>0</v>
      </c>
      <c r="H3137" s="6">
        <v>93.32</v>
      </c>
      <c r="I3137" s="6">
        <f t="shared" ca="1" si="0"/>
        <v>93.32</v>
      </c>
      <c r="J3137" s="6">
        <f ca="1">IFERROR(__xludf.DUMMYFUNCTION("IFERROR(GOOGLEFINANCE(B3137, ""volume""), 0)"),0)</f>
        <v>0</v>
      </c>
      <c r="K3137" s="9"/>
      <c r="L3137" s="6" t="str">
        <f ca="1">IFERROR(__xludf.DUMMYFUNCTION("IFERROR(GOOGLEFINANCE(B3137,""changepct""),K3137)"),"")</f>
        <v/>
      </c>
      <c r="M3137" s="6">
        <f ca="1">IFERROR(__xludf.DUMMYFUNCTION("IFERROR(GOOGLEFINANCE(B3137,""change""),0)"),0)</f>
        <v>0</v>
      </c>
      <c r="N3137" s="6">
        <v>1</v>
      </c>
      <c r="O3137" s="15">
        <v>45536</v>
      </c>
      <c r="P3137" s="6">
        <v>2.11</v>
      </c>
      <c r="Q3137" s="6">
        <v>23.89</v>
      </c>
      <c r="R3137" s="7">
        <v>45536</v>
      </c>
      <c r="S3137" s="6">
        <v>14.01</v>
      </c>
      <c r="T3137" s="6">
        <v>0.74</v>
      </c>
      <c r="U3137" s="7">
        <v>45536</v>
      </c>
      <c r="V3137" s="6">
        <v>37.93</v>
      </c>
      <c r="W3137" s="6">
        <f ca="1">IFERROR(__xludf.DUMMYFUNCTION("IFERROR(GOOGLEFINANCE(B3137,""pe""),V3137)"),37.93)</f>
        <v>37.93</v>
      </c>
      <c r="X3137" s="6">
        <v>2.33</v>
      </c>
      <c r="Y3137" s="6">
        <v>2.74</v>
      </c>
      <c r="Z3137" s="6">
        <v>1</v>
      </c>
      <c r="AA3137" s="8">
        <v>45352</v>
      </c>
      <c r="AB3137" s="4">
        <v>0</v>
      </c>
      <c r="AC3137" s="6">
        <v>7.84</v>
      </c>
      <c r="AD3137" s="6">
        <v>10.74</v>
      </c>
      <c r="AE3137" s="1">
        <v>0</v>
      </c>
      <c r="AF3137" s="1">
        <f ca="1">IFERROR(__xludf.DUMMYFUNCTION("IFERROR(GOOGLEFINANCE(TRIM(F3137)&amp;"":"" &amp; TRIM(B3137),""high52""),AE3137)"),0)</f>
        <v>0</v>
      </c>
      <c r="AG3137" s="1">
        <v>0</v>
      </c>
      <c r="AH3137" s="1">
        <f ca="1">IFERROR(__xludf.DUMMYFUNCTION("IFERROR(GOOGLEFINANCE(TRIM(F3137)&amp;"":"" &amp; TRIM(B3137),""low52""),AE3137)"),0)</f>
        <v>0</v>
      </c>
      <c r="AI3137" s="1">
        <f ca="1">IFERROR(__xludf.DUMMYFUNCTION("IFERROR(GOOGLEFINANCE(B3137,""eps""),0)"),0)</f>
        <v>0</v>
      </c>
      <c r="AJ3137" s="1"/>
      <c r="AK3137" s="1" t="s">
        <v>9652</v>
      </c>
      <c r="AL3137" s="9">
        <f t="shared" si="304"/>
        <v>1</v>
      </c>
    </row>
    <row r="3138" spans="1:38" ht="15" x14ac:dyDescent="0.25">
      <c r="A3138" s="1" t="s">
        <v>9653</v>
      </c>
      <c r="B3138" s="1" t="s">
        <v>9654</v>
      </c>
      <c r="C3138" s="1" t="s">
        <v>359</v>
      </c>
      <c r="D3138" s="1" t="s">
        <v>359</v>
      </c>
      <c r="E3138" s="6">
        <v>12147.26</v>
      </c>
      <c r="F3138" s="1" t="s">
        <v>40</v>
      </c>
      <c r="G3138" s="6">
        <f ca="1">IFERROR(__xludf.DUMMYFUNCTION("iferror(GOOGLEFINANCE(TRIM(F3138)&amp;"":"" &amp; TRIM(B3138), ""price""),0
)"),124.93)</f>
        <v>124.93</v>
      </c>
      <c r="H3138" s="6">
        <v>878.4</v>
      </c>
      <c r="I3138" s="6">
        <f t="shared" ca="1" si="0"/>
        <v>124.93</v>
      </c>
      <c r="J3138" s="6">
        <f ca="1">IFERROR(__xludf.DUMMYFUNCTION("IFERROR(GOOGLEFINANCE(B3138, ""volume""), 0)"),272330)</f>
        <v>272330</v>
      </c>
      <c r="K3138" s="6">
        <v>0.05</v>
      </c>
      <c r="L3138" s="6">
        <f ca="1">IFERROR(__xludf.DUMMYFUNCTION("IFERROR(GOOGLEFINANCE(B3138,""changepct""),K3138)"),0.39)</f>
        <v>0.39</v>
      </c>
      <c r="M3138" s="6">
        <f ca="1">IFERROR(__xludf.DUMMYFUNCTION("IFERROR(GOOGLEFINANCE(B3138,""change""),0)"),0.48)</f>
        <v>0.48</v>
      </c>
      <c r="N3138" s="6">
        <v>2</v>
      </c>
      <c r="O3138" s="7">
        <v>45536</v>
      </c>
      <c r="P3138" s="6">
        <v>247.8</v>
      </c>
      <c r="Q3138" s="6">
        <v>12395.06</v>
      </c>
      <c r="R3138" s="7">
        <v>45536</v>
      </c>
      <c r="S3138" s="6">
        <v>1982.12</v>
      </c>
      <c r="T3138" s="6">
        <v>157.49</v>
      </c>
      <c r="U3138" s="7">
        <v>45536</v>
      </c>
      <c r="V3138" s="6">
        <v>77.13</v>
      </c>
      <c r="W3138" s="6">
        <f ca="1">IFERROR(__xludf.DUMMYFUNCTION("IFERROR(GOOGLEFINANCE(B3138,""pe""),V3138)"),38.23)</f>
        <v>38.229999999999997</v>
      </c>
      <c r="X3138" s="12"/>
      <c r="Y3138" s="6">
        <v>17.27</v>
      </c>
      <c r="Z3138" s="6">
        <v>2</v>
      </c>
      <c r="AA3138" s="17">
        <v>45352</v>
      </c>
      <c r="AB3138" s="18">
        <v>0.25</v>
      </c>
      <c r="AC3138" s="6">
        <v>31.33</v>
      </c>
      <c r="AD3138" s="6">
        <v>39.93</v>
      </c>
      <c r="AE3138" s="1">
        <v>0</v>
      </c>
      <c r="AF3138" s="1">
        <f ca="1">IFERROR(__xludf.DUMMYFUNCTION("IFERROR(GOOGLEFINANCE(TRIM(F3138)&amp;"":"" &amp; TRIM(B3138),""high52""),AE3138)"),199.5)</f>
        <v>199.5</v>
      </c>
      <c r="AG3138" s="1">
        <v>0</v>
      </c>
      <c r="AH3138" s="1">
        <f ca="1">IFERROR(__xludf.DUMMYFUNCTION("IFERROR(GOOGLEFINANCE(TRIM(F3138)&amp;"":"" &amp; TRIM(B3138),""low52""),AE3138)"),107.53)</f>
        <v>107.53</v>
      </c>
      <c r="AI3138" s="1">
        <f ca="1">IFERROR(__xludf.DUMMYFUNCTION("IFERROR(GOOGLEFINANCE(B3138,""eps""),0)"),3.27)</f>
        <v>3.27</v>
      </c>
      <c r="AJ3138" s="1"/>
      <c r="AK3138" s="1" t="s">
        <v>9655</v>
      </c>
      <c r="AL3138" s="9">
        <f t="shared" si="304"/>
        <v>1</v>
      </c>
    </row>
    <row r="3139" spans="1:38" ht="15" x14ac:dyDescent="0.25">
      <c r="A3139" s="1" t="s">
        <v>9656</v>
      </c>
      <c r="B3139" s="1" t="s">
        <v>9657</v>
      </c>
      <c r="C3139" s="1" t="s">
        <v>2222</v>
      </c>
      <c r="D3139" s="1" t="s">
        <v>2222</v>
      </c>
      <c r="E3139" s="6">
        <v>6321.3</v>
      </c>
      <c r="F3139" s="1" t="s">
        <v>40</v>
      </c>
      <c r="G3139" s="6">
        <f ca="1">IFERROR(__xludf.DUMMYFUNCTION("iferror(GOOGLEFINANCE(TRIM(F3139)&amp;"":"" &amp; TRIM(B3139), ""price""),0
)"),220)</f>
        <v>220</v>
      </c>
      <c r="H3139" s="6">
        <v>495</v>
      </c>
      <c r="I3139" s="6">
        <f t="shared" ca="1" si="0"/>
        <v>220</v>
      </c>
      <c r="J3139" s="6">
        <f ca="1">IFERROR(__xludf.DUMMYFUNCTION("IFERROR(GOOGLEFINANCE(B3139, ""volume""), 0)"),596662)</f>
        <v>596662</v>
      </c>
      <c r="K3139" s="6">
        <v>0.53</v>
      </c>
      <c r="L3139" s="6">
        <f ca="1">IFERROR(__xludf.DUMMYFUNCTION("IFERROR(GOOGLEFINANCE(B3139,""changepct""),K3139)"),-0.29)</f>
        <v>-0.28999999999999998</v>
      </c>
      <c r="M3139" s="6">
        <f ca="1">IFERROR(__xludf.DUMMYFUNCTION("IFERROR(GOOGLEFINANCE(B3139,""change""),0)"),-0.63)</f>
        <v>-0.63</v>
      </c>
      <c r="N3139" s="6">
        <v>2</v>
      </c>
      <c r="O3139" s="7">
        <v>45536</v>
      </c>
      <c r="P3139" s="6">
        <v>130.76</v>
      </c>
      <c r="Q3139" s="6">
        <v>6452.06</v>
      </c>
      <c r="R3139" s="7">
        <v>45536</v>
      </c>
      <c r="S3139" s="6">
        <v>1771.11</v>
      </c>
      <c r="T3139" s="6">
        <v>110.68</v>
      </c>
      <c r="U3139" s="7">
        <v>45536</v>
      </c>
      <c r="V3139" s="6">
        <v>56.31</v>
      </c>
      <c r="W3139" s="6">
        <f ca="1">IFERROR(__xludf.DUMMYFUNCTION("IFERROR(GOOGLEFINANCE(B3139,""pe""),V3139)"),17.74)</f>
        <v>17.739999999999998</v>
      </c>
      <c r="X3139" s="6">
        <v>2.31</v>
      </c>
      <c r="Y3139" s="6">
        <v>6.36</v>
      </c>
      <c r="Z3139" s="6">
        <v>2</v>
      </c>
      <c r="AA3139" s="8">
        <v>45352</v>
      </c>
      <c r="AB3139" s="4">
        <v>0.25</v>
      </c>
      <c r="AC3139" s="6">
        <v>23.86</v>
      </c>
      <c r="AD3139" s="6">
        <v>30.79</v>
      </c>
      <c r="AE3139" s="1">
        <v>0</v>
      </c>
      <c r="AF3139" s="1">
        <f ca="1">IFERROR(__xludf.DUMMYFUNCTION("IFERROR(GOOGLEFINANCE(TRIM(F3139)&amp;"":"" &amp; TRIM(B3139),""high52""),AE3139)"),534)</f>
        <v>534</v>
      </c>
      <c r="AG3139" s="1">
        <v>0</v>
      </c>
      <c r="AH3139" s="1">
        <f ca="1">IFERROR(__xludf.DUMMYFUNCTION("IFERROR(GOOGLEFINANCE(TRIM(F3139)&amp;"":"" &amp; TRIM(B3139),""low52""),AE3139)"),209.69)</f>
        <v>209.69</v>
      </c>
      <c r="AI3139" s="1">
        <f ca="1">IFERROR(__xludf.DUMMYFUNCTION("IFERROR(GOOGLEFINANCE(B3139,""eps""),0)"),12.4)</f>
        <v>12.4</v>
      </c>
      <c r="AJ3139" s="1"/>
      <c r="AK3139" s="1" t="s">
        <v>9658</v>
      </c>
      <c r="AL3139" s="9">
        <f t="shared" si="304"/>
        <v>1</v>
      </c>
    </row>
    <row r="3140" spans="1:38" ht="15" x14ac:dyDescent="0.25">
      <c r="A3140" s="1" t="s">
        <v>9659</v>
      </c>
      <c r="B3140" s="1" t="s">
        <v>9660</v>
      </c>
      <c r="C3140" s="1" t="s">
        <v>106</v>
      </c>
      <c r="D3140" s="1" t="s">
        <v>106</v>
      </c>
      <c r="E3140" s="6">
        <v>563.27</v>
      </c>
      <c r="F3140" s="1" t="s">
        <v>53</v>
      </c>
      <c r="G3140" s="6">
        <f ca="1">IFERROR(__xludf.DUMMYFUNCTION("iferror(GOOGLEFINANCE(TRIM(F3140)&amp;"":"" &amp; TRIM(B3140), ""price""),0
)"),0)</f>
        <v>0</v>
      </c>
      <c r="H3140" s="6">
        <v>1275.05</v>
      </c>
      <c r="I3140" s="6">
        <f t="shared" ca="1" si="0"/>
        <v>1275.05</v>
      </c>
      <c r="J3140" s="6">
        <f ca="1">IFERROR(__xludf.DUMMYFUNCTION("IFERROR(GOOGLEFINANCE(B3140, ""volume""), 0)"),0)</f>
        <v>0</v>
      </c>
      <c r="K3140" s="6">
        <v>-0.1</v>
      </c>
      <c r="L3140" s="6">
        <f ca="1">IFERROR(__xludf.DUMMYFUNCTION("IFERROR(GOOGLEFINANCE(B3140,""changepct""),K3140)"),-0.1)</f>
        <v>-0.1</v>
      </c>
      <c r="M3140" s="6">
        <f ca="1">IFERROR(__xludf.DUMMYFUNCTION("IFERROR(GOOGLEFINANCE(B3140,""change""),0)"),0)</f>
        <v>0</v>
      </c>
      <c r="N3140" s="6">
        <v>1</v>
      </c>
      <c r="O3140" s="7">
        <v>45536</v>
      </c>
      <c r="P3140" s="9"/>
      <c r="Q3140" s="6">
        <v>485.58</v>
      </c>
      <c r="R3140" s="7">
        <v>45536</v>
      </c>
      <c r="S3140" s="6">
        <v>148.25</v>
      </c>
      <c r="T3140" s="6">
        <v>30.3</v>
      </c>
      <c r="U3140" s="7">
        <v>45536</v>
      </c>
      <c r="V3140" s="6">
        <v>18.59</v>
      </c>
      <c r="W3140" s="6">
        <f ca="1">IFERROR(__xludf.DUMMYFUNCTION("IFERROR(GOOGLEFINANCE(B3140,""pe""),V3140)"),18.59)</f>
        <v>18.59</v>
      </c>
      <c r="X3140" s="6">
        <v>3.33</v>
      </c>
      <c r="Y3140" s="6">
        <v>3.57</v>
      </c>
      <c r="Z3140" s="6">
        <v>1</v>
      </c>
      <c r="AA3140" s="8">
        <v>45352</v>
      </c>
      <c r="AB3140" s="4">
        <v>0</v>
      </c>
      <c r="AC3140" s="6">
        <v>19.43</v>
      </c>
      <c r="AD3140" s="6">
        <v>26.28</v>
      </c>
      <c r="AE3140" s="1">
        <v>0</v>
      </c>
      <c r="AF3140" s="1">
        <f ca="1">IFERROR(__xludf.DUMMYFUNCTION("IFERROR(GOOGLEFINANCE(TRIM(F3140)&amp;"":"" &amp; TRIM(B3140),""high52""),AE3140)"),0)</f>
        <v>0</v>
      </c>
      <c r="AG3140" s="1">
        <v>0</v>
      </c>
      <c r="AH3140" s="1">
        <f ca="1">IFERROR(__xludf.DUMMYFUNCTION("IFERROR(GOOGLEFINANCE(TRIM(F3140)&amp;"":"" &amp; TRIM(B3140),""low52""),AE3140)"),0)</f>
        <v>0</v>
      </c>
      <c r="AI3140" s="1">
        <f ca="1">IFERROR(__xludf.DUMMYFUNCTION("IFERROR(GOOGLEFINANCE(B3140,""eps""),0)"),0)</f>
        <v>0</v>
      </c>
      <c r="AJ3140" s="1"/>
      <c r="AK3140" s="1" t="s">
        <v>9661</v>
      </c>
      <c r="AL3140" s="9">
        <f t="shared" si="304"/>
        <v>1</v>
      </c>
    </row>
    <row r="3141" spans="1:38" ht="15" x14ac:dyDescent="0.25">
      <c r="A3141" s="1" t="s">
        <v>9662</v>
      </c>
      <c r="B3141" s="1" t="s">
        <v>9663</v>
      </c>
      <c r="C3141" s="1" t="s">
        <v>4673</v>
      </c>
      <c r="D3141" s="1" t="s">
        <v>4673</v>
      </c>
      <c r="E3141" s="6">
        <v>203.39</v>
      </c>
      <c r="F3141" s="1" t="s">
        <v>40</v>
      </c>
      <c r="G3141" s="6">
        <f ca="1">IFERROR(__xludf.DUMMYFUNCTION("iferror(GOOGLEFINANCE(TRIM(F3141)&amp;"":"" &amp; TRIM(B3141), ""price""),0
)"),0)</f>
        <v>0</v>
      </c>
      <c r="H3141" s="6">
        <v>91.05</v>
      </c>
      <c r="I3141" s="6">
        <f t="shared" ca="1" si="0"/>
        <v>91.05</v>
      </c>
      <c r="J3141" s="6">
        <f ca="1">IFERROR(__xludf.DUMMYFUNCTION("IFERROR(GOOGLEFINANCE(B3141, ""volume""), 0)"),0)</f>
        <v>0</v>
      </c>
      <c r="K3141" s="6">
        <v>-2.41</v>
      </c>
      <c r="L3141" s="6">
        <f ca="1">IFERROR(__xludf.DUMMYFUNCTION("IFERROR(GOOGLEFINANCE(B3141,""changepct""),K3141)"),-2.41)</f>
        <v>-2.41</v>
      </c>
      <c r="M3141" s="6">
        <f ca="1">IFERROR(__xludf.DUMMYFUNCTION("IFERROR(GOOGLEFINANCE(B3141,""change""),0)"),0)</f>
        <v>0</v>
      </c>
      <c r="N3141" s="6">
        <v>1</v>
      </c>
      <c r="O3141" s="7">
        <v>45536</v>
      </c>
      <c r="P3141" s="6">
        <v>16.170000000000002</v>
      </c>
      <c r="Q3141" s="6">
        <v>219.56</v>
      </c>
      <c r="R3141" s="7">
        <v>45352</v>
      </c>
      <c r="S3141" s="6">
        <v>40.549999999999997</v>
      </c>
      <c r="T3141" s="6">
        <v>4.03</v>
      </c>
      <c r="U3141" s="7">
        <v>45352</v>
      </c>
      <c r="V3141" s="6">
        <v>50.54</v>
      </c>
      <c r="W3141" s="6">
        <f ca="1">IFERROR(__xludf.DUMMYFUNCTION("IFERROR(GOOGLEFINANCE(B3141,""pe""),V3141)"),50.54)</f>
        <v>50.54</v>
      </c>
      <c r="X3141" s="9"/>
      <c r="Y3141" s="6">
        <v>5.23</v>
      </c>
      <c r="Z3141" s="6">
        <v>2</v>
      </c>
      <c r="AA3141" s="8">
        <v>45352</v>
      </c>
      <c r="AB3141" s="4">
        <v>1.1299999999999999</v>
      </c>
      <c r="AC3141" s="6">
        <v>22.23</v>
      </c>
      <c r="AD3141" s="6">
        <v>17.309999999999999</v>
      </c>
      <c r="AE3141" s="1">
        <v>0</v>
      </c>
      <c r="AF3141" s="1">
        <f ca="1">IFERROR(__xludf.DUMMYFUNCTION("IFERROR(GOOGLEFINANCE(TRIM(F3141)&amp;"":"" &amp; TRIM(B3141),""high52""),AE3141)"),0)</f>
        <v>0</v>
      </c>
      <c r="AG3141" s="1">
        <v>0</v>
      </c>
      <c r="AH3141" s="1">
        <f ca="1">IFERROR(__xludf.DUMMYFUNCTION("IFERROR(GOOGLEFINANCE(TRIM(F3141)&amp;"":"" &amp; TRIM(B3141),""low52""),AE3141)"),0)</f>
        <v>0</v>
      </c>
      <c r="AI3141" s="1">
        <f ca="1">IFERROR(__xludf.DUMMYFUNCTION("IFERROR(GOOGLEFINANCE(B3141,""eps""),0)"),0)</f>
        <v>0</v>
      </c>
      <c r="AJ3141" s="1"/>
      <c r="AK3141" s="1" t="s">
        <v>9664</v>
      </c>
      <c r="AL3141" s="9">
        <f t="shared" si="304"/>
        <v>1</v>
      </c>
    </row>
    <row r="3142" spans="1:38" ht="15" x14ac:dyDescent="0.25">
      <c r="A3142" s="1" t="s">
        <v>9665</v>
      </c>
      <c r="B3142" s="1" t="s">
        <v>9666</v>
      </c>
      <c r="C3142" s="1" t="s">
        <v>106</v>
      </c>
      <c r="D3142" s="1" t="s">
        <v>106</v>
      </c>
      <c r="E3142" s="6">
        <v>499.29</v>
      </c>
      <c r="F3142" s="1" t="s">
        <v>53</v>
      </c>
      <c r="G3142" s="6">
        <f ca="1">IFERROR(__xludf.DUMMYFUNCTION("iferror(GOOGLEFINANCE(TRIM(F3142)&amp;"":"" &amp; TRIM(B3142), ""price""),0
)"),0)</f>
        <v>0</v>
      </c>
      <c r="H3142" s="6">
        <v>423</v>
      </c>
      <c r="I3142" s="6">
        <f t="shared" ca="1" si="0"/>
        <v>423</v>
      </c>
      <c r="J3142" s="6">
        <f ca="1">IFERROR(__xludf.DUMMYFUNCTION("IFERROR(GOOGLEFINANCE(B3142, ""volume""), 0)"),0)</f>
        <v>0</v>
      </c>
      <c r="K3142" s="6">
        <v>1.94</v>
      </c>
      <c r="L3142" s="6">
        <f ca="1">IFERROR(__xludf.DUMMYFUNCTION("IFERROR(GOOGLEFINANCE(B3142,""changepct""),K3142)"),1.94)</f>
        <v>1.94</v>
      </c>
      <c r="M3142" s="6">
        <f ca="1">IFERROR(__xludf.DUMMYFUNCTION("IFERROR(GOOGLEFINANCE(B3142,""change""),0)"),0)</f>
        <v>0</v>
      </c>
      <c r="N3142" s="6">
        <v>2</v>
      </c>
      <c r="O3142" s="7">
        <v>45536</v>
      </c>
      <c r="P3142" s="6">
        <v>63.7</v>
      </c>
      <c r="Q3142" s="6">
        <v>562.99</v>
      </c>
      <c r="R3142" s="7">
        <v>45536</v>
      </c>
      <c r="S3142" s="6">
        <v>111.59</v>
      </c>
      <c r="T3142" s="6">
        <v>3.42</v>
      </c>
      <c r="U3142" s="7">
        <v>45536</v>
      </c>
      <c r="V3142" s="6">
        <v>179.53</v>
      </c>
      <c r="W3142" s="6">
        <f ca="1">IFERROR(__xludf.DUMMYFUNCTION("IFERROR(GOOGLEFINANCE(B3142,""pe""),V3142)"),179.53)</f>
        <v>179.53</v>
      </c>
      <c r="X3142" s="12"/>
      <c r="Y3142" s="6">
        <v>15.17</v>
      </c>
      <c r="Z3142" s="6">
        <v>2</v>
      </c>
      <c r="AA3142" s="8">
        <v>45352</v>
      </c>
      <c r="AB3142" s="4">
        <v>2.4</v>
      </c>
      <c r="AC3142" s="6">
        <v>-5.44</v>
      </c>
      <c r="AD3142" s="6">
        <v>6.75</v>
      </c>
      <c r="AE3142" s="1">
        <v>0</v>
      </c>
      <c r="AF3142" s="1">
        <f ca="1">IFERROR(__xludf.DUMMYFUNCTION("IFERROR(GOOGLEFINANCE(TRIM(F3142)&amp;"":"" &amp; TRIM(B3142),""high52""),AE3142)"),0)</f>
        <v>0</v>
      </c>
      <c r="AG3142" s="1">
        <v>0</v>
      </c>
      <c r="AH3142" s="1">
        <f ca="1">IFERROR(__xludf.DUMMYFUNCTION("IFERROR(GOOGLEFINANCE(TRIM(F3142)&amp;"":"" &amp; TRIM(B3142),""low52""),AE3142)"),0)</f>
        <v>0</v>
      </c>
      <c r="AI3142" s="1">
        <f ca="1">IFERROR(__xludf.DUMMYFUNCTION("IFERROR(GOOGLEFINANCE(B3142,""eps""),0)"),0)</f>
        <v>0</v>
      </c>
      <c r="AJ3142" s="1"/>
      <c r="AK3142" s="1" t="s">
        <v>9667</v>
      </c>
      <c r="AL3142" s="9">
        <f t="shared" si="304"/>
        <v>1</v>
      </c>
    </row>
    <row r="3143" spans="1:38" ht="15" x14ac:dyDescent="0.25">
      <c r="A3143" s="1" t="s">
        <v>9668</v>
      </c>
      <c r="B3143" s="1" t="s">
        <v>9669</v>
      </c>
      <c r="C3143" s="1" t="s">
        <v>889</v>
      </c>
      <c r="D3143" s="1" t="s">
        <v>889</v>
      </c>
      <c r="E3143" s="6">
        <v>145.16</v>
      </c>
      <c r="F3143" s="1" t="s">
        <v>40</v>
      </c>
      <c r="G3143" s="6">
        <f ca="1">IFERROR(__xludf.DUMMYFUNCTION("iferror(GOOGLEFINANCE(TRIM(F3143)&amp;"":"" &amp; TRIM(B3143), ""price""),0
)"),45.6)</f>
        <v>45.6</v>
      </c>
      <c r="H3143" s="6">
        <v>49.5</v>
      </c>
      <c r="I3143" s="6">
        <f t="shared" ca="1" si="0"/>
        <v>45.6</v>
      </c>
      <c r="J3143" s="6">
        <f ca="1">IFERROR(__xludf.DUMMYFUNCTION("IFERROR(GOOGLEFINANCE(B3143, ""volume""), 0)"),657)</f>
        <v>657</v>
      </c>
      <c r="K3143" s="6">
        <v>0</v>
      </c>
      <c r="L3143" s="6">
        <f ca="1">IFERROR(__xludf.DUMMYFUNCTION("IFERROR(GOOGLEFINANCE(B3143,""changepct""),K3143)"),3.47)</f>
        <v>3.47</v>
      </c>
      <c r="M3143" s="6">
        <f ca="1">IFERROR(__xludf.DUMMYFUNCTION("IFERROR(GOOGLEFINANCE(B3143,""change""),0)"),1.53)</f>
        <v>1.53</v>
      </c>
      <c r="N3143" s="6">
        <v>1</v>
      </c>
      <c r="O3143" s="7">
        <v>45536</v>
      </c>
      <c r="P3143" s="6">
        <v>75.06</v>
      </c>
      <c r="Q3143" s="6">
        <v>219.75</v>
      </c>
      <c r="R3143" s="7">
        <v>45536</v>
      </c>
      <c r="S3143" s="6">
        <v>3.92</v>
      </c>
      <c r="T3143" s="6">
        <v>-11.07</v>
      </c>
      <c r="U3143" s="7">
        <v>45536</v>
      </c>
      <c r="V3143" s="6">
        <v>0</v>
      </c>
      <c r="W3143" s="6">
        <f ca="1">IFERROR(__xludf.DUMMYFUNCTION("IFERROR(GOOGLEFINANCE(B3143,""pe""),V3143)"),81.45)</f>
        <v>81.45</v>
      </c>
      <c r="X3143" s="6">
        <v>0</v>
      </c>
      <c r="Y3143" s="6">
        <v>-2.14</v>
      </c>
      <c r="Z3143" s="6">
        <v>1</v>
      </c>
      <c r="AA3143" s="8">
        <v>45352</v>
      </c>
      <c r="AB3143" s="4">
        <v>-1.08</v>
      </c>
      <c r="AC3143" s="6">
        <v>0</v>
      </c>
      <c r="AD3143" s="6">
        <v>-194.66</v>
      </c>
      <c r="AE3143" s="1">
        <v>0</v>
      </c>
      <c r="AF3143" s="1">
        <f ca="1">IFERROR(__xludf.DUMMYFUNCTION("IFERROR(GOOGLEFINANCE(TRIM(F3143)&amp;"":"" &amp; TRIM(B3143),""high52""),AE3143)"),63)</f>
        <v>63</v>
      </c>
      <c r="AG3143" s="1">
        <v>0</v>
      </c>
      <c r="AH3143" s="1">
        <f ca="1">IFERROR(__xludf.DUMMYFUNCTION("IFERROR(GOOGLEFINANCE(TRIM(F3143)&amp;"":"" &amp; TRIM(B3143),""low52""),AE3143)"),35.31)</f>
        <v>35.31</v>
      </c>
      <c r="AI3143" s="1">
        <f ca="1">IFERROR(__xludf.DUMMYFUNCTION("IFERROR(GOOGLEFINANCE(B3143,""eps""),0)"),0.56)</f>
        <v>0.56000000000000005</v>
      </c>
      <c r="AJ3143" s="1"/>
      <c r="AK3143" s="6">
        <v>38.76</v>
      </c>
      <c r="AL3143" s="1" t="b">
        <f>ISNUMBER(AA3143)</f>
        <v>1</v>
      </c>
    </row>
    <row r="3144" spans="1:38" ht="15" x14ac:dyDescent="0.25">
      <c r="A3144" s="1" t="s">
        <v>9670</v>
      </c>
      <c r="B3144" s="1" t="s">
        <v>9671</v>
      </c>
      <c r="C3144" s="1" t="s">
        <v>106</v>
      </c>
      <c r="D3144" s="1" t="s">
        <v>106</v>
      </c>
      <c r="E3144" s="6">
        <v>220.05</v>
      </c>
      <c r="F3144" s="1" t="s">
        <v>53</v>
      </c>
      <c r="G3144" s="6">
        <f ca="1">IFERROR(__xludf.DUMMYFUNCTION("iferror(GOOGLEFINANCE(TRIM(F3144)&amp;"":"" &amp; TRIM(B3144), ""price""),0
)"),0)</f>
        <v>0</v>
      </c>
      <c r="H3144" s="6">
        <v>45.99</v>
      </c>
      <c r="I3144" s="6">
        <f t="shared" ca="1" si="0"/>
        <v>45.99</v>
      </c>
      <c r="J3144" s="6">
        <f ca="1">IFERROR(__xludf.DUMMYFUNCTION("IFERROR(GOOGLEFINANCE(B3144, ""volume""), 0)"),0)</f>
        <v>0</v>
      </c>
      <c r="K3144" s="6">
        <v>-1.1200000000000001</v>
      </c>
      <c r="L3144" s="6">
        <f ca="1">IFERROR(__xludf.DUMMYFUNCTION("IFERROR(GOOGLEFINANCE(B3144,""changepct""),K3144)"),-1.12)</f>
        <v>-1.1200000000000001</v>
      </c>
      <c r="M3144" s="6">
        <f ca="1">IFERROR(__xludf.DUMMYFUNCTION("IFERROR(GOOGLEFINANCE(B3144,""change""),0)"),0)</f>
        <v>0</v>
      </c>
      <c r="N3144" s="6">
        <v>1</v>
      </c>
      <c r="O3144" s="7">
        <v>45536</v>
      </c>
      <c r="P3144" s="6">
        <v>38.14</v>
      </c>
      <c r="Q3144" s="6">
        <v>257.41000000000003</v>
      </c>
      <c r="R3144" s="7">
        <v>45536</v>
      </c>
      <c r="S3144" s="6">
        <v>107.02</v>
      </c>
      <c r="T3144" s="6">
        <v>2.9</v>
      </c>
      <c r="U3144" s="7">
        <v>45536</v>
      </c>
      <c r="V3144" s="6">
        <v>75.930000000000007</v>
      </c>
      <c r="W3144" s="6">
        <f ca="1">IFERROR(__xludf.DUMMYFUNCTION("IFERROR(GOOGLEFINANCE(B3144,""pe""),V3144)"),75.93)</f>
        <v>75.930000000000007</v>
      </c>
      <c r="X3144" s="9"/>
      <c r="Y3144" s="6">
        <v>65.03</v>
      </c>
      <c r="Z3144" s="6">
        <v>1</v>
      </c>
      <c r="AA3144" s="8">
        <v>45352</v>
      </c>
      <c r="AB3144" s="4">
        <v>131.12</v>
      </c>
      <c r="AC3144" s="6">
        <v>-183.25</v>
      </c>
      <c r="AD3144" s="6">
        <v>-4.18</v>
      </c>
      <c r="AE3144" s="1">
        <v>0</v>
      </c>
      <c r="AF3144" s="1">
        <f ca="1">IFERROR(__xludf.DUMMYFUNCTION("IFERROR(GOOGLEFINANCE(TRIM(F3144)&amp;"":"" &amp; TRIM(B3144),""high52""),AE3144)"),0)</f>
        <v>0</v>
      </c>
      <c r="AG3144" s="1">
        <v>0</v>
      </c>
      <c r="AH3144" s="1">
        <f ca="1">IFERROR(__xludf.DUMMYFUNCTION("IFERROR(GOOGLEFINANCE(TRIM(F3144)&amp;"":"" &amp; TRIM(B3144),""low52""),AE3144)"),0)</f>
        <v>0</v>
      </c>
      <c r="AI3144" s="1">
        <f ca="1">IFERROR(__xludf.DUMMYFUNCTION("IFERROR(GOOGLEFINANCE(B3144,""eps""),0)"),0)</f>
        <v>0</v>
      </c>
      <c r="AJ3144" s="1"/>
      <c r="AK3144" s="1" t="s">
        <v>9672</v>
      </c>
      <c r="AL3144" s="9">
        <f t="shared" ref="AL3144:AL3159" si="305">IF(AA3144&lt;&gt;AB3144,1,0)</f>
        <v>1</v>
      </c>
    </row>
    <row r="3145" spans="1:38" ht="15" x14ac:dyDescent="0.25">
      <c r="A3145" s="1" t="s">
        <v>9673</v>
      </c>
      <c r="B3145" s="1" t="s">
        <v>9674</v>
      </c>
      <c r="C3145" s="1" t="s">
        <v>1425</v>
      </c>
      <c r="D3145" s="1" t="s">
        <v>1425</v>
      </c>
      <c r="E3145" s="6">
        <v>15777.73</v>
      </c>
      <c r="F3145" s="1" t="s">
        <v>40</v>
      </c>
      <c r="G3145" s="6">
        <f ca="1">IFERROR(__xludf.DUMMYFUNCTION("iferror(GOOGLEFINANCE(TRIM(F3145)&amp;"":"" &amp; TRIM(B3145), ""price""),0
)"),382)</f>
        <v>382</v>
      </c>
      <c r="H3145" s="6">
        <v>634</v>
      </c>
      <c r="I3145" s="6">
        <f t="shared" ca="1" si="0"/>
        <v>382</v>
      </c>
      <c r="J3145" s="6">
        <f ca="1">IFERROR(__xludf.DUMMYFUNCTION("IFERROR(GOOGLEFINANCE(B3145, ""volume""), 0)"),60607)</f>
        <v>60607</v>
      </c>
      <c r="K3145" s="6">
        <v>0.42</v>
      </c>
      <c r="L3145" s="6">
        <f ca="1">IFERROR(__xludf.DUMMYFUNCTION("IFERROR(GOOGLEFINANCE(B3145,""changepct""),K3145)"),0.91)</f>
        <v>0.91</v>
      </c>
      <c r="M3145" s="6">
        <f ca="1">IFERROR(__xludf.DUMMYFUNCTION("IFERROR(GOOGLEFINANCE(B3145,""change""),0)"),3.45)</f>
        <v>3.45</v>
      </c>
      <c r="N3145" s="6">
        <v>1</v>
      </c>
      <c r="O3145" s="7">
        <v>45536</v>
      </c>
      <c r="P3145" s="6">
        <v>1.24</v>
      </c>
      <c r="Q3145" s="6">
        <v>15716.46</v>
      </c>
      <c r="R3145" s="7">
        <v>45536</v>
      </c>
      <c r="S3145" s="6">
        <v>2887.48</v>
      </c>
      <c r="T3145" s="6">
        <v>181.06</v>
      </c>
      <c r="U3145" s="7">
        <v>45536</v>
      </c>
      <c r="V3145" s="6">
        <v>87.14</v>
      </c>
      <c r="W3145" s="6">
        <f ca="1">IFERROR(__xludf.DUMMYFUNCTION("IFERROR(GOOGLEFINANCE(B3145,""pe""),V3145)"),56.64)</f>
        <v>56.64</v>
      </c>
      <c r="X3145" s="6">
        <v>32.270000000000003</v>
      </c>
      <c r="Y3145" s="6">
        <v>7.85</v>
      </c>
      <c r="Z3145" s="6">
        <v>1</v>
      </c>
      <c r="AA3145" s="8">
        <v>45352</v>
      </c>
      <c r="AB3145" s="4">
        <v>0.01</v>
      </c>
      <c r="AC3145" s="6">
        <v>10.42</v>
      </c>
      <c r="AD3145" s="6">
        <v>14.98</v>
      </c>
      <c r="AE3145" s="1">
        <v>0</v>
      </c>
      <c r="AF3145" s="1">
        <f ca="1">IFERROR(__xludf.DUMMYFUNCTION("IFERROR(GOOGLEFINANCE(TRIM(F3145)&amp;"":"" &amp; TRIM(B3145),""high52""),AE3145)"),579.95)</f>
        <v>579.95000000000005</v>
      </c>
      <c r="AG3145" s="1">
        <v>0</v>
      </c>
      <c r="AH3145" s="1">
        <f ca="1">IFERROR(__xludf.DUMMYFUNCTION("IFERROR(GOOGLEFINANCE(TRIM(F3145)&amp;"":"" &amp; TRIM(B3145),""low52""),AE3145)"),354.2)</f>
        <v>354.2</v>
      </c>
      <c r="AI3145" s="1">
        <f ca="1">IFERROR(__xludf.DUMMYFUNCTION("IFERROR(GOOGLEFINANCE(B3145,""eps""),0)"),6.74)</f>
        <v>6.74</v>
      </c>
      <c r="AJ3145" s="1"/>
      <c r="AK3145" s="1" t="s">
        <v>9675</v>
      </c>
      <c r="AL3145" s="9">
        <f t="shared" si="305"/>
        <v>1</v>
      </c>
    </row>
    <row r="3146" spans="1:38" ht="15" x14ac:dyDescent="0.25">
      <c r="A3146" s="1" t="s">
        <v>9676</v>
      </c>
      <c r="B3146" s="1" t="s">
        <v>9677</v>
      </c>
      <c r="C3146" s="1" t="s">
        <v>57</v>
      </c>
      <c r="D3146" s="1" t="s">
        <v>57</v>
      </c>
      <c r="E3146" s="6">
        <v>79.459999999999994</v>
      </c>
      <c r="F3146" s="1" t="s">
        <v>40</v>
      </c>
      <c r="G3146" s="6">
        <f ca="1">IFERROR(__xludf.DUMMYFUNCTION("iferror(GOOGLEFINANCE(TRIM(F3146)&amp;"":"" &amp; TRIM(B3146), ""price""),0
)"),158)</f>
        <v>158</v>
      </c>
      <c r="H3146" s="6">
        <v>76</v>
      </c>
      <c r="I3146" s="6">
        <f t="shared" ca="1" si="0"/>
        <v>158</v>
      </c>
      <c r="J3146" s="6">
        <f ca="1">IFERROR(__xludf.DUMMYFUNCTION("IFERROR(GOOGLEFINANCE(B3146, ""volume""), 0)"),5587)</f>
        <v>5587</v>
      </c>
      <c r="K3146" s="6">
        <v>-0.55000000000000004</v>
      </c>
      <c r="L3146" s="6">
        <f ca="1">IFERROR(__xludf.DUMMYFUNCTION("IFERROR(GOOGLEFINANCE(B3146,""changepct""),K3146)"),-1.82)</f>
        <v>-1.82</v>
      </c>
      <c r="M3146" s="6">
        <f ca="1">IFERROR(__xludf.DUMMYFUNCTION("IFERROR(GOOGLEFINANCE(B3146,""change""),0)"),-2.93)</f>
        <v>-2.93</v>
      </c>
      <c r="N3146" s="6">
        <v>2</v>
      </c>
      <c r="O3146" s="7">
        <v>45536</v>
      </c>
      <c r="P3146" s="6">
        <v>38.24</v>
      </c>
      <c r="Q3146" s="6">
        <v>117.71</v>
      </c>
      <c r="R3146" s="7">
        <v>45536</v>
      </c>
      <c r="S3146" s="6">
        <v>92.52</v>
      </c>
      <c r="T3146" s="6">
        <v>5.61</v>
      </c>
      <c r="U3146" s="7">
        <v>45536</v>
      </c>
      <c r="V3146" s="6">
        <v>16.350000000000001</v>
      </c>
      <c r="W3146" s="6">
        <f ca="1">IFERROR(__xludf.DUMMYFUNCTION("IFERROR(GOOGLEFINANCE(B3146,""pe""),V3146)"),12.63)</f>
        <v>12.63</v>
      </c>
      <c r="X3146" s="6">
        <v>22.7</v>
      </c>
      <c r="Y3146" s="6">
        <v>1.54</v>
      </c>
      <c r="Z3146" s="6">
        <v>2</v>
      </c>
      <c r="AA3146" s="8">
        <v>45352</v>
      </c>
      <c r="AB3146" s="4">
        <v>0.78</v>
      </c>
      <c r="AC3146" s="6">
        <v>11.3</v>
      </c>
      <c r="AD3146" s="6">
        <v>12.11</v>
      </c>
      <c r="AE3146" s="1">
        <v>0</v>
      </c>
      <c r="AF3146" s="1">
        <f ca="1">IFERROR(__xludf.DUMMYFUNCTION("IFERROR(GOOGLEFINANCE(TRIM(F3146)&amp;"":"" &amp; TRIM(B3146),""high52""),AE3146)"),174.1)</f>
        <v>174.1</v>
      </c>
      <c r="AG3146" s="1">
        <v>0</v>
      </c>
      <c r="AH3146" s="1">
        <f ca="1">IFERROR(__xludf.DUMMYFUNCTION("IFERROR(GOOGLEFINANCE(TRIM(F3146)&amp;"":"" &amp; TRIM(B3146),""low52""),AE3146)"),63.15)</f>
        <v>63.15</v>
      </c>
      <c r="AI3146" s="1">
        <f ca="1">IFERROR(__xludf.DUMMYFUNCTION("IFERROR(GOOGLEFINANCE(B3146,""eps""),0)"),12.51)</f>
        <v>12.51</v>
      </c>
      <c r="AJ3146" s="1"/>
      <c r="AK3146" s="1" t="s">
        <v>9678</v>
      </c>
      <c r="AL3146" s="9">
        <f t="shared" si="305"/>
        <v>1</v>
      </c>
    </row>
    <row r="3147" spans="1:38" ht="15" x14ac:dyDescent="0.25">
      <c r="A3147" s="1" t="s">
        <v>9679</v>
      </c>
      <c r="B3147" s="1" t="s">
        <v>9680</v>
      </c>
      <c r="C3147" s="1" t="s">
        <v>106</v>
      </c>
      <c r="D3147" s="1" t="s">
        <v>106</v>
      </c>
      <c r="E3147" s="6">
        <v>938.73</v>
      </c>
      <c r="F3147" s="1" t="s">
        <v>53</v>
      </c>
      <c r="G3147" s="6">
        <f ca="1">IFERROR(__xludf.DUMMYFUNCTION("iferror(GOOGLEFINANCE(TRIM(F3147)&amp;"":"" &amp; TRIM(B3147), ""price""),0
)"),0)</f>
        <v>0</v>
      </c>
      <c r="H3147" s="6">
        <v>903.1</v>
      </c>
      <c r="I3147" s="6">
        <f t="shared" ca="1" si="0"/>
        <v>903.1</v>
      </c>
      <c r="J3147" s="6">
        <f ca="1">IFERROR(__xludf.DUMMYFUNCTION("IFERROR(GOOGLEFINANCE(B3147, ""volume""), 0)"),7188)</f>
        <v>7188</v>
      </c>
      <c r="K3147" s="6">
        <v>-0.18</v>
      </c>
      <c r="L3147" s="6">
        <f ca="1">IFERROR(__xludf.DUMMYFUNCTION("IFERROR(GOOGLEFINANCE(B3147,""changepct""),K3147)"),-2.04)</f>
        <v>-2.04</v>
      </c>
      <c r="M3147" s="6">
        <f ca="1">IFERROR(__xludf.DUMMYFUNCTION("IFERROR(GOOGLEFINANCE(B3147,""change""),0)"),-0.5)</f>
        <v>-0.5</v>
      </c>
      <c r="N3147" s="6">
        <v>2</v>
      </c>
      <c r="O3147" s="7">
        <v>45536</v>
      </c>
      <c r="P3147" s="6">
        <v>102.51</v>
      </c>
      <c r="Q3147" s="6">
        <v>1033.48</v>
      </c>
      <c r="R3147" s="7">
        <v>45536</v>
      </c>
      <c r="S3147" s="6">
        <v>340.18</v>
      </c>
      <c r="T3147" s="6">
        <v>28.72</v>
      </c>
      <c r="U3147" s="7">
        <v>45536</v>
      </c>
      <c r="V3147" s="6">
        <v>32.5</v>
      </c>
      <c r="W3147" s="6">
        <f ca="1">IFERROR(__xludf.DUMMYFUNCTION("IFERROR(GOOGLEFINANCE(B3147,""pe""),V3147)"),6.5)</f>
        <v>6.5</v>
      </c>
      <c r="X3147" s="6">
        <v>1.05</v>
      </c>
      <c r="Y3147" s="6">
        <v>3.91</v>
      </c>
      <c r="Z3147" s="6">
        <v>2</v>
      </c>
      <c r="AA3147" s="8">
        <v>45352</v>
      </c>
      <c r="AB3147" s="4">
        <v>0.44</v>
      </c>
      <c r="AC3147" s="6">
        <v>11.16</v>
      </c>
      <c r="AD3147" s="6">
        <v>13.57</v>
      </c>
      <c r="AE3147" s="1">
        <v>0</v>
      </c>
      <c r="AF3147" s="1">
        <f ca="1">IFERROR(__xludf.DUMMYFUNCTION("IFERROR(GOOGLEFINANCE(TRIM(F3147)&amp;"":"" &amp; TRIM(B3147),""high52""),AE3147)"),0)</f>
        <v>0</v>
      </c>
      <c r="AG3147" s="1">
        <v>0</v>
      </c>
      <c r="AH3147" s="1">
        <f ca="1">IFERROR(__xludf.DUMMYFUNCTION("IFERROR(GOOGLEFINANCE(TRIM(F3147)&amp;"":"" &amp; TRIM(B3147),""low52""),AE3147)"),0)</f>
        <v>0</v>
      </c>
      <c r="AI3147" s="1">
        <f ca="1">IFERROR(__xludf.DUMMYFUNCTION("IFERROR(GOOGLEFINANCE(B3147,""eps""),0)"),3.7)</f>
        <v>3.7</v>
      </c>
      <c r="AJ3147" s="1"/>
      <c r="AK3147" s="1" t="s">
        <v>9681</v>
      </c>
      <c r="AL3147" s="9">
        <f t="shared" si="305"/>
        <v>1</v>
      </c>
    </row>
    <row r="3148" spans="1:38" ht="15" x14ac:dyDescent="0.25">
      <c r="A3148" s="1" t="s">
        <v>9682</v>
      </c>
      <c r="B3148" s="1" t="s">
        <v>9683</v>
      </c>
      <c r="C3148" s="1" t="s">
        <v>106</v>
      </c>
      <c r="D3148" s="1" t="s">
        <v>106</v>
      </c>
      <c r="E3148" s="6">
        <v>267.52</v>
      </c>
      <c r="F3148" s="1" t="s">
        <v>53</v>
      </c>
      <c r="G3148" s="6">
        <f ca="1">IFERROR(__xludf.DUMMYFUNCTION("iferror(GOOGLEFINANCE(TRIM(F3148)&amp;"":"" &amp; TRIM(B3148), ""price""),0
)"),0)</f>
        <v>0</v>
      </c>
      <c r="H3148" s="6">
        <v>211.6</v>
      </c>
      <c r="I3148" s="6">
        <f t="shared" ca="1" si="0"/>
        <v>211.6</v>
      </c>
      <c r="J3148" s="6">
        <f ca="1">IFERROR(__xludf.DUMMYFUNCTION("IFERROR(GOOGLEFINANCE(B3148, ""volume""), 0)"),0)</f>
        <v>0</v>
      </c>
      <c r="K3148" s="6">
        <v>-0.42</v>
      </c>
      <c r="L3148" s="6">
        <f ca="1">IFERROR(__xludf.DUMMYFUNCTION("IFERROR(GOOGLEFINANCE(B3148,""changepct""),K3148)"),-0.42)</f>
        <v>-0.42</v>
      </c>
      <c r="M3148" s="6">
        <f ca="1">IFERROR(__xludf.DUMMYFUNCTION("IFERROR(GOOGLEFINANCE(B3148,""change""),0)"),0)</f>
        <v>0</v>
      </c>
      <c r="N3148" s="6">
        <v>1</v>
      </c>
      <c r="O3148" s="7">
        <v>45536</v>
      </c>
      <c r="P3148" s="6">
        <v>44.97</v>
      </c>
      <c r="Q3148" s="6">
        <v>309.16000000000003</v>
      </c>
      <c r="R3148" s="7">
        <v>45536</v>
      </c>
      <c r="S3148" s="6">
        <v>121.91</v>
      </c>
      <c r="T3148" s="6">
        <v>9.33</v>
      </c>
      <c r="U3148" s="7">
        <v>45536</v>
      </c>
      <c r="V3148" s="6">
        <v>28.68</v>
      </c>
      <c r="W3148" s="6">
        <f ca="1">IFERROR(__xludf.DUMMYFUNCTION("IFERROR(GOOGLEFINANCE(B3148,""pe""),V3148)"),28.68)</f>
        <v>28.68</v>
      </c>
      <c r="X3148" s="6">
        <v>0.51</v>
      </c>
      <c r="Y3148" s="6">
        <v>5.2</v>
      </c>
      <c r="Z3148" s="6">
        <v>1</v>
      </c>
      <c r="AA3148" s="8">
        <v>45352</v>
      </c>
      <c r="AB3148" s="4">
        <v>0.81</v>
      </c>
      <c r="AC3148" s="6">
        <v>15.49</v>
      </c>
      <c r="AD3148" s="6">
        <v>18.16</v>
      </c>
      <c r="AE3148" s="1">
        <v>0</v>
      </c>
      <c r="AF3148" s="1">
        <f ca="1">IFERROR(__xludf.DUMMYFUNCTION("IFERROR(GOOGLEFINANCE(TRIM(F3148)&amp;"":"" &amp; TRIM(B3148),""high52""),AE3148)"),0)</f>
        <v>0</v>
      </c>
      <c r="AG3148" s="1">
        <v>0</v>
      </c>
      <c r="AH3148" s="1">
        <f ca="1">IFERROR(__xludf.DUMMYFUNCTION("IFERROR(GOOGLEFINANCE(TRIM(F3148)&amp;"":"" &amp; TRIM(B3148),""low52""),AE3148)"),0)</f>
        <v>0</v>
      </c>
      <c r="AI3148" s="1">
        <f ca="1">IFERROR(__xludf.DUMMYFUNCTION("IFERROR(GOOGLEFINANCE(B3148,""eps""),0)"),0)</f>
        <v>0</v>
      </c>
      <c r="AJ3148" s="1"/>
      <c r="AK3148" s="1" t="s">
        <v>9684</v>
      </c>
      <c r="AL3148" s="9">
        <f t="shared" si="305"/>
        <v>1</v>
      </c>
    </row>
    <row r="3149" spans="1:38" ht="15" x14ac:dyDescent="0.25">
      <c r="A3149" s="1" t="s">
        <v>9685</v>
      </c>
      <c r="B3149" s="1" t="s">
        <v>9686</v>
      </c>
      <c r="C3149" s="1" t="s">
        <v>208</v>
      </c>
      <c r="D3149" s="1" t="s">
        <v>208</v>
      </c>
      <c r="E3149" s="6">
        <v>297.94</v>
      </c>
      <c r="F3149" s="1" t="s">
        <v>40</v>
      </c>
      <c r="G3149" s="6">
        <f ca="1">IFERROR(__xludf.DUMMYFUNCTION("iferror(GOOGLEFINANCE(TRIM(F3149)&amp;"":"" &amp; TRIM(B3149), ""price""),0
)"),0)</f>
        <v>0</v>
      </c>
      <c r="H3149" s="6">
        <v>12.35</v>
      </c>
      <c r="I3149" s="6">
        <f t="shared" ca="1" si="0"/>
        <v>12.35</v>
      </c>
      <c r="J3149" s="6">
        <f ca="1">IFERROR(__xludf.DUMMYFUNCTION("IFERROR(GOOGLEFINANCE(B3149, ""volume""), 0)"),0)</f>
        <v>0</v>
      </c>
      <c r="K3149" s="9"/>
      <c r="L3149" s="6" t="str">
        <f ca="1">IFERROR(__xludf.DUMMYFUNCTION("IFERROR(GOOGLEFINANCE(B3149,""changepct""),K3149)"),"")</f>
        <v/>
      </c>
      <c r="M3149" s="6">
        <f ca="1">IFERROR(__xludf.DUMMYFUNCTION("IFERROR(GOOGLEFINANCE(B3149,""change""),0)"),0)</f>
        <v>0</v>
      </c>
      <c r="N3149" s="6">
        <v>2</v>
      </c>
      <c r="O3149" s="7">
        <v>45536</v>
      </c>
      <c r="P3149" s="6">
        <v>819.98</v>
      </c>
      <c r="Q3149" s="15">
        <v>45261</v>
      </c>
      <c r="R3149" s="6">
        <v>0</v>
      </c>
      <c r="S3149" s="6">
        <v>0</v>
      </c>
      <c r="T3149" s="6">
        <v>-0.03</v>
      </c>
      <c r="U3149" s="6">
        <v>2</v>
      </c>
      <c r="V3149" s="7">
        <v>45352</v>
      </c>
      <c r="W3149" s="10">
        <f ca="1">IFERROR(__xludf.DUMMYFUNCTION("IFERROR(GOOGLEFINANCE(B3149,""pe""),V3149)"),45352)</f>
        <v>45352</v>
      </c>
      <c r="X3149" s="6">
        <v>-1.58</v>
      </c>
      <c r="Y3149" s="6">
        <v>0</v>
      </c>
      <c r="Z3149" s="6">
        <v>9.5500000000000007</v>
      </c>
      <c r="AA3149" s="3" t="s">
        <v>9687</v>
      </c>
      <c r="AB3149" s="3"/>
      <c r="AC3149" s="9"/>
      <c r="AD3149" s="9"/>
      <c r="AE3149" s="1">
        <v>0</v>
      </c>
      <c r="AF3149" s="1">
        <f ca="1">IFERROR(__xludf.DUMMYFUNCTION("IFERROR(GOOGLEFINANCE(TRIM(F3149)&amp;"":"" &amp; TRIM(B3149),""high52""),AE3149)"),0)</f>
        <v>0</v>
      </c>
      <c r="AG3149" s="1">
        <v>0</v>
      </c>
      <c r="AH3149" s="1">
        <f ca="1">IFERROR(__xludf.DUMMYFUNCTION("IFERROR(GOOGLEFINANCE(TRIM(F3149)&amp;"":"" &amp; TRIM(B3149),""low52""),AE3149)"),0)</f>
        <v>0</v>
      </c>
      <c r="AI3149" s="1">
        <f ca="1">IFERROR(__xludf.DUMMYFUNCTION("IFERROR(GOOGLEFINANCE(B3149,""eps""),0)"),0)</f>
        <v>0</v>
      </c>
      <c r="AJ3149" s="1"/>
      <c r="AK3149" s="1" t="s">
        <v>9688</v>
      </c>
      <c r="AL3149" s="9">
        <f t="shared" si="305"/>
        <v>1</v>
      </c>
    </row>
    <row r="3150" spans="1:38" ht="15" x14ac:dyDescent="0.25">
      <c r="A3150" s="1" t="s">
        <v>9689</v>
      </c>
      <c r="B3150" s="1" t="s">
        <v>9690</v>
      </c>
      <c r="C3150" s="1" t="s">
        <v>706</v>
      </c>
      <c r="D3150" s="1" t="s">
        <v>706</v>
      </c>
      <c r="E3150" s="6">
        <v>158.91</v>
      </c>
      <c r="F3150" s="1" t="s">
        <v>40</v>
      </c>
      <c r="G3150" s="6">
        <f ca="1">IFERROR(__xludf.DUMMYFUNCTION("iferror(GOOGLEFINANCE(TRIM(F3150)&amp;"":"" &amp; TRIM(B3150), ""price""),0
)"),115.56)</f>
        <v>115.56</v>
      </c>
      <c r="H3150" s="6">
        <v>213</v>
      </c>
      <c r="I3150" s="6">
        <f t="shared" ca="1" si="0"/>
        <v>115.56</v>
      </c>
      <c r="J3150" s="6">
        <f ca="1">IFERROR(__xludf.DUMMYFUNCTION("IFERROR(GOOGLEFINANCE(B3150, ""volume""), 0)"),7341)</f>
        <v>7341</v>
      </c>
      <c r="K3150" s="6">
        <v>0.95</v>
      </c>
      <c r="L3150" s="6">
        <f ca="1">IFERROR(__xludf.DUMMYFUNCTION("IFERROR(GOOGLEFINANCE(B3150,""changepct""),K3150)"),-5.85)</f>
        <v>-5.85</v>
      </c>
      <c r="M3150" s="6">
        <f ca="1">IFERROR(__xludf.DUMMYFUNCTION("IFERROR(GOOGLEFINANCE(B3150,""change""),0)"),-7.18)</f>
        <v>-7.18</v>
      </c>
      <c r="N3150" s="6">
        <v>1</v>
      </c>
      <c r="O3150" s="7">
        <v>45536</v>
      </c>
      <c r="P3150" s="6">
        <v>264.93</v>
      </c>
      <c r="Q3150" s="6">
        <v>401.03</v>
      </c>
      <c r="R3150" s="7">
        <v>45536</v>
      </c>
      <c r="S3150" s="6">
        <v>371.94</v>
      </c>
      <c r="T3150" s="6">
        <v>2.5299999999999998</v>
      </c>
      <c r="U3150" s="7">
        <v>45536</v>
      </c>
      <c r="V3150" s="6">
        <v>62.71</v>
      </c>
      <c r="W3150" s="6">
        <f ca="1">IFERROR(__xludf.DUMMYFUNCTION("IFERROR(GOOGLEFINANCE(B3150,""pe""),V3150)"),18.32)</f>
        <v>18.32</v>
      </c>
      <c r="X3150" s="6">
        <v>-13.26</v>
      </c>
      <c r="Y3150" s="6">
        <v>1.18</v>
      </c>
      <c r="Z3150" s="6">
        <v>1</v>
      </c>
      <c r="AA3150" s="13">
        <v>45352</v>
      </c>
      <c r="AB3150" s="4">
        <v>2.09</v>
      </c>
      <c r="AC3150" s="6">
        <v>2.42</v>
      </c>
      <c r="AD3150" s="6">
        <v>6.8</v>
      </c>
      <c r="AE3150" s="1">
        <v>0</v>
      </c>
      <c r="AF3150" s="1">
        <f ca="1">IFERROR(__xludf.DUMMYFUNCTION("IFERROR(GOOGLEFINANCE(TRIM(F3150)&amp;"":"" &amp; TRIM(B3150),""high52""),AE3150)"),216)</f>
        <v>216</v>
      </c>
      <c r="AG3150" s="1">
        <v>0</v>
      </c>
      <c r="AH3150" s="1">
        <f ca="1">IFERROR(__xludf.DUMMYFUNCTION("IFERROR(GOOGLEFINANCE(TRIM(F3150)&amp;"":"" &amp; TRIM(B3150),""low52""),AE3150)"),110.5)</f>
        <v>110.5</v>
      </c>
      <c r="AI3150" s="1">
        <f ca="1">IFERROR(__xludf.DUMMYFUNCTION("IFERROR(GOOGLEFINANCE(B3150,""eps""),0)"),6.31)</f>
        <v>6.31</v>
      </c>
      <c r="AJ3150" s="1"/>
      <c r="AK3150" s="12"/>
      <c r="AL3150" s="9">
        <f t="shared" si="305"/>
        <v>1</v>
      </c>
    </row>
    <row r="3151" spans="1:38" ht="15" x14ac:dyDescent="0.25">
      <c r="A3151" s="1" t="s">
        <v>9691</v>
      </c>
      <c r="B3151" s="1" t="s">
        <v>9692</v>
      </c>
      <c r="C3151" s="1" t="s">
        <v>255</v>
      </c>
      <c r="D3151" s="1" t="s">
        <v>255</v>
      </c>
      <c r="E3151" s="6">
        <v>553.11</v>
      </c>
      <c r="F3151" s="1" t="s">
        <v>40</v>
      </c>
      <c r="G3151" s="6">
        <f ca="1">IFERROR(__xludf.DUMMYFUNCTION("iferror(GOOGLEFINANCE(TRIM(F3151)&amp;"":"" &amp; TRIM(B3151), ""price""),0
)"),1.06)</f>
        <v>1.06</v>
      </c>
      <c r="H3151" s="6">
        <v>1.98</v>
      </c>
      <c r="I3151" s="6">
        <f t="shared" ca="1" si="0"/>
        <v>1.06</v>
      </c>
      <c r="J3151" s="6">
        <f ca="1">IFERROR(__xludf.DUMMYFUNCTION("IFERROR(GOOGLEFINANCE(B3151, ""volume""), 0)"),1706496)</f>
        <v>1706496</v>
      </c>
      <c r="K3151" s="9"/>
      <c r="L3151" s="6">
        <f ca="1">IFERROR(__xludf.DUMMYFUNCTION("IFERROR(GOOGLEFINANCE(B3151,""changepct""),K3151)"),-0.93)</f>
        <v>-0.93</v>
      </c>
      <c r="M3151" s="6">
        <f ca="1">IFERROR(__xludf.DUMMYFUNCTION("IFERROR(GOOGLEFINANCE(B3151,""change""),0)"),-0.01)</f>
        <v>-0.01</v>
      </c>
      <c r="N3151" s="6">
        <v>2</v>
      </c>
      <c r="O3151" s="7">
        <v>45536</v>
      </c>
      <c r="P3151" s="6">
        <v>47328</v>
      </c>
      <c r="Q3151" s="6">
        <v>47433.11</v>
      </c>
      <c r="R3151" s="7">
        <v>45536</v>
      </c>
      <c r="S3151" s="6">
        <v>371</v>
      </c>
      <c r="T3151" s="6">
        <v>-123</v>
      </c>
      <c r="U3151" s="7">
        <v>45536</v>
      </c>
      <c r="V3151" s="6">
        <v>0</v>
      </c>
      <c r="W3151" s="6">
        <f ca="1">IFERROR(__xludf.DUMMYFUNCTION("IFERROR(GOOGLEFINANCE(B3151,""pe""),V3151)"),0)</f>
        <v>0</v>
      </c>
      <c r="X3151" s="6">
        <v>0</v>
      </c>
      <c r="Y3151" s="6">
        <v>-0.01</v>
      </c>
      <c r="Z3151" s="6">
        <v>2</v>
      </c>
      <c r="AA3151" s="8">
        <v>45352</v>
      </c>
      <c r="AB3151" s="4">
        <v>-0.57999999999999996</v>
      </c>
      <c r="AC3151" s="6">
        <v>0</v>
      </c>
      <c r="AD3151" s="6">
        <v>0</v>
      </c>
      <c r="AE3151" s="1">
        <v>0</v>
      </c>
      <c r="AF3151" s="1">
        <f ca="1">IFERROR(__xludf.DUMMYFUNCTION("IFERROR(GOOGLEFINANCE(TRIM(F3151)&amp;"":"" &amp; TRIM(B3151),""high52""),AE3151)"),1.95)</f>
        <v>1.95</v>
      </c>
      <c r="AG3151" s="1">
        <v>0</v>
      </c>
      <c r="AH3151" s="1">
        <f ca="1">IFERROR(__xludf.DUMMYFUNCTION("IFERROR(GOOGLEFINANCE(TRIM(F3151)&amp;"":"" &amp; TRIM(B3151),""low52""),AE3151)"),0.95)</f>
        <v>0.95</v>
      </c>
      <c r="AI3151" s="1">
        <f ca="1">IFERROR(__xludf.DUMMYFUNCTION("IFERROR(GOOGLEFINANCE(B3151,""eps""),0)"),-36.95)</f>
        <v>-36.950000000000003</v>
      </c>
      <c r="AJ3151" s="1"/>
      <c r="AK3151" s="1" t="s">
        <v>9693</v>
      </c>
      <c r="AL3151" s="9">
        <f t="shared" si="305"/>
        <v>1</v>
      </c>
    </row>
    <row r="3152" spans="1:38" ht="15" x14ac:dyDescent="0.25">
      <c r="A3152" s="1" t="s">
        <v>9694</v>
      </c>
      <c r="B3152" s="1" t="s">
        <v>9695</v>
      </c>
      <c r="C3152" s="1" t="s">
        <v>106</v>
      </c>
      <c r="D3152" s="1" t="s">
        <v>106</v>
      </c>
      <c r="E3152" s="6">
        <v>18.21</v>
      </c>
      <c r="F3152" s="1" t="s">
        <v>53</v>
      </c>
      <c r="G3152" s="6">
        <f ca="1">IFERROR(__xludf.DUMMYFUNCTION("iferror(GOOGLEFINANCE(TRIM(F3152)&amp;"":"" &amp; TRIM(B3152), ""price""),0
)"),0)</f>
        <v>0</v>
      </c>
      <c r="H3152" s="6">
        <v>42.2</v>
      </c>
      <c r="I3152" s="6">
        <f t="shared" ca="1" si="0"/>
        <v>42.2</v>
      </c>
      <c r="J3152" s="6">
        <f ca="1">IFERROR(__xludf.DUMMYFUNCTION("IFERROR(GOOGLEFINANCE(B3152, ""volume""), 0)"),0)</f>
        <v>0</v>
      </c>
      <c r="K3152" s="6">
        <v>2.93</v>
      </c>
      <c r="L3152" s="6">
        <f ca="1">IFERROR(__xludf.DUMMYFUNCTION("IFERROR(GOOGLEFINANCE(B3152,""changepct""),K3152)"),2.93)</f>
        <v>2.93</v>
      </c>
      <c r="M3152" s="6">
        <f ca="1">IFERROR(__xludf.DUMMYFUNCTION("IFERROR(GOOGLEFINANCE(B3152,""change""),0)"),0)</f>
        <v>0</v>
      </c>
      <c r="N3152" s="6">
        <v>1</v>
      </c>
      <c r="O3152" s="7">
        <v>45536</v>
      </c>
      <c r="P3152" s="6">
        <v>8.19</v>
      </c>
      <c r="Q3152" s="6">
        <v>24.58</v>
      </c>
      <c r="R3152" s="7">
        <v>45536</v>
      </c>
      <c r="S3152" s="6">
        <v>29.62</v>
      </c>
      <c r="T3152" s="6">
        <v>0.47</v>
      </c>
      <c r="U3152" s="7">
        <v>45536</v>
      </c>
      <c r="V3152" s="6">
        <v>38.65</v>
      </c>
      <c r="W3152" s="6">
        <f ca="1">IFERROR(__xludf.DUMMYFUNCTION("IFERROR(GOOGLEFINANCE(B3152,""pe""),V3152)"),38.65)</f>
        <v>38.65</v>
      </c>
      <c r="X3152" s="9"/>
      <c r="Y3152" s="6">
        <v>1.33</v>
      </c>
      <c r="Z3152" s="6">
        <v>1</v>
      </c>
      <c r="AA3152" s="8">
        <v>45352</v>
      </c>
      <c r="AB3152" s="4">
        <v>0.67</v>
      </c>
      <c r="AC3152" s="6">
        <v>-9.48</v>
      </c>
      <c r="AD3152" s="6">
        <v>-4.47</v>
      </c>
      <c r="AE3152" s="1">
        <v>0</v>
      </c>
      <c r="AF3152" s="1">
        <f ca="1">IFERROR(__xludf.DUMMYFUNCTION("IFERROR(GOOGLEFINANCE(TRIM(F3152)&amp;"":"" &amp; TRIM(B3152),""high52""),AE3152)"),0)</f>
        <v>0</v>
      </c>
      <c r="AG3152" s="1">
        <v>0</v>
      </c>
      <c r="AH3152" s="1">
        <f ca="1">IFERROR(__xludf.DUMMYFUNCTION("IFERROR(GOOGLEFINANCE(TRIM(F3152)&amp;"":"" &amp; TRIM(B3152),""low52""),AE3152)"),0)</f>
        <v>0</v>
      </c>
      <c r="AI3152" s="1">
        <f ca="1">IFERROR(__xludf.DUMMYFUNCTION("IFERROR(GOOGLEFINANCE(B3152,""eps""),0)"),0)</f>
        <v>0</v>
      </c>
      <c r="AJ3152" s="1"/>
      <c r="AK3152" s="1" t="s">
        <v>9696</v>
      </c>
      <c r="AL3152" s="9">
        <f t="shared" si="305"/>
        <v>1</v>
      </c>
    </row>
    <row r="3153" spans="1:38" ht="15" x14ac:dyDescent="0.25">
      <c r="A3153" s="1" t="s">
        <v>9697</v>
      </c>
      <c r="B3153" s="1" t="s">
        <v>9698</v>
      </c>
      <c r="C3153" s="1" t="s">
        <v>94</v>
      </c>
      <c r="D3153" s="1" t="s">
        <v>94</v>
      </c>
      <c r="E3153" s="6">
        <v>189.17</v>
      </c>
      <c r="F3153" s="1" t="s">
        <v>40</v>
      </c>
      <c r="G3153" s="6">
        <f ca="1">IFERROR(__xludf.DUMMYFUNCTION("iferror(GOOGLEFINANCE(TRIM(F3153)&amp;"":"" &amp; TRIM(B3153), ""price""),0
)"),2.75)</f>
        <v>2.75</v>
      </c>
      <c r="H3153" s="6">
        <v>3.75</v>
      </c>
      <c r="I3153" s="6">
        <f t="shared" ca="1" si="0"/>
        <v>2.75</v>
      </c>
      <c r="J3153" s="6">
        <f ca="1">IFERROR(__xludf.DUMMYFUNCTION("IFERROR(GOOGLEFINANCE(B3153, ""volume""), 0)"),445766)</f>
        <v>445766</v>
      </c>
      <c r="K3153" s="6">
        <v>-2.09</v>
      </c>
      <c r="L3153" s="6">
        <f ca="1">IFERROR(__xludf.DUMMYFUNCTION("IFERROR(GOOGLEFINANCE(B3153,""changepct""),K3153)"),-3.51)</f>
        <v>-3.51</v>
      </c>
      <c r="M3153" s="6">
        <f ca="1">IFERROR(__xludf.DUMMYFUNCTION("IFERROR(GOOGLEFINANCE(B3153,""change""),0)"),-0.1)</f>
        <v>-0.1</v>
      </c>
      <c r="N3153" s="6">
        <v>1</v>
      </c>
      <c r="O3153" s="7">
        <v>45444</v>
      </c>
      <c r="P3153" s="6">
        <v>-10.42</v>
      </c>
      <c r="Q3153" s="7">
        <v>45444</v>
      </c>
      <c r="R3153" s="6">
        <v>0</v>
      </c>
      <c r="S3153" s="12"/>
      <c r="T3153" s="6">
        <v>-2.2799999999999998</v>
      </c>
      <c r="U3153" s="6">
        <v>1</v>
      </c>
      <c r="V3153" s="7">
        <v>44986</v>
      </c>
      <c r="W3153" s="6">
        <f ca="1">IFERROR(__xludf.DUMMYFUNCTION("IFERROR(GOOGLEFINANCE(B3153,""pe""),V3153)"),5.5)</f>
        <v>5.5</v>
      </c>
      <c r="X3153" s="6">
        <v>-1.1000000000000001</v>
      </c>
      <c r="Y3153" s="6">
        <v>0</v>
      </c>
      <c r="Z3153" s="6">
        <v>250.03</v>
      </c>
      <c r="AA3153" s="3" t="s">
        <v>9699</v>
      </c>
      <c r="AB3153" s="11"/>
      <c r="AC3153" s="9"/>
      <c r="AD3153" s="9"/>
      <c r="AE3153" s="1">
        <v>0</v>
      </c>
      <c r="AF3153" s="1">
        <f ca="1">IFERROR(__xludf.DUMMYFUNCTION("IFERROR(GOOGLEFINANCE(TRIM(F3153)&amp;"":"" &amp; TRIM(B3153),""high52""),AE3153)"),7.78)</f>
        <v>7.78</v>
      </c>
      <c r="AG3153" s="1">
        <v>0</v>
      </c>
      <c r="AH3153" s="1">
        <f ca="1">IFERROR(__xludf.DUMMYFUNCTION("IFERROR(GOOGLEFINANCE(TRIM(F3153)&amp;"":"" &amp; TRIM(B3153),""low52""),AE3153)"),2.61)</f>
        <v>2.61</v>
      </c>
      <c r="AI3153" s="1">
        <f ca="1">IFERROR(__xludf.DUMMYFUNCTION("IFERROR(GOOGLEFINANCE(B3153,""eps""),0)"),0.5)</f>
        <v>0.5</v>
      </c>
      <c r="AJ3153" s="1"/>
      <c r="AK3153" s="1" t="s">
        <v>9700</v>
      </c>
      <c r="AL3153" s="9">
        <f t="shared" si="305"/>
        <v>1</v>
      </c>
    </row>
    <row r="3154" spans="1:38" ht="15" x14ac:dyDescent="0.25">
      <c r="A3154" s="1" t="s">
        <v>9701</v>
      </c>
      <c r="B3154" s="1" t="s">
        <v>9702</v>
      </c>
      <c r="C3154" s="1" t="s">
        <v>86</v>
      </c>
      <c r="D3154" s="1" t="s">
        <v>86</v>
      </c>
      <c r="E3154" s="6">
        <v>1820.68</v>
      </c>
      <c r="F3154" s="1" t="s">
        <v>40</v>
      </c>
      <c r="G3154" s="6">
        <f ca="1">IFERROR(__xludf.DUMMYFUNCTION("iferror(GOOGLEFINANCE(TRIM(F3154)&amp;"":"" &amp; TRIM(B3154), ""price""),0
)"),710)</f>
        <v>710</v>
      </c>
      <c r="H3154" s="6">
        <v>1207</v>
      </c>
      <c r="I3154" s="6">
        <f t="shared" ca="1" si="0"/>
        <v>710</v>
      </c>
      <c r="J3154" s="6">
        <f ca="1">IFERROR(__xludf.DUMMYFUNCTION("IFERROR(GOOGLEFINANCE(B3154, ""volume""), 0)"),48164)</f>
        <v>48164</v>
      </c>
      <c r="K3154" s="6">
        <v>-0.06</v>
      </c>
      <c r="L3154" s="6">
        <f ca="1">IFERROR(__xludf.DUMMYFUNCTION("IFERROR(GOOGLEFINANCE(B3154,""changepct""),K3154)"),0.48)</f>
        <v>0.48</v>
      </c>
      <c r="M3154" s="6">
        <f ca="1">IFERROR(__xludf.DUMMYFUNCTION("IFERROR(GOOGLEFINANCE(B3154,""change""),0)"),3.4)</f>
        <v>3.4</v>
      </c>
      <c r="N3154" s="6">
        <v>2</v>
      </c>
      <c r="O3154" s="7">
        <v>45536</v>
      </c>
      <c r="P3154" s="9"/>
      <c r="Q3154" s="6">
        <v>1820.68</v>
      </c>
      <c r="R3154" s="7">
        <v>45536</v>
      </c>
      <c r="S3154" s="6">
        <v>54.1</v>
      </c>
      <c r="T3154" s="6">
        <v>10.44</v>
      </c>
      <c r="U3154" s="7">
        <v>45536</v>
      </c>
      <c r="V3154" s="6">
        <v>136.43</v>
      </c>
      <c r="W3154" s="6">
        <f ca="1">IFERROR(__xludf.DUMMYFUNCTION("IFERROR(GOOGLEFINANCE(B3154,""pe""),V3154)"),86.61)</f>
        <v>86.61</v>
      </c>
      <c r="X3154" s="6">
        <v>18.41</v>
      </c>
      <c r="Y3154" s="6">
        <v>3.86</v>
      </c>
      <c r="Z3154" s="6">
        <v>2</v>
      </c>
      <c r="AA3154" s="8">
        <v>45352</v>
      </c>
      <c r="AB3154" s="4">
        <v>0</v>
      </c>
      <c r="AC3154" s="6">
        <v>2.95</v>
      </c>
      <c r="AD3154" s="6">
        <v>4.2</v>
      </c>
      <c r="AE3154" s="1">
        <v>0</v>
      </c>
      <c r="AF3154" s="1">
        <f ca="1">IFERROR(__xludf.DUMMYFUNCTION("IFERROR(GOOGLEFINANCE(TRIM(F3154)&amp;"":"" &amp; TRIM(B3154),""high52""),AE3154)"),1047.9)</f>
        <v>1047.9000000000001</v>
      </c>
      <c r="AG3154" s="1">
        <v>0</v>
      </c>
      <c r="AH3154" s="1">
        <f ca="1">IFERROR(__xludf.DUMMYFUNCTION("IFERROR(GOOGLEFINANCE(TRIM(F3154)&amp;"":"" &amp; TRIM(B3154),""low52""),AE3154)"),681.4)</f>
        <v>681.4</v>
      </c>
      <c r="AI3154" s="1">
        <f ca="1">IFERROR(__xludf.DUMMYFUNCTION("IFERROR(GOOGLEFINANCE(B3154,""eps""),0)"),8.2)</f>
        <v>8.1999999999999993</v>
      </c>
      <c r="AJ3154" s="1"/>
      <c r="AK3154" s="1" t="s">
        <v>9703</v>
      </c>
      <c r="AL3154" s="9">
        <f t="shared" si="305"/>
        <v>1</v>
      </c>
    </row>
    <row r="3155" spans="1:38" ht="15" x14ac:dyDescent="0.25">
      <c r="A3155" s="1" t="s">
        <v>9704</v>
      </c>
      <c r="B3155" s="1" t="s">
        <v>9705</v>
      </c>
      <c r="C3155" s="1" t="s">
        <v>106</v>
      </c>
      <c r="D3155" s="1" t="s">
        <v>106</v>
      </c>
      <c r="E3155" s="6">
        <v>129.28</v>
      </c>
      <c r="F3155" s="1" t="s">
        <v>53</v>
      </c>
      <c r="G3155" s="6">
        <f ca="1">IFERROR(__xludf.DUMMYFUNCTION("iferror(GOOGLEFINANCE(TRIM(F3155)&amp;"":"" &amp; TRIM(B3155), ""price""),0
)"),0)</f>
        <v>0</v>
      </c>
      <c r="H3155" s="6">
        <v>218.8</v>
      </c>
      <c r="I3155" s="6">
        <f t="shared" ca="1" si="0"/>
        <v>218.8</v>
      </c>
      <c r="J3155" s="6">
        <f ca="1">IFERROR(__xludf.DUMMYFUNCTION("IFERROR(GOOGLEFINANCE(B3155, ""volume""), 0)"),0)</f>
        <v>0</v>
      </c>
      <c r="K3155" s="6">
        <v>-0.14000000000000001</v>
      </c>
      <c r="L3155" s="6">
        <f ca="1">IFERROR(__xludf.DUMMYFUNCTION("IFERROR(GOOGLEFINANCE(B3155,""changepct""),K3155)"),-0.14)</f>
        <v>-0.14000000000000001</v>
      </c>
      <c r="M3155" s="6">
        <f ca="1">IFERROR(__xludf.DUMMYFUNCTION("IFERROR(GOOGLEFINANCE(B3155,""change""),0)"),0)</f>
        <v>0</v>
      </c>
      <c r="N3155" s="6">
        <v>2</v>
      </c>
      <c r="O3155" s="7">
        <v>45536</v>
      </c>
      <c r="P3155" s="6">
        <v>4.28</v>
      </c>
      <c r="Q3155" s="6">
        <v>131.82</v>
      </c>
      <c r="R3155" s="15">
        <v>45536</v>
      </c>
      <c r="S3155" s="6">
        <v>113.48</v>
      </c>
      <c r="T3155" s="6">
        <v>7.04</v>
      </c>
      <c r="U3155" s="7">
        <v>45536</v>
      </c>
      <c r="V3155" s="6">
        <v>25.84</v>
      </c>
      <c r="W3155" s="6">
        <f ca="1">IFERROR(__xludf.DUMMYFUNCTION("IFERROR(GOOGLEFINANCE(B3155,""pe""),V3155)"),25.84)</f>
        <v>25.84</v>
      </c>
      <c r="X3155" s="9"/>
      <c r="Y3155" s="6">
        <v>1.82</v>
      </c>
      <c r="Z3155" s="6">
        <v>2</v>
      </c>
      <c r="AA3155" s="8">
        <v>45352</v>
      </c>
      <c r="AB3155" s="4">
        <v>0.28000000000000003</v>
      </c>
      <c r="AC3155" s="6">
        <v>-7.28</v>
      </c>
      <c r="AD3155" s="6">
        <v>-2.36</v>
      </c>
      <c r="AE3155" s="1">
        <v>0</v>
      </c>
      <c r="AF3155" s="1">
        <f ca="1">IFERROR(__xludf.DUMMYFUNCTION("IFERROR(GOOGLEFINANCE(TRIM(F3155)&amp;"":"" &amp; TRIM(B3155),""high52""),AE3155)"),0)</f>
        <v>0</v>
      </c>
      <c r="AG3155" s="1">
        <v>0</v>
      </c>
      <c r="AH3155" s="1">
        <f ca="1">IFERROR(__xludf.DUMMYFUNCTION("IFERROR(GOOGLEFINANCE(TRIM(F3155)&amp;"":"" &amp; TRIM(B3155),""low52""),AE3155)"),0)</f>
        <v>0</v>
      </c>
      <c r="AI3155" s="1">
        <f ca="1">IFERROR(__xludf.DUMMYFUNCTION("IFERROR(GOOGLEFINANCE(B3155,""eps""),0)"),0)</f>
        <v>0</v>
      </c>
      <c r="AJ3155" s="1"/>
      <c r="AK3155" s="1" t="s">
        <v>9706</v>
      </c>
      <c r="AL3155" s="9">
        <f t="shared" si="305"/>
        <v>1</v>
      </c>
    </row>
    <row r="3156" spans="1:38" ht="15" x14ac:dyDescent="0.25">
      <c r="A3156" s="1" t="s">
        <v>9707</v>
      </c>
      <c r="B3156" s="1" t="s">
        <v>9708</v>
      </c>
      <c r="C3156" s="1" t="s">
        <v>1546</v>
      </c>
      <c r="D3156" s="1" t="s">
        <v>1546</v>
      </c>
      <c r="E3156" s="6">
        <v>1680247</v>
      </c>
      <c r="F3156" s="1" t="s">
        <v>40</v>
      </c>
      <c r="G3156" s="6">
        <f ca="1">IFERROR(__xludf.DUMMYFUNCTION("iferror(GOOGLEFINANCE(TRIM(F3156)&amp;"":"" &amp; TRIM(B3156), ""price""),0
)"),1388)</f>
        <v>1388</v>
      </c>
      <c r="H3156" s="6">
        <v>1242.8</v>
      </c>
      <c r="I3156" s="6">
        <f t="shared" ca="1" si="0"/>
        <v>1388</v>
      </c>
      <c r="J3156" s="6">
        <f ca="1">IFERROR(__xludf.DUMMYFUNCTION("IFERROR(GOOGLEFINANCE(B3156, ""volume""), 0)"),15711165)</f>
        <v>15711165</v>
      </c>
      <c r="K3156" s="6">
        <v>0.08</v>
      </c>
      <c r="L3156" s="6">
        <f ca="1">IFERROR(__xludf.DUMMYFUNCTION("IFERROR(GOOGLEFINANCE(B3156,""changepct""),K3156)"),3.04)</f>
        <v>3.04</v>
      </c>
      <c r="M3156" s="6">
        <f ca="1">IFERROR(__xludf.DUMMYFUNCTION("IFERROR(GOOGLEFINANCE(B3156,""change""),0)"),41)</f>
        <v>41</v>
      </c>
      <c r="N3156" s="6">
        <v>2</v>
      </c>
      <c r="O3156" s="7">
        <v>45536</v>
      </c>
      <c r="P3156" s="6">
        <v>336337</v>
      </c>
      <c r="Q3156" s="6">
        <v>2016584</v>
      </c>
      <c r="R3156" s="7">
        <v>45536</v>
      </c>
      <c r="S3156" s="6">
        <v>940383</v>
      </c>
      <c r="T3156" s="6">
        <v>77180</v>
      </c>
      <c r="U3156" s="7">
        <v>45536</v>
      </c>
      <c r="V3156" s="6">
        <v>24.74</v>
      </c>
      <c r="W3156" s="6">
        <f ca="1">IFERROR(__xludf.DUMMYFUNCTION("IFERROR(GOOGLEFINANCE(B3156,""pe""),V3156)"),22.57)</f>
        <v>22.57</v>
      </c>
      <c r="X3156" s="6">
        <v>2.0699999999999998</v>
      </c>
      <c r="Y3156" s="6">
        <v>2.0299999999999998</v>
      </c>
      <c r="Z3156" s="6">
        <v>2</v>
      </c>
      <c r="AA3156" s="8">
        <v>45352</v>
      </c>
      <c r="AB3156" s="4">
        <v>0.41</v>
      </c>
      <c r="AC3156" s="6">
        <v>10.48</v>
      </c>
      <c r="AD3156" s="6">
        <v>11.9</v>
      </c>
      <c r="AE3156" s="1">
        <v>0</v>
      </c>
      <c r="AF3156" s="1">
        <f ca="1">IFERROR(__xludf.DUMMYFUNCTION("IFERROR(GOOGLEFINANCE(TRIM(F3156)&amp;"":"" &amp; TRIM(B3156),""high52""),AE3156)"),1611.8)</f>
        <v>1611.8</v>
      </c>
      <c r="AG3156" s="1">
        <v>0</v>
      </c>
      <c r="AH3156" s="1">
        <f ca="1">IFERROR(__xludf.DUMMYFUNCTION("IFERROR(GOOGLEFINANCE(TRIM(F3156)&amp;"":"" &amp; TRIM(B3156),""low52""),AE3156)"),1114.85)</f>
        <v>1114.8499999999999</v>
      </c>
      <c r="AI3156" s="1">
        <f ca="1">IFERROR(__xludf.DUMMYFUNCTION("IFERROR(GOOGLEFINANCE(B3156,""eps""),0)"),61.49)</f>
        <v>61.49</v>
      </c>
      <c r="AJ3156" s="1"/>
      <c r="AK3156" s="1" t="s">
        <v>9709</v>
      </c>
      <c r="AL3156" s="9">
        <f t="shared" si="305"/>
        <v>1</v>
      </c>
    </row>
    <row r="3157" spans="1:38" ht="15" x14ac:dyDescent="0.25">
      <c r="A3157" s="1" t="s">
        <v>9710</v>
      </c>
      <c r="B3157" s="1" t="s">
        <v>9711</v>
      </c>
      <c r="C3157" s="1" t="s">
        <v>268</v>
      </c>
      <c r="D3157" s="1" t="s">
        <v>268</v>
      </c>
      <c r="E3157" s="6">
        <v>12832.67</v>
      </c>
      <c r="F3157" s="1" t="s">
        <v>40</v>
      </c>
      <c r="G3157" s="6">
        <f ca="1">IFERROR(__xludf.DUMMYFUNCTION("iferror(GOOGLEFINANCE(TRIM(F3157)&amp;"":"" &amp; TRIM(B3157), ""price""),0
)"),120.98)</f>
        <v>120.98</v>
      </c>
      <c r="H3157" s="6">
        <v>319.60000000000002</v>
      </c>
      <c r="I3157" s="6">
        <f t="shared" ca="1" si="0"/>
        <v>120.98</v>
      </c>
      <c r="J3157" s="6">
        <f ca="1">IFERROR(__xludf.DUMMYFUNCTION("IFERROR(GOOGLEFINANCE(B3157, ""volume""), 0)"),154571)</f>
        <v>154571</v>
      </c>
      <c r="K3157" s="6">
        <v>-0.95</v>
      </c>
      <c r="L3157" s="6">
        <f ca="1">IFERROR(__xludf.DUMMYFUNCTION("IFERROR(GOOGLEFINANCE(B3157,""changepct""),K3157)"),-4.99)</f>
        <v>-4.99</v>
      </c>
      <c r="M3157" s="6">
        <f ca="1">IFERROR(__xludf.DUMMYFUNCTION("IFERROR(GOOGLEFINANCE(B3157,""change""),0)"),-6.36)</f>
        <v>-6.36</v>
      </c>
      <c r="N3157" s="6">
        <v>2</v>
      </c>
      <c r="O3157" s="7">
        <v>45536</v>
      </c>
      <c r="P3157" s="6">
        <v>6680.75</v>
      </c>
      <c r="Q3157" s="6">
        <v>16456.77</v>
      </c>
      <c r="R3157" s="7">
        <v>45536</v>
      </c>
      <c r="S3157" s="6">
        <v>23794.61</v>
      </c>
      <c r="T3157" s="6">
        <v>3430.73</v>
      </c>
      <c r="U3157" s="7">
        <v>45536</v>
      </c>
      <c r="V3157" s="6">
        <v>4</v>
      </c>
      <c r="W3157" s="6">
        <f ca="1">IFERROR(__xludf.DUMMYFUNCTION("IFERROR(GOOGLEFINANCE(B3157,""pe""),V3157)"),1.59)</f>
        <v>1.59</v>
      </c>
      <c r="X3157" s="9"/>
      <c r="Y3157" s="6">
        <v>-1.19</v>
      </c>
      <c r="Z3157" s="6">
        <v>2</v>
      </c>
      <c r="AA3157" s="8">
        <v>45352</v>
      </c>
      <c r="AB3157" s="4">
        <v>-0.67</v>
      </c>
      <c r="AC3157" s="6">
        <v>0</v>
      </c>
      <c r="AD3157" s="6">
        <v>0</v>
      </c>
      <c r="AE3157" s="1">
        <v>0</v>
      </c>
      <c r="AF3157" s="1">
        <f ca="1">IFERROR(__xludf.DUMMYFUNCTION("IFERROR(GOOGLEFINANCE(TRIM(F3157)&amp;"":"" &amp; TRIM(B3157),""high52""),AE3157)"),423.4)</f>
        <v>423.4</v>
      </c>
      <c r="AG3157" s="1">
        <v>0</v>
      </c>
      <c r="AH3157" s="1">
        <f ca="1">IFERROR(__xludf.DUMMYFUNCTION("IFERROR(GOOGLEFINANCE(TRIM(F3157)&amp;"":"" &amp; TRIM(B3157),""low52""),AE3157)"),120.98)</f>
        <v>120.98</v>
      </c>
      <c r="AI3157" s="1">
        <f ca="1">IFERROR(__xludf.DUMMYFUNCTION("IFERROR(GOOGLEFINANCE(B3157,""eps""),0)"),76.26)</f>
        <v>76.260000000000005</v>
      </c>
      <c r="AJ3157" s="1"/>
      <c r="AK3157" s="1" t="s">
        <v>9712</v>
      </c>
      <c r="AL3157" s="9">
        <f t="shared" si="305"/>
        <v>1</v>
      </c>
    </row>
    <row r="3158" spans="1:38" ht="15" x14ac:dyDescent="0.25">
      <c r="A3158" s="1" t="s">
        <v>9713</v>
      </c>
      <c r="B3158" s="1" t="s">
        <v>9714</v>
      </c>
      <c r="C3158" s="1" t="s">
        <v>268</v>
      </c>
      <c r="D3158" s="1" t="s">
        <v>268</v>
      </c>
      <c r="E3158" s="6">
        <v>18594.560000000001</v>
      </c>
      <c r="F3158" s="1" t="s">
        <v>40</v>
      </c>
      <c r="G3158" s="6">
        <f ca="1">IFERROR(__xludf.DUMMYFUNCTION("iferror(GOOGLEFINANCE(TRIM(F3158)&amp;"":"" &amp; TRIM(B3158), ""price""),0
)"),27.11)</f>
        <v>27.11</v>
      </c>
      <c r="H3158" s="6">
        <v>45.9</v>
      </c>
      <c r="I3158" s="6">
        <f t="shared" ca="1" si="0"/>
        <v>27.11</v>
      </c>
      <c r="J3158" s="6">
        <f ca="1">IFERROR(__xludf.DUMMYFUNCTION("IFERROR(GOOGLEFINANCE(B3158, ""volume""), 0)"),51171309)</f>
        <v>51171309</v>
      </c>
      <c r="K3158" s="6">
        <v>-0.84</v>
      </c>
      <c r="L3158" s="6">
        <f ca="1">IFERROR(__xludf.DUMMYFUNCTION("IFERROR(GOOGLEFINANCE(B3158,""changepct""),K3158)"),-0.55)</f>
        <v>-0.55000000000000004</v>
      </c>
      <c r="M3158" s="6">
        <f ca="1">IFERROR(__xludf.DUMMYFUNCTION("IFERROR(GOOGLEFINANCE(B3158,""change""),0)"),-0.15)</f>
        <v>-0.15</v>
      </c>
      <c r="N3158" s="6">
        <v>2</v>
      </c>
      <c r="O3158" s="7">
        <v>45536</v>
      </c>
      <c r="P3158" s="6">
        <v>14902.83</v>
      </c>
      <c r="Q3158" s="6">
        <v>32650.720000000001</v>
      </c>
      <c r="R3158" s="7">
        <v>45536</v>
      </c>
      <c r="S3158" s="6">
        <v>7695.27</v>
      </c>
      <c r="T3158" s="6">
        <v>1098.78</v>
      </c>
      <c r="U3158" s="7">
        <v>45536</v>
      </c>
      <c r="V3158" s="6">
        <v>14.92</v>
      </c>
      <c r="W3158" s="6">
        <f ca="1">IFERROR(__xludf.DUMMYFUNCTION("IFERROR(GOOGLEFINANCE(B3158,""pe""),V3158)"),36.95)</f>
        <v>36.950000000000003</v>
      </c>
      <c r="X3158" s="9"/>
      <c r="Y3158" s="6">
        <v>1.29</v>
      </c>
      <c r="Z3158" s="6">
        <v>2</v>
      </c>
      <c r="AA3158" s="8">
        <v>45352</v>
      </c>
      <c r="AB3158" s="4">
        <v>1.62</v>
      </c>
      <c r="AC3158" s="6">
        <v>-19.39</v>
      </c>
      <c r="AD3158" s="6">
        <v>1.34</v>
      </c>
      <c r="AE3158" s="1">
        <v>0</v>
      </c>
      <c r="AF3158" s="1">
        <f ca="1">IFERROR(__xludf.DUMMYFUNCTION("IFERROR(GOOGLEFINANCE(TRIM(F3158)&amp;"":"" &amp; TRIM(B3158),""high52""),AE3158)"),76.49)</f>
        <v>76.489999999999995</v>
      </c>
      <c r="AG3158" s="1">
        <v>0</v>
      </c>
      <c r="AH3158" s="1">
        <f ca="1">IFERROR(__xludf.DUMMYFUNCTION("IFERROR(GOOGLEFINANCE(TRIM(F3158)&amp;"":"" &amp; TRIM(B3158),""low52""),AE3158)"),25.92)</f>
        <v>25.92</v>
      </c>
      <c r="AI3158" s="1">
        <f ca="1">IFERROR(__xludf.DUMMYFUNCTION("IFERROR(GOOGLEFINANCE(B3158,""eps""),0)"),0.73)</f>
        <v>0.73</v>
      </c>
      <c r="AJ3158" s="1"/>
      <c r="AK3158" s="1" t="s">
        <v>9715</v>
      </c>
      <c r="AL3158" s="9">
        <f t="shared" si="305"/>
        <v>1</v>
      </c>
    </row>
    <row r="3159" spans="1:38" ht="15" x14ac:dyDescent="0.25">
      <c r="A3159" s="1" t="s">
        <v>9716</v>
      </c>
      <c r="B3159" s="1" t="s">
        <v>9717</v>
      </c>
      <c r="C3159" s="1" t="s">
        <v>43</v>
      </c>
      <c r="D3159" s="1" t="s">
        <v>43</v>
      </c>
      <c r="E3159" s="6">
        <v>9303.24</v>
      </c>
      <c r="F3159" s="1" t="s">
        <v>40</v>
      </c>
      <c r="G3159" s="6">
        <f ca="1">IFERROR(__xludf.DUMMYFUNCTION("iferror(GOOGLEFINANCE(TRIM(F3159)&amp;"":"" &amp; TRIM(B3159), ""price""),0
)"),237)</f>
        <v>237</v>
      </c>
      <c r="H3159" s="6">
        <v>284.3</v>
      </c>
      <c r="I3159" s="6">
        <f t="shared" ca="1" si="0"/>
        <v>237</v>
      </c>
      <c r="J3159" s="6">
        <f ca="1">IFERROR(__xludf.DUMMYFUNCTION("IFERROR(GOOGLEFINANCE(B3159, ""volume""), 0)"),673125)</f>
        <v>673125</v>
      </c>
      <c r="K3159" s="6">
        <v>1.1399999999999999</v>
      </c>
      <c r="L3159" s="6">
        <f ca="1">IFERROR(__xludf.DUMMYFUNCTION("IFERROR(GOOGLEFINANCE(B3159,""changepct""),K3159)"),5.03)</f>
        <v>5.03</v>
      </c>
      <c r="M3159" s="6">
        <f ca="1">IFERROR(__xludf.DUMMYFUNCTION("IFERROR(GOOGLEFINANCE(B3159,""change""),0)"),11.34)</f>
        <v>11.34</v>
      </c>
      <c r="N3159" s="6">
        <v>2</v>
      </c>
      <c r="O3159" s="7">
        <v>45536</v>
      </c>
      <c r="P3159" s="6">
        <v>309.83</v>
      </c>
      <c r="Q3159" s="7">
        <v>45536</v>
      </c>
      <c r="R3159" s="6">
        <v>43.5</v>
      </c>
      <c r="S3159" s="6">
        <v>2.83</v>
      </c>
      <c r="T3159" s="6">
        <v>3.8</v>
      </c>
      <c r="U3159" s="6">
        <v>2</v>
      </c>
      <c r="V3159" s="7">
        <v>45352</v>
      </c>
      <c r="W3159" s="6">
        <f ca="1">IFERROR(__xludf.DUMMYFUNCTION("IFERROR(GOOGLEFINANCE(B3159,""pe""),V3159)"),68.26)</f>
        <v>68.260000000000005</v>
      </c>
      <c r="X3159" s="6">
        <v>0.15</v>
      </c>
      <c r="Y3159" s="6">
        <v>15.82</v>
      </c>
      <c r="Z3159" s="6">
        <v>20.440000000000001</v>
      </c>
      <c r="AA3159" s="3" t="s">
        <v>9718</v>
      </c>
      <c r="AB3159" s="3"/>
      <c r="AC3159" s="9"/>
      <c r="AD3159" s="9"/>
      <c r="AE3159" s="1">
        <v>0</v>
      </c>
      <c r="AF3159" s="1">
        <f ca="1">IFERROR(__xludf.DUMMYFUNCTION("IFERROR(GOOGLEFINANCE(TRIM(F3159)&amp;"":"" &amp; TRIM(B3159),""high52""),AE3159)"),295)</f>
        <v>295</v>
      </c>
      <c r="AG3159" s="1">
        <v>0</v>
      </c>
      <c r="AH3159" s="1">
        <f ca="1">IFERROR(__xludf.DUMMYFUNCTION("IFERROR(GOOGLEFINANCE(TRIM(F3159)&amp;"":"" &amp; TRIM(B3159),""low52""),AE3159)"),202.52)</f>
        <v>202.52</v>
      </c>
      <c r="AI3159" s="1">
        <f ca="1">IFERROR(__xludf.DUMMYFUNCTION("IFERROR(GOOGLEFINANCE(B3159,""eps""),0)"),3.47)</f>
        <v>3.47</v>
      </c>
      <c r="AJ3159" s="1"/>
      <c r="AK3159" s="1" t="s">
        <v>9719</v>
      </c>
      <c r="AL3159" s="9">
        <f t="shared" si="305"/>
        <v>1</v>
      </c>
    </row>
    <row r="3160" spans="1:38" ht="15" x14ac:dyDescent="0.25">
      <c r="A3160" s="1" t="s">
        <v>9720</v>
      </c>
      <c r="B3160" s="1" t="s">
        <v>9721</v>
      </c>
      <c r="C3160" s="1" t="s">
        <v>355</v>
      </c>
      <c r="D3160" s="1" t="s">
        <v>355</v>
      </c>
      <c r="E3160" s="6">
        <v>492.31</v>
      </c>
      <c r="F3160" s="1" t="s">
        <v>40</v>
      </c>
      <c r="G3160" s="6">
        <f ca="1">IFERROR(__xludf.DUMMYFUNCTION("iferror(GOOGLEFINANCE(TRIM(F3160)&amp;"":"" &amp; TRIM(B3160), ""price""),0
)"),106.31)</f>
        <v>106.31</v>
      </c>
      <c r="H3160" s="6">
        <v>142.97</v>
      </c>
      <c r="I3160" s="6">
        <f t="shared" ca="1" si="0"/>
        <v>106.31</v>
      </c>
      <c r="J3160" s="6">
        <f ca="1">IFERROR(__xludf.DUMMYFUNCTION("IFERROR(GOOGLEFINANCE(B3160, ""volume""), 0)"),60375)</f>
        <v>60375</v>
      </c>
      <c r="K3160" s="6">
        <v>0.52</v>
      </c>
      <c r="L3160" s="6">
        <f ca="1">IFERROR(__xludf.DUMMYFUNCTION("IFERROR(GOOGLEFINANCE(B3160,""changepct""),K3160)"),0.17)</f>
        <v>0.17</v>
      </c>
      <c r="M3160" s="6">
        <f ca="1">IFERROR(__xludf.DUMMYFUNCTION("IFERROR(GOOGLEFINANCE(B3160,""change""),0)"),0.18)</f>
        <v>0.18</v>
      </c>
      <c r="N3160" s="6">
        <v>2</v>
      </c>
      <c r="O3160" s="7">
        <v>45536</v>
      </c>
      <c r="P3160" s="6">
        <v>75.88</v>
      </c>
      <c r="Q3160" s="6">
        <v>538.41</v>
      </c>
      <c r="R3160" s="7">
        <v>45536</v>
      </c>
      <c r="S3160" s="6">
        <v>331.04</v>
      </c>
      <c r="T3160" s="6">
        <v>14.23</v>
      </c>
      <c r="U3160" s="7">
        <v>45536</v>
      </c>
      <c r="V3160" s="6">
        <v>34.22</v>
      </c>
      <c r="W3160" s="6">
        <f ca="1">IFERROR(__xludf.DUMMYFUNCTION("IFERROR(GOOGLEFINANCE(B3160,""pe""),V3160)"),22.86)</f>
        <v>22.86</v>
      </c>
      <c r="X3160" s="9"/>
      <c r="Y3160" s="6">
        <v>4.2</v>
      </c>
      <c r="Z3160" s="6">
        <v>2</v>
      </c>
      <c r="AA3160" s="8">
        <v>45352</v>
      </c>
      <c r="AB3160" s="4">
        <v>0.54</v>
      </c>
      <c r="AC3160" s="6">
        <v>17.350000000000001</v>
      </c>
      <c r="AD3160" s="6">
        <v>15.84</v>
      </c>
      <c r="AE3160" s="1">
        <v>0</v>
      </c>
      <c r="AF3160" s="1">
        <f ca="1">IFERROR(__xludf.DUMMYFUNCTION("IFERROR(GOOGLEFINANCE(TRIM(F3160)&amp;"":"" &amp; TRIM(B3160),""high52""),AE3160)"),157)</f>
        <v>157</v>
      </c>
      <c r="AG3160" s="1">
        <v>0</v>
      </c>
      <c r="AH3160" s="1">
        <f ca="1">IFERROR(__xludf.DUMMYFUNCTION("IFERROR(GOOGLEFINANCE(TRIM(F3160)&amp;"":"" &amp; TRIM(B3160),""low52""),AE3160)"),101.37)</f>
        <v>101.37</v>
      </c>
      <c r="AI3160" s="1">
        <f ca="1">IFERROR(__xludf.DUMMYFUNCTION("IFERROR(GOOGLEFINANCE(B3160,""eps""),0)"),4.65)</f>
        <v>4.6500000000000004</v>
      </c>
      <c r="AJ3160" s="1"/>
      <c r="AK3160" s="1" t="s">
        <v>9722</v>
      </c>
      <c r="AL3160" s="1" t="b">
        <f>ISNUMBER(AA3160)</f>
        <v>1</v>
      </c>
    </row>
    <row r="3161" spans="1:38" ht="15" x14ac:dyDescent="0.25">
      <c r="A3161" s="1" t="s">
        <v>9723</v>
      </c>
      <c r="B3161" s="1" t="s">
        <v>9724</v>
      </c>
      <c r="C3161" s="1" t="s">
        <v>106</v>
      </c>
      <c r="D3161" s="1" t="s">
        <v>106</v>
      </c>
      <c r="E3161" s="6">
        <v>1439.24</v>
      </c>
      <c r="F3161" s="1" t="s">
        <v>40</v>
      </c>
      <c r="G3161" s="6">
        <f ca="1">IFERROR(__xludf.DUMMYFUNCTION("iferror(GOOGLEFINANCE(TRIM(F3161)&amp;"":"" &amp; TRIM(B3161), ""price""),0
)"),0)</f>
        <v>0</v>
      </c>
      <c r="H3161" s="6">
        <v>2493</v>
      </c>
      <c r="I3161" s="6">
        <f t="shared" ca="1" si="0"/>
        <v>2493</v>
      </c>
      <c r="J3161" s="6">
        <f ca="1">IFERROR(__xludf.DUMMYFUNCTION("IFERROR(GOOGLEFINANCE(B3161, ""volume""), 0)"),0)</f>
        <v>0</v>
      </c>
      <c r="K3161" s="6">
        <v>2.06</v>
      </c>
      <c r="L3161" s="6">
        <f ca="1">IFERROR(__xludf.DUMMYFUNCTION("IFERROR(GOOGLEFINANCE(B3161,""changepct""),K3161)"),2.06)</f>
        <v>2.06</v>
      </c>
      <c r="M3161" s="6">
        <f ca="1">IFERROR(__xludf.DUMMYFUNCTION("IFERROR(GOOGLEFINANCE(B3161,""change""),0)"),0)</f>
        <v>0</v>
      </c>
      <c r="N3161" s="6">
        <v>1</v>
      </c>
      <c r="O3161" s="7">
        <v>45536</v>
      </c>
      <c r="P3161" s="6">
        <v>2.29</v>
      </c>
      <c r="Q3161" s="6">
        <v>1441.53</v>
      </c>
      <c r="R3161" s="15">
        <v>45352</v>
      </c>
      <c r="S3161" s="6">
        <v>63.5</v>
      </c>
      <c r="T3161" s="6">
        <v>16.82</v>
      </c>
      <c r="U3161" s="7">
        <v>45352</v>
      </c>
      <c r="V3161" s="6">
        <v>85.57</v>
      </c>
      <c r="W3161" s="6">
        <f ca="1">IFERROR(__xludf.DUMMYFUNCTION("IFERROR(GOOGLEFINANCE(B3161,""pe""),V3161)"),85.57)</f>
        <v>85.57</v>
      </c>
      <c r="X3161" s="9"/>
      <c r="Y3161" s="6">
        <v>16.64</v>
      </c>
      <c r="Z3161" s="6">
        <v>2</v>
      </c>
      <c r="AA3161" s="8">
        <v>45352</v>
      </c>
      <c r="AB3161" s="4">
        <v>0.13</v>
      </c>
      <c r="AC3161" s="6">
        <v>29.91</v>
      </c>
      <c r="AD3161" s="6">
        <v>32.840000000000003</v>
      </c>
      <c r="AE3161" s="1">
        <v>0</v>
      </c>
      <c r="AF3161" s="1">
        <f ca="1">IFERROR(__xludf.DUMMYFUNCTION("IFERROR(GOOGLEFINANCE(TRIM(F3161)&amp;"":"" &amp; TRIM(B3161),""high52""),AE3161)"),0)</f>
        <v>0</v>
      </c>
      <c r="AG3161" s="1">
        <v>0</v>
      </c>
      <c r="AH3161" s="1">
        <f ca="1">IFERROR(__xludf.DUMMYFUNCTION("IFERROR(GOOGLEFINANCE(TRIM(F3161)&amp;"":"" &amp; TRIM(B3161),""low52""),AE3161)"),0)</f>
        <v>0</v>
      </c>
      <c r="AI3161" s="1">
        <f ca="1">IFERROR(__xludf.DUMMYFUNCTION("IFERROR(GOOGLEFINANCE(B3161,""eps""),0)"),0)</f>
        <v>0</v>
      </c>
      <c r="AJ3161" s="1"/>
      <c r="AK3161" s="1" t="s">
        <v>9725</v>
      </c>
      <c r="AL3161" s="9">
        <f t="shared" ref="AL3161:AL3182" si="306">IF(AA3161&lt;&gt;AB3161,1,0)</f>
        <v>1</v>
      </c>
    </row>
    <row r="3162" spans="1:38" ht="15" x14ac:dyDescent="0.25">
      <c r="A3162" s="1" t="s">
        <v>9726</v>
      </c>
      <c r="B3162" s="1" t="s">
        <v>9727</v>
      </c>
      <c r="C3162" s="1" t="s">
        <v>106</v>
      </c>
      <c r="D3162" s="1" t="s">
        <v>106</v>
      </c>
      <c r="E3162" s="6">
        <v>106.81</v>
      </c>
      <c r="F3162" s="1" t="s">
        <v>53</v>
      </c>
      <c r="G3162" s="6">
        <f ca="1">IFERROR(__xludf.DUMMYFUNCTION("iferror(GOOGLEFINANCE(TRIM(F3162)&amp;"":"" &amp; TRIM(B3162), ""price""),0
)"),0)</f>
        <v>0</v>
      </c>
      <c r="H3162" s="6">
        <v>920</v>
      </c>
      <c r="I3162" s="6">
        <f t="shared" ca="1" si="0"/>
        <v>920</v>
      </c>
      <c r="J3162" s="6">
        <f ca="1">IFERROR(__xludf.DUMMYFUNCTION("IFERROR(GOOGLEFINANCE(B3162, ""volume""), 0)"),0)</f>
        <v>0</v>
      </c>
      <c r="K3162" s="6">
        <v>3.36</v>
      </c>
      <c r="L3162" s="6">
        <f ca="1">IFERROR(__xludf.DUMMYFUNCTION("IFERROR(GOOGLEFINANCE(B3162,""changepct""),K3162)"),3.36)</f>
        <v>3.36</v>
      </c>
      <c r="M3162" s="6">
        <f ca="1">IFERROR(__xludf.DUMMYFUNCTION("IFERROR(GOOGLEFINANCE(B3162,""change""),0)"),0)</f>
        <v>0</v>
      </c>
      <c r="N3162" s="6">
        <v>1</v>
      </c>
      <c r="O3162" s="7">
        <v>45536</v>
      </c>
      <c r="P3162" s="6">
        <v>2.96</v>
      </c>
      <c r="Q3162" s="6">
        <v>107.1</v>
      </c>
      <c r="R3162" s="15">
        <v>45536</v>
      </c>
      <c r="S3162" s="6">
        <v>69.349999999999994</v>
      </c>
      <c r="T3162" s="6">
        <v>3.99</v>
      </c>
      <c r="U3162" s="15">
        <v>45536</v>
      </c>
      <c r="V3162" s="6">
        <v>26.78</v>
      </c>
      <c r="W3162" s="6">
        <f ca="1">IFERROR(__xludf.DUMMYFUNCTION("IFERROR(GOOGLEFINANCE(B3162,""pe""),V3162)"),26.78)</f>
        <v>26.78</v>
      </c>
      <c r="X3162" s="6">
        <v>1.81</v>
      </c>
      <c r="Y3162" s="6">
        <v>2.0699999999999998</v>
      </c>
      <c r="Z3162" s="6">
        <v>1</v>
      </c>
      <c r="AA3162" s="8">
        <v>45352</v>
      </c>
      <c r="AB3162" s="4">
        <v>0.11</v>
      </c>
      <c r="AC3162" s="6">
        <v>11.72</v>
      </c>
      <c r="AD3162" s="6">
        <v>13.61</v>
      </c>
      <c r="AE3162" s="1">
        <v>0</v>
      </c>
      <c r="AF3162" s="1">
        <f ca="1">IFERROR(__xludf.DUMMYFUNCTION("IFERROR(GOOGLEFINANCE(TRIM(F3162)&amp;"":"" &amp; TRIM(B3162),""high52""),AE3162)"),0)</f>
        <v>0</v>
      </c>
      <c r="AG3162" s="1">
        <v>0</v>
      </c>
      <c r="AH3162" s="1">
        <f ca="1">IFERROR(__xludf.DUMMYFUNCTION("IFERROR(GOOGLEFINANCE(TRIM(F3162)&amp;"":"" &amp; TRIM(B3162),""low52""),AE3162)"),0)</f>
        <v>0</v>
      </c>
      <c r="AI3162" s="1">
        <f ca="1">IFERROR(__xludf.DUMMYFUNCTION("IFERROR(GOOGLEFINANCE(B3162,""eps""),0)"),0)</f>
        <v>0</v>
      </c>
      <c r="AJ3162" s="1"/>
      <c r="AK3162" s="6">
        <v>35.22</v>
      </c>
      <c r="AL3162" s="9">
        <f t="shared" si="306"/>
        <v>1</v>
      </c>
    </row>
    <row r="3163" spans="1:38" ht="15" x14ac:dyDescent="0.25">
      <c r="A3163" s="1" t="s">
        <v>9728</v>
      </c>
      <c r="B3163" s="1" t="s">
        <v>9729</v>
      </c>
      <c r="C3163" s="1" t="s">
        <v>2432</v>
      </c>
      <c r="D3163" s="1" t="s">
        <v>2432</v>
      </c>
      <c r="E3163" s="6">
        <v>1855.29</v>
      </c>
      <c r="F3163" s="1" t="s">
        <v>40</v>
      </c>
      <c r="G3163" s="6">
        <f ca="1">IFERROR(__xludf.DUMMYFUNCTION("iferror(GOOGLEFINANCE(TRIM(F3163)&amp;"":"" &amp; TRIM(B3163), ""price""),0
)"),105.53)</f>
        <v>105.53</v>
      </c>
      <c r="H3163" s="6">
        <v>175.94</v>
      </c>
      <c r="I3163" s="6">
        <f t="shared" ca="1" si="0"/>
        <v>105.53</v>
      </c>
      <c r="J3163" s="6">
        <f ca="1">IFERROR(__xludf.DUMMYFUNCTION("IFERROR(GOOGLEFINANCE(B3163, ""volume""), 0)"),64541)</f>
        <v>64541</v>
      </c>
      <c r="K3163" s="6">
        <v>1.49</v>
      </c>
      <c r="L3163" s="6">
        <f ca="1">IFERROR(__xludf.DUMMYFUNCTION("IFERROR(GOOGLEFINANCE(B3163,""changepct""),K3163)"),0.97)</f>
        <v>0.97</v>
      </c>
      <c r="M3163" s="6">
        <f ca="1">IFERROR(__xludf.DUMMYFUNCTION("IFERROR(GOOGLEFINANCE(B3163,""change""),0)"),1)</f>
        <v>1</v>
      </c>
      <c r="N3163" s="6">
        <v>2</v>
      </c>
      <c r="O3163" s="7">
        <v>45536</v>
      </c>
      <c r="P3163" s="6">
        <v>571.55999999999995</v>
      </c>
      <c r="Q3163" s="6">
        <v>2301.5700000000002</v>
      </c>
      <c r="R3163" s="7">
        <v>45536</v>
      </c>
      <c r="S3163" s="6">
        <v>2048.42</v>
      </c>
      <c r="T3163" s="6">
        <v>75.55</v>
      </c>
      <c r="U3163" s="7">
        <v>45536</v>
      </c>
      <c r="V3163" s="6">
        <v>24.94</v>
      </c>
      <c r="W3163" s="6">
        <f ca="1">IFERROR(__xludf.DUMMYFUNCTION("IFERROR(GOOGLEFINANCE(B3163,""pe""),V3163)"),24.94)</f>
        <v>24.94</v>
      </c>
      <c r="X3163" s="6">
        <v>-19.64</v>
      </c>
      <c r="Y3163" s="6">
        <v>1.36</v>
      </c>
      <c r="Z3163" s="6">
        <v>2</v>
      </c>
      <c r="AA3163" s="8">
        <v>45352</v>
      </c>
      <c r="AB3163" s="4">
        <v>0.45</v>
      </c>
      <c r="AC3163" s="6">
        <v>6.81</v>
      </c>
      <c r="AD3163" s="6">
        <v>9.15</v>
      </c>
      <c r="AE3163" s="1">
        <v>0</v>
      </c>
      <c r="AF3163" s="1">
        <f ca="1">IFERROR(__xludf.DUMMYFUNCTION("IFERROR(GOOGLEFINANCE(TRIM(F3163)&amp;"":"" &amp; TRIM(B3163),""high52""),AE3163)"),175)</f>
        <v>175</v>
      </c>
      <c r="AG3163" s="1">
        <v>0</v>
      </c>
      <c r="AH3163" s="1">
        <f ca="1">IFERROR(__xludf.DUMMYFUNCTION("IFERROR(GOOGLEFINANCE(TRIM(F3163)&amp;"":"" &amp; TRIM(B3163),""low52""),AE3163)"),101.55)</f>
        <v>101.55</v>
      </c>
      <c r="AI3163" s="1">
        <f ca="1">IFERROR(__xludf.DUMMYFUNCTION("IFERROR(GOOGLEFINANCE(B3163,""eps""),0)"),-0.12)</f>
        <v>-0.12</v>
      </c>
      <c r="AJ3163" s="1"/>
      <c r="AK3163" s="1" t="s">
        <v>9730</v>
      </c>
      <c r="AL3163" s="9">
        <f t="shared" si="306"/>
        <v>1</v>
      </c>
    </row>
    <row r="3164" spans="1:38" ht="15" x14ac:dyDescent="0.25">
      <c r="A3164" s="1" t="s">
        <v>9731</v>
      </c>
      <c r="B3164" s="1" t="s">
        <v>9732</v>
      </c>
      <c r="C3164" s="1" t="s">
        <v>106</v>
      </c>
      <c r="D3164" s="1" t="s">
        <v>106</v>
      </c>
      <c r="E3164" s="6">
        <v>148.97999999999999</v>
      </c>
      <c r="F3164" s="1" t="s">
        <v>53</v>
      </c>
      <c r="G3164" s="6">
        <f ca="1">IFERROR(__xludf.DUMMYFUNCTION("iferror(GOOGLEFINANCE(TRIM(F3164)&amp;"":"" &amp; TRIM(B3164), ""price""),0
)"),0)</f>
        <v>0</v>
      </c>
      <c r="H3164" s="6">
        <v>2.11</v>
      </c>
      <c r="I3164" s="6">
        <f t="shared" ca="1" si="0"/>
        <v>2.11</v>
      </c>
      <c r="J3164" s="6">
        <f ca="1">IFERROR(__xludf.DUMMYFUNCTION("IFERROR(GOOGLEFINANCE(B3164, ""volume""), 0)"),0)</f>
        <v>0</v>
      </c>
      <c r="K3164" s="6">
        <v>-0.94</v>
      </c>
      <c r="L3164" s="6">
        <f ca="1">IFERROR(__xludf.DUMMYFUNCTION("IFERROR(GOOGLEFINANCE(B3164,""changepct""),K3164)"),-0.94)</f>
        <v>-0.94</v>
      </c>
      <c r="M3164" s="6">
        <f ca="1">IFERROR(__xludf.DUMMYFUNCTION("IFERROR(GOOGLEFINANCE(B3164,""change""),0)"),0)</f>
        <v>0</v>
      </c>
      <c r="N3164" s="6">
        <v>1</v>
      </c>
      <c r="O3164" s="7">
        <v>45536</v>
      </c>
      <c r="P3164" s="6">
        <v>259.69</v>
      </c>
      <c r="Q3164" s="6">
        <v>408.67</v>
      </c>
      <c r="R3164" s="7">
        <v>45536</v>
      </c>
      <c r="S3164" s="6">
        <v>58.64</v>
      </c>
      <c r="T3164" s="6">
        <v>1.86</v>
      </c>
      <c r="U3164" s="7">
        <v>45536</v>
      </c>
      <c r="V3164" s="6">
        <v>79.97</v>
      </c>
      <c r="W3164" s="6">
        <f ca="1">IFERROR(__xludf.DUMMYFUNCTION("IFERROR(GOOGLEFINANCE(B3164,""pe""),V3164)"),79.97)</f>
        <v>79.97</v>
      </c>
      <c r="X3164" s="6">
        <v>-1.61</v>
      </c>
      <c r="Y3164" s="6">
        <v>1.01</v>
      </c>
      <c r="Z3164" s="6">
        <v>1</v>
      </c>
      <c r="AA3164" s="8">
        <v>45352</v>
      </c>
      <c r="AB3164" s="4">
        <v>0</v>
      </c>
      <c r="AC3164" s="6">
        <v>0.14000000000000001</v>
      </c>
      <c r="AD3164" s="6">
        <v>0.81</v>
      </c>
      <c r="AE3164" s="1">
        <v>0</v>
      </c>
      <c r="AF3164" s="1">
        <f ca="1">IFERROR(__xludf.DUMMYFUNCTION("IFERROR(GOOGLEFINANCE(TRIM(F3164)&amp;"":"" &amp; TRIM(B3164),""high52""),AE3164)"),0)</f>
        <v>0</v>
      </c>
      <c r="AG3164" s="1">
        <v>0</v>
      </c>
      <c r="AH3164" s="1">
        <f ca="1">IFERROR(__xludf.DUMMYFUNCTION("IFERROR(GOOGLEFINANCE(TRIM(F3164)&amp;"":"" &amp; TRIM(B3164),""low52""),AE3164)"),0)</f>
        <v>0</v>
      </c>
      <c r="AI3164" s="1">
        <f ca="1">IFERROR(__xludf.DUMMYFUNCTION("IFERROR(GOOGLEFINANCE(B3164,""eps""),0)"),0)</f>
        <v>0</v>
      </c>
      <c r="AJ3164" s="1"/>
      <c r="AK3164" s="1" t="s">
        <v>9733</v>
      </c>
      <c r="AL3164" s="9">
        <f t="shared" si="306"/>
        <v>1</v>
      </c>
    </row>
    <row r="3165" spans="1:38" ht="15" x14ac:dyDescent="0.25">
      <c r="A3165" s="1" t="s">
        <v>9734</v>
      </c>
      <c r="B3165" s="1" t="s">
        <v>9735</v>
      </c>
      <c r="C3165" s="1" t="s">
        <v>94</v>
      </c>
      <c r="D3165" s="1" t="s">
        <v>94</v>
      </c>
      <c r="E3165" s="6">
        <v>2747.07</v>
      </c>
      <c r="F3165" s="1" t="s">
        <v>40</v>
      </c>
      <c r="G3165" s="6">
        <f ca="1">IFERROR(__xludf.DUMMYFUNCTION("iferror(GOOGLEFINANCE(TRIM(F3165)&amp;"":"" &amp; TRIM(B3165), ""price""),0
)"),387)</f>
        <v>387</v>
      </c>
      <c r="H3165" s="6">
        <v>436.95</v>
      </c>
      <c r="I3165" s="6">
        <f t="shared" ca="1" si="0"/>
        <v>387</v>
      </c>
      <c r="J3165" s="6">
        <f ca="1">IFERROR(__xludf.DUMMYFUNCTION("IFERROR(GOOGLEFINANCE(B3165, ""volume""), 0)"),123318)</f>
        <v>123318</v>
      </c>
      <c r="K3165" s="6">
        <v>-0.56999999999999995</v>
      </c>
      <c r="L3165" s="6">
        <f ca="1">IFERROR(__xludf.DUMMYFUNCTION("IFERROR(GOOGLEFINANCE(B3165,""changepct""),K3165)"),-2.15)</f>
        <v>-2.15</v>
      </c>
      <c r="M3165" s="6">
        <f ca="1">IFERROR(__xludf.DUMMYFUNCTION("IFERROR(GOOGLEFINANCE(B3165,""change""),0)"),-8.5)</f>
        <v>-8.5</v>
      </c>
      <c r="N3165" s="6">
        <v>2</v>
      </c>
      <c r="O3165" s="7">
        <v>45536</v>
      </c>
      <c r="P3165" s="6">
        <v>421.67</v>
      </c>
      <c r="Q3165" s="7">
        <v>45536</v>
      </c>
      <c r="R3165" s="6">
        <v>6.17</v>
      </c>
      <c r="S3165" s="6">
        <v>0.56999999999999995</v>
      </c>
      <c r="T3165" s="6">
        <v>0.86</v>
      </c>
      <c r="U3165" s="6">
        <v>2</v>
      </c>
      <c r="V3165" s="7">
        <v>45352</v>
      </c>
      <c r="W3165" s="6">
        <f ca="1">IFERROR(__xludf.DUMMYFUNCTION("IFERROR(GOOGLEFINANCE(B3165,""pe""),V3165)"),5.28)</f>
        <v>5.28</v>
      </c>
      <c r="X3165" s="6">
        <v>3.58</v>
      </c>
      <c r="Y3165" s="6">
        <v>14.16</v>
      </c>
      <c r="Z3165" s="6">
        <v>10.46</v>
      </c>
      <c r="AA3165" s="3" t="s">
        <v>9736</v>
      </c>
      <c r="AB3165" s="3"/>
      <c r="AC3165" s="9"/>
      <c r="AD3165" s="9"/>
      <c r="AE3165" s="1">
        <v>0</v>
      </c>
      <c r="AF3165" s="1">
        <f ca="1">IFERROR(__xludf.DUMMYFUNCTION("IFERROR(GOOGLEFINANCE(TRIM(F3165)&amp;"":"" &amp; TRIM(B3165),""high52""),AE3165)"),464.45)</f>
        <v>464.45</v>
      </c>
      <c r="AG3165" s="1">
        <v>0</v>
      </c>
      <c r="AH3165" s="1">
        <f ca="1">IFERROR(__xludf.DUMMYFUNCTION("IFERROR(GOOGLEFINANCE(TRIM(F3165)&amp;"":"" &amp; TRIM(B3165),""low52""),AE3165)"),310)</f>
        <v>310</v>
      </c>
      <c r="AI3165" s="1">
        <f ca="1">IFERROR(__xludf.DUMMYFUNCTION("IFERROR(GOOGLEFINANCE(B3165,""eps""),0)"),73.3)</f>
        <v>73.3</v>
      </c>
      <c r="AJ3165" s="1"/>
      <c r="AK3165" s="1" t="s">
        <v>9737</v>
      </c>
      <c r="AL3165" s="9">
        <f t="shared" si="306"/>
        <v>1</v>
      </c>
    </row>
    <row r="3166" spans="1:38" ht="15" x14ac:dyDescent="0.25">
      <c r="A3166" s="1" t="s">
        <v>9738</v>
      </c>
      <c r="B3166" s="1" t="s">
        <v>9739</v>
      </c>
      <c r="C3166" s="1" t="s">
        <v>106</v>
      </c>
      <c r="D3166" s="1" t="s">
        <v>106</v>
      </c>
      <c r="E3166" s="6">
        <v>290.89999999999998</v>
      </c>
      <c r="F3166" s="1" t="s">
        <v>53</v>
      </c>
      <c r="G3166" s="6">
        <f ca="1">IFERROR(__xludf.DUMMYFUNCTION("iferror(GOOGLEFINANCE(TRIM(F3166)&amp;"":"" &amp; TRIM(B3166), ""price""),0
)"),0)</f>
        <v>0</v>
      </c>
      <c r="H3166" s="6">
        <v>279.85000000000002</v>
      </c>
      <c r="I3166" s="6">
        <f t="shared" ca="1" si="0"/>
        <v>279.85000000000002</v>
      </c>
      <c r="J3166" s="6">
        <f ca="1">IFERROR(__xludf.DUMMYFUNCTION("IFERROR(GOOGLEFINANCE(B3166, ""volume""), 0)"),2760)</f>
        <v>2760</v>
      </c>
      <c r="K3166" s="6">
        <v>-0.52</v>
      </c>
      <c r="L3166" s="6">
        <f ca="1">IFERROR(__xludf.DUMMYFUNCTION("IFERROR(GOOGLEFINANCE(B3166,""changepct""),K3166)"),2.72)</f>
        <v>2.72</v>
      </c>
      <c r="M3166" s="6">
        <f ca="1">IFERROR(__xludf.DUMMYFUNCTION("IFERROR(GOOGLEFINANCE(B3166,""change""),0)"),4.3)</f>
        <v>4.3</v>
      </c>
      <c r="N3166" s="6">
        <v>2</v>
      </c>
      <c r="O3166" s="7">
        <v>45536</v>
      </c>
      <c r="P3166" s="6">
        <v>98.24</v>
      </c>
      <c r="Q3166" s="6">
        <v>375.08</v>
      </c>
      <c r="R3166" s="7">
        <v>45536</v>
      </c>
      <c r="S3166" s="6">
        <v>160.6</v>
      </c>
      <c r="T3166" s="6">
        <v>2.17</v>
      </c>
      <c r="U3166" s="7">
        <v>45536</v>
      </c>
      <c r="V3166" s="6">
        <v>134.18</v>
      </c>
      <c r="W3166" s="6">
        <f ca="1">IFERROR(__xludf.DUMMYFUNCTION("IFERROR(GOOGLEFINANCE(B3166,""pe""),V3166)"),134.18)</f>
        <v>134.18</v>
      </c>
      <c r="X3166" s="6">
        <v>6.9</v>
      </c>
      <c r="Y3166" s="6">
        <v>1.25</v>
      </c>
      <c r="Z3166" s="6">
        <v>2</v>
      </c>
      <c r="AA3166" s="8">
        <v>45352</v>
      </c>
      <c r="AB3166" s="4">
        <v>0.53</v>
      </c>
      <c r="AC3166" s="6">
        <v>3.4</v>
      </c>
      <c r="AD3166" s="6">
        <v>5</v>
      </c>
      <c r="AE3166" s="1">
        <v>0</v>
      </c>
      <c r="AF3166" s="1">
        <f ca="1">IFERROR(__xludf.DUMMYFUNCTION("IFERROR(GOOGLEFINANCE(TRIM(F3166)&amp;"":"" &amp; TRIM(B3166),""high52""),AE3166)"),0)</f>
        <v>0</v>
      </c>
      <c r="AG3166" s="1">
        <v>0</v>
      </c>
      <c r="AH3166" s="1">
        <f ca="1">IFERROR(__xludf.DUMMYFUNCTION("IFERROR(GOOGLEFINANCE(TRIM(F3166)&amp;"":"" &amp; TRIM(B3166),""low52""),AE3166)"),0)</f>
        <v>0</v>
      </c>
      <c r="AI3166" s="1">
        <f ca="1">IFERROR(__xludf.DUMMYFUNCTION("IFERROR(GOOGLEFINANCE(B3166,""eps""),0)"),-11.49)</f>
        <v>-11.49</v>
      </c>
      <c r="AJ3166" s="1"/>
      <c r="AK3166" s="1" t="s">
        <v>9740</v>
      </c>
      <c r="AL3166" s="9">
        <f t="shared" si="306"/>
        <v>1</v>
      </c>
    </row>
    <row r="3167" spans="1:38" ht="15" x14ac:dyDescent="0.25">
      <c r="A3167" s="1" t="s">
        <v>9741</v>
      </c>
      <c r="B3167" s="1" t="s">
        <v>9742</v>
      </c>
      <c r="C3167" s="1" t="s">
        <v>778</v>
      </c>
      <c r="D3167" s="1" t="s">
        <v>778</v>
      </c>
      <c r="E3167" s="6">
        <v>796.6</v>
      </c>
      <c r="F3167" s="1" t="s">
        <v>40</v>
      </c>
      <c r="G3167" s="6">
        <f ca="1">IFERROR(__xludf.DUMMYFUNCTION("iferror(GOOGLEFINANCE(TRIM(F3167)&amp;"":"" &amp; TRIM(B3167), ""price""),0
)"),418.95)</f>
        <v>418.95</v>
      </c>
      <c r="H3167" s="6">
        <v>562.5</v>
      </c>
      <c r="I3167" s="6">
        <f t="shared" ca="1" si="0"/>
        <v>418.95</v>
      </c>
      <c r="J3167" s="6">
        <f ca="1">IFERROR(__xludf.DUMMYFUNCTION("IFERROR(GOOGLEFINANCE(B3167, ""volume""), 0)"),17040)</f>
        <v>17040</v>
      </c>
      <c r="K3167" s="6">
        <v>0.85</v>
      </c>
      <c r="L3167" s="6">
        <f ca="1">IFERROR(__xludf.DUMMYFUNCTION("IFERROR(GOOGLEFINANCE(B3167,""changepct""),K3167)"),6.16)</f>
        <v>6.16</v>
      </c>
      <c r="M3167" s="6">
        <f ca="1">IFERROR(__xludf.DUMMYFUNCTION("IFERROR(GOOGLEFINANCE(B3167,""change""),0)"),24.3)</f>
        <v>24.3</v>
      </c>
      <c r="N3167" s="6">
        <v>2</v>
      </c>
      <c r="O3167" s="7">
        <v>45536</v>
      </c>
      <c r="P3167" s="6">
        <v>34.54</v>
      </c>
      <c r="Q3167" s="6">
        <v>827.3</v>
      </c>
      <c r="R3167" s="7">
        <v>45536</v>
      </c>
      <c r="S3167" s="6">
        <v>460.01</v>
      </c>
      <c r="T3167" s="6">
        <v>2.79</v>
      </c>
      <c r="U3167" s="7">
        <v>45536</v>
      </c>
      <c r="V3167" s="6">
        <v>285.52</v>
      </c>
      <c r="W3167" s="6">
        <f ca="1">IFERROR(__xludf.DUMMYFUNCTION("IFERROR(GOOGLEFINANCE(B3167,""pe""),V3167)"),285.52)</f>
        <v>285.52</v>
      </c>
      <c r="X3167" s="6">
        <v>-22.86</v>
      </c>
      <c r="Y3167" s="6">
        <v>2.08</v>
      </c>
      <c r="Z3167" s="6">
        <v>2</v>
      </c>
      <c r="AA3167" s="8">
        <v>45352</v>
      </c>
      <c r="AB3167" s="4">
        <v>0.08</v>
      </c>
      <c r="AC3167" s="6">
        <v>3.68</v>
      </c>
      <c r="AD3167" s="6">
        <v>6.22</v>
      </c>
      <c r="AE3167" s="1">
        <v>0</v>
      </c>
      <c r="AF3167" s="1">
        <f ca="1">IFERROR(__xludf.DUMMYFUNCTION("IFERROR(GOOGLEFINANCE(TRIM(F3167)&amp;"":"" &amp; TRIM(B3167),""high52""),AE3167)"),627)</f>
        <v>627</v>
      </c>
      <c r="AG3167" s="1">
        <v>0</v>
      </c>
      <c r="AH3167" s="1">
        <f ca="1">IFERROR(__xludf.DUMMYFUNCTION("IFERROR(GOOGLEFINANCE(TRIM(F3167)&amp;"":"" &amp; TRIM(B3167),""low52""),AE3167)"),367)</f>
        <v>367</v>
      </c>
      <c r="AI3167" s="1">
        <f ca="1">IFERROR(__xludf.DUMMYFUNCTION("IFERROR(GOOGLEFINANCE(B3167,""eps""),0)"),-14.36)</f>
        <v>-14.36</v>
      </c>
      <c r="AJ3167" s="1"/>
      <c r="AK3167" s="1" t="s">
        <v>9743</v>
      </c>
      <c r="AL3167" s="9">
        <f t="shared" si="306"/>
        <v>1</v>
      </c>
    </row>
    <row r="3168" spans="1:38" ht="15" x14ac:dyDescent="0.25">
      <c r="A3168" s="1" t="s">
        <v>9744</v>
      </c>
      <c r="B3168" s="1" t="s">
        <v>9745</v>
      </c>
      <c r="C3168" s="1" t="s">
        <v>82</v>
      </c>
      <c r="D3168" s="1" t="s">
        <v>82</v>
      </c>
      <c r="E3168" s="6">
        <v>6954.48</v>
      </c>
      <c r="F3168" s="1" t="s">
        <v>40</v>
      </c>
      <c r="G3168" s="6">
        <f ca="1">IFERROR(__xludf.DUMMYFUNCTION("iferror(GOOGLEFINANCE(TRIM(F3168)&amp;"":"" &amp; TRIM(B3168), ""price""),0
)"),165.35)</f>
        <v>165.35</v>
      </c>
      <c r="H3168" s="6">
        <v>263.73</v>
      </c>
      <c r="I3168" s="6">
        <f t="shared" ca="1" si="0"/>
        <v>165.35</v>
      </c>
      <c r="J3168" s="6">
        <f ca="1">IFERROR(__xludf.DUMMYFUNCTION("IFERROR(GOOGLEFINANCE(B3168, ""volume""), 0)"),140892)</f>
        <v>140892</v>
      </c>
      <c r="K3168" s="6">
        <v>1.87</v>
      </c>
      <c r="L3168" s="6">
        <f ca="1">IFERROR(__xludf.DUMMYFUNCTION("IFERROR(GOOGLEFINANCE(B3168,""changepct""),K3168)"),-0.83)</f>
        <v>-0.83</v>
      </c>
      <c r="M3168" s="6">
        <f ca="1">IFERROR(__xludf.DUMMYFUNCTION("IFERROR(GOOGLEFINANCE(B3168,""change""),0)"),-1.38)</f>
        <v>-1.38</v>
      </c>
      <c r="N3168" s="6">
        <v>2</v>
      </c>
      <c r="O3168" s="7">
        <v>45536</v>
      </c>
      <c r="P3168" s="6">
        <v>200.72</v>
      </c>
      <c r="Q3168" s="6">
        <v>7129.69</v>
      </c>
      <c r="R3168" s="7">
        <v>45536</v>
      </c>
      <c r="S3168" s="6">
        <v>1224.8900000000001</v>
      </c>
      <c r="T3168" s="6">
        <v>188.24</v>
      </c>
      <c r="U3168" s="7">
        <v>45536</v>
      </c>
      <c r="V3168" s="6">
        <v>36.94</v>
      </c>
      <c r="W3168" s="6">
        <f ca="1">IFERROR(__xludf.DUMMYFUNCTION("IFERROR(GOOGLEFINANCE(B3168,""pe""),V3168)"),21.59)</f>
        <v>21.59</v>
      </c>
      <c r="X3168" s="6">
        <v>0.9</v>
      </c>
      <c r="Y3168" s="6">
        <v>5.63</v>
      </c>
      <c r="Z3168" s="6">
        <v>2</v>
      </c>
      <c r="AA3168" s="8">
        <v>45352</v>
      </c>
      <c r="AB3168" s="4">
        <v>0.18</v>
      </c>
      <c r="AC3168" s="6">
        <v>15.29</v>
      </c>
      <c r="AD3168" s="6">
        <v>15.16</v>
      </c>
      <c r="AE3168" s="1">
        <v>0</v>
      </c>
      <c r="AF3168" s="1">
        <f ca="1">IFERROR(__xludf.DUMMYFUNCTION("IFERROR(GOOGLEFINANCE(TRIM(F3168)&amp;"":"" &amp; TRIM(B3168),""high52""),AE3168)"),253.07)</f>
        <v>253.07</v>
      </c>
      <c r="AG3168" s="1">
        <v>0</v>
      </c>
      <c r="AH3168" s="1">
        <f ca="1">IFERROR(__xludf.DUMMYFUNCTION("IFERROR(GOOGLEFINANCE(TRIM(F3168)&amp;"":"" &amp; TRIM(B3168),""low52""),AE3168)"),155.8)</f>
        <v>155.80000000000001</v>
      </c>
      <c r="AI3168" s="1">
        <f ca="1">IFERROR(__xludf.DUMMYFUNCTION("IFERROR(GOOGLEFINANCE(B3168,""eps""),0)"),7.66)</f>
        <v>7.66</v>
      </c>
      <c r="AJ3168" s="1"/>
      <c r="AK3168" s="1" t="s">
        <v>9746</v>
      </c>
      <c r="AL3168" s="9">
        <f t="shared" si="306"/>
        <v>1</v>
      </c>
    </row>
    <row r="3169" spans="1:38" ht="15" x14ac:dyDescent="0.25">
      <c r="A3169" s="1" t="s">
        <v>9747</v>
      </c>
      <c r="B3169" s="1" t="s">
        <v>9748</v>
      </c>
      <c r="C3169" s="1" t="s">
        <v>1410</v>
      </c>
      <c r="D3169" s="1" t="s">
        <v>1410</v>
      </c>
      <c r="E3169" s="6">
        <v>4236.71</v>
      </c>
      <c r="F3169" s="1" t="s">
        <v>40</v>
      </c>
      <c r="G3169" s="6">
        <f ca="1">IFERROR(__xludf.DUMMYFUNCTION("iferror(GOOGLEFINANCE(TRIM(F3169)&amp;"":"" &amp; TRIM(B3169), ""price""),0
)"),63.5)</f>
        <v>63.5</v>
      </c>
      <c r="H3169" s="6">
        <v>84.68</v>
      </c>
      <c r="I3169" s="6">
        <f t="shared" ca="1" si="0"/>
        <v>63.5</v>
      </c>
      <c r="J3169" s="6">
        <f ca="1">IFERROR(__xludf.DUMMYFUNCTION("IFERROR(GOOGLEFINANCE(B3169, ""volume""), 0)"),0)</f>
        <v>0</v>
      </c>
      <c r="K3169" s="6">
        <v>-0.39</v>
      </c>
      <c r="L3169" s="6">
        <f ca="1">IFERROR(__xludf.DUMMYFUNCTION("IFERROR(GOOGLEFINANCE(B3169,""changepct""),K3169)"),-1.2)</f>
        <v>-1.2</v>
      </c>
      <c r="M3169" s="6">
        <f ca="1">IFERROR(__xludf.DUMMYFUNCTION("IFERROR(GOOGLEFINANCE(B3169,""change""),0)"),-1.38)</f>
        <v>-1.38</v>
      </c>
      <c r="N3169" s="6">
        <v>2</v>
      </c>
      <c r="O3169" s="7">
        <v>45536</v>
      </c>
      <c r="P3169" s="6">
        <v>231.27</v>
      </c>
      <c r="Q3169" s="6">
        <v>4422.13</v>
      </c>
      <c r="R3169" s="7">
        <v>45536</v>
      </c>
      <c r="S3169" s="6">
        <v>2480.48</v>
      </c>
      <c r="T3169" s="6">
        <v>-249.68</v>
      </c>
      <c r="U3169" s="7">
        <v>45536</v>
      </c>
      <c r="V3169" s="6">
        <v>0</v>
      </c>
      <c r="W3169" s="6">
        <f ca="1">IFERROR(__xludf.DUMMYFUNCTION("IFERROR(GOOGLEFINANCE(B3169,""pe""),V3169)"),54.15)</f>
        <v>54.15</v>
      </c>
      <c r="X3169" s="9"/>
      <c r="Y3169" s="6">
        <v>7.95</v>
      </c>
      <c r="Z3169" s="6">
        <v>2</v>
      </c>
      <c r="AA3169" s="8">
        <v>45352</v>
      </c>
      <c r="AB3169" s="4">
        <v>0.28000000000000003</v>
      </c>
      <c r="AC3169" s="6">
        <v>-33.64</v>
      </c>
      <c r="AD3169" s="6">
        <v>-10.69</v>
      </c>
      <c r="AE3169" s="1">
        <v>0</v>
      </c>
      <c r="AF3169" s="1">
        <f ca="1">IFERROR(__xludf.DUMMYFUNCTION("IFERROR(GOOGLEFINANCE(TRIM(F3169)&amp;"":"" &amp; TRIM(B3169),""high52""),AE3169)"),89.5)</f>
        <v>89.5</v>
      </c>
      <c r="AG3169" s="1">
        <v>0</v>
      </c>
      <c r="AH3169" s="1">
        <f ca="1">IFERROR(__xludf.DUMMYFUNCTION("IFERROR(GOOGLEFINANCE(TRIM(F3169)&amp;"":"" &amp; TRIM(B3169),""low52""),AE3169)"),59.4)</f>
        <v>59.4</v>
      </c>
      <c r="AI3169" s="1">
        <f ca="1">IFERROR(__xludf.DUMMYFUNCTION("IFERROR(GOOGLEFINANCE(B3169,""eps""),0)"),2.1)</f>
        <v>2.1</v>
      </c>
      <c r="AJ3169" s="1"/>
      <c r="AK3169" s="1" t="s">
        <v>9749</v>
      </c>
      <c r="AL3169" s="9">
        <f t="shared" si="306"/>
        <v>1</v>
      </c>
    </row>
    <row r="3170" spans="1:38" ht="15" x14ac:dyDescent="0.25">
      <c r="A3170" s="1" t="s">
        <v>9750</v>
      </c>
      <c r="B3170" s="1" t="s">
        <v>9751</v>
      </c>
      <c r="C3170" s="1" t="s">
        <v>106</v>
      </c>
      <c r="D3170" s="1" t="s">
        <v>106</v>
      </c>
      <c r="E3170" s="6">
        <v>16.670000000000002</v>
      </c>
      <c r="F3170" s="1" t="s">
        <v>53</v>
      </c>
      <c r="G3170" s="6">
        <f ca="1">IFERROR(__xludf.DUMMYFUNCTION("iferror(GOOGLEFINANCE(TRIM(F3170)&amp;"":"" &amp; TRIM(B3170), ""price""),0
)"),0)</f>
        <v>0</v>
      </c>
      <c r="H3170" s="6">
        <v>17</v>
      </c>
      <c r="I3170" s="6">
        <f t="shared" ca="1" si="0"/>
        <v>17</v>
      </c>
      <c r="J3170" s="6">
        <f ca="1">IFERROR(__xludf.DUMMYFUNCTION("IFERROR(GOOGLEFINANCE(B3170, ""volume""), 0)"),0)</f>
        <v>0</v>
      </c>
      <c r="K3170" s="6">
        <v>1.98</v>
      </c>
      <c r="L3170" s="6">
        <f ca="1">IFERROR(__xludf.DUMMYFUNCTION("IFERROR(GOOGLEFINANCE(B3170,""changepct""),K3170)"),1.98)</f>
        <v>1.98</v>
      </c>
      <c r="M3170" s="6">
        <f ca="1">IFERROR(__xludf.DUMMYFUNCTION("IFERROR(GOOGLEFINANCE(B3170,""change""),0)"),0)</f>
        <v>0</v>
      </c>
      <c r="N3170" s="6">
        <v>1</v>
      </c>
      <c r="O3170" s="7">
        <v>45536</v>
      </c>
      <c r="P3170" s="6">
        <v>21.58</v>
      </c>
      <c r="Q3170" s="6">
        <v>38.25</v>
      </c>
      <c r="R3170" s="7">
        <v>45536</v>
      </c>
      <c r="S3170" s="6">
        <v>4.13</v>
      </c>
      <c r="T3170" s="6">
        <v>-0.82</v>
      </c>
      <c r="U3170" s="7">
        <v>45536</v>
      </c>
      <c r="V3170" s="6">
        <v>0</v>
      </c>
      <c r="W3170" s="6">
        <f ca="1">IFERROR(__xludf.DUMMYFUNCTION("IFERROR(GOOGLEFINANCE(B3170,""pe""),V3170)"),0)</f>
        <v>0</v>
      </c>
      <c r="X3170" s="6">
        <v>0</v>
      </c>
      <c r="Y3170" s="6">
        <v>-1.17</v>
      </c>
      <c r="Z3170" s="6">
        <v>1</v>
      </c>
      <c r="AA3170" s="8">
        <v>45352</v>
      </c>
      <c r="AB3170" s="4">
        <v>-1.58</v>
      </c>
      <c r="AC3170" s="6">
        <v>0</v>
      </c>
      <c r="AD3170" s="6">
        <v>-8.64</v>
      </c>
      <c r="AE3170" s="1">
        <v>0</v>
      </c>
      <c r="AF3170" s="1">
        <f ca="1">IFERROR(__xludf.DUMMYFUNCTION("IFERROR(GOOGLEFINANCE(TRIM(F3170)&amp;"":"" &amp; TRIM(B3170),""high52""),AE3170)"),0)</f>
        <v>0</v>
      </c>
      <c r="AG3170" s="1">
        <v>0</v>
      </c>
      <c r="AH3170" s="1">
        <f ca="1">IFERROR(__xludf.DUMMYFUNCTION("IFERROR(GOOGLEFINANCE(TRIM(F3170)&amp;"":"" &amp; TRIM(B3170),""low52""),AE3170)"),0)</f>
        <v>0</v>
      </c>
      <c r="AI3170" s="1">
        <f ca="1">IFERROR(__xludf.DUMMYFUNCTION("IFERROR(GOOGLEFINANCE(B3170,""eps""),0)"),0)</f>
        <v>0</v>
      </c>
      <c r="AJ3170" s="1"/>
      <c r="AK3170" s="1" t="s">
        <v>9752</v>
      </c>
      <c r="AL3170" s="9">
        <f t="shared" si="306"/>
        <v>1</v>
      </c>
    </row>
    <row r="3171" spans="1:38" ht="15" x14ac:dyDescent="0.25">
      <c r="A3171" s="1" t="s">
        <v>9753</v>
      </c>
      <c r="B3171" s="1" t="s">
        <v>9754</v>
      </c>
      <c r="C3171" s="1" t="s">
        <v>106</v>
      </c>
      <c r="D3171" s="1" t="s">
        <v>106</v>
      </c>
      <c r="E3171" s="6">
        <v>2221.6799999999998</v>
      </c>
      <c r="F3171" s="1" t="s">
        <v>53</v>
      </c>
      <c r="G3171" s="6">
        <f ca="1">IFERROR(__xludf.DUMMYFUNCTION("iferror(GOOGLEFINANCE(TRIM(F3171)&amp;"":"" &amp; TRIM(B3171), ""price""),0
)"),0)</f>
        <v>0</v>
      </c>
      <c r="H3171" s="6">
        <v>901.85</v>
      </c>
      <c r="I3171" s="6">
        <f t="shared" ca="1" si="0"/>
        <v>901.85</v>
      </c>
      <c r="J3171" s="6">
        <f ca="1">IFERROR(__xludf.DUMMYFUNCTION("IFERROR(GOOGLEFINANCE(B3171, ""volume""), 0)"),0)</f>
        <v>0</v>
      </c>
      <c r="K3171" s="6">
        <v>0.23</v>
      </c>
      <c r="L3171" s="6">
        <f ca="1">IFERROR(__xludf.DUMMYFUNCTION("IFERROR(GOOGLEFINANCE(B3171,""changepct""),K3171)"),0.23)</f>
        <v>0.23</v>
      </c>
      <c r="M3171" s="6">
        <f ca="1">IFERROR(__xludf.DUMMYFUNCTION("IFERROR(GOOGLEFINANCE(B3171,""change""),0)"),0)</f>
        <v>0</v>
      </c>
      <c r="N3171" s="6">
        <v>1</v>
      </c>
      <c r="O3171" s="7">
        <v>45536</v>
      </c>
      <c r="P3171" s="9"/>
      <c r="Q3171" s="6">
        <v>1624.44</v>
      </c>
      <c r="R3171" s="7">
        <v>45536</v>
      </c>
      <c r="S3171" s="6">
        <v>345.1</v>
      </c>
      <c r="T3171" s="6">
        <v>87.4</v>
      </c>
      <c r="U3171" s="7">
        <v>45536</v>
      </c>
      <c r="V3171" s="6">
        <v>25.42</v>
      </c>
      <c r="W3171" s="6">
        <f ca="1">IFERROR(__xludf.DUMMYFUNCTION("IFERROR(GOOGLEFINANCE(B3171,""pe""),V3171)"),25.42)</f>
        <v>25.42</v>
      </c>
      <c r="X3171" s="6">
        <v>2.4300000000000002</v>
      </c>
      <c r="Y3171" s="6">
        <v>3.05</v>
      </c>
      <c r="Z3171" s="6">
        <v>1</v>
      </c>
      <c r="AA3171" s="8">
        <v>45352</v>
      </c>
      <c r="AB3171" s="4">
        <v>0</v>
      </c>
      <c r="AC3171" s="6">
        <v>11.21</v>
      </c>
      <c r="AD3171" s="6">
        <v>16.350000000000001</v>
      </c>
      <c r="AE3171" s="1">
        <v>0</v>
      </c>
      <c r="AF3171" s="1">
        <f ca="1">IFERROR(__xludf.DUMMYFUNCTION("IFERROR(GOOGLEFINANCE(TRIM(F3171)&amp;"":"" &amp; TRIM(B3171),""high52""),AE3171)"),0)</f>
        <v>0</v>
      </c>
      <c r="AG3171" s="1">
        <v>0</v>
      </c>
      <c r="AH3171" s="1">
        <f ca="1">IFERROR(__xludf.DUMMYFUNCTION("IFERROR(GOOGLEFINANCE(TRIM(F3171)&amp;"":"" &amp; TRIM(B3171),""low52""),AE3171)"),0)</f>
        <v>0</v>
      </c>
      <c r="AI3171" s="1">
        <f ca="1">IFERROR(__xludf.DUMMYFUNCTION("IFERROR(GOOGLEFINANCE(B3171,""eps""),0)"),0)</f>
        <v>0</v>
      </c>
      <c r="AJ3171" s="1"/>
      <c r="AK3171" s="1" t="s">
        <v>9755</v>
      </c>
      <c r="AL3171" s="9">
        <f t="shared" si="306"/>
        <v>1</v>
      </c>
    </row>
    <row r="3172" spans="1:38" ht="15" x14ac:dyDescent="0.25">
      <c r="A3172" s="1" t="s">
        <v>9756</v>
      </c>
      <c r="B3172" s="1" t="s">
        <v>9757</v>
      </c>
      <c r="C3172" s="1" t="s">
        <v>416</v>
      </c>
      <c r="D3172" s="1" t="s">
        <v>416</v>
      </c>
      <c r="E3172" s="6">
        <v>610.75</v>
      </c>
      <c r="F3172" s="1" t="s">
        <v>40</v>
      </c>
      <c r="G3172" s="6">
        <f ca="1">IFERROR(__xludf.DUMMYFUNCTION("iferror(GOOGLEFINANCE(TRIM(F3172)&amp;"":"" &amp; TRIM(B3172), ""price""),0
)"),639)</f>
        <v>639</v>
      </c>
      <c r="H3172" s="6">
        <v>2020</v>
      </c>
      <c r="I3172" s="6">
        <f t="shared" ca="1" si="0"/>
        <v>639</v>
      </c>
      <c r="J3172" s="6">
        <f ca="1">IFERROR(__xludf.DUMMYFUNCTION("IFERROR(GOOGLEFINANCE(B3172, ""volume""), 0)"),2521)</f>
        <v>2521</v>
      </c>
      <c r="K3172" s="6">
        <v>1.2</v>
      </c>
      <c r="L3172" s="6">
        <f ca="1">IFERROR(__xludf.DUMMYFUNCTION("IFERROR(GOOGLEFINANCE(B3172,""changepct""),K3172)"),-0.46)</f>
        <v>-0.46</v>
      </c>
      <c r="M3172" s="6">
        <f ca="1">IFERROR(__xludf.DUMMYFUNCTION("IFERROR(GOOGLEFINANCE(B3172,""change""),0)"),-2.95)</f>
        <v>-2.95</v>
      </c>
      <c r="N3172" s="6">
        <v>1</v>
      </c>
      <c r="O3172" s="7">
        <v>45536</v>
      </c>
      <c r="P3172" s="6">
        <v>73.349999999999994</v>
      </c>
      <c r="Q3172" s="6">
        <v>677.56</v>
      </c>
      <c r="R3172" s="14"/>
      <c r="S3172" s="9"/>
      <c r="T3172" s="9"/>
      <c r="U3172" s="7">
        <v>45352</v>
      </c>
      <c r="V3172" s="6">
        <v>19.670000000000002</v>
      </c>
      <c r="W3172" s="6">
        <f ca="1">IFERROR(__xludf.DUMMYFUNCTION("IFERROR(GOOGLEFINANCE(B3172,""pe""),V3172)"),21.93)</f>
        <v>21.93</v>
      </c>
      <c r="X3172" s="12"/>
      <c r="Y3172" s="6">
        <v>5.21</v>
      </c>
      <c r="Z3172" s="6">
        <v>1</v>
      </c>
      <c r="AA3172" s="8">
        <v>45352</v>
      </c>
      <c r="AB3172" s="4">
        <v>0.3</v>
      </c>
      <c r="AC3172" s="6">
        <v>35.28</v>
      </c>
      <c r="AD3172" s="6">
        <v>38.26</v>
      </c>
      <c r="AE3172" s="1">
        <v>0</v>
      </c>
      <c r="AF3172" s="1">
        <f ca="1">IFERROR(__xludf.DUMMYFUNCTION("IFERROR(GOOGLEFINANCE(TRIM(F3172)&amp;"":"" &amp; TRIM(B3172),""high52""),AE3172)"),1999.2)</f>
        <v>1999.2</v>
      </c>
      <c r="AG3172" s="1">
        <v>0</v>
      </c>
      <c r="AH3172" s="1">
        <f ca="1">IFERROR(__xludf.DUMMYFUNCTION("IFERROR(GOOGLEFINANCE(TRIM(F3172)&amp;"":"" &amp; TRIM(B3172),""low52""),AE3172)"),626)</f>
        <v>626</v>
      </c>
      <c r="AI3172" s="1">
        <f ca="1">IFERROR(__xludf.DUMMYFUNCTION("IFERROR(GOOGLEFINANCE(B3172,""eps""),0)"),29.14)</f>
        <v>29.14</v>
      </c>
      <c r="AJ3172" s="1"/>
      <c r="AK3172" s="1" t="s">
        <v>9758</v>
      </c>
      <c r="AL3172" s="9">
        <f t="shared" si="306"/>
        <v>1</v>
      </c>
    </row>
    <row r="3173" spans="1:38" ht="15" x14ac:dyDescent="0.25">
      <c r="A3173" s="1" t="s">
        <v>9759</v>
      </c>
      <c r="B3173" s="1" t="s">
        <v>9760</v>
      </c>
      <c r="C3173" s="1" t="s">
        <v>82</v>
      </c>
      <c r="D3173" s="1" t="s">
        <v>82</v>
      </c>
      <c r="E3173" s="6">
        <v>66.81</v>
      </c>
      <c r="F3173" s="1" t="s">
        <v>40</v>
      </c>
      <c r="G3173" s="6">
        <f ca="1">IFERROR(__xludf.DUMMYFUNCTION("iferror(GOOGLEFINANCE(TRIM(F3173)&amp;"":"" &amp; TRIM(B3173), ""price""),0
)"),0)</f>
        <v>0</v>
      </c>
      <c r="H3173" s="6">
        <v>70.7</v>
      </c>
      <c r="I3173" s="6">
        <f t="shared" ca="1" si="0"/>
        <v>70.7</v>
      </c>
      <c r="J3173" s="6">
        <f ca="1">IFERROR(__xludf.DUMMYFUNCTION("IFERROR(GOOGLEFINANCE(B3173, ""volume""), 0)"),0)</f>
        <v>0</v>
      </c>
      <c r="K3173" s="9"/>
      <c r="L3173" s="6" t="str">
        <f ca="1">IFERROR(__xludf.DUMMYFUNCTION("IFERROR(GOOGLEFINANCE(B3173,""changepct""),K3173)"),"")</f>
        <v/>
      </c>
      <c r="M3173" s="6">
        <f ca="1">IFERROR(__xludf.DUMMYFUNCTION("IFERROR(GOOGLEFINANCE(B3173,""change""),0)"),0)</f>
        <v>0</v>
      </c>
      <c r="N3173" s="6">
        <v>1</v>
      </c>
      <c r="O3173" s="7">
        <v>45536</v>
      </c>
      <c r="P3173" s="6">
        <v>35.65</v>
      </c>
      <c r="Q3173" s="6">
        <v>102.47</v>
      </c>
      <c r="R3173" s="7">
        <v>45352</v>
      </c>
      <c r="S3173" s="6">
        <v>128.61000000000001</v>
      </c>
      <c r="T3173" s="6">
        <v>4.7300000000000004</v>
      </c>
      <c r="U3173" s="7">
        <v>45352</v>
      </c>
      <c r="V3173" s="6">
        <v>14.12</v>
      </c>
      <c r="W3173" s="6">
        <f ca="1">IFERROR(__xludf.DUMMYFUNCTION("IFERROR(GOOGLEFINANCE(B3173,""pe""),V3173)"),14.12)</f>
        <v>14.12</v>
      </c>
      <c r="X3173" s="9"/>
      <c r="Y3173" s="6">
        <v>2.13</v>
      </c>
      <c r="Z3173" s="6">
        <v>2</v>
      </c>
      <c r="AA3173" s="8">
        <v>45352</v>
      </c>
      <c r="AB3173" s="4">
        <v>0.9</v>
      </c>
      <c r="AC3173" s="6">
        <v>17.48</v>
      </c>
      <c r="AD3173" s="6">
        <v>18.260000000000002</v>
      </c>
      <c r="AE3173" s="1">
        <v>0</v>
      </c>
      <c r="AF3173" s="1">
        <f ca="1">IFERROR(__xludf.DUMMYFUNCTION("IFERROR(GOOGLEFINANCE(TRIM(F3173)&amp;"":"" &amp; TRIM(B3173),""high52""),AE3173)"),0)</f>
        <v>0</v>
      </c>
      <c r="AG3173" s="1">
        <v>0</v>
      </c>
      <c r="AH3173" s="1">
        <f ca="1">IFERROR(__xludf.DUMMYFUNCTION("IFERROR(GOOGLEFINANCE(TRIM(F3173)&amp;"":"" &amp; TRIM(B3173),""low52""),AE3173)"),0)</f>
        <v>0</v>
      </c>
      <c r="AI3173" s="1">
        <f ca="1">IFERROR(__xludf.DUMMYFUNCTION("IFERROR(GOOGLEFINANCE(B3173,""eps""),0)"),0)</f>
        <v>0</v>
      </c>
      <c r="AJ3173" s="1"/>
      <c r="AK3173" s="9"/>
      <c r="AL3173" s="9">
        <f t="shared" si="306"/>
        <v>1</v>
      </c>
    </row>
    <row r="3174" spans="1:38" ht="15" x14ac:dyDescent="0.25">
      <c r="A3174" s="1" t="s">
        <v>9761</v>
      </c>
      <c r="B3174" s="1" t="s">
        <v>9762</v>
      </c>
      <c r="C3174" s="1" t="s">
        <v>106</v>
      </c>
      <c r="D3174" s="1" t="s">
        <v>106</v>
      </c>
      <c r="E3174" s="6">
        <v>323.24</v>
      </c>
      <c r="F3174" s="1" t="s">
        <v>53</v>
      </c>
      <c r="G3174" s="6">
        <f ca="1">IFERROR(__xludf.DUMMYFUNCTION("iferror(GOOGLEFINANCE(TRIM(F3174)&amp;"":"" &amp; TRIM(B3174), ""price""),0
)"),0)</f>
        <v>0</v>
      </c>
      <c r="H3174" s="6">
        <v>89.14</v>
      </c>
      <c r="I3174" s="6">
        <f t="shared" ca="1" si="0"/>
        <v>89.14</v>
      </c>
      <c r="J3174" s="6">
        <f ca="1">IFERROR(__xludf.DUMMYFUNCTION("IFERROR(GOOGLEFINANCE(B3174, ""volume""), 0)"),0)</f>
        <v>0</v>
      </c>
      <c r="K3174" s="6">
        <v>1.99</v>
      </c>
      <c r="L3174" s="6">
        <f ca="1">IFERROR(__xludf.DUMMYFUNCTION("IFERROR(GOOGLEFINANCE(B3174,""changepct""),K3174)"),1.99)</f>
        <v>1.99</v>
      </c>
      <c r="M3174" s="6">
        <f ca="1">IFERROR(__xludf.DUMMYFUNCTION("IFERROR(GOOGLEFINANCE(B3174,""change""),0)"),0)</f>
        <v>0</v>
      </c>
      <c r="N3174" s="6">
        <v>1</v>
      </c>
      <c r="O3174" s="7">
        <v>45536</v>
      </c>
      <c r="P3174" s="6">
        <v>60.61</v>
      </c>
      <c r="Q3174" s="6">
        <v>383.75</v>
      </c>
      <c r="R3174" s="7">
        <v>45536</v>
      </c>
      <c r="S3174" s="6">
        <v>47.1</v>
      </c>
      <c r="T3174" s="6">
        <v>0.02</v>
      </c>
      <c r="U3174" s="7">
        <v>45536</v>
      </c>
      <c r="V3174" s="6">
        <v>0</v>
      </c>
      <c r="W3174" s="6">
        <f ca="1">IFERROR(__xludf.DUMMYFUNCTION("IFERROR(GOOGLEFINANCE(B3174,""pe""),V3174)"),0)</f>
        <v>0</v>
      </c>
      <c r="X3174" s="6">
        <v>0</v>
      </c>
      <c r="Y3174" s="6">
        <v>-16.62</v>
      </c>
      <c r="Z3174" s="6">
        <v>1</v>
      </c>
      <c r="AA3174" s="8">
        <v>45352</v>
      </c>
      <c r="AB3174" s="4">
        <v>-2.77</v>
      </c>
      <c r="AC3174" s="6">
        <v>0</v>
      </c>
      <c r="AD3174" s="6">
        <v>-41.69</v>
      </c>
      <c r="AE3174" s="1">
        <v>0</v>
      </c>
      <c r="AF3174" s="1">
        <f ca="1">IFERROR(__xludf.DUMMYFUNCTION("IFERROR(GOOGLEFINANCE(TRIM(F3174)&amp;"":"" &amp; TRIM(B3174),""high52""),AE3174)"),0)</f>
        <v>0</v>
      </c>
      <c r="AG3174" s="1">
        <v>0</v>
      </c>
      <c r="AH3174" s="1">
        <f ca="1">IFERROR(__xludf.DUMMYFUNCTION("IFERROR(GOOGLEFINANCE(TRIM(F3174)&amp;"":"" &amp; TRIM(B3174),""low52""),AE3174)"),0)</f>
        <v>0</v>
      </c>
      <c r="AI3174" s="1">
        <f ca="1">IFERROR(__xludf.DUMMYFUNCTION("IFERROR(GOOGLEFINANCE(B3174,""eps""),0)"),0)</f>
        <v>0</v>
      </c>
      <c r="AJ3174" s="1"/>
      <c r="AK3174" s="1" t="s">
        <v>9763</v>
      </c>
      <c r="AL3174" s="9">
        <f t="shared" si="306"/>
        <v>1</v>
      </c>
    </row>
    <row r="3175" spans="1:38" ht="15" x14ac:dyDescent="0.25">
      <c r="A3175" s="1" t="s">
        <v>9764</v>
      </c>
      <c r="B3175" s="1" t="s">
        <v>9765</v>
      </c>
      <c r="C3175" s="1" t="s">
        <v>4673</v>
      </c>
      <c r="D3175" s="1" t="s">
        <v>4673</v>
      </c>
      <c r="E3175" s="6">
        <v>10396.31</v>
      </c>
      <c r="F3175" s="1" t="s">
        <v>40</v>
      </c>
      <c r="G3175" s="6">
        <f ca="1">IFERROR(__xludf.DUMMYFUNCTION("iferror(GOOGLEFINANCE(TRIM(F3175)&amp;"":"" &amp; TRIM(B3175), ""price""),0
)"),425)</f>
        <v>425</v>
      </c>
      <c r="H3175" s="6">
        <v>496.45</v>
      </c>
      <c r="I3175" s="6">
        <f t="shared" ca="1" si="0"/>
        <v>425</v>
      </c>
      <c r="J3175" s="6">
        <f ca="1">IFERROR(__xludf.DUMMYFUNCTION("IFERROR(GOOGLEFINANCE(B3175, ""volume""), 0)"),802)</f>
        <v>802</v>
      </c>
      <c r="K3175" s="6">
        <v>-1.44</v>
      </c>
      <c r="L3175" s="6">
        <f ca="1">IFERROR(__xludf.DUMMYFUNCTION("IFERROR(GOOGLEFINANCE(B3175,""changepct""),K3175)"),-0.54)</f>
        <v>-0.54</v>
      </c>
      <c r="M3175" s="6">
        <f ca="1">IFERROR(__xludf.DUMMYFUNCTION("IFERROR(GOOGLEFINANCE(B3175,""change""),0)"),-15)</f>
        <v>-15</v>
      </c>
      <c r="N3175" s="6">
        <v>2</v>
      </c>
      <c r="O3175" s="7">
        <v>45536</v>
      </c>
      <c r="P3175" s="6">
        <v>319.92</v>
      </c>
      <c r="Q3175" s="6">
        <v>10575.31</v>
      </c>
      <c r="R3175" s="7">
        <v>45536</v>
      </c>
      <c r="S3175" s="6">
        <v>3612.06</v>
      </c>
      <c r="T3175" s="6">
        <v>-99.72</v>
      </c>
      <c r="U3175" s="7">
        <v>45536</v>
      </c>
      <c r="V3175" s="6">
        <v>0</v>
      </c>
      <c r="W3175" s="6">
        <f ca="1">IFERROR(__xludf.DUMMYFUNCTION("IFERROR(GOOGLEFINANCE(B3175,""pe""),V3175)"),32.58)</f>
        <v>32.58</v>
      </c>
      <c r="X3175" s="6">
        <v>0</v>
      </c>
      <c r="Y3175" s="6">
        <v>2.66</v>
      </c>
      <c r="Z3175" s="6">
        <v>2</v>
      </c>
      <c r="AA3175" s="8">
        <v>45352</v>
      </c>
      <c r="AB3175" s="4">
        <v>0.09</v>
      </c>
      <c r="AC3175" s="6">
        <v>-2.97</v>
      </c>
      <c r="AD3175" s="6">
        <v>1.1599999999999999</v>
      </c>
      <c r="AE3175" s="1">
        <v>0</v>
      </c>
      <c r="AF3175" s="1">
        <f ca="1">IFERROR(__xludf.DUMMYFUNCTION("IFERROR(GOOGLEFINANCE(TRIM(F3175)&amp;"":"" &amp; TRIM(B3175),""high52""),AE3175)"),547.9)</f>
        <v>547.9</v>
      </c>
      <c r="AG3175" s="1">
        <v>0</v>
      </c>
      <c r="AH3175" s="1">
        <f ca="1">IFERROR(__xludf.DUMMYFUNCTION("IFERROR(GOOGLEFINANCE(TRIM(F3175)&amp;"":"" &amp; TRIM(B3175),""low52""),AE3175)"),376.45)</f>
        <v>376.45</v>
      </c>
      <c r="AI3175" s="1">
        <f ca="1">IFERROR(__xludf.DUMMYFUNCTION("IFERROR(GOOGLEFINANCE(B3175,""eps""),0)"),0.85)</f>
        <v>0.85</v>
      </c>
      <c r="AJ3175" s="1"/>
      <c r="AK3175" s="1" t="s">
        <v>9766</v>
      </c>
      <c r="AL3175" s="9">
        <f t="shared" si="306"/>
        <v>1</v>
      </c>
    </row>
    <row r="3176" spans="1:38" ht="15" x14ac:dyDescent="0.25">
      <c r="A3176" s="1" t="s">
        <v>9767</v>
      </c>
      <c r="B3176" s="1" t="s">
        <v>9768</v>
      </c>
      <c r="C3176" s="1" t="s">
        <v>106</v>
      </c>
      <c r="D3176" s="1" t="s">
        <v>106</v>
      </c>
      <c r="E3176" s="6">
        <v>281.55</v>
      </c>
      <c r="F3176" s="1" t="s">
        <v>53</v>
      </c>
      <c r="G3176" s="6">
        <f ca="1">IFERROR(__xludf.DUMMYFUNCTION("iferror(GOOGLEFINANCE(TRIM(F3176)&amp;"":"" &amp; TRIM(B3176), ""price""),0
)"),0)</f>
        <v>0</v>
      </c>
      <c r="H3176" s="6">
        <v>213.9</v>
      </c>
      <c r="I3176" s="6">
        <f t="shared" ca="1" si="0"/>
        <v>213.9</v>
      </c>
      <c r="J3176" s="6">
        <f ca="1">IFERROR(__xludf.DUMMYFUNCTION("IFERROR(GOOGLEFINANCE(B3176, ""volume""), 0)"),0)</f>
        <v>0</v>
      </c>
      <c r="K3176" s="6">
        <v>7.0000000000000007E-2</v>
      </c>
      <c r="L3176" s="6">
        <f ca="1">IFERROR(__xludf.DUMMYFUNCTION("IFERROR(GOOGLEFINANCE(B3176,""changepct""),K3176)"),0.07)</f>
        <v>7.0000000000000007E-2</v>
      </c>
      <c r="M3176" s="6">
        <f ca="1">IFERROR(__xludf.DUMMYFUNCTION("IFERROR(GOOGLEFINANCE(B3176,""change""),0)"),0)</f>
        <v>0</v>
      </c>
      <c r="N3176" s="6">
        <v>1</v>
      </c>
      <c r="O3176" s="7">
        <v>45536</v>
      </c>
      <c r="P3176" s="6">
        <v>5.38</v>
      </c>
      <c r="Q3176" s="6">
        <v>286.42</v>
      </c>
      <c r="R3176" s="7">
        <v>45536</v>
      </c>
      <c r="S3176" s="6">
        <v>110.12</v>
      </c>
      <c r="T3176" s="6">
        <v>14.25</v>
      </c>
      <c r="U3176" s="7">
        <v>45536</v>
      </c>
      <c r="V3176" s="6">
        <v>19.760000000000002</v>
      </c>
      <c r="W3176" s="6">
        <f ca="1">IFERROR(__xludf.DUMMYFUNCTION("IFERROR(GOOGLEFINANCE(B3176,""pe""),V3176)"),19.76)</f>
        <v>19.760000000000002</v>
      </c>
      <c r="X3176" s="6">
        <v>0.69</v>
      </c>
      <c r="Y3176" s="6">
        <v>2.15</v>
      </c>
      <c r="Z3176" s="6">
        <v>1</v>
      </c>
      <c r="AA3176" s="8">
        <v>45352</v>
      </c>
      <c r="AB3176" s="4">
        <v>0.05</v>
      </c>
      <c r="AC3176" s="6">
        <v>13.14</v>
      </c>
      <c r="AD3176" s="6">
        <v>16.87</v>
      </c>
      <c r="AE3176" s="1">
        <v>0</v>
      </c>
      <c r="AF3176" s="1">
        <f ca="1">IFERROR(__xludf.DUMMYFUNCTION("IFERROR(GOOGLEFINANCE(TRIM(F3176)&amp;"":"" &amp; TRIM(B3176),""high52""),AE3176)"),0)</f>
        <v>0</v>
      </c>
      <c r="AG3176" s="1">
        <v>0</v>
      </c>
      <c r="AH3176" s="1">
        <f ca="1">IFERROR(__xludf.DUMMYFUNCTION("IFERROR(GOOGLEFINANCE(TRIM(F3176)&amp;"":"" &amp; TRIM(B3176),""low52""),AE3176)"),0)</f>
        <v>0</v>
      </c>
      <c r="AI3176" s="1">
        <f ca="1">IFERROR(__xludf.DUMMYFUNCTION("IFERROR(GOOGLEFINANCE(B3176,""eps""),0)"),0)</f>
        <v>0</v>
      </c>
      <c r="AJ3176" s="1"/>
      <c r="AK3176" s="1" t="s">
        <v>9769</v>
      </c>
      <c r="AL3176" s="9">
        <f t="shared" si="306"/>
        <v>1</v>
      </c>
    </row>
    <row r="3177" spans="1:38" ht="15" x14ac:dyDescent="0.25">
      <c r="A3177" s="1" t="s">
        <v>9770</v>
      </c>
      <c r="B3177" s="1" t="s">
        <v>9771</v>
      </c>
      <c r="C3177" s="1" t="s">
        <v>106</v>
      </c>
      <c r="D3177" s="1" t="s">
        <v>106</v>
      </c>
      <c r="E3177" s="6">
        <v>48.23</v>
      </c>
      <c r="F3177" s="1" t="s">
        <v>53</v>
      </c>
      <c r="G3177" s="6">
        <f ca="1">IFERROR(__xludf.DUMMYFUNCTION("iferror(GOOGLEFINANCE(TRIM(F3177)&amp;"":"" &amp; TRIM(B3177), ""price""),0
)"),0)</f>
        <v>0</v>
      </c>
      <c r="H3177" s="6">
        <v>29.5</v>
      </c>
      <c r="I3177" s="6">
        <f t="shared" ca="1" si="0"/>
        <v>29.5</v>
      </c>
      <c r="J3177" s="6">
        <f ca="1">IFERROR(__xludf.DUMMYFUNCTION("IFERROR(GOOGLEFINANCE(B3177, ""volume""), 0)"),0)</f>
        <v>0</v>
      </c>
      <c r="K3177" s="6">
        <v>4.9800000000000004</v>
      </c>
      <c r="L3177" s="6">
        <f ca="1">IFERROR(__xludf.DUMMYFUNCTION("IFERROR(GOOGLEFINANCE(B3177,""changepct""),K3177)"),4.98)</f>
        <v>4.9800000000000004</v>
      </c>
      <c r="M3177" s="6">
        <f ca="1">IFERROR(__xludf.DUMMYFUNCTION("IFERROR(GOOGLEFINANCE(B3177,""change""),0)"),0)</f>
        <v>0</v>
      </c>
      <c r="N3177" s="6">
        <v>1</v>
      </c>
      <c r="O3177" s="7">
        <v>45536</v>
      </c>
      <c r="P3177" s="6">
        <v>2.5299999999999998</v>
      </c>
      <c r="Q3177" s="6">
        <v>50.76</v>
      </c>
      <c r="R3177" s="7">
        <v>45536</v>
      </c>
      <c r="S3177" s="6">
        <v>15.49</v>
      </c>
      <c r="T3177" s="6">
        <v>0.2</v>
      </c>
      <c r="U3177" s="7">
        <v>45536</v>
      </c>
      <c r="V3177" s="6">
        <v>244.83</v>
      </c>
      <c r="W3177" s="6">
        <f ca="1">IFERROR(__xludf.DUMMYFUNCTION("IFERROR(GOOGLEFINANCE(B3177,""pe""),V3177)"),244.83)</f>
        <v>244.83</v>
      </c>
      <c r="X3177" s="6">
        <v>-22.28</v>
      </c>
      <c r="Y3177" s="6">
        <v>2.97</v>
      </c>
      <c r="Z3177" s="6">
        <v>1</v>
      </c>
      <c r="AA3177" s="8">
        <v>45352</v>
      </c>
      <c r="AB3177" s="4">
        <v>0.1</v>
      </c>
      <c r="AC3177" s="6">
        <v>1.07</v>
      </c>
      <c r="AD3177" s="6">
        <v>1.44</v>
      </c>
      <c r="AE3177" s="1">
        <v>0</v>
      </c>
      <c r="AF3177" s="1">
        <f ca="1">IFERROR(__xludf.DUMMYFUNCTION("IFERROR(GOOGLEFINANCE(TRIM(F3177)&amp;"":"" &amp; TRIM(B3177),""high52""),AE3177)"),0)</f>
        <v>0</v>
      </c>
      <c r="AG3177" s="1">
        <v>0</v>
      </c>
      <c r="AH3177" s="1">
        <f ca="1">IFERROR(__xludf.DUMMYFUNCTION("IFERROR(GOOGLEFINANCE(TRIM(F3177)&amp;"":"" &amp; TRIM(B3177),""low52""),AE3177)"),0)</f>
        <v>0</v>
      </c>
      <c r="AI3177" s="1">
        <f ca="1">IFERROR(__xludf.DUMMYFUNCTION("IFERROR(GOOGLEFINANCE(B3177,""eps""),0)"),0)</f>
        <v>0</v>
      </c>
      <c r="AJ3177" s="1"/>
      <c r="AK3177" s="9"/>
      <c r="AL3177" s="9">
        <f t="shared" si="306"/>
        <v>1</v>
      </c>
    </row>
    <row r="3178" spans="1:38" ht="15" x14ac:dyDescent="0.25">
      <c r="A3178" s="1" t="s">
        <v>9772</v>
      </c>
      <c r="B3178" s="1" t="s">
        <v>9773</v>
      </c>
      <c r="C3178" s="1" t="s">
        <v>106</v>
      </c>
      <c r="D3178" s="1" t="s">
        <v>106</v>
      </c>
      <c r="E3178" s="6">
        <v>16.41</v>
      </c>
      <c r="F3178" s="1" t="s">
        <v>53</v>
      </c>
      <c r="G3178" s="6">
        <f ca="1">IFERROR(__xludf.DUMMYFUNCTION("iferror(GOOGLEFINANCE(TRIM(F3178)&amp;"":"" &amp; TRIM(B3178), ""price""),0
)"),0)</f>
        <v>0</v>
      </c>
      <c r="H3178" s="6">
        <v>43.82</v>
      </c>
      <c r="I3178" s="6">
        <f t="shared" ca="1" si="0"/>
        <v>43.82</v>
      </c>
      <c r="J3178" s="6">
        <f ca="1">IFERROR(__xludf.DUMMYFUNCTION("IFERROR(GOOGLEFINANCE(B3178, ""volume""), 0)"),0)</f>
        <v>0</v>
      </c>
      <c r="K3178" s="6">
        <v>-0.09</v>
      </c>
      <c r="L3178" s="6">
        <f ca="1">IFERROR(__xludf.DUMMYFUNCTION("IFERROR(GOOGLEFINANCE(B3178,""changepct""),K3178)"),-0.09)</f>
        <v>-0.09</v>
      </c>
      <c r="M3178" s="6">
        <f ca="1">IFERROR(__xludf.DUMMYFUNCTION("IFERROR(GOOGLEFINANCE(B3178,""change""),0)"),0)</f>
        <v>0</v>
      </c>
      <c r="N3178" s="6">
        <v>1</v>
      </c>
      <c r="O3178" s="7">
        <v>45536</v>
      </c>
      <c r="P3178" s="6">
        <v>5.75</v>
      </c>
      <c r="Q3178" s="6">
        <v>22.16</v>
      </c>
      <c r="R3178" s="7">
        <v>45536</v>
      </c>
      <c r="S3178" s="6">
        <v>22.68</v>
      </c>
      <c r="T3178" s="6">
        <v>-3.41</v>
      </c>
      <c r="U3178" s="7">
        <v>45536</v>
      </c>
      <c r="V3178" s="6">
        <v>0</v>
      </c>
      <c r="W3178" s="6">
        <f ca="1">IFERROR(__xludf.DUMMYFUNCTION("IFERROR(GOOGLEFINANCE(B3178,""pe""),V3178)"),0)</f>
        <v>0</v>
      </c>
      <c r="X3178" s="9"/>
      <c r="Y3178" s="6">
        <v>-19.47</v>
      </c>
      <c r="Z3178" s="6">
        <v>1</v>
      </c>
      <c r="AA3178" s="8">
        <v>45352</v>
      </c>
      <c r="AB3178" s="4">
        <v>83.26</v>
      </c>
      <c r="AC3178" s="6">
        <v>-281.14</v>
      </c>
      <c r="AD3178" s="6">
        <v>-59.88</v>
      </c>
      <c r="AE3178" s="1">
        <v>0</v>
      </c>
      <c r="AF3178" s="1">
        <f ca="1">IFERROR(__xludf.DUMMYFUNCTION("IFERROR(GOOGLEFINANCE(TRIM(F3178)&amp;"":"" &amp; TRIM(B3178),""high52""),AE3178)"),0)</f>
        <v>0</v>
      </c>
      <c r="AG3178" s="1">
        <v>0</v>
      </c>
      <c r="AH3178" s="1">
        <f ca="1">IFERROR(__xludf.DUMMYFUNCTION("IFERROR(GOOGLEFINANCE(TRIM(F3178)&amp;"":"" &amp; TRIM(B3178),""low52""),AE3178)"),0)</f>
        <v>0</v>
      </c>
      <c r="AI3178" s="1">
        <f ca="1">IFERROR(__xludf.DUMMYFUNCTION("IFERROR(GOOGLEFINANCE(B3178,""eps""),0)"),0)</f>
        <v>0</v>
      </c>
      <c r="AJ3178" s="1"/>
      <c r="AK3178" s="1" t="s">
        <v>9774</v>
      </c>
      <c r="AL3178" s="9">
        <f t="shared" si="306"/>
        <v>1</v>
      </c>
    </row>
    <row r="3179" spans="1:38" ht="15" x14ac:dyDescent="0.25">
      <c r="A3179" s="1" t="s">
        <v>9775</v>
      </c>
      <c r="B3179" s="1" t="s">
        <v>9776</v>
      </c>
      <c r="C3179" s="1" t="s">
        <v>106</v>
      </c>
      <c r="D3179" s="1" t="s">
        <v>106</v>
      </c>
      <c r="E3179" s="6">
        <v>195.6</v>
      </c>
      <c r="F3179" s="1" t="s">
        <v>53</v>
      </c>
      <c r="G3179" s="6">
        <f ca="1">IFERROR(__xludf.DUMMYFUNCTION("iferror(GOOGLEFINANCE(TRIM(F3179)&amp;"":"" &amp; TRIM(B3179), ""price""),0
)"),0)</f>
        <v>0</v>
      </c>
      <c r="H3179" s="6">
        <v>166.65</v>
      </c>
      <c r="I3179" s="6">
        <f t="shared" ca="1" si="0"/>
        <v>166.65</v>
      </c>
      <c r="J3179" s="6">
        <f ca="1">IFERROR(__xludf.DUMMYFUNCTION("IFERROR(GOOGLEFINANCE(B3179, ""volume""), 0)"),0)</f>
        <v>0</v>
      </c>
      <c r="K3179" s="6">
        <v>-2.14</v>
      </c>
      <c r="L3179" s="6">
        <f ca="1">IFERROR(__xludf.DUMMYFUNCTION("IFERROR(GOOGLEFINANCE(B3179,""changepct""),K3179)"),-2.14)</f>
        <v>-2.14</v>
      </c>
      <c r="M3179" s="6">
        <f ca="1">IFERROR(__xludf.DUMMYFUNCTION("IFERROR(GOOGLEFINANCE(B3179,""change""),0)"),0)</f>
        <v>0</v>
      </c>
      <c r="N3179" s="6">
        <v>2</v>
      </c>
      <c r="O3179" s="7">
        <v>45536</v>
      </c>
      <c r="P3179" s="6">
        <v>66</v>
      </c>
      <c r="Q3179" s="6">
        <v>259.92</v>
      </c>
      <c r="R3179" s="7">
        <v>45536</v>
      </c>
      <c r="S3179" s="6">
        <v>195.84</v>
      </c>
      <c r="T3179" s="6">
        <v>11.82</v>
      </c>
      <c r="U3179" s="7">
        <v>45536</v>
      </c>
      <c r="V3179" s="6">
        <v>16.57</v>
      </c>
      <c r="W3179" s="6">
        <f ca="1">IFERROR(__xludf.DUMMYFUNCTION("IFERROR(GOOGLEFINANCE(B3179,""pe""),V3179)"),16.57)</f>
        <v>16.57</v>
      </c>
      <c r="X3179" s="6">
        <v>0.69</v>
      </c>
      <c r="Y3179" s="6">
        <v>2.48</v>
      </c>
      <c r="Z3179" s="6">
        <v>2</v>
      </c>
      <c r="AA3179" s="8">
        <v>45352</v>
      </c>
      <c r="AB3179" s="4">
        <v>0.99</v>
      </c>
      <c r="AC3179" s="6">
        <v>14.39</v>
      </c>
      <c r="AD3179" s="6">
        <v>13.61</v>
      </c>
      <c r="AE3179" s="1">
        <v>0</v>
      </c>
      <c r="AF3179" s="1">
        <f ca="1">IFERROR(__xludf.DUMMYFUNCTION("IFERROR(GOOGLEFINANCE(TRIM(F3179)&amp;"":"" &amp; TRIM(B3179),""high52""),AE3179)"),0)</f>
        <v>0</v>
      </c>
      <c r="AG3179" s="1">
        <v>0</v>
      </c>
      <c r="AH3179" s="1">
        <f ca="1">IFERROR(__xludf.DUMMYFUNCTION("IFERROR(GOOGLEFINANCE(TRIM(F3179)&amp;"":"" &amp; TRIM(B3179),""low52""),AE3179)"),0)</f>
        <v>0</v>
      </c>
      <c r="AI3179" s="1">
        <f ca="1">IFERROR(__xludf.DUMMYFUNCTION("IFERROR(GOOGLEFINANCE(B3179,""eps""),0)"),0)</f>
        <v>0</v>
      </c>
      <c r="AJ3179" s="1"/>
      <c r="AK3179" s="1" t="s">
        <v>9777</v>
      </c>
      <c r="AL3179" s="9">
        <f t="shared" si="306"/>
        <v>1</v>
      </c>
    </row>
    <row r="3180" spans="1:38" ht="15" x14ac:dyDescent="0.25">
      <c r="A3180" s="1" t="s">
        <v>9778</v>
      </c>
      <c r="B3180" s="1" t="s">
        <v>9779</v>
      </c>
      <c r="C3180" s="1" t="s">
        <v>525</v>
      </c>
      <c r="D3180" s="1" t="s">
        <v>525</v>
      </c>
      <c r="E3180" s="6">
        <v>18.23</v>
      </c>
      <c r="F3180" s="1" t="s">
        <v>40</v>
      </c>
      <c r="G3180" s="6">
        <f ca="1">IFERROR(__xludf.DUMMYFUNCTION("iferror(GOOGLEFINANCE(TRIM(F3180)&amp;"":"" &amp; TRIM(B3180), ""price""),0
)"),0)</f>
        <v>0</v>
      </c>
      <c r="H3180" s="6">
        <v>75</v>
      </c>
      <c r="I3180" s="6">
        <f t="shared" ca="1" si="0"/>
        <v>75</v>
      </c>
      <c r="J3180" s="6">
        <f ca="1">IFERROR(__xludf.DUMMYFUNCTION("IFERROR(GOOGLEFINANCE(B3180, ""volume""), 0)"),0)</f>
        <v>0</v>
      </c>
      <c r="K3180" s="9"/>
      <c r="L3180" s="6" t="str">
        <f ca="1">IFERROR(__xludf.DUMMYFUNCTION("IFERROR(GOOGLEFINANCE(B3180,""changepct""),K3180)"),"")</f>
        <v/>
      </c>
      <c r="M3180" s="6">
        <f ca="1">IFERROR(__xludf.DUMMYFUNCTION("IFERROR(GOOGLEFINANCE(B3180,""change""),0)"),0)</f>
        <v>0</v>
      </c>
      <c r="N3180" s="6">
        <v>1</v>
      </c>
      <c r="O3180" s="7">
        <v>45536</v>
      </c>
      <c r="P3180" s="6">
        <v>8.7200000000000006</v>
      </c>
      <c r="Q3180" s="6">
        <v>26.94</v>
      </c>
      <c r="R3180" s="7">
        <v>45352</v>
      </c>
      <c r="S3180" s="6">
        <v>39.130000000000003</v>
      </c>
      <c r="T3180" s="6">
        <v>0.71</v>
      </c>
      <c r="U3180" s="7">
        <v>45352</v>
      </c>
      <c r="V3180" s="6">
        <v>25.77</v>
      </c>
      <c r="W3180" s="6">
        <f ca="1">IFERROR(__xludf.DUMMYFUNCTION("IFERROR(GOOGLEFINANCE(B3180,""pe""),V3180)"),25.77)</f>
        <v>25.77</v>
      </c>
      <c r="X3180" s="9"/>
      <c r="Y3180" s="6">
        <v>1.57</v>
      </c>
      <c r="Z3180" s="6">
        <v>1</v>
      </c>
      <c r="AA3180" s="8">
        <v>45352</v>
      </c>
      <c r="AB3180" s="4">
        <v>0.72</v>
      </c>
      <c r="AC3180" s="6">
        <v>5.67</v>
      </c>
      <c r="AD3180" s="6">
        <v>8.3800000000000008</v>
      </c>
      <c r="AE3180" s="1">
        <v>0</v>
      </c>
      <c r="AF3180" s="1">
        <f ca="1">IFERROR(__xludf.DUMMYFUNCTION("IFERROR(GOOGLEFINANCE(TRIM(F3180)&amp;"":"" &amp; TRIM(B3180),""high52""),AE3180)"),0)</f>
        <v>0</v>
      </c>
      <c r="AG3180" s="1">
        <v>0</v>
      </c>
      <c r="AH3180" s="1">
        <f ca="1">IFERROR(__xludf.DUMMYFUNCTION("IFERROR(GOOGLEFINANCE(TRIM(F3180)&amp;"":"" &amp; TRIM(B3180),""low52""),AE3180)"),0)</f>
        <v>0</v>
      </c>
      <c r="AI3180" s="1">
        <f ca="1">IFERROR(__xludf.DUMMYFUNCTION("IFERROR(GOOGLEFINANCE(B3180,""eps""),0)"),0)</f>
        <v>0</v>
      </c>
      <c r="AJ3180" s="1"/>
      <c r="AK3180" s="1" t="s">
        <v>9780</v>
      </c>
      <c r="AL3180" s="9">
        <f t="shared" si="306"/>
        <v>1</v>
      </c>
    </row>
    <row r="3181" spans="1:38" ht="15" x14ac:dyDescent="0.25">
      <c r="A3181" s="1" t="s">
        <v>9781</v>
      </c>
      <c r="B3181" s="1" t="s">
        <v>9782</v>
      </c>
      <c r="C3181" s="1" t="s">
        <v>106</v>
      </c>
      <c r="D3181" s="1" t="s">
        <v>106</v>
      </c>
      <c r="E3181" s="6">
        <v>32.090000000000003</v>
      </c>
      <c r="F3181" s="1" t="s">
        <v>53</v>
      </c>
      <c r="G3181" s="6">
        <f ca="1">IFERROR(__xludf.DUMMYFUNCTION("iferror(GOOGLEFINANCE(TRIM(F3181)&amp;"":"" &amp; TRIM(B3181), ""price""),0
)"),0)</f>
        <v>0</v>
      </c>
      <c r="H3181" s="6">
        <v>47</v>
      </c>
      <c r="I3181" s="6">
        <f t="shared" ca="1" si="0"/>
        <v>47</v>
      </c>
      <c r="J3181" s="6">
        <f ca="1">IFERROR(__xludf.DUMMYFUNCTION("IFERROR(GOOGLEFINANCE(B3181, ""volume""), 0)"),0)</f>
        <v>0</v>
      </c>
      <c r="K3181" s="6">
        <v>0</v>
      </c>
      <c r="L3181" s="6">
        <f ca="1">IFERROR(__xludf.DUMMYFUNCTION("IFERROR(GOOGLEFINANCE(B3181,""changepct""),K3181)"),0)</f>
        <v>0</v>
      </c>
      <c r="M3181" s="6">
        <f ca="1">IFERROR(__xludf.DUMMYFUNCTION("IFERROR(GOOGLEFINANCE(B3181,""change""),0)"),0)</f>
        <v>0</v>
      </c>
      <c r="N3181" s="6">
        <v>1</v>
      </c>
      <c r="O3181" s="7">
        <v>45536</v>
      </c>
      <c r="P3181" s="6">
        <v>0</v>
      </c>
      <c r="Q3181" s="6">
        <v>31.71</v>
      </c>
      <c r="R3181" s="7">
        <v>45536</v>
      </c>
      <c r="S3181" s="6">
        <v>29.29</v>
      </c>
      <c r="T3181" s="6">
        <v>-0.46</v>
      </c>
      <c r="U3181" s="7">
        <v>45536</v>
      </c>
      <c r="V3181" s="6">
        <v>0</v>
      </c>
      <c r="W3181" s="6">
        <f ca="1">IFERROR(__xludf.DUMMYFUNCTION("IFERROR(GOOGLEFINANCE(B3181,""pe""),V3181)"),0)</f>
        <v>0</v>
      </c>
      <c r="X3181" s="9"/>
      <c r="Y3181" s="6">
        <v>5.64</v>
      </c>
      <c r="Z3181" s="6">
        <v>1</v>
      </c>
      <c r="AA3181" s="8">
        <v>45352</v>
      </c>
      <c r="AB3181" s="4">
        <v>0</v>
      </c>
      <c r="AC3181" s="6">
        <v>-8.2100000000000009</v>
      </c>
      <c r="AD3181" s="6">
        <v>-7.95</v>
      </c>
      <c r="AE3181" s="1">
        <v>0</v>
      </c>
      <c r="AF3181" s="1">
        <f ca="1">IFERROR(__xludf.DUMMYFUNCTION("IFERROR(GOOGLEFINANCE(TRIM(F3181)&amp;"":"" &amp; TRIM(B3181),""high52""),AE3181)"),0)</f>
        <v>0</v>
      </c>
      <c r="AG3181" s="1">
        <v>0</v>
      </c>
      <c r="AH3181" s="1">
        <f ca="1">IFERROR(__xludf.DUMMYFUNCTION("IFERROR(GOOGLEFINANCE(TRIM(F3181)&amp;"":"" &amp; TRIM(B3181),""low52""),AE3181)"),0)</f>
        <v>0</v>
      </c>
      <c r="AI3181" s="1">
        <f ca="1">IFERROR(__xludf.DUMMYFUNCTION("IFERROR(GOOGLEFINANCE(B3181,""eps""),0)"),0)</f>
        <v>0</v>
      </c>
      <c r="AJ3181" s="1"/>
      <c r="AK3181" s="9"/>
      <c r="AL3181" s="9">
        <f t="shared" si="306"/>
        <v>1</v>
      </c>
    </row>
    <row r="3182" spans="1:38" ht="15" x14ac:dyDescent="0.25">
      <c r="A3182" s="1" t="s">
        <v>9783</v>
      </c>
      <c r="B3182" s="1" t="s">
        <v>9784</v>
      </c>
      <c r="C3182" s="1" t="s">
        <v>106</v>
      </c>
      <c r="D3182" s="1" t="s">
        <v>106</v>
      </c>
      <c r="E3182" s="6">
        <v>266.2</v>
      </c>
      <c r="F3182" s="1" t="s">
        <v>53</v>
      </c>
      <c r="G3182" s="6">
        <f ca="1">IFERROR(__xludf.DUMMYFUNCTION("iferror(GOOGLEFINANCE(TRIM(F3182)&amp;"":"" &amp; TRIM(B3182), ""price""),0
)"),0)</f>
        <v>0</v>
      </c>
      <c r="H3182" s="6">
        <v>76.98</v>
      </c>
      <c r="I3182" s="6">
        <f t="shared" ca="1" si="0"/>
        <v>76.98</v>
      </c>
      <c r="J3182" s="6">
        <f ca="1">IFERROR(__xludf.DUMMYFUNCTION("IFERROR(GOOGLEFINANCE(B3182, ""volume""), 0)"),0)</f>
        <v>0</v>
      </c>
      <c r="K3182" s="6">
        <v>1.99</v>
      </c>
      <c r="L3182" s="6">
        <f ca="1">IFERROR(__xludf.DUMMYFUNCTION("IFERROR(GOOGLEFINANCE(B3182,""changepct""),K3182)"),1.99)</f>
        <v>1.99</v>
      </c>
      <c r="M3182" s="6">
        <f ca="1">IFERROR(__xludf.DUMMYFUNCTION("IFERROR(GOOGLEFINANCE(B3182,""change""),0)"),0)</f>
        <v>0</v>
      </c>
      <c r="N3182" s="6">
        <v>2</v>
      </c>
      <c r="O3182" s="7">
        <v>45536</v>
      </c>
      <c r="P3182" s="6">
        <v>10.37</v>
      </c>
      <c r="Q3182" s="6">
        <v>276.57</v>
      </c>
      <c r="R3182" s="7">
        <v>45536</v>
      </c>
      <c r="S3182" s="6">
        <v>15.74</v>
      </c>
      <c r="T3182" s="6">
        <v>-13.65</v>
      </c>
      <c r="U3182" s="7">
        <v>45536</v>
      </c>
      <c r="V3182" s="6">
        <v>0</v>
      </c>
      <c r="W3182" s="6">
        <f ca="1">IFERROR(__xludf.DUMMYFUNCTION("IFERROR(GOOGLEFINANCE(B3182,""pe""),V3182)"),0)</f>
        <v>0</v>
      </c>
      <c r="X3182" s="12"/>
      <c r="Y3182" s="6">
        <v>3.96</v>
      </c>
      <c r="Z3182" s="6">
        <v>2</v>
      </c>
      <c r="AA3182" s="8">
        <v>45352</v>
      </c>
      <c r="AB3182" s="4">
        <v>7.0000000000000007E-2</v>
      </c>
      <c r="AC3182" s="6">
        <v>-25.19</v>
      </c>
      <c r="AD3182" s="6">
        <v>-28.16</v>
      </c>
      <c r="AE3182" s="1">
        <v>0</v>
      </c>
      <c r="AF3182" s="1">
        <f ca="1">IFERROR(__xludf.DUMMYFUNCTION("IFERROR(GOOGLEFINANCE(TRIM(F3182)&amp;"":"" &amp; TRIM(B3182),""high52""),AE3182)"),0)</f>
        <v>0</v>
      </c>
      <c r="AG3182" s="1">
        <v>0</v>
      </c>
      <c r="AH3182" s="1">
        <f ca="1">IFERROR(__xludf.DUMMYFUNCTION("IFERROR(GOOGLEFINANCE(TRIM(F3182)&amp;"":"" &amp; TRIM(B3182),""low52""),AE3182)"),0)</f>
        <v>0</v>
      </c>
      <c r="AI3182" s="1">
        <f ca="1">IFERROR(__xludf.DUMMYFUNCTION("IFERROR(GOOGLEFINANCE(B3182,""eps""),0)"),0)</f>
        <v>0</v>
      </c>
      <c r="AJ3182" s="1"/>
      <c r="AK3182" s="1" t="s">
        <v>9785</v>
      </c>
      <c r="AL3182" s="9">
        <f t="shared" si="306"/>
        <v>1</v>
      </c>
    </row>
    <row r="3183" spans="1:38" ht="15" x14ac:dyDescent="0.25">
      <c r="A3183" s="1" t="s">
        <v>9786</v>
      </c>
      <c r="B3183" s="1" t="s">
        <v>9787</v>
      </c>
      <c r="C3183" s="1" t="s">
        <v>355</v>
      </c>
      <c r="D3183" s="1" t="s">
        <v>355</v>
      </c>
      <c r="E3183" s="6">
        <v>1343.24</v>
      </c>
      <c r="F3183" s="1" t="s">
        <v>40</v>
      </c>
      <c r="G3183" s="6">
        <f ca="1">IFERROR(__xludf.DUMMYFUNCTION("iferror(GOOGLEFINANCE(TRIM(F3183)&amp;"":"" &amp; TRIM(B3183), ""price""),0
)"),116.94)</f>
        <v>116.94</v>
      </c>
      <c r="H3183" s="6">
        <v>98.59</v>
      </c>
      <c r="I3183" s="6">
        <f t="shared" ca="1" si="0"/>
        <v>116.94</v>
      </c>
      <c r="J3183" s="6">
        <f ca="1">IFERROR(__xludf.DUMMYFUNCTION("IFERROR(GOOGLEFINANCE(B3183, ""volume""), 0)"),1664940)</f>
        <v>1664940</v>
      </c>
      <c r="K3183" s="6">
        <v>-0.64</v>
      </c>
      <c r="L3183" s="6">
        <f ca="1">IFERROR(__xludf.DUMMYFUNCTION("IFERROR(GOOGLEFINANCE(B3183,""changepct""),K3183)"),2.84)</f>
        <v>2.84</v>
      </c>
      <c r="M3183" s="6">
        <f ca="1">IFERROR(__xludf.DUMMYFUNCTION("IFERROR(GOOGLEFINANCE(B3183,""change""),0)"),3.23)</f>
        <v>3.23</v>
      </c>
      <c r="N3183" s="6">
        <v>2</v>
      </c>
      <c r="O3183" s="7">
        <v>45536</v>
      </c>
      <c r="P3183" s="6">
        <v>696.28</v>
      </c>
      <c r="Q3183" s="6">
        <v>2015.49</v>
      </c>
      <c r="R3183" s="7">
        <v>45536</v>
      </c>
      <c r="S3183" s="6">
        <v>2187.38</v>
      </c>
      <c r="T3183" s="6">
        <v>39</v>
      </c>
      <c r="U3183" s="7">
        <v>45536</v>
      </c>
      <c r="V3183" s="6">
        <v>35.68</v>
      </c>
      <c r="W3183" s="6">
        <f ca="1">IFERROR(__xludf.DUMMYFUNCTION("IFERROR(GOOGLEFINANCE(B3183,""pe""),V3183)"),36.05)</f>
        <v>36.049999999999997</v>
      </c>
      <c r="X3183" s="6">
        <v>-5.2</v>
      </c>
      <c r="Y3183" s="6">
        <v>1.86</v>
      </c>
      <c r="Z3183" s="6">
        <v>2</v>
      </c>
      <c r="AA3183" s="17">
        <v>45352</v>
      </c>
      <c r="AB3183" s="18">
        <v>0.91</v>
      </c>
      <c r="AC3183" s="6">
        <v>5.53</v>
      </c>
      <c r="AD3183" s="6">
        <v>8.2799999999999994</v>
      </c>
      <c r="AE3183" s="1">
        <v>0</v>
      </c>
      <c r="AF3183" s="1">
        <f ca="1">IFERROR(__xludf.DUMMYFUNCTION("IFERROR(GOOGLEFINANCE(TRIM(F3183)&amp;"":"" &amp; TRIM(B3183),""high52""),AE3183)"),142.4)</f>
        <v>142.4</v>
      </c>
      <c r="AG3183" s="1">
        <v>0</v>
      </c>
      <c r="AH3183" s="1">
        <f ca="1">IFERROR(__xludf.DUMMYFUNCTION("IFERROR(GOOGLEFINANCE(TRIM(F3183)&amp;"":"" &amp; TRIM(B3183),""low52""),AE3183)"),54)</f>
        <v>54</v>
      </c>
      <c r="AI3183" s="1">
        <f ca="1">IFERROR(__xludf.DUMMYFUNCTION("IFERROR(GOOGLEFINANCE(B3183,""eps""),0)"),3.24)</f>
        <v>3.24</v>
      </c>
      <c r="AJ3183" s="1"/>
      <c r="AK3183" s="9"/>
      <c r="AL3183" s="1" t="b">
        <f>ISBLANK(AB3183)</f>
        <v>0</v>
      </c>
    </row>
    <row r="3184" spans="1:38" ht="15" x14ac:dyDescent="0.25">
      <c r="A3184" s="1" t="s">
        <v>9788</v>
      </c>
      <c r="B3184" s="1" t="s">
        <v>9789</v>
      </c>
      <c r="C3184" s="1" t="s">
        <v>125</v>
      </c>
      <c r="D3184" s="1" t="s">
        <v>125</v>
      </c>
      <c r="E3184" s="6">
        <v>1306.79</v>
      </c>
      <c r="F3184" s="1" t="s">
        <v>40</v>
      </c>
      <c r="G3184" s="6">
        <f ca="1">IFERROR(__xludf.DUMMYFUNCTION("iferror(GOOGLEFINANCE(TRIM(F3184)&amp;"":"" &amp; TRIM(B3184), ""price""),0
)"),392.55)</f>
        <v>392.55</v>
      </c>
      <c r="H3184" s="6">
        <v>347.6</v>
      </c>
      <c r="I3184" s="6">
        <f t="shared" ca="1" si="0"/>
        <v>392.55</v>
      </c>
      <c r="J3184" s="6">
        <f ca="1">IFERROR(__xludf.DUMMYFUNCTION("IFERROR(GOOGLEFINANCE(B3184, ""volume""), 0)"),74364)</f>
        <v>74364</v>
      </c>
      <c r="K3184" s="6">
        <v>1.46</v>
      </c>
      <c r="L3184" s="6">
        <f ca="1">IFERROR(__xludf.DUMMYFUNCTION("IFERROR(GOOGLEFINANCE(B3184,""changepct""),K3184)"),-0.7)</f>
        <v>-0.7</v>
      </c>
      <c r="M3184" s="6">
        <f ca="1">IFERROR(__xludf.DUMMYFUNCTION("IFERROR(GOOGLEFINANCE(B3184,""change""),0)"),-2.75)</f>
        <v>-2.75</v>
      </c>
      <c r="N3184" s="6">
        <v>2</v>
      </c>
      <c r="O3184" s="7">
        <v>45536</v>
      </c>
      <c r="P3184" s="6">
        <v>123.21</v>
      </c>
      <c r="Q3184" s="6">
        <v>1221.72</v>
      </c>
      <c r="R3184" s="7">
        <v>45536</v>
      </c>
      <c r="S3184" s="6">
        <v>688.92</v>
      </c>
      <c r="T3184" s="6">
        <v>16.73</v>
      </c>
      <c r="U3184" s="7">
        <v>45536</v>
      </c>
      <c r="V3184" s="6">
        <v>73.5</v>
      </c>
      <c r="W3184" s="6">
        <f ca="1">IFERROR(__xludf.DUMMYFUNCTION("IFERROR(GOOGLEFINANCE(B3184,""pe""),V3184)"),26.89)</f>
        <v>26.89</v>
      </c>
      <c r="X3184" s="12"/>
      <c r="Y3184" s="6">
        <v>2.23</v>
      </c>
      <c r="Z3184" s="6">
        <v>2</v>
      </c>
      <c r="AA3184" s="8">
        <v>45352</v>
      </c>
      <c r="AB3184" s="4">
        <v>0.1</v>
      </c>
      <c r="AC3184" s="6">
        <v>8.76</v>
      </c>
      <c r="AD3184" s="6">
        <v>9.98</v>
      </c>
      <c r="AE3184" s="1">
        <v>0</v>
      </c>
      <c r="AF3184" s="1">
        <f ca="1">IFERROR(__xludf.DUMMYFUNCTION("IFERROR(GOOGLEFINANCE(TRIM(F3184)&amp;"":"" &amp; TRIM(B3184),""high52""),AE3184)"),490)</f>
        <v>490</v>
      </c>
      <c r="AG3184" s="1">
        <v>0</v>
      </c>
      <c r="AH3184" s="1">
        <f ca="1">IFERROR(__xludf.DUMMYFUNCTION("IFERROR(GOOGLEFINANCE(TRIM(F3184)&amp;"":"" &amp; TRIM(B3184),""low52""),AE3184)"),201.5)</f>
        <v>201.5</v>
      </c>
      <c r="AI3184" s="1">
        <f ca="1">IFERROR(__xludf.DUMMYFUNCTION("IFERROR(GOOGLEFINANCE(B3184,""eps""),0)"),14.6)</f>
        <v>14.6</v>
      </c>
      <c r="AJ3184" s="1"/>
      <c r="AK3184" s="1" t="s">
        <v>9790</v>
      </c>
      <c r="AL3184" s="9">
        <f t="shared" ref="AL3184:AL3187" si="307">IF(AA3184&lt;&gt;AB3184,1,0)</f>
        <v>1</v>
      </c>
    </row>
    <row r="3185" spans="1:38" ht="15" x14ac:dyDescent="0.25">
      <c r="A3185" s="1" t="s">
        <v>9791</v>
      </c>
      <c r="B3185" s="1" t="s">
        <v>9792</v>
      </c>
      <c r="C3185" s="1" t="s">
        <v>106</v>
      </c>
      <c r="D3185" s="1" t="s">
        <v>106</v>
      </c>
      <c r="E3185" s="6">
        <v>114.5</v>
      </c>
      <c r="F3185" s="1" t="s">
        <v>53</v>
      </c>
      <c r="G3185" s="6">
        <f ca="1">IFERROR(__xludf.DUMMYFUNCTION("iferror(GOOGLEFINANCE(TRIM(F3185)&amp;"":"" &amp; TRIM(B3185), ""price""),0
)"),0)</f>
        <v>0</v>
      </c>
      <c r="H3185" s="6">
        <v>1.49</v>
      </c>
      <c r="I3185" s="6">
        <f t="shared" ca="1" si="0"/>
        <v>1.49</v>
      </c>
      <c r="J3185" s="6">
        <f ca="1">IFERROR(__xludf.DUMMYFUNCTION("IFERROR(GOOGLEFINANCE(B3185, ""volume""), 0)"),0)</f>
        <v>0</v>
      </c>
      <c r="K3185" s="6">
        <v>0</v>
      </c>
      <c r="L3185" s="6">
        <f ca="1">IFERROR(__xludf.DUMMYFUNCTION("IFERROR(GOOGLEFINANCE(B3185,""changepct""),K3185)"),0)</f>
        <v>0</v>
      </c>
      <c r="M3185" s="6">
        <f ca="1">IFERROR(__xludf.DUMMYFUNCTION("IFERROR(GOOGLEFINANCE(B3185,""change""),0)"),0)</f>
        <v>0</v>
      </c>
      <c r="N3185" s="6">
        <v>1</v>
      </c>
      <c r="O3185" s="7">
        <v>45536</v>
      </c>
      <c r="P3185" s="6">
        <v>0.3</v>
      </c>
      <c r="Q3185" s="6">
        <v>114.8</v>
      </c>
      <c r="R3185" s="7">
        <v>45536</v>
      </c>
      <c r="S3185" s="6">
        <v>82.33</v>
      </c>
      <c r="T3185" s="6">
        <v>0.83</v>
      </c>
      <c r="U3185" s="7">
        <v>45536</v>
      </c>
      <c r="V3185" s="6">
        <v>137.46</v>
      </c>
      <c r="W3185" s="6">
        <f ca="1">IFERROR(__xludf.DUMMYFUNCTION("IFERROR(GOOGLEFINANCE(B3185,""pe""),V3185)"),137.46)</f>
        <v>137.46</v>
      </c>
      <c r="X3185" s="6">
        <v>-5.59</v>
      </c>
      <c r="Y3185" s="6">
        <v>1.36</v>
      </c>
      <c r="Z3185" s="6">
        <v>1</v>
      </c>
      <c r="AA3185" s="8">
        <v>45352</v>
      </c>
      <c r="AB3185" s="4">
        <v>0.06</v>
      </c>
      <c r="AC3185" s="6">
        <v>1.24</v>
      </c>
      <c r="AD3185" s="6">
        <v>2.17</v>
      </c>
      <c r="AE3185" s="1">
        <v>0</v>
      </c>
      <c r="AF3185" s="1">
        <f ca="1">IFERROR(__xludf.DUMMYFUNCTION("IFERROR(GOOGLEFINANCE(TRIM(F3185)&amp;"":"" &amp; TRIM(B3185),""high52""),AE3185)"),0)</f>
        <v>0</v>
      </c>
      <c r="AG3185" s="1">
        <v>0</v>
      </c>
      <c r="AH3185" s="1">
        <f ca="1">IFERROR(__xludf.DUMMYFUNCTION("IFERROR(GOOGLEFINANCE(TRIM(F3185)&amp;"":"" &amp; TRIM(B3185),""low52""),AE3185)"),0)</f>
        <v>0</v>
      </c>
      <c r="AI3185" s="1">
        <f ca="1">IFERROR(__xludf.DUMMYFUNCTION("IFERROR(GOOGLEFINANCE(B3185,""eps""),0)"),0)</f>
        <v>0</v>
      </c>
      <c r="AJ3185" s="1"/>
      <c r="AK3185" s="1" t="s">
        <v>9793</v>
      </c>
      <c r="AL3185" s="9">
        <f t="shared" si="307"/>
        <v>1</v>
      </c>
    </row>
    <row r="3186" spans="1:38" ht="15" x14ac:dyDescent="0.25">
      <c r="A3186" s="1" t="s">
        <v>9794</v>
      </c>
      <c r="B3186" s="1" t="s">
        <v>9795</v>
      </c>
      <c r="C3186" s="1" t="s">
        <v>106</v>
      </c>
      <c r="D3186" s="1" t="s">
        <v>106</v>
      </c>
      <c r="E3186" s="6">
        <v>56.66</v>
      </c>
      <c r="F3186" s="1" t="s">
        <v>53</v>
      </c>
      <c r="G3186" s="6">
        <f ca="1">IFERROR(__xludf.DUMMYFUNCTION("iferror(GOOGLEFINANCE(TRIM(F3186)&amp;"":"" &amp; TRIM(B3186), ""price""),0
)"),0)</f>
        <v>0</v>
      </c>
      <c r="H3186" s="6">
        <v>74.400000000000006</v>
      </c>
      <c r="I3186" s="6">
        <f t="shared" ca="1" si="0"/>
        <v>74.400000000000006</v>
      </c>
      <c r="J3186" s="6">
        <f ca="1">IFERROR(__xludf.DUMMYFUNCTION("IFERROR(GOOGLEFINANCE(B3186, ""volume""), 0)"),0)</f>
        <v>0</v>
      </c>
      <c r="K3186" s="6">
        <v>3.29</v>
      </c>
      <c r="L3186" s="6">
        <f ca="1">IFERROR(__xludf.DUMMYFUNCTION("IFERROR(GOOGLEFINANCE(B3186,""changepct""),K3186)"),3.29)</f>
        <v>3.29</v>
      </c>
      <c r="M3186" s="6">
        <f ca="1">IFERROR(__xludf.DUMMYFUNCTION("IFERROR(GOOGLEFINANCE(B3186,""change""),0)"),0)</f>
        <v>0</v>
      </c>
      <c r="N3186" s="6">
        <v>1</v>
      </c>
      <c r="O3186" s="7">
        <v>45536</v>
      </c>
      <c r="P3186" s="6">
        <v>27.42</v>
      </c>
      <c r="Q3186" s="6">
        <v>79.25</v>
      </c>
      <c r="R3186" s="7">
        <v>45536</v>
      </c>
      <c r="S3186" s="6">
        <v>101.44</v>
      </c>
      <c r="T3186" s="6">
        <v>1.58</v>
      </c>
      <c r="U3186" s="7">
        <v>45536</v>
      </c>
      <c r="V3186" s="6">
        <v>35.9</v>
      </c>
      <c r="W3186" s="6">
        <f ca="1">IFERROR(__xludf.DUMMYFUNCTION("IFERROR(GOOGLEFINANCE(B3186,""pe""),V3186)"),35.9)</f>
        <v>35.9</v>
      </c>
      <c r="X3186" s="6">
        <v>1.77</v>
      </c>
      <c r="Y3186" s="6">
        <v>3.47</v>
      </c>
      <c r="Z3186" s="6">
        <v>1</v>
      </c>
      <c r="AA3186" s="8">
        <v>45352</v>
      </c>
      <c r="AB3186" s="4">
        <v>1.66</v>
      </c>
      <c r="AC3186" s="6">
        <v>10.33</v>
      </c>
      <c r="AD3186" s="6">
        <v>12.69</v>
      </c>
      <c r="AE3186" s="1">
        <v>0</v>
      </c>
      <c r="AF3186" s="1">
        <f ca="1">IFERROR(__xludf.DUMMYFUNCTION("IFERROR(GOOGLEFINANCE(TRIM(F3186)&amp;"":"" &amp; TRIM(B3186),""high52""),AE3186)"),0)</f>
        <v>0</v>
      </c>
      <c r="AG3186" s="1">
        <v>0</v>
      </c>
      <c r="AH3186" s="1">
        <f ca="1">IFERROR(__xludf.DUMMYFUNCTION("IFERROR(GOOGLEFINANCE(TRIM(F3186)&amp;"":"" &amp; TRIM(B3186),""low52""),AE3186)"),0)</f>
        <v>0</v>
      </c>
      <c r="AI3186" s="1">
        <f ca="1">IFERROR(__xludf.DUMMYFUNCTION("IFERROR(GOOGLEFINANCE(B3186,""eps""),0)"),0)</f>
        <v>0</v>
      </c>
      <c r="AJ3186" s="1"/>
      <c r="AK3186" s="1" t="s">
        <v>9796</v>
      </c>
      <c r="AL3186" s="9">
        <f t="shared" si="307"/>
        <v>1</v>
      </c>
    </row>
    <row r="3187" spans="1:38" ht="15" x14ac:dyDescent="0.25">
      <c r="A3187" s="1" t="s">
        <v>9797</v>
      </c>
      <c r="B3187" s="1" t="s">
        <v>9798</v>
      </c>
      <c r="C3187" s="1" t="s">
        <v>259</v>
      </c>
      <c r="D3187" s="1" t="s">
        <v>259</v>
      </c>
      <c r="E3187" s="6">
        <v>1151.32</v>
      </c>
      <c r="F3187" s="1" t="s">
        <v>40</v>
      </c>
      <c r="G3187" s="6">
        <f ca="1">IFERROR(__xludf.DUMMYFUNCTION("iferror(GOOGLEFINANCE(TRIM(F3187)&amp;"":"" &amp; TRIM(B3187), ""price""),0
)"),233.5)</f>
        <v>233.5</v>
      </c>
      <c r="H3187" s="6">
        <v>405</v>
      </c>
      <c r="I3187" s="6">
        <f t="shared" ca="1" si="0"/>
        <v>233.5</v>
      </c>
      <c r="J3187" s="6">
        <f ca="1">IFERROR(__xludf.DUMMYFUNCTION("IFERROR(GOOGLEFINANCE(B3187, ""volume""), 0)"),64720)</f>
        <v>64720</v>
      </c>
      <c r="K3187" s="6">
        <v>-0.23</v>
      </c>
      <c r="L3187" s="6">
        <f ca="1">IFERROR(__xludf.DUMMYFUNCTION("IFERROR(GOOGLEFINANCE(B3187,""changepct""),K3187)"),-1.32)</f>
        <v>-1.32</v>
      </c>
      <c r="M3187" s="6">
        <f ca="1">IFERROR(__xludf.DUMMYFUNCTION("IFERROR(GOOGLEFINANCE(B3187,""change""),0)"),-3.12)</f>
        <v>-3.12</v>
      </c>
      <c r="N3187" s="6">
        <v>2</v>
      </c>
      <c r="O3187" s="7">
        <v>45536</v>
      </c>
      <c r="P3187" s="6">
        <v>232.2</v>
      </c>
      <c r="Q3187" s="6">
        <v>1377.95</v>
      </c>
      <c r="R3187" s="7">
        <v>45536</v>
      </c>
      <c r="S3187" s="6">
        <v>1022.12</v>
      </c>
      <c r="T3187" s="6">
        <v>36.28</v>
      </c>
      <c r="U3187" s="7">
        <v>45536</v>
      </c>
      <c r="V3187" s="6">
        <v>31.21</v>
      </c>
      <c r="W3187" s="6">
        <f ca="1">IFERROR(__xludf.DUMMYFUNCTION("IFERROR(GOOGLEFINANCE(B3187,""pe""),V3187)"),15.73)</f>
        <v>15.73</v>
      </c>
      <c r="X3187" s="12"/>
      <c r="Y3187" s="6">
        <v>3.86</v>
      </c>
      <c r="Z3187" s="6">
        <v>2</v>
      </c>
      <c r="AA3187" s="8">
        <v>45352</v>
      </c>
      <c r="AB3187" s="4">
        <v>1.43</v>
      </c>
      <c r="AC3187" s="6">
        <v>19.78</v>
      </c>
      <c r="AD3187" s="6">
        <v>16.7</v>
      </c>
      <c r="AE3187" s="1">
        <v>0</v>
      </c>
      <c r="AF3187" s="1">
        <f ca="1">IFERROR(__xludf.DUMMYFUNCTION("IFERROR(GOOGLEFINANCE(TRIM(F3187)&amp;"":"" &amp; TRIM(B3187),""high52""),AE3187)"),370.25)</f>
        <v>370.25</v>
      </c>
      <c r="AG3187" s="1">
        <v>0</v>
      </c>
      <c r="AH3187" s="1">
        <f ca="1">IFERROR(__xludf.DUMMYFUNCTION("IFERROR(GOOGLEFINANCE(TRIM(F3187)&amp;"":"" &amp; TRIM(B3187),""low52""),AE3187)"),225.25)</f>
        <v>225.25</v>
      </c>
      <c r="AI3187" s="1">
        <f ca="1">IFERROR(__xludf.DUMMYFUNCTION("IFERROR(GOOGLEFINANCE(B3187,""eps""),0)"),14.84)</f>
        <v>14.84</v>
      </c>
      <c r="AJ3187" s="1"/>
      <c r="AK3187" s="1" t="s">
        <v>9799</v>
      </c>
      <c r="AL3187" s="9">
        <f t="shared" si="307"/>
        <v>1</v>
      </c>
    </row>
    <row r="3188" spans="1:38" ht="15" x14ac:dyDescent="0.25">
      <c r="A3188" s="1" t="s">
        <v>9800</v>
      </c>
      <c r="B3188" s="1" t="s">
        <v>9801</v>
      </c>
      <c r="C3188" s="1" t="s">
        <v>135</v>
      </c>
      <c r="D3188" s="1" t="s">
        <v>135</v>
      </c>
      <c r="E3188" s="6">
        <v>18.66</v>
      </c>
      <c r="F3188" s="1" t="s">
        <v>40</v>
      </c>
      <c r="G3188" s="6">
        <f ca="1">IFERROR(__xludf.DUMMYFUNCTION("iferror(GOOGLEFINANCE(TRIM(F3188)&amp;"":"" &amp; TRIM(B3188), ""price""),0
)"),0)</f>
        <v>0</v>
      </c>
      <c r="H3188" s="6">
        <v>44.1</v>
      </c>
      <c r="I3188" s="6">
        <f t="shared" ca="1" si="0"/>
        <v>44.1</v>
      </c>
      <c r="J3188" s="6">
        <f ca="1">IFERROR(__xludf.DUMMYFUNCTION("IFERROR(GOOGLEFINANCE(B3188, ""volume""), 0)"),0)</f>
        <v>0</v>
      </c>
      <c r="K3188" s="6">
        <v>0</v>
      </c>
      <c r="L3188" s="6">
        <f ca="1">IFERROR(__xludf.DUMMYFUNCTION("IFERROR(GOOGLEFINANCE(B3188,""changepct""),K3188)"),0)</f>
        <v>0</v>
      </c>
      <c r="M3188" s="6">
        <f ca="1">IFERROR(__xludf.DUMMYFUNCTION("IFERROR(GOOGLEFINANCE(B3188,""change""),0)"),0)</f>
        <v>0</v>
      </c>
      <c r="N3188" s="6">
        <v>1</v>
      </c>
      <c r="O3188" s="7">
        <v>45536</v>
      </c>
      <c r="P3188" s="6">
        <v>1.54</v>
      </c>
      <c r="Q3188" s="6">
        <v>20.2</v>
      </c>
      <c r="R3188" s="7">
        <v>45352</v>
      </c>
      <c r="S3188" s="6">
        <v>26.72</v>
      </c>
      <c r="T3188" s="6">
        <v>1.1299999999999999</v>
      </c>
      <c r="U3188" s="7">
        <v>45352</v>
      </c>
      <c r="V3188" s="6">
        <v>16.5</v>
      </c>
      <c r="W3188" s="6">
        <f ca="1">IFERROR(__xludf.DUMMYFUNCTION("IFERROR(GOOGLEFINANCE(B3188,""pe""),V3188)"),16.5)</f>
        <v>16.5</v>
      </c>
      <c r="X3188" s="12"/>
      <c r="Y3188" s="6">
        <v>1.31</v>
      </c>
      <c r="Z3188" s="6">
        <v>1</v>
      </c>
      <c r="AA3188" s="8">
        <v>45352</v>
      </c>
      <c r="AB3188" s="4">
        <v>0.06</v>
      </c>
      <c r="AC3188" s="6">
        <v>8.3000000000000007</v>
      </c>
      <c r="AD3188" s="6">
        <v>10.49</v>
      </c>
      <c r="AE3188" s="1">
        <v>0</v>
      </c>
      <c r="AF3188" s="1">
        <f ca="1">IFERROR(__xludf.DUMMYFUNCTION("IFERROR(GOOGLEFINANCE(TRIM(F3188)&amp;"":"" &amp; TRIM(B3188),""high52""),AE3188)"),0)</f>
        <v>0</v>
      </c>
      <c r="AG3188" s="1">
        <v>0</v>
      </c>
      <c r="AH3188" s="1">
        <f ca="1">IFERROR(__xludf.DUMMYFUNCTION("IFERROR(GOOGLEFINANCE(TRIM(F3188)&amp;"":"" &amp; TRIM(B3188),""low52""),AE3188)"),0)</f>
        <v>0</v>
      </c>
      <c r="AI3188" s="1">
        <f ca="1">IFERROR(__xludf.DUMMYFUNCTION("IFERROR(GOOGLEFINANCE(B3188,""eps""),0)"),0)</f>
        <v>0</v>
      </c>
      <c r="AJ3188" s="1"/>
      <c r="AK3188" s="1" t="s">
        <v>9802</v>
      </c>
      <c r="AL3188" s="1" t="b">
        <f>ISNUMBER(AA3188)</f>
        <v>1</v>
      </c>
    </row>
    <row r="3189" spans="1:38" ht="15" x14ac:dyDescent="0.25">
      <c r="A3189" s="1" t="s">
        <v>9803</v>
      </c>
      <c r="B3189" s="1" t="s">
        <v>9804</v>
      </c>
      <c r="C3189" s="1" t="s">
        <v>106</v>
      </c>
      <c r="D3189" s="1" t="s">
        <v>106</v>
      </c>
      <c r="E3189" s="6">
        <v>125.07</v>
      </c>
      <c r="F3189" s="1" t="s">
        <v>53</v>
      </c>
      <c r="G3189" s="6">
        <f ca="1">IFERROR(__xludf.DUMMYFUNCTION("iferror(GOOGLEFINANCE(TRIM(F3189)&amp;"":"" &amp; TRIM(B3189), ""price""),0
)"),0)</f>
        <v>0</v>
      </c>
      <c r="H3189" s="6">
        <v>408.05</v>
      </c>
      <c r="I3189" s="6">
        <f t="shared" ca="1" si="0"/>
        <v>408.05</v>
      </c>
      <c r="J3189" s="6">
        <f ca="1">IFERROR(__xludf.DUMMYFUNCTION("IFERROR(GOOGLEFINANCE(B3189, ""volume""), 0)"),0)</f>
        <v>0</v>
      </c>
      <c r="K3189" s="6">
        <v>0.8</v>
      </c>
      <c r="L3189" s="6">
        <f ca="1">IFERROR(__xludf.DUMMYFUNCTION("IFERROR(GOOGLEFINANCE(B3189,""changepct""),K3189)"),0.8)</f>
        <v>0.8</v>
      </c>
      <c r="M3189" s="6">
        <f ca="1">IFERROR(__xludf.DUMMYFUNCTION("IFERROR(GOOGLEFINANCE(B3189,""change""),0)"),0)</f>
        <v>0</v>
      </c>
      <c r="N3189" s="6">
        <v>1</v>
      </c>
      <c r="O3189" s="7">
        <v>45536</v>
      </c>
      <c r="P3189" s="6">
        <v>9.14</v>
      </c>
      <c r="Q3189" s="6">
        <v>127.33</v>
      </c>
      <c r="R3189" s="7">
        <v>45536</v>
      </c>
      <c r="S3189" s="6">
        <v>295.35000000000002</v>
      </c>
      <c r="T3189" s="6">
        <v>6.46</v>
      </c>
      <c r="U3189" s="7">
        <v>45536</v>
      </c>
      <c r="V3189" s="6">
        <v>19.350000000000001</v>
      </c>
      <c r="W3189" s="6">
        <f ca="1">IFERROR(__xludf.DUMMYFUNCTION("IFERROR(GOOGLEFINANCE(B3189,""pe""),V3189)"),19.35)</f>
        <v>19.350000000000001</v>
      </c>
      <c r="X3189" s="6">
        <v>2.73</v>
      </c>
      <c r="Y3189" s="6">
        <v>1.8</v>
      </c>
      <c r="Z3189" s="6">
        <v>1</v>
      </c>
      <c r="AA3189" s="8">
        <v>45352</v>
      </c>
      <c r="AB3189" s="4">
        <v>0.13</v>
      </c>
      <c r="AC3189" s="6">
        <v>3.38</v>
      </c>
      <c r="AD3189" s="6">
        <v>4.13</v>
      </c>
      <c r="AE3189" s="1">
        <v>0</v>
      </c>
      <c r="AF3189" s="1">
        <f ca="1">IFERROR(__xludf.DUMMYFUNCTION("IFERROR(GOOGLEFINANCE(TRIM(F3189)&amp;"":"" &amp; TRIM(B3189),""high52""),AE3189)"),0)</f>
        <v>0</v>
      </c>
      <c r="AG3189" s="1">
        <v>0</v>
      </c>
      <c r="AH3189" s="1">
        <f ca="1">IFERROR(__xludf.DUMMYFUNCTION("IFERROR(GOOGLEFINANCE(TRIM(F3189)&amp;"":"" &amp; TRIM(B3189),""low52""),AE3189)"),0)</f>
        <v>0</v>
      </c>
      <c r="AI3189" s="1">
        <f ca="1">IFERROR(__xludf.DUMMYFUNCTION("IFERROR(GOOGLEFINANCE(B3189,""eps""),0)"),0)</f>
        <v>0</v>
      </c>
      <c r="AJ3189" s="1"/>
      <c r="AK3189" s="9"/>
      <c r="AL3189" s="9">
        <f t="shared" ref="AL3189:AL3192" si="308">IF(AA3189&lt;&gt;AB3189,1,0)</f>
        <v>1</v>
      </c>
    </row>
    <row r="3190" spans="1:38" ht="15" x14ac:dyDescent="0.25">
      <c r="A3190" s="1" t="s">
        <v>9805</v>
      </c>
      <c r="B3190" s="1" t="s">
        <v>9806</v>
      </c>
      <c r="C3190" s="1" t="s">
        <v>106</v>
      </c>
      <c r="D3190" s="1" t="s">
        <v>106</v>
      </c>
      <c r="E3190" s="6">
        <v>55.27</v>
      </c>
      <c r="F3190" s="1" t="s">
        <v>53</v>
      </c>
      <c r="G3190" s="6">
        <f ca="1">IFERROR(__xludf.DUMMYFUNCTION("iferror(GOOGLEFINANCE(TRIM(F3190)&amp;"":"" &amp; TRIM(B3190), ""price""),0
)"),0)</f>
        <v>0</v>
      </c>
      <c r="H3190" s="6">
        <v>56.99</v>
      </c>
      <c r="I3190" s="6">
        <f t="shared" ca="1" si="0"/>
        <v>56.99</v>
      </c>
      <c r="J3190" s="6">
        <f ca="1">IFERROR(__xludf.DUMMYFUNCTION("IFERROR(GOOGLEFINANCE(B3190, ""volume""), 0)"),0)</f>
        <v>0</v>
      </c>
      <c r="K3190" s="6">
        <v>-0.38</v>
      </c>
      <c r="L3190" s="6">
        <f ca="1">IFERROR(__xludf.DUMMYFUNCTION("IFERROR(GOOGLEFINANCE(B3190,""changepct""),K3190)"),-0.38)</f>
        <v>-0.38</v>
      </c>
      <c r="M3190" s="6">
        <f ca="1">IFERROR(__xludf.DUMMYFUNCTION("IFERROR(GOOGLEFINANCE(B3190,""change""),0)"),0)</f>
        <v>0</v>
      </c>
      <c r="N3190" s="6">
        <v>2</v>
      </c>
      <c r="O3190" s="7">
        <v>45536</v>
      </c>
      <c r="P3190" s="9"/>
      <c r="Q3190" s="6">
        <v>51.94</v>
      </c>
      <c r="R3190" s="7">
        <v>45536</v>
      </c>
      <c r="S3190" s="6">
        <v>67.78</v>
      </c>
      <c r="T3190" s="6">
        <v>1.46</v>
      </c>
      <c r="U3190" s="7">
        <v>45536</v>
      </c>
      <c r="V3190" s="6">
        <v>37.78</v>
      </c>
      <c r="W3190" s="6">
        <f ca="1">IFERROR(__xludf.DUMMYFUNCTION("IFERROR(GOOGLEFINANCE(B3190,""pe""),V3190)"),37.78)</f>
        <v>37.78</v>
      </c>
      <c r="X3190" s="9"/>
      <c r="Y3190" s="6">
        <v>1.35</v>
      </c>
      <c r="Z3190" s="6">
        <v>2</v>
      </c>
      <c r="AA3190" s="8">
        <v>45352</v>
      </c>
      <c r="AB3190" s="4">
        <v>0</v>
      </c>
      <c r="AC3190" s="6">
        <v>3.66</v>
      </c>
      <c r="AD3190" s="6">
        <v>5.35</v>
      </c>
      <c r="AE3190" s="1">
        <v>0</v>
      </c>
      <c r="AF3190" s="1">
        <f ca="1">IFERROR(__xludf.DUMMYFUNCTION("IFERROR(GOOGLEFINANCE(TRIM(F3190)&amp;"":"" &amp; TRIM(B3190),""high52""),AE3190)"),0)</f>
        <v>0</v>
      </c>
      <c r="AG3190" s="1">
        <v>0</v>
      </c>
      <c r="AH3190" s="1">
        <f ca="1">IFERROR(__xludf.DUMMYFUNCTION("IFERROR(GOOGLEFINANCE(TRIM(F3190)&amp;"":"" &amp; TRIM(B3190),""low52""),AE3190)"),0)</f>
        <v>0</v>
      </c>
      <c r="AI3190" s="1">
        <f ca="1">IFERROR(__xludf.DUMMYFUNCTION("IFERROR(GOOGLEFINANCE(B3190,""eps""),0)"),0)</f>
        <v>0</v>
      </c>
      <c r="AJ3190" s="1"/>
      <c r="AK3190" s="1" t="s">
        <v>9807</v>
      </c>
      <c r="AL3190" s="9">
        <f t="shared" si="308"/>
        <v>1</v>
      </c>
    </row>
    <row r="3191" spans="1:38" ht="15" x14ac:dyDescent="0.25">
      <c r="A3191" s="1" t="s">
        <v>9808</v>
      </c>
      <c r="B3191" s="1" t="s">
        <v>9809</v>
      </c>
      <c r="C3191" s="1" t="s">
        <v>106</v>
      </c>
      <c r="D3191" s="1" t="s">
        <v>106</v>
      </c>
      <c r="E3191" s="6">
        <v>454.53</v>
      </c>
      <c r="F3191" s="1" t="s">
        <v>53</v>
      </c>
      <c r="G3191" s="6">
        <f ca="1">IFERROR(__xludf.DUMMYFUNCTION("iferror(GOOGLEFINANCE(TRIM(F3191)&amp;"":"" &amp; TRIM(B3191), ""price""),0
)"),0)</f>
        <v>0</v>
      </c>
      <c r="H3191" s="6">
        <v>382.4</v>
      </c>
      <c r="I3191" s="6">
        <f t="shared" ca="1" si="0"/>
        <v>382.4</v>
      </c>
      <c r="J3191" s="6">
        <f ca="1">IFERROR(__xludf.DUMMYFUNCTION("IFERROR(GOOGLEFINANCE(B3191, ""volume""), 0)"),0)</f>
        <v>0</v>
      </c>
      <c r="K3191" s="6">
        <v>-0.04</v>
      </c>
      <c r="L3191" s="6">
        <f ca="1">IFERROR(__xludf.DUMMYFUNCTION("IFERROR(GOOGLEFINANCE(B3191,""changepct""),K3191)"),-0.04)</f>
        <v>-0.04</v>
      </c>
      <c r="M3191" s="6">
        <f ca="1">IFERROR(__xludf.DUMMYFUNCTION("IFERROR(GOOGLEFINANCE(B3191,""change""),0)"),0)</f>
        <v>0</v>
      </c>
      <c r="N3191" s="6">
        <v>1</v>
      </c>
      <c r="O3191" s="7">
        <v>45536</v>
      </c>
      <c r="P3191" s="6">
        <v>7.21</v>
      </c>
      <c r="Q3191" s="6">
        <v>456.56</v>
      </c>
      <c r="R3191" s="7">
        <v>45536</v>
      </c>
      <c r="S3191" s="6">
        <v>62.4</v>
      </c>
      <c r="T3191" s="6">
        <v>6.92</v>
      </c>
      <c r="U3191" s="7">
        <v>45536</v>
      </c>
      <c r="V3191" s="6">
        <v>65.69</v>
      </c>
      <c r="W3191" s="6">
        <f ca="1">IFERROR(__xludf.DUMMYFUNCTION("IFERROR(GOOGLEFINANCE(B3191,""pe""),V3191)"),65.69)</f>
        <v>65.69</v>
      </c>
      <c r="X3191" s="6">
        <v>1.73</v>
      </c>
      <c r="Y3191" s="6">
        <v>14.16</v>
      </c>
      <c r="Z3191" s="6">
        <v>1</v>
      </c>
      <c r="AA3191" s="8">
        <v>45352</v>
      </c>
      <c r="AB3191" s="4">
        <v>0.04</v>
      </c>
      <c r="AC3191" s="6">
        <v>54.08</v>
      </c>
      <c r="AD3191" s="6">
        <v>55.32</v>
      </c>
      <c r="AE3191" s="1">
        <v>0</v>
      </c>
      <c r="AF3191" s="1">
        <f ca="1">IFERROR(__xludf.DUMMYFUNCTION("IFERROR(GOOGLEFINANCE(TRIM(F3191)&amp;"":"" &amp; TRIM(B3191),""high52""),AE3191)"),0)</f>
        <v>0</v>
      </c>
      <c r="AG3191" s="1">
        <v>0</v>
      </c>
      <c r="AH3191" s="1">
        <f ca="1">IFERROR(__xludf.DUMMYFUNCTION("IFERROR(GOOGLEFINANCE(TRIM(F3191)&amp;"":"" &amp; TRIM(B3191),""low52""),AE3191)"),0)</f>
        <v>0</v>
      </c>
      <c r="AI3191" s="1">
        <f ca="1">IFERROR(__xludf.DUMMYFUNCTION("IFERROR(GOOGLEFINANCE(B3191,""eps""),0)"),0)</f>
        <v>0</v>
      </c>
      <c r="AJ3191" s="1"/>
      <c r="AK3191" s="9"/>
      <c r="AL3191" s="9">
        <f t="shared" si="308"/>
        <v>1</v>
      </c>
    </row>
    <row r="3192" spans="1:38" ht="15" x14ac:dyDescent="0.25">
      <c r="A3192" s="1" t="s">
        <v>9810</v>
      </c>
      <c r="B3192" s="1" t="s">
        <v>9811</v>
      </c>
      <c r="C3192" s="1" t="s">
        <v>112</v>
      </c>
      <c r="D3192" s="1" t="s">
        <v>112</v>
      </c>
      <c r="E3192" s="6">
        <v>14079.29</v>
      </c>
      <c r="F3192" s="1" t="s">
        <v>40</v>
      </c>
      <c r="G3192" s="6">
        <f ca="1">IFERROR(__xludf.DUMMYFUNCTION("iferror(GOOGLEFINANCE(TRIM(F3192)&amp;"":"" &amp; TRIM(B3192), ""price""),0
)"),220.94)</f>
        <v>220.94</v>
      </c>
      <c r="H3192" s="6">
        <v>299.3</v>
      </c>
      <c r="I3192" s="6">
        <f t="shared" ca="1" si="0"/>
        <v>220.94</v>
      </c>
      <c r="J3192" s="6">
        <f ca="1">IFERROR(__xludf.DUMMYFUNCTION("IFERROR(GOOGLEFINANCE(B3192, ""volume""), 0)"),548827)</f>
        <v>548827</v>
      </c>
      <c r="K3192" s="6">
        <v>2.19</v>
      </c>
      <c r="L3192" s="6">
        <f ca="1">IFERROR(__xludf.DUMMYFUNCTION("IFERROR(GOOGLEFINANCE(B3192,""changepct""),K3192)"),1.17)</f>
        <v>1.17</v>
      </c>
      <c r="M3192" s="6">
        <f ca="1">IFERROR(__xludf.DUMMYFUNCTION("IFERROR(GOOGLEFINANCE(B3192,""change""),0)"),2.56)</f>
        <v>2.56</v>
      </c>
      <c r="N3192" s="6">
        <v>2</v>
      </c>
      <c r="O3192" s="7">
        <v>45536</v>
      </c>
      <c r="P3192" s="9"/>
      <c r="Q3192" s="6">
        <v>10831.15</v>
      </c>
      <c r="R3192" s="7">
        <v>45536</v>
      </c>
      <c r="S3192" s="6">
        <v>2352.7600000000002</v>
      </c>
      <c r="T3192" s="6">
        <v>430.98</v>
      </c>
      <c r="U3192" s="7">
        <v>45536</v>
      </c>
      <c r="V3192" s="6">
        <v>35.35</v>
      </c>
      <c r="W3192" s="6">
        <f ca="1">IFERROR(__xludf.DUMMYFUNCTION("IFERROR(GOOGLEFINANCE(B3192,""pe""),V3192)"),25.86)</f>
        <v>25.86</v>
      </c>
      <c r="X3192" s="6">
        <v>-57.96</v>
      </c>
      <c r="Y3192" s="6">
        <v>5.45</v>
      </c>
      <c r="Z3192" s="6">
        <v>2</v>
      </c>
      <c r="AA3192" s="8">
        <v>45352</v>
      </c>
      <c r="AB3192" s="4">
        <v>0</v>
      </c>
      <c r="AC3192" s="6">
        <v>19</v>
      </c>
      <c r="AD3192" s="6">
        <v>25.9</v>
      </c>
      <c r="AE3192" s="1">
        <v>0</v>
      </c>
      <c r="AF3192" s="1">
        <f ca="1">IFERROR(__xludf.DUMMYFUNCTION("IFERROR(GOOGLEFINANCE(TRIM(F3192)&amp;"":"" &amp; TRIM(B3192),""high52""),AE3192)"),316)</f>
        <v>316</v>
      </c>
      <c r="AG3192" s="1">
        <v>0</v>
      </c>
      <c r="AH3192" s="1">
        <f ca="1">IFERROR(__xludf.DUMMYFUNCTION("IFERROR(GOOGLEFINANCE(TRIM(F3192)&amp;"":"" &amp; TRIM(B3192),""low52""),AE3192)"),192.4)</f>
        <v>192.4</v>
      </c>
      <c r="AI3192" s="1">
        <f ca="1">IFERROR(__xludf.DUMMYFUNCTION("IFERROR(GOOGLEFINANCE(B3192,""eps""),0)"),8.54)</f>
        <v>8.5399999999999991</v>
      </c>
      <c r="AJ3192" s="1"/>
      <c r="AK3192" s="12"/>
      <c r="AL3192" s="9">
        <f t="shared" si="308"/>
        <v>1</v>
      </c>
    </row>
    <row r="3193" spans="1:38" ht="15" x14ac:dyDescent="0.25">
      <c r="A3193" s="1" t="s">
        <v>9812</v>
      </c>
      <c r="B3193" s="1" t="s">
        <v>9813</v>
      </c>
      <c r="C3193" s="1" t="s">
        <v>223</v>
      </c>
      <c r="D3193" s="1" t="s">
        <v>223</v>
      </c>
      <c r="E3193" s="6">
        <v>1340.68</v>
      </c>
      <c r="F3193" s="1" t="s">
        <v>40</v>
      </c>
      <c r="G3193" s="6">
        <f ca="1">IFERROR(__xludf.DUMMYFUNCTION("iferror(GOOGLEFINANCE(TRIM(F3193)&amp;"":"" &amp; TRIM(B3193), ""price""),0
)"),108.4)</f>
        <v>108.4</v>
      </c>
      <c r="H3193" s="6">
        <v>265.55</v>
      </c>
      <c r="I3193" s="6">
        <f t="shared" ca="1" si="0"/>
        <v>108.4</v>
      </c>
      <c r="J3193" s="6">
        <f ca="1">IFERROR(__xludf.DUMMYFUNCTION("IFERROR(GOOGLEFINANCE(B3193, ""volume""), 0)"),62851)</f>
        <v>62851</v>
      </c>
      <c r="K3193" s="6">
        <v>-0.11</v>
      </c>
      <c r="L3193" s="6">
        <f ca="1">IFERROR(__xludf.DUMMYFUNCTION("IFERROR(GOOGLEFINANCE(B3193,""changepct""),K3193)"),3.31)</f>
        <v>3.31</v>
      </c>
      <c r="M3193" s="6">
        <f ca="1">IFERROR(__xludf.DUMMYFUNCTION("IFERROR(GOOGLEFINANCE(B3193,""change""),0)"),3.47)</f>
        <v>3.47</v>
      </c>
      <c r="N3193" s="6">
        <v>2</v>
      </c>
      <c r="O3193" s="7">
        <v>45536</v>
      </c>
      <c r="P3193" s="9"/>
      <c r="Q3193" s="6">
        <v>1221.08</v>
      </c>
      <c r="R3193" s="7">
        <v>45536</v>
      </c>
      <c r="S3193" s="6">
        <v>324.41000000000003</v>
      </c>
      <c r="T3193" s="6">
        <v>34.49</v>
      </c>
      <c r="U3193" s="7">
        <v>45536</v>
      </c>
      <c r="V3193" s="6">
        <v>38.869999999999997</v>
      </c>
      <c r="W3193" s="6">
        <f ca="1">IFERROR(__xludf.DUMMYFUNCTION("IFERROR(GOOGLEFINANCE(B3193,""pe""),V3193)"),28.08)</f>
        <v>28.08</v>
      </c>
      <c r="X3193" s="9"/>
      <c r="Y3193" s="6">
        <v>5.74</v>
      </c>
      <c r="Z3193" s="6">
        <v>2</v>
      </c>
      <c r="AA3193" s="17">
        <v>45352</v>
      </c>
      <c r="AB3193" s="18">
        <v>0</v>
      </c>
      <c r="AC3193" s="6">
        <v>27.72</v>
      </c>
      <c r="AD3193" s="6">
        <v>41.34</v>
      </c>
      <c r="AE3193" s="1">
        <v>0</v>
      </c>
      <c r="AF3193" s="1">
        <f ca="1">IFERROR(__xludf.DUMMYFUNCTION("IFERROR(GOOGLEFINANCE(TRIM(F3193)&amp;"":"" &amp; TRIM(B3193),""high52""),AE3193)"),256.41)</f>
        <v>256.41000000000003</v>
      </c>
      <c r="AG3193" s="1">
        <v>0</v>
      </c>
      <c r="AH3193" s="1">
        <f ca="1">IFERROR(__xludf.DUMMYFUNCTION("IFERROR(GOOGLEFINANCE(TRIM(F3193)&amp;"":"" &amp; TRIM(B3193),""low52""),AE3193)"),97.5)</f>
        <v>97.5</v>
      </c>
      <c r="AI3193" s="1">
        <f ca="1">IFERROR(__xludf.DUMMYFUNCTION("IFERROR(GOOGLEFINANCE(B3193,""eps""),0)"),3.86)</f>
        <v>3.86</v>
      </c>
      <c r="AJ3193" s="1"/>
      <c r="AK3193" s="9"/>
      <c r="AL3193" s="1" t="b">
        <f>ISBLANK(AB3193)</f>
        <v>0</v>
      </c>
    </row>
    <row r="3194" spans="1:38" ht="15" x14ac:dyDescent="0.25">
      <c r="A3194" s="1" t="s">
        <v>9814</v>
      </c>
      <c r="B3194" s="1" t="s">
        <v>9815</v>
      </c>
      <c r="C3194" s="1" t="s">
        <v>106</v>
      </c>
      <c r="D3194" s="1" t="s">
        <v>106</v>
      </c>
      <c r="E3194" s="6">
        <v>7.23</v>
      </c>
      <c r="F3194" s="1" t="s">
        <v>53</v>
      </c>
      <c r="G3194" s="6">
        <f ca="1">IFERROR(__xludf.DUMMYFUNCTION("iferror(GOOGLEFINANCE(TRIM(F3194)&amp;"":"" &amp; TRIM(B3194), ""price""),0
)"),0)</f>
        <v>0</v>
      </c>
      <c r="H3194" s="6">
        <v>13.31</v>
      </c>
      <c r="I3194" s="6">
        <f t="shared" ca="1" si="0"/>
        <v>13.31</v>
      </c>
      <c r="J3194" s="6">
        <f ca="1">IFERROR(__xludf.DUMMYFUNCTION("IFERROR(GOOGLEFINANCE(B3194, ""volume""), 0)"),0)</f>
        <v>0</v>
      </c>
      <c r="K3194" s="12"/>
      <c r="L3194" s="6" t="str">
        <f ca="1">IFERROR(__xludf.DUMMYFUNCTION("IFERROR(GOOGLEFINANCE(B3194,""changepct""),K3194)"),"")</f>
        <v/>
      </c>
      <c r="M3194" s="6">
        <f ca="1">IFERROR(__xludf.DUMMYFUNCTION("IFERROR(GOOGLEFINANCE(B3194,""change""),0)"),0)</f>
        <v>0</v>
      </c>
      <c r="N3194" s="6">
        <v>1</v>
      </c>
      <c r="O3194" s="7">
        <v>45536</v>
      </c>
      <c r="P3194" s="9"/>
      <c r="Q3194" s="6">
        <v>7.23</v>
      </c>
      <c r="R3194" s="7">
        <v>45536</v>
      </c>
      <c r="S3194" s="6">
        <v>0</v>
      </c>
      <c r="T3194" s="6">
        <v>-0.15</v>
      </c>
      <c r="U3194" s="7">
        <v>45536</v>
      </c>
      <c r="V3194" s="6">
        <v>0</v>
      </c>
      <c r="W3194" s="6">
        <f ca="1">IFERROR(__xludf.DUMMYFUNCTION("IFERROR(GOOGLEFINANCE(B3194,""pe""),V3194)"),0)</f>
        <v>0</v>
      </c>
      <c r="X3194" s="6">
        <v>0</v>
      </c>
      <c r="Y3194" s="6">
        <v>4.38</v>
      </c>
      <c r="Z3194" s="6">
        <v>1</v>
      </c>
      <c r="AA3194" s="8">
        <v>45352</v>
      </c>
      <c r="AB3194" s="4">
        <v>0</v>
      </c>
      <c r="AC3194" s="6">
        <v>-2.3199999999999998</v>
      </c>
      <c r="AD3194" s="6">
        <v>-2.3199999999999998</v>
      </c>
      <c r="AE3194" s="1">
        <v>0</v>
      </c>
      <c r="AF3194" s="1">
        <f ca="1">IFERROR(__xludf.DUMMYFUNCTION("IFERROR(GOOGLEFINANCE(TRIM(F3194)&amp;"":"" &amp; TRIM(B3194),""high52""),AE3194)"),0)</f>
        <v>0</v>
      </c>
      <c r="AG3194" s="1">
        <v>0</v>
      </c>
      <c r="AH3194" s="1">
        <f ca="1">IFERROR(__xludf.DUMMYFUNCTION("IFERROR(GOOGLEFINANCE(TRIM(F3194)&amp;"":"" &amp; TRIM(B3194),""low52""),AE3194)"),0)</f>
        <v>0</v>
      </c>
      <c r="AI3194" s="1">
        <f ca="1">IFERROR(__xludf.DUMMYFUNCTION("IFERROR(GOOGLEFINANCE(B3194,""eps""),0)"),0)</f>
        <v>0</v>
      </c>
      <c r="AJ3194" s="1"/>
      <c r="AK3194" s="1" t="s">
        <v>9816</v>
      </c>
      <c r="AL3194" s="9">
        <f t="shared" ref="AL3194:AL3203" si="309">IF(AA3194&lt;&gt;AB3194,1,0)</f>
        <v>1</v>
      </c>
    </row>
    <row r="3195" spans="1:38" ht="15" x14ac:dyDescent="0.25">
      <c r="A3195" s="1" t="s">
        <v>9817</v>
      </c>
      <c r="B3195" s="1" t="s">
        <v>9818</v>
      </c>
      <c r="C3195" s="1" t="s">
        <v>86</v>
      </c>
      <c r="D3195" s="1" t="s">
        <v>86</v>
      </c>
      <c r="E3195" s="6">
        <v>223.28</v>
      </c>
      <c r="F3195" s="1" t="s">
        <v>40</v>
      </c>
      <c r="G3195" s="6">
        <f ca="1">IFERROR(__xludf.DUMMYFUNCTION("iferror(GOOGLEFINANCE(TRIM(F3195)&amp;"":"" &amp; TRIM(B3195), ""price""),0
)"),43.5)</f>
        <v>43.5</v>
      </c>
      <c r="H3195" s="6">
        <v>97.72</v>
      </c>
      <c r="I3195" s="6">
        <f t="shared" ca="1" si="0"/>
        <v>43.5</v>
      </c>
      <c r="J3195" s="6">
        <f ca="1">IFERROR(__xludf.DUMMYFUNCTION("IFERROR(GOOGLEFINANCE(B3195, ""volume""), 0)"),29294)</f>
        <v>29294</v>
      </c>
      <c r="K3195" s="6">
        <v>5</v>
      </c>
      <c r="L3195" s="6">
        <f ca="1">IFERROR(__xludf.DUMMYFUNCTION("IFERROR(GOOGLEFINANCE(B3195,""changepct""),K3195)"),-2.23)</f>
        <v>-2.23</v>
      </c>
      <c r="M3195" s="6">
        <f ca="1">IFERROR(__xludf.DUMMYFUNCTION("IFERROR(GOOGLEFINANCE(B3195,""change""),0)"),-0.99)</f>
        <v>-0.99</v>
      </c>
      <c r="N3195" s="6">
        <v>2</v>
      </c>
      <c r="O3195" s="7">
        <v>45536</v>
      </c>
      <c r="P3195" s="6">
        <v>167.79</v>
      </c>
      <c r="Q3195" s="6">
        <v>344.2</v>
      </c>
      <c r="R3195" s="7">
        <v>45536</v>
      </c>
      <c r="S3195" s="6">
        <v>418.88</v>
      </c>
      <c r="T3195" s="6">
        <v>25.24</v>
      </c>
      <c r="U3195" s="7">
        <v>45536</v>
      </c>
      <c r="V3195" s="6">
        <v>8.85</v>
      </c>
      <c r="W3195" s="6">
        <f ca="1">IFERROR(__xludf.DUMMYFUNCTION("IFERROR(GOOGLEFINANCE(B3195,""pe""),V3195)"),6.65)</f>
        <v>6.65</v>
      </c>
      <c r="X3195" s="6">
        <v>-3.83</v>
      </c>
      <c r="Y3195" s="6">
        <v>1.26</v>
      </c>
      <c r="Z3195" s="6">
        <v>2</v>
      </c>
      <c r="AA3195" s="8">
        <v>45352</v>
      </c>
      <c r="AB3195" s="4">
        <v>0.89</v>
      </c>
      <c r="AC3195" s="6">
        <v>12.58</v>
      </c>
      <c r="AD3195" s="6">
        <v>19.05</v>
      </c>
      <c r="AE3195" s="1">
        <v>0</v>
      </c>
      <c r="AF3195" s="1">
        <f ca="1">IFERROR(__xludf.DUMMYFUNCTION("IFERROR(GOOGLEFINANCE(TRIM(F3195)&amp;"":"" &amp; TRIM(B3195),""high52""),AE3195)"),89.99)</f>
        <v>89.99</v>
      </c>
      <c r="AG3195" s="1">
        <v>0</v>
      </c>
      <c r="AH3195" s="1">
        <f ca="1">IFERROR(__xludf.DUMMYFUNCTION("IFERROR(GOOGLEFINANCE(TRIM(F3195)&amp;"":"" &amp; TRIM(B3195),""low52""),AE3195)"),43.01)</f>
        <v>43.01</v>
      </c>
      <c r="AI3195" s="1">
        <f ca="1">IFERROR(__xludf.DUMMYFUNCTION("IFERROR(GOOGLEFINANCE(B3195,""eps""),0)"),6.54)</f>
        <v>6.54</v>
      </c>
      <c r="AJ3195" s="1"/>
      <c r="AK3195" s="1" t="s">
        <v>9819</v>
      </c>
      <c r="AL3195" s="9">
        <f t="shared" si="309"/>
        <v>1</v>
      </c>
    </row>
    <row r="3196" spans="1:38" ht="15" x14ac:dyDescent="0.25">
      <c r="A3196" s="1" t="s">
        <v>9820</v>
      </c>
      <c r="B3196" s="1" t="s">
        <v>9821</v>
      </c>
      <c r="C3196" s="1" t="s">
        <v>106</v>
      </c>
      <c r="D3196" s="1" t="s">
        <v>106</v>
      </c>
      <c r="E3196" s="6">
        <v>658.13</v>
      </c>
      <c r="F3196" s="1" t="s">
        <v>53</v>
      </c>
      <c r="G3196" s="6">
        <f ca="1">IFERROR(__xludf.DUMMYFUNCTION("iferror(GOOGLEFINANCE(TRIM(F3196)&amp;"":"" &amp; TRIM(B3196), ""price""),0
)"),0)</f>
        <v>0</v>
      </c>
      <c r="H3196" s="6">
        <v>157.80000000000001</v>
      </c>
      <c r="I3196" s="6">
        <f t="shared" ca="1" si="0"/>
        <v>157.80000000000001</v>
      </c>
      <c r="J3196" s="6">
        <f ca="1">IFERROR(__xludf.DUMMYFUNCTION("IFERROR(GOOGLEFINANCE(B3196, ""volume""), 0)"),0)</f>
        <v>0</v>
      </c>
      <c r="K3196" s="6">
        <v>4.99</v>
      </c>
      <c r="L3196" s="6">
        <f ca="1">IFERROR(__xludf.DUMMYFUNCTION("IFERROR(GOOGLEFINANCE(B3196,""changepct""),K3196)"),4.99)</f>
        <v>4.99</v>
      </c>
      <c r="M3196" s="6">
        <f ca="1">IFERROR(__xludf.DUMMYFUNCTION("IFERROR(GOOGLEFINANCE(B3196,""change""),0)"),0)</f>
        <v>0</v>
      </c>
      <c r="N3196" s="6">
        <v>1</v>
      </c>
      <c r="O3196" s="7">
        <v>45536</v>
      </c>
      <c r="P3196" s="6">
        <v>2.73</v>
      </c>
      <c r="Q3196" s="6">
        <v>660.86</v>
      </c>
      <c r="R3196" s="7">
        <v>45536</v>
      </c>
      <c r="S3196" s="6">
        <v>38.51</v>
      </c>
      <c r="T3196" s="6">
        <v>14.43</v>
      </c>
      <c r="U3196" s="7">
        <v>45536</v>
      </c>
      <c r="V3196" s="6">
        <v>45.61</v>
      </c>
      <c r="W3196" s="6">
        <f ca="1">IFERROR(__xludf.DUMMYFUNCTION("IFERROR(GOOGLEFINANCE(B3196,""pe""),V3196)"),45.61)</f>
        <v>45.61</v>
      </c>
      <c r="X3196" s="6">
        <v>0.42</v>
      </c>
      <c r="Y3196" s="6">
        <v>12.12</v>
      </c>
      <c r="Z3196" s="6">
        <v>1</v>
      </c>
      <c r="AA3196" s="8">
        <v>45352</v>
      </c>
      <c r="AB3196" s="4">
        <v>0.05</v>
      </c>
      <c r="AC3196" s="6">
        <v>44.7</v>
      </c>
      <c r="AD3196" s="6">
        <v>44.24</v>
      </c>
      <c r="AE3196" s="1">
        <v>0</v>
      </c>
      <c r="AF3196" s="1">
        <f ca="1">IFERROR(__xludf.DUMMYFUNCTION("IFERROR(GOOGLEFINANCE(TRIM(F3196)&amp;"":"" &amp; TRIM(B3196),""high52""),AE3196)"),0)</f>
        <v>0</v>
      </c>
      <c r="AG3196" s="1">
        <v>0</v>
      </c>
      <c r="AH3196" s="1">
        <f ca="1">IFERROR(__xludf.DUMMYFUNCTION("IFERROR(GOOGLEFINANCE(TRIM(F3196)&amp;"":"" &amp; TRIM(B3196),""low52""),AE3196)"),0)</f>
        <v>0</v>
      </c>
      <c r="AI3196" s="1">
        <f ca="1">IFERROR(__xludf.DUMMYFUNCTION("IFERROR(GOOGLEFINANCE(B3196,""eps""),0)"),0)</f>
        <v>0</v>
      </c>
      <c r="AJ3196" s="1"/>
      <c r="AK3196" s="1" t="s">
        <v>9822</v>
      </c>
      <c r="AL3196" s="9">
        <f t="shared" si="309"/>
        <v>1</v>
      </c>
    </row>
    <row r="3197" spans="1:38" ht="15" x14ac:dyDescent="0.25">
      <c r="A3197" s="1" t="s">
        <v>9823</v>
      </c>
      <c r="B3197" s="1" t="s">
        <v>9824</v>
      </c>
      <c r="C3197" s="1" t="s">
        <v>106</v>
      </c>
      <c r="D3197" s="1" t="s">
        <v>106</v>
      </c>
      <c r="E3197" s="6">
        <v>140.9</v>
      </c>
      <c r="F3197" s="1" t="s">
        <v>53</v>
      </c>
      <c r="G3197" s="6">
        <f ca="1">IFERROR(__xludf.DUMMYFUNCTION("iferror(GOOGLEFINANCE(TRIM(F3197)&amp;"":"" &amp; TRIM(B3197), ""price""),0
)"),0)</f>
        <v>0</v>
      </c>
      <c r="H3197" s="6">
        <v>121.25</v>
      </c>
      <c r="I3197" s="6">
        <f t="shared" ca="1" si="0"/>
        <v>121.25</v>
      </c>
      <c r="J3197" s="6">
        <f ca="1">IFERROR(__xludf.DUMMYFUNCTION("IFERROR(GOOGLEFINANCE(B3197, ""volume""), 0)"),0)</f>
        <v>0</v>
      </c>
      <c r="K3197" s="6">
        <v>-1.5</v>
      </c>
      <c r="L3197" s="6">
        <f ca="1">IFERROR(__xludf.DUMMYFUNCTION("IFERROR(GOOGLEFINANCE(B3197,""changepct""),K3197)"),-1.5)</f>
        <v>-1.5</v>
      </c>
      <c r="M3197" s="6">
        <f ca="1">IFERROR(__xludf.DUMMYFUNCTION("IFERROR(GOOGLEFINANCE(B3197,""change""),0)"),0)</f>
        <v>0</v>
      </c>
      <c r="N3197" s="6">
        <v>1</v>
      </c>
      <c r="O3197" s="7">
        <v>45536</v>
      </c>
      <c r="P3197" s="6">
        <v>16.920000000000002</v>
      </c>
      <c r="Q3197" s="6">
        <v>157.07</v>
      </c>
      <c r="R3197" s="7">
        <v>45536</v>
      </c>
      <c r="S3197" s="6">
        <v>119.8</v>
      </c>
      <c r="T3197" s="6">
        <v>-0.92</v>
      </c>
      <c r="U3197" s="7">
        <v>45536</v>
      </c>
      <c r="V3197" s="6">
        <v>0</v>
      </c>
      <c r="W3197" s="6">
        <f ca="1">IFERROR(__xludf.DUMMYFUNCTION("IFERROR(GOOGLEFINANCE(B3197,""pe""),V3197)"),0)</f>
        <v>0</v>
      </c>
      <c r="X3197" s="6">
        <v>0</v>
      </c>
      <c r="Y3197" s="6">
        <v>2.08</v>
      </c>
      <c r="Z3197" s="6">
        <v>1</v>
      </c>
      <c r="AA3197" s="8">
        <v>45352</v>
      </c>
      <c r="AB3197" s="4">
        <v>0.17</v>
      </c>
      <c r="AC3197" s="6">
        <v>5.21</v>
      </c>
      <c r="AD3197" s="6">
        <v>8.2200000000000006</v>
      </c>
      <c r="AE3197" s="1">
        <v>0</v>
      </c>
      <c r="AF3197" s="1">
        <f ca="1">IFERROR(__xludf.DUMMYFUNCTION("IFERROR(GOOGLEFINANCE(TRIM(F3197)&amp;"":"" &amp; TRIM(B3197),""high52""),AE3197)"),0)</f>
        <v>0</v>
      </c>
      <c r="AG3197" s="1">
        <v>0</v>
      </c>
      <c r="AH3197" s="1">
        <f ca="1">IFERROR(__xludf.DUMMYFUNCTION("IFERROR(GOOGLEFINANCE(TRIM(F3197)&amp;"":"" &amp; TRIM(B3197),""low52""),AE3197)"),0)</f>
        <v>0</v>
      </c>
      <c r="AI3197" s="1">
        <f ca="1">IFERROR(__xludf.DUMMYFUNCTION("IFERROR(GOOGLEFINANCE(B3197,""eps""),0)"),0)</f>
        <v>0</v>
      </c>
      <c r="AJ3197" s="1"/>
      <c r="AK3197" s="9"/>
      <c r="AL3197" s="9">
        <f t="shared" si="309"/>
        <v>1</v>
      </c>
    </row>
    <row r="3198" spans="1:38" ht="15" x14ac:dyDescent="0.25">
      <c r="A3198" s="1" t="s">
        <v>9825</v>
      </c>
      <c r="B3198" s="1" t="s">
        <v>9826</v>
      </c>
      <c r="C3198" s="1" t="s">
        <v>416</v>
      </c>
      <c r="D3198" s="1" t="s">
        <v>416</v>
      </c>
      <c r="E3198" s="6">
        <v>1040.42</v>
      </c>
      <c r="F3198" s="1" t="s">
        <v>40</v>
      </c>
      <c r="G3198" s="6">
        <f ca="1">IFERROR(__xludf.DUMMYFUNCTION("iferror(GOOGLEFINANCE(TRIM(F3198)&amp;"":"" &amp; TRIM(B3198), ""price""),0
)"),107.32)</f>
        <v>107.32</v>
      </c>
      <c r="H3198" s="6">
        <v>408.2</v>
      </c>
      <c r="I3198" s="6">
        <f t="shared" ca="1" si="0"/>
        <v>107.32</v>
      </c>
      <c r="J3198" s="6">
        <f ca="1">IFERROR(__xludf.DUMMYFUNCTION("IFERROR(GOOGLEFINANCE(B3198, ""volume""), 0)"),3473115)</f>
        <v>3473115</v>
      </c>
      <c r="K3198" s="6">
        <v>-1.99</v>
      </c>
      <c r="L3198" s="6">
        <f ca="1">IFERROR(__xludf.DUMMYFUNCTION("IFERROR(GOOGLEFINANCE(B3198,""changepct""),K3198)"),0.92)</f>
        <v>0.92</v>
      </c>
      <c r="M3198" s="6">
        <f ca="1">IFERROR(__xludf.DUMMYFUNCTION("IFERROR(GOOGLEFINANCE(B3198,""change""),0)"),0.98)</f>
        <v>0.98</v>
      </c>
      <c r="N3198" s="6">
        <v>1</v>
      </c>
      <c r="O3198" s="7">
        <v>45536</v>
      </c>
      <c r="P3198" s="6">
        <v>8.34</v>
      </c>
      <c r="Q3198" s="6">
        <v>1048.75</v>
      </c>
      <c r="R3198" s="7">
        <v>45352</v>
      </c>
      <c r="S3198" s="6">
        <v>50.27</v>
      </c>
      <c r="T3198" s="6">
        <v>5.41</v>
      </c>
      <c r="U3198" s="7">
        <v>45352</v>
      </c>
      <c r="V3198" s="6">
        <v>192.3</v>
      </c>
      <c r="W3198" s="6">
        <f ca="1">IFERROR(__xludf.DUMMYFUNCTION("IFERROR(GOOGLEFINANCE(B3198,""pe""),V3198)"),31.99)</f>
        <v>31.99</v>
      </c>
      <c r="X3198" s="6">
        <v>7.84</v>
      </c>
      <c r="Y3198" s="6">
        <v>18.579999999999998</v>
      </c>
      <c r="Z3198" s="6">
        <v>1</v>
      </c>
      <c r="AA3198" s="8">
        <v>45352</v>
      </c>
      <c r="AB3198" s="4">
        <v>0.16</v>
      </c>
      <c r="AC3198" s="6">
        <v>22.43</v>
      </c>
      <c r="AD3198" s="6">
        <v>23.22</v>
      </c>
      <c r="AE3198" s="1">
        <v>0</v>
      </c>
      <c r="AF3198" s="1">
        <f ca="1">IFERROR(__xludf.DUMMYFUNCTION("IFERROR(GOOGLEFINANCE(TRIM(F3198)&amp;"":"" &amp; TRIM(B3198),""high52""),AE3198)"),107.39)</f>
        <v>107.39</v>
      </c>
      <c r="AG3198" s="1">
        <v>0</v>
      </c>
      <c r="AH3198" s="1">
        <f ca="1">IFERROR(__xludf.DUMMYFUNCTION("IFERROR(GOOGLEFINANCE(TRIM(F3198)&amp;"":"" &amp; TRIM(B3198),""low52""),AE3198)"),62.56)</f>
        <v>62.56</v>
      </c>
      <c r="AI3198" s="1">
        <f ca="1">IFERROR(__xludf.DUMMYFUNCTION("IFERROR(GOOGLEFINANCE(B3198,""eps""),0)"),3.35)</f>
        <v>3.35</v>
      </c>
      <c r="AJ3198" s="1"/>
      <c r="AK3198" s="1" t="s">
        <v>9827</v>
      </c>
      <c r="AL3198" s="9">
        <f t="shared" si="309"/>
        <v>1</v>
      </c>
    </row>
    <row r="3199" spans="1:38" ht="15" x14ac:dyDescent="0.25">
      <c r="A3199" s="1" t="s">
        <v>9828</v>
      </c>
      <c r="B3199" s="1" t="s">
        <v>9829</v>
      </c>
      <c r="C3199" s="1" t="s">
        <v>4934</v>
      </c>
      <c r="D3199" s="1" t="s">
        <v>4934</v>
      </c>
      <c r="E3199" s="6">
        <v>577.28</v>
      </c>
      <c r="F3199" s="1" t="s">
        <v>40</v>
      </c>
      <c r="G3199" s="6">
        <f ca="1">IFERROR(__xludf.DUMMYFUNCTION("iferror(GOOGLEFINANCE(TRIM(F3199)&amp;"":"" &amp; TRIM(B3199), ""price""),0
)"),0)</f>
        <v>0</v>
      </c>
      <c r="H3199" s="6">
        <v>240</v>
      </c>
      <c r="I3199" s="6">
        <f t="shared" ca="1" si="0"/>
        <v>240</v>
      </c>
      <c r="J3199" s="6">
        <f ca="1">IFERROR(__xludf.DUMMYFUNCTION("IFERROR(GOOGLEFINANCE(B3199, ""volume""), 0)"),0)</f>
        <v>0</v>
      </c>
      <c r="K3199" s="6">
        <v>3.74</v>
      </c>
      <c r="L3199" s="6">
        <f ca="1">IFERROR(__xludf.DUMMYFUNCTION("IFERROR(GOOGLEFINANCE(B3199,""changepct""),K3199)"),3.74)</f>
        <v>3.74</v>
      </c>
      <c r="M3199" s="6">
        <f ca="1">IFERROR(__xludf.DUMMYFUNCTION("IFERROR(GOOGLEFINANCE(B3199,""change""),0)"),0)</f>
        <v>0</v>
      </c>
      <c r="N3199" s="6">
        <v>1</v>
      </c>
      <c r="O3199" s="7">
        <v>45536</v>
      </c>
      <c r="P3199" s="6">
        <v>17.73</v>
      </c>
      <c r="Q3199" s="6">
        <v>538.26</v>
      </c>
      <c r="R3199" s="14"/>
      <c r="S3199" s="9"/>
      <c r="T3199" s="9"/>
      <c r="U3199" s="6">
        <v>0</v>
      </c>
      <c r="V3199" s="9"/>
      <c r="W3199" s="6" t="str">
        <f ca="1">IFERROR(__xludf.DUMMYFUNCTION("IFERROR(GOOGLEFINANCE(B3199,""pe""),V3199)"),"")</f>
        <v/>
      </c>
      <c r="X3199" s="9"/>
      <c r="Y3199" s="6">
        <v>23.14</v>
      </c>
      <c r="Z3199" s="6">
        <v>2</v>
      </c>
      <c r="AA3199" s="17">
        <v>45352</v>
      </c>
      <c r="AB3199" s="18">
        <v>0.95</v>
      </c>
      <c r="AC3199" s="6">
        <v>38.130000000000003</v>
      </c>
      <c r="AD3199" s="6">
        <v>33.42</v>
      </c>
      <c r="AE3199" s="1">
        <v>0</v>
      </c>
      <c r="AF3199" s="1">
        <f ca="1">IFERROR(__xludf.DUMMYFUNCTION("IFERROR(GOOGLEFINANCE(TRIM(F3199)&amp;"":"" &amp; TRIM(B3199),""high52""),AE3199)"),0)</f>
        <v>0</v>
      </c>
      <c r="AG3199" s="1">
        <v>0</v>
      </c>
      <c r="AH3199" s="1">
        <f ca="1">IFERROR(__xludf.DUMMYFUNCTION("IFERROR(GOOGLEFINANCE(TRIM(F3199)&amp;"":"" &amp; TRIM(B3199),""low52""),AE3199)"),0)</f>
        <v>0</v>
      </c>
      <c r="AI3199" s="1">
        <f ca="1">IFERROR(__xludf.DUMMYFUNCTION("IFERROR(GOOGLEFINANCE(B3199,""eps""),0)"),0)</f>
        <v>0</v>
      </c>
      <c r="AJ3199" s="1"/>
      <c r="AK3199" s="1" t="s">
        <v>9830</v>
      </c>
      <c r="AL3199" s="9">
        <f t="shared" si="309"/>
        <v>1</v>
      </c>
    </row>
    <row r="3200" spans="1:38" ht="15" x14ac:dyDescent="0.25">
      <c r="A3200" s="1" t="s">
        <v>9831</v>
      </c>
      <c r="B3200" s="1" t="s">
        <v>9832</v>
      </c>
      <c r="C3200" s="1" t="s">
        <v>410</v>
      </c>
      <c r="D3200" s="1" t="s">
        <v>410</v>
      </c>
      <c r="E3200" s="6">
        <v>458.66</v>
      </c>
      <c r="F3200" s="1" t="s">
        <v>40</v>
      </c>
      <c r="G3200" s="6">
        <f ca="1">IFERROR(__xludf.DUMMYFUNCTION("iferror(GOOGLEFINANCE(TRIM(F3200)&amp;"":"" &amp; TRIM(B3200), ""price""),0
)"),175.4)</f>
        <v>175.4</v>
      </c>
      <c r="H3200" s="6">
        <v>266.64999999999998</v>
      </c>
      <c r="I3200" s="6">
        <f t="shared" ca="1" si="0"/>
        <v>175.4</v>
      </c>
      <c r="J3200" s="6">
        <f ca="1">IFERROR(__xludf.DUMMYFUNCTION("IFERROR(GOOGLEFINANCE(B3200, ""volume""), 0)"),5302)</f>
        <v>5302</v>
      </c>
      <c r="K3200" s="9"/>
      <c r="L3200" s="6">
        <f ca="1">IFERROR(__xludf.DUMMYFUNCTION("IFERROR(GOOGLEFINANCE(B3200,""changepct""),K3200)"),-0.87)</f>
        <v>-0.87</v>
      </c>
      <c r="M3200" s="6">
        <f ca="1">IFERROR(__xludf.DUMMYFUNCTION("IFERROR(GOOGLEFINANCE(B3200,""change""),0)"),-1.54)</f>
        <v>-1.54</v>
      </c>
      <c r="N3200" s="6">
        <v>1</v>
      </c>
      <c r="O3200" s="7">
        <v>45536</v>
      </c>
      <c r="P3200" s="6">
        <v>156.80000000000001</v>
      </c>
      <c r="Q3200" s="6">
        <v>615.46</v>
      </c>
      <c r="R3200" s="7">
        <v>45536</v>
      </c>
      <c r="S3200" s="6">
        <v>133.16999999999999</v>
      </c>
      <c r="T3200" s="6">
        <v>8.2100000000000009</v>
      </c>
      <c r="U3200" s="7">
        <v>45536</v>
      </c>
      <c r="V3200" s="6">
        <v>55.86</v>
      </c>
      <c r="W3200" s="6">
        <f ca="1">IFERROR(__xludf.DUMMYFUNCTION("IFERROR(GOOGLEFINANCE(B3200,""pe""),V3200)"),13.36)</f>
        <v>13.36</v>
      </c>
      <c r="X3200" s="9"/>
      <c r="Y3200" s="6">
        <v>0.65</v>
      </c>
      <c r="Z3200" s="6">
        <v>1</v>
      </c>
      <c r="AA3200" s="8">
        <v>45352</v>
      </c>
      <c r="AB3200" s="4">
        <v>0.23</v>
      </c>
      <c r="AC3200" s="6">
        <v>0.68</v>
      </c>
      <c r="AD3200" s="6">
        <v>2.63</v>
      </c>
      <c r="AE3200" s="1">
        <v>0</v>
      </c>
      <c r="AF3200" s="1">
        <f ca="1">IFERROR(__xludf.DUMMYFUNCTION("IFERROR(GOOGLEFINANCE(TRIM(F3200)&amp;"":"" &amp; TRIM(B3200),""high52""),AE3200)"),314)</f>
        <v>314</v>
      </c>
      <c r="AG3200" s="1">
        <v>0</v>
      </c>
      <c r="AH3200" s="1">
        <f ca="1">IFERROR(__xludf.DUMMYFUNCTION("IFERROR(GOOGLEFINANCE(TRIM(F3200)&amp;"":"" &amp; TRIM(B3200),""low52""),AE3200)"),169.5)</f>
        <v>169.5</v>
      </c>
      <c r="AI3200" s="1">
        <f ca="1">IFERROR(__xludf.DUMMYFUNCTION("IFERROR(GOOGLEFINANCE(B3200,""eps""),0)"),13.13)</f>
        <v>13.13</v>
      </c>
      <c r="AJ3200" s="1"/>
      <c r="AK3200" s="1" t="s">
        <v>9833</v>
      </c>
      <c r="AL3200" s="9">
        <f t="shared" si="309"/>
        <v>1</v>
      </c>
    </row>
    <row r="3201" spans="1:38" ht="15" x14ac:dyDescent="0.25">
      <c r="A3201" s="1" t="s">
        <v>9834</v>
      </c>
      <c r="B3201" s="1" t="s">
        <v>9835</v>
      </c>
      <c r="C3201" s="1" t="s">
        <v>106</v>
      </c>
      <c r="D3201" s="1" t="s">
        <v>106</v>
      </c>
      <c r="E3201" s="6">
        <v>124.3</v>
      </c>
      <c r="F3201" s="1" t="s">
        <v>53</v>
      </c>
      <c r="G3201" s="6">
        <f ca="1">IFERROR(__xludf.DUMMYFUNCTION("iferror(GOOGLEFINANCE(TRIM(F3201)&amp;"":"" &amp; TRIM(B3201), ""price""),0
)"),0)</f>
        <v>0</v>
      </c>
      <c r="H3201" s="6">
        <v>198</v>
      </c>
      <c r="I3201" s="6">
        <f t="shared" ca="1" si="0"/>
        <v>198</v>
      </c>
      <c r="J3201" s="6">
        <f ca="1">IFERROR(__xludf.DUMMYFUNCTION("IFERROR(GOOGLEFINANCE(B3201, ""volume""), 0)"),0)</f>
        <v>0</v>
      </c>
      <c r="K3201" s="6">
        <v>2.54</v>
      </c>
      <c r="L3201" s="6">
        <f ca="1">IFERROR(__xludf.DUMMYFUNCTION("IFERROR(GOOGLEFINANCE(B3201,""changepct""),K3201)"),2.54)</f>
        <v>2.54</v>
      </c>
      <c r="M3201" s="6">
        <f ca="1">IFERROR(__xludf.DUMMYFUNCTION("IFERROR(GOOGLEFINANCE(B3201,""change""),0)"),0)</f>
        <v>0</v>
      </c>
      <c r="N3201" s="6">
        <v>1</v>
      </c>
      <c r="O3201" s="7">
        <v>45536</v>
      </c>
      <c r="P3201" s="6">
        <v>6.3</v>
      </c>
      <c r="Q3201" s="6">
        <v>130.6</v>
      </c>
      <c r="R3201" s="7">
        <v>45536</v>
      </c>
      <c r="S3201" s="6">
        <v>33.24</v>
      </c>
      <c r="T3201" s="6">
        <v>2.5499999999999998</v>
      </c>
      <c r="U3201" s="7">
        <v>45536</v>
      </c>
      <c r="V3201" s="6">
        <v>48.84</v>
      </c>
      <c r="W3201" s="6">
        <f ca="1">IFERROR(__xludf.DUMMYFUNCTION("IFERROR(GOOGLEFINANCE(B3201,""pe""),V3201)"),48.84)</f>
        <v>48.84</v>
      </c>
      <c r="X3201" s="6">
        <v>4.26</v>
      </c>
      <c r="Y3201" s="6">
        <v>6</v>
      </c>
      <c r="Z3201" s="6">
        <v>1</v>
      </c>
      <c r="AA3201" s="8">
        <v>45352</v>
      </c>
      <c r="AB3201" s="4">
        <v>0</v>
      </c>
      <c r="AC3201" s="6">
        <v>9.34</v>
      </c>
      <c r="AD3201" s="6">
        <v>18.21</v>
      </c>
      <c r="AE3201" s="1">
        <v>0</v>
      </c>
      <c r="AF3201" s="1">
        <f ca="1">IFERROR(__xludf.DUMMYFUNCTION("IFERROR(GOOGLEFINANCE(TRIM(F3201)&amp;"":"" &amp; TRIM(B3201),""high52""),AE3201)"),0)</f>
        <v>0</v>
      </c>
      <c r="AG3201" s="1">
        <v>0</v>
      </c>
      <c r="AH3201" s="1">
        <f ca="1">IFERROR(__xludf.DUMMYFUNCTION("IFERROR(GOOGLEFINANCE(TRIM(F3201)&amp;"":"" &amp; TRIM(B3201),""low52""),AE3201)"),0)</f>
        <v>0</v>
      </c>
      <c r="AI3201" s="1">
        <f ca="1">IFERROR(__xludf.DUMMYFUNCTION("IFERROR(GOOGLEFINANCE(B3201,""eps""),0)"),0)</f>
        <v>0</v>
      </c>
      <c r="AJ3201" s="1"/>
      <c r="AK3201" s="1" t="s">
        <v>9836</v>
      </c>
      <c r="AL3201" s="9">
        <f t="shared" si="309"/>
        <v>1</v>
      </c>
    </row>
    <row r="3202" spans="1:38" ht="15" x14ac:dyDescent="0.25">
      <c r="A3202" s="1" t="s">
        <v>9837</v>
      </c>
      <c r="B3202" s="1" t="s">
        <v>9838</v>
      </c>
      <c r="C3202" s="1" t="s">
        <v>359</v>
      </c>
      <c r="D3202" s="1" t="s">
        <v>359</v>
      </c>
      <c r="E3202" s="6">
        <v>337.53</v>
      </c>
      <c r="F3202" s="1" t="s">
        <v>40</v>
      </c>
      <c r="G3202" s="6">
        <f ca="1">IFERROR(__xludf.DUMMYFUNCTION("iferror(GOOGLEFINANCE(TRIM(F3202)&amp;"":"" &amp; TRIM(B3202), ""price""),0
)"),0)</f>
        <v>0</v>
      </c>
      <c r="H3202" s="6">
        <v>607</v>
      </c>
      <c r="I3202" s="6">
        <f t="shared" ca="1" si="0"/>
        <v>607</v>
      </c>
      <c r="J3202" s="6">
        <f ca="1">IFERROR(__xludf.DUMMYFUNCTION("IFERROR(GOOGLEFINANCE(B3202, ""volume""), 0)"),0)</f>
        <v>0</v>
      </c>
      <c r="K3202" s="6">
        <v>1.77</v>
      </c>
      <c r="L3202" s="6">
        <f ca="1">IFERROR(__xludf.DUMMYFUNCTION("IFERROR(GOOGLEFINANCE(B3202,""changepct""),K3202)"),1.77)</f>
        <v>1.77</v>
      </c>
      <c r="M3202" s="6">
        <f ca="1">IFERROR(__xludf.DUMMYFUNCTION("IFERROR(GOOGLEFINANCE(B3202,""change""),0)"),0)</f>
        <v>0</v>
      </c>
      <c r="N3202" s="6">
        <v>1</v>
      </c>
      <c r="O3202" s="7">
        <v>45536</v>
      </c>
      <c r="P3202" s="6">
        <v>5.93</v>
      </c>
      <c r="Q3202" s="6">
        <v>343.46</v>
      </c>
      <c r="R3202" s="7">
        <v>45352</v>
      </c>
      <c r="S3202" s="6">
        <v>49.56</v>
      </c>
      <c r="T3202" s="6">
        <v>5.21</v>
      </c>
      <c r="U3202" s="7">
        <v>45352</v>
      </c>
      <c r="V3202" s="6">
        <v>64.790000000000006</v>
      </c>
      <c r="W3202" s="6">
        <f ca="1">IFERROR(__xludf.DUMMYFUNCTION("IFERROR(GOOGLEFINANCE(B3202,""pe""),V3202)"),64.79)</f>
        <v>64.790000000000006</v>
      </c>
      <c r="X3202" s="9"/>
      <c r="Y3202" s="6">
        <v>9.25</v>
      </c>
      <c r="Z3202" s="6">
        <v>1</v>
      </c>
      <c r="AA3202" s="8">
        <v>44986</v>
      </c>
      <c r="AB3202" s="4">
        <v>0.56999999999999995</v>
      </c>
      <c r="AC3202" s="6">
        <v>25.05</v>
      </c>
      <c r="AD3202" s="6">
        <v>24.49</v>
      </c>
      <c r="AE3202" s="1">
        <v>0</v>
      </c>
      <c r="AF3202" s="1">
        <f ca="1">IFERROR(__xludf.DUMMYFUNCTION("IFERROR(GOOGLEFINANCE(TRIM(F3202)&amp;"":"" &amp; TRIM(B3202),""high52""),AE3202)"),0)</f>
        <v>0</v>
      </c>
      <c r="AG3202" s="1">
        <v>0</v>
      </c>
      <c r="AH3202" s="1">
        <f ca="1">IFERROR(__xludf.DUMMYFUNCTION("IFERROR(GOOGLEFINANCE(TRIM(F3202)&amp;"":"" &amp; TRIM(B3202),""low52""),AE3202)"),0)</f>
        <v>0</v>
      </c>
      <c r="AI3202" s="1">
        <f ca="1">IFERROR(__xludf.DUMMYFUNCTION("IFERROR(GOOGLEFINANCE(B3202,""eps""),0)"),0)</f>
        <v>0</v>
      </c>
      <c r="AJ3202" s="1"/>
      <c r="AK3202" s="1" t="s">
        <v>9839</v>
      </c>
      <c r="AL3202" s="9">
        <f t="shared" si="309"/>
        <v>1</v>
      </c>
    </row>
    <row r="3203" spans="1:38" ht="15" x14ac:dyDescent="0.25">
      <c r="A3203" s="1" t="s">
        <v>9840</v>
      </c>
      <c r="B3203" s="1" t="s">
        <v>9841</v>
      </c>
      <c r="C3203" s="1" t="s">
        <v>106</v>
      </c>
      <c r="D3203" s="1" t="s">
        <v>106</v>
      </c>
      <c r="E3203" s="6">
        <v>6487.19</v>
      </c>
      <c r="F3203" s="1" t="s">
        <v>53</v>
      </c>
      <c r="G3203" s="6">
        <f ca="1">IFERROR(__xludf.DUMMYFUNCTION("iferror(GOOGLEFINANCE(TRIM(F3203)&amp;"":"" &amp; TRIM(B3203), ""price""),0
)"),0)</f>
        <v>0</v>
      </c>
      <c r="H3203" s="6">
        <v>203.15</v>
      </c>
      <c r="I3203" s="6">
        <f t="shared" ca="1" si="0"/>
        <v>203.15</v>
      </c>
      <c r="J3203" s="6">
        <f ca="1">IFERROR(__xludf.DUMMYFUNCTION("IFERROR(GOOGLEFINANCE(B3203, ""volume""), 0)"),1545928)</f>
        <v>1545928</v>
      </c>
      <c r="K3203" s="6">
        <v>1.63</v>
      </c>
      <c r="L3203" s="6">
        <f ca="1">IFERROR(__xludf.DUMMYFUNCTION("IFERROR(GOOGLEFINANCE(B3203,""changepct""),K3203)"),-0.67)</f>
        <v>-0.67</v>
      </c>
      <c r="M3203" s="6">
        <f ca="1">IFERROR(__xludf.DUMMYFUNCTION("IFERROR(GOOGLEFINANCE(B3203,""change""),0)"),-0.9)</f>
        <v>-0.9</v>
      </c>
      <c r="N3203" s="6">
        <v>2</v>
      </c>
      <c r="O3203" s="7">
        <v>45536</v>
      </c>
      <c r="P3203" s="6">
        <v>88.75</v>
      </c>
      <c r="Q3203" s="6">
        <v>6575.94</v>
      </c>
      <c r="R3203" s="7">
        <v>45536</v>
      </c>
      <c r="S3203" s="6">
        <v>60.09</v>
      </c>
      <c r="T3203" s="6">
        <v>-408.67</v>
      </c>
      <c r="U3203" s="7">
        <v>45536</v>
      </c>
      <c r="V3203" s="6">
        <v>0</v>
      </c>
      <c r="W3203" s="6">
        <f ca="1">IFERROR(__xludf.DUMMYFUNCTION("IFERROR(GOOGLEFINANCE(B3203,""pe""),V3203)"),0)</f>
        <v>0</v>
      </c>
      <c r="X3203" s="9"/>
      <c r="Y3203" s="6">
        <v>-83.73</v>
      </c>
      <c r="Z3203" s="6">
        <v>2</v>
      </c>
      <c r="AA3203" s="8">
        <v>45352</v>
      </c>
      <c r="AB3203" s="4">
        <v>0.37</v>
      </c>
      <c r="AC3203" s="6">
        <v>-121.28</v>
      </c>
      <c r="AD3203" s="6">
        <v>-112.35</v>
      </c>
      <c r="AE3203" s="1">
        <v>0</v>
      </c>
      <c r="AF3203" s="1">
        <f ca="1">IFERROR(__xludf.DUMMYFUNCTION("IFERROR(GOOGLEFINANCE(TRIM(F3203)&amp;"":"" &amp; TRIM(B3203),""high52""),AE3203)"),0)</f>
        <v>0</v>
      </c>
      <c r="AG3203" s="1">
        <v>0</v>
      </c>
      <c r="AH3203" s="1">
        <f ca="1">IFERROR(__xludf.DUMMYFUNCTION("IFERROR(GOOGLEFINANCE(TRIM(F3203)&amp;"":"" &amp; TRIM(B3203),""low52""),AE3203)"),0)</f>
        <v>0</v>
      </c>
      <c r="AI3203" s="1">
        <f ca="1">IFERROR(__xludf.DUMMYFUNCTION("IFERROR(GOOGLEFINANCE(B3203,""eps""),0)"),-8.23)</f>
        <v>-8.23</v>
      </c>
      <c r="AJ3203" s="1"/>
      <c r="AK3203" s="1" t="s">
        <v>9842</v>
      </c>
      <c r="AL3203" s="9">
        <f t="shared" si="309"/>
        <v>1</v>
      </c>
    </row>
    <row r="3204" spans="1:38" ht="15" x14ac:dyDescent="0.25">
      <c r="A3204" s="1" t="s">
        <v>9843</v>
      </c>
      <c r="B3204" s="1" t="s">
        <v>9844</v>
      </c>
      <c r="C3204" s="1" t="s">
        <v>907</v>
      </c>
      <c r="D3204" s="1" t="s">
        <v>907</v>
      </c>
      <c r="E3204" s="6">
        <v>5132.66</v>
      </c>
      <c r="F3204" s="1" t="s">
        <v>40</v>
      </c>
      <c r="G3204" s="6">
        <f ca="1">IFERROR(__xludf.DUMMYFUNCTION("iferror(GOOGLEFINANCE(TRIM(F3204)&amp;"":"" &amp; TRIM(B3204), ""price""),0
)"),121.21)</f>
        <v>121.21</v>
      </c>
      <c r="H3204" s="6">
        <v>1883.45</v>
      </c>
      <c r="I3204" s="6">
        <f t="shared" ca="1" si="0"/>
        <v>121.21</v>
      </c>
      <c r="J3204" s="6">
        <f ca="1">IFERROR(__xludf.DUMMYFUNCTION("IFERROR(GOOGLEFINANCE(B3204, ""volume""), 0)"),314293)</f>
        <v>314293</v>
      </c>
      <c r="K3204" s="6">
        <v>0.16</v>
      </c>
      <c r="L3204" s="6">
        <f ca="1">IFERROR(__xludf.DUMMYFUNCTION("IFERROR(GOOGLEFINANCE(B3204,""changepct""),K3204)"),0.55)</f>
        <v>0.55000000000000004</v>
      </c>
      <c r="M3204" s="6">
        <f ca="1">IFERROR(__xludf.DUMMYFUNCTION("IFERROR(GOOGLEFINANCE(B3204,""change""),0)"),0.66)</f>
        <v>0.66</v>
      </c>
      <c r="N3204" s="6">
        <v>1</v>
      </c>
      <c r="O3204" s="7">
        <v>45536</v>
      </c>
      <c r="P3204" s="6">
        <v>21.33</v>
      </c>
      <c r="Q3204" s="6">
        <v>5103.82</v>
      </c>
      <c r="R3204" s="7">
        <v>45536</v>
      </c>
      <c r="S3204" s="6">
        <v>1200.68</v>
      </c>
      <c r="T3204" s="6">
        <v>159.81</v>
      </c>
      <c r="U3204" s="7">
        <v>45536</v>
      </c>
      <c r="V3204" s="6">
        <v>32.119999999999997</v>
      </c>
      <c r="W3204" s="6">
        <f ca="1">IFERROR(__xludf.DUMMYFUNCTION("IFERROR(GOOGLEFINANCE(B3204,""pe""),V3204)"),2.57)</f>
        <v>2.57</v>
      </c>
      <c r="X3204" s="9"/>
      <c r="Y3204" s="6">
        <v>5.15</v>
      </c>
      <c r="Z3204" s="6">
        <v>1</v>
      </c>
      <c r="AA3204" s="8">
        <v>45352</v>
      </c>
      <c r="AB3204" s="4">
        <v>0.02</v>
      </c>
      <c r="AC3204" s="6">
        <v>19.02</v>
      </c>
      <c r="AD3204" s="6">
        <v>24.4</v>
      </c>
      <c r="AE3204" s="1">
        <v>0</v>
      </c>
      <c r="AF3204" s="1">
        <f ca="1">IFERROR(__xludf.DUMMYFUNCTION("IFERROR(GOOGLEFINANCE(TRIM(F3204)&amp;"":"" &amp; TRIM(B3204),""high52""),AE3204)"),181.8)</f>
        <v>181.8</v>
      </c>
      <c r="AG3204" s="1">
        <v>0</v>
      </c>
      <c r="AH3204" s="1">
        <f ca="1">IFERROR(__xludf.DUMMYFUNCTION("IFERROR(GOOGLEFINANCE(TRIM(F3204)&amp;"":"" &amp; TRIM(B3204),""low52""),AE3204)"),99.79)</f>
        <v>99.79</v>
      </c>
      <c r="AI3204" s="1">
        <f ca="1">IFERROR(__xludf.DUMMYFUNCTION("IFERROR(GOOGLEFINANCE(B3204,""eps""),0)"),47.25)</f>
        <v>47.25</v>
      </c>
      <c r="AJ3204" s="1"/>
      <c r="AK3204" s="1" t="s">
        <v>9845</v>
      </c>
      <c r="AL3204" s="1" t="b">
        <f>ISNUMBER(AA3204)</f>
        <v>1</v>
      </c>
    </row>
    <row r="3205" spans="1:38" ht="15" x14ac:dyDescent="0.25">
      <c r="A3205" s="1" t="s">
        <v>9846</v>
      </c>
      <c r="B3205" s="1" t="s">
        <v>9847</v>
      </c>
      <c r="C3205" s="1" t="s">
        <v>416</v>
      </c>
      <c r="D3205" s="1" t="s">
        <v>416</v>
      </c>
      <c r="E3205" s="6">
        <v>57.78</v>
      </c>
      <c r="F3205" s="1" t="s">
        <v>40</v>
      </c>
      <c r="G3205" s="6">
        <f ca="1">IFERROR(__xludf.DUMMYFUNCTION("iferror(GOOGLEFINANCE(TRIM(F3205)&amp;"":"" &amp; TRIM(B3205), ""price""),0
)"),1.19)</f>
        <v>1.19</v>
      </c>
      <c r="H3205" s="6">
        <v>2.33</v>
      </c>
      <c r="I3205" s="6">
        <f t="shared" ca="1" si="0"/>
        <v>1.19</v>
      </c>
      <c r="J3205" s="6">
        <f ca="1">IFERROR(__xludf.DUMMYFUNCTION("IFERROR(GOOGLEFINANCE(B3205, ""volume""), 0)"),143121)</f>
        <v>143121</v>
      </c>
      <c r="K3205" s="6">
        <v>0.43</v>
      </c>
      <c r="L3205" s="6">
        <f ca="1">IFERROR(__xludf.DUMMYFUNCTION("IFERROR(GOOGLEFINANCE(B3205,""changepct""),K3205)"),-3.25)</f>
        <v>-3.25</v>
      </c>
      <c r="M3205" s="6">
        <f ca="1">IFERROR(__xludf.DUMMYFUNCTION("IFERROR(GOOGLEFINANCE(B3205,""change""),0)"),-0.04)</f>
        <v>-0.04</v>
      </c>
      <c r="N3205" s="6">
        <v>2</v>
      </c>
      <c r="O3205" s="7">
        <v>45536</v>
      </c>
      <c r="P3205" s="6">
        <v>37.130000000000003</v>
      </c>
      <c r="Q3205" s="6">
        <v>94.13</v>
      </c>
      <c r="R3205" s="7">
        <v>45536</v>
      </c>
      <c r="S3205" s="6">
        <v>0.59</v>
      </c>
      <c r="T3205" s="6">
        <v>-3.04</v>
      </c>
      <c r="U3205" s="7">
        <v>45536</v>
      </c>
      <c r="V3205" s="6">
        <v>0</v>
      </c>
      <c r="W3205" s="6">
        <f ca="1">IFERROR(__xludf.DUMMYFUNCTION("IFERROR(GOOGLEFINANCE(B3205,""pe""),V3205)"),0)</f>
        <v>0</v>
      </c>
      <c r="X3205" s="6">
        <v>0</v>
      </c>
      <c r="Y3205" s="6">
        <v>-1.75</v>
      </c>
      <c r="Z3205" s="6">
        <v>2</v>
      </c>
      <c r="AA3205" s="8">
        <v>45352</v>
      </c>
      <c r="AB3205" s="4">
        <v>-1.1200000000000001</v>
      </c>
      <c r="AC3205" s="6">
        <v>0</v>
      </c>
      <c r="AD3205" s="6">
        <v>292.75</v>
      </c>
      <c r="AE3205" s="1">
        <v>0</v>
      </c>
      <c r="AF3205" s="1">
        <f ca="1">IFERROR(__xludf.DUMMYFUNCTION("IFERROR(GOOGLEFINANCE(TRIM(F3205)&amp;"":"" &amp; TRIM(B3205),""high52""),AE3205)"),2.53)</f>
        <v>2.5299999999999998</v>
      </c>
      <c r="AG3205" s="1">
        <v>0</v>
      </c>
      <c r="AH3205" s="1">
        <f ca="1">IFERROR(__xludf.DUMMYFUNCTION("IFERROR(GOOGLEFINANCE(TRIM(F3205)&amp;"":"" &amp; TRIM(B3205),""low52""),AE3205)"),1.02)</f>
        <v>1.02</v>
      </c>
      <c r="AI3205" s="1">
        <f ca="1">IFERROR(__xludf.DUMMYFUNCTION("IFERROR(GOOGLEFINANCE(B3205,""eps""),0)"),-0.05)</f>
        <v>-0.05</v>
      </c>
      <c r="AJ3205" s="1"/>
      <c r="AK3205" s="1" t="s">
        <v>9848</v>
      </c>
      <c r="AL3205" s="9">
        <f t="shared" ref="AL3205:AL3221" si="310">IF(AA3205&lt;&gt;AB3205,1,0)</f>
        <v>1</v>
      </c>
    </row>
    <row r="3206" spans="1:38" ht="15" x14ac:dyDescent="0.25">
      <c r="A3206" s="1" t="s">
        <v>9849</v>
      </c>
      <c r="B3206" s="1" t="s">
        <v>9850</v>
      </c>
      <c r="C3206" s="1" t="s">
        <v>57</v>
      </c>
      <c r="D3206" s="1" t="s">
        <v>57</v>
      </c>
      <c r="E3206" s="6">
        <v>68.349999999999994</v>
      </c>
      <c r="F3206" s="1" t="s">
        <v>40</v>
      </c>
      <c r="G3206" s="6">
        <f ca="1">IFERROR(__xludf.DUMMYFUNCTION("iferror(GOOGLEFINANCE(TRIM(F3206)&amp;"":"" &amp; TRIM(B3206), ""price""),0
)"),0)</f>
        <v>0</v>
      </c>
      <c r="H3206" s="6">
        <v>4.29</v>
      </c>
      <c r="I3206" s="6">
        <f t="shared" ca="1" si="0"/>
        <v>4.29</v>
      </c>
      <c r="J3206" s="6">
        <f ca="1">IFERROR(__xludf.DUMMYFUNCTION("IFERROR(GOOGLEFINANCE(B3206, ""volume""), 0)"),0)</f>
        <v>0</v>
      </c>
      <c r="K3206" s="6">
        <v>4.8899999999999997</v>
      </c>
      <c r="L3206" s="6">
        <f ca="1">IFERROR(__xludf.DUMMYFUNCTION("IFERROR(GOOGLEFINANCE(B3206,""changepct""),K3206)"),4.89)</f>
        <v>4.8899999999999997</v>
      </c>
      <c r="M3206" s="6">
        <f ca="1">IFERROR(__xludf.DUMMYFUNCTION("IFERROR(GOOGLEFINANCE(B3206,""change""),0)"),0)</f>
        <v>0</v>
      </c>
      <c r="N3206" s="6">
        <v>1</v>
      </c>
      <c r="O3206" s="7">
        <v>45352</v>
      </c>
      <c r="P3206" s="6">
        <v>10747.29</v>
      </c>
      <c r="Q3206" s="6">
        <v>10596.29</v>
      </c>
      <c r="R3206" s="7">
        <v>44986</v>
      </c>
      <c r="S3206" s="6">
        <v>2.2799999999999998</v>
      </c>
      <c r="T3206" s="6">
        <v>-1082.3800000000001</v>
      </c>
      <c r="U3206" s="7">
        <v>45352</v>
      </c>
      <c r="V3206" s="6">
        <v>0</v>
      </c>
      <c r="W3206" s="6">
        <f ca="1">IFERROR(__xludf.DUMMYFUNCTION("IFERROR(GOOGLEFINANCE(B3206,""pe""),V3206)"),0)</f>
        <v>0</v>
      </c>
      <c r="X3206" s="9"/>
      <c r="Y3206" s="6">
        <v>-0.01</v>
      </c>
      <c r="Z3206" s="6">
        <v>2</v>
      </c>
      <c r="AA3206" s="8">
        <v>45352</v>
      </c>
      <c r="AB3206" s="4">
        <v>-1.05</v>
      </c>
      <c r="AC3206" s="6">
        <v>0</v>
      </c>
      <c r="AD3206" s="6">
        <v>-2.2799999999999998</v>
      </c>
      <c r="AE3206" s="1">
        <v>0</v>
      </c>
      <c r="AF3206" s="1">
        <f ca="1">IFERROR(__xludf.DUMMYFUNCTION("IFERROR(GOOGLEFINANCE(TRIM(F3206)&amp;"":"" &amp; TRIM(B3206),""high52""),AE3206)"),0)</f>
        <v>0</v>
      </c>
      <c r="AG3206" s="1">
        <v>0</v>
      </c>
      <c r="AH3206" s="1">
        <f ca="1">IFERROR(__xludf.DUMMYFUNCTION("IFERROR(GOOGLEFINANCE(TRIM(F3206)&amp;"":"" &amp; TRIM(B3206),""low52""),AE3206)"),0)</f>
        <v>0</v>
      </c>
      <c r="AI3206" s="1">
        <f ca="1">IFERROR(__xludf.DUMMYFUNCTION("IFERROR(GOOGLEFINANCE(B3206,""eps""),0)"),0)</f>
        <v>0</v>
      </c>
      <c r="AJ3206" s="1"/>
      <c r="AK3206" s="9"/>
      <c r="AL3206" s="9">
        <f t="shared" si="310"/>
        <v>1</v>
      </c>
    </row>
    <row r="3207" spans="1:38" ht="15" x14ac:dyDescent="0.25">
      <c r="A3207" s="1" t="s">
        <v>9851</v>
      </c>
      <c r="B3207" s="1" t="s">
        <v>9852</v>
      </c>
      <c r="C3207" s="1" t="s">
        <v>135</v>
      </c>
      <c r="D3207" s="1" t="s">
        <v>135</v>
      </c>
      <c r="E3207" s="6">
        <v>4390.58</v>
      </c>
      <c r="F3207" s="1" t="s">
        <v>40</v>
      </c>
      <c r="G3207" s="6">
        <f ca="1">IFERROR(__xludf.DUMMYFUNCTION("iferror(GOOGLEFINANCE(TRIM(F3207)&amp;"":"" &amp; TRIM(B3207), ""price""),0
)"),528.5)</f>
        <v>528.5</v>
      </c>
      <c r="H3207" s="6">
        <v>799.75</v>
      </c>
      <c r="I3207" s="6">
        <f t="shared" ca="1" si="0"/>
        <v>528.5</v>
      </c>
      <c r="J3207" s="6">
        <f ca="1">IFERROR(__xludf.DUMMYFUNCTION("IFERROR(GOOGLEFINANCE(B3207, ""volume""), 0)"),100015)</f>
        <v>100015</v>
      </c>
      <c r="K3207" s="6">
        <v>0.78</v>
      </c>
      <c r="L3207" s="6">
        <f ca="1">IFERROR(__xludf.DUMMYFUNCTION("IFERROR(GOOGLEFINANCE(B3207,""changepct""),K3207)"),-1.31)</f>
        <v>-1.31</v>
      </c>
      <c r="M3207" s="6">
        <f ca="1">IFERROR(__xludf.DUMMYFUNCTION("IFERROR(GOOGLEFINANCE(B3207,""change""),0)"),-7)</f>
        <v>-7</v>
      </c>
      <c r="N3207" s="6">
        <v>2</v>
      </c>
      <c r="O3207" s="7">
        <v>45536</v>
      </c>
      <c r="P3207" s="6">
        <v>142.94</v>
      </c>
      <c r="Q3207" s="6">
        <v>4506.1400000000003</v>
      </c>
      <c r="R3207" s="7">
        <v>45536</v>
      </c>
      <c r="S3207" s="6">
        <v>1924.48</v>
      </c>
      <c r="T3207" s="6">
        <v>138.05000000000001</v>
      </c>
      <c r="U3207" s="7">
        <v>45536</v>
      </c>
      <c r="V3207" s="6">
        <v>31.64</v>
      </c>
      <c r="W3207" s="6">
        <f ca="1">IFERROR(__xludf.DUMMYFUNCTION("IFERROR(GOOGLEFINANCE(B3207,""pe""),V3207)"),21.28)</f>
        <v>21.28</v>
      </c>
      <c r="X3207" s="9"/>
      <c r="Y3207" s="6">
        <v>3.93</v>
      </c>
      <c r="Z3207" s="6">
        <v>2</v>
      </c>
      <c r="AA3207" s="8">
        <v>45352</v>
      </c>
      <c r="AB3207" s="4">
        <v>0.1</v>
      </c>
      <c r="AC3207" s="6">
        <v>13.36</v>
      </c>
      <c r="AD3207" s="6">
        <v>18.39</v>
      </c>
      <c r="AE3207" s="1">
        <v>0</v>
      </c>
      <c r="AF3207" s="1">
        <f ca="1">IFERROR(__xludf.DUMMYFUNCTION("IFERROR(GOOGLEFINANCE(TRIM(F3207)&amp;"":"" &amp; TRIM(B3207),""high52""),AE3207)"),766)</f>
        <v>766</v>
      </c>
      <c r="AG3207" s="1">
        <v>0</v>
      </c>
      <c r="AH3207" s="1">
        <f ca="1">IFERROR(__xludf.DUMMYFUNCTION("IFERROR(GOOGLEFINANCE(TRIM(F3207)&amp;"":"" &amp; TRIM(B3207),""low52""),AE3207)"),501.9)</f>
        <v>501.9</v>
      </c>
      <c r="AI3207" s="1">
        <f ca="1">IFERROR(__xludf.DUMMYFUNCTION("IFERROR(GOOGLEFINANCE(B3207,""eps""),0)"),24.84)</f>
        <v>24.84</v>
      </c>
      <c r="AJ3207" s="1"/>
      <c r="AK3207" s="1" t="s">
        <v>9853</v>
      </c>
      <c r="AL3207" s="9">
        <f t="shared" si="310"/>
        <v>1</v>
      </c>
    </row>
    <row r="3208" spans="1:38" ht="15" x14ac:dyDescent="0.25">
      <c r="A3208" s="1" t="s">
        <v>9854</v>
      </c>
      <c r="B3208" s="1" t="s">
        <v>9855</v>
      </c>
      <c r="C3208" s="1" t="s">
        <v>1019</v>
      </c>
      <c r="D3208" s="1" t="s">
        <v>1019</v>
      </c>
      <c r="E3208" s="6">
        <v>301.76</v>
      </c>
      <c r="F3208" s="1" t="s">
        <v>40</v>
      </c>
      <c r="G3208" s="6">
        <f ca="1">IFERROR(__xludf.DUMMYFUNCTION("iferror(GOOGLEFINANCE(TRIM(F3208)&amp;"":"" &amp; TRIM(B3208), ""price""),0
)"),41.89)</f>
        <v>41.89</v>
      </c>
      <c r="H3208" s="6">
        <v>80.55</v>
      </c>
      <c r="I3208" s="6">
        <f t="shared" ca="1" si="0"/>
        <v>41.89</v>
      </c>
      <c r="J3208" s="6">
        <f ca="1">IFERROR(__xludf.DUMMYFUNCTION("IFERROR(GOOGLEFINANCE(B3208, ""volume""), 0)"),83272)</f>
        <v>83272</v>
      </c>
      <c r="K3208" s="6">
        <v>1.53</v>
      </c>
      <c r="L3208" s="6">
        <f ca="1">IFERROR(__xludf.DUMMYFUNCTION("IFERROR(GOOGLEFINANCE(B3208,""changepct""),K3208)"),-4.6)</f>
        <v>-4.5999999999999996</v>
      </c>
      <c r="M3208" s="6">
        <f ca="1">IFERROR(__xludf.DUMMYFUNCTION("IFERROR(GOOGLEFINANCE(B3208,""change""),0)"),-2.02)</f>
        <v>-2.02</v>
      </c>
      <c r="N3208" s="6">
        <v>1</v>
      </c>
      <c r="O3208" s="7">
        <v>45536</v>
      </c>
      <c r="P3208" s="6">
        <v>34.01</v>
      </c>
      <c r="Q3208" s="6">
        <v>333.86</v>
      </c>
      <c r="R3208" s="7">
        <v>45536</v>
      </c>
      <c r="S3208" s="6">
        <v>333.44</v>
      </c>
      <c r="T3208" s="6">
        <v>18.8</v>
      </c>
      <c r="U3208" s="7">
        <v>45536</v>
      </c>
      <c r="V3208" s="6">
        <v>16.05</v>
      </c>
      <c r="W3208" s="6">
        <f ca="1">IFERROR(__xludf.DUMMYFUNCTION("IFERROR(GOOGLEFINANCE(B3208,""pe""),V3208)"),8.11)</f>
        <v>8.11</v>
      </c>
      <c r="X3208" s="9"/>
      <c r="Y3208" s="6">
        <v>1.45</v>
      </c>
      <c r="Z3208" s="6">
        <v>2</v>
      </c>
      <c r="AA3208" s="8">
        <v>45352</v>
      </c>
      <c r="AB3208" s="4">
        <v>0.65</v>
      </c>
      <c r="AC3208" s="6">
        <v>4.3600000000000003</v>
      </c>
      <c r="AD3208" s="6">
        <v>6.28</v>
      </c>
      <c r="AE3208" s="1">
        <v>0</v>
      </c>
      <c r="AF3208" s="1">
        <f ca="1">IFERROR(__xludf.DUMMYFUNCTION("IFERROR(GOOGLEFINANCE(TRIM(F3208)&amp;"":"" &amp; TRIM(B3208),""high52""),AE3208)"),87.1)</f>
        <v>87.1</v>
      </c>
      <c r="AG3208" s="1">
        <v>0</v>
      </c>
      <c r="AH3208" s="1">
        <f ca="1">IFERROR(__xludf.DUMMYFUNCTION("IFERROR(GOOGLEFINANCE(TRIM(F3208)&amp;"":"" &amp; TRIM(B3208),""low52""),AE3208)"),40)</f>
        <v>40</v>
      </c>
      <c r="AI3208" s="1">
        <f ca="1">IFERROR(__xludf.DUMMYFUNCTION("IFERROR(GOOGLEFINANCE(B3208,""eps""),0)"),5.17)</f>
        <v>5.17</v>
      </c>
      <c r="AJ3208" s="1"/>
      <c r="AK3208" s="9"/>
      <c r="AL3208" s="9">
        <f t="shared" si="310"/>
        <v>1</v>
      </c>
    </row>
    <row r="3209" spans="1:38" ht="15" x14ac:dyDescent="0.25">
      <c r="A3209" s="1" t="s">
        <v>9856</v>
      </c>
      <c r="B3209" s="1" t="s">
        <v>9857</v>
      </c>
      <c r="C3209" s="1" t="s">
        <v>1019</v>
      </c>
      <c r="D3209" s="1" t="s">
        <v>1019</v>
      </c>
      <c r="E3209" s="6">
        <v>1795.48</v>
      </c>
      <c r="F3209" s="1" t="s">
        <v>40</v>
      </c>
      <c r="G3209" s="6">
        <f ca="1">IFERROR(__xludf.DUMMYFUNCTION("iferror(GOOGLEFINANCE(TRIM(F3209)&amp;"":"" &amp; TRIM(B3209), ""price""),0
)"),670)</f>
        <v>670</v>
      </c>
      <c r="H3209" s="6">
        <v>477.45</v>
      </c>
      <c r="I3209" s="6">
        <f t="shared" ca="1" si="0"/>
        <v>670</v>
      </c>
      <c r="J3209" s="6">
        <f ca="1">IFERROR(__xludf.DUMMYFUNCTION("IFERROR(GOOGLEFINANCE(B3209, ""volume""), 0)"),123321)</f>
        <v>123321</v>
      </c>
      <c r="K3209" s="6">
        <v>-0.27</v>
      </c>
      <c r="L3209" s="6">
        <f ca="1">IFERROR(__xludf.DUMMYFUNCTION("IFERROR(GOOGLEFINANCE(B3209,""changepct""),K3209)"),-1.27)</f>
        <v>-1.27</v>
      </c>
      <c r="M3209" s="6">
        <f ca="1">IFERROR(__xludf.DUMMYFUNCTION("IFERROR(GOOGLEFINANCE(B3209,""change""),0)"),-8.65)</f>
        <v>-8.65</v>
      </c>
      <c r="N3209" s="6">
        <v>1</v>
      </c>
      <c r="O3209" s="7">
        <v>45536</v>
      </c>
      <c r="P3209" s="6">
        <v>195.57</v>
      </c>
      <c r="Q3209" s="6">
        <v>1991.05</v>
      </c>
      <c r="R3209" s="14"/>
      <c r="S3209" s="9"/>
      <c r="T3209" s="9"/>
      <c r="U3209" s="7">
        <v>45352</v>
      </c>
      <c r="V3209" s="6">
        <v>0</v>
      </c>
      <c r="W3209" s="6">
        <f ca="1">IFERROR(__xludf.DUMMYFUNCTION("IFERROR(GOOGLEFINANCE(B3209,""pe""),V3209)"),119.61)</f>
        <v>119.61</v>
      </c>
      <c r="X3209" s="12"/>
      <c r="Y3209" s="6">
        <v>14.86</v>
      </c>
      <c r="Z3209" s="6">
        <v>1</v>
      </c>
      <c r="AA3209" s="8">
        <v>45352</v>
      </c>
      <c r="AB3209" s="4">
        <v>0</v>
      </c>
      <c r="AC3209" s="6">
        <v>0</v>
      </c>
      <c r="AD3209" s="6">
        <v>0</v>
      </c>
      <c r="AE3209" s="1">
        <v>0</v>
      </c>
      <c r="AF3209" s="1">
        <f ca="1">IFERROR(__xludf.DUMMYFUNCTION("IFERROR(GOOGLEFINANCE(TRIM(F3209)&amp;"":"" &amp; TRIM(B3209),""high52""),AE3209)"),840)</f>
        <v>840</v>
      </c>
      <c r="AG3209" s="1">
        <v>0</v>
      </c>
      <c r="AH3209" s="1">
        <f ca="1">IFERROR(__xludf.DUMMYFUNCTION("IFERROR(GOOGLEFINANCE(TRIM(F3209)&amp;"":"" &amp; TRIM(B3209),""low52""),AE3209)"),231.15)</f>
        <v>231.15</v>
      </c>
      <c r="AI3209" s="1">
        <f ca="1">IFERROR(__xludf.DUMMYFUNCTION("IFERROR(GOOGLEFINANCE(B3209,""eps""),0)"),5.6)</f>
        <v>5.6</v>
      </c>
      <c r="AJ3209" s="1"/>
      <c r="AK3209" s="1" t="s">
        <v>9858</v>
      </c>
      <c r="AL3209" s="9">
        <f t="shared" si="310"/>
        <v>1</v>
      </c>
    </row>
    <row r="3210" spans="1:38" ht="15" x14ac:dyDescent="0.25">
      <c r="A3210" s="1" t="s">
        <v>9859</v>
      </c>
      <c r="B3210" s="1" t="s">
        <v>9860</v>
      </c>
      <c r="C3210" s="1" t="s">
        <v>106</v>
      </c>
      <c r="D3210" s="1" t="s">
        <v>106</v>
      </c>
      <c r="E3210" s="6">
        <v>195.65</v>
      </c>
      <c r="F3210" s="1" t="s">
        <v>53</v>
      </c>
      <c r="G3210" s="6">
        <f ca="1">IFERROR(__xludf.DUMMYFUNCTION("iferror(GOOGLEFINANCE(TRIM(F3210)&amp;"":"" &amp; TRIM(B3210), ""price""),0
)"),0)</f>
        <v>0</v>
      </c>
      <c r="H3210" s="6">
        <v>49.99</v>
      </c>
      <c r="I3210" s="6">
        <f t="shared" ca="1" si="0"/>
        <v>49.99</v>
      </c>
      <c r="J3210" s="6">
        <f ca="1">IFERROR(__xludf.DUMMYFUNCTION("IFERROR(GOOGLEFINANCE(B3210, ""volume""), 0)"),0)</f>
        <v>0</v>
      </c>
      <c r="K3210" s="6">
        <v>1.85</v>
      </c>
      <c r="L3210" s="6">
        <f ca="1">IFERROR(__xludf.DUMMYFUNCTION("IFERROR(GOOGLEFINANCE(B3210,""changepct""),K3210)"),1.85)</f>
        <v>1.85</v>
      </c>
      <c r="M3210" s="6">
        <f ca="1">IFERROR(__xludf.DUMMYFUNCTION("IFERROR(GOOGLEFINANCE(B3210,""change""),0)"),0)</f>
        <v>0</v>
      </c>
      <c r="N3210" s="6">
        <v>1</v>
      </c>
      <c r="O3210" s="7">
        <v>45536</v>
      </c>
      <c r="P3210" s="6">
        <v>0.13</v>
      </c>
      <c r="Q3210" s="6">
        <v>195.67</v>
      </c>
      <c r="R3210" s="7">
        <v>45536</v>
      </c>
      <c r="S3210" s="6">
        <v>295.87</v>
      </c>
      <c r="T3210" s="6">
        <v>-0.54</v>
      </c>
      <c r="U3210" s="7">
        <v>45536</v>
      </c>
      <c r="V3210" s="6">
        <v>0</v>
      </c>
      <c r="W3210" s="6">
        <f ca="1">IFERROR(__xludf.DUMMYFUNCTION("IFERROR(GOOGLEFINANCE(B3210,""pe""),V3210)"),0)</f>
        <v>0</v>
      </c>
      <c r="X3210" s="6">
        <v>0</v>
      </c>
      <c r="Y3210" s="6">
        <v>3.47</v>
      </c>
      <c r="Z3210" s="6">
        <v>1</v>
      </c>
      <c r="AA3210" s="8">
        <v>45352</v>
      </c>
      <c r="AB3210" s="4">
        <v>0.01</v>
      </c>
      <c r="AC3210" s="6">
        <v>6.97</v>
      </c>
      <c r="AD3210" s="6">
        <v>10.74</v>
      </c>
      <c r="AE3210" s="1">
        <v>0</v>
      </c>
      <c r="AF3210" s="1">
        <f ca="1">IFERROR(__xludf.DUMMYFUNCTION("IFERROR(GOOGLEFINANCE(TRIM(F3210)&amp;"":"" &amp; TRIM(B3210),""high52""),AE3210)"),0)</f>
        <v>0</v>
      </c>
      <c r="AG3210" s="1">
        <v>0</v>
      </c>
      <c r="AH3210" s="1">
        <f ca="1">IFERROR(__xludf.DUMMYFUNCTION("IFERROR(GOOGLEFINANCE(TRIM(F3210)&amp;"":"" &amp; TRIM(B3210),""low52""),AE3210)"),0)</f>
        <v>0</v>
      </c>
      <c r="AI3210" s="1">
        <f ca="1">IFERROR(__xludf.DUMMYFUNCTION("IFERROR(GOOGLEFINANCE(B3210,""eps""),0)"),0)</f>
        <v>0</v>
      </c>
      <c r="AJ3210" s="1"/>
      <c r="AK3210" s="9"/>
      <c r="AL3210" s="9">
        <f t="shared" si="310"/>
        <v>1</v>
      </c>
    </row>
    <row r="3211" spans="1:38" ht="15" x14ac:dyDescent="0.25">
      <c r="A3211" s="1" t="s">
        <v>9861</v>
      </c>
      <c r="B3211" s="1" t="s">
        <v>9862</v>
      </c>
      <c r="C3211" s="1" t="s">
        <v>1751</v>
      </c>
      <c r="D3211" s="1" t="s">
        <v>1751</v>
      </c>
      <c r="E3211" s="6">
        <v>1911.15</v>
      </c>
      <c r="F3211" s="1" t="s">
        <v>40</v>
      </c>
      <c r="G3211" s="6">
        <f ca="1">IFERROR(__xludf.DUMMYFUNCTION("iferror(GOOGLEFINANCE(TRIM(F3211)&amp;"":"" &amp; TRIM(B3211), ""price""),0
)"),56.48)</f>
        <v>56.48</v>
      </c>
      <c r="H3211" s="6">
        <v>305.7</v>
      </c>
      <c r="I3211" s="6">
        <f t="shared" ca="1" si="0"/>
        <v>56.48</v>
      </c>
      <c r="J3211" s="6">
        <f ca="1">IFERROR(__xludf.DUMMYFUNCTION("IFERROR(GOOGLEFINANCE(B3211, ""volume""), 0)"),423809)</f>
        <v>423809</v>
      </c>
      <c r="K3211" s="6">
        <v>0.25</v>
      </c>
      <c r="L3211" s="6">
        <f ca="1">IFERROR(__xludf.DUMMYFUNCTION("IFERROR(GOOGLEFINANCE(B3211,""changepct""),K3211)"),0.62)</f>
        <v>0.62</v>
      </c>
      <c r="M3211" s="6">
        <f ca="1">IFERROR(__xludf.DUMMYFUNCTION("IFERROR(GOOGLEFINANCE(B3211,""change""),0)"),0.35)</f>
        <v>0.35</v>
      </c>
      <c r="N3211" s="6">
        <v>2</v>
      </c>
      <c r="O3211" s="7">
        <v>45536</v>
      </c>
      <c r="P3211" s="6">
        <v>31.61</v>
      </c>
      <c r="Q3211" s="6">
        <v>1918.7</v>
      </c>
      <c r="R3211" s="7">
        <v>45536</v>
      </c>
      <c r="S3211" s="6">
        <v>280.76</v>
      </c>
      <c r="T3211" s="6">
        <v>36.17</v>
      </c>
      <c r="U3211" s="7">
        <v>45536</v>
      </c>
      <c r="V3211" s="6">
        <v>53.3</v>
      </c>
      <c r="W3211" s="6">
        <f ca="1">IFERROR(__xludf.DUMMYFUNCTION("IFERROR(GOOGLEFINANCE(B3211,""pe""),V3211)"),43.89)</f>
        <v>43.89</v>
      </c>
      <c r="X3211" s="6">
        <v>2.75</v>
      </c>
      <c r="Y3211" s="6">
        <v>9.3000000000000007</v>
      </c>
      <c r="Z3211" s="6">
        <v>2</v>
      </c>
      <c r="AA3211" s="8">
        <v>45352</v>
      </c>
      <c r="AB3211" s="4">
        <v>0.18</v>
      </c>
      <c r="AC3211" s="6">
        <v>22.09</v>
      </c>
      <c r="AD3211" s="6">
        <v>26.82</v>
      </c>
      <c r="AE3211" s="1">
        <v>0</v>
      </c>
      <c r="AF3211" s="1">
        <f ca="1">IFERROR(__xludf.DUMMYFUNCTION("IFERROR(GOOGLEFINANCE(TRIM(F3211)&amp;"":"" &amp; TRIM(B3211),""high52""),AE3211)"),109.5)</f>
        <v>109.5</v>
      </c>
      <c r="AG3211" s="1">
        <v>0</v>
      </c>
      <c r="AH3211" s="1">
        <f ca="1">IFERROR(__xludf.DUMMYFUNCTION("IFERROR(GOOGLEFINANCE(TRIM(F3211)&amp;"":"" &amp; TRIM(B3211),""low52""),AE3211)"),54.12)</f>
        <v>54.12</v>
      </c>
      <c r="AI3211" s="1">
        <f ca="1">IFERROR(__xludf.DUMMYFUNCTION("IFERROR(GOOGLEFINANCE(B3211,""eps""),0)"),1.29)</f>
        <v>1.29</v>
      </c>
      <c r="AJ3211" s="1"/>
      <c r="AK3211" s="1" t="s">
        <v>9863</v>
      </c>
      <c r="AL3211" s="9">
        <f t="shared" si="310"/>
        <v>1</v>
      </c>
    </row>
    <row r="3212" spans="1:38" ht="15" x14ac:dyDescent="0.25">
      <c r="A3212" s="1" t="s">
        <v>9864</v>
      </c>
      <c r="B3212" s="1" t="s">
        <v>9865</v>
      </c>
      <c r="C3212" s="1" t="s">
        <v>57</v>
      </c>
      <c r="D3212" s="1" t="s">
        <v>57</v>
      </c>
      <c r="E3212" s="6">
        <v>8854.6299999999992</v>
      </c>
      <c r="F3212" s="1" t="s">
        <v>40</v>
      </c>
      <c r="G3212" s="6">
        <f ca="1">IFERROR(__xludf.DUMMYFUNCTION("iferror(GOOGLEFINANCE(TRIM(F3212)&amp;"":"" &amp; TRIM(B3212), ""price""),0
)"),589.9)</f>
        <v>589.9</v>
      </c>
      <c r="H3212" s="6">
        <v>1405.4</v>
      </c>
      <c r="I3212" s="6">
        <f t="shared" ca="1" si="0"/>
        <v>589.9</v>
      </c>
      <c r="J3212" s="6">
        <f ca="1">IFERROR(__xludf.DUMMYFUNCTION("IFERROR(GOOGLEFINANCE(B3212, ""volume""), 0)"),85824)</f>
        <v>85824</v>
      </c>
      <c r="K3212" s="6">
        <v>0</v>
      </c>
      <c r="L3212" s="6">
        <f ca="1">IFERROR(__xludf.DUMMYFUNCTION("IFERROR(GOOGLEFINANCE(B3212,""changepct""),K3212)"),-0.9)</f>
        <v>-0.9</v>
      </c>
      <c r="M3212" s="6">
        <f ca="1">IFERROR(__xludf.DUMMYFUNCTION("IFERROR(GOOGLEFINANCE(B3212,""change""),0)"),-5.35)</f>
        <v>-5.35</v>
      </c>
      <c r="N3212" s="6">
        <v>2</v>
      </c>
      <c r="O3212" s="7">
        <v>45536</v>
      </c>
      <c r="P3212" s="6">
        <v>530.91</v>
      </c>
      <c r="Q3212" s="6">
        <v>8271.0400000000009</v>
      </c>
      <c r="R3212" s="7">
        <v>45536</v>
      </c>
      <c r="S3212" s="6">
        <v>4258.17</v>
      </c>
      <c r="T3212" s="6">
        <v>396.99</v>
      </c>
      <c r="U3212" s="7">
        <v>45536</v>
      </c>
      <c r="V3212" s="6">
        <v>23.7</v>
      </c>
      <c r="W3212" s="6">
        <f ca="1">IFERROR(__xludf.DUMMYFUNCTION("IFERROR(GOOGLEFINANCE(B3212,""pe""),V3212)"),21.73)</f>
        <v>21.73</v>
      </c>
      <c r="X3212" s="14"/>
      <c r="Y3212" s="6">
        <v>3.78</v>
      </c>
      <c r="Z3212" s="6">
        <v>2</v>
      </c>
      <c r="AA3212" s="8">
        <v>45352</v>
      </c>
      <c r="AB3212" s="4">
        <v>0.16</v>
      </c>
      <c r="AC3212" s="6">
        <v>19.899999999999999</v>
      </c>
      <c r="AD3212" s="6">
        <v>21.94</v>
      </c>
      <c r="AE3212" s="1">
        <v>0</v>
      </c>
      <c r="AF3212" s="1">
        <f ca="1">IFERROR(__xludf.DUMMYFUNCTION("IFERROR(GOOGLEFINANCE(TRIM(F3212)&amp;"":"" &amp; TRIM(B3212),""high52""),AE3212)"),1260)</f>
        <v>1260</v>
      </c>
      <c r="AG3212" s="1">
        <v>0</v>
      </c>
      <c r="AH3212" s="1">
        <f ca="1">IFERROR(__xludf.DUMMYFUNCTION("IFERROR(GOOGLEFINANCE(TRIM(F3212)&amp;"":"" &amp; TRIM(B3212),""low52""),AE3212)"),561)</f>
        <v>561</v>
      </c>
      <c r="AI3212" s="1">
        <f ca="1">IFERROR(__xludf.DUMMYFUNCTION("IFERROR(GOOGLEFINANCE(B3212,""eps""),0)"),27.15)</f>
        <v>27.15</v>
      </c>
      <c r="AJ3212" s="1"/>
      <c r="AK3212" s="9"/>
      <c r="AL3212" s="9">
        <f t="shared" si="310"/>
        <v>1</v>
      </c>
    </row>
    <row r="3213" spans="1:38" ht="15" x14ac:dyDescent="0.25">
      <c r="A3213" s="1" t="s">
        <v>9866</v>
      </c>
      <c r="B3213" s="1" t="s">
        <v>9867</v>
      </c>
      <c r="C3213" s="1" t="s">
        <v>2426</v>
      </c>
      <c r="D3213" s="1" t="s">
        <v>2426</v>
      </c>
      <c r="E3213" s="6">
        <v>220.48</v>
      </c>
      <c r="F3213" s="1" t="s">
        <v>40</v>
      </c>
      <c r="G3213" s="6">
        <f ca="1">IFERROR(__xludf.DUMMYFUNCTION("iferror(GOOGLEFINANCE(TRIM(F3213)&amp;"":"" &amp; TRIM(B3213), ""price""),0
)"),0)</f>
        <v>0</v>
      </c>
      <c r="H3213" s="6">
        <v>97</v>
      </c>
      <c r="I3213" s="6">
        <f t="shared" ca="1" si="0"/>
        <v>97</v>
      </c>
      <c r="J3213" s="6">
        <f ca="1">IFERROR(__xludf.DUMMYFUNCTION("IFERROR(GOOGLEFINANCE(B3213, ""volume""), 0)"),0)</f>
        <v>0</v>
      </c>
      <c r="K3213" s="6">
        <v>0.47</v>
      </c>
      <c r="L3213" s="6">
        <f ca="1">IFERROR(__xludf.DUMMYFUNCTION("IFERROR(GOOGLEFINANCE(B3213,""changepct""),K3213)"),0.47)</f>
        <v>0.47</v>
      </c>
      <c r="M3213" s="6">
        <f ca="1">IFERROR(__xludf.DUMMYFUNCTION("IFERROR(GOOGLEFINANCE(B3213,""change""),0)"),0)</f>
        <v>0</v>
      </c>
      <c r="N3213" s="6">
        <v>1</v>
      </c>
      <c r="O3213" s="7">
        <v>45536</v>
      </c>
      <c r="P3213" s="6">
        <v>51.47</v>
      </c>
      <c r="Q3213" s="6">
        <v>271.95999999999998</v>
      </c>
      <c r="R3213" s="7">
        <v>45352</v>
      </c>
      <c r="S3213" s="6">
        <v>176.06</v>
      </c>
      <c r="T3213" s="6">
        <v>21.24</v>
      </c>
      <c r="U3213" s="7">
        <v>45352</v>
      </c>
      <c r="V3213" s="6">
        <v>10.38</v>
      </c>
      <c r="W3213" s="6">
        <f ca="1">IFERROR(__xludf.DUMMYFUNCTION("IFERROR(GOOGLEFINANCE(B3213,""pe""),V3213)"),10.38)</f>
        <v>10.38</v>
      </c>
      <c r="X3213" s="12"/>
      <c r="Y3213" s="6">
        <v>2.38</v>
      </c>
      <c r="Z3213" s="6">
        <v>1</v>
      </c>
      <c r="AA3213" s="8">
        <v>45352</v>
      </c>
      <c r="AB3213" s="4">
        <v>0.23</v>
      </c>
      <c r="AC3213" s="6">
        <v>36.409999999999997</v>
      </c>
      <c r="AD3213" s="6">
        <v>39.29</v>
      </c>
      <c r="AE3213" s="1">
        <v>0</v>
      </c>
      <c r="AF3213" s="1">
        <f ca="1">IFERROR(__xludf.DUMMYFUNCTION("IFERROR(GOOGLEFINANCE(TRIM(F3213)&amp;"":"" &amp; TRIM(B3213),""high52""),AE3213)"),0)</f>
        <v>0</v>
      </c>
      <c r="AG3213" s="1">
        <v>0</v>
      </c>
      <c r="AH3213" s="1">
        <f ca="1">IFERROR(__xludf.DUMMYFUNCTION("IFERROR(GOOGLEFINANCE(TRIM(F3213)&amp;"":"" &amp; TRIM(B3213),""low52""),AE3213)"),0)</f>
        <v>0</v>
      </c>
      <c r="AI3213" s="1">
        <f ca="1">IFERROR(__xludf.DUMMYFUNCTION("IFERROR(GOOGLEFINANCE(B3213,""eps""),0)"),0)</f>
        <v>0</v>
      </c>
      <c r="AJ3213" s="1"/>
      <c r="AK3213" s="1" t="s">
        <v>9868</v>
      </c>
      <c r="AL3213" s="9">
        <f t="shared" si="310"/>
        <v>1</v>
      </c>
    </row>
    <row r="3214" spans="1:38" ht="15" x14ac:dyDescent="0.25">
      <c r="A3214" s="1" t="s">
        <v>9869</v>
      </c>
      <c r="B3214" s="1" t="s">
        <v>9870</v>
      </c>
      <c r="C3214" s="1" t="s">
        <v>106</v>
      </c>
      <c r="D3214" s="1" t="s">
        <v>106</v>
      </c>
      <c r="E3214" s="6">
        <v>197.82</v>
      </c>
      <c r="F3214" s="1" t="s">
        <v>53</v>
      </c>
      <c r="G3214" s="6">
        <f ca="1">IFERROR(__xludf.DUMMYFUNCTION("iferror(GOOGLEFINANCE(TRIM(F3214)&amp;"":"" &amp; TRIM(B3214), ""price""),0
)"),0)</f>
        <v>0</v>
      </c>
      <c r="H3214" s="6">
        <v>195</v>
      </c>
      <c r="I3214" s="6">
        <f t="shared" ca="1" si="0"/>
        <v>195</v>
      </c>
      <c r="J3214" s="6">
        <f ca="1">IFERROR(__xludf.DUMMYFUNCTION("IFERROR(GOOGLEFINANCE(B3214, ""volume""), 0)"),0)</f>
        <v>0</v>
      </c>
      <c r="K3214" s="6">
        <v>1.04</v>
      </c>
      <c r="L3214" s="6">
        <f ca="1">IFERROR(__xludf.DUMMYFUNCTION("IFERROR(GOOGLEFINANCE(B3214,""changepct""),K3214)"),1.04)</f>
        <v>1.04</v>
      </c>
      <c r="M3214" s="6">
        <f ca="1">IFERROR(__xludf.DUMMYFUNCTION("IFERROR(GOOGLEFINANCE(B3214,""change""),0)"),0)</f>
        <v>0</v>
      </c>
      <c r="N3214" s="6">
        <v>1</v>
      </c>
      <c r="O3214" s="7">
        <v>45536</v>
      </c>
      <c r="P3214" s="9"/>
      <c r="Q3214" s="6">
        <v>133.38999999999999</v>
      </c>
      <c r="R3214" s="7">
        <v>45536</v>
      </c>
      <c r="S3214" s="6">
        <v>72.48</v>
      </c>
      <c r="T3214" s="6">
        <v>13.11</v>
      </c>
      <c r="U3214" s="7">
        <v>45536</v>
      </c>
      <c r="V3214" s="6">
        <v>15.09</v>
      </c>
      <c r="W3214" s="6">
        <f ca="1">IFERROR(__xludf.DUMMYFUNCTION("IFERROR(GOOGLEFINANCE(B3214,""pe""),V3214)"),15.09)</f>
        <v>15.09</v>
      </c>
      <c r="X3214" s="6">
        <v>1.33</v>
      </c>
      <c r="Y3214" s="6">
        <v>1.48</v>
      </c>
      <c r="Z3214" s="6">
        <v>1</v>
      </c>
      <c r="AA3214" s="8">
        <v>45352</v>
      </c>
      <c r="AB3214" s="4">
        <v>0</v>
      </c>
      <c r="AC3214" s="6">
        <v>10.06</v>
      </c>
      <c r="AD3214" s="6">
        <v>13.66</v>
      </c>
      <c r="AE3214" s="1">
        <v>0</v>
      </c>
      <c r="AF3214" s="1">
        <f ca="1">IFERROR(__xludf.DUMMYFUNCTION("IFERROR(GOOGLEFINANCE(TRIM(F3214)&amp;"":"" &amp; TRIM(B3214),""high52""),AE3214)"),0)</f>
        <v>0</v>
      </c>
      <c r="AG3214" s="1">
        <v>0</v>
      </c>
      <c r="AH3214" s="1">
        <f ca="1">IFERROR(__xludf.DUMMYFUNCTION("IFERROR(GOOGLEFINANCE(TRIM(F3214)&amp;"":"" &amp; TRIM(B3214),""low52""),AE3214)"),0)</f>
        <v>0</v>
      </c>
      <c r="AI3214" s="1">
        <f ca="1">IFERROR(__xludf.DUMMYFUNCTION("IFERROR(GOOGLEFINANCE(B3214,""eps""),0)"),0)</f>
        <v>0</v>
      </c>
      <c r="AJ3214" s="1"/>
      <c r="AK3214" s="9"/>
      <c r="AL3214" s="9">
        <f t="shared" si="310"/>
        <v>1</v>
      </c>
    </row>
    <row r="3215" spans="1:38" ht="15" x14ac:dyDescent="0.25">
      <c r="A3215" s="1" t="s">
        <v>9871</v>
      </c>
      <c r="B3215" s="1" t="s">
        <v>9872</v>
      </c>
      <c r="C3215" s="1" t="s">
        <v>410</v>
      </c>
      <c r="D3215" s="1" t="s">
        <v>410</v>
      </c>
      <c r="E3215" s="6">
        <v>1019.81</v>
      </c>
      <c r="F3215" s="1" t="s">
        <v>40</v>
      </c>
      <c r="G3215" s="6">
        <f ca="1">IFERROR(__xludf.DUMMYFUNCTION("iferror(GOOGLEFINANCE(TRIM(F3215)&amp;"":"" &amp; TRIM(B3215), ""price""),0
)"),350)</f>
        <v>350</v>
      </c>
      <c r="H3215" s="6">
        <v>370.2</v>
      </c>
      <c r="I3215" s="6">
        <f t="shared" ca="1" si="0"/>
        <v>350</v>
      </c>
      <c r="J3215" s="6">
        <f ca="1">IFERROR(__xludf.DUMMYFUNCTION("IFERROR(GOOGLEFINANCE(B3215, ""volume""), 0)"),86492)</f>
        <v>86492</v>
      </c>
      <c r="K3215" s="6">
        <v>-0.52</v>
      </c>
      <c r="L3215" s="6">
        <f ca="1">IFERROR(__xludf.DUMMYFUNCTION("IFERROR(GOOGLEFINANCE(B3215,""changepct""),K3215)"),-1.67)</f>
        <v>-1.67</v>
      </c>
      <c r="M3215" s="6">
        <f ca="1">IFERROR(__xludf.DUMMYFUNCTION("IFERROR(GOOGLEFINANCE(B3215,""change""),0)"),-5.95)</f>
        <v>-5.95</v>
      </c>
      <c r="N3215" s="6">
        <v>2</v>
      </c>
      <c r="O3215" s="7">
        <v>45536</v>
      </c>
      <c r="P3215" s="6">
        <v>83.51</v>
      </c>
      <c r="Q3215" s="6">
        <v>1058.3599999999999</v>
      </c>
      <c r="R3215" s="7">
        <v>45536</v>
      </c>
      <c r="S3215" s="6">
        <v>301.54000000000002</v>
      </c>
      <c r="T3215" s="6">
        <v>45.04</v>
      </c>
      <c r="U3215" s="7">
        <v>45536</v>
      </c>
      <c r="V3215" s="6">
        <v>21.12</v>
      </c>
      <c r="W3215" s="6">
        <f ca="1">IFERROR(__xludf.DUMMYFUNCTION("IFERROR(GOOGLEFINANCE(B3215,""pe""),V3215)"),20.8)</f>
        <v>20.8</v>
      </c>
      <c r="X3215" s="6">
        <v>0.71</v>
      </c>
      <c r="Y3215" s="6">
        <v>4.95</v>
      </c>
      <c r="Z3215" s="6">
        <v>2</v>
      </c>
      <c r="AA3215" s="8">
        <v>45352</v>
      </c>
      <c r="AB3215" s="4">
        <v>0.35</v>
      </c>
      <c r="AC3215" s="6">
        <v>26.05</v>
      </c>
      <c r="AD3215" s="6">
        <v>29.76</v>
      </c>
      <c r="AE3215" s="1">
        <v>0</v>
      </c>
      <c r="AF3215" s="1">
        <f ca="1">IFERROR(__xludf.DUMMYFUNCTION("IFERROR(GOOGLEFINANCE(TRIM(F3215)&amp;"":"" &amp; TRIM(B3215),""high52""),AE3215)"),593.4)</f>
        <v>593.4</v>
      </c>
      <c r="AG3215" s="1">
        <v>0</v>
      </c>
      <c r="AH3215" s="1">
        <f ca="1">IFERROR(__xludf.DUMMYFUNCTION("IFERROR(GOOGLEFINANCE(TRIM(F3215)&amp;"":"" &amp; TRIM(B3215),""low52""),AE3215)"),322.35)</f>
        <v>322.35000000000002</v>
      </c>
      <c r="AI3215" s="1">
        <f ca="1">IFERROR(__xludf.DUMMYFUNCTION("IFERROR(GOOGLEFINANCE(B3215,""eps""),0)"),16.83)</f>
        <v>16.829999999999998</v>
      </c>
      <c r="AJ3215" s="1"/>
      <c r="AK3215" s="1" t="s">
        <v>9873</v>
      </c>
      <c r="AL3215" s="9">
        <f t="shared" si="310"/>
        <v>1</v>
      </c>
    </row>
    <row r="3216" spans="1:38" ht="15" x14ac:dyDescent="0.25">
      <c r="A3216" s="1" t="s">
        <v>9874</v>
      </c>
      <c r="B3216" s="1" t="s">
        <v>9875</v>
      </c>
      <c r="C3216" s="1" t="s">
        <v>106</v>
      </c>
      <c r="D3216" s="1" t="s">
        <v>106</v>
      </c>
      <c r="E3216" s="6">
        <v>46.92</v>
      </c>
      <c r="F3216" s="1" t="s">
        <v>53</v>
      </c>
      <c r="G3216" s="6">
        <f ca="1">IFERROR(__xludf.DUMMYFUNCTION("iferror(GOOGLEFINANCE(TRIM(F3216)&amp;"":"" &amp; TRIM(B3216), ""price""),0
)"),0)</f>
        <v>0</v>
      </c>
      <c r="H3216" s="6">
        <v>85.55</v>
      </c>
      <c r="I3216" s="6">
        <f t="shared" ca="1" si="0"/>
        <v>85.55</v>
      </c>
      <c r="J3216" s="6">
        <f ca="1">IFERROR(__xludf.DUMMYFUNCTION("IFERROR(GOOGLEFINANCE(B3216, ""volume""), 0)"),0)</f>
        <v>0</v>
      </c>
      <c r="K3216" s="6">
        <v>0</v>
      </c>
      <c r="L3216" s="6">
        <f ca="1">IFERROR(__xludf.DUMMYFUNCTION("IFERROR(GOOGLEFINANCE(B3216,""changepct""),K3216)"),0)</f>
        <v>0</v>
      </c>
      <c r="M3216" s="6">
        <f ca="1">IFERROR(__xludf.DUMMYFUNCTION("IFERROR(GOOGLEFINANCE(B3216,""change""),0)"),0)</f>
        <v>0</v>
      </c>
      <c r="N3216" s="6">
        <v>1</v>
      </c>
      <c r="O3216" s="7">
        <v>45536</v>
      </c>
      <c r="P3216" s="6">
        <v>14.24</v>
      </c>
      <c r="Q3216" s="6">
        <v>61.17</v>
      </c>
      <c r="R3216" s="7">
        <v>45536</v>
      </c>
      <c r="S3216" s="6">
        <v>57.88</v>
      </c>
      <c r="T3216" s="6">
        <v>2.77</v>
      </c>
      <c r="U3216" s="7">
        <v>45536</v>
      </c>
      <c r="V3216" s="6">
        <v>16.96</v>
      </c>
      <c r="W3216" s="6">
        <f ca="1">IFERROR(__xludf.DUMMYFUNCTION("IFERROR(GOOGLEFINANCE(B3216,""pe""),V3216)"),16.96)</f>
        <v>16.96</v>
      </c>
      <c r="X3216" s="6">
        <v>-9.32</v>
      </c>
      <c r="Y3216" s="6">
        <v>1.43</v>
      </c>
      <c r="Z3216" s="6">
        <v>1</v>
      </c>
      <c r="AA3216" s="8">
        <v>45352</v>
      </c>
      <c r="AB3216" s="4">
        <v>0.74</v>
      </c>
      <c r="AC3216" s="6">
        <v>6.47</v>
      </c>
      <c r="AD3216" s="6">
        <v>9.11</v>
      </c>
      <c r="AE3216" s="1">
        <v>0</v>
      </c>
      <c r="AF3216" s="1">
        <f ca="1">IFERROR(__xludf.DUMMYFUNCTION("IFERROR(GOOGLEFINANCE(TRIM(F3216)&amp;"":"" &amp; TRIM(B3216),""high52""),AE3216)"),0)</f>
        <v>0</v>
      </c>
      <c r="AG3216" s="1">
        <v>0</v>
      </c>
      <c r="AH3216" s="1">
        <f ca="1">IFERROR(__xludf.DUMMYFUNCTION("IFERROR(GOOGLEFINANCE(TRIM(F3216)&amp;"":"" &amp; TRIM(B3216),""low52""),AE3216)"),0)</f>
        <v>0</v>
      </c>
      <c r="AI3216" s="1">
        <f ca="1">IFERROR(__xludf.DUMMYFUNCTION("IFERROR(GOOGLEFINANCE(B3216,""eps""),0)"),0)</f>
        <v>0</v>
      </c>
      <c r="AJ3216" s="1"/>
      <c r="AK3216" s="1" t="s">
        <v>9876</v>
      </c>
      <c r="AL3216" s="9">
        <f t="shared" si="310"/>
        <v>1</v>
      </c>
    </row>
    <row r="3217" spans="1:38" ht="15" x14ac:dyDescent="0.25">
      <c r="A3217" s="1" t="s">
        <v>9877</v>
      </c>
      <c r="B3217" s="1" t="s">
        <v>9878</v>
      </c>
      <c r="C3217" s="1" t="s">
        <v>106</v>
      </c>
      <c r="D3217" s="1" t="s">
        <v>106</v>
      </c>
      <c r="E3217" s="6">
        <v>13.71</v>
      </c>
      <c r="F3217" s="1" t="s">
        <v>53</v>
      </c>
      <c r="G3217" s="6">
        <f ca="1">IFERROR(__xludf.DUMMYFUNCTION("iferror(GOOGLEFINANCE(TRIM(F3217)&amp;"":"" &amp; TRIM(B3217), ""price""),0
)"),0)</f>
        <v>0</v>
      </c>
      <c r="H3217" s="6">
        <v>32</v>
      </c>
      <c r="I3217" s="6">
        <f t="shared" ca="1" si="0"/>
        <v>32</v>
      </c>
      <c r="J3217" s="6">
        <f ca="1">IFERROR(__xludf.DUMMYFUNCTION("IFERROR(GOOGLEFINANCE(B3217, ""volume""), 0)"),0)</f>
        <v>0</v>
      </c>
      <c r="K3217" s="6">
        <v>4.58</v>
      </c>
      <c r="L3217" s="6">
        <f ca="1">IFERROR(__xludf.DUMMYFUNCTION("IFERROR(GOOGLEFINANCE(B3217,""changepct""),K3217)"),4.58)</f>
        <v>4.58</v>
      </c>
      <c r="M3217" s="6">
        <f ca="1">IFERROR(__xludf.DUMMYFUNCTION("IFERROR(GOOGLEFINANCE(B3217,""change""),0)"),0)</f>
        <v>0</v>
      </c>
      <c r="N3217" s="6">
        <v>1</v>
      </c>
      <c r="O3217" s="7">
        <v>45536</v>
      </c>
      <c r="P3217" s="9"/>
      <c r="Q3217" s="6">
        <v>13.71</v>
      </c>
      <c r="R3217" s="7">
        <v>45536</v>
      </c>
      <c r="S3217" s="6">
        <v>17.739999999999998</v>
      </c>
      <c r="T3217" s="6">
        <v>0.8</v>
      </c>
      <c r="U3217" s="7">
        <v>45536</v>
      </c>
      <c r="V3217" s="6">
        <v>17.100000000000001</v>
      </c>
      <c r="W3217" s="6">
        <f ca="1">IFERROR(__xludf.DUMMYFUNCTION("IFERROR(GOOGLEFINANCE(B3217,""pe""),V3217)"),17.1)</f>
        <v>17.100000000000001</v>
      </c>
      <c r="X3217" s="6">
        <v>-11.32</v>
      </c>
      <c r="Y3217" s="6">
        <v>4.13</v>
      </c>
      <c r="Z3217" s="6">
        <v>1</v>
      </c>
      <c r="AA3217" s="8">
        <v>45352</v>
      </c>
      <c r="AB3217" s="4">
        <v>0</v>
      </c>
      <c r="AC3217" s="6">
        <v>10.72</v>
      </c>
      <c r="AD3217" s="6">
        <v>19.53</v>
      </c>
      <c r="AE3217" s="1">
        <v>0</v>
      </c>
      <c r="AF3217" s="1">
        <f ca="1">IFERROR(__xludf.DUMMYFUNCTION("IFERROR(GOOGLEFINANCE(TRIM(F3217)&amp;"":"" &amp; TRIM(B3217),""high52""),AE3217)"),0)</f>
        <v>0</v>
      </c>
      <c r="AG3217" s="1">
        <v>0</v>
      </c>
      <c r="AH3217" s="1">
        <f ca="1">IFERROR(__xludf.DUMMYFUNCTION("IFERROR(GOOGLEFINANCE(TRIM(F3217)&amp;"":"" &amp; TRIM(B3217),""low52""),AE3217)"),0)</f>
        <v>0</v>
      </c>
      <c r="AI3217" s="1">
        <f ca="1">IFERROR(__xludf.DUMMYFUNCTION("IFERROR(GOOGLEFINANCE(B3217,""eps""),0)"),0)</f>
        <v>0</v>
      </c>
      <c r="AJ3217" s="1"/>
      <c r="AK3217" s="9"/>
      <c r="AL3217" s="9">
        <f t="shared" si="310"/>
        <v>1</v>
      </c>
    </row>
    <row r="3218" spans="1:38" ht="15" x14ac:dyDescent="0.25">
      <c r="A3218" s="1" t="s">
        <v>9879</v>
      </c>
      <c r="B3218" s="1" t="s">
        <v>9880</v>
      </c>
      <c r="C3218" s="1" t="s">
        <v>106</v>
      </c>
      <c r="D3218" s="1" t="s">
        <v>106</v>
      </c>
      <c r="E3218" s="6">
        <v>3640.32</v>
      </c>
      <c r="F3218" s="1" t="s">
        <v>40</v>
      </c>
      <c r="G3218" s="6">
        <f ca="1">IFERROR(__xludf.DUMMYFUNCTION("iferror(GOOGLEFINANCE(TRIM(F3218)&amp;"":"" &amp; TRIM(B3218), ""price""),0
)"),1985)</f>
        <v>1985</v>
      </c>
      <c r="H3218" s="6">
        <v>2235.5</v>
      </c>
      <c r="I3218" s="6">
        <f t="shared" ca="1" si="0"/>
        <v>1985</v>
      </c>
      <c r="J3218" s="6">
        <f ca="1">IFERROR(__xludf.DUMMYFUNCTION("IFERROR(GOOGLEFINANCE(B3218, ""volume""), 0)"),9505)</f>
        <v>9505</v>
      </c>
      <c r="K3218" s="6">
        <v>1.65</v>
      </c>
      <c r="L3218" s="6">
        <f ca="1">IFERROR(__xludf.DUMMYFUNCTION("IFERROR(GOOGLEFINANCE(B3218,""changepct""),K3218)"),0.18)</f>
        <v>0.18</v>
      </c>
      <c r="M3218" s="6">
        <f ca="1">IFERROR(__xludf.DUMMYFUNCTION("IFERROR(GOOGLEFINANCE(B3218,""change""),0)"),3.6)</f>
        <v>3.6</v>
      </c>
      <c r="N3218" s="6">
        <v>1</v>
      </c>
      <c r="O3218" s="7">
        <v>45536</v>
      </c>
      <c r="P3218" s="12"/>
      <c r="Q3218" s="6">
        <v>3606.29</v>
      </c>
      <c r="R3218" s="7">
        <v>45536</v>
      </c>
      <c r="S3218" s="6">
        <v>618.32000000000005</v>
      </c>
      <c r="T3218" s="6">
        <v>70.66</v>
      </c>
      <c r="U3218" s="7">
        <v>45536</v>
      </c>
      <c r="V3218" s="6">
        <v>51.52</v>
      </c>
      <c r="W3218" s="6">
        <f ca="1">IFERROR(__xludf.DUMMYFUNCTION("IFERROR(GOOGLEFINANCE(B3218,""pe""),V3218)"),16.2)</f>
        <v>16.2</v>
      </c>
      <c r="X3218" s="6">
        <v>0.99</v>
      </c>
      <c r="Y3218" s="6">
        <v>9.6</v>
      </c>
      <c r="Z3218" s="6">
        <v>1</v>
      </c>
      <c r="AA3218" s="8">
        <v>45352</v>
      </c>
      <c r="AB3218" s="4">
        <v>0</v>
      </c>
      <c r="AC3218" s="6">
        <v>25.69</v>
      </c>
      <c r="AD3218" s="6">
        <v>34.96</v>
      </c>
      <c r="AE3218" s="1">
        <v>0</v>
      </c>
      <c r="AF3218" s="1">
        <f ca="1">IFERROR(__xludf.DUMMYFUNCTION("IFERROR(GOOGLEFINANCE(TRIM(F3218)&amp;"":"" &amp; TRIM(B3218),""high52""),AE3218)"),2725)</f>
        <v>2725</v>
      </c>
      <c r="AG3218" s="1">
        <v>0</v>
      </c>
      <c r="AH3218" s="1">
        <f ca="1">IFERROR(__xludf.DUMMYFUNCTION("IFERROR(GOOGLEFINANCE(TRIM(F3218)&amp;"":"" &amp; TRIM(B3218),""low52""),AE3218)"),1835)</f>
        <v>1835</v>
      </c>
      <c r="AI3218" s="1">
        <f ca="1">IFERROR(__xludf.DUMMYFUNCTION("IFERROR(GOOGLEFINANCE(B3218,""eps""),0)"),122.51)</f>
        <v>122.51</v>
      </c>
      <c r="AJ3218" s="1"/>
      <c r="AK3218" s="1" t="s">
        <v>9881</v>
      </c>
      <c r="AL3218" s="9">
        <f t="shared" si="310"/>
        <v>1</v>
      </c>
    </row>
    <row r="3219" spans="1:38" ht="15" x14ac:dyDescent="0.25">
      <c r="A3219" s="1" t="s">
        <v>9882</v>
      </c>
      <c r="B3219" s="1" t="s">
        <v>9883</v>
      </c>
      <c r="C3219" s="1" t="s">
        <v>57</v>
      </c>
      <c r="D3219" s="1" t="s">
        <v>57</v>
      </c>
      <c r="E3219" s="6">
        <v>3905.52</v>
      </c>
      <c r="F3219" s="1" t="s">
        <v>40</v>
      </c>
      <c r="G3219" s="6">
        <f ca="1">IFERROR(__xludf.DUMMYFUNCTION("iferror(GOOGLEFINANCE(TRIM(F3219)&amp;"":"" &amp; TRIM(B3219), ""price""),0
)"),710)</f>
        <v>710</v>
      </c>
      <c r="H3219" s="6">
        <v>1189.7</v>
      </c>
      <c r="I3219" s="6">
        <f t="shared" ca="1" si="0"/>
        <v>710</v>
      </c>
      <c r="J3219" s="6">
        <f ca="1">IFERROR(__xludf.DUMMYFUNCTION("IFERROR(GOOGLEFINANCE(B3219, ""volume""), 0)"),28346)</f>
        <v>28346</v>
      </c>
      <c r="K3219" s="6">
        <v>0.78</v>
      </c>
      <c r="L3219" s="6">
        <f ca="1">IFERROR(__xludf.DUMMYFUNCTION("IFERROR(GOOGLEFINANCE(B3219,""changepct""),K3219)"),0.93)</f>
        <v>0.93</v>
      </c>
      <c r="M3219" s="6">
        <f ca="1">IFERROR(__xludf.DUMMYFUNCTION("IFERROR(GOOGLEFINANCE(B3219,""change""),0)"),6.55)</f>
        <v>6.55</v>
      </c>
      <c r="N3219" s="6">
        <v>2</v>
      </c>
      <c r="O3219" s="7">
        <v>45536</v>
      </c>
      <c r="P3219" s="6">
        <v>4092.85</v>
      </c>
      <c r="Q3219" s="6">
        <v>7092.78</v>
      </c>
      <c r="R3219" s="7">
        <v>45536</v>
      </c>
      <c r="S3219" s="6">
        <v>8548.42</v>
      </c>
      <c r="T3219" s="6">
        <v>50.22</v>
      </c>
      <c r="U3219" s="7">
        <v>45536</v>
      </c>
      <c r="V3219" s="6">
        <v>0</v>
      </c>
      <c r="W3219" s="6">
        <f ca="1">IFERROR(__xludf.DUMMYFUNCTION("IFERROR(GOOGLEFINANCE(B3219,""pe""),V3219)"),0)</f>
        <v>0</v>
      </c>
      <c r="X3219" s="9"/>
      <c r="Y3219" s="6">
        <v>1.48</v>
      </c>
      <c r="Z3219" s="6">
        <v>2</v>
      </c>
      <c r="AA3219" s="8">
        <v>45352</v>
      </c>
      <c r="AB3219" s="4">
        <v>1.24</v>
      </c>
      <c r="AC3219" s="6">
        <v>7.86</v>
      </c>
      <c r="AD3219" s="6">
        <v>18.28</v>
      </c>
      <c r="AE3219" s="1">
        <v>0</v>
      </c>
      <c r="AF3219" s="1">
        <f ca="1">IFERROR(__xludf.DUMMYFUNCTION("IFERROR(GOOGLEFINANCE(TRIM(F3219)&amp;"":"" &amp; TRIM(B3219),""high52""),AE3219)"),1027)</f>
        <v>1027</v>
      </c>
      <c r="AG3219" s="1">
        <v>0</v>
      </c>
      <c r="AH3219" s="1">
        <f ca="1">IFERROR(__xludf.DUMMYFUNCTION("IFERROR(GOOGLEFINANCE(TRIM(F3219)&amp;"":"" &amp; TRIM(B3219),""low52""),AE3219)"),652.75)</f>
        <v>652.75</v>
      </c>
      <c r="AI3219" s="1">
        <f ca="1">IFERROR(__xludf.DUMMYFUNCTION("IFERROR(GOOGLEFINANCE(B3219,""eps""),0)"),-12.7)</f>
        <v>-12.7</v>
      </c>
      <c r="AJ3219" s="1"/>
      <c r="AK3219" s="1" t="s">
        <v>9884</v>
      </c>
      <c r="AL3219" s="9">
        <f t="shared" si="310"/>
        <v>1</v>
      </c>
    </row>
    <row r="3220" spans="1:38" ht="15" x14ac:dyDescent="0.25">
      <c r="A3220" s="1" t="s">
        <v>9885</v>
      </c>
      <c r="B3220" s="1" t="s">
        <v>9886</v>
      </c>
      <c r="C3220" s="1" t="s">
        <v>106</v>
      </c>
      <c r="D3220" s="1" t="s">
        <v>106</v>
      </c>
      <c r="E3220" s="6">
        <v>41.02</v>
      </c>
      <c r="F3220" s="1" t="s">
        <v>53</v>
      </c>
      <c r="G3220" s="6">
        <f ca="1">IFERROR(__xludf.DUMMYFUNCTION("iferror(GOOGLEFINANCE(TRIM(F3220)&amp;"":"" &amp; TRIM(B3220), ""price""),0
)"),0)</f>
        <v>0</v>
      </c>
      <c r="H3220" s="6">
        <v>19.7</v>
      </c>
      <c r="I3220" s="6">
        <f t="shared" ca="1" si="0"/>
        <v>19.7</v>
      </c>
      <c r="J3220" s="6">
        <f ca="1">IFERROR(__xludf.DUMMYFUNCTION("IFERROR(GOOGLEFINANCE(B3220, ""volume""), 0)"),0)</f>
        <v>0</v>
      </c>
      <c r="K3220" s="6">
        <v>-3.95</v>
      </c>
      <c r="L3220" s="6">
        <f ca="1">IFERROR(__xludf.DUMMYFUNCTION("IFERROR(GOOGLEFINANCE(B3220,""changepct""),K3220)"),-3.95)</f>
        <v>-3.95</v>
      </c>
      <c r="M3220" s="6">
        <f ca="1">IFERROR(__xludf.DUMMYFUNCTION("IFERROR(GOOGLEFINANCE(B3220,""change""),0)"),0)</f>
        <v>0</v>
      </c>
      <c r="N3220" s="6">
        <v>1</v>
      </c>
      <c r="O3220" s="7">
        <v>45536</v>
      </c>
      <c r="P3220" s="12"/>
      <c r="Q3220" s="6">
        <v>41.02</v>
      </c>
      <c r="R3220" s="7">
        <v>45536</v>
      </c>
      <c r="S3220" s="6">
        <v>13.45</v>
      </c>
      <c r="T3220" s="6">
        <v>0.06</v>
      </c>
      <c r="U3220" s="7">
        <v>45536</v>
      </c>
      <c r="V3220" s="6">
        <v>719.59</v>
      </c>
      <c r="W3220" s="6">
        <f ca="1">IFERROR(__xludf.DUMMYFUNCTION("IFERROR(GOOGLEFINANCE(B3220,""pe""),V3220)"),719.59)</f>
        <v>719.59</v>
      </c>
      <c r="X3220" s="6">
        <v>34.65</v>
      </c>
      <c r="Y3220" s="6">
        <v>1.84</v>
      </c>
      <c r="Z3220" s="6">
        <v>1</v>
      </c>
      <c r="AA3220" s="8">
        <v>45352</v>
      </c>
      <c r="AB3220" s="4">
        <v>0</v>
      </c>
      <c r="AC3220" s="6">
        <v>1.88</v>
      </c>
      <c r="AD3220" s="6">
        <v>5.96</v>
      </c>
      <c r="AE3220" s="1">
        <v>0</v>
      </c>
      <c r="AF3220" s="1">
        <f ca="1">IFERROR(__xludf.DUMMYFUNCTION("IFERROR(GOOGLEFINANCE(TRIM(F3220)&amp;"":"" &amp; TRIM(B3220),""high52""),AE3220)"),0)</f>
        <v>0</v>
      </c>
      <c r="AG3220" s="1">
        <v>0</v>
      </c>
      <c r="AH3220" s="1">
        <f ca="1">IFERROR(__xludf.DUMMYFUNCTION("IFERROR(GOOGLEFINANCE(TRIM(F3220)&amp;"":"" &amp; TRIM(B3220),""low52""),AE3220)"),0)</f>
        <v>0</v>
      </c>
      <c r="AI3220" s="1">
        <f ca="1">IFERROR(__xludf.DUMMYFUNCTION("IFERROR(GOOGLEFINANCE(B3220,""eps""),0)"),0)</f>
        <v>0</v>
      </c>
      <c r="AJ3220" s="1"/>
      <c r="AK3220" s="1" t="s">
        <v>9887</v>
      </c>
      <c r="AL3220" s="9">
        <f t="shared" si="310"/>
        <v>1</v>
      </c>
    </row>
    <row r="3221" spans="1:38" ht="15" x14ac:dyDescent="0.25">
      <c r="A3221" s="1" t="s">
        <v>9888</v>
      </c>
      <c r="B3221" s="1" t="s">
        <v>9889</v>
      </c>
      <c r="C3221" s="1" t="s">
        <v>106</v>
      </c>
      <c r="D3221" s="1" t="s">
        <v>106</v>
      </c>
      <c r="E3221" s="6">
        <v>10.119999999999999</v>
      </c>
      <c r="F3221" s="1" t="s">
        <v>53</v>
      </c>
      <c r="G3221" s="6">
        <f ca="1">IFERROR(__xludf.DUMMYFUNCTION("iferror(GOOGLEFINANCE(TRIM(F3221)&amp;"":"" &amp; TRIM(B3221), ""price""),0
)"),0)</f>
        <v>0</v>
      </c>
      <c r="H3221" s="6">
        <v>19.690000000000001</v>
      </c>
      <c r="I3221" s="6">
        <f t="shared" ca="1" si="0"/>
        <v>19.690000000000001</v>
      </c>
      <c r="J3221" s="6">
        <f ca="1">IFERROR(__xludf.DUMMYFUNCTION("IFERROR(GOOGLEFINANCE(B3221, ""volume""), 0)"),0)</f>
        <v>0</v>
      </c>
      <c r="K3221" s="6">
        <v>1.97</v>
      </c>
      <c r="L3221" s="6">
        <f ca="1">IFERROR(__xludf.DUMMYFUNCTION("IFERROR(GOOGLEFINANCE(B3221,""changepct""),K3221)"),1.97)</f>
        <v>1.97</v>
      </c>
      <c r="M3221" s="6">
        <f ca="1">IFERROR(__xludf.DUMMYFUNCTION("IFERROR(GOOGLEFINANCE(B3221,""change""),0)"),0)</f>
        <v>0</v>
      </c>
      <c r="N3221" s="6">
        <v>1</v>
      </c>
      <c r="O3221" s="7">
        <v>45536</v>
      </c>
      <c r="P3221" s="6">
        <v>0.35</v>
      </c>
      <c r="Q3221" s="6">
        <v>10.47</v>
      </c>
      <c r="R3221" s="7">
        <v>45536</v>
      </c>
      <c r="S3221" s="6">
        <v>0.28000000000000003</v>
      </c>
      <c r="T3221" s="6">
        <v>-0.22</v>
      </c>
      <c r="U3221" s="7">
        <v>45536</v>
      </c>
      <c r="V3221" s="6">
        <v>0</v>
      </c>
      <c r="W3221" s="6">
        <f ca="1">IFERROR(__xludf.DUMMYFUNCTION("IFERROR(GOOGLEFINANCE(B3221,""pe""),V3221)"),0)</f>
        <v>0</v>
      </c>
      <c r="X3221" s="6">
        <v>0</v>
      </c>
      <c r="Y3221" s="6">
        <v>-10.71</v>
      </c>
      <c r="Z3221" s="6">
        <v>1</v>
      </c>
      <c r="AA3221" s="8">
        <v>45352</v>
      </c>
      <c r="AB3221" s="4">
        <v>-0.54</v>
      </c>
      <c r="AC3221" s="6">
        <v>0</v>
      </c>
      <c r="AD3221" s="6">
        <v>0</v>
      </c>
      <c r="AE3221" s="1">
        <v>0</v>
      </c>
      <c r="AF3221" s="1">
        <f ca="1">IFERROR(__xludf.DUMMYFUNCTION("IFERROR(GOOGLEFINANCE(TRIM(F3221)&amp;"":"" &amp; TRIM(B3221),""high52""),AE3221)"),0)</f>
        <v>0</v>
      </c>
      <c r="AG3221" s="1">
        <v>0</v>
      </c>
      <c r="AH3221" s="1">
        <f ca="1">IFERROR(__xludf.DUMMYFUNCTION("IFERROR(GOOGLEFINANCE(TRIM(F3221)&amp;"":"" &amp; TRIM(B3221),""low52""),AE3221)"),0)</f>
        <v>0</v>
      </c>
      <c r="AI3221" s="1">
        <f ca="1">IFERROR(__xludf.DUMMYFUNCTION("IFERROR(GOOGLEFINANCE(B3221,""eps""),0)"),0)</f>
        <v>0</v>
      </c>
      <c r="AJ3221" s="1"/>
      <c r="AK3221" s="1" t="s">
        <v>9890</v>
      </c>
      <c r="AL3221" s="9">
        <f t="shared" si="310"/>
        <v>1</v>
      </c>
    </row>
    <row r="3222" spans="1:38" ht="15" x14ac:dyDescent="0.25">
      <c r="A3222" s="1" t="s">
        <v>9891</v>
      </c>
      <c r="B3222" s="1" t="s">
        <v>9892</v>
      </c>
      <c r="C3222" s="1" t="s">
        <v>577</v>
      </c>
      <c r="D3222" s="1" t="s">
        <v>577</v>
      </c>
      <c r="E3222" s="6">
        <v>16130.35</v>
      </c>
      <c r="F3222" s="1" t="s">
        <v>40</v>
      </c>
      <c r="G3222" s="6">
        <f ca="1">IFERROR(__xludf.DUMMYFUNCTION("iferror(GOOGLEFINANCE(TRIM(F3222)&amp;"":"" &amp; TRIM(B3222), ""price""),0
)"),1359.6)</f>
        <v>1359.6</v>
      </c>
      <c r="H3222" s="6">
        <v>1438.6</v>
      </c>
      <c r="I3222" s="6">
        <f t="shared" ca="1" si="0"/>
        <v>1359.6</v>
      </c>
      <c r="J3222" s="6">
        <f ca="1">IFERROR(__xludf.DUMMYFUNCTION("IFERROR(GOOGLEFINANCE(B3222, ""volume""), 0)"),266253)</f>
        <v>266253</v>
      </c>
      <c r="K3222" s="6">
        <v>0.99</v>
      </c>
      <c r="L3222" s="6">
        <f ca="1">IFERROR(__xludf.DUMMYFUNCTION("IFERROR(GOOGLEFINANCE(B3222,""changepct""),K3222)"),-1.25)</f>
        <v>-1.25</v>
      </c>
      <c r="M3222" s="6">
        <f ca="1">IFERROR(__xludf.DUMMYFUNCTION("IFERROR(GOOGLEFINANCE(B3222,""change""),0)"),-17.2)</f>
        <v>-17.2</v>
      </c>
      <c r="N3222" s="6">
        <v>2</v>
      </c>
      <c r="O3222" s="7">
        <v>45536</v>
      </c>
      <c r="P3222" s="6">
        <v>407.99</v>
      </c>
      <c r="Q3222" s="6">
        <v>16489.13</v>
      </c>
      <c r="R3222" s="7">
        <v>45536</v>
      </c>
      <c r="S3222" s="6">
        <v>7005.83</v>
      </c>
      <c r="T3222" s="6">
        <v>263.04000000000002</v>
      </c>
      <c r="U3222" s="7">
        <v>45536</v>
      </c>
      <c r="V3222" s="6">
        <v>61.19</v>
      </c>
      <c r="W3222" s="6">
        <f ca="1">IFERROR(__xludf.DUMMYFUNCTION("IFERROR(GOOGLEFINANCE(B3222,""pe""),V3222)"),38.09)</f>
        <v>38.090000000000003</v>
      </c>
      <c r="X3222" s="9"/>
      <c r="Y3222" s="6">
        <v>8.0299999999999994</v>
      </c>
      <c r="Z3222" s="6">
        <v>2</v>
      </c>
      <c r="AA3222" s="8">
        <v>45352</v>
      </c>
      <c r="AB3222" s="4">
        <v>0.16</v>
      </c>
      <c r="AC3222" s="6">
        <v>21.07</v>
      </c>
      <c r="AD3222" s="6">
        <v>22.72</v>
      </c>
      <c r="AE3222" s="1">
        <v>0</v>
      </c>
      <c r="AF3222" s="1">
        <f ca="1">IFERROR(__xludf.DUMMYFUNCTION("IFERROR(GOOGLEFINANCE(TRIM(F3222)&amp;"":"" &amp; TRIM(B3222),""high52""),AE3222)"),1562.6)</f>
        <v>1562.6</v>
      </c>
      <c r="AG3222" s="1">
        <v>0</v>
      </c>
      <c r="AH3222" s="1">
        <f ca="1">IFERROR(__xludf.DUMMYFUNCTION("IFERROR(GOOGLEFINANCE(TRIM(F3222)&amp;"":"" &amp; TRIM(B3222),""low52""),AE3222)"),853.55)</f>
        <v>853.55</v>
      </c>
      <c r="AI3222" s="1">
        <f ca="1">IFERROR(__xludf.DUMMYFUNCTION("IFERROR(GOOGLEFINANCE(B3222,""eps""),0)"),35.69)</f>
        <v>35.69</v>
      </c>
      <c r="AJ3222" s="1"/>
      <c r="AK3222" s="1" t="s">
        <v>9893</v>
      </c>
      <c r="AL3222" s="1" t="b">
        <f>ISNUMBER(AA3222)</f>
        <v>1</v>
      </c>
    </row>
    <row r="3223" spans="1:38" ht="15" x14ac:dyDescent="0.25">
      <c r="A3223" s="1" t="s">
        <v>9894</v>
      </c>
      <c r="B3223" s="1" t="s">
        <v>9895</v>
      </c>
      <c r="C3223" s="1" t="s">
        <v>57</v>
      </c>
      <c r="D3223" s="1" t="s">
        <v>57</v>
      </c>
      <c r="E3223" s="6">
        <v>571.52</v>
      </c>
      <c r="F3223" s="1" t="s">
        <v>40</v>
      </c>
      <c r="G3223" s="6">
        <f ca="1">IFERROR(__xludf.DUMMYFUNCTION("iferror(GOOGLEFINANCE(TRIM(F3223)&amp;"":"" &amp; TRIM(B3223), ""price""),0
)"),35)</f>
        <v>35</v>
      </c>
      <c r="H3223" s="6">
        <v>221.5</v>
      </c>
      <c r="I3223" s="6">
        <f t="shared" ca="1" si="0"/>
        <v>35</v>
      </c>
      <c r="J3223" s="6">
        <f ca="1">IFERROR(__xludf.DUMMYFUNCTION("IFERROR(GOOGLEFINANCE(B3223, ""volume""), 0)"),60438)</f>
        <v>60438</v>
      </c>
      <c r="K3223" s="6">
        <v>0</v>
      </c>
      <c r="L3223" s="6">
        <f ca="1">IFERROR(__xludf.DUMMYFUNCTION("IFERROR(GOOGLEFINANCE(B3223,""changepct""),K3223)"),-7.43)</f>
        <v>-7.43</v>
      </c>
      <c r="M3223" s="6">
        <f ca="1">IFERROR(__xludf.DUMMYFUNCTION("IFERROR(GOOGLEFINANCE(B3223,""change""),0)"),-2.81)</f>
        <v>-2.81</v>
      </c>
      <c r="N3223" s="6">
        <v>2</v>
      </c>
      <c r="O3223" s="7">
        <v>45536</v>
      </c>
      <c r="P3223" s="12"/>
      <c r="Q3223" s="6">
        <v>571.52</v>
      </c>
      <c r="R3223" s="7">
        <v>45536</v>
      </c>
      <c r="S3223" s="6">
        <v>73.489999999999995</v>
      </c>
      <c r="T3223" s="6">
        <v>25.09</v>
      </c>
      <c r="U3223" s="7">
        <v>45536</v>
      </c>
      <c r="V3223" s="6">
        <v>23.58</v>
      </c>
      <c r="W3223" s="6">
        <f ca="1">IFERROR(__xludf.DUMMYFUNCTION("IFERROR(GOOGLEFINANCE(B3223,""pe""),V3223)"),23.58)</f>
        <v>23.58</v>
      </c>
      <c r="X3223" s="6">
        <v>1.0900000000000001</v>
      </c>
      <c r="Y3223" s="6">
        <v>9.9</v>
      </c>
      <c r="Z3223" s="6">
        <v>2</v>
      </c>
      <c r="AA3223" s="8">
        <v>45352</v>
      </c>
      <c r="AB3223" s="4">
        <v>0</v>
      </c>
      <c r="AC3223" s="6">
        <v>46.39</v>
      </c>
      <c r="AD3223" s="6">
        <v>47.01</v>
      </c>
      <c r="AE3223" s="1">
        <v>0</v>
      </c>
      <c r="AF3223" s="1">
        <f ca="1">IFERROR(__xludf.DUMMYFUNCTION("IFERROR(GOOGLEFINANCE(TRIM(F3223)&amp;"":"" &amp; TRIM(B3223),""high52""),AE3223)"),144.22)</f>
        <v>144.22</v>
      </c>
      <c r="AG3223" s="1">
        <v>0</v>
      </c>
      <c r="AH3223" s="1">
        <f ca="1">IFERROR(__xludf.DUMMYFUNCTION("IFERROR(GOOGLEFINANCE(TRIM(F3223)&amp;"":"" &amp; TRIM(B3223),""low52""),AE3223)"),35)</f>
        <v>35</v>
      </c>
      <c r="AI3223" s="1">
        <f ca="1">IFERROR(__xludf.DUMMYFUNCTION("IFERROR(GOOGLEFINANCE(B3223,""eps""),0)"),-8)</f>
        <v>-8</v>
      </c>
      <c r="AJ3223" s="1"/>
      <c r="AK3223" s="1" t="s">
        <v>9896</v>
      </c>
      <c r="AL3223" s="9">
        <f t="shared" ref="AL3223:AL3251" si="311">IF(AA3223&lt;&gt;AB3223,1,0)</f>
        <v>1</v>
      </c>
    </row>
    <row r="3224" spans="1:38" ht="15" x14ac:dyDescent="0.25">
      <c r="A3224" s="1" t="s">
        <v>9897</v>
      </c>
      <c r="B3224" s="1" t="s">
        <v>9898</v>
      </c>
      <c r="C3224" s="1" t="s">
        <v>106</v>
      </c>
      <c r="D3224" s="1" t="s">
        <v>106</v>
      </c>
      <c r="E3224" s="6">
        <v>69.83</v>
      </c>
      <c r="F3224" s="1" t="s">
        <v>53</v>
      </c>
      <c r="G3224" s="6">
        <f ca="1">IFERROR(__xludf.DUMMYFUNCTION("iferror(GOOGLEFINANCE(TRIM(F3224)&amp;"":"" &amp; TRIM(B3224), ""price""),0
)"),0)</f>
        <v>0</v>
      </c>
      <c r="H3224" s="6">
        <v>11.45</v>
      </c>
      <c r="I3224" s="6">
        <f t="shared" ca="1" si="0"/>
        <v>11.45</v>
      </c>
      <c r="J3224" s="6">
        <f ca="1">IFERROR(__xludf.DUMMYFUNCTION("IFERROR(GOOGLEFINANCE(B3224, ""volume""), 0)"),0)</f>
        <v>0</v>
      </c>
      <c r="K3224" s="6">
        <v>-4.58</v>
      </c>
      <c r="L3224" s="6">
        <f ca="1">IFERROR(__xludf.DUMMYFUNCTION("IFERROR(GOOGLEFINANCE(B3224,""changepct""),K3224)"),-4.58)</f>
        <v>-4.58</v>
      </c>
      <c r="M3224" s="6">
        <f ca="1">IFERROR(__xludf.DUMMYFUNCTION("IFERROR(GOOGLEFINANCE(B3224,""change""),0)"),0)</f>
        <v>0</v>
      </c>
      <c r="N3224" s="6">
        <v>1</v>
      </c>
      <c r="O3224" s="7">
        <v>45536</v>
      </c>
      <c r="P3224" s="6">
        <v>6.85</v>
      </c>
      <c r="Q3224" s="6">
        <v>76.680000000000007</v>
      </c>
      <c r="R3224" s="7">
        <v>45536</v>
      </c>
      <c r="S3224" s="6">
        <v>9.1300000000000008</v>
      </c>
      <c r="T3224" s="6">
        <v>-3.37</v>
      </c>
      <c r="U3224" s="7">
        <v>45536</v>
      </c>
      <c r="V3224" s="6">
        <v>0</v>
      </c>
      <c r="W3224" s="6">
        <f ca="1">IFERROR(__xludf.DUMMYFUNCTION("IFERROR(GOOGLEFINANCE(B3224,""pe""),V3224)"),0)</f>
        <v>0</v>
      </c>
      <c r="X3224" s="9"/>
      <c r="Y3224" s="6">
        <v>1.47</v>
      </c>
      <c r="Z3224" s="6">
        <v>1</v>
      </c>
      <c r="AA3224" s="8">
        <v>45352</v>
      </c>
      <c r="AB3224" s="4">
        <v>0.22</v>
      </c>
      <c r="AC3224" s="6">
        <v>-13.63</v>
      </c>
      <c r="AD3224" s="6">
        <v>-8.2799999999999994</v>
      </c>
      <c r="AE3224" s="1">
        <v>0</v>
      </c>
      <c r="AF3224" s="1">
        <f ca="1">IFERROR(__xludf.DUMMYFUNCTION("IFERROR(GOOGLEFINANCE(TRIM(F3224)&amp;"":"" &amp; TRIM(B3224),""high52""),AE3224)"),0)</f>
        <v>0</v>
      </c>
      <c r="AG3224" s="1">
        <v>0</v>
      </c>
      <c r="AH3224" s="1">
        <f ca="1">IFERROR(__xludf.DUMMYFUNCTION("IFERROR(GOOGLEFINANCE(TRIM(F3224)&amp;"":"" &amp; TRIM(B3224),""low52""),AE3224)"),0)</f>
        <v>0</v>
      </c>
      <c r="AI3224" s="1">
        <f ca="1">IFERROR(__xludf.DUMMYFUNCTION("IFERROR(GOOGLEFINANCE(B3224,""eps""),0)"),0)</f>
        <v>0</v>
      </c>
      <c r="AJ3224" s="1"/>
      <c r="AK3224" s="1" t="s">
        <v>9899</v>
      </c>
      <c r="AL3224" s="9">
        <f t="shared" si="311"/>
        <v>1</v>
      </c>
    </row>
    <row r="3225" spans="1:38" ht="15" x14ac:dyDescent="0.25">
      <c r="A3225" s="1" t="s">
        <v>9900</v>
      </c>
      <c r="B3225" s="1" t="s">
        <v>9901</v>
      </c>
      <c r="C3225" s="1" t="s">
        <v>106</v>
      </c>
      <c r="D3225" s="1" t="s">
        <v>106</v>
      </c>
      <c r="E3225" s="6">
        <v>60.58</v>
      </c>
      <c r="F3225" s="1" t="s">
        <v>53</v>
      </c>
      <c r="G3225" s="6">
        <f ca="1">IFERROR(__xludf.DUMMYFUNCTION("iferror(GOOGLEFINANCE(TRIM(F3225)&amp;"":"" &amp; TRIM(B3225), ""price""),0
)"),0)</f>
        <v>0</v>
      </c>
      <c r="H3225" s="6">
        <v>38.950000000000003</v>
      </c>
      <c r="I3225" s="6">
        <f t="shared" ca="1" si="0"/>
        <v>38.950000000000003</v>
      </c>
      <c r="J3225" s="6">
        <f ca="1">IFERROR(__xludf.DUMMYFUNCTION("IFERROR(GOOGLEFINANCE(B3225, ""volume""), 0)"),0)</f>
        <v>0</v>
      </c>
      <c r="K3225" s="6">
        <v>3.7</v>
      </c>
      <c r="L3225" s="6">
        <f ca="1">IFERROR(__xludf.DUMMYFUNCTION("IFERROR(GOOGLEFINANCE(B3225,""changepct""),K3225)"),3.7)</f>
        <v>3.7</v>
      </c>
      <c r="M3225" s="6">
        <f ca="1">IFERROR(__xludf.DUMMYFUNCTION("IFERROR(GOOGLEFINANCE(B3225,""change""),0)"),0)</f>
        <v>0</v>
      </c>
      <c r="N3225" s="6">
        <v>2</v>
      </c>
      <c r="O3225" s="7">
        <v>45536</v>
      </c>
      <c r="P3225" s="6">
        <v>57.88</v>
      </c>
      <c r="Q3225" s="6">
        <v>118.46</v>
      </c>
      <c r="R3225" s="7">
        <v>45536</v>
      </c>
      <c r="S3225" s="6">
        <v>46.78</v>
      </c>
      <c r="T3225" s="6">
        <v>7.46</v>
      </c>
      <c r="U3225" s="7">
        <v>45536</v>
      </c>
      <c r="V3225" s="6">
        <v>8.1199999999999992</v>
      </c>
      <c r="W3225" s="6">
        <f ca="1">IFERROR(__xludf.DUMMYFUNCTION("IFERROR(GOOGLEFINANCE(B3225,""pe""),V3225)"),8.12)</f>
        <v>8.1199999999999992</v>
      </c>
      <c r="X3225" s="6">
        <v>-0.45</v>
      </c>
      <c r="Y3225" s="6">
        <v>1</v>
      </c>
      <c r="Z3225" s="6">
        <v>2</v>
      </c>
      <c r="AA3225" s="8">
        <v>45352</v>
      </c>
      <c r="AB3225" s="4">
        <v>1.35</v>
      </c>
      <c r="AC3225" s="6">
        <v>4.79</v>
      </c>
      <c r="AD3225" s="6">
        <v>9.9700000000000006</v>
      </c>
      <c r="AE3225" s="1">
        <v>0</v>
      </c>
      <c r="AF3225" s="1">
        <f ca="1">IFERROR(__xludf.DUMMYFUNCTION("IFERROR(GOOGLEFINANCE(TRIM(F3225)&amp;"":"" &amp; TRIM(B3225),""high52""),AE3225)"),0)</f>
        <v>0</v>
      </c>
      <c r="AG3225" s="1">
        <v>0</v>
      </c>
      <c r="AH3225" s="1">
        <f ca="1">IFERROR(__xludf.DUMMYFUNCTION("IFERROR(GOOGLEFINANCE(TRIM(F3225)&amp;"":"" &amp; TRIM(B3225),""low52""),AE3225)"),0)</f>
        <v>0</v>
      </c>
      <c r="AI3225" s="1">
        <f ca="1">IFERROR(__xludf.DUMMYFUNCTION("IFERROR(GOOGLEFINANCE(B3225,""eps""),0)"),0)</f>
        <v>0</v>
      </c>
      <c r="AJ3225" s="1"/>
      <c r="AK3225" s="1" t="s">
        <v>9902</v>
      </c>
      <c r="AL3225" s="9">
        <f t="shared" si="311"/>
        <v>1</v>
      </c>
    </row>
    <row r="3226" spans="1:38" ht="15" x14ac:dyDescent="0.25">
      <c r="A3226" s="1" t="s">
        <v>9903</v>
      </c>
      <c r="B3226" s="1" t="s">
        <v>9904</v>
      </c>
      <c r="C3226" s="1" t="s">
        <v>186</v>
      </c>
      <c r="D3226" s="1" t="s">
        <v>186</v>
      </c>
      <c r="E3226" s="6">
        <v>910.95</v>
      </c>
      <c r="F3226" s="1" t="s">
        <v>40</v>
      </c>
      <c r="G3226" s="6">
        <f ca="1">IFERROR(__xludf.DUMMYFUNCTION("iferror(GOOGLEFINANCE(TRIM(F3226)&amp;"":"" &amp; TRIM(B3226), ""price""),0
)"),136.05)</f>
        <v>136.05000000000001</v>
      </c>
      <c r="H3226" s="6">
        <v>195.8</v>
      </c>
      <c r="I3226" s="6">
        <f t="shared" ca="1" si="0"/>
        <v>136.05000000000001</v>
      </c>
      <c r="J3226" s="6">
        <f ca="1">IFERROR(__xludf.DUMMYFUNCTION("IFERROR(GOOGLEFINANCE(B3226, ""volume""), 0)"),42995)</f>
        <v>42995</v>
      </c>
      <c r="K3226" s="6">
        <v>1.41</v>
      </c>
      <c r="L3226" s="6">
        <f ca="1">IFERROR(__xludf.DUMMYFUNCTION("IFERROR(GOOGLEFINANCE(B3226,""changepct""),K3226)"),-3.29)</f>
        <v>-3.29</v>
      </c>
      <c r="M3226" s="6">
        <f ca="1">IFERROR(__xludf.DUMMYFUNCTION("IFERROR(GOOGLEFINANCE(B3226,""change""),0)"),-4.63)</f>
        <v>-4.63</v>
      </c>
      <c r="N3226" s="6">
        <v>2</v>
      </c>
      <c r="O3226" s="7">
        <v>45536</v>
      </c>
      <c r="P3226" s="6">
        <v>1725.15</v>
      </c>
      <c r="Q3226" s="6">
        <v>2618.77</v>
      </c>
      <c r="R3226" s="7">
        <v>45536</v>
      </c>
      <c r="S3226" s="6">
        <v>4522.74</v>
      </c>
      <c r="T3226" s="6">
        <v>-32.11</v>
      </c>
      <c r="U3226" s="7">
        <v>45536</v>
      </c>
      <c r="V3226" s="6">
        <v>0</v>
      </c>
      <c r="W3226" s="6">
        <f ca="1">IFERROR(__xludf.DUMMYFUNCTION("IFERROR(GOOGLEFINANCE(B3226,""pe""),V3226)"),79.32)</f>
        <v>79.319999999999993</v>
      </c>
      <c r="X3226" s="9"/>
      <c r="Y3226" s="6">
        <v>0.71</v>
      </c>
      <c r="Z3226" s="6">
        <v>2</v>
      </c>
      <c r="AA3226" s="8">
        <v>45352</v>
      </c>
      <c r="AB3226" s="4">
        <v>1.45</v>
      </c>
      <c r="AC3226" s="6">
        <v>-1.61</v>
      </c>
      <c r="AD3226" s="6">
        <v>2.4300000000000002</v>
      </c>
      <c r="AE3226" s="1">
        <v>0</v>
      </c>
      <c r="AF3226" s="1">
        <f ca="1">IFERROR(__xludf.DUMMYFUNCTION("IFERROR(GOOGLEFINANCE(TRIM(F3226)&amp;"":"" &amp; TRIM(B3226),""high52""),AE3226)"),191.49)</f>
        <v>191.49</v>
      </c>
      <c r="AG3226" s="1">
        <v>0</v>
      </c>
      <c r="AH3226" s="1">
        <f ca="1">IFERROR(__xludf.DUMMYFUNCTION("IFERROR(GOOGLEFINANCE(TRIM(F3226)&amp;"":"" &amp; TRIM(B3226),""low52""),AE3226)"),126.05)</f>
        <v>126.05</v>
      </c>
      <c r="AI3226" s="1">
        <f ca="1">IFERROR(__xludf.DUMMYFUNCTION("IFERROR(GOOGLEFINANCE(B3226,""eps""),0)"),1.72)</f>
        <v>1.72</v>
      </c>
      <c r="AJ3226" s="1"/>
      <c r="AK3226" s="1" t="s">
        <v>9905</v>
      </c>
      <c r="AL3226" s="9">
        <f t="shared" si="311"/>
        <v>1</v>
      </c>
    </row>
    <row r="3227" spans="1:38" ht="15" x14ac:dyDescent="0.25">
      <c r="A3227" s="1" t="s">
        <v>9906</v>
      </c>
      <c r="B3227" s="1" t="s">
        <v>9907</v>
      </c>
      <c r="C3227" s="1" t="s">
        <v>801</v>
      </c>
      <c r="D3227" s="1" t="s">
        <v>801</v>
      </c>
      <c r="E3227" s="6">
        <v>443.64</v>
      </c>
      <c r="F3227" s="1" t="s">
        <v>40</v>
      </c>
      <c r="G3227" s="6">
        <f ca="1">IFERROR(__xludf.DUMMYFUNCTION("iferror(GOOGLEFINANCE(TRIM(F3227)&amp;"":"" &amp; TRIM(B3227), ""price""),0
)"),70.2)</f>
        <v>70.2</v>
      </c>
      <c r="H3227" s="6">
        <v>81.77</v>
      </c>
      <c r="I3227" s="6">
        <f t="shared" ca="1" si="0"/>
        <v>70.2</v>
      </c>
      <c r="J3227" s="6">
        <f ca="1">IFERROR(__xludf.DUMMYFUNCTION("IFERROR(GOOGLEFINANCE(B3227, ""volume""), 0)"),24816)</f>
        <v>24816</v>
      </c>
      <c r="K3227" s="6">
        <v>0.2</v>
      </c>
      <c r="L3227" s="6">
        <f ca="1">IFERROR(__xludf.DUMMYFUNCTION("IFERROR(GOOGLEFINANCE(B3227,""changepct""),K3227)"),-0.43)</f>
        <v>-0.43</v>
      </c>
      <c r="M3227" s="6">
        <f ca="1">IFERROR(__xludf.DUMMYFUNCTION("IFERROR(GOOGLEFINANCE(B3227,""change""),0)"),-0.3)</f>
        <v>-0.3</v>
      </c>
      <c r="N3227" s="6">
        <v>2</v>
      </c>
      <c r="O3227" s="7">
        <v>45536</v>
      </c>
      <c r="P3227" s="9"/>
      <c r="Q3227" s="6">
        <v>425.05</v>
      </c>
      <c r="R3227" s="7">
        <v>45536</v>
      </c>
      <c r="S3227" s="6">
        <v>496.54</v>
      </c>
      <c r="T3227" s="6">
        <v>23.09</v>
      </c>
      <c r="U3227" s="7">
        <v>45536</v>
      </c>
      <c r="V3227" s="6">
        <v>19.22</v>
      </c>
      <c r="W3227" s="6">
        <f ca="1">IFERROR(__xludf.DUMMYFUNCTION("IFERROR(GOOGLEFINANCE(B3227,""pe""),V3227)"),12.3)</f>
        <v>12.3</v>
      </c>
      <c r="X3227" s="6">
        <v>3.29</v>
      </c>
      <c r="Y3227" s="6">
        <v>1.6</v>
      </c>
      <c r="Z3227" s="6">
        <v>2</v>
      </c>
      <c r="AA3227" s="8">
        <v>45352</v>
      </c>
      <c r="AB3227" s="4">
        <v>0</v>
      </c>
      <c r="AC3227" s="6">
        <v>9.7200000000000006</v>
      </c>
      <c r="AD3227" s="6">
        <v>12.6</v>
      </c>
      <c r="AE3227" s="1">
        <v>0</v>
      </c>
      <c r="AF3227" s="1">
        <f ca="1">IFERROR(__xludf.DUMMYFUNCTION("IFERROR(GOOGLEFINANCE(TRIM(F3227)&amp;"":"" &amp; TRIM(B3227),""high52""),AE3227)"),92.2)</f>
        <v>92.2</v>
      </c>
      <c r="AG3227" s="1">
        <v>0</v>
      </c>
      <c r="AH3227" s="1">
        <f ca="1">IFERROR(__xludf.DUMMYFUNCTION("IFERROR(GOOGLEFINANCE(TRIM(F3227)&amp;"":"" &amp; TRIM(B3227),""low52""),AE3227)"),61.8)</f>
        <v>61.8</v>
      </c>
      <c r="AI3227" s="1">
        <f ca="1">IFERROR(__xludf.DUMMYFUNCTION("IFERROR(GOOGLEFINANCE(B3227,""eps""),0)"),5.71)</f>
        <v>5.71</v>
      </c>
      <c r="AJ3227" s="1"/>
      <c r="AK3227" s="1" t="s">
        <v>9908</v>
      </c>
      <c r="AL3227" s="9">
        <f t="shared" si="311"/>
        <v>1</v>
      </c>
    </row>
    <row r="3228" spans="1:38" ht="15" x14ac:dyDescent="0.25">
      <c r="A3228" s="1" t="s">
        <v>9909</v>
      </c>
      <c r="B3228" s="1" t="s">
        <v>9910</v>
      </c>
      <c r="C3228" s="1" t="s">
        <v>259</v>
      </c>
      <c r="D3228" s="1" t="s">
        <v>259</v>
      </c>
      <c r="E3228" s="6">
        <v>280.16000000000003</v>
      </c>
      <c r="F3228" s="1" t="s">
        <v>40</v>
      </c>
      <c r="G3228" s="6">
        <f ca="1">IFERROR(__xludf.DUMMYFUNCTION("iferror(GOOGLEFINANCE(TRIM(F3228)&amp;"":"" &amp; TRIM(B3228), ""price""),0
)"),6.17)</f>
        <v>6.17</v>
      </c>
      <c r="H3228" s="6">
        <v>11.91</v>
      </c>
      <c r="I3228" s="6">
        <f t="shared" ca="1" si="0"/>
        <v>6.17</v>
      </c>
      <c r="J3228" s="6">
        <f ca="1">IFERROR(__xludf.DUMMYFUNCTION("IFERROR(GOOGLEFINANCE(B3228, ""volume""), 0)"),38359)</f>
        <v>38359</v>
      </c>
      <c r="K3228" s="6">
        <v>0.42</v>
      </c>
      <c r="L3228" s="6">
        <f ca="1">IFERROR(__xludf.DUMMYFUNCTION("IFERROR(GOOGLEFINANCE(B3228,""changepct""),K3228)"),0.98)</f>
        <v>0.98</v>
      </c>
      <c r="M3228" s="6">
        <f ca="1">IFERROR(__xludf.DUMMYFUNCTION("IFERROR(GOOGLEFINANCE(B3228,""change""),0)"),0.06)</f>
        <v>0.06</v>
      </c>
      <c r="N3228" s="6">
        <v>2</v>
      </c>
      <c r="O3228" s="7">
        <v>45536</v>
      </c>
      <c r="P3228" s="6">
        <v>87.08</v>
      </c>
      <c r="Q3228" s="6">
        <v>348.09</v>
      </c>
      <c r="R3228" s="7">
        <v>45536</v>
      </c>
      <c r="S3228" s="6">
        <v>62.41</v>
      </c>
      <c r="T3228" s="6">
        <v>1.74</v>
      </c>
      <c r="U3228" s="7">
        <v>45536</v>
      </c>
      <c r="V3228" s="6">
        <v>161.01</v>
      </c>
      <c r="W3228" s="6">
        <f ca="1">IFERROR(__xludf.DUMMYFUNCTION("IFERROR(GOOGLEFINANCE(B3228,""pe""),V3228)"),25.19)</f>
        <v>25.19</v>
      </c>
      <c r="X3228" s="6">
        <v>8.19</v>
      </c>
      <c r="Y3228" s="6">
        <v>1.38</v>
      </c>
      <c r="Z3228" s="6">
        <v>2</v>
      </c>
      <c r="AA3228" s="8">
        <v>45352</v>
      </c>
      <c r="AB3228" s="4">
        <v>0.5</v>
      </c>
      <c r="AC3228" s="6">
        <v>7.89</v>
      </c>
      <c r="AD3228" s="6">
        <v>7.13</v>
      </c>
      <c r="AE3228" s="1">
        <v>0</v>
      </c>
      <c r="AF3228" s="1">
        <f ca="1">IFERROR(__xludf.DUMMYFUNCTION("IFERROR(GOOGLEFINANCE(TRIM(F3228)&amp;"":"" &amp; TRIM(B3228),""high52""),AE3228)"),11.4)</f>
        <v>11.4</v>
      </c>
      <c r="AG3228" s="1">
        <v>0</v>
      </c>
      <c r="AH3228" s="1">
        <f ca="1">IFERROR(__xludf.DUMMYFUNCTION("IFERROR(GOOGLEFINANCE(TRIM(F3228)&amp;"":"" &amp; TRIM(B3228),""low52""),AE3228)"),5.31)</f>
        <v>5.31</v>
      </c>
      <c r="AI3228" s="1">
        <f ca="1">IFERROR(__xludf.DUMMYFUNCTION("IFERROR(GOOGLEFINANCE(B3228,""eps""),0)"),0.24)</f>
        <v>0.24</v>
      </c>
      <c r="AJ3228" s="1"/>
      <c r="AK3228" s="1" t="s">
        <v>9911</v>
      </c>
      <c r="AL3228" s="9">
        <f t="shared" si="311"/>
        <v>1</v>
      </c>
    </row>
    <row r="3229" spans="1:38" ht="15" x14ac:dyDescent="0.25">
      <c r="A3229" s="1" t="s">
        <v>9912</v>
      </c>
      <c r="B3229" s="1" t="s">
        <v>9913</v>
      </c>
      <c r="C3229" s="1" t="s">
        <v>106</v>
      </c>
      <c r="D3229" s="1" t="s">
        <v>106</v>
      </c>
      <c r="E3229" s="6">
        <v>29.61</v>
      </c>
      <c r="F3229" s="1" t="s">
        <v>53</v>
      </c>
      <c r="G3229" s="6">
        <f ca="1">IFERROR(__xludf.DUMMYFUNCTION("iferror(GOOGLEFINANCE(TRIM(F3229)&amp;"":"" &amp; TRIM(B3229), ""price""),0
)"),0)</f>
        <v>0</v>
      </c>
      <c r="H3229" s="6">
        <v>5.59</v>
      </c>
      <c r="I3229" s="6">
        <f t="shared" ca="1" si="0"/>
        <v>5.59</v>
      </c>
      <c r="J3229" s="6">
        <f ca="1">IFERROR(__xludf.DUMMYFUNCTION("IFERROR(GOOGLEFINANCE(B3229, ""volume""), 0)"),0)</f>
        <v>0</v>
      </c>
      <c r="K3229" s="6">
        <v>1.45</v>
      </c>
      <c r="L3229" s="6">
        <f ca="1">IFERROR(__xludf.DUMMYFUNCTION("IFERROR(GOOGLEFINANCE(B3229,""changepct""),K3229)"),1.45)</f>
        <v>1.45</v>
      </c>
      <c r="M3229" s="6">
        <f ca="1">IFERROR(__xludf.DUMMYFUNCTION("IFERROR(GOOGLEFINANCE(B3229,""change""),0)"),0)</f>
        <v>0</v>
      </c>
      <c r="N3229" s="6">
        <v>1</v>
      </c>
      <c r="O3229" s="7">
        <v>45536</v>
      </c>
      <c r="P3229" s="9"/>
      <c r="Q3229" s="6">
        <v>26.98</v>
      </c>
      <c r="R3229" s="7">
        <v>45536</v>
      </c>
      <c r="S3229" s="6">
        <v>12.64</v>
      </c>
      <c r="T3229" s="6">
        <v>7.0000000000000007E-2</v>
      </c>
      <c r="U3229" s="7">
        <v>45536</v>
      </c>
      <c r="V3229" s="6">
        <v>455.54</v>
      </c>
      <c r="W3229" s="6">
        <f ca="1">IFERROR(__xludf.DUMMYFUNCTION("IFERROR(GOOGLEFINANCE(B3229,""pe""),V3229)"),455.54)</f>
        <v>455.54</v>
      </c>
      <c r="X3229" s="6">
        <v>55.69</v>
      </c>
      <c r="Y3229" s="6">
        <v>3.9</v>
      </c>
      <c r="Z3229" s="6">
        <v>1</v>
      </c>
      <c r="AA3229" s="8">
        <v>45352</v>
      </c>
      <c r="AB3229" s="4">
        <v>0</v>
      </c>
      <c r="AC3229" s="6">
        <v>2.79</v>
      </c>
      <c r="AD3229" s="6">
        <v>3.97</v>
      </c>
      <c r="AE3229" s="1">
        <v>0</v>
      </c>
      <c r="AF3229" s="1">
        <f ca="1">IFERROR(__xludf.DUMMYFUNCTION("IFERROR(GOOGLEFINANCE(TRIM(F3229)&amp;"":"" &amp; TRIM(B3229),""high52""),AE3229)"),0)</f>
        <v>0</v>
      </c>
      <c r="AG3229" s="1">
        <v>0</v>
      </c>
      <c r="AH3229" s="1">
        <f ca="1">IFERROR(__xludf.DUMMYFUNCTION("IFERROR(GOOGLEFINANCE(TRIM(F3229)&amp;"":"" &amp; TRIM(B3229),""low52""),AE3229)"),0)</f>
        <v>0</v>
      </c>
      <c r="AI3229" s="1">
        <f ca="1">IFERROR(__xludf.DUMMYFUNCTION("IFERROR(GOOGLEFINANCE(B3229,""eps""),0)"),0)</f>
        <v>0</v>
      </c>
      <c r="AJ3229" s="1"/>
      <c r="AK3229" s="1" t="s">
        <v>9914</v>
      </c>
      <c r="AL3229" s="9">
        <f t="shared" si="311"/>
        <v>1</v>
      </c>
    </row>
    <row r="3230" spans="1:38" ht="15" x14ac:dyDescent="0.25">
      <c r="A3230" s="1" t="s">
        <v>9915</v>
      </c>
      <c r="B3230" s="1" t="s">
        <v>9916</v>
      </c>
      <c r="C3230" s="1" t="s">
        <v>106</v>
      </c>
      <c r="D3230" s="1" t="s">
        <v>106</v>
      </c>
      <c r="E3230" s="6">
        <v>431</v>
      </c>
      <c r="F3230" s="1" t="s">
        <v>53</v>
      </c>
      <c r="G3230" s="6">
        <f ca="1">IFERROR(__xludf.DUMMYFUNCTION("iferror(GOOGLEFINANCE(TRIM(F3230)&amp;"":"" &amp; TRIM(B3230), ""price""),0
)"),0)</f>
        <v>0</v>
      </c>
      <c r="H3230" s="6">
        <v>70.45</v>
      </c>
      <c r="I3230" s="6">
        <f t="shared" ca="1" si="0"/>
        <v>70.45</v>
      </c>
      <c r="J3230" s="6">
        <f ca="1">IFERROR(__xludf.DUMMYFUNCTION("IFERROR(GOOGLEFINANCE(B3230, ""volume""), 0)"),0)</f>
        <v>0</v>
      </c>
      <c r="K3230" s="6">
        <v>-0.24</v>
      </c>
      <c r="L3230" s="6">
        <f ca="1">IFERROR(__xludf.DUMMYFUNCTION("IFERROR(GOOGLEFINANCE(B3230,""changepct""),K3230)"),-0.24)</f>
        <v>-0.24</v>
      </c>
      <c r="M3230" s="6">
        <f ca="1">IFERROR(__xludf.DUMMYFUNCTION("IFERROR(GOOGLEFINANCE(B3230,""change""),0)"),0)</f>
        <v>0</v>
      </c>
      <c r="N3230" s="6">
        <v>1</v>
      </c>
      <c r="O3230" s="7">
        <v>45536</v>
      </c>
      <c r="P3230" s="9"/>
      <c r="Q3230" s="6">
        <v>409.07</v>
      </c>
      <c r="R3230" s="7">
        <v>45536</v>
      </c>
      <c r="S3230" s="6">
        <v>39.729999999999997</v>
      </c>
      <c r="T3230" s="6">
        <v>6.66</v>
      </c>
      <c r="U3230" s="7">
        <v>45536</v>
      </c>
      <c r="V3230" s="6">
        <v>64.72</v>
      </c>
      <c r="W3230" s="6">
        <f ca="1">IFERROR(__xludf.DUMMYFUNCTION("IFERROR(GOOGLEFINANCE(B3230,""pe""),V3230)"),64.72)</f>
        <v>64.72</v>
      </c>
      <c r="X3230" s="6">
        <v>1.8</v>
      </c>
      <c r="Y3230" s="6">
        <v>4.63</v>
      </c>
      <c r="Z3230" s="6">
        <v>1</v>
      </c>
      <c r="AA3230" s="8">
        <v>45352</v>
      </c>
      <c r="AB3230" s="4">
        <v>0</v>
      </c>
      <c r="AC3230" s="6">
        <v>9.6</v>
      </c>
      <c r="AD3230" s="6">
        <v>12.89</v>
      </c>
      <c r="AE3230" s="1">
        <v>0</v>
      </c>
      <c r="AF3230" s="1">
        <f ca="1">IFERROR(__xludf.DUMMYFUNCTION("IFERROR(GOOGLEFINANCE(TRIM(F3230)&amp;"":"" &amp; TRIM(B3230),""high52""),AE3230)"),0)</f>
        <v>0</v>
      </c>
      <c r="AG3230" s="1">
        <v>0</v>
      </c>
      <c r="AH3230" s="1">
        <f ca="1">IFERROR(__xludf.DUMMYFUNCTION("IFERROR(GOOGLEFINANCE(TRIM(F3230)&amp;"":"" &amp; TRIM(B3230),""low52""),AE3230)"),0)</f>
        <v>0</v>
      </c>
      <c r="AI3230" s="1">
        <f ca="1">IFERROR(__xludf.DUMMYFUNCTION("IFERROR(GOOGLEFINANCE(B3230,""eps""),0)"),0)</f>
        <v>0</v>
      </c>
      <c r="AJ3230" s="1"/>
      <c r="AK3230" s="1" t="s">
        <v>9917</v>
      </c>
      <c r="AL3230" s="9">
        <f t="shared" si="311"/>
        <v>1</v>
      </c>
    </row>
    <row r="3231" spans="1:38" ht="15" x14ac:dyDescent="0.25">
      <c r="A3231" s="1" t="s">
        <v>9918</v>
      </c>
      <c r="B3231" s="1" t="s">
        <v>9919</v>
      </c>
      <c r="C3231" s="1" t="s">
        <v>373</v>
      </c>
      <c r="D3231" s="1" t="s">
        <v>373</v>
      </c>
      <c r="E3231" s="6">
        <v>394.1</v>
      </c>
      <c r="F3231" s="1" t="s">
        <v>40</v>
      </c>
      <c r="G3231" s="6">
        <f ca="1">IFERROR(__xludf.DUMMYFUNCTION("iferror(GOOGLEFINANCE(TRIM(F3231)&amp;"":"" &amp; TRIM(B3231), ""price""),0
)"),116)</f>
        <v>116</v>
      </c>
      <c r="H3231" s="6">
        <v>132.99</v>
      </c>
      <c r="I3231" s="6">
        <f t="shared" ca="1" si="0"/>
        <v>116</v>
      </c>
      <c r="J3231" s="6">
        <f ca="1">IFERROR(__xludf.DUMMYFUNCTION("IFERROR(GOOGLEFINANCE(B3231, ""volume""), 0)"),24992)</f>
        <v>24992</v>
      </c>
      <c r="K3231" s="6">
        <v>0.55000000000000004</v>
      </c>
      <c r="L3231" s="6">
        <f ca="1">IFERROR(__xludf.DUMMYFUNCTION("IFERROR(GOOGLEFINANCE(B3231,""changepct""),K3231)"),0.34)</f>
        <v>0.34</v>
      </c>
      <c r="M3231" s="6">
        <f ca="1">IFERROR(__xludf.DUMMYFUNCTION("IFERROR(GOOGLEFINANCE(B3231,""change""),0)"),0.39)</f>
        <v>0.39</v>
      </c>
      <c r="N3231" s="6">
        <v>1</v>
      </c>
      <c r="O3231" s="7">
        <v>45536</v>
      </c>
      <c r="P3231" s="6">
        <v>46.77</v>
      </c>
      <c r="Q3231" s="6">
        <v>440.88</v>
      </c>
      <c r="R3231" s="7">
        <v>45536</v>
      </c>
      <c r="S3231" s="6">
        <v>648.20000000000005</v>
      </c>
      <c r="T3231" s="6">
        <v>49.3</v>
      </c>
      <c r="U3231" s="7">
        <v>45536</v>
      </c>
      <c r="V3231" s="6">
        <v>7.99</v>
      </c>
      <c r="W3231" s="6">
        <f ca="1">IFERROR(__xludf.DUMMYFUNCTION("IFERROR(GOOGLEFINANCE(B3231,""pe""),V3231)"),5.13)</f>
        <v>5.13</v>
      </c>
      <c r="X3231" s="6">
        <v>2.0099999999999998</v>
      </c>
      <c r="Y3231" s="6">
        <v>0.91</v>
      </c>
      <c r="Z3231" s="6">
        <v>1</v>
      </c>
      <c r="AA3231" s="8">
        <v>45352</v>
      </c>
      <c r="AB3231" s="4">
        <v>0.11</v>
      </c>
      <c r="AC3231" s="6">
        <v>12.38</v>
      </c>
      <c r="AD3231" s="6">
        <v>15.8</v>
      </c>
      <c r="AE3231" s="1">
        <v>0</v>
      </c>
      <c r="AF3231" s="1">
        <f ca="1">IFERROR(__xludf.DUMMYFUNCTION("IFERROR(GOOGLEFINANCE(TRIM(F3231)&amp;"":"" &amp; TRIM(B3231),""high52""),AE3231)"),173)</f>
        <v>173</v>
      </c>
      <c r="AG3231" s="1">
        <v>0</v>
      </c>
      <c r="AH3231" s="1">
        <f ca="1">IFERROR(__xludf.DUMMYFUNCTION("IFERROR(GOOGLEFINANCE(TRIM(F3231)&amp;"":"" &amp; TRIM(B3231),""low52""),AE3231)"),106.7)</f>
        <v>106.7</v>
      </c>
      <c r="AI3231" s="1">
        <f ca="1">IFERROR(__xludf.DUMMYFUNCTION("IFERROR(GOOGLEFINANCE(B3231,""eps""),0)"),22.61)</f>
        <v>22.61</v>
      </c>
      <c r="AJ3231" s="1"/>
      <c r="AK3231" s="1" t="s">
        <v>9920</v>
      </c>
      <c r="AL3231" s="9">
        <f t="shared" si="311"/>
        <v>1</v>
      </c>
    </row>
    <row r="3232" spans="1:38" ht="15" x14ac:dyDescent="0.25">
      <c r="A3232" s="1" t="s">
        <v>9921</v>
      </c>
      <c r="B3232" s="1" t="s">
        <v>9922</v>
      </c>
      <c r="C3232" s="1" t="s">
        <v>86</v>
      </c>
      <c r="D3232" s="1" t="s">
        <v>86</v>
      </c>
      <c r="E3232" s="6">
        <v>577.25</v>
      </c>
      <c r="F3232" s="1" t="s">
        <v>40</v>
      </c>
      <c r="G3232" s="6">
        <f ca="1">IFERROR(__xludf.DUMMYFUNCTION("iferror(GOOGLEFINANCE(TRIM(F3232)&amp;"":"" &amp; TRIM(B3232), ""price""),0
)"),96.51)</f>
        <v>96.51</v>
      </c>
      <c r="H3232" s="6">
        <v>336</v>
      </c>
      <c r="I3232" s="6">
        <f t="shared" ca="1" si="0"/>
        <v>96.51</v>
      </c>
      <c r="J3232" s="6">
        <f ca="1">IFERROR(__xludf.DUMMYFUNCTION("IFERROR(GOOGLEFINANCE(B3232, ""volume""), 0)"),1)</f>
        <v>1</v>
      </c>
      <c r="K3232" s="6">
        <v>0.95</v>
      </c>
      <c r="L3232" s="6">
        <f ca="1">IFERROR(__xludf.DUMMYFUNCTION("IFERROR(GOOGLEFINANCE(B3232,""changepct""),K3232)"),-4.87)</f>
        <v>-4.87</v>
      </c>
      <c r="M3232" s="6">
        <f ca="1">IFERROR(__xludf.DUMMYFUNCTION("IFERROR(GOOGLEFINANCE(B3232,""change""),0)"),-0.36)</f>
        <v>-0.36</v>
      </c>
      <c r="N3232" s="6">
        <v>2</v>
      </c>
      <c r="O3232" s="7">
        <v>45536</v>
      </c>
      <c r="P3232" s="6">
        <v>14.74</v>
      </c>
      <c r="Q3232" s="6">
        <v>589.21</v>
      </c>
      <c r="R3232" s="7">
        <v>45536</v>
      </c>
      <c r="S3232" s="6">
        <v>101.64</v>
      </c>
      <c r="T3232" s="6">
        <v>13.55</v>
      </c>
      <c r="U3232" s="7">
        <v>45536</v>
      </c>
      <c r="V3232" s="6">
        <v>42.47</v>
      </c>
      <c r="W3232" s="6">
        <f ca="1">IFERROR(__xludf.DUMMYFUNCTION("IFERROR(GOOGLEFINANCE(B3232,""pe""),V3232)"),42.47)</f>
        <v>42.47</v>
      </c>
      <c r="X3232" s="6">
        <v>3.96</v>
      </c>
      <c r="Y3232" s="6">
        <v>4.6100000000000003</v>
      </c>
      <c r="Z3232" s="6">
        <v>2</v>
      </c>
      <c r="AA3232" s="8">
        <v>45352</v>
      </c>
      <c r="AB3232" s="4">
        <v>0.08</v>
      </c>
      <c r="AC3232" s="6">
        <v>12.58</v>
      </c>
      <c r="AD3232" s="6">
        <v>17.47</v>
      </c>
      <c r="AE3232" s="1">
        <v>0</v>
      </c>
      <c r="AF3232" s="1">
        <f ca="1">IFERROR(__xludf.DUMMYFUNCTION("IFERROR(GOOGLEFINANCE(TRIM(F3232)&amp;"":"" &amp; TRIM(B3232),""high52""),AE3232)"),302)</f>
        <v>302</v>
      </c>
      <c r="AG3232" s="1">
        <v>0</v>
      </c>
      <c r="AH3232" s="1">
        <f ca="1">IFERROR(__xludf.DUMMYFUNCTION("IFERROR(GOOGLEFINANCE(TRIM(F3232)&amp;"":"" &amp; TRIM(B3232),""low52""),AE3232)"),87.27)</f>
        <v>87.27</v>
      </c>
      <c r="AI3232" s="1">
        <f ca="1">IFERROR(__xludf.DUMMYFUNCTION("IFERROR(GOOGLEFINANCE(B3232,""eps""),0)"),-3.46)</f>
        <v>-3.46</v>
      </c>
      <c r="AJ3232" s="1"/>
      <c r="AK3232" s="1" t="s">
        <v>9923</v>
      </c>
      <c r="AL3232" s="9">
        <f t="shared" si="311"/>
        <v>1</v>
      </c>
    </row>
    <row r="3233" spans="1:38" ht="15" x14ac:dyDescent="0.25">
      <c r="A3233" s="1" t="s">
        <v>9924</v>
      </c>
      <c r="B3233" s="1" t="s">
        <v>9925</v>
      </c>
      <c r="C3233" s="1" t="s">
        <v>125</v>
      </c>
      <c r="D3233" s="1" t="s">
        <v>125</v>
      </c>
      <c r="E3233" s="6">
        <v>125.07</v>
      </c>
      <c r="F3233" s="1" t="s">
        <v>40</v>
      </c>
      <c r="G3233" s="6">
        <f ca="1">IFERROR(__xludf.DUMMYFUNCTION("iferror(GOOGLEFINANCE(TRIM(F3233)&amp;"":"" &amp; TRIM(B3233), ""price""),0
)"),0)</f>
        <v>0</v>
      </c>
      <c r="H3233" s="6">
        <v>293.64999999999998</v>
      </c>
      <c r="I3233" s="6">
        <f t="shared" ca="1" si="0"/>
        <v>293.64999999999998</v>
      </c>
      <c r="J3233" s="6">
        <f ca="1">IFERROR(__xludf.DUMMYFUNCTION("IFERROR(GOOGLEFINANCE(B3233, ""volume""), 0)"),0)</f>
        <v>0</v>
      </c>
      <c r="K3233" s="6">
        <v>-0.02</v>
      </c>
      <c r="L3233" s="6">
        <f ca="1">IFERROR(__xludf.DUMMYFUNCTION("IFERROR(GOOGLEFINANCE(B3233,""changepct""),K3233)"),-0.02)</f>
        <v>-0.02</v>
      </c>
      <c r="M3233" s="6">
        <f ca="1">IFERROR(__xludf.DUMMYFUNCTION("IFERROR(GOOGLEFINANCE(B3233,""change""),0)"),0)</f>
        <v>0</v>
      </c>
      <c r="N3233" s="6">
        <v>1</v>
      </c>
      <c r="O3233" s="7">
        <v>45536</v>
      </c>
      <c r="P3233" s="6">
        <v>7.55</v>
      </c>
      <c r="Q3233" s="6">
        <v>132.62</v>
      </c>
      <c r="R3233" s="7">
        <v>45352</v>
      </c>
      <c r="S3233" s="6">
        <v>70.98</v>
      </c>
      <c r="T3233" s="6">
        <v>6.11</v>
      </c>
      <c r="U3233" s="7">
        <v>45352</v>
      </c>
      <c r="V3233" s="6">
        <v>20.47</v>
      </c>
      <c r="W3233" s="6">
        <f ca="1">IFERROR(__xludf.DUMMYFUNCTION("IFERROR(GOOGLEFINANCE(B3233,""pe""),V3233)"),20.47)</f>
        <v>20.47</v>
      </c>
      <c r="X3233" s="12"/>
      <c r="Y3233" s="6">
        <v>3.17</v>
      </c>
      <c r="Z3233" s="6">
        <v>1</v>
      </c>
      <c r="AA3233" s="8">
        <v>45352</v>
      </c>
      <c r="AB3233" s="4">
        <v>0.83</v>
      </c>
      <c r="AC3233" s="6">
        <v>62.9</v>
      </c>
      <c r="AD3233" s="6">
        <v>50.65</v>
      </c>
      <c r="AE3233" s="1">
        <v>0</v>
      </c>
      <c r="AF3233" s="1">
        <f ca="1">IFERROR(__xludf.DUMMYFUNCTION("IFERROR(GOOGLEFINANCE(TRIM(F3233)&amp;"":"" &amp; TRIM(B3233),""high52""),AE3233)"),0)</f>
        <v>0</v>
      </c>
      <c r="AG3233" s="1">
        <v>0</v>
      </c>
      <c r="AH3233" s="1">
        <f ca="1">IFERROR(__xludf.DUMMYFUNCTION("IFERROR(GOOGLEFINANCE(TRIM(F3233)&amp;"":"" &amp; TRIM(B3233),""low52""),AE3233)"),0)</f>
        <v>0</v>
      </c>
      <c r="AI3233" s="1">
        <f ca="1">IFERROR(__xludf.DUMMYFUNCTION("IFERROR(GOOGLEFINANCE(B3233,""eps""),0)"),0)</f>
        <v>0</v>
      </c>
      <c r="AJ3233" s="1"/>
      <c r="AK3233" s="1" t="s">
        <v>9926</v>
      </c>
      <c r="AL3233" s="9">
        <f t="shared" si="311"/>
        <v>1</v>
      </c>
    </row>
    <row r="3234" spans="1:38" ht="15" x14ac:dyDescent="0.25">
      <c r="A3234" s="1" t="s">
        <v>9927</v>
      </c>
      <c r="B3234" s="1" t="s">
        <v>9928</v>
      </c>
      <c r="C3234" s="1" t="s">
        <v>186</v>
      </c>
      <c r="D3234" s="1" t="s">
        <v>186</v>
      </c>
      <c r="E3234" s="6">
        <v>2032.65</v>
      </c>
      <c r="F3234" s="1" t="s">
        <v>40</v>
      </c>
      <c r="G3234" s="6">
        <f ca="1">IFERROR(__xludf.DUMMYFUNCTION("iferror(GOOGLEFINANCE(TRIM(F3234)&amp;"":"" &amp; TRIM(B3234), ""price""),0
)"),147.75)</f>
        <v>147.75</v>
      </c>
      <c r="H3234" s="6">
        <v>256.64999999999998</v>
      </c>
      <c r="I3234" s="6">
        <f t="shared" ca="1" si="0"/>
        <v>147.75</v>
      </c>
      <c r="J3234" s="6">
        <f ca="1">IFERROR(__xludf.DUMMYFUNCTION("IFERROR(GOOGLEFINANCE(B3234, ""volume""), 0)"),89360)</f>
        <v>89360</v>
      </c>
      <c r="K3234" s="6">
        <v>0.39</v>
      </c>
      <c r="L3234" s="6">
        <f ca="1">IFERROR(__xludf.DUMMYFUNCTION("IFERROR(GOOGLEFINANCE(B3234,""changepct""),K3234)"),-0.57)</f>
        <v>-0.56999999999999995</v>
      </c>
      <c r="M3234" s="6">
        <f ca="1">IFERROR(__xludf.DUMMYFUNCTION("IFERROR(GOOGLEFINANCE(B3234,""change""),0)"),-0.84)</f>
        <v>-0.84</v>
      </c>
      <c r="N3234" s="6">
        <v>2</v>
      </c>
      <c r="O3234" s="7">
        <v>45536</v>
      </c>
      <c r="P3234" s="6">
        <v>208.12</v>
      </c>
      <c r="Q3234" s="6">
        <v>2075.65</v>
      </c>
      <c r="R3234" s="7">
        <v>45536</v>
      </c>
      <c r="S3234" s="6">
        <v>1226.3900000000001</v>
      </c>
      <c r="T3234" s="6">
        <v>73.930000000000007</v>
      </c>
      <c r="U3234" s="7">
        <v>45536</v>
      </c>
      <c r="V3234" s="6">
        <v>27.5</v>
      </c>
      <c r="W3234" s="6">
        <f ca="1">IFERROR(__xludf.DUMMYFUNCTION("IFERROR(GOOGLEFINANCE(B3234,""pe""),V3234)"),15.82)</f>
        <v>15.82</v>
      </c>
      <c r="X3234" s="6">
        <v>-63.94</v>
      </c>
      <c r="Y3234" s="6">
        <v>2.06</v>
      </c>
      <c r="Z3234" s="6">
        <v>2</v>
      </c>
      <c r="AA3234" s="8">
        <v>45352</v>
      </c>
      <c r="AB3234" s="4">
        <v>0.23</v>
      </c>
      <c r="AC3234" s="6">
        <v>7.46</v>
      </c>
      <c r="AD3234" s="6">
        <v>9.91</v>
      </c>
      <c r="AE3234" s="1">
        <v>0</v>
      </c>
      <c r="AF3234" s="1">
        <f ca="1">IFERROR(__xludf.DUMMYFUNCTION("IFERROR(GOOGLEFINANCE(TRIM(F3234)&amp;"":"" &amp; TRIM(B3234),""high52""),AE3234)"),238.05)</f>
        <v>238.05</v>
      </c>
      <c r="AG3234" s="1">
        <v>0</v>
      </c>
      <c r="AH3234" s="1">
        <f ca="1">IFERROR(__xludf.DUMMYFUNCTION("IFERROR(GOOGLEFINANCE(TRIM(F3234)&amp;"":"" &amp; TRIM(B3234),""low52""),AE3234)"),146)</f>
        <v>146</v>
      </c>
      <c r="AI3234" s="1">
        <f ca="1">IFERROR(__xludf.DUMMYFUNCTION("IFERROR(GOOGLEFINANCE(B3234,""eps""),0)"),9.34)</f>
        <v>9.34</v>
      </c>
      <c r="AJ3234" s="1"/>
      <c r="AK3234" s="1" t="s">
        <v>9929</v>
      </c>
      <c r="AL3234" s="9">
        <f t="shared" si="311"/>
        <v>1</v>
      </c>
    </row>
    <row r="3235" spans="1:38" ht="15" x14ac:dyDescent="0.25">
      <c r="A3235" s="1" t="s">
        <v>9930</v>
      </c>
      <c r="B3235" s="1" t="s">
        <v>9931</v>
      </c>
      <c r="C3235" s="1" t="s">
        <v>535</v>
      </c>
      <c r="D3235" s="1" t="s">
        <v>535</v>
      </c>
      <c r="E3235" s="6">
        <v>905.51</v>
      </c>
      <c r="F3235" s="1" t="s">
        <v>40</v>
      </c>
      <c r="G3235" s="6">
        <f ca="1">IFERROR(__xludf.DUMMYFUNCTION("iferror(GOOGLEFINANCE(TRIM(F3235)&amp;"":"" &amp; TRIM(B3235), ""price""),0
)"),19.14)</f>
        <v>19.14</v>
      </c>
      <c r="H3235" s="6">
        <v>34.08</v>
      </c>
      <c r="I3235" s="6">
        <f t="shared" ca="1" si="0"/>
        <v>19.14</v>
      </c>
      <c r="J3235" s="6">
        <f ca="1">IFERROR(__xludf.DUMMYFUNCTION("IFERROR(GOOGLEFINANCE(B3235, ""volume""), 0)"),374207)</f>
        <v>374207</v>
      </c>
      <c r="K3235" s="6">
        <v>3.49</v>
      </c>
      <c r="L3235" s="6">
        <f ca="1">IFERROR(__xludf.DUMMYFUNCTION("IFERROR(GOOGLEFINANCE(B3235,""changepct""),K3235)"),-0.57)</f>
        <v>-0.56999999999999995</v>
      </c>
      <c r="M3235" s="6">
        <f ca="1">IFERROR(__xludf.DUMMYFUNCTION("IFERROR(GOOGLEFINANCE(B3235,""change""),0)"),-0.11)</f>
        <v>-0.11</v>
      </c>
      <c r="N3235" s="6">
        <v>1</v>
      </c>
      <c r="O3235" s="7">
        <v>45536</v>
      </c>
      <c r="P3235" s="6">
        <v>264.48</v>
      </c>
      <c r="Q3235" s="6">
        <v>1162.96</v>
      </c>
      <c r="R3235" s="7">
        <v>45536</v>
      </c>
      <c r="S3235" s="6">
        <v>898.68</v>
      </c>
      <c r="T3235" s="6">
        <v>44.27</v>
      </c>
      <c r="U3235" s="7">
        <v>45536</v>
      </c>
      <c r="V3235" s="6">
        <v>20.45</v>
      </c>
      <c r="W3235" s="6">
        <f ca="1">IFERROR(__xludf.DUMMYFUNCTION("IFERROR(GOOGLEFINANCE(B3235,""pe""),V3235)"),38.28)</f>
        <v>38.28</v>
      </c>
      <c r="X3235" s="6">
        <v>0.83</v>
      </c>
      <c r="Y3235" s="6">
        <v>1.57</v>
      </c>
      <c r="Z3235" s="6">
        <v>1</v>
      </c>
      <c r="AA3235" s="8">
        <v>45352</v>
      </c>
      <c r="AB3235" s="4">
        <v>0.6</v>
      </c>
      <c r="AC3235" s="6">
        <v>10.28</v>
      </c>
      <c r="AD3235" s="6">
        <v>11.9</v>
      </c>
      <c r="AE3235" s="1">
        <v>0</v>
      </c>
      <c r="AF3235" s="1">
        <f ca="1">IFERROR(__xludf.DUMMYFUNCTION("IFERROR(GOOGLEFINANCE(TRIM(F3235)&amp;"":"" &amp; TRIM(B3235),""high52""),AE3235)"),33.99)</f>
        <v>33.99</v>
      </c>
      <c r="AG3235" s="1">
        <v>0</v>
      </c>
      <c r="AH3235" s="1">
        <f ca="1">IFERROR(__xludf.DUMMYFUNCTION("IFERROR(GOOGLEFINANCE(TRIM(F3235)&amp;"":"" &amp; TRIM(B3235),""low52""),AE3235)"),18.39)</f>
        <v>18.39</v>
      </c>
      <c r="AI3235" s="1">
        <f ca="1">IFERROR(__xludf.DUMMYFUNCTION("IFERROR(GOOGLEFINANCE(B3235,""eps""),0)"),0.5)</f>
        <v>0.5</v>
      </c>
      <c r="AJ3235" s="1"/>
      <c r="AK3235" s="1" t="s">
        <v>9932</v>
      </c>
      <c r="AL3235" s="9">
        <f t="shared" si="311"/>
        <v>1</v>
      </c>
    </row>
    <row r="3236" spans="1:38" ht="15" x14ac:dyDescent="0.25">
      <c r="A3236" s="1" t="s">
        <v>9933</v>
      </c>
      <c r="B3236" s="1" t="s">
        <v>9934</v>
      </c>
      <c r="C3236" s="1" t="s">
        <v>778</v>
      </c>
      <c r="D3236" s="1" t="s">
        <v>778</v>
      </c>
      <c r="E3236" s="6">
        <v>759.81</v>
      </c>
      <c r="F3236" s="1" t="s">
        <v>40</v>
      </c>
      <c r="G3236" s="6">
        <f ca="1">IFERROR(__xludf.DUMMYFUNCTION("iferror(GOOGLEFINANCE(TRIM(F3236)&amp;"":"" &amp; TRIM(B3236), ""price""),0
)"),162)</f>
        <v>162</v>
      </c>
      <c r="H3236" s="6">
        <v>216.4</v>
      </c>
      <c r="I3236" s="6">
        <f t="shared" ca="1" si="0"/>
        <v>162</v>
      </c>
      <c r="J3236" s="6">
        <f ca="1">IFERROR(__xludf.DUMMYFUNCTION("IFERROR(GOOGLEFINANCE(B3236, ""volume""), 0)"),78629)</f>
        <v>78629</v>
      </c>
      <c r="K3236" s="6">
        <v>0.45</v>
      </c>
      <c r="L3236" s="6">
        <f ca="1">IFERROR(__xludf.DUMMYFUNCTION("IFERROR(GOOGLEFINANCE(B3236,""changepct""),K3236)"),3.26)</f>
        <v>3.26</v>
      </c>
      <c r="M3236" s="6">
        <f ca="1">IFERROR(__xludf.DUMMYFUNCTION("IFERROR(GOOGLEFINANCE(B3236,""change""),0)"),5.12)</f>
        <v>5.12</v>
      </c>
      <c r="N3236" s="6">
        <v>2</v>
      </c>
      <c r="O3236" s="7">
        <v>45536</v>
      </c>
      <c r="P3236" s="6">
        <v>71.78</v>
      </c>
      <c r="Q3236" s="6">
        <v>793.43</v>
      </c>
      <c r="R3236" s="7">
        <v>45536</v>
      </c>
      <c r="S3236" s="6">
        <v>661.58</v>
      </c>
      <c r="T3236" s="6">
        <v>36.1</v>
      </c>
      <c r="U3236" s="7">
        <v>45536</v>
      </c>
      <c r="V3236" s="6">
        <v>18.71</v>
      </c>
      <c r="W3236" s="6">
        <f ca="1">IFERROR(__xludf.DUMMYFUNCTION("IFERROR(GOOGLEFINANCE(B3236,""pe""),V3236)"),11.15)</f>
        <v>11.15</v>
      </c>
      <c r="X3236" s="6">
        <v>0.73</v>
      </c>
      <c r="Y3236" s="6">
        <v>0.87</v>
      </c>
      <c r="Z3236" s="6">
        <v>2</v>
      </c>
      <c r="AA3236" s="8">
        <v>45352</v>
      </c>
      <c r="AB3236" s="4">
        <v>0.12</v>
      </c>
      <c r="AC3236" s="6">
        <v>5.58</v>
      </c>
      <c r="AD3236" s="6">
        <v>7.1</v>
      </c>
      <c r="AE3236" s="1">
        <v>0</v>
      </c>
      <c r="AF3236" s="1">
        <f ca="1">IFERROR(__xludf.DUMMYFUNCTION("IFERROR(GOOGLEFINANCE(TRIM(F3236)&amp;"":"" &amp; TRIM(B3236),""high52""),AE3236)"),257.9)</f>
        <v>257.89999999999998</v>
      </c>
      <c r="AG3236" s="1">
        <v>0</v>
      </c>
      <c r="AH3236" s="1">
        <f ca="1">IFERROR(__xludf.DUMMYFUNCTION("IFERROR(GOOGLEFINANCE(TRIM(F3236)&amp;"":"" &amp; TRIM(B3236),""low52""),AE3236)"),138.48)</f>
        <v>138.47999999999999</v>
      </c>
      <c r="AI3236" s="1">
        <f ca="1">IFERROR(__xludf.DUMMYFUNCTION("IFERROR(GOOGLEFINANCE(B3236,""eps""),0)"),14.54)</f>
        <v>14.54</v>
      </c>
      <c r="AJ3236" s="1"/>
      <c r="AK3236" s="1" t="s">
        <v>9935</v>
      </c>
      <c r="AL3236" s="9">
        <f t="shared" si="311"/>
        <v>1</v>
      </c>
    </row>
    <row r="3237" spans="1:38" ht="15" x14ac:dyDescent="0.25">
      <c r="A3237" s="1" t="s">
        <v>9936</v>
      </c>
      <c r="B3237" s="1" t="s">
        <v>9937</v>
      </c>
      <c r="C3237" s="1" t="s">
        <v>186</v>
      </c>
      <c r="D3237" s="1" t="s">
        <v>186</v>
      </c>
      <c r="E3237" s="6">
        <v>2287.19</v>
      </c>
      <c r="F3237" s="1" t="s">
        <v>40</v>
      </c>
      <c r="G3237" s="6">
        <f ca="1">IFERROR(__xludf.DUMMYFUNCTION("iferror(GOOGLEFINANCE(TRIM(F3237)&amp;"":"" &amp; TRIM(B3237), ""price""),0
)"),657.25)</f>
        <v>657.25</v>
      </c>
      <c r="H3237" s="6">
        <v>924</v>
      </c>
      <c r="I3237" s="6">
        <f t="shared" ca="1" si="0"/>
        <v>657.25</v>
      </c>
      <c r="J3237" s="6">
        <f ca="1">IFERROR(__xludf.DUMMYFUNCTION("IFERROR(GOOGLEFINANCE(B3237, ""volume""), 0)"),20143)</f>
        <v>20143</v>
      </c>
      <c r="K3237" s="6">
        <v>1.37</v>
      </c>
      <c r="L3237" s="6">
        <f ca="1">IFERROR(__xludf.DUMMYFUNCTION("IFERROR(GOOGLEFINANCE(B3237,""changepct""),K3237)"),-3.34)</f>
        <v>-3.34</v>
      </c>
      <c r="M3237" s="6">
        <f ca="1">IFERROR(__xludf.DUMMYFUNCTION("IFERROR(GOOGLEFINANCE(B3237,""change""),0)"),-22.7)</f>
        <v>-22.7</v>
      </c>
      <c r="N3237" s="6">
        <v>2</v>
      </c>
      <c r="O3237" s="7">
        <v>45536</v>
      </c>
      <c r="P3237" s="6">
        <v>300.25</v>
      </c>
      <c r="Q3237" s="6">
        <v>2528.0300000000002</v>
      </c>
      <c r="R3237" s="7">
        <v>45536</v>
      </c>
      <c r="S3237" s="6">
        <v>1183.8800000000001</v>
      </c>
      <c r="T3237" s="6">
        <v>86.04</v>
      </c>
      <c r="U3237" s="7">
        <v>45536</v>
      </c>
      <c r="V3237" s="6">
        <v>26.57</v>
      </c>
      <c r="W3237" s="6">
        <f ca="1">IFERROR(__xludf.DUMMYFUNCTION("IFERROR(GOOGLEFINANCE(B3237,""pe""),V3237)"),14.96)</f>
        <v>14.96</v>
      </c>
      <c r="X3237" s="6">
        <v>6.48</v>
      </c>
      <c r="Y3237" s="6">
        <v>2.86</v>
      </c>
      <c r="Z3237" s="6">
        <v>2</v>
      </c>
      <c r="AA3237" s="8">
        <v>45352</v>
      </c>
      <c r="AB3237" s="4">
        <v>0.23</v>
      </c>
      <c r="AC3237" s="6">
        <v>12.47</v>
      </c>
      <c r="AD3237" s="6">
        <v>14.89</v>
      </c>
      <c r="AE3237" s="1">
        <v>0</v>
      </c>
      <c r="AF3237" s="1">
        <f ca="1">IFERROR(__xludf.DUMMYFUNCTION("IFERROR(GOOGLEFINANCE(TRIM(F3237)&amp;"":"" &amp; TRIM(B3237),""high52""),AE3237)"),949.7)</f>
        <v>949.7</v>
      </c>
      <c r="AG3237" s="1">
        <v>0</v>
      </c>
      <c r="AH3237" s="1">
        <f ca="1">IFERROR(__xludf.DUMMYFUNCTION("IFERROR(GOOGLEFINANCE(TRIM(F3237)&amp;"":"" &amp; TRIM(B3237),""low52""),AE3237)"),600)</f>
        <v>600</v>
      </c>
      <c r="AI3237" s="1">
        <f ca="1">IFERROR(__xludf.DUMMYFUNCTION("IFERROR(GOOGLEFINANCE(B3237,""eps""),0)"),43.94)</f>
        <v>43.94</v>
      </c>
      <c r="AJ3237" s="1"/>
      <c r="AK3237" s="1" t="s">
        <v>9938</v>
      </c>
      <c r="AL3237" s="9">
        <f t="shared" si="311"/>
        <v>1</v>
      </c>
    </row>
    <row r="3238" spans="1:38" ht="15" x14ac:dyDescent="0.25">
      <c r="A3238" s="1" t="s">
        <v>9939</v>
      </c>
      <c r="B3238" s="1" t="s">
        <v>9940</v>
      </c>
      <c r="C3238" s="1" t="s">
        <v>125</v>
      </c>
      <c r="D3238" s="1" t="s">
        <v>125</v>
      </c>
      <c r="E3238" s="6">
        <v>500.82</v>
      </c>
      <c r="F3238" s="1" t="s">
        <v>40</v>
      </c>
      <c r="G3238" s="6">
        <f ca="1">IFERROR(__xludf.DUMMYFUNCTION("iferror(GOOGLEFINANCE(TRIM(F3238)&amp;"":"" &amp; TRIM(B3238), ""price""),0
)"),255)</f>
        <v>255</v>
      </c>
      <c r="H3238" s="6">
        <v>400</v>
      </c>
      <c r="I3238" s="6">
        <f t="shared" ca="1" si="0"/>
        <v>255</v>
      </c>
      <c r="J3238" s="6">
        <f ca="1">IFERROR(__xludf.DUMMYFUNCTION("IFERROR(GOOGLEFINANCE(B3238, ""volume""), 0)"),822)</f>
        <v>822</v>
      </c>
      <c r="K3238" s="6">
        <v>-0.62</v>
      </c>
      <c r="L3238" s="6">
        <f ca="1">IFERROR(__xludf.DUMMYFUNCTION("IFERROR(GOOGLEFINANCE(B3238,""changepct""),K3238)"),-1.43)</f>
        <v>-1.43</v>
      </c>
      <c r="M3238" s="6">
        <f ca="1">IFERROR(__xludf.DUMMYFUNCTION("IFERROR(GOOGLEFINANCE(B3238,""change""),0)"),-3.7)</f>
        <v>-3.7</v>
      </c>
      <c r="N3238" s="6">
        <v>2</v>
      </c>
      <c r="O3238" s="7">
        <v>45536</v>
      </c>
      <c r="P3238" s="6">
        <v>20.86</v>
      </c>
      <c r="Q3238" s="6">
        <v>512.63</v>
      </c>
      <c r="R3238" s="7">
        <v>45536</v>
      </c>
      <c r="S3238" s="6">
        <v>180.25</v>
      </c>
      <c r="T3238" s="6">
        <v>6.06</v>
      </c>
      <c r="U3238" s="7">
        <v>45536</v>
      </c>
      <c r="V3238" s="6">
        <v>109.35</v>
      </c>
      <c r="W3238" s="6">
        <f ca="1">IFERROR(__xludf.DUMMYFUNCTION("IFERROR(GOOGLEFINANCE(B3238,""pe""),V3238)"),109.35)</f>
        <v>109.35</v>
      </c>
      <c r="X3238" s="6">
        <v>3.95</v>
      </c>
      <c r="Y3238" s="6">
        <v>6.88</v>
      </c>
      <c r="Z3238" s="6">
        <v>2</v>
      </c>
      <c r="AA3238" s="8">
        <v>45352</v>
      </c>
      <c r="AB3238" s="4">
        <v>-10.59</v>
      </c>
      <c r="AC3238" s="6">
        <v>0</v>
      </c>
      <c r="AD3238" s="6">
        <v>20.84</v>
      </c>
      <c r="AE3238" s="1">
        <v>0</v>
      </c>
      <c r="AF3238" s="1">
        <f ca="1">IFERROR(__xludf.DUMMYFUNCTION("IFERROR(GOOGLEFINANCE(TRIM(F3238)&amp;"":"" &amp; TRIM(B3238),""high52""),AE3238)"),468.9)</f>
        <v>468.9</v>
      </c>
      <c r="AG3238" s="1">
        <v>0</v>
      </c>
      <c r="AH3238" s="1">
        <f ca="1">IFERROR(__xludf.DUMMYFUNCTION("IFERROR(GOOGLEFINANCE(TRIM(F3238)&amp;"":"" &amp; TRIM(B3238),""low52""),AE3238)"),193.5)</f>
        <v>193.5</v>
      </c>
      <c r="AI3238" s="1">
        <f ca="1">IFERROR(__xludf.DUMMYFUNCTION("IFERROR(GOOGLEFINANCE(B3238,""eps""),0)"),-0.61)</f>
        <v>-0.61</v>
      </c>
      <c r="AJ3238" s="1"/>
      <c r="AK3238" s="1" t="s">
        <v>9941</v>
      </c>
      <c r="AL3238" s="9">
        <f t="shared" si="311"/>
        <v>1</v>
      </c>
    </row>
    <row r="3239" spans="1:38" ht="15" x14ac:dyDescent="0.25">
      <c r="A3239" s="1" t="s">
        <v>9942</v>
      </c>
      <c r="B3239" s="1" t="s">
        <v>9943</v>
      </c>
      <c r="C3239" s="1" t="s">
        <v>57</v>
      </c>
      <c r="D3239" s="1" t="s">
        <v>57</v>
      </c>
      <c r="E3239" s="6">
        <v>165.96</v>
      </c>
      <c r="F3239" s="1" t="s">
        <v>40</v>
      </c>
      <c r="G3239" s="6">
        <f ca="1">IFERROR(__xludf.DUMMYFUNCTION("iferror(GOOGLEFINANCE(TRIM(F3239)&amp;"":"" &amp; TRIM(B3239), ""price""),0
)"),0)</f>
        <v>0</v>
      </c>
      <c r="H3239" s="6">
        <v>127.1</v>
      </c>
      <c r="I3239" s="6">
        <f t="shared" ca="1" si="0"/>
        <v>127.1</v>
      </c>
      <c r="J3239" s="6">
        <f ca="1">IFERROR(__xludf.DUMMYFUNCTION("IFERROR(GOOGLEFINANCE(B3239, ""volume""), 0)"),0)</f>
        <v>0</v>
      </c>
      <c r="K3239" s="6">
        <v>0</v>
      </c>
      <c r="L3239" s="6">
        <f ca="1">IFERROR(__xludf.DUMMYFUNCTION("IFERROR(GOOGLEFINANCE(B3239,""changepct""),K3239)"),0)</f>
        <v>0</v>
      </c>
      <c r="M3239" s="6">
        <f ca="1">IFERROR(__xludf.DUMMYFUNCTION("IFERROR(GOOGLEFINANCE(B3239,""change""),0)"),0)</f>
        <v>0</v>
      </c>
      <c r="N3239" s="6">
        <v>1</v>
      </c>
      <c r="O3239" s="7">
        <v>45536</v>
      </c>
      <c r="P3239" s="6">
        <v>12.18</v>
      </c>
      <c r="Q3239" s="6">
        <v>178.14</v>
      </c>
      <c r="R3239" s="9"/>
      <c r="S3239" s="12"/>
      <c r="T3239" s="9"/>
      <c r="U3239" s="7">
        <v>45352</v>
      </c>
      <c r="V3239" s="6">
        <v>44.99</v>
      </c>
      <c r="W3239" s="6">
        <f ca="1">IFERROR(__xludf.DUMMYFUNCTION("IFERROR(GOOGLEFINANCE(B3239,""pe""),V3239)"),44.99)</f>
        <v>44.99</v>
      </c>
      <c r="X3239" s="9"/>
      <c r="Y3239" s="6">
        <v>4.79</v>
      </c>
      <c r="Z3239" s="6">
        <v>1</v>
      </c>
      <c r="AA3239" s="8">
        <v>45352</v>
      </c>
      <c r="AB3239" s="4">
        <v>1.1000000000000001</v>
      </c>
      <c r="AC3239" s="6">
        <v>38.049999999999997</v>
      </c>
      <c r="AD3239" s="6">
        <v>34.36</v>
      </c>
      <c r="AE3239" s="1">
        <v>0</v>
      </c>
      <c r="AF3239" s="1">
        <f ca="1">IFERROR(__xludf.DUMMYFUNCTION("IFERROR(GOOGLEFINANCE(TRIM(F3239)&amp;"":"" &amp; TRIM(B3239),""high52""),AE3239)"),0)</f>
        <v>0</v>
      </c>
      <c r="AG3239" s="1">
        <v>0</v>
      </c>
      <c r="AH3239" s="1">
        <f ca="1">IFERROR(__xludf.DUMMYFUNCTION("IFERROR(GOOGLEFINANCE(TRIM(F3239)&amp;"":"" &amp; TRIM(B3239),""low52""),AE3239)"),0)</f>
        <v>0</v>
      </c>
      <c r="AI3239" s="1">
        <f ca="1">IFERROR(__xludf.DUMMYFUNCTION("IFERROR(GOOGLEFINANCE(B3239,""eps""),0)"),0)</f>
        <v>0</v>
      </c>
      <c r="AJ3239" s="1"/>
      <c r="AK3239" s="9"/>
      <c r="AL3239" s="9">
        <f t="shared" si="311"/>
        <v>1</v>
      </c>
    </row>
    <row r="3240" spans="1:38" ht="15" x14ac:dyDescent="0.25">
      <c r="A3240" s="1" t="s">
        <v>9944</v>
      </c>
      <c r="B3240" s="1" t="s">
        <v>9945</v>
      </c>
      <c r="C3240" s="1" t="s">
        <v>125</v>
      </c>
      <c r="D3240" s="1" t="s">
        <v>125</v>
      </c>
      <c r="E3240" s="6">
        <v>394.61</v>
      </c>
      <c r="F3240" s="1" t="s">
        <v>40</v>
      </c>
      <c r="G3240" s="6">
        <f ca="1">IFERROR(__xludf.DUMMYFUNCTION("iferror(GOOGLEFINANCE(TRIM(F3240)&amp;"":"" &amp; TRIM(B3240), ""price""),0
)"),0)</f>
        <v>0</v>
      </c>
      <c r="H3240" s="6">
        <v>220</v>
      </c>
      <c r="I3240" s="6">
        <f t="shared" ca="1" si="0"/>
        <v>220</v>
      </c>
      <c r="J3240" s="6">
        <f ca="1">IFERROR(__xludf.DUMMYFUNCTION("IFERROR(GOOGLEFINANCE(B3240, ""volume""), 0)"),0)</f>
        <v>0</v>
      </c>
      <c r="K3240" s="6">
        <v>-1.57</v>
      </c>
      <c r="L3240" s="6">
        <f ca="1">IFERROR(__xludf.DUMMYFUNCTION("IFERROR(GOOGLEFINANCE(B3240,""changepct""),K3240)"),-1.57)</f>
        <v>-1.57</v>
      </c>
      <c r="M3240" s="6">
        <f ca="1">IFERROR(__xludf.DUMMYFUNCTION("IFERROR(GOOGLEFINANCE(B3240,""change""),0)"),0)</f>
        <v>0</v>
      </c>
      <c r="N3240" s="6">
        <v>1</v>
      </c>
      <c r="O3240" s="7">
        <v>45536</v>
      </c>
      <c r="P3240" s="6">
        <v>14</v>
      </c>
      <c r="Q3240" s="6">
        <v>408.61</v>
      </c>
      <c r="R3240" s="7">
        <v>45352</v>
      </c>
      <c r="S3240" s="6">
        <v>121.85</v>
      </c>
      <c r="T3240" s="6">
        <v>11.31</v>
      </c>
      <c r="U3240" s="7">
        <v>45352</v>
      </c>
      <c r="V3240" s="6">
        <v>34.9</v>
      </c>
      <c r="W3240" s="6">
        <f ca="1">IFERROR(__xludf.DUMMYFUNCTION("IFERROR(GOOGLEFINANCE(B3240,""pe""),V3240)"),34.9)</f>
        <v>34.9</v>
      </c>
      <c r="X3240" s="12"/>
      <c r="Y3240" s="6">
        <v>4.2300000000000004</v>
      </c>
      <c r="Z3240" s="6">
        <v>1</v>
      </c>
      <c r="AA3240" s="8">
        <v>45352</v>
      </c>
      <c r="AB3240" s="4">
        <v>0.19</v>
      </c>
      <c r="AC3240" s="6">
        <v>16.68</v>
      </c>
      <c r="AD3240" s="6">
        <v>19.190000000000001</v>
      </c>
      <c r="AE3240" s="1">
        <v>0</v>
      </c>
      <c r="AF3240" s="1">
        <f ca="1">IFERROR(__xludf.DUMMYFUNCTION("IFERROR(GOOGLEFINANCE(TRIM(F3240)&amp;"":"" &amp; TRIM(B3240),""high52""),AE3240)"),0)</f>
        <v>0</v>
      </c>
      <c r="AG3240" s="1">
        <v>0</v>
      </c>
      <c r="AH3240" s="1">
        <f ca="1">IFERROR(__xludf.DUMMYFUNCTION("IFERROR(GOOGLEFINANCE(TRIM(F3240)&amp;"":"" &amp; TRIM(B3240),""low52""),AE3240)"),0)</f>
        <v>0</v>
      </c>
      <c r="AI3240" s="1">
        <f ca="1">IFERROR(__xludf.DUMMYFUNCTION("IFERROR(GOOGLEFINANCE(B3240,""eps""),0)"),0)</f>
        <v>0</v>
      </c>
      <c r="AJ3240" s="1"/>
      <c r="AK3240" s="1" t="s">
        <v>9946</v>
      </c>
      <c r="AL3240" s="9">
        <f t="shared" si="311"/>
        <v>1</v>
      </c>
    </row>
    <row r="3241" spans="1:38" ht="15" x14ac:dyDescent="0.25">
      <c r="A3241" s="1" t="s">
        <v>9947</v>
      </c>
      <c r="B3241" s="1" t="s">
        <v>9948</v>
      </c>
      <c r="C3241" s="1" t="s">
        <v>9949</v>
      </c>
      <c r="D3241" s="1" t="s">
        <v>9949</v>
      </c>
      <c r="E3241" s="6">
        <v>37.619999999999997</v>
      </c>
      <c r="F3241" s="1" t="s">
        <v>53</v>
      </c>
      <c r="G3241" s="6">
        <f ca="1">IFERROR(__xludf.DUMMYFUNCTION("iferror(GOOGLEFINANCE(TRIM(F3241)&amp;"":"" &amp; TRIM(B3241), ""price""),0
)"),0)</f>
        <v>0</v>
      </c>
      <c r="H3241" s="6">
        <v>96.4</v>
      </c>
      <c r="I3241" s="6">
        <f t="shared" ca="1" si="0"/>
        <v>96.4</v>
      </c>
      <c r="J3241" s="6">
        <f ca="1">IFERROR(__xludf.DUMMYFUNCTION("IFERROR(GOOGLEFINANCE(B3241, ""volume""), 0)"),0)</f>
        <v>0</v>
      </c>
      <c r="K3241" s="6">
        <v>-0.06</v>
      </c>
      <c r="L3241" s="6">
        <f ca="1">IFERROR(__xludf.DUMMYFUNCTION("IFERROR(GOOGLEFINANCE(B3241,""changepct""),K3241)"),-0.06)</f>
        <v>-0.06</v>
      </c>
      <c r="M3241" s="6">
        <f ca="1">IFERROR(__xludf.DUMMYFUNCTION("IFERROR(GOOGLEFINANCE(B3241,""change""),0)"),0)</f>
        <v>0</v>
      </c>
      <c r="N3241" s="6">
        <v>1</v>
      </c>
      <c r="O3241" s="7">
        <v>45536</v>
      </c>
      <c r="P3241" s="6">
        <v>2.2599999999999998</v>
      </c>
      <c r="Q3241" s="6">
        <v>38.619999999999997</v>
      </c>
      <c r="R3241" s="7">
        <v>45536</v>
      </c>
      <c r="S3241" s="6">
        <v>7.4</v>
      </c>
      <c r="T3241" s="6">
        <v>0.64</v>
      </c>
      <c r="U3241" s="7">
        <v>45536</v>
      </c>
      <c r="V3241" s="6">
        <v>58.96</v>
      </c>
      <c r="W3241" s="6">
        <f ca="1">IFERROR(__xludf.DUMMYFUNCTION("IFERROR(GOOGLEFINANCE(B3241,""pe""),V3241)"),58.96)</f>
        <v>58.96</v>
      </c>
      <c r="X3241" s="9"/>
      <c r="Y3241" s="6">
        <v>2.38</v>
      </c>
      <c r="Z3241" s="6">
        <v>1</v>
      </c>
      <c r="AA3241" s="8">
        <v>45352</v>
      </c>
      <c r="AB3241" s="4">
        <v>0</v>
      </c>
      <c r="AC3241" s="6">
        <v>-2.99</v>
      </c>
      <c r="AD3241" s="6">
        <v>-6.38</v>
      </c>
      <c r="AE3241" s="1">
        <v>0</v>
      </c>
      <c r="AF3241" s="1">
        <f ca="1">IFERROR(__xludf.DUMMYFUNCTION("IFERROR(GOOGLEFINANCE(TRIM(F3241)&amp;"":"" &amp; TRIM(B3241),""high52""),AE3241)"),0)</f>
        <v>0</v>
      </c>
      <c r="AG3241" s="1">
        <v>0</v>
      </c>
      <c r="AH3241" s="1">
        <f ca="1">IFERROR(__xludf.DUMMYFUNCTION("IFERROR(GOOGLEFINANCE(TRIM(F3241)&amp;"":"" &amp; TRIM(B3241),""low52""),AE3241)"),0)</f>
        <v>0</v>
      </c>
      <c r="AI3241" s="1">
        <f ca="1">IFERROR(__xludf.DUMMYFUNCTION("IFERROR(GOOGLEFINANCE(B3241,""eps""),0)"),0)</f>
        <v>0</v>
      </c>
      <c r="AJ3241" s="1"/>
      <c r="AK3241" s="1" t="s">
        <v>9950</v>
      </c>
      <c r="AL3241" s="9">
        <f t="shared" si="311"/>
        <v>1</v>
      </c>
    </row>
    <row r="3242" spans="1:38" ht="15" x14ac:dyDescent="0.25">
      <c r="A3242" s="1" t="s">
        <v>9951</v>
      </c>
      <c r="B3242" s="1" t="s">
        <v>9952</v>
      </c>
      <c r="C3242" s="1" t="s">
        <v>9949</v>
      </c>
      <c r="D3242" s="1" t="s">
        <v>9949</v>
      </c>
      <c r="E3242" s="6">
        <v>13.23</v>
      </c>
      <c r="F3242" s="1" t="s">
        <v>53</v>
      </c>
      <c r="G3242" s="6">
        <f ca="1">IFERROR(__xludf.DUMMYFUNCTION("iferror(GOOGLEFINANCE(TRIM(F3242)&amp;"":"" &amp; TRIM(B3242), ""price""),0
)"),0)</f>
        <v>0</v>
      </c>
      <c r="H3242" s="6">
        <v>22.99</v>
      </c>
      <c r="I3242" s="6">
        <f t="shared" ca="1" si="0"/>
        <v>22.99</v>
      </c>
      <c r="J3242" s="6">
        <f ca="1">IFERROR(__xludf.DUMMYFUNCTION("IFERROR(GOOGLEFINANCE(B3242, ""volume""), 0)"),0)</f>
        <v>0</v>
      </c>
      <c r="K3242" s="6">
        <v>4.3099999999999996</v>
      </c>
      <c r="L3242" s="6">
        <f ca="1">IFERROR(__xludf.DUMMYFUNCTION("IFERROR(GOOGLEFINANCE(B3242,""changepct""),K3242)"),4.31)</f>
        <v>4.3099999999999996</v>
      </c>
      <c r="M3242" s="6">
        <f ca="1">IFERROR(__xludf.DUMMYFUNCTION("IFERROR(GOOGLEFINANCE(B3242,""change""),0)"),0)</f>
        <v>0</v>
      </c>
      <c r="N3242" s="6">
        <v>1</v>
      </c>
      <c r="O3242" s="7">
        <v>45536</v>
      </c>
      <c r="P3242" s="6">
        <v>9.18</v>
      </c>
      <c r="Q3242" s="6">
        <v>22.02</v>
      </c>
      <c r="R3242" s="7">
        <v>45536</v>
      </c>
      <c r="S3242" s="6">
        <v>18.88</v>
      </c>
      <c r="T3242" s="6">
        <v>-0.03</v>
      </c>
      <c r="U3242" s="7">
        <v>45536</v>
      </c>
      <c r="V3242" s="6">
        <v>0</v>
      </c>
      <c r="W3242" s="6">
        <f ca="1">IFERROR(__xludf.DUMMYFUNCTION("IFERROR(GOOGLEFINANCE(B3242,""pe""),V3242)"),0)</f>
        <v>0</v>
      </c>
      <c r="X3242" s="6">
        <v>0</v>
      </c>
      <c r="Y3242" s="6">
        <v>1.66</v>
      </c>
      <c r="Z3242" s="6">
        <v>1</v>
      </c>
      <c r="AA3242" s="8">
        <v>45352</v>
      </c>
      <c r="AB3242" s="4">
        <v>1.22</v>
      </c>
      <c r="AC3242" s="6">
        <v>-29.4</v>
      </c>
      <c r="AD3242" s="6">
        <v>-4.38</v>
      </c>
      <c r="AE3242" s="1">
        <v>0</v>
      </c>
      <c r="AF3242" s="1">
        <f ca="1">IFERROR(__xludf.DUMMYFUNCTION("IFERROR(GOOGLEFINANCE(TRIM(F3242)&amp;"":"" &amp; TRIM(B3242),""high52""),AE3242)"),0)</f>
        <v>0</v>
      </c>
      <c r="AG3242" s="1">
        <v>0</v>
      </c>
      <c r="AH3242" s="1">
        <f ca="1">IFERROR(__xludf.DUMMYFUNCTION("IFERROR(GOOGLEFINANCE(TRIM(F3242)&amp;"":"" &amp; TRIM(B3242),""low52""),AE3242)"),0)</f>
        <v>0</v>
      </c>
      <c r="AI3242" s="1">
        <f ca="1">IFERROR(__xludf.DUMMYFUNCTION("IFERROR(GOOGLEFINANCE(B3242,""eps""),0)"),0)</f>
        <v>0</v>
      </c>
      <c r="AJ3242" s="1"/>
      <c r="AK3242" s="1" t="s">
        <v>9953</v>
      </c>
      <c r="AL3242" s="9">
        <f t="shared" si="311"/>
        <v>1</v>
      </c>
    </row>
    <row r="3243" spans="1:38" ht="15" x14ac:dyDescent="0.25">
      <c r="A3243" s="1" t="s">
        <v>9954</v>
      </c>
      <c r="B3243" s="1" t="s">
        <v>9955</v>
      </c>
      <c r="C3243" s="1" t="s">
        <v>9949</v>
      </c>
      <c r="D3243" s="1" t="s">
        <v>9949</v>
      </c>
      <c r="E3243" s="6">
        <v>156.55000000000001</v>
      </c>
      <c r="F3243" s="1" t="s">
        <v>53</v>
      </c>
      <c r="G3243" s="6">
        <f ca="1">IFERROR(__xludf.DUMMYFUNCTION("iferror(GOOGLEFINANCE(TRIM(F3243)&amp;"":"" &amp; TRIM(B3243), ""price""),0
)"),0)</f>
        <v>0</v>
      </c>
      <c r="H3243" s="6">
        <v>6.25</v>
      </c>
      <c r="I3243" s="6">
        <f t="shared" ca="1" si="0"/>
        <v>6.25</v>
      </c>
      <c r="J3243" s="6">
        <f ca="1">IFERROR(__xludf.DUMMYFUNCTION("IFERROR(GOOGLEFINANCE(B3243, ""volume""), 0)"),0)</f>
        <v>0</v>
      </c>
      <c r="K3243" s="6">
        <v>0</v>
      </c>
      <c r="L3243" s="6">
        <f ca="1">IFERROR(__xludf.DUMMYFUNCTION("IFERROR(GOOGLEFINANCE(B3243,""changepct""),K3243)"),0)</f>
        <v>0</v>
      </c>
      <c r="M3243" s="6">
        <f ca="1">IFERROR(__xludf.DUMMYFUNCTION("IFERROR(GOOGLEFINANCE(B3243,""change""),0)"),0)</f>
        <v>0</v>
      </c>
      <c r="N3243" s="6">
        <v>2</v>
      </c>
      <c r="O3243" s="7">
        <v>45352</v>
      </c>
      <c r="P3243" s="6">
        <v>64.17</v>
      </c>
      <c r="Q3243" s="6">
        <v>210.62</v>
      </c>
      <c r="R3243" s="7">
        <v>45536</v>
      </c>
      <c r="S3243" s="6">
        <v>61.92</v>
      </c>
      <c r="T3243" s="6">
        <v>2.2400000000000002</v>
      </c>
      <c r="U3243" s="7">
        <v>45536</v>
      </c>
      <c r="V3243" s="6">
        <v>70.11</v>
      </c>
      <c r="W3243" s="6">
        <f ca="1">IFERROR(__xludf.DUMMYFUNCTION("IFERROR(GOOGLEFINANCE(B3243,""pe""),V3243)"),70.11)</f>
        <v>70.11</v>
      </c>
      <c r="X3243" s="6">
        <v>-129.83000000000001</v>
      </c>
      <c r="Y3243" s="6">
        <v>0.84</v>
      </c>
      <c r="Z3243" s="6">
        <v>2</v>
      </c>
      <c r="AA3243" s="8">
        <v>45352</v>
      </c>
      <c r="AB3243" s="4">
        <v>0.75</v>
      </c>
      <c r="AC3243" s="6">
        <v>1.89</v>
      </c>
      <c r="AD3243" s="6">
        <v>2.36</v>
      </c>
      <c r="AE3243" s="1">
        <v>0</v>
      </c>
      <c r="AF3243" s="1">
        <f ca="1">IFERROR(__xludf.DUMMYFUNCTION("IFERROR(GOOGLEFINANCE(TRIM(F3243)&amp;"":"" &amp; TRIM(B3243),""high52""),AE3243)"),0)</f>
        <v>0</v>
      </c>
      <c r="AG3243" s="1">
        <v>0</v>
      </c>
      <c r="AH3243" s="1">
        <f ca="1">IFERROR(__xludf.DUMMYFUNCTION("IFERROR(GOOGLEFINANCE(TRIM(F3243)&amp;"":"" &amp; TRIM(B3243),""low52""),AE3243)"),0)</f>
        <v>0</v>
      </c>
      <c r="AI3243" s="1">
        <f ca="1">IFERROR(__xludf.DUMMYFUNCTION("IFERROR(GOOGLEFINANCE(B3243,""eps""),0)"),0)</f>
        <v>0</v>
      </c>
      <c r="AJ3243" s="1"/>
      <c r="AK3243" s="1" t="s">
        <v>9956</v>
      </c>
      <c r="AL3243" s="9">
        <f t="shared" si="311"/>
        <v>1</v>
      </c>
    </row>
    <row r="3244" spans="1:38" ht="15" x14ac:dyDescent="0.25">
      <c r="A3244" s="1" t="s">
        <v>9957</v>
      </c>
      <c r="B3244" s="1" t="s">
        <v>9958</v>
      </c>
      <c r="C3244" s="1" t="s">
        <v>778</v>
      </c>
      <c r="D3244" s="1" t="s">
        <v>778</v>
      </c>
      <c r="E3244" s="6">
        <v>17.91</v>
      </c>
      <c r="F3244" s="1" t="s">
        <v>40</v>
      </c>
      <c r="G3244" s="6">
        <f ca="1">IFERROR(__xludf.DUMMYFUNCTION("iferror(GOOGLEFINANCE(TRIM(F3244)&amp;"":"" &amp; TRIM(B3244), ""price""),0
)"),13.69)</f>
        <v>13.69</v>
      </c>
      <c r="H3244" s="6">
        <v>15.81</v>
      </c>
      <c r="I3244" s="6">
        <f t="shared" ca="1" si="0"/>
        <v>13.69</v>
      </c>
      <c r="J3244" s="6">
        <f ca="1">IFERROR(__xludf.DUMMYFUNCTION("IFERROR(GOOGLEFINANCE(B3244, ""volume""), 0)"),10138)</f>
        <v>10138</v>
      </c>
      <c r="K3244" s="6">
        <v>-2.04</v>
      </c>
      <c r="L3244" s="6">
        <f ca="1">IFERROR(__xludf.DUMMYFUNCTION("IFERROR(GOOGLEFINANCE(B3244,""changepct""),K3244)"),1.94)</f>
        <v>1.94</v>
      </c>
      <c r="M3244" s="6">
        <f ca="1">IFERROR(__xludf.DUMMYFUNCTION("IFERROR(GOOGLEFINANCE(B3244,""change""),0)"),0.26)</f>
        <v>0.26</v>
      </c>
      <c r="N3244" s="6">
        <v>1</v>
      </c>
      <c r="O3244" s="7">
        <v>45536</v>
      </c>
      <c r="P3244" s="6">
        <v>2.0099999999999998</v>
      </c>
      <c r="Q3244" s="6">
        <v>19.91</v>
      </c>
      <c r="R3244" s="7">
        <v>45536</v>
      </c>
      <c r="S3244" s="6">
        <v>1.88</v>
      </c>
      <c r="T3244" s="6">
        <v>-1.0900000000000001</v>
      </c>
      <c r="U3244" s="7">
        <v>45536</v>
      </c>
      <c r="V3244" s="6">
        <v>0</v>
      </c>
      <c r="W3244" s="6">
        <f ca="1">IFERROR(__xludf.DUMMYFUNCTION("IFERROR(GOOGLEFINANCE(B3244,""pe""),V3244)"),0)</f>
        <v>0</v>
      </c>
      <c r="X3244" s="6">
        <v>0</v>
      </c>
      <c r="Y3244" s="6">
        <v>-9.51</v>
      </c>
      <c r="Z3244" s="6">
        <v>1</v>
      </c>
      <c r="AA3244" s="8">
        <v>45352</v>
      </c>
      <c r="AB3244" s="4">
        <v>-1.59</v>
      </c>
      <c r="AC3244" s="6">
        <v>0</v>
      </c>
      <c r="AD3244" s="6">
        <v>-23.39</v>
      </c>
      <c r="AE3244" s="1">
        <v>0</v>
      </c>
      <c r="AF3244" s="1">
        <f ca="1">IFERROR(__xludf.DUMMYFUNCTION("IFERROR(GOOGLEFINANCE(TRIM(F3244)&amp;"":"" &amp; TRIM(B3244),""high52""),AE3244)"),13.69)</f>
        <v>13.69</v>
      </c>
      <c r="AG3244" s="1">
        <v>0</v>
      </c>
      <c r="AH3244" s="1">
        <f ca="1">IFERROR(__xludf.DUMMYFUNCTION("IFERROR(GOOGLEFINANCE(TRIM(F3244)&amp;"":"" &amp; TRIM(B3244),""low52""),AE3244)"),3.69)</f>
        <v>3.69</v>
      </c>
      <c r="AI3244" s="1">
        <f ca="1">IFERROR(__xludf.DUMMYFUNCTION("IFERROR(GOOGLEFINANCE(B3244,""eps""),0)"),-0.45)</f>
        <v>-0.45</v>
      </c>
      <c r="AJ3244" s="1"/>
      <c r="AK3244" s="1" t="s">
        <v>9959</v>
      </c>
      <c r="AL3244" s="9">
        <f t="shared" si="311"/>
        <v>1</v>
      </c>
    </row>
    <row r="3245" spans="1:38" ht="15" x14ac:dyDescent="0.25">
      <c r="A3245" s="1" t="s">
        <v>9960</v>
      </c>
      <c r="B3245" s="1" t="s">
        <v>9961</v>
      </c>
      <c r="C3245" s="1" t="s">
        <v>483</v>
      </c>
      <c r="D3245" s="1" t="s">
        <v>483</v>
      </c>
      <c r="E3245" s="6">
        <v>23.06</v>
      </c>
      <c r="F3245" s="1" t="s">
        <v>40</v>
      </c>
      <c r="G3245" s="6">
        <f ca="1">IFERROR(__xludf.DUMMYFUNCTION("iferror(GOOGLEFINANCE(TRIM(F3245)&amp;"":"" &amp; TRIM(B3245), ""price""),0
)"),0)</f>
        <v>0</v>
      </c>
      <c r="H3245" s="6">
        <v>15.3</v>
      </c>
      <c r="I3245" s="6">
        <f t="shared" ca="1" si="0"/>
        <v>15.3</v>
      </c>
      <c r="J3245" s="6">
        <f ca="1">IFERROR(__xludf.DUMMYFUNCTION("IFERROR(GOOGLEFINANCE(B3245, ""volume""), 0)"),0)</f>
        <v>0</v>
      </c>
      <c r="K3245" s="9"/>
      <c r="L3245" s="6" t="str">
        <f ca="1">IFERROR(__xludf.DUMMYFUNCTION("IFERROR(GOOGLEFINANCE(B3245,""changepct""),K3245)"),"")</f>
        <v/>
      </c>
      <c r="M3245" s="6">
        <f ca="1">IFERROR(__xludf.DUMMYFUNCTION("IFERROR(GOOGLEFINANCE(B3245,""change""),0)"),0)</f>
        <v>0</v>
      </c>
      <c r="N3245" s="6">
        <v>1</v>
      </c>
      <c r="O3245" s="7">
        <v>45536</v>
      </c>
      <c r="P3245" s="6">
        <v>23.8</v>
      </c>
      <c r="Q3245" s="6">
        <v>46.86</v>
      </c>
      <c r="R3245" s="7">
        <v>45352</v>
      </c>
      <c r="S3245" s="6">
        <v>126.17</v>
      </c>
      <c r="T3245" s="6">
        <v>4.34</v>
      </c>
      <c r="U3245" s="7">
        <v>45352</v>
      </c>
      <c r="V3245" s="6">
        <v>5.32</v>
      </c>
      <c r="W3245" s="6">
        <f ca="1">IFERROR(__xludf.DUMMYFUNCTION("IFERROR(GOOGLEFINANCE(B3245,""pe""),V3245)"),5.32)</f>
        <v>5.32</v>
      </c>
      <c r="X3245" s="9"/>
      <c r="Y3245" s="6">
        <v>0.81</v>
      </c>
      <c r="Z3245" s="6">
        <v>1</v>
      </c>
      <c r="AA3245" s="8">
        <v>45352</v>
      </c>
      <c r="AB3245" s="4">
        <v>0.68</v>
      </c>
      <c r="AC3245" s="6">
        <v>16.03</v>
      </c>
      <c r="AD3245" s="6">
        <v>17</v>
      </c>
      <c r="AE3245" s="1">
        <v>0</v>
      </c>
      <c r="AF3245" s="1">
        <f ca="1">IFERROR(__xludf.DUMMYFUNCTION("IFERROR(GOOGLEFINANCE(TRIM(F3245)&amp;"":"" &amp; TRIM(B3245),""high52""),AE3245)"),0)</f>
        <v>0</v>
      </c>
      <c r="AG3245" s="1">
        <v>0</v>
      </c>
      <c r="AH3245" s="1">
        <f ca="1">IFERROR(__xludf.DUMMYFUNCTION("IFERROR(GOOGLEFINANCE(TRIM(F3245)&amp;"":"" &amp; TRIM(B3245),""low52""),AE3245)"),0)</f>
        <v>0</v>
      </c>
      <c r="AI3245" s="1">
        <f ca="1">IFERROR(__xludf.DUMMYFUNCTION("IFERROR(GOOGLEFINANCE(B3245,""eps""),0)"),0)</f>
        <v>0</v>
      </c>
      <c r="AJ3245" s="1"/>
      <c r="AK3245" s="1" t="s">
        <v>9962</v>
      </c>
      <c r="AL3245" s="9">
        <f t="shared" si="311"/>
        <v>1</v>
      </c>
    </row>
    <row r="3246" spans="1:38" ht="15" x14ac:dyDescent="0.25">
      <c r="A3246" s="1" t="s">
        <v>9963</v>
      </c>
      <c r="B3246" s="1" t="s">
        <v>9964</v>
      </c>
      <c r="C3246" s="1" t="s">
        <v>86</v>
      </c>
      <c r="D3246" s="1" t="s">
        <v>86</v>
      </c>
      <c r="E3246" s="6">
        <v>464.44</v>
      </c>
      <c r="F3246" s="1" t="s">
        <v>40</v>
      </c>
      <c r="G3246" s="6">
        <f ca="1">IFERROR(__xludf.DUMMYFUNCTION("iferror(GOOGLEFINANCE(TRIM(F3246)&amp;"":"" &amp; TRIM(B3246), ""price""),0
)"),6.4)</f>
        <v>6.4</v>
      </c>
      <c r="H3246" s="6">
        <v>27.29</v>
      </c>
      <c r="I3246" s="6">
        <f t="shared" ca="1" si="0"/>
        <v>6.4</v>
      </c>
      <c r="J3246" s="6">
        <f ca="1">IFERROR(__xludf.DUMMYFUNCTION("IFERROR(GOOGLEFINANCE(B3246, ""volume""), 0)"),58655)</f>
        <v>58655</v>
      </c>
      <c r="K3246" s="6">
        <v>0.89</v>
      </c>
      <c r="L3246" s="6">
        <f ca="1">IFERROR(__xludf.DUMMYFUNCTION("IFERROR(GOOGLEFINANCE(B3246,""changepct""),K3246)"),-1.23)</f>
        <v>-1.23</v>
      </c>
      <c r="M3246" s="6">
        <f ca="1">IFERROR(__xludf.DUMMYFUNCTION("IFERROR(GOOGLEFINANCE(B3246,""change""),0)"),-0.08)</f>
        <v>-0.08</v>
      </c>
      <c r="N3246" s="6">
        <v>2</v>
      </c>
      <c r="O3246" s="7">
        <v>45536</v>
      </c>
      <c r="P3246" s="6">
        <v>3724.74</v>
      </c>
      <c r="Q3246" s="6">
        <v>4142.16</v>
      </c>
      <c r="R3246" s="7">
        <v>45536</v>
      </c>
      <c r="S3246" s="6">
        <v>1280.04</v>
      </c>
      <c r="T3246" s="6">
        <v>-454.69</v>
      </c>
      <c r="U3246" s="7">
        <v>45536</v>
      </c>
      <c r="V3246" s="6">
        <v>0</v>
      </c>
      <c r="W3246" s="6">
        <f ca="1">IFERROR(__xludf.DUMMYFUNCTION("IFERROR(GOOGLEFINANCE(B3246,""pe""),V3246)"),0)</f>
        <v>0</v>
      </c>
      <c r="X3246" s="14"/>
      <c r="Y3246" s="6">
        <v>-4.25</v>
      </c>
      <c r="Z3246" s="6">
        <v>2</v>
      </c>
      <c r="AA3246" s="8">
        <v>45352</v>
      </c>
      <c r="AB3246" s="4">
        <v>-32.950000000000003</v>
      </c>
      <c r="AC3246" s="6">
        <v>-3474.83</v>
      </c>
      <c r="AD3246" s="6">
        <v>-5.04</v>
      </c>
      <c r="AE3246" s="1">
        <v>0</v>
      </c>
      <c r="AF3246" s="1">
        <f ca="1">IFERROR(__xludf.DUMMYFUNCTION("IFERROR(GOOGLEFINANCE(TRIM(F3246)&amp;"":"" &amp; TRIM(B3246),""high52""),AE3246)"),19.35)</f>
        <v>19.350000000000001</v>
      </c>
      <c r="AG3246" s="1">
        <v>0</v>
      </c>
      <c r="AH3246" s="1">
        <f ca="1">IFERROR(__xludf.DUMMYFUNCTION("IFERROR(GOOGLEFINANCE(TRIM(F3246)&amp;"":"" &amp; TRIM(B3246),""low52""),AE3246)"),6.1)</f>
        <v>6.1</v>
      </c>
      <c r="AI3246" s="1">
        <f ca="1">IFERROR(__xludf.DUMMYFUNCTION("IFERROR(GOOGLEFINANCE(B3246,""eps""),0)"),-9.59)</f>
        <v>-9.59</v>
      </c>
      <c r="AJ3246" s="1"/>
      <c r="AK3246" s="1" t="s">
        <v>9965</v>
      </c>
      <c r="AL3246" s="9">
        <f t="shared" si="311"/>
        <v>1</v>
      </c>
    </row>
    <row r="3247" spans="1:38" ht="15" x14ac:dyDescent="0.25">
      <c r="A3247" s="1" t="s">
        <v>9966</v>
      </c>
      <c r="B3247" s="1" t="s">
        <v>9967</v>
      </c>
      <c r="C3247" s="1" t="s">
        <v>86</v>
      </c>
      <c r="D3247" s="1" t="s">
        <v>86</v>
      </c>
      <c r="E3247" s="6">
        <v>231.41</v>
      </c>
      <c r="F3247" s="1" t="s">
        <v>40</v>
      </c>
      <c r="G3247" s="6">
        <f ca="1">IFERROR(__xludf.DUMMYFUNCTION("iferror(GOOGLEFINANCE(TRIM(F3247)&amp;"":"" &amp; TRIM(B3247), ""price""),0
)"),3.55)</f>
        <v>3.55</v>
      </c>
      <c r="H3247" s="6">
        <v>6.72</v>
      </c>
      <c r="I3247" s="6">
        <f t="shared" ca="1" si="0"/>
        <v>3.55</v>
      </c>
      <c r="J3247" s="6">
        <f ca="1">IFERROR(__xludf.DUMMYFUNCTION("IFERROR(GOOGLEFINANCE(B3247, ""volume""), 0)"),82305)</f>
        <v>82305</v>
      </c>
      <c r="K3247" s="6">
        <v>2.13</v>
      </c>
      <c r="L3247" s="6">
        <f ca="1">IFERROR(__xludf.DUMMYFUNCTION("IFERROR(GOOGLEFINANCE(B3247,""changepct""),K3247)"),-1.11)</f>
        <v>-1.1100000000000001</v>
      </c>
      <c r="M3247" s="6">
        <f ca="1">IFERROR(__xludf.DUMMYFUNCTION("IFERROR(GOOGLEFINANCE(B3247,""change""),0)"),-0.04)</f>
        <v>-0.04</v>
      </c>
      <c r="N3247" s="6">
        <v>2</v>
      </c>
      <c r="O3247" s="7">
        <v>45536</v>
      </c>
      <c r="P3247" s="6">
        <v>3306.79</v>
      </c>
      <c r="Q3247" s="6">
        <v>3503.3</v>
      </c>
      <c r="R3247" s="7">
        <v>45536</v>
      </c>
      <c r="S3247" s="6">
        <v>708.24</v>
      </c>
      <c r="T3247" s="6">
        <v>-185.53</v>
      </c>
      <c r="U3247" s="7">
        <v>45536</v>
      </c>
      <c r="V3247" s="6">
        <v>0</v>
      </c>
      <c r="W3247" s="6">
        <f ca="1">IFERROR(__xludf.DUMMYFUNCTION("IFERROR(GOOGLEFINANCE(B3247,""pe""),V3247)"),0)</f>
        <v>0</v>
      </c>
      <c r="X3247" s="6">
        <v>0</v>
      </c>
      <c r="Y3247" s="6">
        <v>-0.43</v>
      </c>
      <c r="Z3247" s="6">
        <v>2</v>
      </c>
      <c r="AA3247" s="8">
        <v>45352</v>
      </c>
      <c r="AB3247" s="4">
        <v>-6.51</v>
      </c>
      <c r="AC3247" s="6">
        <v>0</v>
      </c>
      <c r="AD3247" s="6">
        <v>-3.49</v>
      </c>
      <c r="AE3247" s="1">
        <v>0</v>
      </c>
      <c r="AF3247" s="1">
        <f ca="1">IFERROR(__xludf.DUMMYFUNCTION("IFERROR(GOOGLEFINANCE(TRIM(F3247)&amp;"":"" &amp; TRIM(B3247),""high52""),AE3247)"),6.5)</f>
        <v>6.5</v>
      </c>
      <c r="AG3247" s="1">
        <v>0</v>
      </c>
      <c r="AH3247" s="1">
        <f ca="1">IFERROR(__xludf.DUMMYFUNCTION("IFERROR(GOOGLEFINANCE(TRIM(F3247)&amp;"":"" &amp; TRIM(B3247),""low52""),AE3247)"),3.1)</f>
        <v>3.1</v>
      </c>
      <c r="AI3247" s="1">
        <f ca="1">IFERROR(__xludf.DUMMYFUNCTION("IFERROR(GOOGLEFINANCE(B3247,""eps""),0)"),-1.98)</f>
        <v>-1.98</v>
      </c>
      <c r="AJ3247" s="1"/>
      <c r="AK3247" s="1" t="s">
        <v>9968</v>
      </c>
      <c r="AL3247" s="9">
        <f t="shared" si="311"/>
        <v>1</v>
      </c>
    </row>
    <row r="3248" spans="1:38" ht="15" x14ac:dyDescent="0.25">
      <c r="A3248" s="1" t="s">
        <v>9969</v>
      </c>
      <c r="B3248" s="1" t="s">
        <v>9970</v>
      </c>
      <c r="C3248" s="1" t="s">
        <v>135</v>
      </c>
      <c r="D3248" s="1" t="s">
        <v>135</v>
      </c>
      <c r="E3248" s="6">
        <v>1390.77</v>
      </c>
      <c r="F3248" s="1" t="s">
        <v>40</v>
      </c>
      <c r="G3248" s="6">
        <f ca="1">IFERROR(__xludf.DUMMYFUNCTION("iferror(GOOGLEFINANCE(TRIM(F3248)&amp;"":"" &amp; TRIM(B3248), ""price""),0
)"),6.06)</f>
        <v>6.06</v>
      </c>
      <c r="H3248" s="6">
        <v>42.11</v>
      </c>
      <c r="I3248" s="6">
        <f t="shared" ca="1" si="0"/>
        <v>6.06</v>
      </c>
      <c r="J3248" s="6">
        <f ca="1">IFERROR(__xludf.DUMMYFUNCTION("IFERROR(GOOGLEFINANCE(B3248, ""volume""), 0)"),555367)</f>
        <v>555367</v>
      </c>
      <c r="K3248" s="6">
        <v>0.31</v>
      </c>
      <c r="L3248" s="6">
        <f ca="1">IFERROR(__xludf.DUMMYFUNCTION("IFERROR(GOOGLEFINANCE(B3248,""changepct""),K3248)"),-0.82)</f>
        <v>-0.82</v>
      </c>
      <c r="M3248" s="6">
        <f ca="1">IFERROR(__xludf.DUMMYFUNCTION("IFERROR(GOOGLEFINANCE(B3248,""change""),0)"),-0.05)</f>
        <v>-0.05</v>
      </c>
      <c r="N3248" s="6">
        <v>2</v>
      </c>
      <c r="O3248" s="7">
        <v>45536</v>
      </c>
      <c r="P3248" s="6">
        <v>251.8</v>
      </c>
      <c r="Q3248" s="6">
        <v>1634.31</v>
      </c>
      <c r="R3248" s="7">
        <v>45536</v>
      </c>
      <c r="S3248" s="6">
        <v>187.61</v>
      </c>
      <c r="T3248" s="6">
        <v>2.33</v>
      </c>
      <c r="U3248" s="7">
        <v>45536</v>
      </c>
      <c r="V3248" s="6">
        <v>596.9</v>
      </c>
      <c r="W3248" s="6">
        <f ca="1">IFERROR(__xludf.DUMMYFUNCTION("IFERROR(GOOGLEFINANCE(B3248,""pe""),V3248)"),596.9)</f>
        <v>596.9</v>
      </c>
      <c r="X3248" s="6">
        <v>-13.49</v>
      </c>
      <c r="Y3248" s="6">
        <v>6.12</v>
      </c>
      <c r="Z3248" s="6">
        <v>2</v>
      </c>
      <c r="AA3248" s="8">
        <v>45352</v>
      </c>
      <c r="AB3248" s="4">
        <v>1.01</v>
      </c>
      <c r="AC3248" s="6">
        <v>1.88</v>
      </c>
      <c r="AD3248" s="6">
        <v>7.65</v>
      </c>
      <c r="AE3248" s="1">
        <v>0</v>
      </c>
      <c r="AF3248" s="1">
        <f ca="1">IFERROR(__xludf.DUMMYFUNCTION("IFERROR(GOOGLEFINANCE(TRIM(F3248)&amp;"":"" &amp; TRIM(B3248),""high52""),AE3248)"),35.16)</f>
        <v>35.159999999999997</v>
      </c>
      <c r="AG3248" s="1">
        <v>0</v>
      </c>
      <c r="AH3248" s="1">
        <f ca="1">IFERROR(__xludf.DUMMYFUNCTION("IFERROR(GOOGLEFINANCE(TRIM(F3248)&amp;"":"" &amp; TRIM(B3248),""low52""),AE3248)"),5.59)</f>
        <v>5.59</v>
      </c>
      <c r="AI3248" s="1">
        <f ca="1">IFERROR(__xludf.DUMMYFUNCTION("IFERROR(GOOGLEFINANCE(B3248,""eps""),0)"),-0.66)</f>
        <v>-0.66</v>
      </c>
      <c r="AJ3248" s="1"/>
      <c r="AK3248" s="1" t="s">
        <v>9971</v>
      </c>
      <c r="AL3248" s="9">
        <f t="shared" si="311"/>
        <v>1</v>
      </c>
    </row>
    <row r="3249" spans="1:38" ht="15" x14ac:dyDescent="0.25">
      <c r="A3249" s="1" t="s">
        <v>9972</v>
      </c>
      <c r="B3249" s="1" t="s">
        <v>9973</v>
      </c>
      <c r="C3249" s="1" t="s">
        <v>231</v>
      </c>
      <c r="D3249" s="1" t="s">
        <v>231</v>
      </c>
      <c r="E3249" s="6">
        <v>208.69</v>
      </c>
      <c r="F3249" s="1" t="s">
        <v>40</v>
      </c>
      <c r="G3249" s="6">
        <f ca="1">IFERROR(__xludf.DUMMYFUNCTION("iferror(GOOGLEFINANCE(TRIM(F3249)&amp;"":"" &amp; TRIM(B3249), ""price""),0
)"),0)</f>
        <v>0</v>
      </c>
      <c r="H3249" s="6">
        <v>156.6</v>
      </c>
      <c r="I3249" s="6">
        <f t="shared" ca="1" si="0"/>
        <v>156.6</v>
      </c>
      <c r="J3249" s="6">
        <f ca="1">IFERROR(__xludf.DUMMYFUNCTION("IFERROR(GOOGLEFINANCE(B3249, ""volume""), 0)"),0)</f>
        <v>0</v>
      </c>
      <c r="K3249" s="6">
        <v>7.7</v>
      </c>
      <c r="L3249" s="6">
        <f ca="1">IFERROR(__xludf.DUMMYFUNCTION("IFERROR(GOOGLEFINANCE(B3249,""changepct""),K3249)"),7.7)</f>
        <v>7.7</v>
      </c>
      <c r="M3249" s="6">
        <f ca="1">IFERROR(__xludf.DUMMYFUNCTION("IFERROR(GOOGLEFINANCE(B3249,""change""),0)"),0)</f>
        <v>0</v>
      </c>
      <c r="N3249" s="6">
        <v>1</v>
      </c>
      <c r="O3249" s="7">
        <v>45536</v>
      </c>
      <c r="P3249" s="6">
        <v>105.77</v>
      </c>
      <c r="Q3249" s="6">
        <v>314.45</v>
      </c>
      <c r="R3249" s="7">
        <v>45352</v>
      </c>
      <c r="S3249" s="6">
        <v>84.25</v>
      </c>
      <c r="T3249" s="6">
        <v>9.14</v>
      </c>
      <c r="U3249" s="7">
        <v>45352</v>
      </c>
      <c r="V3249" s="6">
        <v>22.82</v>
      </c>
      <c r="W3249" s="6">
        <f ca="1">IFERROR(__xludf.DUMMYFUNCTION("IFERROR(GOOGLEFINANCE(B3249,""pe""),V3249)"),22.82)</f>
        <v>22.82</v>
      </c>
      <c r="X3249" s="12"/>
      <c r="Y3249" s="6">
        <v>2.37</v>
      </c>
      <c r="Z3249" s="6">
        <v>1</v>
      </c>
      <c r="AA3249" s="8">
        <v>45352</v>
      </c>
      <c r="AB3249" s="4">
        <v>0.76</v>
      </c>
      <c r="AC3249" s="6">
        <v>14.18</v>
      </c>
      <c r="AD3249" s="6">
        <v>14</v>
      </c>
      <c r="AE3249" s="1">
        <v>0</v>
      </c>
      <c r="AF3249" s="1">
        <f ca="1">IFERROR(__xludf.DUMMYFUNCTION("IFERROR(GOOGLEFINANCE(TRIM(F3249)&amp;"":"" &amp; TRIM(B3249),""high52""),AE3249)"),0)</f>
        <v>0</v>
      </c>
      <c r="AG3249" s="1">
        <v>0</v>
      </c>
      <c r="AH3249" s="1">
        <f ca="1">IFERROR(__xludf.DUMMYFUNCTION("IFERROR(GOOGLEFINANCE(TRIM(F3249)&amp;"":"" &amp; TRIM(B3249),""low52""),AE3249)"),0)</f>
        <v>0</v>
      </c>
      <c r="AI3249" s="1">
        <f ca="1">IFERROR(__xludf.DUMMYFUNCTION("IFERROR(GOOGLEFINANCE(B3249,""eps""),0)"),0)</f>
        <v>0</v>
      </c>
      <c r="AJ3249" s="1"/>
      <c r="AK3249" s="1" t="s">
        <v>9974</v>
      </c>
      <c r="AL3249" s="9">
        <f t="shared" si="311"/>
        <v>1</v>
      </c>
    </row>
    <row r="3250" spans="1:38" ht="15" x14ac:dyDescent="0.25">
      <c r="A3250" s="1" t="s">
        <v>9975</v>
      </c>
      <c r="B3250" s="1" t="s">
        <v>9976</v>
      </c>
      <c r="C3250" s="1" t="s">
        <v>151</v>
      </c>
      <c r="D3250" s="1" t="s">
        <v>151</v>
      </c>
      <c r="E3250" s="6">
        <v>12594.74</v>
      </c>
      <c r="F3250" s="1" t="s">
        <v>40</v>
      </c>
      <c r="G3250" s="6">
        <f ca="1">IFERROR(__xludf.DUMMYFUNCTION("iferror(GOOGLEFINANCE(TRIM(F3250)&amp;"":"" &amp; TRIM(B3250), ""price""),0
)"),1993.2)</f>
        <v>1993.2</v>
      </c>
      <c r="H3250" s="6">
        <v>2618.85</v>
      </c>
      <c r="I3250" s="6">
        <f t="shared" ca="1" si="0"/>
        <v>1993.2</v>
      </c>
      <c r="J3250" s="6">
        <f ca="1">IFERROR(__xludf.DUMMYFUNCTION("IFERROR(GOOGLEFINANCE(B3250, ""volume""), 0)"),116498)</f>
        <v>116498</v>
      </c>
      <c r="K3250" s="6">
        <v>1.55</v>
      </c>
      <c r="L3250" s="6">
        <f ca="1">IFERROR(__xludf.DUMMYFUNCTION("IFERROR(GOOGLEFINANCE(B3250,""changepct""),K3250)"),-0.41)</f>
        <v>-0.41</v>
      </c>
      <c r="M3250" s="6">
        <f ca="1">IFERROR(__xludf.DUMMYFUNCTION("IFERROR(GOOGLEFINANCE(B3250,""change""),0)"),-8.2)</f>
        <v>-8.1999999999999993</v>
      </c>
      <c r="N3250" s="6">
        <v>2</v>
      </c>
      <c r="O3250" s="7">
        <v>45536</v>
      </c>
      <c r="P3250" s="6">
        <v>55.08</v>
      </c>
      <c r="Q3250" s="6">
        <v>12370.42</v>
      </c>
      <c r="R3250" s="7">
        <v>45536</v>
      </c>
      <c r="S3250" s="6">
        <v>1661.53</v>
      </c>
      <c r="T3250" s="6">
        <v>160.18</v>
      </c>
      <c r="U3250" s="7">
        <v>45536</v>
      </c>
      <c r="V3250" s="6">
        <v>78.63</v>
      </c>
      <c r="W3250" s="6">
        <f ca="1">IFERROR(__xludf.DUMMYFUNCTION("IFERROR(GOOGLEFINANCE(B3250,""pe""),V3250)"),58.75)</f>
        <v>58.75</v>
      </c>
      <c r="X3250" s="6">
        <v>1.74</v>
      </c>
      <c r="Y3250" s="6">
        <v>14.12</v>
      </c>
      <c r="Z3250" s="6">
        <v>2</v>
      </c>
      <c r="AA3250" s="8">
        <v>45352</v>
      </c>
      <c r="AB3250" s="4">
        <v>0.05</v>
      </c>
      <c r="AC3250" s="6">
        <v>28.37</v>
      </c>
      <c r="AD3250" s="6">
        <v>35.479999999999997</v>
      </c>
      <c r="AE3250" s="1">
        <v>0</v>
      </c>
      <c r="AF3250" s="1">
        <f ca="1">IFERROR(__xludf.DUMMYFUNCTION("IFERROR(GOOGLEFINANCE(TRIM(F3250)&amp;"":"" &amp; TRIM(B3250),""high52""),AE3250)"),2543.95)</f>
        <v>2543.9499999999998</v>
      </c>
      <c r="AG3250" s="1">
        <v>0</v>
      </c>
      <c r="AH3250" s="1">
        <f ca="1">IFERROR(__xludf.DUMMYFUNCTION("IFERROR(GOOGLEFINANCE(TRIM(F3250)&amp;"":"" &amp; TRIM(B3250),""low52""),AE3250)"),1670.15)</f>
        <v>1670.15</v>
      </c>
      <c r="AI3250" s="1">
        <f ca="1">IFERROR(__xludf.DUMMYFUNCTION("IFERROR(GOOGLEFINANCE(B3250,""eps""),0)"),33.93)</f>
        <v>33.93</v>
      </c>
      <c r="AJ3250" s="1"/>
      <c r="AK3250" s="1" t="s">
        <v>9977</v>
      </c>
      <c r="AL3250" s="9">
        <f t="shared" si="311"/>
        <v>1</v>
      </c>
    </row>
    <row r="3251" spans="1:38" ht="15" x14ac:dyDescent="0.25">
      <c r="A3251" s="1" t="s">
        <v>9978</v>
      </c>
      <c r="B3251" s="1" t="s">
        <v>9979</v>
      </c>
      <c r="C3251" s="1" t="s">
        <v>82</v>
      </c>
      <c r="D3251" s="1" t="s">
        <v>82</v>
      </c>
      <c r="E3251" s="6">
        <v>69.959999999999994</v>
      </c>
      <c r="F3251" s="1" t="s">
        <v>53</v>
      </c>
      <c r="G3251" s="6">
        <f ca="1">IFERROR(__xludf.DUMMYFUNCTION("iferror(GOOGLEFINANCE(TRIM(F3251)&amp;"":"" &amp; TRIM(B3251), ""price""),0
)"),0)</f>
        <v>0</v>
      </c>
      <c r="H3251" s="6">
        <v>109.95</v>
      </c>
      <c r="I3251" s="6">
        <f t="shared" ca="1" si="0"/>
        <v>109.95</v>
      </c>
      <c r="J3251" s="6">
        <f ca="1">IFERROR(__xludf.DUMMYFUNCTION("IFERROR(GOOGLEFINANCE(B3251, ""volume""), 0)"),0)</f>
        <v>0</v>
      </c>
      <c r="K3251" s="6">
        <v>0</v>
      </c>
      <c r="L3251" s="6">
        <f ca="1">IFERROR(__xludf.DUMMYFUNCTION("IFERROR(GOOGLEFINANCE(B3251,""changepct""),K3251)"),0)</f>
        <v>0</v>
      </c>
      <c r="M3251" s="6">
        <f ca="1">IFERROR(__xludf.DUMMYFUNCTION("IFERROR(GOOGLEFINANCE(B3251,""change""),0)"),0)</f>
        <v>0</v>
      </c>
      <c r="N3251" s="6">
        <v>1</v>
      </c>
      <c r="O3251" s="7">
        <v>45536</v>
      </c>
      <c r="P3251" s="6">
        <v>8.2799999999999994</v>
      </c>
      <c r="Q3251" s="6">
        <v>78.239999999999995</v>
      </c>
      <c r="R3251" s="7">
        <v>45352</v>
      </c>
      <c r="S3251" s="6">
        <v>37.270000000000003</v>
      </c>
      <c r="T3251" s="6">
        <v>3.41</v>
      </c>
      <c r="U3251" s="7">
        <v>45352</v>
      </c>
      <c r="V3251" s="6">
        <v>20.5</v>
      </c>
      <c r="W3251" s="6">
        <f ca="1">IFERROR(__xludf.DUMMYFUNCTION("IFERROR(GOOGLEFINANCE(B3251,""pe""),V3251)"),20.5)</f>
        <v>20.5</v>
      </c>
      <c r="X3251" s="9"/>
      <c r="Y3251" s="6">
        <v>3.19</v>
      </c>
      <c r="Z3251" s="6">
        <v>1</v>
      </c>
      <c r="AA3251" s="8">
        <v>45352</v>
      </c>
      <c r="AB3251" s="4">
        <v>0.23</v>
      </c>
      <c r="AC3251" s="6">
        <v>24.79</v>
      </c>
      <c r="AD3251" s="6">
        <v>23.06</v>
      </c>
      <c r="AE3251" s="1">
        <v>0</v>
      </c>
      <c r="AF3251" s="1">
        <f ca="1">IFERROR(__xludf.DUMMYFUNCTION("IFERROR(GOOGLEFINANCE(TRIM(F3251)&amp;"":"" &amp; TRIM(B3251),""high52""),AE3251)"),0)</f>
        <v>0</v>
      </c>
      <c r="AG3251" s="1">
        <v>0</v>
      </c>
      <c r="AH3251" s="1">
        <f ca="1">IFERROR(__xludf.DUMMYFUNCTION("IFERROR(GOOGLEFINANCE(TRIM(F3251)&amp;"":"" &amp; TRIM(B3251),""low52""),AE3251)"),0)</f>
        <v>0</v>
      </c>
      <c r="AI3251" s="1">
        <f ca="1">IFERROR(__xludf.DUMMYFUNCTION("IFERROR(GOOGLEFINANCE(B3251,""eps""),0)"),0)</f>
        <v>0</v>
      </c>
      <c r="AJ3251" s="1"/>
      <c r="AK3251" s="1" t="s">
        <v>9980</v>
      </c>
      <c r="AL3251" s="9">
        <f t="shared" si="311"/>
        <v>1</v>
      </c>
    </row>
    <row r="3252" spans="1:38" ht="15" x14ac:dyDescent="0.25">
      <c r="A3252" s="1" t="s">
        <v>9981</v>
      </c>
      <c r="B3252" s="1" t="s">
        <v>9982</v>
      </c>
      <c r="C3252" s="1" t="s">
        <v>239</v>
      </c>
      <c r="D3252" s="1" t="s">
        <v>239</v>
      </c>
      <c r="E3252" s="6">
        <v>2955.3</v>
      </c>
      <c r="F3252" s="1" t="s">
        <v>40</v>
      </c>
      <c r="G3252" s="6">
        <f ca="1">IFERROR(__xludf.DUMMYFUNCTION("iferror(GOOGLEFINANCE(TRIM(F3252)&amp;"":"" &amp; TRIM(B3252), ""price""),0
)"),192.78)</f>
        <v>192.78</v>
      </c>
      <c r="H3252" s="6">
        <v>227</v>
      </c>
      <c r="I3252" s="6">
        <f t="shared" ca="1" si="0"/>
        <v>192.78</v>
      </c>
      <c r="J3252" s="6">
        <f ca="1">IFERROR(__xludf.DUMMYFUNCTION("IFERROR(GOOGLEFINANCE(B3252, ""volume""), 0)"),45617)</f>
        <v>45617</v>
      </c>
      <c r="K3252" s="6">
        <v>0.05</v>
      </c>
      <c r="L3252" s="6">
        <f ca="1">IFERROR(__xludf.DUMMYFUNCTION("IFERROR(GOOGLEFINANCE(B3252,""changepct""),K3252)"),-1.11)</f>
        <v>-1.1100000000000001</v>
      </c>
      <c r="M3252" s="6">
        <f ca="1">IFERROR(__xludf.DUMMYFUNCTION("IFERROR(GOOGLEFINANCE(B3252,""change""),0)"),-2.16)</f>
        <v>-2.16</v>
      </c>
      <c r="N3252" s="6">
        <v>2</v>
      </c>
      <c r="O3252" s="7">
        <v>45536</v>
      </c>
      <c r="P3252" s="6">
        <v>1482.34</v>
      </c>
      <c r="Q3252" s="6">
        <v>4274.87</v>
      </c>
      <c r="R3252" s="7">
        <v>45536</v>
      </c>
      <c r="S3252" s="6">
        <v>2413.84</v>
      </c>
      <c r="T3252" s="6">
        <v>-87.78</v>
      </c>
      <c r="U3252" s="7">
        <v>45536</v>
      </c>
      <c r="V3252" s="6">
        <v>0</v>
      </c>
      <c r="W3252" s="6">
        <f ca="1">IFERROR(__xludf.DUMMYFUNCTION("IFERROR(GOOGLEFINANCE(B3252,""pe""),V3252)"),0)</f>
        <v>0</v>
      </c>
      <c r="X3252" s="9"/>
      <c r="Y3252" s="6">
        <v>1.6</v>
      </c>
      <c r="Z3252" s="6">
        <v>2</v>
      </c>
      <c r="AA3252" s="8">
        <v>45352</v>
      </c>
      <c r="AB3252" s="4">
        <v>0.74</v>
      </c>
      <c r="AC3252" s="6">
        <v>-2.64</v>
      </c>
      <c r="AD3252" s="6">
        <v>2.94</v>
      </c>
      <c r="AE3252" s="1">
        <v>0</v>
      </c>
      <c r="AF3252" s="1">
        <f ca="1">IFERROR(__xludf.DUMMYFUNCTION("IFERROR(GOOGLEFINANCE(TRIM(F3252)&amp;"":"" &amp; TRIM(B3252),""high52""),AE3252)"),299.4)</f>
        <v>299.39999999999998</v>
      </c>
      <c r="AG3252" s="1">
        <v>0</v>
      </c>
      <c r="AH3252" s="1">
        <f ca="1">IFERROR(__xludf.DUMMYFUNCTION("IFERROR(GOOGLEFINANCE(TRIM(F3252)&amp;"":"" &amp; TRIM(B3252),""low52""),AE3252)"),168.04)</f>
        <v>168.04</v>
      </c>
      <c r="AI3252" s="1">
        <f ca="1">IFERROR(__xludf.DUMMYFUNCTION("IFERROR(GOOGLEFINANCE(B3252,""eps""),0)"),-12.65)</f>
        <v>-12.65</v>
      </c>
      <c r="AJ3252" s="1"/>
      <c r="AK3252" s="1" t="s">
        <v>9983</v>
      </c>
      <c r="AL3252" s="1" t="b">
        <f>ISNUMBER(AA3252)</f>
        <v>1</v>
      </c>
    </row>
    <row r="3253" spans="1:38" ht="15" x14ac:dyDescent="0.25">
      <c r="A3253" s="1" t="s">
        <v>9984</v>
      </c>
      <c r="B3253" s="1" t="s">
        <v>9985</v>
      </c>
      <c r="C3253" s="1" t="s">
        <v>82</v>
      </c>
      <c r="D3253" s="1" t="s">
        <v>82</v>
      </c>
      <c r="E3253" s="6">
        <v>57.9</v>
      </c>
      <c r="F3253" s="1" t="s">
        <v>53</v>
      </c>
      <c r="G3253" s="6">
        <f ca="1">IFERROR(__xludf.DUMMYFUNCTION("iferror(GOOGLEFINANCE(TRIM(F3253)&amp;"":"" &amp; TRIM(B3253), ""price""),0
)"),0)</f>
        <v>0</v>
      </c>
      <c r="H3253" s="6">
        <v>28.15</v>
      </c>
      <c r="I3253" s="6">
        <f t="shared" ca="1" si="0"/>
        <v>28.15</v>
      </c>
      <c r="J3253" s="6">
        <f ca="1">IFERROR(__xludf.DUMMYFUNCTION("IFERROR(GOOGLEFINANCE(B3253, ""volume""), 0)"),0)</f>
        <v>0</v>
      </c>
      <c r="K3253" s="6">
        <v>0.5</v>
      </c>
      <c r="L3253" s="6">
        <f ca="1">IFERROR(__xludf.DUMMYFUNCTION("IFERROR(GOOGLEFINANCE(B3253,""changepct""),K3253)"),0.5)</f>
        <v>0.5</v>
      </c>
      <c r="M3253" s="6">
        <f ca="1">IFERROR(__xludf.DUMMYFUNCTION("IFERROR(GOOGLEFINANCE(B3253,""change""),0)"),0)</f>
        <v>0</v>
      </c>
      <c r="N3253" s="6">
        <v>1</v>
      </c>
      <c r="O3253" s="7">
        <v>45536</v>
      </c>
      <c r="P3253" s="6">
        <v>1.58</v>
      </c>
      <c r="Q3253" s="6">
        <v>59.49</v>
      </c>
      <c r="R3253" s="7">
        <v>45352</v>
      </c>
      <c r="S3253" s="6">
        <v>12.68</v>
      </c>
      <c r="T3253" s="6">
        <v>4.2</v>
      </c>
      <c r="U3253" s="7">
        <v>45352</v>
      </c>
      <c r="V3253" s="6">
        <v>13.8</v>
      </c>
      <c r="W3253" s="6">
        <f ca="1">IFERROR(__xludf.DUMMYFUNCTION("IFERROR(GOOGLEFINANCE(B3253,""pe""),V3253)"),13.8)</f>
        <v>13.8</v>
      </c>
      <c r="X3253" s="9"/>
      <c r="Y3253" s="6">
        <v>1</v>
      </c>
      <c r="Z3253" s="6">
        <v>1</v>
      </c>
      <c r="AA3253" s="8">
        <v>45352</v>
      </c>
      <c r="AB3253" s="4">
        <v>0.04</v>
      </c>
      <c r="AC3253" s="6">
        <v>16.62</v>
      </c>
      <c r="AD3253" s="6">
        <v>21.65</v>
      </c>
      <c r="AE3253" s="1">
        <v>0</v>
      </c>
      <c r="AF3253" s="1">
        <f ca="1">IFERROR(__xludf.DUMMYFUNCTION("IFERROR(GOOGLEFINANCE(TRIM(F3253)&amp;"":"" &amp; TRIM(B3253),""high52""),AE3253)"),0)</f>
        <v>0</v>
      </c>
      <c r="AG3253" s="1">
        <v>0</v>
      </c>
      <c r="AH3253" s="1">
        <f ca="1">IFERROR(__xludf.DUMMYFUNCTION("IFERROR(GOOGLEFINANCE(TRIM(F3253)&amp;"":"" &amp; TRIM(B3253),""low52""),AE3253)"),0)</f>
        <v>0</v>
      </c>
      <c r="AI3253" s="1">
        <f ca="1">IFERROR(__xludf.DUMMYFUNCTION("IFERROR(GOOGLEFINANCE(B3253,""eps""),0)"),0)</f>
        <v>0</v>
      </c>
      <c r="AJ3253" s="1"/>
      <c r="AK3253" s="1" t="s">
        <v>9986</v>
      </c>
      <c r="AL3253" s="9">
        <f t="shared" ref="AL3253:AL3259" si="312">IF(AA3253&lt;&gt;AB3253,1,0)</f>
        <v>1</v>
      </c>
    </row>
    <row r="3254" spans="1:38" ht="15" x14ac:dyDescent="0.25">
      <c r="A3254" s="1" t="s">
        <v>9987</v>
      </c>
      <c r="B3254" s="1" t="s">
        <v>9988</v>
      </c>
      <c r="C3254" s="1" t="s">
        <v>1497</v>
      </c>
      <c r="D3254" s="1" t="s">
        <v>1497</v>
      </c>
      <c r="E3254" s="6">
        <v>50.03</v>
      </c>
      <c r="F3254" s="1" t="s">
        <v>40</v>
      </c>
      <c r="G3254" s="6">
        <f ca="1">IFERROR(__xludf.DUMMYFUNCTION("iferror(GOOGLEFINANCE(TRIM(F3254)&amp;"":"" &amp; TRIM(B3254), ""price""),0
)"),24.89)</f>
        <v>24.89</v>
      </c>
      <c r="H3254" s="6">
        <v>29.56</v>
      </c>
      <c r="I3254" s="6">
        <f t="shared" ca="1" si="0"/>
        <v>24.89</v>
      </c>
      <c r="J3254" s="6">
        <f ca="1">IFERROR(__xludf.DUMMYFUNCTION("IFERROR(GOOGLEFINANCE(B3254, ""volume""), 0)"),25855)</f>
        <v>25855</v>
      </c>
      <c r="K3254" s="6">
        <v>0.78</v>
      </c>
      <c r="L3254" s="6">
        <f ca="1">IFERROR(__xludf.DUMMYFUNCTION("IFERROR(GOOGLEFINANCE(B3254,""changepct""),K3254)"),-3.19)</f>
        <v>-3.19</v>
      </c>
      <c r="M3254" s="6">
        <f ca="1">IFERROR(__xludf.DUMMYFUNCTION("IFERROR(GOOGLEFINANCE(B3254,""change""),0)"),-0.82)</f>
        <v>-0.82</v>
      </c>
      <c r="N3254" s="6">
        <v>2</v>
      </c>
      <c r="O3254" s="7">
        <v>45536</v>
      </c>
      <c r="P3254" s="6">
        <v>12.88</v>
      </c>
      <c r="Q3254" s="6">
        <v>62.58</v>
      </c>
      <c r="R3254" s="7">
        <v>45536</v>
      </c>
      <c r="S3254" s="6">
        <v>120.64</v>
      </c>
      <c r="T3254" s="6">
        <v>0.97</v>
      </c>
      <c r="U3254" s="7">
        <v>45536</v>
      </c>
      <c r="V3254" s="6">
        <v>51.36</v>
      </c>
      <c r="W3254" s="6">
        <f ca="1">IFERROR(__xludf.DUMMYFUNCTION("IFERROR(GOOGLEFINANCE(B3254,""pe""),V3254)"),19.34)</f>
        <v>19.34</v>
      </c>
      <c r="X3254" s="6">
        <v>-3.51</v>
      </c>
      <c r="Y3254" s="6">
        <v>1.72</v>
      </c>
      <c r="Z3254" s="6">
        <v>2</v>
      </c>
      <c r="AA3254" s="8">
        <v>45352</v>
      </c>
      <c r="AB3254" s="4">
        <v>0.43</v>
      </c>
      <c r="AC3254" s="6">
        <v>2.79</v>
      </c>
      <c r="AD3254" s="6">
        <v>5.55</v>
      </c>
      <c r="AE3254" s="1">
        <v>0</v>
      </c>
      <c r="AF3254" s="1">
        <f ca="1">IFERROR(__xludf.DUMMYFUNCTION("IFERROR(GOOGLEFINANCE(TRIM(F3254)&amp;"":"" &amp; TRIM(B3254),""high52""),AE3254)"),36.21)</f>
        <v>36.21</v>
      </c>
      <c r="AG3254" s="1">
        <v>0</v>
      </c>
      <c r="AH3254" s="1">
        <f ca="1">IFERROR(__xludf.DUMMYFUNCTION("IFERROR(GOOGLEFINANCE(TRIM(F3254)&amp;"":"" &amp; TRIM(B3254),""low52""),AE3254)"),23.55)</f>
        <v>23.55</v>
      </c>
      <c r="AI3254" s="1">
        <f ca="1">IFERROR(__xludf.DUMMYFUNCTION("IFERROR(GOOGLEFINANCE(B3254,""eps""),0)"),1.29)</f>
        <v>1.29</v>
      </c>
      <c r="AJ3254" s="1"/>
      <c r="AK3254" s="1" t="s">
        <v>9989</v>
      </c>
      <c r="AL3254" s="9">
        <f t="shared" si="312"/>
        <v>1</v>
      </c>
    </row>
    <row r="3255" spans="1:38" ht="15" x14ac:dyDescent="0.25">
      <c r="A3255" s="1" t="s">
        <v>9990</v>
      </c>
      <c r="B3255" s="1" t="s">
        <v>9991</v>
      </c>
      <c r="C3255" s="1" t="s">
        <v>82</v>
      </c>
      <c r="D3255" s="1" t="s">
        <v>82</v>
      </c>
      <c r="E3255" s="6">
        <v>36.44</v>
      </c>
      <c r="F3255" s="1" t="s">
        <v>53</v>
      </c>
      <c r="G3255" s="6">
        <f ca="1">IFERROR(__xludf.DUMMYFUNCTION("iferror(GOOGLEFINANCE(TRIM(F3255)&amp;"":"" &amp; TRIM(B3255), ""price""),0
)"),0)</f>
        <v>0</v>
      </c>
      <c r="H3255" s="6">
        <v>221</v>
      </c>
      <c r="I3255" s="6">
        <f t="shared" ca="1" si="0"/>
        <v>221</v>
      </c>
      <c r="J3255" s="6">
        <f ca="1">IFERROR(__xludf.DUMMYFUNCTION("IFERROR(GOOGLEFINANCE(B3255, ""volume""), 0)"),0)</f>
        <v>0</v>
      </c>
      <c r="K3255" s="6">
        <v>1.98</v>
      </c>
      <c r="L3255" s="6">
        <f ca="1">IFERROR(__xludf.DUMMYFUNCTION("IFERROR(GOOGLEFINANCE(B3255,""changepct""),K3255)"),1.98)</f>
        <v>1.98</v>
      </c>
      <c r="M3255" s="6">
        <f ca="1">IFERROR(__xludf.DUMMYFUNCTION("IFERROR(GOOGLEFINANCE(B3255,""change""),0)"),0)</f>
        <v>0</v>
      </c>
      <c r="N3255" s="6">
        <v>1</v>
      </c>
      <c r="O3255" s="7">
        <v>45536</v>
      </c>
      <c r="P3255" s="6">
        <v>3.57</v>
      </c>
      <c r="Q3255" s="6">
        <v>40.01</v>
      </c>
      <c r="R3255" s="7">
        <v>45352</v>
      </c>
      <c r="S3255" s="6">
        <v>11.44</v>
      </c>
      <c r="T3255" s="6">
        <v>1.1499999999999999</v>
      </c>
      <c r="U3255" s="7">
        <v>45352</v>
      </c>
      <c r="V3255" s="6">
        <v>31.7</v>
      </c>
      <c r="W3255" s="6">
        <f ca="1">IFERROR(__xludf.DUMMYFUNCTION("IFERROR(GOOGLEFINANCE(B3255,""pe""),V3255)"),31.7)</f>
        <v>31.7</v>
      </c>
      <c r="X3255" s="9"/>
      <c r="Y3255" s="6">
        <v>3.81</v>
      </c>
      <c r="Z3255" s="6">
        <v>1</v>
      </c>
      <c r="AA3255" s="8">
        <v>45352</v>
      </c>
      <c r="AB3255" s="4">
        <v>0.19</v>
      </c>
      <c r="AC3255" s="6">
        <v>12.79</v>
      </c>
      <c r="AD3255" s="6">
        <v>15.28</v>
      </c>
      <c r="AE3255" s="1">
        <v>0</v>
      </c>
      <c r="AF3255" s="1">
        <f ca="1">IFERROR(__xludf.DUMMYFUNCTION("IFERROR(GOOGLEFINANCE(TRIM(F3255)&amp;"":"" &amp; TRIM(B3255),""high52""),AE3255)"),0)</f>
        <v>0</v>
      </c>
      <c r="AG3255" s="1">
        <v>0</v>
      </c>
      <c r="AH3255" s="1">
        <f ca="1">IFERROR(__xludf.DUMMYFUNCTION("IFERROR(GOOGLEFINANCE(TRIM(F3255)&amp;"":"" &amp; TRIM(B3255),""low52""),AE3255)"),0)</f>
        <v>0</v>
      </c>
      <c r="AI3255" s="1">
        <f ca="1">IFERROR(__xludf.DUMMYFUNCTION("IFERROR(GOOGLEFINANCE(B3255,""eps""),0)"),0)</f>
        <v>0</v>
      </c>
      <c r="AJ3255" s="1"/>
      <c r="AK3255" s="1" t="s">
        <v>9992</v>
      </c>
      <c r="AL3255" s="9">
        <f t="shared" si="312"/>
        <v>1</v>
      </c>
    </row>
    <row r="3256" spans="1:38" ht="15" x14ac:dyDescent="0.25">
      <c r="A3256" s="1" t="s">
        <v>9993</v>
      </c>
      <c r="B3256" s="1" t="s">
        <v>9994</v>
      </c>
      <c r="C3256" s="1" t="s">
        <v>82</v>
      </c>
      <c r="D3256" s="1" t="s">
        <v>82</v>
      </c>
      <c r="E3256" s="6">
        <v>197.86</v>
      </c>
      <c r="F3256" s="1" t="s">
        <v>53</v>
      </c>
      <c r="G3256" s="6">
        <f ca="1">IFERROR(__xludf.DUMMYFUNCTION("iferror(GOOGLEFINANCE(TRIM(F3256)&amp;"":"" &amp; TRIM(B3256), ""price""),0
)"),0)</f>
        <v>0</v>
      </c>
      <c r="H3256" s="6">
        <v>142</v>
      </c>
      <c r="I3256" s="6">
        <f t="shared" ca="1" si="0"/>
        <v>142</v>
      </c>
      <c r="J3256" s="6">
        <f ca="1">IFERROR(__xludf.DUMMYFUNCTION("IFERROR(GOOGLEFINANCE(B3256, ""volume""), 0)"),0)</f>
        <v>0</v>
      </c>
      <c r="K3256" s="6">
        <v>-3.4</v>
      </c>
      <c r="L3256" s="6">
        <f ca="1">IFERROR(__xludf.DUMMYFUNCTION("IFERROR(GOOGLEFINANCE(B3256,""changepct""),K3256)"),-3.4)</f>
        <v>-3.4</v>
      </c>
      <c r="M3256" s="6">
        <f ca="1">IFERROR(__xludf.DUMMYFUNCTION("IFERROR(GOOGLEFINANCE(B3256,""change""),0)"),0)</f>
        <v>0</v>
      </c>
      <c r="N3256" s="6">
        <v>1</v>
      </c>
      <c r="O3256" s="7">
        <v>45536</v>
      </c>
      <c r="P3256" s="6">
        <v>4.08</v>
      </c>
      <c r="Q3256" s="6">
        <v>201.94</v>
      </c>
      <c r="R3256" s="7">
        <v>45352</v>
      </c>
      <c r="S3256" s="6">
        <v>92.02</v>
      </c>
      <c r="T3256" s="6">
        <v>7.08</v>
      </c>
      <c r="U3256" s="7">
        <v>45352</v>
      </c>
      <c r="V3256" s="6">
        <v>27.92</v>
      </c>
      <c r="W3256" s="6">
        <f ca="1">IFERROR(__xludf.DUMMYFUNCTION("IFERROR(GOOGLEFINANCE(B3256,""pe""),V3256)"),27.92)</f>
        <v>27.92</v>
      </c>
      <c r="X3256" s="12"/>
      <c r="Y3256" s="6">
        <v>6.07</v>
      </c>
      <c r="Z3256" s="6">
        <v>1</v>
      </c>
      <c r="AA3256" s="8">
        <v>45352</v>
      </c>
      <c r="AB3256" s="4">
        <v>0.04</v>
      </c>
      <c r="AC3256" s="6">
        <v>24.82</v>
      </c>
      <c r="AD3256" s="6">
        <v>34</v>
      </c>
      <c r="AE3256" s="1">
        <v>0</v>
      </c>
      <c r="AF3256" s="1">
        <f ca="1">IFERROR(__xludf.DUMMYFUNCTION("IFERROR(GOOGLEFINANCE(TRIM(F3256)&amp;"":"" &amp; TRIM(B3256),""high52""),AE3256)"),0)</f>
        <v>0</v>
      </c>
      <c r="AG3256" s="1">
        <v>0</v>
      </c>
      <c r="AH3256" s="1">
        <f ca="1">IFERROR(__xludf.DUMMYFUNCTION("IFERROR(GOOGLEFINANCE(TRIM(F3256)&amp;"":"" &amp; TRIM(B3256),""low52""),AE3256)"),0)</f>
        <v>0</v>
      </c>
      <c r="AI3256" s="1">
        <f ca="1">IFERROR(__xludf.DUMMYFUNCTION("IFERROR(GOOGLEFINANCE(B3256,""eps""),0)"),0)</f>
        <v>0</v>
      </c>
      <c r="AJ3256" s="1"/>
      <c r="AK3256" s="1" t="s">
        <v>9995</v>
      </c>
      <c r="AL3256" s="9">
        <f t="shared" si="312"/>
        <v>1</v>
      </c>
    </row>
    <row r="3257" spans="1:38" ht="15" x14ac:dyDescent="0.25">
      <c r="A3257" s="1" t="s">
        <v>9996</v>
      </c>
      <c r="B3257" s="1" t="s">
        <v>9997</v>
      </c>
      <c r="C3257" s="1" t="s">
        <v>82</v>
      </c>
      <c r="D3257" s="1" t="s">
        <v>82</v>
      </c>
      <c r="E3257" s="6">
        <v>118.37</v>
      </c>
      <c r="F3257" s="1" t="s">
        <v>53</v>
      </c>
      <c r="G3257" s="6">
        <f ca="1">IFERROR(__xludf.DUMMYFUNCTION("iferror(GOOGLEFINANCE(TRIM(F3257)&amp;"":"" &amp; TRIM(B3257), ""price""),0
)"),0)</f>
        <v>0</v>
      </c>
      <c r="H3257" s="6">
        <v>73.28</v>
      </c>
      <c r="I3257" s="6">
        <f t="shared" ca="1" si="0"/>
        <v>73.28</v>
      </c>
      <c r="J3257" s="6">
        <f ca="1">IFERROR(__xludf.DUMMYFUNCTION("IFERROR(GOOGLEFINANCE(B3257, ""volume""), 0)"),0)</f>
        <v>0</v>
      </c>
      <c r="K3257" s="6">
        <v>-0.37</v>
      </c>
      <c r="L3257" s="6">
        <f ca="1">IFERROR(__xludf.DUMMYFUNCTION("IFERROR(GOOGLEFINANCE(B3257,""changepct""),K3257)"),-0.37)</f>
        <v>-0.37</v>
      </c>
      <c r="M3257" s="6">
        <f ca="1">IFERROR(__xludf.DUMMYFUNCTION("IFERROR(GOOGLEFINANCE(B3257,""change""),0)"),0)</f>
        <v>0</v>
      </c>
      <c r="N3257" s="6">
        <v>1</v>
      </c>
      <c r="O3257" s="7">
        <v>45536</v>
      </c>
      <c r="P3257" s="9"/>
      <c r="Q3257" s="6">
        <v>118.37</v>
      </c>
      <c r="R3257" s="7">
        <v>45352</v>
      </c>
      <c r="S3257" s="6">
        <v>48.25</v>
      </c>
      <c r="T3257" s="6">
        <v>6.55</v>
      </c>
      <c r="U3257" s="7">
        <v>45352</v>
      </c>
      <c r="V3257" s="6">
        <v>18.07</v>
      </c>
      <c r="W3257" s="6">
        <f ca="1">IFERROR(__xludf.DUMMYFUNCTION("IFERROR(GOOGLEFINANCE(B3257,""pe""),V3257)"),18.07)</f>
        <v>18.07</v>
      </c>
      <c r="X3257" s="9"/>
      <c r="Y3257" s="6">
        <v>3.19</v>
      </c>
      <c r="Z3257" s="6">
        <v>1</v>
      </c>
      <c r="AA3257" s="8">
        <v>45352</v>
      </c>
      <c r="AB3257" s="4">
        <v>0</v>
      </c>
      <c r="AC3257" s="6">
        <v>35.24</v>
      </c>
      <c r="AD3257" s="6">
        <v>50.46</v>
      </c>
      <c r="AE3257" s="1">
        <v>0</v>
      </c>
      <c r="AF3257" s="1">
        <f ca="1">IFERROR(__xludf.DUMMYFUNCTION("IFERROR(GOOGLEFINANCE(TRIM(F3257)&amp;"":"" &amp; TRIM(B3257),""high52""),AE3257)"),0)</f>
        <v>0</v>
      </c>
      <c r="AG3257" s="1">
        <v>0</v>
      </c>
      <c r="AH3257" s="1">
        <f ca="1">IFERROR(__xludf.DUMMYFUNCTION("IFERROR(GOOGLEFINANCE(TRIM(F3257)&amp;"":"" &amp; TRIM(B3257),""low52""),AE3257)"),0)</f>
        <v>0</v>
      </c>
      <c r="AI3257" s="1">
        <f ca="1">IFERROR(__xludf.DUMMYFUNCTION("IFERROR(GOOGLEFINANCE(B3257,""eps""),0)"),0)</f>
        <v>0</v>
      </c>
      <c r="AJ3257" s="1"/>
      <c r="AK3257" s="1" t="s">
        <v>9998</v>
      </c>
      <c r="AL3257" s="9">
        <f t="shared" si="312"/>
        <v>1</v>
      </c>
    </row>
    <row r="3258" spans="1:38" ht="15" x14ac:dyDescent="0.25">
      <c r="A3258" s="1" t="s">
        <v>9999</v>
      </c>
      <c r="B3258" s="1" t="s">
        <v>10000</v>
      </c>
      <c r="C3258" s="1" t="s">
        <v>82</v>
      </c>
      <c r="D3258" s="1" t="s">
        <v>82</v>
      </c>
      <c r="E3258" s="6">
        <v>857.94</v>
      </c>
      <c r="F3258" s="1" t="s">
        <v>53</v>
      </c>
      <c r="G3258" s="6">
        <f ca="1">IFERROR(__xludf.DUMMYFUNCTION("iferror(GOOGLEFINANCE(TRIM(F3258)&amp;"":"" &amp; TRIM(B3258), ""price""),0
)"),0)</f>
        <v>0</v>
      </c>
      <c r="H3258" s="6">
        <v>125</v>
      </c>
      <c r="I3258" s="6">
        <f t="shared" ca="1" si="0"/>
        <v>125</v>
      </c>
      <c r="J3258" s="6">
        <f ca="1">IFERROR(__xludf.DUMMYFUNCTION("IFERROR(GOOGLEFINANCE(B3258, ""volume""), 0)"),0)</f>
        <v>0</v>
      </c>
      <c r="K3258" s="6">
        <v>-0.71</v>
      </c>
      <c r="L3258" s="6">
        <f ca="1">IFERROR(__xludf.DUMMYFUNCTION("IFERROR(GOOGLEFINANCE(B3258,""changepct""),K3258)"),-0.71)</f>
        <v>-0.71</v>
      </c>
      <c r="M3258" s="6">
        <f ca="1">IFERROR(__xludf.DUMMYFUNCTION("IFERROR(GOOGLEFINANCE(B3258,""change""),0)"),0)</f>
        <v>0</v>
      </c>
      <c r="N3258" s="6">
        <v>2</v>
      </c>
      <c r="O3258" s="7">
        <v>45536</v>
      </c>
      <c r="P3258" s="6">
        <v>15.54</v>
      </c>
      <c r="Q3258" s="6">
        <v>873.47</v>
      </c>
      <c r="R3258" s="7">
        <v>45352</v>
      </c>
      <c r="S3258" s="6">
        <v>177.83</v>
      </c>
      <c r="T3258" s="6">
        <v>22.64</v>
      </c>
      <c r="U3258" s="7">
        <v>45352</v>
      </c>
      <c r="V3258" s="6">
        <v>37.9</v>
      </c>
      <c r="W3258" s="6">
        <f ca="1">IFERROR(__xludf.DUMMYFUNCTION("IFERROR(GOOGLEFINANCE(B3258,""pe""),V3258)"),37.9)</f>
        <v>37.9</v>
      </c>
      <c r="X3258" s="9"/>
      <c r="Y3258" s="6">
        <v>6.74</v>
      </c>
      <c r="Z3258" s="6">
        <v>2</v>
      </c>
      <c r="AA3258" s="8">
        <v>45352</v>
      </c>
      <c r="AB3258" s="4">
        <v>0.15</v>
      </c>
      <c r="AC3258" s="6">
        <v>20.9</v>
      </c>
      <c r="AD3258" s="6">
        <v>27.72</v>
      </c>
      <c r="AE3258" s="1">
        <v>0</v>
      </c>
      <c r="AF3258" s="1">
        <f ca="1">IFERROR(__xludf.DUMMYFUNCTION("IFERROR(GOOGLEFINANCE(TRIM(F3258)&amp;"":"" &amp; TRIM(B3258),""high52""),AE3258)"),0)</f>
        <v>0</v>
      </c>
      <c r="AG3258" s="1">
        <v>0</v>
      </c>
      <c r="AH3258" s="1">
        <f ca="1">IFERROR(__xludf.DUMMYFUNCTION("IFERROR(GOOGLEFINANCE(TRIM(F3258)&amp;"":"" &amp; TRIM(B3258),""low52""),AE3258)"),0)</f>
        <v>0</v>
      </c>
      <c r="AI3258" s="1">
        <f ca="1">IFERROR(__xludf.DUMMYFUNCTION("IFERROR(GOOGLEFINANCE(B3258,""eps""),0)"),0)</f>
        <v>0</v>
      </c>
      <c r="AJ3258" s="1"/>
      <c r="AK3258" s="1" t="s">
        <v>10001</v>
      </c>
      <c r="AL3258" s="9">
        <f t="shared" si="312"/>
        <v>1</v>
      </c>
    </row>
    <row r="3259" spans="1:38" ht="15" x14ac:dyDescent="0.25">
      <c r="A3259" s="1" t="s">
        <v>10002</v>
      </c>
      <c r="B3259" s="1" t="s">
        <v>10003</v>
      </c>
      <c r="C3259" s="1" t="s">
        <v>82</v>
      </c>
      <c r="D3259" s="1" t="s">
        <v>82</v>
      </c>
      <c r="E3259" s="6">
        <v>403.79</v>
      </c>
      <c r="F3259" s="1" t="s">
        <v>53</v>
      </c>
      <c r="G3259" s="6">
        <f ca="1">IFERROR(__xludf.DUMMYFUNCTION("iferror(GOOGLEFINANCE(TRIM(F3259)&amp;"":"" &amp; TRIM(B3259), ""price""),0
)"),0)</f>
        <v>0</v>
      </c>
      <c r="H3259" s="6">
        <v>297.60000000000002</v>
      </c>
      <c r="I3259" s="6">
        <f t="shared" ca="1" si="0"/>
        <v>297.60000000000002</v>
      </c>
      <c r="J3259" s="6">
        <f ca="1">IFERROR(__xludf.DUMMYFUNCTION("IFERROR(GOOGLEFINANCE(B3259, ""volume""), 0)"),0)</f>
        <v>0</v>
      </c>
      <c r="K3259" s="6">
        <v>0.68</v>
      </c>
      <c r="L3259" s="6">
        <f ca="1">IFERROR(__xludf.DUMMYFUNCTION("IFERROR(GOOGLEFINANCE(B3259,""changepct""),K3259)"),0.68)</f>
        <v>0.68</v>
      </c>
      <c r="M3259" s="6">
        <f ca="1">IFERROR(__xludf.DUMMYFUNCTION("IFERROR(GOOGLEFINANCE(B3259,""change""),0)"),0)</f>
        <v>0</v>
      </c>
      <c r="N3259" s="6">
        <v>1</v>
      </c>
      <c r="O3259" s="7">
        <v>45536</v>
      </c>
      <c r="P3259" s="6">
        <v>58.32</v>
      </c>
      <c r="Q3259" s="6">
        <v>460.02</v>
      </c>
      <c r="R3259" s="7">
        <v>45352</v>
      </c>
      <c r="S3259" s="6">
        <v>170.22</v>
      </c>
      <c r="T3259" s="6">
        <v>13</v>
      </c>
      <c r="U3259" s="7">
        <v>45352</v>
      </c>
      <c r="V3259" s="6">
        <v>31.07</v>
      </c>
      <c r="W3259" s="6">
        <f ca="1">IFERROR(__xludf.DUMMYFUNCTION("IFERROR(GOOGLEFINANCE(B3259,""pe""),V3259)"),31.07)</f>
        <v>31.07</v>
      </c>
      <c r="X3259" s="9"/>
      <c r="Y3259" s="6">
        <v>7.84</v>
      </c>
      <c r="Z3259" s="6">
        <v>2</v>
      </c>
      <c r="AA3259" s="8">
        <v>44986</v>
      </c>
      <c r="AB3259" s="4">
        <v>2.0499999999999998</v>
      </c>
      <c r="AC3259" s="6">
        <v>36.72</v>
      </c>
      <c r="AD3259" s="6">
        <v>21.05</v>
      </c>
      <c r="AE3259" s="1">
        <v>0</v>
      </c>
      <c r="AF3259" s="1">
        <f ca="1">IFERROR(__xludf.DUMMYFUNCTION("IFERROR(GOOGLEFINANCE(TRIM(F3259)&amp;"":"" &amp; TRIM(B3259),""high52""),AE3259)"),0)</f>
        <v>0</v>
      </c>
      <c r="AG3259" s="1">
        <v>0</v>
      </c>
      <c r="AH3259" s="1">
        <f ca="1">IFERROR(__xludf.DUMMYFUNCTION("IFERROR(GOOGLEFINANCE(TRIM(F3259)&amp;"":"" &amp; TRIM(B3259),""low52""),AE3259)"),0)</f>
        <v>0</v>
      </c>
      <c r="AI3259" s="1">
        <f ca="1">IFERROR(__xludf.DUMMYFUNCTION("IFERROR(GOOGLEFINANCE(B3259,""eps""),0)"),0)</f>
        <v>0</v>
      </c>
      <c r="AJ3259" s="1"/>
      <c r="AK3259" s="1" t="s">
        <v>10004</v>
      </c>
      <c r="AL3259" s="9">
        <f t="shared" si="312"/>
        <v>1</v>
      </c>
    </row>
    <row r="3260" spans="1:38" ht="15" x14ac:dyDescent="0.25">
      <c r="A3260" s="1" t="s">
        <v>10005</v>
      </c>
      <c r="B3260" s="1" t="s">
        <v>10006</v>
      </c>
      <c r="C3260" s="1" t="s">
        <v>223</v>
      </c>
      <c r="D3260" s="1" t="s">
        <v>223</v>
      </c>
      <c r="E3260" s="6">
        <v>23561.13</v>
      </c>
      <c r="F3260" s="1" t="s">
        <v>40</v>
      </c>
      <c r="G3260" s="6">
        <f ca="1">IFERROR(__xludf.DUMMYFUNCTION("iferror(GOOGLEFINANCE(TRIM(F3260)&amp;"":"" &amp; TRIM(B3260), ""price""),0
)"),49.24)</f>
        <v>49.24</v>
      </c>
      <c r="H3260" s="6">
        <v>52.82</v>
      </c>
      <c r="I3260" s="6">
        <f t="shared" ca="1" si="0"/>
        <v>49.24</v>
      </c>
      <c r="J3260" s="6">
        <f ca="1">IFERROR(__xludf.DUMMYFUNCTION("IFERROR(GOOGLEFINANCE(B3260, ""volume""), 0)"),21448843)</f>
        <v>21448843</v>
      </c>
      <c r="K3260" s="6">
        <v>4.99</v>
      </c>
      <c r="L3260" s="6">
        <f ca="1">IFERROR(__xludf.DUMMYFUNCTION("IFERROR(GOOGLEFINANCE(B3260,""changepct""),K3260)"),1.65)</f>
        <v>1.65</v>
      </c>
      <c r="M3260" s="6">
        <f ca="1">IFERROR(__xludf.DUMMYFUNCTION("IFERROR(GOOGLEFINANCE(B3260,""change""),0)"),0.8)</f>
        <v>0.8</v>
      </c>
      <c r="N3260" s="6">
        <v>2</v>
      </c>
      <c r="O3260" s="7">
        <v>45536</v>
      </c>
      <c r="P3260" s="6">
        <v>944.11</v>
      </c>
      <c r="Q3260" s="6">
        <v>24505.24</v>
      </c>
      <c r="R3260" s="9"/>
      <c r="S3260" s="12"/>
      <c r="T3260" s="9"/>
      <c r="U3260" s="7">
        <v>45352</v>
      </c>
      <c r="V3260" s="6">
        <v>103.22</v>
      </c>
      <c r="W3260" s="6">
        <f ca="1">IFERROR(__xludf.DUMMYFUNCTION("IFERROR(GOOGLEFINANCE(B3260,""pe""),V3260)"),26.87)</f>
        <v>26.87</v>
      </c>
      <c r="X3260" s="9"/>
      <c r="Y3260" s="6">
        <v>2.5499999999999998</v>
      </c>
      <c r="Z3260" s="6">
        <v>2</v>
      </c>
      <c r="AA3260" s="8">
        <v>45352</v>
      </c>
      <c r="AB3260" s="4">
        <v>0.3</v>
      </c>
      <c r="AC3260" s="6">
        <v>7.67</v>
      </c>
      <c r="AD3260" s="6">
        <v>5.0599999999999996</v>
      </c>
      <c r="AE3260" s="1">
        <v>0</v>
      </c>
      <c r="AF3260" s="1">
        <f ca="1">IFERROR(__xludf.DUMMYFUNCTION("IFERROR(GOOGLEFINANCE(TRIM(F3260)&amp;"":"" &amp; TRIM(B3260),""high52""),AE3260)"),57.89)</f>
        <v>57.89</v>
      </c>
      <c r="AG3260" s="1">
        <v>0</v>
      </c>
      <c r="AH3260" s="1">
        <f ca="1">IFERROR(__xludf.DUMMYFUNCTION("IFERROR(GOOGLEFINANCE(TRIM(F3260)&amp;"":"" &amp; TRIM(B3260),""low52""),AE3260)"),37.6)</f>
        <v>37.6</v>
      </c>
      <c r="AI3260" s="1">
        <f ca="1">IFERROR(__xludf.DUMMYFUNCTION("IFERROR(GOOGLEFINANCE(B3260,""eps""),0)"),1.83)</f>
        <v>1.83</v>
      </c>
      <c r="AJ3260" s="1"/>
      <c r="AK3260" s="1" t="s">
        <v>10007</v>
      </c>
      <c r="AL3260" s="1" t="b">
        <f>ISNUMBER(AA3260)</f>
        <v>1</v>
      </c>
    </row>
    <row r="3261" spans="1:38" ht="15" x14ac:dyDescent="0.25">
      <c r="A3261" s="1" t="s">
        <v>10008</v>
      </c>
      <c r="B3261" s="1" t="s">
        <v>10009</v>
      </c>
      <c r="C3261" s="1" t="s">
        <v>82</v>
      </c>
      <c r="D3261" s="1" t="s">
        <v>82</v>
      </c>
      <c r="E3261" s="6">
        <v>221.07</v>
      </c>
      <c r="F3261" s="1" t="s">
        <v>40</v>
      </c>
      <c r="G3261" s="6">
        <f ca="1">IFERROR(__xludf.DUMMYFUNCTION("iferror(GOOGLEFINANCE(TRIM(F3261)&amp;"":"" &amp; TRIM(B3261), ""price""),0
)"),0)</f>
        <v>0</v>
      </c>
      <c r="H3261" s="6">
        <v>87.69</v>
      </c>
      <c r="I3261" s="6">
        <f t="shared" ca="1" si="0"/>
        <v>87.69</v>
      </c>
      <c r="J3261" s="6">
        <f ca="1">IFERROR(__xludf.DUMMYFUNCTION("IFERROR(GOOGLEFINANCE(B3261, ""volume""), 0)"),0)</f>
        <v>0</v>
      </c>
      <c r="K3261" s="6">
        <v>2.3199999999999998</v>
      </c>
      <c r="L3261" s="6">
        <f ca="1">IFERROR(__xludf.DUMMYFUNCTION("IFERROR(GOOGLEFINANCE(B3261,""changepct""),K3261)"),-0.51)</f>
        <v>-0.51</v>
      </c>
      <c r="M3261" s="6">
        <f ca="1">IFERROR(__xludf.DUMMYFUNCTION("IFERROR(GOOGLEFINANCE(B3261,""change""),0)"),-0.31)</f>
        <v>-0.31</v>
      </c>
      <c r="N3261" s="6">
        <v>2</v>
      </c>
      <c r="O3261" s="7">
        <v>45536</v>
      </c>
      <c r="P3261" s="6">
        <v>30.31</v>
      </c>
      <c r="Q3261" s="6">
        <v>250.25</v>
      </c>
      <c r="R3261" s="7">
        <v>45536</v>
      </c>
      <c r="S3261" s="6">
        <v>121.37</v>
      </c>
      <c r="T3261" s="6">
        <v>0.76</v>
      </c>
      <c r="U3261" s="7">
        <v>45536</v>
      </c>
      <c r="V3261" s="6">
        <v>307.04000000000002</v>
      </c>
      <c r="W3261" s="6">
        <f ca="1">IFERROR(__xludf.DUMMYFUNCTION("IFERROR(GOOGLEFINANCE(B3261,""pe""),V3261)"),16.28)</f>
        <v>16.28</v>
      </c>
      <c r="X3261" s="9"/>
      <c r="Y3261" s="6">
        <v>2.52</v>
      </c>
      <c r="Z3261" s="6">
        <v>2</v>
      </c>
      <c r="AA3261" s="8">
        <v>45352</v>
      </c>
      <c r="AB3261" s="4">
        <v>0.36</v>
      </c>
      <c r="AC3261" s="6">
        <v>1.1000000000000001</v>
      </c>
      <c r="AD3261" s="6">
        <v>4.43</v>
      </c>
      <c r="AE3261" s="1">
        <v>0</v>
      </c>
      <c r="AF3261" s="1">
        <f ca="1">IFERROR(__xludf.DUMMYFUNCTION("IFERROR(GOOGLEFINANCE(TRIM(F3261)&amp;"":"" &amp; TRIM(B3261),""high52""),AE3261)"),0)</f>
        <v>0</v>
      </c>
      <c r="AG3261" s="1">
        <v>0</v>
      </c>
      <c r="AH3261" s="1">
        <f ca="1">IFERROR(__xludf.DUMMYFUNCTION("IFERROR(GOOGLEFINANCE(TRIM(F3261)&amp;"":"" &amp; TRIM(B3261),""low52""),AE3261)"),0)</f>
        <v>0</v>
      </c>
      <c r="AI3261" s="1">
        <f ca="1">IFERROR(__xludf.DUMMYFUNCTION("IFERROR(GOOGLEFINANCE(B3261,""eps""),0)"),3.68)</f>
        <v>3.68</v>
      </c>
      <c r="AJ3261" s="1"/>
      <c r="AK3261" s="1" t="s">
        <v>10010</v>
      </c>
      <c r="AL3261" s="9">
        <f t="shared" ref="AL3261:AL3267" si="313">IF(AA3261&lt;&gt;AB3261,1,0)</f>
        <v>1</v>
      </c>
    </row>
    <row r="3262" spans="1:38" ht="15" x14ac:dyDescent="0.25">
      <c r="A3262" s="1" t="s">
        <v>10011</v>
      </c>
      <c r="B3262" s="1" t="s">
        <v>10012</v>
      </c>
      <c r="C3262" s="1" t="s">
        <v>82</v>
      </c>
      <c r="D3262" s="1" t="s">
        <v>82</v>
      </c>
      <c r="E3262" s="6">
        <v>9.35</v>
      </c>
      <c r="F3262" s="1" t="s">
        <v>53</v>
      </c>
      <c r="G3262" s="6">
        <f ca="1">IFERROR(__xludf.DUMMYFUNCTION("iferror(GOOGLEFINANCE(TRIM(F3262)&amp;"":"" &amp; TRIM(B3262), ""price""),0
)"),0)</f>
        <v>0</v>
      </c>
      <c r="H3262" s="6">
        <v>19.649999999999999</v>
      </c>
      <c r="I3262" s="6">
        <f t="shared" ca="1" si="0"/>
        <v>19.649999999999999</v>
      </c>
      <c r="J3262" s="6">
        <f ca="1">IFERROR(__xludf.DUMMYFUNCTION("IFERROR(GOOGLEFINANCE(B3262, ""volume""), 0)"),0)</f>
        <v>0</v>
      </c>
      <c r="K3262" s="9"/>
      <c r="L3262" s="6" t="str">
        <f ca="1">IFERROR(__xludf.DUMMYFUNCTION("IFERROR(GOOGLEFINANCE(B3262,""changepct""),K3262)"),"")</f>
        <v/>
      </c>
      <c r="M3262" s="6">
        <f ca="1">IFERROR(__xludf.DUMMYFUNCTION("IFERROR(GOOGLEFINANCE(B3262,""change""),0)"),0)</f>
        <v>0</v>
      </c>
      <c r="N3262" s="6">
        <v>1</v>
      </c>
      <c r="O3262" s="7">
        <v>45536</v>
      </c>
      <c r="P3262" s="6">
        <v>1.91</v>
      </c>
      <c r="Q3262" s="6">
        <v>11.25</v>
      </c>
      <c r="R3262" s="7">
        <v>45352</v>
      </c>
      <c r="S3262" s="6">
        <v>14.55</v>
      </c>
      <c r="T3262" s="6">
        <v>0.31</v>
      </c>
      <c r="U3262" s="7">
        <v>45352</v>
      </c>
      <c r="V3262" s="6">
        <v>30.35</v>
      </c>
      <c r="W3262" s="6">
        <f ca="1">IFERROR(__xludf.DUMMYFUNCTION("IFERROR(GOOGLEFINANCE(B3262,""pe""),V3262)"),30.35)</f>
        <v>30.35</v>
      </c>
      <c r="X3262" s="6">
        <v>1.23</v>
      </c>
      <c r="Y3262" s="6">
        <v>0.88</v>
      </c>
      <c r="Z3262" s="6">
        <v>1</v>
      </c>
      <c r="AA3262" s="8">
        <v>45352</v>
      </c>
      <c r="AB3262" s="4">
        <v>0.14000000000000001</v>
      </c>
      <c r="AC3262" s="6">
        <v>2.96</v>
      </c>
      <c r="AD3262" s="6">
        <v>3.97</v>
      </c>
      <c r="AE3262" s="1">
        <v>0</v>
      </c>
      <c r="AF3262" s="1">
        <f ca="1">IFERROR(__xludf.DUMMYFUNCTION("IFERROR(GOOGLEFINANCE(TRIM(F3262)&amp;"":"" &amp; TRIM(B3262),""high52""),AE3262)"),0)</f>
        <v>0</v>
      </c>
      <c r="AG3262" s="1">
        <v>0</v>
      </c>
      <c r="AH3262" s="1">
        <f ca="1">IFERROR(__xludf.DUMMYFUNCTION("IFERROR(GOOGLEFINANCE(TRIM(F3262)&amp;"":"" &amp; TRIM(B3262),""low52""),AE3262)"),0)</f>
        <v>0</v>
      </c>
      <c r="AI3262" s="1">
        <f ca="1">IFERROR(__xludf.DUMMYFUNCTION("IFERROR(GOOGLEFINANCE(B3262,""eps""),0)"),0)</f>
        <v>0</v>
      </c>
      <c r="AJ3262" s="1"/>
      <c r="AK3262" s="1" t="s">
        <v>10013</v>
      </c>
      <c r="AL3262" s="9">
        <f t="shared" si="313"/>
        <v>1</v>
      </c>
    </row>
    <row r="3263" spans="1:38" ht="15" x14ac:dyDescent="0.25">
      <c r="A3263" s="1" t="s">
        <v>10014</v>
      </c>
      <c r="B3263" s="1" t="s">
        <v>10015</v>
      </c>
      <c r="C3263" s="1" t="s">
        <v>186</v>
      </c>
      <c r="D3263" s="1" t="s">
        <v>186</v>
      </c>
      <c r="E3263" s="6">
        <v>19.36</v>
      </c>
      <c r="F3263" s="1" t="s">
        <v>40</v>
      </c>
      <c r="G3263" s="6">
        <f ca="1">IFERROR(__xludf.DUMMYFUNCTION("iferror(GOOGLEFINANCE(TRIM(F3263)&amp;"":"" &amp; TRIM(B3263), ""price""),0
)"),0)</f>
        <v>0</v>
      </c>
      <c r="H3263" s="6">
        <v>14.7</v>
      </c>
      <c r="I3263" s="6">
        <f t="shared" ca="1" si="0"/>
        <v>14.7</v>
      </c>
      <c r="J3263" s="6">
        <f ca="1">IFERROR(__xludf.DUMMYFUNCTION("IFERROR(GOOGLEFINANCE(B3263, ""volume""), 0)"),0)</f>
        <v>0</v>
      </c>
      <c r="K3263" s="9"/>
      <c r="L3263" s="6" t="str">
        <f ca="1">IFERROR(__xludf.DUMMYFUNCTION("IFERROR(GOOGLEFINANCE(B3263,""changepct""),K3263)"),"")</f>
        <v/>
      </c>
      <c r="M3263" s="6">
        <f ca="1">IFERROR(__xludf.DUMMYFUNCTION("IFERROR(GOOGLEFINANCE(B3263,""change""),0)"),0)</f>
        <v>0</v>
      </c>
      <c r="N3263" s="6">
        <v>1</v>
      </c>
      <c r="O3263" s="7">
        <v>45352</v>
      </c>
      <c r="P3263" s="6">
        <v>36.17</v>
      </c>
      <c r="Q3263" s="6">
        <v>55.19</v>
      </c>
      <c r="R3263" s="7">
        <v>45352</v>
      </c>
      <c r="S3263" s="6">
        <v>125.18</v>
      </c>
      <c r="T3263" s="6">
        <v>0.94</v>
      </c>
      <c r="U3263" s="7">
        <v>45352</v>
      </c>
      <c r="V3263" s="6">
        <v>20.51</v>
      </c>
      <c r="W3263" s="6">
        <f ca="1">IFERROR(__xludf.DUMMYFUNCTION("IFERROR(GOOGLEFINANCE(B3263,""pe""),V3263)"),20.51)</f>
        <v>20.51</v>
      </c>
      <c r="X3263" s="9"/>
      <c r="Y3263" s="6">
        <v>0.56999999999999995</v>
      </c>
      <c r="Z3263" s="6">
        <v>1</v>
      </c>
      <c r="AA3263" s="8">
        <v>45352</v>
      </c>
      <c r="AB3263" s="4">
        <v>1.07</v>
      </c>
      <c r="AC3263" s="6">
        <v>3.52</v>
      </c>
      <c r="AD3263" s="6">
        <v>8.27</v>
      </c>
      <c r="AE3263" s="1">
        <v>0</v>
      </c>
      <c r="AF3263" s="1">
        <f ca="1">IFERROR(__xludf.DUMMYFUNCTION("IFERROR(GOOGLEFINANCE(TRIM(F3263)&amp;"":"" &amp; TRIM(B3263),""high52""),AE3263)"),0)</f>
        <v>0</v>
      </c>
      <c r="AG3263" s="1">
        <v>0</v>
      </c>
      <c r="AH3263" s="1">
        <f ca="1">IFERROR(__xludf.DUMMYFUNCTION("IFERROR(GOOGLEFINANCE(TRIM(F3263)&amp;"":"" &amp; TRIM(B3263),""low52""),AE3263)"),0)</f>
        <v>0</v>
      </c>
      <c r="AI3263" s="1">
        <f ca="1">IFERROR(__xludf.DUMMYFUNCTION("IFERROR(GOOGLEFINANCE(B3263,""eps""),0)"),0)</f>
        <v>0</v>
      </c>
      <c r="AJ3263" s="1"/>
      <c r="AK3263" s="1" t="s">
        <v>10016</v>
      </c>
      <c r="AL3263" s="9">
        <f t="shared" si="313"/>
        <v>1</v>
      </c>
    </row>
    <row r="3264" spans="1:38" ht="15" x14ac:dyDescent="0.25">
      <c r="A3264" s="1" t="s">
        <v>10017</v>
      </c>
      <c r="B3264" s="1" t="s">
        <v>10018</v>
      </c>
      <c r="C3264" s="1" t="s">
        <v>416</v>
      </c>
      <c r="D3264" s="1" t="s">
        <v>416</v>
      </c>
      <c r="E3264" s="6">
        <v>592.41999999999996</v>
      </c>
      <c r="F3264" s="1" t="s">
        <v>40</v>
      </c>
      <c r="G3264" s="6">
        <f ca="1">IFERROR(__xludf.DUMMYFUNCTION("iferror(GOOGLEFINANCE(TRIM(F3264)&amp;"":"" &amp; TRIM(B3264), ""price""),0
)"),0)</f>
        <v>0</v>
      </c>
      <c r="H3264" s="6">
        <v>541</v>
      </c>
      <c r="I3264" s="6">
        <f t="shared" ca="1" si="0"/>
        <v>541</v>
      </c>
      <c r="J3264" s="6">
        <f ca="1">IFERROR(__xludf.DUMMYFUNCTION("IFERROR(GOOGLEFINANCE(B3264, ""volume""), 0)"),0)</f>
        <v>0</v>
      </c>
      <c r="K3264" s="6">
        <v>0.32</v>
      </c>
      <c r="L3264" s="6">
        <f ca="1">IFERROR(__xludf.DUMMYFUNCTION("IFERROR(GOOGLEFINANCE(B3264,""changepct""),K3264)"),0.32)</f>
        <v>0.32</v>
      </c>
      <c r="M3264" s="6">
        <f ca="1">IFERROR(__xludf.DUMMYFUNCTION("IFERROR(GOOGLEFINANCE(B3264,""change""),0)"),0)</f>
        <v>0</v>
      </c>
      <c r="N3264" s="6">
        <v>1</v>
      </c>
      <c r="O3264" s="7">
        <v>45536</v>
      </c>
      <c r="P3264" s="6">
        <v>0.54</v>
      </c>
      <c r="Q3264" s="6">
        <v>592.96</v>
      </c>
      <c r="R3264" s="14"/>
      <c r="S3264" s="9"/>
      <c r="T3264" s="9"/>
      <c r="U3264" s="7">
        <v>45352</v>
      </c>
      <c r="V3264" s="6">
        <v>48.31</v>
      </c>
      <c r="W3264" s="6">
        <f ca="1">IFERROR(__xludf.DUMMYFUNCTION("IFERROR(GOOGLEFINANCE(B3264,""pe""),V3264)"),48.31)</f>
        <v>48.31</v>
      </c>
      <c r="X3264" s="12"/>
      <c r="Y3264" s="6">
        <v>9.42</v>
      </c>
      <c r="Z3264" s="6">
        <v>2</v>
      </c>
      <c r="AA3264" s="8">
        <v>45352</v>
      </c>
      <c r="AB3264" s="4">
        <v>1.72</v>
      </c>
      <c r="AC3264" s="6">
        <v>54.08</v>
      </c>
      <c r="AD3264" s="6">
        <v>39.65</v>
      </c>
      <c r="AE3264" s="1">
        <v>0</v>
      </c>
      <c r="AF3264" s="1">
        <f ca="1">IFERROR(__xludf.DUMMYFUNCTION("IFERROR(GOOGLEFINANCE(TRIM(F3264)&amp;"":"" &amp; TRIM(B3264),""high52""),AE3264)"),0)</f>
        <v>0</v>
      </c>
      <c r="AG3264" s="1">
        <v>0</v>
      </c>
      <c r="AH3264" s="1">
        <f ca="1">IFERROR(__xludf.DUMMYFUNCTION("IFERROR(GOOGLEFINANCE(TRIM(F3264)&amp;"":"" &amp; TRIM(B3264),""low52""),AE3264)"),0)</f>
        <v>0</v>
      </c>
      <c r="AI3264" s="1">
        <f ca="1">IFERROR(__xludf.DUMMYFUNCTION("IFERROR(GOOGLEFINANCE(B3264,""eps""),0)"),0)</f>
        <v>0</v>
      </c>
      <c r="AJ3264" s="1"/>
      <c r="AK3264" s="1" t="s">
        <v>10019</v>
      </c>
      <c r="AL3264" s="9">
        <f t="shared" si="313"/>
        <v>1</v>
      </c>
    </row>
    <row r="3265" spans="1:38" ht="15" x14ac:dyDescent="0.25">
      <c r="A3265" s="1" t="s">
        <v>10020</v>
      </c>
      <c r="B3265" s="1" t="s">
        <v>10021</v>
      </c>
      <c r="C3265" s="1" t="s">
        <v>57</v>
      </c>
      <c r="D3265" s="1" t="s">
        <v>57</v>
      </c>
      <c r="E3265" s="6">
        <v>1620.28</v>
      </c>
      <c r="F3265" s="1" t="s">
        <v>40</v>
      </c>
      <c r="G3265" s="6">
        <f ca="1">IFERROR(__xludf.DUMMYFUNCTION("iferror(GOOGLEFINANCE(TRIM(F3265)&amp;"":"" &amp; TRIM(B3265), ""price""),0
)"),0)</f>
        <v>0</v>
      </c>
      <c r="H3265" s="6">
        <v>1860</v>
      </c>
      <c r="I3265" s="6">
        <f t="shared" ca="1" si="0"/>
        <v>1860</v>
      </c>
      <c r="J3265" s="6">
        <f ca="1">IFERROR(__xludf.DUMMYFUNCTION("IFERROR(GOOGLEFINANCE(B3265, ""volume""), 0)"),0)</f>
        <v>0</v>
      </c>
      <c r="K3265" s="6">
        <v>1.45</v>
      </c>
      <c r="L3265" s="6">
        <f ca="1">IFERROR(__xludf.DUMMYFUNCTION("IFERROR(GOOGLEFINANCE(B3265,""changepct""),K3265)"),1.45)</f>
        <v>1.45</v>
      </c>
      <c r="M3265" s="6">
        <f ca="1">IFERROR(__xludf.DUMMYFUNCTION("IFERROR(GOOGLEFINANCE(B3265,""change""),0)"),0)</f>
        <v>0</v>
      </c>
      <c r="N3265" s="6">
        <v>1</v>
      </c>
      <c r="O3265" s="7">
        <v>45536</v>
      </c>
      <c r="P3265" s="6">
        <v>6.42</v>
      </c>
      <c r="Q3265" s="6">
        <v>1626.7</v>
      </c>
      <c r="R3265" s="7">
        <v>45352</v>
      </c>
      <c r="S3265" s="6">
        <v>53.68</v>
      </c>
      <c r="T3265" s="6">
        <v>15.04</v>
      </c>
      <c r="U3265" s="7">
        <v>45352</v>
      </c>
      <c r="V3265" s="6">
        <v>107.77</v>
      </c>
      <c r="W3265" s="6">
        <f ca="1">IFERROR(__xludf.DUMMYFUNCTION("IFERROR(GOOGLEFINANCE(B3265,""pe""),V3265)"),107.77)</f>
        <v>107.77</v>
      </c>
      <c r="X3265" s="9"/>
      <c r="Y3265" s="6">
        <v>12.51</v>
      </c>
      <c r="Z3265" s="6">
        <v>2</v>
      </c>
      <c r="AA3265" s="8">
        <v>45352</v>
      </c>
      <c r="AB3265" s="4">
        <v>0.22</v>
      </c>
      <c r="AC3265" s="6">
        <v>54.39</v>
      </c>
      <c r="AD3265" s="6">
        <v>55.03</v>
      </c>
      <c r="AE3265" s="1">
        <v>0</v>
      </c>
      <c r="AF3265" s="1">
        <f ca="1">IFERROR(__xludf.DUMMYFUNCTION("IFERROR(GOOGLEFINANCE(TRIM(F3265)&amp;"":"" &amp; TRIM(B3265),""high52""),AE3265)"),0)</f>
        <v>0</v>
      </c>
      <c r="AG3265" s="1">
        <v>0</v>
      </c>
      <c r="AH3265" s="1">
        <f ca="1">IFERROR(__xludf.DUMMYFUNCTION("IFERROR(GOOGLEFINANCE(TRIM(F3265)&amp;"":"" &amp; TRIM(B3265),""low52""),AE3265)"),0)</f>
        <v>0</v>
      </c>
      <c r="AI3265" s="1">
        <f ca="1">IFERROR(__xludf.DUMMYFUNCTION("IFERROR(GOOGLEFINANCE(B3265,""eps""),0)"),0)</f>
        <v>0</v>
      </c>
      <c r="AJ3265" s="1"/>
      <c r="AK3265" s="1" t="s">
        <v>10022</v>
      </c>
      <c r="AL3265" s="9">
        <f t="shared" si="313"/>
        <v>1</v>
      </c>
    </row>
    <row r="3266" spans="1:38" ht="15" x14ac:dyDescent="0.25">
      <c r="A3266" s="1" t="s">
        <v>10023</v>
      </c>
      <c r="B3266" s="1" t="s">
        <v>10024</v>
      </c>
      <c r="C3266" s="1" t="s">
        <v>82</v>
      </c>
      <c r="D3266" s="1" t="s">
        <v>82</v>
      </c>
      <c r="E3266" s="6">
        <v>35.47</v>
      </c>
      <c r="F3266" s="1" t="s">
        <v>53</v>
      </c>
      <c r="G3266" s="6">
        <f ca="1">IFERROR(__xludf.DUMMYFUNCTION("iferror(GOOGLEFINANCE(TRIM(F3266)&amp;"":"" &amp; TRIM(B3266), ""price""),0
)"),0)</f>
        <v>0</v>
      </c>
      <c r="H3266" s="6">
        <v>139.1</v>
      </c>
      <c r="I3266" s="6">
        <f t="shared" ca="1" si="0"/>
        <v>139.1</v>
      </c>
      <c r="J3266" s="6">
        <f ca="1">IFERROR(__xludf.DUMMYFUNCTION("IFERROR(GOOGLEFINANCE(B3266, ""volume""), 0)"),0)</f>
        <v>0</v>
      </c>
      <c r="K3266" s="12"/>
      <c r="L3266" s="6" t="str">
        <f ca="1">IFERROR(__xludf.DUMMYFUNCTION("IFERROR(GOOGLEFINANCE(B3266,""changepct""),K3266)"),"")</f>
        <v/>
      </c>
      <c r="M3266" s="6">
        <f ca="1">IFERROR(__xludf.DUMMYFUNCTION("IFERROR(GOOGLEFINANCE(B3266,""change""),0)"),0)</f>
        <v>0</v>
      </c>
      <c r="N3266" s="6">
        <v>1</v>
      </c>
      <c r="O3266" s="7">
        <v>45536</v>
      </c>
      <c r="P3266" s="6">
        <v>2.86</v>
      </c>
      <c r="Q3266" s="6">
        <v>38.33</v>
      </c>
      <c r="R3266" s="7">
        <v>45352</v>
      </c>
      <c r="S3266" s="6">
        <v>11.78</v>
      </c>
      <c r="T3266" s="6">
        <v>1.47</v>
      </c>
      <c r="U3266" s="7">
        <v>45352</v>
      </c>
      <c r="V3266" s="6">
        <v>24.07</v>
      </c>
      <c r="W3266" s="6">
        <f ca="1">IFERROR(__xludf.DUMMYFUNCTION("IFERROR(GOOGLEFINANCE(B3266,""pe""),V3266)"),24.07)</f>
        <v>24.07</v>
      </c>
      <c r="X3266" s="9"/>
      <c r="Y3266" s="6">
        <v>3.66</v>
      </c>
      <c r="Z3266" s="6">
        <v>2</v>
      </c>
      <c r="AA3266" s="8">
        <v>45352</v>
      </c>
      <c r="AB3266" s="4">
        <v>0.21</v>
      </c>
      <c r="AC3266" s="6">
        <v>17.28</v>
      </c>
      <c r="AD3266" s="6">
        <v>19.68</v>
      </c>
      <c r="AE3266" s="1">
        <v>0</v>
      </c>
      <c r="AF3266" s="1">
        <f ca="1">IFERROR(__xludf.DUMMYFUNCTION("IFERROR(GOOGLEFINANCE(TRIM(F3266)&amp;"":"" &amp; TRIM(B3266),""high52""),AE3266)"),0)</f>
        <v>0</v>
      </c>
      <c r="AG3266" s="1">
        <v>0</v>
      </c>
      <c r="AH3266" s="1">
        <f ca="1">IFERROR(__xludf.DUMMYFUNCTION("IFERROR(GOOGLEFINANCE(TRIM(F3266)&amp;"":"" &amp; TRIM(B3266),""low52""),AE3266)"),0)</f>
        <v>0</v>
      </c>
      <c r="AI3266" s="1">
        <f ca="1">IFERROR(__xludf.DUMMYFUNCTION("IFERROR(GOOGLEFINANCE(B3266,""eps""),0)"),0)</f>
        <v>0</v>
      </c>
      <c r="AJ3266" s="1"/>
      <c r="AK3266" s="1" t="s">
        <v>10025</v>
      </c>
      <c r="AL3266" s="9">
        <f t="shared" si="313"/>
        <v>1</v>
      </c>
    </row>
    <row r="3267" spans="1:38" ht="15" x14ac:dyDescent="0.25">
      <c r="A3267" s="1" t="s">
        <v>10026</v>
      </c>
      <c r="B3267" s="1" t="s">
        <v>10027</v>
      </c>
      <c r="C3267" s="1" t="s">
        <v>525</v>
      </c>
      <c r="D3267" s="1" t="s">
        <v>525</v>
      </c>
      <c r="E3267" s="6">
        <v>1349.36</v>
      </c>
      <c r="F3267" s="1" t="s">
        <v>40</v>
      </c>
      <c r="G3267" s="6">
        <f ca="1">IFERROR(__xludf.DUMMYFUNCTION("iferror(GOOGLEFINANCE(TRIM(F3267)&amp;"":"" &amp; TRIM(B3267), ""price""),0
)"),0)</f>
        <v>0</v>
      </c>
      <c r="H3267" s="6">
        <v>567.5</v>
      </c>
      <c r="I3267" s="6">
        <f t="shared" ca="1" si="0"/>
        <v>567.5</v>
      </c>
      <c r="J3267" s="6">
        <f ca="1">IFERROR(__xludf.DUMMYFUNCTION("IFERROR(GOOGLEFINANCE(B3267, ""volume""), 0)"),0)</f>
        <v>0</v>
      </c>
      <c r="K3267" s="6">
        <v>5.1100000000000003</v>
      </c>
      <c r="L3267" s="6">
        <f ca="1">IFERROR(__xludf.DUMMYFUNCTION("IFERROR(GOOGLEFINANCE(B3267,""changepct""),K3267)"),5.11)</f>
        <v>5.1100000000000003</v>
      </c>
      <c r="M3267" s="6">
        <f ca="1">IFERROR(__xludf.DUMMYFUNCTION("IFERROR(GOOGLEFINANCE(B3267,""change""),0)"),0)</f>
        <v>0</v>
      </c>
      <c r="N3267" s="6">
        <v>1</v>
      </c>
      <c r="O3267" s="7">
        <v>45536</v>
      </c>
      <c r="P3267" s="6">
        <v>24.64</v>
      </c>
      <c r="Q3267" s="6">
        <v>1374</v>
      </c>
      <c r="R3267" s="14"/>
      <c r="S3267" s="9"/>
      <c r="T3267" s="9"/>
      <c r="U3267" s="7">
        <v>45352</v>
      </c>
      <c r="V3267" s="6">
        <v>41.36</v>
      </c>
      <c r="W3267" s="6">
        <f ca="1">IFERROR(__xludf.DUMMYFUNCTION("IFERROR(GOOGLEFINANCE(B3267,""pe""),V3267)"),41.36)</f>
        <v>41.36</v>
      </c>
      <c r="X3267" s="12"/>
      <c r="Y3267" s="6">
        <v>5.49</v>
      </c>
      <c r="Z3267" s="6">
        <v>1</v>
      </c>
      <c r="AA3267" s="8">
        <v>45352</v>
      </c>
      <c r="AB3267" s="4">
        <v>0.36</v>
      </c>
      <c r="AC3267" s="6">
        <v>80.97</v>
      </c>
      <c r="AD3267" s="6">
        <v>65.040000000000006</v>
      </c>
      <c r="AE3267" s="1">
        <v>0</v>
      </c>
      <c r="AF3267" s="1">
        <f ca="1">IFERROR(__xludf.DUMMYFUNCTION("IFERROR(GOOGLEFINANCE(TRIM(F3267)&amp;"":"" &amp; TRIM(B3267),""high52""),AE3267)"),0)</f>
        <v>0</v>
      </c>
      <c r="AG3267" s="1">
        <v>0</v>
      </c>
      <c r="AH3267" s="1">
        <f ca="1">IFERROR(__xludf.DUMMYFUNCTION("IFERROR(GOOGLEFINANCE(TRIM(F3267)&amp;"":"" &amp; TRIM(B3267),""low52""),AE3267)"),0)</f>
        <v>0</v>
      </c>
      <c r="AI3267" s="1">
        <f ca="1">IFERROR(__xludf.DUMMYFUNCTION("IFERROR(GOOGLEFINANCE(B3267,""eps""),0)"),0)</f>
        <v>0</v>
      </c>
      <c r="AJ3267" s="1"/>
      <c r="AK3267" s="1" t="s">
        <v>10028</v>
      </c>
      <c r="AL3267" s="9">
        <f t="shared" si="313"/>
        <v>1</v>
      </c>
    </row>
    <row r="3268" spans="1:38" ht="15" x14ac:dyDescent="0.25">
      <c r="A3268" s="1" t="s">
        <v>10029</v>
      </c>
      <c r="B3268" s="1" t="s">
        <v>10030</v>
      </c>
      <c r="C3268" s="1" t="s">
        <v>239</v>
      </c>
      <c r="D3268" s="1" t="s">
        <v>239</v>
      </c>
      <c r="E3268" s="6">
        <v>342.56</v>
      </c>
      <c r="F3268" s="1" t="s">
        <v>40</v>
      </c>
      <c r="G3268" s="6">
        <f ca="1">IFERROR(__xludf.DUMMYFUNCTION("iferror(GOOGLEFINANCE(TRIM(F3268)&amp;"":"" &amp; TRIM(B3268), ""price""),0
)"),236.51)</f>
        <v>236.51</v>
      </c>
      <c r="H3268" s="6">
        <v>315.2</v>
      </c>
      <c r="I3268" s="6">
        <f t="shared" ca="1" si="0"/>
        <v>236.51</v>
      </c>
      <c r="J3268" s="6">
        <f ca="1">IFERROR(__xludf.DUMMYFUNCTION("IFERROR(GOOGLEFINANCE(B3268, ""volume""), 0)"),3376)</f>
        <v>3376</v>
      </c>
      <c r="K3268" s="6">
        <v>0.88</v>
      </c>
      <c r="L3268" s="6">
        <f ca="1">IFERROR(__xludf.DUMMYFUNCTION("IFERROR(GOOGLEFINANCE(B3268,""changepct""),K3268)"),-1.87)</f>
        <v>-1.87</v>
      </c>
      <c r="M3268" s="6">
        <f ca="1">IFERROR(__xludf.DUMMYFUNCTION("IFERROR(GOOGLEFINANCE(B3268,""change""),0)"),-4.5)</f>
        <v>-4.5</v>
      </c>
      <c r="N3268" s="6">
        <v>1</v>
      </c>
      <c r="O3268" s="7">
        <v>45536</v>
      </c>
      <c r="P3268" s="6">
        <v>72.66</v>
      </c>
      <c r="Q3268" s="6">
        <v>413.5</v>
      </c>
      <c r="R3268" s="7">
        <v>45536</v>
      </c>
      <c r="S3268" s="6">
        <v>611.95000000000005</v>
      </c>
      <c r="T3268" s="6">
        <v>21.88</v>
      </c>
      <c r="U3268" s="7">
        <v>45536</v>
      </c>
      <c r="V3268" s="6">
        <v>15.66</v>
      </c>
      <c r="W3268" s="6">
        <f ca="1">IFERROR(__xludf.DUMMYFUNCTION("IFERROR(GOOGLEFINANCE(B3268,""pe""),V3268)"),13.97)</f>
        <v>13.97</v>
      </c>
      <c r="X3268" s="6">
        <v>-5.44</v>
      </c>
      <c r="Y3268" s="6">
        <v>0.92</v>
      </c>
      <c r="Z3268" s="6">
        <v>1</v>
      </c>
      <c r="AA3268" s="8">
        <v>45352</v>
      </c>
      <c r="AB3268" s="4">
        <v>0.32</v>
      </c>
      <c r="AC3268" s="6">
        <v>7.58</v>
      </c>
      <c r="AD3268" s="6">
        <v>9.9600000000000009</v>
      </c>
      <c r="AE3268" s="1">
        <v>0</v>
      </c>
      <c r="AF3268" s="1">
        <f ca="1">IFERROR(__xludf.DUMMYFUNCTION("IFERROR(GOOGLEFINANCE(TRIM(F3268)&amp;"":"" &amp; TRIM(B3268),""high52""),AE3268)"),330)</f>
        <v>330</v>
      </c>
      <c r="AG3268" s="1">
        <v>0</v>
      </c>
      <c r="AH3268" s="1">
        <f ca="1">IFERROR(__xludf.DUMMYFUNCTION("IFERROR(GOOGLEFINANCE(TRIM(F3268)&amp;"":"" &amp; TRIM(B3268),""low52""),AE3268)"),211)</f>
        <v>211</v>
      </c>
      <c r="AI3268" s="1">
        <f ca="1">IFERROR(__xludf.DUMMYFUNCTION("IFERROR(GOOGLEFINANCE(B3268,""eps""),0)"),16.93)</f>
        <v>16.93</v>
      </c>
      <c r="AJ3268" s="1"/>
      <c r="AK3268" s="1" t="s">
        <v>10031</v>
      </c>
      <c r="AL3268" s="1" t="b">
        <f>ISNUMBER(AA3268)</f>
        <v>1</v>
      </c>
    </row>
    <row r="3269" spans="1:38" ht="15" x14ac:dyDescent="0.25">
      <c r="A3269" s="1" t="s">
        <v>10032</v>
      </c>
      <c r="B3269" s="1" t="s">
        <v>10033</v>
      </c>
      <c r="C3269" s="1" t="s">
        <v>106</v>
      </c>
      <c r="D3269" s="1" t="s">
        <v>106</v>
      </c>
      <c r="E3269" s="6">
        <v>16034.95</v>
      </c>
      <c r="F3269" s="1" t="s">
        <v>40</v>
      </c>
      <c r="G3269" s="6">
        <f ca="1">IFERROR(__xludf.DUMMYFUNCTION("iferror(GOOGLEFINANCE(TRIM(F3269)&amp;"":"" &amp; TRIM(B3269), ""price""),0
)"),839)</f>
        <v>839</v>
      </c>
      <c r="H3269" s="6">
        <v>786.3</v>
      </c>
      <c r="I3269" s="6">
        <f t="shared" ca="1" si="0"/>
        <v>839</v>
      </c>
      <c r="J3269" s="6">
        <f ca="1">IFERROR(__xludf.DUMMYFUNCTION("IFERROR(GOOGLEFINANCE(B3269, ""volume""), 0)"),500623)</f>
        <v>500623</v>
      </c>
      <c r="K3269" s="6">
        <v>2.2799999999999998</v>
      </c>
      <c r="L3269" s="6">
        <f ca="1">IFERROR(__xludf.DUMMYFUNCTION("IFERROR(GOOGLEFINANCE(B3269,""changepct""),K3269)"),-0.04)</f>
        <v>-0.04</v>
      </c>
      <c r="M3269" s="6">
        <f ca="1">IFERROR(__xludf.DUMMYFUNCTION("IFERROR(GOOGLEFINANCE(B3269,""change""),0)"),-0.35)</f>
        <v>-0.35</v>
      </c>
      <c r="N3269" s="6">
        <v>1</v>
      </c>
      <c r="O3269" s="7">
        <v>45352</v>
      </c>
      <c r="P3269" s="6">
        <v>710.16</v>
      </c>
      <c r="Q3269" s="6">
        <v>16586.32</v>
      </c>
      <c r="R3269" s="14"/>
      <c r="S3269" s="9"/>
      <c r="T3269" s="9"/>
      <c r="U3269" s="7">
        <v>45352</v>
      </c>
      <c r="V3269" s="6">
        <v>168.38</v>
      </c>
      <c r="W3269" s="6">
        <f ca="1">IFERROR(__xludf.DUMMYFUNCTION("IFERROR(GOOGLEFINANCE(B3269,""pe""),V3269)"),61.68)</f>
        <v>61.68</v>
      </c>
      <c r="X3269" s="9"/>
      <c r="Y3269" s="6">
        <v>2.81</v>
      </c>
      <c r="Z3269" s="6">
        <v>2</v>
      </c>
      <c r="AA3269" s="8">
        <v>45352</v>
      </c>
      <c r="AB3269" s="4">
        <v>0.74</v>
      </c>
      <c r="AC3269" s="6">
        <v>8.99</v>
      </c>
      <c r="AD3269" s="6">
        <v>12.03</v>
      </c>
      <c r="AE3269" s="1">
        <v>0</v>
      </c>
      <c r="AF3269" s="1">
        <f ca="1">IFERROR(__xludf.DUMMYFUNCTION("IFERROR(GOOGLEFINANCE(TRIM(F3269)&amp;"":"" &amp; TRIM(B3269),""high52""),AE3269)"),983.35)</f>
        <v>983.35</v>
      </c>
      <c r="AG3269" s="1">
        <v>0</v>
      </c>
      <c r="AH3269" s="1">
        <f ca="1">IFERROR(__xludf.DUMMYFUNCTION("IFERROR(GOOGLEFINANCE(TRIM(F3269)&amp;"":"" &amp; TRIM(B3269),""low52""),AE3269)"),636.1)</f>
        <v>636.1</v>
      </c>
      <c r="AI3269" s="1">
        <f ca="1">IFERROR(__xludf.DUMMYFUNCTION("IFERROR(GOOGLEFINANCE(B3269,""eps""),0)"),13.6)</f>
        <v>13.6</v>
      </c>
      <c r="AJ3269" s="1"/>
      <c r="AK3269" s="1" t="s">
        <v>10034</v>
      </c>
      <c r="AL3269" s="9">
        <f t="shared" ref="AL3269:AL3300" si="314">IF(AA3269&lt;&gt;AB3269,1,0)</f>
        <v>1</v>
      </c>
    </row>
    <row r="3270" spans="1:38" ht="15" x14ac:dyDescent="0.25">
      <c r="A3270" s="1" t="s">
        <v>10035</v>
      </c>
      <c r="B3270" s="1" t="s">
        <v>10036</v>
      </c>
      <c r="C3270" s="1" t="s">
        <v>359</v>
      </c>
      <c r="D3270" s="1" t="s">
        <v>359</v>
      </c>
      <c r="E3270" s="6">
        <v>2600.3200000000002</v>
      </c>
      <c r="F3270" s="1" t="s">
        <v>40</v>
      </c>
      <c r="G3270" s="6">
        <f ca="1">IFERROR(__xludf.DUMMYFUNCTION("iferror(GOOGLEFINANCE(TRIM(F3270)&amp;"":"" &amp; TRIM(B3270), ""price""),0
)"),111.79)</f>
        <v>111.79</v>
      </c>
      <c r="H3270" s="6">
        <v>177.81</v>
      </c>
      <c r="I3270" s="6">
        <f t="shared" ca="1" si="0"/>
        <v>111.79</v>
      </c>
      <c r="J3270" s="6">
        <f ca="1">IFERROR(__xludf.DUMMYFUNCTION("IFERROR(GOOGLEFINANCE(B3270, ""volume""), 0)"),570467)</f>
        <v>570467</v>
      </c>
      <c r="K3270" s="6">
        <v>4.83</v>
      </c>
      <c r="L3270" s="6">
        <f ca="1">IFERROR(__xludf.DUMMYFUNCTION("IFERROR(GOOGLEFINANCE(B3270,""changepct""),K3270)"),0.28)</f>
        <v>0.28000000000000003</v>
      </c>
      <c r="M3270" s="6">
        <f ca="1">IFERROR(__xludf.DUMMYFUNCTION("IFERROR(GOOGLEFINANCE(B3270,""change""),0)"),0.31)</f>
        <v>0.31</v>
      </c>
      <c r="N3270" s="6">
        <v>1</v>
      </c>
      <c r="O3270" s="7">
        <v>45536</v>
      </c>
      <c r="P3270" s="6">
        <v>177.13</v>
      </c>
      <c r="Q3270" s="6">
        <v>2516.3000000000002</v>
      </c>
      <c r="R3270" s="7">
        <v>45536</v>
      </c>
      <c r="S3270" s="6">
        <v>1356.69</v>
      </c>
      <c r="T3270" s="6">
        <v>86.57</v>
      </c>
      <c r="U3270" s="7">
        <v>45536</v>
      </c>
      <c r="V3270" s="6">
        <v>30.04</v>
      </c>
      <c r="W3270" s="6">
        <f ca="1">IFERROR(__xludf.DUMMYFUNCTION("IFERROR(GOOGLEFINANCE(B3270,""pe""),V3270)"),13.52)</f>
        <v>13.52</v>
      </c>
      <c r="X3270" s="9"/>
      <c r="Y3270" s="6">
        <v>2.42</v>
      </c>
      <c r="Z3270" s="6">
        <v>1</v>
      </c>
      <c r="AA3270" s="8">
        <v>45352</v>
      </c>
      <c r="AB3270" s="4">
        <v>0.24</v>
      </c>
      <c r="AC3270" s="6">
        <v>13.82</v>
      </c>
      <c r="AD3270" s="6">
        <v>18.88</v>
      </c>
      <c r="AE3270" s="1">
        <v>0</v>
      </c>
      <c r="AF3270" s="1">
        <f ca="1">IFERROR(__xludf.DUMMYFUNCTION("IFERROR(GOOGLEFINANCE(TRIM(F3270)&amp;"":"" &amp; TRIM(B3270),""high52""),AE3270)"),223.03)</f>
        <v>223.03</v>
      </c>
      <c r="AG3270" s="1">
        <v>0</v>
      </c>
      <c r="AH3270" s="1">
        <f ca="1">IFERROR(__xludf.DUMMYFUNCTION("IFERROR(GOOGLEFINANCE(TRIM(F3270)&amp;"":"" &amp; TRIM(B3270),""low52""),AE3270)"),106.55)</f>
        <v>106.55</v>
      </c>
      <c r="AI3270" s="1">
        <f ca="1">IFERROR(__xludf.DUMMYFUNCTION("IFERROR(GOOGLEFINANCE(B3270,""eps""),0)"),8.27)</f>
        <v>8.27</v>
      </c>
      <c r="AJ3270" s="1"/>
      <c r="AK3270" s="9"/>
      <c r="AL3270" s="9">
        <f t="shared" si="314"/>
        <v>1</v>
      </c>
    </row>
    <row r="3271" spans="1:38" ht="15" x14ac:dyDescent="0.25">
      <c r="A3271" s="1" t="s">
        <v>10037</v>
      </c>
      <c r="B3271" s="1" t="s">
        <v>10038</v>
      </c>
      <c r="C3271" s="1" t="s">
        <v>82</v>
      </c>
      <c r="D3271" s="1" t="s">
        <v>82</v>
      </c>
      <c r="E3271" s="6">
        <v>142.15</v>
      </c>
      <c r="F3271" s="1" t="s">
        <v>53</v>
      </c>
      <c r="G3271" s="6">
        <f ca="1">IFERROR(__xludf.DUMMYFUNCTION("iferror(GOOGLEFINANCE(TRIM(F3271)&amp;"":"" &amp; TRIM(B3271), ""price""),0
)"),0)</f>
        <v>0</v>
      </c>
      <c r="H3271" s="6">
        <v>81.39</v>
      </c>
      <c r="I3271" s="6">
        <f t="shared" ca="1" si="0"/>
        <v>81.39</v>
      </c>
      <c r="J3271" s="6">
        <f ca="1">IFERROR(__xludf.DUMMYFUNCTION("IFERROR(GOOGLEFINANCE(B3271, ""volume""), 0)"),367142)</f>
        <v>367142</v>
      </c>
      <c r="K3271" s="6">
        <v>0.56999999999999995</v>
      </c>
      <c r="L3271" s="6">
        <f ca="1">IFERROR(__xludf.DUMMYFUNCTION("IFERROR(GOOGLEFINANCE(B3271,""changepct""),K3271)"),-2.63)</f>
        <v>-2.63</v>
      </c>
      <c r="M3271" s="6">
        <f ca="1">IFERROR(__xludf.DUMMYFUNCTION("IFERROR(GOOGLEFINANCE(B3271,""change""),0)"),-0.01)</f>
        <v>-0.01</v>
      </c>
      <c r="N3271" s="6">
        <v>1</v>
      </c>
      <c r="O3271" s="7">
        <v>45352</v>
      </c>
      <c r="P3271" s="6">
        <v>53.67</v>
      </c>
      <c r="Q3271" s="6">
        <v>195.72</v>
      </c>
      <c r="R3271" s="7">
        <v>45352</v>
      </c>
      <c r="S3271" s="6">
        <v>43.48</v>
      </c>
      <c r="T3271" s="6">
        <v>5.55</v>
      </c>
      <c r="U3271" s="7">
        <v>45352</v>
      </c>
      <c r="V3271" s="6">
        <v>25.6</v>
      </c>
      <c r="W3271" s="6">
        <f ca="1">IFERROR(__xludf.DUMMYFUNCTION("IFERROR(GOOGLEFINANCE(B3271,""pe""),V3271)"),25.6)</f>
        <v>25.6</v>
      </c>
      <c r="X3271" s="12"/>
      <c r="Y3271" s="6">
        <v>2.29</v>
      </c>
      <c r="Z3271" s="6">
        <v>2</v>
      </c>
      <c r="AA3271" s="8">
        <v>45352</v>
      </c>
      <c r="AB3271" s="4">
        <v>0.84</v>
      </c>
      <c r="AC3271" s="6">
        <v>17.86</v>
      </c>
      <c r="AD3271" s="6">
        <v>15.4</v>
      </c>
      <c r="AE3271" s="1">
        <v>0</v>
      </c>
      <c r="AF3271" s="1">
        <f ca="1">IFERROR(__xludf.DUMMYFUNCTION("IFERROR(GOOGLEFINANCE(TRIM(F3271)&amp;"":"" &amp; TRIM(B3271),""high52""),AE3271)"),0)</f>
        <v>0</v>
      </c>
      <c r="AG3271" s="1">
        <v>0</v>
      </c>
      <c r="AH3271" s="1">
        <f ca="1">IFERROR(__xludf.DUMMYFUNCTION("IFERROR(GOOGLEFINANCE(TRIM(F3271)&amp;"":"" &amp; TRIM(B3271),""low52""),AE3271)"),0)</f>
        <v>0</v>
      </c>
      <c r="AI3271" s="1">
        <f ca="1">IFERROR(__xludf.DUMMYFUNCTION("IFERROR(GOOGLEFINANCE(B3271,""eps""),0)"),-0.02)</f>
        <v>-0.02</v>
      </c>
      <c r="AJ3271" s="1"/>
      <c r="AK3271" s="1" t="s">
        <v>10039</v>
      </c>
      <c r="AL3271" s="9">
        <f t="shared" si="314"/>
        <v>1</v>
      </c>
    </row>
    <row r="3272" spans="1:38" ht="15" x14ac:dyDescent="0.25">
      <c r="A3272" s="1" t="s">
        <v>10040</v>
      </c>
      <c r="B3272" s="1" t="s">
        <v>10041</v>
      </c>
      <c r="C3272" s="1" t="s">
        <v>410</v>
      </c>
      <c r="D3272" s="1" t="s">
        <v>410</v>
      </c>
      <c r="E3272" s="6">
        <v>82.32</v>
      </c>
      <c r="F3272" s="1" t="s">
        <v>40</v>
      </c>
      <c r="G3272" s="6">
        <f ca="1">IFERROR(__xludf.DUMMYFUNCTION("iferror(GOOGLEFINANCE(TRIM(F3272)&amp;"":"" &amp; TRIM(B3272), ""price""),0
)"),0)</f>
        <v>0</v>
      </c>
      <c r="H3272" s="6">
        <v>51.05</v>
      </c>
      <c r="I3272" s="6">
        <f t="shared" ca="1" si="0"/>
        <v>51.05</v>
      </c>
      <c r="J3272" s="6">
        <f ca="1">IFERROR(__xludf.DUMMYFUNCTION("IFERROR(GOOGLEFINANCE(B3272, ""volume""), 0)"),0)</f>
        <v>0</v>
      </c>
      <c r="K3272" s="9"/>
      <c r="L3272" s="6" t="str">
        <f ca="1">IFERROR(__xludf.DUMMYFUNCTION("IFERROR(GOOGLEFINANCE(B3272,""changepct""),K3272)"),"")</f>
        <v/>
      </c>
      <c r="M3272" s="6">
        <f ca="1">IFERROR(__xludf.DUMMYFUNCTION("IFERROR(GOOGLEFINANCE(B3272,""change""),0)"),0)</f>
        <v>0</v>
      </c>
      <c r="N3272" s="6">
        <v>1</v>
      </c>
      <c r="O3272" s="7">
        <v>45536</v>
      </c>
      <c r="P3272" s="6">
        <v>2.38</v>
      </c>
      <c r="Q3272" s="6">
        <v>84.7</v>
      </c>
      <c r="R3272" s="14"/>
      <c r="S3272" s="9"/>
      <c r="T3272" s="9"/>
      <c r="U3272" s="7">
        <v>44986</v>
      </c>
      <c r="V3272" s="6">
        <v>28.37</v>
      </c>
      <c r="W3272" s="6">
        <f ca="1">IFERROR(__xludf.DUMMYFUNCTION("IFERROR(GOOGLEFINANCE(B3272,""pe""),V3272)"),28.37)</f>
        <v>28.37</v>
      </c>
      <c r="X3272" s="12"/>
      <c r="Y3272" s="6">
        <v>2.98</v>
      </c>
      <c r="Z3272" s="6">
        <v>2</v>
      </c>
      <c r="AA3272" s="8">
        <v>45352</v>
      </c>
      <c r="AB3272" s="4">
        <v>0.17</v>
      </c>
      <c r="AC3272" s="6">
        <v>22.59</v>
      </c>
      <c r="AD3272" s="6">
        <v>23.54</v>
      </c>
      <c r="AE3272" s="1">
        <v>0</v>
      </c>
      <c r="AF3272" s="1">
        <f ca="1">IFERROR(__xludf.DUMMYFUNCTION("IFERROR(GOOGLEFINANCE(TRIM(F3272)&amp;"":"" &amp; TRIM(B3272),""high52""),AE3272)"),0)</f>
        <v>0</v>
      </c>
      <c r="AG3272" s="1">
        <v>0</v>
      </c>
      <c r="AH3272" s="1">
        <f ca="1">IFERROR(__xludf.DUMMYFUNCTION("IFERROR(GOOGLEFINANCE(TRIM(F3272)&amp;"":"" &amp; TRIM(B3272),""low52""),AE3272)"),0)</f>
        <v>0</v>
      </c>
      <c r="AI3272" s="1">
        <f ca="1">IFERROR(__xludf.DUMMYFUNCTION("IFERROR(GOOGLEFINANCE(B3272,""eps""),0)"),0)</f>
        <v>0</v>
      </c>
      <c r="AJ3272" s="1"/>
      <c r="AK3272" s="1" t="s">
        <v>10042</v>
      </c>
      <c r="AL3272" s="9">
        <f t="shared" si="314"/>
        <v>1</v>
      </c>
    </row>
    <row r="3273" spans="1:38" ht="15" x14ac:dyDescent="0.25">
      <c r="A3273" s="1" t="s">
        <v>10043</v>
      </c>
      <c r="B3273" s="1" t="s">
        <v>10044</v>
      </c>
      <c r="C3273" s="1" t="s">
        <v>82</v>
      </c>
      <c r="D3273" s="1" t="s">
        <v>82</v>
      </c>
      <c r="E3273" s="6">
        <v>6.04</v>
      </c>
      <c r="F3273" s="1" t="s">
        <v>53</v>
      </c>
      <c r="G3273" s="6">
        <f ca="1">IFERROR(__xludf.DUMMYFUNCTION("iferror(GOOGLEFINANCE(TRIM(F3273)&amp;"":"" &amp; TRIM(B3273), ""price""),0
)"),0)</f>
        <v>0</v>
      </c>
      <c r="H3273" s="6">
        <v>5.56</v>
      </c>
      <c r="I3273" s="6">
        <f t="shared" ca="1" si="0"/>
        <v>5.56</v>
      </c>
      <c r="J3273" s="6">
        <f ca="1">IFERROR(__xludf.DUMMYFUNCTION("IFERROR(GOOGLEFINANCE(B3273, ""volume""), 0)"),0)</f>
        <v>0</v>
      </c>
      <c r="K3273" s="6">
        <v>-7.95</v>
      </c>
      <c r="L3273" s="6">
        <f ca="1">IFERROR(__xludf.DUMMYFUNCTION("IFERROR(GOOGLEFINANCE(B3273,""changepct""),K3273)"),-7.95)</f>
        <v>-7.95</v>
      </c>
      <c r="M3273" s="6">
        <f ca="1">IFERROR(__xludf.DUMMYFUNCTION("IFERROR(GOOGLEFINANCE(B3273,""change""),0)"),0)</f>
        <v>0</v>
      </c>
      <c r="N3273" s="6">
        <v>1</v>
      </c>
      <c r="O3273" s="7">
        <v>45536</v>
      </c>
      <c r="P3273" s="6">
        <v>6.92</v>
      </c>
      <c r="Q3273" s="6">
        <v>12.96</v>
      </c>
      <c r="R3273" s="7">
        <v>45536</v>
      </c>
      <c r="S3273" s="6">
        <v>0</v>
      </c>
      <c r="T3273" s="6">
        <v>-0.05</v>
      </c>
      <c r="U3273" s="7">
        <v>45536</v>
      </c>
      <c r="V3273" s="6">
        <v>0</v>
      </c>
      <c r="W3273" s="6">
        <f ca="1">IFERROR(__xludf.DUMMYFUNCTION("IFERROR(GOOGLEFINANCE(B3273,""pe""),V3273)"),0)</f>
        <v>0</v>
      </c>
      <c r="X3273" s="6">
        <v>0</v>
      </c>
      <c r="Y3273" s="6">
        <v>-0.89</v>
      </c>
      <c r="Z3273" s="6">
        <v>1</v>
      </c>
      <c r="AA3273" s="8">
        <v>45352</v>
      </c>
      <c r="AB3273" s="4">
        <v>-1.02</v>
      </c>
      <c r="AC3273" s="6">
        <v>0</v>
      </c>
      <c r="AD3273" s="6">
        <v>-36.17</v>
      </c>
      <c r="AE3273" s="1">
        <v>0</v>
      </c>
      <c r="AF3273" s="1">
        <f ca="1">IFERROR(__xludf.DUMMYFUNCTION("IFERROR(GOOGLEFINANCE(TRIM(F3273)&amp;"":"" &amp; TRIM(B3273),""high52""),AE3273)"),0)</f>
        <v>0</v>
      </c>
      <c r="AG3273" s="1">
        <v>0</v>
      </c>
      <c r="AH3273" s="1">
        <f ca="1">IFERROR(__xludf.DUMMYFUNCTION("IFERROR(GOOGLEFINANCE(TRIM(F3273)&amp;"":"" &amp; TRIM(B3273),""low52""),AE3273)"),0)</f>
        <v>0</v>
      </c>
      <c r="AI3273" s="1">
        <f ca="1">IFERROR(__xludf.DUMMYFUNCTION("IFERROR(GOOGLEFINANCE(B3273,""eps""),0)"),0)</f>
        <v>0</v>
      </c>
      <c r="AJ3273" s="1"/>
      <c r="AK3273" s="1" t="s">
        <v>10045</v>
      </c>
      <c r="AL3273" s="9">
        <f t="shared" si="314"/>
        <v>1</v>
      </c>
    </row>
    <row r="3274" spans="1:38" ht="15" x14ac:dyDescent="0.25">
      <c r="A3274" s="1" t="s">
        <v>10046</v>
      </c>
      <c r="B3274" s="1" t="s">
        <v>10047</v>
      </c>
      <c r="C3274" s="1" t="s">
        <v>82</v>
      </c>
      <c r="D3274" s="1" t="s">
        <v>82</v>
      </c>
      <c r="E3274" s="6">
        <v>34.1</v>
      </c>
      <c r="F3274" s="1" t="s">
        <v>53</v>
      </c>
      <c r="G3274" s="6">
        <f ca="1">IFERROR(__xludf.DUMMYFUNCTION("iferror(GOOGLEFINANCE(TRIM(F3274)&amp;"":"" &amp; TRIM(B3274), ""price""),0
)"),0)</f>
        <v>0</v>
      </c>
      <c r="H3274" s="6">
        <v>85.57</v>
      </c>
      <c r="I3274" s="6">
        <f t="shared" ca="1" si="0"/>
        <v>85.57</v>
      </c>
      <c r="J3274" s="6">
        <f ca="1">IFERROR(__xludf.DUMMYFUNCTION("IFERROR(GOOGLEFINANCE(B3274, ""volume""), 0)"),0)</f>
        <v>0</v>
      </c>
      <c r="K3274" s="6">
        <v>3.12</v>
      </c>
      <c r="L3274" s="6">
        <f ca="1">IFERROR(__xludf.DUMMYFUNCTION("IFERROR(GOOGLEFINANCE(B3274,""changepct""),K3274)"),3.12)</f>
        <v>3.12</v>
      </c>
      <c r="M3274" s="6">
        <f ca="1">IFERROR(__xludf.DUMMYFUNCTION("IFERROR(GOOGLEFINANCE(B3274,""change""),0)"),0)</f>
        <v>0</v>
      </c>
      <c r="N3274" s="6">
        <v>1</v>
      </c>
      <c r="O3274" s="7">
        <v>45536</v>
      </c>
      <c r="P3274" s="6">
        <v>11.83</v>
      </c>
      <c r="Q3274" s="6">
        <v>44.99</v>
      </c>
      <c r="R3274" s="7">
        <v>45536</v>
      </c>
      <c r="S3274" s="6">
        <v>100.7</v>
      </c>
      <c r="T3274" s="6">
        <v>1.1200000000000001</v>
      </c>
      <c r="U3274" s="7">
        <v>45536</v>
      </c>
      <c r="V3274" s="6">
        <v>30.48</v>
      </c>
      <c r="W3274" s="6">
        <f ca="1">IFERROR(__xludf.DUMMYFUNCTION("IFERROR(GOOGLEFINANCE(B3274,""pe""),V3274)"),30.48)</f>
        <v>30.48</v>
      </c>
      <c r="X3274" s="6">
        <v>18.7</v>
      </c>
      <c r="Y3274" s="6">
        <v>0.94</v>
      </c>
      <c r="Z3274" s="6">
        <v>1</v>
      </c>
      <c r="AA3274" s="8">
        <v>45352</v>
      </c>
      <c r="AB3274" s="4">
        <v>0.28000000000000003</v>
      </c>
      <c r="AC3274" s="6">
        <v>2.34</v>
      </c>
      <c r="AD3274" s="6">
        <v>4.72</v>
      </c>
      <c r="AE3274" s="1">
        <v>0</v>
      </c>
      <c r="AF3274" s="1">
        <f ca="1">IFERROR(__xludf.DUMMYFUNCTION("IFERROR(GOOGLEFINANCE(TRIM(F3274)&amp;"":"" &amp; TRIM(B3274),""high52""),AE3274)"),0)</f>
        <v>0</v>
      </c>
      <c r="AG3274" s="1">
        <v>0</v>
      </c>
      <c r="AH3274" s="1">
        <f ca="1">IFERROR(__xludf.DUMMYFUNCTION("IFERROR(GOOGLEFINANCE(TRIM(F3274)&amp;"":"" &amp; TRIM(B3274),""low52""),AE3274)"),0)</f>
        <v>0</v>
      </c>
      <c r="AI3274" s="1">
        <f ca="1">IFERROR(__xludf.DUMMYFUNCTION("IFERROR(GOOGLEFINANCE(B3274,""eps""),0)"),0)</f>
        <v>0</v>
      </c>
      <c r="AJ3274" s="1"/>
      <c r="AK3274" s="1" t="s">
        <v>10048</v>
      </c>
      <c r="AL3274" s="9">
        <f t="shared" si="314"/>
        <v>1</v>
      </c>
    </row>
    <row r="3275" spans="1:38" ht="15" x14ac:dyDescent="0.25">
      <c r="A3275" s="1" t="s">
        <v>10049</v>
      </c>
      <c r="B3275" s="1" t="s">
        <v>10050</v>
      </c>
      <c r="C3275" s="1" t="s">
        <v>106</v>
      </c>
      <c r="D3275" s="1" t="s">
        <v>106</v>
      </c>
      <c r="E3275" s="6">
        <v>665.85</v>
      </c>
      <c r="F3275" s="1" t="s">
        <v>40</v>
      </c>
      <c r="G3275" s="6">
        <f ca="1">IFERROR(__xludf.DUMMYFUNCTION("iferror(GOOGLEFINANCE(TRIM(F3275)&amp;"":"" &amp; TRIM(B3275), ""price""),0
)"),380.25)</f>
        <v>380.25</v>
      </c>
      <c r="H3275" s="6">
        <v>305.8</v>
      </c>
      <c r="I3275" s="6">
        <f t="shared" ca="1" si="0"/>
        <v>380.25</v>
      </c>
      <c r="J3275" s="6">
        <f ca="1">IFERROR(__xludf.DUMMYFUNCTION("IFERROR(GOOGLEFINANCE(B3275, ""volume""), 0)"),14285)</f>
        <v>14285</v>
      </c>
      <c r="K3275" s="6">
        <v>0.81</v>
      </c>
      <c r="L3275" s="6">
        <f ca="1">IFERROR(__xludf.DUMMYFUNCTION("IFERROR(GOOGLEFINANCE(B3275,""changepct""),K3275)"),-1.2)</f>
        <v>-1.2</v>
      </c>
      <c r="M3275" s="6">
        <f ca="1">IFERROR(__xludf.DUMMYFUNCTION("IFERROR(GOOGLEFINANCE(B3275,""change""),0)"),-4.6)</f>
        <v>-4.5999999999999996</v>
      </c>
      <c r="N3275" s="6">
        <v>2</v>
      </c>
      <c r="O3275" s="7">
        <v>45536</v>
      </c>
      <c r="P3275" s="6">
        <v>74.16</v>
      </c>
      <c r="Q3275" s="6">
        <v>739.48</v>
      </c>
      <c r="R3275" s="7">
        <v>45536</v>
      </c>
      <c r="S3275" s="6">
        <v>164.21</v>
      </c>
      <c r="T3275" s="6">
        <v>12.4</v>
      </c>
      <c r="U3275" s="7">
        <v>45536</v>
      </c>
      <c r="V3275" s="6">
        <v>53.68</v>
      </c>
      <c r="W3275" s="6">
        <f ca="1">IFERROR(__xludf.DUMMYFUNCTION("IFERROR(GOOGLEFINANCE(B3275,""pe""),V3275)"),42.53)</f>
        <v>42.53</v>
      </c>
      <c r="X3275" s="9"/>
      <c r="Y3275" s="6">
        <v>2.44</v>
      </c>
      <c r="Z3275" s="6">
        <v>2</v>
      </c>
      <c r="AA3275" s="8">
        <v>45352</v>
      </c>
      <c r="AB3275" s="4">
        <v>0.31</v>
      </c>
      <c r="AC3275" s="6">
        <v>5.42</v>
      </c>
      <c r="AD3275" s="6">
        <v>7.42</v>
      </c>
      <c r="AE3275" s="1">
        <v>0</v>
      </c>
      <c r="AF3275" s="1">
        <f ca="1">IFERROR(__xludf.DUMMYFUNCTION("IFERROR(GOOGLEFINANCE(TRIM(F3275)&amp;"":"" &amp; TRIM(B3275),""high52""),AE3275)"),444.3)</f>
        <v>444.3</v>
      </c>
      <c r="AG3275" s="1">
        <v>0</v>
      </c>
      <c r="AH3275" s="1">
        <f ca="1">IFERROR(__xludf.DUMMYFUNCTION("IFERROR(GOOGLEFINANCE(TRIM(F3275)&amp;"":"" &amp; TRIM(B3275),""low52""),AE3275)"),210.1)</f>
        <v>210.1</v>
      </c>
      <c r="AI3275" s="1">
        <f ca="1">IFERROR(__xludf.DUMMYFUNCTION("IFERROR(GOOGLEFINANCE(B3275,""eps""),0)"),8.94)</f>
        <v>8.94</v>
      </c>
      <c r="AJ3275" s="1"/>
      <c r="AK3275" s="1" t="s">
        <v>10051</v>
      </c>
      <c r="AL3275" s="9">
        <f t="shared" si="314"/>
        <v>1</v>
      </c>
    </row>
    <row r="3276" spans="1:38" ht="15" x14ac:dyDescent="0.25">
      <c r="A3276" s="1" t="s">
        <v>10052</v>
      </c>
      <c r="B3276" s="1" t="s">
        <v>10053</v>
      </c>
      <c r="C3276" s="1" t="s">
        <v>82</v>
      </c>
      <c r="D3276" s="1" t="s">
        <v>82</v>
      </c>
      <c r="E3276" s="6">
        <v>31.12</v>
      </c>
      <c r="F3276" s="1" t="s">
        <v>53</v>
      </c>
      <c r="G3276" s="6">
        <f ca="1">IFERROR(__xludf.DUMMYFUNCTION("iferror(GOOGLEFINANCE(TRIM(F3276)&amp;"":"" &amp; TRIM(B3276), ""price""),0
)"),0)</f>
        <v>0</v>
      </c>
      <c r="H3276" s="6">
        <v>20</v>
      </c>
      <c r="I3276" s="6">
        <f t="shared" ca="1" si="0"/>
        <v>20</v>
      </c>
      <c r="J3276" s="6">
        <f ca="1">IFERROR(__xludf.DUMMYFUNCTION("IFERROR(GOOGLEFINANCE(B3276, ""volume""), 0)"),0)</f>
        <v>0</v>
      </c>
      <c r="K3276" s="6">
        <v>-1.23</v>
      </c>
      <c r="L3276" s="6">
        <f ca="1">IFERROR(__xludf.DUMMYFUNCTION("IFERROR(GOOGLEFINANCE(B3276,""changepct""),K3276)"),-1.23)</f>
        <v>-1.23</v>
      </c>
      <c r="M3276" s="6">
        <f ca="1">IFERROR(__xludf.DUMMYFUNCTION("IFERROR(GOOGLEFINANCE(B3276,""change""),0)"),0)</f>
        <v>0</v>
      </c>
      <c r="N3276" s="6">
        <v>1</v>
      </c>
      <c r="O3276" s="7">
        <v>45536</v>
      </c>
      <c r="P3276" s="6">
        <v>1.08</v>
      </c>
      <c r="Q3276" s="6">
        <v>32.200000000000003</v>
      </c>
      <c r="R3276" s="7">
        <v>45536</v>
      </c>
      <c r="S3276" s="6">
        <v>0</v>
      </c>
      <c r="T3276" s="6">
        <v>0.4</v>
      </c>
      <c r="U3276" s="7">
        <v>45536</v>
      </c>
      <c r="V3276" s="6">
        <v>78.59</v>
      </c>
      <c r="W3276" s="6">
        <f ca="1">IFERROR(__xludf.DUMMYFUNCTION("IFERROR(GOOGLEFINANCE(B3276,""pe""),V3276)"),78.59)</f>
        <v>78.59</v>
      </c>
      <c r="X3276" s="9"/>
      <c r="Y3276" s="6">
        <v>2.52</v>
      </c>
      <c r="Z3276" s="6">
        <v>2</v>
      </c>
      <c r="AA3276" s="8">
        <v>44986</v>
      </c>
      <c r="AB3276" s="4">
        <v>7.96</v>
      </c>
      <c r="AC3276" s="6">
        <v>-382</v>
      </c>
      <c r="AD3276" s="6">
        <v>-28.53</v>
      </c>
      <c r="AE3276" s="1">
        <v>0</v>
      </c>
      <c r="AF3276" s="1">
        <f ca="1">IFERROR(__xludf.DUMMYFUNCTION("IFERROR(GOOGLEFINANCE(TRIM(F3276)&amp;"":"" &amp; TRIM(B3276),""high52""),AE3276)"),0)</f>
        <v>0</v>
      </c>
      <c r="AG3276" s="1">
        <v>0</v>
      </c>
      <c r="AH3276" s="1">
        <f ca="1">IFERROR(__xludf.DUMMYFUNCTION("IFERROR(GOOGLEFINANCE(TRIM(F3276)&amp;"":"" &amp; TRIM(B3276),""low52""),AE3276)"),0)</f>
        <v>0</v>
      </c>
      <c r="AI3276" s="1">
        <f ca="1">IFERROR(__xludf.DUMMYFUNCTION("IFERROR(GOOGLEFINANCE(B3276,""eps""),0)"),0)</f>
        <v>0</v>
      </c>
      <c r="AJ3276" s="1"/>
      <c r="AK3276" s="1" t="s">
        <v>10054</v>
      </c>
      <c r="AL3276" s="9">
        <f t="shared" si="314"/>
        <v>1</v>
      </c>
    </row>
    <row r="3277" spans="1:38" ht="15" x14ac:dyDescent="0.25">
      <c r="A3277" s="1" t="s">
        <v>10055</v>
      </c>
      <c r="B3277" s="1" t="s">
        <v>10056</v>
      </c>
      <c r="C3277" s="1" t="s">
        <v>82</v>
      </c>
      <c r="D3277" s="1" t="s">
        <v>82</v>
      </c>
      <c r="E3277" s="6">
        <v>2.92</v>
      </c>
      <c r="F3277" s="1" t="s">
        <v>53</v>
      </c>
      <c r="G3277" s="6">
        <f ca="1">IFERROR(__xludf.DUMMYFUNCTION("iferror(GOOGLEFINANCE(TRIM(F3277)&amp;"":"" &amp; TRIM(B3277), ""price""),0
)"),0)</f>
        <v>0</v>
      </c>
      <c r="H3277" s="6">
        <v>5.95</v>
      </c>
      <c r="I3277" s="6">
        <f t="shared" ca="1" si="0"/>
        <v>5.95</v>
      </c>
      <c r="J3277" s="6">
        <f ca="1">IFERROR(__xludf.DUMMYFUNCTION("IFERROR(GOOGLEFINANCE(B3277, ""volume""), 0)"),0)</f>
        <v>0</v>
      </c>
      <c r="K3277" s="6">
        <v>4.75</v>
      </c>
      <c r="L3277" s="6">
        <f ca="1">IFERROR(__xludf.DUMMYFUNCTION("IFERROR(GOOGLEFINANCE(B3277,""changepct""),K3277)"),4.75)</f>
        <v>4.75</v>
      </c>
      <c r="M3277" s="6">
        <f ca="1">IFERROR(__xludf.DUMMYFUNCTION("IFERROR(GOOGLEFINANCE(B3277,""change""),0)"),0)</f>
        <v>0</v>
      </c>
      <c r="N3277" s="6">
        <v>1</v>
      </c>
      <c r="O3277" s="7">
        <v>45536</v>
      </c>
      <c r="P3277" s="6">
        <v>0.22</v>
      </c>
      <c r="Q3277" s="6">
        <v>3.14</v>
      </c>
      <c r="R3277" s="7">
        <v>45536</v>
      </c>
      <c r="S3277" s="6">
        <v>0.24</v>
      </c>
      <c r="T3277" s="6">
        <v>-0.57999999999999996</v>
      </c>
      <c r="U3277" s="7">
        <v>45536</v>
      </c>
      <c r="V3277" s="6">
        <v>0</v>
      </c>
      <c r="W3277" s="6">
        <f ca="1">IFERROR(__xludf.DUMMYFUNCTION("IFERROR(GOOGLEFINANCE(B3277,""pe""),V3277)"),0)</f>
        <v>0</v>
      </c>
      <c r="X3277" s="9"/>
      <c r="Y3277" s="6">
        <v>0.86</v>
      </c>
      <c r="Z3277" s="6">
        <v>1</v>
      </c>
      <c r="AA3277" s="8">
        <v>45352</v>
      </c>
      <c r="AB3277" s="4">
        <v>7.0000000000000007E-2</v>
      </c>
      <c r="AC3277" s="6">
        <v>-18.07</v>
      </c>
      <c r="AD3277" s="6">
        <v>-16.489999999999998</v>
      </c>
      <c r="AE3277" s="1">
        <v>0</v>
      </c>
      <c r="AF3277" s="1">
        <f ca="1">IFERROR(__xludf.DUMMYFUNCTION("IFERROR(GOOGLEFINANCE(TRIM(F3277)&amp;"":"" &amp; TRIM(B3277),""high52""),AE3277)"),0)</f>
        <v>0</v>
      </c>
      <c r="AG3277" s="1">
        <v>0</v>
      </c>
      <c r="AH3277" s="1">
        <f ca="1">IFERROR(__xludf.DUMMYFUNCTION("IFERROR(GOOGLEFINANCE(TRIM(F3277)&amp;"":"" &amp; TRIM(B3277),""low52""),AE3277)"),0)</f>
        <v>0</v>
      </c>
      <c r="AI3277" s="1">
        <f ca="1">IFERROR(__xludf.DUMMYFUNCTION("IFERROR(GOOGLEFINANCE(B3277,""eps""),0)"),0)</f>
        <v>0</v>
      </c>
      <c r="AJ3277" s="1"/>
      <c r="AK3277" s="1" t="s">
        <v>10057</v>
      </c>
      <c r="AL3277" s="9">
        <f t="shared" si="314"/>
        <v>1</v>
      </c>
    </row>
    <row r="3278" spans="1:38" ht="15" x14ac:dyDescent="0.25">
      <c r="A3278" s="1" t="s">
        <v>10058</v>
      </c>
      <c r="B3278" s="1" t="s">
        <v>10059</v>
      </c>
      <c r="C3278" s="1" t="s">
        <v>82</v>
      </c>
      <c r="D3278" s="1" t="s">
        <v>82</v>
      </c>
      <c r="E3278" s="6">
        <v>18.98</v>
      </c>
      <c r="F3278" s="1" t="s">
        <v>53</v>
      </c>
      <c r="G3278" s="6">
        <f ca="1">IFERROR(__xludf.DUMMYFUNCTION("iferror(GOOGLEFINANCE(TRIM(F3278)&amp;"":"" &amp; TRIM(B3278), ""price""),0
)"),0)</f>
        <v>0</v>
      </c>
      <c r="H3278" s="6">
        <v>57.25</v>
      </c>
      <c r="I3278" s="6">
        <f t="shared" ca="1" si="0"/>
        <v>57.25</v>
      </c>
      <c r="J3278" s="6">
        <f ca="1">IFERROR(__xludf.DUMMYFUNCTION("IFERROR(GOOGLEFINANCE(B3278, ""volume""), 0)"),0)</f>
        <v>0</v>
      </c>
      <c r="K3278" s="6">
        <v>2.4900000000000002</v>
      </c>
      <c r="L3278" s="6">
        <f ca="1">IFERROR(__xludf.DUMMYFUNCTION("IFERROR(GOOGLEFINANCE(B3278,""changepct""),K3278)"),2.49)</f>
        <v>2.4900000000000002</v>
      </c>
      <c r="M3278" s="6">
        <f ca="1">IFERROR(__xludf.DUMMYFUNCTION("IFERROR(GOOGLEFINANCE(B3278,""change""),0)"),0)</f>
        <v>0</v>
      </c>
      <c r="N3278" s="6">
        <v>1</v>
      </c>
      <c r="O3278" s="7">
        <v>45536</v>
      </c>
      <c r="P3278" s="6">
        <v>1.52</v>
      </c>
      <c r="Q3278" s="6">
        <v>20.5</v>
      </c>
      <c r="R3278" s="7">
        <v>45536</v>
      </c>
      <c r="S3278" s="6">
        <v>15.79</v>
      </c>
      <c r="T3278" s="6">
        <v>1.1000000000000001</v>
      </c>
      <c r="U3278" s="7">
        <v>45536</v>
      </c>
      <c r="V3278" s="6">
        <v>17.27</v>
      </c>
      <c r="W3278" s="6">
        <f ca="1">IFERROR(__xludf.DUMMYFUNCTION("IFERROR(GOOGLEFINANCE(B3278,""pe""),V3278)"),17.27)</f>
        <v>17.27</v>
      </c>
      <c r="X3278" s="6">
        <v>0.42</v>
      </c>
      <c r="Y3278" s="6">
        <v>2.67</v>
      </c>
      <c r="Z3278" s="6">
        <v>1</v>
      </c>
      <c r="AA3278" s="8">
        <v>45352</v>
      </c>
      <c r="AB3278" s="4">
        <v>0.05</v>
      </c>
      <c r="AC3278" s="6">
        <v>13.9</v>
      </c>
      <c r="AD3278" s="6">
        <v>15.64</v>
      </c>
      <c r="AE3278" s="1">
        <v>0</v>
      </c>
      <c r="AF3278" s="1">
        <f ca="1">IFERROR(__xludf.DUMMYFUNCTION("IFERROR(GOOGLEFINANCE(TRIM(F3278)&amp;"":"" &amp; TRIM(B3278),""high52""),AE3278)"),0)</f>
        <v>0</v>
      </c>
      <c r="AG3278" s="1">
        <v>0</v>
      </c>
      <c r="AH3278" s="1">
        <f ca="1">IFERROR(__xludf.DUMMYFUNCTION("IFERROR(GOOGLEFINANCE(TRIM(F3278)&amp;"":"" &amp; TRIM(B3278),""low52""),AE3278)"),0)</f>
        <v>0</v>
      </c>
      <c r="AI3278" s="1">
        <f ca="1">IFERROR(__xludf.DUMMYFUNCTION("IFERROR(GOOGLEFINANCE(B3278,""eps""),0)"),0)</f>
        <v>0</v>
      </c>
      <c r="AJ3278" s="1"/>
      <c r="AK3278" s="1" t="s">
        <v>10060</v>
      </c>
      <c r="AL3278" s="9">
        <f t="shared" si="314"/>
        <v>1</v>
      </c>
    </row>
    <row r="3279" spans="1:38" ht="15" x14ac:dyDescent="0.25">
      <c r="A3279" s="1" t="s">
        <v>10061</v>
      </c>
      <c r="B3279" s="1" t="s">
        <v>10062</v>
      </c>
      <c r="C3279" s="1" t="s">
        <v>57</v>
      </c>
      <c r="D3279" s="1" t="s">
        <v>57</v>
      </c>
      <c r="E3279" s="6">
        <v>2944.72</v>
      </c>
      <c r="F3279" s="1" t="s">
        <v>40</v>
      </c>
      <c r="G3279" s="6">
        <f ca="1">IFERROR(__xludf.DUMMYFUNCTION("iferror(GOOGLEFINANCE(TRIM(F3279)&amp;"":"" &amp; TRIM(B3279), ""price""),0
)"),171)</f>
        <v>171</v>
      </c>
      <c r="H3279" s="6">
        <v>219.89</v>
      </c>
      <c r="I3279" s="6">
        <f t="shared" ca="1" si="0"/>
        <v>171</v>
      </c>
      <c r="J3279" s="6">
        <f ca="1">IFERROR(__xludf.DUMMYFUNCTION("IFERROR(GOOGLEFINANCE(B3279, ""volume""), 0)"),1683034)</f>
        <v>1683034</v>
      </c>
      <c r="K3279" s="6">
        <v>-1.1200000000000001</v>
      </c>
      <c r="L3279" s="6">
        <f ca="1">IFERROR(__xludf.DUMMYFUNCTION("IFERROR(GOOGLEFINANCE(B3279,""changepct""),K3279)"),-2.4)</f>
        <v>-2.4</v>
      </c>
      <c r="M3279" s="6">
        <f ca="1">IFERROR(__xludf.DUMMYFUNCTION("IFERROR(GOOGLEFINANCE(B3279,""change""),0)"),-4.21)</f>
        <v>-4.21</v>
      </c>
      <c r="N3279" s="6">
        <v>2</v>
      </c>
      <c r="O3279" s="7">
        <v>45536</v>
      </c>
      <c r="P3279" s="6">
        <v>36.49</v>
      </c>
      <c r="Q3279" s="6">
        <v>2806.29</v>
      </c>
      <c r="R3279" s="7">
        <v>45536</v>
      </c>
      <c r="S3279" s="6">
        <v>804.04</v>
      </c>
      <c r="T3279" s="6">
        <v>97.49</v>
      </c>
      <c r="U3279" s="7">
        <v>45536</v>
      </c>
      <c r="V3279" s="6">
        <v>30.21</v>
      </c>
      <c r="W3279" s="6">
        <f ca="1">IFERROR(__xludf.DUMMYFUNCTION("IFERROR(GOOGLEFINANCE(B3279,""pe""),V3279)"),18.28)</f>
        <v>18.28</v>
      </c>
      <c r="X3279" s="6">
        <v>1.41</v>
      </c>
      <c r="Y3279" s="6">
        <v>5.19</v>
      </c>
      <c r="Z3279" s="6">
        <v>2</v>
      </c>
      <c r="AA3279" s="8">
        <v>45352</v>
      </c>
      <c r="AB3279" s="4">
        <v>0.02</v>
      </c>
      <c r="AC3279" s="6">
        <v>21.35</v>
      </c>
      <c r="AD3279" s="6">
        <v>28.69</v>
      </c>
      <c r="AE3279" s="1">
        <v>0</v>
      </c>
      <c r="AF3279" s="1">
        <f ca="1">IFERROR(__xludf.DUMMYFUNCTION("IFERROR(GOOGLEFINANCE(TRIM(F3279)&amp;"":"" &amp; TRIM(B3279),""high52""),AE3279)"),253.99)</f>
        <v>253.99</v>
      </c>
      <c r="AG3279" s="1">
        <v>0</v>
      </c>
      <c r="AH3279" s="1">
        <f ca="1">IFERROR(__xludf.DUMMYFUNCTION("IFERROR(GOOGLEFINANCE(TRIM(F3279)&amp;"":"" &amp; TRIM(B3279),""low52""),AE3279)"),125.03)</f>
        <v>125.03</v>
      </c>
      <c r="AI3279" s="1">
        <f ca="1">IFERROR(__xludf.DUMMYFUNCTION("IFERROR(GOOGLEFINANCE(B3279,""eps""),0)"),9.35)</f>
        <v>9.35</v>
      </c>
      <c r="AJ3279" s="1"/>
      <c r="AK3279" s="1" t="s">
        <v>10063</v>
      </c>
      <c r="AL3279" s="9">
        <f t="shared" si="314"/>
        <v>1</v>
      </c>
    </row>
    <row r="3280" spans="1:38" ht="15" x14ac:dyDescent="0.25">
      <c r="A3280" s="1" t="s">
        <v>10064</v>
      </c>
      <c r="B3280" s="1" t="s">
        <v>10065</v>
      </c>
      <c r="C3280" s="1" t="s">
        <v>1118</v>
      </c>
      <c r="D3280" s="1" t="s">
        <v>1118</v>
      </c>
      <c r="E3280" s="6">
        <v>377.23</v>
      </c>
      <c r="F3280" s="1" t="s">
        <v>40</v>
      </c>
      <c r="G3280" s="6">
        <f ca="1">IFERROR(__xludf.DUMMYFUNCTION("iferror(GOOGLEFINANCE(TRIM(F3280)&amp;"":"" &amp; TRIM(B3280), ""price""),0
)"),17.1)</f>
        <v>17.100000000000001</v>
      </c>
      <c r="H3280" s="6">
        <v>31.85</v>
      </c>
      <c r="I3280" s="6">
        <f t="shared" ca="1" si="0"/>
        <v>17.100000000000001</v>
      </c>
      <c r="J3280" s="6">
        <f ca="1">IFERROR(__xludf.DUMMYFUNCTION("IFERROR(GOOGLEFINANCE(B3280, ""volume""), 0)"),104286)</f>
        <v>104286</v>
      </c>
      <c r="K3280" s="6">
        <v>0.16</v>
      </c>
      <c r="L3280" s="6">
        <f ca="1">IFERROR(__xludf.DUMMYFUNCTION("IFERROR(GOOGLEFINANCE(B3280,""changepct""),K3280)"),-3.44)</f>
        <v>-3.44</v>
      </c>
      <c r="M3280" s="6">
        <f ca="1">IFERROR(__xludf.DUMMYFUNCTION("IFERROR(GOOGLEFINANCE(B3280,""change""),0)"),-0.61)</f>
        <v>-0.61</v>
      </c>
      <c r="N3280" s="6">
        <v>1</v>
      </c>
      <c r="O3280" s="7">
        <v>45536</v>
      </c>
      <c r="P3280" s="6">
        <v>846.97</v>
      </c>
      <c r="Q3280" s="6">
        <v>1220.6099999999999</v>
      </c>
      <c r="R3280" s="7">
        <v>45536</v>
      </c>
      <c r="S3280" s="6">
        <v>916.69</v>
      </c>
      <c r="T3280" s="6">
        <v>82.61</v>
      </c>
      <c r="U3280" s="7">
        <v>45536</v>
      </c>
      <c r="V3280" s="6">
        <v>4.57</v>
      </c>
      <c r="W3280" s="6">
        <f ca="1">IFERROR(__xludf.DUMMYFUNCTION("IFERROR(GOOGLEFINANCE(B3280,""pe""),V3280)"),7.56)</f>
        <v>7.56</v>
      </c>
      <c r="X3280" s="6">
        <v>0.37</v>
      </c>
      <c r="Y3280" s="6">
        <v>2.5499999999999998</v>
      </c>
      <c r="Z3280" s="6">
        <v>1</v>
      </c>
      <c r="AA3280" s="8">
        <v>45352</v>
      </c>
      <c r="AB3280" s="4">
        <v>6.55</v>
      </c>
      <c r="AC3280" s="6">
        <v>227.46</v>
      </c>
      <c r="AD3280" s="6">
        <v>31.79</v>
      </c>
      <c r="AE3280" s="1">
        <v>0</v>
      </c>
      <c r="AF3280" s="1">
        <f ca="1">IFERROR(__xludf.DUMMYFUNCTION("IFERROR(GOOGLEFINANCE(TRIM(F3280)&amp;"":"" &amp; TRIM(B3280),""high52""),AE3280)"),28.87)</f>
        <v>28.87</v>
      </c>
      <c r="AG3280" s="1">
        <v>0</v>
      </c>
      <c r="AH3280" s="1">
        <f ca="1">IFERROR(__xludf.DUMMYFUNCTION("IFERROR(GOOGLEFINANCE(TRIM(F3280)&amp;"":"" &amp; TRIM(B3280),""low52""),AE3280)"),16.46)</f>
        <v>16.46</v>
      </c>
      <c r="AI3280" s="1">
        <f ca="1">IFERROR(__xludf.DUMMYFUNCTION("IFERROR(GOOGLEFINANCE(B3280,""eps""),0)"),2.26)</f>
        <v>2.2599999999999998</v>
      </c>
      <c r="AJ3280" s="1"/>
      <c r="AK3280" s="1" t="s">
        <v>10066</v>
      </c>
      <c r="AL3280" s="9">
        <f t="shared" si="314"/>
        <v>1</v>
      </c>
    </row>
    <row r="3281" spans="1:38" ht="15" x14ac:dyDescent="0.25">
      <c r="A3281" s="1" t="s">
        <v>10067</v>
      </c>
      <c r="B3281" s="1" t="s">
        <v>10068</v>
      </c>
      <c r="C3281" s="1" t="s">
        <v>82</v>
      </c>
      <c r="D3281" s="1" t="s">
        <v>82</v>
      </c>
      <c r="E3281" s="6">
        <v>44.47</v>
      </c>
      <c r="F3281" s="1" t="s">
        <v>53</v>
      </c>
      <c r="G3281" s="6">
        <f ca="1">IFERROR(__xludf.DUMMYFUNCTION("iferror(GOOGLEFINANCE(TRIM(F3281)&amp;"":"" &amp; TRIM(B3281), ""price""),0
)"),0)</f>
        <v>0</v>
      </c>
      <c r="H3281" s="6">
        <v>53</v>
      </c>
      <c r="I3281" s="6">
        <f t="shared" ca="1" si="0"/>
        <v>53</v>
      </c>
      <c r="J3281" s="6">
        <f ca="1">IFERROR(__xludf.DUMMYFUNCTION("IFERROR(GOOGLEFINANCE(B3281, ""volume""), 0)"),0)</f>
        <v>0</v>
      </c>
      <c r="K3281" s="12"/>
      <c r="L3281" s="6" t="str">
        <f ca="1">IFERROR(__xludf.DUMMYFUNCTION("IFERROR(GOOGLEFINANCE(B3281,""changepct""),K3281)"),"")</f>
        <v/>
      </c>
      <c r="M3281" s="6">
        <f ca="1">IFERROR(__xludf.DUMMYFUNCTION("IFERROR(GOOGLEFINANCE(B3281,""change""),0)"),0)</f>
        <v>0</v>
      </c>
      <c r="N3281" s="6">
        <v>1</v>
      </c>
      <c r="O3281" s="7">
        <v>45536</v>
      </c>
      <c r="P3281" s="6">
        <v>33.93</v>
      </c>
      <c r="Q3281" s="6">
        <v>78.400000000000006</v>
      </c>
      <c r="R3281" s="7">
        <v>45536</v>
      </c>
      <c r="S3281" s="6">
        <v>132.04</v>
      </c>
      <c r="T3281" s="6">
        <v>-0.74</v>
      </c>
      <c r="U3281" s="7">
        <v>45536</v>
      </c>
      <c r="V3281" s="6">
        <v>0</v>
      </c>
      <c r="W3281" s="6">
        <f ca="1">IFERROR(__xludf.DUMMYFUNCTION("IFERROR(GOOGLEFINANCE(B3281,""pe""),V3281)"),0)</f>
        <v>0</v>
      </c>
      <c r="X3281" s="6">
        <v>0</v>
      </c>
      <c r="Y3281" s="6">
        <v>3.26</v>
      </c>
      <c r="Z3281" s="6">
        <v>1</v>
      </c>
      <c r="AA3281" s="8">
        <v>45352</v>
      </c>
      <c r="AB3281" s="4">
        <v>1.71</v>
      </c>
      <c r="AC3281" s="6">
        <v>10.91</v>
      </c>
      <c r="AD3281" s="6">
        <v>12.92</v>
      </c>
      <c r="AE3281" s="1">
        <v>0</v>
      </c>
      <c r="AF3281" s="1">
        <f ca="1">IFERROR(__xludf.DUMMYFUNCTION("IFERROR(GOOGLEFINANCE(TRIM(F3281)&amp;"":"" &amp; TRIM(B3281),""high52""),AE3281)"),0)</f>
        <v>0</v>
      </c>
      <c r="AG3281" s="1">
        <v>0</v>
      </c>
      <c r="AH3281" s="1">
        <f ca="1">IFERROR(__xludf.DUMMYFUNCTION("IFERROR(GOOGLEFINANCE(TRIM(F3281)&amp;"":"" &amp; TRIM(B3281),""low52""),AE3281)"),0)</f>
        <v>0</v>
      </c>
      <c r="AI3281" s="1">
        <f ca="1">IFERROR(__xludf.DUMMYFUNCTION("IFERROR(GOOGLEFINANCE(B3281,""eps""),0)"),0)</f>
        <v>0</v>
      </c>
      <c r="AJ3281" s="1"/>
      <c r="AK3281" s="1" t="s">
        <v>10069</v>
      </c>
      <c r="AL3281" s="9">
        <f t="shared" si="314"/>
        <v>1</v>
      </c>
    </row>
    <row r="3282" spans="1:38" ht="15" x14ac:dyDescent="0.25">
      <c r="A3282" s="1" t="s">
        <v>10070</v>
      </c>
      <c r="B3282" s="1" t="s">
        <v>10071</v>
      </c>
      <c r="C3282" s="1" t="s">
        <v>82</v>
      </c>
      <c r="D3282" s="1" t="s">
        <v>82</v>
      </c>
      <c r="E3282" s="6">
        <v>195.71</v>
      </c>
      <c r="F3282" s="1" t="s">
        <v>53</v>
      </c>
      <c r="G3282" s="6">
        <f ca="1">IFERROR(__xludf.DUMMYFUNCTION("iferror(GOOGLEFINANCE(TRIM(F3282)&amp;"":"" &amp; TRIM(B3282), ""price""),0
)"),0)</f>
        <v>0</v>
      </c>
      <c r="H3282" s="6">
        <v>81.67</v>
      </c>
      <c r="I3282" s="6">
        <f t="shared" ca="1" si="0"/>
        <v>81.67</v>
      </c>
      <c r="J3282" s="6">
        <f ca="1">IFERROR(__xludf.DUMMYFUNCTION("IFERROR(GOOGLEFINANCE(B3282, ""volume""), 0)"),0)</f>
        <v>0</v>
      </c>
      <c r="K3282" s="6">
        <v>-1.74</v>
      </c>
      <c r="L3282" s="6">
        <f ca="1">IFERROR(__xludf.DUMMYFUNCTION("IFERROR(GOOGLEFINANCE(B3282,""changepct""),K3282)"),-1.74)</f>
        <v>-1.74</v>
      </c>
      <c r="M3282" s="6">
        <f ca="1">IFERROR(__xludf.DUMMYFUNCTION("IFERROR(GOOGLEFINANCE(B3282,""change""),0)"),0)</f>
        <v>0</v>
      </c>
      <c r="N3282" s="6">
        <v>2</v>
      </c>
      <c r="O3282" s="7">
        <v>45536</v>
      </c>
      <c r="P3282" s="6">
        <v>725.13</v>
      </c>
      <c r="Q3282" s="6">
        <v>880.87</v>
      </c>
      <c r="R3282" s="7">
        <v>45536</v>
      </c>
      <c r="S3282" s="6">
        <v>770.89</v>
      </c>
      <c r="T3282" s="6">
        <v>-78.16</v>
      </c>
      <c r="U3282" s="7">
        <v>45536</v>
      </c>
      <c r="V3282" s="6">
        <v>0</v>
      </c>
      <c r="W3282" s="6">
        <f ca="1">IFERROR(__xludf.DUMMYFUNCTION("IFERROR(GOOGLEFINANCE(B3282,""pe""),V3282)"),0)</f>
        <v>0</v>
      </c>
      <c r="X3282" s="6">
        <v>0</v>
      </c>
      <c r="Y3282" s="6">
        <v>0.41</v>
      </c>
      <c r="Z3282" s="6">
        <v>2</v>
      </c>
      <c r="AA3282" s="8">
        <v>45352</v>
      </c>
      <c r="AB3282" s="4">
        <v>1.52</v>
      </c>
      <c r="AC3282" s="6">
        <v>-16.63</v>
      </c>
      <c r="AD3282" s="6">
        <v>0.96</v>
      </c>
      <c r="AE3282" s="1">
        <v>0</v>
      </c>
      <c r="AF3282" s="1">
        <f ca="1">IFERROR(__xludf.DUMMYFUNCTION("IFERROR(GOOGLEFINANCE(TRIM(F3282)&amp;"":"" &amp; TRIM(B3282),""high52""),AE3282)"),0)</f>
        <v>0</v>
      </c>
      <c r="AG3282" s="1">
        <v>0</v>
      </c>
      <c r="AH3282" s="1">
        <f ca="1">IFERROR(__xludf.DUMMYFUNCTION("IFERROR(GOOGLEFINANCE(TRIM(F3282)&amp;"":"" &amp; TRIM(B3282),""low52""),AE3282)"),0)</f>
        <v>0</v>
      </c>
      <c r="AI3282" s="1">
        <f ca="1">IFERROR(__xludf.DUMMYFUNCTION("IFERROR(GOOGLEFINANCE(B3282,""eps""),0)"),0)</f>
        <v>0</v>
      </c>
      <c r="AJ3282" s="1"/>
      <c r="AK3282" s="1" t="s">
        <v>10072</v>
      </c>
      <c r="AL3282" s="9">
        <f t="shared" si="314"/>
        <v>1</v>
      </c>
    </row>
    <row r="3283" spans="1:38" ht="15" x14ac:dyDescent="0.25">
      <c r="A3283" s="1" t="s">
        <v>10073</v>
      </c>
      <c r="B3283" s="1" t="s">
        <v>10074</v>
      </c>
      <c r="C3283" s="1" t="s">
        <v>82</v>
      </c>
      <c r="D3283" s="1" t="s">
        <v>82</v>
      </c>
      <c r="E3283" s="6">
        <v>13.13</v>
      </c>
      <c r="F3283" s="1" t="s">
        <v>53</v>
      </c>
      <c r="G3283" s="6">
        <f ca="1">IFERROR(__xludf.DUMMYFUNCTION("iferror(GOOGLEFINANCE(TRIM(F3283)&amp;"":"" &amp; TRIM(B3283), ""price""),0
)"),0)</f>
        <v>0</v>
      </c>
      <c r="H3283" s="6">
        <v>2.5499999999999998</v>
      </c>
      <c r="I3283" s="6">
        <f t="shared" ca="1" si="0"/>
        <v>2.5499999999999998</v>
      </c>
      <c r="J3283" s="6">
        <f ca="1">IFERROR(__xludf.DUMMYFUNCTION("IFERROR(GOOGLEFINANCE(B3283, ""volume""), 0)"),0)</f>
        <v>0</v>
      </c>
      <c r="K3283" s="6">
        <v>4.9400000000000004</v>
      </c>
      <c r="L3283" s="6">
        <f ca="1">IFERROR(__xludf.DUMMYFUNCTION("IFERROR(GOOGLEFINANCE(B3283,""changepct""),K3283)"),4.94)</f>
        <v>4.9400000000000004</v>
      </c>
      <c r="M3283" s="6">
        <f ca="1">IFERROR(__xludf.DUMMYFUNCTION("IFERROR(GOOGLEFINANCE(B3283,""change""),0)"),0)</f>
        <v>0</v>
      </c>
      <c r="N3283" s="6">
        <v>1</v>
      </c>
      <c r="O3283" s="7">
        <v>45536</v>
      </c>
      <c r="P3283" s="9"/>
      <c r="Q3283" s="6">
        <v>13.13</v>
      </c>
      <c r="R3283" s="7">
        <v>45536</v>
      </c>
      <c r="S3283" s="6">
        <v>2.89</v>
      </c>
      <c r="T3283" s="6">
        <v>0.14000000000000001</v>
      </c>
      <c r="U3283" s="7">
        <v>45536</v>
      </c>
      <c r="V3283" s="6">
        <v>93.78</v>
      </c>
      <c r="W3283" s="6">
        <f ca="1">IFERROR(__xludf.DUMMYFUNCTION("IFERROR(GOOGLEFINANCE(B3283,""pe""),V3283)"),93.78)</f>
        <v>93.78</v>
      </c>
      <c r="X3283" s="6">
        <v>3</v>
      </c>
      <c r="Y3283" s="6">
        <v>12.37</v>
      </c>
      <c r="Z3283" s="6">
        <v>1</v>
      </c>
      <c r="AA3283" s="8">
        <v>45352</v>
      </c>
      <c r="AB3283" s="4">
        <v>0</v>
      </c>
      <c r="AC3283" s="6">
        <v>21.71</v>
      </c>
      <c r="AD3283" s="6">
        <v>21.72</v>
      </c>
      <c r="AE3283" s="1">
        <v>0</v>
      </c>
      <c r="AF3283" s="1">
        <f ca="1">IFERROR(__xludf.DUMMYFUNCTION("IFERROR(GOOGLEFINANCE(TRIM(F3283)&amp;"":"" &amp; TRIM(B3283),""high52""),AE3283)"),0)</f>
        <v>0</v>
      </c>
      <c r="AG3283" s="1">
        <v>0</v>
      </c>
      <c r="AH3283" s="1">
        <f ca="1">IFERROR(__xludf.DUMMYFUNCTION("IFERROR(GOOGLEFINANCE(TRIM(F3283)&amp;"":"" &amp; TRIM(B3283),""low52""),AE3283)"),0)</f>
        <v>0</v>
      </c>
      <c r="AI3283" s="1">
        <f ca="1">IFERROR(__xludf.DUMMYFUNCTION("IFERROR(GOOGLEFINANCE(B3283,""eps""),0)"),0)</f>
        <v>0</v>
      </c>
      <c r="AJ3283" s="1"/>
      <c r="AK3283" s="1" t="s">
        <v>10075</v>
      </c>
      <c r="AL3283" s="9">
        <f t="shared" si="314"/>
        <v>1</v>
      </c>
    </row>
    <row r="3284" spans="1:38" ht="15" x14ac:dyDescent="0.25">
      <c r="A3284" s="1" t="s">
        <v>10076</v>
      </c>
      <c r="B3284" s="1" t="s">
        <v>10077</v>
      </c>
      <c r="C3284" s="1" t="s">
        <v>82</v>
      </c>
      <c r="D3284" s="1" t="s">
        <v>82</v>
      </c>
      <c r="E3284" s="6">
        <v>254.33</v>
      </c>
      <c r="F3284" s="1" t="s">
        <v>53</v>
      </c>
      <c r="G3284" s="6">
        <f ca="1">IFERROR(__xludf.DUMMYFUNCTION("iferror(GOOGLEFINANCE(TRIM(F3284)&amp;"":"" &amp; TRIM(B3284), ""price""),0
)"),0)</f>
        <v>0</v>
      </c>
      <c r="H3284" s="6">
        <v>440</v>
      </c>
      <c r="I3284" s="6">
        <f t="shared" ca="1" si="0"/>
        <v>440</v>
      </c>
      <c r="J3284" s="6">
        <f ca="1">IFERROR(__xludf.DUMMYFUNCTION("IFERROR(GOOGLEFINANCE(B3284, ""volume""), 0)"),0)</f>
        <v>0</v>
      </c>
      <c r="K3284" s="6">
        <v>-1.73</v>
      </c>
      <c r="L3284" s="6">
        <f ca="1">IFERROR(__xludf.DUMMYFUNCTION("IFERROR(GOOGLEFINANCE(B3284,""changepct""),K3284)"),-1.73)</f>
        <v>-1.73</v>
      </c>
      <c r="M3284" s="6">
        <f ca="1">IFERROR(__xludf.DUMMYFUNCTION("IFERROR(GOOGLEFINANCE(B3284,""change""),0)"),0)</f>
        <v>0</v>
      </c>
      <c r="N3284" s="6">
        <v>2</v>
      </c>
      <c r="O3284" s="7">
        <v>45536</v>
      </c>
      <c r="P3284" s="6">
        <v>20.23</v>
      </c>
      <c r="Q3284" s="6">
        <v>266.98</v>
      </c>
      <c r="R3284" s="7">
        <v>45536</v>
      </c>
      <c r="S3284" s="6">
        <v>292.62</v>
      </c>
      <c r="T3284" s="6">
        <v>4.4000000000000004</v>
      </c>
      <c r="U3284" s="7">
        <v>45536</v>
      </c>
      <c r="V3284" s="6">
        <v>57.83</v>
      </c>
      <c r="W3284" s="6">
        <f ca="1">IFERROR(__xludf.DUMMYFUNCTION("IFERROR(GOOGLEFINANCE(B3284,""pe""),V3284)"),57.83)</f>
        <v>57.83</v>
      </c>
      <c r="X3284" s="9"/>
      <c r="Y3284" s="6">
        <v>3.5</v>
      </c>
      <c r="Z3284" s="6">
        <v>2</v>
      </c>
      <c r="AA3284" s="8">
        <v>45352</v>
      </c>
      <c r="AB3284" s="4">
        <v>0.34</v>
      </c>
      <c r="AC3284" s="6">
        <v>-6.8</v>
      </c>
      <c r="AD3284" s="6">
        <v>2.09</v>
      </c>
      <c r="AE3284" s="1">
        <v>0</v>
      </c>
      <c r="AF3284" s="1">
        <f ca="1">IFERROR(__xludf.DUMMYFUNCTION("IFERROR(GOOGLEFINANCE(TRIM(F3284)&amp;"":"" &amp; TRIM(B3284),""high52""),AE3284)"),0)</f>
        <v>0</v>
      </c>
      <c r="AG3284" s="1">
        <v>0</v>
      </c>
      <c r="AH3284" s="1">
        <f ca="1">IFERROR(__xludf.DUMMYFUNCTION("IFERROR(GOOGLEFINANCE(TRIM(F3284)&amp;"":"" &amp; TRIM(B3284),""low52""),AE3284)"),0)</f>
        <v>0</v>
      </c>
      <c r="AI3284" s="1">
        <f ca="1">IFERROR(__xludf.DUMMYFUNCTION("IFERROR(GOOGLEFINANCE(B3284,""eps""),0)"),0)</f>
        <v>0</v>
      </c>
      <c r="AJ3284" s="1"/>
      <c r="AK3284" s="1" t="s">
        <v>10078</v>
      </c>
      <c r="AL3284" s="9">
        <f t="shared" si="314"/>
        <v>1</v>
      </c>
    </row>
    <row r="3285" spans="1:38" ht="15" x14ac:dyDescent="0.25">
      <c r="A3285" s="1" t="s">
        <v>10079</v>
      </c>
      <c r="B3285" s="1" t="s">
        <v>10080</v>
      </c>
      <c r="C3285" s="1" t="s">
        <v>82</v>
      </c>
      <c r="D3285" s="1" t="s">
        <v>82</v>
      </c>
      <c r="E3285" s="6">
        <v>209.29</v>
      </c>
      <c r="F3285" s="1" t="s">
        <v>53</v>
      </c>
      <c r="G3285" s="6">
        <f ca="1">IFERROR(__xludf.DUMMYFUNCTION("iferror(GOOGLEFINANCE(TRIM(F3285)&amp;"":"" &amp; TRIM(B3285), ""price""),0
)"),0)</f>
        <v>0</v>
      </c>
      <c r="H3285" s="6">
        <v>159.5</v>
      </c>
      <c r="I3285" s="6">
        <f t="shared" ca="1" si="0"/>
        <v>159.5</v>
      </c>
      <c r="J3285" s="6">
        <f ca="1">IFERROR(__xludf.DUMMYFUNCTION("IFERROR(GOOGLEFINANCE(B3285, ""volume""), 0)"),0)</f>
        <v>0</v>
      </c>
      <c r="K3285" s="6">
        <v>0.09</v>
      </c>
      <c r="L3285" s="6">
        <f ca="1">IFERROR(__xludf.DUMMYFUNCTION("IFERROR(GOOGLEFINANCE(B3285,""changepct""),K3285)"),0.09)</f>
        <v>0.09</v>
      </c>
      <c r="M3285" s="6">
        <f ca="1">IFERROR(__xludf.DUMMYFUNCTION("IFERROR(GOOGLEFINANCE(B3285,""change""),0)"),0)</f>
        <v>0</v>
      </c>
      <c r="N3285" s="6">
        <v>1</v>
      </c>
      <c r="O3285" s="7">
        <v>45536</v>
      </c>
      <c r="P3285" s="6">
        <v>745.48</v>
      </c>
      <c r="Q3285" s="6">
        <v>928.08</v>
      </c>
      <c r="R3285" s="7">
        <v>45536</v>
      </c>
      <c r="S3285" s="6">
        <v>728.36</v>
      </c>
      <c r="T3285" s="6">
        <v>-77.52</v>
      </c>
      <c r="U3285" s="7">
        <v>45536</v>
      </c>
      <c r="V3285" s="6">
        <v>0</v>
      </c>
      <c r="W3285" s="6">
        <f ca="1">IFERROR(__xludf.DUMMYFUNCTION("IFERROR(GOOGLEFINANCE(B3285,""pe""),V3285)"),0)</f>
        <v>0</v>
      </c>
      <c r="X3285" s="9"/>
      <c r="Y3285" s="6">
        <v>-1.18</v>
      </c>
      <c r="Z3285" s="6">
        <v>1</v>
      </c>
      <c r="AA3285" s="8">
        <v>45352</v>
      </c>
      <c r="AB3285" s="4">
        <v>-5.88</v>
      </c>
      <c r="AC3285" s="6">
        <v>0</v>
      </c>
      <c r="AD3285" s="6">
        <v>2.89</v>
      </c>
      <c r="AE3285" s="1">
        <v>0</v>
      </c>
      <c r="AF3285" s="1">
        <f ca="1">IFERROR(__xludf.DUMMYFUNCTION("IFERROR(GOOGLEFINANCE(TRIM(F3285)&amp;"":"" &amp; TRIM(B3285),""high52""),AE3285)"),0)</f>
        <v>0</v>
      </c>
      <c r="AG3285" s="1">
        <v>0</v>
      </c>
      <c r="AH3285" s="1">
        <f ca="1">IFERROR(__xludf.DUMMYFUNCTION("IFERROR(GOOGLEFINANCE(TRIM(F3285)&amp;"":"" &amp; TRIM(B3285),""low52""),AE3285)"),0)</f>
        <v>0</v>
      </c>
      <c r="AI3285" s="1">
        <f ca="1">IFERROR(__xludf.DUMMYFUNCTION("IFERROR(GOOGLEFINANCE(B3285,""eps""),0)"),0)</f>
        <v>0</v>
      </c>
      <c r="AJ3285" s="1"/>
      <c r="AK3285" s="1" t="s">
        <v>10081</v>
      </c>
      <c r="AL3285" s="9">
        <f t="shared" si="314"/>
        <v>1</v>
      </c>
    </row>
    <row r="3286" spans="1:38" ht="15" x14ac:dyDescent="0.25">
      <c r="A3286" s="1" t="s">
        <v>10082</v>
      </c>
      <c r="B3286" s="1" t="s">
        <v>10083</v>
      </c>
      <c r="C3286" s="1" t="s">
        <v>82</v>
      </c>
      <c r="D3286" s="1" t="s">
        <v>82</v>
      </c>
      <c r="E3286" s="6">
        <v>651.25</v>
      </c>
      <c r="F3286" s="1" t="s">
        <v>53</v>
      </c>
      <c r="G3286" s="6">
        <f ca="1">IFERROR(__xludf.DUMMYFUNCTION("iferror(GOOGLEFINANCE(TRIM(F3286)&amp;"":"" &amp; TRIM(B3286), ""price""),0
)"),0)</f>
        <v>0</v>
      </c>
      <c r="H3286" s="6">
        <v>118.35</v>
      </c>
      <c r="I3286" s="6">
        <f t="shared" ca="1" si="0"/>
        <v>118.35</v>
      </c>
      <c r="J3286" s="6">
        <f ca="1">IFERROR(__xludf.DUMMYFUNCTION("IFERROR(GOOGLEFINANCE(B3286, ""volume""), 0)"),253618)</f>
        <v>253618</v>
      </c>
      <c r="K3286" s="6">
        <v>0.64</v>
      </c>
      <c r="L3286" s="6">
        <f ca="1">IFERROR(__xludf.DUMMYFUNCTION("IFERROR(GOOGLEFINANCE(B3286,""changepct""),K3286)"),0)</f>
        <v>0</v>
      </c>
      <c r="M3286" s="6">
        <f ca="1">IFERROR(__xludf.DUMMYFUNCTION("IFERROR(GOOGLEFINANCE(B3286,""change""),0)"),0)</f>
        <v>0</v>
      </c>
      <c r="N3286" s="6">
        <v>2</v>
      </c>
      <c r="O3286" s="7">
        <v>45536</v>
      </c>
      <c r="P3286" s="6">
        <v>82.61</v>
      </c>
      <c r="Q3286" s="6">
        <v>733.87</v>
      </c>
      <c r="R3286" s="7">
        <v>45536</v>
      </c>
      <c r="S3286" s="6">
        <v>269.52</v>
      </c>
      <c r="T3286" s="6">
        <v>28.86</v>
      </c>
      <c r="U3286" s="7">
        <v>45536</v>
      </c>
      <c r="V3286" s="6">
        <v>21.89</v>
      </c>
      <c r="W3286" s="6">
        <f ca="1">IFERROR(__xludf.DUMMYFUNCTION("IFERROR(GOOGLEFINANCE(B3286,""pe""),V3286)"),21.89)</f>
        <v>21.89</v>
      </c>
      <c r="X3286" s="6">
        <v>1.1000000000000001</v>
      </c>
      <c r="Y3286" s="6">
        <v>5.57</v>
      </c>
      <c r="Z3286" s="6">
        <v>2</v>
      </c>
      <c r="AA3286" s="8">
        <v>45352</v>
      </c>
      <c r="AB3286" s="4">
        <v>1.08</v>
      </c>
      <c r="AC3286" s="6">
        <v>21.34</v>
      </c>
      <c r="AD3286" s="6">
        <v>19.37</v>
      </c>
      <c r="AE3286" s="1">
        <v>0</v>
      </c>
      <c r="AF3286" s="1">
        <f ca="1">IFERROR(__xludf.DUMMYFUNCTION("IFERROR(GOOGLEFINANCE(TRIM(F3286)&amp;"":"" &amp; TRIM(B3286),""high52""),AE3286)"),0)</f>
        <v>0</v>
      </c>
      <c r="AG3286" s="1">
        <v>0</v>
      </c>
      <c r="AH3286" s="1">
        <f ca="1">IFERROR(__xludf.DUMMYFUNCTION("IFERROR(GOOGLEFINANCE(TRIM(F3286)&amp;"":"" &amp; TRIM(B3286),""low52""),AE3286)"),0)</f>
        <v>0</v>
      </c>
      <c r="AI3286" s="1">
        <f ca="1">IFERROR(__xludf.DUMMYFUNCTION("IFERROR(GOOGLEFINANCE(B3286,""eps""),0)"),0)</f>
        <v>0</v>
      </c>
      <c r="AJ3286" s="1"/>
      <c r="AK3286" s="1" t="s">
        <v>10084</v>
      </c>
      <c r="AL3286" s="9">
        <f t="shared" si="314"/>
        <v>1</v>
      </c>
    </row>
    <row r="3287" spans="1:38" ht="15" x14ac:dyDescent="0.25">
      <c r="A3287" s="1" t="s">
        <v>10085</v>
      </c>
      <c r="B3287" s="1" t="s">
        <v>10086</v>
      </c>
      <c r="C3287" s="1" t="s">
        <v>82</v>
      </c>
      <c r="D3287" s="1" t="s">
        <v>82</v>
      </c>
      <c r="E3287" s="6">
        <v>19.649999999999999</v>
      </c>
      <c r="F3287" s="1" t="s">
        <v>53</v>
      </c>
      <c r="G3287" s="6">
        <f ca="1">IFERROR(__xludf.DUMMYFUNCTION("iferror(GOOGLEFINANCE(TRIM(F3287)&amp;"":"" &amp; TRIM(B3287), ""price""),0
)"),0)</f>
        <v>0</v>
      </c>
      <c r="H3287" s="6">
        <v>62.8</v>
      </c>
      <c r="I3287" s="6">
        <f t="shared" ca="1" si="0"/>
        <v>62.8</v>
      </c>
      <c r="J3287" s="6">
        <f ca="1">IFERROR(__xludf.DUMMYFUNCTION("IFERROR(GOOGLEFINANCE(B3287, ""volume""), 0)"),70000)</f>
        <v>70000</v>
      </c>
      <c r="K3287" s="6">
        <v>-1.63</v>
      </c>
      <c r="L3287" s="6">
        <f ca="1">IFERROR(__xludf.DUMMYFUNCTION("IFERROR(GOOGLEFINANCE(B3287,""changepct""),K3287)"),1.82)</f>
        <v>1.82</v>
      </c>
      <c r="M3287" s="6">
        <f ca="1">IFERROR(__xludf.DUMMYFUNCTION("IFERROR(GOOGLEFINANCE(B3287,""change""),0)"),0.05)</f>
        <v>0.05</v>
      </c>
      <c r="N3287" s="6">
        <v>2</v>
      </c>
      <c r="O3287" s="7">
        <v>45536</v>
      </c>
      <c r="P3287" s="6">
        <v>2.76</v>
      </c>
      <c r="Q3287" s="6">
        <v>22.41</v>
      </c>
      <c r="R3287" s="7">
        <v>45536</v>
      </c>
      <c r="S3287" s="6">
        <v>30.61</v>
      </c>
      <c r="T3287" s="6">
        <v>-1.42</v>
      </c>
      <c r="U3287" s="7">
        <v>45536</v>
      </c>
      <c r="V3287" s="6">
        <v>0</v>
      </c>
      <c r="W3287" s="6">
        <f ca="1">IFERROR(__xludf.DUMMYFUNCTION("IFERROR(GOOGLEFINANCE(B3287,""pe""),V3287)"),16.99)</f>
        <v>16.989999999999998</v>
      </c>
      <c r="X3287" s="9"/>
      <c r="Y3287" s="6">
        <v>433.7</v>
      </c>
      <c r="Z3287" s="6">
        <v>2</v>
      </c>
      <c r="AA3287" s="8">
        <v>45352</v>
      </c>
      <c r="AB3287" s="4">
        <v>13.07</v>
      </c>
      <c r="AC3287" s="6">
        <v>-44.14</v>
      </c>
      <c r="AD3287" s="6">
        <v>4.87</v>
      </c>
      <c r="AE3287" s="1">
        <v>0</v>
      </c>
      <c r="AF3287" s="1">
        <f ca="1">IFERROR(__xludf.DUMMYFUNCTION("IFERROR(GOOGLEFINANCE(TRIM(F3287)&amp;"":"" &amp; TRIM(B3287),""high52""),AE3287)"),0)</f>
        <v>0</v>
      </c>
      <c r="AG3287" s="1">
        <v>0</v>
      </c>
      <c r="AH3287" s="1">
        <f ca="1">IFERROR(__xludf.DUMMYFUNCTION("IFERROR(GOOGLEFINANCE(TRIM(F3287)&amp;"":"" &amp; TRIM(B3287),""low52""),AE3287)"),0)</f>
        <v>0</v>
      </c>
      <c r="AI3287" s="1">
        <f ca="1">IFERROR(__xludf.DUMMYFUNCTION("IFERROR(GOOGLEFINANCE(B3287,""eps""),0)"),0.16)</f>
        <v>0.16</v>
      </c>
      <c r="AJ3287" s="1"/>
      <c r="AK3287" s="1" t="s">
        <v>10087</v>
      </c>
      <c r="AL3287" s="9">
        <f t="shared" si="314"/>
        <v>1</v>
      </c>
    </row>
    <row r="3288" spans="1:38" ht="15" x14ac:dyDescent="0.25">
      <c r="A3288" s="1" t="s">
        <v>10088</v>
      </c>
      <c r="B3288" s="1" t="s">
        <v>10089</v>
      </c>
      <c r="C3288" s="1" t="s">
        <v>227</v>
      </c>
      <c r="D3288" s="1" t="s">
        <v>227</v>
      </c>
      <c r="E3288" s="6">
        <v>612.98</v>
      </c>
      <c r="F3288" s="1" t="s">
        <v>40</v>
      </c>
      <c r="G3288" s="6">
        <f ca="1">IFERROR(__xludf.DUMMYFUNCTION("iferror(GOOGLEFINANCE(TRIM(F3288)&amp;"":"" &amp; TRIM(B3288), ""price""),0
)"),1.85)</f>
        <v>1.85</v>
      </c>
      <c r="H3288" s="6">
        <v>3.88</v>
      </c>
      <c r="I3288" s="6">
        <f t="shared" ca="1" si="0"/>
        <v>1.85</v>
      </c>
      <c r="J3288" s="6">
        <f ca="1">IFERROR(__xludf.DUMMYFUNCTION("IFERROR(GOOGLEFINANCE(B3288, ""volume""), 0)"),1270938)</f>
        <v>1270938</v>
      </c>
      <c r="K3288" s="6">
        <v>-0.26</v>
      </c>
      <c r="L3288" s="6">
        <f ca="1">IFERROR(__xludf.DUMMYFUNCTION("IFERROR(GOOGLEFINANCE(B3288,""changepct""),K3288)"),-2.12)</f>
        <v>-2.12</v>
      </c>
      <c r="M3288" s="6">
        <f ca="1">IFERROR(__xludf.DUMMYFUNCTION("IFERROR(GOOGLEFINANCE(B3288,""change""),0)"),-0.04)</f>
        <v>-0.04</v>
      </c>
      <c r="N3288" s="6">
        <v>2</v>
      </c>
      <c r="O3288" s="7">
        <v>45536</v>
      </c>
      <c r="P3288" s="6">
        <v>45.77</v>
      </c>
      <c r="Q3288" s="6">
        <v>586.53</v>
      </c>
      <c r="R3288" s="7">
        <v>45536</v>
      </c>
      <c r="S3288" s="6">
        <v>2360.27</v>
      </c>
      <c r="T3288" s="6">
        <v>39.39</v>
      </c>
      <c r="U3288" s="7">
        <v>45536</v>
      </c>
      <c r="V3288" s="6">
        <v>15.56</v>
      </c>
      <c r="W3288" s="6">
        <f ca="1">IFERROR(__xludf.DUMMYFUNCTION("IFERROR(GOOGLEFINANCE(B3288,""pe""),V3288)"),28.83)</f>
        <v>28.83</v>
      </c>
      <c r="X3288" s="6">
        <v>-1.47</v>
      </c>
      <c r="Y3288" s="6">
        <v>0.88</v>
      </c>
      <c r="Z3288" s="6">
        <v>2</v>
      </c>
      <c r="AA3288" s="8">
        <v>45352</v>
      </c>
      <c r="AB3288" s="4">
        <v>0.2</v>
      </c>
      <c r="AC3288" s="6">
        <v>8.93</v>
      </c>
      <c r="AD3288" s="6">
        <v>10.06</v>
      </c>
      <c r="AE3288" s="1">
        <v>0</v>
      </c>
      <c r="AF3288" s="1">
        <f ca="1">IFERROR(__xludf.DUMMYFUNCTION("IFERROR(GOOGLEFINANCE(TRIM(F3288)&amp;"":"" &amp; TRIM(B3288),""high52""),AE3288)"),3.81)</f>
        <v>3.81</v>
      </c>
      <c r="AG3288" s="1">
        <v>0</v>
      </c>
      <c r="AH3288" s="1">
        <f ca="1">IFERROR(__xludf.DUMMYFUNCTION("IFERROR(GOOGLEFINANCE(TRIM(F3288)&amp;"":"" &amp; TRIM(B3288),""low52""),AE3288)"),1.6)</f>
        <v>1.6</v>
      </c>
      <c r="AI3288" s="1">
        <f ca="1">IFERROR(__xludf.DUMMYFUNCTION("IFERROR(GOOGLEFINANCE(B3288,""eps""),0)"),0.06)</f>
        <v>0.06</v>
      </c>
      <c r="AJ3288" s="1"/>
      <c r="AK3288" s="1" t="s">
        <v>10090</v>
      </c>
      <c r="AL3288" s="9">
        <f t="shared" si="314"/>
        <v>1</v>
      </c>
    </row>
    <row r="3289" spans="1:38" ht="15" x14ac:dyDescent="0.25">
      <c r="A3289" s="1" t="s">
        <v>10091</v>
      </c>
      <c r="B3289" s="1" t="s">
        <v>10092</v>
      </c>
      <c r="C3289" s="1" t="s">
        <v>2018</v>
      </c>
      <c r="D3289" s="1" t="s">
        <v>2018</v>
      </c>
      <c r="E3289" s="6">
        <v>191.94</v>
      </c>
      <c r="F3289" s="1" t="s">
        <v>40</v>
      </c>
      <c r="G3289" s="6">
        <f ca="1">IFERROR(__xludf.DUMMYFUNCTION("iferror(GOOGLEFINANCE(TRIM(F3289)&amp;"":"" &amp; TRIM(B3289), ""price""),0
)"),38.86)</f>
        <v>38.86</v>
      </c>
      <c r="H3289" s="6">
        <v>22.9</v>
      </c>
      <c r="I3289" s="6">
        <f t="shared" ca="1" si="0"/>
        <v>38.86</v>
      </c>
      <c r="J3289" s="6">
        <f ca="1">IFERROR(__xludf.DUMMYFUNCTION("IFERROR(GOOGLEFINANCE(B3289, ""volume""), 0)"),121420)</f>
        <v>121420</v>
      </c>
      <c r="K3289" s="6">
        <v>1.06</v>
      </c>
      <c r="L3289" s="6">
        <f ca="1">IFERROR(__xludf.DUMMYFUNCTION("IFERROR(GOOGLEFINANCE(B3289,""changepct""),K3289)"),5)</f>
        <v>5</v>
      </c>
      <c r="M3289" s="6">
        <f ca="1">IFERROR(__xludf.DUMMYFUNCTION("IFERROR(GOOGLEFINANCE(B3289,""change""),0)"),1.85)</f>
        <v>1.85</v>
      </c>
      <c r="N3289" s="6">
        <v>1</v>
      </c>
      <c r="O3289" s="7">
        <v>45536</v>
      </c>
      <c r="P3289" s="6">
        <v>125</v>
      </c>
      <c r="Q3289" s="6">
        <v>315.98</v>
      </c>
      <c r="R3289" s="7">
        <v>45536</v>
      </c>
      <c r="S3289" s="6">
        <v>503.22</v>
      </c>
      <c r="T3289" s="6">
        <v>0.44</v>
      </c>
      <c r="U3289" s="7">
        <v>45536</v>
      </c>
      <c r="V3289" s="6">
        <v>436.23</v>
      </c>
      <c r="W3289" s="6">
        <f ca="1">IFERROR(__xludf.DUMMYFUNCTION("IFERROR(GOOGLEFINANCE(B3289,""pe""),V3289)"),436.23)</f>
        <v>436.23</v>
      </c>
      <c r="X3289" s="6">
        <v>-20.309999999999999</v>
      </c>
      <c r="Y3289" s="6">
        <v>4.54</v>
      </c>
      <c r="Z3289" s="6">
        <v>1</v>
      </c>
      <c r="AA3289" s="8">
        <v>45352</v>
      </c>
      <c r="AB3289" s="4">
        <v>2.97</v>
      </c>
      <c r="AC3289" s="6">
        <v>1.1200000000000001</v>
      </c>
      <c r="AD3289" s="6">
        <v>8.02</v>
      </c>
      <c r="AE3289" s="1">
        <v>0</v>
      </c>
      <c r="AF3289" s="1">
        <f ca="1">IFERROR(__xludf.DUMMYFUNCTION("IFERROR(GOOGLEFINANCE(TRIM(F3289)&amp;"":"" &amp; TRIM(B3289),""high52""),AE3289)"),45.12)</f>
        <v>45.12</v>
      </c>
      <c r="AG3289" s="1">
        <v>0</v>
      </c>
      <c r="AH3289" s="1">
        <f ca="1">IFERROR(__xludf.DUMMYFUNCTION("IFERROR(GOOGLEFINANCE(TRIM(F3289)&amp;"":"" &amp; TRIM(B3289),""low52""),AE3289)"),14.37)</f>
        <v>14.37</v>
      </c>
      <c r="AI3289" s="1">
        <f ca="1">IFERROR(__xludf.DUMMYFUNCTION("IFERROR(GOOGLEFINANCE(B3289,""eps""),0)"),-1.71)</f>
        <v>-1.71</v>
      </c>
      <c r="AJ3289" s="1"/>
      <c r="AK3289" s="1" t="s">
        <v>10093</v>
      </c>
      <c r="AL3289" s="9">
        <f t="shared" si="314"/>
        <v>1</v>
      </c>
    </row>
    <row r="3290" spans="1:38" ht="15" x14ac:dyDescent="0.25">
      <c r="A3290" s="1" t="s">
        <v>10094</v>
      </c>
      <c r="B3290" s="1" t="s">
        <v>10095</v>
      </c>
      <c r="C3290" s="1" t="s">
        <v>82</v>
      </c>
      <c r="D3290" s="1" t="s">
        <v>82</v>
      </c>
      <c r="E3290" s="6">
        <v>2047.92</v>
      </c>
      <c r="F3290" s="1" t="s">
        <v>53</v>
      </c>
      <c r="G3290" s="6">
        <f ca="1">IFERROR(__xludf.DUMMYFUNCTION("iferror(GOOGLEFINANCE(TRIM(F3290)&amp;"":"" &amp; TRIM(B3290), ""price""),0
)"),0)</f>
        <v>0</v>
      </c>
      <c r="H3290" s="6">
        <v>24.41</v>
      </c>
      <c r="I3290" s="6">
        <f t="shared" ca="1" si="0"/>
        <v>24.41</v>
      </c>
      <c r="J3290" s="6">
        <f ca="1">IFERROR(__xludf.DUMMYFUNCTION("IFERROR(GOOGLEFINANCE(B3290, ""volume""), 0)"),0)</f>
        <v>0</v>
      </c>
      <c r="K3290" s="6">
        <v>0.12</v>
      </c>
      <c r="L3290" s="6">
        <f ca="1">IFERROR(__xludf.DUMMYFUNCTION("IFERROR(GOOGLEFINANCE(B3290,""changepct""),K3290)"),0.12)</f>
        <v>0.12</v>
      </c>
      <c r="M3290" s="6">
        <f ca="1">IFERROR(__xludf.DUMMYFUNCTION("IFERROR(GOOGLEFINANCE(B3290,""change""),0)"),0)</f>
        <v>0</v>
      </c>
      <c r="N3290" s="6">
        <v>1</v>
      </c>
      <c r="O3290" s="7">
        <v>45536</v>
      </c>
      <c r="P3290" s="9"/>
      <c r="Q3290" s="6">
        <v>2047.92</v>
      </c>
      <c r="R3290" s="7">
        <v>45536</v>
      </c>
      <c r="S3290" s="6">
        <v>133.07</v>
      </c>
      <c r="T3290" s="6">
        <v>15.81</v>
      </c>
      <c r="U3290" s="7">
        <v>45536</v>
      </c>
      <c r="V3290" s="6">
        <v>129.57</v>
      </c>
      <c r="W3290" s="6">
        <f ca="1">IFERROR(__xludf.DUMMYFUNCTION("IFERROR(GOOGLEFINANCE(B3290,""pe""),V3290)"),129.57)</f>
        <v>129.57</v>
      </c>
      <c r="X3290" s="6">
        <v>0.63</v>
      </c>
      <c r="Y3290" s="6">
        <v>13.05</v>
      </c>
      <c r="Z3290" s="6">
        <v>1</v>
      </c>
      <c r="AA3290" s="8">
        <v>45352</v>
      </c>
      <c r="AB3290" s="4">
        <v>0</v>
      </c>
      <c r="AC3290" s="6">
        <v>61.9</v>
      </c>
      <c r="AD3290" s="6">
        <v>38.28</v>
      </c>
      <c r="AE3290" s="1">
        <v>0</v>
      </c>
      <c r="AF3290" s="1">
        <f ca="1">IFERROR(__xludf.DUMMYFUNCTION("IFERROR(GOOGLEFINANCE(TRIM(F3290)&amp;"":"" &amp; TRIM(B3290),""high52""),AE3290)"),0)</f>
        <v>0</v>
      </c>
      <c r="AG3290" s="1">
        <v>0</v>
      </c>
      <c r="AH3290" s="1">
        <f ca="1">IFERROR(__xludf.DUMMYFUNCTION("IFERROR(GOOGLEFINANCE(TRIM(F3290)&amp;"":"" &amp; TRIM(B3290),""low52""),AE3290)"),0)</f>
        <v>0</v>
      </c>
      <c r="AI3290" s="1">
        <f ca="1">IFERROR(__xludf.DUMMYFUNCTION("IFERROR(GOOGLEFINANCE(B3290,""eps""),0)"),0)</f>
        <v>0</v>
      </c>
      <c r="AJ3290" s="1"/>
      <c r="AK3290" s="1" t="s">
        <v>10096</v>
      </c>
      <c r="AL3290" s="9">
        <f t="shared" si="314"/>
        <v>1</v>
      </c>
    </row>
    <row r="3291" spans="1:38" ht="15" x14ac:dyDescent="0.25">
      <c r="A3291" s="1" t="s">
        <v>10097</v>
      </c>
      <c r="B3291" s="1" t="s">
        <v>10098</v>
      </c>
      <c r="C3291" s="1" t="s">
        <v>82</v>
      </c>
      <c r="D3291" s="1" t="s">
        <v>82</v>
      </c>
      <c r="E3291" s="6">
        <v>2844.57</v>
      </c>
      <c r="F3291" s="1" t="s">
        <v>53</v>
      </c>
      <c r="G3291" s="6">
        <f ca="1">IFERROR(__xludf.DUMMYFUNCTION("iferror(GOOGLEFINANCE(TRIM(F3291)&amp;"":"" &amp; TRIM(B3291), ""price""),0
)"),0)</f>
        <v>0</v>
      </c>
      <c r="H3291" s="6">
        <v>275</v>
      </c>
      <c r="I3291" s="6">
        <f t="shared" ca="1" si="0"/>
        <v>275</v>
      </c>
      <c r="J3291" s="6">
        <f ca="1">IFERROR(__xludf.DUMMYFUNCTION("IFERROR(GOOGLEFINANCE(B3291, ""volume""), 0)"),0)</f>
        <v>0</v>
      </c>
      <c r="K3291" s="6">
        <v>0.04</v>
      </c>
      <c r="L3291" s="6">
        <f ca="1">IFERROR(__xludf.DUMMYFUNCTION("IFERROR(GOOGLEFINANCE(B3291,""changepct""),K3291)"),0.04)</f>
        <v>0.04</v>
      </c>
      <c r="M3291" s="6">
        <f ca="1">IFERROR(__xludf.DUMMYFUNCTION("IFERROR(GOOGLEFINANCE(B3291,""change""),0)"),0)</f>
        <v>0</v>
      </c>
      <c r="N3291" s="6">
        <v>1</v>
      </c>
      <c r="O3291" s="7">
        <v>45536</v>
      </c>
      <c r="P3291" s="6">
        <v>62.87</v>
      </c>
      <c r="Q3291" s="6">
        <v>2907.44</v>
      </c>
      <c r="R3291" s="7">
        <v>45536</v>
      </c>
      <c r="S3291" s="6">
        <v>2356.59</v>
      </c>
      <c r="T3291" s="6">
        <v>188.76</v>
      </c>
      <c r="U3291" s="7">
        <v>45536</v>
      </c>
      <c r="V3291" s="6">
        <v>15.07</v>
      </c>
      <c r="W3291" s="6">
        <f ca="1">IFERROR(__xludf.DUMMYFUNCTION("IFERROR(GOOGLEFINANCE(B3291,""pe""),V3291)"),15.07)</f>
        <v>15.07</v>
      </c>
      <c r="X3291" s="9"/>
      <c r="Y3291" s="6">
        <v>3.86</v>
      </c>
      <c r="Z3291" s="6">
        <v>1</v>
      </c>
      <c r="AA3291" s="8">
        <v>45352</v>
      </c>
      <c r="AB3291" s="4">
        <v>0.1</v>
      </c>
      <c r="AC3291" s="6">
        <v>31.48</v>
      </c>
      <c r="AD3291" s="6">
        <v>41.96</v>
      </c>
      <c r="AE3291" s="1">
        <v>0</v>
      </c>
      <c r="AF3291" s="1">
        <f ca="1">IFERROR(__xludf.DUMMYFUNCTION("IFERROR(GOOGLEFINANCE(TRIM(F3291)&amp;"":"" &amp; TRIM(B3291),""high52""),AE3291)"),0)</f>
        <v>0</v>
      </c>
      <c r="AG3291" s="1">
        <v>0</v>
      </c>
      <c r="AH3291" s="1">
        <f ca="1">IFERROR(__xludf.DUMMYFUNCTION("IFERROR(GOOGLEFINANCE(TRIM(F3291)&amp;"":"" &amp; TRIM(B3291),""low52""),AE3291)"),0)</f>
        <v>0</v>
      </c>
      <c r="AI3291" s="1">
        <f ca="1">IFERROR(__xludf.DUMMYFUNCTION("IFERROR(GOOGLEFINANCE(B3291,""eps""),0)"),0)</f>
        <v>0</v>
      </c>
      <c r="AJ3291" s="1"/>
      <c r="AK3291" s="1" t="s">
        <v>10099</v>
      </c>
      <c r="AL3291" s="9">
        <f t="shared" si="314"/>
        <v>1</v>
      </c>
    </row>
    <row r="3292" spans="1:38" ht="15" x14ac:dyDescent="0.25">
      <c r="A3292" s="1" t="s">
        <v>10100</v>
      </c>
      <c r="B3292" s="1" t="s">
        <v>10101</v>
      </c>
      <c r="C3292" s="1" t="s">
        <v>82</v>
      </c>
      <c r="D3292" s="1" t="s">
        <v>82</v>
      </c>
      <c r="E3292" s="6">
        <v>418.74</v>
      </c>
      <c r="F3292" s="1" t="s">
        <v>53</v>
      </c>
      <c r="G3292" s="6">
        <f ca="1">IFERROR(__xludf.DUMMYFUNCTION("iferror(GOOGLEFINANCE(TRIM(F3292)&amp;"":"" &amp; TRIM(B3292), ""price""),0
)"),0)</f>
        <v>0</v>
      </c>
      <c r="H3292" s="6">
        <v>375.1</v>
      </c>
      <c r="I3292" s="6">
        <f t="shared" ca="1" si="0"/>
        <v>375.1</v>
      </c>
      <c r="J3292" s="6">
        <f ca="1">IFERROR(__xludf.DUMMYFUNCTION("IFERROR(GOOGLEFINANCE(B3292, ""volume""), 0)"),0)</f>
        <v>0</v>
      </c>
      <c r="K3292" s="6">
        <v>-3.04</v>
      </c>
      <c r="L3292" s="6">
        <f ca="1">IFERROR(__xludf.DUMMYFUNCTION("IFERROR(GOOGLEFINANCE(B3292,""changepct""),K3292)"),-3.04)</f>
        <v>-3.04</v>
      </c>
      <c r="M3292" s="6">
        <f ca="1">IFERROR(__xludf.DUMMYFUNCTION("IFERROR(GOOGLEFINANCE(B3292,""change""),0)"),0)</f>
        <v>0</v>
      </c>
      <c r="N3292" s="6">
        <v>2</v>
      </c>
      <c r="O3292" s="7">
        <v>45536</v>
      </c>
      <c r="P3292" s="6">
        <v>49.22</v>
      </c>
      <c r="Q3292" s="6">
        <v>467.95</v>
      </c>
      <c r="R3292" s="15">
        <v>45536</v>
      </c>
      <c r="S3292" s="6">
        <v>223.54</v>
      </c>
      <c r="T3292" s="6">
        <v>16.23</v>
      </c>
      <c r="U3292" s="7">
        <v>45536</v>
      </c>
      <c r="V3292" s="6">
        <v>25.81</v>
      </c>
      <c r="W3292" s="6">
        <f ca="1">IFERROR(__xludf.DUMMYFUNCTION("IFERROR(GOOGLEFINANCE(B3292,""pe""),V3292)"),25.81)</f>
        <v>25.81</v>
      </c>
      <c r="X3292" s="6">
        <v>1.26</v>
      </c>
      <c r="Y3292" s="6">
        <v>4.59</v>
      </c>
      <c r="Z3292" s="6">
        <v>2</v>
      </c>
      <c r="AA3292" s="8">
        <v>45352</v>
      </c>
      <c r="AB3292" s="4">
        <v>0.64</v>
      </c>
      <c r="AC3292" s="6">
        <v>18.64</v>
      </c>
      <c r="AD3292" s="6">
        <v>18.88</v>
      </c>
      <c r="AE3292" s="1">
        <v>0</v>
      </c>
      <c r="AF3292" s="1">
        <f ca="1">IFERROR(__xludf.DUMMYFUNCTION("IFERROR(GOOGLEFINANCE(TRIM(F3292)&amp;"":"" &amp; TRIM(B3292),""high52""),AE3292)"),0)</f>
        <v>0</v>
      </c>
      <c r="AG3292" s="1">
        <v>0</v>
      </c>
      <c r="AH3292" s="1">
        <f ca="1">IFERROR(__xludf.DUMMYFUNCTION("IFERROR(GOOGLEFINANCE(TRIM(F3292)&amp;"":"" &amp; TRIM(B3292),""low52""),AE3292)"),0)</f>
        <v>0</v>
      </c>
      <c r="AI3292" s="1">
        <f ca="1">IFERROR(__xludf.DUMMYFUNCTION("IFERROR(GOOGLEFINANCE(B3292,""eps""),0)"),0)</f>
        <v>0</v>
      </c>
      <c r="AJ3292" s="1"/>
      <c r="AK3292" s="1" t="s">
        <v>10102</v>
      </c>
      <c r="AL3292" s="9">
        <f t="shared" si="314"/>
        <v>1</v>
      </c>
    </row>
    <row r="3293" spans="1:38" ht="15" x14ac:dyDescent="0.25">
      <c r="A3293" s="1" t="s">
        <v>10103</v>
      </c>
      <c r="B3293" s="1" t="s">
        <v>10104</v>
      </c>
      <c r="C3293" s="1" t="s">
        <v>82</v>
      </c>
      <c r="D3293" s="1" t="s">
        <v>82</v>
      </c>
      <c r="E3293" s="6">
        <v>56.07</v>
      </c>
      <c r="F3293" s="1" t="s">
        <v>53</v>
      </c>
      <c r="G3293" s="6">
        <f ca="1">IFERROR(__xludf.DUMMYFUNCTION("iferror(GOOGLEFINANCE(TRIM(F3293)&amp;"":"" &amp; TRIM(B3293), ""price""),0
)"),0)</f>
        <v>0</v>
      </c>
      <c r="H3293" s="6">
        <v>106.75</v>
      </c>
      <c r="I3293" s="6">
        <f t="shared" ca="1" si="0"/>
        <v>106.75</v>
      </c>
      <c r="J3293" s="6">
        <f ca="1">IFERROR(__xludf.DUMMYFUNCTION("IFERROR(GOOGLEFINANCE(B3293, ""volume""), 0)"),0)</f>
        <v>0</v>
      </c>
      <c r="K3293" s="6">
        <v>0.38</v>
      </c>
      <c r="L3293" s="6">
        <f ca="1">IFERROR(__xludf.DUMMYFUNCTION("IFERROR(GOOGLEFINANCE(B3293,""changepct""),K3293)"),0.38)</f>
        <v>0.38</v>
      </c>
      <c r="M3293" s="6">
        <f ca="1">IFERROR(__xludf.DUMMYFUNCTION("IFERROR(GOOGLEFINANCE(B3293,""change""),0)"),0)</f>
        <v>0</v>
      </c>
      <c r="N3293" s="6">
        <v>1</v>
      </c>
      <c r="O3293" s="7">
        <v>45536</v>
      </c>
      <c r="P3293" s="9"/>
      <c r="Q3293" s="6">
        <v>56.07</v>
      </c>
      <c r="R3293" s="7">
        <v>45536</v>
      </c>
      <c r="S3293" s="6">
        <v>31.11</v>
      </c>
      <c r="T3293" s="6">
        <v>2.57</v>
      </c>
      <c r="U3293" s="7">
        <v>45536</v>
      </c>
      <c r="V3293" s="6">
        <v>21.83</v>
      </c>
      <c r="W3293" s="6">
        <f ca="1">IFERROR(__xludf.DUMMYFUNCTION("IFERROR(GOOGLEFINANCE(B3293,""pe""),V3293)"),21.83)</f>
        <v>21.83</v>
      </c>
      <c r="X3293" s="6">
        <v>1.04</v>
      </c>
      <c r="Y3293" s="6">
        <v>2.81</v>
      </c>
      <c r="Z3293" s="6">
        <v>1</v>
      </c>
      <c r="AA3293" s="8">
        <v>45352</v>
      </c>
      <c r="AB3293" s="4">
        <v>0</v>
      </c>
      <c r="AC3293" s="6">
        <v>12.87</v>
      </c>
      <c r="AD3293" s="6">
        <v>16.89</v>
      </c>
      <c r="AE3293" s="1">
        <v>0</v>
      </c>
      <c r="AF3293" s="1">
        <f ca="1">IFERROR(__xludf.DUMMYFUNCTION("IFERROR(GOOGLEFINANCE(TRIM(F3293)&amp;"":"" &amp; TRIM(B3293),""high52""),AE3293)"),0)</f>
        <v>0</v>
      </c>
      <c r="AG3293" s="1">
        <v>0</v>
      </c>
      <c r="AH3293" s="1">
        <f ca="1">IFERROR(__xludf.DUMMYFUNCTION("IFERROR(GOOGLEFINANCE(TRIM(F3293)&amp;"":"" &amp; TRIM(B3293),""low52""),AE3293)"),0)</f>
        <v>0</v>
      </c>
      <c r="AI3293" s="1">
        <f ca="1">IFERROR(__xludf.DUMMYFUNCTION("IFERROR(GOOGLEFINANCE(B3293,""eps""),0)"),0)</f>
        <v>0</v>
      </c>
      <c r="AJ3293" s="1"/>
      <c r="AK3293" s="1" t="s">
        <v>10105</v>
      </c>
      <c r="AL3293" s="9">
        <f t="shared" si="314"/>
        <v>1</v>
      </c>
    </row>
    <row r="3294" spans="1:38" ht="15" x14ac:dyDescent="0.25">
      <c r="A3294" s="1" t="s">
        <v>10106</v>
      </c>
      <c r="B3294" s="1" t="s">
        <v>10107</v>
      </c>
      <c r="C3294" s="1" t="s">
        <v>82</v>
      </c>
      <c r="D3294" s="1" t="s">
        <v>82</v>
      </c>
      <c r="E3294" s="6">
        <v>94.5</v>
      </c>
      <c r="F3294" s="1" t="s">
        <v>53</v>
      </c>
      <c r="G3294" s="6">
        <f ca="1">IFERROR(__xludf.DUMMYFUNCTION("iferror(GOOGLEFINANCE(TRIM(F3294)&amp;"":"" &amp; TRIM(B3294), ""price""),0
)"),0)</f>
        <v>0</v>
      </c>
      <c r="H3294" s="6">
        <v>157.5</v>
      </c>
      <c r="I3294" s="6">
        <f t="shared" ca="1" si="0"/>
        <v>157.5</v>
      </c>
      <c r="J3294" s="6">
        <f ca="1">IFERROR(__xludf.DUMMYFUNCTION("IFERROR(GOOGLEFINANCE(B3294, ""volume""), 0)"),0)</f>
        <v>0</v>
      </c>
      <c r="K3294" s="9"/>
      <c r="L3294" s="6" t="str">
        <f ca="1">IFERROR(__xludf.DUMMYFUNCTION("IFERROR(GOOGLEFINANCE(B3294,""changepct""),K3294)"),"")</f>
        <v/>
      </c>
      <c r="M3294" s="6">
        <f ca="1">IFERROR(__xludf.DUMMYFUNCTION("IFERROR(GOOGLEFINANCE(B3294,""change""),0)"),0)</f>
        <v>0</v>
      </c>
      <c r="N3294" s="6">
        <v>1</v>
      </c>
      <c r="O3294" s="7">
        <v>45536</v>
      </c>
      <c r="P3294" s="6">
        <v>5.4</v>
      </c>
      <c r="Q3294" s="6">
        <v>99.9</v>
      </c>
      <c r="R3294" s="7">
        <v>45536</v>
      </c>
      <c r="S3294" s="6">
        <v>109</v>
      </c>
      <c r="T3294" s="6">
        <v>2.4700000000000002</v>
      </c>
      <c r="U3294" s="7">
        <v>45536</v>
      </c>
      <c r="V3294" s="6">
        <v>38.200000000000003</v>
      </c>
      <c r="W3294" s="6">
        <f ca="1">IFERROR(__xludf.DUMMYFUNCTION("IFERROR(GOOGLEFINANCE(B3294,""pe""),V3294)"),38.2)</f>
        <v>38.200000000000003</v>
      </c>
      <c r="X3294" s="6">
        <v>12.13</v>
      </c>
      <c r="Y3294" s="6">
        <v>3.37</v>
      </c>
      <c r="Z3294" s="6">
        <v>1</v>
      </c>
      <c r="AA3294" s="8">
        <v>45352</v>
      </c>
      <c r="AB3294" s="4">
        <v>0.24</v>
      </c>
      <c r="AC3294" s="6">
        <v>9.61</v>
      </c>
      <c r="AD3294" s="6">
        <v>13.29</v>
      </c>
      <c r="AE3294" s="1">
        <v>0</v>
      </c>
      <c r="AF3294" s="1">
        <f ca="1">IFERROR(__xludf.DUMMYFUNCTION("IFERROR(GOOGLEFINANCE(TRIM(F3294)&amp;"":"" &amp; TRIM(B3294),""high52""),AE3294)"),0)</f>
        <v>0</v>
      </c>
      <c r="AG3294" s="1">
        <v>0</v>
      </c>
      <c r="AH3294" s="1">
        <f ca="1">IFERROR(__xludf.DUMMYFUNCTION("IFERROR(GOOGLEFINANCE(TRIM(F3294)&amp;"":"" &amp; TRIM(B3294),""low52""),AE3294)"),0)</f>
        <v>0</v>
      </c>
      <c r="AI3294" s="1">
        <f ca="1">IFERROR(__xludf.DUMMYFUNCTION("IFERROR(GOOGLEFINANCE(B3294,""eps""),0)"),0)</f>
        <v>0</v>
      </c>
      <c r="AJ3294" s="1"/>
      <c r="AK3294" s="1" t="s">
        <v>10108</v>
      </c>
      <c r="AL3294" s="9">
        <f t="shared" si="314"/>
        <v>1</v>
      </c>
    </row>
    <row r="3295" spans="1:38" ht="15" x14ac:dyDescent="0.25">
      <c r="A3295" s="1" t="s">
        <v>10109</v>
      </c>
      <c r="B3295" s="1" t="s">
        <v>10110</v>
      </c>
      <c r="C3295" s="1" t="s">
        <v>82</v>
      </c>
      <c r="D3295" s="1" t="s">
        <v>82</v>
      </c>
      <c r="E3295" s="6">
        <v>206.59</v>
      </c>
      <c r="F3295" s="1" t="s">
        <v>53</v>
      </c>
      <c r="G3295" s="6">
        <f ca="1">IFERROR(__xludf.DUMMYFUNCTION("iferror(GOOGLEFINANCE(TRIM(F3295)&amp;"":"" &amp; TRIM(B3295), ""price""),0
)"),0)</f>
        <v>0</v>
      </c>
      <c r="H3295" s="6">
        <v>677.25</v>
      </c>
      <c r="I3295" s="6">
        <f t="shared" ca="1" si="0"/>
        <v>677.25</v>
      </c>
      <c r="J3295" s="6">
        <f ca="1">IFERROR(__xludf.DUMMYFUNCTION("IFERROR(GOOGLEFINANCE(B3295, ""volume""), 0)"),0)</f>
        <v>0</v>
      </c>
      <c r="K3295" s="6">
        <v>-1.66</v>
      </c>
      <c r="L3295" s="6">
        <f ca="1">IFERROR(__xludf.DUMMYFUNCTION("IFERROR(GOOGLEFINANCE(B3295,""changepct""),K3295)"),-1.66)</f>
        <v>-1.66</v>
      </c>
      <c r="M3295" s="6">
        <f ca="1">IFERROR(__xludf.DUMMYFUNCTION("IFERROR(GOOGLEFINANCE(B3295,""change""),0)"),0)</f>
        <v>0</v>
      </c>
      <c r="N3295" s="6">
        <v>2</v>
      </c>
      <c r="O3295" s="7">
        <v>45536</v>
      </c>
      <c r="P3295" s="6">
        <v>0.04</v>
      </c>
      <c r="Q3295" s="6">
        <v>203.21</v>
      </c>
      <c r="R3295" s="7">
        <v>45536</v>
      </c>
      <c r="S3295" s="6">
        <v>118.82</v>
      </c>
      <c r="T3295" s="6">
        <v>8.92</v>
      </c>
      <c r="U3295" s="7">
        <v>45536</v>
      </c>
      <c r="V3295" s="6">
        <v>23.17</v>
      </c>
      <c r="W3295" s="6">
        <f ca="1">IFERROR(__xludf.DUMMYFUNCTION("IFERROR(GOOGLEFINANCE(B3295,""pe""),V3295)"),23.17)</f>
        <v>23.17</v>
      </c>
      <c r="X3295" s="6">
        <v>0.89</v>
      </c>
      <c r="Y3295" s="6">
        <v>4.5599999999999996</v>
      </c>
      <c r="Z3295" s="6">
        <v>2</v>
      </c>
      <c r="AA3295" s="8">
        <v>45352</v>
      </c>
      <c r="AB3295" s="4">
        <v>0.01</v>
      </c>
      <c r="AC3295" s="6">
        <v>24.38</v>
      </c>
      <c r="AD3295" s="6">
        <v>32.57</v>
      </c>
      <c r="AE3295" s="1">
        <v>0</v>
      </c>
      <c r="AF3295" s="1">
        <f ca="1">IFERROR(__xludf.DUMMYFUNCTION("IFERROR(GOOGLEFINANCE(TRIM(F3295)&amp;"":"" &amp; TRIM(B3295),""high52""),AE3295)"),0)</f>
        <v>0</v>
      </c>
      <c r="AG3295" s="1">
        <v>0</v>
      </c>
      <c r="AH3295" s="1">
        <f ca="1">IFERROR(__xludf.DUMMYFUNCTION("IFERROR(GOOGLEFINANCE(TRIM(F3295)&amp;"":"" &amp; TRIM(B3295),""low52""),AE3295)"),0)</f>
        <v>0</v>
      </c>
      <c r="AI3295" s="1">
        <f ca="1">IFERROR(__xludf.DUMMYFUNCTION("IFERROR(GOOGLEFINANCE(B3295,""eps""),0)"),0)</f>
        <v>0</v>
      </c>
      <c r="AJ3295" s="1"/>
      <c r="AK3295" s="1" t="s">
        <v>10111</v>
      </c>
      <c r="AL3295" s="9">
        <f t="shared" si="314"/>
        <v>1</v>
      </c>
    </row>
    <row r="3296" spans="1:38" ht="15" x14ac:dyDescent="0.25">
      <c r="A3296" s="1" t="s">
        <v>10112</v>
      </c>
      <c r="B3296" s="1" t="s">
        <v>10113</v>
      </c>
      <c r="C3296" s="1" t="s">
        <v>86</v>
      </c>
      <c r="D3296" s="1" t="s">
        <v>86</v>
      </c>
      <c r="E3296" s="6">
        <v>192.51</v>
      </c>
      <c r="F3296" s="1" t="s">
        <v>40</v>
      </c>
      <c r="G3296" s="6">
        <f ca="1">IFERROR(__xludf.DUMMYFUNCTION("iferror(GOOGLEFINANCE(TRIM(F3296)&amp;"":"" &amp; TRIM(B3296), ""price""),0
)"),0)</f>
        <v>0</v>
      </c>
      <c r="H3296" s="6">
        <v>18.7</v>
      </c>
      <c r="I3296" s="6">
        <f t="shared" ca="1" si="0"/>
        <v>18.7</v>
      </c>
      <c r="J3296" s="6">
        <f ca="1">IFERROR(__xludf.DUMMYFUNCTION("IFERROR(GOOGLEFINANCE(B3296, ""volume""), 0)"),0)</f>
        <v>0</v>
      </c>
      <c r="K3296" s="9"/>
      <c r="L3296" s="6" t="str">
        <f ca="1">IFERROR(__xludf.DUMMYFUNCTION("IFERROR(GOOGLEFINANCE(B3296,""changepct""),K3296)"),"")</f>
        <v/>
      </c>
      <c r="M3296" s="6">
        <f ca="1">IFERROR(__xludf.DUMMYFUNCTION("IFERROR(GOOGLEFINANCE(B3296,""change""),0)"),0)</f>
        <v>0</v>
      </c>
      <c r="N3296" s="6">
        <v>1</v>
      </c>
      <c r="O3296" s="7">
        <v>45536</v>
      </c>
      <c r="P3296" s="6">
        <v>9.4499999999999993</v>
      </c>
      <c r="Q3296" s="6">
        <v>201.96</v>
      </c>
      <c r="R3296" s="7">
        <v>45352</v>
      </c>
      <c r="S3296" s="6">
        <v>0.28000000000000003</v>
      </c>
      <c r="T3296" s="6">
        <v>0.06</v>
      </c>
      <c r="U3296" s="7">
        <v>45352</v>
      </c>
      <c r="V3296" s="6">
        <v>0</v>
      </c>
      <c r="W3296" s="6">
        <f ca="1">IFERROR(__xludf.DUMMYFUNCTION("IFERROR(GOOGLEFINANCE(B3296,""pe""),V3296)"),0)</f>
        <v>0</v>
      </c>
      <c r="X3296" s="12"/>
      <c r="Y3296" s="6">
        <v>16.02</v>
      </c>
      <c r="Z3296" s="6">
        <v>1</v>
      </c>
      <c r="AA3296" s="8">
        <v>45352</v>
      </c>
      <c r="AB3296" s="4">
        <v>0.78</v>
      </c>
      <c r="AC3296" s="6">
        <v>0.48</v>
      </c>
      <c r="AD3296" s="6">
        <v>0.24</v>
      </c>
      <c r="AE3296" s="1">
        <v>0</v>
      </c>
      <c r="AF3296" s="1">
        <f ca="1">IFERROR(__xludf.DUMMYFUNCTION("IFERROR(GOOGLEFINANCE(TRIM(F3296)&amp;"":"" &amp; TRIM(B3296),""high52""),AE3296)"),0)</f>
        <v>0</v>
      </c>
      <c r="AG3296" s="1">
        <v>0</v>
      </c>
      <c r="AH3296" s="1">
        <f ca="1">IFERROR(__xludf.DUMMYFUNCTION("IFERROR(GOOGLEFINANCE(TRIM(F3296)&amp;"":"" &amp; TRIM(B3296),""low52""),AE3296)"),0)</f>
        <v>0</v>
      </c>
      <c r="AI3296" s="1">
        <f ca="1">IFERROR(__xludf.DUMMYFUNCTION("IFERROR(GOOGLEFINANCE(B3296,""eps""),0)"),0)</f>
        <v>0</v>
      </c>
      <c r="AJ3296" s="1"/>
      <c r="AK3296" s="9"/>
      <c r="AL3296" s="9">
        <f t="shared" si="314"/>
        <v>1</v>
      </c>
    </row>
    <row r="3297" spans="1:38" ht="15" x14ac:dyDescent="0.25">
      <c r="A3297" s="1" t="s">
        <v>10114</v>
      </c>
      <c r="B3297" s="1" t="s">
        <v>10115</v>
      </c>
      <c r="C3297" s="1" t="s">
        <v>416</v>
      </c>
      <c r="D3297" s="1" t="s">
        <v>416</v>
      </c>
      <c r="E3297" s="6">
        <v>2203.36</v>
      </c>
      <c r="F3297" s="1" t="s">
        <v>40</v>
      </c>
      <c r="G3297" s="6">
        <f ca="1">IFERROR(__xludf.DUMMYFUNCTION("iferror(GOOGLEFINANCE(TRIM(F3297)&amp;"":"" &amp; TRIM(B3297), ""price""),0
)"),7.61)</f>
        <v>7.61</v>
      </c>
      <c r="H3297" s="6">
        <v>13.48</v>
      </c>
      <c r="I3297" s="6">
        <f t="shared" ca="1" si="0"/>
        <v>7.61</v>
      </c>
      <c r="J3297" s="6">
        <f ca="1">IFERROR(__xludf.DUMMYFUNCTION("IFERROR(GOOGLEFINANCE(B3297, ""volume""), 0)"),3854404)</f>
        <v>3854404</v>
      </c>
      <c r="K3297" s="6">
        <v>5.81</v>
      </c>
      <c r="L3297" s="6">
        <f ca="1">IFERROR(__xludf.DUMMYFUNCTION("IFERROR(GOOGLEFINANCE(B3297,""changepct""),K3297)"),-1.68)</f>
        <v>-1.68</v>
      </c>
      <c r="M3297" s="6">
        <f ca="1">IFERROR(__xludf.DUMMYFUNCTION("IFERROR(GOOGLEFINANCE(B3297,""change""),0)"),-0.13)</f>
        <v>-0.13</v>
      </c>
      <c r="N3297" s="6">
        <v>2</v>
      </c>
      <c r="O3297" s="7">
        <v>45536</v>
      </c>
      <c r="P3297" s="6">
        <v>369.28</v>
      </c>
      <c r="Q3297" s="6">
        <v>2547.84</v>
      </c>
      <c r="R3297" s="7">
        <v>45536</v>
      </c>
      <c r="S3297" s="6">
        <v>1246.7</v>
      </c>
      <c r="T3297" s="6">
        <v>53.91</v>
      </c>
      <c r="U3297" s="7">
        <v>45536</v>
      </c>
      <c r="V3297" s="6">
        <v>40.93</v>
      </c>
      <c r="W3297" s="6">
        <f ca="1">IFERROR(__xludf.DUMMYFUNCTION("IFERROR(GOOGLEFINANCE(B3297,""pe""),V3297)"),55.67)</f>
        <v>55.67</v>
      </c>
      <c r="X3297" s="6">
        <v>4.21</v>
      </c>
      <c r="Y3297" s="6">
        <v>3.13</v>
      </c>
      <c r="Z3297" s="6">
        <v>2</v>
      </c>
      <c r="AA3297" s="8">
        <v>45352</v>
      </c>
      <c r="AB3297" s="4">
        <v>0.77</v>
      </c>
      <c r="AC3297" s="6">
        <v>12.44</v>
      </c>
      <c r="AD3297" s="6">
        <v>15.72</v>
      </c>
      <c r="AE3297" s="1">
        <v>0</v>
      </c>
      <c r="AF3297" s="1">
        <f ca="1">IFERROR(__xludf.DUMMYFUNCTION("IFERROR(GOOGLEFINANCE(TRIM(F3297)&amp;"":"" &amp; TRIM(B3297),""high52""),AE3297)"),12.31)</f>
        <v>12.31</v>
      </c>
      <c r="AG3297" s="1">
        <v>0</v>
      </c>
      <c r="AH3297" s="1">
        <f ca="1">IFERROR(__xludf.DUMMYFUNCTION("IFERROR(GOOGLEFINANCE(TRIM(F3297)&amp;"":"" &amp; TRIM(B3297),""low52""),AE3297)"),6.91)</f>
        <v>6.91</v>
      </c>
      <c r="AI3297" s="1">
        <f ca="1">IFERROR(__xludf.DUMMYFUNCTION("IFERROR(GOOGLEFINANCE(B3297,""eps""),0)"),0.14)</f>
        <v>0.14000000000000001</v>
      </c>
      <c r="AJ3297" s="1"/>
      <c r="AK3297" s="1" t="s">
        <v>10116</v>
      </c>
      <c r="AL3297" s="9">
        <f t="shared" si="314"/>
        <v>1</v>
      </c>
    </row>
    <row r="3298" spans="1:38" ht="15" x14ac:dyDescent="0.25">
      <c r="A3298" s="1" t="s">
        <v>10117</v>
      </c>
      <c r="B3298" s="1" t="s">
        <v>10118</v>
      </c>
      <c r="C3298" s="1" t="s">
        <v>706</v>
      </c>
      <c r="D3298" s="1" t="s">
        <v>706</v>
      </c>
      <c r="E3298" s="6">
        <v>151.82</v>
      </c>
      <c r="F3298" s="1" t="s">
        <v>40</v>
      </c>
      <c r="G3298" s="6">
        <f ca="1">IFERROR(__xludf.DUMMYFUNCTION("iferror(GOOGLEFINANCE(TRIM(F3298)&amp;"":"" &amp; TRIM(B3298), ""price""),0
)"),250)</f>
        <v>250</v>
      </c>
      <c r="H3298" s="6">
        <v>284</v>
      </c>
      <c r="I3298" s="6">
        <f t="shared" ca="1" si="0"/>
        <v>250</v>
      </c>
      <c r="J3298" s="6">
        <f ca="1">IFERROR(__xludf.DUMMYFUNCTION("IFERROR(GOOGLEFINANCE(B3298, ""volume""), 0)"),202)</f>
        <v>202</v>
      </c>
      <c r="K3298" s="6">
        <v>-0.75</v>
      </c>
      <c r="L3298" s="6">
        <f ca="1">IFERROR(__xludf.DUMMYFUNCTION("IFERROR(GOOGLEFINANCE(B3298,""changepct""),K3298)"),-0.05)</f>
        <v>-0.05</v>
      </c>
      <c r="M3298" s="6">
        <f ca="1">IFERROR(__xludf.DUMMYFUNCTION("IFERROR(GOOGLEFINANCE(B3298,""change""),0)"),-0.13)</f>
        <v>-0.13</v>
      </c>
      <c r="N3298" s="6">
        <v>1</v>
      </c>
      <c r="O3298" s="7">
        <v>45536</v>
      </c>
      <c r="P3298" s="6">
        <v>224.04</v>
      </c>
      <c r="Q3298" s="6">
        <v>373.45</v>
      </c>
      <c r="R3298" s="7">
        <v>45536</v>
      </c>
      <c r="S3298" s="6">
        <v>728.9</v>
      </c>
      <c r="T3298" s="6">
        <v>6.81</v>
      </c>
      <c r="U3298" s="7">
        <v>45536</v>
      </c>
      <c r="V3298" s="6">
        <v>22.29</v>
      </c>
      <c r="W3298" s="6">
        <f ca="1">IFERROR(__xludf.DUMMYFUNCTION("IFERROR(GOOGLEFINANCE(B3298,""pe""),V3298)"),103.59)</f>
        <v>103.59</v>
      </c>
      <c r="X3298" s="6">
        <v>0.74</v>
      </c>
      <c r="Y3298" s="6">
        <v>1.8</v>
      </c>
      <c r="Z3298" s="6">
        <v>1</v>
      </c>
      <c r="AA3298" s="8">
        <v>44986</v>
      </c>
      <c r="AB3298" s="4">
        <v>2.12</v>
      </c>
      <c r="AC3298" s="6">
        <v>26.77</v>
      </c>
      <c r="AD3298" s="6">
        <v>13.88</v>
      </c>
      <c r="AE3298" s="1">
        <v>0</v>
      </c>
      <c r="AF3298" s="1">
        <f ca="1">IFERROR(__xludf.DUMMYFUNCTION("IFERROR(GOOGLEFINANCE(TRIM(F3298)&amp;"":"" &amp; TRIM(B3298),""high52""),AE3298)"),318.8)</f>
        <v>318.8</v>
      </c>
      <c r="AG3298" s="1">
        <v>0</v>
      </c>
      <c r="AH3298" s="1">
        <f ca="1">IFERROR(__xludf.DUMMYFUNCTION("IFERROR(GOOGLEFINANCE(TRIM(F3298)&amp;"":"" &amp; TRIM(B3298),""low52""),AE3298)"),215)</f>
        <v>215</v>
      </c>
      <c r="AI3298" s="1">
        <f ca="1">IFERROR(__xludf.DUMMYFUNCTION("IFERROR(GOOGLEFINANCE(B3298,""eps""),0)"),2.41)</f>
        <v>2.41</v>
      </c>
      <c r="AJ3298" s="1"/>
      <c r="AK3298" s="1" t="s">
        <v>10119</v>
      </c>
      <c r="AL3298" s="9">
        <f t="shared" si="314"/>
        <v>1</v>
      </c>
    </row>
    <row r="3299" spans="1:38" ht="15" x14ac:dyDescent="0.25">
      <c r="A3299" s="1" t="s">
        <v>10120</v>
      </c>
      <c r="B3299" s="1" t="s">
        <v>10121</v>
      </c>
      <c r="C3299" s="1" t="s">
        <v>125</v>
      </c>
      <c r="D3299" s="1" t="s">
        <v>125</v>
      </c>
      <c r="E3299" s="6">
        <v>2503.61</v>
      </c>
      <c r="F3299" s="1" t="s">
        <v>40</v>
      </c>
      <c r="G3299" s="6">
        <f ca="1">IFERROR(__xludf.DUMMYFUNCTION("iferror(GOOGLEFINANCE(TRIM(F3299)&amp;"":"" &amp; TRIM(B3299), ""price""),0
)"),549.9)</f>
        <v>549.9</v>
      </c>
      <c r="H3299" s="6">
        <v>1421.45</v>
      </c>
      <c r="I3299" s="6">
        <f t="shared" ca="1" si="0"/>
        <v>549.9</v>
      </c>
      <c r="J3299" s="6">
        <f ca="1">IFERROR(__xludf.DUMMYFUNCTION("IFERROR(GOOGLEFINANCE(B3299, ""volume""), 0)"),116361)</f>
        <v>116361</v>
      </c>
      <c r="K3299" s="6">
        <v>0.28000000000000003</v>
      </c>
      <c r="L3299" s="6">
        <f ca="1">IFERROR(__xludf.DUMMYFUNCTION("IFERROR(GOOGLEFINANCE(B3299,""changepct""),K3299)"),-0.44)</f>
        <v>-0.44</v>
      </c>
      <c r="M3299" s="6">
        <f ca="1">IFERROR(__xludf.DUMMYFUNCTION("IFERROR(GOOGLEFINANCE(B3299,""change""),0)"),-2.45)</f>
        <v>-2.4500000000000002</v>
      </c>
      <c r="N3299" s="6">
        <v>2</v>
      </c>
      <c r="O3299" s="7">
        <v>45536</v>
      </c>
      <c r="P3299" s="6">
        <v>347.09</v>
      </c>
      <c r="Q3299" s="6">
        <v>2838.43</v>
      </c>
      <c r="R3299" s="7">
        <v>45536</v>
      </c>
      <c r="S3299" s="6">
        <v>1298.05</v>
      </c>
      <c r="T3299" s="6">
        <v>68.83</v>
      </c>
      <c r="U3299" s="7">
        <v>45536</v>
      </c>
      <c r="V3299" s="6">
        <v>37.21</v>
      </c>
      <c r="W3299" s="6">
        <f ca="1">IFERROR(__xludf.DUMMYFUNCTION("IFERROR(GOOGLEFINANCE(B3299,""pe""),V3299)"),24.03)</f>
        <v>24.03</v>
      </c>
      <c r="X3299" s="12"/>
      <c r="Y3299" s="6">
        <v>4.84</v>
      </c>
      <c r="Z3299" s="6">
        <v>2</v>
      </c>
      <c r="AA3299" s="8">
        <v>45352</v>
      </c>
      <c r="AB3299" s="4">
        <v>0.65</v>
      </c>
      <c r="AC3299" s="6">
        <v>10.87</v>
      </c>
      <c r="AD3299" s="6">
        <v>13.49</v>
      </c>
      <c r="AE3299" s="1">
        <v>0</v>
      </c>
      <c r="AF3299" s="1">
        <f ca="1">IFERROR(__xludf.DUMMYFUNCTION("IFERROR(GOOGLEFINANCE(TRIM(F3299)&amp;"":"" &amp; TRIM(B3299),""high52""),AE3299)"),1229.95)</f>
        <v>1229.95</v>
      </c>
      <c r="AG3299" s="1">
        <v>0</v>
      </c>
      <c r="AH3299" s="1">
        <f ca="1">IFERROR(__xludf.DUMMYFUNCTION("IFERROR(GOOGLEFINANCE(TRIM(F3299)&amp;"":"" &amp; TRIM(B3299),""low52""),AE3299)"),528)</f>
        <v>528</v>
      </c>
      <c r="AI3299" s="1">
        <f ca="1">IFERROR(__xludf.DUMMYFUNCTION("IFERROR(GOOGLEFINANCE(B3299,""eps""),0)"),22.88)</f>
        <v>22.88</v>
      </c>
      <c r="AJ3299" s="1"/>
      <c r="AK3299" s="9"/>
      <c r="AL3299" s="9">
        <f t="shared" si="314"/>
        <v>1</v>
      </c>
    </row>
    <row r="3300" spans="1:38" ht="15" x14ac:dyDescent="0.25">
      <c r="A3300" s="1" t="s">
        <v>10122</v>
      </c>
      <c r="B3300" s="1" t="s">
        <v>10123</v>
      </c>
      <c r="C3300" s="1" t="s">
        <v>778</v>
      </c>
      <c r="D3300" s="1" t="s">
        <v>778</v>
      </c>
      <c r="E3300" s="6">
        <v>159.77000000000001</v>
      </c>
      <c r="F3300" s="1" t="s">
        <v>40</v>
      </c>
      <c r="G3300" s="6">
        <f ca="1">IFERROR(__xludf.DUMMYFUNCTION("iferror(GOOGLEFINANCE(TRIM(F3300)&amp;"":"" &amp; TRIM(B3300), ""price""),0
)"),7.93)</f>
        <v>7.93</v>
      </c>
      <c r="H3300" s="6">
        <v>8.7200000000000006</v>
      </c>
      <c r="I3300" s="6">
        <f t="shared" ca="1" si="0"/>
        <v>7.93</v>
      </c>
      <c r="J3300" s="6">
        <f ca="1">IFERROR(__xludf.DUMMYFUNCTION("IFERROR(GOOGLEFINANCE(B3300, ""volume""), 0)"),44082)</f>
        <v>44082</v>
      </c>
      <c r="K3300" s="6">
        <v>4.3099999999999996</v>
      </c>
      <c r="L3300" s="6">
        <f ca="1">IFERROR(__xludf.DUMMYFUNCTION("IFERROR(GOOGLEFINANCE(B3300,""changepct""),K3300)"),-2.58)</f>
        <v>-2.58</v>
      </c>
      <c r="M3300" s="6">
        <f ca="1">IFERROR(__xludf.DUMMYFUNCTION("IFERROR(GOOGLEFINANCE(B3300,""change""),0)"),-0.21)</f>
        <v>-0.21</v>
      </c>
      <c r="N3300" s="6">
        <v>2</v>
      </c>
      <c r="O3300" s="7">
        <v>45536</v>
      </c>
      <c r="P3300" s="6">
        <v>3.08</v>
      </c>
      <c r="Q3300" s="6">
        <v>162.26</v>
      </c>
      <c r="R3300" s="7">
        <v>45536</v>
      </c>
      <c r="S3300" s="6">
        <v>43.33</v>
      </c>
      <c r="T3300" s="6">
        <v>3.14</v>
      </c>
      <c r="U3300" s="7">
        <v>45536</v>
      </c>
      <c r="V3300" s="6">
        <v>63.27</v>
      </c>
      <c r="W3300" s="6">
        <f ca="1">IFERROR(__xludf.DUMMYFUNCTION("IFERROR(GOOGLEFINANCE(B3300,""pe""),V3300)"),63.27)</f>
        <v>63.27</v>
      </c>
      <c r="X3300" s="6">
        <v>-1.66</v>
      </c>
      <c r="Y3300" s="6">
        <v>1.92</v>
      </c>
      <c r="Z3300" s="6">
        <v>2</v>
      </c>
      <c r="AA3300" s="8">
        <v>45352</v>
      </c>
      <c r="AB3300" s="4">
        <v>0.09</v>
      </c>
      <c r="AC3300" s="6">
        <v>1.69</v>
      </c>
      <c r="AD3300" s="6">
        <v>3.77</v>
      </c>
      <c r="AE3300" s="1">
        <v>0</v>
      </c>
      <c r="AF3300" s="1">
        <f ca="1">IFERROR(__xludf.DUMMYFUNCTION("IFERROR(GOOGLEFINANCE(TRIM(F3300)&amp;"":"" &amp; TRIM(B3300),""high52""),AE3300)"),11.53)</f>
        <v>11.53</v>
      </c>
      <c r="AG3300" s="1">
        <v>0</v>
      </c>
      <c r="AH3300" s="1">
        <f ca="1">IFERROR(__xludf.DUMMYFUNCTION("IFERROR(GOOGLEFINANCE(TRIM(F3300)&amp;"":"" &amp; TRIM(B3300),""low52""),AE3300)"),5)</f>
        <v>5</v>
      </c>
      <c r="AI3300" s="1">
        <f ca="1">IFERROR(__xludf.DUMMYFUNCTION("IFERROR(GOOGLEFINANCE(B3300,""eps""),0)"),-0.06)</f>
        <v>-0.06</v>
      </c>
      <c r="AJ3300" s="1"/>
      <c r="AK3300" s="9"/>
      <c r="AL3300" s="9">
        <f t="shared" si="314"/>
        <v>1</v>
      </c>
    </row>
    <row r="3301" spans="1:38" ht="15" x14ac:dyDescent="0.25">
      <c r="A3301" s="1" t="s">
        <v>10124</v>
      </c>
      <c r="B3301" s="1" t="s">
        <v>10125</v>
      </c>
      <c r="C3301" s="1" t="s">
        <v>99</v>
      </c>
      <c r="D3301" s="1" t="s">
        <v>99</v>
      </c>
      <c r="E3301" s="6">
        <v>114.45</v>
      </c>
      <c r="F3301" s="1" t="s">
        <v>40</v>
      </c>
      <c r="G3301" s="6">
        <f ca="1">IFERROR(__xludf.DUMMYFUNCTION("iferror(GOOGLEFINANCE(TRIM(F3301)&amp;"":"" &amp; TRIM(B3301), ""price""),0
)"),0)</f>
        <v>0</v>
      </c>
      <c r="H3301" s="6">
        <v>96.15</v>
      </c>
      <c r="I3301" s="6">
        <f t="shared" ca="1" si="0"/>
        <v>96.15</v>
      </c>
      <c r="J3301" s="6">
        <f ca="1">IFERROR(__xludf.DUMMYFUNCTION("IFERROR(GOOGLEFINANCE(B3301, ""volume""), 0)"),0)</f>
        <v>0</v>
      </c>
      <c r="K3301" s="6">
        <v>0.05</v>
      </c>
      <c r="L3301" s="6">
        <f ca="1">IFERROR(__xludf.DUMMYFUNCTION("IFERROR(GOOGLEFINANCE(B3301,""changepct""),K3301)"),0.05)</f>
        <v>0.05</v>
      </c>
      <c r="M3301" s="6">
        <f ca="1">IFERROR(__xludf.DUMMYFUNCTION("IFERROR(GOOGLEFINANCE(B3301,""change""),0)"),0)</f>
        <v>0</v>
      </c>
      <c r="N3301" s="6">
        <v>1</v>
      </c>
      <c r="O3301" s="7">
        <v>45536</v>
      </c>
      <c r="P3301" s="6">
        <v>2.48</v>
      </c>
      <c r="Q3301" s="6">
        <v>116.93</v>
      </c>
      <c r="R3301" s="7">
        <v>45352</v>
      </c>
      <c r="S3301" s="6">
        <v>182.14</v>
      </c>
      <c r="T3301" s="6">
        <v>10.72</v>
      </c>
      <c r="U3301" s="7">
        <v>45352</v>
      </c>
      <c r="V3301" s="6">
        <v>10.68</v>
      </c>
      <c r="W3301" s="6">
        <f ca="1">IFERROR(__xludf.DUMMYFUNCTION("IFERROR(GOOGLEFINANCE(B3301,""pe""),V3301)"),10.68)</f>
        <v>10.68</v>
      </c>
      <c r="X3301" s="9"/>
      <c r="Y3301" s="6">
        <v>1.24</v>
      </c>
      <c r="Z3301" s="6">
        <v>1</v>
      </c>
      <c r="AA3301" s="8">
        <v>45352</v>
      </c>
      <c r="AB3301" s="4">
        <v>0.03</v>
      </c>
      <c r="AC3301" s="6">
        <v>19.329999999999998</v>
      </c>
      <c r="AD3301" s="6">
        <v>25.17</v>
      </c>
      <c r="AE3301" s="1">
        <v>0</v>
      </c>
      <c r="AF3301" s="1">
        <f ca="1">IFERROR(__xludf.DUMMYFUNCTION("IFERROR(GOOGLEFINANCE(TRIM(F3301)&amp;"":"" &amp; TRIM(B3301),""high52""),AE3301)"),0)</f>
        <v>0</v>
      </c>
      <c r="AG3301" s="1">
        <v>0</v>
      </c>
      <c r="AH3301" s="1">
        <f ca="1">IFERROR(__xludf.DUMMYFUNCTION("IFERROR(GOOGLEFINANCE(TRIM(F3301)&amp;"":"" &amp; TRIM(B3301),""low52""),AE3301)"),0)</f>
        <v>0</v>
      </c>
      <c r="AI3301" s="1">
        <f ca="1">IFERROR(__xludf.DUMMYFUNCTION("IFERROR(GOOGLEFINANCE(B3301,""eps""),0)"),0)</f>
        <v>0</v>
      </c>
      <c r="AJ3301" s="1"/>
      <c r="AK3301" s="1" t="s">
        <v>10126</v>
      </c>
      <c r="AL3301" s="1" t="b">
        <f>ISNUMBER(AA3301)</f>
        <v>1</v>
      </c>
    </row>
    <row r="3302" spans="1:38" ht="15" x14ac:dyDescent="0.25">
      <c r="A3302" s="1" t="s">
        <v>10127</v>
      </c>
      <c r="B3302" s="1" t="s">
        <v>10128</v>
      </c>
      <c r="C3302" s="1" t="s">
        <v>82</v>
      </c>
      <c r="D3302" s="1" t="s">
        <v>82</v>
      </c>
      <c r="E3302" s="6">
        <v>89.58</v>
      </c>
      <c r="F3302" s="1" t="s">
        <v>53</v>
      </c>
      <c r="G3302" s="6">
        <f ca="1">IFERROR(__xludf.DUMMYFUNCTION("iferror(GOOGLEFINANCE(TRIM(F3302)&amp;"":"" &amp; TRIM(B3302), ""price""),0
)"),0)</f>
        <v>0</v>
      </c>
      <c r="H3302" s="6">
        <v>180</v>
      </c>
      <c r="I3302" s="6">
        <f t="shared" ca="1" si="0"/>
        <v>180</v>
      </c>
      <c r="J3302" s="6">
        <f ca="1">IFERROR(__xludf.DUMMYFUNCTION("IFERROR(GOOGLEFINANCE(B3302, ""volume""), 0)"),0)</f>
        <v>0</v>
      </c>
      <c r="K3302" s="6">
        <v>-1.77</v>
      </c>
      <c r="L3302" s="6">
        <f ca="1">IFERROR(__xludf.DUMMYFUNCTION("IFERROR(GOOGLEFINANCE(B3302,""changepct""),K3302)"),-1.77)</f>
        <v>-1.77</v>
      </c>
      <c r="M3302" s="6">
        <f ca="1">IFERROR(__xludf.DUMMYFUNCTION("IFERROR(GOOGLEFINANCE(B3302,""change""),0)"),0)</f>
        <v>0</v>
      </c>
      <c r="N3302" s="6">
        <v>1</v>
      </c>
      <c r="O3302" s="7">
        <v>45536</v>
      </c>
      <c r="P3302" s="6">
        <v>47.84</v>
      </c>
      <c r="Q3302" s="6">
        <v>134.72</v>
      </c>
      <c r="R3302" s="7">
        <v>45536</v>
      </c>
      <c r="S3302" s="6">
        <v>185.94</v>
      </c>
      <c r="T3302" s="6">
        <v>2.36</v>
      </c>
      <c r="U3302" s="7">
        <v>45536</v>
      </c>
      <c r="V3302" s="6">
        <v>37.909999999999997</v>
      </c>
      <c r="W3302" s="6">
        <f ca="1">IFERROR(__xludf.DUMMYFUNCTION("IFERROR(GOOGLEFINANCE(B3302,""pe""),V3302)"),37.91)</f>
        <v>37.909999999999997</v>
      </c>
      <c r="X3302" s="6">
        <v>1.92</v>
      </c>
      <c r="Y3302" s="6">
        <v>2.23</v>
      </c>
      <c r="Z3302" s="6">
        <v>1</v>
      </c>
      <c r="AA3302" s="8">
        <v>45352</v>
      </c>
      <c r="AB3302" s="4">
        <v>1.1200000000000001</v>
      </c>
      <c r="AC3302" s="6">
        <v>7.9</v>
      </c>
      <c r="AD3302" s="6">
        <v>10.199999999999999</v>
      </c>
      <c r="AE3302" s="1">
        <v>0</v>
      </c>
      <c r="AF3302" s="1">
        <f ca="1">IFERROR(__xludf.DUMMYFUNCTION("IFERROR(GOOGLEFINANCE(TRIM(F3302)&amp;"":"" &amp; TRIM(B3302),""high52""),AE3302)"),0)</f>
        <v>0</v>
      </c>
      <c r="AG3302" s="1">
        <v>0</v>
      </c>
      <c r="AH3302" s="1">
        <f ca="1">IFERROR(__xludf.DUMMYFUNCTION("IFERROR(GOOGLEFINANCE(TRIM(F3302)&amp;"":"" &amp; TRIM(B3302),""low52""),AE3302)"),0)</f>
        <v>0</v>
      </c>
      <c r="AI3302" s="1">
        <f ca="1">IFERROR(__xludf.DUMMYFUNCTION("IFERROR(GOOGLEFINANCE(B3302,""eps""),0)"),0)</f>
        <v>0</v>
      </c>
      <c r="AJ3302" s="1"/>
      <c r="AK3302" s="1" t="s">
        <v>10129</v>
      </c>
      <c r="AL3302" s="9">
        <f t="shared" ref="AL3302:AL3309" si="315">IF(AA3302&lt;&gt;AB3302,1,0)</f>
        <v>1</v>
      </c>
    </row>
    <row r="3303" spans="1:38" ht="15" x14ac:dyDescent="0.25">
      <c r="A3303" s="1" t="s">
        <v>10130</v>
      </c>
      <c r="B3303" s="1" t="s">
        <v>10131</v>
      </c>
      <c r="C3303" s="1" t="s">
        <v>82</v>
      </c>
      <c r="D3303" s="1" t="s">
        <v>82</v>
      </c>
      <c r="E3303" s="6">
        <v>40.799999999999997</v>
      </c>
      <c r="F3303" s="1" t="s">
        <v>53</v>
      </c>
      <c r="G3303" s="6">
        <f ca="1">IFERROR(__xludf.DUMMYFUNCTION("iferror(GOOGLEFINANCE(TRIM(F3303)&amp;"":"" &amp; TRIM(B3303), ""price""),0
)"),0)</f>
        <v>0</v>
      </c>
      <c r="H3303" s="6">
        <v>68.400000000000006</v>
      </c>
      <c r="I3303" s="6">
        <f t="shared" ca="1" si="0"/>
        <v>68.400000000000006</v>
      </c>
      <c r="J3303" s="6">
        <f ca="1">IFERROR(__xludf.DUMMYFUNCTION("IFERROR(GOOGLEFINANCE(B3303, ""volume""), 0)"),0)</f>
        <v>0</v>
      </c>
      <c r="K3303" s="6">
        <v>7.0000000000000007E-2</v>
      </c>
      <c r="L3303" s="6">
        <f ca="1">IFERROR(__xludf.DUMMYFUNCTION("IFERROR(GOOGLEFINANCE(B3303,""changepct""),K3303)"),0.07)</f>
        <v>7.0000000000000007E-2</v>
      </c>
      <c r="M3303" s="6">
        <f ca="1">IFERROR(__xludf.DUMMYFUNCTION("IFERROR(GOOGLEFINANCE(B3303,""change""),0)"),0)</f>
        <v>0</v>
      </c>
      <c r="N3303" s="6">
        <v>1</v>
      </c>
      <c r="O3303" s="7">
        <v>45536</v>
      </c>
      <c r="P3303" s="9"/>
      <c r="Q3303" s="6">
        <v>40.799999999999997</v>
      </c>
      <c r="R3303" s="15">
        <v>45536</v>
      </c>
      <c r="S3303" s="6">
        <v>14.48</v>
      </c>
      <c r="T3303" s="6">
        <v>1.26</v>
      </c>
      <c r="U3303" s="15">
        <v>45536</v>
      </c>
      <c r="V3303" s="6">
        <v>32.43</v>
      </c>
      <c r="W3303" s="6">
        <f ca="1">IFERROR(__xludf.DUMMYFUNCTION("IFERROR(GOOGLEFINANCE(B3303,""pe""),V3303)"),32.43)</f>
        <v>32.43</v>
      </c>
      <c r="X3303" s="6">
        <v>1.1299999999999999</v>
      </c>
      <c r="Y3303" s="6">
        <v>0.83</v>
      </c>
      <c r="Z3303" s="6">
        <v>1</v>
      </c>
      <c r="AA3303" s="8">
        <v>45352</v>
      </c>
      <c r="AB3303" s="4">
        <v>0</v>
      </c>
      <c r="AC3303" s="6">
        <v>3.48</v>
      </c>
      <c r="AD3303" s="6">
        <v>2.75</v>
      </c>
      <c r="AE3303" s="1">
        <v>0</v>
      </c>
      <c r="AF3303" s="1">
        <f ca="1">IFERROR(__xludf.DUMMYFUNCTION("IFERROR(GOOGLEFINANCE(TRIM(F3303)&amp;"":"" &amp; TRIM(B3303),""high52""),AE3303)"),0)</f>
        <v>0</v>
      </c>
      <c r="AG3303" s="1">
        <v>0</v>
      </c>
      <c r="AH3303" s="1">
        <f ca="1">IFERROR(__xludf.DUMMYFUNCTION("IFERROR(GOOGLEFINANCE(TRIM(F3303)&amp;"":"" &amp; TRIM(B3303),""low52""),AE3303)"),0)</f>
        <v>0</v>
      </c>
      <c r="AI3303" s="1">
        <f ca="1">IFERROR(__xludf.DUMMYFUNCTION("IFERROR(GOOGLEFINANCE(B3303,""eps""),0)"),0)</f>
        <v>0</v>
      </c>
      <c r="AJ3303" s="1"/>
      <c r="AK3303" s="1" t="s">
        <v>10132</v>
      </c>
      <c r="AL3303" s="9">
        <f t="shared" si="315"/>
        <v>1</v>
      </c>
    </row>
    <row r="3304" spans="1:38" ht="15" x14ac:dyDescent="0.25">
      <c r="A3304" s="1" t="s">
        <v>10133</v>
      </c>
      <c r="B3304" s="1" t="s">
        <v>10134</v>
      </c>
      <c r="C3304" s="1" t="s">
        <v>410</v>
      </c>
      <c r="D3304" s="1" t="s">
        <v>410</v>
      </c>
      <c r="E3304" s="6">
        <v>4505.58</v>
      </c>
      <c r="F3304" s="1" t="s">
        <v>40</v>
      </c>
      <c r="G3304" s="6">
        <f ca="1">IFERROR(__xludf.DUMMYFUNCTION("iferror(GOOGLEFINANCE(TRIM(F3304)&amp;"":"" &amp; TRIM(B3304), ""price""),0
)"),169.65)</f>
        <v>169.65</v>
      </c>
      <c r="H3304" s="6">
        <v>206.5</v>
      </c>
      <c r="I3304" s="6">
        <f t="shared" ca="1" si="0"/>
        <v>169.65</v>
      </c>
      <c r="J3304" s="6">
        <f ca="1">IFERROR(__xludf.DUMMYFUNCTION("IFERROR(GOOGLEFINANCE(B3304, ""volume""), 0)"),606924)</f>
        <v>606924</v>
      </c>
      <c r="K3304" s="6">
        <v>0.89</v>
      </c>
      <c r="L3304" s="6">
        <f ca="1">IFERROR(__xludf.DUMMYFUNCTION("IFERROR(GOOGLEFINANCE(B3304,""changepct""),K3304)"),0.35)</f>
        <v>0.35</v>
      </c>
      <c r="M3304" s="6">
        <f ca="1">IFERROR(__xludf.DUMMYFUNCTION("IFERROR(GOOGLEFINANCE(B3304,""change""),0)"),0.59)</f>
        <v>0.59</v>
      </c>
      <c r="N3304" s="6">
        <v>2</v>
      </c>
      <c r="O3304" s="7">
        <v>45536</v>
      </c>
      <c r="P3304" s="6">
        <v>2154.84</v>
      </c>
      <c r="Q3304" s="6">
        <v>6660.42</v>
      </c>
      <c r="R3304" s="7">
        <v>45536</v>
      </c>
      <c r="S3304" s="6">
        <v>1062.43</v>
      </c>
      <c r="T3304" s="6">
        <v>-46.28</v>
      </c>
      <c r="U3304" s="7">
        <v>45536</v>
      </c>
      <c r="V3304" s="6">
        <v>0</v>
      </c>
      <c r="W3304" s="6">
        <f ca="1">IFERROR(__xludf.DUMMYFUNCTION("IFERROR(GOOGLEFINANCE(B3304,""pe""),V3304)"),17.78)</f>
        <v>17.78</v>
      </c>
      <c r="X3304" s="9"/>
      <c r="Y3304" s="6">
        <v>4.2300000000000004</v>
      </c>
      <c r="Z3304" s="6">
        <v>2</v>
      </c>
      <c r="AA3304" s="8">
        <v>45352</v>
      </c>
      <c r="AB3304" s="4">
        <v>2.04</v>
      </c>
      <c r="AC3304" s="6">
        <v>-225.14</v>
      </c>
      <c r="AD3304" s="6">
        <v>4.04</v>
      </c>
      <c r="AE3304" s="1">
        <v>0</v>
      </c>
      <c r="AF3304" s="1">
        <f ca="1">IFERROR(__xludf.DUMMYFUNCTION("IFERROR(GOOGLEFINANCE(TRIM(F3304)&amp;"":"" &amp; TRIM(B3304),""high52""),AE3304)"),254.5)</f>
        <v>254.5</v>
      </c>
      <c r="AG3304" s="1">
        <v>0</v>
      </c>
      <c r="AH3304" s="1">
        <f ca="1">IFERROR(__xludf.DUMMYFUNCTION("IFERROR(GOOGLEFINANCE(TRIM(F3304)&amp;"":"" &amp; TRIM(B3304),""low52""),AE3304)"),121.1)</f>
        <v>121.1</v>
      </c>
      <c r="AI3304" s="1">
        <f ca="1">IFERROR(__xludf.DUMMYFUNCTION("IFERROR(GOOGLEFINANCE(B3304,""eps""),0)"),9.54)</f>
        <v>9.5399999999999991</v>
      </c>
      <c r="AJ3304" s="1"/>
      <c r="AK3304" s="1" t="s">
        <v>10135</v>
      </c>
      <c r="AL3304" s="9">
        <f t="shared" si="315"/>
        <v>1</v>
      </c>
    </row>
    <row r="3305" spans="1:38" ht="15" x14ac:dyDescent="0.25">
      <c r="A3305" s="1" t="s">
        <v>10136</v>
      </c>
      <c r="B3305" s="1" t="s">
        <v>10137</v>
      </c>
      <c r="C3305" s="1" t="s">
        <v>82</v>
      </c>
      <c r="D3305" s="1" t="s">
        <v>82</v>
      </c>
      <c r="E3305" s="6">
        <v>165.35</v>
      </c>
      <c r="F3305" s="1" t="s">
        <v>53</v>
      </c>
      <c r="G3305" s="6">
        <f ca="1">IFERROR(__xludf.DUMMYFUNCTION("iferror(GOOGLEFINANCE(TRIM(F3305)&amp;"":"" &amp; TRIM(B3305), ""price""),0
)"),0)</f>
        <v>0</v>
      </c>
      <c r="H3305" s="6">
        <v>154.9</v>
      </c>
      <c r="I3305" s="6">
        <f t="shared" ca="1" si="0"/>
        <v>154.9</v>
      </c>
      <c r="J3305" s="6">
        <f ca="1">IFERROR(__xludf.DUMMYFUNCTION("IFERROR(GOOGLEFINANCE(B3305, ""volume""), 0)"),0)</f>
        <v>0</v>
      </c>
      <c r="K3305" s="9"/>
      <c r="L3305" s="6" t="str">
        <f ca="1">IFERROR(__xludf.DUMMYFUNCTION("IFERROR(GOOGLEFINANCE(B3305,""changepct""),K3305)"),"")</f>
        <v/>
      </c>
      <c r="M3305" s="6">
        <f ca="1">IFERROR(__xludf.DUMMYFUNCTION("IFERROR(GOOGLEFINANCE(B3305,""change""),0)"),0)</f>
        <v>0</v>
      </c>
      <c r="N3305" s="6">
        <v>2</v>
      </c>
      <c r="O3305" s="7">
        <v>45536</v>
      </c>
      <c r="P3305" s="6">
        <v>181.76</v>
      </c>
      <c r="Q3305" s="6">
        <v>347.11</v>
      </c>
      <c r="R3305" s="7">
        <v>45536</v>
      </c>
      <c r="S3305" s="6">
        <v>378.09</v>
      </c>
      <c r="T3305" s="6">
        <v>5.8</v>
      </c>
      <c r="U3305" s="7">
        <v>45536</v>
      </c>
      <c r="V3305" s="6">
        <v>54.23</v>
      </c>
      <c r="W3305" s="6">
        <f ca="1">IFERROR(__xludf.DUMMYFUNCTION("IFERROR(GOOGLEFINANCE(B3305,""pe""),V3305)"),54.23)</f>
        <v>54.23</v>
      </c>
      <c r="X3305" s="9"/>
      <c r="Y3305" s="6">
        <v>3.13</v>
      </c>
      <c r="Z3305" s="6">
        <v>2</v>
      </c>
      <c r="AA3305" s="8">
        <v>45352</v>
      </c>
      <c r="AB3305" s="4">
        <v>3.22</v>
      </c>
      <c r="AC3305" s="6">
        <v>0.62</v>
      </c>
      <c r="AD3305" s="6">
        <v>6.29</v>
      </c>
      <c r="AE3305" s="1">
        <v>0</v>
      </c>
      <c r="AF3305" s="1">
        <f ca="1">IFERROR(__xludf.DUMMYFUNCTION("IFERROR(GOOGLEFINANCE(TRIM(F3305)&amp;"":"" &amp; TRIM(B3305),""high52""),AE3305)"),0)</f>
        <v>0</v>
      </c>
      <c r="AG3305" s="1">
        <v>0</v>
      </c>
      <c r="AH3305" s="1">
        <f ca="1">IFERROR(__xludf.DUMMYFUNCTION("IFERROR(GOOGLEFINANCE(TRIM(F3305)&amp;"":"" &amp; TRIM(B3305),""low52""),AE3305)"),0)</f>
        <v>0</v>
      </c>
      <c r="AI3305" s="1">
        <f ca="1">IFERROR(__xludf.DUMMYFUNCTION("IFERROR(GOOGLEFINANCE(B3305,""eps""),0)"),0)</f>
        <v>0</v>
      </c>
      <c r="AJ3305" s="1"/>
      <c r="AK3305" s="1" t="s">
        <v>10138</v>
      </c>
      <c r="AL3305" s="9">
        <f t="shared" si="315"/>
        <v>1</v>
      </c>
    </row>
    <row r="3306" spans="1:38" ht="15" x14ac:dyDescent="0.25">
      <c r="A3306" s="1" t="s">
        <v>10139</v>
      </c>
      <c r="B3306" s="1" t="s">
        <v>10140</v>
      </c>
      <c r="C3306" s="1" t="s">
        <v>82</v>
      </c>
      <c r="D3306" s="1" t="s">
        <v>82</v>
      </c>
      <c r="E3306" s="6">
        <v>212.12</v>
      </c>
      <c r="F3306" s="1" t="s">
        <v>53</v>
      </c>
      <c r="G3306" s="6">
        <f ca="1">IFERROR(__xludf.DUMMYFUNCTION("iferror(GOOGLEFINANCE(TRIM(F3306)&amp;"":"" &amp; TRIM(B3306), ""price""),0
)"),0)</f>
        <v>0</v>
      </c>
      <c r="H3306" s="6">
        <v>404.4</v>
      </c>
      <c r="I3306" s="6">
        <f t="shared" ca="1" si="0"/>
        <v>404.4</v>
      </c>
      <c r="J3306" s="6">
        <f ca="1">IFERROR(__xludf.DUMMYFUNCTION("IFERROR(GOOGLEFINANCE(B3306, ""volume""), 0)"),0)</f>
        <v>0</v>
      </c>
      <c r="K3306" s="6">
        <v>-2.46</v>
      </c>
      <c r="L3306" s="6">
        <f ca="1">IFERROR(__xludf.DUMMYFUNCTION("IFERROR(GOOGLEFINANCE(B3306,""changepct""),K3306)"),-2.46)</f>
        <v>-2.46</v>
      </c>
      <c r="M3306" s="6">
        <f ca="1">IFERROR(__xludf.DUMMYFUNCTION("IFERROR(GOOGLEFINANCE(B3306,""change""),0)"),0)</f>
        <v>0</v>
      </c>
      <c r="N3306" s="6">
        <v>2</v>
      </c>
      <c r="O3306" s="7">
        <v>45536</v>
      </c>
      <c r="P3306" s="6">
        <v>87.41</v>
      </c>
      <c r="Q3306" s="6">
        <v>299.52999999999997</v>
      </c>
      <c r="R3306" s="7">
        <v>45536</v>
      </c>
      <c r="S3306" s="6">
        <v>290.45999999999998</v>
      </c>
      <c r="T3306" s="6">
        <v>15.81</v>
      </c>
      <c r="U3306" s="7">
        <v>45536</v>
      </c>
      <c r="V3306" s="6">
        <v>13.42</v>
      </c>
      <c r="W3306" s="6">
        <f ca="1">IFERROR(__xludf.DUMMYFUNCTION("IFERROR(GOOGLEFINANCE(B3306,""pe""),V3306)"),13.42)</f>
        <v>13.42</v>
      </c>
      <c r="X3306" s="9"/>
      <c r="Y3306" s="6">
        <v>2.5499999999999998</v>
      </c>
      <c r="Z3306" s="6">
        <v>2</v>
      </c>
      <c r="AA3306" s="8">
        <v>45352</v>
      </c>
      <c r="AB3306" s="4">
        <v>0.91</v>
      </c>
      <c r="AC3306" s="6">
        <v>24.23</v>
      </c>
      <c r="AD3306" s="6">
        <v>20.04</v>
      </c>
      <c r="AE3306" s="1">
        <v>0</v>
      </c>
      <c r="AF3306" s="1">
        <f ca="1">IFERROR(__xludf.DUMMYFUNCTION("IFERROR(GOOGLEFINANCE(TRIM(F3306)&amp;"":"" &amp; TRIM(B3306),""high52""),AE3306)"),0)</f>
        <v>0</v>
      </c>
      <c r="AG3306" s="1">
        <v>0</v>
      </c>
      <c r="AH3306" s="1">
        <f ca="1">IFERROR(__xludf.DUMMYFUNCTION("IFERROR(GOOGLEFINANCE(TRIM(F3306)&amp;"":"" &amp; TRIM(B3306),""low52""),AE3306)"),0)</f>
        <v>0</v>
      </c>
      <c r="AI3306" s="1">
        <f ca="1">IFERROR(__xludf.DUMMYFUNCTION("IFERROR(GOOGLEFINANCE(B3306,""eps""),0)"),0)</f>
        <v>0</v>
      </c>
      <c r="AJ3306" s="1"/>
      <c r="AK3306" s="1" t="s">
        <v>10141</v>
      </c>
      <c r="AL3306" s="9">
        <f t="shared" si="315"/>
        <v>1</v>
      </c>
    </row>
    <row r="3307" spans="1:38" ht="15" x14ac:dyDescent="0.25">
      <c r="A3307" s="1" t="s">
        <v>10142</v>
      </c>
      <c r="B3307" s="1" t="s">
        <v>10143</v>
      </c>
      <c r="C3307" s="1" t="s">
        <v>94</v>
      </c>
      <c r="D3307" s="1" t="s">
        <v>94</v>
      </c>
      <c r="E3307" s="6">
        <v>12120.26</v>
      </c>
      <c r="F3307" s="1" t="s">
        <v>40</v>
      </c>
      <c r="G3307" s="6">
        <f ca="1">IFERROR(__xludf.DUMMYFUNCTION("iferror(GOOGLEFINANCE(TRIM(F3307)&amp;"":"" &amp; TRIM(B3307), ""price""),0
)"),146.68)</f>
        <v>146.68</v>
      </c>
      <c r="H3307" s="6">
        <v>162.94</v>
      </c>
      <c r="I3307" s="6">
        <f t="shared" ca="1" si="0"/>
        <v>146.68</v>
      </c>
      <c r="J3307" s="6">
        <f ca="1">IFERROR(__xludf.DUMMYFUNCTION("IFERROR(GOOGLEFINANCE(B3307, ""volume""), 0)"),6859531)</f>
        <v>6859531</v>
      </c>
      <c r="K3307" s="6">
        <v>0.09</v>
      </c>
      <c r="L3307" s="6">
        <f ca="1">IFERROR(__xludf.DUMMYFUNCTION("IFERROR(GOOGLEFINANCE(B3307,""changepct""),K3307)"),2.65)</f>
        <v>2.65</v>
      </c>
      <c r="M3307" s="6">
        <f ca="1">IFERROR(__xludf.DUMMYFUNCTION("IFERROR(GOOGLEFINANCE(B3307,""change""),0)"),3.79)</f>
        <v>3.79</v>
      </c>
      <c r="N3307" s="6">
        <v>2</v>
      </c>
      <c r="O3307" s="7">
        <v>45536</v>
      </c>
      <c r="P3307" s="6">
        <v>-1811.15</v>
      </c>
      <c r="Q3307" s="7">
        <v>45536</v>
      </c>
      <c r="R3307" s="6">
        <v>0</v>
      </c>
      <c r="S3307" s="6">
        <v>0</v>
      </c>
      <c r="T3307" s="6">
        <v>0.61</v>
      </c>
      <c r="U3307" s="6">
        <v>2</v>
      </c>
      <c r="V3307" s="7">
        <v>45352</v>
      </c>
      <c r="W3307" s="6">
        <f ca="1">IFERROR(__xludf.DUMMYFUNCTION("IFERROR(GOOGLEFINANCE(B3307,""pe""),V3307)"),6.98)</f>
        <v>6.98</v>
      </c>
      <c r="X3307" s="6">
        <v>2.4700000000000002</v>
      </c>
      <c r="Y3307" s="6">
        <v>6.61</v>
      </c>
      <c r="Z3307" s="6">
        <v>10.08</v>
      </c>
      <c r="AA3307" s="3" t="s">
        <v>10144</v>
      </c>
      <c r="AB3307" s="3"/>
      <c r="AC3307" s="9"/>
      <c r="AD3307" s="9"/>
      <c r="AE3307" s="1">
        <v>0</v>
      </c>
      <c r="AF3307" s="1">
        <f ca="1">IFERROR(__xludf.DUMMYFUNCTION("IFERROR(GOOGLEFINANCE(TRIM(F3307)&amp;"":"" &amp; TRIM(B3307),""high52""),AE3307)"),192.95)</f>
        <v>192.95</v>
      </c>
      <c r="AG3307" s="1">
        <v>0</v>
      </c>
      <c r="AH3307" s="1">
        <f ca="1">IFERROR(__xludf.DUMMYFUNCTION("IFERROR(GOOGLEFINANCE(TRIM(F3307)&amp;"":"" &amp; TRIM(B3307),""low52""),AE3307)"),97.61)</f>
        <v>97.61</v>
      </c>
      <c r="AI3307" s="1">
        <f ca="1">IFERROR(__xludf.DUMMYFUNCTION("IFERROR(GOOGLEFINANCE(B3307,""eps""),0)"),23.59)</f>
        <v>23.59</v>
      </c>
      <c r="AJ3307" s="1"/>
      <c r="AK3307" s="1" t="s">
        <v>10145</v>
      </c>
      <c r="AL3307" s="9">
        <f t="shared" si="315"/>
        <v>1</v>
      </c>
    </row>
    <row r="3308" spans="1:38" ht="15" x14ac:dyDescent="0.25">
      <c r="A3308" s="1" t="s">
        <v>10146</v>
      </c>
      <c r="B3308" s="1" t="s">
        <v>10147</v>
      </c>
      <c r="C3308" s="1" t="s">
        <v>82</v>
      </c>
      <c r="D3308" s="1" t="s">
        <v>82</v>
      </c>
      <c r="E3308" s="6">
        <v>84.09</v>
      </c>
      <c r="F3308" s="1" t="s">
        <v>53</v>
      </c>
      <c r="G3308" s="6">
        <f ca="1">IFERROR(__xludf.DUMMYFUNCTION("iferror(GOOGLEFINANCE(TRIM(F3308)&amp;"":"" &amp; TRIM(B3308), ""price""),0
)"),0)</f>
        <v>0</v>
      </c>
      <c r="H3308" s="6">
        <v>37.9</v>
      </c>
      <c r="I3308" s="6">
        <f t="shared" ca="1" si="0"/>
        <v>37.9</v>
      </c>
      <c r="J3308" s="6">
        <f ca="1">IFERROR(__xludf.DUMMYFUNCTION("IFERROR(GOOGLEFINANCE(B3308, ""volume""), 0)"),0)</f>
        <v>0</v>
      </c>
      <c r="K3308" s="6">
        <v>1.26</v>
      </c>
      <c r="L3308" s="6">
        <f ca="1">IFERROR(__xludf.DUMMYFUNCTION("IFERROR(GOOGLEFINANCE(B3308,""changepct""),K3308)"),1.26)</f>
        <v>1.26</v>
      </c>
      <c r="M3308" s="6">
        <f ca="1">IFERROR(__xludf.DUMMYFUNCTION("IFERROR(GOOGLEFINANCE(B3308,""change""),0)"),0)</f>
        <v>0</v>
      </c>
      <c r="N3308" s="6">
        <v>1</v>
      </c>
      <c r="O3308" s="7">
        <v>45536</v>
      </c>
      <c r="P3308" s="6">
        <v>27.65</v>
      </c>
      <c r="Q3308" s="6">
        <v>108.84</v>
      </c>
      <c r="R3308" s="7">
        <v>45536</v>
      </c>
      <c r="S3308" s="6">
        <v>136.97999999999999</v>
      </c>
      <c r="T3308" s="6">
        <v>2.57</v>
      </c>
      <c r="U3308" s="7">
        <v>45536</v>
      </c>
      <c r="V3308" s="6">
        <v>32.74</v>
      </c>
      <c r="W3308" s="6">
        <f ca="1">IFERROR(__xludf.DUMMYFUNCTION("IFERROR(GOOGLEFINANCE(B3308,""pe""),V3308)"),32.74)</f>
        <v>32.74</v>
      </c>
      <c r="X3308" s="6">
        <v>-4.2300000000000004</v>
      </c>
      <c r="Y3308" s="6">
        <v>2.0099999999999998</v>
      </c>
      <c r="Z3308" s="6">
        <v>1</v>
      </c>
      <c r="AA3308" s="8">
        <v>45352</v>
      </c>
      <c r="AB3308" s="4">
        <v>0.85</v>
      </c>
      <c r="AC3308" s="6">
        <v>5.14</v>
      </c>
      <c r="AD3308" s="6">
        <v>10.39</v>
      </c>
      <c r="AE3308" s="1">
        <v>0</v>
      </c>
      <c r="AF3308" s="1">
        <f ca="1">IFERROR(__xludf.DUMMYFUNCTION("IFERROR(GOOGLEFINANCE(TRIM(F3308)&amp;"":"" &amp; TRIM(B3308),""high52""),AE3308)"),0)</f>
        <v>0</v>
      </c>
      <c r="AG3308" s="1">
        <v>0</v>
      </c>
      <c r="AH3308" s="1">
        <f ca="1">IFERROR(__xludf.DUMMYFUNCTION("IFERROR(GOOGLEFINANCE(TRIM(F3308)&amp;"":"" &amp; TRIM(B3308),""low52""),AE3308)"),0)</f>
        <v>0</v>
      </c>
      <c r="AI3308" s="1">
        <f ca="1">IFERROR(__xludf.DUMMYFUNCTION("IFERROR(GOOGLEFINANCE(B3308,""eps""),0)"),0)</f>
        <v>0</v>
      </c>
      <c r="AJ3308" s="1"/>
      <c r="AK3308" s="1" t="s">
        <v>10148</v>
      </c>
      <c r="AL3308" s="9">
        <f t="shared" si="315"/>
        <v>1</v>
      </c>
    </row>
    <row r="3309" spans="1:38" ht="15" x14ac:dyDescent="0.25">
      <c r="A3309" s="1" t="s">
        <v>10149</v>
      </c>
      <c r="B3309" s="1" t="s">
        <v>10150</v>
      </c>
      <c r="C3309" s="1" t="s">
        <v>268</v>
      </c>
      <c r="D3309" s="1" t="s">
        <v>268</v>
      </c>
      <c r="E3309" s="6">
        <v>159.19</v>
      </c>
      <c r="F3309" s="1" t="s">
        <v>40</v>
      </c>
      <c r="G3309" s="6">
        <f ca="1">IFERROR(__xludf.DUMMYFUNCTION("iferror(GOOGLEFINANCE(TRIM(F3309)&amp;"":"" &amp; TRIM(B3309), ""price""),0
)"),33.85)</f>
        <v>33.85</v>
      </c>
      <c r="H3309" s="6">
        <v>38.6</v>
      </c>
      <c r="I3309" s="6">
        <f t="shared" ca="1" si="0"/>
        <v>33.85</v>
      </c>
      <c r="J3309" s="6">
        <f ca="1">IFERROR(__xludf.DUMMYFUNCTION("IFERROR(GOOGLEFINANCE(B3309, ""volume""), 0)"),17660)</f>
        <v>17660</v>
      </c>
      <c r="K3309" s="6">
        <v>-1.03</v>
      </c>
      <c r="L3309" s="6">
        <f ca="1">IFERROR(__xludf.DUMMYFUNCTION("IFERROR(GOOGLEFINANCE(B3309,""changepct""),K3309)"),1.2)</f>
        <v>1.2</v>
      </c>
      <c r="M3309" s="6">
        <f ca="1">IFERROR(__xludf.DUMMYFUNCTION("IFERROR(GOOGLEFINANCE(B3309,""change""),0)"),0.4)</f>
        <v>0.4</v>
      </c>
      <c r="N3309" s="6">
        <v>2</v>
      </c>
      <c r="O3309" s="7">
        <v>45536</v>
      </c>
      <c r="P3309" s="6">
        <v>98.4</v>
      </c>
      <c r="Q3309" s="6">
        <v>257.58999999999997</v>
      </c>
      <c r="R3309" s="7">
        <v>45536</v>
      </c>
      <c r="S3309" s="6">
        <v>77.52</v>
      </c>
      <c r="T3309" s="6">
        <v>-2.83</v>
      </c>
      <c r="U3309" s="7">
        <v>45536</v>
      </c>
      <c r="V3309" s="6">
        <v>0</v>
      </c>
      <c r="W3309" s="6">
        <f ca="1">IFERROR(__xludf.DUMMYFUNCTION("IFERROR(GOOGLEFINANCE(B3309,""pe""),V3309)"),12.94)</f>
        <v>12.94</v>
      </c>
      <c r="X3309" s="6">
        <v>0</v>
      </c>
      <c r="Y3309" s="6">
        <v>63.9</v>
      </c>
      <c r="Z3309" s="6">
        <v>2</v>
      </c>
      <c r="AA3309" s="8">
        <v>45352</v>
      </c>
      <c r="AB3309" s="4">
        <v>18.809999999999999</v>
      </c>
      <c r="AC3309" s="6">
        <v>-15.52</v>
      </c>
      <c r="AD3309" s="6">
        <v>0.24</v>
      </c>
      <c r="AE3309" s="1">
        <v>0</v>
      </c>
      <c r="AF3309" s="1">
        <f ca="1">IFERROR(__xludf.DUMMYFUNCTION("IFERROR(GOOGLEFINANCE(TRIM(F3309)&amp;"":"" &amp; TRIM(B3309),""high52""),AE3309)"),43.44)</f>
        <v>43.44</v>
      </c>
      <c r="AG3309" s="1">
        <v>0</v>
      </c>
      <c r="AH3309" s="1">
        <f ca="1">IFERROR(__xludf.DUMMYFUNCTION("IFERROR(GOOGLEFINANCE(TRIM(F3309)&amp;"":"" &amp; TRIM(B3309),""low52""),AE3309)"),24.16)</f>
        <v>24.16</v>
      </c>
      <c r="AI3309" s="1">
        <f ca="1">IFERROR(__xludf.DUMMYFUNCTION("IFERROR(GOOGLEFINANCE(B3309,""eps""),0)"),2.62)</f>
        <v>2.62</v>
      </c>
      <c r="AJ3309" s="1"/>
      <c r="AK3309" s="1" t="s">
        <v>10151</v>
      </c>
      <c r="AL3309" s="9">
        <f t="shared" si="315"/>
        <v>1</v>
      </c>
    </row>
    <row r="3310" spans="1:38" ht="15" x14ac:dyDescent="0.25">
      <c r="A3310" s="1" t="s">
        <v>10152</v>
      </c>
      <c r="B3310" s="1" t="s">
        <v>10153</v>
      </c>
      <c r="C3310" s="1" t="s">
        <v>355</v>
      </c>
      <c r="D3310" s="1" t="s">
        <v>355</v>
      </c>
      <c r="E3310" s="6">
        <v>112475.2</v>
      </c>
      <c r="F3310" s="1" t="s">
        <v>40</v>
      </c>
      <c r="G3310" s="6">
        <f ca="1">IFERROR(__xludf.DUMMYFUNCTION("iferror(GOOGLEFINANCE(TRIM(F3310)&amp;"":"" &amp; TRIM(B3310), ""price""),0
)"),114.23)</f>
        <v>114.23</v>
      </c>
      <c r="H3310" s="6">
        <v>160.85</v>
      </c>
      <c r="I3310" s="6">
        <f t="shared" ca="1" si="0"/>
        <v>114.23</v>
      </c>
      <c r="J3310" s="6">
        <f ca="1">IFERROR(__xludf.DUMMYFUNCTION("IFERROR(GOOGLEFINANCE(B3310, ""volume""), 0)"),10374677)</f>
        <v>10374677</v>
      </c>
      <c r="K3310" s="6">
        <v>0.68</v>
      </c>
      <c r="L3310" s="6">
        <f ca="1">IFERROR(__xludf.DUMMYFUNCTION("IFERROR(GOOGLEFINANCE(B3310,""changepct""),K3310)"),2.1)</f>
        <v>2.1</v>
      </c>
      <c r="M3310" s="6">
        <f ca="1">IFERROR(__xludf.DUMMYFUNCTION("IFERROR(GOOGLEFINANCE(B3310,""change""),0)"),2.35)</f>
        <v>2.35</v>
      </c>
      <c r="N3310" s="6">
        <v>2</v>
      </c>
      <c r="O3310" s="7">
        <v>45536</v>
      </c>
      <c r="P3310" s="6">
        <v>22818.91</v>
      </c>
      <c r="Q3310" s="6">
        <v>122957.1</v>
      </c>
      <c r="R3310" s="7">
        <v>45536</v>
      </c>
      <c r="S3310" s="6">
        <v>109435.6</v>
      </c>
      <c r="T3310" s="6">
        <v>3690.38</v>
      </c>
      <c r="U3310" s="7">
        <v>45536</v>
      </c>
      <c r="V3310" s="6">
        <v>29.69</v>
      </c>
      <c r="W3310" s="6">
        <f ca="1">IFERROR(__xludf.DUMMYFUNCTION("IFERROR(GOOGLEFINANCE(B3310,""pe""),V3310)"),38.23)</f>
        <v>38.229999999999997</v>
      </c>
      <c r="X3310" s="6">
        <v>2.37</v>
      </c>
      <c r="Y3310" s="6">
        <v>3.45</v>
      </c>
      <c r="Z3310" s="6">
        <v>2</v>
      </c>
      <c r="AA3310" s="8">
        <v>45352</v>
      </c>
      <c r="AB3310" s="4">
        <v>0.66</v>
      </c>
      <c r="AC3310" s="6">
        <v>12.42</v>
      </c>
      <c r="AD3310" s="6">
        <v>14.47</v>
      </c>
      <c r="AE3310" s="1">
        <v>0</v>
      </c>
      <c r="AF3310" s="1">
        <f ca="1">IFERROR(__xludf.DUMMYFUNCTION("IFERROR(GOOGLEFINANCE(TRIM(F3310)&amp;"":"" &amp; TRIM(B3310),""high52""),AE3310)"),124.71)</f>
        <v>124.71</v>
      </c>
      <c r="AG3310" s="1">
        <v>0</v>
      </c>
      <c r="AH3310" s="1">
        <f ca="1">IFERROR(__xludf.DUMMYFUNCTION("IFERROR(GOOGLEFINANCE(TRIM(F3310)&amp;"":"" &amp; TRIM(B3310),""low52""),AE3310)"),71.5)</f>
        <v>71.5</v>
      </c>
      <c r="AI3310" s="1">
        <f ca="1">IFERROR(__xludf.DUMMYFUNCTION("IFERROR(GOOGLEFINANCE(B3310,""eps""),0)"),2.99)</f>
        <v>2.99</v>
      </c>
      <c r="AJ3310" s="1"/>
      <c r="AK3310" s="1" t="s">
        <v>10154</v>
      </c>
      <c r="AL3310" s="1" t="b">
        <f>ISNUMBER(AA3310)</f>
        <v>1</v>
      </c>
    </row>
    <row r="3311" spans="1:38" ht="15" x14ac:dyDescent="0.25">
      <c r="A3311" s="1" t="s">
        <v>10155</v>
      </c>
      <c r="B3311" s="1" t="s">
        <v>10156</v>
      </c>
      <c r="C3311" s="1" t="s">
        <v>82</v>
      </c>
      <c r="D3311" s="1" t="s">
        <v>82</v>
      </c>
      <c r="E3311" s="6">
        <v>4.22</v>
      </c>
      <c r="F3311" s="1" t="s">
        <v>53</v>
      </c>
      <c r="G3311" s="6">
        <f ca="1">IFERROR(__xludf.DUMMYFUNCTION("iferror(GOOGLEFINANCE(TRIM(F3311)&amp;"":"" &amp; TRIM(B3311), ""price""),0
)"),0)</f>
        <v>0</v>
      </c>
      <c r="H3311" s="6">
        <v>9.57</v>
      </c>
      <c r="I3311" s="6">
        <f t="shared" ca="1" si="0"/>
        <v>9.57</v>
      </c>
      <c r="J3311" s="6">
        <f ca="1">IFERROR(__xludf.DUMMYFUNCTION("IFERROR(GOOGLEFINANCE(B3311, ""volume""), 0)"),0)</f>
        <v>0</v>
      </c>
      <c r="K3311" s="6">
        <v>4.93</v>
      </c>
      <c r="L3311" s="6">
        <f ca="1">IFERROR(__xludf.DUMMYFUNCTION("IFERROR(GOOGLEFINANCE(B3311,""changepct""),K3311)"),4.93)</f>
        <v>4.93</v>
      </c>
      <c r="M3311" s="6">
        <f ca="1">IFERROR(__xludf.DUMMYFUNCTION("IFERROR(GOOGLEFINANCE(B3311,""change""),0)"),0)</f>
        <v>0</v>
      </c>
      <c r="N3311" s="6">
        <v>2</v>
      </c>
      <c r="O3311" s="7">
        <v>45536</v>
      </c>
      <c r="P3311" s="6">
        <v>0.1</v>
      </c>
      <c r="Q3311" s="6">
        <v>4.32</v>
      </c>
      <c r="R3311" s="7">
        <v>45536</v>
      </c>
      <c r="S3311" s="6">
        <v>0</v>
      </c>
      <c r="T3311" s="6">
        <v>-0.42</v>
      </c>
      <c r="U3311" s="7">
        <v>45536</v>
      </c>
      <c r="V3311" s="6">
        <v>0</v>
      </c>
      <c r="W3311" s="6">
        <f ca="1">IFERROR(__xludf.DUMMYFUNCTION("IFERROR(GOOGLEFINANCE(B3311,""pe""),V3311)"),0)</f>
        <v>0</v>
      </c>
      <c r="X3311" s="9"/>
      <c r="Y3311" s="6">
        <v>0.51</v>
      </c>
      <c r="Z3311" s="6">
        <v>2</v>
      </c>
      <c r="AA3311" s="8">
        <v>45352</v>
      </c>
      <c r="AB3311" s="4">
        <v>0.01</v>
      </c>
      <c r="AC3311" s="6">
        <v>-6.74</v>
      </c>
      <c r="AD3311" s="6">
        <v>-6.3</v>
      </c>
      <c r="AE3311" s="1">
        <v>0</v>
      </c>
      <c r="AF3311" s="1">
        <f ca="1">IFERROR(__xludf.DUMMYFUNCTION("IFERROR(GOOGLEFINANCE(TRIM(F3311)&amp;"":"" &amp; TRIM(B3311),""high52""),AE3311)"),0)</f>
        <v>0</v>
      </c>
      <c r="AG3311" s="1">
        <v>0</v>
      </c>
      <c r="AH3311" s="1">
        <f ca="1">IFERROR(__xludf.DUMMYFUNCTION("IFERROR(GOOGLEFINANCE(TRIM(F3311)&amp;"":"" &amp; TRIM(B3311),""low52""),AE3311)"),0)</f>
        <v>0</v>
      </c>
      <c r="AI3311" s="1">
        <f ca="1">IFERROR(__xludf.DUMMYFUNCTION("IFERROR(GOOGLEFINANCE(B3311,""eps""),0)"),0)</f>
        <v>0</v>
      </c>
      <c r="AJ3311" s="1"/>
      <c r="AK3311" s="1" t="s">
        <v>10157</v>
      </c>
      <c r="AL3311" s="9">
        <f t="shared" ref="AL3311:AL3315" si="316">IF(AA3311&lt;&gt;AB3311,1,0)</f>
        <v>1</v>
      </c>
    </row>
    <row r="3312" spans="1:38" ht="15" x14ac:dyDescent="0.25">
      <c r="A3312" s="1" t="s">
        <v>10158</v>
      </c>
      <c r="B3312" s="1" t="s">
        <v>10159</v>
      </c>
      <c r="C3312" s="1" t="s">
        <v>706</v>
      </c>
      <c r="D3312" s="1" t="s">
        <v>706</v>
      </c>
      <c r="E3312" s="6">
        <v>3201.02</v>
      </c>
      <c r="F3312" s="1" t="s">
        <v>40</v>
      </c>
      <c r="G3312" s="6">
        <f ca="1">IFERROR(__xludf.DUMMYFUNCTION("iferror(GOOGLEFINANCE(TRIM(F3312)&amp;"":"" &amp; TRIM(B3312), ""price""),0
)"),448)</f>
        <v>448</v>
      </c>
      <c r="H3312" s="6">
        <v>378.4</v>
      </c>
      <c r="I3312" s="6">
        <f t="shared" ca="1" si="0"/>
        <v>448</v>
      </c>
      <c r="J3312" s="6">
        <f ca="1">IFERROR(__xludf.DUMMYFUNCTION("IFERROR(GOOGLEFINANCE(B3312, ""volume""), 0)"),10979)</f>
        <v>10979</v>
      </c>
      <c r="K3312" s="6">
        <v>-0.36</v>
      </c>
      <c r="L3312" s="6">
        <f ca="1">IFERROR(__xludf.DUMMYFUNCTION("IFERROR(GOOGLEFINANCE(B3312,""changepct""),K3312)"),1.39)</f>
        <v>1.39</v>
      </c>
      <c r="M3312" s="6">
        <f ca="1">IFERROR(__xludf.DUMMYFUNCTION("IFERROR(GOOGLEFINANCE(B3312,""change""),0)"),6.15)</f>
        <v>6.15</v>
      </c>
      <c r="N3312" s="6">
        <v>1</v>
      </c>
      <c r="O3312" s="7">
        <v>45352</v>
      </c>
      <c r="P3312" s="6">
        <v>379.88</v>
      </c>
      <c r="Q3312" s="6">
        <v>3479.5</v>
      </c>
      <c r="R3312" s="14"/>
      <c r="S3312" s="9"/>
      <c r="T3312" s="9"/>
      <c r="U3312" s="7">
        <v>45352</v>
      </c>
      <c r="V3312" s="6">
        <v>22.65</v>
      </c>
      <c r="W3312" s="6">
        <f ca="1">IFERROR(__xludf.DUMMYFUNCTION("IFERROR(GOOGLEFINANCE(B3312,""pe""),V3312)"),26.32)</f>
        <v>26.32</v>
      </c>
      <c r="X3312" s="9"/>
      <c r="Y3312" s="6">
        <v>1.75</v>
      </c>
      <c r="Z3312" s="6">
        <v>2</v>
      </c>
      <c r="AA3312" s="8">
        <v>45352</v>
      </c>
      <c r="AB3312" s="4">
        <v>0.3</v>
      </c>
      <c r="AC3312" s="6">
        <v>11.1</v>
      </c>
      <c r="AD3312" s="6">
        <v>13.74</v>
      </c>
      <c r="AE3312" s="1">
        <v>0</v>
      </c>
      <c r="AF3312" s="1">
        <f ca="1">IFERROR(__xludf.DUMMYFUNCTION("IFERROR(GOOGLEFINANCE(TRIM(F3312)&amp;"":"" &amp; TRIM(B3312),""high52""),AE3312)"),560.2)</f>
        <v>560.20000000000005</v>
      </c>
      <c r="AG3312" s="1">
        <v>0</v>
      </c>
      <c r="AH3312" s="1">
        <f ca="1">IFERROR(__xludf.DUMMYFUNCTION("IFERROR(GOOGLEFINANCE(TRIM(F3312)&amp;"":"" &amp; TRIM(B3312),""low52""),AE3312)"),286.95)</f>
        <v>286.95</v>
      </c>
      <c r="AI3312" s="1">
        <f ca="1">IFERROR(__xludf.DUMMYFUNCTION("IFERROR(GOOGLEFINANCE(B3312,""eps""),0)"),17.02)</f>
        <v>17.02</v>
      </c>
      <c r="AJ3312" s="1"/>
      <c r="AK3312" s="1" t="s">
        <v>10160</v>
      </c>
      <c r="AL3312" s="9">
        <f t="shared" si="316"/>
        <v>1</v>
      </c>
    </row>
    <row r="3313" spans="1:38" ht="15" x14ac:dyDescent="0.25">
      <c r="A3313" s="1" t="s">
        <v>10161</v>
      </c>
      <c r="B3313" s="1" t="s">
        <v>10162</v>
      </c>
      <c r="C3313" s="1" t="s">
        <v>82</v>
      </c>
      <c r="D3313" s="1" t="s">
        <v>82</v>
      </c>
      <c r="E3313" s="6">
        <v>54.25</v>
      </c>
      <c r="F3313" s="1" t="s">
        <v>53</v>
      </c>
      <c r="G3313" s="6">
        <f ca="1">IFERROR(__xludf.DUMMYFUNCTION("iferror(GOOGLEFINANCE(TRIM(F3313)&amp;"":"" &amp; TRIM(B3313), ""price""),0
)"),0)</f>
        <v>0</v>
      </c>
      <c r="H3313" s="6">
        <v>59.15</v>
      </c>
      <c r="I3313" s="6">
        <f t="shared" ca="1" si="0"/>
        <v>59.15</v>
      </c>
      <c r="J3313" s="6">
        <f ca="1">IFERROR(__xludf.DUMMYFUNCTION("IFERROR(GOOGLEFINANCE(B3313, ""volume""), 0)"),0)</f>
        <v>0</v>
      </c>
      <c r="K3313" s="6">
        <v>-8.7100000000000009</v>
      </c>
      <c r="L3313" s="6">
        <f ca="1">IFERROR(__xludf.DUMMYFUNCTION("IFERROR(GOOGLEFINANCE(B3313,""changepct""),K3313)"),-8.71)</f>
        <v>-8.7100000000000009</v>
      </c>
      <c r="M3313" s="6">
        <f ca="1">IFERROR(__xludf.DUMMYFUNCTION("IFERROR(GOOGLEFINANCE(B3313,""change""),0)"),0)</f>
        <v>0</v>
      </c>
      <c r="N3313" s="6">
        <v>1</v>
      </c>
      <c r="O3313" s="7">
        <v>45536</v>
      </c>
      <c r="P3313" s="6">
        <v>41.55</v>
      </c>
      <c r="Q3313" s="6">
        <v>95.8</v>
      </c>
      <c r="R3313" s="7">
        <v>45536</v>
      </c>
      <c r="S3313" s="6">
        <v>113.99</v>
      </c>
      <c r="T3313" s="6">
        <v>1.36</v>
      </c>
      <c r="U3313" s="7">
        <v>45536</v>
      </c>
      <c r="V3313" s="6">
        <v>39.92</v>
      </c>
      <c r="W3313" s="6">
        <f ca="1">IFERROR(__xludf.DUMMYFUNCTION("IFERROR(GOOGLEFINANCE(B3313,""pe""),V3313)"),39.92)</f>
        <v>39.92</v>
      </c>
      <c r="X3313" s="6">
        <v>39.14</v>
      </c>
      <c r="Y3313" s="6">
        <v>2.4900000000000002</v>
      </c>
      <c r="Z3313" s="6">
        <v>1</v>
      </c>
      <c r="AA3313" s="8">
        <v>45352</v>
      </c>
      <c r="AB3313" s="4">
        <v>1.73</v>
      </c>
      <c r="AC3313" s="6">
        <v>5.85</v>
      </c>
      <c r="AD3313" s="6">
        <v>7.44</v>
      </c>
      <c r="AE3313" s="1">
        <v>0</v>
      </c>
      <c r="AF3313" s="1">
        <f ca="1">IFERROR(__xludf.DUMMYFUNCTION("IFERROR(GOOGLEFINANCE(TRIM(F3313)&amp;"":"" &amp; TRIM(B3313),""high52""),AE3313)"),0)</f>
        <v>0</v>
      </c>
      <c r="AG3313" s="1">
        <v>0</v>
      </c>
      <c r="AH3313" s="1">
        <f ca="1">IFERROR(__xludf.DUMMYFUNCTION("IFERROR(GOOGLEFINANCE(TRIM(F3313)&amp;"":"" &amp; TRIM(B3313),""low52""),AE3313)"),0)</f>
        <v>0</v>
      </c>
      <c r="AI3313" s="1">
        <f ca="1">IFERROR(__xludf.DUMMYFUNCTION("IFERROR(GOOGLEFINANCE(B3313,""eps""),0)"),0)</f>
        <v>0</v>
      </c>
      <c r="AJ3313" s="1"/>
      <c r="AK3313" s="1" t="s">
        <v>10163</v>
      </c>
      <c r="AL3313" s="9">
        <f t="shared" si="316"/>
        <v>1</v>
      </c>
    </row>
    <row r="3314" spans="1:38" ht="15" x14ac:dyDescent="0.25">
      <c r="A3314" s="1" t="s">
        <v>10164</v>
      </c>
      <c r="B3314" s="1" t="s">
        <v>10165</v>
      </c>
      <c r="C3314" s="1" t="s">
        <v>82</v>
      </c>
      <c r="D3314" s="1" t="s">
        <v>82</v>
      </c>
      <c r="E3314" s="6">
        <v>32.31</v>
      </c>
      <c r="F3314" s="1" t="s">
        <v>53</v>
      </c>
      <c r="G3314" s="6">
        <f ca="1">IFERROR(__xludf.DUMMYFUNCTION("iferror(GOOGLEFINANCE(TRIM(F3314)&amp;"":"" &amp; TRIM(B3314), ""price""),0
)"),0)</f>
        <v>0</v>
      </c>
      <c r="H3314" s="6">
        <v>6.15</v>
      </c>
      <c r="I3314" s="6">
        <f t="shared" ca="1" si="0"/>
        <v>6.15</v>
      </c>
      <c r="J3314" s="6">
        <f ca="1">IFERROR(__xludf.DUMMYFUNCTION("IFERROR(GOOGLEFINANCE(B3314, ""volume""), 0)"),0)</f>
        <v>0</v>
      </c>
      <c r="K3314" s="6">
        <v>0.16</v>
      </c>
      <c r="L3314" s="6">
        <f ca="1">IFERROR(__xludf.DUMMYFUNCTION("IFERROR(GOOGLEFINANCE(B3314,""changepct""),K3314)"),0.16)</f>
        <v>0.16</v>
      </c>
      <c r="M3314" s="6">
        <f ca="1">IFERROR(__xludf.DUMMYFUNCTION("IFERROR(GOOGLEFINANCE(B3314,""change""),0)"),0)</f>
        <v>0</v>
      </c>
      <c r="N3314" s="6">
        <v>2</v>
      </c>
      <c r="O3314" s="7">
        <v>45536</v>
      </c>
      <c r="P3314" s="6">
        <v>13.74</v>
      </c>
      <c r="Q3314" s="6">
        <v>45.1</v>
      </c>
      <c r="R3314" s="7">
        <v>45536</v>
      </c>
      <c r="S3314" s="6">
        <v>21.35</v>
      </c>
      <c r="T3314" s="6">
        <v>0.57999999999999996</v>
      </c>
      <c r="U3314" s="7">
        <v>45536</v>
      </c>
      <c r="V3314" s="6">
        <v>95.31</v>
      </c>
      <c r="W3314" s="6">
        <f ca="1">IFERROR(__xludf.DUMMYFUNCTION("IFERROR(GOOGLEFINANCE(B3314,""pe""),V3314)"),95.31)</f>
        <v>95.31</v>
      </c>
      <c r="X3314" s="6">
        <v>-11.47</v>
      </c>
      <c r="Y3314" s="6">
        <v>4.42</v>
      </c>
      <c r="Z3314" s="6">
        <v>2</v>
      </c>
      <c r="AA3314" s="8">
        <v>45352</v>
      </c>
      <c r="AB3314" s="4">
        <v>1.69</v>
      </c>
      <c r="AC3314" s="6">
        <v>7.84</v>
      </c>
      <c r="AD3314" s="6">
        <v>12.21</v>
      </c>
      <c r="AE3314" s="1">
        <v>0</v>
      </c>
      <c r="AF3314" s="1">
        <f ca="1">IFERROR(__xludf.DUMMYFUNCTION("IFERROR(GOOGLEFINANCE(TRIM(F3314)&amp;"":"" &amp; TRIM(B3314),""high52""),AE3314)"),0)</f>
        <v>0</v>
      </c>
      <c r="AG3314" s="1">
        <v>0</v>
      </c>
      <c r="AH3314" s="1">
        <f ca="1">IFERROR(__xludf.DUMMYFUNCTION("IFERROR(GOOGLEFINANCE(TRIM(F3314)&amp;"":"" &amp; TRIM(B3314),""low52""),AE3314)"),0)</f>
        <v>0</v>
      </c>
      <c r="AI3314" s="1">
        <f ca="1">IFERROR(__xludf.DUMMYFUNCTION("IFERROR(GOOGLEFINANCE(B3314,""eps""),0)"),0)</f>
        <v>0</v>
      </c>
      <c r="AJ3314" s="1"/>
      <c r="AK3314" s="1" t="s">
        <v>10166</v>
      </c>
      <c r="AL3314" s="9">
        <f t="shared" si="316"/>
        <v>1</v>
      </c>
    </row>
    <row r="3315" spans="1:38" ht="15" x14ac:dyDescent="0.25">
      <c r="A3315" s="1" t="s">
        <v>10167</v>
      </c>
      <c r="B3315" s="1" t="s">
        <v>10168</v>
      </c>
      <c r="C3315" s="1" t="s">
        <v>82</v>
      </c>
      <c r="D3315" s="1" t="s">
        <v>82</v>
      </c>
      <c r="E3315" s="6">
        <v>6.28</v>
      </c>
      <c r="F3315" s="1" t="s">
        <v>40</v>
      </c>
      <c r="G3315" s="6">
        <f ca="1">IFERROR(__xludf.DUMMYFUNCTION("iferror(GOOGLEFINANCE(TRIM(F3315)&amp;"":"" &amp; TRIM(B3315), ""price""),0
)"),2.87)</f>
        <v>2.87</v>
      </c>
      <c r="H3315" s="6">
        <v>4.84</v>
      </c>
      <c r="I3315" s="6">
        <f t="shared" ca="1" si="0"/>
        <v>2.87</v>
      </c>
      <c r="J3315" s="6">
        <f ca="1">IFERROR(__xludf.DUMMYFUNCTION("IFERROR(GOOGLEFINANCE(B3315, ""volume""), 0)"),380)</f>
        <v>380</v>
      </c>
      <c r="K3315" s="6">
        <v>0.83</v>
      </c>
      <c r="L3315" s="6">
        <f ca="1">IFERROR(__xludf.DUMMYFUNCTION("IFERROR(GOOGLEFINANCE(B3315,""changepct""),K3315)"),-1.71)</f>
        <v>-1.71</v>
      </c>
      <c r="M3315" s="6">
        <f ca="1">IFERROR(__xludf.DUMMYFUNCTION("IFERROR(GOOGLEFINANCE(B3315,""change""),0)"),-0.05)</f>
        <v>-0.05</v>
      </c>
      <c r="N3315" s="6">
        <v>1</v>
      </c>
      <c r="O3315" s="7">
        <v>45536</v>
      </c>
      <c r="P3315" s="6">
        <v>56.1</v>
      </c>
      <c r="Q3315" s="6">
        <v>62.38</v>
      </c>
      <c r="R3315" s="7">
        <v>44621</v>
      </c>
      <c r="S3315" s="6">
        <v>0</v>
      </c>
      <c r="T3315" s="6">
        <v>-0.84</v>
      </c>
      <c r="U3315" s="7">
        <v>44621</v>
      </c>
      <c r="V3315" s="6">
        <v>0</v>
      </c>
      <c r="W3315" s="6">
        <f ca="1">IFERROR(__xludf.DUMMYFUNCTION("IFERROR(GOOGLEFINANCE(B3315,""pe""),V3315)"),0)</f>
        <v>0</v>
      </c>
      <c r="X3315" s="12"/>
      <c r="Y3315" s="6">
        <v>0.44</v>
      </c>
      <c r="Z3315" s="6">
        <v>1</v>
      </c>
      <c r="AA3315" s="8">
        <v>44256</v>
      </c>
      <c r="AB3315" s="4">
        <v>4.18</v>
      </c>
      <c r="AC3315" s="6">
        <v>-94.85</v>
      </c>
      <c r="AD3315" s="6">
        <v>-28.07</v>
      </c>
      <c r="AE3315" s="1">
        <v>0</v>
      </c>
      <c r="AF3315" s="1">
        <f ca="1">IFERROR(__xludf.DUMMYFUNCTION("IFERROR(GOOGLEFINANCE(TRIM(F3315)&amp;"":"" &amp; TRIM(B3315),""high52""),AE3315)"),4.22)</f>
        <v>4.22</v>
      </c>
      <c r="AG3315" s="1">
        <v>0</v>
      </c>
      <c r="AH3315" s="1">
        <f ca="1">IFERROR(__xludf.DUMMYFUNCTION("IFERROR(GOOGLEFINANCE(TRIM(F3315)&amp;"":"" &amp; TRIM(B3315),""low52""),AE3315)"),1.66)</f>
        <v>1.66</v>
      </c>
      <c r="AI3315" s="1">
        <f ca="1">IFERROR(__xludf.DUMMYFUNCTION("IFERROR(GOOGLEFINANCE(B3315,""eps""),0)"),-0.27)</f>
        <v>-0.27</v>
      </c>
      <c r="AJ3315" s="1"/>
      <c r="AK3315" s="1" t="s">
        <v>10169</v>
      </c>
      <c r="AL3315" s="9">
        <f t="shared" si="316"/>
        <v>1</v>
      </c>
    </row>
    <row r="3316" spans="1:38" ht="15" x14ac:dyDescent="0.25">
      <c r="A3316" s="1" t="s">
        <v>10170</v>
      </c>
      <c r="B3316" s="1" t="s">
        <v>10171</v>
      </c>
      <c r="C3316" s="1" t="s">
        <v>355</v>
      </c>
      <c r="D3316" s="1" t="s">
        <v>355</v>
      </c>
      <c r="E3316" s="6">
        <v>3155.5</v>
      </c>
      <c r="F3316" s="1" t="s">
        <v>40</v>
      </c>
      <c r="G3316" s="6">
        <f ca="1">IFERROR(__xludf.DUMMYFUNCTION("iferror(GOOGLEFINANCE(TRIM(F3316)&amp;"":"" &amp; TRIM(B3316), ""price""),0
)"),505)</f>
        <v>505</v>
      </c>
      <c r="H3316" s="6">
        <v>515</v>
      </c>
      <c r="I3316" s="6">
        <f t="shared" ca="1" si="0"/>
        <v>505</v>
      </c>
      <c r="J3316" s="6">
        <f ca="1">IFERROR(__xludf.DUMMYFUNCTION("IFERROR(GOOGLEFINANCE(B3316, ""volume""), 0)"),89405)</f>
        <v>89405</v>
      </c>
      <c r="K3316" s="6">
        <v>-1.71</v>
      </c>
      <c r="L3316" s="6">
        <f ca="1">IFERROR(__xludf.DUMMYFUNCTION("IFERROR(GOOGLEFINANCE(B3316,""changepct""),K3316)"),2)</f>
        <v>2</v>
      </c>
      <c r="M3316" s="6">
        <f ca="1">IFERROR(__xludf.DUMMYFUNCTION("IFERROR(GOOGLEFINANCE(B3316,""change""),0)"),9.9)</f>
        <v>9.9</v>
      </c>
      <c r="N3316" s="6">
        <v>2</v>
      </c>
      <c r="O3316" s="7">
        <v>45536</v>
      </c>
      <c r="P3316" s="6">
        <v>620.22</v>
      </c>
      <c r="Q3316" s="6">
        <v>3715.41</v>
      </c>
      <c r="R3316" s="7">
        <v>45536</v>
      </c>
      <c r="S3316" s="6">
        <v>3704.09</v>
      </c>
      <c r="T3316" s="6">
        <v>124.03</v>
      </c>
      <c r="U3316" s="7">
        <v>45536</v>
      </c>
      <c r="V3316" s="6">
        <v>24.24</v>
      </c>
      <c r="W3316" s="6">
        <f ca="1">IFERROR(__xludf.DUMMYFUNCTION("IFERROR(GOOGLEFINANCE(B3316,""pe""),V3316)"),17.48)</f>
        <v>17.48</v>
      </c>
      <c r="X3316" s="6">
        <v>8.69</v>
      </c>
      <c r="Y3316" s="6">
        <v>2.95</v>
      </c>
      <c r="Z3316" s="6">
        <v>2</v>
      </c>
      <c r="AA3316" s="8">
        <v>45352</v>
      </c>
      <c r="AB3316" s="4">
        <v>0.61</v>
      </c>
      <c r="AC3316" s="6">
        <v>11.38</v>
      </c>
      <c r="AD3316" s="6">
        <v>12.98</v>
      </c>
      <c r="AE3316" s="1">
        <v>0</v>
      </c>
      <c r="AF3316" s="1">
        <f ca="1">IFERROR(__xludf.DUMMYFUNCTION("IFERROR(GOOGLEFINANCE(TRIM(F3316)&amp;"":"" &amp; TRIM(B3316),""high52""),AE3316)"),601)</f>
        <v>601</v>
      </c>
      <c r="AG3316" s="1">
        <v>0</v>
      </c>
      <c r="AH3316" s="1">
        <f ca="1">IFERROR(__xludf.DUMMYFUNCTION("IFERROR(GOOGLEFINANCE(TRIM(F3316)&amp;"":"" &amp; TRIM(B3316),""low52""),AE3316)"),315)</f>
        <v>315</v>
      </c>
      <c r="AI3316" s="1">
        <f ca="1">IFERROR(__xludf.DUMMYFUNCTION("IFERROR(GOOGLEFINANCE(B3316,""eps""),0)"),28.89)</f>
        <v>28.89</v>
      </c>
      <c r="AJ3316" s="1"/>
      <c r="AK3316" s="1" t="s">
        <v>10172</v>
      </c>
      <c r="AL3316" s="1" t="b">
        <f>ISNUMBER(AA3316)</f>
        <v>1</v>
      </c>
    </row>
    <row r="3317" spans="1:38" ht="15" x14ac:dyDescent="0.25">
      <c r="A3317" s="1" t="s">
        <v>10173</v>
      </c>
      <c r="B3317" s="1" t="s">
        <v>10174</v>
      </c>
      <c r="C3317" s="1" t="s">
        <v>82</v>
      </c>
      <c r="D3317" s="1" t="s">
        <v>82</v>
      </c>
      <c r="E3317" s="6">
        <v>636.5</v>
      </c>
      <c r="F3317" s="1" t="s">
        <v>53</v>
      </c>
      <c r="G3317" s="6">
        <f ca="1">IFERROR(__xludf.DUMMYFUNCTION("iferror(GOOGLEFINANCE(TRIM(F3317)&amp;"":"" &amp; TRIM(B3317), ""price""),0
)"),0)</f>
        <v>0</v>
      </c>
      <c r="H3317" s="6">
        <v>54.65</v>
      </c>
      <c r="I3317" s="6">
        <f t="shared" ca="1" si="0"/>
        <v>54.65</v>
      </c>
      <c r="J3317" s="6">
        <f ca="1">IFERROR(__xludf.DUMMYFUNCTION("IFERROR(GOOGLEFINANCE(B3317, ""volume""), 0)"),0)</f>
        <v>0</v>
      </c>
      <c r="K3317" s="6">
        <v>2.57</v>
      </c>
      <c r="L3317" s="6">
        <f ca="1">IFERROR(__xludf.DUMMYFUNCTION("IFERROR(GOOGLEFINANCE(B3317,""changepct""),K3317)"),2.57)</f>
        <v>2.57</v>
      </c>
      <c r="M3317" s="6">
        <f ca="1">IFERROR(__xludf.DUMMYFUNCTION("IFERROR(GOOGLEFINANCE(B3317,""change""),0)"),0)</f>
        <v>0</v>
      </c>
      <c r="N3317" s="6">
        <v>2</v>
      </c>
      <c r="O3317" s="7">
        <v>45536</v>
      </c>
      <c r="P3317" s="6">
        <v>22.72</v>
      </c>
      <c r="Q3317" s="6">
        <v>656.89</v>
      </c>
      <c r="R3317" s="7">
        <v>45536</v>
      </c>
      <c r="S3317" s="6">
        <v>245.4</v>
      </c>
      <c r="T3317" s="6">
        <v>75.760000000000005</v>
      </c>
      <c r="U3317" s="7">
        <v>45536</v>
      </c>
      <c r="V3317" s="6">
        <v>8.4</v>
      </c>
      <c r="W3317" s="6">
        <f ca="1">IFERROR(__xludf.DUMMYFUNCTION("IFERROR(GOOGLEFINANCE(B3317,""pe""),V3317)"),8.4)</f>
        <v>8.4</v>
      </c>
      <c r="X3317" s="9"/>
      <c r="Y3317" s="6">
        <v>4.09</v>
      </c>
      <c r="Z3317" s="6">
        <v>2</v>
      </c>
      <c r="AA3317" s="8">
        <v>45352</v>
      </c>
      <c r="AB3317" s="4">
        <v>0.05</v>
      </c>
      <c r="AC3317" s="6">
        <v>129.6</v>
      </c>
      <c r="AD3317" s="6">
        <v>35.049999999999997</v>
      </c>
      <c r="AE3317" s="1">
        <v>0</v>
      </c>
      <c r="AF3317" s="1">
        <f ca="1">IFERROR(__xludf.DUMMYFUNCTION("IFERROR(GOOGLEFINANCE(TRIM(F3317)&amp;"":"" &amp; TRIM(B3317),""high52""),AE3317)"),0)</f>
        <v>0</v>
      </c>
      <c r="AG3317" s="1">
        <v>0</v>
      </c>
      <c r="AH3317" s="1">
        <f ca="1">IFERROR(__xludf.DUMMYFUNCTION("IFERROR(GOOGLEFINANCE(TRIM(F3317)&amp;"":"" &amp; TRIM(B3317),""low52""),AE3317)"),0)</f>
        <v>0</v>
      </c>
      <c r="AI3317" s="1">
        <f ca="1">IFERROR(__xludf.DUMMYFUNCTION("IFERROR(GOOGLEFINANCE(B3317,""eps""),0)"),0)</f>
        <v>0</v>
      </c>
      <c r="AJ3317" s="1"/>
      <c r="AK3317" s="1" t="s">
        <v>10175</v>
      </c>
      <c r="AL3317" s="9">
        <f t="shared" ref="AL3317:AL3326" si="317">IF(AA3317&lt;&gt;AB3317,1,0)</f>
        <v>1</v>
      </c>
    </row>
    <row r="3318" spans="1:38" ht="15" x14ac:dyDescent="0.25">
      <c r="A3318" s="1" t="s">
        <v>10176</v>
      </c>
      <c r="B3318" s="1" t="s">
        <v>10177</v>
      </c>
      <c r="C3318" s="1" t="s">
        <v>82</v>
      </c>
      <c r="D3318" s="1" t="s">
        <v>82</v>
      </c>
      <c r="E3318" s="6">
        <v>140.63999999999999</v>
      </c>
      <c r="F3318" s="1" t="s">
        <v>53</v>
      </c>
      <c r="G3318" s="6">
        <f ca="1">IFERROR(__xludf.DUMMYFUNCTION("iferror(GOOGLEFINANCE(TRIM(F3318)&amp;"":"" &amp; TRIM(B3318), ""price""),0
)"),0)</f>
        <v>0</v>
      </c>
      <c r="H3318" s="6">
        <v>15.24</v>
      </c>
      <c r="I3318" s="6">
        <f t="shared" ca="1" si="0"/>
        <v>15.24</v>
      </c>
      <c r="J3318" s="6">
        <f ca="1">IFERROR(__xludf.DUMMYFUNCTION("IFERROR(GOOGLEFINANCE(B3318, ""volume""), 0)"),0)</f>
        <v>0</v>
      </c>
      <c r="K3318" s="6">
        <v>1.94</v>
      </c>
      <c r="L3318" s="6">
        <f ca="1">IFERROR(__xludf.DUMMYFUNCTION("IFERROR(GOOGLEFINANCE(B3318,""changepct""),K3318)"),1.94)</f>
        <v>1.94</v>
      </c>
      <c r="M3318" s="6">
        <f ca="1">IFERROR(__xludf.DUMMYFUNCTION("IFERROR(GOOGLEFINANCE(B3318,""change""),0)"),0)</f>
        <v>0</v>
      </c>
      <c r="N3318" s="6">
        <v>1</v>
      </c>
      <c r="O3318" s="7">
        <v>45536</v>
      </c>
      <c r="P3318" s="6">
        <v>25</v>
      </c>
      <c r="Q3318" s="6">
        <v>165.64</v>
      </c>
      <c r="R3318" s="7">
        <v>45536</v>
      </c>
      <c r="S3318" s="6">
        <v>52.75</v>
      </c>
      <c r="T3318" s="6">
        <v>0.46</v>
      </c>
      <c r="U3318" s="7">
        <v>45536</v>
      </c>
      <c r="V3318" s="6">
        <v>307.07</v>
      </c>
      <c r="W3318" s="6">
        <f ca="1">IFERROR(__xludf.DUMMYFUNCTION("IFERROR(GOOGLEFINANCE(B3318,""pe""),V3318)"),307.07)</f>
        <v>307.07</v>
      </c>
      <c r="X3318" s="6">
        <v>-7.56</v>
      </c>
      <c r="Y3318" s="6">
        <v>3.88</v>
      </c>
      <c r="Z3318" s="6">
        <v>2</v>
      </c>
      <c r="AA3318" s="8">
        <v>44986</v>
      </c>
      <c r="AB3318" s="4">
        <v>1.31</v>
      </c>
      <c r="AC3318" s="6">
        <v>4.3899999999999997</v>
      </c>
      <c r="AD3318" s="6">
        <v>11.38</v>
      </c>
      <c r="AE3318" s="1">
        <v>0</v>
      </c>
      <c r="AF3318" s="1">
        <f ca="1">IFERROR(__xludf.DUMMYFUNCTION("IFERROR(GOOGLEFINANCE(TRIM(F3318)&amp;"":"" &amp; TRIM(B3318),""high52""),AE3318)"),0)</f>
        <v>0</v>
      </c>
      <c r="AG3318" s="1">
        <v>0</v>
      </c>
      <c r="AH3318" s="1">
        <f ca="1">IFERROR(__xludf.DUMMYFUNCTION("IFERROR(GOOGLEFINANCE(TRIM(F3318)&amp;"":"" &amp; TRIM(B3318),""low52""),AE3318)"),0)</f>
        <v>0</v>
      </c>
      <c r="AI3318" s="1">
        <f ca="1">IFERROR(__xludf.DUMMYFUNCTION("IFERROR(GOOGLEFINANCE(B3318,""eps""),0)"),0)</f>
        <v>0</v>
      </c>
      <c r="AJ3318" s="1"/>
      <c r="AK3318" s="1" t="s">
        <v>10178</v>
      </c>
      <c r="AL3318" s="9">
        <f t="shared" si="317"/>
        <v>1</v>
      </c>
    </row>
    <row r="3319" spans="1:38" ht="15" x14ac:dyDescent="0.25">
      <c r="A3319" s="1" t="s">
        <v>10179</v>
      </c>
      <c r="B3319" s="1" t="s">
        <v>10180</v>
      </c>
      <c r="C3319" s="1" t="s">
        <v>82</v>
      </c>
      <c r="D3319" s="1" t="s">
        <v>82</v>
      </c>
      <c r="E3319" s="6">
        <v>8.59</v>
      </c>
      <c r="F3319" s="1" t="s">
        <v>53</v>
      </c>
      <c r="G3319" s="6">
        <f ca="1">IFERROR(__xludf.DUMMYFUNCTION("iferror(GOOGLEFINANCE(TRIM(F3319)&amp;"":"" &amp; TRIM(B3319), ""price""),0
)"),0)</f>
        <v>0</v>
      </c>
      <c r="H3319" s="6">
        <v>10.97</v>
      </c>
      <c r="I3319" s="6">
        <f t="shared" ca="1" si="0"/>
        <v>10.97</v>
      </c>
      <c r="J3319" s="6">
        <f ca="1">IFERROR(__xludf.DUMMYFUNCTION("IFERROR(GOOGLEFINANCE(B3319, ""volume""), 0)"),0)</f>
        <v>0</v>
      </c>
      <c r="K3319" s="6">
        <v>-0.54</v>
      </c>
      <c r="L3319" s="6">
        <f ca="1">IFERROR(__xludf.DUMMYFUNCTION("IFERROR(GOOGLEFINANCE(B3319,""changepct""),K3319)"),-0.54)</f>
        <v>-0.54</v>
      </c>
      <c r="M3319" s="6">
        <f ca="1">IFERROR(__xludf.DUMMYFUNCTION("IFERROR(GOOGLEFINANCE(B3319,""change""),0)"),0)</f>
        <v>0</v>
      </c>
      <c r="N3319" s="6">
        <v>1</v>
      </c>
      <c r="O3319" s="7">
        <v>45536</v>
      </c>
      <c r="P3319" s="6">
        <v>2.85</v>
      </c>
      <c r="Q3319" s="6">
        <v>11.43</v>
      </c>
      <c r="R3319" s="7">
        <v>45536</v>
      </c>
      <c r="S3319" s="6">
        <v>0</v>
      </c>
      <c r="T3319" s="6">
        <v>-0.01</v>
      </c>
      <c r="U3319" s="7">
        <v>45536</v>
      </c>
      <c r="V3319" s="6">
        <v>0</v>
      </c>
      <c r="W3319" s="6">
        <f ca="1">IFERROR(__xludf.DUMMYFUNCTION("IFERROR(GOOGLEFINANCE(B3319,""pe""),V3319)"),0)</f>
        <v>0</v>
      </c>
      <c r="X3319" s="9"/>
      <c r="Y3319" s="6">
        <v>-3.06</v>
      </c>
      <c r="Z3319" s="6">
        <v>1</v>
      </c>
      <c r="AA3319" s="8">
        <v>45352</v>
      </c>
      <c r="AB3319" s="4">
        <v>-1</v>
      </c>
      <c r="AC3319" s="6">
        <v>0</v>
      </c>
      <c r="AD3319" s="6">
        <v>-240.22</v>
      </c>
      <c r="AE3319" s="1">
        <v>0</v>
      </c>
      <c r="AF3319" s="1">
        <f ca="1">IFERROR(__xludf.DUMMYFUNCTION("IFERROR(GOOGLEFINANCE(TRIM(F3319)&amp;"":"" &amp; TRIM(B3319),""high52""),AE3319)"),0)</f>
        <v>0</v>
      </c>
      <c r="AG3319" s="1">
        <v>0</v>
      </c>
      <c r="AH3319" s="1">
        <f ca="1">IFERROR(__xludf.DUMMYFUNCTION("IFERROR(GOOGLEFINANCE(TRIM(F3319)&amp;"":"" &amp; TRIM(B3319),""low52""),AE3319)"),0)</f>
        <v>0</v>
      </c>
      <c r="AI3319" s="1">
        <f ca="1">IFERROR(__xludf.DUMMYFUNCTION("IFERROR(GOOGLEFINANCE(B3319,""eps""),0)"),0)</f>
        <v>0</v>
      </c>
      <c r="AJ3319" s="1"/>
      <c r="AK3319" s="1" t="s">
        <v>10181</v>
      </c>
      <c r="AL3319" s="9">
        <f t="shared" si="317"/>
        <v>1</v>
      </c>
    </row>
    <row r="3320" spans="1:38" ht="15" x14ac:dyDescent="0.25">
      <c r="A3320" s="1" t="s">
        <v>10182</v>
      </c>
      <c r="B3320" s="1" t="s">
        <v>10183</v>
      </c>
      <c r="C3320" s="1" t="s">
        <v>39</v>
      </c>
      <c r="D3320" s="1" t="s">
        <v>39</v>
      </c>
      <c r="E3320" s="6">
        <v>6930.23</v>
      </c>
      <c r="F3320" s="1" t="s">
        <v>40</v>
      </c>
      <c r="G3320" s="6">
        <f ca="1">IFERROR(__xludf.DUMMYFUNCTION("iferror(GOOGLEFINANCE(TRIM(F3320)&amp;"":"" &amp; TRIM(B3320), ""price""),0
)"),218.97)</f>
        <v>218.97</v>
      </c>
      <c r="H3320" s="6">
        <v>428</v>
      </c>
      <c r="I3320" s="6">
        <f t="shared" ca="1" si="0"/>
        <v>218.97</v>
      </c>
      <c r="J3320" s="6">
        <f ca="1">IFERROR(__xludf.DUMMYFUNCTION("IFERROR(GOOGLEFINANCE(B3320, ""volume""), 0)"),1497236)</f>
        <v>1497236</v>
      </c>
      <c r="K3320" s="6">
        <v>0.19</v>
      </c>
      <c r="L3320" s="6">
        <f ca="1">IFERROR(__xludf.DUMMYFUNCTION("IFERROR(GOOGLEFINANCE(B3320,""changepct""),K3320)"),2.46)</f>
        <v>2.46</v>
      </c>
      <c r="M3320" s="6">
        <f ca="1">IFERROR(__xludf.DUMMYFUNCTION("IFERROR(GOOGLEFINANCE(B3320,""change""),0)"),5.26)</f>
        <v>5.26</v>
      </c>
      <c r="N3320" s="6">
        <v>2</v>
      </c>
      <c r="O3320" s="7">
        <v>45536</v>
      </c>
      <c r="P3320" s="6">
        <v>273.2</v>
      </c>
      <c r="Q3320" s="6">
        <v>6915.5</v>
      </c>
      <c r="R3320" s="7">
        <v>45536</v>
      </c>
      <c r="S3320" s="6">
        <v>1566.71</v>
      </c>
      <c r="T3320" s="6">
        <v>351.03</v>
      </c>
      <c r="U3320" s="7">
        <v>45536</v>
      </c>
      <c r="V3320" s="6">
        <v>19.84</v>
      </c>
      <c r="W3320" s="6">
        <f ca="1">IFERROR(__xludf.DUMMYFUNCTION("IFERROR(GOOGLEFINANCE(B3320,""pe""),V3320)"),17.78)</f>
        <v>17.78</v>
      </c>
      <c r="X3320" s="6">
        <v>1.92</v>
      </c>
      <c r="Y3320" s="6">
        <v>2.99</v>
      </c>
      <c r="Z3320" s="6">
        <v>2</v>
      </c>
      <c r="AA3320" s="8">
        <v>45352</v>
      </c>
      <c r="AB3320" s="4">
        <v>0.06</v>
      </c>
      <c r="AC3320" s="6">
        <v>11.66</v>
      </c>
      <c r="AD3320" s="6">
        <v>15.59</v>
      </c>
      <c r="AE3320" s="1">
        <v>0</v>
      </c>
      <c r="AF3320" s="1">
        <f ca="1">IFERROR(__xludf.DUMMYFUNCTION("IFERROR(GOOGLEFINANCE(TRIM(F3320)&amp;"":"" &amp; TRIM(B3320),""high52""),AE3320)"),273)</f>
        <v>273</v>
      </c>
      <c r="AG3320" s="1">
        <v>0</v>
      </c>
      <c r="AH3320" s="1">
        <f ca="1">IFERROR(__xludf.DUMMYFUNCTION("IFERROR(GOOGLEFINANCE(TRIM(F3320)&amp;"":"" &amp; TRIM(B3320),""low52""),AE3320)"),112.4)</f>
        <v>112.4</v>
      </c>
      <c r="AI3320" s="1">
        <f ca="1">IFERROR(__xludf.DUMMYFUNCTION("IFERROR(GOOGLEFINANCE(B3320,""eps""),0)"),12.31)</f>
        <v>12.31</v>
      </c>
      <c r="AJ3320" s="1"/>
      <c r="AK3320" s="1" t="s">
        <v>10184</v>
      </c>
      <c r="AL3320" s="9">
        <f t="shared" si="317"/>
        <v>1</v>
      </c>
    </row>
    <row r="3321" spans="1:38" ht="15" x14ac:dyDescent="0.25">
      <c r="A3321" s="1" t="s">
        <v>10185</v>
      </c>
      <c r="B3321" s="1" t="s">
        <v>10186</v>
      </c>
      <c r="C3321" s="1" t="s">
        <v>186</v>
      </c>
      <c r="D3321" s="1" t="s">
        <v>186</v>
      </c>
      <c r="E3321" s="6">
        <v>2103.0700000000002</v>
      </c>
      <c r="F3321" s="1" t="s">
        <v>40</v>
      </c>
      <c r="G3321" s="6">
        <f ca="1">IFERROR(__xludf.DUMMYFUNCTION("iferror(GOOGLEFINANCE(TRIM(F3321)&amp;"":"" &amp; TRIM(B3321), ""price""),0
)"),444)</f>
        <v>444</v>
      </c>
      <c r="H3321" s="6">
        <v>423.8</v>
      </c>
      <c r="I3321" s="6">
        <f t="shared" ca="1" si="0"/>
        <v>444</v>
      </c>
      <c r="J3321" s="6">
        <f ca="1">IFERROR(__xludf.DUMMYFUNCTION("IFERROR(GOOGLEFINANCE(B3321, ""volume""), 0)"),12798)</f>
        <v>12798</v>
      </c>
      <c r="K3321" s="6">
        <v>1.38</v>
      </c>
      <c r="L3321" s="6">
        <f ca="1">IFERROR(__xludf.DUMMYFUNCTION("IFERROR(GOOGLEFINANCE(B3321,""changepct""),K3321)"),-1.05)</f>
        <v>-1.05</v>
      </c>
      <c r="M3321" s="6">
        <f ca="1">IFERROR(__xludf.DUMMYFUNCTION("IFERROR(GOOGLEFINANCE(B3321,""change""),0)"),-4.7)</f>
        <v>-4.7</v>
      </c>
      <c r="N3321" s="6">
        <v>2</v>
      </c>
      <c r="O3321" s="7">
        <v>45536</v>
      </c>
      <c r="P3321" s="6">
        <v>1198.8499999999999</v>
      </c>
      <c r="Q3321" s="6">
        <v>3281.91</v>
      </c>
      <c r="R3321" s="7">
        <v>45536</v>
      </c>
      <c r="S3321" s="6">
        <v>2690.88</v>
      </c>
      <c r="T3321" s="6">
        <v>37.299999999999997</v>
      </c>
      <c r="U3321" s="7">
        <v>45536</v>
      </c>
      <c r="V3321" s="6">
        <v>56.38</v>
      </c>
      <c r="W3321" s="6">
        <f ca="1">IFERROR(__xludf.DUMMYFUNCTION("IFERROR(GOOGLEFINANCE(B3321,""pe""),V3321)"),37.66)</f>
        <v>37.659999999999997</v>
      </c>
      <c r="X3321" s="6">
        <v>2</v>
      </c>
      <c r="Y3321" s="6">
        <v>2.11</v>
      </c>
      <c r="Z3321" s="6">
        <v>2</v>
      </c>
      <c r="AA3321" s="8">
        <v>45352</v>
      </c>
      <c r="AB3321" s="4">
        <v>1.08</v>
      </c>
      <c r="AC3321" s="6">
        <v>4.43</v>
      </c>
      <c r="AD3321" s="6">
        <v>6.65</v>
      </c>
      <c r="AE3321" s="1">
        <v>0</v>
      </c>
      <c r="AF3321" s="1">
        <f ca="1">IFERROR(__xludf.DUMMYFUNCTION("IFERROR(GOOGLEFINANCE(TRIM(F3321)&amp;"":"" &amp; TRIM(B3321),""high52""),AE3321)"),513)</f>
        <v>513</v>
      </c>
      <c r="AG3321" s="1">
        <v>0</v>
      </c>
      <c r="AH3321" s="1">
        <f ca="1">IFERROR(__xludf.DUMMYFUNCTION("IFERROR(GOOGLEFINANCE(TRIM(F3321)&amp;"":"" &amp; TRIM(B3321),""low52""),AE3321)"),293.15)</f>
        <v>293.14999999999998</v>
      </c>
      <c r="AI3321" s="1">
        <f ca="1">IFERROR(__xludf.DUMMYFUNCTION("IFERROR(GOOGLEFINANCE(B3321,""eps""),0)"),11.79)</f>
        <v>11.79</v>
      </c>
      <c r="AJ3321" s="1"/>
      <c r="AK3321" s="1" t="s">
        <v>10187</v>
      </c>
      <c r="AL3321" s="9">
        <f t="shared" si="317"/>
        <v>1</v>
      </c>
    </row>
    <row r="3322" spans="1:38" ht="15" x14ac:dyDescent="0.25">
      <c r="A3322" s="1" t="s">
        <v>10188</v>
      </c>
      <c r="B3322" s="1" t="s">
        <v>10189</v>
      </c>
      <c r="C3322" s="1" t="s">
        <v>82</v>
      </c>
      <c r="D3322" s="1" t="s">
        <v>82</v>
      </c>
      <c r="E3322" s="6">
        <v>23.96</v>
      </c>
      <c r="F3322" s="1" t="s">
        <v>53</v>
      </c>
      <c r="G3322" s="6">
        <f ca="1">IFERROR(__xludf.DUMMYFUNCTION("iferror(GOOGLEFINANCE(TRIM(F3322)&amp;"":"" &amp; TRIM(B3322), ""price""),0
)"),0)</f>
        <v>0</v>
      </c>
      <c r="H3322" s="6">
        <v>35.39</v>
      </c>
      <c r="I3322" s="6">
        <f t="shared" ca="1" si="0"/>
        <v>35.39</v>
      </c>
      <c r="J3322" s="6">
        <f ca="1">IFERROR(__xludf.DUMMYFUNCTION("IFERROR(GOOGLEFINANCE(B3322, ""volume""), 0)"),0)</f>
        <v>0</v>
      </c>
      <c r="K3322" s="6">
        <v>1.78</v>
      </c>
      <c r="L3322" s="6">
        <f ca="1">IFERROR(__xludf.DUMMYFUNCTION("IFERROR(GOOGLEFINANCE(B3322,""changepct""),K3322)"),1.78)</f>
        <v>1.78</v>
      </c>
      <c r="M3322" s="6">
        <f ca="1">IFERROR(__xludf.DUMMYFUNCTION("IFERROR(GOOGLEFINANCE(B3322,""change""),0)"),0)</f>
        <v>0</v>
      </c>
      <c r="N3322" s="6">
        <v>1</v>
      </c>
      <c r="O3322" s="7">
        <v>45536</v>
      </c>
      <c r="P3322" s="9"/>
      <c r="Q3322" s="6">
        <v>16.71</v>
      </c>
      <c r="R3322" s="7">
        <v>45536</v>
      </c>
      <c r="S3322" s="6">
        <v>13.12</v>
      </c>
      <c r="T3322" s="6">
        <v>1.27</v>
      </c>
      <c r="U3322" s="7">
        <v>45536</v>
      </c>
      <c r="V3322" s="6">
        <v>18.79</v>
      </c>
      <c r="W3322" s="6">
        <f ca="1">IFERROR(__xludf.DUMMYFUNCTION("IFERROR(GOOGLEFINANCE(B3322,""pe""),V3322)"),18.79)</f>
        <v>18.79</v>
      </c>
      <c r="X3322" s="6">
        <v>1.1499999999999999</v>
      </c>
      <c r="Y3322" s="6">
        <v>2.2000000000000002</v>
      </c>
      <c r="Z3322" s="6">
        <v>1</v>
      </c>
      <c r="AA3322" s="8">
        <v>45352</v>
      </c>
      <c r="AB3322" s="4">
        <v>0</v>
      </c>
      <c r="AC3322" s="6">
        <v>11.39</v>
      </c>
      <c r="AD3322" s="6">
        <v>18.34</v>
      </c>
      <c r="AE3322" s="1">
        <v>0</v>
      </c>
      <c r="AF3322" s="1">
        <f ca="1">IFERROR(__xludf.DUMMYFUNCTION("IFERROR(GOOGLEFINANCE(TRIM(F3322)&amp;"":"" &amp; TRIM(B3322),""high52""),AE3322)"),0)</f>
        <v>0</v>
      </c>
      <c r="AG3322" s="1">
        <v>0</v>
      </c>
      <c r="AH3322" s="1">
        <f ca="1">IFERROR(__xludf.DUMMYFUNCTION("IFERROR(GOOGLEFINANCE(TRIM(F3322)&amp;"":"" &amp; TRIM(B3322),""low52""),AE3322)"),0)</f>
        <v>0</v>
      </c>
      <c r="AI3322" s="1">
        <f ca="1">IFERROR(__xludf.DUMMYFUNCTION("IFERROR(GOOGLEFINANCE(B3322,""eps""),0)"),0)</f>
        <v>0</v>
      </c>
      <c r="AJ3322" s="1"/>
      <c r="AK3322" s="1" t="s">
        <v>10190</v>
      </c>
      <c r="AL3322" s="9">
        <f t="shared" si="317"/>
        <v>1</v>
      </c>
    </row>
    <row r="3323" spans="1:38" ht="15" x14ac:dyDescent="0.25">
      <c r="A3323" s="1" t="s">
        <v>10191</v>
      </c>
      <c r="B3323" s="1" t="s">
        <v>10192</v>
      </c>
      <c r="C3323" s="1" t="s">
        <v>82</v>
      </c>
      <c r="D3323" s="1" t="s">
        <v>82</v>
      </c>
      <c r="E3323" s="6">
        <v>12.8</v>
      </c>
      <c r="F3323" s="1" t="s">
        <v>53</v>
      </c>
      <c r="G3323" s="6">
        <f ca="1">IFERROR(__xludf.DUMMYFUNCTION("iferror(GOOGLEFINANCE(TRIM(F3323)&amp;"":"" &amp; TRIM(B3323), ""price""),0
)"),0)</f>
        <v>0</v>
      </c>
      <c r="H3323" s="6">
        <v>14.6</v>
      </c>
      <c r="I3323" s="6">
        <f t="shared" ca="1" si="0"/>
        <v>14.6</v>
      </c>
      <c r="J3323" s="6">
        <f ca="1">IFERROR(__xludf.DUMMYFUNCTION("IFERROR(GOOGLEFINANCE(B3323, ""volume""), 0)"),0)</f>
        <v>0</v>
      </c>
      <c r="K3323" s="6">
        <v>3.55</v>
      </c>
      <c r="L3323" s="6">
        <f ca="1">IFERROR(__xludf.DUMMYFUNCTION("IFERROR(GOOGLEFINANCE(B3323,""changepct""),K3323)"),3.55)</f>
        <v>3.55</v>
      </c>
      <c r="M3323" s="6">
        <f ca="1">IFERROR(__xludf.DUMMYFUNCTION("IFERROR(GOOGLEFINANCE(B3323,""change""),0)"),0)</f>
        <v>0</v>
      </c>
      <c r="N3323" s="6">
        <v>1</v>
      </c>
      <c r="O3323" s="7">
        <v>45536</v>
      </c>
      <c r="P3323" s="6">
        <v>31.45</v>
      </c>
      <c r="Q3323" s="6">
        <v>44.24</v>
      </c>
      <c r="R3323" s="7">
        <v>45536</v>
      </c>
      <c r="S3323" s="6">
        <v>56.54</v>
      </c>
      <c r="T3323" s="6">
        <v>2.87</v>
      </c>
      <c r="U3323" s="7">
        <v>45536</v>
      </c>
      <c r="V3323" s="6">
        <v>4.46</v>
      </c>
      <c r="W3323" s="6">
        <f ca="1">IFERROR(__xludf.DUMMYFUNCTION("IFERROR(GOOGLEFINANCE(B3323,""pe""),V3323)"),4.46)</f>
        <v>4.46</v>
      </c>
      <c r="X3323" s="9"/>
      <c r="Y3323" s="6">
        <v>0.74</v>
      </c>
      <c r="Z3323" s="6">
        <v>1</v>
      </c>
      <c r="AA3323" s="8">
        <v>45352</v>
      </c>
      <c r="AB3323" s="4">
        <v>1.63</v>
      </c>
      <c r="AC3323" s="6">
        <v>0.61</v>
      </c>
      <c r="AD3323" s="6">
        <v>6.76</v>
      </c>
      <c r="AE3323" s="1">
        <v>0</v>
      </c>
      <c r="AF3323" s="1">
        <f ca="1">IFERROR(__xludf.DUMMYFUNCTION("IFERROR(GOOGLEFINANCE(TRIM(F3323)&amp;"":"" &amp; TRIM(B3323),""high52""),AE3323)"),0)</f>
        <v>0</v>
      </c>
      <c r="AG3323" s="1">
        <v>0</v>
      </c>
      <c r="AH3323" s="1">
        <f ca="1">IFERROR(__xludf.DUMMYFUNCTION("IFERROR(GOOGLEFINANCE(TRIM(F3323)&amp;"":"" &amp; TRIM(B3323),""low52""),AE3323)"),0)</f>
        <v>0</v>
      </c>
      <c r="AI3323" s="1">
        <f ca="1">IFERROR(__xludf.DUMMYFUNCTION("IFERROR(GOOGLEFINANCE(B3323,""eps""),0)"),0)</f>
        <v>0</v>
      </c>
      <c r="AJ3323" s="1"/>
      <c r="AK3323" s="1" t="s">
        <v>10193</v>
      </c>
      <c r="AL3323" s="9">
        <f t="shared" si="317"/>
        <v>1</v>
      </c>
    </row>
    <row r="3324" spans="1:38" ht="15" x14ac:dyDescent="0.25">
      <c r="A3324" s="1" t="s">
        <v>10194</v>
      </c>
      <c r="B3324" s="1" t="s">
        <v>10195</v>
      </c>
      <c r="C3324" s="1" t="s">
        <v>82</v>
      </c>
      <c r="D3324" s="1" t="s">
        <v>82</v>
      </c>
      <c r="E3324" s="6">
        <v>154.99</v>
      </c>
      <c r="F3324" s="1" t="s">
        <v>53</v>
      </c>
      <c r="G3324" s="6">
        <f ca="1">IFERROR(__xludf.DUMMYFUNCTION("iferror(GOOGLEFINANCE(TRIM(F3324)&amp;"":"" &amp; TRIM(B3324), ""price""),0
)"),0)</f>
        <v>0</v>
      </c>
      <c r="H3324" s="6">
        <v>114.85</v>
      </c>
      <c r="I3324" s="6">
        <f t="shared" ca="1" si="0"/>
        <v>114.85</v>
      </c>
      <c r="J3324" s="6">
        <f ca="1">IFERROR(__xludf.DUMMYFUNCTION("IFERROR(GOOGLEFINANCE(B3324, ""volume""), 0)"),0)</f>
        <v>0</v>
      </c>
      <c r="K3324" s="6">
        <v>0.61</v>
      </c>
      <c r="L3324" s="6">
        <f ca="1">IFERROR(__xludf.DUMMYFUNCTION("IFERROR(GOOGLEFINANCE(B3324,""changepct""),K3324)"),0.61)</f>
        <v>0.61</v>
      </c>
      <c r="M3324" s="6">
        <f ca="1">IFERROR(__xludf.DUMMYFUNCTION("IFERROR(GOOGLEFINANCE(B3324,""change""),0)"),0)</f>
        <v>0</v>
      </c>
      <c r="N3324" s="6">
        <v>1</v>
      </c>
      <c r="O3324" s="7">
        <v>45536</v>
      </c>
      <c r="P3324" s="6">
        <v>60.07</v>
      </c>
      <c r="Q3324" s="6">
        <v>214.77</v>
      </c>
      <c r="R3324" s="7">
        <v>45536</v>
      </c>
      <c r="S3324" s="6">
        <v>317.10000000000002</v>
      </c>
      <c r="T3324" s="6">
        <v>8.24</v>
      </c>
      <c r="U3324" s="7">
        <v>45536</v>
      </c>
      <c r="V3324" s="6">
        <v>18.809999999999999</v>
      </c>
      <c r="W3324" s="6">
        <f ca="1">IFERROR(__xludf.DUMMYFUNCTION("IFERROR(GOOGLEFINANCE(B3324,""pe""),V3324)"),18.81)</f>
        <v>18.809999999999999</v>
      </c>
      <c r="X3324" s="6">
        <v>0.95</v>
      </c>
      <c r="Y3324" s="6">
        <v>1.68</v>
      </c>
      <c r="Z3324" s="6">
        <v>1</v>
      </c>
      <c r="AA3324" s="8">
        <v>45352</v>
      </c>
      <c r="AB3324" s="4">
        <v>1.01</v>
      </c>
      <c r="AC3324" s="6">
        <v>12.5</v>
      </c>
      <c r="AD3324" s="6">
        <v>13.85</v>
      </c>
      <c r="AE3324" s="1">
        <v>0</v>
      </c>
      <c r="AF3324" s="1">
        <f ca="1">IFERROR(__xludf.DUMMYFUNCTION("IFERROR(GOOGLEFINANCE(TRIM(F3324)&amp;"":"" &amp; TRIM(B3324),""high52""),AE3324)"),0)</f>
        <v>0</v>
      </c>
      <c r="AG3324" s="1">
        <v>0</v>
      </c>
      <c r="AH3324" s="1">
        <f ca="1">IFERROR(__xludf.DUMMYFUNCTION("IFERROR(GOOGLEFINANCE(TRIM(F3324)&amp;"":"" &amp; TRIM(B3324),""low52""),AE3324)"),0)</f>
        <v>0</v>
      </c>
      <c r="AI3324" s="1">
        <f ca="1">IFERROR(__xludf.DUMMYFUNCTION("IFERROR(GOOGLEFINANCE(B3324,""eps""),0)"),0)</f>
        <v>0</v>
      </c>
      <c r="AJ3324" s="1"/>
      <c r="AK3324" s="1" t="s">
        <v>10196</v>
      </c>
      <c r="AL3324" s="9">
        <f t="shared" si="317"/>
        <v>1</v>
      </c>
    </row>
    <row r="3325" spans="1:38" ht="15" x14ac:dyDescent="0.25">
      <c r="A3325" s="1" t="s">
        <v>10197</v>
      </c>
      <c r="B3325" s="1" t="s">
        <v>10198</v>
      </c>
      <c r="C3325" s="1" t="s">
        <v>163</v>
      </c>
      <c r="D3325" s="1" t="s">
        <v>163</v>
      </c>
      <c r="E3325" s="6">
        <v>104.43</v>
      </c>
      <c r="F3325" s="1" t="s">
        <v>40</v>
      </c>
      <c r="G3325" s="6">
        <f ca="1">IFERROR(__xludf.DUMMYFUNCTION("iferror(GOOGLEFINANCE(TRIM(F3325)&amp;"":"" &amp; TRIM(B3325), ""price""),0
)"),0)</f>
        <v>0</v>
      </c>
      <c r="H3325" s="6">
        <v>75.8</v>
      </c>
      <c r="I3325" s="6">
        <f t="shared" ca="1" si="0"/>
        <v>75.8</v>
      </c>
      <c r="J3325" s="6">
        <f ca="1">IFERROR(__xludf.DUMMYFUNCTION("IFERROR(GOOGLEFINANCE(B3325, ""volume""), 0)"),0)</f>
        <v>0</v>
      </c>
      <c r="K3325" s="9"/>
      <c r="L3325" s="6" t="str">
        <f ca="1">IFERROR(__xludf.DUMMYFUNCTION("IFERROR(GOOGLEFINANCE(B3325,""changepct""),K3325)"),"")</f>
        <v/>
      </c>
      <c r="M3325" s="6">
        <f ca="1">IFERROR(__xludf.DUMMYFUNCTION("IFERROR(GOOGLEFINANCE(B3325,""change""),0)"),0)</f>
        <v>0</v>
      </c>
      <c r="N3325" s="6">
        <v>1</v>
      </c>
      <c r="O3325" s="7">
        <v>45536</v>
      </c>
      <c r="P3325" s="9"/>
      <c r="Q3325" s="6">
        <v>104.43</v>
      </c>
      <c r="R3325" s="7">
        <v>45352</v>
      </c>
      <c r="S3325" s="6">
        <v>12.24</v>
      </c>
      <c r="T3325" s="6">
        <v>2.7</v>
      </c>
      <c r="U3325" s="7">
        <v>45352</v>
      </c>
      <c r="V3325" s="6">
        <v>38.74</v>
      </c>
      <c r="W3325" s="6">
        <f ca="1">IFERROR(__xludf.DUMMYFUNCTION("IFERROR(GOOGLEFINANCE(B3325,""pe""),V3325)"),38.74)</f>
        <v>38.74</v>
      </c>
      <c r="X3325" s="12"/>
      <c r="Y3325" s="6">
        <v>3.12</v>
      </c>
      <c r="Z3325" s="6">
        <v>2</v>
      </c>
      <c r="AA3325" s="8">
        <v>45352</v>
      </c>
      <c r="AB3325" s="4">
        <v>0</v>
      </c>
      <c r="AC3325" s="6">
        <v>10.48</v>
      </c>
      <c r="AD3325" s="6">
        <v>14.19</v>
      </c>
      <c r="AE3325" s="1">
        <v>0</v>
      </c>
      <c r="AF3325" s="1">
        <f ca="1">IFERROR(__xludf.DUMMYFUNCTION("IFERROR(GOOGLEFINANCE(TRIM(F3325)&amp;"":"" &amp; TRIM(B3325),""high52""),AE3325)"),0)</f>
        <v>0</v>
      </c>
      <c r="AG3325" s="1">
        <v>0</v>
      </c>
      <c r="AH3325" s="1">
        <f ca="1">IFERROR(__xludf.DUMMYFUNCTION("IFERROR(GOOGLEFINANCE(TRIM(F3325)&amp;"":"" &amp; TRIM(B3325),""low52""),AE3325)"),0)</f>
        <v>0</v>
      </c>
      <c r="AI3325" s="1">
        <f ca="1">IFERROR(__xludf.DUMMYFUNCTION("IFERROR(GOOGLEFINANCE(B3325,""eps""),0)"),0)</f>
        <v>0</v>
      </c>
      <c r="AJ3325" s="1"/>
      <c r="AK3325" s="1" t="s">
        <v>10199</v>
      </c>
      <c r="AL3325" s="9">
        <f t="shared" si="317"/>
        <v>1</v>
      </c>
    </row>
    <row r="3326" spans="1:38" ht="15" x14ac:dyDescent="0.25">
      <c r="A3326" s="1" t="s">
        <v>10200</v>
      </c>
      <c r="B3326" s="1" t="s">
        <v>10201</v>
      </c>
      <c r="C3326" s="1" t="s">
        <v>82</v>
      </c>
      <c r="D3326" s="1" t="s">
        <v>82</v>
      </c>
      <c r="E3326" s="6">
        <v>15.45</v>
      </c>
      <c r="F3326" s="1" t="s">
        <v>53</v>
      </c>
      <c r="G3326" s="6">
        <f ca="1">IFERROR(__xludf.DUMMYFUNCTION("iferror(GOOGLEFINANCE(TRIM(F3326)&amp;"":"" &amp; TRIM(B3326), ""price""),0
)"),0)</f>
        <v>0</v>
      </c>
      <c r="H3326" s="6">
        <v>12.26</v>
      </c>
      <c r="I3326" s="6">
        <f t="shared" ca="1" si="0"/>
        <v>12.26</v>
      </c>
      <c r="J3326" s="6">
        <f ca="1">IFERROR(__xludf.DUMMYFUNCTION("IFERROR(GOOGLEFINANCE(B3326, ""volume""), 0)"),3634)</f>
        <v>3634</v>
      </c>
      <c r="K3326" s="6">
        <v>-0.81</v>
      </c>
      <c r="L3326" s="6">
        <f ca="1">IFERROR(__xludf.DUMMYFUNCTION("IFERROR(GOOGLEFINANCE(B3326,""changepct""),K3326)"),-10.36)</f>
        <v>-10.36</v>
      </c>
      <c r="M3326" s="6">
        <f ca="1">IFERROR(__xludf.DUMMYFUNCTION("IFERROR(GOOGLEFINANCE(B3326,""change""),0)"),-0.92)</f>
        <v>-0.92</v>
      </c>
      <c r="N3326" s="6">
        <v>1</v>
      </c>
      <c r="O3326" s="7">
        <v>45536</v>
      </c>
      <c r="P3326" s="6">
        <v>3.15</v>
      </c>
      <c r="Q3326" s="6">
        <v>18.28</v>
      </c>
      <c r="R3326" s="7">
        <v>45536</v>
      </c>
      <c r="S3326" s="6">
        <v>0</v>
      </c>
      <c r="T3326" s="6">
        <v>9.33</v>
      </c>
      <c r="U3326" s="7">
        <v>45536</v>
      </c>
      <c r="V3326" s="6">
        <v>1.66</v>
      </c>
      <c r="W3326" s="6">
        <f ca="1">IFERROR(__xludf.DUMMYFUNCTION("IFERROR(GOOGLEFINANCE(B3326,""pe""),V3326)"),1.66)</f>
        <v>1.66</v>
      </c>
      <c r="X3326" s="6">
        <v>0.05</v>
      </c>
      <c r="Y3326" s="6">
        <v>-4.76</v>
      </c>
      <c r="Z3326" s="6">
        <v>1</v>
      </c>
      <c r="AA3326" s="8">
        <v>45352</v>
      </c>
      <c r="AB3326" s="4">
        <v>-1.03</v>
      </c>
      <c r="AC3326" s="6">
        <v>0</v>
      </c>
      <c r="AD3326" s="6">
        <v>0</v>
      </c>
      <c r="AE3326" s="1">
        <v>0</v>
      </c>
      <c r="AF3326" s="1">
        <f ca="1">IFERROR(__xludf.DUMMYFUNCTION("IFERROR(GOOGLEFINANCE(TRIM(F3326)&amp;"":"" &amp; TRIM(B3326),""high52""),AE3326)"),0)</f>
        <v>0</v>
      </c>
      <c r="AG3326" s="1">
        <v>0</v>
      </c>
      <c r="AH3326" s="1">
        <f ca="1">IFERROR(__xludf.DUMMYFUNCTION("IFERROR(GOOGLEFINANCE(TRIM(F3326)&amp;"":"" &amp; TRIM(B3326),""low52""),AE3326)"),0)</f>
        <v>0</v>
      </c>
      <c r="AI3326" s="1">
        <f ca="1">IFERROR(__xludf.DUMMYFUNCTION("IFERROR(GOOGLEFINANCE(B3326,""eps""),0)"),0)</f>
        <v>0</v>
      </c>
      <c r="AJ3326" s="1"/>
      <c r="AK3326" s="9"/>
      <c r="AL3326" s="9">
        <f t="shared" si="317"/>
        <v>1</v>
      </c>
    </row>
    <row r="3327" spans="1:38" ht="15" x14ac:dyDescent="0.25">
      <c r="A3327" s="1" t="s">
        <v>10202</v>
      </c>
      <c r="B3327" s="1" t="s">
        <v>10203</v>
      </c>
      <c r="C3327" s="1" t="s">
        <v>239</v>
      </c>
      <c r="D3327" s="1" t="s">
        <v>239</v>
      </c>
      <c r="E3327" s="6">
        <v>1611.7</v>
      </c>
      <c r="F3327" s="1" t="s">
        <v>40</v>
      </c>
      <c r="G3327" s="6">
        <f ca="1">IFERROR(__xludf.DUMMYFUNCTION("iferror(GOOGLEFINANCE(TRIM(F3327)&amp;"":"" &amp; TRIM(B3327), ""price""),0
)"),59.51)</f>
        <v>59.51</v>
      </c>
      <c r="H3327" s="6">
        <v>62.57</v>
      </c>
      <c r="I3327" s="6">
        <f t="shared" ca="1" si="0"/>
        <v>59.51</v>
      </c>
      <c r="J3327" s="6">
        <f ca="1">IFERROR(__xludf.DUMMYFUNCTION("IFERROR(GOOGLEFINANCE(B3327, ""volume""), 0)"),1589846)</f>
        <v>1589846</v>
      </c>
      <c r="K3327" s="6">
        <v>0.3</v>
      </c>
      <c r="L3327" s="6">
        <f ca="1">IFERROR(__xludf.DUMMYFUNCTION("IFERROR(GOOGLEFINANCE(B3327,""changepct""),K3327)"),1.76)</f>
        <v>1.76</v>
      </c>
      <c r="M3327" s="6">
        <f ca="1">IFERROR(__xludf.DUMMYFUNCTION("IFERROR(GOOGLEFINANCE(B3327,""change""),0)"),1.03)</f>
        <v>1.03</v>
      </c>
      <c r="N3327" s="6">
        <v>1</v>
      </c>
      <c r="O3327" s="7">
        <v>45536</v>
      </c>
      <c r="P3327" s="6">
        <v>2645.87</v>
      </c>
      <c r="Q3327" s="6">
        <v>4181.43</v>
      </c>
      <c r="R3327" s="7">
        <v>45536</v>
      </c>
      <c r="S3327" s="6">
        <v>848.47</v>
      </c>
      <c r="T3327" s="6">
        <v>-505.07</v>
      </c>
      <c r="U3327" s="7">
        <v>45536</v>
      </c>
      <c r="V3327" s="6">
        <v>0</v>
      </c>
      <c r="W3327" s="6">
        <f ca="1">IFERROR(__xludf.DUMMYFUNCTION("IFERROR(GOOGLEFINANCE(B3327,""pe""),V3327)"),0)</f>
        <v>0</v>
      </c>
      <c r="X3327" s="12"/>
      <c r="Y3327" s="6">
        <v>1.96</v>
      </c>
      <c r="Z3327" s="6">
        <v>1</v>
      </c>
      <c r="AA3327" s="8">
        <v>45352</v>
      </c>
      <c r="AB3327" s="4">
        <v>1.87</v>
      </c>
      <c r="AC3327" s="6">
        <v>-33.619999999999997</v>
      </c>
      <c r="AD3327" s="6">
        <v>-5.25</v>
      </c>
      <c r="AE3327" s="1">
        <v>0</v>
      </c>
      <c r="AF3327" s="1">
        <f ca="1">IFERROR(__xludf.DUMMYFUNCTION("IFERROR(GOOGLEFINANCE(TRIM(F3327)&amp;"":"" &amp; TRIM(B3327),""high52""),AE3327)"),70.4)</f>
        <v>70.400000000000006</v>
      </c>
      <c r="AG3327" s="1">
        <v>0</v>
      </c>
      <c r="AH3327" s="1">
        <f ca="1">IFERROR(__xludf.DUMMYFUNCTION("IFERROR(GOOGLEFINANCE(TRIM(F3327)&amp;"":"" &amp; TRIM(B3327),""low52""),AE3327)"),50.58)</f>
        <v>50.58</v>
      </c>
      <c r="AI3327" s="1">
        <f ca="1">IFERROR(__xludf.DUMMYFUNCTION("IFERROR(GOOGLEFINANCE(B3327,""eps""),0)"),-15.7)</f>
        <v>-15.7</v>
      </c>
      <c r="AJ3327" s="1"/>
      <c r="AK3327" s="1" t="s">
        <v>10204</v>
      </c>
      <c r="AL3327" s="1" t="b">
        <f>ISNUMBER(AA3327)</f>
        <v>1</v>
      </c>
    </row>
    <row r="3328" spans="1:38" ht="15" x14ac:dyDescent="0.25">
      <c r="A3328" s="1" t="s">
        <v>10205</v>
      </c>
      <c r="B3328" s="1" t="s">
        <v>10206</v>
      </c>
      <c r="C3328" s="1" t="s">
        <v>82</v>
      </c>
      <c r="D3328" s="1" t="s">
        <v>82</v>
      </c>
      <c r="E3328" s="6">
        <v>36.03</v>
      </c>
      <c r="F3328" s="1" t="s">
        <v>53</v>
      </c>
      <c r="G3328" s="6">
        <f ca="1">IFERROR(__xludf.DUMMYFUNCTION("iferror(GOOGLEFINANCE(TRIM(F3328)&amp;"":"" &amp; TRIM(B3328), ""price""),0
)"),0)</f>
        <v>0</v>
      </c>
      <c r="H3328" s="6">
        <v>97.5</v>
      </c>
      <c r="I3328" s="6">
        <f t="shared" ca="1" si="0"/>
        <v>97.5</v>
      </c>
      <c r="J3328" s="6">
        <f ca="1">IFERROR(__xludf.DUMMYFUNCTION("IFERROR(GOOGLEFINANCE(B3328, ""volume""), 0)"),0)</f>
        <v>0</v>
      </c>
      <c r="K3328" s="6">
        <v>-1.96</v>
      </c>
      <c r="L3328" s="6">
        <f ca="1">IFERROR(__xludf.DUMMYFUNCTION("IFERROR(GOOGLEFINANCE(B3328,""changepct""),K3328)"),-1.96)</f>
        <v>-1.96</v>
      </c>
      <c r="M3328" s="6">
        <f ca="1">IFERROR(__xludf.DUMMYFUNCTION("IFERROR(GOOGLEFINANCE(B3328,""change""),0)"),0)</f>
        <v>0</v>
      </c>
      <c r="N3328" s="6">
        <v>1</v>
      </c>
      <c r="O3328" s="7">
        <v>45536</v>
      </c>
      <c r="P3328" s="6">
        <v>0.53</v>
      </c>
      <c r="Q3328" s="6">
        <v>36.56</v>
      </c>
      <c r="R3328" s="7">
        <v>45536</v>
      </c>
      <c r="S3328" s="6">
        <v>2.74</v>
      </c>
      <c r="T3328" s="6">
        <v>0.14000000000000001</v>
      </c>
      <c r="U3328" s="7">
        <v>45536</v>
      </c>
      <c r="V3328" s="6">
        <v>248.49</v>
      </c>
      <c r="W3328" s="6">
        <f ca="1">IFERROR(__xludf.DUMMYFUNCTION("IFERROR(GOOGLEFINANCE(B3328,""pe""),V3328)"),248.49)</f>
        <v>248.49</v>
      </c>
      <c r="X3328" s="6">
        <v>-4.3600000000000003</v>
      </c>
      <c r="Y3328" s="6">
        <v>14.22</v>
      </c>
      <c r="Z3328" s="6">
        <v>1</v>
      </c>
      <c r="AA3328" s="8">
        <v>45352</v>
      </c>
      <c r="AB3328" s="4">
        <v>0.26</v>
      </c>
      <c r="AC3328" s="6">
        <v>0.08</v>
      </c>
      <c r="AD3328" s="6">
        <v>1.39</v>
      </c>
      <c r="AE3328" s="1">
        <v>0</v>
      </c>
      <c r="AF3328" s="1">
        <f ca="1">IFERROR(__xludf.DUMMYFUNCTION("IFERROR(GOOGLEFINANCE(TRIM(F3328)&amp;"":"" &amp; TRIM(B3328),""high52""),AE3328)"),0)</f>
        <v>0</v>
      </c>
      <c r="AG3328" s="1">
        <v>0</v>
      </c>
      <c r="AH3328" s="1">
        <f ca="1">IFERROR(__xludf.DUMMYFUNCTION("IFERROR(GOOGLEFINANCE(TRIM(F3328)&amp;"":"" &amp; TRIM(B3328),""low52""),AE3328)"),0)</f>
        <v>0</v>
      </c>
      <c r="AI3328" s="1">
        <f ca="1">IFERROR(__xludf.DUMMYFUNCTION("IFERROR(GOOGLEFINANCE(B3328,""eps""),0)"),0)</f>
        <v>0</v>
      </c>
      <c r="AJ3328" s="1"/>
      <c r="AK3328" s="1" t="s">
        <v>10207</v>
      </c>
      <c r="AL3328" s="9">
        <f t="shared" ref="AL3328:AL3337" si="318">IF(AA3328&lt;&gt;AB3328,1,0)</f>
        <v>1</v>
      </c>
    </row>
    <row r="3329" spans="1:38" ht="15" x14ac:dyDescent="0.25">
      <c r="A3329" s="1" t="s">
        <v>10208</v>
      </c>
      <c r="B3329" s="1" t="s">
        <v>10209</v>
      </c>
      <c r="C3329" s="1" t="s">
        <v>82</v>
      </c>
      <c r="D3329" s="1" t="s">
        <v>82</v>
      </c>
      <c r="E3329" s="6">
        <v>61.01</v>
      </c>
      <c r="F3329" s="1" t="s">
        <v>53</v>
      </c>
      <c r="G3329" s="6">
        <f ca="1">IFERROR(__xludf.DUMMYFUNCTION("iferror(GOOGLEFINANCE(TRIM(F3329)&amp;"":"" &amp; TRIM(B3329), ""price""),0
)"),0)</f>
        <v>0</v>
      </c>
      <c r="H3329" s="6">
        <v>67.400000000000006</v>
      </c>
      <c r="I3329" s="6">
        <f t="shared" ca="1" si="0"/>
        <v>67.400000000000006</v>
      </c>
      <c r="J3329" s="6">
        <f ca="1">IFERROR(__xludf.DUMMYFUNCTION("IFERROR(GOOGLEFINANCE(B3329, ""volume""), 0)"),0)</f>
        <v>0</v>
      </c>
      <c r="K3329" s="6">
        <v>0.85</v>
      </c>
      <c r="L3329" s="6">
        <f ca="1">IFERROR(__xludf.DUMMYFUNCTION("IFERROR(GOOGLEFINANCE(B3329,""changepct""),K3329)"),0.85)</f>
        <v>0.85</v>
      </c>
      <c r="M3329" s="6">
        <f ca="1">IFERROR(__xludf.DUMMYFUNCTION("IFERROR(GOOGLEFINANCE(B3329,""change""),0)"),0)</f>
        <v>0</v>
      </c>
      <c r="N3329" s="6">
        <v>1</v>
      </c>
      <c r="O3329" s="7">
        <v>45536</v>
      </c>
      <c r="P3329" s="6">
        <v>18.25</v>
      </c>
      <c r="Q3329" s="6">
        <v>79.260000000000005</v>
      </c>
      <c r="R3329" s="7">
        <v>45536</v>
      </c>
      <c r="S3329" s="6">
        <v>102.77</v>
      </c>
      <c r="T3329" s="6">
        <v>1.66</v>
      </c>
      <c r="U3329" s="7">
        <v>45536</v>
      </c>
      <c r="V3329" s="6">
        <v>36.78</v>
      </c>
      <c r="W3329" s="6">
        <f ca="1">IFERROR(__xludf.DUMMYFUNCTION("IFERROR(GOOGLEFINANCE(B3329,""pe""),V3329)"),36.78)</f>
        <v>36.78</v>
      </c>
      <c r="X3329" s="6">
        <v>-5.91</v>
      </c>
      <c r="Y3329" s="6">
        <v>1.55</v>
      </c>
      <c r="Z3329" s="6">
        <v>1</v>
      </c>
      <c r="AA3329" s="8">
        <v>45352</v>
      </c>
      <c r="AB3329" s="4">
        <v>1</v>
      </c>
      <c r="AC3329" s="6">
        <v>4.3499999999999996</v>
      </c>
      <c r="AD3329" s="6">
        <v>10.24</v>
      </c>
      <c r="AE3329" s="1">
        <v>0</v>
      </c>
      <c r="AF3329" s="1">
        <f ca="1">IFERROR(__xludf.DUMMYFUNCTION("IFERROR(GOOGLEFINANCE(TRIM(F3329)&amp;"":"" &amp; TRIM(B3329),""high52""),AE3329)"),0)</f>
        <v>0</v>
      </c>
      <c r="AG3329" s="1">
        <v>0</v>
      </c>
      <c r="AH3329" s="1">
        <f ca="1">IFERROR(__xludf.DUMMYFUNCTION("IFERROR(GOOGLEFINANCE(TRIM(F3329)&amp;"":"" &amp; TRIM(B3329),""low52""),AE3329)"),0)</f>
        <v>0</v>
      </c>
      <c r="AI3329" s="1">
        <f ca="1">IFERROR(__xludf.DUMMYFUNCTION("IFERROR(GOOGLEFINANCE(B3329,""eps""),0)"),0)</f>
        <v>0</v>
      </c>
      <c r="AJ3329" s="1"/>
      <c r="AK3329" s="1" t="s">
        <v>10210</v>
      </c>
      <c r="AL3329" s="9">
        <f t="shared" si="318"/>
        <v>1</v>
      </c>
    </row>
    <row r="3330" spans="1:38" ht="15" x14ac:dyDescent="0.25">
      <c r="A3330" s="1" t="s">
        <v>10211</v>
      </c>
      <c r="B3330" s="1" t="s">
        <v>10212</v>
      </c>
      <c r="C3330" s="1" t="s">
        <v>82</v>
      </c>
      <c r="D3330" s="1" t="s">
        <v>82</v>
      </c>
      <c r="E3330" s="6">
        <v>249.3</v>
      </c>
      <c r="F3330" s="1" t="s">
        <v>53</v>
      </c>
      <c r="G3330" s="6">
        <f ca="1">IFERROR(__xludf.DUMMYFUNCTION("iferror(GOOGLEFINANCE(TRIM(F3330)&amp;"":"" &amp; TRIM(B3330), ""price""),0
)"),0)</f>
        <v>0</v>
      </c>
      <c r="H3330" s="6">
        <v>393.05</v>
      </c>
      <c r="I3330" s="6">
        <f t="shared" ca="1" si="0"/>
        <v>393.05</v>
      </c>
      <c r="J3330" s="6">
        <f ca="1">IFERROR(__xludf.DUMMYFUNCTION("IFERROR(GOOGLEFINANCE(B3330, ""volume""), 0)"),0)</f>
        <v>0</v>
      </c>
      <c r="K3330" s="6">
        <v>-4.17</v>
      </c>
      <c r="L3330" s="6">
        <f ca="1">IFERROR(__xludf.DUMMYFUNCTION("IFERROR(GOOGLEFINANCE(B3330,""changepct""),K3330)"),-4.17)</f>
        <v>-4.17</v>
      </c>
      <c r="M3330" s="6">
        <f ca="1">IFERROR(__xludf.DUMMYFUNCTION("IFERROR(GOOGLEFINANCE(B3330,""change""),0)"),0)</f>
        <v>0</v>
      </c>
      <c r="N3330" s="6">
        <v>1</v>
      </c>
      <c r="O3330" s="7">
        <v>45536</v>
      </c>
      <c r="P3330" s="6">
        <v>53.95</v>
      </c>
      <c r="Q3330" s="6">
        <v>300.08</v>
      </c>
      <c r="R3330" s="7">
        <v>45536</v>
      </c>
      <c r="S3330" s="6">
        <v>289.72000000000003</v>
      </c>
      <c r="T3330" s="6">
        <v>8.5399999999999991</v>
      </c>
      <c r="U3330" s="7">
        <v>45536</v>
      </c>
      <c r="V3330" s="6">
        <v>29.18</v>
      </c>
      <c r="W3330" s="6">
        <f ca="1">IFERROR(__xludf.DUMMYFUNCTION("IFERROR(GOOGLEFINANCE(B3330,""pe""),V3330)"),29.18)</f>
        <v>29.18</v>
      </c>
      <c r="X3330" s="6">
        <v>0.79</v>
      </c>
      <c r="Y3330" s="6">
        <v>5.29</v>
      </c>
      <c r="Z3330" s="6">
        <v>1</v>
      </c>
      <c r="AA3330" s="8">
        <v>45352</v>
      </c>
      <c r="AB3330" s="4">
        <v>1.37</v>
      </c>
      <c r="AC3330" s="6">
        <v>21.46</v>
      </c>
      <c r="AD3330" s="6">
        <v>18.04</v>
      </c>
      <c r="AE3330" s="1">
        <v>0</v>
      </c>
      <c r="AF3330" s="1">
        <f ca="1">IFERROR(__xludf.DUMMYFUNCTION("IFERROR(GOOGLEFINANCE(TRIM(F3330)&amp;"":"" &amp; TRIM(B3330),""high52""),AE3330)"),0)</f>
        <v>0</v>
      </c>
      <c r="AG3330" s="1">
        <v>0</v>
      </c>
      <c r="AH3330" s="1">
        <f ca="1">IFERROR(__xludf.DUMMYFUNCTION("IFERROR(GOOGLEFINANCE(TRIM(F3330)&amp;"":"" &amp; TRIM(B3330),""low52""),AE3330)"),0)</f>
        <v>0</v>
      </c>
      <c r="AI3330" s="1">
        <f ca="1">IFERROR(__xludf.DUMMYFUNCTION("IFERROR(GOOGLEFINANCE(B3330,""eps""),0)"),0)</f>
        <v>0</v>
      </c>
      <c r="AJ3330" s="1"/>
      <c r="AK3330" s="1" t="s">
        <v>10213</v>
      </c>
      <c r="AL3330" s="9">
        <f t="shared" si="318"/>
        <v>1</v>
      </c>
    </row>
    <row r="3331" spans="1:38" ht="15" x14ac:dyDescent="0.25">
      <c r="A3331" s="1" t="s">
        <v>10214</v>
      </c>
      <c r="B3331" s="1" t="s">
        <v>10215</v>
      </c>
      <c r="C3331" s="1" t="s">
        <v>416</v>
      </c>
      <c r="D3331" s="1" t="s">
        <v>416</v>
      </c>
      <c r="E3331" s="6">
        <v>2630.18</v>
      </c>
      <c r="F3331" s="1" t="s">
        <v>40</v>
      </c>
      <c r="G3331" s="6">
        <f ca="1">IFERROR(__xludf.DUMMYFUNCTION("iferror(GOOGLEFINANCE(TRIM(F3331)&amp;"":"" &amp; TRIM(B3331), ""price""),0
)"),292.25)</f>
        <v>292.25</v>
      </c>
      <c r="H3331" s="6">
        <v>302.05</v>
      </c>
      <c r="I3331" s="6">
        <f t="shared" ca="1" si="0"/>
        <v>292.25</v>
      </c>
      <c r="J3331" s="6">
        <f ca="1">IFERROR(__xludf.DUMMYFUNCTION("IFERROR(GOOGLEFINANCE(B3331, ""volume""), 0)"),161855)</f>
        <v>161855</v>
      </c>
      <c r="K3331" s="6">
        <v>-0.54</v>
      </c>
      <c r="L3331" s="6">
        <f ca="1">IFERROR(__xludf.DUMMYFUNCTION("IFERROR(GOOGLEFINANCE(B3331,""changepct""),K3331)"),-2.03)</f>
        <v>-2.0299999999999998</v>
      </c>
      <c r="M3331" s="6">
        <f ca="1">IFERROR(__xludf.DUMMYFUNCTION("IFERROR(GOOGLEFINANCE(B3331,""change""),0)"),-6.05)</f>
        <v>-6.05</v>
      </c>
      <c r="N3331" s="6">
        <v>2</v>
      </c>
      <c r="O3331" s="7">
        <v>45536</v>
      </c>
      <c r="P3331" s="6">
        <v>341.44</v>
      </c>
      <c r="Q3331" s="6">
        <v>2945.93</v>
      </c>
      <c r="R3331" s="15">
        <v>45261</v>
      </c>
      <c r="S3331" s="6">
        <v>579.91999999999996</v>
      </c>
      <c r="T3331" s="6">
        <v>174.19</v>
      </c>
      <c r="U3331" s="7">
        <v>45261</v>
      </c>
      <c r="V3331" s="6">
        <v>15.1</v>
      </c>
      <c r="W3331" s="6">
        <f ca="1">IFERROR(__xludf.DUMMYFUNCTION("IFERROR(GOOGLEFINANCE(B3331,""pe""),V3331)"),14.59)</f>
        <v>14.59</v>
      </c>
      <c r="X3331" s="12"/>
      <c r="Y3331" s="6">
        <v>2.4900000000000002</v>
      </c>
      <c r="Z3331" s="6">
        <v>2</v>
      </c>
      <c r="AA3331" s="8">
        <v>44986</v>
      </c>
      <c r="AB3331" s="4">
        <v>0.22</v>
      </c>
      <c r="AC3331" s="6">
        <v>14.22</v>
      </c>
      <c r="AD3331" s="6">
        <v>17.2</v>
      </c>
      <c r="AE3331" s="1">
        <v>0</v>
      </c>
      <c r="AF3331" s="1">
        <f ca="1">IFERROR(__xludf.DUMMYFUNCTION("IFERROR(GOOGLEFINANCE(TRIM(F3331)&amp;"":"" &amp; TRIM(B3331),""high52""),AE3331)"),411.9)</f>
        <v>411.9</v>
      </c>
      <c r="AG3331" s="1">
        <v>0</v>
      </c>
      <c r="AH3331" s="1">
        <f ca="1">IFERROR(__xludf.DUMMYFUNCTION("IFERROR(GOOGLEFINANCE(TRIM(F3331)&amp;"":"" &amp; TRIM(B3331),""low52""),AE3331)"),206)</f>
        <v>206</v>
      </c>
      <c r="AI3331" s="1">
        <f ca="1">IFERROR(__xludf.DUMMYFUNCTION("IFERROR(GOOGLEFINANCE(B3331,""eps""),0)"),20.03)</f>
        <v>20.03</v>
      </c>
      <c r="AJ3331" s="1"/>
      <c r="AK3331" s="1" t="s">
        <v>10216</v>
      </c>
      <c r="AL3331" s="9">
        <f t="shared" si="318"/>
        <v>1</v>
      </c>
    </row>
    <row r="3332" spans="1:38" ht="15" x14ac:dyDescent="0.25">
      <c r="A3332" s="1" t="s">
        <v>10217</v>
      </c>
      <c r="B3332" s="1" t="s">
        <v>10218</v>
      </c>
      <c r="C3332" s="1" t="s">
        <v>82</v>
      </c>
      <c r="D3332" s="1" t="s">
        <v>82</v>
      </c>
      <c r="E3332" s="6">
        <v>585.87</v>
      </c>
      <c r="F3332" s="1" t="s">
        <v>53</v>
      </c>
      <c r="G3332" s="6">
        <f ca="1">IFERROR(__xludf.DUMMYFUNCTION("iferror(GOOGLEFINANCE(TRIM(F3332)&amp;"":"" &amp; TRIM(B3332), ""price""),0
)"),0)</f>
        <v>0</v>
      </c>
      <c r="H3332" s="6">
        <v>16.3</v>
      </c>
      <c r="I3332" s="6">
        <f t="shared" ca="1" si="0"/>
        <v>16.3</v>
      </c>
      <c r="J3332" s="6">
        <f ca="1">IFERROR(__xludf.DUMMYFUNCTION("IFERROR(GOOGLEFINANCE(B3332, ""volume""), 0)"),0)</f>
        <v>0</v>
      </c>
      <c r="K3332" s="6">
        <v>-1.81</v>
      </c>
      <c r="L3332" s="6">
        <f ca="1">IFERROR(__xludf.DUMMYFUNCTION("IFERROR(GOOGLEFINANCE(B3332,""changepct""),K3332)"),-1.81)</f>
        <v>-1.81</v>
      </c>
      <c r="M3332" s="6">
        <f ca="1">IFERROR(__xludf.DUMMYFUNCTION("IFERROR(GOOGLEFINANCE(B3332,""change""),0)"),0)</f>
        <v>0</v>
      </c>
      <c r="N3332" s="6">
        <v>2</v>
      </c>
      <c r="O3332" s="7">
        <v>45536</v>
      </c>
      <c r="P3332" s="6">
        <v>100.78</v>
      </c>
      <c r="Q3332" s="6">
        <v>686.65</v>
      </c>
      <c r="R3332" s="7">
        <v>45536</v>
      </c>
      <c r="S3332" s="6">
        <v>178.76</v>
      </c>
      <c r="T3332" s="6">
        <v>1.51</v>
      </c>
      <c r="U3332" s="7">
        <v>45536</v>
      </c>
      <c r="V3332" s="6">
        <v>388.76</v>
      </c>
      <c r="W3332" s="6">
        <f ca="1">IFERROR(__xludf.DUMMYFUNCTION("IFERROR(GOOGLEFINANCE(B3332,""pe""),V3332)"),388.76)</f>
        <v>388.76</v>
      </c>
      <c r="X3332" s="6">
        <v>-14.5</v>
      </c>
      <c r="Y3332" s="6">
        <v>3.92</v>
      </c>
      <c r="Z3332" s="6">
        <v>2</v>
      </c>
      <c r="AA3332" s="8">
        <v>45352</v>
      </c>
      <c r="AB3332" s="4">
        <v>0.94</v>
      </c>
      <c r="AC3332" s="6">
        <v>1.52</v>
      </c>
      <c r="AD3332" s="6">
        <v>9.58</v>
      </c>
      <c r="AE3332" s="1">
        <v>0</v>
      </c>
      <c r="AF3332" s="1">
        <f ca="1">IFERROR(__xludf.DUMMYFUNCTION("IFERROR(GOOGLEFINANCE(TRIM(F3332)&amp;"":"" &amp; TRIM(B3332),""high52""),AE3332)"),0)</f>
        <v>0</v>
      </c>
      <c r="AG3332" s="1">
        <v>0</v>
      </c>
      <c r="AH3332" s="1">
        <f ca="1">IFERROR(__xludf.DUMMYFUNCTION("IFERROR(GOOGLEFINANCE(TRIM(F3332)&amp;"":"" &amp; TRIM(B3332),""low52""),AE3332)"),0)</f>
        <v>0</v>
      </c>
      <c r="AI3332" s="1">
        <f ca="1">IFERROR(__xludf.DUMMYFUNCTION("IFERROR(GOOGLEFINANCE(B3332,""eps""),0)"),0)</f>
        <v>0</v>
      </c>
      <c r="AJ3332" s="1"/>
      <c r="AK3332" s="1" t="s">
        <v>10219</v>
      </c>
      <c r="AL3332" s="9">
        <f t="shared" si="318"/>
        <v>1</v>
      </c>
    </row>
    <row r="3333" spans="1:38" ht="15" x14ac:dyDescent="0.25">
      <c r="A3333" s="1" t="s">
        <v>10220</v>
      </c>
      <c r="B3333" s="1" t="s">
        <v>10221</v>
      </c>
      <c r="C3333" s="1" t="s">
        <v>135</v>
      </c>
      <c r="D3333" s="1" t="s">
        <v>135</v>
      </c>
      <c r="E3333" s="6">
        <v>41.49</v>
      </c>
      <c r="F3333" s="1" t="s">
        <v>40</v>
      </c>
      <c r="G3333" s="6">
        <f ca="1">IFERROR(__xludf.DUMMYFUNCTION("iferror(GOOGLEFINANCE(TRIM(F3333)&amp;"":"" &amp; TRIM(B3333), ""price""),0
)"),10.71)</f>
        <v>10.71</v>
      </c>
      <c r="H3333" s="6">
        <v>15.95</v>
      </c>
      <c r="I3333" s="6">
        <f t="shared" ca="1" si="0"/>
        <v>10.71</v>
      </c>
      <c r="J3333" s="6">
        <f ca="1">IFERROR(__xludf.DUMMYFUNCTION("IFERROR(GOOGLEFINANCE(B3333, ""volume""), 0)"),37392)</f>
        <v>37392</v>
      </c>
      <c r="K3333" s="6">
        <v>-0.44</v>
      </c>
      <c r="L3333" s="6">
        <f ca="1">IFERROR(__xludf.DUMMYFUNCTION("IFERROR(GOOGLEFINANCE(B3333,""changepct""),K3333)"),-2.19)</f>
        <v>-2.19</v>
      </c>
      <c r="M3333" s="6">
        <f ca="1">IFERROR(__xludf.DUMMYFUNCTION("IFERROR(GOOGLEFINANCE(B3333,""change""),0)"),-0.24)</f>
        <v>-0.24</v>
      </c>
      <c r="N3333" s="6">
        <v>1</v>
      </c>
      <c r="O3333" s="7">
        <v>45536</v>
      </c>
      <c r="P3333" s="6">
        <v>28.9</v>
      </c>
      <c r="Q3333" s="6">
        <v>70.39</v>
      </c>
      <c r="R3333" s="7">
        <v>45536</v>
      </c>
      <c r="S3333" s="6">
        <v>200.49</v>
      </c>
      <c r="T3333" s="6">
        <v>0.4</v>
      </c>
      <c r="U3333" s="7">
        <v>45536</v>
      </c>
      <c r="V3333" s="6">
        <v>102.96</v>
      </c>
      <c r="W3333" s="6">
        <f ca="1">IFERROR(__xludf.DUMMYFUNCTION("IFERROR(GOOGLEFINANCE(B3333,""pe""),V3333)"),102.96)</f>
        <v>102.96</v>
      </c>
      <c r="X3333" s="6">
        <v>-3.7</v>
      </c>
      <c r="Y3333" s="6">
        <v>0.73</v>
      </c>
      <c r="Z3333" s="6">
        <v>1</v>
      </c>
      <c r="AA3333" s="8">
        <v>45352</v>
      </c>
      <c r="AB3333" s="4">
        <v>0.81</v>
      </c>
      <c r="AC3333" s="6">
        <v>1.9</v>
      </c>
      <c r="AD3333" s="6">
        <v>5.15</v>
      </c>
      <c r="AE3333" s="1">
        <v>0</v>
      </c>
      <c r="AF3333" s="1">
        <f ca="1">IFERROR(__xludf.DUMMYFUNCTION("IFERROR(GOOGLEFINANCE(TRIM(F3333)&amp;"":"" &amp; TRIM(B3333),""high52""),AE3333)"),14.32)</f>
        <v>14.32</v>
      </c>
      <c r="AG3333" s="1">
        <v>0</v>
      </c>
      <c r="AH3333" s="1">
        <f ca="1">IFERROR(__xludf.DUMMYFUNCTION("IFERROR(GOOGLEFINANCE(TRIM(F3333)&amp;"":"" &amp; TRIM(B3333),""low52""),AE3333)"),8.46)</f>
        <v>8.4600000000000009</v>
      </c>
      <c r="AI3333" s="1">
        <f ca="1">IFERROR(__xludf.DUMMYFUNCTION("IFERROR(GOOGLEFINANCE(B3333,""eps""),0)"),-1.31)</f>
        <v>-1.31</v>
      </c>
      <c r="AJ3333" s="1"/>
      <c r="AK3333" s="1" t="s">
        <v>10222</v>
      </c>
      <c r="AL3333" s="9">
        <f t="shared" si="318"/>
        <v>1</v>
      </c>
    </row>
    <row r="3334" spans="1:38" ht="15" x14ac:dyDescent="0.25">
      <c r="A3334" s="1" t="s">
        <v>10223</v>
      </c>
      <c r="B3334" s="1" t="s">
        <v>10224</v>
      </c>
      <c r="C3334" s="1" t="s">
        <v>82</v>
      </c>
      <c r="D3334" s="1" t="s">
        <v>82</v>
      </c>
      <c r="E3334" s="6">
        <v>12.7</v>
      </c>
      <c r="F3334" s="1" t="s">
        <v>53</v>
      </c>
      <c r="G3334" s="6">
        <f ca="1">IFERROR(__xludf.DUMMYFUNCTION("iferror(GOOGLEFINANCE(TRIM(F3334)&amp;"":"" &amp; TRIM(B3334), ""price""),0
)"),0)</f>
        <v>0</v>
      </c>
      <c r="H3334" s="6">
        <v>24.5</v>
      </c>
      <c r="I3334" s="6">
        <f t="shared" ca="1" si="0"/>
        <v>24.5</v>
      </c>
      <c r="J3334" s="6">
        <f ca="1">IFERROR(__xludf.DUMMYFUNCTION("IFERROR(GOOGLEFINANCE(B3334, ""volume""), 0)"),0)</f>
        <v>0</v>
      </c>
      <c r="K3334" s="6">
        <v>4.43</v>
      </c>
      <c r="L3334" s="6">
        <f ca="1">IFERROR(__xludf.DUMMYFUNCTION("IFERROR(GOOGLEFINANCE(B3334,""changepct""),K3334)"),4.43)</f>
        <v>4.43</v>
      </c>
      <c r="M3334" s="6">
        <f ca="1">IFERROR(__xludf.DUMMYFUNCTION("IFERROR(GOOGLEFINANCE(B3334,""change""),0)"),0)</f>
        <v>0</v>
      </c>
      <c r="N3334" s="6">
        <v>1</v>
      </c>
      <c r="O3334" s="7">
        <v>45536</v>
      </c>
      <c r="P3334" s="6">
        <v>4.6500000000000004</v>
      </c>
      <c r="Q3334" s="6">
        <v>17.350000000000001</v>
      </c>
      <c r="R3334" s="7">
        <v>45536</v>
      </c>
      <c r="S3334" s="6">
        <v>39.979999999999997</v>
      </c>
      <c r="T3334" s="6">
        <v>0.18</v>
      </c>
      <c r="U3334" s="7">
        <v>45536</v>
      </c>
      <c r="V3334" s="6">
        <v>71.75</v>
      </c>
      <c r="W3334" s="6">
        <f ca="1">IFERROR(__xludf.DUMMYFUNCTION("IFERROR(GOOGLEFINANCE(B3334,""pe""),V3334)"),71.75)</f>
        <v>71.75</v>
      </c>
      <c r="X3334" s="6">
        <v>-175</v>
      </c>
      <c r="Y3334" s="6">
        <v>1.49</v>
      </c>
      <c r="Z3334" s="6">
        <v>1</v>
      </c>
      <c r="AA3334" s="8">
        <v>45352</v>
      </c>
      <c r="AB3334" s="4">
        <v>0.38</v>
      </c>
      <c r="AC3334" s="6">
        <v>5.91</v>
      </c>
      <c r="AD3334" s="6">
        <v>8.58</v>
      </c>
      <c r="AE3334" s="1">
        <v>0</v>
      </c>
      <c r="AF3334" s="1">
        <f ca="1">IFERROR(__xludf.DUMMYFUNCTION("IFERROR(GOOGLEFINANCE(TRIM(F3334)&amp;"":"" &amp; TRIM(B3334),""high52""),AE3334)"),0)</f>
        <v>0</v>
      </c>
      <c r="AG3334" s="1">
        <v>0</v>
      </c>
      <c r="AH3334" s="1">
        <f ca="1">IFERROR(__xludf.DUMMYFUNCTION("IFERROR(GOOGLEFINANCE(TRIM(F3334)&amp;"":"" &amp; TRIM(B3334),""low52""),AE3334)"),0)</f>
        <v>0</v>
      </c>
      <c r="AI3334" s="1">
        <f ca="1">IFERROR(__xludf.DUMMYFUNCTION("IFERROR(GOOGLEFINANCE(B3334,""eps""),0)"),0)</f>
        <v>0</v>
      </c>
      <c r="AJ3334" s="1"/>
      <c r="AK3334" s="1" t="s">
        <v>10225</v>
      </c>
      <c r="AL3334" s="9">
        <f t="shared" si="318"/>
        <v>1</v>
      </c>
    </row>
    <row r="3335" spans="1:38" ht="15" x14ac:dyDescent="0.25">
      <c r="A3335" s="1" t="s">
        <v>10226</v>
      </c>
      <c r="B3335" s="1" t="s">
        <v>10227</v>
      </c>
      <c r="C3335" s="1" t="s">
        <v>82</v>
      </c>
      <c r="D3335" s="1" t="s">
        <v>82</v>
      </c>
      <c r="E3335" s="6">
        <v>7.01</v>
      </c>
      <c r="F3335" s="1" t="s">
        <v>53</v>
      </c>
      <c r="G3335" s="6">
        <f ca="1">IFERROR(__xludf.DUMMYFUNCTION("iferror(GOOGLEFINANCE(TRIM(F3335)&amp;"":"" &amp; TRIM(B3335), ""price""),0
)"),0)</f>
        <v>0</v>
      </c>
      <c r="H3335" s="6">
        <v>13.91</v>
      </c>
      <c r="I3335" s="6">
        <f t="shared" ca="1" si="0"/>
        <v>13.91</v>
      </c>
      <c r="J3335" s="6">
        <f ca="1">IFERROR(__xludf.DUMMYFUNCTION("IFERROR(GOOGLEFINANCE(B3335, ""volume""), 0)"),0)</f>
        <v>0</v>
      </c>
      <c r="K3335" s="6">
        <v>9.9600000000000009</v>
      </c>
      <c r="L3335" s="6">
        <f ca="1">IFERROR(__xludf.DUMMYFUNCTION("IFERROR(GOOGLEFINANCE(B3335,""changepct""),K3335)"),9.96)</f>
        <v>9.9600000000000009</v>
      </c>
      <c r="M3335" s="6">
        <f ca="1">IFERROR(__xludf.DUMMYFUNCTION("IFERROR(GOOGLEFINANCE(B3335,""change""),0)"),0)</f>
        <v>0</v>
      </c>
      <c r="N3335" s="6">
        <v>1</v>
      </c>
      <c r="O3335" s="7">
        <v>45536</v>
      </c>
      <c r="P3335" s="6">
        <v>2.1</v>
      </c>
      <c r="Q3335" s="6">
        <v>9.11</v>
      </c>
      <c r="R3335" s="7">
        <v>45536</v>
      </c>
      <c r="S3335" s="6">
        <v>0.9</v>
      </c>
      <c r="T3335" s="6">
        <v>-0.16</v>
      </c>
      <c r="U3335" s="7">
        <v>45536</v>
      </c>
      <c r="V3335" s="6">
        <v>0</v>
      </c>
      <c r="W3335" s="6">
        <f ca="1">IFERROR(__xludf.DUMMYFUNCTION("IFERROR(GOOGLEFINANCE(B3335,""pe""),V3335)"),0)</f>
        <v>0</v>
      </c>
      <c r="X3335" s="6">
        <v>0</v>
      </c>
      <c r="Y3335" s="6">
        <v>0.64</v>
      </c>
      <c r="Z3335" s="6">
        <v>1</v>
      </c>
      <c r="AA3335" s="8">
        <v>45352</v>
      </c>
      <c r="AB3335" s="4">
        <v>0.22</v>
      </c>
      <c r="AC3335" s="6">
        <v>-1.1499999999999999</v>
      </c>
      <c r="AD3335" s="6">
        <v>0.93</v>
      </c>
      <c r="AE3335" s="1">
        <v>0</v>
      </c>
      <c r="AF3335" s="1">
        <f ca="1">IFERROR(__xludf.DUMMYFUNCTION("IFERROR(GOOGLEFINANCE(TRIM(F3335)&amp;"":"" &amp; TRIM(B3335),""high52""),AE3335)"),0)</f>
        <v>0</v>
      </c>
      <c r="AG3335" s="1">
        <v>0</v>
      </c>
      <c r="AH3335" s="1">
        <f ca="1">IFERROR(__xludf.DUMMYFUNCTION("IFERROR(GOOGLEFINANCE(TRIM(F3335)&amp;"":"" &amp; TRIM(B3335),""low52""),AE3335)"),0)</f>
        <v>0</v>
      </c>
      <c r="AI3335" s="1">
        <f ca="1">IFERROR(__xludf.DUMMYFUNCTION("IFERROR(GOOGLEFINANCE(B3335,""eps""),0)"),0)</f>
        <v>0</v>
      </c>
      <c r="AJ3335" s="1"/>
      <c r="AK3335" s="1" t="s">
        <v>10228</v>
      </c>
      <c r="AL3335" s="9">
        <f t="shared" si="318"/>
        <v>1</v>
      </c>
    </row>
    <row r="3336" spans="1:38" ht="15" x14ac:dyDescent="0.25">
      <c r="A3336" s="1" t="s">
        <v>10229</v>
      </c>
      <c r="B3336" s="1" t="s">
        <v>10230</v>
      </c>
      <c r="C3336" s="1" t="s">
        <v>106</v>
      </c>
      <c r="D3336" s="1" t="s">
        <v>106</v>
      </c>
      <c r="E3336" s="6">
        <v>11511.28</v>
      </c>
      <c r="F3336" s="1" t="s">
        <v>40</v>
      </c>
      <c r="G3336" s="6">
        <f ca="1">IFERROR(__xludf.DUMMYFUNCTION("iferror(GOOGLEFINANCE(TRIM(F3336)&amp;"":"" &amp; TRIM(B3336), ""price""),0
)"),4240)</f>
        <v>4240</v>
      </c>
      <c r="H3336" s="6">
        <v>4982.75</v>
      </c>
      <c r="I3336" s="6">
        <f t="shared" ca="1" si="0"/>
        <v>4240</v>
      </c>
      <c r="J3336" s="6">
        <f ca="1">IFERROR(__xludf.DUMMYFUNCTION("IFERROR(GOOGLEFINANCE(B3336, ""volume""), 0)"),2583)</f>
        <v>2583</v>
      </c>
      <c r="K3336" s="6">
        <v>-0.31</v>
      </c>
      <c r="L3336" s="6">
        <f ca="1">IFERROR(__xludf.DUMMYFUNCTION("IFERROR(GOOGLEFINANCE(B3336,""changepct""),K3336)"),-0.19)</f>
        <v>-0.19</v>
      </c>
      <c r="M3336" s="6">
        <f ca="1">IFERROR(__xludf.DUMMYFUNCTION("IFERROR(GOOGLEFINANCE(B3336,""change""),0)"),-7.9)</f>
        <v>-7.9</v>
      </c>
      <c r="N3336" s="6">
        <v>1</v>
      </c>
      <c r="O3336" s="14"/>
      <c r="P3336" s="12"/>
      <c r="Q3336" s="6">
        <v>11511.28</v>
      </c>
      <c r="R3336" s="14"/>
      <c r="S3336" s="9"/>
      <c r="T3336" s="9"/>
      <c r="U3336" s="6">
        <v>0</v>
      </c>
      <c r="V3336" s="9"/>
      <c r="W3336" s="6">
        <f ca="1">IFERROR(__xludf.DUMMYFUNCTION("IFERROR(GOOGLEFINANCE(B3336,""pe""),V3336)"),44.81)</f>
        <v>44.81</v>
      </c>
      <c r="X3336" s="9"/>
      <c r="Y3336" s="9"/>
      <c r="Z3336" s="6">
        <v>1</v>
      </c>
      <c r="AA3336" s="3">
        <v>0</v>
      </c>
      <c r="AB3336" s="11"/>
      <c r="AC3336" s="9"/>
      <c r="AD3336" s="9"/>
      <c r="AE3336" s="1">
        <v>0</v>
      </c>
      <c r="AF3336" s="1">
        <f ca="1">IFERROR(__xludf.DUMMYFUNCTION("IFERROR(GOOGLEFINANCE(TRIM(F3336)&amp;"":"" &amp; TRIM(B3336),""high52""),AE3336)"),5894.5)</f>
        <v>5894.5</v>
      </c>
      <c r="AG3336" s="1">
        <v>0</v>
      </c>
      <c r="AH3336" s="1">
        <f ca="1">IFERROR(__xludf.DUMMYFUNCTION("IFERROR(GOOGLEFINANCE(TRIM(F3336)&amp;"":"" &amp; TRIM(B3336),""low52""),AE3336)"),3990)</f>
        <v>3990</v>
      </c>
      <c r="AI3336" s="1">
        <f ca="1">IFERROR(__xludf.DUMMYFUNCTION("IFERROR(GOOGLEFINANCE(B3336,""eps""),0)"),94.62)</f>
        <v>94.62</v>
      </c>
      <c r="AJ3336" s="1"/>
      <c r="AK3336" s="1" t="s">
        <v>10231</v>
      </c>
      <c r="AL3336" s="9">
        <f t="shared" si="318"/>
        <v>0</v>
      </c>
    </row>
    <row r="3337" spans="1:38" ht="15" x14ac:dyDescent="0.25">
      <c r="A3337" s="1" t="s">
        <v>10232</v>
      </c>
      <c r="B3337" s="1" t="s">
        <v>10233</v>
      </c>
      <c r="C3337" s="1" t="s">
        <v>106</v>
      </c>
      <c r="D3337" s="1" t="s">
        <v>106</v>
      </c>
      <c r="E3337" s="6">
        <v>14055.36</v>
      </c>
      <c r="F3337" s="1" t="s">
        <v>40</v>
      </c>
      <c r="G3337" s="6">
        <f ca="1">IFERROR(__xludf.DUMMYFUNCTION("iferror(GOOGLEFINANCE(TRIM(F3337)&amp;"":"" &amp; TRIM(B3337), ""price""),0
)"),4030)</f>
        <v>4030</v>
      </c>
      <c r="H3337" s="6">
        <v>6088.1</v>
      </c>
      <c r="I3337" s="6">
        <f t="shared" ca="1" si="0"/>
        <v>4030</v>
      </c>
      <c r="J3337" s="6">
        <f ca="1">IFERROR(__xludf.DUMMYFUNCTION("IFERROR(GOOGLEFINANCE(B3337, ""volume""), 0)"),8225)</f>
        <v>8225</v>
      </c>
      <c r="K3337" s="6">
        <v>-0.36</v>
      </c>
      <c r="L3337" s="6">
        <f ca="1">IFERROR(__xludf.DUMMYFUNCTION("IFERROR(GOOGLEFINANCE(B3337,""changepct""),K3337)"),-0.85)</f>
        <v>-0.85</v>
      </c>
      <c r="M3337" s="6">
        <f ca="1">IFERROR(__xludf.DUMMYFUNCTION("IFERROR(GOOGLEFINANCE(B3337,""change""),0)"),-34.4)</f>
        <v>-34.4</v>
      </c>
      <c r="N3337" s="6">
        <v>2</v>
      </c>
      <c r="O3337" s="7">
        <v>45444</v>
      </c>
      <c r="P3337" s="9"/>
      <c r="Q3337" s="6">
        <v>13795.16</v>
      </c>
      <c r="R3337" s="7">
        <v>45536</v>
      </c>
      <c r="S3337" s="6">
        <v>2413.8000000000002</v>
      </c>
      <c r="T3337" s="6">
        <v>424.7</v>
      </c>
      <c r="U3337" s="7">
        <v>45536</v>
      </c>
      <c r="V3337" s="6">
        <v>30.58</v>
      </c>
      <c r="W3337" s="6">
        <f ca="1">IFERROR(__xludf.DUMMYFUNCTION("IFERROR(GOOGLEFINANCE(B3337,""pe""),V3337)"),26.05)</f>
        <v>26.05</v>
      </c>
      <c r="X3337" s="12"/>
      <c r="Y3337" s="6">
        <v>18.329999999999998</v>
      </c>
      <c r="Z3337" s="6">
        <v>2</v>
      </c>
      <c r="AA3337" s="8">
        <v>45261</v>
      </c>
      <c r="AB3337" s="4">
        <v>0</v>
      </c>
      <c r="AC3337" s="6">
        <v>87.18</v>
      </c>
      <c r="AD3337" s="6">
        <v>115.15</v>
      </c>
      <c r="AE3337" s="1">
        <v>0</v>
      </c>
      <c r="AF3337" s="1">
        <f ca="1">IFERROR(__xludf.DUMMYFUNCTION("IFERROR(GOOGLEFINANCE(TRIM(F3337)&amp;"":"" &amp; TRIM(B3337),""high52""),AE3337)"),6717)</f>
        <v>6717</v>
      </c>
      <c r="AG3337" s="1">
        <v>0</v>
      </c>
      <c r="AH3337" s="1">
        <f ca="1">IFERROR(__xludf.DUMMYFUNCTION("IFERROR(GOOGLEFINANCE(TRIM(F3337)&amp;"":"" &amp; TRIM(B3337),""low52""),AE3337)"),3976)</f>
        <v>3976</v>
      </c>
      <c r="AI3337" s="1">
        <f ca="1">IFERROR(__xludf.DUMMYFUNCTION("IFERROR(GOOGLEFINANCE(B3337,""eps""),0)"),154.71)</f>
        <v>154.71</v>
      </c>
      <c r="AJ3337" s="1"/>
      <c r="AK3337" s="1" t="s">
        <v>10234</v>
      </c>
      <c r="AL3337" s="9">
        <f t="shared" si="318"/>
        <v>1</v>
      </c>
    </row>
    <row r="3338" spans="1:38" ht="15" x14ac:dyDescent="0.25">
      <c r="A3338" s="1" t="s">
        <v>10235</v>
      </c>
      <c r="B3338" s="1" t="s">
        <v>10236</v>
      </c>
      <c r="C3338" s="1" t="s">
        <v>355</v>
      </c>
      <c r="D3338" s="1" t="s">
        <v>355</v>
      </c>
      <c r="E3338" s="6">
        <v>9165.98</v>
      </c>
      <c r="F3338" s="1" t="s">
        <v>40</v>
      </c>
      <c r="G3338" s="6">
        <f ca="1">IFERROR(__xludf.DUMMYFUNCTION("iferror(GOOGLEFINANCE(TRIM(F3338)&amp;"":"" &amp; TRIM(B3338), ""price""),0
)"),1743)</f>
        <v>1743</v>
      </c>
      <c r="H3338" s="6">
        <v>1473</v>
      </c>
      <c r="I3338" s="6">
        <f t="shared" ca="1" si="0"/>
        <v>1743</v>
      </c>
      <c r="J3338" s="6">
        <f ca="1">IFERROR(__xludf.DUMMYFUNCTION("IFERROR(GOOGLEFINANCE(B3338, ""volume""), 0)"),150469)</f>
        <v>150469</v>
      </c>
      <c r="K3338" s="6">
        <v>-0.86</v>
      </c>
      <c r="L3338" s="6">
        <f ca="1">IFERROR(__xludf.DUMMYFUNCTION("IFERROR(GOOGLEFINANCE(B3338,""changepct""),K3338)"),2.58)</f>
        <v>2.58</v>
      </c>
      <c r="M3338" s="6">
        <f ca="1">IFERROR(__xludf.DUMMYFUNCTION("IFERROR(GOOGLEFINANCE(B3338,""change""),0)"),43.8)</f>
        <v>43.8</v>
      </c>
      <c r="N3338" s="6">
        <v>2</v>
      </c>
      <c r="O3338" s="7">
        <v>45536</v>
      </c>
      <c r="P3338" s="6">
        <v>1007.89</v>
      </c>
      <c r="Q3338" s="6">
        <v>10045.709999999999</v>
      </c>
      <c r="R3338" s="7">
        <v>45536</v>
      </c>
      <c r="S3338" s="6">
        <v>2965.78</v>
      </c>
      <c r="T3338" s="6">
        <v>196.51</v>
      </c>
      <c r="U3338" s="7">
        <v>45536</v>
      </c>
      <c r="V3338" s="6">
        <v>47.18</v>
      </c>
      <c r="W3338" s="6">
        <f ca="1">IFERROR(__xludf.DUMMYFUNCTION("IFERROR(GOOGLEFINANCE(B3338,""pe""),V3338)"),43.32)</f>
        <v>43.32</v>
      </c>
      <c r="X3338" s="9"/>
      <c r="Y3338" s="6">
        <v>3.45</v>
      </c>
      <c r="Z3338" s="6">
        <v>2</v>
      </c>
      <c r="AA3338" s="8">
        <v>45352</v>
      </c>
      <c r="AB3338" s="4">
        <v>0.6</v>
      </c>
      <c r="AC3338" s="6">
        <v>15.09</v>
      </c>
      <c r="AD3338" s="6">
        <v>16.61</v>
      </c>
      <c r="AE3338" s="1">
        <v>0</v>
      </c>
      <c r="AF3338" s="1">
        <f ca="1">IFERROR(__xludf.DUMMYFUNCTION("IFERROR(GOOGLEFINANCE(TRIM(F3338)&amp;"":"" &amp; TRIM(B3338),""high52""),AE3338)"),1958.3)</f>
        <v>1958.3</v>
      </c>
      <c r="AG3338" s="1">
        <v>0</v>
      </c>
      <c r="AH3338" s="1">
        <f ca="1">IFERROR(__xludf.DUMMYFUNCTION("IFERROR(GOOGLEFINANCE(TRIM(F3338)&amp;"":"" &amp; TRIM(B3338),""low52""),AE3338)"),972.2)</f>
        <v>972.2</v>
      </c>
      <c r="AI3338" s="1">
        <f ca="1">IFERROR(__xludf.DUMMYFUNCTION("IFERROR(GOOGLEFINANCE(B3338,""eps""),0)"),40.23)</f>
        <v>40.229999999999997</v>
      </c>
      <c r="AJ3338" s="1"/>
      <c r="AK3338" s="1" t="s">
        <v>10237</v>
      </c>
      <c r="AL3338" s="1" t="b">
        <f>ISNUMBER(AA3338)</f>
        <v>1</v>
      </c>
    </row>
    <row r="3339" spans="1:38" ht="15" x14ac:dyDescent="0.25">
      <c r="A3339" s="1" t="s">
        <v>10238</v>
      </c>
      <c r="B3339" s="1" t="s">
        <v>10239</v>
      </c>
      <c r="C3339" s="1" t="s">
        <v>82</v>
      </c>
      <c r="D3339" s="1" t="s">
        <v>82</v>
      </c>
      <c r="E3339" s="6">
        <v>40.11</v>
      </c>
      <c r="F3339" s="1" t="s">
        <v>53</v>
      </c>
      <c r="G3339" s="6">
        <f ca="1">IFERROR(__xludf.DUMMYFUNCTION("iferror(GOOGLEFINANCE(TRIM(F3339)&amp;"":"" &amp; TRIM(B3339), ""price""),0
)"),0)</f>
        <v>0</v>
      </c>
      <c r="H3339" s="6">
        <v>40.11</v>
      </c>
      <c r="I3339" s="6">
        <f t="shared" ca="1" si="0"/>
        <v>40.11</v>
      </c>
      <c r="J3339" s="6">
        <f ca="1">IFERROR(__xludf.DUMMYFUNCTION("IFERROR(GOOGLEFINANCE(B3339, ""volume""), 0)"),0)</f>
        <v>0</v>
      </c>
      <c r="K3339" s="6">
        <v>0</v>
      </c>
      <c r="L3339" s="6">
        <f ca="1">IFERROR(__xludf.DUMMYFUNCTION("IFERROR(GOOGLEFINANCE(B3339,""changepct""),K3339)"),0)</f>
        <v>0</v>
      </c>
      <c r="M3339" s="6">
        <f ca="1">IFERROR(__xludf.DUMMYFUNCTION("IFERROR(GOOGLEFINANCE(B3339,""change""),0)"),0)</f>
        <v>0</v>
      </c>
      <c r="N3339" s="6">
        <v>2</v>
      </c>
      <c r="O3339" s="7">
        <v>45536</v>
      </c>
      <c r="P3339" s="6">
        <v>87.17</v>
      </c>
      <c r="Q3339" s="6">
        <v>118.12</v>
      </c>
      <c r="R3339" s="7">
        <v>45536</v>
      </c>
      <c r="S3339" s="6">
        <v>209.77</v>
      </c>
      <c r="T3339" s="6">
        <v>-0.42</v>
      </c>
      <c r="U3339" s="7">
        <v>45536</v>
      </c>
      <c r="V3339" s="6">
        <v>0</v>
      </c>
      <c r="W3339" s="6">
        <f ca="1">IFERROR(__xludf.DUMMYFUNCTION("IFERROR(GOOGLEFINANCE(B3339,""pe""),V3339)"),0)</f>
        <v>0</v>
      </c>
      <c r="X3339" s="9"/>
      <c r="Y3339" s="6">
        <v>0.65</v>
      </c>
      <c r="Z3339" s="6">
        <v>2</v>
      </c>
      <c r="AA3339" s="8">
        <v>45352</v>
      </c>
      <c r="AB3339" s="4">
        <v>1.29</v>
      </c>
      <c r="AC3339" s="6">
        <v>-4.67</v>
      </c>
      <c r="AD3339" s="6">
        <v>0.05</v>
      </c>
      <c r="AE3339" s="1">
        <v>0</v>
      </c>
      <c r="AF3339" s="1">
        <f ca="1">IFERROR(__xludf.DUMMYFUNCTION("IFERROR(GOOGLEFINANCE(TRIM(F3339)&amp;"":"" &amp; TRIM(B3339),""high52""),AE3339)"),0)</f>
        <v>0</v>
      </c>
      <c r="AG3339" s="1">
        <v>0</v>
      </c>
      <c r="AH3339" s="1">
        <f ca="1">IFERROR(__xludf.DUMMYFUNCTION("IFERROR(GOOGLEFINANCE(TRIM(F3339)&amp;"":"" &amp; TRIM(B3339),""low52""),AE3339)"),0)</f>
        <v>0</v>
      </c>
      <c r="AI3339" s="1">
        <f ca="1">IFERROR(__xludf.DUMMYFUNCTION("IFERROR(GOOGLEFINANCE(B3339,""eps""),0)"),0)</f>
        <v>0</v>
      </c>
      <c r="AJ3339" s="1"/>
      <c r="AK3339" s="1" t="s">
        <v>10240</v>
      </c>
      <c r="AL3339" s="9">
        <f t="shared" ref="AL3339:AL3372" si="319">IF(AA3339&lt;&gt;AB3339,1,0)</f>
        <v>1</v>
      </c>
    </row>
    <row r="3340" spans="1:38" ht="15" x14ac:dyDescent="0.25">
      <c r="A3340" s="1" t="s">
        <v>10241</v>
      </c>
      <c r="B3340" s="1" t="s">
        <v>10242</v>
      </c>
      <c r="C3340" s="1" t="s">
        <v>324</v>
      </c>
      <c r="D3340" s="1" t="s">
        <v>324</v>
      </c>
      <c r="E3340" s="6">
        <v>2336.37</v>
      </c>
      <c r="F3340" s="1" t="s">
        <v>40</v>
      </c>
      <c r="G3340" s="6">
        <f ca="1">IFERROR(__xludf.DUMMYFUNCTION("iferror(GOOGLEFINANCE(TRIM(F3340)&amp;"":"" &amp; TRIM(B3340), ""price""),0
)"),89.81)</f>
        <v>89.81</v>
      </c>
      <c r="H3340" s="6">
        <v>130.12</v>
      </c>
      <c r="I3340" s="6">
        <f t="shared" ca="1" si="0"/>
        <v>89.81</v>
      </c>
      <c r="J3340" s="6">
        <f ca="1">IFERROR(__xludf.DUMMYFUNCTION("IFERROR(GOOGLEFINANCE(B3340, ""volume""), 0)"),88296)</f>
        <v>88296</v>
      </c>
      <c r="K3340" s="6">
        <v>1.53</v>
      </c>
      <c r="L3340" s="6">
        <f ca="1">IFERROR(__xludf.DUMMYFUNCTION("IFERROR(GOOGLEFINANCE(B3340,""changepct""),K3340)"),-0.4)</f>
        <v>-0.4</v>
      </c>
      <c r="M3340" s="6">
        <f ca="1">IFERROR(__xludf.DUMMYFUNCTION("IFERROR(GOOGLEFINANCE(B3340,""change""),0)"),-0.36)</f>
        <v>-0.36</v>
      </c>
      <c r="N3340" s="6">
        <v>1</v>
      </c>
      <c r="O3340" s="7">
        <v>45536</v>
      </c>
      <c r="P3340" s="6">
        <v>66.81</v>
      </c>
      <c r="Q3340" s="6">
        <v>2094.35</v>
      </c>
      <c r="R3340" s="9"/>
      <c r="S3340" s="9"/>
      <c r="T3340" s="9"/>
      <c r="U3340" s="7">
        <v>45352</v>
      </c>
      <c r="V3340" s="6">
        <v>34.99</v>
      </c>
      <c r="W3340" s="6">
        <f ca="1">IFERROR(__xludf.DUMMYFUNCTION("IFERROR(GOOGLEFINANCE(B3340,""pe""),V3340)"),81.8)</f>
        <v>81.8</v>
      </c>
      <c r="X3340" s="9"/>
      <c r="Y3340" s="6">
        <v>3.66</v>
      </c>
      <c r="Z3340" s="6">
        <v>2</v>
      </c>
      <c r="AA3340" s="8">
        <v>45352</v>
      </c>
      <c r="AB3340" s="4">
        <v>0.59</v>
      </c>
      <c r="AC3340" s="6">
        <v>36.25</v>
      </c>
      <c r="AD3340" s="6">
        <v>33.06</v>
      </c>
      <c r="AE3340" s="1">
        <v>0</v>
      </c>
      <c r="AF3340" s="1">
        <f ca="1">IFERROR(__xludf.DUMMYFUNCTION("IFERROR(GOOGLEFINANCE(TRIM(F3340)&amp;"":"" &amp; TRIM(B3340),""high52""),AE3340)"),115.01)</f>
        <v>115.01</v>
      </c>
      <c r="AG3340" s="1">
        <v>0</v>
      </c>
      <c r="AH3340" s="1">
        <f ca="1">IFERROR(__xludf.DUMMYFUNCTION("IFERROR(GOOGLEFINANCE(TRIM(F3340)&amp;"":"" &amp; TRIM(B3340),""low52""),AE3340)"),80)</f>
        <v>80</v>
      </c>
      <c r="AI3340" s="1">
        <f ca="1">IFERROR(__xludf.DUMMYFUNCTION("IFERROR(GOOGLEFINANCE(B3340,""eps""),0)"),1.1)</f>
        <v>1.1000000000000001</v>
      </c>
      <c r="AJ3340" s="1"/>
      <c r="AK3340" s="1" t="s">
        <v>10243</v>
      </c>
      <c r="AL3340" s="9">
        <f t="shared" si="319"/>
        <v>1</v>
      </c>
    </row>
    <row r="3341" spans="1:38" ht="15" x14ac:dyDescent="0.25">
      <c r="A3341" s="1" t="s">
        <v>10244</v>
      </c>
      <c r="B3341" s="1" t="s">
        <v>10245</v>
      </c>
      <c r="C3341" s="1" t="s">
        <v>317</v>
      </c>
      <c r="D3341" s="1" t="s">
        <v>317</v>
      </c>
      <c r="E3341" s="6">
        <v>36.07</v>
      </c>
      <c r="F3341" s="1" t="s">
        <v>40</v>
      </c>
      <c r="G3341" s="6">
        <f ca="1">IFERROR(__xludf.DUMMYFUNCTION("iferror(GOOGLEFINANCE(TRIM(F3341)&amp;"":"" &amp; TRIM(B3341), ""price""),0
)"),0.28)</f>
        <v>0.28000000000000003</v>
      </c>
      <c r="H3341" s="6">
        <v>0.48</v>
      </c>
      <c r="I3341" s="6">
        <f t="shared" ca="1" si="0"/>
        <v>0.28000000000000003</v>
      </c>
      <c r="J3341" s="6">
        <f ca="1">IFERROR(__xludf.DUMMYFUNCTION("IFERROR(GOOGLEFINANCE(B3341, ""volume""), 0)"),444269)</f>
        <v>444269</v>
      </c>
      <c r="K3341" s="6">
        <v>2.13</v>
      </c>
      <c r="L3341" s="6">
        <f ca="1">IFERROR(__xludf.DUMMYFUNCTION("IFERROR(GOOGLEFINANCE(B3341,""changepct""),K3341)"),3.7)</f>
        <v>3.7</v>
      </c>
      <c r="M3341" s="6">
        <f ca="1">IFERROR(__xludf.DUMMYFUNCTION("IFERROR(GOOGLEFINANCE(B3341,""change""),0)"),0.01)</f>
        <v>0.01</v>
      </c>
      <c r="N3341" s="6">
        <v>1</v>
      </c>
      <c r="O3341" s="7">
        <v>45536</v>
      </c>
      <c r="P3341" s="6">
        <v>913.56</v>
      </c>
      <c r="Q3341" s="6">
        <v>949.62</v>
      </c>
      <c r="R3341" s="7">
        <v>45536</v>
      </c>
      <c r="S3341" s="6">
        <v>1.06</v>
      </c>
      <c r="T3341" s="6">
        <v>-3.26</v>
      </c>
      <c r="U3341" s="7">
        <v>45536</v>
      </c>
      <c r="V3341" s="6">
        <v>0</v>
      </c>
      <c r="W3341" s="6">
        <f ca="1">IFERROR(__xludf.DUMMYFUNCTION("IFERROR(GOOGLEFINANCE(B3341,""pe""),V3341)"),0)</f>
        <v>0</v>
      </c>
      <c r="X3341" s="9"/>
      <c r="Y3341" s="6">
        <v>-0.06</v>
      </c>
      <c r="Z3341" s="6">
        <v>2</v>
      </c>
      <c r="AA3341" s="8">
        <v>45352</v>
      </c>
      <c r="AB3341" s="4">
        <v>-1.43</v>
      </c>
      <c r="AC3341" s="6">
        <v>0</v>
      </c>
      <c r="AD3341" s="6">
        <v>-2.36</v>
      </c>
      <c r="AE3341" s="1">
        <v>0</v>
      </c>
      <c r="AF3341" s="1">
        <f ca="1">IFERROR(__xludf.DUMMYFUNCTION("IFERROR(GOOGLEFINANCE(TRIM(F3341)&amp;"":"" &amp; TRIM(B3341),""high52""),AE3341)"),0.49)</f>
        <v>0.49</v>
      </c>
      <c r="AG3341" s="1">
        <v>0</v>
      </c>
      <c r="AH3341" s="1">
        <f ca="1">IFERROR(__xludf.DUMMYFUNCTION("IFERROR(GOOGLEFINANCE(TRIM(F3341)&amp;"":"" &amp; TRIM(B3341),""low52""),AE3341)"),0.24)</f>
        <v>0.24</v>
      </c>
      <c r="AI3341" s="1">
        <f ca="1">IFERROR(__xludf.DUMMYFUNCTION("IFERROR(GOOGLEFINANCE(B3341,""eps""),0)"),-0.05)</f>
        <v>-0.05</v>
      </c>
      <c r="AJ3341" s="1"/>
      <c r="AK3341" s="1" t="s">
        <v>10246</v>
      </c>
      <c r="AL3341" s="9">
        <f t="shared" si="319"/>
        <v>1</v>
      </c>
    </row>
    <row r="3342" spans="1:38" ht="15" x14ac:dyDescent="0.25">
      <c r="A3342" s="1" t="s">
        <v>10247</v>
      </c>
      <c r="B3342" s="1" t="s">
        <v>10248</v>
      </c>
      <c r="C3342" s="1" t="s">
        <v>82</v>
      </c>
      <c r="D3342" s="1" t="s">
        <v>82</v>
      </c>
      <c r="E3342" s="6">
        <v>74.03</v>
      </c>
      <c r="F3342" s="1" t="s">
        <v>53</v>
      </c>
      <c r="G3342" s="6">
        <f ca="1">IFERROR(__xludf.DUMMYFUNCTION("iferror(GOOGLEFINANCE(TRIM(F3342)&amp;"":"" &amp; TRIM(B3342), ""price""),0
)"),0)</f>
        <v>0</v>
      </c>
      <c r="H3342" s="6">
        <v>4.95</v>
      </c>
      <c r="I3342" s="6">
        <f t="shared" ca="1" si="0"/>
        <v>4.95</v>
      </c>
      <c r="J3342" s="6">
        <f ca="1">IFERROR(__xludf.DUMMYFUNCTION("IFERROR(GOOGLEFINANCE(B3342, ""volume""), 0)"),0)</f>
        <v>0</v>
      </c>
      <c r="K3342" s="6">
        <v>-0.8</v>
      </c>
      <c r="L3342" s="6">
        <f ca="1">IFERROR(__xludf.DUMMYFUNCTION("IFERROR(GOOGLEFINANCE(B3342,""changepct""),K3342)"),-0.8)</f>
        <v>-0.8</v>
      </c>
      <c r="M3342" s="6">
        <f ca="1">IFERROR(__xludf.DUMMYFUNCTION("IFERROR(GOOGLEFINANCE(B3342,""change""),0)"),0)</f>
        <v>0</v>
      </c>
      <c r="N3342" s="6">
        <v>2</v>
      </c>
      <c r="O3342" s="7">
        <v>45536</v>
      </c>
      <c r="P3342" s="6">
        <v>0.13</v>
      </c>
      <c r="Q3342" s="6">
        <v>74.16</v>
      </c>
      <c r="R3342" s="7">
        <v>45536</v>
      </c>
      <c r="S3342" s="6">
        <v>173.13</v>
      </c>
      <c r="T3342" s="6">
        <v>70.739999999999995</v>
      </c>
      <c r="U3342" s="7">
        <v>45536</v>
      </c>
      <c r="V3342" s="6">
        <v>1.05</v>
      </c>
      <c r="W3342" s="6">
        <f ca="1">IFERROR(__xludf.DUMMYFUNCTION("IFERROR(GOOGLEFINANCE(B3342,""pe""),V3342)"),1.05)</f>
        <v>1.05</v>
      </c>
      <c r="X3342" s="12"/>
      <c r="Y3342" s="6">
        <v>0.37</v>
      </c>
      <c r="Z3342" s="6">
        <v>2</v>
      </c>
      <c r="AA3342" s="8">
        <v>44986</v>
      </c>
      <c r="AB3342" s="4">
        <v>0</v>
      </c>
      <c r="AC3342" s="6">
        <v>128.04</v>
      </c>
      <c r="AD3342" s="6">
        <v>109.66</v>
      </c>
      <c r="AE3342" s="1">
        <v>0</v>
      </c>
      <c r="AF3342" s="1">
        <f ca="1">IFERROR(__xludf.DUMMYFUNCTION("IFERROR(GOOGLEFINANCE(TRIM(F3342)&amp;"":"" &amp; TRIM(B3342),""high52""),AE3342)"),0)</f>
        <v>0</v>
      </c>
      <c r="AG3342" s="1">
        <v>0</v>
      </c>
      <c r="AH3342" s="1">
        <f ca="1">IFERROR(__xludf.DUMMYFUNCTION("IFERROR(GOOGLEFINANCE(TRIM(F3342)&amp;"":"" &amp; TRIM(B3342),""low52""),AE3342)"),0)</f>
        <v>0</v>
      </c>
      <c r="AI3342" s="1">
        <f ca="1">IFERROR(__xludf.DUMMYFUNCTION("IFERROR(GOOGLEFINANCE(B3342,""eps""),0)"),0)</f>
        <v>0</v>
      </c>
      <c r="AJ3342" s="1"/>
      <c r="AK3342" s="1" t="s">
        <v>10249</v>
      </c>
      <c r="AL3342" s="9">
        <f t="shared" si="319"/>
        <v>1</v>
      </c>
    </row>
    <row r="3343" spans="1:38" ht="15" x14ac:dyDescent="0.25">
      <c r="A3343" s="1" t="s">
        <v>10250</v>
      </c>
      <c r="B3343" s="1" t="s">
        <v>10251</v>
      </c>
      <c r="C3343" s="1" t="s">
        <v>82</v>
      </c>
      <c r="D3343" s="1" t="s">
        <v>82</v>
      </c>
      <c r="E3343" s="6">
        <v>194.43</v>
      </c>
      <c r="F3343" s="1" t="s">
        <v>53</v>
      </c>
      <c r="G3343" s="6">
        <f ca="1">IFERROR(__xludf.DUMMYFUNCTION("iferror(GOOGLEFINANCE(TRIM(F3343)&amp;"":"" &amp; TRIM(B3343), ""price""),0
)"),0)</f>
        <v>0</v>
      </c>
      <c r="H3343" s="6">
        <v>178.7</v>
      </c>
      <c r="I3343" s="6">
        <f t="shared" ca="1" si="0"/>
        <v>178.7</v>
      </c>
      <c r="J3343" s="6">
        <f ca="1">IFERROR(__xludf.DUMMYFUNCTION("IFERROR(GOOGLEFINANCE(B3343, ""volume""), 0)"),0)</f>
        <v>0</v>
      </c>
      <c r="K3343" s="6">
        <v>1.1000000000000001</v>
      </c>
      <c r="L3343" s="6">
        <f ca="1">IFERROR(__xludf.DUMMYFUNCTION("IFERROR(GOOGLEFINANCE(B3343,""changepct""),K3343)"),1.1)</f>
        <v>1.1000000000000001</v>
      </c>
      <c r="M3343" s="6">
        <f ca="1">IFERROR(__xludf.DUMMYFUNCTION("IFERROR(GOOGLEFINANCE(B3343,""change""),0)"),0)</f>
        <v>0</v>
      </c>
      <c r="N3343" s="6">
        <v>2</v>
      </c>
      <c r="O3343" s="7">
        <v>45536</v>
      </c>
      <c r="P3343" s="6">
        <v>41.09</v>
      </c>
      <c r="Q3343" s="6">
        <v>220.49</v>
      </c>
      <c r="R3343" s="7">
        <v>45536</v>
      </c>
      <c r="S3343" s="6">
        <v>181.41</v>
      </c>
      <c r="T3343" s="6">
        <v>12.1</v>
      </c>
      <c r="U3343" s="7">
        <v>45536</v>
      </c>
      <c r="V3343" s="6">
        <v>9.67</v>
      </c>
      <c r="W3343" s="6">
        <f ca="1">IFERROR(__xludf.DUMMYFUNCTION("IFERROR(GOOGLEFINANCE(B3343,""pe""),V3343)"),9.67)</f>
        <v>9.67</v>
      </c>
      <c r="X3343" s="6">
        <v>0.53</v>
      </c>
      <c r="Y3343" s="6">
        <v>1.21</v>
      </c>
      <c r="Z3343" s="6">
        <v>2</v>
      </c>
      <c r="AA3343" s="8">
        <v>45352</v>
      </c>
      <c r="AB3343" s="4">
        <v>0.24</v>
      </c>
      <c r="AC3343" s="6">
        <v>16.09</v>
      </c>
      <c r="AD3343" s="6">
        <v>17.27</v>
      </c>
      <c r="AE3343" s="1">
        <v>0</v>
      </c>
      <c r="AF3343" s="1">
        <f ca="1">IFERROR(__xludf.DUMMYFUNCTION("IFERROR(GOOGLEFINANCE(TRIM(F3343)&amp;"":"" &amp; TRIM(B3343),""high52""),AE3343)"),0)</f>
        <v>0</v>
      </c>
      <c r="AG3343" s="1">
        <v>0</v>
      </c>
      <c r="AH3343" s="1">
        <f ca="1">IFERROR(__xludf.DUMMYFUNCTION("IFERROR(GOOGLEFINANCE(TRIM(F3343)&amp;"":"" &amp; TRIM(B3343),""low52""),AE3343)"),0)</f>
        <v>0</v>
      </c>
      <c r="AI3343" s="1">
        <f ca="1">IFERROR(__xludf.DUMMYFUNCTION("IFERROR(GOOGLEFINANCE(B3343,""eps""),0)"),0)</f>
        <v>0</v>
      </c>
      <c r="AJ3343" s="1"/>
      <c r="AK3343" s="9"/>
      <c r="AL3343" s="9">
        <f t="shared" si="319"/>
        <v>1</v>
      </c>
    </row>
    <row r="3344" spans="1:38" ht="15" x14ac:dyDescent="0.25">
      <c r="A3344" s="1" t="s">
        <v>10252</v>
      </c>
      <c r="B3344" s="1" t="s">
        <v>10253</v>
      </c>
      <c r="C3344" s="1" t="s">
        <v>324</v>
      </c>
      <c r="D3344" s="1" t="s">
        <v>324</v>
      </c>
      <c r="E3344" s="6">
        <v>10951.02</v>
      </c>
      <c r="F3344" s="1" t="s">
        <v>40</v>
      </c>
      <c r="G3344" s="6">
        <f ca="1">IFERROR(__xludf.DUMMYFUNCTION("iferror(GOOGLEFINANCE(TRIM(F3344)&amp;"":"" &amp; TRIM(B3344), ""price""),0
)"),188)</f>
        <v>188</v>
      </c>
      <c r="H3344" s="6">
        <v>363.5</v>
      </c>
      <c r="I3344" s="6">
        <f t="shared" ca="1" si="0"/>
        <v>188</v>
      </c>
      <c r="J3344" s="6">
        <f ca="1">IFERROR(__xludf.DUMMYFUNCTION("IFERROR(GOOGLEFINANCE(B3344, ""volume""), 0)"),283999)</f>
        <v>283999</v>
      </c>
      <c r="K3344" s="6">
        <v>6.44</v>
      </c>
      <c r="L3344" s="6">
        <f ca="1">IFERROR(__xludf.DUMMYFUNCTION("IFERROR(GOOGLEFINANCE(B3344,""changepct""),K3344)"),-0.12)</f>
        <v>-0.12</v>
      </c>
      <c r="M3344" s="6">
        <f ca="1">IFERROR(__xludf.DUMMYFUNCTION("IFERROR(GOOGLEFINANCE(B3344,""change""),0)"),-0.22)</f>
        <v>-0.22</v>
      </c>
      <c r="N3344" s="6">
        <v>2</v>
      </c>
      <c r="O3344" s="7">
        <v>45536</v>
      </c>
      <c r="P3344" s="6">
        <v>17.239999999999998</v>
      </c>
      <c r="Q3344" s="6">
        <v>10859.17</v>
      </c>
      <c r="R3344" s="7">
        <v>45536</v>
      </c>
      <c r="S3344" s="6">
        <v>2711.24</v>
      </c>
      <c r="T3344" s="6">
        <v>13.82</v>
      </c>
      <c r="U3344" s="7">
        <v>45536</v>
      </c>
      <c r="V3344" s="6">
        <v>608.15</v>
      </c>
      <c r="W3344" s="6">
        <f ca="1">IFERROR(__xludf.DUMMYFUNCTION("IFERROR(GOOGLEFINANCE(B3344,""pe""),V3344)"),608.15)</f>
        <v>608.15</v>
      </c>
      <c r="X3344" s="12"/>
      <c r="Y3344" s="6">
        <v>8.0500000000000007</v>
      </c>
      <c r="Z3344" s="6">
        <v>2</v>
      </c>
      <c r="AA3344" s="8">
        <v>45352</v>
      </c>
      <c r="AB3344" s="4">
        <v>0.02</v>
      </c>
      <c r="AC3344" s="6">
        <v>4.0999999999999996</v>
      </c>
      <c r="AD3344" s="6">
        <v>12.81</v>
      </c>
      <c r="AE3344" s="1">
        <v>0</v>
      </c>
      <c r="AF3344" s="1">
        <f ca="1">IFERROR(__xludf.DUMMYFUNCTION("IFERROR(GOOGLEFINANCE(TRIM(F3344)&amp;"":"" &amp; TRIM(B3344),""high52""),AE3344)"),368)</f>
        <v>368</v>
      </c>
      <c r="AG3344" s="1">
        <v>0</v>
      </c>
      <c r="AH3344" s="1">
        <f ca="1">IFERROR(__xludf.DUMMYFUNCTION("IFERROR(GOOGLEFINANCE(TRIM(F3344)&amp;"":"" &amp; TRIM(B3344),""low52""),AE3344)"),179.4)</f>
        <v>179.4</v>
      </c>
      <c r="AI3344" s="1">
        <f ca="1">IFERROR(__xludf.DUMMYFUNCTION("IFERROR(GOOGLEFINANCE(B3344,""eps""),0)"),-0.04)</f>
        <v>-0.04</v>
      </c>
      <c r="AJ3344" s="1"/>
      <c r="AK3344" s="1" t="s">
        <v>10254</v>
      </c>
      <c r="AL3344" s="9">
        <f t="shared" si="319"/>
        <v>1</v>
      </c>
    </row>
    <row r="3345" spans="1:38" ht="15" x14ac:dyDescent="0.25">
      <c r="A3345" s="1" t="s">
        <v>10255</v>
      </c>
      <c r="B3345" s="1" t="s">
        <v>10256</v>
      </c>
      <c r="C3345" s="1" t="s">
        <v>82</v>
      </c>
      <c r="D3345" s="1" t="s">
        <v>82</v>
      </c>
      <c r="E3345" s="6">
        <v>8.11</v>
      </c>
      <c r="F3345" s="1" t="s">
        <v>53</v>
      </c>
      <c r="G3345" s="6">
        <f ca="1">IFERROR(__xludf.DUMMYFUNCTION("iferror(GOOGLEFINANCE(TRIM(F3345)&amp;"":"" &amp; TRIM(B3345), ""price""),0
)"),0)</f>
        <v>0</v>
      </c>
      <c r="H3345" s="6">
        <v>12.46</v>
      </c>
      <c r="I3345" s="6">
        <f t="shared" ca="1" si="0"/>
        <v>12.46</v>
      </c>
      <c r="J3345" s="6">
        <f ca="1">IFERROR(__xludf.DUMMYFUNCTION("IFERROR(GOOGLEFINANCE(B3345, ""volume""), 0)"),0)</f>
        <v>0</v>
      </c>
      <c r="K3345" s="6">
        <v>0</v>
      </c>
      <c r="L3345" s="6">
        <f ca="1">IFERROR(__xludf.DUMMYFUNCTION("IFERROR(GOOGLEFINANCE(B3345,""changepct""),K3345)"),0)</f>
        <v>0</v>
      </c>
      <c r="M3345" s="6">
        <f ca="1">IFERROR(__xludf.DUMMYFUNCTION("IFERROR(GOOGLEFINANCE(B3345,""change""),0)"),0)</f>
        <v>0</v>
      </c>
      <c r="N3345" s="6">
        <v>1</v>
      </c>
      <c r="O3345" s="7">
        <v>45536</v>
      </c>
      <c r="P3345" s="6">
        <v>4.3899999999999997</v>
      </c>
      <c r="Q3345" s="6">
        <v>12.5</v>
      </c>
      <c r="R3345" s="7">
        <v>45536</v>
      </c>
      <c r="S3345" s="6">
        <v>1.56</v>
      </c>
      <c r="T3345" s="6">
        <v>0.72</v>
      </c>
      <c r="U3345" s="7">
        <v>45536</v>
      </c>
      <c r="V3345" s="6">
        <v>11.24</v>
      </c>
      <c r="W3345" s="6">
        <f ca="1">IFERROR(__xludf.DUMMYFUNCTION("IFERROR(GOOGLEFINANCE(B3345,""pe""),V3345)"),11.24)</f>
        <v>11.24</v>
      </c>
      <c r="X3345" s="6">
        <v>-8.14</v>
      </c>
      <c r="Y3345" s="6">
        <v>-3.79</v>
      </c>
      <c r="Z3345" s="6">
        <v>1</v>
      </c>
      <c r="AA3345" s="8">
        <v>45352</v>
      </c>
      <c r="AB3345" s="4">
        <v>-2.13</v>
      </c>
      <c r="AC3345" s="6">
        <v>0</v>
      </c>
      <c r="AD3345" s="6">
        <v>63.21</v>
      </c>
      <c r="AE3345" s="1">
        <v>0</v>
      </c>
      <c r="AF3345" s="1">
        <f ca="1">IFERROR(__xludf.DUMMYFUNCTION("IFERROR(GOOGLEFINANCE(TRIM(F3345)&amp;"":"" &amp; TRIM(B3345),""high52""),AE3345)"),0)</f>
        <v>0</v>
      </c>
      <c r="AG3345" s="1">
        <v>0</v>
      </c>
      <c r="AH3345" s="1">
        <f ca="1">IFERROR(__xludf.DUMMYFUNCTION("IFERROR(GOOGLEFINANCE(TRIM(F3345)&amp;"":"" &amp; TRIM(B3345),""low52""),AE3345)"),0)</f>
        <v>0</v>
      </c>
      <c r="AI3345" s="1">
        <f ca="1">IFERROR(__xludf.DUMMYFUNCTION("IFERROR(GOOGLEFINANCE(B3345,""eps""),0)"),0)</f>
        <v>0</v>
      </c>
      <c r="AJ3345" s="1"/>
      <c r="AK3345" s="1" t="s">
        <v>10257</v>
      </c>
      <c r="AL3345" s="9">
        <f t="shared" si="319"/>
        <v>1</v>
      </c>
    </row>
    <row r="3346" spans="1:38" ht="15" x14ac:dyDescent="0.25">
      <c r="A3346" s="1" t="s">
        <v>10258</v>
      </c>
      <c r="B3346" s="1" t="s">
        <v>10259</v>
      </c>
      <c r="C3346" s="1" t="s">
        <v>82</v>
      </c>
      <c r="D3346" s="1" t="s">
        <v>82</v>
      </c>
      <c r="E3346" s="6">
        <v>13.37</v>
      </c>
      <c r="F3346" s="1" t="s">
        <v>53</v>
      </c>
      <c r="G3346" s="6">
        <f ca="1">IFERROR(__xludf.DUMMYFUNCTION("iferror(GOOGLEFINANCE(TRIM(F3346)&amp;"":"" &amp; TRIM(B3346), ""price""),0
)"),0)</f>
        <v>0</v>
      </c>
      <c r="H3346" s="6">
        <v>29.95</v>
      </c>
      <c r="I3346" s="6">
        <f t="shared" ca="1" si="0"/>
        <v>29.95</v>
      </c>
      <c r="J3346" s="6">
        <f ca="1">IFERROR(__xludf.DUMMYFUNCTION("IFERROR(GOOGLEFINANCE(B3346, ""volume""), 0)"),0)</f>
        <v>0</v>
      </c>
      <c r="K3346" s="6">
        <v>2.36</v>
      </c>
      <c r="L3346" s="6">
        <f ca="1">IFERROR(__xludf.DUMMYFUNCTION("IFERROR(GOOGLEFINANCE(B3346,""changepct""),K3346)"),2.36)</f>
        <v>2.36</v>
      </c>
      <c r="M3346" s="6">
        <f ca="1">IFERROR(__xludf.DUMMYFUNCTION("IFERROR(GOOGLEFINANCE(B3346,""change""),0)"),0)</f>
        <v>0</v>
      </c>
      <c r="N3346" s="6">
        <v>1</v>
      </c>
      <c r="O3346" s="7">
        <v>45536</v>
      </c>
      <c r="P3346" s="6">
        <v>5.66</v>
      </c>
      <c r="Q3346" s="6">
        <v>18.940000000000001</v>
      </c>
      <c r="R3346" s="7">
        <v>45536</v>
      </c>
      <c r="S3346" s="6">
        <v>29.74</v>
      </c>
      <c r="T3346" s="6">
        <v>-0.93</v>
      </c>
      <c r="U3346" s="7">
        <v>45536</v>
      </c>
      <c r="V3346" s="6">
        <v>0</v>
      </c>
      <c r="W3346" s="6">
        <f ca="1">IFERROR(__xludf.DUMMYFUNCTION("IFERROR(GOOGLEFINANCE(B3346,""pe""),V3346)"),0)</f>
        <v>0</v>
      </c>
      <c r="X3346" s="9"/>
      <c r="Y3346" s="6">
        <v>1.02</v>
      </c>
      <c r="Z3346" s="6">
        <v>1</v>
      </c>
      <c r="AA3346" s="17">
        <v>45352</v>
      </c>
      <c r="AB3346" s="18">
        <v>0.22</v>
      </c>
      <c r="AC3346" s="6">
        <v>-10.119999999999999</v>
      </c>
      <c r="AD3346" s="6">
        <v>-8.58</v>
      </c>
      <c r="AE3346" s="1">
        <v>0</v>
      </c>
      <c r="AF3346" s="1">
        <f ca="1">IFERROR(__xludf.DUMMYFUNCTION("IFERROR(GOOGLEFINANCE(TRIM(F3346)&amp;"":"" &amp; TRIM(B3346),""high52""),AE3346)"),0)</f>
        <v>0</v>
      </c>
      <c r="AG3346" s="1">
        <v>0</v>
      </c>
      <c r="AH3346" s="1">
        <f ca="1">IFERROR(__xludf.DUMMYFUNCTION("IFERROR(GOOGLEFINANCE(TRIM(F3346)&amp;"":"" &amp; TRIM(B3346),""low52""),AE3346)"),0)</f>
        <v>0</v>
      </c>
      <c r="AI3346" s="1">
        <f ca="1">IFERROR(__xludf.DUMMYFUNCTION("IFERROR(GOOGLEFINANCE(B3346,""eps""),0)"),0)</f>
        <v>0</v>
      </c>
      <c r="AJ3346" s="1"/>
      <c r="AK3346" s="1" t="s">
        <v>10260</v>
      </c>
      <c r="AL3346" s="9">
        <f t="shared" si="319"/>
        <v>1</v>
      </c>
    </row>
    <row r="3347" spans="1:38" ht="15" x14ac:dyDescent="0.25">
      <c r="A3347" s="1" t="s">
        <v>10261</v>
      </c>
      <c r="B3347" s="1" t="s">
        <v>10262</v>
      </c>
      <c r="C3347" s="1" t="s">
        <v>255</v>
      </c>
      <c r="D3347" s="1" t="s">
        <v>255</v>
      </c>
      <c r="E3347" s="6">
        <v>1287.45</v>
      </c>
      <c r="F3347" s="1" t="s">
        <v>40</v>
      </c>
      <c r="G3347" s="6">
        <f ca="1">IFERROR(__xludf.DUMMYFUNCTION("iferror(GOOGLEFINANCE(TRIM(F3347)&amp;"":"" &amp; TRIM(B3347), ""price""),0
)"),0)</f>
        <v>0</v>
      </c>
      <c r="H3347" s="6">
        <v>278</v>
      </c>
      <c r="I3347" s="6">
        <f t="shared" ca="1" si="0"/>
        <v>278</v>
      </c>
      <c r="J3347" s="6">
        <f ca="1">IFERROR(__xludf.DUMMYFUNCTION("IFERROR(GOOGLEFINANCE(B3347, ""volume""), 0)"),0)</f>
        <v>0</v>
      </c>
      <c r="K3347" s="6">
        <v>1.72</v>
      </c>
      <c r="L3347" s="6">
        <f ca="1">IFERROR(__xludf.DUMMYFUNCTION("IFERROR(GOOGLEFINANCE(B3347,""changepct""),K3347)"),1.72)</f>
        <v>1.72</v>
      </c>
      <c r="M3347" s="6">
        <f ca="1">IFERROR(__xludf.DUMMYFUNCTION("IFERROR(GOOGLEFINANCE(B3347,""change""),0)"),0)</f>
        <v>0</v>
      </c>
      <c r="N3347" s="6">
        <v>1</v>
      </c>
      <c r="O3347" s="7">
        <v>45536</v>
      </c>
      <c r="P3347" s="6">
        <v>9</v>
      </c>
      <c r="Q3347" s="6">
        <v>1296.45</v>
      </c>
      <c r="R3347" s="7">
        <v>45352</v>
      </c>
      <c r="S3347" s="6">
        <v>6.41</v>
      </c>
      <c r="T3347" s="6">
        <v>1.07</v>
      </c>
      <c r="U3347" s="7">
        <v>45352</v>
      </c>
      <c r="V3347" s="6">
        <v>0</v>
      </c>
      <c r="W3347" s="6">
        <f ca="1">IFERROR(__xludf.DUMMYFUNCTION("IFERROR(GOOGLEFINANCE(B3347,""pe""),V3347)"),0)</f>
        <v>0</v>
      </c>
      <c r="X3347" s="9"/>
      <c r="Y3347" s="6">
        <v>1.73</v>
      </c>
      <c r="Z3347" s="6">
        <v>2</v>
      </c>
      <c r="AA3347" s="8">
        <v>45352</v>
      </c>
      <c r="AB3347" s="4">
        <v>2.48</v>
      </c>
      <c r="AC3347" s="6">
        <v>37.44</v>
      </c>
      <c r="AD3347" s="6">
        <v>12.25</v>
      </c>
      <c r="AE3347" s="1">
        <v>0</v>
      </c>
      <c r="AF3347" s="1">
        <f ca="1">IFERROR(__xludf.DUMMYFUNCTION("IFERROR(GOOGLEFINANCE(TRIM(F3347)&amp;"":"" &amp; TRIM(B3347),""high52""),AE3347)"),0)</f>
        <v>0</v>
      </c>
      <c r="AG3347" s="1">
        <v>0</v>
      </c>
      <c r="AH3347" s="1">
        <f ca="1">IFERROR(__xludf.DUMMYFUNCTION("IFERROR(GOOGLEFINANCE(TRIM(F3347)&amp;"":"" &amp; TRIM(B3347),""low52""),AE3347)"),0)</f>
        <v>0</v>
      </c>
      <c r="AI3347" s="1">
        <f ca="1">IFERROR(__xludf.DUMMYFUNCTION("IFERROR(GOOGLEFINANCE(B3347,""eps""),0)"),0)</f>
        <v>0</v>
      </c>
      <c r="AJ3347" s="1"/>
      <c r="AK3347" s="1" t="s">
        <v>10263</v>
      </c>
      <c r="AL3347" s="9">
        <f t="shared" si="319"/>
        <v>1</v>
      </c>
    </row>
    <row r="3348" spans="1:38" ht="15" x14ac:dyDescent="0.25">
      <c r="A3348" s="1" t="s">
        <v>10264</v>
      </c>
      <c r="B3348" s="1" t="s">
        <v>10265</v>
      </c>
      <c r="C3348" s="1" t="s">
        <v>82</v>
      </c>
      <c r="D3348" s="1" t="s">
        <v>82</v>
      </c>
      <c r="E3348" s="6">
        <v>293.89</v>
      </c>
      <c r="F3348" s="1" t="s">
        <v>53</v>
      </c>
      <c r="G3348" s="6">
        <f ca="1">IFERROR(__xludf.DUMMYFUNCTION("iferror(GOOGLEFINANCE(TRIM(F3348)&amp;"":"" &amp; TRIM(B3348), ""price""),0
)"),0)</f>
        <v>0</v>
      </c>
      <c r="H3348" s="6">
        <v>162.94999999999999</v>
      </c>
      <c r="I3348" s="6">
        <f t="shared" ca="1" si="0"/>
        <v>162.94999999999999</v>
      </c>
      <c r="J3348" s="6">
        <f ca="1">IFERROR(__xludf.DUMMYFUNCTION("IFERROR(GOOGLEFINANCE(B3348, ""volume""), 0)"),0)</f>
        <v>0</v>
      </c>
      <c r="K3348" s="6">
        <v>-1.78</v>
      </c>
      <c r="L3348" s="6">
        <f ca="1">IFERROR(__xludf.DUMMYFUNCTION("IFERROR(GOOGLEFINANCE(B3348,""changepct""),K3348)"),-1.78)</f>
        <v>-1.78</v>
      </c>
      <c r="M3348" s="6">
        <f ca="1">IFERROR(__xludf.DUMMYFUNCTION("IFERROR(GOOGLEFINANCE(B3348,""change""),0)"),0)</f>
        <v>0</v>
      </c>
      <c r="N3348" s="6">
        <v>1</v>
      </c>
      <c r="O3348" s="7">
        <v>45536</v>
      </c>
      <c r="P3348" s="6">
        <v>1.41</v>
      </c>
      <c r="Q3348" s="6">
        <v>278.23</v>
      </c>
      <c r="R3348" s="7">
        <v>45536</v>
      </c>
      <c r="S3348" s="6">
        <v>143.24</v>
      </c>
      <c r="T3348" s="6">
        <v>25.65</v>
      </c>
      <c r="U3348" s="7">
        <v>45536</v>
      </c>
      <c r="V3348" s="6">
        <v>11.46</v>
      </c>
      <c r="W3348" s="6">
        <f ca="1">IFERROR(__xludf.DUMMYFUNCTION("IFERROR(GOOGLEFINANCE(B3348,""pe""),V3348)"),11.46)</f>
        <v>11.46</v>
      </c>
      <c r="X3348" s="6">
        <v>0.52</v>
      </c>
      <c r="Y3348" s="6">
        <v>1.47</v>
      </c>
      <c r="Z3348" s="6">
        <v>1</v>
      </c>
      <c r="AA3348" s="8">
        <v>45352</v>
      </c>
      <c r="AB3348" s="4">
        <v>0</v>
      </c>
      <c r="AC3348" s="6">
        <v>13.89</v>
      </c>
      <c r="AD3348" s="6">
        <v>18.53</v>
      </c>
      <c r="AE3348" s="1">
        <v>0</v>
      </c>
      <c r="AF3348" s="1">
        <f ca="1">IFERROR(__xludf.DUMMYFUNCTION("IFERROR(GOOGLEFINANCE(TRIM(F3348)&amp;"":"" &amp; TRIM(B3348),""high52""),AE3348)"),0)</f>
        <v>0</v>
      </c>
      <c r="AG3348" s="1">
        <v>0</v>
      </c>
      <c r="AH3348" s="1">
        <f ca="1">IFERROR(__xludf.DUMMYFUNCTION("IFERROR(GOOGLEFINANCE(TRIM(F3348)&amp;"":"" &amp; TRIM(B3348),""low52""),AE3348)"),0)</f>
        <v>0</v>
      </c>
      <c r="AI3348" s="1">
        <f ca="1">IFERROR(__xludf.DUMMYFUNCTION("IFERROR(GOOGLEFINANCE(B3348,""eps""),0)"),0)</f>
        <v>0</v>
      </c>
      <c r="AJ3348" s="1"/>
      <c r="AK3348" s="1" t="s">
        <v>10266</v>
      </c>
      <c r="AL3348" s="9">
        <f t="shared" si="319"/>
        <v>1</v>
      </c>
    </row>
    <row r="3349" spans="1:38" ht="15" x14ac:dyDescent="0.25">
      <c r="A3349" s="1" t="s">
        <v>10267</v>
      </c>
      <c r="B3349" s="1" t="s">
        <v>10268</v>
      </c>
      <c r="C3349" s="1" t="s">
        <v>227</v>
      </c>
      <c r="D3349" s="1" t="s">
        <v>227</v>
      </c>
      <c r="E3349" s="6">
        <v>521.73</v>
      </c>
      <c r="F3349" s="1" t="s">
        <v>40</v>
      </c>
      <c r="G3349" s="6">
        <f ca="1">IFERROR(__xludf.DUMMYFUNCTION("iferror(GOOGLEFINANCE(TRIM(F3349)&amp;"":"" &amp; TRIM(B3349), ""price""),0
)"),64)</f>
        <v>64</v>
      </c>
      <c r="H3349" s="6">
        <v>132.30000000000001</v>
      </c>
      <c r="I3349" s="6">
        <f t="shared" ca="1" si="0"/>
        <v>64</v>
      </c>
      <c r="J3349" s="6">
        <f ca="1">IFERROR(__xludf.DUMMYFUNCTION("IFERROR(GOOGLEFINANCE(B3349, ""volume""), 0)"),127468)</f>
        <v>127468</v>
      </c>
      <c r="K3349" s="6">
        <v>0.36</v>
      </c>
      <c r="L3349" s="6">
        <f ca="1">IFERROR(__xludf.DUMMYFUNCTION("IFERROR(GOOGLEFINANCE(B3349,""changepct""),K3349)"),-4.48)</f>
        <v>-4.4800000000000004</v>
      </c>
      <c r="M3349" s="6">
        <f ca="1">IFERROR(__xludf.DUMMYFUNCTION("IFERROR(GOOGLEFINANCE(B3349,""change""),0)"),-3)</f>
        <v>-3</v>
      </c>
      <c r="N3349" s="6">
        <v>1</v>
      </c>
      <c r="O3349" s="7">
        <v>45536</v>
      </c>
      <c r="P3349" s="9"/>
      <c r="Q3349" s="6">
        <v>521.73</v>
      </c>
      <c r="R3349" s="14"/>
      <c r="S3349" s="9"/>
      <c r="T3349" s="9"/>
      <c r="U3349" s="7">
        <v>44986</v>
      </c>
      <c r="V3349" s="6">
        <v>22.71</v>
      </c>
      <c r="W3349" s="6">
        <f ca="1">IFERROR(__xludf.DUMMYFUNCTION("IFERROR(GOOGLEFINANCE(B3349,""pe""),V3349)"),7.98)</f>
        <v>7.98</v>
      </c>
      <c r="X3349" s="9"/>
      <c r="Y3349" s="9"/>
      <c r="Z3349" s="6">
        <v>2</v>
      </c>
      <c r="AA3349" s="8">
        <v>45352</v>
      </c>
      <c r="AB3349" s="4">
        <v>0.67</v>
      </c>
      <c r="AC3349" s="6">
        <v>58.88</v>
      </c>
      <c r="AD3349" s="6">
        <v>45.31</v>
      </c>
      <c r="AE3349" s="1">
        <v>0</v>
      </c>
      <c r="AF3349" s="1">
        <f ca="1">IFERROR(__xludf.DUMMYFUNCTION("IFERROR(GOOGLEFINANCE(TRIM(F3349)&amp;"":"" &amp; TRIM(B3349),""high52""),AE3349)"),121.03)</f>
        <v>121.03</v>
      </c>
      <c r="AG3349" s="1">
        <v>0</v>
      </c>
      <c r="AH3349" s="1">
        <f ca="1">IFERROR(__xludf.DUMMYFUNCTION("IFERROR(GOOGLEFINANCE(TRIM(F3349)&amp;"":"" &amp; TRIM(B3349),""low52""),AE3349)"),62.9)</f>
        <v>62.9</v>
      </c>
      <c r="AI3349" s="1">
        <f ca="1">IFERROR(__xludf.DUMMYFUNCTION("IFERROR(GOOGLEFINANCE(B3349,""eps""),0)"),8.02)</f>
        <v>8.02</v>
      </c>
      <c r="AJ3349" s="1"/>
      <c r="AK3349" s="1" t="s">
        <v>10269</v>
      </c>
      <c r="AL3349" s="9">
        <f t="shared" si="319"/>
        <v>1</v>
      </c>
    </row>
    <row r="3350" spans="1:38" ht="15" x14ac:dyDescent="0.25">
      <c r="A3350" s="1" t="s">
        <v>10270</v>
      </c>
      <c r="B3350" s="1" t="s">
        <v>10271</v>
      </c>
      <c r="C3350" s="1" t="s">
        <v>82</v>
      </c>
      <c r="D3350" s="1" t="s">
        <v>82</v>
      </c>
      <c r="E3350" s="6">
        <v>42.53</v>
      </c>
      <c r="F3350" s="1" t="s">
        <v>53</v>
      </c>
      <c r="G3350" s="6">
        <f ca="1">IFERROR(__xludf.DUMMYFUNCTION("iferror(GOOGLEFINANCE(TRIM(F3350)&amp;"":"" &amp; TRIM(B3350), ""price""),0
)"),0)</f>
        <v>0</v>
      </c>
      <c r="H3350" s="6">
        <v>58.65</v>
      </c>
      <c r="I3350" s="6">
        <f t="shared" ca="1" si="0"/>
        <v>58.65</v>
      </c>
      <c r="J3350" s="6">
        <f ca="1">IFERROR(__xludf.DUMMYFUNCTION("IFERROR(GOOGLEFINANCE(B3350, ""volume""), 0)"),0)</f>
        <v>0</v>
      </c>
      <c r="K3350" s="6">
        <v>1.93</v>
      </c>
      <c r="L3350" s="6">
        <f ca="1">IFERROR(__xludf.DUMMYFUNCTION("IFERROR(GOOGLEFINANCE(B3350,""changepct""),K3350)"),1.93)</f>
        <v>1.93</v>
      </c>
      <c r="M3350" s="6">
        <f ca="1">IFERROR(__xludf.DUMMYFUNCTION("IFERROR(GOOGLEFINANCE(B3350,""change""),0)"),0)</f>
        <v>0</v>
      </c>
      <c r="N3350" s="6">
        <v>1</v>
      </c>
      <c r="O3350" s="7">
        <v>45536</v>
      </c>
      <c r="P3350" s="6">
        <v>24.19</v>
      </c>
      <c r="Q3350" s="6">
        <v>65.3</v>
      </c>
      <c r="R3350" s="7">
        <v>45536</v>
      </c>
      <c r="S3350" s="6">
        <v>116.03</v>
      </c>
      <c r="T3350" s="6">
        <v>1.56</v>
      </c>
      <c r="U3350" s="7">
        <v>45536</v>
      </c>
      <c r="V3350" s="6">
        <v>27.17</v>
      </c>
      <c r="W3350" s="6">
        <f ca="1">IFERROR(__xludf.DUMMYFUNCTION("IFERROR(GOOGLEFINANCE(B3350,""pe""),V3350)"),27.17)</f>
        <v>27.17</v>
      </c>
      <c r="X3350" s="6">
        <v>-1.9</v>
      </c>
      <c r="Y3350" s="6">
        <v>1.3</v>
      </c>
      <c r="Z3350" s="6">
        <v>1</v>
      </c>
      <c r="AA3350" s="8">
        <v>45352</v>
      </c>
      <c r="AB3350" s="4">
        <v>0.79</v>
      </c>
      <c r="AC3350" s="6">
        <v>4.33</v>
      </c>
      <c r="AD3350" s="6">
        <v>8.65</v>
      </c>
      <c r="AE3350" s="1">
        <v>0</v>
      </c>
      <c r="AF3350" s="1">
        <f ca="1">IFERROR(__xludf.DUMMYFUNCTION("IFERROR(GOOGLEFINANCE(TRIM(F3350)&amp;"":"" &amp; TRIM(B3350),""high52""),AE3350)"),0)</f>
        <v>0</v>
      </c>
      <c r="AG3350" s="1">
        <v>0</v>
      </c>
      <c r="AH3350" s="1">
        <f ca="1">IFERROR(__xludf.DUMMYFUNCTION("IFERROR(GOOGLEFINANCE(TRIM(F3350)&amp;"":"" &amp; TRIM(B3350),""low52""),AE3350)"),0)</f>
        <v>0</v>
      </c>
      <c r="AI3350" s="1">
        <f ca="1">IFERROR(__xludf.DUMMYFUNCTION("IFERROR(GOOGLEFINANCE(B3350,""eps""),0)"),0)</f>
        <v>0</v>
      </c>
      <c r="AJ3350" s="1"/>
      <c r="AK3350" s="1" t="s">
        <v>10272</v>
      </c>
      <c r="AL3350" s="9">
        <f t="shared" si="319"/>
        <v>1</v>
      </c>
    </row>
    <row r="3351" spans="1:38" ht="15" x14ac:dyDescent="0.25">
      <c r="A3351" s="1" t="s">
        <v>10273</v>
      </c>
      <c r="B3351" s="1" t="s">
        <v>10274</v>
      </c>
      <c r="C3351" s="1" t="s">
        <v>82</v>
      </c>
      <c r="D3351" s="1" t="s">
        <v>82</v>
      </c>
      <c r="E3351" s="6">
        <v>104.53</v>
      </c>
      <c r="F3351" s="1" t="s">
        <v>53</v>
      </c>
      <c r="G3351" s="6">
        <f ca="1">IFERROR(__xludf.DUMMYFUNCTION("iferror(GOOGLEFINANCE(TRIM(F3351)&amp;"":"" &amp; TRIM(B3351), ""price""),0
)"),0)</f>
        <v>0</v>
      </c>
      <c r="H3351" s="6">
        <v>28.9</v>
      </c>
      <c r="I3351" s="6">
        <f t="shared" ca="1" si="0"/>
        <v>28.9</v>
      </c>
      <c r="J3351" s="6">
        <f ca="1">IFERROR(__xludf.DUMMYFUNCTION("IFERROR(GOOGLEFINANCE(B3351, ""volume""), 0)"),0)</f>
        <v>0</v>
      </c>
      <c r="K3351" s="6">
        <v>1.1599999999999999</v>
      </c>
      <c r="L3351" s="6">
        <f ca="1">IFERROR(__xludf.DUMMYFUNCTION("IFERROR(GOOGLEFINANCE(B3351,""changepct""),K3351)"),1.16)</f>
        <v>1.1599999999999999</v>
      </c>
      <c r="M3351" s="6">
        <f ca="1">IFERROR(__xludf.DUMMYFUNCTION("IFERROR(GOOGLEFINANCE(B3351,""change""),0)"),0)</f>
        <v>0</v>
      </c>
      <c r="N3351" s="6">
        <v>1</v>
      </c>
      <c r="O3351" s="7">
        <v>45536</v>
      </c>
      <c r="P3351" s="6">
        <v>66.790000000000006</v>
      </c>
      <c r="Q3351" s="6">
        <v>171.32</v>
      </c>
      <c r="R3351" s="15">
        <v>45536</v>
      </c>
      <c r="S3351" s="6">
        <v>66.31</v>
      </c>
      <c r="T3351" s="6">
        <v>59.83</v>
      </c>
      <c r="U3351" s="7">
        <v>45536</v>
      </c>
      <c r="V3351" s="6">
        <v>1.75</v>
      </c>
      <c r="W3351" s="6">
        <f ca="1">IFERROR(__xludf.DUMMYFUNCTION("IFERROR(GOOGLEFINANCE(B3351,""pe""),V3351)"),1.75)</f>
        <v>1.75</v>
      </c>
      <c r="X3351" s="6">
        <v>0.39</v>
      </c>
      <c r="Y3351" s="6">
        <v>-1.59</v>
      </c>
      <c r="Z3351" s="6">
        <v>1</v>
      </c>
      <c r="AA3351" s="8">
        <v>45352</v>
      </c>
      <c r="AB3351" s="4">
        <v>-0.95</v>
      </c>
      <c r="AC3351" s="6">
        <v>0</v>
      </c>
      <c r="AD3351" s="6">
        <v>0</v>
      </c>
      <c r="AE3351" s="1">
        <v>0</v>
      </c>
      <c r="AF3351" s="1">
        <f ca="1">IFERROR(__xludf.DUMMYFUNCTION("IFERROR(GOOGLEFINANCE(TRIM(F3351)&amp;"":"" &amp; TRIM(B3351),""high52""),AE3351)"),0)</f>
        <v>0</v>
      </c>
      <c r="AG3351" s="1">
        <v>0</v>
      </c>
      <c r="AH3351" s="1">
        <f ca="1">IFERROR(__xludf.DUMMYFUNCTION("IFERROR(GOOGLEFINANCE(TRIM(F3351)&amp;"":"" &amp; TRIM(B3351),""low52""),AE3351)"),0)</f>
        <v>0</v>
      </c>
      <c r="AI3351" s="1">
        <f ca="1">IFERROR(__xludf.DUMMYFUNCTION("IFERROR(GOOGLEFINANCE(B3351,""eps""),0)"),0)</f>
        <v>0</v>
      </c>
      <c r="AJ3351" s="1"/>
      <c r="AK3351" s="1" t="s">
        <v>10275</v>
      </c>
      <c r="AL3351" s="9">
        <f t="shared" si="319"/>
        <v>1</v>
      </c>
    </row>
    <row r="3352" spans="1:38" ht="15" x14ac:dyDescent="0.25">
      <c r="A3352" s="1" t="s">
        <v>10276</v>
      </c>
      <c r="B3352" s="1" t="s">
        <v>10277</v>
      </c>
      <c r="C3352" s="1" t="s">
        <v>219</v>
      </c>
      <c r="D3352" s="1" t="s">
        <v>219</v>
      </c>
      <c r="E3352" s="6">
        <v>16868.490000000002</v>
      </c>
      <c r="F3352" s="1" t="s">
        <v>40</v>
      </c>
      <c r="G3352" s="6">
        <f ca="1">IFERROR(__xludf.DUMMYFUNCTION("iferror(GOOGLEFINANCE(TRIM(F3352)&amp;"":"" &amp; TRIM(B3352), ""price""),0
)"),484.1)</f>
        <v>484.1</v>
      </c>
      <c r="H3352" s="6">
        <v>483.3</v>
      </c>
      <c r="I3352" s="6">
        <f t="shared" ca="1" si="0"/>
        <v>484.1</v>
      </c>
      <c r="J3352" s="6">
        <f ca="1">IFERROR(__xludf.DUMMYFUNCTION("IFERROR(GOOGLEFINANCE(B3352, ""volume""), 0)"),227522)</f>
        <v>227522</v>
      </c>
      <c r="K3352" s="6">
        <v>0.87</v>
      </c>
      <c r="L3352" s="6">
        <f ca="1">IFERROR(__xludf.DUMMYFUNCTION("IFERROR(GOOGLEFINANCE(B3352,""changepct""),K3352)"),2.46)</f>
        <v>2.46</v>
      </c>
      <c r="M3352" s="6">
        <f ca="1">IFERROR(__xludf.DUMMYFUNCTION("IFERROR(GOOGLEFINANCE(B3352,""change""),0)"),11.6)</f>
        <v>11.6</v>
      </c>
      <c r="N3352" s="6">
        <v>2</v>
      </c>
      <c r="O3352" s="7">
        <v>45536</v>
      </c>
      <c r="P3352" s="6">
        <v>2874.56</v>
      </c>
      <c r="Q3352" s="6">
        <v>18639.38</v>
      </c>
      <c r="R3352" s="7">
        <v>45536</v>
      </c>
      <c r="S3352" s="6">
        <v>3899.51</v>
      </c>
      <c r="T3352" s="6">
        <v>582.03</v>
      </c>
      <c r="U3352" s="7">
        <v>45536</v>
      </c>
      <c r="V3352" s="6">
        <v>27.85</v>
      </c>
      <c r="W3352" s="6">
        <f ca="1">IFERROR(__xludf.DUMMYFUNCTION("IFERROR(GOOGLEFINANCE(B3352,""pe""),V3352)"),16.05)</f>
        <v>16.05</v>
      </c>
      <c r="X3352" s="6">
        <v>1.33</v>
      </c>
      <c r="Y3352" s="6">
        <v>2.85</v>
      </c>
      <c r="Z3352" s="6">
        <v>2</v>
      </c>
      <c r="AA3352" s="8">
        <v>45352</v>
      </c>
      <c r="AB3352" s="4">
        <v>0.35</v>
      </c>
      <c r="AC3352" s="6">
        <v>13.94</v>
      </c>
      <c r="AD3352" s="6">
        <v>15.8</v>
      </c>
      <c r="AE3352" s="1">
        <v>0</v>
      </c>
      <c r="AF3352" s="1">
        <f ca="1">IFERROR(__xludf.DUMMYFUNCTION("IFERROR(GOOGLEFINANCE(TRIM(F3352)&amp;"":"" &amp; TRIM(B3352),""high52""),AE3352)"),639.75)</f>
        <v>639.75</v>
      </c>
      <c r="AG3352" s="1">
        <v>0</v>
      </c>
      <c r="AH3352" s="1">
        <f ca="1">IFERROR(__xludf.DUMMYFUNCTION("IFERROR(GOOGLEFINANCE(TRIM(F3352)&amp;"":"" &amp; TRIM(B3352),""low52""),AE3352)"),396.6)</f>
        <v>396.6</v>
      </c>
      <c r="AI3352" s="1">
        <f ca="1">IFERROR(__xludf.DUMMYFUNCTION("IFERROR(GOOGLEFINANCE(B3352,""eps""),0)"),30.17)</f>
        <v>30.17</v>
      </c>
      <c r="AJ3352" s="1"/>
      <c r="AK3352" s="1" t="s">
        <v>10278</v>
      </c>
      <c r="AL3352" s="9">
        <f t="shared" si="319"/>
        <v>1</v>
      </c>
    </row>
    <row r="3353" spans="1:38" ht="15" x14ac:dyDescent="0.25">
      <c r="A3353" s="1" t="s">
        <v>10279</v>
      </c>
      <c r="B3353" s="1" t="s">
        <v>10280</v>
      </c>
      <c r="C3353" s="1" t="s">
        <v>1229</v>
      </c>
      <c r="D3353" s="1" t="s">
        <v>1229</v>
      </c>
      <c r="E3353" s="6">
        <v>9221.11</v>
      </c>
      <c r="F3353" s="1" t="s">
        <v>40</v>
      </c>
      <c r="G3353" s="6">
        <f ca="1">IFERROR(__xludf.DUMMYFUNCTION("iferror(GOOGLEFINANCE(TRIM(F3353)&amp;"":"" &amp; TRIM(B3353), ""price""),0
)"),329.1)</f>
        <v>329.1</v>
      </c>
      <c r="H3353" s="6">
        <v>496.3</v>
      </c>
      <c r="I3353" s="6">
        <f t="shared" ca="1" si="0"/>
        <v>329.1</v>
      </c>
      <c r="J3353" s="6">
        <f ca="1">IFERROR(__xludf.DUMMYFUNCTION("IFERROR(GOOGLEFINANCE(B3353, ""volume""), 0)"),185513)</f>
        <v>185513</v>
      </c>
      <c r="K3353" s="6">
        <v>3.77</v>
      </c>
      <c r="L3353" s="6">
        <f ca="1">IFERROR(__xludf.DUMMYFUNCTION("IFERROR(GOOGLEFINANCE(B3353,""changepct""),K3353)"),-2.43)</f>
        <v>-2.4300000000000002</v>
      </c>
      <c r="M3353" s="6">
        <f ca="1">IFERROR(__xludf.DUMMYFUNCTION("IFERROR(GOOGLEFINANCE(B3353,""change""),0)"),-8.2)</f>
        <v>-8.1999999999999993</v>
      </c>
      <c r="N3353" s="6">
        <v>2</v>
      </c>
      <c r="O3353" s="7">
        <v>45536</v>
      </c>
      <c r="P3353" s="6">
        <v>1.86</v>
      </c>
      <c r="Q3353" s="6">
        <v>8491.0499999999993</v>
      </c>
      <c r="R3353" s="7">
        <v>45536</v>
      </c>
      <c r="S3353" s="6">
        <v>914.42</v>
      </c>
      <c r="T3353" s="6">
        <v>188.29</v>
      </c>
      <c r="U3353" s="7">
        <v>45536</v>
      </c>
      <c r="V3353" s="6">
        <v>49.09</v>
      </c>
      <c r="W3353" s="6">
        <f ca="1">IFERROR(__xludf.DUMMYFUNCTION("IFERROR(GOOGLEFINANCE(B3353,""pe""),V3353)"),31.23)</f>
        <v>31.23</v>
      </c>
      <c r="X3353" s="6">
        <v>1.66</v>
      </c>
      <c r="Y3353" s="6">
        <v>6.39</v>
      </c>
      <c r="Z3353" s="6">
        <v>2</v>
      </c>
      <c r="AA3353" s="8">
        <v>45352</v>
      </c>
      <c r="AB3353" s="4">
        <v>0</v>
      </c>
      <c r="AC3353" s="6">
        <v>15.35</v>
      </c>
      <c r="AD3353" s="6">
        <v>21.15</v>
      </c>
      <c r="AE3353" s="1">
        <v>0</v>
      </c>
      <c r="AF3353" s="1">
        <f ca="1">IFERROR(__xludf.DUMMYFUNCTION("IFERROR(GOOGLEFINANCE(TRIM(F3353)&amp;"":"" &amp; TRIM(B3353),""high52""),AE3353)"),603)</f>
        <v>603</v>
      </c>
      <c r="AG3353" s="1">
        <v>0</v>
      </c>
      <c r="AH3353" s="1">
        <f ca="1">IFERROR(__xludf.DUMMYFUNCTION("IFERROR(GOOGLEFINANCE(TRIM(F3353)&amp;"":"" &amp; TRIM(B3353),""low52""),AE3353)"),318.65)</f>
        <v>318.64999999999998</v>
      </c>
      <c r="AI3353" s="1">
        <f ca="1">IFERROR(__xludf.DUMMYFUNCTION("IFERROR(GOOGLEFINANCE(B3353,""eps""),0)"),10.54)</f>
        <v>10.54</v>
      </c>
      <c r="AJ3353" s="1"/>
      <c r="AK3353" s="1" t="s">
        <v>10281</v>
      </c>
      <c r="AL3353" s="9">
        <f t="shared" si="319"/>
        <v>1</v>
      </c>
    </row>
    <row r="3354" spans="1:38" ht="15" x14ac:dyDescent="0.25">
      <c r="A3354" s="1" t="s">
        <v>10282</v>
      </c>
      <c r="B3354" s="1" t="s">
        <v>10283</v>
      </c>
      <c r="C3354" s="1" t="s">
        <v>82</v>
      </c>
      <c r="D3354" s="1" t="s">
        <v>82</v>
      </c>
      <c r="E3354" s="6">
        <v>494.13</v>
      </c>
      <c r="F3354" s="1" t="s">
        <v>53</v>
      </c>
      <c r="G3354" s="6">
        <f ca="1">IFERROR(__xludf.DUMMYFUNCTION("iferror(GOOGLEFINANCE(TRIM(F3354)&amp;"":"" &amp; TRIM(B3354), ""price""),0
)"),0)</f>
        <v>0</v>
      </c>
      <c r="H3354" s="6">
        <v>13</v>
      </c>
      <c r="I3354" s="6">
        <f t="shared" ca="1" si="0"/>
        <v>13</v>
      </c>
      <c r="J3354" s="6">
        <f ca="1">IFERROR(__xludf.DUMMYFUNCTION("IFERROR(GOOGLEFINANCE(B3354, ""volume""), 0)"),0)</f>
        <v>0</v>
      </c>
      <c r="K3354" s="6">
        <v>-0.15</v>
      </c>
      <c r="L3354" s="6">
        <f ca="1">IFERROR(__xludf.DUMMYFUNCTION("IFERROR(GOOGLEFINANCE(B3354,""changepct""),K3354)"),-0.15)</f>
        <v>-0.15</v>
      </c>
      <c r="M3354" s="6">
        <f ca="1">IFERROR(__xludf.DUMMYFUNCTION("IFERROR(GOOGLEFINANCE(B3354,""change""),0)"),0)</f>
        <v>0</v>
      </c>
      <c r="N3354" s="6">
        <v>2</v>
      </c>
      <c r="O3354" s="7">
        <v>45536</v>
      </c>
      <c r="P3354" s="6">
        <v>26.38</v>
      </c>
      <c r="Q3354" s="6">
        <v>516.78</v>
      </c>
      <c r="R3354" s="7">
        <v>45536</v>
      </c>
      <c r="S3354" s="6">
        <v>93.38</v>
      </c>
      <c r="T3354" s="6">
        <v>9.0500000000000007</v>
      </c>
      <c r="U3354" s="7">
        <v>45536</v>
      </c>
      <c r="V3354" s="6">
        <v>54.56</v>
      </c>
      <c r="W3354" s="6">
        <f ca="1">IFERROR(__xludf.DUMMYFUNCTION("IFERROR(GOOGLEFINANCE(B3354,""pe""),V3354)"),54.56)</f>
        <v>54.56</v>
      </c>
      <c r="X3354" s="9"/>
      <c r="Y3354" s="6">
        <v>5.24</v>
      </c>
      <c r="Z3354" s="6">
        <v>2</v>
      </c>
      <c r="AA3354" s="8">
        <v>45352</v>
      </c>
      <c r="AB3354" s="4">
        <v>0.22</v>
      </c>
      <c r="AC3354" s="6">
        <v>16.899999999999999</v>
      </c>
      <c r="AD3354" s="6">
        <v>20.81</v>
      </c>
      <c r="AE3354" s="1">
        <v>0</v>
      </c>
      <c r="AF3354" s="1">
        <f ca="1">IFERROR(__xludf.DUMMYFUNCTION("IFERROR(GOOGLEFINANCE(TRIM(F3354)&amp;"":"" &amp; TRIM(B3354),""high52""),AE3354)"),0)</f>
        <v>0</v>
      </c>
      <c r="AG3354" s="1">
        <v>0</v>
      </c>
      <c r="AH3354" s="1">
        <f ca="1">IFERROR(__xludf.DUMMYFUNCTION("IFERROR(GOOGLEFINANCE(TRIM(F3354)&amp;"":"" &amp; TRIM(B3354),""low52""),AE3354)"),0)</f>
        <v>0</v>
      </c>
      <c r="AI3354" s="1">
        <f ca="1">IFERROR(__xludf.DUMMYFUNCTION("IFERROR(GOOGLEFINANCE(B3354,""eps""),0)"),0)</f>
        <v>0</v>
      </c>
      <c r="AJ3354" s="1"/>
      <c r="AK3354" s="1" t="s">
        <v>10284</v>
      </c>
      <c r="AL3354" s="9">
        <f t="shared" si="319"/>
        <v>1</v>
      </c>
    </row>
    <row r="3355" spans="1:38" ht="15" x14ac:dyDescent="0.25">
      <c r="A3355" s="1" t="s">
        <v>10285</v>
      </c>
      <c r="B3355" s="1" t="s">
        <v>10286</v>
      </c>
      <c r="C3355" s="1" t="s">
        <v>1400</v>
      </c>
      <c r="D3355" s="1" t="s">
        <v>1400</v>
      </c>
      <c r="E3355" s="6">
        <v>959.45</v>
      </c>
      <c r="F3355" s="1" t="s">
        <v>40</v>
      </c>
      <c r="G3355" s="6">
        <f ca="1">IFERROR(__xludf.DUMMYFUNCTION("iferror(GOOGLEFINANCE(TRIM(F3355)&amp;"":"" &amp; TRIM(B3355), ""price""),0
)"),88.5)</f>
        <v>88.5</v>
      </c>
      <c r="H3355" s="6">
        <v>113</v>
      </c>
      <c r="I3355" s="6">
        <f t="shared" ca="1" si="0"/>
        <v>88.5</v>
      </c>
      <c r="J3355" s="6">
        <f ca="1">IFERROR(__xludf.DUMMYFUNCTION("IFERROR(GOOGLEFINANCE(B3355, ""volume""), 0)"),77222)</f>
        <v>77222</v>
      </c>
      <c r="K3355" s="6">
        <v>-1.34</v>
      </c>
      <c r="L3355" s="6">
        <f ca="1">IFERROR(__xludf.DUMMYFUNCTION("IFERROR(GOOGLEFINANCE(B3355,""changepct""),K3355)"),2.84)</f>
        <v>2.84</v>
      </c>
      <c r="M3355" s="6">
        <f ca="1">IFERROR(__xludf.DUMMYFUNCTION("IFERROR(GOOGLEFINANCE(B3355,""change""),0)"),2.44)</f>
        <v>2.44</v>
      </c>
      <c r="N3355" s="6">
        <v>2</v>
      </c>
      <c r="O3355" s="7">
        <v>45536</v>
      </c>
      <c r="P3355" s="6">
        <v>142.18</v>
      </c>
      <c r="Q3355" s="6">
        <v>1095.5</v>
      </c>
      <c r="R3355" s="7">
        <v>45536</v>
      </c>
      <c r="S3355" s="6">
        <v>426.79</v>
      </c>
      <c r="T3355" s="6">
        <v>55.89</v>
      </c>
      <c r="U3355" s="7">
        <v>45536</v>
      </c>
      <c r="V3355" s="6">
        <v>17.16</v>
      </c>
      <c r="W3355" s="6">
        <f ca="1">IFERROR(__xludf.DUMMYFUNCTION("IFERROR(GOOGLEFINANCE(B3355,""pe""),V3355)"),10.9)</f>
        <v>10.9</v>
      </c>
      <c r="X3355" s="6">
        <v>3.21</v>
      </c>
      <c r="Y3355" s="6">
        <v>2.0699999999999998</v>
      </c>
      <c r="Z3355" s="6">
        <v>2</v>
      </c>
      <c r="AA3355" s="8">
        <v>45352</v>
      </c>
      <c r="AB3355" s="4">
        <v>0.32</v>
      </c>
      <c r="AC3355" s="6">
        <v>7.95</v>
      </c>
      <c r="AD3355" s="6">
        <v>9.57</v>
      </c>
      <c r="AE3355" s="1">
        <v>0</v>
      </c>
      <c r="AF3355" s="1">
        <f ca="1">IFERROR(__xludf.DUMMYFUNCTION("IFERROR(GOOGLEFINANCE(TRIM(F3355)&amp;"":"" &amp; TRIM(B3355),""high52""),AE3355)"),127.5)</f>
        <v>127.5</v>
      </c>
      <c r="AG3355" s="1">
        <v>0</v>
      </c>
      <c r="AH3355" s="1">
        <f ca="1">IFERROR(__xludf.DUMMYFUNCTION("IFERROR(GOOGLEFINANCE(TRIM(F3355)&amp;"":"" &amp; TRIM(B3355),""low52""),AE3355)"),68.7)</f>
        <v>68.7</v>
      </c>
      <c r="AI3355" s="1">
        <f ca="1">IFERROR(__xludf.DUMMYFUNCTION("IFERROR(GOOGLEFINANCE(B3355,""eps""),0)"),8.12)</f>
        <v>8.1199999999999992</v>
      </c>
      <c r="AJ3355" s="1"/>
      <c r="AK3355" s="1" t="s">
        <v>10287</v>
      </c>
      <c r="AL3355" s="9">
        <f t="shared" si="319"/>
        <v>1</v>
      </c>
    </row>
    <row r="3356" spans="1:38" ht="15" x14ac:dyDescent="0.25">
      <c r="A3356" s="1" t="s">
        <v>10288</v>
      </c>
      <c r="B3356" s="1" t="s">
        <v>10289</v>
      </c>
      <c r="C3356" s="1" t="s">
        <v>82</v>
      </c>
      <c r="D3356" s="1" t="s">
        <v>82</v>
      </c>
      <c r="E3356" s="6">
        <v>672.35</v>
      </c>
      <c r="F3356" s="1" t="s">
        <v>53</v>
      </c>
      <c r="G3356" s="6">
        <f ca="1">IFERROR(__xludf.DUMMYFUNCTION("iferror(GOOGLEFINANCE(TRIM(F3356)&amp;"":"" &amp; TRIM(B3356), ""price""),0
)"),0)</f>
        <v>0</v>
      </c>
      <c r="H3356" s="6">
        <v>779.9</v>
      </c>
      <c r="I3356" s="6">
        <f t="shared" ca="1" si="0"/>
        <v>779.9</v>
      </c>
      <c r="J3356" s="6">
        <f ca="1">IFERROR(__xludf.DUMMYFUNCTION("IFERROR(GOOGLEFINANCE(B3356, ""volume""), 0)"),0)</f>
        <v>0</v>
      </c>
      <c r="K3356" s="6">
        <v>1.59</v>
      </c>
      <c r="L3356" s="6">
        <f ca="1">IFERROR(__xludf.DUMMYFUNCTION("IFERROR(GOOGLEFINANCE(B3356,""changepct""),K3356)"),1.59)</f>
        <v>1.59</v>
      </c>
      <c r="M3356" s="6">
        <f ca="1">IFERROR(__xludf.DUMMYFUNCTION("IFERROR(GOOGLEFINANCE(B3356,""change""),0)"),0)</f>
        <v>0</v>
      </c>
      <c r="N3356" s="6">
        <v>1</v>
      </c>
      <c r="O3356" s="7">
        <v>45536</v>
      </c>
      <c r="P3356" s="6">
        <v>27.05</v>
      </c>
      <c r="Q3356" s="6">
        <v>699.4</v>
      </c>
      <c r="R3356" s="7">
        <v>45536</v>
      </c>
      <c r="S3356" s="6">
        <v>427.84</v>
      </c>
      <c r="T3356" s="6">
        <v>34.520000000000003</v>
      </c>
      <c r="U3356" s="7">
        <v>45536</v>
      </c>
      <c r="V3356" s="6">
        <v>19.48</v>
      </c>
      <c r="W3356" s="6">
        <f ca="1">IFERROR(__xludf.DUMMYFUNCTION("IFERROR(GOOGLEFINANCE(B3356,""pe""),V3356)"),19.48)</f>
        <v>19.48</v>
      </c>
      <c r="X3356" s="6">
        <v>2.4</v>
      </c>
      <c r="Y3356" s="6">
        <v>2.56</v>
      </c>
      <c r="Z3356" s="6">
        <v>1</v>
      </c>
      <c r="AA3356" s="8">
        <v>45352</v>
      </c>
      <c r="AB3356" s="4">
        <v>0.1</v>
      </c>
      <c r="AC3356" s="6">
        <v>14.08</v>
      </c>
      <c r="AD3356" s="6">
        <v>21.12</v>
      </c>
      <c r="AE3356" s="1">
        <v>0</v>
      </c>
      <c r="AF3356" s="1">
        <f ca="1">IFERROR(__xludf.DUMMYFUNCTION("IFERROR(GOOGLEFINANCE(TRIM(F3356)&amp;"":"" &amp; TRIM(B3356),""high52""),AE3356)"),0)</f>
        <v>0</v>
      </c>
      <c r="AG3356" s="1">
        <v>0</v>
      </c>
      <c r="AH3356" s="1">
        <f ca="1">IFERROR(__xludf.DUMMYFUNCTION("IFERROR(GOOGLEFINANCE(TRIM(F3356)&amp;"":"" &amp; TRIM(B3356),""low52""),AE3356)"),0)</f>
        <v>0</v>
      </c>
      <c r="AI3356" s="1">
        <f ca="1">IFERROR(__xludf.DUMMYFUNCTION("IFERROR(GOOGLEFINANCE(B3356,""eps""),0)"),0)</f>
        <v>0</v>
      </c>
      <c r="AJ3356" s="1"/>
      <c r="AK3356" s="1" t="s">
        <v>10290</v>
      </c>
      <c r="AL3356" s="9">
        <f t="shared" si="319"/>
        <v>1</v>
      </c>
    </row>
    <row r="3357" spans="1:38" ht="15" x14ac:dyDescent="0.25">
      <c r="A3357" s="1" t="s">
        <v>10291</v>
      </c>
      <c r="B3357" s="1" t="s">
        <v>10292</v>
      </c>
      <c r="C3357" s="1" t="s">
        <v>82</v>
      </c>
      <c r="D3357" s="1" t="s">
        <v>82</v>
      </c>
      <c r="E3357" s="6">
        <v>39.4</v>
      </c>
      <c r="F3357" s="1" t="s">
        <v>53</v>
      </c>
      <c r="G3357" s="6">
        <f ca="1">IFERROR(__xludf.DUMMYFUNCTION("iferror(GOOGLEFINANCE(TRIM(F3357)&amp;"":"" &amp; TRIM(B3357), ""price""),0
)"),0)</f>
        <v>0</v>
      </c>
      <c r="H3357" s="6">
        <v>65</v>
      </c>
      <c r="I3357" s="6">
        <f t="shared" ca="1" si="0"/>
        <v>65</v>
      </c>
      <c r="J3357" s="6">
        <f ca="1">IFERROR(__xludf.DUMMYFUNCTION("IFERROR(GOOGLEFINANCE(B3357, ""volume""), 0)"),0)</f>
        <v>0</v>
      </c>
      <c r="K3357" s="6">
        <v>0</v>
      </c>
      <c r="L3357" s="6">
        <f ca="1">IFERROR(__xludf.DUMMYFUNCTION("IFERROR(GOOGLEFINANCE(B3357,""changepct""),K3357)"),0)</f>
        <v>0</v>
      </c>
      <c r="M3357" s="6">
        <f ca="1">IFERROR(__xludf.DUMMYFUNCTION("IFERROR(GOOGLEFINANCE(B3357,""change""),0)"),0)</f>
        <v>0</v>
      </c>
      <c r="N3357" s="6">
        <v>1</v>
      </c>
      <c r="O3357" s="7">
        <v>45536</v>
      </c>
      <c r="P3357" s="6">
        <v>10.33</v>
      </c>
      <c r="Q3357" s="6">
        <v>49.45</v>
      </c>
      <c r="R3357" s="7">
        <v>45536</v>
      </c>
      <c r="S3357" s="6">
        <v>104.24</v>
      </c>
      <c r="T3357" s="6">
        <v>1.53</v>
      </c>
      <c r="U3357" s="7">
        <v>45536</v>
      </c>
      <c r="V3357" s="6">
        <v>25.75</v>
      </c>
      <c r="W3357" s="6">
        <f ca="1">IFERROR(__xludf.DUMMYFUNCTION("IFERROR(GOOGLEFINANCE(B3357,""pe""),V3357)"),25.75)</f>
        <v>25.75</v>
      </c>
      <c r="X3357" s="6">
        <v>0.84</v>
      </c>
      <c r="Y3357" s="6">
        <v>4.75</v>
      </c>
      <c r="Z3357" s="6">
        <v>1</v>
      </c>
      <c r="AA3357" s="8">
        <v>45352</v>
      </c>
      <c r="AB3357" s="4">
        <v>1.01</v>
      </c>
      <c r="AC3357" s="6">
        <v>29.52</v>
      </c>
      <c r="AD3357" s="6">
        <v>25.17</v>
      </c>
      <c r="AE3357" s="1">
        <v>0</v>
      </c>
      <c r="AF3357" s="1">
        <f ca="1">IFERROR(__xludf.DUMMYFUNCTION("IFERROR(GOOGLEFINANCE(TRIM(F3357)&amp;"":"" &amp; TRIM(B3357),""high52""),AE3357)"),0)</f>
        <v>0</v>
      </c>
      <c r="AG3357" s="1">
        <v>0</v>
      </c>
      <c r="AH3357" s="1">
        <f ca="1">IFERROR(__xludf.DUMMYFUNCTION("IFERROR(GOOGLEFINANCE(TRIM(F3357)&amp;"":"" &amp; TRIM(B3357),""low52""),AE3357)"),0)</f>
        <v>0</v>
      </c>
      <c r="AI3357" s="1">
        <f ca="1">IFERROR(__xludf.DUMMYFUNCTION("IFERROR(GOOGLEFINANCE(B3357,""eps""),0)"),0)</f>
        <v>0</v>
      </c>
      <c r="AJ3357" s="1"/>
      <c r="AK3357" s="1" t="s">
        <v>10293</v>
      </c>
      <c r="AL3357" s="9">
        <f t="shared" si="319"/>
        <v>1</v>
      </c>
    </row>
    <row r="3358" spans="1:38" ht="15" x14ac:dyDescent="0.25">
      <c r="A3358" s="1" t="s">
        <v>10294</v>
      </c>
      <c r="B3358" s="1" t="s">
        <v>10295</v>
      </c>
      <c r="C3358" s="1" t="s">
        <v>82</v>
      </c>
      <c r="D3358" s="1" t="s">
        <v>82</v>
      </c>
      <c r="E3358" s="6">
        <v>9.48</v>
      </c>
      <c r="F3358" s="1" t="s">
        <v>53</v>
      </c>
      <c r="G3358" s="6">
        <f ca="1">IFERROR(__xludf.DUMMYFUNCTION("iferror(GOOGLEFINANCE(TRIM(F3358)&amp;"":"" &amp; TRIM(B3358), ""price""),0
)"),0)</f>
        <v>0</v>
      </c>
      <c r="H3358" s="6">
        <v>16.3</v>
      </c>
      <c r="I3358" s="6">
        <f t="shared" ca="1" si="0"/>
        <v>16.3</v>
      </c>
      <c r="J3358" s="6">
        <f ca="1">IFERROR(__xludf.DUMMYFUNCTION("IFERROR(GOOGLEFINANCE(B3358, ""volume""), 0)"),0)</f>
        <v>0</v>
      </c>
      <c r="K3358" s="6">
        <v>4.82</v>
      </c>
      <c r="L3358" s="6">
        <f ca="1">IFERROR(__xludf.DUMMYFUNCTION("IFERROR(GOOGLEFINANCE(B3358,""changepct""),K3358)"),4.82)</f>
        <v>4.82</v>
      </c>
      <c r="M3358" s="6">
        <f ca="1">IFERROR(__xludf.DUMMYFUNCTION("IFERROR(GOOGLEFINANCE(B3358,""change""),0)"),0)</f>
        <v>0</v>
      </c>
      <c r="N3358" s="6">
        <v>1</v>
      </c>
      <c r="O3358" s="7">
        <v>45536</v>
      </c>
      <c r="P3358" s="6">
        <v>7.75</v>
      </c>
      <c r="Q3358" s="6">
        <v>17.23</v>
      </c>
      <c r="R3358" s="7">
        <v>45536</v>
      </c>
      <c r="S3358" s="6">
        <v>27.03</v>
      </c>
      <c r="T3358" s="6">
        <v>0.56000000000000005</v>
      </c>
      <c r="U3358" s="7">
        <v>45536</v>
      </c>
      <c r="V3358" s="6">
        <v>16.93</v>
      </c>
      <c r="W3358" s="6">
        <f ca="1">IFERROR(__xludf.DUMMYFUNCTION("IFERROR(GOOGLEFINANCE(B3358,""pe""),V3358)"),16.93)</f>
        <v>16.93</v>
      </c>
      <c r="X3358" s="6">
        <v>1.19</v>
      </c>
      <c r="Y3358" s="6">
        <v>1.35</v>
      </c>
      <c r="Z3358" s="6">
        <v>1</v>
      </c>
      <c r="AA3358" s="8">
        <v>45352</v>
      </c>
      <c r="AB3358" s="4">
        <v>1.3</v>
      </c>
      <c r="AC3358" s="6">
        <v>3.95</v>
      </c>
      <c r="AD3358" s="6">
        <v>4.4800000000000004</v>
      </c>
      <c r="AE3358" s="1">
        <v>0</v>
      </c>
      <c r="AF3358" s="1">
        <f ca="1">IFERROR(__xludf.DUMMYFUNCTION("IFERROR(GOOGLEFINANCE(TRIM(F3358)&amp;"":"" &amp; TRIM(B3358),""high52""),AE3358)"),0)</f>
        <v>0</v>
      </c>
      <c r="AG3358" s="1">
        <v>0</v>
      </c>
      <c r="AH3358" s="1">
        <f ca="1">IFERROR(__xludf.DUMMYFUNCTION("IFERROR(GOOGLEFINANCE(TRIM(F3358)&amp;"":"" &amp; TRIM(B3358),""low52""),AE3358)"),0)</f>
        <v>0</v>
      </c>
      <c r="AI3358" s="1">
        <f ca="1">IFERROR(__xludf.DUMMYFUNCTION("IFERROR(GOOGLEFINANCE(B3358,""eps""),0)"),0)</f>
        <v>0</v>
      </c>
      <c r="AJ3358" s="1"/>
      <c r="AK3358" s="1" t="s">
        <v>10296</v>
      </c>
      <c r="AL3358" s="9">
        <f t="shared" si="319"/>
        <v>1</v>
      </c>
    </row>
    <row r="3359" spans="1:38" ht="15" x14ac:dyDescent="0.25">
      <c r="A3359" s="1" t="s">
        <v>10297</v>
      </c>
      <c r="B3359" s="1" t="s">
        <v>10298</v>
      </c>
      <c r="C3359" s="1" t="s">
        <v>106</v>
      </c>
      <c r="D3359" s="1" t="s">
        <v>106</v>
      </c>
      <c r="E3359" s="6">
        <v>22.31</v>
      </c>
      <c r="F3359" s="1" t="s">
        <v>40</v>
      </c>
      <c r="G3359" s="6">
        <f ca="1">IFERROR(__xludf.DUMMYFUNCTION("iferror(GOOGLEFINANCE(TRIM(F3359)&amp;"":"" &amp; TRIM(B3359), ""price""),0
)"),0)</f>
        <v>0</v>
      </c>
      <c r="H3359" s="6">
        <v>55.5</v>
      </c>
      <c r="I3359" s="6">
        <f t="shared" ca="1" si="0"/>
        <v>55.5</v>
      </c>
      <c r="J3359" s="6">
        <f ca="1">IFERROR(__xludf.DUMMYFUNCTION("IFERROR(GOOGLEFINANCE(B3359, ""volume""), 0)"),0)</f>
        <v>0</v>
      </c>
      <c r="K3359" s="9"/>
      <c r="L3359" s="6" t="str">
        <f ca="1">IFERROR(__xludf.DUMMYFUNCTION("IFERROR(GOOGLEFINANCE(B3359,""changepct""),K3359)"),"")</f>
        <v/>
      </c>
      <c r="M3359" s="6">
        <f ca="1">IFERROR(__xludf.DUMMYFUNCTION("IFERROR(GOOGLEFINANCE(B3359,""change""),0)"),0)</f>
        <v>0</v>
      </c>
      <c r="N3359" s="6">
        <v>1</v>
      </c>
      <c r="O3359" s="7">
        <v>45536</v>
      </c>
      <c r="P3359" s="6">
        <v>8.75</v>
      </c>
      <c r="Q3359" s="6">
        <v>31.06</v>
      </c>
      <c r="R3359" s="7">
        <v>45352</v>
      </c>
      <c r="S3359" s="6">
        <v>40.86</v>
      </c>
      <c r="T3359" s="6">
        <v>0.88</v>
      </c>
      <c r="U3359" s="7">
        <v>45352</v>
      </c>
      <c r="V3359" s="6">
        <v>25.41</v>
      </c>
      <c r="W3359" s="6">
        <f ca="1">IFERROR(__xludf.DUMMYFUNCTION("IFERROR(GOOGLEFINANCE(B3359,""pe""),V3359)"),25.41)</f>
        <v>25.41</v>
      </c>
      <c r="X3359" s="9"/>
      <c r="Y3359" s="6">
        <v>1.52</v>
      </c>
      <c r="Z3359" s="6">
        <v>1</v>
      </c>
      <c r="AA3359" s="8">
        <v>45352</v>
      </c>
      <c r="AB3359" s="4">
        <v>0.39</v>
      </c>
      <c r="AC3359" s="6">
        <v>8.9</v>
      </c>
      <c r="AD3359" s="6">
        <v>14.91</v>
      </c>
      <c r="AE3359" s="1">
        <v>0</v>
      </c>
      <c r="AF3359" s="1">
        <f ca="1">IFERROR(__xludf.DUMMYFUNCTION("IFERROR(GOOGLEFINANCE(TRIM(F3359)&amp;"":"" &amp; TRIM(B3359),""high52""),AE3359)"),0)</f>
        <v>0</v>
      </c>
      <c r="AG3359" s="1">
        <v>0</v>
      </c>
      <c r="AH3359" s="1">
        <f ca="1">IFERROR(__xludf.DUMMYFUNCTION("IFERROR(GOOGLEFINANCE(TRIM(F3359)&amp;"":"" &amp; TRIM(B3359),""low52""),AE3359)"),0)</f>
        <v>0</v>
      </c>
      <c r="AI3359" s="1">
        <f ca="1">IFERROR(__xludf.DUMMYFUNCTION("IFERROR(GOOGLEFINANCE(B3359,""eps""),0)"),0)</f>
        <v>0</v>
      </c>
      <c r="AJ3359" s="1"/>
      <c r="AK3359" s="1" t="s">
        <v>10299</v>
      </c>
      <c r="AL3359" s="9">
        <f t="shared" si="319"/>
        <v>1</v>
      </c>
    </row>
    <row r="3360" spans="1:38" ht="15" x14ac:dyDescent="0.25">
      <c r="A3360" s="1" t="s">
        <v>10300</v>
      </c>
      <c r="B3360" s="1" t="s">
        <v>10301</v>
      </c>
      <c r="C3360" s="1" t="s">
        <v>4967</v>
      </c>
      <c r="D3360" s="1" t="s">
        <v>4967</v>
      </c>
      <c r="E3360" s="6">
        <v>238.2</v>
      </c>
      <c r="F3360" s="1" t="s">
        <v>40</v>
      </c>
      <c r="G3360" s="6">
        <f ca="1">IFERROR(__xludf.DUMMYFUNCTION("iferror(GOOGLEFINANCE(TRIM(F3360)&amp;"":"" &amp; TRIM(B3360), ""price""),0
)"),68)</f>
        <v>68</v>
      </c>
      <c r="H3360" s="6">
        <v>173.78</v>
      </c>
      <c r="I3360" s="6">
        <f t="shared" ca="1" si="0"/>
        <v>68</v>
      </c>
      <c r="J3360" s="6">
        <f ca="1">IFERROR(__xludf.DUMMYFUNCTION("IFERROR(GOOGLEFINANCE(B3360, ""volume""), 0)"),3557)</f>
        <v>3557</v>
      </c>
      <c r="K3360" s="6">
        <v>-0.14000000000000001</v>
      </c>
      <c r="L3360" s="6">
        <f ca="1">IFERROR(__xludf.DUMMYFUNCTION("IFERROR(GOOGLEFINANCE(B3360,""changepct""),K3360)"),-3.6)</f>
        <v>-3.6</v>
      </c>
      <c r="M3360" s="6">
        <f ca="1">IFERROR(__xludf.DUMMYFUNCTION("IFERROR(GOOGLEFINANCE(B3360,""change""),0)"),-2.54)</f>
        <v>-2.54</v>
      </c>
      <c r="N3360" s="6">
        <v>1</v>
      </c>
      <c r="O3360" s="7">
        <v>45536</v>
      </c>
      <c r="P3360" s="12"/>
      <c r="Q3360" s="6">
        <v>199.13</v>
      </c>
      <c r="R3360" s="7">
        <v>45536</v>
      </c>
      <c r="S3360" s="6">
        <v>232.29</v>
      </c>
      <c r="T3360" s="6">
        <v>5.69</v>
      </c>
      <c r="U3360" s="7">
        <v>45536</v>
      </c>
      <c r="V3360" s="6">
        <v>41.89</v>
      </c>
      <c r="W3360" s="6">
        <f ca="1">IFERROR(__xludf.DUMMYFUNCTION("IFERROR(GOOGLEFINANCE(B3360,""pe""),V3360)"),24.73)</f>
        <v>24.73</v>
      </c>
      <c r="X3360" s="6">
        <v>2.21</v>
      </c>
      <c r="Y3360" s="6">
        <v>2.0099999999999998</v>
      </c>
      <c r="Z3360" s="6">
        <v>1</v>
      </c>
      <c r="AA3360" s="8">
        <v>45352</v>
      </c>
      <c r="AB3360" s="4">
        <v>0</v>
      </c>
      <c r="AC3360" s="6">
        <v>12.51</v>
      </c>
      <c r="AD3360" s="6">
        <v>17.87</v>
      </c>
      <c r="AE3360" s="1">
        <v>0</v>
      </c>
      <c r="AF3360" s="1">
        <f ca="1">IFERROR(__xludf.DUMMYFUNCTION("IFERROR(GOOGLEFINANCE(TRIM(F3360)&amp;"":"" &amp; TRIM(B3360),""high52""),AE3360)"),167.11)</f>
        <v>167.11</v>
      </c>
      <c r="AG3360" s="1">
        <v>0</v>
      </c>
      <c r="AH3360" s="1">
        <f ca="1">IFERROR(__xludf.DUMMYFUNCTION("IFERROR(GOOGLEFINANCE(TRIM(F3360)&amp;"":"" &amp; TRIM(B3360),""low52""),AE3360)"),66)</f>
        <v>66</v>
      </c>
      <c r="AI3360" s="1">
        <f ca="1">IFERROR(__xludf.DUMMYFUNCTION("IFERROR(GOOGLEFINANCE(B3360,""eps""),0)"),2.75)</f>
        <v>2.75</v>
      </c>
      <c r="AJ3360" s="1"/>
      <c r="AK3360" s="9"/>
      <c r="AL3360" s="9">
        <f t="shared" si="319"/>
        <v>1</v>
      </c>
    </row>
    <row r="3361" spans="1:38" ht="15" x14ac:dyDescent="0.25">
      <c r="A3361" s="1" t="s">
        <v>10302</v>
      </c>
      <c r="B3361" s="1" t="s">
        <v>10303</v>
      </c>
      <c r="C3361" s="1" t="s">
        <v>324</v>
      </c>
      <c r="D3361" s="1" t="s">
        <v>324</v>
      </c>
      <c r="E3361" s="6">
        <v>860.38</v>
      </c>
      <c r="F3361" s="1" t="s">
        <v>40</v>
      </c>
      <c r="G3361" s="6">
        <f ca="1">IFERROR(__xludf.DUMMYFUNCTION("iferror(GOOGLEFINANCE(TRIM(F3361)&amp;"":"" &amp; TRIM(B3361), ""price""),0
)"),3.99)</f>
        <v>3.99</v>
      </c>
      <c r="H3361" s="6">
        <v>8.82</v>
      </c>
      <c r="I3361" s="6">
        <f t="shared" ca="1" si="0"/>
        <v>3.99</v>
      </c>
      <c r="J3361" s="6">
        <f ca="1">IFERROR(__xludf.DUMMYFUNCTION("IFERROR(GOOGLEFINANCE(B3361, ""volume""), 0)"),3577837)</f>
        <v>3577837</v>
      </c>
      <c r="K3361" s="6">
        <v>0.34</v>
      </c>
      <c r="L3361" s="6">
        <f ca="1">IFERROR(__xludf.DUMMYFUNCTION("IFERROR(GOOGLEFINANCE(B3361,""changepct""),K3361)"),-0.99)</f>
        <v>-0.99</v>
      </c>
      <c r="M3361" s="6">
        <f ca="1">IFERROR(__xludf.DUMMYFUNCTION("IFERROR(GOOGLEFINANCE(B3361,""change""),0)"),-0.04)</f>
        <v>-0.04</v>
      </c>
      <c r="N3361" s="6">
        <v>2</v>
      </c>
      <c r="O3361" s="7">
        <v>45536</v>
      </c>
      <c r="P3361" s="6">
        <v>303.14999999999998</v>
      </c>
      <c r="Q3361" s="6">
        <v>1163.53</v>
      </c>
      <c r="R3361" s="7">
        <v>45536</v>
      </c>
      <c r="S3361" s="6">
        <v>981.06</v>
      </c>
      <c r="T3361" s="6">
        <v>20.74</v>
      </c>
      <c r="U3361" s="7">
        <v>45536</v>
      </c>
      <c r="V3361" s="6">
        <v>42.4</v>
      </c>
      <c r="W3361" s="6">
        <f ca="1">IFERROR(__xludf.DUMMYFUNCTION("IFERROR(GOOGLEFINANCE(B3361,""pe""),V3361)"),8.07)</f>
        <v>8.07</v>
      </c>
      <c r="X3361" s="6">
        <v>-27.89</v>
      </c>
      <c r="Y3361" s="6">
        <v>2.98</v>
      </c>
      <c r="Z3361" s="6">
        <v>2</v>
      </c>
      <c r="AA3361" s="8">
        <v>45352</v>
      </c>
      <c r="AB3361" s="4">
        <v>1.18</v>
      </c>
      <c r="AC3361" s="6">
        <v>133.13</v>
      </c>
      <c r="AD3361" s="6">
        <v>61.05</v>
      </c>
      <c r="AE3361" s="1">
        <v>0</v>
      </c>
      <c r="AF3361" s="1">
        <f ca="1">IFERROR(__xludf.DUMMYFUNCTION("IFERROR(GOOGLEFINANCE(TRIM(F3361)&amp;"":"" &amp; TRIM(B3361),""high52""),AE3361)"),8.97)</f>
        <v>8.9700000000000006</v>
      </c>
      <c r="AG3361" s="1">
        <v>0</v>
      </c>
      <c r="AH3361" s="1">
        <f ca="1">IFERROR(__xludf.DUMMYFUNCTION("IFERROR(GOOGLEFINANCE(TRIM(F3361)&amp;"":"" &amp; TRIM(B3361),""low52""),AE3361)"),3.82)</f>
        <v>3.82</v>
      </c>
      <c r="AI3361" s="1">
        <f ca="1">IFERROR(__xludf.DUMMYFUNCTION("IFERROR(GOOGLEFINANCE(B3361,""eps""),0)"),0.49)</f>
        <v>0.49</v>
      </c>
      <c r="AJ3361" s="1"/>
      <c r="AK3361" s="1" t="s">
        <v>10304</v>
      </c>
      <c r="AL3361" s="9">
        <f t="shared" si="319"/>
        <v>1</v>
      </c>
    </row>
    <row r="3362" spans="1:38" ht="15" x14ac:dyDescent="0.25">
      <c r="A3362" s="1" t="s">
        <v>10305</v>
      </c>
      <c r="B3362" s="1" t="s">
        <v>10306</v>
      </c>
      <c r="C3362" s="1" t="s">
        <v>57</v>
      </c>
      <c r="D3362" s="1" t="s">
        <v>57</v>
      </c>
      <c r="E3362" s="6">
        <v>3329.89</v>
      </c>
      <c r="F3362" s="1" t="s">
        <v>40</v>
      </c>
      <c r="G3362" s="6">
        <f ca="1">IFERROR(__xludf.DUMMYFUNCTION("iferror(GOOGLEFINANCE(TRIM(F3362)&amp;"":"" &amp; TRIM(B3362), ""price""),0
)"),1267)</f>
        <v>1267</v>
      </c>
      <c r="H3362" s="6">
        <v>2182.6999999999998</v>
      </c>
      <c r="I3362" s="6">
        <f t="shared" ca="1" si="0"/>
        <v>1267</v>
      </c>
      <c r="J3362" s="6">
        <f ca="1">IFERROR(__xludf.DUMMYFUNCTION("IFERROR(GOOGLEFINANCE(B3362, ""volume""), 0)"),7779)</f>
        <v>7779</v>
      </c>
      <c r="K3362" s="6">
        <v>-0.24</v>
      </c>
      <c r="L3362" s="6">
        <f ca="1">IFERROR(__xludf.DUMMYFUNCTION("IFERROR(GOOGLEFINANCE(B3362,""changepct""),K3362)"),-0.95)</f>
        <v>-0.95</v>
      </c>
      <c r="M3362" s="6">
        <f ca="1">IFERROR(__xludf.DUMMYFUNCTION("IFERROR(GOOGLEFINANCE(B3362,""change""),0)"),-12.1)</f>
        <v>-12.1</v>
      </c>
      <c r="N3362" s="6">
        <v>2</v>
      </c>
      <c r="O3362" s="7">
        <v>45536</v>
      </c>
      <c r="P3362" s="9"/>
      <c r="Q3362" s="6">
        <v>3310.16</v>
      </c>
      <c r="R3362" s="7">
        <v>45536</v>
      </c>
      <c r="S3362" s="6">
        <v>463.81</v>
      </c>
      <c r="T3362" s="6">
        <v>64.94</v>
      </c>
      <c r="U3362" s="7">
        <v>45536</v>
      </c>
      <c r="V3362" s="6">
        <v>51.12</v>
      </c>
      <c r="W3362" s="6">
        <f ca="1">IFERROR(__xludf.DUMMYFUNCTION("IFERROR(GOOGLEFINANCE(B3362,""pe""),V3362)"),49.07)</f>
        <v>49.07</v>
      </c>
      <c r="X3362" s="6">
        <v>-18.72</v>
      </c>
      <c r="Y3362" s="6">
        <v>4.2300000000000004</v>
      </c>
      <c r="Z3362" s="6">
        <v>2</v>
      </c>
      <c r="AA3362" s="8">
        <v>45352</v>
      </c>
      <c r="AB3362" s="4">
        <v>0</v>
      </c>
      <c r="AC3362" s="6">
        <v>10.69</v>
      </c>
      <c r="AD3362" s="6">
        <v>12.65</v>
      </c>
      <c r="AE3362" s="1">
        <v>0</v>
      </c>
      <c r="AF3362" s="1">
        <f ca="1">IFERROR(__xludf.DUMMYFUNCTION("IFERROR(GOOGLEFINANCE(TRIM(F3362)&amp;"":"" &amp; TRIM(B3362),""high52""),AE3362)"),1979.8)</f>
        <v>1979.8</v>
      </c>
      <c r="AG3362" s="1">
        <v>0</v>
      </c>
      <c r="AH3362" s="1">
        <f ca="1">IFERROR(__xludf.DUMMYFUNCTION("IFERROR(GOOGLEFINANCE(TRIM(F3362)&amp;"":"" &amp; TRIM(B3362),""low52""),AE3362)"),1153)</f>
        <v>1153</v>
      </c>
      <c r="AI3362" s="1">
        <f ca="1">IFERROR(__xludf.DUMMYFUNCTION("IFERROR(GOOGLEFINANCE(B3362,""eps""),0)"),25.82)</f>
        <v>25.82</v>
      </c>
      <c r="AJ3362" s="1"/>
      <c r="AK3362" s="9"/>
      <c r="AL3362" s="9">
        <f t="shared" si="319"/>
        <v>1</v>
      </c>
    </row>
    <row r="3363" spans="1:38" ht="15" x14ac:dyDescent="0.25">
      <c r="A3363" s="1" t="s">
        <v>10307</v>
      </c>
      <c r="B3363" s="1" t="s">
        <v>10308</v>
      </c>
      <c r="C3363" s="1" t="s">
        <v>208</v>
      </c>
      <c r="D3363" s="1" t="s">
        <v>208</v>
      </c>
      <c r="E3363" s="6">
        <v>1021.28</v>
      </c>
      <c r="F3363" s="1" t="s">
        <v>40</v>
      </c>
      <c r="G3363" s="6">
        <f ca="1">IFERROR(__xludf.DUMMYFUNCTION("iferror(GOOGLEFINANCE(TRIM(F3363)&amp;"":"" &amp; TRIM(B3363), ""price""),0
)"),290.55)</f>
        <v>290.55</v>
      </c>
      <c r="H3363" s="6">
        <v>324.85000000000002</v>
      </c>
      <c r="I3363" s="6">
        <f t="shared" ca="1" si="0"/>
        <v>290.55</v>
      </c>
      <c r="J3363" s="6">
        <f ca="1">IFERROR(__xludf.DUMMYFUNCTION("IFERROR(GOOGLEFINANCE(B3363, ""volume""), 0)"),2130)</f>
        <v>2130</v>
      </c>
      <c r="K3363" s="6">
        <v>1.1499999999999999</v>
      </c>
      <c r="L3363" s="6">
        <f ca="1">IFERROR(__xludf.DUMMYFUNCTION("IFERROR(GOOGLEFINANCE(B3363,""changepct""),K3363)"),-0.15)</f>
        <v>-0.15</v>
      </c>
      <c r="M3363" s="6">
        <f ca="1">IFERROR(__xludf.DUMMYFUNCTION("IFERROR(GOOGLEFINANCE(B3363,""change""),0)"),-0.45)</f>
        <v>-0.45</v>
      </c>
      <c r="N3363" s="6">
        <v>2</v>
      </c>
      <c r="O3363" s="7">
        <v>45536</v>
      </c>
      <c r="P3363" s="6">
        <v>-46.36</v>
      </c>
      <c r="Q3363" s="7">
        <v>45536</v>
      </c>
      <c r="R3363" s="6">
        <v>0</v>
      </c>
      <c r="S3363" s="6">
        <v>0</v>
      </c>
      <c r="T3363" s="6">
        <v>1.48</v>
      </c>
      <c r="U3363" s="6">
        <v>2</v>
      </c>
      <c r="V3363" s="7">
        <v>45352</v>
      </c>
      <c r="W3363" s="10">
        <f ca="1">IFERROR(__xludf.DUMMYFUNCTION("IFERROR(GOOGLEFINANCE(B3363,""pe""),V3363)"),45352)</f>
        <v>45352</v>
      </c>
      <c r="X3363" s="6">
        <v>0</v>
      </c>
      <c r="Y3363" s="6">
        <v>0.78</v>
      </c>
      <c r="Z3363" s="6">
        <v>-3.88</v>
      </c>
      <c r="AA3363" s="3" t="s">
        <v>10309</v>
      </c>
      <c r="AB3363" s="3"/>
      <c r="AC3363" s="9"/>
      <c r="AD3363" s="9"/>
      <c r="AE3363" s="1">
        <v>0</v>
      </c>
      <c r="AF3363" s="1">
        <f ca="1">IFERROR(__xludf.DUMMYFUNCTION("IFERROR(GOOGLEFINANCE(TRIM(F3363)&amp;"":"" &amp; TRIM(B3363),""high52""),AE3363)"),363)</f>
        <v>363</v>
      </c>
      <c r="AG3363" s="1">
        <v>0</v>
      </c>
      <c r="AH3363" s="1">
        <f ca="1">IFERROR(__xludf.DUMMYFUNCTION("IFERROR(GOOGLEFINANCE(TRIM(F3363)&amp;"":"" &amp; TRIM(B3363),""low52""),AE3363)"),205)</f>
        <v>205</v>
      </c>
      <c r="AI3363" s="1">
        <f ca="1">IFERROR(__xludf.DUMMYFUNCTION("IFERROR(GOOGLEFINANCE(B3363,""eps""),0)"),-0.64)</f>
        <v>-0.64</v>
      </c>
      <c r="AJ3363" s="1"/>
      <c r="AK3363" s="1" t="s">
        <v>10310</v>
      </c>
      <c r="AL3363" s="9">
        <f t="shared" si="319"/>
        <v>1</v>
      </c>
    </row>
    <row r="3364" spans="1:38" ht="15" x14ac:dyDescent="0.25">
      <c r="A3364" s="1" t="s">
        <v>10311</v>
      </c>
      <c r="B3364" s="1" t="s">
        <v>10312</v>
      </c>
      <c r="C3364" s="1" t="s">
        <v>48</v>
      </c>
      <c r="D3364" s="1" t="s">
        <v>48</v>
      </c>
      <c r="E3364" s="6">
        <v>1208.31</v>
      </c>
      <c r="F3364" s="1" t="s">
        <v>40</v>
      </c>
      <c r="G3364" s="6">
        <f ca="1">IFERROR(__xludf.DUMMYFUNCTION("iferror(GOOGLEFINANCE(TRIM(F3364)&amp;"":"" &amp; TRIM(B3364), ""price""),0
)"),0)</f>
        <v>0</v>
      </c>
      <c r="H3364" s="6">
        <v>113.86</v>
      </c>
      <c r="I3364" s="6">
        <f t="shared" ca="1" si="0"/>
        <v>113.86</v>
      </c>
      <c r="J3364" s="6">
        <f ca="1">IFERROR(__xludf.DUMMYFUNCTION("IFERROR(GOOGLEFINANCE(B3364, ""volume""), 0)"),0)</f>
        <v>0</v>
      </c>
      <c r="K3364" s="6">
        <v>6.63</v>
      </c>
      <c r="L3364" s="6">
        <f ca="1">IFERROR(__xludf.DUMMYFUNCTION("IFERROR(GOOGLEFINANCE(B3364,""changepct""),K3364)"),6.63)</f>
        <v>6.63</v>
      </c>
      <c r="M3364" s="6">
        <f ca="1">IFERROR(__xludf.DUMMYFUNCTION("IFERROR(GOOGLEFINANCE(B3364,""change""),0)"),0)</f>
        <v>0</v>
      </c>
      <c r="N3364" s="6">
        <v>2</v>
      </c>
      <c r="O3364" s="7">
        <v>45536</v>
      </c>
      <c r="P3364" s="6">
        <v>69.45</v>
      </c>
      <c r="Q3364" s="7">
        <v>45536</v>
      </c>
      <c r="R3364" s="6">
        <v>26.31</v>
      </c>
      <c r="S3364" s="6">
        <v>0.33</v>
      </c>
      <c r="T3364" s="6">
        <v>1.79</v>
      </c>
      <c r="U3364" s="6">
        <v>2</v>
      </c>
      <c r="V3364" s="7">
        <v>45352</v>
      </c>
      <c r="W3364" s="10">
        <f ca="1">IFERROR(__xludf.DUMMYFUNCTION("IFERROR(GOOGLEFINANCE(B3364,""pe""),V3364)"),45352)</f>
        <v>45352</v>
      </c>
      <c r="X3364" s="6">
        <v>0.1</v>
      </c>
      <c r="Y3364" s="6">
        <v>60.29</v>
      </c>
      <c r="Z3364" s="6">
        <v>63.55</v>
      </c>
      <c r="AA3364" s="3" t="s">
        <v>10313</v>
      </c>
      <c r="AB3364" s="3"/>
      <c r="AC3364" s="9"/>
      <c r="AD3364" s="9"/>
      <c r="AE3364" s="1">
        <v>0</v>
      </c>
      <c r="AF3364" s="1">
        <f ca="1">IFERROR(__xludf.DUMMYFUNCTION("IFERROR(GOOGLEFINANCE(TRIM(F3364)&amp;"":"" &amp; TRIM(B3364),""high52""),AE3364)"),0)</f>
        <v>0</v>
      </c>
      <c r="AG3364" s="1">
        <v>0</v>
      </c>
      <c r="AH3364" s="1">
        <f ca="1">IFERROR(__xludf.DUMMYFUNCTION("IFERROR(GOOGLEFINANCE(TRIM(F3364)&amp;"":"" &amp; TRIM(B3364),""low52""),AE3364)"),0)</f>
        <v>0</v>
      </c>
      <c r="AI3364" s="1">
        <f ca="1">IFERROR(__xludf.DUMMYFUNCTION("IFERROR(GOOGLEFINANCE(B3364,""eps""),0)"),0)</f>
        <v>0</v>
      </c>
      <c r="AJ3364" s="1"/>
      <c r="AK3364" s="1" t="s">
        <v>10314</v>
      </c>
      <c r="AL3364" s="9">
        <f t="shared" si="319"/>
        <v>1</v>
      </c>
    </row>
    <row r="3365" spans="1:38" ht="15" x14ac:dyDescent="0.25">
      <c r="A3365" s="1" t="s">
        <v>10315</v>
      </c>
      <c r="B3365" s="1" t="s">
        <v>10316</v>
      </c>
      <c r="C3365" s="1" t="s">
        <v>82</v>
      </c>
      <c r="D3365" s="1" t="s">
        <v>82</v>
      </c>
      <c r="E3365" s="6">
        <v>84.85</v>
      </c>
      <c r="F3365" s="1" t="s">
        <v>53</v>
      </c>
      <c r="G3365" s="6">
        <f ca="1">IFERROR(__xludf.DUMMYFUNCTION("iferror(GOOGLEFINANCE(TRIM(F3365)&amp;"":"" &amp; TRIM(B3365), ""price""),0
)"),0)</f>
        <v>0</v>
      </c>
      <c r="H3365" s="6">
        <v>19.010000000000002</v>
      </c>
      <c r="I3365" s="6">
        <f t="shared" ca="1" si="0"/>
        <v>19.010000000000002</v>
      </c>
      <c r="J3365" s="6">
        <f ca="1">IFERROR(__xludf.DUMMYFUNCTION("IFERROR(GOOGLEFINANCE(B3365, ""volume""), 0)"),0)</f>
        <v>0</v>
      </c>
      <c r="K3365" s="6">
        <v>-3.75</v>
      </c>
      <c r="L3365" s="6">
        <f ca="1">IFERROR(__xludf.DUMMYFUNCTION("IFERROR(GOOGLEFINANCE(B3365,""changepct""),K3365)"),-3.75)</f>
        <v>-3.75</v>
      </c>
      <c r="M3365" s="6">
        <f ca="1">IFERROR(__xludf.DUMMYFUNCTION("IFERROR(GOOGLEFINANCE(B3365,""change""),0)"),0)</f>
        <v>0</v>
      </c>
      <c r="N3365" s="6">
        <v>1</v>
      </c>
      <c r="O3365" s="7">
        <v>45536</v>
      </c>
      <c r="P3365" s="6">
        <v>17.25</v>
      </c>
      <c r="Q3365" s="6">
        <v>102.11</v>
      </c>
      <c r="R3365" s="7">
        <v>45536</v>
      </c>
      <c r="S3365" s="6">
        <v>27.1</v>
      </c>
      <c r="T3365" s="6">
        <v>-0.83</v>
      </c>
      <c r="U3365" s="7">
        <v>45536</v>
      </c>
      <c r="V3365" s="6">
        <v>0</v>
      </c>
      <c r="W3365" s="6">
        <f ca="1">IFERROR(__xludf.DUMMYFUNCTION("IFERROR(GOOGLEFINANCE(B3365,""pe""),V3365)"),0)</f>
        <v>0</v>
      </c>
      <c r="X3365" s="6">
        <v>0</v>
      </c>
      <c r="Y3365" s="6">
        <v>-5.81</v>
      </c>
      <c r="Z3365" s="6">
        <v>1</v>
      </c>
      <c r="AA3365" s="8">
        <v>45352</v>
      </c>
      <c r="AB3365" s="4">
        <v>-1.06</v>
      </c>
      <c r="AC3365" s="6">
        <v>0</v>
      </c>
      <c r="AD3365" s="6">
        <v>0</v>
      </c>
      <c r="AE3365" s="1">
        <v>0</v>
      </c>
      <c r="AF3365" s="1">
        <f ca="1">IFERROR(__xludf.DUMMYFUNCTION("IFERROR(GOOGLEFINANCE(TRIM(F3365)&amp;"":"" &amp; TRIM(B3365),""high52""),AE3365)"),0)</f>
        <v>0</v>
      </c>
      <c r="AG3365" s="1">
        <v>0</v>
      </c>
      <c r="AH3365" s="1">
        <f ca="1">IFERROR(__xludf.DUMMYFUNCTION("IFERROR(GOOGLEFINANCE(TRIM(F3365)&amp;"":"" &amp; TRIM(B3365),""low52""),AE3365)"),0)</f>
        <v>0</v>
      </c>
      <c r="AI3365" s="1">
        <f ca="1">IFERROR(__xludf.DUMMYFUNCTION("IFERROR(GOOGLEFINANCE(B3365,""eps""),0)"),0)</f>
        <v>0</v>
      </c>
      <c r="AJ3365" s="1"/>
      <c r="AK3365" s="1" t="s">
        <v>10317</v>
      </c>
      <c r="AL3365" s="9">
        <f t="shared" si="319"/>
        <v>1</v>
      </c>
    </row>
    <row r="3366" spans="1:38" ht="15" x14ac:dyDescent="0.25">
      <c r="A3366" s="1" t="s">
        <v>10318</v>
      </c>
      <c r="B3366" s="1" t="s">
        <v>10319</v>
      </c>
      <c r="C3366" s="1" t="s">
        <v>86</v>
      </c>
      <c r="D3366" s="1" t="s">
        <v>86</v>
      </c>
      <c r="E3366" s="6">
        <v>1200.8699999999999</v>
      </c>
      <c r="F3366" s="1" t="s">
        <v>40</v>
      </c>
      <c r="G3366" s="6">
        <f ca="1">IFERROR(__xludf.DUMMYFUNCTION("iferror(GOOGLEFINANCE(TRIM(F3366)&amp;"":"" &amp; TRIM(B3366), ""price""),0
)"),0)</f>
        <v>0</v>
      </c>
      <c r="H3366" s="6">
        <v>504</v>
      </c>
      <c r="I3366" s="6">
        <f t="shared" ca="1" si="0"/>
        <v>504</v>
      </c>
      <c r="J3366" s="6">
        <f ca="1">IFERROR(__xludf.DUMMYFUNCTION("IFERROR(GOOGLEFINANCE(B3366, ""volume""), 0)"),0)</f>
        <v>0</v>
      </c>
      <c r="K3366" s="6">
        <v>1.31</v>
      </c>
      <c r="L3366" s="6">
        <f ca="1">IFERROR(__xludf.DUMMYFUNCTION("IFERROR(GOOGLEFINANCE(B3366,""changepct""),K3366)"),1.31)</f>
        <v>1.31</v>
      </c>
      <c r="M3366" s="6">
        <f ca="1">IFERROR(__xludf.DUMMYFUNCTION("IFERROR(GOOGLEFINANCE(B3366,""change""),0)"),0)</f>
        <v>0</v>
      </c>
      <c r="N3366" s="6">
        <v>1</v>
      </c>
      <c r="O3366" s="7">
        <v>45536</v>
      </c>
      <c r="P3366" s="9"/>
      <c r="Q3366" s="6">
        <v>1200.8699999999999</v>
      </c>
      <c r="R3366" s="14"/>
      <c r="S3366" s="9"/>
      <c r="T3366" s="9"/>
      <c r="U3366" s="7">
        <v>45352</v>
      </c>
      <c r="V3366" s="6">
        <v>45.81</v>
      </c>
      <c r="W3366" s="6">
        <f ca="1">IFERROR(__xludf.DUMMYFUNCTION("IFERROR(GOOGLEFINANCE(B3366,""pe""),V3366)"),45.81)</f>
        <v>45.81</v>
      </c>
      <c r="X3366" s="9"/>
      <c r="Y3366" s="6">
        <v>8.06</v>
      </c>
      <c r="Z3366" s="6">
        <v>1</v>
      </c>
      <c r="AA3366" s="8">
        <v>45352</v>
      </c>
      <c r="AB3366" s="4">
        <v>0</v>
      </c>
      <c r="AC3366" s="6">
        <v>95.59</v>
      </c>
      <c r="AD3366" s="6">
        <v>116.84</v>
      </c>
      <c r="AE3366" s="1">
        <v>0</v>
      </c>
      <c r="AF3366" s="1">
        <f ca="1">IFERROR(__xludf.DUMMYFUNCTION("IFERROR(GOOGLEFINANCE(TRIM(F3366)&amp;"":"" &amp; TRIM(B3366),""high52""),AE3366)"),0)</f>
        <v>0</v>
      </c>
      <c r="AG3366" s="1">
        <v>0</v>
      </c>
      <c r="AH3366" s="1">
        <f ca="1">IFERROR(__xludf.DUMMYFUNCTION("IFERROR(GOOGLEFINANCE(TRIM(F3366)&amp;"":"" &amp; TRIM(B3366),""low52""),AE3366)"),0)</f>
        <v>0</v>
      </c>
      <c r="AI3366" s="1">
        <f ca="1">IFERROR(__xludf.DUMMYFUNCTION("IFERROR(GOOGLEFINANCE(B3366,""eps""),0)"),0)</f>
        <v>0</v>
      </c>
      <c r="AJ3366" s="1"/>
      <c r="AK3366" s="1" t="s">
        <v>10320</v>
      </c>
      <c r="AL3366" s="9">
        <f t="shared" si="319"/>
        <v>1</v>
      </c>
    </row>
    <row r="3367" spans="1:38" ht="15" x14ac:dyDescent="0.25">
      <c r="A3367" s="1" t="s">
        <v>10321</v>
      </c>
      <c r="B3367" s="1" t="s">
        <v>10322</v>
      </c>
      <c r="C3367" s="1" t="s">
        <v>82</v>
      </c>
      <c r="D3367" s="1" t="s">
        <v>82</v>
      </c>
      <c r="E3367" s="6">
        <v>11.88</v>
      </c>
      <c r="F3367" s="1" t="s">
        <v>53</v>
      </c>
      <c r="G3367" s="6">
        <f ca="1">IFERROR(__xludf.DUMMYFUNCTION("iferror(GOOGLEFINANCE(TRIM(F3367)&amp;"":"" &amp; TRIM(B3367), ""price""),0
)"),0)</f>
        <v>0</v>
      </c>
      <c r="H3367" s="6">
        <v>36.76</v>
      </c>
      <c r="I3367" s="6">
        <f t="shared" ca="1" si="0"/>
        <v>36.76</v>
      </c>
      <c r="J3367" s="6">
        <f ca="1">IFERROR(__xludf.DUMMYFUNCTION("IFERROR(GOOGLEFINANCE(B3367, ""volume""), 0)"),0)</f>
        <v>0</v>
      </c>
      <c r="K3367" s="6">
        <v>-4.6900000000000004</v>
      </c>
      <c r="L3367" s="6">
        <f ca="1">IFERROR(__xludf.DUMMYFUNCTION("IFERROR(GOOGLEFINANCE(B3367,""changepct""),K3367)"),-4.69)</f>
        <v>-4.6900000000000004</v>
      </c>
      <c r="M3367" s="6">
        <f ca="1">IFERROR(__xludf.DUMMYFUNCTION("IFERROR(GOOGLEFINANCE(B3367,""change""),0)"),0)</f>
        <v>0</v>
      </c>
      <c r="N3367" s="6">
        <v>1</v>
      </c>
      <c r="O3367" s="7">
        <v>45536</v>
      </c>
      <c r="P3367" s="6">
        <v>3.79</v>
      </c>
      <c r="Q3367" s="6">
        <v>15.68</v>
      </c>
      <c r="R3367" s="7">
        <v>45536</v>
      </c>
      <c r="S3367" s="6">
        <v>20.93</v>
      </c>
      <c r="T3367" s="6">
        <v>0.28000000000000003</v>
      </c>
      <c r="U3367" s="7">
        <v>45536</v>
      </c>
      <c r="V3367" s="6">
        <v>42.75</v>
      </c>
      <c r="W3367" s="6">
        <f ca="1">IFERROR(__xludf.DUMMYFUNCTION("IFERROR(GOOGLEFINANCE(B3367,""pe""),V3367)"),42.75)</f>
        <v>42.75</v>
      </c>
      <c r="X3367" s="6">
        <v>2.89</v>
      </c>
      <c r="Y3367" s="6">
        <v>2.44</v>
      </c>
      <c r="Z3367" s="6">
        <v>1</v>
      </c>
      <c r="AA3367" s="8">
        <v>45352</v>
      </c>
      <c r="AB3367" s="4">
        <v>0.92</v>
      </c>
      <c r="AC3367" s="6">
        <v>6.35</v>
      </c>
      <c r="AD3367" s="6">
        <v>8.17</v>
      </c>
      <c r="AE3367" s="1">
        <v>0</v>
      </c>
      <c r="AF3367" s="1">
        <f ca="1">IFERROR(__xludf.DUMMYFUNCTION("IFERROR(GOOGLEFINANCE(TRIM(F3367)&amp;"":"" &amp; TRIM(B3367),""high52""),AE3367)"),0)</f>
        <v>0</v>
      </c>
      <c r="AG3367" s="1">
        <v>0</v>
      </c>
      <c r="AH3367" s="1">
        <f ca="1">IFERROR(__xludf.DUMMYFUNCTION("IFERROR(GOOGLEFINANCE(TRIM(F3367)&amp;"":"" &amp; TRIM(B3367),""low52""),AE3367)"),0)</f>
        <v>0</v>
      </c>
      <c r="AI3367" s="1">
        <f ca="1">IFERROR(__xludf.DUMMYFUNCTION("IFERROR(GOOGLEFINANCE(B3367,""eps""),0)"),0)</f>
        <v>0</v>
      </c>
      <c r="AJ3367" s="1"/>
      <c r="AK3367" s="1" t="s">
        <v>10323</v>
      </c>
      <c r="AL3367" s="9">
        <f t="shared" si="319"/>
        <v>1</v>
      </c>
    </row>
    <row r="3368" spans="1:38" ht="15" x14ac:dyDescent="0.25">
      <c r="A3368" s="1" t="s">
        <v>10324</v>
      </c>
      <c r="B3368" s="1" t="s">
        <v>10325</v>
      </c>
      <c r="C3368" s="1" t="s">
        <v>82</v>
      </c>
      <c r="D3368" s="1" t="s">
        <v>82</v>
      </c>
      <c r="E3368" s="6">
        <v>33.700000000000003</v>
      </c>
      <c r="F3368" s="1" t="s">
        <v>53</v>
      </c>
      <c r="G3368" s="6">
        <f ca="1">IFERROR(__xludf.DUMMYFUNCTION("iferror(GOOGLEFINANCE(TRIM(F3368)&amp;"":"" &amp; TRIM(B3368), ""price""),0
)"),0)</f>
        <v>0</v>
      </c>
      <c r="H3368" s="6">
        <v>78.88</v>
      </c>
      <c r="I3368" s="6">
        <f t="shared" ca="1" si="0"/>
        <v>78.88</v>
      </c>
      <c r="J3368" s="6">
        <f ca="1">IFERROR(__xludf.DUMMYFUNCTION("IFERROR(GOOGLEFINANCE(B3368, ""volume""), 0)"),0)</f>
        <v>0</v>
      </c>
      <c r="K3368" s="6">
        <v>1.0900000000000001</v>
      </c>
      <c r="L3368" s="6">
        <f ca="1">IFERROR(__xludf.DUMMYFUNCTION("IFERROR(GOOGLEFINANCE(B3368,""changepct""),K3368)"),1.09)</f>
        <v>1.0900000000000001</v>
      </c>
      <c r="M3368" s="6">
        <f ca="1">IFERROR(__xludf.DUMMYFUNCTION("IFERROR(GOOGLEFINANCE(B3368,""change""),0)"),0)</f>
        <v>0</v>
      </c>
      <c r="N3368" s="6">
        <v>1</v>
      </c>
      <c r="O3368" s="7">
        <v>45536</v>
      </c>
      <c r="P3368" s="6">
        <v>0.71</v>
      </c>
      <c r="Q3368" s="6">
        <v>34.409999999999997</v>
      </c>
      <c r="R3368" s="7">
        <v>45536</v>
      </c>
      <c r="S3368" s="6">
        <v>44.15</v>
      </c>
      <c r="T3368" s="6">
        <v>3.19</v>
      </c>
      <c r="U3368" s="7">
        <v>45536</v>
      </c>
      <c r="V3368" s="6">
        <v>10.55</v>
      </c>
      <c r="W3368" s="6">
        <f ca="1">IFERROR(__xludf.DUMMYFUNCTION("IFERROR(GOOGLEFINANCE(B3368,""pe""),V3368)"),10.55)</f>
        <v>10.55</v>
      </c>
      <c r="X3368" s="6">
        <v>0.67</v>
      </c>
      <c r="Y3368" s="6">
        <v>1.08</v>
      </c>
      <c r="Z3368" s="6">
        <v>1</v>
      </c>
      <c r="AA3368" s="8">
        <v>45352</v>
      </c>
      <c r="AB3368" s="4">
        <v>0.03</v>
      </c>
      <c r="AC3368" s="6">
        <v>12.97</v>
      </c>
      <c r="AD3368" s="6">
        <v>16.27</v>
      </c>
      <c r="AE3368" s="1">
        <v>0</v>
      </c>
      <c r="AF3368" s="1">
        <f ca="1">IFERROR(__xludf.DUMMYFUNCTION("IFERROR(GOOGLEFINANCE(TRIM(F3368)&amp;"":"" &amp; TRIM(B3368),""high52""),AE3368)"),0)</f>
        <v>0</v>
      </c>
      <c r="AG3368" s="1">
        <v>0</v>
      </c>
      <c r="AH3368" s="1">
        <f ca="1">IFERROR(__xludf.DUMMYFUNCTION("IFERROR(GOOGLEFINANCE(TRIM(F3368)&amp;"":"" &amp; TRIM(B3368),""low52""),AE3368)"),0)</f>
        <v>0</v>
      </c>
      <c r="AI3368" s="1">
        <f ca="1">IFERROR(__xludf.DUMMYFUNCTION("IFERROR(GOOGLEFINANCE(B3368,""eps""),0)"),0)</f>
        <v>0</v>
      </c>
      <c r="AJ3368" s="1"/>
      <c r="AK3368" s="1" t="s">
        <v>10326</v>
      </c>
      <c r="AL3368" s="9">
        <f t="shared" si="319"/>
        <v>1</v>
      </c>
    </row>
    <row r="3369" spans="1:38" ht="15" x14ac:dyDescent="0.25">
      <c r="A3369" s="1" t="s">
        <v>10327</v>
      </c>
      <c r="B3369" s="1" t="s">
        <v>10328</v>
      </c>
      <c r="C3369" s="1" t="s">
        <v>82</v>
      </c>
      <c r="D3369" s="1" t="s">
        <v>82</v>
      </c>
      <c r="E3369" s="6">
        <v>726.44</v>
      </c>
      <c r="F3369" s="1" t="s">
        <v>53</v>
      </c>
      <c r="G3369" s="6">
        <f ca="1">IFERROR(__xludf.DUMMYFUNCTION("iferror(GOOGLEFINANCE(TRIM(F3369)&amp;"":"" &amp; TRIM(B3369), ""price""),0
)"),0)</f>
        <v>0</v>
      </c>
      <c r="H3369" s="6">
        <v>602</v>
      </c>
      <c r="I3369" s="6">
        <f t="shared" ca="1" si="0"/>
        <v>602</v>
      </c>
      <c r="J3369" s="6">
        <f ca="1">IFERROR(__xludf.DUMMYFUNCTION("IFERROR(GOOGLEFINANCE(B3369, ""volume""), 0)"),0)</f>
        <v>0</v>
      </c>
      <c r="K3369" s="6">
        <v>-0.53</v>
      </c>
      <c r="L3369" s="6">
        <f ca="1">IFERROR(__xludf.DUMMYFUNCTION("IFERROR(GOOGLEFINANCE(B3369,""changepct""),K3369)"),-0.53)</f>
        <v>-0.53</v>
      </c>
      <c r="M3369" s="6">
        <f ca="1">IFERROR(__xludf.DUMMYFUNCTION("IFERROR(GOOGLEFINANCE(B3369,""change""),0)"),0)</f>
        <v>0</v>
      </c>
      <c r="N3369" s="6">
        <v>2</v>
      </c>
      <c r="O3369" s="7">
        <v>45536</v>
      </c>
      <c r="P3369" s="9"/>
      <c r="Q3369" s="6">
        <v>713.17</v>
      </c>
      <c r="R3369" s="7">
        <v>45536</v>
      </c>
      <c r="S3369" s="6">
        <v>353.73</v>
      </c>
      <c r="T3369" s="6">
        <v>55.07</v>
      </c>
      <c r="U3369" s="7">
        <v>45536</v>
      </c>
      <c r="V3369" s="6">
        <v>13.19</v>
      </c>
      <c r="W3369" s="6">
        <f ca="1">IFERROR(__xludf.DUMMYFUNCTION("IFERROR(GOOGLEFINANCE(B3369,""pe""),V3369)"),13.19)</f>
        <v>13.19</v>
      </c>
      <c r="X3369" s="6">
        <v>1.81</v>
      </c>
      <c r="Y3369" s="6">
        <v>1.44</v>
      </c>
      <c r="Z3369" s="6">
        <v>2</v>
      </c>
      <c r="AA3369" s="8">
        <v>45352</v>
      </c>
      <c r="AB3369" s="4">
        <v>0</v>
      </c>
      <c r="AC3369" s="6">
        <v>11.93</v>
      </c>
      <c r="AD3369" s="6">
        <v>15.77</v>
      </c>
      <c r="AE3369" s="1">
        <v>0</v>
      </c>
      <c r="AF3369" s="1">
        <f ca="1">IFERROR(__xludf.DUMMYFUNCTION("IFERROR(GOOGLEFINANCE(TRIM(F3369)&amp;"":"" &amp; TRIM(B3369),""high52""),AE3369)"),0)</f>
        <v>0</v>
      </c>
      <c r="AG3369" s="1">
        <v>0</v>
      </c>
      <c r="AH3369" s="1">
        <f ca="1">IFERROR(__xludf.DUMMYFUNCTION("IFERROR(GOOGLEFINANCE(TRIM(F3369)&amp;"":"" &amp; TRIM(B3369),""low52""),AE3369)"),0)</f>
        <v>0</v>
      </c>
      <c r="AI3369" s="1">
        <f ca="1">IFERROR(__xludf.DUMMYFUNCTION("IFERROR(GOOGLEFINANCE(B3369,""eps""),0)"),0)</f>
        <v>0</v>
      </c>
      <c r="AJ3369" s="1"/>
      <c r="AK3369" s="1" t="s">
        <v>10329</v>
      </c>
      <c r="AL3369" s="9">
        <f t="shared" si="319"/>
        <v>1</v>
      </c>
    </row>
    <row r="3370" spans="1:38" ht="15" x14ac:dyDescent="0.25">
      <c r="A3370" s="1" t="s">
        <v>10330</v>
      </c>
      <c r="B3370" s="1" t="s">
        <v>10331</v>
      </c>
      <c r="C3370" s="1" t="s">
        <v>483</v>
      </c>
      <c r="D3370" s="1" t="s">
        <v>483</v>
      </c>
      <c r="E3370" s="6">
        <v>98.3</v>
      </c>
      <c r="F3370" s="1" t="s">
        <v>40</v>
      </c>
      <c r="G3370" s="6">
        <f ca="1">IFERROR(__xludf.DUMMYFUNCTION("iferror(GOOGLEFINANCE(TRIM(F3370)&amp;"":"" &amp; TRIM(B3370), ""price""),0
)"),0)</f>
        <v>0</v>
      </c>
      <c r="H3370" s="6">
        <v>194.1</v>
      </c>
      <c r="I3370" s="6">
        <f t="shared" ca="1" si="0"/>
        <v>194.1</v>
      </c>
      <c r="J3370" s="6">
        <f ca="1">IFERROR(__xludf.DUMMYFUNCTION("IFERROR(GOOGLEFINANCE(B3370, ""volume""), 0)"),0)</f>
        <v>0</v>
      </c>
      <c r="K3370" s="6">
        <v>-2.3199999999999998</v>
      </c>
      <c r="L3370" s="6">
        <f ca="1">IFERROR(__xludf.DUMMYFUNCTION("IFERROR(GOOGLEFINANCE(B3370,""changepct""),K3370)"),-2.32)</f>
        <v>-2.3199999999999998</v>
      </c>
      <c r="M3370" s="6">
        <f ca="1">IFERROR(__xludf.DUMMYFUNCTION("IFERROR(GOOGLEFINANCE(B3370,""change""),0)"),0)</f>
        <v>0</v>
      </c>
      <c r="N3370" s="6">
        <v>1</v>
      </c>
      <c r="O3370" s="7">
        <v>45536</v>
      </c>
      <c r="P3370" s="6">
        <v>16.34</v>
      </c>
      <c r="Q3370" s="6">
        <v>114.64</v>
      </c>
      <c r="R3370" s="14"/>
      <c r="S3370" s="9"/>
      <c r="T3370" s="9"/>
      <c r="U3370" s="7">
        <v>45352</v>
      </c>
      <c r="V3370" s="6">
        <v>29.91</v>
      </c>
      <c r="W3370" s="6">
        <f ca="1">IFERROR(__xludf.DUMMYFUNCTION("IFERROR(GOOGLEFINANCE(B3370,""pe""),V3370)"),29.91)</f>
        <v>29.91</v>
      </c>
      <c r="X3370" s="12"/>
      <c r="Y3370" s="6">
        <v>3.11</v>
      </c>
      <c r="Z3370" s="6">
        <v>1</v>
      </c>
      <c r="AA3370" s="8">
        <v>45352</v>
      </c>
      <c r="AB3370" s="4">
        <v>1.82</v>
      </c>
      <c r="AC3370" s="6">
        <v>40.380000000000003</v>
      </c>
      <c r="AD3370" s="6">
        <v>20.23</v>
      </c>
      <c r="AE3370" s="1">
        <v>0</v>
      </c>
      <c r="AF3370" s="1">
        <f ca="1">IFERROR(__xludf.DUMMYFUNCTION("IFERROR(GOOGLEFINANCE(TRIM(F3370)&amp;"":"" &amp; TRIM(B3370),""high52""),AE3370)"),0)</f>
        <v>0</v>
      </c>
      <c r="AG3370" s="1">
        <v>0</v>
      </c>
      <c r="AH3370" s="1">
        <f ca="1">IFERROR(__xludf.DUMMYFUNCTION("IFERROR(GOOGLEFINANCE(TRIM(F3370)&amp;"":"" &amp; TRIM(B3370),""low52""),AE3370)"),0)</f>
        <v>0</v>
      </c>
      <c r="AI3370" s="1">
        <f ca="1">IFERROR(__xludf.DUMMYFUNCTION("IFERROR(GOOGLEFINANCE(B3370,""eps""),0)"),0)</f>
        <v>0</v>
      </c>
      <c r="AJ3370" s="1"/>
      <c r="AK3370" s="9"/>
      <c r="AL3370" s="9">
        <f t="shared" si="319"/>
        <v>1</v>
      </c>
    </row>
    <row r="3371" spans="1:38" ht="15" x14ac:dyDescent="0.25">
      <c r="A3371" s="1" t="s">
        <v>10332</v>
      </c>
      <c r="B3371" s="1" t="s">
        <v>10333</v>
      </c>
      <c r="C3371" s="1" t="s">
        <v>373</v>
      </c>
      <c r="D3371" s="1" t="s">
        <v>373</v>
      </c>
      <c r="E3371" s="6">
        <v>961.1</v>
      </c>
      <c r="F3371" s="1" t="s">
        <v>40</v>
      </c>
      <c r="G3371" s="6">
        <f ca="1">IFERROR(__xludf.DUMMYFUNCTION("iferror(GOOGLEFINANCE(TRIM(F3371)&amp;"":"" &amp; TRIM(B3371), ""price""),0
)"),59.55)</f>
        <v>59.55</v>
      </c>
      <c r="H3371" s="6">
        <v>95.98</v>
      </c>
      <c r="I3371" s="6">
        <f t="shared" ca="1" si="0"/>
        <v>59.55</v>
      </c>
      <c r="J3371" s="6">
        <f ca="1">IFERROR(__xludf.DUMMYFUNCTION("IFERROR(GOOGLEFINANCE(B3371, ""volume""), 0)"),101095)</f>
        <v>101095</v>
      </c>
      <c r="K3371" s="6">
        <v>-0.19</v>
      </c>
      <c r="L3371" s="6">
        <f ca="1">IFERROR(__xludf.DUMMYFUNCTION("IFERROR(GOOGLEFINANCE(B3371,""changepct""),K3371)"),-2.26)</f>
        <v>-2.2599999999999998</v>
      </c>
      <c r="M3371" s="6">
        <f ca="1">IFERROR(__xludf.DUMMYFUNCTION("IFERROR(GOOGLEFINANCE(B3371,""change""),0)"),-1.38)</f>
        <v>-1.38</v>
      </c>
      <c r="N3371" s="6">
        <v>1</v>
      </c>
      <c r="O3371" s="7">
        <v>45536</v>
      </c>
      <c r="P3371" s="6">
        <v>285.39999999999998</v>
      </c>
      <c r="Q3371" s="6">
        <v>1193.9100000000001</v>
      </c>
      <c r="R3371" s="7">
        <v>45536</v>
      </c>
      <c r="S3371" s="6">
        <v>1605.74</v>
      </c>
      <c r="T3371" s="6">
        <v>142.49</v>
      </c>
      <c r="U3371" s="7">
        <v>45536</v>
      </c>
      <c r="V3371" s="6">
        <v>6.75</v>
      </c>
      <c r="W3371" s="6">
        <f ca="1">IFERROR(__xludf.DUMMYFUNCTION("IFERROR(GOOGLEFINANCE(B3371,""pe""),V3371)"),9.56)</f>
        <v>9.56</v>
      </c>
      <c r="X3371" s="6">
        <v>0.35</v>
      </c>
      <c r="Y3371" s="6">
        <v>0.97</v>
      </c>
      <c r="Z3371" s="6">
        <v>1</v>
      </c>
      <c r="AA3371" s="8">
        <v>45352</v>
      </c>
      <c r="AB3371" s="4">
        <v>0.32</v>
      </c>
      <c r="AC3371" s="6">
        <v>25.36</v>
      </c>
      <c r="AD3371" s="6">
        <v>23.69</v>
      </c>
      <c r="AE3371" s="1">
        <v>0</v>
      </c>
      <c r="AF3371" s="1">
        <f ca="1">IFERROR(__xludf.DUMMYFUNCTION("IFERROR(GOOGLEFINANCE(TRIM(F3371)&amp;"":"" &amp; TRIM(B3371),""high52""),AE3371)"),97.5)</f>
        <v>97.5</v>
      </c>
      <c r="AG3371" s="1">
        <v>0</v>
      </c>
      <c r="AH3371" s="1">
        <f ca="1">IFERROR(__xludf.DUMMYFUNCTION("IFERROR(GOOGLEFINANCE(TRIM(F3371)&amp;"":"" &amp; TRIM(B3371),""low52""),AE3371)"),58)</f>
        <v>58</v>
      </c>
      <c r="AI3371" s="1">
        <f ca="1">IFERROR(__xludf.DUMMYFUNCTION("IFERROR(GOOGLEFINANCE(B3371,""eps""),0)"),6.23)</f>
        <v>6.23</v>
      </c>
      <c r="AJ3371" s="1"/>
      <c r="AK3371" s="1" t="s">
        <v>10334</v>
      </c>
      <c r="AL3371" s="9">
        <f t="shared" si="319"/>
        <v>1</v>
      </c>
    </row>
    <row r="3372" spans="1:38" ht="15" x14ac:dyDescent="0.25">
      <c r="A3372" s="1" t="s">
        <v>10335</v>
      </c>
      <c r="B3372" s="1" t="s">
        <v>10336</v>
      </c>
      <c r="C3372" s="1" t="s">
        <v>4298</v>
      </c>
      <c r="D3372" s="1" t="s">
        <v>4298</v>
      </c>
      <c r="E3372" s="6">
        <v>1701.25</v>
      </c>
      <c r="F3372" s="1" t="s">
        <v>40</v>
      </c>
      <c r="G3372" s="6">
        <f ca="1">IFERROR(__xludf.DUMMYFUNCTION("iferror(GOOGLEFINANCE(TRIM(F3372)&amp;"":"" &amp; TRIM(B3372), ""price""),0
)"),153.3)</f>
        <v>153.30000000000001</v>
      </c>
      <c r="H3372" s="6">
        <v>154.30000000000001</v>
      </c>
      <c r="I3372" s="6">
        <f t="shared" ca="1" si="0"/>
        <v>153.30000000000001</v>
      </c>
      <c r="J3372" s="6">
        <f ca="1">IFERROR(__xludf.DUMMYFUNCTION("IFERROR(GOOGLEFINANCE(B3372, ""volume""), 0)"),127214)</f>
        <v>127214</v>
      </c>
      <c r="K3372" s="6">
        <v>0.51</v>
      </c>
      <c r="L3372" s="6">
        <f ca="1">IFERROR(__xludf.DUMMYFUNCTION("IFERROR(GOOGLEFINANCE(B3372,""changepct""),K3372)"),-0.47)</f>
        <v>-0.47</v>
      </c>
      <c r="M3372" s="6">
        <f ca="1">IFERROR(__xludf.DUMMYFUNCTION("IFERROR(GOOGLEFINANCE(B3372,""change""),0)"),-0.72)</f>
        <v>-0.72</v>
      </c>
      <c r="N3372" s="6">
        <v>2</v>
      </c>
      <c r="O3372" s="7">
        <v>45536</v>
      </c>
      <c r="P3372" s="6">
        <v>391.26</v>
      </c>
      <c r="Q3372" s="7">
        <v>45536</v>
      </c>
      <c r="R3372" s="6">
        <v>4.3499999999999996</v>
      </c>
      <c r="S3372" s="6">
        <v>0.26</v>
      </c>
      <c r="T3372" s="6">
        <v>0.67</v>
      </c>
      <c r="U3372" s="6">
        <v>2</v>
      </c>
      <c r="V3372" s="7">
        <v>45352</v>
      </c>
      <c r="W3372" s="6">
        <f ca="1">IFERROR(__xludf.DUMMYFUNCTION("IFERROR(GOOGLEFINANCE(B3372,""pe""),V3372)"),12.54)</f>
        <v>12.54</v>
      </c>
      <c r="X3372" s="6">
        <v>3.3</v>
      </c>
      <c r="Y3372" s="6">
        <v>21.8</v>
      </c>
      <c r="Z3372" s="6">
        <v>16.62</v>
      </c>
      <c r="AA3372" s="3" t="s">
        <v>10337</v>
      </c>
      <c r="AB3372" s="11"/>
      <c r="AC3372" s="9"/>
      <c r="AD3372" s="9"/>
      <c r="AE3372" s="1">
        <v>0</v>
      </c>
      <c r="AF3372" s="1">
        <f ca="1">IFERROR(__xludf.DUMMYFUNCTION("IFERROR(GOOGLEFINANCE(TRIM(F3372)&amp;"":"" &amp; TRIM(B3372),""high52""),AE3372)"),175.9)</f>
        <v>175.9</v>
      </c>
      <c r="AG3372" s="1">
        <v>0</v>
      </c>
      <c r="AH3372" s="1">
        <f ca="1">IFERROR(__xludf.DUMMYFUNCTION("IFERROR(GOOGLEFINANCE(TRIM(F3372)&amp;"":"" &amp; TRIM(B3372),""low52""),AE3372)"),131.8)</f>
        <v>131.80000000000001</v>
      </c>
      <c r="AI3372" s="1">
        <f ca="1">IFERROR(__xludf.DUMMYFUNCTION("IFERROR(GOOGLEFINANCE(B3372,""eps""),0)"),12.22)</f>
        <v>12.22</v>
      </c>
      <c r="AJ3372" s="1"/>
      <c r="AK3372" s="1" t="s">
        <v>10338</v>
      </c>
      <c r="AL3372" s="9">
        <f t="shared" si="319"/>
        <v>1</v>
      </c>
    </row>
    <row r="3373" spans="1:38" ht="15" x14ac:dyDescent="0.25">
      <c r="A3373" s="1" t="s">
        <v>10339</v>
      </c>
      <c r="B3373" s="1" t="s">
        <v>10340</v>
      </c>
      <c r="C3373" s="1" t="s">
        <v>239</v>
      </c>
      <c r="D3373" s="1" t="s">
        <v>239</v>
      </c>
      <c r="E3373" s="6">
        <v>1320.15</v>
      </c>
      <c r="F3373" s="1" t="s">
        <v>40</v>
      </c>
      <c r="G3373" s="6">
        <f ca="1">IFERROR(__xludf.DUMMYFUNCTION("iferror(GOOGLEFINANCE(TRIM(F3373)&amp;"":"" &amp; TRIM(B3373), ""price""),0
)"),72.56)</f>
        <v>72.56</v>
      </c>
      <c r="H3373" s="6">
        <v>117.61</v>
      </c>
      <c r="I3373" s="6">
        <f t="shared" ca="1" si="0"/>
        <v>72.56</v>
      </c>
      <c r="J3373" s="6">
        <f ca="1">IFERROR(__xludf.DUMMYFUNCTION("IFERROR(GOOGLEFINANCE(B3373, ""volume""), 0)"),42222)</f>
        <v>42222</v>
      </c>
      <c r="K3373" s="6">
        <v>-0.88</v>
      </c>
      <c r="L3373" s="6">
        <f ca="1">IFERROR(__xludf.DUMMYFUNCTION("IFERROR(GOOGLEFINANCE(B3373,""changepct""),K3373)"),1.87)</f>
        <v>1.87</v>
      </c>
      <c r="M3373" s="6">
        <f ca="1">IFERROR(__xludf.DUMMYFUNCTION("IFERROR(GOOGLEFINANCE(B3373,""change""),0)"),1.33)</f>
        <v>1.33</v>
      </c>
      <c r="N3373" s="6">
        <v>2</v>
      </c>
      <c r="O3373" s="7">
        <v>45536</v>
      </c>
      <c r="P3373" s="6">
        <v>158.33000000000001</v>
      </c>
      <c r="Q3373" s="6">
        <v>1322.68</v>
      </c>
      <c r="R3373" s="7">
        <v>45536</v>
      </c>
      <c r="S3373" s="6">
        <v>1626.26</v>
      </c>
      <c r="T3373" s="6">
        <v>22.08</v>
      </c>
      <c r="U3373" s="7">
        <v>45536</v>
      </c>
      <c r="V3373" s="6">
        <v>59.79</v>
      </c>
      <c r="W3373" s="6">
        <f ca="1">IFERROR(__xludf.DUMMYFUNCTION("IFERROR(GOOGLEFINANCE(B3373,""pe""),V3373)"),23.65)</f>
        <v>23.65</v>
      </c>
      <c r="X3373" s="6">
        <v>0.95</v>
      </c>
      <c r="Y3373" s="6">
        <v>1.48</v>
      </c>
      <c r="Z3373" s="6">
        <v>2</v>
      </c>
      <c r="AA3373" s="8">
        <v>45352</v>
      </c>
      <c r="AB3373" s="4">
        <v>0.09</v>
      </c>
      <c r="AC3373" s="6">
        <v>6.47</v>
      </c>
      <c r="AD3373" s="6">
        <v>10.01</v>
      </c>
      <c r="AE3373" s="1">
        <v>0</v>
      </c>
      <c r="AF3373" s="1">
        <f ca="1">IFERROR(__xludf.DUMMYFUNCTION("IFERROR(GOOGLEFINANCE(TRIM(F3373)&amp;"":"" &amp; TRIM(B3373),""high52""),AE3373)"),128.4)</f>
        <v>128.4</v>
      </c>
      <c r="AG3373" s="1">
        <v>0</v>
      </c>
      <c r="AH3373" s="1">
        <f ca="1">IFERROR(__xludf.DUMMYFUNCTION("IFERROR(GOOGLEFINANCE(TRIM(F3373)&amp;"":"" &amp; TRIM(B3373),""low52""),AE3373)"),69.05)</f>
        <v>69.05</v>
      </c>
      <c r="AI3373" s="1">
        <f ca="1">IFERROR(__xludf.DUMMYFUNCTION("IFERROR(GOOGLEFINANCE(B3373,""eps""),0)"),3.07)</f>
        <v>3.07</v>
      </c>
      <c r="AJ3373" s="1"/>
      <c r="AK3373" s="1" t="s">
        <v>10341</v>
      </c>
      <c r="AL3373" s="1" t="b">
        <f>ISNUMBER(AA3373)</f>
        <v>1</v>
      </c>
    </row>
    <row r="3374" spans="1:38" ht="15" x14ac:dyDescent="0.25">
      <c r="A3374" s="1" t="s">
        <v>10342</v>
      </c>
      <c r="B3374" s="1" t="s">
        <v>10343</v>
      </c>
      <c r="C3374" s="1" t="s">
        <v>843</v>
      </c>
      <c r="D3374" s="1" t="s">
        <v>843</v>
      </c>
      <c r="E3374" s="6">
        <v>3833.9</v>
      </c>
      <c r="F3374" s="1" t="s">
        <v>40</v>
      </c>
      <c r="G3374" s="6">
        <f ca="1">IFERROR(__xludf.DUMMYFUNCTION("iferror(GOOGLEFINANCE(TRIM(F3374)&amp;"":"" &amp; TRIM(B3374), ""price""),0
)"),339.5)</f>
        <v>339.5</v>
      </c>
      <c r="H3374" s="6">
        <v>562.65</v>
      </c>
      <c r="I3374" s="6">
        <f t="shared" ca="1" si="0"/>
        <v>339.5</v>
      </c>
      <c r="J3374" s="6">
        <f ca="1">IFERROR(__xludf.DUMMYFUNCTION("IFERROR(GOOGLEFINANCE(B3374, ""volume""), 0)"),15633)</f>
        <v>15633</v>
      </c>
      <c r="K3374" s="6">
        <v>0.43</v>
      </c>
      <c r="L3374" s="6">
        <f ca="1">IFERROR(__xludf.DUMMYFUNCTION("IFERROR(GOOGLEFINANCE(B3374,""changepct""),K3374)"),0.21)</f>
        <v>0.21</v>
      </c>
      <c r="M3374" s="6">
        <f ca="1">IFERROR(__xludf.DUMMYFUNCTION("IFERROR(GOOGLEFINANCE(B3374,""change""),0)"),0.7)</f>
        <v>0.7</v>
      </c>
      <c r="N3374" s="6">
        <v>2</v>
      </c>
      <c r="O3374" s="7">
        <v>45536</v>
      </c>
      <c r="P3374" s="12"/>
      <c r="Q3374" s="6">
        <v>3766.15</v>
      </c>
      <c r="R3374" s="7">
        <v>45536</v>
      </c>
      <c r="S3374" s="6">
        <v>3794.39</v>
      </c>
      <c r="T3374" s="6">
        <v>169.04</v>
      </c>
      <c r="U3374" s="7">
        <v>45536</v>
      </c>
      <c r="V3374" s="6">
        <v>22.68</v>
      </c>
      <c r="W3374" s="6">
        <f ca="1">IFERROR(__xludf.DUMMYFUNCTION("IFERROR(GOOGLEFINANCE(B3374,""pe""),V3374)"),16.79)</f>
        <v>16.79</v>
      </c>
      <c r="X3374" s="12"/>
      <c r="Y3374" s="6">
        <v>2.37</v>
      </c>
      <c r="Z3374" s="6">
        <v>2</v>
      </c>
      <c r="AA3374" s="8">
        <v>45352</v>
      </c>
      <c r="AB3374" s="4">
        <v>0</v>
      </c>
      <c r="AC3374" s="6">
        <v>13.08</v>
      </c>
      <c r="AD3374" s="6">
        <v>19.64</v>
      </c>
      <c r="AE3374" s="1">
        <v>0</v>
      </c>
      <c r="AF3374" s="1">
        <f ca="1">IFERROR(__xludf.DUMMYFUNCTION("IFERROR(GOOGLEFINANCE(TRIM(F3374)&amp;"":"" &amp; TRIM(B3374),""high52""),AE3374)"),486.2)</f>
        <v>486.2</v>
      </c>
      <c r="AG3374" s="1">
        <v>0</v>
      </c>
      <c r="AH3374" s="1">
        <f ca="1">IFERROR(__xludf.DUMMYFUNCTION("IFERROR(GOOGLEFINANCE(TRIM(F3374)&amp;"":"" &amp; TRIM(B3374),""low52""),AE3374)"),334.3)</f>
        <v>334.3</v>
      </c>
      <c r="AI3374" s="1">
        <f ca="1">IFERROR(__xludf.DUMMYFUNCTION("IFERROR(GOOGLEFINANCE(B3374,""eps""),0)"),20.22)</f>
        <v>20.22</v>
      </c>
      <c r="AJ3374" s="1"/>
      <c r="AK3374" s="9"/>
      <c r="AL3374" s="9">
        <f t="shared" ref="AL3374:AL3379" si="320">IF(AA3374&lt;&gt;AB3374,1,0)</f>
        <v>1</v>
      </c>
    </row>
    <row r="3375" spans="1:38" ht="15" x14ac:dyDescent="0.25">
      <c r="A3375" s="1" t="s">
        <v>10344</v>
      </c>
      <c r="B3375" s="1" t="s">
        <v>10345</v>
      </c>
      <c r="C3375" s="1" t="s">
        <v>186</v>
      </c>
      <c r="D3375" s="1" t="s">
        <v>186</v>
      </c>
      <c r="E3375" s="6">
        <v>865.08</v>
      </c>
      <c r="F3375" s="1" t="s">
        <v>40</v>
      </c>
      <c r="G3375" s="6">
        <f ca="1">IFERROR(__xludf.DUMMYFUNCTION("iferror(GOOGLEFINANCE(TRIM(F3375)&amp;"":"" &amp; TRIM(B3375), ""price""),0
)"),27.8)</f>
        <v>27.8</v>
      </c>
      <c r="H3375" s="6">
        <v>27.35</v>
      </c>
      <c r="I3375" s="6">
        <f t="shared" ca="1" si="0"/>
        <v>27.8</v>
      </c>
      <c r="J3375" s="6">
        <f ca="1">IFERROR(__xludf.DUMMYFUNCTION("IFERROR(GOOGLEFINANCE(B3375, ""volume""), 0)"),822)</f>
        <v>822</v>
      </c>
      <c r="K3375" s="6">
        <v>0.4</v>
      </c>
      <c r="L3375" s="6">
        <f ca="1">IFERROR(__xludf.DUMMYFUNCTION("IFERROR(GOOGLEFINANCE(B3375,""changepct""),K3375)"),8.27)</f>
        <v>8.27</v>
      </c>
      <c r="M3375" s="6">
        <f ca="1">IFERROR(__xludf.DUMMYFUNCTION("IFERROR(GOOGLEFINANCE(B3375,""change""),0)"),0.35)</f>
        <v>0.35</v>
      </c>
      <c r="N3375" s="6">
        <v>2</v>
      </c>
      <c r="O3375" s="7">
        <v>45536</v>
      </c>
      <c r="P3375" s="6">
        <v>43.13</v>
      </c>
      <c r="Q3375" s="6">
        <v>908.21</v>
      </c>
      <c r="R3375" s="7">
        <v>45536</v>
      </c>
      <c r="S3375" s="6">
        <v>253.03</v>
      </c>
      <c r="T3375" s="6">
        <v>16.86</v>
      </c>
      <c r="U3375" s="7">
        <v>45536</v>
      </c>
      <c r="V3375" s="6">
        <v>51.3</v>
      </c>
      <c r="W3375" s="6">
        <f ca="1">IFERROR(__xludf.DUMMYFUNCTION("IFERROR(GOOGLEFINANCE(B3375,""pe""),V3375)"),10.89)</f>
        <v>10.89</v>
      </c>
      <c r="X3375" s="9"/>
      <c r="Y3375" s="6">
        <v>15.48</v>
      </c>
      <c r="Z3375" s="6">
        <v>2</v>
      </c>
      <c r="AA3375" s="8">
        <v>45352</v>
      </c>
      <c r="AB3375" s="4">
        <v>1.19</v>
      </c>
      <c r="AC3375" s="6">
        <v>23.58</v>
      </c>
      <c r="AD3375" s="6">
        <v>24.61</v>
      </c>
      <c r="AE3375" s="1">
        <v>0</v>
      </c>
      <c r="AF3375" s="1">
        <f ca="1">IFERROR(__xludf.DUMMYFUNCTION("IFERROR(GOOGLEFINANCE(TRIM(F3375)&amp;"":"" &amp; TRIM(B3375),""high52""),AE3375)"),30.19)</f>
        <v>30.19</v>
      </c>
      <c r="AG3375" s="1">
        <v>0</v>
      </c>
      <c r="AH3375" s="1">
        <f ca="1">IFERROR(__xludf.DUMMYFUNCTION("IFERROR(GOOGLEFINANCE(TRIM(F3375)&amp;"":"" &amp; TRIM(B3375),""low52""),AE3375)"),10.95)</f>
        <v>10.95</v>
      </c>
      <c r="AI3375" s="1">
        <f ca="1">IFERROR(__xludf.DUMMYFUNCTION("IFERROR(GOOGLEFINANCE(B3375,""eps""),0)"),0.42)</f>
        <v>0.42</v>
      </c>
      <c r="AJ3375" s="1"/>
      <c r="AK3375" s="1" t="s">
        <v>10346</v>
      </c>
      <c r="AL3375" s="9">
        <f t="shared" si="320"/>
        <v>1</v>
      </c>
    </row>
    <row r="3376" spans="1:38" ht="15" x14ac:dyDescent="0.25">
      <c r="A3376" s="1" t="s">
        <v>10347</v>
      </c>
      <c r="B3376" s="1" t="s">
        <v>10348</v>
      </c>
      <c r="C3376" s="1" t="s">
        <v>208</v>
      </c>
      <c r="D3376" s="1" t="s">
        <v>208</v>
      </c>
      <c r="E3376" s="6">
        <v>9925.9</v>
      </c>
      <c r="F3376" s="1" t="s">
        <v>40</v>
      </c>
      <c r="G3376" s="6">
        <f ca="1">IFERROR(__xludf.DUMMYFUNCTION("iferror(GOOGLEFINANCE(TRIM(F3376)&amp;"":"" &amp; TRIM(B3376), ""price""),0
)"),86.8)</f>
        <v>86.8</v>
      </c>
      <c r="H3376" s="6">
        <v>91.1</v>
      </c>
      <c r="I3376" s="6">
        <f t="shared" ca="1" si="0"/>
        <v>86.8</v>
      </c>
      <c r="J3376" s="6">
        <f ca="1">IFERROR(__xludf.DUMMYFUNCTION("IFERROR(GOOGLEFINANCE(B3376, ""volume""), 0)"),2373755)</f>
        <v>2373755</v>
      </c>
      <c r="K3376" s="6">
        <v>-7.0000000000000007E-2</v>
      </c>
      <c r="L3376" s="6">
        <f ca="1">IFERROR(__xludf.DUMMYFUNCTION("IFERROR(GOOGLEFINANCE(B3376,""changepct""),K3376)"),2.15)</f>
        <v>2.15</v>
      </c>
      <c r="M3376" s="6">
        <f ca="1">IFERROR(__xludf.DUMMYFUNCTION("IFERROR(GOOGLEFINANCE(B3376,""change""),0)"),1.83)</f>
        <v>1.83</v>
      </c>
      <c r="N3376" s="6">
        <v>2</v>
      </c>
      <c r="O3376" s="7">
        <v>45536</v>
      </c>
      <c r="P3376" s="6">
        <v>300.60000000000002</v>
      </c>
      <c r="Q3376" s="7">
        <v>45536</v>
      </c>
      <c r="R3376" s="6">
        <v>33.020000000000003</v>
      </c>
      <c r="S3376" s="9"/>
      <c r="T3376" s="6">
        <v>3.33</v>
      </c>
      <c r="U3376" s="6">
        <v>2</v>
      </c>
      <c r="V3376" s="7">
        <v>45352</v>
      </c>
      <c r="W3376" s="6">
        <f ca="1">IFERROR(__xludf.DUMMYFUNCTION("IFERROR(GOOGLEFINANCE(B3376,""pe""),V3376)"),22.72)</f>
        <v>22.72</v>
      </c>
      <c r="X3376" s="6">
        <v>1.45</v>
      </c>
      <c r="Y3376" s="6">
        <v>10.67</v>
      </c>
      <c r="Z3376" s="6">
        <v>10.93</v>
      </c>
      <c r="AA3376" s="3" t="s">
        <v>10349</v>
      </c>
      <c r="AB3376" s="11"/>
      <c r="AC3376" s="9"/>
      <c r="AD3376" s="9"/>
      <c r="AE3376" s="1">
        <v>0</v>
      </c>
      <c r="AF3376" s="1">
        <f ca="1">IFERROR(__xludf.DUMMYFUNCTION("IFERROR(GOOGLEFINANCE(TRIM(F3376)&amp;"":"" &amp; TRIM(B3376),""high52""),AE3376)"),123)</f>
        <v>123</v>
      </c>
      <c r="AG3376" s="1">
        <v>0</v>
      </c>
      <c r="AH3376" s="1">
        <f ca="1">IFERROR(__xludf.DUMMYFUNCTION("IFERROR(GOOGLEFINANCE(TRIM(F3376)&amp;"":"" &amp; TRIM(B3376),""low52""),AE3376)"),79.24)</f>
        <v>79.239999999999995</v>
      </c>
      <c r="AI3376" s="1">
        <f ca="1">IFERROR(__xludf.DUMMYFUNCTION("IFERROR(GOOGLEFINANCE(B3376,""eps""),0)"),3.82)</f>
        <v>3.82</v>
      </c>
      <c r="AJ3376" s="1"/>
      <c r="AK3376" s="1" t="s">
        <v>10350</v>
      </c>
      <c r="AL3376" s="9">
        <f t="shared" si="320"/>
        <v>1</v>
      </c>
    </row>
    <row r="3377" spans="1:38" ht="15" x14ac:dyDescent="0.25">
      <c r="A3377" s="1" t="s">
        <v>10351</v>
      </c>
      <c r="B3377" s="1" t="s">
        <v>10352</v>
      </c>
      <c r="C3377" s="1" t="s">
        <v>208</v>
      </c>
      <c r="D3377" s="1" t="s">
        <v>208</v>
      </c>
      <c r="E3377" s="6">
        <v>66842.06</v>
      </c>
      <c r="F3377" s="1" t="s">
        <v>40</v>
      </c>
      <c r="G3377" s="6">
        <f ca="1">IFERROR(__xludf.DUMMYFUNCTION("iferror(GOOGLEFINANCE(TRIM(F3377)&amp;"":"" &amp; TRIM(B3377), ""price""),0
)"),739)</f>
        <v>739</v>
      </c>
      <c r="H3377" s="6">
        <v>705.55</v>
      </c>
      <c r="I3377" s="6">
        <f t="shared" ca="1" si="0"/>
        <v>739</v>
      </c>
      <c r="J3377" s="6">
        <f ca="1">IFERROR(__xludf.DUMMYFUNCTION("IFERROR(GOOGLEFINANCE(B3377, ""volume""), 0)"),2045295)</f>
        <v>2045295</v>
      </c>
      <c r="K3377" s="6">
        <v>0.41</v>
      </c>
      <c r="L3377" s="6">
        <f ca="1">IFERROR(__xludf.DUMMYFUNCTION("IFERROR(GOOGLEFINANCE(B3377,""changepct""),K3377)"),0.22)</f>
        <v>0.22</v>
      </c>
      <c r="M3377" s="6">
        <f ca="1">IFERROR(__xludf.DUMMYFUNCTION("IFERROR(GOOGLEFINANCE(B3377,""change""),0)"),1.65)</f>
        <v>1.65</v>
      </c>
      <c r="N3377" s="6">
        <v>1</v>
      </c>
      <c r="O3377" s="7">
        <v>45536</v>
      </c>
      <c r="P3377" s="6">
        <v>2210.3200000000002</v>
      </c>
      <c r="Q3377" s="7">
        <v>45536</v>
      </c>
      <c r="R3377" s="6">
        <v>30.24</v>
      </c>
      <c r="S3377" s="6">
        <v>1.33</v>
      </c>
      <c r="T3377" s="6">
        <v>5.1100000000000003</v>
      </c>
      <c r="U3377" s="6">
        <v>1</v>
      </c>
      <c r="V3377" s="7">
        <v>45352</v>
      </c>
      <c r="W3377" s="6">
        <f ca="1">IFERROR(__xludf.DUMMYFUNCTION("IFERROR(GOOGLEFINANCE(B3377,""pe""),V3377)"),33.65)</f>
        <v>33.65</v>
      </c>
      <c r="X3377" s="6">
        <v>3.3</v>
      </c>
      <c r="Y3377" s="6">
        <v>22.03</v>
      </c>
      <c r="Z3377" s="6">
        <v>14.09</v>
      </c>
      <c r="AA3377" s="3" t="s">
        <v>10353</v>
      </c>
      <c r="AB3377" s="11"/>
      <c r="AC3377" s="9"/>
      <c r="AD3377" s="9"/>
      <c r="AE3377" s="1">
        <v>0</v>
      </c>
      <c r="AF3377" s="1">
        <f ca="1">IFERROR(__xludf.DUMMYFUNCTION("IFERROR(GOOGLEFINANCE(TRIM(F3377)&amp;"":"" &amp; TRIM(B3377),""high52""),AE3377)"),1027.25)</f>
        <v>1027.25</v>
      </c>
      <c r="AG3377" s="1">
        <v>0</v>
      </c>
      <c r="AH3377" s="1">
        <f ca="1">IFERROR(__xludf.DUMMYFUNCTION("IFERROR(GOOGLEFINANCE(TRIM(F3377)&amp;"":"" &amp; TRIM(B3377),""low52""),AE3377)"),725.15)</f>
        <v>725.15</v>
      </c>
      <c r="AI3377" s="1">
        <f ca="1">IFERROR(__xludf.DUMMYFUNCTION("IFERROR(GOOGLEFINANCE(B3377,""eps""),0)"),21.96)</f>
        <v>21.96</v>
      </c>
      <c r="AJ3377" s="1"/>
      <c r="AK3377" s="1" t="s">
        <v>10354</v>
      </c>
      <c r="AL3377" s="9">
        <f t="shared" si="320"/>
        <v>1</v>
      </c>
    </row>
    <row r="3378" spans="1:38" ht="15" x14ac:dyDescent="0.25">
      <c r="A3378" s="1" t="s">
        <v>10355</v>
      </c>
      <c r="B3378" s="1" t="s">
        <v>10356</v>
      </c>
      <c r="C3378" s="1" t="s">
        <v>3720</v>
      </c>
      <c r="D3378" s="1" t="s">
        <v>3720</v>
      </c>
      <c r="E3378" s="6">
        <v>142557.20000000001</v>
      </c>
      <c r="F3378" s="1" t="s">
        <v>40</v>
      </c>
      <c r="G3378" s="6">
        <f ca="1">IFERROR(__xludf.DUMMYFUNCTION("iferror(GOOGLEFINANCE(TRIM(F3378)&amp;"":"" &amp; TRIM(B3378), ""price""),0
)"),2002.8)</f>
        <v>2002.8</v>
      </c>
      <c r="H3378" s="6">
        <v>1432</v>
      </c>
      <c r="I3378" s="6">
        <f t="shared" ca="1" si="0"/>
        <v>2002.8</v>
      </c>
      <c r="J3378" s="6">
        <f ca="1">IFERROR(__xludf.DUMMYFUNCTION("IFERROR(GOOGLEFINANCE(B3378, ""volume""), 0)"),1337964)</f>
        <v>1337964</v>
      </c>
      <c r="K3378" s="6">
        <v>0.69</v>
      </c>
      <c r="L3378" s="6">
        <f ca="1">IFERROR(__xludf.DUMMYFUNCTION("IFERROR(GOOGLEFINANCE(B3378,""changepct""),K3378)"),1.44)</f>
        <v>1.44</v>
      </c>
      <c r="M3378" s="6">
        <f ca="1">IFERROR(__xludf.DUMMYFUNCTION("IFERROR(GOOGLEFINANCE(B3378,""change""),0)"),28.5)</f>
        <v>28.5</v>
      </c>
      <c r="N3378" s="6">
        <v>1</v>
      </c>
      <c r="O3378" s="7">
        <v>45536</v>
      </c>
      <c r="P3378" s="6">
        <v>2181.4899999999998</v>
      </c>
      <c r="Q3378" s="7">
        <v>45536</v>
      </c>
      <c r="R3378" s="6">
        <v>65.349999999999994</v>
      </c>
      <c r="S3378" s="6">
        <v>8.85</v>
      </c>
      <c r="T3378" s="6">
        <v>8.77</v>
      </c>
      <c r="U3378" s="6">
        <v>1</v>
      </c>
      <c r="V3378" s="7">
        <v>45352</v>
      </c>
      <c r="W3378" s="6">
        <f ca="1">IFERROR(__xludf.DUMMYFUNCTION("IFERROR(GOOGLEFINANCE(B3378,""pe""),V3378)"),81.03)</f>
        <v>81.03</v>
      </c>
      <c r="X3378" s="6">
        <v>0</v>
      </c>
      <c r="Y3378" s="6">
        <v>13.77</v>
      </c>
      <c r="Z3378" s="6">
        <v>14.12</v>
      </c>
      <c r="AA3378" s="3" t="s">
        <v>10357</v>
      </c>
      <c r="AB3378" s="11"/>
      <c r="AC3378" s="9"/>
      <c r="AD3378" s="9"/>
      <c r="AE3378" s="1">
        <v>0</v>
      </c>
      <c r="AF3378" s="1">
        <f ca="1">IFERROR(__xludf.DUMMYFUNCTION("IFERROR(GOOGLEFINANCE(TRIM(F3378)&amp;"":"" &amp; TRIM(B3378),""high52""),AE3378)"),2109.6)</f>
        <v>2109.6</v>
      </c>
      <c r="AG3378" s="1">
        <v>0</v>
      </c>
      <c r="AH3378" s="1">
        <f ca="1">IFERROR(__xludf.DUMMYFUNCTION("IFERROR(GOOGLEFINANCE(TRIM(F3378)&amp;"":"" &amp; TRIM(B3378),""low52""),AE3378)"),1379.85)</f>
        <v>1379.85</v>
      </c>
      <c r="AI3378" s="1">
        <f ca="1">IFERROR(__xludf.DUMMYFUNCTION("IFERROR(GOOGLEFINANCE(B3378,""eps""),0)"),24.72)</f>
        <v>24.72</v>
      </c>
      <c r="AJ3378" s="1"/>
      <c r="AK3378" s="1" t="s">
        <v>10358</v>
      </c>
      <c r="AL3378" s="9">
        <f t="shared" si="320"/>
        <v>1</v>
      </c>
    </row>
    <row r="3379" spans="1:38" ht="15" x14ac:dyDescent="0.25">
      <c r="A3379" s="1" t="s">
        <v>10359</v>
      </c>
      <c r="B3379" s="1" t="s">
        <v>10360</v>
      </c>
      <c r="C3379" s="1" t="s">
        <v>268</v>
      </c>
      <c r="D3379" s="1" t="s">
        <v>268</v>
      </c>
      <c r="E3379" s="6">
        <v>159.53</v>
      </c>
      <c r="F3379" s="1" t="s">
        <v>53</v>
      </c>
      <c r="G3379" s="6">
        <f ca="1">IFERROR(__xludf.DUMMYFUNCTION("iferror(GOOGLEFINANCE(TRIM(F3379)&amp;"":"" &amp; TRIM(B3379), ""price""),0
)"),0)</f>
        <v>0</v>
      </c>
      <c r="H3379" s="6">
        <v>118.95</v>
      </c>
      <c r="I3379" s="6">
        <f t="shared" ca="1" si="0"/>
        <v>118.95</v>
      </c>
      <c r="J3379" s="6">
        <f ca="1">IFERROR(__xludf.DUMMYFUNCTION("IFERROR(GOOGLEFINANCE(B3379, ""volume""), 0)"),1053026)</f>
        <v>1053026</v>
      </c>
      <c r="K3379" s="6">
        <v>-1.08</v>
      </c>
      <c r="L3379" s="6">
        <f ca="1">IFERROR(__xludf.DUMMYFUNCTION("IFERROR(GOOGLEFINANCE(B3379,""changepct""),K3379)"),-5.02)</f>
        <v>-5.0199999999999996</v>
      </c>
      <c r="M3379" s="6">
        <f ca="1">IFERROR(__xludf.DUMMYFUNCTION("IFERROR(GOOGLEFINANCE(B3379,""change""),0)"),-0.06)</f>
        <v>-0.06</v>
      </c>
      <c r="N3379" s="6">
        <v>1</v>
      </c>
      <c r="O3379" s="7">
        <v>45536</v>
      </c>
      <c r="P3379" s="6">
        <v>48.92</v>
      </c>
      <c r="Q3379" s="6">
        <v>208.45</v>
      </c>
      <c r="R3379" s="7">
        <v>45352</v>
      </c>
      <c r="S3379" s="6">
        <v>26.08</v>
      </c>
      <c r="T3379" s="6">
        <v>4.4000000000000004</v>
      </c>
      <c r="U3379" s="7">
        <v>45352</v>
      </c>
      <c r="V3379" s="6">
        <v>36.229999999999997</v>
      </c>
      <c r="W3379" s="6">
        <f ca="1">IFERROR(__xludf.DUMMYFUNCTION("IFERROR(GOOGLEFINANCE(B3379,""pe""),V3379)"),10.7)</f>
        <v>10.7</v>
      </c>
      <c r="X3379" s="6">
        <v>3.75</v>
      </c>
      <c r="Y3379" s="6">
        <v>0.87</v>
      </c>
      <c r="Z3379" s="6">
        <v>2</v>
      </c>
      <c r="AA3379" s="8">
        <v>45352</v>
      </c>
      <c r="AB3379" s="4">
        <v>0.28000000000000003</v>
      </c>
      <c r="AC3379" s="6">
        <v>2.5099999999999998</v>
      </c>
      <c r="AD3379" s="6">
        <v>3.89</v>
      </c>
      <c r="AE3379" s="1">
        <v>0</v>
      </c>
      <c r="AF3379" s="1">
        <f ca="1">IFERROR(__xludf.DUMMYFUNCTION("IFERROR(GOOGLEFINANCE(TRIM(F3379)&amp;"":"" &amp; TRIM(B3379),""high52""),AE3379)"),0)</f>
        <v>0</v>
      </c>
      <c r="AG3379" s="1">
        <v>0</v>
      </c>
      <c r="AH3379" s="1">
        <f ca="1">IFERROR(__xludf.DUMMYFUNCTION("IFERROR(GOOGLEFINANCE(TRIM(F3379)&amp;"":"" &amp; TRIM(B3379),""low52""),AE3379)"),0)</f>
        <v>0</v>
      </c>
      <c r="AI3379" s="1">
        <f ca="1">IFERROR(__xludf.DUMMYFUNCTION("IFERROR(GOOGLEFINANCE(B3379,""eps""),0)"),0.1)</f>
        <v>0.1</v>
      </c>
      <c r="AJ3379" s="1"/>
      <c r="AK3379" s="1" t="s">
        <v>10361</v>
      </c>
      <c r="AL3379" s="9">
        <f t="shared" si="320"/>
        <v>1</v>
      </c>
    </row>
    <row r="3380" spans="1:38" ht="15" x14ac:dyDescent="0.25">
      <c r="A3380" s="1" t="s">
        <v>10362</v>
      </c>
      <c r="B3380" s="1" t="s">
        <v>10363</v>
      </c>
      <c r="C3380" s="1" t="s">
        <v>907</v>
      </c>
      <c r="D3380" s="1" t="s">
        <v>907</v>
      </c>
      <c r="E3380" s="6">
        <v>54158.44</v>
      </c>
      <c r="F3380" s="1" t="s">
        <v>40</v>
      </c>
      <c r="G3380" s="6">
        <f ca="1">IFERROR(__xludf.DUMMYFUNCTION("iferror(GOOGLEFINANCE(TRIM(F3380)&amp;"":"" &amp; TRIM(B3380), ""price""),0
)"),3696)</f>
        <v>3696</v>
      </c>
      <c r="H3380" s="6">
        <v>3512.25</v>
      </c>
      <c r="I3380" s="6">
        <f t="shared" ca="1" si="0"/>
        <v>3696</v>
      </c>
      <c r="J3380" s="6">
        <f ca="1">IFERROR(__xludf.DUMMYFUNCTION("IFERROR(GOOGLEFINANCE(B3380, ""volume""), 0)"),51688)</f>
        <v>51688</v>
      </c>
      <c r="K3380" s="6">
        <v>1.33</v>
      </c>
      <c r="L3380" s="6">
        <f ca="1">IFERROR(__xludf.DUMMYFUNCTION("IFERROR(GOOGLEFINANCE(B3380,""changepct""),K3380)"),2.68)</f>
        <v>2.68</v>
      </c>
      <c r="M3380" s="6">
        <f ca="1">IFERROR(__xludf.DUMMYFUNCTION("IFERROR(GOOGLEFINANCE(B3380,""change""),0)"),96.4)</f>
        <v>96.4</v>
      </c>
      <c r="N3380" s="6">
        <v>2</v>
      </c>
      <c r="O3380" s="7">
        <v>45444</v>
      </c>
      <c r="P3380" s="9"/>
      <c r="Q3380" s="6">
        <v>53042.5</v>
      </c>
      <c r="R3380" s="7">
        <v>45536</v>
      </c>
      <c r="S3380" s="6">
        <v>7970.87</v>
      </c>
      <c r="T3380" s="6">
        <v>911.19</v>
      </c>
      <c r="U3380" s="7">
        <v>45536</v>
      </c>
      <c r="V3380" s="6">
        <v>59.44</v>
      </c>
      <c r="W3380" s="6">
        <f ca="1">IFERROR(__xludf.DUMMYFUNCTION("IFERROR(GOOGLEFINANCE(B3380,""pe""),V3380)"),54.22)</f>
        <v>54.22</v>
      </c>
      <c r="X3380" s="9"/>
      <c r="Y3380" s="6">
        <v>10.61</v>
      </c>
      <c r="Z3380" s="6">
        <v>2</v>
      </c>
      <c r="AA3380" s="8">
        <v>45261</v>
      </c>
      <c r="AB3380" s="4">
        <v>0</v>
      </c>
      <c r="AC3380" s="6">
        <v>19.78</v>
      </c>
      <c r="AD3380" s="6">
        <v>26.81</v>
      </c>
      <c r="AE3380" s="1">
        <v>0</v>
      </c>
      <c r="AF3380" s="1">
        <f ca="1">IFERROR(__xludf.DUMMYFUNCTION("IFERROR(GOOGLEFINANCE(TRIM(F3380)&amp;"":"" &amp; TRIM(B3380),""high52""),AE3380)"),4392)</f>
        <v>4392</v>
      </c>
      <c r="AG3380" s="1">
        <v>0</v>
      </c>
      <c r="AH3380" s="1">
        <f ca="1">IFERROR(__xludf.DUMMYFUNCTION("IFERROR(GOOGLEFINANCE(TRIM(F3380)&amp;"":"" &amp; TRIM(B3380),""low52""),AE3380)"),2823)</f>
        <v>2823</v>
      </c>
      <c r="AI3380" s="1">
        <f ca="1">IFERROR(__xludf.DUMMYFUNCTION("IFERROR(GOOGLEFINANCE(B3380,""eps""),0)"),68.17)</f>
        <v>68.17</v>
      </c>
      <c r="AJ3380" s="1"/>
      <c r="AK3380" s="1" t="s">
        <v>10364</v>
      </c>
      <c r="AL3380" s="1" t="b">
        <f>ISNUMBER(AA3380)</f>
        <v>1</v>
      </c>
    </row>
    <row r="3381" spans="1:38" ht="15" x14ac:dyDescent="0.25">
      <c r="A3381" s="1" t="s">
        <v>10365</v>
      </c>
      <c r="B3381" s="1" t="s">
        <v>10366</v>
      </c>
      <c r="C3381" s="1" t="s">
        <v>125</v>
      </c>
      <c r="D3381" s="1" t="s">
        <v>125</v>
      </c>
      <c r="E3381" s="6">
        <v>19177.34</v>
      </c>
      <c r="F3381" s="1" t="s">
        <v>40</v>
      </c>
      <c r="G3381" s="6">
        <f ca="1">IFERROR(__xludf.DUMMYFUNCTION("iferror(GOOGLEFINANCE(TRIM(F3381)&amp;"":"" &amp; TRIM(B3381), ""price""),0
)"),698.5)</f>
        <v>698.5</v>
      </c>
      <c r="H3381" s="6">
        <v>798.7</v>
      </c>
      <c r="I3381" s="6">
        <f t="shared" ca="1" si="0"/>
        <v>698.5</v>
      </c>
      <c r="J3381" s="6">
        <f ca="1">IFERROR(__xludf.DUMMYFUNCTION("IFERROR(GOOGLEFINANCE(B3381, ""volume""), 0)"),134778)</f>
        <v>134778</v>
      </c>
      <c r="K3381" s="6">
        <v>-0.47</v>
      </c>
      <c r="L3381" s="6">
        <f ca="1">IFERROR(__xludf.DUMMYFUNCTION("IFERROR(GOOGLEFINANCE(B3381,""changepct""),K3381)"),-0.39)</f>
        <v>-0.39</v>
      </c>
      <c r="M3381" s="6">
        <f ca="1">IFERROR(__xludf.DUMMYFUNCTION("IFERROR(GOOGLEFINANCE(B3381,""change""),0)"),-2.7)</f>
        <v>-2.7</v>
      </c>
      <c r="N3381" s="6">
        <v>1</v>
      </c>
      <c r="O3381" s="7">
        <v>45536</v>
      </c>
      <c r="P3381" s="6">
        <v>422.51</v>
      </c>
      <c r="Q3381" s="6">
        <v>19599.849999999999</v>
      </c>
      <c r="R3381" s="7">
        <v>45536</v>
      </c>
      <c r="S3381" s="6">
        <v>2408.2399999999998</v>
      </c>
      <c r="T3381" s="6">
        <v>197</v>
      </c>
      <c r="U3381" s="7">
        <v>45536</v>
      </c>
      <c r="V3381" s="6">
        <v>97.35</v>
      </c>
      <c r="W3381" s="6">
        <f ca="1">IFERROR(__xludf.DUMMYFUNCTION("IFERROR(GOOGLEFINANCE(B3381,""pe""),V3381)"),64.59)</f>
        <v>64.59</v>
      </c>
      <c r="X3381" s="6">
        <v>0.83</v>
      </c>
      <c r="Y3381" s="6">
        <v>48</v>
      </c>
      <c r="Z3381" s="6">
        <v>1</v>
      </c>
      <c r="AA3381" s="8">
        <v>45352</v>
      </c>
      <c r="AB3381" s="4">
        <v>1.66</v>
      </c>
      <c r="AC3381" s="6">
        <v>81.83</v>
      </c>
      <c r="AD3381" s="6">
        <v>38.69</v>
      </c>
      <c r="AE3381" s="1">
        <v>0</v>
      </c>
      <c r="AF3381" s="1">
        <f ca="1">IFERROR(__xludf.DUMMYFUNCTION("IFERROR(GOOGLEFINANCE(TRIM(F3381)&amp;"":"" &amp; TRIM(B3381),""high52""),AE3381)"),1052)</f>
        <v>1052</v>
      </c>
      <c r="AG3381" s="1">
        <v>0</v>
      </c>
      <c r="AH3381" s="1">
        <f ca="1">IFERROR(__xludf.DUMMYFUNCTION("IFERROR(GOOGLEFINANCE(TRIM(F3381)&amp;"":"" &amp; TRIM(B3381),""low52""),AE3381)"),540)</f>
        <v>540</v>
      </c>
      <c r="AI3381" s="1">
        <f ca="1">IFERROR(__xludf.DUMMYFUNCTION("IFERROR(GOOGLEFINANCE(B3381,""eps""),0)"),10.81)</f>
        <v>10.81</v>
      </c>
      <c r="AJ3381" s="1"/>
      <c r="AK3381" s="1" t="s">
        <v>10367</v>
      </c>
      <c r="AL3381" s="9">
        <f t="shared" ref="AL3381:AL3384" si="321">IF(AA3381&lt;&gt;AB3381,1,0)</f>
        <v>1</v>
      </c>
    </row>
    <row r="3382" spans="1:38" ht="15" x14ac:dyDescent="0.25">
      <c r="A3382" s="1" t="s">
        <v>10368</v>
      </c>
      <c r="B3382" s="1" t="s">
        <v>10369</v>
      </c>
      <c r="C3382" s="1" t="s">
        <v>186</v>
      </c>
      <c r="D3382" s="1" t="s">
        <v>186</v>
      </c>
      <c r="E3382" s="6">
        <v>317.33999999999997</v>
      </c>
      <c r="F3382" s="1" t="s">
        <v>40</v>
      </c>
      <c r="G3382" s="6">
        <f ca="1">IFERROR(__xludf.DUMMYFUNCTION("iferror(GOOGLEFINANCE(TRIM(F3382)&amp;"":"" &amp; TRIM(B3382), ""price""),0
)"),0)</f>
        <v>0</v>
      </c>
      <c r="H3382" s="6">
        <v>173</v>
      </c>
      <c r="I3382" s="6">
        <f t="shared" ca="1" si="0"/>
        <v>173</v>
      </c>
      <c r="J3382" s="6">
        <f ca="1">IFERROR(__xludf.DUMMYFUNCTION("IFERROR(GOOGLEFINANCE(B3382, ""volume""), 0)"),0)</f>
        <v>0</v>
      </c>
      <c r="K3382" s="6">
        <v>2.06</v>
      </c>
      <c r="L3382" s="6">
        <f ca="1">IFERROR(__xludf.DUMMYFUNCTION("IFERROR(GOOGLEFINANCE(B3382,""changepct""),K3382)"),2.06)</f>
        <v>2.06</v>
      </c>
      <c r="M3382" s="6">
        <f ca="1">IFERROR(__xludf.DUMMYFUNCTION("IFERROR(GOOGLEFINANCE(B3382,""change""),0)"),0)</f>
        <v>0</v>
      </c>
      <c r="N3382" s="6">
        <v>1</v>
      </c>
      <c r="O3382" s="7">
        <v>45536</v>
      </c>
      <c r="P3382" s="6">
        <v>15.26</v>
      </c>
      <c r="Q3382" s="6">
        <v>332.6</v>
      </c>
      <c r="R3382" s="12"/>
      <c r="S3382" s="12"/>
      <c r="T3382" s="12"/>
      <c r="U3382" s="7">
        <v>45352</v>
      </c>
      <c r="V3382" s="6">
        <v>41.77</v>
      </c>
      <c r="W3382" s="6">
        <f ca="1">IFERROR(__xludf.DUMMYFUNCTION("IFERROR(GOOGLEFINANCE(B3382,""pe""),V3382)"),41.77)</f>
        <v>41.77</v>
      </c>
      <c r="X3382" s="12"/>
      <c r="Y3382" s="6">
        <v>2.66</v>
      </c>
      <c r="Z3382" s="6">
        <v>1</v>
      </c>
      <c r="AA3382" s="8">
        <v>45352</v>
      </c>
      <c r="AB3382" s="4">
        <v>1.04</v>
      </c>
      <c r="AC3382" s="6">
        <v>19.989999999999998</v>
      </c>
      <c r="AD3382" s="6">
        <v>18.86</v>
      </c>
      <c r="AE3382" s="1">
        <v>0</v>
      </c>
      <c r="AF3382" s="1">
        <f ca="1">IFERROR(__xludf.DUMMYFUNCTION("IFERROR(GOOGLEFINANCE(TRIM(F3382)&amp;"":"" &amp; TRIM(B3382),""high52""),AE3382)"),0)</f>
        <v>0</v>
      </c>
      <c r="AG3382" s="1">
        <v>0</v>
      </c>
      <c r="AH3382" s="1">
        <f ca="1">IFERROR(__xludf.DUMMYFUNCTION("IFERROR(GOOGLEFINANCE(TRIM(F3382)&amp;"":"" &amp; TRIM(B3382),""low52""),AE3382)"),0)</f>
        <v>0</v>
      </c>
      <c r="AI3382" s="1">
        <f ca="1">IFERROR(__xludf.DUMMYFUNCTION("IFERROR(GOOGLEFINANCE(B3382,""eps""),0)"),0)</f>
        <v>0</v>
      </c>
      <c r="AJ3382" s="1"/>
      <c r="AK3382" s="1" t="s">
        <v>10370</v>
      </c>
      <c r="AL3382" s="9">
        <f t="shared" si="321"/>
        <v>1</v>
      </c>
    </row>
    <row r="3383" spans="1:38" ht="15" x14ac:dyDescent="0.25">
      <c r="A3383" s="1" t="s">
        <v>10371</v>
      </c>
      <c r="B3383" s="1" t="s">
        <v>10372</v>
      </c>
      <c r="C3383" s="1" t="s">
        <v>268</v>
      </c>
      <c r="D3383" s="1" t="s">
        <v>268</v>
      </c>
      <c r="E3383" s="6">
        <v>24.97</v>
      </c>
      <c r="F3383" s="1" t="s">
        <v>53</v>
      </c>
      <c r="G3383" s="6">
        <f ca="1">IFERROR(__xludf.DUMMYFUNCTION("iferror(GOOGLEFINANCE(TRIM(F3383)&amp;"":"" &amp; TRIM(B3383), ""price""),0
)"),0)</f>
        <v>0</v>
      </c>
      <c r="H3383" s="6">
        <v>89.92</v>
      </c>
      <c r="I3383" s="6">
        <f t="shared" ca="1" si="0"/>
        <v>89.92</v>
      </c>
      <c r="J3383" s="6">
        <f ca="1">IFERROR(__xludf.DUMMYFUNCTION("IFERROR(GOOGLEFINANCE(B3383, ""volume""), 0)"),0)</f>
        <v>0</v>
      </c>
      <c r="K3383" s="6">
        <v>0</v>
      </c>
      <c r="L3383" s="6">
        <f ca="1">IFERROR(__xludf.DUMMYFUNCTION("IFERROR(GOOGLEFINANCE(B3383,""changepct""),K3383)"),0)</f>
        <v>0</v>
      </c>
      <c r="M3383" s="6">
        <f ca="1">IFERROR(__xludf.DUMMYFUNCTION("IFERROR(GOOGLEFINANCE(B3383,""change""),0)"),0)</f>
        <v>0</v>
      </c>
      <c r="N3383" s="6">
        <v>1</v>
      </c>
      <c r="O3383" s="7">
        <v>45536</v>
      </c>
      <c r="P3383" s="9"/>
      <c r="Q3383" s="6">
        <v>24.97</v>
      </c>
      <c r="R3383" s="7">
        <v>45536</v>
      </c>
      <c r="S3383" s="6">
        <v>0</v>
      </c>
      <c r="T3383" s="6">
        <v>-0.08</v>
      </c>
      <c r="U3383" s="7">
        <v>45536</v>
      </c>
      <c r="V3383" s="6">
        <v>0</v>
      </c>
      <c r="W3383" s="6">
        <f ca="1">IFERROR(__xludf.DUMMYFUNCTION("IFERROR(GOOGLEFINANCE(B3383,""pe""),V3383)"),0)</f>
        <v>0</v>
      </c>
      <c r="X3383" s="6">
        <v>0</v>
      </c>
      <c r="Y3383" s="6">
        <v>-78.14</v>
      </c>
      <c r="Z3383" s="6">
        <v>1</v>
      </c>
      <c r="AA3383" s="8">
        <v>45352</v>
      </c>
      <c r="AB3383" s="4">
        <v>0</v>
      </c>
      <c r="AC3383" s="6">
        <v>0</v>
      </c>
      <c r="AD3383" s="6">
        <v>0</v>
      </c>
      <c r="AE3383" s="1">
        <v>0</v>
      </c>
      <c r="AF3383" s="1">
        <f ca="1">IFERROR(__xludf.DUMMYFUNCTION("IFERROR(GOOGLEFINANCE(TRIM(F3383)&amp;"":"" &amp; TRIM(B3383),""high52""),AE3383)"),0)</f>
        <v>0</v>
      </c>
      <c r="AG3383" s="1">
        <v>0</v>
      </c>
      <c r="AH3383" s="1">
        <f ca="1">IFERROR(__xludf.DUMMYFUNCTION("IFERROR(GOOGLEFINANCE(TRIM(F3383)&amp;"":"" &amp; TRIM(B3383),""low52""),AE3383)"),0)</f>
        <v>0</v>
      </c>
      <c r="AI3383" s="1">
        <f ca="1">IFERROR(__xludf.DUMMYFUNCTION("IFERROR(GOOGLEFINANCE(B3383,""eps""),0)"),0)</f>
        <v>0</v>
      </c>
      <c r="AJ3383" s="1"/>
      <c r="AK3383" s="1" t="s">
        <v>10373</v>
      </c>
      <c r="AL3383" s="9">
        <f t="shared" si="321"/>
        <v>1</v>
      </c>
    </row>
    <row r="3384" spans="1:38" ht="15" x14ac:dyDescent="0.25">
      <c r="A3384" s="1" t="s">
        <v>10374</v>
      </c>
      <c r="B3384" s="1" t="s">
        <v>10375</v>
      </c>
      <c r="C3384" s="1" t="s">
        <v>231</v>
      </c>
      <c r="D3384" s="1" t="s">
        <v>231</v>
      </c>
      <c r="E3384" s="6">
        <v>2962.01</v>
      </c>
      <c r="F3384" s="1" t="s">
        <v>40</v>
      </c>
      <c r="G3384" s="6">
        <f ca="1">IFERROR(__xludf.DUMMYFUNCTION("iferror(GOOGLEFINANCE(TRIM(F3384)&amp;"":"" &amp; TRIM(B3384), ""price""),0
)"),1279.5)</f>
        <v>1279.5</v>
      </c>
      <c r="H3384" s="6">
        <v>1152.95</v>
      </c>
      <c r="I3384" s="6">
        <f t="shared" ca="1" si="0"/>
        <v>1279.5</v>
      </c>
      <c r="J3384" s="6">
        <f ca="1">IFERROR(__xludf.DUMMYFUNCTION("IFERROR(GOOGLEFINANCE(B3384, ""volume""), 0)"),60696)</f>
        <v>60696</v>
      </c>
      <c r="K3384" s="6">
        <v>-0.99</v>
      </c>
      <c r="L3384" s="6">
        <f ca="1">IFERROR(__xludf.DUMMYFUNCTION("IFERROR(GOOGLEFINANCE(B3384,""changepct""),K3384)"),1.06)</f>
        <v>1.06</v>
      </c>
      <c r="M3384" s="6">
        <f ca="1">IFERROR(__xludf.DUMMYFUNCTION("IFERROR(GOOGLEFINANCE(B3384,""change""),0)"),13.4)</f>
        <v>13.4</v>
      </c>
      <c r="N3384" s="6">
        <v>2</v>
      </c>
      <c r="O3384" s="7">
        <v>45536</v>
      </c>
      <c r="P3384" s="6">
        <v>228.64</v>
      </c>
      <c r="Q3384" s="6">
        <v>3074.82</v>
      </c>
      <c r="R3384" s="7">
        <v>45536</v>
      </c>
      <c r="S3384" s="6">
        <v>752.55</v>
      </c>
      <c r="T3384" s="6">
        <v>159.28</v>
      </c>
      <c r="U3384" s="7">
        <v>45536</v>
      </c>
      <c r="V3384" s="6">
        <v>18.649999999999999</v>
      </c>
      <c r="W3384" s="6">
        <f ca="1">IFERROR(__xludf.DUMMYFUNCTION("IFERROR(GOOGLEFINANCE(B3384,""pe""),V3384)"),36.99)</f>
        <v>36.99</v>
      </c>
      <c r="X3384" s="6">
        <v>2.36</v>
      </c>
      <c r="Y3384" s="6">
        <v>3.07</v>
      </c>
      <c r="Z3384" s="6">
        <v>2</v>
      </c>
      <c r="AA3384" s="8">
        <v>45352</v>
      </c>
      <c r="AB3384" s="4">
        <v>0.34</v>
      </c>
      <c r="AC3384" s="6">
        <v>14.18</v>
      </c>
      <c r="AD3384" s="6">
        <v>12.77</v>
      </c>
      <c r="AE3384" s="1">
        <v>0</v>
      </c>
      <c r="AF3384" s="1">
        <f ca="1">IFERROR(__xludf.DUMMYFUNCTION("IFERROR(GOOGLEFINANCE(TRIM(F3384)&amp;"":"" &amp; TRIM(B3384),""high52""),AE3384)"),1324.9)</f>
        <v>1324.9</v>
      </c>
      <c r="AG3384" s="1">
        <v>0</v>
      </c>
      <c r="AH3384" s="1">
        <f ca="1">IFERROR(__xludf.DUMMYFUNCTION("IFERROR(GOOGLEFINANCE(TRIM(F3384)&amp;"":"" &amp; TRIM(B3384),""low52""),AE3384)"),752.55)</f>
        <v>752.55</v>
      </c>
      <c r="AI3384" s="1">
        <f ca="1">IFERROR(__xludf.DUMMYFUNCTION("IFERROR(GOOGLEFINANCE(B3384,""eps""),0)"),34.59)</f>
        <v>34.590000000000003</v>
      </c>
      <c r="AJ3384" s="1"/>
      <c r="AK3384" s="1" t="s">
        <v>10376</v>
      </c>
      <c r="AL3384" s="9">
        <f t="shared" si="321"/>
        <v>1</v>
      </c>
    </row>
    <row r="3385" spans="1:38" ht="15" x14ac:dyDescent="0.25">
      <c r="A3385" s="1" t="s">
        <v>10377</v>
      </c>
      <c r="B3385" s="1" t="s">
        <v>10378</v>
      </c>
      <c r="C3385" s="1" t="s">
        <v>90</v>
      </c>
      <c r="D3385" s="1" t="s">
        <v>90</v>
      </c>
      <c r="E3385" s="6">
        <v>122.69</v>
      </c>
      <c r="F3385" s="1" t="s">
        <v>40</v>
      </c>
      <c r="G3385" s="6">
        <f ca="1">IFERROR(__xludf.DUMMYFUNCTION("iferror(GOOGLEFINANCE(TRIM(F3385)&amp;"":"" &amp; TRIM(B3385), ""price""),0
)"),104.61)</f>
        <v>104.61</v>
      </c>
      <c r="H3385" s="6">
        <v>115.22</v>
      </c>
      <c r="I3385" s="6">
        <f t="shared" ca="1" si="0"/>
        <v>104.61</v>
      </c>
      <c r="J3385" s="6">
        <f ca="1">IFERROR(__xludf.DUMMYFUNCTION("IFERROR(GOOGLEFINANCE(B3385, ""volume""), 0)"),187)</f>
        <v>187</v>
      </c>
      <c r="K3385" s="9"/>
      <c r="L3385" s="6">
        <f ca="1">IFERROR(__xludf.DUMMYFUNCTION("IFERROR(GOOGLEFINANCE(B3385,""changepct""),K3385)"),0.5)</f>
        <v>0.5</v>
      </c>
      <c r="M3385" s="6">
        <f ca="1">IFERROR(__xludf.DUMMYFUNCTION("IFERROR(GOOGLEFINANCE(B3385,""change""),0)"),0.52)</f>
        <v>0.52</v>
      </c>
      <c r="N3385" s="6">
        <v>2</v>
      </c>
      <c r="O3385" s="7">
        <v>45536</v>
      </c>
      <c r="P3385" s="6">
        <v>5.6</v>
      </c>
      <c r="Q3385" s="6">
        <v>117.12</v>
      </c>
      <c r="R3385" s="7">
        <v>45536</v>
      </c>
      <c r="S3385" s="6">
        <v>28.38</v>
      </c>
      <c r="T3385" s="6">
        <v>2.37</v>
      </c>
      <c r="U3385" s="7">
        <v>45536</v>
      </c>
      <c r="V3385" s="6">
        <v>53.3</v>
      </c>
      <c r="W3385" s="6">
        <f ca="1">IFERROR(__xludf.DUMMYFUNCTION("IFERROR(GOOGLEFINANCE(B3385,""pe""),V3385)"),29)</f>
        <v>29</v>
      </c>
      <c r="X3385" s="12"/>
      <c r="Y3385" s="6">
        <v>7.41</v>
      </c>
      <c r="Z3385" s="6">
        <v>2</v>
      </c>
      <c r="AA3385" s="8">
        <v>45352</v>
      </c>
      <c r="AB3385" s="4">
        <v>0.7</v>
      </c>
      <c r="AC3385" s="6">
        <v>-13.85</v>
      </c>
      <c r="AD3385" s="6">
        <v>-7.74</v>
      </c>
      <c r="AE3385" s="1">
        <v>0</v>
      </c>
      <c r="AF3385" s="1">
        <f ca="1">IFERROR(__xludf.DUMMYFUNCTION("IFERROR(GOOGLEFINANCE(TRIM(F3385)&amp;"":"" &amp; TRIM(B3385),""high52""),AE3385)"),174.63)</f>
        <v>174.63</v>
      </c>
      <c r="AG3385" s="1">
        <v>0</v>
      </c>
      <c r="AH3385" s="1">
        <f ca="1">IFERROR(__xludf.DUMMYFUNCTION("IFERROR(GOOGLEFINANCE(TRIM(F3385)&amp;"":"" &amp; TRIM(B3385),""low52""),AE3385)"),75)</f>
        <v>75</v>
      </c>
      <c r="AI3385" s="1">
        <f ca="1">IFERROR(__xludf.DUMMYFUNCTION("IFERROR(GOOGLEFINANCE(B3385,""eps""),0)"),3.61)</f>
        <v>3.61</v>
      </c>
      <c r="AJ3385" s="1"/>
      <c r="AK3385" s="1" t="s">
        <v>10379</v>
      </c>
      <c r="AL3385" s="1" t="b">
        <f t="shared" ref="AL3385:AL3386" si="322">ISNUMBER(AA3385)</f>
        <v>1</v>
      </c>
    </row>
    <row r="3386" spans="1:38" ht="15" x14ac:dyDescent="0.25">
      <c r="A3386" s="1" t="s">
        <v>10380</v>
      </c>
      <c r="B3386" s="1" t="s">
        <v>10381</v>
      </c>
      <c r="C3386" s="1" t="s">
        <v>90</v>
      </c>
      <c r="D3386" s="1" t="s">
        <v>90</v>
      </c>
      <c r="E3386" s="6">
        <v>14.04</v>
      </c>
      <c r="F3386" s="1" t="s">
        <v>40</v>
      </c>
      <c r="G3386" s="6">
        <f ca="1">IFERROR(__xludf.DUMMYFUNCTION("iferror(GOOGLEFINANCE(TRIM(F3386)&amp;"":"" &amp; TRIM(B3386), ""price""),0
)"),0)</f>
        <v>0</v>
      </c>
      <c r="H3386" s="6">
        <v>3.39</v>
      </c>
      <c r="I3386" s="6">
        <f t="shared" ca="1" si="0"/>
        <v>3.39</v>
      </c>
      <c r="J3386" s="6">
        <f ca="1">IFERROR(__xludf.DUMMYFUNCTION("IFERROR(GOOGLEFINANCE(B3386, ""volume""), 0)"),0)</f>
        <v>0</v>
      </c>
      <c r="K3386" s="12"/>
      <c r="L3386" s="6" t="str">
        <f ca="1">IFERROR(__xludf.DUMMYFUNCTION("IFERROR(GOOGLEFINANCE(B3386,""changepct""),K3386)"),"")</f>
        <v/>
      </c>
      <c r="M3386" s="6">
        <f ca="1">IFERROR(__xludf.DUMMYFUNCTION("IFERROR(GOOGLEFINANCE(B3386,""change""),0)"),0)</f>
        <v>0</v>
      </c>
      <c r="N3386" s="6">
        <v>1</v>
      </c>
      <c r="O3386" s="7">
        <v>45170</v>
      </c>
      <c r="P3386" s="6">
        <v>20.399999999999999</v>
      </c>
      <c r="Q3386" s="6">
        <v>31.87</v>
      </c>
      <c r="R3386" s="7">
        <v>45261</v>
      </c>
      <c r="S3386" s="6">
        <v>38.25</v>
      </c>
      <c r="T3386" s="6">
        <v>4.8099999999999996</v>
      </c>
      <c r="U3386" s="7">
        <v>45261</v>
      </c>
      <c r="V3386" s="6">
        <v>2.92</v>
      </c>
      <c r="W3386" s="6">
        <f ca="1">IFERROR(__xludf.DUMMYFUNCTION("IFERROR(GOOGLEFINANCE(B3386,""pe""),V3386)"),2.92)</f>
        <v>2.92</v>
      </c>
      <c r="X3386" s="6">
        <v>0.34</v>
      </c>
      <c r="Y3386" s="6">
        <v>0.28000000000000003</v>
      </c>
      <c r="Z3386" s="6">
        <v>1</v>
      </c>
      <c r="AA3386" s="8">
        <v>44986</v>
      </c>
      <c r="AB3386" s="4">
        <v>0.41</v>
      </c>
      <c r="AC3386" s="6">
        <v>17.59</v>
      </c>
      <c r="AD3386" s="6">
        <v>21.44</v>
      </c>
      <c r="AE3386" s="1">
        <v>0</v>
      </c>
      <c r="AF3386" s="1">
        <f ca="1">IFERROR(__xludf.DUMMYFUNCTION("IFERROR(GOOGLEFINANCE(TRIM(F3386)&amp;"":"" &amp; TRIM(B3386),""high52""),AE3386)"),0)</f>
        <v>0</v>
      </c>
      <c r="AG3386" s="1">
        <v>0</v>
      </c>
      <c r="AH3386" s="1">
        <f ca="1">IFERROR(__xludf.DUMMYFUNCTION("IFERROR(GOOGLEFINANCE(TRIM(F3386)&amp;"":"" &amp; TRIM(B3386),""low52""),AE3386)"),0)</f>
        <v>0</v>
      </c>
      <c r="AI3386" s="1">
        <f ca="1">IFERROR(__xludf.DUMMYFUNCTION("IFERROR(GOOGLEFINANCE(B3386,""eps""),0)"),0)</f>
        <v>0</v>
      </c>
      <c r="AJ3386" s="1"/>
      <c r="AK3386" s="1" t="s">
        <v>10382</v>
      </c>
      <c r="AL3386" s="1" t="b">
        <f t="shared" si="322"/>
        <v>1</v>
      </c>
    </row>
    <row r="3387" spans="1:38" ht="15" x14ac:dyDescent="0.25">
      <c r="A3387" s="1" t="s">
        <v>10383</v>
      </c>
      <c r="B3387" s="1" t="s">
        <v>10384</v>
      </c>
      <c r="C3387" s="1" t="s">
        <v>268</v>
      </c>
      <c r="D3387" s="1" t="s">
        <v>268</v>
      </c>
      <c r="E3387" s="6">
        <v>62.2</v>
      </c>
      <c r="F3387" s="1" t="s">
        <v>53</v>
      </c>
      <c r="G3387" s="6">
        <f ca="1">IFERROR(__xludf.DUMMYFUNCTION("iferror(GOOGLEFINANCE(TRIM(F3387)&amp;"":"" &amp; TRIM(B3387), ""price""),0
)"),0)</f>
        <v>0</v>
      </c>
      <c r="H3387" s="6">
        <v>153</v>
      </c>
      <c r="I3387" s="6">
        <f t="shared" ca="1" si="0"/>
        <v>153</v>
      </c>
      <c r="J3387" s="6">
        <f ca="1">IFERROR(__xludf.DUMMYFUNCTION("IFERROR(GOOGLEFINANCE(B3387, ""volume""), 0)"),0)</f>
        <v>0</v>
      </c>
      <c r="K3387" s="6">
        <v>1.1599999999999999</v>
      </c>
      <c r="L3387" s="6">
        <f ca="1">IFERROR(__xludf.DUMMYFUNCTION("IFERROR(GOOGLEFINANCE(B3387,""changepct""),K3387)"),1.16)</f>
        <v>1.1599999999999999</v>
      </c>
      <c r="M3387" s="6">
        <f ca="1">IFERROR(__xludf.DUMMYFUNCTION("IFERROR(GOOGLEFINANCE(B3387,""change""),0)"),0)</f>
        <v>0</v>
      </c>
      <c r="N3387" s="6">
        <v>1</v>
      </c>
      <c r="O3387" s="7">
        <v>45536</v>
      </c>
      <c r="P3387" s="12"/>
      <c r="Q3387" s="6">
        <v>62.2</v>
      </c>
      <c r="R3387" s="7">
        <v>45536</v>
      </c>
      <c r="S3387" s="6">
        <v>0.34</v>
      </c>
      <c r="T3387" s="6">
        <v>0.26</v>
      </c>
      <c r="U3387" s="7">
        <v>45536</v>
      </c>
      <c r="V3387" s="6">
        <v>242.96</v>
      </c>
      <c r="W3387" s="6">
        <f ca="1">IFERROR(__xludf.DUMMYFUNCTION("IFERROR(GOOGLEFINANCE(B3387,""pe""),V3387)"),242.96)</f>
        <v>242.96</v>
      </c>
      <c r="X3387" s="6">
        <v>14.3</v>
      </c>
      <c r="Y3387" s="6">
        <v>4.7</v>
      </c>
      <c r="Z3387" s="6">
        <v>1</v>
      </c>
      <c r="AA3387" s="8">
        <v>45352</v>
      </c>
      <c r="AB3387" s="4">
        <v>0</v>
      </c>
      <c r="AC3387" s="6">
        <v>1.93</v>
      </c>
      <c r="AD3387" s="6">
        <v>2.67</v>
      </c>
      <c r="AE3387" s="1">
        <v>0</v>
      </c>
      <c r="AF3387" s="1">
        <f ca="1">IFERROR(__xludf.DUMMYFUNCTION("IFERROR(GOOGLEFINANCE(TRIM(F3387)&amp;"":"" &amp; TRIM(B3387),""high52""),AE3387)"),0)</f>
        <v>0</v>
      </c>
      <c r="AG3387" s="1">
        <v>0</v>
      </c>
      <c r="AH3387" s="1">
        <f ca="1">IFERROR(__xludf.DUMMYFUNCTION("IFERROR(GOOGLEFINANCE(TRIM(F3387)&amp;"":"" &amp; TRIM(B3387),""low52""),AE3387)"),0)</f>
        <v>0</v>
      </c>
      <c r="AI3387" s="1">
        <f ca="1">IFERROR(__xludf.DUMMYFUNCTION("IFERROR(GOOGLEFINANCE(B3387,""eps""),0)"),0)</f>
        <v>0</v>
      </c>
      <c r="AJ3387" s="1"/>
      <c r="AK3387" s="1" t="s">
        <v>10385</v>
      </c>
      <c r="AL3387" s="9">
        <f t="shared" ref="AL3387:AL3400" si="323">IF(AA3387&lt;&gt;AB3387,1,0)</f>
        <v>1</v>
      </c>
    </row>
    <row r="3388" spans="1:38" ht="15" x14ac:dyDescent="0.25">
      <c r="A3388" s="1" t="s">
        <v>10386</v>
      </c>
      <c r="B3388" s="1" t="s">
        <v>10387</v>
      </c>
      <c r="C3388" s="1" t="s">
        <v>268</v>
      </c>
      <c r="D3388" s="1" t="s">
        <v>268</v>
      </c>
      <c r="E3388" s="6">
        <v>177.22</v>
      </c>
      <c r="F3388" s="1" t="s">
        <v>53</v>
      </c>
      <c r="G3388" s="6">
        <f ca="1">IFERROR(__xludf.DUMMYFUNCTION("iferror(GOOGLEFINANCE(TRIM(F3388)&amp;"":"" &amp; TRIM(B3388), ""price""),0
)"),0)</f>
        <v>0</v>
      </c>
      <c r="H3388" s="6">
        <v>17.809999999999999</v>
      </c>
      <c r="I3388" s="6">
        <f t="shared" ca="1" si="0"/>
        <v>17.809999999999999</v>
      </c>
      <c r="J3388" s="6">
        <f ca="1">IFERROR(__xludf.DUMMYFUNCTION("IFERROR(GOOGLEFINANCE(B3388, ""volume""), 0)"),0)</f>
        <v>0</v>
      </c>
      <c r="K3388" s="6">
        <v>-0.56000000000000005</v>
      </c>
      <c r="L3388" s="6">
        <f ca="1">IFERROR(__xludf.DUMMYFUNCTION("IFERROR(GOOGLEFINANCE(B3388,""changepct""),K3388)"),-0.56)</f>
        <v>-0.56000000000000005</v>
      </c>
      <c r="M3388" s="6">
        <f ca="1">IFERROR(__xludf.DUMMYFUNCTION("IFERROR(GOOGLEFINANCE(B3388,""change""),0)"),0)</f>
        <v>0</v>
      </c>
      <c r="N3388" s="6">
        <v>1</v>
      </c>
      <c r="O3388" s="7">
        <v>45536</v>
      </c>
      <c r="P3388" s="9"/>
      <c r="Q3388" s="6">
        <v>177.22</v>
      </c>
      <c r="R3388" s="7">
        <v>45536</v>
      </c>
      <c r="S3388" s="6">
        <v>0</v>
      </c>
      <c r="T3388" s="6">
        <v>6.77</v>
      </c>
      <c r="U3388" s="7">
        <v>45536</v>
      </c>
      <c r="V3388" s="6">
        <v>26.18</v>
      </c>
      <c r="W3388" s="6">
        <f ca="1">IFERROR(__xludf.DUMMYFUNCTION("IFERROR(GOOGLEFINANCE(B3388,""pe""),V3388)"),26.18)</f>
        <v>26.18</v>
      </c>
      <c r="X3388" s="6">
        <v>7.98</v>
      </c>
      <c r="Y3388" s="6">
        <v>35.33</v>
      </c>
      <c r="Z3388" s="6">
        <v>1</v>
      </c>
      <c r="AA3388" s="8">
        <v>45352</v>
      </c>
      <c r="AB3388" s="4">
        <v>0</v>
      </c>
      <c r="AC3388" s="6">
        <v>322.25</v>
      </c>
      <c r="AD3388" s="6">
        <v>322.38</v>
      </c>
      <c r="AE3388" s="1">
        <v>0</v>
      </c>
      <c r="AF3388" s="1">
        <f ca="1">IFERROR(__xludf.DUMMYFUNCTION("IFERROR(GOOGLEFINANCE(TRIM(F3388)&amp;"":"" &amp; TRIM(B3388),""high52""),AE3388)"),0)</f>
        <v>0</v>
      </c>
      <c r="AG3388" s="1">
        <v>0</v>
      </c>
      <c r="AH3388" s="1">
        <f ca="1">IFERROR(__xludf.DUMMYFUNCTION("IFERROR(GOOGLEFINANCE(TRIM(F3388)&amp;"":"" &amp; TRIM(B3388),""low52""),AE3388)"),0)</f>
        <v>0</v>
      </c>
      <c r="AI3388" s="1">
        <f ca="1">IFERROR(__xludf.DUMMYFUNCTION("IFERROR(GOOGLEFINANCE(B3388,""eps""),0)"),0)</f>
        <v>0</v>
      </c>
      <c r="AJ3388" s="1"/>
      <c r="AK3388" s="1" t="s">
        <v>10388</v>
      </c>
      <c r="AL3388" s="9">
        <f t="shared" si="323"/>
        <v>1</v>
      </c>
    </row>
    <row r="3389" spans="1:38" ht="15" x14ac:dyDescent="0.25">
      <c r="A3389" s="1" t="s">
        <v>10389</v>
      </c>
      <c r="B3389" s="1" t="s">
        <v>10390</v>
      </c>
      <c r="C3389" s="1" t="s">
        <v>57</v>
      </c>
      <c r="D3389" s="1" t="s">
        <v>57</v>
      </c>
      <c r="E3389" s="6">
        <v>110.25</v>
      </c>
      <c r="F3389" s="1" t="s">
        <v>40</v>
      </c>
      <c r="G3389" s="6">
        <f ca="1">IFERROR(__xludf.DUMMYFUNCTION("iferror(GOOGLEFINANCE(TRIM(F3389)&amp;"":"" &amp; TRIM(B3389), ""price""),0
)"),22.9)</f>
        <v>22.9</v>
      </c>
      <c r="H3389" s="6">
        <v>32.71</v>
      </c>
      <c r="I3389" s="6">
        <f t="shared" ca="1" si="0"/>
        <v>22.9</v>
      </c>
      <c r="J3389" s="6">
        <f ca="1">IFERROR(__xludf.DUMMYFUNCTION("IFERROR(GOOGLEFINANCE(B3389, ""volume""), 0)"),9293)</f>
        <v>9293</v>
      </c>
      <c r="K3389" s="6">
        <v>-0.43</v>
      </c>
      <c r="L3389" s="6">
        <f ca="1">IFERROR(__xludf.DUMMYFUNCTION("IFERROR(GOOGLEFINANCE(B3389,""changepct""),K3389)"),3.57)</f>
        <v>3.57</v>
      </c>
      <c r="M3389" s="6">
        <f ca="1">IFERROR(__xludf.DUMMYFUNCTION("IFERROR(GOOGLEFINANCE(B3389,""change""),0)"),0.79)</f>
        <v>0.79</v>
      </c>
      <c r="N3389" s="6">
        <v>2</v>
      </c>
      <c r="O3389" s="7">
        <v>45536</v>
      </c>
      <c r="P3389" s="6">
        <v>112.09</v>
      </c>
      <c r="Q3389" s="6">
        <v>222.34</v>
      </c>
      <c r="R3389" s="7">
        <v>45536</v>
      </c>
      <c r="S3389" s="6">
        <v>238.22</v>
      </c>
      <c r="T3389" s="6">
        <v>-87.68</v>
      </c>
      <c r="U3389" s="7">
        <v>45536</v>
      </c>
      <c r="V3389" s="6">
        <v>0</v>
      </c>
      <c r="W3389" s="6">
        <f ca="1">IFERROR(__xludf.DUMMYFUNCTION("IFERROR(GOOGLEFINANCE(B3389,""pe""),V3389)"),0)</f>
        <v>0</v>
      </c>
      <c r="X3389" s="12"/>
      <c r="Y3389" s="6">
        <v>-3.57</v>
      </c>
      <c r="Z3389" s="6">
        <v>2</v>
      </c>
      <c r="AA3389" s="8">
        <v>45352</v>
      </c>
      <c r="AB3389" s="4">
        <v>-19.57</v>
      </c>
      <c r="AC3389" s="6">
        <v>-1224.3</v>
      </c>
      <c r="AD3389" s="6">
        <v>-59.06</v>
      </c>
      <c r="AE3389" s="1">
        <v>0</v>
      </c>
      <c r="AF3389" s="1">
        <f ca="1">IFERROR(__xludf.DUMMYFUNCTION("IFERROR(GOOGLEFINANCE(TRIM(F3389)&amp;"":"" &amp; TRIM(B3389),""high52""),AE3389)"),34.18)</f>
        <v>34.18</v>
      </c>
      <c r="AG3389" s="1">
        <v>0</v>
      </c>
      <c r="AH3389" s="1">
        <f ca="1">IFERROR(__xludf.DUMMYFUNCTION("IFERROR(GOOGLEFINANCE(TRIM(F3389)&amp;"":"" &amp; TRIM(B3389),""low52""),AE3389)"),16.01)</f>
        <v>16.010000000000002</v>
      </c>
      <c r="AI3389" s="1">
        <f ca="1">IFERROR(__xludf.DUMMYFUNCTION("IFERROR(GOOGLEFINANCE(B3389,""eps""),0)"),-41.34)</f>
        <v>-41.34</v>
      </c>
      <c r="AJ3389" s="1"/>
      <c r="AK3389" s="1" t="s">
        <v>10391</v>
      </c>
      <c r="AL3389" s="9">
        <f t="shared" si="323"/>
        <v>1</v>
      </c>
    </row>
    <row r="3390" spans="1:38" ht="15" x14ac:dyDescent="0.25">
      <c r="A3390" s="1" t="s">
        <v>10392</v>
      </c>
      <c r="B3390" s="1" t="s">
        <v>10393</v>
      </c>
      <c r="C3390" s="1" t="s">
        <v>473</v>
      </c>
      <c r="D3390" s="1" t="s">
        <v>473</v>
      </c>
      <c r="E3390" s="6">
        <v>622.16</v>
      </c>
      <c r="F3390" s="1" t="s">
        <v>40</v>
      </c>
      <c r="G3390" s="6">
        <f ca="1">IFERROR(__xludf.DUMMYFUNCTION("iferror(GOOGLEFINANCE(TRIM(F3390)&amp;"":"" &amp; TRIM(B3390), ""price""),0
)"),772.85)</f>
        <v>772.85</v>
      </c>
      <c r="H3390" s="6">
        <v>618</v>
      </c>
      <c r="I3390" s="6">
        <f t="shared" ca="1" si="0"/>
        <v>772.85</v>
      </c>
      <c r="J3390" s="6">
        <f ca="1">IFERROR(__xludf.DUMMYFUNCTION("IFERROR(GOOGLEFINANCE(B3390, ""volume""), 0)"),9353)</f>
        <v>9353</v>
      </c>
      <c r="K3390" s="6">
        <v>-0.81</v>
      </c>
      <c r="L3390" s="6">
        <f ca="1">IFERROR(__xludf.DUMMYFUNCTION("IFERROR(GOOGLEFINANCE(B3390,""changepct""),K3390)"),5)</f>
        <v>5</v>
      </c>
      <c r="M3390" s="6">
        <f ca="1">IFERROR(__xludf.DUMMYFUNCTION("IFERROR(GOOGLEFINANCE(B3390,""change""),0)"),36.8)</f>
        <v>36.799999999999997</v>
      </c>
      <c r="N3390" s="6">
        <v>2</v>
      </c>
      <c r="O3390" s="7">
        <v>45536</v>
      </c>
      <c r="P3390" s="6">
        <v>148.62</v>
      </c>
      <c r="Q3390" s="6">
        <v>766.58</v>
      </c>
      <c r="R3390" s="7">
        <v>45536</v>
      </c>
      <c r="S3390" s="6">
        <v>211.48</v>
      </c>
      <c r="T3390" s="6">
        <v>5.33</v>
      </c>
      <c r="U3390" s="7">
        <v>45536</v>
      </c>
      <c r="V3390" s="6">
        <v>121.35</v>
      </c>
      <c r="W3390" s="6">
        <f ca="1">IFERROR(__xludf.DUMMYFUNCTION("IFERROR(GOOGLEFINANCE(B3390,""pe""),V3390)"),39.89)</f>
        <v>39.89</v>
      </c>
      <c r="X3390" s="6">
        <v>6.99</v>
      </c>
      <c r="Y3390" s="6">
        <v>34.200000000000003</v>
      </c>
      <c r="Z3390" s="6">
        <v>2</v>
      </c>
      <c r="AA3390" s="8">
        <v>45352</v>
      </c>
      <c r="AB3390" s="4">
        <v>9.57</v>
      </c>
      <c r="AC3390" s="6">
        <v>46.85</v>
      </c>
      <c r="AD3390" s="6">
        <v>17.079999999999998</v>
      </c>
      <c r="AE3390" s="1">
        <v>0</v>
      </c>
      <c r="AF3390" s="1">
        <f ca="1">IFERROR(__xludf.DUMMYFUNCTION("IFERROR(GOOGLEFINANCE(TRIM(F3390)&amp;"":"" &amp; TRIM(B3390),""high52""),AE3390)"),1036.7)</f>
        <v>1036.7</v>
      </c>
      <c r="AG3390" s="1">
        <v>0</v>
      </c>
      <c r="AH3390" s="1">
        <f ca="1">IFERROR(__xludf.DUMMYFUNCTION("IFERROR(GOOGLEFINANCE(TRIM(F3390)&amp;"":"" &amp; TRIM(B3390),""low52""),AE3390)"),313.5)</f>
        <v>313.5</v>
      </c>
      <c r="AI3390" s="1">
        <f ca="1">IFERROR(__xludf.DUMMYFUNCTION("IFERROR(GOOGLEFINANCE(B3390,""eps""),0)"),19.37)</f>
        <v>19.37</v>
      </c>
      <c r="AJ3390" s="1"/>
      <c r="AK3390" s="9"/>
      <c r="AL3390" s="9">
        <f t="shared" si="323"/>
        <v>1</v>
      </c>
    </row>
    <row r="3391" spans="1:38" ht="15" x14ac:dyDescent="0.25">
      <c r="A3391" s="1" t="s">
        <v>10394</v>
      </c>
      <c r="B3391" s="1" t="s">
        <v>10395</v>
      </c>
      <c r="C3391" s="1" t="s">
        <v>186</v>
      </c>
      <c r="D3391" s="1" t="s">
        <v>186</v>
      </c>
      <c r="E3391" s="6">
        <v>154.77000000000001</v>
      </c>
      <c r="F3391" s="1" t="s">
        <v>40</v>
      </c>
      <c r="G3391" s="6">
        <f ca="1">IFERROR(__xludf.DUMMYFUNCTION("iferror(GOOGLEFINANCE(TRIM(F3391)&amp;"":"" &amp; TRIM(B3391), ""price""),0
)"),27.7)</f>
        <v>27.7</v>
      </c>
      <c r="H3391" s="6">
        <v>45.89</v>
      </c>
      <c r="I3391" s="6">
        <f t="shared" ca="1" si="0"/>
        <v>27.7</v>
      </c>
      <c r="J3391" s="6">
        <f ca="1">IFERROR(__xludf.DUMMYFUNCTION("IFERROR(GOOGLEFINANCE(B3391, ""volume""), 0)"),4962)</f>
        <v>4962</v>
      </c>
      <c r="K3391" s="6">
        <v>-1.4</v>
      </c>
      <c r="L3391" s="6">
        <f ca="1">IFERROR(__xludf.DUMMYFUNCTION("IFERROR(GOOGLEFINANCE(B3391,""changepct""),K3391)"),-3.99)</f>
        <v>-3.99</v>
      </c>
      <c r="M3391" s="6">
        <f ca="1">IFERROR(__xludf.DUMMYFUNCTION("IFERROR(GOOGLEFINANCE(B3391,""change""),0)"),-1.15)</f>
        <v>-1.1499999999999999</v>
      </c>
      <c r="N3391" s="6">
        <v>1</v>
      </c>
      <c r="O3391" s="7">
        <v>45536</v>
      </c>
      <c r="P3391" s="6">
        <v>950.71</v>
      </c>
      <c r="Q3391" s="6">
        <v>1102.45</v>
      </c>
      <c r="R3391" s="7">
        <v>45536</v>
      </c>
      <c r="S3391" s="6">
        <v>65.319999999999993</v>
      </c>
      <c r="T3391" s="6">
        <v>-144.13999999999999</v>
      </c>
      <c r="U3391" s="7">
        <v>45536</v>
      </c>
      <c r="V3391" s="6">
        <v>0</v>
      </c>
      <c r="W3391" s="6">
        <f ca="1">IFERROR(__xludf.DUMMYFUNCTION("IFERROR(GOOGLEFINANCE(B3391,""pe""),V3391)"),0)</f>
        <v>0</v>
      </c>
      <c r="X3391" s="6">
        <v>0</v>
      </c>
      <c r="Y3391" s="6">
        <v>-1.18</v>
      </c>
      <c r="Z3391" s="6">
        <v>2</v>
      </c>
      <c r="AA3391" s="8">
        <v>45352</v>
      </c>
      <c r="AB3391" s="4">
        <v>-16.670000000000002</v>
      </c>
      <c r="AC3391" s="6">
        <v>-418.82</v>
      </c>
      <c r="AD3391" s="6">
        <v>-13.58</v>
      </c>
      <c r="AE3391" s="1">
        <v>0</v>
      </c>
      <c r="AF3391" s="1">
        <f ca="1">IFERROR(__xludf.DUMMYFUNCTION("IFERROR(GOOGLEFINANCE(TRIM(F3391)&amp;"":"" &amp; TRIM(B3391),""high52""),AE3391)"),48.77)</f>
        <v>48.77</v>
      </c>
      <c r="AG3391" s="1">
        <v>0</v>
      </c>
      <c r="AH3391" s="1">
        <f ca="1">IFERROR(__xludf.DUMMYFUNCTION("IFERROR(GOOGLEFINANCE(TRIM(F3391)&amp;"":"" &amp; TRIM(B3391),""low52""),AE3391)"),25.5)</f>
        <v>25.5</v>
      </c>
      <c r="AI3391" s="1">
        <f ca="1">IFERROR(__xludf.DUMMYFUNCTION("IFERROR(GOOGLEFINANCE(B3391,""eps""),0)"),-42.64)</f>
        <v>-42.64</v>
      </c>
      <c r="AJ3391" s="1"/>
      <c r="AK3391" s="1" t="s">
        <v>10396</v>
      </c>
      <c r="AL3391" s="9">
        <f t="shared" si="323"/>
        <v>1</v>
      </c>
    </row>
    <row r="3392" spans="1:38" ht="15" x14ac:dyDescent="0.25">
      <c r="A3392" s="1" t="s">
        <v>10397</v>
      </c>
      <c r="B3392" s="1" t="s">
        <v>10398</v>
      </c>
      <c r="C3392" s="1" t="s">
        <v>103</v>
      </c>
      <c r="D3392" s="1" t="s">
        <v>103</v>
      </c>
      <c r="E3392" s="6">
        <v>1318.6</v>
      </c>
      <c r="F3392" s="1" t="s">
        <v>40</v>
      </c>
      <c r="G3392" s="6">
        <f ca="1">IFERROR(__xludf.DUMMYFUNCTION("iferror(GOOGLEFINANCE(TRIM(F3392)&amp;"":"" &amp; TRIM(B3392), ""price""),0
)"),0)</f>
        <v>0</v>
      </c>
      <c r="H3392" s="6">
        <v>868.05</v>
      </c>
      <c r="I3392" s="6">
        <f t="shared" ca="1" si="0"/>
        <v>868.05</v>
      </c>
      <c r="J3392" s="6">
        <f ca="1">IFERROR(__xludf.DUMMYFUNCTION("IFERROR(GOOGLEFINANCE(B3392, ""volume""), 0)"),0)</f>
        <v>0</v>
      </c>
      <c r="K3392" s="6">
        <v>0.05</v>
      </c>
      <c r="L3392" s="6">
        <f ca="1">IFERROR(__xludf.DUMMYFUNCTION("IFERROR(GOOGLEFINANCE(B3392,""changepct""),K3392)"),0.05)</f>
        <v>0.05</v>
      </c>
      <c r="M3392" s="6">
        <f ca="1">IFERROR(__xludf.DUMMYFUNCTION("IFERROR(GOOGLEFINANCE(B3392,""change""),0)"),0)</f>
        <v>0</v>
      </c>
      <c r="N3392" s="6">
        <v>1</v>
      </c>
      <c r="O3392" s="7">
        <v>45536</v>
      </c>
      <c r="P3392" s="9"/>
      <c r="Q3392" s="6">
        <v>1303.02</v>
      </c>
      <c r="R3392" s="7">
        <v>45536</v>
      </c>
      <c r="S3392" s="6">
        <v>230.67</v>
      </c>
      <c r="T3392" s="6">
        <v>57.83</v>
      </c>
      <c r="U3392" s="7">
        <v>45536</v>
      </c>
      <c r="V3392" s="6">
        <v>22.8</v>
      </c>
      <c r="W3392" s="6">
        <f ca="1">IFERROR(__xludf.DUMMYFUNCTION("IFERROR(GOOGLEFINANCE(B3392,""pe""),V3392)"),22.8)</f>
        <v>22.8</v>
      </c>
      <c r="X3392" s="6">
        <v>-2.63</v>
      </c>
      <c r="Y3392" s="6">
        <v>3.04</v>
      </c>
      <c r="Z3392" s="6">
        <v>1</v>
      </c>
      <c r="AA3392" s="8">
        <v>45352</v>
      </c>
      <c r="AB3392" s="4">
        <v>0</v>
      </c>
      <c r="AC3392" s="6">
        <v>8.6999999999999993</v>
      </c>
      <c r="AD3392" s="6">
        <v>12.4</v>
      </c>
      <c r="AE3392" s="1">
        <v>0</v>
      </c>
      <c r="AF3392" s="1">
        <f ca="1">IFERROR(__xludf.DUMMYFUNCTION("IFERROR(GOOGLEFINANCE(TRIM(F3392)&amp;"":"" &amp; TRIM(B3392),""high52""),AE3392)"),0)</f>
        <v>0</v>
      </c>
      <c r="AG3392" s="1">
        <v>0</v>
      </c>
      <c r="AH3392" s="1">
        <f ca="1">IFERROR(__xludf.DUMMYFUNCTION("IFERROR(GOOGLEFINANCE(TRIM(F3392)&amp;"":"" &amp; TRIM(B3392),""low52""),AE3392)"),0)</f>
        <v>0</v>
      </c>
      <c r="AI3392" s="1">
        <f ca="1">IFERROR(__xludf.DUMMYFUNCTION("IFERROR(GOOGLEFINANCE(B3392,""eps""),0)"),0)</f>
        <v>0</v>
      </c>
      <c r="AJ3392" s="1"/>
      <c r="AK3392" s="1" t="s">
        <v>10399</v>
      </c>
      <c r="AL3392" s="9">
        <f t="shared" si="323"/>
        <v>1</v>
      </c>
    </row>
    <row r="3393" spans="1:38" ht="15" x14ac:dyDescent="0.25">
      <c r="A3393" s="1" t="s">
        <v>10400</v>
      </c>
      <c r="B3393" s="1" t="s">
        <v>10401</v>
      </c>
      <c r="C3393" s="1" t="s">
        <v>416</v>
      </c>
      <c r="D3393" s="1" t="s">
        <v>416</v>
      </c>
      <c r="E3393" s="6">
        <v>119.89</v>
      </c>
      <c r="F3393" s="1" t="s">
        <v>40</v>
      </c>
      <c r="G3393" s="6">
        <f ca="1">IFERROR(__xludf.DUMMYFUNCTION("iferror(GOOGLEFINANCE(TRIM(F3393)&amp;"":"" &amp; TRIM(B3393), ""price""),0
)"),230)</f>
        <v>230</v>
      </c>
      <c r="H3393" s="6">
        <v>397</v>
      </c>
      <c r="I3393" s="6">
        <f t="shared" ca="1" si="0"/>
        <v>230</v>
      </c>
      <c r="J3393" s="6">
        <f ca="1">IFERROR(__xludf.DUMMYFUNCTION("IFERROR(GOOGLEFINANCE(B3393, ""volume""), 0)"),2515)</f>
        <v>2515</v>
      </c>
      <c r="K3393" s="6">
        <v>-0.11</v>
      </c>
      <c r="L3393" s="6">
        <f ca="1">IFERROR(__xludf.DUMMYFUNCTION("IFERROR(GOOGLEFINANCE(B3393,""changepct""),K3393)"),-3.74)</f>
        <v>-3.74</v>
      </c>
      <c r="M3393" s="6">
        <f ca="1">IFERROR(__xludf.DUMMYFUNCTION("IFERROR(GOOGLEFINANCE(B3393,""change""),0)"),-8.94)</f>
        <v>-8.94</v>
      </c>
      <c r="N3393" s="6">
        <v>2</v>
      </c>
      <c r="O3393" s="7">
        <v>45536</v>
      </c>
      <c r="P3393" s="6">
        <v>37.71</v>
      </c>
      <c r="Q3393" s="6">
        <v>113.98</v>
      </c>
      <c r="R3393" s="7">
        <v>45536</v>
      </c>
      <c r="S3393" s="6">
        <v>106</v>
      </c>
      <c r="T3393" s="6">
        <v>-35.82</v>
      </c>
      <c r="U3393" s="7">
        <v>45536</v>
      </c>
      <c r="V3393" s="6">
        <v>0</v>
      </c>
      <c r="W3393" s="6">
        <f ca="1">IFERROR(__xludf.DUMMYFUNCTION("IFERROR(GOOGLEFINANCE(B3393,""pe""),V3393)"),0)</f>
        <v>0</v>
      </c>
      <c r="X3393" s="12"/>
      <c r="Y3393" s="6">
        <v>1.62</v>
      </c>
      <c r="Z3393" s="6">
        <v>2</v>
      </c>
      <c r="AA3393" s="8">
        <v>45352</v>
      </c>
      <c r="AB3393" s="4">
        <v>0.19</v>
      </c>
      <c r="AC3393" s="6">
        <v>-33.1</v>
      </c>
      <c r="AD3393" s="6">
        <v>-29.71</v>
      </c>
      <c r="AE3393" s="1">
        <v>0</v>
      </c>
      <c r="AF3393" s="1">
        <f ca="1">IFERROR(__xludf.DUMMYFUNCTION("IFERROR(GOOGLEFINANCE(TRIM(F3393)&amp;"":"" &amp; TRIM(B3393),""high52""),AE3393)"),568.9)</f>
        <v>568.9</v>
      </c>
      <c r="AG3393" s="1">
        <v>0</v>
      </c>
      <c r="AH3393" s="1">
        <f ca="1">IFERROR(__xludf.DUMMYFUNCTION("IFERROR(GOOGLEFINANCE(TRIM(F3393)&amp;"":"" &amp; TRIM(B3393),""low52""),AE3393)"),225)</f>
        <v>225</v>
      </c>
      <c r="AI3393" s="1">
        <f ca="1">IFERROR(__xludf.DUMMYFUNCTION("IFERROR(GOOGLEFINANCE(B3393,""eps""),0)"),0)</f>
        <v>0</v>
      </c>
      <c r="AJ3393" s="1"/>
      <c r="AK3393" s="1" t="s">
        <v>10402</v>
      </c>
      <c r="AL3393" s="9">
        <f t="shared" si="323"/>
        <v>1</v>
      </c>
    </row>
    <row r="3394" spans="1:38" ht="15" x14ac:dyDescent="0.25">
      <c r="A3394" s="1" t="s">
        <v>10403</v>
      </c>
      <c r="B3394" s="1" t="s">
        <v>10404</v>
      </c>
      <c r="C3394" s="1" t="s">
        <v>2432</v>
      </c>
      <c r="D3394" s="1" t="s">
        <v>2432</v>
      </c>
      <c r="E3394" s="6">
        <v>9386.83</v>
      </c>
      <c r="F3394" s="1" t="s">
        <v>40</v>
      </c>
      <c r="G3394" s="6">
        <f ca="1">IFERROR(__xludf.DUMMYFUNCTION("iferror(GOOGLEFINANCE(TRIM(F3394)&amp;"":"" &amp; TRIM(B3394), ""price""),0
)"),306.4)</f>
        <v>306.39999999999998</v>
      </c>
      <c r="H3394" s="6">
        <v>1154.2</v>
      </c>
      <c r="I3394" s="6">
        <f t="shared" ca="1" si="0"/>
        <v>306.39999999999998</v>
      </c>
      <c r="J3394" s="6">
        <f ca="1">IFERROR(__xludf.DUMMYFUNCTION("IFERROR(GOOGLEFINANCE(B3394, ""volume""), 0)"),609855)</f>
        <v>609855</v>
      </c>
      <c r="K3394" s="6">
        <v>0.53</v>
      </c>
      <c r="L3394" s="6">
        <f ca="1">IFERROR(__xludf.DUMMYFUNCTION("IFERROR(GOOGLEFINANCE(B3394,""changepct""),K3394)"),-0.07)</f>
        <v>-7.0000000000000007E-2</v>
      </c>
      <c r="M3394" s="6">
        <f ca="1">IFERROR(__xludf.DUMMYFUNCTION("IFERROR(GOOGLEFINANCE(B3394,""change""),0)"),-0.2)</f>
        <v>-0.2</v>
      </c>
      <c r="N3394" s="6">
        <v>2</v>
      </c>
      <c r="O3394" s="7">
        <v>45536</v>
      </c>
      <c r="P3394" s="6">
        <v>1615.32</v>
      </c>
      <c r="Q3394" s="6">
        <v>10483.41</v>
      </c>
      <c r="R3394" s="7">
        <v>45536</v>
      </c>
      <c r="S3394" s="6">
        <v>5693.86</v>
      </c>
      <c r="T3394" s="6">
        <v>204.89</v>
      </c>
      <c r="U3394" s="7">
        <v>45536</v>
      </c>
      <c r="V3394" s="6">
        <v>45.81</v>
      </c>
      <c r="W3394" s="6">
        <f ca="1">IFERROR(__xludf.DUMMYFUNCTION("IFERROR(GOOGLEFINANCE(B3394,""pe""),V3394)"),19.36)</f>
        <v>19.36</v>
      </c>
      <c r="X3394" s="9"/>
      <c r="Y3394" s="6">
        <v>4.99</v>
      </c>
      <c r="Z3394" s="6">
        <v>2</v>
      </c>
      <c r="AA3394" s="8">
        <v>45352</v>
      </c>
      <c r="AB3394" s="4">
        <v>1.1000000000000001</v>
      </c>
      <c r="AC3394" s="6">
        <v>15.76</v>
      </c>
      <c r="AD3394" s="6">
        <v>14.87</v>
      </c>
      <c r="AE3394" s="1">
        <v>0</v>
      </c>
      <c r="AF3394" s="1">
        <f ca="1">IFERROR(__xludf.DUMMYFUNCTION("IFERROR(GOOGLEFINANCE(TRIM(F3394)&amp;"":"" &amp; TRIM(B3394),""high52""),AE3394)"),546.65)</f>
        <v>546.65</v>
      </c>
      <c r="AG3394" s="1">
        <v>0</v>
      </c>
      <c r="AH3394" s="1">
        <f ca="1">IFERROR(__xludf.DUMMYFUNCTION("IFERROR(GOOGLEFINANCE(TRIM(F3394)&amp;"":"" &amp; TRIM(B3394),""low52""),AE3394)"),227.4)</f>
        <v>227.4</v>
      </c>
      <c r="AI3394" s="1">
        <f ca="1">IFERROR(__xludf.DUMMYFUNCTION("IFERROR(GOOGLEFINANCE(B3394,""eps""),0)"),15.83)</f>
        <v>15.83</v>
      </c>
      <c r="AJ3394" s="1"/>
      <c r="AK3394" s="1" t="s">
        <v>10405</v>
      </c>
      <c r="AL3394" s="9">
        <f t="shared" si="323"/>
        <v>1</v>
      </c>
    </row>
    <row r="3395" spans="1:38" ht="15" x14ac:dyDescent="0.25">
      <c r="A3395" s="1" t="s">
        <v>10406</v>
      </c>
      <c r="B3395" s="1" t="s">
        <v>10407</v>
      </c>
      <c r="C3395" s="1" t="s">
        <v>106</v>
      </c>
      <c r="D3395" s="1" t="s">
        <v>106</v>
      </c>
      <c r="E3395" s="6">
        <v>2637.95</v>
      </c>
      <c r="F3395" s="1" t="s">
        <v>40</v>
      </c>
      <c r="G3395" s="6">
        <f ca="1">IFERROR(__xludf.DUMMYFUNCTION("iferror(GOOGLEFINANCE(TRIM(F3395)&amp;"":"" &amp; TRIM(B3395), ""price""),0
)"),784.9)</f>
        <v>784.9</v>
      </c>
      <c r="H3395" s="6">
        <v>587.85</v>
      </c>
      <c r="I3395" s="6">
        <f t="shared" ca="1" si="0"/>
        <v>784.9</v>
      </c>
      <c r="J3395" s="6">
        <f ca="1">IFERROR(__xludf.DUMMYFUNCTION("IFERROR(GOOGLEFINANCE(B3395, ""volume""), 0)"),77194)</f>
        <v>77194</v>
      </c>
      <c r="K3395" s="6">
        <v>2.61</v>
      </c>
      <c r="L3395" s="6">
        <f ca="1">IFERROR(__xludf.DUMMYFUNCTION("IFERROR(GOOGLEFINANCE(B3395,""changepct""),K3395)"),-0.18)</f>
        <v>-0.18</v>
      </c>
      <c r="M3395" s="6">
        <f ca="1">IFERROR(__xludf.DUMMYFUNCTION("IFERROR(GOOGLEFINANCE(B3395,""change""),0)"),-1.4)</f>
        <v>-1.4</v>
      </c>
      <c r="N3395" s="6">
        <v>1</v>
      </c>
      <c r="O3395" s="7">
        <v>45352</v>
      </c>
      <c r="P3395" s="6">
        <v>248.38</v>
      </c>
      <c r="Q3395" s="6">
        <v>2873.28</v>
      </c>
      <c r="R3395" s="14"/>
      <c r="S3395" s="9"/>
      <c r="T3395" s="9"/>
      <c r="U3395" s="7">
        <v>45352</v>
      </c>
      <c r="V3395" s="6">
        <v>0</v>
      </c>
      <c r="W3395" s="6">
        <f ca="1">IFERROR(__xludf.DUMMYFUNCTION("IFERROR(GOOGLEFINANCE(B3395,""pe""),V3395)"),35.03)</f>
        <v>35.03</v>
      </c>
      <c r="X3395" s="9"/>
      <c r="Y3395" s="6">
        <v>3.25</v>
      </c>
      <c r="Z3395" s="6">
        <v>2</v>
      </c>
      <c r="AA3395" s="8">
        <v>45352</v>
      </c>
      <c r="AB3395" s="4">
        <v>1.22</v>
      </c>
      <c r="AC3395" s="6">
        <v>26.19</v>
      </c>
      <c r="AD3395" s="6">
        <v>12.31</v>
      </c>
      <c r="AE3395" s="1">
        <v>0</v>
      </c>
      <c r="AF3395" s="1">
        <f ca="1">IFERROR(__xludf.DUMMYFUNCTION("IFERROR(GOOGLEFINANCE(TRIM(F3395)&amp;"":"" &amp; TRIM(B3395),""high52""),AE3395)"),876.5)</f>
        <v>876.5</v>
      </c>
      <c r="AG3395" s="1">
        <v>0</v>
      </c>
      <c r="AH3395" s="1">
        <f ca="1">IFERROR(__xludf.DUMMYFUNCTION("IFERROR(GOOGLEFINANCE(TRIM(F3395)&amp;"":"" &amp; TRIM(B3395),""low52""),AE3395)"),440.3)</f>
        <v>440.3</v>
      </c>
      <c r="AI3395" s="1">
        <f ca="1">IFERROR(__xludf.DUMMYFUNCTION("IFERROR(GOOGLEFINANCE(B3395,""eps""),0)"),22.41)</f>
        <v>22.41</v>
      </c>
      <c r="AJ3395" s="1"/>
      <c r="AK3395" s="1" t="s">
        <v>10408</v>
      </c>
      <c r="AL3395" s="9">
        <f t="shared" si="323"/>
        <v>1</v>
      </c>
    </row>
    <row r="3396" spans="1:38" ht="15" x14ac:dyDescent="0.25">
      <c r="A3396" s="1" t="s">
        <v>10409</v>
      </c>
      <c r="B3396" s="1" t="s">
        <v>10410</v>
      </c>
      <c r="C3396" s="1" t="s">
        <v>86</v>
      </c>
      <c r="D3396" s="1" t="s">
        <v>86</v>
      </c>
      <c r="E3396" s="6">
        <v>3480.86</v>
      </c>
      <c r="F3396" s="1" t="s">
        <v>40</v>
      </c>
      <c r="G3396" s="6">
        <f ca="1">IFERROR(__xludf.DUMMYFUNCTION("iferror(GOOGLEFINANCE(TRIM(F3396)&amp;"":"" &amp; TRIM(B3396), ""price""),0
)"),8.02)</f>
        <v>8.02</v>
      </c>
      <c r="H3396" s="6">
        <v>21.97</v>
      </c>
      <c r="I3396" s="6">
        <f t="shared" ca="1" si="0"/>
        <v>8.02</v>
      </c>
      <c r="J3396" s="6">
        <f ca="1">IFERROR(__xludf.DUMMYFUNCTION("IFERROR(GOOGLEFINANCE(B3396, ""volume""), 0)"),7300171)</f>
        <v>7300171</v>
      </c>
      <c r="K3396" s="6">
        <v>0.41</v>
      </c>
      <c r="L3396" s="6">
        <f ca="1">IFERROR(__xludf.DUMMYFUNCTION("IFERROR(GOOGLEFINANCE(B3396,""changepct""),K3396)"),-0.99)</f>
        <v>-0.99</v>
      </c>
      <c r="M3396" s="6">
        <f ca="1">IFERROR(__xludf.DUMMYFUNCTION("IFERROR(GOOGLEFINANCE(B3396,""change""),0)"),-0.08)</f>
        <v>-0.08</v>
      </c>
      <c r="N3396" s="6">
        <v>2</v>
      </c>
      <c r="O3396" s="7">
        <v>45536</v>
      </c>
      <c r="P3396" s="6">
        <v>378.7</v>
      </c>
      <c r="Q3396" s="6">
        <v>3803.24</v>
      </c>
      <c r="R3396" s="7">
        <v>45536</v>
      </c>
      <c r="S3396" s="6">
        <v>635.34</v>
      </c>
      <c r="T3396" s="6">
        <v>22.57</v>
      </c>
      <c r="U3396" s="7">
        <v>45536</v>
      </c>
      <c r="V3396" s="6">
        <v>154.19999999999999</v>
      </c>
      <c r="W3396" s="6">
        <f ca="1">IFERROR(__xludf.DUMMYFUNCTION("IFERROR(GOOGLEFINANCE(B3396,""pe""),V3396)"),33.54)</f>
        <v>33.54</v>
      </c>
      <c r="X3396" s="6">
        <v>-18.670000000000002</v>
      </c>
      <c r="Y3396" s="6">
        <v>2.41</v>
      </c>
      <c r="Z3396" s="6">
        <v>2</v>
      </c>
      <c r="AA3396" s="8">
        <v>45352</v>
      </c>
      <c r="AB3396" s="4">
        <v>0.37</v>
      </c>
      <c r="AC3396" s="6">
        <v>1.98</v>
      </c>
      <c r="AD3396" s="6">
        <v>4.72</v>
      </c>
      <c r="AE3396" s="1">
        <v>0</v>
      </c>
      <c r="AF3396" s="1">
        <f ca="1">IFERROR(__xludf.DUMMYFUNCTION("IFERROR(GOOGLEFINANCE(TRIM(F3396)&amp;"":"" &amp; TRIM(B3396),""high52""),AE3396)"),16.78)</f>
        <v>16.78</v>
      </c>
      <c r="AG3396" s="1">
        <v>0</v>
      </c>
      <c r="AH3396" s="1">
        <f ca="1">IFERROR(__xludf.DUMMYFUNCTION("IFERROR(GOOGLEFINANCE(TRIM(F3396)&amp;"":"" &amp; TRIM(B3396),""low52""),AE3396)"),7.7)</f>
        <v>7.7</v>
      </c>
      <c r="AI3396" s="1">
        <f ca="1">IFERROR(__xludf.DUMMYFUNCTION("IFERROR(GOOGLEFINANCE(B3396,""eps""),0)"),0.24)</f>
        <v>0.24</v>
      </c>
      <c r="AJ3396" s="1"/>
      <c r="AK3396" s="1" t="s">
        <v>10411</v>
      </c>
      <c r="AL3396" s="9">
        <f t="shared" si="323"/>
        <v>1</v>
      </c>
    </row>
    <row r="3397" spans="1:38" ht="15" x14ac:dyDescent="0.25">
      <c r="A3397" s="1" t="s">
        <v>10412</v>
      </c>
      <c r="B3397" s="1" t="s">
        <v>10413</v>
      </c>
      <c r="C3397" s="1" t="s">
        <v>106</v>
      </c>
      <c r="D3397" s="1" t="s">
        <v>106</v>
      </c>
      <c r="E3397" s="6">
        <v>4855.8599999999997</v>
      </c>
      <c r="F3397" s="1" t="s">
        <v>40</v>
      </c>
      <c r="G3397" s="6">
        <f ca="1">IFERROR(__xludf.DUMMYFUNCTION("iferror(GOOGLEFINANCE(TRIM(F3397)&amp;"":"" &amp; TRIM(B3397), ""price""),0
)"),0)</f>
        <v>0</v>
      </c>
      <c r="H3397" s="6">
        <v>203.57</v>
      </c>
      <c r="I3397" s="6">
        <f t="shared" ca="1" si="0"/>
        <v>203.57</v>
      </c>
      <c r="J3397" s="6">
        <f ca="1">IFERROR(__xludf.DUMMYFUNCTION("IFERROR(GOOGLEFINANCE(B3397, ""volume""), 0)"),0)</f>
        <v>0</v>
      </c>
      <c r="K3397" s="6">
        <v>5</v>
      </c>
      <c r="L3397" s="6">
        <f ca="1">IFERROR(__xludf.DUMMYFUNCTION("IFERROR(GOOGLEFINANCE(B3397,""changepct""),K3397)"),5)</f>
        <v>5</v>
      </c>
      <c r="M3397" s="6">
        <f ca="1">IFERROR(__xludf.DUMMYFUNCTION("IFERROR(GOOGLEFINANCE(B3397,""change""),0)"),0)</f>
        <v>0</v>
      </c>
      <c r="N3397" s="6">
        <v>2</v>
      </c>
      <c r="O3397" s="7">
        <v>45536</v>
      </c>
      <c r="P3397" s="6">
        <v>451.71</v>
      </c>
      <c r="Q3397" s="6">
        <v>5233.45</v>
      </c>
      <c r="R3397" s="7">
        <v>45536</v>
      </c>
      <c r="S3397" s="6">
        <v>1449.42</v>
      </c>
      <c r="T3397" s="6">
        <v>27.35</v>
      </c>
      <c r="U3397" s="7">
        <v>45536</v>
      </c>
      <c r="V3397" s="6">
        <v>294.70999999999998</v>
      </c>
      <c r="W3397" s="6">
        <f ca="1">IFERROR(__xludf.DUMMYFUNCTION("IFERROR(GOOGLEFINANCE(B3397,""pe""),V3397)"),294.71)</f>
        <v>294.70999999999998</v>
      </c>
      <c r="X3397" s="9"/>
      <c r="Y3397" s="6">
        <v>7.08</v>
      </c>
      <c r="Z3397" s="6">
        <v>2</v>
      </c>
      <c r="AA3397" s="8">
        <v>45352</v>
      </c>
      <c r="AB3397" s="4">
        <v>0.78</v>
      </c>
      <c r="AC3397" s="6">
        <v>-4.8499999999999996</v>
      </c>
      <c r="AD3397" s="6">
        <v>-0.6</v>
      </c>
      <c r="AE3397" s="1">
        <v>0</v>
      </c>
      <c r="AF3397" s="1">
        <f ca="1">IFERROR(__xludf.DUMMYFUNCTION("IFERROR(GOOGLEFINANCE(TRIM(F3397)&amp;"":"" &amp; TRIM(B3397),""high52""),AE3397)"),0)</f>
        <v>0</v>
      </c>
      <c r="AG3397" s="1">
        <v>0</v>
      </c>
      <c r="AH3397" s="1">
        <f ca="1">IFERROR(__xludf.DUMMYFUNCTION("IFERROR(GOOGLEFINANCE(TRIM(F3397)&amp;"":"" &amp; TRIM(B3397),""low52""),AE3397)"),0)</f>
        <v>0</v>
      </c>
      <c r="AI3397" s="1">
        <f ca="1">IFERROR(__xludf.DUMMYFUNCTION("IFERROR(GOOGLEFINANCE(B3397,""eps""),0)"),0)</f>
        <v>0</v>
      </c>
      <c r="AJ3397" s="1"/>
      <c r="AK3397" s="1" t="s">
        <v>10414</v>
      </c>
      <c r="AL3397" s="9">
        <f t="shared" si="323"/>
        <v>1</v>
      </c>
    </row>
    <row r="3398" spans="1:38" ht="15" x14ac:dyDescent="0.25">
      <c r="A3398" s="1" t="s">
        <v>10415</v>
      </c>
      <c r="B3398" s="1" t="s">
        <v>10416</v>
      </c>
      <c r="C3398" s="1" t="s">
        <v>159</v>
      </c>
      <c r="D3398" s="1" t="s">
        <v>159</v>
      </c>
      <c r="E3398" s="6">
        <v>105.96</v>
      </c>
      <c r="F3398" s="1" t="s">
        <v>40</v>
      </c>
      <c r="G3398" s="6">
        <f ca="1">IFERROR(__xludf.DUMMYFUNCTION("iferror(GOOGLEFINANCE(TRIM(F3398)&amp;"":"" &amp; TRIM(B3398), ""price""),0
)"),0)</f>
        <v>0</v>
      </c>
      <c r="H3398" s="6">
        <v>78.45</v>
      </c>
      <c r="I3398" s="6">
        <f t="shared" ca="1" si="0"/>
        <v>78.45</v>
      </c>
      <c r="J3398" s="6">
        <f ca="1">IFERROR(__xludf.DUMMYFUNCTION("IFERROR(GOOGLEFINANCE(B3398, ""volume""), 0)"),0)</f>
        <v>0</v>
      </c>
      <c r="K3398" s="6">
        <v>-1.32</v>
      </c>
      <c r="L3398" s="6">
        <f ca="1">IFERROR(__xludf.DUMMYFUNCTION("IFERROR(GOOGLEFINANCE(B3398,""changepct""),K3398)"),-1.32)</f>
        <v>-1.32</v>
      </c>
      <c r="M3398" s="6">
        <f ca="1">IFERROR(__xludf.DUMMYFUNCTION("IFERROR(GOOGLEFINANCE(B3398,""change""),0)"),0)</f>
        <v>0</v>
      </c>
      <c r="N3398" s="6">
        <v>1</v>
      </c>
      <c r="O3398" s="7">
        <v>45536</v>
      </c>
      <c r="P3398" s="9"/>
      <c r="Q3398" s="6">
        <v>105.96</v>
      </c>
      <c r="R3398" s="7">
        <v>45352</v>
      </c>
      <c r="S3398" s="6">
        <v>192.81</v>
      </c>
      <c r="T3398" s="6">
        <v>4.3600000000000003</v>
      </c>
      <c r="U3398" s="7">
        <v>45352</v>
      </c>
      <c r="V3398" s="6">
        <v>24.32</v>
      </c>
      <c r="W3398" s="6">
        <f ca="1">IFERROR(__xludf.DUMMYFUNCTION("IFERROR(GOOGLEFINANCE(B3398,""pe""),V3398)"),24.32)</f>
        <v>24.32</v>
      </c>
      <c r="X3398" s="12"/>
      <c r="Y3398" s="6">
        <v>2.2599999999999998</v>
      </c>
      <c r="Z3398" s="6">
        <v>1</v>
      </c>
      <c r="AA3398" s="17">
        <v>45352</v>
      </c>
      <c r="AB3398" s="18">
        <v>0</v>
      </c>
      <c r="AC3398" s="6">
        <v>18.75</v>
      </c>
      <c r="AD3398" s="6">
        <v>19.05</v>
      </c>
      <c r="AE3398" s="1">
        <v>0</v>
      </c>
      <c r="AF3398" s="1">
        <f ca="1">IFERROR(__xludf.DUMMYFUNCTION("IFERROR(GOOGLEFINANCE(TRIM(F3398)&amp;"":"" &amp; TRIM(B3398),""high52""),AE3398)"),0)</f>
        <v>0</v>
      </c>
      <c r="AG3398" s="1">
        <v>0</v>
      </c>
      <c r="AH3398" s="1">
        <f ca="1">IFERROR(__xludf.DUMMYFUNCTION("IFERROR(GOOGLEFINANCE(TRIM(F3398)&amp;"":"" &amp; TRIM(B3398),""low52""),AE3398)"),0)</f>
        <v>0</v>
      </c>
      <c r="AI3398" s="1">
        <f ca="1">IFERROR(__xludf.DUMMYFUNCTION("IFERROR(GOOGLEFINANCE(B3398,""eps""),0)"),0)</f>
        <v>0</v>
      </c>
      <c r="AJ3398" s="1"/>
      <c r="AK3398" s="1" t="s">
        <v>10417</v>
      </c>
      <c r="AL3398" s="9">
        <f t="shared" si="323"/>
        <v>1</v>
      </c>
    </row>
    <row r="3399" spans="1:38" ht="15" x14ac:dyDescent="0.25">
      <c r="A3399" s="1" t="s">
        <v>10418</v>
      </c>
      <c r="B3399" s="1" t="s">
        <v>10419</v>
      </c>
      <c r="C3399" s="1" t="s">
        <v>125</v>
      </c>
      <c r="D3399" s="1" t="s">
        <v>125</v>
      </c>
      <c r="E3399" s="6">
        <v>3729.83</v>
      </c>
      <c r="F3399" s="1" t="s">
        <v>40</v>
      </c>
      <c r="G3399" s="6">
        <f ca="1">IFERROR(__xludf.DUMMYFUNCTION("iferror(GOOGLEFINANCE(TRIM(F3399)&amp;"":"" &amp; TRIM(B3399), ""price""),0
)"),74)</f>
        <v>74</v>
      </c>
      <c r="H3399" s="6">
        <v>171.26</v>
      </c>
      <c r="I3399" s="6">
        <f t="shared" ca="1" si="0"/>
        <v>74</v>
      </c>
      <c r="J3399" s="6">
        <f ca="1">IFERROR(__xludf.DUMMYFUNCTION("IFERROR(GOOGLEFINANCE(B3399, ""volume""), 0)"),7285041)</f>
        <v>7285041</v>
      </c>
      <c r="K3399" s="6">
        <v>0.99</v>
      </c>
      <c r="L3399" s="6">
        <f ca="1">IFERROR(__xludf.DUMMYFUNCTION("IFERROR(GOOGLEFINANCE(B3399,""changepct""),K3399)"),4.43)</f>
        <v>4.43</v>
      </c>
      <c r="M3399" s="6">
        <f ca="1">IFERROR(__xludf.DUMMYFUNCTION("IFERROR(GOOGLEFINANCE(B3399,""change""),0)"),3.14)</f>
        <v>3.14</v>
      </c>
      <c r="N3399" s="6">
        <v>2</v>
      </c>
      <c r="O3399" s="7">
        <v>45536</v>
      </c>
      <c r="P3399" s="6">
        <v>73.05</v>
      </c>
      <c r="Q3399" s="6">
        <v>3765.17</v>
      </c>
      <c r="R3399" s="7">
        <v>45536</v>
      </c>
      <c r="S3399" s="6">
        <v>500.05</v>
      </c>
      <c r="T3399" s="6">
        <v>20.3</v>
      </c>
      <c r="U3399" s="7">
        <v>45536</v>
      </c>
      <c r="V3399" s="6">
        <v>183.55</v>
      </c>
      <c r="W3399" s="6">
        <f ca="1">IFERROR(__xludf.DUMMYFUNCTION("IFERROR(GOOGLEFINANCE(B3399,""pe""),V3399)"),71.57)</f>
        <v>71.569999999999993</v>
      </c>
      <c r="X3399" s="9"/>
      <c r="Y3399" s="6">
        <v>25.64</v>
      </c>
      <c r="Z3399" s="6">
        <v>2</v>
      </c>
      <c r="AA3399" s="17">
        <v>45352</v>
      </c>
      <c r="AB3399" s="18">
        <v>0.7</v>
      </c>
      <c r="AC3399" s="6">
        <v>12.71</v>
      </c>
      <c r="AD3399" s="6">
        <v>11.42</v>
      </c>
      <c r="AE3399" s="1">
        <v>0</v>
      </c>
      <c r="AF3399" s="1">
        <f ca="1">IFERROR(__xludf.DUMMYFUNCTION("IFERROR(GOOGLEFINANCE(TRIM(F3399)&amp;"":"" &amp; TRIM(B3399),""high52""),AE3399)"),168.5)</f>
        <v>168.5</v>
      </c>
      <c r="AG3399" s="1">
        <v>0</v>
      </c>
      <c r="AH3399" s="1">
        <f ca="1">IFERROR(__xludf.DUMMYFUNCTION("IFERROR(GOOGLEFINANCE(TRIM(F3399)&amp;"":"" &amp; TRIM(B3399),""low52""),AE3399)"),57.51)</f>
        <v>57.51</v>
      </c>
      <c r="AI3399" s="1">
        <f ca="1">IFERROR(__xludf.DUMMYFUNCTION("IFERROR(GOOGLEFINANCE(B3399,""eps""),0)"),1.03)</f>
        <v>1.03</v>
      </c>
      <c r="AJ3399" s="1"/>
      <c r="AK3399" s="1" t="s">
        <v>10420</v>
      </c>
      <c r="AL3399" s="9">
        <f t="shared" si="323"/>
        <v>1</v>
      </c>
    </row>
    <row r="3400" spans="1:38" ht="15" x14ac:dyDescent="0.25">
      <c r="A3400" s="1" t="s">
        <v>10421</v>
      </c>
      <c r="B3400" s="1" t="s">
        <v>10422</v>
      </c>
      <c r="C3400" s="1" t="s">
        <v>373</v>
      </c>
      <c r="D3400" s="1" t="s">
        <v>373</v>
      </c>
      <c r="E3400" s="6">
        <v>1939.03</v>
      </c>
      <c r="F3400" s="1" t="s">
        <v>40</v>
      </c>
      <c r="G3400" s="6">
        <f ca="1">IFERROR(__xludf.DUMMYFUNCTION("iferror(GOOGLEFINANCE(TRIM(F3400)&amp;"":"" &amp; TRIM(B3400), ""price""),0
)"),231)</f>
        <v>231</v>
      </c>
      <c r="H3400" s="6">
        <v>310.3</v>
      </c>
      <c r="I3400" s="6">
        <f t="shared" ca="1" si="0"/>
        <v>231</v>
      </c>
      <c r="J3400" s="6">
        <f ca="1">IFERROR(__xludf.DUMMYFUNCTION("IFERROR(GOOGLEFINANCE(B3400, ""volume""), 0)"),13972)</f>
        <v>13972</v>
      </c>
      <c r="K3400" s="6">
        <v>0.8</v>
      </c>
      <c r="L3400" s="6">
        <f ca="1">IFERROR(__xludf.DUMMYFUNCTION("IFERROR(GOOGLEFINANCE(B3400,""changepct""),K3400)"),3.63)</f>
        <v>3.63</v>
      </c>
      <c r="M3400" s="6">
        <f ca="1">IFERROR(__xludf.DUMMYFUNCTION("IFERROR(GOOGLEFINANCE(B3400,""change""),0)"),8.09)</f>
        <v>8.09</v>
      </c>
      <c r="N3400" s="6">
        <v>2</v>
      </c>
      <c r="O3400" s="7">
        <v>45536</v>
      </c>
      <c r="P3400" s="6">
        <v>82.45</v>
      </c>
      <c r="Q3400" s="6">
        <v>1279.43</v>
      </c>
      <c r="R3400" s="7">
        <v>45536</v>
      </c>
      <c r="S3400" s="6">
        <v>1833.6</v>
      </c>
      <c r="T3400" s="6">
        <v>180.4</v>
      </c>
      <c r="U3400" s="7">
        <v>45536</v>
      </c>
      <c r="V3400" s="6">
        <v>10.14</v>
      </c>
      <c r="W3400" s="6">
        <f ca="1">IFERROR(__xludf.DUMMYFUNCTION("IFERROR(GOOGLEFINANCE(B3400,""pe""),V3400)"),17.07)</f>
        <v>17.07</v>
      </c>
      <c r="X3400" s="6">
        <v>1.43</v>
      </c>
      <c r="Y3400" s="6">
        <v>0.99</v>
      </c>
      <c r="Z3400" s="6">
        <v>2</v>
      </c>
      <c r="AA3400" s="8">
        <v>45352</v>
      </c>
      <c r="AB3400" s="4">
        <v>0.01</v>
      </c>
      <c r="AC3400" s="6">
        <v>15.27</v>
      </c>
      <c r="AD3400" s="6">
        <v>20.12</v>
      </c>
      <c r="AE3400" s="1">
        <v>0</v>
      </c>
      <c r="AF3400" s="1">
        <f ca="1">IFERROR(__xludf.DUMMYFUNCTION("IFERROR(GOOGLEFINANCE(TRIM(F3400)&amp;"":"" &amp; TRIM(B3400),""high52""),AE3400)"),318)</f>
        <v>318</v>
      </c>
      <c r="AG3400" s="1">
        <v>0</v>
      </c>
      <c r="AH3400" s="1">
        <f ca="1">IFERROR(__xludf.DUMMYFUNCTION("IFERROR(GOOGLEFINANCE(TRIM(F3400)&amp;"":"" &amp; TRIM(B3400),""low52""),AE3400)"),211.59)</f>
        <v>211.59</v>
      </c>
      <c r="AI3400" s="1">
        <f ca="1">IFERROR(__xludf.DUMMYFUNCTION("IFERROR(GOOGLEFINANCE(B3400,""eps""),0)"),13.54)</f>
        <v>13.54</v>
      </c>
      <c r="AJ3400" s="1"/>
      <c r="AK3400" s="1" t="s">
        <v>10423</v>
      </c>
      <c r="AL3400" s="9">
        <f t="shared" si="323"/>
        <v>1</v>
      </c>
    </row>
    <row r="3401" spans="1:38" ht="15" x14ac:dyDescent="0.25">
      <c r="A3401" s="1" t="s">
        <v>10424</v>
      </c>
      <c r="B3401" s="1" t="s">
        <v>10425</v>
      </c>
      <c r="C3401" s="1" t="s">
        <v>355</v>
      </c>
      <c r="D3401" s="1" t="s">
        <v>355</v>
      </c>
      <c r="E3401" s="6">
        <v>239.04</v>
      </c>
      <c r="F3401" s="1" t="s">
        <v>40</v>
      </c>
      <c r="G3401" s="6">
        <f ca="1">IFERROR(__xludf.DUMMYFUNCTION("iferror(GOOGLEFINANCE(TRIM(F3401)&amp;"":"" &amp; TRIM(B3401), ""price""),0
)"),14.61)</f>
        <v>14.61</v>
      </c>
      <c r="H3401" s="6">
        <v>18.43</v>
      </c>
      <c r="I3401" s="6">
        <f t="shared" ca="1" si="0"/>
        <v>14.61</v>
      </c>
      <c r="J3401" s="6">
        <f ca="1">IFERROR(__xludf.DUMMYFUNCTION("IFERROR(GOOGLEFINANCE(B3401, ""volume""), 0)"),20443)</f>
        <v>20443</v>
      </c>
      <c r="K3401" s="6">
        <v>3.31</v>
      </c>
      <c r="L3401" s="6">
        <f ca="1">IFERROR(__xludf.DUMMYFUNCTION("IFERROR(GOOGLEFINANCE(B3401,""changepct""),K3401)"),4.96)</f>
        <v>4.96</v>
      </c>
      <c r="M3401" s="6">
        <f ca="1">IFERROR(__xludf.DUMMYFUNCTION("IFERROR(GOOGLEFINANCE(B3401,""change""),0)"),0.69)</f>
        <v>0.69</v>
      </c>
      <c r="N3401" s="6">
        <v>2</v>
      </c>
      <c r="O3401" s="7">
        <v>45536</v>
      </c>
      <c r="P3401" s="6">
        <v>1055.3800000000001</v>
      </c>
      <c r="Q3401" s="6">
        <v>1274.22</v>
      </c>
      <c r="R3401" s="7">
        <v>45536</v>
      </c>
      <c r="S3401" s="6">
        <v>661.26</v>
      </c>
      <c r="T3401" s="6">
        <v>-127.74</v>
      </c>
      <c r="U3401" s="7">
        <v>45536</v>
      </c>
      <c r="V3401" s="6">
        <v>0</v>
      </c>
      <c r="W3401" s="6">
        <f ca="1">IFERROR(__xludf.DUMMYFUNCTION("IFERROR(GOOGLEFINANCE(B3401,""pe""),V3401)"),0)</f>
        <v>0</v>
      </c>
      <c r="X3401" s="12"/>
      <c r="Y3401" s="6">
        <v>-0.44</v>
      </c>
      <c r="Z3401" s="6">
        <v>2</v>
      </c>
      <c r="AA3401" s="8">
        <v>45352</v>
      </c>
      <c r="AB3401" s="4">
        <v>-2.1</v>
      </c>
      <c r="AC3401" s="6">
        <v>0</v>
      </c>
      <c r="AD3401" s="6">
        <v>7.42</v>
      </c>
      <c r="AE3401" s="1">
        <v>0</v>
      </c>
      <c r="AF3401" s="1">
        <f ca="1">IFERROR(__xludf.DUMMYFUNCTION("IFERROR(GOOGLEFINANCE(TRIM(F3401)&amp;"":"" &amp; TRIM(B3401),""high52""),AE3401)"),21.68)</f>
        <v>21.68</v>
      </c>
      <c r="AG3401" s="1">
        <v>0</v>
      </c>
      <c r="AH3401" s="1">
        <f ca="1">IFERROR(__xludf.DUMMYFUNCTION("IFERROR(GOOGLEFINANCE(TRIM(F3401)&amp;"":"" &amp; TRIM(B3401),""low52""),AE3401)"),11.56)</f>
        <v>11.56</v>
      </c>
      <c r="AI3401" s="1">
        <f ca="1">IFERROR(__xludf.DUMMYFUNCTION("IFERROR(GOOGLEFINANCE(B3401,""eps""),0)"),-7.52)</f>
        <v>-7.52</v>
      </c>
      <c r="AJ3401" s="1"/>
      <c r="AK3401" s="1" t="s">
        <v>10426</v>
      </c>
      <c r="AL3401" s="1" t="b">
        <f>ISNUMBER(AA3401)</f>
        <v>1</v>
      </c>
    </row>
    <row r="3402" spans="1:38" ht="15" x14ac:dyDescent="0.25">
      <c r="A3402" s="1" t="s">
        <v>10427</v>
      </c>
      <c r="B3402" s="1" t="s">
        <v>10428</v>
      </c>
      <c r="C3402" s="1" t="s">
        <v>86</v>
      </c>
      <c r="D3402" s="1" t="s">
        <v>86</v>
      </c>
      <c r="E3402" s="6">
        <v>10.56</v>
      </c>
      <c r="F3402" s="1" t="s">
        <v>40</v>
      </c>
      <c r="G3402" s="6">
        <f ca="1">IFERROR(__xludf.DUMMYFUNCTION("iferror(GOOGLEFINANCE(TRIM(F3402)&amp;"":"" &amp; TRIM(B3402), ""price""),0
)"),0.45)</f>
        <v>0.45</v>
      </c>
      <c r="H3402" s="6">
        <v>0.8</v>
      </c>
      <c r="I3402" s="6">
        <f t="shared" ca="1" si="0"/>
        <v>0.45</v>
      </c>
      <c r="J3402" s="6">
        <f ca="1">IFERROR(__xludf.DUMMYFUNCTION("IFERROR(GOOGLEFINANCE(B3402, ""volume""), 0)"),102235)</f>
        <v>102235</v>
      </c>
      <c r="K3402" s="6">
        <v>2.56</v>
      </c>
      <c r="L3402" s="6">
        <f ca="1">IFERROR(__xludf.DUMMYFUNCTION("IFERROR(GOOGLEFINANCE(B3402,""changepct""),K3402)"),4.65)</f>
        <v>4.6500000000000004</v>
      </c>
      <c r="M3402" s="6">
        <f ca="1">IFERROR(__xludf.DUMMYFUNCTION("IFERROR(GOOGLEFINANCE(B3402,""change""),0)"),0.02)</f>
        <v>0.02</v>
      </c>
      <c r="N3402" s="6">
        <v>1</v>
      </c>
      <c r="O3402" s="7">
        <v>45170</v>
      </c>
      <c r="P3402" s="6">
        <v>160.19999999999999</v>
      </c>
      <c r="Q3402" s="6">
        <v>170.76</v>
      </c>
      <c r="R3402" s="7">
        <v>44896</v>
      </c>
      <c r="S3402" s="6">
        <v>13.62</v>
      </c>
      <c r="T3402" s="6">
        <v>-0.06</v>
      </c>
      <c r="U3402" s="7">
        <v>44986</v>
      </c>
      <c r="V3402" s="6">
        <v>305.11</v>
      </c>
      <c r="W3402" s="6">
        <f ca="1">IFERROR(__xludf.DUMMYFUNCTION("IFERROR(GOOGLEFINANCE(B3402,""pe""),V3402)"),305.11)</f>
        <v>305.11</v>
      </c>
      <c r="X3402" s="9"/>
      <c r="Y3402" s="9"/>
      <c r="Z3402" s="6">
        <v>2</v>
      </c>
      <c r="AA3402" s="8">
        <v>44986</v>
      </c>
      <c r="AB3402" s="4">
        <v>1.59</v>
      </c>
      <c r="AC3402" s="6">
        <v>0.18</v>
      </c>
      <c r="AD3402" s="6">
        <v>0.44</v>
      </c>
      <c r="AE3402" s="1">
        <v>0</v>
      </c>
      <c r="AF3402" s="1">
        <f ca="1">IFERROR(__xludf.DUMMYFUNCTION("IFERROR(GOOGLEFINANCE(TRIM(F3402)&amp;"":"" &amp; TRIM(B3402),""high52""),AE3402)"),1.12)</f>
        <v>1.1200000000000001</v>
      </c>
      <c r="AG3402" s="1">
        <v>0</v>
      </c>
      <c r="AH3402" s="1">
        <f ca="1">IFERROR(__xludf.DUMMYFUNCTION("IFERROR(GOOGLEFINANCE(TRIM(F3402)&amp;"":"" &amp; TRIM(B3402),""low52""),AE3402)"),0.37)</f>
        <v>0.37</v>
      </c>
      <c r="AI3402" s="1">
        <f ca="1">IFERROR(__xludf.DUMMYFUNCTION("IFERROR(GOOGLEFINANCE(B3402,""eps""),0)"),0)</f>
        <v>0</v>
      </c>
      <c r="AJ3402" s="1"/>
      <c r="AK3402" s="1" t="s">
        <v>10429</v>
      </c>
      <c r="AL3402" s="9">
        <f t="shared" ref="AL3402:AL3415" si="324">IF(AA3402&lt;&gt;AB3402,1,0)</f>
        <v>1</v>
      </c>
    </row>
    <row r="3403" spans="1:38" ht="15" x14ac:dyDescent="0.25">
      <c r="A3403" s="1" t="s">
        <v>10430</v>
      </c>
      <c r="B3403" s="1" t="s">
        <v>10431</v>
      </c>
      <c r="C3403" s="1" t="s">
        <v>135</v>
      </c>
      <c r="D3403" s="1" t="s">
        <v>135</v>
      </c>
      <c r="E3403" s="6">
        <v>65.52</v>
      </c>
      <c r="F3403" s="1" t="s">
        <v>40</v>
      </c>
      <c r="G3403" s="6">
        <f ca="1">IFERROR(__xludf.DUMMYFUNCTION("iferror(GOOGLEFINANCE(TRIM(F3403)&amp;"":"" &amp; TRIM(B3403), ""price""),0
)"),16.74)</f>
        <v>16.739999999999998</v>
      </c>
      <c r="H3403" s="6">
        <v>25.55</v>
      </c>
      <c r="I3403" s="6">
        <f t="shared" ca="1" si="0"/>
        <v>16.739999999999998</v>
      </c>
      <c r="J3403" s="6">
        <f ca="1">IFERROR(__xludf.DUMMYFUNCTION("IFERROR(GOOGLEFINANCE(B3403, ""volume""), 0)"),3075)</f>
        <v>3075</v>
      </c>
      <c r="K3403" s="6">
        <v>4.97</v>
      </c>
      <c r="L3403" s="6">
        <f ca="1">IFERROR(__xludf.DUMMYFUNCTION("IFERROR(GOOGLEFINANCE(B3403,""changepct""),K3403)"),-1.53)</f>
        <v>-1.53</v>
      </c>
      <c r="M3403" s="6">
        <f ca="1">IFERROR(__xludf.DUMMYFUNCTION("IFERROR(GOOGLEFINANCE(B3403,""change""),0)"),-0.26)</f>
        <v>-0.26</v>
      </c>
      <c r="N3403" s="6">
        <v>1</v>
      </c>
      <c r="O3403" s="7">
        <v>45536</v>
      </c>
      <c r="P3403" s="6">
        <v>771.83</v>
      </c>
      <c r="Q3403" s="6">
        <v>835.93</v>
      </c>
      <c r="R3403" s="7">
        <v>45536</v>
      </c>
      <c r="S3403" s="6">
        <v>7.89</v>
      </c>
      <c r="T3403" s="6">
        <v>-2.71</v>
      </c>
      <c r="U3403" s="7">
        <v>45536</v>
      </c>
      <c r="V3403" s="6">
        <v>0</v>
      </c>
      <c r="W3403" s="6">
        <f ca="1">IFERROR(__xludf.DUMMYFUNCTION("IFERROR(GOOGLEFINANCE(B3403,""pe""),V3403)"),0)</f>
        <v>0</v>
      </c>
      <c r="X3403" s="12"/>
      <c r="Y3403" s="6">
        <v>0.08</v>
      </c>
      <c r="Z3403" s="6">
        <v>1</v>
      </c>
      <c r="AA3403" s="8">
        <v>45352</v>
      </c>
      <c r="AB3403" s="4">
        <v>0.93</v>
      </c>
      <c r="AC3403" s="6">
        <v>-0.42</v>
      </c>
      <c r="AD3403" s="6">
        <v>-0.32</v>
      </c>
      <c r="AE3403" s="1">
        <v>0</v>
      </c>
      <c r="AF3403" s="1">
        <f ca="1">IFERROR(__xludf.DUMMYFUNCTION("IFERROR(GOOGLEFINANCE(TRIM(F3403)&amp;"":"" &amp; TRIM(B3403),""high52""),AE3403)"),25.29)</f>
        <v>25.29</v>
      </c>
      <c r="AG3403" s="1">
        <v>0</v>
      </c>
      <c r="AH3403" s="1">
        <f ca="1">IFERROR(__xludf.DUMMYFUNCTION("IFERROR(GOOGLEFINANCE(TRIM(F3403)&amp;"":"" &amp; TRIM(B3403),""low52""),AE3403)"),12.63)</f>
        <v>12.63</v>
      </c>
      <c r="AI3403" s="1">
        <f ca="1">IFERROR(__xludf.DUMMYFUNCTION("IFERROR(GOOGLEFINANCE(B3403,""eps""),0)"),-2.81)</f>
        <v>-2.81</v>
      </c>
      <c r="AJ3403" s="1"/>
      <c r="AK3403" s="1" t="s">
        <v>10432</v>
      </c>
      <c r="AL3403" s="9">
        <f t="shared" si="324"/>
        <v>1</v>
      </c>
    </row>
    <row r="3404" spans="1:38" ht="15" x14ac:dyDescent="0.25">
      <c r="A3404" s="1" t="s">
        <v>10433</v>
      </c>
      <c r="B3404" s="1" t="s">
        <v>10434</v>
      </c>
      <c r="C3404" s="1" t="s">
        <v>135</v>
      </c>
      <c r="D3404" s="1" t="s">
        <v>135</v>
      </c>
      <c r="E3404" s="6">
        <v>3579.56</v>
      </c>
      <c r="F3404" s="1" t="s">
        <v>40</v>
      </c>
      <c r="G3404" s="6">
        <f ca="1">IFERROR(__xludf.DUMMYFUNCTION("iferror(GOOGLEFINANCE(TRIM(F3404)&amp;"":"" &amp; TRIM(B3404), ""price""),0
)"),146.1)</f>
        <v>146.1</v>
      </c>
      <c r="H3404" s="6">
        <v>259.37</v>
      </c>
      <c r="I3404" s="6">
        <f t="shared" ca="1" si="0"/>
        <v>146.1</v>
      </c>
      <c r="J3404" s="6">
        <f ca="1">IFERROR(__xludf.DUMMYFUNCTION("IFERROR(GOOGLEFINANCE(B3404, ""volume""), 0)"),276728)</f>
        <v>276728</v>
      </c>
      <c r="K3404" s="6">
        <v>0.39</v>
      </c>
      <c r="L3404" s="6">
        <f ca="1">IFERROR(__xludf.DUMMYFUNCTION("IFERROR(GOOGLEFINANCE(B3404,""changepct""),K3404)"),1.7)</f>
        <v>1.7</v>
      </c>
      <c r="M3404" s="6">
        <f ca="1">IFERROR(__xludf.DUMMYFUNCTION("IFERROR(GOOGLEFINANCE(B3404,""change""),0)"),2.44)</f>
        <v>2.44</v>
      </c>
      <c r="N3404" s="6">
        <v>2</v>
      </c>
      <c r="O3404" s="7">
        <v>45536</v>
      </c>
      <c r="P3404" s="6">
        <v>725.99</v>
      </c>
      <c r="Q3404" s="6">
        <v>4171.8599999999997</v>
      </c>
      <c r="R3404" s="7">
        <v>45536</v>
      </c>
      <c r="S3404" s="6">
        <v>2041.87</v>
      </c>
      <c r="T3404" s="6">
        <v>20.28</v>
      </c>
      <c r="U3404" s="7">
        <v>45536</v>
      </c>
      <c r="V3404" s="6">
        <v>187.61</v>
      </c>
      <c r="W3404" s="6">
        <f ca="1">IFERROR(__xludf.DUMMYFUNCTION("IFERROR(GOOGLEFINANCE(B3404,""pe""),V3404)"),13.12)</f>
        <v>13.12</v>
      </c>
      <c r="X3404" s="6">
        <v>27.96</v>
      </c>
      <c r="Y3404" s="6">
        <v>3.07</v>
      </c>
      <c r="Z3404" s="6">
        <v>2</v>
      </c>
      <c r="AA3404" s="8">
        <v>45352</v>
      </c>
      <c r="AB3404" s="4">
        <v>0.52</v>
      </c>
      <c r="AC3404" s="6">
        <v>10.85</v>
      </c>
      <c r="AD3404" s="6">
        <v>12.8</v>
      </c>
      <c r="AE3404" s="1">
        <v>0</v>
      </c>
      <c r="AF3404" s="1">
        <f ca="1">IFERROR(__xludf.DUMMYFUNCTION("IFERROR(GOOGLEFINANCE(TRIM(F3404)&amp;"":"" &amp; TRIM(B3404),""high52""),AE3404)"),275.5)</f>
        <v>275.5</v>
      </c>
      <c r="AG3404" s="1">
        <v>0</v>
      </c>
      <c r="AH3404" s="1">
        <f ca="1">IFERROR(__xludf.DUMMYFUNCTION("IFERROR(GOOGLEFINANCE(TRIM(F3404)&amp;"":"" &amp; TRIM(B3404),""low52""),AE3404)"),134.52)</f>
        <v>134.52000000000001</v>
      </c>
      <c r="AI3404" s="1">
        <f ca="1">IFERROR(__xludf.DUMMYFUNCTION("IFERROR(GOOGLEFINANCE(B3404,""eps""),0)"),11.14)</f>
        <v>11.14</v>
      </c>
      <c r="AJ3404" s="1"/>
      <c r="AK3404" s="1" t="s">
        <v>10435</v>
      </c>
      <c r="AL3404" s="9">
        <f t="shared" si="324"/>
        <v>1</v>
      </c>
    </row>
    <row r="3405" spans="1:38" ht="15" x14ac:dyDescent="0.25">
      <c r="A3405" s="1" t="s">
        <v>10436</v>
      </c>
      <c r="B3405" s="1" t="s">
        <v>10437</v>
      </c>
      <c r="C3405" s="1" t="s">
        <v>219</v>
      </c>
      <c r="D3405" s="1" t="s">
        <v>219</v>
      </c>
      <c r="E3405" s="6">
        <v>135.88999999999999</v>
      </c>
      <c r="F3405" s="1" t="s">
        <v>40</v>
      </c>
      <c r="G3405" s="6">
        <f ca="1">IFERROR(__xludf.DUMMYFUNCTION("iferror(GOOGLEFINANCE(TRIM(F3405)&amp;"":"" &amp; TRIM(B3405), ""price""),0
)"),67.1)</f>
        <v>67.099999999999994</v>
      </c>
      <c r="H3405" s="6">
        <v>68.64</v>
      </c>
      <c r="I3405" s="6">
        <f t="shared" ca="1" si="0"/>
        <v>67.099999999999994</v>
      </c>
      <c r="J3405" s="6">
        <f ca="1">IFERROR(__xludf.DUMMYFUNCTION("IFERROR(GOOGLEFINANCE(B3405, ""volume""), 0)"),14519)</f>
        <v>14519</v>
      </c>
      <c r="K3405" s="9"/>
      <c r="L3405" s="6">
        <f ca="1">IFERROR(__xludf.DUMMYFUNCTION("IFERROR(GOOGLEFINANCE(B3405,""changepct""),K3405)"),3.23)</f>
        <v>3.23</v>
      </c>
      <c r="M3405" s="6">
        <f ca="1">IFERROR(__xludf.DUMMYFUNCTION("IFERROR(GOOGLEFINANCE(B3405,""change""),0)"),2.1)</f>
        <v>2.1</v>
      </c>
      <c r="N3405" s="6">
        <v>2</v>
      </c>
      <c r="O3405" s="7">
        <v>45536</v>
      </c>
      <c r="P3405" s="6">
        <v>80.7</v>
      </c>
      <c r="Q3405" s="6">
        <v>216.59</v>
      </c>
      <c r="R3405" s="7">
        <v>45536</v>
      </c>
      <c r="S3405" s="6">
        <v>458</v>
      </c>
      <c r="T3405" s="6">
        <v>-32.92</v>
      </c>
      <c r="U3405" s="7">
        <v>45536</v>
      </c>
      <c r="V3405" s="6">
        <v>0</v>
      </c>
      <c r="W3405" s="6">
        <f ca="1">IFERROR(__xludf.DUMMYFUNCTION("IFERROR(GOOGLEFINANCE(B3405,""pe""),V3405)"),102.71)</f>
        <v>102.71</v>
      </c>
      <c r="X3405" s="12"/>
      <c r="Y3405" s="6">
        <v>-71.319999999999993</v>
      </c>
      <c r="Z3405" s="6">
        <v>2</v>
      </c>
      <c r="AA3405" s="8">
        <v>45352</v>
      </c>
      <c r="AB3405" s="4">
        <v>7.13</v>
      </c>
      <c r="AC3405" s="6">
        <v>-89.36</v>
      </c>
      <c r="AD3405" s="6">
        <v>-15.18</v>
      </c>
      <c r="AE3405" s="1">
        <v>0</v>
      </c>
      <c r="AF3405" s="1">
        <f ca="1">IFERROR(__xludf.DUMMYFUNCTION("IFERROR(GOOGLEFINANCE(TRIM(F3405)&amp;"":"" &amp; TRIM(B3405),""high52""),AE3405)"),83.85)</f>
        <v>83.85</v>
      </c>
      <c r="AG3405" s="1">
        <v>0</v>
      </c>
      <c r="AH3405" s="1">
        <f ca="1">IFERROR(__xludf.DUMMYFUNCTION("IFERROR(GOOGLEFINANCE(TRIM(F3405)&amp;"":"" &amp; TRIM(B3405),""low52""),AE3405)"),43.3)</f>
        <v>43.3</v>
      </c>
      <c r="AI3405" s="1">
        <f ca="1">IFERROR(__xludf.DUMMYFUNCTION("IFERROR(GOOGLEFINANCE(B3405,""eps""),0)"),0.65)</f>
        <v>0.65</v>
      </c>
      <c r="AJ3405" s="1"/>
      <c r="AK3405" s="9"/>
      <c r="AL3405" s="9">
        <f t="shared" si="324"/>
        <v>1</v>
      </c>
    </row>
    <row r="3406" spans="1:38" ht="15" x14ac:dyDescent="0.25">
      <c r="A3406" s="1" t="s">
        <v>10438</v>
      </c>
      <c r="B3406" s="1" t="s">
        <v>10439</v>
      </c>
      <c r="C3406" s="1" t="s">
        <v>219</v>
      </c>
      <c r="D3406" s="1" t="s">
        <v>219</v>
      </c>
      <c r="E3406" s="6">
        <v>262.49</v>
      </c>
      <c r="F3406" s="1" t="s">
        <v>40</v>
      </c>
      <c r="G3406" s="6">
        <f ca="1">IFERROR(__xludf.DUMMYFUNCTION("iferror(GOOGLEFINANCE(TRIM(F3406)&amp;"":"" &amp; TRIM(B3406), ""price""),0
)"),4.91)</f>
        <v>4.91</v>
      </c>
      <c r="H3406" s="6">
        <v>4.63</v>
      </c>
      <c r="I3406" s="6">
        <f t="shared" ca="1" si="0"/>
        <v>4.91</v>
      </c>
      <c r="J3406" s="6">
        <f ca="1">IFERROR(__xludf.DUMMYFUNCTION("IFERROR(GOOGLEFINANCE(B3406, ""volume""), 0)"),2389747)</f>
        <v>2389747</v>
      </c>
      <c r="K3406" s="6">
        <v>4.99</v>
      </c>
      <c r="L3406" s="6">
        <f ca="1">IFERROR(__xludf.DUMMYFUNCTION("IFERROR(GOOGLEFINANCE(B3406,""changepct""),K3406)"),2.29)</f>
        <v>2.29</v>
      </c>
      <c r="M3406" s="6">
        <f ca="1">IFERROR(__xludf.DUMMYFUNCTION("IFERROR(GOOGLEFINANCE(B3406,""change""),0)"),0.11)</f>
        <v>0.11</v>
      </c>
      <c r="N3406" s="6">
        <v>2</v>
      </c>
      <c r="O3406" s="7">
        <v>45536</v>
      </c>
      <c r="P3406" s="6">
        <v>6.18</v>
      </c>
      <c r="Q3406" s="6">
        <v>268.67</v>
      </c>
      <c r="R3406" s="7">
        <v>45536</v>
      </c>
      <c r="S3406" s="6">
        <v>154.03</v>
      </c>
      <c r="T3406" s="6">
        <v>28.05</v>
      </c>
      <c r="U3406" s="7">
        <v>45536</v>
      </c>
      <c r="V3406" s="6">
        <v>9.36</v>
      </c>
      <c r="W3406" s="6">
        <f ca="1">IFERROR(__xludf.DUMMYFUNCTION("IFERROR(GOOGLEFINANCE(B3406,""pe""),V3406)"),49.17)</f>
        <v>49.17</v>
      </c>
      <c r="X3406" s="6">
        <v>0.52</v>
      </c>
      <c r="Y3406" s="6">
        <v>1.62</v>
      </c>
      <c r="Z3406" s="6">
        <v>2</v>
      </c>
      <c r="AA3406" s="8">
        <v>45352</v>
      </c>
      <c r="AB3406" s="4">
        <v>0.64</v>
      </c>
      <c r="AC3406" s="6">
        <v>11.35</v>
      </c>
      <c r="AD3406" s="6">
        <v>4.93</v>
      </c>
      <c r="AE3406" s="1">
        <v>0</v>
      </c>
      <c r="AF3406" s="1">
        <f ca="1">IFERROR(__xludf.DUMMYFUNCTION("IFERROR(GOOGLEFINANCE(TRIM(F3406)&amp;"":"" &amp; TRIM(B3406),""high52""),AE3406)"),5.55)</f>
        <v>5.55</v>
      </c>
      <c r="AG3406" s="1">
        <v>0</v>
      </c>
      <c r="AH3406" s="1">
        <f ca="1">IFERROR(__xludf.DUMMYFUNCTION("IFERROR(GOOGLEFINANCE(TRIM(F3406)&amp;"":"" &amp; TRIM(B3406),""low52""),AE3406)"),2.8)</f>
        <v>2.8</v>
      </c>
      <c r="AI3406" s="1">
        <f ca="1">IFERROR(__xludf.DUMMYFUNCTION("IFERROR(GOOGLEFINANCE(B3406,""eps""),0)"),0.06)</f>
        <v>0.06</v>
      </c>
      <c r="AJ3406" s="1"/>
      <c r="AK3406" s="1" t="s">
        <v>10440</v>
      </c>
      <c r="AL3406" s="9">
        <f t="shared" si="324"/>
        <v>1</v>
      </c>
    </row>
    <row r="3407" spans="1:38" ht="15" x14ac:dyDescent="0.25">
      <c r="A3407" s="1" t="s">
        <v>10441</v>
      </c>
      <c r="B3407" s="1" t="s">
        <v>10442</v>
      </c>
      <c r="C3407" s="1" t="s">
        <v>82</v>
      </c>
      <c r="D3407" s="1" t="s">
        <v>82</v>
      </c>
      <c r="E3407" s="6">
        <v>6861.88</v>
      </c>
      <c r="F3407" s="1" t="s">
        <v>40</v>
      </c>
      <c r="G3407" s="6">
        <f ca="1">IFERROR(__xludf.DUMMYFUNCTION("iferror(GOOGLEFINANCE(TRIM(F3407)&amp;"":"" &amp; TRIM(B3407), ""price""),0
)"),1890)</f>
        <v>1890</v>
      </c>
      <c r="H3407" s="6">
        <v>1504.95</v>
      </c>
      <c r="I3407" s="6">
        <f t="shared" ca="1" si="0"/>
        <v>1890</v>
      </c>
      <c r="J3407" s="6">
        <f ca="1">IFERROR(__xludf.DUMMYFUNCTION("IFERROR(GOOGLEFINANCE(B3407, ""volume""), 0)"),175116)</f>
        <v>175116</v>
      </c>
      <c r="K3407" s="6">
        <v>0.98</v>
      </c>
      <c r="L3407" s="6">
        <f ca="1">IFERROR(__xludf.DUMMYFUNCTION("IFERROR(GOOGLEFINANCE(B3407,""changepct""),K3407)"),-2.56)</f>
        <v>-2.56</v>
      </c>
      <c r="M3407" s="6">
        <f ca="1">IFERROR(__xludf.DUMMYFUNCTION("IFERROR(GOOGLEFINANCE(B3407,""change""),0)"),-49.6)</f>
        <v>-49.6</v>
      </c>
      <c r="N3407" s="6">
        <v>2</v>
      </c>
      <c r="O3407" s="7">
        <v>45536</v>
      </c>
      <c r="P3407" s="6">
        <v>175.4</v>
      </c>
      <c r="Q3407" s="6">
        <v>7022.24</v>
      </c>
      <c r="R3407" s="7">
        <v>45536</v>
      </c>
      <c r="S3407" s="6">
        <v>700.39</v>
      </c>
      <c r="T3407" s="6">
        <v>73.19</v>
      </c>
      <c r="U3407" s="7">
        <v>45536</v>
      </c>
      <c r="V3407" s="6">
        <v>93.75</v>
      </c>
      <c r="W3407" s="6">
        <f ca="1">IFERROR(__xludf.DUMMYFUNCTION("IFERROR(GOOGLEFINANCE(B3407,""pe""),V3407)"),59.61)</f>
        <v>59.61</v>
      </c>
      <c r="X3407" s="9"/>
      <c r="Y3407" s="6">
        <v>13.87</v>
      </c>
      <c r="Z3407" s="6">
        <v>2</v>
      </c>
      <c r="AA3407" s="8">
        <v>45352</v>
      </c>
      <c r="AB3407" s="4">
        <v>0.45</v>
      </c>
      <c r="AC3407" s="6">
        <v>13.33</v>
      </c>
      <c r="AD3407" s="6">
        <v>14.14</v>
      </c>
      <c r="AE3407" s="1">
        <v>0</v>
      </c>
      <c r="AF3407" s="1">
        <f ca="1">IFERROR(__xludf.DUMMYFUNCTION("IFERROR(GOOGLEFINANCE(TRIM(F3407)&amp;"":"" &amp; TRIM(B3407),""high52""),AE3407)"),2799.9)</f>
        <v>2799.9</v>
      </c>
      <c r="AG3407" s="1">
        <v>0</v>
      </c>
      <c r="AH3407" s="1">
        <f ca="1">IFERROR(__xludf.DUMMYFUNCTION("IFERROR(GOOGLEFINANCE(TRIM(F3407)&amp;"":"" &amp; TRIM(B3407),""low52""),AE3407)"),1308.65)</f>
        <v>1308.6500000000001</v>
      </c>
      <c r="AI3407" s="1">
        <f ca="1">IFERROR(__xludf.DUMMYFUNCTION("IFERROR(GOOGLEFINANCE(B3407,""eps""),0)"),31.71)</f>
        <v>31.71</v>
      </c>
      <c r="AJ3407" s="1"/>
      <c r="AK3407" s="1" t="s">
        <v>10443</v>
      </c>
      <c r="AL3407" s="9">
        <f t="shared" si="324"/>
        <v>1</v>
      </c>
    </row>
    <row r="3408" spans="1:38" ht="15" x14ac:dyDescent="0.25">
      <c r="A3408" s="1" t="s">
        <v>10444</v>
      </c>
      <c r="B3408" s="1" t="s">
        <v>10445</v>
      </c>
      <c r="C3408" s="1" t="s">
        <v>487</v>
      </c>
      <c r="D3408" s="1" t="s">
        <v>487</v>
      </c>
      <c r="E3408" s="6">
        <v>35.299999999999997</v>
      </c>
      <c r="F3408" s="1" t="s">
        <v>40</v>
      </c>
      <c r="G3408" s="6">
        <f ca="1">IFERROR(__xludf.DUMMYFUNCTION("iferror(GOOGLEFINANCE(TRIM(F3408)&amp;"":"" &amp; TRIM(B3408), ""price""),0
)"),0)</f>
        <v>0</v>
      </c>
      <c r="H3408" s="6">
        <v>30.5</v>
      </c>
      <c r="I3408" s="6">
        <f t="shared" ca="1" si="0"/>
        <v>30.5</v>
      </c>
      <c r="J3408" s="6">
        <f ca="1">IFERROR(__xludf.DUMMYFUNCTION("IFERROR(GOOGLEFINANCE(B3408, ""volume""), 0)"),0)</f>
        <v>0</v>
      </c>
      <c r="K3408" s="9"/>
      <c r="L3408" s="6" t="str">
        <f ca="1">IFERROR(__xludf.DUMMYFUNCTION("IFERROR(GOOGLEFINANCE(B3408,""changepct""),K3408)"),"")</f>
        <v/>
      </c>
      <c r="M3408" s="6">
        <f ca="1">IFERROR(__xludf.DUMMYFUNCTION("IFERROR(GOOGLEFINANCE(B3408,""change""),0)"),0)</f>
        <v>0</v>
      </c>
      <c r="N3408" s="6">
        <v>1</v>
      </c>
      <c r="O3408" s="7">
        <v>45536</v>
      </c>
      <c r="P3408" s="9"/>
      <c r="Q3408" s="6">
        <v>35.299999999999997</v>
      </c>
      <c r="R3408" s="7">
        <v>45352</v>
      </c>
      <c r="S3408" s="6">
        <v>0.33</v>
      </c>
      <c r="T3408" s="6">
        <v>2.52</v>
      </c>
      <c r="U3408" s="7">
        <v>44986</v>
      </c>
      <c r="V3408" s="6">
        <v>5.26</v>
      </c>
      <c r="W3408" s="6">
        <f ca="1">IFERROR(__xludf.DUMMYFUNCTION("IFERROR(GOOGLEFINANCE(B3408,""pe""),V3408)"),5.26)</f>
        <v>5.26</v>
      </c>
      <c r="X3408" s="6">
        <v>0.26</v>
      </c>
      <c r="Y3408" s="6">
        <v>2.2400000000000002</v>
      </c>
      <c r="Z3408" s="6">
        <v>2</v>
      </c>
      <c r="AA3408" s="8">
        <v>45352</v>
      </c>
      <c r="AB3408" s="4">
        <v>0</v>
      </c>
      <c r="AC3408" s="6">
        <v>17.350000000000001</v>
      </c>
      <c r="AD3408" s="6">
        <v>16.68</v>
      </c>
      <c r="AE3408" s="1">
        <v>0</v>
      </c>
      <c r="AF3408" s="1">
        <f ca="1">IFERROR(__xludf.DUMMYFUNCTION("IFERROR(GOOGLEFINANCE(TRIM(F3408)&amp;"":"" &amp; TRIM(B3408),""high52""),AE3408)"),0)</f>
        <v>0</v>
      </c>
      <c r="AG3408" s="1">
        <v>0</v>
      </c>
      <c r="AH3408" s="1">
        <f ca="1">IFERROR(__xludf.DUMMYFUNCTION("IFERROR(GOOGLEFINANCE(TRIM(F3408)&amp;"":"" &amp; TRIM(B3408),""low52""),AE3408)"),0)</f>
        <v>0</v>
      </c>
      <c r="AI3408" s="1">
        <f ca="1">IFERROR(__xludf.DUMMYFUNCTION("IFERROR(GOOGLEFINANCE(B3408,""eps""),0)"),0)</f>
        <v>0</v>
      </c>
      <c r="AJ3408" s="1"/>
      <c r="AK3408" s="1" t="s">
        <v>10446</v>
      </c>
      <c r="AL3408" s="9">
        <f t="shared" si="324"/>
        <v>1</v>
      </c>
    </row>
    <row r="3409" spans="1:38" ht="15" x14ac:dyDescent="0.25">
      <c r="A3409" s="1" t="s">
        <v>10447</v>
      </c>
      <c r="B3409" s="1" t="s">
        <v>10448</v>
      </c>
      <c r="C3409" s="1" t="s">
        <v>1751</v>
      </c>
      <c r="D3409" s="1" t="s">
        <v>1751</v>
      </c>
      <c r="E3409" s="6">
        <v>14102.51</v>
      </c>
      <c r="F3409" s="1" t="s">
        <v>40</v>
      </c>
      <c r="G3409" s="6">
        <f ca="1">IFERROR(__xludf.DUMMYFUNCTION("iferror(GOOGLEFINANCE(TRIM(F3409)&amp;"":"" &amp; TRIM(B3409), ""price""),0
)"),608)</f>
        <v>608</v>
      </c>
      <c r="H3409" s="6">
        <v>1185.3</v>
      </c>
      <c r="I3409" s="6">
        <f t="shared" ca="1" si="0"/>
        <v>608</v>
      </c>
      <c r="J3409" s="6">
        <f ca="1">IFERROR(__xludf.DUMMYFUNCTION("IFERROR(GOOGLEFINANCE(B3409, ""volume""), 0)"),661628)</f>
        <v>661628</v>
      </c>
      <c r="K3409" s="6">
        <v>0.71</v>
      </c>
      <c r="L3409" s="6">
        <f ca="1">IFERROR(__xludf.DUMMYFUNCTION("IFERROR(GOOGLEFINANCE(B3409,""changepct""),K3409)"),-0.35)</f>
        <v>-0.35</v>
      </c>
      <c r="M3409" s="6">
        <f ca="1">IFERROR(__xludf.DUMMYFUNCTION("IFERROR(GOOGLEFINANCE(B3409,""change""),0)"),-2.15)</f>
        <v>-2.15</v>
      </c>
      <c r="N3409" s="6">
        <v>2</v>
      </c>
      <c r="O3409" s="7">
        <v>45536</v>
      </c>
      <c r="P3409" s="6">
        <v>161.38999999999999</v>
      </c>
      <c r="Q3409" s="6">
        <v>14084.83</v>
      </c>
      <c r="R3409" s="7">
        <v>45536</v>
      </c>
      <c r="S3409" s="6">
        <v>2307.0500000000002</v>
      </c>
      <c r="T3409" s="6">
        <v>328.93</v>
      </c>
      <c r="U3409" s="7">
        <v>45536</v>
      </c>
      <c r="V3409" s="6">
        <v>42.87</v>
      </c>
      <c r="W3409" s="6">
        <f ca="1">IFERROR(__xludf.DUMMYFUNCTION("IFERROR(GOOGLEFINANCE(B3409,""pe""),V3409)"),18.3)</f>
        <v>18.3</v>
      </c>
      <c r="X3409" s="6">
        <v>1.67</v>
      </c>
      <c r="Y3409" s="6">
        <v>13.54</v>
      </c>
      <c r="Z3409" s="6">
        <v>2</v>
      </c>
      <c r="AA3409" s="8">
        <v>45352</v>
      </c>
      <c r="AB3409" s="4">
        <v>0.11</v>
      </c>
      <c r="AC3409" s="6">
        <v>24.17</v>
      </c>
      <c r="AD3409" s="6">
        <v>31.51</v>
      </c>
      <c r="AE3409" s="1">
        <v>0</v>
      </c>
      <c r="AF3409" s="1">
        <f ca="1">IFERROR(__xludf.DUMMYFUNCTION("IFERROR(GOOGLEFINANCE(TRIM(F3409)&amp;"":"" &amp; TRIM(B3409),""high52""),AE3409)"),1049)</f>
        <v>1049</v>
      </c>
      <c r="AG3409" s="1">
        <v>0</v>
      </c>
      <c r="AH3409" s="1">
        <f ca="1">IFERROR(__xludf.DUMMYFUNCTION("IFERROR(GOOGLEFINANCE(TRIM(F3409)&amp;"":"" &amp; TRIM(B3409),""low52""),AE3409)"),548.45)</f>
        <v>548.45000000000005</v>
      </c>
      <c r="AI3409" s="1">
        <f ca="1">IFERROR(__xludf.DUMMYFUNCTION("IFERROR(GOOGLEFINANCE(B3409,""eps""),0)"),33.22)</f>
        <v>33.22</v>
      </c>
      <c r="AJ3409" s="1"/>
      <c r="AK3409" s="1" t="s">
        <v>10449</v>
      </c>
      <c r="AL3409" s="9">
        <f t="shared" si="324"/>
        <v>1</v>
      </c>
    </row>
    <row r="3410" spans="1:38" ht="15" x14ac:dyDescent="0.25">
      <c r="A3410" s="1" t="s">
        <v>10450</v>
      </c>
      <c r="B3410" s="1" t="s">
        <v>10451</v>
      </c>
      <c r="C3410" s="1" t="s">
        <v>163</v>
      </c>
      <c r="D3410" s="1" t="s">
        <v>163</v>
      </c>
      <c r="E3410" s="6">
        <v>2571.17</v>
      </c>
      <c r="F3410" s="1" t="s">
        <v>40</v>
      </c>
      <c r="G3410" s="6">
        <f ca="1">IFERROR(__xludf.DUMMYFUNCTION("iferror(GOOGLEFINANCE(TRIM(F3410)&amp;"":"" &amp; TRIM(B3410), ""price""),0
)"),164.11)</f>
        <v>164.11</v>
      </c>
      <c r="H3410" s="6">
        <v>236.6</v>
      </c>
      <c r="I3410" s="6">
        <f t="shared" ca="1" si="0"/>
        <v>164.11</v>
      </c>
      <c r="J3410" s="6">
        <f ca="1">IFERROR(__xludf.DUMMYFUNCTION("IFERROR(GOOGLEFINANCE(B3410, ""volume""), 0)"),115937)</f>
        <v>115937</v>
      </c>
      <c r="K3410" s="6">
        <v>-0.47</v>
      </c>
      <c r="L3410" s="6">
        <f ca="1">IFERROR(__xludf.DUMMYFUNCTION("IFERROR(GOOGLEFINANCE(B3410,""changepct""),K3410)"),-1.23)</f>
        <v>-1.23</v>
      </c>
      <c r="M3410" s="6">
        <f ca="1">IFERROR(__xludf.DUMMYFUNCTION("IFERROR(GOOGLEFINANCE(B3410,""change""),0)"),-2.04)</f>
        <v>-2.04</v>
      </c>
      <c r="N3410" s="6">
        <v>2</v>
      </c>
      <c r="O3410" s="7">
        <v>45536</v>
      </c>
      <c r="P3410" s="6">
        <v>405.69</v>
      </c>
      <c r="Q3410" s="6">
        <v>2940.08</v>
      </c>
      <c r="R3410" s="7">
        <v>45536</v>
      </c>
      <c r="S3410" s="6">
        <v>1006.71</v>
      </c>
      <c r="T3410" s="6">
        <v>52.2</v>
      </c>
      <c r="U3410" s="7">
        <v>45536</v>
      </c>
      <c r="V3410" s="6">
        <v>47.29</v>
      </c>
      <c r="W3410" s="6">
        <f ca="1">IFERROR(__xludf.DUMMYFUNCTION("IFERROR(GOOGLEFINANCE(B3410,""pe""),V3410)"),1925.72)</f>
        <v>1925.72</v>
      </c>
      <c r="X3410" s="6">
        <v>2.19</v>
      </c>
      <c r="Y3410" s="6">
        <v>2.5499999999999998</v>
      </c>
      <c r="Z3410" s="6">
        <v>2</v>
      </c>
      <c r="AA3410" s="8">
        <v>45352</v>
      </c>
      <c r="AB3410" s="4">
        <v>0.31</v>
      </c>
      <c r="AC3410" s="6">
        <v>8.67</v>
      </c>
      <c r="AD3410" s="6">
        <v>12.23</v>
      </c>
      <c r="AE3410" s="1">
        <v>0</v>
      </c>
      <c r="AF3410" s="1">
        <f ca="1">IFERROR(__xludf.DUMMYFUNCTION("IFERROR(GOOGLEFINANCE(TRIM(F3410)&amp;"":"" &amp; TRIM(B3410),""high52""),AE3410)"),274.7)</f>
        <v>274.7</v>
      </c>
      <c r="AG3410" s="1">
        <v>0</v>
      </c>
      <c r="AH3410" s="1">
        <f ca="1">IFERROR(__xludf.DUMMYFUNCTION("IFERROR(GOOGLEFINANCE(TRIM(F3410)&amp;"":"" &amp; TRIM(B3410),""low52""),AE3410)"),160.4)</f>
        <v>160.4</v>
      </c>
      <c r="AI3410" s="1">
        <f ca="1">IFERROR(__xludf.DUMMYFUNCTION("IFERROR(GOOGLEFINANCE(B3410,""eps""),0)"),0.09)</f>
        <v>0.09</v>
      </c>
      <c r="AJ3410" s="1"/>
      <c r="AK3410" s="1" t="s">
        <v>10452</v>
      </c>
      <c r="AL3410" s="9">
        <f t="shared" si="324"/>
        <v>1</v>
      </c>
    </row>
    <row r="3411" spans="1:38" ht="15" x14ac:dyDescent="0.25">
      <c r="A3411" s="1" t="s">
        <v>10453</v>
      </c>
      <c r="B3411" s="1" t="s">
        <v>10454</v>
      </c>
      <c r="C3411" s="1" t="s">
        <v>593</v>
      </c>
      <c r="D3411" s="1" t="s">
        <v>593</v>
      </c>
      <c r="E3411" s="6">
        <v>1040.1099999999999</v>
      </c>
      <c r="F3411" s="1" t="s">
        <v>40</v>
      </c>
      <c r="G3411" s="6">
        <f ca="1">IFERROR(__xludf.DUMMYFUNCTION("iferror(GOOGLEFINANCE(TRIM(F3411)&amp;"":"" &amp; TRIM(B3411), ""price""),0
)"),60.49)</f>
        <v>60.49</v>
      </c>
      <c r="H3411" s="6">
        <v>125.77</v>
      </c>
      <c r="I3411" s="6">
        <f t="shared" ca="1" si="0"/>
        <v>60.49</v>
      </c>
      <c r="J3411" s="6">
        <f ca="1">IFERROR(__xludf.DUMMYFUNCTION("IFERROR(GOOGLEFINANCE(B3411, ""volume""), 0)"),171398)</f>
        <v>171398</v>
      </c>
      <c r="K3411" s="6">
        <v>0.87</v>
      </c>
      <c r="L3411" s="6">
        <f ca="1">IFERROR(__xludf.DUMMYFUNCTION("IFERROR(GOOGLEFINANCE(B3411,""changepct""),K3411)"),-2.37)</f>
        <v>-2.37</v>
      </c>
      <c r="M3411" s="6">
        <f ca="1">IFERROR(__xludf.DUMMYFUNCTION("IFERROR(GOOGLEFINANCE(B3411,""change""),0)"),-1.47)</f>
        <v>-1.47</v>
      </c>
      <c r="N3411" s="6">
        <v>2</v>
      </c>
      <c r="O3411" s="7">
        <v>45536</v>
      </c>
      <c r="P3411" s="6">
        <v>160.4</v>
      </c>
      <c r="Q3411" s="6">
        <v>1178.5899999999999</v>
      </c>
      <c r="R3411" s="7">
        <v>45536</v>
      </c>
      <c r="S3411" s="6">
        <v>563.21</v>
      </c>
      <c r="T3411" s="6">
        <v>-84.62</v>
      </c>
      <c r="U3411" s="7">
        <v>45536</v>
      </c>
      <c r="V3411" s="6">
        <v>0</v>
      </c>
      <c r="W3411" s="6">
        <f ca="1">IFERROR(__xludf.DUMMYFUNCTION("IFERROR(GOOGLEFINANCE(B3411,""pe""),V3411)"),0)</f>
        <v>0</v>
      </c>
      <c r="X3411" s="6">
        <v>0</v>
      </c>
      <c r="Y3411" s="6">
        <v>4.37</v>
      </c>
      <c r="Z3411" s="6">
        <v>2</v>
      </c>
      <c r="AA3411" s="8">
        <v>45352</v>
      </c>
      <c r="AB3411" s="4">
        <v>0.37</v>
      </c>
      <c r="AC3411" s="6">
        <v>-30.21</v>
      </c>
      <c r="AD3411" s="6">
        <v>-15.81</v>
      </c>
      <c r="AE3411" s="1">
        <v>0</v>
      </c>
      <c r="AF3411" s="1">
        <f ca="1">IFERROR(__xludf.DUMMYFUNCTION("IFERROR(GOOGLEFINANCE(TRIM(F3411)&amp;"":"" &amp; TRIM(B3411),""high52""),AE3411)"),141.13)</f>
        <v>141.13</v>
      </c>
      <c r="AG3411" s="1">
        <v>0</v>
      </c>
      <c r="AH3411" s="1">
        <f ca="1">IFERROR(__xludf.DUMMYFUNCTION("IFERROR(GOOGLEFINANCE(TRIM(F3411)&amp;"":"" &amp; TRIM(B3411),""low52""),AE3411)"),54.5)</f>
        <v>54.5</v>
      </c>
      <c r="AI3411" s="1">
        <f ca="1">IFERROR(__xludf.DUMMYFUNCTION("IFERROR(GOOGLEFINANCE(B3411,""eps""),0)"),-7.68)</f>
        <v>-7.68</v>
      </c>
      <c r="AJ3411" s="1"/>
      <c r="AK3411" s="1" t="s">
        <v>10455</v>
      </c>
      <c r="AL3411" s="9">
        <f t="shared" si="324"/>
        <v>1</v>
      </c>
    </row>
    <row r="3412" spans="1:38" ht="15" x14ac:dyDescent="0.25">
      <c r="A3412" s="1" t="s">
        <v>10456</v>
      </c>
      <c r="B3412" s="1" t="s">
        <v>10457</v>
      </c>
      <c r="C3412" s="1" t="s">
        <v>227</v>
      </c>
      <c r="D3412" s="1" t="s">
        <v>227</v>
      </c>
      <c r="E3412" s="6">
        <v>527.73</v>
      </c>
      <c r="F3412" s="1" t="s">
        <v>40</v>
      </c>
      <c r="G3412" s="6">
        <f ca="1">IFERROR(__xludf.DUMMYFUNCTION("iferror(GOOGLEFINANCE(TRIM(F3412)&amp;"":"" &amp; TRIM(B3412), ""price""),0
)"),55)</f>
        <v>55</v>
      </c>
      <c r="H3412" s="6">
        <v>80.67</v>
      </c>
      <c r="I3412" s="6">
        <f t="shared" ca="1" si="0"/>
        <v>55</v>
      </c>
      <c r="J3412" s="6">
        <f ca="1">IFERROR(__xludf.DUMMYFUNCTION("IFERROR(GOOGLEFINANCE(B3412, ""volume""), 0)"),26058)</f>
        <v>26058</v>
      </c>
      <c r="K3412" s="6">
        <v>-2</v>
      </c>
      <c r="L3412" s="6">
        <f ca="1">IFERROR(__xludf.DUMMYFUNCTION("IFERROR(GOOGLEFINANCE(B3412,""changepct""),K3412)"),-0.76)</f>
        <v>-0.76</v>
      </c>
      <c r="M3412" s="6">
        <f ca="1">IFERROR(__xludf.DUMMYFUNCTION("IFERROR(GOOGLEFINANCE(B3412,""change""),0)"),-0.42)</f>
        <v>-0.42</v>
      </c>
      <c r="N3412" s="6">
        <v>1</v>
      </c>
      <c r="O3412" s="7">
        <v>45536</v>
      </c>
      <c r="P3412" s="6">
        <v>9.59</v>
      </c>
      <c r="Q3412" s="6">
        <v>535.02</v>
      </c>
      <c r="R3412" s="7">
        <v>45536</v>
      </c>
      <c r="S3412" s="6">
        <v>356.1</v>
      </c>
      <c r="T3412" s="6">
        <v>10.14</v>
      </c>
      <c r="U3412" s="7">
        <v>45536</v>
      </c>
      <c r="V3412" s="6">
        <v>52.02</v>
      </c>
      <c r="W3412" s="6">
        <f ca="1">IFERROR(__xludf.DUMMYFUNCTION("IFERROR(GOOGLEFINANCE(B3412,""pe""),V3412)"),29.39)</f>
        <v>29.39</v>
      </c>
      <c r="X3412" s="6">
        <v>1.53</v>
      </c>
      <c r="Y3412" s="6">
        <v>5.0599999999999996</v>
      </c>
      <c r="Z3412" s="6">
        <v>1</v>
      </c>
      <c r="AA3412" s="8">
        <v>45352</v>
      </c>
      <c r="AB3412" s="4">
        <v>0.06</v>
      </c>
      <c r="AC3412" s="6">
        <v>6.81</v>
      </c>
      <c r="AD3412" s="6">
        <v>9.01</v>
      </c>
      <c r="AE3412" s="1">
        <v>0</v>
      </c>
      <c r="AF3412" s="1">
        <f ca="1">IFERROR(__xludf.DUMMYFUNCTION("IFERROR(GOOGLEFINANCE(TRIM(F3412)&amp;"":"" &amp; TRIM(B3412),""high52""),AE3412)"),91)</f>
        <v>91</v>
      </c>
      <c r="AG3412" s="1">
        <v>0</v>
      </c>
      <c r="AH3412" s="1">
        <f ca="1">IFERROR(__xludf.DUMMYFUNCTION("IFERROR(GOOGLEFINANCE(TRIM(F3412)&amp;"":"" &amp; TRIM(B3412),""low52""),AE3412)"),52)</f>
        <v>52</v>
      </c>
      <c r="AI3412" s="1">
        <f ca="1">IFERROR(__xludf.DUMMYFUNCTION("IFERROR(GOOGLEFINANCE(B3412,""eps""),0)"),1.87)</f>
        <v>1.87</v>
      </c>
      <c r="AJ3412" s="1"/>
      <c r="AK3412" s="1" t="s">
        <v>10458</v>
      </c>
      <c r="AL3412" s="9">
        <f t="shared" si="324"/>
        <v>1</v>
      </c>
    </row>
    <row r="3413" spans="1:38" ht="15" x14ac:dyDescent="0.25">
      <c r="A3413" s="1" t="s">
        <v>10459</v>
      </c>
      <c r="B3413" s="1" t="s">
        <v>10460</v>
      </c>
      <c r="C3413" s="1" t="s">
        <v>268</v>
      </c>
      <c r="D3413" s="1" t="s">
        <v>268</v>
      </c>
      <c r="E3413" s="6">
        <v>61.99</v>
      </c>
      <c r="F3413" s="1" t="s">
        <v>53</v>
      </c>
      <c r="G3413" s="6">
        <f ca="1">IFERROR(__xludf.DUMMYFUNCTION("iferror(GOOGLEFINANCE(TRIM(F3413)&amp;"":"" &amp; TRIM(B3413), ""price""),0
)"),0)</f>
        <v>0</v>
      </c>
      <c r="H3413" s="6">
        <v>30.25</v>
      </c>
      <c r="I3413" s="6">
        <f t="shared" ca="1" si="0"/>
        <v>30.25</v>
      </c>
      <c r="J3413" s="6">
        <f ca="1">IFERROR(__xludf.DUMMYFUNCTION("IFERROR(GOOGLEFINANCE(B3413, ""volume""), 0)"),0)</f>
        <v>0</v>
      </c>
      <c r="K3413" s="6">
        <v>-1.69</v>
      </c>
      <c r="L3413" s="6">
        <f ca="1">IFERROR(__xludf.DUMMYFUNCTION("IFERROR(GOOGLEFINANCE(B3413,""changepct""),K3413)"),-1.69)</f>
        <v>-1.69</v>
      </c>
      <c r="M3413" s="6">
        <f ca="1">IFERROR(__xludf.DUMMYFUNCTION("IFERROR(GOOGLEFINANCE(B3413,""change""),0)"),0)</f>
        <v>0</v>
      </c>
      <c r="N3413" s="6">
        <v>2</v>
      </c>
      <c r="O3413" s="7">
        <v>45536</v>
      </c>
      <c r="P3413" s="9"/>
      <c r="Q3413" s="6">
        <v>61.99</v>
      </c>
      <c r="R3413" s="15">
        <v>45536</v>
      </c>
      <c r="S3413" s="6">
        <v>12.33</v>
      </c>
      <c r="T3413" s="6">
        <v>8.91</v>
      </c>
      <c r="U3413" s="15">
        <v>45536</v>
      </c>
      <c r="V3413" s="6">
        <v>6.96</v>
      </c>
      <c r="W3413" s="6">
        <f ca="1">IFERROR(__xludf.DUMMYFUNCTION("IFERROR(GOOGLEFINANCE(B3413,""pe""),V3413)"),6.96)</f>
        <v>6.96</v>
      </c>
      <c r="X3413" s="6">
        <v>57.97</v>
      </c>
      <c r="Y3413" s="6">
        <v>0.67</v>
      </c>
      <c r="Z3413" s="6">
        <v>2</v>
      </c>
      <c r="AA3413" s="8">
        <v>45352</v>
      </c>
      <c r="AB3413" s="4">
        <v>0</v>
      </c>
      <c r="AC3413" s="6">
        <v>9.26</v>
      </c>
      <c r="AD3413" s="6">
        <v>11.92</v>
      </c>
      <c r="AE3413" s="1">
        <v>0</v>
      </c>
      <c r="AF3413" s="1">
        <f ca="1">IFERROR(__xludf.DUMMYFUNCTION("IFERROR(GOOGLEFINANCE(TRIM(F3413)&amp;"":"" &amp; TRIM(B3413),""high52""),AE3413)"),0)</f>
        <v>0</v>
      </c>
      <c r="AG3413" s="1">
        <v>0</v>
      </c>
      <c r="AH3413" s="1">
        <f ca="1">IFERROR(__xludf.DUMMYFUNCTION("IFERROR(GOOGLEFINANCE(TRIM(F3413)&amp;"":"" &amp; TRIM(B3413),""low52""),AE3413)"),0)</f>
        <v>0</v>
      </c>
      <c r="AI3413" s="1">
        <f ca="1">IFERROR(__xludf.DUMMYFUNCTION("IFERROR(GOOGLEFINANCE(B3413,""eps""),0)"),0)</f>
        <v>0</v>
      </c>
      <c r="AJ3413" s="1"/>
      <c r="AK3413" s="1" t="s">
        <v>10461</v>
      </c>
      <c r="AL3413" s="9">
        <f t="shared" si="324"/>
        <v>1</v>
      </c>
    </row>
    <row r="3414" spans="1:38" ht="15" x14ac:dyDescent="0.25">
      <c r="A3414" s="1" t="s">
        <v>10462</v>
      </c>
      <c r="B3414" s="1" t="s">
        <v>10463</v>
      </c>
      <c r="C3414" s="1" t="s">
        <v>219</v>
      </c>
      <c r="D3414" s="1" t="s">
        <v>219</v>
      </c>
      <c r="E3414" s="6">
        <v>1707.64</v>
      </c>
      <c r="F3414" s="1" t="s">
        <v>40</v>
      </c>
      <c r="G3414" s="6">
        <f ca="1">IFERROR(__xludf.DUMMYFUNCTION("iferror(GOOGLEFINANCE(TRIM(F3414)&amp;"":"" &amp; TRIM(B3414), ""price""),0
)"),103.21)</f>
        <v>103.21</v>
      </c>
      <c r="H3414" s="6">
        <v>706</v>
      </c>
      <c r="I3414" s="6">
        <f t="shared" ca="1" si="0"/>
        <v>103.21</v>
      </c>
      <c r="J3414" s="6">
        <f ca="1">IFERROR(__xludf.DUMMYFUNCTION("IFERROR(GOOGLEFINANCE(B3414, ""volume""), 0)"),53771)</f>
        <v>53771</v>
      </c>
      <c r="K3414" s="6">
        <v>-0.11</v>
      </c>
      <c r="L3414" s="6">
        <f ca="1">IFERROR(__xludf.DUMMYFUNCTION("IFERROR(GOOGLEFINANCE(B3414,""changepct""),K3414)"),-0.24)</f>
        <v>-0.24</v>
      </c>
      <c r="M3414" s="6">
        <f ca="1">IFERROR(__xludf.DUMMYFUNCTION("IFERROR(GOOGLEFINANCE(B3414,""change""),0)"),-0.25)</f>
        <v>-0.25</v>
      </c>
      <c r="N3414" s="6">
        <v>2</v>
      </c>
      <c r="O3414" s="7">
        <v>45536</v>
      </c>
      <c r="P3414" s="6">
        <v>110.49</v>
      </c>
      <c r="Q3414" s="6">
        <v>1789.76</v>
      </c>
      <c r="R3414" s="7">
        <v>45536</v>
      </c>
      <c r="S3414" s="6">
        <v>5174.1899999999996</v>
      </c>
      <c r="T3414" s="6">
        <v>76.900000000000006</v>
      </c>
      <c r="U3414" s="7">
        <v>45536</v>
      </c>
      <c r="V3414" s="6">
        <v>22.21</v>
      </c>
      <c r="W3414" s="6">
        <f ca="1">IFERROR(__xludf.DUMMYFUNCTION("IFERROR(GOOGLEFINANCE(B3414,""pe""),V3414)"),3.4)</f>
        <v>3.4</v>
      </c>
      <c r="X3414" s="6">
        <v>1.1200000000000001</v>
      </c>
      <c r="Y3414" s="6">
        <v>2.08</v>
      </c>
      <c r="Z3414" s="6">
        <v>2</v>
      </c>
      <c r="AA3414" s="8">
        <v>45352</v>
      </c>
      <c r="AB3414" s="4">
        <v>0.1</v>
      </c>
      <c r="AC3414" s="6">
        <v>11.47</v>
      </c>
      <c r="AD3414" s="6">
        <v>17.48</v>
      </c>
      <c r="AE3414" s="1">
        <v>0</v>
      </c>
      <c r="AF3414" s="1">
        <f ca="1">IFERROR(__xludf.DUMMYFUNCTION("IFERROR(GOOGLEFINANCE(TRIM(F3414)&amp;"":"" &amp; TRIM(B3414),""high52""),AE3414)"),287.93)</f>
        <v>287.93</v>
      </c>
      <c r="AG3414" s="1">
        <v>0</v>
      </c>
      <c r="AH3414" s="1">
        <f ca="1">IFERROR(__xludf.DUMMYFUNCTION("IFERROR(GOOGLEFINANCE(TRIM(F3414)&amp;"":"" &amp; TRIM(B3414),""low52""),AE3414)"),100)</f>
        <v>100</v>
      </c>
      <c r="AI3414" s="1">
        <f ca="1">IFERROR(__xludf.DUMMYFUNCTION("IFERROR(GOOGLEFINANCE(B3414,""eps""),0)"),30.34)</f>
        <v>30.34</v>
      </c>
      <c r="AJ3414" s="1"/>
      <c r="AK3414" s="1" t="s">
        <v>10464</v>
      </c>
      <c r="AL3414" s="9">
        <f t="shared" si="324"/>
        <v>1</v>
      </c>
    </row>
    <row r="3415" spans="1:38" ht="15" x14ac:dyDescent="0.25">
      <c r="A3415" s="1" t="s">
        <v>10465</v>
      </c>
      <c r="B3415" s="1" t="s">
        <v>10466</v>
      </c>
      <c r="C3415" s="1" t="s">
        <v>227</v>
      </c>
      <c r="D3415" s="1" t="s">
        <v>227</v>
      </c>
      <c r="E3415" s="6">
        <v>25.12</v>
      </c>
      <c r="F3415" s="1" t="s">
        <v>40</v>
      </c>
      <c r="G3415" s="6">
        <f ca="1">IFERROR(__xludf.DUMMYFUNCTION("iferror(GOOGLEFINANCE(TRIM(F3415)&amp;"":"" &amp; TRIM(B3415), ""price""),0
)"),0)</f>
        <v>0</v>
      </c>
      <c r="H3415" s="6">
        <v>37.5</v>
      </c>
      <c r="I3415" s="6">
        <f t="shared" ca="1" si="0"/>
        <v>37.5</v>
      </c>
      <c r="J3415" s="6">
        <f ca="1">IFERROR(__xludf.DUMMYFUNCTION("IFERROR(GOOGLEFINANCE(B3415, ""volume""), 0)"),0)</f>
        <v>0</v>
      </c>
      <c r="K3415" s="9"/>
      <c r="L3415" s="6" t="str">
        <f ca="1">IFERROR(__xludf.DUMMYFUNCTION("IFERROR(GOOGLEFINANCE(B3415,""changepct""),K3415)"),"")</f>
        <v/>
      </c>
      <c r="M3415" s="6">
        <f ca="1">IFERROR(__xludf.DUMMYFUNCTION("IFERROR(GOOGLEFINANCE(B3415,""change""),0)"),0)</f>
        <v>0</v>
      </c>
      <c r="N3415" s="6">
        <v>1</v>
      </c>
      <c r="O3415" s="7">
        <v>45536</v>
      </c>
      <c r="P3415" s="6">
        <v>0.15</v>
      </c>
      <c r="Q3415" s="6">
        <v>25.27</v>
      </c>
      <c r="R3415" s="7">
        <v>45352</v>
      </c>
      <c r="S3415" s="6">
        <v>41.33</v>
      </c>
      <c r="T3415" s="6">
        <v>0.28999999999999998</v>
      </c>
      <c r="U3415" s="7">
        <v>45352</v>
      </c>
      <c r="V3415" s="6">
        <v>85.38</v>
      </c>
      <c r="W3415" s="6">
        <f ca="1">IFERROR(__xludf.DUMMYFUNCTION("IFERROR(GOOGLEFINANCE(B3415,""pe""),V3415)"),85.38)</f>
        <v>85.38</v>
      </c>
      <c r="X3415" s="9"/>
      <c r="Y3415" s="6">
        <v>1.19</v>
      </c>
      <c r="Z3415" s="6">
        <v>1</v>
      </c>
      <c r="AA3415" s="8">
        <v>45352</v>
      </c>
      <c r="AB3415" s="4">
        <v>0.01</v>
      </c>
      <c r="AC3415" s="6">
        <v>2.61</v>
      </c>
      <c r="AD3415" s="6">
        <v>4.5</v>
      </c>
      <c r="AE3415" s="1">
        <v>0</v>
      </c>
      <c r="AF3415" s="1">
        <f ca="1">IFERROR(__xludf.DUMMYFUNCTION("IFERROR(GOOGLEFINANCE(TRIM(F3415)&amp;"":"" &amp; TRIM(B3415),""high52""),AE3415)"),0)</f>
        <v>0</v>
      </c>
      <c r="AG3415" s="1">
        <v>0</v>
      </c>
      <c r="AH3415" s="1">
        <f ca="1">IFERROR(__xludf.DUMMYFUNCTION("IFERROR(GOOGLEFINANCE(TRIM(F3415)&amp;"":"" &amp; TRIM(B3415),""low52""),AE3415)"),0)</f>
        <v>0</v>
      </c>
      <c r="AI3415" s="1">
        <f ca="1">IFERROR(__xludf.DUMMYFUNCTION("IFERROR(GOOGLEFINANCE(B3415,""eps""),0)"),0)</f>
        <v>0</v>
      </c>
      <c r="AJ3415" s="1"/>
      <c r="AK3415" s="1" t="s">
        <v>10467</v>
      </c>
      <c r="AL3415" s="9">
        <f t="shared" si="324"/>
        <v>1</v>
      </c>
    </row>
    <row r="3416" spans="1:38" ht="15" x14ac:dyDescent="0.25">
      <c r="A3416" s="1" t="s">
        <v>10468</v>
      </c>
      <c r="B3416" s="1" t="s">
        <v>10469</v>
      </c>
      <c r="C3416" s="1" t="s">
        <v>355</v>
      </c>
      <c r="D3416" s="1" t="s">
        <v>355</v>
      </c>
      <c r="E3416" s="6">
        <v>3864.56</v>
      </c>
      <c r="F3416" s="1" t="s">
        <v>40</v>
      </c>
      <c r="G3416" s="6">
        <f ca="1">IFERROR(__xludf.DUMMYFUNCTION("iferror(GOOGLEFINANCE(TRIM(F3416)&amp;"":"" &amp; TRIM(B3416), ""price""),0
)"),456.75)</f>
        <v>456.75</v>
      </c>
      <c r="H3416" s="6">
        <v>517.25</v>
      </c>
      <c r="I3416" s="6">
        <f t="shared" ca="1" si="0"/>
        <v>456.75</v>
      </c>
      <c r="J3416" s="6">
        <f ca="1">IFERROR(__xludf.DUMMYFUNCTION("IFERROR(GOOGLEFINANCE(B3416, ""volume""), 0)"),7233)</f>
        <v>7233</v>
      </c>
      <c r="K3416" s="6">
        <v>2.84</v>
      </c>
      <c r="L3416" s="6">
        <f ca="1">IFERROR(__xludf.DUMMYFUNCTION("IFERROR(GOOGLEFINANCE(B3416,""changepct""),K3416)"),1.49)</f>
        <v>1.49</v>
      </c>
      <c r="M3416" s="6">
        <f ca="1">IFERROR(__xludf.DUMMYFUNCTION("IFERROR(GOOGLEFINANCE(B3416,""change""),0)"),6.7)</f>
        <v>6.7</v>
      </c>
      <c r="N3416" s="6">
        <v>1</v>
      </c>
      <c r="O3416" s="7">
        <v>45536</v>
      </c>
      <c r="P3416" s="9"/>
      <c r="Q3416" s="6">
        <v>3845.15</v>
      </c>
      <c r="R3416" s="7">
        <v>45536</v>
      </c>
      <c r="S3416" s="6">
        <v>573.08000000000004</v>
      </c>
      <c r="T3416" s="6">
        <v>90.4</v>
      </c>
      <c r="U3416" s="7">
        <v>45536</v>
      </c>
      <c r="V3416" s="6">
        <v>42.75</v>
      </c>
      <c r="W3416" s="6">
        <f ca="1">IFERROR(__xludf.DUMMYFUNCTION("IFERROR(GOOGLEFINANCE(B3416,""pe""),V3416)"),42.3)</f>
        <v>42.3</v>
      </c>
      <c r="X3416" s="6">
        <v>2.16</v>
      </c>
      <c r="Y3416" s="6">
        <v>10.25</v>
      </c>
      <c r="Z3416" s="6">
        <v>1</v>
      </c>
      <c r="AA3416" s="8">
        <v>45352</v>
      </c>
      <c r="AB3416" s="4">
        <v>0</v>
      </c>
      <c r="AC3416" s="6">
        <v>25.4</v>
      </c>
      <c r="AD3416" s="6">
        <v>34.020000000000003</v>
      </c>
      <c r="AE3416" s="1">
        <v>0</v>
      </c>
      <c r="AF3416" s="1">
        <f ca="1">IFERROR(__xludf.DUMMYFUNCTION("IFERROR(GOOGLEFINANCE(TRIM(F3416)&amp;"":"" &amp; TRIM(B3416),""high52""),AE3416)"),619.8)</f>
        <v>619.79999999999995</v>
      </c>
      <c r="AG3416" s="1">
        <v>0</v>
      </c>
      <c r="AH3416" s="1">
        <f ca="1">IFERROR(__xludf.DUMMYFUNCTION("IFERROR(GOOGLEFINANCE(TRIM(F3416)&amp;"":"" &amp; TRIM(B3416),""low52""),AE3416)"),395)</f>
        <v>395</v>
      </c>
      <c r="AI3416" s="1">
        <f ca="1">IFERROR(__xludf.DUMMYFUNCTION("IFERROR(GOOGLEFINANCE(B3416,""eps""),0)"),10.8)</f>
        <v>10.8</v>
      </c>
      <c r="AJ3416" s="1"/>
      <c r="AK3416" s="9"/>
      <c r="AL3416" s="1" t="b">
        <f>ISBLANK(AB3416)</f>
        <v>0</v>
      </c>
    </row>
    <row r="3417" spans="1:38" ht="15" x14ac:dyDescent="0.25">
      <c r="A3417" s="1" t="s">
        <v>10470</v>
      </c>
      <c r="B3417" s="1" t="s">
        <v>10471</v>
      </c>
      <c r="C3417" s="1" t="s">
        <v>4100</v>
      </c>
      <c r="D3417" s="1" t="s">
        <v>4100</v>
      </c>
      <c r="E3417" s="6">
        <v>20.190000000000001</v>
      </c>
      <c r="F3417" s="1" t="s">
        <v>40</v>
      </c>
      <c r="G3417" s="6">
        <f ca="1">IFERROR(__xludf.DUMMYFUNCTION("iferror(GOOGLEFINANCE(TRIM(F3417)&amp;"":"" &amp; TRIM(B3417), ""price""),0
)"),6.97)</f>
        <v>6.97</v>
      </c>
      <c r="H3417" s="6">
        <v>18.96</v>
      </c>
      <c r="I3417" s="6">
        <f t="shared" ca="1" si="0"/>
        <v>6.97</v>
      </c>
      <c r="J3417" s="6">
        <f ca="1">IFERROR(__xludf.DUMMYFUNCTION("IFERROR(GOOGLEFINANCE(B3417, ""volume""), 0)"),30149)</f>
        <v>30149</v>
      </c>
      <c r="K3417" s="6">
        <v>4.29</v>
      </c>
      <c r="L3417" s="6">
        <f ca="1">IFERROR(__xludf.DUMMYFUNCTION("IFERROR(GOOGLEFINANCE(B3417,""changepct""),K3417)"),-2.38)</f>
        <v>-2.38</v>
      </c>
      <c r="M3417" s="6">
        <f ca="1">IFERROR(__xludf.DUMMYFUNCTION("IFERROR(GOOGLEFINANCE(B3417,""change""),0)"),-0.17)</f>
        <v>-0.17</v>
      </c>
      <c r="N3417" s="6">
        <v>2</v>
      </c>
      <c r="O3417" s="7">
        <v>45536</v>
      </c>
      <c r="P3417" s="6">
        <v>0.23</v>
      </c>
      <c r="Q3417" s="6">
        <v>20.420000000000002</v>
      </c>
      <c r="R3417" s="7">
        <v>45536</v>
      </c>
      <c r="S3417" s="6">
        <v>7.94</v>
      </c>
      <c r="T3417" s="6">
        <v>-1.4</v>
      </c>
      <c r="U3417" s="7">
        <v>45536</v>
      </c>
      <c r="V3417" s="6">
        <v>0</v>
      </c>
      <c r="W3417" s="6">
        <f ca="1">IFERROR(__xludf.DUMMYFUNCTION("IFERROR(GOOGLEFINANCE(B3417,""pe""),V3417)"),0)</f>
        <v>0</v>
      </c>
      <c r="X3417" s="9"/>
      <c r="Y3417" s="6">
        <v>1.54</v>
      </c>
      <c r="Z3417" s="6">
        <v>2</v>
      </c>
      <c r="AA3417" s="8">
        <v>45352</v>
      </c>
      <c r="AB3417" s="4">
        <v>0.05</v>
      </c>
      <c r="AC3417" s="6">
        <v>-10.39</v>
      </c>
      <c r="AD3417" s="6">
        <v>-12.05</v>
      </c>
      <c r="AE3417" s="1">
        <v>0</v>
      </c>
      <c r="AF3417" s="1">
        <f ca="1">IFERROR(__xludf.DUMMYFUNCTION("IFERROR(GOOGLEFINANCE(TRIM(F3417)&amp;"":"" &amp; TRIM(B3417),""high52""),AE3417)"),23.87)</f>
        <v>23.87</v>
      </c>
      <c r="AG3417" s="1">
        <v>0</v>
      </c>
      <c r="AH3417" s="1">
        <f ca="1">IFERROR(__xludf.DUMMYFUNCTION("IFERROR(GOOGLEFINANCE(TRIM(F3417)&amp;"":"" &amp; TRIM(B3417),""low52""),AE3417)"),6.72)</f>
        <v>6.72</v>
      </c>
      <c r="AI3417" s="1">
        <f ca="1">IFERROR(__xludf.DUMMYFUNCTION("IFERROR(GOOGLEFINANCE(B3417,""eps""),0)"),-1.86)</f>
        <v>-1.86</v>
      </c>
      <c r="AJ3417" s="1"/>
      <c r="AK3417" s="1" t="s">
        <v>10472</v>
      </c>
      <c r="AL3417" s="9">
        <f t="shared" ref="AL3417:AL3420" si="325">IF(AA3417&lt;&gt;AB3417,1,0)</f>
        <v>1</v>
      </c>
    </row>
    <row r="3418" spans="1:38" ht="15" x14ac:dyDescent="0.25">
      <c r="A3418" s="1" t="s">
        <v>10473</v>
      </c>
      <c r="B3418" s="1" t="s">
        <v>10474</v>
      </c>
      <c r="C3418" s="1" t="s">
        <v>268</v>
      </c>
      <c r="D3418" s="1" t="s">
        <v>268</v>
      </c>
      <c r="E3418" s="6">
        <v>35.96</v>
      </c>
      <c r="F3418" s="1" t="s">
        <v>53</v>
      </c>
      <c r="G3418" s="6">
        <f ca="1">IFERROR(__xludf.DUMMYFUNCTION("iferror(GOOGLEFINANCE(TRIM(F3418)&amp;"":"" &amp; TRIM(B3418), ""price""),0
)"),0)</f>
        <v>0</v>
      </c>
      <c r="H3418" s="6">
        <v>23.8</v>
      </c>
      <c r="I3418" s="6">
        <f t="shared" ca="1" si="0"/>
        <v>23.8</v>
      </c>
      <c r="J3418" s="6">
        <f ca="1">IFERROR(__xludf.DUMMYFUNCTION("IFERROR(GOOGLEFINANCE(B3418, ""volume""), 0)"),0)</f>
        <v>0</v>
      </c>
      <c r="K3418" s="6">
        <v>-0.96</v>
      </c>
      <c r="L3418" s="6">
        <f ca="1">IFERROR(__xludf.DUMMYFUNCTION("IFERROR(GOOGLEFINANCE(B3418,""changepct""),K3418)"),-0.96)</f>
        <v>-0.96</v>
      </c>
      <c r="M3418" s="6">
        <f ca="1">IFERROR(__xludf.DUMMYFUNCTION("IFERROR(GOOGLEFINANCE(B3418,""change""),0)"),0)</f>
        <v>0</v>
      </c>
      <c r="N3418" s="6">
        <v>1</v>
      </c>
      <c r="O3418" s="7">
        <v>45536</v>
      </c>
      <c r="P3418" s="12"/>
      <c r="Q3418" s="6">
        <v>35.96</v>
      </c>
      <c r="R3418" s="7">
        <v>45536</v>
      </c>
      <c r="S3418" s="6">
        <v>11.8</v>
      </c>
      <c r="T3418" s="6">
        <v>0.94</v>
      </c>
      <c r="U3418" s="7">
        <v>45536</v>
      </c>
      <c r="V3418" s="6">
        <v>38.33</v>
      </c>
      <c r="W3418" s="6">
        <f ca="1">IFERROR(__xludf.DUMMYFUNCTION("IFERROR(GOOGLEFINANCE(B3418,""pe""),V3418)"),38.33)</f>
        <v>38.33</v>
      </c>
      <c r="X3418" s="6">
        <v>-4.5</v>
      </c>
      <c r="Y3418" s="6">
        <v>0.56000000000000005</v>
      </c>
      <c r="Z3418" s="6">
        <v>1</v>
      </c>
      <c r="AA3418" s="8">
        <v>45352</v>
      </c>
      <c r="AB3418" s="4">
        <v>0</v>
      </c>
      <c r="AC3418" s="6">
        <v>0.52</v>
      </c>
      <c r="AD3418" s="6">
        <v>0.46</v>
      </c>
      <c r="AE3418" s="1">
        <v>0</v>
      </c>
      <c r="AF3418" s="1">
        <f ca="1">IFERROR(__xludf.DUMMYFUNCTION("IFERROR(GOOGLEFINANCE(TRIM(F3418)&amp;"":"" &amp; TRIM(B3418),""high52""),AE3418)"),0)</f>
        <v>0</v>
      </c>
      <c r="AG3418" s="1">
        <v>0</v>
      </c>
      <c r="AH3418" s="1">
        <f ca="1">IFERROR(__xludf.DUMMYFUNCTION("IFERROR(GOOGLEFINANCE(TRIM(F3418)&amp;"":"" &amp; TRIM(B3418),""low52""),AE3418)"),0)</f>
        <v>0</v>
      </c>
      <c r="AI3418" s="1">
        <f ca="1">IFERROR(__xludf.DUMMYFUNCTION("IFERROR(GOOGLEFINANCE(B3418,""eps""),0)"),0)</f>
        <v>0</v>
      </c>
      <c r="AJ3418" s="1"/>
      <c r="AK3418" s="9"/>
      <c r="AL3418" s="9">
        <f t="shared" si="325"/>
        <v>1</v>
      </c>
    </row>
    <row r="3419" spans="1:38" ht="15" x14ac:dyDescent="0.25">
      <c r="A3419" s="1" t="s">
        <v>10475</v>
      </c>
      <c r="B3419" s="1" t="s">
        <v>10476</v>
      </c>
      <c r="C3419" s="1" t="s">
        <v>268</v>
      </c>
      <c r="D3419" s="1" t="s">
        <v>268</v>
      </c>
      <c r="E3419" s="6">
        <v>14803.53</v>
      </c>
      <c r="F3419" s="1" t="s">
        <v>53</v>
      </c>
      <c r="G3419" s="6">
        <f ca="1">IFERROR(__xludf.DUMMYFUNCTION("iferror(GOOGLEFINANCE(TRIM(F3419)&amp;"":"" &amp; TRIM(B3419), ""price""),0
)"),0)</f>
        <v>0</v>
      </c>
      <c r="H3419" s="6">
        <v>1394.9</v>
      </c>
      <c r="I3419" s="6">
        <f t="shared" ca="1" si="0"/>
        <v>1394.9</v>
      </c>
      <c r="J3419" s="6">
        <f ca="1">IFERROR(__xludf.DUMMYFUNCTION("IFERROR(GOOGLEFINANCE(B3419, ""volume""), 0)"),244292)</f>
        <v>244292</v>
      </c>
      <c r="K3419" s="6">
        <v>-1.77</v>
      </c>
      <c r="L3419" s="6">
        <f ca="1">IFERROR(__xludf.DUMMYFUNCTION("IFERROR(GOOGLEFINANCE(B3419,""changepct""),K3419)"),0.98)</f>
        <v>0.98</v>
      </c>
      <c r="M3419" s="6">
        <f ca="1">IFERROR(__xludf.DUMMYFUNCTION("IFERROR(GOOGLEFINANCE(B3419,""change""),0)"),8.7)</f>
        <v>8.6999999999999993</v>
      </c>
      <c r="N3419" s="6">
        <v>2</v>
      </c>
      <c r="O3419" s="7">
        <v>45536</v>
      </c>
      <c r="P3419" s="6">
        <v>32.44</v>
      </c>
      <c r="Q3419" s="6">
        <v>14645.03</v>
      </c>
      <c r="R3419" s="7">
        <v>45536</v>
      </c>
      <c r="S3419" s="6">
        <v>1358.26</v>
      </c>
      <c r="T3419" s="6">
        <v>200.32</v>
      </c>
      <c r="U3419" s="7">
        <v>45536</v>
      </c>
      <c r="V3419" s="6">
        <v>73.819999999999993</v>
      </c>
      <c r="W3419" s="6">
        <f ca="1">IFERROR(__xludf.DUMMYFUNCTION("IFERROR(GOOGLEFINANCE(B3419,""pe""),V3419)"),22.58)</f>
        <v>22.58</v>
      </c>
      <c r="X3419" s="6">
        <v>0.53</v>
      </c>
      <c r="Y3419" s="6">
        <v>46.47</v>
      </c>
      <c r="Z3419" s="6">
        <v>2</v>
      </c>
      <c r="AA3419" s="8">
        <v>45352</v>
      </c>
      <c r="AB3419" s="4">
        <v>0.18</v>
      </c>
      <c r="AC3419" s="6">
        <v>94.02</v>
      </c>
      <c r="AD3419" s="6">
        <v>103.22</v>
      </c>
      <c r="AE3419" s="1">
        <v>0</v>
      </c>
      <c r="AF3419" s="1">
        <f ca="1">IFERROR(__xludf.DUMMYFUNCTION("IFERROR(GOOGLEFINANCE(TRIM(F3419)&amp;"":"" &amp; TRIM(B3419),""high52""),AE3419)"),0)</f>
        <v>0</v>
      </c>
      <c r="AG3419" s="1">
        <v>0</v>
      </c>
      <c r="AH3419" s="1">
        <f ca="1">IFERROR(__xludf.DUMMYFUNCTION("IFERROR(GOOGLEFINANCE(TRIM(F3419)&amp;"":"" &amp; TRIM(B3419),""low52""),AE3419)"),0)</f>
        <v>0</v>
      </c>
      <c r="AI3419" s="1">
        <f ca="1">IFERROR(__xludf.DUMMYFUNCTION("IFERROR(GOOGLEFINANCE(B3419,""eps""),0)"),39.91)</f>
        <v>39.909999999999997</v>
      </c>
      <c r="AJ3419" s="1"/>
      <c r="AK3419" s="1" t="s">
        <v>10477</v>
      </c>
      <c r="AL3419" s="9">
        <f t="shared" si="325"/>
        <v>1</v>
      </c>
    </row>
    <row r="3420" spans="1:38" ht="15" x14ac:dyDescent="0.25">
      <c r="A3420" s="1" t="s">
        <v>10478</v>
      </c>
      <c r="B3420" s="1" t="s">
        <v>10479</v>
      </c>
      <c r="C3420" s="1" t="s">
        <v>697</v>
      </c>
      <c r="D3420" s="1" t="s">
        <v>697</v>
      </c>
      <c r="E3420" s="6">
        <v>7463.04</v>
      </c>
      <c r="F3420" s="1" t="s">
        <v>40</v>
      </c>
      <c r="G3420" s="6">
        <f ca="1">IFERROR(__xludf.DUMMYFUNCTION("iferror(GOOGLEFINANCE(TRIM(F3420)&amp;"":"" &amp; TRIM(B3420), ""price""),0
)"),1116.6)</f>
        <v>1116.5999999999999</v>
      </c>
      <c r="H3420" s="6">
        <v>825</v>
      </c>
      <c r="I3420" s="6">
        <f t="shared" ca="1" si="0"/>
        <v>1116.5999999999999</v>
      </c>
      <c r="J3420" s="6">
        <f ca="1">IFERROR(__xludf.DUMMYFUNCTION("IFERROR(GOOGLEFINANCE(B3420, ""volume""), 0)"),5334736)</f>
        <v>5334736</v>
      </c>
      <c r="K3420" s="6">
        <v>-0.26</v>
      </c>
      <c r="L3420" s="6">
        <f ca="1">IFERROR(__xludf.DUMMYFUNCTION("IFERROR(GOOGLEFINANCE(B3420,""changepct""),K3420)"),13.04)</f>
        <v>13.04</v>
      </c>
      <c r="M3420" s="6">
        <f ca="1">IFERROR(__xludf.DUMMYFUNCTION("IFERROR(GOOGLEFINANCE(B3420,""change""),0)"),128.8)</f>
        <v>128.80000000000001</v>
      </c>
      <c r="N3420" s="6">
        <v>2</v>
      </c>
      <c r="O3420" s="7">
        <v>45536</v>
      </c>
      <c r="P3420" s="6">
        <v>0.69</v>
      </c>
      <c r="Q3420" s="6">
        <v>7229.3</v>
      </c>
      <c r="R3420" s="7">
        <v>45536</v>
      </c>
      <c r="S3420" s="6">
        <v>3506.51</v>
      </c>
      <c r="T3420" s="6">
        <v>217.8</v>
      </c>
      <c r="U3420" s="7">
        <v>45536</v>
      </c>
      <c r="V3420" s="6">
        <v>34.270000000000003</v>
      </c>
      <c r="W3420" s="6">
        <f ca="1">IFERROR(__xludf.DUMMYFUNCTION("IFERROR(GOOGLEFINANCE(B3420,""pe""),V3420)"),17.8)</f>
        <v>17.8</v>
      </c>
      <c r="X3420" s="6">
        <v>-1.18</v>
      </c>
      <c r="Y3420" s="6">
        <v>3.25</v>
      </c>
      <c r="Z3420" s="6">
        <v>2</v>
      </c>
      <c r="AA3420" s="8">
        <v>45352</v>
      </c>
      <c r="AB3420" s="4">
        <v>0</v>
      </c>
      <c r="AC3420" s="6">
        <v>1.43</v>
      </c>
      <c r="AD3420" s="6">
        <v>4.29</v>
      </c>
      <c r="AE3420" s="1">
        <v>0</v>
      </c>
      <c r="AF3420" s="1">
        <f ca="1">IFERROR(__xludf.DUMMYFUNCTION("IFERROR(GOOGLEFINANCE(TRIM(F3420)&amp;"":"" &amp; TRIM(B3420),""high52""),AE3420)"),1181)</f>
        <v>1181</v>
      </c>
      <c r="AG3420" s="1">
        <v>0</v>
      </c>
      <c r="AH3420" s="1">
        <f ca="1">IFERROR(__xludf.DUMMYFUNCTION("IFERROR(GOOGLEFINANCE(TRIM(F3420)&amp;"":"" &amp; TRIM(B3420),""low52""),AE3420)"),452.25)</f>
        <v>452.25</v>
      </c>
      <c r="AI3420" s="1">
        <f ca="1">IFERROR(__xludf.DUMMYFUNCTION("IFERROR(GOOGLEFINANCE(B3420,""eps""),0)"),62.75)</f>
        <v>62.75</v>
      </c>
      <c r="AJ3420" s="1"/>
      <c r="AK3420" s="1" t="s">
        <v>10480</v>
      </c>
      <c r="AL3420" s="9">
        <f t="shared" si="325"/>
        <v>1</v>
      </c>
    </row>
    <row r="3421" spans="1:38" ht="15" x14ac:dyDescent="0.25">
      <c r="A3421" s="1" t="s">
        <v>10481</v>
      </c>
      <c r="B3421" s="1" t="s">
        <v>10482</v>
      </c>
      <c r="C3421" s="1" t="s">
        <v>355</v>
      </c>
      <c r="D3421" s="1" t="s">
        <v>355</v>
      </c>
      <c r="E3421" s="6">
        <v>5480.57</v>
      </c>
      <c r="F3421" s="1" t="s">
        <v>40</v>
      </c>
      <c r="G3421" s="6">
        <f ca="1">IFERROR(__xludf.DUMMYFUNCTION("iferror(GOOGLEFINANCE(TRIM(F3421)&amp;"":"" &amp; TRIM(B3421), ""price""),0
)"),854.9)</f>
        <v>854.9</v>
      </c>
      <c r="H3421" s="6">
        <v>1910</v>
      </c>
      <c r="I3421" s="6">
        <f t="shared" ca="1" si="0"/>
        <v>854.9</v>
      </c>
      <c r="J3421" s="6">
        <f ca="1">IFERROR(__xludf.DUMMYFUNCTION("IFERROR(GOOGLEFINANCE(B3421, ""volume""), 0)"),35630)</f>
        <v>35630</v>
      </c>
      <c r="K3421" s="6">
        <v>0.1</v>
      </c>
      <c r="L3421" s="6">
        <f ca="1">IFERROR(__xludf.DUMMYFUNCTION("IFERROR(GOOGLEFINANCE(B3421,""changepct""),K3421)"),1.06)</f>
        <v>1.06</v>
      </c>
      <c r="M3421" s="6">
        <f ca="1">IFERROR(__xludf.DUMMYFUNCTION("IFERROR(GOOGLEFINANCE(B3421,""change""),0)"),9)</f>
        <v>9</v>
      </c>
      <c r="N3421" s="6">
        <v>2</v>
      </c>
      <c r="O3421" s="7">
        <v>45536</v>
      </c>
      <c r="P3421" s="9"/>
      <c r="Q3421" s="6">
        <v>5301.84</v>
      </c>
      <c r="R3421" s="7">
        <v>45536</v>
      </c>
      <c r="S3421" s="6">
        <v>2789.23</v>
      </c>
      <c r="T3421" s="6">
        <v>316.05</v>
      </c>
      <c r="U3421" s="7">
        <v>45536</v>
      </c>
      <c r="V3421" s="6">
        <v>17.14</v>
      </c>
      <c r="W3421" s="6">
        <f ca="1">IFERROR(__xludf.DUMMYFUNCTION("IFERROR(GOOGLEFINANCE(B3421,""pe""),V3421)"),14.68)</f>
        <v>14.68</v>
      </c>
      <c r="X3421" s="6">
        <v>0.66</v>
      </c>
      <c r="Y3421" s="6">
        <v>6.07</v>
      </c>
      <c r="Z3421" s="6">
        <v>2</v>
      </c>
      <c r="AA3421" s="8">
        <v>45352</v>
      </c>
      <c r="AB3421" s="4">
        <v>0</v>
      </c>
      <c r="AC3421" s="6">
        <v>33.97</v>
      </c>
      <c r="AD3421" s="6">
        <v>45.52</v>
      </c>
      <c r="AE3421" s="1">
        <v>0</v>
      </c>
      <c r="AF3421" s="1">
        <f ca="1">IFERROR(__xludf.DUMMYFUNCTION("IFERROR(GOOGLEFINANCE(TRIM(F3421)&amp;"":"" &amp; TRIM(B3421),""high52""),AE3421)"),1248)</f>
        <v>1248</v>
      </c>
      <c r="AG3421" s="1">
        <v>0</v>
      </c>
      <c r="AH3421" s="1">
        <f ca="1">IFERROR(__xludf.DUMMYFUNCTION("IFERROR(GOOGLEFINANCE(TRIM(F3421)&amp;"":"" &amp; TRIM(B3421),""low52""),AE3421)"),625)</f>
        <v>625</v>
      </c>
      <c r="AI3421" s="1">
        <f ca="1">IFERROR(__xludf.DUMMYFUNCTION("IFERROR(GOOGLEFINANCE(B3421,""eps""),0)"),58.24)</f>
        <v>58.24</v>
      </c>
      <c r="AJ3421" s="1"/>
      <c r="AK3421" s="1" t="s">
        <v>10483</v>
      </c>
      <c r="AL3421" s="1" t="b">
        <f>ISNUMBER(AA3421)</f>
        <v>1</v>
      </c>
    </row>
    <row r="3422" spans="1:38" ht="15" x14ac:dyDescent="0.25">
      <c r="A3422" s="1" t="s">
        <v>10484</v>
      </c>
      <c r="B3422" s="1" t="s">
        <v>10485</v>
      </c>
      <c r="C3422" s="1" t="s">
        <v>75</v>
      </c>
      <c r="D3422" s="1" t="s">
        <v>75</v>
      </c>
      <c r="E3422" s="6">
        <v>6640.42</v>
      </c>
      <c r="F3422" s="1" t="s">
        <v>40</v>
      </c>
      <c r="G3422" s="6">
        <f ca="1">IFERROR(__xludf.DUMMYFUNCTION("iferror(GOOGLEFINANCE(TRIM(F3422)&amp;"":"" &amp; TRIM(B3422), ""price""),0
)"),136.77)</f>
        <v>136.77000000000001</v>
      </c>
      <c r="H3422" s="6">
        <v>300.85000000000002</v>
      </c>
      <c r="I3422" s="6">
        <f t="shared" ca="1" si="0"/>
        <v>136.77000000000001</v>
      </c>
      <c r="J3422" s="6">
        <f ca="1">IFERROR(__xludf.DUMMYFUNCTION("IFERROR(GOOGLEFINANCE(B3422, ""volume""), 0)"),497904)</f>
        <v>497904</v>
      </c>
      <c r="K3422" s="6">
        <v>-1.1299999999999999</v>
      </c>
      <c r="L3422" s="6">
        <f ca="1">IFERROR(__xludf.DUMMYFUNCTION("IFERROR(GOOGLEFINANCE(B3422,""changepct""),K3422)"),-0.52)</f>
        <v>-0.52</v>
      </c>
      <c r="M3422" s="6">
        <f ca="1">IFERROR(__xludf.DUMMYFUNCTION("IFERROR(GOOGLEFINANCE(B3422,""change""),0)"),-0.72)</f>
        <v>-0.72</v>
      </c>
      <c r="N3422" s="6">
        <v>2</v>
      </c>
      <c r="O3422" s="7">
        <v>45536</v>
      </c>
      <c r="P3422" s="6">
        <v>458.09</v>
      </c>
      <c r="Q3422" s="7">
        <v>45536</v>
      </c>
      <c r="R3422" s="6">
        <v>14.51</v>
      </c>
      <c r="S3422" s="6">
        <v>0.19</v>
      </c>
      <c r="T3422" s="6">
        <v>2.94</v>
      </c>
      <c r="U3422" s="6">
        <v>2</v>
      </c>
      <c r="V3422" s="7">
        <v>45352</v>
      </c>
      <c r="W3422" s="6">
        <f ca="1">IFERROR(__xludf.DUMMYFUNCTION("IFERROR(GOOGLEFINANCE(B3422,""pe""),V3422)"),10.57)</f>
        <v>10.57</v>
      </c>
      <c r="X3422" s="6">
        <v>0.24</v>
      </c>
      <c r="Y3422" s="6">
        <v>34.93</v>
      </c>
      <c r="Z3422" s="6">
        <v>38.9</v>
      </c>
      <c r="AA3422" s="3" t="s">
        <v>10486</v>
      </c>
      <c r="AB3422" s="3"/>
      <c r="AC3422" s="9"/>
      <c r="AD3422" s="9"/>
      <c r="AE3422" s="1">
        <v>0</v>
      </c>
      <c r="AF3422" s="1">
        <f ca="1">IFERROR(__xludf.DUMMYFUNCTION("IFERROR(GOOGLEFINANCE(TRIM(F3422)&amp;"":"" &amp; TRIM(B3422),""high52""),AE3422)"),241.05)</f>
        <v>241.05</v>
      </c>
      <c r="AG3422" s="1">
        <v>0</v>
      </c>
      <c r="AH3422" s="1">
        <f ca="1">IFERROR(__xludf.DUMMYFUNCTION("IFERROR(GOOGLEFINANCE(TRIM(F3422)&amp;"":"" &amp; TRIM(B3422),""low52""),AE3422)"),127.5)</f>
        <v>127.5</v>
      </c>
      <c r="AI3422" s="1">
        <f ca="1">IFERROR(__xludf.DUMMYFUNCTION("IFERROR(GOOGLEFINANCE(B3422,""eps""),0)"),12.94)</f>
        <v>12.94</v>
      </c>
      <c r="AJ3422" s="1"/>
      <c r="AK3422" s="1" t="s">
        <v>10487</v>
      </c>
      <c r="AL3422" s="9">
        <f>IF(AA3422&lt;&gt;AB3422,1,0)</f>
        <v>1</v>
      </c>
    </row>
    <row r="3423" spans="1:38" ht="15" x14ac:dyDescent="0.25">
      <c r="A3423" s="1" t="s">
        <v>10488</v>
      </c>
      <c r="B3423" s="1" t="s">
        <v>10489</v>
      </c>
      <c r="C3423" s="1" t="s">
        <v>521</v>
      </c>
      <c r="D3423" s="1" t="s">
        <v>521</v>
      </c>
      <c r="E3423" s="6">
        <v>143.93</v>
      </c>
      <c r="F3423" s="1" t="s">
        <v>40</v>
      </c>
      <c r="G3423" s="6">
        <f ca="1">IFERROR(__xludf.DUMMYFUNCTION("iferror(GOOGLEFINANCE(TRIM(F3423)&amp;"":"" &amp; TRIM(B3423), ""price""),0
)"),0)</f>
        <v>0</v>
      </c>
      <c r="H3423" s="6">
        <v>125.05</v>
      </c>
      <c r="I3423" s="6">
        <f t="shared" ca="1" si="0"/>
        <v>125.05</v>
      </c>
      <c r="J3423" s="6">
        <f ca="1">IFERROR(__xludf.DUMMYFUNCTION("IFERROR(GOOGLEFINANCE(B3423, ""volume""), 0)"),0)</f>
        <v>0</v>
      </c>
      <c r="K3423" s="12"/>
      <c r="L3423" s="6" t="str">
        <f ca="1">IFERROR(__xludf.DUMMYFUNCTION("IFERROR(GOOGLEFINANCE(B3423,""changepct""),K3423)"),"")</f>
        <v/>
      </c>
      <c r="M3423" s="6">
        <f ca="1">IFERROR(__xludf.DUMMYFUNCTION("IFERROR(GOOGLEFINANCE(B3423,""change""),0)"),0)</f>
        <v>0</v>
      </c>
      <c r="N3423" s="6">
        <v>1</v>
      </c>
      <c r="O3423" s="7">
        <v>45536</v>
      </c>
      <c r="P3423" s="6">
        <v>97.06</v>
      </c>
      <c r="Q3423" s="6">
        <v>240.99</v>
      </c>
      <c r="R3423" s="7">
        <v>45352</v>
      </c>
      <c r="S3423" s="6">
        <v>201.66</v>
      </c>
      <c r="T3423" s="6">
        <v>6.1</v>
      </c>
      <c r="U3423" s="7">
        <v>45352</v>
      </c>
      <c r="V3423" s="6">
        <v>23.58</v>
      </c>
      <c r="W3423" s="6">
        <f ca="1">IFERROR(__xludf.DUMMYFUNCTION("IFERROR(GOOGLEFINANCE(B3423,""pe""),V3423)"),23.58)</f>
        <v>23.58</v>
      </c>
      <c r="X3423" s="12"/>
      <c r="Y3423" s="6">
        <v>2.3199999999999998</v>
      </c>
      <c r="Z3423" s="6">
        <v>1</v>
      </c>
      <c r="AA3423" s="8">
        <v>45352</v>
      </c>
      <c r="AB3423" s="4">
        <v>1.37</v>
      </c>
      <c r="AC3423" s="6">
        <v>10.75</v>
      </c>
      <c r="AD3423" s="6">
        <v>12.56</v>
      </c>
      <c r="AE3423" s="1">
        <v>0</v>
      </c>
      <c r="AF3423" s="1">
        <f ca="1">IFERROR(__xludf.DUMMYFUNCTION("IFERROR(GOOGLEFINANCE(TRIM(F3423)&amp;"":"" &amp; TRIM(B3423),""high52""),AE3423)"),0)</f>
        <v>0</v>
      </c>
      <c r="AG3423" s="1">
        <v>0</v>
      </c>
      <c r="AH3423" s="1">
        <f ca="1">IFERROR(__xludf.DUMMYFUNCTION("IFERROR(GOOGLEFINANCE(TRIM(F3423)&amp;"":"" &amp; TRIM(B3423),""low52""),AE3423)"),0)</f>
        <v>0</v>
      </c>
      <c r="AI3423" s="1">
        <f ca="1">IFERROR(__xludf.DUMMYFUNCTION("IFERROR(GOOGLEFINANCE(B3423,""eps""),0)"),0)</f>
        <v>0</v>
      </c>
      <c r="AJ3423" s="1"/>
      <c r="AK3423" s="6">
        <v>33.409999999999997</v>
      </c>
      <c r="AL3423" s="1" t="b">
        <f>ISNUMBER(AA3423)</f>
        <v>1</v>
      </c>
    </row>
    <row r="3424" spans="1:38" ht="15" x14ac:dyDescent="0.25">
      <c r="A3424" s="1" t="s">
        <v>10490</v>
      </c>
      <c r="B3424" s="1" t="s">
        <v>10491</v>
      </c>
      <c r="C3424" s="1" t="s">
        <v>151</v>
      </c>
      <c r="D3424" s="1" t="s">
        <v>151</v>
      </c>
      <c r="E3424" s="6">
        <v>11298</v>
      </c>
      <c r="F3424" s="1" t="s">
        <v>40</v>
      </c>
      <c r="G3424" s="6">
        <f ca="1">IFERROR(__xludf.DUMMYFUNCTION("iferror(GOOGLEFINANCE(TRIM(F3424)&amp;"":"" &amp; TRIM(B3424), ""price""),0
)"),517)</f>
        <v>517</v>
      </c>
      <c r="H3424" s="6">
        <v>1046.7</v>
      </c>
      <c r="I3424" s="6">
        <f t="shared" ca="1" si="0"/>
        <v>517</v>
      </c>
      <c r="J3424" s="6">
        <f ca="1">IFERROR(__xludf.DUMMYFUNCTION("IFERROR(GOOGLEFINANCE(B3424, ""volume""), 0)"),302)</f>
        <v>302</v>
      </c>
      <c r="K3424" s="6">
        <v>0.74</v>
      </c>
      <c r="L3424" s="6">
        <f ca="1">IFERROR(__xludf.DUMMYFUNCTION("IFERROR(GOOGLEFINANCE(B3424,""changepct""),K3424)"),0.34)</f>
        <v>0.34</v>
      </c>
      <c r="M3424" s="6">
        <f ca="1">IFERROR(__xludf.DUMMYFUNCTION("IFERROR(GOOGLEFINANCE(B3424,""change""),0)"),0.03)</f>
        <v>0.03</v>
      </c>
      <c r="N3424" s="6">
        <v>2</v>
      </c>
      <c r="O3424" s="7">
        <v>45536</v>
      </c>
      <c r="P3424" s="6">
        <v>1237.8599999999999</v>
      </c>
      <c r="Q3424" s="6">
        <v>12496.05</v>
      </c>
      <c r="R3424" s="7">
        <v>45536</v>
      </c>
      <c r="S3424" s="6">
        <v>3346.52</v>
      </c>
      <c r="T3424" s="6">
        <v>162.43</v>
      </c>
      <c r="U3424" s="7">
        <v>45536</v>
      </c>
      <c r="V3424" s="6">
        <v>74.73</v>
      </c>
      <c r="W3424" s="6">
        <f ca="1">IFERROR(__xludf.DUMMYFUNCTION("IFERROR(GOOGLEFINANCE(B3424,""pe""),V3424)"),74.73)</f>
        <v>74.73</v>
      </c>
      <c r="X3424" s="6">
        <v>17.34</v>
      </c>
      <c r="Y3424" s="6">
        <v>3.77</v>
      </c>
      <c r="Z3424" s="6">
        <v>2</v>
      </c>
      <c r="AA3424" s="13">
        <v>45352</v>
      </c>
      <c r="AB3424" s="4">
        <v>0.44</v>
      </c>
      <c r="AC3424" s="6">
        <v>8.61</v>
      </c>
      <c r="AD3424" s="6">
        <v>10.36</v>
      </c>
      <c r="AE3424" s="1">
        <v>0</v>
      </c>
      <c r="AF3424" s="1">
        <f ca="1">IFERROR(__xludf.DUMMYFUNCTION("IFERROR(GOOGLEFINANCE(TRIM(F3424)&amp;"":"" &amp; TRIM(B3424),""high52""),AE3424)"),918.4)</f>
        <v>918.4</v>
      </c>
      <c r="AG3424" s="1">
        <v>0</v>
      </c>
      <c r="AH3424" s="1">
        <f ca="1">IFERROR(__xludf.DUMMYFUNCTION("IFERROR(GOOGLEFINANCE(TRIM(F3424)&amp;"":"" &amp; TRIM(B3424),""low52""),AE3424)"),497.95)</f>
        <v>497.95</v>
      </c>
      <c r="AI3424" s="1">
        <f ca="1">IFERROR(__xludf.DUMMYFUNCTION("IFERROR(GOOGLEFINANCE(B3424,""eps""),0)"),-0.01)</f>
        <v>-0.01</v>
      </c>
      <c r="AJ3424" s="1"/>
      <c r="AK3424" s="1" t="s">
        <v>10492</v>
      </c>
      <c r="AL3424" s="9">
        <f t="shared" ref="AL3424:AL3427" si="326">IF(AA3424&lt;&gt;AB3424,1,0)</f>
        <v>1</v>
      </c>
    </row>
    <row r="3425" spans="1:38" ht="15" x14ac:dyDescent="0.25">
      <c r="A3425" s="1" t="s">
        <v>10493</v>
      </c>
      <c r="B3425" s="1" t="s">
        <v>10494</v>
      </c>
      <c r="C3425" s="1" t="s">
        <v>2874</v>
      </c>
      <c r="D3425" s="1" t="s">
        <v>2874</v>
      </c>
      <c r="E3425" s="6">
        <v>18.07</v>
      </c>
      <c r="F3425" s="1" t="s">
        <v>53</v>
      </c>
      <c r="G3425" s="6">
        <f ca="1">IFERROR(__xludf.DUMMYFUNCTION("iferror(GOOGLEFINANCE(TRIM(F3425)&amp;"":"" &amp; TRIM(B3425), ""price""),0
)"),0)</f>
        <v>0</v>
      </c>
      <c r="H3425" s="6">
        <v>3.29</v>
      </c>
      <c r="I3425" s="6">
        <f t="shared" ca="1" si="0"/>
        <v>3.29</v>
      </c>
      <c r="J3425" s="6">
        <f ca="1">IFERROR(__xludf.DUMMYFUNCTION("IFERROR(GOOGLEFINANCE(B3425, ""volume""), 0)"),0)</f>
        <v>0</v>
      </c>
      <c r="K3425" s="6">
        <v>-0.6</v>
      </c>
      <c r="L3425" s="6">
        <f ca="1">IFERROR(__xludf.DUMMYFUNCTION("IFERROR(GOOGLEFINANCE(B3425,""changepct""),K3425)"),-0.6)</f>
        <v>-0.6</v>
      </c>
      <c r="M3425" s="6">
        <f ca="1">IFERROR(__xludf.DUMMYFUNCTION("IFERROR(GOOGLEFINANCE(B3425,""change""),0)"),0)</f>
        <v>0</v>
      </c>
      <c r="N3425" s="6">
        <v>1</v>
      </c>
      <c r="O3425" s="7">
        <v>45536</v>
      </c>
      <c r="P3425" s="6">
        <v>25.93</v>
      </c>
      <c r="Q3425" s="6">
        <v>44</v>
      </c>
      <c r="R3425" s="7">
        <v>45536</v>
      </c>
      <c r="S3425" s="6">
        <v>47.25</v>
      </c>
      <c r="T3425" s="6">
        <v>1.19</v>
      </c>
      <c r="U3425" s="7">
        <v>45536</v>
      </c>
      <c r="V3425" s="6">
        <v>15.13</v>
      </c>
      <c r="W3425" s="6">
        <f ca="1">IFERROR(__xludf.DUMMYFUNCTION("IFERROR(GOOGLEFINANCE(B3425,""pe""),V3425)"),15.13)</f>
        <v>15.13</v>
      </c>
      <c r="X3425" s="12"/>
      <c r="Y3425" s="6">
        <v>0.41</v>
      </c>
      <c r="Z3425" s="6">
        <v>1</v>
      </c>
      <c r="AA3425" s="8">
        <v>45352</v>
      </c>
      <c r="AB3425" s="4">
        <v>0.6</v>
      </c>
      <c r="AC3425" s="6">
        <v>0.49</v>
      </c>
      <c r="AD3425" s="6">
        <v>1.85</v>
      </c>
      <c r="AE3425" s="1">
        <v>0</v>
      </c>
      <c r="AF3425" s="1">
        <f ca="1">IFERROR(__xludf.DUMMYFUNCTION("IFERROR(GOOGLEFINANCE(TRIM(F3425)&amp;"":"" &amp; TRIM(B3425),""high52""),AE3425)"),0)</f>
        <v>0</v>
      </c>
      <c r="AG3425" s="1">
        <v>0</v>
      </c>
      <c r="AH3425" s="1">
        <f ca="1">IFERROR(__xludf.DUMMYFUNCTION("IFERROR(GOOGLEFINANCE(TRIM(F3425)&amp;"":"" &amp; TRIM(B3425),""low52""),AE3425)"),0)</f>
        <v>0</v>
      </c>
      <c r="AI3425" s="1">
        <f ca="1">IFERROR(__xludf.DUMMYFUNCTION("IFERROR(GOOGLEFINANCE(B3425,""eps""),0)"),0)</f>
        <v>0</v>
      </c>
      <c r="AJ3425" s="1"/>
      <c r="AK3425" s="1" t="s">
        <v>10495</v>
      </c>
      <c r="AL3425" s="9">
        <f t="shared" si="326"/>
        <v>1</v>
      </c>
    </row>
    <row r="3426" spans="1:38" ht="15" x14ac:dyDescent="0.25">
      <c r="A3426" s="1" t="s">
        <v>10496</v>
      </c>
      <c r="B3426" s="1" t="s">
        <v>10497</v>
      </c>
      <c r="C3426" s="1" t="s">
        <v>2874</v>
      </c>
      <c r="D3426" s="1" t="s">
        <v>2874</v>
      </c>
      <c r="E3426" s="6">
        <v>21.35</v>
      </c>
      <c r="F3426" s="1" t="s">
        <v>53</v>
      </c>
      <c r="G3426" s="6">
        <f ca="1">IFERROR(__xludf.DUMMYFUNCTION("iferror(GOOGLEFINANCE(TRIM(F3426)&amp;"":"" &amp; TRIM(B3426), ""price""),0
)"),0)</f>
        <v>0</v>
      </c>
      <c r="H3426" s="6">
        <v>42.68</v>
      </c>
      <c r="I3426" s="6">
        <f t="shared" ca="1" si="0"/>
        <v>42.68</v>
      </c>
      <c r="J3426" s="6">
        <f ca="1">IFERROR(__xludf.DUMMYFUNCTION("IFERROR(GOOGLEFINANCE(B3426, ""volume""), 0)"),0)</f>
        <v>0</v>
      </c>
      <c r="K3426" s="12"/>
      <c r="L3426" s="6" t="str">
        <f ca="1">IFERROR(__xludf.DUMMYFUNCTION("IFERROR(GOOGLEFINANCE(B3426,""changepct""),K3426)"),"")</f>
        <v/>
      </c>
      <c r="M3426" s="6">
        <f ca="1">IFERROR(__xludf.DUMMYFUNCTION("IFERROR(GOOGLEFINANCE(B3426,""change""),0)"),0)</f>
        <v>0</v>
      </c>
      <c r="N3426" s="6">
        <v>1</v>
      </c>
      <c r="O3426" s="7">
        <v>45536</v>
      </c>
      <c r="P3426" s="9"/>
      <c r="Q3426" s="6">
        <v>21.35</v>
      </c>
      <c r="R3426" s="7">
        <v>45536</v>
      </c>
      <c r="S3426" s="6">
        <v>0.91</v>
      </c>
      <c r="T3426" s="6">
        <v>-0.25</v>
      </c>
      <c r="U3426" s="7">
        <v>45536</v>
      </c>
      <c r="V3426" s="6">
        <v>0</v>
      </c>
      <c r="W3426" s="6">
        <f ca="1">IFERROR(__xludf.DUMMYFUNCTION("IFERROR(GOOGLEFINANCE(B3426,""pe""),V3426)"),0)</f>
        <v>0</v>
      </c>
      <c r="X3426" s="6">
        <v>0</v>
      </c>
      <c r="Y3426" s="6">
        <v>7.52</v>
      </c>
      <c r="Z3426" s="6">
        <v>1</v>
      </c>
      <c r="AA3426" s="8">
        <v>45352</v>
      </c>
      <c r="AB3426" s="4">
        <v>0</v>
      </c>
      <c r="AC3426" s="6">
        <v>1.2</v>
      </c>
      <c r="AD3426" s="6">
        <v>2.17</v>
      </c>
      <c r="AE3426" s="1">
        <v>0</v>
      </c>
      <c r="AF3426" s="1">
        <f ca="1">IFERROR(__xludf.DUMMYFUNCTION("IFERROR(GOOGLEFINANCE(TRIM(F3426)&amp;"":"" &amp; TRIM(B3426),""high52""),AE3426)"),0)</f>
        <v>0</v>
      </c>
      <c r="AG3426" s="1">
        <v>0</v>
      </c>
      <c r="AH3426" s="1">
        <f ca="1">IFERROR(__xludf.DUMMYFUNCTION("IFERROR(GOOGLEFINANCE(TRIM(F3426)&amp;"":"" &amp; TRIM(B3426),""low52""),AE3426)"),0)</f>
        <v>0</v>
      </c>
      <c r="AI3426" s="1">
        <f ca="1">IFERROR(__xludf.DUMMYFUNCTION("IFERROR(GOOGLEFINANCE(B3426,""eps""),0)"),0)</f>
        <v>0</v>
      </c>
      <c r="AJ3426" s="1"/>
      <c r="AK3426" s="1" t="s">
        <v>10498</v>
      </c>
      <c r="AL3426" s="9">
        <f t="shared" si="326"/>
        <v>1</v>
      </c>
    </row>
    <row r="3427" spans="1:38" ht="15" x14ac:dyDescent="0.25">
      <c r="A3427" s="1" t="s">
        <v>10499</v>
      </c>
      <c r="B3427" s="1" t="s">
        <v>10500</v>
      </c>
      <c r="C3427" s="1" t="s">
        <v>324</v>
      </c>
      <c r="D3427" s="1" t="s">
        <v>324</v>
      </c>
      <c r="E3427" s="6">
        <v>345.24</v>
      </c>
      <c r="F3427" s="1" t="s">
        <v>40</v>
      </c>
      <c r="G3427" s="6">
        <f ca="1">IFERROR(__xludf.DUMMYFUNCTION("iferror(GOOGLEFINANCE(TRIM(F3427)&amp;"":"" &amp; TRIM(B3427), ""price""),0
)"),298.05)</f>
        <v>298.05</v>
      </c>
      <c r="H3427" s="6">
        <v>332.95</v>
      </c>
      <c r="I3427" s="6">
        <f t="shared" ca="1" si="0"/>
        <v>298.05</v>
      </c>
      <c r="J3427" s="6">
        <f ca="1">IFERROR(__xludf.DUMMYFUNCTION("IFERROR(GOOGLEFINANCE(B3427, ""volume""), 0)"),6465)</f>
        <v>6465</v>
      </c>
      <c r="K3427" s="6">
        <v>0.56999999999999995</v>
      </c>
      <c r="L3427" s="6">
        <f ca="1">IFERROR(__xludf.DUMMYFUNCTION("IFERROR(GOOGLEFINANCE(B3427,""changepct""),K3427)"),-2.15)</f>
        <v>-2.15</v>
      </c>
      <c r="M3427" s="6">
        <f ca="1">IFERROR(__xludf.DUMMYFUNCTION("IFERROR(GOOGLEFINANCE(B3427,""change""),0)"),-6.55)</f>
        <v>-6.55</v>
      </c>
      <c r="N3427" s="6">
        <v>1</v>
      </c>
      <c r="O3427" s="7">
        <v>45536</v>
      </c>
      <c r="P3427" s="6">
        <v>67.8</v>
      </c>
      <c r="Q3427" s="6">
        <v>413.04</v>
      </c>
      <c r="R3427" s="7">
        <v>45536</v>
      </c>
      <c r="S3427" s="6">
        <v>324.14</v>
      </c>
      <c r="T3427" s="6">
        <v>19.48</v>
      </c>
      <c r="U3427" s="7">
        <v>45536</v>
      </c>
      <c r="V3427" s="6">
        <v>17.72</v>
      </c>
      <c r="W3427" s="6">
        <f ca="1">IFERROR(__xludf.DUMMYFUNCTION("IFERROR(GOOGLEFINANCE(B3427,""pe""),V3427)"),22.65)</f>
        <v>22.65</v>
      </c>
      <c r="X3427" s="6">
        <v>0.47</v>
      </c>
      <c r="Y3427" s="6">
        <v>2.78</v>
      </c>
      <c r="Z3427" s="6">
        <v>1</v>
      </c>
      <c r="AA3427" s="8">
        <v>45352</v>
      </c>
      <c r="AB3427" s="4">
        <v>0.73</v>
      </c>
      <c r="AC3427" s="6">
        <v>20.02</v>
      </c>
      <c r="AD3427" s="6">
        <v>19.66</v>
      </c>
      <c r="AE3427" s="1">
        <v>0</v>
      </c>
      <c r="AF3427" s="1">
        <f ca="1">IFERROR(__xludf.DUMMYFUNCTION("IFERROR(GOOGLEFINANCE(TRIM(F3427)&amp;"":"" &amp; TRIM(B3427),""high52""),AE3427)"),368.95)</f>
        <v>368.95</v>
      </c>
      <c r="AG3427" s="1">
        <v>0</v>
      </c>
      <c r="AH3427" s="1">
        <f ca="1">IFERROR(__xludf.DUMMYFUNCTION("IFERROR(GOOGLEFINANCE(TRIM(F3427)&amp;"":"" &amp; TRIM(B3427),""low52""),AE3427)"),190.03)</f>
        <v>190.03</v>
      </c>
      <c r="AI3427" s="1">
        <f ca="1">IFERROR(__xludf.DUMMYFUNCTION("IFERROR(GOOGLEFINANCE(B3427,""eps""),0)"),13.16)</f>
        <v>13.16</v>
      </c>
      <c r="AJ3427" s="1"/>
      <c r="AK3427" s="1" t="s">
        <v>10501</v>
      </c>
      <c r="AL3427" s="9">
        <f t="shared" si="326"/>
        <v>1</v>
      </c>
    </row>
    <row r="3428" spans="1:38" ht="15" x14ac:dyDescent="0.25">
      <c r="A3428" s="1" t="s">
        <v>10502</v>
      </c>
      <c r="B3428" s="1" t="s">
        <v>10503</v>
      </c>
      <c r="C3428" s="1" t="s">
        <v>99</v>
      </c>
      <c r="D3428" s="1" t="s">
        <v>99</v>
      </c>
      <c r="E3428" s="6">
        <v>85.81</v>
      </c>
      <c r="F3428" s="1" t="s">
        <v>40</v>
      </c>
      <c r="G3428" s="6">
        <f ca="1">IFERROR(__xludf.DUMMYFUNCTION("iferror(GOOGLEFINANCE(TRIM(F3428)&amp;"":"" &amp; TRIM(B3428), ""price""),0
)"),0)</f>
        <v>0</v>
      </c>
      <c r="H3428" s="6">
        <v>73.7</v>
      </c>
      <c r="I3428" s="6">
        <f t="shared" ca="1" si="0"/>
        <v>73.7</v>
      </c>
      <c r="J3428" s="6">
        <f ca="1">IFERROR(__xludf.DUMMYFUNCTION("IFERROR(GOOGLEFINANCE(B3428, ""volume""), 0)"),0)</f>
        <v>0</v>
      </c>
      <c r="K3428" s="6">
        <v>-1.6</v>
      </c>
      <c r="L3428" s="6">
        <f ca="1">IFERROR(__xludf.DUMMYFUNCTION("IFERROR(GOOGLEFINANCE(B3428,""changepct""),K3428)"),-1.6)</f>
        <v>-1.6</v>
      </c>
      <c r="M3428" s="6">
        <f ca="1">IFERROR(__xludf.DUMMYFUNCTION("IFERROR(GOOGLEFINANCE(B3428,""change""),0)"),0)</f>
        <v>0</v>
      </c>
      <c r="N3428" s="6">
        <v>1</v>
      </c>
      <c r="O3428" s="7">
        <v>45536</v>
      </c>
      <c r="P3428" s="6">
        <v>20.47</v>
      </c>
      <c r="Q3428" s="6">
        <v>106.27</v>
      </c>
      <c r="R3428" s="7">
        <v>45352</v>
      </c>
      <c r="S3428" s="6">
        <v>129.63</v>
      </c>
      <c r="T3428" s="6">
        <v>2.06</v>
      </c>
      <c r="U3428" s="7">
        <v>45352</v>
      </c>
      <c r="V3428" s="6">
        <v>41.68</v>
      </c>
      <c r="W3428" s="6">
        <f ca="1">IFERROR(__xludf.DUMMYFUNCTION("IFERROR(GOOGLEFINANCE(B3428,""pe""),V3428)"),41.68)</f>
        <v>41.68</v>
      </c>
      <c r="X3428" s="9"/>
      <c r="Y3428" s="6">
        <v>2.4900000000000002</v>
      </c>
      <c r="Z3428" s="6">
        <v>2</v>
      </c>
      <c r="AA3428" s="8">
        <v>45352</v>
      </c>
      <c r="AB3428" s="4">
        <v>0.44</v>
      </c>
      <c r="AC3428" s="6">
        <v>10.1</v>
      </c>
      <c r="AD3428" s="6">
        <v>12.81</v>
      </c>
      <c r="AE3428" s="1">
        <v>0</v>
      </c>
      <c r="AF3428" s="1">
        <f ca="1">IFERROR(__xludf.DUMMYFUNCTION("IFERROR(GOOGLEFINANCE(TRIM(F3428)&amp;"":"" &amp; TRIM(B3428),""high52""),AE3428)"),0)</f>
        <v>0</v>
      </c>
      <c r="AG3428" s="1">
        <v>0</v>
      </c>
      <c r="AH3428" s="1">
        <f ca="1">IFERROR(__xludf.DUMMYFUNCTION("IFERROR(GOOGLEFINANCE(TRIM(F3428)&amp;"":"" &amp; TRIM(B3428),""low52""),AE3428)"),0)</f>
        <v>0</v>
      </c>
      <c r="AI3428" s="1">
        <f ca="1">IFERROR(__xludf.DUMMYFUNCTION("IFERROR(GOOGLEFINANCE(B3428,""eps""),0)"),0)</f>
        <v>0</v>
      </c>
      <c r="AJ3428" s="1"/>
      <c r="AK3428" s="1" t="s">
        <v>10504</v>
      </c>
      <c r="AL3428" s="1" t="b">
        <f>ISNUMBER(AA3428)</f>
        <v>1</v>
      </c>
    </row>
    <row r="3429" spans="1:38" ht="15" x14ac:dyDescent="0.25">
      <c r="A3429" s="1" t="s">
        <v>10505</v>
      </c>
      <c r="B3429" s="1" t="s">
        <v>10506</v>
      </c>
      <c r="C3429" s="1" t="s">
        <v>706</v>
      </c>
      <c r="D3429" s="1" t="s">
        <v>706</v>
      </c>
      <c r="E3429" s="6">
        <v>108.34</v>
      </c>
      <c r="F3429" s="1" t="s">
        <v>40</v>
      </c>
      <c r="G3429" s="6">
        <f ca="1">IFERROR(__xludf.DUMMYFUNCTION("iferror(GOOGLEFINANCE(TRIM(F3429)&amp;"":"" &amp; TRIM(B3429), ""price""),0
)"),13.81)</f>
        <v>13.81</v>
      </c>
      <c r="H3429" s="6">
        <v>32.049999999999997</v>
      </c>
      <c r="I3429" s="6">
        <f t="shared" ca="1" si="0"/>
        <v>13.81</v>
      </c>
      <c r="J3429" s="6">
        <f ca="1">IFERROR(__xludf.DUMMYFUNCTION("IFERROR(GOOGLEFINANCE(B3429, ""volume""), 0)"),46713)</f>
        <v>46713</v>
      </c>
      <c r="K3429" s="6">
        <v>1.97</v>
      </c>
      <c r="L3429" s="6">
        <f ca="1">IFERROR(__xludf.DUMMYFUNCTION("IFERROR(GOOGLEFINANCE(B3429,""changepct""),K3429)"),-5.15)</f>
        <v>-5.15</v>
      </c>
      <c r="M3429" s="6">
        <f ca="1">IFERROR(__xludf.DUMMYFUNCTION("IFERROR(GOOGLEFINANCE(B3429,""change""),0)"),-0.75)</f>
        <v>-0.75</v>
      </c>
      <c r="N3429" s="6">
        <v>1</v>
      </c>
      <c r="O3429" s="7">
        <v>45536</v>
      </c>
      <c r="P3429" s="12"/>
      <c r="Q3429" s="6">
        <v>108.05</v>
      </c>
      <c r="R3429" s="7">
        <v>45536</v>
      </c>
      <c r="S3429" s="6">
        <v>71.569999999999993</v>
      </c>
      <c r="T3429" s="6">
        <v>152.69</v>
      </c>
      <c r="U3429" s="7">
        <v>45536</v>
      </c>
      <c r="V3429" s="6">
        <v>0.71</v>
      </c>
      <c r="W3429" s="6">
        <f ca="1">IFERROR(__xludf.DUMMYFUNCTION("IFERROR(GOOGLEFINANCE(B3429,""pe""),V3429)"),11.83)</f>
        <v>11.83</v>
      </c>
      <c r="X3429" s="6">
        <v>0.03</v>
      </c>
      <c r="Y3429" s="6">
        <v>8.89</v>
      </c>
      <c r="Z3429" s="6">
        <v>1</v>
      </c>
      <c r="AA3429" s="8">
        <v>45352</v>
      </c>
      <c r="AB3429" s="4">
        <v>0</v>
      </c>
      <c r="AC3429" s="6">
        <v>0</v>
      </c>
      <c r="AD3429" s="6">
        <v>615.67999999999995</v>
      </c>
      <c r="AE3429" s="1">
        <v>0</v>
      </c>
      <c r="AF3429" s="1">
        <f ca="1">IFERROR(__xludf.DUMMYFUNCTION("IFERROR(GOOGLEFINANCE(TRIM(F3429)&amp;"":"" &amp; TRIM(B3429),""high52""),AE3429)"),29.49)</f>
        <v>29.49</v>
      </c>
      <c r="AG3429" s="1">
        <v>0</v>
      </c>
      <c r="AH3429" s="1">
        <f ca="1">IFERROR(__xludf.DUMMYFUNCTION("IFERROR(GOOGLEFINANCE(TRIM(F3429)&amp;"":"" &amp; TRIM(B3429),""low52""),AE3429)"),12.27)</f>
        <v>12.27</v>
      </c>
      <c r="AI3429" s="1">
        <f ca="1">IFERROR(__xludf.DUMMYFUNCTION("IFERROR(GOOGLEFINANCE(B3429,""eps""),0)"),1.17)</f>
        <v>1.17</v>
      </c>
      <c r="AJ3429" s="1"/>
      <c r="AK3429" s="9"/>
      <c r="AL3429" s="9">
        <f t="shared" ref="AL3429:AL3431" si="327">IF(AA3429&lt;&gt;AB3429,1,0)</f>
        <v>1</v>
      </c>
    </row>
    <row r="3430" spans="1:38" ht="15" x14ac:dyDescent="0.25">
      <c r="A3430" s="1" t="s">
        <v>10507</v>
      </c>
      <c r="B3430" s="1" t="s">
        <v>10508</v>
      </c>
      <c r="C3430" s="1" t="s">
        <v>1229</v>
      </c>
      <c r="D3430" s="1" t="s">
        <v>1229</v>
      </c>
      <c r="E3430" s="6">
        <v>438.62</v>
      </c>
      <c r="F3430" s="1" t="s">
        <v>40</v>
      </c>
      <c r="G3430" s="6">
        <f ca="1">IFERROR(__xludf.DUMMYFUNCTION("iferror(GOOGLEFINANCE(TRIM(F3430)&amp;"":"" &amp; TRIM(B3430), ""price""),0
)"),98)</f>
        <v>98</v>
      </c>
      <c r="H3430" s="6">
        <v>161.19</v>
      </c>
      <c r="I3430" s="6">
        <f t="shared" ca="1" si="0"/>
        <v>98</v>
      </c>
      <c r="J3430" s="6">
        <f ca="1">IFERROR(__xludf.DUMMYFUNCTION("IFERROR(GOOGLEFINANCE(B3430, ""volume""), 0)"),5957)</f>
        <v>5957</v>
      </c>
      <c r="K3430" s="6">
        <v>0.7</v>
      </c>
      <c r="L3430" s="6">
        <f ca="1">IFERROR(__xludf.DUMMYFUNCTION("IFERROR(GOOGLEFINANCE(B3430,""changepct""),K3430)"),2.13)</f>
        <v>2.13</v>
      </c>
      <c r="M3430" s="6">
        <f ca="1">IFERROR(__xludf.DUMMYFUNCTION("IFERROR(GOOGLEFINANCE(B3430,""change""),0)"),2.04)</f>
        <v>2.04</v>
      </c>
      <c r="N3430" s="6">
        <v>2</v>
      </c>
      <c r="O3430" s="7">
        <v>45536</v>
      </c>
      <c r="P3430" s="6">
        <v>335.26</v>
      </c>
      <c r="Q3430" s="6">
        <v>772.05</v>
      </c>
      <c r="R3430" s="7">
        <v>45536</v>
      </c>
      <c r="S3430" s="6">
        <v>671.24</v>
      </c>
      <c r="T3430" s="6">
        <v>-87.33</v>
      </c>
      <c r="U3430" s="7">
        <v>45536</v>
      </c>
      <c r="V3430" s="6">
        <v>0</v>
      </c>
      <c r="W3430" s="6">
        <f ca="1">IFERROR(__xludf.DUMMYFUNCTION("IFERROR(GOOGLEFINANCE(B3430,""pe""),V3430)"),0)</f>
        <v>0</v>
      </c>
      <c r="X3430" s="12"/>
      <c r="Y3430" s="6">
        <v>0.85</v>
      </c>
      <c r="Z3430" s="6">
        <v>2</v>
      </c>
      <c r="AA3430" s="8">
        <v>45352</v>
      </c>
      <c r="AB3430" s="4">
        <v>0.61</v>
      </c>
      <c r="AC3430" s="6">
        <v>-7</v>
      </c>
      <c r="AD3430" s="6">
        <v>-0.1</v>
      </c>
      <c r="AE3430" s="1">
        <v>0</v>
      </c>
      <c r="AF3430" s="1">
        <f ca="1">IFERROR(__xludf.DUMMYFUNCTION("IFERROR(GOOGLEFINANCE(TRIM(F3430)&amp;"":"" &amp; TRIM(B3430),""high52""),AE3430)"),161)</f>
        <v>161</v>
      </c>
      <c r="AG3430" s="1">
        <v>0</v>
      </c>
      <c r="AH3430" s="1">
        <f ca="1">IFERROR(__xludf.DUMMYFUNCTION("IFERROR(GOOGLEFINANCE(TRIM(F3430)&amp;"":"" &amp; TRIM(B3430),""low52""),AE3430)"),88.8)</f>
        <v>88.8</v>
      </c>
      <c r="AI3430" s="1">
        <f ca="1">IFERROR(__xludf.DUMMYFUNCTION("IFERROR(GOOGLEFINANCE(B3430,""eps""),0)"),-48.56)</f>
        <v>-48.56</v>
      </c>
      <c r="AJ3430" s="1"/>
      <c r="AK3430" s="1" t="s">
        <v>10509</v>
      </c>
      <c r="AL3430" s="9">
        <f t="shared" si="327"/>
        <v>1</v>
      </c>
    </row>
    <row r="3431" spans="1:38" ht="15" x14ac:dyDescent="0.25">
      <c r="A3431" s="1" t="s">
        <v>10510</v>
      </c>
      <c r="B3431" s="1" t="s">
        <v>10511</v>
      </c>
      <c r="C3431" s="1" t="s">
        <v>1497</v>
      </c>
      <c r="D3431" s="1" t="s">
        <v>1497</v>
      </c>
      <c r="E3431" s="6">
        <v>464.88</v>
      </c>
      <c r="F3431" s="1" t="s">
        <v>40</v>
      </c>
      <c r="G3431" s="6">
        <f ca="1">IFERROR(__xludf.DUMMYFUNCTION("iferror(GOOGLEFINANCE(TRIM(F3431)&amp;"":"" &amp; TRIM(B3431), ""price""),0
)"),0)</f>
        <v>0</v>
      </c>
      <c r="H3431" s="6">
        <v>201.4</v>
      </c>
      <c r="I3431" s="6">
        <f t="shared" ca="1" si="0"/>
        <v>201.4</v>
      </c>
      <c r="J3431" s="6">
        <f ca="1">IFERROR(__xludf.DUMMYFUNCTION("IFERROR(GOOGLEFINANCE(B3431, ""volume""), 0)"),0)</f>
        <v>0</v>
      </c>
      <c r="K3431" s="6">
        <v>-1.27</v>
      </c>
      <c r="L3431" s="6">
        <f ca="1">IFERROR(__xludf.DUMMYFUNCTION("IFERROR(GOOGLEFINANCE(B3431,""changepct""),K3431)"),-1.27)</f>
        <v>-1.27</v>
      </c>
      <c r="M3431" s="6">
        <f ca="1">IFERROR(__xludf.DUMMYFUNCTION("IFERROR(GOOGLEFINANCE(B3431,""change""),0)"),0)</f>
        <v>0</v>
      </c>
      <c r="N3431" s="6">
        <v>1</v>
      </c>
      <c r="O3431" s="7">
        <v>45536</v>
      </c>
      <c r="P3431" s="6">
        <v>83.64</v>
      </c>
      <c r="Q3431" s="6">
        <v>537.16</v>
      </c>
      <c r="R3431" s="7">
        <v>45352</v>
      </c>
      <c r="S3431" s="6">
        <v>629.4</v>
      </c>
      <c r="T3431" s="6">
        <v>6.98</v>
      </c>
      <c r="U3431" s="7">
        <v>45352</v>
      </c>
      <c r="V3431" s="6">
        <v>66.63</v>
      </c>
      <c r="W3431" s="6">
        <f ca="1">IFERROR(__xludf.DUMMYFUNCTION("IFERROR(GOOGLEFINANCE(B3431,""pe""),V3431)"),66.63)</f>
        <v>66.63</v>
      </c>
      <c r="X3431" s="9"/>
      <c r="Y3431" s="6">
        <v>5.18</v>
      </c>
      <c r="Z3431" s="6">
        <v>2</v>
      </c>
      <c r="AA3431" s="8">
        <v>45352</v>
      </c>
      <c r="AB3431" s="4">
        <v>1.1200000000000001</v>
      </c>
      <c r="AC3431" s="6">
        <v>14.33</v>
      </c>
      <c r="AD3431" s="6">
        <v>22.95</v>
      </c>
      <c r="AE3431" s="1">
        <v>0</v>
      </c>
      <c r="AF3431" s="1">
        <f ca="1">IFERROR(__xludf.DUMMYFUNCTION("IFERROR(GOOGLEFINANCE(TRIM(F3431)&amp;"":"" &amp; TRIM(B3431),""high52""),AE3431)"),0)</f>
        <v>0</v>
      </c>
      <c r="AG3431" s="1">
        <v>0</v>
      </c>
      <c r="AH3431" s="1">
        <f ca="1">IFERROR(__xludf.DUMMYFUNCTION("IFERROR(GOOGLEFINANCE(TRIM(F3431)&amp;"":"" &amp; TRIM(B3431),""low52""),AE3431)"),0)</f>
        <v>0</v>
      </c>
      <c r="AI3431" s="1">
        <f ca="1">IFERROR(__xludf.DUMMYFUNCTION("IFERROR(GOOGLEFINANCE(B3431,""eps""),0)"),0)</f>
        <v>0</v>
      </c>
      <c r="AJ3431" s="1"/>
      <c r="AK3431" s="1" t="s">
        <v>10512</v>
      </c>
      <c r="AL3431" s="9">
        <f t="shared" si="327"/>
        <v>1</v>
      </c>
    </row>
    <row r="3432" spans="1:38" ht="15" x14ac:dyDescent="0.25">
      <c r="A3432" s="1" t="s">
        <v>10513</v>
      </c>
      <c r="B3432" s="1" t="s">
        <v>10514</v>
      </c>
      <c r="C3432" s="1" t="s">
        <v>355</v>
      </c>
      <c r="D3432" s="1" t="s">
        <v>355</v>
      </c>
      <c r="E3432" s="6">
        <v>214.36</v>
      </c>
      <c r="F3432" s="1" t="s">
        <v>40</v>
      </c>
      <c r="G3432" s="6">
        <f ca="1">IFERROR(__xludf.DUMMYFUNCTION("iferror(GOOGLEFINANCE(TRIM(F3432)&amp;"":"" &amp; TRIM(B3432), ""price""),0
)"),0)</f>
        <v>0</v>
      </c>
      <c r="H3432" s="6">
        <v>112.45</v>
      </c>
      <c r="I3432" s="6">
        <f t="shared" ca="1" si="0"/>
        <v>112.45</v>
      </c>
      <c r="J3432" s="6">
        <f ca="1">IFERROR(__xludf.DUMMYFUNCTION("IFERROR(GOOGLEFINANCE(B3432, ""volume""), 0)"),0)</f>
        <v>0</v>
      </c>
      <c r="K3432" s="9"/>
      <c r="L3432" s="6" t="str">
        <f ca="1">IFERROR(__xludf.DUMMYFUNCTION("IFERROR(GOOGLEFINANCE(B3432,""changepct""),K3432)"),"")</f>
        <v/>
      </c>
      <c r="M3432" s="6">
        <f ca="1">IFERROR(__xludf.DUMMYFUNCTION("IFERROR(GOOGLEFINANCE(B3432,""change""),0)"),0)</f>
        <v>0</v>
      </c>
      <c r="N3432" s="6">
        <v>1</v>
      </c>
      <c r="O3432" s="7">
        <v>45536</v>
      </c>
      <c r="P3432" s="6">
        <v>48.85</v>
      </c>
      <c r="Q3432" s="6">
        <v>263.20999999999998</v>
      </c>
      <c r="R3432" s="7">
        <v>45352</v>
      </c>
      <c r="S3432" s="6">
        <v>151.94</v>
      </c>
      <c r="T3432" s="6">
        <v>5.38</v>
      </c>
      <c r="U3432" s="7">
        <v>45352</v>
      </c>
      <c r="V3432" s="6">
        <v>39.82</v>
      </c>
      <c r="W3432" s="6">
        <f ca="1">IFERROR(__xludf.DUMMYFUNCTION("IFERROR(GOOGLEFINANCE(B3432,""pe""),V3432)"),39.82)</f>
        <v>39.82</v>
      </c>
      <c r="X3432" s="9"/>
      <c r="Y3432" s="6">
        <v>2.9</v>
      </c>
      <c r="Z3432" s="6">
        <v>2</v>
      </c>
      <c r="AA3432" s="8">
        <v>45352</v>
      </c>
      <c r="AB3432" s="4">
        <v>0.68</v>
      </c>
      <c r="AC3432" s="6">
        <v>7.95</v>
      </c>
      <c r="AD3432" s="6">
        <v>11.01</v>
      </c>
      <c r="AE3432" s="1">
        <v>0</v>
      </c>
      <c r="AF3432" s="1">
        <f ca="1">IFERROR(__xludf.DUMMYFUNCTION("IFERROR(GOOGLEFINANCE(TRIM(F3432)&amp;"":"" &amp; TRIM(B3432),""high52""),AE3432)"),0)</f>
        <v>0</v>
      </c>
      <c r="AG3432" s="1">
        <v>0</v>
      </c>
      <c r="AH3432" s="1">
        <f ca="1">IFERROR(__xludf.DUMMYFUNCTION("IFERROR(GOOGLEFINANCE(TRIM(F3432)&amp;"":"" &amp; TRIM(B3432),""low52""),AE3432)"),0)</f>
        <v>0</v>
      </c>
      <c r="AI3432" s="1">
        <f ca="1">IFERROR(__xludf.DUMMYFUNCTION("IFERROR(GOOGLEFINANCE(B3432,""eps""),0)"),0)</f>
        <v>0</v>
      </c>
      <c r="AJ3432" s="1"/>
      <c r="AK3432" s="1" t="s">
        <v>10515</v>
      </c>
      <c r="AL3432" s="1" t="b">
        <f>ISNUMBER(AA3432)</f>
        <v>1</v>
      </c>
    </row>
    <row r="3433" spans="1:38" ht="15" x14ac:dyDescent="0.25">
      <c r="A3433" s="1" t="s">
        <v>10516</v>
      </c>
      <c r="B3433" s="1" t="s">
        <v>10517</v>
      </c>
      <c r="C3433" s="1" t="s">
        <v>106</v>
      </c>
      <c r="D3433" s="1" t="s">
        <v>106</v>
      </c>
      <c r="E3433" s="6">
        <v>8153.32</v>
      </c>
      <c r="F3433" s="1" t="s">
        <v>40</v>
      </c>
      <c r="G3433" s="6">
        <f ca="1">IFERROR(__xludf.DUMMYFUNCTION("iferror(GOOGLEFINANCE(TRIM(F3433)&amp;"":"" &amp; TRIM(B3433), ""price""),0
)"),288.55)</f>
        <v>288.55</v>
      </c>
      <c r="H3433" s="6">
        <v>832.9</v>
      </c>
      <c r="I3433" s="6">
        <f t="shared" ca="1" si="0"/>
        <v>288.55</v>
      </c>
      <c r="J3433" s="6">
        <f ca="1">IFERROR(__xludf.DUMMYFUNCTION("IFERROR(GOOGLEFINANCE(B3433, ""volume""), 0)"),435135)</f>
        <v>435135</v>
      </c>
      <c r="K3433" s="6">
        <v>-0.23</v>
      </c>
      <c r="L3433" s="6">
        <f ca="1">IFERROR(__xludf.DUMMYFUNCTION("IFERROR(GOOGLEFINANCE(B3433,""changepct""),K3433)"),0.16)</f>
        <v>0.16</v>
      </c>
      <c r="M3433" s="6">
        <f ca="1">IFERROR(__xludf.DUMMYFUNCTION("IFERROR(GOOGLEFINANCE(B3433,""change""),0)"),0.45)</f>
        <v>0.45</v>
      </c>
      <c r="N3433" s="6">
        <v>2</v>
      </c>
      <c r="O3433" s="7">
        <v>45536</v>
      </c>
      <c r="P3433" s="6">
        <v>489.05</v>
      </c>
      <c r="Q3433" s="6">
        <v>8625.19</v>
      </c>
      <c r="R3433" s="7">
        <v>45536</v>
      </c>
      <c r="S3433" s="6">
        <v>1214.48</v>
      </c>
      <c r="T3433" s="6">
        <v>66.319999999999993</v>
      </c>
      <c r="U3433" s="7">
        <v>45536</v>
      </c>
      <c r="V3433" s="6">
        <v>133.47999999999999</v>
      </c>
      <c r="W3433" s="6">
        <f ca="1">IFERROR(__xludf.DUMMYFUNCTION("IFERROR(GOOGLEFINANCE(B3433,""pe""),V3433)"),41.12)</f>
        <v>41.12</v>
      </c>
      <c r="X3433" s="6">
        <v>-6.12</v>
      </c>
      <c r="Y3433" s="6">
        <v>3.5</v>
      </c>
      <c r="Z3433" s="6">
        <v>2</v>
      </c>
      <c r="AA3433" s="8">
        <v>45352</v>
      </c>
      <c r="AB3433" s="4">
        <v>0.52</v>
      </c>
      <c r="AC3433" s="6">
        <v>1.78</v>
      </c>
      <c r="AD3433" s="6">
        <v>5.49</v>
      </c>
      <c r="AE3433" s="1">
        <v>0</v>
      </c>
      <c r="AF3433" s="1">
        <f ca="1">IFERROR(__xludf.DUMMYFUNCTION("IFERROR(GOOGLEFINANCE(TRIM(F3433)&amp;"":"" &amp; TRIM(B3433),""high52""),AE3433)"),500)</f>
        <v>500</v>
      </c>
      <c r="AG3433" s="1">
        <v>0</v>
      </c>
      <c r="AH3433" s="1">
        <f ca="1">IFERROR(__xludf.DUMMYFUNCTION("IFERROR(GOOGLEFINANCE(TRIM(F3433)&amp;"":"" &amp; TRIM(B3433),""low52""),AE3433)"),259.5)</f>
        <v>259.5</v>
      </c>
      <c r="AI3433" s="1">
        <f ca="1">IFERROR(__xludf.DUMMYFUNCTION("IFERROR(GOOGLEFINANCE(B3433,""eps""),0)"),7.02)</f>
        <v>7.02</v>
      </c>
      <c r="AJ3433" s="1"/>
      <c r="AK3433" s="1" t="s">
        <v>10518</v>
      </c>
      <c r="AL3433" s="9">
        <f t="shared" ref="AL3433:AL3443" si="328">IF(AA3433&lt;&gt;AB3433,1,0)</f>
        <v>1</v>
      </c>
    </row>
    <row r="3434" spans="1:38" ht="15" x14ac:dyDescent="0.25">
      <c r="A3434" s="1" t="s">
        <v>10519</v>
      </c>
      <c r="B3434" s="1" t="s">
        <v>10520</v>
      </c>
      <c r="C3434" s="1" t="s">
        <v>231</v>
      </c>
      <c r="D3434" s="1" t="s">
        <v>231</v>
      </c>
      <c r="E3434" s="6">
        <v>3050.98</v>
      </c>
      <c r="F3434" s="1" t="s">
        <v>40</v>
      </c>
      <c r="G3434" s="6">
        <f ca="1">IFERROR(__xludf.DUMMYFUNCTION("iferror(GOOGLEFINANCE(TRIM(F3434)&amp;"":"" &amp; TRIM(B3434), ""price""),0
)"),43.81)</f>
        <v>43.81</v>
      </c>
      <c r="H3434" s="6">
        <v>65.5</v>
      </c>
      <c r="I3434" s="6">
        <f t="shared" ca="1" si="0"/>
        <v>43.81</v>
      </c>
      <c r="J3434" s="6">
        <f ca="1">IFERROR(__xludf.DUMMYFUNCTION("IFERROR(GOOGLEFINANCE(B3434, ""volume""), 0)"),371536)</f>
        <v>371536</v>
      </c>
      <c r="K3434" s="6">
        <v>0.2</v>
      </c>
      <c r="L3434" s="6">
        <f ca="1">IFERROR(__xludf.DUMMYFUNCTION("IFERROR(GOOGLEFINANCE(B3434,""changepct""),K3434)"),-0.68)</f>
        <v>-0.68</v>
      </c>
      <c r="M3434" s="6">
        <f ca="1">IFERROR(__xludf.DUMMYFUNCTION("IFERROR(GOOGLEFINANCE(B3434,""change""),0)"),-0.3)</f>
        <v>-0.3</v>
      </c>
      <c r="N3434" s="6">
        <v>1</v>
      </c>
      <c r="O3434" s="7">
        <v>45536</v>
      </c>
      <c r="P3434" s="9"/>
      <c r="Q3434" s="6">
        <v>2997.77</v>
      </c>
      <c r="R3434" s="7">
        <v>45536</v>
      </c>
      <c r="S3434" s="6">
        <v>16.16</v>
      </c>
      <c r="T3434" s="6">
        <v>48.31</v>
      </c>
      <c r="U3434" s="7">
        <v>45536</v>
      </c>
      <c r="V3434" s="6">
        <v>63.15</v>
      </c>
      <c r="W3434" s="6">
        <f ca="1">IFERROR(__xludf.DUMMYFUNCTION("IFERROR(GOOGLEFINANCE(B3434,""pe""),V3434)"),63.15)</f>
        <v>63.15</v>
      </c>
      <c r="X3434" s="9"/>
      <c r="Y3434" s="6">
        <v>0.95</v>
      </c>
      <c r="Z3434" s="6">
        <v>1</v>
      </c>
      <c r="AA3434" s="8">
        <v>45352</v>
      </c>
      <c r="AB3434" s="4">
        <v>0</v>
      </c>
      <c r="AC3434" s="6">
        <v>1.48</v>
      </c>
      <c r="AD3434" s="6">
        <v>1.72</v>
      </c>
      <c r="AE3434" s="1">
        <v>0</v>
      </c>
      <c r="AF3434" s="1">
        <f ca="1">IFERROR(__xludf.DUMMYFUNCTION("IFERROR(GOOGLEFINANCE(TRIM(F3434)&amp;"":"" &amp; TRIM(B3434),""high52""),AE3434)"),65.45)</f>
        <v>65.45</v>
      </c>
      <c r="AG3434" s="1">
        <v>0</v>
      </c>
      <c r="AH3434" s="1">
        <f ca="1">IFERROR(__xludf.DUMMYFUNCTION("IFERROR(GOOGLEFINANCE(TRIM(F3434)&amp;"":"" &amp; TRIM(B3434),""low52""),AE3434)"),42.85)</f>
        <v>42.85</v>
      </c>
      <c r="AI3434" s="1">
        <f ca="1">IFERROR(__xludf.DUMMYFUNCTION("IFERROR(GOOGLEFINANCE(B3434,""eps""),0)"),-4.22)</f>
        <v>-4.22</v>
      </c>
      <c r="AJ3434" s="1"/>
      <c r="AK3434" s="1" t="s">
        <v>10521</v>
      </c>
      <c r="AL3434" s="9">
        <f t="shared" si="328"/>
        <v>1</v>
      </c>
    </row>
    <row r="3435" spans="1:38" ht="15" x14ac:dyDescent="0.25">
      <c r="A3435" s="1" t="s">
        <v>10522</v>
      </c>
      <c r="B3435" s="1" t="s">
        <v>10523</v>
      </c>
      <c r="C3435" s="1" t="s">
        <v>231</v>
      </c>
      <c r="D3435" s="1" t="s">
        <v>231</v>
      </c>
      <c r="E3435" s="6">
        <v>9977.41</v>
      </c>
      <c r="F3435" s="1" t="s">
        <v>40</v>
      </c>
      <c r="G3435" s="6">
        <f ca="1">IFERROR(__xludf.DUMMYFUNCTION("iferror(GOOGLEFINANCE(TRIM(F3435)&amp;"":"" &amp; TRIM(B3435), ""price""),0
)"),218)</f>
        <v>218</v>
      </c>
      <c r="H3435" s="6">
        <v>215.49</v>
      </c>
      <c r="I3435" s="6">
        <f t="shared" ca="1" si="0"/>
        <v>218</v>
      </c>
      <c r="J3435" s="6">
        <f ca="1">IFERROR(__xludf.DUMMYFUNCTION("IFERROR(GOOGLEFINANCE(B3435, ""volume""), 0)"),5)</f>
        <v>5</v>
      </c>
      <c r="K3435" s="6">
        <v>0.56999999999999995</v>
      </c>
      <c r="L3435" s="6">
        <f ca="1">IFERROR(__xludf.DUMMYFUNCTION("IFERROR(GOOGLEFINANCE(B3435,""changepct""),K3435)"),0.79)</f>
        <v>0.79</v>
      </c>
      <c r="M3435" s="6">
        <f ca="1">IFERROR(__xludf.DUMMYFUNCTION("IFERROR(GOOGLEFINANCE(B3435,""change""),0)"),0.63)</f>
        <v>0.63</v>
      </c>
      <c r="N3435" s="6">
        <v>2</v>
      </c>
      <c r="O3435" s="7">
        <v>45536</v>
      </c>
      <c r="P3435" s="6">
        <v>2028.53</v>
      </c>
      <c r="Q3435" s="6">
        <v>11286.66</v>
      </c>
      <c r="R3435" s="7">
        <v>45536</v>
      </c>
      <c r="S3435" s="6">
        <v>5718.25</v>
      </c>
      <c r="T3435" s="6">
        <v>999.63</v>
      </c>
      <c r="U3435" s="7">
        <v>45536</v>
      </c>
      <c r="V3435" s="6">
        <v>9.74</v>
      </c>
      <c r="W3435" s="6">
        <f ca="1">IFERROR(__xludf.DUMMYFUNCTION("IFERROR(GOOGLEFINANCE(B3435,""pe""),V3435)"),21.69)</f>
        <v>21.69</v>
      </c>
      <c r="X3435" s="6">
        <v>0.15</v>
      </c>
      <c r="Y3435" s="6">
        <v>1.24</v>
      </c>
      <c r="Z3435" s="6">
        <v>2</v>
      </c>
      <c r="AA3435" s="8">
        <v>45352</v>
      </c>
      <c r="AB3435" s="4">
        <v>0.38</v>
      </c>
      <c r="AC3435" s="6">
        <v>9.4</v>
      </c>
      <c r="AD3435" s="6">
        <v>8.1999999999999993</v>
      </c>
      <c r="AE3435" s="1">
        <v>0</v>
      </c>
      <c r="AF3435" s="1">
        <f ca="1">IFERROR(__xludf.DUMMYFUNCTION("IFERROR(GOOGLEFINANCE(TRIM(F3435)&amp;"":"" &amp; TRIM(B3435),""high52""),AE3435)"),280.5)</f>
        <v>280.5</v>
      </c>
      <c r="AG3435" s="1">
        <v>0</v>
      </c>
      <c r="AH3435" s="1">
        <f ca="1">IFERROR(__xludf.DUMMYFUNCTION("IFERROR(GOOGLEFINANCE(TRIM(F3435)&amp;"":"" &amp; TRIM(B3435),""low52""),AE3435)"),138.26)</f>
        <v>138.26</v>
      </c>
      <c r="AI3435" s="1">
        <f ca="1">IFERROR(__xludf.DUMMYFUNCTION("IFERROR(GOOGLEFINANCE(B3435,""eps""),0)"),3.71)</f>
        <v>3.71</v>
      </c>
      <c r="AJ3435" s="1"/>
      <c r="AK3435" s="1" t="s">
        <v>10524</v>
      </c>
      <c r="AL3435" s="9">
        <f t="shared" si="328"/>
        <v>1</v>
      </c>
    </row>
    <row r="3436" spans="1:38" ht="15" x14ac:dyDescent="0.25">
      <c r="A3436" s="1" t="s">
        <v>10525</v>
      </c>
      <c r="B3436" s="1" t="s">
        <v>10526</v>
      </c>
      <c r="C3436" s="1" t="s">
        <v>227</v>
      </c>
      <c r="D3436" s="1" t="s">
        <v>227</v>
      </c>
      <c r="E3436" s="6">
        <v>340.01</v>
      </c>
      <c r="F3436" s="1" t="s">
        <v>40</v>
      </c>
      <c r="G3436" s="6">
        <f ca="1">IFERROR(__xludf.DUMMYFUNCTION("iferror(GOOGLEFINANCE(TRIM(F3436)&amp;"":"" &amp; TRIM(B3436), ""price""),0
)"),323)</f>
        <v>323</v>
      </c>
      <c r="H3436" s="6">
        <v>250</v>
      </c>
      <c r="I3436" s="6">
        <f t="shared" ca="1" si="0"/>
        <v>323</v>
      </c>
      <c r="J3436" s="6">
        <f ca="1">IFERROR(__xludf.DUMMYFUNCTION("IFERROR(GOOGLEFINANCE(B3436, ""volume""), 0)"),0)</f>
        <v>0</v>
      </c>
      <c r="K3436" s="9"/>
      <c r="L3436" s="6">
        <f ca="1">IFERROR(__xludf.DUMMYFUNCTION("IFERROR(GOOGLEFINANCE(B3436,""changepct""),K3436)"),0)</f>
        <v>0</v>
      </c>
      <c r="M3436" s="6">
        <f ca="1">IFERROR(__xludf.DUMMYFUNCTION("IFERROR(GOOGLEFINANCE(B3436,""change""),0)"),0)</f>
        <v>0</v>
      </c>
      <c r="N3436" s="6">
        <v>1</v>
      </c>
      <c r="O3436" s="7">
        <v>45536</v>
      </c>
      <c r="P3436" s="6">
        <v>74.17</v>
      </c>
      <c r="Q3436" s="6">
        <v>414.18</v>
      </c>
      <c r="R3436" s="7">
        <v>45352</v>
      </c>
      <c r="S3436" s="6">
        <v>547.53</v>
      </c>
      <c r="T3436" s="6">
        <v>10.17</v>
      </c>
      <c r="U3436" s="7">
        <v>45352</v>
      </c>
      <c r="V3436" s="6">
        <v>33.44</v>
      </c>
      <c r="W3436" s="6">
        <f ca="1">IFERROR(__xludf.DUMMYFUNCTION("IFERROR(GOOGLEFINANCE(B3436,""pe""),V3436)"),87.21)</f>
        <v>87.21</v>
      </c>
      <c r="X3436" s="6">
        <v>2.75</v>
      </c>
      <c r="Y3436" s="6">
        <v>3.21</v>
      </c>
      <c r="Z3436" s="6">
        <v>1</v>
      </c>
      <c r="AA3436" s="8">
        <v>45352</v>
      </c>
      <c r="AB3436" s="4">
        <v>0.65</v>
      </c>
      <c r="AC3436" s="6">
        <v>10.08</v>
      </c>
      <c r="AD3436" s="6">
        <v>12.44</v>
      </c>
      <c r="AE3436" s="1">
        <v>0</v>
      </c>
      <c r="AF3436" s="1">
        <f ca="1">IFERROR(__xludf.DUMMYFUNCTION("IFERROR(GOOGLEFINANCE(TRIM(F3436)&amp;"":"" &amp; TRIM(B3436),""high52""),AE3436)"),360.55)</f>
        <v>360.55</v>
      </c>
      <c r="AG3436" s="1">
        <v>0</v>
      </c>
      <c r="AH3436" s="1">
        <f ca="1">IFERROR(__xludf.DUMMYFUNCTION("IFERROR(GOOGLEFINANCE(TRIM(F3436)&amp;"":"" &amp; TRIM(B3436),""low52""),AE3436)"),280)</f>
        <v>280</v>
      </c>
      <c r="AI3436" s="1">
        <f ca="1">IFERROR(__xludf.DUMMYFUNCTION("IFERROR(GOOGLEFINANCE(B3436,""eps""),0)"),3.7)</f>
        <v>3.7</v>
      </c>
      <c r="AJ3436" s="1"/>
      <c r="AK3436" s="1" t="s">
        <v>10527</v>
      </c>
      <c r="AL3436" s="9">
        <f t="shared" si="328"/>
        <v>1</v>
      </c>
    </row>
    <row r="3437" spans="1:38" ht="15" x14ac:dyDescent="0.25">
      <c r="A3437" s="1" t="s">
        <v>10528</v>
      </c>
      <c r="B3437" s="1" t="s">
        <v>10529</v>
      </c>
      <c r="C3437" s="1" t="s">
        <v>186</v>
      </c>
      <c r="D3437" s="1" t="s">
        <v>186</v>
      </c>
      <c r="E3437" s="6">
        <v>88.26</v>
      </c>
      <c r="F3437" s="1" t="s">
        <v>40</v>
      </c>
      <c r="G3437" s="6">
        <f ca="1">IFERROR(__xludf.DUMMYFUNCTION("iferror(GOOGLEFINANCE(TRIM(F3437)&amp;"":"" &amp; TRIM(B3437), ""price""),0
)"),53.11)</f>
        <v>53.11</v>
      </c>
      <c r="H3437" s="6">
        <v>100.15</v>
      </c>
      <c r="I3437" s="6">
        <f t="shared" ca="1" si="0"/>
        <v>53.11</v>
      </c>
      <c r="J3437" s="6">
        <f ca="1">IFERROR(__xludf.DUMMYFUNCTION("IFERROR(GOOGLEFINANCE(B3437, ""volume""), 0)"),1659)</f>
        <v>1659</v>
      </c>
      <c r="K3437" s="6">
        <v>0.01</v>
      </c>
      <c r="L3437" s="6">
        <f ca="1">IFERROR(__xludf.DUMMYFUNCTION("IFERROR(GOOGLEFINANCE(B3437,""changepct""),K3437)"),0.99)</f>
        <v>0.99</v>
      </c>
      <c r="M3437" s="6">
        <f ca="1">IFERROR(__xludf.DUMMYFUNCTION("IFERROR(GOOGLEFINANCE(B3437,""change""),0)"),0.52)</f>
        <v>0.52</v>
      </c>
      <c r="N3437" s="6">
        <v>1</v>
      </c>
      <c r="O3437" s="7">
        <v>45536</v>
      </c>
      <c r="P3437" s="6">
        <v>11.75</v>
      </c>
      <c r="Q3437" s="6">
        <v>99.77</v>
      </c>
      <c r="R3437" s="7">
        <v>45536</v>
      </c>
      <c r="S3437" s="6">
        <v>175.04</v>
      </c>
      <c r="T3437" s="6">
        <v>-2.0499999999999998</v>
      </c>
      <c r="U3437" s="7">
        <v>45536</v>
      </c>
      <c r="V3437" s="6">
        <v>0</v>
      </c>
      <c r="W3437" s="6">
        <f ca="1">IFERROR(__xludf.DUMMYFUNCTION("IFERROR(GOOGLEFINANCE(B3437,""pe""),V3437)"),0)</f>
        <v>0</v>
      </c>
      <c r="X3437" s="9"/>
      <c r="Y3437" s="6">
        <v>0.93</v>
      </c>
      <c r="Z3437" s="6">
        <v>1</v>
      </c>
      <c r="AA3437" s="8">
        <v>45352</v>
      </c>
      <c r="AB3437" s="4">
        <v>0.11</v>
      </c>
      <c r="AC3437" s="6">
        <v>-3.31</v>
      </c>
      <c r="AD3437" s="6">
        <v>-3.07</v>
      </c>
      <c r="AE3437" s="1">
        <v>0</v>
      </c>
      <c r="AF3437" s="1">
        <f ca="1">IFERROR(__xludf.DUMMYFUNCTION("IFERROR(GOOGLEFINANCE(TRIM(F3437)&amp;"":"" &amp; TRIM(B3437),""high52""),AE3437)"),97.01)</f>
        <v>97.01</v>
      </c>
      <c r="AG3437" s="1">
        <v>0</v>
      </c>
      <c r="AH3437" s="1">
        <f ca="1">IFERROR(__xludf.DUMMYFUNCTION("IFERROR(GOOGLEFINANCE(TRIM(F3437)&amp;"":"" &amp; TRIM(B3437),""low52""),AE3437)"),51.19)</f>
        <v>51.19</v>
      </c>
      <c r="AI3437" s="1">
        <f ca="1">IFERROR(__xludf.DUMMYFUNCTION("IFERROR(GOOGLEFINANCE(B3437,""eps""),0)"),-3.5)</f>
        <v>-3.5</v>
      </c>
      <c r="AJ3437" s="1"/>
      <c r="AK3437" s="1" t="s">
        <v>10530</v>
      </c>
      <c r="AL3437" s="9">
        <f t="shared" si="328"/>
        <v>1</v>
      </c>
    </row>
    <row r="3438" spans="1:38" ht="15" x14ac:dyDescent="0.25">
      <c r="A3438" s="1" t="s">
        <v>10531</v>
      </c>
      <c r="B3438" s="1" t="s">
        <v>10532</v>
      </c>
      <c r="C3438" s="1" t="s">
        <v>778</v>
      </c>
      <c r="D3438" s="1" t="s">
        <v>778</v>
      </c>
      <c r="E3438" s="6">
        <v>4.7300000000000004</v>
      </c>
      <c r="F3438" s="1" t="s">
        <v>53</v>
      </c>
      <c r="G3438" s="6">
        <f ca="1">IFERROR(__xludf.DUMMYFUNCTION("iferror(GOOGLEFINANCE(TRIM(F3438)&amp;"":"" &amp; TRIM(B3438), ""price""),0
)"),0)</f>
        <v>0</v>
      </c>
      <c r="H3438" s="6">
        <v>16</v>
      </c>
      <c r="I3438" s="6">
        <f t="shared" ca="1" si="0"/>
        <v>16</v>
      </c>
      <c r="J3438" s="6">
        <f ca="1">IFERROR(__xludf.DUMMYFUNCTION("IFERROR(GOOGLEFINANCE(B3438, ""volume""), 0)"),0)</f>
        <v>0</v>
      </c>
      <c r="K3438" s="6">
        <v>6.67</v>
      </c>
      <c r="L3438" s="6">
        <f ca="1">IFERROR(__xludf.DUMMYFUNCTION("IFERROR(GOOGLEFINANCE(B3438,""changepct""),K3438)"),6.67)</f>
        <v>6.67</v>
      </c>
      <c r="M3438" s="6">
        <f ca="1">IFERROR(__xludf.DUMMYFUNCTION("IFERROR(GOOGLEFINANCE(B3438,""change""),0)"),0)</f>
        <v>0</v>
      </c>
      <c r="N3438" s="6">
        <v>1</v>
      </c>
      <c r="O3438" s="7">
        <v>45536</v>
      </c>
      <c r="P3438" s="6">
        <v>0.1</v>
      </c>
      <c r="Q3438" s="6">
        <v>4.83</v>
      </c>
      <c r="R3438" s="7">
        <v>45536</v>
      </c>
      <c r="S3438" s="6">
        <v>2.67</v>
      </c>
      <c r="T3438" s="6">
        <v>0.08</v>
      </c>
      <c r="U3438" s="7">
        <v>45536</v>
      </c>
      <c r="V3438" s="6">
        <v>56.97</v>
      </c>
      <c r="W3438" s="6">
        <f ca="1">IFERROR(__xludf.DUMMYFUNCTION("IFERROR(GOOGLEFINANCE(B3438,""pe""),V3438)"),56.97)</f>
        <v>56.97</v>
      </c>
      <c r="X3438" s="6">
        <v>1.51</v>
      </c>
      <c r="Y3438" s="6">
        <v>1.44</v>
      </c>
      <c r="Z3438" s="6">
        <v>1</v>
      </c>
      <c r="AA3438" s="8">
        <v>45352</v>
      </c>
      <c r="AB3438" s="4">
        <v>0.03</v>
      </c>
      <c r="AC3438" s="6">
        <v>3.78</v>
      </c>
      <c r="AD3438" s="6">
        <v>3.29</v>
      </c>
      <c r="AE3438" s="1">
        <v>0</v>
      </c>
      <c r="AF3438" s="1">
        <f ca="1">IFERROR(__xludf.DUMMYFUNCTION("IFERROR(GOOGLEFINANCE(TRIM(F3438)&amp;"":"" &amp; TRIM(B3438),""high52""),AE3438)"),0)</f>
        <v>0</v>
      </c>
      <c r="AG3438" s="1">
        <v>0</v>
      </c>
      <c r="AH3438" s="1">
        <f ca="1">IFERROR(__xludf.DUMMYFUNCTION("IFERROR(GOOGLEFINANCE(TRIM(F3438)&amp;"":"" &amp; TRIM(B3438),""low52""),AE3438)"),0)</f>
        <v>0</v>
      </c>
      <c r="AI3438" s="1">
        <f ca="1">IFERROR(__xludf.DUMMYFUNCTION("IFERROR(GOOGLEFINANCE(B3438,""eps""),0)"),0)</f>
        <v>0</v>
      </c>
      <c r="AJ3438" s="1"/>
      <c r="AK3438" s="1" t="s">
        <v>10533</v>
      </c>
      <c r="AL3438" s="9">
        <f t="shared" si="328"/>
        <v>1</v>
      </c>
    </row>
    <row r="3439" spans="1:38" ht="15" x14ac:dyDescent="0.25">
      <c r="A3439" s="1" t="s">
        <v>10534</v>
      </c>
      <c r="B3439" s="1" t="s">
        <v>10535</v>
      </c>
      <c r="C3439" s="1" t="s">
        <v>706</v>
      </c>
      <c r="D3439" s="1" t="s">
        <v>706</v>
      </c>
      <c r="E3439" s="6">
        <v>288.10000000000002</v>
      </c>
      <c r="F3439" s="1" t="s">
        <v>40</v>
      </c>
      <c r="G3439" s="6">
        <f ca="1">IFERROR(__xludf.DUMMYFUNCTION("iferror(GOOGLEFINANCE(TRIM(F3439)&amp;"":"" &amp; TRIM(B3439), ""price""),0
)"),164.66)</f>
        <v>164.66</v>
      </c>
      <c r="H3439" s="6">
        <v>223.56</v>
      </c>
      <c r="I3439" s="6">
        <f t="shared" ca="1" si="0"/>
        <v>164.66</v>
      </c>
      <c r="J3439" s="6">
        <f ca="1">IFERROR(__xludf.DUMMYFUNCTION("IFERROR(GOOGLEFINANCE(B3439, ""volume""), 0)"),1363)</f>
        <v>1363</v>
      </c>
      <c r="K3439" s="6">
        <v>0.44</v>
      </c>
      <c r="L3439" s="6">
        <f ca="1">IFERROR(__xludf.DUMMYFUNCTION("IFERROR(GOOGLEFINANCE(B3439,""changepct""),K3439)"),0.35)</f>
        <v>0.35</v>
      </c>
      <c r="M3439" s="6">
        <f ca="1">IFERROR(__xludf.DUMMYFUNCTION("IFERROR(GOOGLEFINANCE(B3439,""change""),0)"),0.58)</f>
        <v>0.57999999999999996</v>
      </c>
      <c r="N3439" s="6">
        <v>2</v>
      </c>
      <c r="O3439" s="7">
        <v>45536</v>
      </c>
      <c r="P3439" s="6">
        <v>108.33</v>
      </c>
      <c r="Q3439" s="6">
        <v>391.04</v>
      </c>
      <c r="R3439" s="7">
        <v>45536</v>
      </c>
      <c r="S3439" s="6">
        <v>302.26</v>
      </c>
      <c r="T3439" s="6">
        <v>1.84</v>
      </c>
      <c r="U3439" s="7">
        <v>45536</v>
      </c>
      <c r="V3439" s="6">
        <v>156.49</v>
      </c>
      <c r="W3439" s="6">
        <f ca="1">IFERROR(__xludf.DUMMYFUNCTION("IFERROR(GOOGLEFINANCE(B3439,""pe""),V3439)"),13.16)</f>
        <v>13.16</v>
      </c>
      <c r="X3439" s="12"/>
      <c r="Y3439" s="6">
        <v>2.27</v>
      </c>
      <c r="Z3439" s="6">
        <v>2</v>
      </c>
      <c r="AA3439" s="8">
        <v>45352</v>
      </c>
      <c r="AB3439" s="4">
        <v>0.78</v>
      </c>
      <c r="AC3439" s="6">
        <v>-7.25</v>
      </c>
      <c r="AD3439" s="6">
        <v>-0.77</v>
      </c>
      <c r="AE3439" s="1">
        <v>0</v>
      </c>
      <c r="AF3439" s="1">
        <f ca="1">IFERROR(__xludf.DUMMYFUNCTION("IFERROR(GOOGLEFINANCE(TRIM(F3439)&amp;"":"" &amp; TRIM(B3439),""high52""),AE3439)"),241.99)</f>
        <v>241.99</v>
      </c>
      <c r="AG3439" s="1">
        <v>0</v>
      </c>
      <c r="AH3439" s="1">
        <f ca="1">IFERROR(__xludf.DUMMYFUNCTION("IFERROR(GOOGLEFINANCE(TRIM(F3439)&amp;"":"" &amp; TRIM(B3439),""low52""),AE3439)"),160)</f>
        <v>160</v>
      </c>
      <c r="AI3439" s="1">
        <f ca="1">IFERROR(__xludf.DUMMYFUNCTION("IFERROR(GOOGLEFINANCE(B3439,""eps""),0)"),12.51)</f>
        <v>12.51</v>
      </c>
      <c r="AJ3439" s="1"/>
      <c r="AK3439" s="1" t="s">
        <v>10536</v>
      </c>
      <c r="AL3439" s="9">
        <f t="shared" si="328"/>
        <v>1</v>
      </c>
    </row>
    <row r="3440" spans="1:38" ht="15" x14ac:dyDescent="0.25">
      <c r="A3440" s="1" t="s">
        <v>10537</v>
      </c>
      <c r="B3440" s="1" t="s">
        <v>10538</v>
      </c>
      <c r="C3440" s="1" t="s">
        <v>125</v>
      </c>
      <c r="D3440" s="1" t="s">
        <v>125</v>
      </c>
      <c r="E3440" s="6">
        <v>570.94000000000005</v>
      </c>
      <c r="F3440" s="1" t="s">
        <v>40</v>
      </c>
      <c r="G3440" s="6">
        <f ca="1">IFERROR(__xludf.DUMMYFUNCTION("iferror(GOOGLEFINANCE(TRIM(F3440)&amp;"":"" &amp; TRIM(B3440), ""price""),0
)"),0)</f>
        <v>0</v>
      </c>
      <c r="H3440" s="6">
        <v>237</v>
      </c>
      <c r="I3440" s="6">
        <f t="shared" ca="1" si="0"/>
        <v>237</v>
      </c>
      <c r="J3440" s="6">
        <f ca="1">IFERROR(__xludf.DUMMYFUNCTION("IFERROR(GOOGLEFINANCE(B3440, ""volume""), 0)"),0)</f>
        <v>0</v>
      </c>
      <c r="K3440" s="6">
        <v>0.11</v>
      </c>
      <c r="L3440" s="6">
        <f ca="1">IFERROR(__xludf.DUMMYFUNCTION("IFERROR(GOOGLEFINANCE(B3440,""changepct""),K3440)"),0.11)</f>
        <v>0.11</v>
      </c>
      <c r="M3440" s="6">
        <f ca="1">IFERROR(__xludf.DUMMYFUNCTION("IFERROR(GOOGLEFINANCE(B3440,""change""),0)"),0)</f>
        <v>0</v>
      </c>
      <c r="N3440" s="6">
        <v>1</v>
      </c>
      <c r="O3440" s="7">
        <v>45536</v>
      </c>
      <c r="P3440" s="6">
        <v>5.37</v>
      </c>
      <c r="Q3440" s="6">
        <v>576.30999999999995</v>
      </c>
      <c r="R3440" s="7">
        <v>45352</v>
      </c>
      <c r="S3440" s="6">
        <v>102.18</v>
      </c>
      <c r="T3440" s="6">
        <v>11.21</v>
      </c>
      <c r="U3440" s="7">
        <v>45352</v>
      </c>
      <c r="V3440" s="6">
        <v>50.92</v>
      </c>
      <c r="W3440" s="6">
        <f ca="1">IFERROR(__xludf.DUMMYFUNCTION("IFERROR(GOOGLEFINANCE(B3440,""pe""),V3440)"),50.92)</f>
        <v>50.92</v>
      </c>
      <c r="X3440" s="12"/>
      <c r="Y3440" s="6">
        <v>5.49</v>
      </c>
      <c r="Z3440" s="6">
        <v>1</v>
      </c>
      <c r="AA3440" s="8">
        <v>45352</v>
      </c>
      <c r="AB3440" s="4">
        <v>0.8</v>
      </c>
      <c r="AC3440" s="6">
        <v>35.51</v>
      </c>
      <c r="AD3440" s="6">
        <v>30.67</v>
      </c>
      <c r="AE3440" s="1">
        <v>0</v>
      </c>
      <c r="AF3440" s="1">
        <f ca="1">IFERROR(__xludf.DUMMYFUNCTION("IFERROR(GOOGLEFINANCE(TRIM(F3440)&amp;"":"" &amp; TRIM(B3440),""high52""),AE3440)"),0)</f>
        <v>0</v>
      </c>
      <c r="AG3440" s="1">
        <v>0</v>
      </c>
      <c r="AH3440" s="1">
        <f ca="1">IFERROR(__xludf.DUMMYFUNCTION("IFERROR(GOOGLEFINANCE(TRIM(F3440)&amp;"":"" &amp; TRIM(B3440),""low52""),AE3440)"),0)</f>
        <v>0</v>
      </c>
      <c r="AI3440" s="1">
        <f ca="1">IFERROR(__xludf.DUMMYFUNCTION("IFERROR(GOOGLEFINANCE(B3440,""eps""),0)"),0)</f>
        <v>0</v>
      </c>
      <c r="AJ3440" s="1"/>
      <c r="AK3440" s="1" t="s">
        <v>10539</v>
      </c>
      <c r="AL3440" s="9">
        <f t="shared" si="328"/>
        <v>1</v>
      </c>
    </row>
    <row r="3441" spans="1:38" ht="15" x14ac:dyDescent="0.25">
      <c r="A3441" s="1" t="s">
        <v>10540</v>
      </c>
      <c r="B3441" s="1" t="s">
        <v>10541</v>
      </c>
      <c r="C3441" s="1" t="s">
        <v>1497</v>
      </c>
      <c r="D3441" s="1" t="s">
        <v>1497</v>
      </c>
      <c r="E3441" s="6">
        <v>3399.51</v>
      </c>
      <c r="F3441" s="1" t="s">
        <v>40</v>
      </c>
      <c r="G3441" s="6">
        <f ca="1">IFERROR(__xludf.DUMMYFUNCTION("iferror(GOOGLEFINANCE(TRIM(F3441)&amp;"":"" &amp; TRIM(B3441), ""price""),0
)"),418.5)</f>
        <v>418.5</v>
      </c>
      <c r="H3441" s="6">
        <v>597.20000000000005</v>
      </c>
      <c r="I3441" s="6">
        <f t="shared" ca="1" si="0"/>
        <v>418.5</v>
      </c>
      <c r="J3441" s="6">
        <f ca="1">IFERROR(__xludf.DUMMYFUNCTION("IFERROR(GOOGLEFINANCE(B3441, ""volume""), 0)"),46352)</f>
        <v>46352</v>
      </c>
      <c r="K3441" s="6">
        <v>1.42</v>
      </c>
      <c r="L3441" s="6">
        <f ca="1">IFERROR(__xludf.DUMMYFUNCTION("IFERROR(GOOGLEFINANCE(B3441,""changepct""),K3441)"),-0.45)</f>
        <v>-0.45</v>
      </c>
      <c r="M3441" s="6">
        <f ca="1">IFERROR(__xludf.DUMMYFUNCTION("IFERROR(GOOGLEFINANCE(B3441,""change""),0)"),-1.9)</f>
        <v>-1.9</v>
      </c>
      <c r="N3441" s="6">
        <v>2</v>
      </c>
      <c r="O3441" s="7">
        <v>45536</v>
      </c>
      <c r="P3441" s="6">
        <v>38.54</v>
      </c>
      <c r="Q3441" s="6">
        <v>3383.17</v>
      </c>
      <c r="R3441" s="7">
        <v>45536</v>
      </c>
      <c r="S3441" s="6">
        <v>506.6</v>
      </c>
      <c r="T3441" s="6">
        <v>76.75</v>
      </c>
      <c r="U3441" s="7">
        <v>45536</v>
      </c>
      <c r="V3441" s="6">
        <v>42.28</v>
      </c>
      <c r="W3441" s="6">
        <f ca="1">IFERROR(__xludf.DUMMYFUNCTION("IFERROR(GOOGLEFINANCE(B3441,""pe""),V3441)"),27.69)</f>
        <v>27.69</v>
      </c>
      <c r="X3441" s="6">
        <v>1.44</v>
      </c>
      <c r="Y3441" s="6">
        <v>9.11</v>
      </c>
      <c r="Z3441" s="6">
        <v>2</v>
      </c>
      <c r="AA3441" s="8">
        <v>45352</v>
      </c>
      <c r="AB3441" s="4">
        <v>0.12</v>
      </c>
      <c r="AC3441" s="6">
        <v>27.76</v>
      </c>
      <c r="AD3441" s="6">
        <v>32.99</v>
      </c>
      <c r="AE3441" s="1">
        <v>0</v>
      </c>
      <c r="AF3441" s="1">
        <f ca="1">IFERROR(__xludf.DUMMYFUNCTION("IFERROR(GOOGLEFINANCE(TRIM(F3441)&amp;"":"" &amp; TRIM(B3441),""high52""),AE3441)"),605)</f>
        <v>605</v>
      </c>
      <c r="AG3441" s="1">
        <v>0</v>
      </c>
      <c r="AH3441" s="1">
        <f ca="1">IFERROR(__xludf.DUMMYFUNCTION("IFERROR(GOOGLEFINANCE(TRIM(F3441)&amp;"":"" &amp; TRIM(B3441),""low52""),AE3441)"),342)</f>
        <v>342</v>
      </c>
      <c r="AI3441" s="1">
        <f ca="1">IFERROR(__xludf.DUMMYFUNCTION("IFERROR(GOOGLEFINANCE(B3441,""eps""),0)"),15.11)</f>
        <v>15.11</v>
      </c>
      <c r="AJ3441" s="1"/>
      <c r="AK3441" s="1" t="s">
        <v>10542</v>
      </c>
      <c r="AL3441" s="9">
        <f t="shared" si="328"/>
        <v>1</v>
      </c>
    </row>
    <row r="3442" spans="1:38" ht="15" x14ac:dyDescent="0.25">
      <c r="A3442" s="1" t="s">
        <v>10543</v>
      </c>
      <c r="B3442" s="1" t="s">
        <v>10544</v>
      </c>
      <c r="C3442" s="1" t="s">
        <v>778</v>
      </c>
      <c r="D3442" s="1" t="s">
        <v>778</v>
      </c>
      <c r="E3442" s="6">
        <v>45.04</v>
      </c>
      <c r="F3442" s="1" t="s">
        <v>53</v>
      </c>
      <c r="G3442" s="6">
        <f ca="1">IFERROR(__xludf.DUMMYFUNCTION("iferror(GOOGLEFINANCE(TRIM(F3442)&amp;"":"" &amp; TRIM(B3442), ""price""),0
)"),0)</f>
        <v>0</v>
      </c>
      <c r="H3442" s="6">
        <v>91.1</v>
      </c>
      <c r="I3442" s="6">
        <f t="shared" ca="1" si="0"/>
        <v>91.1</v>
      </c>
      <c r="J3442" s="6">
        <f ca="1">IFERROR(__xludf.DUMMYFUNCTION("IFERROR(GOOGLEFINANCE(B3442, ""volume""), 0)"),0)</f>
        <v>0</v>
      </c>
      <c r="K3442" s="9"/>
      <c r="L3442" s="6" t="str">
        <f ca="1">IFERROR(__xludf.DUMMYFUNCTION("IFERROR(GOOGLEFINANCE(B3442,""changepct""),K3442)"),"")</f>
        <v/>
      </c>
      <c r="M3442" s="6">
        <f ca="1">IFERROR(__xludf.DUMMYFUNCTION("IFERROR(GOOGLEFINANCE(B3442,""change""),0)"),0)</f>
        <v>0</v>
      </c>
      <c r="N3442" s="6">
        <v>1</v>
      </c>
      <c r="O3442" s="7">
        <v>45536</v>
      </c>
      <c r="P3442" s="6">
        <v>1.01</v>
      </c>
      <c r="Q3442" s="6">
        <v>46.05</v>
      </c>
      <c r="R3442" s="7">
        <v>45536</v>
      </c>
      <c r="S3442" s="6">
        <v>0</v>
      </c>
      <c r="T3442" s="6">
        <v>-0.34</v>
      </c>
      <c r="U3442" s="7">
        <v>45536</v>
      </c>
      <c r="V3442" s="6">
        <v>0</v>
      </c>
      <c r="W3442" s="6">
        <f ca="1">IFERROR(__xludf.DUMMYFUNCTION("IFERROR(GOOGLEFINANCE(B3442,""pe""),V3442)"),0)</f>
        <v>0</v>
      </c>
      <c r="X3442" s="12"/>
      <c r="Y3442" s="6">
        <v>24.05</v>
      </c>
      <c r="Z3442" s="6">
        <v>1</v>
      </c>
      <c r="AA3442" s="8">
        <v>45352</v>
      </c>
      <c r="AB3442" s="4">
        <v>0.52</v>
      </c>
      <c r="AC3442" s="6">
        <v>-22.84</v>
      </c>
      <c r="AD3442" s="6">
        <v>-13.61</v>
      </c>
      <c r="AE3442" s="1">
        <v>0</v>
      </c>
      <c r="AF3442" s="1">
        <f ca="1">IFERROR(__xludf.DUMMYFUNCTION("IFERROR(GOOGLEFINANCE(TRIM(F3442)&amp;"":"" &amp; TRIM(B3442),""high52""),AE3442)"),0)</f>
        <v>0</v>
      </c>
      <c r="AG3442" s="1">
        <v>0</v>
      </c>
      <c r="AH3442" s="1">
        <f ca="1">IFERROR(__xludf.DUMMYFUNCTION("IFERROR(GOOGLEFINANCE(TRIM(F3442)&amp;"":"" &amp; TRIM(B3442),""low52""),AE3442)"),0)</f>
        <v>0</v>
      </c>
      <c r="AI3442" s="1">
        <f ca="1">IFERROR(__xludf.DUMMYFUNCTION("IFERROR(GOOGLEFINANCE(B3442,""eps""),0)"),0)</f>
        <v>0</v>
      </c>
      <c r="AJ3442" s="1"/>
      <c r="AK3442" s="1" t="s">
        <v>10545</v>
      </c>
      <c r="AL3442" s="9">
        <f t="shared" si="328"/>
        <v>1</v>
      </c>
    </row>
    <row r="3443" spans="1:38" ht="15" x14ac:dyDescent="0.25">
      <c r="A3443" s="1" t="s">
        <v>10546</v>
      </c>
      <c r="B3443" s="1" t="s">
        <v>10547</v>
      </c>
      <c r="C3443" s="1" t="s">
        <v>697</v>
      </c>
      <c r="D3443" s="1" t="s">
        <v>697</v>
      </c>
      <c r="E3443" s="6">
        <v>1183.52</v>
      </c>
      <c r="F3443" s="1" t="s">
        <v>40</v>
      </c>
      <c r="G3443" s="6">
        <f ca="1">IFERROR(__xludf.DUMMYFUNCTION("iferror(GOOGLEFINANCE(TRIM(F3443)&amp;"":"" &amp; TRIM(B3443), ""price""),0
)"),299.85)</f>
        <v>299.85000000000002</v>
      </c>
      <c r="H3443" s="6">
        <v>754.8</v>
      </c>
      <c r="I3443" s="6">
        <f t="shared" ca="1" si="0"/>
        <v>299.85000000000002</v>
      </c>
      <c r="J3443" s="6">
        <f ca="1">IFERROR(__xludf.DUMMYFUNCTION("IFERROR(GOOGLEFINANCE(B3443, ""volume""), 0)"),39412)</f>
        <v>39412</v>
      </c>
      <c r="K3443" s="6">
        <v>-1.03</v>
      </c>
      <c r="L3443" s="6">
        <f ca="1">IFERROR(__xludf.DUMMYFUNCTION("IFERROR(GOOGLEFINANCE(B3443,""changepct""),K3443)"),-1.4)</f>
        <v>-1.4</v>
      </c>
      <c r="M3443" s="6">
        <f ca="1">IFERROR(__xludf.DUMMYFUNCTION("IFERROR(GOOGLEFINANCE(B3443,""change""),0)"),-4.25)</f>
        <v>-4.25</v>
      </c>
      <c r="N3443" s="6">
        <v>2</v>
      </c>
      <c r="O3443" s="7">
        <v>45536</v>
      </c>
      <c r="P3443" s="6">
        <v>96.67</v>
      </c>
      <c r="Q3443" s="6">
        <v>1280.2</v>
      </c>
      <c r="R3443" s="7">
        <v>45536</v>
      </c>
      <c r="S3443" s="6">
        <v>298.54000000000002</v>
      </c>
      <c r="T3443" s="6">
        <v>17.239999999999998</v>
      </c>
      <c r="U3443" s="7">
        <v>45536</v>
      </c>
      <c r="V3443" s="6">
        <v>84.33</v>
      </c>
      <c r="W3443" s="6">
        <f ca="1">IFERROR(__xludf.DUMMYFUNCTION("IFERROR(GOOGLEFINANCE(B3443,""pe""),V3443)"),33.78)</f>
        <v>33.78</v>
      </c>
      <c r="X3443" s="6">
        <v>-17.5</v>
      </c>
      <c r="Y3443" s="6">
        <v>2.61</v>
      </c>
      <c r="Z3443" s="6">
        <v>2</v>
      </c>
      <c r="AA3443" s="8">
        <v>45352</v>
      </c>
      <c r="AB3443" s="4">
        <v>0.26</v>
      </c>
      <c r="AC3443" s="6">
        <v>6.08</v>
      </c>
      <c r="AD3443" s="6">
        <v>8.41</v>
      </c>
      <c r="AE3443" s="1">
        <v>0</v>
      </c>
      <c r="AF3443" s="1">
        <f ca="1">IFERROR(__xludf.DUMMYFUNCTION("IFERROR(GOOGLEFINANCE(TRIM(F3443)&amp;"":"" &amp; TRIM(B3443),""high52""),AE3443)"),879.05)</f>
        <v>879.05</v>
      </c>
      <c r="AG3443" s="1">
        <v>0</v>
      </c>
      <c r="AH3443" s="1">
        <f ca="1">IFERROR(__xludf.DUMMYFUNCTION("IFERROR(GOOGLEFINANCE(TRIM(F3443)&amp;"":"" &amp; TRIM(B3443),""low52""),AE3443)"),293)</f>
        <v>293</v>
      </c>
      <c r="AI3443" s="1">
        <f ca="1">IFERROR(__xludf.DUMMYFUNCTION("IFERROR(GOOGLEFINANCE(B3443,""eps""),0)"),8.88)</f>
        <v>8.8800000000000008</v>
      </c>
      <c r="AJ3443" s="1"/>
      <c r="AK3443" s="1" t="s">
        <v>10548</v>
      </c>
      <c r="AL3443" s="9">
        <f t="shared" si="328"/>
        <v>1</v>
      </c>
    </row>
    <row r="3444" spans="1:38" ht="15" x14ac:dyDescent="0.25">
      <c r="A3444" s="1" t="s">
        <v>10549</v>
      </c>
      <c r="B3444" s="1" t="s">
        <v>10550</v>
      </c>
      <c r="C3444" s="1" t="s">
        <v>355</v>
      </c>
      <c r="D3444" s="1" t="s">
        <v>355</v>
      </c>
      <c r="E3444" s="6">
        <v>570.41</v>
      </c>
      <c r="F3444" s="1" t="s">
        <v>40</v>
      </c>
      <c r="G3444" s="6">
        <f ca="1">IFERROR(__xludf.DUMMYFUNCTION("iferror(GOOGLEFINANCE(TRIM(F3444)&amp;"":"" &amp; TRIM(B3444), ""price""),0
)"),21.06)</f>
        <v>21.06</v>
      </c>
      <c r="H3444" s="6">
        <v>48</v>
      </c>
      <c r="I3444" s="6">
        <f t="shared" ca="1" si="0"/>
        <v>21.06</v>
      </c>
      <c r="J3444" s="6">
        <f ca="1">IFERROR(__xludf.DUMMYFUNCTION("IFERROR(GOOGLEFINANCE(B3444, ""volume""), 0)"),36333)</f>
        <v>36333</v>
      </c>
      <c r="K3444" s="6">
        <v>2.48</v>
      </c>
      <c r="L3444" s="6">
        <f ca="1">IFERROR(__xludf.DUMMYFUNCTION("IFERROR(GOOGLEFINANCE(B3444,""changepct""),K3444)"),-3.66)</f>
        <v>-3.66</v>
      </c>
      <c r="M3444" s="6">
        <f ca="1">IFERROR(__xludf.DUMMYFUNCTION("IFERROR(GOOGLEFINANCE(B3444,""change""),0)"),-0.8)</f>
        <v>-0.8</v>
      </c>
      <c r="N3444" s="6">
        <v>1</v>
      </c>
      <c r="O3444" s="7">
        <v>45536</v>
      </c>
      <c r="P3444" s="6">
        <v>362.95</v>
      </c>
      <c r="Q3444" s="6">
        <v>932.67</v>
      </c>
      <c r="R3444" s="7">
        <v>45536</v>
      </c>
      <c r="S3444" s="6">
        <v>477.97</v>
      </c>
      <c r="T3444" s="6">
        <v>-43.82</v>
      </c>
      <c r="U3444" s="7">
        <v>45536</v>
      </c>
      <c r="V3444" s="6">
        <v>0</v>
      </c>
      <c r="W3444" s="6">
        <f ca="1">IFERROR(__xludf.DUMMYFUNCTION("IFERROR(GOOGLEFINANCE(B3444,""pe""),V3444)"),0)</f>
        <v>0</v>
      </c>
      <c r="X3444" s="9"/>
      <c r="Y3444" s="6">
        <v>16.82</v>
      </c>
      <c r="Z3444" s="6">
        <v>1</v>
      </c>
      <c r="AA3444" s="8">
        <v>45352</v>
      </c>
      <c r="AB3444" s="4">
        <v>6.9</v>
      </c>
      <c r="AC3444" s="6">
        <v>-62.67</v>
      </c>
      <c r="AD3444" s="6">
        <v>2.34</v>
      </c>
      <c r="AE3444" s="1">
        <v>0</v>
      </c>
      <c r="AF3444" s="1">
        <f ca="1">IFERROR(__xludf.DUMMYFUNCTION("IFERROR(GOOGLEFINANCE(TRIM(F3444)&amp;"":"" &amp; TRIM(B3444),""high52""),AE3444)"),41)</f>
        <v>41</v>
      </c>
      <c r="AG3444" s="1">
        <v>0</v>
      </c>
      <c r="AH3444" s="1">
        <f ca="1">IFERROR(__xludf.DUMMYFUNCTION("IFERROR(GOOGLEFINANCE(TRIM(F3444)&amp;"":"" &amp; TRIM(B3444),""low52""),AE3444)"),18.41)</f>
        <v>18.41</v>
      </c>
      <c r="AI3444" s="1">
        <f ca="1">IFERROR(__xludf.DUMMYFUNCTION("IFERROR(GOOGLEFINANCE(B3444,""eps""),0)"),-4.41)</f>
        <v>-4.41</v>
      </c>
      <c r="AJ3444" s="1"/>
      <c r="AK3444" s="1" t="s">
        <v>10551</v>
      </c>
      <c r="AL3444" s="1" t="b">
        <f>ISNUMBER(AA3444)</f>
        <v>1</v>
      </c>
    </row>
    <row r="3445" spans="1:38" ht="15" x14ac:dyDescent="0.25">
      <c r="A3445" s="1" t="s">
        <v>10552</v>
      </c>
      <c r="B3445" s="1" t="s">
        <v>10553</v>
      </c>
      <c r="C3445" s="1" t="s">
        <v>359</v>
      </c>
      <c r="D3445" s="1" t="s">
        <v>359</v>
      </c>
      <c r="E3445" s="6">
        <v>6723.3</v>
      </c>
      <c r="F3445" s="1" t="s">
        <v>40</v>
      </c>
      <c r="G3445" s="6">
        <f ca="1">IFERROR(__xludf.DUMMYFUNCTION("iferror(GOOGLEFINANCE(TRIM(F3445)&amp;"":"" &amp; TRIM(B3445), ""price""),0
)"),358.35)</f>
        <v>358.35</v>
      </c>
      <c r="H3445" s="6">
        <v>616.75</v>
      </c>
      <c r="I3445" s="6">
        <f t="shared" ca="1" si="0"/>
        <v>358.35</v>
      </c>
      <c r="J3445" s="6">
        <f ca="1">IFERROR(__xludf.DUMMYFUNCTION("IFERROR(GOOGLEFINANCE(B3445, ""volume""), 0)"),11914)</f>
        <v>11914</v>
      </c>
      <c r="K3445" s="6">
        <v>1.01</v>
      </c>
      <c r="L3445" s="6">
        <f ca="1">IFERROR(__xludf.DUMMYFUNCTION("IFERROR(GOOGLEFINANCE(B3445,""changepct""),K3445)"),1.79)</f>
        <v>1.79</v>
      </c>
      <c r="M3445" s="6">
        <f ca="1">IFERROR(__xludf.DUMMYFUNCTION("IFERROR(GOOGLEFINANCE(B3445,""change""),0)"),6.3)</f>
        <v>6.3</v>
      </c>
      <c r="N3445" s="6">
        <v>2</v>
      </c>
      <c r="O3445" s="7">
        <v>45536</v>
      </c>
      <c r="P3445" s="6">
        <v>226.84</v>
      </c>
      <c r="Q3445" s="6">
        <v>6936.11</v>
      </c>
      <c r="R3445" s="7">
        <v>45536</v>
      </c>
      <c r="S3445" s="6">
        <v>4468.04</v>
      </c>
      <c r="T3445" s="6">
        <v>16.72</v>
      </c>
      <c r="U3445" s="7">
        <v>45536</v>
      </c>
      <c r="V3445" s="6">
        <v>402.11</v>
      </c>
      <c r="W3445" s="6">
        <f ca="1">IFERROR(__xludf.DUMMYFUNCTION("IFERROR(GOOGLEFINANCE(B3445,""pe""),V3445)"),402.11)</f>
        <v>402.11</v>
      </c>
      <c r="X3445" s="6">
        <v>84.12</v>
      </c>
      <c r="Y3445" s="6">
        <v>25.59</v>
      </c>
      <c r="Z3445" s="6">
        <v>2</v>
      </c>
      <c r="AA3445" s="8">
        <v>45352</v>
      </c>
      <c r="AB3445" s="4">
        <v>0.6</v>
      </c>
      <c r="AC3445" s="6">
        <v>31.99</v>
      </c>
      <c r="AD3445" s="6">
        <v>87.64</v>
      </c>
      <c r="AE3445" s="1">
        <v>0</v>
      </c>
      <c r="AF3445" s="1">
        <f ca="1">IFERROR(__xludf.DUMMYFUNCTION("IFERROR(GOOGLEFINANCE(TRIM(F3445)&amp;"":"" &amp; TRIM(B3445),""high52""),AE3445)"),627.05)</f>
        <v>627.04999999999995</v>
      </c>
      <c r="AG3445" s="1">
        <v>0</v>
      </c>
      <c r="AH3445" s="1">
        <f ca="1">IFERROR(__xludf.DUMMYFUNCTION("IFERROR(GOOGLEFINANCE(TRIM(F3445)&amp;"":"" &amp; TRIM(B3445),""low52""),AE3445)"),319.3)</f>
        <v>319.3</v>
      </c>
      <c r="AI3445" s="1">
        <f ca="1">IFERROR(__xludf.DUMMYFUNCTION("IFERROR(GOOGLEFINANCE(B3445,""eps""),0)"),-1.62)</f>
        <v>-1.62</v>
      </c>
      <c r="AJ3445" s="1"/>
      <c r="AK3445" s="1" t="s">
        <v>10554</v>
      </c>
      <c r="AL3445" s="9">
        <f t="shared" ref="AL3445:AL3447" si="329">IF(AA3445&lt;&gt;AB3445,1,0)</f>
        <v>1</v>
      </c>
    </row>
    <row r="3446" spans="1:38" ht="15" x14ac:dyDescent="0.25">
      <c r="A3446" s="1" t="s">
        <v>10555</v>
      </c>
      <c r="B3446" s="1" t="s">
        <v>10556</v>
      </c>
      <c r="C3446" s="1" t="s">
        <v>487</v>
      </c>
      <c r="D3446" s="1" t="s">
        <v>487</v>
      </c>
      <c r="E3446" s="6">
        <v>461.99</v>
      </c>
      <c r="F3446" s="1" t="s">
        <v>40</v>
      </c>
      <c r="G3446" s="6">
        <f ca="1">IFERROR(__xludf.DUMMYFUNCTION("iferror(GOOGLEFINANCE(TRIM(F3446)&amp;"":"" &amp; TRIM(B3446), ""price""),0
)"),38.28)</f>
        <v>38.28</v>
      </c>
      <c r="H3446" s="6">
        <v>89.43</v>
      </c>
      <c r="I3446" s="6">
        <f t="shared" ca="1" si="0"/>
        <v>38.28</v>
      </c>
      <c r="J3446" s="6">
        <f ca="1">IFERROR(__xludf.DUMMYFUNCTION("IFERROR(GOOGLEFINANCE(B3446, ""volume""), 0)"),1451)</f>
        <v>1451</v>
      </c>
      <c r="K3446" s="6">
        <v>-2.0099999999999998</v>
      </c>
      <c r="L3446" s="6">
        <f ca="1">IFERROR(__xludf.DUMMYFUNCTION("IFERROR(GOOGLEFINANCE(B3446,""changepct""),K3446)"),-1.57)</f>
        <v>-1.57</v>
      </c>
      <c r="M3446" s="6">
        <f ca="1">IFERROR(__xludf.DUMMYFUNCTION("IFERROR(GOOGLEFINANCE(B3446,""change""),0)"),-0.61)</f>
        <v>-0.61</v>
      </c>
      <c r="N3446" s="6">
        <v>2</v>
      </c>
      <c r="O3446" s="7">
        <v>45536</v>
      </c>
      <c r="P3446" s="6">
        <v>162.94</v>
      </c>
      <c r="Q3446" s="6">
        <v>624.34</v>
      </c>
      <c r="R3446" s="7">
        <v>45536</v>
      </c>
      <c r="S3446" s="6">
        <v>99.49</v>
      </c>
      <c r="T3446" s="6">
        <v>23.66</v>
      </c>
      <c r="U3446" s="7">
        <v>45536</v>
      </c>
      <c r="V3446" s="6">
        <v>21.44</v>
      </c>
      <c r="W3446" s="6">
        <f ca="1">IFERROR(__xludf.DUMMYFUNCTION("IFERROR(GOOGLEFINANCE(B3446,""pe""),V3446)"),11.35)</f>
        <v>11.35</v>
      </c>
      <c r="X3446" s="6">
        <v>0.53</v>
      </c>
      <c r="Y3446" s="6">
        <v>4.55</v>
      </c>
      <c r="Z3446" s="6">
        <v>2</v>
      </c>
      <c r="AA3446" s="8">
        <v>45352</v>
      </c>
      <c r="AB3446" s="4">
        <v>1.65</v>
      </c>
      <c r="AC3446" s="6">
        <v>24.2</v>
      </c>
      <c r="AD3446" s="6">
        <v>10.54</v>
      </c>
      <c r="AE3446" s="1">
        <v>0</v>
      </c>
      <c r="AF3446" s="1">
        <f ca="1">IFERROR(__xludf.DUMMYFUNCTION("IFERROR(GOOGLEFINANCE(TRIM(F3446)&amp;"":"" &amp; TRIM(B3446),""high52""),AE3446)"),72.09)</f>
        <v>72.09</v>
      </c>
      <c r="AG3446" s="1">
        <v>0</v>
      </c>
      <c r="AH3446" s="1">
        <f ca="1">IFERROR(__xludf.DUMMYFUNCTION("IFERROR(GOOGLEFINANCE(TRIM(F3446)&amp;"":"" &amp; TRIM(B3446),""low52""),AE3446)"),34.65)</f>
        <v>34.65</v>
      </c>
      <c r="AI3446" s="1">
        <f ca="1">IFERROR(__xludf.DUMMYFUNCTION("IFERROR(GOOGLEFINANCE(B3446,""eps""),0)"),3.37)</f>
        <v>3.37</v>
      </c>
      <c r="AJ3446" s="1"/>
      <c r="AK3446" s="1" t="s">
        <v>10557</v>
      </c>
      <c r="AL3446" s="9">
        <f t="shared" si="329"/>
        <v>1</v>
      </c>
    </row>
    <row r="3447" spans="1:38" ht="15" x14ac:dyDescent="0.25">
      <c r="A3447" s="1" t="s">
        <v>10558</v>
      </c>
      <c r="B3447" s="1" t="s">
        <v>10559</v>
      </c>
      <c r="C3447" s="1" t="s">
        <v>778</v>
      </c>
      <c r="D3447" s="1" t="s">
        <v>778</v>
      </c>
      <c r="E3447" s="6">
        <v>6.1</v>
      </c>
      <c r="F3447" s="1" t="s">
        <v>53</v>
      </c>
      <c r="G3447" s="6">
        <f ca="1">IFERROR(__xludf.DUMMYFUNCTION("iferror(GOOGLEFINANCE(TRIM(F3447)&amp;"":"" &amp; TRIM(B3447), ""price""),0
)"),0)</f>
        <v>0</v>
      </c>
      <c r="H3447" s="6">
        <v>3.75</v>
      </c>
      <c r="I3447" s="6">
        <f t="shared" ca="1" si="0"/>
        <v>3.75</v>
      </c>
      <c r="J3447" s="6">
        <f ca="1">IFERROR(__xludf.DUMMYFUNCTION("IFERROR(GOOGLEFINANCE(B3447, ""volume""), 0)"),0)</f>
        <v>0</v>
      </c>
      <c r="K3447" s="6">
        <v>0.27</v>
      </c>
      <c r="L3447" s="6">
        <f ca="1">IFERROR(__xludf.DUMMYFUNCTION("IFERROR(GOOGLEFINANCE(B3447,""changepct""),K3447)"),0.27)</f>
        <v>0.27</v>
      </c>
      <c r="M3447" s="6">
        <f ca="1">IFERROR(__xludf.DUMMYFUNCTION("IFERROR(GOOGLEFINANCE(B3447,""change""),0)"),0)</f>
        <v>0</v>
      </c>
      <c r="N3447" s="6">
        <v>1</v>
      </c>
      <c r="O3447" s="7">
        <v>45536</v>
      </c>
      <c r="P3447" s="6">
        <v>25.78</v>
      </c>
      <c r="Q3447" s="6">
        <v>31.88</v>
      </c>
      <c r="R3447" s="7">
        <v>45536</v>
      </c>
      <c r="S3447" s="6">
        <v>9.68</v>
      </c>
      <c r="T3447" s="6">
        <v>-1.52</v>
      </c>
      <c r="U3447" s="7">
        <v>45536</v>
      </c>
      <c r="V3447" s="6">
        <v>0</v>
      </c>
      <c r="W3447" s="6">
        <f ca="1">IFERROR(__xludf.DUMMYFUNCTION("IFERROR(GOOGLEFINANCE(B3447,""pe""),V3447)"),0)</f>
        <v>0</v>
      </c>
      <c r="X3447" s="6">
        <v>0</v>
      </c>
      <c r="Y3447" s="6">
        <v>1.8</v>
      </c>
      <c r="Z3447" s="6">
        <v>1</v>
      </c>
      <c r="AA3447" s="8">
        <v>45352</v>
      </c>
      <c r="AB3447" s="4">
        <v>4.66</v>
      </c>
      <c r="AC3447" s="6">
        <v>-16.489999999999998</v>
      </c>
      <c r="AD3447" s="6">
        <v>3.3</v>
      </c>
      <c r="AE3447" s="1">
        <v>0</v>
      </c>
      <c r="AF3447" s="1">
        <f ca="1">IFERROR(__xludf.DUMMYFUNCTION("IFERROR(GOOGLEFINANCE(TRIM(F3447)&amp;"":"" &amp; TRIM(B3447),""high52""),AE3447)"),0)</f>
        <v>0</v>
      </c>
      <c r="AG3447" s="1">
        <v>0</v>
      </c>
      <c r="AH3447" s="1">
        <f ca="1">IFERROR(__xludf.DUMMYFUNCTION("IFERROR(GOOGLEFINANCE(TRIM(F3447)&amp;"":"" &amp; TRIM(B3447),""low52""),AE3447)"),0)</f>
        <v>0</v>
      </c>
      <c r="AI3447" s="1">
        <f ca="1">IFERROR(__xludf.DUMMYFUNCTION("IFERROR(GOOGLEFINANCE(B3447,""eps""),0)"),0)</f>
        <v>0</v>
      </c>
      <c r="AJ3447" s="1"/>
      <c r="AK3447" s="1" t="s">
        <v>10560</v>
      </c>
      <c r="AL3447" s="9">
        <f t="shared" si="329"/>
        <v>1</v>
      </c>
    </row>
    <row r="3448" spans="1:38" ht="15" x14ac:dyDescent="0.25">
      <c r="A3448" s="1" t="s">
        <v>10561</v>
      </c>
      <c r="B3448" s="1" t="s">
        <v>10562</v>
      </c>
      <c r="C3448" s="1" t="s">
        <v>239</v>
      </c>
      <c r="D3448" s="1" t="s">
        <v>239</v>
      </c>
      <c r="E3448" s="6">
        <v>96356.7</v>
      </c>
      <c r="F3448" s="1" t="s">
        <v>40</v>
      </c>
      <c r="G3448" s="6">
        <f ca="1">IFERROR(__xludf.DUMMYFUNCTION("iferror(GOOGLEFINANCE(TRIM(F3448)&amp;"":"" &amp; TRIM(B3448), ""price""),0
)"),26790)</f>
        <v>26790</v>
      </c>
      <c r="H3448" s="6">
        <v>26861.05</v>
      </c>
      <c r="I3448" s="6">
        <f t="shared" ca="1" si="0"/>
        <v>26790</v>
      </c>
      <c r="J3448" s="6">
        <f ca="1">IFERROR(__xludf.DUMMYFUNCTION("IFERROR(GOOGLEFINANCE(B3448, ""volume""), 0)"),42072)</f>
        <v>42072</v>
      </c>
      <c r="K3448" s="6">
        <v>0.64</v>
      </c>
      <c r="L3448" s="6">
        <f ca="1">IFERROR(__xludf.DUMMYFUNCTION("IFERROR(GOOGLEFINANCE(B3448,""changepct""),K3448)"),1.53)</f>
        <v>1.53</v>
      </c>
      <c r="M3448" s="6">
        <f ca="1">IFERROR(__xludf.DUMMYFUNCTION("IFERROR(GOOGLEFINANCE(B3448,""change""),0)"),405)</f>
        <v>405</v>
      </c>
      <c r="N3448" s="6">
        <v>2</v>
      </c>
      <c r="O3448" s="7">
        <v>45536</v>
      </c>
      <c r="P3448" s="6">
        <v>1446.33</v>
      </c>
      <c r="Q3448" s="6">
        <v>97560.92</v>
      </c>
      <c r="R3448" s="7">
        <v>45536</v>
      </c>
      <c r="S3448" s="6">
        <v>19834.12</v>
      </c>
      <c r="T3448" s="6">
        <v>1732.69</v>
      </c>
      <c r="U3448" s="7">
        <v>45536</v>
      </c>
      <c r="V3448" s="6">
        <v>55.64</v>
      </c>
      <c r="W3448" s="6">
        <f ca="1">IFERROR(__xludf.DUMMYFUNCTION("IFERROR(GOOGLEFINANCE(B3448,""pe""),V3448)"),56.23)</f>
        <v>56.23</v>
      </c>
      <c r="X3448" s="6">
        <v>3.58</v>
      </c>
      <c r="Y3448" s="6">
        <v>4.6100000000000003</v>
      </c>
      <c r="Z3448" s="6">
        <v>2</v>
      </c>
      <c r="AA3448" s="8">
        <v>45352</v>
      </c>
      <c r="AB3448" s="4">
        <v>7.0000000000000007E-2</v>
      </c>
      <c r="AC3448" s="6">
        <v>12.18</v>
      </c>
      <c r="AD3448" s="6">
        <v>14.84</v>
      </c>
      <c r="AE3448" s="1">
        <v>0</v>
      </c>
      <c r="AF3448" s="1">
        <f ca="1">IFERROR(__xludf.DUMMYFUNCTION("IFERROR(GOOGLEFINANCE(TRIM(F3448)&amp;"":"" &amp; TRIM(B3448),""high52""),AE3448)"),32490)</f>
        <v>32490</v>
      </c>
      <c r="AG3448" s="1">
        <v>0</v>
      </c>
      <c r="AH3448" s="1">
        <f ca="1">IFERROR(__xludf.DUMMYFUNCTION("IFERROR(GOOGLEFINANCE(TRIM(F3448)&amp;"":"" &amp; TRIM(B3448),""low52""),AE3448)"),25360)</f>
        <v>25360</v>
      </c>
      <c r="AI3448" s="1">
        <f ca="1">IFERROR(__xludf.DUMMYFUNCTION("IFERROR(GOOGLEFINANCE(B3448,""eps""),0)"),476.39)</f>
        <v>476.39</v>
      </c>
      <c r="AJ3448" s="1"/>
      <c r="AK3448" s="1" t="s">
        <v>10563</v>
      </c>
      <c r="AL3448" s="1" t="b">
        <f>ISNUMBER(AA3448)</f>
        <v>1</v>
      </c>
    </row>
    <row r="3449" spans="1:38" ht="15" x14ac:dyDescent="0.25">
      <c r="A3449" s="1" t="s">
        <v>10564</v>
      </c>
      <c r="B3449" s="1" t="s">
        <v>10565</v>
      </c>
      <c r="C3449" s="1" t="s">
        <v>239</v>
      </c>
      <c r="D3449" s="1" t="s">
        <v>239</v>
      </c>
      <c r="E3449" s="6">
        <v>1302.0999999999999</v>
      </c>
      <c r="F3449" s="1" t="s">
        <v>40</v>
      </c>
      <c r="G3449" s="6">
        <f ca="1">IFERROR(__xludf.DUMMYFUNCTION("iferror(GOOGLEFINANCE(TRIM(F3449)&amp;"":"" &amp; TRIM(B3449), ""price""),0
)"),73.2)</f>
        <v>73.2</v>
      </c>
      <c r="H3449" s="6">
        <v>88.27</v>
      </c>
      <c r="I3449" s="6">
        <f t="shared" ca="1" si="0"/>
        <v>73.2</v>
      </c>
      <c r="J3449" s="6">
        <f ca="1">IFERROR(__xludf.DUMMYFUNCTION("IFERROR(GOOGLEFINANCE(B3449, ""volume""), 0)"),97829)</f>
        <v>97829</v>
      </c>
      <c r="K3449" s="6">
        <v>-7.0000000000000007E-2</v>
      </c>
      <c r="L3449" s="6">
        <f ca="1">IFERROR(__xludf.DUMMYFUNCTION("IFERROR(GOOGLEFINANCE(B3449,""changepct""),K3449)"),1.33)</f>
        <v>1.33</v>
      </c>
      <c r="M3449" s="6">
        <f ca="1">IFERROR(__xludf.DUMMYFUNCTION("IFERROR(GOOGLEFINANCE(B3449,""change""),0)"),0.96)</f>
        <v>0.96</v>
      </c>
      <c r="N3449" s="6">
        <v>2</v>
      </c>
      <c r="O3449" s="7">
        <v>45536</v>
      </c>
      <c r="P3449" s="6">
        <v>75</v>
      </c>
      <c r="Q3449" s="6">
        <v>1373.7</v>
      </c>
      <c r="R3449" s="7">
        <v>45536</v>
      </c>
      <c r="S3449" s="6">
        <v>737.68</v>
      </c>
      <c r="T3449" s="6">
        <v>74.81</v>
      </c>
      <c r="U3449" s="7">
        <v>45536</v>
      </c>
      <c r="V3449" s="6">
        <v>17.41</v>
      </c>
      <c r="W3449" s="6">
        <f ca="1">IFERROR(__xludf.DUMMYFUNCTION("IFERROR(GOOGLEFINANCE(B3449,""pe""),V3449)"),28.67)</f>
        <v>28.67</v>
      </c>
      <c r="X3449" s="9"/>
      <c r="Y3449" s="6">
        <v>3.71</v>
      </c>
      <c r="Z3449" s="6">
        <v>2</v>
      </c>
      <c r="AA3449" s="8">
        <v>45352</v>
      </c>
      <c r="AB3449" s="4">
        <v>0</v>
      </c>
      <c r="AC3449" s="6">
        <v>25</v>
      </c>
      <c r="AD3449" s="6">
        <v>34.07</v>
      </c>
      <c r="AE3449" s="1">
        <v>0</v>
      </c>
      <c r="AF3449" s="1">
        <f ca="1">IFERROR(__xludf.DUMMYFUNCTION("IFERROR(GOOGLEFINANCE(TRIM(F3449)&amp;"":"" &amp; TRIM(B3449),""high52""),AE3449)"),107.7)</f>
        <v>107.7</v>
      </c>
      <c r="AG3449" s="1">
        <v>0</v>
      </c>
      <c r="AH3449" s="1">
        <f ca="1">IFERROR(__xludf.DUMMYFUNCTION("IFERROR(GOOGLEFINANCE(TRIM(F3449)&amp;"":"" &amp; TRIM(B3449),""low52""),AE3449)"),63.55)</f>
        <v>63.55</v>
      </c>
      <c r="AI3449" s="1">
        <f ca="1">IFERROR(__xludf.DUMMYFUNCTION("IFERROR(GOOGLEFINANCE(B3449,""eps""),0)"),2.55)</f>
        <v>2.5499999999999998</v>
      </c>
      <c r="AJ3449" s="1"/>
      <c r="AK3449" s="9"/>
      <c r="AL3449" s="1" t="b">
        <f>ISBLANK(AB3449)</f>
        <v>0</v>
      </c>
    </row>
    <row r="3450" spans="1:38" ht="15" x14ac:dyDescent="0.25">
      <c r="A3450" s="1" t="s">
        <v>10566</v>
      </c>
      <c r="B3450" s="1" t="s">
        <v>10567</v>
      </c>
      <c r="C3450" s="1" t="s">
        <v>186</v>
      </c>
      <c r="D3450" s="1" t="s">
        <v>186</v>
      </c>
      <c r="E3450" s="6">
        <v>480.61</v>
      </c>
      <c r="F3450" s="1" t="s">
        <v>40</v>
      </c>
      <c r="G3450" s="6">
        <f ca="1">IFERROR(__xludf.DUMMYFUNCTION("iferror(GOOGLEFINANCE(TRIM(F3450)&amp;"":"" &amp; TRIM(B3450), ""price""),0
)"),0)</f>
        <v>0</v>
      </c>
      <c r="H3450" s="6">
        <v>677</v>
      </c>
      <c r="I3450" s="6">
        <f t="shared" ca="1" si="0"/>
        <v>677</v>
      </c>
      <c r="J3450" s="6">
        <f ca="1">IFERROR(__xludf.DUMMYFUNCTION("IFERROR(GOOGLEFINANCE(B3450, ""volume""), 0)"),0)</f>
        <v>0</v>
      </c>
      <c r="K3450" s="6">
        <v>-0.38</v>
      </c>
      <c r="L3450" s="6">
        <f ca="1">IFERROR(__xludf.DUMMYFUNCTION("IFERROR(GOOGLEFINANCE(B3450,""changepct""),K3450)"),-0.38)</f>
        <v>-0.38</v>
      </c>
      <c r="M3450" s="6">
        <f ca="1">IFERROR(__xludf.DUMMYFUNCTION("IFERROR(GOOGLEFINANCE(B3450,""change""),0)"),0)</f>
        <v>0</v>
      </c>
      <c r="N3450" s="6">
        <v>1</v>
      </c>
      <c r="O3450" s="7">
        <v>45536</v>
      </c>
      <c r="P3450" s="6">
        <v>46.59</v>
      </c>
      <c r="Q3450" s="6">
        <v>527.20000000000005</v>
      </c>
      <c r="R3450" s="7">
        <v>45352</v>
      </c>
      <c r="S3450" s="6">
        <v>130.80000000000001</v>
      </c>
      <c r="T3450" s="6">
        <v>13.01</v>
      </c>
      <c r="U3450" s="7">
        <v>45352</v>
      </c>
      <c r="V3450" s="6">
        <v>38.909999999999997</v>
      </c>
      <c r="W3450" s="6">
        <f ca="1">IFERROR(__xludf.DUMMYFUNCTION("IFERROR(GOOGLEFINANCE(B3450,""pe""),V3450)"),38.91)</f>
        <v>38.909999999999997</v>
      </c>
      <c r="X3450" s="9"/>
      <c r="Y3450" s="6">
        <v>7.26</v>
      </c>
      <c r="Z3450" s="6">
        <v>2</v>
      </c>
      <c r="AA3450" s="8">
        <v>45352</v>
      </c>
      <c r="AB3450" s="4">
        <v>1.17</v>
      </c>
      <c r="AC3450" s="6">
        <v>21.22</v>
      </c>
      <c r="AD3450" s="6">
        <v>15.1</v>
      </c>
      <c r="AE3450" s="1">
        <v>0</v>
      </c>
      <c r="AF3450" s="1">
        <f ca="1">IFERROR(__xludf.DUMMYFUNCTION("IFERROR(GOOGLEFINANCE(TRIM(F3450)&amp;"":"" &amp; TRIM(B3450),""high52""),AE3450)"),0)</f>
        <v>0</v>
      </c>
      <c r="AG3450" s="1">
        <v>0</v>
      </c>
      <c r="AH3450" s="1">
        <f ca="1">IFERROR(__xludf.DUMMYFUNCTION("IFERROR(GOOGLEFINANCE(TRIM(F3450)&amp;"":"" &amp; TRIM(B3450),""low52""),AE3450)"),0)</f>
        <v>0</v>
      </c>
      <c r="AI3450" s="1">
        <f ca="1">IFERROR(__xludf.DUMMYFUNCTION("IFERROR(GOOGLEFINANCE(B3450,""eps""),0)"),0)</f>
        <v>0</v>
      </c>
      <c r="AJ3450" s="1"/>
      <c r="AK3450" s="1" t="s">
        <v>10568</v>
      </c>
      <c r="AL3450" s="9">
        <f t="shared" ref="AL3450:AL3452" si="330">IF(AA3450&lt;&gt;AB3450,1,0)</f>
        <v>1</v>
      </c>
    </row>
    <row r="3451" spans="1:38" ht="15" x14ac:dyDescent="0.25">
      <c r="A3451" s="1" t="s">
        <v>10569</v>
      </c>
      <c r="B3451" s="1" t="s">
        <v>10570</v>
      </c>
      <c r="C3451" s="1" t="s">
        <v>71</v>
      </c>
      <c r="D3451" s="1" t="s">
        <v>71</v>
      </c>
      <c r="E3451" s="6">
        <v>199.71</v>
      </c>
      <c r="F3451" s="1" t="s">
        <v>40</v>
      </c>
      <c r="G3451" s="6">
        <f ca="1">IFERROR(__xludf.DUMMYFUNCTION("iferror(GOOGLEFINANCE(TRIM(F3451)&amp;"":"" &amp; TRIM(B3451), ""price""),0
)"),0)</f>
        <v>0</v>
      </c>
      <c r="H3451" s="6">
        <v>129.65</v>
      </c>
      <c r="I3451" s="6">
        <f t="shared" ca="1" si="0"/>
        <v>129.65</v>
      </c>
      <c r="J3451" s="6">
        <f ca="1">IFERROR(__xludf.DUMMYFUNCTION("IFERROR(GOOGLEFINANCE(B3451, ""volume""), 0)"),0)</f>
        <v>0</v>
      </c>
      <c r="K3451" s="9"/>
      <c r="L3451" s="6" t="str">
        <f ca="1">IFERROR(__xludf.DUMMYFUNCTION("IFERROR(GOOGLEFINANCE(B3451,""changepct""),K3451)"),"")</f>
        <v/>
      </c>
      <c r="M3451" s="6">
        <f ca="1">IFERROR(__xludf.DUMMYFUNCTION("IFERROR(GOOGLEFINANCE(B3451,""change""),0)"),0)</f>
        <v>0</v>
      </c>
      <c r="N3451" s="6">
        <v>1</v>
      </c>
      <c r="O3451" s="7">
        <v>45536</v>
      </c>
      <c r="P3451" s="6">
        <v>9.91</v>
      </c>
      <c r="Q3451" s="6">
        <v>209.62</v>
      </c>
      <c r="R3451" s="7">
        <v>45352</v>
      </c>
      <c r="S3451" s="6">
        <v>118.19</v>
      </c>
      <c r="T3451" s="6">
        <v>8.1</v>
      </c>
      <c r="U3451" s="7">
        <v>45352</v>
      </c>
      <c r="V3451" s="6">
        <v>24.64</v>
      </c>
      <c r="W3451" s="6">
        <f ca="1">IFERROR(__xludf.DUMMYFUNCTION("IFERROR(GOOGLEFINANCE(B3451,""pe""),V3451)"),24.64)</f>
        <v>24.64</v>
      </c>
      <c r="X3451" s="9"/>
      <c r="Y3451" s="6">
        <v>2.92</v>
      </c>
      <c r="Z3451" s="6">
        <v>1</v>
      </c>
      <c r="AA3451" s="8">
        <v>45352</v>
      </c>
      <c r="AB3451" s="4">
        <v>0.21</v>
      </c>
      <c r="AC3451" s="6">
        <v>22.01</v>
      </c>
      <c r="AD3451" s="6">
        <v>23.25</v>
      </c>
      <c r="AE3451" s="1">
        <v>0</v>
      </c>
      <c r="AF3451" s="1">
        <f ca="1">IFERROR(__xludf.DUMMYFUNCTION("IFERROR(GOOGLEFINANCE(TRIM(F3451)&amp;"":"" &amp; TRIM(B3451),""high52""),AE3451)"),0)</f>
        <v>0</v>
      </c>
      <c r="AG3451" s="1">
        <v>0</v>
      </c>
      <c r="AH3451" s="1">
        <f ca="1">IFERROR(__xludf.DUMMYFUNCTION("IFERROR(GOOGLEFINANCE(TRIM(F3451)&amp;"":"" &amp; TRIM(B3451),""low52""),AE3451)"),0)</f>
        <v>0</v>
      </c>
      <c r="AI3451" s="1">
        <f ca="1">IFERROR(__xludf.DUMMYFUNCTION("IFERROR(GOOGLEFINANCE(B3451,""eps""),0)"),0)</f>
        <v>0</v>
      </c>
      <c r="AJ3451" s="1"/>
      <c r="AK3451" s="1" t="s">
        <v>10571</v>
      </c>
      <c r="AL3451" s="9">
        <f t="shared" si="330"/>
        <v>1</v>
      </c>
    </row>
    <row r="3452" spans="1:38" ht="15" x14ac:dyDescent="0.25">
      <c r="A3452" s="1" t="s">
        <v>10572</v>
      </c>
      <c r="B3452" s="1" t="s">
        <v>10573</v>
      </c>
      <c r="C3452" s="1" t="s">
        <v>778</v>
      </c>
      <c r="D3452" s="1" t="s">
        <v>778</v>
      </c>
      <c r="E3452" s="6">
        <v>11.64</v>
      </c>
      <c r="F3452" s="1" t="s">
        <v>53</v>
      </c>
      <c r="G3452" s="6">
        <f ca="1">IFERROR(__xludf.DUMMYFUNCTION("iferror(GOOGLEFINANCE(TRIM(F3452)&amp;"":"" &amp; TRIM(B3452), ""price""),0
)"),0)</f>
        <v>0</v>
      </c>
      <c r="H3452" s="6">
        <v>33</v>
      </c>
      <c r="I3452" s="6">
        <f t="shared" ca="1" si="0"/>
        <v>33</v>
      </c>
      <c r="J3452" s="6">
        <f ca="1">IFERROR(__xludf.DUMMYFUNCTION("IFERROR(GOOGLEFINANCE(B3452, ""volume""), 0)"),0)</f>
        <v>0</v>
      </c>
      <c r="K3452" s="6">
        <v>-0.18</v>
      </c>
      <c r="L3452" s="6">
        <f ca="1">IFERROR(__xludf.DUMMYFUNCTION("IFERROR(GOOGLEFINANCE(B3452,""changepct""),K3452)"),-0.18)</f>
        <v>-0.18</v>
      </c>
      <c r="M3452" s="6">
        <f ca="1">IFERROR(__xludf.DUMMYFUNCTION("IFERROR(GOOGLEFINANCE(B3452,""change""),0)"),0)</f>
        <v>0</v>
      </c>
      <c r="N3452" s="6">
        <v>1</v>
      </c>
      <c r="O3452" s="7">
        <v>45536</v>
      </c>
      <c r="P3452" s="6">
        <v>11.59</v>
      </c>
      <c r="Q3452" s="6">
        <v>23.23</v>
      </c>
      <c r="R3452" s="7">
        <v>45536</v>
      </c>
      <c r="S3452" s="6">
        <v>11.21</v>
      </c>
      <c r="T3452" s="6">
        <v>-0.24</v>
      </c>
      <c r="U3452" s="7">
        <v>45536</v>
      </c>
      <c r="V3452" s="6">
        <v>0</v>
      </c>
      <c r="W3452" s="6">
        <f ca="1">IFERROR(__xludf.DUMMYFUNCTION("IFERROR(GOOGLEFINANCE(B3452,""pe""),V3452)"),0)</f>
        <v>0</v>
      </c>
      <c r="X3452" s="6">
        <v>0</v>
      </c>
      <c r="Y3452" s="6">
        <v>0.62</v>
      </c>
      <c r="Z3452" s="6">
        <v>1</v>
      </c>
      <c r="AA3452" s="8">
        <v>45352</v>
      </c>
      <c r="AB3452" s="4">
        <v>0.71</v>
      </c>
      <c r="AC3452" s="6">
        <v>3.2</v>
      </c>
      <c r="AD3452" s="6">
        <v>4.66</v>
      </c>
      <c r="AE3452" s="1">
        <v>0</v>
      </c>
      <c r="AF3452" s="1">
        <f ca="1">IFERROR(__xludf.DUMMYFUNCTION("IFERROR(GOOGLEFINANCE(TRIM(F3452)&amp;"":"" &amp; TRIM(B3452),""high52""),AE3452)"),0)</f>
        <v>0</v>
      </c>
      <c r="AG3452" s="1">
        <v>0</v>
      </c>
      <c r="AH3452" s="1">
        <f ca="1">IFERROR(__xludf.DUMMYFUNCTION("IFERROR(GOOGLEFINANCE(TRIM(F3452)&amp;"":"" &amp; TRIM(B3452),""low52""),AE3452)"),0)</f>
        <v>0</v>
      </c>
      <c r="AI3452" s="1">
        <f ca="1">IFERROR(__xludf.DUMMYFUNCTION("IFERROR(GOOGLEFINANCE(B3452,""eps""),0)"),0)</f>
        <v>0</v>
      </c>
      <c r="AJ3452" s="1"/>
      <c r="AK3452" s="1" t="s">
        <v>10574</v>
      </c>
      <c r="AL3452" s="9">
        <f t="shared" si="330"/>
        <v>1</v>
      </c>
    </row>
    <row r="3453" spans="1:38" ht="15" x14ac:dyDescent="0.25">
      <c r="A3453" s="1" t="s">
        <v>10575</v>
      </c>
      <c r="B3453" s="1" t="s">
        <v>10576</v>
      </c>
      <c r="C3453" s="1" t="s">
        <v>99</v>
      </c>
      <c r="D3453" s="1" t="s">
        <v>99</v>
      </c>
      <c r="E3453" s="6">
        <v>183.58</v>
      </c>
      <c r="F3453" s="1" t="s">
        <v>40</v>
      </c>
      <c r="G3453" s="6">
        <f ca="1">IFERROR(__xludf.DUMMYFUNCTION("iferror(GOOGLEFINANCE(TRIM(F3453)&amp;"":"" &amp; TRIM(B3453), ""price""),0
)"),13.1)</f>
        <v>13.1</v>
      </c>
      <c r="H3453" s="6">
        <v>19.84</v>
      </c>
      <c r="I3453" s="6">
        <f t="shared" ca="1" si="0"/>
        <v>13.1</v>
      </c>
      <c r="J3453" s="6">
        <f ca="1">IFERROR(__xludf.DUMMYFUNCTION("IFERROR(GOOGLEFINANCE(B3453, ""volume""), 0)"),62693)</f>
        <v>62693</v>
      </c>
      <c r="K3453" s="6">
        <v>-1.1499999999999999</v>
      </c>
      <c r="L3453" s="6">
        <f ca="1">IFERROR(__xludf.DUMMYFUNCTION("IFERROR(GOOGLEFINANCE(B3453,""changepct""),K3453)"),-0.83)</f>
        <v>-0.83</v>
      </c>
      <c r="M3453" s="6">
        <f ca="1">IFERROR(__xludf.DUMMYFUNCTION("IFERROR(GOOGLEFINANCE(B3453,""change""),0)"),-0.11)</f>
        <v>-0.11</v>
      </c>
      <c r="N3453" s="6">
        <v>2</v>
      </c>
      <c r="O3453" s="7">
        <v>45536</v>
      </c>
      <c r="P3453" s="6">
        <v>32.369999999999997</v>
      </c>
      <c r="Q3453" s="6">
        <v>215.95</v>
      </c>
      <c r="R3453" s="7">
        <v>45536</v>
      </c>
      <c r="S3453" s="6">
        <v>264.8</v>
      </c>
      <c r="T3453" s="6">
        <v>-9.23</v>
      </c>
      <c r="U3453" s="7">
        <v>45536</v>
      </c>
      <c r="V3453" s="6">
        <v>0</v>
      </c>
      <c r="W3453" s="6">
        <f ca="1">IFERROR(__xludf.DUMMYFUNCTION("IFERROR(GOOGLEFINANCE(B3453,""pe""),V3453)"),0)</f>
        <v>0</v>
      </c>
      <c r="X3453" s="9"/>
      <c r="Y3453" s="6">
        <v>4.8600000000000003</v>
      </c>
      <c r="Z3453" s="6">
        <v>2</v>
      </c>
      <c r="AA3453" s="8">
        <v>45352</v>
      </c>
      <c r="AB3453" s="4">
        <v>1.59</v>
      </c>
      <c r="AC3453" s="6">
        <v>-9.84</v>
      </c>
      <c r="AD3453" s="6">
        <v>0.63</v>
      </c>
      <c r="AE3453" s="1">
        <v>0</v>
      </c>
      <c r="AF3453" s="1">
        <f ca="1">IFERROR(__xludf.DUMMYFUNCTION("IFERROR(GOOGLEFINANCE(TRIM(F3453)&amp;"":"" &amp; TRIM(B3453),""high52""),AE3453)"),20.28)</f>
        <v>20.28</v>
      </c>
      <c r="AG3453" s="1">
        <v>0</v>
      </c>
      <c r="AH3453" s="1">
        <f ca="1">IFERROR(__xludf.DUMMYFUNCTION("IFERROR(GOOGLEFINANCE(TRIM(F3453)&amp;"":"" &amp; TRIM(B3453),""low52""),AE3453)"),10.72)</f>
        <v>10.72</v>
      </c>
      <c r="AI3453" s="1">
        <f ca="1">IFERROR(__xludf.DUMMYFUNCTION("IFERROR(GOOGLEFINANCE(B3453,""eps""),0)"),-0.37)</f>
        <v>-0.37</v>
      </c>
      <c r="AJ3453" s="1"/>
      <c r="AK3453" s="9"/>
      <c r="AL3453" s="1" t="b">
        <f>ISBLANK(AB3453)</f>
        <v>0</v>
      </c>
    </row>
    <row r="3454" spans="1:38" ht="15" x14ac:dyDescent="0.25">
      <c r="A3454" s="1" t="s">
        <v>10577</v>
      </c>
      <c r="B3454" s="1" t="s">
        <v>10578</v>
      </c>
      <c r="C3454" s="1" t="s">
        <v>584</v>
      </c>
      <c r="D3454" s="1" t="s">
        <v>584</v>
      </c>
      <c r="E3454" s="6">
        <v>1057.5999999999999</v>
      </c>
      <c r="F3454" s="1" t="s">
        <v>40</v>
      </c>
      <c r="G3454" s="6">
        <f ca="1">IFERROR(__xludf.DUMMYFUNCTION("iferror(GOOGLEFINANCE(TRIM(F3454)&amp;"":"" &amp; TRIM(B3454), ""price""),0
)"),338.85)</f>
        <v>338.85</v>
      </c>
      <c r="H3454" s="6">
        <v>322.60000000000002</v>
      </c>
      <c r="I3454" s="6">
        <f t="shared" ca="1" si="0"/>
        <v>338.85</v>
      </c>
      <c r="J3454" s="6">
        <f ca="1">IFERROR(__xludf.DUMMYFUNCTION("IFERROR(GOOGLEFINANCE(B3454, ""volume""), 0)"),35299)</f>
        <v>35299</v>
      </c>
      <c r="K3454" s="6">
        <v>-1.1000000000000001</v>
      </c>
      <c r="L3454" s="6">
        <f ca="1">IFERROR(__xludf.DUMMYFUNCTION("IFERROR(GOOGLEFINANCE(B3454,""changepct""),K3454)"),-3.21)</f>
        <v>-3.21</v>
      </c>
      <c r="M3454" s="6">
        <f ca="1">IFERROR(__xludf.DUMMYFUNCTION("IFERROR(GOOGLEFINANCE(B3454,""change""),0)"),-11.25)</f>
        <v>-11.25</v>
      </c>
      <c r="N3454" s="6">
        <v>2</v>
      </c>
      <c r="O3454" s="7">
        <v>45536</v>
      </c>
      <c r="P3454" s="6">
        <v>102.41</v>
      </c>
      <c r="Q3454" s="6">
        <v>1120.28</v>
      </c>
      <c r="R3454" s="7">
        <v>45536</v>
      </c>
      <c r="S3454" s="6">
        <v>735.24</v>
      </c>
      <c r="T3454" s="6">
        <v>46.88</v>
      </c>
      <c r="U3454" s="7">
        <v>45536</v>
      </c>
      <c r="V3454" s="6">
        <v>22.56</v>
      </c>
      <c r="W3454" s="6">
        <f ca="1">IFERROR(__xludf.DUMMYFUNCTION("IFERROR(GOOGLEFINANCE(B3454,""pe""),V3454)"),15.29)</f>
        <v>15.29</v>
      </c>
      <c r="X3454" s="6">
        <v>-11.69</v>
      </c>
      <c r="Y3454" s="6">
        <v>2.09</v>
      </c>
      <c r="Z3454" s="6">
        <v>2</v>
      </c>
      <c r="AA3454" s="8">
        <v>45352</v>
      </c>
      <c r="AB3454" s="4">
        <v>0.23</v>
      </c>
      <c r="AC3454" s="6">
        <v>8.17</v>
      </c>
      <c r="AD3454" s="6">
        <v>9.16</v>
      </c>
      <c r="AE3454" s="1">
        <v>0</v>
      </c>
      <c r="AF3454" s="1">
        <f ca="1">IFERROR(__xludf.DUMMYFUNCTION("IFERROR(GOOGLEFINANCE(TRIM(F3454)&amp;"":"" &amp; TRIM(B3454),""high52""),AE3454)"),476)</f>
        <v>476</v>
      </c>
      <c r="AG3454" s="1">
        <v>0</v>
      </c>
      <c r="AH3454" s="1">
        <f ca="1">IFERROR(__xludf.DUMMYFUNCTION("IFERROR(GOOGLEFINANCE(TRIM(F3454)&amp;"":"" &amp; TRIM(B3454),""low52""),AE3454)"),220.5)</f>
        <v>220.5</v>
      </c>
      <c r="AI3454" s="1">
        <f ca="1">IFERROR(__xludf.DUMMYFUNCTION("IFERROR(GOOGLEFINANCE(B3454,""eps""),0)"),22.16)</f>
        <v>22.16</v>
      </c>
      <c r="AJ3454" s="1"/>
      <c r="AK3454" s="1" t="s">
        <v>10579</v>
      </c>
      <c r="AL3454" s="9">
        <f t="shared" ref="AL3454:AL3490" si="331">IF(AA3454&lt;&gt;AB3454,1,0)</f>
        <v>1</v>
      </c>
    </row>
    <row r="3455" spans="1:38" ht="15" x14ac:dyDescent="0.25">
      <c r="A3455" s="1" t="s">
        <v>10580</v>
      </c>
      <c r="B3455" s="1" t="s">
        <v>10581</v>
      </c>
      <c r="C3455" s="1" t="s">
        <v>4100</v>
      </c>
      <c r="D3455" s="1" t="s">
        <v>4100</v>
      </c>
      <c r="E3455" s="6">
        <v>27.42</v>
      </c>
      <c r="F3455" s="1" t="s">
        <v>40</v>
      </c>
      <c r="G3455" s="6">
        <f ca="1">IFERROR(__xludf.DUMMYFUNCTION("iferror(GOOGLEFINANCE(TRIM(F3455)&amp;"":"" &amp; TRIM(B3455), ""price""),0
)"),0.61)</f>
        <v>0.61</v>
      </c>
      <c r="H3455" s="6">
        <v>1.34</v>
      </c>
      <c r="I3455" s="6">
        <f t="shared" ca="1" si="0"/>
        <v>0.61</v>
      </c>
      <c r="J3455" s="6">
        <f ca="1">IFERROR(__xludf.DUMMYFUNCTION("IFERROR(GOOGLEFINANCE(B3455, ""volume""), 0)"),1096343)</f>
        <v>1096343</v>
      </c>
      <c r="K3455" s="6">
        <v>4.6900000000000004</v>
      </c>
      <c r="L3455" s="6">
        <f ca="1">IFERROR(__xludf.DUMMYFUNCTION("IFERROR(GOOGLEFINANCE(B3455,""changepct""),K3455)"),3.39)</f>
        <v>3.39</v>
      </c>
      <c r="M3455" s="6">
        <f ca="1">IFERROR(__xludf.DUMMYFUNCTION("IFERROR(GOOGLEFINANCE(B3455,""change""),0)"),0.02)</f>
        <v>0.02</v>
      </c>
      <c r="N3455" s="6">
        <v>1</v>
      </c>
      <c r="O3455" s="7">
        <v>45536</v>
      </c>
      <c r="P3455" s="6">
        <v>37.840000000000003</v>
      </c>
      <c r="Q3455" s="6">
        <v>65.260000000000005</v>
      </c>
      <c r="R3455" s="7">
        <v>45536</v>
      </c>
      <c r="S3455" s="6">
        <v>0</v>
      </c>
      <c r="T3455" s="6">
        <v>-19.989999999999998</v>
      </c>
      <c r="U3455" s="7">
        <v>45536</v>
      </c>
      <c r="V3455" s="6">
        <v>0</v>
      </c>
      <c r="W3455" s="6">
        <f ca="1">IFERROR(__xludf.DUMMYFUNCTION("IFERROR(GOOGLEFINANCE(B3455,""pe""),V3455)"),0)</f>
        <v>0</v>
      </c>
      <c r="X3455" s="12"/>
      <c r="Y3455" s="6">
        <v>0.8</v>
      </c>
      <c r="Z3455" s="6">
        <v>1</v>
      </c>
      <c r="AA3455" s="8">
        <v>44986</v>
      </c>
      <c r="AB3455" s="4">
        <v>0.66</v>
      </c>
      <c r="AC3455" s="6">
        <v>7.1</v>
      </c>
      <c r="AD3455" s="6">
        <v>10.19</v>
      </c>
      <c r="AE3455" s="1">
        <v>0</v>
      </c>
      <c r="AF3455" s="1">
        <f ca="1">IFERROR(__xludf.DUMMYFUNCTION("IFERROR(GOOGLEFINANCE(TRIM(F3455)&amp;"":"" &amp; TRIM(B3455),""high52""),AE3455)"),1.22)</f>
        <v>1.22</v>
      </c>
      <c r="AG3455" s="1">
        <v>0</v>
      </c>
      <c r="AH3455" s="1">
        <f ca="1">IFERROR(__xludf.DUMMYFUNCTION("IFERROR(GOOGLEFINANCE(TRIM(F3455)&amp;"":"" &amp; TRIM(B3455),""low52""),AE3455)"),0.46)</f>
        <v>0.46</v>
      </c>
      <c r="AI3455" s="1">
        <f ca="1">IFERROR(__xludf.DUMMYFUNCTION("IFERROR(GOOGLEFINANCE(B3455,""eps""),0)"),-0.73)</f>
        <v>-0.73</v>
      </c>
      <c r="AJ3455" s="1"/>
      <c r="AK3455" s="1" t="s">
        <v>10582</v>
      </c>
      <c r="AL3455" s="9">
        <f t="shared" si="331"/>
        <v>1</v>
      </c>
    </row>
    <row r="3456" spans="1:38" ht="15" x14ac:dyDescent="0.25">
      <c r="A3456" s="1" t="s">
        <v>10583</v>
      </c>
      <c r="B3456" s="1" t="s">
        <v>10584</v>
      </c>
      <c r="C3456" s="1" t="s">
        <v>82</v>
      </c>
      <c r="D3456" s="1" t="s">
        <v>82</v>
      </c>
      <c r="E3456" s="6">
        <v>608.08000000000004</v>
      </c>
      <c r="F3456" s="1" t="s">
        <v>40</v>
      </c>
      <c r="G3456" s="6">
        <f ca="1">IFERROR(__xludf.DUMMYFUNCTION("iferror(GOOGLEFINANCE(TRIM(F3456)&amp;"":"" &amp; TRIM(B3456), ""price""),0
)"),55.9)</f>
        <v>55.9</v>
      </c>
      <c r="H3456" s="6">
        <v>46.7</v>
      </c>
      <c r="I3456" s="6">
        <f t="shared" ca="1" si="0"/>
        <v>55.9</v>
      </c>
      <c r="J3456" s="6">
        <f ca="1">IFERROR(__xludf.DUMMYFUNCTION("IFERROR(GOOGLEFINANCE(B3456, ""volume""), 0)"),120905)</f>
        <v>120905</v>
      </c>
      <c r="K3456" s="6">
        <v>1.99</v>
      </c>
      <c r="L3456" s="6">
        <f ca="1">IFERROR(__xludf.DUMMYFUNCTION("IFERROR(GOOGLEFINANCE(B3456,""changepct""),K3456)"),-2.56)</f>
        <v>-2.56</v>
      </c>
      <c r="M3456" s="6">
        <f ca="1">IFERROR(__xludf.DUMMYFUNCTION("IFERROR(GOOGLEFINANCE(B3456,""change""),0)"),-1.47)</f>
        <v>-1.47</v>
      </c>
      <c r="N3456" s="6">
        <v>1</v>
      </c>
      <c r="O3456" s="7">
        <v>45536</v>
      </c>
      <c r="P3456" s="6">
        <v>26.43</v>
      </c>
      <c r="Q3456" s="6">
        <v>630.29</v>
      </c>
      <c r="R3456" s="7">
        <v>45536</v>
      </c>
      <c r="S3456" s="6">
        <v>185.87</v>
      </c>
      <c r="T3456" s="6">
        <v>14.94</v>
      </c>
      <c r="U3456" s="7">
        <v>45536</v>
      </c>
      <c r="V3456" s="6">
        <v>40.71</v>
      </c>
      <c r="W3456" s="6">
        <f ca="1">IFERROR(__xludf.DUMMYFUNCTION("IFERROR(GOOGLEFINANCE(B3456,""pe""),V3456)"),13.52)</f>
        <v>13.52</v>
      </c>
      <c r="X3456" s="6">
        <v>1.03</v>
      </c>
      <c r="Y3456" s="6">
        <v>5.42</v>
      </c>
      <c r="Z3456" s="6">
        <v>1</v>
      </c>
      <c r="AA3456" s="8">
        <v>45352</v>
      </c>
      <c r="AB3456" s="4">
        <v>0.12</v>
      </c>
      <c r="AC3456" s="6">
        <v>15.05</v>
      </c>
      <c r="AD3456" s="6">
        <v>9.51</v>
      </c>
      <c r="AE3456" s="1">
        <v>0</v>
      </c>
      <c r="AF3456" s="1">
        <f ca="1">IFERROR(__xludf.DUMMYFUNCTION("IFERROR(GOOGLEFINANCE(TRIM(F3456)&amp;"":"" &amp; TRIM(B3456),""high52""),AE3456)"),71.99)</f>
        <v>71.989999999999995</v>
      </c>
      <c r="AG3456" s="1">
        <v>0</v>
      </c>
      <c r="AH3456" s="1">
        <f ca="1">IFERROR(__xludf.DUMMYFUNCTION("IFERROR(GOOGLEFINANCE(TRIM(F3456)&amp;"":"" &amp; TRIM(B3456),""low52""),AE3456)"),30.55)</f>
        <v>30.55</v>
      </c>
      <c r="AI3456" s="1">
        <f ca="1">IFERROR(__xludf.DUMMYFUNCTION("IFERROR(GOOGLEFINANCE(B3456,""eps""),0)"),4.14)</f>
        <v>4.1399999999999997</v>
      </c>
      <c r="AJ3456" s="1"/>
      <c r="AK3456" s="1" t="s">
        <v>10585</v>
      </c>
      <c r="AL3456" s="9">
        <f t="shared" si="331"/>
        <v>1</v>
      </c>
    </row>
    <row r="3457" spans="1:38" ht="15" x14ac:dyDescent="0.25">
      <c r="A3457" s="1" t="s">
        <v>10586</v>
      </c>
      <c r="B3457" s="1" t="s">
        <v>10587</v>
      </c>
      <c r="C3457" s="1" t="s">
        <v>159</v>
      </c>
      <c r="D3457" s="1" t="s">
        <v>159</v>
      </c>
      <c r="E3457" s="6">
        <v>283.31</v>
      </c>
      <c r="F3457" s="1" t="s">
        <v>53</v>
      </c>
      <c r="G3457" s="6">
        <f ca="1">IFERROR(__xludf.DUMMYFUNCTION("iferror(GOOGLEFINANCE(TRIM(F3457)&amp;"":"" &amp; TRIM(B3457), ""price""),0
)"),0)</f>
        <v>0</v>
      </c>
      <c r="H3457" s="6">
        <v>119</v>
      </c>
      <c r="I3457" s="6">
        <f t="shared" ca="1" si="0"/>
        <v>119</v>
      </c>
      <c r="J3457" s="6">
        <f ca="1">IFERROR(__xludf.DUMMYFUNCTION("IFERROR(GOOGLEFINANCE(B3457, ""volume""), 0)"),0)</f>
        <v>0</v>
      </c>
      <c r="K3457" s="6">
        <v>0.76</v>
      </c>
      <c r="L3457" s="6">
        <f ca="1">IFERROR(__xludf.DUMMYFUNCTION("IFERROR(GOOGLEFINANCE(B3457,""changepct""),K3457)"),0.76)</f>
        <v>0.76</v>
      </c>
      <c r="M3457" s="6">
        <f ca="1">IFERROR(__xludf.DUMMYFUNCTION("IFERROR(GOOGLEFINANCE(B3457,""change""),0)"),0)</f>
        <v>0</v>
      </c>
      <c r="N3457" s="6">
        <v>1</v>
      </c>
      <c r="O3457" s="7">
        <v>45536</v>
      </c>
      <c r="P3457" s="9"/>
      <c r="Q3457" s="6">
        <v>283.31</v>
      </c>
      <c r="R3457" s="7">
        <v>45352</v>
      </c>
      <c r="S3457" s="6">
        <v>35.19</v>
      </c>
      <c r="T3457" s="6">
        <v>6.18</v>
      </c>
      <c r="U3457" s="7">
        <v>45352</v>
      </c>
      <c r="V3457" s="6">
        <v>45.82</v>
      </c>
      <c r="W3457" s="6">
        <f ca="1">IFERROR(__xludf.DUMMYFUNCTION("IFERROR(GOOGLEFINANCE(B3457,""pe""),V3457)"),45.82)</f>
        <v>45.82</v>
      </c>
      <c r="X3457" s="12"/>
      <c r="Y3457" s="6">
        <v>3.91</v>
      </c>
      <c r="Z3457" s="6">
        <v>2</v>
      </c>
      <c r="AA3457" s="8">
        <v>45352</v>
      </c>
      <c r="AB3457" s="4">
        <v>0</v>
      </c>
      <c r="AC3457" s="6">
        <v>8.77</v>
      </c>
      <c r="AD3457" s="6">
        <v>12.05</v>
      </c>
      <c r="AE3457" s="1">
        <v>0</v>
      </c>
      <c r="AF3457" s="1">
        <f ca="1">IFERROR(__xludf.DUMMYFUNCTION("IFERROR(GOOGLEFINANCE(TRIM(F3457)&amp;"":"" &amp; TRIM(B3457),""high52""),AE3457)"),0)</f>
        <v>0</v>
      </c>
      <c r="AG3457" s="1">
        <v>0</v>
      </c>
      <c r="AH3457" s="1">
        <f ca="1">IFERROR(__xludf.DUMMYFUNCTION("IFERROR(GOOGLEFINANCE(TRIM(F3457)&amp;"":"" &amp; TRIM(B3457),""low52""),AE3457)"),0)</f>
        <v>0</v>
      </c>
      <c r="AI3457" s="1">
        <f ca="1">IFERROR(__xludf.DUMMYFUNCTION("IFERROR(GOOGLEFINANCE(B3457,""eps""),0)"),0)</f>
        <v>0</v>
      </c>
      <c r="AJ3457" s="1"/>
      <c r="AK3457" s="1" t="s">
        <v>10588</v>
      </c>
      <c r="AL3457" s="9">
        <f t="shared" si="331"/>
        <v>1</v>
      </c>
    </row>
    <row r="3458" spans="1:38" ht="15" x14ac:dyDescent="0.25">
      <c r="A3458" s="1" t="s">
        <v>10589</v>
      </c>
      <c r="B3458" s="1" t="s">
        <v>10590</v>
      </c>
      <c r="C3458" s="1" t="s">
        <v>373</v>
      </c>
      <c r="D3458" s="1" t="s">
        <v>373</v>
      </c>
      <c r="E3458" s="6">
        <v>273.64999999999998</v>
      </c>
      <c r="F3458" s="1" t="s">
        <v>40</v>
      </c>
      <c r="G3458" s="6">
        <f ca="1">IFERROR(__xludf.DUMMYFUNCTION("iferror(GOOGLEFINANCE(TRIM(F3458)&amp;"":"" &amp; TRIM(B3458), ""price""),0
)"),30.2)</f>
        <v>30.2</v>
      </c>
      <c r="H3458" s="6">
        <v>18.46</v>
      </c>
      <c r="I3458" s="6">
        <f t="shared" ca="1" si="0"/>
        <v>30.2</v>
      </c>
      <c r="J3458" s="6">
        <f ca="1">IFERROR(__xludf.DUMMYFUNCTION("IFERROR(GOOGLEFINANCE(B3458, ""volume""), 0)"),46316)</f>
        <v>46316</v>
      </c>
      <c r="K3458" s="6">
        <v>-0.32</v>
      </c>
      <c r="L3458" s="6">
        <f ca="1">IFERROR(__xludf.DUMMYFUNCTION("IFERROR(GOOGLEFINANCE(B3458,""changepct""),K3458)"),-1.05)</f>
        <v>-1.05</v>
      </c>
      <c r="M3458" s="6">
        <f ca="1">IFERROR(__xludf.DUMMYFUNCTION("IFERROR(GOOGLEFINANCE(B3458,""change""),0)"),-0.32)</f>
        <v>-0.32</v>
      </c>
      <c r="N3458" s="6">
        <v>1</v>
      </c>
      <c r="O3458" s="7">
        <v>45536</v>
      </c>
      <c r="P3458" s="6">
        <v>364.78</v>
      </c>
      <c r="Q3458" s="6">
        <v>638.20000000000005</v>
      </c>
      <c r="R3458" s="7">
        <v>45536</v>
      </c>
      <c r="S3458" s="6">
        <v>46.63</v>
      </c>
      <c r="T3458" s="6">
        <v>-29.09</v>
      </c>
      <c r="U3458" s="7">
        <v>45536</v>
      </c>
      <c r="V3458" s="6">
        <v>0</v>
      </c>
      <c r="W3458" s="6">
        <f ca="1">IFERROR(__xludf.DUMMYFUNCTION("IFERROR(GOOGLEFINANCE(B3458,""pe""),V3458)"),0)</f>
        <v>0</v>
      </c>
      <c r="X3458" s="9"/>
      <c r="Y3458" s="6">
        <v>3.55</v>
      </c>
      <c r="Z3458" s="6">
        <v>1</v>
      </c>
      <c r="AA3458" s="8">
        <v>45352</v>
      </c>
      <c r="AB3458" s="4">
        <v>3.95</v>
      </c>
      <c r="AC3458" s="6">
        <v>-28.29</v>
      </c>
      <c r="AD3458" s="6">
        <v>0.78</v>
      </c>
      <c r="AE3458" s="1">
        <v>0</v>
      </c>
      <c r="AF3458" s="1">
        <f ca="1">IFERROR(__xludf.DUMMYFUNCTION("IFERROR(GOOGLEFINANCE(TRIM(F3458)&amp;"":"" &amp; TRIM(B3458),""high52""),AE3458)"),44.78)</f>
        <v>44.78</v>
      </c>
      <c r="AG3458" s="1">
        <v>0</v>
      </c>
      <c r="AH3458" s="1">
        <f ca="1">IFERROR(__xludf.DUMMYFUNCTION("IFERROR(GOOGLEFINANCE(TRIM(F3458)&amp;"":"" &amp; TRIM(B3458),""low52""),AE3458)"),18.5)</f>
        <v>18.5</v>
      </c>
      <c r="AI3458" s="1">
        <f ca="1">IFERROR(__xludf.DUMMYFUNCTION("IFERROR(GOOGLEFINANCE(B3458,""eps""),0)"),-7.23)</f>
        <v>-7.23</v>
      </c>
      <c r="AJ3458" s="1"/>
      <c r="AK3458" s="1" t="s">
        <v>10591</v>
      </c>
      <c r="AL3458" s="9">
        <f t="shared" si="331"/>
        <v>1</v>
      </c>
    </row>
    <row r="3459" spans="1:38" ht="15" x14ac:dyDescent="0.25">
      <c r="A3459" s="1" t="s">
        <v>10592</v>
      </c>
      <c r="B3459" s="1" t="s">
        <v>10593</v>
      </c>
      <c r="C3459" s="1" t="s">
        <v>159</v>
      </c>
      <c r="D3459" s="1" t="s">
        <v>159</v>
      </c>
      <c r="E3459" s="6">
        <v>518.82000000000005</v>
      </c>
      <c r="F3459" s="1" t="s">
        <v>53</v>
      </c>
      <c r="G3459" s="6">
        <f ca="1">IFERROR(__xludf.DUMMYFUNCTION("iferror(GOOGLEFINANCE(TRIM(F3459)&amp;"":"" &amp; TRIM(B3459), ""price""),0
)"),0)</f>
        <v>0</v>
      </c>
      <c r="H3459" s="6">
        <v>382.15</v>
      </c>
      <c r="I3459" s="6">
        <f t="shared" ca="1" si="0"/>
        <v>382.15</v>
      </c>
      <c r="J3459" s="6">
        <f ca="1">IFERROR(__xludf.DUMMYFUNCTION("IFERROR(GOOGLEFINANCE(B3459, ""volume""), 0)"),0)</f>
        <v>0</v>
      </c>
      <c r="K3459" s="6">
        <v>-4.5199999999999996</v>
      </c>
      <c r="L3459" s="6">
        <f ca="1">IFERROR(__xludf.DUMMYFUNCTION("IFERROR(GOOGLEFINANCE(B3459,""changepct""),K3459)"),-4.52)</f>
        <v>-4.5199999999999996</v>
      </c>
      <c r="M3459" s="6">
        <f ca="1">IFERROR(__xludf.DUMMYFUNCTION("IFERROR(GOOGLEFINANCE(B3459,""change""),0)"),0)</f>
        <v>0</v>
      </c>
      <c r="N3459" s="6">
        <v>1</v>
      </c>
      <c r="O3459" s="7">
        <v>45536</v>
      </c>
      <c r="P3459" s="6">
        <v>0.76</v>
      </c>
      <c r="Q3459" s="6">
        <v>519.58000000000004</v>
      </c>
      <c r="R3459" s="7">
        <v>45352</v>
      </c>
      <c r="S3459" s="6">
        <v>41.18</v>
      </c>
      <c r="T3459" s="6">
        <v>6.31</v>
      </c>
      <c r="U3459" s="7">
        <v>45352</v>
      </c>
      <c r="V3459" s="6">
        <v>82.25</v>
      </c>
      <c r="W3459" s="6">
        <f ca="1">IFERROR(__xludf.DUMMYFUNCTION("IFERROR(GOOGLEFINANCE(B3459,""pe""),V3459)"),82.25)</f>
        <v>82.25</v>
      </c>
      <c r="X3459" s="9"/>
      <c r="Y3459" s="6">
        <v>7.04</v>
      </c>
      <c r="Z3459" s="6">
        <v>2</v>
      </c>
      <c r="AA3459" s="8">
        <v>45352</v>
      </c>
      <c r="AB3459" s="4">
        <v>0.01</v>
      </c>
      <c r="AC3459" s="6">
        <v>28.09</v>
      </c>
      <c r="AD3459" s="6">
        <v>35.76</v>
      </c>
      <c r="AE3459" s="1">
        <v>0</v>
      </c>
      <c r="AF3459" s="1">
        <f ca="1">IFERROR(__xludf.DUMMYFUNCTION("IFERROR(GOOGLEFINANCE(TRIM(F3459)&amp;"":"" &amp; TRIM(B3459),""high52""),AE3459)"),0)</f>
        <v>0</v>
      </c>
      <c r="AG3459" s="1">
        <v>0</v>
      </c>
      <c r="AH3459" s="1">
        <f ca="1">IFERROR(__xludf.DUMMYFUNCTION("IFERROR(GOOGLEFINANCE(TRIM(F3459)&amp;"":"" &amp; TRIM(B3459),""low52""),AE3459)"),0)</f>
        <v>0</v>
      </c>
      <c r="AI3459" s="1">
        <f ca="1">IFERROR(__xludf.DUMMYFUNCTION("IFERROR(GOOGLEFINANCE(B3459,""eps""),0)"),0)</f>
        <v>0</v>
      </c>
      <c r="AJ3459" s="1"/>
      <c r="AK3459" s="1" t="s">
        <v>10594</v>
      </c>
      <c r="AL3459" s="9">
        <f t="shared" si="331"/>
        <v>1</v>
      </c>
    </row>
    <row r="3460" spans="1:38" ht="15" x14ac:dyDescent="0.25">
      <c r="A3460" s="1" t="s">
        <v>10595</v>
      </c>
      <c r="B3460" s="1" t="s">
        <v>10596</v>
      </c>
      <c r="C3460" s="1" t="s">
        <v>159</v>
      </c>
      <c r="D3460" s="1" t="s">
        <v>159</v>
      </c>
      <c r="E3460" s="6">
        <v>48.41</v>
      </c>
      <c r="F3460" s="1" t="s">
        <v>53</v>
      </c>
      <c r="G3460" s="6">
        <f ca="1">IFERROR(__xludf.DUMMYFUNCTION("iferror(GOOGLEFINANCE(TRIM(F3460)&amp;"":"" &amp; TRIM(B3460), ""price""),0
)"),0)</f>
        <v>0</v>
      </c>
      <c r="H3460" s="6">
        <v>21</v>
      </c>
      <c r="I3460" s="6">
        <f t="shared" ca="1" si="0"/>
        <v>21</v>
      </c>
      <c r="J3460" s="6">
        <f ca="1">IFERROR(__xludf.DUMMYFUNCTION("IFERROR(GOOGLEFINANCE(B3460, ""volume""), 0)"),0)</f>
        <v>0</v>
      </c>
      <c r="K3460" s="6">
        <v>5</v>
      </c>
      <c r="L3460" s="6">
        <f ca="1">IFERROR(__xludf.DUMMYFUNCTION("IFERROR(GOOGLEFINANCE(B3460,""changepct""),K3460)"),5)</f>
        <v>5</v>
      </c>
      <c r="M3460" s="6">
        <f ca="1">IFERROR(__xludf.DUMMYFUNCTION("IFERROR(GOOGLEFINANCE(B3460,""change""),0)"),0)</f>
        <v>0</v>
      </c>
      <c r="N3460" s="6">
        <v>1</v>
      </c>
      <c r="O3460" s="7">
        <v>45536</v>
      </c>
      <c r="P3460" s="9"/>
      <c r="Q3460" s="6">
        <v>48.41</v>
      </c>
      <c r="R3460" s="7">
        <v>45352</v>
      </c>
      <c r="S3460" s="6">
        <v>19.93</v>
      </c>
      <c r="T3460" s="6">
        <v>0.64</v>
      </c>
      <c r="U3460" s="7">
        <v>45352</v>
      </c>
      <c r="V3460" s="6">
        <v>75.41</v>
      </c>
      <c r="W3460" s="6">
        <f ca="1">IFERROR(__xludf.DUMMYFUNCTION("IFERROR(GOOGLEFINANCE(B3460,""pe""),V3460)"),75.41)</f>
        <v>75.41</v>
      </c>
      <c r="X3460" s="9"/>
      <c r="Y3460" s="6">
        <v>0.46</v>
      </c>
      <c r="Z3460" s="6">
        <v>1</v>
      </c>
      <c r="AA3460" s="8">
        <v>45352</v>
      </c>
      <c r="AB3460" s="4">
        <v>0</v>
      </c>
      <c r="AC3460" s="6">
        <v>7.11</v>
      </c>
      <c r="AD3460" s="6">
        <v>9.4700000000000006</v>
      </c>
      <c r="AE3460" s="1">
        <v>0</v>
      </c>
      <c r="AF3460" s="1">
        <f ca="1">IFERROR(__xludf.DUMMYFUNCTION("IFERROR(GOOGLEFINANCE(TRIM(F3460)&amp;"":"" &amp; TRIM(B3460),""high52""),AE3460)"),0)</f>
        <v>0</v>
      </c>
      <c r="AG3460" s="1">
        <v>0</v>
      </c>
      <c r="AH3460" s="1">
        <f ca="1">IFERROR(__xludf.DUMMYFUNCTION("IFERROR(GOOGLEFINANCE(TRIM(F3460)&amp;"":"" &amp; TRIM(B3460),""low52""),AE3460)"),0)</f>
        <v>0</v>
      </c>
      <c r="AI3460" s="1">
        <f ca="1">IFERROR(__xludf.DUMMYFUNCTION("IFERROR(GOOGLEFINANCE(B3460,""eps""),0)"),0)</f>
        <v>0</v>
      </c>
      <c r="AJ3460" s="1"/>
      <c r="AK3460" s="1" t="s">
        <v>10597</v>
      </c>
      <c r="AL3460" s="9">
        <f t="shared" si="331"/>
        <v>1</v>
      </c>
    </row>
    <row r="3461" spans="1:38" ht="15" x14ac:dyDescent="0.25">
      <c r="A3461" s="1" t="s">
        <v>10598</v>
      </c>
      <c r="B3461" s="1" t="s">
        <v>10599</v>
      </c>
      <c r="C3461" s="1" t="s">
        <v>1118</v>
      </c>
      <c r="D3461" s="1" t="s">
        <v>1118</v>
      </c>
      <c r="E3461" s="6">
        <v>8524.6</v>
      </c>
      <c r="F3461" s="1" t="s">
        <v>40</v>
      </c>
      <c r="G3461" s="6">
        <f ca="1">IFERROR(__xludf.DUMMYFUNCTION("iferror(GOOGLEFINANCE(TRIM(F3461)&amp;"":"" &amp; TRIM(B3461), ""price""),0
)"),24.32)</f>
        <v>24.32</v>
      </c>
      <c r="H3461" s="6">
        <v>40.229999999999997</v>
      </c>
      <c r="I3461" s="6">
        <f t="shared" ca="1" si="0"/>
        <v>24.32</v>
      </c>
      <c r="J3461" s="6">
        <f ca="1">IFERROR(__xludf.DUMMYFUNCTION("IFERROR(GOOGLEFINANCE(B3461, ""volume""), 0)"),3819780)</f>
        <v>3819780</v>
      </c>
      <c r="K3461" s="6">
        <v>0.45</v>
      </c>
      <c r="L3461" s="6">
        <f ca="1">IFERROR(__xludf.DUMMYFUNCTION("IFERROR(GOOGLEFINANCE(B3461,""changepct""),K3461)"),-1.54)</f>
        <v>-1.54</v>
      </c>
      <c r="M3461" s="6">
        <f ca="1">IFERROR(__xludf.DUMMYFUNCTION("IFERROR(GOOGLEFINANCE(B3461,""change""),0)"),-0.38)</f>
        <v>-0.38</v>
      </c>
      <c r="N3461" s="6">
        <v>2</v>
      </c>
      <c r="O3461" s="7">
        <v>45536</v>
      </c>
      <c r="P3461" s="6">
        <v>5588.3</v>
      </c>
      <c r="Q3461" s="6">
        <v>14035.1</v>
      </c>
      <c r="R3461" s="7">
        <v>45536</v>
      </c>
      <c r="S3461" s="6">
        <v>12080.4</v>
      </c>
      <c r="T3461" s="6">
        <v>-472</v>
      </c>
      <c r="U3461" s="7">
        <v>45536</v>
      </c>
      <c r="V3461" s="6">
        <v>0</v>
      </c>
      <c r="W3461" s="6">
        <f ca="1">IFERROR(__xludf.DUMMYFUNCTION("IFERROR(GOOGLEFINANCE(B3461,""pe""),V3461)"),0)</f>
        <v>0</v>
      </c>
      <c r="X3461" s="6">
        <v>0</v>
      </c>
      <c r="Y3461" s="6">
        <v>-3.23</v>
      </c>
      <c r="Z3461" s="6">
        <v>2</v>
      </c>
      <c r="AA3461" s="8">
        <v>45352</v>
      </c>
      <c r="AB3461" s="4">
        <v>-2.36</v>
      </c>
      <c r="AC3461" s="6">
        <v>0</v>
      </c>
      <c r="AD3461" s="6">
        <v>13.21</v>
      </c>
      <c r="AE3461" s="1">
        <v>0</v>
      </c>
      <c r="AF3461" s="1">
        <f ca="1">IFERROR(__xludf.DUMMYFUNCTION("IFERROR(GOOGLEFINANCE(TRIM(F3461)&amp;"":"" &amp; TRIM(B3461),""high52""),AE3461)"),37.43)</f>
        <v>37.43</v>
      </c>
      <c r="AG3461" s="1">
        <v>0</v>
      </c>
      <c r="AH3461" s="1">
        <f ca="1">IFERROR(__xludf.DUMMYFUNCTION("IFERROR(GOOGLEFINANCE(TRIM(F3461)&amp;"":"" &amp; TRIM(B3461),""low52""),AE3461)"),22.85)</f>
        <v>22.85</v>
      </c>
      <c r="AI3461" s="1">
        <f ca="1">IFERROR(__xludf.DUMMYFUNCTION("IFERROR(GOOGLEFINANCE(B3461,""eps""),0)"),-3.5)</f>
        <v>-3.5</v>
      </c>
      <c r="AJ3461" s="1"/>
      <c r="AK3461" s="1" t="s">
        <v>10600</v>
      </c>
      <c r="AL3461" s="9">
        <f t="shared" si="331"/>
        <v>1</v>
      </c>
    </row>
    <row r="3462" spans="1:38" ht="15" x14ac:dyDescent="0.25">
      <c r="A3462" s="1" t="s">
        <v>10601</v>
      </c>
      <c r="B3462" s="1" t="s">
        <v>10602</v>
      </c>
      <c r="C3462" s="1" t="s">
        <v>159</v>
      </c>
      <c r="D3462" s="1" t="s">
        <v>159</v>
      </c>
      <c r="E3462" s="6">
        <v>329.88</v>
      </c>
      <c r="F3462" s="1" t="s">
        <v>53</v>
      </c>
      <c r="G3462" s="6">
        <f ca="1">IFERROR(__xludf.DUMMYFUNCTION("iferror(GOOGLEFINANCE(TRIM(F3462)&amp;"":"" &amp; TRIM(B3462), ""price""),0
)"),0)</f>
        <v>0</v>
      </c>
      <c r="H3462" s="6">
        <v>667.9</v>
      </c>
      <c r="I3462" s="6">
        <f t="shared" ca="1" si="0"/>
        <v>667.9</v>
      </c>
      <c r="J3462" s="6">
        <f ca="1">IFERROR(__xludf.DUMMYFUNCTION("IFERROR(GOOGLEFINANCE(B3462, ""volume""), 0)"),0)</f>
        <v>0</v>
      </c>
      <c r="K3462" s="6">
        <v>1.81</v>
      </c>
      <c r="L3462" s="6">
        <f ca="1">IFERROR(__xludf.DUMMYFUNCTION("IFERROR(GOOGLEFINANCE(B3462,""changepct""),K3462)"),1.81)</f>
        <v>1.81</v>
      </c>
      <c r="M3462" s="6">
        <f ca="1">IFERROR(__xludf.DUMMYFUNCTION("IFERROR(GOOGLEFINANCE(B3462,""change""),0)"),0)</f>
        <v>0</v>
      </c>
      <c r="N3462" s="6">
        <v>1</v>
      </c>
      <c r="O3462" s="7">
        <v>45536</v>
      </c>
      <c r="P3462" s="6">
        <v>3.73</v>
      </c>
      <c r="Q3462" s="6">
        <v>333.62</v>
      </c>
      <c r="R3462" s="7">
        <v>45352</v>
      </c>
      <c r="S3462" s="6">
        <v>28.5</v>
      </c>
      <c r="T3462" s="6">
        <v>1.9</v>
      </c>
      <c r="U3462" s="7">
        <v>45352</v>
      </c>
      <c r="V3462" s="6">
        <v>173.07</v>
      </c>
      <c r="W3462" s="6">
        <f ca="1">IFERROR(__xludf.DUMMYFUNCTION("IFERROR(GOOGLEFINANCE(B3462,""pe""),V3462)"),173.07)</f>
        <v>173.07</v>
      </c>
      <c r="X3462" s="9"/>
      <c r="Y3462" s="6">
        <v>23.69</v>
      </c>
      <c r="Z3462" s="6">
        <v>1</v>
      </c>
      <c r="AA3462" s="8">
        <v>45352</v>
      </c>
      <c r="AB3462" s="4">
        <v>0.13</v>
      </c>
      <c r="AC3462" s="6">
        <v>14.62</v>
      </c>
      <c r="AD3462" s="6">
        <v>20.88</v>
      </c>
      <c r="AE3462" s="1">
        <v>0</v>
      </c>
      <c r="AF3462" s="1">
        <f ca="1">IFERROR(__xludf.DUMMYFUNCTION("IFERROR(GOOGLEFINANCE(TRIM(F3462)&amp;"":"" &amp; TRIM(B3462),""high52""),AE3462)"),0)</f>
        <v>0</v>
      </c>
      <c r="AG3462" s="1">
        <v>0</v>
      </c>
      <c r="AH3462" s="1">
        <f ca="1">IFERROR(__xludf.DUMMYFUNCTION("IFERROR(GOOGLEFINANCE(TRIM(F3462)&amp;"":"" &amp; TRIM(B3462),""low52""),AE3462)"),0)</f>
        <v>0</v>
      </c>
      <c r="AI3462" s="1">
        <f ca="1">IFERROR(__xludf.DUMMYFUNCTION("IFERROR(GOOGLEFINANCE(B3462,""eps""),0)"),0)</f>
        <v>0</v>
      </c>
      <c r="AJ3462" s="1"/>
      <c r="AK3462" s="1" t="s">
        <v>10603</v>
      </c>
      <c r="AL3462" s="9">
        <f t="shared" si="331"/>
        <v>1</v>
      </c>
    </row>
    <row r="3463" spans="1:38" ht="15" x14ac:dyDescent="0.25">
      <c r="A3463" s="1" t="s">
        <v>10604</v>
      </c>
      <c r="B3463" s="1" t="s">
        <v>10605</v>
      </c>
      <c r="C3463" s="1" t="s">
        <v>82</v>
      </c>
      <c r="D3463" s="1" t="s">
        <v>82</v>
      </c>
      <c r="E3463" s="6">
        <v>576.54</v>
      </c>
      <c r="F3463" s="1" t="s">
        <v>40</v>
      </c>
      <c r="G3463" s="6">
        <f ca="1">IFERROR(__xludf.DUMMYFUNCTION("iferror(GOOGLEFINANCE(TRIM(F3463)&amp;"":"" &amp; TRIM(B3463), ""price""),0
)"),32.14)</f>
        <v>32.14</v>
      </c>
      <c r="H3463" s="6">
        <v>70.77</v>
      </c>
      <c r="I3463" s="6">
        <f t="shared" ca="1" si="0"/>
        <v>32.14</v>
      </c>
      <c r="J3463" s="6">
        <f ca="1">IFERROR(__xludf.DUMMYFUNCTION("IFERROR(GOOGLEFINANCE(B3463, ""volume""), 0)"),25492)</f>
        <v>25492</v>
      </c>
      <c r="K3463" s="6">
        <v>0.21</v>
      </c>
      <c r="L3463" s="6">
        <f ca="1">IFERROR(__xludf.DUMMYFUNCTION("IFERROR(GOOGLEFINANCE(B3463,""changepct""),K3463)"),-0.43)</f>
        <v>-0.43</v>
      </c>
      <c r="M3463" s="6">
        <f ca="1">IFERROR(__xludf.DUMMYFUNCTION("IFERROR(GOOGLEFINANCE(B3463,""change""),0)"),-0.14)</f>
        <v>-0.14000000000000001</v>
      </c>
      <c r="N3463" s="6">
        <v>2</v>
      </c>
      <c r="O3463" s="7">
        <v>45536</v>
      </c>
      <c r="P3463" s="6">
        <v>214.92</v>
      </c>
      <c r="Q3463" s="6">
        <v>759.05</v>
      </c>
      <c r="R3463" s="14"/>
      <c r="S3463" s="9"/>
      <c r="T3463" s="9"/>
      <c r="U3463" s="7">
        <v>45352</v>
      </c>
      <c r="V3463" s="6">
        <v>19.690000000000001</v>
      </c>
      <c r="W3463" s="6">
        <f ca="1">IFERROR(__xludf.DUMMYFUNCTION("IFERROR(GOOGLEFINANCE(B3463,""pe""),V3463)"),13.92)</f>
        <v>13.92</v>
      </c>
      <c r="X3463" s="9"/>
      <c r="Y3463" s="6">
        <v>1.93</v>
      </c>
      <c r="Z3463" s="6">
        <v>2</v>
      </c>
      <c r="AA3463" s="8">
        <v>45352</v>
      </c>
      <c r="AB3463" s="4">
        <v>1.41</v>
      </c>
      <c r="AC3463" s="6">
        <v>25.47</v>
      </c>
      <c r="AD3463" s="6">
        <v>18.16</v>
      </c>
      <c r="AE3463" s="1">
        <v>0</v>
      </c>
      <c r="AF3463" s="1">
        <f ca="1">IFERROR(__xludf.DUMMYFUNCTION("IFERROR(GOOGLEFINANCE(TRIM(F3463)&amp;"":"" &amp; TRIM(B3463),""high52""),AE3463)"),68.5)</f>
        <v>68.5</v>
      </c>
      <c r="AG3463" s="1">
        <v>0</v>
      </c>
      <c r="AH3463" s="1">
        <f ca="1">IFERROR(__xludf.DUMMYFUNCTION("IFERROR(GOOGLEFINANCE(TRIM(F3463)&amp;"":"" &amp; TRIM(B3463),""low52""),AE3463)"),32.01)</f>
        <v>32.01</v>
      </c>
      <c r="AI3463" s="1">
        <f ca="1">IFERROR(__xludf.DUMMYFUNCTION("IFERROR(GOOGLEFINANCE(B3463,""eps""),0)"),2.31)</f>
        <v>2.31</v>
      </c>
      <c r="AJ3463" s="1"/>
      <c r="AK3463" s="1" t="s">
        <v>10606</v>
      </c>
      <c r="AL3463" s="9">
        <f t="shared" si="331"/>
        <v>1</v>
      </c>
    </row>
    <row r="3464" spans="1:38" ht="15" x14ac:dyDescent="0.25">
      <c r="A3464" s="1" t="s">
        <v>10607</v>
      </c>
      <c r="B3464" s="1" t="s">
        <v>10608</v>
      </c>
      <c r="C3464" s="1" t="s">
        <v>82</v>
      </c>
      <c r="D3464" s="1" t="s">
        <v>82</v>
      </c>
      <c r="E3464" s="6">
        <v>885.31</v>
      </c>
      <c r="F3464" s="1" t="s">
        <v>40</v>
      </c>
      <c r="G3464" s="6">
        <f ca="1">IFERROR(__xludf.DUMMYFUNCTION("iferror(GOOGLEFINANCE(TRIM(F3464)&amp;"":"" &amp; TRIM(B3464), ""price""),0
)"),0)</f>
        <v>0</v>
      </c>
      <c r="H3464" s="6">
        <v>873.95</v>
      </c>
      <c r="I3464" s="6">
        <f t="shared" ca="1" si="0"/>
        <v>873.95</v>
      </c>
      <c r="J3464" s="6">
        <f ca="1">IFERROR(__xludf.DUMMYFUNCTION("IFERROR(GOOGLEFINANCE(B3464, ""volume""), 0)"),0)</f>
        <v>0</v>
      </c>
      <c r="K3464" s="12"/>
      <c r="L3464" s="6" t="str">
        <f ca="1">IFERROR(__xludf.DUMMYFUNCTION("IFERROR(GOOGLEFINANCE(B3464,""changepct""),K3464)"),"")</f>
        <v/>
      </c>
      <c r="M3464" s="6">
        <f ca="1">IFERROR(__xludf.DUMMYFUNCTION("IFERROR(GOOGLEFINANCE(B3464,""change""),0)"),0)</f>
        <v>0</v>
      </c>
      <c r="N3464" s="6">
        <v>1</v>
      </c>
      <c r="O3464" s="7">
        <v>45536</v>
      </c>
      <c r="P3464" s="6">
        <v>90.57</v>
      </c>
      <c r="Q3464" s="6">
        <v>975.88</v>
      </c>
      <c r="R3464" s="7">
        <v>45352</v>
      </c>
      <c r="S3464" s="6">
        <v>161.11000000000001</v>
      </c>
      <c r="T3464" s="6">
        <v>14.11</v>
      </c>
      <c r="U3464" s="7">
        <v>45352</v>
      </c>
      <c r="V3464" s="6">
        <v>62.76</v>
      </c>
      <c r="W3464" s="6">
        <f ca="1">IFERROR(__xludf.DUMMYFUNCTION("IFERROR(GOOGLEFINANCE(B3464,""pe""),V3464)"),62.76)</f>
        <v>62.76</v>
      </c>
      <c r="X3464" s="12"/>
      <c r="Y3464" s="6">
        <v>11.42</v>
      </c>
      <c r="Z3464" s="6">
        <v>2</v>
      </c>
      <c r="AA3464" s="8">
        <v>45352</v>
      </c>
      <c r="AB3464" s="4">
        <v>0.94</v>
      </c>
      <c r="AC3464" s="6">
        <v>20.04</v>
      </c>
      <c r="AD3464" s="6">
        <v>17.55</v>
      </c>
      <c r="AE3464" s="1">
        <v>0</v>
      </c>
      <c r="AF3464" s="1">
        <f ca="1">IFERROR(__xludf.DUMMYFUNCTION("IFERROR(GOOGLEFINANCE(TRIM(F3464)&amp;"":"" &amp; TRIM(B3464),""high52""),AE3464)"),0)</f>
        <v>0</v>
      </c>
      <c r="AG3464" s="1">
        <v>0</v>
      </c>
      <c r="AH3464" s="1">
        <f ca="1">IFERROR(__xludf.DUMMYFUNCTION("IFERROR(GOOGLEFINANCE(TRIM(F3464)&amp;"":"" &amp; TRIM(B3464),""low52""),AE3464)"),0)</f>
        <v>0</v>
      </c>
      <c r="AI3464" s="1">
        <f ca="1">IFERROR(__xludf.DUMMYFUNCTION("IFERROR(GOOGLEFINANCE(B3464,""eps""),0)"),0)</f>
        <v>0</v>
      </c>
      <c r="AJ3464" s="1"/>
      <c r="AK3464" s="1" t="s">
        <v>10609</v>
      </c>
      <c r="AL3464" s="9">
        <f t="shared" si="331"/>
        <v>1</v>
      </c>
    </row>
    <row r="3465" spans="1:38" ht="15" x14ac:dyDescent="0.25">
      <c r="A3465" s="1" t="s">
        <v>10610</v>
      </c>
      <c r="B3465" s="1" t="s">
        <v>10611</v>
      </c>
      <c r="C3465" s="1" t="s">
        <v>159</v>
      </c>
      <c r="D3465" s="1" t="s">
        <v>159</v>
      </c>
      <c r="E3465" s="6">
        <v>290.45</v>
      </c>
      <c r="F3465" s="1" t="s">
        <v>53</v>
      </c>
      <c r="G3465" s="6">
        <f ca="1">IFERROR(__xludf.DUMMYFUNCTION("iferror(GOOGLEFINANCE(TRIM(F3465)&amp;"":"" &amp; TRIM(B3465), ""price""),0
)"),0)</f>
        <v>0</v>
      </c>
      <c r="H3465" s="6">
        <v>192.25</v>
      </c>
      <c r="I3465" s="6">
        <f t="shared" ca="1" si="0"/>
        <v>192.25</v>
      </c>
      <c r="J3465" s="6">
        <f ca="1">IFERROR(__xludf.DUMMYFUNCTION("IFERROR(GOOGLEFINANCE(B3465, ""volume""), 0)"),0)</f>
        <v>0</v>
      </c>
      <c r="K3465" s="6">
        <v>-0.05</v>
      </c>
      <c r="L3465" s="6">
        <f ca="1">IFERROR(__xludf.DUMMYFUNCTION("IFERROR(GOOGLEFINANCE(B3465,""changepct""),K3465)"),-0.05)</f>
        <v>-0.05</v>
      </c>
      <c r="M3465" s="6">
        <f ca="1">IFERROR(__xludf.DUMMYFUNCTION("IFERROR(GOOGLEFINANCE(B3465,""change""),0)"),0)</f>
        <v>0</v>
      </c>
      <c r="N3465" s="6">
        <v>1</v>
      </c>
      <c r="O3465" s="7">
        <v>45536</v>
      </c>
      <c r="P3465" s="6">
        <v>6.58</v>
      </c>
      <c r="Q3465" s="6">
        <v>297.02999999999997</v>
      </c>
      <c r="R3465" s="7">
        <v>45352</v>
      </c>
      <c r="S3465" s="6">
        <v>37.71</v>
      </c>
      <c r="T3465" s="6">
        <v>3.43</v>
      </c>
      <c r="U3465" s="7">
        <v>45352</v>
      </c>
      <c r="V3465" s="6">
        <v>84.7</v>
      </c>
      <c r="W3465" s="6">
        <f ca="1">IFERROR(__xludf.DUMMYFUNCTION("IFERROR(GOOGLEFINANCE(B3465,""pe""),V3465)"),84.7)</f>
        <v>84.7</v>
      </c>
      <c r="X3465" s="9"/>
      <c r="Y3465" s="6">
        <v>9.4</v>
      </c>
      <c r="Z3465" s="6">
        <v>2</v>
      </c>
      <c r="AA3465" s="8">
        <v>44986</v>
      </c>
      <c r="AB3465" s="4">
        <v>0.1</v>
      </c>
      <c r="AC3465" s="6">
        <v>15.89</v>
      </c>
      <c r="AD3465" s="6">
        <v>20.76</v>
      </c>
      <c r="AE3465" s="1">
        <v>0</v>
      </c>
      <c r="AF3465" s="1">
        <f ca="1">IFERROR(__xludf.DUMMYFUNCTION("IFERROR(GOOGLEFINANCE(TRIM(F3465)&amp;"":"" &amp; TRIM(B3465),""high52""),AE3465)"),0)</f>
        <v>0</v>
      </c>
      <c r="AG3465" s="1">
        <v>0</v>
      </c>
      <c r="AH3465" s="1">
        <f ca="1">IFERROR(__xludf.DUMMYFUNCTION("IFERROR(GOOGLEFINANCE(TRIM(F3465)&amp;"":"" &amp; TRIM(B3465),""low52""),AE3465)"),0)</f>
        <v>0</v>
      </c>
      <c r="AI3465" s="1">
        <f ca="1">IFERROR(__xludf.DUMMYFUNCTION("IFERROR(GOOGLEFINANCE(B3465,""eps""),0)"),0)</f>
        <v>0</v>
      </c>
      <c r="AJ3465" s="1"/>
      <c r="AK3465" s="1" t="s">
        <v>10612</v>
      </c>
      <c r="AL3465" s="9">
        <f t="shared" si="331"/>
        <v>1</v>
      </c>
    </row>
    <row r="3466" spans="1:38" ht="15" x14ac:dyDescent="0.25">
      <c r="A3466" s="1" t="s">
        <v>10613</v>
      </c>
      <c r="B3466" s="1" t="s">
        <v>10614</v>
      </c>
      <c r="C3466" s="1" t="s">
        <v>159</v>
      </c>
      <c r="D3466" s="1" t="s">
        <v>159</v>
      </c>
      <c r="E3466" s="6">
        <v>35.92</v>
      </c>
      <c r="F3466" s="1" t="s">
        <v>53</v>
      </c>
      <c r="G3466" s="6">
        <f ca="1">IFERROR(__xludf.DUMMYFUNCTION("iferror(GOOGLEFINANCE(TRIM(F3466)&amp;"":"" &amp; TRIM(B3466), ""price""),0
)"),0)</f>
        <v>0</v>
      </c>
      <c r="H3466" s="6">
        <v>99.75</v>
      </c>
      <c r="I3466" s="6">
        <f t="shared" ca="1" si="0"/>
        <v>99.75</v>
      </c>
      <c r="J3466" s="6">
        <f ca="1">IFERROR(__xludf.DUMMYFUNCTION("IFERROR(GOOGLEFINANCE(B3466, ""volume""), 0)"),0)</f>
        <v>0</v>
      </c>
      <c r="K3466" s="12"/>
      <c r="L3466" s="6" t="str">
        <f ca="1">IFERROR(__xludf.DUMMYFUNCTION("IFERROR(GOOGLEFINANCE(B3466,""changepct""),K3466)"),"")</f>
        <v/>
      </c>
      <c r="M3466" s="6">
        <f ca="1">IFERROR(__xludf.DUMMYFUNCTION("IFERROR(GOOGLEFINANCE(B3466,""change""),0)"),0)</f>
        <v>0</v>
      </c>
      <c r="N3466" s="6">
        <v>1</v>
      </c>
      <c r="O3466" s="7">
        <v>45536</v>
      </c>
      <c r="P3466" s="6">
        <v>2.42</v>
      </c>
      <c r="Q3466" s="6">
        <v>38.340000000000003</v>
      </c>
      <c r="R3466" s="7">
        <v>45352</v>
      </c>
      <c r="S3466" s="6">
        <v>4.99</v>
      </c>
      <c r="T3466" s="6">
        <v>0.49</v>
      </c>
      <c r="U3466" s="7">
        <v>45352</v>
      </c>
      <c r="V3466" s="6">
        <v>72.89</v>
      </c>
      <c r="W3466" s="6">
        <f ca="1">IFERROR(__xludf.DUMMYFUNCTION("IFERROR(GOOGLEFINANCE(B3466,""pe""),V3466)"),72.89)</f>
        <v>72.89</v>
      </c>
      <c r="X3466" s="9"/>
      <c r="Y3466" s="6">
        <v>6.39</v>
      </c>
      <c r="Z3466" s="6">
        <v>2</v>
      </c>
      <c r="AA3466" s="8">
        <v>44986</v>
      </c>
      <c r="AB3466" s="4">
        <v>0.31</v>
      </c>
      <c r="AC3466" s="6">
        <v>14.53</v>
      </c>
      <c r="AD3466" s="6">
        <v>17.670000000000002</v>
      </c>
      <c r="AE3466" s="1">
        <v>0</v>
      </c>
      <c r="AF3466" s="1">
        <f ca="1">IFERROR(__xludf.DUMMYFUNCTION("IFERROR(GOOGLEFINANCE(TRIM(F3466)&amp;"":"" &amp; TRIM(B3466),""high52""),AE3466)"),0)</f>
        <v>0</v>
      </c>
      <c r="AG3466" s="1">
        <v>0</v>
      </c>
      <c r="AH3466" s="1">
        <f ca="1">IFERROR(__xludf.DUMMYFUNCTION("IFERROR(GOOGLEFINANCE(TRIM(F3466)&amp;"":"" &amp; TRIM(B3466),""low52""),AE3466)"),0)</f>
        <v>0</v>
      </c>
      <c r="AI3466" s="1">
        <f ca="1">IFERROR(__xludf.DUMMYFUNCTION("IFERROR(GOOGLEFINANCE(B3466,""eps""),0)"),0)</f>
        <v>0</v>
      </c>
      <c r="AJ3466" s="1"/>
      <c r="AK3466" s="1" t="s">
        <v>10615</v>
      </c>
      <c r="AL3466" s="9">
        <f t="shared" si="331"/>
        <v>1</v>
      </c>
    </row>
    <row r="3467" spans="1:38" ht="15" x14ac:dyDescent="0.25">
      <c r="A3467" s="1" t="s">
        <v>10616</v>
      </c>
      <c r="B3467" s="1" t="s">
        <v>10617</v>
      </c>
      <c r="C3467" s="1" t="s">
        <v>259</v>
      </c>
      <c r="D3467" s="1" t="s">
        <v>259</v>
      </c>
      <c r="E3467" s="6">
        <v>408.89</v>
      </c>
      <c r="F3467" s="1" t="s">
        <v>40</v>
      </c>
      <c r="G3467" s="6">
        <f ca="1">IFERROR(__xludf.DUMMYFUNCTION("iferror(GOOGLEFINANCE(TRIM(F3467)&amp;"":"" &amp; TRIM(B3467), ""price""),0
)"),640)</f>
        <v>640</v>
      </c>
      <c r="H3467" s="6">
        <v>357.75</v>
      </c>
      <c r="I3467" s="6">
        <f t="shared" ca="1" si="0"/>
        <v>640</v>
      </c>
      <c r="J3467" s="6">
        <f ca="1">IFERROR(__xludf.DUMMYFUNCTION("IFERROR(GOOGLEFINANCE(B3467, ""volume""), 0)"),286)</f>
        <v>286</v>
      </c>
      <c r="K3467" s="6">
        <v>0.56000000000000005</v>
      </c>
      <c r="L3467" s="6">
        <f ca="1">IFERROR(__xludf.DUMMYFUNCTION("IFERROR(GOOGLEFINANCE(B3467,""changepct""),K3467)"),-0.51)</f>
        <v>-0.51</v>
      </c>
      <c r="M3467" s="6">
        <f ca="1">IFERROR(__xludf.DUMMYFUNCTION("IFERROR(GOOGLEFINANCE(B3467,""change""),0)"),-3.3)</f>
        <v>-3.3</v>
      </c>
      <c r="N3467" s="6">
        <v>1</v>
      </c>
      <c r="O3467" s="7">
        <v>45536</v>
      </c>
      <c r="P3467" s="6">
        <v>51.06</v>
      </c>
      <c r="Q3467" s="6">
        <v>458.95</v>
      </c>
      <c r="R3467" s="7">
        <v>45536</v>
      </c>
      <c r="S3467" s="6">
        <v>130.29</v>
      </c>
      <c r="T3467" s="6">
        <v>1.88</v>
      </c>
      <c r="U3467" s="7">
        <v>45536</v>
      </c>
      <c r="V3467" s="6">
        <v>217.49</v>
      </c>
      <c r="W3467" s="6">
        <f ca="1">IFERROR(__xludf.DUMMYFUNCTION("IFERROR(GOOGLEFINANCE(B3467,""pe""),V3467)"),161.15)</f>
        <v>161.15</v>
      </c>
      <c r="X3467" s="6">
        <v>16.440000000000001</v>
      </c>
      <c r="Y3467" s="6">
        <v>12.5</v>
      </c>
      <c r="Z3467" s="6">
        <v>1</v>
      </c>
      <c r="AA3467" s="8">
        <v>44986</v>
      </c>
      <c r="AB3467" s="4">
        <v>1.48</v>
      </c>
      <c r="AC3467" s="6">
        <v>7.5</v>
      </c>
      <c r="AD3467" s="6">
        <v>17.54</v>
      </c>
      <c r="AE3467" s="1">
        <v>0</v>
      </c>
      <c r="AF3467" s="1">
        <f ca="1">IFERROR(__xludf.DUMMYFUNCTION("IFERROR(GOOGLEFINANCE(TRIM(F3467)&amp;"":"" &amp; TRIM(B3467),""high52""),AE3467)"),855.7)</f>
        <v>855.7</v>
      </c>
      <c r="AG3467" s="1">
        <v>0</v>
      </c>
      <c r="AH3467" s="1">
        <f ca="1">IFERROR(__xludf.DUMMYFUNCTION("IFERROR(GOOGLEFINANCE(TRIM(F3467)&amp;"":"" &amp; TRIM(B3467),""low52""),AE3467)"),373)</f>
        <v>373</v>
      </c>
      <c r="AI3467" s="1">
        <f ca="1">IFERROR(__xludf.DUMMYFUNCTION("IFERROR(GOOGLEFINANCE(B3467,""eps""),0)"),3.97)</f>
        <v>3.97</v>
      </c>
      <c r="AJ3467" s="1"/>
      <c r="AK3467" s="1" t="s">
        <v>10618</v>
      </c>
      <c r="AL3467" s="9">
        <f t="shared" si="331"/>
        <v>1</v>
      </c>
    </row>
    <row r="3468" spans="1:38" ht="15" x14ac:dyDescent="0.25">
      <c r="A3468" s="1" t="s">
        <v>10619</v>
      </c>
      <c r="B3468" s="1" t="s">
        <v>10620</v>
      </c>
      <c r="C3468" s="1" t="s">
        <v>159</v>
      </c>
      <c r="D3468" s="1" t="s">
        <v>159</v>
      </c>
      <c r="E3468" s="6">
        <v>52.75</v>
      </c>
      <c r="F3468" s="1" t="s">
        <v>53</v>
      </c>
      <c r="G3468" s="6">
        <f ca="1">IFERROR(__xludf.DUMMYFUNCTION("iferror(GOOGLEFINANCE(TRIM(F3468)&amp;"":"" &amp; TRIM(B3468), ""price""),0
)"),0)</f>
        <v>0</v>
      </c>
      <c r="H3468" s="6">
        <v>172.4</v>
      </c>
      <c r="I3468" s="6">
        <f t="shared" ca="1" si="0"/>
        <v>172.4</v>
      </c>
      <c r="J3468" s="6">
        <f ca="1">IFERROR(__xludf.DUMMYFUNCTION("IFERROR(GOOGLEFINANCE(B3468, ""volume""), 0)"),0)</f>
        <v>0</v>
      </c>
      <c r="K3468" s="9"/>
      <c r="L3468" s="6" t="str">
        <f ca="1">IFERROR(__xludf.DUMMYFUNCTION("IFERROR(GOOGLEFINANCE(B3468,""changepct""),K3468)"),"")</f>
        <v/>
      </c>
      <c r="M3468" s="6">
        <f ca="1">IFERROR(__xludf.DUMMYFUNCTION("IFERROR(GOOGLEFINANCE(B3468,""change""),0)"),0)</f>
        <v>0</v>
      </c>
      <c r="N3468" s="6">
        <v>1</v>
      </c>
      <c r="O3468" s="7">
        <v>45536</v>
      </c>
      <c r="P3468" s="6">
        <v>3.69</v>
      </c>
      <c r="Q3468" s="6">
        <v>56.45</v>
      </c>
      <c r="R3468" s="7">
        <v>45352</v>
      </c>
      <c r="S3468" s="6">
        <v>36.39</v>
      </c>
      <c r="T3468" s="6">
        <v>2.64</v>
      </c>
      <c r="U3468" s="7">
        <v>45352</v>
      </c>
      <c r="V3468" s="6">
        <v>19.97</v>
      </c>
      <c r="W3468" s="6">
        <f ca="1">IFERROR(__xludf.DUMMYFUNCTION("IFERROR(GOOGLEFINANCE(B3468,""pe""),V3468)"),19.97)</f>
        <v>19.97</v>
      </c>
      <c r="X3468" s="6">
        <v>1.17</v>
      </c>
      <c r="Y3468" s="6">
        <v>2.5499999999999998</v>
      </c>
      <c r="Z3468" s="6">
        <v>1</v>
      </c>
      <c r="AA3468" s="8">
        <v>45352</v>
      </c>
      <c r="AB3468" s="4">
        <v>0.17</v>
      </c>
      <c r="AC3468" s="6">
        <v>13.55</v>
      </c>
      <c r="AD3468" s="6">
        <v>18.09</v>
      </c>
      <c r="AE3468" s="1">
        <v>0</v>
      </c>
      <c r="AF3468" s="1">
        <f ca="1">IFERROR(__xludf.DUMMYFUNCTION("IFERROR(GOOGLEFINANCE(TRIM(F3468)&amp;"":"" &amp; TRIM(B3468),""high52""),AE3468)"),0)</f>
        <v>0</v>
      </c>
      <c r="AG3468" s="1">
        <v>0</v>
      </c>
      <c r="AH3468" s="1">
        <f ca="1">IFERROR(__xludf.DUMMYFUNCTION("IFERROR(GOOGLEFINANCE(TRIM(F3468)&amp;"":"" &amp; TRIM(B3468),""low52""),AE3468)"),0)</f>
        <v>0</v>
      </c>
      <c r="AI3468" s="1">
        <f ca="1">IFERROR(__xludf.DUMMYFUNCTION("IFERROR(GOOGLEFINANCE(B3468,""eps""),0)"),0)</f>
        <v>0</v>
      </c>
      <c r="AJ3468" s="1"/>
      <c r="AK3468" s="9"/>
      <c r="AL3468" s="9">
        <f t="shared" si="331"/>
        <v>1</v>
      </c>
    </row>
    <row r="3469" spans="1:38" ht="15" x14ac:dyDescent="0.25">
      <c r="A3469" s="1" t="s">
        <v>10621</v>
      </c>
      <c r="B3469" s="1" t="s">
        <v>10622</v>
      </c>
      <c r="C3469" s="1" t="s">
        <v>159</v>
      </c>
      <c r="D3469" s="1" t="s">
        <v>159</v>
      </c>
      <c r="E3469" s="6">
        <v>17.899999999999999</v>
      </c>
      <c r="F3469" s="1" t="s">
        <v>53</v>
      </c>
      <c r="G3469" s="6">
        <f ca="1">IFERROR(__xludf.DUMMYFUNCTION("iferror(GOOGLEFINANCE(TRIM(F3469)&amp;"":"" &amp; TRIM(B3469), ""price""),0
)"),0)</f>
        <v>0</v>
      </c>
      <c r="H3469" s="6">
        <v>17.190000000000001</v>
      </c>
      <c r="I3469" s="6">
        <f t="shared" ca="1" si="0"/>
        <v>17.190000000000001</v>
      </c>
      <c r="J3469" s="6">
        <f ca="1">IFERROR(__xludf.DUMMYFUNCTION("IFERROR(GOOGLEFINANCE(B3469, ""volume""), 0)"),0)</f>
        <v>0</v>
      </c>
      <c r="K3469" s="9"/>
      <c r="L3469" s="6" t="str">
        <f ca="1">IFERROR(__xludf.DUMMYFUNCTION("IFERROR(GOOGLEFINANCE(B3469,""changepct""),K3469)"),"")</f>
        <v/>
      </c>
      <c r="M3469" s="6">
        <f ca="1">IFERROR(__xludf.DUMMYFUNCTION("IFERROR(GOOGLEFINANCE(B3469,""change""),0)"),0)</f>
        <v>0</v>
      </c>
      <c r="N3469" s="6">
        <v>1</v>
      </c>
      <c r="O3469" s="7">
        <v>45536</v>
      </c>
      <c r="P3469" s="9"/>
      <c r="Q3469" s="6">
        <v>17.899999999999999</v>
      </c>
      <c r="R3469" s="7">
        <v>45352</v>
      </c>
      <c r="S3469" s="6">
        <v>5.66</v>
      </c>
      <c r="T3469" s="6">
        <v>-0.06</v>
      </c>
      <c r="U3469" s="7">
        <v>45352</v>
      </c>
      <c r="V3469" s="6">
        <v>0</v>
      </c>
      <c r="W3469" s="6">
        <f ca="1">IFERROR(__xludf.DUMMYFUNCTION("IFERROR(GOOGLEFINANCE(B3469,""pe""),V3469)"),0)</f>
        <v>0</v>
      </c>
      <c r="X3469" s="6">
        <v>0</v>
      </c>
      <c r="Y3469" s="6">
        <v>1.94</v>
      </c>
      <c r="Z3469" s="6">
        <v>2</v>
      </c>
      <c r="AA3469" s="8">
        <v>45352</v>
      </c>
      <c r="AB3469" s="4">
        <v>0</v>
      </c>
      <c r="AC3469" s="6">
        <v>11.82</v>
      </c>
      <c r="AD3469" s="6">
        <v>15.01</v>
      </c>
      <c r="AE3469" s="1">
        <v>0</v>
      </c>
      <c r="AF3469" s="1">
        <f ca="1">IFERROR(__xludf.DUMMYFUNCTION("IFERROR(GOOGLEFINANCE(TRIM(F3469)&amp;"":"" &amp; TRIM(B3469),""high52""),AE3469)"),0)</f>
        <v>0</v>
      </c>
      <c r="AG3469" s="1">
        <v>0</v>
      </c>
      <c r="AH3469" s="1">
        <f ca="1">IFERROR(__xludf.DUMMYFUNCTION("IFERROR(GOOGLEFINANCE(TRIM(F3469)&amp;"":"" &amp; TRIM(B3469),""low52""),AE3469)"),0)</f>
        <v>0</v>
      </c>
      <c r="AI3469" s="1">
        <f ca="1">IFERROR(__xludf.DUMMYFUNCTION("IFERROR(GOOGLEFINANCE(B3469,""eps""),0)"),0)</f>
        <v>0</v>
      </c>
      <c r="AJ3469" s="1"/>
      <c r="AK3469" s="1" t="s">
        <v>10623</v>
      </c>
      <c r="AL3469" s="9">
        <f t="shared" si="331"/>
        <v>1</v>
      </c>
    </row>
    <row r="3470" spans="1:38" ht="15" x14ac:dyDescent="0.25">
      <c r="A3470" s="1" t="s">
        <v>10624</v>
      </c>
      <c r="B3470" s="1" t="s">
        <v>10625</v>
      </c>
      <c r="C3470" s="1" t="s">
        <v>43</v>
      </c>
      <c r="D3470" s="1" t="s">
        <v>43</v>
      </c>
      <c r="E3470" s="6">
        <v>0</v>
      </c>
      <c r="F3470" s="1" t="s">
        <v>40</v>
      </c>
      <c r="G3470" s="6">
        <f ca="1">IFERROR(__xludf.DUMMYFUNCTION("iferror(GOOGLEFINANCE(TRIM(F3470)&amp;"":"" &amp; TRIM(B3470), ""price""),0
)"),0)</f>
        <v>0</v>
      </c>
      <c r="H3470" s="6">
        <v>114.25</v>
      </c>
      <c r="I3470" s="6">
        <f t="shared" ca="1" si="0"/>
        <v>114.25</v>
      </c>
      <c r="J3470" s="6">
        <f ca="1">IFERROR(__xludf.DUMMYFUNCTION("IFERROR(GOOGLEFINANCE(B3470, ""volume""), 0)"),0)</f>
        <v>0</v>
      </c>
      <c r="K3470" s="9"/>
      <c r="L3470" s="6" t="str">
        <f ca="1">IFERROR(__xludf.DUMMYFUNCTION("IFERROR(GOOGLEFINANCE(B3470,""changepct""),K3470)"),"")</f>
        <v/>
      </c>
      <c r="M3470" s="6">
        <f ca="1">IFERROR(__xludf.DUMMYFUNCTION("IFERROR(GOOGLEFINANCE(B3470,""change""),0)"),0)</f>
        <v>0</v>
      </c>
      <c r="N3470" s="6">
        <v>1</v>
      </c>
      <c r="O3470" s="14"/>
      <c r="P3470" s="9"/>
      <c r="Q3470" s="7">
        <v>45352</v>
      </c>
      <c r="R3470" s="14"/>
      <c r="S3470" s="9"/>
      <c r="T3470" s="9"/>
      <c r="U3470" s="6">
        <v>2</v>
      </c>
      <c r="V3470" s="7">
        <v>45352</v>
      </c>
      <c r="W3470" s="10">
        <f ca="1">IFERROR(__xludf.DUMMYFUNCTION("IFERROR(GOOGLEFINANCE(B3470,""pe""),V3470)"),45352)</f>
        <v>45352</v>
      </c>
      <c r="X3470" s="6">
        <v>1.23</v>
      </c>
      <c r="Y3470" s="6">
        <v>18.03</v>
      </c>
      <c r="Z3470" s="6">
        <v>11.85</v>
      </c>
      <c r="AA3470" s="3" t="s">
        <v>10626</v>
      </c>
      <c r="AB3470" s="3"/>
      <c r="AC3470" s="9"/>
      <c r="AD3470" s="9"/>
      <c r="AE3470" s="1">
        <v>0</v>
      </c>
      <c r="AF3470" s="1">
        <f ca="1">IFERROR(__xludf.DUMMYFUNCTION("IFERROR(GOOGLEFINANCE(TRIM(F3470)&amp;"":"" &amp; TRIM(B3470),""high52""),AE3470)"),0)</f>
        <v>0</v>
      </c>
      <c r="AG3470" s="1">
        <v>0</v>
      </c>
      <c r="AH3470" s="1">
        <f ca="1">IFERROR(__xludf.DUMMYFUNCTION("IFERROR(GOOGLEFINANCE(TRIM(F3470)&amp;"":"" &amp; TRIM(B3470),""low52""),AE3470)"),0)</f>
        <v>0</v>
      </c>
      <c r="AI3470" s="1">
        <f ca="1">IFERROR(__xludf.DUMMYFUNCTION("IFERROR(GOOGLEFINANCE(B3470,""eps""),0)"),0)</f>
        <v>0</v>
      </c>
      <c r="AJ3470" s="1"/>
      <c r="AK3470" s="1" t="s">
        <v>10627</v>
      </c>
      <c r="AL3470" s="9">
        <f t="shared" si="331"/>
        <v>1</v>
      </c>
    </row>
    <row r="3471" spans="1:38" ht="15" x14ac:dyDescent="0.25">
      <c r="A3471" s="1" t="s">
        <v>10628</v>
      </c>
      <c r="B3471" s="1" t="s">
        <v>10629</v>
      </c>
      <c r="C3471" s="1" t="s">
        <v>227</v>
      </c>
      <c r="D3471" s="1" t="s">
        <v>227</v>
      </c>
      <c r="E3471" s="6">
        <v>49.57</v>
      </c>
      <c r="F3471" s="1" t="s">
        <v>40</v>
      </c>
      <c r="G3471" s="6">
        <f ca="1">IFERROR(__xludf.DUMMYFUNCTION("iferror(GOOGLEFINANCE(TRIM(F3471)&amp;"":"" &amp; TRIM(B3471), ""price""),0
)"),0.4)</f>
        <v>0.4</v>
      </c>
      <c r="H3471" s="6">
        <v>0.81</v>
      </c>
      <c r="I3471" s="6">
        <f t="shared" ca="1" si="0"/>
        <v>0.4</v>
      </c>
      <c r="J3471" s="6">
        <f ca="1">IFERROR(__xludf.DUMMYFUNCTION("IFERROR(GOOGLEFINANCE(B3471, ""volume""), 0)"),566285)</f>
        <v>566285</v>
      </c>
      <c r="K3471" s="6">
        <v>0</v>
      </c>
      <c r="L3471" s="6">
        <f ca="1">IFERROR(__xludf.DUMMYFUNCTION("IFERROR(GOOGLEFINANCE(B3471,""changepct""),K3471)"),2.56)</f>
        <v>2.56</v>
      </c>
      <c r="M3471" s="6">
        <f ca="1">IFERROR(__xludf.DUMMYFUNCTION("IFERROR(GOOGLEFINANCE(B3471,""change""),0)"),0.01)</f>
        <v>0.01</v>
      </c>
      <c r="N3471" s="6">
        <v>1</v>
      </c>
      <c r="O3471" s="7">
        <v>45536</v>
      </c>
      <c r="P3471" s="6">
        <v>123.34</v>
      </c>
      <c r="Q3471" s="6">
        <v>172.91</v>
      </c>
      <c r="R3471" s="7">
        <v>45536</v>
      </c>
      <c r="S3471" s="6">
        <v>24.53</v>
      </c>
      <c r="T3471" s="6">
        <v>-108.56</v>
      </c>
      <c r="U3471" s="7">
        <v>45536</v>
      </c>
      <c r="V3471" s="6">
        <v>0</v>
      </c>
      <c r="W3471" s="6">
        <f ca="1">IFERROR(__xludf.DUMMYFUNCTION("IFERROR(GOOGLEFINANCE(B3471,""pe""),V3471)"),150.94)</f>
        <v>150.94</v>
      </c>
      <c r="X3471" s="9"/>
      <c r="Y3471" s="6">
        <v>-0.28000000000000003</v>
      </c>
      <c r="Z3471" s="6">
        <v>1</v>
      </c>
      <c r="AA3471" s="8">
        <v>45352</v>
      </c>
      <c r="AB3471" s="4">
        <v>-0.71</v>
      </c>
      <c r="AC3471" s="6">
        <v>0</v>
      </c>
      <c r="AD3471" s="6">
        <v>-304.55</v>
      </c>
      <c r="AE3471" s="1">
        <v>0</v>
      </c>
      <c r="AF3471" s="1">
        <f ca="1">IFERROR(__xludf.DUMMYFUNCTION("IFERROR(GOOGLEFINANCE(TRIM(F3471)&amp;"":"" &amp; TRIM(B3471),""high52""),AE3471)"),0.78)</f>
        <v>0.78</v>
      </c>
      <c r="AG3471" s="1">
        <v>0</v>
      </c>
      <c r="AH3471" s="1">
        <f ca="1">IFERROR(__xludf.DUMMYFUNCTION("IFERROR(GOOGLEFINANCE(TRIM(F3471)&amp;"":"" &amp; TRIM(B3471),""low52""),AE3471)"),0.37)</f>
        <v>0.37</v>
      </c>
      <c r="AI3471" s="1">
        <f ca="1">IFERROR(__xludf.DUMMYFUNCTION("IFERROR(GOOGLEFINANCE(B3471,""eps""),0)"),0)</f>
        <v>0</v>
      </c>
      <c r="AJ3471" s="1"/>
      <c r="AK3471" s="1" t="s">
        <v>10630</v>
      </c>
      <c r="AL3471" s="9">
        <f t="shared" si="331"/>
        <v>1</v>
      </c>
    </row>
    <row r="3472" spans="1:38" ht="15" x14ac:dyDescent="0.25">
      <c r="A3472" s="1" t="s">
        <v>10631</v>
      </c>
      <c r="B3472" s="1" t="s">
        <v>10632</v>
      </c>
      <c r="C3472" s="1" t="s">
        <v>373</v>
      </c>
      <c r="D3472" s="1" t="s">
        <v>373</v>
      </c>
      <c r="E3472" s="6">
        <v>330.82</v>
      </c>
      <c r="F3472" s="1" t="s">
        <v>40</v>
      </c>
      <c r="G3472" s="6">
        <f ca="1">IFERROR(__xludf.DUMMYFUNCTION("iferror(GOOGLEFINANCE(TRIM(F3472)&amp;"":"" &amp; TRIM(B3472), ""price""),0
)"),165.96)</f>
        <v>165.96</v>
      </c>
      <c r="H3472" s="6">
        <v>238.24</v>
      </c>
      <c r="I3472" s="6">
        <f t="shared" ca="1" si="0"/>
        <v>165.96</v>
      </c>
      <c r="J3472" s="6">
        <f ca="1">IFERROR(__xludf.DUMMYFUNCTION("IFERROR(GOOGLEFINANCE(B3472, ""volume""), 0)"),5197)</f>
        <v>5197</v>
      </c>
      <c r="K3472" s="6">
        <v>-0.41</v>
      </c>
      <c r="L3472" s="6">
        <f ca="1">IFERROR(__xludf.DUMMYFUNCTION("IFERROR(GOOGLEFINANCE(B3472,""changepct""),K3472)"),0.53)</f>
        <v>0.53</v>
      </c>
      <c r="M3472" s="6">
        <f ca="1">IFERROR(__xludf.DUMMYFUNCTION("IFERROR(GOOGLEFINANCE(B3472,""change""),0)"),0.88)</f>
        <v>0.88</v>
      </c>
      <c r="N3472" s="6">
        <v>1</v>
      </c>
      <c r="O3472" s="7">
        <v>45536</v>
      </c>
      <c r="P3472" s="6">
        <v>41.3</v>
      </c>
      <c r="Q3472" s="6">
        <v>365.66</v>
      </c>
      <c r="R3472" s="7">
        <v>45536</v>
      </c>
      <c r="S3472" s="6">
        <v>608.19000000000005</v>
      </c>
      <c r="T3472" s="6">
        <v>58.8</v>
      </c>
      <c r="U3472" s="7">
        <v>45536</v>
      </c>
      <c r="V3472" s="6">
        <v>5.63</v>
      </c>
      <c r="W3472" s="6">
        <f ca="1">IFERROR(__xludf.DUMMYFUNCTION("IFERROR(GOOGLEFINANCE(B3472,""pe""),V3472)"),4.87)</f>
        <v>4.87</v>
      </c>
      <c r="X3472" s="6">
        <v>0.42</v>
      </c>
      <c r="Y3472" s="6">
        <v>0.83</v>
      </c>
      <c r="Z3472" s="6">
        <v>1</v>
      </c>
      <c r="AA3472" s="8">
        <v>45352</v>
      </c>
      <c r="AB3472" s="4">
        <v>0.08</v>
      </c>
      <c r="AC3472" s="6">
        <v>25.53</v>
      </c>
      <c r="AD3472" s="6">
        <v>31.42</v>
      </c>
      <c r="AE3472" s="1">
        <v>0</v>
      </c>
      <c r="AF3472" s="1">
        <f ca="1">IFERROR(__xludf.DUMMYFUNCTION("IFERROR(GOOGLEFINANCE(TRIM(F3472)&amp;"":"" &amp; TRIM(B3472),""high52""),AE3472)"),250)</f>
        <v>250</v>
      </c>
      <c r="AG3472" s="1">
        <v>0</v>
      </c>
      <c r="AH3472" s="1">
        <f ca="1">IFERROR(__xludf.DUMMYFUNCTION("IFERROR(GOOGLEFINANCE(TRIM(F3472)&amp;"":"" &amp; TRIM(B3472),""low52""),AE3472)"),160)</f>
        <v>160</v>
      </c>
      <c r="AI3472" s="1">
        <f ca="1">IFERROR(__xludf.DUMMYFUNCTION("IFERROR(GOOGLEFINANCE(B3472,""eps""),0)"),34.04)</f>
        <v>34.04</v>
      </c>
      <c r="AJ3472" s="1"/>
      <c r="AK3472" s="1" t="s">
        <v>10633</v>
      </c>
      <c r="AL3472" s="9">
        <f t="shared" si="331"/>
        <v>1</v>
      </c>
    </row>
    <row r="3473" spans="1:38" ht="15" x14ac:dyDescent="0.25">
      <c r="A3473" s="1" t="s">
        <v>10634</v>
      </c>
      <c r="B3473" s="1" t="s">
        <v>10635</v>
      </c>
      <c r="C3473" s="1" t="s">
        <v>125</v>
      </c>
      <c r="D3473" s="1" t="s">
        <v>125</v>
      </c>
      <c r="E3473" s="6">
        <v>10.11</v>
      </c>
      <c r="F3473" s="1" t="s">
        <v>40</v>
      </c>
      <c r="G3473" s="6">
        <f ca="1">IFERROR(__xludf.DUMMYFUNCTION("iferror(GOOGLEFINANCE(TRIM(F3473)&amp;"":"" &amp; TRIM(B3473), ""price""),0
)"),0)</f>
        <v>0</v>
      </c>
      <c r="H3473" s="6">
        <v>10.1</v>
      </c>
      <c r="I3473" s="6">
        <f t="shared" ca="1" si="0"/>
        <v>10.1</v>
      </c>
      <c r="J3473" s="6">
        <f ca="1">IFERROR(__xludf.DUMMYFUNCTION("IFERROR(GOOGLEFINANCE(B3473, ""volume""), 0)"),0)</f>
        <v>0</v>
      </c>
      <c r="K3473" s="12"/>
      <c r="L3473" s="6" t="str">
        <f ca="1">IFERROR(__xludf.DUMMYFUNCTION("IFERROR(GOOGLEFINANCE(B3473,""changepct""),K3473)"),"")</f>
        <v/>
      </c>
      <c r="M3473" s="6">
        <f ca="1">IFERROR(__xludf.DUMMYFUNCTION("IFERROR(GOOGLEFINANCE(B3473,""change""),0)"),0)</f>
        <v>0</v>
      </c>
      <c r="N3473" s="6">
        <v>1</v>
      </c>
      <c r="O3473" s="7">
        <v>45170</v>
      </c>
      <c r="P3473" s="6">
        <v>63.01</v>
      </c>
      <c r="Q3473" s="6">
        <v>73.12</v>
      </c>
      <c r="R3473" s="7">
        <v>44986</v>
      </c>
      <c r="S3473" s="6">
        <v>2.72</v>
      </c>
      <c r="T3473" s="6">
        <v>-3.87</v>
      </c>
      <c r="U3473" s="7">
        <v>44986</v>
      </c>
      <c r="V3473" s="6">
        <v>0</v>
      </c>
      <c r="W3473" s="6">
        <f ca="1">IFERROR(__xludf.DUMMYFUNCTION("IFERROR(GOOGLEFINANCE(B3473,""pe""),V3473)"),0)</f>
        <v>0</v>
      </c>
      <c r="X3473" s="12"/>
      <c r="Y3473" s="6">
        <v>-0.57999999999999996</v>
      </c>
      <c r="Z3473" s="6">
        <v>1</v>
      </c>
      <c r="AA3473" s="8">
        <v>44986</v>
      </c>
      <c r="AB3473" s="4">
        <v>-2.96</v>
      </c>
      <c r="AC3473" s="6">
        <v>0</v>
      </c>
      <c r="AD3473" s="6">
        <v>-3.76</v>
      </c>
      <c r="AE3473" s="1">
        <v>0</v>
      </c>
      <c r="AF3473" s="1">
        <f ca="1">IFERROR(__xludf.DUMMYFUNCTION("IFERROR(GOOGLEFINANCE(TRIM(F3473)&amp;"":"" &amp; TRIM(B3473),""high52""),AE3473)"),0)</f>
        <v>0</v>
      </c>
      <c r="AG3473" s="1">
        <v>0</v>
      </c>
      <c r="AH3473" s="1">
        <f ca="1">IFERROR(__xludf.DUMMYFUNCTION("IFERROR(GOOGLEFINANCE(TRIM(F3473)&amp;"":"" &amp; TRIM(B3473),""low52""),AE3473)"),0)</f>
        <v>0</v>
      </c>
      <c r="AI3473" s="1">
        <f ca="1">IFERROR(__xludf.DUMMYFUNCTION("IFERROR(GOOGLEFINANCE(B3473,""eps""),0)"),0)</f>
        <v>0</v>
      </c>
      <c r="AJ3473" s="1"/>
      <c r="AK3473" s="1" t="s">
        <v>10636</v>
      </c>
      <c r="AL3473" s="9">
        <f t="shared" si="331"/>
        <v>1</v>
      </c>
    </row>
    <row r="3474" spans="1:38" ht="15" x14ac:dyDescent="0.25">
      <c r="A3474" s="1" t="s">
        <v>10637</v>
      </c>
      <c r="B3474" s="1" t="s">
        <v>10638</v>
      </c>
      <c r="C3474" s="1" t="s">
        <v>159</v>
      </c>
      <c r="D3474" s="1" t="s">
        <v>159</v>
      </c>
      <c r="E3474" s="6">
        <v>915.35</v>
      </c>
      <c r="F3474" s="1" t="s">
        <v>53</v>
      </c>
      <c r="G3474" s="6">
        <f ca="1">IFERROR(__xludf.DUMMYFUNCTION("iferror(GOOGLEFINANCE(TRIM(F3474)&amp;"":"" &amp; TRIM(B3474), ""price""),0
)"),0)</f>
        <v>0</v>
      </c>
      <c r="H3474" s="6">
        <v>773.45</v>
      </c>
      <c r="I3474" s="6">
        <f t="shared" ca="1" si="0"/>
        <v>773.45</v>
      </c>
      <c r="J3474" s="6">
        <f ca="1">IFERROR(__xludf.DUMMYFUNCTION("IFERROR(GOOGLEFINANCE(B3474, ""volume""), 0)"),12672)</f>
        <v>12672</v>
      </c>
      <c r="K3474" s="9"/>
      <c r="L3474" s="6">
        <f ca="1">IFERROR(__xludf.DUMMYFUNCTION("IFERROR(GOOGLEFINANCE(B3474,""changepct""),K3474)"),-1.93)</f>
        <v>-1.93</v>
      </c>
      <c r="M3474" s="6">
        <f ca="1">IFERROR(__xludf.DUMMYFUNCTION("IFERROR(GOOGLEFINANCE(B3474,""change""),0)"),-5.7)</f>
        <v>-5.7</v>
      </c>
      <c r="N3474" s="6">
        <v>2</v>
      </c>
      <c r="O3474" s="7">
        <v>45536</v>
      </c>
      <c r="P3474" s="9"/>
      <c r="Q3474" s="6">
        <v>905.49</v>
      </c>
      <c r="R3474" s="7">
        <v>45536</v>
      </c>
      <c r="S3474" s="6">
        <v>230.87</v>
      </c>
      <c r="T3474" s="6">
        <v>53.96</v>
      </c>
      <c r="U3474" s="7">
        <v>45536</v>
      </c>
      <c r="V3474" s="6">
        <v>21.51</v>
      </c>
      <c r="W3474" s="6">
        <f ca="1">IFERROR(__xludf.DUMMYFUNCTION("IFERROR(GOOGLEFINANCE(B3474,""pe""),V3474)"),21.51)</f>
        <v>21.51</v>
      </c>
      <c r="X3474" s="9"/>
      <c r="Y3474" s="6">
        <v>4.68</v>
      </c>
      <c r="Z3474" s="6">
        <v>2</v>
      </c>
      <c r="AA3474" s="8">
        <v>45352</v>
      </c>
      <c r="AB3474" s="4">
        <v>0</v>
      </c>
      <c r="AC3474" s="6">
        <v>49.75</v>
      </c>
      <c r="AD3474" s="6">
        <v>65.86</v>
      </c>
      <c r="AE3474" s="1">
        <v>0</v>
      </c>
      <c r="AF3474" s="1">
        <f ca="1">IFERROR(__xludf.DUMMYFUNCTION("IFERROR(GOOGLEFINANCE(TRIM(F3474)&amp;"":"" &amp; TRIM(B3474),""high52""),AE3474)"),0)</f>
        <v>0</v>
      </c>
      <c r="AG3474" s="1">
        <v>0</v>
      </c>
      <c r="AH3474" s="1">
        <f ca="1">IFERROR(__xludf.DUMMYFUNCTION("IFERROR(GOOGLEFINANCE(TRIM(F3474)&amp;"":"" &amp; TRIM(B3474),""low52""),AE3474)"),0)</f>
        <v>0</v>
      </c>
      <c r="AI3474" s="1">
        <f ca="1">IFERROR(__xludf.DUMMYFUNCTION("IFERROR(GOOGLEFINANCE(B3474,""eps""),0)"),-0.76)</f>
        <v>-0.76</v>
      </c>
      <c r="AJ3474" s="1"/>
      <c r="AK3474" s="1" t="s">
        <v>10639</v>
      </c>
      <c r="AL3474" s="9">
        <f t="shared" si="331"/>
        <v>1</v>
      </c>
    </row>
    <row r="3475" spans="1:38" ht="15" x14ac:dyDescent="0.25">
      <c r="A3475" s="1" t="s">
        <v>10640</v>
      </c>
      <c r="B3475" s="1" t="s">
        <v>10641</v>
      </c>
      <c r="C3475" s="1" t="s">
        <v>186</v>
      </c>
      <c r="D3475" s="1" t="s">
        <v>186</v>
      </c>
      <c r="E3475" s="6">
        <v>180.26</v>
      </c>
      <c r="F3475" s="1" t="s">
        <v>40</v>
      </c>
      <c r="G3475" s="6">
        <f ca="1">IFERROR(__xludf.DUMMYFUNCTION("iferror(GOOGLEFINANCE(TRIM(F3475)&amp;"":"" &amp; TRIM(B3475), ""price""),0
)"),0)</f>
        <v>0</v>
      </c>
      <c r="H3475" s="6">
        <v>72.900000000000006</v>
      </c>
      <c r="I3475" s="6">
        <f t="shared" ca="1" si="0"/>
        <v>72.900000000000006</v>
      </c>
      <c r="J3475" s="6">
        <f ca="1">IFERROR(__xludf.DUMMYFUNCTION("IFERROR(GOOGLEFINANCE(B3475, ""volume""), 0)"),0)</f>
        <v>0</v>
      </c>
      <c r="K3475" s="6">
        <v>0.9</v>
      </c>
      <c r="L3475" s="6">
        <f ca="1">IFERROR(__xludf.DUMMYFUNCTION("IFERROR(GOOGLEFINANCE(B3475,""changepct""),K3475)"),0.9)</f>
        <v>0.9</v>
      </c>
      <c r="M3475" s="6">
        <f ca="1">IFERROR(__xludf.DUMMYFUNCTION("IFERROR(GOOGLEFINANCE(B3475,""change""),0)"),0)</f>
        <v>0</v>
      </c>
      <c r="N3475" s="6">
        <v>1</v>
      </c>
      <c r="O3475" s="7">
        <v>45536</v>
      </c>
      <c r="P3475" s="6">
        <v>16.13</v>
      </c>
      <c r="Q3475" s="6">
        <v>196.39</v>
      </c>
      <c r="R3475" s="7">
        <v>45352</v>
      </c>
      <c r="S3475" s="6">
        <v>76.38</v>
      </c>
      <c r="T3475" s="6">
        <v>12.28</v>
      </c>
      <c r="U3475" s="7">
        <v>45352</v>
      </c>
      <c r="V3475" s="6">
        <v>14.68</v>
      </c>
      <c r="W3475" s="6">
        <f ca="1">IFERROR(__xludf.DUMMYFUNCTION("IFERROR(GOOGLEFINANCE(B3475,""pe""),V3475)"),14.68)</f>
        <v>14.68</v>
      </c>
      <c r="X3475" s="9"/>
      <c r="Y3475" s="6">
        <v>2.15</v>
      </c>
      <c r="Z3475" s="6">
        <v>1</v>
      </c>
      <c r="AA3475" s="8">
        <v>45352</v>
      </c>
      <c r="AB3475" s="4">
        <v>0.13</v>
      </c>
      <c r="AC3475" s="6">
        <v>21.59</v>
      </c>
      <c r="AD3475" s="6">
        <v>24.51</v>
      </c>
      <c r="AE3475" s="1">
        <v>0</v>
      </c>
      <c r="AF3475" s="1">
        <f ca="1">IFERROR(__xludf.DUMMYFUNCTION("IFERROR(GOOGLEFINANCE(TRIM(F3475)&amp;"":"" &amp; TRIM(B3475),""high52""),AE3475)"),0)</f>
        <v>0</v>
      </c>
      <c r="AG3475" s="1">
        <v>0</v>
      </c>
      <c r="AH3475" s="1">
        <f ca="1">IFERROR(__xludf.DUMMYFUNCTION("IFERROR(GOOGLEFINANCE(TRIM(F3475)&amp;"":"" &amp; TRIM(B3475),""low52""),AE3475)"),0)</f>
        <v>0</v>
      </c>
      <c r="AI3475" s="1">
        <f ca="1">IFERROR(__xludf.DUMMYFUNCTION("IFERROR(GOOGLEFINANCE(B3475,""eps""),0)"),0)</f>
        <v>0</v>
      </c>
      <c r="AJ3475" s="1"/>
      <c r="AK3475" s="1" t="s">
        <v>10642</v>
      </c>
      <c r="AL3475" s="9">
        <f t="shared" si="331"/>
        <v>1</v>
      </c>
    </row>
    <row r="3476" spans="1:38" ht="15" x14ac:dyDescent="0.25">
      <c r="A3476" s="1" t="s">
        <v>10643</v>
      </c>
      <c r="B3476" s="1" t="s">
        <v>10644</v>
      </c>
      <c r="C3476" s="1" t="s">
        <v>159</v>
      </c>
      <c r="D3476" s="1" t="s">
        <v>159</v>
      </c>
      <c r="E3476" s="6">
        <v>1905.16</v>
      </c>
      <c r="F3476" s="1" t="s">
        <v>53</v>
      </c>
      <c r="G3476" s="6">
        <f ca="1">IFERROR(__xludf.DUMMYFUNCTION("iferror(GOOGLEFINANCE(TRIM(F3476)&amp;"":"" &amp; TRIM(B3476), ""price""),0
)"),0)</f>
        <v>0</v>
      </c>
      <c r="H3476" s="6">
        <v>738</v>
      </c>
      <c r="I3476" s="6">
        <f t="shared" ca="1" si="0"/>
        <v>738</v>
      </c>
      <c r="J3476" s="6">
        <f ca="1">IFERROR(__xludf.DUMMYFUNCTION("IFERROR(GOOGLEFINANCE(B3476, ""volume""), 0)"),0)</f>
        <v>0</v>
      </c>
      <c r="K3476" s="6">
        <v>0.04</v>
      </c>
      <c r="L3476" s="6">
        <f ca="1">IFERROR(__xludf.DUMMYFUNCTION("IFERROR(GOOGLEFINANCE(B3476,""changepct""),K3476)"),0.04)</f>
        <v>0.04</v>
      </c>
      <c r="M3476" s="6">
        <f ca="1">IFERROR(__xludf.DUMMYFUNCTION("IFERROR(GOOGLEFINANCE(B3476,""change""),0)"),0)</f>
        <v>0</v>
      </c>
      <c r="N3476" s="6">
        <v>2</v>
      </c>
      <c r="O3476" s="7">
        <v>45536</v>
      </c>
      <c r="P3476" s="6">
        <v>7.85</v>
      </c>
      <c r="Q3476" s="6">
        <v>1794.46</v>
      </c>
      <c r="R3476" s="7">
        <v>45536</v>
      </c>
      <c r="S3476" s="6">
        <v>120.43</v>
      </c>
      <c r="T3476" s="6">
        <v>11.9</v>
      </c>
      <c r="U3476" s="7">
        <v>45536</v>
      </c>
      <c r="V3476" s="6">
        <v>159.9</v>
      </c>
      <c r="W3476" s="6">
        <f ca="1">IFERROR(__xludf.DUMMYFUNCTION("IFERROR(GOOGLEFINANCE(B3476,""pe""),V3476)"),159.9)</f>
        <v>159.9</v>
      </c>
      <c r="X3476" s="6">
        <v>4.4000000000000004</v>
      </c>
      <c r="Y3476" s="6">
        <v>4.34</v>
      </c>
      <c r="Z3476" s="6">
        <v>2</v>
      </c>
      <c r="AA3476" s="8">
        <v>45352</v>
      </c>
      <c r="AB3476" s="4">
        <v>0</v>
      </c>
      <c r="AC3476" s="6">
        <v>6.73</v>
      </c>
      <c r="AD3476" s="6">
        <v>10.71</v>
      </c>
      <c r="AE3476" s="1">
        <v>0</v>
      </c>
      <c r="AF3476" s="1">
        <f ca="1">IFERROR(__xludf.DUMMYFUNCTION("IFERROR(GOOGLEFINANCE(TRIM(F3476)&amp;"":"" &amp; TRIM(B3476),""high52""),AE3476)"),0)</f>
        <v>0</v>
      </c>
      <c r="AG3476" s="1">
        <v>0</v>
      </c>
      <c r="AH3476" s="1">
        <f ca="1">IFERROR(__xludf.DUMMYFUNCTION("IFERROR(GOOGLEFINANCE(TRIM(F3476)&amp;"":"" &amp; TRIM(B3476),""low52""),AE3476)"),0)</f>
        <v>0</v>
      </c>
      <c r="AI3476" s="1">
        <f ca="1">IFERROR(__xludf.DUMMYFUNCTION("IFERROR(GOOGLEFINANCE(B3476,""eps""),0)"),0)</f>
        <v>0</v>
      </c>
      <c r="AJ3476" s="1"/>
      <c r="AK3476" s="1" t="s">
        <v>10645</v>
      </c>
      <c r="AL3476" s="9">
        <f t="shared" si="331"/>
        <v>1</v>
      </c>
    </row>
    <row r="3477" spans="1:38" ht="15" x14ac:dyDescent="0.25">
      <c r="A3477" s="1" t="s">
        <v>10646</v>
      </c>
      <c r="B3477" s="1" t="s">
        <v>10647</v>
      </c>
      <c r="C3477" s="1" t="s">
        <v>208</v>
      </c>
      <c r="D3477" s="1" t="s">
        <v>208</v>
      </c>
      <c r="E3477" s="6">
        <v>115092.8</v>
      </c>
      <c r="F3477" s="1" t="s">
        <v>40</v>
      </c>
      <c r="G3477" s="6">
        <f ca="1">IFERROR(__xludf.DUMMYFUNCTION("iferror(GOOGLEFINANCE(TRIM(F3477)&amp;"":"" &amp; TRIM(B3477), ""price""),0
)"),966)</f>
        <v>966</v>
      </c>
      <c r="H3477" s="6">
        <v>3056</v>
      </c>
      <c r="I3477" s="6">
        <f t="shared" ca="1" si="0"/>
        <v>966</v>
      </c>
      <c r="J3477" s="6">
        <f ca="1">IFERROR(__xludf.DUMMYFUNCTION("IFERROR(GOOGLEFINANCE(B3477, ""volume""), 0)"),13566710)</f>
        <v>13566710</v>
      </c>
      <c r="K3477" s="6">
        <v>-0.13</v>
      </c>
      <c r="L3477" s="6">
        <f ca="1">IFERROR(__xludf.DUMMYFUNCTION("IFERROR(GOOGLEFINANCE(B3477,""changepct""),K3477)"),-3.17)</f>
        <v>-3.17</v>
      </c>
      <c r="M3477" s="6">
        <f ca="1">IFERROR(__xludf.DUMMYFUNCTION("IFERROR(GOOGLEFINANCE(B3477,""change""),0)"),-31.6)</f>
        <v>-31.6</v>
      </c>
      <c r="N3477" s="6">
        <v>2</v>
      </c>
      <c r="O3477" s="7">
        <v>45536</v>
      </c>
      <c r="P3477" s="6">
        <v>7942.55</v>
      </c>
      <c r="Q3477" s="7">
        <v>45536</v>
      </c>
      <c r="R3477" s="6">
        <v>14.32</v>
      </c>
      <c r="S3477" s="6">
        <v>0.61</v>
      </c>
      <c r="T3477" s="6">
        <v>2.2000000000000002</v>
      </c>
      <c r="U3477" s="6">
        <v>2</v>
      </c>
      <c r="V3477" s="7">
        <v>45352</v>
      </c>
      <c r="W3477" s="6">
        <f ca="1">IFERROR(__xludf.DUMMYFUNCTION("IFERROR(GOOGLEFINANCE(B3477,""pe""),V3477)"),19.89)</f>
        <v>19.89</v>
      </c>
      <c r="X3477" s="6">
        <v>4</v>
      </c>
      <c r="Y3477" s="6">
        <v>16.03</v>
      </c>
      <c r="Z3477" s="6">
        <v>11.31</v>
      </c>
      <c r="AA3477" s="3" t="s">
        <v>10648</v>
      </c>
      <c r="AB3477" s="3"/>
      <c r="AC3477" s="9"/>
      <c r="AD3477" s="9"/>
      <c r="AE3477" s="1">
        <v>0</v>
      </c>
      <c r="AF3477" s="1">
        <f ca="1">IFERROR(__xludf.DUMMYFUNCTION("IFERROR(GOOGLEFINANCE(TRIM(F3477)&amp;"":"" &amp; TRIM(B3477),""high52""),AE3477)"),1029.3)</f>
        <v>1029.3</v>
      </c>
      <c r="AG3477" s="1">
        <v>0</v>
      </c>
      <c r="AH3477" s="1">
        <f ca="1">IFERROR(__xludf.DUMMYFUNCTION("IFERROR(GOOGLEFINANCE(TRIM(F3477)&amp;"":"" &amp; TRIM(B3477),""low52""),AE3477)"),516)</f>
        <v>516</v>
      </c>
      <c r="AI3477" s="1">
        <f ca="1">IFERROR(__xludf.DUMMYFUNCTION("IFERROR(GOOGLEFINANCE(B3477,""eps""),0)"),48.57)</f>
        <v>48.57</v>
      </c>
      <c r="AJ3477" s="1"/>
      <c r="AK3477" s="1" t="s">
        <v>10649</v>
      </c>
      <c r="AL3477" s="9">
        <f t="shared" si="331"/>
        <v>1</v>
      </c>
    </row>
    <row r="3478" spans="1:38" ht="15" x14ac:dyDescent="0.25">
      <c r="A3478" s="1" t="s">
        <v>10650</v>
      </c>
      <c r="B3478" s="1" t="s">
        <v>10651</v>
      </c>
      <c r="C3478" s="1" t="s">
        <v>159</v>
      </c>
      <c r="D3478" s="1" t="s">
        <v>159</v>
      </c>
      <c r="E3478" s="6">
        <v>120.88</v>
      </c>
      <c r="F3478" s="1" t="s">
        <v>53</v>
      </c>
      <c r="G3478" s="6">
        <f ca="1">IFERROR(__xludf.DUMMYFUNCTION("iferror(GOOGLEFINANCE(TRIM(F3478)&amp;"":"" &amp; TRIM(B3478), ""price""),0
)"),0)</f>
        <v>0</v>
      </c>
      <c r="H3478" s="6">
        <v>188.2</v>
      </c>
      <c r="I3478" s="6">
        <f t="shared" ca="1" si="0"/>
        <v>188.2</v>
      </c>
      <c r="J3478" s="6">
        <f ca="1">IFERROR(__xludf.DUMMYFUNCTION("IFERROR(GOOGLEFINANCE(B3478, ""volume""), 0)"),0)</f>
        <v>0</v>
      </c>
      <c r="K3478" s="9"/>
      <c r="L3478" s="6" t="str">
        <f ca="1">IFERROR(__xludf.DUMMYFUNCTION("IFERROR(GOOGLEFINANCE(B3478,""changepct""),K3478)"),"")</f>
        <v/>
      </c>
      <c r="M3478" s="6">
        <f ca="1">IFERROR(__xludf.DUMMYFUNCTION("IFERROR(GOOGLEFINANCE(B3478,""change""),0)"),0)</f>
        <v>0</v>
      </c>
      <c r="N3478" s="6">
        <v>2</v>
      </c>
      <c r="O3478" s="7">
        <v>45536</v>
      </c>
      <c r="P3478" s="6">
        <v>0.68</v>
      </c>
      <c r="Q3478" s="6">
        <v>99.59</v>
      </c>
      <c r="R3478" s="7">
        <v>45536</v>
      </c>
      <c r="S3478" s="6">
        <v>158.11000000000001</v>
      </c>
      <c r="T3478" s="6">
        <v>8.91</v>
      </c>
      <c r="U3478" s="7">
        <v>45536</v>
      </c>
      <c r="V3478" s="6">
        <v>13.01</v>
      </c>
      <c r="W3478" s="6">
        <f ca="1">IFERROR(__xludf.DUMMYFUNCTION("IFERROR(GOOGLEFINANCE(B3478,""pe""),V3478)"),13.01)</f>
        <v>13.01</v>
      </c>
      <c r="X3478" s="12"/>
      <c r="Y3478" s="6">
        <v>1.7</v>
      </c>
      <c r="Z3478" s="6">
        <v>2</v>
      </c>
      <c r="AA3478" s="8">
        <v>45352</v>
      </c>
      <c r="AB3478" s="4">
        <v>0</v>
      </c>
      <c r="AC3478" s="6">
        <v>12.8</v>
      </c>
      <c r="AD3478" s="6">
        <v>18.84</v>
      </c>
      <c r="AE3478" s="1">
        <v>0</v>
      </c>
      <c r="AF3478" s="1">
        <f ca="1">IFERROR(__xludf.DUMMYFUNCTION("IFERROR(GOOGLEFINANCE(TRIM(F3478)&amp;"":"" &amp; TRIM(B3478),""high52""),AE3478)"),0)</f>
        <v>0</v>
      </c>
      <c r="AG3478" s="1">
        <v>0</v>
      </c>
      <c r="AH3478" s="1">
        <f ca="1">IFERROR(__xludf.DUMMYFUNCTION("IFERROR(GOOGLEFINANCE(TRIM(F3478)&amp;"":"" &amp; TRIM(B3478),""low52""),AE3478)"),0)</f>
        <v>0</v>
      </c>
      <c r="AI3478" s="1">
        <f ca="1">IFERROR(__xludf.DUMMYFUNCTION("IFERROR(GOOGLEFINANCE(B3478,""eps""),0)"),0)</f>
        <v>0</v>
      </c>
      <c r="AJ3478" s="1"/>
      <c r="AK3478" s="1" t="s">
        <v>10652</v>
      </c>
      <c r="AL3478" s="9">
        <f t="shared" si="331"/>
        <v>1</v>
      </c>
    </row>
    <row r="3479" spans="1:38" ht="15" x14ac:dyDescent="0.25">
      <c r="A3479" s="1" t="s">
        <v>10653</v>
      </c>
      <c r="B3479" s="1" t="s">
        <v>10654</v>
      </c>
      <c r="C3479" s="1" t="s">
        <v>416</v>
      </c>
      <c r="D3479" s="1" t="s">
        <v>416</v>
      </c>
      <c r="E3479" s="6">
        <v>9418.07</v>
      </c>
      <c r="F3479" s="1" t="s">
        <v>40</v>
      </c>
      <c r="G3479" s="6">
        <f ca="1">IFERROR(__xludf.DUMMYFUNCTION("iferror(GOOGLEFINANCE(TRIM(F3479)&amp;"":"" &amp; TRIM(B3479), ""price""),0
)"),2670.1)</f>
        <v>2670.1</v>
      </c>
      <c r="H3479" s="6">
        <v>2149.4499999999998</v>
      </c>
      <c r="I3479" s="6">
        <f t="shared" ca="1" si="0"/>
        <v>2670.1</v>
      </c>
      <c r="J3479" s="6">
        <f ca="1">IFERROR(__xludf.DUMMYFUNCTION("IFERROR(GOOGLEFINANCE(B3479, ""volume""), 0)"),57472)</f>
        <v>57472</v>
      </c>
      <c r="K3479" s="6">
        <v>0.53</v>
      </c>
      <c r="L3479" s="6">
        <f ca="1">IFERROR(__xludf.DUMMYFUNCTION("IFERROR(GOOGLEFINANCE(B3479,""changepct""),K3479)"),0.5)</f>
        <v>0.5</v>
      </c>
      <c r="M3479" s="6">
        <f ca="1">IFERROR(__xludf.DUMMYFUNCTION("IFERROR(GOOGLEFINANCE(B3479,""change""),0)"),13.3)</f>
        <v>13.3</v>
      </c>
      <c r="N3479" s="6">
        <v>2</v>
      </c>
      <c r="O3479" s="7">
        <v>45536</v>
      </c>
      <c r="P3479" s="6">
        <v>475.85</v>
      </c>
      <c r="Q3479" s="6">
        <v>8866.0400000000009</v>
      </c>
      <c r="R3479" s="7">
        <v>45536</v>
      </c>
      <c r="S3479" s="6">
        <v>3334.87</v>
      </c>
      <c r="T3479" s="6">
        <v>467.27</v>
      </c>
      <c r="U3479" s="7">
        <v>45536</v>
      </c>
      <c r="V3479" s="6">
        <v>20.16</v>
      </c>
      <c r="W3479" s="6">
        <f ca="1">IFERROR(__xludf.DUMMYFUNCTION("IFERROR(GOOGLEFINANCE(B3479,""pe""),V3479)"),21.78)</f>
        <v>21.78</v>
      </c>
      <c r="X3479" s="6">
        <v>0.77</v>
      </c>
      <c r="Y3479" s="6">
        <v>4.3600000000000003</v>
      </c>
      <c r="Z3479" s="6">
        <v>2</v>
      </c>
      <c r="AA3479" s="8">
        <v>45352</v>
      </c>
      <c r="AB3479" s="4">
        <v>0.24</v>
      </c>
      <c r="AC3479" s="6">
        <v>25.55</v>
      </c>
      <c r="AD3479" s="6">
        <v>29.59</v>
      </c>
      <c r="AE3479" s="1">
        <v>0</v>
      </c>
      <c r="AF3479" s="1">
        <f ca="1">IFERROR(__xludf.DUMMYFUNCTION("IFERROR(GOOGLEFINANCE(TRIM(F3479)&amp;"":"" &amp; TRIM(B3479),""high52""),AE3479)"),3407.2)</f>
        <v>3407.2</v>
      </c>
      <c r="AG3479" s="1">
        <v>0</v>
      </c>
      <c r="AH3479" s="1">
        <f ca="1">IFERROR(__xludf.DUMMYFUNCTION("IFERROR(GOOGLEFINANCE(TRIM(F3479)&amp;"":"" &amp; TRIM(B3479),""low52""),AE3479)"),1662.55)</f>
        <v>1662.55</v>
      </c>
      <c r="AI3479" s="1">
        <f ca="1">IFERROR(__xludf.DUMMYFUNCTION("IFERROR(GOOGLEFINANCE(B3479,""eps""),0)"),122.6)</f>
        <v>122.6</v>
      </c>
      <c r="AJ3479" s="1"/>
      <c r="AK3479" s="1" t="s">
        <v>10655</v>
      </c>
      <c r="AL3479" s="9">
        <f t="shared" si="331"/>
        <v>1</v>
      </c>
    </row>
    <row r="3480" spans="1:38" ht="15" x14ac:dyDescent="0.25">
      <c r="A3480" s="1" t="s">
        <v>10656</v>
      </c>
      <c r="B3480" s="1" t="s">
        <v>10657</v>
      </c>
      <c r="C3480" s="1" t="s">
        <v>487</v>
      </c>
      <c r="D3480" s="1" t="s">
        <v>487</v>
      </c>
      <c r="E3480" s="6">
        <v>1822.78</v>
      </c>
      <c r="F3480" s="1" t="s">
        <v>40</v>
      </c>
      <c r="G3480" s="6">
        <f ca="1">IFERROR(__xludf.DUMMYFUNCTION("iferror(GOOGLEFINANCE(TRIM(F3480)&amp;"":"" &amp; TRIM(B3480), ""price""),0
)"),73.99)</f>
        <v>73.989999999999995</v>
      </c>
      <c r="H3480" s="6">
        <v>112.49</v>
      </c>
      <c r="I3480" s="6">
        <f t="shared" ca="1" si="0"/>
        <v>73.989999999999995</v>
      </c>
      <c r="J3480" s="6">
        <f ca="1">IFERROR(__xludf.DUMMYFUNCTION("IFERROR(GOOGLEFINANCE(B3480, ""volume""), 0)"),295603)</f>
        <v>295603</v>
      </c>
      <c r="K3480" s="6">
        <v>4.96</v>
      </c>
      <c r="L3480" s="6">
        <f ca="1">IFERROR(__xludf.DUMMYFUNCTION("IFERROR(GOOGLEFINANCE(B3480,""changepct""),K3480)"),1.84)</f>
        <v>1.84</v>
      </c>
      <c r="M3480" s="6">
        <f ca="1">IFERROR(__xludf.DUMMYFUNCTION("IFERROR(GOOGLEFINANCE(B3480,""change""),0)"),1.34)</f>
        <v>1.34</v>
      </c>
      <c r="N3480" s="6">
        <v>2</v>
      </c>
      <c r="O3480" s="7">
        <v>45536</v>
      </c>
      <c r="P3480" s="6">
        <v>536.21</v>
      </c>
      <c r="Q3480" s="6">
        <v>2249.5500000000002</v>
      </c>
      <c r="R3480" s="7">
        <v>45536</v>
      </c>
      <c r="S3480" s="6">
        <v>817.97</v>
      </c>
      <c r="T3480" s="6">
        <v>66.66</v>
      </c>
      <c r="U3480" s="7">
        <v>45536</v>
      </c>
      <c r="V3480" s="6">
        <v>33.08</v>
      </c>
      <c r="W3480" s="6">
        <f ca="1">IFERROR(__xludf.DUMMYFUNCTION("IFERROR(GOOGLEFINANCE(B3480,""pe""),V3480)"),14.16)</f>
        <v>14.16</v>
      </c>
      <c r="X3480" s="9"/>
      <c r="Y3480" s="6">
        <v>1.41</v>
      </c>
      <c r="Z3480" s="6">
        <v>2</v>
      </c>
      <c r="AA3480" s="8">
        <v>45352</v>
      </c>
      <c r="AB3480" s="4">
        <v>0.51</v>
      </c>
      <c r="AC3480" s="6">
        <v>6.1</v>
      </c>
      <c r="AD3480" s="6">
        <v>10.31</v>
      </c>
      <c r="AE3480" s="1">
        <v>0</v>
      </c>
      <c r="AF3480" s="1">
        <f ca="1">IFERROR(__xludf.DUMMYFUNCTION("IFERROR(GOOGLEFINANCE(TRIM(F3480)&amp;"":"" &amp; TRIM(B3480),""high52""),AE3480)"),105.58)</f>
        <v>105.58</v>
      </c>
      <c r="AG3480" s="1">
        <v>0</v>
      </c>
      <c r="AH3480" s="1">
        <f ca="1">IFERROR(__xludf.DUMMYFUNCTION("IFERROR(GOOGLEFINANCE(TRIM(F3480)&amp;"":"" &amp; TRIM(B3480),""low52""),AE3480)"),63.13)</f>
        <v>63.13</v>
      </c>
      <c r="AI3480" s="1">
        <f ca="1">IFERROR(__xludf.DUMMYFUNCTION("IFERROR(GOOGLEFINANCE(B3480,""eps""),0)"),5.23)</f>
        <v>5.23</v>
      </c>
      <c r="AJ3480" s="1"/>
      <c r="AK3480" s="1" t="s">
        <v>10658</v>
      </c>
      <c r="AL3480" s="9">
        <f t="shared" si="331"/>
        <v>1</v>
      </c>
    </row>
    <row r="3481" spans="1:38" ht="15" x14ac:dyDescent="0.25">
      <c r="A3481" s="1" t="s">
        <v>10659</v>
      </c>
      <c r="B3481" s="1" t="s">
        <v>10660</v>
      </c>
      <c r="C3481" s="1" t="s">
        <v>2432</v>
      </c>
      <c r="D3481" s="1" t="s">
        <v>2432</v>
      </c>
      <c r="E3481" s="6">
        <v>38.17</v>
      </c>
      <c r="F3481" s="1" t="s">
        <v>40</v>
      </c>
      <c r="G3481" s="6">
        <f ca="1">IFERROR(__xludf.DUMMYFUNCTION("iferror(GOOGLEFINANCE(TRIM(F3481)&amp;"":"" &amp; TRIM(B3481), ""price""),0
)"),0)</f>
        <v>0</v>
      </c>
      <c r="H3481" s="6">
        <v>36</v>
      </c>
      <c r="I3481" s="6">
        <f t="shared" ca="1" si="0"/>
        <v>36</v>
      </c>
      <c r="J3481" s="6">
        <f ca="1">IFERROR(__xludf.DUMMYFUNCTION("IFERROR(GOOGLEFINANCE(B3481, ""volume""), 0)"),0)</f>
        <v>0</v>
      </c>
      <c r="K3481" s="9"/>
      <c r="L3481" s="6" t="str">
        <f ca="1">IFERROR(__xludf.DUMMYFUNCTION("IFERROR(GOOGLEFINANCE(B3481,""changepct""),K3481)"),"")</f>
        <v/>
      </c>
      <c r="M3481" s="6">
        <f ca="1">IFERROR(__xludf.DUMMYFUNCTION("IFERROR(GOOGLEFINANCE(B3481,""change""),0)"),0)</f>
        <v>0</v>
      </c>
      <c r="N3481" s="6">
        <v>1</v>
      </c>
      <c r="O3481" s="7">
        <v>45536</v>
      </c>
      <c r="P3481" s="6">
        <v>11.19</v>
      </c>
      <c r="Q3481" s="6">
        <v>49.36</v>
      </c>
      <c r="R3481" s="7">
        <v>45352</v>
      </c>
      <c r="S3481" s="6">
        <v>68.36</v>
      </c>
      <c r="T3481" s="6">
        <v>1.22</v>
      </c>
      <c r="U3481" s="7">
        <v>45352</v>
      </c>
      <c r="V3481" s="6">
        <v>31.34</v>
      </c>
      <c r="W3481" s="6">
        <f ca="1">IFERROR(__xludf.DUMMYFUNCTION("IFERROR(GOOGLEFINANCE(B3481,""pe""),V3481)"),31.34)</f>
        <v>31.34</v>
      </c>
      <c r="X3481" s="6">
        <v>7.91</v>
      </c>
      <c r="Y3481" s="6">
        <v>1.76</v>
      </c>
      <c r="Z3481" s="6">
        <v>1</v>
      </c>
      <c r="AA3481" s="8">
        <v>44986</v>
      </c>
      <c r="AB3481" s="4">
        <v>0.64</v>
      </c>
      <c r="AC3481" s="6">
        <v>5.95</v>
      </c>
      <c r="AD3481" s="6">
        <v>9.77</v>
      </c>
      <c r="AE3481" s="1">
        <v>0</v>
      </c>
      <c r="AF3481" s="1">
        <f ca="1">IFERROR(__xludf.DUMMYFUNCTION("IFERROR(GOOGLEFINANCE(TRIM(F3481)&amp;"":"" &amp; TRIM(B3481),""high52""),AE3481)"),0)</f>
        <v>0</v>
      </c>
      <c r="AG3481" s="1">
        <v>0</v>
      </c>
      <c r="AH3481" s="1">
        <f ca="1">IFERROR(__xludf.DUMMYFUNCTION("IFERROR(GOOGLEFINANCE(TRIM(F3481)&amp;"":"" &amp; TRIM(B3481),""low52""),AE3481)"),0)</f>
        <v>0</v>
      </c>
      <c r="AI3481" s="1">
        <f ca="1">IFERROR(__xludf.DUMMYFUNCTION("IFERROR(GOOGLEFINANCE(B3481,""eps""),0)"),0)</f>
        <v>0</v>
      </c>
      <c r="AJ3481" s="1"/>
      <c r="AK3481" s="1" t="s">
        <v>10661</v>
      </c>
      <c r="AL3481" s="9">
        <f t="shared" si="331"/>
        <v>1</v>
      </c>
    </row>
    <row r="3482" spans="1:38" ht="15" x14ac:dyDescent="0.25">
      <c r="A3482" s="1" t="s">
        <v>10662</v>
      </c>
      <c r="B3482" s="1" t="s">
        <v>10663</v>
      </c>
      <c r="C3482" s="1" t="s">
        <v>71</v>
      </c>
      <c r="D3482" s="1" t="s">
        <v>71</v>
      </c>
      <c r="E3482" s="6">
        <v>203.91</v>
      </c>
      <c r="F3482" s="1" t="s">
        <v>40</v>
      </c>
      <c r="G3482" s="6">
        <f ca="1">IFERROR(__xludf.DUMMYFUNCTION("iferror(GOOGLEFINANCE(TRIM(F3482)&amp;"":"" &amp; TRIM(B3482), ""price""),0
)"),0)</f>
        <v>0</v>
      </c>
      <c r="H3482" s="6">
        <v>396.75</v>
      </c>
      <c r="I3482" s="6">
        <f t="shared" ca="1" si="0"/>
        <v>396.75</v>
      </c>
      <c r="J3482" s="6">
        <f ca="1">IFERROR(__xludf.DUMMYFUNCTION("IFERROR(GOOGLEFINANCE(B3482, ""volume""), 0)"),0)</f>
        <v>0</v>
      </c>
      <c r="K3482" s="6">
        <v>1.99</v>
      </c>
      <c r="L3482" s="6">
        <f ca="1">IFERROR(__xludf.DUMMYFUNCTION("IFERROR(GOOGLEFINANCE(B3482,""changepct""),K3482)"),1.99)</f>
        <v>1.99</v>
      </c>
      <c r="M3482" s="6">
        <f ca="1">IFERROR(__xludf.DUMMYFUNCTION("IFERROR(GOOGLEFINANCE(B3482,""change""),0)"),0)</f>
        <v>0</v>
      </c>
      <c r="N3482" s="6">
        <v>1</v>
      </c>
      <c r="O3482" s="7">
        <v>45536</v>
      </c>
      <c r="P3482" s="6">
        <v>0.28000000000000003</v>
      </c>
      <c r="Q3482" s="6">
        <v>204.19</v>
      </c>
      <c r="R3482" s="14"/>
      <c r="S3482" s="9"/>
      <c r="T3482" s="9"/>
      <c r="U3482" s="7">
        <v>45352</v>
      </c>
      <c r="V3482" s="6">
        <v>61.84</v>
      </c>
      <c r="W3482" s="6">
        <f ca="1">IFERROR(__xludf.DUMMYFUNCTION("IFERROR(GOOGLEFINANCE(B3482,""pe""),V3482)"),61.84)</f>
        <v>61.84</v>
      </c>
      <c r="X3482" s="9"/>
      <c r="Y3482" s="6">
        <v>8.61</v>
      </c>
      <c r="Z3482" s="6">
        <v>1</v>
      </c>
      <c r="AA3482" s="8">
        <v>45352</v>
      </c>
      <c r="AB3482" s="4">
        <v>0.09</v>
      </c>
      <c r="AC3482" s="6">
        <v>68.150000000000006</v>
      </c>
      <c r="AD3482" s="6">
        <v>86.41</v>
      </c>
      <c r="AE3482" s="1">
        <v>0</v>
      </c>
      <c r="AF3482" s="1">
        <f ca="1">IFERROR(__xludf.DUMMYFUNCTION("IFERROR(GOOGLEFINANCE(TRIM(F3482)&amp;"":"" &amp; TRIM(B3482),""high52""),AE3482)"),0)</f>
        <v>0</v>
      </c>
      <c r="AG3482" s="1">
        <v>0</v>
      </c>
      <c r="AH3482" s="1">
        <f ca="1">IFERROR(__xludf.DUMMYFUNCTION("IFERROR(GOOGLEFINANCE(TRIM(F3482)&amp;"":"" &amp; TRIM(B3482),""low52""),AE3482)"),0)</f>
        <v>0</v>
      </c>
      <c r="AI3482" s="1">
        <f ca="1">IFERROR(__xludf.DUMMYFUNCTION("IFERROR(GOOGLEFINANCE(B3482,""eps""),0)"),0)</f>
        <v>0</v>
      </c>
      <c r="AJ3482" s="1"/>
      <c r="AK3482" s="9"/>
      <c r="AL3482" s="9">
        <f t="shared" si="331"/>
        <v>1</v>
      </c>
    </row>
    <row r="3483" spans="1:38" ht="15" x14ac:dyDescent="0.25">
      <c r="A3483" s="1" t="s">
        <v>10664</v>
      </c>
      <c r="B3483" s="1" t="s">
        <v>10665</v>
      </c>
      <c r="C3483" s="1" t="s">
        <v>159</v>
      </c>
      <c r="D3483" s="1" t="s">
        <v>159</v>
      </c>
      <c r="E3483" s="6">
        <v>525.72</v>
      </c>
      <c r="F3483" s="1" t="s">
        <v>53</v>
      </c>
      <c r="G3483" s="6">
        <f ca="1">IFERROR(__xludf.DUMMYFUNCTION("iferror(GOOGLEFINANCE(TRIM(F3483)&amp;"":"" &amp; TRIM(B3483), ""price""),0
)"),0)</f>
        <v>0</v>
      </c>
      <c r="H3483" s="6">
        <v>250.1</v>
      </c>
      <c r="I3483" s="6">
        <f t="shared" ca="1" si="0"/>
        <v>250.1</v>
      </c>
      <c r="J3483" s="6">
        <f ca="1">IFERROR(__xludf.DUMMYFUNCTION("IFERROR(GOOGLEFINANCE(B3483, ""volume""), 0)"),0)</f>
        <v>0</v>
      </c>
      <c r="K3483" s="6">
        <v>0.08</v>
      </c>
      <c r="L3483" s="6">
        <f ca="1">IFERROR(__xludf.DUMMYFUNCTION("IFERROR(GOOGLEFINANCE(B3483,""changepct""),K3483)"),0.08)</f>
        <v>0.08</v>
      </c>
      <c r="M3483" s="6">
        <f ca="1">IFERROR(__xludf.DUMMYFUNCTION("IFERROR(GOOGLEFINANCE(B3483,""change""),0)"),0)</f>
        <v>0</v>
      </c>
      <c r="N3483" s="6">
        <v>1</v>
      </c>
      <c r="O3483" s="7">
        <v>45536</v>
      </c>
      <c r="P3483" s="6">
        <v>12.2</v>
      </c>
      <c r="Q3483" s="6">
        <v>537.91999999999996</v>
      </c>
      <c r="R3483" s="14"/>
      <c r="S3483" s="9"/>
      <c r="T3483" s="9"/>
      <c r="U3483" s="7">
        <v>45352</v>
      </c>
      <c r="V3483" s="6">
        <v>20.079999999999998</v>
      </c>
      <c r="W3483" s="6">
        <f ca="1">IFERROR(__xludf.DUMMYFUNCTION("IFERROR(GOOGLEFINANCE(B3483,""pe""),V3483)"),20.08)</f>
        <v>20.079999999999998</v>
      </c>
      <c r="X3483" s="12"/>
      <c r="Y3483" s="6">
        <v>3.07</v>
      </c>
      <c r="Z3483" s="6">
        <v>2</v>
      </c>
      <c r="AA3483" s="8">
        <v>45352</v>
      </c>
      <c r="AB3483" s="4">
        <v>0.25</v>
      </c>
      <c r="AC3483" s="6">
        <v>52.88</v>
      </c>
      <c r="AD3483" s="6">
        <v>58.63</v>
      </c>
      <c r="AE3483" s="1">
        <v>0</v>
      </c>
      <c r="AF3483" s="1">
        <f ca="1">IFERROR(__xludf.DUMMYFUNCTION("IFERROR(GOOGLEFINANCE(TRIM(F3483)&amp;"":"" &amp; TRIM(B3483),""high52""),AE3483)"),0)</f>
        <v>0</v>
      </c>
      <c r="AG3483" s="1">
        <v>0</v>
      </c>
      <c r="AH3483" s="1">
        <f ca="1">IFERROR(__xludf.DUMMYFUNCTION("IFERROR(GOOGLEFINANCE(TRIM(F3483)&amp;"":"" &amp; TRIM(B3483),""low52""),AE3483)"),0)</f>
        <v>0</v>
      </c>
      <c r="AI3483" s="1">
        <f ca="1">IFERROR(__xludf.DUMMYFUNCTION("IFERROR(GOOGLEFINANCE(B3483,""eps""),0)"),0)</f>
        <v>0</v>
      </c>
      <c r="AJ3483" s="1"/>
      <c r="AK3483" s="1" t="s">
        <v>10666</v>
      </c>
      <c r="AL3483" s="9">
        <f t="shared" si="331"/>
        <v>1</v>
      </c>
    </row>
    <row r="3484" spans="1:38" ht="15" x14ac:dyDescent="0.25">
      <c r="A3484" s="1" t="s">
        <v>10667</v>
      </c>
      <c r="B3484" s="1" t="s">
        <v>10668</v>
      </c>
      <c r="C3484" s="1" t="s">
        <v>159</v>
      </c>
      <c r="D3484" s="1" t="s">
        <v>159</v>
      </c>
      <c r="E3484" s="6">
        <v>93.79</v>
      </c>
      <c r="F3484" s="1" t="s">
        <v>53</v>
      </c>
      <c r="G3484" s="6">
        <f ca="1">IFERROR(__xludf.DUMMYFUNCTION("iferror(GOOGLEFINANCE(TRIM(F3484)&amp;"":"" &amp; TRIM(B3484), ""price""),0
)"),0)</f>
        <v>0</v>
      </c>
      <c r="H3484" s="6">
        <v>78</v>
      </c>
      <c r="I3484" s="6">
        <f t="shared" ca="1" si="0"/>
        <v>78</v>
      </c>
      <c r="J3484" s="6">
        <f ca="1">IFERROR(__xludf.DUMMYFUNCTION("IFERROR(GOOGLEFINANCE(B3484, ""volume""), 0)"),5600)</f>
        <v>5600</v>
      </c>
      <c r="K3484" s="6">
        <v>2.04</v>
      </c>
      <c r="L3484" s="6">
        <f ca="1">IFERROR(__xludf.DUMMYFUNCTION("IFERROR(GOOGLEFINANCE(B3484,""changepct""),K3484)"),-4.81)</f>
        <v>-4.8099999999999996</v>
      </c>
      <c r="M3484" s="6">
        <f ca="1">IFERROR(__xludf.DUMMYFUNCTION("IFERROR(GOOGLEFINANCE(B3484,""change""),0)"),-0.36)</f>
        <v>-0.36</v>
      </c>
      <c r="N3484" s="6">
        <v>1</v>
      </c>
      <c r="O3484" s="7">
        <v>45536</v>
      </c>
      <c r="P3484" s="9"/>
      <c r="Q3484" s="6">
        <v>93.79</v>
      </c>
      <c r="R3484" s="14"/>
      <c r="S3484" s="9"/>
      <c r="T3484" s="9"/>
      <c r="U3484" s="7">
        <v>45352</v>
      </c>
      <c r="V3484" s="6">
        <v>24.88</v>
      </c>
      <c r="W3484" s="6">
        <f ca="1">IFERROR(__xludf.DUMMYFUNCTION("IFERROR(GOOGLEFINANCE(B3484,""pe""),V3484)"),10.89)</f>
        <v>10.89</v>
      </c>
      <c r="X3484" s="9"/>
      <c r="Y3484" s="6">
        <v>2.69</v>
      </c>
      <c r="Z3484" s="6">
        <v>2</v>
      </c>
      <c r="AA3484" s="8">
        <v>45352</v>
      </c>
      <c r="AB3484" s="4">
        <v>0.08</v>
      </c>
      <c r="AC3484" s="6">
        <v>54.4</v>
      </c>
      <c r="AD3484" s="6">
        <v>67.150000000000006</v>
      </c>
      <c r="AE3484" s="1">
        <v>0</v>
      </c>
      <c r="AF3484" s="1">
        <f ca="1">IFERROR(__xludf.DUMMYFUNCTION("IFERROR(GOOGLEFINANCE(TRIM(F3484)&amp;"":"" &amp; TRIM(B3484),""high52""),AE3484)"),0)</f>
        <v>0</v>
      </c>
      <c r="AG3484" s="1">
        <v>0</v>
      </c>
      <c r="AH3484" s="1">
        <f ca="1">IFERROR(__xludf.DUMMYFUNCTION("IFERROR(GOOGLEFINANCE(TRIM(F3484)&amp;"":"" &amp; TRIM(B3484),""low52""),AE3484)"),0)</f>
        <v>0</v>
      </c>
      <c r="AI3484" s="1">
        <f ca="1">IFERROR(__xludf.DUMMYFUNCTION("IFERROR(GOOGLEFINANCE(B3484,""eps""),0)"),0.65)</f>
        <v>0.65</v>
      </c>
      <c r="AJ3484" s="1"/>
      <c r="AK3484" s="1" t="s">
        <v>10669</v>
      </c>
      <c r="AL3484" s="9">
        <f t="shared" si="331"/>
        <v>1</v>
      </c>
    </row>
    <row r="3485" spans="1:38" ht="15" x14ac:dyDescent="0.25">
      <c r="A3485" s="1" t="s">
        <v>10670</v>
      </c>
      <c r="B3485" s="1" t="s">
        <v>10671</v>
      </c>
      <c r="C3485" s="1" t="s">
        <v>219</v>
      </c>
      <c r="D3485" s="1" t="s">
        <v>219</v>
      </c>
      <c r="E3485" s="6">
        <v>20690.650000000001</v>
      </c>
      <c r="F3485" s="1" t="s">
        <v>40</v>
      </c>
      <c r="G3485" s="6">
        <f ca="1">IFERROR(__xludf.DUMMYFUNCTION("iferror(GOOGLEFINANCE(TRIM(F3485)&amp;"":"" &amp; TRIM(B3485), ""price""),0
)"),835)</f>
        <v>835</v>
      </c>
      <c r="H3485" s="6">
        <v>756.2</v>
      </c>
      <c r="I3485" s="6">
        <f t="shared" ca="1" si="0"/>
        <v>835</v>
      </c>
      <c r="J3485" s="6">
        <f ca="1">IFERROR(__xludf.DUMMYFUNCTION("IFERROR(GOOGLEFINANCE(B3485, ""volume""), 0)"),90730)</f>
        <v>90730</v>
      </c>
      <c r="K3485" s="6">
        <v>1.85</v>
      </c>
      <c r="L3485" s="6">
        <f ca="1">IFERROR(__xludf.DUMMYFUNCTION("IFERROR(GOOGLEFINANCE(B3485,""changepct""),K3485)"),-1.55)</f>
        <v>-1.55</v>
      </c>
      <c r="M3485" s="6">
        <f ca="1">IFERROR(__xludf.DUMMYFUNCTION("IFERROR(GOOGLEFINANCE(B3485,""change""),0)"),-13.15)</f>
        <v>-13.15</v>
      </c>
      <c r="N3485" s="6">
        <v>2</v>
      </c>
      <c r="O3485" s="7">
        <v>45536</v>
      </c>
      <c r="P3485" s="6">
        <v>1075.98</v>
      </c>
      <c r="Q3485" s="6">
        <v>21731.81</v>
      </c>
      <c r="R3485" s="7">
        <v>45536</v>
      </c>
      <c r="S3485" s="6">
        <v>14167.12</v>
      </c>
      <c r="T3485" s="6">
        <v>837.39</v>
      </c>
      <c r="U3485" s="7">
        <v>45536</v>
      </c>
      <c r="V3485" s="6">
        <v>24.76</v>
      </c>
      <c r="W3485" s="6">
        <f ca="1">IFERROR(__xludf.DUMMYFUNCTION("IFERROR(GOOGLEFINANCE(B3485,""pe""),V3485)"),24.1)</f>
        <v>24.1</v>
      </c>
      <c r="X3485" s="9"/>
      <c r="Y3485" s="6">
        <v>2.0299999999999998</v>
      </c>
      <c r="Z3485" s="6">
        <v>2</v>
      </c>
      <c r="AA3485" s="8">
        <v>45352</v>
      </c>
      <c r="AB3485" s="4">
        <v>0.06</v>
      </c>
      <c r="AC3485" s="6">
        <v>12.13</v>
      </c>
      <c r="AD3485" s="6">
        <v>11.49</v>
      </c>
      <c r="AE3485" s="1">
        <v>0</v>
      </c>
      <c r="AF3485" s="1">
        <f ca="1">IFERROR(__xludf.DUMMYFUNCTION("IFERROR(GOOGLEFINANCE(TRIM(F3485)&amp;"":"" &amp; TRIM(B3485),""high52""),AE3485)"),1001)</f>
        <v>1001</v>
      </c>
      <c r="AG3485" s="1">
        <v>0</v>
      </c>
      <c r="AH3485" s="1">
        <f ca="1">IFERROR(__xludf.DUMMYFUNCTION("IFERROR(GOOGLEFINANCE(TRIM(F3485)&amp;"":"" &amp; TRIM(B3485),""low52""),AE3485)"),673.5)</f>
        <v>673.5</v>
      </c>
      <c r="AI3485" s="1">
        <f ca="1">IFERROR(__xludf.DUMMYFUNCTION("IFERROR(GOOGLEFINANCE(B3485,""eps""),0)"),34.65)</f>
        <v>34.65</v>
      </c>
      <c r="AJ3485" s="1"/>
      <c r="AK3485" s="1" t="s">
        <v>10672</v>
      </c>
      <c r="AL3485" s="9">
        <f t="shared" si="331"/>
        <v>1</v>
      </c>
    </row>
    <row r="3486" spans="1:38" ht="15" x14ac:dyDescent="0.25">
      <c r="A3486" s="1" t="s">
        <v>10673</v>
      </c>
      <c r="B3486" s="1" t="s">
        <v>10674</v>
      </c>
      <c r="C3486" s="1" t="s">
        <v>1129</v>
      </c>
      <c r="D3486" s="1" t="s">
        <v>1129</v>
      </c>
      <c r="E3486" s="6">
        <v>23.31</v>
      </c>
      <c r="F3486" s="1" t="s">
        <v>40</v>
      </c>
      <c r="G3486" s="6">
        <f ca="1">IFERROR(__xludf.DUMMYFUNCTION("iferror(GOOGLEFINANCE(TRIM(F3486)&amp;"":"" &amp; TRIM(B3486), ""price""),0
)"),9.72)</f>
        <v>9.7200000000000006</v>
      </c>
      <c r="H3486" s="6">
        <v>21.77</v>
      </c>
      <c r="I3486" s="6">
        <f t="shared" ca="1" si="0"/>
        <v>9.7200000000000006</v>
      </c>
      <c r="J3486" s="6">
        <f ca="1">IFERROR(__xludf.DUMMYFUNCTION("IFERROR(GOOGLEFINANCE(B3486, ""volume""), 0)"),1380)</f>
        <v>1380</v>
      </c>
      <c r="K3486" s="6">
        <v>4.97</v>
      </c>
      <c r="L3486" s="6">
        <f ca="1">IFERROR(__xludf.DUMMYFUNCTION("IFERROR(GOOGLEFINANCE(B3486,""changepct""),K3486)"),-5.26)</f>
        <v>-5.26</v>
      </c>
      <c r="M3486" s="6">
        <f ca="1">IFERROR(__xludf.DUMMYFUNCTION("IFERROR(GOOGLEFINANCE(B3486,""change""),0)"),-0.54)</f>
        <v>-0.54</v>
      </c>
      <c r="N3486" s="6">
        <v>1</v>
      </c>
      <c r="O3486" s="7">
        <v>45536</v>
      </c>
      <c r="P3486" s="9"/>
      <c r="Q3486" s="6">
        <v>23.18</v>
      </c>
      <c r="R3486" s="7">
        <v>45536</v>
      </c>
      <c r="S3486" s="6">
        <v>0</v>
      </c>
      <c r="T3486" s="6">
        <v>-3.05</v>
      </c>
      <c r="U3486" s="7">
        <v>45536</v>
      </c>
      <c r="V3486" s="6">
        <v>0</v>
      </c>
      <c r="W3486" s="6">
        <f ca="1">IFERROR(__xludf.DUMMYFUNCTION("IFERROR(GOOGLEFINANCE(B3486,""pe""),V3486)"),0)</f>
        <v>0</v>
      </c>
      <c r="X3486" s="6">
        <v>0</v>
      </c>
      <c r="Y3486" s="6">
        <v>-0.86</v>
      </c>
      <c r="Z3486" s="6">
        <v>1</v>
      </c>
      <c r="AA3486" s="8">
        <v>45352</v>
      </c>
      <c r="AB3486" s="4">
        <v>0</v>
      </c>
      <c r="AC3486" s="6">
        <v>0</v>
      </c>
      <c r="AD3486" s="6">
        <v>0</v>
      </c>
      <c r="AE3486" s="1">
        <v>0</v>
      </c>
      <c r="AF3486" s="1">
        <f ca="1">IFERROR(__xludf.DUMMYFUNCTION("IFERROR(GOOGLEFINANCE(TRIM(F3486)&amp;"":"" &amp; TRIM(B3486),""high52""),AE3486)"),19.74)</f>
        <v>19.739999999999998</v>
      </c>
      <c r="AG3486" s="1">
        <v>0</v>
      </c>
      <c r="AH3486" s="1">
        <f ca="1">IFERROR(__xludf.DUMMYFUNCTION("IFERROR(GOOGLEFINANCE(TRIM(F3486)&amp;"":"" &amp; TRIM(B3486),""low52""),AE3486)"),9.11)</f>
        <v>9.11</v>
      </c>
      <c r="AI3486" s="1">
        <f ca="1">IFERROR(__xludf.DUMMYFUNCTION("IFERROR(GOOGLEFINANCE(B3486,""eps""),0)"),-4.76)</f>
        <v>-4.76</v>
      </c>
      <c r="AJ3486" s="1"/>
      <c r="AK3486" s="1" t="s">
        <v>10675</v>
      </c>
      <c r="AL3486" s="9">
        <f t="shared" si="331"/>
        <v>1</v>
      </c>
    </row>
    <row r="3487" spans="1:38" ht="15" x14ac:dyDescent="0.25">
      <c r="A3487" s="1" t="s">
        <v>10676</v>
      </c>
      <c r="B3487" s="1" t="s">
        <v>10677</v>
      </c>
      <c r="C3487" s="1" t="s">
        <v>259</v>
      </c>
      <c r="D3487" s="1" t="s">
        <v>259</v>
      </c>
      <c r="E3487" s="6">
        <v>983.3</v>
      </c>
      <c r="F3487" s="1" t="s">
        <v>40</v>
      </c>
      <c r="G3487" s="6">
        <f ca="1">IFERROR(__xludf.DUMMYFUNCTION("iferror(GOOGLEFINANCE(TRIM(F3487)&amp;"":"" &amp; TRIM(B3487), ""price""),0
)"),90)</f>
        <v>90</v>
      </c>
      <c r="H3487" s="6">
        <v>149.25</v>
      </c>
      <c r="I3487" s="6">
        <f t="shared" ca="1" si="0"/>
        <v>90</v>
      </c>
      <c r="J3487" s="6">
        <f ca="1">IFERROR(__xludf.DUMMYFUNCTION("IFERROR(GOOGLEFINANCE(B3487, ""volume""), 0)"),6782)</f>
        <v>6782</v>
      </c>
      <c r="K3487" s="6">
        <v>-0.85</v>
      </c>
      <c r="L3487" s="6">
        <f ca="1">IFERROR(__xludf.DUMMYFUNCTION("IFERROR(GOOGLEFINANCE(B3487,""changepct""),K3487)"),1.15)</f>
        <v>1.1499999999999999</v>
      </c>
      <c r="M3487" s="6">
        <f ca="1">IFERROR(__xludf.DUMMYFUNCTION("IFERROR(GOOGLEFINANCE(B3487,""change""),0)"),1.02)</f>
        <v>1.02</v>
      </c>
      <c r="N3487" s="6">
        <v>2</v>
      </c>
      <c r="O3487" s="7">
        <v>45536</v>
      </c>
      <c r="P3487" s="6">
        <v>523.46</v>
      </c>
      <c r="Q3487" s="6">
        <v>1386.82</v>
      </c>
      <c r="R3487" s="7">
        <v>45536</v>
      </c>
      <c r="S3487" s="6">
        <v>180.49</v>
      </c>
      <c r="T3487" s="6">
        <v>-27.23</v>
      </c>
      <c r="U3487" s="7">
        <v>45536</v>
      </c>
      <c r="V3487" s="6">
        <v>0</v>
      </c>
      <c r="W3487" s="6">
        <f ca="1">IFERROR(__xludf.DUMMYFUNCTION("IFERROR(GOOGLEFINANCE(B3487,""pe""),V3487)"),78.6)</f>
        <v>78.599999999999994</v>
      </c>
      <c r="X3487" s="9"/>
      <c r="Y3487" s="6">
        <v>192.83</v>
      </c>
      <c r="Z3487" s="6">
        <v>2</v>
      </c>
      <c r="AA3487" s="8">
        <v>45352</v>
      </c>
      <c r="AB3487" s="4">
        <v>17.3</v>
      </c>
      <c r="AC3487" s="6">
        <v>-48.3</v>
      </c>
      <c r="AD3487" s="6">
        <v>4.54</v>
      </c>
      <c r="AE3487" s="1">
        <v>0</v>
      </c>
      <c r="AF3487" s="1">
        <f ca="1">IFERROR(__xludf.DUMMYFUNCTION("IFERROR(GOOGLEFINANCE(TRIM(F3487)&amp;"":"" &amp; TRIM(B3487),""high52""),AE3487)"),124)</f>
        <v>124</v>
      </c>
      <c r="AG3487" s="1">
        <v>0</v>
      </c>
      <c r="AH3487" s="1">
        <f ca="1">IFERROR(__xludf.DUMMYFUNCTION("IFERROR(GOOGLEFINANCE(TRIM(F3487)&amp;"":"" &amp; TRIM(B3487),""low52""),AE3487)"),79.07)</f>
        <v>79.069999999999993</v>
      </c>
      <c r="AI3487" s="1">
        <f ca="1">IFERROR(__xludf.DUMMYFUNCTION("IFERROR(GOOGLEFINANCE(B3487,""eps""),0)"),1.15)</f>
        <v>1.1499999999999999</v>
      </c>
      <c r="AJ3487" s="1"/>
      <c r="AK3487" s="1" t="s">
        <v>10678</v>
      </c>
      <c r="AL3487" s="9">
        <f t="shared" si="331"/>
        <v>1</v>
      </c>
    </row>
    <row r="3488" spans="1:38" ht="15" x14ac:dyDescent="0.25">
      <c r="A3488" s="1" t="s">
        <v>10679</v>
      </c>
      <c r="B3488" s="1" t="s">
        <v>10680</v>
      </c>
      <c r="C3488" s="1" t="s">
        <v>227</v>
      </c>
      <c r="D3488" s="1" t="s">
        <v>227</v>
      </c>
      <c r="E3488" s="6">
        <v>118.95</v>
      </c>
      <c r="F3488" s="1" t="s">
        <v>40</v>
      </c>
      <c r="G3488" s="6">
        <f ca="1">IFERROR(__xludf.DUMMYFUNCTION("iferror(GOOGLEFINANCE(TRIM(F3488)&amp;"":"" &amp; TRIM(B3488), ""price""),0
)"),0)</f>
        <v>0</v>
      </c>
      <c r="H3488" s="6">
        <v>202.1</v>
      </c>
      <c r="I3488" s="6">
        <f t="shared" ca="1" si="0"/>
        <v>202.1</v>
      </c>
      <c r="J3488" s="6">
        <f ca="1">IFERROR(__xludf.DUMMYFUNCTION("IFERROR(GOOGLEFINANCE(B3488, ""volume""), 0)"),0)</f>
        <v>0</v>
      </c>
      <c r="K3488" s="6">
        <v>4.99</v>
      </c>
      <c r="L3488" s="6">
        <f ca="1">IFERROR(__xludf.DUMMYFUNCTION("IFERROR(GOOGLEFINANCE(B3488,""changepct""),K3488)"),4.99)</f>
        <v>4.99</v>
      </c>
      <c r="M3488" s="6">
        <f ca="1">IFERROR(__xludf.DUMMYFUNCTION("IFERROR(GOOGLEFINANCE(B3488,""change""),0)"),0)</f>
        <v>0</v>
      </c>
      <c r="N3488" s="6">
        <v>1</v>
      </c>
      <c r="O3488" s="7">
        <v>45536</v>
      </c>
      <c r="P3488" s="9"/>
      <c r="Q3488" s="6">
        <v>118.95</v>
      </c>
      <c r="R3488" s="7">
        <v>45352</v>
      </c>
      <c r="S3488" s="6">
        <v>36.82</v>
      </c>
      <c r="T3488" s="6">
        <v>4.4400000000000004</v>
      </c>
      <c r="U3488" s="7">
        <v>45352</v>
      </c>
      <c r="V3488" s="6">
        <v>26.78</v>
      </c>
      <c r="W3488" s="6">
        <f ca="1">IFERROR(__xludf.DUMMYFUNCTION("IFERROR(GOOGLEFINANCE(B3488,""pe""),V3488)"),26.78)</f>
        <v>26.78</v>
      </c>
      <c r="X3488" s="9"/>
      <c r="Y3488" s="6">
        <v>3.68</v>
      </c>
      <c r="Z3488" s="6">
        <v>2</v>
      </c>
      <c r="AA3488" s="8">
        <v>45352</v>
      </c>
      <c r="AB3488" s="4">
        <v>0</v>
      </c>
      <c r="AC3488" s="6">
        <v>17.309999999999999</v>
      </c>
      <c r="AD3488" s="6">
        <v>24.48</v>
      </c>
      <c r="AE3488" s="1">
        <v>0</v>
      </c>
      <c r="AF3488" s="1">
        <f ca="1">IFERROR(__xludf.DUMMYFUNCTION("IFERROR(GOOGLEFINANCE(TRIM(F3488)&amp;"":"" &amp; TRIM(B3488),""high52""),AE3488)"),0)</f>
        <v>0</v>
      </c>
      <c r="AG3488" s="1">
        <v>0</v>
      </c>
      <c r="AH3488" s="1">
        <f ca="1">IFERROR(__xludf.DUMMYFUNCTION("IFERROR(GOOGLEFINANCE(TRIM(F3488)&amp;"":"" &amp; TRIM(B3488),""low52""),AE3488)"),0)</f>
        <v>0</v>
      </c>
      <c r="AI3488" s="1">
        <f ca="1">IFERROR(__xludf.DUMMYFUNCTION("IFERROR(GOOGLEFINANCE(B3488,""eps""),0)"),0)</f>
        <v>0</v>
      </c>
      <c r="AJ3488" s="1"/>
      <c r="AK3488" s="12"/>
      <c r="AL3488" s="9">
        <f t="shared" si="331"/>
        <v>1</v>
      </c>
    </row>
    <row r="3489" spans="1:38" ht="15" x14ac:dyDescent="0.25">
      <c r="A3489" s="1" t="s">
        <v>10681</v>
      </c>
      <c r="B3489" s="1" t="s">
        <v>10682</v>
      </c>
      <c r="C3489" s="1" t="s">
        <v>125</v>
      </c>
      <c r="D3489" s="1" t="s">
        <v>125</v>
      </c>
      <c r="E3489" s="6">
        <v>238534.7</v>
      </c>
      <c r="F3489" s="1" t="s">
        <v>40</v>
      </c>
      <c r="G3489" s="6">
        <f ca="1">IFERROR(__xludf.DUMMYFUNCTION("iferror(GOOGLEFINANCE(TRIM(F3489)&amp;"":"" &amp; TRIM(B3489), ""price""),0
)"),3095)</f>
        <v>3095</v>
      </c>
      <c r="H3489" s="6">
        <v>6669</v>
      </c>
      <c r="I3489" s="6">
        <f t="shared" ca="1" si="0"/>
        <v>3095</v>
      </c>
      <c r="J3489" s="6">
        <f ca="1">IFERROR(__xludf.DUMMYFUNCTION("IFERROR(GOOGLEFINANCE(B3489, ""volume""), 0)"),211371)</f>
        <v>211371</v>
      </c>
      <c r="K3489" s="6">
        <v>-0.44</v>
      </c>
      <c r="L3489" s="6">
        <f ca="1">IFERROR(__xludf.DUMMYFUNCTION("IFERROR(GOOGLEFINANCE(B3489,""changepct""),K3489)"),3.8)</f>
        <v>3.8</v>
      </c>
      <c r="M3489" s="6">
        <f ca="1">IFERROR(__xludf.DUMMYFUNCTION("IFERROR(GOOGLEFINANCE(B3489,""change""),0)"),113.2)</f>
        <v>113.2</v>
      </c>
      <c r="N3489" s="6">
        <v>2</v>
      </c>
      <c r="O3489" s="7">
        <v>45536</v>
      </c>
      <c r="P3489" s="9"/>
      <c r="Q3489" s="6">
        <v>228966.8</v>
      </c>
      <c r="R3489" s="7">
        <v>45536</v>
      </c>
      <c r="S3489" s="6">
        <v>22239.7</v>
      </c>
      <c r="T3489" s="6">
        <v>2717.8</v>
      </c>
      <c r="U3489" s="7">
        <v>45536</v>
      </c>
      <c r="V3489" s="6">
        <v>87.81</v>
      </c>
      <c r="W3489" s="6">
        <f ca="1">IFERROR(__xludf.DUMMYFUNCTION("IFERROR(GOOGLEFINANCE(B3489,""pe""),V3489)"),65.27)</f>
        <v>65.27</v>
      </c>
      <c r="X3489" s="6">
        <v>4.43</v>
      </c>
      <c r="Y3489" s="6">
        <v>15.53</v>
      </c>
      <c r="Z3489" s="6">
        <v>2</v>
      </c>
      <c r="AA3489" s="8">
        <v>45170</v>
      </c>
      <c r="AB3489" s="4">
        <v>0</v>
      </c>
      <c r="AC3489" s="6">
        <v>15.89</v>
      </c>
      <c r="AD3489" s="6">
        <v>21.88</v>
      </c>
      <c r="AE3489" s="1">
        <v>0</v>
      </c>
      <c r="AF3489" s="1">
        <f ca="1">IFERROR(__xludf.DUMMYFUNCTION("IFERROR(GOOGLEFINANCE(TRIM(F3489)&amp;"":"" &amp; TRIM(B3489),""high52""),AE3489)"),3409)</f>
        <v>3409</v>
      </c>
      <c r="AG3489" s="1">
        <v>0</v>
      </c>
      <c r="AH3489" s="1">
        <f ca="1">IFERROR(__xludf.DUMMYFUNCTION("IFERROR(GOOGLEFINANCE(TRIM(F3489)&amp;"":"" &amp; TRIM(B3489),""low52""),AE3489)"),2450)</f>
        <v>2450</v>
      </c>
      <c r="AI3489" s="1">
        <f ca="1">IFERROR(__xludf.DUMMYFUNCTION("IFERROR(GOOGLEFINANCE(B3489,""eps""),0)"),47.42)</f>
        <v>47.42</v>
      </c>
      <c r="AJ3489" s="1"/>
      <c r="AK3489" s="1" t="s">
        <v>10683</v>
      </c>
      <c r="AL3489" s="9">
        <f t="shared" si="331"/>
        <v>1</v>
      </c>
    </row>
    <row r="3490" spans="1:38" ht="15" x14ac:dyDescent="0.25">
      <c r="A3490" s="1" t="s">
        <v>10684</v>
      </c>
      <c r="B3490" s="1" t="s">
        <v>10685</v>
      </c>
      <c r="C3490" s="1" t="s">
        <v>135</v>
      </c>
      <c r="D3490" s="1" t="s">
        <v>135</v>
      </c>
      <c r="E3490" s="6">
        <v>1682.91</v>
      </c>
      <c r="F3490" s="1" t="s">
        <v>40</v>
      </c>
      <c r="G3490" s="6">
        <f ca="1">IFERROR(__xludf.DUMMYFUNCTION("iferror(GOOGLEFINANCE(TRIM(F3490)&amp;"":"" &amp; TRIM(B3490), ""price""),0
)"),19.91)</f>
        <v>19.91</v>
      </c>
      <c r="H3490" s="6">
        <v>51.29</v>
      </c>
      <c r="I3490" s="6">
        <f t="shared" ca="1" si="0"/>
        <v>19.91</v>
      </c>
      <c r="J3490" s="6">
        <f ca="1">IFERROR(__xludf.DUMMYFUNCTION("IFERROR(GOOGLEFINANCE(B3490, ""volume""), 0)"),6219945)</f>
        <v>6219945</v>
      </c>
      <c r="K3490" s="6">
        <v>1.62</v>
      </c>
      <c r="L3490" s="6">
        <f ca="1">IFERROR(__xludf.DUMMYFUNCTION("IFERROR(GOOGLEFINANCE(B3490,""changepct""),K3490)"),-0.15)</f>
        <v>-0.15</v>
      </c>
      <c r="M3490" s="6">
        <f ca="1">IFERROR(__xludf.DUMMYFUNCTION("IFERROR(GOOGLEFINANCE(B3490,""change""),0)"),-0.03)</f>
        <v>-0.03</v>
      </c>
      <c r="N3490" s="6">
        <v>2</v>
      </c>
      <c r="O3490" s="7">
        <v>45536</v>
      </c>
      <c r="P3490" s="6">
        <v>134.86000000000001</v>
      </c>
      <c r="Q3490" s="6">
        <v>1769.74</v>
      </c>
      <c r="R3490" s="7">
        <v>45536</v>
      </c>
      <c r="S3490" s="6">
        <v>435.69</v>
      </c>
      <c r="T3490" s="6">
        <v>65.05</v>
      </c>
      <c r="U3490" s="7">
        <v>45536</v>
      </c>
      <c r="V3490" s="6">
        <v>25.46</v>
      </c>
      <c r="W3490" s="6">
        <f ca="1">IFERROR(__xludf.DUMMYFUNCTION("IFERROR(GOOGLEFINANCE(B3490,""pe""),V3490)"),25.46)</f>
        <v>25.46</v>
      </c>
      <c r="X3490" s="12"/>
      <c r="Y3490" s="6">
        <v>3.57</v>
      </c>
      <c r="Z3490" s="6">
        <v>2</v>
      </c>
      <c r="AA3490" s="8">
        <v>45352</v>
      </c>
      <c r="AB3490" s="4">
        <v>0.34</v>
      </c>
      <c r="AC3490" s="6">
        <v>17.899999999999999</v>
      </c>
      <c r="AD3490" s="6">
        <v>17.899999999999999</v>
      </c>
      <c r="AE3490" s="1">
        <v>0</v>
      </c>
      <c r="AF3490" s="1">
        <f ca="1">IFERROR(__xludf.DUMMYFUNCTION("IFERROR(GOOGLEFINANCE(TRIM(F3490)&amp;"":"" &amp; TRIM(B3490),""high52""),AE3490)"),59.59)</f>
        <v>59.59</v>
      </c>
      <c r="AG3490" s="1">
        <v>0</v>
      </c>
      <c r="AH3490" s="1">
        <f ca="1">IFERROR(__xludf.DUMMYFUNCTION("IFERROR(GOOGLEFINANCE(TRIM(F3490)&amp;"":"" &amp; TRIM(B3490),""low52""),AE3490)"),18.92)</f>
        <v>18.920000000000002</v>
      </c>
      <c r="AI3490" s="1">
        <f ca="1">IFERROR(__xludf.DUMMYFUNCTION("IFERROR(GOOGLEFINANCE(B3490,""eps""),0)"),-1.46)</f>
        <v>-1.46</v>
      </c>
      <c r="AJ3490" s="1"/>
      <c r="AK3490" s="1" t="s">
        <v>10686</v>
      </c>
      <c r="AL3490" s="9">
        <f t="shared" si="331"/>
        <v>1</v>
      </c>
    </row>
    <row r="3491" spans="1:38" ht="15" x14ac:dyDescent="0.25">
      <c r="A3491" s="1" t="s">
        <v>10687</v>
      </c>
      <c r="B3491" s="1" t="s">
        <v>10688</v>
      </c>
      <c r="C3491" s="1" t="s">
        <v>90</v>
      </c>
      <c r="D3491" s="1" t="s">
        <v>90</v>
      </c>
      <c r="E3491" s="6">
        <v>361.2</v>
      </c>
      <c r="F3491" s="1" t="s">
        <v>40</v>
      </c>
      <c r="G3491" s="6">
        <f ca="1">IFERROR(__xludf.DUMMYFUNCTION("iferror(GOOGLEFINANCE(TRIM(F3491)&amp;"":"" &amp; TRIM(B3491), ""price""),0
)"),49.4)</f>
        <v>49.4</v>
      </c>
      <c r="H3491" s="6">
        <v>356</v>
      </c>
      <c r="I3491" s="6">
        <f t="shared" ca="1" si="0"/>
        <v>49.4</v>
      </c>
      <c r="J3491" s="6">
        <f ca="1">IFERROR(__xludf.DUMMYFUNCTION("IFERROR(GOOGLEFINANCE(B3491, ""volume""), 0)"),67001)</f>
        <v>67001</v>
      </c>
      <c r="K3491" s="6">
        <v>1.21</v>
      </c>
      <c r="L3491" s="6">
        <f ca="1">IFERROR(__xludf.DUMMYFUNCTION("IFERROR(GOOGLEFINANCE(B3491,""changepct""),K3491)"),1.04)</f>
        <v>1.04</v>
      </c>
      <c r="M3491" s="6">
        <f ca="1">IFERROR(__xludf.DUMMYFUNCTION("IFERROR(GOOGLEFINANCE(B3491,""change""),0)"),0.51)</f>
        <v>0.51</v>
      </c>
      <c r="N3491" s="6">
        <v>2</v>
      </c>
      <c r="O3491" s="7">
        <v>45536</v>
      </c>
      <c r="P3491" s="6">
        <v>4.07</v>
      </c>
      <c r="Q3491" s="6">
        <v>360.86</v>
      </c>
      <c r="R3491" s="7">
        <v>45536</v>
      </c>
      <c r="S3491" s="6">
        <v>65.510000000000005</v>
      </c>
      <c r="T3491" s="6">
        <v>17.940000000000001</v>
      </c>
      <c r="U3491" s="7">
        <v>45536</v>
      </c>
      <c r="V3491" s="6">
        <v>20.13</v>
      </c>
      <c r="W3491" s="6">
        <f ca="1">IFERROR(__xludf.DUMMYFUNCTION("IFERROR(GOOGLEFINANCE(B3491,""pe""),V3491)"),20.04)</f>
        <v>20.04</v>
      </c>
      <c r="X3491" s="9"/>
      <c r="Y3491" s="6">
        <v>9.5500000000000007</v>
      </c>
      <c r="Z3491" s="6">
        <v>2</v>
      </c>
      <c r="AA3491" s="8">
        <v>45352</v>
      </c>
      <c r="AB3491" s="4">
        <v>0.16</v>
      </c>
      <c r="AC3491" s="6">
        <v>58.09</v>
      </c>
      <c r="AD3491" s="6">
        <v>67.849999999999994</v>
      </c>
      <c r="AE3491" s="1">
        <v>0</v>
      </c>
      <c r="AF3491" s="1">
        <f ca="1">IFERROR(__xludf.DUMMYFUNCTION("IFERROR(GOOGLEFINANCE(TRIM(F3491)&amp;"":"" &amp; TRIM(B3491),""high52""),AE3491)"),65.5)</f>
        <v>65.5</v>
      </c>
      <c r="AG3491" s="1">
        <v>0</v>
      </c>
      <c r="AH3491" s="1">
        <f ca="1">IFERROR(__xludf.DUMMYFUNCTION("IFERROR(GOOGLEFINANCE(TRIM(F3491)&amp;"":"" &amp; TRIM(B3491),""low52""),AE3491)"),21.01)</f>
        <v>21.01</v>
      </c>
      <c r="AI3491" s="1">
        <f ca="1">IFERROR(__xludf.DUMMYFUNCTION("IFERROR(GOOGLEFINANCE(B3491,""eps""),0)"),2.47)</f>
        <v>2.4700000000000002</v>
      </c>
      <c r="AJ3491" s="1"/>
      <c r="AK3491" s="1" t="s">
        <v>10689</v>
      </c>
      <c r="AL3491" s="1" t="b">
        <f>ISNUMBER(AA3491)</f>
        <v>1</v>
      </c>
    </row>
    <row r="3492" spans="1:38" ht="15" x14ac:dyDescent="0.25">
      <c r="A3492" s="1" t="s">
        <v>10690</v>
      </c>
      <c r="B3492" s="1" t="s">
        <v>10691</v>
      </c>
      <c r="C3492" s="1" t="s">
        <v>487</v>
      </c>
      <c r="D3492" s="1" t="s">
        <v>487</v>
      </c>
      <c r="E3492" s="6">
        <v>19573.84</v>
      </c>
      <c r="F3492" s="1" t="s">
        <v>40</v>
      </c>
      <c r="G3492" s="6">
        <f ca="1">IFERROR(__xludf.DUMMYFUNCTION("iferror(GOOGLEFINANCE(TRIM(F3492)&amp;"":"" &amp; TRIM(B3492), ""price""),0
)"),899)</f>
        <v>899</v>
      </c>
      <c r="H3492" s="6">
        <v>1397.2</v>
      </c>
      <c r="I3492" s="6">
        <f t="shared" ca="1" si="0"/>
        <v>899</v>
      </c>
      <c r="J3492" s="6">
        <f ca="1">IFERROR(__xludf.DUMMYFUNCTION("IFERROR(GOOGLEFINANCE(B3492, ""volume""), 0)"),337412)</f>
        <v>337412</v>
      </c>
      <c r="K3492" s="6">
        <v>0.28000000000000003</v>
      </c>
      <c r="L3492" s="6">
        <f ca="1">IFERROR(__xludf.DUMMYFUNCTION("IFERROR(GOOGLEFINANCE(B3492,""changepct""),K3492)"),0)</f>
        <v>0</v>
      </c>
      <c r="M3492" s="6">
        <f ca="1">IFERROR(__xludf.DUMMYFUNCTION("IFERROR(GOOGLEFINANCE(B3492,""change""),0)"),0)</f>
        <v>0</v>
      </c>
      <c r="N3492" s="6">
        <v>2</v>
      </c>
      <c r="O3492" s="7">
        <v>45536</v>
      </c>
      <c r="P3492" s="6">
        <v>2281.81</v>
      </c>
      <c r="Q3492" s="6">
        <v>20608.91</v>
      </c>
      <c r="R3492" s="7">
        <v>45536</v>
      </c>
      <c r="S3492" s="6">
        <v>2126.0700000000002</v>
      </c>
      <c r="T3492" s="6">
        <v>54.38</v>
      </c>
      <c r="U3492" s="7">
        <v>45536</v>
      </c>
      <c r="V3492" s="6">
        <v>361.05</v>
      </c>
      <c r="W3492" s="6">
        <f ca="1">IFERROR(__xludf.DUMMYFUNCTION("IFERROR(GOOGLEFINANCE(B3492,""pe""),V3492)"),163.18)</f>
        <v>163.18</v>
      </c>
      <c r="X3492" s="12"/>
      <c r="Y3492" s="6">
        <v>30.75</v>
      </c>
      <c r="Z3492" s="6">
        <v>2</v>
      </c>
      <c r="AA3492" s="8">
        <v>45352</v>
      </c>
      <c r="AB3492" s="4">
        <v>3.06</v>
      </c>
      <c r="AC3492" s="6">
        <v>4.84</v>
      </c>
      <c r="AD3492" s="6">
        <v>1.62</v>
      </c>
      <c r="AE3492" s="1">
        <v>0</v>
      </c>
      <c r="AF3492" s="1">
        <f ca="1">IFERROR(__xludf.DUMMYFUNCTION("IFERROR(GOOGLEFINANCE(TRIM(F3492)&amp;"":"" &amp; TRIM(B3492),""high52""),AE3492)"),1339.5)</f>
        <v>1339.5</v>
      </c>
      <c r="AG3492" s="1">
        <v>0</v>
      </c>
      <c r="AH3492" s="1">
        <f ca="1">IFERROR(__xludf.DUMMYFUNCTION("IFERROR(GOOGLEFINANCE(TRIM(F3492)&amp;"":"" &amp; TRIM(B3492),""low52""),AE3492)"),775.2)</f>
        <v>775.2</v>
      </c>
      <c r="AI3492" s="1">
        <f ca="1">IFERROR(__xludf.DUMMYFUNCTION("IFERROR(GOOGLEFINANCE(B3492,""eps""),0)"),5.51)</f>
        <v>5.51</v>
      </c>
      <c r="AJ3492" s="1"/>
      <c r="AK3492" s="1" t="s">
        <v>10692</v>
      </c>
      <c r="AL3492" s="9">
        <f t="shared" ref="AL3492:AL3495" si="332">IF(AA3492&lt;&gt;AB3492,1,0)</f>
        <v>1</v>
      </c>
    </row>
    <row r="3493" spans="1:38" ht="15" x14ac:dyDescent="0.25">
      <c r="A3493" s="1" t="s">
        <v>10693</v>
      </c>
      <c r="B3493" s="1" t="s">
        <v>10694</v>
      </c>
      <c r="C3493" s="1" t="s">
        <v>227</v>
      </c>
      <c r="D3493" s="1" t="s">
        <v>227</v>
      </c>
      <c r="E3493" s="6">
        <v>208.47</v>
      </c>
      <c r="F3493" s="1" t="s">
        <v>40</v>
      </c>
      <c r="G3493" s="6">
        <f ca="1">IFERROR(__xludf.DUMMYFUNCTION("iferror(GOOGLEFINANCE(TRIM(F3493)&amp;"":"" &amp; TRIM(B3493), ""price""),0
)"),47.78)</f>
        <v>47.78</v>
      </c>
      <c r="H3493" s="6">
        <v>71.88</v>
      </c>
      <c r="I3493" s="6">
        <f t="shared" ca="1" si="0"/>
        <v>47.78</v>
      </c>
      <c r="J3493" s="6">
        <f ca="1">IFERROR(__xludf.DUMMYFUNCTION("IFERROR(GOOGLEFINANCE(B3493, ""volume""), 0)"),5011)</f>
        <v>5011</v>
      </c>
      <c r="K3493" s="6">
        <v>1.27</v>
      </c>
      <c r="L3493" s="6">
        <f ca="1">IFERROR(__xludf.DUMMYFUNCTION("IFERROR(GOOGLEFINANCE(B3493,""changepct""),K3493)"),1.7)</f>
        <v>1.7</v>
      </c>
      <c r="M3493" s="6">
        <f ca="1">IFERROR(__xludf.DUMMYFUNCTION("IFERROR(GOOGLEFINANCE(B3493,""change""),0)"),0.8)</f>
        <v>0.8</v>
      </c>
      <c r="N3493" s="6">
        <v>1</v>
      </c>
      <c r="O3493" s="7">
        <v>45536</v>
      </c>
      <c r="P3493" s="6">
        <v>349.39</v>
      </c>
      <c r="Q3493" s="6">
        <v>537.63</v>
      </c>
      <c r="R3493" s="7">
        <v>45536</v>
      </c>
      <c r="S3493" s="6">
        <v>1165.73</v>
      </c>
      <c r="T3493" s="6">
        <v>12.55</v>
      </c>
      <c r="U3493" s="7">
        <v>45536</v>
      </c>
      <c r="V3493" s="6">
        <v>16.61</v>
      </c>
      <c r="W3493" s="6">
        <f ca="1">IFERROR(__xludf.DUMMYFUNCTION("IFERROR(GOOGLEFINANCE(B3493,""pe""),V3493)"),8.92)</f>
        <v>8.92</v>
      </c>
      <c r="X3493" s="6">
        <v>6.95</v>
      </c>
      <c r="Y3493" s="6">
        <v>0.94</v>
      </c>
      <c r="Z3493" s="6">
        <v>1</v>
      </c>
      <c r="AA3493" s="8">
        <v>45352</v>
      </c>
      <c r="AB3493" s="4">
        <v>1.52</v>
      </c>
      <c r="AC3493" s="6">
        <v>7.25</v>
      </c>
      <c r="AD3493" s="6">
        <v>14.86</v>
      </c>
      <c r="AE3493" s="1">
        <v>0</v>
      </c>
      <c r="AF3493" s="1">
        <f ca="1">IFERROR(__xludf.DUMMYFUNCTION("IFERROR(GOOGLEFINANCE(TRIM(F3493)&amp;"":"" &amp; TRIM(B3493),""high52""),AE3493)"),81)</f>
        <v>81</v>
      </c>
      <c r="AG3493" s="1">
        <v>0</v>
      </c>
      <c r="AH3493" s="1">
        <f ca="1">IFERROR(__xludf.DUMMYFUNCTION("IFERROR(GOOGLEFINANCE(TRIM(F3493)&amp;"":"" &amp; TRIM(B3493),""low52""),AE3493)"),39.99)</f>
        <v>39.99</v>
      </c>
      <c r="AI3493" s="1">
        <f ca="1">IFERROR(__xludf.DUMMYFUNCTION("IFERROR(GOOGLEFINANCE(B3493,""eps""),0)"),5.36)</f>
        <v>5.36</v>
      </c>
      <c r="AJ3493" s="1"/>
      <c r="AK3493" s="12"/>
      <c r="AL3493" s="9">
        <f t="shared" si="332"/>
        <v>1</v>
      </c>
    </row>
    <row r="3494" spans="1:38" ht="15" x14ac:dyDescent="0.25">
      <c r="A3494" s="1" t="s">
        <v>10695</v>
      </c>
      <c r="B3494" s="1" t="s">
        <v>10696</v>
      </c>
      <c r="C3494" s="1" t="s">
        <v>186</v>
      </c>
      <c r="D3494" s="1" t="s">
        <v>186</v>
      </c>
      <c r="E3494" s="6">
        <v>54.72</v>
      </c>
      <c r="F3494" s="1" t="s">
        <v>40</v>
      </c>
      <c r="G3494" s="6">
        <f ca="1">IFERROR(__xludf.DUMMYFUNCTION("iferror(GOOGLEFINANCE(TRIM(F3494)&amp;"":"" &amp; TRIM(B3494), ""price""),0
)"),0)</f>
        <v>0</v>
      </c>
      <c r="H3494" s="6">
        <v>115</v>
      </c>
      <c r="I3494" s="6">
        <f t="shared" ca="1" si="0"/>
        <v>115</v>
      </c>
      <c r="J3494" s="6">
        <f ca="1">IFERROR(__xludf.DUMMYFUNCTION("IFERROR(GOOGLEFINANCE(B3494, ""volume""), 0)"),0)</f>
        <v>0</v>
      </c>
      <c r="K3494" s="9"/>
      <c r="L3494" s="6" t="str">
        <f ca="1">IFERROR(__xludf.DUMMYFUNCTION("IFERROR(GOOGLEFINANCE(B3494,""changepct""),K3494)"),"")</f>
        <v/>
      </c>
      <c r="M3494" s="6">
        <f ca="1">IFERROR(__xludf.DUMMYFUNCTION("IFERROR(GOOGLEFINANCE(B3494,""change""),0)"),0)</f>
        <v>0</v>
      </c>
      <c r="N3494" s="6">
        <v>1</v>
      </c>
      <c r="O3494" s="7">
        <v>45536</v>
      </c>
      <c r="P3494" s="6">
        <v>13.12</v>
      </c>
      <c r="Q3494" s="6">
        <v>67.84</v>
      </c>
      <c r="R3494" s="7">
        <v>45352</v>
      </c>
      <c r="S3494" s="6">
        <v>19.54</v>
      </c>
      <c r="T3494" s="6">
        <v>2.41</v>
      </c>
      <c r="U3494" s="7">
        <v>45352</v>
      </c>
      <c r="V3494" s="6">
        <v>22.72</v>
      </c>
      <c r="W3494" s="6">
        <f ca="1">IFERROR(__xludf.DUMMYFUNCTION("IFERROR(GOOGLEFINANCE(B3494,""pe""),V3494)"),22.72)</f>
        <v>22.72</v>
      </c>
      <c r="X3494" s="9"/>
      <c r="Y3494" s="6">
        <v>3.36</v>
      </c>
      <c r="Z3494" s="6">
        <v>1</v>
      </c>
      <c r="AA3494" s="8">
        <v>45352</v>
      </c>
      <c r="AB3494" s="4">
        <v>0.62</v>
      </c>
      <c r="AC3494" s="6">
        <v>21.77</v>
      </c>
      <c r="AD3494" s="6">
        <v>19.010000000000002</v>
      </c>
      <c r="AE3494" s="1">
        <v>0</v>
      </c>
      <c r="AF3494" s="1">
        <f ca="1">IFERROR(__xludf.DUMMYFUNCTION("IFERROR(GOOGLEFINANCE(TRIM(F3494)&amp;"":"" &amp; TRIM(B3494),""high52""),AE3494)"),0)</f>
        <v>0</v>
      </c>
      <c r="AG3494" s="1">
        <v>0</v>
      </c>
      <c r="AH3494" s="1">
        <f ca="1">IFERROR(__xludf.DUMMYFUNCTION("IFERROR(GOOGLEFINANCE(TRIM(F3494)&amp;"":"" &amp; TRIM(B3494),""low52""),AE3494)"),0)</f>
        <v>0</v>
      </c>
      <c r="AI3494" s="1">
        <f ca="1">IFERROR(__xludf.DUMMYFUNCTION("IFERROR(GOOGLEFINANCE(B3494,""eps""),0)"),0)</f>
        <v>0</v>
      </c>
      <c r="AJ3494" s="1"/>
      <c r="AK3494" s="6">
        <v>20.13</v>
      </c>
      <c r="AL3494" s="9">
        <f t="shared" si="332"/>
        <v>1</v>
      </c>
    </row>
    <row r="3495" spans="1:38" ht="15" x14ac:dyDescent="0.25">
      <c r="A3495" s="1" t="s">
        <v>10697</v>
      </c>
      <c r="B3495" s="1" t="s">
        <v>10698</v>
      </c>
      <c r="C3495" s="1" t="s">
        <v>1546</v>
      </c>
      <c r="D3495" s="1" t="s">
        <v>1546</v>
      </c>
      <c r="E3495" s="6">
        <v>61.72</v>
      </c>
      <c r="F3495" s="1" t="s">
        <v>53</v>
      </c>
      <c r="G3495" s="6">
        <f ca="1">IFERROR(__xludf.DUMMYFUNCTION("iferror(GOOGLEFINANCE(TRIM(F3495)&amp;"":"" &amp; TRIM(B3495), ""price""),0
)"),0)</f>
        <v>0</v>
      </c>
      <c r="H3495" s="6">
        <v>108.55</v>
      </c>
      <c r="I3495" s="6">
        <f t="shared" ca="1" si="0"/>
        <v>108.55</v>
      </c>
      <c r="J3495" s="6">
        <f ca="1">IFERROR(__xludf.DUMMYFUNCTION("IFERROR(GOOGLEFINANCE(B3495, ""volume""), 0)"),0)</f>
        <v>0</v>
      </c>
      <c r="K3495" s="6">
        <v>-2.21</v>
      </c>
      <c r="L3495" s="6">
        <f ca="1">IFERROR(__xludf.DUMMYFUNCTION("IFERROR(GOOGLEFINANCE(B3495,""changepct""),K3495)"),-2.21)</f>
        <v>-2.21</v>
      </c>
      <c r="M3495" s="6">
        <f ca="1">IFERROR(__xludf.DUMMYFUNCTION("IFERROR(GOOGLEFINANCE(B3495,""change""),0)"),0)</f>
        <v>0</v>
      </c>
      <c r="N3495" s="6">
        <v>1</v>
      </c>
      <c r="O3495" s="7">
        <v>45536</v>
      </c>
      <c r="P3495" s="6">
        <v>8.91</v>
      </c>
      <c r="Q3495" s="6">
        <v>68.38</v>
      </c>
      <c r="R3495" s="7">
        <v>45536</v>
      </c>
      <c r="S3495" s="6">
        <v>86.74</v>
      </c>
      <c r="T3495" s="6">
        <v>4.7300000000000004</v>
      </c>
      <c r="U3495" s="7">
        <v>45536</v>
      </c>
      <c r="V3495" s="6">
        <v>13.05</v>
      </c>
      <c r="W3495" s="6">
        <f ca="1">IFERROR(__xludf.DUMMYFUNCTION("IFERROR(GOOGLEFINANCE(B3495,""pe""),V3495)"),13.05)</f>
        <v>13.05</v>
      </c>
      <c r="X3495" s="6">
        <v>0.43</v>
      </c>
      <c r="Y3495" s="6">
        <v>2.31</v>
      </c>
      <c r="Z3495" s="6">
        <v>1</v>
      </c>
      <c r="AA3495" s="8">
        <v>45352</v>
      </c>
      <c r="AB3495" s="4">
        <v>0.28000000000000003</v>
      </c>
      <c r="AC3495" s="6">
        <v>12.02</v>
      </c>
      <c r="AD3495" s="6">
        <v>16.559999999999999</v>
      </c>
      <c r="AE3495" s="1">
        <v>0</v>
      </c>
      <c r="AF3495" s="1">
        <f ca="1">IFERROR(__xludf.DUMMYFUNCTION("IFERROR(GOOGLEFINANCE(TRIM(F3495)&amp;"":"" &amp; TRIM(B3495),""high52""),AE3495)"),0)</f>
        <v>0</v>
      </c>
      <c r="AG3495" s="1">
        <v>0</v>
      </c>
      <c r="AH3495" s="1">
        <f ca="1">IFERROR(__xludf.DUMMYFUNCTION("IFERROR(GOOGLEFINANCE(TRIM(F3495)&amp;"":"" &amp; TRIM(B3495),""low52""),AE3495)"),0)</f>
        <v>0</v>
      </c>
      <c r="AI3495" s="1">
        <f ca="1">IFERROR(__xludf.DUMMYFUNCTION("IFERROR(GOOGLEFINANCE(B3495,""eps""),0)"),0)</f>
        <v>0</v>
      </c>
      <c r="AJ3495" s="1"/>
      <c r="AK3495" s="1" t="s">
        <v>10699</v>
      </c>
      <c r="AL3495" s="9">
        <f t="shared" si="332"/>
        <v>1</v>
      </c>
    </row>
    <row r="3496" spans="1:38" ht="15" x14ac:dyDescent="0.25">
      <c r="A3496" s="1" t="s">
        <v>10700</v>
      </c>
      <c r="B3496" s="1" t="s">
        <v>10701</v>
      </c>
      <c r="C3496" s="1" t="s">
        <v>52</v>
      </c>
      <c r="D3496" s="1" t="s">
        <v>52</v>
      </c>
      <c r="E3496" s="6">
        <v>2031.63</v>
      </c>
      <c r="F3496" s="1" t="s">
        <v>40</v>
      </c>
      <c r="G3496" s="6">
        <f ca="1">IFERROR(__xludf.DUMMYFUNCTION("iferror(GOOGLEFINANCE(TRIM(F3496)&amp;"":"" &amp; TRIM(B3496), ""price""),0
)"),202)</f>
        <v>202</v>
      </c>
      <c r="H3496" s="6">
        <v>380.1</v>
      </c>
      <c r="I3496" s="6">
        <f t="shared" ca="1" si="0"/>
        <v>202</v>
      </c>
      <c r="J3496" s="6">
        <f ca="1">IFERROR(__xludf.DUMMYFUNCTION("IFERROR(GOOGLEFINANCE(B3496, ""volume""), 0)"),42891)</f>
        <v>42891</v>
      </c>
      <c r="K3496" s="6">
        <v>-0.56000000000000005</v>
      </c>
      <c r="L3496" s="6">
        <f ca="1">IFERROR(__xludf.DUMMYFUNCTION("IFERROR(GOOGLEFINANCE(B3496,""changepct""),K3496)"),-3.5)</f>
        <v>-3.5</v>
      </c>
      <c r="M3496" s="6">
        <f ca="1">IFERROR(__xludf.DUMMYFUNCTION("IFERROR(GOOGLEFINANCE(B3496,""change""),0)"),-7.33)</f>
        <v>-7.33</v>
      </c>
      <c r="N3496" s="6">
        <v>2</v>
      </c>
      <c r="O3496" s="7">
        <v>45536</v>
      </c>
      <c r="P3496" s="6">
        <v>131.97999999999999</v>
      </c>
      <c r="Q3496" s="6">
        <v>2135.23</v>
      </c>
      <c r="R3496" s="7">
        <v>45536</v>
      </c>
      <c r="S3496" s="6">
        <v>438.26</v>
      </c>
      <c r="T3496" s="6">
        <v>54.4</v>
      </c>
      <c r="U3496" s="7">
        <v>45536</v>
      </c>
      <c r="V3496" s="6">
        <v>37.340000000000003</v>
      </c>
      <c r="W3496" s="6">
        <f ca="1">IFERROR(__xludf.DUMMYFUNCTION("IFERROR(GOOGLEFINANCE(B3496,""pe""),V3496)"),28.63)</f>
        <v>28.63</v>
      </c>
      <c r="X3496" s="9"/>
      <c r="Y3496" s="6">
        <v>9.4</v>
      </c>
      <c r="Z3496" s="6">
        <v>2</v>
      </c>
      <c r="AA3496" s="17">
        <v>45352</v>
      </c>
      <c r="AB3496" s="18">
        <v>0.8</v>
      </c>
      <c r="AC3496" s="6">
        <v>26.15</v>
      </c>
      <c r="AD3496" s="6">
        <v>26.45</v>
      </c>
      <c r="AE3496" s="1">
        <v>0</v>
      </c>
      <c r="AF3496" s="1">
        <f ca="1">IFERROR(__xludf.DUMMYFUNCTION("IFERROR(GOOGLEFINANCE(TRIM(F3496)&amp;"":"" &amp; TRIM(B3496),""high52""),AE3496)"),356)</f>
        <v>356</v>
      </c>
      <c r="AG3496" s="1">
        <v>0</v>
      </c>
      <c r="AH3496" s="1">
        <f ca="1">IFERROR(__xludf.DUMMYFUNCTION("IFERROR(GOOGLEFINANCE(TRIM(F3496)&amp;"":"" &amp; TRIM(B3496),""low52""),AE3496)"),180.37)</f>
        <v>180.37</v>
      </c>
      <c r="AI3496" s="1">
        <f ca="1">IFERROR(__xludf.DUMMYFUNCTION("IFERROR(GOOGLEFINANCE(B3496,""eps""),0)"),7.06)</f>
        <v>7.06</v>
      </c>
      <c r="AJ3496" s="1"/>
      <c r="AK3496" s="1" t="s">
        <v>10702</v>
      </c>
      <c r="AL3496" s="1" t="b">
        <f>ISNUMBER(AA3496)</f>
        <v>1</v>
      </c>
    </row>
    <row r="3497" spans="1:38" ht="15" x14ac:dyDescent="0.25">
      <c r="A3497" s="1" t="s">
        <v>10703</v>
      </c>
      <c r="B3497" s="1" t="s">
        <v>10704</v>
      </c>
      <c r="C3497" s="1" t="s">
        <v>697</v>
      </c>
      <c r="D3497" s="1" t="s">
        <v>697</v>
      </c>
      <c r="E3497" s="6">
        <v>235.54</v>
      </c>
      <c r="F3497" s="1" t="s">
        <v>40</v>
      </c>
      <c r="G3497" s="6">
        <f ca="1">IFERROR(__xludf.DUMMYFUNCTION("iferror(GOOGLEFINANCE(TRIM(F3497)&amp;"":"" &amp; TRIM(B3497), ""price""),0
)"),4.26)</f>
        <v>4.26</v>
      </c>
      <c r="H3497" s="6">
        <v>107.51</v>
      </c>
      <c r="I3497" s="6">
        <f t="shared" ca="1" si="0"/>
        <v>4.26</v>
      </c>
      <c r="J3497" s="6">
        <f ca="1">IFERROR(__xludf.DUMMYFUNCTION("IFERROR(GOOGLEFINANCE(B3497, ""volume""), 0)"),531311)</f>
        <v>531311</v>
      </c>
      <c r="K3497" s="6">
        <v>-0.32</v>
      </c>
      <c r="L3497" s="6">
        <f ca="1">IFERROR(__xludf.DUMMYFUNCTION("IFERROR(GOOGLEFINANCE(B3497,""changepct""),K3497)"),-6.17)</f>
        <v>-6.17</v>
      </c>
      <c r="M3497" s="6">
        <f ca="1">IFERROR(__xludf.DUMMYFUNCTION("IFERROR(GOOGLEFINANCE(B3497,""change""),0)"),-0.28)</f>
        <v>-0.28000000000000003</v>
      </c>
      <c r="N3497" s="6">
        <v>1</v>
      </c>
      <c r="O3497" s="7">
        <v>45536</v>
      </c>
      <c r="P3497" s="6">
        <v>4.05</v>
      </c>
      <c r="Q3497" s="6">
        <v>239.59</v>
      </c>
      <c r="R3497" s="7">
        <v>45536</v>
      </c>
      <c r="S3497" s="6">
        <v>59.04</v>
      </c>
      <c r="T3497" s="6">
        <v>5.81</v>
      </c>
      <c r="U3497" s="7">
        <v>45536</v>
      </c>
      <c r="V3497" s="6">
        <v>40.51</v>
      </c>
      <c r="W3497" s="6">
        <f ca="1">IFERROR(__xludf.DUMMYFUNCTION("IFERROR(GOOGLEFINANCE(B3497,""pe""),V3497)"),32.19)</f>
        <v>32.19</v>
      </c>
      <c r="X3497" s="6">
        <v>2.68</v>
      </c>
      <c r="Y3497" s="6">
        <v>2.9</v>
      </c>
      <c r="Z3497" s="6">
        <v>1</v>
      </c>
      <c r="AA3497" s="8">
        <v>45352</v>
      </c>
      <c r="AB3497" s="4">
        <v>0.21</v>
      </c>
      <c r="AC3497" s="6">
        <v>15.73</v>
      </c>
      <c r="AD3497" s="6">
        <v>20.69</v>
      </c>
      <c r="AE3497" s="1">
        <v>0</v>
      </c>
      <c r="AF3497" s="1">
        <f ca="1">IFERROR(__xludf.DUMMYFUNCTION("IFERROR(GOOGLEFINANCE(TRIM(F3497)&amp;"":"" &amp; TRIM(B3497),""high52""),AE3497)"),6.83)</f>
        <v>6.83</v>
      </c>
      <c r="AG3497" s="1">
        <v>0</v>
      </c>
      <c r="AH3497" s="1">
        <f ca="1">IFERROR(__xludf.DUMMYFUNCTION("IFERROR(GOOGLEFINANCE(TRIM(F3497)&amp;"":"" &amp; TRIM(B3497),""low52""),AE3497)"),3.03)</f>
        <v>3.03</v>
      </c>
      <c r="AI3497" s="1">
        <f ca="1">IFERROR(__xludf.DUMMYFUNCTION("IFERROR(GOOGLEFINANCE(B3497,""eps""),0)"),0.13)</f>
        <v>0.13</v>
      </c>
      <c r="AJ3497" s="1"/>
      <c r="AK3497" s="1" t="s">
        <v>10705</v>
      </c>
      <c r="AL3497" s="9">
        <f t="shared" ref="AL3497:AL3510" si="333">IF(AA3497&lt;&gt;AB3497,1,0)</f>
        <v>1</v>
      </c>
    </row>
    <row r="3498" spans="1:38" ht="15" x14ac:dyDescent="0.25">
      <c r="A3498" s="1" t="s">
        <v>10706</v>
      </c>
      <c r="B3498" s="1" t="s">
        <v>10707</v>
      </c>
      <c r="C3498" s="1" t="s">
        <v>208</v>
      </c>
      <c r="D3498" s="1" t="s">
        <v>208</v>
      </c>
      <c r="E3498" s="6">
        <v>716.49</v>
      </c>
      <c r="F3498" s="1" t="s">
        <v>40</v>
      </c>
      <c r="G3498" s="6">
        <f ca="1">IFERROR(__xludf.DUMMYFUNCTION("iferror(GOOGLEFINANCE(TRIM(F3498)&amp;"":"" &amp; TRIM(B3498), ""price""),0
)"),429.5)</f>
        <v>429.5</v>
      </c>
      <c r="H3498" s="6">
        <v>678.95</v>
      </c>
      <c r="I3498" s="6">
        <f t="shared" ca="1" si="0"/>
        <v>429.5</v>
      </c>
      <c r="J3498" s="6">
        <f ca="1">IFERROR(__xludf.DUMMYFUNCTION("IFERROR(GOOGLEFINANCE(B3498, ""volume""), 0)"),2026)</f>
        <v>2026</v>
      </c>
      <c r="K3498" s="6">
        <v>0.91</v>
      </c>
      <c r="L3498" s="6">
        <f ca="1">IFERROR(__xludf.DUMMYFUNCTION("IFERROR(GOOGLEFINANCE(B3498,""changepct""),K3498)"),-1.29)</f>
        <v>-1.29</v>
      </c>
      <c r="M3498" s="6">
        <f ca="1">IFERROR(__xludf.DUMMYFUNCTION("IFERROR(GOOGLEFINANCE(B3498,""change""),0)"),-5.6)</f>
        <v>-5.6</v>
      </c>
      <c r="N3498" s="6">
        <v>2</v>
      </c>
      <c r="O3498" s="7">
        <v>45536</v>
      </c>
      <c r="P3498" s="6">
        <v>33.479999999999997</v>
      </c>
      <c r="Q3498" s="7">
        <v>45536</v>
      </c>
      <c r="R3498" s="6">
        <v>21.85</v>
      </c>
      <c r="S3498" s="6">
        <v>2.72</v>
      </c>
      <c r="T3498" s="6">
        <v>0.24</v>
      </c>
      <c r="U3498" s="6">
        <v>2</v>
      </c>
      <c r="V3498" s="7">
        <v>45352</v>
      </c>
      <c r="W3498" s="6">
        <f ca="1">IFERROR(__xludf.DUMMYFUNCTION("IFERROR(GOOGLEFINANCE(B3498,""pe""),V3498)"),11.8)</f>
        <v>11.8</v>
      </c>
      <c r="X3498" s="6">
        <v>0</v>
      </c>
      <c r="Y3498" s="6">
        <v>1.54</v>
      </c>
      <c r="Z3498" s="6">
        <v>2.12</v>
      </c>
      <c r="AA3498" s="3" t="s">
        <v>10708</v>
      </c>
      <c r="AB3498" s="11"/>
      <c r="AC3498" s="9"/>
      <c r="AD3498" s="9"/>
      <c r="AE3498" s="1">
        <v>0</v>
      </c>
      <c r="AF3498" s="1">
        <f ca="1">IFERROR(__xludf.DUMMYFUNCTION("IFERROR(GOOGLEFINANCE(TRIM(F3498)&amp;"":"" &amp; TRIM(B3498),""high52""),AE3498)"),767)</f>
        <v>767</v>
      </c>
      <c r="AG3498" s="1">
        <v>0</v>
      </c>
      <c r="AH3498" s="1">
        <f ca="1">IFERROR(__xludf.DUMMYFUNCTION("IFERROR(GOOGLEFINANCE(TRIM(F3498)&amp;"":"" &amp; TRIM(B3498),""low52""),AE3498)"),424.45)</f>
        <v>424.45</v>
      </c>
      <c r="AI3498" s="1">
        <f ca="1">IFERROR(__xludf.DUMMYFUNCTION("IFERROR(GOOGLEFINANCE(B3498,""eps""),0)"),36.41)</f>
        <v>36.409999999999997</v>
      </c>
      <c r="AJ3498" s="1"/>
      <c r="AK3498" s="1" t="s">
        <v>10709</v>
      </c>
      <c r="AL3498" s="9">
        <f t="shared" si="333"/>
        <v>1</v>
      </c>
    </row>
    <row r="3499" spans="1:38" ht="15" x14ac:dyDescent="0.25">
      <c r="A3499" s="1" t="s">
        <v>10710</v>
      </c>
      <c r="B3499" s="1" t="s">
        <v>10711</v>
      </c>
      <c r="C3499" s="1" t="s">
        <v>359</v>
      </c>
      <c r="D3499" s="1" t="s">
        <v>359</v>
      </c>
      <c r="E3499" s="6">
        <v>70.069999999999993</v>
      </c>
      <c r="F3499" s="1" t="s">
        <v>40</v>
      </c>
      <c r="G3499" s="6">
        <f ca="1">IFERROR(__xludf.DUMMYFUNCTION("iferror(GOOGLEFINANCE(TRIM(F3499)&amp;"":"" &amp; TRIM(B3499), ""price""),0
)"),71.75)</f>
        <v>71.75</v>
      </c>
      <c r="H3499" s="6">
        <v>38.32</v>
      </c>
      <c r="I3499" s="6">
        <f t="shared" ca="1" si="0"/>
        <v>71.75</v>
      </c>
      <c r="J3499" s="6">
        <f ca="1">IFERROR(__xludf.DUMMYFUNCTION("IFERROR(GOOGLEFINANCE(B3499, ""volume""), 0)"),525973)</f>
        <v>525973</v>
      </c>
      <c r="K3499" s="6">
        <v>1.1599999999999999</v>
      </c>
      <c r="L3499" s="6">
        <f ca="1">IFERROR(__xludf.DUMMYFUNCTION("IFERROR(GOOGLEFINANCE(B3499,""changepct""),K3499)"),0.67)</f>
        <v>0.67</v>
      </c>
      <c r="M3499" s="6">
        <f ca="1">IFERROR(__xludf.DUMMYFUNCTION("IFERROR(GOOGLEFINANCE(B3499,""change""),0)"),0.48)</f>
        <v>0.48</v>
      </c>
      <c r="N3499" s="6">
        <v>1</v>
      </c>
      <c r="O3499" s="7">
        <v>45536</v>
      </c>
      <c r="P3499" s="9"/>
      <c r="Q3499" s="6">
        <v>70.069999999999993</v>
      </c>
      <c r="R3499" s="7">
        <v>45536</v>
      </c>
      <c r="S3499" s="6">
        <v>36.51</v>
      </c>
      <c r="T3499" s="6">
        <v>3.52</v>
      </c>
      <c r="U3499" s="7">
        <v>45536</v>
      </c>
      <c r="V3499" s="6">
        <v>19.88</v>
      </c>
      <c r="W3499" s="6">
        <f ca="1">IFERROR(__xludf.DUMMYFUNCTION("IFERROR(GOOGLEFINANCE(B3499,""pe""),V3499)"),28.26)</f>
        <v>28.26</v>
      </c>
      <c r="X3499" s="6">
        <v>0.96</v>
      </c>
      <c r="Y3499" s="6">
        <v>1.26</v>
      </c>
      <c r="Z3499" s="6">
        <v>1</v>
      </c>
      <c r="AA3499" s="8">
        <v>45352</v>
      </c>
      <c r="AB3499" s="4">
        <v>0.13</v>
      </c>
      <c r="AC3499" s="6">
        <v>7.43</v>
      </c>
      <c r="AD3499" s="6">
        <v>10.1</v>
      </c>
      <c r="AE3499" s="1">
        <v>0</v>
      </c>
      <c r="AF3499" s="1">
        <f ca="1">IFERROR(__xludf.DUMMYFUNCTION("IFERROR(GOOGLEFINANCE(TRIM(F3499)&amp;"":"" &amp; TRIM(B3499),""high52""),AE3499)"),82.28)</f>
        <v>82.28</v>
      </c>
      <c r="AG3499" s="1">
        <v>0</v>
      </c>
      <c r="AH3499" s="1">
        <f ca="1">IFERROR(__xludf.DUMMYFUNCTION("IFERROR(GOOGLEFINANCE(TRIM(F3499)&amp;"":"" &amp; TRIM(B3499),""low52""),AE3499)"),33)</f>
        <v>33</v>
      </c>
      <c r="AI3499" s="1">
        <f ca="1">IFERROR(__xludf.DUMMYFUNCTION("IFERROR(GOOGLEFINANCE(B3499,""eps""),0)"),2.54)</f>
        <v>2.54</v>
      </c>
      <c r="AJ3499" s="1"/>
      <c r="AK3499" s="1" t="s">
        <v>10712</v>
      </c>
      <c r="AL3499" s="9">
        <f t="shared" si="333"/>
        <v>1</v>
      </c>
    </row>
    <row r="3500" spans="1:38" ht="15" x14ac:dyDescent="0.25">
      <c r="A3500" s="1" t="s">
        <v>10713</v>
      </c>
      <c r="B3500" s="1" t="s">
        <v>10714</v>
      </c>
      <c r="C3500" s="1" t="s">
        <v>227</v>
      </c>
      <c r="D3500" s="1" t="s">
        <v>227</v>
      </c>
      <c r="E3500" s="6">
        <v>94.02</v>
      </c>
      <c r="F3500" s="1" t="s">
        <v>40</v>
      </c>
      <c r="G3500" s="6">
        <f ca="1">IFERROR(__xludf.DUMMYFUNCTION("iferror(GOOGLEFINANCE(TRIM(F3500)&amp;"":"" &amp; TRIM(B3500), ""price""),0
)"),0)</f>
        <v>0</v>
      </c>
      <c r="H3500" s="6">
        <v>80</v>
      </c>
      <c r="I3500" s="6">
        <f t="shared" ca="1" si="0"/>
        <v>80</v>
      </c>
      <c r="J3500" s="6">
        <f ca="1">IFERROR(__xludf.DUMMYFUNCTION("IFERROR(GOOGLEFINANCE(B3500, ""volume""), 0)"),0)</f>
        <v>0</v>
      </c>
      <c r="K3500" s="6">
        <v>-1.23</v>
      </c>
      <c r="L3500" s="6">
        <f ca="1">IFERROR(__xludf.DUMMYFUNCTION("IFERROR(GOOGLEFINANCE(B3500,""changepct""),K3500)"),-1.23)</f>
        <v>-1.23</v>
      </c>
      <c r="M3500" s="6">
        <f ca="1">IFERROR(__xludf.DUMMYFUNCTION("IFERROR(GOOGLEFINANCE(B3500,""change""),0)"),0)</f>
        <v>0</v>
      </c>
      <c r="N3500" s="6">
        <v>1</v>
      </c>
      <c r="O3500" s="7">
        <v>45536</v>
      </c>
      <c r="P3500" s="6">
        <v>20.85</v>
      </c>
      <c r="Q3500" s="6">
        <v>114.87</v>
      </c>
      <c r="R3500" s="7">
        <v>45352</v>
      </c>
      <c r="S3500" s="6">
        <v>59.58</v>
      </c>
      <c r="T3500" s="6">
        <v>3.93</v>
      </c>
      <c r="U3500" s="7">
        <v>45352</v>
      </c>
      <c r="V3500" s="6">
        <v>23.93</v>
      </c>
      <c r="W3500" s="6">
        <f ca="1">IFERROR(__xludf.DUMMYFUNCTION("IFERROR(GOOGLEFINANCE(B3500,""pe""),V3500)"),23.93)</f>
        <v>23.93</v>
      </c>
      <c r="X3500" s="9"/>
      <c r="Y3500" s="6">
        <v>3.13</v>
      </c>
      <c r="Z3500" s="6">
        <v>1</v>
      </c>
      <c r="AA3500" s="8">
        <v>45352</v>
      </c>
      <c r="AB3500" s="4">
        <v>1.41</v>
      </c>
      <c r="AC3500" s="6">
        <v>38.729999999999997</v>
      </c>
      <c r="AD3500" s="6">
        <v>27.2</v>
      </c>
      <c r="AE3500" s="1">
        <v>0</v>
      </c>
      <c r="AF3500" s="1">
        <f ca="1">IFERROR(__xludf.DUMMYFUNCTION("IFERROR(GOOGLEFINANCE(TRIM(F3500)&amp;"":"" &amp; TRIM(B3500),""high52""),AE3500)"),0)</f>
        <v>0</v>
      </c>
      <c r="AG3500" s="1">
        <v>0</v>
      </c>
      <c r="AH3500" s="1">
        <f ca="1">IFERROR(__xludf.DUMMYFUNCTION("IFERROR(GOOGLEFINANCE(TRIM(F3500)&amp;"":"" &amp; TRIM(B3500),""low52""),AE3500)"),0)</f>
        <v>0</v>
      </c>
      <c r="AI3500" s="1">
        <f ca="1">IFERROR(__xludf.DUMMYFUNCTION("IFERROR(GOOGLEFINANCE(B3500,""eps""),0)"),0)</f>
        <v>0</v>
      </c>
      <c r="AJ3500" s="1"/>
      <c r="AK3500" s="1" t="s">
        <v>10715</v>
      </c>
      <c r="AL3500" s="9">
        <f t="shared" si="333"/>
        <v>1</v>
      </c>
    </row>
    <row r="3501" spans="1:38" ht="15" x14ac:dyDescent="0.25">
      <c r="A3501" s="1" t="s">
        <v>10716</v>
      </c>
      <c r="B3501" s="1" t="s">
        <v>10717</v>
      </c>
      <c r="C3501" s="1" t="s">
        <v>1229</v>
      </c>
      <c r="D3501" s="1" t="s">
        <v>1229</v>
      </c>
      <c r="E3501" s="6">
        <v>25.2</v>
      </c>
      <c r="F3501" s="1" t="s">
        <v>40</v>
      </c>
      <c r="G3501" s="6">
        <f ca="1">IFERROR(__xludf.DUMMYFUNCTION("iferror(GOOGLEFINANCE(TRIM(F3501)&amp;"":"" &amp; TRIM(B3501), ""price""),0
)"),19.17)</f>
        <v>19.170000000000002</v>
      </c>
      <c r="H3501" s="6">
        <v>25.85</v>
      </c>
      <c r="I3501" s="6">
        <f t="shared" ca="1" si="0"/>
        <v>19.170000000000002</v>
      </c>
      <c r="J3501" s="6">
        <f ca="1">IFERROR(__xludf.DUMMYFUNCTION("IFERROR(GOOGLEFINANCE(B3501, ""volume""), 0)"),44363)</f>
        <v>44363</v>
      </c>
      <c r="K3501" s="6">
        <v>5</v>
      </c>
      <c r="L3501" s="6">
        <f ca="1">IFERROR(__xludf.DUMMYFUNCTION("IFERROR(GOOGLEFINANCE(B3501,""changepct""),K3501)"),-4.86)</f>
        <v>-4.8600000000000003</v>
      </c>
      <c r="M3501" s="6">
        <f ca="1">IFERROR(__xludf.DUMMYFUNCTION("IFERROR(GOOGLEFINANCE(B3501,""change""),0)"),-0.98)</f>
        <v>-0.98</v>
      </c>
      <c r="N3501" s="6">
        <v>2</v>
      </c>
      <c r="O3501" s="7">
        <v>45536</v>
      </c>
      <c r="P3501" s="6">
        <v>0.5</v>
      </c>
      <c r="Q3501" s="6">
        <v>25.7</v>
      </c>
      <c r="R3501" s="7">
        <v>45536</v>
      </c>
      <c r="S3501" s="6">
        <v>24.1</v>
      </c>
      <c r="T3501" s="6">
        <v>0.32</v>
      </c>
      <c r="U3501" s="7">
        <v>45536</v>
      </c>
      <c r="V3501" s="6">
        <v>79.489999999999995</v>
      </c>
      <c r="W3501" s="6">
        <f ca="1">IFERROR(__xludf.DUMMYFUNCTION("IFERROR(GOOGLEFINANCE(B3501,""pe""),V3501)"),79.49)</f>
        <v>79.489999999999995</v>
      </c>
      <c r="X3501" s="12"/>
      <c r="Y3501" s="6">
        <v>3.43</v>
      </c>
      <c r="Z3501" s="6">
        <v>2</v>
      </c>
      <c r="AA3501" s="8">
        <v>45352</v>
      </c>
      <c r="AB3501" s="4">
        <v>0</v>
      </c>
      <c r="AC3501" s="6">
        <v>-0.03</v>
      </c>
      <c r="AD3501" s="6">
        <v>2.3199999999999998</v>
      </c>
      <c r="AE3501" s="1">
        <v>0</v>
      </c>
      <c r="AF3501" s="1">
        <f ca="1">IFERROR(__xludf.DUMMYFUNCTION("IFERROR(GOOGLEFINANCE(TRIM(F3501)&amp;"":"" &amp; TRIM(B3501),""high52""),AE3501)"),28.45)</f>
        <v>28.45</v>
      </c>
      <c r="AG3501" s="1">
        <v>0</v>
      </c>
      <c r="AH3501" s="1">
        <f ca="1">IFERROR(__xludf.DUMMYFUNCTION("IFERROR(GOOGLEFINANCE(TRIM(F3501)&amp;"":"" &amp; TRIM(B3501),""low52""),AE3501)"),13.45)</f>
        <v>13.45</v>
      </c>
      <c r="AI3501" s="1">
        <f ca="1">IFERROR(__xludf.DUMMYFUNCTION("IFERROR(GOOGLEFINANCE(B3501,""eps""),0)"),-0.08)</f>
        <v>-0.08</v>
      </c>
      <c r="AJ3501" s="1"/>
      <c r="AK3501" s="9"/>
      <c r="AL3501" s="9">
        <f t="shared" si="333"/>
        <v>1</v>
      </c>
    </row>
    <row r="3502" spans="1:38" ht="15" x14ac:dyDescent="0.25">
      <c r="A3502" s="1" t="s">
        <v>10718</v>
      </c>
      <c r="B3502" s="1" t="s">
        <v>10719</v>
      </c>
      <c r="C3502" s="1" t="s">
        <v>4673</v>
      </c>
      <c r="D3502" s="1" t="s">
        <v>4673</v>
      </c>
      <c r="E3502" s="6">
        <v>44.37</v>
      </c>
      <c r="F3502" s="1" t="s">
        <v>53</v>
      </c>
      <c r="G3502" s="6">
        <f ca="1">IFERROR(__xludf.DUMMYFUNCTION("iferror(GOOGLEFINANCE(TRIM(F3502)&amp;"":"" &amp; TRIM(B3502), ""price""),0
)"),0)</f>
        <v>0</v>
      </c>
      <c r="H3502" s="6">
        <v>217</v>
      </c>
      <c r="I3502" s="6">
        <f t="shared" ca="1" si="0"/>
        <v>217</v>
      </c>
      <c r="J3502" s="6">
        <f ca="1">IFERROR(__xludf.DUMMYFUNCTION("IFERROR(GOOGLEFINANCE(B3502, ""volume""), 0)"),0)</f>
        <v>0</v>
      </c>
      <c r="K3502" s="6">
        <v>0</v>
      </c>
      <c r="L3502" s="6">
        <f ca="1">IFERROR(__xludf.DUMMYFUNCTION("IFERROR(GOOGLEFINANCE(B3502,""changepct""),K3502)"),0)</f>
        <v>0</v>
      </c>
      <c r="M3502" s="6">
        <f ca="1">IFERROR(__xludf.DUMMYFUNCTION("IFERROR(GOOGLEFINANCE(B3502,""change""),0)"),0)</f>
        <v>0</v>
      </c>
      <c r="N3502" s="6">
        <v>1</v>
      </c>
      <c r="O3502" s="7">
        <v>45536</v>
      </c>
      <c r="P3502" s="6">
        <v>6.5</v>
      </c>
      <c r="Q3502" s="6">
        <v>46.47</v>
      </c>
      <c r="R3502" s="7">
        <v>45536</v>
      </c>
      <c r="S3502" s="6">
        <v>44.76</v>
      </c>
      <c r="T3502" s="6">
        <v>1.49</v>
      </c>
      <c r="U3502" s="7">
        <v>45536</v>
      </c>
      <c r="V3502" s="6">
        <v>29.8</v>
      </c>
      <c r="W3502" s="6">
        <f ca="1">IFERROR(__xludf.DUMMYFUNCTION("IFERROR(GOOGLEFINANCE(B3502,""pe""),V3502)"),29.8)</f>
        <v>29.8</v>
      </c>
      <c r="X3502" s="6">
        <v>-3.22</v>
      </c>
      <c r="Y3502" s="6">
        <v>1.97</v>
      </c>
      <c r="Z3502" s="6">
        <v>1</v>
      </c>
      <c r="AA3502" s="8">
        <v>45352</v>
      </c>
      <c r="AB3502" s="4">
        <v>0.33</v>
      </c>
      <c r="AC3502" s="6">
        <v>3.47</v>
      </c>
      <c r="AD3502" s="6">
        <v>6.56</v>
      </c>
      <c r="AE3502" s="1">
        <v>0</v>
      </c>
      <c r="AF3502" s="1">
        <f ca="1">IFERROR(__xludf.DUMMYFUNCTION("IFERROR(GOOGLEFINANCE(TRIM(F3502)&amp;"":"" &amp; TRIM(B3502),""high52""),AE3502)"),0)</f>
        <v>0</v>
      </c>
      <c r="AG3502" s="1">
        <v>0</v>
      </c>
      <c r="AH3502" s="1">
        <f ca="1">IFERROR(__xludf.DUMMYFUNCTION("IFERROR(GOOGLEFINANCE(TRIM(F3502)&amp;"":"" &amp; TRIM(B3502),""low52""),AE3502)"),0)</f>
        <v>0</v>
      </c>
      <c r="AI3502" s="1">
        <f ca="1">IFERROR(__xludf.DUMMYFUNCTION("IFERROR(GOOGLEFINANCE(B3502,""eps""),0)"),0)</f>
        <v>0</v>
      </c>
      <c r="AJ3502" s="1"/>
      <c r="AK3502" s="1" t="s">
        <v>10720</v>
      </c>
      <c r="AL3502" s="9">
        <f t="shared" si="333"/>
        <v>1</v>
      </c>
    </row>
    <row r="3503" spans="1:38" ht="15" x14ac:dyDescent="0.25">
      <c r="A3503" s="1" t="s">
        <v>10721</v>
      </c>
      <c r="B3503" s="1" t="s">
        <v>10722</v>
      </c>
      <c r="C3503" s="1" t="s">
        <v>2185</v>
      </c>
      <c r="D3503" s="1" t="s">
        <v>2185</v>
      </c>
      <c r="E3503" s="6">
        <v>925.02</v>
      </c>
      <c r="F3503" s="1" t="s">
        <v>40</v>
      </c>
      <c r="G3503" s="6">
        <f ca="1">IFERROR(__xludf.DUMMYFUNCTION("iferror(GOOGLEFINANCE(TRIM(F3503)&amp;"":"" &amp; TRIM(B3503), ""price""),0
)"),1424)</f>
        <v>1424</v>
      </c>
      <c r="H3503" s="6">
        <v>721.5</v>
      </c>
      <c r="I3503" s="6">
        <f t="shared" ca="1" si="0"/>
        <v>1424</v>
      </c>
      <c r="J3503" s="6">
        <f ca="1">IFERROR(__xludf.DUMMYFUNCTION("IFERROR(GOOGLEFINANCE(B3503, ""volume""), 0)"),75216)</f>
        <v>75216</v>
      </c>
      <c r="K3503" s="6">
        <v>-0.81</v>
      </c>
      <c r="L3503" s="6">
        <f ca="1">IFERROR(__xludf.DUMMYFUNCTION("IFERROR(GOOGLEFINANCE(B3503,""changepct""),K3503)"),-1.95)</f>
        <v>-1.95</v>
      </c>
      <c r="M3503" s="6">
        <f ca="1">IFERROR(__xludf.DUMMYFUNCTION("IFERROR(GOOGLEFINANCE(B3503,""change""),0)"),-28.3)</f>
        <v>-28.3</v>
      </c>
      <c r="N3503" s="6">
        <v>2</v>
      </c>
      <c r="O3503" s="7">
        <v>45536</v>
      </c>
      <c r="P3503" s="6">
        <v>34.68</v>
      </c>
      <c r="Q3503" s="6">
        <v>943.71</v>
      </c>
      <c r="R3503" s="7">
        <v>45536</v>
      </c>
      <c r="S3503" s="6">
        <v>264.07</v>
      </c>
      <c r="T3503" s="6">
        <v>18.989999999999998</v>
      </c>
      <c r="U3503" s="7">
        <v>45536</v>
      </c>
      <c r="V3503" s="6">
        <v>48.71</v>
      </c>
      <c r="W3503" s="6">
        <f ca="1">IFERROR(__xludf.DUMMYFUNCTION("IFERROR(GOOGLEFINANCE(B3503,""pe""),V3503)"),69.53)</f>
        <v>69.53</v>
      </c>
      <c r="X3503" s="6">
        <v>5.55</v>
      </c>
      <c r="Y3503" s="6">
        <v>7.74</v>
      </c>
      <c r="Z3503" s="6">
        <v>2</v>
      </c>
      <c r="AA3503" s="8">
        <v>45352</v>
      </c>
      <c r="AB3503" s="4">
        <v>0.1</v>
      </c>
      <c r="AC3503" s="6">
        <v>15.55</v>
      </c>
      <c r="AD3503" s="6">
        <v>20.14</v>
      </c>
      <c r="AE3503" s="1">
        <v>0</v>
      </c>
      <c r="AF3503" s="1">
        <f ca="1">IFERROR(__xludf.DUMMYFUNCTION("IFERROR(GOOGLEFINANCE(TRIM(F3503)&amp;"":"" &amp; TRIM(B3503),""high52""),AE3503)"),1690.2)</f>
        <v>1690.2</v>
      </c>
      <c r="AG3503" s="1">
        <v>0</v>
      </c>
      <c r="AH3503" s="1">
        <f ca="1">IFERROR(__xludf.DUMMYFUNCTION("IFERROR(GOOGLEFINANCE(TRIM(F3503)&amp;"":"" &amp; TRIM(B3503),""low52""),AE3503)"),610)</f>
        <v>610</v>
      </c>
      <c r="AI3503" s="1">
        <f ca="1">IFERROR(__xludf.DUMMYFUNCTION("IFERROR(GOOGLEFINANCE(B3503,""eps""),0)"),20.48)</f>
        <v>20.48</v>
      </c>
      <c r="AJ3503" s="1"/>
      <c r="AK3503" s="1" t="s">
        <v>10723</v>
      </c>
      <c r="AL3503" s="9">
        <f t="shared" si="333"/>
        <v>1</v>
      </c>
    </row>
    <row r="3504" spans="1:38" ht="15" x14ac:dyDescent="0.25">
      <c r="A3504" s="1" t="s">
        <v>10724</v>
      </c>
      <c r="B3504" s="1" t="s">
        <v>10725</v>
      </c>
      <c r="C3504" s="1" t="s">
        <v>4673</v>
      </c>
      <c r="D3504" s="1" t="s">
        <v>4673</v>
      </c>
      <c r="E3504" s="6">
        <v>32.51</v>
      </c>
      <c r="F3504" s="1" t="s">
        <v>53</v>
      </c>
      <c r="G3504" s="6">
        <f ca="1">IFERROR(__xludf.DUMMYFUNCTION("iferror(GOOGLEFINANCE(TRIM(F3504)&amp;"":"" &amp; TRIM(B3504), ""price""),0
)"),0)</f>
        <v>0</v>
      </c>
      <c r="H3504" s="6">
        <v>441.2</v>
      </c>
      <c r="I3504" s="6">
        <f t="shared" ca="1" si="0"/>
        <v>441.2</v>
      </c>
      <c r="J3504" s="6">
        <f ca="1">IFERROR(__xludf.DUMMYFUNCTION("IFERROR(GOOGLEFINANCE(B3504, ""volume""), 0)"),0)</f>
        <v>0</v>
      </c>
      <c r="K3504" s="6">
        <v>-5</v>
      </c>
      <c r="L3504" s="6">
        <f ca="1">IFERROR(__xludf.DUMMYFUNCTION("IFERROR(GOOGLEFINANCE(B3504,""changepct""),K3504)"),-5)</f>
        <v>-5</v>
      </c>
      <c r="M3504" s="6">
        <f ca="1">IFERROR(__xludf.DUMMYFUNCTION("IFERROR(GOOGLEFINANCE(B3504,""change""),0)"),0)</f>
        <v>0</v>
      </c>
      <c r="N3504" s="6">
        <v>1</v>
      </c>
      <c r="O3504" s="7">
        <v>45536</v>
      </c>
      <c r="P3504" s="9"/>
      <c r="Q3504" s="6">
        <v>25.47</v>
      </c>
      <c r="R3504" s="7">
        <v>45536</v>
      </c>
      <c r="S3504" s="6">
        <v>0</v>
      </c>
      <c r="T3504" s="6">
        <v>0.96</v>
      </c>
      <c r="U3504" s="7">
        <v>45536</v>
      </c>
      <c r="V3504" s="6">
        <v>33.97</v>
      </c>
      <c r="W3504" s="6">
        <f ca="1">IFERROR(__xludf.DUMMYFUNCTION("IFERROR(GOOGLEFINANCE(B3504,""pe""),V3504)"),33.97)</f>
        <v>33.97</v>
      </c>
      <c r="X3504" s="6">
        <v>1.21</v>
      </c>
      <c r="Y3504" s="6">
        <v>3.16</v>
      </c>
      <c r="Z3504" s="6">
        <v>1</v>
      </c>
      <c r="AA3504" s="8">
        <v>45352</v>
      </c>
      <c r="AB3504" s="4">
        <v>0</v>
      </c>
      <c r="AC3504" s="6">
        <v>7.78</v>
      </c>
      <c r="AD3504" s="6">
        <v>9.93</v>
      </c>
      <c r="AE3504" s="1">
        <v>0</v>
      </c>
      <c r="AF3504" s="1">
        <f ca="1">IFERROR(__xludf.DUMMYFUNCTION("IFERROR(GOOGLEFINANCE(TRIM(F3504)&amp;"":"" &amp; TRIM(B3504),""high52""),AE3504)"),0)</f>
        <v>0</v>
      </c>
      <c r="AG3504" s="1">
        <v>0</v>
      </c>
      <c r="AH3504" s="1">
        <f ca="1">IFERROR(__xludf.DUMMYFUNCTION("IFERROR(GOOGLEFINANCE(TRIM(F3504)&amp;"":"" &amp; TRIM(B3504),""low52""),AE3504)"),0)</f>
        <v>0</v>
      </c>
      <c r="AI3504" s="1">
        <f ca="1">IFERROR(__xludf.DUMMYFUNCTION("IFERROR(GOOGLEFINANCE(B3504,""eps""),0)"),0)</f>
        <v>0</v>
      </c>
      <c r="AJ3504" s="1"/>
      <c r="AK3504" s="1" t="s">
        <v>10726</v>
      </c>
      <c r="AL3504" s="9">
        <f t="shared" si="333"/>
        <v>1</v>
      </c>
    </row>
    <row r="3505" spans="1:38" ht="15" x14ac:dyDescent="0.25">
      <c r="A3505" s="1" t="s">
        <v>10727</v>
      </c>
      <c r="B3505" s="1" t="s">
        <v>10728</v>
      </c>
      <c r="C3505" s="1" t="s">
        <v>4673</v>
      </c>
      <c r="D3505" s="1" t="s">
        <v>4673</v>
      </c>
      <c r="E3505" s="6">
        <v>870.35</v>
      </c>
      <c r="F3505" s="1" t="s">
        <v>53</v>
      </c>
      <c r="G3505" s="6">
        <f ca="1">IFERROR(__xludf.DUMMYFUNCTION("iferror(GOOGLEFINANCE(TRIM(F3505)&amp;"":"" &amp; TRIM(B3505), ""price""),0
)"),0)</f>
        <v>0</v>
      </c>
      <c r="H3505" s="6">
        <v>1558.6</v>
      </c>
      <c r="I3505" s="6">
        <f t="shared" ca="1" si="0"/>
        <v>1558.6</v>
      </c>
      <c r="J3505" s="6">
        <f ca="1">IFERROR(__xludf.DUMMYFUNCTION("IFERROR(GOOGLEFINANCE(B3505, ""volume""), 0)"),0)</f>
        <v>0</v>
      </c>
      <c r="K3505" s="6">
        <v>0.28000000000000003</v>
      </c>
      <c r="L3505" s="6">
        <f ca="1">IFERROR(__xludf.DUMMYFUNCTION("IFERROR(GOOGLEFINANCE(B3505,""changepct""),K3505)"),0.28)</f>
        <v>0.28000000000000003</v>
      </c>
      <c r="M3505" s="6">
        <f ca="1">IFERROR(__xludf.DUMMYFUNCTION("IFERROR(GOOGLEFINANCE(B3505,""change""),0)"),0)</f>
        <v>0</v>
      </c>
      <c r="N3505" s="6">
        <v>1</v>
      </c>
      <c r="O3505" s="7">
        <v>45536</v>
      </c>
      <c r="P3505" s="9"/>
      <c r="Q3505" s="6">
        <v>817.75</v>
      </c>
      <c r="R3505" s="7">
        <v>45536</v>
      </c>
      <c r="S3505" s="6">
        <v>167.1</v>
      </c>
      <c r="T3505" s="6">
        <v>24.18</v>
      </c>
      <c r="U3505" s="7">
        <v>45536</v>
      </c>
      <c r="V3505" s="6">
        <v>35.99</v>
      </c>
      <c r="W3505" s="6">
        <f ca="1">IFERROR(__xludf.DUMMYFUNCTION("IFERROR(GOOGLEFINANCE(B3505,""pe""),V3505)"),35.99)</f>
        <v>35.99</v>
      </c>
      <c r="X3505" s="6">
        <v>3.3</v>
      </c>
      <c r="Y3505" s="6">
        <v>6.32</v>
      </c>
      <c r="Z3505" s="6">
        <v>1</v>
      </c>
      <c r="AA3505" s="8">
        <v>45352</v>
      </c>
      <c r="AB3505" s="4">
        <v>0</v>
      </c>
      <c r="AC3505" s="6">
        <v>18.399999999999999</v>
      </c>
      <c r="AD3505" s="6">
        <v>25.8</v>
      </c>
      <c r="AE3505" s="1">
        <v>0</v>
      </c>
      <c r="AF3505" s="1">
        <f ca="1">IFERROR(__xludf.DUMMYFUNCTION("IFERROR(GOOGLEFINANCE(TRIM(F3505)&amp;"":"" &amp; TRIM(B3505),""high52""),AE3505)"),0)</f>
        <v>0</v>
      </c>
      <c r="AG3505" s="1">
        <v>0</v>
      </c>
      <c r="AH3505" s="1">
        <f ca="1">IFERROR(__xludf.DUMMYFUNCTION("IFERROR(GOOGLEFINANCE(TRIM(F3505)&amp;"":"" &amp; TRIM(B3505),""low52""),AE3505)"),0)</f>
        <v>0</v>
      </c>
      <c r="AI3505" s="1">
        <f ca="1">IFERROR(__xludf.DUMMYFUNCTION("IFERROR(GOOGLEFINANCE(B3505,""eps""),0)"),0)</f>
        <v>0</v>
      </c>
      <c r="AJ3505" s="1"/>
      <c r="AK3505" s="1" t="s">
        <v>10729</v>
      </c>
      <c r="AL3505" s="9">
        <f t="shared" si="333"/>
        <v>1</v>
      </c>
    </row>
    <row r="3506" spans="1:38" ht="15" x14ac:dyDescent="0.25">
      <c r="A3506" s="1" t="s">
        <v>10730</v>
      </c>
      <c r="B3506" s="1" t="s">
        <v>10731</v>
      </c>
      <c r="C3506" s="1" t="s">
        <v>4673</v>
      </c>
      <c r="D3506" s="1" t="s">
        <v>4673</v>
      </c>
      <c r="E3506" s="6">
        <v>102.03</v>
      </c>
      <c r="F3506" s="1" t="s">
        <v>53</v>
      </c>
      <c r="G3506" s="6">
        <f ca="1">IFERROR(__xludf.DUMMYFUNCTION("iferror(GOOGLEFINANCE(TRIM(F3506)&amp;"":"" &amp; TRIM(B3506), ""price""),0
)"),0)</f>
        <v>0</v>
      </c>
      <c r="H3506" s="6">
        <v>50.05</v>
      </c>
      <c r="I3506" s="6">
        <f t="shared" ca="1" si="0"/>
        <v>50.05</v>
      </c>
      <c r="J3506" s="6">
        <f ca="1">IFERROR(__xludf.DUMMYFUNCTION("IFERROR(GOOGLEFINANCE(B3506, ""volume""), 0)"),0)</f>
        <v>0</v>
      </c>
      <c r="K3506" s="6">
        <v>-0.12</v>
      </c>
      <c r="L3506" s="6">
        <f ca="1">IFERROR(__xludf.DUMMYFUNCTION("IFERROR(GOOGLEFINANCE(B3506,""changepct""),K3506)"),-0.12)</f>
        <v>-0.12</v>
      </c>
      <c r="M3506" s="6">
        <f ca="1">IFERROR(__xludf.DUMMYFUNCTION("IFERROR(GOOGLEFINANCE(B3506,""change""),0)"),0)</f>
        <v>0</v>
      </c>
      <c r="N3506" s="6">
        <v>1</v>
      </c>
      <c r="O3506" s="7">
        <v>45536</v>
      </c>
      <c r="P3506" s="6">
        <v>13.43</v>
      </c>
      <c r="Q3506" s="6">
        <v>115.46</v>
      </c>
      <c r="R3506" s="15">
        <v>45536</v>
      </c>
      <c r="S3506" s="6">
        <v>0.92</v>
      </c>
      <c r="T3506" s="6">
        <v>-7.97</v>
      </c>
      <c r="U3506" s="15">
        <v>45536</v>
      </c>
      <c r="V3506" s="6">
        <v>0</v>
      </c>
      <c r="W3506" s="6">
        <f ca="1">IFERROR(__xludf.DUMMYFUNCTION("IFERROR(GOOGLEFINANCE(B3506,""pe""),V3506)"),0)</f>
        <v>0</v>
      </c>
      <c r="X3506" s="12"/>
      <c r="Y3506" s="6">
        <v>-13.28</v>
      </c>
      <c r="Z3506" s="6">
        <v>1</v>
      </c>
      <c r="AA3506" s="8">
        <v>45352</v>
      </c>
      <c r="AB3506" s="4">
        <v>-7.29</v>
      </c>
      <c r="AC3506" s="6">
        <v>0</v>
      </c>
      <c r="AD3506" s="6">
        <v>-2.02</v>
      </c>
      <c r="AE3506" s="1">
        <v>0</v>
      </c>
      <c r="AF3506" s="1">
        <f ca="1">IFERROR(__xludf.DUMMYFUNCTION("IFERROR(GOOGLEFINANCE(TRIM(F3506)&amp;"":"" &amp; TRIM(B3506),""high52""),AE3506)"),0)</f>
        <v>0</v>
      </c>
      <c r="AG3506" s="1">
        <v>0</v>
      </c>
      <c r="AH3506" s="1">
        <f ca="1">IFERROR(__xludf.DUMMYFUNCTION("IFERROR(GOOGLEFINANCE(TRIM(F3506)&amp;"":"" &amp; TRIM(B3506),""low52""),AE3506)"),0)</f>
        <v>0</v>
      </c>
      <c r="AI3506" s="1">
        <f ca="1">IFERROR(__xludf.DUMMYFUNCTION("IFERROR(GOOGLEFINANCE(B3506,""eps""),0)"),0)</f>
        <v>0</v>
      </c>
      <c r="AJ3506" s="1"/>
      <c r="AK3506" s="1" t="s">
        <v>10732</v>
      </c>
      <c r="AL3506" s="9">
        <f t="shared" si="333"/>
        <v>1</v>
      </c>
    </row>
    <row r="3507" spans="1:38" ht="15" x14ac:dyDescent="0.25">
      <c r="A3507" s="1" t="s">
        <v>10733</v>
      </c>
      <c r="B3507" s="1" t="s">
        <v>10734</v>
      </c>
      <c r="C3507" s="1" t="s">
        <v>1118</v>
      </c>
      <c r="D3507" s="1" t="s">
        <v>1118</v>
      </c>
      <c r="E3507" s="6">
        <v>81.36</v>
      </c>
      <c r="F3507" s="1" t="s">
        <v>40</v>
      </c>
      <c r="G3507" s="6">
        <f ca="1">IFERROR(__xludf.DUMMYFUNCTION("iferror(GOOGLEFINANCE(TRIM(F3507)&amp;"":"" &amp; TRIM(B3507), ""price""),0
)"),9)</f>
        <v>9</v>
      </c>
      <c r="H3507" s="6">
        <v>19.78</v>
      </c>
      <c r="I3507" s="6">
        <f t="shared" ca="1" si="0"/>
        <v>9</v>
      </c>
      <c r="J3507" s="6">
        <f ca="1">IFERROR(__xludf.DUMMYFUNCTION("IFERROR(GOOGLEFINANCE(B3507, ""volume""), 0)"),8845)</f>
        <v>8845</v>
      </c>
      <c r="K3507" s="6">
        <v>1.59</v>
      </c>
      <c r="L3507" s="6">
        <f ca="1">IFERROR(__xludf.DUMMYFUNCTION("IFERROR(GOOGLEFINANCE(B3507,""changepct""),K3507)"),-0.66)</f>
        <v>-0.66</v>
      </c>
      <c r="M3507" s="6">
        <f ca="1">IFERROR(__xludf.DUMMYFUNCTION("IFERROR(GOOGLEFINANCE(B3507,""change""),0)"),-0.06)</f>
        <v>-0.06</v>
      </c>
      <c r="N3507" s="6">
        <v>2</v>
      </c>
      <c r="O3507" s="7">
        <v>45536</v>
      </c>
      <c r="P3507" s="6">
        <v>1027.6199999999999</v>
      </c>
      <c r="Q3507" s="6">
        <v>1042.82</v>
      </c>
      <c r="R3507" s="7">
        <v>45536</v>
      </c>
      <c r="S3507" s="6">
        <v>1248.92</v>
      </c>
      <c r="T3507" s="6">
        <v>14</v>
      </c>
      <c r="U3507" s="7">
        <v>45536</v>
      </c>
      <c r="V3507" s="6">
        <v>5.65</v>
      </c>
      <c r="W3507" s="6">
        <f ca="1">IFERROR(__xludf.DUMMYFUNCTION("IFERROR(GOOGLEFINANCE(B3507,""pe""),V3507)"),2.95)</f>
        <v>2.95</v>
      </c>
      <c r="X3507" s="6">
        <v>0.62</v>
      </c>
      <c r="Y3507" s="6">
        <v>-0.52</v>
      </c>
      <c r="Z3507" s="6">
        <v>2</v>
      </c>
      <c r="AA3507" s="8">
        <v>45352</v>
      </c>
      <c r="AB3507" s="4">
        <v>-7.83</v>
      </c>
      <c r="AC3507" s="6">
        <v>0</v>
      </c>
      <c r="AD3507" s="6">
        <v>2.13</v>
      </c>
      <c r="AE3507" s="1">
        <v>0</v>
      </c>
      <c r="AF3507" s="1">
        <f ca="1">IFERROR(__xludf.DUMMYFUNCTION("IFERROR(GOOGLEFINANCE(TRIM(F3507)&amp;"":"" &amp; TRIM(B3507),""high52""),AE3507)"),20.15)</f>
        <v>20.149999999999999</v>
      </c>
      <c r="AG3507" s="1">
        <v>0</v>
      </c>
      <c r="AH3507" s="1">
        <f ca="1">IFERROR(__xludf.DUMMYFUNCTION("IFERROR(GOOGLEFINANCE(TRIM(F3507)&amp;"":"" &amp; TRIM(B3507),""low52""),AE3507)"),8.76)</f>
        <v>8.76</v>
      </c>
      <c r="AI3507" s="1">
        <f ca="1">IFERROR(__xludf.DUMMYFUNCTION("IFERROR(GOOGLEFINANCE(B3507,""eps""),0)"),3.05)</f>
        <v>3.05</v>
      </c>
      <c r="AJ3507" s="1"/>
      <c r="AK3507" s="1" t="s">
        <v>10735</v>
      </c>
      <c r="AL3507" s="9">
        <f t="shared" si="333"/>
        <v>1</v>
      </c>
    </row>
    <row r="3508" spans="1:38" ht="15" x14ac:dyDescent="0.25">
      <c r="A3508" s="1" t="s">
        <v>10736</v>
      </c>
      <c r="B3508" s="1" t="s">
        <v>10737</v>
      </c>
      <c r="C3508" s="1" t="s">
        <v>86</v>
      </c>
      <c r="D3508" s="1" t="s">
        <v>86</v>
      </c>
      <c r="E3508" s="6">
        <v>1696.86</v>
      </c>
      <c r="F3508" s="1" t="s">
        <v>40</v>
      </c>
      <c r="G3508" s="6">
        <f ca="1">IFERROR(__xludf.DUMMYFUNCTION("iferror(GOOGLEFINANCE(TRIM(F3508)&amp;"":"" &amp; TRIM(B3508), ""price""),0
)"),222.8)</f>
        <v>222.8</v>
      </c>
      <c r="H3508" s="6">
        <v>297.95</v>
      </c>
      <c r="I3508" s="6">
        <f t="shared" ca="1" si="0"/>
        <v>222.8</v>
      </c>
      <c r="J3508" s="6">
        <f ca="1">IFERROR(__xludf.DUMMYFUNCTION("IFERROR(GOOGLEFINANCE(B3508, ""volume""), 0)"),64761)</f>
        <v>64761</v>
      </c>
      <c r="K3508" s="6">
        <v>-0.22</v>
      </c>
      <c r="L3508" s="6">
        <f ca="1">IFERROR(__xludf.DUMMYFUNCTION("IFERROR(GOOGLEFINANCE(B3508,""changepct""),K3508)"),0.13)</f>
        <v>0.13</v>
      </c>
      <c r="M3508" s="6">
        <f ca="1">IFERROR(__xludf.DUMMYFUNCTION("IFERROR(GOOGLEFINANCE(B3508,""change""),0)"),0.29)</f>
        <v>0.28999999999999998</v>
      </c>
      <c r="N3508" s="6">
        <v>2</v>
      </c>
      <c r="O3508" s="7">
        <v>45536</v>
      </c>
      <c r="P3508" s="6">
        <v>7166.54</v>
      </c>
      <c r="Q3508" s="6">
        <v>8800.5400000000009</v>
      </c>
      <c r="R3508" s="7">
        <v>45536</v>
      </c>
      <c r="S3508" s="6">
        <v>1241.03</v>
      </c>
      <c r="T3508" s="6">
        <v>65.19</v>
      </c>
      <c r="U3508" s="7">
        <v>45536</v>
      </c>
      <c r="V3508" s="6">
        <v>26.26</v>
      </c>
      <c r="W3508" s="6">
        <f ca="1">IFERROR(__xludf.DUMMYFUNCTION("IFERROR(GOOGLEFINANCE(B3508,""pe""),V3508)"),30.46)</f>
        <v>30.46</v>
      </c>
      <c r="X3508" s="12"/>
      <c r="Y3508" s="6">
        <v>8.64</v>
      </c>
      <c r="Z3508" s="6">
        <v>2</v>
      </c>
      <c r="AA3508" s="8">
        <v>45352</v>
      </c>
      <c r="AB3508" s="4">
        <v>30.95</v>
      </c>
      <c r="AC3508" s="6">
        <v>-27.14</v>
      </c>
      <c r="AD3508" s="6">
        <v>-0.35</v>
      </c>
      <c r="AE3508" s="1">
        <v>0</v>
      </c>
      <c r="AF3508" s="1">
        <f ca="1">IFERROR(__xludf.DUMMYFUNCTION("IFERROR(GOOGLEFINANCE(TRIM(F3508)&amp;"":"" &amp; TRIM(B3508),""high52""),AE3508)"),342.45)</f>
        <v>342.45</v>
      </c>
      <c r="AG3508" s="1">
        <v>0</v>
      </c>
      <c r="AH3508" s="1">
        <f ca="1">IFERROR(__xludf.DUMMYFUNCTION("IFERROR(GOOGLEFINANCE(TRIM(F3508)&amp;"":"" &amp; TRIM(B3508),""low52""),AE3508)"),188.12)</f>
        <v>188.12</v>
      </c>
      <c r="AI3508" s="1">
        <f ca="1">IFERROR(__xludf.DUMMYFUNCTION("IFERROR(GOOGLEFINANCE(B3508,""eps""),0)"),7.32)</f>
        <v>7.32</v>
      </c>
      <c r="AJ3508" s="1"/>
      <c r="AK3508" s="1" t="s">
        <v>10738</v>
      </c>
      <c r="AL3508" s="9">
        <f t="shared" si="333"/>
        <v>1</v>
      </c>
    </row>
    <row r="3509" spans="1:38" ht="15" x14ac:dyDescent="0.25">
      <c r="A3509" s="1" t="s">
        <v>10739</v>
      </c>
      <c r="B3509" s="1" t="s">
        <v>10740</v>
      </c>
      <c r="C3509" s="1" t="s">
        <v>410</v>
      </c>
      <c r="D3509" s="1" t="s">
        <v>410</v>
      </c>
      <c r="E3509" s="6">
        <v>680.99</v>
      </c>
      <c r="F3509" s="1" t="s">
        <v>40</v>
      </c>
      <c r="G3509" s="6">
        <f ca="1">IFERROR(__xludf.DUMMYFUNCTION("iferror(GOOGLEFINANCE(TRIM(F3509)&amp;"":"" &amp; TRIM(B3509), ""price""),0
)"),79.22)</f>
        <v>79.22</v>
      </c>
      <c r="H3509" s="6">
        <v>133.21</v>
      </c>
      <c r="I3509" s="6">
        <f t="shared" ca="1" si="0"/>
        <v>79.22</v>
      </c>
      <c r="J3509" s="6">
        <f ca="1">IFERROR(__xludf.DUMMYFUNCTION("IFERROR(GOOGLEFINANCE(B3509, ""volume""), 0)"),258132)</f>
        <v>258132</v>
      </c>
      <c r="K3509" s="6">
        <v>0.68</v>
      </c>
      <c r="L3509" s="6">
        <f ca="1">IFERROR(__xludf.DUMMYFUNCTION("IFERROR(GOOGLEFINANCE(B3509,""changepct""),K3509)"),2.94)</f>
        <v>2.94</v>
      </c>
      <c r="M3509" s="6">
        <f ca="1">IFERROR(__xludf.DUMMYFUNCTION("IFERROR(GOOGLEFINANCE(B3509,""change""),0)"),2.26)</f>
        <v>2.2599999999999998</v>
      </c>
      <c r="N3509" s="6">
        <v>1</v>
      </c>
      <c r="O3509" s="7">
        <v>45536</v>
      </c>
      <c r="P3509" s="9"/>
      <c r="Q3509" s="6">
        <v>680.51</v>
      </c>
      <c r="R3509" s="7">
        <v>45536</v>
      </c>
      <c r="S3509" s="6">
        <v>53.52</v>
      </c>
      <c r="T3509" s="6">
        <v>19.88</v>
      </c>
      <c r="U3509" s="7">
        <v>45536</v>
      </c>
      <c r="V3509" s="6">
        <v>34.25</v>
      </c>
      <c r="W3509" s="6">
        <f ca="1">IFERROR(__xludf.DUMMYFUNCTION("IFERROR(GOOGLEFINANCE(B3509,""pe""),V3509)"),44.74)</f>
        <v>44.74</v>
      </c>
      <c r="X3509" s="6">
        <v>2.13</v>
      </c>
      <c r="Y3509" s="6">
        <v>6.32</v>
      </c>
      <c r="Z3509" s="6">
        <v>1</v>
      </c>
      <c r="AA3509" s="8">
        <v>45352</v>
      </c>
      <c r="AB3509" s="4">
        <v>0</v>
      </c>
      <c r="AC3509" s="6">
        <v>17.95</v>
      </c>
      <c r="AD3509" s="6">
        <v>23.34</v>
      </c>
      <c r="AE3509" s="1">
        <v>0</v>
      </c>
      <c r="AF3509" s="1">
        <f ca="1">IFERROR(__xludf.DUMMYFUNCTION("IFERROR(GOOGLEFINANCE(TRIM(F3509)&amp;"":"" &amp; TRIM(B3509),""high52""),AE3509)"),114.75)</f>
        <v>114.75</v>
      </c>
      <c r="AG3509" s="1">
        <v>0</v>
      </c>
      <c r="AH3509" s="1">
        <f ca="1">IFERROR(__xludf.DUMMYFUNCTION("IFERROR(GOOGLEFINANCE(TRIM(F3509)&amp;"":"" &amp; TRIM(B3509),""low52""),AE3509)"),72.86)</f>
        <v>72.86</v>
      </c>
      <c r="AI3509" s="1">
        <f ca="1">IFERROR(__xludf.DUMMYFUNCTION("IFERROR(GOOGLEFINANCE(B3509,""eps""),0)"),1.77)</f>
        <v>1.77</v>
      </c>
      <c r="AJ3509" s="1"/>
      <c r="AK3509" s="1" t="s">
        <v>10741</v>
      </c>
      <c r="AL3509" s="9">
        <f t="shared" si="333"/>
        <v>1</v>
      </c>
    </row>
    <row r="3510" spans="1:38" ht="15" x14ac:dyDescent="0.25">
      <c r="A3510" s="1" t="s">
        <v>10742</v>
      </c>
      <c r="B3510" s="1" t="s">
        <v>10743</v>
      </c>
      <c r="C3510" s="1" t="s">
        <v>208</v>
      </c>
      <c r="D3510" s="1" t="s">
        <v>208</v>
      </c>
      <c r="E3510" s="6">
        <v>3325.94</v>
      </c>
      <c r="F3510" s="1" t="s">
        <v>40</v>
      </c>
      <c r="G3510" s="6">
        <f ca="1">IFERROR(__xludf.DUMMYFUNCTION("iferror(GOOGLEFINANCE(TRIM(F3510)&amp;"":"" &amp; TRIM(B3510), ""price""),0
)"),21.05)</f>
        <v>21.05</v>
      </c>
      <c r="H3510" s="6">
        <v>21.79</v>
      </c>
      <c r="I3510" s="6">
        <f t="shared" ca="1" si="0"/>
        <v>21.05</v>
      </c>
      <c r="J3510" s="6">
        <f ca="1">IFERROR(__xludf.DUMMYFUNCTION("IFERROR(GOOGLEFINANCE(B3510, ""volume""), 0)"),2571065)</f>
        <v>2571065</v>
      </c>
      <c r="K3510" s="6">
        <v>1.07</v>
      </c>
      <c r="L3510" s="6">
        <f ca="1">IFERROR(__xludf.DUMMYFUNCTION("IFERROR(GOOGLEFINANCE(B3510,""changepct""),K3510)"),1.89)</f>
        <v>1.89</v>
      </c>
      <c r="M3510" s="6">
        <f ca="1">IFERROR(__xludf.DUMMYFUNCTION("IFERROR(GOOGLEFINANCE(B3510,""change""),0)"),0.39)</f>
        <v>0.39</v>
      </c>
      <c r="N3510" s="6">
        <v>2</v>
      </c>
      <c r="O3510" s="7">
        <v>45536</v>
      </c>
      <c r="P3510" s="6">
        <v>179.22</v>
      </c>
      <c r="Q3510" s="7">
        <v>45536</v>
      </c>
      <c r="R3510" s="6">
        <v>18.559999999999999</v>
      </c>
      <c r="S3510" s="9"/>
      <c r="T3510" s="6">
        <v>2.12</v>
      </c>
      <c r="U3510" s="6">
        <v>2</v>
      </c>
      <c r="V3510" s="7">
        <v>45352</v>
      </c>
      <c r="W3510" s="10">
        <f ca="1">IFERROR(__xludf.DUMMYFUNCTION("IFERROR(GOOGLEFINANCE(B3510,""pe""),V3510)"),45352)</f>
        <v>45352</v>
      </c>
      <c r="X3510" s="6">
        <v>0.68</v>
      </c>
      <c r="Y3510" s="6">
        <v>5</v>
      </c>
      <c r="Z3510" s="6">
        <v>8.36</v>
      </c>
      <c r="AA3510" s="3" t="s">
        <v>10744</v>
      </c>
      <c r="AB3510" s="3"/>
      <c r="AC3510" s="9"/>
      <c r="AD3510" s="9"/>
      <c r="AE3510" s="1">
        <v>0</v>
      </c>
      <c r="AF3510" s="1">
        <f ca="1">IFERROR(__xludf.DUMMYFUNCTION("IFERROR(GOOGLEFINANCE(TRIM(F3510)&amp;"":"" &amp; TRIM(B3510),""high52""),AE3510)"),39.29)</f>
        <v>39.29</v>
      </c>
      <c r="AG3510" s="1">
        <v>0</v>
      </c>
      <c r="AH3510" s="1">
        <f ca="1">IFERROR(__xludf.DUMMYFUNCTION("IFERROR(GOOGLEFINANCE(TRIM(F3510)&amp;"":"" &amp; TRIM(B3510),""low52""),AE3510)"),13)</f>
        <v>13</v>
      </c>
      <c r="AI3510" s="1">
        <f ca="1">IFERROR(__xludf.DUMMYFUNCTION("IFERROR(GOOGLEFINANCE(B3510,""eps""),0)"),-0.25)</f>
        <v>-0.25</v>
      </c>
      <c r="AJ3510" s="1"/>
      <c r="AK3510" s="1" t="s">
        <v>10745</v>
      </c>
      <c r="AL3510" s="9">
        <f t="shared" si="333"/>
        <v>1</v>
      </c>
    </row>
    <row r="3511" spans="1:38" ht="15" x14ac:dyDescent="0.25">
      <c r="A3511" s="1" t="s">
        <v>10746</v>
      </c>
      <c r="B3511" s="1" t="s">
        <v>10747</v>
      </c>
      <c r="C3511" s="1" t="s">
        <v>355</v>
      </c>
      <c r="D3511" s="1" t="s">
        <v>355</v>
      </c>
      <c r="E3511" s="6">
        <v>492.83</v>
      </c>
      <c r="F3511" s="1" t="s">
        <v>40</v>
      </c>
      <c r="G3511" s="6">
        <f ca="1">IFERROR(__xludf.DUMMYFUNCTION("iferror(GOOGLEFINANCE(TRIM(F3511)&amp;"":"" &amp; TRIM(B3511), ""price""),0
)"),95)</f>
        <v>95</v>
      </c>
      <c r="H3511" s="6">
        <v>178.19</v>
      </c>
      <c r="I3511" s="6">
        <f t="shared" ca="1" si="0"/>
        <v>95</v>
      </c>
      <c r="J3511" s="6">
        <f ca="1">IFERROR(__xludf.DUMMYFUNCTION("IFERROR(GOOGLEFINANCE(B3511, ""volume""), 0)"),301)</f>
        <v>301</v>
      </c>
      <c r="K3511" s="6">
        <v>-0.47</v>
      </c>
      <c r="L3511" s="6">
        <f ca="1">IFERROR(__xludf.DUMMYFUNCTION("IFERROR(GOOGLEFINANCE(B3511,""changepct""),K3511)"),-2.71)</f>
        <v>-2.71</v>
      </c>
      <c r="M3511" s="6">
        <f ca="1">IFERROR(__xludf.DUMMYFUNCTION("IFERROR(GOOGLEFINANCE(B3511,""change""),0)"),-2.65)</f>
        <v>-2.65</v>
      </c>
      <c r="N3511" s="6">
        <v>1</v>
      </c>
      <c r="O3511" s="7">
        <v>45536</v>
      </c>
      <c r="P3511" s="6">
        <v>35.68</v>
      </c>
      <c r="Q3511" s="6">
        <v>527.76</v>
      </c>
      <c r="R3511" s="7">
        <v>45536</v>
      </c>
      <c r="S3511" s="6">
        <v>88.56</v>
      </c>
      <c r="T3511" s="6">
        <v>1.08</v>
      </c>
      <c r="U3511" s="7">
        <v>45536</v>
      </c>
      <c r="V3511" s="6">
        <v>458.45</v>
      </c>
      <c r="W3511" s="6">
        <f ca="1">IFERROR(__xludf.DUMMYFUNCTION("IFERROR(GOOGLEFINANCE(B3511,""pe""),V3511)"),259.47)</f>
        <v>259.47000000000003</v>
      </c>
      <c r="X3511" s="6">
        <v>-17.09</v>
      </c>
      <c r="Y3511" s="6">
        <v>5.3</v>
      </c>
      <c r="Z3511" s="6">
        <v>1</v>
      </c>
      <c r="AA3511" s="8">
        <v>45352</v>
      </c>
      <c r="AB3511" s="4">
        <v>0.36</v>
      </c>
      <c r="AC3511" s="6">
        <v>1.25</v>
      </c>
      <c r="AD3511" s="6">
        <v>5.13</v>
      </c>
      <c r="AE3511" s="1">
        <v>0</v>
      </c>
      <c r="AF3511" s="1">
        <f ca="1">IFERROR(__xludf.DUMMYFUNCTION("IFERROR(GOOGLEFINANCE(TRIM(F3511)&amp;"":"" &amp; TRIM(B3511),""high52""),AE3511)"),154.9)</f>
        <v>154.9</v>
      </c>
      <c r="AG3511" s="1">
        <v>0</v>
      </c>
      <c r="AH3511" s="1">
        <f ca="1">IFERROR(__xludf.DUMMYFUNCTION("IFERROR(GOOGLEFINANCE(TRIM(F3511)&amp;"":"" &amp; TRIM(B3511),""low52""),AE3511)"),82.85)</f>
        <v>82.85</v>
      </c>
      <c r="AI3511" s="1">
        <f ca="1">IFERROR(__xludf.DUMMYFUNCTION("IFERROR(GOOGLEFINANCE(B3511,""eps""),0)"),0.37)</f>
        <v>0.37</v>
      </c>
      <c r="AJ3511" s="1"/>
      <c r="AK3511" s="1" t="s">
        <v>10748</v>
      </c>
      <c r="AL3511" s="1" t="b">
        <f>ISNUMBER(AA3511)</f>
        <v>1</v>
      </c>
    </row>
    <row r="3512" spans="1:38" ht="15" x14ac:dyDescent="0.25">
      <c r="A3512" s="1" t="s">
        <v>10749</v>
      </c>
      <c r="B3512" s="1" t="s">
        <v>10750</v>
      </c>
      <c r="C3512" s="1" t="s">
        <v>227</v>
      </c>
      <c r="D3512" s="1" t="s">
        <v>227</v>
      </c>
      <c r="E3512" s="6">
        <v>1832.26</v>
      </c>
      <c r="F3512" s="1" t="s">
        <v>40</v>
      </c>
      <c r="G3512" s="6">
        <f ca="1">IFERROR(__xludf.DUMMYFUNCTION("iferror(GOOGLEFINANCE(TRIM(F3512)&amp;"":"" &amp; TRIM(B3512), ""price""),0
)"),453.4)</f>
        <v>453.4</v>
      </c>
      <c r="H3512" s="6">
        <v>334.2</v>
      </c>
      <c r="I3512" s="6">
        <f t="shared" ca="1" si="0"/>
        <v>453.4</v>
      </c>
      <c r="J3512" s="6">
        <f ca="1">IFERROR(__xludf.DUMMYFUNCTION("IFERROR(GOOGLEFINANCE(B3512, ""volume""), 0)"),236869)</f>
        <v>236869</v>
      </c>
      <c r="K3512" s="6">
        <v>-0.1</v>
      </c>
      <c r="L3512" s="6">
        <f ca="1">IFERROR(__xludf.DUMMYFUNCTION("IFERROR(GOOGLEFINANCE(B3512,""changepct""),K3512)"),-0.7)</f>
        <v>-0.7</v>
      </c>
      <c r="M3512" s="6">
        <f ca="1">IFERROR(__xludf.DUMMYFUNCTION("IFERROR(GOOGLEFINANCE(B3512,""change""),0)"),-3.2)</f>
        <v>-3.2</v>
      </c>
      <c r="N3512" s="6">
        <v>2</v>
      </c>
      <c r="O3512" s="7">
        <v>45536</v>
      </c>
      <c r="P3512" s="9"/>
      <c r="Q3512" s="6">
        <v>1762.95</v>
      </c>
      <c r="R3512" s="7">
        <v>45536</v>
      </c>
      <c r="S3512" s="6">
        <v>339.3</v>
      </c>
      <c r="T3512" s="6">
        <v>46.51</v>
      </c>
      <c r="U3512" s="7">
        <v>45536</v>
      </c>
      <c r="V3512" s="6">
        <v>39.39</v>
      </c>
      <c r="W3512" s="6">
        <f ca="1">IFERROR(__xludf.DUMMYFUNCTION("IFERROR(GOOGLEFINANCE(B3512,""pe""),V3512)"),43.22)</f>
        <v>43.22</v>
      </c>
      <c r="X3512" s="12"/>
      <c r="Y3512" s="6">
        <v>5.66</v>
      </c>
      <c r="Z3512" s="6">
        <v>2</v>
      </c>
      <c r="AA3512" s="8">
        <v>45352</v>
      </c>
      <c r="AB3512" s="4">
        <v>0</v>
      </c>
      <c r="AC3512" s="6">
        <v>17.920000000000002</v>
      </c>
      <c r="AD3512" s="6">
        <v>24.06</v>
      </c>
      <c r="AE3512" s="1">
        <v>0</v>
      </c>
      <c r="AF3512" s="1">
        <f ca="1">IFERROR(__xludf.DUMMYFUNCTION("IFERROR(GOOGLEFINANCE(TRIM(F3512)&amp;"":"" &amp; TRIM(B3512),""high52""),AE3512)"),539)</f>
        <v>539</v>
      </c>
      <c r="AG3512" s="1">
        <v>0</v>
      </c>
      <c r="AH3512" s="1">
        <f ca="1">IFERROR(__xludf.DUMMYFUNCTION("IFERROR(GOOGLEFINANCE(TRIM(F3512)&amp;"":"" &amp; TRIM(B3512),""low52""),AE3512)"),230.69)</f>
        <v>230.69</v>
      </c>
      <c r="AI3512" s="1">
        <f ca="1">IFERROR(__xludf.DUMMYFUNCTION("IFERROR(GOOGLEFINANCE(B3512,""eps""),0)"),10.49)</f>
        <v>10.49</v>
      </c>
      <c r="AJ3512" s="1"/>
      <c r="AK3512" s="1" t="s">
        <v>10751</v>
      </c>
      <c r="AL3512" s="9">
        <f t="shared" ref="AL3512:AL3518" si="334">IF(AA3512&lt;&gt;AB3512,1,0)</f>
        <v>1</v>
      </c>
    </row>
    <row r="3513" spans="1:38" ht="15" x14ac:dyDescent="0.25">
      <c r="A3513" s="1" t="s">
        <v>10752</v>
      </c>
      <c r="B3513" s="1" t="s">
        <v>10753</v>
      </c>
      <c r="C3513" s="1" t="s">
        <v>159</v>
      </c>
      <c r="D3513" s="1" t="s">
        <v>159</v>
      </c>
      <c r="E3513" s="6">
        <v>5313.68</v>
      </c>
      <c r="F3513" s="1" t="s">
        <v>40</v>
      </c>
      <c r="G3513" s="6">
        <f ca="1">IFERROR(__xludf.DUMMYFUNCTION("iferror(GOOGLEFINANCE(TRIM(F3513)&amp;"":"" &amp; TRIM(B3513), ""price""),0
)"),339.1)</f>
        <v>339.1</v>
      </c>
      <c r="H3513" s="6">
        <v>372.7</v>
      </c>
      <c r="I3513" s="6">
        <f t="shared" ca="1" si="0"/>
        <v>339.1</v>
      </c>
      <c r="J3513" s="6">
        <f ca="1">IFERROR(__xludf.DUMMYFUNCTION("IFERROR(GOOGLEFINANCE(B3513, ""volume""), 0)"),222366)</f>
        <v>222366</v>
      </c>
      <c r="K3513" s="6">
        <v>1.29</v>
      </c>
      <c r="L3513" s="6">
        <f ca="1">IFERROR(__xludf.DUMMYFUNCTION("IFERROR(GOOGLEFINANCE(B3513,""changepct""),K3513)"),-0.77)</f>
        <v>-0.77</v>
      </c>
      <c r="M3513" s="6">
        <f ca="1">IFERROR(__xludf.DUMMYFUNCTION("IFERROR(GOOGLEFINANCE(B3513,""change""),0)"),-0.18)</f>
        <v>-0.18</v>
      </c>
      <c r="N3513" s="6">
        <v>2</v>
      </c>
      <c r="O3513" s="7">
        <v>45536</v>
      </c>
      <c r="P3513" s="6">
        <v>1530.58</v>
      </c>
      <c r="Q3513" s="6">
        <v>6046.8</v>
      </c>
      <c r="R3513" s="7">
        <v>45536</v>
      </c>
      <c r="S3513" s="6">
        <v>12609.73</v>
      </c>
      <c r="T3513" s="6">
        <v>132.25</v>
      </c>
      <c r="U3513" s="7">
        <v>45536</v>
      </c>
      <c r="V3513" s="6">
        <v>33.57</v>
      </c>
      <c r="W3513" s="6">
        <f ca="1">IFERROR(__xludf.DUMMYFUNCTION("IFERROR(GOOGLEFINANCE(B3513,""pe""),V3513)"),27.66)</f>
        <v>27.66</v>
      </c>
      <c r="X3513" s="6">
        <v>-13.93</v>
      </c>
      <c r="Y3513" s="6">
        <v>2.0299999999999998</v>
      </c>
      <c r="Z3513" s="6">
        <v>2</v>
      </c>
      <c r="AA3513" s="8">
        <v>45352</v>
      </c>
      <c r="AB3513" s="4">
        <v>0.64</v>
      </c>
      <c r="AC3513" s="6">
        <v>8.1300000000000008</v>
      </c>
      <c r="AD3513" s="6">
        <v>10.8</v>
      </c>
      <c r="AE3513" s="1">
        <v>0</v>
      </c>
      <c r="AF3513" s="1">
        <f ca="1">IFERROR(__xludf.DUMMYFUNCTION("IFERROR(GOOGLEFINANCE(TRIM(F3513)&amp;"":"" &amp; TRIM(B3513),""high52""),AE3513)"),401.85)</f>
        <v>401.85</v>
      </c>
      <c r="AG3513" s="1">
        <v>0</v>
      </c>
      <c r="AH3513" s="1">
        <f ca="1">IFERROR(__xludf.DUMMYFUNCTION("IFERROR(GOOGLEFINANCE(TRIM(F3513)&amp;"":"" &amp; TRIM(B3513),""low52""),AE3513)"),287.9)</f>
        <v>287.89999999999998</v>
      </c>
      <c r="AI3513" s="1">
        <f ca="1">IFERROR(__xludf.DUMMYFUNCTION("IFERROR(GOOGLEFINANCE(B3513,""eps""),0)"),0.86)</f>
        <v>0.86</v>
      </c>
      <c r="AJ3513" s="1"/>
      <c r="AK3513" s="1" t="s">
        <v>10754</v>
      </c>
      <c r="AL3513" s="9">
        <f t="shared" si="334"/>
        <v>1</v>
      </c>
    </row>
    <row r="3514" spans="1:38" ht="15" x14ac:dyDescent="0.25">
      <c r="A3514" s="1" t="s">
        <v>10755</v>
      </c>
      <c r="B3514" s="1" t="s">
        <v>10756</v>
      </c>
      <c r="C3514" s="1" t="s">
        <v>1410</v>
      </c>
      <c r="D3514" s="1" t="s">
        <v>1410</v>
      </c>
      <c r="E3514" s="6">
        <v>119.01</v>
      </c>
      <c r="F3514" s="1" t="s">
        <v>53</v>
      </c>
      <c r="G3514" s="6">
        <f ca="1">IFERROR(__xludf.DUMMYFUNCTION("iferror(GOOGLEFINANCE(TRIM(F3514)&amp;"":"" &amp; TRIM(B3514), ""price""),0
)"),0)</f>
        <v>0</v>
      </c>
      <c r="H3514" s="6">
        <v>79.2</v>
      </c>
      <c r="I3514" s="6">
        <f t="shared" ca="1" si="0"/>
        <v>79.2</v>
      </c>
      <c r="J3514" s="6">
        <f ca="1">IFERROR(__xludf.DUMMYFUNCTION("IFERROR(GOOGLEFINANCE(B3514, ""volume""), 0)"),0)</f>
        <v>0</v>
      </c>
      <c r="K3514" s="6">
        <v>-0.36</v>
      </c>
      <c r="L3514" s="6">
        <f ca="1">IFERROR(__xludf.DUMMYFUNCTION("IFERROR(GOOGLEFINANCE(B3514,""changepct""),K3514)"),-0.36)</f>
        <v>-0.36</v>
      </c>
      <c r="M3514" s="6">
        <f ca="1">IFERROR(__xludf.DUMMYFUNCTION("IFERROR(GOOGLEFINANCE(B3514,""change""),0)"),0)</f>
        <v>0</v>
      </c>
      <c r="N3514" s="6">
        <v>2</v>
      </c>
      <c r="O3514" s="7">
        <v>45536</v>
      </c>
      <c r="P3514" s="6">
        <v>22.74</v>
      </c>
      <c r="Q3514" s="6">
        <v>138.75</v>
      </c>
      <c r="R3514" s="7">
        <v>45536</v>
      </c>
      <c r="S3514" s="6">
        <v>33.44</v>
      </c>
      <c r="T3514" s="6">
        <v>1</v>
      </c>
      <c r="U3514" s="7">
        <v>45536</v>
      </c>
      <c r="V3514" s="6">
        <v>134.78</v>
      </c>
      <c r="W3514" s="6">
        <f ca="1">IFERROR(__xludf.DUMMYFUNCTION("IFERROR(GOOGLEFINANCE(B3514,""pe""),V3514)"),134.78)</f>
        <v>134.78</v>
      </c>
      <c r="X3514" s="9"/>
      <c r="Y3514" s="6">
        <v>2.93</v>
      </c>
      <c r="Z3514" s="6">
        <v>2</v>
      </c>
      <c r="AA3514" s="8">
        <v>45352</v>
      </c>
      <c r="AB3514" s="4">
        <v>1.02</v>
      </c>
      <c r="AC3514" s="6">
        <v>10.55</v>
      </c>
      <c r="AD3514" s="6">
        <v>12.3</v>
      </c>
      <c r="AE3514" s="1">
        <v>0</v>
      </c>
      <c r="AF3514" s="1">
        <f ca="1">IFERROR(__xludf.DUMMYFUNCTION("IFERROR(GOOGLEFINANCE(TRIM(F3514)&amp;"":"" &amp; TRIM(B3514),""high52""),AE3514)"),0)</f>
        <v>0</v>
      </c>
      <c r="AG3514" s="1">
        <v>0</v>
      </c>
      <c r="AH3514" s="1">
        <f ca="1">IFERROR(__xludf.DUMMYFUNCTION("IFERROR(GOOGLEFINANCE(TRIM(F3514)&amp;"":"" &amp; TRIM(B3514),""low52""),AE3514)"),0)</f>
        <v>0</v>
      </c>
      <c r="AI3514" s="1">
        <f ca="1">IFERROR(__xludf.DUMMYFUNCTION("IFERROR(GOOGLEFINANCE(B3514,""eps""),0)"),0)</f>
        <v>0</v>
      </c>
      <c r="AJ3514" s="1"/>
      <c r="AK3514" s="1" t="s">
        <v>10757</v>
      </c>
      <c r="AL3514" s="9">
        <f t="shared" si="334"/>
        <v>1</v>
      </c>
    </row>
    <row r="3515" spans="1:38" ht="15" x14ac:dyDescent="0.25">
      <c r="A3515" s="1" t="s">
        <v>10758</v>
      </c>
      <c r="B3515" s="1" t="s">
        <v>10759</v>
      </c>
      <c r="C3515" s="1" t="s">
        <v>1682</v>
      </c>
      <c r="D3515" s="1" t="s">
        <v>1682</v>
      </c>
      <c r="E3515" s="6">
        <v>71.510000000000005</v>
      </c>
      <c r="F3515" s="1" t="s">
        <v>40</v>
      </c>
      <c r="G3515" s="6">
        <f ca="1">IFERROR(__xludf.DUMMYFUNCTION("iferror(GOOGLEFINANCE(TRIM(F3515)&amp;"":"" &amp; TRIM(B3515), ""price""),0
)"),0.35)</f>
        <v>0.35</v>
      </c>
      <c r="H3515" s="6">
        <v>0.81</v>
      </c>
      <c r="I3515" s="6">
        <f t="shared" ca="1" si="0"/>
        <v>0.35</v>
      </c>
      <c r="J3515" s="6">
        <f ca="1">IFERROR(__xludf.DUMMYFUNCTION("IFERROR(GOOGLEFINANCE(B3515, ""volume""), 0)"),575401)</f>
        <v>575401</v>
      </c>
      <c r="K3515" s="6">
        <v>0</v>
      </c>
      <c r="L3515" s="6">
        <f ca="1">IFERROR(__xludf.DUMMYFUNCTION("IFERROR(GOOGLEFINANCE(B3515,""changepct""),K3515)"),2.94)</f>
        <v>2.94</v>
      </c>
      <c r="M3515" s="6">
        <f ca="1">IFERROR(__xludf.DUMMYFUNCTION("IFERROR(GOOGLEFINANCE(B3515,""change""),0)"),0.01)</f>
        <v>0.01</v>
      </c>
      <c r="N3515" s="6">
        <v>1</v>
      </c>
      <c r="O3515" s="7">
        <v>45352</v>
      </c>
      <c r="P3515" s="6">
        <v>771.38</v>
      </c>
      <c r="Q3515" s="6">
        <v>640.49</v>
      </c>
      <c r="R3515" s="7">
        <v>45352</v>
      </c>
      <c r="S3515" s="6">
        <v>433.22</v>
      </c>
      <c r="T3515" s="6">
        <v>-150.54</v>
      </c>
      <c r="U3515" s="7">
        <v>45352</v>
      </c>
      <c r="V3515" s="6">
        <v>0</v>
      </c>
      <c r="W3515" s="6">
        <f ca="1">IFERROR(__xludf.DUMMYFUNCTION("IFERROR(GOOGLEFINANCE(B3515,""pe""),V3515)"),0)</f>
        <v>0</v>
      </c>
      <c r="X3515" s="6">
        <v>0</v>
      </c>
      <c r="Y3515" s="6">
        <v>-7.0000000000000007E-2</v>
      </c>
      <c r="Z3515" s="6">
        <v>2</v>
      </c>
      <c r="AA3515" s="8">
        <v>45352</v>
      </c>
      <c r="AB3515" s="4">
        <v>-0.8</v>
      </c>
      <c r="AC3515" s="6">
        <v>0</v>
      </c>
      <c r="AD3515" s="6">
        <v>0</v>
      </c>
      <c r="AE3515" s="1">
        <v>0</v>
      </c>
      <c r="AF3515" s="1">
        <f ca="1">IFERROR(__xludf.DUMMYFUNCTION("IFERROR(GOOGLEFINANCE(TRIM(F3515)&amp;"":"" &amp; TRIM(B3515),""high52""),AE3515)"),0.69)</f>
        <v>0.69</v>
      </c>
      <c r="AG3515" s="1">
        <v>0</v>
      </c>
      <c r="AH3515" s="1">
        <f ca="1">IFERROR(__xludf.DUMMYFUNCTION("IFERROR(GOOGLEFINANCE(TRIM(F3515)&amp;"":"" &amp; TRIM(B3515),""low52""),AE3515)"),0.31)</f>
        <v>0.31</v>
      </c>
      <c r="AI3515" s="1">
        <f ca="1">IFERROR(__xludf.DUMMYFUNCTION("IFERROR(GOOGLEFINANCE(B3515,""eps""),0)"),-2.48)</f>
        <v>-2.48</v>
      </c>
      <c r="AJ3515" s="1"/>
      <c r="AK3515" s="1" t="s">
        <v>10760</v>
      </c>
      <c r="AL3515" s="9">
        <f t="shared" si="334"/>
        <v>1</v>
      </c>
    </row>
    <row r="3516" spans="1:38" ht="15" x14ac:dyDescent="0.25">
      <c r="A3516" s="1" t="s">
        <v>10761</v>
      </c>
      <c r="B3516" s="1" t="s">
        <v>10762</v>
      </c>
      <c r="C3516" s="1" t="s">
        <v>1410</v>
      </c>
      <c r="D3516" s="1" t="s">
        <v>1410</v>
      </c>
      <c r="E3516" s="6">
        <v>34.26</v>
      </c>
      <c r="F3516" s="1" t="s">
        <v>53</v>
      </c>
      <c r="G3516" s="6">
        <f ca="1">IFERROR(__xludf.DUMMYFUNCTION("iferror(GOOGLEFINANCE(TRIM(F3516)&amp;"":"" &amp; TRIM(B3516), ""price""),0
)"),0)</f>
        <v>0</v>
      </c>
      <c r="H3516" s="6">
        <v>20.2</v>
      </c>
      <c r="I3516" s="6">
        <f t="shared" ca="1" si="0"/>
        <v>20.2</v>
      </c>
      <c r="J3516" s="6">
        <f ca="1">IFERROR(__xludf.DUMMYFUNCTION("IFERROR(GOOGLEFINANCE(B3516, ""volume""), 0)"),0)</f>
        <v>0</v>
      </c>
      <c r="K3516" s="6">
        <v>0.25</v>
      </c>
      <c r="L3516" s="6">
        <f ca="1">IFERROR(__xludf.DUMMYFUNCTION("IFERROR(GOOGLEFINANCE(B3516,""changepct""),K3516)"),0.25)</f>
        <v>0.25</v>
      </c>
      <c r="M3516" s="6">
        <f ca="1">IFERROR(__xludf.DUMMYFUNCTION("IFERROR(GOOGLEFINANCE(B3516,""change""),0)"),0)</f>
        <v>0</v>
      </c>
      <c r="N3516" s="6">
        <v>1</v>
      </c>
      <c r="O3516" s="7">
        <v>45536</v>
      </c>
      <c r="P3516" s="6">
        <v>0.7</v>
      </c>
      <c r="Q3516" s="6">
        <v>34.96</v>
      </c>
      <c r="R3516" s="9"/>
      <c r="S3516" s="9"/>
      <c r="T3516" s="9"/>
      <c r="U3516" s="7">
        <v>45352</v>
      </c>
      <c r="V3516" s="6">
        <v>16.260000000000002</v>
      </c>
      <c r="W3516" s="6">
        <f ca="1">IFERROR(__xludf.DUMMYFUNCTION("IFERROR(GOOGLEFINANCE(B3516,""pe""),V3516)"),16.26)</f>
        <v>16.260000000000002</v>
      </c>
      <c r="X3516" s="9"/>
      <c r="Y3516" s="6">
        <v>1.23</v>
      </c>
      <c r="Z3516" s="6">
        <v>2</v>
      </c>
      <c r="AA3516" s="8">
        <v>45352</v>
      </c>
      <c r="AB3516" s="4">
        <v>0.04</v>
      </c>
      <c r="AC3516" s="6">
        <v>13.15</v>
      </c>
      <c r="AD3516" s="6">
        <v>17.309999999999999</v>
      </c>
      <c r="AE3516" s="1">
        <v>0</v>
      </c>
      <c r="AF3516" s="1">
        <f ca="1">IFERROR(__xludf.DUMMYFUNCTION("IFERROR(GOOGLEFINANCE(TRIM(F3516)&amp;"":"" &amp; TRIM(B3516),""high52""),AE3516)"),0)</f>
        <v>0</v>
      </c>
      <c r="AG3516" s="1">
        <v>0</v>
      </c>
      <c r="AH3516" s="1">
        <f ca="1">IFERROR(__xludf.DUMMYFUNCTION("IFERROR(GOOGLEFINANCE(TRIM(F3516)&amp;"":"" &amp; TRIM(B3516),""low52""),AE3516)"),0)</f>
        <v>0</v>
      </c>
      <c r="AI3516" s="1">
        <f ca="1">IFERROR(__xludf.DUMMYFUNCTION("IFERROR(GOOGLEFINANCE(B3516,""eps""),0)"),0)</f>
        <v>0</v>
      </c>
      <c r="AJ3516" s="1"/>
      <c r="AK3516" s="1" t="s">
        <v>10763</v>
      </c>
      <c r="AL3516" s="9">
        <f t="shared" si="334"/>
        <v>1</v>
      </c>
    </row>
    <row r="3517" spans="1:38" ht="15" x14ac:dyDescent="0.25">
      <c r="A3517" s="1" t="s">
        <v>10764</v>
      </c>
      <c r="B3517" s="1" t="s">
        <v>10765</v>
      </c>
      <c r="C3517" s="1" t="s">
        <v>154</v>
      </c>
      <c r="D3517" s="1" t="s">
        <v>154</v>
      </c>
      <c r="E3517" s="6">
        <v>4365.51</v>
      </c>
      <c r="F3517" s="1" t="s">
        <v>40</v>
      </c>
      <c r="G3517" s="6">
        <f ca="1">IFERROR(__xludf.DUMMYFUNCTION("iferror(GOOGLEFINANCE(TRIM(F3517)&amp;"":"" &amp; TRIM(B3517), ""price""),0
)"),506.2)</f>
        <v>506.2</v>
      </c>
      <c r="H3517" s="6">
        <v>956.45</v>
      </c>
      <c r="I3517" s="6">
        <f t="shared" ca="1" si="0"/>
        <v>506.2</v>
      </c>
      <c r="J3517" s="6">
        <f ca="1">IFERROR(__xludf.DUMMYFUNCTION("IFERROR(GOOGLEFINANCE(B3517, ""volume""), 0)"),54077)</f>
        <v>54077</v>
      </c>
      <c r="K3517" s="6">
        <v>-0.7</v>
      </c>
      <c r="L3517" s="6">
        <f ca="1">IFERROR(__xludf.DUMMYFUNCTION("IFERROR(GOOGLEFINANCE(B3517,""changepct""),K3517)"),-1.6)</f>
        <v>-1.6</v>
      </c>
      <c r="M3517" s="6">
        <f ca="1">IFERROR(__xludf.DUMMYFUNCTION("IFERROR(GOOGLEFINANCE(B3517,""change""),0)"),-8.25)</f>
        <v>-8.25</v>
      </c>
      <c r="N3517" s="6">
        <v>2</v>
      </c>
      <c r="O3517" s="7">
        <v>45536</v>
      </c>
      <c r="P3517" s="6">
        <v>254.04</v>
      </c>
      <c r="Q3517" s="6">
        <v>4611.7</v>
      </c>
      <c r="R3517" s="7">
        <v>45536</v>
      </c>
      <c r="S3517" s="6">
        <v>2065.84</v>
      </c>
      <c r="T3517" s="6">
        <v>193.15</v>
      </c>
      <c r="U3517" s="7">
        <v>45536</v>
      </c>
      <c r="V3517" s="6">
        <v>22.6</v>
      </c>
      <c r="W3517" s="6">
        <f ca="1">IFERROR(__xludf.DUMMYFUNCTION("IFERROR(GOOGLEFINANCE(B3517,""pe""),V3517)"),11.2)</f>
        <v>11.2</v>
      </c>
      <c r="X3517" s="6">
        <v>1.8</v>
      </c>
      <c r="Y3517" s="6">
        <v>3.64</v>
      </c>
      <c r="Z3517" s="6">
        <v>2</v>
      </c>
      <c r="AA3517" s="8">
        <v>45352</v>
      </c>
      <c r="AB3517" s="4">
        <v>0.14000000000000001</v>
      </c>
      <c r="AC3517" s="6">
        <v>16.25</v>
      </c>
      <c r="AD3517" s="6">
        <v>20.67</v>
      </c>
      <c r="AE3517" s="1">
        <v>0</v>
      </c>
      <c r="AF3517" s="1">
        <f ca="1">IFERROR(__xludf.DUMMYFUNCTION("IFERROR(GOOGLEFINANCE(TRIM(F3517)&amp;"":"" &amp; TRIM(B3517),""high52""),AE3517)"),848.8)</f>
        <v>848.8</v>
      </c>
      <c r="AG3517" s="1">
        <v>0</v>
      </c>
      <c r="AH3517" s="1">
        <f ca="1">IFERROR(__xludf.DUMMYFUNCTION("IFERROR(GOOGLEFINANCE(TRIM(F3517)&amp;"":"" &amp; TRIM(B3517),""low52""),AE3517)"),494.1)</f>
        <v>494.1</v>
      </c>
      <c r="AI3517" s="1">
        <f ca="1">IFERROR(__xludf.DUMMYFUNCTION("IFERROR(GOOGLEFINANCE(B3517,""eps""),0)"),45.21)</f>
        <v>45.21</v>
      </c>
      <c r="AJ3517" s="1"/>
      <c r="AK3517" s="1" t="s">
        <v>10766</v>
      </c>
      <c r="AL3517" s="9">
        <f t="shared" si="334"/>
        <v>1</v>
      </c>
    </row>
    <row r="3518" spans="1:38" ht="15" x14ac:dyDescent="0.25">
      <c r="A3518" s="1" t="s">
        <v>10767</v>
      </c>
      <c r="B3518" s="1" t="s">
        <v>10768</v>
      </c>
      <c r="C3518" s="1" t="s">
        <v>259</v>
      </c>
      <c r="D3518" s="1" t="s">
        <v>259</v>
      </c>
      <c r="E3518" s="6">
        <v>970.83</v>
      </c>
      <c r="F3518" s="1" t="s">
        <v>40</v>
      </c>
      <c r="G3518" s="6">
        <f ca="1">IFERROR(__xludf.DUMMYFUNCTION("iferror(GOOGLEFINANCE(TRIM(F3518)&amp;"":"" &amp; TRIM(B3518), ""price""),0
)"),0)</f>
        <v>0</v>
      </c>
      <c r="H3518" s="6">
        <v>622</v>
      </c>
      <c r="I3518" s="6">
        <f t="shared" ca="1" si="0"/>
        <v>622</v>
      </c>
      <c r="J3518" s="6">
        <f ca="1">IFERROR(__xludf.DUMMYFUNCTION("IFERROR(GOOGLEFINANCE(B3518, ""volume""), 0)"),0)</f>
        <v>0</v>
      </c>
      <c r="K3518" s="6">
        <v>-3.11</v>
      </c>
      <c r="L3518" s="6">
        <f ca="1">IFERROR(__xludf.DUMMYFUNCTION("IFERROR(GOOGLEFINANCE(B3518,""changepct""),K3518)"),-3.11)</f>
        <v>-3.11</v>
      </c>
      <c r="M3518" s="6">
        <f ca="1">IFERROR(__xludf.DUMMYFUNCTION("IFERROR(GOOGLEFINANCE(B3518,""change""),0)"),0)</f>
        <v>0</v>
      </c>
      <c r="N3518" s="6">
        <v>2</v>
      </c>
      <c r="O3518" s="7">
        <v>45536</v>
      </c>
      <c r="P3518" s="6">
        <v>47.9</v>
      </c>
      <c r="Q3518" s="6">
        <v>1018.73</v>
      </c>
      <c r="R3518" s="7">
        <v>45536</v>
      </c>
      <c r="S3518" s="6">
        <v>392.68</v>
      </c>
      <c r="T3518" s="6">
        <v>36.74</v>
      </c>
      <c r="U3518" s="7">
        <v>45536</v>
      </c>
      <c r="V3518" s="6">
        <v>26.42</v>
      </c>
      <c r="W3518" s="6">
        <f ca="1">IFERROR(__xludf.DUMMYFUNCTION("IFERROR(GOOGLEFINANCE(B3518,""pe""),V3518)"),26.42)</f>
        <v>26.42</v>
      </c>
      <c r="X3518" s="12"/>
      <c r="Y3518" s="6">
        <v>5.63</v>
      </c>
      <c r="Z3518" s="6">
        <v>2</v>
      </c>
      <c r="AA3518" s="8">
        <v>45352</v>
      </c>
      <c r="AB3518" s="4">
        <v>0.12</v>
      </c>
      <c r="AC3518" s="6">
        <v>31.53</v>
      </c>
      <c r="AD3518" s="6">
        <v>33.6</v>
      </c>
      <c r="AE3518" s="1">
        <v>0</v>
      </c>
      <c r="AF3518" s="1">
        <f ca="1">IFERROR(__xludf.DUMMYFUNCTION("IFERROR(GOOGLEFINANCE(TRIM(F3518)&amp;"":"" &amp; TRIM(B3518),""high52""),AE3518)"),0)</f>
        <v>0</v>
      </c>
      <c r="AG3518" s="1">
        <v>0</v>
      </c>
      <c r="AH3518" s="1">
        <f ca="1">IFERROR(__xludf.DUMMYFUNCTION("IFERROR(GOOGLEFINANCE(TRIM(F3518)&amp;"":"" &amp; TRIM(B3518),""low52""),AE3518)"),0)</f>
        <v>0</v>
      </c>
      <c r="AI3518" s="1">
        <f ca="1">IFERROR(__xludf.DUMMYFUNCTION("IFERROR(GOOGLEFINANCE(B3518,""eps""),0)"),0)</f>
        <v>0</v>
      </c>
      <c r="AJ3518" s="1"/>
      <c r="AK3518" s="1" t="s">
        <v>10769</v>
      </c>
      <c r="AL3518" s="9">
        <f t="shared" si="334"/>
        <v>1</v>
      </c>
    </row>
    <row r="3519" spans="1:38" ht="15" x14ac:dyDescent="0.25">
      <c r="A3519" s="1" t="s">
        <v>10770</v>
      </c>
      <c r="B3519" s="1" t="s">
        <v>10771</v>
      </c>
      <c r="C3519" s="1" t="s">
        <v>355</v>
      </c>
      <c r="D3519" s="1" t="s">
        <v>355</v>
      </c>
      <c r="E3519" s="6">
        <v>3687.04</v>
      </c>
      <c r="F3519" s="1" t="s">
        <v>40</v>
      </c>
      <c r="G3519" s="6">
        <f ca="1">IFERROR(__xludf.DUMMYFUNCTION("iferror(GOOGLEFINANCE(TRIM(F3519)&amp;"":"" &amp; TRIM(B3519), ""price""),0
)"),1650.6)</f>
        <v>1650.6</v>
      </c>
      <c r="H3519" s="6">
        <v>1171.7</v>
      </c>
      <c r="I3519" s="6">
        <f t="shared" ca="1" si="0"/>
        <v>1650.6</v>
      </c>
      <c r="J3519" s="6">
        <f ca="1">IFERROR(__xludf.DUMMYFUNCTION("IFERROR(GOOGLEFINANCE(B3519, ""volume""), 0)"),201047)</f>
        <v>201047</v>
      </c>
      <c r="K3519" s="6">
        <v>-0.57999999999999996</v>
      </c>
      <c r="L3519" s="6">
        <f ca="1">IFERROR(__xludf.DUMMYFUNCTION("IFERROR(GOOGLEFINANCE(B3519,""changepct""),K3519)"),0.3)</f>
        <v>0.3</v>
      </c>
      <c r="M3519" s="6">
        <f ca="1">IFERROR(__xludf.DUMMYFUNCTION("IFERROR(GOOGLEFINANCE(B3519,""change""),0)"),5)</f>
        <v>5</v>
      </c>
      <c r="N3519" s="6">
        <v>2</v>
      </c>
      <c r="O3519" s="7">
        <v>45536</v>
      </c>
      <c r="P3519" s="6">
        <v>10.25</v>
      </c>
      <c r="Q3519" s="6">
        <v>3680.89</v>
      </c>
      <c r="R3519" s="7">
        <v>45536</v>
      </c>
      <c r="S3519" s="6">
        <v>728.79</v>
      </c>
      <c r="T3519" s="6">
        <v>105.42</v>
      </c>
      <c r="U3519" s="7">
        <v>45536</v>
      </c>
      <c r="V3519" s="6">
        <v>35.35</v>
      </c>
      <c r="W3519" s="6">
        <f ca="1">IFERROR(__xludf.DUMMYFUNCTION("IFERROR(GOOGLEFINANCE(B3519,""pe""),V3519)"),35.35)</f>
        <v>35.35</v>
      </c>
      <c r="X3519" s="12"/>
      <c r="Y3519" s="6">
        <v>6.1</v>
      </c>
      <c r="Z3519" s="6">
        <v>2</v>
      </c>
      <c r="AA3519" s="8">
        <v>45352</v>
      </c>
      <c r="AB3519" s="4">
        <v>0.13</v>
      </c>
      <c r="AC3519" s="6">
        <v>17.649999999999999</v>
      </c>
      <c r="AD3519" s="6">
        <v>22.72</v>
      </c>
      <c r="AE3519" s="1">
        <v>0</v>
      </c>
      <c r="AF3519" s="1">
        <f ca="1">IFERROR(__xludf.DUMMYFUNCTION("IFERROR(GOOGLEFINANCE(TRIM(F3519)&amp;"":"" &amp; TRIM(B3519),""high52""),AE3519)"),1869)</f>
        <v>1869</v>
      </c>
      <c r="AG3519" s="1">
        <v>0</v>
      </c>
      <c r="AH3519" s="1">
        <f ca="1">IFERROR(__xludf.DUMMYFUNCTION("IFERROR(GOOGLEFINANCE(TRIM(F3519)&amp;"":"" &amp; TRIM(B3519),""low52""),AE3519)"),808.15)</f>
        <v>808.15</v>
      </c>
      <c r="AI3519" s="1">
        <f ca="1">IFERROR(__xludf.DUMMYFUNCTION("IFERROR(GOOGLEFINANCE(B3519,""eps""),0)"),0)</f>
        <v>0</v>
      </c>
      <c r="AJ3519" s="1"/>
      <c r="AK3519" s="1" t="s">
        <v>10772</v>
      </c>
      <c r="AL3519" s="1" t="b">
        <f>ISNUMBER(AA3519)</f>
        <v>1</v>
      </c>
    </row>
    <row r="3520" spans="1:38" ht="15" x14ac:dyDescent="0.25">
      <c r="A3520" s="1" t="s">
        <v>10773</v>
      </c>
      <c r="B3520" s="1" t="s">
        <v>10774</v>
      </c>
      <c r="C3520" s="1" t="s">
        <v>268</v>
      </c>
      <c r="D3520" s="1" t="s">
        <v>268</v>
      </c>
      <c r="E3520" s="6">
        <v>42972.31</v>
      </c>
      <c r="F3520" s="1" t="s">
        <v>40</v>
      </c>
      <c r="G3520" s="6">
        <f ca="1">IFERROR(__xludf.DUMMYFUNCTION("iferror(GOOGLEFINANCE(TRIM(F3520)&amp;"":"" &amp; TRIM(B3520), ""price""),0
)"),70.89)</f>
        <v>70.89</v>
      </c>
      <c r="H3520" s="6">
        <v>110.75</v>
      </c>
      <c r="I3520" s="6">
        <f t="shared" ca="1" si="0"/>
        <v>70.89</v>
      </c>
      <c r="J3520" s="6">
        <f ca="1">IFERROR(__xludf.DUMMYFUNCTION("IFERROR(GOOGLEFINANCE(B3520, ""volume""), 0)"),6158282)</f>
        <v>6158282</v>
      </c>
      <c r="K3520" s="6">
        <v>1.28</v>
      </c>
      <c r="L3520" s="6">
        <f ca="1">IFERROR(__xludf.DUMMYFUNCTION("IFERROR(GOOGLEFINANCE(B3520,""changepct""),K3520)"),-0.46)</f>
        <v>-0.46</v>
      </c>
      <c r="M3520" s="6">
        <f ca="1">IFERROR(__xludf.DUMMYFUNCTION("IFERROR(GOOGLEFINANCE(B3520,""change""),0)"),-0.33)</f>
        <v>-0.33</v>
      </c>
      <c r="N3520" s="6">
        <v>2</v>
      </c>
      <c r="O3520" s="7">
        <v>45536</v>
      </c>
      <c r="P3520" s="6">
        <v>23810.45</v>
      </c>
      <c r="Q3520" s="6">
        <v>62769.25</v>
      </c>
      <c r="R3520" s="7">
        <v>45536</v>
      </c>
      <c r="S3520" s="6">
        <v>2922.84</v>
      </c>
      <c r="T3520" s="6">
        <v>1009.57</v>
      </c>
      <c r="U3520" s="7">
        <v>45536</v>
      </c>
      <c r="V3520" s="6">
        <v>42.35</v>
      </c>
      <c r="W3520" s="6">
        <f ca="1">IFERROR(__xludf.DUMMYFUNCTION("IFERROR(GOOGLEFINANCE(B3520,""pe""),V3520)"),49.1)</f>
        <v>49.1</v>
      </c>
      <c r="X3520" s="6">
        <v>-4.43</v>
      </c>
      <c r="Y3520" s="6">
        <v>2.94</v>
      </c>
      <c r="Z3520" s="6">
        <v>2</v>
      </c>
      <c r="AA3520" s="8">
        <v>45352</v>
      </c>
      <c r="AB3520" s="4">
        <v>1.44</v>
      </c>
      <c r="AC3520" s="6">
        <v>6.53</v>
      </c>
      <c r="AD3520" s="6">
        <v>5.33</v>
      </c>
      <c r="AE3520" s="1">
        <v>0</v>
      </c>
      <c r="AF3520" s="1">
        <f ca="1">IFERROR(__xludf.DUMMYFUNCTION("IFERROR(GOOGLEFINANCE(TRIM(F3520)&amp;"":"" &amp; TRIM(B3520),""high52""),AE3520)"),107.5)</f>
        <v>107.5</v>
      </c>
      <c r="AG3520" s="1">
        <v>0</v>
      </c>
      <c r="AH3520" s="1">
        <f ca="1">IFERROR(__xludf.DUMMYFUNCTION("IFERROR(GOOGLEFINANCE(TRIM(F3520)&amp;"":"" &amp; TRIM(B3520),""low52""),AE3520)"),68.13)</f>
        <v>68.13</v>
      </c>
      <c r="AI3520" s="1">
        <f ca="1">IFERROR(__xludf.DUMMYFUNCTION("IFERROR(GOOGLEFINANCE(B3520,""eps""),0)"),1.44)</f>
        <v>1.44</v>
      </c>
      <c r="AJ3520" s="1"/>
      <c r="AK3520" s="1" t="s">
        <v>10775</v>
      </c>
      <c r="AL3520" s="9">
        <f t="shared" ref="AL3520:AL3522" si="335">IF(AA3520&lt;&gt;AB3520,1,0)</f>
        <v>1</v>
      </c>
    </row>
    <row r="3521" spans="1:38" ht="15" x14ac:dyDescent="0.25">
      <c r="A3521" s="1" t="s">
        <v>10776</v>
      </c>
      <c r="B3521" s="1" t="s">
        <v>10777</v>
      </c>
      <c r="C3521" s="1" t="s">
        <v>359</v>
      </c>
      <c r="D3521" s="1" t="s">
        <v>359</v>
      </c>
      <c r="E3521" s="6">
        <v>18.72</v>
      </c>
      <c r="F3521" s="1" t="s">
        <v>53</v>
      </c>
      <c r="G3521" s="6">
        <f ca="1">IFERROR(__xludf.DUMMYFUNCTION("iferror(GOOGLEFINANCE(TRIM(F3521)&amp;"":"" &amp; TRIM(B3521), ""price""),0
)"),0)</f>
        <v>0</v>
      </c>
      <c r="H3521" s="6">
        <v>31.1</v>
      </c>
      <c r="I3521" s="6">
        <f t="shared" ca="1" si="0"/>
        <v>31.1</v>
      </c>
      <c r="J3521" s="6">
        <f ca="1">IFERROR(__xludf.DUMMYFUNCTION("IFERROR(GOOGLEFINANCE(B3521, ""volume""), 0)"),0)</f>
        <v>0</v>
      </c>
      <c r="K3521" s="9"/>
      <c r="L3521" s="6" t="str">
        <f ca="1">IFERROR(__xludf.DUMMYFUNCTION("IFERROR(GOOGLEFINANCE(B3521,""changepct""),K3521)"),"")</f>
        <v/>
      </c>
      <c r="M3521" s="6">
        <f ca="1">IFERROR(__xludf.DUMMYFUNCTION("IFERROR(GOOGLEFINANCE(B3521,""change""),0)"),0)</f>
        <v>0</v>
      </c>
      <c r="N3521" s="6">
        <v>1</v>
      </c>
      <c r="O3521" s="7">
        <v>45536</v>
      </c>
      <c r="P3521" s="6">
        <v>1.52</v>
      </c>
      <c r="Q3521" s="6">
        <v>20.239999999999998</v>
      </c>
      <c r="R3521" s="7">
        <v>45352</v>
      </c>
      <c r="S3521" s="6">
        <v>29.84</v>
      </c>
      <c r="T3521" s="6">
        <v>0.12</v>
      </c>
      <c r="U3521" s="7">
        <v>45352</v>
      </c>
      <c r="V3521" s="6">
        <v>150.26</v>
      </c>
      <c r="W3521" s="6">
        <f ca="1">IFERROR(__xludf.DUMMYFUNCTION("IFERROR(GOOGLEFINANCE(B3521,""pe""),V3521)"),150.26)</f>
        <v>150.26</v>
      </c>
      <c r="X3521" s="12"/>
      <c r="Y3521" s="6">
        <v>1.21</v>
      </c>
      <c r="Z3521" s="6">
        <v>1</v>
      </c>
      <c r="AA3521" s="8">
        <v>45352</v>
      </c>
      <c r="AB3521" s="4">
        <v>1.23</v>
      </c>
      <c r="AC3521" s="6">
        <v>3</v>
      </c>
      <c r="AD3521" s="6">
        <v>12.46</v>
      </c>
      <c r="AE3521" s="1">
        <v>0</v>
      </c>
      <c r="AF3521" s="1">
        <f ca="1">IFERROR(__xludf.DUMMYFUNCTION("IFERROR(GOOGLEFINANCE(TRIM(F3521)&amp;"":"" &amp; TRIM(B3521),""high52""),AE3521)"),0)</f>
        <v>0</v>
      </c>
      <c r="AG3521" s="1">
        <v>0</v>
      </c>
      <c r="AH3521" s="1">
        <f ca="1">IFERROR(__xludf.DUMMYFUNCTION("IFERROR(GOOGLEFINANCE(TRIM(F3521)&amp;"":"" &amp; TRIM(B3521),""low52""),AE3521)"),0)</f>
        <v>0</v>
      </c>
      <c r="AI3521" s="1">
        <f ca="1">IFERROR(__xludf.DUMMYFUNCTION("IFERROR(GOOGLEFINANCE(B3521,""eps""),0)"),0)</f>
        <v>0</v>
      </c>
      <c r="AJ3521" s="1"/>
      <c r="AK3521" s="1" t="s">
        <v>10778</v>
      </c>
      <c r="AL3521" s="9">
        <f t="shared" si="335"/>
        <v>1</v>
      </c>
    </row>
    <row r="3522" spans="1:38" ht="15" x14ac:dyDescent="0.25">
      <c r="A3522" s="1" t="s">
        <v>10779</v>
      </c>
      <c r="B3522" s="1" t="s">
        <v>10780</v>
      </c>
      <c r="C3522" s="1" t="s">
        <v>359</v>
      </c>
      <c r="D3522" s="1" t="s">
        <v>359</v>
      </c>
      <c r="E3522" s="6">
        <v>102.44</v>
      </c>
      <c r="F3522" s="1" t="s">
        <v>53</v>
      </c>
      <c r="G3522" s="6">
        <f ca="1">IFERROR(__xludf.DUMMYFUNCTION("iferror(GOOGLEFINANCE(TRIM(F3522)&amp;"":"" &amp; TRIM(B3522), ""price""),0
)"),0)</f>
        <v>0</v>
      </c>
      <c r="H3522" s="6">
        <v>70</v>
      </c>
      <c r="I3522" s="6">
        <f t="shared" ca="1" si="0"/>
        <v>70</v>
      </c>
      <c r="J3522" s="6">
        <f ca="1">IFERROR(__xludf.DUMMYFUNCTION("IFERROR(GOOGLEFINANCE(B3522, ""volume""), 0)"),0)</f>
        <v>0</v>
      </c>
      <c r="K3522" s="9"/>
      <c r="L3522" s="6" t="str">
        <f ca="1">IFERROR(__xludf.DUMMYFUNCTION("IFERROR(GOOGLEFINANCE(B3522,""changepct""),K3522)"),"")</f>
        <v/>
      </c>
      <c r="M3522" s="6">
        <f ca="1">IFERROR(__xludf.DUMMYFUNCTION("IFERROR(GOOGLEFINANCE(B3522,""change""),0)"),0)</f>
        <v>0</v>
      </c>
      <c r="N3522" s="6">
        <v>1</v>
      </c>
      <c r="O3522" s="7">
        <v>45536</v>
      </c>
      <c r="P3522" s="6">
        <v>5.47</v>
      </c>
      <c r="Q3522" s="6">
        <v>107.91</v>
      </c>
      <c r="R3522" s="7">
        <v>45352</v>
      </c>
      <c r="S3522" s="6">
        <v>93.36</v>
      </c>
      <c r="T3522" s="6">
        <v>-3.07</v>
      </c>
      <c r="U3522" s="7">
        <v>45352</v>
      </c>
      <c r="V3522" s="6">
        <v>0</v>
      </c>
      <c r="W3522" s="6">
        <f ca="1">IFERROR(__xludf.DUMMYFUNCTION("IFERROR(GOOGLEFINANCE(B3522,""pe""),V3522)"),0)</f>
        <v>0</v>
      </c>
      <c r="X3522" s="9"/>
      <c r="Y3522" s="6">
        <v>4.18</v>
      </c>
      <c r="Z3522" s="6">
        <v>1</v>
      </c>
      <c r="AA3522" s="8">
        <v>45352</v>
      </c>
      <c r="AB3522" s="4">
        <v>0.26</v>
      </c>
      <c r="AC3522" s="6">
        <v>-11.78</v>
      </c>
      <c r="AD3522" s="6">
        <v>-7.02</v>
      </c>
      <c r="AE3522" s="1">
        <v>0</v>
      </c>
      <c r="AF3522" s="1">
        <f ca="1">IFERROR(__xludf.DUMMYFUNCTION("IFERROR(GOOGLEFINANCE(TRIM(F3522)&amp;"":"" &amp; TRIM(B3522),""high52""),AE3522)"),0)</f>
        <v>0</v>
      </c>
      <c r="AG3522" s="1">
        <v>0</v>
      </c>
      <c r="AH3522" s="1">
        <f ca="1">IFERROR(__xludf.DUMMYFUNCTION("IFERROR(GOOGLEFINANCE(TRIM(F3522)&amp;"":"" &amp; TRIM(B3522),""low52""),AE3522)"),0)</f>
        <v>0</v>
      </c>
      <c r="AI3522" s="1">
        <f ca="1">IFERROR(__xludf.DUMMYFUNCTION("IFERROR(GOOGLEFINANCE(B3522,""eps""),0)"),0)</f>
        <v>0</v>
      </c>
      <c r="AJ3522" s="1"/>
      <c r="AK3522" s="1" t="s">
        <v>10781</v>
      </c>
      <c r="AL3522" s="9">
        <f t="shared" si="335"/>
        <v>1</v>
      </c>
    </row>
    <row r="3523" spans="1:38" ht="15" x14ac:dyDescent="0.25">
      <c r="A3523" s="1" t="s">
        <v>10782</v>
      </c>
      <c r="B3523" s="1" t="s">
        <v>10783</v>
      </c>
      <c r="C3523" s="1" t="s">
        <v>907</v>
      </c>
      <c r="D3523" s="1" t="s">
        <v>907</v>
      </c>
      <c r="E3523" s="6">
        <v>22245.85</v>
      </c>
      <c r="F3523" s="1" t="s">
        <v>40</v>
      </c>
      <c r="G3523" s="6">
        <f ca="1">IFERROR(__xludf.DUMMYFUNCTION("iferror(GOOGLEFINANCE(TRIM(F3523)&amp;"":"" &amp; TRIM(B3523), ""price""),0
)"),1678.9)</f>
        <v>1678.9</v>
      </c>
      <c r="H3523" s="6">
        <v>4510.8500000000004</v>
      </c>
      <c r="I3523" s="6">
        <f t="shared" ca="1" si="0"/>
        <v>1678.9</v>
      </c>
      <c r="J3523" s="6">
        <f ca="1">IFERROR(__xludf.DUMMYFUNCTION("IFERROR(GOOGLEFINANCE(B3523, ""volume""), 0)"),20411)</f>
        <v>20411</v>
      </c>
      <c r="K3523" s="6">
        <v>0.34</v>
      </c>
      <c r="L3523" s="6">
        <f ca="1">IFERROR(__xludf.DUMMYFUNCTION("IFERROR(GOOGLEFINANCE(B3523,""changepct""),K3523)"),0.64)</f>
        <v>0.64</v>
      </c>
      <c r="M3523" s="6">
        <f ca="1">IFERROR(__xludf.DUMMYFUNCTION("IFERROR(GOOGLEFINANCE(B3523,""change""),0)"),10.7)</f>
        <v>10.7</v>
      </c>
      <c r="N3523" s="6">
        <v>2</v>
      </c>
      <c r="O3523" s="7">
        <v>45536</v>
      </c>
      <c r="P3523" s="12"/>
      <c r="Q3523" s="6">
        <v>21458.46</v>
      </c>
      <c r="R3523" s="7">
        <v>45536</v>
      </c>
      <c r="S3523" s="6">
        <v>4746.16</v>
      </c>
      <c r="T3523" s="6">
        <v>560.37</v>
      </c>
      <c r="U3523" s="7">
        <v>45536</v>
      </c>
      <c r="V3523" s="6">
        <v>39.69</v>
      </c>
      <c r="W3523" s="6">
        <f ca="1">IFERROR(__xludf.DUMMYFUNCTION("IFERROR(GOOGLEFINANCE(B3523,""pe""),V3523)"),15.47)</f>
        <v>15.47</v>
      </c>
      <c r="X3523" s="12"/>
      <c r="Y3523" s="6">
        <v>9.6999999999999993</v>
      </c>
      <c r="Z3523" s="6">
        <v>2</v>
      </c>
      <c r="AA3523" s="8">
        <v>45352</v>
      </c>
      <c r="AB3523" s="4">
        <v>0</v>
      </c>
      <c r="AC3523" s="6">
        <v>21.97</v>
      </c>
      <c r="AD3523" s="6">
        <v>29.34</v>
      </c>
      <c r="AE3523" s="1">
        <v>0</v>
      </c>
      <c r="AF3523" s="1">
        <f ca="1">IFERROR(__xludf.DUMMYFUNCTION("IFERROR(GOOGLEFINANCE(TRIM(F3523)&amp;"":"" &amp; TRIM(B3523),""high52""),AE3523)"),2426.09)</f>
        <v>2426.09</v>
      </c>
      <c r="AG3523" s="1">
        <v>0</v>
      </c>
      <c r="AH3523" s="1">
        <f ca="1">IFERROR(__xludf.DUMMYFUNCTION("IFERROR(GOOGLEFINANCE(TRIM(F3523)&amp;"":"" &amp; TRIM(B3523),""low52""),AE3523)"),1636)</f>
        <v>1636</v>
      </c>
      <c r="AI3523" s="1">
        <f ca="1">IFERROR(__xludf.DUMMYFUNCTION("IFERROR(GOOGLEFINANCE(B3523,""eps""),0)"),108.5)</f>
        <v>108.5</v>
      </c>
      <c r="AJ3523" s="1"/>
      <c r="AK3523" s="1" t="s">
        <v>10784</v>
      </c>
      <c r="AL3523" s="1" t="b">
        <f>ISNUMBER(AA3523)</f>
        <v>1</v>
      </c>
    </row>
    <row r="3524" spans="1:38" ht="15" x14ac:dyDescent="0.25">
      <c r="A3524" s="1" t="s">
        <v>10785</v>
      </c>
      <c r="B3524" s="1" t="s">
        <v>10786</v>
      </c>
      <c r="C3524" s="1" t="s">
        <v>112</v>
      </c>
      <c r="D3524" s="1" t="s">
        <v>112</v>
      </c>
      <c r="E3524" s="6">
        <v>105.47</v>
      </c>
      <c r="F3524" s="1" t="s">
        <v>40</v>
      </c>
      <c r="G3524" s="6">
        <f ca="1">IFERROR(__xludf.DUMMYFUNCTION("iferror(GOOGLEFINANCE(TRIM(F3524)&amp;"":"" &amp; TRIM(B3524), ""price""),0
)"),1.28)</f>
        <v>1.28</v>
      </c>
      <c r="H3524" s="6">
        <v>4.74</v>
      </c>
      <c r="I3524" s="6">
        <f t="shared" ca="1" si="0"/>
        <v>1.28</v>
      </c>
      <c r="J3524" s="6">
        <f ca="1">IFERROR(__xludf.DUMMYFUNCTION("IFERROR(GOOGLEFINANCE(B3524, ""volume""), 0)"),0)</f>
        <v>0</v>
      </c>
      <c r="K3524" s="12"/>
      <c r="L3524" s="6">
        <f ca="1">IFERROR(__xludf.DUMMYFUNCTION("IFERROR(GOOGLEFINANCE(B3524,""changepct""),K3524)"),-6.51)</f>
        <v>-6.51</v>
      </c>
      <c r="M3524" s="6">
        <f ca="1">IFERROR(__xludf.DUMMYFUNCTION("IFERROR(GOOGLEFINANCE(B3524,""change""),0)"),-0.63)</f>
        <v>-0.63</v>
      </c>
      <c r="N3524" s="6">
        <v>1</v>
      </c>
      <c r="O3524" s="7">
        <v>45352</v>
      </c>
      <c r="P3524" s="6">
        <v>1667.57</v>
      </c>
      <c r="Q3524" s="6">
        <v>1773.04</v>
      </c>
      <c r="R3524" s="7">
        <v>45352</v>
      </c>
      <c r="S3524" s="6">
        <v>0</v>
      </c>
      <c r="T3524" s="6">
        <v>8.8800000000000008</v>
      </c>
      <c r="U3524" s="7">
        <v>45352</v>
      </c>
      <c r="V3524" s="6">
        <v>11.87</v>
      </c>
      <c r="W3524" s="6">
        <f ca="1">IFERROR(__xludf.DUMMYFUNCTION("IFERROR(GOOGLEFINANCE(B3524,""pe""),V3524)"),11.87)</f>
        <v>11.87</v>
      </c>
      <c r="X3524" s="6">
        <v>0.78</v>
      </c>
      <c r="Y3524" s="6">
        <v>0.16</v>
      </c>
      <c r="Z3524" s="6">
        <v>2</v>
      </c>
      <c r="AA3524" s="8">
        <v>44986</v>
      </c>
      <c r="AB3524" s="4">
        <v>10.98</v>
      </c>
      <c r="AC3524" s="6">
        <v>0</v>
      </c>
      <c r="AD3524" s="6">
        <v>56.09</v>
      </c>
      <c r="AE3524" s="1">
        <v>0</v>
      </c>
      <c r="AF3524" s="1">
        <f ca="1">IFERROR(__xludf.DUMMYFUNCTION("IFERROR(GOOGLEFINANCE(TRIM(F3524)&amp;"":"" &amp; TRIM(B3524),""high52""),AE3524)"),4.15)</f>
        <v>4.1500000000000004</v>
      </c>
      <c r="AG3524" s="1">
        <v>0</v>
      </c>
      <c r="AH3524" s="1">
        <f ca="1">IFERROR(__xludf.DUMMYFUNCTION("IFERROR(GOOGLEFINANCE(TRIM(F3524)&amp;"":"" &amp; TRIM(B3524),""low52""),AE3524)"),1.06)</f>
        <v>1.06</v>
      </c>
      <c r="AI3524" s="1">
        <f ca="1">IFERROR(__xludf.DUMMYFUNCTION("IFERROR(GOOGLEFINANCE(B3524,""eps""),0)"),-15.84)</f>
        <v>-15.84</v>
      </c>
      <c r="AJ3524" s="1"/>
      <c r="AK3524" s="1" t="s">
        <v>10787</v>
      </c>
      <c r="AL3524" s="9">
        <f t="shared" ref="AL3524:AL3526" si="336">IF(AA3524&lt;&gt;AB3524,1,0)</f>
        <v>1</v>
      </c>
    </row>
    <row r="3525" spans="1:38" ht="15" x14ac:dyDescent="0.25">
      <c r="A3525" s="1" t="s">
        <v>10788</v>
      </c>
      <c r="B3525" s="1" t="s">
        <v>10789</v>
      </c>
      <c r="C3525" s="1" t="s">
        <v>416</v>
      </c>
      <c r="D3525" s="1" t="s">
        <v>416</v>
      </c>
      <c r="E3525" s="6">
        <v>6318.84</v>
      </c>
      <c r="F3525" s="1" t="s">
        <v>40</v>
      </c>
      <c r="G3525" s="6">
        <f ca="1">IFERROR(__xludf.DUMMYFUNCTION("iferror(GOOGLEFINANCE(TRIM(F3525)&amp;"":"" &amp; TRIM(B3525), ""price""),0
)"),357)</f>
        <v>357</v>
      </c>
      <c r="H3525" s="6">
        <v>560.04999999999995</v>
      </c>
      <c r="I3525" s="6">
        <f t="shared" ca="1" si="0"/>
        <v>357</v>
      </c>
      <c r="J3525" s="6">
        <f ca="1">IFERROR(__xludf.DUMMYFUNCTION("IFERROR(GOOGLEFINANCE(B3525, ""volume""), 0)"),344753)</f>
        <v>344753</v>
      </c>
      <c r="K3525" s="6">
        <v>0.19</v>
      </c>
      <c r="L3525" s="6">
        <f ca="1">IFERROR(__xludf.DUMMYFUNCTION("IFERROR(GOOGLEFINANCE(B3525,""changepct""),K3525)"),-1.31)</f>
        <v>-1.31</v>
      </c>
      <c r="M3525" s="6">
        <f ca="1">IFERROR(__xludf.DUMMYFUNCTION("IFERROR(GOOGLEFINANCE(B3525,""change""),0)"),-4.75)</f>
        <v>-4.75</v>
      </c>
      <c r="N3525" s="6">
        <v>2</v>
      </c>
      <c r="O3525" s="7">
        <v>45536</v>
      </c>
      <c r="P3525" s="6">
        <v>735.66</v>
      </c>
      <c r="Q3525" s="6">
        <v>6918.02</v>
      </c>
      <c r="R3525" s="7">
        <v>45536</v>
      </c>
      <c r="S3525" s="6">
        <v>4156.57</v>
      </c>
      <c r="T3525" s="6">
        <v>107.2</v>
      </c>
      <c r="U3525" s="7">
        <v>45536</v>
      </c>
      <c r="V3525" s="6">
        <v>56.94</v>
      </c>
      <c r="W3525" s="6">
        <f ca="1">IFERROR(__xludf.DUMMYFUNCTION("IFERROR(GOOGLEFINANCE(B3525,""pe""),V3525)"),22.09)</f>
        <v>22.09</v>
      </c>
      <c r="X3525" s="6">
        <v>2.68</v>
      </c>
      <c r="Y3525" s="6">
        <v>6.57</v>
      </c>
      <c r="Z3525" s="6">
        <v>2</v>
      </c>
      <c r="AA3525" s="8">
        <v>45352</v>
      </c>
      <c r="AB3525" s="4">
        <v>0.64</v>
      </c>
      <c r="AC3525" s="6">
        <v>9.81</v>
      </c>
      <c r="AD3525" s="6">
        <v>20.8</v>
      </c>
      <c r="AE3525" s="1">
        <v>0</v>
      </c>
      <c r="AF3525" s="1">
        <f ca="1">IFERROR(__xludf.DUMMYFUNCTION("IFERROR(GOOGLEFINANCE(TRIM(F3525)&amp;"":"" &amp; TRIM(B3525),""high52""),AE3525)"),588)</f>
        <v>588</v>
      </c>
      <c r="AG3525" s="1">
        <v>0</v>
      </c>
      <c r="AH3525" s="1">
        <f ca="1">IFERROR(__xludf.DUMMYFUNCTION("IFERROR(GOOGLEFINANCE(TRIM(F3525)&amp;"":"" &amp; TRIM(B3525),""low52""),AE3525)"),327.1)</f>
        <v>327.10000000000002</v>
      </c>
      <c r="AI3525" s="1">
        <f ca="1">IFERROR(__xludf.DUMMYFUNCTION("IFERROR(GOOGLEFINANCE(B3525,""eps""),0)"),16.16)</f>
        <v>16.16</v>
      </c>
      <c r="AJ3525" s="1"/>
      <c r="AK3525" s="1" t="s">
        <v>10790</v>
      </c>
      <c r="AL3525" s="9">
        <f t="shared" si="336"/>
        <v>1</v>
      </c>
    </row>
    <row r="3526" spans="1:38" ht="15" x14ac:dyDescent="0.25">
      <c r="A3526" s="1" t="s">
        <v>10791</v>
      </c>
      <c r="B3526" s="1" t="s">
        <v>10792</v>
      </c>
      <c r="C3526" s="1" t="s">
        <v>324</v>
      </c>
      <c r="D3526" s="1" t="s">
        <v>324</v>
      </c>
      <c r="E3526" s="6">
        <v>659.83</v>
      </c>
      <c r="F3526" s="1" t="s">
        <v>40</v>
      </c>
      <c r="G3526" s="6">
        <f ca="1">IFERROR(__xludf.DUMMYFUNCTION("iferror(GOOGLEFINANCE(TRIM(F3526)&amp;"":"" &amp; TRIM(B3526), ""price""),0
)"),192)</f>
        <v>192</v>
      </c>
      <c r="H3526" s="6">
        <v>250.05</v>
      </c>
      <c r="I3526" s="6">
        <f t="shared" ca="1" si="0"/>
        <v>192</v>
      </c>
      <c r="J3526" s="6">
        <f ca="1">IFERROR(__xludf.DUMMYFUNCTION("IFERROR(GOOGLEFINANCE(B3526, ""volume""), 0)"),311943)</f>
        <v>311943</v>
      </c>
      <c r="K3526" s="6">
        <v>0.06</v>
      </c>
      <c r="L3526" s="6">
        <f ca="1">IFERROR(__xludf.DUMMYFUNCTION("IFERROR(GOOGLEFINANCE(B3526,""changepct""),K3526)"),3.23)</f>
        <v>3.23</v>
      </c>
      <c r="M3526" s="6">
        <f ca="1">IFERROR(__xludf.DUMMYFUNCTION("IFERROR(GOOGLEFINANCE(B3526,""change""),0)"),6.01)</f>
        <v>6.01</v>
      </c>
      <c r="N3526" s="6">
        <v>2</v>
      </c>
      <c r="O3526" s="7">
        <v>45536</v>
      </c>
      <c r="P3526" s="6">
        <v>138.59</v>
      </c>
      <c r="Q3526" s="6">
        <v>661.42</v>
      </c>
      <c r="R3526" s="7">
        <v>45536</v>
      </c>
      <c r="S3526" s="6">
        <v>560.51</v>
      </c>
      <c r="T3526" s="6">
        <v>42.84</v>
      </c>
      <c r="U3526" s="7">
        <v>45536</v>
      </c>
      <c r="V3526" s="6">
        <v>15.52</v>
      </c>
      <c r="W3526" s="6">
        <f ca="1">IFERROR(__xludf.DUMMYFUNCTION("IFERROR(GOOGLEFINANCE(B3526,""pe""),V3526)"),18.41)</f>
        <v>18.41</v>
      </c>
      <c r="X3526" s="6">
        <v>0.2</v>
      </c>
      <c r="Y3526" s="6">
        <v>2.25</v>
      </c>
      <c r="Z3526" s="6">
        <v>2</v>
      </c>
      <c r="AA3526" s="8">
        <v>45352</v>
      </c>
      <c r="AB3526" s="4">
        <v>0.49</v>
      </c>
      <c r="AC3526" s="6">
        <v>36.21</v>
      </c>
      <c r="AD3526" s="6">
        <v>35.72</v>
      </c>
      <c r="AE3526" s="1">
        <v>0</v>
      </c>
      <c r="AF3526" s="1">
        <f ca="1">IFERROR(__xludf.DUMMYFUNCTION("IFERROR(GOOGLEFINANCE(TRIM(F3526)&amp;"":"" &amp; TRIM(B3526),""high52""),AE3526)"),232.5)</f>
        <v>232.5</v>
      </c>
      <c r="AG3526" s="1">
        <v>0</v>
      </c>
      <c r="AH3526" s="1">
        <f ca="1">IFERROR(__xludf.DUMMYFUNCTION("IFERROR(GOOGLEFINANCE(TRIM(F3526)&amp;"":"" &amp; TRIM(B3526),""low52""),AE3526)"),77)</f>
        <v>77</v>
      </c>
      <c r="AI3526" s="1">
        <f ca="1">IFERROR(__xludf.DUMMYFUNCTION("IFERROR(GOOGLEFINANCE(B3526,""eps""),0)"),10.43)</f>
        <v>10.43</v>
      </c>
      <c r="AJ3526" s="1"/>
      <c r="AK3526" s="1" t="s">
        <v>10793</v>
      </c>
      <c r="AL3526" s="9">
        <f t="shared" si="336"/>
        <v>1</v>
      </c>
    </row>
    <row r="3527" spans="1:38" ht="15" x14ac:dyDescent="0.25">
      <c r="A3527" s="1" t="s">
        <v>10794</v>
      </c>
      <c r="B3527" s="1" t="s">
        <v>10795</v>
      </c>
      <c r="C3527" s="1" t="s">
        <v>907</v>
      </c>
      <c r="D3527" s="1" t="s">
        <v>907</v>
      </c>
      <c r="E3527" s="6">
        <v>423.55</v>
      </c>
      <c r="F3527" s="1" t="s">
        <v>40</v>
      </c>
      <c r="G3527" s="6">
        <f ca="1">IFERROR(__xludf.DUMMYFUNCTION("iferror(GOOGLEFINANCE(TRIM(F3527)&amp;"":"" &amp; TRIM(B3527), ""price""),0
)"),0)</f>
        <v>0</v>
      </c>
      <c r="H3527" s="6">
        <v>258</v>
      </c>
      <c r="I3527" s="6">
        <f t="shared" ca="1" si="0"/>
        <v>258</v>
      </c>
      <c r="J3527" s="6">
        <f ca="1">IFERROR(__xludf.DUMMYFUNCTION("IFERROR(GOOGLEFINANCE(B3527, ""volume""), 0)"),178832)</f>
        <v>178832</v>
      </c>
      <c r="K3527" s="6">
        <v>1.1200000000000001</v>
      </c>
      <c r="L3527" s="6">
        <f ca="1">IFERROR(__xludf.DUMMYFUNCTION("IFERROR(GOOGLEFINANCE(B3527,""changepct""),K3527)"),0)</f>
        <v>0</v>
      </c>
      <c r="M3527" s="6">
        <f ca="1">IFERROR(__xludf.DUMMYFUNCTION("IFERROR(GOOGLEFINANCE(B3527,""change""),0)"),0)</f>
        <v>0</v>
      </c>
      <c r="N3527" s="6">
        <v>1</v>
      </c>
      <c r="O3527" s="7">
        <v>45536</v>
      </c>
      <c r="P3527" s="6">
        <v>32.020000000000003</v>
      </c>
      <c r="Q3527" s="6">
        <v>455.57</v>
      </c>
      <c r="R3527" s="7">
        <v>45352</v>
      </c>
      <c r="S3527" s="6">
        <v>49.6</v>
      </c>
      <c r="T3527" s="6">
        <v>13.41</v>
      </c>
      <c r="U3527" s="7">
        <v>45352</v>
      </c>
      <c r="V3527" s="6">
        <v>31.58</v>
      </c>
      <c r="W3527" s="6">
        <f ca="1">IFERROR(__xludf.DUMMYFUNCTION("IFERROR(GOOGLEFINANCE(B3527,""pe""),V3527)"),31.58)</f>
        <v>31.58</v>
      </c>
      <c r="X3527" s="12"/>
      <c r="Y3527" s="6">
        <v>8</v>
      </c>
      <c r="Z3527" s="6">
        <v>1</v>
      </c>
      <c r="AA3527" s="8">
        <v>45352</v>
      </c>
      <c r="AB3527" s="4">
        <v>0.48</v>
      </c>
      <c r="AC3527" s="6">
        <v>28.5</v>
      </c>
      <c r="AD3527" s="6">
        <v>31.03</v>
      </c>
      <c r="AE3527" s="1">
        <v>0</v>
      </c>
      <c r="AF3527" s="1">
        <f ca="1">IFERROR(__xludf.DUMMYFUNCTION("IFERROR(GOOGLEFINANCE(TRIM(F3527)&amp;"":"" &amp; TRIM(B3527),""high52""),AE3527)"),0)</f>
        <v>0</v>
      </c>
      <c r="AG3527" s="1">
        <v>0</v>
      </c>
      <c r="AH3527" s="1">
        <f ca="1">IFERROR(__xludf.DUMMYFUNCTION("IFERROR(GOOGLEFINANCE(TRIM(F3527)&amp;"":"" &amp; TRIM(B3527),""low52""),AE3527)"),0)</f>
        <v>0</v>
      </c>
      <c r="AI3527" s="1">
        <f ca="1">IFERROR(__xludf.DUMMYFUNCTION("IFERROR(GOOGLEFINANCE(B3527,""eps""),0)"),-0.06)</f>
        <v>-0.06</v>
      </c>
      <c r="AJ3527" s="1"/>
      <c r="AK3527" s="1" t="s">
        <v>10796</v>
      </c>
      <c r="AL3527" s="1" t="b">
        <f>ISNUMBER(AA3527)</f>
        <v>1</v>
      </c>
    </row>
    <row r="3528" spans="1:38" ht="15" x14ac:dyDescent="0.25">
      <c r="A3528" s="1" t="s">
        <v>10797</v>
      </c>
      <c r="B3528" s="1" t="s">
        <v>10798</v>
      </c>
      <c r="C3528" s="1" t="s">
        <v>359</v>
      </c>
      <c r="D3528" s="1" t="s">
        <v>359</v>
      </c>
      <c r="E3528" s="6">
        <v>3.52</v>
      </c>
      <c r="F3528" s="1" t="s">
        <v>53</v>
      </c>
      <c r="G3528" s="6">
        <f ca="1">IFERROR(__xludf.DUMMYFUNCTION("iferror(GOOGLEFINANCE(TRIM(F3528)&amp;"":"" &amp; TRIM(B3528), ""price""),0
)"),0)</f>
        <v>0</v>
      </c>
      <c r="H3528" s="6">
        <v>5.42</v>
      </c>
      <c r="I3528" s="6">
        <f t="shared" ca="1" si="0"/>
        <v>5.42</v>
      </c>
      <c r="J3528" s="6">
        <f ca="1">IFERROR(__xludf.DUMMYFUNCTION("IFERROR(GOOGLEFINANCE(B3528, ""volume""), 0)"),0)</f>
        <v>0</v>
      </c>
      <c r="K3528" s="9"/>
      <c r="L3528" s="6" t="str">
        <f ca="1">IFERROR(__xludf.DUMMYFUNCTION("IFERROR(GOOGLEFINANCE(B3528,""changepct""),K3528)"),"")</f>
        <v/>
      </c>
      <c r="M3528" s="6">
        <f ca="1">IFERROR(__xludf.DUMMYFUNCTION("IFERROR(GOOGLEFINANCE(B3528,""change""),0)"),0)</f>
        <v>0</v>
      </c>
      <c r="N3528" s="6">
        <v>1</v>
      </c>
      <c r="O3528" s="7">
        <v>45536</v>
      </c>
      <c r="P3528" s="12"/>
      <c r="Q3528" s="6">
        <v>3.52</v>
      </c>
      <c r="R3528" s="7">
        <v>45352</v>
      </c>
      <c r="S3528" s="6">
        <v>0</v>
      </c>
      <c r="T3528" s="6">
        <v>0.11</v>
      </c>
      <c r="U3528" s="7">
        <v>45352</v>
      </c>
      <c r="V3528" s="6">
        <v>31.6</v>
      </c>
      <c r="W3528" s="6">
        <f ca="1">IFERROR(__xludf.DUMMYFUNCTION("IFERROR(GOOGLEFINANCE(B3528,""pe""),V3528)"),31.6)</f>
        <v>31.6</v>
      </c>
      <c r="X3528" s="6">
        <v>0.37</v>
      </c>
      <c r="Y3528" s="6">
        <v>0.51</v>
      </c>
      <c r="Z3528" s="6">
        <v>1</v>
      </c>
      <c r="AA3528" s="8">
        <v>45352</v>
      </c>
      <c r="AB3528" s="4">
        <v>0</v>
      </c>
      <c r="AC3528" s="6">
        <v>1.63</v>
      </c>
      <c r="AD3528" s="6">
        <v>2.11</v>
      </c>
      <c r="AE3528" s="1">
        <v>0</v>
      </c>
      <c r="AF3528" s="1">
        <f ca="1">IFERROR(__xludf.DUMMYFUNCTION("IFERROR(GOOGLEFINANCE(TRIM(F3528)&amp;"":"" &amp; TRIM(B3528),""high52""),AE3528)"),0)</f>
        <v>0</v>
      </c>
      <c r="AG3528" s="1">
        <v>0</v>
      </c>
      <c r="AH3528" s="1">
        <f ca="1">IFERROR(__xludf.DUMMYFUNCTION("IFERROR(GOOGLEFINANCE(TRIM(F3528)&amp;"":"" &amp; TRIM(B3528),""low52""),AE3528)"),0)</f>
        <v>0</v>
      </c>
      <c r="AI3528" s="1">
        <f ca="1">IFERROR(__xludf.DUMMYFUNCTION("IFERROR(GOOGLEFINANCE(B3528,""eps""),0)"),0)</f>
        <v>0</v>
      </c>
      <c r="AJ3528" s="1"/>
      <c r="AK3528" s="1" t="s">
        <v>10799</v>
      </c>
      <c r="AL3528" s="9">
        <f t="shared" ref="AL3528:AL3537" si="337">IF(AA3528&lt;&gt;AB3528,1,0)</f>
        <v>1</v>
      </c>
    </row>
    <row r="3529" spans="1:38" ht="15" x14ac:dyDescent="0.25">
      <c r="A3529" s="1" t="s">
        <v>10800</v>
      </c>
      <c r="B3529" s="1" t="s">
        <v>10801</v>
      </c>
      <c r="C3529" s="1" t="s">
        <v>359</v>
      </c>
      <c r="D3529" s="1" t="s">
        <v>359</v>
      </c>
      <c r="E3529" s="6">
        <v>376.37</v>
      </c>
      <c r="F3529" s="1" t="s">
        <v>53</v>
      </c>
      <c r="G3529" s="6">
        <f ca="1">IFERROR(__xludf.DUMMYFUNCTION("iferror(GOOGLEFINANCE(TRIM(F3529)&amp;"":"" &amp; TRIM(B3529), ""price""),0
)"),0)</f>
        <v>0</v>
      </c>
      <c r="H3529" s="6">
        <v>226</v>
      </c>
      <c r="I3529" s="6">
        <f t="shared" ca="1" si="0"/>
        <v>226</v>
      </c>
      <c r="J3529" s="6">
        <f ca="1">IFERROR(__xludf.DUMMYFUNCTION("IFERROR(GOOGLEFINANCE(B3529, ""volume""), 0)"),0)</f>
        <v>0</v>
      </c>
      <c r="K3529" s="6">
        <v>2.7</v>
      </c>
      <c r="L3529" s="6">
        <f ca="1">IFERROR(__xludf.DUMMYFUNCTION("IFERROR(GOOGLEFINANCE(B3529,""changepct""),K3529)"),2.7)</f>
        <v>2.7</v>
      </c>
      <c r="M3529" s="6">
        <f ca="1">IFERROR(__xludf.DUMMYFUNCTION("IFERROR(GOOGLEFINANCE(B3529,""change""),0)"),0)</f>
        <v>0</v>
      </c>
      <c r="N3529" s="6">
        <v>1</v>
      </c>
      <c r="O3529" s="7">
        <v>45536</v>
      </c>
      <c r="P3529" s="6">
        <v>132.44</v>
      </c>
      <c r="Q3529" s="6">
        <v>508.81</v>
      </c>
      <c r="R3529" s="7">
        <v>45352</v>
      </c>
      <c r="S3529" s="6">
        <v>1064.24</v>
      </c>
      <c r="T3529" s="6">
        <v>8.1</v>
      </c>
      <c r="U3529" s="7">
        <v>45352</v>
      </c>
      <c r="V3529" s="6">
        <v>46.49</v>
      </c>
      <c r="W3529" s="6">
        <f ca="1">IFERROR(__xludf.DUMMYFUNCTION("IFERROR(GOOGLEFINANCE(B3529,""pe""),V3529)"),46.49)</f>
        <v>46.49</v>
      </c>
      <c r="X3529" s="12"/>
      <c r="Y3529" s="6">
        <v>6.14</v>
      </c>
      <c r="Z3529" s="6">
        <v>1</v>
      </c>
      <c r="AA3529" s="8">
        <v>45352</v>
      </c>
      <c r="AB3529" s="4">
        <v>1.76</v>
      </c>
      <c r="AC3529" s="6">
        <v>14.15</v>
      </c>
      <c r="AD3529" s="6">
        <v>14.51</v>
      </c>
      <c r="AE3529" s="1">
        <v>0</v>
      </c>
      <c r="AF3529" s="1">
        <f ca="1">IFERROR(__xludf.DUMMYFUNCTION("IFERROR(GOOGLEFINANCE(TRIM(F3529)&amp;"":"" &amp; TRIM(B3529),""high52""),AE3529)"),0)</f>
        <v>0</v>
      </c>
      <c r="AG3529" s="1">
        <v>0</v>
      </c>
      <c r="AH3529" s="1">
        <f ca="1">IFERROR(__xludf.DUMMYFUNCTION("IFERROR(GOOGLEFINANCE(TRIM(F3529)&amp;"":"" &amp; TRIM(B3529),""low52""),AE3529)"),0)</f>
        <v>0</v>
      </c>
      <c r="AI3529" s="1">
        <f ca="1">IFERROR(__xludf.DUMMYFUNCTION("IFERROR(GOOGLEFINANCE(B3529,""eps""),0)"),0)</f>
        <v>0</v>
      </c>
      <c r="AJ3529" s="1"/>
      <c r="AK3529" s="1" t="s">
        <v>10802</v>
      </c>
      <c r="AL3529" s="9">
        <f t="shared" si="337"/>
        <v>1</v>
      </c>
    </row>
    <row r="3530" spans="1:38" ht="15" x14ac:dyDescent="0.25">
      <c r="A3530" s="1" t="s">
        <v>10803</v>
      </c>
      <c r="B3530" s="1" t="s">
        <v>10804</v>
      </c>
      <c r="C3530" s="1" t="s">
        <v>359</v>
      </c>
      <c r="D3530" s="1" t="s">
        <v>359</v>
      </c>
      <c r="E3530" s="6">
        <v>10.210000000000001</v>
      </c>
      <c r="F3530" s="1" t="s">
        <v>53</v>
      </c>
      <c r="G3530" s="6">
        <f ca="1">IFERROR(__xludf.DUMMYFUNCTION("iferror(GOOGLEFINANCE(TRIM(F3530)&amp;"":"" &amp; TRIM(B3530), ""price""),0
)"),0)</f>
        <v>0</v>
      </c>
      <c r="H3530" s="6">
        <v>24.19</v>
      </c>
      <c r="I3530" s="6">
        <f t="shared" ca="1" si="0"/>
        <v>24.19</v>
      </c>
      <c r="J3530" s="6">
        <f ca="1">IFERROR(__xludf.DUMMYFUNCTION("IFERROR(GOOGLEFINANCE(B3530, ""volume""), 0)"),0)</f>
        <v>0</v>
      </c>
      <c r="K3530" s="6">
        <v>4.99</v>
      </c>
      <c r="L3530" s="6">
        <f ca="1">IFERROR(__xludf.DUMMYFUNCTION("IFERROR(GOOGLEFINANCE(B3530,""changepct""),K3530)"),4.99)</f>
        <v>4.99</v>
      </c>
      <c r="M3530" s="6">
        <f ca="1">IFERROR(__xludf.DUMMYFUNCTION("IFERROR(GOOGLEFINANCE(B3530,""change""),0)"),0)</f>
        <v>0</v>
      </c>
      <c r="N3530" s="6">
        <v>1</v>
      </c>
      <c r="O3530" s="7">
        <v>45536</v>
      </c>
      <c r="P3530" s="6">
        <v>2.37</v>
      </c>
      <c r="Q3530" s="6">
        <v>12.59</v>
      </c>
      <c r="R3530" s="7">
        <v>45352</v>
      </c>
      <c r="S3530" s="6">
        <v>6.63</v>
      </c>
      <c r="T3530" s="6">
        <v>0.33</v>
      </c>
      <c r="U3530" s="7">
        <v>45352</v>
      </c>
      <c r="V3530" s="6">
        <v>30.86</v>
      </c>
      <c r="W3530" s="6">
        <f ca="1">IFERROR(__xludf.DUMMYFUNCTION("IFERROR(GOOGLEFINANCE(B3530,""pe""),V3530)"),30.86)</f>
        <v>30.86</v>
      </c>
      <c r="X3530" s="9"/>
      <c r="Y3530" s="6">
        <v>1.35</v>
      </c>
      <c r="Z3530" s="6">
        <v>1</v>
      </c>
      <c r="AA3530" s="8">
        <v>45352</v>
      </c>
      <c r="AB3530" s="4">
        <v>0.23</v>
      </c>
      <c r="AC3530" s="6">
        <v>4.4800000000000004</v>
      </c>
      <c r="AD3530" s="6">
        <v>7.99</v>
      </c>
      <c r="AE3530" s="1">
        <v>0</v>
      </c>
      <c r="AF3530" s="1">
        <f ca="1">IFERROR(__xludf.DUMMYFUNCTION("IFERROR(GOOGLEFINANCE(TRIM(F3530)&amp;"":"" &amp; TRIM(B3530),""high52""),AE3530)"),0)</f>
        <v>0</v>
      </c>
      <c r="AG3530" s="1">
        <v>0</v>
      </c>
      <c r="AH3530" s="1">
        <f ca="1">IFERROR(__xludf.DUMMYFUNCTION("IFERROR(GOOGLEFINANCE(TRIM(F3530)&amp;"":"" &amp; TRIM(B3530),""low52""),AE3530)"),0)</f>
        <v>0</v>
      </c>
      <c r="AI3530" s="1">
        <f ca="1">IFERROR(__xludf.DUMMYFUNCTION("IFERROR(GOOGLEFINANCE(B3530,""eps""),0)"),0)</f>
        <v>0</v>
      </c>
      <c r="AJ3530" s="1"/>
      <c r="AK3530" s="1" t="s">
        <v>10805</v>
      </c>
      <c r="AL3530" s="9">
        <f t="shared" si="337"/>
        <v>1</v>
      </c>
    </row>
    <row r="3531" spans="1:38" ht="15" x14ac:dyDescent="0.25">
      <c r="A3531" s="1" t="s">
        <v>10806</v>
      </c>
      <c r="B3531" s="1" t="s">
        <v>10807</v>
      </c>
      <c r="C3531" s="1" t="s">
        <v>2432</v>
      </c>
      <c r="D3531" s="1" t="s">
        <v>2432</v>
      </c>
      <c r="E3531" s="6">
        <v>5720.92</v>
      </c>
      <c r="F3531" s="1" t="s">
        <v>40</v>
      </c>
      <c r="G3531" s="6">
        <f ca="1">IFERROR(__xludf.DUMMYFUNCTION("iferror(GOOGLEFINANCE(TRIM(F3531)&amp;"":"" &amp; TRIM(B3531), ""price""),0
)"),306)</f>
        <v>306</v>
      </c>
      <c r="H3531" s="6">
        <v>393</v>
      </c>
      <c r="I3531" s="6">
        <f t="shared" ca="1" si="0"/>
        <v>306</v>
      </c>
      <c r="J3531" s="6">
        <f ca="1">IFERROR(__xludf.DUMMYFUNCTION("IFERROR(GOOGLEFINANCE(B3531, ""volume""), 0)"),355657)</f>
        <v>355657</v>
      </c>
      <c r="K3531" s="6">
        <v>0.7</v>
      </c>
      <c r="L3531" s="6">
        <f ca="1">IFERROR(__xludf.DUMMYFUNCTION("IFERROR(GOOGLEFINANCE(B3531,""changepct""),K3531)"),-1.02)</f>
        <v>-1.02</v>
      </c>
      <c r="M3531" s="6">
        <f ca="1">IFERROR(__xludf.DUMMYFUNCTION("IFERROR(GOOGLEFINANCE(B3531,""change""),0)"),-3.15)</f>
        <v>-3.15</v>
      </c>
      <c r="N3531" s="6">
        <v>2</v>
      </c>
      <c r="O3531" s="7">
        <v>45536</v>
      </c>
      <c r="P3531" s="6">
        <v>455.33</v>
      </c>
      <c r="Q3531" s="6">
        <v>6066.58</v>
      </c>
      <c r="R3531" s="7">
        <v>45536</v>
      </c>
      <c r="S3531" s="6">
        <v>2465.69</v>
      </c>
      <c r="T3531" s="6">
        <v>80.48</v>
      </c>
      <c r="U3531" s="7">
        <v>45536</v>
      </c>
      <c r="V3531" s="6">
        <v>71.08</v>
      </c>
      <c r="W3531" s="6">
        <f ca="1">IFERROR(__xludf.DUMMYFUNCTION("IFERROR(GOOGLEFINANCE(B3531,""pe""),V3531)"),24.58)</f>
        <v>24.58</v>
      </c>
      <c r="X3531" s="12"/>
      <c r="Y3531" s="6">
        <v>7.63</v>
      </c>
      <c r="Z3531" s="6">
        <v>2</v>
      </c>
      <c r="AA3531" s="8">
        <v>45352</v>
      </c>
      <c r="AB3531" s="4">
        <v>1.25</v>
      </c>
      <c r="AC3531" s="6">
        <v>24.04</v>
      </c>
      <c r="AD3531" s="6">
        <v>19.09</v>
      </c>
      <c r="AE3531" s="1">
        <v>0</v>
      </c>
      <c r="AF3531" s="1">
        <f ca="1">IFERROR(__xludf.DUMMYFUNCTION("IFERROR(GOOGLEFINANCE(TRIM(F3531)&amp;"":"" &amp; TRIM(B3531),""high52""),AE3531)"),402.85)</f>
        <v>402.85</v>
      </c>
      <c r="AG3531" s="1">
        <v>0</v>
      </c>
      <c r="AH3531" s="1">
        <f ca="1">IFERROR(__xludf.DUMMYFUNCTION("IFERROR(GOOGLEFINANCE(TRIM(F3531)&amp;"":"" &amp; TRIM(B3531),""low52""),AE3531)"),246.05)</f>
        <v>246.05</v>
      </c>
      <c r="AI3531" s="1">
        <f ca="1">IFERROR(__xludf.DUMMYFUNCTION("IFERROR(GOOGLEFINANCE(B3531,""eps""),0)"),12.45)</f>
        <v>12.45</v>
      </c>
      <c r="AJ3531" s="1"/>
      <c r="AK3531" s="1" t="s">
        <v>10808</v>
      </c>
      <c r="AL3531" s="9">
        <f t="shared" si="337"/>
        <v>1</v>
      </c>
    </row>
    <row r="3532" spans="1:38" ht="15" x14ac:dyDescent="0.25">
      <c r="A3532" s="1" t="s">
        <v>10809</v>
      </c>
      <c r="B3532" s="1" t="s">
        <v>10810</v>
      </c>
      <c r="C3532" s="1" t="s">
        <v>227</v>
      </c>
      <c r="D3532" s="1" t="s">
        <v>227</v>
      </c>
      <c r="E3532" s="6">
        <v>213.13</v>
      </c>
      <c r="F3532" s="1" t="s">
        <v>40</v>
      </c>
      <c r="G3532" s="6">
        <f ca="1">IFERROR(__xludf.DUMMYFUNCTION("iferror(GOOGLEFINANCE(TRIM(F3532)&amp;"":"" &amp; TRIM(B3532), ""price""),0
)"),0)</f>
        <v>0</v>
      </c>
      <c r="H3532" s="6">
        <v>412.55</v>
      </c>
      <c r="I3532" s="6">
        <f t="shared" ca="1" si="0"/>
        <v>412.55</v>
      </c>
      <c r="J3532" s="6">
        <f ca="1">IFERROR(__xludf.DUMMYFUNCTION("IFERROR(GOOGLEFINANCE(B3532, ""volume""), 0)"),0)</f>
        <v>0</v>
      </c>
      <c r="K3532" s="6">
        <v>1.99</v>
      </c>
      <c r="L3532" s="6">
        <f ca="1">IFERROR(__xludf.DUMMYFUNCTION("IFERROR(GOOGLEFINANCE(B3532,""changepct""),K3532)"),1.99)</f>
        <v>1.99</v>
      </c>
      <c r="M3532" s="6">
        <f ca="1">IFERROR(__xludf.DUMMYFUNCTION("IFERROR(GOOGLEFINANCE(B3532,""change""),0)"),0)</f>
        <v>0</v>
      </c>
      <c r="N3532" s="6">
        <v>1</v>
      </c>
      <c r="O3532" s="7">
        <v>45536</v>
      </c>
      <c r="P3532" s="6">
        <v>8.0299999999999994</v>
      </c>
      <c r="Q3532" s="6">
        <v>221.16</v>
      </c>
      <c r="R3532" s="7">
        <v>45352</v>
      </c>
      <c r="S3532" s="6">
        <v>60.69</v>
      </c>
      <c r="T3532" s="6">
        <v>4.1900000000000004</v>
      </c>
      <c r="U3532" s="7">
        <v>45352</v>
      </c>
      <c r="V3532" s="6">
        <v>50.9</v>
      </c>
      <c r="W3532" s="6">
        <f ca="1">IFERROR(__xludf.DUMMYFUNCTION("IFERROR(GOOGLEFINANCE(B3532,""pe""),V3532)"),50.9)</f>
        <v>50.9</v>
      </c>
      <c r="X3532" s="12"/>
      <c r="Y3532" s="6">
        <v>8.7899999999999991</v>
      </c>
      <c r="Z3532" s="6">
        <v>1</v>
      </c>
      <c r="AA3532" s="8">
        <v>45352</v>
      </c>
      <c r="AB3532" s="4">
        <v>0.12</v>
      </c>
      <c r="AC3532" s="6">
        <v>54.98</v>
      </c>
      <c r="AD3532" s="6">
        <v>60.68</v>
      </c>
      <c r="AE3532" s="1">
        <v>0</v>
      </c>
      <c r="AF3532" s="1">
        <f ca="1">IFERROR(__xludf.DUMMYFUNCTION("IFERROR(GOOGLEFINANCE(TRIM(F3532)&amp;"":"" &amp; TRIM(B3532),""high52""),AE3532)"),0)</f>
        <v>0</v>
      </c>
      <c r="AG3532" s="1">
        <v>0</v>
      </c>
      <c r="AH3532" s="1">
        <f ca="1">IFERROR(__xludf.DUMMYFUNCTION("IFERROR(GOOGLEFINANCE(TRIM(F3532)&amp;"":"" &amp; TRIM(B3532),""low52""),AE3532)"),0)</f>
        <v>0</v>
      </c>
      <c r="AI3532" s="1">
        <f ca="1">IFERROR(__xludf.DUMMYFUNCTION("IFERROR(GOOGLEFINANCE(B3532,""eps""),0)"),0)</f>
        <v>0</v>
      </c>
      <c r="AJ3532" s="1"/>
      <c r="AK3532" s="1" t="s">
        <v>10811</v>
      </c>
      <c r="AL3532" s="9">
        <f t="shared" si="337"/>
        <v>1</v>
      </c>
    </row>
    <row r="3533" spans="1:38" ht="15" x14ac:dyDescent="0.25">
      <c r="A3533" s="1" t="s">
        <v>10812</v>
      </c>
      <c r="B3533" s="1" t="s">
        <v>10813</v>
      </c>
      <c r="C3533" s="1" t="s">
        <v>2426</v>
      </c>
      <c r="D3533" s="1" t="s">
        <v>2426</v>
      </c>
      <c r="E3533" s="6">
        <v>194.51</v>
      </c>
      <c r="F3533" s="1" t="s">
        <v>40</v>
      </c>
      <c r="G3533" s="6">
        <f ca="1">IFERROR(__xludf.DUMMYFUNCTION("iferror(GOOGLEFINANCE(TRIM(F3533)&amp;"":"" &amp; TRIM(B3533), ""price""),0
)"),127.57)</f>
        <v>127.57</v>
      </c>
      <c r="H3533" s="6">
        <v>200.2</v>
      </c>
      <c r="I3533" s="6">
        <f t="shared" ca="1" si="0"/>
        <v>127.57</v>
      </c>
      <c r="J3533" s="6">
        <f ca="1">IFERROR(__xludf.DUMMYFUNCTION("IFERROR(GOOGLEFINANCE(B3533, ""volume""), 0)"),4179)</f>
        <v>4179</v>
      </c>
      <c r="K3533" s="6">
        <v>1.91</v>
      </c>
      <c r="L3533" s="6">
        <f ca="1">IFERROR(__xludf.DUMMYFUNCTION("IFERROR(GOOGLEFINANCE(B3533,""changepct""),K3533)"),1.87)</f>
        <v>1.87</v>
      </c>
      <c r="M3533" s="6">
        <f ca="1">IFERROR(__xludf.DUMMYFUNCTION("IFERROR(GOOGLEFINANCE(B3533,""change""),0)"),2.34)</f>
        <v>2.34</v>
      </c>
      <c r="N3533" s="6">
        <v>2</v>
      </c>
      <c r="O3533" s="7">
        <v>45536</v>
      </c>
      <c r="P3533" s="12"/>
      <c r="Q3533" s="6">
        <v>182.85</v>
      </c>
      <c r="R3533" s="7">
        <v>45536</v>
      </c>
      <c r="S3533" s="6">
        <v>220.28</v>
      </c>
      <c r="T3533" s="6">
        <v>7.69</v>
      </c>
      <c r="U3533" s="7">
        <v>45536</v>
      </c>
      <c r="V3533" s="6">
        <v>25.28</v>
      </c>
      <c r="W3533" s="6">
        <f ca="1">IFERROR(__xludf.DUMMYFUNCTION("IFERROR(GOOGLEFINANCE(B3533,""pe""),V3533)"),12.23)</f>
        <v>12.23</v>
      </c>
      <c r="X3533" s="6">
        <v>0.72</v>
      </c>
      <c r="Y3533" s="6">
        <v>1.02</v>
      </c>
      <c r="Z3533" s="6">
        <v>2</v>
      </c>
      <c r="AA3533" s="8">
        <v>45352</v>
      </c>
      <c r="AB3533" s="4">
        <v>0.17</v>
      </c>
      <c r="AC3533" s="6">
        <v>3.78</v>
      </c>
      <c r="AD3533" s="6">
        <v>5.0599999999999996</v>
      </c>
      <c r="AE3533" s="1">
        <v>0</v>
      </c>
      <c r="AF3533" s="1">
        <f ca="1">IFERROR(__xludf.DUMMYFUNCTION("IFERROR(GOOGLEFINANCE(TRIM(F3533)&amp;"":"" &amp; TRIM(B3533),""high52""),AE3533)"),186)</f>
        <v>186</v>
      </c>
      <c r="AG3533" s="1">
        <v>0</v>
      </c>
      <c r="AH3533" s="1">
        <f ca="1">IFERROR(__xludf.DUMMYFUNCTION("IFERROR(GOOGLEFINANCE(TRIM(F3533)&amp;"":"" &amp; TRIM(B3533),""low52""),AE3533)"),116.09)</f>
        <v>116.09</v>
      </c>
      <c r="AI3533" s="1">
        <f ca="1">IFERROR(__xludf.DUMMYFUNCTION("IFERROR(GOOGLEFINANCE(B3533,""eps""),0)"),10.43)</f>
        <v>10.43</v>
      </c>
      <c r="AJ3533" s="1"/>
      <c r="AK3533" s="1" t="s">
        <v>10814</v>
      </c>
      <c r="AL3533" s="9">
        <f t="shared" si="337"/>
        <v>1</v>
      </c>
    </row>
    <row r="3534" spans="1:38" ht="15" x14ac:dyDescent="0.25">
      <c r="A3534" s="1" t="s">
        <v>10815</v>
      </c>
      <c r="B3534" s="1" t="s">
        <v>10816</v>
      </c>
      <c r="C3534" s="1" t="s">
        <v>359</v>
      </c>
      <c r="D3534" s="1" t="s">
        <v>359</v>
      </c>
      <c r="E3534" s="6">
        <v>16.18</v>
      </c>
      <c r="F3534" s="1" t="s">
        <v>53</v>
      </c>
      <c r="G3534" s="6">
        <f ca="1">IFERROR(__xludf.DUMMYFUNCTION("iferror(GOOGLEFINANCE(TRIM(F3534)&amp;"":"" &amp; TRIM(B3534), ""price""),0
)"),0)</f>
        <v>0</v>
      </c>
      <c r="H3534" s="6">
        <v>18.2</v>
      </c>
      <c r="I3534" s="6">
        <f t="shared" ca="1" si="0"/>
        <v>18.2</v>
      </c>
      <c r="J3534" s="6">
        <f ca="1">IFERROR(__xludf.DUMMYFUNCTION("IFERROR(GOOGLEFINANCE(B3534, ""volume""), 0)"),0)</f>
        <v>0</v>
      </c>
      <c r="K3534" s="6">
        <v>-1.99</v>
      </c>
      <c r="L3534" s="6">
        <f ca="1">IFERROR(__xludf.DUMMYFUNCTION("IFERROR(GOOGLEFINANCE(B3534,""changepct""),K3534)"),-1.99)</f>
        <v>-1.99</v>
      </c>
      <c r="M3534" s="6">
        <f ca="1">IFERROR(__xludf.DUMMYFUNCTION("IFERROR(GOOGLEFINANCE(B3534,""change""),0)"),0)</f>
        <v>0</v>
      </c>
      <c r="N3534" s="6">
        <v>2</v>
      </c>
      <c r="O3534" s="7">
        <v>45536</v>
      </c>
      <c r="P3534" s="9"/>
      <c r="Q3534" s="6">
        <v>16.18</v>
      </c>
      <c r="R3534" s="7">
        <v>45352</v>
      </c>
      <c r="S3534" s="6">
        <v>5.58</v>
      </c>
      <c r="T3534" s="6">
        <v>0.33</v>
      </c>
      <c r="U3534" s="7">
        <v>45352</v>
      </c>
      <c r="V3534" s="6">
        <v>49.5</v>
      </c>
      <c r="W3534" s="6">
        <f ca="1">IFERROR(__xludf.DUMMYFUNCTION("IFERROR(GOOGLEFINANCE(B3534,""pe""),V3534)"),49.5)</f>
        <v>49.5</v>
      </c>
      <c r="X3534" s="6">
        <v>2.98</v>
      </c>
      <c r="Y3534" s="6">
        <v>2.4500000000000002</v>
      </c>
      <c r="Z3534" s="6">
        <v>2</v>
      </c>
      <c r="AA3534" s="8">
        <v>45352</v>
      </c>
      <c r="AB3534" s="4">
        <v>0</v>
      </c>
      <c r="AC3534" s="6">
        <v>5.18</v>
      </c>
      <c r="AD3534" s="6">
        <v>8</v>
      </c>
      <c r="AE3534" s="1">
        <v>0</v>
      </c>
      <c r="AF3534" s="1">
        <f ca="1">IFERROR(__xludf.DUMMYFUNCTION("IFERROR(GOOGLEFINANCE(TRIM(F3534)&amp;"":"" &amp; TRIM(B3534),""high52""),AE3534)"),0)</f>
        <v>0</v>
      </c>
      <c r="AG3534" s="1">
        <v>0</v>
      </c>
      <c r="AH3534" s="1">
        <f ca="1">IFERROR(__xludf.DUMMYFUNCTION("IFERROR(GOOGLEFINANCE(TRIM(F3534)&amp;"":"" &amp; TRIM(B3534),""low52""),AE3534)"),0)</f>
        <v>0</v>
      </c>
      <c r="AI3534" s="1">
        <f ca="1">IFERROR(__xludf.DUMMYFUNCTION("IFERROR(GOOGLEFINANCE(B3534,""eps""),0)"),0)</f>
        <v>0</v>
      </c>
      <c r="AJ3534" s="1"/>
      <c r="AK3534" s="1" t="s">
        <v>10817</v>
      </c>
      <c r="AL3534" s="9">
        <f t="shared" si="337"/>
        <v>1</v>
      </c>
    </row>
    <row r="3535" spans="1:38" ht="15" x14ac:dyDescent="0.25">
      <c r="A3535" s="1" t="s">
        <v>10818</v>
      </c>
      <c r="B3535" s="1" t="s">
        <v>10819</v>
      </c>
      <c r="C3535" s="1" t="s">
        <v>359</v>
      </c>
      <c r="D3535" s="1" t="s">
        <v>359</v>
      </c>
      <c r="E3535" s="6">
        <v>13.57</v>
      </c>
      <c r="F3535" s="1" t="s">
        <v>53</v>
      </c>
      <c r="G3535" s="6">
        <f ca="1">IFERROR(__xludf.DUMMYFUNCTION("iferror(GOOGLEFINANCE(TRIM(F3535)&amp;"":"" &amp; TRIM(B3535), ""price""),0
)"),0)</f>
        <v>0</v>
      </c>
      <c r="H3535" s="6">
        <v>11.52</v>
      </c>
      <c r="I3535" s="6">
        <f t="shared" ca="1" si="0"/>
        <v>11.52</v>
      </c>
      <c r="J3535" s="6">
        <f ca="1">IFERROR(__xludf.DUMMYFUNCTION("IFERROR(GOOGLEFINANCE(B3535, ""volume""), 0)"),0)</f>
        <v>0</v>
      </c>
      <c r="K3535" s="6">
        <v>4.54</v>
      </c>
      <c r="L3535" s="6">
        <f ca="1">IFERROR(__xludf.DUMMYFUNCTION("IFERROR(GOOGLEFINANCE(B3535,""changepct""),K3535)"),4.54)</f>
        <v>4.54</v>
      </c>
      <c r="M3535" s="6">
        <f ca="1">IFERROR(__xludf.DUMMYFUNCTION("IFERROR(GOOGLEFINANCE(B3535,""change""),0)"),0)</f>
        <v>0</v>
      </c>
      <c r="N3535" s="6">
        <v>1</v>
      </c>
      <c r="O3535" s="7">
        <v>45536</v>
      </c>
      <c r="P3535" s="6">
        <v>0.31</v>
      </c>
      <c r="Q3535" s="6">
        <v>13.87</v>
      </c>
      <c r="R3535" s="7">
        <v>45352</v>
      </c>
      <c r="S3535" s="6">
        <v>0</v>
      </c>
      <c r="T3535" s="6">
        <v>-0.1</v>
      </c>
      <c r="U3535" s="7">
        <v>45352</v>
      </c>
      <c r="V3535" s="6">
        <v>0</v>
      </c>
      <c r="W3535" s="6">
        <f ca="1">IFERROR(__xludf.DUMMYFUNCTION("IFERROR(GOOGLEFINANCE(B3535,""pe""),V3535)"),0)</f>
        <v>0</v>
      </c>
      <c r="X3535" s="12"/>
      <c r="Y3535" s="6">
        <v>0.98</v>
      </c>
      <c r="Z3535" s="6">
        <v>1</v>
      </c>
      <c r="AA3535" s="8">
        <v>45352</v>
      </c>
      <c r="AB3535" s="4">
        <v>0.06</v>
      </c>
      <c r="AC3535" s="6">
        <v>-0.72</v>
      </c>
      <c r="AD3535" s="6">
        <v>-0.67</v>
      </c>
      <c r="AE3535" s="1">
        <v>0</v>
      </c>
      <c r="AF3535" s="1">
        <f ca="1">IFERROR(__xludf.DUMMYFUNCTION("IFERROR(GOOGLEFINANCE(TRIM(F3535)&amp;"":"" &amp; TRIM(B3535),""high52""),AE3535)"),0)</f>
        <v>0</v>
      </c>
      <c r="AG3535" s="1">
        <v>0</v>
      </c>
      <c r="AH3535" s="1">
        <f ca="1">IFERROR(__xludf.DUMMYFUNCTION("IFERROR(GOOGLEFINANCE(TRIM(F3535)&amp;"":"" &amp; TRIM(B3535),""low52""),AE3535)"),0)</f>
        <v>0</v>
      </c>
      <c r="AI3535" s="1">
        <f ca="1">IFERROR(__xludf.DUMMYFUNCTION("IFERROR(GOOGLEFINANCE(B3535,""eps""),0)"),0)</f>
        <v>0</v>
      </c>
      <c r="AJ3535" s="1"/>
      <c r="AK3535" s="1" t="s">
        <v>10820</v>
      </c>
      <c r="AL3535" s="9">
        <f t="shared" si="337"/>
        <v>1</v>
      </c>
    </row>
    <row r="3536" spans="1:38" ht="15" x14ac:dyDescent="0.25">
      <c r="A3536" s="1" t="s">
        <v>10821</v>
      </c>
      <c r="B3536" s="1" t="s">
        <v>10822</v>
      </c>
      <c r="C3536" s="1" t="s">
        <v>75</v>
      </c>
      <c r="D3536" s="1" t="s">
        <v>75</v>
      </c>
      <c r="E3536" s="6">
        <v>1429.15</v>
      </c>
      <c r="F3536" s="1" t="s">
        <v>40</v>
      </c>
      <c r="G3536" s="6">
        <f ca="1">IFERROR(__xludf.DUMMYFUNCTION("iferror(GOOGLEFINANCE(TRIM(F3536)&amp;"":"" &amp; TRIM(B3536), ""price""),0
)"),76.5)</f>
        <v>76.5</v>
      </c>
      <c r="H3536" s="6">
        <v>137.82</v>
      </c>
      <c r="I3536" s="6">
        <f t="shared" ca="1" si="0"/>
        <v>76.5</v>
      </c>
      <c r="J3536" s="6">
        <f ca="1">IFERROR(__xludf.DUMMYFUNCTION("IFERROR(GOOGLEFINANCE(B3536, ""volume""), 0)"),846398)</f>
        <v>846398</v>
      </c>
      <c r="K3536" s="6">
        <v>0.92</v>
      </c>
      <c r="L3536" s="6">
        <f ca="1">IFERROR(__xludf.DUMMYFUNCTION("IFERROR(GOOGLEFINANCE(B3536,""changepct""),K3536)"),-0.4)</f>
        <v>-0.4</v>
      </c>
      <c r="M3536" s="6">
        <f ca="1">IFERROR(__xludf.DUMMYFUNCTION("IFERROR(GOOGLEFINANCE(B3536,""change""),0)"),-0.31)</f>
        <v>-0.31</v>
      </c>
      <c r="N3536" s="6">
        <v>2</v>
      </c>
      <c r="O3536" s="7">
        <v>45536</v>
      </c>
      <c r="P3536" s="6">
        <v>217.15</v>
      </c>
      <c r="Q3536" s="7">
        <v>45536</v>
      </c>
      <c r="R3536" s="6">
        <v>6.62</v>
      </c>
      <c r="S3536" s="9"/>
      <c r="T3536" s="6">
        <v>1.21</v>
      </c>
      <c r="U3536" s="6">
        <v>2</v>
      </c>
      <c r="V3536" s="7">
        <v>45352</v>
      </c>
      <c r="W3536" s="6">
        <f ca="1">IFERROR(__xludf.DUMMYFUNCTION("IFERROR(GOOGLEFINANCE(B3536,""pe""),V3536)"),16.39)</f>
        <v>16.39</v>
      </c>
      <c r="X3536" s="6">
        <v>1.3</v>
      </c>
      <c r="Y3536" s="6">
        <v>18.559999999999999</v>
      </c>
      <c r="Z3536" s="6">
        <v>18.350000000000001</v>
      </c>
      <c r="AA3536" s="3" t="s">
        <v>10823</v>
      </c>
      <c r="AB3536" s="3"/>
      <c r="AC3536" s="9"/>
      <c r="AD3536" s="9"/>
      <c r="AE3536" s="1">
        <v>0</v>
      </c>
      <c r="AF3536" s="1">
        <f ca="1">IFERROR(__xludf.DUMMYFUNCTION("IFERROR(GOOGLEFINANCE(TRIM(F3536)&amp;"":"" &amp; TRIM(B3536),""high52""),AE3536)"),94.9)</f>
        <v>94.9</v>
      </c>
      <c r="AG3536" s="1">
        <v>0</v>
      </c>
      <c r="AH3536" s="1">
        <f ca="1">IFERROR(__xludf.DUMMYFUNCTION("IFERROR(GOOGLEFINANCE(TRIM(F3536)&amp;"":"" &amp; TRIM(B3536),""low52""),AE3536)"),50.5)</f>
        <v>50.5</v>
      </c>
      <c r="AI3536" s="1">
        <f ca="1">IFERROR(__xludf.DUMMYFUNCTION("IFERROR(GOOGLEFINANCE(B3536,""eps""),0)"),4.67)</f>
        <v>4.67</v>
      </c>
      <c r="AJ3536" s="1"/>
      <c r="AK3536" s="1" t="s">
        <v>10824</v>
      </c>
      <c r="AL3536" s="9">
        <f t="shared" si="337"/>
        <v>1</v>
      </c>
    </row>
    <row r="3537" spans="1:38" ht="15" x14ac:dyDescent="0.25">
      <c r="A3537" s="1" t="s">
        <v>10825</v>
      </c>
      <c r="B3537" s="1" t="s">
        <v>10826</v>
      </c>
      <c r="C3537" s="1" t="s">
        <v>359</v>
      </c>
      <c r="D3537" s="1" t="s">
        <v>359</v>
      </c>
      <c r="E3537" s="6">
        <v>13.84</v>
      </c>
      <c r="F3537" s="1" t="s">
        <v>53</v>
      </c>
      <c r="G3537" s="6">
        <f ca="1">IFERROR(__xludf.DUMMYFUNCTION("iferror(GOOGLEFINANCE(TRIM(F3537)&amp;"":"" &amp; TRIM(B3537), ""price""),0
)"),0)</f>
        <v>0</v>
      </c>
      <c r="H3537" s="6">
        <v>4.3899999999999997</v>
      </c>
      <c r="I3537" s="6">
        <f t="shared" ca="1" si="0"/>
        <v>4.3899999999999997</v>
      </c>
      <c r="J3537" s="6">
        <f ca="1">IFERROR(__xludf.DUMMYFUNCTION("IFERROR(GOOGLEFINANCE(B3537, ""volume""), 0)"),0)</f>
        <v>0</v>
      </c>
      <c r="K3537" s="6">
        <v>3.78</v>
      </c>
      <c r="L3537" s="6">
        <f ca="1">IFERROR(__xludf.DUMMYFUNCTION("IFERROR(GOOGLEFINANCE(B3537,""changepct""),K3537)"),-0.26)</f>
        <v>-0.26</v>
      </c>
      <c r="M3537" s="6">
        <f ca="1">IFERROR(__xludf.DUMMYFUNCTION("IFERROR(GOOGLEFINANCE(B3537,""change""),0)"),-0.06)</f>
        <v>-0.06</v>
      </c>
      <c r="N3537" s="6">
        <v>1</v>
      </c>
      <c r="O3537" s="7">
        <v>45352</v>
      </c>
      <c r="P3537" s="9"/>
      <c r="Q3537" s="6">
        <v>13.84</v>
      </c>
      <c r="R3537" s="7">
        <v>45444</v>
      </c>
      <c r="S3537" s="6">
        <v>0</v>
      </c>
      <c r="T3537" s="6">
        <v>-94.3</v>
      </c>
      <c r="U3537" s="7">
        <v>45444</v>
      </c>
      <c r="V3537" s="6">
        <v>0</v>
      </c>
      <c r="W3537" s="6">
        <f ca="1">IFERROR(__xludf.DUMMYFUNCTION("IFERROR(GOOGLEFINANCE(B3537,""pe""),V3537)"),0)</f>
        <v>0</v>
      </c>
      <c r="X3537" s="9"/>
      <c r="Y3537" s="6">
        <v>-0.25</v>
      </c>
      <c r="Z3537" s="6">
        <v>2</v>
      </c>
      <c r="AA3537" s="8">
        <v>44986</v>
      </c>
      <c r="AB3537" s="4">
        <v>0</v>
      </c>
      <c r="AC3537" s="6">
        <v>-9.17</v>
      </c>
      <c r="AD3537" s="6">
        <v>-8.0299999999999994</v>
      </c>
      <c r="AE3537" s="1">
        <v>0</v>
      </c>
      <c r="AF3537" s="1">
        <f ca="1">IFERROR(__xludf.DUMMYFUNCTION("IFERROR(GOOGLEFINANCE(TRIM(F3537)&amp;"":"" &amp; TRIM(B3537),""high52""),AE3537)"),0)</f>
        <v>0</v>
      </c>
      <c r="AG3537" s="1">
        <v>0</v>
      </c>
      <c r="AH3537" s="1">
        <f ca="1">IFERROR(__xludf.DUMMYFUNCTION("IFERROR(GOOGLEFINANCE(TRIM(F3537)&amp;"":"" &amp; TRIM(B3537),""low52""),AE3537)"),0)</f>
        <v>0</v>
      </c>
      <c r="AI3537" s="1">
        <f ca="1">IFERROR(__xludf.DUMMYFUNCTION("IFERROR(GOOGLEFINANCE(B3537,""eps""),0)"),0)</f>
        <v>0</v>
      </c>
      <c r="AJ3537" s="1"/>
      <c r="AK3537" s="1" t="s">
        <v>10827</v>
      </c>
      <c r="AL3537" s="9">
        <f t="shared" si="337"/>
        <v>1</v>
      </c>
    </row>
    <row r="3538" spans="1:38" ht="15" x14ac:dyDescent="0.25">
      <c r="A3538" s="1" t="s">
        <v>10828</v>
      </c>
      <c r="B3538" s="1" t="s">
        <v>10829</v>
      </c>
      <c r="C3538" s="1" t="s">
        <v>970</v>
      </c>
      <c r="D3538" s="1" t="s">
        <v>970</v>
      </c>
      <c r="E3538" s="6">
        <v>2142.5300000000002</v>
      </c>
      <c r="F3538" s="1" t="s">
        <v>40</v>
      </c>
      <c r="G3538" s="6">
        <f ca="1">IFERROR(__xludf.DUMMYFUNCTION("iferror(GOOGLEFINANCE(TRIM(F3538)&amp;"":"" &amp; TRIM(B3538), ""price""),0
)"),0)</f>
        <v>0</v>
      </c>
      <c r="H3538" s="6">
        <v>1492.7</v>
      </c>
      <c r="I3538" s="6">
        <f t="shared" ca="1" si="0"/>
        <v>1492.7</v>
      </c>
      <c r="J3538" s="6">
        <f ca="1">IFERROR(__xludf.DUMMYFUNCTION("IFERROR(GOOGLEFINANCE(B3538, ""volume""), 0)"),0)</f>
        <v>0</v>
      </c>
      <c r="K3538" s="6">
        <v>0.92</v>
      </c>
      <c r="L3538" s="6">
        <f ca="1">IFERROR(__xludf.DUMMYFUNCTION("IFERROR(GOOGLEFINANCE(B3538,""changepct""),K3538)"),0.92)</f>
        <v>0.92</v>
      </c>
      <c r="M3538" s="6">
        <f ca="1">IFERROR(__xludf.DUMMYFUNCTION("IFERROR(GOOGLEFINANCE(B3538,""change""),0)"),0)</f>
        <v>0</v>
      </c>
      <c r="N3538" s="6">
        <v>1</v>
      </c>
      <c r="O3538" s="7">
        <v>45536</v>
      </c>
      <c r="P3538" s="6">
        <v>286.20999999999998</v>
      </c>
      <c r="Q3538" s="6">
        <v>2384.0700000000002</v>
      </c>
      <c r="R3538" s="7">
        <v>45536</v>
      </c>
      <c r="S3538" s="6">
        <v>2361.54</v>
      </c>
      <c r="T3538" s="6">
        <v>123.19</v>
      </c>
      <c r="U3538" s="7">
        <v>45536</v>
      </c>
      <c r="V3538" s="6">
        <v>17.39</v>
      </c>
      <c r="W3538" s="6">
        <f ca="1">IFERROR(__xludf.DUMMYFUNCTION("IFERROR(GOOGLEFINANCE(B3538,""pe""),V3538)"),17.39)</f>
        <v>17.39</v>
      </c>
      <c r="X3538" s="6">
        <v>0.43</v>
      </c>
      <c r="Y3538" s="6">
        <v>6.48</v>
      </c>
      <c r="Z3538" s="6">
        <v>1</v>
      </c>
      <c r="AA3538" s="8">
        <v>45352</v>
      </c>
      <c r="AB3538" s="4">
        <v>1.46</v>
      </c>
      <c r="AC3538" s="6">
        <v>46.55</v>
      </c>
      <c r="AD3538" s="6">
        <v>24.06</v>
      </c>
      <c r="AE3538" s="1">
        <v>0</v>
      </c>
      <c r="AF3538" s="1">
        <f ca="1">IFERROR(__xludf.DUMMYFUNCTION("IFERROR(GOOGLEFINANCE(TRIM(F3538)&amp;"":"" &amp; TRIM(B3538),""high52""),AE3538)"),0)</f>
        <v>0</v>
      </c>
      <c r="AG3538" s="1">
        <v>0</v>
      </c>
      <c r="AH3538" s="1">
        <f ca="1">IFERROR(__xludf.DUMMYFUNCTION("IFERROR(GOOGLEFINANCE(TRIM(F3538)&amp;"":"" &amp; TRIM(B3538),""low52""),AE3538)"),0)</f>
        <v>0</v>
      </c>
      <c r="AI3538" s="1">
        <f ca="1">IFERROR(__xludf.DUMMYFUNCTION("IFERROR(GOOGLEFINANCE(B3538,""eps""),0)"),0)</f>
        <v>0</v>
      </c>
      <c r="AJ3538" s="1"/>
      <c r="AK3538" s="1" t="s">
        <v>10830</v>
      </c>
      <c r="AL3538" s="1" t="b">
        <f>ISNUMBER(AA3538)</f>
        <v>1</v>
      </c>
    </row>
    <row r="3539" spans="1:38" ht="15" x14ac:dyDescent="0.25">
      <c r="A3539" s="1" t="s">
        <v>10831</v>
      </c>
      <c r="B3539" s="1" t="s">
        <v>10832</v>
      </c>
      <c r="C3539" s="1" t="s">
        <v>106</v>
      </c>
      <c r="D3539" s="1" t="s">
        <v>106</v>
      </c>
      <c r="E3539" s="6">
        <v>368.24</v>
      </c>
      <c r="F3539" s="1" t="s">
        <v>40</v>
      </c>
      <c r="G3539" s="6">
        <f ca="1">IFERROR(__xludf.DUMMYFUNCTION("iferror(GOOGLEFINANCE(TRIM(F3539)&amp;"":"" &amp; TRIM(B3539), ""price""),0
)"),0)</f>
        <v>0</v>
      </c>
      <c r="H3539" s="6">
        <v>1215</v>
      </c>
      <c r="I3539" s="6">
        <f t="shared" ca="1" si="0"/>
        <v>1215</v>
      </c>
      <c r="J3539" s="6">
        <f ca="1">IFERROR(__xludf.DUMMYFUNCTION("IFERROR(GOOGLEFINANCE(B3539, ""volume""), 0)"),0)</f>
        <v>0</v>
      </c>
      <c r="K3539" s="6">
        <v>-0.33</v>
      </c>
      <c r="L3539" s="6">
        <f ca="1">IFERROR(__xludf.DUMMYFUNCTION("IFERROR(GOOGLEFINANCE(B3539,""changepct""),K3539)"),-0.33)</f>
        <v>-0.33</v>
      </c>
      <c r="M3539" s="6">
        <f ca="1">IFERROR(__xludf.DUMMYFUNCTION("IFERROR(GOOGLEFINANCE(B3539,""change""),0)"),0)</f>
        <v>0</v>
      </c>
      <c r="N3539" s="6">
        <v>2</v>
      </c>
      <c r="O3539" s="7">
        <v>45536</v>
      </c>
      <c r="P3539" s="6">
        <v>89.49</v>
      </c>
      <c r="Q3539" s="6">
        <v>456.54</v>
      </c>
      <c r="R3539" s="7">
        <v>45536</v>
      </c>
      <c r="S3539" s="6">
        <v>333.06</v>
      </c>
      <c r="T3539" s="6">
        <v>20.99</v>
      </c>
      <c r="U3539" s="7">
        <v>45536</v>
      </c>
      <c r="V3539" s="6">
        <v>16.829999999999998</v>
      </c>
      <c r="W3539" s="6">
        <f ca="1">IFERROR(__xludf.DUMMYFUNCTION("IFERROR(GOOGLEFINANCE(B3539,""pe""),V3539)"),16.83)</f>
        <v>16.829999999999998</v>
      </c>
      <c r="X3539" s="6">
        <v>-1.33</v>
      </c>
      <c r="Y3539" s="6">
        <v>1.96</v>
      </c>
      <c r="Z3539" s="6">
        <v>2</v>
      </c>
      <c r="AA3539" s="8">
        <v>45352</v>
      </c>
      <c r="AB3539" s="4">
        <v>0.55000000000000004</v>
      </c>
      <c r="AC3539" s="6">
        <v>3.66</v>
      </c>
      <c r="AD3539" s="6">
        <v>7.42</v>
      </c>
      <c r="AE3539" s="1">
        <v>0</v>
      </c>
      <c r="AF3539" s="1">
        <f ca="1">IFERROR(__xludf.DUMMYFUNCTION("IFERROR(GOOGLEFINANCE(TRIM(F3539)&amp;"":"" &amp; TRIM(B3539),""high52""),AE3539)"),0)</f>
        <v>0</v>
      </c>
      <c r="AG3539" s="1">
        <v>0</v>
      </c>
      <c r="AH3539" s="1">
        <f ca="1">IFERROR(__xludf.DUMMYFUNCTION("IFERROR(GOOGLEFINANCE(TRIM(F3539)&amp;"":"" &amp; TRIM(B3539),""low52""),AE3539)"),0)</f>
        <v>0</v>
      </c>
      <c r="AI3539" s="1">
        <f ca="1">IFERROR(__xludf.DUMMYFUNCTION("IFERROR(GOOGLEFINANCE(B3539,""eps""),0)"),0)</f>
        <v>0</v>
      </c>
      <c r="AJ3539" s="1"/>
      <c r="AK3539" s="1" t="s">
        <v>10833</v>
      </c>
      <c r="AL3539" s="9">
        <f t="shared" ref="AL3539:AL3550" si="338">IF(AA3539&lt;&gt;AB3539,1,0)</f>
        <v>1</v>
      </c>
    </row>
    <row r="3540" spans="1:38" ht="15" x14ac:dyDescent="0.25">
      <c r="A3540" s="1" t="s">
        <v>10834</v>
      </c>
      <c r="B3540" s="1" t="s">
        <v>10835</v>
      </c>
      <c r="C3540" s="1" t="s">
        <v>106</v>
      </c>
      <c r="D3540" s="1" t="s">
        <v>106</v>
      </c>
      <c r="E3540" s="6">
        <v>2141.27</v>
      </c>
      <c r="F3540" s="1" t="s">
        <v>40</v>
      </c>
      <c r="G3540" s="6">
        <f ca="1">IFERROR(__xludf.DUMMYFUNCTION("iferror(GOOGLEFINANCE(TRIM(F3540)&amp;"":"" &amp; TRIM(B3540), ""price""),0
)"),317.15)</f>
        <v>317.14999999999998</v>
      </c>
      <c r="H3540" s="6">
        <v>254.36</v>
      </c>
      <c r="I3540" s="6">
        <f t="shared" ca="1" si="0"/>
        <v>317.14999999999998</v>
      </c>
      <c r="J3540" s="6">
        <f ca="1">IFERROR(__xludf.DUMMYFUNCTION("IFERROR(GOOGLEFINANCE(B3540, ""volume""), 0)"),147565)</f>
        <v>147565</v>
      </c>
      <c r="K3540" s="6">
        <v>0.59</v>
      </c>
      <c r="L3540" s="6">
        <f ca="1">IFERROR(__xludf.DUMMYFUNCTION("IFERROR(GOOGLEFINANCE(B3540,""changepct""),K3540)"),-0.44)</f>
        <v>-0.44</v>
      </c>
      <c r="M3540" s="6">
        <f ca="1">IFERROR(__xludf.DUMMYFUNCTION("IFERROR(GOOGLEFINANCE(B3540,""change""),0)"),-1.4)</f>
        <v>-1.4</v>
      </c>
      <c r="N3540" s="6">
        <v>2</v>
      </c>
      <c r="O3540" s="7">
        <v>45536</v>
      </c>
      <c r="P3540" s="6">
        <v>285.17</v>
      </c>
      <c r="Q3540" s="6">
        <v>2417.38</v>
      </c>
      <c r="R3540" s="7">
        <v>45536</v>
      </c>
      <c r="S3540" s="6">
        <v>768.48</v>
      </c>
      <c r="T3540" s="6">
        <v>58.58</v>
      </c>
      <c r="U3540" s="7">
        <v>45536</v>
      </c>
      <c r="V3540" s="6">
        <v>36.090000000000003</v>
      </c>
      <c r="W3540" s="6">
        <f ca="1">IFERROR(__xludf.DUMMYFUNCTION("IFERROR(GOOGLEFINANCE(B3540,""pe""),V3540)"),32.74)</f>
        <v>32.74</v>
      </c>
      <c r="X3540" s="6">
        <v>8.07</v>
      </c>
      <c r="Y3540" s="6">
        <v>3.8</v>
      </c>
      <c r="Z3540" s="6">
        <v>2</v>
      </c>
      <c r="AA3540" s="8">
        <v>45352</v>
      </c>
      <c r="AB3540" s="4">
        <v>0.55000000000000004</v>
      </c>
      <c r="AC3540" s="6">
        <v>10.16</v>
      </c>
      <c r="AD3540" s="6">
        <v>11.73</v>
      </c>
      <c r="AE3540" s="1">
        <v>0</v>
      </c>
      <c r="AF3540" s="1">
        <f ca="1">IFERROR(__xludf.DUMMYFUNCTION("IFERROR(GOOGLEFINANCE(TRIM(F3540)&amp;"":"" &amp; TRIM(B3540),""high52""),AE3540)"),360)</f>
        <v>360</v>
      </c>
      <c r="AG3540" s="1">
        <v>0</v>
      </c>
      <c r="AH3540" s="1">
        <f ca="1">IFERROR(__xludf.DUMMYFUNCTION("IFERROR(GOOGLEFINANCE(TRIM(F3540)&amp;"":"" &amp; TRIM(B3540),""low52""),AE3540)"),176.05)</f>
        <v>176.05</v>
      </c>
      <c r="AI3540" s="1">
        <f ca="1">IFERROR(__xludf.DUMMYFUNCTION("IFERROR(GOOGLEFINANCE(B3540,""eps""),0)"),9.69)</f>
        <v>9.69</v>
      </c>
      <c r="AJ3540" s="1"/>
      <c r="AK3540" s="1" t="s">
        <v>10836</v>
      </c>
      <c r="AL3540" s="9">
        <f t="shared" si="338"/>
        <v>1</v>
      </c>
    </row>
    <row r="3541" spans="1:38" ht="15" x14ac:dyDescent="0.25">
      <c r="A3541" s="1" t="s">
        <v>10837</v>
      </c>
      <c r="B3541" s="1" t="s">
        <v>10838</v>
      </c>
      <c r="C3541" s="1" t="s">
        <v>82</v>
      </c>
      <c r="D3541" s="1" t="s">
        <v>82</v>
      </c>
      <c r="E3541" s="6">
        <v>12.14</v>
      </c>
      <c r="F3541" s="1" t="s">
        <v>40</v>
      </c>
      <c r="G3541" s="6">
        <f ca="1">IFERROR(__xludf.DUMMYFUNCTION("iferror(GOOGLEFINANCE(TRIM(F3541)&amp;"":"" &amp; TRIM(B3541), ""price""),0
)"),0)</f>
        <v>0</v>
      </c>
      <c r="H3541" s="6">
        <v>12.1</v>
      </c>
      <c r="I3541" s="6">
        <f t="shared" ca="1" si="0"/>
        <v>12.1</v>
      </c>
      <c r="J3541" s="6">
        <f ca="1">IFERROR(__xludf.DUMMYFUNCTION("IFERROR(GOOGLEFINANCE(B3541, ""volume""), 0)"),0)</f>
        <v>0</v>
      </c>
      <c r="K3541" s="12"/>
      <c r="L3541" s="6" t="str">
        <f ca="1">IFERROR(__xludf.DUMMYFUNCTION("IFERROR(GOOGLEFINANCE(B3541,""changepct""),K3541)"),"")</f>
        <v/>
      </c>
      <c r="M3541" s="6">
        <f ca="1">IFERROR(__xludf.DUMMYFUNCTION("IFERROR(GOOGLEFINANCE(B3541,""change""),0)"),0)</f>
        <v>0</v>
      </c>
      <c r="N3541" s="6">
        <v>1</v>
      </c>
      <c r="O3541" s="7">
        <v>45536</v>
      </c>
      <c r="P3541" s="6">
        <v>11.55</v>
      </c>
      <c r="Q3541" s="6">
        <v>23.69</v>
      </c>
      <c r="R3541" s="7">
        <v>45352</v>
      </c>
      <c r="S3541" s="6">
        <v>24.79</v>
      </c>
      <c r="T3541" s="6">
        <v>-53.78</v>
      </c>
      <c r="U3541" s="7">
        <v>45352</v>
      </c>
      <c r="V3541" s="6">
        <v>0</v>
      </c>
      <c r="W3541" s="6">
        <f ca="1">IFERROR(__xludf.DUMMYFUNCTION("IFERROR(GOOGLEFINANCE(B3541,""pe""),V3541)"),0)</f>
        <v>0</v>
      </c>
      <c r="X3541" s="12"/>
      <c r="Y3541" s="6">
        <v>-0.4</v>
      </c>
      <c r="Z3541" s="6">
        <v>2</v>
      </c>
      <c r="AA3541" s="8">
        <v>45352</v>
      </c>
      <c r="AB3541" s="4">
        <v>-0.92</v>
      </c>
      <c r="AC3541" s="6">
        <v>0</v>
      </c>
      <c r="AD3541" s="6">
        <v>-194.9</v>
      </c>
      <c r="AE3541" s="1">
        <v>0</v>
      </c>
      <c r="AF3541" s="1">
        <f ca="1">IFERROR(__xludf.DUMMYFUNCTION("IFERROR(GOOGLEFINANCE(TRIM(F3541)&amp;"":"" &amp; TRIM(B3541),""high52""),AE3541)"),0)</f>
        <v>0</v>
      </c>
      <c r="AG3541" s="1">
        <v>0</v>
      </c>
      <c r="AH3541" s="1">
        <f ca="1">IFERROR(__xludf.DUMMYFUNCTION("IFERROR(GOOGLEFINANCE(TRIM(F3541)&amp;"":"" &amp; TRIM(B3541),""low52""),AE3541)"),0)</f>
        <v>0</v>
      </c>
      <c r="AI3541" s="1">
        <f ca="1">IFERROR(__xludf.DUMMYFUNCTION("IFERROR(GOOGLEFINANCE(B3541,""eps""),0)"),0)</f>
        <v>0</v>
      </c>
      <c r="AJ3541" s="1"/>
      <c r="AK3541" s="9"/>
      <c r="AL3541" s="9">
        <f t="shared" si="338"/>
        <v>1</v>
      </c>
    </row>
    <row r="3542" spans="1:38" ht="15" x14ac:dyDescent="0.25">
      <c r="A3542" s="1" t="s">
        <v>10839</v>
      </c>
      <c r="B3542" s="1" t="s">
        <v>10840</v>
      </c>
      <c r="C3542" s="1" t="s">
        <v>259</v>
      </c>
      <c r="D3542" s="1" t="s">
        <v>259</v>
      </c>
      <c r="E3542" s="6">
        <v>1178.81</v>
      </c>
      <c r="F3542" s="1" t="s">
        <v>40</v>
      </c>
      <c r="G3542" s="6">
        <f ca="1">IFERROR(__xludf.DUMMYFUNCTION("iferror(GOOGLEFINANCE(TRIM(F3542)&amp;"":"" &amp; TRIM(B3542), ""price""),0
)"),37.92)</f>
        <v>37.92</v>
      </c>
      <c r="H3542" s="6">
        <v>71.02</v>
      </c>
      <c r="I3542" s="6">
        <f t="shared" ca="1" si="0"/>
        <v>37.92</v>
      </c>
      <c r="J3542" s="6">
        <f ca="1">IFERROR(__xludf.DUMMYFUNCTION("IFERROR(GOOGLEFINANCE(B3542, ""volume""), 0)"),267400)</f>
        <v>267400</v>
      </c>
      <c r="K3542" s="6">
        <v>0.55000000000000004</v>
      </c>
      <c r="L3542" s="6">
        <f ca="1">IFERROR(__xludf.DUMMYFUNCTION("IFERROR(GOOGLEFINANCE(B3542,""changepct""),K3542)"),-0.68)</f>
        <v>-0.68</v>
      </c>
      <c r="M3542" s="6">
        <f ca="1">IFERROR(__xludf.DUMMYFUNCTION("IFERROR(GOOGLEFINANCE(B3542,""change""),0)"),-0.26)</f>
        <v>-0.26</v>
      </c>
      <c r="N3542" s="6">
        <v>1</v>
      </c>
      <c r="O3542" s="7">
        <v>45536</v>
      </c>
      <c r="P3542" s="6">
        <v>115.26</v>
      </c>
      <c r="Q3542" s="6">
        <v>1289.45</v>
      </c>
      <c r="R3542" s="7">
        <v>45536</v>
      </c>
      <c r="S3542" s="6">
        <v>534.26</v>
      </c>
      <c r="T3542" s="6">
        <v>8.8000000000000007</v>
      </c>
      <c r="U3542" s="7">
        <v>45536</v>
      </c>
      <c r="V3542" s="6">
        <v>133.94</v>
      </c>
      <c r="W3542" s="6">
        <f ca="1">IFERROR(__xludf.DUMMYFUNCTION("IFERROR(GOOGLEFINANCE(B3542,""pe""),V3542)"),258.63)</f>
        <v>258.63</v>
      </c>
      <c r="X3542" s="6">
        <v>24.31</v>
      </c>
      <c r="Y3542" s="6">
        <v>2.92</v>
      </c>
      <c r="Z3542" s="6">
        <v>1</v>
      </c>
      <c r="AA3542" s="8">
        <v>45352</v>
      </c>
      <c r="AB3542" s="4">
        <v>0.23</v>
      </c>
      <c r="AC3542" s="6">
        <v>3.03</v>
      </c>
      <c r="AD3542" s="6">
        <v>9.43</v>
      </c>
      <c r="AE3542" s="1">
        <v>0</v>
      </c>
      <c r="AF3542" s="1">
        <f ca="1">IFERROR(__xludf.DUMMYFUNCTION("IFERROR(GOOGLEFINANCE(TRIM(F3542)&amp;"":"" &amp; TRIM(B3542),""high52""),AE3542)"),64.4)</f>
        <v>64.400000000000006</v>
      </c>
      <c r="AG3542" s="1">
        <v>0</v>
      </c>
      <c r="AH3542" s="1">
        <f ca="1">IFERROR(__xludf.DUMMYFUNCTION("IFERROR(GOOGLEFINANCE(TRIM(F3542)&amp;"":"" &amp; TRIM(B3542),""low52""),AE3542)"),35.55)</f>
        <v>35.549999999999997</v>
      </c>
      <c r="AI3542" s="1">
        <f ca="1">IFERROR(__xludf.DUMMYFUNCTION("IFERROR(GOOGLEFINANCE(B3542,""eps""),0)"),0.15)</f>
        <v>0.15</v>
      </c>
      <c r="AJ3542" s="1"/>
      <c r="AK3542" s="1" t="s">
        <v>10841</v>
      </c>
      <c r="AL3542" s="9">
        <f t="shared" si="338"/>
        <v>1</v>
      </c>
    </row>
    <row r="3543" spans="1:38" ht="15" x14ac:dyDescent="0.25">
      <c r="A3543" s="1" t="s">
        <v>10842</v>
      </c>
      <c r="B3543" s="1" t="s">
        <v>10843</v>
      </c>
      <c r="C3543" s="1" t="s">
        <v>359</v>
      </c>
      <c r="D3543" s="1" t="s">
        <v>359</v>
      </c>
      <c r="E3543" s="6">
        <v>362.06</v>
      </c>
      <c r="F3543" s="1" t="s">
        <v>53</v>
      </c>
      <c r="G3543" s="6">
        <f ca="1">IFERROR(__xludf.DUMMYFUNCTION("iferror(GOOGLEFINANCE(TRIM(F3543)&amp;"":"" &amp; TRIM(B3543), ""price""),0
)"),0)</f>
        <v>0</v>
      </c>
      <c r="H3543" s="6">
        <v>29.44</v>
      </c>
      <c r="I3543" s="6">
        <f t="shared" ca="1" si="0"/>
        <v>29.44</v>
      </c>
      <c r="J3543" s="6">
        <f ca="1">IFERROR(__xludf.DUMMYFUNCTION("IFERROR(GOOGLEFINANCE(B3543, ""volume""), 0)"),0)</f>
        <v>0</v>
      </c>
      <c r="K3543" s="6">
        <v>1.76</v>
      </c>
      <c r="L3543" s="6">
        <f ca="1">IFERROR(__xludf.DUMMYFUNCTION("IFERROR(GOOGLEFINANCE(B3543,""changepct""),K3543)"),1.76)</f>
        <v>1.76</v>
      </c>
      <c r="M3543" s="6">
        <f ca="1">IFERROR(__xludf.DUMMYFUNCTION("IFERROR(GOOGLEFINANCE(B3543,""change""),0)"),0)</f>
        <v>0</v>
      </c>
      <c r="N3543" s="6">
        <v>1</v>
      </c>
      <c r="O3543" s="7">
        <v>45536</v>
      </c>
      <c r="P3543" s="6">
        <v>16.04</v>
      </c>
      <c r="Q3543" s="6">
        <v>378.1</v>
      </c>
      <c r="R3543" s="7">
        <v>45536</v>
      </c>
      <c r="S3543" s="6">
        <v>422.84</v>
      </c>
      <c r="T3543" s="6">
        <v>12.77</v>
      </c>
      <c r="U3543" s="7">
        <v>45536</v>
      </c>
      <c r="V3543" s="6">
        <v>28.35</v>
      </c>
      <c r="W3543" s="6">
        <f ca="1">IFERROR(__xludf.DUMMYFUNCTION("IFERROR(GOOGLEFINANCE(B3543,""pe""),V3543)"),28.35)</f>
        <v>28.35</v>
      </c>
      <c r="X3543" s="6">
        <v>1.56</v>
      </c>
      <c r="Y3543" s="6">
        <v>4.4000000000000004</v>
      </c>
      <c r="Z3543" s="6">
        <v>1</v>
      </c>
      <c r="AA3543" s="8">
        <v>45352</v>
      </c>
      <c r="AB3543" s="4">
        <v>0.32</v>
      </c>
      <c r="AC3543" s="6">
        <v>19.09</v>
      </c>
      <c r="AD3543" s="6">
        <v>21.15</v>
      </c>
      <c r="AE3543" s="1">
        <v>0</v>
      </c>
      <c r="AF3543" s="1">
        <f ca="1">IFERROR(__xludf.DUMMYFUNCTION("IFERROR(GOOGLEFINANCE(TRIM(F3543)&amp;"":"" &amp; TRIM(B3543),""high52""),AE3543)"),0)</f>
        <v>0</v>
      </c>
      <c r="AG3543" s="1">
        <v>0</v>
      </c>
      <c r="AH3543" s="1">
        <f ca="1">IFERROR(__xludf.DUMMYFUNCTION("IFERROR(GOOGLEFINANCE(TRIM(F3543)&amp;"":"" &amp; TRIM(B3543),""low52""),AE3543)"),0)</f>
        <v>0</v>
      </c>
      <c r="AI3543" s="1">
        <f ca="1">IFERROR(__xludf.DUMMYFUNCTION("IFERROR(GOOGLEFINANCE(B3543,""eps""),0)"),0)</f>
        <v>0</v>
      </c>
      <c r="AJ3543" s="1"/>
      <c r="AK3543" s="1" t="s">
        <v>10844</v>
      </c>
      <c r="AL3543" s="9">
        <f t="shared" si="338"/>
        <v>1</v>
      </c>
    </row>
    <row r="3544" spans="1:38" ht="15" x14ac:dyDescent="0.25">
      <c r="A3544" s="1" t="s">
        <v>10845</v>
      </c>
      <c r="B3544" s="1" t="s">
        <v>10846</v>
      </c>
      <c r="C3544" s="1" t="s">
        <v>487</v>
      </c>
      <c r="D3544" s="1" t="s">
        <v>487</v>
      </c>
      <c r="E3544" s="6">
        <v>16544.150000000001</v>
      </c>
      <c r="F3544" s="1" t="s">
        <v>40</v>
      </c>
      <c r="G3544" s="6">
        <f ca="1">IFERROR(__xludf.DUMMYFUNCTION("iferror(GOOGLEFINANCE(TRIM(F3544)&amp;"":"" &amp; TRIM(B3544), ""price""),0
)"),1420)</f>
        <v>1420</v>
      </c>
      <c r="H3544" s="6">
        <v>1543.45</v>
      </c>
      <c r="I3544" s="6">
        <f t="shared" ca="1" si="0"/>
        <v>1420</v>
      </c>
      <c r="J3544" s="6">
        <f ca="1">IFERROR(__xludf.DUMMYFUNCTION("IFERROR(GOOGLEFINANCE(B3544, ""volume""), 0)"),69870)</f>
        <v>69870</v>
      </c>
      <c r="K3544" s="6">
        <v>-0.25</v>
      </c>
      <c r="L3544" s="6">
        <f ca="1">IFERROR(__xludf.DUMMYFUNCTION("IFERROR(GOOGLEFINANCE(B3544,""changepct""),K3544)"),2.54)</f>
        <v>2.54</v>
      </c>
      <c r="M3544" s="6">
        <f ca="1">IFERROR(__xludf.DUMMYFUNCTION("IFERROR(GOOGLEFINANCE(B3544,""change""),0)"),35.2)</f>
        <v>35.200000000000003</v>
      </c>
      <c r="N3544" s="6">
        <v>2</v>
      </c>
      <c r="O3544" s="7">
        <v>45536</v>
      </c>
      <c r="P3544" s="6">
        <v>1521.14</v>
      </c>
      <c r="Q3544" s="6">
        <v>16765.599999999999</v>
      </c>
      <c r="R3544" s="7">
        <v>45536</v>
      </c>
      <c r="S3544" s="6">
        <v>3021.78</v>
      </c>
      <c r="T3544" s="6">
        <v>54.26</v>
      </c>
      <c r="U3544" s="7">
        <v>45536</v>
      </c>
      <c r="V3544" s="6">
        <v>304.93</v>
      </c>
      <c r="W3544" s="6">
        <f ca="1">IFERROR(__xludf.DUMMYFUNCTION("IFERROR(GOOGLEFINANCE(B3544,""pe""),V3544)"),108.09)</f>
        <v>108.09</v>
      </c>
      <c r="X3544" s="6">
        <v>-10.09</v>
      </c>
      <c r="Y3544" s="6">
        <v>4.71</v>
      </c>
      <c r="Z3544" s="6">
        <v>2</v>
      </c>
      <c r="AA3544" s="8">
        <v>45352</v>
      </c>
      <c r="AB3544" s="4">
        <v>0.76</v>
      </c>
      <c r="AC3544" s="6">
        <v>1.96</v>
      </c>
      <c r="AD3544" s="6">
        <v>7.16</v>
      </c>
      <c r="AE3544" s="1">
        <v>0</v>
      </c>
      <c r="AF3544" s="1">
        <f ca="1">IFERROR(__xludf.DUMMYFUNCTION("IFERROR(GOOGLEFINANCE(TRIM(F3544)&amp;"":"" &amp; TRIM(B3544),""high52""),AE3544)"),1732.5)</f>
        <v>1732.5</v>
      </c>
      <c r="AG3544" s="1">
        <v>0</v>
      </c>
      <c r="AH3544" s="1">
        <f ca="1">IFERROR(__xludf.DUMMYFUNCTION("IFERROR(GOOGLEFINANCE(TRIM(F3544)&amp;"":"" &amp; TRIM(B3544),""low52""),AE3544)"),1075.3)</f>
        <v>1075.3</v>
      </c>
      <c r="AI3544" s="1">
        <f ca="1">IFERROR(__xludf.DUMMYFUNCTION("IFERROR(GOOGLEFINANCE(B3544,""eps""),0)"),13.14)</f>
        <v>13.14</v>
      </c>
      <c r="AJ3544" s="1"/>
      <c r="AK3544" s="1" t="s">
        <v>10847</v>
      </c>
      <c r="AL3544" s="9">
        <f t="shared" si="338"/>
        <v>1</v>
      </c>
    </row>
    <row r="3545" spans="1:38" ht="15" x14ac:dyDescent="0.25">
      <c r="A3545" s="1" t="s">
        <v>10848</v>
      </c>
      <c r="B3545" s="1" t="s">
        <v>10849</v>
      </c>
      <c r="C3545" s="1" t="s">
        <v>359</v>
      </c>
      <c r="D3545" s="1" t="s">
        <v>359</v>
      </c>
      <c r="E3545" s="6">
        <v>18.670000000000002</v>
      </c>
      <c r="F3545" s="1" t="s">
        <v>53</v>
      </c>
      <c r="G3545" s="6">
        <f ca="1">IFERROR(__xludf.DUMMYFUNCTION("iferror(GOOGLEFINANCE(TRIM(F3545)&amp;"":"" &amp; TRIM(B3545), ""price""),0
)"),0)</f>
        <v>0</v>
      </c>
      <c r="H3545" s="6">
        <v>59.89</v>
      </c>
      <c r="I3545" s="6">
        <f t="shared" ca="1" si="0"/>
        <v>59.89</v>
      </c>
      <c r="J3545" s="6">
        <f ca="1">IFERROR(__xludf.DUMMYFUNCTION("IFERROR(GOOGLEFINANCE(B3545, ""volume""), 0)"),0)</f>
        <v>0</v>
      </c>
      <c r="K3545" s="6">
        <v>3.53</v>
      </c>
      <c r="L3545" s="6">
        <f ca="1">IFERROR(__xludf.DUMMYFUNCTION("IFERROR(GOOGLEFINANCE(B3545,""changepct""),K3545)"),3.53)</f>
        <v>3.53</v>
      </c>
      <c r="M3545" s="6">
        <f ca="1">IFERROR(__xludf.DUMMYFUNCTION("IFERROR(GOOGLEFINANCE(B3545,""change""),0)"),0)</f>
        <v>0</v>
      </c>
      <c r="N3545" s="6">
        <v>1</v>
      </c>
      <c r="O3545" s="7">
        <v>45536</v>
      </c>
      <c r="P3545" s="9"/>
      <c r="Q3545" s="6">
        <v>10.199999999999999</v>
      </c>
      <c r="R3545" s="7">
        <v>45536</v>
      </c>
      <c r="S3545" s="6">
        <v>181.4</v>
      </c>
      <c r="T3545" s="6">
        <v>1.76</v>
      </c>
      <c r="U3545" s="7">
        <v>45536</v>
      </c>
      <c r="V3545" s="6">
        <v>10.63</v>
      </c>
      <c r="W3545" s="6">
        <f ca="1">IFERROR(__xludf.DUMMYFUNCTION("IFERROR(GOOGLEFINANCE(B3545,""pe""),V3545)"),10.63)</f>
        <v>10.63</v>
      </c>
      <c r="X3545" s="6">
        <v>0.13</v>
      </c>
      <c r="Y3545" s="6">
        <v>1.86</v>
      </c>
      <c r="Z3545" s="6">
        <v>1</v>
      </c>
      <c r="AA3545" s="8">
        <v>45352</v>
      </c>
      <c r="AB3545" s="4">
        <v>0</v>
      </c>
      <c r="AC3545" s="6">
        <v>21.81</v>
      </c>
      <c r="AD3545" s="6">
        <v>30.54</v>
      </c>
      <c r="AE3545" s="1">
        <v>0</v>
      </c>
      <c r="AF3545" s="1">
        <f ca="1">IFERROR(__xludf.DUMMYFUNCTION("IFERROR(GOOGLEFINANCE(TRIM(F3545)&amp;"":"" &amp; TRIM(B3545),""high52""),AE3545)"),0)</f>
        <v>0</v>
      </c>
      <c r="AG3545" s="1">
        <v>0</v>
      </c>
      <c r="AH3545" s="1">
        <f ca="1">IFERROR(__xludf.DUMMYFUNCTION("IFERROR(GOOGLEFINANCE(TRIM(F3545)&amp;"":"" &amp; TRIM(B3545),""low52""),AE3545)"),0)</f>
        <v>0</v>
      </c>
      <c r="AI3545" s="1">
        <f ca="1">IFERROR(__xludf.DUMMYFUNCTION("IFERROR(GOOGLEFINANCE(B3545,""eps""),0)"),0)</f>
        <v>0</v>
      </c>
      <c r="AJ3545" s="1"/>
      <c r="AK3545" s="1" t="s">
        <v>10850</v>
      </c>
      <c r="AL3545" s="9">
        <f t="shared" si="338"/>
        <v>1</v>
      </c>
    </row>
    <row r="3546" spans="1:38" ht="15" x14ac:dyDescent="0.25">
      <c r="A3546" s="1" t="s">
        <v>10851</v>
      </c>
      <c r="B3546" s="1" t="s">
        <v>10852</v>
      </c>
      <c r="C3546" s="1" t="s">
        <v>57</v>
      </c>
      <c r="D3546" s="1" t="s">
        <v>57</v>
      </c>
      <c r="E3546" s="6">
        <v>710.69</v>
      </c>
      <c r="F3546" s="1" t="s">
        <v>40</v>
      </c>
      <c r="G3546" s="6">
        <f ca="1">IFERROR(__xludf.DUMMYFUNCTION("iferror(GOOGLEFINANCE(TRIM(F3546)&amp;"":"" &amp; TRIM(B3546), ""price""),0
)"),282.8)</f>
        <v>282.8</v>
      </c>
      <c r="H3546" s="6">
        <v>542.70000000000005</v>
      </c>
      <c r="I3546" s="6">
        <f t="shared" ca="1" si="0"/>
        <v>282.8</v>
      </c>
      <c r="J3546" s="6">
        <f ca="1">IFERROR(__xludf.DUMMYFUNCTION("IFERROR(GOOGLEFINANCE(B3546, ""volume""), 0)"),2850)</f>
        <v>2850</v>
      </c>
      <c r="K3546" s="6">
        <v>-0.41</v>
      </c>
      <c r="L3546" s="6">
        <f ca="1">IFERROR(__xludf.DUMMYFUNCTION("IFERROR(GOOGLEFINANCE(B3546,""changepct""),K3546)"),3.16)</f>
        <v>3.16</v>
      </c>
      <c r="M3546" s="6">
        <f ca="1">IFERROR(__xludf.DUMMYFUNCTION("IFERROR(GOOGLEFINANCE(B3546,""change""),0)"),8.65)</f>
        <v>8.65</v>
      </c>
      <c r="N3546" s="6">
        <v>2</v>
      </c>
      <c r="O3546" s="7">
        <v>45536</v>
      </c>
      <c r="P3546" s="6">
        <v>35.99</v>
      </c>
      <c r="Q3546" s="6">
        <v>745.91</v>
      </c>
      <c r="R3546" s="7">
        <v>45536</v>
      </c>
      <c r="S3546" s="6">
        <v>83.54</v>
      </c>
      <c r="T3546" s="6">
        <v>2.79</v>
      </c>
      <c r="U3546" s="7">
        <v>45536</v>
      </c>
      <c r="V3546" s="6">
        <v>231.42</v>
      </c>
      <c r="W3546" s="6">
        <f ca="1">IFERROR(__xludf.DUMMYFUNCTION("IFERROR(GOOGLEFINANCE(B3546,""pe""),V3546)"),289.5)</f>
        <v>289.5</v>
      </c>
      <c r="X3546" s="6">
        <v>-17.03</v>
      </c>
      <c r="Y3546" s="6">
        <v>5.57</v>
      </c>
      <c r="Z3546" s="6">
        <v>2</v>
      </c>
      <c r="AA3546" s="8">
        <v>45352</v>
      </c>
      <c r="AB3546" s="4">
        <v>0.25</v>
      </c>
      <c r="AC3546" s="6">
        <v>2.97</v>
      </c>
      <c r="AD3546" s="6">
        <v>6.87</v>
      </c>
      <c r="AE3546" s="1">
        <v>0</v>
      </c>
      <c r="AF3546" s="1">
        <f ca="1">IFERROR(__xludf.DUMMYFUNCTION("IFERROR(GOOGLEFINANCE(TRIM(F3546)&amp;"":"" &amp; TRIM(B3546),""high52""),AE3546)"),438.95)</f>
        <v>438.95</v>
      </c>
      <c r="AG3546" s="1">
        <v>0</v>
      </c>
      <c r="AH3546" s="1">
        <f ca="1">IFERROR(__xludf.DUMMYFUNCTION("IFERROR(GOOGLEFINANCE(TRIM(F3546)&amp;"":"" &amp; TRIM(B3546),""low52""),AE3546)"),268.85)</f>
        <v>268.85000000000002</v>
      </c>
      <c r="AI3546" s="1">
        <f ca="1">IFERROR(__xludf.DUMMYFUNCTION("IFERROR(GOOGLEFINANCE(B3546,""eps""),0)"),0.98)</f>
        <v>0.98</v>
      </c>
      <c r="AJ3546" s="1"/>
      <c r="AK3546" s="9"/>
      <c r="AL3546" s="9">
        <f t="shared" si="338"/>
        <v>1</v>
      </c>
    </row>
    <row r="3547" spans="1:38" ht="15" x14ac:dyDescent="0.25">
      <c r="A3547" s="1" t="s">
        <v>10853</v>
      </c>
      <c r="B3547" s="1" t="s">
        <v>10854</v>
      </c>
      <c r="C3547" s="1" t="s">
        <v>135</v>
      </c>
      <c r="D3547" s="1" t="s">
        <v>135</v>
      </c>
      <c r="E3547" s="6">
        <v>87806.12</v>
      </c>
      <c r="F3547" s="1" t="s">
        <v>40</v>
      </c>
      <c r="G3547" s="6">
        <f ca="1">IFERROR(__xludf.DUMMYFUNCTION("iferror(GOOGLEFINANCE(TRIM(F3547)&amp;"":"" &amp; TRIM(B3547), ""price""),0
)"),13253)</f>
        <v>13253</v>
      </c>
      <c r="H3547" s="6">
        <v>9802.0499999999993</v>
      </c>
      <c r="I3547" s="6">
        <f t="shared" ca="1" si="0"/>
        <v>13253</v>
      </c>
      <c r="J3547" s="6">
        <f ca="1">IFERROR(__xludf.DUMMYFUNCTION("IFERROR(GOOGLEFINANCE(B3547, ""volume""), 0)"),143982)</f>
        <v>143982</v>
      </c>
      <c r="K3547" s="6">
        <v>1.06</v>
      </c>
      <c r="L3547" s="6">
        <f ca="1">IFERROR(__xludf.DUMMYFUNCTION("IFERROR(GOOGLEFINANCE(B3547,""changepct""),K3547)"),0.42)</f>
        <v>0.42</v>
      </c>
      <c r="M3547" s="6">
        <f ca="1">IFERROR(__xludf.DUMMYFUNCTION("IFERROR(GOOGLEFINANCE(B3547,""change""),0)"),55)</f>
        <v>55</v>
      </c>
      <c r="N3547" s="6">
        <v>2</v>
      </c>
      <c r="O3547" s="7">
        <v>45536</v>
      </c>
      <c r="P3547" s="6">
        <v>1158.1099999999999</v>
      </c>
      <c r="Q3547" s="6">
        <v>88674.4</v>
      </c>
      <c r="R3547" s="7">
        <v>45536</v>
      </c>
      <c r="S3547" s="6">
        <v>6450.46</v>
      </c>
      <c r="T3547" s="6">
        <v>1060.57</v>
      </c>
      <c r="U3547" s="7">
        <v>45536</v>
      </c>
      <c r="V3547" s="6">
        <v>86.87</v>
      </c>
      <c r="W3547" s="6">
        <f ca="1">IFERROR(__xludf.DUMMYFUNCTION("IFERROR(GOOGLEFINANCE(B3547,""pe""),V3547)"),90.8)</f>
        <v>90.8</v>
      </c>
      <c r="X3547" s="6">
        <v>3.37</v>
      </c>
      <c r="Y3547" s="6">
        <v>23.14</v>
      </c>
      <c r="Z3547" s="6">
        <v>2</v>
      </c>
      <c r="AA3547" s="8">
        <v>45352</v>
      </c>
      <c r="AB3547" s="4">
        <v>0.33</v>
      </c>
      <c r="AC3547" s="6">
        <v>29.59</v>
      </c>
      <c r="AD3547" s="6">
        <v>31.03</v>
      </c>
      <c r="AE3547" s="1">
        <v>0</v>
      </c>
      <c r="AF3547" s="1">
        <f ca="1">IFERROR(__xludf.DUMMYFUNCTION("IFERROR(GOOGLEFINANCE(TRIM(F3547)&amp;"":"" &amp; TRIM(B3547),""high52""),AE3547)"),17820)</f>
        <v>17820</v>
      </c>
      <c r="AG3547" s="1">
        <v>0</v>
      </c>
      <c r="AH3547" s="1">
        <f ca="1">IFERROR(__xludf.DUMMYFUNCTION("IFERROR(GOOGLEFINANCE(TRIM(F3547)&amp;"":"" &amp; TRIM(B3547),""low52""),AE3547)"),8482.5)</f>
        <v>8482.5</v>
      </c>
      <c r="AI3547" s="1">
        <f ca="1">IFERROR(__xludf.DUMMYFUNCTION("IFERROR(GOOGLEFINANCE(B3547,""eps""),0)"),145.95)</f>
        <v>145.94999999999999</v>
      </c>
      <c r="AJ3547" s="1"/>
      <c r="AK3547" s="1" t="s">
        <v>10855</v>
      </c>
      <c r="AL3547" s="9">
        <f t="shared" si="338"/>
        <v>1</v>
      </c>
    </row>
    <row r="3548" spans="1:38" ht="15" x14ac:dyDescent="0.25">
      <c r="A3548" s="1" t="s">
        <v>10856</v>
      </c>
      <c r="B3548" s="1" t="s">
        <v>10857</v>
      </c>
      <c r="C3548" s="1" t="s">
        <v>106</v>
      </c>
      <c r="D3548" s="1" t="s">
        <v>106</v>
      </c>
      <c r="E3548" s="6">
        <v>3361.55</v>
      </c>
      <c r="F3548" s="1" t="s">
        <v>40</v>
      </c>
      <c r="G3548" s="6">
        <f ca="1">IFERROR(__xludf.DUMMYFUNCTION("iferror(GOOGLEFINANCE(TRIM(F3548)&amp;"":"" &amp; TRIM(B3548), ""price""),0
)"),519)</f>
        <v>519</v>
      </c>
      <c r="H3548" s="6">
        <v>696.8</v>
      </c>
      <c r="I3548" s="6">
        <f t="shared" ca="1" si="0"/>
        <v>519</v>
      </c>
      <c r="J3548" s="6">
        <f ca="1">IFERROR(__xludf.DUMMYFUNCTION("IFERROR(GOOGLEFINANCE(B3548, ""volume""), 0)"),79945)</f>
        <v>79945</v>
      </c>
      <c r="K3548" s="6">
        <v>-0.52</v>
      </c>
      <c r="L3548" s="6">
        <f ca="1">IFERROR(__xludf.DUMMYFUNCTION("IFERROR(GOOGLEFINANCE(B3548,""changepct""),K3548)"),2.01)</f>
        <v>2.0099999999999998</v>
      </c>
      <c r="M3548" s="6">
        <f ca="1">IFERROR(__xludf.DUMMYFUNCTION("IFERROR(GOOGLEFINANCE(B3548,""change""),0)"),10.25)</f>
        <v>10.25</v>
      </c>
      <c r="N3548" s="6">
        <v>2</v>
      </c>
      <c r="O3548" s="7">
        <v>45536</v>
      </c>
      <c r="P3548" s="6">
        <v>819.57</v>
      </c>
      <c r="Q3548" s="6">
        <v>4175.05</v>
      </c>
      <c r="R3548" s="7">
        <v>45536</v>
      </c>
      <c r="S3548" s="6">
        <v>1258.5999999999999</v>
      </c>
      <c r="T3548" s="6">
        <v>-536.24</v>
      </c>
      <c r="U3548" s="7">
        <v>45536</v>
      </c>
      <c r="V3548" s="6">
        <v>0</v>
      </c>
      <c r="W3548" s="6">
        <f ca="1">IFERROR(__xludf.DUMMYFUNCTION("IFERROR(GOOGLEFINANCE(B3548,""pe""),V3548)"),432.5)</f>
        <v>432.5</v>
      </c>
      <c r="X3548" s="12"/>
      <c r="Y3548" s="6">
        <v>3.07</v>
      </c>
      <c r="Z3548" s="6">
        <v>2</v>
      </c>
      <c r="AA3548" s="8">
        <v>45352</v>
      </c>
      <c r="AB3548" s="4">
        <v>1.07</v>
      </c>
      <c r="AC3548" s="6">
        <v>-46.64</v>
      </c>
      <c r="AD3548" s="6">
        <v>-17.29</v>
      </c>
      <c r="AE3548" s="1">
        <v>0</v>
      </c>
      <c r="AF3548" s="1">
        <f ca="1">IFERROR(__xludf.DUMMYFUNCTION("IFERROR(GOOGLEFINANCE(TRIM(F3548)&amp;"":"" &amp; TRIM(B3548),""high52""),AE3548)"),734.4)</f>
        <v>734.4</v>
      </c>
      <c r="AG3548" s="1">
        <v>0</v>
      </c>
      <c r="AH3548" s="1">
        <f ca="1">IFERROR(__xludf.DUMMYFUNCTION("IFERROR(GOOGLEFINANCE(TRIM(F3548)&amp;"":"" &amp; TRIM(B3548),""low52""),AE3548)"),442.8)</f>
        <v>442.8</v>
      </c>
      <c r="AI3548" s="1">
        <f ca="1">IFERROR(__xludf.DUMMYFUNCTION("IFERROR(GOOGLEFINANCE(B3548,""eps""),0)"),1.2)</f>
        <v>1.2</v>
      </c>
      <c r="AJ3548" s="1"/>
      <c r="AK3548" s="1" t="s">
        <v>10858</v>
      </c>
      <c r="AL3548" s="9">
        <f t="shared" si="338"/>
        <v>1</v>
      </c>
    </row>
    <row r="3549" spans="1:38" ht="15" x14ac:dyDescent="0.25">
      <c r="A3549" s="1" t="s">
        <v>10859</v>
      </c>
      <c r="B3549" s="1" t="s">
        <v>10860</v>
      </c>
      <c r="C3549" s="1" t="s">
        <v>125</v>
      </c>
      <c r="D3549" s="1" t="s">
        <v>125</v>
      </c>
      <c r="E3549" s="6">
        <v>1541.25</v>
      </c>
      <c r="F3549" s="1" t="s">
        <v>40</v>
      </c>
      <c r="G3549" s="6">
        <f ca="1">IFERROR(__xludf.DUMMYFUNCTION("iferror(GOOGLEFINANCE(TRIM(F3549)&amp;"":"" &amp; TRIM(B3549), ""price""),0
)"),920)</f>
        <v>920</v>
      </c>
      <c r="H3549" s="6">
        <v>1425.1</v>
      </c>
      <c r="I3549" s="6">
        <f t="shared" ca="1" si="0"/>
        <v>920</v>
      </c>
      <c r="J3549" s="6">
        <f ca="1">IFERROR(__xludf.DUMMYFUNCTION("IFERROR(GOOGLEFINANCE(B3549, ""volume""), 0)"),0)</f>
        <v>0</v>
      </c>
      <c r="K3549" s="6">
        <v>-0.12</v>
      </c>
      <c r="L3549" s="6">
        <f ca="1">IFERROR(__xludf.DUMMYFUNCTION("IFERROR(GOOGLEFINANCE(B3549,""changepct""),K3549)"),-3.27)</f>
        <v>-3.27</v>
      </c>
      <c r="M3549" s="6">
        <f ca="1">IFERROR(__xludf.DUMMYFUNCTION("IFERROR(GOOGLEFINANCE(B3549,""change""),0)"),-4.81)</f>
        <v>-4.8099999999999996</v>
      </c>
      <c r="N3549" s="6">
        <v>1</v>
      </c>
      <c r="O3549" s="7">
        <v>45536</v>
      </c>
      <c r="P3549" s="6">
        <v>73.33</v>
      </c>
      <c r="Q3549" s="6">
        <v>1614.58</v>
      </c>
      <c r="R3549" s="7">
        <v>45352</v>
      </c>
      <c r="S3549" s="6">
        <v>365.92</v>
      </c>
      <c r="T3549" s="6">
        <v>8.73</v>
      </c>
      <c r="U3549" s="7">
        <v>45352</v>
      </c>
      <c r="V3549" s="6">
        <v>176.45</v>
      </c>
      <c r="W3549" s="6">
        <f ca="1">IFERROR(__xludf.DUMMYFUNCTION("IFERROR(GOOGLEFINANCE(B3549,""pe""),V3549)"),176.45)</f>
        <v>176.45</v>
      </c>
      <c r="X3549" s="6">
        <v>14.8</v>
      </c>
      <c r="Y3549" s="6">
        <v>12.7</v>
      </c>
      <c r="Z3549" s="6">
        <v>1</v>
      </c>
      <c r="AA3549" s="8">
        <v>45352</v>
      </c>
      <c r="AB3549" s="4">
        <v>2.08</v>
      </c>
      <c r="AC3549" s="6">
        <v>20.83</v>
      </c>
      <c r="AD3549" s="6">
        <v>17.93</v>
      </c>
      <c r="AE3549" s="1">
        <v>0</v>
      </c>
      <c r="AF3549" s="1">
        <f ca="1">IFERROR(__xludf.DUMMYFUNCTION("IFERROR(GOOGLEFINANCE(TRIM(F3549)&amp;"":"" &amp; TRIM(B3549),""high52""),AE3549)"),1985)</f>
        <v>1985</v>
      </c>
      <c r="AG3549" s="1">
        <v>0</v>
      </c>
      <c r="AH3549" s="1">
        <f ca="1">IFERROR(__xludf.DUMMYFUNCTION("IFERROR(GOOGLEFINANCE(TRIM(F3549)&amp;"":"" &amp; TRIM(B3549),""low52""),AE3549)"),900)</f>
        <v>900</v>
      </c>
      <c r="AI3549" s="1">
        <f ca="1">IFERROR(__xludf.DUMMYFUNCTION("IFERROR(GOOGLEFINANCE(B3549,""eps""),0)"),0)</f>
        <v>0</v>
      </c>
      <c r="AJ3549" s="1"/>
      <c r="AK3549" s="1" t="s">
        <v>10861</v>
      </c>
      <c r="AL3549" s="9">
        <f t="shared" si="338"/>
        <v>1</v>
      </c>
    </row>
    <row r="3550" spans="1:38" ht="15" x14ac:dyDescent="0.25">
      <c r="A3550" s="1" t="s">
        <v>10862</v>
      </c>
      <c r="B3550" s="1" t="s">
        <v>10863</v>
      </c>
      <c r="C3550" s="1" t="s">
        <v>82</v>
      </c>
      <c r="D3550" s="1" t="s">
        <v>82</v>
      </c>
      <c r="E3550" s="6">
        <v>19.829999999999998</v>
      </c>
      <c r="F3550" s="1" t="s">
        <v>40</v>
      </c>
      <c r="G3550" s="6">
        <f ca="1">IFERROR(__xludf.DUMMYFUNCTION("iferror(GOOGLEFINANCE(TRIM(F3550)&amp;"":"" &amp; TRIM(B3550), ""price""),0
)"),0)</f>
        <v>0</v>
      </c>
      <c r="H3550" s="6">
        <v>45.45</v>
      </c>
      <c r="I3550" s="6">
        <f t="shared" ca="1" si="0"/>
        <v>45.45</v>
      </c>
      <c r="J3550" s="6">
        <f ca="1">IFERROR(__xludf.DUMMYFUNCTION("IFERROR(GOOGLEFINANCE(B3550, ""volume""), 0)"),1123)</f>
        <v>1123</v>
      </c>
      <c r="K3550" s="6">
        <v>0.11</v>
      </c>
      <c r="L3550" s="6">
        <f ca="1">IFERROR(__xludf.DUMMYFUNCTION("IFERROR(GOOGLEFINANCE(B3550,""changepct""),K3550)"),-1.81)</f>
        <v>-1.81</v>
      </c>
      <c r="M3550" s="6">
        <f ca="1">IFERROR(__xludf.DUMMYFUNCTION("IFERROR(GOOGLEFINANCE(B3550,""change""),0)"),-0.3)</f>
        <v>-0.3</v>
      </c>
      <c r="N3550" s="6">
        <v>1</v>
      </c>
      <c r="O3550" s="7">
        <v>45536</v>
      </c>
      <c r="P3550" s="6">
        <v>9.76</v>
      </c>
      <c r="Q3550" s="6">
        <v>29.59</v>
      </c>
      <c r="R3550" s="14"/>
      <c r="S3550" s="9"/>
      <c r="T3550" s="9"/>
      <c r="U3550" s="7">
        <v>45352</v>
      </c>
      <c r="V3550" s="6">
        <v>13.92</v>
      </c>
      <c r="W3550" s="6">
        <f ca="1">IFERROR(__xludf.DUMMYFUNCTION("IFERROR(GOOGLEFINANCE(B3550,""pe""),V3550)"),17.7)</f>
        <v>17.7</v>
      </c>
      <c r="X3550" s="12"/>
      <c r="Y3550" s="6">
        <v>1.22</v>
      </c>
      <c r="Z3550" s="6">
        <v>1</v>
      </c>
      <c r="AA3550" s="8">
        <v>45352</v>
      </c>
      <c r="AB3550" s="4">
        <v>2.83</v>
      </c>
      <c r="AC3550" s="6">
        <v>45.13</v>
      </c>
      <c r="AD3550" s="6">
        <v>18.690000000000001</v>
      </c>
      <c r="AE3550" s="1">
        <v>0</v>
      </c>
      <c r="AF3550" s="1">
        <f ca="1">IFERROR(__xludf.DUMMYFUNCTION("IFERROR(GOOGLEFINANCE(TRIM(F3550)&amp;"":"" &amp; TRIM(B3550),""high52""),AE3550)"),0)</f>
        <v>0</v>
      </c>
      <c r="AG3550" s="1">
        <v>0</v>
      </c>
      <c r="AH3550" s="1">
        <f ca="1">IFERROR(__xludf.DUMMYFUNCTION("IFERROR(GOOGLEFINANCE(TRIM(F3550)&amp;"":"" &amp; TRIM(B3550),""low52""),AE3550)"),0)</f>
        <v>0</v>
      </c>
      <c r="AI3550" s="1">
        <f ca="1">IFERROR(__xludf.DUMMYFUNCTION("IFERROR(GOOGLEFINANCE(B3550,""eps""),0)"),3.77)</f>
        <v>3.77</v>
      </c>
      <c r="AJ3550" s="1"/>
      <c r="AK3550" s="1" t="s">
        <v>10864</v>
      </c>
      <c r="AL3550" s="9">
        <f t="shared" si="338"/>
        <v>1</v>
      </c>
    </row>
    <row r="3551" spans="1:38" ht="15" x14ac:dyDescent="0.25">
      <c r="A3551" s="1" t="s">
        <v>10865</v>
      </c>
      <c r="B3551" s="1" t="s">
        <v>10866</v>
      </c>
      <c r="C3551" s="1" t="s">
        <v>643</v>
      </c>
      <c r="D3551" s="1" t="s">
        <v>643</v>
      </c>
      <c r="E3551" s="6">
        <v>2302.96</v>
      </c>
      <c r="F3551" s="1" t="s">
        <v>40</v>
      </c>
      <c r="G3551" s="6">
        <f ca="1">IFERROR(__xludf.DUMMYFUNCTION("iferror(GOOGLEFINANCE(TRIM(F3551)&amp;"":"" &amp; TRIM(B3551), ""price""),0
)"),87.06)</f>
        <v>87.06</v>
      </c>
      <c r="H3551" s="6">
        <v>118.37</v>
      </c>
      <c r="I3551" s="6">
        <f t="shared" ca="1" si="0"/>
        <v>87.06</v>
      </c>
      <c r="J3551" s="6">
        <f ca="1">IFERROR(__xludf.DUMMYFUNCTION("IFERROR(GOOGLEFINANCE(B3551, ""volume""), 0)"),595888)</f>
        <v>595888</v>
      </c>
      <c r="K3551" s="6">
        <v>1.76</v>
      </c>
      <c r="L3551" s="6">
        <f ca="1">IFERROR(__xludf.DUMMYFUNCTION("IFERROR(GOOGLEFINANCE(B3551,""changepct""),K3551)"),0.86)</f>
        <v>0.86</v>
      </c>
      <c r="M3551" s="6">
        <f ca="1">IFERROR(__xludf.DUMMYFUNCTION("IFERROR(GOOGLEFINANCE(B3551,""change""),0)"),0.74)</f>
        <v>0.74</v>
      </c>
      <c r="N3551" s="6">
        <v>2</v>
      </c>
      <c r="O3551" s="7">
        <v>45536</v>
      </c>
      <c r="P3551" s="6">
        <v>127.09</v>
      </c>
      <c r="Q3551" s="6">
        <v>2408.6999999999998</v>
      </c>
      <c r="R3551" s="7">
        <v>45536</v>
      </c>
      <c r="S3551" s="6">
        <v>2825.53</v>
      </c>
      <c r="T3551" s="6">
        <v>97.22</v>
      </c>
      <c r="U3551" s="7">
        <v>45536</v>
      </c>
      <c r="V3551" s="6">
        <v>24.26</v>
      </c>
      <c r="W3551" s="6">
        <f ca="1">IFERROR(__xludf.DUMMYFUNCTION("IFERROR(GOOGLEFINANCE(B3551,""pe""),V3551)"),16.54)</f>
        <v>16.54</v>
      </c>
      <c r="X3551" s="6">
        <v>0.71</v>
      </c>
      <c r="Y3551" s="6">
        <v>3.64</v>
      </c>
      <c r="Z3551" s="6">
        <v>2</v>
      </c>
      <c r="AA3551" s="8">
        <v>45352</v>
      </c>
      <c r="AB3551" s="4">
        <v>0.31</v>
      </c>
      <c r="AC3551" s="6">
        <v>19.11</v>
      </c>
      <c r="AD3551" s="6">
        <v>19.88</v>
      </c>
      <c r="AE3551" s="1">
        <v>0</v>
      </c>
      <c r="AF3551" s="1">
        <f ca="1">IFERROR(__xludf.DUMMYFUNCTION("IFERROR(GOOGLEFINANCE(TRIM(F3551)&amp;"":"" &amp; TRIM(B3551),""high52""),AE3551)"),173.03)</f>
        <v>173.03</v>
      </c>
      <c r="AG3551" s="1">
        <v>0</v>
      </c>
      <c r="AH3551" s="1">
        <f ca="1">IFERROR(__xludf.DUMMYFUNCTION("IFERROR(GOOGLEFINANCE(TRIM(F3551)&amp;"":"" &amp; TRIM(B3551),""low52""),AE3551)"),83.5)</f>
        <v>83.5</v>
      </c>
      <c r="AI3551" s="1">
        <f ca="1">IFERROR(__xludf.DUMMYFUNCTION("IFERROR(GOOGLEFINANCE(B3551,""eps""),0)"),5.26)</f>
        <v>5.26</v>
      </c>
      <c r="AJ3551" s="1"/>
      <c r="AK3551" s="9"/>
      <c r="AL3551" s="1" t="b">
        <f>ISBLANK(AB3551)</f>
        <v>0</v>
      </c>
    </row>
    <row r="3552" spans="1:38" ht="15" x14ac:dyDescent="0.25">
      <c r="A3552" s="1" t="s">
        <v>10867</v>
      </c>
      <c r="B3552" s="1" t="s">
        <v>10868</v>
      </c>
      <c r="C3552" s="1" t="s">
        <v>359</v>
      </c>
      <c r="D3552" s="1" t="s">
        <v>359</v>
      </c>
      <c r="E3552" s="6">
        <v>37.07</v>
      </c>
      <c r="F3552" s="1" t="s">
        <v>53</v>
      </c>
      <c r="G3552" s="6">
        <f ca="1">IFERROR(__xludf.DUMMYFUNCTION("iferror(GOOGLEFINANCE(TRIM(F3552)&amp;"":"" &amp; TRIM(B3552), ""price""),0
)"),0)</f>
        <v>0</v>
      </c>
      <c r="H3552" s="6">
        <v>3.64</v>
      </c>
      <c r="I3552" s="6">
        <f t="shared" ca="1" si="0"/>
        <v>3.64</v>
      </c>
      <c r="J3552" s="6">
        <f ca="1">IFERROR(__xludf.DUMMYFUNCTION("IFERROR(GOOGLEFINANCE(B3552, ""volume""), 0)"),0)</f>
        <v>0</v>
      </c>
      <c r="K3552" s="6">
        <v>0.83</v>
      </c>
      <c r="L3552" s="6">
        <f ca="1">IFERROR(__xludf.DUMMYFUNCTION("IFERROR(GOOGLEFINANCE(B3552,""changepct""),K3552)"),0.83)</f>
        <v>0.83</v>
      </c>
      <c r="M3552" s="6">
        <f ca="1">IFERROR(__xludf.DUMMYFUNCTION("IFERROR(GOOGLEFINANCE(B3552,""change""),0)"),0)</f>
        <v>0</v>
      </c>
      <c r="N3552" s="6">
        <v>1</v>
      </c>
      <c r="O3552" s="7">
        <v>45536</v>
      </c>
      <c r="P3552" s="6">
        <v>0.15</v>
      </c>
      <c r="Q3552" s="6">
        <v>37.229999999999997</v>
      </c>
      <c r="R3552" s="7">
        <v>45536</v>
      </c>
      <c r="S3552" s="6">
        <v>1.4</v>
      </c>
      <c r="T3552" s="6">
        <v>-0.86</v>
      </c>
      <c r="U3552" s="7">
        <v>45536</v>
      </c>
      <c r="V3552" s="6">
        <v>0</v>
      </c>
      <c r="W3552" s="6">
        <f ca="1">IFERROR(__xludf.DUMMYFUNCTION("IFERROR(GOOGLEFINANCE(B3552,""pe""),V3552)"),0)</f>
        <v>0</v>
      </c>
      <c r="X3552" s="12"/>
      <c r="Y3552" s="6">
        <v>3.88</v>
      </c>
      <c r="Z3552" s="6">
        <v>1</v>
      </c>
      <c r="AA3552" s="8">
        <v>45352</v>
      </c>
      <c r="AB3552" s="4">
        <v>0.05</v>
      </c>
      <c r="AC3552" s="6">
        <v>-2.5099999999999998</v>
      </c>
      <c r="AD3552" s="6">
        <v>-0.63</v>
      </c>
      <c r="AE3552" s="1">
        <v>0</v>
      </c>
      <c r="AF3552" s="1">
        <f ca="1">IFERROR(__xludf.DUMMYFUNCTION("IFERROR(GOOGLEFINANCE(TRIM(F3552)&amp;"":"" &amp; TRIM(B3552),""high52""),AE3552)"),0)</f>
        <v>0</v>
      </c>
      <c r="AG3552" s="1">
        <v>0</v>
      </c>
      <c r="AH3552" s="1">
        <f ca="1">IFERROR(__xludf.DUMMYFUNCTION("IFERROR(GOOGLEFINANCE(TRIM(F3552)&amp;"":"" &amp; TRIM(B3552),""low52""),AE3552)"),0)</f>
        <v>0</v>
      </c>
      <c r="AI3552" s="1">
        <f ca="1">IFERROR(__xludf.DUMMYFUNCTION("IFERROR(GOOGLEFINANCE(B3552,""eps""),0)"),0)</f>
        <v>0</v>
      </c>
      <c r="AJ3552" s="1"/>
      <c r="AK3552" s="1" t="s">
        <v>10869</v>
      </c>
      <c r="AL3552" s="9">
        <f t="shared" ref="AL3552:AL3555" si="339">IF(AA3552&lt;&gt;AB3552,1,0)</f>
        <v>1</v>
      </c>
    </row>
    <row r="3553" spans="1:38" ht="15" x14ac:dyDescent="0.25">
      <c r="A3553" s="1" t="s">
        <v>10870</v>
      </c>
      <c r="B3553" s="1" t="s">
        <v>10871</v>
      </c>
      <c r="C3553" s="1" t="s">
        <v>359</v>
      </c>
      <c r="D3553" s="1" t="s">
        <v>359</v>
      </c>
      <c r="E3553" s="6">
        <v>28.79</v>
      </c>
      <c r="F3553" s="1" t="s">
        <v>53</v>
      </c>
      <c r="G3553" s="6">
        <f ca="1">IFERROR(__xludf.DUMMYFUNCTION("iferror(GOOGLEFINANCE(TRIM(F3553)&amp;"":"" &amp; TRIM(B3553), ""price""),0
)"),0)</f>
        <v>0</v>
      </c>
      <c r="H3553" s="6">
        <v>48.4</v>
      </c>
      <c r="I3553" s="6">
        <f t="shared" ca="1" si="0"/>
        <v>48.4</v>
      </c>
      <c r="J3553" s="6">
        <f ca="1">IFERROR(__xludf.DUMMYFUNCTION("IFERROR(GOOGLEFINANCE(B3553, ""volume""), 0)"),0)</f>
        <v>0</v>
      </c>
      <c r="K3553" s="6">
        <v>1.26</v>
      </c>
      <c r="L3553" s="6">
        <f ca="1">IFERROR(__xludf.DUMMYFUNCTION("IFERROR(GOOGLEFINANCE(B3553,""changepct""),K3553)"),1.26)</f>
        <v>1.26</v>
      </c>
      <c r="M3553" s="6">
        <f ca="1">IFERROR(__xludf.DUMMYFUNCTION("IFERROR(GOOGLEFINANCE(B3553,""change""),0)"),0)</f>
        <v>0</v>
      </c>
      <c r="N3553" s="6">
        <v>1</v>
      </c>
      <c r="O3553" s="7">
        <v>45536</v>
      </c>
      <c r="P3553" s="6">
        <v>52.66</v>
      </c>
      <c r="Q3553" s="6">
        <v>81.459999999999994</v>
      </c>
      <c r="R3553" s="7">
        <v>45536</v>
      </c>
      <c r="S3553" s="6">
        <v>268.25</v>
      </c>
      <c r="T3553" s="6">
        <v>1.06</v>
      </c>
      <c r="U3553" s="7">
        <v>45536</v>
      </c>
      <c r="V3553" s="6">
        <v>27.14</v>
      </c>
      <c r="W3553" s="6">
        <f ca="1">IFERROR(__xludf.DUMMYFUNCTION("IFERROR(GOOGLEFINANCE(B3553,""pe""),V3553)"),27.14)</f>
        <v>27.14</v>
      </c>
      <c r="X3553" s="6">
        <v>-2.4900000000000002</v>
      </c>
      <c r="Y3553" s="6">
        <v>0.68</v>
      </c>
      <c r="Z3553" s="6">
        <v>1</v>
      </c>
      <c r="AA3553" s="8">
        <v>45352</v>
      </c>
      <c r="AB3553" s="4">
        <v>1.21</v>
      </c>
      <c r="AC3553" s="6">
        <v>1.93</v>
      </c>
      <c r="AD3553" s="6">
        <v>6.63</v>
      </c>
      <c r="AE3553" s="1">
        <v>0</v>
      </c>
      <c r="AF3553" s="1">
        <f ca="1">IFERROR(__xludf.DUMMYFUNCTION("IFERROR(GOOGLEFINANCE(TRIM(F3553)&amp;"":"" &amp; TRIM(B3553),""high52""),AE3553)"),0)</f>
        <v>0</v>
      </c>
      <c r="AG3553" s="1">
        <v>0</v>
      </c>
      <c r="AH3553" s="1">
        <f ca="1">IFERROR(__xludf.DUMMYFUNCTION("IFERROR(GOOGLEFINANCE(TRIM(F3553)&amp;"":"" &amp; TRIM(B3553),""low52""),AE3553)"),0)</f>
        <v>0</v>
      </c>
      <c r="AI3553" s="1">
        <f ca="1">IFERROR(__xludf.DUMMYFUNCTION("IFERROR(GOOGLEFINANCE(B3553,""eps""),0)"),0)</f>
        <v>0</v>
      </c>
      <c r="AJ3553" s="1"/>
      <c r="AK3553" s="1" t="s">
        <v>10872</v>
      </c>
      <c r="AL3553" s="9">
        <f t="shared" si="339"/>
        <v>1</v>
      </c>
    </row>
    <row r="3554" spans="1:38" ht="15" x14ac:dyDescent="0.25">
      <c r="A3554" s="1" t="s">
        <v>10873</v>
      </c>
      <c r="B3554" s="1" t="s">
        <v>10874</v>
      </c>
      <c r="C3554" s="1" t="s">
        <v>186</v>
      </c>
      <c r="D3554" s="1" t="s">
        <v>186</v>
      </c>
      <c r="E3554" s="6">
        <v>151.75</v>
      </c>
      <c r="F3554" s="1" t="s">
        <v>40</v>
      </c>
      <c r="G3554" s="6">
        <f ca="1">IFERROR(__xludf.DUMMYFUNCTION("iferror(GOOGLEFINANCE(TRIM(F3554)&amp;"":"" &amp; TRIM(B3554), ""price""),0
)"),112.05)</f>
        <v>112.05</v>
      </c>
      <c r="H3554" s="6">
        <v>45.72</v>
      </c>
      <c r="I3554" s="6">
        <f t="shared" ca="1" si="0"/>
        <v>112.05</v>
      </c>
      <c r="J3554" s="6">
        <f ca="1">IFERROR(__xludf.DUMMYFUNCTION("IFERROR(GOOGLEFINANCE(B3554, ""volume""), 0)"),1176)</f>
        <v>1176</v>
      </c>
      <c r="K3554" s="6">
        <v>-0.8</v>
      </c>
      <c r="L3554" s="6">
        <f ca="1">IFERROR(__xludf.DUMMYFUNCTION("IFERROR(GOOGLEFINANCE(B3554,""changepct""),K3554)"),-0.51)</f>
        <v>-0.51</v>
      </c>
      <c r="M3554" s="6">
        <f ca="1">IFERROR(__xludf.DUMMYFUNCTION("IFERROR(GOOGLEFINANCE(B3554,""change""),0)"),-0.58)</f>
        <v>-0.57999999999999996</v>
      </c>
      <c r="N3554" s="6">
        <v>2</v>
      </c>
      <c r="O3554" s="7">
        <v>45536</v>
      </c>
      <c r="P3554" s="6">
        <v>1.45</v>
      </c>
      <c r="Q3554" s="6">
        <v>153.19999999999999</v>
      </c>
      <c r="R3554" s="7">
        <v>45536</v>
      </c>
      <c r="S3554" s="6">
        <v>8.1199999999999992</v>
      </c>
      <c r="T3554" s="6">
        <v>89.49</v>
      </c>
      <c r="U3554" s="7">
        <v>45536</v>
      </c>
      <c r="V3554" s="6">
        <v>1.7</v>
      </c>
      <c r="W3554" s="6">
        <f ca="1">IFERROR(__xludf.DUMMYFUNCTION("IFERROR(GOOGLEFINANCE(B3554,""pe""),V3554)"),126.99)</f>
        <v>126.99</v>
      </c>
      <c r="X3554" s="6">
        <v>0.11</v>
      </c>
      <c r="Y3554" s="6">
        <v>0.96</v>
      </c>
      <c r="Z3554" s="6">
        <v>2</v>
      </c>
      <c r="AA3554" s="8">
        <v>45352</v>
      </c>
      <c r="AB3554" s="4">
        <v>0.02</v>
      </c>
      <c r="AC3554" s="6">
        <v>25.84</v>
      </c>
      <c r="AD3554" s="6">
        <v>28.18</v>
      </c>
      <c r="AE3554" s="1">
        <v>0</v>
      </c>
      <c r="AF3554" s="1">
        <f ca="1">IFERROR(__xludf.DUMMYFUNCTION("IFERROR(GOOGLEFINANCE(TRIM(F3554)&amp;"":"" &amp; TRIM(B3554),""high52""),AE3554)"),161.25)</f>
        <v>161.25</v>
      </c>
      <c r="AG3554" s="1">
        <v>0</v>
      </c>
      <c r="AH3554" s="1">
        <f ca="1">IFERROR(__xludf.DUMMYFUNCTION("IFERROR(GOOGLEFINANCE(TRIM(F3554)&amp;"":"" &amp; TRIM(B3554),""low52""),AE3554)"),34.53)</f>
        <v>34.53</v>
      </c>
      <c r="AI3554" s="1">
        <f ca="1">IFERROR(__xludf.DUMMYFUNCTION("IFERROR(GOOGLEFINANCE(B3554,""eps""),0)"),0.88)</f>
        <v>0.88</v>
      </c>
      <c r="AJ3554" s="1"/>
      <c r="AK3554" s="1" t="s">
        <v>10875</v>
      </c>
      <c r="AL3554" s="9">
        <f t="shared" si="339"/>
        <v>1</v>
      </c>
    </row>
    <row r="3555" spans="1:38" ht="15" x14ac:dyDescent="0.25">
      <c r="A3555" s="1" t="s">
        <v>10876</v>
      </c>
      <c r="B3555" s="1" t="s">
        <v>10877</v>
      </c>
      <c r="C3555" s="1" t="s">
        <v>359</v>
      </c>
      <c r="D3555" s="1" t="s">
        <v>359</v>
      </c>
      <c r="E3555" s="6">
        <v>1408.14</v>
      </c>
      <c r="F3555" s="1" t="s">
        <v>53</v>
      </c>
      <c r="G3555" s="6">
        <f ca="1">IFERROR(__xludf.DUMMYFUNCTION("iferror(GOOGLEFINANCE(TRIM(F3555)&amp;"":"" &amp; TRIM(B3555), ""price""),0
)"),0)</f>
        <v>0</v>
      </c>
      <c r="H3555" s="6">
        <v>1360</v>
      </c>
      <c r="I3555" s="6">
        <f t="shared" ca="1" si="0"/>
        <v>1360</v>
      </c>
      <c r="J3555" s="6">
        <f ca="1">IFERROR(__xludf.DUMMYFUNCTION("IFERROR(GOOGLEFINANCE(B3555, ""volume""), 0)"),0)</f>
        <v>0</v>
      </c>
      <c r="K3555" s="6">
        <v>0.04</v>
      </c>
      <c r="L3555" s="6">
        <f ca="1">IFERROR(__xludf.DUMMYFUNCTION("IFERROR(GOOGLEFINANCE(B3555,""changepct""),K3555)"),0.04)</f>
        <v>0.04</v>
      </c>
      <c r="M3555" s="6">
        <f ca="1">IFERROR(__xludf.DUMMYFUNCTION("IFERROR(GOOGLEFINANCE(B3555,""change""),0)"),0)</f>
        <v>0</v>
      </c>
      <c r="N3555" s="6">
        <v>1</v>
      </c>
      <c r="O3555" s="7">
        <v>45536</v>
      </c>
      <c r="P3555" s="6">
        <v>2.3199999999999998</v>
      </c>
      <c r="Q3555" s="6">
        <v>1357.45</v>
      </c>
      <c r="R3555" s="7">
        <v>45536</v>
      </c>
      <c r="S3555" s="6">
        <v>100.55</v>
      </c>
      <c r="T3555" s="6">
        <v>21.06</v>
      </c>
      <c r="U3555" s="7">
        <v>45536</v>
      </c>
      <c r="V3555" s="6">
        <v>66.88</v>
      </c>
      <c r="W3555" s="6">
        <f ca="1">IFERROR(__xludf.DUMMYFUNCTION("IFERROR(GOOGLEFINANCE(B3555,""pe""),V3555)"),66.88)</f>
        <v>66.88</v>
      </c>
      <c r="X3555" s="9"/>
      <c r="Y3555" s="6">
        <v>16.29</v>
      </c>
      <c r="Z3555" s="6">
        <v>1</v>
      </c>
      <c r="AA3555" s="8">
        <v>45352</v>
      </c>
      <c r="AB3555" s="4">
        <v>0.06</v>
      </c>
      <c r="AC3555" s="6">
        <v>34.090000000000003</v>
      </c>
      <c r="AD3555" s="6">
        <v>44.11</v>
      </c>
      <c r="AE3555" s="1">
        <v>0</v>
      </c>
      <c r="AF3555" s="1">
        <f ca="1">IFERROR(__xludf.DUMMYFUNCTION("IFERROR(GOOGLEFINANCE(TRIM(F3555)&amp;"":"" &amp; TRIM(B3555),""high52""),AE3555)"),0)</f>
        <v>0</v>
      </c>
      <c r="AG3555" s="1">
        <v>0</v>
      </c>
      <c r="AH3555" s="1">
        <f ca="1">IFERROR(__xludf.DUMMYFUNCTION("IFERROR(GOOGLEFINANCE(TRIM(F3555)&amp;"":"" &amp; TRIM(B3555),""low52""),AE3555)"),0)</f>
        <v>0</v>
      </c>
      <c r="AI3555" s="1">
        <f ca="1">IFERROR(__xludf.DUMMYFUNCTION("IFERROR(GOOGLEFINANCE(B3555,""eps""),0)"),0)</f>
        <v>0</v>
      </c>
      <c r="AJ3555" s="1"/>
      <c r="AK3555" s="1" t="s">
        <v>10878</v>
      </c>
      <c r="AL3555" s="9">
        <f t="shared" si="339"/>
        <v>1</v>
      </c>
    </row>
    <row r="3556" spans="1:38" ht="15" x14ac:dyDescent="0.25">
      <c r="A3556" s="1" t="s">
        <v>10879</v>
      </c>
      <c r="B3556" s="1" t="s">
        <v>10880</v>
      </c>
      <c r="C3556" s="1" t="s">
        <v>889</v>
      </c>
      <c r="D3556" s="1" t="s">
        <v>889</v>
      </c>
      <c r="E3556" s="6">
        <v>2679.44</v>
      </c>
      <c r="F3556" s="1" t="s">
        <v>40</v>
      </c>
      <c r="G3556" s="6">
        <f ca="1">IFERROR(__xludf.DUMMYFUNCTION("iferror(GOOGLEFINANCE(TRIM(F3556)&amp;"":"" &amp; TRIM(B3556), ""price""),0
)"),415)</f>
        <v>415</v>
      </c>
      <c r="H3556" s="6">
        <v>649.9</v>
      </c>
      <c r="I3556" s="6">
        <f t="shared" ca="1" si="0"/>
        <v>415</v>
      </c>
      <c r="J3556" s="6">
        <f ca="1">IFERROR(__xludf.DUMMYFUNCTION("IFERROR(GOOGLEFINANCE(B3556, ""volume""), 0)"),16127)</f>
        <v>16127</v>
      </c>
      <c r="K3556" s="6">
        <v>0.05</v>
      </c>
      <c r="L3556" s="6">
        <f ca="1">IFERROR(__xludf.DUMMYFUNCTION("IFERROR(GOOGLEFINANCE(B3556,""changepct""),K3556)"),0.76)</f>
        <v>0.76</v>
      </c>
      <c r="M3556" s="6">
        <f ca="1">IFERROR(__xludf.DUMMYFUNCTION("IFERROR(GOOGLEFINANCE(B3556,""change""),0)"),3.15)</f>
        <v>3.15</v>
      </c>
      <c r="N3556" s="6">
        <v>2</v>
      </c>
      <c r="O3556" s="7">
        <v>45536</v>
      </c>
      <c r="P3556" s="6">
        <v>329.86</v>
      </c>
      <c r="Q3556" s="6">
        <v>2959.33</v>
      </c>
      <c r="R3556" s="7">
        <v>45536</v>
      </c>
      <c r="S3556" s="6">
        <v>2594.5700000000002</v>
      </c>
      <c r="T3556" s="6">
        <v>86.88</v>
      </c>
      <c r="U3556" s="7">
        <v>45536</v>
      </c>
      <c r="V3556" s="6">
        <v>32.5</v>
      </c>
      <c r="W3556" s="6">
        <f ca="1">IFERROR(__xludf.DUMMYFUNCTION("IFERROR(GOOGLEFINANCE(B3556,""pe""),V3556)"),26.32)</f>
        <v>26.32</v>
      </c>
      <c r="X3556" s="6">
        <v>2.59</v>
      </c>
      <c r="Y3556" s="6">
        <v>3.63</v>
      </c>
      <c r="Z3556" s="6">
        <v>2</v>
      </c>
      <c r="AA3556" s="8">
        <v>45352</v>
      </c>
      <c r="AB3556" s="4">
        <v>0.47</v>
      </c>
      <c r="AC3556" s="6">
        <v>13.27</v>
      </c>
      <c r="AD3556" s="6">
        <v>16.239999999999998</v>
      </c>
      <c r="AE3556" s="1">
        <v>0</v>
      </c>
      <c r="AF3556" s="1">
        <f ca="1">IFERROR(__xludf.DUMMYFUNCTION("IFERROR(GOOGLEFINANCE(TRIM(F3556)&amp;"":"" &amp; TRIM(B3556),""high52""),AE3556)"),624)</f>
        <v>624</v>
      </c>
      <c r="AG3556" s="1">
        <v>0</v>
      </c>
      <c r="AH3556" s="1">
        <f ca="1">IFERROR(__xludf.DUMMYFUNCTION("IFERROR(GOOGLEFINANCE(TRIM(F3556)&amp;"":"" &amp; TRIM(B3556),""low52""),AE3556)"),372.1)</f>
        <v>372.1</v>
      </c>
      <c r="AI3556" s="1">
        <f ca="1">IFERROR(__xludf.DUMMYFUNCTION("IFERROR(GOOGLEFINANCE(B3556,""eps""),0)"),15.77)</f>
        <v>15.77</v>
      </c>
      <c r="AJ3556" s="1"/>
      <c r="AK3556" s="1" t="s">
        <v>10881</v>
      </c>
      <c r="AL3556" s="1" t="b">
        <f>ISNUMBER(AA3556)</f>
        <v>1</v>
      </c>
    </row>
    <row r="3557" spans="1:38" ht="15" x14ac:dyDescent="0.25">
      <c r="A3557" s="1" t="s">
        <v>10882</v>
      </c>
      <c r="B3557" s="1" t="s">
        <v>10883</v>
      </c>
      <c r="C3557" s="1" t="s">
        <v>801</v>
      </c>
      <c r="D3557" s="1" t="s">
        <v>801</v>
      </c>
      <c r="E3557" s="6">
        <v>242.37</v>
      </c>
      <c r="F3557" s="1" t="s">
        <v>40</v>
      </c>
      <c r="G3557" s="6">
        <f ca="1">IFERROR(__xludf.DUMMYFUNCTION("iferror(GOOGLEFINANCE(TRIM(F3557)&amp;"":"" &amp; TRIM(B3557), ""price""),0
)"),89.5)</f>
        <v>89.5</v>
      </c>
      <c r="H3557" s="6">
        <v>201.44</v>
      </c>
      <c r="I3557" s="6">
        <f t="shared" ca="1" si="0"/>
        <v>89.5</v>
      </c>
      <c r="J3557" s="6">
        <f ca="1">IFERROR(__xludf.DUMMYFUNCTION("IFERROR(GOOGLEFINANCE(B3557, ""volume""), 0)"),11825)</f>
        <v>11825</v>
      </c>
      <c r="K3557" s="6">
        <v>-1.35</v>
      </c>
      <c r="L3557" s="6">
        <f ca="1">IFERROR(__xludf.DUMMYFUNCTION("IFERROR(GOOGLEFINANCE(B3557,""changepct""),K3557)"),2.74)</f>
        <v>2.74</v>
      </c>
      <c r="M3557" s="6">
        <f ca="1">IFERROR(__xludf.DUMMYFUNCTION("IFERROR(GOOGLEFINANCE(B3557,""change""),0)"),2.39)</f>
        <v>2.39</v>
      </c>
      <c r="N3557" s="6">
        <v>1</v>
      </c>
      <c r="O3557" s="7">
        <v>45536</v>
      </c>
      <c r="P3557" s="6">
        <v>14.13</v>
      </c>
      <c r="Q3557" s="6">
        <v>246.55</v>
      </c>
      <c r="R3557" s="7">
        <v>45536</v>
      </c>
      <c r="S3557" s="6">
        <v>106.52</v>
      </c>
      <c r="T3557" s="6">
        <v>5.76</v>
      </c>
      <c r="U3557" s="7">
        <v>45536</v>
      </c>
      <c r="V3557" s="6">
        <v>42.1</v>
      </c>
      <c r="W3557" s="6">
        <f ca="1">IFERROR(__xludf.DUMMYFUNCTION("IFERROR(GOOGLEFINANCE(B3557,""pe""),V3557)"),23.71)</f>
        <v>23.71</v>
      </c>
      <c r="X3557" s="6">
        <v>1.75</v>
      </c>
      <c r="Y3557" s="6">
        <v>3.27</v>
      </c>
      <c r="Z3557" s="6">
        <v>1</v>
      </c>
      <c r="AA3557" s="8">
        <v>45352</v>
      </c>
      <c r="AB3557" s="4">
        <v>0.21</v>
      </c>
      <c r="AC3557" s="6">
        <v>6.62</v>
      </c>
      <c r="AD3557" s="6">
        <v>9.27</v>
      </c>
      <c r="AE3557" s="1">
        <v>0</v>
      </c>
      <c r="AF3557" s="1">
        <f ca="1">IFERROR(__xludf.DUMMYFUNCTION("IFERROR(GOOGLEFINANCE(TRIM(F3557)&amp;"":"" &amp; TRIM(B3557),""high52""),AE3557)"),207.02)</f>
        <v>207.02</v>
      </c>
      <c r="AG3557" s="1">
        <v>0</v>
      </c>
      <c r="AH3557" s="1">
        <f ca="1">IFERROR(__xludf.DUMMYFUNCTION("IFERROR(GOOGLEFINANCE(TRIM(F3557)&amp;"":"" &amp; TRIM(B3557),""low52""),AE3557)"),86)</f>
        <v>86</v>
      </c>
      <c r="AI3557" s="1">
        <f ca="1">IFERROR(__xludf.DUMMYFUNCTION("IFERROR(GOOGLEFINANCE(B3557,""eps""),0)"),3.78)</f>
        <v>3.78</v>
      </c>
      <c r="AJ3557" s="1"/>
      <c r="AK3557" s="9"/>
      <c r="AL3557" s="9">
        <f>IF(AA3557&lt;&gt;AB3557,1,0)</f>
        <v>1</v>
      </c>
    </row>
    <row r="3558" spans="1:38" ht="15" x14ac:dyDescent="0.25">
      <c r="A3558" s="1" t="s">
        <v>10884</v>
      </c>
      <c r="B3558" s="1" t="s">
        <v>10885</v>
      </c>
      <c r="C3558" s="1" t="s">
        <v>355</v>
      </c>
      <c r="D3558" s="1" t="s">
        <v>355</v>
      </c>
      <c r="E3558" s="6">
        <v>37127.94</v>
      </c>
      <c r="F3558" s="1" t="s">
        <v>40</v>
      </c>
      <c r="G3558" s="6">
        <f ca="1">IFERROR(__xludf.DUMMYFUNCTION("iferror(GOOGLEFINANCE(TRIM(F3558)&amp;"":"" &amp; TRIM(B3558), ""price""),0
)"),499.7)</f>
        <v>499.7</v>
      </c>
      <c r="H3558" s="6">
        <v>598.85</v>
      </c>
      <c r="I3558" s="6">
        <f t="shared" ca="1" si="0"/>
        <v>499.7</v>
      </c>
      <c r="J3558" s="6">
        <f ca="1">IFERROR(__xludf.DUMMYFUNCTION("IFERROR(GOOGLEFINANCE(B3558, ""volume""), 0)"),1188339)</f>
        <v>1188339</v>
      </c>
      <c r="K3558" s="6">
        <v>0.23</v>
      </c>
      <c r="L3558" s="6">
        <f ca="1">IFERROR(__xludf.DUMMYFUNCTION("IFERROR(GOOGLEFINANCE(B3558,""changepct""),K3558)"),2.03)</f>
        <v>2.0299999999999998</v>
      </c>
      <c r="M3558" s="6">
        <f ca="1">IFERROR(__xludf.DUMMYFUNCTION("IFERROR(GOOGLEFINANCE(B3558,""change""),0)"),9.95)</f>
        <v>9.9499999999999993</v>
      </c>
      <c r="N3558" s="6">
        <v>2</v>
      </c>
      <c r="O3558" s="7">
        <v>45536</v>
      </c>
      <c r="P3558" s="6">
        <v>8.9</v>
      </c>
      <c r="Q3558" s="6">
        <v>35298.71</v>
      </c>
      <c r="R3558" s="7">
        <v>45536</v>
      </c>
      <c r="S3558" s="6">
        <v>3479.28</v>
      </c>
      <c r="T3558" s="6">
        <v>566.97</v>
      </c>
      <c r="U3558" s="7">
        <v>45536</v>
      </c>
      <c r="V3558" s="6">
        <v>65.45</v>
      </c>
      <c r="W3558" s="6">
        <f ca="1">IFERROR(__xludf.DUMMYFUNCTION("IFERROR(GOOGLEFINANCE(B3558,""pe""),V3558)"),50.65)</f>
        <v>50.65</v>
      </c>
      <c r="X3558" s="12"/>
      <c r="Y3558" s="6">
        <v>7.1</v>
      </c>
      <c r="Z3558" s="6">
        <v>2</v>
      </c>
      <c r="AA3558" s="8">
        <v>45352</v>
      </c>
      <c r="AB3558" s="4">
        <v>0.09</v>
      </c>
      <c r="AC3558" s="6">
        <v>21.05</v>
      </c>
      <c r="AD3558" s="6">
        <v>25.86</v>
      </c>
      <c r="AE3558" s="1">
        <v>0</v>
      </c>
      <c r="AF3558" s="1">
        <f ca="1">IFERROR(__xludf.DUMMYFUNCTION("IFERROR(GOOGLEFINANCE(TRIM(F3558)&amp;"":"" &amp; TRIM(B3558),""high52""),AE3558)"),559.5)</f>
        <v>559.5</v>
      </c>
      <c r="AG3558" s="1">
        <v>0</v>
      </c>
      <c r="AH3558" s="1">
        <f ca="1">IFERROR(__xludf.DUMMYFUNCTION("IFERROR(GOOGLEFINANCE(TRIM(F3558)&amp;"":"" &amp; TRIM(B3558),""low52""),AE3558)"),380)</f>
        <v>380</v>
      </c>
      <c r="AI3558" s="1">
        <f ca="1">IFERROR(__xludf.DUMMYFUNCTION("IFERROR(GOOGLEFINANCE(B3558,""eps""),0)"),9.87)</f>
        <v>9.8699999999999992</v>
      </c>
      <c r="AJ3558" s="1"/>
      <c r="AK3558" s="9"/>
      <c r="AL3558" s="1" t="b">
        <f>ISBLANK(AB3558)</f>
        <v>0</v>
      </c>
    </row>
    <row r="3559" spans="1:38" ht="15" x14ac:dyDescent="0.25">
      <c r="A3559" s="1" t="s">
        <v>10886</v>
      </c>
      <c r="B3559" s="1" t="s">
        <v>10887</v>
      </c>
      <c r="C3559" s="1" t="s">
        <v>416</v>
      </c>
      <c r="D3559" s="1" t="s">
        <v>416</v>
      </c>
      <c r="E3559" s="6">
        <v>169.49</v>
      </c>
      <c r="F3559" s="1" t="s">
        <v>40</v>
      </c>
      <c r="G3559" s="6">
        <f ca="1">IFERROR(__xludf.DUMMYFUNCTION("iferror(GOOGLEFINANCE(TRIM(F3559)&amp;"":"" &amp; TRIM(B3559), ""price""),0
)"),0)</f>
        <v>0</v>
      </c>
      <c r="H3559" s="6">
        <v>124</v>
      </c>
      <c r="I3559" s="6">
        <f t="shared" ca="1" si="0"/>
        <v>124</v>
      </c>
      <c r="J3559" s="6">
        <f ca="1">IFERROR(__xludf.DUMMYFUNCTION("IFERROR(GOOGLEFINANCE(B3559, ""volume""), 0)"),0)</f>
        <v>0</v>
      </c>
      <c r="K3559" s="6">
        <v>0.4</v>
      </c>
      <c r="L3559" s="6">
        <f ca="1">IFERROR(__xludf.DUMMYFUNCTION("IFERROR(GOOGLEFINANCE(B3559,""changepct""),K3559)"),0.4)</f>
        <v>0.4</v>
      </c>
      <c r="M3559" s="6">
        <f ca="1">IFERROR(__xludf.DUMMYFUNCTION("IFERROR(GOOGLEFINANCE(B3559,""change""),0)"),0)</f>
        <v>0</v>
      </c>
      <c r="N3559" s="6">
        <v>1</v>
      </c>
      <c r="O3559" s="7">
        <v>45536</v>
      </c>
      <c r="P3559" s="6">
        <v>1.72</v>
      </c>
      <c r="Q3559" s="6">
        <v>171.21</v>
      </c>
      <c r="R3559" s="7">
        <v>45352</v>
      </c>
      <c r="S3559" s="6">
        <v>95.3</v>
      </c>
      <c r="T3559" s="6">
        <v>10.47</v>
      </c>
      <c r="U3559" s="7">
        <v>45352</v>
      </c>
      <c r="V3559" s="6">
        <v>16.190000000000001</v>
      </c>
      <c r="W3559" s="6">
        <f ca="1">IFERROR(__xludf.DUMMYFUNCTION("IFERROR(GOOGLEFINANCE(B3559,""pe""),V3559)"),16.19)</f>
        <v>16.190000000000001</v>
      </c>
      <c r="X3559" s="12"/>
      <c r="Y3559" s="6">
        <v>2.59</v>
      </c>
      <c r="Z3559" s="6">
        <v>1</v>
      </c>
      <c r="AA3559" s="8">
        <v>45352</v>
      </c>
      <c r="AB3559" s="4">
        <v>0.01</v>
      </c>
      <c r="AC3559" s="6">
        <v>27.28</v>
      </c>
      <c r="AD3559" s="6">
        <v>35.54</v>
      </c>
      <c r="AE3559" s="1">
        <v>0</v>
      </c>
      <c r="AF3559" s="1">
        <f ca="1">IFERROR(__xludf.DUMMYFUNCTION("IFERROR(GOOGLEFINANCE(TRIM(F3559)&amp;"":"" &amp; TRIM(B3559),""high52""),AE3559)"),0)</f>
        <v>0</v>
      </c>
      <c r="AG3559" s="1">
        <v>0</v>
      </c>
      <c r="AH3559" s="1">
        <f ca="1">IFERROR(__xludf.DUMMYFUNCTION("IFERROR(GOOGLEFINANCE(TRIM(F3559)&amp;"":"" &amp; TRIM(B3559),""low52""),AE3559)"),0)</f>
        <v>0</v>
      </c>
      <c r="AI3559" s="1">
        <f ca="1">IFERROR(__xludf.DUMMYFUNCTION("IFERROR(GOOGLEFINANCE(B3559,""eps""),0)"),0)</f>
        <v>0</v>
      </c>
      <c r="AJ3559" s="1"/>
      <c r="AK3559" s="1" t="s">
        <v>10888</v>
      </c>
      <c r="AL3559" s="9">
        <f t="shared" ref="AL3559:AL3597" si="340">IF(AA3559&lt;&gt;AB3559,1,0)</f>
        <v>1</v>
      </c>
    </row>
    <row r="3560" spans="1:38" ht="15" x14ac:dyDescent="0.25">
      <c r="A3560" s="1" t="s">
        <v>10889</v>
      </c>
      <c r="B3560" s="1" t="s">
        <v>10890</v>
      </c>
      <c r="C3560" s="1" t="s">
        <v>1265</v>
      </c>
      <c r="D3560" s="1" t="s">
        <v>1265</v>
      </c>
      <c r="E3560" s="6">
        <v>273.58</v>
      </c>
      <c r="F3560" s="1" t="s">
        <v>40</v>
      </c>
      <c r="G3560" s="6">
        <f ca="1">IFERROR(__xludf.DUMMYFUNCTION("iferror(GOOGLEFINANCE(TRIM(F3560)&amp;"":"" &amp; TRIM(B3560), ""price""),0
)"),41)</f>
        <v>41</v>
      </c>
      <c r="H3560" s="6">
        <v>70.39</v>
      </c>
      <c r="I3560" s="6">
        <f t="shared" ca="1" si="0"/>
        <v>41</v>
      </c>
      <c r="J3560" s="6">
        <f ca="1">IFERROR(__xludf.DUMMYFUNCTION("IFERROR(GOOGLEFINANCE(B3560, ""volume""), 0)"),19371)</f>
        <v>19371</v>
      </c>
      <c r="K3560" s="6">
        <v>3</v>
      </c>
      <c r="L3560" s="6">
        <f ca="1">IFERROR(__xludf.DUMMYFUNCTION("IFERROR(GOOGLEFINANCE(B3560,""changepct""),K3560)"),3.22)</f>
        <v>3.22</v>
      </c>
      <c r="M3560" s="6">
        <f ca="1">IFERROR(__xludf.DUMMYFUNCTION("IFERROR(GOOGLEFINANCE(B3560,""change""),0)"),1.28)</f>
        <v>1.28</v>
      </c>
      <c r="N3560" s="6">
        <v>1</v>
      </c>
      <c r="O3560" s="7">
        <v>45536</v>
      </c>
      <c r="P3560" s="6">
        <v>23.53</v>
      </c>
      <c r="Q3560" s="6">
        <v>297.11</v>
      </c>
      <c r="R3560" s="7">
        <v>45536</v>
      </c>
      <c r="S3560" s="6">
        <v>92.8</v>
      </c>
      <c r="T3560" s="6">
        <v>6.08</v>
      </c>
      <c r="U3560" s="7">
        <v>45536</v>
      </c>
      <c r="V3560" s="6">
        <v>44.97</v>
      </c>
      <c r="W3560" s="6">
        <f ca="1">IFERROR(__xludf.DUMMYFUNCTION("IFERROR(GOOGLEFINANCE(B3560,""pe""),V3560)"),26.77)</f>
        <v>26.77</v>
      </c>
      <c r="X3560" s="6">
        <v>5.44</v>
      </c>
      <c r="Y3560" s="6">
        <v>5.84</v>
      </c>
      <c r="Z3560" s="6">
        <v>1</v>
      </c>
      <c r="AA3560" s="8">
        <v>45352</v>
      </c>
      <c r="AB3560" s="4">
        <v>0.5</v>
      </c>
      <c r="AC3560" s="6">
        <v>13.29</v>
      </c>
      <c r="AD3560" s="6">
        <v>15.69</v>
      </c>
      <c r="AE3560" s="1">
        <v>0</v>
      </c>
      <c r="AF3560" s="1">
        <f ca="1">IFERROR(__xludf.DUMMYFUNCTION("IFERROR(GOOGLEFINANCE(TRIM(F3560)&amp;"":"" &amp; TRIM(B3560),""high52""),AE3560)"),68)</f>
        <v>68</v>
      </c>
      <c r="AG3560" s="1">
        <v>0</v>
      </c>
      <c r="AH3560" s="1">
        <f ca="1">IFERROR(__xludf.DUMMYFUNCTION("IFERROR(GOOGLEFINANCE(TRIM(F3560)&amp;"":"" &amp; TRIM(B3560),""low52""),AE3560)"),37)</f>
        <v>37</v>
      </c>
      <c r="AI3560" s="1">
        <f ca="1">IFERROR(__xludf.DUMMYFUNCTION("IFERROR(GOOGLEFINANCE(B3560,""eps""),0)"),1.53)</f>
        <v>1.53</v>
      </c>
      <c r="AJ3560" s="1"/>
      <c r="AK3560" s="1" t="s">
        <v>10891</v>
      </c>
      <c r="AL3560" s="9">
        <f t="shared" si="340"/>
        <v>1</v>
      </c>
    </row>
    <row r="3561" spans="1:38" ht="15" x14ac:dyDescent="0.25">
      <c r="A3561" s="1" t="s">
        <v>10892</v>
      </c>
      <c r="B3561" s="1" t="s">
        <v>10893</v>
      </c>
      <c r="C3561" s="1" t="s">
        <v>57</v>
      </c>
      <c r="D3561" s="1" t="s">
        <v>57</v>
      </c>
      <c r="E3561" s="6">
        <v>17598.060000000001</v>
      </c>
      <c r="F3561" s="1" t="s">
        <v>40</v>
      </c>
      <c r="G3561" s="6">
        <f ca="1">IFERROR(__xludf.DUMMYFUNCTION("iferror(GOOGLEFINANCE(TRIM(F3561)&amp;"":"" &amp; TRIM(B3561), ""price""),0
)"),312.45)</f>
        <v>312.45</v>
      </c>
      <c r="H3561" s="6">
        <v>628.20000000000005</v>
      </c>
      <c r="I3561" s="6">
        <f t="shared" ca="1" si="0"/>
        <v>312.45</v>
      </c>
      <c r="J3561" s="6">
        <f ca="1">IFERROR(__xludf.DUMMYFUNCTION("IFERROR(GOOGLEFINANCE(B3561, ""volume""), 0)"),448336)</f>
        <v>448336</v>
      </c>
      <c r="K3561" s="6">
        <v>0.02</v>
      </c>
      <c r="L3561" s="6">
        <f ca="1">IFERROR(__xludf.DUMMYFUNCTION("IFERROR(GOOGLEFINANCE(B3561,""changepct""),K3561)"),-0.26)</f>
        <v>-0.26</v>
      </c>
      <c r="M3561" s="6">
        <f ca="1">IFERROR(__xludf.DUMMYFUNCTION("IFERROR(GOOGLEFINANCE(B3561,""change""),0)"),-0.8)</f>
        <v>-0.8</v>
      </c>
      <c r="N3561" s="6">
        <v>2</v>
      </c>
      <c r="O3561" s="7">
        <v>45536</v>
      </c>
      <c r="P3561" s="6">
        <v>538.57000000000005</v>
      </c>
      <c r="Q3561" s="6">
        <v>17626.72</v>
      </c>
      <c r="R3561" s="7">
        <v>45536</v>
      </c>
      <c r="S3561" s="6">
        <v>9382.2199999999993</v>
      </c>
      <c r="T3561" s="6">
        <v>276.32</v>
      </c>
      <c r="U3561" s="7">
        <v>45536</v>
      </c>
      <c r="V3561" s="6">
        <v>63.69</v>
      </c>
      <c r="W3561" s="6">
        <f ca="1">IFERROR(__xludf.DUMMYFUNCTION("IFERROR(GOOGLEFINANCE(B3561,""pe""),V3561)"),19.62)</f>
        <v>19.62</v>
      </c>
      <c r="X3561" s="6">
        <v>5.56</v>
      </c>
      <c r="Y3561" s="6">
        <v>11.73</v>
      </c>
      <c r="Z3561" s="6">
        <v>2</v>
      </c>
      <c r="AA3561" s="8">
        <v>45352</v>
      </c>
      <c r="AB3561" s="4">
        <v>0.48</v>
      </c>
      <c r="AC3561" s="6">
        <v>22.99</v>
      </c>
      <c r="AD3561" s="6">
        <v>28.2</v>
      </c>
      <c r="AE3561" s="1">
        <v>0</v>
      </c>
      <c r="AF3561" s="1">
        <f ca="1">IFERROR(__xludf.DUMMYFUNCTION("IFERROR(GOOGLEFINANCE(TRIM(F3561)&amp;"":"" &amp; TRIM(B3561),""high52""),AE3561)"),557)</f>
        <v>557</v>
      </c>
      <c r="AG3561" s="1">
        <v>0</v>
      </c>
      <c r="AH3561" s="1">
        <f ca="1">IFERROR(__xludf.DUMMYFUNCTION("IFERROR(GOOGLEFINANCE(TRIM(F3561)&amp;"":"" &amp; TRIM(B3561),""low52""),AE3561)"),286.4)</f>
        <v>286.39999999999998</v>
      </c>
      <c r="AI3561" s="1">
        <f ca="1">IFERROR(__xludf.DUMMYFUNCTION("IFERROR(GOOGLEFINANCE(B3561,""eps""),0)"),15.92)</f>
        <v>15.92</v>
      </c>
      <c r="AJ3561" s="1"/>
      <c r="AK3561" s="1" t="s">
        <v>10894</v>
      </c>
      <c r="AL3561" s="9">
        <f t="shared" si="340"/>
        <v>1</v>
      </c>
    </row>
    <row r="3562" spans="1:38" ht="15" x14ac:dyDescent="0.25">
      <c r="A3562" s="1" t="s">
        <v>10895</v>
      </c>
      <c r="B3562" s="1" t="s">
        <v>10896</v>
      </c>
      <c r="C3562" s="1" t="s">
        <v>86</v>
      </c>
      <c r="D3562" s="1" t="s">
        <v>86</v>
      </c>
      <c r="E3562" s="6">
        <v>97.97</v>
      </c>
      <c r="F3562" s="1" t="s">
        <v>40</v>
      </c>
      <c r="G3562" s="6">
        <f ca="1">IFERROR(__xludf.DUMMYFUNCTION("iferror(GOOGLEFINANCE(TRIM(F3562)&amp;"":"" &amp; TRIM(B3562), ""price""),0
)"),0)</f>
        <v>0</v>
      </c>
      <c r="H3562" s="6">
        <v>124.8</v>
      </c>
      <c r="I3562" s="6">
        <f t="shared" ca="1" si="0"/>
        <v>124.8</v>
      </c>
      <c r="J3562" s="6">
        <f ca="1">IFERROR(__xludf.DUMMYFUNCTION("IFERROR(GOOGLEFINANCE(B3562, ""volume""), 0)"),0)</f>
        <v>0</v>
      </c>
      <c r="K3562" s="9"/>
      <c r="L3562" s="6" t="str">
        <f ca="1">IFERROR(__xludf.DUMMYFUNCTION("IFERROR(GOOGLEFINANCE(B3562,""changepct""),K3562)"),"")</f>
        <v/>
      </c>
      <c r="M3562" s="6">
        <f ca="1">IFERROR(__xludf.DUMMYFUNCTION("IFERROR(GOOGLEFINANCE(B3562,""change""),0)"),0)</f>
        <v>0</v>
      </c>
      <c r="N3562" s="6">
        <v>1</v>
      </c>
      <c r="O3562" s="7">
        <v>45536</v>
      </c>
      <c r="P3562" s="6">
        <v>50.13</v>
      </c>
      <c r="Q3562" s="6">
        <v>148.08000000000001</v>
      </c>
      <c r="R3562" s="7">
        <v>45352</v>
      </c>
      <c r="S3562" s="6">
        <v>90.4</v>
      </c>
      <c r="T3562" s="6">
        <v>2.88</v>
      </c>
      <c r="U3562" s="7">
        <v>45352</v>
      </c>
      <c r="V3562" s="6">
        <v>34.01</v>
      </c>
      <c r="W3562" s="6">
        <f ca="1">IFERROR(__xludf.DUMMYFUNCTION("IFERROR(GOOGLEFINANCE(B3562,""pe""),V3562)"),34.01)</f>
        <v>34.01</v>
      </c>
      <c r="X3562" s="9"/>
      <c r="Y3562" s="6">
        <v>3.87</v>
      </c>
      <c r="Z3562" s="6">
        <v>1</v>
      </c>
      <c r="AA3562" s="8">
        <v>45352</v>
      </c>
      <c r="AB3562" s="4">
        <v>1.27</v>
      </c>
      <c r="AC3562" s="6">
        <v>12.07</v>
      </c>
      <c r="AD3562" s="6">
        <v>12.09</v>
      </c>
      <c r="AE3562" s="1">
        <v>0</v>
      </c>
      <c r="AF3562" s="1">
        <f ca="1">IFERROR(__xludf.DUMMYFUNCTION("IFERROR(GOOGLEFINANCE(TRIM(F3562)&amp;"":"" &amp; TRIM(B3562),""high52""),AE3562)"),0)</f>
        <v>0</v>
      </c>
      <c r="AG3562" s="1">
        <v>0</v>
      </c>
      <c r="AH3562" s="1">
        <f ca="1">IFERROR(__xludf.DUMMYFUNCTION("IFERROR(GOOGLEFINANCE(TRIM(F3562)&amp;"":"" &amp; TRIM(B3562),""low52""),AE3562)"),0)</f>
        <v>0</v>
      </c>
      <c r="AI3562" s="1">
        <f ca="1">IFERROR(__xludf.DUMMYFUNCTION("IFERROR(GOOGLEFINANCE(B3562,""eps""),0)"),0)</f>
        <v>0</v>
      </c>
      <c r="AJ3562" s="1"/>
      <c r="AK3562" s="1" t="s">
        <v>10897</v>
      </c>
      <c r="AL3562" s="9">
        <f t="shared" si="340"/>
        <v>1</v>
      </c>
    </row>
    <row r="3563" spans="1:38" ht="15" x14ac:dyDescent="0.25">
      <c r="A3563" s="1" t="s">
        <v>10898</v>
      </c>
      <c r="B3563" s="1" t="s">
        <v>10899</v>
      </c>
      <c r="C3563" s="1" t="s">
        <v>106</v>
      </c>
      <c r="D3563" s="1" t="s">
        <v>106</v>
      </c>
      <c r="E3563" s="6">
        <v>116.85</v>
      </c>
      <c r="F3563" s="1" t="s">
        <v>40</v>
      </c>
      <c r="G3563" s="6">
        <f ca="1">IFERROR(__xludf.DUMMYFUNCTION("iferror(GOOGLEFINANCE(TRIM(F3563)&amp;"":"" &amp; TRIM(B3563), ""price""),0
)"),0)</f>
        <v>0</v>
      </c>
      <c r="H3563" s="6">
        <v>110</v>
      </c>
      <c r="I3563" s="6">
        <f t="shared" ca="1" si="0"/>
        <v>110</v>
      </c>
      <c r="J3563" s="6">
        <f ca="1">IFERROR(__xludf.DUMMYFUNCTION("IFERROR(GOOGLEFINANCE(B3563, ""volume""), 0)"),0)</f>
        <v>0</v>
      </c>
      <c r="K3563" s="6">
        <v>4.0199999999999996</v>
      </c>
      <c r="L3563" s="6">
        <f ca="1">IFERROR(__xludf.DUMMYFUNCTION("IFERROR(GOOGLEFINANCE(B3563,""changepct""),K3563)"),4.02)</f>
        <v>4.0199999999999996</v>
      </c>
      <c r="M3563" s="6">
        <f ca="1">IFERROR(__xludf.DUMMYFUNCTION("IFERROR(GOOGLEFINANCE(B3563,""change""),0)"),0)</f>
        <v>0</v>
      </c>
      <c r="N3563" s="6">
        <v>1</v>
      </c>
      <c r="O3563" s="7">
        <v>45536</v>
      </c>
      <c r="P3563" s="6">
        <v>10.5</v>
      </c>
      <c r="Q3563" s="6">
        <v>127.35</v>
      </c>
      <c r="R3563" s="7">
        <v>45352</v>
      </c>
      <c r="S3563" s="6">
        <v>67.099999999999994</v>
      </c>
      <c r="T3563" s="6">
        <v>5.75</v>
      </c>
      <c r="U3563" s="7">
        <v>45352</v>
      </c>
      <c r="V3563" s="6">
        <v>20.329999999999998</v>
      </c>
      <c r="W3563" s="6">
        <f ca="1">IFERROR(__xludf.DUMMYFUNCTION("IFERROR(GOOGLEFINANCE(B3563,""pe""),V3563)"),20.33)</f>
        <v>20.329999999999998</v>
      </c>
      <c r="X3563" s="12"/>
      <c r="Y3563" s="6">
        <v>2.36</v>
      </c>
      <c r="Z3563" s="6">
        <v>2</v>
      </c>
      <c r="AA3563" s="8">
        <v>45352</v>
      </c>
      <c r="AB3563" s="4">
        <v>0.55000000000000004</v>
      </c>
      <c r="AC3563" s="6">
        <v>12.96</v>
      </c>
      <c r="AD3563" s="6">
        <v>10.220000000000001</v>
      </c>
      <c r="AE3563" s="1">
        <v>0</v>
      </c>
      <c r="AF3563" s="1">
        <f ca="1">IFERROR(__xludf.DUMMYFUNCTION("IFERROR(GOOGLEFINANCE(TRIM(F3563)&amp;"":"" &amp; TRIM(B3563),""high52""),AE3563)"),0)</f>
        <v>0</v>
      </c>
      <c r="AG3563" s="1">
        <v>0</v>
      </c>
      <c r="AH3563" s="1">
        <f ca="1">IFERROR(__xludf.DUMMYFUNCTION("IFERROR(GOOGLEFINANCE(TRIM(F3563)&amp;"":"" &amp; TRIM(B3563),""low52""),AE3563)"),0)</f>
        <v>0</v>
      </c>
      <c r="AI3563" s="1">
        <f ca="1">IFERROR(__xludf.DUMMYFUNCTION("IFERROR(GOOGLEFINANCE(B3563,""eps""),0)"),0)</f>
        <v>0</v>
      </c>
      <c r="AJ3563" s="1"/>
      <c r="AK3563" s="9"/>
      <c r="AL3563" s="9">
        <f t="shared" si="340"/>
        <v>1</v>
      </c>
    </row>
    <row r="3564" spans="1:38" ht="15" x14ac:dyDescent="0.25">
      <c r="A3564" s="1" t="s">
        <v>10900</v>
      </c>
      <c r="B3564" s="1" t="s">
        <v>10901</v>
      </c>
      <c r="C3564" s="1" t="s">
        <v>112</v>
      </c>
      <c r="D3564" s="1" t="s">
        <v>112</v>
      </c>
      <c r="E3564" s="6">
        <v>437.79</v>
      </c>
      <c r="F3564" s="1" t="s">
        <v>40</v>
      </c>
      <c r="G3564" s="6">
        <f ca="1">IFERROR(__xludf.DUMMYFUNCTION("iferror(GOOGLEFINANCE(TRIM(F3564)&amp;"":"" &amp; TRIM(B3564), ""price""),0
)"),209.7)</f>
        <v>209.7</v>
      </c>
      <c r="H3564" s="6">
        <v>156.97</v>
      </c>
      <c r="I3564" s="6">
        <f t="shared" ca="1" si="0"/>
        <v>209.7</v>
      </c>
      <c r="J3564" s="6">
        <f ca="1">IFERROR(__xludf.DUMMYFUNCTION("IFERROR(GOOGLEFINANCE(B3564, ""volume""), 0)"),75073)</f>
        <v>75073</v>
      </c>
      <c r="K3564" s="6">
        <v>0.26</v>
      </c>
      <c r="L3564" s="6">
        <f ca="1">IFERROR(__xludf.DUMMYFUNCTION("IFERROR(GOOGLEFINANCE(B3564,""changepct""),K3564)"),4.88)</f>
        <v>4.88</v>
      </c>
      <c r="M3564" s="6">
        <f ca="1">IFERROR(__xludf.DUMMYFUNCTION("IFERROR(GOOGLEFINANCE(B3564,""change""),0)"),9.75)</f>
        <v>9.75</v>
      </c>
      <c r="N3564" s="6">
        <v>2</v>
      </c>
      <c r="O3564" s="7">
        <v>45536</v>
      </c>
      <c r="P3564" s="6">
        <v>82.05</v>
      </c>
      <c r="Q3564" s="6">
        <v>507.47</v>
      </c>
      <c r="R3564" s="7">
        <v>45536</v>
      </c>
      <c r="S3564" s="6">
        <v>143.96</v>
      </c>
      <c r="T3564" s="6">
        <v>8.09</v>
      </c>
      <c r="U3564" s="7">
        <v>45536</v>
      </c>
      <c r="V3564" s="6">
        <v>47.23</v>
      </c>
      <c r="W3564" s="6">
        <f ca="1">IFERROR(__xludf.DUMMYFUNCTION("IFERROR(GOOGLEFINANCE(B3564,""pe""),V3564)"),24.76)</f>
        <v>24.76</v>
      </c>
      <c r="X3564" s="6">
        <v>-12.08</v>
      </c>
      <c r="Y3564" s="6">
        <v>3.55</v>
      </c>
      <c r="Z3564" s="6">
        <v>2</v>
      </c>
      <c r="AA3564" s="8">
        <v>45352</v>
      </c>
      <c r="AB3564" s="4">
        <v>0.75</v>
      </c>
      <c r="AC3564" s="6">
        <v>7.03</v>
      </c>
      <c r="AD3564" s="6">
        <v>10.09</v>
      </c>
      <c r="AE3564" s="1">
        <v>0</v>
      </c>
      <c r="AF3564" s="1">
        <f ca="1">IFERROR(__xludf.DUMMYFUNCTION("IFERROR(GOOGLEFINANCE(TRIM(F3564)&amp;"":"" &amp; TRIM(B3564),""high52""),AE3564)"),242)</f>
        <v>242</v>
      </c>
      <c r="AG3564" s="1">
        <v>0</v>
      </c>
      <c r="AH3564" s="1">
        <f ca="1">IFERROR(__xludf.DUMMYFUNCTION("IFERROR(GOOGLEFINANCE(TRIM(F3564)&amp;"":"" &amp; TRIM(B3564),""low52""),AE3564)"),99.06)</f>
        <v>99.06</v>
      </c>
      <c r="AI3564" s="1">
        <f ca="1">IFERROR(__xludf.DUMMYFUNCTION("IFERROR(GOOGLEFINANCE(B3564,""eps""),0)"),8.47)</f>
        <v>8.4700000000000006</v>
      </c>
      <c r="AJ3564" s="1"/>
      <c r="AK3564" s="1" t="s">
        <v>10902</v>
      </c>
      <c r="AL3564" s="9">
        <f t="shared" si="340"/>
        <v>1</v>
      </c>
    </row>
    <row r="3565" spans="1:38" ht="15" x14ac:dyDescent="0.25">
      <c r="A3565" s="1" t="s">
        <v>10903</v>
      </c>
      <c r="B3565" s="1" t="s">
        <v>10904</v>
      </c>
      <c r="C3565" s="1" t="s">
        <v>502</v>
      </c>
      <c r="D3565" s="1" t="s">
        <v>502</v>
      </c>
      <c r="E3565" s="6">
        <v>1540.13</v>
      </c>
      <c r="F3565" s="1" t="s">
        <v>40</v>
      </c>
      <c r="G3565" s="6">
        <f ca="1">IFERROR(__xludf.DUMMYFUNCTION("iferror(GOOGLEFINANCE(TRIM(F3565)&amp;"":"" &amp; TRIM(B3565), ""price""),0
)"),69.9)</f>
        <v>69.900000000000006</v>
      </c>
      <c r="H3565" s="6">
        <v>75.8</v>
      </c>
      <c r="I3565" s="6">
        <f t="shared" ca="1" si="0"/>
        <v>69.900000000000006</v>
      </c>
      <c r="J3565" s="6">
        <f ca="1">IFERROR(__xludf.DUMMYFUNCTION("IFERROR(GOOGLEFINANCE(B3565, ""volume""), 0)"),580886)</f>
        <v>580886</v>
      </c>
      <c r="K3565" s="6">
        <v>0.22</v>
      </c>
      <c r="L3565" s="6">
        <f ca="1">IFERROR(__xludf.DUMMYFUNCTION("IFERROR(GOOGLEFINANCE(B3565,""changepct""),K3565)"),-0.99)</f>
        <v>-0.99</v>
      </c>
      <c r="M3565" s="6">
        <f ca="1">IFERROR(__xludf.DUMMYFUNCTION("IFERROR(GOOGLEFINANCE(B3565,""change""),0)"),-0.7)</f>
        <v>-0.7</v>
      </c>
      <c r="N3565" s="6">
        <v>2</v>
      </c>
      <c r="O3565" s="7">
        <v>45536</v>
      </c>
      <c r="P3565" s="6">
        <v>558.59</v>
      </c>
      <c r="Q3565" s="6">
        <v>1974.58</v>
      </c>
      <c r="R3565" s="7">
        <v>45536</v>
      </c>
      <c r="S3565" s="6">
        <v>2145.1999999999998</v>
      </c>
      <c r="T3565" s="6">
        <v>80.28</v>
      </c>
      <c r="U3565" s="7">
        <v>45536</v>
      </c>
      <c r="V3565" s="6">
        <v>14.42</v>
      </c>
      <c r="W3565" s="6">
        <f ca="1">IFERROR(__xludf.DUMMYFUNCTION("IFERROR(GOOGLEFINANCE(B3565,""pe""),V3565)"),7.65)</f>
        <v>7.65</v>
      </c>
      <c r="X3565" s="6">
        <v>0.81</v>
      </c>
      <c r="Y3565" s="6">
        <v>1.34</v>
      </c>
      <c r="Z3565" s="6">
        <v>2</v>
      </c>
      <c r="AA3565" s="8">
        <v>45352</v>
      </c>
      <c r="AB3565" s="4">
        <v>0.44</v>
      </c>
      <c r="AC3565" s="6">
        <v>10.99</v>
      </c>
      <c r="AD3565" s="6">
        <v>14.22</v>
      </c>
      <c r="AE3565" s="1">
        <v>0</v>
      </c>
      <c r="AF3565" s="1">
        <f ca="1">IFERROR(__xludf.DUMMYFUNCTION("IFERROR(GOOGLEFINANCE(TRIM(F3565)&amp;"":"" &amp; TRIM(B3565),""high52""),AE3565)"),128.2)</f>
        <v>128.19999999999999</v>
      </c>
      <c r="AG3565" s="1">
        <v>0</v>
      </c>
      <c r="AH3565" s="1">
        <f ca="1">IFERROR(__xludf.DUMMYFUNCTION("IFERROR(GOOGLEFINANCE(TRIM(F3565)&amp;"":"" &amp; TRIM(B3565),""low52""),AE3565)"),68.5)</f>
        <v>68.5</v>
      </c>
      <c r="AI3565" s="1">
        <f ca="1">IFERROR(__xludf.DUMMYFUNCTION("IFERROR(GOOGLEFINANCE(B3565,""eps""),0)"),9.13)</f>
        <v>9.1300000000000008</v>
      </c>
      <c r="AJ3565" s="1"/>
      <c r="AK3565" s="1" t="s">
        <v>10905</v>
      </c>
      <c r="AL3565" s="9">
        <f t="shared" si="340"/>
        <v>1</v>
      </c>
    </row>
    <row r="3566" spans="1:38" ht="15" x14ac:dyDescent="0.25">
      <c r="A3566" s="1" t="s">
        <v>10906</v>
      </c>
      <c r="B3566" s="1" t="s">
        <v>10907</v>
      </c>
      <c r="C3566" s="1" t="s">
        <v>4673</v>
      </c>
      <c r="D3566" s="1" t="s">
        <v>4673</v>
      </c>
      <c r="E3566" s="6">
        <v>31.29</v>
      </c>
      <c r="F3566" s="1" t="s">
        <v>40</v>
      </c>
      <c r="G3566" s="6">
        <f ca="1">IFERROR(__xludf.DUMMYFUNCTION("iferror(GOOGLEFINANCE(TRIM(F3566)&amp;"":"" &amp; TRIM(B3566), ""price""),0
)"),0)</f>
        <v>0</v>
      </c>
      <c r="H3566" s="6">
        <v>174.85</v>
      </c>
      <c r="I3566" s="6">
        <f t="shared" ca="1" si="0"/>
        <v>174.85</v>
      </c>
      <c r="J3566" s="6">
        <f ca="1">IFERROR(__xludf.DUMMYFUNCTION("IFERROR(GOOGLEFINANCE(B3566, ""volume""), 0)"),0)</f>
        <v>0</v>
      </c>
      <c r="K3566" s="9"/>
      <c r="L3566" s="6">
        <f ca="1">IFERROR(__xludf.DUMMYFUNCTION("IFERROR(GOOGLEFINANCE(B3566,""changepct""),K3566)"),0)</f>
        <v>0</v>
      </c>
      <c r="M3566" s="6">
        <f ca="1">IFERROR(__xludf.DUMMYFUNCTION("IFERROR(GOOGLEFINANCE(B3566,""change""),0)"),0)</f>
        <v>0</v>
      </c>
      <c r="N3566" s="6">
        <v>1</v>
      </c>
      <c r="O3566" s="7">
        <v>45536</v>
      </c>
      <c r="P3566" s="6">
        <v>3.83</v>
      </c>
      <c r="Q3566" s="6">
        <v>35.119999999999997</v>
      </c>
      <c r="R3566" s="7">
        <v>45352</v>
      </c>
      <c r="S3566" s="6">
        <v>28.81</v>
      </c>
      <c r="T3566" s="6">
        <v>1.56</v>
      </c>
      <c r="U3566" s="7">
        <v>45352</v>
      </c>
      <c r="V3566" s="6">
        <v>20.079999999999998</v>
      </c>
      <c r="W3566" s="6">
        <f ca="1">IFERROR(__xludf.DUMMYFUNCTION("IFERROR(GOOGLEFINANCE(B3566,""pe""),V3566)"),20.08)</f>
        <v>20.079999999999998</v>
      </c>
      <c r="X3566" s="12"/>
      <c r="Y3566" s="6">
        <v>2.98</v>
      </c>
      <c r="Z3566" s="6">
        <v>1</v>
      </c>
      <c r="AA3566" s="8">
        <v>45352</v>
      </c>
      <c r="AB3566" s="4">
        <v>0.44</v>
      </c>
      <c r="AC3566" s="6">
        <v>16.04</v>
      </c>
      <c r="AD3566" s="6">
        <v>17.57</v>
      </c>
      <c r="AE3566" s="1">
        <v>0</v>
      </c>
      <c r="AF3566" s="1">
        <f ca="1">IFERROR(__xludf.DUMMYFUNCTION("IFERROR(GOOGLEFINANCE(TRIM(F3566)&amp;"":"" &amp; TRIM(B3566),""high52""),AE3566)"),0)</f>
        <v>0</v>
      </c>
      <c r="AG3566" s="1">
        <v>0</v>
      </c>
      <c r="AH3566" s="1">
        <f ca="1">IFERROR(__xludf.DUMMYFUNCTION("IFERROR(GOOGLEFINANCE(TRIM(F3566)&amp;"":"" &amp; TRIM(B3566),""low52""),AE3566)"),0)</f>
        <v>0</v>
      </c>
      <c r="AI3566" s="1">
        <f ca="1">IFERROR(__xludf.DUMMYFUNCTION("IFERROR(GOOGLEFINANCE(B3566,""eps""),0)"),0)</f>
        <v>0</v>
      </c>
      <c r="AJ3566" s="1"/>
      <c r="AK3566" s="1" t="s">
        <v>10908</v>
      </c>
      <c r="AL3566" s="9">
        <f t="shared" si="340"/>
        <v>1</v>
      </c>
    </row>
    <row r="3567" spans="1:38" ht="15" x14ac:dyDescent="0.25">
      <c r="A3567" s="1" t="s">
        <v>10909</v>
      </c>
      <c r="B3567" s="1" t="s">
        <v>10910</v>
      </c>
      <c r="C3567" s="1" t="s">
        <v>227</v>
      </c>
      <c r="D3567" s="1" t="s">
        <v>227</v>
      </c>
      <c r="E3567" s="6">
        <v>1145.73</v>
      </c>
      <c r="F3567" s="1" t="s">
        <v>40</v>
      </c>
      <c r="G3567" s="6">
        <f ca="1">IFERROR(__xludf.DUMMYFUNCTION("iferror(GOOGLEFINANCE(TRIM(F3567)&amp;"":"" &amp; TRIM(B3567), ""price""),0
)"),5.68)</f>
        <v>5.68</v>
      </c>
      <c r="H3567" s="6">
        <v>16.989999999999998</v>
      </c>
      <c r="I3567" s="6">
        <f t="shared" ca="1" si="0"/>
        <v>5.68</v>
      </c>
      <c r="J3567" s="6">
        <f ca="1">IFERROR(__xludf.DUMMYFUNCTION("IFERROR(GOOGLEFINANCE(B3567, ""volume""), 0)"),987206)</f>
        <v>987206</v>
      </c>
      <c r="K3567" s="6">
        <v>-16.260000000000002</v>
      </c>
      <c r="L3567" s="6">
        <f ca="1">IFERROR(__xludf.DUMMYFUNCTION("IFERROR(GOOGLEFINANCE(B3567,""changepct""),K3567)"),-0.18)</f>
        <v>-0.18</v>
      </c>
      <c r="M3567" s="6">
        <f ca="1">IFERROR(__xludf.DUMMYFUNCTION("IFERROR(GOOGLEFINANCE(B3567,""change""),0)"),-0.01)</f>
        <v>-0.01</v>
      </c>
      <c r="N3567" s="6">
        <v>2</v>
      </c>
      <c r="O3567" s="7">
        <v>45536</v>
      </c>
      <c r="P3567" s="6">
        <v>0.65</v>
      </c>
      <c r="Q3567" s="6">
        <v>1146.3699999999999</v>
      </c>
      <c r="R3567" s="7">
        <v>45536</v>
      </c>
      <c r="S3567" s="6">
        <v>156.75</v>
      </c>
      <c r="T3567" s="6">
        <v>11.49</v>
      </c>
      <c r="U3567" s="7">
        <v>45536</v>
      </c>
      <c r="V3567" s="6">
        <v>102.11</v>
      </c>
      <c r="W3567" s="6">
        <f ca="1">IFERROR(__xludf.DUMMYFUNCTION("IFERROR(GOOGLEFINANCE(B3567,""pe""),V3567)"),22.48)</f>
        <v>22.48</v>
      </c>
      <c r="X3567" s="9"/>
      <c r="Y3567" s="6">
        <v>9.16</v>
      </c>
      <c r="Z3567" s="6">
        <v>2</v>
      </c>
      <c r="AA3567" s="8">
        <v>45352</v>
      </c>
      <c r="AB3567" s="4">
        <v>0.01</v>
      </c>
      <c r="AC3567" s="6">
        <v>18.32</v>
      </c>
      <c r="AD3567" s="6">
        <v>13.77</v>
      </c>
      <c r="AE3567" s="1">
        <v>0</v>
      </c>
      <c r="AF3567" s="1">
        <f ca="1">IFERROR(__xludf.DUMMYFUNCTION("IFERROR(GOOGLEFINANCE(TRIM(F3567)&amp;"":"" &amp; TRIM(B3567),""high52""),AE3567)"),11.24)</f>
        <v>11.24</v>
      </c>
      <c r="AG3567" s="1">
        <v>0</v>
      </c>
      <c r="AH3567" s="1">
        <f ca="1">IFERROR(__xludf.DUMMYFUNCTION("IFERROR(GOOGLEFINANCE(TRIM(F3567)&amp;"":"" &amp; TRIM(B3567),""low52""),AE3567)"),4.78)</f>
        <v>4.78</v>
      </c>
      <c r="AI3567" s="1">
        <f ca="1">IFERROR(__xludf.DUMMYFUNCTION("IFERROR(GOOGLEFINANCE(B3567,""eps""),0)"),0.25)</f>
        <v>0.25</v>
      </c>
      <c r="AJ3567" s="1"/>
      <c r="AK3567" s="1" t="s">
        <v>10911</v>
      </c>
      <c r="AL3567" s="9">
        <f t="shared" si="340"/>
        <v>1</v>
      </c>
    </row>
    <row r="3568" spans="1:38" ht="15" x14ac:dyDescent="0.25">
      <c r="A3568" s="1" t="s">
        <v>10912</v>
      </c>
      <c r="B3568" s="1" t="s">
        <v>10913</v>
      </c>
      <c r="C3568" s="1" t="s">
        <v>208</v>
      </c>
      <c r="D3568" s="1" t="s">
        <v>208</v>
      </c>
      <c r="E3568" s="6">
        <v>2416.5300000000002</v>
      </c>
      <c r="F3568" s="1" t="s">
        <v>40</v>
      </c>
      <c r="G3568" s="6">
        <f ca="1">IFERROR(__xludf.DUMMYFUNCTION("iferror(GOOGLEFINANCE(TRIM(F3568)&amp;"":"" &amp; TRIM(B3568), ""price""),0
)"),248.9)</f>
        <v>248.9</v>
      </c>
      <c r="H3568" s="6">
        <v>344.5</v>
      </c>
      <c r="I3568" s="6">
        <f t="shared" ca="1" si="0"/>
        <v>248.9</v>
      </c>
      <c r="J3568" s="6">
        <f ca="1">IFERROR(__xludf.DUMMYFUNCTION("IFERROR(GOOGLEFINANCE(B3568, ""volume""), 0)"),148581)</f>
        <v>148581</v>
      </c>
      <c r="K3568" s="6">
        <v>1.77</v>
      </c>
      <c r="L3568" s="6">
        <f ca="1">IFERROR(__xludf.DUMMYFUNCTION("IFERROR(GOOGLEFINANCE(B3568,""changepct""),K3568)"),-0.94)</f>
        <v>-0.94</v>
      </c>
      <c r="M3568" s="6">
        <f ca="1">IFERROR(__xludf.DUMMYFUNCTION("IFERROR(GOOGLEFINANCE(B3568,""change""),0)"),-2.35)</f>
        <v>-2.35</v>
      </c>
      <c r="N3568" s="6">
        <v>2</v>
      </c>
      <c r="O3568" s="7">
        <v>45536</v>
      </c>
      <c r="P3568" s="6">
        <v>95.44</v>
      </c>
      <c r="Q3568" s="7">
        <v>45536</v>
      </c>
      <c r="R3568" s="6">
        <v>25.33</v>
      </c>
      <c r="S3568" s="6">
        <v>2.5499999999999998</v>
      </c>
      <c r="T3568" s="6">
        <v>0.69</v>
      </c>
      <c r="U3568" s="6">
        <v>2</v>
      </c>
      <c r="V3568" s="7">
        <v>45352</v>
      </c>
      <c r="W3568" s="10">
        <f ca="1">IFERROR(__xludf.DUMMYFUNCTION("IFERROR(GOOGLEFINANCE(B3568,""pe""),V3568)"),45352)</f>
        <v>45352</v>
      </c>
      <c r="X3568" s="6">
        <v>2.63</v>
      </c>
      <c r="Y3568" s="6">
        <v>15.09</v>
      </c>
      <c r="Z3568" s="6">
        <v>14.39</v>
      </c>
      <c r="AA3568" s="3" t="s">
        <v>10914</v>
      </c>
      <c r="AB3568" s="3"/>
      <c r="AC3568" s="9"/>
      <c r="AD3568" s="9"/>
      <c r="AE3568" s="1">
        <v>0</v>
      </c>
      <c r="AF3568" s="1">
        <f ca="1">IFERROR(__xludf.DUMMYFUNCTION("IFERROR(GOOGLEFINANCE(TRIM(F3568)&amp;"":"" &amp; TRIM(B3568),""high52""),AE3568)"),342.7)</f>
        <v>342.7</v>
      </c>
      <c r="AG3568" s="1">
        <v>0</v>
      </c>
      <c r="AH3568" s="1">
        <f ca="1">IFERROR(__xludf.DUMMYFUNCTION("IFERROR(GOOGLEFINANCE(TRIM(F3568)&amp;"":"" &amp; TRIM(B3568),""low52""),AE3568)"),183.55)</f>
        <v>183.55</v>
      </c>
      <c r="AI3568" s="1">
        <f ca="1">IFERROR(__xludf.DUMMYFUNCTION("IFERROR(GOOGLEFINANCE(B3568,""eps""),0)"),-150.6)</f>
        <v>-150.6</v>
      </c>
      <c r="AJ3568" s="1"/>
      <c r="AK3568" s="1" t="s">
        <v>10915</v>
      </c>
      <c r="AL3568" s="9">
        <f t="shared" si="340"/>
        <v>1</v>
      </c>
    </row>
    <row r="3569" spans="1:38" ht="15" x14ac:dyDescent="0.25">
      <c r="A3569" s="1" t="s">
        <v>10916</v>
      </c>
      <c r="B3569" s="1" t="s">
        <v>10917</v>
      </c>
      <c r="C3569" s="1" t="s">
        <v>1410</v>
      </c>
      <c r="D3569" s="1" t="s">
        <v>1410</v>
      </c>
      <c r="E3569" s="6">
        <v>694.59</v>
      </c>
      <c r="F3569" s="1" t="s">
        <v>40</v>
      </c>
      <c r="G3569" s="6">
        <f ca="1">IFERROR(__xludf.DUMMYFUNCTION("iferror(GOOGLEFINANCE(TRIM(F3569)&amp;"":"" &amp; TRIM(B3569), ""price""),0
)"),108)</f>
        <v>108</v>
      </c>
      <c r="H3569" s="6">
        <v>145.13999999999999</v>
      </c>
      <c r="I3569" s="6">
        <f t="shared" ca="1" si="0"/>
        <v>108</v>
      </c>
      <c r="J3569" s="6">
        <f ca="1">IFERROR(__xludf.DUMMYFUNCTION("IFERROR(GOOGLEFINANCE(B3569, ""volume""), 0)"),29156)</f>
        <v>29156</v>
      </c>
      <c r="K3569" s="6">
        <v>0.74</v>
      </c>
      <c r="L3569" s="6">
        <f ca="1">IFERROR(__xludf.DUMMYFUNCTION("IFERROR(GOOGLEFINANCE(B3569,""changepct""),K3569)"),2.51)</f>
        <v>2.5099999999999998</v>
      </c>
      <c r="M3569" s="6">
        <f ca="1">IFERROR(__xludf.DUMMYFUNCTION("IFERROR(GOOGLEFINANCE(B3569,""change""),0)"),2.64)</f>
        <v>2.64</v>
      </c>
      <c r="N3569" s="6">
        <v>2</v>
      </c>
      <c r="O3569" s="7">
        <v>45536</v>
      </c>
      <c r="P3569" s="12"/>
      <c r="Q3569" s="6">
        <v>674.74</v>
      </c>
      <c r="R3569" s="7">
        <v>45536</v>
      </c>
      <c r="S3569" s="6">
        <v>419.66</v>
      </c>
      <c r="T3569" s="6">
        <v>28.02</v>
      </c>
      <c r="U3569" s="7">
        <v>45536</v>
      </c>
      <c r="V3569" s="6">
        <v>25.72</v>
      </c>
      <c r="W3569" s="6">
        <f ca="1">IFERROR(__xludf.DUMMYFUNCTION("IFERROR(GOOGLEFINANCE(B3569,""pe""),V3569)"),24.35)</f>
        <v>24.35</v>
      </c>
      <c r="X3569" s="6">
        <v>0.61</v>
      </c>
      <c r="Y3569" s="6">
        <v>2.2000000000000002</v>
      </c>
      <c r="Z3569" s="6">
        <v>2</v>
      </c>
      <c r="AA3569" s="8">
        <v>45352</v>
      </c>
      <c r="AB3569" s="4">
        <v>0</v>
      </c>
      <c r="AC3569" s="6">
        <v>11.47</v>
      </c>
      <c r="AD3569" s="6">
        <v>17.079999999999998</v>
      </c>
      <c r="AE3569" s="1">
        <v>0</v>
      </c>
      <c r="AF3569" s="1">
        <f ca="1">IFERROR(__xludf.DUMMYFUNCTION("IFERROR(GOOGLEFINANCE(TRIM(F3569)&amp;"":"" &amp; TRIM(B3569),""high52""),AE3569)"),162.8)</f>
        <v>162.80000000000001</v>
      </c>
      <c r="AG3569" s="1">
        <v>0</v>
      </c>
      <c r="AH3569" s="1">
        <f ca="1">IFERROR(__xludf.DUMMYFUNCTION("IFERROR(GOOGLEFINANCE(TRIM(F3569)&amp;"":"" &amp; TRIM(B3569),""low52""),AE3569)"),101.03)</f>
        <v>101.03</v>
      </c>
      <c r="AI3569" s="1">
        <f ca="1">IFERROR(__xludf.DUMMYFUNCTION("IFERROR(GOOGLEFINANCE(B3569,""eps""),0)"),4.43)</f>
        <v>4.43</v>
      </c>
      <c r="AJ3569" s="1"/>
      <c r="AK3569" s="1" t="s">
        <v>10918</v>
      </c>
      <c r="AL3569" s="9">
        <f t="shared" si="340"/>
        <v>1</v>
      </c>
    </row>
    <row r="3570" spans="1:38" ht="15" x14ac:dyDescent="0.25">
      <c r="A3570" s="1" t="s">
        <v>10919</v>
      </c>
      <c r="B3570" s="1" t="s">
        <v>10920</v>
      </c>
      <c r="C3570" s="1" t="s">
        <v>125</v>
      </c>
      <c r="D3570" s="1" t="s">
        <v>125</v>
      </c>
      <c r="E3570" s="6">
        <v>3591.78</v>
      </c>
      <c r="F3570" s="1" t="s">
        <v>40</v>
      </c>
      <c r="G3570" s="6">
        <f ca="1">IFERROR(__xludf.DUMMYFUNCTION("iferror(GOOGLEFINANCE(TRIM(F3570)&amp;"":"" &amp; TRIM(B3570), ""price""),0
)"),1235)</f>
        <v>1235</v>
      </c>
      <c r="H3570" s="6">
        <v>2230</v>
      </c>
      <c r="I3570" s="6">
        <f t="shared" ca="1" si="0"/>
        <v>1235</v>
      </c>
      <c r="J3570" s="6">
        <f ca="1">IFERROR(__xludf.DUMMYFUNCTION("IFERROR(GOOGLEFINANCE(B3570, ""volume""), 0)"),1277)</f>
        <v>1277</v>
      </c>
      <c r="K3570" s="6">
        <v>-3.1</v>
      </c>
      <c r="L3570" s="6">
        <f ca="1">IFERROR(__xludf.DUMMYFUNCTION("IFERROR(GOOGLEFINANCE(B3570,""changepct""),K3570)"),-3.3)</f>
        <v>-3.3</v>
      </c>
      <c r="M3570" s="6">
        <f ca="1">IFERROR(__xludf.DUMMYFUNCTION("IFERROR(GOOGLEFINANCE(B3570,""change""),0)"),-42.1)</f>
        <v>-42.1</v>
      </c>
      <c r="N3570" s="6">
        <v>1</v>
      </c>
      <c r="O3570" s="7">
        <v>45536</v>
      </c>
      <c r="P3570" s="6">
        <v>89.04</v>
      </c>
      <c r="Q3570" s="6">
        <v>3680.82</v>
      </c>
      <c r="R3570" s="7">
        <v>45352</v>
      </c>
      <c r="S3570" s="6">
        <v>328.45</v>
      </c>
      <c r="T3570" s="6">
        <v>19.45</v>
      </c>
      <c r="U3570" s="7">
        <v>45352</v>
      </c>
      <c r="V3570" s="6">
        <v>184.61</v>
      </c>
      <c r="W3570" s="6">
        <f ca="1">IFERROR(__xludf.DUMMYFUNCTION("IFERROR(GOOGLEFINANCE(B3570,""pe""),V3570)"),184.61)</f>
        <v>184.61</v>
      </c>
      <c r="X3570" s="12"/>
      <c r="Y3570" s="6">
        <v>21.59</v>
      </c>
      <c r="Z3570" s="6">
        <v>2</v>
      </c>
      <c r="AA3570" s="8">
        <v>45352</v>
      </c>
      <c r="AB3570" s="4">
        <v>0.53</v>
      </c>
      <c r="AC3570" s="6">
        <v>15.24</v>
      </c>
      <c r="AD3570" s="6">
        <v>16.11</v>
      </c>
      <c r="AE3570" s="1">
        <v>0</v>
      </c>
      <c r="AF3570" s="1">
        <f ca="1">IFERROR(__xludf.DUMMYFUNCTION("IFERROR(GOOGLEFINANCE(TRIM(F3570)&amp;"":"" &amp; TRIM(B3570),""high52""),AE3570)"),2249.95)</f>
        <v>2249.9499999999998</v>
      </c>
      <c r="AG3570" s="1">
        <v>0</v>
      </c>
      <c r="AH3570" s="1">
        <f ca="1">IFERROR(__xludf.DUMMYFUNCTION("IFERROR(GOOGLEFINANCE(TRIM(F3570)&amp;"":"" &amp; TRIM(B3570),""low52""),AE3570)"),1050)</f>
        <v>1050</v>
      </c>
      <c r="AI3570" s="1">
        <f ca="1">IFERROR(__xludf.DUMMYFUNCTION("IFERROR(GOOGLEFINANCE(B3570,""eps""),0)"),0)</f>
        <v>0</v>
      </c>
      <c r="AJ3570" s="1"/>
      <c r="AK3570" s="1" t="s">
        <v>10921</v>
      </c>
      <c r="AL3570" s="9">
        <f t="shared" si="340"/>
        <v>1</v>
      </c>
    </row>
    <row r="3571" spans="1:38" ht="15" x14ac:dyDescent="0.25">
      <c r="A3571" s="1" t="s">
        <v>10922</v>
      </c>
      <c r="B3571" s="1" t="s">
        <v>10923</v>
      </c>
      <c r="C3571" s="1" t="s">
        <v>159</v>
      </c>
      <c r="D3571" s="1" t="s">
        <v>159</v>
      </c>
      <c r="E3571" s="6">
        <v>444.54</v>
      </c>
      <c r="F3571" s="1" t="s">
        <v>40</v>
      </c>
      <c r="G3571" s="6">
        <f ca="1">IFERROR(__xludf.DUMMYFUNCTION("iferror(GOOGLEFINANCE(TRIM(F3571)&amp;"":"" &amp; TRIM(B3571), ""price""),0
)"),0)</f>
        <v>0</v>
      </c>
      <c r="H3571" s="6">
        <v>192.5</v>
      </c>
      <c r="I3571" s="6">
        <f t="shared" ca="1" si="0"/>
        <v>192.5</v>
      </c>
      <c r="J3571" s="6">
        <f ca="1">IFERROR(__xludf.DUMMYFUNCTION("IFERROR(GOOGLEFINANCE(B3571, ""volume""), 0)"),0)</f>
        <v>0</v>
      </c>
      <c r="K3571" s="9"/>
      <c r="L3571" s="6" t="str">
        <f ca="1">IFERROR(__xludf.DUMMYFUNCTION("IFERROR(GOOGLEFINANCE(B3571,""changepct""),K3571)"),"")</f>
        <v/>
      </c>
      <c r="M3571" s="6">
        <f ca="1">IFERROR(__xludf.DUMMYFUNCTION("IFERROR(GOOGLEFINANCE(B3571,""change""),0)"),0)</f>
        <v>0</v>
      </c>
      <c r="N3571" s="6">
        <v>1</v>
      </c>
      <c r="O3571" s="7">
        <v>45536</v>
      </c>
      <c r="P3571" s="6">
        <v>13.97</v>
      </c>
      <c r="Q3571" s="6">
        <v>458.51</v>
      </c>
      <c r="R3571" s="7">
        <v>45352</v>
      </c>
      <c r="S3571" s="6">
        <v>998.99</v>
      </c>
      <c r="T3571" s="6">
        <v>11.01</v>
      </c>
      <c r="U3571" s="7">
        <v>45352</v>
      </c>
      <c r="V3571" s="6">
        <v>40.39</v>
      </c>
      <c r="W3571" s="6">
        <f ca="1">IFERROR(__xludf.DUMMYFUNCTION("IFERROR(GOOGLEFINANCE(B3571,""pe""),V3571)"),40.39)</f>
        <v>40.39</v>
      </c>
      <c r="X3571" s="12"/>
      <c r="Y3571" s="6">
        <v>3.07</v>
      </c>
      <c r="Z3571" s="6">
        <v>2</v>
      </c>
      <c r="AA3571" s="8">
        <v>45352</v>
      </c>
      <c r="AB3571" s="4">
        <v>0.01</v>
      </c>
      <c r="AC3571" s="6">
        <v>11.46</v>
      </c>
      <c r="AD3571" s="6">
        <v>10.029999999999999</v>
      </c>
      <c r="AE3571" s="1">
        <v>0</v>
      </c>
      <c r="AF3571" s="1">
        <f ca="1">IFERROR(__xludf.DUMMYFUNCTION("IFERROR(GOOGLEFINANCE(TRIM(F3571)&amp;"":"" &amp; TRIM(B3571),""high52""),AE3571)"),0)</f>
        <v>0</v>
      </c>
      <c r="AG3571" s="1">
        <v>0</v>
      </c>
      <c r="AH3571" s="1">
        <f ca="1">IFERROR(__xludf.DUMMYFUNCTION("IFERROR(GOOGLEFINANCE(TRIM(F3571)&amp;"":"" &amp; TRIM(B3571),""low52""),AE3571)"),0)</f>
        <v>0</v>
      </c>
      <c r="AI3571" s="1">
        <f ca="1">IFERROR(__xludf.DUMMYFUNCTION("IFERROR(GOOGLEFINANCE(B3571,""eps""),0)"),0)</f>
        <v>0</v>
      </c>
      <c r="AJ3571" s="1"/>
      <c r="AK3571" s="1" t="s">
        <v>10924</v>
      </c>
      <c r="AL3571" s="9">
        <f t="shared" si="340"/>
        <v>1</v>
      </c>
    </row>
    <row r="3572" spans="1:38" ht="15" x14ac:dyDescent="0.25">
      <c r="A3572" s="1" t="s">
        <v>10925</v>
      </c>
      <c r="B3572" s="1" t="s">
        <v>10926</v>
      </c>
      <c r="C3572" s="1" t="s">
        <v>359</v>
      </c>
      <c r="D3572" s="1" t="s">
        <v>359</v>
      </c>
      <c r="E3572" s="6">
        <v>747.46</v>
      </c>
      <c r="F3572" s="1" t="s">
        <v>40</v>
      </c>
      <c r="G3572" s="6">
        <f ca="1">IFERROR(__xludf.DUMMYFUNCTION("iferror(GOOGLEFINANCE(TRIM(F3572)&amp;"":"" &amp; TRIM(B3572), ""price""),0
)"),34.2)</f>
        <v>34.200000000000003</v>
      </c>
      <c r="H3572" s="6">
        <v>90.05</v>
      </c>
      <c r="I3572" s="6">
        <f t="shared" ca="1" si="0"/>
        <v>34.200000000000003</v>
      </c>
      <c r="J3572" s="6">
        <f ca="1">IFERROR(__xludf.DUMMYFUNCTION("IFERROR(GOOGLEFINANCE(B3572, ""volume""), 0)"),74125)</f>
        <v>74125</v>
      </c>
      <c r="K3572" s="6">
        <v>8.4</v>
      </c>
      <c r="L3572" s="6">
        <f ca="1">IFERROR(__xludf.DUMMYFUNCTION("IFERROR(GOOGLEFINANCE(B3572,""changepct""),K3572)"),-3.14)</f>
        <v>-3.14</v>
      </c>
      <c r="M3572" s="6">
        <f ca="1">IFERROR(__xludf.DUMMYFUNCTION("IFERROR(GOOGLEFINANCE(B3572,""change""),0)"),-1.11)</f>
        <v>-1.1100000000000001</v>
      </c>
      <c r="N3572" s="6">
        <v>2</v>
      </c>
      <c r="O3572" s="7">
        <v>45536</v>
      </c>
      <c r="P3572" s="6">
        <v>886.97</v>
      </c>
      <c r="Q3572" s="6">
        <v>1568.05</v>
      </c>
      <c r="R3572" s="7">
        <v>45536</v>
      </c>
      <c r="S3572" s="6">
        <v>2267.16</v>
      </c>
      <c r="T3572" s="6">
        <v>-262.5</v>
      </c>
      <c r="U3572" s="7">
        <v>45536</v>
      </c>
      <c r="V3572" s="6">
        <v>0</v>
      </c>
      <c r="W3572" s="6">
        <f ca="1">IFERROR(__xludf.DUMMYFUNCTION("IFERROR(GOOGLEFINANCE(B3572,""pe""),V3572)"),0)</f>
        <v>0</v>
      </c>
      <c r="X3572" s="12"/>
      <c r="Y3572" s="6">
        <v>-1.37</v>
      </c>
      <c r="Z3572" s="6">
        <v>2</v>
      </c>
      <c r="AA3572" s="8">
        <v>45352</v>
      </c>
      <c r="AB3572" s="4">
        <v>-1.76</v>
      </c>
      <c r="AC3572" s="6">
        <v>0</v>
      </c>
      <c r="AD3572" s="6">
        <v>-33.47</v>
      </c>
      <c r="AE3572" s="1">
        <v>0</v>
      </c>
      <c r="AF3572" s="1">
        <f ca="1">IFERROR(__xludf.DUMMYFUNCTION("IFERROR(GOOGLEFINANCE(TRIM(F3572)&amp;"":"" &amp; TRIM(B3572),""high52""),AE3572)"),87.7)</f>
        <v>87.7</v>
      </c>
      <c r="AG3572" s="1">
        <v>0</v>
      </c>
      <c r="AH3572" s="1">
        <f ca="1">IFERROR(__xludf.DUMMYFUNCTION("IFERROR(GOOGLEFINANCE(TRIM(F3572)&amp;"":"" &amp; TRIM(B3572),""low52""),AE3572)"),30.01)</f>
        <v>30.01</v>
      </c>
      <c r="AI3572" s="1">
        <f ca="1">IFERROR(__xludf.DUMMYFUNCTION("IFERROR(GOOGLEFINANCE(B3572,""eps""),0)"),-26.76)</f>
        <v>-26.76</v>
      </c>
      <c r="AJ3572" s="1"/>
      <c r="AK3572" s="1" t="s">
        <v>10927</v>
      </c>
      <c r="AL3572" s="9">
        <f t="shared" si="340"/>
        <v>1</v>
      </c>
    </row>
    <row r="3573" spans="1:38" ht="15" x14ac:dyDescent="0.25">
      <c r="A3573" s="1" t="s">
        <v>10928</v>
      </c>
      <c r="B3573" s="1" t="s">
        <v>10929</v>
      </c>
      <c r="C3573" s="1" t="s">
        <v>186</v>
      </c>
      <c r="D3573" s="1" t="s">
        <v>186</v>
      </c>
      <c r="E3573" s="6">
        <v>187.51</v>
      </c>
      <c r="F3573" s="1" t="s">
        <v>40</v>
      </c>
      <c r="G3573" s="6">
        <f ca="1">IFERROR(__xludf.DUMMYFUNCTION("iferror(GOOGLEFINANCE(TRIM(F3573)&amp;"":"" &amp; TRIM(B3573), ""price""),0
)"),28.5)</f>
        <v>28.5</v>
      </c>
      <c r="H3573" s="6">
        <v>64.61</v>
      </c>
      <c r="I3573" s="6">
        <f t="shared" ca="1" si="0"/>
        <v>28.5</v>
      </c>
      <c r="J3573" s="6">
        <f ca="1">IFERROR(__xludf.DUMMYFUNCTION("IFERROR(GOOGLEFINANCE(B3573, ""volume""), 0)"),3648)</f>
        <v>3648</v>
      </c>
      <c r="K3573" s="6">
        <v>0.37</v>
      </c>
      <c r="L3573" s="6">
        <f ca="1">IFERROR(__xludf.DUMMYFUNCTION("IFERROR(GOOGLEFINANCE(B3573,""changepct""),K3573)"),-2.8)</f>
        <v>-2.8</v>
      </c>
      <c r="M3573" s="6">
        <f ca="1">IFERROR(__xludf.DUMMYFUNCTION("IFERROR(GOOGLEFINANCE(B3573,""change""),0)"),-0.82)</f>
        <v>-0.82</v>
      </c>
      <c r="N3573" s="6">
        <v>1</v>
      </c>
      <c r="O3573" s="7">
        <v>45536</v>
      </c>
      <c r="P3573" s="9"/>
      <c r="Q3573" s="6">
        <v>159.41999999999999</v>
      </c>
      <c r="R3573" s="7">
        <v>45536</v>
      </c>
      <c r="S3573" s="6">
        <v>181.82</v>
      </c>
      <c r="T3573" s="6">
        <v>12.66</v>
      </c>
      <c r="U3573" s="7">
        <v>45536</v>
      </c>
      <c r="V3573" s="6">
        <v>14.81</v>
      </c>
      <c r="W3573" s="6">
        <f ca="1">IFERROR(__xludf.DUMMYFUNCTION("IFERROR(GOOGLEFINANCE(B3573,""pe""),V3573)"),21)</f>
        <v>21</v>
      </c>
      <c r="X3573" s="6">
        <v>-0.96</v>
      </c>
      <c r="Y3573" s="6">
        <v>1.04</v>
      </c>
      <c r="Z3573" s="6">
        <v>1</v>
      </c>
      <c r="AA3573" s="8">
        <v>45352</v>
      </c>
      <c r="AB3573" s="4">
        <v>0</v>
      </c>
      <c r="AC3573" s="6">
        <v>7</v>
      </c>
      <c r="AD3573" s="6">
        <v>10.68</v>
      </c>
      <c r="AE3573" s="1">
        <v>0</v>
      </c>
      <c r="AF3573" s="1">
        <f ca="1">IFERROR(__xludf.DUMMYFUNCTION("IFERROR(GOOGLEFINANCE(TRIM(F3573)&amp;"":"" &amp; TRIM(B3573),""high52""),AE3573)"),55.89)</f>
        <v>55.89</v>
      </c>
      <c r="AG3573" s="1">
        <v>0</v>
      </c>
      <c r="AH3573" s="1">
        <f ca="1">IFERROR(__xludf.DUMMYFUNCTION("IFERROR(GOOGLEFINANCE(TRIM(F3573)&amp;"":"" &amp; TRIM(B3573),""low52""),AE3573)"),26.5)</f>
        <v>26.5</v>
      </c>
      <c r="AI3573" s="1">
        <f ca="1">IFERROR(__xludf.DUMMYFUNCTION("IFERROR(GOOGLEFINANCE(B3573,""eps""),0)"),1.36)</f>
        <v>1.36</v>
      </c>
      <c r="AJ3573" s="1"/>
      <c r="AK3573" s="1" t="s">
        <v>10930</v>
      </c>
      <c r="AL3573" s="9">
        <f t="shared" si="340"/>
        <v>1</v>
      </c>
    </row>
    <row r="3574" spans="1:38" ht="15" x14ac:dyDescent="0.25">
      <c r="A3574" s="1" t="s">
        <v>10931</v>
      </c>
      <c r="B3574" s="1" t="s">
        <v>10932</v>
      </c>
      <c r="C3574" s="1" t="s">
        <v>86</v>
      </c>
      <c r="D3574" s="1" t="s">
        <v>86</v>
      </c>
      <c r="E3574" s="6">
        <v>1764.7</v>
      </c>
      <c r="F3574" s="1" t="s">
        <v>40</v>
      </c>
      <c r="G3574" s="6">
        <f ca="1">IFERROR(__xludf.DUMMYFUNCTION("iferror(GOOGLEFINANCE(TRIM(F3574)&amp;"":"" &amp; TRIM(B3574), ""price""),0
)"),164.01)</f>
        <v>164.01</v>
      </c>
      <c r="H3574" s="6">
        <v>261</v>
      </c>
      <c r="I3574" s="6">
        <f t="shared" ca="1" si="0"/>
        <v>164.01</v>
      </c>
      <c r="J3574" s="6">
        <f ca="1">IFERROR(__xludf.DUMMYFUNCTION("IFERROR(GOOGLEFINANCE(B3574, ""volume""), 0)"),130358)</f>
        <v>130358</v>
      </c>
      <c r="K3574" s="6">
        <v>0.19</v>
      </c>
      <c r="L3574" s="6">
        <f ca="1">IFERROR(__xludf.DUMMYFUNCTION("IFERROR(GOOGLEFINANCE(B3574,""changepct""),K3574)"),0.49)</f>
        <v>0.49</v>
      </c>
      <c r="M3574" s="6">
        <f ca="1">IFERROR(__xludf.DUMMYFUNCTION("IFERROR(GOOGLEFINANCE(B3574,""change""),0)"),0.8)</f>
        <v>0.8</v>
      </c>
      <c r="N3574" s="6">
        <v>2</v>
      </c>
      <c r="O3574" s="7">
        <v>45536</v>
      </c>
      <c r="P3574" s="6">
        <v>400.01</v>
      </c>
      <c r="Q3574" s="6">
        <v>2092.9</v>
      </c>
      <c r="R3574" s="7">
        <v>45536</v>
      </c>
      <c r="S3574" s="6">
        <v>1108.78</v>
      </c>
      <c r="T3574" s="6">
        <v>22.73</v>
      </c>
      <c r="U3574" s="7">
        <v>45536</v>
      </c>
      <c r="V3574" s="6">
        <v>96.83</v>
      </c>
      <c r="W3574" s="6">
        <f ca="1">IFERROR(__xludf.DUMMYFUNCTION("IFERROR(GOOGLEFINANCE(B3574,""pe""),V3574)"),28.64)</f>
        <v>28.64</v>
      </c>
      <c r="X3574" s="9"/>
      <c r="Y3574" s="6">
        <v>2.3199999999999998</v>
      </c>
      <c r="Z3574" s="6">
        <v>2</v>
      </c>
      <c r="AA3574" s="8">
        <v>45352</v>
      </c>
      <c r="AB3574" s="4">
        <v>1.71</v>
      </c>
      <c r="AC3574" s="6">
        <v>-0.5</v>
      </c>
      <c r="AD3574" s="6">
        <v>3.65</v>
      </c>
      <c r="AE3574" s="1">
        <v>0</v>
      </c>
      <c r="AF3574" s="1">
        <f ca="1">IFERROR(__xludf.DUMMYFUNCTION("IFERROR(GOOGLEFINANCE(TRIM(F3574)&amp;"":"" &amp; TRIM(B3574),""high52""),AE3574)"),323.4)</f>
        <v>323.39999999999998</v>
      </c>
      <c r="AG3574" s="1">
        <v>0</v>
      </c>
      <c r="AH3574" s="1">
        <f ca="1">IFERROR(__xludf.DUMMYFUNCTION("IFERROR(GOOGLEFINANCE(TRIM(F3574)&amp;"":"" &amp; TRIM(B3574),""low52""),AE3574)"),136.3)</f>
        <v>136.30000000000001</v>
      </c>
      <c r="AI3574" s="1">
        <f ca="1">IFERROR(__xludf.DUMMYFUNCTION("IFERROR(GOOGLEFINANCE(B3574,""eps""),0)"),5.73)</f>
        <v>5.73</v>
      </c>
      <c r="AJ3574" s="1"/>
      <c r="AK3574" s="9"/>
      <c r="AL3574" s="9">
        <f t="shared" si="340"/>
        <v>1</v>
      </c>
    </row>
    <row r="3575" spans="1:38" ht="15" x14ac:dyDescent="0.25">
      <c r="A3575" s="1" t="s">
        <v>10933</v>
      </c>
      <c r="B3575" s="1" t="s">
        <v>10934</v>
      </c>
      <c r="C3575" s="1" t="s">
        <v>801</v>
      </c>
      <c r="D3575" s="1" t="s">
        <v>801</v>
      </c>
      <c r="E3575" s="6">
        <v>295.27</v>
      </c>
      <c r="F3575" s="1" t="s">
        <v>53</v>
      </c>
      <c r="G3575" s="6">
        <f ca="1">IFERROR(__xludf.DUMMYFUNCTION("iferror(GOOGLEFINANCE(TRIM(F3575)&amp;"":"" &amp; TRIM(B3575), ""price""),0
)"),0)</f>
        <v>0</v>
      </c>
      <c r="H3575" s="6">
        <v>20.14</v>
      </c>
      <c r="I3575" s="6">
        <f t="shared" ca="1" si="0"/>
        <v>20.14</v>
      </c>
      <c r="J3575" s="6">
        <f ca="1">IFERROR(__xludf.DUMMYFUNCTION("IFERROR(GOOGLEFINANCE(B3575, ""volume""), 0)"),0)</f>
        <v>0</v>
      </c>
      <c r="K3575" s="6">
        <v>0.75</v>
      </c>
      <c r="L3575" s="6">
        <f ca="1">IFERROR(__xludf.DUMMYFUNCTION("IFERROR(GOOGLEFINANCE(B3575,""changepct""),K3575)"),0.75)</f>
        <v>0.75</v>
      </c>
      <c r="M3575" s="6">
        <f ca="1">IFERROR(__xludf.DUMMYFUNCTION("IFERROR(GOOGLEFINANCE(B3575,""change""),0)"),0)</f>
        <v>0</v>
      </c>
      <c r="N3575" s="6">
        <v>1</v>
      </c>
      <c r="O3575" s="7">
        <v>45536</v>
      </c>
      <c r="P3575" s="6">
        <v>14.01</v>
      </c>
      <c r="Q3575" s="6">
        <v>309.27</v>
      </c>
      <c r="R3575" s="7">
        <v>45536</v>
      </c>
      <c r="S3575" s="6">
        <v>73.89</v>
      </c>
      <c r="T3575" s="6">
        <v>4.3499999999999996</v>
      </c>
      <c r="U3575" s="7">
        <v>45536</v>
      </c>
      <c r="V3575" s="6">
        <v>67.86</v>
      </c>
      <c r="W3575" s="6">
        <f ca="1">IFERROR(__xludf.DUMMYFUNCTION("IFERROR(GOOGLEFINANCE(B3575,""pe""),V3575)"),67.86)</f>
        <v>67.86</v>
      </c>
      <c r="X3575" s="6">
        <v>0.97</v>
      </c>
      <c r="Y3575" s="6">
        <v>10.58</v>
      </c>
      <c r="Z3575" s="6">
        <v>1</v>
      </c>
      <c r="AA3575" s="8">
        <v>45352</v>
      </c>
      <c r="AB3575" s="4">
        <v>0.23</v>
      </c>
      <c r="AC3575" s="6">
        <v>17.48</v>
      </c>
      <c r="AD3575" s="6">
        <v>24.99</v>
      </c>
      <c r="AE3575" s="1">
        <v>0</v>
      </c>
      <c r="AF3575" s="1">
        <f ca="1">IFERROR(__xludf.DUMMYFUNCTION("IFERROR(GOOGLEFINANCE(TRIM(F3575)&amp;"":"" &amp; TRIM(B3575),""high52""),AE3575)"),0)</f>
        <v>0</v>
      </c>
      <c r="AG3575" s="1">
        <v>0</v>
      </c>
      <c r="AH3575" s="1">
        <f ca="1">IFERROR(__xludf.DUMMYFUNCTION("IFERROR(GOOGLEFINANCE(TRIM(F3575)&amp;"":"" &amp; TRIM(B3575),""low52""),AE3575)"),0)</f>
        <v>0</v>
      </c>
      <c r="AI3575" s="1">
        <f ca="1">IFERROR(__xludf.DUMMYFUNCTION("IFERROR(GOOGLEFINANCE(B3575,""eps""),0)"),0)</f>
        <v>0</v>
      </c>
      <c r="AJ3575" s="1"/>
      <c r="AK3575" s="1" t="s">
        <v>10935</v>
      </c>
      <c r="AL3575" s="9">
        <f t="shared" si="340"/>
        <v>1</v>
      </c>
    </row>
    <row r="3576" spans="1:38" ht="15" x14ac:dyDescent="0.25">
      <c r="A3576" s="1" t="s">
        <v>10936</v>
      </c>
      <c r="B3576" s="1" t="s">
        <v>10937</v>
      </c>
      <c r="C3576" s="1" t="s">
        <v>801</v>
      </c>
      <c r="D3576" s="1" t="s">
        <v>801</v>
      </c>
      <c r="E3576" s="6">
        <v>33.19</v>
      </c>
      <c r="F3576" s="1" t="s">
        <v>53</v>
      </c>
      <c r="G3576" s="6">
        <f ca="1">IFERROR(__xludf.DUMMYFUNCTION("iferror(GOOGLEFINANCE(TRIM(F3576)&amp;"":"" &amp; TRIM(B3576), ""price""),0
)"),0)</f>
        <v>0</v>
      </c>
      <c r="H3576" s="6">
        <v>190.45</v>
      </c>
      <c r="I3576" s="6">
        <f t="shared" ca="1" si="0"/>
        <v>190.45</v>
      </c>
      <c r="J3576" s="6">
        <f ca="1">IFERROR(__xludf.DUMMYFUNCTION("IFERROR(GOOGLEFINANCE(B3576, ""volume""), 0)"),0)</f>
        <v>0</v>
      </c>
      <c r="K3576" s="6">
        <v>1.68</v>
      </c>
      <c r="L3576" s="6">
        <f ca="1">IFERROR(__xludf.DUMMYFUNCTION("IFERROR(GOOGLEFINANCE(B3576,""changepct""),K3576)"),1.68)</f>
        <v>1.68</v>
      </c>
      <c r="M3576" s="6">
        <f ca="1">IFERROR(__xludf.DUMMYFUNCTION("IFERROR(GOOGLEFINANCE(B3576,""change""),0)"),0)</f>
        <v>0</v>
      </c>
      <c r="N3576" s="6">
        <v>1</v>
      </c>
      <c r="O3576" s="7">
        <v>45536</v>
      </c>
      <c r="P3576" s="6">
        <v>4.4000000000000004</v>
      </c>
      <c r="Q3576" s="6">
        <v>37.590000000000003</v>
      </c>
      <c r="R3576" s="7">
        <v>45536</v>
      </c>
      <c r="S3576" s="6">
        <v>0</v>
      </c>
      <c r="T3576" s="6">
        <v>0.54</v>
      </c>
      <c r="U3576" s="7">
        <v>45536</v>
      </c>
      <c r="V3576" s="6">
        <v>61.46</v>
      </c>
      <c r="W3576" s="6">
        <f ca="1">IFERROR(__xludf.DUMMYFUNCTION("IFERROR(GOOGLEFINANCE(B3576,""pe""),V3576)"),61.46)</f>
        <v>61.46</v>
      </c>
      <c r="X3576" s="6">
        <v>2.31</v>
      </c>
      <c r="Y3576" s="6">
        <v>-10.26</v>
      </c>
      <c r="Z3576" s="6">
        <v>1</v>
      </c>
      <c r="AA3576" s="8">
        <v>45352</v>
      </c>
      <c r="AB3576" s="4">
        <v>-1.65</v>
      </c>
      <c r="AC3576" s="6">
        <v>0</v>
      </c>
      <c r="AD3576" s="6">
        <v>64.92</v>
      </c>
      <c r="AE3576" s="1">
        <v>0</v>
      </c>
      <c r="AF3576" s="1">
        <f ca="1">IFERROR(__xludf.DUMMYFUNCTION("IFERROR(GOOGLEFINANCE(TRIM(F3576)&amp;"":"" &amp; TRIM(B3576),""high52""),AE3576)"),0)</f>
        <v>0</v>
      </c>
      <c r="AG3576" s="1">
        <v>0</v>
      </c>
      <c r="AH3576" s="1">
        <f ca="1">IFERROR(__xludf.DUMMYFUNCTION("IFERROR(GOOGLEFINANCE(TRIM(F3576)&amp;"":"" &amp; TRIM(B3576),""low52""),AE3576)"),0)</f>
        <v>0</v>
      </c>
      <c r="AI3576" s="1">
        <f ca="1">IFERROR(__xludf.DUMMYFUNCTION("IFERROR(GOOGLEFINANCE(B3576,""eps""),0)"),0)</f>
        <v>0</v>
      </c>
      <c r="AJ3576" s="1"/>
      <c r="AK3576" s="1" t="s">
        <v>10938</v>
      </c>
      <c r="AL3576" s="9">
        <f t="shared" si="340"/>
        <v>1</v>
      </c>
    </row>
    <row r="3577" spans="1:38" ht="15" x14ac:dyDescent="0.25">
      <c r="A3577" s="1" t="s">
        <v>10939</v>
      </c>
      <c r="B3577" s="1" t="s">
        <v>10940</v>
      </c>
      <c r="C3577" s="1" t="s">
        <v>801</v>
      </c>
      <c r="D3577" s="1" t="s">
        <v>801</v>
      </c>
      <c r="E3577" s="6">
        <v>219.55</v>
      </c>
      <c r="F3577" s="1" t="s">
        <v>53</v>
      </c>
      <c r="G3577" s="6">
        <f ca="1">IFERROR(__xludf.DUMMYFUNCTION("iferror(GOOGLEFINANCE(TRIM(F3577)&amp;"":"" &amp; TRIM(B3577), ""price""),0
)"),0)</f>
        <v>0</v>
      </c>
      <c r="H3577" s="6">
        <v>216.8</v>
      </c>
      <c r="I3577" s="6">
        <f t="shared" ca="1" si="0"/>
        <v>216.8</v>
      </c>
      <c r="J3577" s="6">
        <f ca="1">IFERROR(__xludf.DUMMYFUNCTION("IFERROR(GOOGLEFINANCE(B3577, ""volume""), 0)"),0)</f>
        <v>0</v>
      </c>
      <c r="K3577" s="6">
        <v>-0.96</v>
      </c>
      <c r="L3577" s="6">
        <f ca="1">IFERROR(__xludf.DUMMYFUNCTION("IFERROR(GOOGLEFINANCE(B3577,""changepct""),K3577)"),-0.96)</f>
        <v>-0.96</v>
      </c>
      <c r="M3577" s="6">
        <f ca="1">IFERROR(__xludf.DUMMYFUNCTION("IFERROR(GOOGLEFINANCE(B3577,""change""),0)"),0)</f>
        <v>0</v>
      </c>
      <c r="N3577" s="6">
        <v>1</v>
      </c>
      <c r="O3577" s="7">
        <v>45536</v>
      </c>
      <c r="P3577" s="6">
        <v>11.38</v>
      </c>
      <c r="Q3577" s="6">
        <v>230.03</v>
      </c>
      <c r="R3577" s="7">
        <v>45536</v>
      </c>
      <c r="S3577" s="6">
        <v>133.97999999999999</v>
      </c>
      <c r="T3577" s="6">
        <v>5.29</v>
      </c>
      <c r="U3577" s="7">
        <v>45536</v>
      </c>
      <c r="V3577" s="6">
        <v>41.51</v>
      </c>
      <c r="W3577" s="6">
        <f ca="1">IFERROR(__xludf.DUMMYFUNCTION("IFERROR(GOOGLEFINANCE(B3577,""pe""),V3577)"),41.51)</f>
        <v>41.51</v>
      </c>
      <c r="X3577" s="6">
        <v>2.02</v>
      </c>
      <c r="Y3577" s="6">
        <v>7.05</v>
      </c>
      <c r="Z3577" s="6">
        <v>1</v>
      </c>
      <c r="AA3577" s="17">
        <v>45352</v>
      </c>
      <c r="AB3577" s="18">
        <v>0.52</v>
      </c>
      <c r="AC3577" s="6">
        <v>17.940000000000001</v>
      </c>
      <c r="AD3577" s="6">
        <v>19.05</v>
      </c>
      <c r="AE3577" s="1">
        <v>0</v>
      </c>
      <c r="AF3577" s="1">
        <f ca="1">IFERROR(__xludf.DUMMYFUNCTION("IFERROR(GOOGLEFINANCE(TRIM(F3577)&amp;"":"" &amp; TRIM(B3577),""high52""),AE3577)"),0)</f>
        <v>0</v>
      </c>
      <c r="AG3577" s="1">
        <v>0</v>
      </c>
      <c r="AH3577" s="1">
        <f ca="1">IFERROR(__xludf.DUMMYFUNCTION("IFERROR(GOOGLEFINANCE(TRIM(F3577)&amp;"":"" &amp; TRIM(B3577),""low52""),AE3577)"),0)</f>
        <v>0</v>
      </c>
      <c r="AI3577" s="1">
        <f ca="1">IFERROR(__xludf.DUMMYFUNCTION("IFERROR(GOOGLEFINANCE(B3577,""eps""),0)"),0)</f>
        <v>0</v>
      </c>
      <c r="AJ3577" s="1"/>
      <c r="AK3577" s="1" t="s">
        <v>10941</v>
      </c>
      <c r="AL3577" s="9">
        <f t="shared" si="340"/>
        <v>1</v>
      </c>
    </row>
    <row r="3578" spans="1:38" ht="15" x14ac:dyDescent="0.25">
      <c r="A3578" s="1" t="s">
        <v>10942</v>
      </c>
      <c r="B3578" s="1" t="s">
        <v>10943</v>
      </c>
      <c r="C3578" s="1" t="s">
        <v>801</v>
      </c>
      <c r="D3578" s="1" t="s">
        <v>801</v>
      </c>
      <c r="E3578" s="6">
        <v>19.72</v>
      </c>
      <c r="F3578" s="1" t="s">
        <v>53</v>
      </c>
      <c r="G3578" s="6">
        <f ca="1">IFERROR(__xludf.DUMMYFUNCTION("iferror(GOOGLEFINANCE(TRIM(F3578)&amp;"":"" &amp; TRIM(B3578), ""price""),0
)"),0)</f>
        <v>0</v>
      </c>
      <c r="H3578" s="6">
        <v>38.15</v>
      </c>
      <c r="I3578" s="6">
        <f t="shared" ca="1" si="0"/>
        <v>38.15</v>
      </c>
      <c r="J3578" s="6">
        <f ca="1">IFERROR(__xludf.DUMMYFUNCTION("IFERROR(GOOGLEFINANCE(B3578, ""volume""), 0)"),0)</f>
        <v>0</v>
      </c>
      <c r="K3578" s="6">
        <v>1.19</v>
      </c>
      <c r="L3578" s="6">
        <f ca="1">IFERROR(__xludf.DUMMYFUNCTION("IFERROR(GOOGLEFINANCE(B3578,""changepct""),K3578)"),1.19)</f>
        <v>1.19</v>
      </c>
      <c r="M3578" s="6">
        <f ca="1">IFERROR(__xludf.DUMMYFUNCTION("IFERROR(GOOGLEFINANCE(B3578,""change""),0)"),0)</f>
        <v>0</v>
      </c>
      <c r="N3578" s="6">
        <v>1</v>
      </c>
      <c r="O3578" s="7">
        <v>45536</v>
      </c>
      <c r="P3578" s="6">
        <v>31.38</v>
      </c>
      <c r="Q3578" s="6">
        <v>50.14</v>
      </c>
      <c r="R3578" s="7">
        <v>45536</v>
      </c>
      <c r="S3578" s="6">
        <v>58</v>
      </c>
      <c r="T3578" s="6">
        <v>-3.14</v>
      </c>
      <c r="U3578" s="7">
        <v>45536</v>
      </c>
      <c r="V3578" s="6">
        <v>0</v>
      </c>
      <c r="W3578" s="6">
        <f ca="1">IFERROR(__xludf.DUMMYFUNCTION("IFERROR(GOOGLEFINANCE(B3578,""pe""),V3578)"),0)</f>
        <v>0</v>
      </c>
      <c r="X3578" s="6">
        <v>0</v>
      </c>
      <c r="Y3578" s="6">
        <v>-1.2</v>
      </c>
      <c r="Z3578" s="6">
        <v>1</v>
      </c>
      <c r="AA3578" s="8">
        <v>45352</v>
      </c>
      <c r="AB3578" s="4">
        <v>-2.2200000000000002</v>
      </c>
      <c r="AC3578" s="6">
        <v>0</v>
      </c>
      <c r="AD3578" s="6">
        <v>-0.76</v>
      </c>
      <c r="AE3578" s="1">
        <v>0</v>
      </c>
      <c r="AF3578" s="1">
        <f ca="1">IFERROR(__xludf.DUMMYFUNCTION("IFERROR(GOOGLEFINANCE(TRIM(F3578)&amp;"":"" &amp; TRIM(B3578),""high52""),AE3578)"),0)</f>
        <v>0</v>
      </c>
      <c r="AG3578" s="1">
        <v>0</v>
      </c>
      <c r="AH3578" s="1">
        <f ca="1">IFERROR(__xludf.DUMMYFUNCTION("IFERROR(GOOGLEFINANCE(TRIM(F3578)&amp;"":"" &amp; TRIM(B3578),""low52""),AE3578)"),0)</f>
        <v>0</v>
      </c>
      <c r="AI3578" s="1">
        <f ca="1">IFERROR(__xludf.DUMMYFUNCTION("IFERROR(GOOGLEFINANCE(B3578,""eps""),0)"),0)</f>
        <v>0</v>
      </c>
      <c r="AJ3578" s="1"/>
      <c r="AK3578" s="1" t="s">
        <v>10944</v>
      </c>
      <c r="AL3578" s="9">
        <f t="shared" si="340"/>
        <v>1</v>
      </c>
    </row>
    <row r="3579" spans="1:38" ht="15" x14ac:dyDescent="0.25">
      <c r="A3579" s="1" t="s">
        <v>10945</v>
      </c>
      <c r="B3579" s="1" t="s">
        <v>10946</v>
      </c>
      <c r="C3579" s="1" t="s">
        <v>186</v>
      </c>
      <c r="D3579" s="1" t="s">
        <v>186</v>
      </c>
      <c r="E3579" s="6">
        <v>1324.09</v>
      </c>
      <c r="F3579" s="1" t="s">
        <v>40</v>
      </c>
      <c r="G3579" s="6">
        <f ca="1">IFERROR(__xludf.DUMMYFUNCTION("iferror(GOOGLEFINANCE(TRIM(F3579)&amp;"":"" &amp; TRIM(B3579), ""price""),0
)"),92.2)</f>
        <v>92.2</v>
      </c>
      <c r="H3579" s="6">
        <v>106.21</v>
      </c>
      <c r="I3579" s="6">
        <f t="shared" ca="1" si="0"/>
        <v>92.2</v>
      </c>
      <c r="J3579" s="6">
        <f ca="1">IFERROR(__xludf.DUMMYFUNCTION("IFERROR(GOOGLEFINANCE(B3579, ""volume""), 0)"),70524)</f>
        <v>70524</v>
      </c>
      <c r="K3579" s="6">
        <v>0.94</v>
      </c>
      <c r="L3579" s="6">
        <f ca="1">IFERROR(__xludf.DUMMYFUNCTION("IFERROR(GOOGLEFINANCE(B3579,""changepct""),K3579)"),1.33)</f>
        <v>1.33</v>
      </c>
      <c r="M3579" s="6">
        <f ca="1">IFERROR(__xludf.DUMMYFUNCTION("IFERROR(GOOGLEFINANCE(B3579,""change""),0)"),1.21)</f>
        <v>1.21</v>
      </c>
      <c r="N3579" s="6">
        <v>1</v>
      </c>
      <c r="O3579" s="7">
        <v>45536</v>
      </c>
      <c r="P3579" s="6">
        <v>491.44</v>
      </c>
      <c r="Q3579" s="6">
        <v>1810.52</v>
      </c>
      <c r="R3579" s="7">
        <v>45536</v>
      </c>
      <c r="S3579" s="6">
        <v>2495.5700000000002</v>
      </c>
      <c r="T3579" s="6">
        <v>93.51</v>
      </c>
      <c r="U3579" s="7">
        <v>45536</v>
      </c>
      <c r="V3579" s="6">
        <v>14.16</v>
      </c>
      <c r="W3579" s="6">
        <f ca="1">IFERROR(__xludf.DUMMYFUNCTION("IFERROR(GOOGLEFINANCE(B3579,""pe""),V3579)"),10.13)</f>
        <v>10.130000000000001</v>
      </c>
      <c r="X3579" s="6">
        <v>0.59</v>
      </c>
      <c r="Y3579" s="6">
        <v>1.39</v>
      </c>
      <c r="Z3579" s="6">
        <v>1</v>
      </c>
      <c r="AA3579" s="8">
        <v>45352</v>
      </c>
      <c r="AB3579" s="4">
        <v>0.97</v>
      </c>
      <c r="AC3579" s="6">
        <v>7.81</v>
      </c>
      <c r="AD3579" s="6">
        <v>10.06</v>
      </c>
      <c r="AE3579" s="1">
        <v>0</v>
      </c>
      <c r="AF3579" s="1">
        <f ca="1">IFERROR(__xludf.DUMMYFUNCTION("IFERROR(GOOGLEFINANCE(TRIM(F3579)&amp;"":"" &amp; TRIM(B3579),""high52""),AE3579)"),140)</f>
        <v>140</v>
      </c>
      <c r="AG3579" s="1">
        <v>0</v>
      </c>
      <c r="AH3579" s="1">
        <f ca="1">IFERROR(__xludf.DUMMYFUNCTION("IFERROR(GOOGLEFINANCE(TRIM(F3579)&amp;"":"" &amp; TRIM(B3579),""low52""),AE3579)"),69.91)</f>
        <v>69.91</v>
      </c>
      <c r="AI3579" s="1">
        <f ca="1">IFERROR(__xludf.DUMMYFUNCTION("IFERROR(GOOGLEFINANCE(B3579,""eps""),0)"),9.11)</f>
        <v>9.11</v>
      </c>
      <c r="AJ3579" s="1"/>
      <c r="AK3579" s="1" t="s">
        <v>10947</v>
      </c>
      <c r="AL3579" s="9">
        <f t="shared" si="340"/>
        <v>1</v>
      </c>
    </row>
    <row r="3580" spans="1:38" ht="15" x14ac:dyDescent="0.25">
      <c r="A3580" s="1" t="s">
        <v>10948</v>
      </c>
      <c r="B3580" s="1" t="s">
        <v>10949</v>
      </c>
      <c r="C3580" s="1" t="s">
        <v>483</v>
      </c>
      <c r="D3580" s="1" t="s">
        <v>483</v>
      </c>
      <c r="E3580" s="6">
        <v>51.56</v>
      </c>
      <c r="F3580" s="1" t="s">
        <v>40</v>
      </c>
      <c r="G3580" s="6">
        <f ca="1">IFERROR(__xludf.DUMMYFUNCTION("iferror(GOOGLEFINANCE(TRIM(F3580)&amp;"":"" &amp; TRIM(B3580), ""price""),0
)"),0)</f>
        <v>0</v>
      </c>
      <c r="H3580" s="6">
        <v>33.5</v>
      </c>
      <c r="I3580" s="6">
        <f t="shared" ca="1" si="0"/>
        <v>33.5</v>
      </c>
      <c r="J3580" s="6">
        <f ca="1">IFERROR(__xludf.DUMMYFUNCTION("IFERROR(GOOGLEFINANCE(B3580, ""volume""), 0)"),0)</f>
        <v>0</v>
      </c>
      <c r="K3580" s="12"/>
      <c r="L3580" s="6" t="str">
        <f ca="1">IFERROR(__xludf.DUMMYFUNCTION("IFERROR(GOOGLEFINANCE(B3580,""changepct""),K3580)"),"")</f>
        <v/>
      </c>
      <c r="M3580" s="6">
        <f ca="1">IFERROR(__xludf.DUMMYFUNCTION("IFERROR(GOOGLEFINANCE(B3580,""change""),0)"),0)</f>
        <v>0</v>
      </c>
      <c r="N3580" s="6">
        <v>1</v>
      </c>
      <c r="O3580" s="7">
        <v>45536</v>
      </c>
      <c r="P3580" s="6">
        <v>8.68</v>
      </c>
      <c r="Q3580" s="6">
        <v>60.24</v>
      </c>
      <c r="R3580" s="12"/>
      <c r="S3580" s="12"/>
      <c r="T3580" s="12"/>
      <c r="U3580" s="7">
        <v>45352</v>
      </c>
      <c r="V3580" s="6">
        <v>51.87</v>
      </c>
      <c r="W3580" s="6">
        <f ca="1">IFERROR(__xludf.DUMMYFUNCTION("IFERROR(GOOGLEFINANCE(B3580,""pe""),V3580)"),51.87)</f>
        <v>51.87</v>
      </c>
      <c r="X3580" s="12"/>
      <c r="Y3580" s="6">
        <v>1.04</v>
      </c>
      <c r="Z3580" s="6">
        <v>1</v>
      </c>
      <c r="AA3580" s="8">
        <v>45352</v>
      </c>
      <c r="AB3580" s="4">
        <v>0.76</v>
      </c>
      <c r="AC3580" s="6">
        <v>4.03</v>
      </c>
      <c r="AD3580" s="6">
        <v>9.1199999999999992</v>
      </c>
      <c r="AE3580" s="1">
        <v>0</v>
      </c>
      <c r="AF3580" s="1">
        <f ca="1">IFERROR(__xludf.DUMMYFUNCTION("IFERROR(GOOGLEFINANCE(TRIM(F3580)&amp;"":"" &amp; TRIM(B3580),""high52""),AE3580)"),0)</f>
        <v>0</v>
      </c>
      <c r="AG3580" s="1">
        <v>0</v>
      </c>
      <c r="AH3580" s="1">
        <f ca="1">IFERROR(__xludf.DUMMYFUNCTION("IFERROR(GOOGLEFINANCE(TRIM(F3580)&amp;"":"" &amp; TRIM(B3580),""low52""),AE3580)"),0)</f>
        <v>0</v>
      </c>
      <c r="AI3580" s="1">
        <f ca="1">IFERROR(__xludf.DUMMYFUNCTION("IFERROR(GOOGLEFINANCE(B3580,""eps""),0)"),0)</f>
        <v>0</v>
      </c>
      <c r="AJ3580" s="1"/>
      <c r="AK3580" s="1" t="s">
        <v>10950</v>
      </c>
      <c r="AL3580" s="9">
        <f t="shared" si="340"/>
        <v>1</v>
      </c>
    </row>
    <row r="3581" spans="1:38" ht="15" x14ac:dyDescent="0.25">
      <c r="A3581" s="1" t="s">
        <v>10951</v>
      </c>
      <c r="B3581" s="1" t="s">
        <v>10952</v>
      </c>
      <c r="C3581" s="1" t="s">
        <v>801</v>
      </c>
      <c r="D3581" s="1" t="s">
        <v>801</v>
      </c>
      <c r="E3581" s="6">
        <v>479.19</v>
      </c>
      <c r="F3581" s="1" t="s">
        <v>53</v>
      </c>
      <c r="G3581" s="6">
        <f ca="1">IFERROR(__xludf.DUMMYFUNCTION("iferror(GOOGLEFINANCE(TRIM(F3581)&amp;"":"" &amp; TRIM(B3581), ""price""),0
)"),0)</f>
        <v>0</v>
      </c>
      <c r="H3581" s="6">
        <v>183.7</v>
      </c>
      <c r="I3581" s="6">
        <f t="shared" ca="1" si="0"/>
        <v>183.7</v>
      </c>
      <c r="J3581" s="6">
        <f ca="1">IFERROR(__xludf.DUMMYFUNCTION("IFERROR(GOOGLEFINANCE(B3581, ""volume""), 0)"),0)</f>
        <v>0</v>
      </c>
      <c r="K3581" s="6">
        <v>0.63</v>
      </c>
      <c r="L3581" s="6">
        <f ca="1">IFERROR(__xludf.DUMMYFUNCTION("IFERROR(GOOGLEFINANCE(B3581,""changepct""),K3581)"),0.63)</f>
        <v>0.63</v>
      </c>
      <c r="M3581" s="6">
        <f ca="1">IFERROR(__xludf.DUMMYFUNCTION("IFERROR(GOOGLEFINANCE(B3581,""change""),0)"),0)</f>
        <v>0</v>
      </c>
      <c r="N3581" s="6">
        <v>2</v>
      </c>
      <c r="O3581" s="7">
        <v>45536</v>
      </c>
      <c r="P3581" s="6">
        <v>0.55000000000000004</v>
      </c>
      <c r="Q3581" s="6">
        <v>474.77</v>
      </c>
      <c r="R3581" s="7">
        <v>45536</v>
      </c>
      <c r="S3581" s="6">
        <v>241.32</v>
      </c>
      <c r="T3581" s="6">
        <v>10.58</v>
      </c>
      <c r="U3581" s="7">
        <v>45536</v>
      </c>
      <c r="V3581" s="6">
        <v>40.75</v>
      </c>
      <c r="W3581" s="6">
        <f ca="1">IFERROR(__xludf.DUMMYFUNCTION("IFERROR(GOOGLEFINANCE(B3581,""pe""),V3581)"),40.75)</f>
        <v>40.75</v>
      </c>
      <c r="X3581" s="6">
        <v>4.8</v>
      </c>
      <c r="Y3581" s="6">
        <v>2.08</v>
      </c>
      <c r="Z3581" s="6">
        <v>2</v>
      </c>
      <c r="AA3581" s="8">
        <v>45352</v>
      </c>
      <c r="AB3581" s="4">
        <v>0</v>
      </c>
      <c r="AC3581" s="6">
        <v>7.2</v>
      </c>
      <c r="AD3581" s="6">
        <v>9.86</v>
      </c>
      <c r="AE3581" s="1">
        <v>0</v>
      </c>
      <c r="AF3581" s="1">
        <f ca="1">IFERROR(__xludf.DUMMYFUNCTION("IFERROR(GOOGLEFINANCE(TRIM(F3581)&amp;"":"" &amp; TRIM(B3581),""high52""),AE3581)"),0)</f>
        <v>0</v>
      </c>
      <c r="AG3581" s="1">
        <v>0</v>
      </c>
      <c r="AH3581" s="1">
        <f ca="1">IFERROR(__xludf.DUMMYFUNCTION("IFERROR(GOOGLEFINANCE(TRIM(F3581)&amp;"":"" &amp; TRIM(B3581),""low52""),AE3581)"),0)</f>
        <v>0</v>
      </c>
      <c r="AI3581" s="1">
        <f ca="1">IFERROR(__xludf.DUMMYFUNCTION("IFERROR(GOOGLEFINANCE(B3581,""eps""),0)"),0)</f>
        <v>0</v>
      </c>
      <c r="AJ3581" s="1"/>
      <c r="AK3581" s="9"/>
      <c r="AL3581" s="9">
        <f t="shared" si="340"/>
        <v>1</v>
      </c>
    </row>
    <row r="3582" spans="1:38" ht="15" x14ac:dyDescent="0.25">
      <c r="A3582" s="1" t="s">
        <v>10953</v>
      </c>
      <c r="B3582" s="1" t="s">
        <v>10954</v>
      </c>
      <c r="C3582" s="1" t="s">
        <v>801</v>
      </c>
      <c r="D3582" s="1" t="s">
        <v>801</v>
      </c>
      <c r="E3582" s="6">
        <v>55.48</v>
      </c>
      <c r="F3582" s="1" t="s">
        <v>53</v>
      </c>
      <c r="G3582" s="6">
        <f ca="1">IFERROR(__xludf.DUMMYFUNCTION("iferror(GOOGLEFINANCE(TRIM(F3582)&amp;"":"" &amp; TRIM(B3582), ""price""),0
)"),0)</f>
        <v>0</v>
      </c>
      <c r="H3582" s="6">
        <v>89.9</v>
      </c>
      <c r="I3582" s="6">
        <f t="shared" ca="1" si="0"/>
        <v>89.9</v>
      </c>
      <c r="J3582" s="6">
        <f ca="1">IFERROR(__xludf.DUMMYFUNCTION("IFERROR(GOOGLEFINANCE(B3582, ""volume""), 0)"),0)</f>
        <v>0</v>
      </c>
      <c r="K3582" s="6">
        <v>0.98</v>
      </c>
      <c r="L3582" s="6">
        <f ca="1">IFERROR(__xludf.DUMMYFUNCTION("IFERROR(GOOGLEFINANCE(B3582,""changepct""),K3582)"),0.98)</f>
        <v>0.98</v>
      </c>
      <c r="M3582" s="6">
        <f ca="1">IFERROR(__xludf.DUMMYFUNCTION("IFERROR(GOOGLEFINANCE(B3582,""change""),0)"),0)</f>
        <v>0</v>
      </c>
      <c r="N3582" s="6">
        <v>1</v>
      </c>
      <c r="O3582" s="7">
        <v>45536</v>
      </c>
      <c r="P3582" s="6">
        <v>7.97</v>
      </c>
      <c r="Q3582" s="6">
        <v>63.03</v>
      </c>
      <c r="R3582" s="7">
        <v>45536</v>
      </c>
      <c r="S3582" s="6">
        <v>41.9</v>
      </c>
      <c r="T3582" s="6">
        <v>-4.29</v>
      </c>
      <c r="U3582" s="7">
        <v>45536</v>
      </c>
      <c r="V3582" s="6">
        <v>0</v>
      </c>
      <c r="W3582" s="6">
        <f ca="1">IFERROR(__xludf.DUMMYFUNCTION("IFERROR(GOOGLEFINANCE(B3582,""pe""),V3582)"),0)</f>
        <v>0</v>
      </c>
      <c r="X3582" s="12"/>
      <c r="Y3582" s="6">
        <v>8.67</v>
      </c>
      <c r="Z3582" s="6">
        <v>1</v>
      </c>
      <c r="AA3582" s="8">
        <v>45352</v>
      </c>
      <c r="AB3582" s="4">
        <v>0.84</v>
      </c>
      <c r="AC3582" s="6">
        <v>-17.09</v>
      </c>
      <c r="AD3582" s="6">
        <v>-4.59</v>
      </c>
      <c r="AE3582" s="1">
        <v>0</v>
      </c>
      <c r="AF3582" s="1">
        <f ca="1">IFERROR(__xludf.DUMMYFUNCTION("IFERROR(GOOGLEFINANCE(TRIM(F3582)&amp;"":"" &amp; TRIM(B3582),""high52""),AE3582)"),0)</f>
        <v>0</v>
      </c>
      <c r="AG3582" s="1">
        <v>0</v>
      </c>
      <c r="AH3582" s="1">
        <f ca="1">IFERROR(__xludf.DUMMYFUNCTION("IFERROR(GOOGLEFINANCE(TRIM(F3582)&amp;"":"" &amp; TRIM(B3582),""low52""),AE3582)"),0)</f>
        <v>0</v>
      </c>
      <c r="AI3582" s="1">
        <f ca="1">IFERROR(__xludf.DUMMYFUNCTION("IFERROR(GOOGLEFINANCE(B3582,""eps""),0)"),0)</f>
        <v>0</v>
      </c>
      <c r="AJ3582" s="1"/>
      <c r="AK3582" s="1" t="s">
        <v>10955</v>
      </c>
      <c r="AL3582" s="9">
        <f t="shared" si="340"/>
        <v>1</v>
      </c>
    </row>
    <row r="3583" spans="1:38" ht="15" x14ac:dyDescent="0.25">
      <c r="A3583" s="1" t="s">
        <v>10956</v>
      </c>
      <c r="B3583" s="1" t="s">
        <v>10957</v>
      </c>
      <c r="C3583" s="1" t="s">
        <v>135</v>
      </c>
      <c r="D3583" s="1" t="s">
        <v>135</v>
      </c>
      <c r="E3583" s="6">
        <v>1337.14</v>
      </c>
      <c r="F3583" s="1" t="s">
        <v>40</v>
      </c>
      <c r="G3583" s="6">
        <f ca="1">IFERROR(__xludf.DUMMYFUNCTION("iferror(GOOGLEFINANCE(TRIM(F3583)&amp;"":"" &amp; TRIM(B3583), ""price""),0
)"),439.65)</f>
        <v>439.65</v>
      </c>
      <c r="H3583" s="6">
        <v>783.45</v>
      </c>
      <c r="I3583" s="6">
        <f t="shared" ca="1" si="0"/>
        <v>439.65</v>
      </c>
      <c r="J3583" s="6">
        <f ca="1">IFERROR(__xludf.DUMMYFUNCTION("IFERROR(GOOGLEFINANCE(B3583, ""volume""), 0)"),7444)</f>
        <v>7444</v>
      </c>
      <c r="K3583" s="6">
        <v>0.55000000000000004</v>
      </c>
      <c r="L3583" s="6">
        <f ca="1">IFERROR(__xludf.DUMMYFUNCTION("IFERROR(GOOGLEFINANCE(B3583,""changepct""),K3583)"),-0.18)</f>
        <v>-0.18</v>
      </c>
      <c r="M3583" s="6">
        <f ca="1">IFERROR(__xludf.DUMMYFUNCTION("IFERROR(GOOGLEFINANCE(B3583,""change""),0)"),-0.8)</f>
        <v>-0.8</v>
      </c>
      <c r="N3583" s="6">
        <v>2</v>
      </c>
      <c r="O3583" s="7">
        <v>45536</v>
      </c>
      <c r="P3583" s="12"/>
      <c r="Q3583" s="6">
        <v>1337.14</v>
      </c>
      <c r="R3583" s="7">
        <v>45536</v>
      </c>
      <c r="S3583" s="6">
        <v>718.57</v>
      </c>
      <c r="T3583" s="6">
        <v>80.09</v>
      </c>
      <c r="U3583" s="7">
        <v>45536</v>
      </c>
      <c r="V3583" s="6">
        <v>16.690000000000001</v>
      </c>
      <c r="W3583" s="6">
        <f ca="1">IFERROR(__xludf.DUMMYFUNCTION("IFERROR(GOOGLEFINANCE(B3583,""pe""),V3583)"),8.21)</f>
        <v>8.2100000000000009</v>
      </c>
      <c r="X3583" s="12"/>
      <c r="Y3583" s="6">
        <v>1.53</v>
      </c>
      <c r="Z3583" s="6">
        <v>2</v>
      </c>
      <c r="AA3583" s="8">
        <v>45352</v>
      </c>
      <c r="AB3583" s="4">
        <v>0.01</v>
      </c>
      <c r="AC3583" s="6">
        <v>10.18</v>
      </c>
      <c r="AD3583" s="6">
        <v>14.16</v>
      </c>
      <c r="AE3583" s="1">
        <v>0</v>
      </c>
      <c r="AF3583" s="1">
        <f ca="1">IFERROR(__xludf.DUMMYFUNCTION("IFERROR(GOOGLEFINANCE(TRIM(F3583)&amp;"":"" &amp; TRIM(B3583),""high52""),AE3583)"),716.5)</f>
        <v>716.5</v>
      </c>
      <c r="AG3583" s="1">
        <v>0</v>
      </c>
      <c r="AH3583" s="1">
        <f ca="1">IFERROR(__xludf.DUMMYFUNCTION("IFERROR(GOOGLEFINANCE(TRIM(F3583)&amp;"":"" &amp; TRIM(B3583),""low52""),AE3583)"),425.55)</f>
        <v>425.55</v>
      </c>
      <c r="AI3583" s="1">
        <f ca="1">IFERROR(__xludf.DUMMYFUNCTION("IFERROR(GOOGLEFINANCE(B3583,""eps""),0)"),53.52)</f>
        <v>53.52</v>
      </c>
      <c r="AJ3583" s="1"/>
      <c r="AK3583" s="12"/>
      <c r="AL3583" s="9">
        <f t="shared" si="340"/>
        <v>1</v>
      </c>
    </row>
    <row r="3584" spans="1:38" ht="15" x14ac:dyDescent="0.25">
      <c r="A3584" s="1" t="s">
        <v>10958</v>
      </c>
      <c r="B3584" s="1" t="s">
        <v>10959</v>
      </c>
      <c r="C3584" s="1" t="s">
        <v>1425</v>
      </c>
      <c r="D3584" s="1" t="s">
        <v>1425</v>
      </c>
      <c r="E3584" s="6">
        <v>631.32000000000005</v>
      </c>
      <c r="F3584" s="1" t="s">
        <v>40</v>
      </c>
      <c r="G3584" s="6">
        <f ca="1">IFERROR(__xludf.DUMMYFUNCTION("iferror(GOOGLEFINANCE(TRIM(F3584)&amp;"":"" &amp; TRIM(B3584), ""price""),0
)"),211.61)</f>
        <v>211.61</v>
      </c>
      <c r="H3584" s="6">
        <v>275</v>
      </c>
      <c r="I3584" s="6">
        <f t="shared" ca="1" si="0"/>
        <v>211.61</v>
      </c>
      <c r="J3584" s="6">
        <f ca="1">IFERROR(__xludf.DUMMYFUNCTION("IFERROR(GOOGLEFINANCE(B3584, ""volume""), 0)"),4154)</f>
        <v>4154</v>
      </c>
      <c r="K3584" s="6">
        <v>0.88</v>
      </c>
      <c r="L3584" s="6">
        <f ca="1">IFERROR(__xludf.DUMMYFUNCTION("IFERROR(GOOGLEFINANCE(B3584,""changepct""),K3584)"),-1.9)</f>
        <v>-1.9</v>
      </c>
      <c r="M3584" s="6">
        <f ca="1">IFERROR(__xludf.DUMMYFUNCTION("IFERROR(GOOGLEFINANCE(B3584,""change""),0)"),-4.1)</f>
        <v>-4.0999999999999996</v>
      </c>
      <c r="N3584" s="6">
        <v>1</v>
      </c>
      <c r="O3584" s="7">
        <v>45536</v>
      </c>
      <c r="P3584" s="9"/>
      <c r="Q3584" s="6">
        <v>618.38</v>
      </c>
      <c r="R3584" s="7">
        <v>45536</v>
      </c>
      <c r="S3584" s="6">
        <v>219.12</v>
      </c>
      <c r="T3584" s="6">
        <v>22.69</v>
      </c>
      <c r="U3584" s="7">
        <v>45536</v>
      </c>
      <c r="V3584" s="6">
        <v>27.82</v>
      </c>
      <c r="W3584" s="6">
        <f ca="1">IFERROR(__xludf.DUMMYFUNCTION("IFERROR(GOOGLEFINANCE(B3584,""pe""),V3584)"),21.23)</f>
        <v>21.23</v>
      </c>
      <c r="X3584" s="6">
        <v>36.61</v>
      </c>
      <c r="Y3584" s="6">
        <v>1.43</v>
      </c>
      <c r="Z3584" s="6">
        <v>1</v>
      </c>
      <c r="AA3584" s="13">
        <v>45352</v>
      </c>
      <c r="AB3584" s="4">
        <v>0</v>
      </c>
      <c r="AC3584" s="6">
        <v>6.8</v>
      </c>
      <c r="AD3584" s="6">
        <v>9.36</v>
      </c>
      <c r="AE3584" s="1">
        <v>0</v>
      </c>
      <c r="AF3584" s="1">
        <f ca="1">IFERROR(__xludf.DUMMYFUNCTION("IFERROR(GOOGLEFINANCE(TRIM(F3584)&amp;"":"" &amp; TRIM(B3584),""high52""),AE3584)"),269.25)</f>
        <v>269.25</v>
      </c>
      <c r="AG3584" s="1">
        <v>0</v>
      </c>
      <c r="AH3584" s="1">
        <f ca="1">IFERROR(__xludf.DUMMYFUNCTION("IFERROR(GOOGLEFINANCE(TRIM(F3584)&amp;"":"" &amp; TRIM(B3584),""low52""),AE3584)"),207.6)</f>
        <v>207.6</v>
      </c>
      <c r="AI3584" s="1">
        <f ca="1">IFERROR(__xludf.DUMMYFUNCTION("IFERROR(GOOGLEFINANCE(B3584,""eps""),0)"),9.97)</f>
        <v>9.9700000000000006</v>
      </c>
      <c r="AJ3584" s="1"/>
      <c r="AK3584" s="1" t="s">
        <v>10960</v>
      </c>
      <c r="AL3584" s="9">
        <f t="shared" si="340"/>
        <v>1</v>
      </c>
    </row>
    <row r="3585" spans="1:38" ht="15" x14ac:dyDescent="0.25">
      <c r="A3585" s="1" t="s">
        <v>10961</v>
      </c>
      <c r="B3585" s="1" t="s">
        <v>10962</v>
      </c>
      <c r="C3585" s="1" t="s">
        <v>135</v>
      </c>
      <c r="D3585" s="1" t="s">
        <v>135</v>
      </c>
      <c r="E3585" s="6">
        <v>65896.72</v>
      </c>
      <c r="F3585" s="1" t="s">
        <v>40</v>
      </c>
      <c r="G3585" s="6">
        <f ca="1">IFERROR(__xludf.DUMMYFUNCTION("iferror(GOOGLEFINANCE(TRIM(F3585)&amp;"":"" &amp; TRIM(B3585), ""price""),0
)"),2803)</f>
        <v>2803</v>
      </c>
      <c r="H3585" s="6">
        <v>2229</v>
      </c>
      <c r="I3585" s="6">
        <f t="shared" ca="1" si="0"/>
        <v>2803</v>
      </c>
      <c r="J3585" s="6">
        <f ca="1">IFERROR(__xludf.DUMMYFUNCTION("IFERROR(GOOGLEFINANCE(B3585, ""volume""), 0)"),149919)</f>
        <v>149919</v>
      </c>
      <c r="K3585" s="6">
        <v>0.19</v>
      </c>
      <c r="L3585" s="6">
        <f ca="1">IFERROR(__xludf.DUMMYFUNCTION("IFERROR(GOOGLEFINANCE(B3585,""changepct""),K3585)"),2.81)</f>
        <v>2.81</v>
      </c>
      <c r="M3585" s="6">
        <f ca="1">IFERROR(__xludf.DUMMYFUNCTION("IFERROR(GOOGLEFINANCE(B3585,""change""),0)"),76.5)</f>
        <v>76.5</v>
      </c>
      <c r="N3585" s="6">
        <v>2</v>
      </c>
      <c r="O3585" s="7">
        <v>45536</v>
      </c>
      <c r="P3585" s="6">
        <v>5149.16</v>
      </c>
      <c r="Q3585" s="6">
        <v>70891.37</v>
      </c>
      <c r="R3585" s="7">
        <v>45536</v>
      </c>
      <c r="S3585" s="6">
        <v>13511.2</v>
      </c>
      <c r="T3585" s="6">
        <v>1129.28</v>
      </c>
      <c r="U3585" s="7">
        <v>45536</v>
      </c>
      <c r="V3585" s="6">
        <v>58.35</v>
      </c>
      <c r="W3585" s="6">
        <f ca="1">IFERROR(__xludf.DUMMYFUNCTION("IFERROR(GOOGLEFINANCE(B3585,""pe""),V3585)"),46.7)</f>
        <v>46.7</v>
      </c>
      <c r="X3585" s="6">
        <v>3.7</v>
      </c>
      <c r="Y3585" s="6">
        <v>5.49</v>
      </c>
      <c r="Z3585" s="6">
        <v>2</v>
      </c>
      <c r="AA3585" s="8">
        <v>45352</v>
      </c>
      <c r="AB3585" s="4">
        <v>0.43</v>
      </c>
      <c r="AC3585" s="6">
        <v>12.27</v>
      </c>
      <c r="AD3585" s="6">
        <v>12.83</v>
      </c>
      <c r="AE3585" s="1">
        <v>0</v>
      </c>
      <c r="AF3585" s="1">
        <f ca="1">IFERROR(__xludf.DUMMYFUNCTION("IFERROR(GOOGLEFINANCE(TRIM(F3585)&amp;"":"" &amp; TRIM(B3585),""high52""),AE3585)"),3325)</f>
        <v>3325</v>
      </c>
      <c r="AG3585" s="1">
        <v>0</v>
      </c>
      <c r="AH3585" s="1">
        <f ca="1">IFERROR(__xludf.DUMMYFUNCTION("IFERROR(GOOGLEFINANCE(TRIM(F3585)&amp;"":"" &amp; TRIM(B3585),""low52""),AE3585)"),2570.2)</f>
        <v>2570.1999999999998</v>
      </c>
      <c r="AI3585" s="1">
        <f ca="1">IFERROR(__xludf.DUMMYFUNCTION("IFERROR(GOOGLEFINANCE(B3585,""eps""),0)"),60.02)</f>
        <v>60.02</v>
      </c>
      <c r="AJ3585" s="1"/>
      <c r="AK3585" s="1" t="s">
        <v>10963</v>
      </c>
      <c r="AL3585" s="9">
        <f t="shared" si="340"/>
        <v>1</v>
      </c>
    </row>
    <row r="3586" spans="1:38" ht="15" x14ac:dyDescent="0.25">
      <c r="A3586" s="1" t="s">
        <v>10964</v>
      </c>
      <c r="B3586" s="1" t="s">
        <v>10965</v>
      </c>
      <c r="C3586" s="1" t="s">
        <v>94</v>
      </c>
      <c r="D3586" s="1" t="s">
        <v>94</v>
      </c>
      <c r="E3586" s="6">
        <v>564.01</v>
      </c>
      <c r="F3586" s="1" t="s">
        <v>40</v>
      </c>
      <c r="G3586" s="6">
        <f ca="1">IFERROR(__xludf.DUMMYFUNCTION("iferror(GOOGLEFINANCE(TRIM(F3586)&amp;"":"" &amp; TRIM(B3586), ""price""),0
)"),282)</f>
        <v>282</v>
      </c>
      <c r="H3586" s="6">
        <v>393.1</v>
      </c>
      <c r="I3586" s="6">
        <f t="shared" ca="1" si="0"/>
        <v>282</v>
      </c>
      <c r="J3586" s="6">
        <f ca="1">IFERROR(__xludf.DUMMYFUNCTION("IFERROR(GOOGLEFINANCE(B3586, ""volume""), 0)"),1741)</f>
        <v>1741</v>
      </c>
      <c r="K3586" s="6">
        <v>-0.73</v>
      </c>
      <c r="L3586" s="6">
        <f ca="1">IFERROR(__xludf.DUMMYFUNCTION("IFERROR(GOOGLEFINANCE(B3586,""changepct""),K3586)"),0.25)</f>
        <v>0.25</v>
      </c>
      <c r="M3586" s="6">
        <f ca="1">IFERROR(__xludf.DUMMYFUNCTION("IFERROR(GOOGLEFINANCE(B3586,""change""),0)"),0.7)</f>
        <v>0.7</v>
      </c>
      <c r="N3586" s="6">
        <v>1</v>
      </c>
      <c r="O3586" s="7">
        <v>45536</v>
      </c>
      <c r="P3586" s="6">
        <v>23.86</v>
      </c>
      <c r="Q3586" s="7">
        <v>45536</v>
      </c>
      <c r="R3586" s="6">
        <v>23.64</v>
      </c>
      <c r="S3586" s="6">
        <v>3.14</v>
      </c>
      <c r="T3586" s="6">
        <v>2.78</v>
      </c>
      <c r="U3586" s="6">
        <v>1</v>
      </c>
      <c r="V3586" s="7">
        <v>45352</v>
      </c>
      <c r="W3586" s="6">
        <f ca="1">IFERROR(__xludf.DUMMYFUNCTION("IFERROR(GOOGLEFINANCE(B3586,""pe""),V3586)"),15.67)</f>
        <v>15.67</v>
      </c>
      <c r="X3586" s="6">
        <v>3.11</v>
      </c>
      <c r="Y3586" s="6">
        <v>14.59</v>
      </c>
      <c r="Z3586" s="6">
        <v>13.48</v>
      </c>
      <c r="AA3586" s="3" t="s">
        <v>10966</v>
      </c>
      <c r="AB3586" s="11"/>
      <c r="AC3586" s="9"/>
      <c r="AD3586" s="9"/>
      <c r="AE3586" s="1">
        <v>0</v>
      </c>
      <c r="AF3586" s="1">
        <f ca="1">IFERROR(__xludf.DUMMYFUNCTION("IFERROR(GOOGLEFINANCE(TRIM(F3586)&amp;"":"" &amp; TRIM(B3586),""high52""),AE3586)"),353.95)</f>
        <v>353.95</v>
      </c>
      <c r="AG3586" s="1">
        <v>0</v>
      </c>
      <c r="AH3586" s="1">
        <f ca="1">IFERROR(__xludf.DUMMYFUNCTION("IFERROR(GOOGLEFINANCE(TRIM(F3586)&amp;"":"" &amp; TRIM(B3586),""low52""),AE3586)"),255.1)</f>
        <v>255.1</v>
      </c>
      <c r="AI3586" s="1">
        <f ca="1">IFERROR(__xludf.DUMMYFUNCTION("IFERROR(GOOGLEFINANCE(B3586,""eps""),0)"),18)</f>
        <v>18</v>
      </c>
      <c r="AJ3586" s="1"/>
      <c r="AK3586" s="1" t="s">
        <v>10967</v>
      </c>
      <c r="AL3586" s="9">
        <f t="shared" si="340"/>
        <v>1</v>
      </c>
    </row>
    <row r="3587" spans="1:38" ht="15" x14ac:dyDescent="0.25">
      <c r="A3587" s="1" t="s">
        <v>10968</v>
      </c>
      <c r="B3587" s="1" t="s">
        <v>10969</v>
      </c>
      <c r="C3587" s="1" t="s">
        <v>801</v>
      </c>
      <c r="D3587" s="1" t="s">
        <v>801</v>
      </c>
      <c r="E3587" s="6">
        <v>22.39</v>
      </c>
      <c r="F3587" s="1" t="s">
        <v>53</v>
      </c>
      <c r="G3587" s="6">
        <f ca="1">IFERROR(__xludf.DUMMYFUNCTION("iferror(GOOGLEFINANCE(TRIM(F3587)&amp;"":"" &amp; TRIM(B3587), ""price""),0
)"),0)</f>
        <v>0</v>
      </c>
      <c r="H3587" s="6">
        <v>55.88</v>
      </c>
      <c r="I3587" s="6">
        <f t="shared" ca="1" si="0"/>
        <v>55.88</v>
      </c>
      <c r="J3587" s="6">
        <f ca="1">IFERROR(__xludf.DUMMYFUNCTION("IFERROR(GOOGLEFINANCE(B3587, ""volume""), 0)"),0)</f>
        <v>0</v>
      </c>
      <c r="K3587" s="6">
        <v>5</v>
      </c>
      <c r="L3587" s="6">
        <f ca="1">IFERROR(__xludf.DUMMYFUNCTION("IFERROR(GOOGLEFINANCE(B3587,""changepct""),K3587)"),5)</f>
        <v>5</v>
      </c>
      <c r="M3587" s="6">
        <f ca="1">IFERROR(__xludf.DUMMYFUNCTION("IFERROR(GOOGLEFINANCE(B3587,""change""),0)"),0)</f>
        <v>0</v>
      </c>
      <c r="N3587" s="6">
        <v>1</v>
      </c>
      <c r="O3587" s="7">
        <v>45536</v>
      </c>
      <c r="P3587" s="6">
        <v>17.59</v>
      </c>
      <c r="Q3587" s="6">
        <v>39.119999999999997</v>
      </c>
      <c r="R3587" s="7">
        <v>45536</v>
      </c>
      <c r="S3587" s="6">
        <v>86.08</v>
      </c>
      <c r="T3587" s="6">
        <v>0.71</v>
      </c>
      <c r="U3587" s="7">
        <v>45536</v>
      </c>
      <c r="V3587" s="6">
        <v>31.36</v>
      </c>
      <c r="W3587" s="6">
        <f ca="1">IFERROR(__xludf.DUMMYFUNCTION("IFERROR(GOOGLEFINANCE(B3587,""pe""),V3587)"),31.36)</f>
        <v>31.36</v>
      </c>
      <c r="X3587" s="6">
        <v>4.07</v>
      </c>
      <c r="Y3587" s="6">
        <v>1.59</v>
      </c>
      <c r="Z3587" s="6">
        <v>1</v>
      </c>
      <c r="AA3587" s="8">
        <v>45352</v>
      </c>
      <c r="AB3587" s="4">
        <v>1.35</v>
      </c>
      <c r="AC3587" s="6">
        <v>4.59</v>
      </c>
      <c r="AD3587" s="6">
        <v>8.6300000000000008</v>
      </c>
      <c r="AE3587" s="1">
        <v>0</v>
      </c>
      <c r="AF3587" s="1">
        <f ca="1">IFERROR(__xludf.DUMMYFUNCTION("IFERROR(GOOGLEFINANCE(TRIM(F3587)&amp;"":"" &amp; TRIM(B3587),""high52""),AE3587)"),0)</f>
        <v>0</v>
      </c>
      <c r="AG3587" s="1">
        <v>0</v>
      </c>
      <c r="AH3587" s="1">
        <f ca="1">IFERROR(__xludf.DUMMYFUNCTION("IFERROR(GOOGLEFINANCE(TRIM(F3587)&amp;"":"" &amp; TRIM(B3587),""low52""),AE3587)"),0)</f>
        <v>0</v>
      </c>
      <c r="AI3587" s="1">
        <f ca="1">IFERROR(__xludf.DUMMYFUNCTION("IFERROR(GOOGLEFINANCE(B3587,""eps""),0)"),0)</f>
        <v>0</v>
      </c>
      <c r="AJ3587" s="1"/>
      <c r="AK3587" s="1" t="s">
        <v>10970</v>
      </c>
      <c r="AL3587" s="9">
        <f t="shared" si="340"/>
        <v>1</v>
      </c>
    </row>
    <row r="3588" spans="1:38" ht="15" x14ac:dyDescent="0.25">
      <c r="A3588" s="1" t="s">
        <v>10971</v>
      </c>
      <c r="B3588" s="1" t="s">
        <v>10972</v>
      </c>
      <c r="C3588" s="1" t="s">
        <v>1229</v>
      </c>
      <c r="D3588" s="1" t="s">
        <v>1229</v>
      </c>
      <c r="E3588" s="6">
        <v>3564.91</v>
      </c>
      <c r="F3588" s="1" t="s">
        <v>40</v>
      </c>
      <c r="G3588" s="6">
        <f ca="1">IFERROR(__xludf.DUMMYFUNCTION("iferror(GOOGLEFINANCE(TRIM(F3588)&amp;"":"" &amp; TRIM(B3588), ""price""),0
)"),1646.2)</f>
        <v>1646.2</v>
      </c>
      <c r="H3588" s="6">
        <v>1348.15</v>
      </c>
      <c r="I3588" s="6">
        <f t="shared" ca="1" si="0"/>
        <v>1646.2</v>
      </c>
      <c r="J3588" s="6">
        <f ca="1">IFERROR(__xludf.DUMMYFUNCTION("IFERROR(GOOGLEFINANCE(B3588, ""volume""), 0)"),28461)</f>
        <v>28461</v>
      </c>
      <c r="K3588" s="6">
        <v>-5</v>
      </c>
      <c r="L3588" s="6">
        <f ca="1">IFERROR(__xludf.DUMMYFUNCTION("IFERROR(GOOGLEFINANCE(B3588,""changepct""),K3588)"),4.99)</f>
        <v>4.99</v>
      </c>
      <c r="M3588" s="6">
        <f ca="1">IFERROR(__xludf.DUMMYFUNCTION("IFERROR(GOOGLEFINANCE(B3588,""change""),0)"),78.3)</f>
        <v>78.3</v>
      </c>
      <c r="N3588" s="6">
        <v>2</v>
      </c>
      <c r="O3588" s="7">
        <v>45536</v>
      </c>
      <c r="P3588" s="6">
        <v>0</v>
      </c>
      <c r="Q3588" s="6">
        <v>3564.92</v>
      </c>
      <c r="R3588" s="7">
        <v>45536</v>
      </c>
      <c r="S3588" s="6">
        <v>5.12</v>
      </c>
      <c r="T3588" s="6">
        <v>-10.69</v>
      </c>
      <c r="U3588" s="7">
        <v>45536</v>
      </c>
      <c r="V3588" s="6">
        <v>0</v>
      </c>
      <c r="W3588" s="6">
        <f ca="1">IFERROR(__xludf.DUMMYFUNCTION("IFERROR(GOOGLEFINANCE(B3588,""pe""),V3588)"),0)</f>
        <v>0</v>
      </c>
      <c r="X3588" s="6">
        <v>0</v>
      </c>
      <c r="Y3588" s="6">
        <v>316.93</v>
      </c>
      <c r="Z3588" s="6">
        <v>2</v>
      </c>
      <c r="AA3588" s="8">
        <v>45352</v>
      </c>
      <c r="AB3588" s="4">
        <v>4.82</v>
      </c>
      <c r="AC3588" s="6">
        <v>0</v>
      </c>
      <c r="AD3588" s="6">
        <v>-28.65</v>
      </c>
      <c r="AE3588" s="1">
        <v>0</v>
      </c>
      <c r="AF3588" s="1">
        <f ca="1">IFERROR(__xludf.DUMMYFUNCTION("IFERROR(GOOGLEFINANCE(TRIM(F3588)&amp;"":"" &amp; TRIM(B3588),""high52""),AE3588)"),2247)</f>
        <v>2247</v>
      </c>
      <c r="AG3588" s="1">
        <v>0</v>
      </c>
      <c r="AH3588" s="1">
        <f ca="1">IFERROR(__xludf.DUMMYFUNCTION("IFERROR(GOOGLEFINANCE(TRIM(F3588)&amp;"":"" &amp; TRIM(B3588),""low52""),AE3588)"),352.6)</f>
        <v>352.6</v>
      </c>
      <c r="AI3588" s="1">
        <f ca="1">IFERROR(__xludf.DUMMYFUNCTION("IFERROR(GOOGLEFINANCE(B3588,""eps""),0)"),-4.03)</f>
        <v>-4.03</v>
      </c>
      <c r="AJ3588" s="1"/>
      <c r="AK3588" s="1" t="s">
        <v>10973</v>
      </c>
      <c r="AL3588" s="9">
        <f t="shared" si="340"/>
        <v>1</v>
      </c>
    </row>
    <row r="3589" spans="1:38" ht="15" x14ac:dyDescent="0.25">
      <c r="A3589" s="1" t="s">
        <v>10974</v>
      </c>
      <c r="B3589" s="1" t="s">
        <v>10975</v>
      </c>
      <c r="C3589" s="1" t="s">
        <v>410</v>
      </c>
      <c r="D3589" s="1" t="s">
        <v>410</v>
      </c>
      <c r="E3589" s="6">
        <v>42.07</v>
      </c>
      <c r="F3589" s="1" t="s">
        <v>40</v>
      </c>
      <c r="G3589" s="6">
        <f ca="1">IFERROR(__xludf.DUMMYFUNCTION("iferror(GOOGLEFINANCE(TRIM(F3589)&amp;"":"" &amp; TRIM(B3589), ""price""),0
)"),1.68)</f>
        <v>1.68</v>
      </c>
      <c r="H3589" s="6">
        <v>2.81</v>
      </c>
      <c r="I3589" s="6">
        <f t="shared" ca="1" si="0"/>
        <v>1.68</v>
      </c>
      <c r="J3589" s="6">
        <f ca="1">IFERROR(__xludf.DUMMYFUNCTION("IFERROR(GOOGLEFINANCE(B3589, ""volume""), 0)"),28354)</f>
        <v>28354</v>
      </c>
      <c r="K3589" s="6">
        <v>2.93</v>
      </c>
      <c r="L3589" s="6">
        <f ca="1">IFERROR(__xludf.DUMMYFUNCTION("IFERROR(GOOGLEFINANCE(B3589,""changepct""),K3589)"),-4.55)</f>
        <v>-4.55</v>
      </c>
      <c r="M3589" s="6">
        <f ca="1">IFERROR(__xludf.DUMMYFUNCTION("IFERROR(GOOGLEFINANCE(B3589,""change""),0)"),-0.08)</f>
        <v>-0.08</v>
      </c>
      <c r="N3589" s="6">
        <v>1</v>
      </c>
      <c r="O3589" s="7">
        <v>45536</v>
      </c>
      <c r="P3589" s="6">
        <v>5.12</v>
      </c>
      <c r="Q3589" s="6">
        <v>45.66</v>
      </c>
      <c r="R3589" s="7">
        <v>45536</v>
      </c>
      <c r="S3589" s="6">
        <v>14.4</v>
      </c>
      <c r="T3589" s="6">
        <v>-4.47</v>
      </c>
      <c r="U3589" s="7">
        <v>45536</v>
      </c>
      <c r="V3589" s="6">
        <v>0</v>
      </c>
      <c r="W3589" s="6">
        <f ca="1">IFERROR(__xludf.DUMMYFUNCTION("IFERROR(GOOGLEFINANCE(B3589,""pe""),V3589)"),0)</f>
        <v>0</v>
      </c>
      <c r="X3589" s="9"/>
      <c r="Y3589" s="6">
        <v>-8.25</v>
      </c>
      <c r="Z3589" s="6">
        <v>1</v>
      </c>
      <c r="AA3589" s="8">
        <v>45352</v>
      </c>
      <c r="AB3589" s="4">
        <v>0.15</v>
      </c>
      <c r="AC3589" s="6">
        <v>-14.53</v>
      </c>
      <c r="AD3589" s="6">
        <v>4.32</v>
      </c>
      <c r="AE3589" s="1">
        <v>0</v>
      </c>
      <c r="AF3589" s="1">
        <f ca="1">IFERROR(__xludf.DUMMYFUNCTION("IFERROR(GOOGLEFINANCE(TRIM(F3589)&amp;"":"" &amp; TRIM(B3589),""high52""),AE3589)"),3.05)</f>
        <v>3.05</v>
      </c>
      <c r="AG3589" s="1">
        <v>0</v>
      </c>
      <c r="AH3589" s="1">
        <f ca="1">IFERROR(__xludf.DUMMYFUNCTION("IFERROR(GOOGLEFINANCE(TRIM(F3589)&amp;"":"" &amp; TRIM(B3589),""low52""),AE3589)"),1.42)</f>
        <v>1.42</v>
      </c>
      <c r="AI3589" s="1">
        <f ca="1">IFERROR(__xludf.DUMMYFUNCTION("IFERROR(GOOGLEFINANCE(B3589,""eps""),0)"),-0.2)</f>
        <v>-0.2</v>
      </c>
      <c r="AJ3589" s="1"/>
      <c r="AK3589" s="1" t="s">
        <v>10976</v>
      </c>
      <c r="AL3589" s="9">
        <f t="shared" si="340"/>
        <v>1</v>
      </c>
    </row>
    <row r="3590" spans="1:38" ht="15" x14ac:dyDescent="0.25">
      <c r="A3590" s="1" t="s">
        <v>10977</v>
      </c>
      <c r="B3590" s="1" t="s">
        <v>10978</v>
      </c>
      <c r="C3590" s="1" t="s">
        <v>324</v>
      </c>
      <c r="D3590" s="1" t="s">
        <v>324</v>
      </c>
      <c r="E3590" s="6">
        <v>184.65</v>
      </c>
      <c r="F3590" s="1" t="s">
        <v>40</v>
      </c>
      <c r="G3590" s="6">
        <f ca="1">IFERROR(__xludf.DUMMYFUNCTION("iferror(GOOGLEFINANCE(TRIM(F3590)&amp;"":"" &amp; TRIM(B3590), ""price""),0
)"),0)</f>
        <v>0</v>
      </c>
      <c r="H3590" s="6">
        <v>215.45</v>
      </c>
      <c r="I3590" s="6">
        <f t="shared" ca="1" si="0"/>
        <v>215.45</v>
      </c>
      <c r="J3590" s="6">
        <f ca="1">IFERROR(__xludf.DUMMYFUNCTION("IFERROR(GOOGLEFINANCE(B3590, ""volume""), 0)"),0)</f>
        <v>0</v>
      </c>
      <c r="K3590" s="6">
        <v>0</v>
      </c>
      <c r="L3590" s="6">
        <f ca="1">IFERROR(__xludf.DUMMYFUNCTION("IFERROR(GOOGLEFINANCE(B3590,""changepct""),K3590)"),0)</f>
        <v>0</v>
      </c>
      <c r="M3590" s="6">
        <f ca="1">IFERROR(__xludf.DUMMYFUNCTION("IFERROR(GOOGLEFINANCE(B3590,""change""),0)"),0)</f>
        <v>0</v>
      </c>
      <c r="N3590" s="6">
        <v>1</v>
      </c>
      <c r="O3590" s="7">
        <v>45536</v>
      </c>
      <c r="P3590" s="6">
        <v>20.13</v>
      </c>
      <c r="Q3590" s="6">
        <v>204.78</v>
      </c>
      <c r="R3590" s="7">
        <v>45352</v>
      </c>
      <c r="S3590" s="6">
        <v>78.28</v>
      </c>
      <c r="T3590" s="6">
        <v>7.03</v>
      </c>
      <c r="U3590" s="7">
        <v>45352</v>
      </c>
      <c r="V3590" s="6">
        <v>26.25</v>
      </c>
      <c r="W3590" s="6">
        <f ca="1">IFERROR(__xludf.DUMMYFUNCTION("IFERROR(GOOGLEFINANCE(B3590,""pe""),V3590)"),26.25)</f>
        <v>26.25</v>
      </c>
      <c r="X3590" s="9"/>
      <c r="Y3590" s="6">
        <v>3.77</v>
      </c>
      <c r="Z3590" s="6">
        <v>2</v>
      </c>
      <c r="AA3590" s="8">
        <v>45352</v>
      </c>
      <c r="AB3590" s="4">
        <v>0.8</v>
      </c>
      <c r="AC3590" s="6">
        <v>29.32</v>
      </c>
      <c r="AD3590" s="6">
        <v>27.58</v>
      </c>
      <c r="AE3590" s="1">
        <v>0</v>
      </c>
      <c r="AF3590" s="1">
        <f ca="1">IFERROR(__xludf.DUMMYFUNCTION("IFERROR(GOOGLEFINANCE(TRIM(F3590)&amp;"":"" &amp; TRIM(B3590),""high52""),AE3590)"),0)</f>
        <v>0</v>
      </c>
      <c r="AG3590" s="1">
        <v>0</v>
      </c>
      <c r="AH3590" s="1">
        <f ca="1">IFERROR(__xludf.DUMMYFUNCTION("IFERROR(GOOGLEFINANCE(TRIM(F3590)&amp;"":"" &amp; TRIM(B3590),""low52""),AE3590)"),0)</f>
        <v>0</v>
      </c>
      <c r="AI3590" s="1">
        <f ca="1">IFERROR(__xludf.DUMMYFUNCTION("IFERROR(GOOGLEFINANCE(B3590,""eps""),0)"),0)</f>
        <v>0</v>
      </c>
      <c r="AJ3590" s="1"/>
      <c r="AK3590" s="1" t="s">
        <v>10979</v>
      </c>
      <c r="AL3590" s="9">
        <f t="shared" si="340"/>
        <v>1</v>
      </c>
    </row>
    <row r="3591" spans="1:38" ht="15" x14ac:dyDescent="0.25">
      <c r="A3591" s="1" t="s">
        <v>10980</v>
      </c>
      <c r="B3591" s="1" t="s">
        <v>10981</v>
      </c>
      <c r="C3591" s="1" t="s">
        <v>82</v>
      </c>
      <c r="D3591" s="1" t="s">
        <v>82</v>
      </c>
      <c r="E3591" s="6">
        <v>144.58000000000001</v>
      </c>
      <c r="F3591" s="1" t="s">
        <v>40</v>
      </c>
      <c r="G3591" s="6">
        <f ca="1">IFERROR(__xludf.DUMMYFUNCTION("iferror(GOOGLEFINANCE(TRIM(F3591)&amp;"":"" &amp; TRIM(B3591), ""price""),0
)"),0)</f>
        <v>0</v>
      </c>
      <c r="H3591" s="6">
        <v>104</v>
      </c>
      <c r="I3591" s="6">
        <f t="shared" ca="1" si="0"/>
        <v>104</v>
      </c>
      <c r="J3591" s="6">
        <f ca="1">IFERROR(__xludf.DUMMYFUNCTION("IFERROR(GOOGLEFINANCE(B3591, ""volume""), 0)"),0)</f>
        <v>0</v>
      </c>
      <c r="K3591" s="6">
        <v>1.96</v>
      </c>
      <c r="L3591" s="6">
        <f ca="1">IFERROR(__xludf.DUMMYFUNCTION("IFERROR(GOOGLEFINANCE(B3591,""changepct""),K3591)"),1.96)</f>
        <v>1.96</v>
      </c>
      <c r="M3591" s="6">
        <f ca="1">IFERROR(__xludf.DUMMYFUNCTION("IFERROR(GOOGLEFINANCE(B3591,""change""),0)"),0)</f>
        <v>0</v>
      </c>
      <c r="N3591" s="6">
        <v>1</v>
      </c>
      <c r="O3591" s="7">
        <v>45536</v>
      </c>
      <c r="P3591" s="6">
        <v>1.45</v>
      </c>
      <c r="Q3591" s="6">
        <v>146.02000000000001</v>
      </c>
      <c r="R3591" s="7">
        <v>45352</v>
      </c>
      <c r="S3591" s="6">
        <v>77.33</v>
      </c>
      <c r="T3591" s="6">
        <v>5.15</v>
      </c>
      <c r="U3591" s="7">
        <v>45352</v>
      </c>
      <c r="V3591" s="6">
        <v>28.09</v>
      </c>
      <c r="W3591" s="6">
        <f ca="1">IFERROR(__xludf.DUMMYFUNCTION("IFERROR(GOOGLEFINANCE(B3591,""pe""),V3591)"),28.09)</f>
        <v>28.09</v>
      </c>
      <c r="X3591" s="12"/>
      <c r="Y3591" s="6">
        <v>4.2699999999999996</v>
      </c>
      <c r="Z3591" s="6">
        <v>1</v>
      </c>
      <c r="AA3591" s="8">
        <v>45352</v>
      </c>
      <c r="AB3591" s="4">
        <v>7.0000000000000007E-2</v>
      </c>
      <c r="AC3591" s="6">
        <v>16.440000000000001</v>
      </c>
      <c r="AD3591" s="6">
        <v>21.69</v>
      </c>
      <c r="AE3591" s="1">
        <v>0</v>
      </c>
      <c r="AF3591" s="1">
        <f ca="1">IFERROR(__xludf.DUMMYFUNCTION("IFERROR(GOOGLEFINANCE(TRIM(F3591)&amp;"":"" &amp; TRIM(B3591),""high52""),AE3591)"),0)</f>
        <v>0</v>
      </c>
      <c r="AG3591" s="1">
        <v>0</v>
      </c>
      <c r="AH3591" s="1">
        <f ca="1">IFERROR(__xludf.DUMMYFUNCTION("IFERROR(GOOGLEFINANCE(TRIM(F3591)&amp;"":"" &amp; TRIM(B3591),""low52""),AE3591)"),0)</f>
        <v>0</v>
      </c>
      <c r="AI3591" s="1">
        <f ca="1">IFERROR(__xludf.DUMMYFUNCTION("IFERROR(GOOGLEFINANCE(B3591,""eps""),0)"),0)</f>
        <v>0</v>
      </c>
      <c r="AJ3591" s="1"/>
      <c r="AK3591" s="1" t="s">
        <v>10982</v>
      </c>
      <c r="AL3591" s="9">
        <f t="shared" si="340"/>
        <v>1</v>
      </c>
    </row>
    <row r="3592" spans="1:38" ht="15" x14ac:dyDescent="0.25">
      <c r="A3592" s="1" t="s">
        <v>10983</v>
      </c>
      <c r="B3592" s="1" t="s">
        <v>10984</v>
      </c>
      <c r="C3592" s="1" t="s">
        <v>2152</v>
      </c>
      <c r="D3592" s="1" t="s">
        <v>2152</v>
      </c>
      <c r="E3592" s="6">
        <v>100.66</v>
      </c>
      <c r="F3592" s="1" t="s">
        <v>53</v>
      </c>
      <c r="G3592" s="6">
        <f ca="1">IFERROR(__xludf.DUMMYFUNCTION("iferror(GOOGLEFINANCE(TRIM(F3592)&amp;"":"" &amp; TRIM(B3592), ""price""),0
)"),0)</f>
        <v>0</v>
      </c>
      <c r="H3592" s="6">
        <v>41.47</v>
      </c>
      <c r="I3592" s="6">
        <f t="shared" ca="1" si="0"/>
        <v>41.47</v>
      </c>
      <c r="J3592" s="6">
        <f ca="1">IFERROR(__xludf.DUMMYFUNCTION("IFERROR(GOOGLEFINANCE(B3592, ""volume""), 0)"),0)</f>
        <v>0</v>
      </c>
      <c r="K3592" s="6">
        <v>0.83</v>
      </c>
      <c r="L3592" s="6">
        <f ca="1">IFERROR(__xludf.DUMMYFUNCTION("IFERROR(GOOGLEFINANCE(B3592,""changepct""),K3592)"),0)</f>
        <v>0</v>
      </c>
      <c r="M3592" s="6">
        <f ca="1">IFERROR(__xludf.DUMMYFUNCTION("IFERROR(GOOGLEFINANCE(B3592,""change""),0)"),0)</f>
        <v>0</v>
      </c>
      <c r="N3592" s="6">
        <v>1</v>
      </c>
      <c r="O3592" s="7">
        <v>45536</v>
      </c>
      <c r="P3592" s="6">
        <v>20.68</v>
      </c>
      <c r="Q3592" s="6">
        <v>121.34</v>
      </c>
      <c r="R3592" s="7">
        <v>45536</v>
      </c>
      <c r="S3592" s="6">
        <v>368.32</v>
      </c>
      <c r="T3592" s="6">
        <v>5.59</v>
      </c>
      <c r="U3592" s="7">
        <v>45536</v>
      </c>
      <c r="V3592" s="6">
        <v>18.010000000000002</v>
      </c>
      <c r="W3592" s="6">
        <f ca="1">IFERROR(__xludf.DUMMYFUNCTION("IFERROR(GOOGLEFINANCE(B3592,""pe""),V3592)"),18.01)</f>
        <v>18.010000000000002</v>
      </c>
      <c r="X3592" s="6">
        <v>0.69</v>
      </c>
      <c r="Y3592" s="6">
        <v>1.1000000000000001</v>
      </c>
      <c r="Z3592" s="6">
        <v>1</v>
      </c>
      <c r="AA3592" s="8">
        <v>45352</v>
      </c>
      <c r="AB3592" s="4">
        <v>0.35</v>
      </c>
      <c r="AC3592" s="6">
        <v>10.39</v>
      </c>
      <c r="AD3592" s="6">
        <v>11.66</v>
      </c>
      <c r="AE3592" s="1">
        <v>0</v>
      </c>
      <c r="AF3592" s="1">
        <f ca="1">IFERROR(__xludf.DUMMYFUNCTION("IFERROR(GOOGLEFINANCE(TRIM(F3592)&amp;"":"" &amp; TRIM(B3592),""high52""),AE3592)"),0)</f>
        <v>0</v>
      </c>
      <c r="AG3592" s="1">
        <v>0</v>
      </c>
      <c r="AH3592" s="1">
        <f ca="1">IFERROR(__xludf.DUMMYFUNCTION("IFERROR(GOOGLEFINANCE(TRIM(F3592)&amp;"":"" &amp; TRIM(B3592),""low52""),AE3592)"),0)</f>
        <v>0</v>
      </c>
      <c r="AI3592" s="1">
        <f ca="1">IFERROR(__xludf.DUMMYFUNCTION("IFERROR(GOOGLEFINANCE(B3592,""eps""),0)"),-0.02)</f>
        <v>-0.02</v>
      </c>
      <c r="AJ3592" s="1"/>
      <c r="AK3592" s="1" t="s">
        <v>10985</v>
      </c>
      <c r="AL3592" s="9">
        <f t="shared" si="340"/>
        <v>1</v>
      </c>
    </row>
    <row r="3593" spans="1:38" ht="15" x14ac:dyDescent="0.25">
      <c r="A3593" s="1" t="s">
        <v>10986</v>
      </c>
      <c r="B3593" s="1" t="s">
        <v>10987</v>
      </c>
      <c r="C3593" s="1" t="s">
        <v>86</v>
      </c>
      <c r="D3593" s="1" t="s">
        <v>86</v>
      </c>
      <c r="E3593" s="6">
        <v>905.61</v>
      </c>
      <c r="F3593" s="1" t="s">
        <v>40</v>
      </c>
      <c r="G3593" s="6">
        <f ca="1">IFERROR(__xludf.DUMMYFUNCTION("iferror(GOOGLEFINANCE(TRIM(F3593)&amp;"":"" &amp; TRIM(B3593), ""price""),0
)"),435)</f>
        <v>435</v>
      </c>
      <c r="H3593" s="6">
        <v>396.6</v>
      </c>
      <c r="I3593" s="6">
        <f t="shared" ca="1" si="0"/>
        <v>435</v>
      </c>
      <c r="J3593" s="6">
        <f ca="1">IFERROR(__xludf.DUMMYFUNCTION("IFERROR(GOOGLEFINANCE(B3593, ""volume""), 0)"),503)</f>
        <v>503</v>
      </c>
      <c r="K3593" s="6">
        <v>0.46</v>
      </c>
      <c r="L3593" s="6">
        <f ca="1">IFERROR(__xludf.DUMMYFUNCTION("IFERROR(GOOGLEFINANCE(B3593,""changepct""),K3593)"),-9.59)</f>
        <v>-9.59</v>
      </c>
      <c r="M3593" s="6">
        <f ca="1">IFERROR(__xludf.DUMMYFUNCTION("IFERROR(GOOGLEFINANCE(B3593,""change""),0)"),-2.42)</f>
        <v>-2.42</v>
      </c>
      <c r="N3593" s="6">
        <v>2</v>
      </c>
      <c r="O3593" s="7">
        <v>45536</v>
      </c>
      <c r="P3593" s="6">
        <v>36.979999999999997</v>
      </c>
      <c r="Q3593" s="6">
        <v>942.59</v>
      </c>
      <c r="R3593" s="7">
        <v>45352</v>
      </c>
      <c r="S3593" s="6">
        <v>342.42</v>
      </c>
      <c r="T3593" s="6">
        <v>26.96</v>
      </c>
      <c r="U3593" s="7">
        <v>45352</v>
      </c>
      <c r="V3593" s="6">
        <v>33.58</v>
      </c>
      <c r="W3593" s="6">
        <f ca="1">IFERROR(__xludf.DUMMYFUNCTION("IFERROR(GOOGLEFINANCE(B3593,""pe""),V3593)"),33.58)</f>
        <v>33.58</v>
      </c>
      <c r="X3593" s="9"/>
      <c r="Y3593" s="6">
        <v>3.84</v>
      </c>
      <c r="Z3593" s="6">
        <v>2</v>
      </c>
      <c r="AA3593" s="8">
        <v>45352</v>
      </c>
      <c r="AB3593" s="4">
        <v>0.53</v>
      </c>
      <c r="AC3593" s="6">
        <v>35.14</v>
      </c>
      <c r="AD3593" s="6">
        <v>28.07</v>
      </c>
      <c r="AE3593" s="1">
        <v>0</v>
      </c>
      <c r="AF3593" s="1">
        <f ca="1">IFERROR(__xludf.DUMMYFUNCTION("IFERROR(GOOGLEFINANCE(TRIM(F3593)&amp;"":"" &amp; TRIM(B3593),""high52""),AE3593)"),649.95)</f>
        <v>649.95000000000005</v>
      </c>
      <c r="AG3593" s="1">
        <v>0</v>
      </c>
      <c r="AH3593" s="1">
        <f ca="1">IFERROR(__xludf.DUMMYFUNCTION("IFERROR(GOOGLEFINANCE(TRIM(F3593)&amp;"":"" &amp; TRIM(B3593),""low52""),AE3593)"),287.05)</f>
        <v>287.05</v>
      </c>
      <c r="AI3593" s="1">
        <f ca="1">IFERROR(__xludf.DUMMYFUNCTION("IFERROR(GOOGLEFINANCE(B3593,""eps""),0)"),0)</f>
        <v>0</v>
      </c>
      <c r="AJ3593" s="1"/>
      <c r="AK3593" s="1" t="s">
        <v>10988</v>
      </c>
      <c r="AL3593" s="9">
        <f t="shared" si="340"/>
        <v>1</v>
      </c>
    </row>
    <row r="3594" spans="1:38" ht="15" x14ac:dyDescent="0.25">
      <c r="A3594" s="1" t="s">
        <v>10989</v>
      </c>
      <c r="B3594" s="1" t="s">
        <v>10990</v>
      </c>
      <c r="C3594" s="1" t="s">
        <v>227</v>
      </c>
      <c r="D3594" s="1" t="s">
        <v>227</v>
      </c>
      <c r="E3594" s="6">
        <v>180.96</v>
      </c>
      <c r="F3594" s="1" t="s">
        <v>40</v>
      </c>
      <c r="G3594" s="6">
        <f ca="1">IFERROR(__xludf.DUMMYFUNCTION("iferror(GOOGLEFINANCE(TRIM(F3594)&amp;"":"" &amp; TRIM(B3594), ""price""),0
)"),14.08)</f>
        <v>14.08</v>
      </c>
      <c r="H3594" s="6">
        <v>28.19</v>
      </c>
      <c r="I3594" s="6">
        <f t="shared" ca="1" si="0"/>
        <v>14.08</v>
      </c>
      <c r="J3594" s="6">
        <f ca="1">IFERROR(__xludf.DUMMYFUNCTION("IFERROR(GOOGLEFINANCE(B3594, ""volume""), 0)"),47724)</f>
        <v>47724</v>
      </c>
      <c r="K3594" s="6">
        <v>0.43</v>
      </c>
      <c r="L3594" s="6">
        <f ca="1">IFERROR(__xludf.DUMMYFUNCTION("IFERROR(GOOGLEFINANCE(B3594,""changepct""),K3594)"),-14.78)</f>
        <v>-14.78</v>
      </c>
      <c r="M3594" s="6">
        <f ca="1">IFERROR(__xludf.DUMMYFUNCTION("IFERROR(GOOGLEFINANCE(B3594,""change""),0)"),-16.36)</f>
        <v>-16.36</v>
      </c>
      <c r="N3594" s="6">
        <v>2</v>
      </c>
      <c r="O3594" s="7">
        <v>45536</v>
      </c>
      <c r="P3594" s="6">
        <v>14.33</v>
      </c>
      <c r="Q3594" s="6">
        <v>192.71</v>
      </c>
      <c r="R3594" s="7">
        <v>45536</v>
      </c>
      <c r="S3594" s="6">
        <v>23.55</v>
      </c>
      <c r="T3594" s="6">
        <v>3.92</v>
      </c>
      <c r="U3594" s="7">
        <v>45536</v>
      </c>
      <c r="V3594" s="6">
        <v>46.16</v>
      </c>
      <c r="W3594" s="6">
        <f ca="1">IFERROR(__xludf.DUMMYFUNCTION("IFERROR(GOOGLEFINANCE(B3594,""pe""),V3594)"),46.16)</f>
        <v>46.16</v>
      </c>
      <c r="X3594" s="6">
        <v>3.12</v>
      </c>
      <c r="Y3594" s="6">
        <v>1.4</v>
      </c>
      <c r="Z3594" s="6">
        <v>2</v>
      </c>
      <c r="AA3594" s="17">
        <v>45352</v>
      </c>
      <c r="AB3594" s="18">
        <v>0.15</v>
      </c>
      <c r="AC3594" s="6">
        <v>-0.09</v>
      </c>
      <c r="AD3594" s="6">
        <v>-1.56</v>
      </c>
      <c r="AE3594" s="1">
        <v>0</v>
      </c>
      <c r="AF3594" s="1">
        <f ca="1">IFERROR(__xludf.DUMMYFUNCTION("IFERROR(GOOGLEFINANCE(TRIM(F3594)&amp;"":"" &amp; TRIM(B3594),""high52""),AE3594)"),26.9)</f>
        <v>26.9</v>
      </c>
      <c r="AG3594" s="1">
        <v>0</v>
      </c>
      <c r="AH3594" s="1">
        <f ca="1">IFERROR(__xludf.DUMMYFUNCTION("IFERROR(GOOGLEFINANCE(TRIM(F3594)&amp;"":"" &amp; TRIM(B3594),""low52""),AE3594)"),13.32)</f>
        <v>13.32</v>
      </c>
      <c r="AI3594" s="1">
        <f ca="1">IFERROR(__xludf.DUMMYFUNCTION("IFERROR(GOOGLEFINANCE(B3594,""eps""),0)"),0)</f>
        <v>0</v>
      </c>
      <c r="AJ3594" s="1"/>
      <c r="AK3594" s="1" t="s">
        <v>10991</v>
      </c>
      <c r="AL3594" s="9">
        <f t="shared" si="340"/>
        <v>1</v>
      </c>
    </row>
    <row r="3595" spans="1:38" ht="15" x14ac:dyDescent="0.25">
      <c r="A3595" s="1" t="s">
        <v>10992</v>
      </c>
      <c r="B3595" s="1" t="s">
        <v>10993</v>
      </c>
      <c r="C3595" s="1" t="s">
        <v>231</v>
      </c>
      <c r="D3595" s="1" t="s">
        <v>231</v>
      </c>
      <c r="E3595" s="6">
        <v>211.7</v>
      </c>
      <c r="F3595" s="1" t="s">
        <v>53</v>
      </c>
      <c r="G3595" s="6">
        <f ca="1">IFERROR(__xludf.DUMMYFUNCTION("iferror(GOOGLEFINANCE(TRIM(F3595)&amp;"":"" &amp; TRIM(B3595), ""price""),0
)"),0)</f>
        <v>0</v>
      </c>
      <c r="H3595" s="6">
        <v>3.98</v>
      </c>
      <c r="I3595" s="6">
        <f t="shared" ca="1" si="0"/>
        <v>3.98</v>
      </c>
      <c r="J3595" s="6">
        <f ca="1">IFERROR(__xludf.DUMMYFUNCTION("IFERROR(GOOGLEFINANCE(B3595, ""volume""), 0)"),0)</f>
        <v>0</v>
      </c>
      <c r="K3595" s="6">
        <v>1.27</v>
      </c>
      <c r="L3595" s="6">
        <f ca="1">IFERROR(__xludf.DUMMYFUNCTION("IFERROR(GOOGLEFINANCE(B3595,""changepct""),K3595)"),1.27)</f>
        <v>1.27</v>
      </c>
      <c r="M3595" s="6">
        <f ca="1">IFERROR(__xludf.DUMMYFUNCTION("IFERROR(GOOGLEFINANCE(B3595,""change""),0)"),0)</f>
        <v>0</v>
      </c>
      <c r="N3595" s="6">
        <v>1</v>
      </c>
      <c r="O3595" s="7">
        <v>45352</v>
      </c>
      <c r="P3595" s="6">
        <v>30.3</v>
      </c>
      <c r="Q3595" s="6">
        <v>242</v>
      </c>
      <c r="R3595" s="7">
        <v>45444</v>
      </c>
      <c r="S3595" s="6">
        <v>425.9</v>
      </c>
      <c r="T3595" s="6">
        <v>22.3</v>
      </c>
      <c r="U3595" s="7">
        <v>45444</v>
      </c>
      <c r="V3595" s="6">
        <v>9.49</v>
      </c>
      <c r="W3595" s="6">
        <f ca="1">IFERROR(__xludf.DUMMYFUNCTION("IFERROR(GOOGLEFINANCE(B3595,""pe""),V3595)"),9.49)</f>
        <v>9.49</v>
      </c>
      <c r="X3595" s="6">
        <v>0.03</v>
      </c>
      <c r="Y3595" s="6">
        <v>1.58</v>
      </c>
      <c r="Z3595" s="6">
        <v>1</v>
      </c>
      <c r="AA3595" s="8">
        <v>44986</v>
      </c>
      <c r="AB3595" s="4">
        <v>0.46</v>
      </c>
      <c r="AC3595" s="6">
        <v>26.04</v>
      </c>
      <c r="AD3595" s="6">
        <v>28.4</v>
      </c>
      <c r="AE3595" s="1">
        <v>0</v>
      </c>
      <c r="AF3595" s="1">
        <f ca="1">IFERROR(__xludf.DUMMYFUNCTION("IFERROR(GOOGLEFINANCE(TRIM(F3595)&amp;"":"" &amp; TRIM(B3595),""high52""),AE3595)"),0)</f>
        <v>0</v>
      </c>
      <c r="AG3595" s="1">
        <v>0</v>
      </c>
      <c r="AH3595" s="1">
        <f ca="1">IFERROR(__xludf.DUMMYFUNCTION("IFERROR(GOOGLEFINANCE(TRIM(F3595)&amp;"":"" &amp; TRIM(B3595),""low52""),AE3595)"),0)</f>
        <v>0</v>
      </c>
      <c r="AI3595" s="1">
        <f ca="1">IFERROR(__xludf.DUMMYFUNCTION("IFERROR(GOOGLEFINANCE(B3595,""eps""),0)"),0)</f>
        <v>0</v>
      </c>
      <c r="AJ3595" s="1"/>
      <c r="AK3595" s="9"/>
      <c r="AL3595" s="9">
        <f t="shared" si="340"/>
        <v>1</v>
      </c>
    </row>
    <row r="3596" spans="1:38" ht="15" x14ac:dyDescent="0.25">
      <c r="A3596" s="1" t="s">
        <v>10994</v>
      </c>
      <c r="B3596" s="1" t="s">
        <v>10995</v>
      </c>
      <c r="C3596" s="1" t="s">
        <v>231</v>
      </c>
      <c r="D3596" s="1" t="s">
        <v>231</v>
      </c>
      <c r="E3596" s="6">
        <v>105.69</v>
      </c>
      <c r="F3596" s="1" t="s">
        <v>53</v>
      </c>
      <c r="G3596" s="6">
        <f ca="1">IFERROR(__xludf.DUMMYFUNCTION("iferror(GOOGLEFINANCE(TRIM(F3596)&amp;"":"" &amp; TRIM(B3596), ""price""),0
)"),0)</f>
        <v>0</v>
      </c>
      <c r="H3596" s="6">
        <v>29.99</v>
      </c>
      <c r="I3596" s="6">
        <f t="shared" ca="1" si="0"/>
        <v>29.99</v>
      </c>
      <c r="J3596" s="6">
        <f ca="1">IFERROR(__xludf.DUMMYFUNCTION("IFERROR(GOOGLEFINANCE(B3596, ""volume""), 0)"),0)</f>
        <v>0</v>
      </c>
      <c r="K3596" s="6">
        <v>3.02</v>
      </c>
      <c r="L3596" s="6">
        <f ca="1">IFERROR(__xludf.DUMMYFUNCTION("IFERROR(GOOGLEFINANCE(B3596,""changepct""),K3596)"),3.02)</f>
        <v>3.02</v>
      </c>
      <c r="M3596" s="6">
        <f ca="1">IFERROR(__xludf.DUMMYFUNCTION("IFERROR(GOOGLEFINANCE(B3596,""change""),0)"),0)</f>
        <v>0</v>
      </c>
      <c r="N3596" s="6">
        <v>1</v>
      </c>
      <c r="O3596" s="7">
        <v>45536</v>
      </c>
      <c r="P3596" s="9"/>
      <c r="Q3596" s="6">
        <v>105.69</v>
      </c>
      <c r="R3596" s="7">
        <v>45536</v>
      </c>
      <c r="S3596" s="6">
        <v>4.08</v>
      </c>
      <c r="T3596" s="6">
        <v>2.54</v>
      </c>
      <c r="U3596" s="7">
        <v>45536</v>
      </c>
      <c r="V3596" s="6">
        <v>41.55</v>
      </c>
      <c r="W3596" s="6">
        <f ca="1">IFERROR(__xludf.DUMMYFUNCTION("IFERROR(GOOGLEFINANCE(B3596,""pe""),V3596)"),41.55)</f>
        <v>41.55</v>
      </c>
      <c r="X3596" s="9"/>
      <c r="Y3596" s="6">
        <v>2.4</v>
      </c>
      <c r="Z3596" s="6">
        <v>2</v>
      </c>
      <c r="AA3596" s="8">
        <v>44986</v>
      </c>
      <c r="AB3596" s="4">
        <v>-0.2</v>
      </c>
      <c r="AC3596" s="6">
        <v>0</v>
      </c>
      <c r="AD3596" s="6">
        <v>0</v>
      </c>
      <c r="AE3596" s="1">
        <v>0</v>
      </c>
      <c r="AF3596" s="1">
        <f ca="1">IFERROR(__xludf.DUMMYFUNCTION("IFERROR(GOOGLEFINANCE(TRIM(F3596)&amp;"":"" &amp; TRIM(B3596),""high52""),AE3596)"),0)</f>
        <v>0</v>
      </c>
      <c r="AG3596" s="1">
        <v>0</v>
      </c>
      <c r="AH3596" s="1">
        <f ca="1">IFERROR(__xludf.DUMMYFUNCTION("IFERROR(GOOGLEFINANCE(TRIM(F3596)&amp;"":"" &amp; TRIM(B3596),""low52""),AE3596)"),0)</f>
        <v>0</v>
      </c>
      <c r="AI3596" s="1">
        <f ca="1">IFERROR(__xludf.DUMMYFUNCTION("IFERROR(GOOGLEFINANCE(B3596,""eps""),0)"),0)</f>
        <v>0</v>
      </c>
      <c r="AJ3596" s="1"/>
      <c r="AK3596" s="1" t="s">
        <v>10996</v>
      </c>
      <c r="AL3596" s="9">
        <f t="shared" si="340"/>
        <v>1</v>
      </c>
    </row>
    <row r="3597" spans="1:38" ht="15" x14ac:dyDescent="0.25">
      <c r="A3597" s="1" t="s">
        <v>10997</v>
      </c>
      <c r="B3597" s="1" t="s">
        <v>10998</v>
      </c>
      <c r="C3597" s="1" t="s">
        <v>151</v>
      </c>
      <c r="D3597" s="1" t="s">
        <v>151</v>
      </c>
      <c r="E3597" s="6">
        <v>2374.77</v>
      </c>
      <c r="F3597" s="1" t="s">
        <v>40</v>
      </c>
      <c r="G3597" s="6">
        <f ca="1">IFERROR(__xludf.DUMMYFUNCTION("iferror(GOOGLEFINANCE(TRIM(F3597)&amp;"":"" &amp; TRIM(B3597), ""price""),0
)"),177)</f>
        <v>177</v>
      </c>
      <c r="H3597" s="6">
        <v>421.6</v>
      </c>
      <c r="I3597" s="6">
        <f t="shared" ca="1" si="0"/>
        <v>177</v>
      </c>
      <c r="J3597" s="6">
        <f ca="1">IFERROR(__xludf.DUMMYFUNCTION("IFERROR(GOOGLEFINANCE(B3597, ""volume""), 0)"),68238)</f>
        <v>68238</v>
      </c>
      <c r="K3597" s="6">
        <v>1.32</v>
      </c>
      <c r="L3597" s="6">
        <f ca="1">IFERROR(__xludf.DUMMYFUNCTION("IFERROR(GOOGLEFINANCE(B3597,""changepct""),K3597)"),-1.61)</f>
        <v>-1.61</v>
      </c>
      <c r="M3597" s="6">
        <f ca="1">IFERROR(__xludf.DUMMYFUNCTION("IFERROR(GOOGLEFINANCE(B3597,""change""),0)"),-2.9)</f>
        <v>-2.9</v>
      </c>
      <c r="N3597" s="6">
        <v>2</v>
      </c>
      <c r="O3597" s="7">
        <v>45536</v>
      </c>
      <c r="P3597" s="6">
        <v>1.1000000000000001</v>
      </c>
      <c r="Q3597" s="6">
        <v>2163.5700000000002</v>
      </c>
      <c r="R3597" s="7">
        <v>45352</v>
      </c>
      <c r="S3597" s="6">
        <v>432.5</v>
      </c>
      <c r="T3597" s="6">
        <v>29.1</v>
      </c>
      <c r="U3597" s="7">
        <v>45352</v>
      </c>
      <c r="V3597" s="6">
        <v>78.900000000000006</v>
      </c>
      <c r="W3597" s="6">
        <f ca="1">IFERROR(__xludf.DUMMYFUNCTION("IFERROR(GOOGLEFINANCE(B3597,""pe""),V3597)"),30.9)</f>
        <v>30.9</v>
      </c>
      <c r="X3597" s="12"/>
      <c r="Y3597" s="6">
        <v>5.36</v>
      </c>
      <c r="Z3597" s="6">
        <v>2</v>
      </c>
      <c r="AA3597" s="8">
        <v>45352</v>
      </c>
      <c r="AB3597" s="4">
        <v>0.11</v>
      </c>
      <c r="AC3597" s="6">
        <v>12.64</v>
      </c>
      <c r="AD3597" s="6">
        <v>24.28</v>
      </c>
      <c r="AE3597" s="1">
        <v>0</v>
      </c>
      <c r="AF3597" s="1">
        <f ca="1">IFERROR(__xludf.DUMMYFUNCTION("IFERROR(GOOGLEFINANCE(TRIM(F3597)&amp;"":"" &amp; TRIM(B3597),""high52""),AE3597)"),377.5)</f>
        <v>377.5</v>
      </c>
      <c r="AG3597" s="1">
        <v>0</v>
      </c>
      <c r="AH3597" s="1">
        <f ca="1">IFERROR(__xludf.DUMMYFUNCTION("IFERROR(GOOGLEFINANCE(TRIM(F3597)&amp;"":"" &amp; TRIM(B3597),""low52""),AE3597)"),170.37)</f>
        <v>170.37</v>
      </c>
      <c r="AI3597" s="1">
        <f ca="1">IFERROR(__xludf.DUMMYFUNCTION("IFERROR(GOOGLEFINANCE(B3597,""eps""),0)"),5.73)</f>
        <v>5.73</v>
      </c>
      <c r="AJ3597" s="1"/>
      <c r="AK3597" s="1" t="s">
        <v>10999</v>
      </c>
      <c r="AL3597" s="9">
        <f t="shared" si="340"/>
        <v>1</v>
      </c>
    </row>
    <row r="3598" spans="1:38" ht="15" x14ac:dyDescent="0.25">
      <c r="A3598" s="1" t="s">
        <v>11000</v>
      </c>
      <c r="B3598" s="1" t="s">
        <v>11001</v>
      </c>
      <c r="C3598" s="1" t="s">
        <v>239</v>
      </c>
      <c r="D3598" s="1" t="s">
        <v>239</v>
      </c>
      <c r="E3598" s="6">
        <v>9150.64</v>
      </c>
      <c r="F3598" s="1" t="s">
        <v>40</v>
      </c>
      <c r="G3598" s="6">
        <f ca="1">IFERROR(__xludf.DUMMYFUNCTION("iferror(GOOGLEFINANCE(TRIM(F3598)&amp;"":"" &amp; TRIM(B3598), ""price""),0
)"),216.67)</f>
        <v>216.67</v>
      </c>
      <c r="H3598" s="6">
        <v>228.35</v>
      </c>
      <c r="I3598" s="6">
        <f t="shared" ca="1" si="0"/>
        <v>216.67</v>
      </c>
      <c r="J3598" s="6">
        <f ca="1">IFERROR(__xludf.DUMMYFUNCTION("IFERROR(GOOGLEFINANCE(B3598, ""volume""), 0)"),219136)</f>
        <v>219136</v>
      </c>
      <c r="K3598" s="6">
        <v>0.95</v>
      </c>
      <c r="L3598" s="6">
        <f ca="1">IFERROR(__xludf.DUMMYFUNCTION("IFERROR(GOOGLEFINANCE(B3598,""changepct""),K3598)"),1.03)</f>
        <v>1.03</v>
      </c>
      <c r="M3598" s="6">
        <f ca="1">IFERROR(__xludf.DUMMYFUNCTION("IFERROR(GOOGLEFINANCE(B3598,""change""),0)"),2.2)</f>
        <v>2.2000000000000002</v>
      </c>
      <c r="N3598" s="6">
        <v>2</v>
      </c>
      <c r="O3598" s="7">
        <v>45536</v>
      </c>
      <c r="P3598" s="6">
        <v>362.13</v>
      </c>
      <c r="Q3598" s="6">
        <v>9489.5400000000009</v>
      </c>
      <c r="R3598" s="7">
        <v>45536</v>
      </c>
      <c r="S3598" s="6">
        <v>2957.49</v>
      </c>
      <c r="T3598" s="6">
        <v>197.84</v>
      </c>
      <c r="U3598" s="7">
        <v>45536</v>
      </c>
      <c r="V3598" s="6">
        <v>46.22</v>
      </c>
      <c r="W3598" s="6">
        <f ca="1">IFERROR(__xludf.DUMMYFUNCTION("IFERROR(GOOGLEFINANCE(B3598,""pe""),V3598)"),28.81)</f>
        <v>28.81</v>
      </c>
      <c r="X3598" s="6">
        <v>-184.9</v>
      </c>
      <c r="Y3598" s="6">
        <v>3.33</v>
      </c>
      <c r="Z3598" s="6">
        <v>2</v>
      </c>
      <c r="AA3598" s="8">
        <v>45352</v>
      </c>
      <c r="AB3598" s="4">
        <v>0.05</v>
      </c>
      <c r="AC3598" s="6">
        <v>11.51</v>
      </c>
      <c r="AD3598" s="6">
        <v>16.510000000000002</v>
      </c>
      <c r="AE3598" s="1">
        <v>0</v>
      </c>
      <c r="AF3598" s="1">
        <f ca="1">IFERROR(__xludf.DUMMYFUNCTION("IFERROR(GOOGLEFINANCE(TRIM(F3598)&amp;"":"" &amp; TRIM(B3598),""high52""),AE3598)"),308.95)</f>
        <v>308.95</v>
      </c>
      <c r="AG3598" s="1">
        <v>0</v>
      </c>
      <c r="AH3598" s="1">
        <f ca="1">IFERROR(__xludf.DUMMYFUNCTION("IFERROR(GOOGLEFINANCE(TRIM(F3598)&amp;"":"" &amp; TRIM(B3598),""low52""),AE3598)"),197.09)</f>
        <v>197.09</v>
      </c>
      <c r="AI3598" s="1">
        <f ca="1">IFERROR(__xludf.DUMMYFUNCTION("IFERROR(GOOGLEFINANCE(B3598,""eps""),0)"),7.52)</f>
        <v>7.52</v>
      </c>
      <c r="AJ3598" s="1"/>
      <c r="AK3598" s="1" t="s">
        <v>11002</v>
      </c>
      <c r="AL3598" s="1" t="b">
        <f>ISNUMBER(AA3598)</f>
        <v>1</v>
      </c>
    </row>
    <row r="3599" spans="1:38" ht="15" x14ac:dyDescent="0.25">
      <c r="A3599" s="1" t="s">
        <v>11003</v>
      </c>
      <c r="B3599" s="1" t="s">
        <v>11004</v>
      </c>
      <c r="C3599" s="1" t="s">
        <v>231</v>
      </c>
      <c r="D3599" s="1" t="s">
        <v>231</v>
      </c>
      <c r="E3599" s="6">
        <v>321.41000000000003</v>
      </c>
      <c r="F3599" s="1" t="s">
        <v>53</v>
      </c>
      <c r="G3599" s="6">
        <f ca="1">IFERROR(__xludf.DUMMYFUNCTION("iferror(GOOGLEFINANCE(TRIM(F3599)&amp;"":"" &amp; TRIM(B3599), ""price""),0
)"),0)</f>
        <v>0</v>
      </c>
      <c r="H3599" s="6">
        <v>126</v>
      </c>
      <c r="I3599" s="6">
        <f t="shared" ca="1" si="0"/>
        <v>126</v>
      </c>
      <c r="J3599" s="6">
        <f ca="1">IFERROR(__xludf.DUMMYFUNCTION("IFERROR(GOOGLEFINANCE(B3599, ""volume""), 0)"),0)</f>
        <v>0</v>
      </c>
      <c r="K3599" s="6">
        <v>1.82</v>
      </c>
      <c r="L3599" s="6">
        <f ca="1">IFERROR(__xludf.DUMMYFUNCTION("IFERROR(GOOGLEFINANCE(B3599,""changepct""),K3599)"),1.82)</f>
        <v>1.82</v>
      </c>
      <c r="M3599" s="6">
        <f ca="1">IFERROR(__xludf.DUMMYFUNCTION("IFERROR(GOOGLEFINANCE(B3599,""change""),0)"),0)</f>
        <v>0</v>
      </c>
      <c r="N3599" s="6">
        <v>2</v>
      </c>
      <c r="O3599" s="7">
        <v>45536</v>
      </c>
      <c r="P3599" s="6">
        <v>31.7</v>
      </c>
      <c r="Q3599" s="6">
        <v>350.84</v>
      </c>
      <c r="R3599" s="7">
        <v>45536</v>
      </c>
      <c r="S3599" s="6">
        <v>31.27</v>
      </c>
      <c r="T3599" s="6">
        <v>41.25</v>
      </c>
      <c r="U3599" s="7">
        <v>45536</v>
      </c>
      <c r="V3599" s="6">
        <v>8.1300000000000008</v>
      </c>
      <c r="W3599" s="6">
        <f ca="1">IFERROR(__xludf.DUMMYFUNCTION("IFERROR(GOOGLEFINANCE(B3599,""pe""),V3599)"),8.13)</f>
        <v>8.1300000000000008</v>
      </c>
      <c r="X3599" s="9"/>
      <c r="Y3599" s="6">
        <v>3.72</v>
      </c>
      <c r="Z3599" s="6">
        <v>2</v>
      </c>
      <c r="AA3599" s="8">
        <v>45352</v>
      </c>
      <c r="AB3599" s="4">
        <v>0.42</v>
      </c>
      <c r="AC3599" s="6">
        <v>58.02</v>
      </c>
      <c r="AD3599" s="6">
        <v>28.53</v>
      </c>
      <c r="AE3599" s="1">
        <v>0</v>
      </c>
      <c r="AF3599" s="1">
        <f ca="1">IFERROR(__xludf.DUMMYFUNCTION("IFERROR(GOOGLEFINANCE(TRIM(F3599)&amp;"":"" &amp; TRIM(B3599),""high52""),AE3599)"),0)</f>
        <v>0</v>
      </c>
      <c r="AG3599" s="1">
        <v>0</v>
      </c>
      <c r="AH3599" s="1">
        <f ca="1">IFERROR(__xludf.DUMMYFUNCTION("IFERROR(GOOGLEFINANCE(TRIM(F3599)&amp;"":"" &amp; TRIM(B3599),""low52""),AE3599)"),0)</f>
        <v>0</v>
      </c>
      <c r="AI3599" s="1">
        <f ca="1">IFERROR(__xludf.DUMMYFUNCTION("IFERROR(GOOGLEFINANCE(B3599,""eps""),0)"),0)</f>
        <v>0</v>
      </c>
      <c r="AJ3599" s="1"/>
      <c r="AK3599" s="9"/>
      <c r="AL3599" s="9">
        <f t="shared" ref="AL3599:AL3604" si="341">IF(AA3599&lt;&gt;AB3599,1,0)</f>
        <v>1</v>
      </c>
    </row>
    <row r="3600" spans="1:38" ht="15" x14ac:dyDescent="0.25">
      <c r="A3600" s="1" t="s">
        <v>11005</v>
      </c>
      <c r="B3600" s="1" t="s">
        <v>11006</v>
      </c>
      <c r="C3600" s="1" t="s">
        <v>231</v>
      </c>
      <c r="D3600" s="1" t="s">
        <v>231</v>
      </c>
      <c r="E3600" s="6">
        <v>78.069999999999993</v>
      </c>
      <c r="F3600" s="1" t="s">
        <v>53</v>
      </c>
      <c r="G3600" s="6">
        <f ca="1">IFERROR(__xludf.DUMMYFUNCTION("iferror(GOOGLEFINANCE(TRIM(F3600)&amp;"":"" &amp; TRIM(B3600), ""price""),0
)"),0)</f>
        <v>0</v>
      </c>
      <c r="H3600" s="6">
        <v>128</v>
      </c>
      <c r="I3600" s="6">
        <f t="shared" ca="1" si="0"/>
        <v>128</v>
      </c>
      <c r="J3600" s="6">
        <f ca="1">IFERROR(__xludf.DUMMYFUNCTION("IFERROR(GOOGLEFINANCE(B3600, ""volume""), 0)"),0)</f>
        <v>0</v>
      </c>
      <c r="K3600" s="6">
        <v>1.1100000000000001</v>
      </c>
      <c r="L3600" s="6">
        <f ca="1">IFERROR(__xludf.DUMMYFUNCTION("IFERROR(GOOGLEFINANCE(B3600,""changepct""),K3600)"),1.11)</f>
        <v>1.1100000000000001</v>
      </c>
      <c r="M3600" s="6">
        <f ca="1">IFERROR(__xludf.DUMMYFUNCTION("IFERROR(GOOGLEFINANCE(B3600,""change""),0)"),0)</f>
        <v>0</v>
      </c>
      <c r="N3600" s="6">
        <v>2</v>
      </c>
      <c r="O3600" s="7">
        <v>45536</v>
      </c>
      <c r="P3600" s="6">
        <v>15.49</v>
      </c>
      <c r="Q3600" s="6">
        <v>93.56</v>
      </c>
      <c r="R3600" s="7">
        <v>45536</v>
      </c>
      <c r="S3600" s="6">
        <v>1.55</v>
      </c>
      <c r="T3600" s="6">
        <v>2.21</v>
      </c>
      <c r="U3600" s="7">
        <v>45536</v>
      </c>
      <c r="V3600" s="6">
        <v>52.05</v>
      </c>
      <c r="W3600" s="6">
        <f ca="1">IFERROR(__xludf.DUMMYFUNCTION("IFERROR(GOOGLEFINANCE(B3600,""pe""),V3600)"),52.05)</f>
        <v>52.05</v>
      </c>
      <c r="X3600" s="6">
        <v>-3.1</v>
      </c>
      <c r="Y3600" s="6">
        <v>0.54</v>
      </c>
      <c r="Z3600" s="6">
        <v>2</v>
      </c>
      <c r="AA3600" s="8">
        <v>45352</v>
      </c>
      <c r="AB3600" s="4">
        <v>0.1</v>
      </c>
      <c r="AC3600" s="6">
        <v>2.25</v>
      </c>
      <c r="AD3600" s="6">
        <v>3.96</v>
      </c>
      <c r="AE3600" s="1">
        <v>0</v>
      </c>
      <c r="AF3600" s="1">
        <f ca="1">IFERROR(__xludf.DUMMYFUNCTION("IFERROR(GOOGLEFINANCE(TRIM(F3600)&amp;"":"" &amp; TRIM(B3600),""high52""),AE3600)"),0)</f>
        <v>0</v>
      </c>
      <c r="AG3600" s="1">
        <v>0</v>
      </c>
      <c r="AH3600" s="1">
        <f ca="1">IFERROR(__xludf.DUMMYFUNCTION("IFERROR(GOOGLEFINANCE(TRIM(F3600)&amp;"":"" &amp; TRIM(B3600),""low52""),AE3600)"),0)</f>
        <v>0</v>
      </c>
      <c r="AI3600" s="1">
        <f ca="1">IFERROR(__xludf.DUMMYFUNCTION("IFERROR(GOOGLEFINANCE(B3600,""eps""),0)"),0)</f>
        <v>0</v>
      </c>
      <c r="AJ3600" s="1"/>
      <c r="AK3600" s="1" t="s">
        <v>11007</v>
      </c>
      <c r="AL3600" s="9">
        <f t="shared" si="341"/>
        <v>1</v>
      </c>
    </row>
    <row r="3601" spans="1:38" ht="15" x14ac:dyDescent="0.25">
      <c r="A3601" s="1" t="s">
        <v>11008</v>
      </c>
      <c r="B3601" s="1" t="s">
        <v>11009</v>
      </c>
      <c r="C3601" s="1" t="s">
        <v>3720</v>
      </c>
      <c r="D3601" s="1" t="s">
        <v>3720</v>
      </c>
      <c r="E3601" s="6">
        <v>28695.84</v>
      </c>
      <c r="F3601" s="1" t="s">
        <v>40</v>
      </c>
      <c r="G3601" s="6">
        <f ca="1">IFERROR(__xludf.DUMMYFUNCTION("iferror(GOOGLEFINANCE(TRIM(F3601)&amp;"":"" &amp; TRIM(B3601), ""price""),0
)"),467)</f>
        <v>467</v>
      </c>
      <c r="H3601" s="6">
        <v>489.5</v>
      </c>
      <c r="I3601" s="6">
        <f t="shared" ca="1" si="0"/>
        <v>467</v>
      </c>
      <c r="J3601" s="6">
        <f ca="1">IFERROR(__xludf.DUMMYFUNCTION("IFERROR(GOOGLEFINANCE(B3601, ""volume""), 0)"),856221)</f>
        <v>856221</v>
      </c>
      <c r="K3601" s="6">
        <v>0.17</v>
      </c>
      <c r="L3601" s="6">
        <f ca="1">IFERROR(__xludf.DUMMYFUNCTION("IFERROR(GOOGLEFINANCE(B3601,""changepct""),K3601)"),-0.95)</f>
        <v>-0.95</v>
      </c>
      <c r="M3601" s="6">
        <f ca="1">IFERROR(__xludf.DUMMYFUNCTION("IFERROR(GOOGLEFINANCE(B3601,""change""),0)"),-4.5)</f>
        <v>-4.5</v>
      </c>
      <c r="N3601" s="6">
        <v>1</v>
      </c>
      <c r="O3601" s="7">
        <v>45536</v>
      </c>
      <c r="P3601" s="6">
        <v>862.09</v>
      </c>
      <c r="Q3601" s="7">
        <v>45536</v>
      </c>
      <c r="R3601" s="6">
        <v>33.29</v>
      </c>
      <c r="S3601" s="12"/>
      <c r="T3601" s="6">
        <v>4.22</v>
      </c>
      <c r="U3601" s="6">
        <v>1</v>
      </c>
      <c r="V3601" s="7">
        <v>45352</v>
      </c>
      <c r="W3601" s="6">
        <f ca="1">IFERROR(__xludf.DUMMYFUNCTION("IFERROR(GOOGLEFINANCE(B3601,""pe""),V3601)"),62.03)</f>
        <v>62.03</v>
      </c>
      <c r="X3601" s="6">
        <v>7.0000000000000007E-2</v>
      </c>
      <c r="Y3601" s="6">
        <v>14.36</v>
      </c>
      <c r="Z3601" s="6">
        <v>17.760000000000002</v>
      </c>
      <c r="AA3601" s="3" t="s">
        <v>11010</v>
      </c>
      <c r="AB3601" s="4"/>
      <c r="AC3601" s="12"/>
      <c r="AD3601" s="12"/>
      <c r="AE3601" s="1">
        <v>0</v>
      </c>
      <c r="AF3601" s="1">
        <f ca="1">IFERROR(__xludf.DUMMYFUNCTION("IFERROR(GOOGLEFINANCE(TRIM(F3601)&amp;"":"" &amp; TRIM(B3601),""high52""),AE3601)"),534)</f>
        <v>534</v>
      </c>
      <c r="AG3601" s="1">
        <v>0</v>
      </c>
      <c r="AH3601" s="1">
        <f ca="1">IFERROR(__xludf.DUMMYFUNCTION("IFERROR(GOOGLEFINANCE(TRIM(F3601)&amp;"":"" &amp; TRIM(B3601),""low52""),AE3601)"),327.3)</f>
        <v>327.3</v>
      </c>
      <c r="AI3601" s="1">
        <f ca="1">IFERROR(__xludf.DUMMYFUNCTION("IFERROR(GOOGLEFINANCE(B3601,""eps""),0)"),7.53)</f>
        <v>7.53</v>
      </c>
      <c r="AJ3601" s="1"/>
      <c r="AK3601" s="1" t="s">
        <v>11011</v>
      </c>
      <c r="AL3601" s="9">
        <f t="shared" si="341"/>
        <v>1</v>
      </c>
    </row>
    <row r="3602" spans="1:38" ht="15" x14ac:dyDescent="0.25">
      <c r="A3602" s="1" t="s">
        <v>11012</v>
      </c>
      <c r="B3602" s="1" t="s">
        <v>11013</v>
      </c>
      <c r="C3602" s="1" t="s">
        <v>231</v>
      </c>
      <c r="D3602" s="1" t="s">
        <v>231</v>
      </c>
      <c r="E3602" s="6">
        <v>30.13</v>
      </c>
      <c r="F3602" s="1" t="s">
        <v>53</v>
      </c>
      <c r="G3602" s="6">
        <f ca="1">IFERROR(__xludf.DUMMYFUNCTION("iferror(GOOGLEFINANCE(TRIM(F3602)&amp;"":"" &amp; TRIM(B3602), ""price""),0
)"),0)</f>
        <v>0</v>
      </c>
      <c r="H3602" s="6">
        <v>20.41</v>
      </c>
      <c r="I3602" s="6">
        <f t="shared" ca="1" si="0"/>
        <v>20.41</v>
      </c>
      <c r="J3602" s="6">
        <f ca="1">IFERROR(__xludf.DUMMYFUNCTION("IFERROR(GOOGLEFINANCE(B3602, ""volume""), 0)"),0)</f>
        <v>0</v>
      </c>
      <c r="K3602" s="6">
        <v>-1.83</v>
      </c>
      <c r="L3602" s="6">
        <f ca="1">IFERROR(__xludf.DUMMYFUNCTION("IFERROR(GOOGLEFINANCE(B3602,""changepct""),K3602)"),-1.83)</f>
        <v>-1.83</v>
      </c>
      <c r="M3602" s="6">
        <f ca="1">IFERROR(__xludf.DUMMYFUNCTION("IFERROR(GOOGLEFINANCE(B3602,""change""),0)"),0)</f>
        <v>0</v>
      </c>
      <c r="N3602" s="6">
        <v>1</v>
      </c>
      <c r="O3602" s="7">
        <v>45536</v>
      </c>
      <c r="P3602" s="6">
        <v>5.97</v>
      </c>
      <c r="Q3602" s="6">
        <v>35.64</v>
      </c>
      <c r="R3602" s="7">
        <v>45536</v>
      </c>
      <c r="S3602" s="6">
        <v>12.19</v>
      </c>
      <c r="T3602" s="6">
        <v>1</v>
      </c>
      <c r="U3602" s="7">
        <v>45536</v>
      </c>
      <c r="V3602" s="6">
        <v>30.2</v>
      </c>
      <c r="W3602" s="6">
        <f ca="1">IFERROR(__xludf.DUMMYFUNCTION("IFERROR(GOOGLEFINANCE(B3602,""pe""),V3602)"),30.2)</f>
        <v>30.2</v>
      </c>
      <c r="X3602" s="6">
        <v>1.79</v>
      </c>
      <c r="Y3602" s="6">
        <v>6.45</v>
      </c>
      <c r="Z3602" s="6">
        <v>1</v>
      </c>
      <c r="AA3602" s="8">
        <v>45352</v>
      </c>
      <c r="AB3602" s="4">
        <v>0.92</v>
      </c>
      <c r="AC3602" s="6">
        <v>56.49</v>
      </c>
      <c r="AD3602" s="6">
        <v>25.7</v>
      </c>
      <c r="AE3602" s="1">
        <v>0</v>
      </c>
      <c r="AF3602" s="1">
        <f ca="1">IFERROR(__xludf.DUMMYFUNCTION("IFERROR(GOOGLEFINANCE(TRIM(F3602)&amp;"":"" &amp; TRIM(B3602),""high52""),AE3602)"),0)</f>
        <v>0</v>
      </c>
      <c r="AG3602" s="1">
        <v>0</v>
      </c>
      <c r="AH3602" s="1">
        <f ca="1">IFERROR(__xludf.DUMMYFUNCTION("IFERROR(GOOGLEFINANCE(TRIM(F3602)&amp;"":"" &amp; TRIM(B3602),""low52""),AE3602)"),0)</f>
        <v>0</v>
      </c>
      <c r="AI3602" s="1">
        <f ca="1">IFERROR(__xludf.DUMMYFUNCTION("IFERROR(GOOGLEFINANCE(B3602,""eps""),0)"),0)</f>
        <v>0</v>
      </c>
      <c r="AJ3602" s="1"/>
      <c r="AK3602" s="1" t="s">
        <v>11014</v>
      </c>
      <c r="AL3602" s="9">
        <f t="shared" si="341"/>
        <v>1</v>
      </c>
    </row>
    <row r="3603" spans="1:38" ht="15" x14ac:dyDescent="0.25">
      <c r="A3603" s="1" t="s">
        <v>11015</v>
      </c>
      <c r="B3603" s="1" t="s">
        <v>11016</v>
      </c>
      <c r="C3603" s="1" t="s">
        <v>373</v>
      </c>
      <c r="D3603" s="1" t="s">
        <v>373</v>
      </c>
      <c r="E3603" s="6">
        <v>341.98</v>
      </c>
      <c r="F3603" s="1" t="s">
        <v>40</v>
      </c>
      <c r="G3603" s="6">
        <f ca="1">IFERROR(__xludf.DUMMYFUNCTION("iferror(GOOGLEFINANCE(TRIM(F3603)&amp;"":"" &amp; TRIM(B3603), ""price""),0
)"),142.38)</f>
        <v>142.38</v>
      </c>
      <c r="H3603" s="6">
        <v>221</v>
      </c>
      <c r="I3603" s="6">
        <f t="shared" ca="1" si="0"/>
        <v>142.38</v>
      </c>
      <c r="J3603" s="6">
        <f ca="1">IFERROR(__xludf.DUMMYFUNCTION("IFERROR(GOOGLEFINANCE(B3603, ""volume""), 0)"),8712)</f>
        <v>8712</v>
      </c>
      <c r="K3603" s="6">
        <v>0.48</v>
      </c>
      <c r="L3603" s="6">
        <f ca="1">IFERROR(__xludf.DUMMYFUNCTION("IFERROR(GOOGLEFINANCE(B3603,""changepct""),K3603)"),-0.39)</f>
        <v>-0.39</v>
      </c>
      <c r="M3603" s="6">
        <f ca="1">IFERROR(__xludf.DUMMYFUNCTION("IFERROR(GOOGLEFINANCE(B3603,""change""),0)"),-0.56)</f>
        <v>-0.56000000000000005</v>
      </c>
      <c r="N3603" s="6">
        <v>1</v>
      </c>
      <c r="O3603" s="7">
        <v>45536</v>
      </c>
      <c r="P3603" s="9"/>
      <c r="Q3603" s="6">
        <v>319.18</v>
      </c>
      <c r="R3603" s="7">
        <v>45536</v>
      </c>
      <c r="S3603" s="6">
        <v>440.01</v>
      </c>
      <c r="T3603" s="6">
        <v>57.5</v>
      </c>
      <c r="U3603" s="7">
        <v>45536</v>
      </c>
      <c r="V3603" s="6">
        <v>5.95</v>
      </c>
      <c r="W3603" s="6">
        <f ca="1">IFERROR(__xludf.DUMMYFUNCTION("IFERROR(GOOGLEFINANCE(B3603,""pe""),V3603)"),5.76)</f>
        <v>5.76</v>
      </c>
      <c r="X3603" s="6">
        <v>1.41</v>
      </c>
      <c r="Y3603" s="6">
        <v>0.51</v>
      </c>
      <c r="Z3603" s="6">
        <v>1</v>
      </c>
      <c r="AA3603" s="8">
        <v>45352</v>
      </c>
      <c r="AB3603" s="4">
        <v>0</v>
      </c>
      <c r="AC3603" s="6">
        <v>10.31</v>
      </c>
      <c r="AD3603" s="6">
        <v>13.17</v>
      </c>
      <c r="AE3603" s="1">
        <v>0</v>
      </c>
      <c r="AF3603" s="1">
        <f ca="1">IFERROR(__xludf.DUMMYFUNCTION("IFERROR(GOOGLEFINANCE(TRIM(F3603)&amp;"":"" &amp; TRIM(B3603),""high52""),AE3603)"),193)</f>
        <v>193</v>
      </c>
      <c r="AG3603" s="1">
        <v>0</v>
      </c>
      <c r="AH3603" s="1">
        <f ca="1">IFERROR(__xludf.DUMMYFUNCTION("IFERROR(GOOGLEFINANCE(TRIM(F3603)&amp;"":"" &amp; TRIM(B3603),""low52""),AE3603)"),138.2)</f>
        <v>138.19999999999999</v>
      </c>
      <c r="AI3603" s="1">
        <f ca="1">IFERROR(__xludf.DUMMYFUNCTION("IFERROR(GOOGLEFINANCE(B3603,""eps""),0)"),24.7)</f>
        <v>24.7</v>
      </c>
      <c r="AJ3603" s="1"/>
      <c r="AK3603" s="1" t="s">
        <v>11017</v>
      </c>
      <c r="AL3603" s="9">
        <f t="shared" si="341"/>
        <v>1</v>
      </c>
    </row>
    <row r="3604" spans="1:38" ht="15" x14ac:dyDescent="0.25">
      <c r="A3604" s="1" t="s">
        <v>11018</v>
      </c>
      <c r="B3604" s="1" t="s">
        <v>11019</v>
      </c>
      <c r="C3604" s="1" t="s">
        <v>208</v>
      </c>
      <c r="D3604" s="1" t="s">
        <v>208</v>
      </c>
      <c r="E3604" s="6">
        <v>324.76</v>
      </c>
      <c r="F3604" s="1" t="s">
        <v>40</v>
      </c>
      <c r="G3604" s="6">
        <f ca="1">IFERROR(__xludf.DUMMYFUNCTION("iferror(GOOGLEFINANCE(TRIM(F3604)&amp;"":"" &amp; TRIM(B3604), ""price""),0
)"),270.55)</f>
        <v>270.55</v>
      </c>
      <c r="H3604" s="6">
        <v>329.05</v>
      </c>
      <c r="I3604" s="6">
        <f t="shared" ca="1" si="0"/>
        <v>270.55</v>
      </c>
      <c r="J3604" s="6">
        <f ca="1">IFERROR(__xludf.DUMMYFUNCTION("IFERROR(GOOGLEFINANCE(B3604, ""volume""), 0)"),9322)</f>
        <v>9322</v>
      </c>
      <c r="K3604" s="6">
        <v>1.04</v>
      </c>
      <c r="L3604" s="6">
        <f ca="1">IFERROR(__xludf.DUMMYFUNCTION("IFERROR(GOOGLEFINANCE(B3604,""changepct""),K3604)"),0)</f>
        <v>0</v>
      </c>
      <c r="M3604" s="6">
        <f ca="1">IFERROR(__xludf.DUMMYFUNCTION("IFERROR(GOOGLEFINANCE(B3604,""change""),0)"),0)</f>
        <v>0</v>
      </c>
      <c r="N3604" s="6">
        <v>2</v>
      </c>
      <c r="O3604" s="7">
        <v>45536</v>
      </c>
      <c r="P3604" s="6">
        <v>11.5</v>
      </c>
      <c r="Q3604" s="7">
        <v>45536</v>
      </c>
      <c r="R3604" s="6">
        <v>28.25</v>
      </c>
      <c r="S3604" s="6">
        <v>0.47</v>
      </c>
      <c r="T3604" s="6">
        <v>1.44</v>
      </c>
      <c r="U3604" s="6">
        <v>2</v>
      </c>
      <c r="V3604" s="7">
        <v>45352</v>
      </c>
      <c r="W3604" s="6">
        <f ca="1">IFERROR(__xludf.DUMMYFUNCTION("IFERROR(GOOGLEFINANCE(B3604,""pe""),V3604)"),16.81)</f>
        <v>16.809999999999999</v>
      </c>
      <c r="X3604" s="6">
        <v>0.99</v>
      </c>
      <c r="Y3604" s="6">
        <v>8.2899999999999991</v>
      </c>
      <c r="Z3604" s="6">
        <v>7.9</v>
      </c>
      <c r="AA3604" s="3" t="s">
        <v>11020</v>
      </c>
      <c r="AB3604" s="4"/>
      <c r="AC3604" s="12"/>
      <c r="AD3604" s="12"/>
      <c r="AE3604" s="1">
        <v>0</v>
      </c>
      <c r="AF3604" s="1">
        <f ca="1">IFERROR(__xludf.DUMMYFUNCTION("IFERROR(GOOGLEFINANCE(TRIM(F3604)&amp;"":"" &amp; TRIM(B3604),""high52""),AE3604)"),358.4)</f>
        <v>358.4</v>
      </c>
      <c r="AG3604" s="1">
        <v>0</v>
      </c>
      <c r="AH3604" s="1">
        <f ca="1">IFERROR(__xludf.DUMMYFUNCTION("IFERROR(GOOGLEFINANCE(TRIM(F3604)&amp;"":"" &amp; TRIM(B3604),""low52""),AE3604)"),262.8)</f>
        <v>262.8</v>
      </c>
      <c r="AI3604" s="1">
        <f ca="1">IFERROR(__xludf.DUMMYFUNCTION("IFERROR(GOOGLEFINANCE(B3604,""eps""),0)"),16.09)</f>
        <v>16.09</v>
      </c>
      <c r="AJ3604" s="1"/>
      <c r="AK3604" s="1" t="s">
        <v>11021</v>
      </c>
      <c r="AL3604" s="9">
        <f t="shared" si="341"/>
        <v>1</v>
      </c>
    </row>
    <row r="3605" spans="1:38" ht="15" x14ac:dyDescent="0.25">
      <c r="A3605" s="1" t="s">
        <v>11022</v>
      </c>
      <c r="B3605" s="1" t="s">
        <v>11023</v>
      </c>
      <c r="C3605" s="1" t="s">
        <v>1379</v>
      </c>
      <c r="D3605" s="1" t="s">
        <v>1379</v>
      </c>
      <c r="E3605" s="6">
        <v>714906.7</v>
      </c>
      <c r="F3605" s="1" t="s">
        <v>40</v>
      </c>
      <c r="G3605" s="6">
        <f ca="1">IFERROR(__xludf.DUMMYFUNCTION("iferror(GOOGLEFINANCE(TRIM(F3605)&amp;"":"" &amp; TRIM(B3605), ""price""),0
)"),1026.5)</f>
        <v>1026.5</v>
      </c>
      <c r="H3605" s="6">
        <v>801.15</v>
      </c>
      <c r="I3605" s="6">
        <f t="shared" ca="1" si="0"/>
        <v>1026.5</v>
      </c>
      <c r="J3605" s="6">
        <f ca="1">IFERROR(__xludf.DUMMYFUNCTION("IFERROR(GOOGLEFINANCE(B3605, ""volume""), 0)"),14434549)</f>
        <v>14434549</v>
      </c>
      <c r="K3605" s="6">
        <v>-0.01</v>
      </c>
      <c r="L3605" s="6">
        <f ca="1">IFERROR(__xludf.DUMMYFUNCTION("IFERROR(GOOGLEFINANCE(B3605,""changepct""),K3605)"),0.82)</f>
        <v>0.82</v>
      </c>
      <c r="M3605" s="6">
        <f ca="1">IFERROR(__xludf.DUMMYFUNCTION("IFERROR(GOOGLEFINANCE(B3605,""change""),0)"),8.3)</f>
        <v>8.3000000000000007</v>
      </c>
      <c r="N3605" s="6">
        <v>2</v>
      </c>
      <c r="O3605" s="7">
        <v>45536</v>
      </c>
      <c r="P3605" s="6">
        <v>469624.9</v>
      </c>
      <c r="Q3605" s="6">
        <v>72919.55</v>
      </c>
      <c r="R3605" s="7">
        <v>45536</v>
      </c>
      <c r="S3605" s="6">
        <v>9.99</v>
      </c>
      <c r="T3605" s="6">
        <v>0.1</v>
      </c>
      <c r="U3605" s="6">
        <v>1.64</v>
      </c>
      <c r="V3605" s="6">
        <v>2</v>
      </c>
      <c r="W3605" s="6">
        <f ca="1">IFERROR(__xludf.DUMMYFUNCTION("IFERROR(GOOGLEFINANCE(B3605,""pe""),V3605)"),11.45)</f>
        <v>11.45</v>
      </c>
      <c r="X3605" s="7">
        <v>45352</v>
      </c>
      <c r="Y3605" s="6">
        <v>18.97</v>
      </c>
      <c r="Z3605" s="6">
        <v>1</v>
      </c>
      <c r="AA3605" s="8">
        <v>45352</v>
      </c>
      <c r="AB3605" s="4">
        <v>0.56999999999999995</v>
      </c>
      <c r="AC3605" s="6">
        <v>2.81</v>
      </c>
      <c r="AD3605" s="6">
        <v>11.21</v>
      </c>
      <c r="AE3605" s="1">
        <v>0</v>
      </c>
      <c r="AF3605" s="1">
        <f ca="1">IFERROR(__xludf.DUMMYFUNCTION("IFERROR(GOOGLEFINANCE(TRIM(F3605)&amp;"":"" &amp; TRIM(B3605),""high52""),AE3605)"),1083.6)</f>
        <v>1083.5999999999999</v>
      </c>
      <c r="AG3605" s="1">
        <v>0</v>
      </c>
      <c r="AH3605" s="1">
        <f ca="1">IFERROR(__xludf.DUMMYFUNCTION("IFERROR(GOOGLEFINANCE(TRIM(F3605)&amp;"":"" &amp; TRIM(B3605),""low52""),AE3605)"),680)</f>
        <v>680</v>
      </c>
      <c r="AI3605" s="1">
        <f ca="1">IFERROR(__xludf.DUMMYFUNCTION("IFERROR(GOOGLEFINANCE(B3605,""eps""),0)"),89.65)</f>
        <v>89.65</v>
      </c>
      <c r="AJ3605" s="1"/>
      <c r="AK3605" s="1" t="s">
        <v>11024</v>
      </c>
      <c r="AL3605" s="1" t="b">
        <f>ISNUMBER(AA3605)</f>
        <v>1</v>
      </c>
    </row>
    <row r="3606" spans="1:38" ht="15" x14ac:dyDescent="0.25">
      <c r="A3606" s="1" t="s">
        <v>11025</v>
      </c>
      <c r="B3606" s="1" t="s">
        <v>11026</v>
      </c>
      <c r="C3606" s="1" t="s">
        <v>219</v>
      </c>
      <c r="D3606" s="1" t="s">
        <v>219</v>
      </c>
      <c r="E3606" s="6">
        <v>47108.639999999999</v>
      </c>
      <c r="F3606" s="1" t="s">
        <v>40</v>
      </c>
      <c r="G3606" s="6">
        <f ca="1">IFERROR(__xludf.DUMMYFUNCTION("iferror(GOOGLEFINANCE(TRIM(F3606)&amp;"":"" &amp; TRIM(B3606), ""price""),0
)"),149.49)</f>
        <v>149.49</v>
      </c>
      <c r="H3606" s="6">
        <v>114.94</v>
      </c>
      <c r="I3606" s="6">
        <f t="shared" ca="1" si="0"/>
        <v>149.49</v>
      </c>
      <c r="J3606" s="6">
        <f ca="1">IFERROR(__xludf.DUMMYFUNCTION("IFERROR(GOOGLEFINANCE(B3606, ""volume""), 0)"),0)</f>
        <v>0</v>
      </c>
      <c r="K3606" s="6">
        <v>0.76</v>
      </c>
      <c r="L3606" s="6">
        <f ca="1">IFERROR(__xludf.DUMMYFUNCTION("IFERROR(GOOGLEFINANCE(B3606,""changepct""),K3606)"),-2.24)</f>
        <v>-2.2400000000000002</v>
      </c>
      <c r="M3606" s="6">
        <f ca="1">IFERROR(__xludf.DUMMYFUNCTION("IFERROR(GOOGLEFINANCE(B3606,""change""),0)"),-0.36)</f>
        <v>-0.36</v>
      </c>
      <c r="N3606" s="6">
        <v>2</v>
      </c>
      <c r="O3606" s="7">
        <v>45536</v>
      </c>
      <c r="P3606" s="6">
        <v>35610.870000000003</v>
      </c>
      <c r="Q3606" s="6">
        <v>81965.09</v>
      </c>
      <c r="R3606" s="7">
        <v>45536</v>
      </c>
      <c r="S3606" s="6">
        <v>99980.17</v>
      </c>
      <c r="T3606" s="6">
        <v>1985.51</v>
      </c>
      <c r="U3606" s="7">
        <v>45536</v>
      </c>
      <c r="V3606" s="6">
        <v>18.64</v>
      </c>
      <c r="W3606" s="6">
        <f ca="1">IFERROR(__xludf.DUMMYFUNCTION("IFERROR(GOOGLEFINANCE(B3606,""pe""),V3606)"),18.64)</f>
        <v>18.64</v>
      </c>
      <c r="X3606" s="6">
        <v>2.59</v>
      </c>
      <c r="Y3606" s="6">
        <v>0.82</v>
      </c>
      <c r="Z3606" s="6">
        <v>2</v>
      </c>
      <c r="AA3606" s="8">
        <v>45352</v>
      </c>
      <c r="AB3606" s="4">
        <v>0.64</v>
      </c>
      <c r="AC3606" s="6">
        <v>5.48</v>
      </c>
      <c r="AD3606" s="6">
        <v>7.3</v>
      </c>
      <c r="AE3606" s="1">
        <v>0</v>
      </c>
      <c r="AF3606" s="1">
        <f ca="1">IFERROR(__xludf.DUMMYFUNCTION("IFERROR(GOOGLEFINANCE(TRIM(F3606)&amp;"":"" &amp; TRIM(B3606),""high52""),AE3606)"),160)</f>
        <v>160</v>
      </c>
      <c r="AG3606" s="1">
        <v>0</v>
      </c>
      <c r="AH3606" s="1">
        <f ca="1">IFERROR(__xludf.DUMMYFUNCTION("IFERROR(GOOGLEFINANCE(TRIM(F3606)&amp;"":"" &amp; TRIM(B3606),""low52""),AE3606)"),99.15)</f>
        <v>99.15</v>
      </c>
      <c r="AI3606" s="1">
        <f ca="1">IFERROR(__xludf.DUMMYFUNCTION("IFERROR(GOOGLEFINANCE(B3606,""eps""),0)"),-0.65)</f>
        <v>-0.65</v>
      </c>
      <c r="AJ3606" s="1"/>
      <c r="AK3606" s="1" t="s">
        <v>11027</v>
      </c>
      <c r="AL3606" s="9">
        <f t="shared" ref="AL3606:AL3609" si="342">IF(AA3606&lt;&gt;AB3606,1,0)</f>
        <v>1</v>
      </c>
    </row>
    <row r="3607" spans="1:38" ht="15" x14ac:dyDescent="0.25">
      <c r="A3607" s="1" t="s">
        <v>11028</v>
      </c>
      <c r="B3607" s="1" t="s">
        <v>11029</v>
      </c>
      <c r="C3607" s="1" t="s">
        <v>75</v>
      </c>
      <c r="D3607" s="1" t="s">
        <v>75</v>
      </c>
      <c r="E3607" s="6">
        <v>175.02</v>
      </c>
      <c r="F3607" s="1" t="s">
        <v>40</v>
      </c>
      <c r="G3607" s="6">
        <f ca="1">IFERROR(__xludf.DUMMYFUNCTION("iferror(GOOGLEFINANCE(TRIM(F3607)&amp;"":"" &amp; TRIM(B3607), ""price""),0
)"),82.4)</f>
        <v>82.4</v>
      </c>
      <c r="H3607" s="6">
        <v>116.66</v>
      </c>
      <c r="I3607" s="6">
        <f t="shared" ca="1" si="0"/>
        <v>82.4</v>
      </c>
      <c r="J3607" s="6">
        <f ca="1">IFERROR(__xludf.DUMMYFUNCTION("IFERROR(GOOGLEFINANCE(B3607, ""volume""), 0)"),4091)</f>
        <v>4091</v>
      </c>
      <c r="K3607" s="6">
        <v>0.7</v>
      </c>
      <c r="L3607" s="6">
        <f ca="1">IFERROR(__xludf.DUMMYFUNCTION("IFERROR(GOOGLEFINANCE(B3607,""changepct""),K3607)"),0.26)</f>
        <v>0.26</v>
      </c>
      <c r="M3607" s="6">
        <f ca="1">IFERROR(__xludf.DUMMYFUNCTION("IFERROR(GOOGLEFINANCE(B3607,""change""),0)"),0.21)</f>
        <v>0.21</v>
      </c>
      <c r="N3607" s="6">
        <v>2</v>
      </c>
      <c r="O3607" s="7">
        <v>45536</v>
      </c>
      <c r="P3607" s="6">
        <v>15.8</v>
      </c>
      <c r="Q3607" s="7">
        <v>45536</v>
      </c>
      <c r="R3607" s="6">
        <v>10.52</v>
      </c>
      <c r="S3607" s="6">
        <v>1.74</v>
      </c>
      <c r="T3607" s="6">
        <v>1.37</v>
      </c>
      <c r="U3607" s="6">
        <v>2</v>
      </c>
      <c r="V3607" s="7">
        <v>45352</v>
      </c>
      <c r="W3607" s="6">
        <f ca="1">IFERROR(__xludf.DUMMYFUNCTION("IFERROR(GOOGLEFINANCE(B3607,""pe""),V3607)"),8.31)</f>
        <v>8.31</v>
      </c>
      <c r="X3607" s="6">
        <v>0.04</v>
      </c>
      <c r="Y3607" s="6">
        <v>9.8699999999999992</v>
      </c>
      <c r="Z3607" s="6">
        <v>13.81</v>
      </c>
      <c r="AA3607" s="3" t="s">
        <v>11030</v>
      </c>
      <c r="AB3607" s="4"/>
      <c r="AC3607" s="12"/>
      <c r="AD3607" s="12"/>
      <c r="AE3607" s="1">
        <v>0</v>
      </c>
      <c r="AF3607" s="1">
        <f ca="1">IFERROR(__xludf.DUMMYFUNCTION("IFERROR(GOOGLEFINANCE(TRIM(F3607)&amp;"":"" &amp; TRIM(B3607),""high52""),AE3607)"),116.9)</f>
        <v>116.9</v>
      </c>
      <c r="AG3607" s="1">
        <v>0</v>
      </c>
      <c r="AH3607" s="1">
        <f ca="1">IFERROR(__xludf.DUMMYFUNCTION("IFERROR(GOOGLEFINANCE(TRIM(F3607)&amp;"":"" &amp; TRIM(B3607),""low52""),AE3607)"),81.18)</f>
        <v>81.180000000000007</v>
      </c>
      <c r="AI3607" s="1">
        <f ca="1">IFERROR(__xludf.DUMMYFUNCTION("IFERROR(GOOGLEFINANCE(B3607,""eps""),0)"),9.91)</f>
        <v>9.91</v>
      </c>
      <c r="AJ3607" s="1"/>
      <c r="AK3607" s="9"/>
      <c r="AL3607" s="9">
        <f t="shared" si="342"/>
        <v>1</v>
      </c>
    </row>
    <row r="3608" spans="1:38" ht="15" x14ac:dyDescent="0.25">
      <c r="A3608" s="1" t="s">
        <v>11031</v>
      </c>
      <c r="B3608" s="1" t="s">
        <v>11032</v>
      </c>
      <c r="C3608" s="1" t="s">
        <v>2018</v>
      </c>
      <c r="D3608" s="1" t="s">
        <v>2018</v>
      </c>
      <c r="E3608" s="6">
        <v>1249.1300000000001</v>
      </c>
      <c r="F3608" s="1" t="s">
        <v>40</v>
      </c>
      <c r="G3608" s="6">
        <f ca="1">IFERROR(__xludf.DUMMYFUNCTION("iferror(GOOGLEFINANCE(TRIM(F3608)&amp;"":"" &amp; TRIM(B3608), ""price""),0
)"),7.92)</f>
        <v>7.92</v>
      </c>
      <c r="H3608" s="6">
        <v>10.66</v>
      </c>
      <c r="I3608" s="6">
        <f t="shared" ca="1" si="0"/>
        <v>7.92</v>
      </c>
      <c r="J3608" s="6">
        <f ca="1">IFERROR(__xludf.DUMMYFUNCTION("IFERROR(GOOGLEFINANCE(B3608, ""volume""), 0)"),440346)</f>
        <v>440346</v>
      </c>
      <c r="K3608" s="6">
        <v>2.21</v>
      </c>
      <c r="L3608" s="6">
        <f ca="1">IFERROR(__xludf.DUMMYFUNCTION("IFERROR(GOOGLEFINANCE(B3608,""changepct""),K3608)"),-2.22)</f>
        <v>-2.2200000000000002</v>
      </c>
      <c r="M3608" s="6">
        <f ca="1">IFERROR(__xludf.DUMMYFUNCTION("IFERROR(GOOGLEFINANCE(B3608,""change""),0)"),-0.18)</f>
        <v>-0.18</v>
      </c>
      <c r="N3608" s="6">
        <v>1</v>
      </c>
      <c r="O3608" s="7">
        <v>45536</v>
      </c>
      <c r="P3608" s="6">
        <v>380.81</v>
      </c>
      <c r="Q3608" s="6">
        <v>1620.71</v>
      </c>
      <c r="R3608" s="7">
        <v>45536</v>
      </c>
      <c r="S3608" s="6">
        <v>1092.7</v>
      </c>
      <c r="T3608" s="6">
        <v>25.27</v>
      </c>
      <c r="U3608" s="7">
        <v>45536</v>
      </c>
      <c r="V3608" s="6">
        <v>49.43</v>
      </c>
      <c r="W3608" s="6">
        <f ca="1">IFERROR(__xludf.DUMMYFUNCTION("IFERROR(GOOGLEFINANCE(B3608,""pe""),V3608)"),28.52)</f>
        <v>28.52</v>
      </c>
      <c r="X3608" s="6">
        <v>2.4700000000000002</v>
      </c>
      <c r="Y3608" s="6">
        <v>2.77</v>
      </c>
      <c r="Z3608" s="6">
        <v>1</v>
      </c>
      <c r="AA3608" s="8">
        <v>45352</v>
      </c>
      <c r="AB3608" s="4">
        <v>0.92</v>
      </c>
      <c r="AC3608" s="6">
        <v>3.09</v>
      </c>
      <c r="AD3608" s="6">
        <v>10.84</v>
      </c>
      <c r="AE3608" s="1">
        <v>0</v>
      </c>
      <c r="AF3608" s="1">
        <f ca="1">IFERROR(__xludf.DUMMYFUNCTION("IFERROR(GOOGLEFINANCE(TRIM(F3608)&amp;"":"" &amp; TRIM(B3608),""high52""),AE3608)"),11.55)</f>
        <v>11.55</v>
      </c>
      <c r="AG3608" s="1">
        <v>0</v>
      </c>
      <c r="AH3608" s="1">
        <f ca="1">IFERROR(__xludf.DUMMYFUNCTION("IFERROR(GOOGLEFINANCE(TRIM(F3608)&amp;"":"" &amp; TRIM(B3608),""low52""),AE3608)"),7.06)</f>
        <v>7.06</v>
      </c>
      <c r="AI3608" s="1">
        <f ca="1">IFERROR(__xludf.DUMMYFUNCTION("IFERROR(GOOGLEFINANCE(B3608,""eps""),0)"),0.28)</f>
        <v>0.28000000000000003</v>
      </c>
      <c r="AJ3608" s="1"/>
      <c r="AK3608" s="1" t="s">
        <v>11033</v>
      </c>
      <c r="AL3608" s="9">
        <f t="shared" si="342"/>
        <v>1</v>
      </c>
    </row>
    <row r="3609" spans="1:38" ht="15" x14ac:dyDescent="0.25">
      <c r="A3609" s="1" t="s">
        <v>11034</v>
      </c>
      <c r="B3609" s="1" t="s">
        <v>11035</v>
      </c>
      <c r="C3609" s="1" t="s">
        <v>4100</v>
      </c>
      <c r="D3609" s="1" t="s">
        <v>4100</v>
      </c>
      <c r="E3609" s="6">
        <v>129.6</v>
      </c>
      <c r="F3609" s="1" t="s">
        <v>53</v>
      </c>
      <c r="G3609" s="6">
        <f ca="1">IFERROR(__xludf.DUMMYFUNCTION("iferror(GOOGLEFINANCE(TRIM(F3609)&amp;"":"" &amp; TRIM(B3609), ""price""),0
)"),0)</f>
        <v>0</v>
      </c>
      <c r="H3609" s="6">
        <v>259</v>
      </c>
      <c r="I3609" s="6">
        <f t="shared" ca="1" si="0"/>
        <v>259</v>
      </c>
      <c r="J3609" s="6">
        <f ca="1">IFERROR(__xludf.DUMMYFUNCTION("IFERROR(GOOGLEFINANCE(B3609, ""volume""), 0)"),0)</f>
        <v>0</v>
      </c>
      <c r="K3609" s="6">
        <v>7.92</v>
      </c>
      <c r="L3609" s="6">
        <f ca="1">IFERROR(__xludf.DUMMYFUNCTION("IFERROR(GOOGLEFINANCE(B3609,""changepct""),K3609)"),7.92)</f>
        <v>7.92</v>
      </c>
      <c r="M3609" s="6">
        <f ca="1">IFERROR(__xludf.DUMMYFUNCTION("IFERROR(GOOGLEFINANCE(B3609,""change""),0)"),0)</f>
        <v>0</v>
      </c>
      <c r="N3609" s="6">
        <v>1</v>
      </c>
      <c r="O3609" s="7">
        <v>45536</v>
      </c>
      <c r="P3609" s="6">
        <v>34.68</v>
      </c>
      <c r="Q3609" s="6">
        <v>164.28</v>
      </c>
      <c r="R3609" s="7">
        <v>45352</v>
      </c>
      <c r="S3609" s="6">
        <v>290.29000000000002</v>
      </c>
      <c r="T3609" s="6">
        <v>3.04</v>
      </c>
      <c r="U3609" s="7">
        <v>45352</v>
      </c>
      <c r="V3609" s="6">
        <v>42.7</v>
      </c>
      <c r="W3609" s="6">
        <f ca="1">IFERROR(__xludf.DUMMYFUNCTION("IFERROR(GOOGLEFINANCE(B3609,""pe""),V3609)"),42.7)</f>
        <v>42.7</v>
      </c>
      <c r="X3609" s="12"/>
      <c r="Y3609" s="6">
        <v>4.82</v>
      </c>
      <c r="Z3609" s="6">
        <v>1</v>
      </c>
      <c r="AA3609" s="8">
        <v>45352</v>
      </c>
      <c r="AB3609" s="4">
        <v>1.31</v>
      </c>
      <c r="AC3609" s="6">
        <v>19.170000000000002</v>
      </c>
      <c r="AD3609" s="6">
        <v>13.95</v>
      </c>
      <c r="AE3609" s="1">
        <v>0</v>
      </c>
      <c r="AF3609" s="1">
        <f ca="1">IFERROR(__xludf.DUMMYFUNCTION("IFERROR(GOOGLEFINANCE(TRIM(F3609)&amp;"":"" &amp; TRIM(B3609),""high52""),AE3609)"),0)</f>
        <v>0</v>
      </c>
      <c r="AG3609" s="1">
        <v>0</v>
      </c>
      <c r="AH3609" s="1">
        <f ca="1">IFERROR(__xludf.DUMMYFUNCTION("IFERROR(GOOGLEFINANCE(TRIM(F3609)&amp;"":"" &amp; TRIM(B3609),""low52""),AE3609)"),0)</f>
        <v>0</v>
      </c>
      <c r="AI3609" s="1">
        <f ca="1">IFERROR(__xludf.DUMMYFUNCTION("IFERROR(GOOGLEFINANCE(B3609,""eps""),0)"),0)</f>
        <v>0</v>
      </c>
      <c r="AJ3609" s="1"/>
      <c r="AK3609" s="1" t="s">
        <v>11036</v>
      </c>
      <c r="AL3609" s="9">
        <f t="shared" si="342"/>
        <v>1</v>
      </c>
    </row>
    <row r="3610" spans="1:38" ht="15" x14ac:dyDescent="0.25">
      <c r="A3610" s="1" t="s">
        <v>11037</v>
      </c>
      <c r="B3610" s="1" t="s">
        <v>11038</v>
      </c>
      <c r="C3610" s="1" t="s">
        <v>355</v>
      </c>
      <c r="D3610" s="1" t="s">
        <v>355</v>
      </c>
      <c r="E3610" s="6">
        <v>3304.93</v>
      </c>
      <c r="F3610" s="1" t="s">
        <v>40</v>
      </c>
      <c r="G3610" s="6">
        <f ca="1">IFERROR(__xludf.DUMMYFUNCTION("iferror(GOOGLEFINANCE(TRIM(F3610)&amp;"":"" &amp; TRIM(B3610), ""price""),0
)"),207.95)</f>
        <v>207.95</v>
      </c>
      <c r="H3610" s="6">
        <v>211.89</v>
      </c>
      <c r="I3610" s="6">
        <f t="shared" ca="1" si="0"/>
        <v>207.95</v>
      </c>
      <c r="J3610" s="6">
        <f ca="1">IFERROR(__xludf.DUMMYFUNCTION("IFERROR(GOOGLEFINANCE(B3610, ""volume""), 0)"),154900)</f>
        <v>154900</v>
      </c>
      <c r="K3610" s="6">
        <v>0.48</v>
      </c>
      <c r="L3610" s="6">
        <f ca="1">IFERROR(__xludf.DUMMYFUNCTION("IFERROR(GOOGLEFINANCE(B3610,""changepct""),K3610)"),0.82)</f>
        <v>0.82</v>
      </c>
      <c r="M3610" s="6">
        <f ca="1">IFERROR(__xludf.DUMMYFUNCTION("IFERROR(GOOGLEFINANCE(B3610,""change""),0)"),1.69)</f>
        <v>1.69</v>
      </c>
      <c r="N3610" s="6">
        <v>2</v>
      </c>
      <c r="O3610" s="7">
        <v>45536</v>
      </c>
      <c r="P3610" s="6">
        <v>926.19</v>
      </c>
      <c r="Q3610" s="6">
        <v>4221</v>
      </c>
      <c r="R3610" s="7">
        <v>45536</v>
      </c>
      <c r="S3610" s="6">
        <v>4299.3599999999997</v>
      </c>
      <c r="T3610" s="6">
        <v>661.91</v>
      </c>
      <c r="U3610" s="7">
        <v>45536</v>
      </c>
      <c r="V3610" s="6">
        <v>4.99</v>
      </c>
      <c r="W3610" s="6">
        <f ca="1">IFERROR(__xludf.DUMMYFUNCTION("IFERROR(GOOGLEFINANCE(B3610,""pe""),V3610)"),17.28)</f>
        <v>17.28</v>
      </c>
      <c r="X3610" s="12"/>
      <c r="Y3610" s="6">
        <v>2.29</v>
      </c>
      <c r="Z3610" s="6">
        <v>2</v>
      </c>
      <c r="AA3610" s="8">
        <v>45352</v>
      </c>
      <c r="AB3610" s="4">
        <v>0.78</v>
      </c>
      <c r="AC3610" s="6">
        <v>55.55</v>
      </c>
      <c r="AD3610" s="6">
        <v>41.04</v>
      </c>
      <c r="AE3610" s="1">
        <v>0</v>
      </c>
      <c r="AF3610" s="1">
        <f ca="1">IFERROR(__xludf.DUMMYFUNCTION("IFERROR(GOOGLEFINANCE(TRIM(F3610)&amp;"":"" &amp; TRIM(B3610),""high52""),AE3610)"),280)</f>
        <v>280</v>
      </c>
      <c r="AG3610" s="1">
        <v>0</v>
      </c>
      <c r="AH3610" s="1">
        <f ca="1">IFERROR(__xludf.DUMMYFUNCTION("IFERROR(GOOGLEFINANCE(TRIM(F3610)&amp;"":"" &amp; TRIM(B3610),""low52""),AE3610)"),167.41)</f>
        <v>167.41</v>
      </c>
      <c r="AI3610" s="1">
        <f ca="1">IFERROR(__xludf.DUMMYFUNCTION("IFERROR(GOOGLEFINANCE(B3610,""eps""),0)"),12.03)</f>
        <v>12.03</v>
      </c>
      <c r="AJ3610" s="1"/>
      <c r="AK3610" s="1" t="s">
        <v>11039</v>
      </c>
      <c r="AL3610" s="1" t="b">
        <f>ISNUMBER(AA3610)</f>
        <v>1</v>
      </c>
    </row>
    <row r="3611" spans="1:38" ht="15" x14ac:dyDescent="0.25">
      <c r="A3611" s="1" t="s">
        <v>11040</v>
      </c>
      <c r="B3611" s="1" t="s">
        <v>11041</v>
      </c>
      <c r="C3611" s="1" t="s">
        <v>4100</v>
      </c>
      <c r="D3611" s="1" t="s">
        <v>4100</v>
      </c>
      <c r="E3611" s="6">
        <v>485.41</v>
      </c>
      <c r="F3611" s="1" t="s">
        <v>53</v>
      </c>
      <c r="G3611" s="6">
        <f ca="1">IFERROR(__xludf.DUMMYFUNCTION("iferror(GOOGLEFINANCE(TRIM(F3611)&amp;"":"" &amp; TRIM(B3611), ""price""),0
)"),0)</f>
        <v>0</v>
      </c>
      <c r="H3611" s="6">
        <v>241.95</v>
      </c>
      <c r="I3611" s="6">
        <f t="shared" ca="1" si="0"/>
        <v>241.95</v>
      </c>
      <c r="J3611" s="6">
        <f ca="1">IFERROR(__xludf.DUMMYFUNCTION("IFERROR(GOOGLEFINANCE(B3611, ""volume""), 0)"),0)</f>
        <v>0</v>
      </c>
      <c r="K3611" s="6">
        <v>10.25</v>
      </c>
      <c r="L3611" s="6">
        <f ca="1">IFERROR(__xludf.DUMMYFUNCTION("IFERROR(GOOGLEFINANCE(B3611,""changepct""),K3611)"),10.25)</f>
        <v>10.25</v>
      </c>
      <c r="M3611" s="6">
        <f ca="1">IFERROR(__xludf.DUMMYFUNCTION("IFERROR(GOOGLEFINANCE(B3611,""change""),0)"),0)</f>
        <v>0</v>
      </c>
      <c r="N3611" s="6">
        <v>1</v>
      </c>
      <c r="O3611" s="7">
        <v>45536</v>
      </c>
      <c r="P3611" s="6">
        <v>134.47</v>
      </c>
      <c r="Q3611" s="6">
        <v>619.88</v>
      </c>
      <c r="R3611" s="7">
        <v>45352</v>
      </c>
      <c r="S3611" s="6">
        <v>575.23</v>
      </c>
      <c r="T3611" s="6">
        <v>15.03</v>
      </c>
      <c r="U3611" s="7">
        <v>45352</v>
      </c>
      <c r="V3611" s="6">
        <v>32.299999999999997</v>
      </c>
      <c r="W3611" s="6">
        <f ca="1">IFERROR(__xludf.DUMMYFUNCTION("IFERROR(GOOGLEFINANCE(B3611,""pe""),V3611)"),32.3)</f>
        <v>32.299999999999997</v>
      </c>
      <c r="X3611" s="9"/>
      <c r="Y3611" s="6">
        <v>6.97</v>
      </c>
      <c r="Z3611" s="6">
        <v>1</v>
      </c>
      <c r="AA3611" s="8">
        <v>45352</v>
      </c>
      <c r="AB3611" s="4">
        <v>1.88</v>
      </c>
      <c r="AC3611" s="6">
        <v>25.36</v>
      </c>
      <c r="AD3611" s="6">
        <v>18.04</v>
      </c>
      <c r="AE3611" s="1">
        <v>0</v>
      </c>
      <c r="AF3611" s="1">
        <f ca="1">IFERROR(__xludf.DUMMYFUNCTION("IFERROR(GOOGLEFINANCE(TRIM(F3611)&amp;"":"" &amp; TRIM(B3611),""high52""),AE3611)"),0)</f>
        <v>0</v>
      </c>
      <c r="AG3611" s="1">
        <v>0</v>
      </c>
      <c r="AH3611" s="1">
        <f ca="1">IFERROR(__xludf.DUMMYFUNCTION("IFERROR(GOOGLEFINANCE(TRIM(F3611)&amp;"":"" &amp; TRIM(B3611),""low52""),AE3611)"),0)</f>
        <v>0</v>
      </c>
      <c r="AI3611" s="1">
        <f ca="1">IFERROR(__xludf.DUMMYFUNCTION("IFERROR(GOOGLEFINANCE(B3611,""eps""),0)"),0)</f>
        <v>0</v>
      </c>
      <c r="AJ3611" s="1"/>
      <c r="AK3611" s="1" t="s">
        <v>11042</v>
      </c>
      <c r="AL3611" s="9">
        <f>IF(AA3611&lt;&gt;AB3611,1,0)</f>
        <v>1</v>
      </c>
    </row>
    <row r="3612" spans="1:38" ht="15" x14ac:dyDescent="0.25">
      <c r="A3612" s="1" t="s">
        <v>11043</v>
      </c>
      <c r="B3612" s="1" t="s">
        <v>11044</v>
      </c>
      <c r="C3612" s="1" t="s">
        <v>521</v>
      </c>
      <c r="D3612" s="1" t="s">
        <v>521</v>
      </c>
      <c r="E3612" s="6">
        <v>1753.59</v>
      </c>
      <c r="F3612" s="1" t="s">
        <v>40</v>
      </c>
      <c r="G3612" s="6">
        <f ca="1">IFERROR(__xludf.DUMMYFUNCTION("iferror(GOOGLEFINANCE(TRIM(F3612)&amp;"":"" &amp; TRIM(B3612), ""price""),0
)"),213)</f>
        <v>213</v>
      </c>
      <c r="H3612" s="6">
        <v>865.55</v>
      </c>
      <c r="I3612" s="6">
        <f t="shared" ca="1" si="0"/>
        <v>213</v>
      </c>
      <c r="J3612" s="6">
        <f ca="1">IFERROR(__xludf.DUMMYFUNCTION("IFERROR(GOOGLEFINANCE(B3612, ""volume""), 0)"),87014)</f>
        <v>87014</v>
      </c>
      <c r="K3612" s="6">
        <v>0.45</v>
      </c>
      <c r="L3612" s="6">
        <f ca="1">IFERROR(__xludf.DUMMYFUNCTION("IFERROR(GOOGLEFINANCE(B3612,""changepct""),K3612)"),1.88)</f>
        <v>1.88</v>
      </c>
      <c r="M3612" s="6">
        <f ca="1">IFERROR(__xludf.DUMMYFUNCTION("IFERROR(GOOGLEFINANCE(B3612,""change""),0)"),3.93)</f>
        <v>3.93</v>
      </c>
      <c r="N3612" s="6">
        <v>1</v>
      </c>
      <c r="O3612" s="7">
        <v>45536</v>
      </c>
      <c r="P3612" s="12"/>
      <c r="Q3612" s="6">
        <v>1725.74</v>
      </c>
      <c r="R3612" s="7">
        <v>45536</v>
      </c>
      <c r="S3612" s="6">
        <v>342.28</v>
      </c>
      <c r="T3612" s="6">
        <v>62.35</v>
      </c>
      <c r="U3612" s="7">
        <v>45536</v>
      </c>
      <c r="V3612" s="6">
        <v>28.12</v>
      </c>
      <c r="W3612" s="6">
        <f ca="1">IFERROR(__xludf.DUMMYFUNCTION("IFERROR(GOOGLEFINANCE(B3612,""pe""),V3612)"),24.22)</f>
        <v>24.22</v>
      </c>
      <c r="X3612" s="6">
        <v>1.1399999999999999</v>
      </c>
      <c r="Y3612" s="6">
        <v>6.12</v>
      </c>
      <c r="Z3612" s="6">
        <v>1</v>
      </c>
      <c r="AA3612" s="8">
        <v>45352</v>
      </c>
      <c r="AB3612" s="4">
        <v>0</v>
      </c>
      <c r="AC3612" s="6">
        <v>30.94</v>
      </c>
      <c r="AD3612" s="6">
        <v>40.200000000000003</v>
      </c>
      <c r="AE3612" s="1">
        <v>0</v>
      </c>
      <c r="AF3612" s="1">
        <f ca="1">IFERROR(__xludf.DUMMYFUNCTION("IFERROR(GOOGLEFINANCE(TRIM(F3612)&amp;"":"" &amp; TRIM(B3612),""high52""),AE3612)"),255.8)</f>
        <v>255.8</v>
      </c>
      <c r="AG3612" s="1">
        <v>0</v>
      </c>
      <c r="AH3612" s="1">
        <f ca="1">IFERROR(__xludf.DUMMYFUNCTION("IFERROR(GOOGLEFINANCE(TRIM(F3612)&amp;"":"" &amp; TRIM(B3612),""low52""),AE3612)"),142.11)</f>
        <v>142.11000000000001</v>
      </c>
      <c r="AI3612" s="1">
        <f ca="1">IFERROR(__xludf.DUMMYFUNCTION("IFERROR(GOOGLEFINANCE(B3612,""eps""),0)"),8.8)</f>
        <v>8.8000000000000007</v>
      </c>
      <c r="AJ3612" s="1"/>
      <c r="AK3612" s="1" t="s">
        <v>11045</v>
      </c>
      <c r="AL3612" s="1" t="b">
        <f>ISNUMBER(AA3612)</f>
        <v>1</v>
      </c>
    </row>
    <row r="3613" spans="1:38" ht="15" x14ac:dyDescent="0.25">
      <c r="A3613" s="1" t="s">
        <v>11046</v>
      </c>
      <c r="B3613" s="1" t="s">
        <v>11047</v>
      </c>
      <c r="C3613" s="1" t="s">
        <v>4100</v>
      </c>
      <c r="D3613" s="1" t="s">
        <v>4100</v>
      </c>
      <c r="E3613" s="6">
        <v>19.690000000000001</v>
      </c>
      <c r="F3613" s="1" t="s">
        <v>53</v>
      </c>
      <c r="G3613" s="6">
        <f ca="1">IFERROR(__xludf.DUMMYFUNCTION("iferror(GOOGLEFINANCE(TRIM(F3613)&amp;"":"" &amp; TRIM(B3613), ""price""),0
)"),0)</f>
        <v>0</v>
      </c>
      <c r="H3613" s="6">
        <v>5.86</v>
      </c>
      <c r="I3613" s="6">
        <f t="shared" ca="1" si="0"/>
        <v>5.86</v>
      </c>
      <c r="J3613" s="6">
        <f ca="1">IFERROR(__xludf.DUMMYFUNCTION("IFERROR(GOOGLEFINANCE(B3613, ""volume""), 0)"),0)</f>
        <v>0</v>
      </c>
      <c r="K3613" s="6">
        <v>-0.68</v>
      </c>
      <c r="L3613" s="6">
        <f ca="1">IFERROR(__xludf.DUMMYFUNCTION("IFERROR(GOOGLEFINANCE(B3613,""changepct""),K3613)"),-0.68)</f>
        <v>-0.68</v>
      </c>
      <c r="M3613" s="6">
        <f ca="1">IFERROR(__xludf.DUMMYFUNCTION("IFERROR(GOOGLEFINANCE(B3613,""change""),0)"),0)</f>
        <v>0</v>
      </c>
      <c r="N3613" s="6">
        <v>1</v>
      </c>
      <c r="O3613" s="7">
        <v>45536</v>
      </c>
      <c r="P3613" s="6">
        <v>0.9</v>
      </c>
      <c r="Q3613" s="6">
        <v>20.59</v>
      </c>
      <c r="R3613" s="7">
        <v>45536</v>
      </c>
      <c r="S3613" s="6">
        <v>19.93</v>
      </c>
      <c r="T3613" s="6">
        <v>0.69</v>
      </c>
      <c r="U3613" s="7">
        <v>45536</v>
      </c>
      <c r="V3613" s="6">
        <v>28.58</v>
      </c>
      <c r="W3613" s="6">
        <f ca="1">IFERROR(__xludf.DUMMYFUNCTION("IFERROR(GOOGLEFINANCE(B3613,""pe""),V3613)"),28.58)</f>
        <v>28.58</v>
      </c>
      <c r="X3613" s="6">
        <v>0.28999999999999998</v>
      </c>
      <c r="Y3613" s="6">
        <v>11.84</v>
      </c>
      <c r="Z3613" s="6">
        <v>1</v>
      </c>
      <c r="AA3613" s="8">
        <v>45352</v>
      </c>
      <c r="AB3613" s="4">
        <v>0.74</v>
      </c>
      <c r="AC3613" s="6">
        <v>23.45</v>
      </c>
      <c r="AD3613" s="6">
        <v>17.38</v>
      </c>
      <c r="AE3613" s="1">
        <v>0</v>
      </c>
      <c r="AF3613" s="1">
        <f ca="1">IFERROR(__xludf.DUMMYFUNCTION("IFERROR(GOOGLEFINANCE(TRIM(F3613)&amp;"":"" &amp; TRIM(B3613),""high52""),AE3613)"),0)</f>
        <v>0</v>
      </c>
      <c r="AG3613" s="1">
        <v>0</v>
      </c>
      <c r="AH3613" s="1">
        <f ca="1">IFERROR(__xludf.DUMMYFUNCTION("IFERROR(GOOGLEFINANCE(TRIM(F3613)&amp;"":"" &amp; TRIM(B3613),""low52""),AE3613)"),0)</f>
        <v>0</v>
      </c>
      <c r="AI3613" s="1">
        <f ca="1">IFERROR(__xludf.DUMMYFUNCTION("IFERROR(GOOGLEFINANCE(B3613,""eps""),0)"),0)</f>
        <v>0</v>
      </c>
      <c r="AJ3613" s="1"/>
      <c r="AK3613" s="1" t="s">
        <v>11048</v>
      </c>
      <c r="AL3613" s="9">
        <f t="shared" ref="AL3613:AL3623" si="343">IF(AA3613&lt;&gt;AB3613,1,0)</f>
        <v>1</v>
      </c>
    </row>
    <row r="3614" spans="1:38" ht="15" x14ac:dyDescent="0.25">
      <c r="A3614" s="1" t="s">
        <v>11049</v>
      </c>
      <c r="B3614" s="1" t="s">
        <v>11050</v>
      </c>
      <c r="C3614" s="1" t="s">
        <v>4100</v>
      </c>
      <c r="D3614" s="1" t="s">
        <v>4100</v>
      </c>
      <c r="E3614" s="6">
        <v>9.18</v>
      </c>
      <c r="F3614" s="1" t="s">
        <v>53</v>
      </c>
      <c r="G3614" s="6">
        <f ca="1">IFERROR(__xludf.DUMMYFUNCTION("iferror(GOOGLEFINANCE(TRIM(F3614)&amp;"":"" &amp; TRIM(B3614), ""price""),0
)"),0)</f>
        <v>0</v>
      </c>
      <c r="H3614" s="6">
        <v>103.99</v>
      </c>
      <c r="I3614" s="6">
        <f t="shared" ca="1" si="0"/>
        <v>103.99</v>
      </c>
      <c r="J3614" s="6">
        <f ca="1">IFERROR(__xludf.DUMMYFUNCTION("IFERROR(GOOGLEFINANCE(B3614, ""volume""), 0)"),0)</f>
        <v>0</v>
      </c>
      <c r="K3614" s="6">
        <v>-3.69</v>
      </c>
      <c r="L3614" s="6">
        <f ca="1">IFERROR(__xludf.DUMMYFUNCTION("IFERROR(GOOGLEFINANCE(B3614,""changepct""),K3614)"),-3.69)</f>
        <v>-3.69</v>
      </c>
      <c r="M3614" s="6">
        <f ca="1">IFERROR(__xludf.DUMMYFUNCTION("IFERROR(GOOGLEFINANCE(B3614,""change""),0)"),0)</f>
        <v>0</v>
      </c>
      <c r="N3614" s="6">
        <v>1</v>
      </c>
      <c r="O3614" s="7">
        <v>45536</v>
      </c>
      <c r="P3614" s="6">
        <v>0.11</v>
      </c>
      <c r="Q3614" s="6">
        <v>7.47</v>
      </c>
      <c r="R3614" s="7">
        <v>45536</v>
      </c>
      <c r="S3614" s="6">
        <v>0.82</v>
      </c>
      <c r="T3614" s="6">
        <v>0.37</v>
      </c>
      <c r="U3614" s="7">
        <v>45536</v>
      </c>
      <c r="V3614" s="6">
        <v>24.61</v>
      </c>
      <c r="W3614" s="6">
        <f ca="1">IFERROR(__xludf.DUMMYFUNCTION("IFERROR(GOOGLEFINANCE(B3614,""pe""),V3614)"),24.61)</f>
        <v>24.61</v>
      </c>
      <c r="X3614" s="6">
        <v>1.02</v>
      </c>
      <c r="Y3614" s="6">
        <v>3.24</v>
      </c>
      <c r="Z3614" s="6">
        <v>1</v>
      </c>
      <c r="AA3614" s="8">
        <v>45352</v>
      </c>
      <c r="AB3614" s="4">
        <v>0.18</v>
      </c>
      <c r="AC3614" s="6">
        <v>14.06</v>
      </c>
      <c r="AD3614" s="6">
        <v>16.55</v>
      </c>
      <c r="AE3614" s="1">
        <v>0</v>
      </c>
      <c r="AF3614" s="1">
        <f ca="1">IFERROR(__xludf.DUMMYFUNCTION("IFERROR(GOOGLEFINANCE(TRIM(F3614)&amp;"":"" &amp; TRIM(B3614),""high52""),AE3614)"),0)</f>
        <v>0</v>
      </c>
      <c r="AG3614" s="1">
        <v>0</v>
      </c>
      <c r="AH3614" s="1">
        <f ca="1">IFERROR(__xludf.DUMMYFUNCTION("IFERROR(GOOGLEFINANCE(TRIM(F3614)&amp;"":"" &amp; TRIM(B3614),""low52""),AE3614)"),0)</f>
        <v>0</v>
      </c>
      <c r="AI3614" s="1">
        <f ca="1">IFERROR(__xludf.DUMMYFUNCTION("IFERROR(GOOGLEFINANCE(B3614,""eps""),0)"),0)</f>
        <v>0</v>
      </c>
      <c r="AJ3614" s="1"/>
      <c r="AK3614" s="1" t="s">
        <v>11051</v>
      </c>
      <c r="AL3614" s="9">
        <f t="shared" si="343"/>
        <v>1</v>
      </c>
    </row>
    <row r="3615" spans="1:38" ht="15" x14ac:dyDescent="0.25">
      <c r="A3615" s="1" t="s">
        <v>11052</v>
      </c>
      <c r="B3615" s="1" t="s">
        <v>11053</v>
      </c>
      <c r="C3615" s="1" t="s">
        <v>4100</v>
      </c>
      <c r="D3615" s="1" t="s">
        <v>4100</v>
      </c>
      <c r="E3615" s="6">
        <v>53.82</v>
      </c>
      <c r="F3615" s="1" t="s">
        <v>53</v>
      </c>
      <c r="G3615" s="6">
        <f ca="1">IFERROR(__xludf.DUMMYFUNCTION("iferror(GOOGLEFINANCE(TRIM(F3615)&amp;"":"" &amp; TRIM(B3615), ""price""),0
)"),0)</f>
        <v>0</v>
      </c>
      <c r="H3615" s="6">
        <v>62.38</v>
      </c>
      <c r="I3615" s="6">
        <f t="shared" ca="1" si="0"/>
        <v>62.38</v>
      </c>
      <c r="J3615" s="6">
        <f ca="1">IFERROR(__xludf.DUMMYFUNCTION("IFERROR(GOOGLEFINANCE(B3615, ""volume""), 0)"),0)</f>
        <v>0</v>
      </c>
      <c r="K3615" s="6">
        <v>1.99</v>
      </c>
      <c r="L3615" s="6">
        <f ca="1">IFERROR(__xludf.DUMMYFUNCTION("IFERROR(GOOGLEFINANCE(B3615,""changepct""),K3615)"),1.99)</f>
        <v>1.99</v>
      </c>
      <c r="M3615" s="6">
        <f ca="1">IFERROR(__xludf.DUMMYFUNCTION("IFERROR(GOOGLEFINANCE(B3615,""change""),0)"),0)</f>
        <v>0</v>
      </c>
      <c r="N3615" s="6">
        <v>1</v>
      </c>
      <c r="O3615" s="7">
        <v>45536</v>
      </c>
      <c r="P3615" s="6">
        <v>0.15</v>
      </c>
      <c r="Q3615" s="6">
        <v>53.97</v>
      </c>
      <c r="R3615" s="7">
        <v>45536</v>
      </c>
      <c r="S3615" s="6">
        <v>6.46</v>
      </c>
      <c r="T3615" s="6">
        <v>1.78</v>
      </c>
      <c r="U3615" s="7">
        <v>45536</v>
      </c>
      <c r="V3615" s="6">
        <v>30.32</v>
      </c>
      <c r="W3615" s="6">
        <f ca="1">IFERROR(__xludf.DUMMYFUNCTION("IFERROR(GOOGLEFINANCE(B3615,""pe""),V3615)"),30.32)</f>
        <v>30.32</v>
      </c>
      <c r="X3615" s="6">
        <v>0.15</v>
      </c>
      <c r="Y3615" s="6">
        <v>8.69</v>
      </c>
      <c r="Z3615" s="6">
        <v>1</v>
      </c>
      <c r="AA3615" s="8">
        <v>45352</v>
      </c>
      <c r="AB3615" s="4">
        <v>0</v>
      </c>
      <c r="AC3615" s="6">
        <v>22.43</v>
      </c>
      <c r="AD3615" s="6">
        <v>26.58</v>
      </c>
      <c r="AE3615" s="1">
        <v>0</v>
      </c>
      <c r="AF3615" s="1">
        <f ca="1">IFERROR(__xludf.DUMMYFUNCTION("IFERROR(GOOGLEFINANCE(TRIM(F3615)&amp;"":"" &amp; TRIM(B3615),""high52""),AE3615)"),0)</f>
        <v>0</v>
      </c>
      <c r="AG3615" s="1">
        <v>0</v>
      </c>
      <c r="AH3615" s="1">
        <f ca="1">IFERROR(__xludf.DUMMYFUNCTION("IFERROR(GOOGLEFINANCE(TRIM(F3615)&amp;"":"" &amp; TRIM(B3615),""low52""),AE3615)"),0)</f>
        <v>0</v>
      </c>
      <c r="AI3615" s="1">
        <f ca="1">IFERROR(__xludf.DUMMYFUNCTION("IFERROR(GOOGLEFINANCE(B3615,""eps""),0)"),0)</f>
        <v>0</v>
      </c>
      <c r="AJ3615" s="1"/>
      <c r="AK3615" s="1" t="s">
        <v>11054</v>
      </c>
      <c r="AL3615" s="9">
        <f t="shared" si="343"/>
        <v>1</v>
      </c>
    </row>
    <row r="3616" spans="1:38" ht="15" x14ac:dyDescent="0.25">
      <c r="A3616" s="1" t="s">
        <v>11055</v>
      </c>
      <c r="B3616" s="1" t="s">
        <v>11056</v>
      </c>
      <c r="C3616" s="1" t="s">
        <v>43</v>
      </c>
      <c r="D3616" s="1" t="s">
        <v>43</v>
      </c>
      <c r="E3616" s="6">
        <v>767.01</v>
      </c>
      <c r="F3616" s="1" t="s">
        <v>40</v>
      </c>
      <c r="G3616" s="6">
        <f ca="1">IFERROR(__xludf.DUMMYFUNCTION("iferror(GOOGLEFINANCE(TRIM(F3616)&amp;"":"" &amp; TRIM(B3616), ""price""),0
)"),421)</f>
        <v>421</v>
      </c>
      <c r="H3616" s="6">
        <v>413.55</v>
      </c>
      <c r="I3616" s="6">
        <f t="shared" ca="1" si="0"/>
        <v>421</v>
      </c>
      <c r="J3616" s="6">
        <f ca="1">IFERROR(__xludf.DUMMYFUNCTION("IFERROR(GOOGLEFINANCE(B3616, ""volume""), 0)"),0)</f>
        <v>0</v>
      </c>
      <c r="K3616" s="6">
        <v>-0.73</v>
      </c>
      <c r="L3616" s="6">
        <f ca="1">IFERROR(__xludf.DUMMYFUNCTION("IFERROR(GOOGLEFINANCE(B3616,""changepct""),K3616)"),0.7)</f>
        <v>0.7</v>
      </c>
      <c r="M3616" s="6">
        <f ca="1">IFERROR(__xludf.DUMMYFUNCTION("IFERROR(GOOGLEFINANCE(B3616,""change""),0)"),0.26)</f>
        <v>0.26</v>
      </c>
      <c r="N3616" s="6">
        <v>2</v>
      </c>
      <c r="O3616" s="7">
        <v>45536</v>
      </c>
      <c r="P3616" s="6">
        <v>15.86</v>
      </c>
      <c r="Q3616" s="7">
        <v>45536</v>
      </c>
      <c r="R3616" s="6">
        <v>48.35</v>
      </c>
      <c r="S3616" s="6">
        <v>5.96</v>
      </c>
      <c r="T3616" s="6">
        <v>0.36</v>
      </c>
      <c r="U3616" s="6">
        <v>2</v>
      </c>
      <c r="V3616" s="7">
        <v>45352</v>
      </c>
      <c r="W3616" s="6">
        <f ca="1">IFERROR(__xludf.DUMMYFUNCTION("IFERROR(GOOGLEFINANCE(B3616,""pe""),V3616)"),17.65)</f>
        <v>17.649999999999999</v>
      </c>
      <c r="X3616" s="6">
        <v>0</v>
      </c>
      <c r="Y3616" s="6">
        <v>1.1499999999999999</v>
      </c>
      <c r="Z3616" s="6">
        <v>1.53</v>
      </c>
      <c r="AA3616" s="3" t="s">
        <v>11057</v>
      </c>
      <c r="AB3616" s="11"/>
      <c r="AC3616" s="9"/>
      <c r="AD3616" s="9"/>
      <c r="AE3616" s="1">
        <v>0</v>
      </c>
      <c r="AF3616" s="1">
        <f ca="1">IFERROR(__xludf.DUMMYFUNCTION("IFERROR(GOOGLEFINANCE(TRIM(F3616)&amp;"":"" &amp; TRIM(B3616),""high52""),AE3616)"),633.3)</f>
        <v>633.29999999999995</v>
      </c>
      <c r="AG3616" s="1">
        <v>0</v>
      </c>
      <c r="AH3616" s="1">
        <f ca="1">IFERROR(__xludf.DUMMYFUNCTION("IFERROR(GOOGLEFINANCE(TRIM(F3616)&amp;"":"" &amp; TRIM(B3616),""low52""),AE3616)"),310.1)</f>
        <v>310.10000000000002</v>
      </c>
      <c r="AI3616" s="1">
        <f ca="1">IFERROR(__xludf.DUMMYFUNCTION("IFERROR(GOOGLEFINANCE(B3616,""eps""),0)"),1.43)</f>
        <v>1.43</v>
      </c>
      <c r="AJ3616" s="1"/>
      <c r="AK3616" s="9"/>
      <c r="AL3616" s="9">
        <f t="shared" si="343"/>
        <v>1</v>
      </c>
    </row>
    <row r="3617" spans="1:38" ht="15" x14ac:dyDescent="0.25">
      <c r="A3617" s="1" t="s">
        <v>11058</v>
      </c>
      <c r="B3617" s="1" t="s">
        <v>11059</v>
      </c>
      <c r="C3617" s="1" t="s">
        <v>4100</v>
      </c>
      <c r="D3617" s="1" t="s">
        <v>4100</v>
      </c>
      <c r="E3617" s="6">
        <v>35.25</v>
      </c>
      <c r="F3617" s="1" t="s">
        <v>53</v>
      </c>
      <c r="G3617" s="6">
        <f ca="1">IFERROR(__xludf.DUMMYFUNCTION("iferror(GOOGLEFINANCE(TRIM(F3617)&amp;"":"" &amp; TRIM(B3617), ""price""),0
)"),0)</f>
        <v>0</v>
      </c>
      <c r="H3617" s="6">
        <v>57.76</v>
      </c>
      <c r="I3617" s="6">
        <f t="shared" ca="1" si="0"/>
        <v>57.76</v>
      </c>
      <c r="J3617" s="6">
        <f ca="1">IFERROR(__xludf.DUMMYFUNCTION("IFERROR(GOOGLEFINANCE(B3617, ""volume""), 0)"),0)</f>
        <v>0</v>
      </c>
      <c r="K3617" s="9"/>
      <c r="L3617" s="6" t="str">
        <f ca="1">IFERROR(__xludf.DUMMYFUNCTION("IFERROR(GOOGLEFINANCE(B3617,""changepct""),K3617)"),"")</f>
        <v/>
      </c>
      <c r="M3617" s="6">
        <f ca="1">IFERROR(__xludf.DUMMYFUNCTION("IFERROR(GOOGLEFINANCE(B3617,""change""),0)"),0)</f>
        <v>0</v>
      </c>
      <c r="N3617" s="6">
        <v>1</v>
      </c>
      <c r="O3617" s="7">
        <v>45536</v>
      </c>
      <c r="P3617" s="6">
        <v>37.75</v>
      </c>
      <c r="Q3617" s="6">
        <v>64.23</v>
      </c>
      <c r="R3617" s="7">
        <v>45536</v>
      </c>
      <c r="S3617" s="6">
        <v>20.39</v>
      </c>
      <c r="T3617" s="6">
        <v>1.31</v>
      </c>
      <c r="U3617" s="7">
        <v>45536</v>
      </c>
      <c r="V3617" s="6">
        <v>26.87</v>
      </c>
      <c r="W3617" s="6">
        <f ca="1">IFERROR(__xludf.DUMMYFUNCTION("IFERROR(GOOGLEFINANCE(B3617,""pe""),V3617)"),26.87)</f>
        <v>26.87</v>
      </c>
      <c r="X3617" s="9"/>
      <c r="Y3617" s="6">
        <v>-2.37</v>
      </c>
      <c r="Z3617" s="6">
        <v>2</v>
      </c>
      <c r="AA3617" s="8">
        <v>44986</v>
      </c>
      <c r="AB3617" s="4">
        <v>-1</v>
      </c>
      <c r="AC3617" s="6">
        <v>0</v>
      </c>
      <c r="AD3617" s="6">
        <v>-207.65</v>
      </c>
      <c r="AE3617" s="1">
        <v>0</v>
      </c>
      <c r="AF3617" s="1">
        <f ca="1">IFERROR(__xludf.DUMMYFUNCTION("IFERROR(GOOGLEFINANCE(TRIM(F3617)&amp;"":"" &amp; TRIM(B3617),""high52""),AE3617)"),0)</f>
        <v>0</v>
      </c>
      <c r="AG3617" s="1">
        <v>0</v>
      </c>
      <c r="AH3617" s="1">
        <f ca="1">IFERROR(__xludf.DUMMYFUNCTION("IFERROR(GOOGLEFINANCE(TRIM(F3617)&amp;"":"" &amp; TRIM(B3617),""low52""),AE3617)"),0)</f>
        <v>0</v>
      </c>
      <c r="AI3617" s="1">
        <f ca="1">IFERROR(__xludf.DUMMYFUNCTION("IFERROR(GOOGLEFINANCE(B3617,""eps""),0)"),0)</f>
        <v>0</v>
      </c>
      <c r="AJ3617" s="1"/>
      <c r="AK3617" s="1" t="s">
        <v>11060</v>
      </c>
      <c r="AL3617" s="9">
        <f t="shared" si="343"/>
        <v>1</v>
      </c>
    </row>
    <row r="3618" spans="1:38" ht="15" x14ac:dyDescent="0.25">
      <c r="A3618" s="1" t="s">
        <v>11061</v>
      </c>
      <c r="B3618" s="1" t="s">
        <v>11062</v>
      </c>
      <c r="C3618" s="1" t="s">
        <v>86</v>
      </c>
      <c r="D3618" s="1" t="s">
        <v>86</v>
      </c>
      <c r="E3618" s="6">
        <v>10896.01</v>
      </c>
      <c r="F3618" s="1" t="s">
        <v>40</v>
      </c>
      <c r="G3618" s="6">
        <f ca="1">IFERROR(__xludf.DUMMYFUNCTION("iferror(GOOGLEFINANCE(TRIM(F3618)&amp;"":"" &amp; TRIM(B3618), ""price""),0
)"),186.3)</f>
        <v>186.3</v>
      </c>
      <c r="H3618" s="6">
        <v>473.55</v>
      </c>
      <c r="I3618" s="6">
        <f t="shared" ca="1" si="0"/>
        <v>186.3</v>
      </c>
      <c r="J3618" s="6">
        <f ca="1">IFERROR(__xludf.DUMMYFUNCTION("IFERROR(GOOGLEFINANCE(B3618, ""volume""), 0)"),1197547)</f>
        <v>1197547</v>
      </c>
      <c r="K3618" s="6">
        <v>1.52</v>
      </c>
      <c r="L3618" s="6">
        <f ca="1">IFERROR(__xludf.DUMMYFUNCTION("IFERROR(GOOGLEFINANCE(B3618,""changepct""),K3618)"),0.42)</f>
        <v>0.42</v>
      </c>
      <c r="M3618" s="6">
        <f ca="1">IFERROR(__xludf.DUMMYFUNCTION("IFERROR(GOOGLEFINANCE(B3618,""change""),0)"),0.77)</f>
        <v>0.77</v>
      </c>
      <c r="N3618" s="6">
        <v>2</v>
      </c>
      <c r="O3618" s="7">
        <v>45536</v>
      </c>
      <c r="P3618" s="6">
        <v>872.8</v>
      </c>
      <c r="Q3618" s="6">
        <v>11310.89</v>
      </c>
      <c r="R3618" s="7">
        <v>45536</v>
      </c>
      <c r="S3618" s="6">
        <v>3706.44</v>
      </c>
      <c r="T3618" s="6">
        <v>-47.59</v>
      </c>
      <c r="U3618" s="7">
        <v>45536</v>
      </c>
      <c r="V3618" s="6">
        <v>0</v>
      </c>
      <c r="W3618" s="6">
        <f ca="1">IFERROR(__xludf.DUMMYFUNCTION("IFERROR(GOOGLEFINANCE(B3618,""pe""),V3618)"),0)</f>
        <v>0</v>
      </c>
      <c r="X3618" s="12"/>
      <c r="Y3618" s="6">
        <v>11.27</v>
      </c>
      <c r="Z3618" s="6">
        <v>2</v>
      </c>
      <c r="AA3618" s="8">
        <v>45352</v>
      </c>
      <c r="AB3618" s="4">
        <v>0.49</v>
      </c>
      <c r="AC3618" s="6">
        <v>-57.67</v>
      </c>
      <c r="AD3618" s="6">
        <v>3.8</v>
      </c>
      <c r="AE3618" s="1">
        <v>0</v>
      </c>
      <c r="AF3618" s="1">
        <f ca="1">IFERROR(__xludf.DUMMYFUNCTION("IFERROR(GOOGLEFINANCE(TRIM(F3618)&amp;"":"" &amp; TRIM(B3618),""high52""),AE3618)"),348.9)</f>
        <v>348.9</v>
      </c>
      <c r="AG3618" s="1">
        <v>0</v>
      </c>
      <c r="AH3618" s="1">
        <f ca="1">IFERROR(__xludf.DUMMYFUNCTION("IFERROR(GOOGLEFINANCE(TRIM(F3618)&amp;"":"" &amp; TRIM(B3618),""low52""),AE3618)"),176.6)</f>
        <v>176.6</v>
      </c>
      <c r="AI3618" s="1">
        <f ca="1">IFERROR(__xludf.DUMMYFUNCTION("IFERROR(GOOGLEFINANCE(B3618,""eps""),0)"),-16.67)</f>
        <v>-16.670000000000002</v>
      </c>
      <c r="AJ3618" s="1"/>
      <c r="AK3618" s="1" t="s">
        <v>11063</v>
      </c>
      <c r="AL3618" s="9">
        <f t="shared" si="343"/>
        <v>1</v>
      </c>
    </row>
    <row r="3619" spans="1:38" ht="15" x14ac:dyDescent="0.25">
      <c r="A3619" s="1" t="s">
        <v>11064</v>
      </c>
      <c r="B3619" s="1" t="s">
        <v>11065</v>
      </c>
      <c r="C3619" s="1" t="s">
        <v>4100</v>
      </c>
      <c r="D3619" s="1" t="s">
        <v>4100</v>
      </c>
      <c r="E3619" s="6">
        <v>18.63</v>
      </c>
      <c r="F3619" s="1" t="s">
        <v>53</v>
      </c>
      <c r="G3619" s="6">
        <f ca="1">IFERROR(__xludf.DUMMYFUNCTION("iferror(GOOGLEFINANCE(TRIM(F3619)&amp;"":"" &amp; TRIM(B3619), ""price""),0
)"),0)</f>
        <v>0</v>
      </c>
      <c r="H3619" s="6">
        <v>43.25</v>
      </c>
      <c r="I3619" s="6">
        <f t="shared" ca="1" si="0"/>
        <v>43.25</v>
      </c>
      <c r="J3619" s="6">
        <f ca="1">IFERROR(__xludf.DUMMYFUNCTION("IFERROR(GOOGLEFINANCE(B3619, ""volume""), 0)"),0)</f>
        <v>0</v>
      </c>
      <c r="K3619" s="6">
        <v>-4.97</v>
      </c>
      <c r="L3619" s="6">
        <f ca="1">IFERROR(__xludf.DUMMYFUNCTION("IFERROR(GOOGLEFINANCE(B3619,""changepct""),K3619)"),-4.97)</f>
        <v>-4.97</v>
      </c>
      <c r="M3619" s="6">
        <f ca="1">IFERROR(__xludf.DUMMYFUNCTION("IFERROR(GOOGLEFINANCE(B3619,""change""),0)"),0)</f>
        <v>0</v>
      </c>
      <c r="N3619" s="6">
        <v>1</v>
      </c>
      <c r="O3619" s="15">
        <v>45536</v>
      </c>
      <c r="P3619" s="6">
        <v>0.35</v>
      </c>
      <c r="Q3619" s="6">
        <v>18.98</v>
      </c>
      <c r="R3619" s="7">
        <v>45536</v>
      </c>
      <c r="S3619" s="6">
        <v>0</v>
      </c>
      <c r="T3619" s="6">
        <v>-0.19</v>
      </c>
      <c r="U3619" s="7">
        <v>45536</v>
      </c>
      <c r="V3619" s="6">
        <v>0</v>
      </c>
      <c r="W3619" s="6">
        <f ca="1">IFERROR(__xludf.DUMMYFUNCTION("IFERROR(GOOGLEFINANCE(B3619,""pe""),V3619)"),0)</f>
        <v>0</v>
      </c>
      <c r="X3619" s="6">
        <v>0</v>
      </c>
      <c r="Y3619" s="6">
        <v>3.14</v>
      </c>
      <c r="Z3619" s="6">
        <v>1</v>
      </c>
      <c r="AA3619" s="8">
        <v>45352</v>
      </c>
      <c r="AB3619" s="4">
        <v>0</v>
      </c>
      <c r="AC3619" s="6">
        <v>1.51</v>
      </c>
      <c r="AD3619" s="6">
        <v>1.95</v>
      </c>
      <c r="AE3619" s="1">
        <v>0</v>
      </c>
      <c r="AF3619" s="1">
        <f ca="1">IFERROR(__xludf.DUMMYFUNCTION("IFERROR(GOOGLEFINANCE(TRIM(F3619)&amp;"":"" &amp; TRIM(B3619),""high52""),AE3619)"),0)</f>
        <v>0</v>
      </c>
      <c r="AG3619" s="1">
        <v>0</v>
      </c>
      <c r="AH3619" s="1">
        <f ca="1">IFERROR(__xludf.DUMMYFUNCTION("IFERROR(GOOGLEFINANCE(TRIM(F3619)&amp;"":"" &amp; TRIM(B3619),""low52""),AE3619)"),0)</f>
        <v>0</v>
      </c>
      <c r="AI3619" s="1">
        <f ca="1">IFERROR(__xludf.DUMMYFUNCTION("IFERROR(GOOGLEFINANCE(B3619,""eps""),0)"),0)</f>
        <v>0</v>
      </c>
      <c r="AJ3619" s="1"/>
      <c r="AK3619" s="1" t="s">
        <v>11066</v>
      </c>
      <c r="AL3619" s="9">
        <f t="shared" si="343"/>
        <v>1</v>
      </c>
    </row>
    <row r="3620" spans="1:38" ht="15" x14ac:dyDescent="0.25">
      <c r="A3620" s="1" t="s">
        <v>11067</v>
      </c>
      <c r="B3620" s="1" t="s">
        <v>11068</v>
      </c>
      <c r="C3620" s="1" t="s">
        <v>4950</v>
      </c>
      <c r="D3620" s="1" t="s">
        <v>4950</v>
      </c>
      <c r="E3620" s="6">
        <v>2087.42</v>
      </c>
      <c r="F3620" s="1" t="s">
        <v>40</v>
      </c>
      <c r="G3620" s="6">
        <f ca="1">IFERROR(__xludf.DUMMYFUNCTION("iferror(GOOGLEFINANCE(TRIM(F3620)&amp;"":"" &amp; TRIM(B3620), ""price""),0
)"),235.1)</f>
        <v>235.1</v>
      </c>
      <c r="H3620" s="6">
        <v>574.20000000000005</v>
      </c>
      <c r="I3620" s="6">
        <f t="shared" ca="1" si="0"/>
        <v>235.1</v>
      </c>
      <c r="J3620" s="6">
        <f ca="1">IFERROR(__xludf.DUMMYFUNCTION("IFERROR(GOOGLEFINANCE(B3620, ""volume""), 0)"),33813)</f>
        <v>33813</v>
      </c>
      <c r="K3620" s="6">
        <v>-0.91</v>
      </c>
      <c r="L3620" s="6">
        <f ca="1">IFERROR(__xludf.DUMMYFUNCTION("IFERROR(GOOGLEFINANCE(B3620,""changepct""),K3620)"),-2.06)</f>
        <v>-2.06</v>
      </c>
      <c r="M3620" s="6">
        <f ca="1">IFERROR(__xludf.DUMMYFUNCTION("IFERROR(GOOGLEFINANCE(B3620,""change""),0)"),-4.95)</f>
        <v>-4.95</v>
      </c>
      <c r="N3620" s="6">
        <v>2</v>
      </c>
      <c r="O3620" s="7">
        <v>45536</v>
      </c>
      <c r="P3620" s="6">
        <v>130.12</v>
      </c>
      <c r="Q3620" s="6">
        <v>2115.9299999999998</v>
      </c>
      <c r="R3620" s="7">
        <v>45536</v>
      </c>
      <c r="S3620" s="6">
        <v>1066.8599999999999</v>
      </c>
      <c r="T3620" s="6">
        <v>65.72</v>
      </c>
      <c r="U3620" s="7">
        <v>45536</v>
      </c>
      <c r="V3620" s="6">
        <v>31.76</v>
      </c>
      <c r="W3620" s="6">
        <f ca="1">IFERROR(__xludf.DUMMYFUNCTION("IFERROR(GOOGLEFINANCE(B3620,""pe""),V3620)"),17.61)</f>
        <v>17.61</v>
      </c>
      <c r="X3620" s="6">
        <v>7.82</v>
      </c>
      <c r="Y3620" s="6">
        <v>4.3499999999999996</v>
      </c>
      <c r="Z3620" s="6">
        <v>2</v>
      </c>
      <c r="AA3620" s="8">
        <v>45352</v>
      </c>
      <c r="AB3620" s="4">
        <v>0.26</v>
      </c>
      <c r="AC3620" s="6">
        <v>13.1</v>
      </c>
      <c r="AD3620" s="6">
        <v>14.9</v>
      </c>
      <c r="AE3620" s="1">
        <v>0</v>
      </c>
      <c r="AF3620" s="1">
        <f ca="1">IFERROR(__xludf.DUMMYFUNCTION("IFERROR(GOOGLEFINANCE(TRIM(F3620)&amp;"":"" &amp; TRIM(B3620),""high52""),AE3620)"),529)</f>
        <v>529</v>
      </c>
      <c r="AG3620" s="1">
        <v>0</v>
      </c>
      <c r="AH3620" s="1">
        <f ca="1">IFERROR(__xludf.DUMMYFUNCTION("IFERROR(GOOGLEFINANCE(TRIM(F3620)&amp;"":"" &amp; TRIM(B3620),""low52""),AE3620)"),217.9)</f>
        <v>217.9</v>
      </c>
      <c r="AI3620" s="1">
        <f ca="1">IFERROR(__xludf.DUMMYFUNCTION("IFERROR(GOOGLEFINANCE(B3620,""eps""),0)"),13.35)</f>
        <v>13.35</v>
      </c>
      <c r="AJ3620" s="1"/>
      <c r="AK3620" s="9"/>
      <c r="AL3620" s="9">
        <f t="shared" si="343"/>
        <v>1</v>
      </c>
    </row>
    <row r="3621" spans="1:38" ht="15" x14ac:dyDescent="0.25">
      <c r="A3621" s="1" t="s">
        <v>11069</v>
      </c>
      <c r="B3621" s="1" t="s">
        <v>11070</v>
      </c>
      <c r="C3621" s="1" t="s">
        <v>4100</v>
      </c>
      <c r="D3621" s="1" t="s">
        <v>4100</v>
      </c>
      <c r="E3621" s="6">
        <v>109.95</v>
      </c>
      <c r="F3621" s="1" t="s">
        <v>53</v>
      </c>
      <c r="G3621" s="6">
        <f ca="1">IFERROR(__xludf.DUMMYFUNCTION("iferror(GOOGLEFINANCE(TRIM(F3621)&amp;"":"" &amp; TRIM(B3621), ""price""),0
)"),0)</f>
        <v>0</v>
      </c>
      <c r="H3621" s="6">
        <v>187.6</v>
      </c>
      <c r="I3621" s="6">
        <f t="shared" ca="1" si="0"/>
        <v>187.6</v>
      </c>
      <c r="J3621" s="6">
        <f ca="1">IFERROR(__xludf.DUMMYFUNCTION("IFERROR(GOOGLEFINANCE(B3621, ""volume""), 0)"),0)</f>
        <v>0</v>
      </c>
      <c r="K3621" s="6">
        <v>1.57</v>
      </c>
      <c r="L3621" s="6">
        <f ca="1">IFERROR(__xludf.DUMMYFUNCTION("IFERROR(GOOGLEFINANCE(B3621,""changepct""),K3621)"),1.57)</f>
        <v>1.57</v>
      </c>
      <c r="M3621" s="6">
        <f ca="1">IFERROR(__xludf.DUMMYFUNCTION("IFERROR(GOOGLEFINANCE(B3621,""change""),0)"),0)</f>
        <v>0</v>
      </c>
      <c r="N3621" s="6">
        <v>1</v>
      </c>
      <c r="O3621" s="7">
        <v>45536</v>
      </c>
      <c r="P3621" s="6">
        <v>2</v>
      </c>
      <c r="Q3621" s="6">
        <v>96.24</v>
      </c>
      <c r="R3621" s="7">
        <v>45536</v>
      </c>
      <c r="S3621" s="6">
        <v>171.78</v>
      </c>
      <c r="T3621" s="6">
        <v>10.78</v>
      </c>
      <c r="U3621" s="7">
        <v>45536</v>
      </c>
      <c r="V3621" s="6">
        <v>10.199999999999999</v>
      </c>
      <c r="W3621" s="6">
        <f ca="1">IFERROR(__xludf.DUMMYFUNCTION("IFERROR(GOOGLEFINANCE(B3621,""pe""),V3621)"),10.2)</f>
        <v>10.199999999999999</v>
      </c>
      <c r="X3621" s="6">
        <v>0.18</v>
      </c>
      <c r="Y3621" s="6">
        <v>3.67</v>
      </c>
      <c r="Z3621" s="6">
        <v>1</v>
      </c>
      <c r="AA3621" s="8">
        <v>45352</v>
      </c>
      <c r="AB3621" s="4">
        <v>0.06</v>
      </c>
      <c r="AC3621" s="6">
        <v>32.770000000000003</v>
      </c>
      <c r="AD3621" s="6">
        <v>38.14</v>
      </c>
      <c r="AE3621" s="1">
        <v>0</v>
      </c>
      <c r="AF3621" s="1">
        <f ca="1">IFERROR(__xludf.DUMMYFUNCTION("IFERROR(GOOGLEFINANCE(TRIM(F3621)&amp;"":"" &amp; TRIM(B3621),""high52""),AE3621)"),0)</f>
        <v>0</v>
      </c>
      <c r="AG3621" s="1">
        <v>0</v>
      </c>
      <c r="AH3621" s="1">
        <f ca="1">IFERROR(__xludf.DUMMYFUNCTION("IFERROR(GOOGLEFINANCE(TRIM(F3621)&amp;"":"" &amp; TRIM(B3621),""low52""),AE3621)"),0)</f>
        <v>0</v>
      </c>
      <c r="AI3621" s="1">
        <f ca="1">IFERROR(__xludf.DUMMYFUNCTION("IFERROR(GOOGLEFINANCE(B3621,""eps""),0)"),0)</f>
        <v>0</v>
      </c>
      <c r="AJ3621" s="1"/>
      <c r="AK3621" s="1" t="s">
        <v>11071</v>
      </c>
      <c r="AL3621" s="9">
        <f t="shared" si="343"/>
        <v>1</v>
      </c>
    </row>
    <row r="3622" spans="1:38" ht="15" x14ac:dyDescent="0.25">
      <c r="A3622" s="1" t="s">
        <v>11072</v>
      </c>
      <c r="B3622" s="1" t="s">
        <v>11073</v>
      </c>
      <c r="C3622" s="1" t="s">
        <v>4100</v>
      </c>
      <c r="D3622" s="1" t="s">
        <v>4100</v>
      </c>
      <c r="E3622" s="6">
        <v>131.4</v>
      </c>
      <c r="F3622" s="1" t="s">
        <v>53</v>
      </c>
      <c r="G3622" s="6">
        <f ca="1">IFERROR(__xludf.DUMMYFUNCTION("iferror(GOOGLEFINANCE(TRIM(F3622)&amp;"":"" &amp; TRIM(B3622), ""price""),0
)"),0)</f>
        <v>0</v>
      </c>
      <c r="H3622" s="6">
        <v>5.14</v>
      </c>
      <c r="I3622" s="6">
        <f t="shared" ca="1" si="0"/>
        <v>5.14</v>
      </c>
      <c r="J3622" s="6">
        <f ca="1">IFERROR(__xludf.DUMMYFUNCTION("IFERROR(GOOGLEFINANCE(B3622, ""volume""), 0)"),0)</f>
        <v>0</v>
      </c>
      <c r="K3622" s="6">
        <v>0.59</v>
      </c>
      <c r="L3622" s="6">
        <f ca="1">IFERROR(__xludf.DUMMYFUNCTION("IFERROR(GOOGLEFINANCE(B3622,""changepct""),K3622)"),0.59)</f>
        <v>0.59</v>
      </c>
      <c r="M3622" s="6">
        <f ca="1">IFERROR(__xludf.DUMMYFUNCTION("IFERROR(GOOGLEFINANCE(B3622,""change""),0)"),0)</f>
        <v>0</v>
      </c>
      <c r="N3622" s="6">
        <v>1</v>
      </c>
      <c r="O3622" s="7">
        <v>45536</v>
      </c>
      <c r="P3622" s="6">
        <v>29.09</v>
      </c>
      <c r="Q3622" s="6">
        <v>160.49</v>
      </c>
      <c r="R3622" s="7">
        <v>45536</v>
      </c>
      <c r="S3622" s="6">
        <v>13.53</v>
      </c>
      <c r="T3622" s="6">
        <v>-29.75</v>
      </c>
      <c r="U3622" s="7">
        <v>45536</v>
      </c>
      <c r="V3622" s="6">
        <v>0</v>
      </c>
      <c r="W3622" s="6">
        <f ca="1">IFERROR(__xludf.DUMMYFUNCTION("IFERROR(GOOGLEFINANCE(B3622,""pe""),V3622)"),0)</f>
        <v>0</v>
      </c>
      <c r="X3622" s="9"/>
      <c r="Y3622" s="6">
        <v>3.72</v>
      </c>
      <c r="Z3622" s="6">
        <v>1</v>
      </c>
      <c r="AA3622" s="8">
        <v>45352</v>
      </c>
      <c r="AB3622" s="4">
        <v>0.56999999999999995</v>
      </c>
      <c r="AC3622" s="6">
        <v>-76.44</v>
      </c>
      <c r="AD3622" s="6">
        <v>-33.06</v>
      </c>
      <c r="AE3622" s="1">
        <v>0</v>
      </c>
      <c r="AF3622" s="1">
        <f ca="1">IFERROR(__xludf.DUMMYFUNCTION("IFERROR(GOOGLEFINANCE(TRIM(F3622)&amp;"":"" &amp; TRIM(B3622),""high52""),AE3622)"),0)</f>
        <v>0</v>
      </c>
      <c r="AG3622" s="1">
        <v>0</v>
      </c>
      <c r="AH3622" s="1">
        <f ca="1">IFERROR(__xludf.DUMMYFUNCTION("IFERROR(GOOGLEFINANCE(TRIM(F3622)&amp;"":"" &amp; TRIM(B3622),""low52""),AE3622)"),0)</f>
        <v>0</v>
      </c>
      <c r="AI3622" s="1">
        <f ca="1">IFERROR(__xludf.DUMMYFUNCTION("IFERROR(GOOGLEFINANCE(B3622,""eps""),0)"),0)</f>
        <v>0</v>
      </c>
      <c r="AJ3622" s="1"/>
      <c r="AK3622" s="1" t="s">
        <v>11074</v>
      </c>
      <c r="AL3622" s="9">
        <f t="shared" si="343"/>
        <v>1</v>
      </c>
    </row>
    <row r="3623" spans="1:38" ht="15" x14ac:dyDescent="0.25">
      <c r="A3623" s="1" t="s">
        <v>11075</v>
      </c>
      <c r="B3623" s="1" t="s">
        <v>11076</v>
      </c>
      <c r="C3623" s="1" t="s">
        <v>4100</v>
      </c>
      <c r="D3623" s="1" t="s">
        <v>4100</v>
      </c>
      <c r="E3623" s="6">
        <v>165.65</v>
      </c>
      <c r="F3623" s="1" t="s">
        <v>53</v>
      </c>
      <c r="G3623" s="6">
        <f ca="1">IFERROR(__xludf.DUMMYFUNCTION("iferror(GOOGLEFINANCE(TRIM(F3623)&amp;"":"" &amp; TRIM(B3623), ""price""),0
)"),0)</f>
        <v>0</v>
      </c>
      <c r="H3623" s="6">
        <v>165.4</v>
      </c>
      <c r="I3623" s="6">
        <f t="shared" ca="1" si="0"/>
        <v>165.4</v>
      </c>
      <c r="J3623" s="6">
        <f ca="1">IFERROR(__xludf.DUMMYFUNCTION("IFERROR(GOOGLEFINANCE(B3623, ""volume""), 0)"),0)</f>
        <v>0</v>
      </c>
      <c r="K3623" s="6">
        <v>4.8499999999999996</v>
      </c>
      <c r="L3623" s="6">
        <f ca="1">IFERROR(__xludf.DUMMYFUNCTION("IFERROR(GOOGLEFINANCE(B3623,""changepct""),K3623)"),4.85)</f>
        <v>4.8499999999999996</v>
      </c>
      <c r="M3623" s="6">
        <f ca="1">IFERROR(__xludf.DUMMYFUNCTION("IFERROR(GOOGLEFINANCE(B3623,""change""),0)"),0)</f>
        <v>0</v>
      </c>
      <c r="N3623" s="6">
        <v>2</v>
      </c>
      <c r="O3623" s="7">
        <v>45536</v>
      </c>
      <c r="P3623" s="6">
        <v>280.33</v>
      </c>
      <c r="Q3623" s="6">
        <v>445.98</v>
      </c>
      <c r="R3623" s="14"/>
      <c r="S3623" s="9"/>
      <c r="T3623" s="9"/>
      <c r="U3623" s="7">
        <v>45352</v>
      </c>
      <c r="V3623" s="6">
        <v>0</v>
      </c>
      <c r="W3623" s="6">
        <f ca="1">IFERROR(__xludf.DUMMYFUNCTION("IFERROR(GOOGLEFINANCE(B3623,""pe""),V3623)"),0)</f>
        <v>0</v>
      </c>
      <c r="X3623" s="9"/>
      <c r="Y3623" s="6">
        <v>1.98</v>
      </c>
      <c r="Z3623" s="6">
        <v>2</v>
      </c>
      <c r="AA3623" s="8">
        <v>45352</v>
      </c>
      <c r="AB3623" s="4">
        <v>-0.33</v>
      </c>
      <c r="AC3623" s="6">
        <v>0</v>
      </c>
      <c r="AD3623" s="6">
        <v>-8.5299999999999994</v>
      </c>
      <c r="AE3623" s="1">
        <v>0</v>
      </c>
      <c r="AF3623" s="1">
        <f ca="1">IFERROR(__xludf.DUMMYFUNCTION("IFERROR(GOOGLEFINANCE(TRIM(F3623)&amp;"":"" &amp; TRIM(B3623),""high52""),AE3623)"),0)</f>
        <v>0</v>
      </c>
      <c r="AG3623" s="1">
        <v>0</v>
      </c>
      <c r="AH3623" s="1">
        <f ca="1">IFERROR(__xludf.DUMMYFUNCTION("IFERROR(GOOGLEFINANCE(TRIM(F3623)&amp;"":"" &amp; TRIM(B3623),""low52""),AE3623)"),0)</f>
        <v>0</v>
      </c>
      <c r="AI3623" s="1">
        <f ca="1">IFERROR(__xludf.DUMMYFUNCTION("IFERROR(GOOGLEFINANCE(B3623,""eps""),0)"),0)</f>
        <v>0</v>
      </c>
      <c r="AJ3623" s="1"/>
      <c r="AK3623" s="1" t="s">
        <v>11077</v>
      </c>
      <c r="AL3623" s="9">
        <f t="shared" si="343"/>
        <v>1</v>
      </c>
    </row>
    <row r="3624" spans="1:38" ht="15" x14ac:dyDescent="0.25">
      <c r="A3624" s="1" t="s">
        <v>11078</v>
      </c>
      <c r="B3624" s="1" t="s">
        <v>11079</v>
      </c>
      <c r="C3624" s="1" t="s">
        <v>577</v>
      </c>
      <c r="D3624" s="1" t="s">
        <v>577</v>
      </c>
      <c r="E3624" s="6">
        <v>5665.95</v>
      </c>
      <c r="F3624" s="1" t="s">
        <v>40</v>
      </c>
      <c r="G3624" s="6">
        <f ca="1">IFERROR(__xludf.DUMMYFUNCTION("iferror(GOOGLEFINANCE(TRIM(F3624)&amp;"":"" &amp; TRIM(B3624), ""price""),0
)"),110.5)</f>
        <v>110.5</v>
      </c>
      <c r="H3624" s="6">
        <v>117.53</v>
      </c>
      <c r="I3624" s="6">
        <f t="shared" ca="1" si="0"/>
        <v>110.5</v>
      </c>
      <c r="J3624" s="6">
        <f ca="1">IFERROR(__xludf.DUMMYFUNCTION("IFERROR(GOOGLEFINANCE(B3624, ""volume""), 0)"),7543153)</f>
        <v>7543153</v>
      </c>
      <c r="K3624" s="6">
        <v>1.26</v>
      </c>
      <c r="L3624" s="6">
        <f ca="1">IFERROR(__xludf.DUMMYFUNCTION("IFERROR(GOOGLEFINANCE(B3624,""changepct""),K3624)"),-2.51)</f>
        <v>-2.5099999999999998</v>
      </c>
      <c r="M3624" s="6">
        <f ca="1">IFERROR(__xludf.DUMMYFUNCTION("IFERROR(GOOGLEFINANCE(B3624,""change""),0)"),-2.84)</f>
        <v>-2.84</v>
      </c>
      <c r="N3624" s="6">
        <v>2</v>
      </c>
      <c r="O3624" s="7">
        <v>45536</v>
      </c>
      <c r="P3624" s="6">
        <v>2650</v>
      </c>
      <c r="Q3624" s="6">
        <v>7834.95</v>
      </c>
      <c r="R3624" s="7">
        <v>45536</v>
      </c>
      <c r="S3624" s="6">
        <v>5093</v>
      </c>
      <c r="T3624" s="6">
        <v>-195</v>
      </c>
      <c r="U3624" s="7">
        <v>45536</v>
      </c>
      <c r="V3624" s="6">
        <v>0</v>
      </c>
      <c r="W3624" s="6">
        <f ca="1">IFERROR(__xludf.DUMMYFUNCTION("IFERROR(GOOGLEFINANCE(B3624,""pe""),V3624)"),0)</f>
        <v>0</v>
      </c>
      <c r="X3624" s="12"/>
      <c r="Y3624" s="6">
        <v>1.93</v>
      </c>
      <c r="Z3624" s="6">
        <v>2</v>
      </c>
      <c r="AA3624" s="8">
        <v>45352</v>
      </c>
      <c r="AB3624" s="4">
        <v>1.61</v>
      </c>
      <c r="AC3624" s="6">
        <v>-3.14</v>
      </c>
      <c r="AD3624" s="6">
        <v>5.38</v>
      </c>
      <c r="AE3624" s="1">
        <v>0</v>
      </c>
      <c r="AF3624" s="1">
        <f ca="1">IFERROR(__xludf.DUMMYFUNCTION("IFERROR(GOOGLEFINANCE(TRIM(F3624)&amp;"":"" &amp; TRIM(B3624),""high52""),AE3624)"),140.4)</f>
        <v>140.4</v>
      </c>
      <c r="AG3624" s="1">
        <v>0</v>
      </c>
      <c r="AH3624" s="1">
        <f ca="1">IFERROR(__xludf.DUMMYFUNCTION("IFERROR(GOOGLEFINANCE(TRIM(F3624)&amp;"":"" &amp; TRIM(B3624),""low52""),AE3624)"),54.24)</f>
        <v>54.24</v>
      </c>
      <c r="AI3624" s="1">
        <f ca="1">IFERROR(__xludf.DUMMYFUNCTION("IFERROR(GOOGLEFINANCE(B3624,""eps""),0)"),-0.88)</f>
        <v>-0.88</v>
      </c>
      <c r="AJ3624" s="1"/>
      <c r="AK3624" s="1" t="s">
        <v>11080</v>
      </c>
      <c r="AL3624" s="1" t="b">
        <f>ISNUMBER(AA3624)</f>
        <v>1</v>
      </c>
    </row>
    <row r="3625" spans="1:38" ht="15" x14ac:dyDescent="0.25">
      <c r="A3625" s="1" t="s">
        <v>11081</v>
      </c>
      <c r="B3625" s="1" t="s">
        <v>11082</v>
      </c>
      <c r="C3625" s="1" t="s">
        <v>219</v>
      </c>
      <c r="D3625" s="1" t="s">
        <v>219</v>
      </c>
      <c r="E3625" s="6">
        <v>1336.36</v>
      </c>
      <c r="F3625" s="1" t="s">
        <v>53</v>
      </c>
      <c r="G3625" s="6">
        <f ca="1">IFERROR(__xludf.DUMMYFUNCTION("iferror(GOOGLEFINANCE(TRIM(F3625)&amp;"":"" &amp; TRIM(B3625), ""price""),0
)"),0)</f>
        <v>0</v>
      </c>
      <c r="H3625" s="6">
        <v>1620</v>
      </c>
      <c r="I3625" s="6">
        <f t="shared" ca="1" si="0"/>
        <v>1620</v>
      </c>
      <c r="J3625" s="6">
        <f ca="1">IFERROR(__xludf.DUMMYFUNCTION("IFERROR(GOOGLEFINANCE(B3625, ""volume""), 0)"),0)</f>
        <v>0</v>
      </c>
      <c r="K3625" s="6">
        <v>-0.62</v>
      </c>
      <c r="L3625" s="6">
        <f ca="1">IFERROR(__xludf.DUMMYFUNCTION("IFERROR(GOOGLEFINANCE(B3625,""changepct""),K3625)"),-0.62)</f>
        <v>-0.62</v>
      </c>
      <c r="M3625" s="6">
        <f ca="1">IFERROR(__xludf.DUMMYFUNCTION("IFERROR(GOOGLEFINANCE(B3625,""change""),0)"),0)</f>
        <v>0</v>
      </c>
      <c r="N3625" s="6">
        <v>1</v>
      </c>
      <c r="O3625" s="7">
        <v>45536</v>
      </c>
      <c r="P3625" s="6">
        <v>66.39</v>
      </c>
      <c r="Q3625" s="6">
        <v>1402.75</v>
      </c>
      <c r="R3625" s="7">
        <v>45352</v>
      </c>
      <c r="S3625" s="6">
        <v>253.48</v>
      </c>
      <c r="T3625" s="6">
        <v>12.76</v>
      </c>
      <c r="U3625" s="7">
        <v>45352</v>
      </c>
      <c r="V3625" s="6">
        <v>104.77</v>
      </c>
      <c r="W3625" s="6">
        <f ca="1">IFERROR(__xludf.DUMMYFUNCTION("IFERROR(GOOGLEFINANCE(B3625,""pe""),V3625)"),104.77)</f>
        <v>104.77</v>
      </c>
      <c r="X3625" s="9"/>
      <c r="Y3625" s="6">
        <v>8.23</v>
      </c>
      <c r="Z3625" s="6">
        <v>1</v>
      </c>
      <c r="AA3625" s="8">
        <v>45352</v>
      </c>
      <c r="AB3625" s="4">
        <v>0.09</v>
      </c>
      <c r="AC3625" s="6">
        <v>14.68</v>
      </c>
      <c r="AD3625" s="6">
        <v>16.59</v>
      </c>
      <c r="AE3625" s="1">
        <v>0</v>
      </c>
      <c r="AF3625" s="1">
        <f ca="1">IFERROR(__xludf.DUMMYFUNCTION("IFERROR(GOOGLEFINANCE(TRIM(F3625)&amp;"":"" &amp; TRIM(B3625),""high52""),AE3625)"),0)</f>
        <v>0</v>
      </c>
      <c r="AG3625" s="1">
        <v>0</v>
      </c>
      <c r="AH3625" s="1">
        <f ca="1">IFERROR(__xludf.DUMMYFUNCTION("IFERROR(GOOGLEFINANCE(TRIM(F3625)&amp;"":"" &amp; TRIM(B3625),""low52""),AE3625)"),0)</f>
        <v>0</v>
      </c>
      <c r="AI3625" s="1">
        <f ca="1">IFERROR(__xludf.DUMMYFUNCTION("IFERROR(GOOGLEFINANCE(B3625,""eps""),0)"),0)</f>
        <v>0</v>
      </c>
      <c r="AJ3625" s="1"/>
      <c r="AK3625" s="1" t="s">
        <v>11083</v>
      </c>
      <c r="AL3625" s="9">
        <f t="shared" ref="AL3625:AL3630" si="344">IF(AA3625&lt;&gt;AB3625,1,0)</f>
        <v>1</v>
      </c>
    </row>
    <row r="3626" spans="1:38" ht="15" x14ac:dyDescent="0.25">
      <c r="A3626" s="1" t="s">
        <v>11084</v>
      </c>
      <c r="B3626" s="1" t="s">
        <v>11085</v>
      </c>
      <c r="C3626" s="1" t="s">
        <v>186</v>
      </c>
      <c r="D3626" s="1" t="s">
        <v>186</v>
      </c>
      <c r="E3626" s="6">
        <v>50.24</v>
      </c>
      <c r="F3626" s="1" t="s">
        <v>40</v>
      </c>
      <c r="G3626" s="6">
        <f ca="1">IFERROR(__xludf.DUMMYFUNCTION("iferror(GOOGLEFINANCE(TRIM(F3626)&amp;"":"" &amp; TRIM(B3626), ""price""),0
)"),10.6)</f>
        <v>10.6</v>
      </c>
      <c r="H3626" s="6">
        <v>18.73</v>
      </c>
      <c r="I3626" s="6">
        <f t="shared" ca="1" si="0"/>
        <v>10.6</v>
      </c>
      <c r="J3626" s="6">
        <f ca="1">IFERROR(__xludf.DUMMYFUNCTION("IFERROR(GOOGLEFINANCE(B3626, ""volume""), 0)"),192469)</f>
        <v>192469</v>
      </c>
      <c r="K3626" s="6">
        <v>1.9</v>
      </c>
      <c r="L3626" s="6">
        <f ca="1">IFERROR(__xludf.DUMMYFUNCTION("IFERROR(GOOGLEFINANCE(B3626,""changepct""),K3626)"),0.49)</f>
        <v>0.49</v>
      </c>
      <c r="M3626" s="6">
        <f ca="1">IFERROR(__xludf.DUMMYFUNCTION("IFERROR(GOOGLEFINANCE(B3626,""change""),0)"),0.02)</f>
        <v>0.02</v>
      </c>
      <c r="N3626" s="6">
        <v>1</v>
      </c>
      <c r="O3626" s="7">
        <v>45536</v>
      </c>
      <c r="P3626" s="6">
        <v>16.3</v>
      </c>
      <c r="Q3626" s="6">
        <v>66.540000000000006</v>
      </c>
      <c r="R3626" s="7">
        <v>45536</v>
      </c>
      <c r="S3626" s="6">
        <v>96.74</v>
      </c>
      <c r="T3626" s="6">
        <v>-1.25</v>
      </c>
      <c r="U3626" s="7">
        <v>45536</v>
      </c>
      <c r="V3626" s="6">
        <v>0</v>
      </c>
      <c r="W3626" s="6">
        <f ca="1">IFERROR(__xludf.DUMMYFUNCTION("IFERROR(GOOGLEFINANCE(B3626,""pe""),V3626)"),0)</f>
        <v>0</v>
      </c>
      <c r="X3626" s="9"/>
      <c r="Y3626" s="6">
        <v>1.88</v>
      </c>
      <c r="Z3626" s="6">
        <v>1</v>
      </c>
      <c r="AA3626" s="8">
        <v>45352</v>
      </c>
      <c r="AB3626" s="4">
        <v>0.72</v>
      </c>
      <c r="AC3626" s="6">
        <v>-9.17</v>
      </c>
      <c r="AD3626" s="6">
        <v>-3.39</v>
      </c>
      <c r="AE3626" s="1">
        <v>0</v>
      </c>
      <c r="AF3626" s="1">
        <f ca="1">IFERROR(__xludf.DUMMYFUNCTION("IFERROR(GOOGLEFINANCE(TRIM(F3626)&amp;"":"" &amp; TRIM(B3626),""high52""),AE3626)"),20.79)</f>
        <v>20.79</v>
      </c>
      <c r="AG3626" s="1">
        <v>0</v>
      </c>
      <c r="AH3626" s="1">
        <f ca="1">IFERROR(__xludf.DUMMYFUNCTION("IFERROR(GOOGLEFINANCE(TRIM(F3626)&amp;"":"" &amp; TRIM(B3626),""low52""),AE3626)"),10.04)</f>
        <v>10.039999999999999</v>
      </c>
      <c r="AI3626" s="1">
        <f ca="1">IFERROR(__xludf.DUMMYFUNCTION("IFERROR(GOOGLEFINANCE(B3626,""eps""),0)"),-1.33)</f>
        <v>-1.33</v>
      </c>
      <c r="AJ3626" s="1"/>
      <c r="AK3626" s="1" t="s">
        <v>11086</v>
      </c>
      <c r="AL3626" s="9">
        <f t="shared" si="344"/>
        <v>1</v>
      </c>
    </row>
    <row r="3627" spans="1:38" ht="15" x14ac:dyDescent="0.25">
      <c r="A3627" s="1" t="s">
        <v>11087</v>
      </c>
      <c r="B3627" s="1" t="s">
        <v>11088</v>
      </c>
      <c r="C3627" s="1" t="s">
        <v>1265</v>
      </c>
      <c r="D3627" s="1" t="s">
        <v>1265</v>
      </c>
      <c r="E3627" s="6">
        <v>2903.94</v>
      </c>
      <c r="F3627" s="1" t="s">
        <v>40</v>
      </c>
      <c r="G3627" s="6">
        <f ca="1">IFERROR(__xludf.DUMMYFUNCTION("iferror(GOOGLEFINANCE(TRIM(F3627)&amp;"":"" &amp; TRIM(B3627), ""price""),0
)"),477)</f>
        <v>477</v>
      </c>
      <c r="H3627" s="6">
        <v>899.95</v>
      </c>
      <c r="I3627" s="6">
        <f t="shared" ca="1" si="0"/>
        <v>477</v>
      </c>
      <c r="J3627" s="6">
        <f ca="1">IFERROR(__xludf.DUMMYFUNCTION("IFERROR(GOOGLEFINANCE(B3627, ""volume""), 0)"),58101)</f>
        <v>58101</v>
      </c>
      <c r="K3627" s="6">
        <v>2.08</v>
      </c>
      <c r="L3627" s="6">
        <f ca="1">IFERROR(__xludf.DUMMYFUNCTION("IFERROR(GOOGLEFINANCE(B3627,""changepct""),K3627)"),-0.12)</f>
        <v>-0.12</v>
      </c>
      <c r="M3627" s="6">
        <f ca="1">IFERROR(__xludf.DUMMYFUNCTION("IFERROR(GOOGLEFINANCE(B3627,""change""),0)"),-0.55)</f>
        <v>-0.55000000000000004</v>
      </c>
      <c r="N3627" s="6">
        <v>1</v>
      </c>
      <c r="O3627" s="7">
        <v>45536</v>
      </c>
      <c r="P3627" s="6">
        <v>144.41</v>
      </c>
      <c r="Q3627" s="6">
        <v>3031.36</v>
      </c>
      <c r="R3627" s="7">
        <v>45536</v>
      </c>
      <c r="S3627" s="6">
        <v>1419.58</v>
      </c>
      <c r="T3627" s="6">
        <v>34.33</v>
      </c>
      <c r="U3627" s="7">
        <v>45536</v>
      </c>
      <c r="V3627" s="6">
        <v>84.59</v>
      </c>
      <c r="W3627" s="6">
        <f ca="1">IFERROR(__xludf.DUMMYFUNCTION("IFERROR(GOOGLEFINANCE(B3627,""pe""),V3627)"),34.8)</f>
        <v>34.799999999999997</v>
      </c>
      <c r="X3627" s="12"/>
      <c r="Y3627" s="6">
        <v>6.36</v>
      </c>
      <c r="Z3627" s="6">
        <v>1</v>
      </c>
      <c r="AA3627" s="8">
        <v>45352</v>
      </c>
      <c r="AB3627" s="4">
        <v>0.47</v>
      </c>
      <c r="AC3627" s="6">
        <v>8.1199999999999992</v>
      </c>
      <c r="AD3627" s="6">
        <v>12</v>
      </c>
      <c r="AE3627" s="1">
        <v>0</v>
      </c>
      <c r="AF3627" s="1">
        <f ca="1">IFERROR(__xludf.DUMMYFUNCTION("IFERROR(GOOGLEFINANCE(TRIM(F3627)&amp;"":"" &amp; TRIM(B3627),""high52""),AE3627)"),863.35)</f>
        <v>863.35</v>
      </c>
      <c r="AG3627" s="1">
        <v>0</v>
      </c>
      <c r="AH3627" s="1">
        <f ca="1">IFERROR(__xludf.DUMMYFUNCTION("IFERROR(GOOGLEFINANCE(TRIM(F3627)&amp;"":"" &amp; TRIM(B3627),""low52""),AE3627)"),453.15)</f>
        <v>453.15</v>
      </c>
      <c r="AI3627" s="1">
        <f ca="1">IFERROR(__xludf.DUMMYFUNCTION("IFERROR(GOOGLEFINANCE(B3627,""eps""),0)"),13.71)</f>
        <v>13.71</v>
      </c>
      <c r="AJ3627" s="1"/>
      <c r="AK3627" s="1" t="s">
        <v>11089</v>
      </c>
      <c r="AL3627" s="9">
        <f t="shared" si="344"/>
        <v>1</v>
      </c>
    </row>
    <row r="3628" spans="1:38" ht="15" x14ac:dyDescent="0.25">
      <c r="A3628" s="1" t="s">
        <v>11090</v>
      </c>
      <c r="B3628" s="1" t="s">
        <v>11091</v>
      </c>
      <c r="C3628" s="1" t="s">
        <v>106</v>
      </c>
      <c r="D3628" s="1" t="s">
        <v>106</v>
      </c>
      <c r="E3628" s="6">
        <v>6353.24</v>
      </c>
      <c r="F3628" s="1" t="s">
        <v>40</v>
      </c>
      <c r="G3628" s="6">
        <f ca="1">IFERROR(__xludf.DUMMYFUNCTION("iferror(GOOGLEFINANCE(TRIM(F3628)&amp;"":"" &amp; TRIM(B3628), ""price""),0
)"),834)</f>
        <v>834</v>
      </c>
      <c r="H3628" s="6">
        <v>708.5</v>
      </c>
      <c r="I3628" s="6">
        <f t="shared" ca="1" si="0"/>
        <v>834</v>
      </c>
      <c r="J3628" s="6">
        <f ca="1">IFERROR(__xludf.DUMMYFUNCTION("IFERROR(GOOGLEFINANCE(B3628, ""volume""), 0)"),0)</f>
        <v>0</v>
      </c>
      <c r="K3628" s="6">
        <v>2.76</v>
      </c>
      <c r="L3628" s="6">
        <f ca="1">IFERROR(__xludf.DUMMYFUNCTION("IFERROR(GOOGLEFINANCE(B3628,""changepct""),K3628)"),0)</f>
        <v>0</v>
      </c>
      <c r="M3628" s="6">
        <f ca="1">IFERROR(__xludf.DUMMYFUNCTION("IFERROR(GOOGLEFINANCE(B3628,""change""),0)"),0)</f>
        <v>0</v>
      </c>
      <c r="N3628" s="6">
        <v>2</v>
      </c>
      <c r="O3628" s="7">
        <v>45536</v>
      </c>
      <c r="P3628" s="6">
        <v>2215.38</v>
      </c>
      <c r="Q3628" s="6">
        <v>8393.1</v>
      </c>
      <c r="R3628" s="7">
        <v>45536</v>
      </c>
      <c r="S3628" s="6">
        <v>4410.32</v>
      </c>
      <c r="T3628" s="6">
        <v>297.42</v>
      </c>
      <c r="U3628" s="7">
        <v>45536</v>
      </c>
      <c r="V3628" s="6">
        <v>27.47</v>
      </c>
      <c r="W3628" s="6">
        <f ca="1">IFERROR(__xludf.DUMMYFUNCTION("IFERROR(GOOGLEFINANCE(B3628,""pe""),V3628)"),27.47)</f>
        <v>27.47</v>
      </c>
      <c r="X3628" s="6">
        <v>-0.63</v>
      </c>
      <c r="Y3628" s="6">
        <v>2.8</v>
      </c>
      <c r="Z3628" s="6">
        <v>2</v>
      </c>
      <c r="AA3628" s="8">
        <v>45352</v>
      </c>
      <c r="AB3628" s="4">
        <v>1.1399999999999999</v>
      </c>
      <c r="AC3628" s="6">
        <v>-6.88</v>
      </c>
      <c r="AD3628" s="6">
        <v>4.1500000000000004</v>
      </c>
      <c r="AE3628" s="1">
        <v>0</v>
      </c>
      <c r="AF3628" s="1">
        <f ca="1">IFERROR(__xludf.DUMMYFUNCTION("IFERROR(GOOGLEFINANCE(TRIM(F3628)&amp;"":"" &amp; TRIM(B3628),""high52""),AE3628)"),1025)</f>
        <v>1025</v>
      </c>
      <c r="AG3628" s="1">
        <v>0</v>
      </c>
      <c r="AH3628" s="1">
        <f ca="1">IFERROR(__xludf.DUMMYFUNCTION("IFERROR(GOOGLEFINANCE(TRIM(F3628)&amp;"":"" &amp; TRIM(B3628),""low52""),AE3628)"),513.05)</f>
        <v>513.04999999999995</v>
      </c>
      <c r="AI3628" s="1">
        <f ca="1">IFERROR(__xludf.DUMMYFUNCTION("IFERROR(GOOGLEFINANCE(B3628,""eps""),0)"),-0.05)</f>
        <v>-0.05</v>
      </c>
      <c r="AJ3628" s="1"/>
      <c r="AK3628" s="1" t="s">
        <v>11092</v>
      </c>
      <c r="AL3628" s="9">
        <f t="shared" si="344"/>
        <v>1</v>
      </c>
    </row>
    <row r="3629" spans="1:38" ht="15" x14ac:dyDescent="0.25">
      <c r="A3629" s="1" t="s">
        <v>11093</v>
      </c>
      <c r="B3629" s="1" t="s">
        <v>11094</v>
      </c>
      <c r="C3629" s="1" t="s">
        <v>535</v>
      </c>
      <c r="D3629" s="1" t="s">
        <v>535</v>
      </c>
      <c r="E3629" s="6">
        <v>3903.14</v>
      </c>
      <c r="F3629" s="1" t="s">
        <v>40</v>
      </c>
      <c r="G3629" s="6">
        <f ca="1">IFERROR(__xludf.DUMMYFUNCTION("iferror(GOOGLEFINANCE(TRIM(F3629)&amp;"":"" &amp; TRIM(B3629), ""price""),0
)"),2211)</f>
        <v>2211</v>
      </c>
      <c r="H3629" s="6">
        <v>2320.9</v>
      </c>
      <c r="I3629" s="6">
        <f t="shared" ca="1" si="0"/>
        <v>2211</v>
      </c>
      <c r="J3629" s="6">
        <f ca="1">IFERROR(__xludf.DUMMYFUNCTION("IFERROR(GOOGLEFINANCE(B3629, ""volume""), 0)"),13051)</f>
        <v>13051</v>
      </c>
      <c r="K3629" s="6">
        <v>1.25</v>
      </c>
      <c r="L3629" s="6">
        <f ca="1">IFERROR(__xludf.DUMMYFUNCTION("IFERROR(GOOGLEFINANCE(B3629,""changepct""),K3629)"),0.99)</f>
        <v>0.99</v>
      </c>
      <c r="M3629" s="6">
        <f ca="1">IFERROR(__xludf.DUMMYFUNCTION("IFERROR(GOOGLEFINANCE(B3629,""change""),0)"),21.7)</f>
        <v>21.7</v>
      </c>
      <c r="N3629" s="6">
        <v>2</v>
      </c>
      <c r="O3629" s="7">
        <v>45536</v>
      </c>
      <c r="P3629" s="6">
        <v>6.67</v>
      </c>
      <c r="Q3629" s="6">
        <v>3835.78</v>
      </c>
      <c r="R3629" s="7">
        <v>45536</v>
      </c>
      <c r="S3629" s="6">
        <v>959.75</v>
      </c>
      <c r="T3629" s="6">
        <v>131.38</v>
      </c>
      <c r="U3629" s="7">
        <v>45536</v>
      </c>
      <c r="V3629" s="6">
        <v>29.71</v>
      </c>
      <c r="W3629" s="6">
        <f ca="1">IFERROR(__xludf.DUMMYFUNCTION("IFERROR(GOOGLEFINANCE(B3629,""pe""),V3629)"),26.36)</f>
        <v>26.36</v>
      </c>
      <c r="X3629" s="6">
        <v>1.0900000000000001</v>
      </c>
      <c r="Y3629" s="6">
        <v>6.52</v>
      </c>
      <c r="Z3629" s="6">
        <v>2</v>
      </c>
      <c r="AA3629" s="8">
        <v>45352</v>
      </c>
      <c r="AB3629" s="4">
        <v>0</v>
      </c>
      <c r="AC3629" s="6">
        <v>27.09</v>
      </c>
      <c r="AD3629" s="6">
        <v>33.5</v>
      </c>
      <c r="AE3629" s="1">
        <v>0</v>
      </c>
      <c r="AF3629" s="1">
        <f ca="1">IFERROR(__xludf.DUMMYFUNCTION("IFERROR(GOOGLEFINANCE(TRIM(F3629)&amp;"":"" &amp; TRIM(B3629),""high52""),AE3629)"),2430)</f>
        <v>2430</v>
      </c>
      <c r="AG3629" s="1">
        <v>0</v>
      </c>
      <c r="AH3629" s="1">
        <f ca="1">IFERROR(__xludf.DUMMYFUNCTION("IFERROR(GOOGLEFINANCE(TRIM(F3629)&amp;"":"" &amp; TRIM(B3629),""low52""),AE3629)"),1464.25)</f>
        <v>1464.25</v>
      </c>
      <c r="AI3629" s="1">
        <f ca="1">IFERROR(__xludf.DUMMYFUNCTION("IFERROR(GOOGLEFINANCE(B3629,""eps""),0)"),83.87)</f>
        <v>83.87</v>
      </c>
      <c r="AJ3629" s="1"/>
      <c r="AK3629" s="1" t="s">
        <v>11095</v>
      </c>
      <c r="AL3629" s="9">
        <f t="shared" si="344"/>
        <v>1</v>
      </c>
    </row>
    <row r="3630" spans="1:38" ht="15" x14ac:dyDescent="0.25">
      <c r="A3630" s="1" t="s">
        <v>11096</v>
      </c>
      <c r="B3630" s="1" t="s">
        <v>11097</v>
      </c>
      <c r="C3630" s="1" t="s">
        <v>219</v>
      </c>
      <c r="D3630" s="1" t="s">
        <v>219</v>
      </c>
      <c r="E3630" s="6">
        <v>106.02</v>
      </c>
      <c r="F3630" s="1" t="s">
        <v>53</v>
      </c>
      <c r="G3630" s="6">
        <f ca="1">IFERROR(__xludf.DUMMYFUNCTION("iferror(GOOGLEFINANCE(TRIM(F3630)&amp;"":"" &amp; TRIM(B3630), ""price""),0
)"),0)</f>
        <v>0</v>
      </c>
      <c r="H3630" s="6">
        <v>76</v>
      </c>
      <c r="I3630" s="6">
        <f t="shared" ca="1" si="0"/>
        <v>76</v>
      </c>
      <c r="J3630" s="6">
        <f ca="1">IFERROR(__xludf.DUMMYFUNCTION("IFERROR(GOOGLEFINANCE(B3630, ""volume""), 0)"),0)</f>
        <v>0</v>
      </c>
      <c r="K3630" s="6">
        <v>1.88</v>
      </c>
      <c r="L3630" s="6">
        <f ca="1">IFERROR(__xludf.DUMMYFUNCTION("IFERROR(GOOGLEFINANCE(B3630,""changepct""),K3630)"),1.88)</f>
        <v>1.88</v>
      </c>
      <c r="M3630" s="6">
        <f ca="1">IFERROR(__xludf.DUMMYFUNCTION("IFERROR(GOOGLEFINANCE(B3630,""change""),0)"),0)</f>
        <v>0</v>
      </c>
      <c r="N3630" s="6">
        <v>1</v>
      </c>
      <c r="O3630" s="7">
        <v>45536</v>
      </c>
      <c r="P3630" s="6">
        <v>75.92</v>
      </c>
      <c r="Q3630" s="6">
        <v>181.94</v>
      </c>
      <c r="R3630" s="7">
        <v>45352</v>
      </c>
      <c r="S3630" s="6">
        <v>236.09</v>
      </c>
      <c r="T3630" s="6">
        <v>9.7200000000000006</v>
      </c>
      <c r="U3630" s="7">
        <v>45352</v>
      </c>
      <c r="V3630" s="6">
        <v>10.91</v>
      </c>
      <c r="W3630" s="6">
        <f ca="1">IFERROR(__xludf.DUMMYFUNCTION("IFERROR(GOOGLEFINANCE(B3630,""pe""),V3630)"),10.91)</f>
        <v>10.91</v>
      </c>
      <c r="X3630" s="9"/>
      <c r="Y3630" s="6">
        <v>1.49</v>
      </c>
      <c r="Z3630" s="6">
        <v>1</v>
      </c>
      <c r="AA3630" s="8">
        <v>45352</v>
      </c>
      <c r="AB3630" s="4">
        <v>0.88</v>
      </c>
      <c r="AC3630" s="6">
        <v>17.52</v>
      </c>
      <c r="AD3630" s="6">
        <v>16.399999999999999</v>
      </c>
      <c r="AE3630" s="1">
        <v>0</v>
      </c>
      <c r="AF3630" s="1">
        <f ca="1">IFERROR(__xludf.DUMMYFUNCTION("IFERROR(GOOGLEFINANCE(TRIM(F3630)&amp;"":"" &amp; TRIM(B3630),""high52""),AE3630)"),0)</f>
        <v>0</v>
      </c>
      <c r="AG3630" s="1">
        <v>0</v>
      </c>
      <c r="AH3630" s="1">
        <f ca="1">IFERROR(__xludf.DUMMYFUNCTION("IFERROR(GOOGLEFINANCE(TRIM(F3630)&amp;"":"" &amp; TRIM(B3630),""low52""),AE3630)"),0)</f>
        <v>0</v>
      </c>
      <c r="AI3630" s="1">
        <f ca="1">IFERROR(__xludf.DUMMYFUNCTION("IFERROR(GOOGLEFINANCE(B3630,""eps""),0)"),0)</f>
        <v>0</v>
      </c>
      <c r="AJ3630" s="1"/>
      <c r="AK3630" s="1" t="s">
        <v>11098</v>
      </c>
      <c r="AL3630" s="9">
        <f t="shared" si="344"/>
        <v>1</v>
      </c>
    </row>
    <row r="3631" spans="1:38" ht="15" x14ac:dyDescent="0.25">
      <c r="A3631" s="1" t="s">
        <v>11099</v>
      </c>
      <c r="B3631" s="1" t="s">
        <v>11100</v>
      </c>
      <c r="C3631" s="1" t="s">
        <v>135</v>
      </c>
      <c r="D3631" s="1" t="s">
        <v>135</v>
      </c>
      <c r="E3631" s="6">
        <v>5297.32</v>
      </c>
      <c r="F3631" s="1" t="s">
        <v>40</v>
      </c>
      <c r="G3631" s="6">
        <f ca="1">IFERROR(__xludf.DUMMYFUNCTION("iferror(GOOGLEFINANCE(TRIM(F3631)&amp;"":"" &amp; TRIM(B3631), ""price""),0
)"),1876)</f>
        <v>1876</v>
      </c>
      <c r="H3631" s="6">
        <v>2982.1</v>
      </c>
      <c r="I3631" s="6">
        <f t="shared" ca="1" si="0"/>
        <v>1876</v>
      </c>
      <c r="J3631" s="6">
        <f ca="1">IFERROR(__xludf.DUMMYFUNCTION("IFERROR(GOOGLEFINANCE(B3631, ""volume""), 0)"),10068)</f>
        <v>10068</v>
      </c>
      <c r="K3631" s="6">
        <v>-1.1000000000000001</v>
      </c>
      <c r="L3631" s="6">
        <f ca="1">IFERROR(__xludf.DUMMYFUNCTION("IFERROR(GOOGLEFINANCE(B3631,""changepct""),K3631)"),-1.79)</f>
        <v>-1.79</v>
      </c>
      <c r="M3631" s="6">
        <f ca="1">IFERROR(__xludf.DUMMYFUNCTION("IFERROR(GOOGLEFINANCE(B3631,""change""),0)"),-34.2)</f>
        <v>-34.200000000000003</v>
      </c>
      <c r="N3631" s="6">
        <v>2</v>
      </c>
      <c r="O3631" s="7">
        <v>45536</v>
      </c>
      <c r="P3631" s="6">
        <v>9.9700000000000006</v>
      </c>
      <c r="Q3631" s="6">
        <v>5262.91</v>
      </c>
      <c r="R3631" s="15">
        <v>42064</v>
      </c>
      <c r="S3631" s="6">
        <v>2040.42</v>
      </c>
      <c r="T3631" s="6">
        <v>18.93</v>
      </c>
      <c r="U3631" s="15">
        <v>42064</v>
      </c>
      <c r="V3631" s="6">
        <v>279.88</v>
      </c>
      <c r="W3631" s="6">
        <f ca="1">IFERROR(__xludf.DUMMYFUNCTION("IFERROR(GOOGLEFINANCE(B3631,""pe""),V3631)"),279.88)</f>
        <v>279.88</v>
      </c>
      <c r="X3631" s="6">
        <v>3.79</v>
      </c>
      <c r="Y3631" s="12"/>
      <c r="Z3631" s="6">
        <v>1</v>
      </c>
      <c r="AA3631" s="8">
        <v>45352</v>
      </c>
      <c r="AB3631" s="4">
        <v>0.01</v>
      </c>
      <c r="AC3631" s="6">
        <v>24.09</v>
      </c>
      <c r="AD3631" s="6">
        <v>32.5</v>
      </c>
      <c r="AE3631" s="1">
        <v>0</v>
      </c>
      <c r="AF3631" s="1">
        <f ca="1">IFERROR(__xludf.DUMMYFUNCTION("IFERROR(GOOGLEFINANCE(TRIM(F3631)&amp;"":"" &amp; TRIM(B3631),""high52""),AE3631)"),3498)</f>
        <v>3498</v>
      </c>
      <c r="AG3631" s="1">
        <v>0</v>
      </c>
      <c r="AH3631" s="1">
        <f ca="1">IFERROR(__xludf.DUMMYFUNCTION("IFERROR(GOOGLEFINANCE(TRIM(F3631)&amp;"":"" &amp; TRIM(B3631),""low52""),AE3631)"),1839.1)</f>
        <v>1839.1</v>
      </c>
      <c r="AI3631" s="1">
        <f ca="1">IFERROR(__xludf.DUMMYFUNCTION("IFERROR(GOOGLEFINANCE(B3631,""eps""),0)"),0)</f>
        <v>0</v>
      </c>
      <c r="AJ3631" s="1"/>
      <c r="AK3631" s="1" t="s">
        <v>11101</v>
      </c>
      <c r="AL3631" s="1" t="b">
        <f>ISNUMBER(AA3631)</f>
        <v>1</v>
      </c>
    </row>
    <row r="3632" spans="1:38" ht="15" x14ac:dyDescent="0.25">
      <c r="A3632" s="1" t="s">
        <v>11102</v>
      </c>
      <c r="B3632" s="1" t="s">
        <v>11103</v>
      </c>
      <c r="C3632" s="1" t="s">
        <v>57</v>
      </c>
      <c r="D3632" s="1" t="s">
        <v>57</v>
      </c>
      <c r="E3632" s="6">
        <v>1298.23</v>
      </c>
      <c r="F3632" s="1" t="s">
        <v>40</v>
      </c>
      <c r="G3632" s="6">
        <f ca="1">IFERROR(__xludf.DUMMYFUNCTION("iferror(GOOGLEFINANCE(TRIM(F3632)&amp;"":"" &amp; TRIM(B3632), ""price""),0
)"),9.56)</f>
        <v>9.56</v>
      </c>
      <c r="H3632" s="6">
        <v>23.31</v>
      </c>
      <c r="I3632" s="6">
        <f t="shared" ca="1" si="0"/>
        <v>9.56</v>
      </c>
      <c r="J3632" s="6">
        <f ca="1">IFERROR(__xludf.DUMMYFUNCTION("IFERROR(GOOGLEFINANCE(B3632, ""volume""), 0)"),2335740)</f>
        <v>2335740</v>
      </c>
      <c r="K3632" s="6">
        <v>0.78</v>
      </c>
      <c r="L3632" s="6">
        <f ca="1">IFERROR(__xludf.DUMMYFUNCTION("IFERROR(GOOGLEFINANCE(B3632,""changepct""),K3632)"),0.1)</f>
        <v>0.1</v>
      </c>
      <c r="M3632" s="6">
        <f ca="1">IFERROR(__xludf.DUMMYFUNCTION("IFERROR(GOOGLEFINANCE(B3632,""change""),0)"),0.01)</f>
        <v>0.01</v>
      </c>
      <c r="N3632" s="6">
        <v>2</v>
      </c>
      <c r="O3632" s="7">
        <v>45536</v>
      </c>
      <c r="P3632" s="9"/>
      <c r="Q3632" s="6">
        <v>1216.73</v>
      </c>
      <c r="R3632" s="7">
        <v>45536</v>
      </c>
      <c r="S3632" s="6">
        <v>307.94</v>
      </c>
      <c r="T3632" s="6">
        <v>-171.99</v>
      </c>
      <c r="U3632" s="7">
        <v>45536</v>
      </c>
      <c r="V3632" s="6">
        <v>0</v>
      </c>
      <c r="W3632" s="6">
        <f ca="1">IFERROR(__xludf.DUMMYFUNCTION("IFERROR(GOOGLEFINANCE(B3632,""pe""),V3632)"),0)</f>
        <v>0</v>
      </c>
      <c r="X3632" s="12"/>
      <c r="Y3632" s="6">
        <v>4.01</v>
      </c>
      <c r="Z3632" s="6">
        <v>2</v>
      </c>
      <c r="AA3632" s="8">
        <v>45352</v>
      </c>
      <c r="AB3632" s="4">
        <v>0</v>
      </c>
      <c r="AC3632" s="6">
        <v>-45.25</v>
      </c>
      <c r="AD3632" s="6">
        <v>-40.33</v>
      </c>
      <c r="AE3632" s="1">
        <v>0</v>
      </c>
      <c r="AF3632" s="1">
        <f ca="1">IFERROR(__xludf.DUMMYFUNCTION("IFERROR(GOOGLEFINANCE(TRIM(F3632)&amp;"":"" &amp; TRIM(B3632),""high52""),AE3632)"),19.18)</f>
        <v>19.18</v>
      </c>
      <c r="AG3632" s="1">
        <v>0</v>
      </c>
      <c r="AH3632" s="1">
        <f ca="1">IFERROR(__xludf.DUMMYFUNCTION("IFERROR(GOOGLEFINANCE(TRIM(F3632)&amp;"":"" &amp; TRIM(B3632),""low52""),AE3632)"),8.84)</f>
        <v>8.84</v>
      </c>
      <c r="AI3632" s="1">
        <f ca="1">IFERROR(__xludf.DUMMYFUNCTION("IFERROR(GOOGLEFINANCE(B3632,""eps""),0)"),-0.1)</f>
        <v>-0.1</v>
      </c>
      <c r="AJ3632" s="1"/>
      <c r="AK3632" s="1" t="s">
        <v>11104</v>
      </c>
      <c r="AL3632" s="9">
        <f>IF(AA3632&lt;&gt;AB3632,1,0)</f>
        <v>1</v>
      </c>
    </row>
    <row r="3633" spans="1:38" ht="15" x14ac:dyDescent="0.25">
      <c r="A3633" s="1" t="s">
        <v>11105</v>
      </c>
      <c r="B3633" s="1" t="s">
        <v>11106</v>
      </c>
      <c r="C3633" s="1" t="s">
        <v>355</v>
      </c>
      <c r="D3633" s="1" t="s">
        <v>355</v>
      </c>
      <c r="E3633" s="6">
        <v>4203.47</v>
      </c>
      <c r="F3633" s="1" t="s">
        <v>40</v>
      </c>
      <c r="G3633" s="6">
        <f ca="1">IFERROR(__xludf.DUMMYFUNCTION("iferror(GOOGLEFINANCE(TRIM(F3633)&amp;"":"" &amp; TRIM(B3633), ""price""),0
)"),760)</f>
        <v>760</v>
      </c>
      <c r="H3633" s="6">
        <v>659.9</v>
      </c>
      <c r="I3633" s="6">
        <f t="shared" ca="1" si="0"/>
        <v>760</v>
      </c>
      <c r="J3633" s="6">
        <f ca="1">IFERROR(__xludf.DUMMYFUNCTION("IFERROR(GOOGLEFINANCE(B3633, ""volume""), 0)"),55443)</f>
        <v>55443</v>
      </c>
      <c r="K3633" s="6">
        <v>2.1800000000000002</v>
      </c>
      <c r="L3633" s="6">
        <f ca="1">IFERROR(__xludf.DUMMYFUNCTION("IFERROR(GOOGLEFINANCE(B3633,""changepct""),K3633)"),-1.67)</f>
        <v>-1.67</v>
      </c>
      <c r="M3633" s="6">
        <f ca="1">IFERROR(__xludf.DUMMYFUNCTION("IFERROR(GOOGLEFINANCE(B3633,""change""),0)"),-12.9)</f>
        <v>-12.9</v>
      </c>
      <c r="N3633" s="6">
        <v>2</v>
      </c>
      <c r="O3633" s="7">
        <v>45536</v>
      </c>
      <c r="P3633" s="6">
        <v>10.85</v>
      </c>
      <c r="Q3633" s="6">
        <v>4106.97</v>
      </c>
      <c r="R3633" s="7">
        <v>45536</v>
      </c>
      <c r="S3633" s="6">
        <v>3202.12</v>
      </c>
      <c r="T3633" s="6">
        <v>128.76</v>
      </c>
      <c r="U3633" s="7">
        <v>45536</v>
      </c>
      <c r="V3633" s="6">
        <v>32.659999999999997</v>
      </c>
      <c r="W3633" s="6">
        <f ca="1">IFERROR(__xludf.DUMMYFUNCTION("IFERROR(GOOGLEFINANCE(B3633,""pe""),V3633)"),30.85)</f>
        <v>30.85</v>
      </c>
      <c r="X3633" s="6">
        <v>7.32</v>
      </c>
      <c r="Y3633" s="6">
        <v>4.1399999999999997</v>
      </c>
      <c r="Z3633" s="6">
        <v>2</v>
      </c>
      <c r="AA3633" s="8">
        <v>45352</v>
      </c>
      <c r="AB3633" s="4">
        <v>0.03</v>
      </c>
      <c r="AC3633" s="6">
        <v>10.71</v>
      </c>
      <c r="AD3633" s="6">
        <v>15.79</v>
      </c>
      <c r="AE3633" s="1">
        <v>0</v>
      </c>
      <c r="AF3633" s="1">
        <f ca="1">IFERROR(__xludf.DUMMYFUNCTION("IFERROR(GOOGLEFINANCE(TRIM(F3633)&amp;"":"" &amp; TRIM(B3633),""high52""),AE3633)"),1213.7)</f>
        <v>1213.7</v>
      </c>
      <c r="AG3633" s="1">
        <v>0</v>
      </c>
      <c r="AH3633" s="1">
        <f ca="1">IFERROR(__xludf.DUMMYFUNCTION("IFERROR(GOOGLEFINANCE(TRIM(F3633)&amp;"":"" &amp; TRIM(B3633),""low52""),AE3633)"),518)</f>
        <v>518</v>
      </c>
      <c r="AI3633" s="1">
        <f ca="1">IFERROR(__xludf.DUMMYFUNCTION("IFERROR(GOOGLEFINANCE(B3633,""eps""),0)"),24.64)</f>
        <v>24.64</v>
      </c>
      <c r="AJ3633" s="1"/>
      <c r="AK3633" s="9"/>
      <c r="AL3633" s="1" t="b">
        <f>ISBLANK(AB3633)</f>
        <v>0</v>
      </c>
    </row>
    <row r="3634" spans="1:38" ht="15" x14ac:dyDescent="0.25">
      <c r="A3634" s="1" t="s">
        <v>11107</v>
      </c>
      <c r="B3634" s="1" t="s">
        <v>11108</v>
      </c>
      <c r="C3634" s="1" t="s">
        <v>219</v>
      </c>
      <c r="D3634" s="1" t="s">
        <v>219</v>
      </c>
      <c r="E3634" s="6">
        <v>1912.5</v>
      </c>
      <c r="F3634" s="1" t="s">
        <v>53</v>
      </c>
      <c r="G3634" s="6">
        <f ca="1">IFERROR(__xludf.DUMMYFUNCTION("iferror(GOOGLEFINANCE(TRIM(F3634)&amp;"":"" &amp; TRIM(B3634), ""price""),0
)"),0)</f>
        <v>0</v>
      </c>
      <c r="H3634" s="6">
        <v>24.05</v>
      </c>
      <c r="I3634" s="6">
        <f t="shared" ca="1" si="0"/>
        <v>24.05</v>
      </c>
      <c r="J3634" s="6">
        <f ca="1">IFERROR(__xludf.DUMMYFUNCTION("IFERROR(GOOGLEFINANCE(B3634, ""volume""), 0)"),507217)</f>
        <v>507217</v>
      </c>
      <c r="K3634" s="6">
        <v>0.21</v>
      </c>
      <c r="L3634" s="6">
        <f ca="1">IFERROR(__xludf.DUMMYFUNCTION("IFERROR(GOOGLEFINANCE(B3634,""changepct""),K3634)"),0.59)</f>
        <v>0.59</v>
      </c>
      <c r="M3634" s="6">
        <f ca="1">IFERROR(__xludf.DUMMYFUNCTION("IFERROR(GOOGLEFINANCE(B3634,""change""),0)"),0.15)</f>
        <v>0.15</v>
      </c>
      <c r="N3634" s="6">
        <v>1</v>
      </c>
      <c r="O3634" s="7">
        <v>45536</v>
      </c>
      <c r="P3634" s="6">
        <v>16.57</v>
      </c>
      <c r="Q3634" s="6">
        <v>1929.07</v>
      </c>
      <c r="R3634" s="7">
        <v>45352</v>
      </c>
      <c r="S3634" s="6">
        <v>64.77</v>
      </c>
      <c r="T3634" s="6">
        <v>3.87</v>
      </c>
      <c r="U3634" s="7">
        <v>45352</v>
      </c>
      <c r="V3634" s="6">
        <v>494.14</v>
      </c>
      <c r="W3634" s="6">
        <f ca="1">IFERROR(__xludf.DUMMYFUNCTION("IFERROR(GOOGLEFINANCE(B3634,""pe""),V3634)"),460.92)</f>
        <v>460.92</v>
      </c>
      <c r="X3634" s="9"/>
      <c r="Y3634" s="6">
        <v>21.11</v>
      </c>
      <c r="Z3634" s="6">
        <v>1</v>
      </c>
      <c r="AA3634" s="8">
        <v>45352</v>
      </c>
      <c r="AB3634" s="4">
        <v>0.19</v>
      </c>
      <c r="AC3634" s="6">
        <v>4.51</v>
      </c>
      <c r="AD3634" s="6">
        <v>6.57</v>
      </c>
      <c r="AE3634" s="1">
        <v>0</v>
      </c>
      <c r="AF3634" s="1">
        <f ca="1">IFERROR(__xludf.DUMMYFUNCTION("IFERROR(GOOGLEFINANCE(TRIM(F3634)&amp;"":"" &amp; TRIM(B3634),""high52""),AE3634)"),0)</f>
        <v>0</v>
      </c>
      <c r="AG3634" s="1">
        <v>0</v>
      </c>
      <c r="AH3634" s="1">
        <f ca="1">IFERROR(__xludf.DUMMYFUNCTION("IFERROR(GOOGLEFINANCE(TRIM(F3634)&amp;"":"" &amp; TRIM(B3634),""low52""),AE3634)"),0)</f>
        <v>0</v>
      </c>
      <c r="AI3634" s="1">
        <f ca="1">IFERROR(__xludf.DUMMYFUNCTION("IFERROR(GOOGLEFINANCE(B3634,""eps""),0)"),0.06)</f>
        <v>0.06</v>
      </c>
      <c r="AJ3634" s="1"/>
      <c r="AK3634" s="9"/>
      <c r="AL3634" s="9">
        <f t="shared" ref="AL3634:AL3637" si="345">IF(AA3634&lt;&gt;AB3634,1,0)</f>
        <v>1</v>
      </c>
    </row>
    <row r="3635" spans="1:38" ht="15" x14ac:dyDescent="0.25">
      <c r="A3635" s="1" t="s">
        <v>11109</v>
      </c>
      <c r="B3635" s="1" t="s">
        <v>11110</v>
      </c>
      <c r="C3635" s="1" t="s">
        <v>219</v>
      </c>
      <c r="D3635" s="1" t="s">
        <v>219</v>
      </c>
      <c r="E3635" s="6">
        <v>275.95999999999998</v>
      </c>
      <c r="F3635" s="1" t="s">
        <v>53</v>
      </c>
      <c r="G3635" s="6">
        <f ca="1">IFERROR(__xludf.DUMMYFUNCTION("iferror(GOOGLEFINANCE(TRIM(F3635)&amp;"":"" &amp; TRIM(B3635), ""price""),0
)"),0)</f>
        <v>0</v>
      </c>
      <c r="H3635" s="6">
        <v>47.34</v>
      </c>
      <c r="I3635" s="6">
        <f t="shared" ca="1" si="0"/>
        <v>47.34</v>
      </c>
      <c r="J3635" s="6">
        <f ca="1">IFERROR(__xludf.DUMMYFUNCTION("IFERROR(GOOGLEFINANCE(B3635, ""volume""), 0)"),0)</f>
        <v>0</v>
      </c>
      <c r="K3635" s="6">
        <v>0.53</v>
      </c>
      <c r="L3635" s="6">
        <f ca="1">IFERROR(__xludf.DUMMYFUNCTION("IFERROR(GOOGLEFINANCE(B3635,""changepct""),K3635)"),0.53)</f>
        <v>0.53</v>
      </c>
      <c r="M3635" s="6">
        <f ca="1">IFERROR(__xludf.DUMMYFUNCTION("IFERROR(GOOGLEFINANCE(B3635,""change""),0)"),0)</f>
        <v>0</v>
      </c>
      <c r="N3635" s="6">
        <v>2</v>
      </c>
      <c r="O3635" s="7">
        <v>45536</v>
      </c>
      <c r="P3635" s="6">
        <v>98.41</v>
      </c>
      <c r="Q3635" s="6">
        <v>374.37</v>
      </c>
      <c r="R3635" s="7">
        <v>45352</v>
      </c>
      <c r="S3635" s="6">
        <v>965.41</v>
      </c>
      <c r="T3635" s="6">
        <v>17.73</v>
      </c>
      <c r="U3635" s="7">
        <v>45352</v>
      </c>
      <c r="V3635" s="6">
        <v>13.11</v>
      </c>
      <c r="W3635" s="6">
        <f ca="1">IFERROR(__xludf.DUMMYFUNCTION("IFERROR(GOOGLEFINANCE(B3635,""pe""),V3635)"),13.11)</f>
        <v>13.11</v>
      </c>
      <c r="X3635" s="9"/>
      <c r="Y3635" s="6">
        <v>0.6</v>
      </c>
      <c r="Z3635" s="6">
        <v>2</v>
      </c>
      <c r="AA3635" s="8">
        <v>45352</v>
      </c>
      <c r="AB3635" s="4">
        <v>0.3</v>
      </c>
      <c r="AC3635" s="6">
        <v>5.52</v>
      </c>
      <c r="AD3635" s="6">
        <v>7.59</v>
      </c>
      <c r="AE3635" s="1">
        <v>0</v>
      </c>
      <c r="AF3635" s="1">
        <f ca="1">IFERROR(__xludf.DUMMYFUNCTION("IFERROR(GOOGLEFINANCE(TRIM(F3635)&amp;"":"" &amp; TRIM(B3635),""high52""),AE3635)"),0)</f>
        <v>0</v>
      </c>
      <c r="AG3635" s="1">
        <v>0</v>
      </c>
      <c r="AH3635" s="1">
        <f ca="1">IFERROR(__xludf.DUMMYFUNCTION("IFERROR(GOOGLEFINANCE(TRIM(F3635)&amp;"":"" &amp; TRIM(B3635),""low52""),AE3635)"),0)</f>
        <v>0</v>
      </c>
      <c r="AI3635" s="1">
        <f ca="1">IFERROR(__xludf.DUMMYFUNCTION("IFERROR(GOOGLEFINANCE(B3635,""eps""),0)"),0)</f>
        <v>0</v>
      </c>
      <c r="AJ3635" s="1"/>
      <c r="AK3635" s="1" t="s">
        <v>11111</v>
      </c>
      <c r="AL3635" s="9">
        <f t="shared" si="345"/>
        <v>1</v>
      </c>
    </row>
    <row r="3636" spans="1:38" ht="15" x14ac:dyDescent="0.25">
      <c r="A3636" s="1" t="s">
        <v>11112</v>
      </c>
      <c r="B3636" s="1" t="s">
        <v>11113</v>
      </c>
      <c r="C3636" s="1" t="s">
        <v>584</v>
      </c>
      <c r="D3636" s="1" t="s">
        <v>584</v>
      </c>
      <c r="E3636" s="6">
        <v>7871.14</v>
      </c>
      <c r="F3636" s="1" t="s">
        <v>40</v>
      </c>
      <c r="G3636" s="6">
        <f ca="1">IFERROR(__xludf.DUMMYFUNCTION("iferror(GOOGLEFINANCE(TRIM(F3636)&amp;"":"" &amp; TRIM(B3636), ""price""),0
)"),890)</f>
        <v>890</v>
      </c>
      <c r="H3636" s="6">
        <v>1137.9000000000001</v>
      </c>
      <c r="I3636" s="6">
        <f t="shared" ca="1" si="0"/>
        <v>890</v>
      </c>
      <c r="J3636" s="6">
        <f ca="1">IFERROR(__xludf.DUMMYFUNCTION("IFERROR(GOOGLEFINANCE(B3636, ""volume""), 0)"),34606)</f>
        <v>34606</v>
      </c>
      <c r="K3636" s="6">
        <v>-0.03</v>
      </c>
      <c r="L3636" s="6">
        <f ca="1">IFERROR(__xludf.DUMMYFUNCTION("IFERROR(GOOGLEFINANCE(B3636,""changepct""),K3636)"),-0.48)</f>
        <v>-0.48</v>
      </c>
      <c r="M3636" s="6">
        <f ca="1">IFERROR(__xludf.DUMMYFUNCTION("IFERROR(GOOGLEFINANCE(B3636,""change""),0)"),-4.25)</f>
        <v>-4.25</v>
      </c>
      <c r="N3636" s="6">
        <v>2</v>
      </c>
      <c r="O3636" s="7">
        <v>45536</v>
      </c>
      <c r="P3636" s="6">
        <v>531.22</v>
      </c>
      <c r="Q3636" s="6">
        <v>8364.67</v>
      </c>
      <c r="R3636" s="7">
        <v>45536</v>
      </c>
      <c r="S3636" s="6">
        <v>2659.7</v>
      </c>
      <c r="T3636" s="6">
        <v>131.96</v>
      </c>
      <c r="U3636" s="7">
        <v>45536</v>
      </c>
      <c r="V3636" s="6">
        <v>59.65</v>
      </c>
      <c r="W3636" s="6">
        <f ca="1">IFERROR(__xludf.DUMMYFUNCTION("IFERROR(GOOGLEFINANCE(B3636,""pe""),V3636)"),126.21)</f>
        <v>126.21</v>
      </c>
      <c r="X3636" s="6">
        <v>9.59</v>
      </c>
      <c r="Y3636" s="6">
        <v>6.5</v>
      </c>
      <c r="Z3636" s="6">
        <v>2</v>
      </c>
      <c r="AA3636" s="8">
        <v>45352</v>
      </c>
      <c r="AB3636" s="4">
        <v>0.39</v>
      </c>
      <c r="AC3636" s="6">
        <v>36.299999999999997</v>
      </c>
      <c r="AD3636" s="6">
        <v>31.49</v>
      </c>
      <c r="AE3636" s="1">
        <v>0</v>
      </c>
      <c r="AF3636" s="1">
        <f ca="1">IFERROR(__xludf.DUMMYFUNCTION("IFERROR(GOOGLEFINANCE(TRIM(F3636)&amp;"":"" &amp; TRIM(B3636),""high52""),AE3636)"),1603)</f>
        <v>1603</v>
      </c>
      <c r="AG3636" s="1">
        <v>0</v>
      </c>
      <c r="AH3636" s="1">
        <f ca="1">IFERROR(__xludf.DUMMYFUNCTION("IFERROR(GOOGLEFINANCE(TRIM(F3636)&amp;"":"" &amp; TRIM(B3636),""low52""),AE3636)"),796.15)</f>
        <v>796.15</v>
      </c>
      <c r="AI3636" s="1">
        <f ca="1">IFERROR(__xludf.DUMMYFUNCTION("IFERROR(GOOGLEFINANCE(B3636,""eps""),0)"),7.05)</f>
        <v>7.05</v>
      </c>
      <c r="AJ3636" s="1"/>
      <c r="AK3636" s="1" t="s">
        <v>11114</v>
      </c>
      <c r="AL3636" s="9">
        <f t="shared" si="345"/>
        <v>1</v>
      </c>
    </row>
    <row r="3637" spans="1:38" ht="15" x14ac:dyDescent="0.25">
      <c r="A3637" s="1" t="s">
        <v>11115</v>
      </c>
      <c r="B3637" s="1" t="s">
        <v>11116</v>
      </c>
      <c r="C3637" s="1" t="s">
        <v>324</v>
      </c>
      <c r="D3637" s="1" t="s">
        <v>324</v>
      </c>
      <c r="E3637" s="6">
        <v>852.18</v>
      </c>
      <c r="F3637" s="1" t="s">
        <v>40</v>
      </c>
      <c r="G3637" s="6">
        <f ca="1">IFERROR(__xludf.DUMMYFUNCTION("iferror(GOOGLEFINANCE(TRIM(F3637)&amp;"":"" &amp; TRIM(B3637), ""price""),0
)"),171.7)</f>
        <v>171.7</v>
      </c>
      <c r="H3637" s="6">
        <v>273</v>
      </c>
      <c r="I3637" s="6">
        <f t="shared" ca="1" si="0"/>
        <v>171.7</v>
      </c>
      <c r="J3637" s="6">
        <f ca="1">IFERROR(__xludf.DUMMYFUNCTION("IFERROR(GOOGLEFINANCE(B3637, ""volume""), 0)"),5663)</f>
        <v>5663</v>
      </c>
      <c r="K3637" s="6">
        <v>0.05</v>
      </c>
      <c r="L3637" s="6">
        <f ca="1">IFERROR(__xludf.DUMMYFUNCTION("IFERROR(GOOGLEFINANCE(B3637,""changepct""),K3637)"),-3.02)</f>
        <v>-3.02</v>
      </c>
      <c r="M3637" s="6">
        <f ca="1">IFERROR(__xludf.DUMMYFUNCTION("IFERROR(GOOGLEFINANCE(B3637,""change""),0)"),-5.34)</f>
        <v>-5.34</v>
      </c>
      <c r="N3637" s="6">
        <v>2</v>
      </c>
      <c r="O3637" s="7">
        <v>45536</v>
      </c>
      <c r="P3637" s="6">
        <v>346.45</v>
      </c>
      <c r="Q3637" s="6">
        <v>1183.31</v>
      </c>
      <c r="R3637" s="7">
        <v>45536</v>
      </c>
      <c r="S3637" s="6">
        <v>1494.23</v>
      </c>
      <c r="T3637" s="6">
        <v>54.27</v>
      </c>
      <c r="U3637" s="7">
        <v>45536</v>
      </c>
      <c r="V3637" s="6">
        <v>15.7</v>
      </c>
      <c r="W3637" s="6">
        <f ca="1">IFERROR(__xludf.DUMMYFUNCTION("IFERROR(GOOGLEFINANCE(B3637,""pe""),V3637)"),23.44)</f>
        <v>23.44</v>
      </c>
      <c r="X3637" s="6">
        <v>4.21</v>
      </c>
      <c r="Y3637" s="6">
        <v>1.6</v>
      </c>
      <c r="Z3637" s="6">
        <v>2</v>
      </c>
      <c r="AA3637" s="8">
        <v>45352</v>
      </c>
      <c r="AB3637" s="4">
        <v>0.65</v>
      </c>
      <c r="AC3637" s="6">
        <v>10.32</v>
      </c>
      <c r="AD3637" s="6">
        <v>12.76</v>
      </c>
      <c r="AE3637" s="1">
        <v>0</v>
      </c>
      <c r="AF3637" s="1">
        <f ca="1">IFERROR(__xludf.DUMMYFUNCTION("IFERROR(GOOGLEFINANCE(TRIM(F3637)&amp;"":"" &amp; TRIM(B3637),""high52""),AE3637)"),245)</f>
        <v>245</v>
      </c>
      <c r="AG3637" s="1">
        <v>0</v>
      </c>
      <c r="AH3637" s="1">
        <f ca="1">IFERROR(__xludf.DUMMYFUNCTION("IFERROR(GOOGLEFINANCE(TRIM(F3637)&amp;"":"" &amp; TRIM(B3637),""low52""),AE3637)"),143.61)</f>
        <v>143.61000000000001</v>
      </c>
      <c r="AI3637" s="1">
        <f ca="1">IFERROR(__xludf.DUMMYFUNCTION("IFERROR(GOOGLEFINANCE(B3637,""eps""),0)"),7.33)</f>
        <v>7.33</v>
      </c>
      <c r="AJ3637" s="1"/>
      <c r="AK3637" s="1" t="s">
        <v>11117</v>
      </c>
      <c r="AL3637" s="9">
        <f t="shared" si="345"/>
        <v>1</v>
      </c>
    </row>
    <row r="3638" spans="1:38" ht="15" x14ac:dyDescent="0.25">
      <c r="A3638" s="1" t="s">
        <v>11118</v>
      </c>
      <c r="B3638" s="1" t="s">
        <v>11119</v>
      </c>
      <c r="C3638" s="1" t="s">
        <v>643</v>
      </c>
      <c r="D3638" s="1" t="s">
        <v>643</v>
      </c>
      <c r="E3638" s="6">
        <v>3555.76</v>
      </c>
      <c r="F3638" s="1" t="s">
        <v>40</v>
      </c>
      <c r="G3638" s="6">
        <f ca="1">IFERROR(__xludf.DUMMYFUNCTION("iferror(GOOGLEFINANCE(TRIM(F3638)&amp;"":"" &amp; TRIM(B3638), ""price""),0
)"),181.7)</f>
        <v>181.7</v>
      </c>
      <c r="H3638" s="6">
        <v>423.7</v>
      </c>
      <c r="I3638" s="6">
        <f t="shared" ca="1" si="0"/>
        <v>181.7</v>
      </c>
      <c r="J3638" s="6">
        <f ca="1">IFERROR(__xludf.DUMMYFUNCTION("IFERROR(GOOGLEFINANCE(B3638, ""volume""), 0)"),363403)</f>
        <v>363403</v>
      </c>
      <c r="K3638" s="6">
        <v>0.64</v>
      </c>
      <c r="L3638" s="6">
        <f ca="1">IFERROR(__xludf.DUMMYFUNCTION("IFERROR(GOOGLEFINANCE(B3638,""changepct""),K3638)"),-0.56)</f>
        <v>-0.56000000000000005</v>
      </c>
      <c r="M3638" s="6">
        <f ca="1">IFERROR(__xludf.DUMMYFUNCTION("IFERROR(GOOGLEFINANCE(B3638,""change""),0)"),-1.02)</f>
        <v>-1.02</v>
      </c>
      <c r="N3638" s="6">
        <v>2</v>
      </c>
      <c r="O3638" s="7">
        <v>45536</v>
      </c>
      <c r="P3638" s="6">
        <v>330.25</v>
      </c>
      <c r="Q3638" s="6">
        <v>3870.89</v>
      </c>
      <c r="R3638" s="7">
        <v>45536</v>
      </c>
      <c r="S3638" s="6">
        <v>618.89</v>
      </c>
      <c r="T3638" s="6">
        <v>85.64</v>
      </c>
      <c r="U3638" s="7">
        <v>45536</v>
      </c>
      <c r="V3638" s="6">
        <v>41.52</v>
      </c>
      <c r="W3638" s="6">
        <f ca="1">IFERROR(__xludf.DUMMYFUNCTION("IFERROR(GOOGLEFINANCE(B3638,""pe""),V3638)"),31.28)</f>
        <v>31.28</v>
      </c>
      <c r="X3638" s="12"/>
      <c r="Y3638" s="6">
        <v>6.54</v>
      </c>
      <c r="Z3638" s="6">
        <v>2</v>
      </c>
      <c r="AA3638" s="8">
        <v>45352</v>
      </c>
      <c r="AB3638" s="4">
        <v>0.55000000000000004</v>
      </c>
      <c r="AC3638" s="6">
        <v>17.28</v>
      </c>
      <c r="AD3638" s="6">
        <v>19.309999999999999</v>
      </c>
      <c r="AE3638" s="1">
        <v>0</v>
      </c>
      <c r="AF3638" s="1">
        <f ca="1">IFERROR(__xludf.DUMMYFUNCTION("IFERROR(GOOGLEFINANCE(TRIM(F3638)&amp;"":"" &amp; TRIM(B3638),""high52""),AE3638)"),371.95)</f>
        <v>371.95</v>
      </c>
      <c r="AG3638" s="1">
        <v>0</v>
      </c>
      <c r="AH3638" s="1">
        <f ca="1">IFERROR(__xludf.DUMMYFUNCTION("IFERROR(GOOGLEFINANCE(TRIM(F3638)&amp;"":"" &amp; TRIM(B3638),""low52""),AE3638)"),175.31)</f>
        <v>175.31</v>
      </c>
      <c r="AI3638" s="1">
        <f ca="1">IFERROR(__xludf.DUMMYFUNCTION("IFERROR(GOOGLEFINANCE(B3638,""eps""),0)"),5.81)</f>
        <v>5.81</v>
      </c>
      <c r="AJ3638" s="1"/>
      <c r="AK3638" s="1" t="s">
        <v>11120</v>
      </c>
      <c r="AL3638" s="1" t="b">
        <f>ISNUMBER(AA3638)</f>
        <v>1</v>
      </c>
    </row>
    <row r="3639" spans="1:38" ht="15" x14ac:dyDescent="0.25">
      <c r="A3639" s="1" t="s">
        <v>11121</v>
      </c>
      <c r="B3639" s="1" t="s">
        <v>11122</v>
      </c>
      <c r="C3639" s="1" t="s">
        <v>487</v>
      </c>
      <c r="D3639" s="1" t="s">
        <v>487</v>
      </c>
      <c r="E3639" s="6">
        <v>603.80999999999995</v>
      </c>
      <c r="F3639" s="1" t="s">
        <v>40</v>
      </c>
      <c r="G3639" s="6">
        <f ca="1">IFERROR(__xludf.DUMMYFUNCTION("iferror(GOOGLEFINANCE(TRIM(F3639)&amp;"":"" &amp; TRIM(B3639), ""price""),0
)"),50)</f>
        <v>50</v>
      </c>
      <c r="H3639" s="6">
        <v>151.74</v>
      </c>
      <c r="I3639" s="6">
        <f t="shared" ca="1" si="0"/>
        <v>50</v>
      </c>
      <c r="J3639" s="6">
        <f ca="1">IFERROR(__xludf.DUMMYFUNCTION("IFERROR(GOOGLEFINANCE(B3639, ""volume""), 0)"),24466)</f>
        <v>24466</v>
      </c>
      <c r="K3639" s="6">
        <v>2</v>
      </c>
      <c r="L3639" s="6">
        <f ca="1">IFERROR(__xludf.DUMMYFUNCTION("IFERROR(GOOGLEFINANCE(B3639,""changepct""),K3639)"),5.51)</f>
        <v>5.51</v>
      </c>
      <c r="M3639" s="6">
        <f ca="1">IFERROR(__xludf.DUMMYFUNCTION("IFERROR(GOOGLEFINANCE(B3639,""change""),0)"),2.61)</f>
        <v>2.61</v>
      </c>
      <c r="N3639" s="6">
        <v>2</v>
      </c>
      <c r="O3639" s="7">
        <v>45536</v>
      </c>
      <c r="P3639" s="6">
        <v>91.69</v>
      </c>
      <c r="Q3639" s="6">
        <v>695.51</v>
      </c>
      <c r="R3639" s="7">
        <v>45536</v>
      </c>
      <c r="S3639" s="6">
        <v>186.35</v>
      </c>
      <c r="T3639" s="6">
        <v>12.37</v>
      </c>
      <c r="U3639" s="7">
        <v>45536</v>
      </c>
      <c r="V3639" s="6">
        <v>56.77</v>
      </c>
      <c r="W3639" s="6">
        <f ca="1">IFERROR(__xludf.DUMMYFUNCTION("IFERROR(GOOGLEFINANCE(B3639,""pe""),V3639)"),19.66)</f>
        <v>19.66</v>
      </c>
      <c r="X3639" s="6">
        <v>9.34</v>
      </c>
      <c r="Y3639" s="6">
        <v>6.58</v>
      </c>
      <c r="Z3639" s="6">
        <v>2</v>
      </c>
      <c r="AA3639" s="8">
        <v>45352</v>
      </c>
      <c r="AB3639" s="4">
        <v>1.65</v>
      </c>
      <c r="AC3639" s="6">
        <v>15.39</v>
      </c>
      <c r="AD3639" s="6">
        <v>15.09</v>
      </c>
      <c r="AE3639" s="1">
        <v>0</v>
      </c>
      <c r="AF3639" s="1">
        <f ca="1">IFERROR(__xludf.DUMMYFUNCTION("IFERROR(GOOGLEFINANCE(TRIM(F3639)&amp;"":"" &amp; TRIM(B3639),""high52""),AE3639)"),142)</f>
        <v>142</v>
      </c>
      <c r="AG3639" s="1">
        <v>0</v>
      </c>
      <c r="AH3639" s="1">
        <f ca="1">IFERROR(__xludf.DUMMYFUNCTION("IFERROR(GOOGLEFINANCE(TRIM(F3639)&amp;"":"" &amp; TRIM(B3639),""low52""),AE3639)"),46.2)</f>
        <v>46.2</v>
      </c>
      <c r="AI3639" s="1">
        <f ca="1">IFERROR(__xludf.DUMMYFUNCTION("IFERROR(GOOGLEFINANCE(B3639,""eps""),0)"),2.54)</f>
        <v>2.54</v>
      </c>
      <c r="AJ3639" s="1"/>
      <c r="AK3639" s="1" t="s">
        <v>11123</v>
      </c>
      <c r="AL3639" s="9">
        <f t="shared" ref="AL3639:AL3652" si="346">IF(AA3639&lt;&gt;AB3639,1,0)</f>
        <v>1</v>
      </c>
    </row>
    <row r="3640" spans="1:38" ht="15" x14ac:dyDescent="0.25">
      <c r="A3640" s="1" t="s">
        <v>11124</v>
      </c>
      <c r="B3640" s="1" t="s">
        <v>11125</v>
      </c>
      <c r="C3640" s="1" t="s">
        <v>219</v>
      </c>
      <c r="D3640" s="1" t="s">
        <v>219</v>
      </c>
      <c r="E3640" s="6">
        <v>11.53</v>
      </c>
      <c r="F3640" s="1" t="s">
        <v>53</v>
      </c>
      <c r="G3640" s="6">
        <f ca="1">IFERROR(__xludf.DUMMYFUNCTION("iferror(GOOGLEFINANCE(TRIM(F3640)&amp;"":"" &amp; TRIM(B3640), ""price""),0
)"),0)</f>
        <v>0</v>
      </c>
      <c r="H3640" s="6">
        <v>5.58</v>
      </c>
      <c r="I3640" s="6">
        <f t="shared" ca="1" si="0"/>
        <v>5.58</v>
      </c>
      <c r="J3640" s="6">
        <f ca="1">IFERROR(__xludf.DUMMYFUNCTION("IFERROR(GOOGLEFINANCE(B3640, ""volume""), 0)"),0)</f>
        <v>0</v>
      </c>
      <c r="K3640" s="6">
        <v>0.9</v>
      </c>
      <c r="L3640" s="6">
        <f ca="1">IFERROR(__xludf.DUMMYFUNCTION("IFERROR(GOOGLEFINANCE(B3640,""changepct""),K3640)"),0.9)</f>
        <v>0.9</v>
      </c>
      <c r="M3640" s="6">
        <f ca="1">IFERROR(__xludf.DUMMYFUNCTION("IFERROR(GOOGLEFINANCE(B3640,""change""),0)"),0)</f>
        <v>0</v>
      </c>
      <c r="N3640" s="6">
        <v>1</v>
      </c>
      <c r="O3640" s="7">
        <v>45536</v>
      </c>
      <c r="P3640" s="6">
        <v>83.94</v>
      </c>
      <c r="Q3640" s="6">
        <v>92.29</v>
      </c>
      <c r="R3640" s="7">
        <v>45536</v>
      </c>
      <c r="S3640" s="6">
        <v>138.34</v>
      </c>
      <c r="T3640" s="6">
        <v>-0.98</v>
      </c>
      <c r="U3640" s="7">
        <v>45536</v>
      </c>
      <c r="V3640" s="6">
        <v>0</v>
      </c>
      <c r="W3640" s="6">
        <f ca="1">IFERROR(__xludf.DUMMYFUNCTION("IFERROR(GOOGLEFINANCE(B3640,""pe""),V3640)"),0)</f>
        <v>0</v>
      </c>
      <c r="X3640" s="9"/>
      <c r="Y3640" s="6">
        <v>-8.8699999999999992</v>
      </c>
      <c r="Z3640" s="6">
        <v>1</v>
      </c>
      <c r="AA3640" s="8">
        <v>45352</v>
      </c>
      <c r="AB3640" s="4">
        <v>-72.66</v>
      </c>
      <c r="AC3640" s="6">
        <v>-317.74</v>
      </c>
      <c r="AD3640" s="6">
        <v>-4.7699999999999996</v>
      </c>
      <c r="AE3640" s="1">
        <v>0</v>
      </c>
      <c r="AF3640" s="1">
        <f ca="1">IFERROR(__xludf.DUMMYFUNCTION("IFERROR(GOOGLEFINANCE(TRIM(F3640)&amp;"":"" &amp; TRIM(B3640),""high52""),AE3640)"),0)</f>
        <v>0</v>
      </c>
      <c r="AG3640" s="1">
        <v>0</v>
      </c>
      <c r="AH3640" s="1">
        <f ca="1">IFERROR(__xludf.DUMMYFUNCTION("IFERROR(GOOGLEFINANCE(TRIM(F3640)&amp;"":"" &amp; TRIM(B3640),""low52""),AE3640)"),0)</f>
        <v>0</v>
      </c>
      <c r="AI3640" s="1">
        <f ca="1">IFERROR(__xludf.DUMMYFUNCTION("IFERROR(GOOGLEFINANCE(B3640,""eps""),0)"),0)</f>
        <v>0</v>
      </c>
      <c r="AJ3640" s="1"/>
      <c r="AK3640" s="1" t="s">
        <v>11126</v>
      </c>
      <c r="AL3640" s="9">
        <f t="shared" si="346"/>
        <v>1</v>
      </c>
    </row>
    <row r="3641" spans="1:38" ht="15" x14ac:dyDescent="0.25">
      <c r="A3641" s="1" t="s">
        <v>11127</v>
      </c>
      <c r="B3641" s="1" t="s">
        <v>11128</v>
      </c>
      <c r="C3641" s="1" t="s">
        <v>219</v>
      </c>
      <c r="D3641" s="1" t="s">
        <v>219</v>
      </c>
      <c r="E3641" s="6">
        <v>5.67</v>
      </c>
      <c r="F3641" s="1" t="s">
        <v>53</v>
      </c>
      <c r="G3641" s="6">
        <f ca="1">IFERROR(__xludf.DUMMYFUNCTION("iferror(GOOGLEFINANCE(TRIM(F3641)&amp;"":"" &amp; TRIM(B3641), ""price""),0
)"),0)</f>
        <v>0</v>
      </c>
      <c r="H3641" s="6">
        <v>10.6</v>
      </c>
      <c r="I3641" s="6">
        <f t="shared" ca="1" si="0"/>
        <v>10.6</v>
      </c>
      <c r="J3641" s="6">
        <f ca="1">IFERROR(__xludf.DUMMYFUNCTION("IFERROR(GOOGLEFINANCE(B3641, ""volume""), 0)"),0)</f>
        <v>0</v>
      </c>
      <c r="K3641" s="6">
        <v>0</v>
      </c>
      <c r="L3641" s="6">
        <f ca="1">IFERROR(__xludf.DUMMYFUNCTION("IFERROR(GOOGLEFINANCE(B3641,""changepct""),K3641)"),0)</f>
        <v>0</v>
      </c>
      <c r="M3641" s="6">
        <f ca="1">IFERROR(__xludf.DUMMYFUNCTION("IFERROR(GOOGLEFINANCE(B3641,""change""),0)"),0)</f>
        <v>0</v>
      </c>
      <c r="N3641" s="6">
        <v>1</v>
      </c>
      <c r="O3641" s="7">
        <v>45536</v>
      </c>
      <c r="P3641" s="6">
        <v>26.63</v>
      </c>
      <c r="Q3641" s="6">
        <v>32.159999999999997</v>
      </c>
      <c r="R3641" s="7">
        <v>45536</v>
      </c>
      <c r="S3641" s="6">
        <v>54.8</v>
      </c>
      <c r="T3641" s="6">
        <v>-3.4</v>
      </c>
      <c r="U3641" s="7">
        <v>45536</v>
      </c>
      <c r="V3641" s="6">
        <v>0</v>
      </c>
      <c r="W3641" s="6">
        <f ca="1">IFERROR(__xludf.DUMMYFUNCTION("IFERROR(GOOGLEFINANCE(B3641,""pe""),V3641)"),0)</f>
        <v>0</v>
      </c>
      <c r="X3641" s="9"/>
      <c r="Y3641" s="6">
        <v>0.76</v>
      </c>
      <c r="Z3641" s="6">
        <v>1</v>
      </c>
      <c r="AA3641" s="8">
        <v>45352</v>
      </c>
      <c r="AB3641" s="4">
        <v>3.92</v>
      </c>
      <c r="AC3641" s="6">
        <v>-23.97</v>
      </c>
      <c r="AD3641" s="6">
        <v>0.72</v>
      </c>
      <c r="AE3641" s="1">
        <v>0</v>
      </c>
      <c r="AF3641" s="1">
        <f ca="1">IFERROR(__xludf.DUMMYFUNCTION("IFERROR(GOOGLEFINANCE(TRIM(F3641)&amp;"":"" &amp; TRIM(B3641),""high52""),AE3641)"),0)</f>
        <v>0</v>
      </c>
      <c r="AG3641" s="1">
        <v>0</v>
      </c>
      <c r="AH3641" s="1">
        <f ca="1">IFERROR(__xludf.DUMMYFUNCTION("IFERROR(GOOGLEFINANCE(TRIM(F3641)&amp;"":"" &amp; TRIM(B3641),""low52""),AE3641)"),0)</f>
        <v>0</v>
      </c>
      <c r="AI3641" s="1">
        <f ca="1">IFERROR(__xludf.DUMMYFUNCTION("IFERROR(GOOGLEFINANCE(B3641,""eps""),0)"),0)</f>
        <v>0</v>
      </c>
      <c r="AJ3641" s="1"/>
      <c r="AK3641" s="1" t="s">
        <v>11129</v>
      </c>
      <c r="AL3641" s="9">
        <f t="shared" si="346"/>
        <v>1</v>
      </c>
    </row>
    <row r="3642" spans="1:38" ht="15" x14ac:dyDescent="0.25">
      <c r="A3642" s="1" t="s">
        <v>11130</v>
      </c>
      <c r="B3642" s="1" t="s">
        <v>11131</v>
      </c>
      <c r="C3642" s="1" t="s">
        <v>219</v>
      </c>
      <c r="D3642" s="1" t="s">
        <v>219</v>
      </c>
      <c r="E3642" s="6">
        <v>130.97999999999999</v>
      </c>
      <c r="F3642" s="1" t="s">
        <v>53</v>
      </c>
      <c r="G3642" s="6">
        <f ca="1">IFERROR(__xludf.DUMMYFUNCTION("iferror(GOOGLEFINANCE(TRIM(F3642)&amp;"":"" &amp; TRIM(B3642), ""price""),0
)"),0)</f>
        <v>0</v>
      </c>
      <c r="H3642" s="6">
        <v>313.7</v>
      </c>
      <c r="I3642" s="6">
        <f t="shared" ca="1" si="0"/>
        <v>313.7</v>
      </c>
      <c r="J3642" s="6">
        <f ca="1">IFERROR(__xludf.DUMMYFUNCTION("IFERROR(GOOGLEFINANCE(B3642, ""volume""), 0)"),0)</f>
        <v>0</v>
      </c>
      <c r="K3642" s="6">
        <v>-2</v>
      </c>
      <c r="L3642" s="6">
        <f ca="1">IFERROR(__xludf.DUMMYFUNCTION("IFERROR(GOOGLEFINANCE(B3642,""changepct""),K3642)"),-2)</f>
        <v>-2</v>
      </c>
      <c r="M3642" s="6">
        <f ca="1">IFERROR(__xludf.DUMMYFUNCTION("IFERROR(GOOGLEFINANCE(B3642,""change""),0)"),0)</f>
        <v>0</v>
      </c>
      <c r="N3642" s="6">
        <v>1</v>
      </c>
      <c r="O3642" s="7">
        <v>45536</v>
      </c>
      <c r="P3642" s="9"/>
      <c r="Q3642" s="6">
        <v>98.63</v>
      </c>
      <c r="R3642" s="7">
        <v>45536</v>
      </c>
      <c r="S3642" s="6">
        <v>38.520000000000003</v>
      </c>
      <c r="T3642" s="6">
        <v>0.16</v>
      </c>
      <c r="U3642" s="7">
        <v>45536</v>
      </c>
      <c r="V3642" s="6">
        <v>818.66</v>
      </c>
      <c r="W3642" s="6">
        <f ca="1">IFERROR(__xludf.DUMMYFUNCTION("IFERROR(GOOGLEFINANCE(B3642,""pe""),V3642)"),818.66)</f>
        <v>818.66</v>
      </c>
      <c r="X3642" s="12"/>
      <c r="Y3642" s="6">
        <v>2.93</v>
      </c>
      <c r="Z3642" s="6">
        <v>1</v>
      </c>
      <c r="AA3642" s="8">
        <v>45352</v>
      </c>
      <c r="AB3642" s="4">
        <v>0</v>
      </c>
      <c r="AC3642" s="6">
        <v>-9.51</v>
      </c>
      <c r="AD3642" s="6">
        <v>-10.7</v>
      </c>
      <c r="AE3642" s="1">
        <v>0</v>
      </c>
      <c r="AF3642" s="1">
        <f ca="1">IFERROR(__xludf.DUMMYFUNCTION("IFERROR(GOOGLEFINANCE(TRIM(F3642)&amp;"":"" &amp; TRIM(B3642),""high52""),AE3642)"),0)</f>
        <v>0</v>
      </c>
      <c r="AG3642" s="1">
        <v>0</v>
      </c>
      <c r="AH3642" s="1">
        <f ca="1">IFERROR(__xludf.DUMMYFUNCTION("IFERROR(GOOGLEFINANCE(TRIM(F3642)&amp;"":"" &amp; TRIM(B3642),""low52""),AE3642)"),0)</f>
        <v>0</v>
      </c>
      <c r="AI3642" s="1">
        <f ca="1">IFERROR(__xludf.DUMMYFUNCTION("IFERROR(GOOGLEFINANCE(B3642,""eps""),0)"),0)</f>
        <v>0</v>
      </c>
      <c r="AJ3642" s="1"/>
      <c r="AK3642" s="1" t="s">
        <v>11132</v>
      </c>
      <c r="AL3642" s="9">
        <f t="shared" si="346"/>
        <v>1</v>
      </c>
    </row>
    <row r="3643" spans="1:38" ht="15" x14ac:dyDescent="0.25">
      <c r="A3643" s="1" t="s">
        <v>11133</v>
      </c>
      <c r="B3643" s="1" t="s">
        <v>11134</v>
      </c>
      <c r="C3643" s="1" t="s">
        <v>697</v>
      </c>
      <c r="D3643" s="1" t="s">
        <v>697</v>
      </c>
      <c r="E3643" s="6">
        <v>26903.96</v>
      </c>
      <c r="F3643" s="1" t="s">
        <v>40</v>
      </c>
      <c r="G3643" s="6">
        <f ca="1">IFERROR(__xludf.DUMMYFUNCTION("iferror(GOOGLEFINANCE(TRIM(F3643)&amp;"":"" &amp; TRIM(B3643), ""price""),0
)"),414)</f>
        <v>414</v>
      </c>
      <c r="H3643" s="6">
        <v>540.75</v>
      </c>
      <c r="I3643" s="6">
        <f t="shared" ca="1" si="0"/>
        <v>414</v>
      </c>
      <c r="J3643" s="6">
        <f ca="1">IFERROR(__xludf.DUMMYFUNCTION("IFERROR(GOOGLEFINANCE(B3643, ""volume""), 0)"),129095)</f>
        <v>129095</v>
      </c>
      <c r="K3643" s="6">
        <v>-0.05</v>
      </c>
      <c r="L3643" s="6">
        <f ca="1">IFERROR(__xludf.DUMMYFUNCTION("IFERROR(GOOGLEFINANCE(B3643,""changepct""),K3643)"),-0.78)</f>
        <v>-0.78</v>
      </c>
      <c r="M3643" s="6">
        <f ca="1">IFERROR(__xludf.DUMMYFUNCTION("IFERROR(GOOGLEFINANCE(B3643,""change""),0)"),-3.25)</f>
        <v>-3.25</v>
      </c>
      <c r="N3643" s="6">
        <v>2</v>
      </c>
      <c r="O3643" s="7">
        <v>45536</v>
      </c>
      <c r="P3643" s="6">
        <v>0.42</v>
      </c>
      <c r="Q3643" s="6">
        <v>26262.080000000002</v>
      </c>
      <c r="R3643" s="7">
        <v>45536</v>
      </c>
      <c r="S3643" s="6">
        <v>3043.41</v>
      </c>
      <c r="T3643" s="6">
        <v>483.85</v>
      </c>
      <c r="U3643" s="7">
        <v>45536</v>
      </c>
      <c r="V3643" s="6">
        <v>55.66</v>
      </c>
      <c r="W3643" s="6">
        <f ca="1">IFERROR(__xludf.DUMMYFUNCTION("IFERROR(GOOGLEFINANCE(B3643,""pe""),V3643)"),38.89)</f>
        <v>38.89</v>
      </c>
      <c r="X3643" s="6">
        <v>3.32</v>
      </c>
      <c r="Y3643" s="6">
        <v>9.91</v>
      </c>
      <c r="Z3643" s="6">
        <v>2</v>
      </c>
      <c r="AA3643" s="8">
        <v>45352</v>
      </c>
      <c r="AB3643" s="4">
        <v>0</v>
      </c>
      <c r="AC3643" s="6">
        <v>15.33</v>
      </c>
      <c r="AD3643" s="6">
        <v>21.09</v>
      </c>
      <c r="AE3643" s="1">
        <v>0</v>
      </c>
      <c r="AF3643" s="1">
        <f ca="1">IFERROR(__xludf.DUMMYFUNCTION("IFERROR(GOOGLEFINANCE(TRIM(F3643)&amp;"":"" &amp; TRIM(B3643),""high52""),AE3643)"),665)</f>
        <v>665</v>
      </c>
      <c r="AG3643" s="1">
        <v>0</v>
      </c>
      <c r="AH3643" s="1">
        <f ca="1">IFERROR(__xludf.DUMMYFUNCTION("IFERROR(GOOGLEFINANCE(TRIM(F3643)&amp;"":"" &amp; TRIM(B3643),""low52""),AE3643)"),396.2)</f>
        <v>396.2</v>
      </c>
      <c r="AI3643" s="1">
        <f ca="1">IFERROR(__xludf.DUMMYFUNCTION("IFERROR(GOOGLEFINANCE(B3643,""eps""),0)"),10.65)</f>
        <v>10.65</v>
      </c>
      <c r="AJ3643" s="1"/>
      <c r="AK3643" s="9"/>
      <c r="AL3643" s="9">
        <f t="shared" si="346"/>
        <v>1</v>
      </c>
    </row>
    <row r="3644" spans="1:38" ht="15" x14ac:dyDescent="0.25">
      <c r="A3644" s="1" t="s">
        <v>11135</v>
      </c>
      <c r="B3644" s="1" t="s">
        <v>11136</v>
      </c>
      <c r="C3644" s="1" t="s">
        <v>219</v>
      </c>
      <c r="D3644" s="1" t="s">
        <v>219</v>
      </c>
      <c r="E3644" s="6">
        <v>33.79</v>
      </c>
      <c r="F3644" s="1" t="s">
        <v>53</v>
      </c>
      <c r="G3644" s="6">
        <f ca="1">IFERROR(__xludf.DUMMYFUNCTION("iferror(GOOGLEFINANCE(TRIM(F3644)&amp;"":"" &amp; TRIM(B3644), ""price""),0
)"),0)</f>
        <v>0</v>
      </c>
      <c r="H3644" s="6">
        <v>48</v>
      </c>
      <c r="I3644" s="6">
        <f t="shared" ca="1" si="0"/>
        <v>48</v>
      </c>
      <c r="J3644" s="6">
        <f ca="1">IFERROR(__xludf.DUMMYFUNCTION("IFERROR(GOOGLEFINANCE(B3644, ""volume""), 0)"),0)</f>
        <v>0</v>
      </c>
      <c r="K3644" s="6">
        <v>13.13</v>
      </c>
      <c r="L3644" s="6">
        <f ca="1">IFERROR(__xludf.DUMMYFUNCTION("IFERROR(GOOGLEFINANCE(B3644,""changepct""),K3644)"),13.13)</f>
        <v>13.13</v>
      </c>
      <c r="M3644" s="6">
        <f ca="1">IFERROR(__xludf.DUMMYFUNCTION("IFERROR(GOOGLEFINANCE(B3644,""change""),0)"),0)</f>
        <v>0</v>
      </c>
      <c r="N3644" s="6">
        <v>1</v>
      </c>
      <c r="O3644" s="7">
        <v>45536</v>
      </c>
      <c r="P3644" s="6">
        <v>92.78</v>
      </c>
      <c r="Q3644" s="6">
        <v>125.17</v>
      </c>
      <c r="R3644" s="7">
        <v>45536</v>
      </c>
      <c r="S3644" s="6">
        <v>307.67</v>
      </c>
      <c r="T3644" s="6">
        <v>-0.67</v>
      </c>
      <c r="U3644" s="15">
        <v>45536</v>
      </c>
      <c r="V3644" s="6">
        <v>0</v>
      </c>
      <c r="W3644" s="6">
        <f ca="1">IFERROR(__xludf.DUMMYFUNCTION("IFERROR(GOOGLEFINANCE(B3644,""pe""),V3644)"),0)</f>
        <v>0</v>
      </c>
      <c r="X3644" s="6">
        <v>0</v>
      </c>
      <c r="Y3644" s="6">
        <v>0.91</v>
      </c>
      <c r="Z3644" s="6">
        <v>1</v>
      </c>
      <c r="AA3644" s="17">
        <v>45352</v>
      </c>
      <c r="AB3644" s="18">
        <v>2.62</v>
      </c>
      <c r="AC3644" s="6">
        <v>3.88</v>
      </c>
      <c r="AD3644" s="6">
        <v>8.2100000000000009</v>
      </c>
      <c r="AE3644" s="1">
        <v>0</v>
      </c>
      <c r="AF3644" s="1">
        <f ca="1">IFERROR(__xludf.DUMMYFUNCTION("IFERROR(GOOGLEFINANCE(TRIM(F3644)&amp;"":"" &amp; TRIM(B3644),""high52""),AE3644)"),0)</f>
        <v>0</v>
      </c>
      <c r="AG3644" s="1">
        <v>0</v>
      </c>
      <c r="AH3644" s="1">
        <f ca="1">IFERROR(__xludf.DUMMYFUNCTION("IFERROR(GOOGLEFINANCE(TRIM(F3644)&amp;"":"" &amp; TRIM(B3644),""low52""),AE3644)"),0)</f>
        <v>0</v>
      </c>
      <c r="AI3644" s="1">
        <f ca="1">IFERROR(__xludf.DUMMYFUNCTION("IFERROR(GOOGLEFINANCE(B3644,""eps""),0)"),0)</f>
        <v>0</v>
      </c>
      <c r="AJ3644" s="1"/>
      <c r="AK3644" s="1" t="s">
        <v>11137</v>
      </c>
      <c r="AL3644" s="9">
        <f t="shared" si="346"/>
        <v>1</v>
      </c>
    </row>
    <row r="3645" spans="1:38" ht="15" x14ac:dyDescent="0.25">
      <c r="A3645" s="1" t="s">
        <v>11138</v>
      </c>
      <c r="B3645" s="1" t="s">
        <v>11139</v>
      </c>
      <c r="C3645" s="1" t="s">
        <v>219</v>
      </c>
      <c r="D3645" s="1" t="s">
        <v>219</v>
      </c>
      <c r="E3645" s="6">
        <v>393.63</v>
      </c>
      <c r="F3645" s="1" t="s">
        <v>53</v>
      </c>
      <c r="G3645" s="6">
        <f ca="1">IFERROR(__xludf.DUMMYFUNCTION("iferror(GOOGLEFINANCE(TRIM(F3645)&amp;"":"" &amp; TRIM(B3645), ""price""),0
)"),0)</f>
        <v>0</v>
      </c>
      <c r="H3645" s="6">
        <v>136.94999999999999</v>
      </c>
      <c r="I3645" s="6">
        <f t="shared" ca="1" si="0"/>
        <v>136.94999999999999</v>
      </c>
      <c r="J3645" s="6">
        <f ca="1">IFERROR(__xludf.DUMMYFUNCTION("IFERROR(GOOGLEFINANCE(B3645, ""volume""), 0)"),0)</f>
        <v>0</v>
      </c>
      <c r="K3645" s="6">
        <v>1.33</v>
      </c>
      <c r="L3645" s="6">
        <f ca="1">IFERROR(__xludf.DUMMYFUNCTION("IFERROR(GOOGLEFINANCE(B3645,""changepct""),K3645)"),1.33)</f>
        <v>1.33</v>
      </c>
      <c r="M3645" s="6">
        <f ca="1">IFERROR(__xludf.DUMMYFUNCTION("IFERROR(GOOGLEFINANCE(B3645,""change""),0)"),0)</f>
        <v>0</v>
      </c>
      <c r="N3645" s="6">
        <v>1</v>
      </c>
      <c r="O3645" s="7">
        <v>45536</v>
      </c>
      <c r="P3645" s="6">
        <v>0.02</v>
      </c>
      <c r="Q3645" s="6">
        <v>372.85</v>
      </c>
      <c r="R3645" s="7">
        <v>45536</v>
      </c>
      <c r="S3645" s="6">
        <v>0</v>
      </c>
      <c r="T3645" s="6">
        <v>-0.14000000000000001</v>
      </c>
      <c r="U3645" s="7">
        <v>45536</v>
      </c>
      <c r="V3645" s="6">
        <v>0</v>
      </c>
      <c r="W3645" s="6">
        <f ca="1">IFERROR(__xludf.DUMMYFUNCTION("IFERROR(GOOGLEFINANCE(B3645,""pe""),V3645)"),0)</f>
        <v>0</v>
      </c>
      <c r="X3645" s="9"/>
      <c r="Y3645" s="6">
        <v>9.31</v>
      </c>
      <c r="Z3645" s="6">
        <v>1</v>
      </c>
      <c r="AA3645" s="8">
        <v>45352</v>
      </c>
      <c r="AB3645" s="4">
        <v>0</v>
      </c>
      <c r="AC3645" s="6">
        <v>-6.74</v>
      </c>
      <c r="AD3645" s="6">
        <v>-5.63</v>
      </c>
      <c r="AE3645" s="1">
        <v>0</v>
      </c>
      <c r="AF3645" s="1">
        <f ca="1">IFERROR(__xludf.DUMMYFUNCTION("IFERROR(GOOGLEFINANCE(TRIM(F3645)&amp;"":"" &amp; TRIM(B3645),""high52""),AE3645)"),0)</f>
        <v>0</v>
      </c>
      <c r="AG3645" s="1">
        <v>0</v>
      </c>
      <c r="AH3645" s="1">
        <f ca="1">IFERROR(__xludf.DUMMYFUNCTION("IFERROR(GOOGLEFINANCE(TRIM(F3645)&amp;"":"" &amp; TRIM(B3645),""low52""),AE3645)"),0)</f>
        <v>0</v>
      </c>
      <c r="AI3645" s="1">
        <f ca="1">IFERROR(__xludf.DUMMYFUNCTION("IFERROR(GOOGLEFINANCE(B3645,""eps""),0)"),0)</f>
        <v>0</v>
      </c>
      <c r="AJ3645" s="1"/>
      <c r="AK3645" s="1" t="s">
        <v>11140</v>
      </c>
      <c r="AL3645" s="9">
        <f t="shared" si="346"/>
        <v>1</v>
      </c>
    </row>
    <row r="3646" spans="1:38" ht="15" x14ac:dyDescent="0.25">
      <c r="A3646" s="1" t="s">
        <v>11141</v>
      </c>
      <c r="B3646" s="1" t="s">
        <v>11142</v>
      </c>
      <c r="C3646" s="1" t="s">
        <v>208</v>
      </c>
      <c r="D3646" s="1" t="s">
        <v>208</v>
      </c>
      <c r="E3646" s="6">
        <v>3371.76</v>
      </c>
      <c r="F3646" s="1" t="s">
        <v>40</v>
      </c>
      <c r="G3646" s="6">
        <f ca="1">IFERROR(__xludf.DUMMYFUNCTION("iferror(GOOGLEFINANCE(TRIM(F3646)&amp;"":"" &amp; TRIM(B3646), ""price""),0
)"),1704.9)</f>
        <v>1704.9</v>
      </c>
      <c r="H3646" s="6">
        <v>3102.9</v>
      </c>
      <c r="I3646" s="6">
        <f t="shared" ca="1" si="0"/>
        <v>1704.9</v>
      </c>
      <c r="J3646" s="6">
        <f ca="1">IFERROR(__xludf.DUMMYFUNCTION("IFERROR(GOOGLEFINANCE(B3646, ""volume""), 0)"),4344)</f>
        <v>4344</v>
      </c>
      <c r="K3646" s="6">
        <v>0.39</v>
      </c>
      <c r="L3646" s="6">
        <f ca="1">IFERROR(__xludf.DUMMYFUNCTION("IFERROR(GOOGLEFINANCE(B3646,""changepct""),K3646)"),0.09)</f>
        <v>0.09</v>
      </c>
      <c r="M3646" s="6">
        <f ca="1">IFERROR(__xludf.DUMMYFUNCTION("IFERROR(GOOGLEFINANCE(B3646,""change""),0)"),1.5)</f>
        <v>1.5</v>
      </c>
      <c r="N3646" s="6">
        <v>2</v>
      </c>
      <c r="O3646" s="7">
        <v>45536</v>
      </c>
      <c r="P3646" s="6">
        <v>107.15</v>
      </c>
      <c r="Q3646" s="7">
        <v>45536</v>
      </c>
      <c r="R3646" s="6">
        <v>31.47</v>
      </c>
      <c r="S3646" s="6">
        <v>1.85</v>
      </c>
      <c r="T3646" s="6">
        <v>0.3</v>
      </c>
      <c r="U3646" s="6">
        <v>2</v>
      </c>
      <c r="V3646" s="7">
        <v>45352</v>
      </c>
      <c r="W3646" s="6">
        <f ca="1">IFERROR(__xludf.DUMMYFUNCTION("IFERROR(GOOGLEFINANCE(B3646,""pe""),V3646)"),18.34)</f>
        <v>18.34</v>
      </c>
      <c r="X3646" s="6">
        <v>0</v>
      </c>
      <c r="Y3646" s="6">
        <v>1.07</v>
      </c>
      <c r="Z3646" s="6">
        <v>1.39</v>
      </c>
      <c r="AA3646" s="3" t="s">
        <v>11143</v>
      </c>
      <c r="AB3646" s="4"/>
      <c r="AC3646" s="12"/>
      <c r="AD3646" s="12"/>
      <c r="AE3646" s="1">
        <v>0</v>
      </c>
      <c r="AF3646" s="1">
        <f ca="1">IFERROR(__xludf.DUMMYFUNCTION("IFERROR(GOOGLEFINANCE(TRIM(F3646)&amp;"":"" &amp; TRIM(B3646),""high52""),AE3646)"),2495)</f>
        <v>2495</v>
      </c>
      <c r="AG3646" s="1">
        <v>0</v>
      </c>
      <c r="AH3646" s="1">
        <f ca="1">IFERROR(__xludf.DUMMYFUNCTION("IFERROR(GOOGLEFINANCE(TRIM(F3646)&amp;"":"" &amp; TRIM(B3646),""low52""),AE3646)"),1380)</f>
        <v>1380</v>
      </c>
      <c r="AI3646" s="1">
        <f ca="1">IFERROR(__xludf.DUMMYFUNCTION("IFERROR(GOOGLEFINANCE(B3646,""eps""),0)"),92.96)</f>
        <v>92.96</v>
      </c>
      <c r="AJ3646" s="1"/>
      <c r="AK3646" s="1" t="s">
        <v>11144</v>
      </c>
      <c r="AL3646" s="9">
        <f t="shared" si="346"/>
        <v>1</v>
      </c>
    </row>
    <row r="3647" spans="1:38" ht="15" x14ac:dyDescent="0.25">
      <c r="A3647" s="1" t="s">
        <v>11145</v>
      </c>
      <c r="B3647" s="1" t="s">
        <v>11146</v>
      </c>
      <c r="C3647" s="1" t="s">
        <v>219</v>
      </c>
      <c r="D3647" s="1" t="s">
        <v>219</v>
      </c>
      <c r="E3647" s="6">
        <v>1324.94</v>
      </c>
      <c r="F3647" s="1" t="s">
        <v>53</v>
      </c>
      <c r="G3647" s="6">
        <f ca="1">IFERROR(__xludf.DUMMYFUNCTION("iferror(GOOGLEFINANCE(TRIM(F3647)&amp;"":"" &amp; TRIM(B3647), ""price""),0
)"),0)</f>
        <v>0</v>
      </c>
      <c r="H3647" s="6">
        <v>690</v>
      </c>
      <c r="I3647" s="6">
        <f t="shared" ca="1" si="0"/>
        <v>690</v>
      </c>
      <c r="J3647" s="6">
        <f ca="1">IFERROR(__xludf.DUMMYFUNCTION("IFERROR(GOOGLEFINANCE(B3647, ""volume""), 0)"),0)</f>
        <v>0</v>
      </c>
      <c r="K3647" s="6">
        <v>-0.68</v>
      </c>
      <c r="L3647" s="6">
        <f ca="1">IFERROR(__xludf.DUMMYFUNCTION("IFERROR(GOOGLEFINANCE(B3647,""changepct""),K3647)"),-0.68)</f>
        <v>-0.68</v>
      </c>
      <c r="M3647" s="6">
        <f ca="1">IFERROR(__xludf.DUMMYFUNCTION("IFERROR(GOOGLEFINANCE(B3647,""change""),0)"),0)</f>
        <v>0</v>
      </c>
      <c r="N3647" s="6">
        <v>2</v>
      </c>
      <c r="O3647" s="7">
        <v>45536</v>
      </c>
      <c r="P3647" s="6">
        <v>238.6</v>
      </c>
      <c r="Q3647" s="6">
        <v>1559.48</v>
      </c>
      <c r="R3647" s="7">
        <v>45536</v>
      </c>
      <c r="S3647" s="6">
        <v>958.39</v>
      </c>
      <c r="T3647" s="6">
        <v>125.21</v>
      </c>
      <c r="U3647" s="7">
        <v>45536</v>
      </c>
      <c r="V3647" s="6">
        <v>10.45</v>
      </c>
      <c r="W3647" s="6">
        <f ca="1">IFERROR(__xludf.DUMMYFUNCTION("IFERROR(GOOGLEFINANCE(B3647,""pe""),V3647)"),10.45)</f>
        <v>10.45</v>
      </c>
      <c r="X3647" s="6">
        <v>1.85</v>
      </c>
      <c r="Y3647" s="6">
        <v>1.32</v>
      </c>
      <c r="Z3647" s="6">
        <v>2</v>
      </c>
      <c r="AA3647" s="8">
        <v>45352</v>
      </c>
      <c r="AB3647" s="4">
        <v>0.26</v>
      </c>
      <c r="AC3647" s="6">
        <v>14.77</v>
      </c>
      <c r="AD3647" s="6">
        <v>14.18</v>
      </c>
      <c r="AE3647" s="1">
        <v>0</v>
      </c>
      <c r="AF3647" s="1">
        <f ca="1">IFERROR(__xludf.DUMMYFUNCTION("IFERROR(GOOGLEFINANCE(TRIM(F3647)&amp;"":"" &amp; TRIM(B3647),""high52""),AE3647)"),0)</f>
        <v>0</v>
      </c>
      <c r="AG3647" s="1">
        <v>0</v>
      </c>
      <c r="AH3647" s="1">
        <f ca="1">IFERROR(__xludf.DUMMYFUNCTION("IFERROR(GOOGLEFINANCE(TRIM(F3647)&amp;"":"" &amp; TRIM(B3647),""low52""),AE3647)"),0)</f>
        <v>0</v>
      </c>
      <c r="AI3647" s="1">
        <f ca="1">IFERROR(__xludf.DUMMYFUNCTION("IFERROR(GOOGLEFINANCE(B3647,""eps""),0)"),0)</f>
        <v>0</v>
      </c>
      <c r="AJ3647" s="1"/>
      <c r="AK3647" s="9"/>
      <c r="AL3647" s="9">
        <f t="shared" si="346"/>
        <v>1</v>
      </c>
    </row>
    <row r="3648" spans="1:38" ht="15" x14ac:dyDescent="0.25">
      <c r="A3648" s="1" t="s">
        <v>11147</v>
      </c>
      <c r="B3648" s="1" t="s">
        <v>11148</v>
      </c>
      <c r="C3648" s="1" t="s">
        <v>219</v>
      </c>
      <c r="D3648" s="1" t="s">
        <v>219</v>
      </c>
      <c r="E3648" s="6">
        <v>34.549999999999997</v>
      </c>
      <c r="F3648" s="1" t="s">
        <v>53</v>
      </c>
      <c r="G3648" s="6">
        <f ca="1">IFERROR(__xludf.DUMMYFUNCTION("iferror(GOOGLEFINANCE(TRIM(F3648)&amp;"":"" &amp; TRIM(B3648), ""price""),0
)"),0)</f>
        <v>0</v>
      </c>
      <c r="H3648" s="6">
        <v>65</v>
      </c>
      <c r="I3648" s="6">
        <f t="shared" ca="1" si="0"/>
        <v>65</v>
      </c>
      <c r="J3648" s="6">
        <f ca="1">IFERROR(__xludf.DUMMYFUNCTION("IFERROR(GOOGLEFINANCE(B3648, ""volume""), 0)"),0)</f>
        <v>0</v>
      </c>
      <c r="K3648" s="6">
        <v>0.46</v>
      </c>
      <c r="L3648" s="6">
        <f ca="1">IFERROR(__xludf.DUMMYFUNCTION("IFERROR(GOOGLEFINANCE(B3648,""changepct""),K3648)"),0.46)</f>
        <v>0.46</v>
      </c>
      <c r="M3648" s="6">
        <f ca="1">IFERROR(__xludf.DUMMYFUNCTION("IFERROR(GOOGLEFINANCE(B3648,""change""),0)"),0)</f>
        <v>0</v>
      </c>
      <c r="N3648" s="6">
        <v>1</v>
      </c>
      <c r="O3648" s="7">
        <v>45536</v>
      </c>
      <c r="P3648" s="9"/>
      <c r="Q3648" s="6">
        <v>34.549999999999997</v>
      </c>
      <c r="R3648" s="7">
        <v>45536</v>
      </c>
      <c r="S3648" s="6">
        <v>0</v>
      </c>
      <c r="T3648" s="6">
        <v>-0.36</v>
      </c>
      <c r="U3648" s="7">
        <v>45536</v>
      </c>
      <c r="V3648" s="6">
        <v>0</v>
      </c>
      <c r="W3648" s="6">
        <f ca="1">IFERROR(__xludf.DUMMYFUNCTION("IFERROR(GOOGLEFINANCE(B3648,""pe""),V3648)"),0)</f>
        <v>0</v>
      </c>
      <c r="X3648" s="9"/>
      <c r="Y3648" s="6">
        <v>3.86</v>
      </c>
      <c r="Z3648" s="6">
        <v>1</v>
      </c>
      <c r="AA3648" s="8">
        <v>45352</v>
      </c>
      <c r="AB3648" s="4">
        <v>0</v>
      </c>
      <c r="AC3648" s="6">
        <v>-4.17</v>
      </c>
      <c r="AD3648" s="6">
        <v>-6.25</v>
      </c>
      <c r="AE3648" s="1">
        <v>0</v>
      </c>
      <c r="AF3648" s="1">
        <f ca="1">IFERROR(__xludf.DUMMYFUNCTION("IFERROR(GOOGLEFINANCE(TRIM(F3648)&amp;"":"" &amp; TRIM(B3648),""high52""),AE3648)"),0)</f>
        <v>0</v>
      </c>
      <c r="AG3648" s="1">
        <v>0</v>
      </c>
      <c r="AH3648" s="1">
        <f ca="1">IFERROR(__xludf.DUMMYFUNCTION("IFERROR(GOOGLEFINANCE(TRIM(F3648)&amp;"":"" &amp; TRIM(B3648),""low52""),AE3648)"),0)</f>
        <v>0</v>
      </c>
      <c r="AI3648" s="1">
        <f ca="1">IFERROR(__xludf.DUMMYFUNCTION("IFERROR(GOOGLEFINANCE(B3648,""eps""),0)"),0)</f>
        <v>0</v>
      </c>
      <c r="AJ3648" s="1"/>
      <c r="AK3648" s="1" t="s">
        <v>11149</v>
      </c>
      <c r="AL3648" s="9">
        <f t="shared" si="346"/>
        <v>1</v>
      </c>
    </row>
    <row r="3649" spans="1:38" ht="15" x14ac:dyDescent="0.25">
      <c r="A3649" s="1" t="s">
        <v>11150</v>
      </c>
      <c r="B3649" s="1" t="s">
        <v>11151</v>
      </c>
      <c r="C3649" s="1" t="s">
        <v>106</v>
      </c>
      <c r="D3649" s="1" t="s">
        <v>106</v>
      </c>
      <c r="E3649" s="6">
        <v>450595.1</v>
      </c>
      <c r="F3649" s="1" t="s">
        <v>40</v>
      </c>
      <c r="G3649" s="6">
        <f ca="1">IFERROR(__xludf.DUMMYFUNCTION("iferror(GOOGLEFINANCE(TRIM(F3649)&amp;"":"" &amp; TRIM(B3649), ""price""),0
)"),1628.9)</f>
        <v>1628.9</v>
      </c>
      <c r="H3649" s="6">
        <v>1865.45</v>
      </c>
      <c r="I3649" s="6">
        <f t="shared" ca="1" si="0"/>
        <v>1628.9</v>
      </c>
      <c r="J3649" s="6">
        <f ca="1">IFERROR(__xludf.DUMMYFUNCTION("IFERROR(GOOGLEFINANCE(B3649, ""volume""), 0)"),2721280)</f>
        <v>2721280</v>
      </c>
      <c r="K3649" s="6">
        <v>-0.67</v>
      </c>
      <c r="L3649" s="6">
        <f ca="1">IFERROR(__xludf.DUMMYFUNCTION("IFERROR(GOOGLEFINANCE(B3649,""changepct""),K3649)"),1.17)</f>
        <v>1.17</v>
      </c>
      <c r="M3649" s="6">
        <f ca="1">IFERROR(__xludf.DUMMYFUNCTION("IFERROR(GOOGLEFINANCE(B3649,""change""),0)"),18.8)</f>
        <v>18.8</v>
      </c>
      <c r="N3649" s="6">
        <v>2</v>
      </c>
      <c r="O3649" s="7">
        <v>45536</v>
      </c>
      <c r="P3649" s="6">
        <v>2081.12</v>
      </c>
      <c r="Q3649" s="6">
        <v>443661.2</v>
      </c>
      <c r="R3649" s="7">
        <v>45536</v>
      </c>
      <c r="S3649" s="6">
        <v>50307.74</v>
      </c>
      <c r="T3649" s="6">
        <v>11136.54</v>
      </c>
      <c r="U3649" s="7">
        <v>45536</v>
      </c>
      <c r="V3649" s="6">
        <v>40.76</v>
      </c>
      <c r="W3649" s="6">
        <f ca="1">IFERROR(__xludf.DUMMYFUNCTION("IFERROR(GOOGLEFINANCE(B3649,""pe""),V3649)"),37.4)</f>
        <v>37.4</v>
      </c>
      <c r="X3649" s="6">
        <v>1.85</v>
      </c>
      <c r="Y3649" s="6">
        <v>6.52</v>
      </c>
      <c r="Z3649" s="6">
        <v>2</v>
      </c>
      <c r="AA3649" s="8">
        <v>45352</v>
      </c>
      <c r="AB3649" s="4">
        <v>0.04</v>
      </c>
      <c r="AC3649" s="6">
        <v>16.13</v>
      </c>
      <c r="AD3649" s="6">
        <v>17.600000000000001</v>
      </c>
      <c r="AE3649" s="1">
        <v>0</v>
      </c>
      <c r="AF3649" s="1">
        <f ca="1">IFERROR(__xludf.DUMMYFUNCTION("IFERROR(GOOGLEFINANCE(TRIM(F3649)&amp;"":"" &amp; TRIM(B3649),""high52""),AE3649)"),1851.2)</f>
        <v>1851.2</v>
      </c>
      <c r="AG3649" s="1">
        <v>0</v>
      </c>
      <c r="AH3649" s="1">
        <f ca="1">IFERROR(__xludf.DUMMYFUNCTION("IFERROR(GOOGLEFINANCE(TRIM(F3649)&amp;"":"" &amp; TRIM(B3649),""low52""),AE3649)"),1548)</f>
        <v>1548</v>
      </c>
      <c r="AI3649" s="1">
        <f ca="1">IFERROR(__xludf.DUMMYFUNCTION("IFERROR(GOOGLEFINANCE(B3649,""eps""),0)"),43.55)</f>
        <v>43.55</v>
      </c>
      <c r="AJ3649" s="1"/>
      <c r="AK3649" s="1" t="s">
        <v>11152</v>
      </c>
      <c r="AL3649" s="9">
        <f t="shared" si="346"/>
        <v>1</v>
      </c>
    </row>
    <row r="3650" spans="1:38" ht="15" x14ac:dyDescent="0.25">
      <c r="A3650" s="1" t="s">
        <v>11153</v>
      </c>
      <c r="B3650" s="1" t="s">
        <v>11154</v>
      </c>
      <c r="C3650" s="1" t="s">
        <v>219</v>
      </c>
      <c r="D3650" s="1" t="s">
        <v>219</v>
      </c>
      <c r="E3650" s="6">
        <v>126.39</v>
      </c>
      <c r="F3650" s="1" t="s">
        <v>53</v>
      </c>
      <c r="G3650" s="6">
        <f ca="1">IFERROR(__xludf.DUMMYFUNCTION("iferror(GOOGLEFINANCE(TRIM(F3650)&amp;"":"" &amp; TRIM(B3650), ""price""),0
)"),0)</f>
        <v>0</v>
      </c>
      <c r="H3650" s="6">
        <v>11.55</v>
      </c>
      <c r="I3650" s="6">
        <f t="shared" ca="1" si="0"/>
        <v>11.55</v>
      </c>
      <c r="J3650" s="6">
        <f ca="1">IFERROR(__xludf.DUMMYFUNCTION("IFERROR(GOOGLEFINANCE(B3650, ""volume""), 0)"),0)</f>
        <v>0</v>
      </c>
      <c r="K3650" s="6">
        <v>-0.43</v>
      </c>
      <c r="L3650" s="6">
        <f ca="1">IFERROR(__xludf.DUMMYFUNCTION("IFERROR(GOOGLEFINANCE(B3650,""changepct""),K3650)"),-0.43)</f>
        <v>-0.43</v>
      </c>
      <c r="M3650" s="6">
        <f ca="1">IFERROR(__xludf.DUMMYFUNCTION("IFERROR(GOOGLEFINANCE(B3650,""change""),0)"),0)</f>
        <v>0</v>
      </c>
      <c r="N3650" s="6">
        <v>2</v>
      </c>
      <c r="O3650" s="7">
        <v>45536</v>
      </c>
      <c r="P3650" s="9"/>
      <c r="Q3650" s="6">
        <v>126.39</v>
      </c>
      <c r="R3650" s="7">
        <v>45536</v>
      </c>
      <c r="S3650" s="6">
        <v>215.56</v>
      </c>
      <c r="T3650" s="6">
        <v>8.2200000000000006</v>
      </c>
      <c r="U3650" s="7">
        <v>45536</v>
      </c>
      <c r="V3650" s="6">
        <v>15.38</v>
      </c>
      <c r="W3650" s="6">
        <f ca="1">IFERROR(__xludf.DUMMYFUNCTION("IFERROR(GOOGLEFINANCE(B3650,""pe""),V3650)"),15.38)</f>
        <v>15.38</v>
      </c>
      <c r="X3650" s="6">
        <v>0.41</v>
      </c>
      <c r="Y3650" s="6">
        <v>1.8</v>
      </c>
      <c r="Z3650" s="6">
        <v>2</v>
      </c>
      <c r="AA3650" s="8">
        <v>45352</v>
      </c>
      <c r="AB3650" s="4">
        <v>0</v>
      </c>
      <c r="AC3650" s="6">
        <v>17</v>
      </c>
      <c r="AD3650" s="6">
        <v>23.48</v>
      </c>
      <c r="AE3650" s="1">
        <v>0</v>
      </c>
      <c r="AF3650" s="1">
        <f ca="1">IFERROR(__xludf.DUMMYFUNCTION("IFERROR(GOOGLEFINANCE(TRIM(F3650)&amp;"":"" &amp; TRIM(B3650),""high52""),AE3650)"),0)</f>
        <v>0</v>
      </c>
      <c r="AG3650" s="1">
        <v>0</v>
      </c>
      <c r="AH3650" s="1">
        <f ca="1">IFERROR(__xludf.DUMMYFUNCTION("IFERROR(GOOGLEFINANCE(TRIM(F3650)&amp;"":"" &amp; TRIM(B3650),""low52""),AE3650)"),0)</f>
        <v>0</v>
      </c>
      <c r="AI3650" s="1">
        <f ca="1">IFERROR(__xludf.DUMMYFUNCTION("IFERROR(GOOGLEFINANCE(B3650,""eps""),0)"),0)</f>
        <v>0</v>
      </c>
      <c r="AJ3650" s="1"/>
      <c r="AK3650" s="1" t="s">
        <v>11155</v>
      </c>
      <c r="AL3650" s="9">
        <f t="shared" si="346"/>
        <v>1</v>
      </c>
    </row>
    <row r="3651" spans="1:38" ht="15" x14ac:dyDescent="0.25">
      <c r="A3651" s="1" t="s">
        <v>11156</v>
      </c>
      <c r="B3651" s="1" t="s">
        <v>11157</v>
      </c>
      <c r="C3651" s="1" t="s">
        <v>1682</v>
      </c>
      <c r="D3651" s="1" t="s">
        <v>1682</v>
      </c>
      <c r="E3651" s="6">
        <v>27337.65</v>
      </c>
      <c r="F3651" s="1" t="s">
        <v>40</v>
      </c>
      <c r="G3651" s="6">
        <f ca="1">IFERROR(__xludf.DUMMYFUNCTION("iferror(GOOGLEFINANCE(TRIM(F3651)&amp;"":"" &amp; TRIM(B3651), ""price""),0
)"),549.95)</f>
        <v>549.95000000000005</v>
      </c>
      <c r="H3651" s="6">
        <v>692.3</v>
      </c>
      <c r="I3651" s="6">
        <f t="shared" ca="1" si="0"/>
        <v>549.95000000000005</v>
      </c>
      <c r="J3651" s="6">
        <f ca="1">IFERROR(__xludf.DUMMYFUNCTION("IFERROR(GOOGLEFINANCE(B3651, ""volume""), 0)"),251262)</f>
        <v>251262</v>
      </c>
      <c r="K3651" s="6">
        <v>-0.17</v>
      </c>
      <c r="L3651" s="6">
        <f ca="1">IFERROR(__xludf.DUMMYFUNCTION("IFERROR(GOOGLEFINANCE(B3651,""changepct""),K3651)"),0.28)</f>
        <v>0.28000000000000003</v>
      </c>
      <c r="M3651" s="6">
        <f ca="1">IFERROR(__xludf.DUMMYFUNCTION("IFERROR(GOOGLEFINANCE(B3651,""change""),0)"),1.55)</f>
        <v>1.55</v>
      </c>
      <c r="N3651" s="6">
        <v>2</v>
      </c>
      <c r="O3651" s="7">
        <v>45536</v>
      </c>
      <c r="P3651" s="9"/>
      <c r="Q3651" s="6">
        <v>27017.52</v>
      </c>
      <c r="R3651" s="7">
        <v>45536</v>
      </c>
      <c r="S3651" s="6">
        <v>4131.37</v>
      </c>
      <c r="T3651" s="6">
        <v>1825.73</v>
      </c>
      <c r="U3651" s="7">
        <v>45536</v>
      </c>
      <c r="V3651" s="6">
        <v>14.88</v>
      </c>
      <c r="W3651" s="6">
        <f ca="1">IFERROR(__xludf.DUMMYFUNCTION("IFERROR(GOOGLEFINANCE(B3651,""pe""),V3651)"),13.4)</f>
        <v>13.4</v>
      </c>
      <c r="X3651" s="6">
        <v>2.4500000000000002</v>
      </c>
      <c r="Y3651" s="6">
        <v>2.42</v>
      </c>
      <c r="Z3651" s="6">
        <v>2</v>
      </c>
      <c r="AA3651" s="8">
        <v>45352</v>
      </c>
      <c r="AB3651" s="4">
        <v>0</v>
      </c>
      <c r="AC3651" s="6">
        <v>19.45</v>
      </c>
      <c r="AD3651" s="6">
        <v>26.47</v>
      </c>
      <c r="AE3651" s="1">
        <v>0</v>
      </c>
      <c r="AF3651" s="1">
        <f ca="1">IFERROR(__xludf.DUMMYFUNCTION("IFERROR(GOOGLEFINANCE(TRIM(F3651)&amp;"":"" &amp; TRIM(B3651),""high52""),AE3651)"),691.4)</f>
        <v>691.4</v>
      </c>
      <c r="AG3651" s="1">
        <v>0</v>
      </c>
      <c r="AH3651" s="1">
        <f ca="1">IFERROR(__xludf.DUMMYFUNCTION("IFERROR(GOOGLEFINANCE(TRIM(F3651)&amp;"":"" &amp; TRIM(B3651),""low52""),AE3651)"),480.2)</f>
        <v>480.2</v>
      </c>
      <c r="AI3651" s="1">
        <f ca="1">IFERROR(__xludf.DUMMYFUNCTION("IFERROR(GOOGLEFINANCE(B3651,""eps""),0)"),41.05)</f>
        <v>41.05</v>
      </c>
      <c r="AJ3651" s="1"/>
      <c r="AK3651" s="9"/>
      <c r="AL3651" s="9">
        <f t="shared" si="346"/>
        <v>1</v>
      </c>
    </row>
    <row r="3652" spans="1:38" ht="15" x14ac:dyDescent="0.25">
      <c r="A3652" s="1" t="s">
        <v>11158</v>
      </c>
      <c r="B3652" s="1" t="s">
        <v>11159</v>
      </c>
      <c r="C3652" s="1" t="s">
        <v>219</v>
      </c>
      <c r="D3652" s="1" t="s">
        <v>219</v>
      </c>
      <c r="E3652" s="6">
        <v>897.23</v>
      </c>
      <c r="F3652" s="1" t="s">
        <v>53</v>
      </c>
      <c r="G3652" s="6">
        <f ca="1">IFERROR(__xludf.DUMMYFUNCTION("iferror(GOOGLEFINANCE(TRIM(F3652)&amp;"":"" &amp; TRIM(B3652), ""price""),0
)"),0)</f>
        <v>0</v>
      </c>
      <c r="H3652" s="6">
        <v>2299</v>
      </c>
      <c r="I3652" s="6">
        <f t="shared" ca="1" si="0"/>
        <v>2299</v>
      </c>
      <c r="J3652" s="6">
        <f ca="1">IFERROR(__xludf.DUMMYFUNCTION("IFERROR(GOOGLEFINANCE(B3652, ""volume""), 0)"),0)</f>
        <v>0</v>
      </c>
      <c r="K3652" s="6">
        <v>0.92</v>
      </c>
      <c r="L3652" s="6">
        <f ca="1">IFERROR(__xludf.DUMMYFUNCTION("IFERROR(GOOGLEFINANCE(B3652,""changepct""),K3652)"),0.92)</f>
        <v>0.92</v>
      </c>
      <c r="M3652" s="6">
        <f ca="1">IFERROR(__xludf.DUMMYFUNCTION("IFERROR(GOOGLEFINANCE(B3652,""change""),0)"),0)</f>
        <v>0</v>
      </c>
      <c r="N3652" s="6">
        <v>1</v>
      </c>
      <c r="O3652" s="7">
        <v>45536</v>
      </c>
      <c r="P3652" s="6">
        <v>3.22</v>
      </c>
      <c r="Q3652" s="6">
        <v>900.45</v>
      </c>
      <c r="R3652" s="7">
        <v>45536</v>
      </c>
      <c r="S3652" s="6">
        <v>180.16</v>
      </c>
      <c r="T3652" s="6">
        <v>22.54</v>
      </c>
      <c r="U3652" s="7">
        <v>45536</v>
      </c>
      <c r="V3652" s="6">
        <v>39.799999999999997</v>
      </c>
      <c r="W3652" s="6">
        <f ca="1">IFERROR(__xludf.DUMMYFUNCTION("IFERROR(GOOGLEFINANCE(B3652,""pe""),V3652)"),39.8)</f>
        <v>39.799999999999997</v>
      </c>
      <c r="X3652" s="6">
        <v>4.37</v>
      </c>
      <c r="Y3652" s="6">
        <v>8.5399999999999991</v>
      </c>
      <c r="Z3652" s="6">
        <v>1</v>
      </c>
      <c r="AA3652" s="8">
        <v>45352</v>
      </c>
      <c r="AB3652" s="4">
        <v>0.04</v>
      </c>
      <c r="AC3652" s="6">
        <v>15.84</v>
      </c>
      <c r="AD3652" s="6">
        <v>20.95</v>
      </c>
      <c r="AE3652" s="1">
        <v>0</v>
      </c>
      <c r="AF3652" s="1">
        <f ca="1">IFERROR(__xludf.DUMMYFUNCTION("IFERROR(GOOGLEFINANCE(TRIM(F3652)&amp;"":"" &amp; TRIM(B3652),""high52""),AE3652)"),0)</f>
        <v>0</v>
      </c>
      <c r="AG3652" s="1">
        <v>0</v>
      </c>
      <c r="AH3652" s="1">
        <f ca="1">IFERROR(__xludf.DUMMYFUNCTION("IFERROR(GOOGLEFINANCE(TRIM(F3652)&amp;"":"" &amp; TRIM(B3652),""low52""),AE3652)"),0)</f>
        <v>0</v>
      </c>
      <c r="AI3652" s="1">
        <f ca="1">IFERROR(__xludf.DUMMYFUNCTION("IFERROR(GOOGLEFINANCE(B3652,""eps""),0)"),0)</f>
        <v>0</v>
      </c>
      <c r="AJ3652" s="1"/>
      <c r="AK3652" s="1" t="s">
        <v>11160</v>
      </c>
      <c r="AL3652" s="9">
        <f t="shared" si="346"/>
        <v>1</v>
      </c>
    </row>
    <row r="3653" spans="1:38" ht="15" x14ac:dyDescent="0.25">
      <c r="A3653" s="1" t="s">
        <v>11161</v>
      </c>
      <c r="B3653" s="1" t="s">
        <v>11162</v>
      </c>
      <c r="C3653" s="1" t="s">
        <v>355</v>
      </c>
      <c r="D3653" s="1" t="s">
        <v>355</v>
      </c>
      <c r="E3653" s="6">
        <v>507.72</v>
      </c>
      <c r="F3653" s="1" t="s">
        <v>40</v>
      </c>
      <c r="G3653" s="6">
        <f ca="1">IFERROR(__xludf.DUMMYFUNCTION("iferror(GOOGLEFINANCE(TRIM(F3653)&amp;"":"" &amp; TRIM(B3653), ""price""),0
)"),556.15)</f>
        <v>556.15</v>
      </c>
      <c r="H3653" s="6">
        <v>1281.05</v>
      </c>
      <c r="I3653" s="6">
        <f t="shared" ca="1" si="0"/>
        <v>556.15</v>
      </c>
      <c r="J3653" s="6">
        <f ca="1">IFERROR(__xludf.DUMMYFUNCTION("IFERROR(GOOGLEFINANCE(B3653, ""volume""), 0)"),1896)</f>
        <v>1896</v>
      </c>
      <c r="K3653" s="6">
        <v>-2.3199999999999998</v>
      </c>
      <c r="L3653" s="6">
        <f ca="1">IFERROR(__xludf.DUMMYFUNCTION("IFERROR(GOOGLEFINANCE(B3653,""changepct""),K3653)"),-2.86)</f>
        <v>-2.86</v>
      </c>
      <c r="M3653" s="6">
        <f ca="1">IFERROR(__xludf.DUMMYFUNCTION("IFERROR(GOOGLEFINANCE(B3653,""change""),0)"),-16.35)</f>
        <v>-16.350000000000001</v>
      </c>
      <c r="N3653" s="6">
        <v>1</v>
      </c>
      <c r="O3653" s="7">
        <v>45536</v>
      </c>
      <c r="P3653" s="6">
        <v>49.46</v>
      </c>
      <c r="Q3653" s="6">
        <v>557.16999999999996</v>
      </c>
      <c r="R3653" s="7">
        <v>45536</v>
      </c>
      <c r="S3653" s="6">
        <v>340.78</v>
      </c>
      <c r="T3653" s="6">
        <v>6.7</v>
      </c>
      <c r="U3653" s="7">
        <v>45536</v>
      </c>
      <c r="V3653" s="6">
        <v>75.790000000000006</v>
      </c>
      <c r="W3653" s="6">
        <f ca="1">IFERROR(__xludf.DUMMYFUNCTION("IFERROR(GOOGLEFINANCE(B3653,""pe""),V3653)"),75.79)</f>
        <v>75.790000000000006</v>
      </c>
      <c r="X3653" s="6">
        <v>10.199999999999999</v>
      </c>
      <c r="Y3653" s="6">
        <v>5.22</v>
      </c>
      <c r="Z3653" s="6">
        <v>1</v>
      </c>
      <c r="AA3653" s="8">
        <v>45352</v>
      </c>
      <c r="AB3653" s="4">
        <v>0.47</v>
      </c>
      <c r="AC3653" s="6">
        <v>11.19</v>
      </c>
      <c r="AD3653" s="6">
        <v>11.36</v>
      </c>
      <c r="AE3653" s="1">
        <v>0</v>
      </c>
      <c r="AF3653" s="1">
        <f ca="1">IFERROR(__xludf.DUMMYFUNCTION("IFERROR(GOOGLEFINANCE(TRIM(F3653)&amp;"":"" &amp; TRIM(B3653),""high52""),AE3653)"),1119)</f>
        <v>1119</v>
      </c>
      <c r="AG3653" s="1">
        <v>0</v>
      </c>
      <c r="AH3653" s="1">
        <f ca="1">IFERROR(__xludf.DUMMYFUNCTION("IFERROR(GOOGLEFINANCE(TRIM(F3653)&amp;"":"" &amp; TRIM(B3653),""low52""),AE3653)"),541.4)</f>
        <v>541.4</v>
      </c>
      <c r="AI3653" s="1">
        <f ca="1">IFERROR(__xludf.DUMMYFUNCTION("IFERROR(GOOGLEFINANCE(B3653,""eps""),0)"),-3.66)</f>
        <v>-3.66</v>
      </c>
      <c r="AJ3653" s="1"/>
      <c r="AK3653" s="1" t="s">
        <v>11163</v>
      </c>
      <c r="AL3653" s="1" t="b">
        <f>ISNUMBER(AA3653)</f>
        <v>1</v>
      </c>
    </row>
    <row r="3654" spans="1:38" ht="15" x14ac:dyDescent="0.25">
      <c r="A3654" s="1" t="s">
        <v>11164</v>
      </c>
      <c r="B3654" s="1" t="s">
        <v>11165</v>
      </c>
      <c r="C3654" s="1" t="s">
        <v>43</v>
      </c>
      <c r="D3654" s="1" t="s">
        <v>43</v>
      </c>
      <c r="E3654" s="6">
        <v>6778.61</v>
      </c>
      <c r="F3654" s="1" t="s">
        <v>40</v>
      </c>
      <c r="G3654" s="6">
        <f ca="1">IFERROR(__xludf.DUMMYFUNCTION("iferror(GOOGLEFINANCE(TRIM(F3654)&amp;"":"" &amp; TRIM(B3654), ""price""),0
)"),0)</f>
        <v>0</v>
      </c>
      <c r="H3654" s="6">
        <v>308.10000000000002</v>
      </c>
      <c r="I3654" s="6">
        <f t="shared" ca="1" si="0"/>
        <v>308.10000000000002</v>
      </c>
      <c r="J3654" s="6">
        <f ca="1">IFERROR(__xludf.DUMMYFUNCTION("IFERROR(GOOGLEFINANCE(B3654, ""volume""), 0)"),0)</f>
        <v>0</v>
      </c>
      <c r="K3654" s="6">
        <v>0.95</v>
      </c>
      <c r="L3654" s="6">
        <f ca="1">IFERROR(__xludf.DUMMYFUNCTION("IFERROR(GOOGLEFINANCE(B3654,""changepct""),K3654)"),0.95)</f>
        <v>0.95</v>
      </c>
      <c r="M3654" s="6">
        <f ca="1">IFERROR(__xludf.DUMMYFUNCTION("IFERROR(GOOGLEFINANCE(B3654,""change""),0)"),0)</f>
        <v>0</v>
      </c>
      <c r="N3654" s="6">
        <v>2</v>
      </c>
      <c r="O3654" s="7">
        <v>45536</v>
      </c>
      <c r="P3654" s="6">
        <v>225.49</v>
      </c>
      <c r="Q3654" s="7">
        <v>45536</v>
      </c>
      <c r="R3654" s="6">
        <v>11.87</v>
      </c>
      <c r="S3654" s="6">
        <v>0.38</v>
      </c>
      <c r="T3654" s="6">
        <v>1.4</v>
      </c>
      <c r="U3654" s="6">
        <v>2</v>
      </c>
      <c r="V3654" s="7">
        <v>45352</v>
      </c>
      <c r="W3654" s="10">
        <f ca="1">IFERROR(__xludf.DUMMYFUNCTION("IFERROR(GOOGLEFINANCE(B3654,""pe""),V3654)"),45352)</f>
        <v>45352</v>
      </c>
      <c r="X3654" s="6">
        <v>0</v>
      </c>
      <c r="Y3654" s="6">
        <v>4.5999999999999996</v>
      </c>
      <c r="Z3654" s="6">
        <v>5.88</v>
      </c>
      <c r="AA3654" s="3" t="s">
        <v>11166</v>
      </c>
      <c r="AB3654" s="4"/>
      <c r="AC3654" s="12"/>
      <c r="AD3654" s="12"/>
      <c r="AE3654" s="1">
        <v>0</v>
      </c>
      <c r="AF3654" s="1">
        <f ca="1">IFERROR(__xludf.DUMMYFUNCTION("IFERROR(GOOGLEFINANCE(TRIM(F3654)&amp;"":"" &amp; TRIM(B3654),""high52""),AE3654)"),0)</f>
        <v>0</v>
      </c>
      <c r="AG3654" s="1">
        <v>0</v>
      </c>
      <c r="AH3654" s="1">
        <f ca="1">IFERROR(__xludf.DUMMYFUNCTION("IFERROR(GOOGLEFINANCE(TRIM(F3654)&amp;"":"" &amp; TRIM(B3654),""low52""),AE3654)"),0)</f>
        <v>0</v>
      </c>
      <c r="AI3654" s="1">
        <f ca="1">IFERROR(__xludf.DUMMYFUNCTION("IFERROR(GOOGLEFINANCE(B3654,""eps""),0)"),0)</f>
        <v>0</v>
      </c>
      <c r="AJ3654" s="1"/>
      <c r="AK3654" s="1" t="s">
        <v>11167</v>
      </c>
      <c r="AL3654" s="9">
        <f t="shared" ref="AL3654:AL3658" si="347">IF(AA3654&lt;&gt;AB3654,1,0)</f>
        <v>1</v>
      </c>
    </row>
    <row r="3655" spans="1:38" ht="15" x14ac:dyDescent="0.25">
      <c r="A3655" s="1" t="s">
        <v>11168</v>
      </c>
      <c r="B3655" s="1" t="s">
        <v>11169</v>
      </c>
      <c r="C3655" s="1" t="s">
        <v>219</v>
      </c>
      <c r="D3655" s="1" t="s">
        <v>219</v>
      </c>
      <c r="E3655" s="6">
        <v>156.41999999999999</v>
      </c>
      <c r="F3655" s="1" t="s">
        <v>53</v>
      </c>
      <c r="G3655" s="6">
        <f ca="1">IFERROR(__xludf.DUMMYFUNCTION("iferror(GOOGLEFINANCE(TRIM(F3655)&amp;"":"" &amp; TRIM(B3655), ""price""),0
)"),0)</f>
        <v>0</v>
      </c>
      <c r="H3655" s="6">
        <v>276.5</v>
      </c>
      <c r="I3655" s="6">
        <f t="shared" ca="1" si="0"/>
        <v>276.5</v>
      </c>
      <c r="J3655" s="6">
        <f ca="1">IFERROR(__xludf.DUMMYFUNCTION("IFERROR(GOOGLEFINANCE(B3655, ""volume""), 0)"),0)</f>
        <v>0</v>
      </c>
      <c r="K3655" s="6">
        <v>-4.3899999999999997</v>
      </c>
      <c r="L3655" s="6">
        <f ca="1">IFERROR(__xludf.DUMMYFUNCTION("IFERROR(GOOGLEFINANCE(B3655,""changepct""),K3655)"),-4.39)</f>
        <v>-4.3899999999999997</v>
      </c>
      <c r="M3655" s="6">
        <f ca="1">IFERROR(__xludf.DUMMYFUNCTION("IFERROR(GOOGLEFINANCE(B3655,""change""),0)"),0)</f>
        <v>0</v>
      </c>
      <c r="N3655" s="6">
        <v>1</v>
      </c>
      <c r="O3655" s="7">
        <v>45536</v>
      </c>
      <c r="P3655" s="6">
        <v>1.45</v>
      </c>
      <c r="Q3655" s="6">
        <v>143.22999999999999</v>
      </c>
      <c r="R3655" s="7">
        <v>45536</v>
      </c>
      <c r="S3655" s="6">
        <v>260.89999999999998</v>
      </c>
      <c r="T3655" s="6">
        <v>6.83</v>
      </c>
      <c r="U3655" s="7">
        <v>45536</v>
      </c>
      <c r="V3655" s="6">
        <v>22.89</v>
      </c>
      <c r="W3655" s="6">
        <f ca="1">IFERROR(__xludf.DUMMYFUNCTION("IFERROR(GOOGLEFINANCE(B3655,""pe""),V3655)"),22.89)</f>
        <v>22.89</v>
      </c>
      <c r="X3655" s="6">
        <v>0.97</v>
      </c>
      <c r="Y3655" s="6">
        <v>2</v>
      </c>
      <c r="Z3655" s="6">
        <v>1</v>
      </c>
      <c r="AA3655" s="8">
        <v>45352</v>
      </c>
      <c r="AB3655" s="4">
        <v>0.04</v>
      </c>
      <c r="AC3655" s="6">
        <v>18.940000000000001</v>
      </c>
      <c r="AD3655" s="6">
        <v>15.16</v>
      </c>
      <c r="AE3655" s="1">
        <v>0</v>
      </c>
      <c r="AF3655" s="1">
        <f ca="1">IFERROR(__xludf.DUMMYFUNCTION("IFERROR(GOOGLEFINANCE(TRIM(F3655)&amp;"":"" &amp; TRIM(B3655),""high52""),AE3655)"),0)</f>
        <v>0</v>
      </c>
      <c r="AG3655" s="1">
        <v>0</v>
      </c>
      <c r="AH3655" s="1">
        <f ca="1">IFERROR(__xludf.DUMMYFUNCTION("IFERROR(GOOGLEFINANCE(TRIM(F3655)&amp;"":"" &amp; TRIM(B3655),""low52""),AE3655)"),0)</f>
        <v>0</v>
      </c>
      <c r="AI3655" s="1">
        <f ca="1">IFERROR(__xludf.DUMMYFUNCTION("IFERROR(GOOGLEFINANCE(B3655,""eps""),0)"),0)</f>
        <v>0</v>
      </c>
      <c r="AJ3655" s="1"/>
      <c r="AK3655" s="9"/>
      <c r="AL3655" s="9">
        <f t="shared" si="347"/>
        <v>1</v>
      </c>
    </row>
    <row r="3656" spans="1:38" ht="15" x14ac:dyDescent="0.25">
      <c r="A3656" s="1" t="s">
        <v>11170</v>
      </c>
      <c r="B3656" s="1" t="s">
        <v>11171</v>
      </c>
      <c r="C3656" s="1" t="s">
        <v>208</v>
      </c>
      <c r="D3656" s="1" t="s">
        <v>208</v>
      </c>
      <c r="E3656" s="6">
        <v>52289.919999999998</v>
      </c>
      <c r="F3656" s="1" t="s">
        <v>40</v>
      </c>
      <c r="G3656" s="6">
        <f ca="1">IFERROR(__xludf.DUMMYFUNCTION("iferror(GOOGLEFINANCE(TRIM(F3656)&amp;"":"" &amp; TRIM(B3656), ""price""),0
)"),5399.5)</f>
        <v>5399.5</v>
      </c>
      <c r="H3656" s="6">
        <v>4655.6499999999996</v>
      </c>
      <c r="I3656" s="6">
        <f t="shared" ca="1" si="0"/>
        <v>5399.5</v>
      </c>
      <c r="J3656" s="6">
        <f ca="1">IFERROR(__xludf.DUMMYFUNCTION("IFERROR(GOOGLEFINANCE(B3656, ""volume""), 0)"),150692)</f>
        <v>150692</v>
      </c>
      <c r="K3656" s="6">
        <v>-0.92</v>
      </c>
      <c r="L3656" s="6">
        <f ca="1">IFERROR(__xludf.DUMMYFUNCTION("IFERROR(GOOGLEFINANCE(B3656,""changepct""),K3656)"),8.9)</f>
        <v>8.9</v>
      </c>
      <c r="M3656" s="6">
        <f ca="1">IFERROR(__xludf.DUMMYFUNCTION("IFERROR(GOOGLEFINANCE(B3656,""change""),0)"),441.5)</f>
        <v>441.5</v>
      </c>
      <c r="N3656" s="6">
        <v>2</v>
      </c>
      <c r="O3656" s="7">
        <v>45536</v>
      </c>
      <c r="P3656" s="6">
        <v>1594.91</v>
      </c>
      <c r="Q3656" s="7">
        <v>45536</v>
      </c>
      <c r="R3656" s="6">
        <v>33.380000000000003</v>
      </c>
      <c r="S3656" s="6">
        <v>2.61</v>
      </c>
      <c r="T3656" s="6">
        <v>4.18</v>
      </c>
      <c r="U3656" s="6">
        <v>2</v>
      </c>
      <c r="V3656" s="7">
        <v>45352</v>
      </c>
      <c r="W3656" s="6">
        <f ca="1">IFERROR(__xludf.DUMMYFUNCTION("IFERROR(GOOGLEFINANCE(B3656,""pe""),V3656)"),30.18)</f>
        <v>30.18</v>
      </c>
      <c r="X3656" s="6">
        <v>4.7300000000000004</v>
      </c>
      <c r="Y3656" s="6">
        <v>13.55</v>
      </c>
      <c r="Z3656" s="6">
        <v>9.27</v>
      </c>
      <c r="AA3656" s="3" t="s">
        <v>11172</v>
      </c>
      <c r="AB3656" s="4"/>
      <c r="AC3656" s="12"/>
      <c r="AD3656" s="12"/>
      <c r="AE3656" s="1">
        <v>0</v>
      </c>
      <c r="AF3656" s="1">
        <f ca="1">IFERROR(__xludf.DUMMYFUNCTION("IFERROR(GOOGLEFINANCE(TRIM(F3656)&amp;"":"" &amp; TRIM(B3656),""high52""),AE3656)"),5419)</f>
        <v>5419</v>
      </c>
      <c r="AG3656" s="1">
        <v>0</v>
      </c>
      <c r="AH3656" s="1">
        <f ca="1">IFERROR(__xludf.DUMMYFUNCTION("IFERROR(GOOGLEFINANCE(TRIM(F3656)&amp;"":"" &amp; TRIM(B3656),""low52""),AE3656)"),4200)</f>
        <v>4200</v>
      </c>
      <c r="AI3656" s="1">
        <f ca="1">IFERROR(__xludf.DUMMYFUNCTION("IFERROR(GOOGLEFINANCE(B3656,""eps""),0)"),178.91)</f>
        <v>178.91</v>
      </c>
      <c r="AJ3656" s="1"/>
      <c r="AK3656" s="1" t="s">
        <v>11173</v>
      </c>
      <c r="AL3656" s="9">
        <f t="shared" si="347"/>
        <v>1</v>
      </c>
    </row>
    <row r="3657" spans="1:38" ht="15" x14ac:dyDescent="0.25">
      <c r="A3657" s="1" t="s">
        <v>11174</v>
      </c>
      <c r="B3657" s="1" t="s">
        <v>11175</v>
      </c>
      <c r="C3657" s="1" t="s">
        <v>373</v>
      </c>
      <c r="D3657" s="1" t="s">
        <v>373</v>
      </c>
      <c r="E3657" s="6">
        <v>129.37</v>
      </c>
      <c r="F3657" s="1" t="s">
        <v>40</v>
      </c>
      <c r="G3657" s="6">
        <f ca="1">IFERROR(__xludf.DUMMYFUNCTION("iferror(GOOGLEFINANCE(TRIM(F3657)&amp;"":"" &amp; TRIM(B3657), ""price""),0
)"),1.56)</f>
        <v>1.56</v>
      </c>
      <c r="H3657" s="6">
        <v>2.74</v>
      </c>
      <c r="I3657" s="6">
        <f t="shared" ca="1" si="0"/>
        <v>1.56</v>
      </c>
      <c r="J3657" s="6">
        <f ca="1">IFERROR(__xludf.DUMMYFUNCTION("IFERROR(GOOGLEFINANCE(B3657, ""volume""), 0)"),259417)</f>
        <v>259417</v>
      </c>
      <c r="K3657" s="6">
        <v>1.1100000000000001</v>
      </c>
      <c r="L3657" s="6">
        <f ca="1">IFERROR(__xludf.DUMMYFUNCTION("IFERROR(GOOGLEFINANCE(B3657,""changepct""),K3657)"),0.65)</f>
        <v>0.65</v>
      </c>
      <c r="M3657" s="6">
        <f ca="1">IFERROR(__xludf.DUMMYFUNCTION("IFERROR(GOOGLEFINANCE(B3657,""change""),0)"),0.01)</f>
        <v>0.01</v>
      </c>
      <c r="N3657" s="6">
        <v>1</v>
      </c>
      <c r="O3657" s="7">
        <v>45536</v>
      </c>
      <c r="P3657" s="6">
        <v>38.99</v>
      </c>
      <c r="Q3657" s="6">
        <v>155.91999999999999</v>
      </c>
      <c r="R3657" s="7">
        <v>45536</v>
      </c>
      <c r="S3657" s="6">
        <v>128.88</v>
      </c>
      <c r="T3657" s="6">
        <v>-3.49</v>
      </c>
      <c r="U3657" s="7">
        <v>45536</v>
      </c>
      <c r="V3657" s="6">
        <v>0</v>
      </c>
      <c r="W3657" s="6">
        <f ca="1">IFERROR(__xludf.DUMMYFUNCTION("IFERROR(GOOGLEFINANCE(B3657,""pe""),V3657)"),0)</f>
        <v>0</v>
      </c>
      <c r="X3657" s="9"/>
      <c r="Y3657" s="6">
        <v>1.42</v>
      </c>
      <c r="Z3657" s="6">
        <v>1</v>
      </c>
      <c r="AA3657" s="8">
        <v>45352</v>
      </c>
      <c r="AB3657" s="4">
        <v>0.34</v>
      </c>
      <c r="AC3657" s="6">
        <v>-5.34</v>
      </c>
      <c r="AD3657" s="6">
        <v>-1.1100000000000001</v>
      </c>
      <c r="AE3657" s="1">
        <v>0</v>
      </c>
      <c r="AF3657" s="1">
        <f ca="1">IFERROR(__xludf.DUMMYFUNCTION("IFERROR(GOOGLEFINANCE(TRIM(F3657)&amp;"":"" &amp; TRIM(B3657),""high52""),AE3657)"),2.48)</f>
        <v>2.48</v>
      </c>
      <c r="AG3657" s="1">
        <v>0</v>
      </c>
      <c r="AH3657" s="1">
        <f ca="1">IFERROR(__xludf.DUMMYFUNCTION("IFERROR(GOOGLEFINANCE(TRIM(F3657)&amp;"":"" &amp; TRIM(B3657),""low52""),AE3657)"),1.4)</f>
        <v>1.4</v>
      </c>
      <c r="AI3657" s="1">
        <f ca="1">IFERROR(__xludf.DUMMYFUNCTION("IFERROR(GOOGLEFINANCE(B3657,""eps""),0)"),-0.07)</f>
        <v>-7.0000000000000007E-2</v>
      </c>
      <c r="AJ3657" s="1"/>
      <c r="AK3657" s="9"/>
      <c r="AL3657" s="9">
        <f t="shared" si="347"/>
        <v>1</v>
      </c>
    </row>
    <row r="3658" spans="1:38" ht="15" x14ac:dyDescent="0.25">
      <c r="A3658" s="1" t="s">
        <v>11176</v>
      </c>
      <c r="B3658" s="1" t="s">
        <v>11177</v>
      </c>
      <c r="C3658" s="1" t="s">
        <v>219</v>
      </c>
      <c r="D3658" s="1" t="s">
        <v>219</v>
      </c>
      <c r="E3658" s="6">
        <v>3.62</v>
      </c>
      <c r="F3658" s="1" t="s">
        <v>53</v>
      </c>
      <c r="G3658" s="6">
        <f ca="1">IFERROR(__xludf.DUMMYFUNCTION("iferror(GOOGLEFINANCE(TRIM(F3658)&amp;"":"" &amp; TRIM(B3658), ""price""),0
)"),0)</f>
        <v>0</v>
      </c>
      <c r="H3658" s="6">
        <v>7.29</v>
      </c>
      <c r="I3658" s="6">
        <f t="shared" ca="1" si="0"/>
        <v>7.29</v>
      </c>
      <c r="J3658" s="6">
        <f ca="1">IFERROR(__xludf.DUMMYFUNCTION("IFERROR(GOOGLEFINANCE(B3658, ""volume""), 0)"),0)</f>
        <v>0</v>
      </c>
      <c r="K3658" s="6">
        <v>-1.0900000000000001</v>
      </c>
      <c r="L3658" s="6">
        <f ca="1">IFERROR(__xludf.DUMMYFUNCTION("IFERROR(GOOGLEFINANCE(B3658,""changepct""),K3658)"),-1.09)</f>
        <v>-1.0900000000000001</v>
      </c>
      <c r="M3658" s="6">
        <f ca="1">IFERROR(__xludf.DUMMYFUNCTION("IFERROR(GOOGLEFINANCE(B3658,""change""),0)"),0)</f>
        <v>0</v>
      </c>
      <c r="N3658" s="6">
        <v>1</v>
      </c>
      <c r="O3658" s="7">
        <v>45536</v>
      </c>
      <c r="P3658" s="6">
        <v>0.53</v>
      </c>
      <c r="Q3658" s="6">
        <v>4.1500000000000004</v>
      </c>
      <c r="R3658" s="7">
        <v>45536</v>
      </c>
      <c r="S3658" s="6">
        <v>3.22</v>
      </c>
      <c r="T3658" s="6">
        <v>-0.01</v>
      </c>
      <c r="U3658" s="7">
        <v>45536</v>
      </c>
      <c r="V3658" s="6">
        <v>0</v>
      </c>
      <c r="W3658" s="6">
        <f ca="1">IFERROR(__xludf.DUMMYFUNCTION("IFERROR(GOOGLEFINANCE(B3658,""pe""),V3658)"),0)</f>
        <v>0</v>
      </c>
      <c r="X3658" s="6">
        <v>0</v>
      </c>
      <c r="Y3658" s="6">
        <v>4.03</v>
      </c>
      <c r="Z3658" s="6">
        <v>1</v>
      </c>
      <c r="AA3658" s="8">
        <v>45352</v>
      </c>
      <c r="AB3658" s="4">
        <v>0.57999999999999996</v>
      </c>
      <c r="AC3658" s="6">
        <v>6.24</v>
      </c>
      <c r="AD3658" s="6">
        <v>3.93</v>
      </c>
      <c r="AE3658" s="1">
        <v>0</v>
      </c>
      <c r="AF3658" s="1">
        <f ca="1">IFERROR(__xludf.DUMMYFUNCTION("IFERROR(GOOGLEFINANCE(TRIM(F3658)&amp;"":"" &amp; TRIM(B3658),""high52""),AE3658)"),0)</f>
        <v>0</v>
      </c>
      <c r="AG3658" s="1">
        <v>0</v>
      </c>
      <c r="AH3658" s="1">
        <f ca="1">IFERROR(__xludf.DUMMYFUNCTION("IFERROR(GOOGLEFINANCE(TRIM(F3658)&amp;"":"" &amp; TRIM(B3658),""low52""),AE3658)"),0)</f>
        <v>0</v>
      </c>
      <c r="AI3658" s="1">
        <f ca="1">IFERROR(__xludf.DUMMYFUNCTION("IFERROR(GOOGLEFINANCE(B3658,""eps""),0)"),0)</f>
        <v>0</v>
      </c>
      <c r="AJ3658" s="1"/>
      <c r="AK3658" s="9"/>
      <c r="AL3658" s="9">
        <f t="shared" si="347"/>
        <v>1</v>
      </c>
    </row>
    <row r="3659" spans="1:38" ht="15" x14ac:dyDescent="0.25">
      <c r="A3659" s="1" t="s">
        <v>11178</v>
      </c>
      <c r="B3659" s="1" t="s">
        <v>11179</v>
      </c>
      <c r="C3659" s="1" t="s">
        <v>355</v>
      </c>
      <c r="D3659" s="1" t="s">
        <v>355</v>
      </c>
      <c r="E3659" s="6">
        <v>5688.02</v>
      </c>
      <c r="F3659" s="1" t="s">
        <v>40</v>
      </c>
      <c r="G3659" s="6">
        <f ca="1">IFERROR(__xludf.DUMMYFUNCTION("iferror(GOOGLEFINANCE(TRIM(F3659)&amp;"":"" &amp; TRIM(B3659), ""price""),0
)"),1230.3)</f>
        <v>1230.3</v>
      </c>
      <c r="H3659" s="6">
        <v>2658.15</v>
      </c>
      <c r="I3659" s="6">
        <f t="shared" ca="1" si="0"/>
        <v>1230.3</v>
      </c>
      <c r="J3659" s="6">
        <f ca="1">IFERROR(__xludf.DUMMYFUNCTION("IFERROR(GOOGLEFINANCE(B3659, ""volume""), 0)"),4990)</f>
        <v>4990</v>
      </c>
      <c r="K3659" s="6">
        <v>3.14</v>
      </c>
      <c r="L3659" s="6">
        <f ca="1">IFERROR(__xludf.DUMMYFUNCTION("IFERROR(GOOGLEFINANCE(B3659,""changepct""),K3659)"),-0.49)</f>
        <v>-0.49</v>
      </c>
      <c r="M3659" s="6">
        <f ca="1">IFERROR(__xludf.DUMMYFUNCTION("IFERROR(GOOGLEFINANCE(B3659,""change""),0)"),-6)</f>
        <v>-6</v>
      </c>
      <c r="N3659" s="6">
        <v>2</v>
      </c>
      <c r="O3659" s="7">
        <v>45536</v>
      </c>
      <c r="P3659" s="6">
        <v>1660.58</v>
      </c>
      <c r="Q3659" s="6">
        <v>7323.46</v>
      </c>
      <c r="R3659" s="7">
        <v>45536</v>
      </c>
      <c r="S3659" s="6">
        <v>2248.63</v>
      </c>
      <c r="T3659" s="6">
        <v>-220.76</v>
      </c>
      <c r="U3659" s="7">
        <v>45536</v>
      </c>
      <c r="V3659" s="6">
        <v>0</v>
      </c>
      <c r="W3659" s="6">
        <f ca="1">IFERROR(__xludf.DUMMYFUNCTION("IFERROR(GOOGLEFINANCE(B3659,""pe""),V3659)"),0)</f>
        <v>0</v>
      </c>
      <c r="X3659" s="12"/>
      <c r="Y3659" s="6">
        <v>6.4</v>
      </c>
      <c r="Z3659" s="6">
        <v>2</v>
      </c>
      <c r="AA3659" s="8">
        <v>45352</v>
      </c>
      <c r="AB3659" s="4">
        <v>2.36</v>
      </c>
      <c r="AC3659" s="6">
        <v>-17.48</v>
      </c>
      <c r="AD3659" s="6">
        <v>-2.06</v>
      </c>
      <c r="AE3659" s="1">
        <v>0</v>
      </c>
      <c r="AF3659" s="1">
        <f ca="1">IFERROR(__xludf.DUMMYFUNCTION("IFERROR(GOOGLEFINANCE(TRIM(F3659)&amp;"":"" &amp; TRIM(B3659),""high52""),AE3659)"),2649)</f>
        <v>2649</v>
      </c>
      <c r="AG3659" s="1">
        <v>0</v>
      </c>
      <c r="AH3659" s="1">
        <f ca="1">IFERROR(__xludf.DUMMYFUNCTION("IFERROR(GOOGLEFINANCE(TRIM(F3659)&amp;"":"" &amp; TRIM(B3659),""low52""),AE3659)"),1112.8)</f>
        <v>1112.8</v>
      </c>
      <c r="AI3659" s="1">
        <f ca="1">IFERROR(__xludf.DUMMYFUNCTION("IFERROR(GOOGLEFINANCE(B3659,""eps""),0)"),-11.18)</f>
        <v>-11.18</v>
      </c>
      <c r="AJ3659" s="1"/>
      <c r="AK3659" s="1" t="s">
        <v>11180</v>
      </c>
      <c r="AL3659" s="1" t="b">
        <f t="shared" ref="AL3659:AL3660" si="348">ISNUMBER(AA3659)</f>
        <v>1</v>
      </c>
    </row>
    <row r="3660" spans="1:38" ht="15" x14ac:dyDescent="0.25">
      <c r="A3660" s="1" t="s">
        <v>11181</v>
      </c>
      <c r="B3660" s="1" t="s">
        <v>11182</v>
      </c>
      <c r="C3660" s="1" t="s">
        <v>355</v>
      </c>
      <c r="D3660" s="1" t="s">
        <v>355</v>
      </c>
      <c r="E3660" s="6">
        <v>22329.29</v>
      </c>
      <c r="F3660" s="1" t="s">
        <v>40</v>
      </c>
      <c r="G3660" s="6">
        <f ca="1">IFERROR(__xludf.DUMMYFUNCTION("iferror(GOOGLEFINANCE(TRIM(F3660)&amp;"":"" &amp; TRIM(B3660), ""price""),0
)"),940)</f>
        <v>940</v>
      </c>
      <c r="H3660" s="6">
        <v>1084.95</v>
      </c>
      <c r="I3660" s="6">
        <f t="shared" ca="1" si="0"/>
        <v>940</v>
      </c>
      <c r="J3660" s="6">
        <f ca="1">IFERROR(__xludf.DUMMYFUNCTION("IFERROR(GOOGLEFINANCE(B3660, ""volume""), 0)"),62102)</f>
        <v>62102</v>
      </c>
      <c r="K3660" s="6">
        <v>2.1800000000000002</v>
      </c>
      <c r="L3660" s="6">
        <f ca="1">IFERROR(__xludf.DUMMYFUNCTION("IFERROR(GOOGLEFINANCE(B3660,""changepct""),K3660)"),0.88)</f>
        <v>0.88</v>
      </c>
      <c r="M3660" s="6">
        <f ca="1">IFERROR(__xludf.DUMMYFUNCTION("IFERROR(GOOGLEFINANCE(B3660,""change""),0)"),8.2)</f>
        <v>8.1999999999999993</v>
      </c>
      <c r="N3660" s="6">
        <v>2</v>
      </c>
      <c r="O3660" s="7">
        <v>45536</v>
      </c>
      <c r="P3660" s="6">
        <v>818.6</v>
      </c>
      <c r="Q3660" s="6">
        <v>23107.64</v>
      </c>
      <c r="R3660" s="7">
        <v>45536</v>
      </c>
      <c r="S3660" s="6">
        <v>5817.44</v>
      </c>
      <c r="T3660" s="6">
        <v>550.38</v>
      </c>
      <c r="U3660" s="7">
        <v>45536</v>
      </c>
      <c r="V3660" s="6">
        <v>40.86</v>
      </c>
      <c r="W3660" s="6">
        <f ca="1">IFERROR(__xludf.DUMMYFUNCTION("IFERROR(GOOGLEFINANCE(B3660,""pe""),V3660)"),35.65)</f>
        <v>35.65</v>
      </c>
      <c r="X3660" s="6">
        <v>15.36</v>
      </c>
      <c r="Y3660" s="6">
        <v>6.14</v>
      </c>
      <c r="Z3660" s="6">
        <v>2</v>
      </c>
      <c r="AA3660" s="8">
        <v>45352</v>
      </c>
      <c r="AB3660" s="4">
        <v>0.18</v>
      </c>
      <c r="AC3660" s="6">
        <v>16.329999999999998</v>
      </c>
      <c r="AD3660" s="6">
        <v>18.73</v>
      </c>
      <c r="AE3660" s="1">
        <v>0</v>
      </c>
      <c r="AF3660" s="1">
        <f ca="1">IFERROR(__xludf.DUMMYFUNCTION("IFERROR(GOOGLEFINANCE(TRIM(F3660)&amp;"":"" &amp; TRIM(B3660),""high52""),AE3660)"),1080)</f>
        <v>1080</v>
      </c>
      <c r="AG3660" s="1">
        <v>0</v>
      </c>
      <c r="AH3660" s="1">
        <f ca="1">IFERROR(__xludf.DUMMYFUNCTION("IFERROR(GOOGLEFINANCE(TRIM(F3660)&amp;"":"" &amp; TRIM(B3660),""low52""),AE3660)"),831.15)</f>
        <v>831.15</v>
      </c>
      <c r="AI3660" s="1">
        <f ca="1">IFERROR(__xludf.DUMMYFUNCTION("IFERROR(GOOGLEFINANCE(B3660,""eps""),0)"),26.37)</f>
        <v>26.37</v>
      </c>
      <c r="AJ3660" s="1"/>
      <c r="AK3660" s="1" t="s">
        <v>11183</v>
      </c>
      <c r="AL3660" s="1" t="b">
        <f t="shared" si="348"/>
        <v>1</v>
      </c>
    </row>
    <row r="3661" spans="1:38" ht="15" x14ac:dyDescent="0.25">
      <c r="A3661" s="1" t="s">
        <v>11184</v>
      </c>
      <c r="B3661" s="1" t="s">
        <v>11185</v>
      </c>
      <c r="C3661" s="1" t="s">
        <v>219</v>
      </c>
      <c r="D3661" s="1" t="s">
        <v>219</v>
      </c>
      <c r="E3661" s="6">
        <v>4.99</v>
      </c>
      <c r="F3661" s="1" t="s">
        <v>53</v>
      </c>
      <c r="G3661" s="6">
        <f ca="1">IFERROR(__xludf.DUMMYFUNCTION("iferror(GOOGLEFINANCE(TRIM(F3661)&amp;"":"" &amp; TRIM(B3661), ""price""),0
)"),0)</f>
        <v>0</v>
      </c>
      <c r="H3661" s="6">
        <v>8.1</v>
      </c>
      <c r="I3661" s="6">
        <f t="shared" ca="1" si="0"/>
        <v>8.1</v>
      </c>
      <c r="J3661" s="6">
        <f ca="1">IFERROR(__xludf.DUMMYFUNCTION("IFERROR(GOOGLEFINANCE(B3661, ""volume""), 0)"),0)</f>
        <v>0</v>
      </c>
      <c r="K3661" s="6">
        <v>-4.59</v>
      </c>
      <c r="L3661" s="6">
        <f ca="1">IFERROR(__xludf.DUMMYFUNCTION("IFERROR(GOOGLEFINANCE(B3661,""changepct""),K3661)"),-4.59)</f>
        <v>-4.59</v>
      </c>
      <c r="M3661" s="6">
        <f ca="1">IFERROR(__xludf.DUMMYFUNCTION("IFERROR(GOOGLEFINANCE(B3661,""change""),0)"),0)</f>
        <v>0</v>
      </c>
      <c r="N3661" s="6">
        <v>1</v>
      </c>
      <c r="O3661" s="7">
        <v>45536</v>
      </c>
      <c r="P3661" s="12"/>
      <c r="Q3661" s="6">
        <v>4.99</v>
      </c>
      <c r="R3661" s="7">
        <v>45536</v>
      </c>
      <c r="S3661" s="6">
        <v>0</v>
      </c>
      <c r="T3661" s="6">
        <v>-7.0000000000000007E-2</v>
      </c>
      <c r="U3661" s="7">
        <v>45536</v>
      </c>
      <c r="V3661" s="6">
        <v>0</v>
      </c>
      <c r="W3661" s="6">
        <f ca="1">IFERROR(__xludf.DUMMYFUNCTION("IFERROR(GOOGLEFINANCE(B3661,""pe""),V3661)"),0)</f>
        <v>0</v>
      </c>
      <c r="X3661" s="9"/>
      <c r="Y3661" s="6">
        <v>-40.92</v>
      </c>
      <c r="Z3661" s="6">
        <v>1</v>
      </c>
      <c r="AA3661" s="8">
        <v>45352</v>
      </c>
      <c r="AB3661" s="4">
        <v>-0.61</v>
      </c>
      <c r="AC3661" s="6">
        <v>0</v>
      </c>
      <c r="AD3661" s="6">
        <v>-387.6</v>
      </c>
      <c r="AE3661" s="1">
        <v>0</v>
      </c>
      <c r="AF3661" s="1">
        <f ca="1">IFERROR(__xludf.DUMMYFUNCTION("IFERROR(GOOGLEFINANCE(TRIM(F3661)&amp;"":"" &amp; TRIM(B3661),""high52""),AE3661)"),0)</f>
        <v>0</v>
      </c>
      <c r="AG3661" s="1">
        <v>0</v>
      </c>
      <c r="AH3661" s="1">
        <f ca="1">IFERROR(__xludf.DUMMYFUNCTION("IFERROR(GOOGLEFINANCE(TRIM(F3661)&amp;"":"" &amp; TRIM(B3661),""low52""),AE3661)"),0)</f>
        <v>0</v>
      </c>
      <c r="AI3661" s="1">
        <f ca="1">IFERROR(__xludf.DUMMYFUNCTION("IFERROR(GOOGLEFINANCE(B3661,""eps""),0)"),0)</f>
        <v>0</v>
      </c>
      <c r="AJ3661" s="1"/>
      <c r="AK3661" s="1" t="s">
        <v>11186</v>
      </c>
      <c r="AL3661" s="9">
        <f t="shared" ref="AL3661:AL3670" si="349">IF(AA3661&lt;&gt;AB3661,1,0)</f>
        <v>1</v>
      </c>
    </row>
    <row r="3662" spans="1:38" ht="15" x14ac:dyDescent="0.25">
      <c r="A3662" s="1" t="s">
        <v>11187</v>
      </c>
      <c r="B3662" s="1" t="s">
        <v>11188</v>
      </c>
      <c r="C3662" s="1" t="s">
        <v>219</v>
      </c>
      <c r="D3662" s="1" t="s">
        <v>219</v>
      </c>
      <c r="E3662" s="6">
        <v>4999.29</v>
      </c>
      <c r="F3662" s="1" t="s">
        <v>40</v>
      </c>
      <c r="G3662" s="6">
        <f ca="1">IFERROR(__xludf.DUMMYFUNCTION("iferror(GOOGLEFINANCE(TRIM(F3662)&amp;"":"" &amp; TRIM(B3662), ""price""),0
)"),240)</f>
        <v>240</v>
      </c>
      <c r="H3662" s="6">
        <v>280</v>
      </c>
      <c r="I3662" s="6">
        <f t="shared" ca="1" si="0"/>
        <v>240</v>
      </c>
      <c r="J3662" s="6">
        <f ca="1">IFERROR(__xludf.DUMMYFUNCTION("IFERROR(GOOGLEFINANCE(B3662, ""volume""), 0)"),133675)</f>
        <v>133675</v>
      </c>
      <c r="K3662" s="6">
        <v>1.05</v>
      </c>
      <c r="L3662" s="6">
        <f ca="1">IFERROR(__xludf.DUMMYFUNCTION("IFERROR(GOOGLEFINANCE(B3662,""changepct""),K3662)"),0.1)</f>
        <v>0.1</v>
      </c>
      <c r="M3662" s="6">
        <f ca="1">IFERROR(__xludf.DUMMYFUNCTION("IFERROR(GOOGLEFINANCE(B3662,""change""),0)"),0.23)</f>
        <v>0.23</v>
      </c>
      <c r="N3662" s="6">
        <v>2</v>
      </c>
      <c r="O3662" s="7">
        <v>45536</v>
      </c>
      <c r="P3662" s="6">
        <v>548.73</v>
      </c>
      <c r="Q3662" s="6">
        <v>5435.46</v>
      </c>
      <c r="R3662" s="7">
        <v>45536</v>
      </c>
      <c r="S3662" s="6">
        <v>3533.29</v>
      </c>
      <c r="T3662" s="6">
        <v>146.56</v>
      </c>
      <c r="U3662" s="7">
        <v>45536</v>
      </c>
      <c r="V3662" s="6">
        <v>33.869999999999997</v>
      </c>
      <c r="W3662" s="6">
        <f ca="1">IFERROR(__xludf.DUMMYFUNCTION("IFERROR(GOOGLEFINANCE(B3662,""pe""),V3662)"),21.46)</f>
        <v>21.46</v>
      </c>
      <c r="X3662" s="6">
        <v>6.26</v>
      </c>
      <c r="Y3662" s="6">
        <v>0.76</v>
      </c>
      <c r="Z3662" s="6">
        <v>2</v>
      </c>
      <c r="AA3662" s="8">
        <v>45352</v>
      </c>
      <c r="AB3662" s="4">
        <v>0.14000000000000001</v>
      </c>
      <c r="AC3662" s="6">
        <v>3.64</v>
      </c>
      <c r="AD3662" s="6">
        <v>6.18</v>
      </c>
      <c r="AE3662" s="1">
        <v>0</v>
      </c>
      <c r="AF3662" s="1">
        <f ca="1">IFERROR(__xludf.DUMMYFUNCTION("IFERROR(GOOGLEFINANCE(TRIM(F3662)&amp;"":"" &amp; TRIM(B3662),""high52""),AE3662)"),322)</f>
        <v>322</v>
      </c>
      <c r="AG3662" s="1">
        <v>0</v>
      </c>
      <c r="AH3662" s="1">
        <f ca="1">IFERROR(__xludf.DUMMYFUNCTION("IFERROR(GOOGLEFINANCE(TRIM(F3662)&amp;"":"" &amp; TRIM(B3662),""low52""),AE3662)"),196.37)</f>
        <v>196.37</v>
      </c>
      <c r="AI3662" s="1">
        <f ca="1">IFERROR(__xludf.DUMMYFUNCTION("IFERROR(GOOGLEFINANCE(B3662,""eps""),0)"),11.18)</f>
        <v>11.18</v>
      </c>
      <c r="AJ3662" s="1"/>
      <c r="AK3662" s="1" t="s">
        <v>11189</v>
      </c>
      <c r="AL3662" s="9">
        <f t="shared" si="349"/>
        <v>1</v>
      </c>
    </row>
    <row r="3663" spans="1:38" ht="15" x14ac:dyDescent="0.25">
      <c r="A3663" s="1" t="s">
        <v>11190</v>
      </c>
      <c r="B3663" s="1" t="s">
        <v>2529</v>
      </c>
      <c r="C3663" s="1" t="s">
        <v>268</v>
      </c>
      <c r="D3663" s="1" t="s">
        <v>268</v>
      </c>
      <c r="E3663" s="6">
        <v>125.44</v>
      </c>
      <c r="F3663" s="1" t="s">
        <v>40</v>
      </c>
      <c r="G3663" s="6">
        <f ca="1">IFERROR(__xludf.DUMMYFUNCTION("iferror(GOOGLEFINANCE(TRIM(F3663)&amp;"":"" &amp; TRIM(B3663), ""price""),0
)"),0)</f>
        <v>0</v>
      </c>
      <c r="H3663" s="6">
        <v>533</v>
      </c>
      <c r="I3663" s="6">
        <f t="shared" ca="1" si="0"/>
        <v>533</v>
      </c>
      <c r="J3663" s="6">
        <f ca="1">IFERROR(__xludf.DUMMYFUNCTION("IFERROR(GOOGLEFINANCE(B3663, ""volume""), 0)"),6170)</f>
        <v>6170</v>
      </c>
      <c r="K3663" s="6">
        <v>-1.48</v>
      </c>
      <c r="L3663" s="6">
        <f ca="1">IFERROR(__xludf.DUMMYFUNCTION("IFERROR(GOOGLEFINANCE(B3663,""changepct""),K3663)"),0.12)</f>
        <v>0.12</v>
      </c>
      <c r="M3663" s="6">
        <f ca="1">IFERROR(__xludf.DUMMYFUNCTION("IFERROR(GOOGLEFINANCE(B3663,""change""),0)"),0.02)</f>
        <v>0.02</v>
      </c>
      <c r="N3663" s="6">
        <v>1</v>
      </c>
      <c r="O3663" s="7">
        <v>45536</v>
      </c>
      <c r="P3663" s="6">
        <v>7.54</v>
      </c>
      <c r="Q3663" s="6">
        <v>132.99</v>
      </c>
      <c r="R3663" s="7">
        <v>45352</v>
      </c>
      <c r="S3663" s="6">
        <v>17.97</v>
      </c>
      <c r="T3663" s="6">
        <v>1.04</v>
      </c>
      <c r="U3663" s="7">
        <v>45352</v>
      </c>
      <c r="V3663" s="6">
        <v>120.48</v>
      </c>
      <c r="W3663" s="6">
        <f ca="1">IFERROR(__xludf.DUMMYFUNCTION("IFERROR(GOOGLEFINANCE(B3663,""pe""),V3663)"),120.48)</f>
        <v>120.48</v>
      </c>
      <c r="X3663" s="9"/>
      <c r="Y3663" s="6">
        <v>13.14</v>
      </c>
      <c r="Z3663" s="6">
        <v>2</v>
      </c>
      <c r="AA3663" s="8">
        <v>45352</v>
      </c>
      <c r="AB3663" s="4">
        <v>0.59</v>
      </c>
      <c r="AC3663" s="6">
        <v>11.19</v>
      </c>
      <c r="AD3663" s="6">
        <v>13.06</v>
      </c>
      <c r="AE3663" s="1">
        <v>0</v>
      </c>
      <c r="AF3663" s="1">
        <f ca="1">IFERROR(__xludf.DUMMYFUNCTION("IFERROR(GOOGLEFINANCE(TRIM(F3663)&amp;"":"" &amp; TRIM(B3663),""high52""),AE3663)"),0)</f>
        <v>0</v>
      </c>
      <c r="AG3663" s="1">
        <v>0</v>
      </c>
      <c r="AH3663" s="1">
        <f ca="1">IFERROR(__xludf.DUMMYFUNCTION("IFERROR(GOOGLEFINANCE(TRIM(F3663)&amp;"":"" &amp; TRIM(B3663),""low52""),AE3663)"),0)</f>
        <v>0</v>
      </c>
      <c r="AI3663" s="1">
        <f ca="1">IFERROR(__xludf.DUMMYFUNCTION("IFERROR(GOOGLEFINANCE(B3663,""eps""),0)"),0)</f>
        <v>0</v>
      </c>
      <c r="AJ3663" s="1"/>
      <c r="AK3663" s="1" t="s">
        <v>11191</v>
      </c>
      <c r="AL3663" s="9">
        <f t="shared" si="349"/>
        <v>1</v>
      </c>
    </row>
    <row r="3664" spans="1:38" ht="15" x14ac:dyDescent="0.25">
      <c r="A3664" s="1" t="s">
        <v>11192</v>
      </c>
      <c r="B3664" s="1" t="s">
        <v>11193</v>
      </c>
      <c r="C3664" s="1" t="s">
        <v>1497</v>
      </c>
      <c r="D3664" s="1" t="s">
        <v>1497</v>
      </c>
      <c r="E3664" s="6">
        <v>165</v>
      </c>
      <c r="F3664" s="1" t="s">
        <v>40</v>
      </c>
      <c r="G3664" s="6">
        <f ca="1">IFERROR(__xludf.DUMMYFUNCTION("iferror(GOOGLEFINANCE(TRIM(F3664)&amp;"":"" &amp; TRIM(B3664), ""price""),0
)"),0)</f>
        <v>0</v>
      </c>
      <c r="H3664" s="6">
        <v>148.55000000000001</v>
      </c>
      <c r="I3664" s="6">
        <f t="shared" ca="1" si="0"/>
        <v>148.55000000000001</v>
      </c>
      <c r="J3664" s="6">
        <f ca="1">IFERROR(__xludf.DUMMYFUNCTION("IFERROR(GOOGLEFINANCE(B3664, ""volume""), 0)"),0)</f>
        <v>0</v>
      </c>
      <c r="K3664" s="6">
        <v>-2.04</v>
      </c>
      <c r="L3664" s="6">
        <f ca="1">IFERROR(__xludf.DUMMYFUNCTION("IFERROR(GOOGLEFINANCE(B3664,""changepct""),K3664)"),-2.04)</f>
        <v>-2.04</v>
      </c>
      <c r="M3664" s="6">
        <f ca="1">IFERROR(__xludf.DUMMYFUNCTION("IFERROR(GOOGLEFINANCE(B3664,""change""),0)"),0)</f>
        <v>0</v>
      </c>
      <c r="N3664" s="6">
        <v>1</v>
      </c>
      <c r="O3664" s="7">
        <v>45536</v>
      </c>
      <c r="P3664" s="6">
        <v>19.41</v>
      </c>
      <c r="Q3664" s="6">
        <v>184.4</v>
      </c>
      <c r="R3664" s="14"/>
      <c r="S3664" s="9"/>
      <c r="T3664" s="9"/>
      <c r="U3664" s="7">
        <v>45352</v>
      </c>
      <c r="V3664" s="6">
        <v>18.53</v>
      </c>
      <c r="W3664" s="6">
        <f ca="1">IFERROR(__xludf.DUMMYFUNCTION("IFERROR(GOOGLEFINANCE(B3664,""pe""),V3664)"),18.53)</f>
        <v>18.53</v>
      </c>
      <c r="X3664" s="9"/>
      <c r="Y3664" s="6">
        <v>3.28</v>
      </c>
      <c r="Z3664" s="6">
        <v>1</v>
      </c>
      <c r="AA3664" s="8">
        <v>45352</v>
      </c>
      <c r="AB3664" s="4">
        <v>1.74</v>
      </c>
      <c r="AC3664" s="6">
        <v>75.260000000000005</v>
      </c>
      <c r="AD3664" s="6">
        <v>31.38</v>
      </c>
      <c r="AE3664" s="1">
        <v>0</v>
      </c>
      <c r="AF3664" s="1">
        <f ca="1">IFERROR(__xludf.DUMMYFUNCTION("IFERROR(GOOGLEFINANCE(TRIM(F3664)&amp;"":"" &amp; TRIM(B3664),""high52""),AE3664)"),0)</f>
        <v>0</v>
      </c>
      <c r="AG3664" s="1">
        <v>0</v>
      </c>
      <c r="AH3664" s="1">
        <f ca="1">IFERROR(__xludf.DUMMYFUNCTION("IFERROR(GOOGLEFINANCE(TRIM(F3664)&amp;"":"" &amp; TRIM(B3664),""low52""),AE3664)"),0)</f>
        <v>0</v>
      </c>
      <c r="AI3664" s="1">
        <f ca="1">IFERROR(__xludf.DUMMYFUNCTION("IFERROR(GOOGLEFINANCE(B3664,""eps""),0)"),0)</f>
        <v>0</v>
      </c>
      <c r="AJ3664" s="1"/>
      <c r="AK3664" s="1" t="s">
        <v>11194</v>
      </c>
      <c r="AL3664" s="9">
        <f t="shared" si="349"/>
        <v>1</v>
      </c>
    </row>
    <row r="3665" spans="1:38" ht="15" x14ac:dyDescent="0.25">
      <c r="A3665" s="1" t="s">
        <v>11195</v>
      </c>
      <c r="B3665" s="1" t="s">
        <v>11196</v>
      </c>
      <c r="C3665" s="1" t="s">
        <v>219</v>
      </c>
      <c r="D3665" s="1" t="s">
        <v>219</v>
      </c>
      <c r="E3665" s="6">
        <v>210.98</v>
      </c>
      <c r="F3665" s="1" t="s">
        <v>53</v>
      </c>
      <c r="G3665" s="6">
        <f ca="1">IFERROR(__xludf.DUMMYFUNCTION("iferror(GOOGLEFINANCE(TRIM(F3665)&amp;"":"" &amp; TRIM(B3665), ""price""),0
)"),0)</f>
        <v>0</v>
      </c>
      <c r="H3665" s="6">
        <v>5.3</v>
      </c>
      <c r="I3665" s="6">
        <f t="shared" ca="1" si="0"/>
        <v>5.3</v>
      </c>
      <c r="J3665" s="6">
        <f ca="1">IFERROR(__xludf.DUMMYFUNCTION("IFERROR(GOOGLEFINANCE(B3665, ""volume""), 0)"),0)</f>
        <v>0</v>
      </c>
      <c r="K3665" s="6">
        <v>0</v>
      </c>
      <c r="L3665" s="6">
        <f ca="1">IFERROR(__xludf.DUMMYFUNCTION("IFERROR(GOOGLEFINANCE(B3665,""changepct""),K3665)"),0)</f>
        <v>0</v>
      </c>
      <c r="M3665" s="6">
        <f ca="1">IFERROR(__xludf.DUMMYFUNCTION("IFERROR(GOOGLEFINANCE(B3665,""change""),0)"),0)</f>
        <v>0</v>
      </c>
      <c r="N3665" s="6">
        <v>1</v>
      </c>
      <c r="O3665" s="7">
        <v>45536</v>
      </c>
      <c r="P3665" s="6">
        <v>105.47</v>
      </c>
      <c r="Q3665" s="6">
        <v>316.45</v>
      </c>
      <c r="R3665" s="7">
        <v>45536</v>
      </c>
      <c r="S3665" s="6">
        <v>0</v>
      </c>
      <c r="T3665" s="6">
        <v>-6.8</v>
      </c>
      <c r="U3665" s="15">
        <v>45536</v>
      </c>
      <c r="V3665" s="6">
        <v>0</v>
      </c>
      <c r="W3665" s="6">
        <f ca="1">IFERROR(__xludf.DUMMYFUNCTION("IFERROR(GOOGLEFINANCE(B3665,""pe""),V3665)"),0)</f>
        <v>0</v>
      </c>
      <c r="X3665" s="12"/>
      <c r="Y3665" s="6">
        <v>6.38</v>
      </c>
      <c r="Z3665" s="6">
        <v>2</v>
      </c>
      <c r="AA3665" s="8">
        <v>44986</v>
      </c>
      <c r="AB3665" s="4">
        <v>1.46</v>
      </c>
      <c r="AC3665" s="6">
        <v>-53.57</v>
      </c>
      <c r="AD3665" s="6">
        <v>-20.62</v>
      </c>
      <c r="AE3665" s="1">
        <v>0</v>
      </c>
      <c r="AF3665" s="1">
        <f ca="1">IFERROR(__xludf.DUMMYFUNCTION("IFERROR(GOOGLEFINANCE(TRIM(F3665)&amp;"":"" &amp; TRIM(B3665),""high52""),AE3665)"),0)</f>
        <v>0</v>
      </c>
      <c r="AG3665" s="1">
        <v>0</v>
      </c>
      <c r="AH3665" s="1">
        <f ca="1">IFERROR(__xludf.DUMMYFUNCTION("IFERROR(GOOGLEFINANCE(TRIM(F3665)&amp;"":"" &amp; TRIM(B3665),""low52""),AE3665)"),0)</f>
        <v>0</v>
      </c>
      <c r="AI3665" s="1">
        <f ca="1">IFERROR(__xludf.DUMMYFUNCTION("IFERROR(GOOGLEFINANCE(B3665,""eps""),0)"),0)</f>
        <v>0</v>
      </c>
      <c r="AJ3665" s="1"/>
      <c r="AK3665" s="1" t="s">
        <v>11197</v>
      </c>
      <c r="AL3665" s="9">
        <f t="shared" si="349"/>
        <v>1</v>
      </c>
    </row>
    <row r="3666" spans="1:38" ht="15" x14ac:dyDescent="0.25">
      <c r="A3666" s="1" t="s">
        <v>11198</v>
      </c>
      <c r="B3666" s="1" t="s">
        <v>11199</v>
      </c>
      <c r="C3666" s="1" t="s">
        <v>219</v>
      </c>
      <c r="D3666" s="1" t="s">
        <v>219</v>
      </c>
      <c r="E3666" s="6">
        <v>30.18</v>
      </c>
      <c r="F3666" s="1" t="s">
        <v>53</v>
      </c>
      <c r="G3666" s="6">
        <f ca="1">IFERROR(__xludf.DUMMYFUNCTION("iferror(GOOGLEFINANCE(TRIM(F3666)&amp;"":"" &amp; TRIM(B3666), ""price""),0
)"),0)</f>
        <v>0</v>
      </c>
      <c r="H3666" s="6">
        <v>76</v>
      </c>
      <c r="I3666" s="6">
        <f t="shared" ca="1" si="0"/>
        <v>76</v>
      </c>
      <c r="J3666" s="6">
        <f ca="1">IFERROR(__xludf.DUMMYFUNCTION("IFERROR(GOOGLEFINANCE(B3666, ""volume""), 0)"),0)</f>
        <v>0</v>
      </c>
      <c r="K3666" s="6">
        <v>1.17</v>
      </c>
      <c r="L3666" s="6">
        <f ca="1">IFERROR(__xludf.DUMMYFUNCTION("IFERROR(GOOGLEFINANCE(B3666,""changepct""),K3666)"),1.17)</f>
        <v>1.17</v>
      </c>
      <c r="M3666" s="6">
        <f ca="1">IFERROR(__xludf.DUMMYFUNCTION("IFERROR(GOOGLEFINANCE(B3666,""change""),0)"),0)</f>
        <v>0</v>
      </c>
      <c r="N3666" s="6">
        <v>2</v>
      </c>
      <c r="O3666" s="7">
        <v>45536</v>
      </c>
      <c r="P3666" s="6">
        <v>6.91</v>
      </c>
      <c r="Q3666" s="6">
        <v>37.090000000000003</v>
      </c>
      <c r="R3666" s="7">
        <v>45536</v>
      </c>
      <c r="S3666" s="6">
        <v>127.78</v>
      </c>
      <c r="T3666" s="6">
        <v>-3.23</v>
      </c>
      <c r="U3666" s="7">
        <v>45536</v>
      </c>
      <c r="V3666" s="6">
        <v>0</v>
      </c>
      <c r="W3666" s="6">
        <f ca="1">IFERROR(__xludf.DUMMYFUNCTION("IFERROR(GOOGLEFINANCE(B3666,""pe""),V3666)"),0)</f>
        <v>0</v>
      </c>
      <c r="X3666" s="6">
        <v>0</v>
      </c>
      <c r="Y3666" s="6">
        <v>0.75</v>
      </c>
      <c r="Z3666" s="6">
        <v>2</v>
      </c>
      <c r="AA3666" s="8">
        <v>45352</v>
      </c>
      <c r="AB3666" s="4">
        <v>0.08</v>
      </c>
      <c r="AC3666" s="6">
        <v>0.37</v>
      </c>
      <c r="AD3666" s="6">
        <v>7.25</v>
      </c>
      <c r="AE3666" s="1">
        <v>0</v>
      </c>
      <c r="AF3666" s="1">
        <f ca="1">IFERROR(__xludf.DUMMYFUNCTION("IFERROR(GOOGLEFINANCE(TRIM(F3666)&amp;"":"" &amp; TRIM(B3666),""high52""),AE3666)"),0)</f>
        <v>0</v>
      </c>
      <c r="AG3666" s="1">
        <v>0</v>
      </c>
      <c r="AH3666" s="1">
        <f ca="1">IFERROR(__xludf.DUMMYFUNCTION("IFERROR(GOOGLEFINANCE(TRIM(F3666)&amp;"":"" &amp; TRIM(B3666),""low52""),AE3666)"),0)</f>
        <v>0</v>
      </c>
      <c r="AI3666" s="1">
        <f ca="1">IFERROR(__xludf.DUMMYFUNCTION("IFERROR(GOOGLEFINANCE(B3666,""eps""),0)"),0)</f>
        <v>0</v>
      </c>
      <c r="AJ3666" s="1"/>
      <c r="AK3666" s="1" t="s">
        <v>11200</v>
      </c>
      <c r="AL3666" s="9">
        <f t="shared" si="349"/>
        <v>1</v>
      </c>
    </row>
    <row r="3667" spans="1:38" ht="15" x14ac:dyDescent="0.25">
      <c r="A3667" s="1" t="s">
        <v>11201</v>
      </c>
      <c r="B3667" s="1" t="s">
        <v>11202</v>
      </c>
      <c r="C3667" s="1" t="s">
        <v>227</v>
      </c>
      <c r="D3667" s="1" t="s">
        <v>227</v>
      </c>
      <c r="E3667" s="6">
        <v>22.1</v>
      </c>
      <c r="F3667" s="1" t="s">
        <v>40</v>
      </c>
      <c r="G3667" s="6">
        <f ca="1">IFERROR(__xludf.DUMMYFUNCTION("iferror(GOOGLEFINANCE(TRIM(F3667)&amp;"":"" &amp; TRIM(B3667), ""price""),0
)"),0)</f>
        <v>0</v>
      </c>
      <c r="H3667" s="6">
        <v>51.5</v>
      </c>
      <c r="I3667" s="6">
        <f t="shared" ca="1" si="0"/>
        <v>51.5</v>
      </c>
      <c r="J3667" s="6">
        <f ca="1">IFERROR(__xludf.DUMMYFUNCTION("IFERROR(GOOGLEFINANCE(B3667, ""volume""), 0)"),0)</f>
        <v>0</v>
      </c>
      <c r="K3667" s="9"/>
      <c r="L3667" s="6" t="str">
        <f ca="1">IFERROR(__xludf.DUMMYFUNCTION("IFERROR(GOOGLEFINANCE(B3667,""changepct""),K3667)"),"")</f>
        <v/>
      </c>
      <c r="M3667" s="6">
        <f ca="1">IFERROR(__xludf.DUMMYFUNCTION("IFERROR(GOOGLEFINANCE(B3667,""change""),0)"),0)</f>
        <v>0</v>
      </c>
      <c r="N3667" s="6">
        <v>1</v>
      </c>
      <c r="O3667" s="7">
        <v>45536</v>
      </c>
      <c r="P3667" s="6">
        <v>5.45</v>
      </c>
      <c r="Q3667" s="6">
        <v>27.55</v>
      </c>
      <c r="R3667" s="7">
        <v>45352</v>
      </c>
      <c r="S3667" s="6">
        <v>29.48</v>
      </c>
      <c r="T3667" s="6">
        <v>0.23</v>
      </c>
      <c r="U3667" s="7">
        <v>45352</v>
      </c>
      <c r="V3667" s="6">
        <v>97.92</v>
      </c>
      <c r="W3667" s="6">
        <f ca="1">IFERROR(__xludf.DUMMYFUNCTION("IFERROR(GOOGLEFINANCE(B3667,""pe""),V3667)"),97.92)</f>
        <v>97.92</v>
      </c>
      <c r="X3667" s="12"/>
      <c r="Y3667" s="6">
        <v>1.56</v>
      </c>
      <c r="Z3667" s="6">
        <v>1</v>
      </c>
      <c r="AA3667" s="8">
        <v>45352</v>
      </c>
      <c r="AB3667" s="4">
        <v>0.43</v>
      </c>
      <c r="AC3667" s="6">
        <v>2.61</v>
      </c>
      <c r="AD3667" s="6">
        <v>6.34</v>
      </c>
      <c r="AE3667" s="1">
        <v>0</v>
      </c>
      <c r="AF3667" s="1">
        <f ca="1">IFERROR(__xludf.DUMMYFUNCTION("IFERROR(GOOGLEFINANCE(TRIM(F3667)&amp;"":"" &amp; TRIM(B3667),""high52""),AE3667)"),0)</f>
        <v>0</v>
      </c>
      <c r="AG3667" s="1">
        <v>0</v>
      </c>
      <c r="AH3667" s="1">
        <f ca="1">IFERROR(__xludf.DUMMYFUNCTION("IFERROR(GOOGLEFINANCE(TRIM(F3667)&amp;"":"" &amp; TRIM(B3667),""low52""),AE3667)"),0)</f>
        <v>0</v>
      </c>
      <c r="AI3667" s="1">
        <f ca="1">IFERROR(__xludf.DUMMYFUNCTION("IFERROR(GOOGLEFINANCE(B3667,""eps""),0)"),0)</f>
        <v>0</v>
      </c>
      <c r="AJ3667" s="1"/>
      <c r="AK3667" s="1" t="s">
        <v>11203</v>
      </c>
      <c r="AL3667" s="9">
        <f t="shared" si="349"/>
        <v>1</v>
      </c>
    </row>
    <row r="3668" spans="1:38" ht="15" x14ac:dyDescent="0.25">
      <c r="A3668" s="1" t="s">
        <v>11204</v>
      </c>
      <c r="B3668" s="1" t="s">
        <v>11205</v>
      </c>
      <c r="C3668" s="1" t="s">
        <v>487</v>
      </c>
      <c r="D3668" s="1" t="s">
        <v>487</v>
      </c>
      <c r="E3668" s="6">
        <v>7396.23</v>
      </c>
      <c r="F3668" s="1" t="s">
        <v>40</v>
      </c>
      <c r="G3668" s="6">
        <f ca="1">IFERROR(__xludf.DUMMYFUNCTION("iferror(GOOGLEFINANCE(TRIM(F3668)&amp;"":"" &amp; TRIM(B3668), ""price""),0
)"),400)</f>
        <v>400</v>
      </c>
      <c r="H3668" s="6">
        <v>505.1</v>
      </c>
      <c r="I3668" s="6">
        <f t="shared" ca="1" si="0"/>
        <v>400</v>
      </c>
      <c r="J3668" s="6">
        <f ca="1">IFERROR(__xludf.DUMMYFUNCTION("IFERROR(GOOGLEFINANCE(B3668, ""volume""), 0)"),145069)</f>
        <v>145069</v>
      </c>
      <c r="K3668" s="6">
        <v>7.0000000000000007E-2</v>
      </c>
      <c r="L3668" s="6">
        <f ca="1">IFERROR(__xludf.DUMMYFUNCTION("IFERROR(GOOGLEFINANCE(B3668,""changepct""),K3668)"),0.43)</f>
        <v>0.43</v>
      </c>
      <c r="M3668" s="6">
        <f ca="1">IFERROR(__xludf.DUMMYFUNCTION("IFERROR(GOOGLEFINANCE(B3668,""change""),0)"),1.7)</f>
        <v>1.7</v>
      </c>
      <c r="N3668" s="6">
        <v>2</v>
      </c>
      <c r="O3668" s="7">
        <v>45536</v>
      </c>
      <c r="P3668" s="6">
        <v>295.94</v>
      </c>
      <c r="Q3668" s="6">
        <v>7598.5</v>
      </c>
      <c r="R3668" s="7">
        <v>45536</v>
      </c>
      <c r="S3668" s="6">
        <v>954.66</v>
      </c>
      <c r="T3668" s="6">
        <v>148.46</v>
      </c>
      <c r="U3668" s="7">
        <v>45536</v>
      </c>
      <c r="V3668" s="6">
        <v>49.63</v>
      </c>
      <c r="W3668" s="6">
        <f ca="1">IFERROR(__xludf.DUMMYFUNCTION("IFERROR(GOOGLEFINANCE(B3668,""pe""),V3668)"),30.71)</f>
        <v>30.71</v>
      </c>
      <c r="X3668" s="6">
        <v>-2.39</v>
      </c>
      <c r="Y3668" s="6">
        <v>2.34</v>
      </c>
      <c r="Z3668" s="6">
        <v>2</v>
      </c>
      <c r="AA3668" s="8">
        <v>45352</v>
      </c>
      <c r="AB3668" s="4">
        <v>0.12</v>
      </c>
      <c r="AC3668" s="6">
        <v>2.4</v>
      </c>
      <c r="AD3668" s="6">
        <v>4.6900000000000004</v>
      </c>
      <c r="AE3668" s="1">
        <v>0</v>
      </c>
      <c r="AF3668" s="1">
        <f ca="1">IFERROR(__xludf.DUMMYFUNCTION("IFERROR(GOOGLEFINANCE(TRIM(F3668)&amp;"":"" &amp; TRIM(B3668),""high52""),AE3668)"),507.4)</f>
        <v>507.4</v>
      </c>
      <c r="AG3668" s="1">
        <v>0</v>
      </c>
      <c r="AH3668" s="1">
        <f ca="1">IFERROR(__xludf.DUMMYFUNCTION("IFERROR(GOOGLEFINANCE(TRIM(F3668)&amp;"":"" &amp; TRIM(B3668),""low52""),AE3668)"),347)</f>
        <v>347</v>
      </c>
      <c r="AI3668" s="1">
        <f ca="1">IFERROR(__xludf.DUMMYFUNCTION("IFERROR(GOOGLEFINANCE(B3668,""eps""),0)"),13.03)</f>
        <v>13.03</v>
      </c>
      <c r="AJ3668" s="1"/>
      <c r="AK3668" s="1" t="s">
        <v>11206</v>
      </c>
      <c r="AL3668" s="9">
        <f t="shared" si="349"/>
        <v>1</v>
      </c>
    </row>
    <row r="3669" spans="1:38" ht="15" x14ac:dyDescent="0.25">
      <c r="A3669" s="1" t="s">
        <v>11207</v>
      </c>
      <c r="B3669" s="1" t="s">
        <v>11208</v>
      </c>
      <c r="C3669" s="1" t="s">
        <v>706</v>
      </c>
      <c r="D3669" s="1" t="s">
        <v>706</v>
      </c>
      <c r="E3669" s="6">
        <v>77.28</v>
      </c>
      <c r="F3669" s="1" t="s">
        <v>40</v>
      </c>
      <c r="G3669" s="6">
        <f ca="1">IFERROR(__xludf.DUMMYFUNCTION("iferror(GOOGLEFINANCE(TRIM(F3669)&amp;"":"" &amp; TRIM(B3669), ""price""),0
)"),7.92)</f>
        <v>7.92</v>
      </c>
      <c r="H3669" s="6">
        <v>14.69</v>
      </c>
      <c r="I3669" s="6">
        <f t="shared" ca="1" si="0"/>
        <v>7.92</v>
      </c>
      <c r="J3669" s="6">
        <f ca="1">IFERROR(__xludf.DUMMYFUNCTION("IFERROR(GOOGLEFINANCE(B3669, ""volume""), 0)"),19102)</f>
        <v>19102</v>
      </c>
      <c r="K3669" s="6">
        <v>1.66</v>
      </c>
      <c r="L3669" s="6">
        <f ca="1">IFERROR(__xludf.DUMMYFUNCTION("IFERROR(GOOGLEFINANCE(B3669,""changepct""),K3669)"),4.49)</f>
        <v>4.49</v>
      </c>
      <c r="M3669" s="6">
        <f ca="1">IFERROR(__xludf.DUMMYFUNCTION("IFERROR(GOOGLEFINANCE(B3669,""change""),0)"),0.34)</f>
        <v>0.34</v>
      </c>
      <c r="N3669" s="6">
        <v>1</v>
      </c>
      <c r="O3669" s="7">
        <v>45536</v>
      </c>
      <c r="P3669" s="6">
        <v>19.93</v>
      </c>
      <c r="Q3669" s="6">
        <v>93.22</v>
      </c>
      <c r="R3669" s="7">
        <v>45536</v>
      </c>
      <c r="S3669" s="6">
        <v>7.23</v>
      </c>
      <c r="T3669" s="6">
        <v>-6.84</v>
      </c>
      <c r="U3669" s="7">
        <v>45536</v>
      </c>
      <c r="V3669" s="6">
        <v>0</v>
      </c>
      <c r="W3669" s="6">
        <f ca="1">IFERROR(__xludf.DUMMYFUNCTION("IFERROR(GOOGLEFINANCE(B3669,""pe""),V3669)"),0)</f>
        <v>0</v>
      </c>
      <c r="X3669" s="6">
        <v>0</v>
      </c>
      <c r="Y3669" s="6">
        <v>1.0900000000000001</v>
      </c>
      <c r="Z3669" s="6">
        <v>1</v>
      </c>
      <c r="AA3669" s="8">
        <v>45352</v>
      </c>
      <c r="AB3669" s="4">
        <v>0.35</v>
      </c>
      <c r="AC3669" s="6">
        <v>-8.3800000000000008</v>
      </c>
      <c r="AD3669" s="6">
        <v>1.65</v>
      </c>
      <c r="AE3669" s="1">
        <v>0</v>
      </c>
      <c r="AF3669" s="1">
        <f ca="1">IFERROR(__xludf.DUMMYFUNCTION("IFERROR(GOOGLEFINANCE(TRIM(F3669)&amp;"":"" &amp; TRIM(B3669),""high52""),AE3669)"),14.64)</f>
        <v>14.64</v>
      </c>
      <c r="AG3669" s="1">
        <v>0</v>
      </c>
      <c r="AH3669" s="1">
        <f ca="1">IFERROR(__xludf.DUMMYFUNCTION("IFERROR(GOOGLEFINANCE(TRIM(F3669)&amp;"":"" &amp; TRIM(B3669),""low52""),AE3669)"),7.3)</f>
        <v>7.3</v>
      </c>
      <c r="AI3669" s="1">
        <f ca="1">IFERROR(__xludf.DUMMYFUNCTION("IFERROR(GOOGLEFINANCE(B3669,""eps""),0)"),-3.72)</f>
        <v>-3.72</v>
      </c>
      <c r="AJ3669" s="1"/>
      <c r="AK3669" s="1" t="s">
        <v>11209</v>
      </c>
      <c r="AL3669" s="9">
        <f t="shared" si="349"/>
        <v>1</v>
      </c>
    </row>
    <row r="3670" spans="1:38" ht="15" x14ac:dyDescent="0.25">
      <c r="A3670" s="1" t="s">
        <v>11210</v>
      </c>
      <c r="B3670" s="1" t="s">
        <v>11211</v>
      </c>
      <c r="C3670" s="1" t="s">
        <v>1425</v>
      </c>
      <c r="D3670" s="1" t="s">
        <v>1425</v>
      </c>
      <c r="E3670" s="6">
        <v>227.67</v>
      </c>
      <c r="F3670" s="1" t="s">
        <v>40</v>
      </c>
      <c r="G3670" s="6">
        <f ca="1">IFERROR(__xludf.DUMMYFUNCTION("iferror(GOOGLEFINANCE(TRIM(F3670)&amp;"":"" &amp; TRIM(B3670), ""price""),0
)"),155.33)</f>
        <v>155.33000000000001</v>
      </c>
      <c r="H3670" s="6">
        <v>207.1</v>
      </c>
      <c r="I3670" s="6">
        <f t="shared" ca="1" si="0"/>
        <v>155.33000000000001</v>
      </c>
      <c r="J3670" s="6">
        <f ca="1">IFERROR(__xludf.DUMMYFUNCTION("IFERROR(GOOGLEFINANCE(B3670, ""volume""), 0)"),7864)</f>
        <v>7864</v>
      </c>
      <c r="K3670" s="6">
        <v>-0.57999999999999996</v>
      </c>
      <c r="L3670" s="6">
        <f ca="1">IFERROR(__xludf.DUMMYFUNCTION("IFERROR(GOOGLEFINANCE(B3670,""changepct""),K3670)"),-1.32)</f>
        <v>-1.32</v>
      </c>
      <c r="M3670" s="6">
        <f ca="1">IFERROR(__xludf.DUMMYFUNCTION("IFERROR(GOOGLEFINANCE(B3670,""change""),0)"),-2.07)</f>
        <v>-2.0699999999999998</v>
      </c>
      <c r="N3670" s="6">
        <v>2</v>
      </c>
      <c r="O3670" s="7">
        <v>45536</v>
      </c>
      <c r="P3670" s="6">
        <v>199.07</v>
      </c>
      <c r="Q3670" s="6">
        <v>344.76</v>
      </c>
      <c r="R3670" s="7">
        <v>45536</v>
      </c>
      <c r="S3670" s="6">
        <v>634.94000000000005</v>
      </c>
      <c r="T3670" s="6">
        <v>12.08</v>
      </c>
      <c r="U3670" s="7">
        <v>45536</v>
      </c>
      <c r="V3670" s="6">
        <v>16.66</v>
      </c>
      <c r="W3670" s="6">
        <f ca="1">IFERROR(__xludf.DUMMYFUNCTION("IFERROR(GOOGLEFINANCE(B3670,""pe""),V3670)"),33.88)</f>
        <v>33.880000000000003</v>
      </c>
      <c r="X3670" s="6">
        <v>-1.57</v>
      </c>
      <c r="Y3670" s="6">
        <v>0.5</v>
      </c>
      <c r="Z3670" s="6">
        <v>2</v>
      </c>
      <c r="AA3670" s="8">
        <v>45352</v>
      </c>
      <c r="AB3670" s="4">
        <v>0.45</v>
      </c>
      <c r="AC3670" s="6">
        <v>2.64</v>
      </c>
      <c r="AD3670" s="6">
        <v>4.8</v>
      </c>
      <c r="AE3670" s="1">
        <v>0</v>
      </c>
      <c r="AF3670" s="1">
        <f ca="1">IFERROR(__xludf.DUMMYFUNCTION("IFERROR(GOOGLEFINANCE(TRIM(F3670)&amp;"":"" &amp; TRIM(B3670),""high52""),AE3670)"),211.97)</f>
        <v>211.97</v>
      </c>
      <c r="AG3670" s="1">
        <v>0</v>
      </c>
      <c r="AH3670" s="1">
        <f ca="1">IFERROR(__xludf.DUMMYFUNCTION("IFERROR(GOOGLEFINANCE(TRIM(F3670)&amp;"":"" &amp; TRIM(B3670),""low52""),AE3670)"),129.53)</f>
        <v>129.53</v>
      </c>
      <c r="AI3670" s="1">
        <f ca="1">IFERROR(__xludf.DUMMYFUNCTION("IFERROR(GOOGLEFINANCE(B3670,""eps""),0)"),4.58)</f>
        <v>4.58</v>
      </c>
      <c r="AJ3670" s="1"/>
      <c r="AK3670" s="1" t="s">
        <v>11212</v>
      </c>
      <c r="AL3670" s="9">
        <f t="shared" si="349"/>
        <v>1</v>
      </c>
    </row>
    <row r="3671" spans="1:38" ht="15" x14ac:dyDescent="0.25">
      <c r="A3671" s="1" t="s">
        <v>11213</v>
      </c>
      <c r="B3671" s="1" t="s">
        <v>11214</v>
      </c>
      <c r="C3671" s="1" t="s">
        <v>355</v>
      </c>
      <c r="D3671" s="1" t="s">
        <v>355</v>
      </c>
      <c r="E3671" s="6">
        <v>6465.77</v>
      </c>
      <c r="F3671" s="1" t="s">
        <v>40</v>
      </c>
      <c r="G3671" s="6">
        <f ca="1">IFERROR(__xludf.DUMMYFUNCTION("iferror(GOOGLEFINANCE(TRIM(F3671)&amp;"":"" &amp; TRIM(B3671), ""price""),0
)"),443)</f>
        <v>443</v>
      </c>
      <c r="H3671" s="6">
        <v>466.5</v>
      </c>
      <c r="I3671" s="6">
        <f t="shared" ca="1" si="0"/>
        <v>443</v>
      </c>
      <c r="J3671" s="6">
        <f ca="1">IFERROR(__xludf.DUMMYFUNCTION("IFERROR(GOOGLEFINANCE(B3671, ""volume""), 0)"),64610)</f>
        <v>64610</v>
      </c>
      <c r="K3671" s="6">
        <v>-0.9</v>
      </c>
      <c r="L3671" s="6">
        <f ca="1">IFERROR(__xludf.DUMMYFUNCTION("IFERROR(GOOGLEFINANCE(B3671,""changepct""),K3671)"),1.15)</f>
        <v>1.1499999999999999</v>
      </c>
      <c r="M3671" s="6">
        <f ca="1">IFERROR(__xludf.DUMMYFUNCTION("IFERROR(GOOGLEFINANCE(B3671,""change""),0)"),5.05)</f>
        <v>5.05</v>
      </c>
      <c r="N3671" s="6">
        <v>2</v>
      </c>
      <c r="O3671" s="7">
        <v>45536</v>
      </c>
      <c r="P3671" s="6">
        <v>717.11</v>
      </c>
      <c r="Q3671" s="6">
        <v>6987.03</v>
      </c>
      <c r="R3671" s="7">
        <v>45536</v>
      </c>
      <c r="S3671" s="6">
        <v>3075.75</v>
      </c>
      <c r="T3671" s="6">
        <v>138.01</v>
      </c>
      <c r="U3671" s="7">
        <v>45536</v>
      </c>
      <c r="V3671" s="6">
        <v>46.85</v>
      </c>
      <c r="W3671" s="6">
        <f ca="1">IFERROR(__xludf.DUMMYFUNCTION("IFERROR(GOOGLEFINANCE(B3671,""pe""),V3671)"),38.12)</f>
        <v>38.119999999999997</v>
      </c>
      <c r="X3671" s="6">
        <v>10.25</v>
      </c>
      <c r="Y3671" s="6">
        <v>5.08</v>
      </c>
      <c r="Z3671" s="6">
        <v>2</v>
      </c>
      <c r="AA3671" s="8">
        <v>45352</v>
      </c>
      <c r="AB3671" s="4">
        <v>0.46</v>
      </c>
      <c r="AC3671" s="6">
        <v>13.04</v>
      </c>
      <c r="AD3671" s="6">
        <v>14.49</v>
      </c>
      <c r="AE3671" s="1">
        <v>0</v>
      </c>
      <c r="AF3671" s="1">
        <f ca="1">IFERROR(__xludf.DUMMYFUNCTION("IFERROR(GOOGLEFINANCE(TRIM(F3671)&amp;"":"" &amp; TRIM(B3671),""high52""),AE3671)"),517.65)</f>
        <v>517.65</v>
      </c>
      <c r="AG3671" s="1">
        <v>0</v>
      </c>
      <c r="AH3671" s="1">
        <f ca="1">IFERROR(__xludf.DUMMYFUNCTION("IFERROR(GOOGLEFINANCE(TRIM(F3671)&amp;"":"" &amp; TRIM(B3671),""low52""),AE3671)"),350)</f>
        <v>350</v>
      </c>
      <c r="AI3671" s="1">
        <f ca="1">IFERROR(__xludf.DUMMYFUNCTION("IFERROR(GOOGLEFINANCE(B3671,""eps""),0)"),11.62)</f>
        <v>11.62</v>
      </c>
      <c r="AJ3671" s="1"/>
      <c r="AK3671" s="9"/>
      <c r="AL3671" s="1" t="b">
        <f>ISBLANK(AB3671)</f>
        <v>0</v>
      </c>
    </row>
    <row r="3672" spans="1:38" ht="15" x14ac:dyDescent="0.25">
      <c r="A3672" s="1" t="s">
        <v>11215</v>
      </c>
      <c r="B3672" s="1" t="s">
        <v>11216</v>
      </c>
      <c r="C3672" s="1" t="s">
        <v>219</v>
      </c>
      <c r="D3672" s="1" t="s">
        <v>219</v>
      </c>
      <c r="E3672" s="6">
        <v>65.239999999999995</v>
      </c>
      <c r="F3672" s="1" t="s">
        <v>40</v>
      </c>
      <c r="G3672" s="6">
        <f ca="1">IFERROR(__xludf.DUMMYFUNCTION("iferror(GOOGLEFINANCE(TRIM(F3672)&amp;"":"" &amp; TRIM(B3672), ""price""),0
)"),1.27)</f>
        <v>1.27</v>
      </c>
      <c r="H3672" s="6">
        <v>2.69</v>
      </c>
      <c r="I3672" s="6">
        <f t="shared" ca="1" si="0"/>
        <v>1.27</v>
      </c>
      <c r="J3672" s="6">
        <f ca="1">IFERROR(__xludf.DUMMYFUNCTION("IFERROR(GOOGLEFINANCE(B3672, ""volume""), 0)"),72251)</f>
        <v>72251</v>
      </c>
      <c r="K3672" s="6">
        <v>3.07</v>
      </c>
      <c r="L3672" s="6">
        <f ca="1">IFERROR(__xludf.DUMMYFUNCTION("IFERROR(GOOGLEFINANCE(B3672,""changepct""),K3672)"),-4.51)</f>
        <v>-4.51</v>
      </c>
      <c r="M3672" s="6">
        <f ca="1">IFERROR(__xludf.DUMMYFUNCTION("IFERROR(GOOGLEFINANCE(B3672,""change""),0)"),-0.06)</f>
        <v>-0.06</v>
      </c>
      <c r="N3672" s="6">
        <v>1</v>
      </c>
      <c r="O3672" s="7">
        <v>45352</v>
      </c>
      <c r="P3672" s="6">
        <v>99.46</v>
      </c>
      <c r="Q3672" s="6">
        <v>162.53</v>
      </c>
      <c r="R3672" s="7">
        <v>45352</v>
      </c>
      <c r="S3672" s="6">
        <v>25.1</v>
      </c>
      <c r="T3672" s="6">
        <v>-11.04</v>
      </c>
      <c r="U3672" s="7">
        <v>45352</v>
      </c>
      <c r="V3672" s="6">
        <v>0</v>
      </c>
      <c r="W3672" s="6">
        <f ca="1">IFERROR(__xludf.DUMMYFUNCTION("IFERROR(GOOGLEFINANCE(B3672,""pe""),V3672)"),0)</f>
        <v>0</v>
      </c>
      <c r="X3672" s="12"/>
      <c r="Y3672" s="6">
        <v>-0.84</v>
      </c>
      <c r="Z3672" s="6">
        <v>1</v>
      </c>
      <c r="AA3672" s="8">
        <v>45352</v>
      </c>
      <c r="AB3672" s="4">
        <v>-1.29</v>
      </c>
      <c r="AC3672" s="6">
        <v>0</v>
      </c>
      <c r="AD3672" s="6">
        <v>-22.54</v>
      </c>
      <c r="AE3672" s="1">
        <v>0</v>
      </c>
      <c r="AF3672" s="1">
        <f ca="1">IFERROR(__xludf.DUMMYFUNCTION("IFERROR(GOOGLEFINANCE(TRIM(F3672)&amp;"":"" &amp; TRIM(B3672),""high52""),AE3672)"),2.61)</f>
        <v>2.61</v>
      </c>
      <c r="AG3672" s="1">
        <v>0</v>
      </c>
      <c r="AH3672" s="1">
        <f ca="1">IFERROR(__xludf.DUMMYFUNCTION("IFERROR(GOOGLEFINANCE(TRIM(F3672)&amp;"":"" &amp; TRIM(B3672),""low52""),AE3672)"),0.68)</f>
        <v>0.68</v>
      </c>
      <c r="AI3672" s="1">
        <f ca="1">IFERROR(__xludf.DUMMYFUNCTION("IFERROR(GOOGLEFINANCE(B3672,""eps""),0)"),-0.4)</f>
        <v>-0.4</v>
      </c>
      <c r="AJ3672" s="1"/>
      <c r="AK3672" s="1" t="s">
        <v>11217</v>
      </c>
      <c r="AL3672" s="9">
        <f t="shared" ref="AL3672:AL3696" si="350">IF(AA3672&lt;&gt;AB3672,1,0)</f>
        <v>1</v>
      </c>
    </row>
    <row r="3673" spans="1:38" ht="15" x14ac:dyDescent="0.25">
      <c r="A3673" s="1" t="s">
        <v>11218</v>
      </c>
      <c r="B3673" s="1" t="s">
        <v>11219</v>
      </c>
      <c r="C3673" s="1" t="s">
        <v>219</v>
      </c>
      <c r="D3673" s="1" t="s">
        <v>219</v>
      </c>
      <c r="E3673" s="6">
        <v>98.47</v>
      </c>
      <c r="F3673" s="1" t="s">
        <v>53</v>
      </c>
      <c r="G3673" s="6">
        <f ca="1">IFERROR(__xludf.DUMMYFUNCTION("iferror(GOOGLEFINANCE(TRIM(F3673)&amp;"":"" &amp; TRIM(B3673), ""price""),0
)"),0)</f>
        <v>0</v>
      </c>
      <c r="H3673" s="6">
        <v>35.5</v>
      </c>
      <c r="I3673" s="6">
        <f t="shared" ca="1" si="0"/>
        <v>35.5</v>
      </c>
      <c r="J3673" s="6">
        <f ca="1">IFERROR(__xludf.DUMMYFUNCTION("IFERROR(GOOGLEFINANCE(B3673, ""volume""), 0)"),0)</f>
        <v>0</v>
      </c>
      <c r="K3673" s="6">
        <v>2.5099999999999998</v>
      </c>
      <c r="L3673" s="6">
        <f ca="1">IFERROR(__xludf.DUMMYFUNCTION("IFERROR(GOOGLEFINANCE(B3673,""changepct""),K3673)"),2.51)</f>
        <v>2.5099999999999998</v>
      </c>
      <c r="M3673" s="6">
        <f ca="1">IFERROR(__xludf.DUMMYFUNCTION("IFERROR(GOOGLEFINANCE(B3673,""change""),0)"),0)</f>
        <v>0</v>
      </c>
      <c r="N3673" s="6">
        <v>1</v>
      </c>
      <c r="O3673" s="7">
        <v>45536</v>
      </c>
      <c r="P3673" s="6">
        <v>39.17</v>
      </c>
      <c r="Q3673" s="6">
        <v>118.62</v>
      </c>
      <c r="R3673" s="7">
        <v>45536</v>
      </c>
      <c r="S3673" s="6">
        <v>363.63</v>
      </c>
      <c r="T3673" s="6">
        <v>-0.24</v>
      </c>
      <c r="U3673" s="7">
        <v>45536</v>
      </c>
      <c r="V3673" s="6">
        <v>0</v>
      </c>
      <c r="W3673" s="6">
        <f ca="1">IFERROR(__xludf.DUMMYFUNCTION("IFERROR(GOOGLEFINANCE(B3673,""pe""),V3673)"),0)</f>
        <v>0</v>
      </c>
      <c r="X3673" s="6">
        <v>0</v>
      </c>
      <c r="Y3673" s="6">
        <v>1.03</v>
      </c>
      <c r="Z3673" s="6">
        <v>1</v>
      </c>
      <c r="AA3673" s="8">
        <v>45352</v>
      </c>
      <c r="AB3673" s="4">
        <v>0.57999999999999996</v>
      </c>
      <c r="AC3673" s="6">
        <v>2.8</v>
      </c>
      <c r="AD3673" s="6">
        <v>5.66</v>
      </c>
      <c r="AE3673" s="1">
        <v>0</v>
      </c>
      <c r="AF3673" s="1">
        <f ca="1">IFERROR(__xludf.DUMMYFUNCTION("IFERROR(GOOGLEFINANCE(TRIM(F3673)&amp;"":"" &amp; TRIM(B3673),""high52""),AE3673)"),0)</f>
        <v>0</v>
      </c>
      <c r="AG3673" s="1">
        <v>0</v>
      </c>
      <c r="AH3673" s="1">
        <f ca="1">IFERROR(__xludf.DUMMYFUNCTION("IFERROR(GOOGLEFINANCE(TRIM(F3673)&amp;"":"" &amp; TRIM(B3673),""low52""),AE3673)"),0)</f>
        <v>0</v>
      </c>
      <c r="AI3673" s="1">
        <f ca="1">IFERROR(__xludf.DUMMYFUNCTION("IFERROR(GOOGLEFINANCE(B3673,""eps""),0)"),0)</f>
        <v>0</v>
      </c>
      <c r="AJ3673" s="1"/>
      <c r="AK3673" s="1" t="s">
        <v>11220</v>
      </c>
      <c r="AL3673" s="9">
        <f t="shared" si="350"/>
        <v>1</v>
      </c>
    </row>
    <row r="3674" spans="1:38" ht="15" x14ac:dyDescent="0.25">
      <c r="A3674" s="1" t="s">
        <v>11221</v>
      </c>
      <c r="B3674" s="1" t="s">
        <v>11222</v>
      </c>
      <c r="C3674" s="1" t="s">
        <v>159</v>
      </c>
      <c r="D3674" s="1" t="s">
        <v>159</v>
      </c>
      <c r="E3674" s="6">
        <v>146.86000000000001</v>
      </c>
      <c r="F3674" s="1" t="s">
        <v>40</v>
      </c>
      <c r="G3674" s="6">
        <f ca="1">IFERROR(__xludf.DUMMYFUNCTION("iferror(GOOGLEFINANCE(TRIM(F3674)&amp;"":"" &amp; TRIM(B3674), ""price""),0
)"),0)</f>
        <v>0</v>
      </c>
      <c r="H3674" s="6">
        <v>63</v>
      </c>
      <c r="I3674" s="6">
        <f t="shared" ca="1" si="0"/>
        <v>63</v>
      </c>
      <c r="J3674" s="6">
        <f ca="1">IFERROR(__xludf.DUMMYFUNCTION("IFERROR(GOOGLEFINANCE(B3674, ""volume""), 0)"),0)</f>
        <v>0</v>
      </c>
      <c r="K3674" s="6">
        <v>6.51</v>
      </c>
      <c r="L3674" s="6">
        <f ca="1">IFERROR(__xludf.DUMMYFUNCTION("IFERROR(GOOGLEFINANCE(B3674,""changepct""),K3674)"),6.51)</f>
        <v>6.51</v>
      </c>
      <c r="M3674" s="6">
        <f ca="1">IFERROR(__xludf.DUMMYFUNCTION("IFERROR(GOOGLEFINANCE(B3674,""change""),0)"),0)</f>
        <v>0</v>
      </c>
      <c r="N3674" s="6">
        <v>1</v>
      </c>
      <c r="O3674" s="7">
        <v>45352</v>
      </c>
      <c r="P3674" s="6">
        <v>86.64</v>
      </c>
      <c r="Q3674" s="6">
        <v>230.33</v>
      </c>
      <c r="R3674" s="9"/>
      <c r="S3674" s="9"/>
      <c r="T3674" s="9"/>
      <c r="U3674" s="7">
        <v>45352</v>
      </c>
      <c r="V3674" s="6">
        <v>42.21</v>
      </c>
      <c r="W3674" s="6">
        <f ca="1">IFERROR(__xludf.DUMMYFUNCTION("IFERROR(GOOGLEFINANCE(B3674,""pe""),V3674)"),42.21)</f>
        <v>42.21</v>
      </c>
      <c r="X3674" s="9"/>
      <c r="Y3674" s="6">
        <v>1.79</v>
      </c>
      <c r="Z3674" s="6">
        <v>2</v>
      </c>
      <c r="AA3674" s="8">
        <v>45352</v>
      </c>
      <c r="AB3674" s="4">
        <v>2.4900000000000002</v>
      </c>
      <c r="AC3674" s="6">
        <v>26.54</v>
      </c>
      <c r="AD3674" s="6">
        <v>17.34</v>
      </c>
      <c r="AE3674" s="1">
        <v>0</v>
      </c>
      <c r="AF3674" s="1">
        <f ca="1">IFERROR(__xludf.DUMMYFUNCTION("IFERROR(GOOGLEFINANCE(TRIM(F3674)&amp;"":"" &amp; TRIM(B3674),""high52""),AE3674)"),0)</f>
        <v>0</v>
      </c>
      <c r="AG3674" s="1">
        <v>0</v>
      </c>
      <c r="AH3674" s="1">
        <f ca="1">IFERROR(__xludf.DUMMYFUNCTION("IFERROR(GOOGLEFINANCE(TRIM(F3674)&amp;"":"" &amp; TRIM(B3674),""low52""),AE3674)"),0)</f>
        <v>0</v>
      </c>
      <c r="AI3674" s="1">
        <f ca="1">IFERROR(__xludf.DUMMYFUNCTION("IFERROR(GOOGLEFINANCE(B3674,""eps""),0)"),0)</f>
        <v>0</v>
      </c>
      <c r="AJ3674" s="1"/>
      <c r="AK3674" s="1" t="s">
        <v>11223</v>
      </c>
      <c r="AL3674" s="9">
        <f t="shared" si="350"/>
        <v>1</v>
      </c>
    </row>
    <row r="3675" spans="1:38" ht="15" x14ac:dyDescent="0.25">
      <c r="A3675" s="1" t="s">
        <v>11224</v>
      </c>
      <c r="B3675" s="1" t="s">
        <v>11225</v>
      </c>
      <c r="C3675" s="1" t="s">
        <v>82</v>
      </c>
      <c r="D3675" s="1" t="s">
        <v>82</v>
      </c>
      <c r="E3675" s="6">
        <v>59658.8</v>
      </c>
      <c r="F3675" s="1" t="s">
        <v>40</v>
      </c>
      <c r="G3675" s="6">
        <f ca="1">IFERROR(__xludf.DUMMYFUNCTION("iferror(GOOGLEFINANCE(TRIM(F3675)&amp;"":"" &amp; TRIM(B3675), ""price""),0
)"),3608)</f>
        <v>3608</v>
      </c>
      <c r="H3675" s="6">
        <v>4715.5</v>
      </c>
      <c r="I3675" s="6">
        <f t="shared" ca="1" si="0"/>
        <v>3608</v>
      </c>
      <c r="J3675" s="6">
        <f ca="1">IFERROR(__xludf.DUMMYFUNCTION("IFERROR(GOOGLEFINANCE(B3675, ""volume""), 0)"),148477)</f>
        <v>148477</v>
      </c>
      <c r="K3675" s="6">
        <v>0.28999999999999998</v>
      </c>
      <c r="L3675" s="6">
        <f ca="1">IFERROR(__xludf.DUMMYFUNCTION("IFERROR(GOOGLEFINANCE(B3675,""changepct""),K3675)"),3.47)</f>
        <v>3.47</v>
      </c>
      <c r="M3675" s="6">
        <f ca="1">IFERROR(__xludf.DUMMYFUNCTION("IFERROR(GOOGLEFINANCE(B3675,""change""),0)"),121.1)</f>
        <v>121.1</v>
      </c>
      <c r="N3675" s="6">
        <v>2</v>
      </c>
      <c r="O3675" s="7">
        <v>45536</v>
      </c>
      <c r="P3675" s="9"/>
      <c r="Q3675" s="6">
        <v>58975.45</v>
      </c>
      <c r="R3675" s="7">
        <v>45536</v>
      </c>
      <c r="S3675" s="6">
        <v>10366.290000000001</v>
      </c>
      <c r="T3675" s="6">
        <v>964.11</v>
      </c>
      <c r="U3675" s="7">
        <v>45536</v>
      </c>
      <c r="V3675" s="6">
        <v>54.68</v>
      </c>
      <c r="W3675" s="6">
        <f ca="1">IFERROR(__xludf.DUMMYFUNCTION("IFERROR(GOOGLEFINANCE(B3675,""pe""),V3675)"),56.27)</f>
        <v>56.27</v>
      </c>
      <c r="X3675" s="6">
        <v>2.54</v>
      </c>
      <c r="Y3675" s="6">
        <v>11.24</v>
      </c>
      <c r="Z3675" s="6">
        <v>2</v>
      </c>
      <c r="AA3675" s="8">
        <v>45352</v>
      </c>
      <c r="AB3675" s="4">
        <v>0</v>
      </c>
      <c r="AC3675" s="6">
        <v>22.49</v>
      </c>
      <c r="AD3675" s="6">
        <v>29.89</v>
      </c>
      <c r="AE3675" s="1">
        <v>0</v>
      </c>
      <c r="AF3675" s="1">
        <f ca="1">IFERROR(__xludf.DUMMYFUNCTION("IFERROR(GOOGLEFINANCE(TRIM(F3675)&amp;"":"" &amp; TRIM(B3675),""high52""),AE3675)"),4739)</f>
        <v>4739</v>
      </c>
      <c r="AG3675" s="1">
        <v>0</v>
      </c>
      <c r="AH3675" s="1">
        <f ca="1">IFERROR(__xludf.DUMMYFUNCTION("IFERROR(GOOGLEFINANCE(TRIM(F3675)&amp;"":"" &amp; TRIM(B3675),""low52""),AE3675)"),3095)</f>
        <v>3095</v>
      </c>
      <c r="AI3675" s="1">
        <f ca="1">IFERROR(__xludf.DUMMYFUNCTION("IFERROR(GOOGLEFINANCE(B3675,""eps""),0)"),64.12)</f>
        <v>64.12</v>
      </c>
      <c r="AJ3675" s="1"/>
      <c r="AK3675" s="1" t="s">
        <v>11226</v>
      </c>
      <c r="AL3675" s="9">
        <f t="shared" si="350"/>
        <v>1</v>
      </c>
    </row>
    <row r="3676" spans="1:38" ht="15" x14ac:dyDescent="0.25">
      <c r="A3676" s="1" t="s">
        <v>11227</v>
      </c>
      <c r="B3676" s="1" t="s">
        <v>11228</v>
      </c>
      <c r="C3676" s="1" t="s">
        <v>219</v>
      </c>
      <c r="D3676" s="1" t="s">
        <v>219</v>
      </c>
      <c r="E3676" s="6">
        <v>177.51</v>
      </c>
      <c r="F3676" s="1" t="s">
        <v>53</v>
      </c>
      <c r="G3676" s="6">
        <f ca="1">IFERROR(__xludf.DUMMYFUNCTION("iferror(GOOGLEFINANCE(TRIM(F3676)&amp;"":"" &amp; TRIM(B3676), ""price""),0
)"),0)</f>
        <v>0</v>
      </c>
      <c r="H3676" s="6">
        <v>13.12</v>
      </c>
      <c r="I3676" s="6">
        <f t="shared" ca="1" si="0"/>
        <v>13.12</v>
      </c>
      <c r="J3676" s="6">
        <f ca="1">IFERROR(__xludf.DUMMYFUNCTION("IFERROR(GOOGLEFINANCE(B3676, ""volume""), 0)"),0)</f>
        <v>0</v>
      </c>
      <c r="K3676" s="6">
        <v>-2.09</v>
      </c>
      <c r="L3676" s="6">
        <f ca="1">IFERROR(__xludf.DUMMYFUNCTION("IFERROR(GOOGLEFINANCE(B3676,""changepct""),K3676)"),-2.09)</f>
        <v>-2.09</v>
      </c>
      <c r="M3676" s="6">
        <f ca="1">IFERROR(__xludf.DUMMYFUNCTION("IFERROR(GOOGLEFINANCE(B3676,""change""),0)"),0)</f>
        <v>0</v>
      </c>
      <c r="N3676" s="6">
        <v>1</v>
      </c>
      <c r="O3676" s="7">
        <v>45536</v>
      </c>
      <c r="P3676" s="6">
        <v>36.85</v>
      </c>
      <c r="Q3676" s="6">
        <v>212.85</v>
      </c>
      <c r="R3676" s="7">
        <v>45536</v>
      </c>
      <c r="S3676" s="6">
        <v>304.7</v>
      </c>
      <c r="T3676" s="6">
        <v>9.26</v>
      </c>
      <c r="U3676" s="7">
        <v>45536</v>
      </c>
      <c r="V3676" s="6">
        <v>19.170000000000002</v>
      </c>
      <c r="W3676" s="6">
        <f ca="1">IFERROR(__xludf.DUMMYFUNCTION("IFERROR(GOOGLEFINANCE(B3676,""pe""),V3676)"),19.17)</f>
        <v>19.170000000000002</v>
      </c>
      <c r="X3676" s="9"/>
      <c r="Y3676" s="6">
        <v>2.35</v>
      </c>
      <c r="Z3676" s="6">
        <v>2</v>
      </c>
      <c r="AA3676" s="8">
        <v>44986</v>
      </c>
      <c r="AB3676" s="4">
        <v>1.68</v>
      </c>
      <c r="AC3676" s="6">
        <v>-23.85</v>
      </c>
      <c r="AD3676" s="6">
        <v>-1.87</v>
      </c>
      <c r="AE3676" s="1">
        <v>0</v>
      </c>
      <c r="AF3676" s="1">
        <f ca="1">IFERROR(__xludf.DUMMYFUNCTION("IFERROR(GOOGLEFINANCE(TRIM(F3676)&amp;"":"" &amp; TRIM(B3676),""high52""),AE3676)"),0)</f>
        <v>0</v>
      </c>
      <c r="AG3676" s="1">
        <v>0</v>
      </c>
      <c r="AH3676" s="1">
        <f ca="1">IFERROR(__xludf.DUMMYFUNCTION("IFERROR(GOOGLEFINANCE(TRIM(F3676)&amp;"":"" &amp; TRIM(B3676),""low52""),AE3676)"),0)</f>
        <v>0</v>
      </c>
      <c r="AI3676" s="1">
        <f ca="1">IFERROR(__xludf.DUMMYFUNCTION("IFERROR(GOOGLEFINANCE(B3676,""eps""),0)"),0)</f>
        <v>0</v>
      </c>
      <c r="AJ3676" s="1"/>
      <c r="AK3676" s="1" t="s">
        <v>11229</v>
      </c>
      <c r="AL3676" s="9">
        <f t="shared" si="350"/>
        <v>1</v>
      </c>
    </row>
    <row r="3677" spans="1:38" ht="15" x14ac:dyDescent="0.25">
      <c r="A3677" s="1" t="s">
        <v>11230</v>
      </c>
      <c r="B3677" s="1" t="s">
        <v>11231</v>
      </c>
      <c r="C3677" s="1" t="s">
        <v>219</v>
      </c>
      <c r="D3677" s="1" t="s">
        <v>219</v>
      </c>
      <c r="E3677" s="6">
        <v>6.94</v>
      </c>
      <c r="F3677" s="1" t="s">
        <v>53</v>
      </c>
      <c r="G3677" s="6">
        <f ca="1">IFERROR(__xludf.DUMMYFUNCTION("iferror(GOOGLEFINANCE(TRIM(F3677)&amp;"":"" &amp; TRIM(B3677), ""price""),0
)"),0)</f>
        <v>0</v>
      </c>
      <c r="H3677" s="6">
        <v>13.45</v>
      </c>
      <c r="I3677" s="6">
        <f t="shared" ca="1" si="0"/>
        <v>13.45</v>
      </c>
      <c r="J3677" s="6">
        <f ca="1">IFERROR(__xludf.DUMMYFUNCTION("IFERROR(GOOGLEFINANCE(B3677, ""volume""), 0)"),0)</f>
        <v>0</v>
      </c>
      <c r="K3677" s="6">
        <v>2.0499999999999998</v>
      </c>
      <c r="L3677" s="6">
        <f ca="1">IFERROR(__xludf.DUMMYFUNCTION("IFERROR(GOOGLEFINANCE(B3677,""changepct""),K3677)"),2.05)</f>
        <v>2.0499999999999998</v>
      </c>
      <c r="M3677" s="6">
        <f ca="1">IFERROR(__xludf.DUMMYFUNCTION("IFERROR(GOOGLEFINANCE(B3677,""change""),0)"),0)</f>
        <v>0</v>
      </c>
      <c r="N3677" s="6">
        <v>1</v>
      </c>
      <c r="O3677" s="7">
        <v>45536</v>
      </c>
      <c r="P3677" s="6">
        <v>1.72</v>
      </c>
      <c r="Q3677" s="6">
        <v>8.34</v>
      </c>
      <c r="R3677" s="7">
        <v>45536</v>
      </c>
      <c r="S3677" s="6">
        <v>1.87</v>
      </c>
      <c r="T3677" s="6">
        <v>0.38</v>
      </c>
      <c r="U3677" s="7">
        <v>45536</v>
      </c>
      <c r="V3677" s="6">
        <v>18.11</v>
      </c>
      <c r="W3677" s="6">
        <f ca="1">IFERROR(__xludf.DUMMYFUNCTION("IFERROR(GOOGLEFINANCE(B3677,""pe""),V3677)"),18.11)</f>
        <v>18.11</v>
      </c>
      <c r="X3677" s="6">
        <v>0.51</v>
      </c>
      <c r="Y3677" s="6">
        <v>-11.56</v>
      </c>
      <c r="Z3677" s="6">
        <v>1</v>
      </c>
      <c r="AA3677" s="8">
        <v>45352</v>
      </c>
      <c r="AB3677" s="4">
        <v>-2.12</v>
      </c>
      <c r="AC3677" s="6">
        <v>0</v>
      </c>
      <c r="AD3677" s="6">
        <v>-82.34</v>
      </c>
      <c r="AE3677" s="1">
        <v>0</v>
      </c>
      <c r="AF3677" s="1">
        <f ca="1">IFERROR(__xludf.DUMMYFUNCTION("IFERROR(GOOGLEFINANCE(TRIM(F3677)&amp;"":"" &amp; TRIM(B3677),""high52""),AE3677)"),0)</f>
        <v>0</v>
      </c>
      <c r="AG3677" s="1">
        <v>0</v>
      </c>
      <c r="AH3677" s="1">
        <f ca="1">IFERROR(__xludf.DUMMYFUNCTION("IFERROR(GOOGLEFINANCE(TRIM(F3677)&amp;"":"" &amp; TRIM(B3677),""low52""),AE3677)"),0)</f>
        <v>0</v>
      </c>
      <c r="AI3677" s="1">
        <f ca="1">IFERROR(__xludf.DUMMYFUNCTION("IFERROR(GOOGLEFINANCE(B3677,""eps""),0)"),0)</f>
        <v>0</v>
      </c>
      <c r="AJ3677" s="1"/>
      <c r="AK3677" s="1" t="s">
        <v>11232</v>
      </c>
      <c r="AL3677" s="9">
        <f t="shared" si="350"/>
        <v>1</v>
      </c>
    </row>
    <row r="3678" spans="1:38" ht="15" x14ac:dyDescent="0.25">
      <c r="A3678" s="1" t="s">
        <v>11233</v>
      </c>
      <c r="B3678" s="1" t="s">
        <v>11234</v>
      </c>
      <c r="C3678" s="1" t="s">
        <v>86</v>
      </c>
      <c r="D3678" s="1" t="s">
        <v>86</v>
      </c>
      <c r="E3678" s="6">
        <v>354.64</v>
      </c>
      <c r="F3678" s="1" t="s">
        <v>40</v>
      </c>
      <c r="G3678" s="6">
        <f ca="1">IFERROR(__xludf.DUMMYFUNCTION("iferror(GOOGLEFINANCE(TRIM(F3678)&amp;"":"" &amp; TRIM(B3678), ""price""),0
)"),83.96)</f>
        <v>83.96</v>
      </c>
      <c r="H3678" s="6">
        <v>138.99</v>
      </c>
      <c r="I3678" s="6">
        <f t="shared" ca="1" si="0"/>
        <v>83.96</v>
      </c>
      <c r="J3678" s="6">
        <f ca="1">IFERROR(__xludf.DUMMYFUNCTION("IFERROR(GOOGLEFINANCE(B3678, ""volume""), 0)"),7860)</f>
        <v>7860</v>
      </c>
      <c r="K3678" s="6">
        <v>-0.73</v>
      </c>
      <c r="L3678" s="6">
        <f ca="1">IFERROR(__xludf.DUMMYFUNCTION("IFERROR(GOOGLEFINANCE(B3678,""changepct""),K3678)"),1.4)</f>
        <v>1.4</v>
      </c>
      <c r="M3678" s="6">
        <f ca="1">IFERROR(__xludf.DUMMYFUNCTION("IFERROR(GOOGLEFINANCE(B3678,""change""),0)"),1.16)</f>
        <v>1.1599999999999999</v>
      </c>
      <c r="N3678" s="6">
        <v>1</v>
      </c>
      <c r="O3678" s="7">
        <v>45352</v>
      </c>
      <c r="P3678" s="6">
        <v>2860.71</v>
      </c>
      <c r="Q3678" s="6">
        <v>3215.35</v>
      </c>
      <c r="R3678" s="7">
        <v>45444</v>
      </c>
      <c r="S3678" s="6">
        <v>78.97</v>
      </c>
      <c r="T3678" s="6">
        <v>-1252.3399999999999</v>
      </c>
      <c r="U3678" s="7">
        <v>45444</v>
      </c>
      <c r="V3678" s="6">
        <v>0</v>
      </c>
      <c r="W3678" s="6">
        <f ca="1">IFERROR(__xludf.DUMMYFUNCTION("IFERROR(GOOGLEFINANCE(B3678,""pe""),V3678)"),0.15)</f>
        <v>0.15</v>
      </c>
      <c r="X3678" s="6">
        <v>0</v>
      </c>
      <c r="Y3678" s="6">
        <v>-7.0000000000000007E-2</v>
      </c>
      <c r="Z3678" s="6">
        <v>2</v>
      </c>
      <c r="AA3678" s="8">
        <v>44986</v>
      </c>
      <c r="AB3678" s="4">
        <v>-1.03</v>
      </c>
      <c r="AC3678" s="6">
        <v>0</v>
      </c>
      <c r="AD3678" s="6">
        <v>-17.010000000000002</v>
      </c>
      <c r="AE3678" s="1">
        <v>0</v>
      </c>
      <c r="AF3678" s="1">
        <f ca="1">IFERROR(__xludf.DUMMYFUNCTION("IFERROR(GOOGLEFINANCE(TRIM(F3678)&amp;"":"" &amp; TRIM(B3678),""high52""),AE3678)"),130.25)</f>
        <v>130.25</v>
      </c>
      <c r="AG3678" s="1">
        <v>0</v>
      </c>
      <c r="AH3678" s="1">
        <f ca="1">IFERROR(__xludf.DUMMYFUNCTION("IFERROR(GOOGLEFINANCE(TRIM(F3678)&amp;"":"" &amp; TRIM(B3678),""low52""),AE3678)"),79.23)</f>
        <v>79.23</v>
      </c>
      <c r="AI3678" s="1">
        <f ca="1">IFERROR(__xludf.DUMMYFUNCTION("IFERROR(GOOGLEFINANCE(B3678,""eps""),0)"),559.81)</f>
        <v>559.80999999999995</v>
      </c>
      <c r="AJ3678" s="1"/>
      <c r="AK3678" s="1" t="s">
        <v>11235</v>
      </c>
      <c r="AL3678" s="9">
        <f t="shared" si="350"/>
        <v>1</v>
      </c>
    </row>
    <row r="3679" spans="1:38" ht="15" x14ac:dyDescent="0.25">
      <c r="A3679" s="1" t="s">
        <v>11236</v>
      </c>
      <c r="B3679" s="1" t="s">
        <v>11237</v>
      </c>
      <c r="C3679" s="1" t="s">
        <v>135</v>
      </c>
      <c r="D3679" s="1" t="s">
        <v>135</v>
      </c>
      <c r="E3679" s="6">
        <v>12485.95</v>
      </c>
      <c r="F3679" s="1" t="s">
        <v>40</v>
      </c>
      <c r="G3679" s="6">
        <f ca="1">IFERROR(__xludf.DUMMYFUNCTION("iferror(GOOGLEFINANCE(TRIM(F3679)&amp;"":"" &amp; TRIM(B3679), ""price""),0
)"),583)</f>
        <v>583</v>
      </c>
      <c r="H3679" s="6">
        <v>668.4</v>
      </c>
      <c r="I3679" s="6">
        <f t="shared" ca="1" si="0"/>
        <v>583</v>
      </c>
      <c r="J3679" s="6">
        <f ca="1">IFERROR(__xludf.DUMMYFUNCTION("IFERROR(GOOGLEFINANCE(B3679, ""volume""), 0)"),35384)</f>
        <v>35384</v>
      </c>
      <c r="K3679" s="6">
        <v>0.67</v>
      </c>
      <c r="L3679" s="6">
        <f ca="1">IFERROR(__xludf.DUMMYFUNCTION("IFERROR(GOOGLEFINANCE(B3679,""changepct""),K3679)"),0.28)</f>
        <v>0.28000000000000003</v>
      </c>
      <c r="M3679" s="6">
        <f ca="1">IFERROR(__xludf.DUMMYFUNCTION("IFERROR(GOOGLEFINANCE(B3679,""change""),0)"),1.65)</f>
        <v>1.65</v>
      </c>
      <c r="N3679" s="6">
        <v>1</v>
      </c>
      <c r="O3679" s="7">
        <v>45536</v>
      </c>
      <c r="P3679" s="12"/>
      <c r="Q3679" s="6">
        <v>11893.41</v>
      </c>
      <c r="R3679" s="7">
        <v>45536</v>
      </c>
      <c r="S3679" s="6">
        <v>5829.57</v>
      </c>
      <c r="T3679" s="6">
        <v>411.46</v>
      </c>
      <c r="U3679" s="7">
        <v>45536</v>
      </c>
      <c r="V3679" s="6">
        <v>30.35</v>
      </c>
      <c r="W3679" s="6">
        <f ca="1">IFERROR(__xludf.DUMMYFUNCTION("IFERROR(GOOGLEFINANCE(B3679,""pe""),V3679)"),40.95)</f>
        <v>40.950000000000003</v>
      </c>
      <c r="X3679" s="6">
        <v>0.64</v>
      </c>
      <c r="Y3679" s="6">
        <v>5.95</v>
      </c>
      <c r="Z3679" s="6">
        <v>1</v>
      </c>
      <c r="AA3679" s="8">
        <v>45352</v>
      </c>
      <c r="AB3679" s="4">
        <v>0</v>
      </c>
      <c r="AC3679" s="6">
        <v>17.940000000000001</v>
      </c>
      <c r="AD3679" s="6">
        <v>24.76</v>
      </c>
      <c r="AE3679" s="1">
        <v>0</v>
      </c>
      <c r="AF3679" s="1">
        <f ca="1">IFERROR(__xludf.DUMMYFUNCTION("IFERROR(GOOGLEFINANCE(TRIM(F3679)&amp;"":"" &amp; TRIM(B3679),""high52""),AE3679)"),979)</f>
        <v>979</v>
      </c>
      <c r="AG3679" s="1">
        <v>0</v>
      </c>
      <c r="AH3679" s="1">
        <f ca="1">IFERROR(__xludf.DUMMYFUNCTION("IFERROR(GOOGLEFINANCE(TRIM(F3679)&amp;"":"" &amp; TRIM(B3679),""low52""),AE3679)"),462.3)</f>
        <v>462.3</v>
      </c>
      <c r="AI3679" s="1">
        <f ca="1">IFERROR(__xludf.DUMMYFUNCTION("IFERROR(GOOGLEFINANCE(B3679,""eps""),0)"),14.24)</f>
        <v>14.24</v>
      </c>
      <c r="AJ3679" s="1"/>
      <c r="AK3679" s="1" t="s">
        <v>11238</v>
      </c>
      <c r="AL3679" s="9">
        <f t="shared" si="350"/>
        <v>1</v>
      </c>
    </row>
    <row r="3680" spans="1:38" ht="15" x14ac:dyDescent="0.25">
      <c r="A3680" s="1" t="s">
        <v>11239</v>
      </c>
      <c r="B3680" s="1" t="s">
        <v>11240</v>
      </c>
      <c r="C3680" s="1" t="s">
        <v>125</v>
      </c>
      <c r="D3680" s="1" t="s">
        <v>125</v>
      </c>
      <c r="E3680" s="6">
        <v>601.66</v>
      </c>
      <c r="F3680" s="1" t="s">
        <v>40</v>
      </c>
      <c r="G3680" s="6">
        <f ca="1">IFERROR(__xludf.DUMMYFUNCTION("iferror(GOOGLEFINANCE(TRIM(F3680)&amp;"":"" &amp; TRIM(B3680), ""price""),0
)"),0)</f>
        <v>0</v>
      </c>
      <c r="H3680" s="6">
        <v>231.6</v>
      </c>
      <c r="I3680" s="6">
        <f t="shared" ca="1" si="0"/>
        <v>231.6</v>
      </c>
      <c r="J3680" s="6">
        <f ca="1">IFERROR(__xludf.DUMMYFUNCTION("IFERROR(GOOGLEFINANCE(B3680, ""volume""), 0)"),0)</f>
        <v>0</v>
      </c>
      <c r="K3680" s="6">
        <v>-3.8</v>
      </c>
      <c r="L3680" s="6">
        <f ca="1">IFERROR(__xludf.DUMMYFUNCTION("IFERROR(GOOGLEFINANCE(B3680,""changepct""),K3680)"),-3.8)</f>
        <v>-3.8</v>
      </c>
      <c r="M3680" s="6">
        <f ca="1">IFERROR(__xludf.DUMMYFUNCTION("IFERROR(GOOGLEFINANCE(B3680,""change""),0)"),0)</f>
        <v>0</v>
      </c>
      <c r="N3680" s="6">
        <v>1</v>
      </c>
      <c r="O3680" s="7">
        <v>45536</v>
      </c>
      <c r="P3680" s="6">
        <v>2.4900000000000002</v>
      </c>
      <c r="Q3680" s="6">
        <v>604.15</v>
      </c>
      <c r="R3680" s="7">
        <v>45352</v>
      </c>
      <c r="S3680" s="6">
        <v>107.18</v>
      </c>
      <c r="T3680" s="6">
        <v>14</v>
      </c>
      <c r="U3680" s="7">
        <v>45352</v>
      </c>
      <c r="V3680" s="6">
        <v>42.97</v>
      </c>
      <c r="W3680" s="6">
        <f ca="1">IFERROR(__xludf.DUMMYFUNCTION("IFERROR(GOOGLEFINANCE(B3680,""pe""),V3680)"),42.97)</f>
        <v>42.97</v>
      </c>
      <c r="X3680" s="12"/>
      <c r="Y3680" s="6">
        <v>7.78</v>
      </c>
      <c r="Z3680" s="6">
        <v>2</v>
      </c>
      <c r="AA3680" s="8">
        <v>45352</v>
      </c>
      <c r="AB3680" s="4">
        <v>0.12</v>
      </c>
      <c r="AC3680" s="6">
        <v>31.1</v>
      </c>
      <c r="AD3680" s="6">
        <v>37.86</v>
      </c>
      <c r="AE3680" s="1">
        <v>0</v>
      </c>
      <c r="AF3680" s="1">
        <f ca="1">IFERROR(__xludf.DUMMYFUNCTION("IFERROR(GOOGLEFINANCE(TRIM(F3680)&amp;"":"" &amp; TRIM(B3680),""high52""),AE3680)"),0)</f>
        <v>0</v>
      </c>
      <c r="AG3680" s="1">
        <v>0</v>
      </c>
      <c r="AH3680" s="1">
        <f ca="1">IFERROR(__xludf.DUMMYFUNCTION("IFERROR(GOOGLEFINANCE(TRIM(F3680)&amp;"":"" &amp; TRIM(B3680),""low52""),AE3680)"),0)</f>
        <v>0</v>
      </c>
      <c r="AI3680" s="1">
        <f ca="1">IFERROR(__xludf.DUMMYFUNCTION("IFERROR(GOOGLEFINANCE(B3680,""eps""),0)"),0)</f>
        <v>0</v>
      </c>
      <c r="AJ3680" s="1"/>
      <c r="AK3680" s="1" t="s">
        <v>11241</v>
      </c>
      <c r="AL3680" s="9">
        <f t="shared" si="350"/>
        <v>1</v>
      </c>
    </row>
    <row r="3681" spans="1:38" ht="15" x14ac:dyDescent="0.25">
      <c r="A3681" s="1" t="s">
        <v>11242</v>
      </c>
      <c r="B3681" s="1" t="s">
        <v>11243</v>
      </c>
      <c r="C3681" s="1" t="s">
        <v>106</v>
      </c>
      <c r="D3681" s="1" t="s">
        <v>106</v>
      </c>
      <c r="E3681" s="6">
        <v>6269.61</v>
      </c>
      <c r="F3681" s="1" t="s">
        <v>40</v>
      </c>
      <c r="G3681" s="6">
        <f ca="1">IFERROR(__xludf.DUMMYFUNCTION("iferror(GOOGLEFINANCE(TRIM(F3681)&amp;"":"" &amp; TRIM(B3681), ""price""),0
)"),666)</f>
        <v>666</v>
      </c>
      <c r="H3681" s="6">
        <v>782.6</v>
      </c>
      <c r="I3681" s="6">
        <f t="shared" ca="1" si="0"/>
        <v>666</v>
      </c>
      <c r="J3681" s="6">
        <f ca="1">IFERROR(__xludf.DUMMYFUNCTION("IFERROR(GOOGLEFINANCE(B3681, ""volume""), 0)"),78900)</f>
        <v>78900</v>
      </c>
      <c r="K3681" s="6">
        <v>0.43</v>
      </c>
      <c r="L3681" s="6">
        <f ca="1">IFERROR(__xludf.DUMMYFUNCTION("IFERROR(GOOGLEFINANCE(B3681,""changepct""),K3681)"),-0.48)</f>
        <v>-0.48</v>
      </c>
      <c r="M3681" s="6">
        <f ca="1">IFERROR(__xludf.DUMMYFUNCTION("IFERROR(GOOGLEFINANCE(B3681,""change""),0)"),-3.2)</f>
        <v>-3.2</v>
      </c>
      <c r="N3681" s="6">
        <v>1</v>
      </c>
      <c r="O3681" s="7">
        <v>45536</v>
      </c>
      <c r="P3681" s="12"/>
      <c r="Q3681" s="6">
        <v>6185.3</v>
      </c>
      <c r="R3681" s="7">
        <v>45536</v>
      </c>
      <c r="S3681" s="6">
        <v>624.98</v>
      </c>
      <c r="T3681" s="6">
        <v>157.51</v>
      </c>
      <c r="U3681" s="7">
        <v>45536</v>
      </c>
      <c r="V3681" s="6">
        <v>39.799999999999997</v>
      </c>
      <c r="W3681" s="6">
        <f ca="1">IFERROR(__xludf.DUMMYFUNCTION("IFERROR(GOOGLEFINANCE(B3681,""pe""),V3681)"),29.34)</f>
        <v>29.34</v>
      </c>
      <c r="X3681" s="12"/>
      <c r="Y3681" s="6">
        <v>6.92</v>
      </c>
      <c r="Z3681" s="6">
        <v>1</v>
      </c>
      <c r="AA3681" s="8">
        <v>45352</v>
      </c>
      <c r="AB3681" s="4">
        <v>0</v>
      </c>
      <c r="AC3681" s="6">
        <v>15.73</v>
      </c>
      <c r="AD3681" s="6">
        <v>22.31</v>
      </c>
      <c r="AE3681" s="1">
        <v>0</v>
      </c>
      <c r="AF3681" s="1">
        <f ca="1">IFERROR(__xludf.DUMMYFUNCTION("IFERROR(GOOGLEFINANCE(TRIM(F3681)&amp;"":"" &amp; TRIM(B3681),""high52""),AE3681)"),842)</f>
        <v>842</v>
      </c>
      <c r="AG3681" s="1">
        <v>0</v>
      </c>
      <c r="AH3681" s="1">
        <f ca="1">IFERROR(__xludf.DUMMYFUNCTION("IFERROR(GOOGLEFINANCE(TRIM(F3681)&amp;"":"" &amp; TRIM(B3681),""low52""),AE3681)"),556.15)</f>
        <v>556.15</v>
      </c>
      <c r="AI3681" s="1">
        <f ca="1">IFERROR(__xludf.DUMMYFUNCTION("IFERROR(GOOGLEFINANCE(B3681,""eps""),0)"),22.7)</f>
        <v>22.7</v>
      </c>
      <c r="AJ3681" s="1"/>
      <c r="AK3681" s="1" t="s">
        <v>11244</v>
      </c>
      <c r="AL3681" s="9">
        <f t="shared" si="350"/>
        <v>1</v>
      </c>
    </row>
    <row r="3682" spans="1:38" ht="15" x14ac:dyDescent="0.25">
      <c r="A3682" s="1" t="s">
        <v>11245</v>
      </c>
      <c r="B3682" s="1" t="s">
        <v>11246</v>
      </c>
      <c r="C3682" s="1" t="s">
        <v>487</v>
      </c>
      <c r="D3682" s="1" t="s">
        <v>487</v>
      </c>
      <c r="E3682" s="6">
        <v>3034.8</v>
      </c>
      <c r="F3682" s="1" t="s">
        <v>40</v>
      </c>
      <c r="G3682" s="6">
        <f ca="1">IFERROR(__xludf.DUMMYFUNCTION("iferror(GOOGLEFINANCE(TRIM(F3682)&amp;"":"" &amp; TRIM(B3682), ""price""),0
)"),224.6)</f>
        <v>224.6</v>
      </c>
      <c r="H3682" s="6">
        <v>626.35</v>
      </c>
      <c r="I3682" s="6">
        <f t="shared" ca="1" si="0"/>
        <v>224.6</v>
      </c>
      <c r="J3682" s="6">
        <f ca="1">IFERROR(__xludf.DUMMYFUNCTION("IFERROR(GOOGLEFINANCE(B3682, ""volume""), 0)"),57898)</f>
        <v>57898</v>
      </c>
      <c r="K3682" s="6">
        <v>-1.43</v>
      </c>
      <c r="L3682" s="6">
        <f ca="1">IFERROR(__xludf.DUMMYFUNCTION("IFERROR(GOOGLEFINANCE(B3682,""changepct""),K3682)"),1.13)</f>
        <v>1.1299999999999999</v>
      </c>
      <c r="M3682" s="6">
        <f ca="1">IFERROR(__xludf.DUMMYFUNCTION("IFERROR(GOOGLEFINANCE(B3682,""change""),0)"),2.51)</f>
        <v>2.5099999999999998</v>
      </c>
      <c r="N3682" s="6">
        <v>2</v>
      </c>
      <c r="O3682" s="7">
        <v>45536</v>
      </c>
      <c r="P3682" s="6">
        <v>443.62</v>
      </c>
      <c r="Q3682" s="6">
        <v>3430.63</v>
      </c>
      <c r="R3682" s="7">
        <v>45536</v>
      </c>
      <c r="S3682" s="6">
        <v>449.11</v>
      </c>
      <c r="T3682" s="6">
        <v>98</v>
      </c>
      <c r="U3682" s="7">
        <v>45536</v>
      </c>
      <c r="V3682" s="6">
        <v>31.03</v>
      </c>
      <c r="W3682" s="6">
        <f ca="1">IFERROR(__xludf.DUMMYFUNCTION("IFERROR(GOOGLEFINANCE(B3682,""pe""),V3682)"),10.92)</f>
        <v>10.92</v>
      </c>
      <c r="X3682" s="12"/>
      <c r="Y3682" s="6">
        <v>3.72</v>
      </c>
      <c r="Z3682" s="6">
        <v>2</v>
      </c>
      <c r="AA3682" s="8">
        <v>45352</v>
      </c>
      <c r="AB3682" s="4">
        <v>0.82</v>
      </c>
      <c r="AC3682" s="6">
        <v>22.97</v>
      </c>
      <c r="AD3682" s="6">
        <v>28.98</v>
      </c>
      <c r="AE3682" s="1">
        <v>0</v>
      </c>
      <c r="AF3682" s="1">
        <f ca="1">IFERROR(__xludf.DUMMYFUNCTION("IFERROR(GOOGLEFINANCE(TRIM(F3682)&amp;"":"" &amp; TRIM(B3682),""high52""),AE3682)"),471.8)</f>
        <v>471.8</v>
      </c>
      <c r="AG3682" s="1">
        <v>0</v>
      </c>
      <c r="AH3682" s="1">
        <f ca="1">IFERROR(__xludf.DUMMYFUNCTION("IFERROR(GOOGLEFINANCE(TRIM(F3682)&amp;"":"" &amp; TRIM(B3682),""low52""),AE3682)"),209.3)</f>
        <v>209.3</v>
      </c>
      <c r="AI3682" s="1">
        <f ca="1">IFERROR(__xludf.DUMMYFUNCTION("IFERROR(GOOGLEFINANCE(B3682,""eps""),0)"),20.57)</f>
        <v>20.57</v>
      </c>
      <c r="AJ3682" s="1"/>
      <c r="AK3682" s="1" t="s">
        <v>11247</v>
      </c>
      <c r="AL3682" s="9">
        <f t="shared" si="350"/>
        <v>1</v>
      </c>
    </row>
    <row r="3683" spans="1:38" ht="15" x14ac:dyDescent="0.25">
      <c r="A3683" s="1" t="s">
        <v>11248</v>
      </c>
      <c r="B3683" s="1" t="s">
        <v>11249</v>
      </c>
      <c r="C3683" s="1" t="s">
        <v>219</v>
      </c>
      <c r="D3683" s="1" t="s">
        <v>219</v>
      </c>
      <c r="E3683" s="6">
        <v>63.95</v>
      </c>
      <c r="F3683" s="1" t="s">
        <v>53</v>
      </c>
      <c r="G3683" s="6">
        <f ca="1">IFERROR(__xludf.DUMMYFUNCTION("iferror(GOOGLEFINANCE(TRIM(F3683)&amp;"":"" &amp; TRIM(B3683), ""price""),0
)"),0)</f>
        <v>0</v>
      </c>
      <c r="H3683" s="6">
        <v>89</v>
      </c>
      <c r="I3683" s="6">
        <f t="shared" ca="1" si="0"/>
        <v>89</v>
      </c>
      <c r="J3683" s="6">
        <f ca="1">IFERROR(__xludf.DUMMYFUNCTION("IFERROR(GOOGLEFINANCE(B3683, ""volume""), 0)"),0)</f>
        <v>0</v>
      </c>
      <c r="K3683" s="6">
        <v>1.97</v>
      </c>
      <c r="L3683" s="6">
        <f ca="1">IFERROR(__xludf.DUMMYFUNCTION("IFERROR(GOOGLEFINANCE(B3683,""changepct""),K3683)"),1.97)</f>
        <v>1.97</v>
      </c>
      <c r="M3683" s="6">
        <f ca="1">IFERROR(__xludf.DUMMYFUNCTION("IFERROR(GOOGLEFINANCE(B3683,""change""),0)"),0)</f>
        <v>0</v>
      </c>
      <c r="N3683" s="6">
        <v>1</v>
      </c>
      <c r="O3683" s="7">
        <v>45536</v>
      </c>
      <c r="P3683" s="12"/>
      <c r="Q3683" s="6">
        <v>63.36</v>
      </c>
      <c r="R3683" s="7">
        <v>45536</v>
      </c>
      <c r="S3683" s="6">
        <v>166.56</v>
      </c>
      <c r="T3683" s="6">
        <v>3.01</v>
      </c>
      <c r="U3683" s="7">
        <v>45536</v>
      </c>
      <c r="V3683" s="6">
        <v>21.24</v>
      </c>
      <c r="W3683" s="6">
        <f ca="1">IFERROR(__xludf.DUMMYFUNCTION("IFERROR(GOOGLEFINANCE(B3683,""pe""),V3683)"),21.24)</f>
        <v>21.24</v>
      </c>
      <c r="X3683" s="6">
        <v>-5.24</v>
      </c>
      <c r="Y3683" s="6">
        <v>1.55</v>
      </c>
      <c r="Z3683" s="6">
        <v>1</v>
      </c>
      <c r="AA3683" s="8">
        <v>45352</v>
      </c>
      <c r="AB3683" s="4">
        <v>0.05</v>
      </c>
      <c r="AC3683" s="6">
        <v>6.52</v>
      </c>
      <c r="AD3683" s="6">
        <v>8.17</v>
      </c>
      <c r="AE3683" s="1">
        <v>0</v>
      </c>
      <c r="AF3683" s="1">
        <f ca="1">IFERROR(__xludf.DUMMYFUNCTION("IFERROR(GOOGLEFINANCE(TRIM(F3683)&amp;"":"" &amp; TRIM(B3683),""high52""),AE3683)"),0)</f>
        <v>0</v>
      </c>
      <c r="AG3683" s="1">
        <v>0</v>
      </c>
      <c r="AH3683" s="1">
        <f ca="1">IFERROR(__xludf.DUMMYFUNCTION("IFERROR(GOOGLEFINANCE(TRIM(F3683)&amp;"":"" &amp; TRIM(B3683),""low52""),AE3683)"),0)</f>
        <v>0</v>
      </c>
      <c r="AI3683" s="1">
        <f ca="1">IFERROR(__xludf.DUMMYFUNCTION("IFERROR(GOOGLEFINANCE(B3683,""eps""),0)"),0)</f>
        <v>0</v>
      </c>
      <c r="AJ3683" s="1"/>
      <c r="AK3683" s="1" t="s">
        <v>11250</v>
      </c>
      <c r="AL3683" s="9">
        <f t="shared" si="350"/>
        <v>1</v>
      </c>
    </row>
    <row r="3684" spans="1:38" ht="15" x14ac:dyDescent="0.25">
      <c r="A3684" s="1" t="s">
        <v>11251</v>
      </c>
      <c r="B3684" s="1" t="s">
        <v>11252</v>
      </c>
      <c r="C3684" s="1" t="s">
        <v>219</v>
      </c>
      <c r="D3684" s="1" t="s">
        <v>219</v>
      </c>
      <c r="E3684" s="6">
        <v>953.1</v>
      </c>
      <c r="F3684" s="1" t="s">
        <v>40</v>
      </c>
      <c r="G3684" s="6">
        <f ca="1">IFERROR(__xludf.DUMMYFUNCTION("iferror(GOOGLEFINANCE(TRIM(F3684)&amp;"":"" &amp; TRIM(B3684), ""price""),0
)"),214)</f>
        <v>214</v>
      </c>
      <c r="H3684" s="6">
        <v>492.9</v>
      </c>
      <c r="I3684" s="6">
        <f t="shared" ca="1" si="0"/>
        <v>214</v>
      </c>
      <c r="J3684" s="6">
        <f ca="1">IFERROR(__xludf.DUMMYFUNCTION("IFERROR(GOOGLEFINANCE(B3684, ""volume""), 0)"),534)</f>
        <v>534</v>
      </c>
      <c r="K3684" s="6">
        <v>-2</v>
      </c>
      <c r="L3684" s="6">
        <f ca="1">IFERROR(__xludf.DUMMYFUNCTION("IFERROR(GOOGLEFINANCE(B3684,""changepct""),K3684)"),-1.58)</f>
        <v>-1.58</v>
      </c>
      <c r="M3684" s="6">
        <f ca="1">IFERROR(__xludf.DUMMYFUNCTION("IFERROR(GOOGLEFINANCE(B3684,""change""),0)"),-3.44)</f>
        <v>-3.44</v>
      </c>
      <c r="N3684" s="6">
        <v>2</v>
      </c>
      <c r="O3684" s="7">
        <v>45536</v>
      </c>
      <c r="P3684" s="6">
        <v>50.97</v>
      </c>
      <c r="Q3684" s="6">
        <v>1004.07</v>
      </c>
      <c r="R3684" s="7">
        <v>45536</v>
      </c>
      <c r="S3684" s="6">
        <v>280.64</v>
      </c>
      <c r="T3684" s="6">
        <v>21.13</v>
      </c>
      <c r="U3684" s="7">
        <v>45536</v>
      </c>
      <c r="V3684" s="6">
        <v>38.159999999999997</v>
      </c>
      <c r="W3684" s="6">
        <f ca="1">IFERROR(__xludf.DUMMYFUNCTION("IFERROR(GOOGLEFINANCE(B3684,""pe""),V3684)"),38.16)</f>
        <v>38.159999999999997</v>
      </c>
      <c r="X3684" s="6">
        <v>0.52</v>
      </c>
      <c r="Y3684" s="6">
        <v>7.08</v>
      </c>
      <c r="Z3684" s="6">
        <v>2</v>
      </c>
      <c r="AA3684" s="8">
        <v>45352</v>
      </c>
      <c r="AB3684" s="4">
        <v>0.27</v>
      </c>
      <c r="AC3684" s="6">
        <v>20.55</v>
      </c>
      <c r="AD3684" s="6">
        <v>20.14</v>
      </c>
      <c r="AE3684" s="1">
        <v>0</v>
      </c>
      <c r="AF3684" s="1">
        <f ca="1">IFERROR(__xludf.DUMMYFUNCTION("IFERROR(GOOGLEFINANCE(TRIM(F3684)&amp;"":"" &amp; TRIM(B3684),""high52""),AE3684)"),439.95)</f>
        <v>439.95</v>
      </c>
      <c r="AG3684" s="1">
        <v>0</v>
      </c>
      <c r="AH3684" s="1">
        <f ca="1">IFERROR(__xludf.DUMMYFUNCTION("IFERROR(GOOGLEFINANCE(TRIM(F3684)&amp;"":"" &amp; TRIM(B3684),""low52""),AE3684)"),205)</f>
        <v>205</v>
      </c>
      <c r="AI3684" s="1">
        <f ca="1">IFERROR(__xludf.DUMMYFUNCTION("IFERROR(GOOGLEFINANCE(B3684,""eps""),0)"),-0.53)</f>
        <v>-0.53</v>
      </c>
      <c r="AJ3684" s="1"/>
      <c r="AK3684" s="1" t="s">
        <v>11253</v>
      </c>
      <c r="AL3684" s="9">
        <f t="shared" si="350"/>
        <v>1</v>
      </c>
    </row>
    <row r="3685" spans="1:38" ht="15" x14ac:dyDescent="0.25">
      <c r="A3685" s="1" t="s">
        <v>11254</v>
      </c>
      <c r="B3685" s="1" t="s">
        <v>11255</v>
      </c>
      <c r="C3685" s="1" t="s">
        <v>219</v>
      </c>
      <c r="D3685" s="1" t="s">
        <v>219</v>
      </c>
      <c r="E3685" s="6">
        <v>26.38</v>
      </c>
      <c r="F3685" s="1" t="s">
        <v>53</v>
      </c>
      <c r="G3685" s="6">
        <f ca="1">IFERROR(__xludf.DUMMYFUNCTION("iferror(GOOGLEFINANCE(TRIM(F3685)&amp;"":"" &amp; TRIM(B3685), ""price""),0
)"),0)</f>
        <v>0</v>
      </c>
      <c r="H3685" s="6">
        <v>19.600000000000001</v>
      </c>
      <c r="I3685" s="6">
        <f t="shared" ca="1" si="0"/>
        <v>19.600000000000001</v>
      </c>
      <c r="J3685" s="6">
        <f ca="1">IFERROR(__xludf.DUMMYFUNCTION("IFERROR(GOOGLEFINANCE(B3685, ""volume""), 0)"),0)</f>
        <v>0</v>
      </c>
      <c r="K3685" s="6">
        <v>2.2400000000000002</v>
      </c>
      <c r="L3685" s="6">
        <f ca="1">IFERROR(__xludf.DUMMYFUNCTION("IFERROR(GOOGLEFINANCE(B3685,""changepct""),K3685)"),2.24)</f>
        <v>2.2400000000000002</v>
      </c>
      <c r="M3685" s="6">
        <f ca="1">IFERROR(__xludf.DUMMYFUNCTION("IFERROR(GOOGLEFINANCE(B3685,""change""),0)"),0)</f>
        <v>0</v>
      </c>
      <c r="N3685" s="6">
        <v>1</v>
      </c>
      <c r="O3685" s="7">
        <v>45536</v>
      </c>
      <c r="P3685" s="6">
        <v>0.21</v>
      </c>
      <c r="Q3685" s="6">
        <v>26.59</v>
      </c>
      <c r="R3685" s="7">
        <v>45536</v>
      </c>
      <c r="S3685" s="6">
        <v>0</v>
      </c>
      <c r="T3685" s="6">
        <v>0.85</v>
      </c>
      <c r="U3685" s="7">
        <v>45536</v>
      </c>
      <c r="V3685" s="6">
        <v>31.04</v>
      </c>
      <c r="W3685" s="6">
        <f ca="1">IFERROR(__xludf.DUMMYFUNCTION("IFERROR(GOOGLEFINANCE(B3685,""pe""),V3685)"),31.04)</f>
        <v>31.04</v>
      </c>
      <c r="X3685" s="6">
        <v>2.0499999999999998</v>
      </c>
      <c r="Y3685" s="6">
        <v>2.08</v>
      </c>
      <c r="Z3685" s="6">
        <v>1</v>
      </c>
      <c r="AA3685" s="8">
        <v>45352</v>
      </c>
      <c r="AB3685" s="4">
        <v>0.02</v>
      </c>
      <c r="AC3685" s="6">
        <v>4.62</v>
      </c>
      <c r="AD3685" s="6">
        <v>4.17</v>
      </c>
      <c r="AE3685" s="1">
        <v>0</v>
      </c>
      <c r="AF3685" s="1">
        <f ca="1">IFERROR(__xludf.DUMMYFUNCTION("IFERROR(GOOGLEFINANCE(TRIM(F3685)&amp;"":"" &amp; TRIM(B3685),""high52""),AE3685)"),0)</f>
        <v>0</v>
      </c>
      <c r="AG3685" s="1">
        <v>0</v>
      </c>
      <c r="AH3685" s="1">
        <f ca="1">IFERROR(__xludf.DUMMYFUNCTION("IFERROR(GOOGLEFINANCE(TRIM(F3685)&amp;"":"" &amp; TRIM(B3685),""low52""),AE3685)"),0)</f>
        <v>0</v>
      </c>
      <c r="AI3685" s="1">
        <f ca="1">IFERROR(__xludf.DUMMYFUNCTION("IFERROR(GOOGLEFINANCE(B3685,""eps""),0)"),0)</f>
        <v>0</v>
      </c>
      <c r="AJ3685" s="1"/>
      <c r="AK3685" s="1" t="s">
        <v>11256</v>
      </c>
      <c r="AL3685" s="9">
        <f t="shared" si="350"/>
        <v>1</v>
      </c>
    </row>
    <row r="3686" spans="1:38" ht="15" x14ac:dyDescent="0.25">
      <c r="A3686" s="1" t="s">
        <v>11257</v>
      </c>
      <c r="B3686" s="1" t="s">
        <v>11258</v>
      </c>
      <c r="C3686" s="1" t="s">
        <v>163</v>
      </c>
      <c r="D3686" s="1" t="s">
        <v>163</v>
      </c>
      <c r="E3686" s="6">
        <v>1976.99</v>
      </c>
      <c r="F3686" s="1" t="s">
        <v>40</v>
      </c>
      <c r="G3686" s="6">
        <f ca="1">IFERROR(__xludf.DUMMYFUNCTION("iferror(GOOGLEFINANCE(TRIM(F3686)&amp;"":"" &amp; TRIM(B3686), ""price""),0
)"),270.4)</f>
        <v>270.39999999999998</v>
      </c>
      <c r="H3686" s="6">
        <v>375.45</v>
      </c>
      <c r="I3686" s="6">
        <f t="shared" ca="1" si="0"/>
        <v>270.39999999999998</v>
      </c>
      <c r="J3686" s="6">
        <f ca="1">IFERROR(__xludf.DUMMYFUNCTION("IFERROR(GOOGLEFINANCE(B3686, ""volume""), 0)"),42185)</f>
        <v>42185</v>
      </c>
      <c r="K3686" s="6">
        <v>-1.18</v>
      </c>
      <c r="L3686" s="6">
        <f ca="1">IFERROR(__xludf.DUMMYFUNCTION("IFERROR(GOOGLEFINANCE(B3686,""changepct""),K3686)"),0.07)</f>
        <v>7.0000000000000007E-2</v>
      </c>
      <c r="M3686" s="6">
        <f ca="1">IFERROR(__xludf.DUMMYFUNCTION("IFERROR(GOOGLEFINANCE(B3686,""change""),0)"),0.2)</f>
        <v>0.2</v>
      </c>
      <c r="N3686" s="6">
        <v>2</v>
      </c>
      <c r="O3686" s="7">
        <v>45536</v>
      </c>
      <c r="P3686" s="6">
        <v>6.84</v>
      </c>
      <c r="Q3686" s="6">
        <v>1927.15</v>
      </c>
      <c r="R3686" s="12"/>
      <c r="S3686" s="12"/>
      <c r="T3686" s="12"/>
      <c r="U3686" s="7">
        <v>45352</v>
      </c>
      <c r="V3686" s="6">
        <v>83.68</v>
      </c>
      <c r="W3686" s="6">
        <f ca="1">IFERROR(__xludf.DUMMYFUNCTION("IFERROR(GOOGLEFINANCE(B3686,""pe""),V3686)"),44.11)</f>
        <v>44.11</v>
      </c>
      <c r="X3686" s="12"/>
      <c r="Y3686" s="6">
        <v>1.9</v>
      </c>
      <c r="Z3686" s="6">
        <v>2</v>
      </c>
      <c r="AA3686" s="8">
        <v>45352</v>
      </c>
      <c r="AB3686" s="4">
        <v>0.05</v>
      </c>
      <c r="AC3686" s="6">
        <v>13.93</v>
      </c>
      <c r="AD3686" s="6">
        <v>22.94</v>
      </c>
      <c r="AE3686" s="1">
        <v>0</v>
      </c>
      <c r="AF3686" s="1">
        <f ca="1">IFERROR(__xludf.DUMMYFUNCTION("IFERROR(GOOGLEFINANCE(TRIM(F3686)&amp;"":"" &amp; TRIM(B3686),""high52""),AE3686)"),367)</f>
        <v>367</v>
      </c>
      <c r="AG3686" s="1">
        <v>0</v>
      </c>
      <c r="AH3686" s="1">
        <f ca="1">IFERROR(__xludf.DUMMYFUNCTION("IFERROR(GOOGLEFINANCE(TRIM(F3686)&amp;"":"" &amp; TRIM(B3686),""low52""),AE3686)"),231)</f>
        <v>231</v>
      </c>
      <c r="AI3686" s="1">
        <f ca="1">IFERROR(__xludf.DUMMYFUNCTION("IFERROR(GOOGLEFINANCE(B3686,""eps""),0)"),6.13)</f>
        <v>6.13</v>
      </c>
      <c r="AJ3686" s="1"/>
      <c r="AK3686" s="1" t="s">
        <v>11259</v>
      </c>
      <c r="AL3686" s="9">
        <f t="shared" si="350"/>
        <v>1</v>
      </c>
    </row>
    <row r="3687" spans="1:38" ht="15" x14ac:dyDescent="0.25">
      <c r="A3687" s="1" t="s">
        <v>11260</v>
      </c>
      <c r="B3687" s="1" t="s">
        <v>11261</v>
      </c>
      <c r="C3687" s="1" t="s">
        <v>525</v>
      </c>
      <c r="D3687" s="1" t="s">
        <v>525</v>
      </c>
      <c r="E3687" s="6">
        <v>232.45</v>
      </c>
      <c r="F3687" s="1" t="s">
        <v>40</v>
      </c>
      <c r="G3687" s="6">
        <f ca="1">IFERROR(__xludf.DUMMYFUNCTION("iferror(GOOGLEFINANCE(TRIM(F3687)&amp;"":"" &amp; TRIM(B3687), ""price""),0
)"),23.82)</f>
        <v>23.82</v>
      </c>
      <c r="H3687" s="6">
        <v>47</v>
      </c>
      <c r="I3687" s="6">
        <f t="shared" ca="1" si="0"/>
        <v>23.82</v>
      </c>
      <c r="J3687" s="6">
        <f ca="1">IFERROR(__xludf.DUMMYFUNCTION("IFERROR(GOOGLEFINANCE(B3687, ""volume""), 0)"),36265)</f>
        <v>36265</v>
      </c>
      <c r="K3687" s="6">
        <v>0.15</v>
      </c>
      <c r="L3687" s="6">
        <f ca="1">IFERROR(__xludf.DUMMYFUNCTION("IFERROR(GOOGLEFINANCE(B3687,""changepct""),K3687)"),-2.89)</f>
        <v>-2.89</v>
      </c>
      <c r="M3687" s="6">
        <f ca="1">IFERROR(__xludf.DUMMYFUNCTION("IFERROR(GOOGLEFINANCE(B3687,""change""),0)"),-0.71)</f>
        <v>-0.71</v>
      </c>
      <c r="N3687" s="6">
        <v>1</v>
      </c>
      <c r="O3687" s="7">
        <v>45536</v>
      </c>
      <c r="P3687" s="6">
        <v>3.6</v>
      </c>
      <c r="Q3687" s="6">
        <v>235.6</v>
      </c>
      <c r="R3687" s="7">
        <v>45536</v>
      </c>
      <c r="S3687" s="6">
        <v>33.979999999999997</v>
      </c>
      <c r="T3687" s="6">
        <v>0.56000000000000005</v>
      </c>
      <c r="U3687" s="7">
        <v>45536</v>
      </c>
      <c r="V3687" s="6">
        <v>418.08</v>
      </c>
      <c r="W3687" s="6">
        <f ca="1">IFERROR(__xludf.DUMMYFUNCTION("IFERROR(GOOGLEFINANCE(B3687,""pe""),V3687)"),1096.18)</f>
        <v>1096.18</v>
      </c>
      <c r="X3687" s="12"/>
      <c r="Y3687" s="6">
        <v>4.09</v>
      </c>
      <c r="Z3687" s="6">
        <v>1</v>
      </c>
      <c r="AA3687" s="8">
        <v>45352</v>
      </c>
      <c r="AB3687" s="4">
        <v>0</v>
      </c>
      <c r="AC3687" s="6">
        <v>-2.2200000000000002</v>
      </c>
      <c r="AD3687" s="6">
        <v>-1.46</v>
      </c>
      <c r="AE3687" s="1">
        <v>0</v>
      </c>
      <c r="AF3687" s="1">
        <f ca="1">IFERROR(__xludf.DUMMYFUNCTION("IFERROR(GOOGLEFINANCE(TRIM(F3687)&amp;"":"" &amp; TRIM(B3687),""high52""),AE3687)"),43.3)</f>
        <v>43.3</v>
      </c>
      <c r="AG3687" s="1">
        <v>0</v>
      </c>
      <c r="AH3687" s="1">
        <f ca="1">IFERROR(__xludf.DUMMYFUNCTION("IFERROR(GOOGLEFINANCE(TRIM(F3687)&amp;"":"" &amp; TRIM(B3687),""low52""),AE3687)"),22.65)</f>
        <v>22.65</v>
      </c>
      <c r="AI3687" s="1">
        <f ca="1">IFERROR(__xludf.DUMMYFUNCTION("IFERROR(GOOGLEFINANCE(B3687,""eps""),0)"),0.02)</f>
        <v>0.02</v>
      </c>
      <c r="AJ3687" s="1"/>
      <c r="AK3687" s="9"/>
      <c r="AL3687" s="9">
        <f t="shared" si="350"/>
        <v>1</v>
      </c>
    </row>
    <row r="3688" spans="1:38" ht="15" x14ac:dyDescent="0.25">
      <c r="A3688" s="1" t="s">
        <v>11262</v>
      </c>
      <c r="B3688" s="1" t="s">
        <v>11263</v>
      </c>
      <c r="C3688" s="1" t="s">
        <v>268</v>
      </c>
      <c r="D3688" s="1" t="s">
        <v>268</v>
      </c>
      <c r="E3688" s="6">
        <v>326.77</v>
      </c>
      <c r="F3688" s="1" t="s">
        <v>40</v>
      </c>
      <c r="G3688" s="6">
        <f ca="1">IFERROR(__xludf.DUMMYFUNCTION("iferror(GOOGLEFINANCE(TRIM(F3688)&amp;"":"" &amp; TRIM(B3688), ""price""),0
)"),17.1)</f>
        <v>17.100000000000001</v>
      </c>
      <c r="H3688" s="6">
        <v>24.3</v>
      </c>
      <c r="I3688" s="6">
        <f t="shared" ca="1" si="0"/>
        <v>17.100000000000001</v>
      </c>
      <c r="J3688" s="6">
        <f ca="1">IFERROR(__xludf.DUMMYFUNCTION("IFERROR(GOOGLEFINANCE(B3688, ""volume""), 0)"),121237)</f>
        <v>121237</v>
      </c>
      <c r="K3688" s="6">
        <v>1.1200000000000001</v>
      </c>
      <c r="L3688" s="6">
        <f ca="1">IFERROR(__xludf.DUMMYFUNCTION("IFERROR(GOOGLEFINANCE(B3688,""changepct""),K3688)"),-4.15)</f>
        <v>-4.1500000000000004</v>
      </c>
      <c r="M3688" s="6">
        <f ca="1">IFERROR(__xludf.DUMMYFUNCTION("IFERROR(GOOGLEFINANCE(B3688,""change""),0)"),-0.74)</f>
        <v>-0.74</v>
      </c>
      <c r="N3688" s="6">
        <v>2</v>
      </c>
      <c r="O3688" s="7">
        <v>45536</v>
      </c>
      <c r="P3688" s="6">
        <v>7.34</v>
      </c>
      <c r="Q3688" s="6">
        <v>333.25</v>
      </c>
      <c r="R3688" s="7">
        <v>45536</v>
      </c>
      <c r="S3688" s="6">
        <v>19.88</v>
      </c>
      <c r="T3688" s="6">
        <v>9.82</v>
      </c>
      <c r="U3688" s="7">
        <v>45536</v>
      </c>
      <c r="V3688" s="6">
        <v>31.97</v>
      </c>
      <c r="W3688" s="6">
        <f ca="1">IFERROR(__xludf.DUMMYFUNCTION("IFERROR(GOOGLEFINANCE(B3688,""pe""),V3688)"),6.62)</f>
        <v>6.62</v>
      </c>
      <c r="X3688" s="6">
        <v>4.17</v>
      </c>
      <c r="Y3688" s="6">
        <v>2.37</v>
      </c>
      <c r="Z3688" s="6">
        <v>2</v>
      </c>
      <c r="AA3688" s="8">
        <v>45352</v>
      </c>
      <c r="AB3688" s="4">
        <v>0.02</v>
      </c>
      <c r="AC3688" s="6">
        <v>6.71</v>
      </c>
      <c r="AD3688" s="6">
        <v>8.44</v>
      </c>
      <c r="AE3688" s="1">
        <v>0</v>
      </c>
      <c r="AF3688" s="1">
        <f ca="1">IFERROR(__xludf.DUMMYFUNCTION("IFERROR(GOOGLEFINANCE(TRIM(F3688)&amp;"":"" &amp; TRIM(B3688),""high52""),AE3688)"),29.27)</f>
        <v>29.27</v>
      </c>
      <c r="AG3688" s="1">
        <v>0</v>
      </c>
      <c r="AH3688" s="1">
        <f ca="1">IFERROR(__xludf.DUMMYFUNCTION("IFERROR(GOOGLEFINANCE(TRIM(F3688)&amp;"":"" &amp; TRIM(B3688),""low52""),AE3688)"),16.3)</f>
        <v>16.3</v>
      </c>
      <c r="AI3688" s="1">
        <f ca="1">IFERROR(__xludf.DUMMYFUNCTION("IFERROR(GOOGLEFINANCE(B3688,""eps""),0)"),2.58)</f>
        <v>2.58</v>
      </c>
      <c r="AJ3688" s="1"/>
      <c r="AK3688" s="1" t="s">
        <v>11264</v>
      </c>
      <c r="AL3688" s="9">
        <f t="shared" si="350"/>
        <v>1</v>
      </c>
    </row>
    <row r="3689" spans="1:38" ht="15" x14ac:dyDescent="0.25">
      <c r="A3689" s="1" t="s">
        <v>11265</v>
      </c>
      <c r="B3689" s="1" t="s">
        <v>11266</v>
      </c>
      <c r="C3689" s="1" t="s">
        <v>219</v>
      </c>
      <c r="D3689" s="1" t="s">
        <v>219</v>
      </c>
      <c r="E3689" s="6">
        <v>25.1</v>
      </c>
      <c r="F3689" s="1" t="s">
        <v>53</v>
      </c>
      <c r="G3689" s="6">
        <f ca="1">IFERROR(__xludf.DUMMYFUNCTION("iferror(GOOGLEFINANCE(TRIM(F3689)&amp;"":"" &amp; TRIM(B3689), ""price""),0
)"),0)</f>
        <v>0</v>
      </c>
      <c r="H3689" s="6">
        <v>21.18</v>
      </c>
      <c r="I3689" s="6">
        <f t="shared" ca="1" si="0"/>
        <v>21.18</v>
      </c>
      <c r="J3689" s="6">
        <f ca="1">IFERROR(__xludf.DUMMYFUNCTION("IFERROR(GOOGLEFINANCE(B3689, ""volume""), 0)"),0)</f>
        <v>0</v>
      </c>
      <c r="K3689" s="6">
        <v>-0.19</v>
      </c>
      <c r="L3689" s="6">
        <f ca="1">IFERROR(__xludf.DUMMYFUNCTION("IFERROR(GOOGLEFINANCE(B3689,""changepct""),K3689)"),-0.19)</f>
        <v>-0.19</v>
      </c>
      <c r="M3689" s="6">
        <f ca="1">IFERROR(__xludf.DUMMYFUNCTION("IFERROR(GOOGLEFINANCE(B3689,""change""),0)"),0)</f>
        <v>0</v>
      </c>
      <c r="N3689" s="6">
        <v>1</v>
      </c>
      <c r="O3689" s="7">
        <v>45536</v>
      </c>
      <c r="P3689" s="6">
        <v>3.62</v>
      </c>
      <c r="Q3689" s="6">
        <v>27.4</v>
      </c>
      <c r="R3689" s="7">
        <v>45536</v>
      </c>
      <c r="S3689" s="6">
        <v>5.53</v>
      </c>
      <c r="T3689" s="6">
        <v>0.14000000000000001</v>
      </c>
      <c r="U3689" s="7">
        <v>45536</v>
      </c>
      <c r="V3689" s="6">
        <v>183.24</v>
      </c>
      <c r="W3689" s="6">
        <f ca="1">IFERROR(__xludf.DUMMYFUNCTION("IFERROR(GOOGLEFINANCE(B3689,""pe""),V3689)"),183.24)</f>
        <v>183.24</v>
      </c>
      <c r="X3689" s="6">
        <v>7.85</v>
      </c>
      <c r="Y3689" s="6">
        <v>-3.68</v>
      </c>
      <c r="Z3689" s="6">
        <v>1</v>
      </c>
      <c r="AA3689" s="8">
        <v>45352</v>
      </c>
      <c r="AB3689" s="4">
        <v>-0.52</v>
      </c>
      <c r="AC3689" s="6">
        <v>0</v>
      </c>
      <c r="AD3689" s="6">
        <v>0</v>
      </c>
      <c r="AE3689" s="1">
        <v>0</v>
      </c>
      <c r="AF3689" s="1">
        <f ca="1">IFERROR(__xludf.DUMMYFUNCTION("IFERROR(GOOGLEFINANCE(TRIM(F3689)&amp;"":"" &amp; TRIM(B3689),""high52""),AE3689)"),0)</f>
        <v>0</v>
      </c>
      <c r="AG3689" s="1">
        <v>0</v>
      </c>
      <c r="AH3689" s="1">
        <f ca="1">IFERROR(__xludf.DUMMYFUNCTION("IFERROR(GOOGLEFINANCE(TRIM(F3689)&amp;"":"" &amp; TRIM(B3689),""low52""),AE3689)"),0)</f>
        <v>0</v>
      </c>
      <c r="AI3689" s="1">
        <f ca="1">IFERROR(__xludf.DUMMYFUNCTION("IFERROR(GOOGLEFINANCE(B3689,""eps""),0)"),0)</f>
        <v>0</v>
      </c>
      <c r="AJ3689" s="1"/>
      <c r="AK3689" s="1" t="s">
        <v>11267</v>
      </c>
      <c r="AL3689" s="9">
        <f t="shared" si="350"/>
        <v>1</v>
      </c>
    </row>
    <row r="3690" spans="1:38" ht="15" x14ac:dyDescent="0.25">
      <c r="A3690" s="1" t="s">
        <v>11268</v>
      </c>
      <c r="B3690" s="1" t="s">
        <v>11269</v>
      </c>
      <c r="C3690" s="1" t="s">
        <v>219</v>
      </c>
      <c r="D3690" s="1" t="s">
        <v>219</v>
      </c>
      <c r="E3690" s="6">
        <v>37.049999999999997</v>
      </c>
      <c r="F3690" s="1" t="s">
        <v>53</v>
      </c>
      <c r="G3690" s="6">
        <f ca="1">IFERROR(__xludf.DUMMYFUNCTION("iferror(GOOGLEFINANCE(TRIM(F3690)&amp;"":"" &amp; TRIM(B3690), ""price""),0
)"),0)</f>
        <v>0</v>
      </c>
      <c r="H3690" s="6">
        <v>67</v>
      </c>
      <c r="I3690" s="6">
        <f t="shared" ca="1" si="0"/>
        <v>67</v>
      </c>
      <c r="J3690" s="6">
        <f ca="1">IFERROR(__xludf.DUMMYFUNCTION("IFERROR(GOOGLEFINANCE(B3690, ""volume""), 0)"),0)</f>
        <v>0</v>
      </c>
      <c r="K3690" s="9"/>
      <c r="L3690" s="6" t="str">
        <f ca="1">IFERROR(__xludf.DUMMYFUNCTION("IFERROR(GOOGLEFINANCE(B3690,""changepct""),K3690)"),"")</f>
        <v/>
      </c>
      <c r="M3690" s="6">
        <f ca="1">IFERROR(__xludf.DUMMYFUNCTION("IFERROR(GOOGLEFINANCE(B3690,""change""),0)"),0)</f>
        <v>0</v>
      </c>
      <c r="N3690" s="6">
        <v>1</v>
      </c>
      <c r="O3690" s="7">
        <v>45536</v>
      </c>
      <c r="P3690" s="6">
        <v>0.95</v>
      </c>
      <c r="Q3690" s="6">
        <v>38</v>
      </c>
      <c r="R3690" s="7">
        <v>45536</v>
      </c>
      <c r="S3690" s="6">
        <v>11.76</v>
      </c>
      <c r="T3690" s="6">
        <v>3.1</v>
      </c>
      <c r="U3690" s="7">
        <v>45536</v>
      </c>
      <c r="V3690" s="6">
        <v>11.96</v>
      </c>
      <c r="W3690" s="6">
        <f ca="1">IFERROR(__xludf.DUMMYFUNCTION("IFERROR(GOOGLEFINANCE(B3690,""pe""),V3690)"),11.96)</f>
        <v>11.96</v>
      </c>
      <c r="X3690" s="6">
        <v>0.32</v>
      </c>
      <c r="Y3690" s="6">
        <v>1</v>
      </c>
      <c r="Z3690" s="6">
        <v>1</v>
      </c>
      <c r="AA3690" s="17">
        <v>45352</v>
      </c>
      <c r="AB3690" s="18">
        <v>0.04</v>
      </c>
      <c r="AC3690" s="6">
        <v>9.34</v>
      </c>
      <c r="AD3690" s="6">
        <v>9.9</v>
      </c>
      <c r="AE3690" s="1">
        <v>0</v>
      </c>
      <c r="AF3690" s="1">
        <f ca="1">IFERROR(__xludf.DUMMYFUNCTION("IFERROR(GOOGLEFINANCE(TRIM(F3690)&amp;"":"" &amp; TRIM(B3690),""high52""),AE3690)"),0)</f>
        <v>0</v>
      </c>
      <c r="AG3690" s="1">
        <v>0</v>
      </c>
      <c r="AH3690" s="1">
        <f ca="1">IFERROR(__xludf.DUMMYFUNCTION("IFERROR(GOOGLEFINANCE(TRIM(F3690)&amp;"":"" &amp; TRIM(B3690),""low52""),AE3690)"),0)</f>
        <v>0</v>
      </c>
      <c r="AI3690" s="1">
        <f ca="1">IFERROR(__xludf.DUMMYFUNCTION("IFERROR(GOOGLEFINANCE(B3690,""eps""),0)"),0)</f>
        <v>0</v>
      </c>
      <c r="AJ3690" s="1"/>
      <c r="AK3690" s="1" t="s">
        <v>11270</v>
      </c>
      <c r="AL3690" s="9">
        <f t="shared" si="350"/>
        <v>1</v>
      </c>
    </row>
    <row r="3691" spans="1:38" ht="15" x14ac:dyDescent="0.25">
      <c r="A3691" s="1" t="s">
        <v>11271</v>
      </c>
      <c r="B3691" s="1" t="s">
        <v>11272</v>
      </c>
      <c r="C3691" s="1" t="s">
        <v>219</v>
      </c>
      <c r="D3691" s="1" t="s">
        <v>219</v>
      </c>
      <c r="E3691" s="6">
        <v>299.42</v>
      </c>
      <c r="F3691" s="1" t="s">
        <v>40</v>
      </c>
      <c r="G3691" s="6">
        <f ca="1">IFERROR(__xludf.DUMMYFUNCTION("iferror(GOOGLEFINANCE(TRIM(F3691)&amp;"":"" &amp; TRIM(B3691), ""price""),0
)"),0)</f>
        <v>0</v>
      </c>
      <c r="H3691" s="6">
        <v>193.7</v>
      </c>
      <c r="I3691" s="6">
        <f t="shared" ca="1" si="0"/>
        <v>193.7</v>
      </c>
      <c r="J3691" s="6">
        <f ca="1">IFERROR(__xludf.DUMMYFUNCTION("IFERROR(GOOGLEFINANCE(B3691, ""volume""), 0)"),0)</f>
        <v>0</v>
      </c>
      <c r="K3691" s="9"/>
      <c r="L3691" s="6" t="str">
        <f ca="1">IFERROR(__xludf.DUMMYFUNCTION("IFERROR(GOOGLEFINANCE(B3691,""changepct""),K3691)"),"")</f>
        <v/>
      </c>
      <c r="M3691" s="6">
        <f ca="1">IFERROR(__xludf.DUMMYFUNCTION("IFERROR(GOOGLEFINANCE(B3691,""change""),0)"),0)</f>
        <v>0</v>
      </c>
      <c r="N3691" s="6">
        <v>1</v>
      </c>
      <c r="O3691" s="7">
        <v>45536</v>
      </c>
      <c r="P3691" s="9"/>
      <c r="Q3691" s="6">
        <v>299.42</v>
      </c>
      <c r="R3691" s="7">
        <v>45352</v>
      </c>
      <c r="S3691" s="6">
        <v>155.13999999999999</v>
      </c>
      <c r="T3691" s="6">
        <v>0.5</v>
      </c>
      <c r="U3691" s="7">
        <v>45352</v>
      </c>
      <c r="V3691" s="6">
        <v>596.46</v>
      </c>
      <c r="W3691" s="6">
        <f ca="1">IFERROR(__xludf.DUMMYFUNCTION("IFERROR(GOOGLEFINANCE(B3691,""pe""),V3691)"),596.46)</f>
        <v>596.46</v>
      </c>
      <c r="X3691" s="6">
        <v>14.29</v>
      </c>
      <c r="Y3691" s="6">
        <v>2.88</v>
      </c>
      <c r="Z3691" s="6">
        <v>1</v>
      </c>
      <c r="AA3691" s="8">
        <v>45352</v>
      </c>
      <c r="AB3691" s="4">
        <v>0.77</v>
      </c>
      <c r="AC3691" s="6">
        <v>1.29</v>
      </c>
      <c r="AD3691" s="6">
        <v>0.86</v>
      </c>
      <c r="AE3691" s="1">
        <v>0</v>
      </c>
      <c r="AF3691" s="1">
        <f ca="1">IFERROR(__xludf.DUMMYFUNCTION("IFERROR(GOOGLEFINANCE(TRIM(F3691)&amp;"":"" &amp; TRIM(B3691),""high52""),AE3691)"),0)</f>
        <v>0</v>
      </c>
      <c r="AG3691" s="1">
        <v>0</v>
      </c>
      <c r="AH3691" s="1">
        <f ca="1">IFERROR(__xludf.DUMMYFUNCTION("IFERROR(GOOGLEFINANCE(TRIM(F3691)&amp;"":"" &amp; TRIM(B3691),""low52""),AE3691)"),0)</f>
        <v>0</v>
      </c>
      <c r="AI3691" s="1">
        <f ca="1">IFERROR(__xludf.DUMMYFUNCTION("IFERROR(GOOGLEFINANCE(B3691,""eps""),0)"),0)</f>
        <v>0</v>
      </c>
      <c r="AJ3691" s="1"/>
      <c r="AK3691" s="1" t="s">
        <v>11273</v>
      </c>
      <c r="AL3691" s="9">
        <f t="shared" si="350"/>
        <v>1</v>
      </c>
    </row>
    <row r="3692" spans="1:38" ht="15" x14ac:dyDescent="0.25">
      <c r="A3692" s="1" t="s">
        <v>11274</v>
      </c>
      <c r="B3692" s="1" t="s">
        <v>11275</v>
      </c>
      <c r="C3692" s="1" t="s">
        <v>219</v>
      </c>
      <c r="D3692" s="1" t="s">
        <v>219</v>
      </c>
      <c r="E3692" s="6">
        <v>66.709999999999994</v>
      </c>
      <c r="F3692" s="1" t="s">
        <v>53</v>
      </c>
      <c r="G3692" s="6">
        <f ca="1">IFERROR(__xludf.DUMMYFUNCTION("iferror(GOOGLEFINANCE(TRIM(F3692)&amp;"":"" &amp; TRIM(B3692), ""price""),0
)"),0)</f>
        <v>0</v>
      </c>
      <c r="H3692" s="6">
        <v>18.510000000000002</v>
      </c>
      <c r="I3692" s="6">
        <f t="shared" ca="1" si="0"/>
        <v>18.510000000000002</v>
      </c>
      <c r="J3692" s="6">
        <f ca="1">IFERROR(__xludf.DUMMYFUNCTION("IFERROR(GOOGLEFINANCE(B3692, ""volume""), 0)"),0)</f>
        <v>0</v>
      </c>
      <c r="K3692" s="6">
        <v>0.27</v>
      </c>
      <c r="L3692" s="6">
        <f ca="1">IFERROR(__xludf.DUMMYFUNCTION("IFERROR(GOOGLEFINANCE(B3692,""changepct""),K3692)"),0.27)</f>
        <v>0.27</v>
      </c>
      <c r="M3692" s="6">
        <f ca="1">IFERROR(__xludf.DUMMYFUNCTION("IFERROR(GOOGLEFINANCE(B3692,""change""),0)"),0)</f>
        <v>0</v>
      </c>
      <c r="N3692" s="6">
        <v>1</v>
      </c>
      <c r="O3692" s="7">
        <v>45536</v>
      </c>
      <c r="P3692" s="6">
        <v>405.35</v>
      </c>
      <c r="Q3692" s="6">
        <v>472.06</v>
      </c>
      <c r="R3692" s="7">
        <v>45536</v>
      </c>
      <c r="S3692" s="6">
        <v>484.02</v>
      </c>
      <c r="T3692" s="6">
        <v>-68.41</v>
      </c>
      <c r="U3692" s="7">
        <v>45536</v>
      </c>
      <c r="V3692" s="6">
        <v>0</v>
      </c>
      <c r="W3692" s="6">
        <f ca="1">IFERROR(__xludf.DUMMYFUNCTION("IFERROR(GOOGLEFINANCE(B3692,""pe""),V3692)"),0)</f>
        <v>0</v>
      </c>
      <c r="X3692" s="9"/>
      <c r="Y3692" s="6">
        <v>-0.42</v>
      </c>
      <c r="Z3692" s="6">
        <v>1</v>
      </c>
      <c r="AA3692" s="8">
        <v>45352</v>
      </c>
      <c r="AB3692" s="4">
        <v>-2.5499999999999998</v>
      </c>
      <c r="AC3692" s="6">
        <v>0</v>
      </c>
      <c r="AD3692" s="6">
        <v>-39.590000000000003</v>
      </c>
      <c r="AE3692" s="1">
        <v>0</v>
      </c>
      <c r="AF3692" s="1">
        <f ca="1">IFERROR(__xludf.DUMMYFUNCTION("IFERROR(GOOGLEFINANCE(TRIM(F3692)&amp;"":"" &amp; TRIM(B3692),""high52""),AE3692)"),0)</f>
        <v>0</v>
      </c>
      <c r="AG3692" s="1">
        <v>0</v>
      </c>
      <c r="AH3692" s="1">
        <f ca="1">IFERROR(__xludf.DUMMYFUNCTION("IFERROR(GOOGLEFINANCE(TRIM(F3692)&amp;"":"" &amp; TRIM(B3692),""low52""),AE3692)"),0)</f>
        <v>0</v>
      </c>
      <c r="AI3692" s="1">
        <f ca="1">IFERROR(__xludf.DUMMYFUNCTION("IFERROR(GOOGLEFINANCE(B3692,""eps""),0)"),0)</f>
        <v>0</v>
      </c>
      <c r="AJ3692" s="1"/>
      <c r="AK3692" s="1" t="s">
        <v>11276</v>
      </c>
      <c r="AL3692" s="9">
        <f t="shared" si="350"/>
        <v>1</v>
      </c>
    </row>
    <row r="3693" spans="1:38" ht="15" x14ac:dyDescent="0.25">
      <c r="A3693" s="1" t="s">
        <v>11277</v>
      </c>
      <c r="B3693" s="1" t="s">
        <v>11278</v>
      </c>
      <c r="C3693" s="1" t="s">
        <v>487</v>
      </c>
      <c r="D3693" s="1" t="s">
        <v>487</v>
      </c>
      <c r="E3693" s="6">
        <v>2226.67</v>
      </c>
      <c r="F3693" s="1" t="s">
        <v>40</v>
      </c>
      <c r="G3693" s="6">
        <f ca="1">IFERROR(__xludf.DUMMYFUNCTION("iferror(GOOGLEFINANCE(TRIM(F3693)&amp;"":"" &amp; TRIM(B3693), ""price""),0
)"),34)</f>
        <v>34</v>
      </c>
      <c r="H3693" s="6">
        <v>129.47</v>
      </c>
      <c r="I3693" s="6">
        <f t="shared" ca="1" si="0"/>
        <v>34</v>
      </c>
      <c r="J3693" s="6">
        <f ca="1">IFERROR(__xludf.DUMMYFUNCTION("IFERROR(GOOGLEFINANCE(B3693, ""volume""), 0)"),45561)</f>
        <v>45561</v>
      </c>
      <c r="K3693" s="6">
        <v>0.56000000000000005</v>
      </c>
      <c r="L3693" s="6">
        <f ca="1">IFERROR(__xludf.DUMMYFUNCTION("IFERROR(GOOGLEFINANCE(B3693,""changepct""),K3693)"),0.24)</f>
        <v>0.24</v>
      </c>
      <c r="M3693" s="6">
        <f ca="1">IFERROR(__xludf.DUMMYFUNCTION("IFERROR(GOOGLEFINANCE(B3693,""change""),0)"),0.08)</f>
        <v>0.08</v>
      </c>
      <c r="N3693" s="6">
        <v>2</v>
      </c>
      <c r="O3693" s="7">
        <v>45536</v>
      </c>
      <c r="P3693" s="6">
        <v>21.04</v>
      </c>
      <c r="Q3693" s="6">
        <v>2247.71</v>
      </c>
      <c r="R3693" s="7">
        <v>45536</v>
      </c>
      <c r="S3693" s="6">
        <v>48.4</v>
      </c>
      <c r="T3693" s="6">
        <v>16.440000000000001</v>
      </c>
      <c r="U3693" s="7">
        <v>45536</v>
      </c>
      <c r="V3693" s="6">
        <v>135.44</v>
      </c>
      <c r="W3693" s="6">
        <f ca="1">IFERROR(__xludf.DUMMYFUNCTION("IFERROR(GOOGLEFINANCE(B3693,""pe""),V3693)"),29.48)</f>
        <v>29.48</v>
      </c>
      <c r="X3693" s="12"/>
      <c r="Y3693" s="6">
        <v>35.869999999999997</v>
      </c>
      <c r="Z3693" s="6">
        <v>2</v>
      </c>
      <c r="AA3693" s="8">
        <v>45352</v>
      </c>
      <c r="AB3693" s="4">
        <v>0.65</v>
      </c>
      <c r="AC3693" s="6">
        <v>80.58</v>
      </c>
      <c r="AD3693" s="6">
        <v>57.39</v>
      </c>
      <c r="AE3693" s="1">
        <v>0</v>
      </c>
      <c r="AF3693" s="1">
        <f ca="1">IFERROR(__xludf.DUMMYFUNCTION("IFERROR(GOOGLEFINANCE(TRIM(F3693)&amp;"":"" &amp; TRIM(B3693),""high52""),AE3693)"),119.39)</f>
        <v>119.39</v>
      </c>
      <c r="AG3693" s="1">
        <v>0</v>
      </c>
      <c r="AH3693" s="1">
        <f ca="1">IFERROR(__xludf.DUMMYFUNCTION("IFERROR(GOOGLEFINANCE(TRIM(F3693)&amp;"":"" &amp; TRIM(B3693),""low52""),AE3693)"),24.95)</f>
        <v>24.95</v>
      </c>
      <c r="AI3693" s="1">
        <f ca="1">IFERROR(__xludf.DUMMYFUNCTION("IFERROR(GOOGLEFINANCE(B3693,""eps""),0)"),1.15)</f>
        <v>1.1499999999999999</v>
      </c>
      <c r="AJ3693" s="1"/>
      <c r="AK3693" s="1" t="s">
        <v>11279</v>
      </c>
      <c r="AL3693" s="9">
        <f t="shared" si="350"/>
        <v>1</v>
      </c>
    </row>
    <row r="3694" spans="1:38" ht="15" x14ac:dyDescent="0.25">
      <c r="A3694" s="1" t="s">
        <v>11280</v>
      </c>
      <c r="B3694" s="1" t="s">
        <v>11281</v>
      </c>
      <c r="C3694" s="1" t="s">
        <v>219</v>
      </c>
      <c r="D3694" s="1" t="s">
        <v>219</v>
      </c>
      <c r="E3694" s="6">
        <v>496.7</v>
      </c>
      <c r="F3694" s="1" t="s">
        <v>53</v>
      </c>
      <c r="G3694" s="6">
        <f ca="1">IFERROR(__xludf.DUMMYFUNCTION("iferror(GOOGLEFINANCE(TRIM(F3694)&amp;"":"" &amp; TRIM(B3694), ""price""),0
)"),0)</f>
        <v>0</v>
      </c>
      <c r="H3694" s="6">
        <v>263</v>
      </c>
      <c r="I3694" s="6">
        <f t="shared" ca="1" si="0"/>
        <v>263</v>
      </c>
      <c r="J3694" s="6">
        <f ca="1">IFERROR(__xludf.DUMMYFUNCTION("IFERROR(GOOGLEFINANCE(B3694, ""volume""), 0)"),0)</f>
        <v>0</v>
      </c>
      <c r="K3694" s="12"/>
      <c r="L3694" s="6" t="str">
        <f ca="1">IFERROR(__xludf.DUMMYFUNCTION("IFERROR(GOOGLEFINANCE(B3694,""changepct""),K3694)"),"")</f>
        <v/>
      </c>
      <c r="M3694" s="6">
        <f ca="1">IFERROR(__xludf.DUMMYFUNCTION("IFERROR(GOOGLEFINANCE(B3694,""change""),0)"),0)</f>
        <v>0</v>
      </c>
      <c r="N3694" s="6">
        <v>1</v>
      </c>
      <c r="O3694" s="7">
        <v>45536</v>
      </c>
      <c r="P3694" s="6">
        <v>41.67</v>
      </c>
      <c r="Q3694" s="6">
        <v>528.79999999999995</v>
      </c>
      <c r="R3694" s="7">
        <v>45536</v>
      </c>
      <c r="S3694" s="6">
        <v>398.24</v>
      </c>
      <c r="T3694" s="6">
        <v>5.82</v>
      </c>
      <c r="U3694" s="7">
        <v>45536</v>
      </c>
      <c r="V3694" s="6">
        <v>85.42</v>
      </c>
      <c r="W3694" s="6">
        <f ca="1">IFERROR(__xludf.DUMMYFUNCTION("IFERROR(GOOGLEFINANCE(B3694,""pe""),V3694)"),85.42)</f>
        <v>85.42</v>
      </c>
      <c r="X3694" s="6">
        <v>28.38</v>
      </c>
      <c r="Y3694" s="6">
        <v>3.09</v>
      </c>
      <c r="Z3694" s="6">
        <v>1</v>
      </c>
      <c r="AA3694" s="8">
        <v>45352</v>
      </c>
      <c r="AB3694" s="4">
        <v>0.25</v>
      </c>
      <c r="AC3694" s="6">
        <v>1.91</v>
      </c>
      <c r="AD3694" s="6">
        <v>5.56</v>
      </c>
      <c r="AE3694" s="1">
        <v>0</v>
      </c>
      <c r="AF3694" s="1">
        <f ca="1">IFERROR(__xludf.DUMMYFUNCTION("IFERROR(GOOGLEFINANCE(TRIM(F3694)&amp;"":"" &amp; TRIM(B3694),""high52""),AE3694)"),0)</f>
        <v>0</v>
      </c>
      <c r="AG3694" s="1">
        <v>0</v>
      </c>
      <c r="AH3694" s="1">
        <f ca="1">IFERROR(__xludf.DUMMYFUNCTION("IFERROR(GOOGLEFINANCE(TRIM(F3694)&amp;"":"" &amp; TRIM(B3694),""low52""),AE3694)"),0)</f>
        <v>0</v>
      </c>
      <c r="AI3694" s="1">
        <f ca="1">IFERROR(__xludf.DUMMYFUNCTION("IFERROR(GOOGLEFINANCE(B3694,""eps""),0)"),0)</f>
        <v>0</v>
      </c>
      <c r="AJ3694" s="1"/>
      <c r="AK3694" s="1" t="s">
        <v>11282</v>
      </c>
      <c r="AL3694" s="9">
        <f t="shared" si="350"/>
        <v>1</v>
      </c>
    </row>
    <row r="3695" spans="1:38" ht="15" x14ac:dyDescent="0.25">
      <c r="A3695" s="1" t="s">
        <v>11283</v>
      </c>
      <c r="B3695" s="1" t="s">
        <v>11284</v>
      </c>
      <c r="C3695" s="1" t="s">
        <v>64</v>
      </c>
      <c r="D3695" s="1" t="s">
        <v>64</v>
      </c>
      <c r="E3695" s="6">
        <v>6042.66</v>
      </c>
      <c r="F3695" s="1" t="s">
        <v>40</v>
      </c>
      <c r="G3695" s="6">
        <f ca="1">IFERROR(__xludf.DUMMYFUNCTION("iferror(GOOGLEFINANCE(TRIM(F3695)&amp;"":"" &amp; TRIM(B3695), ""price""),0
)"),244.03)</f>
        <v>244.03</v>
      </c>
      <c r="H3695" s="6">
        <v>276.5</v>
      </c>
      <c r="I3695" s="6">
        <f t="shared" ca="1" si="0"/>
        <v>244.03</v>
      </c>
      <c r="J3695" s="6">
        <f ca="1">IFERROR(__xludf.DUMMYFUNCTION("IFERROR(GOOGLEFINANCE(B3695, ""volume""), 0)"),180779)</f>
        <v>180779</v>
      </c>
      <c r="K3695" s="6">
        <v>-0.41</v>
      </c>
      <c r="L3695" s="6">
        <f ca="1">IFERROR(__xludf.DUMMYFUNCTION("IFERROR(GOOGLEFINANCE(B3695,""changepct""),K3695)"),-0.1)</f>
        <v>-0.1</v>
      </c>
      <c r="M3695" s="6">
        <f ca="1">IFERROR(__xludf.DUMMYFUNCTION("IFERROR(GOOGLEFINANCE(B3695,""change""),0)"),-0.24)</f>
        <v>-0.24</v>
      </c>
      <c r="N3695" s="6">
        <v>2</v>
      </c>
      <c r="O3695" s="7">
        <v>45536</v>
      </c>
      <c r="P3695" s="6">
        <v>59.63</v>
      </c>
      <c r="Q3695" s="6">
        <v>5904.84</v>
      </c>
      <c r="R3695" s="7">
        <v>45536</v>
      </c>
      <c r="S3695" s="6">
        <v>7440.35</v>
      </c>
      <c r="T3695" s="6">
        <v>320.63</v>
      </c>
      <c r="U3695" s="7">
        <v>45536</v>
      </c>
      <c r="V3695" s="6">
        <v>18.850000000000001</v>
      </c>
      <c r="W3695" s="6">
        <f ca="1">IFERROR(__xludf.DUMMYFUNCTION("IFERROR(GOOGLEFINANCE(B3695,""pe""),V3695)"),18.76)</f>
        <v>18.760000000000002</v>
      </c>
      <c r="X3695" s="6">
        <v>0.85</v>
      </c>
      <c r="Y3695" s="6">
        <v>2.6</v>
      </c>
      <c r="Z3695" s="6">
        <v>2</v>
      </c>
      <c r="AA3695" s="8">
        <v>45352</v>
      </c>
      <c r="AB3695" s="4">
        <v>0</v>
      </c>
      <c r="AC3695" s="6">
        <v>16.48</v>
      </c>
      <c r="AD3695" s="6">
        <v>21.14</v>
      </c>
      <c r="AE3695" s="1">
        <v>0</v>
      </c>
      <c r="AF3695" s="1">
        <f ca="1">IFERROR(__xludf.DUMMYFUNCTION("IFERROR(GOOGLEFINANCE(TRIM(F3695)&amp;"":"" &amp; TRIM(B3695),""high52""),AE3695)"),359)</f>
        <v>359</v>
      </c>
      <c r="AG3695" s="1">
        <v>0</v>
      </c>
      <c r="AH3695" s="1">
        <f ca="1">IFERROR(__xludf.DUMMYFUNCTION("IFERROR(GOOGLEFINANCE(TRIM(F3695)&amp;"":"" &amp; TRIM(B3695),""low52""),AE3695)"),212.55)</f>
        <v>212.55</v>
      </c>
      <c r="AI3695" s="1">
        <f ca="1">IFERROR(__xludf.DUMMYFUNCTION("IFERROR(GOOGLEFINANCE(B3695,""eps""),0)"),13.01)</f>
        <v>13.01</v>
      </c>
      <c r="AJ3695" s="1"/>
      <c r="AK3695" s="1" t="s">
        <v>11285</v>
      </c>
      <c r="AL3695" s="9">
        <f t="shared" si="350"/>
        <v>1</v>
      </c>
    </row>
    <row r="3696" spans="1:38" ht="15" x14ac:dyDescent="0.25">
      <c r="A3696" s="1" t="s">
        <v>11286</v>
      </c>
      <c r="B3696" s="1" t="s">
        <v>11287</v>
      </c>
      <c r="C3696" s="1" t="s">
        <v>186</v>
      </c>
      <c r="D3696" s="1" t="s">
        <v>186</v>
      </c>
      <c r="E3696" s="6">
        <v>161.72999999999999</v>
      </c>
      <c r="F3696" s="1" t="s">
        <v>40</v>
      </c>
      <c r="G3696" s="6">
        <f ca="1">IFERROR(__xludf.DUMMYFUNCTION("iferror(GOOGLEFINANCE(TRIM(F3696)&amp;"":"" &amp; TRIM(B3696), ""price""),0
)"),55.5)</f>
        <v>55.5</v>
      </c>
      <c r="H3696" s="6">
        <v>88.88</v>
      </c>
      <c r="I3696" s="6">
        <f t="shared" ca="1" si="0"/>
        <v>55.5</v>
      </c>
      <c r="J3696" s="6">
        <f ca="1">IFERROR(__xludf.DUMMYFUNCTION("IFERROR(GOOGLEFINANCE(B3696, ""volume""), 0)"),3621)</f>
        <v>3621</v>
      </c>
      <c r="K3696" s="6">
        <v>3.29</v>
      </c>
      <c r="L3696" s="6">
        <f ca="1">IFERROR(__xludf.DUMMYFUNCTION("IFERROR(GOOGLEFINANCE(B3696,""changepct""),K3696)"),-2.43)</f>
        <v>-2.4300000000000002</v>
      </c>
      <c r="M3696" s="6">
        <f ca="1">IFERROR(__xludf.DUMMYFUNCTION("IFERROR(GOOGLEFINANCE(B3696,""change""),0)"),-1.38)</f>
        <v>-1.38</v>
      </c>
      <c r="N3696" s="6">
        <v>1</v>
      </c>
      <c r="O3696" s="7">
        <v>45536</v>
      </c>
      <c r="P3696" s="6">
        <v>262.12</v>
      </c>
      <c r="Q3696" s="6">
        <v>412.12</v>
      </c>
      <c r="R3696" s="7">
        <v>45536</v>
      </c>
      <c r="S3696" s="6">
        <v>774.88</v>
      </c>
      <c r="T3696" s="6">
        <v>1.69</v>
      </c>
      <c r="U3696" s="7">
        <v>45536</v>
      </c>
      <c r="V3696" s="6">
        <v>95.87</v>
      </c>
      <c r="W3696" s="6">
        <f ca="1">IFERROR(__xludf.DUMMYFUNCTION("IFERROR(GOOGLEFINANCE(B3696,""pe""),V3696)"),18.95)</f>
        <v>18.95</v>
      </c>
      <c r="X3696" s="6">
        <v>4.41</v>
      </c>
      <c r="Y3696" s="6">
        <v>0.61</v>
      </c>
      <c r="Z3696" s="6">
        <v>1</v>
      </c>
      <c r="AA3696" s="8">
        <v>45352</v>
      </c>
      <c r="AB3696" s="4">
        <v>0.85</v>
      </c>
      <c r="AC3696" s="6">
        <v>1.37</v>
      </c>
      <c r="AD3696" s="6">
        <v>7.6</v>
      </c>
      <c r="AE3696" s="1">
        <v>0</v>
      </c>
      <c r="AF3696" s="1">
        <f ca="1">IFERROR(__xludf.DUMMYFUNCTION("IFERROR(GOOGLEFINANCE(TRIM(F3696)&amp;"":"" &amp; TRIM(B3696),""high52""),AE3696)"),82.4)</f>
        <v>82.4</v>
      </c>
      <c r="AG3696" s="1">
        <v>0</v>
      </c>
      <c r="AH3696" s="1">
        <f ca="1">IFERROR(__xludf.DUMMYFUNCTION("IFERROR(GOOGLEFINANCE(TRIM(F3696)&amp;"":"" &amp; TRIM(B3696),""low52""),AE3696)"),51.75)</f>
        <v>51.75</v>
      </c>
      <c r="AI3696" s="1">
        <f ca="1">IFERROR(__xludf.DUMMYFUNCTION("IFERROR(GOOGLEFINANCE(B3696,""eps""),0)"),2.93)</f>
        <v>2.93</v>
      </c>
      <c r="AJ3696" s="1"/>
      <c r="AK3696" s="1" t="s">
        <v>11288</v>
      </c>
      <c r="AL3696" s="9">
        <f t="shared" si="350"/>
        <v>1</v>
      </c>
    </row>
    <row r="3697" spans="1:38" ht="15" x14ac:dyDescent="0.25">
      <c r="A3697" s="1" t="s">
        <v>11289</v>
      </c>
      <c r="B3697" s="1" t="s">
        <v>11290</v>
      </c>
      <c r="C3697" s="1" t="s">
        <v>1067</v>
      </c>
      <c r="D3697" s="1" t="s">
        <v>1067</v>
      </c>
      <c r="E3697" s="6">
        <v>1477.36</v>
      </c>
      <c r="F3697" s="1" t="s">
        <v>40</v>
      </c>
      <c r="G3697" s="6">
        <f ca="1">IFERROR(__xludf.DUMMYFUNCTION("iferror(GOOGLEFINANCE(TRIM(F3697)&amp;"":"" &amp; TRIM(B3697), ""price""),0
)"),133.35)</f>
        <v>133.35</v>
      </c>
      <c r="H3697" s="6">
        <v>139.5</v>
      </c>
      <c r="I3697" s="6">
        <f t="shared" ca="1" si="0"/>
        <v>133.35</v>
      </c>
      <c r="J3697" s="6">
        <f ca="1">IFERROR(__xludf.DUMMYFUNCTION("IFERROR(GOOGLEFINANCE(B3697, ""volume""), 0)"),116983)</f>
        <v>116983</v>
      </c>
      <c r="K3697" s="6">
        <v>0.38</v>
      </c>
      <c r="L3697" s="6">
        <f ca="1">IFERROR(__xludf.DUMMYFUNCTION("IFERROR(GOOGLEFINANCE(B3697,""changepct""),K3697)"),-1.85)</f>
        <v>-1.85</v>
      </c>
      <c r="M3697" s="6">
        <f ca="1">IFERROR(__xludf.DUMMYFUNCTION("IFERROR(GOOGLEFINANCE(B3697,""change""),0)"),-2.52)</f>
        <v>-2.52</v>
      </c>
      <c r="N3697" s="6">
        <v>1</v>
      </c>
      <c r="O3697" s="7">
        <v>45536</v>
      </c>
      <c r="P3697" s="6">
        <v>1850.69</v>
      </c>
      <c r="Q3697" s="6">
        <v>233.51</v>
      </c>
      <c r="R3697" s="7">
        <v>45536</v>
      </c>
      <c r="S3697" s="6">
        <v>6.33</v>
      </c>
      <c r="T3697" s="12"/>
      <c r="U3697" s="6">
        <v>0.77</v>
      </c>
      <c r="V3697" s="6">
        <v>1</v>
      </c>
      <c r="W3697" s="6">
        <f ca="1">IFERROR(__xludf.DUMMYFUNCTION("IFERROR(GOOGLEFINANCE(B3697,""pe""),V3697)"),20.7)</f>
        <v>20.7</v>
      </c>
      <c r="X3697" s="7">
        <v>45352</v>
      </c>
      <c r="Y3697" s="6">
        <v>12.81</v>
      </c>
      <c r="Z3697" s="6">
        <v>1</v>
      </c>
      <c r="AA3697" s="8">
        <v>45352</v>
      </c>
      <c r="AB3697" s="4">
        <v>0.86</v>
      </c>
      <c r="AC3697" s="6">
        <v>8.1199999999999992</v>
      </c>
      <c r="AD3697" s="6">
        <v>19.670000000000002</v>
      </c>
      <c r="AE3697" s="1">
        <v>0</v>
      </c>
      <c r="AF3697" s="1">
        <f ca="1">IFERROR(__xludf.DUMMYFUNCTION("IFERROR(GOOGLEFINANCE(TRIM(F3697)&amp;"":"" &amp; TRIM(B3697),""high52""),AE3697)"),161.48)</f>
        <v>161.47999999999999</v>
      </c>
      <c r="AG3697" s="1">
        <v>0</v>
      </c>
      <c r="AH3697" s="1">
        <f ca="1">IFERROR(__xludf.DUMMYFUNCTION("IFERROR(GOOGLEFINANCE(TRIM(F3697)&amp;"":"" &amp; TRIM(B3697),""low52""),AE3697)"),97.97)</f>
        <v>97.97</v>
      </c>
      <c r="AI3697" s="1">
        <f ca="1">IFERROR(__xludf.DUMMYFUNCTION("IFERROR(GOOGLEFINANCE(B3697,""eps""),0)"),6.44)</f>
        <v>6.44</v>
      </c>
      <c r="AJ3697" s="1"/>
      <c r="AK3697" s="1" t="s">
        <v>11291</v>
      </c>
      <c r="AL3697" s="1" t="b">
        <f>ISNUMBER(AA3697)</f>
        <v>1</v>
      </c>
    </row>
    <row r="3698" spans="1:38" ht="15" x14ac:dyDescent="0.25">
      <c r="A3698" s="1" t="s">
        <v>11292</v>
      </c>
      <c r="B3698" s="1" t="s">
        <v>11293</v>
      </c>
      <c r="C3698" s="1" t="s">
        <v>219</v>
      </c>
      <c r="D3698" s="1" t="s">
        <v>219</v>
      </c>
      <c r="E3698" s="6">
        <v>42.34</v>
      </c>
      <c r="F3698" s="1" t="s">
        <v>53</v>
      </c>
      <c r="G3698" s="6">
        <f ca="1">IFERROR(__xludf.DUMMYFUNCTION("iferror(GOOGLEFINANCE(TRIM(F3698)&amp;"":"" &amp; TRIM(B3698), ""price""),0
)"),0)</f>
        <v>0</v>
      </c>
      <c r="H3698" s="6">
        <v>95.79</v>
      </c>
      <c r="I3698" s="6">
        <f t="shared" ca="1" si="0"/>
        <v>95.79</v>
      </c>
      <c r="J3698" s="6">
        <f ca="1">IFERROR(__xludf.DUMMYFUNCTION("IFERROR(GOOGLEFINANCE(B3698, ""volume""), 0)"),0)</f>
        <v>0</v>
      </c>
      <c r="K3698" s="6">
        <v>1.99</v>
      </c>
      <c r="L3698" s="6">
        <f ca="1">IFERROR(__xludf.DUMMYFUNCTION("IFERROR(GOOGLEFINANCE(B3698,""changepct""),K3698)"),1.99)</f>
        <v>1.99</v>
      </c>
      <c r="M3698" s="6">
        <f ca="1">IFERROR(__xludf.DUMMYFUNCTION("IFERROR(GOOGLEFINANCE(B3698,""change""),0)"),0)</f>
        <v>0</v>
      </c>
      <c r="N3698" s="6">
        <v>1</v>
      </c>
      <c r="O3698" s="7">
        <v>45536</v>
      </c>
      <c r="P3698" s="6">
        <v>14.29</v>
      </c>
      <c r="Q3698" s="6">
        <v>56.63</v>
      </c>
      <c r="R3698" s="7">
        <v>45536</v>
      </c>
      <c r="S3698" s="6">
        <v>76.180000000000007</v>
      </c>
      <c r="T3698" s="6">
        <v>-0.14000000000000001</v>
      </c>
      <c r="U3698" s="7">
        <v>45536</v>
      </c>
      <c r="V3698" s="6">
        <v>0</v>
      </c>
      <c r="W3698" s="6">
        <f ca="1">IFERROR(__xludf.DUMMYFUNCTION("IFERROR(GOOGLEFINANCE(B3698,""pe""),V3698)"),0)</f>
        <v>0</v>
      </c>
      <c r="X3698" s="6">
        <v>0</v>
      </c>
      <c r="Y3698" s="6">
        <v>5.33</v>
      </c>
      <c r="Z3698" s="6">
        <v>1</v>
      </c>
      <c r="AA3698" s="8">
        <v>45352</v>
      </c>
      <c r="AB3698" s="4">
        <v>1.05</v>
      </c>
      <c r="AC3698" s="6">
        <v>9.14</v>
      </c>
      <c r="AD3698" s="6">
        <v>10.71</v>
      </c>
      <c r="AE3698" s="1">
        <v>0</v>
      </c>
      <c r="AF3698" s="1">
        <f ca="1">IFERROR(__xludf.DUMMYFUNCTION("IFERROR(GOOGLEFINANCE(TRIM(F3698)&amp;"":"" &amp; TRIM(B3698),""high52""),AE3698)"),0)</f>
        <v>0</v>
      </c>
      <c r="AG3698" s="1">
        <v>0</v>
      </c>
      <c r="AH3698" s="1">
        <f ca="1">IFERROR(__xludf.DUMMYFUNCTION("IFERROR(GOOGLEFINANCE(TRIM(F3698)&amp;"":"" &amp; TRIM(B3698),""low52""),AE3698)"),0)</f>
        <v>0</v>
      </c>
      <c r="AI3698" s="1">
        <f ca="1">IFERROR(__xludf.DUMMYFUNCTION("IFERROR(GOOGLEFINANCE(B3698,""eps""),0)"),0)</f>
        <v>0</v>
      </c>
      <c r="AJ3698" s="1"/>
      <c r="AK3698" s="1" t="s">
        <v>11294</v>
      </c>
      <c r="AL3698" s="9">
        <f t="shared" ref="AL3698:AL3725" si="351">IF(AA3698&lt;&gt;AB3698,1,0)</f>
        <v>1</v>
      </c>
    </row>
    <row r="3699" spans="1:38" ht="15" x14ac:dyDescent="0.25">
      <c r="A3699" s="1" t="s">
        <v>11295</v>
      </c>
      <c r="B3699" s="1" t="s">
        <v>11296</v>
      </c>
      <c r="C3699" s="1" t="s">
        <v>706</v>
      </c>
      <c r="D3699" s="1" t="s">
        <v>706</v>
      </c>
      <c r="E3699" s="6">
        <v>1097.49</v>
      </c>
      <c r="F3699" s="1" t="s">
        <v>40</v>
      </c>
      <c r="G3699" s="6">
        <f ca="1">IFERROR(__xludf.DUMMYFUNCTION("iferror(GOOGLEFINANCE(TRIM(F3699)&amp;"":"" &amp; TRIM(B3699), ""price""),0
)"),29.02)</f>
        <v>29.02</v>
      </c>
      <c r="H3699" s="6">
        <v>68.08</v>
      </c>
      <c r="I3699" s="6">
        <f t="shared" ca="1" si="0"/>
        <v>29.02</v>
      </c>
      <c r="J3699" s="6">
        <f ca="1">IFERROR(__xludf.DUMMYFUNCTION("IFERROR(GOOGLEFINANCE(B3699, ""volume""), 0)"),9988)</f>
        <v>9988</v>
      </c>
      <c r="K3699" s="6">
        <v>1.6</v>
      </c>
      <c r="L3699" s="6">
        <f ca="1">IFERROR(__xludf.DUMMYFUNCTION("IFERROR(GOOGLEFINANCE(B3699,""changepct""),K3699)"),-0.03)</f>
        <v>-0.03</v>
      </c>
      <c r="M3699" s="6">
        <f ca="1">IFERROR(__xludf.DUMMYFUNCTION("IFERROR(GOOGLEFINANCE(B3699,""change""),0)"),-0.01)</f>
        <v>-0.01</v>
      </c>
      <c r="N3699" s="6">
        <v>2</v>
      </c>
      <c r="O3699" s="7">
        <v>45536</v>
      </c>
      <c r="P3699" s="6">
        <v>823.01</v>
      </c>
      <c r="Q3699" s="6">
        <v>1887.15</v>
      </c>
      <c r="R3699" s="7">
        <v>45536</v>
      </c>
      <c r="S3699" s="6">
        <v>2607.44</v>
      </c>
      <c r="T3699" s="6">
        <v>-85.78</v>
      </c>
      <c r="U3699" s="7">
        <v>45536</v>
      </c>
      <c r="V3699" s="6">
        <v>0</v>
      </c>
      <c r="W3699" s="6">
        <f ca="1">IFERROR(__xludf.DUMMYFUNCTION("IFERROR(GOOGLEFINANCE(B3699,""pe""),V3699)"),0)</f>
        <v>0</v>
      </c>
      <c r="X3699" s="12"/>
      <c r="Y3699" s="6">
        <v>1.18</v>
      </c>
      <c r="Z3699" s="6">
        <v>2</v>
      </c>
      <c r="AA3699" s="8">
        <v>45352</v>
      </c>
      <c r="AB3699" s="4">
        <v>0.88</v>
      </c>
      <c r="AC3699" s="6">
        <v>-13.09</v>
      </c>
      <c r="AD3699" s="6">
        <v>-7.17</v>
      </c>
      <c r="AE3699" s="1">
        <v>0</v>
      </c>
      <c r="AF3699" s="1">
        <f ca="1">IFERROR(__xludf.DUMMYFUNCTION("IFERROR(GOOGLEFINANCE(TRIM(F3699)&amp;"":"" &amp; TRIM(B3699),""high52""),AE3699)"),56)</f>
        <v>56</v>
      </c>
      <c r="AG3699" s="1">
        <v>0</v>
      </c>
      <c r="AH3699" s="1">
        <f ca="1">IFERROR(__xludf.DUMMYFUNCTION("IFERROR(GOOGLEFINANCE(TRIM(F3699)&amp;"":"" &amp; TRIM(B3699),""low52""),AE3699)"),26.2)</f>
        <v>26.2</v>
      </c>
      <c r="AI3699" s="1">
        <f ca="1">IFERROR(__xludf.DUMMYFUNCTION("IFERROR(GOOGLEFINANCE(B3699,""eps""),0)"),-5.51)</f>
        <v>-5.51</v>
      </c>
      <c r="AJ3699" s="1"/>
      <c r="AK3699" s="1" t="s">
        <v>11297</v>
      </c>
      <c r="AL3699" s="9">
        <f t="shared" si="351"/>
        <v>1</v>
      </c>
    </row>
    <row r="3700" spans="1:38" ht="15" x14ac:dyDescent="0.25">
      <c r="A3700" s="1" t="s">
        <v>11298</v>
      </c>
      <c r="B3700" s="1" t="s">
        <v>11299</v>
      </c>
      <c r="C3700" s="1" t="s">
        <v>219</v>
      </c>
      <c r="D3700" s="1" t="s">
        <v>219</v>
      </c>
      <c r="E3700" s="6">
        <v>79.23</v>
      </c>
      <c r="F3700" s="1" t="s">
        <v>53</v>
      </c>
      <c r="G3700" s="6">
        <f ca="1">IFERROR(__xludf.DUMMYFUNCTION("iferror(GOOGLEFINANCE(TRIM(F3700)&amp;"":"" &amp; TRIM(B3700), ""price""),0
)"),0)</f>
        <v>0</v>
      </c>
      <c r="H3700" s="6">
        <v>51.48</v>
      </c>
      <c r="I3700" s="6">
        <f t="shared" ca="1" si="0"/>
        <v>51.48</v>
      </c>
      <c r="J3700" s="6">
        <f ca="1">IFERROR(__xludf.DUMMYFUNCTION("IFERROR(GOOGLEFINANCE(B3700, ""volume""), 0)"),0)</f>
        <v>0</v>
      </c>
      <c r="K3700" s="6">
        <v>6.1</v>
      </c>
      <c r="L3700" s="6">
        <f ca="1">IFERROR(__xludf.DUMMYFUNCTION("IFERROR(GOOGLEFINANCE(B3700,""changepct""),K3700)"),6.1)</f>
        <v>6.1</v>
      </c>
      <c r="M3700" s="6">
        <f ca="1">IFERROR(__xludf.DUMMYFUNCTION("IFERROR(GOOGLEFINANCE(B3700,""change""),0)"),0)</f>
        <v>0</v>
      </c>
      <c r="N3700" s="6">
        <v>1</v>
      </c>
      <c r="O3700" s="7">
        <v>45536</v>
      </c>
      <c r="P3700" s="6">
        <v>66.09</v>
      </c>
      <c r="Q3700" s="6">
        <v>145.33000000000001</v>
      </c>
      <c r="R3700" s="7">
        <v>45536</v>
      </c>
      <c r="S3700" s="6">
        <v>519.16</v>
      </c>
      <c r="T3700" s="6">
        <v>3.63</v>
      </c>
      <c r="U3700" s="7">
        <v>45536</v>
      </c>
      <c r="V3700" s="6">
        <v>21.83</v>
      </c>
      <c r="W3700" s="6">
        <f ca="1">IFERROR(__xludf.DUMMYFUNCTION("IFERROR(GOOGLEFINANCE(B3700,""pe""),V3700)"),21.83)</f>
        <v>21.83</v>
      </c>
      <c r="X3700" s="6">
        <v>1.59</v>
      </c>
      <c r="Y3700" s="6">
        <v>0.83</v>
      </c>
      <c r="Z3700" s="6">
        <v>1</v>
      </c>
      <c r="AA3700" s="8">
        <v>45352</v>
      </c>
      <c r="AB3700" s="4">
        <v>0.71</v>
      </c>
      <c r="AC3700" s="6">
        <v>3.87</v>
      </c>
      <c r="AD3700" s="6">
        <v>6.3</v>
      </c>
      <c r="AE3700" s="1">
        <v>0</v>
      </c>
      <c r="AF3700" s="1">
        <f ca="1">IFERROR(__xludf.DUMMYFUNCTION("IFERROR(GOOGLEFINANCE(TRIM(F3700)&amp;"":"" &amp; TRIM(B3700),""high52""),AE3700)"),0)</f>
        <v>0</v>
      </c>
      <c r="AG3700" s="1">
        <v>0</v>
      </c>
      <c r="AH3700" s="1">
        <f ca="1">IFERROR(__xludf.DUMMYFUNCTION("IFERROR(GOOGLEFINANCE(TRIM(F3700)&amp;"":"" &amp; TRIM(B3700),""low52""),AE3700)"),0)</f>
        <v>0</v>
      </c>
      <c r="AI3700" s="1">
        <f ca="1">IFERROR(__xludf.DUMMYFUNCTION("IFERROR(GOOGLEFINANCE(B3700,""eps""),0)"),0)</f>
        <v>0</v>
      </c>
      <c r="AJ3700" s="1"/>
      <c r="AK3700" s="1" t="s">
        <v>11300</v>
      </c>
      <c r="AL3700" s="9">
        <f t="shared" si="351"/>
        <v>1</v>
      </c>
    </row>
    <row r="3701" spans="1:38" ht="15" x14ac:dyDescent="0.25">
      <c r="A3701" s="1" t="s">
        <v>11301</v>
      </c>
      <c r="B3701" s="1" t="s">
        <v>11302</v>
      </c>
      <c r="C3701" s="1" t="s">
        <v>219</v>
      </c>
      <c r="D3701" s="1" t="s">
        <v>219</v>
      </c>
      <c r="E3701" s="6">
        <v>349.44</v>
      </c>
      <c r="F3701" s="1" t="s">
        <v>53</v>
      </c>
      <c r="G3701" s="6">
        <f ca="1">IFERROR(__xludf.DUMMYFUNCTION("iferror(GOOGLEFINANCE(TRIM(F3701)&amp;"":"" &amp; TRIM(B3701), ""price""),0
)"),0)</f>
        <v>0</v>
      </c>
      <c r="H3701" s="6">
        <v>41.3</v>
      </c>
      <c r="I3701" s="6">
        <f t="shared" ca="1" si="0"/>
        <v>41.3</v>
      </c>
      <c r="J3701" s="6">
        <f ca="1">IFERROR(__xludf.DUMMYFUNCTION("IFERROR(GOOGLEFINANCE(B3701, ""volume""), 0)"),0)</f>
        <v>0</v>
      </c>
      <c r="K3701" s="6">
        <v>0.54</v>
      </c>
      <c r="L3701" s="6">
        <f ca="1">IFERROR(__xludf.DUMMYFUNCTION("IFERROR(GOOGLEFINANCE(B3701,""changepct""),K3701)"),0.54)</f>
        <v>0.54</v>
      </c>
      <c r="M3701" s="6">
        <f ca="1">IFERROR(__xludf.DUMMYFUNCTION("IFERROR(GOOGLEFINANCE(B3701,""change""),0)"),0)</f>
        <v>0</v>
      </c>
      <c r="N3701" s="6">
        <v>1</v>
      </c>
      <c r="O3701" s="7">
        <v>45536</v>
      </c>
      <c r="P3701" s="6">
        <v>36.89</v>
      </c>
      <c r="Q3701" s="6">
        <v>386.32</v>
      </c>
      <c r="R3701" s="7">
        <v>45536</v>
      </c>
      <c r="S3701" s="6">
        <v>468.72</v>
      </c>
      <c r="T3701" s="6">
        <v>30.54</v>
      </c>
      <c r="U3701" s="7">
        <v>45536</v>
      </c>
      <c r="V3701" s="6">
        <v>11.44</v>
      </c>
      <c r="W3701" s="6">
        <f ca="1">IFERROR(__xludf.DUMMYFUNCTION("IFERROR(GOOGLEFINANCE(B3701,""pe""),V3701)"),11.44)</f>
        <v>11.44</v>
      </c>
      <c r="X3701" s="6">
        <v>0.71</v>
      </c>
      <c r="Y3701" s="6">
        <v>2.9</v>
      </c>
      <c r="Z3701" s="6">
        <v>1</v>
      </c>
      <c r="AA3701" s="8">
        <v>45352</v>
      </c>
      <c r="AB3701" s="4">
        <v>0</v>
      </c>
      <c r="AC3701" s="6">
        <v>118.37</v>
      </c>
      <c r="AD3701" s="6">
        <v>32.24</v>
      </c>
      <c r="AE3701" s="1">
        <v>0</v>
      </c>
      <c r="AF3701" s="1">
        <f ca="1">IFERROR(__xludf.DUMMYFUNCTION("IFERROR(GOOGLEFINANCE(TRIM(F3701)&amp;"":"" &amp; TRIM(B3701),""high52""),AE3701)"),0)</f>
        <v>0</v>
      </c>
      <c r="AG3701" s="1">
        <v>0</v>
      </c>
      <c r="AH3701" s="1">
        <f ca="1">IFERROR(__xludf.DUMMYFUNCTION("IFERROR(GOOGLEFINANCE(TRIM(F3701)&amp;"":"" &amp; TRIM(B3701),""low52""),AE3701)"),0)</f>
        <v>0</v>
      </c>
      <c r="AI3701" s="1">
        <f ca="1">IFERROR(__xludf.DUMMYFUNCTION("IFERROR(GOOGLEFINANCE(B3701,""eps""),0)"),0)</f>
        <v>0</v>
      </c>
      <c r="AJ3701" s="1"/>
      <c r="AK3701" s="1" t="s">
        <v>11303</v>
      </c>
      <c r="AL3701" s="9">
        <f t="shared" si="351"/>
        <v>1</v>
      </c>
    </row>
    <row r="3702" spans="1:38" ht="15" x14ac:dyDescent="0.25">
      <c r="A3702" s="1" t="s">
        <v>11304</v>
      </c>
      <c r="B3702" s="1" t="s">
        <v>11305</v>
      </c>
      <c r="C3702" s="1" t="s">
        <v>186</v>
      </c>
      <c r="D3702" s="1" t="s">
        <v>186</v>
      </c>
      <c r="E3702" s="6">
        <v>27</v>
      </c>
      <c r="F3702" s="1" t="s">
        <v>40</v>
      </c>
      <c r="G3702" s="6">
        <f ca="1">IFERROR(__xludf.DUMMYFUNCTION("iferror(GOOGLEFINANCE(TRIM(F3702)&amp;"":"" &amp; TRIM(B3702), ""price""),0
)"),0)</f>
        <v>0</v>
      </c>
      <c r="H3702" s="6">
        <v>3.9</v>
      </c>
      <c r="I3702" s="6">
        <f t="shared" ca="1" si="0"/>
        <v>3.9</v>
      </c>
      <c r="J3702" s="6">
        <f ca="1">IFERROR(__xludf.DUMMYFUNCTION("IFERROR(GOOGLEFINANCE(B3702, ""volume""), 0)"),0)</f>
        <v>0</v>
      </c>
      <c r="K3702" s="6">
        <v>-2.74</v>
      </c>
      <c r="L3702" s="6">
        <f ca="1">IFERROR(__xludf.DUMMYFUNCTION("IFERROR(GOOGLEFINANCE(B3702,""changepct""),K3702)"),-2.74)</f>
        <v>-2.74</v>
      </c>
      <c r="M3702" s="6">
        <f ca="1">IFERROR(__xludf.DUMMYFUNCTION("IFERROR(GOOGLEFINANCE(B3702,""change""),0)"),0)</f>
        <v>0</v>
      </c>
      <c r="N3702" s="6">
        <v>1</v>
      </c>
      <c r="O3702" s="7">
        <v>45352</v>
      </c>
      <c r="P3702" s="6">
        <v>49.21</v>
      </c>
      <c r="Q3702" s="6">
        <v>72.63</v>
      </c>
      <c r="R3702" s="15">
        <v>45444</v>
      </c>
      <c r="S3702" s="6">
        <v>1194.3399999999999</v>
      </c>
      <c r="T3702" s="6">
        <v>-1334.7</v>
      </c>
      <c r="U3702" s="15">
        <v>45444</v>
      </c>
      <c r="V3702" s="6">
        <v>0</v>
      </c>
      <c r="W3702" s="6">
        <f ca="1">IFERROR(__xludf.DUMMYFUNCTION("IFERROR(GOOGLEFINANCE(B3702,""pe""),V3702)"),0)</f>
        <v>0</v>
      </c>
      <c r="X3702" s="9"/>
      <c r="Y3702" s="6">
        <v>-0.04</v>
      </c>
      <c r="Z3702" s="6">
        <v>2</v>
      </c>
      <c r="AA3702" s="8">
        <v>44986</v>
      </c>
      <c r="AB3702" s="4">
        <v>0.38</v>
      </c>
      <c r="AC3702" s="6">
        <v>-41.13</v>
      </c>
      <c r="AD3702" s="6">
        <v>-27.52</v>
      </c>
      <c r="AE3702" s="1">
        <v>0</v>
      </c>
      <c r="AF3702" s="1">
        <f ca="1">IFERROR(__xludf.DUMMYFUNCTION("IFERROR(GOOGLEFINANCE(TRIM(F3702)&amp;"":"" &amp; TRIM(B3702),""high52""),AE3702)"),0)</f>
        <v>0</v>
      </c>
      <c r="AG3702" s="1">
        <v>0</v>
      </c>
      <c r="AH3702" s="1">
        <f ca="1">IFERROR(__xludf.DUMMYFUNCTION("IFERROR(GOOGLEFINANCE(TRIM(F3702)&amp;"":"" &amp; TRIM(B3702),""low52""),AE3702)"),0)</f>
        <v>0</v>
      </c>
      <c r="AI3702" s="1">
        <f ca="1">IFERROR(__xludf.DUMMYFUNCTION("IFERROR(GOOGLEFINANCE(B3702,""eps""),0)"),0)</f>
        <v>0</v>
      </c>
      <c r="AJ3702" s="1"/>
      <c r="AK3702" s="9"/>
      <c r="AL3702" s="9">
        <f t="shared" si="351"/>
        <v>1</v>
      </c>
    </row>
    <row r="3703" spans="1:38" ht="15" x14ac:dyDescent="0.25">
      <c r="A3703" s="1" t="s">
        <v>11306</v>
      </c>
      <c r="B3703" s="1" t="s">
        <v>11307</v>
      </c>
      <c r="C3703" s="1" t="s">
        <v>106</v>
      </c>
      <c r="D3703" s="1" t="s">
        <v>106</v>
      </c>
      <c r="E3703" s="6">
        <v>2806.61</v>
      </c>
      <c r="F3703" s="1" t="s">
        <v>40</v>
      </c>
      <c r="G3703" s="6">
        <f ca="1">IFERROR(__xludf.DUMMYFUNCTION("iferror(GOOGLEFINANCE(TRIM(F3703)&amp;"":"" &amp; TRIM(B3703), ""price""),0
)"),138.45)</f>
        <v>138.44999999999999</v>
      </c>
      <c r="H3703" s="6">
        <v>128.51</v>
      </c>
      <c r="I3703" s="6">
        <f t="shared" ca="1" si="0"/>
        <v>138.44999999999999</v>
      </c>
      <c r="J3703" s="6">
        <f ca="1">IFERROR(__xludf.DUMMYFUNCTION("IFERROR(GOOGLEFINANCE(B3703, ""volume""), 0)"),200919)</f>
        <v>200919</v>
      </c>
      <c r="K3703" s="6">
        <v>0.23</v>
      </c>
      <c r="L3703" s="6">
        <f ca="1">IFERROR(__xludf.DUMMYFUNCTION("IFERROR(GOOGLEFINANCE(B3703,""changepct""),K3703)"),-0.6)</f>
        <v>-0.6</v>
      </c>
      <c r="M3703" s="6">
        <f ca="1">IFERROR(__xludf.DUMMYFUNCTION("IFERROR(GOOGLEFINANCE(B3703,""change""),0)"),-0.84)</f>
        <v>-0.84</v>
      </c>
      <c r="N3703" s="6">
        <v>2</v>
      </c>
      <c r="O3703" s="7">
        <v>45536</v>
      </c>
      <c r="P3703" s="9"/>
      <c r="Q3703" s="6">
        <v>2714.12</v>
      </c>
      <c r="R3703" s="7">
        <v>45536</v>
      </c>
      <c r="S3703" s="6">
        <v>8.42</v>
      </c>
      <c r="T3703" s="6">
        <v>-145.99</v>
      </c>
      <c r="U3703" s="7">
        <v>45536</v>
      </c>
      <c r="V3703" s="6">
        <v>0</v>
      </c>
      <c r="W3703" s="6">
        <f ca="1">IFERROR(__xludf.DUMMYFUNCTION("IFERROR(GOOGLEFINANCE(B3703,""pe""),V3703)"),0)</f>
        <v>0</v>
      </c>
      <c r="X3703" s="9"/>
      <c r="Y3703" s="6">
        <v>14.57</v>
      </c>
      <c r="Z3703" s="6">
        <v>2</v>
      </c>
      <c r="AA3703" s="8">
        <v>45352</v>
      </c>
      <c r="AB3703" s="4">
        <v>0</v>
      </c>
      <c r="AC3703" s="6">
        <v>-32.56</v>
      </c>
      <c r="AD3703" s="6">
        <v>-32.78</v>
      </c>
      <c r="AE3703" s="1">
        <v>0</v>
      </c>
      <c r="AF3703" s="1">
        <f ca="1">IFERROR(__xludf.DUMMYFUNCTION("IFERROR(GOOGLEFINANCE(TRIM(F3703)&amp;"":"" &amp; TRIM(B3703),""high52""),AE3703)"),299.99)</f>
        <v>299.99</v>
      </c>
      <c r="AG3703" s="1">
        <v>0</v>
      </c>
      <c r="AH3703" s="1">
        <f ca="1">IFERROR(__xludf.DUMMYFUNCTION("IFERROR(GOOGLEFINANCE(TRIM(F3703)&amp;"":"" &amp; TRIM(B3703),""low52""),AE3703)"),102.5)</f>
        <v>102.5</v>
      </c>
      <c r="AI3703" s="1">
        <f ca="1">IFERROR(__xludf.DUMMYFUNCTION("IFERROR(GOOGLEFINANCE(B3703,""eps""),0)"),-9.64)</f>
        <v>-9.64</v>
      </c>
      <c r="AJ3703" s="1"/>
      <c r="AK3703" s="1" t="s">
        <v>11308</v>
      </c>
      <c r="AL3703" s="9">
        <f t="shared" si="351"/>
        <v>1</v>
      </c>
    </row>
    <row r="3704" spans="1:38" ht="15" x14ac:dyDescent="0.25">
      <c r="A3704" s="1" t="s">
        <v>11309</v>
      </c>
      <c r="B3704" s="1" t="s">
        <v>11310</v>
      </c>
      <c r="C3704" s="1" t="s">
        <v>219</v>
      </c>
      <c r="D3704" s="1" t="s">
        <v>219</v>
      </c>
      <c r="E3704" s="6">
        <v>113.06</v>
      </c>
      <c r="F3704" s="1" t="s">
        <v>53</v>
      </c>
      <c r="G3704" s="6">
        <f ca="1">IFERROR(__xludf.DUMMYFUNCTION("iferror(GOOGLEFINANCE(TRIM(F3704)&amp;"":"" &amp; TRIM(B3704), ""price""),0
)"),0)</f>
        <v>0</v>
      </c>
      <c r="H3704" s="6">
        <v>101</v>
      </c>
      <c r="I3704" s="6">
        <f t="shared" ca="1" si="0"/>
        <v>101</v>
      </c>
      <c r="J3704" s="6">
        <f ca="1">IFERROR(__xludf.DUMMYFUNCTION("IFERROR(GOOGLEFINANCE(B3704, ""volume""), 0)"),0)</f>
        <v>0</v>
      </c>
      <c r="K3704" s="6">
        <v>-1.89</v>
      </c>
      <c r="L3704" s="6">
        <f ca="1">IFERROR(__xludf.DUMMYFUNCTION("IFERROR(GOOGLEFINANCE(B3704,""changepct""),K3704)"),-1.89)</f>
        <v>-1.89</v>
      </c>
      <c r="M3704" s="6">
        <f ca="1">IFERROR(__xludf.DUMMYFUNCTION("IFERROR(GOOGLEFINANCE(B3704,""change""),0)"),0)</f>
        <v>0</v>
      </c>
      <c r="N3704" s="6">
        <v>1</v>
      </c>
      <c r="O3704" s="7">
        <v>45536</v>
      </c>
      <c r="P3704" s="6">
        <v>29</v>
      </c>
      <c r="Q3704" s="6">
        <v>135.19999999999999</v>
      </c>
      <c r="R3704" s="7">
        <v>45536</v>
      </c>
      <c r="S3704" s="6">
        <v>123.61</v>
      </c>
      <c r="T3704" s="6">
        <v>3.09</v>
      </c>
      <c r="U3704" s="7">
        <v>45536</v>
      </c>
      <c r="V3704" s="6">
        <v>36.590000000000003</v>
      </c>
      <c r="W3704" s="6">
        <f ca="1">IFERROR(__xludf.DUMMYFUNCTION("IFERROR(GOOGLEFINANCE(B3704,""pe""),V3704)"),36.59)</f>
        <v>36.590000000000003</v>
      </c>
      <c r="X3704" s="6">
        <v>0.56999999999999995</v>
      </c>
      <c r="Y3704" s="6">
        <v>2.52</v>
      </c>
      <c r="Z3704" s="6">
        <v>1</v>
      </c>
      <c r="AA3704" s="8">
        <v>45352</v>
      </c>
      <c r="AB3704" s="4">
        <v>0.7</v>
      </c>
      <c r="AC3704" s="6">
        <v>3.24</v>
      </c>
      <c r="AD3704" s="6">
        <v>5.53</v>
      </c>
      <c r="AE3704" s="1">
        <v>0</v>
      </c>
      <c r="AF3704" s="1">
        <f ca="1">IFERROR(__xludf.DUMMYFUNCTION("IFERROR(GOOGLEFINANCE(TRIM(F3704)&amp;"":"" &amp; TRIM(B3704),""high52""),AE3704)"),0)</f>
        <v>0</v>
      </c>
      <c r="AG3704" s="1">
        <v>0</v>
      </c>
      <c r="AH3704" s="1">
        <f ca="1">IFERROR(__xludf.DUMMYFUNCTION("IFERROR(GOOGLEFINANCE(TRIM(F3704)&amp;"":"" &amp; TRIM(B3704),""low52""),AE3704)"),0)</f>
        <v>0</v>
      </c>
      <c r="AI3704" s="1">
        <f ca="1">IFERROR(__xludf.DUMMYFUNCTION("IFERROR(GOOGLEFINANCE(B3704,""eps""),0)"),0)</f>
        <v>0</v>
      </c>
      <c r="AJ3704" s="1"/>
      <c r="AK3704" s="1" t="s">
        <v>11311</v>
      </c>
      <c r="AL3704" s="9">
        <f t="shared" si="351"/>
        <v>1</v>
      </c>
    </row>
    <row r="3705" spans="1:38" ht="15" x14ac:dyDescent="0.25">
      <c r="A3705" s="1" t="s">
        <v>11312</v>
      </c>
      <c r="B3705" s="1" t="s">
        <v>11313</v>
      </c>
      <c r="C3705" s="1" t="s">
        <v>219</v>
      </c>
      <c r="D3705" s="1" t="s">
        <v>219</v>
      </c>
      <c r="E3705" s="6">
        <v>21.89</v>
      </c>
      <c r="F3705" s="1" t="s">
        <v>53</v>
      </c>
      <c r="G3705" s="6">
        <f ca="1">IFERROR(__xludf.DUMMYFUNCTION("iferror(GOOGLEFINANCE(TRIM(F3705)&amp;"":"" &amp; TRIM(B3705), ""price""),0
)"),0)</f>
        <v>0</v>
      </c>
      <c r="H3705" s="6">
        <v>43.25</v>
      </c>
      <c r="I3705" s="6">
        <f t="shared" ca="1" si="0"/>
        <v>43.25</v>
      </c>
      <c r="J3705" s="6">
        <f ca="1">IFERROR(__xludf.DUMMYFUNCTION("IFERROR(GOOGLEFINANCE(B3705, ""volume""), 0)"),0)</f>
        <v>0</v>
      </c>
      <c r="K3705" s="6">
        <v>8.4</v>
      </c>
      <c r="L3705" s="6">
        <f ca="1">IFERROR(__xludf.DUMMYFUNCTION("IFERROR(GOOGLEFINANCE(B3705,""changepct""),K3705)"),8.4)</f>
        <v>8.4</v>
      </c>
      <c r="M3705" s="6">
        <f ca="1">IFERROR(__xludf.DUMMYFUNCTION("IFERROR(GOOGLEFINANCE(B3705,""change""),0)"),0)</f>
        <v>0</v>
      </c>
      <c r="N3705" s="6">
        <v>1</v>
      </c>
      <c r="O3705" s="7">
        <v>45536</v>
      </c>
      <c r="P3705" s="6">
        <v>0.04</v>
      </c>
      <c r="Q3705" s="6">
        <v>21.93</v>
      </c>
      <c r="R3705" s="7">
        <v>45536</v>
      </c>
      <c r="S3705" s="6">
        <v>0</v>
      </c>
      <c r="T3705" s="6">
        <v>12.1</v>
      </c>
      <c r="U3705" s="7">
        <v>45536</v>
      </c>
      <c r="V3705" s="6">
        <v>1.81</v>
      </c>
      <c r="W3705" s="6">
        <f ca="1">IFERROR(__xludf.DUMMYFUNCTION("IFERROR(GOOGLEFINANCE(B3705,""pe""),V3705)"),1.81)</f>
        <v>1.81</v>
      </c>
      <c r="X3705" s="6">
        <v>0.03</v>
      </c>
      <c r="Y3705" s="6">
        <v>1.2</v>
      </c>
      <c r="Z3705" s="6">
        <v>1</v>
      </c>
      <c r="AA3705" s="8">
        <v>45352</v>
      </c>
      <c r="AB3705" s="4">
        <v>0.17</v>
      </c>
      <c r="AC3705" s="6">
        <v>93.52</v>
      </c>
      <c r="AD3705" s="6">
        <v>100.61</v>
      </c>
      <c r="AE3705" s="1">
        <v>0</v>
      </c>
      <c r="AF3705" s="1">
        <f ca="1">IFERROR(__xludf.DUMMYFUNCTION("IFERROR(GOOGLEFINANCE(TRIM(F3705)&amp;"":"" &amp; TRIM(B3705),""high52""),AE3705)"),0)</f>
        <v>0</v>
      </c>
      <c r="AG3705" s="1">
        <v>0</v>
      </c>
      <c r="AH3705" s="1">
        <f ca="1">IFERROR(__xludf.DUMMYFUNCTION("IFERROR(GOOGLEFINANCE(TRIM(F3705)&amp;"":"" &amp; TRIM(B3705),""low52""),AE3705)"),0)</f>
        <v>0</v>
      </c>
      <c r="AI3705" s="1">
        <f ca="1">IFERROR(__xludf.DUMMYFUNCTION("IFERROR(GOOGLEFINANCE(B3705,""eps""),0)"),0)</f>
        <v>0</v>
      </c>
      <c r="AJ3705" s="1"/>
      <c r="AK3705" s="1" t="s">
        <v>11314</v>
      </c>
      <c r="AL3705" s="9">
        <f t="shared" si="351"/>
        <v>1</v>
      </c>
    </row>
    <row r="3706" spans="1:38" ht="15" x14ac:dyDescent="0.25">
      <c r="A3706" s="1" t="s">
        <v>11315</v>
      </c>
      <c r="B3706" s="1" t="s">
        <v>11316</v>
      </c>
      <c r="C3706" s="1" t="s">
        <v>219</v>
      </c>
      <c r="D3706" s="1" t="s">
        <v>219</v>
      </c>
      <c r="E3706" s="6">
        <v>482.55</v>
      </c>
      <c r="F3706" s="1" t="s">
        <v>53</v>
      </c>
      <c r="G3706" s="6">
        <f ca="1">IFERROR(__xludf.DUMMYFUNCTION("iferror(GOOGLEFINANCE(TRIM(F3706)&amp;"":"" &amp; TRIM(B3706), ""price""),0
)"),0)</f>
        <v>0</v>
      </c>
      <c r="H3706" s="6">
        <v>47.49</v>
      </c>
      <c r="I3706" s="6">
        <f t="shared" ca="1" si="0"/>
        <v>47.49</v>
      </c>
      <c r="J3706" s="6">
        <f ca="1">IFERROR(__xludf.DUMMYFUNCTION("IFERROR(GOOGLEFINANCE(B3706, ""volume""), 0)"),93559)</f>
        <v>93559</v>
      </c>
      <c r="K3706" s="6">
        <v>-1.25</v>
      </c>
      <c r="L3706" s="6">
        <f ca="1">IFERROR(__xludf.DUMMYFUNCTION("IFERROR(GOOGLEFINANCE(B3706,""changepct""),K3706)"),-5.06)</f>
        <v>-5.0599999999999996</v>
      </c>
      <c r="M3706" s="6">
        <f ca="1">IFERROR(__xludf.DUMMYFUNCTION("IFERROR(GOOGLEFINANCE(B3706,""change""),0)"),-0.93)</f>
        <v>-0.93</v>
      </c>
      <c r="N3706" s="6">
        <v>2</v>
      </c>
      <c r="O3706" s="7">
        <v>45536</v>
      </c>
      <c r="P3706" s="6">
        <v>127.85</v>
      </c>
      <c r="Q3706" s="6">
        <v>610.4</v>
      </c>
      <c r="R3706" s="7">
        <v>45536</v>
      </c>
      <c r="S3706" s="6">
        <v>527.9</v>
      </c>
      <c r="T3706" s="6">
        <v>17.350000000000001</v>
      </c>
      <c r="U3706" s="7">
        <v>45536</v>
      </c>
      <c r="V3706" s="6">
        <v>27.82</v>
      </c>
      <c r="W3706" s="6">
        <f ca="1">IFERROR(__xludf.DUMMYFUNCTION("IFERROR(GOOGLEFINANCE(B3706,""pe""),V3706)"),12.86)</f>
        <v>12.86</v>
      </c>
      <c r="X3706" s="6">
        <v>5.64</v>
      </c>
      <c r="Y3706" s="6">
        <v>3.95</v>
      </c>
      <c r="Z3706" s="6">
        <v>2</v>
      </c>
      <c r="AA3706" s="8">
        <v>45352</v>
      </c>
      <c r="AB3706" s="4">
        <v>1.1499999999999999</v>
      </c>
      <c r="AC3706" s="6">
        <v>20.14</v>
      </c>
      <c r="AD3706" s="6">
        <v>16.61</v>
      </c>
      <c r="AE3706" s="1">
        <v>0</v>
      </c>
      <c r="AF3706" s="1">
        <f ca="1">IFERROR(__xludf.DUMMYFUNCTION("IFERROR(GOOGLEFINANCE(TRIM(F3706)&amp;"":"" &amp; TRIM(B3706),""high52""),AE3706)"),0)</f>
        <v>0</v>
      </c>
      <c r="AG3706" s="1">
        <v>0</v>
      </c>
      <c r="AH3706" s="1">
        <f ca="1">IFERROR(__xludf.DUMMYFUNCTION("IFERROR(GOOGLEFINANCE(TRIM(F3706)&amp;"":"" &amp; TRIM(B3706),""low52""),AE3706)"),0)</f>
        <v>0</v>
      </c>
      <c r="AI3706" s="1">
        <f ca="1">IFERROR(__xludf.DUMMYFUNCTION("IFERROR(GOOGLEFINANCE(B3706,""eps""),0)"),1.36)</f>
        <v>1.36</v>
      </c>
      <c r="AJ3706" s="1"/>
      <c r="AK3706" s="1" t="s">
        <v>11317</v>
      </c>
      <c r="AL3706" s="9">
        <f t="shared" si="351"/>
        <v>1</v>
      </c>
    </row>
    <row r="3707" spans="1:38" ht="15" x14ac:dyDescent="0.25">
      <c r="A3707" s="1" t="s">
        <v>11318</v>
      </c>
      <c r="B3707" s="1" t="s">
        <v>11319</v>
      </c>
      <c r="C3707" s="1" t="s">
        <v>106</v>
      </c>
      <c r="D3707" s="1" t="s">
        <v>106</v>
      </c>
      <c r="E3707" s="6">
        <v>28368.720000000001</v>
      </c>
      <c r="F3707" s="1" t="s">
        <v>40</v>
      </c>
      <c r="G3707" s="6">
        <f ca="1">IFERROR(__xludf.DUMMYFUNCTION("iferror(GOOGLEFINANCE(TRIM(F3707)&amp;"":"" &amp; TRIM(B3707), ""price""),0
)"),0)</f>
        <v>0</v>
      </c>
      <c r="H3707" s="6">
        <v>1106.3499999999999</v>
      </c>
      <c r="I3707" s="6">
        <f t="shared" ca="1" si="0"/>
        <v>1106.3499999999999</v>
      </c>
      <c r="J3707" s="6">
        <f ca="1">IFERROR(__xludf.DUMMYFUNCTION("IFERROR(GOOGLEFINANCE(B3707, ""volume""), 0)"),0)</f>
        <v>0</v>
      </c>
      <c r="K3707" s="6">
        <v>-0.73</v>
      </c>
      <c r="L3707" s="6">
        <f ca="1">IFERROR(__xludf.DUMMYFUNCTION("IFERROR(GOOGLEFINANCE(B3707,""changepct""),K3707)"),-0.73)</f>
        <v>-0.73</v>
      </c>
      <c r="M3707" s="6">
        <f ca="1">IFERROR(__xludf.DUMMYFUNCTION("IFERROR(GOOGLEFINANCE(B3707,""change""),0)"),0)</f>
        <v>0</v>
      </c>
      <c r="N3707" s="6">
        <v>2</v>
      </c>
      <c r="O3707" s="7">
        <v>45536</v>
      </c>
      <c r="P3707" s="6">
        <v>9.07</v>
      </c>
      <c r="Q3707" s="6">
        <v>28335.64</v>
      </c>
      <c r="R3707" s="7">
        <v>45536</v>
      </c>
      <c r="S3707" s="6">
        <v>961.16</v>
      </c>
      <c r="T3707" s="6">
        <v>242.88</v>
      </c>
      <c r="U3707" s="7">
        <v>45536</v>
      </c>
      <c r="V3707" s="6">
        <v>116.69</v>
      </c>
      <c r="W3707" s="6">
        <f ca="1">IFERROR(__xludf.DUMMYFUNCTION("IFERROR(GOOGLEFINANCE(B3707,""pe""),V3707)"),116.69)</f>
        <v>116.69</v>
      </c>
      <c r="X3707" s="6">
        <v>5.21</v>
      </c>
      <c r="Y3707" s="6">
        <v>14.34</v>
      </c>
      <c r="Z3707" s="6">
        <v>2</v>
      </c>
      <c r="AA3707" s="8">
        <v>45352</v>
      </c>
      <c r="AB3707" s="4">
        <v>0.02</v>
      </c>
      <c r="AC3707" s="6">
        <v>15.87</v>
      </c>
      <c r="AD3707" s="6">
        <v>21.22</v>
      </c>
      <c r="AE3707" s="1">
        <v>0</v>
      </c>
      <c r="AF3707" s="1">
        <f ca="1">IFERROR(__xludf.DUMMYFUNCTION("IFERROR(GOOGLEFINANCE(TRIM(F3707)&amp;"":"" &amp; TRIM(B3707),""high52""),AE3707)"),0)</f>
        <v>0</v>
      </c>
      <c r="AG3707" s="1">
        <v>0</v>
      </c>
      <c r="AH3707" s="1">
        <f ca="1">IFERROR(__xludf.DUMMYFUNCTION("IFERROR(GOOGLEFINANCE(TRIM(F3707)&amp;"":"" &amp; TRIM(B3707),""low52""),AE3707)"),0)</f>
        <v>0</v>
      </c>
      <c r="AI3707" s="1">
        <f ca="1">IFERROR(__xludf.DUMMYFUNCTION("IFERROR(GOOGLEFINANCE(B3707,""eps""),0)"),0)</f>
        <v>0</v>
      </c>
      <c r="AJ3707" s="1"/>
      <c r="AK3707" s="1" t="s">
        <v>11320</v>
      </c>
      <c r="AL3707" s="9">
        <f t="shared" si="351"/>
        <v>1</v>
      </c>
    </row>
    <row r="3708" spans="1:38" ht="15" x14ac:dyDescent="0.25">
      <c r="A3708" s="1" t="s">
        <v>11321</v>
      </c>
      <c r="B3708" s="1" t="s">
        <v>11322</v>
      </c>
      <c r="C3708" s="1" t="s">
        <v>4934</v>
      </c>
      <c r="D3708" s="1" t="s">
        <v>4934</v>
      </c>
      <c r="E3708" s="6">
        <v>143.93</v>
      </c>
      <c r="F3708" s="1" t="s">
        <v>40</v>
      </c>
      <c r="G3708" s="6">
        <f ca="1">IFERROR(__xludf.DUMMYFUNCTION("iferror(GOOGLEFINANCE(TRIM(F3708)&amp;"":"" &amp; TRIM(B3708), ""price""),0
)"),3.02)</f>
        <v>3.02</v>
      </c>
      <c r="H3708" s="6">
        <v>6.82</v>
      </c>
      <c r="I3708" s="6">
        <f t="shared" ca="1" si="0"/>
        <v>3.02</v>
      </c>
      <c r="J3708" s="6">
        <f ca="1">IFERROR(__xludf.DUMMYFUNCTION("IFERROR(GOOGLEFINANCE(B3708, ""volume""), 0)"),100526)</f>
        <v>100526</v>
      </c>
      <c r="K3708" s="6">
        <v>-0.57999999999999996</v>
      </c>
      <c r="L3708" s="6">
        <f ca="1">IFERROR(__xludf.DUMMYFUNCTION("IFERROR(GOOGLEFINANCE(B3708,""changepct""),K3708)"),-2.89)</f>
        <v>-2.89</v>
      </c>
      <c r="M3708" s="6">
        <f ca="1">IFERROR(__xludf.DUMMYFUNCTION("IFERROR(GOOGLEFINANCE(B3708,""change""),0)"),-0.09)</f>
        <v>-0.09</v>
      </c>
      <c r="N3708" s="6">
        <v>2</v>
      </c>
      <c r="O3708" s="7">
        <v>45536</v>
      </c>
      <c r="P3708" s="6">
        <v>3.54</v>
      </c>
      <c r="Q3708" s="6">
        <v>147.47</v>
      </c>
      <c r="R3708" s="7">
        <v>45536</v>
      </c>
      <c r="S3708" s="6">
        <v>11.81</v>
      </c>
      <c r="T3708" s="6">
        <v>-16.190000000000001</v>
      </c>
      <c r="U3708" s="7">
        <v>45536</v>
      </c>
      <c r="V3708" s="6">
        <v>0</v>
      </c>
      <c r="W3708" s="6">
        <f ca="1">IFERROR(__xludf.DUMMYFUNCTION("IFERROR(GOOGLEFINANCE(B3708,""pe""),V3708)"),0)</f>
        <v>0</v>
      </c>
      <c r="X3708" s="12"/>
      <c r="Y3708" s="6">
        <v>3.07</v>
      </c>
      <c r="Z3708" s="6">
        <v>2</v>
      </c>
      <c r="AA3708" s="8">
        <v>45352</v>
      </c>
      <c r="AB3708" s="4">
        <v>0.06</v>
      </c>
      <c r="AC3708" s="6">
        <v>-25.8</v>
      </c>
      <c r="AD3708" s="6">
        <v>-23.4</v>
      </c>
      <c r="AE3708" s="1">
        <v>0</v>
      </c>
      <c r="AF3708" s="1">
        <f ca="1">IFERROR(__xludf.DUMMYFUNCTION("IFERROR(GOOGLEFINANCE(TRIM(F3708)&amp;"":"" &amp; TRIM(B3708),""high52""),AE3708)"),6.57)</f>
        <v>6.57</v>
      </c>
      <c r="AG3708" s="1">
        <v>0</v>
      </c>
      <c r="AH3708" s="1">
        <f ca="1">IFERROR(__xludf.DUMMYFUNCTION("IFERROR(GOOGLEFINANCE(TRIM(F3708)&amp;"":"" &amp; TRIM(B3708),""low52""),AE3708)"),2.57)</f>
        <v>2.57</v>
      </c>
      <c r="AI3708" s="1">
        <f ca="1">IFERROR(__xludf.DUMMYFUNCTION("IFERROR(GOOGLEFINANCE(B3708,""eps""),0)"),-0.68)</f>
        <v>-0.68</v>
      </c>
      <c r="AJ3708" s="1"/>
      <c r="AK3708" s="1" t="s">
        <v>11323</v>
      </c>
      <c r="AL3708" s="9">
        <f t="shared" si="351"/>
        <v>1</v>
      </c>
    </row>
    <row r="3709" spans="1:38" ht="15" x14ac:dyDescent="0.25">
      <c r="A3709" s="1" t="s">
        <v>11324</v>
      </c>
      <c r="B3709" s="1" t="s">
        <v>11325</v>
      </c>
      <c r="C3709" s="1" t="s">
        <v>1129</v>
      </c>
      <c r="D3709" s="1" t="s">
        <v>1129</v>
      </c>
      <c r="E3709" s="6">
        <v>1944.23</v>
      </c>
      <c r="F3709" s="1" t="s">
        <v>40</v>
      </c>
      <c r="G3709" s="6">
        <f ca="1">IFERROR(__xludf.DUMMYFUNCTION("iferror(GOOGLEFINANCE(TRIM(F3709)&amp;"":"" &amp; TRIM(B3709), ""price""),0
)"),555)</f>
        <v>555</v>
      </c>
      <c r="H3709" s="6">
        <v>1815.55</v>
      </c>
      <c r="I3709" s="6">
        <f t="shared" ca="1" si="0"/>
        <v>555</v>
      </c>
      <c r="J3709" s="6">
        <f ca="1">IFERROR(__xludf.DUMMYFUNCTION("IFERROR(GOOGLEFINANCE(B3709, ""volume""), 0)"),25056)</f>
        <v>25056</v>
      </c>
      <c r="K3709" s="6">
        <v>0.62</v>
      </c>
      <c r="L3709" s="6">
        <f ca="1">IFERROR(__xludf.DUMMYFUNCTION("IFERROR(GOOGLEFINANCE(B3709,""changepct""),K3709)"),2.12)</f>
        <v>2.12</v>
      </c>
      <c r="M3709" s="6">
        <f ca="1">IFERROR(__xludf.DUMMYFUNCTION("IFERROR(GOOGLEFINANCE(B3709,""change""),0)"),11.5)</f>
        <v>11.5</v>
      </c>
      <c r="N3709" s="6">
        <v>1</v>
      </c>
      <c r="O3709" s="7">
        <v>45536</v>
      </c>
      <c r="P3709" s="6">
        <v>101.97</v>
      </c>
      <c r="Q3709" s="6">
        <v>2046.2</v>
      </c>
      <c r="R3709" s="7">
        <v>45536</v>
      </c>
      <c r="S3709" s="6">
        <v>180.81</v>
      </c>
      <c r="T3709" s="6">
        <v>71.98</v>
      </c>
      <c r="U3709" s="7">
        <v>45536</v>
      </c>
      <c r="V3709" s="6">
        <v>27.01</v>
      </c>
      <c r="W3709" s="6">
        <f ca="1">IFERROR(__xludf.DUMMYFUNCTION("IFERROR(GOOGLEFINANCE(B3709,""pe""),V3709)"),17.47)</f>
        <v>17.47</v>
      </c>
      <c r="X3709" s="6">
        <v>1.57</v>
      </c>
      <c r="Y3709" s="6">
        <v>5.47</v>
      </c>
      <c r="Z3709" s="6">
        <v>1</v>
      </c>
      <c r="AA3709" s="8">
        <v>45352</v>
      </c>
      <c r="AB3709" s="4">
        <v>0.28999999999999998</v>
      </c>
      <c r="AC3709" s="6">
        <v>24.32</v>
      </c>
      <c r="AD3709" s="6">
        <v>25.48</v>
      </c>
      <c r="AE3709" s="1">
        <v>0</v>
      </c>
      <c r="AF3709" s="1">
        <f ca="1">IFERROR(__xludf.DUMMYFUNCTION("IFERROR(GOOGLEFINANCE(TRIM(F3709)&amp;"":"" &amp; TRIM(B3709),""high52""),AE3709)"),1540)</f>
        <v>1540</v>
      </c>
      <c r="AG3709" s="1">
        <v>0</v>
      </c>
      <c r="AH3709" s="1">
        <f ca="1">IFERROR(__xludf.DUMMYFUNCTION("IFERROR(GOOGLEFINANCE(TRIM(F3709)&amp;"":"" &amp; TRIM(B3709),""low52""),AE3709)"),526.5)</f>
        <v>526.5</v>
      </c>
      <c r="AI3709" s="1">
        <f ca="1">IFERROR(__xludf.DUMMYFUNCTION("IFERROR(GOOGLEFINANCE(B3709,""eps""),0)"),31.77)</f>
        <v>31.77</v>
      </c>
      <c r="AJ3709" s="1"/>
      <c r="AK3709" s="1" t="s">
        <v>11326</v>
      </c>
      <c r="AL3709" s="9">
        <f t="shared" si="351"/>
        <v>1</v>
      </c>
    </row>
    <row r="3710" spans="1:38" ht="15" x14ac:dyDescent="0.25">
      <c r="A3710" s="1" t="s">
        <v>11327</v>
      </c>
      <c r="B3710" s="1" t="s">
        <v>11328</v>
      </c>
      <c r="C3710" s="1" t="s">
        <v>125</v>
      </c>
      <c r="D3710" s="1" t="s">
        <v>125</v>
      </c>
      <c r="E3710" s="6">
        <v>85885.39</v>
      </c>
      <c r="F3710" s="1" t="s">
        <v>40</v>
      </c>
      <c r="G3710" s="6">
        <f ca="1">IFERROR(__xludf.DUMMYFUNCTION("iferror(GOOGLEFINANCE(TRIM(F3710)&amp;"":"" &amp; TRIM(B3710), ""price""),0
)"),47.22)</f>
        <v>47.22</v>
      </c>
      <c r="H3710" s="6">
        <v>62.35</v>
      </c>
      <c r="I3710" s="6">
        <f t="shared" ca="1" si="0"/>
        <v>47.22</v>
      </c>
      <c r="J3710" s="6">
        <f ca="1">IFERROR(__xludf.DUMMYFUNCTION("IFERROR(GOOGLEFINANCE(B3710, ""volume""), 0)"),45471127)</f>
        <v>45471127</v>
      </c>
      <c r="K3710" s="6">
        <v>-0.91</v>
      </c>
      <c r="L3710" s="6">
        <f ca="1">IFERROR(__xludf.DUMMYFUNCTION("IFERROR(GOOGLEFINANCE(B3710,""changepct""),K3710)"),2.27)</f>
        <v>2.27</v>
      </c>
      <c r="M3710" s="6">
        <f ca="1">IFERROR(__xludf.DUMMYFUNCTION("IFERROR(GOOGLEFINANCE(B3710,""change""),0)"),1.05)</f>
        <v>1.05</v>
      </c>
      <c r="N3710" s="6">
        <v>2</v>
      </c>
      <c r="O3710" s="7">
        <v>45536</v>
      </c>
      <c r="P3710" s="6">
        <v>231.91</v>
      </c>
      <c r="Q3710" s="6">
        <v>85339.39</v>
      </c>
      <c r="R3710" s="7">
        <v>45536</v>
      </c>
      <c r="S3710" s="6">
        <v>7881.65</v>
      </c>
      <c r="T3710" s="6">
        <v>960.05</v>
      </c>
      <c r="U3710" s="7">
        <v>45536</v>
      </c>
      <c r="V3710" s="6">
        <v>89.5</v>
      </c>
      <c r="W3710" s="6">
        <f ca="1">IFERROR(__xludf.DUMMYFUNCTION("IFERROR(GOOGLEFINANCE(B3710,""pe""),V3710)"),20.44)</f>
        <v>20.440000000000001</v>
      </c>
      <c r="X3710" s="6">
        <v>4.54</v>
      </c>
      <c r="Y3710" s="6">
        <v>19.11</v>
      </c>
      <c r="Z3710" s="6">
        <v>2</v>
      </c>
      <c r="AA3710" s="8">
        <v>45352</v>
      </c>
      <c r="AB3710" s="4">
        <v>0.03</v>
      </c>
      <c r="AC3710" s="6">
        <v>26.47</v>
      </c>
      <c r="AD3710" s="6">
        <v>23.42</v>
      </c>
      <c r="AE3710" s="1">
        <v>0</v>
      </c>
      <c r="AF3710" s="1">
        <f ca="1">IFERROR(__xludf.DUMMYFUNCTION("IFERROR(GOOGLEFINANCE(TRIM(F3710)&amp;"":"" &amp; TRIM(B3710),""high52""),AE3710)"),74.3)</f>
        <v>74.3</v>
      </c>
      <c r="AG3710" s="1">
        <v>0</v>
      </c>
      <c r="AH3710" s="1">
        <f ca="1">IFERROR(__xludf.DUMMYFUNCTION("IFERROR(GOOGLEFINANCE(TRIM(F3710)&amp;"":"" &amp; TRIM(B3710),""low52""),AE3710)"),44.88)</f>
        <v>44.88</v>
      </c>
      <c r="AI3710" s="1">
        <f ca="1">IFERROR(__xludf.DUMMYFUNCTION("IFERROR(GOOGLEFINANCE(B3710,""eps""),0)"),2.31)</f>
        <v>2.31</v>
      </c>
      <c r="AJ3710" s="1"/>
      <c r="AK3710" s="1" t="s">
        <v>11329</v>
      </c>
      <c r="AL3710" s="9">
        <f t="shared" si="351"/>
        <v>1</v>
      </c>
    </row>
    <row r="3711" spans="1:38" ht="15" x14ac:dyDescent="0.25">
      <c r="A3711" s="1" t="s">
        <v>11330</v>
      </c>
      <c r="B3711" s="1" t="s">
        <v>11331</v>
      </c>
      <c r="C3711" s="1" t="s">
        <v>219</v>
      </c>
      <c r="D3711" s="1" t="s">
        <v>219</v>
      </c>
      <c r="E3711" s="6">
        <v>12.83</v>
      </c>
      <c r="F3711" s="1" t="s">
        <v>53</v>
      </c>
      <c r="G3711" s="6">
        <f ca="1">IFERROR(__xludf.DUMMYFUNCTION("iferror(GOOGLEFINANCE(TRIM(F3711)&amp;"":"" &amp; TRIM(B3711), ""price""),0
)"),0)</f>
        <v>0</v>
      </c>
      <c r="H3711" s="6">
        <v>38.549999999999997</v>
      </c>
      <c r="I3711" s="6">
        <f t="shared" ca="1" si="0"/>
        <v>38.549999999999997</v>
      </c>
      <c r="J3711" s="6">
        <f ca="1">IFERROR(__xludf.DUMMYFUNCTION("IFERROR(GOOGLEFINANCE(B3711, ""volume""), 0)"),0)</f>
        <v>0</v>
      </c>
      <c r="K3711" s="12"/>
      <c r="L3711" s="6" t="str">
        <f ca="1">IFERROR(__xludf.DUMMYFUNCTION("IFERROR(GOOGLEFINANCE(B3711,""changepct""),K3711)"),"")</f>
        <v/>
      </c>
      <c r="M3711" s="6">
        <f ca="1">IFERROR(__xludf.DUMMYFUNCTION("IFERROR(GOOGLEFINANCE(B3711,""change""),0)"),0)</f>
        <v>0</v>
      </c>
      <c r="N3711" s="6">
        <v>1</v>
      </c>
      <c r="O3711" s="7">
        <v>45536</v>
      </c>
      <c r="P3711" s="9"/>
      <c r="Q3711" s="6">
        <v>10.029999999999999</v>
      </c>
      <c r="R3711" s="7">
        <v>45536</v>
      </c>
      <c r="S3711" s="6">
        <v>10.8</v>
      </c>
      <c r="T3711" s="6">
        <v>-0.02</v>
      </c>
      <c r="U3711" s="7">
        <v>45536</v>
      </c>
      <c r="V3711" s="6">
        <v>0</v>
      </c>
      <c r="W3711" s="6">
        <f ca="1">IFERROR(__xludf.DUMMYFUNCTION("IFERROR(GOOGLEFINANCE(B3711,""pe""),V3711)"),0)</f>
        <v>0</v>
      </c>
      <c r="X3711" s="9"/>
      <c r="Y3711" s="6">
        <v>0.95</v>
      </c>
      <c r="Z3711" s="6">
        <v>1</v>
      </c>
      <c r="AA3711" s="8">
        <v>45352</v>
      </c>
      <c r="AB3711" s="4">
        <v>0</v>
      </c>
      <c r="AC3711" s="6">
        <v>-1.1100000000000001</v>
      </c>
      <c r="AD3711" s="6">
        <v>-1.06</v>
      </c>
      <c r="AE3711" s="1">
        <v>0</v>
      </c>
      <c r="AF3711" s="1">
        <f ca="1">IFERROR(__xludf.DUMMYFUNCTION("IFERROR(GOOGLEFINANCE(TRIM(F3711)&amp;"":"" &amp; TRIM(B3711),""high52""),AE3711)"),0)</f>
        <v>0</v>
      </c>
      <c r="AG3711" s="1">
        <v>0</v>
      </c>
      <c r="AH3711" s="1">
        <f ca="1">IFERROR(__xludf.DUMMYFUNCTION("IFERROR(GOOGLEFINANCE(TRIM(F3711)&amp;"":"" &amp; TRIM(B3711),""low52""),AE3711)"),0)</f>
        <v>0</v>
      </c>
      <c r="AI3711" s="1">
        <f ca="1">IFERROR(__xludf.DUMMYFUNCTION("IFERROR(GOOGLEFINANCE(B3711,""eps""),0)"),0)</f>
        <v>0</v>
      </c>
      <c r="AJ3711" s="1"/>
      <c r="AK3711" s="1" t="s">
        <v>11332</v>
      </c>
      <c r="AL3711" s="9">
        <f t="shared" si="351"/>
        <v>1</v>
      </c>
    </row>
    <row r="3712" spans="1:38" ht="15" x14ac:dyDescent="0.25">
      <c r="A3712" s="1" t="s">
        <v>11333</v>
      </c>
      <c r="B3712" s="1" t="s">
        <v>11334</v>
      </c>
      <c r="C3712" s="1" t="s">
        <v>186</v>
      </c>
      <c r="D3712" s="1" t="s">
        <v>186</v>
      </c>
      <c r="E3712" s="6">
        <v>66.67</v>
      </c>
      <c r="F3712" s="1" t="s">
        <v>40</v>
      </c>
      <c r="G3712" s="6">
        <f ca="1">IFERROR(__xludf.DUMMYFUNCTION("iferror(GOOGLEFINANCE(TRIM(F3712)&amp;"":"" &amp; TRIM(B3712), ""price""),0
)"),3.27)</f>
        <v>3.27</v>
      </c>
      <c r="H3712" s="6">
        <v>5.32</v>
      </c>
      <c r="I3712" s="6">
        <f t="shared" ca="1" si="0"/>
        <v>3.27</v>
      </c>
      <c r="J3712" s="6">
        <f ca="1">IFERROR(__xludf.DUMMYFUNCTION("IFERROR(GOOGLEFINANCE(B3712, ""volume""), 0)"),55424)</f>
        <v>55424</v>
      </c>
      <c r="K3712" s="6">
        <v>2.11</v>
      </c>
      <c r="L3712" s="6">
        <f ca="1">IFERROR(__xludf.DUMMYFUNCTION("IFERROR(GOOGLEFINANCE(B3712,""changepct""),K3712)"),4.81)</f>
        <v>4.8099999999999996</v>
      </c>
      <c r="M3712" s="6">
        <f ca="1">IFERROR(__xludf.DUMMYFUNCTION("IFERROR(GOOGLEFINANCE(B3712,""change""),0)"),0.15)</f>
        <v>0.15</v>
      </c>
      <c r="N3712" s="6">
        <v>2</v>
      </c>
      <c r="O3712" s="7">
        <v>45536</v>
      </c>
      <c r="P3712" s="6">
        <v>2486.66</v>
      </c>
      <c r="Q3712" s="6">
        <v>2546.87</v>
      </c>
      <c r="R3712" s="7">
        <v>45536</v>
      </c>
      <c r="S3712" s="6">
        <v>217.86</v>
      </c>
      <c r="T3712" s="6">
        <v>-477.08</v>
      </c>
      <c r="U3712" s="7">
        <v>45536</v>
      </c>
      <c r="V3712" s="6">
        <v>0</v>
      </c>
      <c r="W3712" s="6">
        <f ca="1">IFERROR(__xludf.DUMMYFUNCTION("IFERROR(GOOGLEFINANCE(B3712,""pe""),V3712)"),0)</f>
        <v>0</v>
      </c>
      <c r="X3712" s="9"/>
      <c r="Y3712" s="6">
        <v>-0.17</v>
      </c>
      <c r="Z3712" s="6">
        <v>2</v>
      </c>
      <c r="AA3712" s="8">
        <v>45352</v>
      </c>
      <c r="AB3712" s="4">
        <v>-12.12</v>
      </c>
      <c r="AC3712" s="6">
        <v>0</v>
      </c>
      <c r="AD3712" s="6">
        <v>-8.36</v>
      </c>
      <c r="AE3712" s="1">
        <v>0</v>
      </c>
      <c r="AF3712" s="1">
        <f ca="1">IFERROR(__xludf.DUMMYFUNCTION("IFERROR(GOOGLEFINANCE(TRIM(F3712)&amp;"":"" &amp; TRIM(B3712),""high52""),AE3712)"),6.89)</f>
        <v>6.89</v>
      </c>
      <c r="AG3712" s="1">
        <v>0</v>
      </c>
      <c r="AH3712" s="1">
        <f ca="1">IFERROR(__xludf.DUMMYFUNCTION("IFERROR(GOOGLEFINANCE(TRIM(F3712)&amp;"":"" &amp; TRIM(B3712),""low52""),AE3712)"),2.37)</f>
        <v>2.37</v>
      </c>
      <c r="AI3712" s="1">
        <f ca="1">IFERROR(__xludf.DUMMYFUNCTION("IFERROR(GOOGLEFINANCE(B3712,""eps""),0)"),-71.92)</f>
        <v>-71.92</v>
      </c>
      <c r="AJ3712" s="1"/>
      <c r="AK3712" s="1" t="s">
        <v>11335</v>
      </c>
      <c r="AL3712" s="9">
        <f t="shared" si="351"/>
        <v>1</v>
      </c>
    </row>
    <row r="3713" spans="1:38" ht="15" x14ac:dyDescent="0.25">
      <c r="A3713" s="1" t="s">
        <v>11336</v>
      </c>
      <c r="B3713" s="1" t="s">
        <v>11337</v>
      </c>
      <c r="C3713" s="1" t="s">
        <v>186</v>
      </c>
      <c r="D3713" s="1" t="s">
        <v>186</v>
      </c>
      <c r="E3713" s="6">
        <v>23274.17</v>
      </c>
      <c r="F3713" s="1" t="s">
        <v>40</v>
      </c>
      <c r="G3713" s="6">
        <f ca="1">IFERROR(__xludf.DUMMYFUNCTION("iferror(GOOGLEFINANCE(TRIM(F3713)&amp;"":"" &amp; TRIM(B3713), ""price""),0
)"),0)</f>
        <v>0</v>
      </c>
      <c r="H3713" s="6">
        <v>750</v>
      </c>
      <c r="I3713" s="6">
        <f t="shared" ca="1" si="0"/>
        <v>750</v>
      </c>
      <c r="J3713" s="6">
        <f ca="1">IFERROR(__xludf.DUMMYFUNCTION("IFERROR(GOOGLEFINANCE(B3713, ""volume""), 0)"),0)</f>
        <v>0</v>
      </c>
      <c r="K3713" s="6">
        <v>0.99</v>
      </c>
      <c r="L3713" s="6">
        <f ca="1">IFERROR(__xludf.DUMMYFUNCTION("IFERROR(GOOGLEFINANCE(B3713,""changepct""),K3713)"),0.99)</f>
        <v>0.99</v>
      </c>
      <c r="M3713" s="6">
        <f ca="1">IFERROR(__xludf.DUMMYFUNCTION("IFERROR(GOOGLEFINANCE(B3713,""change""),0)"),0)</f>
        <v>0</v>
      </c>
      <c r="N3713" s="6">
        <v>2</v>
      </c>
      <c r="O3713" s="7">
        <v>45536</v>
      </c>
      <c r="P3713" s="6">
        <v>2337.9499999999998</v>
      </c>
      <c r="Q3713" s="6">
        <v>24550.560000000001</v>
      </c>
      <c r="R3713" s="7">
        <v>45536</v>
      </c>
      <c r="S3713" s="6">
        <v>5163.51</v>
      </c>
      <c r="T3713" s="6">
        <v>610.38</v>
      </c>
      <c r="U3713" s="7">
        <v>45536</v>
      </c>
      <c r="V3713" s="6">
        <v>70.12</v>
      </c>
      <c r="W3713" s="6">
        <f ca="1">IFERROR(__xludf.DUMMYFUNCTION("IFERROR(GOOGLEFINANCE(B3713,""pe""),V3713)"),70.12)</f>
        <v>70.12</v>
      </c>
      <c r="X3713" s="6">
        <v>0.56000000000000005</v>
      </c>
      <c r="Y3713" s="6">
        <v>3.6</v>
      </c>
      <c r="Z3713" s="6">
        <v>2</v>
      </c>
      <c r="AA3713" s="8">
        <v>45352</v>
      </c>
      <c r="AB3713" s="4">
        <v>0.55000000000000004</v>
      </c>
      <c r="AC3713" s="6">
        <v>13.69</v>
      </c>
      <c r="AD3713" s="6">
        <v>9.83</v>
      </c>
      <c r="AE3713" s="1">
        <v>0</v>
      </c>
      <c r="AF3713" s="1">
        <f ca="1">IFERROR(__xludf.DUMMYFUNCTION("IFERROR(GOOGLEFINANCE(TRIM(F3713)&amp;"":"" &amp; TRIM(B3713),""high52""),AE3713)"),0)</f>
        <v>0</v>
      </c>
      <c r="AG3713" s="1">
        <v>0</v>
      </c>
      <c r="AH3713" s="1">
        <f ca="1">IFERROR(__xludf.DUMMYFUNCTION("IFERROR(GOOGLEFINANCE(TRIM(F3713)&amp;"":"" &amp; TRIM(B3713),""low52""),AE3713)"),0)</f>
        <v>0</v>
      </c>
      <c r="AI3713" s="1">
        <f ca="1">IFERROR(__xludf.DUMMYFUNCTION("IFERROR(GOOGLEFINANCE(B3713,""eps""),0)"),0)</f>
        <v>0</v>
      </c>
      <c r="AJ3713" s="1"/>
      <c r="AK3713" s="1" t="s">
        <v>11338</v>
      </c>
      <c r="AL3713" s="9">
        <f t="shared" si="351"/>
        <v>1</v>
      </c>
    </row>
    <row r="3714" spans="1:38" ht="15" x14ac:dyDescent="0.25">
      <c r="A3714" s="1" t="s">
        <v>11339</v>
      </c>
      <c r="B3714" s="1" t="s">
        <v>11340</v>
      </c>
      <c r="C3714" s="1" t="s">
        <v>2386</v>
      </c>
      <c r="D3714" s="1" t="s">
        <v>2386</v>
      </c>
      <c r="E3714" s="6">
        <v>3762.13</v>
      </c>
      <c r="F3714" s="1" t="s">
        <v>40</v>
      </c>
      <c r="G3714" s="6">
        <f ca="1">IFERROR(__xludf.DUMMYFUNCTION("iferror(GOOGLEFINANCE(TRIM(F3714)&amp;"":"" &amp; TRIM(B3714), ""price""),0
)"),3492)</f>
        <v>3492</v>
      </c>
      <c r="H3714" s="6">
        <v>3135.6</v>
      </c>
      <c r="I3714" s="6">
        <f t="shared" ca="1" si="0"/>
        <v>3492</v>
      </c>
      <c r="J3714" s="6">
        <f ca="1">IFERROR(__xludf.DUMMYFUNCTION("IFERROR(GOOGLEFINANCE(B3714, ""volume""), 0)"),6342)</f>
        <v>6342</v>
      </c>
      <c r="K3714" s="6">
        <v>1.33</v>
      </c>
      <c r="L3714" s="6">
        <f ca="1">IFERROR(__xludf.DUMMYFUNCTION("IFERROR(GOOGLEFINANCE(B3714,""changepct""),K3714)"),0.65)</f>
        <v>0.65</v>
      </c>
      <c r="M3714" s="6">
        <f ca="1">IFERROR(__xludf.DUMMYFUNCTION("IFERROR(GOOGLEFINANCE(B3714,""change""),0)"),22.6)</f>
        <v>22.6</v>
      </c>
      <c r="N3714" s="6">
        <v>1</v>
      </c>
      <c r="O3714" s="7">
        <v>45536</v>
      </c>
      <c r="P3714" s="12"/>
      <c r="Q3714" s="6">
        <v>3592.25</v>
      </c>
      <c r="R3714" s="7">
        <v>45536</v>
      </c>
      <c r="S3714" s="6">
        <v>1512.74</v>
      </c>
      <c r="T3714" s="6">
        <v>147.88999999999999</v>
      </c>
      <c r="U3714" s="7">
        <v>45536</v>
      </c>
      <c r="V3714" s="6">
        <v>25.44</v>
      </c>
      <c r="W3714" s="6">
        <f ca="1">IFERROR(__xludf.DUMMYFUNCTION("IFERROR(GOOGLEFINANCE(B3714,""pe""),V3714)"),22.67)</f>
        <v>22.67</v>
      </c>
      <c r="X3714" s="6">
        <v>2.35</v>
      </c>
      <c r="Y3714" s="6">
        <v>11</v>
      </c>
      <c r="Z3714" s="6">
        <v>1</v>
      </c>
      <c r="AA3714" s="8">
        <v>45352</v>
      </c>
      <c r="AB3714" s="4">
        <v>0</v>
      </c>
      <c r="AC3714" s="6">
        <v>38.81</v>
      </c>
      <c r="AD3714" s="6">
        <v>52.12</v>
      </c>
      <c r="AE3714" s="1">
        <v>0</v>
      </c>
      <c r="AF3714" s="1">
        <f ca="1">IFERROR(__xludf.DUMMYFUNCTION("IFERROR(GOOGLEFINANCE(TRIM(F3714)&amp;"":"" &amp; TRIM(B3714),""high52""),AE3714)"),4720)</f>
        <v>4720</v>
      </c>
      <c r="AG3714" s="1">
        <v>0</v>
      </c>
      <c r="AH3714" s="1">
        <f ca="1">IFERROR(__xludf.DUMMYFUNCTION("IFERROR(GOOGLEFINANCE(TRIM(F3714)&amp;"":"" &amp; TRIM(B3714),""low52""),AE3714)"),2517)</f>
        <v>2517</v>
      </c>
      <c r="AI3714" s="1">
        <f ca="1">IFERROR(__xludf.DUMMYFUNCTION("IFERROR(GOOGLEFINANCE(B3714,""eps""),0)"),154.04)</f>
        <v>154.04</v>
      </c>
      <c r="AJ3714" s="1"/>
      <c r="AK3714" s="1" t="s">
        <v>11341</v>
      </c>
      <c r="AL3714" s="9">
        <f t="shared" si="351"/>
        <v>1</v>
      </c>
    </row>
    <row r="3715" spans="1:38" ht="15" x14ac:dyDescent="0.25">
      <c r="A3715" s="1" t="s">
        <v>11342</v>
      </c>
      <c r="B3715" s="1" t="s">
        <v>11343</v>
      </c>
      <c r="C3715" s="1" t="s">
        <v>186</v>
      </c>
      <c r="D3715" s="1" t="s">
        <v>186</v>
      </c>
      <c r="E3715" s="6">
        <v>453.65</v>
      </c>
      <c r="F3715" s="1" t="s">
        <v>40</v>
      </c>
      <c r="G3715" s="6">
        <f ca="1">IFERROR(__xludf.DUMMYFUNCTION("iferror(GOOGLEFINANCE(TRIM(F3715)&amp;"":"" &amp; TRIM(B3715), ""price""),0
)"),0)</f>
        <v>0</v>
      </c>
      <c r="H3715" s="6">
        <v>234.1</v>
      </c>
      <c r="I3715" s="6">
        <f t="shared" ca="1" si="0"/>
        <v>234.1</v>
      </c>
      <c r="J3715" s="6">
        <f ca="1">IFERROR(__xludf.DUMMYFUNCTION("IFERROR(GOOGLEFINANCE(B3715, ""volume""), 0)"),0)</f>
        <v>0</v>
      </c>
      <c r="K3715" s="6">
        <v>-2.46</v>
      </c>
      <c r="L3715" s="6">
        <f ca="1">IFERROR(__xludf.DUMMYFUNCTION("IFERROR(GOOGLEFINANCE(B3715,""changepct""),K3715)"),-2.46)</f>
        <v>-2.46</v>
      </c>
      <c r="M3715" s="6">
        <f ca="1">IFERROR(__xludf.DUMMYFUNCTION("IFERROR(GOOGLEFINANCE(B3715,""change""),0)"),0)</f>
        <v>0</v>
      </c>
      <c r="N3715" s="6">
        <v>1</v>
      </c>
      <c r="O3715" s="7">
        <v>45536</v>
      </c>
      <c r="P3715" s="6">
        <v>199.11</v>
      </c>
      <c r="Q3715" s="6">
        <v>652.76</v>
      </c>
      <c r="R3715" s="7">
        <v>45352</v>
      </c>
      <c r="S3715" s="6">
        <v>319.58999999999997</v>
      </c>
      <c r="T3715" s="6">
        <v>18.2</v>
      </c>
      <c r="U3715" s="7">
        <v>45352</v>
      </c>
      <c r="V3715" s="6">
        <v>24.93</v>
      </c>
      <c r="W3715" s="6">
        <f ca="1">IFERROR(__xludf.DUMMYFUNCTION("IFERROR(GOOGLEFINANCE(B3715,""pe""),V3715)"),24.93)</f>
        <v>24.93</v>
      </c>
      <c r="X3715" s="9"/>
      <c r="Y3715" s="6">
        <v>4.54</v>
      </c>
      <c r="Z3715" s="6">
        <v>2</v>
      </c>
      <c r="AA3715" s="8">
        <v>45352</v>
      </c>
      <c r="AB3715" s="4">
        <v>1.8</v>
      </c>
      <c r="AC3715" s="6">
        <v>22.24</v>
      </c>
      <c r="AD3715" s="6">
        <v>16.489999999999998</v>
      </c>
      <c r="AE3715" s="1">
        <v>0</v>
      </c>
      <c r="AF3715" s="1">
        <f ca="1">IFERROR(__xludf.DUMMYFUNCTION("IFERROR(GOOGLEFINANCE(TRIM(F3715)&amp;"":"" &amp; TRIM(B3715),""high52""),AE3715)"),0)</f>
        <v>0</v>
      </c>
      <c r="AG3715" s="1">
        <v>0</v>
      </c>
      <c r="AH3715" s="1">
        <f ca="1">IFERROR(__xludf.DUMMYFUNCTION("IFERROR(GOOGLEFINANCE(TRIM(F3715)&amp;"":"" &amp; TRIM(B3715),""low52""),AE3715)"),0)</f>
        <v>0</v>
      </c>
      <c r="AI3715" s="1">
        <f ca="1">IFERROR(__xludf.DUMMYFUNCTION("IFERROR(GOOGLEFINANCE(B3715,""eps""),0)"),0)</f>
        <v>0</v>
      </c>
      <c r="AJ3715" s="1"/>
      <c r="AK3715" s="1" t="s">
        <v>11344</v>
      </c>
      <c r="AL3715" s="9">
        <f t="shared" si="351"/>
        <v>1</v>
      </c>
    </row>
    <row r="3716" spans="1:38" ht="15" x14ac:dyDescent="0.25">
      <c r="A3716" s="1" t="s">
        <v>11345</v>
      </c>
      <c r="B3716" s="1" t="s">
        <v>11346</v>
      </c>
      <c r="C3716" s="1" t="s">
        <v>219</v>
      </c>
      <c r="D3716" s="1" t="s">
        <v>219</v>
      </c>
      <c r="E3716" s="6">
        <v>127.08</v>
      </c>
      <c r="F3716" s="1" t="s">
        <v>40</v>
      </c>
      <c r="G3716" s="6">
        <f ca="1">IFERROR(__xludf.DUMMYFUNCTION("iferror(GOOGLEFINANCE(TRIM(F3716)&amp;"":"" &amp; TRIM(B3716), ""price""),0
)"),0)</f>
        <v>0</v>
      </c>
      <c r="H3716" s="6">
        <v>54.7</v>
      </c>
      <c r="I3716" s="6">
        <f t="shared" ca="1" si="0"/>
        <v>54.7</v>
      </c>
      <c r="J3716" s="6">
        <f ca="1">IFERROR(__xludf.DUMMYFUNCTION("IFERROR(GOOGLEFINANCE(B3716, ""volume""), 0)"),0)</f>
        <v>0</v>
      </c>
      <c r="K3716" s="6">
        <v>0</v>
      </c>
      <c r="L3716" s="6">
        <f ca="1">IFERROR(__xludf.DUMMYFUNCTION("IFERROR(GOOGLEFINANCE(B3716,""changepct""),K3716)"),0)</f>
        <v>0</v>
      </c>
      <c r="M3716" s="6">
        <f ca="1">IFERROR(__xludf.DUMMYFUNCTION("IFERROR(GOOGLEFINANCE(B3716,""change""),0)"),0)</f>
        <v>0</v>
      </c>
      <c r="N3716" s="6">
        <v>1</v>
      </c>
      <c r="O3716" s="7">
        <v>45536</v>
      </c>
      <c r="P3716" s="6">
        <v>111.6</v>
      </c>
      <c r="Q3716" s="6">
        <v>238.68</v>
      </c>
      <c r="R3716" s="7">
        <v>45352</v>
      </c>
      <c r="S3716" s="6">
        <v>723.46</v>
      </c>
      <c r="T3716" s="6">
        <v>5.13</v>
      </c>
      <c r="U3716" s="7">
        <v>45352</v>
      </c>
      <c r="V3716" s="6">
        <v>24.76</v>
      </c>
      <c r="W3716" s="6">
        <f ca="1">IFERROR(__xludf.DUMMYFUNCTION("IFERROR(GOOGLEFINANCE(B3716,""pe""),V3716)"),24.76)</f>
        <v>24.76</v>
      </c>
      <c r="X3716" s="9"/>
      <c r="Y3716" s="6">
        <v>0.6</v>
      </c>
      <c r="Z3716" s="6">
        <v>1</v>
      </c>
      <c r="AA3716" s="8">
        <v>45352</v>
      </c>
      <c r="AB3716" s="4">
        <v>0.53</v>
      </c>
      <c r="AC3716" s="6">
        <v>2.4300000000000002</v>
      </c>
      <c r="AD3716" s="6">
        <v>7.59</v>
      </c>
      <c r="AE3716" s="1">
        <v>0</v>
      </c>
      <c r="AF3716" s="1">
        <f ca="1">IFERROR(__xludf.DUMMYFUNCTION("IFERROR(GOOGLEFINANCE(TRIM(F3716)&amp;"":"" &amp; TRIM(B3716),""high52""),AE3716)"),0)</f>
        <v>0</v>
      </c>
      <c r="AG3716" s="1">
        <v>0</v>
      </c>
      <c r="AH3716" s="1">
        <f ca="1">IFERROR(__xludf.DUMMYFUNCTION("IFERROR(GOOGLEFINANCE(TRIM(F3716)&amp;"":"" &amp; TRIM(B3716),""low52""),AE3716)"),0)</f>
        <v>0</v>
      </c>
      <c r="AI3716" s="1">
        <f ca="1">IFERROR(__xludf.DUMMYFUNCTION("IFERROR(GOOGLEFINANCE(B3716,""eps""),0)"),0)</f>
        <v>0</v>
      </c>
      <c r="AJ3716" s="1"/>
      <c r="AK3716" s="1" t="s">
        <v>11347</v>
      </c>
      <c r="AL3716" s="9">
        <f t="shared" si="351"/>
        <v>1</v>
      </c>
    </row>
    <row r="3717" spans="1:38" ht="15" x14ac:dyDescent="0.25">
      <c r="A3717" s="1" t="s">
        <v>11348</v>
      </c>
      <c r="B3717" s="1" t="s">
        <v>11349</v>
      </c>
      <c r="C3717" s="1" t="s">
        <v>525</v>
      </c>
      <c r="D3717" s="1" t="s">
        <v>525</v>
      </c>
      <c r="E3717" s="6">
        <v>1533.46</v>
      </c>
      <c r="F3717" s="1" t="s">
        <v>40</v>
      </c>
      <c r="G3717" s="6">
        <f ca="1">IFERROR(__xludf.DUMMYFUNCTION("iferror(GOOGLEFINANCE(TRIM(F3717)&amp;"":"" &amp; TRIM(B3717), ""price""),0
)"),520)</f>
        <v>520</v>
      </c>
      <c r="H3717" s="6">
        <v>1028.1500000000001</v>
      </c>
      <c r="I3717" s="6">
        <f t="shared" ca="1" si="0"/>
        <v>520</v>
      </c>
      <c r="J3717" s="6">
        <f ca="1">IFERROR(__xludf.DUMMYFUNCTION("IFERROR(GOOGLEFINANCE(B3717, ""volume""), 0)"),9099)</f>
        <v>9099</v>
      </c>
      <c r="K3717" s="6">
        <v>1.46</v>
      </c>
      <c r="L3717" s="6">
        <f ca="1">IFERROR(__xludf.DUMMYFUNCTION("IFERROR(GOOGLEFINANCE(B3717,""changepct""),K3717)"),-0.11)</f>
        <v>-0.11</v>
      </c>
      <c r="M3717" s="6">
        <f ca="1">IFERROR(__xludf.DUMMYFUNCTION("IFERROR(GOOGLEFINANCE(B3717,""change""),0)"),-0.55)</f>
        <v>-0.55000000000000004</v>
      </c>
      <c r="N3717" s="6">
        <v>2</v>
      </c>
      <c r="O3717" s="7">
        <v>45536</v>
      </c>
      <c r="P3717" s="6">
        <v>632.84</v>
      </c>
      <c r="Q3717" s="6">
        <v>1920.68</v>
      </c>
      <c r="R3717" s="7">
        <v>45536</v>
      </c>
      <c r="S3717" s="6">
        <v>450.54</v>
      </c>
      <c r="T3717" s="6">
        <v>56.77</v>
      </c>
      <c r="U3717" s="7">
        <v>45536</v>
      </c>
      <c r="V3717" s="6">
        <v>26.45</v>
      </c>
      <c r="W3717" s="6">
        <f ca="1">IFERROR(__xludf.DUMMYFUNCTION("IFERROR(GOOGLEFINANCE(B3717,""pe""),V3717)"),22.27)</f>
        <v>22.27</v>
      </c>
      <c r="X3717" s="6">
        <v>0.71</v>
      </c>
      <c r="Y3717" s="6">
        <v>1.8</v>
      </c>
      <c r="Z3717" s="6">
        <v>2</v>
      </c>
      <c r="AA3717" s="8">
        <v>45352</v>
      </c>
      <c r="AB3717" s="4">
        <v>0.68</v>
      </c>
      <c r="AC3717" s="6">
        <v>6.62</v>
      </c>
      <c r="AD3717" s="6">
        <v>8.1300000000000008</v>
      </c>
      <c r="AE3717" s="1">
        <v>0</v>
      </c>
      <c r="AF3717" s="1">
        <f ca="1">IFERROR(__xludf.DUMMYFUNCTION("IFERROR(GOOGLEFINANCE(TRIM(F3717)&amp;"":"" &amp; TRIM(B3717),""high52""),AE3717)"),977)</f>
        <v>977</v>
      </c>
      <c r="AG3717" s="1">
        <v>0</v>
      </c>
      <c r="AH3717" s="1">
        <f ca="1">IFERROR(__xludf.DUMMYFUNCTION("IFERROR(GOOGLEFINANCE(TRIM(F3717)&amp;"":"" &amp; TRIM(B3717),""low52""),AE3717)"),461.1)</f>
        <v>461.1</v>
      </c>
      <c r="AI3717" s="1">
        <f ca="1">IFERROR(__xludf.DUMMYFUNCTION("IFERROR(GOOGLEFINANCE(B3717,""eps""),0)"),23.35)</f>
        <v>23.35</v>
      </c>
      <c r="AJ3717" s="1"/>
      <c r="AK3717" s="1" t="s">
        <v>11350</v>
      </c>
      <c r="AL3717" s="9">
        <f t="shared" si="351"/>
        <v>1</v>
      </c>
    </row>
    <row r="3718" spans="1:38" ht="15" x14ac:dyDescent="0.25">
      <c r="A3718" s="1" t="s">
        <v>11351</v>
      </c>
      <c r="B3718" s="1" t="s">
        <v>11352</v>
      </c>
      <c r="C3718" s="1" t="s">
        <v>219</v>
      </c>
      <c r="D3718" s="1" t="s">
        <v>219</v>
      </c>
      <c r="E3718" s="6">
        <v>121.87</v>
      </c>
      <c r="F3718" s="1" t="s">
        <v>53</v>
      </c>
      <c r="G3718" s="6">
        <f ca="1">IFERROR(__xludf.DUMMYFUNCTION("iferror(GOOGLEFINANCE(TRIM(F3718)&amp;"":"" &amp; TRIM(B3718), ""price""),0
)"),0)</f>
        <v>0</v>
      </c>
      <c r="H3718" s="6">
        <v>75.98</v>
      </c>
      <c r="I3718" s="6">
        <f t="shared" ca="1" si="0"/>
        <v>75.98</v>
      </c>
      <c r="J3718" s="6">
        <f ca="1">IFERROR(__xludf.DUMMYFUNCTION("IFERROR(GOOGLEFINANCE(B3718, ""volume""), 0)"),0)</f>
        <v>0</v>
      </c>
      <c r="K3718" s="9"/>
      <c r="L3718" s="6" t="str">
        <f ca="1">IFERROR(__xludf.DUMMYFUNCTION("IFERROR(GOOGLEFINANCE(B3718,""changepct""),K3718)"),"")</f>
        <v/>
      </c>
      <c r="M3718" s="6">
        <f ca="1">IFERROR(__xludf.DUMMYFUNCTION("IFERROR(GOOGLEFINANCE(B3718,""change""),0)"),0)</f>
        <v>0</v>
      </c>
      <c r="N3718" s="6">
        <v>2</v>
      </c>
      <c r="O3718" s="7">
        <v>45536</v>
      </c>
      <c r="P3718" s="6">
        <v>322.83999999999997</v>
      </c>
      <c r="Q3718" s="6">
        <v>444.02</v>
      </c>
      <c r="R3718" s="7">
        <v>45536</v>
      </c>
      <c r="S3718" s="6">
        <v>968.35</v>
      </c>
      <c r="T3718" s="6">
        <v>-38.119999999999997</v>
      </c>
      <c r="U3718" s="7">
        <v>45536</v>
      </c>
      <c r="V3718" s="6">
        <v>0</v>
      </c>
      <c r="W3718" s="6">
        <f ca="1">IFERROR(__xludf.DUMMYFUNCTION("IFERROR(GOOGLEFINANCE(B3718,""pe""),V3718)"),0)</f>
        <v>0</v>
      </c>
      <c r="X3718" s="6">
        <v>0</v>
      </c>
      <c r="Y3718" s="6">
        <v>0.36</v>
      </c>
      <c r="Z3718" s="6">
        <v>2</v>
      </c>
      <c r="AA3718" s="8">
        <v>45352</v>
      </c>
      <c r="AB3718" s="4">
        <v>0.97</v>
      </c>
      <c r="AC3718" s="6">
        <v>-13.29</v>
      </c>
      <c r="AD3718" s="6">
        <v>-0.81</v>
      </c>
      <c r="AE3718" s="1">
        <v>0</v>
      </c>
      <c r="AF3718" s="1">
        <f ca="1">IFERROR(__xludf.DUMMYFUNCTION("IFERROR(GOOGLEFINANCE(TRIM(F3718)&amp;"":"" &amp; TRIM(B3718),""high52""),AE3718)"),0)</f>
        <v>0</v>
      </c>
      <c r="AG3718" s="1">
        <v>0</v>
      </c>
      <c r="AH3718" s="1">
        <f ca="1">IFERROR(__xludf.DUMMYFUNCTION("IFERROR(GOOGLEFINANCE(TRIM(F3718)&amp;"":"" &amp; TRIM(B3718),""low52""),AE3718)"),0)</f>
        <v>0</v>
      </c>
      <c r="AI3718" s="1">
        <f ca="1">IFERROR(__xludf.DUMMYFUNCTION("IFERROR(GOOGLEFINANCE(B3718,""eps""),0)"),0)</f>
        <v>0</v>
      </c>
      <c r="AJ3718" s="1"/>
      <c r="AK3718" s="1" t="s">
        <v>11353</v>
      </c>
      <c r="AL3718" s="9">
        <f t="shared" si="351"/>
        <v>1</v>
      </c>
    </row>
    <row r="3719" spans="1:38" ht="15" x14ac:dyDescent="0.25">
      <c r="A3719" s="1" t="s">
        <v>11354</v>
      </c>
      <c r="B3719" s="1" t="s">
        <v>11355</v>
      </c>
      <c r="C3719" s="1" t="s">
        <v>219</v>
      </c>
      <c r="D3719" s="1" t="s">
        <v>219</v>
      </c>
      <c r="E3719" s="6">
        <v>45.5</v>
      </c>
      <c r="F3719" s="1" t="s">
        <v>53</v>
      </c>
      <c r="G3719" s="6">
        <f ca="1">IFERROR(__xludf.DUMMYFUNCTION("iferror(GOOGLEFINANCE(TRIM(F3719)&amp;"":"" &amp; TRIM(B3719), ""price""),0
)"),0)</f>
        <v>0</v>
      </c>
      <c r="H3719" s="6">
        <v>34.42</v>
      </c>
      <c r="I3719" s="6">
        <f t="shared" ca="1" si="0"/>
        <v>34.42</v>
      </c>
      <c r="J3719" s="6">
        <f ca="1">IFERROR(__xludf.DUMMYFUNCTION("IFERROR(GOOGLEFINANCE(B3719, ""volume""), 0)"),0)</f>
        <v>0</v>
      </c>
      <c r="K3719" s="6">
        <v>-1.99</v>
      </c>
      <c r="L3719" s="6">
        <f ca="1">IFERROR(__xludf.DUMMYFUNCTION("IFERROR(GOOGLEFINANCE(B3719,""changepct""),K3719)"),-1.99)</f>
        <v>-1.99</v>
      </c>
      <c r="M3719" s="6">
        <f ca="1">IFERROR(__xludf.DUMMYFUNCTION("IFERROR(GOOGLEFINANCE(B3719,""change""),0)"),0)</f>
        <v>0</v>
      </c>
      <c r="N3719" s="6">
        <v>1</v>
      </c>
      <c r="O3719" s="7">
        <v>45536</v>
      </c>
      <c r="P3719" s="6">
        <v>1.6</v>
      </c>
      <c r="Q3719" s="6">
        <v>47.1</v>
      </c>
      <c r="R3719" s="7">
        <v>45536</v>
      </c>
      <c r="S3719" s="6">
        <v>0.65</v>
      </c>
      <c r="T3719" s="6">
        <v>-3.97</v>
      </c>
      <c r="U3719" s="7">
        <v>45536</v>
      </c>
      <c r="V3719" s="6">
        <v>0</v>
      </c>
      <c r="W3719" s="6">
        <f ca="1">IFERROR(__xludf.DUMMYFUNCTION("IFERROR(GOOGLEFINANCE(B3719,""pe""),V3719)"),0)</f>
        <v>0</v>
      </c>
      <c r="X3719" s="12"/>
      <c r="Y3719" s="6">
        <v>3.76</v>
      </c>
      <c r="Z3719" s="6">
        <v>1</v>
      </c>
      <c r="AA3719" s="8">
        <v>45352</v>
      </c>
      <c r="AB3719" s="4">
        <v>0.5</v>
      </c>
      <c r="AC3719" s="6">
        <v>-28.5</v>
      </c>
      <c r="AD3719" s="6">
        <v>-16.350000000000001</v>
      </c>
      <c r="AE3719" s="1">
        <v>0</v>
      </c>
      <c r="AF3719" s="1">
        <f ca="1">IFERROR(__xludf.DUMMYFUNCTION("IFERROR(GOOGLEFINANCE(TRIM(F3719)&amp;"":"" &amp; TRIM(B3719),""high52""),AE3719)"),0)</f>
        <v>0</v>
      </c>
      <c r="AG3719" s="1">
        <v>0</v>
      </c>
      <c r="AH3719" s="1">
        <f ca="1">IFERROR(__xludf.DUMMYFUNCTION("IFERROR(GOOGLEFINANCE(TRIM(F3719)&amp;"":"" &amp; TRIM(B3719),""low52""),AE3719)"),0)</f>
        <v>0</v>
      </c>
      <c r="AI3719" s="1">
        <f ca="1">IFERROR(__xludf.DUMMYFUNCTION("IFERROR(GOOGLEFINANCE(B3719,""eps""),0)"),0)</f>
        <v>0</v>
      </c>
      <c r="AJ3719" s="1"/>
      <c r="AK3719" s="1" t="s">
        <v>11356</v>
      </c>
      <c r="AL3719" s="9">
        <f t="shared" si="351"/>
        <v>1</v>
      </c>
    </row>
    <row r="3720" spans="1:38" ht="15" x14ac:dyDescent="0.25">
      <c r="A3720" s="1" t="s">
        <v>11357</v>
      </c>
      <c r="B3720" s="1" t="s">
        <v>11358</v>
      </c>
      <c r="C3720" s="1" t="s">
        <v>219</v>
      </c>
      <c r="D3720" s="1" t="s">
        <v>219</v>
      </c>
      <c r="E3720" s="6">
        <v>45.48</v>
      </c>
      <c r="F3720" s="1" t="s">
        <v>53</v>
      </c>
      <c r="G3720" s="6">
        <f ca="1">IFERROR(__xludf.DUMMYFUNCTION("iferror(GOOGLEFINANCE(TRIM(F3720)&amp;"":"" &amp; TRIM(B3720), ""price""),0
)"),0)</f>
        <v>0</v>
      </c>
      <c r="H3720" s="6">
        <v>28.09</v>
      </c>
      <c r="I3720" s="6">
        <f t="shared" ca="1" si="0"/>
        <v>28.09</v>
      </c>
      <c r="J3720" s="6">
        <f ca="1">IFERROR(__xludf.DUMMYFUNCTION("IFERROR(GOOGLEFINANCE(B3720, ""volume""), 0)"),0)</f>
        <v>0</v>
      </c>
      <c r="K3720" s="6">
        <v>-1.06</v>
      </c>
      <c r="L3720" s="6">
        <f ca="1">IFERROR(__xludf.DUMMYFUNCTION("IFERROR(GOOGLEFINANCE(B3720,""changepct""),K3720)"),-1.06)</f>
        <v>-1.06</v>
      </c>
      <c r="M3720" s="6">
        <f ca="1">IFERROR(__xludf.DUMMYFUNCTION("IFERROR(GOOGLEFINANCE(B3720,""change""),0)"),0)</f>
        <v>0</v>
      </c>
      <c r="N3720" s="6">
        <v>2</v>
      </c>
      <c r="O3720" s="7">
        <v>45536</v>
      </c>
      <c r="P3720" s="6">
        <v>65.98</v>
      </c>
      <c r="Q3720" s="6">
        <v>109.06</v>
      </c>
      <c r="R3720" s="7">
        <v>45536</v>
      </c>
      <c r="S3720" s="6">
        <v>281.86</v>
      </c>
      <c r="T3720" s="6">
        <v>11.47</v>
      </c>
      <c r="U3720" s="7">
        <v>45536</v>
      </c>
      <c r="V3720" s="6">
        <v>3.95</v>
      </c>
      <c r="W3720" s="6">
        <f ca="1">IFERROR(__xludf.DUMMYFUNCTION("IFERROR(GOOGLEFINANCE(B3720,""pe""),V3720)"),3.95)</f>
        <v>3.95</v>
      </c>
      <c r="X3720" s="6">
        <v>0.05</v>
      </c>
      <c r="Y3720" s="6">
        <v>1.31</v>
      </c>
      <c r="Z3720" s="6">
        <v>2</v>
      </c>
      <c r="AA3720" s="8">
        <v>45352</v>
      </c>
      <c r="AB3720" s="4">
        <v>1.81</v>
      </c>
      <c r="AC3720" s="6">
        <v>11.28</v>
      </c>
      <c r="AD3720" s="6">
        <v>14.48</v>
      </c>
      <c r="AE3720" s="1">
        <v>0</v>
      </c>
      <c r="AF3720" s="1">
        <f ca="1">IFERROR(__xludf.DUMMYFUNCTION("IFERROR(GOOGLEFINANCE(TRIM(F3720)&amp;"":"" &amp; TRIM(B3720),""high52""),AE3720)"),0)</f>
        <v>0</v>
      </c>
      <c r="AG3720" s="1">
        <v>0</v>
      </c>
      <c r="AH3720" s="1">
        <f ca="1">IFERROR(__xludf.DUMMYFUNCTION("IFERROR(GOOGLEFINANCE(TRIM(F3720)&amp;"":"" &amp; TRIM(B3720),""low52""),AE3720)"),0)</f>
        <v>0</v>
      </c>
      <c r="AI3720" s="1">
        <f ca="1">IFERROR(__xludf.DUMMYFUNCTION("IFERROR(GOOGLEFINANCE(B3720,""eps""),0)"),0)</f>
        <v>0</v>
      </c>
      <c r="AJ3720" s="1"/>
      <c r="AK3720" s="1" t="s">
        <v>11359</v>
      </c>
      <c r="AL3720" s="9">
        <f t="shared" si="351"/>
        <v>1</v>
      </c>
    </row>
    <row r="3721" spans="1:38" ht="15" x14ac:dyDescent="0.25">
      <c r="A3721" s="1" t="s">
        <v>11360</v>
      </c>
      <c r="B3721" s="1" t="s">
        <v>11361</v>
      </c>
      <c r="C3721" s="1" t="s">
        <v>1739</v>
      </c>
      <c r="D3721" s="1" t="s">
        <v>1739</v>
      </c>
      <c r="E3721" s="6">
        <v>124659.13</v>
      </c>
      <c r="F3721" s="1" t="s">
        <v>40</v>
      </c>
      <c r="G3721" s="6">
        <f ca="1">IFERROR(__xludf.DUMMYFUNCTION("iferror(GOOGLEFINANCE(TRIM(F3721)&amp;"":"" &amp; TRIM(B3721), ""price""),0
)"),308.75)</f>
        <v>308.75</v>
      </c>
      <c r="H3721" s="6">
        <v>553.35</v>
      </c>
      <c r="I3721" s="6">
        <f t="shared" ca="1" si="0"/>
        <v>308.75</v>
      </c>
      <c r="J3721" s="6">
        <f ca="1">IFERROR(__xludf.DUMMYFUNCTION("IFERROR(GOOGLEFINANCE(B3721, ""volume""), 0)"),11554416)</f>
        <v>11554416</v>
      </c>
      <c r="K3721" s="6">
        <v>-0.56000000000000005</v>
      </c>
      <c r="L3721" s="6">
        <f ca="1">IFERROR(__xludf.DUMMYFUNCTION("IFERROR(GOOGLEFINANCE(B3721,""changepct""),K3721)"),-1.78)</f>
        <v>-1.78</v>
      </c>
      <c r="M3721" s="6">
        <f ca="1">IFERROR(__xludf.DUMMYFUNCTION("IFERROR(GOOGLEFINANCE(B3721,""change""),0)"),-5.6)</f>
        <v>-5.6</v>
      </c>
      <c r="N3721" s="6">
        <v>2</v>
      </c>
      <c r="O3721" s="7">
        <v>45536</v>
      </c>
      <c r="P3721" s="6">
        <v>225.13</v>
      </c>
      <c r="Q3721" s="6">
        <v>124288.9</v>
      </c>
      <c r="R3721" s="12"/>
      <c r="S3721" s="12"/>
      <c r="T3721" s="12"/>
      <c r="U3721" s="7">
        <v>45352</v>
      </c>
      <c r="V3721" s="6">
        <v>0</v>
      </c>
      <c r="W3721" s="6">
        <f ca="1">IFERROR(__xludf.DUMMYFUNCTION("IFERROR(GOOGLEFINANCE(B3721,""pe""),V3721)"),0)</f>
        <v>0</v>
      </c>
      <c r="X3721" s="12"/>
      <c r="Y3721" s="6">
        <v>6.7</v>
      </c>
      <c r="Z3721" s="6">
        <v>2</v>
      </c>
      <c r="AA3721" s="8">
        <v>45352</v>
      </c>
      <c r="AB3721" s="4">
        <v>0.03</v>
      </c>
      <c r="AC3721" s="6">
        <v>0</v>
      </c>
      <c r="AD3721" s="6">
        <v>-26.72</v>
      </c>
      <c r="AE3721" s="1">
        <v>0</v>
      </c>
      <c r="AF3721" s="1">
        <f ca="1">IFERROR(__xludf.DUMMYFUNCTION("IFERROR(GOOGLEFINANCE(TRIM(F3721)&amp;"":"" &amp; TRIM(B3721),""high52""),AE3721)"),474)</f>
        <v>474</v>
      </c>
      <c r="AG3721" s="1">
        <v>0</v>
      </c>
      <c r="AH3721" s="1">
        <f ca="1">IFERROR(__xludf.DUMMYFUNCTION("IFERROR(GOOGLEFINANCE(TRIM(F3721)&amp;"":"" &amp; TRIM(B3721),""low52""),AE3721)"),297)</f>
        <v>297</v>
      </c>
      <c r="AI3721" s="1">
        <f ca="1">IFERROR(__xludf.DUMMYFUNCTION("IFERROR(GOOGLEFINANCE(B3721,""eps""),0)"),-18.59)</f>
        <v>-18.59</v>
      </c>
      <c r="AJ3721" s="1"/>
      <c r="AK3721" s="1" t="s">
        <v>11362</v>
      </c>
      <c r="AL3721" s="9">
        <f t="shared" si="351"/>
        <v>1</v>
      </c>
    </row>
    <row r="3722" spans="1:38" ht="15" x14ac:dyDescent="0.25">
      <c r="A3722" s="1" t="s">
        <v>11363</v>
      </c>
      <c r="B3722" s="1" t="s">
        <v>11364</v>
      </c>
      <c r="C3722" s="1" t="s">
        <v>219</v>
      </c>
      <c r="D3722" s="1" t="s">
        <v>219</v>
      </c>
      <c r="E3722" s="6">
        <v>4.55</v>
      </c>
      <c r="F3722" s="1" t="s">
        <v>53</v>
      </c>
      <c r="G3722" s="6">
        <f ca="1">IFERROR(__xludf.DUMMYFUNCTION("iferror(GOOGLEFINANCE(TRIM(F3722)&amp;"":"" &amp; TRIM(B3722), ""price""),0
)"),0)</f>
        <v>0</v>
      </c>
      <c r="H3722" s="6">
        <v>9.1999999999999993</v>
      </c>
      <c r="I3722" s="6">
        <f t="shared" ca="1" si="0"/>
        <v>9.1999999999999993</v>
      </c>
      <c r="J3722" s="6">
        <f ca="1">IFERROR(__xludf.DUMMYFUNCTION("IFERROR(GOOGLEFINANCE(B3722, ""volume""), 0)"),0)</f>
        <v>0</v>
      </c>
      <c r="K3722" s="6">
        <v>0</v>
      </c>
      <c r="L3722" s="6">
        <f ca="1">IFERROR(__xludf.DUMMYFUNCTION("IFERROR(GOOGLEFINANCE(B3722,""changepct""),K3722)"),0)</f>
        <v>0</v>
      </c>
      <c r="M3722" s="6">
        <f ca="1">IFERROR(__xludf.DUMMYFUNCTION("IFERROR(GOOGLEFINANCE(B3722,""change""),0)"),0)</f>
        <v>0</v>
      </c>
      <c r="N3722" s="6">
        <v>1</v>
      </c>
      <c r="O3722" s="7">
        <v>45536</v>
      </c>
      <c r="P3722" s="6">
        <v>46.33</v>
      </c>
      <c r="Q3722" s="6">
        <v>50.86</v>
      </c>
      <c r="R3722" s="7">
        <v>45536</v>
      </c>
      <c r="S3722" s="6">
        <v>0</v>
      </c>
      <c r="T3722" s="6">
        <v>-1.51</v>
      </c>
      <c r="U3722" s="7">
        <v>45536</v>
      </c>
      <c r="V3722" s="6">
        <v>0</v>
      </c>
      <c r="W3722" s="6">
        <f ca="1">IFERROR(__xludf.DUMMYFUNCTION("IFERROR(GOOGLEFINANCE(B3722,""pe""),V3722)"),0)</f>
        <v>0</v>
      </c>
      <c r="X3722" s="9"/>
      <c r="Y3722" s="6">
        <v>-0.21</v>
      </c>
      <c r="Z3722" s="6">
        <v>1</v>
      </c>
      <c r="AA3722" s="8">
        <v>45352</v>
      </c>
      <c r="AB3722" s="4">
        <v>-2.2400000000000002</v>
      </c>
      <c r="AC3722" s="6">
        <v>0</v>
      </c>
      <c r="AD3722" s="6">
        <v>-6.83</v>
      </c>
      <c r="AE3722" s="1">
        <v>0</v>
      </c>
      <c r="AF3722" s="1">
        <f ca="1">IFERROR(__xludf.DUMMYFUNCTION("IFERROR(GOOGLEFINANCE(TRIM(F3722)&amp;"":"" &amp; TRIM(B3722),""high52""),AE3722)"),0)</f>
        <v>0</v>
      </c>
      <c r="AG3722" s="1">
        <v>0</v>
      </c>
      <c r="AH3722" s="1">
        <f ca="1">IFERROR(__xludf.DUMMYFUNCTION("IFERROR(GOOGLEFINANCE(TRIM(F3722)&amp;"":"" &amp; TRIM(B3722),""low52""),AE3722)"),0)</f>
        <v>0</v>
      </c>
      <c r="AI3722" s="1">
        <f ca="1">IFERROR(__xludf.DUMMYFUNCTION("IFERROR(GOOGLEFINANCE(B3722,""eps""),0)"),0)</f>
        <v>0</v>
      </c>
      <c r="AJ3722" s="1"/>
      <c r="AK3722" s="1" t="s">
        <v>11365</v>
      </c>
      <c r="AL3722" s="9">
        <f t="shared" si="351"/>
        <v>1</v>
      </c>
    </row>
    <row r="3723" spans="1:38" ht="15" x14ac:dyDescent="0.25">
      <c r="A3723" s="1" t="s">
        <v>11366</v>
      </c>
      <c r="B3723" s="1" t="s">
        <v>11367</v>
      </c>
      <c r="C3723" s="1" t="s">
        <v>850</v>
      </c>
      <c r="D3723" s="1" t="s">
        <v>850</v>
      </c>
      <c r="E3723" s="6">
        <v>174.08</v>
      </c>
      <c r="F3723" s="1" t="s">
        <v>40</v>
      </c>
      <c r="G3723" s="6">
        <f ca="1">IFERROR(__xludf.DUMMYFUNCTION("iferror(GOOGLEFINANCE(TRIM(F3723)&amp;"":"" &amp; TRIM(B3723), ""price""),0
)"),0)</f>
        <v>0</v>
      </c>
      <c r="H3723" s="6">
        <v>89.9</v>
      </c>
      <c r="I3723" s="6">
        <f t="shared" ca="1" si="0"/>
        <v>89.9</v>
      </c>
      <c r="J3723" s="6">
        <f ca="1">IFERROR(__xludf.DUMMYFUNCTION("IFERROR(GOOGLEFINANCE(B3723, ""volume""), 0)"),0)</f>
        <v>0</v>
      </c>
      <c r="K3723" s="6">
        <v>0.06</v>
      </c>
      <c r="L3723" s="6">
        <f ca="1">IFERROR(__xludf.DUMMYFUNCTION("IFERROR(GOOGLEFINANCE(B3723,""changepct""),K3723)"),0.06)</f>
        <v>0.06</v>
      </c>
      <c r="M3723" s="6">
        <f ca="1">IFERROR(__xludf.DUMMYFUNCTION("IFERROR(GOOGLEFINANCE(B3723,""change""),0)"),0)</f>
        <v>0</v>
      </c>
      <c r="N3723" s="6">
        <v>1</v>
      </c>
      <c r="O3723" s="7">
        <v>45536</v>
      </c>
      <c r="P3723" s="6">
        <v>69.03</v>
      </c>
      <c r="Q3723" s="6">
        <v>243.11</v>
      </c>
      <c r="R3723" s="7">
        <v>45352</v>
      </c>
      <c r="S3723" s="6">
        <v>223.26</v>
      </c>
      <c r="T3723" s="6">
        <v>6.09</v>
      </c>
      <c r="U3723" s="7">
        <v>45352</v>
      </c>
      <c r="V3723" s="6">
        <v>28.56</v>
      </c>
      <c r="W3723" s="6">
        <f ca="1">IFERROR(__xludf.DUMMYFUNCTION("IFERROR(GOOGLEFINANCE(B3723,""pe""),V3723)"),28.56)</f>
        <v>28.56</v>
      </c>
      <c r="X3723" s="9"/>
      <c r="Y3723" s="6">
        <v>1.4</v>
      </c>
      <c r="Z3723" s="6">
        <v>1</v>
      </c>
      <c r="AA3723" s="8">
        <v>45352</v>
      </c>
      <c r="AB3723" s="4">
        <v>0.56999999999999995</v>
      </c>
      <c r="AC3723" s="6">
        <v>6.61</v>
      </c>
      <c r="AD3723" s="6">
        <v>11.85</v>
      </c>
      <c r="AE3723" s="1">
        <v>0</v>
      </c>
      <c r="AF3723" s="1">
        <f ca="1">IFERROR(__xludf.DUMMYFUNCTION("IFERROR(GOOGLEFINANCE(TRIM(F3723)&amp;"":"" &amp; TRIM(B3723),""high52""),AE3723)"),0)</f>
        <v>0</v>
      </c>
      <c r="AG3723" s="1">
        <v>0</v>
      </c>
      <c r="AH3723" s="1">
        <f ca="1">IFERROR(__xludf.DUMMYFUNCTION("IFERROR(GOOGLEFINANCE(TRIM(F3723)&amp;"":"" &amp; TRIM(B3723),""low52""),AE3723)"),0)</f>
        <v>0</v>
      </c>
      <c r="AI3723" s="1">
        <f ca="1">IFERROR(__xludf.DUMMYFUNCTION("IFERROR(GOOGLEFINANCE(B3723,""eps""),0)"),0)</f>
        <v>0</v>
      </c>
      <c r="AJ3723" s="1"/>
      <c r="AK3723" s="1" t="s">
        <v>11368</v>
      </c>
      <c r="AL3723" s="9">
        <f t="shared" si="351"/>
        <v>1</v>
      </c>
    </row>
    <row r="3724" spans="1:38" ht="15" x14ac:dyDescent="0.25">
      <c r="A3724" s="1" t="s">
        <v>11369</v>
      </c>
      <c r="B3724" s="1" t="s">
        <v>11370</v>
      </c>
      <c r="C3724" s="1" t="s">
        <v>1265</v>
      </c>
      <c r="D3724" s="1" t="s">
        <v>1265</v>
      </c>
      <c r="E3724" s="6">
        <v>9288.84</v>
      </c>
      <c r="F3724" s="1" t="s">
        <v>40</v>
      </c>
      <c r="G3724" s="6">
        <f ca="1">IFERROR(__xludf.DUMMYFUNCTION("iferror(GOOGLEFINANCE(TRIM(F3724)&amp;"":"" &amp; TRIM(B3724), ""price""),0
)"),934)</f>
        <v>934</v>
      </c>
      <c r="H3724" s="6">
        <v>1351.05</v>
      </c>
      <c r="I3724" s="6">
        <f t="shared" ca="1" si="0"/>
        <v>934</v>
      </c>
      <c r="J3724" s="6">
        <f ca="1">IFERROR(__xludf.DUMMYFUNCTION("IFERROR(GOOGLEFINANCE(B3724, ""volume""), 0)"),98380)</f>
        <v>98380</v>
      </c>
      <c r="K3724" s="6">
        <v>-0.35</v>
      </c>
      <c r="L3724" s="6">
        <f ca="1">IFERROR(__xludf.DUMMYFUNCTION("IFERROR(GOOGLEFINANCE(B3724,""changepct""),K3724)"),3.65)</f>
        <v>3.65</v>
      </c>
      <c r="M3724" s="6">
        <f ca="1">IFERROR(__xludf.DUMMYFUNCTION("IFERROR(GOOGLEFINANCE(B3724,""change""),0)"),32.85)</f>
        <v>32.85</v>
      </c>
      <c r="N3724" s="6">
        <v>2</v>
      </c>
      <c r="O3724" s="7">
        <v>45536</v>
      </c>
      <c r="P3724" s="6">
        <v>145</v>
      </c>
      <c r="Q3724" s="6">
        <v>9384.84</v>
      </c>
      <c r="R3724" s="7">
        <v>45536</v>
      </c>
      <c r="S3724" s="6">
        <v>1425</v>
      </c>
      <c r="T3724" s="6">
        <v>233</v>
      </c>
      <c r="U3724" s="7">
        <v>45536</v>
      </c>
      <c r="V3724" s="6">
        <v>39.869999999999997</v>
      </c>
      <c r="W3724" s="6">
        <f ca="1">IFERROR(__xludf.DUMMYFUNCTION("IFERROR(GOOGLEFINANCE(B3724,""pe""),V3724)"),40.24)</f>
        <v>40.24</v>
      </c>
      <c r="X3724" s="6">
        <v>6.06</v>
      </c>
      <c r="Y3724" s="6">
        <v>12.73</v>
      </c>
      <c r="Z3724" s="6">
        <v>2</v>
      </c>
      <c r="AA3724" s="8">
        <v>45352</v>
      </c>
      <c r="AB3724" s="4">
        <v>0.2</v>
      </c>
      <c r="AC3724" s="6">
        <v>18.18</v>
      </c>
      <c r="AD3724" s="6">
        <v>19.54</v>
      </c>
      <c r="AE3724" s="1">
        <v>0</v>
      </c>
      <c r="AF3724" s="1">
        <f ca="1">IFERROR(__xludf.DUMMYFUNCTION("IFERROR(GOOGLEFINANCE(TRIM(F3724)&amp;"":"" &amp; TRIM(B3724),""high52""),AE3724)"),1454.8)</f>
        <v>1454.8</v>
      </c>
      <c r="AG3724" s="1">
        <v>0</v>
      </c>
      <c r="AH3724" s="1">
        <f ca="1">IFERROR(__xludf.DUMMYFUNCTION("IFERROR(GOOGLEFINANCE(TRIM(F3724)&amp;"":"" &amp; TRIM(B3724),""low52""),AE3724)"),815)</f>
        <v>815</v>
      </c>
      <c r="AI3724" s="1">
        <f ca="1">IFERROR(__xludf.DUMMYFUNCTION("IFERROR(GOOGLEFINANCE(B3724,""eps""),0)"),23.21)</f>
        <v>23.21</v>
      </c>
      <c r="AJ3724" s="1"/>
      <c r="AK3724" s="1" t="s">
        <v>11371</v>
      </c>
      <c r="AL3724" s="9">
        <f t="shared" si="351"/>
        <v>1</v>
      </c>
    </row>
    <row r="3725" spans="1:38" ht="15" x14ac:dyDescent="0.25">
      <c r="A3725" s="1" t="s">
        <v>11372</v>
      </c>
      <c r="B3725" s="1" t="s">
        <v>11373</v>
      </c>
      <c r="C3725" s="1" t="s">
        <v>106</v>
      </c>
      <c r="D3725" s="1" t="s">
        <v>106</v>
      </c>
      <c r="E3725" s="6">
        <v>1919.48</v>
      </c>
      <c r="F3725" s="1" t="s">
        <v>40</v>
      </c>
      <c r="G3725" s="6">
        <f ca="1">IFERROR(__xludf.DUMMYFUNCTION("iferror(GOOGLEFINANCE(TRIM(F3725)&amp;"":"" &amp; TRIM(B3725), ""price""),0
)"),13.02)</f>
        <v>13.02</v>
      </c>
      <c r="H3725" s="6">
        <v>20.74</v>
      </c>
      <c r="I3725" s="6">
        <f t="shared" ca="1" si="0"/>
        <v>13.02</v>
      </c>
      <c r="J3725" s="6">
        <f ca="1">IFERROR(__xludf.DUMMYFUNCTION("IFERROR(GOOGLEFINANCE(B3725, ""volume""), 0)"),2438348)</f>
        <v>2438348</v>
      </c>
      <c r="K3725" s="6">
        <v>1.52</v>
      </c>
      <c r="L3725" s="6">
        <f ca="1">IFERROR(__xludf.DUMMYFUNCTION("IFERROR(GOOGLEFINANCE(B3725,""changepct""),K3725)"),-3.48)</f>
        <v>-3.48</v>
      </c>
      <c r="M3725" s="6">
        <f ca="1">IFERROR(__xludf.DUMMYFUNCTION("IFERROR(GOOGLEFINANCE(B3725,""change""),0)"),-0.47)</f>
        <v>-0.47</v>
      </c>
      <c r="N3725" s="6">
        <v>2</v>
      </c>
      <c r="O3725" s="7">
        <v>45536</v>
      </c>
      <c r="P3725" s="6">
        <v>14.25</v>
      </c>
      <c r="Q3725" s="6">
        <v>1921.84</v>
      </c>
      <c r="R3725" s="7">
        <v>45536</v>
      </c>
      <c r="S3725" s="6">
        <v>329.28</v>
      </c>
      <c r="T3725" s="6">
        <v>33.15</v>
      </c>
      <c r="U3725" s="7">
        <v>45536</v>
      </c>
      <c r="V3725" s="6">
        <v>57.91</v>
      </c>
      <c r="W3725" s="6">
        <f ca="1">IFERROR(__xludf.DUMMYFUNCTION("IFERROR(GOOGLEFINANCE(B3725,""pe""),V3725)"),18.87)</f>
        <v>18.87</v>
      </c>
      <c r="X3725" s="9"/>
      <c r="Y3725" s="6">
        <v>6.12</v>
      </c>
      <c r="Z3725" s="6">
        <v>2</v>
      </c>
      <c r="AA3725" s="8">
        <v>45352</v>
      </c>
      <c r="AB3725" s="4">
        <v>0.25</v>
      </c>
      <c r="AC3725" s="6">
        <v>9.3000000000000007</v>
      </c>
      <c r="AD3725" s="6">
        <v>11.05</v>
      </c>
      <c r="AE3725" s="1">
        <v>0</v>
      </c>
      <c r="AF3725" s="1">
        <f ca="1">IFERROR(__xludf.DUMMYFUNCTION("IFERROR(GOOGLEFINANCE(TRIM(F3725)&amp;"":"" &amp; TRIM(B3725),""high52""),AE3725)"),23.49)</f>
        <v>23.49</v>
      </c>
      <c r="AG3725" s="1">
        <v>0</v>
      </c>
      <c r="AH3725" s="1">
        <f ca="1">IFERROR(__xludf.DUMMYFUNCTION("IFERROR(GOOGLEFINANCE(TRIM(F3725)&amp;"":"" &amp; TRIM(B3725),""low52""),AE3725)"),11.65)</f>
        <v>11.65</v>
      </c>
      <c r="AI3725" s="1">
        <f ca="1">IFERROR(__xludf.DUMMYFUNCTION("IFERROR(GOOGLEFINANCE(B3725,""eps""),0)"),0.69)</f>
        <v>0.69</v>
      </c>
      <c r="AJ3725" s="1"/>
      <c r="AK3725" s="1" t="s">
        <v>11374</v>
      </c>
      <c r="AL3725" s="9">
        <f t="shared" si="351"/>
        <v>1</v>
      </c>
    </row>
    <row r="3726" spans="1:38" ht="15" x14ac:dyDescent="0.25">
      <c r="A3726" s="1" t="s">
        <v>11375</v>
      </c>
      <c r="B3726" s="1" t="s">
        <v>11376</v>
      </c>
      <c r="C3726" s="1" t="s">
        <v>521</v>
      </c>
      <c r="D3726" s="1" t="s">
        <v>521</v>
      </c>
      <c r="E3726" s="6">
        <v>696.17</v>
      </c>
      <c r="F3726" s="1" t="s">
        <v>40</v>
      </c>
      <c r="G3726" s="6">
        <f ca="1">IFERROR(__xludf.DUMMYFUNCTION("iferror(GOOGLEFINANCE(TRIM(F3726)&amp;"":"" &amp; TRIM(B3726), ""price""),0
)"),525)</f>
        <v>525</v>
      </c>
      <c r="H3726" s="6">
        <v>460</v>
      </c>
      <c r="I3726" s="6">
        <f t="shared" ca="1" si="0"/>
        <v>525</v>
      </c>
      <c r="J3726" s="6">
        <f ca="1">IFERROR(__xludf.DUMMYFUNCTION("IFERROR(GOOGLEFINANCE(B3726, ""volume""), 0)"),351)</f>
        <v>351</v>
      </c>
      <c r="K3726" s="6">
        <v>-1.1299999999999999</v>
      </c>
      <c r="L3726" s="6">
        <f ca="1">IFERROR(__xludf.DUMMYFUNCTION("IFERROR(GOOGLEFINANCE(B3726,""changepct""),K3726)"),0.19)</f>
        <v>0.19</v>
      </c>
      <c r="M3726" s="6">
        <f ca="1">IFERROR(__xludf.DUMMYFUNCTION("IFERROR(GOOGLEFINANCE(B3726,""change""),0)"),0.23)</f>
        <v>0.23</v>
      </c>
      <c r="N3726" s="6">
        <v>1</v>
      </c>
      <c r="O3726" s="7">
        <v>45536</v>
      </c>
      <c r="P3726" s="6">
        <v>106.22</v>
      </c>
      <c r="Q3726" s="6">
        <v>793.93</v>
      </c>
      <c r="R3726" s="7">
        <v>45536</v>
      </c>
      <c r="S3726" s="6">
        <v>338.2</v>
      </c>
      <c r="T3726" s="6">
        <v>12.98</v>
      </c>
      <c r="U3726" s="7">
        <v>45536</v>
      </c>
      <c r="V3726" s="6">
        <v>53.64</v>
      </c>
      <c r="W3726" s="6">
        <f ca="1">IFERROR(__xludf.DUMMYFUNCTION("IFERROR(GOOGLEFINANCE(B3726,""pe""),V3726)"),53.64)</f>
        <v>53.64</v>
      </c>
      <c r="X3726" s="6">
        <v>2.61</v>
      </c>
      <c r="Y3726" s="6">
        <v>12.61</v>
      </c>
      <c r="Z3726" s="6">
        <v>1</v>
      </c>
      <c r="AA3726" s="8">
        <v>45352</v>
      </c>
      <c r="AB3726" s="4">
        <v>1.71</v>
      </c>
      <c r="AC3726" s="6">
        <v>28.27</v>
      </c>
      <c r="AD3726" s="6">
        <v>23.64</v>
      </c>
      <c r="AE3726" s="1">
        <v>0</v>
      </c>
      <c r="AF3726" s="1">
        <f ca="1">IFERROR(__xludf.DUMMYFUNCTION("IFERROR(GOOGLEFINANCE(TRIM(F3726)&amp;"":"" &amp; TRIM(B3726),""high52""),AE3726)"),633.25)</f>
        <v>633.25</v>
      </c>
      <c r="AG3726" s="1">
        <v>0</v>
      </c>
      <c r="AH3726" s="1">
        <f ca="1">IFERROR(__xludf.DUMMYFUNCTION("IFERROR(GOOGLEFINANCE(TRIM(F3726)&amp;"":"" &amp; TRIM(B3726),""low52""),AE3726)"),342)</f>
        <v>342</v>
      </c>
      <c r="AI3726" s="1">
        <f ca="1">IFERROR(__xludf.DUMMYFUNCTION("IFERROR(GOOGLEFINANCE(B3726,""eps""),0)"),0)</f>
        <v>0</v>
      </c>
      <c r="AJ3726" s="1"/>
      <c r="AK3726" s="9"/>
      <c r="AL3726" s="1" t="b">
        <f>ISBLANK(AB3726)</f>
        <v>0</v>
      </c>
    </row>
    <row r="3727" spans="1:38" ht="15" x14ac:dyDescent="0.25">
      <c r="A3727" s="1" t="s">
        <v>11377</v>
      </c>
      <c r="B3727" s="1" t="s">
        <v>11378</v>
      </c>
      <c r="C3727" s="1" t="s">
        <v>106</v>
      </c>
      <c r="D3727" s="1" t="s">
        <v>106</v>
      </c>
      <c r="E3727" s="6">
        <v>35139.47</v>
      </c>
      <c r="F3727" s="1" t="s">
        <v>40</v>
      </c>
      <c r="G3727" s="6">
        <f ca="1">IFERROR(__xludf.DUMMYFUNCTION("iferror(GOOGLEFINANCE(TRIM(F3727)&amp;"":"" &amp; TRIM(B3727), ""price""),0
)"),468.65)</f>
        <v>468.65</v>
      </c>
      <c r="H3727" s="6">
        <v>862.55</v>
      </c>
      <c r="I3727" s="6">
        <f t="shared" ca="1" si="0"/>
        <v>468.65</v>
      </c>
      <c r="J3727" s="6">
        <f ca="1">IFERROR(__xludf.DUMMYFUNCTION("IFERROR(GOOGLEFINANCE(B3727, ""volume""), 0)"),1057493)</f>
        <v>1057493</v>
      </c>
      <c r="K3727" s="6">
        <v>-1.27</v>
      </c>
      <c r="L3727" s="6">
        <f ca="1">IFERROR(__xludf.DUMMYFUNCTION("IFERROR(GOOGLEFINANCE(B3727,""changepct""),K3727)"),0.71)</f>
        <v>0.71</v>
      </c>
      <c r="M3727" s="6">
        <f ca="1">IFERROR(__xludf.DUMMYFUNCTION("IFERROR(GOOGLEFINANCE(B3727,""change""),0)"),3.3)</f>
        <v>3.3</v>
      </c>
      <c r="N3727" s="6">
        <v>2</v>
      </c>
      <c r="O3727" s="7">
        <v>45536</v>
      </c>
      <c r="P3727" s="6">
        <v>159.19999999999999</v>
      </c>
      <c r="Q3727" s="6">
        <v>34778.47</v>
      </c>
      <c r="R3727" s="7">
        <v>45536</v>
      </c>
      <c r="S3727" s="6">
        <v>3451.1</v>
      </c>
      <c r="T3727" s="6">
        <v>481.9</v>
      </c>
      <c r="U3727" s="7">
        <v>45536</v>
      </c>
      <c r="V3727" s="6">
        <v>72.92</v>
      </c>
      <c r="W3727" s="6">
        <f ca="1">IFERROR(__xludf.DUMMYFUNCTION("IFERROR(GOOGLEFINANCE(B3727,""pe""),V3727)"),53.72)</f>
        <v>53.72</v>
      </c>
      <c r="X3727" s="6">
        <v>7.77</v>
      </c>
      <c r="Y3727" s="6">
        <v>7.99</v>
      </c>
      <c r="Z3727" s="6">
        <v>2</v>
      </c>
      <c r="AA3727" s="13">
        <v>45352</v>
      </c>
      <c r="AB3727" s="4">
        <v>0.03</v>
      </c>
      <c r="AC3727" s="6">
        <v>13.18</v>
      </c>
      <c r="AD3727" s="6">
        <v>15.55</v>
      </c>
      <c r="AE3727" s="1">
        <v>0</v>
      </c>
      <c r="AF3727" s="1">
        <f ca="1">IFERROR(__xludf.DUMMYFUNCTION("IFERROR(GOOGLEFINANCE(TRIM(F3727)&amp;"":"" &amp; TRIM(B3727),""high52""),AE3727)"),761.4)</f>
        <v>761.4</v>
      </c>
      <c r="AG3727" s="1">
        <v>0</v>
      </c>
      <c r="AH3727" s="1">
        <f ca="1">IFERROR(__xludf.DUMMYFUNCTION("IFERROR(GOOGLEFINANCE(TRIM(F3727)&amp;"":"" &amp; TRIM(B3727),""low52""),AE3727)"),455.5)</f>
        <v>455.5</v>
      </c>
      <c r="AI3727" s="1">
        <f ca="1">IFERROR(__xludf.DUMMYFUNCTION("IFERROR(GOOGLEFINANCE(B3727,""eps""),0)"),8.72)</f>
        <v>8.7200000000000006</v>
      </c>
      <c r="AJ3727" s="1"/>
      <c r="AK3727" s="1" t="s">
        <v>11379</v>
      </c>
      <c r="AL3727" s="9">
        <f t="shared" ref="AL3727:AL3732" si="352">IF(AA3727&lt;&gt;AB3727,1,0)</f>
        <v>1</v>
      </c>
    </row>
    <row r="3728" spans="1:38" ht="15" x14ac:dyDescent="0.25">
      <c r="A3728" s="1" t="s">
        <v>11380</v>
      </c>
      <c r="B3728" s="1" t="s">
        <v>11381</v>
      </c>
      <c r="C3728" s="1" t="s">
        <v>219</v>
      </c>
      <c r="D3728" s="1" t="s">
        <v>219</v>
      </c>
      <c r="E3728" s="6">
        <v>2411.91</v>
      </c>
      <c r="F3728" s="1" t="s">
        <v>53</v>
      </c>
      <c r="G3728" s="6">
        <f ca="1">IFERROR(__xludf.DUMMYFUNCTION("iferror(GOOGLEFINANCE(TRIM(F3728)&amp;"":"" &amp; TRIM(B3728), ""price""),0
)"),0)</f>
        <v>0</v>
      </c>
      <c r="H3728" s="6">
        <v>46.5</v>
      </c>
      <c r="I3728" s="6">
        <f t="shared" ca="1" si="0"/>
        <v>46.5</v>
      </c>
      <c r="J3728" s="6">
        <f ca="1">IFERROR(__xludf.DUMMYFUNCTION("IFERROR(GOOGLEFINANCE(B3728, ""volume""), 0)"),0)</f>
        <v>0</v>
      </c>
      <c r="K3728" s="6">
        <v>2.2000000000000002</v>
      </c>
      <c r="L3728" s="6">
        <f ca="1">IFERROR(__xludf.DUMMYFUNCTION("IFERROR(GOOGLEFINANCE(B3728,""changepct""),K3728)"),2.2)</f>
        <v>2.2000000000000002</v>
      </c>
      <c r="M3728" s="6">
        <f ca="1">IFERROR(__xludf.DUMMYFUNCTION("IFERROR(GOOGLEFINANCE(B3728,""change""),0)"),0)</f>
        <v>0</v>
      </c>
      <c r="N3728" s="6">
        <v>1</v>
      </c>
      <c r="O3728" s="7">
        <v>45536</v>
      </c>
      <c r="P3728" s="6">
        <v>303.23</v>
      </c>
      <c r="Q3728" s="6">
        <v>2688.47</v>
      </c>
      <c r="R3728" s="7">
        <v>45536</v>
      </c>
      <c r="S3728" s="6">
        <v>655.54</v>
      </c>
      <c r="T3728" s="6">
        <v>41.73</v>
      </c>
      <c r="U3728" s="7">
        <v>45536</v>
      </c>
      <c r="V3728" s="6">
        <v>57.8</v>
      </c>
      <c r="W3728" s="6">
        <f ca="1">IFERROR(__xludf.DUMMYFUNCTION("IFERROR(GOOGLEFINANCE(B3728,""pe""),V3728)"),57.8)</f>
        <v>57.8</v>
      </c>
      <c r="X3728" s="6">
        <v>2.17</v>
      </c>
      <c r="Y3728" s="6">
        <v>47.36</v>
      </c>
      <c r="Z3728" s="6">
        <v>1</v>
      </c>
      <c r="AA3728" s="8">
        <v>45352</v>
      </c>
      <c r="AB3728" s="4">
        <v>2.79</v>
      </c>
      <c r="AC3728" s="6">
        <v>266.11</v>
      </c>
      <c r="AD3728" s="6">
        <v>20.11</v>
      </c>
      <c r="AE3728" s="1">
        <v>0</v>
      </c>
      <c r="AF3728" s="1">
        <f ca="1">IFERROR(__xludf.DUMMYFUNCTION("IFERROR(GOOGLEFINANCE(TRIM(F3728)&amp;"":"" &amp; TRIM(B3728),""high52""),AE3728)"),0)</f>
        <v>0</v>
      </c>
      <c r="AG3728" s="1">
        <v>0</v>
      </c>
      <c r="AH3728" s="1">
        <f ca="1">IFERROR(__xludf.DUMMYFUNCTION("IFERROR(GOOGLEFINANCE(TRIM(F3728)&amp;"":"" &amp; TRIM(B3728),""low52""),AE3728)"),0)</f>
        <v>0</v>
      </c>
      <c r="AI3728" s="1">
        <f ca="1">IFERROR(__xludf.DUMMYFUNCTION("IFERROR(GOOGLEFINANCE(B3728,""eps""),0)"),0)</f>
        <v>0</v>
      </c>
      <c r="AJ3728" s="1"/>
      <c r="AK3728" s="1" t="s">
        <v>11382</v>
      </c>
      <c r="AL3728" s="9">
        <f t="shared" si="352"/>
        <v>1</v>
      </c>
    </row>
    <row r="3729" spans="1:38" ht="15" x14ac:dyDescent="0.25">
      <c r="A3729" s="1" t="s">
        <v>11383</v>
      </c>
      <c r="B3729" s="1" t="s">
        <v>11384</v>
      </c>
      <c r="C3729" s="1" t="s">
        <v>227</v>
      </c>
      <c r="D3729" s="1" t="s">
        <v>227</v>
      </c>
      <c r="E3729" s="6">
        <v>101.76</v>
      </c>
      <c r="F3729" s="1" t="s">
        <v>40</v>
      </c>
      <c r="G3729" s="6">
        <f ca="1">IFERROR(__xludf.DUMMYFUNCTION("iferror(GOOGLEFINANCE(TRIM(F3729)&amp;"":"" &amp; TRIM(B3729), ""price""),0
)"),0)</f>
        <v>0</v>
      </c>
      <c r="H3729" s="6">
        <v>118</v>
      </c>
      <c r="I3729" s="6">
        <f t="shared" ca="1" si="0"/>
        <v>118</v>
      </c>
      <c r="J3729" s="6">
        <f ca="1">IFERROR(__xludf.DUMMYFUNCTION("IFERROR(GOOGLEFINANCE(B3729, ""volume""), 0)"),0)</f>
        <v>0</v>
      </c>
      <c r="K3729" s="6">
        <v>-1.67</v>
      </c>
      <c r="L3729" s="6">
        <f ca="1">IFERROR(__xludf.DUMMYFUNCTION("IFERROR(GOOGLEFINANCE(B3729,""changepct""),K3729)"),-1.67)</f>
        <v>-1.67</v>
      </c>
      <c r="M3729" s="6">
        <f ca="1">IFERROR(__xludf.DUMMYFUNCTION("IFERROR(GOOGLEFINANCE(B3729,""change""),0)"),0)</f>
        <v>0</v>
      </c>
      <c r="N3729" s="6">
        <v>1</v>
      </c>
      <c r="O3729" s="7">
        <v>45536</v>
      </c>
      <c r="P3729" s="6">
        <v>21</v>
      </c>
      <c r="Q3729" s="6">
        <v>122.76</v>
      </c>
      <c r="R3729" s="7">
        <v>45352</v>
      </c>
      <c r="S3729" s="6">
        <v>43.24</v>
      </c>
      <c r="T3729" s="6">
        <v>6</v>
      </c>
      <c r="U3729" s="7">
        <v>45352</v>
      </c>
      <c r="V3729" s="6">
        <v>16.95</v>
      </c>
      <c r="W3729" s="6">
        <f ca="1">IFERROR(__xludf.DUMMYFUNCTION("IFERROR(GOOGLEFINANCE(B3729,""pe""),V3729)"),16.95)</f>
        <v>16.95</v>
      </c>
      <c r="X3729" s="12"/>
      <c r="Y3729" s="6">
        <v>1.55</v>
      </c>
      <c r="Z3729" s="6">
        <v>2</v>
      </c>
      <c r="AA3729" s="8">
        <v>45352</v>
      </c>
      <c r="AB3729" s="4">
        <v>0.31</v>
      </c>
      <c r="AC3729" s="6">
        <v>13.18</v>
      </c>
      <c r="AD3729" s="6">
        <v>15.43</v>
      </c>
      <c r="AE3729" s="1">
        <v>0</v>
      </c>
      <c r="AF3729" s="1">
        <f ca="1">IFERROR(__xludf.DUMMYFUNCTION("IFERROR(GOOGLEFINANCE(TRIM(F3729)&amp;"":"" &amp; TRIM(B3729),""high52""),AE3729)"),0)</f>
        <v>0</v>
      </c>
      <c r="AG3729" s="1">
        <v>0</v>
      </c>
      <c r="AH3729" s="1">
        <f ca="1">IFERROR(__xludf.DUMMYFUNCTION("IFERROR(GOOGLEFINANCE(TRIM(F3729)&amp;"":"" &amp; TRIM(B3729),""low52""),AE3729)"),0)</f>
        <v>0</v>
      </c>
      <c r="AI3729" s="1">
        <f ca="1">IFERROR(__xludf.DUMMYFUNCTION("IFERROR(GOOGLEFINANCE(B3729,""eps""),0)"),0)</f>
        <v>0</v>
      </c>
      <c r="AJ3729" s="1"/>
      <c r="AK3729" s="6">
        <v>20.5</v>
      </c>
      <c r="AL3729" s="9">
        <f t="shared" si="352"/>
        <v>1</v>
      </c>
    </row>
    <row r="3730" spans="1:38" ht="15" x14ac:dyDescent="0.25">
      <c r="A3730" s="1" t="s">
        <v>11385</v>
      </c>
      <c r="B3730" s="1" t="s">
        <v>11386</v>
      </c>
      <c r="C3730" s="1" t="s">
        <v>525</v>
      </c>
      <c r="D3730" s="1" t="s">
        <v>525</v>
      </c>
      <c r="E3730" s="6">
        <v>11136.66</v>
      </c>
      <c r="F3730" s="1" t="s">
        <v>40</v>
      </c>
      <c r="G3730" s="6">
        <f ca="1">IFERROR(__xludf.DUMMYFUNCTION("iferror(GOOGLEFINANCE(TRIM(F3730)&amp;"":"" &amp; TRIM(B3730), ""price""),0
)"),775.5)</f>
        <v>775.5</v>
      </c>
      <c r="H3730" s="6">
        <v>629.9</v>
      </c>
      <c r="I3730" s="6">
        <f t="shared" ca="1" si="0"/>
        <v>775.5</v>
      </c>
      <c r="J3730" s="6">
        <f ca="1">IFERROR(__xludf.DUMMYFUNCTION("IFERROR(GOOGLEFINANCE(B3730, ""volume""), 0)"),2504120)</f>
        <v>2504120</v>
      </c>
      <c r="K3730" s="6">
        <v>0.74</v>
      </c>
      <c r="L3730" s="6">
        <f ca="1">IFERROR(__xludf.DUMMYFUNCTION("IFERROR(GOOGLEFINANCE(B3730,""changepct""),K3730)"),1.08)</f>
        <v>1.08</v>
      </c>
      <c r="M3730" s="6">
        <f ca="1">IFERROR(__xludf.DUMMYFUNCTION("IFERROR(GOOGLEFINANCE(B3730,""change""),0)"),8.25)</f>
        <v>8.25</v>
      </c>
      <c r="N3730" s="6">
        <v>2</v>
      </c>
      <c r="O3730" s="7">
        <v>45536</v>
      </c>
      <c r="P3730" s="6">
        <v>602.83000000000004</v>
      </c>
      <c r="Q3730" s="6">
        <v>11435.67</v>
      </c>
      <c r="R3730" s="7">
        <v>45536</v>
      </c>
      <c r="S3730" s="6">
        <v>3833.44</v>
      </c>
      <c r="T3730" s="6">
        <v>125.49</v>
      </c>
      <c r="U3730" s="7">
        <v>45536</v>
      </c>
      <c r="V3730" s="6">
        <v>105.07</v>
      </c>
      <c r="W3730" s="6">
        <f ca="1">IFERROR(__xludf.DUMMYFUNCTION("IFERROR(GOOGLEFINANCE(B3730,""pe""),V3730)"),50.96)</f>
        <v>50.96</v>
      </c>
      <c r="X3730" s="12"/>
      <c r="Y3730" s="6">
        <v>6.77</v>
      </c>
      <c r="Z3730" s="6">
        <v>2</v>
      </c>
      <c r="AA3730" s="8">
        <v>45352</v>
      </c>
      <c r="AB3730" s="4">
        <v>0.36</v>
      </c>
      <c r="AC3730" s="6">
        <v>7.89</v>
      </c>
      <c r="AD3730" s="6">
        <v>10.19</v>
      </c>
      <c r="AE3730" s="1">
        <v>0</v>
      </c>
      <c r="AF3730" s="1">
        <f ca="1">IFERROR(__xludf.DUMMYFUNCTION("IFERROR(GOOGLEFINANCE(TRIM(F3730)&amp;"":"" &amp; TRIM(B3730),""high52""),AE3730)"),909.9)</f>
        <v>909.9</v>
      </c>
      <c r="AG3730" s="1">
        <v>0</v>
      </c>
      <c r="AH3730" s="1">
        <f ca="1">IFERROR(__xludf.DUMMYFUNCTION("IFERROR(GOOGLEFINANCE(TRIM(F3730)&amp;"":"" &amp; TRIM(B3730),""low52""),AE3730)"),370)</f>
        <v>370</v>
      </c>
      <c r="AI3730" s="1">
        <f ca="1">IFERROR(__xludf.DUMMYFUNCTION("IFERROR(GOOGLEFINANCE(B3730,""eps""),0)"),15.22)</f>
        <v>15.22</v>
      </c>
      <c r="AJ3730" s="1"/>
      <c r="AK3730" s="1" t="s">
        <v>11387</v>
      </c>
      <c r="AL3730" s="9">
        <f t="shared" si="352"/>
        <v>1</v>
      </c>
    </row>
    <row r="3731" spans="1:38" ht="15" x14ac:dyDescent="0.25">
      <c r="A3731" s="1" t="s">
        <v>11388</v>
      </c>
      <c r="B3731" s="1" t="s">
        <v>11389</v>
      </c>
      <c r="C3731" s="1" t="s">
        <v>57</v>
      </c>
      <c r="D3731" s="1" t="s">
        <v>57</v>
      </c>
      <c r="E3731" s="6">
        <v>368.33</v>
      </c>
      <c r="F3731" s="1" t="s">
        <v>40</v>
      </c>
      <c r="G3731" s="6">
        <f ca="1">IFERROR(__xludf.DUMMYFUNCTION("iferror(GOOGLEFINANCE(TRIM(F3731)&amp;"":"" &amp; TRIM(B3731), ""price""),0
)"),0)</f>
        <v>0</v>
      </c>
      <c r="H3731" s="6">
        <v>248.4</v>
      </c>
      <c r="I3731" s="6">
        <f t="shared" ca="1" si="0"/>
        <v>248.4</v>
      </c>
      <c r="J3731" s="6">
        <f ca="1">IFERROR(__xludf.DUMMYFUNCTION("IFERROR(GOOGLEFINANCE(B3731, ""volume""), 0)"),0)</f>
        <v>0</v>
      </c>
      <c r="K3731" s="6">
        <v>-1.08</v>
      </c>
      <c r="L3731" s="6">
        <f ca="1">IFERROR(__xludf.DUMMYFUNCTION("IFERROR(GOOGLEFINANCE(B3731,""changepct""),K3731)"),-1.08)</f>
        <v>-1.08</v>
      </c>
      <c r="M3731" s="6">
        <f ca="1">IFERROR(__xludf.DUMMYFUNCTION("IFERROR(GOOGLEFINANCE(B3731,""change""),0)"),0)</f>
        <v>0</v>
      </c>
      <c r="N3731" s="6">
        <v>1</v>
      </c>
      <c r="O3731" s="7">
        <v>45536</v>
      </c>
      <c r="P3731" s="12"/>
      <c r="Q3731" s="6">
        <v>368.33</v>
      </c>
      <c r="R3731" s="7">
        <v>45352</v>
      </c>
      <c r="S3731" s="6">
        <v>52.68</v>
      </c>
      <c r="T3731" s="6">
        <v>16.239999999999998</v>
      </c>
      <c r="U3731" s="7">
        <v>45352</v>
      </c>
      <c r="V3731" s="6">
        <v>22.68</v>
      </c>
      <c r="W3731" s="6">
        <f ca="1">IFERROR(__xludf.DUMMYFUNCTION("IFERROR(GOOGLEFINANCE(B3731,""pe""),V3731)"),22.68)</f>
        <v>22.68</v>
      </c>
      <c r="X3731" s="12"/>
      <c r="Y3731" s="6">
        <v>4.7699999999999996</v>
      </c>
      <c r="Z3731" s="6">
        <v>2</v>
      </c>
      <c r="AA3731" s="8">
        <v>45352</v>
      </c>
      <c r="AB3731" s="4">
        <v>0</v>
      </c>
      <c r="AC3731" s="6">
        <v>24.16</v>
      </c>
      <c r="AD3731" s="6">
        <v>30</v>
      </c>
      <c r="AE3731" s="1">
        <v>0</v>
      </c>
      <c r="AF3731" s="1">
        <f ca="1">IFERROR(__xludf.DUMMYFUNCTION("IFERROR(GOOGLEFINANCE(TRIM(F3731)&amp;"":"" &amp; TRIM(B3731),""high52""),AE3731)"),0)</f>
        <v>0</v>
      </c>
      <c r="AG3731" s="1">
        <v>0</v>
      </c>
      <c r="AH3731" s="1">
        <f ca="1">IFERROR(__xludf.DUMMYFUNCTION("IFERROR(GOOGLEFINANCE(TRIM(F3731)&amp;"":"" &amp; TRIM(B3731),""low52""),AE3731)"),0)</f>
        <v>0</v>
      </c>
      <c r="AI3731" s="1">
        <f ca="1">IFERROR(__xludf.DUMMYFUNCTION("IFERROR(GOOGLEFINANCE(B3731,""eps""),0)"),0)</f>
        <v>0</v>
      </c>
      <c r="AJ3731" s="1"/>
      <c r="AK3731" s="1" t="s">
        <v>11390</v>
      </c>
      <c r="AL3731" s="9">
        <f t="shared" si="352"/>
        <v>1</v>
      </c>
    </row>
    <row r="3732" spans="1:38" ht="15" x14ac:dyDescent="0.25">
      <c r="A3732" s="1" t="s">
        <v>11391</v>
      </c>
      <c r="B3732" s="1" t="s">
        <v>11392</v>
      </c>
      <c r="C3732" s="1" t="s">
        <v>186</v>
      </c>
      <c r="D3732" s="1" t="s">
        <v>186</v>
      </c>
      <c r="E3732" s="6">
        <v>346.47</v>
      </c>
      <c r="F3732" s="1" t="s">
        <v>40</v>
      </c>
      <c r="G3732" s="6">
        <f ca="1">IFERROR(__xludf.DUMMYFUNCTION("iferror(GOOGLEFINANCE(TRIM(F3732)&amp;"":"" &amp; TRIM(B3732), ""price""),0
)"),8.6)</f>
        <v>8.6</v>
      </c>
      <c r="H3732" s="6">
        <v>156</v>
      </c>
      <c r="I3732" s="6">
        <f t="shared" ca="1" si="0"/>
        <v>8.6</v>
      </c>
      <c r="J3732" s="6">
        <f ca="1">IFERROR(__xludf.DUMMYFUNCTION("IFERROR(GOOGLEFINANCE(B3732, ""volume""), 0)"),518428)</f>
        <v>518428</v>
      </c>
      <c r="K3732" s="6">
        <v>0.95</v>
      </c>
      <c r="L3732" s="6">
        <f ca="1">IFERROR(__xludf.DUMMYFUNCTION("IFERROR(GOOGLEFINANCE(B3732,""changepct""),K3732)"),14.06)</f>
        <v>14.06</v>
      </c>
      <c r="M3732" s="6">
        <f ca="1">IFERROR(__xludf.DUMMYFUNCTION("IFERROR(GOOGLEFINANCE(B3732,""change""),0)"),1.06)</f>
        <v>1.06</v>
      </c>
      <c r="N3732" s="6">
        <v>1</v>
      </c>
      <c r="O3732" s="7">
        <v>45536</v>
      </c>
      <c r="P3732" s="6">
        <v>87.36</v>
      </c>
      <c r="Q3732" s="6">
        <v>433.61</v>
      </c>
      <c r="R3732" s="7">
        <v>45536</v>
      </c>
      <c r="S3732" s="6">
        <v>198.95</v>
      </c>
      <c r="T3732" s="6">
        <v>11.24</v>
      </c>
      <c r="U3732" s="7">
        <v>45536</v>
      </c>
      <c r="V3732" s="6">
        <v>30.82</v>
      </c>
      <c r="W3732" s="6">
        <f ca="1">IFERROR(__xludf.DUMMYFUNCTION("IFERROR(GOOGLEFINANCE(B3732,""pe""),V3732)"),30.82)</f>
        <v>30.82</v>
      </c>
      <c r="X3732" s="6">
        <v>0.32</v>
      </c>
      <c r="Y3732" s="6">
        <v>6.64</v>
      </c>
      <c r="Z3732" s="6">
        <v>1</v>
      </c>
      <c r="AA3732" s="8">
        <v>45352</v>
      </c>
      <c r="AB3732" s="4">
        <v>2.94</v>
      </c>
      <c r="AC3732" s="6">
        <v>11.16</v>
      </c>
      <c r="AD3732" s="6">
        <v>9.1199999999999992</v>
      </c>
      <c r="AE3732" s="1">
        <v>0</v>
      </c>
      <c r="AF3732" s="1">
        <f ca="1">IFERROR(__xludf.DUMMYFUNCTION("IFERROR(GOOGLEFINANCE(TRIM(F3732)&amp;"":"" &amp; TRIM(B3732),""high52""),AE3732)"),16.26)</f>
        <v>16.260000000000002</v>
      </c>
      <c r="AG3732" s="1">
        <v>0</v>
      </c>
      <c r="AH3732" s="1">
        <f ca="1">IFERROR(__xludf.DUMMYFUNCTION("IFERROR(GOOGLEFINANCE(TRIM(F3732)&amp;"":"" &amp; TRIM(B3732),""low52""),AE3732)"),6.42)</f>
        <v>6.42</v>
      </c>
      <c r="AI3732" s="1">
        <f ca="1">IFERROR(__xludf.DUMMYFUNCTION("IFERROR(GOOGLEFINANCE(B3732,""eps""),0)"),-0.19)</f>
        <v>-0.19</v>
      </c>
      <c r="AJ3732" s="1"/>
      <c r="AK3732" s="1" t="s">
        <v>11393</v>
      </c>
      <c r="AL3732" s="9">
        <f t="shared" si="352"/>
        <v>1</v>
      </c>
    </row>
    <row r="3733" spans="1:38" ht="15" x14ac:dyDescent="0.25">
      <c r="A3733" s="1" t="s">
        <v>11394</v>
      </c>
      <c r="B3733" s="1" t="s">
        <v>11395</v>
      </c>
      <c r="C3733" s="1" t="s">
        <v>223</v>
      </c>
      <c r="D3733" s="1" t="s">
        <v>223</v>
      </c>
      <c r="E3733" s="6">
        <v>1449.22</v>
      </c>
      <c r="F3733" s="1" t="s">
        <v>40</v>
      </c>
      <c r="G3733" s="6">
        <f ca="1">IFERROR(__xludf.DUMMYFUNCTION("iferror(GOOGLEFINANCE(TRIM(F3733)&amp;"":"" &amp; TRIM(B3733), ""price""),0
)"),0)</f>
        <v>0</v>
      </c>
      <c r="H3733" s="6">
        <v>1410.55</v>
      </c>
      <c r="I3733" s="6">
        <f t="shared" ca="1" si="0"/>
        <v>1410.55</v>
      </c>
      <c r="J3733" s="6">
        <f ca="1">IFERROR(__xludf.DUMMYFUNCTION("IFERROR(GOOGLEFINANCE(B3733, ""volume""), 0)"),105)</f>
        <v>105</v>
      </c>
      <c r="K3733" s="6">
        <v>2</v>
      </c>
      <c r="L3733" s="6">
        <f ca="1">IFERROR(__xludf.DUMMYFUNCTION("IFERROR(GOOGLEFINANCE(B3733,""changepct""),K3733)"),-5.68)</f>
        <v>-5.68</v>
      </c>
      <c r="M3733" s="6">
        <f ca="1">IFERROR(__xludf.DUMMYFUNCTION("IFERROR(GOOGLEFINANCE(B3733,""change""),0)"),-0.77)</f>
        <v>-0.77</v>
      </c>
      <c r="N3733" s="6">
        <v>1</v>
      </c>
      <c r="O3733" s="7">
        <v>45536</v>
      </c>
      <c r="P3733" s="6">
        <v>0.54</v>
      </c>
      <c r="Q3733" s="6">
        <v>1449.77</v>
      </c>
      <c r="R3733" s="7">
        <v>45352</v>
      </c>
      <c r="S3733" s="6">
        <v>11.62</v>
      </c>
      <c r="T3733" s="6">
        <v>6.33</v>
      </c>
      <c r="U3733" s="7">
        <v>45352</v>
      </c>
      <c r="V3733" s="6">
        <v>228.88</v>
      </c>
      <c r="W3733" s="6">
        <f ca="1">IFERROR(__xludf.DUMMYFUNCTION("IFERROR(GOOGLEFINANCE(B3733,""pe""),V3733)"),228.88)</f>
        <v>228.88</v>
      </c>
      <c r="X3733" s="9"/>
      <c r="Y3733" s="6">
        <v>32.86</v>
      </c>
      <c r="Z3733" s="6">
        <v>2</v>
      </c>
      <c r="AA3733" s="8">
        <v>45352</v>
      </c>
      <c r="AB3733" s="4">
        <v>0.12</v>
      </c>
      <c r="AC3733" s="6">
        <v>44.81</v>
      </c>
      <c r="AD3733" s="6">
        <v>41.2</v>
      </c>
      <c r="AE3733" s="1">
        <v>0</v>
      </c>
      <c r="AF3733" s="1">
        <f ca="1">IFERROR(__xludf.DUMMYFUNCTION("IFERROR(GOOGLEFINANCE(TRIM(F3733)&amp;"":"" &amp; TRIM(B3733),""high52""),AE3733)"),0)</f>
        <v>0</v>
      </c>
      <c r="AG3733" s="1">
        <v>0</v>
      </c>
      <c r="AH3733" s="1">
        <f ca="1">IFERROR(__xludf.DUMMYFUNCTION("IFERROR(GOOGLEFINANCE(TRIM(F3733)&amp;"":"" &amp; TRIM(B3733),""low52""),AE3733)"),0)</f>
        <v>0</v>
      </c>
      <c r="AI3733" s="1">
        <f ca="1">IFERROR(__xludf.DUMMYFUNCTION("IFERROR(GOOGLEFINANCE(B3733,""eps""),0)"),-0.48)</f>
        <v>-0.48</v>
      </c>
      <c r="AJ3733" s="1"/>
      <c r="AK3733" s="1" t="s">
        <v>11396</v>
      </c>
      <c r="AL3733" s="1" t="b">
        <f>ISNUMBER(AA3733)</f>
        <v>1</v>
      </c>
    </row>
    <row r="3734" spans="1:38" ht="15" x14ac:dyDescent="0.25">
      <c r="A3734" s="1" t="s">
        <v>11397</v>
      </c>
      <c r="B3734" s="1" t="s">
        <v>11398</v>
      </c>
      <c r="C3734" s="1" t="s">
        <v>82</v>
      </c>
      <c r="D3734" s="1" t="s">
        <v>82</v>
      </c>
      <c r="E3734" s="6">
        <v>262.61</v>
      </c>
      <c r="F3734" s="1" t="s">
        <v>40</v>
      </c>
      <c r="G3734" s="6">
        <f ca="1">IFERROR(__xludf.DUMMYFUNCTION("iferror(GOOGLEFINANCE(TRIM(F3734)&amp;"":"" &amp; TRIM(B3734), ""price""),0
)"),169.36)</f>
        <v>169.36</v>
      </c>
      <c r="H3734" s="6">
        <v>281</v>
      </c>
      <c r="I3734" s="6">
        <f t="shared" ca="1" si="0"/>
        <v>169.36</v>
      </c>
      <c r="J3734" s="6">
        <f ca="1">IFERROR(__xludf.DUMMYFUNCTION("IFERROR(GOOGLEFINANCE(B3734, ""volume""), 0)"),1917)</f>
        <v>1917</v>
      </c>
      <c r="K3734" s="6">
        <v>0.59</v>
      </c>
      <c r="L3734" s="6">
        <f ca="1">IFERROR(__xludf.DUMMYFUNCTION("IFERROR(GOOGLEFINANCE(B3734,""changepct""),K3734)"),-1.69)</f>
        <v>-1.69</v>
      </c>
      <c r="M3734" s="6">
        <f ca="1">IFERROR(__xludf.DUMMYFUNCTION("IFERROR(GOOGLEFINANCE(B3734,""change""),0)"),-2.91)</f>
        <v>-2.91</v>
      </c>
      <c r="N3734" s="6">
        <v>1</v>
      </c>
      <c r="O3734" s="7">
        <v>45536</v>
      </c>
      <c r="P3734" s="9"/>
      <c r="Q3734" s="6">
        <v>261.20999999999998</v>
      </c>
      <c r="R3734" s="7">
        <v>45536</v>
      </c>
      <c r="S3734" s="6">
        <v>11.71</v>
      </c>
      <c r="T3734" s="6">
        <v>4.03</v>
      </c>
      <c r="U3734" s="7">
        <v>45536</v>
      </c>
      <c r="V3734" s="6">
        <v>65.13</v>
      </c>
      <c r="W3734" s="6">
        <f ca="1">IFERROR(__xludf.DUMMYFUNCTION("IFERROR(GOOGLEFINANCE(B3734,""pe""),V3734)"),21.44)</f>
        <v>21.44</v>
      </c>
      <c r="X3734" s="6">
        <v>3.5</v>
      </c>
      <c r="Y3734" s="6">
        <v>1.76</v>
      </c>
      <c r="Z3734" s="6">
        <v>1</v>
      </c>
      <c r="AA3734" s="8">
        <v>45352</v>
      </c>
      <c r="AB3734" s="4">
        <v>0</v>
      </c>
      <c r="AC3734" s="6">
        <v>4.45</v>
      </c>
      <c r="AD3734" s="6">
        <v>5.13</v>
      </c>
      <c r="AE3734" s="1">
        <v>0</v>
      </c>
      <c r="AF3734" s="1">
        <f ca="1">IFERROR(__xludf.DUMMYFUNCTION("IFERROR(GOOGLEFINANCE(TRIM(F3734)&amp;"":"" &amp; TRIM(B3734),""high52""),AE3734)"),274.99)</f>
        <v>274.99</v>
      </c>
      <c r="AG3734" s="1">
        <v>0</v>
      </c>
      <c r="AH3734" s="1">
        <f ca="1">IFERROR(__xludf.DUMMYFUNCTION("IFERROR(GOOGLEFINANCE(TRIM(F3734)&amp;"":"" &amp; TRIM(B3734),""low52""),AE3734)"),155)</f>
        <v>155</v>
      </c>
      <c r="AI3734" s="1">
        <f ca="1">IFERROR(__xludf.DUMMYFUNCTION("IFERROR(GOOGLEFINANCE(B3734,""eps""),0)"),7.9)</f>
        <v>7.9</v>
      </c>
      <c r="AJ3734" s="1"/>
      <c r="AK3734" s="1" t="s">
        <v>11399</v>
      </c>
      <c r="AL3734" s="9">
        <f t="shared" ref="AL3734:AL3740" si="353">IF(AA3734&lt;&gt;AB3734,1,0)</f>
        <v>1</v>
      </c>
    </row>
    <row r="3735" spans="1:38" ht="15" x14ac:dyDescent="0.25">
      <c r="A3735" s="1" t="s">
        <v>11400</v>
      </c>
      <c r="B3735" s="1" t="s">
        <v>11401</v>
      </c>
      <c r="C3735" s="1" t="s">
        <v>410</v>
      </c>
      <c r="D3735" s="1" t="s">
        <v>410</v>
      </c>
      <c r="E3735" s="6">
        <v>2737.86</v>
      </c>
      <c r="F3735" s="1" t="s">
        <v>40</v>
      </c>
      <c r="G3735" s="6">
        <f ca="1">IFERROR(__xludf.DUMMYFUNCTION("iferror(GOOGLEFINANCE(TRIM(F3735)&amp;"":"" &amp; TRIM(B3735), ""price""),0
)"),360.8)</f>
        <v>360.8</v>
      </c>
      <c r="H3735" s="6">
        <v>442.85</v>
      </c>
      <c r="I3735" s="6">
        <f t="shared" ca="1" si="0"/>
        <v>360.8</v>
      </c>
      <c r="J3735" s="6">
        <f ca="1">IFERROR(__xludf.DUMMYFUNCTION("IFERROR(GOOGLEFINANCE(B3735, ""volume""), 0)"),93703)</f>
        <v>93703</v>
      </c>
      <c r="K3735" s="6">
        <v>1.35</v>
      </c>
      <c r="L3735" s="6">
        <f ca="1">IFERROR(__xludf.DUMMYFUNCTION("IFERROR(GOOGLEFINANCE(B3735,""changepct""),K3735)"),-0.15)</f>
        <v>-0.15</v>
      </c>
      <c r="M3735" s="6">
        <f ca="1">IFERROR(__xludf.DUMMYFUNCTION("IFERROR(GOOGLEFINANCE(B3735,""change""),0)"),-0.55)</f>
        <v>-0.55000000000000004</v>
      </c>
      <c r="N3735" s="6">
        <v>2</v>
      </c>
      <c r="O3735" s="7">
        <v>45536</v>
      </c>
      <c r="P3735" s="6">
        <v>46.61</v>
      </c>
      <c r="Q3735" s="6">
        <v>2705.29</v>
      </c>
      <c r="R3735" s="7">
        <v>45536</v>
      </c>
      <c r="S3735" s="6">
        <v>424.95</v>
      </c>
      <c r="T3735" s="6">
        <v>82.42</v>
      </c>
      <c r="U3735" s="7">
        <v>45536</v>
      </c>
      <c r="V3735" s="6">
        <v>26.53</v>
      </c>
      <c r="W3735" s="6">
        <f ca="1">IFERROR(__xludf.DUMMYFUNCTION("IFERROR(GOOGLEFINANCE(B3735,""pe""),V3735)"),15.65)</f>
        <v>15.65</v>
      </c>
      <c r="X3735" s="6">
        <v>0.95</v>
      </c>
      <c r="Y3735" s="6">
        <v>4.72</v>
      </c>
      <c r="Z3735" s="6">
        <v>2</v>
      </c>
      <c r="AA3735" s="8">
        <v>45352</v>
      </c>
      <c r="AB3735" s="4">
        <v>0.12</v>
      </c>
      <c r="AC3735" s="6">
        <v>14.75</v>
      </c>
      <c r="AD3735" s="6">
        <v>20.170000000000002</v>
      </c>
      <c r="AE3735" s="1">
        <v>0</v>
      </c>
      <c r="AF3735" s="1">
        <f ca="1">IFERROR(__xludf.DUMMYFUNCTION("IFERROR(GOOGLEFINANCE(TRIM(F3735)&amp;"":"" &amp; TRIM(B3735),""high52""),AE3735)"),528.1)</f>
        <v>528.1</v>
      </c>
      <c r="AG3735" s="1">
        <v>0</v>
      </c>
      <c r="AH3735" s="1">
        <f ca="1">IFERROR(__xludf.DUMMYFUNCTION("IFERROR(GOOGLEFINANCE(TRIM(F3735)&amp;"":"" &amp; TRIM(B3735),""low52""),AE3735)"),344.45)</f>
        <v>344.45</v>
      </c>
      <c r="AI3735" s="1">
        <f ca="1">IFERROR(__xludf.DUMMYFUNCTION("IFERROR(GOOGLEFINANCE(B3735,""eps""),0)"),23.06)</f>
        <v>23.06</v>
      </c>
      <c r="AJ3735" s="1"/>
      <c r="AK3735" s="1" t="s">
        <v>11402</v>
      </c>
      <c r="AL3735" s="9">
        <f t="shared" si="353"/>
        <v>1</v>
      </c>
    </row>
    <row r="3736" spans="1:38" ht="15" x14ac:dyDescent="0.25">
      <c r="A3736" s="1" t="s">
        <v>11403</v>
      </c>
      <c r="B3736" s="1" t="s">
        <v>11404</v>
      </c>
      <c r="C3736" s="1" t="s">
        <v>57</v>
      </c>
      <c r="D3736" s="1" t="s">
        <v>57</v>
      </c>
      <c r="E3736" s="6">
        <v>239.51</v>
      </c>
      <c r="F3736" s="1" t="s">
        <v>40</v>
      </c>
      <c r="G3736" s="6">
        <f ca="1">IFERROR(__xludf.DUMMYFUNCTION("iferror(GOOGLEFINANCE(TRIM(F3736)&amp;"":"" &amp; TRIM(B3736), ""price""),0
)"),42.8)</f>
        <v>42.8</v>
      </c>
      <c r="H3736" s="6">
        <v>16.3</v>
      </c>
      <c r="I3736" s="6">
        <f t="shared" ca="1" si="0"/>
        <v>42.8</v>
      </c>
      <c r="J3736" s="6">
        <f ca="1">IFERROR(__xludf.DUMMYFUNCTION("IFERROR(GOOGLEFINANCE(B3736, ""volume""), 0)"),1130905)</f>
        <v>1130905</v>
      </c>
      <c r="K3736" s="6">
        <v>0.62</v>
      </c>
      <c r="L3736" s="6">
        <f ca="1">IFERROR(__xludf.DUMMYFUNCTION("IFERROR(GOOGLEFINANCE(B3736,""changepct""),K3736)"),0.28)</f>
        <v>0.28000000000000003</v>
      </c>
      <c r="M3736" s="6">
        <f ca="1">IFERROR(__xludf.DUMMYFUNCTION("IFERROR(GOOGLEFINANCE(B3736,""change""),0)"),0.12)</f>
        <v>0.12</v>
      </c>
      <c r="N3736" s="6">
        <v>1</v>
      </c>
      <c r="O3736" s="7">
        <v>45352</v>
      </c>
      <c r="P3736" s="6">
        <v>27.96</v>
      </c>
      <c r="Q3736" s="6">
        <v>266.51</v>
      </c>
      <c r="R3736" s="7">
        <v>45352</v>
      </c>
      <c r="S3736" s="6">
        <v>5.42</v>
      </c>
      <c r="T3736" s="6">
        <v>-207.25</v>
      </c>
      <c r="U3736" s="7">
        <v>45352</v>
      </c>
      <c r="V3736" s="6">
        <v>0</v>
      </c>
      <c r="W3736" s="6">
        <f ca="1">IFERROR(__xludf.DUMMYFUNCTION("IFERROR(GOOGLEFINANCE(B3736,""pe""),V3736)"),12.98)</f>
        <v>12.98</v>
      </c>
      <c r="X3736" s="12"/>
      <c r="Y3736" s="6">
        <v>2.5099999999999998</v>
      </c>
      <c r="Z3736" s="6">
        <v>2</v>
      </c>
      <c r="AA3736" s="8">
        <v>45352</v>
      </c>
      <c r="AB3736" s="4">
        <v>-3.15</v>
      </c>
      <c r="AC3736" s="6">
        <v>-243.78</v>
      </c>
      <c r="AD3736" s="6">
        <v>-140.37</v>
      </c>
      <c r="AE3736" s="1">
        <v>0</v>
      </c>
      <c r="AF3736" s="1">
        <f ca="1">IFERROR(__xludf.DUMMYFUNCTION("IFERROR(GOOGLEFINANCE(TRIM(F3736)&amp;"":"" &amp; TRIM(B3736),""high52""),AE3736)"),45)</f>
        <v>45</v>
      </c>
      <c r="AG3736" s="1">
        <v>0</v>
      </c>
      <c r="AH3736" s="1">
        <f ca="1">IFERROR(__xludf.DUMMYFUNCTION("IFERROR(GOOGLEFINANCE(TRIM(F3736)&amp;"":"" &amp; TRIM(B3736),""low52""),AE3736)"),6.51)</f>
        <v>6.51</v>
      </c>
      <c r="AI3736" s="1">
        <f ca="1">IFERROR(__xludf.DUMMYFUNCTION("IFERROR(GOOGLEFINANCE(B3736,""eps""),0)"),3.3)</f>
        <v>3.3</v>
      </c>
      <c r="AJ3736" s="1"/>
      <c r="AK3736" s="1" t="s">
        <v>11405</v>
      </c>
      <c r="AL3736" s="9">
        <f t="shared" si="353"/>
        <v>1</v>
      </c>
    </row>
    <row r="3737" spans="1:38" ht="15" x14ac:dyDescent="0.25">
      <c r="A3737" s="1" t="s">
        <v>11406</v>
      </c>
      <c r="B3737" s="1" t="s">
        <v>11407</v>
      </c>
      <c r="C3737" s="1" t="s">
        <v>2018</v>
      </c>
      <c r="D3737" s="1" t="s">
        <v>2018</v>
      </c>
      <c r="E3737" s="6">
        <v>49.73</v>
      </c>
      <c r="F3737" s="1" t="s">
        <v>53</v>
      </c>
      <c r="G3737" s="6">
        <f ca="1">IFERROR(__xludf.DUMMYFUNCTION("iferror(GOOGLEFINANCE(TRIM(F3737)&amp;"":"" &amp; TRIM(B3737), ""price""),0
)"),0)</f>
        <v>0</v>
      </c>
      <c r="H3737" s="6">
        <v>41.5</v>
      </c>
      <c r="I3737" s="6">
        <f t="shared" ca="1" si="0"/>
        <v>41.5</v>
      </c>
      <c r="J3737" s="6">
        <f ca="1">IFERROR(__xludf.DUMMYFUNCTION("IFERROR(GOOGLEFINANCE(B3737, ""volume""), 0)"),0)</f>
        <v>0</v>
      </c>
      <c r="K3737" s="6">
        <v>4.32</v>
      </c>
      <c r="L3737" s="6">
        <f ca="1">IFERROR(__xludf.DUMMYFUNCTION("IFERROR(GOOGLEFINANCE(B3737,""changepct""),K3737)"),4.32)</f>
        <v>4.32</v>
      </c>
      <c r="M3737" s="6">
        <f ca="1">IFERROR(__xludf.DUMMYFUNCTION("IFERROR(GOOGLEFINANCE(B3737,""change""),0)"),0)</f>
        <v>0</v>
      </c>
      <c r="N3737" s="6">
        <v>1</v>
      </c>
      <c r="O3737" s="7">
        <v>45536</v>
      </c>
      <c r="P3737" s="9"/>
      <c r="Q3737" s="6">
        <v>49.73</v>
      </c>
      <c r="R3737" s="7">
        <v>45536</v>
      </c>
      <c r="S3737" s="6">
        <v>1.83</v>
      </c>
      <c r="T3737" s="6">
        <v>2.57</v>
      </c>
      <c r="U3737" s="7">
        <v>45536</v>
      </c>
      <c r="V3737" s="6">
        <v>19.329999999999998</v>
      </c>
      <c r="W3737" s="6">
        <f ca="1">IFERROR(__xludf.DUMMYFUNCTION("IFERROR(GOOGLEFINANCE(B3737,""pe""),V3737)"),19.33)</f>
        <v>19.329999999999998</v>
      </c>
      <c r="X3737" s="6">
        <v>-0.9</v>
      </c>
      <c r="Y3737" s="6">
        <v>0.61</v>
      </c>
      <c r="Z3737" s="6">
        <v>1</v>
      </c>
      <c r="AA3737" s="8">
        <v>45352</v>
      </c>
      <c r="AB3737" s="4">
        <v>0</v>
      </c>
      <c r="AC3737" s="6">
        <v>2.83</v>
      </c>
      <c r="AD3737" s="6">
        <v>4.08</v>
      </c>
      <c r="AE3737" s="1">
        <v>0</v>
      </c>
      <c r="AF3737" s="1">
        <f ca="1">IFERROR(__xludf.DUMMYFUNCTION("IFERROR(GOOGLEFINANCE(TRIM(F3737)&amp;"":"" &amp; TRIM(B3737),""high52""),AE3737)"),0)</f>
        <v>0</v>
      </c>
      <c r="AG3737" s="1">
        <v>0</v>
      </c>
      <c r="AH3737" s="1">
        <f ca="1">IFERROR(__xludf.DUMMYFUNCTION("IFERROR(GOOGLEFINANCE(TRIM(F3737)&amp;"":"" &amp; TRIM(B3737),""low52""),AE3737)"),0)</f>
        <v>0</v>
      </c>
      <c r="AI3737" s="1">
        <f ca="1">IFERROR(__xludf.DUMMYFUNCTION("IFERROR(GOOGLEFINANCE(B3737,""eps""),0)"),0)</f>
        <v>0</v>
      </c>
      <c r="AJ3737" s="1"/>
      <c r="AK3737" s="1" t="s">
        <v>11408</v>
      </c>
      <c r="AL3737" s="9">
        <f t="shared" si="353"/>
        <v>1</v>
      </c>
    </row>
    <row r="3738" spans="1:38" ht="15" x14ac:dyDescent="0.25">
      <c r="A3738" s="1" t="s">
        <v>11409</v>
      </c>
      <c r="B3738" s="1" t="s">
        <v>11410</v>
      </c>
      <c r="C3738" s="1" t="s">
        <v>2018</v>
      </c>
      <c r="D3738" s="1" t="s">
        <v>2018</v>
      </c>
      <c r="E3738" s="6">
        <v>155.97</v>
      </c>
      <c r="F3738" s="1" t="s">
        <v>53</v>
      </c>
      <c r="G3738" s="6">
        <f ca="1">IFERROR(__xludf.DUMMYFUNCTION("iferror(GOOGLEFINANCE(TRIM(F3738)&amp;"":"" &amp; TRIM(B3738), ""price""),0
)"),0)</f>
        <v>0</v>
      </c>
      <c r="H3738" s="6">
        <v>17.43</v>
      </c>
      <c r="I3738" s="6">
        <f t="shared" ca="1" si="0"/>
        <v>17.43</v>
      </c>
      <c r="J3738" s="6">
        <f ca="1">IFERROR(__xludf.DUMMYFUNCTION("IFERROR(GOOGLEFINANCE(B3738, ""volume""), 0)"),0)</f>
        <v>0</v>
      </c>
      <c r="K3738" s="6">
        <v>0.81</v>
      </c>
      <c r="L3738" s="6">
        <f ca="1">IFERROR(__xludf.DUMMYFUNCTION("IFERROR(GOOGLEFINANCE(B3738,""changepct""),K3738)"),0.81)</f>
        <v>0.81</v>
      </c>
      <c r="M3738" s="6">
        <f ca="1">IFERROR(__xludf.DUMMYFUNCTION("IFERROR(GOOGLEFINANCE(B3738,""change""),0)"),0)</f>
        <v>0</v>
      </c>
      <c r="N3738" s="6">
        <v>1</v>
      </c>
      <c r="O3738" s="7">
        <v>45536</v>
      </c>
      <c r="P3738" s="6">
        <v>113.4</v>
      </c>
      <c r="Q3738" s="6">
        <v>266.35000000000002</v>
      </c>
      <c r="R3738" s="7">
        <v>45536</v>
      </c>
      <c r="S3738" s="6">
        <v>312.19</v>
      </c>
      <c r="T3738" s="6">
        <v>10.77</v>
      </c>
      <c r="U3738" s="7">
        <v>45536</v>
      </c>
      <c r="V3738" s="6">
        <v>14.48</v>
      </c>
      <c r="W3738" s="6">
        <f ca="1">IFERROR(__xludf.DUMMYFUNCTION("IFERROR(GOOGLEFINANCE(B3738,""pe""),V3738)"),14.48)</f>
        <v>14.48</v>
      </c>
      <c r="X3738" s="6">
        <v>0.33</v>
      </c>
      <c r="Y3738" s="6">
        <v>-1.42</v>
      </c>
      <c r="Z3738" s="6">
        <v>1</v>
      </c>
      <c r="AA3738" s="8">
        <v>45352</v>
      </c>
      <c r="AB3738" s="4">
        <v>-0.79</v>
      </c>
      <c r="AC3738" s="6">
        <v>0</v>
      </c>
      <c r="AD3738" s="6">
        <v>0</v>
      </c>
      <c r="AE3738" s="1">
        <v>0</v>
      </c>
      <c r="AF3738" s="1">
        <f ca="1">IFERROR(__xludf.DUMMYFUNCTION("IFERROR(GOOGLEFINANCE(TRIM(F3738)&amp;"":"" &amp; TRIM(B3738),""high52""),AE3738)"),0)</f>
        <v>0</v>
      </c>
      <c r="AG3738" s="1">
        <v>0</v>
      </c>
      <c r="AH3738" s="1">
        <f ca="1">IFERROR(__xludf.DUMMYFUNCTION("IFERROR(GOOGLEFINANCE(TRIM(F3738)&amp;"":"" &amp; TRIM(B3738),""low52""),AE3738)"),0)</f>
        <v>0</v>
      </c>
      <c r="AI3738" s="1">
        <f ca="1">IFERROR(__xludf.DUMMYFUNCTION("IFERROR(GOOGLEFINANCE(B3738,""eps""),0)"),0)</f>
        <v>0</v>
      </c>
      <c r="AJ3738" s="1"/>
      <c r="AK3738" s="1" t="s">
        <v>11411</v>
      </c>
      <c r="AL3738" s="9">
        <f t="shared" si="353"/>
        <v>1</v>
      </c>
    </row>
    <row r="3739" spans="1:38" ht="15" x14ac:dyDescent="0.25">
      <c r="A3739" s="1" t="s">
        <v>11412</v>
      </c>
      <c r="B3739" s="1" t="s">
        <v>11413</v>
      </c>
      <c r="C3739" s="1" t="s">
        <v>2018</v>
      </c>
      <c r="D3739" s="1" t="s">
        <v>2018</v>
      </c>
      <c r="E3739" s="6">
        <v>47.74</v>
      </c>
      <c r="F3739" s="1" t="s">
        <v>53</v>
      </c>
      <c r="G3739" s="6">
        <f ca="1">IFERROR(__xludf.DUMMYFUNCTION("iferror(GOOGLEFINANCE(TRIM(F3739)&amp;"":"" &amp; TRIM(B3739), ""price""),0
)"),0)</f>
        <v>0</v>
      </c>
      <c r="H3739" s="6">
        <v>132.44999999999999</v>
      </c>
      <c r="I3739" s="6">
        <f t="shared" ca="1" si="0"/>
        <v>132.44999999999999</v>
      </c>
      <c r="J3739" s="6">
        <f ca="1">IFERROR(__xludf.DUMMYFUNCTION("IFERROR(GOOGLEFINANCE(B3739, ""volume""), 0)"),0)</f>
        <v>0</v>
      </c>
      <c r="K3739" s="6">
        <v>0</v>
      </c>
      <c r="L3739" s="6">
        <f ca="1">IFERROR(__xludf.DUMMYFUNCTION("IFERROR(GOOGLEFINANCE(B3739,""changepct""),K3739)"),0)</f>
        <v>0</v>
      </c>
      <c r="M3739" s="6">
        <f ca="1">IFERROR(__xludf.DUMMYFUNCTION("IFERROR(GOOGLEFINANCE(B3739,""change""),0)"),0)</f>
        <v>0</v>
      </c>
      <c r="N3739" s="6">
        <v>1</v>
      </c>
      <c r="O3739" s="7">
        <v>45536</v>
      </c>
      <c r="P3739" s="9"/>
      <c r="Q3739" s="6">
        <v>47.74</v>
      </c>
      <c r="R3739" s="7">
        <v>45536</v>
      </c>
      <c r="S3739" s="6">
        <v>182.78</v>
      </c>
      <c r="T3739" s="6">
        <v>3.95</v>
      </c>
      <c r="U3739" s="7">
        <v>45536</v>
      </c>
      <c r="V3739" s="6">
        <v>12.09</v>
      </c>
      <c r="W3739" s="6">
        <f ca="1">IFERROR(__xludf.DUMMYFUNCTION("IFERROR(GOOGLEFINANCE(B3739,""pe""),V3739)"),12.09)</f>
        <v>12.09</v>
      </c>
      <c r="X3739" s="6">
        <v>0.06</v>
      </c>
      <c r="Y3739" s="6">
        <v>1.97</v>
      </c>
      <c r="Z3739" s="6">
        <v>1</v>
      </c>
      <c r="AA3739" s="8">
        <v>45352</v>
      </c>
      <c r="AB3739" s="4">
        <v>0</v>
      </c>
      <c r="AC3739" s="6">
        <v>13.9</v>
      </c>
      <c r="AD3739" s="6">
        <v>24.09</v>
      </c>
      <c r="AE3739" s="1">
        <v>0</v>
      </c>
      <c r="AF3739" s="1">
        <f ca="1">IFERROR(__xludf.DUMMYFUNCTION("IFERROR(GOOGLEFINANCE(TRIM(F3739)&amp;"":"" &amp; TRIM(B3739),""high52""),AE3739)"),0)</f>
        <v>0</v>
      </c>
      <c r="AG3739" s="1">
        <v>0</v>
      </c>
      <c r="AH3739" s="1">
        <f ca="1">IFERROR(__xludf.DUMMYFUNCTION("IFERROR(GOOGLEFINANCE(TRIM(F3739)&amp;"":"" &amp; TRIM(B3739),""low52""),AE3739)"),0)</f>
        <v>0</v>
      </c>
      <c r="AI3739" s="1">
        <f ca="1">IFERROR(__xludf.DUMMYFUNCTION("IFERROR(GOOGLEFINANCE(B3739,""eps""),0)"),0)</f>
        <v>0</v>
      </c>
      <c r="AJ3739" s="1"/>
      <c r="AK3739" s="1" t="s">
        <v>11414</v>
      </c>
      <c r="AL3739" s="9">
        <f t="shared" si="353"/>
        <v>1</v>
      </c>
    </row>
    <row r="3740" spans="1:38" ht="15" x14ac:dyDescent="0.25">
      <c r="A3740" s="1" t="s">
        <v>11415</v>
      </c>
      <c r="B3740" s="1" t="s">
        <v>11416</v>
      </c>
      <c r="C3740" s="1" t="s">
        <v>2018</v>
      </c>
      <c r="D3740" s="1" t="s">
        <v>2018</v>
      </c>
      <c r="E3740" s="6">
        <v>4.6900000000000004</v>
      </c>
      <c r="F3740" s="1" t="s">
        <v>53</v>
      </c>
      <c r="G3740" s="6">
        <f ca="1">IFERROR(__xludf.DUMMYFUNCTION("iferror(GOOGLEFINANCE(TRIM(F3740)&amp;"":"" &amp; TRIM(B3740), ""price""),0
)"),0)</f>
        <v>0</v>
      </c>
      <c r="H3740" s="6">
        <v>12.3</v>
      </c>
      <c r="I3740" s="6">
        <f t="shared" ca="1" si="0"/>
        <v>12.3</v>
      </c>
      <c r="J3740" s="6">
        <f ca="1">IFERROR(__xludf.DUMMYFUNCTION("IFERROR(GOOGLEFINANCE(B3740, ""volume""), 0)"),0)</f>
        <v>0</v>
      </c>
      <c r="K3740" s="9"/>
      <c r="L3740" s="6" t="str">
        <f ca="1">IFERROR(__xludf.DUMMYFUNCTION("IFERROR(GOOGLEFINANCE(B3740,""changepct""),K3740)"),"")</f>
        <v/>
      </c>
      <c r="M3740" s="6">
        <f ca="1">IFERROR(__xludf.DUMMYFUNCTION("IFERROR(GOOGLEFINANCE(B3740,""change""),0)"),0)</f>
        <v>0</v>
      </c>
      <c r="N3740" s="6">
        <v>1</v>
      </c>
      <c r="O3740" s="7">
        <v>45536</v>
      </c>
      <c r="P3740" s="9"/>
      <c r="Q3740" s="6">
        <v>4.6900000000000004</v>
      </c>
      <c r="R3740" s="7">
        <v>45536</v>
      </c>
      <c r="S3740" s="6">
        <v>0.7</v>
      </c>
      <c r="T3740" s="6">
        <v>-0.23</v>
      </c>
      <c r="U3740" s="7">
        <v>45536</v>
      </c>
      <c r="V3740" s="6">
        <v>0</v>
      </c>
      <c r="W3740" s="6">
        <f ca="1">IFERROR(__xludf.DUMMYFUNCTION("IFERROR(GOOGLEFINANCE(B3740,""pe""),V3740)"),0)</f>
        <v>0</v>
      </c>
      <c r="X3740" s="6">
        <v>0</v>
      </c>
      <c r="Y3740" s="6">
        <v>1.22</v>
      </c>
      <c r="Z3740" s="6">
        <v>1</v>
      </c>
      <c r="AA3740" s="8">
        <v>45352</v>
      </c>
      <c r="AB3740" s="4">
        <v>0</v>
      </c>
      <c r="AC3740" s="6">
        <v>-3.57</v>
      </c>
      <c r="AD3740" s="6">
        <v>-3.39</v>
      </c>
      <c r="AE3740" s="1">
        <v>0</v>
      </c>
      <c r="AF3740" s="1">
        <f ca="1">IFERROR(__xludf.DUMMYFUNCTION("IFERROR(GOOGLEFINANCE(TRIM(F3740)&amp;"":"" &amp; TRIM(B3740),""high52""),AE3740)"),0)</f>
        <v>0</v>
      </c>
      <c r="AG3740" s="1">
        <v>0</v>
      </c>
      <c r="AH3740" s="1">
        <f ca="1">IFERROR(__xludf.DUMMYFUNCTION("IFERROR(GOOGLEFINANCE(TRIM(F3740)&amp;"":"" &amp; TRIM(B3740),""low52""),AE3740)"),0)</f>
        <v>0</v>
      </c>
      <c r="AI3740" s="1">
        <f ca="1">IFERROR(__xludf.DUMMYFUNCTION("IFERROR(GOOGLEFINANCE(B3740,""eps""),0)"),0)</f>
        <v>0</v>
      </c>
      <c r="AJ3740" s="1"/>
      <c r="AK3740" s="1" t="s">
        <v>11417</v>
      </c>
      <c r="AL3740" s="9">
        <f t="shared" si="353"/>
        <v>1</v>
      </c>
    </row>
    <row r="3741" spans="1:38" ht="15" x14ac:dyDescent="0.25">
      <c r="A3741" s="1" t="s">
        <v>11418</v>
      </c>
      <c r="B3741" s="1" t="s">
        <v>11419</v>
      </c>
      <c r="C3741" s="1" t="s">
        <v>355</v>
      </c>
      <c r="D3741" s="1" t="s">
        <v>355</v>
      </c>
      <c r="E3741" s="6">
        <v>1959.25</v>
      </c>
      <c r="F3741" s="1" t="s">
        <v>40</v>
      </c>
      <c r="G3741" s="6">
        <f ca="1">IFERROR(__xludf.DUMMYFUNCTION("iferror(GOOGLEFINANCE(TRIM(F3741)&amp;"":"" &amp; TRIM(B3741), ""price""),0
)"),257)</f>
        <v>257</v>
      </c>
      <c r="H3741" s="6">
        <v>318.60000000000002</v>
      </c>
      <c r="I3741" s="6">
        <f t="shared" ca="1" si="0"/>
        <v>257</v>
      </c>
      <c r="J3741" s="6">
        <f ca="1">IFERROR(__xludf.DUMMYFUNCTION("IFERROR(GOOGLEFINANCE(B3741, ""volume""), 0)"),40632)</f>
        <v>40632</v>
      </c>
      <c r="K3741" s="6">
        <v>0.39</v>
      </c>
      <c r="L3741" s="6">
        <f ca="1">IFERROR(__xludf.DUMMYFUNCTION("IFERROR(GOOGLEFINANCE(B3741,""changepct""),K3741)"),0.41)</f>
        <v>0.41</v>
      </c>
      <c r="M3741" s="6">
        <f ca="1">IFERROR(__xludf.DUMMYFUNCTION("IFERROR(GOOGLEFINANCE(B3741,""change""),0)"),1.05)</f>
        <v>1.05</v>
      </c>
      <c r="N3741" s="6">
        <v>2</v>
      </c>
      <c r="O3741" s="7">
        <v>45536</v>
      </c>
      <c r="P3741" s="6">
        <v>82.54</v>
      </c>
      <c r="Q3741" s="6">
        <v>1992.6</v>
      </c>
      <c r="R3741" s="7">
        <v>45536</v>
      </c>
      <c r="S3741" s="6">
        <v>821.14</v>
      </c>
      <c r="T3741" s="6">
        <v>100.57</v>
      </c>
      <c r="U3741" s="7">
        <v>45536</v>
      </c>
      <c r="V3741" s="6">
        <v>16.809999999999999</v>
      </c>
      <c r="W3741" s="6">
        <f ca="1">IFERROR(__xludf.DUMMYFUNCTION("IFERROR(GOOGLEFINANCE(B3741,""pe""),V3741)"),16.57)</f>
        <v>16.57</v>
      </c>
      <c r="X3741" s="6">
        <v>0.68</v>
      </c>
      <c r="Y3741" s="6">
        <v>3.29</v>
      </c>
      <c r="Z3741" s="6">
        <v>2</v>
      </c>
      <c r="AA3741" s="8">
        <v>45352</v>
      </c>
      <c r="AB3741" s="4">
        <v>0.16</v>
      </c>
      <c r="AC3741" s="6">
        <v>24.31</v>
      </c>
      <c r="AD3741" s="6">
        <v>29.69</v>
      </c>
      <c r="AE3741" s="1">
        <v>0</v>
      </c>
      <c r="AF3741" s="1">
        <f ca="1">IFERROR(__xludf.DUMMYFUNCTION("IFERROR(GOOGLEFINANCE(TRIM(F3741)&amp;"":"" &amp; TRIM(B3741),""high52""),AE3741)"),326)</f>
        <v>326</v>
      </c>
      <c r="AG3741" s="1">
        <v>0</v>
      </c>
      <c r="AH3741" s="1">
        <f ca="1">IFERROR(__xludf.DUMMYFUNCTION("IFERROR(GOOGLEFINANCE(TRIM(F3741)&amp;"":"" &amp; TRIM(B3741),""low52""),AE3741)"),200.2)</f>
        <v>200.2</v>
      </c>
      <c r="AI3741" s="1">
        <f ca="1">IFERROR(__xludf.DUMMYFUNCTION("IFERROR(GOOGLEFINANCE(B3741,""eps""),0)"),15.51)</f>
        <v>15.51</v>
      </c>
      <c r="AJ3741" s="1"/>
      <c r="AK3741" s="1" t="s">
        <v>11420</v>
      </c>
      <c r="AL3741" s="1" t="b">
        <f>ISNUMBER(AA3741)</f>
        <v>1</v>
      </c>
    </row>
    <row r="3742" spans="1:38" ht="15" x14ac:dyDescent="0.25">
      <c r="A3742" s="1" t="s">
        <v>11421</v>
      </c>
      <c r="B3742" s="1" t="s">
        <v>11422</v>
      </c>
      <c r="C3742" s="1" t="s">
        <v>373</v>
      </c>
      <c r="D3742" s="1" t="s">
        <v>373</v>
      </c>
      <c r="E3742" s="6">
        <v>1389.06</v>
      </c>
      <c r="F3742" s="1" t="s">
        <v>40</v>
      </c>
      <c r="G3742" s="6">
        <f ca="1">IFERROR(__xludf.DUMMYFUNCTION("iferror(GOOGLEFINANCE(TRIM(F3742)&amp;"":"" &amp; TRIM(B3742), ""price""),0
)"),133.7)</f>
        <v>133.69999999999999</v>
      </c>
      <c r="H3742" s="6">
        <v>202.35</v>
      </c>
      <c r="I3742" s="6">
        <f t="shared" ca="1" si="0"/>
        <v>133.69999999999999</v>
      </c>
      <c r="J3742" s="6">
        <f ca="1">IFERROR(__xludf.DUMMYFUNCTION("IFERROR(GOOGLEFINANCE(B3742, ""volume""), 0)"),97675)</f>
        <v>97675</v>
      </c>
      <c r="K3742" s="6">
        <v>0.83</v>
      </c>
      <c r="L3742" s="6">
        <f ca="1">IFERROR(__xludf.DUMMYFUNCTION("IFERROR(GOOGLEFINANCE(B3742,""changepct""),K3742)"),2.6)</f>
        <v>2.6</v>
      </c>
      <c r="M3742" s="6">
        <f ca="1">IFERROR(__xludf.DUMMYFUNCTION("IFERROR(GOOGLEFINANCE(B3742,""change""),0)"),3.39)</f>
        <v>3.39</v>
      </c>
      <c r="N3742" s="6">
        <v>1</v>
      </c>
      <c r="O3742" s="7">
        <v>45536</v>
      </c>
      <c r="P3742" s="6">
        <v>1794.58</v>
      </c>
      <c r="Q3742" s="6">
        <v>3177.1</v>
      </c>
      <c r="R3742" s="7">
        <v>45536</v>
      </c>
      <c r="S3742" s="6">
        <v>4505.43</v>
      </c>
      <c r="T3742" s="6">
        <v>73.69</v>
      </c>
      <c r="U3742" s="7">
        <v>45536</v>
      </c>
      <c r="V3742" s="6">
        <v>18.850000000000001</v>
      </c>
      <c r="W3742" s="6">
        <f ca="1">IFERROR(__xludf.DUMMYFUNCTION("IFERROR(GOOGLEFINANCE(B3742,""pe""),V3742)"),30.99)</f>
        <v>30.99</v>
      </c>
      <c r="X3742" s="6">
        <v>2.2400000000000002</v>
      </c>
      <c r="Y3742" s="6">
        <v>0.66</v>
      </c>
      <c r="Z3742" s="6">
        <v>1</v>
      </c>
      <c r="AA3742" s="8">
        <v>45352</v>
      </c>
      <c r="AB3742" s="4">
        <v>0.86</v>
      </c>
      <c r="AC3742" s="6">
        <v>10.32</v>
      </c>
      <c r="AD3742" s="6">
        <v>14.26</v>
      </c>
      <c r="AE3742" s="1">
        <v>0</v>
      </c>
      <c r="AF3742" s="1">
        <f ca="1">IFERROR(__xludf.DUMMYFUNCTION("IFERROR(GOOGLEFINANCE(TRIM(F3742)&amp;"":"" &amp; TRIM(B3742),""high52""),AE3742)"),190.77)</f>
        <v>190.77</v>
      </c>
      <c r="AG3742" s="1">
        <v>0</v>
      </c>
      <c r="AH3742" s="1">
        <f ca="1">IFERROR(__xludf.DUMMYFUNCTION("IFERROR(GOOGLEFINANCE(TRIM(F3742)&amp;"":"" &amp; TRIM(B3742),""low52""),AE3742)"),115.5)</f>
        <v>115.5</v>
      </c>
      <c r="AI3742" s="1">
        <f ca="1">IFERROR(__xludf.DUMMYFUNCTION("IFERROR(GOOGLEFINANCE(B3742,""eps""),0)"),4.31)</f>
        <v>4.3099999999999996</v>
      </c>
      <c r="AJ3742" s="1"/>
      <c r="AK3742" s="1" t="s">
        <v>11423</v>
      </c>
      <c r="AL3742" s="9">
        <f t="shared" ref="AL3742:AL3743" si="354">IF(AA3742&lt;&gt;AB3742,1,0)</f>
        <v>1</v>
      </c>
    </row>
    <row r="3743" spans="1:38" ht="15" x14ac:dyDescent="0.25">
      <c r="A3743" s="1" t="s">
        <v>11424</v>
      </c>
      <c r="B3743" s="1" t="s">
        <v>11425</v>
      </c>
      <c r="C3743" s="1" t="s">
        <v>2018</v>
      </c>
      <c r="D3743" s="1" t="s">
        <v>2018</v>
      </c>
      <c r="E3743" s="6">
        <v>150.33000000000001</v>
      </c>
      <c r="F3743" s="1" t="s">
        <v>53</v>
      </c>
      <c r="G3743" s="6">
        <f ca="1">IFERROR(__xludf.DUMMYFUNCTION("iferror(GOOGLEFINANCE(TRIM(F3743)&amp;"":"" &amp; TRIM(B3743), ""price""),0
)"),0)</f>
        <v>0</v>
      </c>
      <c r="H3743" s="6">
        <v>42.57</v>
      </c>
      <c r="I3743" s="6">
        <f t="shared" ca="1" si="0"/>
        <v>42.57</v>
      </c>
      <c r="J3743" s="6">
        <f ca="1">IFERROR(__xludf.DUMMYFUNCTION("IFERROR(GOOGLEFINANCE(B3743, ""volume""), 0)"),0)</f>
        <v>0</v>
      </c>
      <c r="K3743" s="6">
        <v>0.52</v>
      </c>
      <c r="L3743" s="6">
        <f ca="1">IFERROR(__xludf.DUMMYFUNCTION("IFERROR(GOOGLEFINANCE(B3743,""changepct""),K3743)"),0.52)</f>
        <v>0.52</v>
      </c>
      <c r="M3743" s="6">
        <f ca="1">IFERROR(__xludf.DUMMYFUNCTION("IFERROR(GOOGLEFINANCE(B3743,""change""),0)"),0)</f>
        <v>0</v>
      </c>
      <c r="N3743" s="6">
        <v>1</v>
      </c>
      <c r="O3743" s="7">
        <v>45536</v>
      </c>
      <c r="P3743" s="6">
        <v>123.98</v>
      </c>
      <c r="Q3743" s="6">
        <v>273.14</v>
      </c>
      <c r="R3743" s="7">
        <v>45536</v>
      </c>
      <c r="S3743" s="6">
        <v>838.98</v>
      </c>
      <c r="T3743" s="6">
        <v>0.63</v>
      </c>
      <c r="U3743" s="7">
        <v>45536</v>
      </c>
      <c r="V3743" s="6">
        <v>237.11</v>
      </c>
      <c r="W3743" s="6">
        <f ca="1">IFERROR(__xludf.DUMMYFUNCTION("IFERROR(GOOGLEFINANCE(B3743,""pe""),V3743)"),237.11)</f>
        <v>237.11</v>
      </c>
      <c r="X3743" s="6">
        <v>-5.79</v>
      </c>
      <c r="Y3743" s="6">
        <v>0.83</v>
      </c>
      <c r="Z3743" s="6">
        <v>1</v>
      </c>
      <c r="AA3743" s="8">
        <v>45352</v>
      </c>
      <c r="AB3743" s="4">
        <v>0.72</v>
      </c>
      <c r="AC3743" s="6">
        <v>1.28</v>
      </c>
      <c r="AD3743" s="6">
        <v>4.04</v>
      </c>
      <c r="AE3743" s="1">
        <v>0</v>
      </c>
      <c r="AF3743" s="1">
        <f ca="1">IFERROR(__xludf.DUMMYFUNCTION("IFERROR(GOOGLEFINANCE(TRIM(F3743)&amp;"":"" &amp; TRIM(B3743),""high52""),AE3743)"),0)</f>
        <v>0</v>
      </c>
      <c r="AG3743" s="1">
        <v>0</v>
      </c>
      <c r="AH3743" s="1">
        <f ca="1">IFERROR(__xludf.DUMMYFUNCTION("IFERROR(GOOGLEFINANCE(TRIM(F3743)&amp;"":"" &amp; TRIM(B3743),""low52""),AE3743)"),0)</f>
        <v>0</v>
      </c>
      <c r="AI3743" s="1">
        <f ca="1">IFERROR(__xludf.DUMMYFUNCTION("IFERROR(GOOGLEFINANCE(B3743,""eps""),0)"),0)</f>
        <v>0</v>
      </c>
      <c r="AJ3743" s="1"/>
      <c r="AK3743" s="1" t="s">
        <v>11426</v>
      </c>
      <c r="AL3743" s="9">
        <f t="shared" si="354"/>
        <v>1</v>
      </c>
    </row>
    <row r="3744" spans="1:38" ht="15" x14ac:dyDescent="0.25">
      <c r="A3744" s="1" t="s">
        <v>11427</v>
      </c>
      <c r="B3744" s="1" t="s">
        <v>11428</v>
      </c>
      <c r="C3744" s="1" t="s">
        <v>1067</v>
      </c>
      <c r="D3744" s="1" t="s">
        <v>1067</v>
      </c>
      <c r="E3744" s="6">
        <v>7217.66</v>
      </c>
      <c r="F3744" s="1" t="s">
        <v>40</v>
      </c>
      <c r="G3744" s="6">
        <f ca="1">IFERROR(__xludf.DUMMYFUNCTION("iferror(GOOGLEFINANCE(TRIM(F3744)&amp;"":"" &amp; TRIM(B3744), ""price""),0
)"),595)</f>
        <v>595</v>
      </c>
      <c r="H3744" s="6">
        <v>460.2</v>
      </c>
      <c r="I3744" s="6">
        <f t="shared" ca="1" si="0"/>
        <v>595</v>
      </c>
      <c r="J3744" s="6">
        <f ca="1">IFERROR(__xludf.DUMMYFUNCTION("IFERROR(GOOGLEFINANCE(B3744, ""volume""), 0)"),0)</f>
        <v>0</v>
      </c>
      <c r="K3744" s="6">
        <v>0.7</v>
      </c>
      <c r="L3744" s="6">
        <f ca="1">IFERROR(__xludf.DUMMYFUNCTION("IFERROR(GOOGLEFINANCE(B3744,""changepct""),K3744)"),0.08)</f>
        <v>0.08</v>
      </c>
      <c r="M3744" s="6">
        <f ca="1">IFERROR(__xludf.DUMMYFUNCTION("IFERROR(GOOGLEFINANCE(B3744,""change""),0)"),0.02)</f>
        <v>0.02</v>
      </c>
      <c r="N3744" s="6">
        <v>1</v>
      </c>
      <c r="O3744" s="7">
        <v>45536</v>
      </c>
      <c r="P3744" s="6">
        <v>5101.42</v>
      </c>
      <c r="Q3744" s="6">
        <v>1127.76</v>
      </c>
      <c r="R3744" s="7">
        <v>45536</v>
      </c>
      <c r="S3744" s="6">
        <v>6.4</v>
      </c>
      <c r="T3744" s="12"/>
      <c r="U3744" s="6">
        <v>0.86</v>
      </c>
      <c r="V3744" s="6">
        <v>1</v>
      </c>
      <c r="W3744" s="6">
        <f ca="1">IFERROR(__xludf.DUMMYFUNCTION("IFERROR(GOOGLEFINANCE(B3744,""pe""),V3744)"),1)</f>
        <v>1</v>
      </c>
      <c r="X3744" s="7">
        <v>45352</v>
      </c>
      <c r="Y3744" s="6">
        <v>14.44</v>
      </c>
      <c r="Z3744" s="6">
        <v>1</v>
      </c>
      <c r="AA3744" s="8">
        <v>45352</v>
      </c>
      <c r="AB3744" s="4">
        <v>0.85</v>
      </c>
      <c r="AC3744" s="6">
        <v>3.67</v>
      </c>
      <c r="AD3744" s="6">
        <v>12.2</v>
      </c>
      <c r="AE3744" s="1">
        <v>0</v>
      </c>
      <c r="AF3744" s="1">
        <f ca="1">IFERROR(__xludf.DUMMYFUNCTION("IFERROR(GOOGLEFINANCE(TRIM(F3744)&amp;"":"" &amp; TRIM(B3744),""high52""),AE3744)"),621.9)</f>
        <v>621.9</v>
      </c>
      <c r="AG3744" s="1">
        <v>0</v>
      </c>
      <c r="AH3744" s="1">
        <f ca="1">IFERROR(__xludf.DUMMYFUNCTION("IFERROR(GOOGLEFINANCE(TRIM(F3744)&amp;"":"" &amp; TRIM(B3744),""low52""),AE3744)"),401)</f>
        <v>401</v>
      </c>
      <c r="AI3744" s="1">
        <f ca="1">IFERROR(__xludf.DUMMYFUNCTION("IFERROR(GOOGLEFINANCE(B3744,""eps""),0)"),0)</f>
        <v>0</v>
      </c>
      <c r="AJ3744" s="1"/>
      <c r="AK3744" s="1" t="s">
        <v>11429</v>
      </c>
      <c r="AL3744" s="1" t="b">
        <f>ISNUMBER(AA3744)</f>
        <v>1</v>
      </c>
    </row>
    <row r="3745" spans="1:38" ht="15" x14ac:dyDescent="0.25">
      <c r="A3745" s="1" t="s">
        <v>11430</v>
      </c>
      <c r="B3745" s="1" t="s">
        <v>11431</v>
      </c>
      <c r="C3745" s="1" t="s">
        <v>470</v>
      </c>
      <c r="D3745" s="1" t="s">
        <v>470</v>
      </c>
      <c r="E3745" s="6">
        <v>726.88</v>
      </c>
      <c r="F3745" s="1" t="s">
        <v>40</v>
      </c>
      <c r="G3745" s="6">
        <f ca="1">IFERROR(__xludf.DUMMYFUNCTION("iferror(GOOGLEFINANCE(TRIM(F3745)&amp;"":"" &amp; TRIM(B3745), ""price""),0
)"),93.12)</f>
        <v>93.12</v>
      </c>
      <c r="H3745" s="6">
        <v>80.84</v>
      </c>
      <c r="I3745" s="6">
        <f t="shared" ca="1" si="0"/>
        <v>93.12</v>
      </c>
      <c r="J3745" s="6">
        <f ca="1">IFERROR(__xludf.DUMMYFUNCTION("IFERROR(GOOGLEFINANCE(B3745, ""volume""), 0)"),144209)</f>
        <v>144209</v>
      </c>
      <c r="K3745" s="6">
        <v>0.2</v>
      </c>
      <c r="L3745" s="6">
        <f ca="1">IFERROR(__xludf.DUMMYFUNCTION("IFERROR(GOOGLEFINANCE(B3745,""changepct""),K3745)"),-2.13)</f>
        <v>-2.13</v>
      </c>
      <c r="M3745" s="6">
        <f ca="1">IFERROR(__xludf.DUMMYFUNCTION("IFERROR(GOOGLEFINANCE(B3745,""change""),0)"),-2.03)</f>
        <v>-2.0299999999999998</v>
      </c>
      <c r="N3745" s="6">
        <v>2</v>
      </c>
      <c r="O3745" s="7">
        <v>45536</v>
      </c>
      <c r="P3745" s="6">
        <v>42.77</v>
      </c>
      <c r="Q3745" s="6">
        <v>396.82</v>
      </c>
      <c r="R3745" s="7">
        <v>45536</v>
      </c>
      <c r="S3745" s="6">
        <v>1695.28</v>
      </c>
      <c r="T3745" s="6">
        <v>36.6</v>
      </c>
      <c r="U3745" s="7">
        <v>45536</v>
      </c>
      <c r="V3745" s="6">
        <v>19.86</v>
      </c>
      <c r="W3745" s="6">
        <f ca="1">IFERROR(__xludf.DUMMYFUNCTION("IFERROR(GOOGLEFINANCE(B3745,""pe""),V3745)"),7.75)</f>
        <v>7.75</v>
      </c>
      <c r="X3745" s="6">
        <v>15.05</v>
      </c>
      <c r="Y3745" s="6">
        <v>0.84</v>
      </c>
      <c r="Z3745" s="6">
        <v>2</v>
      </c>
      <c r="AA3745" s="8">
        <v>45352</v>
      </c>
      <c r="AB3745" s="4">
        <v>0</v>
      </c>
      <c r="AC3745" s="6">
        <v>5.96</v>
      </c>
      <c r="AD3745" s="6">
        <v>8.25</v>
      </c>
      <c r="AE3745" s="1">
        <v>0</v>
      </c>
      <c r="AF3745" s="1">
        <f ca="1">IFERROR(__xludf.DUMMYFUNCTION("IFERROR(GOOGLEFINANCE(TRIM(F3745)&amp;"":"" &amp; TRIM(B3745),""high52""),AE3745)"),129.89)</f>
        <v>129.88999999999999</v>
      </c>
      <c r="AG3745" s="1">
        <v>0</v>
      </c>
      <c r="AH3745" s="1">
        <f ca="1">IFERROR(__xludf.DUMMYFUNCTION("IFERROR(GOOGLEFINANCE(TRIM(F3745)&amp;"":"" &amp; TRIM(B3745),""low52""),AE3745)"),63.66)</f>
        <v>63.66</v>
      </c>
      <c r="AI3745" s="1">
        <f ca="1">IFERROR(__xludf.DUMMYFUNCTION("IFERROR(GOOGLEFINANCE(B3745,""eps""),0)"),12.01)</f>
        <v>12.01</v>
      </c>
      <c r="AJ3745" s="1"/>
      <c r="AK3745" s="1" t="s">
        <v>11432</v>
      </c>
      <c r="AL3745" s="9">
        <f>IF(AA3745&lt;&gt;AB3745,1,0)</f>
        <v>1</v>
      </c>
    </row>
    <row r="3746" spans="1:38" ht="15" x14ac:dyDescent="0.25">
      <c r="A3746" s="1" t="s">
        <v>11433</v>
      </c>
      <c r="B3746" s="1" t="s">
        <v>11434</v>
      </c>
      <c r="C3746" s="1" t="s">
        <v>577</v>
      </c>
      <c r="D3746" s="1" t="s">
        <v>577</v>
      </c>
      <c r="E3746" s="6">
        <v>53.58</v>
      </c>
      <c r="F3746" s="1" t="s">
        <v>40</v>
      </c>
      <c r="G3746" s="6">
        <f ca="1">IFERROR(__xludf.DUMMYFUNCTION("iferror(GOOGLEFINANCE(TRIM(F3746)&amp;"":"" &amp; TRIM(B3746), ""price""),0
)"),8.84)</f>
        <v>8.84</v>
      </c>
      <c r="H3746" s="6">
        <v>11.9</v>
      </c>
      <c r="I3746" s="6">
        <f t="shared" ca="1" si="0"/>
        <v>8.84</v>
      </c>
      <c r="J3746" s="6">
        <f ca="1">IFERROR(__xludf.DUMMYFUNCTION("IFERROR(GOOGLEFINANCE(B3746, ""volume""), 0)"),8163)</f>
        <v>8163</v>
      </c>
      <c r="K3746" s="6">
        <v>0.51</v>
      </c>
      <c r="L3746" s="6">
        <f ca="1">IFERROR(__xludf.DUMMYFUNCTION("IFERROR(GOOGLEFINANCE(B3746,""changepct""),K3746)"),0.23)</f>
        <v>0.23</v>
      </c>
      <c r="M3746" s="6">
        <f ca="1">IFERROR(__xludf.DUMMYFUNCTION("IFERROR(GOOGLEFINANCE(B3746,""change""),0)"),0.02)</f>
        <v>0.02</v>
      </c>
      <c r="N3746" s="6">
        <v>1</v>
      </c>
      <c r="O3746" s="7">
        <v>45536</v>
      </c>
      <c r="P3746" s="6">
        <v>32.909999999999997</v>
      </c>
      <c r="Q3746" s="6">
        <v>86.49</v>
      </c>
      <c r="R3746" s="7">
        <v>45536</v>
      </c>
      <c r="S3746" s="6">
        <v>0</v>
      </c>
      <c r="T3746" s="6">
        <v>-14.85</v>
      </c>
      <c r="U3746" s="7">
        <v>45536</v>
      </c>
      <c r="V3746" s="6">
        <v>0</v>
      </c>
      <c r="W3746" s="6">
        <f ca="1">IFERROR(__xludf.DUMMYFUNCTION("IFERROR(GOOGLEFINANCE(B3746,""pe""),V3746)"),0)</f>
        <v>0</v>
      </c>
      <c r="X3746" s="6">
        <v>0</v>
      </c>
      <c r="Y3746" s="6">
        <v>-0.32</v>
      </c>
      <c r="Z3746" s="6">
        <v>1</v>
      </c>
      <c r="AA3746" s="8">
        <v>45352</v>
      </c>
      <c r="AB3746" s="4">
        <v>-0.2</v>
      </c>
      <c r="AC3746" s="6">
        <v>0</v>
      </c>
      <c r="AD3746" s="6">
        <v>0</v>
      </c>
      <c r="AE3746" s="1">
        <v>0</v>
      </c>
      <c r="AF3746" s="1">
        <f ca="1">IFERROR(__xludf.DUMMYFUNCTION("IFERROR(GOOGLEFINANCE(TRIM(F3746)&amp;"":"" &amp; TRIM(B3746),""high52""),AE3746)"),26)</f>
        <v>26</v>
      </c>
      <c r="AG3746" s="1">
        <v>0</v>
      </c>
      <c r="AH3746" s="1">
        <f ca="1">IFERROR(__xludf.DUMMYFUNCTION("IFERROR(GOOGLEFINANCE(TRIM(F3746)&amp;"":"" &amp; TRIM(B3746),""low52""),AE3746)"),7.94)</f>
        <v>7.94</v>
      </c>
      <c r="AI3746" s="1">
        <f ca="1">IFERROR(__xludf.DUMMYFUNCTION("IFERROR(GOOGLEFINANCE(B3746,""eps""),0)"),-3.65)</f>
        <v>-3.65</v>
      </c>
      <c r="AJ3746" s="1"/>
      <c r="AK3746" s="1" t="s">
        <v>11435</v>
      </c>
      <c r="AL3746" s="1" t="b">
        <f>ISNUMBER(AA3746)</f>
        <v>1</v>
      </c>
    </row>
    <row r="3747" spans="1:38" ht="15" x14ac:dyDescent="0.25">
      <c r="A3747" s="1" t="s">
        <v>11436</v>
      </c>
      <c r="B3747" s="1" t="s">
        <v>11437</v>
      </c>
      <c r="C3747" s="1" t="s">
        <v>2018</v>
      </c>
      <c r="D3747" s="1" t="s">
        <v>2018</v>
      </c>
      <c r="E3747" s="6">
        <v>568.23</v>
      </c>
      <c r="F3747" s="1" t="s">
        <v>53</v>
      </c>
      <c r="G3747" s="6">
        <f ca="1">IFERROR(__xludf.DUMMYFUNCTION("iferror(GOOGLEFINANCE(TRIM(F3747)&amp;"":"" &amp; TRIM(B3747), ""price""),0
)"),0)</f>
        <v>0</v>
      </c>
      <c r="H3747" s="6">
        <v>513.9</v>
      </c>
      <c r="I3747" s="6">
        <f t="shared" ca="1" si="0"/>
        <v>513.9</v>
      </c>
      <c r="J3747" s="6">
        <f ca="1">IFERROR(__xludf.DUMMYFUNCTION("IFERROR(GOOGLEFINANCE(B3747, ""volume""), 0)"),0)</f>
        <v>0</v>
      </c>
      <c r="K3747" s="6">
        <v>3.1</v>
      </c>
      <c r="L3747" s="6">
        <f ca="1">IFERROR(__xludf.DUMMYFUNCTION("IFERROR(GOOGLEFINANCE(B3747,""changepct""),K3747)"),3.1)</f>
        <v>3.1</v>
      </c>
      <c r="M3747" s="6">
        <f ca="1">IFERROR(__xludf.DUMMYFUNCTION("IFERROR(GOOGLEFINANCE(B3747,""change""),0)"),0)</f>
        <v>0</v>
      </c>
      <c r="N3747" s="6">
        <v>1</v>
      </c>
      <c r="O3747" s="7">
        <v>45536</v>
      </c>
      <c r="P3747" s="6">
        <v>49.29</v>
      </c>
      <c r="Q3747" s="6">
        <v>591.87</v>
      </c>
      <c r="R3747" s="7">
        <v>45536</v>
      </c>
      <c r="S3747" s="6">
        <v>334</v>
      </c>
      <c r="T3747" s="6">
        <v>26.43</v>
      </c>
      <c r="U3747" s="7">
        <v>45536</v>
      </c>
      <c r="V3747" s="6">
        <v>21.5</v>
      </c>
      <c r="W3747" s="6">
        <f ca="1">IFERROR(__xludf.DUMMYFUNCTION("IFERROR(GOOGLEFINANCE(B3747,""pe""),V3747)"),21.5)</f>
        <v>21.5</v>
      </c>
      <c r="X3747" s="6">
        <v>0.6</v>
      </c>
      <c r="Y3747" s="6">
        <v>4.0199999999999996</v>
      </c>
      <c r="Z3747" s="6">
        <v>1</v>
      </c>
      <c r="AA3747" s="8">
        <v>45352</v>
      </c>
      <c r="AB3747" s="4">
        <v>0.31</v>
      </c>
      <c r="AC3747" s="6">
        <v>24.78</v>
      </c>
      <c r="AD3747" s="6">
        <v>26.14</v>
      </c>
      <c r="AE3747" s="1">
        <v>0</v>
      </c>
      <c r="AF3747" s="1">
        <f ca="1">IFERROR(__xludf.DUMMYFUNCTION("IFERROR(GOOGLEFINANCE(TRIM(F3747)&amp;"":"" &amp; TRIM(B3747),""high52""),AE3747)"),0)</f>
        <v>0</v>
      </c>
      <c r="AG3747" s="1">
        <v>0</v>
      </c>
      <c r="AH3747" s="1">
        <f ca="1">IFERROR(__xludf.DUMMYFUNCTION("IFERROR(GOOGLEFINANCE(TRIM(F3747)&amp;"":"" &amp; TRIM(B3747),""low52""),AE3747)"),0)</f>
        <v>0</v>
      </c>
      <c r="AI3747" s="1">
        <f ca="1">IFERROR(__xludf.DUMMYFUNCTION("IFERROR(GOOGLEFINANCE(B3747,""eps""),0)"),0)</f>
        <v>0</v>
      </c>
      <c r="AJ3747" s="1"/>
      <c r="AK3747" s="9"/>
      <c r="AL3747" s="9">
        <f t="shared" ref="AL3747:AL3765" si="355">IF(AA3747&lt;&gt;AB3747,1,0)</f>
        <v>1</v>
      </c>
    </row>
    <row r="3748" spans="1:38" ht="15" x14ac:dyDescent="0.25">
      <c r="A3748" s="1" t="s">
        <v>11438</v>
      </c>
      <c r="B3748" s="1" t="s">
        <v>11439</v>
      </c>
      <c r="C3748" s="1" t="s">
        <v>57</v>
      </c>
      <c r="D3748" s="1" t="s">
        <v>57</v>
      </c>
      <c r="E3748" s="6">
        <v>10128.61</v>
      </c>
      <c r="F3748" s="1" t="s">
        <v>40</v>
      </c>
      <c r="G3748" s="6">
        <f ca="1">IFERROR(__xludf.DUMMYFUNCTION("iferror(GOOGLEFINANCE(TRIM(F3748)&amp;"":"" &amp; TRIM(B3748), ""price""),0
)"),493.35)</f>
        <v>493.35</v>
      </c>
      <c r="H3748" s="6">
        <v>734.4</v>
      </c>
      <c r="I3748" s="6">
        <f t="shared" ca="1" si="0"/>
        <v>493.35</v>
      </c>
      <c r="J3748" s="6">
        <f ca="1">IFERROR(__xludf.DUMMYFUNCTION("IFERROR(GOOGLEFINANCE(B3748, ""volume""), 0)"),342577)</f>
        <v>342577</v>
      </c>
      <c r="K3748" s="6">
        <v>-2.4</v>
      </c>
      <c r="L3748" s="6">
        <f ca="1">IFERROR(__xludf.DUMMYFUNCTION("IFERROR(GOOGLEFINANCE(B3748,""changepct""),K3748)"),-1.54)</f>
        <v>-1.54</v>
      </c>
      <c r="M3748" s="6">
        <f ca="1">IFERROR(__xludf.DUMMYFUNCTION("IFERROR(GOOGLEFINANCE(B3748,""change""),0)"),-7.7)</f>
        <v>-7.7</v>
      </c>
      <c r="N3748" s="6">
        <v>2</v>
      </c>
      <c r="O3748" s="7">
        <v>45536</v>
      </c>
      <c r="P3748" s="9"/>
      <c r="Q3748" s="6">
        <v>9601.94</v>
      </c>
      <c r="R3748" s="7">
        <v>45536</v>
      </c>
      <c r="S3748" s="6">
        <v>4011.02</v>
      </c>
      <c r="T3748" s="6">
        <v>541.79</v>
      </c>
      <c r="U3748" s="7">
        <v>45536</v>
      </c>
      <c r="V3748" s="6">
        <v>18.690000000000001</v>
      </c>
      <c r="W3748" s="6">
        <f ca="1">IFERROR(__xludf.DUMMYFUNCTION("IFERROR(GOOGLEFINANCE(B3748,""pe""),V3748)"),13.4)</f>
        <v>13.4</v>
      </c>
      <c r="X3748" s="6">
        <v>0.24</v>
      </c>
      <c r="Y3748" s="6">
        <v>4.8099999999999996</v>
      </c>
      <c r="Z3748" s="6">
        <v>2</v>
      </c>
      <c r="AA3748" s="8">
        <v>45352</v>
      </c>
      <c r="AB3748" s="4">
        <v>0</v>
      </c>
      <c r="AC3748" s="6">
        <v>32.200000000000003</v>
      </c>
      <c r="AD3748" s="6">
        <v>40.020000000000003</v>
      </c>
      <c r="AE3748" s="1">
        <v>0</v>
      </c>
      <c r="AF3748" s="1">
        <f ca="1">IFERROR(__xludf.DUMMYFUNCTION("IFERROR(GOOGLEFINANCE(TRIM(F3748)&amp;"":"" &amp; TRIM(B3748),""high52""),AE3748)"),766)</f>
        <v>766</v>
      </c>
      <c r="AG3748" s="1">
        <v>0</v>
      </c>
      <c r="AH3748" s="1">
        <f ca="1">IFERROR(__xludf.DUMMYFUNCTION("IFERROR(GOOGLEFINANCE(TRIM(F3748)&amp;"":"" &amp; TRIM(B3748),""low52""),AE3748)"),409.35)</f>
        <v>409.35</v>
      </c>
      <c r="AI3748" s="1">
        <f ca="1">IFERROR(__xludf.DUMMYFUNCTION("IFERROR(GOOGLEFINANCE(B3748,""eps""),0)"),36.81)</f>
        <v>36.81</v>
      </c>
      <c r="AJ3748" s="1"/>
      <c r="AK3748" s="1" t="s">
        <v>11440</v>
      </c>
      <c r="AL3748" s="9">
        <f t="shared" si="355"/>
        <v>1</v>
      </c>
    </row>
    <row r="3749" spans="1:38" ht="15" x14ac:dyDescent="0.25">
      <c r="A3749" s="1" t="s">
        <v>11441</v>
      </c>
      <c r="B3749" s="1" t="s">
        <v>11442</v>
      </c>
      <c r="C3749" s="1" t="s">
        <v>86</v>
      </c>
      <c r="D3749" s="1" t="s">
        <v>86</v>
      </c>
      <c r="E3749" s="6">
        <v>799.02</v>
      </c>
      <c r="F3749" s="1" t="s">
        <v>40</v>
      </c>
      <c r="G3749" s="6">
        <f ca="1">IFERROR(__xludf.DUMMYFUNCTION("iferror(GOOGLEFINANCE(TRIM(F3749)&amp;"":"" &amp; TRIM(B3749), ""price""),0
)"),0)</f>
        <v>0</v>
      </c>
      <c r="H3749" s="6">
        <v>53.44</v>
      </c>
      <c r="I3749" s="6">
        <f t="shared" ca="1" si="0"/>
        <v>53.44</v>
      </c>
      <c r="J3749" s="6">
        <f ca="1">IFERROR(__xludf.DUMMYFUNCTION("IFERROR(GOOGLEFINANCE(B3749, ""volume""), 0)"),0)</f>
        <v>0</v>
      </c>
      <c r="K3749" s="6">
        <v>4.99</v>
      </c>
      <c r="L3749" s="6">
        <f ca="1">IFERROR(__xludf.DUMMYFUNCTION("IFERROR(GOOGLEFINANCE(B3749,""changepct""),K3749)"),4.99)</f>
        <v>4.99</v>
      </c>
      <c r="M3749" s="6">
        <f ca="1">IFERROR(__xludf.DUMMYFUNCTION("IFERROR(GOOGLEFINANCE(B3749,""change""),0)"),0)</f>
        <v>0</v>
      </c>
      <c r="N3749" s="6">
        <v>2</v>
      </c>
      <c r="O3749" s="7">
        <v>45536</v>
      </c>
      <c r="P3749" s="6">
        <v>333.45</v>
      </c>
      <c r="Q3749" s="6">
        <v>1129.73</v>
      </c>
      <c r="R3749" s="7">
        <v>45536</v>
      </c>
      <c r="S3749" s="6">
        <v>50.81</v>
      </c>
      <c r="T3749" s="6">
        <v>-13.33</v>
      </c>
      <c r="U3749" s="7">
        <v>45536</v>
      </c>
      <c r="V3749" s="6">
        <v>0</v>
      </c>
      <c r="W3749" s="6">
        <f ca="1">IFERROR(__xludf.DUMMYFUNCTION("IFERROR(GOOGLEFINANCE(B3749,""pe""),V3749)"),0)</f>
        <v>0</v>
      </c>
      <c r="X3749" s="6">
        <v>0</v>
      </c>
      <c r="Y3749" s="6">
        <v>3.21</v>
      </c>
      <c r="Z3749" s="6">
        <v>2</v>
      </c>
      <c r="AA3749" s="8">
        <v>45352</v>
      </c>
      <c r="AB3749" s="4">
        <v>1.35</v>
      </c>
      <c r="AC3749" s="6">
        <v>-8.83</v>
      </c>
      <c r="AD3749" s="6">
        <v>-2.84</v>
      </c>
      <c r="AE3749" s="1">
        <v>0</v>
      </c>
      <c r="AF3749" s="1">
        <f ca="1">IFERROR(__xludf.DUMMYFUNCTION("IFERROR(GOOGLEFINANCE(TRIM(F3749)&amp;"":"" &amp; TRIM(B3749),""high52""),AE3749)"),0)</f>
        <v>0</v>
      </c>
      <c r="AG3749" s="1">
        <v>0</v>
      </c>
      <c r="AH3749" s="1">
        <f ca="1">IFERROR(__xludf.DUMMYFUNCTION("IFERROR(GOOGLEFINANCE(TRIM(F3749)&amp;"":"" &amp; TRIM(B3749),""low52""),AE3749)"),0)</f>
        <v>0</v>
      </c>
      <c r="AI3749" s="1">
        <f ca="1">IFERROR(__xludf.DUMMYFUNCTION("IFERROR(GOOGLEFINANCE(B3749,""eps""),0)"),0)</f>
        <v>0</v>
      </c>
      <c r="AJ3749" s="1"/>
      <c r="AK3749" s="1" t="s">
        <v>11443</v>
      </c>
      <c r="AL3749" s="9">
        <f t="shared" si="355"/>
        <v>1</v>
      </c>
    </row>
    <row r="3750" spans="1:38" ht="15" x14ac:dyDescent="0.25">
      <c r="A3750" s="1" t="s">
        <v>11444</v>
      </c>
      <c r="B3750" s="1" t="s">
        <v>11445</v>
      </c>
      <c r="C3750" s="1" t="s">
        <v>324</v>
      </c>
      <c r="D3750" s="1" t="s">
        <v>324</v>
      </c>
      <c r="E3750" s="6">
        <v>49.12</v>
      </c>
      <c r="F3750" s="1" t="s">
        <v>40</v>
      </c>
      <c r="G3750" s="6">
        <f ca="1">IFERROR(__xludf.DUMMYFUNCTION("iferror(GOOGLEFINANCE(TRIM(F3750)&amp;"":"" &amp; TRIM(B3750), ""price""),0
)"),0)</f>
        <v>0</v>
      </c>
      <c r="H3750" s="6">
        <v>114.95</v>
      </c>
      <c r="I3750" s="6">
        <f t="shared" ca="1" si="0"/>
        <v>114.95</v>
      </c>
      <c r="J3750" s="6">
        <f ca="1">IFERROR(__xludf.DUMMYFUNCTION("IFERROR(GOOGLEFINANCE(B3750, ""volume""), 0)"),0)</f>
        <v>0</v>
      </c>
      <c r="K3750" s="9"/>
      <c r="L3750" s="6" t="str">
        <f ca="1">IFERROR(__xludf.DUMMYFUNCTION("IFERROR(GOOGLEFINANCE(B3750,""changepct""),K3750)"),"")</f>
        <v/>
      </c>
      <c r="M3750" s="6">
        <f ca="1">IFERROR(__xludf.DUMMYFUNCTION("IFERROR(GOOGLEFINANCE(B3750,""change""),0)"),0)</f>
        <v>0</v>
      </c>
      <c r="N3750" s="6">
        <v>1</v>
      </c>
      <c r="O3750" s="7">
        <v>45536</v>
      </c>
      <c r="P3750" s="6">
        <v>0.76</v>
      </c>
      <c r="Q3750" s="6">
        <v>49.88</v>
      </c>
      <c r="R3750" s="7">
        <v>45352</v>
      </c>
      <c r="S3750" s="6">
        <v>21.02</v>
      </c>
      <c r="T3750" s="6">
        <v>-0.25</v>
      </c>
      <c r="U3750" s="7">
        <v>45352</v>
      </c>
      <c r="V3750" s="6">
        <v>0</v>
      </c>
      <c r="W3750" s="6">
        <f ca="1">IFERROR(__xludf.DUMMYFUNCTION("IFERROR(GOOGLEFINANCE(B3750,""pe""),V3750)"),0)</f>
        <v>0</v>
      </c>
      <c r="X3750" s="14"/>
      <c r="Y3750" s="6">
        <v>3.74</v>
      </c>
      <c r="Z3750" s="6">
        <v>2</v>
      </c>
      <c r="AA3750" s="8">
        <v>45352</v>
      </c>
      <c r="AB3750" s="4">
        <v>0.16</v>
      </c>
      <c r="AC3750" s="6">
        <v>-1.87</v>
      </c>
      <c r="AD3750" s="6">
        <v>-0.86</v>
      </c>
      <c r="AE3750" s="1">
        <v>0</v>
      </c>
      <c r="AF3750" s="1">
        <f ca="1">IFERROR(__xludf.DUMMYFUNCTION("IFERROR(GOOGLEFINANCE(TRIM(F3750)&amp;"":"" &amp; TRIM(B3750),""high52""),AE3750)"),0)</f>
        <v>0</v>
      </c>
      <c r="AG3750" s="1">
        <v>0</v>
      </c>
      <c r="AH3750" s="1">
        <f ca="1">IFERROR(__xludf.DUMMYFUNCTION("IFERROR(GOOGLEFINANCE(TRIM(F3750)&amp;"":"" &amp; TRIM(B3750),""low52""),AE3750)"),0)</f>
        <v>0</v>
      </c>
      <c r="AI3750" s="1">
        <f ca="1">IFERROR(__xludf.DUMMYFUNCTION("IFERROR(GOOGLEFINANCE(B3750,""eps""),0)"),0)</f>
        <v>0</v>
      </c>
      <c r="AJ3750" s="1"/>
      <c r="AK3750" s="1" t="s">
        <v>11446</v>
      </c>
      <c r="AL3750" s="9">
        <f t="shared" si="355"/>
        <v>1</v>
      </c>
    </row>
    <row r="3751" spans="1:38" ht="15" x14ac:dyDescent="0.25">
      <c r="A3751" s="1" t="s">
        <v>11447</v>
      </c>
      <c r="B3751" s="1" t="s">
        <v>11448</v>
      </c>
      <c r="C3751" s="1" t="s">
        <v>259</v>
      </c>
      <c r="D3751" s="1" t="s">
        <v>259</v>
      </c>
      <c r="E3751" s="6">
        <v>481.94</v>
      </c>
      <c r="F3751" s="1" t="s">
        <v>40</v>
      </c>
      <c r="G3751" s="6">
        <f ca="1">IFERROR(__xludf.DUMMYFUNCTION("iferror(GOOGLEFINANCE(TRIM(F3751)&amp;"":"" &amp; TRIM(B3751), ""price""),0
)"),63.5)</f>
        <v>63.5</v>
      </c>
      <c r="H3751" s="6">
        <v>60.74</v>
      </c>
      <c r="I3751" s="6">
        <f t="shared" ca="1" si="0"/>
        <v>63.5</v>
      </c>
      <c r="J3751" s="6">
        <f ca="1">IFERROR(__xludf.DUMMYFUNCTION("IFERROR(GOOGLEFINANCE(B3751, ""volume""), 0)"),182867)</f>
        <v>182867</v>
      </c>
      <c r="K3751" s="6">
        <v>-0.65</v>
      </c>
      <c r="L3751" s="6">
        <f ca="1">IFERROR(__xludf.DUMMYFUNCTION("IFERROR(GOOGLEFINANCE(B3751,""changepct""),K3751)"),2.25)</f>
        <v>2.25</v>
      </c>
      <c r="M3751" s="6">
        <f ca="1">IFERROR(__xludf.DUMMYFUNCTION("IFERROR(GOOGLEFINANCE(B3751,""change""),0)"),1.4)</f>
        <v>1.4</v>
      </c>
      <c r="N3751" s="6">
        <v>1</v>
      </c>
      <c r="O3751" s="7">
        <v>45536</v>
      </c>
      <c r="P3751" s="6">
        <v>100.9</v>
      </c>
      <c r="Q3751" s="6">
        <v>582.84</v>
      </c>
      <c r="R3751" s="7">
        <v>45536</v>
      </c>
      <c r="S3751" s="6">
        <v>192.67</v>
      </c>
      <c r="T3751" s="6">
        <v>21.42</v>
      </c>
      <c r="U3751" s="7">
        <v>45536</v>
      </c>
      <c r="V3751" s="6">
        <v>22.5</v>
      </c>
      <c r="W3751" s="6">
        <f ca="1">IFERROR(__xludf.DUMMYFUNCTION("IFERROR(GOOGLEFINANCE(B3751,""pe""),V3751)"),18.56)</f>
        <v>18.559999999999999</v>
      </c>
      <c r="X3751" s="6">
        <v>0.81</v>
      </c>
      <c r="Y3751" s="6">
        <v>4.49</v>
      </c>
      <c r="Z3751" s="6">
        <v>1</v>
      </c>
      <c r="AA3751" s="8">
        <v>45352</v>
      </c>
      <c r="AB3751" s="4">
        <v>0.91</v>
      </c>
      <c r="AC3751" s="6">
        <v>20.18</v>
      </c>
      <c r="AD3751" s="6">
        <v>17.12</v>
      </c>
      <c r="AE3751" s="1">
        <v>0</v>
      </c>
      <c r="AF3751" s="1">
        <f ca="1">IFERROR(__xludf.DUMMYFUNCTION("IFERROR(GOOGLEFINANCE(TRIM(F3751)&amp;"":"" &amp; TRIM(B3751),""high52""),AE3751)"),103.67)</f>
        <v>103.67</v>
      </c>
      <c r="AG3751" s="1">
        <v>0</v>
      </c>
      <c r="AH3751" s="1">
        <f ca="1">IFERROR(__xludf.DUMMYFUNCTION("IFERROR(GOOGLEFINANCE(TRIM(F3751)&amp;"":"" &amp; TRIM(B3751),""low52""),AE3751)"),49.37)</f>
        <v>49.37</v>
      </c>
      <c r="AI3751" s="1">
        <f ca="1">IFERROR(__xludf.DUMMYFUNCTION("IFERROR(GOOGLEFINANCE(B3751,""eps""),0)"),3.42)</f>
        <v>3.42</v>
      </c>
      <c r="AJ3751" s="1"/>
      <c r="AK3751" s="1" t="s">
        <v>11449</v>
      </c>
      <c r="AL3751" s="9">
        <f t="shared" si="355"/>
        <v>1</v>
      </c>
    </row>
    <row r="3752" spans="1:38" ht="15" x14ac:dyDescent="0.25">
      <c r="A3752" s="1" t="s">
        <v>11450</v>
      </c>
      <c r="B3752" s="1" t="s">
        <v>11451</v>
      </c>
      <c r="C3752" s="1" t="s">
        <v>125</v>
      </c>
      <c r="D3752" s="1" t="s">
        <v>125</v>
      </c>
      <c r="E3752" s="6">
        <v>94.07</v>
      </c>
      <c r="F3752" s="1" t="s">
        <v>40</v>
      </c>
      <c r="G3752" s="6">
        <f ca="1">IFERROR(__xludf.DUMMYFUNCTION("iferror(GOOGLEFINANCE(TRIM(F3752)&amp;"":"" &amp; TRIM(B3752), ""price""),0
)"),28.07)</f>
        <v>28.07</v>
      </c>
      <c r="H3752" s="6">
        <v>49.86</v>
      </c>
      <c r="I3752" s="6">
        <f t="shared" ca="1" si="0"/>
        <v>28.07</v>
      </c>
      <c r="J3752" s="6">
        <f ca="1">IFERROR(__xludf.DUMMYFUNCTION("IFERROR(GOOGLEFINANCE(B3752, ""volume""), 0)"),45143)</f>
        <v>45143</v>
      </c>
      <c r="K3752" s="6">
        <v>1.98</v>
      </c>
      <c r="L3752" s="6">
        <f ca="1">IFERROR(__xludf.DUMMYFUNCTION("IFERROR(GOOGLEFINANCE(B3752,""changepct""),K3752)"),-4.98)</f>
        <v>-4.9800000000000004</v>
      </c>
      <c r="M3752" s="6">
        <f ca="1">IFERROR(__xludf.DUMMYFUNCTION("IFERROR(GOOGLEFINANCE(B3752,""change""),0)"),-1.47)</f>
        <v>-1.47</v>
      </c>
      <c r="N3752" s="6">
        <v>1</v>
      </c>
      <c r="O3752" s="7">
        <v>45536</v>
      </c>
      <c r="P3752" s="12"/>
      <c r="Q3752" s="6">
        <v>93.54</v>
      </c>
      <c r="R3752" s="7">
        <v>45536</v>
      </c>
      <c r="S3752" s="6">
        <v>0</v>
      </c>
      <c r="T3752" s="6">
        <v>13.28</v>
      </c>
      <c r="U3752" s="7">
        <v>45536</v>
      </c>
      <c r="V3752" s="6">
        <v>7.08</v>
      </c>
      <c r="W3752" s="6">
        <f ca="1">IFERROR(__xludf.DUMMYFUNCTION("IFERROR(GOOGLEFINANCE(B3752,""pe""),V3752)"),28.25)</f>
        <v>28.25</v>
      </c>
      <c r="X3752" s="12"/>
      <c r="Y3752" s="6">
        <v>-64.58</v>
      </c>
      <c r="Z3752" s="6">
        <v>1</v>
      </c>
      <c r="AA3752" s="8">
        <v>45352</v>
      </c>
      <c r="AB3752" s="4">
        <v>-2.2999999999999998</v>
      </c>
      <c r="AC3752" s="6">
        <v>0</v>
      </c>
      <c r="AD3752" s="6">
        <v>-4.38</v>
      </c>
      <c r="AE3752" s="1">
        <v>0</v>
      </c>
      <c r="AF3752" s="1">
        <f ca="1">IFERROR(__xludf.DUMMYFUNCTION("IFERROR(GOOGLEFINANCE(TRIM(F3752)&amp;"":"" &amp; TRIM(B3752),""high52""),AE3752)"),40.8)</f>
        <v>40.799999999999997</v>
      </c>
      <c r="AG3752" s="1">
        <v>0</v>
      </c>
      <c r="AH3752" s="1">
        <f ca="1">IFERROR(__xludf.DUMMYFUNCTION("IFERROR(GOOGLEFINANCE(TRIM(F3752)&amp;"":"" &amp; TRIM(B3752),""low52""),AE3752)"),21.5)</f>
        <v>21.5</v>
      </c>
      <c r="AI3752" s="1">
        <f ca="1">IFERROR(__xludf.DUMMYFUNCTION("IFERROR(GOOGLEFINANCE(B3752,""eps""),0)"),0.99)</f>
        <v>0.99</v>
      </c>
      <c r="AJ3752" s="1"/>
      <c r="AK3752" s="1" t="s">
        <v>11452</v>
      </c>
      <c r="AL3752" s="9">
        <f t="shared" si="355"/>
        <v>1</v>
      </c>
    </row>
    <row r="3753" spans="1:38" ht="15" x14ac:dyDescent="0.25">
      <c r="A3753" s="1" t="s">
        <v>11453</v>
      </c>
      <c r="B3753" s="1" t="s">
        <v>11454</v>
      </c>
      <c r="C3753" s="1" t="s">
        <v>487</v>
      </c>
      <c r="D3753" s="1" t="s">
        <v>487</v>
      </c>
      <c r="E3753" s="6">
        <v>5353.05</v>
      </c>
      <c r="F3753" s="1" t="s">
        <v>40</v>
      </c>
      <c r="G3753" s="6">
        <f ca="1">IFERROR(__xludf.DUMMYFUNCTION("iferror(GOOGLEFINANCE(TRIM(F3753)&amp;"":"" &amp; TRIM(B3753), ""price""),0
)"),150)</f>
        <v>150</v>
      </c>
      <c r="H3753" s="6">
        <v>183.89</v>
      </c>
      <c r="I3753" s="6">
        <f t="shared" ca="1" si="0"/>
        <v>150</v>
      </c>
      <c r="J3753" s="6">
        <f ca="1">IFERROR(__xludf.DUMMYFUNCTION("IFERROR(GOOGLEFINANCE(B3753, ""volume""), 0)"),679821)</f>
        <v>679821</v>
      </c>
      <c r="K3753" s="6">
        <v>1.67</v>
      </c>
      <c r="L3753" s="6">
        <f ca="1">IFERROR(__xludf.DUMMYFUNCTION("IFERROR(GOOGLEFINANCE(B3753,""changepct""),K3753)"),-1.07)</f>
        <v>-1.07</v>
      </c>
      <c r="M3753" s="6">
        <f ca="1">IFERROR(__xludf.DUMMYFUNCTION("IFERROR(GOOGLEFINANCE(B3753,""change""),0)"),-1.63)</f>
        <v>-1.63</v>
      </c>
      <c r="N3753" s="6">
        <v>2</v>
      </c>
      <c r="O3753" s="7">
        <v>45536</v>
      </c>
      <c r="P3753" s="6">
        <v>1914.75</v>
      </c>
      <c r="Q3753" s="6">
        <v>7200</v>
      </c>
      <c r="R3753" s="7">
        <v>45536</v>
      </c>
      <c r="S3753" s="6">
        <v>31.31</v>
      </c>
      <c r="T3753" s="6">
        <v>-183.27</v>
      </c>
      <c r="U3753" s="7">
        <v>45536</v>
      </c>
      <c r="V3753" s="6">
        <v>0</v>
      </c>
      <c r="W3753" s="6">
        <f ca="1">IFERROR(__xludf.DUMMYFUNCTION("IFERROR(GOOGLEFINANCE(B3753,""pe""),V3753)"),0)</f>
        <v>0</v>
      </c>
      <c r="X3753" s="12"/>
      <c r="Y3753" s="6">
        <v>4.55</v>
      </c>
      <c r="Z3753" s="6">
        <v>2</v>
      </c>
      <c r="AA3753" s="8">
        <v>45352</v>
      </c>
      <c r="AB3753" s="4">
        <v>1.0900000000000001</v>
      </c>
      <c r="AC3753" s="6">
        <v>-5.87</v>
      </c>
      <c r="AD3753" s="6">
        <v>1.87</v>
      </c>
      <c r="AE3753" s="1">
        <v>0</v>
      </c>
      <c r="AF3753" s="1">
        <f ca="1">IFERROR(__xludf.DUMMYFUNCTION("IFERROR(GOOGLEFINANCE(TRIM(F3753)&amp;"":"" &amp; TRIM(B3753),""high52""),AE3753)"),206.1)</f>
        <v>206.1</v>
      </c>
      <c r="AG3753" s="1">
        <v>0</v>
      </c>
      <c r="AH3753" s="1">
        <f ca="1">IFERROR(__xludf.DUMMYFUNCTION("IFERROR(GOOGLEFINANCE(TRIM(F3753)&amp;"":"" &amp; TRIM(B3753),""low52""),AE3753)"),103.22)</f>
        <v>103.22</v>
      </c>
      <c r="AI3753" s="1">
        <f ca="1">IFERROR(__xludf.DUMMYFUNCTION("IFERROR(GOOGLEFINANCE(B3753,""eps""),0)"),-3.21)</f>
        <v>-3.21</v>
      </c>
      <c r="AJ3753" s="1"/>
      <c r="AK3753" s="1" t="s">
        <v>11455</v>
      </c>
      <c r="AL3753" s="9">
        <f t="shared" si="355"/>
        <v>1</v>
      </c>
    </row>
    <row r="3754" spans="1:38" ht="15" x14ac:dyDescent="0.25">
      <c r="A3754" s="1" t="s">
        <v>11456</v>
      </c>
      <c r="B3754" s="1" t="s">
        <v>11457</v>
      </c>
      <c r="C3754" s="1" t="s">
        <v>86</v>
      </c>
      <c r="D3754" s="1" t="s">
        <v>86</v>
      </c>
      <c r="E3754" s="6">
        <v>187.13</v>
      </c>
      <c r="F3754" s="1" t="s">
        <v>40</v>
      </c>
      <c r="G3754" s="6">
        <f ca="1">IFERROR(__xludf.DUMMYFUNCTION("iferror(GOOGLEFINANCE(TRIM(F3754)&amp;"":"" &amp; TRIM(B3754), ""price""),0
)"),53.46)</f>
        <v>53.46</v>
      </c>
      <c r="H3754" s="6">
        <v>79</v>
      </c>
      <c r="I3754" s="6">
        <f t="shared" ca="1" si="0"/>
        <v>53.46</v>
      </c>
      <c r="J3754" s="6">
        <f ca="1">IFERROR(__xludf.DUMMYFUNCTION("IFERROR(GOOGLEFINANCE(B3754, ""volume""), 0)"),12132)</f>
        <v>12132</v>
      </c>
      <c r="K3754" s="6">
        <v>0.2</v>
      </c>
      <c r="L3754" s="6">
        <f ca="1">IFERROR(__xludf.DUMMYFUNCTION("IFERROR(GOOGLEFINANCE(B3754,""changepct""),K3754)"),0.17)</f>
        <v>0.17</v>
      </c>
      <c r="M3754" s="6">
        <f ca="1">IFERROR(__xludf.DUMMYFUNCTION("IFERROR(GOOGLEFINANCE(B3754,""change""),0)"),0.09)</f>
        <v>0.09</v>
      </c>
      <c r="N3754" s="6">
        <v>2</v>
      </c>
      <c r="O3754" s="7">
        <v>45536</v>
      </c>
      <c r="P3754" s="6">
        <v>2.99</v>
      </c>
      <c r="Q3754" s="6">
        <v>190.13</v>
      </c>
      <c r="R3754" s="7">
        <v>45536</v>
      </c>
      <c r="S3754" s="6">
        <v>80.73</v>
      </c>
      <c r="T3754" s="6">
        <v>-1.25</v>
      </c>
      <c r="U3754" s="7">
        <v>45536</v>
      </c>
      <c r="V3754" s="6">
        <v>0</v>
      </c>
      <c r="W3754" s="6">
        <f ca="1">IFERROR(__xludf.DUMMYFUNCTION("IFERROR(GOOGLEFINANCE(B3754,""pe""),V3754)"),49.67)</f>
        <v>49.67</v>
      </c>
      <c r="X3754" s="6">
        <v>0</v>
      </c>
      <c r="Y3754" s="6">
        <v>1.21</v>
      </c>
      <c r="Z3754" s="6">
        <v>2</v>
      </c>
      <c r="AA3754" s="8">
        <v>45352</v>
      </c>
      <c r="AB3754" s="4">
        <v>0.08</v>
      </c>
      <c r="AC3754" s="6">
        <v>-0.87</v>
      </c>
      <c r="AD3754" s="6">
        <v>-0.39</v>
      </c>
      <c r="AE3754" s="1">
        <v>0</v>
      </c>
      <c r="AF3754" s="1">
        <f ca="1">IFERROR(__xludf.DUMMYFUNCTION("IFERROR(GOOGLEFINANCE(TRIM(F3754)&amp;"":"" &amp; TRIM(B3754),""high52""),AE3754)"),73.57)</f>
        <v>73.569999999999993</v>
      </c>
      <c r="AG3754" s="1">
        <v>0</v>
      </c>
      <c r="AH3754" s="1">
        <f ca="1">IFERROR(__xludf.DUMMYFUNCTION("IFERROR(GOOGLEFINANCE(TRIM(F3754)&amp;"":"" &amp; TRIM(B3754),""low52""),AE3754)"),45.1)</f>
        <v>45.1</v>
      </c>
      <c r="AI3754" s="1">
        <f ca="1">IFERROR(__xludf.DUMMYFUNCTION("IFERROR(GOOGLEFINANCE(B3754,""eps""),0)"),1.08)</f>
        <v>1.08</v>
      </c>
      <c r="AJ3754" s="1"/>
      <c r="AK3754" s="1" t="s">
        <v>11458</v>
      </c>
      <c r="AL3754" s="9">
        <f t="shared" si="355"/>
        <v>1</v>
      </c>
    </row>
    <row r="3755" spans="1:38" ht="15" x14ac:dyDescent="0.25">
      <c r="A3755" s="1" t="s">
        <v>11459</v>
      </c>
      <c r="B3755" s="1" t="s">
        <v>11460</v>
      </c>
      <c r="C3755" s="1" t="s">
        <v>82</v>
      </c>
      <c r="D3755" s="1" t="s">
        <v>82</v>
      </c>
      <c r="E3755" s="6">
        <v>2137.56</v>
      </c>
      <c r="F3755" s="1" t="s">
        <v>40</v>
      </c>
      <c r="G3755" s="6">
        <f ca="1">IFERROR(__xludf.DUMMYFUNCTION("iferror(GOOGLEFINANCE(TRIM(F3755)&amp;"":"" &amp; TRIM(B3755), ""price""),0
)"),193.51)</f>
        <v>193.51</v>
      </c>
      <c r="H3755" s="6">
        <v>404.15</v>
      </c>
      <c r="I3755" s="6">
        <f t="shared" ca="1" si="0"/>
        <v>193.51</v>
      </c>
      <c r="J3755" s="6">
        <f ca="1">IFERROR(__xludf.DUMMYFUNCTION("IFERROR(GOOGLEFINANCE(B3755, ""volume""), 0)"),72552)</f>
        <v>72552</v>
      </c>
      <c r="K3755" s="6">
        <v>0.81</v>
      </c>
      <c r="L3755" s="6">
        <f ca="1">IFERROR(__xludf.DUMMYFUNCTION("IFERROR(GOOGLEFINANCE(B3755,""changepct""),K3755)"),-1.52)</f>
        <v>-1.52</v>
      </c>
      <c r="M3755" s="6">
        <f ca="1">IFERROR(__xludf.DUMMYFUNCTION("IFERROR(GOOGLEFINANCE(B3755,""change""),0)"),-2.98)</f>
        <v>-2.98</v>
      </c>
      <c r="N3755" s="6">
        <v>2</v>
      </c>
      <c r="O3755" s="7">
        <v>45536</v>
      </c>
      <c r="P3755" s="6">
        <v>304.87</v>
      </c>
      <c r="Q3755" s="6">
        <v>2406.08</v>
      </c>
      <c r="R3755" s="7">
        <v>45536</v>
      </c>
      <c r="S3755" s="6">
        <v>351.56</v>
      </c>
      <c r="T3755" s="6">
        <v>34.549999999999997</v>
      </c>
      <c r="U3755" s="7">
        <v>45536</v>
      </c>
      <c r="V3755" s="6">
        <v>61.87</v>
      </c>
      <c r="W3755" s="6">
        <f ca="1">IFERROR(__xludf.DUMMYFUNCTION("IFERROR(GOOGLEFINANCE(B3755,""pe""),V3755)"),50.09)</f>
        <v>50.09</v>
      </c>
      <c r="X3755" s="9"/>
      <c r="Y3755" s="6">
        <v>3.48</v>
      </c>
      <c r="Z3755" s="6">
        <v>2</v>
      </c>
      <c r="AA3755" s="8">
        <v>45352</v>
      </c>
      <c r="AB3755" s="4">
        <v>0.42</v>
      </c>
      <c r="AC3755" s="6">
        <v>7.73</v>
      </c>
      <c r="AD3755" s="6">
        <v>10.27</v>
      </c>
      <c r="AE3755" s="1">
        <v>0</v>
      </c>
      <c r="AF3755" s="1">
        <f ca="1">IFERROR(__xludf.DUMMYFUNCTION("IFERROR(GOOGLEFINANCE(TRIM(F3755)&amp;"":"" &amp; TRIM(B3755),""high52""),AE3755)"),458)</f>
        <v>458</v>
      </c>
      <c r="AG3755" s="1">
        <v>0</v>
      </c>
      <c r="AH3755" s="1">
        <f ca="1">IFERROR(__xludf.DUMMYFUNCTION("IFERROR(GOOGLEFINANCE(TRIM(F3755)&amp;"":"" &amp; TRIM(B3755),""low52""),AE3755)"),188.42)</f>
        <v>188.42</v>
      </c>
      <c r="AI3755" s="1">
        <f ca="1">IFERROR(__xludf.DUMMYFUNCTION("IFERROR(GOOGLEFINANCE(B3755,""eps""),0)"),3.86)</f>
        <v>3.86</v>
      </c>
      <c r="AJ3755" s="1"/>
      <c r="AK3755" s="1" t="s">
        <v>11461</v>
      </c>
      <c r="AL3755" s="9">
        <f t="shared" si="355"/>
        <v>1</v>
      </c>
    </row>
    <row r="3756" spans="1:38" ht="15" x14ac:dyDescent="0.25">
      <c r="A3756" s="1" t="s">
        <v>11462</v>
      </c>
      <c r="B3756" s="1" t="s">
        <v>11463</v>
      </c>
      <c r="C3756" s="1" t="s">
        <v>324</v>
      </c>
      <c r="D3756" s="1" t="s">
        <v>324</v>
      </c>
      <c r="E3756" s="6">
        <v>2625.99</v>
      </c>
      <c r="F3756" s="1" t="s">
        <v>40</v>
      </c>
      <c r="G3756" s="6">
        <f ca="1">IFERROR(__xludf.DUMMYFUNCTION("iferror(GOOGLEFINANCE(TRIM(F3756)&amp;"":"" &amp; TRIM(B3756), ""price""),0
)"),6791)</f>
        <v>6791</v>
      </c>
      <c r="H3756" s="6">
        <v>10160</v>
      </c>
      <c r="I3756" s="6">
        <f t="shared" ca="1" si="0"/>
        <v>6791</v>
      </c>
      <c r="J3756" s="6">
        <f ca="1">IFERROR(__xludf.DUMMYFUNCTION("IFERROR(GOOGLEFINANCE(B3756, ""volume""), 0)"),925)</f>
        <v>925</v>
      </c>
      <c r="K3756" s="6">
        <v>-0.52</v>
      </c>
      <c r="L3756" s="6">
        <f ca="1">IFERROR(__xludf.DUMMYFUNCTION("IFERROR(GOOGLEFINANCE(B3756,""changepct""),K3756)"),-0.96)</f>
        <v>-0.96</v>
      </c>
      <c r="M3756" s="6">
        <f ca="1">IFERROR(__xludf.DUMMYFUNCTION("IFERROR(GOOGLEFINANCE(B3756,""change""),0)"),-65.5)</f>
        <v>-65.5</v>
      </c>
      <c r="N3756" s="6">
        <v>1</v>
      </c>
      <c r="O3756" s="7">
        <v>45536</v>
      </c>
      <c r="P3756" s="6">
        <v>36.369999999999997</v>
      </c>
      <c r="Q3756" s="6">
        <v>2653.56</v>
      </c>
      <c r="R3756" s="7">
        <v>45536</v>
      </c>
      <c r="S3756" s="6">
        <v>483.58</v>
      </c>
      <c r="T3756" s="6">
        <v>15.18</v>
      </c>
      <c r="U3756" s="7">
        <v>45536</v>
      </c>
      <c r="V3756" s="6">
        <v>173.05</v>
      </c>
      <c r="W3756" s="6">
        <f ca="1">IFERROR(__xludf.DUMMYFUNCTION("IFERROR(GOOGLEFINANCE(B3756,""pe""),V3756)"),56.22)</f>
        <v>56.22</v>
      </c>
      <c r="X3756" s="6">
        <v>25.94</v>
      </c>
      <c r="Y3756" s="6">
        <v>9.07</v>
      </c>
      <c r="Z3756" s="6">
        <v>1</v>
      </c>
      <c r="AA3756" s="8">
        <v>45352</v>
      </c>
      <c r="AB3756" s="4">
        <v>0.12</v>
      </c>
      <c r="AC3756" s="6">
        <v>15.66</v>
      </c>
      <c r="AD3756" s="6">
        <v>19.55</v>
      </c>
      <c r="AE3756" s="1">
        <v>0</v>
      </c>
      <c r="AF3756" s="1">
        <f ca="1">IFERROR(__xludf.DUMMYFUNCTION("IFERROR(GOOGLEFINANCE(TRIM(F3756)&amp;"":"" &amp; TRIM(B3756),""high52""),AE3756)"),11958)</f>
        <v>11958</v>
      </c>
      <c r="AG3756" s="1">
        <v>0</v>
      </c>
      <c r="AH3756" s="1">
        <f ca="1">IFERROR(__xludf.DUMMYFUNCTION("IFERROR(GOOGLEFINANCE(TRIM(F3756)&amp;"":"" &amp; TRIM(B3756),""low52""),AE3756)"),6563.5)</f>
        <v>6563.5</v>
      </c>
      <c r="AI3756" s="1">
        <f ca="1">IFERROR(__xludf.DUMMYFUNCTION("IFERROR(GOOGLEFINANCE(B3756,""eps""),0)"),120.79)</f>
        <v>120.79</v>
      </c>
      <c r="AJ3756" s="1"/>
      <c r="AK3756" s="1" t="s">
        <v>11464</v>
      </c>
      <c r="AL3756" s="9">
        <f t="shared" si="355"/>
        <v>1</v>
      </c>
    </row>
    <row r="3757" spans="1:38" ht="15" x14ac:dyDescent="0.25">
      <c r="A3757" s="1" t="s">
        <v>11465</v>
      </c>
      <c r="B3757" s="1" t="s">
        <v>11466</v>
      </c>
      <c r="C3757" s="1" t="s">
        <v>135</v>
      </c>
      <c r="D3757" s="1" t="s">
        <v>135</v>
      </c>
      <c r="E3757" s="6">
        <v>26287.03</v>
      </c>
      <c r="F3757" s="1" t="s">
        <v>40</v>
      </c>
      <c r="G3757" s="6">
        <f ca="1">IFERROR(__xludf.DUMMYFUNCTION("iferror(GOOGLEFINANCE(TRIM(F3757)&amp;"":"" &amp; TRIM(B3757), ""price""),0
)"),727)</f>
        <v>727</v>
      </c>
      <c r="H3757" s="6">
        <v>1035.4000000000001</v>
      </c>
      <c r="I3757" s="6">
        <f t="shared" ca="1" si="0"/>
        <v>727</v>
      </c>
      <c r="J3757" s="6">
        <f ca="1">IFERROR(__xludf.DUMMYFUNCTION("IFERROR(GOOGLEFINANCE(B3757, ""volume""), 0)"),331098)</f>
        <v>331098</v>
      </c>
      <c r="K3757" s="6">
        <v>0.38</v>
      </c>
      <c r="L3757" s="6">
        <f ca="1">IFERROR(__xludf.DUMMYFUNCTION("IFERROR(GOOGLEFINANCE(B3757,""changepct""),K3757)"),-2.14)</f>
        <v>-2.14</v>
      </c>
      <c r="M3757" s="6">
        <f ca="1">IFERROR(__xludf.DUMMYFUNCTION("IFERROR(GOOGLEFINANCE(B3757,""change""),0)"),-15.9)</f>
        <v>-15.9</v>
      </c>
      <c r="N3757" s="6">
        <v>2</v>
      </c>
      <c r="O3757" s="7">
        <v>45536</v>
      </c>
      <c r="P3757" s="6">
        <v>5827</v>
      </c>
      <c r="Q3757" s="6">
        <v>31559.03</v>
      </c>
      <c r="R3757" s="7">
        <v>45536</v>
      </c>
      <c r="S3757" s="6">
        <v>14993</v>
      </c>
      <c r="T3757" s="6">
        <v>-351</v>
      </c>
      <c r="U3757" s="7">
        <v>45536</v>
      </c>
      <c r="V3757" s="6">
        <v>0</v>
      </c>
      <c r="W3757" s="6">
        <f ca="1">IFERROR(__xludf.DUMMYFUNCTION("IFERROR(GOOGLEFINANCE(B3757,""pe""),V3757)"),77.05)</f>
        <v>77.05</v>
      </c>
      <c r="X3757" s="6">
        <v>0</v>
      </c>
      <c r="Y3757" s="6">
        <v>1.18</v>
      </c>
      <c r="Z3757" s="6">
        <v>2</v>
      </c>
      <c r="AA3757" s="8">
        <v>45352</v>
      </c>
      <c r="AB3757" s="4">
        <v>0.23</v>
      </c>
      <c r="AC3757" s="6">
        <v>2.14</v>
      </c>
      <c r="AD3757" s="6">
        <v>5.12</v>
      </c>
      <c r="AE3757" s="1">
        <v>0</v>
      </c>
      <c r="AF3757" s="1">
        <f ca="1">IFERROR(__xludf.DUMMYFUNCTION("IFERROR(GOOGLEFINANCE(TRIM(F3757)&amp;"":"" &amp; TRIM(B3757),""high52""),AE3757)"),1026.65)</f>
        <v>1026.6500000000001</v>
      </c>
      <c r="AG3757" s="1">
        <v>0</v>
      </c>
      <c r="AH3757" s="1">
        <f ca="1">IFERROR(__xludf.DUMMYFUNCTION("IFERROR(GOOGLEFINANCE(TRIM(F3757)&amp;"":"" &amp; TRIM(B3757),""low52""),AE3757)"),692)</f>
        <v>692</v>
      </c>
      <c r="AI3757" s="1">
        <f ca="1">IFERROR(__xludf.DUMMYFUNCTION("IFERROR(GOOGLEFINANCE(B3757,""eps""),0)"),9.44)</f>
        <v>9.44</v>
      </c>
      <c r="AJ3757" s="1"/>
      <c r="AK3757" s="1" t="s">
        <v>11467</v>
      </c>
      <c r="AL3757" s="9">
        <f t="shared" si="355"/>
        <v>1</v>
      </c>
    </row>
    <row r="3758" spans="1:38" ht="15" x14ac:dyDescent="0.25">
      <c r="A3758" s="1" t="s">
        <v>11468</v>
      </c>
      <c r="B3758" s="1" t="s">
        <v>11469</v>
      </c>
      <c r="C3758" s="1" t="s">
        <v>255</v>
      </c>
      <c r="D3758" s="1" t="s">
        <v>255</v>
      </c>
      <c r="E3758" s="6">
        <v>49732.5</v>
      </c>
      <c r="F3758" s="1" t="s">
        <v>40</v>
      </c>
      <c r="G3758" s="6">
        <f ca="1">IFERROR(__xludf.DUMMYFUNCTION("iferror(GOOGLEFINANCE(TRIM(F3758)&amp;"":"" &amp; TRIM(B3758), ""price""),0
)"),1570)</f>
        <v>1570</v>
      </c>
      <c r="H3758" s="6">
        <v>1756.25</v>
      </c>
      <c r="I3758" s="6">
        <f t="shared" ca="1" si="0"/>
        <v>1570</v>
      </c>
      <c r="J3758" s="6">
        <f ca="1">IFERROR(__xludf.DUMMYFUNCTION("IFERROR(GOOGLEFINANCE(B3758, ""volume""), 0)"),538226)</f>
        <v>538226</v>
      </c>
      <c r="K3758" s="6">
        <v>0.64</v>
      </c>
      <c r="L3758" s="6">
        <f ca="1">IFERROR(__xludf.DUMMYFUNCTION("IFERROR(GOOGLEFINANCE(B3758,""changepct""),K3758)"),-2.17)</f>
        <v>-2.17</v>
      </c>
      <c r="M3758" s="6">
        <f ca="1">IFERROR(__xludf.DUMMYFUNCTION("IFERROR(GOOGLEFINANCE(B3758,""change""),0)"),-34.9)</f>
        <v>-34.9</v>
      </c>
      <c r="N3758" s="6">
        <v>2</v>
      </c>
      <c r="O3758" s="7">
        <v>45536</v>
      </c>
      <c r="P3758" s="6">
        <v>11286.91</v>
      </c>
      <c r="Q3758" s="6">
        <v>60484.45</v>
      </c>
      <c r="R3758" s="7">
        <v>45536</v>
      </c>
      <c r="S3758" s="6">
        <v>22725.68</v>
      </c>
      <c r="T3758" s="6">
        <v>909.14</v>
      </c>
      <c r="U3758" s="7">
        <v>45536</v>
      </c>
      <c r="V3758" s="6">
        <v>53.7</v>
      </c>
      <c r="W3758" s="6">
        <f ca="1">IFERROR(__xludf.DUMMYFUNCTION("IFERROR(GOOGLEFINANCE(B3758,""pe""),V3758)"),25.18)</f>
        <v>25.18</v>
      </c>
      <c r="X3758" s="6">
        <v>0.72</v>
      </c>
      <c r="Y3758" s="6">
        <v>27.97</v>
      </c>
      <c r="Z3758" s="6">
        <v>2</v>
      </c>
      <c r="AA3758" s="8">
        <v>45352</v>
      </c>
      <c r="AB3758" s="4">
        <v>5.68</v>
      </c>
      <c r="AC3758" s="6">
        <v>57.55</v>
      </c>
      <c r="AD3758" s="6">
        <v>17.25</v>
      </c>
      <c r="AE3758" s="1">
        <v>0</v>
      </c>
      <c r="AF3758" s="1">
        <f ca="1">IFERROR(__xludf.DUMMYFUNCTION("IFERROR(GOOGLEFINANCE(TRIM(F3758)&amp;"":"" &amp; TRIM(B3758),""high52""),AE3758)"),2004)</f>
        <v>2004</v>
      </c>
      <c r="AG3758" s="1">
        <v>0</v>
      </c>
      <c r="AH3758" s="1">
        <f ca="1">IFERROR(__xludf.DUMMYFUNCTION("IFERROR(GOOGLEFINANCE(TRIM(F3758)&amp;"":"" &amp; TRIM(B3758),""low52""),AE3758)"),1291)</f>
        <v>1291</v>
      </c>
      <c r="AI3758" s="1">
        <f ca="1">IFERROR(__xludf.DUMMYFUNCTION("IFERROR(GOOGLEFINANCE(B3758,""eps""),0)"),62.34)</f>
        <v>62.34</v>
      </c>
      <c r="AJ3758" s="1"/>
      <c r="AK3758" s="1" t="s">
        <v>11470</v>
      </c>
      <c r="AL3758" s="9">
        <f t="shared" si="355"/>
        <v>1</v>
      </c>
    </row>
    <row r="3759" spans="1:38" ht="15" x14ac:dyDescent="0.25">
      <c r="A3759" s="1" t="s">
        <v>11471</v>
      </c>
      <c r="B3759" s="1" t="s">
        <v>11472</v>
      </c>
      <c r="C3759" s="1" t="s">
        <v>57</v>
      </c>
      <c r="D3759" s="1" t="s">
        <v>57</v>
      </c>
      <c r="E3759" s="6">
        <v>1513898</v>
      </c>
      <c r="F3759" s="1" t="s">
        <v>40</v>
      </c>
      <c r="G3759" s="6">
        <f ca="1">IFERROR(__xludf.DUMMYFUNCTION("iferror(GOOGLEFINANCE(TRIM(F3759)&amp;"":"" &amp; TRIM(B3759), ""price""),0
)"),3167)</f>
        <v>3167</v>
      </c>
      <c r="H3759" s="6">
        <v>4120.45</v>
      </c>
      <c r="I3759" s="6">
        <f t="shared" ca="1" si="0"/>
        <v>3167</v>
      </c>
      <c r="J3759" s="6">
        <f ca="1">IFERROR(__xludf.DUMMYFUNCTION("IFERROR(GOOGLEFINANCE(B3759, ""volume""), 0)"),15363)</f>
        <v>15363</v>
      </c>
      <c r="K3759" s="6">
        <v>-1.32</v>
      </c>
      <c r="L3759" s="6">
        <f ca="1">IFERROR(__xludf.DUMMYFUNCTION("IFERROR(GOOGLEFINANCE(B3759,""changepct""),K3759)"),-1.32)</f>
        <v>-1.32</v>
      </c>
      <c r="M3759" s="6">
        <f ca="1">IFERROR(__xludf.DUMMYFUNCTION("IFERROR(GOOGLEFINANCE(B3759,""change""),0)"),-0.35)</f>
        <v>-0.35</v>
      </c>
      <c r="N3759" s="6">
        <v>2</v>
      </c>
      <c r="O3759" s="7">
        <v>45536</v>
      </c>
      <c r="P3759" s="9"/>
      <c r="Q3759" s="6">
        <v>1497165</v>
      </c>
      <c r="R3759" s="7">
        <v>45536</v>
      </c>
      <c r="S3759" s="6">
        <v>248692</v>
      </c>
      <c r="T3759" s="6">
        <v>47659</v>
      </c>
      <c r="U3759" s="7">
        <v>45536</v>
      </c>
      <c r="V3759" s="6">
        <v>31.91</v>
      </c>
      <c r="W3759" s="6">
        <f ca="1">IFERROR(__xludf.DUMMYFUNCTION("IFERROR(GOOGLEFINANCE(B3759,""pe""),V3759)"),71.46)</f>
        <v>71.459999999999994</v>
      </c>
      <c r="X3759" s="6">
        <v>3.9</v>
      </c>
      <c r="Y3759" s="6">
        <v>14.95</v>
      </c>
      <c r="Z3759" s="6">
        <v>2</v>
      </c>
      <c r="AA3759" s="8">
        <v>45352</v>
      </c>
      <c r="AB3759" s="4">
        <v>0</v>
      </c>
      <c r="AC3759" s="6">
        <v>51.04</v>
      </c>
      <c r="AD3759" s="6">
        <v>69.5</v>
      </c>
      <c r="AE3759" s="1">
        <v>0</v>
      </c>
      <c r="AF3759" s="1">
        <f ca="1">IFERROR(__xludf.DUMMYFUNCTION("IFERROR(GOOGLEFINANCE(TRIM(F3759)&amp;"":"" &amp; TRIM(B3759),""high52""),AE3759)"),4150)</f>
        <v>4150</v>
      </c>
      <c r="AG3759" s="1">
        <v>0</v>
      </c>
      <c r="AH3759" s="1">
        <f ca="1">IFERROR(__xludf.DUMMYFUNCTION("IFERROR(GOOGLEFINANCE(TRIM(F3759)&amp;"":"" &amp; TRIM(B3759),""low52""),AE3759)"),2866.6)</f>
        <v>2866.6</v>
      </c>
      <c r="AI3759" s="1">
        <f ca="1">IFERROR(__xludf.DUMMYFUNCTION("IFERROR(GOOGLEFINANCE(B3759,""eps""),0)"),0.37)</f>
        <v>0.37</v>
      </c>
      <c r="AJ3759" s="1"/>
      <c r="AK3759" s="1" t="s">
        <v>11473</v>
      </c>
      <c r="AL3759" s="9">
        <f t="shared" si="355"/>
        <v>1</v>
      </c>
    </row>
    <row r="3760" spans="1:38" ht="15" x14ac:dyDescent="0.25">
      <c r="A3760" s="1" t="s">
        <v>11474</v>
      </c>
      <c r="B3760" s="1" t="s">
        <v>11475</v>
      </c>
      <c r="C3760" s="1" t="s">
        <v>1118</v>
      </c>
      <c r="D3760" s="1" t="s">
        <v>1118</v>
      </c>
      <c r="E3760" s="6">
        <v>94.82</v>
      </c>
      <c r="F3760" s="1" t="s">
        <v>53</v>
      </c>
      <c r="G3760" s="6">
        <f ca="1">IFERROR(__xludf.DUMMYFUNCTION("iferror(GOOGLEFINANCE(TRIM(F3760)&amp;"":"" &amp; TRIM(B3760), ""price""),0
)"),0)</f>
        <v>0</v>
      </c>
      <c r="H3760" s="6">
        <v>119.55</v>
      </c>
      <c r="I3760" s="6">
        <f t="shared" ca="1" si="0"/>
        <v>119.55</v>
      </c>
      <c r="J3760" s="6">
        <f ca="1">IFERROR(__xludf.DUMMYFUNCTION("IFERROR(GOOGLEFINANCE(B3760, ""volume""), 0)"),0)</f>
        <v>0</v>
      </c>
      <c r="K3760" s="6">
        <v>0</v>
      </c>
      <c r="L3760" s="6">
        <f ca="1">IFERROR(__xludf.DUMMYFUNCTION("IFERROR(GOOGLEFINANCE(B3760,""changepct""),K3760)"),0)</f>
        <v>0</v>
      </c>
      <c r="M3760" s="6">
        <f ca="1">IFERROR(__xludf.DUMMYFUNCTION("IFERROR(GOOGLEFINANCE(B3760,""change""),0)"),0)</f>
        <v>0</v>
      </c>
      <c r="N3760" s="6">
        <v>2</v>
      </c>
      <c r="O3760" s="7">
        <v>45536</v>
      </c>
      <c r="P3760" s="9"/>
      <c r="Q3760" s="6">
        <v>94.82</v>
      </c>
      <c r="R3760" s="7">
        <v>45536</v>
      </c>
      <c r="S3760" s="6">
        <v>32.479999999999997</v>
      </c>
      <c r="T3760" s="6">
        <v>1.41</v>
      </c>
      <c r="U3760" s="7">
        <v>45536</v>
      </c>
      <c r="V3760" s="6">
        <v>67.25</v>
      </c>
      <c r="W3760" s="6">
        <f ca="1">IFERROR(__xludf.DUMMYFUNCTION("IFERROR(GOOGLEFINANCE(B3760,""pe""),V3760)"),67.25)</f>
        <v>67.25</v>
      </c>
      <c r="X3760" s="6">
        <v>4.8499999999999996</v>
      </c>
      <c r="Y3760" s="6">
        <v>3.35</v>
      </c>
      <c r="Z3760" s="6">
        <v>2</v>
      </c>
      <c r="AA3760" s="8">
        <v>45352</v>
      </c>
      <c r="AB3760" s="4">
        <v>0</v>
      </c>
      <c r="AC3760" s="6">
        <v>3.58</v>
      </c>
      <c r="AD3760" s="6">
        <v>2.92</v>
      </c>
      <c r="AE3760" s="1">
        <v>0</v>
      </c>
      <c r="AF3760" s="1">
        <f ca="1">IFERROR(__xludf.DUMMYFUNCTION("IFERROR(GOOGLEFINANCE(TRIM(F3760)&amp;"":"" &amp; TRIM(B3760),""high52""),AE3760)"),0)</f>
        <v>0</v>
      </c>
      <c r="AG3760" s="1">
        <v>0</v>
      </c>
      <c r="AH3760" s="1">
        <f ca="1">IFERROR(__xludf.DUMMYFUNCTION("IFERROR(GOOGLEFINANCE(TRIM(F3760)&amp;"":"" &amp; TRIM(B3760),""low52""),AE3760)"),0)</f>
        <v>0</v>
      </c>
      <c r="AI3760" s="1">
        <f ca="1">IFERROR(__xludf.DUMMYFUNCTION("IFERROR(GOOGLEFINANCE(B3760,""eps""),0)"),0)</f>
        <v>0</v>
      </c>
      <c r="AJ3760" s="1"/>
      <c r="AK3760" s="1" t="s">
        <v>11476</v>
      </c>
      <c r="AL3760" s="9">
        <f t="shared" si="355"/>
        <v>1</v>
      </c>
    </row>
    <row r="3761" spans="1:38" ht="15" x14ac:dyDescent="0.25">
      <c r="A3761" s="1" t="s">
        <v>11477</v>
      </c>
      <c r="B3761" s="1" t="s">
        <v>11478</v>
      </c>
      <c r="C3761" s="1" t="s">
        <v>1913</v>
      </c>
      <c r="D3761" s="1" t="s">
        <v>1913</v>
      </c>
      <c r="E3761" s="6">
        <v>91950.39</v>
      </c>
      <c r="F3761" s="1" t="s">
        <v>40</v>
      </c>
      <c r="G3761" s="6">
        <f ca="1">IFERROR(__xludf.DUMMYFUNCTION("iferror(GOOGLEFINANCE(TRIM(F3761)&amp;"":"" &amp; TRIM(B3761), ""price""),0
)"),1121.1)</f>
        <v>1121.0999999999999</v>
      </c>
      <c r="H3761" s="6">
        <v>932.25</v>
      </c>
      <c r="I3761" s="6">
        <f t="shared" ca="1" si="0"/>
        <v>1121.0999999999999</v>
      </c>
      <c r="J3761" s="6">
        <f ca="1">IFERROR(__xludf.DUMMYFUNCTION("IFERROR(GOOGLEFINANCE(B3761, ""volume""), 0)"),1776779)</f>
        <v>1776779</v>
      </c>
      <c r="K3761" s="6">
        <v>0.28000000000000003</v>
      </c>
      <c r="L3761" s="6">
        <f ca="1">IFERROR(__xludf.DUMMYFUNCTION("IFERROR(GOOGLEFINANCE(B3761,""changepct""),K3761)"),3.11)</f>
        <v>3.11</v>
      </c>
      <c r="M3761" s="6">
        <f ca="1">IFERROR(__xludf.DUMMYFUNCTION("IFERROR(GOOGLEFINANCE(B3761,""change""),0)"),33.8)</f>
        <v>33.799999999999997</v>
      </c>
      <c r="N3761" s="6">
        <v>2</v>
      </c>
      <c r="O3761" s="7">
        <v>45536</v>
      </c>
      <c r="P3761" s="6">
        <v>2397.1</v>
      </c>
      <c r="Q3761" s="6">
        <v>92252.95</v>
      </c>
      <c r="R3761" s="7">
        <v>45536</v>
      </c>
      <c r="S3761" s="6">
        <v>16297.38</v>
      </c>
      <c r="T3761" s="6">
        <v>1256.73</v>
      </c>
      <c r="U3761" s="7">
        <v>45536</v>
      </c>
      <c r="V3761" s="6">
        <v>79.94</v>
      </c>
      <c r="W3761" s="6">
        <f ca="1">IFERROR(__xludf.DUMMYFUNCTION("IFERROR(GOOGLEFINANCE(B3761,""pe""),V3761)"),75.63)</f>
        <v>75.63</v>
      </c>
      <c r="X3761" s="6">
        <v>3</v>
      </c>
      <c r="Y3761" s="6">
        <v>4.8099999999999996</v>
      </c>
      <c r="Z3761" s="6">
        <v>2</v>
      </c>
      <c r="AA3761" s="8">
        <v>45352</v>
      </c>
      <c r="AB3761" s="4">
        <v>0.18</v>
      </c>
      <c r="AC3761" s="6">
        <v>8.06</v>
      </c>
      <c r="AD3761" s="6">
        <v>10.02</v>
      </c>
      <c r="AE3761" s="1">
        <v>0</v>
      </c>
      <c r="AF3761" s="1">
        <f ca="1">IFERROR(__xludf.DUMMYFUNCTION("IFERROR(GOOGLEFINANCE(TRIM(F3761)&amp;"":"" &amp; TRIM(B3761),""high52""),AE3761)"),1220.9)</f>
        <v>1220.9000000000001</v>
      </c>
      <c r="AG3761" s="1">
        <v>0</v>
      </c>
      <c r="AH3761" s="1">
        <f ca="1">IFERROR(__xludf.DUMMYFUNCTION("IFERROR(GOOGLEFINANCE(TRIM(F3761)&amp;"":"" &amp; TRIM(B3761),""low52""),AE3761)"),930.1)</f>
        <v>930.1</v>
      </c>
      <c r="AI3761" s="1">
        <f ca="1">IFERROR(__xludf.DUMMYFUNCTION("IFERROR(GOOGLEFINANCE(B3761,""eps""),0)"),14.82)</f>
        <v>14.82</v>
      </c>
      <c r="AJ3761" s="1"/>
      <c r="AK3761" s="1" t="s">
        <v>11479</v>
      </c>
      <c r="AL3761" s="9">
        <f t="shared" si="355"/>
        <v>1</v>
      </c>
    </row>
    <row r="3762" spans="1:38" ht="15" x14ac:dyDescent="0.25">
      <c r="A3762" s="1" t="s">
        <v>11480</v>
      </c>
      <c r="B3762" s="1" t="s">
        <v>11481</v>
      </c>
      <c r="C3762" s="1" t="s">
        <v>57</v>
      </c>
      <c r="D3762" s="1" t="s">
        <v>57</v>
      </c>
      <c r="E3762" s="6">
        <v>41745.410000000003</v>
      </c>
      <c r="F3762" s="1" t="s">
        <v>40</v>
      </c>
      <c r="G3762" s="6">
        <f ca="1">IFERROR(__xludf.DUMMYFUNCTION("iferror(GOOGLEFINANCE(TRIM(F3762)&amp;"":"" &amp; TRIM(B3762), ""price""),0
)"),5445)</f>
        <v>5445</v>
      </c>
      <c r="H3762" s="6">
        <v>6654.8</v>
      </c>
      <c r="I3762" s="6">
        <f t="shared" ca="1" si="0"/>
        <v>5445</v>
      </c>
      <c r="J3762" s="6">
        <f ca="1">IFERROR(__xludf.DUMMYFUNCTION("IFERROR(GOOGLEFINANCE(B3762, ""volume""), 0)"),192320)</f>
        <v>192320</v>
      </c>
      <c r="K3762" s="6">
        <v>-0.75</v>
      </c>
      <c r="L3762" s="6">
        <f ca="1">IFERROR(__xludf.DUMMYFUNCTION("IFERROR(GOOGLEFINANCE(B3762,""changepct""),K3762)"),0.44)</f>
        <v>0.44</v>
      </c>
      <c r="M3762" s="6">
        <f ca="1">IFERROR(__xludf.DUMMYFUNCTION("IFERROR(GOOGLEFINANCE(B3762,""change""),0)"),24)</f>
        <v>24</v>
      </c>
      <c r="N3762" s="6">
        <v>1</v>
      </c>
      <c r="O3762" s="7">
        <v>45536</v>
      </c>
      <c r="P3762" s="9"/>
      <c r="Q3762" s="6">
        <v>40428.79</v>
      </c>
      <c r="R3762" s="7">
        <v>45536</v>
      </c>
      <c r="S3762" s="6">
        <v>3701.72</v>
      </c>
      <c r="T3762" s="6">
        <v>816.88</v>
      </c>
      <c r="U3762" s="7">
        <v>45536</v>
      </c>
      <c r="V3762" s="6">
        <v>51.1</v>
      </c>
      <c r="W3762" s="6">
        <f ca="1">IFERROR(__xludf.DUMMYFUNCTION("IFERROR(GOOGLEFINANCE(B3762,""pe""),V3762)"),58.43)</f>
        <v>58.43</v>
      </c>
      <c r="X3762" s="6">
        <v>2.2999999999999998</v>
      </c>
      <c r="Y3762" s="6">
        <v>16.79</v>
      </c>
      <c r="Z3762" s="6">
        <v>1</v>
      </c>
      <c r="AA3762" s="8">
        <v>45352</v>
      </c>
      <c r="AB3762" s="4">
        <v>0</v>
      </c>
      <c r="AC3762" s="6">
        <v>34.619999999999997</v>
      </c>
      <c r="AD3762" s="6">
        <v>46.6</v>
      </c>
      <c r="AE3762" s="1">
        <v>0</v>
      </c>
      <c r="AF3762" s="1">
        <f ca="1">IFERROR(__xludf.DUMMYFUNCTION("IFERROR(GOOGLEFINANCE(TRIM(F3762)&amp;"":"" &amp; TRIM(B3762),""high52""),AE3762)"),6735)</f>
        <v>6735</v>
      </c>
      <c r="AG3762" s="1">
        <v>0</v>
      </c>
      <c r="AH3762" s="1">
        <f ca="1">IFERROR(__xludf.DUMMYFUNCTION("IFERROR(GOOGLEFINANCE(TRIM(F3762)&amp;"":"" &amp; TRIM(B3762),""low52""),AE3762)"),4700)</f>
        <v>4700</v>
      </c>
      <c r="AI3762" s="1">
        <f ca="1">IFERROR(__xludf.DUMMYFUNCTION("IFERROR(GOOGLEFINANCE(B3762,""eps""),0)"),93.19)</f>
        <v>93.19</v>
      </c>
      <c r="AJ3762" s="1"/>
      <c r="AK3762" s="1" t="s">
        <v>11482</v>
      </c>
      <c r="AL3762" s="9">
        <f t="shared" si="355"/>
        <v>1</v>
      </c>
    </row>
    <row r="3763" spans="1:38" ht="15" x14ac:dyDescent="0.25">
      <c r="A3763" s="1" t="s">
        <v>11483</v>
      </c>
      <c r="B3763" s="1" t="s">
        <v>11484</v>
      </c>
      <c r="C3763" s="1" t="s">
        <v>1118</v>
      </c>
      <c r="D3763" s="1" t="s">
        <v>1118</v>
      </c>
      <c r="E3763" s="6">
        <v>86.71</v>
      </c>
      <c r="F3763" s="1" t="s">
        <v>53</v>
      </c>
      <c r="G3763" s="6">
        <f ca="1">IFERROR(__xludf.DUMMYFUNCTION("iferror(GOOGLEFINANCE(TRIM(F3763)&amp;"":"" &amp; TRIM(B3763), ""price""),0
)"),0)</f>
        <v>0</v>
      </c>
      <c r="H3763" s="6">
        <v>13.17</v>
      </c>
      <c r="I3763" s="6">
        <f t="shared" ca="1" si="0"/>
        <v>13.17</v>
      </c>
      <c r="J3763" s="6">
        <f ca="1">IFERROR(__xludf.DUMMYFUNCTION("IFERROR(GOOGLEFINANCE(B3763, ""volume""), 0)"),0)</f>
        <v>0</v>
      </c>
      <c r="K3763" s="6">
        <v>2.57</v>
      </c>
      <c r="L3763" s="6">
        <f ca="1">IFERROR(__xludf.DUMMYFUNCTION("IFERROR(GOOGLEFINANCE(B3763,""changepct""),K3763)"),2.57)</f>
        <v>2.57</v>
      </c>
      <c r="M3763" s="6">
        <f ca="1">IFERROR(__xludf.DUMMYFUNCTION("IFERROR(GOOGLEFINANCE(B3763,""change""),0)"),0)</f>
        <v>0</v>
      </c>
      <c r="N3763" s="6">
        <v>1</v>
      </c>
      <c r="O3763" s="7">
        <v>45536</v>
      </c>
      <c r="P3763" s="6">
        <v>142.38999999999999</v>
      </c>
      <c r="Q3763" s="6">
        <v>229.1</v>
      </c>
      <c r="R3763" s="7">
        <v>45536</v>
      </c>
      <c r="S3763" s="6">
        <v>331.69</v>
      </c>
      <c r="T3763" s="6">
        <v>-4.09</v>
      </c>
      <c r="U3763" s="7">
        <v>45536</v>
      </c>
      <c r="V3763" s="6">
        <v>0</v>
      </c>
      <c r="W3763" s="6">
        <f ca="1">IFERROR(__xludf.DUMMYFUNCTION("IFERROR(GOOGLEFINANCE(B3763,""pe""),V3763)"),0)</f>
        <v>0</v>
      </c>
      <c r="X3763" s="6">
        <v>0</v>
      </c>
      <c r="Y3763" s="6">
        <v>-0.65</v>
      </c>
      <c r="Z3763" s="6">
        <v>1</v>
      </c>
      <c r="AA3763" s="8">
        <v>45352</v>
      </c>
      <c r="AB3763" s="4">
        <v>-1.34</v>
      </c>
      <c r="AC3763" s="6">
        <v>0</v>
      </c>
      <c r="AD3763" s="6">
        <v>93.27</v>
      </c>
      <c r="AE3763" s="1">
        <v>0</v>
      </c>
      <c r="AF3763" s="1">
        <f ca="1">IFERROR(__xludf.DUMMYFUNCTION("IFERROR(GOOGLEFINANCE(TRIM(F3763)&amp;"":"" &amp; TRIM(B3763),""high52""),AE3763)"),0)</f>
        <v>0</v>
      </c>
      <c r="AG3763" s="1">
        <v>0</v>
      </c>
      <c r="AH3763" s="1">
        <f ca="1">IFERROR(__xludf.DUMMYFUNCTION("IFERROR(GOOGLEFINANCE(TRIM(F3763)&amp;"":"" &amp; TRIM(B3763),""low52""),AE3763)"),0)</f>
        <v>0</v>
      </c>
      <c r="AI3763" s="1">
        <f ca="1">IFERROR(__xludf.DUMMYFUNCTION("IFERROR(GOOGLEFINANCE(B3763,""eps""),0)"),0)</f>
        <v>0</v>
      </c>
      <c r="AJ3763" s="1"/>
      <c r="AK3763" s="1" t="s">
        <v>11485</v>
      </c>
      <c r="AL3763" s="9">
        <f t="shared" si="355"/>
        <v>1</v>
      </c>
    </row>
    <row r="3764" spans="1:38" ht="15" x14ac:dyDescent="0.25">
      <c r="A3764" s="1" t="s">
        <v>11486</v>
      </c>
      <c r="B3764" s="1" t="s">
        <v>11487</v>
      </c>
      <c r="C3764" s="1" t="s">
        <v>1118</v>
      </c>
      <c r="D3764" s="1" t="s">
        <v>1118</v>
      </c>
      <c r="E3764" s="6">
        <v>205.13</v>
      </c>
      <c r="F3764" s="1" t="s">
        <v>53</v>
      </c>
      <c r="G3764" s="6">
        <f ca="1">IFERROR(__xludf.DUMMYFUNCTION("iferror(GOOGLEFINANCE(TRIM(F3764)&amp;"":"" &amp; TRIM(B3764), ""price""),0
)"),0)</f>
        <v>0</v>
      </c>
      <c r="H3764" s="6">
        <v>118.05</v>
      </c>
      <c r="I3764" s="6">
        <f t="shared" ca="1" si="0"/>
        <v>118.05</v>
      </c>
      <c r="J3764" s="6">
        <f ca="1">IFERROR(__xludf.DUMMYFUNCTION("IFERROR(GOOGLEFINANCE(B3764, ""volume""), 0)"),0)</f>
        <v>0</v>
      </c>
      <c r="K3764" s="6">
        <v>0</v>
      </c>
      <c r="L3764" s="6">
        <f ca="1">IFERROR(__xludf.DUMMYFUNCTION("IFERROR(GOOGLEFINANCE(B3764,""changepct""),K3764)"),0)</f>
        <v>0</v>
      </c>
      <c r="M3764" s="6">
        <f ca="1">IFERROR(__xludf.DUMMYFUNCTION("IFERROR(GOOGLEFINANCE(B3764,""change""),0)"),0)</f>
        <v>0</v>
      </c>
      <c r="N3764" s="6">
        <v>1</v>
      </c>
      <c r="O3764" s="7">
        <v>45536</v>
      </c>
      <c r="P3764" s="6">
        <v>204.51</v>
      </c>
      <c r="Q3764" s="6">
        <v>398.51</v>
      </c>
      <c r="R3764" s="7">
        <v>45536</v>
      </c>
      <c r="S3764" s="6">
        <v>508.21</v>
      </c>
      <c r="T3764" s="6">
        <v>33.369999999999997</v>
      </c>
      <c r="U3764" s="7">
        <v>45536</v>
      </c>
      <c r="V3764" s="6">
        <v>6.15</v>
      </c>
      <c r="W3764" s="6">
        <f ca="1">IFERROR(__xludf.DUMMYFUNCTION("IFERROR(GOOGLEFINANCE(B3764,""pe""),V3764)"),6.15)</f>
        <v>6.15</v>
      </c>
      <c r="X3764" s="6">
        <v>0.12</v>
      </c>
      <c r="Y3764" s="6">
        <v>0.96</v>
      </c>
      <c r="Z3764" s="6">
        <v>1</v>
      </c>
      <c r="AA3764" s="8">
        <v>45352</v>
      </c>
      <c r="AB3764" s="4">
        <v>0.97</v>
      </c>
      <c r="AC3764" s="6">
        <v>16.53</v>
      </c>
      <c r="AD3764" s="6">
        <v>17.2</v>
      </c>
      <c r="AE3764" s="1">
        <v>0</v>
      </c>
      <c r="AF3764" s="1">
        <f ca="1">IFERROR(__xludf.DUMMYFUNCTION("IFERROR(GOOGLEFINANCE(TRIM(F3764)&amp;"":"" &amp; TRIM(B3764),""high52""),AE3764)"),0)</f>
        <v>0</v>
      </c>
      <c r="AG3764" s="1">
        <v>0</v>
      </c>
      <c r="AH3764" s="1">
        <f ca="1">IFERROR(__xludf.DUMMYFUNCTION("IFERROR(GOOGLEFINANCE(TRIM(F3764)&amp;"":"" &amp; TRIM(B3764),""low52""),AE3764)"),0)</f>
        <v>0</v>
      </c>
      <c r="AI3764" s="1">
        <f ca="1">IFERROR(__xludf.DUMMYFUNCTION("IFERROR(GOOGLEFINANCE(B3764,""eps""),0)"),0)</f>
        <v>0</v>
      </c>
      <c r="AJ3764" s="1"/>
      <c r="AK3764" s="12"/>
      <c r="AL3764" s="9">
        <f t="shared" si="355"/>
        <v>1</v>
      </c>
    </row>
    <row r="3765" spans="1:38" ht="15" x14ac:dyDescent="0.25">
      <c r="A3765" s="1" t="s">
        <v>11488</v>
      </c>
      <c r="B3765" s="1" t="s">
        <v>11489</v>
      </c>
      <c r="C3765" s="1" t="s">
        <v>208</v>
      </c>
      <c r="D3765" s="1" t="s">
        <v>208</v>
      </c>
      <c r="E3765" s="6">
        <v>34868.76</v>
      </c>
      <c r="F3765" s="1" t="s">
        <v>40</v>
      </c>
      <c r="G3765" s="6">
        <f ca="1">IFERROR(__xludf.DUMMYFUNCTION("iferror(GOOGLEFINANCE(TRIM(F3765)&amp;"":"" &amp; TRIM(B3765), ""price""),0
)"),610.65)</f>
        <v>610.65</v>
      </c>
      <c r="H3765" s="6">
        <v>6905</v>
      </c>
      <c r="I3765" s="6">
        <f t="shared" ca="1" si="0"/>
        <v>610.65</v>
      </c>
      <c r="J3765" s="6">
        <f ca="1">IFERROR(__xludf.DUMMYFUNCTION("IFERROR(GOOGLEFINANCE(B3765, ""volume""), 0)"),500148)</f>
        <v>500148</v>
      </c>
      <c r="K3765" s="6">
        <v>0.22</v>
      </c>
      <c r="L3765" s="6">
        <f ca="1">IFERROR(__xludf.DUMMYFUNCTION("IFERROR(GOOGLEFINANCE(B3765,""changepct""),K3765)"),1.01)</f>
        <v>1.01</v>
      </c>
      <c r="M3765" s="6">
        <f ca="1">IFERROR(__xludf.DUMMYFUNCTION("IFERROR(GOOGLEFINANCE(B3765,""change""),0)"),6.1)</f>
        <v>6.1</v>
      </c>
      <c r="N3765" s="6">
        <v>2</v>
      </c>
      <c r="O3765" s="7">
        <v>45536</v>
      </c>
      <c r="P3765" s="6">
        <v>282.5</v>
      </c>
      <c r="Q3765" s="7">
        <v>45536</v>
      </c>
      <c r="R3765" s="6">
        <v>94.63</v>
      </c>
      <c r="S3765" s="6">
        <v>4.0199999999999996</v>
      </c>
      <c r="T3765" s="6">
        <v>0.95</v>
      </c>
      <c r="U3765" s="6">
        <v>2</v>
      </c>
      <c r="V3765" s="7">
        <v>45352</v>
      </c>
      <c r="W3765" s="6">
        <f ca="1">IFERROR(__xludf.DUMMYFUNCTION("IFERROR(GOOGLEFINANCE(B3765,""pe""),V3765)"),75.8)</f>
        <v>75.8</v>
      </c>
      <c r="X3765" s="6">
        <v>0</v>
      </c>
      <c r="Y3765" s="6">
        <v>1.55</v>
      </c>
      <c r="Z3765" s="6">
        <v>1.67</v>
      </c>
      <c r="AA3765" s="19" t="s">
        <v>11490</v>
      </c>
      <c r="AB3765" s="18"/>
      <c r="AC3765" s="12"/>
      <c r="AD3765" s="12"/>
      <c r="AE3765" s="1">
        <v>0</v>
      </c>
      <c r="AF3765" s="1">
        <f ca="1">IFERROR(__xludf.DUMMYFUNCTION("IFERROR(GOOGLEFINANCE(TRIM(F3765)&amp;"":"" &amp; TRIM(B3765),""high52""),AE3765)"),1184.7)</f>
        <v>1184.7</v>
      </c>
      <c r="AG3765" s="1">
        <v>0</v>
      </c>
      <c r="AH3765" s="1">
        <f ca="1">IFERROR(__xludf.DUMMYFUNCTION("IFERROR(GOOGLEFINANCE(TRIM(F3765)&amp;"":"" &amp; TRIM(B3765),""low52""),AE3765)"),514.52)</f>
        <v>514.52</v>
      </c>
      <c r="AI3765" s="1">
        <f ca="1">IFERROR(__xludf.DUMMYFUNCTION("IFERROR(GOOGLEFINANCE(B3765,""eps""),0)"),8.06)</f>
        <v>8.06</v>
      </c>
      <c r="AJ3765" s="1"/>
      <c r="AK3765" s="1" t="s">
        <v>11491</v>
      </c>
      <c r="AL3765" s="9">
        <f t="shared" si="355"/>
        <v>1</v>
      </c>
    </row>
    <row r="3766" spans="1:38" ht="15" x14ac:dyDescent="0.25">
      <c r="A3766" s="1" t="s">
        <v>11492</v>
      </c>
      <c r="B3766" s="1" t="s">
        <v>11493</v>
      </c>
      <c r="C3766" s="1" t="s">
        <v>970</v>
      </c>
      <c r="D3766" s="1" t="s">
        <v>970</v>
      </c>
      <c r="E3766" s="6">
        <v>281587.65000000002</v>
      </c>
      <c r="F3766" s="1" t="s">
        <v>40</v>
      </c>
      <c r="G3766" s="6">
        <f ca="1">IFERROR(__xludf.DUMMYFUNCTION("iferror(GOOGLEFINANCE(TRIM(F3766)&amp;"":"" &amp; TRIM(B3766), ""price""),0
)"),0)</f>
        <v>0</v>
      </c>
      <c r="H3766" s="6">
        <v>772.35</v>
      </c>
      <c r="I3766" s="6">
        <f t="shared" ca="1" si="0"/>
        <v>772.35</v>
      </c>
      <c r="J3766" s="6">
        <f ca="1">IFERROR(__xludf.DUMMYFUNCTION("IFERROR(GOOGLEFINANCE(B3766, ""volume""), 0)"),0)</f>
        <v>0</v>
      </c>
      <c r="K3766" s="6">
        <v>0.95</v>
      </c>
      <c r="L3766" s="6">
        <f ca="1">IFERROR(__xludf.DUMMYFUNCTION("IFERROR(GOOGLEFINANCE(B3766,""changepct""),K3766)"),0.95)</f>
        <v>0.95</v>
      </c>
      <c r="M3766" s="6">
        <f ca="1">IFERROR(__xludf.DUMMYFUNCTION("IFERROR(GOOGLEFINANCE(B3766,""change""),0)"),0)</f>
        <v>0</v>
      </c>
      <c r="N3766" s="6">
        <v>2</v>
      </c>
      <c r="O3766" s="7">
        <v>45536</v>
      </c>
      <c r="P3766" s="6">
        <v>97260</v>
      </c>
      <c r="Q3766" s="6">
        <v>349479.7</v>
      </c>
      <c r="R3766" s="7">
        <v>45536</v>
      </c>
      <c r="S3766" s="6">
        <v>440061.5</v>
      </c>
      <c r="T3766" s="6">
        <v>33165.21</v>
      </c>
      <c r="U3766" s="7">
        <v>45536</v>
      </c>
      <c r="V3766" s="6">
        <v>8.4499999999999993</v>
      </c>
      <c r="W3766" s="6">
        <f ca="1">IFERROR(__xludf.DUMMYFUNCTION("IFERROR(GOOGLEFINANCE(B3766,""pe""),V3766)"),8.45)</f>
        <v>8.4499999999999993</v>
      </c>
      <c r="X3766" s="6">
        <v>0.1</v>
      </c>
      <c r="Y3766" s="6">
        <v>2.79</v>
      </c>
      <c r="Z3766" s="6">
        <v>2</v>
      </c>
      <c r="AA3766" s="8">
        <v>45352</v>
      </c>
      <c r="AB3766" s="4">
        <v>1.1599999999999999</v>
      </c>
      <c r="AC3766" s="6">
        <v>48.9</v>
      </c>
      <c r="AD3766" s="6">
        <v>21.41</v>
      </c>
      <c r="AE3766" s="1">
        <v>0</v>
      </c>
      <c r="AF3766" s="1">
        <f ca="1">IFERROR(__xludf.DUMMYFUNCTION("IFERROR(GOOGLEFINANCE(TRIM(F3766)&amp;"":"" &amp; TRIM(B3766),""high52""),AE3766)"),0)</f>
        <v>0</v>
      </c>
      <c r="AG3766" s="1">
        <v>0</v>
      </c>
      <c r="AH3766" s="1">
        <f ca="1">IFERROR(__xludf.DUMMYFUNCTION("IFERROR(GOOGLEFINANCE(TRIM(F3766)&amp;"":"" &amp; TRIM(B3766),""low52""),AE3766)"),0)</f>
        <v>0</v>
      </c>
      <c r="AI3766" s="1">
        <f ca="1">IFERROR(__xludf.DUMMYFUNCTION("IFERROR(GOOGLEFINANCE(B3766,""eps""),0)"),0)</f>
        <v>0</v>
      </c>
      <c r="AJ3766" s="1"/>
      <c r="AK3766" s="1" t="s">
        <v>11494</v>
      </c>
      <c r="AL3766" s="1" t="b">
        <f>ISNUMBER(AA3766)</f>
        <v>1</v>
      </c>
    </row>
    <row r="3767" spans="1:38" ht="15" x14ac:dyDescent="0.25">
      <c r="A3767" s="1" t="s">
        <v>11495</v>
      </c>
      <c r="B3767" s="1" t="s">
        <v>11496</v>
      </c>
      <c r="C3767" s="1" t="s">
        <v>1118</v>
      </c>
      <c r="D3767" s="1" t="s">
        <v>1118</v>
      </c>
      <c r="E3767" s="6">
        <v>135.02000000000001</v>
      </c>
      <c r="F3767" s="1" t="s">
        <v>53</v>
      </c>
      <c r="G3767" s="6">
        <f ca="1">IFERROR(__xludf.DUMMYFUNCTION("iferror(GOOGLEFINANCE(TRIM(F3767)&amp;"":"" &amp; TRIM(B3767), ""price""),0
)"),0)</f>
        <v>0</v>
      </c>
      <c r="H3767" s="6">
        <v>130.1</v>
      </c>
      <c r="I3767" s="6">
        <f t="shared" ca="1" si="0"/>
        <v>130.1</v>
      </c>
      <c r="J3767" s="6">
        <f ca="1">IFERROR(__xludf.DUMMYFUNCTION("IFERROR(GOOGLEFINANCE(B3767, ""volume""), 0)"),0)</f>
        <v>0</v>
      </c>
      <c r="K3767" s="6">
        <v>-2.87</v>
      </c>
      <c r="L3767" s="6">
        <f ca="1">IFERROR(__xludf.DUMMYFUNCTION("IFERROR(GOOGLEFINANCE(B3767,""changepct""),K3767)"),-2.87)</f>
        <v>-2.87</v>
      </c>
      <c r="M3767" s="6">
        <f ca="1">IFERROR(__xludf.DUMMYFUNCTION("IFERROR(GOOGLEFINANCE(B3767,""change""),0)"),0)</f>
        <v>0</v>
      </c>
      <c r="N3767" s="6">
        <v>1</v>
      </c>
      <c r="O3767" s="7">
        <v>45536</v>
      </c>
      <c r="P3767" s="6">
        <v>8</v>
      </c>
      <c r="Q3767" s="6">
        <v>139.38999999999999</v>
      </c>
      <c r="R3767" s="7">
        <v>45536</v>
      </c>
      <c r="S3767" s="6">
        <v>450.26</v>
      </c>
      <c r="T3767" s="6">
        <v>76.02</v>
      </c>
      <c r="U3767" s="7">
        <v>45536</v>
      </c>
      <c r="V3767" s="6">
        <v>1.78</v>
      </c>
      <c r="W3767" s="6">
        <f ca="1">IFERROR(__xludf.DUMMYFUNCTION("IFERROR(GOOGLEFINANCE(B3767,""pe""),V3767)"),1.78)</f>
        <v>1.78</v>
      </c>
      <c r="X3767" s="6">
        <v>0.05</v>
      </c>
      <c r="Y3767" s="6">
        <v>-1.25</v>
      </c>
      <c r="Z3767" s="6">
        <v>1</v>
      </c>
      <c r="AA3767" s="8">
        <v>45352</v>
      </c>
      <c r="AB3767" s="4">
        <v>-1.05</v>
      </c>
      <c r="AC3767" s="6">
        <v>0</v>
      </c>
      <c r="AD3767" s="6">
        <v>0</v>
      </c>
      <c r="AE3767" s="1">
        <v>0</v>
      </c>
      <c r="AF3767" s="1">
        <f ca="1">IFERROR(__xludf.DUMMYFUNCTION("IFERROR(GOOGLEFINANCE(TRIM(F3767)&amp;"":"" &amp; TRIM(B3767),""high52""),AE3767)"),0)</f>
        <v>0</v>
      </c>
      <c r="AG3767" s="1">
        <v>0</v>
      </c>
      <c r="AH3767" s="1">
        <f ca="1">IFERROR(__xludf.DUMMYFUNCTION("IFERROR(GOOGLEFINANCE(TRIM(F3767)&amp;"":"" &amp; TRIM(B3767),""low52""),AE3767)"),0)</f>
        <v>0</v>
      </c>
      <c r="AI3767" s="1">
        <f ca="1">IFERROR(__xludf.DUMMYFUNCTION("IFERROR(GOOGLEFINANCE(B3767,""eps""),0)"),0)</f>
        <v>0</v>
      </c>
      <c r="AJ3767" s="1"/>
      <c r="AK3767" s="1" t="s">
        <v>11497</v>
      </c>
      <c r="AL3767" s="9">
        <f t="shared" ref="AL3767:AL3818" si="356">IF(AA3767&lt;&gt;AB3767,1,0)</f>
        <v>1</v>
      </c>
    </row>
    <row r="3768" spans="1:38" ht="15" x14ac:dyDescent="0.25">
      <c r="A3768" s="1" t="s">
        <v>11498</v>
      </c>
      <c r="B3768" s="1" t="s">
        <v>11499</v>
      </c>
      <c r="C3768" s="1" t="s">
        <v>268</v>
      </c>
      <c r="D3768" s="1" t="s">
        <v>268</v>
      </c>
      <c r="E3768" s="6">
        <v>126391.7</v>
      </c>
      <c r="F3768" s="1" t="s">
        <v>40</v>
      </c>
      <c r="G3768" s="6">
        <f ca="1">IFERROR(__xludf.DUMMYFUNCTION("iferror(GOOGLEFINANCE(TRIM(F3768)&amp;"":"" &amp; TRIM(B3768), ""price""),0
)"),359.05)</f>
        <v>359.05</v>
      </c>
      <c r="H3768" s="6">
        <v>397.65</v>
      </c>
      <c r="I3768" s="6">
        <f t="shared" ca="1" si="0"/>
        <v>359.05</v>
      </c>
      <c r="J3768" s="6">
        <f ca="1">IFERROR(__xludf.DUMMYFUNCTION("IFERROR(GOOGLEFINANCE(B3768, ""volume""), 0)"),3274185)</f>
        <v>3274185</v>
      </c>
      <c r="K3768" s="6">
        <v>0.54</v>
      </c>
      <c r="L3768" s="6">
        <f ca="1">IFERROR(__xludf.DUMMYFUNCTION("IFERROR(GOOGLEFINANCE(B3768,""changepct""),K3768)"),1.33)</f>
        <v>1.33</v>
      </c>
      <c r="M3768" s="6">
        <f ca="1">IFERROR(__xludf.DUMMYFUNCTION("IFERROR(GOOGLEFINANCE(B3768,""change""),0)"),4.7)</f>
        <v>4.7</v>
      </c>
      <c r="N3768" s="6">
        <v>2</v>
      </c>
      <c r="O3768" s="7">
        <v>45536</v>
      </c>
      <c r="P3768" s="6">
        <v>53991.68</v>
      </c>
      <c r="Q3768" s="6">
        <v>171165</v>
      </c>
      <c r="R3768" s="7">
        <v>45536</v>
      </c>
      <c r="S3768" s="6">
        <v>63488.87</v>
      </c>
      <c r="T3768" s="6">
        <v>3303.55</v>
      </c>
      <c r="U3768" s="7">
        <v>45536</v>
      </c>
      <c r="V3768" s="6">
        <v>33.74</v>
      </c>
      <c r="W3768" s="6">
        <f ca="1">IFERROR(__xludf.DUMMYFUNCTION("IFERROR(GOOGLEFINANCE(B3768,""pe""),V3768)"),28.34)</f>
        <v>28.34</v>
      </c>
      <c r="X3768" s="6">
        <v>1.67</v>
      </c>
      <c r="Y3768" s="6">
        <v>3.75</v>
      </c>
      <c r="Z3768" s="6">
        <v>2</v>
      </c>
      <c r="AA3768" s="8">
        <v>45352</v>
      </c>
      <c r="AB3768" s="4">
        <v>1.53</v>
      </c>
      <c r="AC3768" s="6">
        <v>14</v>
      </c>
      <c r="AD3768" s="6">
        <v>12.99</v>
      </c>
      <c r="AE3768" s="1">
        <v>0</v>
      </c>
      <c r="AF3768" s="1">
        <f ca="1">IFERROR(__xludf.DUMMYFUNCTION("IFERROR(GOOGLEFINANCE(TRIM(F3768)&amp;"":"" &amp; TRIM(B3768),""high52""),AE3768)"),416.8)</f>
        <v>416.8</v>
      </c>
      <c r="AG3768" s="1">
        <v>0</v>
      </c>
      <c r="AH3768" s="1">
        <f ca="1">IFERROR(__xludf.DUMMYFUNCTION("IFERROR(GOOGLEFINANCE(TRIM(F3768)&amp;"":"" &amp; TRIM(B3768),""low52""),AE3768)"),326.35)</f>
        <v>326.35000000000002</v>
      </c>
      <c r="AI3768" s="1">
        <f ca="1">IFERROR(__xludf.DUMMYFUNCTION("IFERROR(GOOGLEFINANCE(B3768,""eps""),0)"),12.67)</f>
        <v>12.67</v>
      </c>
      <c r="AJ3768" s="1"/>
      <c r="AK3768" s="1" t="s">
        <v>11500</v>
      </c>
      <c r="AL3768" s="9">
        <f t="shared" si="356"/>
        <v>1</v>
      </c>
    </row>
    <row r="3769" spans="1:38" ht="15" x14ac:dyDescent="0.25">
      <c r="A3769" s="1" t="s">
        <v>11501</v>
      </c>
      <c r="B3769" s="1" t="s">
        <v>11502</v>
      </c>
      <c r="C3769" s="1" t="s">
        <v>219</v>
      </c>
      <c r="D3769" s="1" t="s">
        <v>219</v>
      </c>
      <c r="E3769" s="6">
        <v>172458.94</v>
      </c>
      <c r="F3769" s="1" t="s">
        <v>40</v>
      </c>
      <c r="G3769" s="6">
        <f ca="1">IFERROR(__xludf.DUMMYFUNCTION("iferror(GOOGLEFINANCE(TRIM(F3769)&amp;"":"" &amp; TRIM(B3769), ""price""),0
)"),188.72)</f>
        <v>188.72</v>
      </c>
      <c r="H3769" s="6">
        <v>138.31</v>
      </c>
      <c r="I3769" s="6">
        <f t="shared" ca="1" si="0"/>
        <v>188.72</v>
      </c>
      <c r="J3769" s="6">
        <f ca="1">IFERROR(__xludf.DUMMYFUNCTION("IFERROR(GOOGLEFINANCE(B3769, ""volume""), 0)"),25601945)</f>
        <v>25601945</v>
      </c>
      <c r="K3769" s="6">
        <v>0.09</v>
      </c>
      <c r="L3769" s="6">
        <f ca="1">IFERROR(__xludf.DUMMYFUNCTION("IFERROR(GOOGLEFINANCE(B3769,""changepct""),K3769)"),1.8)</f>
        <v>1.8</v>
      </c>
      <c r="M3769" s="6">
        <f ca="1">IFERROR(__xludf.DUMMYFUNCTION("IFERROR(GOOGLEFINANCE(B3769,""change""),0)"),3.34)</f>
        <v>3.34</v>
      </c>
      <c r="N3769" s="6">
        <v>2</v>
      </c>
      <c r="O3769" s="7">
        <v>45536</v>
      </c>
      <c r="P3769" s="6">
        <v>94107.95</v>
      </c>
      <c r="Q3769" s="6">
        <v>256633</v>
      </c>
      <c r="R3769" s="7">
        <v>45536</v>
      </c>
      <c r="S3769" s="6">
        <v>222675.3</v>
      </c>
      <c r="T3769" s="6">
        <v>2576.6799999999998</v>
      </c>
      <c r="U3769" s="7">
        <v>45536</v>
      </c>
      <c r="V3769" s="6">
        <v>59.1</v>
      </c>
      <c r="W3769" s="6">
        <f ca="1">IFERROR(__xludf.DUMMYFUNCTION("IFERROR(GOOGLEFINANCE(B3769,""pe""),V3769)"),34.55)</f>
        <v>34.549999999999997</v>
      </c>
      <c r="X3769" s="6">
        <v>2.44</v>
      </c>
      <c r="Y3769" s="6">
        <v>1.95</v>
      </c>
      <c r="Z3769" s="6">
        <v>2</v>
      </c>
      <c r="AA3769" s="8">
        <v>45352</v>
      </c>
      <c r="AB3769" s="4">
        <v>0.9</v>
      </c>
      <c r="AC3769" s="6">
        <v>-5.09</v>
      </c>
      <c r="AD3769" s="6">
        <v>3.61</v>
      </c>
      <c r="AE3769" s="1">
        <v>0</v>
      </c>
      <c r="AF3769" s="1">
        <f ca="1">IFERROR(__xludf.DUMMYFUNCTION("IFERROR(GOOGLEFINANCE(TRIM(F3769)&amp;"":"" &amp; TRIM(B3769),""high52""),AE3769)"),202.99)</f>
        <v>202.99</v>
      </c>
      <c r="AG3769" s="1">
        <v>0</v>
      </c>
      <c r="AH3769" s="1">
        <f ca="1">IFERROR(__xludf.DUMMYFUNCTION("IFERROR(GOOGLEFINANCE(TRIM(F3769)&amp;"":"" &amp; TRIM(B3769),""low52""),AE3769)"),125.3)</f>
        <v>125.3</v>
      </c>
      <c r="AI3769" s="1">
        <f ca="1">IFERROR(__xludf.DUMMYFUNCTION("IFERROR(GOOGLEFINANCE(B3769,""eps""),0)"),5.46)</f>
        <v>5.46</v>
      </c>
      <c r="AJ3769" s="1"/>
      <c r="AK3769" s="1" t="s">
        <v>11503</v>
      </c>
      <c r="AL3769" s="9">
        <f t="shared" si="356"/>
        <v>1</v>
      </c>
    </row>
    <row r="3770" spans="1:38" ht="15" x14ac:dyDescent="0.25">
      <c r="A3770" s="1" t="s">
        <v>11504</v>
      </c>
      <c r="B3770" s="1" t="s">
        <v>11505</v>
      </c>
      <c r="C3770" s="1" t="s">
        <v>57</v>
      </c>
      <c r="D3770" s="1" t="s">
        <v>57</v>
      </c>
      <c r="E3770" s="6">
        <v>36702.86</v>
      </c>
      <c r="F3770" s="1" t="s">
        <v>40</v>
      </c>
      <c r="G3770" s="6">
        <f ca="1">IFERROR(__xludf.DUMMYFUNCTION("iferror(GOOGLEFINANCE(TRIM(F3770)&amp;"":"" &amp; TRIM(B3770), ""price""),0
)"),647.5)</f>
        <v>647.5</v>
      </c>
      <c r="H3770" s="6">
        <v>908.65</v>
      </c>
      <c r="I3770" s="6">
        <f t="shared" ca="1" si="0"/>
        <v>647.5</v>
      </c>
      <c r="J3770" s="6">
        <f ca="1">IFERROR(__xludf.DUMMYFUNCTION("IFERROR(GOOGLEFINANCE(B3770, ""volume""), 0)"),479353)</f>
        <v>479353</v>
      </c>
      <c r="K3770" s="6">
        <v>0.43</v>
      </c>
      <c r="L3770" s="6">
        <f ca="1">IFERROR(__xludf.DUMMYFUNCTION("IFERROR(GOOGLEFINANCE(B3770,""changepct""),K3770)"),1.38)</f>
        <v>1.38</v>
      </c>
      <c r="M3770" s="6">
        <f ca="1">IFERROR(__xludf.DUMMYFUNCTION("IFERROR(GOOGLEFINANCE(B3770,""change""),0)"),8.8)</f>
        <v>8.8000000000000007</v>
      </c>
      <c r="N3770" s="6">
        <v>2</v>
      </c>
      <c r="O3770" s="7">
        <v>45536</v>
      </c>
      <c r="P3770" s="12"/>
      <c r="Q3770" s="6">
        <v>35889.79</v>
      </c>
      <c r="R3770" s="7">
        <v>45536</v>
      </c>
      <c r="S3770" s="6">
        <v>5155.92</v>
      </c>
      <c r="T3770" s="6">
        <v>646.9</v>
      </c>
      <c r="U3770" s="7">
        <v>45536</v>
      </c>
      <c r="V3770" s="6">
        <v>56.74</v>
      </c>
      <c r="W3770" s="6">
        <f ca="1">IFERROR(__xludf.DUMMYFUNCTION("IFERROR(GOOGLEFINANCE(B3770,""pe""),V3770)"),49.5)</f>
        <v>49.5</v>
      </c>
      <c r="X3770" s="12"/>
      <c r="Y3770" s="6">
        <v>11.42</v>
      </c>
      <c r="Z3770" s="6">
        <v>2</v>
      </c>
      <c r="AA3770" s="8">
        <v>45352</v>
      </c>
      <c r="AB3770" s="4">
        <v>0</v>
      </c>
      <c r="AC3770" s="6">
        <v>21.9</v>
      </c>
      <c r="AD3770" s="6">
        <v>30.63</v>
      </c>
      <c r="AE3770" s="1">
        <v>0</v>
      </c>
      <c r="AF3770" s="1">
        <f ca="1">IFERROR(__xludf.DUMMYFUNCTION("IFERROR(GOOGLEFINANCE(TRIM(F3770)&amp;"":"" &amp; TRIM(B3770),""high52""),AE3770)"),803)</f>
        <v>803</v>
      </c>
      <c r="AG3770" s="1">
        <v>0</v>
      </c>
      <c r="AH3770" s="1">
        <f ca="1">IFERROR(__xludf.DUMMYFUNCTION("IFERROR(GOOGLEFINANCE(TRIM(F3770)&amp;"":"" &amp; TRIM(B3770),""low52""),AE3770)"),597)</f>
        <v>597</v>
      </c>
      <c r="AI3770" s="1">
        <f ca="1">IFERROR(__xludf.DUMMYFUNCTION("IFERROR(GOOGLEFINANCE(B3770,""eps""),0)"),13.08)</f>
        <v>13.08</v>
      </c>
      <c r="AJ3770" s="1"/>
      <c r="AK3770" s="1" t="s">
        <v>11506</v>
      </c>
      <c r="AL3770" s="9">
        <f t="shared" si="356"/>
        <v>1</v>
      </c>
    </row>
    <row r="3771" spans="1:38" ht="15" x14ac:dyDescent="0.25">
      <c r="A3771" s="1" t="s">
        <v>11507</v>
      </c>
      <c r="B3771" s="1" t="s">
        <v>11508</v>
      </c>
      <c r="C3771" s="1" t="s">
        <v>1118</v>
      </c>
      <c r="D3771" s="1" t="s">
        <v>1118</v>
      </c>
      <c r="E3771" s="6">
        <v>57.37</v>
      </c>
      <c r="F3771" s="1" t="s">
        <v>53</v>
      </c>
      <c r="G3771" s="6">
        <f ca="1">IFERROR(__xludf.DUMMYFUNCTION("iferror(GOOGLEFINANCE(TRIM(F3771)&amp;"":"" &amp; TRIM(B3771), ""price""),0
)"),0)</f>
        <v>0</v>
      </c>
      <c r="H3771" s="6">
        <v>76.900000000000006</v>
      </c>
      <c r="I3771" s="6">
        <f t="shared" ca="1" si="0"/>
        <v>76.900000000000006</v>
      </c>
      <c r="J3771" s="6">
        <f ca="1">IFERROR(__xludf.DUMMYFUNCTION("IFERROR(GOOGLEFINANCE(B3771, ""volume""), 0)"),0)</f>
        <v>0</v>
      </c>
      <c r="K3771" s="6">
        <v>-0.63</v>
      </c>
      <c r="L3771" s="6">
        <f ca="1">IFERROR(__xludf.DUMMYFUNCTION("IFERROR(GOOGLEFINANCE(B3771,""changepct""),K3771)"),-0.63)</f>
        <v>-0.63</v>
      </c>
      <c r="M3771" s="6">
        <f ca="1">IFERROR(__xludf.DUMMYFUNCTION("IFERROR(GOOGLEFINANCE(B3771,""change""),0)"),0)</f>
        <v>0</v>
      </c>
      <c r="N3771" s="6">
        <v>2</v>
      </c>
      <c r="O3771" s="7">
        <v>45536</v>
      </c>
      <c r="P3771" s="6">
        <v>45.99</v>
      </c>
      <c r="Q3771" s="6">
        <v>103.32</v>
      </c>
      <c r="R3771" s="7">
        <v>45536</v>
      </c>
      <c r="S3771" s="6">
        <v>3.11</v>
      </c>
      <c r="T3771" s="6">
        <v>-5.0999999999999996</v>
      </c>
      <c r="U3771" s="7">
        <v>45536</v>
      </c>
      <c r="V3771" s="6">
        <v>0</v>
      </c>
      <c r="W3771" s="6">
        <f ca="1">IFERROR(__xludf.DUMMYFUNCTION("IFERROR(GOOGLEFINANCE(B3771,""pe""),V3771)"),0)</f>
        <v>0</v>
      </c>
      <c r="X3771" s="6">
        <v>0</v>
      </c>
      <c r="Y3771" s="6">
        <v>0.56999999999999995</v>
      </c>
      <c r="Z3771" s="6">
        <v>2</v>
      </c>
      <c r="AA3771" s="8">
        <v>45352</v>
      </c>
      <c r="AB3771" s="4">
        <v>0.41</v>
      </c>
      <c r="AC3771" s="6">
        <v>18.940000000000001</v>
      </c>
      <c r="AD3771" s="6">
        <v>13.48</v>
      </c>
      <c r="AE3771" s="1">
        <v>0</v>
      </c>
      <c r="AF3771" s="1">
        <f ca="1">IFERROR(__xludf.DUMMYFUNCTION("IFERROR(GOOGLEFINANCE(TRIM(F3771)&amp;"":"" &amp; TRIM(B3771),""high52""),AE3771)"),0)</f>
        <v>0</v>
      </c>
      <c r="AG3771" s="1">
        <v>0</v>
      </c>
      <c r="AH3771" s="1">
        <f ca="1">IFERROR(__xludf.DUMMYFUNCTION("IFERROR(GOOGLEFINANCE(TRIM(F3771)&amp;"":"" &amp; TRIM(B3771),""low52""),AE3771)"),0)</f>
        <v>0</v>
      </c>
      <c r="AI3771" s="1">
        <f ca="1">IFERROR(__xludf.DUMMYFUNCTION("IFERROR(GOOGLEFINANCE(B3771,""eps""),0)"),0)</f>
        <v>0</v>
      </c>
      <c r="AJ3771" s="1"/>
      <c r="AK3771" s="9"/>
      <c r="AL3771" s="9">
        <f t="shared" si="356"/>
        <v>1</v>
      </c>
    </row>
    <row r="3772" spans="1:38" ht="15" x14ac:dyDescent="0.25">
      <c r="A3772" s="1" t="s">
        <v>11509</v>
      </c>
      <c r="B3772" s="1" t="s">
        <v>11510</v>
      </c>
      <c r="C3772" s="1" t="s">
        <v>1118</v>
      </c>
      <c r="D3772" s="1" t="s">
        <v>1118</v>
      </c>
      <c r="E3772" s="6">
        <v>134.08000000000001</v>
      </c>
      <c r="F3772" s="1" t="s">
        <v>53</v>
      </c>
      <c r="G3772" s="6">
        <f ca="1">IFERROR(__xludf.DUMMYFUNCTION("iferror(GOOGLEFINANCE(TRIM(F3772)&amp;"":"" &amp; TRIM(B3772), ""price""),0
)"),0)</f>
        <v>0</v>
      </c>
      <c r="H3772" s="6">
        <v>9.15</v>
      </c>
      <c r="I3772" s="6">
        <f t="shared" ca="1" si="0"/>
        <v>9.15</v>
      </c>
      <c r="J3772" s="6">
        <f ca="1">IFERROR(__xludf.DUMMYFUNCTION("IFERROR(GOOGLEFINANCE(B3772, ""volume""), 0)"),0)</f>
        <v>0</v>
      </c>
      <c r="K3772" s="6">
        <v>1.78</v>
      </c>
      <c r="L3772" s="6">
        <f ca="1">IFERROR(__xludf.DUMMYFUNCTION("IFERROR(GOOGLEFINANCE(B3772,""changepct""),K3772)"),1.78)</f>
        <v>1.78</v>
      </c>
      <c r="M3772" s="6">
        <f ca="1">IFERROR(__xludf.DUMMYFUNCTION("IFERROR(GOOGLEFINANCE(B3772,""change""),0)"),0)</f>
        <v>0</v>
      </c>
      <c r="N3772" s="6">
        <v>1</v>
      </c>
      <c r="O3772" s="7">
        <v>45536</v>
      </c>
      <c r="P3772" s="6">
        <v>21.56</v>
      </c>
      <c r="Q3772" s="6">
        <v>152.28</v>
      </c>
      <c r="R3772" s="7">
        <v>45536</v>
      </c>
      <c r="S3772" s="6">
        <v>84.72</v>
      </c>
      <c r="T3772" s="6">
        <v>1.1499999999999999</v>
      </c>
      <c r="U3772" s="7">
        <v>45536</v>
      </c>
      <c r="V3772" s="6">
        <v>116.59</v>
      </c>
      <c r="W3772" s="6">
        <f ca="1">IFERROR(__xludf.DUMMYFUNCTION("IFERROR(GOOGLEFINANCE(B3772,""pe""),V3772)"),116.59)</f>
        <v>116.59</v>
      </c>
      <c r="X3772" s="6">
        <v>1.23</v>
      </c>
      <c r="Y3772" s="6">
        <v>1.32</v>
      </c>
      <c r="Z3772" s="6">
        <v>1</v>
      </c>
      <c r="AA3772" s="8">
        <v>45352</v>
      </c>
      <c r="AB3772" s="4">
        <v>0.41</v>
      </c>
      <c r="AC3772" s="6">
        <v>1.42</v>
      </c>
      <c r="AD3772" s="6">
        <v>4.53</v>
      </c>
      <c r="AE3772" s="1">
        <v>0</v>
      </c>
      <c r="AF3772" s="1">
        <f ca="1">IFERROR(__xludf.DUMMYFUNCTION("IFERROR(GOOGLEFINANCE(TRIM(F3772)&amp;"":"" &amp; TRIM(B3772),""high52""),AE3772)"),0)</f>
        <v>0</v>
      </c>
      <c r="AG3772" s="1">
        <v>0</v>
      </c>
      <c r="AH3772" s="1">
        <f ca="1">IFERROR(__xludf.DUMMYFUNCTION("IFERROR(GOOGLEFINANCE(TRIM(F3772)&amp;"":"" &amp; TRIM(B3772),""low52""),AE3772)"),0)</f>
        <v>0</v>
      </c>
      <c r="AI3772" s="1">
        <f ca="1">IFERROR(__xludf.DUMMYFUNCTION("IFERROR(GOOGLEFINANCE(B3772,""eps""),0)"),0)</f>
        <v>0</v>
      </c>
      <c r="AJ3772" s="1"/>
      <c r="AK3772" s="9"/>
      <c r="AL3772" s="9">
        <f t="shared" si="356"/>
        <v>1</v>
      </c>
    </row>
    <row r="3773" spans="1:38" ht="15" x14ac:dyDescent="0.25">
      <c r="A3773" s="1" t="s">
        <v>11511</v>
      </c>
      <c r="B3773" s="1" t="s">
        <v>11512</v>
      </c>
      <c r="C3773" s="1" t="s">
        <v>1118</v>
      </c>
      <c r="D3773" s="1" t="s">
        <v>1118</v>
      </c>
      <c r="E3773" s="6">
        <v>160.34</v>
      </c>
      <c r="F3773" s="1" t="s">
        <v>53</v>
      </c>
      <c r="G3773" s="6">
        <f ca="1">IFERROR(__xludf.DUMMYFUNCTION("iferror(GOOGLEFINANCE(TRIM(F3773)&amp;"":"" &amp; TRIM(B3773), ""price""),0
)"),0)</f>
        <v>0</v>
      </c>
      <c r="H3773" s="6">
        <v>69.930000000000007</v>
      </c>
      <c r="I3773" s="6">
        <f t="shared" ca="1" si="0"/>
        <v>69.930000000000007</v>
      </c>
      <c r="J3773" s="6">
        <f ca="1">IFERROR(__xludf.DUMMYFUNCTION("IFERROR(GOOGLEFINANCE(B3773, ""volume""), 0)"),0)</f>
        <v>0</v>
      </c>
      <c r="K3773" s="6">
        <v>1.42</v>
      </c>
      <c r="L3773" s="6">
        <f ca="1">IFERROR(__xludf.DUMMYFUNCTION("IFERROR(GOOGLEFINANCE(B3773,""changepct""),K3773)"),1.42)</f>
        <v>1.42</v>
      </c>
      <c r="M3773" s="6">
        <f ca="1">IFERROR(__xludf.DUMMYFUNCTION("IFERROR(GOOGLEFINANCE(B3773,""change""),0)"),0)</f>
        <v>0</v>
      </c>
      <c r="N3773" s="6">
        <v>1</v>
      </c>
      <c r="O3773" s="7">
        <v>45536</v>
      </c>
      <c r="P3773" s="6">
        <v>19.239999999999998</v>
      </c>
      <c r="Q3773" s="6">
        <v>179.58</v>
      </c>
      <c r="R3773" s="7">
        <v>45536</v>
      </c>
      <c r="S3773" s="6">
        <v>4.76</v>
      </c>
      <c r="T3773" s="6">
        <v>-2.35</v>
      </c>
      <c r="U3773" s="7">
        <v>45536</v>
      </c>
      <c r="V3773" s="6">
        <v>0</v>
      </c>
      <c r="W3773" s="6">
        <f ca="1">IFERROR(__xludf.DUMMYFUNCTION("IFERROR(GOOGLEFINANCE(B3773,""pe""),V3773)"),0)</f>
        <v>0</v>
      </c>
      <c r="X3773" s="9"/>
      <c r="Y3773" s="6">
        <v>15.42</v>
      </c>
      <c r="Z3773" s="6">
        <v>1</v>
      </c>
      <c r="AA3773" s="8">
        <v>45352</v>
      </c>
      <c r="AB3773" s="4">
        <v>1.25</v>
      </c>
      <c r="AC3773" s="6">
        <v>-14.45</v>
      </c>
      <c r="AD3773" s="6">
        <v>-9.15</v>
      </c>
      <c r="AE3773" s="1">
        <v>0</v>
      </c>
      <c r="AF3773" s="1">
        <f ca="1">IFERROR(__xludf.DUMMYFUNCTION("IFERROR(GOOGLEFINANCE(TRIM(F3773)&amp;"":"" &amp; TRIM(B3773),""high52""),AE3773)"),0)</f>
        <v>0</v>
      </c>
      <c r="AG3773" s="1">
        <v>0</v>
      </c>
      <c r="AH3773" s="1">
        <f ca="1">IFERROR(__xludf.DUMMYFUNCTION("IFERROR(GOOGLEFINANCE(TRIM(F3773)&amp;"":"" &amp; TRIM(B3773),""low52""),AE3773)"),0)</f>
        <v>0</v>
      </c>
      <c r="AI3773" s="1">
        <f ca="1">IFERROR(__xludf.DUMMYFUNCTION("IFERROR(GOOGLEFINANCE(B3773,""eps""),0)"),0)</f>
        <v>0</v>
      </c>
      <c r="AJ3773" s="1"/>
      <c r="AK3773" s="9"/>
      <c r="AL3773" s="9">
        <f t="shared" si="356"/>
        <v>1</v>
      </c>
    </row>
    <row r="3774" spans="1:38" ht="15" x14ac:dyDescent="0.25">
      <c r="A3774" s="1" t="s">
        <v>11513</v>
      </c>
      <c r="B3774" s="1" t="s">
        <v>11514</v>
      </c>
      <c r="C3774" s="1" t="s">
        <v>255</v>
      </c>
      <c r="D3774" s="1" t="s">
        <v>255</v>
      </c>
      <c r="E3774" s="6">
        <v>15234.75</v>
      </c>
      <c r="F3774" s="1" t="s">
        <v>40</v>
      </c>
      <c r="G3774" s="6">
        <f ca="1">IFERROR(__xludf.DUMMYFUNCTION("iferror(GOOGLEFINANCE(TRIM(F3774)&amp;"":"" &amp; TRIM(B3774), ""price""),0
)"),43.96)</f>
        <v>43.96</v>
      </c>
      <c r="H3774" s="6">
        <v>77.62</v>
      </c>
      <c r="I3774" s="6">
        <f t="shared" ca="1" si="0"/>
        <v>43.96</v>
      </c>
      <c r="J3774" s="6">
        <f ca="1">IFERROR(__xludf.DUMMYFUNCTION("IFERROR(GOOGLEFINANCE(B3774, ""volume""), 0)"),2666277)</f>
        <v>2666277</v>
      </c>
      <c r="K3774" s="6">
        <v>-0.49</v>
      </c>
      <c r="L3774" s="6">
        <f ca="1">IFERROR(__xludf.DUMMYFUNCTION("IFERROR(GOOGLEFINANCE(B3774,""changepct""),K3774)"),-2.61)</f>
        <v>-2.61</v>
      </c>
      <c r="M3774" s="6">
        <f ca="1">IFERROR(__xludf.DUMMYFUNCTION("IFERROR(GOOGLEFINANCE(B3774,""change""),0)"),-1.18)</f>
        <v>-1.18</v>
      </c>
      <c r="N3774" s="6">
        <v>1</v>
      </c>
      <c r="O3774" s="7">
        <v>45536</v>
      </c>
      <c r="P3774" s="6">
        <v>19727.91</v>
      </c>
      <c r="Q3774" s="6">
        <v>34941.25</v>
      </c>
      <c r="R3774" s="7">
        <v>45536</v>
      </c>
      <c r="S3774" s="6">
        <v>1286.32</v>
      </c>
      <c r="T3774" s="6">
        <v>-1270.82</v>
      </c>
      <c r="U3774" s="7">
        <v>45536</v>
      </c>
      <c r="V3774" s="6">
        <v>0</v>
      </c>
      <c r="W3774" s="6">
        <f ca="1">IFERROR(__xludf.DUMMYFUNCTION("IFERROR(GOOGLEFINANCE(B3774,""pe""),V3774)"),0)</f>
        <v>0</v>
      </c>
      <c r="X3774" s="6">
        <v>0</v>
      </c>
      <c r="Y3774" s="6">
        <v>-0.77</v>
      </c>
      <c r="Z3774" s="6">
        <v>1</v>
      </c>
      <c r="AA3774" s="8">
        <v>45352</v>
      </c>
      <c r="AB3774" s="4">
        <v>-1.04</v>
      </c>
      <c r="AC3774" s="6">
        <v>0</v>
      </c>
      <c r="AD3774" s="6">
        <v>53.41</v>
      </c>
      <c r="AE3774" s="1">
        <v>0</v>
      </c>
      <c r="AF3774" s="1">
        <f ca="1">IFERROR(__xludf.DUMMYFUNCTION("IFERROR(GOOGLEFINANCE(TRIM(F3774)&amp;"":"" &amp; TRIM(B3774),""high52""),AE3774)"),81.12)</f>
        <v>81.12</v>
      </c>
      <c r="AG3774" s="1">
        <v>0</v>
      </c>
      <c r="AH3774" s="1">
        <f ca="1">IFERROR(__xludf.DUMMYFUNCTION("IFERROR(GOOGLEFINANCE(TRIM(F3774)&amp;"":"" &amp; TRIM(B3774),""low52""),AE3774)"),41.07)</f>
        <v>41.07</v>
      </c>
      <c r="AI3774" s="1">
        <f ca="1">IFERROR(__xludf.DUMMYFUNCTION("IFERROR(GOOGLEFINANCE(B3774,""eps""),0)"),-5.63)</f>
        <v>-5.63</v>
      </c>
      <c r="AJ3774" s="1"/>
      <c r="AK3774" s="1" t="s">
        <v>11515</v>
      </c>
      <c r="AL3774" s="9">
        <f t="shared" si="356"/>
        <v>1</v>
      </c>
    </row>
    <row r="3775" spans="1:38" ht="15" x14ac:dyDescent="0.25">
      <c r="A3775" s="1" t="s">
        <v>11516</v>
      </c>
      <c r="B3775" s="1" t="s">
        <v>11517</v>
      </c>
      <c r="C3775" s="1" t="s">
        <v>135</v>
      </c>
      <c r="D3775" s="1" t="s">
        <v>135</v>
      </c>
      <c r="E3775" s="6">
        <v>1993.59</v>
      </c>
      <c r="F3775" s="1" t="s">
        <v>40</v>
      </c>
      <c r="G3775" s="6">
        <f ca="1">IFERROR(__xludf.DUMMYFUNCTION("iferror(GOOGLEFINANCE(TRIM(F3775)&amp;"":"" &amp; TRIM(B3775), ""price""),0
)"),1130)</f>
        <v>1130</v>
      </c>
      <c r="H3775" s="6">
        <v>872.15</v>
      </c>
      <c r="I3775" s="6">
        <f t="shared" ca="1" si="0"/>
        <v>1130</v>
      </c>
      <c r="J3775" s="6">
        <f ca="1">IFERROR(__xludf.DUMMYFUNCTION("IFERROR(GOOGLEFINANCE(B3775, ""volume""), 0)"),123108)</f>
        <v>123108</v>
      </c>
      <c r="K3775" s="6">
        <v>2.2799999999999998</v>
      </c>
      <c r="L3775" s="6">
        <f ca="1">IFERROR(__xludf.DUMMYFUNCTION("IFERROR(GOOGLEFINANCE(B3775,""changepct""),K3775)"),3.65)</f>
        <v>3.65</v>
      </c>
      <c r="M3775" s="6">
        <f ca="1">IFERROR(__xludf.DUMMYFUNCTION("IFERROR(GOOGLEFINANCE(B3775,""change""),0)"),39.8)</f>
        <v>39.799999999999997</v>
      </c>
      <c r="N3775" s="6">
        <v>2</v>
      </c>
      <c r="O3775" s="7">
        <v>45536</v>
      </c>
      <c r="P3775" s="6">
        <v>15.23</v>
      </c>
      <c r="Q3775" s="6">
        <v>1993.95</v>
      </c>
      <c r="R3775" s="7">
        <v>45536</v>
      </c>
      <c r="S3775" s="6">
        <v>371.43</v>
      </c>
      <c r="T3775" s="6">
        <v>17.61</v>
      </c>
      <c r="U3775" s="7">
        <v>45536</v>
      </c>
      <c r="V3775" s="6">
        <v>113.18</v>
      </c>
      <c r="W3775" s="6">
        <f ca="1">IFERROR(__xludf.DUMMYFUNCTION("IFERROR(GOOGLEFINANCE(B3775,""pe""),V3775)"),80.64)</f>
        <v>80.64</v>
      </c>
      <c r="X3775" s="12"/>
      <c r="Y3775" s="6">
        <v>2.7</v>
      </c>
      <c r="Z3775" s="6">
        <v>2</v>
      </c>
      <c r="AA3775" s="8">
        <v>45352</v>
      </c>
      <c r="AB3775" s="4">
        <v>0.02</v>
      </c>
      <c r="AC3775" s="6">
        <v>4.8499999999999996</v>
      </c>
      <c r="AD3775" s="6">
        <v>7</v>
      </c>
      <c r="AE3775" s="1">
        <v>0</v>
      </c>
      <c r="AF3775" s="1">
        <f ca="1">IFERROR(__xludf.DUMMYFUNCTION("IFERROR(GOOGLEFINANCE(TRIM(F3775)&amp;"":"" &amp; TRIM(B3775),""high52""),AE3775)"),1610)</f>
        <v>1610</v>
      </c>
      <c r="AG3775" s="1">
        <v>0</v>
      </c>
      <c r="AH3775" s="1">
        <f ca="1">IFERROR(__xludf.DUMMYFUNCTION("IFERROR(GOOGLEFINANCE(TRIM(F3775)&amp;"":"" &amp; TRIM(B3775),""low52""),AE3775)"),621)</f>
        <v>621</v>
      </c>
      <c r="AI3775" s="1">
        <f ca="1">IFERROR(__xludf.DUMMYFUNCTION("IFERROR(GOOGLEFINANCE(B3775,""eps""),0)"),14.01)</f>
        <v>14.01</v>
      </c>
      <c r="AJ3775" s="1"/>
      <c r="AK3775" s="1" t="s">
        <v>11518</v>
      </c>
      <c r="AL3775" s="9">
        <f t="shared" si="356"/>
        <v>1</v>
      </c>
    </row>
    <row r="3776" spans="1:38" ht="15" x14ac:dyDescent="0.25">
      <c r="A3776" s="1" t="s">
        <v>11519</v>
      </c>
      <c r="B3776" s="1" t="s">
        <v>11520</v>
      </c>
      <c r="C3776" s="1" t="s">
        <v>324</v>
      </c>
      <c r="D3776" s="1" t="s">
        <v>324</v>
      </c>
      <c r="E3776" s="6">
        <v>334.84</v>
      </c>
      <c r="F3776" s="1" t="s">
        <v>40</v>
      </c>
      <c r="G3776" s="6">
        <f ca="1">IFERROR(__xludf.DUMMYFUNCTION("iferror(GOOGLEFINANCE(TRIM(F3776)&amp;"":"" &amp; TRIM(B3776), ""price""),0
)"),0)</f>
        <v>0</v>
      </c>
      <c r="H3776" s="6">
        <v>191</v>
      </c>
      <c r="I3776" s="6">
        <f t="shared" ca="1" si="0"/>
        <v>191</v>
      </c>
      <c r="J3776" s="6">
        <f ca="1">IFERROR(__xludf.DUMMYFUNCTION("IFERROR(GOOGLEFINANCE(B3776, ""volume""), 0)"),1)</f>
        <v>1</v>
      </c>
      <c r="K3776" s="6">
        <v>3.58</v>
      </c>
      <c r="L3776" s="6">
        <f ca="1">IFERROR(__xludf.DUMMYFUNCTION("IFERROR(GOOGLEFINANCE(B3776,""changepct""),K3776)"),8.94)</f>
        <v>8.94</v>
      </c>
      <c r="M3776" s="6">
        <f ca="1">IFERROR(__xludf.DUMMYFUNCTION("IFERROR(GOOGLEFINANCE(B3776,""change""),0)"),0.44)</f>
        <v>0.44</v>
      </c>
      <c r="N3776" s="6">
        <v>1</v>
      </c>
      <c r="O3776" s="7">
        <v>45536</v>
      </c>
      <c r="P3776" s="6">
        <v>42.12</v>
      </c>
      <c r="Q3776" s="6">
        <v>376.96</v>
      </c>
      <c r="R3776" s="7">
        <v>45352</v>
      </c>
      <c r="S3776" s="6">
        <v>158.22999999999999</v>
      </c>
      <c r="T3776" s="6">
        <v>10.1</v>
      </c>
      <c r="U3776" s="7">
        <v>45352</v>
      </c>
      <c r="V3776" s="6">
        <v>33.15</v>
      </c>
      <c r="W3776" s="6">
        <f ca="1">IFERROR(__xludf.DUMMYFUNCTION("IFERROR(GOOGLEFINANCE(B3776,""pe""),V3776)"),33.15)</f>
        <v>33.15</v>
      </c>
      <c r="X3776" s="12"/>
      <c r="Y3776" s="6">
        <v>3.82</v>
      </c>
      <c r="Z3776" s="6">
        <v>1</v>
      </c>
      <c r="AA3776" s="8">
        <v>45352</v>
      </c>
      <c r="AB3776" s="4">
        <v>1.07</v>
      </c>
      <c r="AC3776" s="6">
        <v>33.89</v>
      </c>
      <c r="AD3776" s="6">
        <v>24.57</v>
      </c>
      <c r="AE3776" s="1">
        <v>0</v>
      </c>
      <c r="AF3776" s="1">
        <f ca="1">IFERROR(__xludf.DUMMYFUNCTION("IFERROR(GOOGLEFINANCE(TRIM(F3776)&amp;"":"" &amp; TRIM(B3776),""high52""),AE3776)"),0)</f>
        <v>0</v>
      </c>
      <c r="AG3776" s="1">
        <v>0</v>
      </c>
      <c r="AH3776" s="1">
        <f ca="1">IFERROR(__xludf.DUMMYFUNCTION("IFERROR(GOOGLEFINANCE(TRIM(F3776)&amp;"":"" &amp; TRIM(B3776),""low52""),AE3776)"),0)</f>
        <v>0</v>
      </c>
      <c r="AI3776" s="1">
        <f ca="1">IFERROR(__xludf.DUMMYFUNCTION("IFERROR(GOOGLEFINANCE(B3776,""eps""),0)"),-0.95)</f>
        <v>-0.95</v>
      </c>
      <c r="AJ3776" s="1"/>
      <c r="AK3776" s="1" t="s">
        <v>11521</v>
      </c>
      <c r="AL3776" s="9">
        <f t="shared" si="356"/>
        <v>1</v>
      </c>
    </row>
    <row r="3777" spans="1:38" ht="15" x14ac:dyDescent="0.25">
      <c r="A3777" s="1" t="s">
        <v>11522</v>
      </c>
      <c r="B3777" s="1" t="s">
        <v>11523</v>
      </c>
      <c r="C3777" s="1" t="s">
        <v>1644</v>
      </c>
      <c r="D3777" s="1" t="s">
        <v>1644</v>
      </c>
      <c r="E3777" s="6">
        <v>19453.5</v>
      </c>
      <c r="F3777" s="1" t="s">
        <v>40</v>
      </c>
      <c r="G3777" s="6">
        <f ca="1">IFERROR(__xludf.DUMMYFUNCTION("iferror(GOOGLEFINANCE(TRIM(F3777)&amp;"":"" &amp; TRIM(B3777), ""price""),0
)"),1402.6)</f>
        <v>1402.6</v>
      </c>
      <c r="H3777" s="6">
        <v>1791.8</v>
      </c>
      <c r="I3777" s="6">
        <f t="shared" ca="1" si="0"/>
        <v>1402.6</v>
      </c>
      <c r="J3777" s="6">
        <f ca="1">IFERROR(__xludf.DUMMYFUNCTION("IFERROR(GOOGLEFINANCE(B3777, ""volume""), 0)"),291463)</f>
        <v>291463</v>
      </c>
      <c r="K3777" s="6">
        <v>-0.01</v>
      </c>
      <c r="L3777" s="6">
        <f ca="1">IFERROR(__xludf.DUMMYFUNCTION("IFERROR(GOOGLEFINANCE(B3777,""changepct""),K3777)"),1.37)</f>
        <v>1.37</v>
      </c>
      <c r="M3777" s="6">
        <f ca="1">IFERROR(__xludf.DUMMYFUNCTION("IFERROR(GOOGLEFINANCE(B3777,""change""),0)"),18.9)</f>
        <v>18.899999999999999</v>
      </c>
      <c r="N3777" s="6">
        <v>2</v>
      </c>
      <c r="O3777" s="7">
        <v>45536</v>
      </c>
      <c r="P3777" s="6">
        <v>138.11000000000001</v>
      </c>
      <c r="Q3777" s="6">
        <v>18218.79</v>
      </c>
      <c r="R3777" s="7">
        <v>45352</v>
      </c>
      <c r="S3777" s="6">
        <v>1392.82</v>
      </c>
      <c r="T3777" s="6">
        <v>200.57</v>
      </c>
      <c r="U3777" s="7">
        <v>45352</v>
      </c>
      <c r="V3777" s="6">
        <v>96.23</v>
      </c>
      <c r="W3777" s="6">
        <f ca="1">IFERROR(__xludf.DUMMYFUNCTION("IFERROR(GOOGLEFINANCE(B3777,""pe""),V3777)"),63.07)</f>
        <v>63.07</v>
      </c>
      <c r="X3777" s="12"/>
      <c r="Y3777" s="6">
        <v>18.079999999999998</v>
      </c>
      <c r="Z3777" s="6">
        <v>2</v>
      </c>
      <c r="AA3777" s="8">
        <v>45352</v>
      </c>
      <c r="AB3777" s="4">
        <v>0.25</v>
      </c>
      <c r="AC3777" s="6">
        <v>46.24</v>
      </c>
      <c r="AD3777" s="6">
        <v>47.93</v>
      </c>
      <c r="AE3777" s="1">
        <v>0</v>
      </c>
      <c r="AF3777" s="1">
        <f ca="1">IFERROR(__xludf.DUMMYFUNCTION("IFERROR(GOOGLEFINANCE(TRIM(F3777)&amp;"":"" &amp; TRIM(B3777),""high52""),AE3777)"),1764.8)</f>
        <v>1764.8</v>
      </c>
      <c r="AG3777" s="1">
        <v>0</v>
      </c>
      <c r="AH3777" s="1">
        <f ca="1">IFERROR(__xludf.DUMMYFUNCTION("IFERROR(GOOGLEFINANCE(TRIM(F3777)&amp;"":"" &amp; TRIM(B3777),""low52""),AE3777)"),996)</f>
        <v>996</v>
      </c>
      <c r="AI3777" s="1">
        <f ca="1">IFERROR(__xludf.DUMMYFUNCTION("IFERROR(GOOGLEFINANCE(B3777,""eps""),0)"),22.24)</f>
        <v>22.24</v>
      </c>
      <c r="AJ3777" s="1"/>
      <c r="AK3777" s="1" t="s">
        <v>11524</v>
      </c>
      <c r="AL3777" s="9">
        <f t="shared" si="356"/>
        <v>1</v>
      </c>
    </row>
    <row r="3778" spans="1:38" ht="15" x14ac:dyDescent="0.25">
      <c r="A3778" s="1" t="s">
        <v>11525</v>
      </c>
      <c r="B3778" s="1" t="s">
        <v>11526</v>
      </c>
      <c r="C3778" s="1" t="s">
        <v>1118</v>
      </c>
      <c r="D3778" s="1" t="s">
        <v>1118</v>
      </c>
      <c r="E3778" s="6">
        <v>48.45</v>
      </c>
      <c r="F3778" s="1" t="s">
        <v>53</v>
      </c>
      <c r="G3778" s="6">
        <f ca="1">IFERROR(__xludf.DUMMYFUNCTION("iferror(GOOGLEFINANCE(TRIM(F3778)&amp;"":"" &amp; TRIM(B3778), ""price""),0
)"),0)</f>
        <v>0</v>
      </c>
      <c r="H3778" s="6">
        <v>1425</v>
      </c>
      <c r="I3778" s="6">
        <f t="shared" ca="1" si="0"/>
        <v>1425</v>
      </c>
      <c r="J3778" s="6">
        <f ca="1">IFERROR(__xludf.DUMMYFUNCTION("IFERROR(GOOGLEFINANCE(B3778, ""volume""), 0)"),0)</f>
        <v>0</v>
      </c>
      <c r="K3778" s="9"/>
      <c r="L3778" s="6" t="str">
        <f ca="1">IFERROR(__xludf.DUMMYFUNCTION("IFERROR(GOOGLEFINANCE(B3778,""changepct""),K3778)"),"")</f>
        <v/>
      </c>
      <c r="M3778" s="6">
        <f ca="1">IFERROR(__xludf.DUMMYFUNCTION("IFERROR(GOOGLEFINANCE(B3778,""change""),0)"),0)</f>
        <v>0</v>
      </c>
      <c r="N3778" s="6">
        <v>1</v>
      </c>
      <c r="O3778" s="7">
        <v>45536</v>
      </c>
      <c r="P3778" s="6">
        <v>2.27</v>
      </c>
      <c r="Q3778" s="6">
        <v>50.72</v>
      </c>
      <c r="R3778" s="7">
        <v>45536</v>
      </c>
      <c r="S3778" s="6">
        <v>5.57</v>
      </c>
      <c r="T3778" s="6">
        <v>17.54</v>
      </c>
      <c r="U3778" s="7">
        <v>45536</v>
      </c>
      <c r="V3778" s="6">
        <v>2.76</v>
      </c>
      <c r="W3778" s="6">
        <f ca="1">IFERROR(__xludf.DUMMYFUNCTION("IFERROR(GOOGLEFINANCE(B3778,""pe""),V3778)"),2.76)</f>
        <v>2.76</v>
      </c>
      <c r="X3778" s="6">
        <v>0.27</v>
      </c>
      <c r="Y3778" s="6">
        <v>3.14</v>
      </c>
      <c r="Z3778" s="6">
        <v>1</v>
      </c>
      <c r="AA3778" s="8">
        <v>45352</v>
      </c>
      <c r="AB3778" s="4">
        <v>0.12</v>
      </c>
      <c r="AC3778" s="6">
        <v>205.81</v>
      </c>
      <c r="AD3778" s="6">
        <v>149.97</v>
      </c>
      <c r="AE3778" s="1">
        <v>0</v>
      </c>
      <c r="AF3778" s="1">
        <f ca="1">IFERROR(__xludf.DUMMYFUNCTION("IFERROR(GOOGLEFINANCE(TRIM(F3778)&amp;"":"" &amp; TRIM(B3778),""high52""),AE3778)"),0)</f>
        <v>0</v>
      </c>
      <c r="AG3778" s="1">
        <v>0</v>
      </c>
      <c r="AH3778" s="1">
        <f ca="1">IFERROR(__xludf.DUMMYFUNCTION("IFERROR(GOOGLEFINANCE(TRIM(F3778)&amp;"":"" &amp; TRIM(B3778),""low52""),AE3778)"),0)</f>
        <v>0</v>
      </c>
      <c r="AI3778" s="1">
        <f ca="1">IFERROR(__xludf.DUMMYFUNCTION("IFERROR(GOOGLEFINANCE(B3778,""eps""),0)"),0)</f>
        <v>0</v>
      </c>
      <c r="AJ3778" s="1"/>
      <c r="AK3778" s="1" t="s">
        <v>11527</v>
      </c>
      <c r="AL3778" s="9">
        <f t="shared" si="356"/>
        <v>1</v>
      </c>
    </row>
    <row r="3779" spans="1:38" ht="15" x14ac:dyDescent="0.25">
      <c r="A3779" s="1" t="s">
        <v>11528</v>
      </c>
      <c r="B3779" s="1" t="s">
        <v>11529</v>
      </c>
      <c r="C3779" s="1" t="s">
        <v>259</v>
      </c>
      <c r="D3779" s="1" t="s">
        <v>259</v>
      </c>
      <c r="E3779" s="6">
        <v>3205.5</v>
      </c>
      <c r="F3779" s="1" t="s">
        <v>40</v>
      </c>
      <c r="G3779" s="6">
        <f ca="1">IFERROR(__xludf.DUMMYFUNCTION("iferror(GOOGLEFINANCE(TRIM(F3779)&amp;"":"" &amp; TRIM(B3779), ""price""),0
)"),512.6)</f>
        <v>512.6</v>
      </c>
      <c r="H3779" s="6">
        <v>846.4</v>
      </c>
      <c r="I3779" s="6">
        <f t="shared" ca="1" si="0"/>
        <v>512.6</v>
      </c>
      <c r="J3779" s="6">
        <f ca="1">IFERROR(__xludf.DUMMYFUNCTION("IFERROR(GOOGLEFINANCE(B3779, ""volume""), 0)"),12632)</f>
        <v>12632</v>
      </c>
      <c r="K3779" s="6">
        <v>1.3</v>
      </c>
      <c r="L3779" s="6">
        <f ca="1">IFERROR(__xludf.DUMMYFUNCTION("IFERROR(GOOGLEFINANCE(B3779,""changepct""),K3779)"),-2.72)</f>
        <v>-2.72</v>
      </c>
      <c r="M3779" s="6">
        <f ca="1">IFERROR(__xludf.DUMMYFUNCTION("IFERROR(GOOGLEFINANCE(B3779,""change""),0)"),-14.35)</f>
        <v>-14.35</v>
      </c>
      <c r="N3779" s="6">
        <v>2</v>
      </c>
      <c r="O3779" s="7">
        <v>45536</v>
      </c>
      <c r="P3779" s="6">
        <v>0.93</v>
      </c>
      <c r="Q3779" s="6">
        <v>3178.87</v>
      </c>
      <c r="R3779" s="7">
        <v>45536</v>
      </c>
      <c r="S3779" s="6">
        <v>1233.49</v>
      </c>
      <c r="T3779" s="6">
        <v>111.01</v>
      </c>
      <c r="U3779" s="7">
        <v>45536</v>
      </c>
      <c r="V3779" s="6">
        <v>28.88</v>
      </c>
      <c r="W3779" s="6">
        <f ca="1">IFERROR(__xludf.DUMMYFUNCTION("IFERROR(GOOGLEFINANCE(B3779,""pe""),V3779)"),24.01)</f>
        <v>24.01</v>
      </c>
      <c r="X3779" s="9"/>
      <c r="Y3779" s="6">
        <v>4.29</v>
      </c>
      <c r="Z3779" s="6">
        <v>2</v>
      </c>
      <c r="AA3779" s="8">
        <v>45352</v>
      </c>
      <c r="AB3779" s="4">
        <v>0</v>
      </c>
      <c r="AC3779" s="6">
        <v>20.399999999999999</v>
      </c>
      <c r="AD3779" s="6">
        <v>26.9</v>
      </c>
      <c r="AE3779" s="1">
        <v>0</v>
      </c>
      <c r="AF3779" s="1">
        <f ca="1">IFERROR(__xludf.DUMMYFUNCTION("IFERROR(GOOGLEFINANCE(TRIM(F3779)&amp;"":"" &amp; TRIM(B3779),""high52""),AE3779)"),848)</f>
        <v>848</v>
      </c>
      <c r="AG3779" s="1">
        <v>0</v>
      </c>
      <c r="AH3779" s="1">
        <f ca="1">IFERROR(__xludf.DUMMYFUNCTION("IFERROR(GOOGLEFINANCE(TRIM(F3779)&amp;"":"" &amp; TRIM(B3779),""low52""),AE3779)"),478)</f>
        <v>478</v>
      </c>
      <c r="AI3779" s="1">
        <f ca="1">IFERROR(__xludf.DUMMYFUNCTION("IFERROR(GOOGLEFINANCE(B3779,""eps""),0)"),21.35)</f>
        <v>21.35</v>
      </c>
      <c r="AJ3779" s="1"/>
      <c r="AK3779" s="1" t="s">
        <v>11530</v>
      </c>
      <c r="AL3779" s="9">
        <f t="shared" si="356"/>
        <v>1</v>
      </c>
    </row>
    <row r="3780" spans="1:38" ht="15" x14ac:dyDescent="0.25">
      <c r="A3780" s="1" t="s">
        <v>11531</v>
      </c>
      <c r="B3780" s="1" t="s">
        <v>11532</v>
      </c>
      <c r="C3780" s="1" t="s">
        <v>1118</v>
      </c>
      <c r="D3780" s="1" t="s">
        <v>1118</v>
      </c>
      <c r="E3780" s="6">
        <v>280.77999999999997</v>
      </c>
      <c r="F3780" s="1" t="s">
        <v>53</v>
      </c>
      <c r="G3780" s="6">
        <f ca="1">IFERROR(__xludf.DUMMYFUNCTION("iferror(GOOGLEFINANCE(TRIM(F3780)&amp;"":"" &amp; TRIM(B3780), ""price""),0
)"),0)</f>
        <v>0</v>
      </c>
      <c r="H3780" s="6">
        <v>58.92</v>
      </c>
      <c r="I3780" s="6">
        <f t="shared" ca="1" si="0"/>
        <v>58.92</v>
      </c>
      <c r="J3780" s="6">
        <f ca="1">IFERROR(__xludf.DUMMYFUNCTION("IFERROR(GOOGLEFINANCE(B3780, ""volume""), 0)"),0)</f>
        <v>0</v>
      </c>
      <c r="K3780" s="9"/>
      <c r="L3780" s="6" t="str">
        <f ca="1">IFERROR(__xludf.DUMMYFUNCTION("IFERROR(GOOGLEFINANCE(B3780,""changepct""),K3780)"),"")</f>
        <v/>
      </c>
      <c r="M3780" s="6">
        <f ca="1">IFERROR(__xludf.DUMMYFUNCTION("IFERROR(GOOGLEFINANCE(B3780,""change""),0)"),0)</f>
        <v>0</v>
      </c>
      <c r="N3780" s="6">
        <v>2</v>
      </c>
      <c r="O3780" s="7">
        <v>45536</v>
      </c>
      <c r="P3780" s="6">
        <v>240.58</v>
      </c>
      <c r="Q3780" s="6">
        <v>520.26</v>
      </c>
      <c r="R3780" s="7">
        <v>45536</v>
      </c>
      <c r="S3780" s="6">
        <v>661.56</v>
      </c>
      <c r="T3780" s="6">
        <v>-12.36</v>
      </c>
      <c r="U3780" s="7">
        <v>45536</v>
      </c>
      <c r="V3780" s="6">
        <v>0</v>
      </c>
      <c r="W3780" s="6">
        <f ca="1">IFERROR(__xludf.DUMMYFUNCTION("IFERROR(GOOGLEFINANCE(B3780,""pe""),V3780)"),0)</f>
        <v>0</v>
      </c>
      <c r="X3780" s="6">
        <v>0</v>
      </c>
      <c r="Y3780" s="6">
        <v>-3.49</v>
      </c>
      <c r="Z3780" s="6">
        <v>2</v>
      </c>
      <c r="AA3780" s="8">
        <v>45352</v>
      </c>
      <c r="AB3780" s="4">
        <v>-6.14</v>
      </c>
      <c r="AC3780" s="6">
        <v>0</v>
      </c>
      <c r="AD3780" s="6">
        <v>16.97</v>
      </c>
      <c r="AE3780" s="1">
        <v>0</v>
      </c>
      <c r="AF3780" s="1">
        <f ca="1">IFERROR(__xludf.DUMMYFUNCTION("IFERROR(GOOGLEFINANCE(TRIM(F3780)&amp;"":"" &amp; TRIM(B3780),""high52""),AE3780)"),0)</f>
        <v>0</v>
      </c>
      <c r="AG3780" s="1">
        <v>0</v>
      </c>
      <c r="AH3780" s="1">
        <f ca="1">IFERROR(__xludf.DUMMYFUNCTION("IFERROR(GOOGLEFINANCE(TRIM(F3780)&amp;"":"" &amp; TRIM(B3780),""low52""),AE3780)"),0)</f>
        <v>0</v>
      </c>
      <c r="AI3780" s="1">
        <f ca="1">IFERROR(__xludf.DUMMYFUNCTION("IFERROR(GOOGLEFINANCE(B3780,""eps""),0)"),0)</f>
        <v>0</v>
      </c>
      <c r="AJ3780" s="1"/>
      <c r="AK3780" s="1" t="s">
        <v>11533</v>
      </c>
      <c r="AL3780" s="9">
        <f t="shared" si="356"/>
        <v>1</v>
      </c>
    </row>
    <row r="3781" spans="1:38" ht="15" x14ac:dyDescent="0.25">
      <c r="A3781" s="1" t="s">
        <v>11534</v>
      </c>
      <c r="B3781" s="1" t="s">
        <v>11535</v>
      </c>
      <c r="C3781" s="1" t="s">
        <v>1118</v>
      </c>
      <c r="D3781" s="1" t="s">
        <v>1118</v>
      </c>
      <c r="E3781" s="6">
        <v>12.69</v>
      </c>
      <c r="F3781" s="1" t="s">
        <v>53</v>
      </c>
      <c r="G3781" s="6">
        <f ca="1">IFERROR(__xludf.DUMMYFUNCTION("iferror(GOOGLEFINANCE(TRIM(F3781)&amp;"":"" &amp; TRIM(B3781), ""price""),0
)"),0)</f>
        <v>0</v>
      </c>
      <c r="H3781" s="6">
        <v>6.9</v>
      </c>
      <c r="I3781" s="6">
        <f t="shared" ca="1" si="0"/>
        <v>6.9</v>
      </c>
      <c r="J3781" s="6">
        <f ca="1">IFERROR(__xludf.DUMMYFUNCTION("IFERROR(GOOGLEFINANCE(B3781, ""volume""), 0)"),0)</f>
        <v>0</v>
      </c>
      <c r="K3781" s="6">
        <v>0.57999999999999996</v>
      </c>
      <c r="L3781" s="6">
        <f ca="1">IFERROR(__xludf.DUMMYFUNCTION("IFERROR(GOOGLEFINANCE(B3781,""changepct""),K3781)"),0.58)</f>
        <v>0.57999999999999996</v>
      </c>
      <c r="M3781" s="6">
        <f ca="1">IFERROR(__xludf.DUMMYFUNCTION("IFERROR(GOOGLEFINANCE(B3781,""change""),0)"),0)</f>
        <v>0</v>
      </c>
      <c r="N3781" s="6">
        <v>1</v>
      </c>
      <c r="O3781" s="7">
        <v>45536</v>
      </c>
      <c r="P3781" s="6">
        <v>55.84</v>
      </c>
      <c r="Q3781" s="6">
        <v>68.53</v>
      </c>
      <c r="R3781" s="7">
        <v>45536</v>
      </c>
      <c r="S3781" s="6">
        <v>0</v>
      </c>
      <c r="T3781" s="6">
        <v>-0.25</v>
      </c>
      <c r="U3781" s="7">
        <v>45536</v>
      </c>
      <c r="V3781" s="6">
        <v>0</v>
      </c>
      <c r="W3781" s="6">
        <f ca="1">IFERROR(__xludf.DUMMYFUNCTION("IFERROR(GOOGLEFINANCE(B3781,""pe""),V3781)"),0)</f>
        <v>0</v>
      </c>
      <c r="X3781" s="6">
        <v>0</v>
      </c>
      <c r="Y3781" s="6">
        <v>0.08</v>
      </c>
      <c r="Z3781" s="6">
        <v>1</v>
      </c>
      <c r="AA3781" s="8">
        <v>45352</v>
      </c>
      <c r="AB3781" s="4">
        <v>0.36</v>
      </c>
      <c r="AC3781" s="6">
        <v>-0.17</v>
      </c>
      <c r="AD3781" s="6">
        <v>-0.12</v>
      </c>
      <c r="AE3781" s="1">
        <v>0</v>
      </c>
      <c r="AF3781" s="1">
        <f ca="1">IFERROR(__xludf.DUMMYFUNCTION("IFERROR(GOOGLEFINANCE(TRIM(F3781)&amp;"":"" &amp; TRIM(B3781),""high52""),AE3781)"),0)</f>
        <v>0</v>
      </c>
      <c r="AG3781" s="1">
        <v>0</v>
      </c>
      <c r="AH3781" s="1">
        <f ca="1">IFERROR(__xludf.DUMMYFUNCTION("IFERROR(GOOGLEFINANCE(TRIM(F3781)&amp;"":"" &amp; TRIM(B3781),""low52""),AE3781)"),0)</f>
        <v>0</v>
      </c>
      <c r="AI3781" s="1">
        <f ca="1">IFERROR(__xludf.DUMMYFUNCTION("IFERROR(GOOGLEFINANCE(B3781,""eps""),0)"),0)</f>
        <v>0</v>
      </c>
      <c r="AJ3781" s="1"/>
      <c r="AK3781" s="1" t="s">
        <v>11536</v>
      </c>
      <c r="AL3781" s="9">
        <f t="shared" si="356"/>
        <v>1</v>
      </c>
    </row>
    <row r="3782" spans="1:38" ht="15" x14ac:dyDescent="0.25">
      <c r="A3782" s="1" t="s">
        <v>11537</v>
      </c>
      <c r="B3782" s="1" t="s">
        <v>11538</v>
      </c>
      <c r="C3782" s="1" t="s">
        <v>208</v>
      </c>
      <c r="D3782" s="1" t="s">
        <v>208</v>
      </c>
      <c r="E3782" s="6">
        <v>23.03</v>
      </c>
      <c r="F3782" s="1" t="s">
        <v>40</v>
      </c>
      <c r="G3782" s="6">
        <f ca="1">IFERROR(__xludf.DUMMYFUNCTION("iferror(GOOGLEFINANCE(TRIM(F3782)&amp;"":"" &amp; TRIM(B3782), ""price""),0
)"),17.86)</f>
        <v>17.86</v>
      </c>
      <c r="H3782" s="6">
        <v>17.45</v>
      </c>
      <c r="I3782" s="6">
        <f t="shared" ca="1" si="0"/>
        <v>17.86</v>
      </c>
      <c r="J3782" s="6">
        <f ca="1">IFERROR(__xludf.DUMMYFUNCTION("IFERROR(GOOGLEFINANCE(B3782, ""volume""), 0)"),13807)</f>
        <v>13807</v>
      </c>
      <c r="K3782" s="6">
        <v>-2.02</v>
      </c>
      <c r="L3782" s="6">
        <f ca="1">IFERROR(__xludf.DUMMYFUNCTION("IFERROR(GOOGLEFINANCE(B3782,""changepct""),K3782)"),-5)</f>
        <v>-5</v>
      </c>
      <c r="M3782" s="6">
        <f ca="1">IFERROR(__xludf.DUMMYFUNCTION("IFERROR(GOOGLEFINANCE(B3782,""change""),0)"),-0.94)</f>
        <v>-0.94</v>
      </c>
      <c r="N3782" s="6">
        <v>1</v>
      </c>
      <c r="O3782" s="7">
        <v>45536</v>
      </c>
      <c r="P3782" s="6">
        <v>-0.92</v>
      </c>
      <c r="Q3782" s="7">
        <v>45536</v>
      </c>
      <c r="R3782" s="6">
        <v>0</v>
      </c>
      <c r="S3782" s="9"/>
      <c r="T3782" s="6">
        <v>-0.35</v>
      </c>
      <c r="U3782" s="6">
        <v>1</v>
      </c>
      <c r="V3782" s="7">
        <v>45352</v>
      </c>
      <c r="W3782" s="6">
        <f ca="1">IFERROR(__xludf.DUMMYFUNCTION("IFERROR(GOOGLEFINANCE(B3782,""pe""),V3782)"),6.63)</f>
        <v>6.63</v>
      </c>
      <c r="X3782" s="6">
        <v>-0.12</v>
      </c>
      <c r="Y3782" s="6">
        <v>0</v>
      </c>
      <c r="Z3782" s="6">
        <v>0</v>
      </c>
      <c r="AA3782" s="3" t="s">
        <v>11539</v>
      </c>
      <c r="AB3782" s="3"/>
      <c r="AC3782" s="9"/>
      <c r="AD3782" s="9"/>
      <c r="AE3782" s="1">
        <v>0</v>
      </c>
      <c r="AF3782" s="1">
        <f ca="1">IFERROR(__xludf.DUMMYFUNCTION("IFERROR(GOOGLEFINANCE(TRIM(F3782)&amp;"":"" &amp; TRIM(B3782),""high52""),AE3782)"),38.46)</f>
        <v>38.46</v>
      </c>
      <c r="AG3782" s="1">
        <v>0</v>
      </c>
      <c r="AH3782" s="1">
        <f ca="1">IFERROR(__xludf.DUMMYFUNCTION("IFERROR(GOOGLEFINANCE(TRIM(F3782)&amp;"":"" &amp; TRIM(B3782),""low52""),AE3782)"),10)</f>
        <v>10</v>
      </c>
      <c r="AI3782" s="1">
        <f ca="1">IFERROR(__xludf.DUMMYFUNCTION("IFERROR(GOOGLEFINANCE(B3782,""eps""),0)"),2.69)</f>
        <v>2.69</v>
      </c>
      <c r="AJ3782" s="1"/>
      <c r="AK3782" s="1" t="s">
        <v>11540</v>
      </c>
      <c r="AL3782" s="9">
        <f t="shared" si="356"/>
        <v>1</v>
      </c>
    </row>
    <row r="3783" spans="1:38" ht="15" x14ac:dyDescent="0.25">
      <c r="A3783" s="1" t="s">
        <v>11541</v>
      </c>
      <c r="B3783" s="1" t="s">
        <v>11542</v>
      </c>
      <c r="C3783" s="1" t="s">
        <v>483</v>
      </c>
      <c r="D3783" s="1" t="s">
        <v>483</v>
      </c>
      <c r="E3783" s="6">
        <v>2901.85</v>
      </c>
      <c r="F3783" s="1" t="s">
        <v>40</v>
      </c>
      <c r="G3783" s="6">
        <f ca="1">IFERROR(__xludf.DUMMYFUNCTION("iferror(GOOGLEFINANCE(TRIM(F3783)&amp;"":"" &amp; TRIM(B3783), ""price""),0
)"),2570)</f>
        <v>2570</v>
      </c>
      <c r="H3783" s="6">
        <v>3210</v>
      </c>
      <c r="I3783" s="6">
        <f t="shared" ca="1" si="0"/>
        <v>2570</v>
      </c>
      <c r="J3783" s="6">
        <f ca="1">IFERROR(__xludf.DUMMYFUNCTION("IFERROR(GOOGLEFINANCE(B3783, ""volume""), 0)"),2390)</f>
        <v>2390</v>
      </c>
      <c r="K3783" s="6">
        <v>0.62</v>
      </c>
      <c r="L3783" s="6">
        <f ca="1">IFERROR(__xludf.DUMMYFUNCTION("IFERROR(GOOGLEFINANCE(B3783,""changepct""),K3783)"),-1.44)</f>
        <v>-1.44</v>
      </c>
      <c r="M3783" s="6">
        <f ca="1">IFERROR(__xludf.DUMMYFUNCTION("IFERROR(GOOGLEFINANCE(B3783,""change""),0)"),-37.6)</f>
        <v>-37.6</v>
      </c>
      <c r="N3783" s="6">
        <v>2</v>
      </c>
      <c r="O3783" s="7">
        <v>45536</v>
      </c>
      <c r="P3783" s="6">
        <v>585.58000000000004</v>
      </c>
      <c r="Q3783" s="6">
        <v>3456.77</v>
      </c>
      <c r="R3783" s="7">
        <v>45536</v>
      </c>
      <c r="S3783" s="6">
        <v>1632.33</v>
      </c>
      <c r="T3783" s="6">
        <v>115.73</v>
      </c>
      <c r="U3783" s="7">
        <v>45536</v>
      </c>
      <c r="V3783" s="6">
        <v>25.12</v>
      </c>
      <c r="W3783" s="6">
        <f ca="1">IFERROR(__xludf.DUMMYFUNCTION("IFERROR(GOOGLEFINANCE(B3783,""pe""),V3783)"),18.45)</f>
        <v>18.45</v>
      </c>
      <c r="X3783" s="12"/>
      <c r="Y3783" s="6">
        <v>5.09</v>
      </c>
      <c r="Z3783" s="6">
        <v>2</v>
      </c>
      <c r="AA3783" s="8">
        <v>45352</v>
      </c>
      <c r="AB3783" s="4">
        <v>0.93</v>
      </c>
      <c r="AC3783" s="6">
        <v>20.97</v>
      </c>
      <c r="AD3783" s="6">
        <v>19.59</v>
      </c>
      <c r="AE3783" s="1">
        <v>0</v>
      </c>
      <c r="AF3783" s="1">
        <f ca="1">IFERROR(__xludf.DUMMYFUNCTION("IFERROR(GOOGLEFINANCE(TRIM(F3783)&amp;"":"" &amp; TRIM(B3783),""high52""),AE3783)"),4900)</f>
        <v>4900</v>
      </c>
      <c r="AG3783" s="1">
        <v>0</v>
      </c>
      <c r="AH3783" s="1">
        <f ca="1">IFERROR(__xludf.DUMMYFUNCTION("IFERROR(GOOGLEFINANCE(TRIM(F3783)&amp;"":"" &amp; TRIM(B3783),""low52""),AE3783)"),2550)</f>
        <v>2550</v>
      </c>
      <c r="AI3783" s="1">
        <f ca="1">IFERROR(__xludf.DUMMYFUNCTION("IFERROR(GOOGLEFINANCE(B3783,""eps""),0)"),139.33)</f>
        <v>139.33000000000001</v>
      </c>
      <c r="AJ3783" s="1"/>
      <c r="AK3783" s="1" t="s">
        <v>11543</v>
      </c>
      <c r="AL3783" s="9">
        <f t="shared" si="356"/>
        <v>1</v>
      </c>
    </row>
    <row r="3784" spans="1:38" ht="15" x14ac:dyDescent="0.25">
      <c r="A3784" s="1" t="s">
        <v>11544</v>
      </c>
      <c r="B3784" s="1" t="s">
        <v>11545</v>
      </c>
      <c r="C3784" s="1" t="s">
        <v>1118</v>
      </c>
      <c r="D3784" s="1" t="s">
        <v>1118</v>
      </c>
      <c r="E3784" s="6">
        <v>161.25</v>
      </c>
      <c r="F3784" s="1" t="s">
        <v>53</v>
      </c>
      <c r="G3784" s="6">
        <f ca="1">IFERROR(__xludf.DUMMYFUNCTION("iferror(GOOGLEFINANCE(TRIM(F3784)&amp;"":"" &amp; TRIM(B3784), ""price""),0
)"),0)</f>
        <v>0</v>
      </c>
      <c r="H3784" s="6">
        <v>305.2</v>
      </c>
      <c r="I3784" s="6">
        <f t="shared" ca="1" si="0"/>
        <v>305.2</v>
      </c>
      <c r="J3784" s="6">
        <f ca="1">IFERROR(__xludf.DUMMYFUNCTION("IFERROR(GOOGLEFINANCE(B3784, ""volume""), 0)"),0)</f>
        <v>0</v>
      </c>
      <c r="K3784" s="6">
        <v>-0.63</v>
      </c>
      <c r="L3784" s="6">
        <f ca="1">IFERROR(__xludf.DUMMYFUNCTION("IFERROR(GOOGLEFINANCE(B3784,""changepct""),K3784)"),-0.63)</f>
        <v>-0.63</v>
      </c>
      <c r="M3784" s="6">
        <f ca="1">IFERROR(__xludf.DUMMYFUNCTION("IFERROR(GOOGLEFINANCE(B3784,""change""),0)"),0)</f>
        <v>0</v>
      </c>
      <c r="N3784" s="6">
        <v>1</v>
      </c>
      <c r="O3784" s="7">
        <v>45536</v>
      </c>
      <c r="P3784" s="6">
        <v>82.69</v>
      </c>
      <c r="Q3784" s="6">
        <v>241.45</v>
      </c>
      <c r="R3784" s="7">
        <v>45536</v>
      </c>
      <c r="S3784" s="6">
        <v>405.64</v>
      </c>
      <c r="T3784" s="6">
        <v>-33.840000000000003</v>
      </c>
      <c r="U3784" s="7">
        <v>45536</v>
      </c>
      <c r="V3784" s="6">
        <v>0</v>
      </c>
      <c r="W3784" s="6">
        <f ca="1">IFERROR(__xludf.DUMMYFUNCTION("IFERROR(GOOGLEFINANCE(B3784,""pe""),V3784)"),0)</f>
        <v>0</v>
      </c>
      <c r="X3784" s="6">
        <v>0</v>
      </c>
      <c r="Y3784" s="6">
        <v>-0.78</v>
      </c>
      <c r="Z3784" s="6">
        <v>1</v>
      </c>
      <c r="AA3784" s="8">
        <v>45352</v>
      </c>
      <c r="AB3784" s="4">
        <v>-0.32</v>
      </c>
      <c r="AC3784" s="6">
        <v>0</v>
      </c>
      <c r="AD3784" s="6">
        <v>0</v>
      </c>
      <c r="AE3784" s="1">
        <v>0</v>
      </c>
      <c r="AF3784" s="1">
        <f ca="1">IFERROR(__xludf.DUMMYFUNCTION("IFERROR(GOOGLEFINANCE(TRIM(F3784)&amp;"":"" &amp; TRIM(B3784),""high52""),AE3784)"),0)</f>
        <v>0</v>
      </c>
      <c r="AG3784" s="1">
        <v>0</v>
      </c>
      <c r="AH3784" s="1">
        <f ca="1">IFERROR(__xludf.DUMMYFUNCTION("IFERROR(GOOGLEFINANCE(TRIM(F3784)&amp;"":"" &amp; TRIM(B3784),""low52""),AE3784)"),0)</f>
        <v>0</v>
      </c>
      <c r="AI3784" s="1">
        <f ca="1">IFERROR(__xludf.DUMMYFUNCTION("IFERROR(GOOGLEFINANCE(B3784,""eps""),0)"),0)</f>
        <v>0</v>
      </c>
      <c r="AJ3784" s="1"/>
      <c r="AK3784" s="1" t="s">
        <v>11546</v>
      </c>
      <c r="AL3784" s="9">
        <f t="shared" si="356"/>
        <v>1</v>
      </c>
    </row>
    <row r="3785" spans="1:38" ht="15" x14ac:dyDescent="0.25">
      <c r="A3785" s="1" t="s">
        <v>11547</v>
      </c>
      <c r="B3785" s="1" t="s">
        <v>11548</v>
      </c>
      <c r="C3785" s="1" t="s">
        <v>125</v>
      </c>
      <c r="D3785" s="1" t="s">
        <v>125</v>
      </c>
      <c r="E3785" s="6">
        <v>7047.79</v>
      </c>
      <c r="F3785" s="1" t="s">
        <v>40</v>
      </c>
      <c r="G3785" s="6">
        <f ca="1">IFERROR(__xludf.DUMMYFUNCTION("iferror(GOOGLEFINANCE(TRIM(F3785)&amp;"":"" &amp; TRIM(B3785), ""price""),0
)"),754)</f>
        <v>754</v>
      </c>
      <c r="H3785" s="6">
        <v>457.4</v>
      </c>
      <c r="I3785" s="6">
        <f t="shared" ca="1" si="0"/>
        <v>754</v>
      </c>
      <c r="J3785" s="6">
        <f ca="1">IFERROR(__xludf.DUMMYFUNCTION("IFERROR(GOOGLEFINANCE(B3785, ""volume""), 0)"),787755)</f>
        <v>787755</v>
      </c>
      <c r="K3785" s="6">
        <v>1.34</v>
      </c>
      <c r="L3785" s="6">
        <f ca="1">IFERROR(__xludf.DUMMYFUNCTION("IFERROR(GOOGLEFINANCE(B3785,""changepct""),K3785)"),1.93)</f>
        <v>1.93</v>
      </c>
      <c r="M3785" s="6">
        <f ca="1">IFERROR(__xludf.DUMMYFUNCTION("IFERROR(GOOGLEFINANCE(B3785,""change""),0)"),14.3)</f>
        <v>14.3</v>
      </c>
      <c r="N3785" s="6">
        <v>2</v>
      </c>
      <c r="O3785" s="7">
        <v>45536</v>
      </c>
      <c r="P3785" s="12"/>
      <c r="Q3785" s="6">
        <v>6814.49</v>
      </c>
      <c r="R3785" s="7">
        <v>45536</v>
      </c>
      <c r="S3785" s="6">
        <v>1086.72</v>
      </c>
      <c r="T3785" s="6">
        <v>135.54</v>
      </c>
      <c r="U3785" s="7">
        <v>45536</v>
      </c>
      <c r="V3785" s="6">
        <v>52</v>
      </c>
      <c r="W3785" s="6">
        <f ca="1">IFERROR(__xludf.DUMMYFUNCTION("IFERROR(GOOGLEFINANCE(B3785,""pe""),V3785)"),56.55)</f>
        <v>56.55</v>
      </c>
      <c r="X3785" s="6">
        <v>0.49</v>
      </c>
      <c r="Y3785" s="6">
        <v>9.1199999999999992</v>
      </c>
      <c r="Z3785" s="6">
        <v>2</v>
      </c>
      <c r="AA3785" s="8">
        <v>45352</v>
      </c>
      <c r="AB3785" s="4">
        <v>0</v>
      </c>
      <c r="AC3785" s="6">
        <v>18.079999999999998</v>
      </c>
      <c r="AD3785" s="6">
        <v>25.37</v>
      </c>
      <c r="AE3785" s="1">
        <v>0</v>
      </c>
      <c r="AF3785" s="1">
        <f ca="1">IFERROR(__xludf.DUMMYFUNCTION("IFERROR(GOOGLEFINANCE(TRIM(F3785)&amp;"":"" &amp; TRIM(B3785),""high52""),AE3785)"),849.95)</f>
        <v>849.95</v>
      </c>
      <c r="AG3785" s="1">
        <v>0</v>
      </c>
      <c r="AH3785" s="1">
        <f ca="1">IFERROR(__xludf.DUMMYFUNCTION("IFERROR(GOOGLEFINANCE(TRIM(F3785)&amp;"":"" &amp; TRIM(B3785),""low52""),AE3785)"),293)</f>
        <v>293</v>
      </c>
      <c r="AI3785" s="1">
        <f ca="1">IFERROR(__xludf.DUMMYFUNCTION("IFERROR(GOOGLEFINANCE(B3785,""eps""),0)"),13.33)</f>
        <v>13.33</v>
      </c>
      <c r="AJ3785" s="1"/>
      <c r="AK3785" s="1" t="s">
        <v>11549</v>
      </c>
      <c r="AL3785" s="9">
        <f t="shared" si="356"/>
        <v>1</v>
      </c>
    </row>
    <row r="3786" spans="1:38" ht="15" x14ac:dyDescent="0.25">
      <c r="A3786" s="1" t="s">
        <v>11550</v>
      </c>
      <c r="B3786" s="1" t="s">
        <v>11551</v>
      </c>
      <c r="C3786" s="1" t="s">
        <v>159</v>
      </c>
      <c r="D3786" s="1" t="s">
        <v>159</v>
      </c>
      <c r="E3786" s="6">
        <v>5144.6099999999997</v>
      </c>
      <c r="F3786" s="1" t="s">
        <v>40</v>
      </c>
      <c r="G3786" s="6">
        <f ca="1">IFERROR(__xludf.DUMMYFUNCTION("iferror(GOOGLEFINANCE(TRIM(F3786)&amp;"":"" &amp; TRIM(B3786), ""price""),0
)"),1376.5)</f>
        <v>1376.5</v>
      </c>
      <c r="H3786" s="6">
        <v>3058.2</v>
      </c>
      <c r="I3786" s="6">
        <f t="shared" ca="1" si="0"/>
        <v>1376.5</v>
      </c>
      <c r="J3786" s="6">
        <f ca="1">IFERROR(__xludf.DUMMYFUNCTION("IFERROR(GOOGLEFINANCE(B3786, ""volume""), 0)"),6351)</f>
        <v>6351</v>
      </c>
      <c r="K3786" s="6">
        <v>-0.27</v>
      </c>
      <c r="L3786" s="6">
        <f ca="1">IFERROR(__xludf.DUMMYFUNCTION("IFERROR(GOOGLEFINANCE(B3786,""changepct""),K3786)"),-1.02)</f>
        <v>-1.02</v>
      </c>
      <c r="M3786" s="6">
        <f ca="1">IFERROR(__xludf.DUMMYFUNCTION("IFERROR(GOOGLEFINANCE(B3786,""change""),0)"),-14.2)</f>
        <v>-14.2</v>
      </c>
      <c r="N3786" s="6">
        <v>2</v>
      </c>
      <c r="O3786" s="7">
        <v>45536</v>
      </c>
      <c r="P3786" s="6">
        <v>48.06</v>
      </c>
      <c r="Q3786" s="6">
        <v>4722.55</v>
      </c>
      <c r="R3786" s="7">
        <v>45536</v>
      </c>
      <c r="S3786" s="6">
        <v>10254.01</v>
      </c>
      <c r="T3786" s="6">
        <v>103.47</v>
      </c>
      <c r="U3786" s="7">
        <v>45536</v>
      </c>
      <c r="V3786" s="6">
        <v>49.54</v>
      </c>
      <c r="W3786" s="6">
        <f ca="1">IFERROR(__xludf.DUMMYFUNCTION("IFERROR(GOOGLEFINANCE(B3786,""pe""),V3786)"),19.65)</f>
        <v>19.649999999999999</v>
      </c>
      <c r="X3786" s="6">
        <v>23.59</v>
      </c>
      <c r="Y3786" s="6">
        <v>6.09</v>
      </c>
      <c r="Z3786" s="6">
        <v>2</v>
      </c>
      <c r="AA3786" s="8">
        <v>45352</v>
      </c>
      <c r="AB3786" s="4">
        <v>0.04</v>
      </c>
      <c r="AC3786" s="6">
        <v>14.09</v>
      </c>
      <c r="AD3786" s="6">
        <v>15.46</v>
      </c>
      <c r="AE3786" s="1">
        <v>0</v>
      </c>
      <c r="AF3786" s="1">
        <f ca="1">IFERROR(__xludf.DUMMYFUNCTION("IFERROR(GOOGLEFINANCE(TRIM(F3786)&amp;"":"" &amp; TRIM(B3786),""high52""),AE3786)"),2539.95)</f>
        <v>2539.9499999999998</v>
      </c>
      <c r="AG3786" s="1">
        <v>0</v>
      </c>
      <c r="AH3786" s="1">
        <f ca="1">IFERROR(__xludf.DUMMYFUNCTION("IFERROR(GOOGLEFINANCE(TRIM(F3786)&amp;"":"" &amp; TRIM(B3786),""low52""),AE3786)"),1355)</f>
        <v>1355</v>
      </c>
      <c r="AI3786" s="1">
        <f ca="1">IFERROR(__xludf.DUMMYFUNCTION("IFERROR(GOOGLEFINANCE(B3786,""eps""),0)"),70.04)</f>
        <v>70.040000000000006</v>
      </c>
      <c r="AJ3786" s="1"/>
      <c r="AK3786" s="1" t="s">
        <v>11552</v>
      </c>
      <c r="AL3786" s="9">
        <f t="shared" si="356"/>
        <v>1</v>
      </c>
    </row>
    <row r="3787" spans="1:38" ht="15" x14ac:dyDescent="0.25">
      <c r="A3787" s="1" t="s">
        <v>11553</v>
      </c>
      <c r="B3787" s="1" t="s">
        <v>11554</v>
      </c>
      <c r="C3787" s="1" t="s">
        <v>86</v>
      </c>
      <c r="D3787" s="1" t="s">
        <v>86</v>
      </c>
      <c r="E3787" s="6">
        <v>280.63</v>
      </c>
      <c r="F3787" s="1" t="s">
        <v>40</v>
      </c>
      <c r="G3787" s="6">
        <f ca="1">IFERROR(__xludf.DUMMYFUNCTION("iferror(GOOGLEFINANCE(TRIM(F3787)&amp;"":"" &amp; TRIM(B3787), ""price""),0
)"),0.61)</f>
        <v>0.61</v>
      </c>
      <c r="H3787" s="6">
        <v>2.5099999999999998</v>
      </c>
      <c r="I3787" s="6">
        <f t="shared" ca="1" si="0"/>
        <v>0.61</v>
      </c>
      <c r="J3787" s="6">
        <f ca="1">IFERROR(__xludf.DUMMYFUNCTION("IFERROR(GOOGLEFINANCE(B3787, ""volume""), 0)"),1976863)</f>
        <v>1976863</v>
      </c>
      <c r="K3787" s="6">
        <v>-1.95</v>
      </c>
      <c r="L3787" s="6">
        <f ca="1">IFERROR(__xludf.DUMMYFUNCTION("IFERROR(GOOGLEFINANCE(B3787,""changepct""),K3787)"),0)</f>
        <v>0</v>
      </c>
      <c r="M3787" s="6">
        <f ca="1">IFERROR(__xludf.DUMMYFUNCTION("IFERROR(GOOGLEFINANCE(B3787,""change""),0)"),0)</f>
        <v>0</v>
      </c>
      <c r="N3787" s="6">
        <v>1</v>
      </c>
      <c r="O3787" s="7">
        <v>45536</v>
      </c>
      <c r="P3787" s="9"/>
      <c r="Q3787" s="6">
        <v>280.63</v>
      </c>
      <c r="R3787" s="7">
        <v>45536</v>
      </c>
      <c r="S3787" s="6">
        <v>503.91</v>
      </c>
      <c r="T3787" s="6">
        <v>6.63</v>
      </c>
      <c r="U3787" s="7">
        <v>45536</v>
      </c>
      <c r="V3787" s="6">
        <v>42.33</v>
      </c>
      <c r="W3787" s="6">
        <f ca="1">IFERROR(__xludf.DUMMYFUNCTION("IFERROR(GOOGLEFINANCE(B3787,""pe""),V3787)"),8.53)</f>
        <v>8.5299999999999994</v>
      </c>
      <c r="X3787" s="6">
        <v>0.33</v>
      </c>
      <c r="Y3787" s="6">
        <v>2.0699999999999998</v>
      </c>
      <c r="Z3787" s="6">
        <v>1</v>
      </c>
      <c r="AA3787" s="8">
        <v>45352</v>
      </c>
      <c r="AB3787" s="4">
        <v>0</v>
      </c>
      <c r="AC3787" s="6">
        <v>7.91</v>
      </c>
      <c r="AD3787" s="6">
        <v>9.19</v>
      </c>
      <c r="AE3787" s="1">
        <v>0</v>
      </c>
      <c r="AF3787" s="1">
        <f ca="1">IFERROR(__xludf.DUMMYFUNCTION("IFERROR(GOOGLEFINANCE(TRIM(F3787)&amp;"":"" &amp; TRIM(B3787),""high52""),AE3787)"),1.8)</f>
        <v>1.8</v>
      </c>
      <c r="AG3787" s="1">
        <v>0</v>
      </c>
      <c r="AH3787" s="1">
        <f ca="1">IFERROR(__xludf.DUMMYFUNCTION("IFERROR(GOOGLEFINANCE(TRIM(F3787)&amp;"":"" &amp; TRIM(B3787),""low52""),AE3787)"),0.52)</f>
        <v>0.52</v>
      </c>
      <c r="AI3787" s="1">
        <f ca="1">IFERROR(__xludf.DUMMYFUNCTION("IFERROR(GOOGLEFINANCE(B3787,""eps""),0)"),0.07)</f>
        <v>7.0000000000000007E-2</v>
      </c>
      <c r="AJ3787" s="1"/>
      <c r="AK3787" s="1" t="s">
        <v>11555</v>
      </c>
      <c r="AL3787" s="9">
        <f t="shared" si="356"/>
        <v>1</v>
      </c>
    </row>
    <row r="3788" spans="1:38" ht="15" x14ac:dyDescent="0.25">
      <c r="A3788" s="1" t="s">
        <v>11556</v>
      </c>
      <c r="B3788" s="1" t="s">
        <v>11557</v>
      </c>
      <c r="C3788" s="1" t="s">
        <v>57</v>
      </c>
      <c r="D3788" s="1" t="s">
        <v>57</v>
      </c>
      <c r="E3788" s="6">
        <v>169100.15</v>
      </c>
      <c r="F3788" s="1" t="s">
        <v>40</v>
      </c>
      <c r="G3788" s="6">
        <f ca="1">IFERROR(__xludf.DUMMYFUNCTION("iferror(GOOGLEFINANCE(TRIM(F3788)&amp;"":"" &amp; TRIM(B3788), ""price""),0
)"),1723.8)</f>
        <v>1723.8</v>
      </c>
      <c r="H3788" s="6">
        <v>1695.95</v>
      </c>
      <c r="I3788" s="6">
        <f t="shared" ca="1" si="0"/>
        <v>1723.8</v>
      </c>
      <c r="J3788" s="6">
        <f ca="1">IFERROR(__xludf.DUMMYFUNCTION("IFERROR(GOOGLEFINANCE(B3788, ""volume""), 0)"),1030696)</f>
        <v>1030696</v>
      </c>
      <c r="K3788" s="6">
        <v>-1.8</v>
      </c>
      <c r="L3788" s="6">
        <f ca="1">IFERROR(__xludf.DUMMYFUNCTION("IFERROR(GOOGLEFINANCE(B3788,""changepct""),K3788)"),0.38)</f>
        <v>0.38</v>
      </c>
      <c r="M3788" s="6">
        <f ca="1">IFERROR(__xludf.DUMMYFUNCTION("IFERROR(GOOGLEFINANCE(B3788,""change""),0)"),6.5)</f>
        <v>6.5</v>
      </c>
      <c r="N3788" s="6">
        <v>2</v>
      </c>
      <c r="O3788" s="7">
        <v>45536</v>
      </c>
      <c r="P3788" s="6">
        <v>967.9</v>
      </c>
      <c r="Q3788" s="6">
        <v>165756</v>
      </c>
      <c r="R3788" s="7">
        <v>45536</v>
      </c>
      <c r="S3788" s="6">
        <v>52291.3</v>
      </c>
      <c r="T3788" s="6">
        <v>3295.8</v>
      </c>
      <c r="U3788" s="7">
        <v>45536</v>
      </c>
      <c r="V3788" s="6">
        <v>51.67</v>
      </c>
      <c r="W3788" s="6">
        <f ca="1">IFERROR(__xludf.DUMMYFUNCTION("IFERROR(GOOGLEFINANCE(B3788,""pe""),V3788)"),33.08)</f>
        <v>33.08</v>
      </c>
      <c r="X3788" s="6">
        <v>-4.57</v>
      </c>
      <c r="Y3788" s="6">
        <v>6.38</v>
      </c>
      <c r="Z3788" s="6">
        <v>2</v>
      </c>
      <c r="AA3788" s="8">
        <v>45352</v>
      </c>
      <c r="AB3788" s="4">
        <v>0.06</v>
      </c>
      <c r="AC3788" s="6">
        <v>8.89</v>
      </c>
      <c r="AD3788" s="6">
        <v>12.02</v>
      </c>
      <c r="AE3788" s="1">
        <v>0</v>
      </c>
      <c r="AF3788" s="1">
        <f ca="1">IFERROR(__xludf.DUMMYFUNCTION("IFERROR(GOOGLEFINANCE(TRIM(F3788)&amp;"":"" &amp; TRIM(B3788),""high52""),AE3788)"),1776.6)</f>
        <v>1776.6</v>
      </c>
      <c r="AG3788" s="1">
        <v>0</v>
      </c>
      <c r="AH3788" s="1">
        <f ca="1">IFERROR(__xludf.DUMMYFUNCTION("IFERROR(GOOGLEFINANCE(TRIM(F3788)&amp;"":"" &amp; TRIM(B3788),""low52""),AE3788)"),1209.4)</f>
        <v>1209.4000000000001</v>
      </c>
      <c r="AI3788" s="1">
        <f ca="1">IFERROR(__xludf.DUMMYFUNCTION("IFERROR(GOOGLEFINANCE(B3788,""eps""),0)"),52.11)</f>
        <v>52.11</v>
      </c>
      <c r="AJ3788" s="1"/>
      <c r="AK3788" s="1" t="s">
        <v>11558</v>
      </c>
      <c r="AL3788" s="9">
        <f t="shared" si="356"/>
        <v>1</v>
      </c>
    </row>
    <row r="3789" spans="1:38" ht="15" x14ac:dyDescent="0.25">
      <c r="A3789" s="1" t="s">
        <v>11559</v>
      </c>
      <c r="B3789" s="1" t="s">
        <v>11560</v>
      </c>
      <c r="C3789" s="1" t="s">
        <v>416</v>
      </c>
      <c r="D3789" s="1" t="s">
        <v>416</v>
      </c>
      <c r="E3789" s="6">
        <v>331.66</v>
      </c>
      <c r="F3789" s="1" t="s">
        <v>40</v>
      </c>
      <c r="G3789" s="6">
        <f ca="1">IFERROR(__xludf.DUMMYFUNCTION("iferror(GOOGLEFINANCE(TRIM(F3789)&amp;"":"" &amp; TRIM(B3789), ""price""),0
)"),0)</f>
        <v>0</v>
      </c>
      <c r="H3789" s="6">
        <v>204.75</v>
      </c>
      <c r="I3789" s="6">
        <f t="shared" ca="1" si="0"/>
        <v>204.75</v>
      </c>
      <c r="J3789" s="6">
        <f ca="1">IFERROR(__xludf.DUMMYFUNCTION("IFERROR(GOOGLEFINANCE(B3789, ""volume""), 0)"),0)</f>
        <v>0</v>
      </c>
      <c r="K3789" s="6">
        <v>1.99</v>
      </c>
      <c r="L3789" s="6">
        <f ca="1">IFERROR(__xludf.DUMMYFUNCTION("IFERROR(GOOGLEFINANCE(B3789,""changepct""),K3789)"),1.99)</f>
        <v>1.99</v>
      </c>
      <c r="M3789" s="6">
        <f ca="1">IFERROR(__xludf.DUMMYFUNCTION("IFERROR(GOOGLEFINANCE(B3789,""change""),0)"),0)</f>
        <v>0</v>
      </c>
      <c r="N3789" s="6">
        <v>1</v>
      </c>
      <c r="O3789" s="7">
        <v>45536</v>
      </c>
      <c r="P3789" s="6">
        <v>16.21</v>
      </c>
      <c r="Q3789" s="6">
        <v>347.87</v>
      </c>
      <c r="R3789" s="12"/>
      <c r="S3789" s="12"/>
      <c r="T3789" s="12"/>
      <c r="U3789" s="7">
        <v>45352</v>
      </c>
      <c r="V3789" s="6">
        <v>68.77</v>
      </c>
      <c r="W3789" s="6">
        <f ca="1">IFERROR(__xludf.DUMMYFUNCTION("IFERROR(GOOGLEFINANCE(B3789,""pe""),V3789)"),68.77)</f>
        <v>68.77</v>
      </c>
      <c r="X3789" s="12"/>
      <c r="Y3789" s="6">
        <v>7.68</v>
      </c>
      <c r="Z3789" s="6">
        <v>1</v>
      </c>
      <c r="AA3789" s="8">
        <v>45352</v>
      </c>
      <c r="AB3789" s="4">
        <v>0.9</v>
      </c>
      <c r="AC3789" s="6">
        <v>64.33</v>
      </c>
      <c r="AD3789" s="6">
        <v>25.9</v>
      </c>
      <c r="AE3789" s="1">
        <v>0</v>
      </c>
      <c r="AF3789" s="1">
        <f ca="1">IFERROR(__xludf.DUMMYFUNCTION("IFERROR(GOOGLEFINANCE(TRIM(F3789)&amp;"":"" &amp; TRIM(B3789),""high52""),AE3789)"),0)</f>
        <v>0</v>
      </c>
      <c r="AG3789" s="1">
        <v>0</v>
      </c>
      <c r="AH3789" s="1">
        <f ca="1">IFERROR(__xludf.DUMMYFUNCTION("IFERROR(GOOGLEFINANCE(TRIM(F3789)&amp;"":"" &amp; TRIM(B3789),""low52""),AE3789)"),0)</f>
        <v>0</v>
      </c>
      <c r="AI3789" s="1">
        <f ca="1">IFERROR(__xludf.DUMMYFUNCTION("IFERROR(GOOGLEFINANCE(B3789,""eps""),0)"),0)</f>
        <v>0</v>
      </c>
      <c r="AJ3789" s="1"/>
      <c r="AK3789" s="1" t="s">
        <v>11561</v>
      </c>
      <c r="AL3789" s="9">
        <f t="shared" si="356"/>
        <v>1</v>
      </c>
    </row>
    <row r="3790" spans="1:38" ht="15" x14ac:dyDescent="0.25">
      <c r="A3790" s="1" t="s">
        <v>11562</v>
      </c>
      <c r="B3790" s="1" t="s">
        <v>11563</v>
      </c>
      <c r="C3790" s="1" t="s">
        <v>1913</v>
      </c>
      <c r="D3790" s="1" t="s">
        <v>1913</v>
      </c>
      <c r="E3790" s="6">
        <v>116.47</v>
      </c>
      <c r="F3790" s="1" t="s">
        <v>53</v>
      </c>
      <c r="G3790" s="6">
        <f ca="1">IFERROR(__xludf.DUMMYFUNCTION("iferror(GOOGLEFINANCE(TRIM(F3790)&amp;"":"" &amp; TRIM(B3790), ""price""),0
)"),0)</f>
        <v>0</v>
      </c>
      <c r="H3790" s="6">
        <v>172.65</v>
      </c>
      <c r="I3790" s="6">
        <f t="shared" ca="1" si="0"/>
        <v>172.65</v>
      </c>
      <c r="J3790" s="6">
        <f ca="1">IFERROR(__xludf.DUMMYFUNCTION("IFERROR(GOOGLEFINANCE(B3790, ""volume""), 0)"),0)</f>
        <v>0</v>
      </c>
      <c r="K3790" s="6">
        <v>1.98</v>
      </c>
      <c r="L3790" s="6">
        <f ca="1">IFERROR(__xludf.DUMMYFUNCTION("IFERROR(GOOGLEFINANCE(B3790,""changepct""),K3790)"),1.98)</f>
        <v>1.98</v>
      </c>
      <c r="M3790" s="6">
        <f ca="1">IFERROR(__xludf.DUMMYFUNCTION("IFERROR(GOOGLEFINANCE(B3790,""change""),0)"),0)</f>
        <v>0</v>
      </c>
      <c r="N3790" s="6">
        <v>2</v>
      </c>
      <c r="O3790" s="7">
        <v>45536</v>
      </c>
      <c r="P3790" s="6">
        <v>32.56</v>
      </c>
      <c r="Q3790" s="6">
        <v>149.03</v>
      </c>
      <c r="R3790" s="7">
        <v>45261</v>
      </c>
      <c r="S3790" s="6">
        <v>66.510000000000005</v>
      </c>
      <c r="T3790" s="6">
        <v>2.67</v>
      </c>
      <c r="U3790" s="7">
        <v>45352</v>
      </c>
      <c r="V3790" s="6">
        <v>23.65</v>
      </c>
      <c r="W3790" s="6">
        <f ca="1">IFERROR(__xludf.DUMMYFUNCTION("IFERROR(GOOGLEFINANCE(B3790,""pe""),V3790)"),23.65)</f>
        <v>23.65</v>
      </c>
      <c r="X3790" s="6">
        <v>0.26</v>
      </c>
      <c r="Y3790" s="6">
        <v>0.71</v>
      </c>
      <c r="Z3790" s="6">
        <v>2</v>
      </c>
      <c r="AA3790" s="8">
        <v>45352</v>
      </c>
      <c r="AB3790" s="4">
        <v>0.21</v>
      </c>
      <c r="AC3790" s="6">
        <v>2.08</v>
      </c>
      <c r="AD3790" s="6">
        <v>3</v>
      </c>
      <c r="AE3790" s="1">
        <v>0</v>
      </c>
      <c r="AF3790" s="1">
        <f ca="1">IFERROR(__xludf.DUMMYFUNCTION("IFERROR(GOOGLEFINANCE(TRIM(F3790)&amp;"":"" &amp; TRIM(B3790),""high52""),AE3790)"),0)</f>
        <v>0</v>
      </c>
      <c r="AG3790" s="1">
        <v>0</v>
      </c>
      <c r="AH3790" s="1">
        <f ca="1">IFERROR(__xludf.DUMMYFUNCTION("IFERROR(GOOGLEFINANCE(TRIM(F3790)&amp;"":"" &amp; TRIM(B3790),""low52""),AE3790)"),0)</f>
        <v>0</v>
      </c>
      <c r="AI3790" s="1">
        <f ca="1">IFERROR(__xludf.DUMMYFUNCTION("IFERROR(GOOGLEFINANCE(B3790,""eps""),0)"),0)</f>
        <v>0</v>
      </c>
      <c r="AJ3790" s="1"/>
      <c r="AK3790" s="1" t="s">
        <v>11564</v>
      </c>
      <c r="AL3790" s="9">
        <f t="shared" si="356"/>
        <v>1</v>
      </c>
    </row>
    <row r="3791" spans="1:38" ht="15" x14ac:dyDescent="0.25">
      <c r="A3791" s="1" t="s">
        <v>11565</v>
      </c>
      <c r="B3791" s="1" t="s">
        <v>11566</v>
      </c>
      <c r="C3791" s="1" t="s">
        <v>1913</v>
      </c>
      <c r="D3791" s="1" t="s">
        <v>1913</v>
      </c>
      <c r="E3791" s="6">
        <v>43.58</v>
      </c>
      <c r="F3791" s="1" t="s">
        <v>53</v>
      </c>
      <c r="G3791" s="6">
        <f ca="1">IFERROR(__xludf.DUMMYFUNCTION("iferror(GOOGLEFINANCE(TRIM(F3791)&amp;"":"" &amp; TRIM(B3791), ""price""),0
)"),0)</f>
        <v>0</v>
      </c>
      <c r="H3791" s="6">
        <v>29.05</v>
      </c>
      <c r="I3791" s="6">
        <f t="shared" ca="1" si="0"/>
        <v>29.05</v>
      </c>
      <c r="J3791" s="6">
        <f ca="1">IFERROR(__xludf.DUMMYFUNCTION("IFERROR(GOOGLEFINANCE(B3791, ""volume""), 0)"),0)</f>
        <v>0</v>
      </c>
      <c r="K3791" s="12"/>
      <c r="L3791" s="6" t="str">
        <f ca="1">IFERROR(__xludf.DUMMYFUNCTION("IFERROR(GOOGLEFINANCE(B3791,""changepct""),K3791)"),"")</f>
        <v/>
      </c>
      <c r="M3791" s="6">
        <f ca="1">IFERROR(__xludf.DUMMYFUNCTION("IFERROR(GOOGLEFINANCE(B3791,""change""),0)"),0)</f>
        <v>0</v>
      </c>
      <c r="N3791" s="6">
        <v>1</v>
      </c>
      <c r="O3791" s="7">
        <v>45536</v>
      </c>
      <c r="P3791" s="6">
        <v>10.55</v>
      </c>
      <c r="Q3791" s="6">
        <v>53.99</v>
      </c>
      <c r="R3791" s="7">
        <v>45352</v>
      </c>
      <c r="S3791" s="6">
        <v>21.32</v>
      </c>
      <c r="T3791" s="6">
        <v>-1.36</v>
      </c>
      <c r="U3791" s="7">
        <v>45352</v>
      </c>
      <c r="V3791" s="6">
        <v>0</v>
      </c>
      <c r="W3791" s="6">
        <f ca="1">IFERROR(__xludf.DUMMYFUNCTION("IFERROR(GOOGLEFINANCE(B3791,""pe""),V3791)"),0)</f>
        <v>0</v>
      </c>
      <c r="X3791" s="9"/>
      <c r="Y3791" s="6">
        <v>2.4300000000000002</v>
      </c>
      <c r="Z3791" s="6">
        <v>1</v>
      </c>
      <c r="AA3791" s="8">
        <v>45352</v>
      </c>
      <c r="AB3791" s="4">
        <v>0.57999999999999996</v>
      </c>
      <c r="AC3791" s="6">
        <v>-7.16</v>
      </c>
      <c r="AD3791" s="6">
        <v>-1.31</v>
      </c>
      <c r="AE3791" s="1">
        <v>0</v>
      </c>
      <c r="AF3791" s="1">
        <f ca="1">IFERROR(__xludf.DUMMYFUNCTION("IFERROR(GOOGLEFINANCE(TRIM(F3791)&amp;"":"" &amp; TRIM(B3791),""high52""),AE3791)"),0)</f>
        <v>0</v>
      </c>
      <c r="AG3791" s="1">
        <v>0</v>
      </c>
      <c r="AH3791" s="1">
        <f ca="1">IFERROR(__xludf.DUMMYFUNCTION("IFERROR(GOOGLEFINANCE(TRIM(F3791)&amp;"":"" &amp; TRIM(B3791),""low52""),AE3791)"),0)</f>
        <v>0</v>
      </c>
      <c r="AI3791" s="1">
        <f ca="1">IFERROR(__xludf.DUMMYFUNCTION("IFERROR(GOOGLEFINANCE(B3791,""eps""),0)"),0)</f>
        <v>0</v>
      </c>
      <c r="AJ3791" s="1"/>
      <c r="AK3791" s="1" t="s">
        <v>11567</v>
      </c>
      <c r="AL3791" s="9">
        <f t="shared" si="356"/>
        <v>1</v>
      </c>
    </row>
    <row r="3792" spans="1:38" ht="15" x14ac:dyDescent="0.25">
      <c r="A3792" s="1" t="s">
        <v>11568</v>
      </c>
      <c r="B3792" s="1" t="s">
        <v>11569</v>
      </c>
      <c r="C3792" s="1" t="s">
        <v>1913</v>
      </c>
      <c r="D3792" s="1" t="s">
        <v>1913</v>
      </c>
      <c r="E3792" s="6">
        <v>1928.42</v>
      </c>
      <c r="F3792" s="1" t="s">
        <v>53</v>
      </c>
      <c r="G3792" s="6">
        <f ca="1">IFERROR(__xludf.DUMMYFUNCTION("iferror(GOOGLEFINANCE(TRIM(F3792)&amp;"":"" &amp; TRIM(B3792), ""price""),0
)"),0)</f>
        <v>0</v>
      </c>
      <c r="H3792" s="6">
        <v>39.54</v>
      </c>
      <c r="I3792" s="6">
        <f t="shared" ca="1" si="0"/>
        <v>39.54</v>
      </c>
      <c r="J3792" s="6">
        <f ca="1">IFERROR(__xludf.DUMMYFUNCTION("IFERROR(GOOGLEFINANCE(B3792, ""volume""), 0)"),0)</f>
        <v>0</v>
      </c>
      <c r="K3792" s="6">
        <v>0.25</v>
      </c>
      <c r="L3792" s="6">
        <f ca="1">IFERROR(__xludf.DUMMYFUNCTION("IFERROR(GOOGLEFINANCE(B3792,""changepct""),K3792)"),0.25)</f>
        <v>0.25</v>
      </c>
      <c r="M3792" s="6">
        <f ca="1">IFERROR(__xludf.DUMMYFUNCTION("IFERROR(GOOGLEFINANCE(B3792,""change""),0)"),0)</f>
        <v>0</v>
      </c>
      <c r="N3792" s="6">
        <v>2</v>
      </c>
      <c r="O3792" s="7">
        <v>45536</v>
      </c>
      <c r="P3792" s="6">
        <v>119.36</v>
      </c>
      <c r="Q3792" s="6">
        <v>1996.56</v>
      </c>
      <c r="R3792" s="7">
        <v>45536</v>
      </c>
      <c r="S3792" s="6">
        <v>308.24</v>
      </c>
      <c r="T3792" s="6">
        <v>-39.51</v>
      </c>
      <c r="U3792" s="7">
        <v>45536</v>
      </c>
      <c r="V3792" s="6">
        <v>0</v>
      </c>
      <c r="W3792" s="6">
        <f ca="1">IFERROR(__xludf.DUMMYFUNCTION("IFERROR(GOOGLEFINANCE(B3792,""pe""),V3792)"),0)</f>
        <v>0</v>
      </c>
      <c r="X3792" s="9"/>
      <c r="Y3792" s="6">
        <v>5.37</v>
      </c>
      <c r="Z3792" s="6">
        <v>2</v>
      </c>
      <c r="AA3792" s="8">
        <v>45352</v>
      </c>
      <c r="AB3792" s="4">
        <v>0.34</v>
      </c>
      <c r="AC3792" s="6">
        <v>-17.57</v>
      </c>
      <c r="AD3792" s="6">
        <v>-12.27</v>
      </c>
      <c r="AE3792" s="1">
        <v>0</v>
      </c>
      <c r="AF3792" s="1">
        <f ca="1">IFERROR(__xludf.DUMMYFUNCTION("IFERROR(GOOGLEFINANCE(TRIM(F3792)&amp;"":"" &amp; TRIM(B3792),""high52""),AE3792)"),0)</f>
        <v>0</v>
      </c>
      <c r="AG3792" s="1">
        <v>0</v>
      </c>
      <c r="AH3792" s="1">
        <f ca="1">IFERROR(__xludf.DUMMYFUNCTION("IFERROR(GOOGLEFINANCE(TRIM(F3792)&amp;"":"" &amp; TRIM(B3792),""low52""),AE3792)"),0)</f>
        <v>0</v>
      </c>
      <c r="AI3792" s="1">
        <f ca="1">IFERROR(__xludf.DUMMYFUNCTION("IFERROR(GOOGLEFINANCE(B3792,""eps""),0)"),0)</f>
        <v>0</v>
      </c>
      <c r="AJ3792" s="1"/>
      <c r="AK3792" s="1" t="s">
        <v>11570</v>
      </c>
      <c r="AL3792" s="9">
        <f t="shared" si="356"/>
        <v>1</v>
      </c>
    </row>
    <row r="3793" spans="1:38" ht="15" x14ac:dyDescent="0.25">
      <c r="A3793" s="1" t="s">
        <v>11571</v>
      </c>
      <c r="B3793" s="1" t="s">
        <v>11572</v>
      </c>
      <c r="C3793" s="1" t="s">
        <v>1913</v>
      </c>
      <c r="D3793" s="1" t="s">
        <v>1913</v>
      </c>
      <c r="E3793" s="6">
        <v>170.5</v>
      </c>
      <c r="F3793" s="1" t="s">
        <v>53</v>
      </c>
      <c r="G3793" s="6">
        <f ca="1">IFERROR(__xludf.DUMMYFUNCTION("iferror(GOOGLEFINANCE(TRIM(F3793)&amp;"":"" &amp; TRIM(B3793), ""price""),0
)"),0)</f>
        <v>0</v>
      </c>
      <c r="H3793" s="6">
        <v>570.95000000000005</v>
      </c>
      <c r="I3793" s="6">
        <f t="shared" ca="1" si="0"/>
        <v>570.95000000000005</v>
      </c>
      <c r="J3793" s="6">
        <f ca="1">IFERROR(__xludf.DUMMYFUNCTION("IFERROR(GOOGLEFINANCE(B3793, ""volume""), 0)"),0)</f>
        <v>0</v>
      </c>
      <c r="K3793" s="6">
        <v>3.81</v>
      </c>
      <c r="L3793" s="6">
        <f ca="1">IFERROR(__xludf.DUMMYFUNCTION("IFERROR(GOOGLEFINANCE(B3793,""changepct""),K3793)"),3.81)</f>
        <v>3.81</v>
      </c>
      <c r="M3793" s="6">
        <f ca="1">IFERROR(__xludf.DUMMYFUNCTION("IFERROR(GOOGLEFINANCE(B3793,""change""),0)"),0)</f>
        <v>0</v>
      </c>
      <c r="N3793" s="6">
        <v>2</v>
      </c>
      <c r="O3793" s="7">
        <v>45536</v>
      </c>
      <c r="P3793" s="6">
        <v>69.97</v>
      </c>
      <c r="Q3793" s="6">
        <v>203.81</v>
      </c>
      <c r="R3793" s="7">
        <v>45536</v>
      </c>
      <c r="S3793" s="6">
        <v>281.87</v>
      </c>
      <c r="T3793" s="6">
        <v>15.19</v>
      </c>
      <c r="U3793" s="7">
        <v>45536</v>
      </c>
      <c r="V3793" s="6">
        <v>14.43</v>
      </c>
      <c r="W3793" s="6">
        <f ca="1">IFERROR(__xludf.DUMMYFUNCTION("IFERROR(GOOGLEFINANCE(B3793,""pe""),V3793)"),14.43)</f>
        <v>14.43</v>
      </c>
      <c r="X3793" s="6">
        <v>0.95</v>
      </c>
      <c r="Y3793" s="6">
        <v>1.1100000000000001</v>
      </c>
      <c r="Z3793" s="6">
        <v>2</v>
      </c>
      <c r="AA3793" s="8">
        <v>45352</v>
      </c>
      <c r="AB3793" s="4">
        <v>0.37</v>
      </c>
      <c r="AC3793" s="6">
        <v>10.58</v>
      </c>
      <c r="AD3793" s="6">
        <v>12.99</v>
      </c>
      <c r="AE3793" s="1">
        <v>0</v>
      </c>
      <c r="AF3793" s="1">
        <f ca="1">IFERROR(__xludf.DUMMYFUNCTION("IFERROR(GOOGLEFINANCE(TRIM(F3793)&amp;"":"" &amp; TRIM(B3793),""high52""),AE3793)"),0)</f>
        <v>0</v>
      </c>
      <c r="AG3793" s="1">
        <v>0</v>
      </c>
      <c r="AH3793" s="1">
        <f ca="1">IFERROR(__xludf.DUMMYFUNCTION("IFERROR(GOOGLEFINANCE(TRIM(F3793)&amp;"":"" &amp; TRIM(B3793),""low52""),AE3793)"),0)</f>
        <v>0</v>
      </c>
      <c r="AI3793" s="1">
        <f ca="1">IFERROR(__xludf.DUMMYFUNCTION("IFERROR(GOOGLEFINANCE(B3793,""eps""),0)"),0)</f>
        <v>0</v>
      </c>
      <c r="AJ3793" s="1"/>
      <c r="AK3793" s="1" t="s">
        <v>11573</v>
      </c>
      <c r="AL3793" s="9">
        <f t="shared" si="356"/>
        <v>1</v>
      </c>
    </row>
    <row r="3794" spans="1:38" ht="15" x14ac:dyDescent="0.25">
      <c r="A3794" s="1" t="s">
        <v>11574</v>
      </c>
      <c r="B3794" s="1" t="s">
        <v>11575</v>
      </c>
      <c r="C3794" s="1" t="s">
        <v>86</v>
      </c>
      <c r="D3794" s="1" t="s">
        <v>86</v>
      </c>
      <c r="E3794" s="6">
        <v>45.27</v>
      </c>
      <c r="F3794" s="1" t="s">
        <v>40</v>
      </c>
      <c r="G3794" s="6">
        <f ca="1">IFERROR(__xludf.DUMMYFUNCTION("iferror(GOOGLEFINANCE(TRIM(F3794)&amp;"":"" &amp; TRIM(B3794), ""price""),0
)"),0)</f>
        <v>0</v>
      </c>
      <c r="H3794" s="6">
        <v>31.91</v>
      </c>
      <c r="I3794" s="6">
        <f t="shared" ca="1" si="0"/>
        <v>31.91</v>
      </c>
      <c r="J3794" s="6">
        <f ca="1">IFERROR(__xludf.DUMMYFUNCTION("IFERROR(GOOGLEFINANCE(B3794, ""volume""), 0)"),0)</f>
        <v>0</v>
      </c>
      <c r="K3794" s="12"/>
      <c r="L3794" s="6" t="str">
        <f ca="1">IFERROR(__xludf.DUMMYFUNCTION("IFERROR(GOOGLEFINANCE(B3794,""changepct""),K3794)"),"")</f>
        <v/>
      </c>
      <c r="M3794" s="6">
        <f ca="1">IFERROR(__xludf.DUMMYFUNCTION("IFERROR(GOOGLEFINANCE(B3794,""change""),0)"),0)</f>
        <v>0</v>
      </c>
      <c r="N3794" s="6">
        <v>1</v>
      </c>
      <c r="O3794" s="7">
        <v>45536</v>
      </c>
      <c r="P3794" s="6">
        <v>93.68</v>
      </c>
      <c r="Q3794" s="6">
        <v>138.94999999999999</v>
      </c>
      <c r="R3794" s="7">
        <v>45536</v>
      </c>
      <c r="S3794" s="6">
        <v>0</v>
      </c>
      <c r="T3794" s="6">
        <v>-0.66</v>
      </c>
      <c r="U3794" s="7">
        <v>45536</v>
      </c>
      <c r="V3794" s="6">
        <v>0</v>
      </c>
      <c r="W3794" s="6">
        <f ca="1">IFERROR(__xludf.DUMMYFUNCTION("IFERROR(GOOGLEFINANCE(B3794,""pe""),V3794)"),0)</f>
        <v>0</v>
      </c>
      <c r="X3794" s="6">
        <v>0</v>
      </c>
      <c r="Y3794" s="6">
        <v>4.01</v>
      </c>
      <c r="Z3794" s="6">
        <v>1</v>
      </c>
      <c r="AA3794" s="8">
        <v>45352</v>
      </c>
      <c r="AB3794" s="4">
        <v>6.85</v>
      </c>
      <c r="AC3794" s="6">
        <v>-3.32</v>
      </c>
      <c r="AD3794" s="6">
        <v>-0.42</v>
      </c>
      <c r="AE3794" s="1">
        <v>0</v>
      </c>
      <c r="AF3794" s="1">
        <f ca="1">IFERROR(__xludf.DUMMYFUNCTION("IFERROR(GOOGLEFINANCE(TRIM(F3794)&amp;"":"" &amp; TRIM(B3794),""high52""),AE3794)"),0)</f>
        <v>0</v>
      </c>
      <c r="AG3794" s="1">
        <v>0</v>
      </c>
      <c r="AH3794" s="1">
        <f ca="1">IFERROR(__xludf.DUMMYFUNCTION("IFERROR(GOOGLEFINANCE(TRIM(F3794)&amp;"":"" &amp; TRIM(B3794),""low52""),AE3794)"),0)</f>
        <v>0</v>
      </c>
      <c r="AI3794" s="1">
        <f ca="1">IFERROR(__xludf.DUMMYFUNCTION("IFERROR(GOOGLEFINANCE(B3794,""eps""),0)"),0)</f>
        <v>0</v>
      </c>
      <c r="AJ3794" s="1"/>
      <c r="AK3794" s="1" t="s">
        <v>11576</v>
      </c>
      <c r="AL3794" s="9">
        <f t="shared" si="356"/>
        <v>1</v>
      </c>
    </row>
    <row r="3795" spans="1:38" ht="15" x14ac:dyDescent="0.25">
      <c r="A3795" s="1" t="s">
        <v>11577</v>
      </c>
      <c r="B3795" s="1" t="s">
        <v>11578</v>
      </c>
      <c r="C3795" s="1" t="s">
        <v>86</v>
      </c>
      <c r="D3795" s="1" t="s">
        <v>86</v>
      </c>
      <c r="E3795" s="6">
        <v>19647.07</v>
      </c>
      <c r="F3795" s="1" t="s">
        <v>40</v>
      </c>
      <c r="G3795" s="6">
        <f ca="1">IFERROR(__xludf.DUMMYFUNCTION("iferror(GOOGLEFINANCE(TRIM(F3795)&amp;"":"" &amp; TRIM(B3795), ""price""),0
)"),995.75)</f>
        <v>995.75</v>
      </c>
      <c r="H3795" s="6">
        <v>1656.1</v>
      </c>
      <c r="I3795" s="6">
        <f t="shared" ca="1" si="0"/>
        <v>995.75</v>
      </c>
      <c r="J3795" s="6">
        <f ca="1">IFERROR(__xludf.DUMMYFUNCTION("IFERROR(GOOGLEFINANCE(B3795, ""volume""), 0)"),393451)</f>
        <v>393451</v>
      </c>
      <c r="K3795" s="6">
        <v>-2.09</v>
      </c>
      <c r="L3795" s="6">
        <f ca="1">IFERROR(__xludf.DUMMYFUNCTION("IFERROR(GOOGLEFINANCE(B3795,""changepct""),K3795)"),-0.04)</f>
        <v>-0.04</v>
      </c>
      <c r="M3795" s="6">
        <f ca="1">IFERROR(__xludf.DUMMYFUNCTION("IFERROR(GOOGLEFINANCE(B3795,""change""),0)"),-0.35)</f>
        <v>-0.35</v>
      </c>
      <c r="N3795" s="6">
        <v>2</v>
      </c>
      <c r="O3795" s="7">
        <v>45536</v>
      </c>
      <c r="P3795" s="9"/>
      <c r="Q3795" s="6">
        <v>19455.84</v>
      </c>
      <c r="R3795" s="7">
        <v>45536</v>
      </c>
      <c r="S3795" s="6">
        <v>1582.95</v>
      </c>
      <c r="T3795" s="6">
        <v>316.89</v>
      </c>
      <c r="U3795" s="7">
        <v>45536</v>
      </c>
      <c r="V3795" s="6">
        <v>54.31</v>
      </c>
      <c r="W3795" s="6">
        <f ca="1">IFERROR(__xludf.DUMMYFUNCTION("IFERROR(GOOGLEFINANCE(B3795,""pe""),V3795)"),24.6)</f>
        <v>24.6</v>
      </c>
      <c r="X3795" s="6">
        <v>8.01</v>
      </c>
      <c r="Y3795" s="6">
        <v>5.61</v>
      </c>
      <c r="Z3795" s="6">
        <v>2</v>
      </c>
      <c r="AA3795" s="8">
        <v>45352</v>
      </c>
      <c r="AB3795" s="4">
        <v>0</v>
      </c>
      <c r="AC3795" s="6">
        <v>13.24</v>
      </c>
      <c r="AD3795" s="6">
        <v>16.53</v>
      </c>
      <c r="AE3795" s="1">
        <v>0</v>
      </c>
      <c r="AF3795" s="1">
        <f ca="1">IFERROR(__xludf.DUMMYFUNCTION("IFERROR(GOOGLEFINANCE(TRIM(F3795)&amp;"":"" &amp; TRIM(B3795),""high52""),AE3795)"),1654)</f>
        <v>1654</v>
      </c>
      <c r="AG3795" s="1">
        <v>0</v>
      </c>
      <c r="AH3795" s="1">
        <f ca="1">IFERROR(__xludf.DUMMYFUNCTION("IFERROR(GOOGLEFINANCE(TRIM(F3795)&amp;"":"" &amp; TRIM(B3795),""low52""),AE3795)"),785.15)</f>
        <v>785.15</v>
      </c>
      <c r="AI3795" s="1">
        <f ca="1">IFERROR(__xludf.DUMMYFUNCTION("IFERROR(GOOGLEFINANCE(B3795,""eps""),0)"),40.47)</f>
        <v>40.47</v>
      </c>
      <c r="AJ3795" s="1"/>
      <c r="AK3795" s="1" t="s">
        <v>11579</v>
      </c>
      <c r="AL3795" s="9">
        <f t="shared" si="356"/>
        <v>1</v>
      </c>
    </row>
    <row r="3796" spans="1:38" ht="15" x14ac:dyDescent="0.25">
      <c r="A3796" s="1" t="s">
        <v>11580</v>
      </c>
      <c r="B3796" s="1" t="s">
        <v>11581</v>
      </c>
      <c r="C3796" s="1" t="s">
        <v>1913</v>
      </c>
      <c r="D3796" s="1" t="s">
        <v>1913</v>
      </c>
      <c r="E3796" s="6">
        <v>56.53</v>
      </c>
      <c r="F3796" s="1" t="s">
        <v>53</v>
      </c>
      <c r="G3796" s="6">
        <f ca="1">IFERROR(__xludf.DUMMYFUNCTION("iferror(GOOGLEFINANCE(TRIM(F3796)&amp;"":"" &amp; TRIM(B3796), ""price""),0
)"),0)</f>
        <v>0</v>
      </c>
      <c r="H3796" s="6">
        <v>37.72</v>
      </c>
      <c r="I3796" s="6">
        <f t="shared" ca="1" si="0"/>
        <v>37.72</v>
      </c>
      <c r="J3796" s="6">
        <f ca="1">IFERROR(__xludf.DUMMYFUNCTION("IFERROR(GOOGLEFINANCE(B3796, ""volume""), 0)"),0)</f>
        <v>0</v>
      </c>
      <c r="K3796" s="6">
        <v>0.03</v>
      </c>
      <c r="L3796" s="6">
        <f ca="1">IFERROR(__xludf.DUMMYFUNCTION("IFERROR(GOOGLEFINANCE(B3796,""changepct""),K3796)"),0.03)</f>
        <v>0.03</v>
      </c>
      <c r="M3796" s="6">
        <f ca="1">IFERROR(__xludf.DUMMYFUNCTION("IFERROR(GOOGLEFINANCE(B3796,""change""),0)"),0)</f>
        <v>0</v>
      </c>
      <c r="N3796" s="6">
        <v>1</v>
      </c>
      <c r="O3796" s="7">
        <v>45536</v>
      </c>
      <c r="P3796" s="6">
        <v>43.03</v>
      </c>
      <c r="Q3796" s="6">
        <v>99.22</v>
      </c>
      <c r="R3796" s="7">
        <v>45536</v>
      </c>
      <c r="S3796" s="6">
        <v>68.08</v>
      </c>
      <c r="T3796" s="6">
        <v>-4.6900000000000004</v>
      </c>
      <c r="U3796" s="7">
        <v>45536</v>
      </c>
      <c r="V3796" s="6">
        <v>0</v>
      </c>
      <c r="W3796" s="6">
        <f ca="1">IFERROR(__xludf.DUMMYFUNCTION("IFERROR(GOOGLEFINANCE(B3796,""pe""),V3796)"),0)</f>
        <v>0</v>
      </c>
      <c r="X3796" s="6">
        <v>0</v>
      </c>
      <c r="Y3796" s="6">
        <v>0.92</v>
      </c>
      <c r="Z3796" s="6">
        <v>1</v>
      </c>
      <c r="AA3796" s="8">
        <v>45352</v>
      </c>
      <c r="AB3796" s="4">
        <v>0.56000000000000005</v>
      </c>
      <c r="AC3796" s="6">
        <v>0.42</v>
      </c>
      <c r="AD3796" s="6">
        <v>3.7</v>
      </c>
      <c r="AE3796" s="1">
        <v>0</v>
      </c>
      <c r="AF3796" s="1">
        <f ca="1">IFERROR(__xludf.DUMMYFUNCTION("IFERROR(GOOGLEFINANCE(TRIM(F3796)&amp;"":"" &amp; TRIM(B3796),""high52""),AE3796)"),0)</f>
        <v>0</v>
      </c>
      <c r="AG3796" s="1">
        <v>0</v>
      </c>
      <c r="AH3796" s="1">
        <f ca="1">IFERROR(__xludf.DUMMYFUNCTION("IFERROR(GOOGLEFINANCE(TRIM(F3796)&amp;"":"" &amp; TRIM(B3796),""low52""),AE3796)"),0)</f>
        <v>0</v>
      </c>
      <c r="AI3796" s="1">
        <f ca="1">IFERROR(__xludf.DUMMYFUNCTION("IFERROR(GOOGLEFINANCE(B3796,""eps""),0)"),0)</f>
        <v>0</v>
      </c>
      <c r="AJ3796" s="1"/>
      <c r="AK3796" s="9"/>
      <c r="AL3796" s="9">
        <f t="shared" si="356"/>
        <v>1</v>
      </c>
    </row>
    <row r="3797" spans="1:38" ht="15" x14ac:dyDescent="0.25">
      <c r="A3797" s="1" t="s">
        <v>11582</v>
      </c>
      <c r="B3797" s="1" t="s">
        <v>11583</v>
      </c>
      <c r="C3797" s="1" t="s">
        <v>1913</v>
      </c>
      <c r="D3797" s="1" t="s">
        <v>1913</v>
      </c>
      <c r="E3797" s="6">
        <v>614.41</v>
      </c>
      <c r="F3797" s="1" t="s">
        <v>53</v>
      </c>
      <c r="G3797" s="6">
        <f ca="1">IFERROR(__xludf.DUMMYFUNCTION("iferror(GOOGLEFINANCE(TRIM(F3797)&amp;"":"" &amp; TRIM(B3797), ""price""),0
)"),0)</f>
        <v>0</v>
      </c>
      <c r="H3797" s="6">
        <v>285.05</v>
      </c>
      <c r="I3797" s="6">
        <f t="shared" ca="1" si="0"/>
        <v>285.05</v>
      </c>
      <c r="J3797" s="6">
        <f ca="1">IFERROR(__xludf.DUMMYFUNCTION("IFERROR(GOOGLEFINANCE(B3797, ""volume""), 0)"),0)</f>
        <v>0</v>
      </c>
      <c r="K3797" s="6">
        <v>0.21</v>
      </c>
      <c r="L3797" s="6">
        <f ca="1">IFERROR(__xludf.DUMMYFUNCTION("IFERROR(GOOGLEFINANCE(B3797,""changepct""),K3797)"),0.21)</f>
        <v>0.21</v>
      </c>
      <c r="M3797" s="6">
        <f ca="1">IFERROR(__xludf.DUMMYFUNCTION("IFERROR(GOOGLEFINANCE(B3797,""change""),0)"),0)</f>
        <v>0</v>
      </c>
      <c r="N3797" s="6">
        <v>1</v>
      </c>
      <c r="O3797" s="7">
        <v>45536</v>
      </c>
      <c r="P3797" s="6">
        <v>125.95</v>
      </c>
      <c r="Q3797" s="6">
        <v>722.15</v>
      </c>
      <c r="R3797" s="7">
        <v>45536</v>
      </c>
      <c r="S3797" s="6">
        <v>930.19</v>
      </c>
      <c r="T3797" s="6">
        <v>-28.11</v>
      </c>
      <c r="U3797" s="7">
        <v>45536</v>
      </c>
      <c r="V3797" s="6">
        <v>0</v>
      </c>
      <c r="W3797" s="6">
        <f ca="1">IFERROR(__xludf.DUMMYFUNCTION("IFERROR(GOOGLEFINANCE(B3797,""pe""),V3797)"),0)</f>
        <v>0</v>
      </c>
      <c r="X3797" s="9"/>
      <c r="Y3797" s="6">
        <v>1.96</v>
      </c>
      <c r="Z3797" s="6">
        <v>1</v>
      </c>
      <c r="AA3797" s="8">
        <v>45352</v>
      </c>
      <c r="AB3797" s="4">
        <v>0.47</v>
      </c>
      <c r="AC3797" s="6">
        <v>-25.1</v>
      </c>
      <c r="AD3797" s="6">
        <v>-15.35</v>
      </c>
      <c r="AE3797" s="1">
        <v>0</v>
      </c>
      <c r="AF3797" s="1">
        <f ca="1">IFERROR(__xludf.DUMMYFUNCTION("IFERROR(GOOGLEFINANCE(TRIM(F3797)&amp;"":"" &amp; TRIM(B3797),""high52""),AE3797)"),0)</f>
        <v>0</v>
      </c>
      <c r="AG3797" s="1">
        <v>0</v>
      </c>
      <c r="AH3797" s="1">
        <f ca="1">IFERROR(__xludf.DUMMYFUNCTION("IFERROR(GOOGLEFINANCE(TRIM(F3797)&amp;"":"" &amp; TRIM(B3797),""low52""),AE3797)"),0)</f>
        <v>0</v>
      </c>
      <c r="AI3797" s="1">
        <f ca="1">IFERROR(__xludf.DUMMYFUNCTION("IFERROR(GOOGLEFINANCE(B3797,""eps""),0)"),0)</f>
        <v>0</v>
      </c>
      <c r="AJ3797" s="1"/>
      <c r="AK3797" s="1" t="s">
        <v>11584</v>
      </c>
      <c r="AL3797" s="9">
        <f t="shared" si="356"/>
        <v>1</v>
      </c>
    </row>
    <row r="3798" spans="1:38" ht="15" x14ac:dyDescent="0.25">
      <c r="A3798" s="1" t="s">
        <v>11585</v>
      </c>
      <c r="B3798" s="1" t="s">
        <v>11586</v>
      </c>
      <c r="C3798" s="1" t="s">
        <v>1913</v>
      </c>
      <c r="D3798" s="1" t="s">
        <v>1913</v>
      </c>
      <c r="E3798" s="6">
        <v>147.37</v>
      </c>
      <c r="F3798" s="1" t="s">
        <v>53</v>
      </c>
      <c r="G3798" s="6">
        <f ca="1">IFERROR(__xludf.DUMMYFUNCTION("iferror(GOOGLEFINANCE(TRIM(F3798)&amp;"":"" &amp; TRIM(B3798), ""price""),0
)"),0)</f>
        <v>0</v>
      </c>
      <c r="H3798" s="6">
        <v>399.9</v>
      </c>
      <c r="I3798" s="6">
        <f t="shared" ca="1" si="0"/>
        <v>399.9</v>
      </c>
      <c r="J3798" s="6">
        <f ca="1">IFERROR(__xludf.DUMMYFUNCTION("IFERROR(GOOGLEFINANCE(B3798, ""volume""), 0)"),0)</f>
        <v>0</v>
      </c>
      <c r="K3798" s="6">
        <v>0.4</v>
      </c>
      <c r="L3798" s="6">
        <f ca="1">IFERROR(__xludf.DUMMYFUNCTION("IFERROR(GOOGLEFINANCE(B3798,""changepct""),K3798)"),0.4)</f>
        <v>0.4</v>
      </c>
      <c r="M3798" s="6">
        <f ca="1">IFERROR(__xludf.DUMMYFUNCTION("IFERROR(GOOGLEFINANCE(B3798,""change""),0)"),0)</f>
        <v>0</v>
      </c>
      <c r="N3798" s="6">
        <v>1</v>
      </c>
      <c r="O3798" s="7">
        <v>45536</v>
      </c>
      <c r="P3798" s="12"/>
      <c r="Q3798" s="6">
        <v>147.37</v>
      </c>
      <c r="R3798" s="7">
        <v>45536</v>
      </c>
      <c r="S3798" s="6">
        <v>148.88</v>
      </c>
      <c r="T3798" s="6">
        <v>34.11</v>
      </c>
      <c r="U3798" s="7">
        <v>45536</v>
      </c>
      <c r="V3798" s="6">
        <v>4.32</v>
      </c>
      <c r="W3798" s="6">
        <f ca="1">IFERROR(__xludf.DUMMYFUNCTION("IFERROR(GOOGLEFINANCE(B3798,""pe""),V3798)"),4.32)</f>
        <v>4.32</v>
      </c>
      <c r="X3798" s="6">
        <v>-0.31</v>
      </c>
      <c r="Y3798" s="6">
        <v>1.1100000000000001</v>
      </c>
      <c r="Z3798" s="6">
        <v>1</v>
      </c>
      <c r="AA3798" s="8">
        <v>45352</v>
      </c>
      <c r="AB3798" s="4">
        <v>0</v>
      </c>
      <c r="AC3798" s="6">
        <v>1.99</v>
      </c>
      <c r="AD3798" s="6">
        <v>1.6</v>
      </c>
      <c r="AE3798" s="1">
        <v>0</v>
      </c>
      <c r="AF3798" s="1">
        <f ca="1">IFERROR(__xludf.DUMMYFUNCTION("IFERROR(GOOGLEFINANCE(TRIM(F3798)&amp;"":"" &amp; TRIM(B3798),""high52""),AE3798)"),0)</f>
        <v>0</v>
      </c>
      <c r="AG3798" s="1">
        <v>0</v>
      </c>
      <c r="AH3798" s="1">
        <f ca="1">IFERROR(__xludf.DUMMYFUNCTION("IFERROR(GOOGLEFINANCE(TRIM(F3798)&amp;"":"" &amp; TRIM(B3798),""low52""),AE3798)"),0)</f>
        <v>0</v>
      </c>
      <c r="AI3798" s="1">
        <f ca="1">IFERROR(__xludf.DUMMYFUNCTION("IFERROR(GOOGLEFINANCE(B3798,""eps""),0)"),0)</f>
        <v>0</v>
      </c>
      <c r="AJ3798" s="1"/>
      <c r="AK3798" s="1" t="s">
        <v>11587</v>
      </c>
      <c r="AL3798" s="9">
        <f t="shared" si="356"/>
        <v>1</v>
      </c>
    </row>
    <row r="3799" spans="1:38" ht="15" x14ac:dyDescent="0.25">
      <c r="A3799" s="1" t="s">
        <v>11588</v>
      </c>
      <c r="B3799" s="1" t="s">
        <v>11589</v>
      </c>
      <c r="C3799" s="1" t="s">
        <v>219</v>
      </c>
      <c r="D3799" s="1" t="s">
        <v>219</v>
      </c>
      <c r="E3799" s="6">
        <v>6479.09</v>
      </c>
      <c r="F3799" s="1" t="s">
        <v>40</v>
      </c>
      <c r="G3799" s="6">
        <f ca="1">IFERROR(__xludf.DUMMYFUNCTION("iferror(GOOGLEFINANCE(TRIM(F3799)&amp;"":"" &amp; TRIM(B3799), ""price""),0
)"),1970)</f>
        <v>1970</v>
      </c>
      <c r="H3799" s="6">
        <v>2900.3</v>
      </c>
      <c r="I3799" s="6">
        <f t="shared" ca="1" si="0"/>
        <v>1970</v>
      </c>
      <c r="J3799" s="6">
        <f ca="1">IFERROR(__xludf.DUMMYFUNCTION("IFERROR(GOOGLEFINANCE(B3799, ""volume""), 0)"),5842)</f>
        <v>5842</v>
      </c>
      <c r="K3799" s="6">
        <v>1.47</v>
      </c>
      <c r="L3799" s="6">
        <f ca="1">IFERROR(__xludf.DUMMYFUNCTION("IFERROR(GOOGLEFINANCE(B3799,""changepct""),K3799)"),0.62)</f>
        <v>0.62</v>
      </c>
      <c r="M3799" s="6">
        <f ca="1">IFERROR(__xludf.DUMMYFUNCTION("IFERROR(GOOGLEFINANCE(B3799,""change""),0)"),12.2)</f>
        <v>12.2</v>
      </c>
      <c r="N3799" s="6">
        <v>2</v>
      </c>
      <c r="O3799" s="7">
        <v>45536</v>
      </c>
      <c r="P3799" s="6">
        <v>738.07</v>
      </c>
      <c r="Q3799" s="6">
        <v>7033.74</v>
      </c>
      <c r="R3799" s="7">
        <v>45536</v>
      </c>
      <c r="S3799" s="6">
        <v>2354.19</v>
      </c>
      <c r="T3799" s="6">
        <v>274.05</v>
      </c>
      <c r="U3799" s="7">
        <v>45536</v>
      </c>
      <c r="V3799" s="6">
        <v>24.66</v>
      </c>
      <c r="W3799" s="6">
        <f ca="1">IFERROR(__xludf.DUMMYFUNCTION("IFERROR(GOOGLEFINANCE(B3799,""pe""),V3799)"),16.99)</f>
        <v>16.989999999999998</v>
      </c>
      <c r="X3799" s="6">
        <v>1.35</v>
      </c>
      <c r="Y3799" s="6">
        <v>3.89</v>
      </c>
      <c r="Z3799" s="6">
        <v>2</v>
      </c>
      <c r="AA3799" s="8">
        <v>45352</v>
      </c>
      <c r="AB3799" s="4">
        <v>0.4</v>
      </c>
      <c r="AC3799" s="6">
        <v>18.100000000000001</v>
      </c>
      <c r="AD3799" s="6">
        <v>18.63</v>
      </c>
      <c r="AE3799" s="1">
        <v>0</v>
      </c>
      <c r="AF3799" s="1">
        <f ca="1">IFERROR(__xludf.DUMMYFUNCTION("IFERROR(GOOGLEFINANCE(TRIM(F3799)&amp;"":"" &amp; TRIM(B3799),""high52""),AE3799)"),3383)</f>
        <v>3383</v>
      </c>
      <c r="AG3799" s="1">
        <v>0</v>
      </c>
      <c r="AH3799" s="1">
        <f ca="1">IFERROR(__xludf.DUMMYFUNCTION("IFERROR(GOOGLEFINANCE(TRIM(F3799)&amp;"":"" &amp; TRIM(B3799),""low52""),AE3799)"),1868.5)</f>
        <v>1868.5</v>
      </c>
      <c r="AI3799" s="1">
        <f ca="1">IFERROR(__xludf.DUMMYFUNCTION("IFERROR(GOOGLEFINANCE(B3799,""eps""),0)"),115.94)</f>
        <v>115.94</v>
      </c>
      <c r="AJ3799" s="1"/>
      <c r="AK3799" s="1" t="s">
        <v>11590</v>
      </c>
      <c r="AL3799" s="9">
        <f t="shared" si="356"/>
        <v>1</v>
      </c>
    </row>
    <row r="3800" spans="1:38" ht="15" x14ac:dyDescent="0.25">
      <c r="A3800" s="1" t="s">
        <v>11591</v>
      </c>
      <c r="B3800" s="1" t="s">
        <v>11592</v>
      </c>
      <c r="C3800" s="1" t="s">
        <v>1913</v>
      </c>
      <c r="D3800" s="1" t="s">
        <v>1913</v>
      </c>
      <c r="E3800" s="6">
        <v>45.93</v>
      </c>
      <c r="F3800" s="1" t="s">
        <v>53</v>
      </c>
      <c r="G3800" s="6">
        <f ca="1">IFERROR(__xludf.DUMMYFUNCTION("iferror(GOOGLEFINANCE(TRIM(F3800)&amp;"":"" &amp; TRIM(B3800), ""price""),0
)"),0)</f>
        <v>0</v>
      </c>
      <c r="H3800" s="6">
        <v>91.92</v>
      </c>
      <c r="I3800" s="6">
        <f t="shared" ca="1" si="0"/>
        <v>91.92</v>
      </c>
      <c r="J3800" s="6">
        <f ca="1">IFERROR(__xludf.DUMMYFUNCTION("IFERROR(GOOGLEFINANCE(B3800, ""volume""), 0)"),0)</f>
        <v>0</v>
      </c>
      <c r="K3800" s="9"/>
      <c r="L3800" s="6" t="str">
        <f ca="1">IFERROR(__xludf.DUMMYFUNCTION("IFERROR(GOOGLEFINANCE(B3800,""changepct""),K3800)"),"")</f>
        <v/>
      </c>
      <c r="M3800" s="6">
        <f ca="1">IFERROR(__xludf.DUMMYFUNCTION("IFERROR(GOOGLEFINANCE(B3800,""change""),0)"),0)</f>
        <v>0</v>
      </c>
      <c r="N3800" s="6">
        <v>2</v>
      </c>
      <c r="O3800" s="7">
        <v>45536</v>
      </c>
      <c r="P3800" s="6">
        <v>42.07</v>
      </c>
      <c r="Q3800" s="6">
        <v>87.62</v>
      </c>
      <c r="R3800" s="7">
        <v>45536</v>
      </c>
      <c r="S3800" s="6">
        <v>63.25</v>
      </c>
      <c r="T3800" s="6">
        <v>-6.92</v>
      </c>
      <c r="U3800" s="7">
        <v>45536</v>
      </c>
      <c r="V3800" s="6">
        <v>0</v>
      </c>
      <c r="W3800" s="6">
        <f ca="1">IFERROR(__xludf.DUMMYFUNCTION("IFERROR(GOOGLEFINANCE(B3800,""pe""),V3800)"),0)</f>
        <v>0</v>
      </c>
      <c r="X3800" s="9"/>
      <c r="Y3800" s="6">
        <v>0.62</v>
      </c>
      <c r="Z3800" s="6">
        <v>2</v>
      </c>
      <c r="AA3800" s="8">
        <v>45352</v>
      </c>
      <c r="AB3800" s="4">
        <v>0.56000000000000005</v>
      </c>
      <c r="AC3800" s="6">
        <v>-12.33</v>
      </c>
      <c r="AD3800" s="6">
        <v>-5.84</v>
      </c>
      <c r="AE3800" s="1">
        <v>0</v>
      </c>
      <c r="AF3800" s="1">
        <f ca="1">IFERROR(__xludf.DUMMYFUNCTION("IFERROR(GOOGLEFINANCE(TRIM(F3800)&amp;"":"" &amp; TRIM(B3800),""high52""),AE3800)"),0)</f>
        <v>0</v>
      </c>
      <c r="AG3800" s="1">
        <v>0</v>
      </c>
      <c r="AH3800" s="1">
        <f ca="1">IFERROR(__xludf.DUMMYFUNCTION("IFERROR(GOOGLEFINANCE(TRIM(F3800)&amp;"":"" &amp; TRIM(B3800),""low52""),AE3800)"),0)</f>
        <v>0</v>
      </c>
      <c r="AI3800" s="1">
        <f ca="1">IFERROR(__xludf.DUMMYFUNCTION("IFERROR(GOOGLEFINANCE(B3800,""eps""),0)"),0)</f>
        <v>0</v>
      </c>
      <c r="AJ3800" s="1"/>
      <c r="AK3800" s="9"/>
      <c r="AL3800" s="9">
        <f t="shared" si="356"/>
        <v>1</v>
      </c>
    </row>
    <row r="3801" spans="1:38" ht="15" x14ac:dyDescent="0.25">
      <c r="A3801" s="1" t="s">
        <v>11593</v>
      </c>
      <c r="B3801" s="1" t="s">
        <v>11594</v>
      </c>
      <c r="C3801" s="1" t="s">
        <v>135</v>
      </c>
      <c r="D3801" s="1" t="s">
        <v>135</v>
      </c>
      <c r="E3801" s="6">
        <v>44.03</v>
      </c>
      <c r="F3801" s="1" t="s">
        <v>40</v>
      </c>
      <c r="G3801" s="6">
        <f ca="1">IFERROR(__xludf.DUMMYFUNCTION("iferror(GOOGLEFINANCE(TRIM(F3801)&amp;"":"" &amp; TRIM(B3801), ""price""),0
)"),16.5)</f>
        <v>16.5</v>
      </c>
      <c r="H3801" s="6">
        <v>27.25</v>
      </c>
      <c r="I3801" s="6">
        <f t="shared" ca="1" si="0"/>
        <v>16.5</v>
      </c>
      <c r="J3801" s="6">
        <f ca="1">IFERROR(__xludf.DUMMYFUNCTION("IFERROR(GOOGLEFINANCE(B3801, ""volume""), 0)"),729)</f>
        <v>729</v>
      </c>
      <c r="K3801" s="6">
        <v>4.8099999999999996</v>
      </c>
      <c r="L3801" s="6">
        <f ca="1">IFERROR(__xludf.DUMMYFUNCTION("IFERROR(GOOGLEFINANCE(B3801,""changepct""),K3801)"),3.38)</f>
        <v>3.38</v>
      </c>
      <c r="M3801" s="6">
        <f ca="1">IFERROR(__xludf.DUMMYFUNCTION("IFERROR(GOOGLEFINANCE(B3801,""change""),0)"),0.54)</f>
        <v>0.54</v>
      </c>
      <c r="N3801" s="6">
        <v>1</v>
      </c>
      <c r="O3801" s="7">
        <v>45536</v>
      </c>
      <c r="P3801" s="6">
        <v>13.48</v>
      </c>
      <c r="Q3801" s="6">
        <v>57.47</v>
      </c>
      <c r="R3801" s="7">
        <v>45536</v>
      </c>
      <c r="S3801" s="6">
        <v>0</v>
      </c>
      <c r="T3801" s="6">
        <v>-0.36</v>
      </c>
      <c r="U3801" s="7">
        <v>45536</v>
      </c>
      <c r="V3801" s="6">
        <v>0</v>
      </c>
      <c r="W3801" s="6">
        <f ca="1">IFERROR(__xludf.DUMMYFUNCTION("IFERROR(GOOGLEFINANCE(B3801,""pe""),V3801)"),0)</f>
        <v>0</v>
      </c>
      <c r="X3801" s="6">
        <v>0</v>
      </c>
      <c r="Y3801" s="6">
        <v>-2.25</v>
      </c>
      <c r="Z3801" s="6">
        <v>1</v>
      </c>
      <c r="AA3801" s="8">
        <v>45352</v>
      </c>
      <c r="AB3801" s="4">
        <v>-0.68</v>
      </c>
      <c r="AC3801" s="6">
        <v>0</v>
      </c>
      <c r="AD3801" s="6">
        <v>0</v>
      </c>
      <c r="AE3801" s="1">
        <v>0</v>
      </c>
      <c r="AF3801" s="1">
        <f ca="1">IFERROR(__xludf.DUMMYFUNCTION("IFERROR(GOOGLEFINANCE(TRIM(F3801)&amp;"":"" &amp; TRIM(B3801),""high52""),AE3801)"),42.16)</f>
        <v>42.16</v>
      </c>
      <c r="AG3801" s="1">
        <v>0</v>
      </c>
      <c r="AH3801" s="1">
        <f ca="1">IFERROR(__xludf.DUMMYFUNCTION("IFERROR(GOOGLEFINANCE(TRIM(F3801)&amp;"":"" &amp; TRIM(B3801),""low52""),AE3801)"),14.66)</f>
        <v>14.66</v>
      </c>
      <c r="AI3801" s="1">
        <f ca="1">IFERROR(__xludf.DUMMYFUNCTION("IFERROR(GOOGLEFINANCE(B3801,""eps""),0)"),-0.18)</f>
        <v>-0.18</v>
      </c>
      <c r="AJ3801" s="1"/>
      <c r="AK3801" s="9"/>
      <c r="AL3801" s="9">
        <f t="shared" si="356"/>
        <v>1</v>
      </c>
    </row>
    <row r="3802" spans="1:38" ht="15" x14ac:dyDescent="0.25">
      <c r="A3802" s="1" t="s">
        <v>11595</v>
      </c>
      <c r="B3802" s="1" t="s">
        <v>11596</v>
      </c>
      <c r="C3802" s="1" t="s">
        <v>1913</v>
      </c>
      <c r="D3802" s="1" t="s">
        <v>1913</v>
      </c>
      <c r="E3802" s="6">
        <v>265.14</v>
      </c>
      <c r="F3802" s="1" t="s">
        <v>53</v>
      </c>
      <c r="G3802" s="6">
        <f ca="1">IFERROR(__xludf.DUMMYFUNCTION("iferror(GOOGLEFINANCE(TRIM(F3802)&amp;"":"" &amp; TRIM(B3802), ""price""),0
)"),0)</f>
        <v>0</v>
      </c>
      <c r="H3802" s="6">
        <v>4252</v>
      </c>
      <c r="I3802" s="6">
        <f t="shared" ca="1" si="0"/>
        <v>4252</v>
      </c>
      <c r="J3802" s="6">
        <f ca="1">IFERROR(__xludf.DUMMYFUNCTION("IFERROR(GOOGLEFINANCE(B3802, ""volume""), 0)"),0)</f>
        <v>0</v>
      </c>
      <c r="K3802" s="6">
        <v>-0.24</v>
      </c>
      <c r="L3802" s="6">
        <f ca="1">IFERROR(__xludf.DUMMYFUNCTION("IFERROR(GOOGLEFINANCE(B3802,""changepct""),K3802)"),-0.24)</f>
        <v>-0.24</v>
      </c>
      <c r="M3802" s="6">
        <f ca="1">IFERROR(__xludf.DUMMYFUNCTION("IFERROR(GOOGLEFINANCE(B3802,""change""),0)"),0)</f>
        <v>0</v>
      </c>
      <c r="N3802" s="6">
        <v>2</v>
      </c>
      <c r="O3802" s="7">
        <v>45536</v>
      </c>
      <c r="P3802" s="12"/>
      <c r="Q3802" s="6">
        <v>263.68</v>
      </c>
      <c r="R3802" s="7">
        <v>45536</v>
      </c>
      <c r="S3802" s="6">
        <v>25.13</v>
      </c>
      <c r="T3802" s="6">
        <v>4.6500000000000004</v>
      </c>
      <c r="U3802" s="7">
        <v>45536</v>
      </c>
      <c r="V3802" s="6">
        <v>9.52</v>
      </c>
      <c r="W3802" s="6">
        <f ca="1">IFERROR(__xludf.DUMMYFUNCTION("IFERROR(GOOGLEFINANCE(B3802,""pe""),V3802)"),9.52)</f>
        <v>9.52</v>
      </c>
      <c r="X3802" s="6">
        <v>0.87</v>
      </c>
      <c r="Y3802" s="6">
        <v>0.93</v>
      </c>
      <c r="Z3802" s="6">
        <v>2</v>
      </c>
      <c r="AA3802" s="13">
        <v>45352</v>
      </c>
      <c r="AB3802" s="4">
        <v>0</v>
      </c>
      <c r="AC3802" s="6">
        <v>5.83</v>
      </c>
      <c r="AD3802" s="6">
        <v>6.61</v>
      </c>
      <c r="AE3802" s="1">
        <v>0</v>
      </c>
      <c r="AF3802" s="1">
        <f ca="1">IFERROR(__xludf.DUMMYFUNCTION("IFERROR(GOOGLEFINANCE(TRIM(F3802)&amp;"":"" &amp; TRIM(B3802),""high52""),AE3802)"),0)</f>
        <v>0</v>
      </c>
      <c r="AG3802" s="1">
        <v>0</v>
      </c>
      <c r="AH3802" s="1">
        <f ca="1">IFERROR(__xludf.DUMMYFUNCTION("IFERROR(GOOGLEFINANCE(TRIM(F3802)&amp;"":"" &amp; TRIM(B3802),""low52""),AE3802)"),0)</f>
        <v>0</v>
      </c>
      <c r="AI3802" s="1">
        <f ca="1">IFERROR(__xludf.DUMMYFUNCTION("IFERROR(GOOGLEFINANCE(B3802,""eps""),0)"),0)</f>
        <v>0</v>
      </c>
      <c r="AJ3802" s="1"/>
      <c r="AK3802" s="1" t="s">
        <v>11597</v>
      </c>
      <c r="AL3802" s="9">
        <f t="shared" si="356"/>
        <v>1</v>
      </c>
    </row>
    <row r="3803" spans="1:38" ht="15" x14ac:dyDescent="0.25">
      <c r="A3803" s="1" t="s">
        <v>11598</v>
      </c>
      <c r="B3803" s="1" t="s">
        <v>11599</v>
      </c>
      <c r="C3803" s="1" t="s">
        <v>86</v>
      </c>
      <c r="D3803" s="1" t="s">
        <v>86</v>
      </c>
      <c r="E3803" s="6">
        <v>716.62</v>
      </c>
      <c r="F3803" s="1" t="s">
        <v>40</v>
      </c>
      <c r="G3803" s="6">
        <f ca="1">IFERROR(__xludf.DUMMYFUNCTION("iferror(GOOGLEFINANCE(TRIM(F3803)&amp;"":"" &amp; TRIM(B3803), ""price""),0
)"),0)</f>
        <v>0</v>
      </c>
      <c r="H3803" s="6">
        <v>608</v>
      </c>
      <c r="I3803" s="6">
        <f t="shared" ca="1" si="0"/>
        <v>608</v>
      </c>
      <c r="J3803" s="6">
        <f ca="1">IFERROR(__xludf.DUMMYFUNCTION("IFERROR(GOOGLEFINANCE(B3803, ""volume""), 0)"),95)</f>
        <v>95</v>
      </c>
      <c r="K3803" s="6">
        <v>1.81</v>
      </c>
      <c r="L3803" s="6">
        <f ca="1">IFERROR(__xludf.DUMMYFUNCTION("IFERROR(GOOGLEFINANCE(B3803,""changepct""),K3803)"),-5.39)</f>
        <v>-5.39</v>
      </c>
      <c r="M3803" s="6">
        <f ca="1">IFERROR(__xludf.DUMMYFUNCTION("IFERROR(GOOGLEFINANCE(B3803,""change""),0)"),-0.28)</f>
        <v>-0.28000000000000003</v>
      </c>
      <c r="N3803" s="6">
        <v>1</v>
      </c>
      <c r="O3803" s="7">
        <v>45536</v>
      </c>
      <c r="P3803" s="6">
        <v>16.18</v>
      </c>
      <c r="Q3803" s="6">
        <v>732.8</v>
      </c>
      <c r="R3803" s="7">
        <v>45352</v>
      </c>
      <c r="S3803" s="6">
        <v>104.92</v>
      </c>
      <c r="T3803" s="6">
        <v>11.56</v>
      </c>
      <c r="U3803" s="7">
        <v>45352</v>
      </c>
      <c r="V3803" s="6">
        <v>61.99</v>
      </c>
      <c r="W3803" s="6">
        <f ca="1">IFERROR(__xludf.DUMMYFUNCTION("IFERROR(GOOGLEFINANCE(B3803,""pe""),V3803)"),61.99)</f>
        <v>61.99</v>
      </c>
      <c r="X3803" s="12"/>
      <c r="Y3803" s="6">
        <v>11.25</v>
      </c>
      <c r="Z3803" s="6">
        <v>1</v>
      </c>
      <c r="AA3803" s="8">
        <v>45352</v>
      </c>
      <c r="AB3803" s="4">
        <v>0.7</v>
      </c>
      <c r="AC3803" s="6">
        <v>84.13</v>
      </c>
      <c r="AD3803" s="6">
        <v>75.33</v>
      </c>
      <c r="AE3803" s="1">
        <v>0</v>
      </c>
      <c r="AF3803" s="1">
        <f ca="1">IFERROR(__xludf.DUMMYFUNCTION("IFERROR(GOOGLEFINANCE(TRIM(F3803)&amp;"":"" &amp; TRIM(B3803),""high52""),AE3803)"),0)</f>
        <v>0</v>
      </c>
      <c r="AG3803" s="1">
        <v>0</v>
      </c>
      <c r="AH3803" s="1">
        <f ca="1">IFERROR(__xludf.DUMMYFUNCTION("IFERROR(GOOGLEFINANCE(TRIM(F3803)&amp;"":"" &amp; TRIM(B3803),""low52""),AE3803)"),0)</f>
        <v>0</v>
      </c>
      <c r="AI3803" s="1">
        <f ca="1">IFERROR(__xludf.DUMMYFUNCTION("IFERROR(GOOGLEFINANCE(B3803,""eps""),0)"),-149.44)</f>
        <v>-149.44</v>
      </c>
      <c r="AJ3803" s="1"/>
      <c r="AK3803" s="1" t="s">
        <v>11600</v>
      </c>
      <c r="AL3803" s="9">
        <f t="shared" si="356"/>
        <v>1</v>
      </c>
    </row>
    <row r="3804" spans="1:38" ht="15" x14ac:dyDescent="0.25">
      <c r="A3804" s="1" t="s">
        <v>11601</v>
      </c>
      <c r="B3804" s="1" t="s">
        <v>11602</v>
      </c>
      <c r="C3804" s="1" t="s">
        <v>1913</v>
      </c>
      <c r="D3804" s="1" t="s">
        <v>1913</v>
      </c>
      <c r="E3804" s="6">
        <v>24.6</v>
      </c>
      <c r="F3804" s="1" t="s">
        <v>53</v>
      </c>
      <c r="G3804" s="6">
        <f ca="1">IFERROR(__xludf.DUMMYFUNCTION("iferror(GOOGLEFINANCE(TRIM(F3804)&amp;"":"" &amp; TRIM(B3804), ""price""),0
)"),0)</f>
        <v>0</v>
      </c>
      <c r="H3804" s="6">
        <v>82.9</v>
      </c>
      <c r="I3804" s="6">
        <f t="shared" ca="1" si="0"/>
        <v>82.9</v>
      </c>
      <c r="J3804" s="6">
        <f ca="1">IFERROR(__xludf.DUMMYFUNCTION("IFERROR(GOOGLEFINANCE(B3804, ""volume""), 0)"),0)</f>
        <v>0</v>
      </c>
      <c r="K3804" s="6">
        <v>1.1000000000000001</v>
      </c>
      <c r="L3804" s="6">
        <f ca="1">IFERROR(__xludf.DUMMYFUNCTION("IFERROR(GOOGLEFINANCE(B3804,""changepct""),K3804)"),1.1)</f>
        <v>1.1000000000000001</v>
      </c>
      <c r="M3804" s="6">
        <f ca="1">IFERROR(__xludf.DUMMYFUNCTION("IFERROR(GOOGLEFINANCE(B3804,""change""),0)"),0)</f>
        <v>0</v>
      </c>
      <c r="N3804" s="6">
        <v>1</v>
      </c>
      <c r="O3804" s="7">
        <v>45536</v>
      </c>
      <c r="P3804" s="9"/>
      <c r="Q3804" s="6">
        <v>24.6</v>
      </c>
      <c r="R3804" s="7">
        <v>45536</v>
      </c>
      <c r="S3804" s="6">
        <v>37.619999999999997</v>
      </c>
      <c r="T3804" s="6">
        <v>1.61</v>
      </c>
      <c r="U3804" s="7">
        <v>45536</v>
      </c>
      <c r="V3804" s="6">
        <v>15.26</v>
      </c>
      <c r="W3804" s="6">
        <f ca="1">IFERROR(__xludf.DUMMYFUNCTION("IFERROR(GOOGLEFINANCE(B3804,""pe""),V3804)"),15.26)</f>
        <v>15.26</v>
      </c>
      <c r="X3804" s="9"/>
      <c r="Y3804" s="6">
        <v>1.33</v>
      </c>
      <c r="Z3804" s="6">
        <v>1</v>
      </c>
      <c r="AA3804" s="8">
        <v>44986</v>
      </c>
      <c r="AB3804" s="4">
        <v>0.09</v>
      </c>
      <c r="AC3804" s="6">
        <v>12.27</v>
      </c>
      <c r="AD3804" s="6">
        <v>15.92</v>
      </c>
      <c r="AE3804" s="1">
        <v>0</v>
      </c>
      <c r="AF3804" s="1">
        <f ca="1">IFERROR(__xludf.DUMMYFUNCTION("IFERROR(GOOGLEFINANCE(TRIM(F3804)&amp;"":"" &amp; TRIM(B3804),""high52""),AE3804)"),0)</f>
        <v>0</v>
      </c>
      <c r="AG3804" s="1">
        <v>0</v>
      </c>
      <c r="AH3804" s="1">
        <f ca="1">IFERROR(__xludf.DUMMYFUNCTION("IFERROR(GOOGLEFINANCE(TRIM(F3804)&amp;"":"" &amp; TRIM(B3804),""low52""),AE3804)"),0)</f>
        <v>0</v>
      </c>
      <c r="AI3804" s="1">
        <f ca="1">IFERROR(__xludf.DUMMYFUNCTION("IFERROR(GOOGLEFINANCE(B3804,""eps""),0)"),0)</f>
        <v>0</v>
      </c>
      <c r="AJ3804" s="1"/>
      <c r="AK3804" s="12"/>
      <c r="AL3804" s="9">
        <f t="shared" si="356"/>
        <v>1</v>
      </c>
    </row>
    <row r="3805" spans="1:38" ht="15" x14ac:dyDescent="0.25">
      <c r="A3805" s="1" t="s">
        <v>11603</v>
      </c>
      <c r="B3805" s="1" t="s">
        <v>11604</v>
      </c>
      <c r="C3805" s="1" t="s">
        <v>1913</v>
      </c>
      <c r="D3805" s="1" t="s">
        <v>1913</v>
      </c>
      <c r="E3805" s="6">
        <v>35.26</v>
      </c>
      <c r="F3805" s="1" t="s">
        <v>53</v>
      </c>
      <c r="G3805" s="6">
        <f ca="1">IFERROR(__xludf.DUMMYFUNCTION("iferror(GOOGLEFINANCE(TRIM(F3805)&amp;"":"" &amp; TRIM(B3805), ""price""),0
)"),0)</f>
        <v>0</v>
      </c>
      <c r="H3805" s="6">
        <v>9.2100000000000009</v>
      </c>
      <c r="I3805" s="6">
        <f t="shared" ca="1" si="0"/>
        <v>9.2100000000000009</v>
      </c>
      <c r="J3805" s="6">
        <f ca="1">IFERROR(__xludf.DUMMYFUNCTION("IFERROR(GOOGLEFINANCE(B3805, ""volume""), 0)"),0)</f>
        <v>0</v>
      </c>
      <c r="K3805" s="6">
        <v>-0.75</v>
      </c>
      <c r="L3805" s="6">
        <f ca="1">IFERROR(__xludf.DUMMYFUNCTION("IFERROR(GOOGLEFINANCE(B3805,""changepct""),K3805)"),-0.75)</f>
        <v>-0.75</v>
      </c>
      <c r="M3805" s="6">
        <f ca="1">IFERROR(__xludf.DUMMYFUNCTION("IFERROR(GOOGLEFINANCE(B3805,""change""),0)"),0)</f>
        <v>0</v>
      </c>
      <c r="N3805" s="6">
        <v>1</v>
      </c>
      <c r="O3805" s="7">
        <v>45536</v>
      </c>
      <c r="P3805" s="6">
        <v>0.48</v>
      </c>
      <c r="Q3805" s="6">
        <v>35.74</v>
      </c>
      <c r="R3805" s="7">
        <v>45536</v>
      </c>
      <c r="S3805" s="6">
        <v>2.2599999999999998</v>
      </c>
      <c r="T3805" s="6">
        <v>0.41</v>
      </c>
      <c r="U3805" s="7">
        <v>45536</v>
      </c>
      <c r="V3805" s="6">
        <v>86.01</v>
      </c>
      <c r="W3805" s="6">
        <f ca="1">IFERROR(__xludf.DUMMYFUNCTION("IFERROR(GOOGLEFINANCE(B3805,""pe""),V3805)"),86.01)</f>
        <v>86.01</v>
      </c>
      <c r="X3805" s="6">
        <v>0.79</v>
      </c>
      <c r="Y3805" s="6">
        <v>0.93</v>
      </c>
      <c r="Z3805" s="6">
        <v>1</v>
      </c>
      <c r="AA3805" s="8">
        <v>45352</v>
      </c>
      <c r="AB3805" s="4">
        <v>0.04</v>
      </c>
      <c r="AC3805" s="6">
        <v>5.54</v>
      </c>
      <c r="AD3805" s="6">
        <v>5.33</v>
      </c>
      <c r="AE3805" s="1">
        <v>0</v>
      </c>
      <c r="AF3805" s="1">
        <f ca="1">IFERROR(__xludf.DUMMYFUNCTION("IFERROR(GOOGLEFINANCE(TRIM(F3805)&amp;"":"" &amp; TRIM(B3805),""high52""),AE3805)"),0)</f>
        <v>0</v>
      </c>
      <c r="AG3805" s="1">
        <v>0</v>
      </c>
      <c r="AH3805" s="1">
        <f ca="1">IFERROR(__xludf.DUMMYFUNCTION("IFERROR(GOOGLEFINANCE(TRIM(F3805)&amp;"":"" &amp; TRIM(B3805),""low52""),AE3805)"),0)</f>
        <v>0</v>
      </c>
      <c r="AI3805" s="1">
        <f ca="1">IFERROR(__xludf.DUMMYFUNCTION("IFERROR(GOOGLEFINANCE(B3805,""eps""),0)"),0)</f>
        <v>0</v>
      </c>
      <c r="AJ3805" s="1"/>
      <c r="AK3805" s="1" t="s">
        <v>11605</v>
      </c>
      <c r="AL3805" s="9">
        <f t="shared" si="356"/>
        <v>1</v>
      </c>
    </row>
    <row r="3806" spans="1:38" ht="15" x14ac:dyDescent="0.25">
      <c r="A3806" s="1" t="s">
        <v>11606</v>
      </c>
      <c r="B3806" s="1" t="s">
        <v>11607</v>
      </c>
      <c r="C3806" s="1" t="s">
        <v>1913</v>
      </c>
      <c r="D3806" s="1" t="s">
        <v>1913</v>
      </c>
      <c r="E3806" s="6">
        <v>108.82</v>
      </c>
      <c r="F3806" s="1" t="s">
        <v>53</v>
      </c>
      <c r="G3806" s="6">
        <f ca="1">IFERROR(__xludf.DUMMYFUNCTION("iferror(GOOGLEFINANCE(TRIM(F3806)&amp;"":"" &amp; TRIM(B3806), ""price""),0
)"),0)</f>
        <v>0</v>
      </c>
      <c r="H3806" s="6">
        <v>134</v>
      </c>
      <c r="I3806" s="6">
        <f t="shared" ca="1" si="0"/>
        <v>134</v>
      </c>
      <c r="J3806" s="6">
        <f ca="1">IFERROR(__xludf.DUMMYFUNCTION("IFERROR(GOOGLEFINANCE(B3806, ""volume""), 0)"),0)</f>
        <v>0</v>
      </c>
      <c r="K3806" s="6">
        <v>2.02</v>
      </c>
      <c r="L3806" s="6">
        <f ca="1">IFERROR(__xludf.DUMMYFUNCTION("IFERROR(GOOGLEFINANCE(B3806,""changepct""),K3806)"),2.02)</f>
        <v>2.02</v>
      </c>
      <c r="M3806" s="6">
        <f ca="1">IFERROR(__xludf.DUMMYFUNCTION("IFERROR(GOOGLEFINANCE(B3806,""change""),0)"),0)</f>
        <v>0</v>
      </c>
      <c r="N3806" s="6">
        <v>2</v>
      </c>
      <c r="O3806" s="7">
        <v>45536</v>
      </c>
      <c r="P3806" s="6">
        <v>59.77</v>
      </c>
      <c r="Q3806" s="6">
        <v>168.19</v>
      </c>
      <c r="R3806" s="7">
        <v>45536</v>
      </c>
      <c r="S3806" s="6">
        <v>114.24</v>
      </c>
      <c r="T3806" s="6">
        <v>-2.27</v>
      </c>
      <c r="U3806" s="7">
        <v>45536</v>
      </c>
      <c r="V3806" s="6">
        <v>0</v>
      </c>
      <c r="W3806" s="6">
        <f ca="1">IFERROR(__xludf.DUMMYFUNCTION("IFERROR(GOOGLEFINANCE(B3806,""pe""),V3806)"),0)</f>
        <v>0</v>
      </c>
      <c r="X3806" s="6">
        <v>0</v>
      </c>
      <c r="Y3806" s="6">
        <v>0.94</v>
      </c>
      <c r="Z3806" s="6">
        <v>2</v>
      </c>
      <c r="AA3806" s="8">
        <v>45352</v>
      </c>
      <c r="AB3806" s="4">
        <v>0.48</v>
      </c>
      <c r="AC3806" s="6">
        <v>-5.33</v>
      </c>
      <c r="AD3806" s="6">
        <v>-0.98</v>
      </c>
      <c r="AE3806" s="1">
        <v>0</v>
      </c>
      <c r="AF3806" s="1">
        <f ca="1">IFERROR(__xludf.DUMMYFUNCTION("IFERROR(GOOGLEFINANCE(TRIM(F3806)&amp;"":"" &amp; TRIM(B3806),""high52""),AE3806)"),0)</f>
        <v>0</v>
      </c>
      <c r="AG3806" s="1">
        <v>0</v>
      </c>
      <c r="AH3806" s="1">
        <f ca="1">IFERROR(__xludf.DUMMYFUNCTION("IFERROR(GOOGLEFINANCE(TRIM(F3806)&amp;"":"" &amp; TRIM(B3806),""low52""),AE3806)"),0)</f>
        <v>0</v>
      </c>
      <c r="AI3806" s="1">
        <f ca="1">IFERROR(__xludf.DUMMYFUNCTION("IFERROR(GOOGLEFINANCE(B3806,""eps""),0)"),0)</f>
        <v>0</v>
      </c>
      <c r="AJ3806" s="1"/>
      <c r="AK3806" s="1" t="s">
        <v>11608</v>
      </c>
      <c r="AL3806" s="9">
        <f t="shared" si="356"/>
        <v>1</v>
      </c>
    </row>
    <row r="3807" spans="1:38" ht="15" x14ac:dyDescent="0.25">
      <c r="A3807" s="1" t="s">
        <v>11609</v>
      </c>
      <c r="B3807" s="1" t="s">
        <v>11610</v>
      </c>
      <c r="C3807" s="1" t="s">
        <v>416</v>
      </c>
      <c r="D3807" s="1" t="s">
        <v>416</v>
      </c>
      <c r="E3807" s="6">
        <v>10246.129999999999</v>
      </c>
      <c r="F3807" s="1" t="s">
        <v>40</v>
      </c>
      <c r="G3807" s="6">
        <f ca="1">IFERROR(__xludf.DUMMYFUNCTION("iferror(GOOGLEFINANCE(TRIM(F3807)&amp;"":"" &amp; TRIM(B3807), ""price""),0
)"),1703)</f>
        <v>1703</v>
      </c>
      <c r="H3807" s="6">
        <v>1544.15</v>
      </c>
      <c r="I3807" s="6">
        <f t="shared" ca="1" si="0"/>
        <v>1703</v>
      </c>
      <c r="J3807" s="6">
        <f ca="1">IFERROR(__xludf.DUMMYFUNCTION("IFERROR(GOOGLEFINANCE(B3807, ""volume""), 0)"),68642)</f>
        <v>68642</v>
      </c>
      <c r="K3807" s="6">
        <v>0.39</v>
      </c>
      <c r="L3807" s="6">
        <f ca="1">IFERROR(__xludf.DUMMYFUNCTION("IFERROR(GOOGLEFINANCE(B3807,""changepct""),K3807)"),1.26)</f>
        <v>1.26</v>
      </c>
      <c r="M3807" s="6">
        <f ca="1">IFERROR(__xludf.DUMMYFUNCTION("IFERROR(GOOGLEFINANCE(B3807,""change""),0)"),21.2)</f>
        <v>21.2</v>
      </c>
      <c r="N3807" s="6">
        <v>2</v>
      </c>
      <c r="O3807" s="7">
        <v>45536</v>
      </c>
      <c r="P3807" s="6">
        <v>219.6</v>
      </c>
      <c r="Q3807" s="6">
        <v>10369.34</v>
      </c>
      <c r="R3807" s="7">
        <v>45536</v>
      </c>
      <c r="S3807" s="6">
        <v>1540.46</v>
      </c>
      <c r="T3807" s="6">
        <v>164.03</v>
      </c>
      <c r="U3807" s="7">
        <v>45536</v>
      </c>
      <c r="V3807" s="6">
        <v>60.6</v>
      </c>
      <c r="W3807" s="6">
        <f ca="1">IFERROR(__xludf.DUMMYFUNCTION("IFERROR(GOOGLEFINANCE(B3807,""pe""),V3807)"),47.93)</f>
        <v>47.93</v>
      </c>
      <c r="X3807" s="12"/>
      <c r="Y3807" s="6">
        <v>8.19</v>
      </c>
      <c r="Z3807" s="6">
        <v>2</v>
      </c>
      <c r="AA3807" s="8">
        <v>45352</v>
      </c>
      <c r="AB3807" s="4">
        <v>0.2</v>
      </c>
      <c r="AC3807" s="6">
        <v>17.3</v>
      </c>
      <c r="AD3807" s="6">
        <v>20.03</v>
      </c>
      <c r="AE3807" s="1">
        <v>0</v>
      </c>
      <c r="AF3807" s="1">
        <f ca="1">IFERROR(__xludf.DUMMYFUNCTION("IFERROR(GOOGLEFINANCE(TRIM(F3807)&amp;"":"" &amp; TRIM(B3807),""high52""),AE3807)"),2125)</f>
        <v>2125</v>
      </c>
      <c r="AG3807" s="1">
        <v>0</v>
      </c>
      <c r="AH3807" s="1">
        <f ca="1">IFERROR(__xludf.DUMMYFUNCTION("IFERROR(GOOGLEFINANCE(TRIM(F3807)&amp;"":"" &amp; TRIM(B3807),""low52""),AE3807)"),1200.05)</f>
        <v>1200.05</v>
      </c>
      <c r="AI3807" s="1">
        <f ca="1">IFERROR(__xludf.DUMMYFUNCTION("IFERROR(GOOGLEFINANCE(B3807,""eps""),0)"),35.53)</f>
        <v>35.53</v>
      </c>
      <c r="AJ3807" s="1"/>
      <c r="AK3807" s="1" t="s">
        <v>11611</v>
      </c>
      <c r="AL3807" s="9">
        <f t="shared" si="356"/>
        <v>1</v>
      </c>
    </row>
    <row r="3808" spans="1:38" ht="15" x14ac:dyDescent="0.25">
      <c r="A3808" s="1" t="s">
        <v>11612</v>
      </c>
      <c r="B3808" s="1" t="s">
        <v>11613</v>
      </c>
      <c r="C3808" s="1" t="s">
        <v>1129</v>
      </c>
      <c r="D3808" s="1" t="s">
        <v>1129</v>
      </c>
      <c r="E3808" s="6">
        <v>21300.959999999999</v>
      </c>
      <c r="F3808" s="1" t="s">
        <v>40</v>
      </c>
      <c r="G3808" s="6">
        <f ca="1">IFERROR(__xludf.DUMMYFUNCTION("iferror(GOOGLEFINANCE(TRIM(F3808)&amp;"":"" &amp; TRIM(B3808), ""price""),0
)"),330)</f>
        <v>330</v>
      </c>
      <c r="H3808" s="6">
        <v>1211.3</v>
      </c>
      <c r="I3808" s="6">
        <f t="shared" ca="1" si="0"/>
        <v>330</v>
      </c>
      <c r="J3808" s="6">
        <f ca="1">IFERROR(__xludf.DUMMYFUNCTION("IFERROR(GOOGLEFINANCE(B3808, ""volume""), 0)"),1530319)</f>
        <v>1530319</v>
      </c>
      <c r="K3808" s="6">
        <v>-0.13</v>
      </c>
      <c r="L3808" s="6">
        <f ca="1">IFERROR(__xludf.DUMMYFUNCTION("IFERROR(GOOGLEFINANCE(B3808,""changepct""),K3808)"),-0.27)</f>
        <v>-0.27</v>
      </c>
      <c r="M3808" s="6">
        <f ca="1">IFERROR(__xludf.DUMMYFUNCTION("IFERROR(GOOGLEFINANCE(B3808,""change""),0)"),-0.9)</f>
        <v>-0.9</v>
      </c>
      <c r="N3808" s="6">
        <v>2</v>
      </c>
      <c r="O3808" s="7">
        <v>45536</v>
      </c>
      <c r="P3808" s="6">
        <v>2768.27</v>
      </c>
      <c r="Q3808" s="6">
        <v>23941.59</v>
      </c>
      <c r="R3808" s="7">
        <v>45536</v>
      </c>
      <c r="S3808" s="6">
        <v>6260.87</v>
      </c>
      <c r="T3808" s="6">
        <v>454.57</v>
      </c>
      <c r="U3808" s="7">
        <v>45536</v>
      </c>
      <c r="V3808" s="6">
        <v>46.86</v>
      </c>
      <c r="W3808" s="6">
        <f ca="1">IFERROR(__xludf.DUMMYFUNCTION("IFERROR(GOOGLEFINANCE(B3808,""pe""),V3808)"),46.86)</f>
        <v>46.86</v>
      </c>
      <c r="X3808" s="6">
        <v>-3</v>
      </c>
      <c r="Y3808" s="6">
        <v>5.72</v>
      </c>
      <c r="Z3808" s="6">
        <v>2</v>
      </c>
      <c r="AA3808" s="8">
        <v>45352</v>
      </c>
      <c r="AB3808" s="4">
        <v>0.57999999999999996</v>
      </c>
      <c r="AC3808" s="6">
        <v>2.13</v>
      </c>
      <c r="AD3808" s="6">
        <v>3.77</v>
      </c>
      <c r="AE3808" s="1">
        <v>0</v>
      </c>
      <c r="AF3808" s="1">
        <f ca="1">IFERROR(__xludf.DUMMYFUNCTION("IFERROR(GOOGLEFINANCE(TRIM(F3808)&amp;"":"" &amp; TRIM(B3808),""high52""),AE3808)"),914.4)</f>
        <v>914.4</v>
      </c>
      <c r="AG3808" s="1">
        <v>0</v>
      </c>
      <c r="AH3808" s="1">
        <f ca="1">IFERROR(__xludf.DUMMYFUNCTION("IFERROR(GOOGLEFINANCE(TRIM(F3808)&amp;"":"" &amp; TRIM(B3808),""low52""),AE3808)"),294)</f>
        <v>294</v>
      </c>
      <c r="AI3808" s="1">
        <f ca="1">IFERROR(__xludf.DUMMYFUNCTION("IFERROR(GOOGLEFINANCE(B3808,""eps""),0)"),-43.54)</f>
        <v>-43.54</v>
      </c>
      <c r="AJ3808" s="1"/>
      <c r="AK3808" s="9"/>
      <c r="AL3808" s="9">
        <f t="shared" si="356"/>
        <v>1</v>
      </c>
    </row>
    <row r="3809" spans="1:38" ht="15" x14ac:dyDescent="0.25">
      <c r="A3809" s="1" t="s">
        <v>11614</v>
      </c>
      <c r="B3809" s="1" t="s">
        <v>11615</v>
      </c>
      <c r="C3809" s="1" t="s">
        <v>416</v>
      </c>
      <c r="D3809" s="1" t="s">
        <v>416</v>
      </c>
      <c r="E3809" s="6">
        <v>979.85</v>
      </c>
      <c r="F3809" s="1" t="s">
        <v>40</v>
      </c>
      <c r="G3809" s="6">
        <f ca="1">IFERROR(__xludf.DUMMYFUNCTION("iferror(GOOGLEFINANCE(TRIM(F3809)&amp;"":"" &amp; TRIM(B3809), ""price""),0
)"),538)</f>
        <v>538</v>
      </c>
      <c r="H3809" s="6">
        <v>880</v>
      </c>
      <c r="I3809" s="6">
        <f t="shared" ca="1" si="0"/>
        <v>538</v>
      </c>
      <c r="J3809" s="6">
        <f ca="1">IFERROR(__xludf.DUMMYFUNCTION("IFERROR(GOOGLEFINANCE(B3809, ""volume""), 0)"),30920)</f>
        <v>30920</v>
      </c>
      <c r="K3809" s="6">
        <v>-0.28000000000000003</v>
      </c>
      <c r="L3809" s="6">
        <f ca="1">IFERROR(__xludf.DUMMYFUNCTION("IFERROR(GOOGLEFINANCE(B3809,""changepct""),K3809)"),0.83)</f>
        <v>0.83</v>
      </c>
      <c r="M3809" s="6">
        <f ca="1">IFERROR(__xludf.DUMMYFUNCTION("IFERROR(GOOGLEFINANCE(B3809,""change""),0)"),4.45)</f>
        <v>4.45</v>
      </c>
      <c r="N3809" s="6">
        <v>2</v>
      </c>
      <c r="O3809" s="7">
        <v>45536</v>
      </c>
      <c r="P3809" s="6">
        <v>228.18</v>
      </c>
      <c r="Q3809" s="6">
        <v>1208.03</v>
      </c>
      <c r="R3809" s="7">
        <v>45536</v>
      </c>
      <c r="S3809" s="6">
        <v>529.28</v>
      </c>
      <c r="T3809" s="6">
        <v>26.15</v>
      </c>
      <c r="U3809" s="7">
        <v>45536</v>
      </c>
      <c r="V3809" s="6">
        <v>36.18</v>
      </c>
      <c r="W3809" s="6">
        <f ca="1">IFERROR(__xludf.DUMMYFUNCTION("IFERROR(GOOGLEFINANCE(B3809,""pe""),V3809)"),10.61)</f>
        <v>10.61</v>
      </c>
      <c r="X3809" s="12"/>
      <c r="Y3809" s="6">
        <v>16.53</v>
      </c>
      <c r="Z3809" s="6">
        <v>2</v>
      </c>
      <c r="AA3809" s="8">
        <v>44986</v>
      </c>
      <c r="AB3809" s="4">
        <v>1.04</v>
      </c>
      <c r="AC3809" s="6">
        <v>18.05</v>
      </c>
      <c r="AD3809" s="6">
        <v>15.45</v>
      </c>
      <c r="AE3809" s="1">
        <v>0</v>
      </c>
      <c r="AF3809" s="1">
        <f ca="1">IFERROR(__xludf.DUMMYFUNCTION("IFERROR(GOOGLEFINANCE(TRIM(F3809)&amp;"":"" &amp; TRIM(B3809),""high52""),AE3809)"),837)</f>
        <v>837</v>
      </c>
      <c r="AG3809" s="1">
        <v>0</v>
      </c>
      <c r="AH3809" s="1">
        <f ca="1">IFERROR(__xludf.DUMMYFUNCTION("IFERROR(GOOGLEFINANCE(TRIM(F3809)&amp;"":"" &amp; TRIM(B3809),""low52""),AE3809)"),386)</f>
        <v>386</v>
      </c>
      <c r="AI3809" s="1">
        <f ca="1">IFERROR(__xludf.DUMMYFUNCTION("IFERROR(GOOGLEFINANCE(B3809,""eps""),0)"),50.71)</f>
        <v>50.71</v>
      </c>
      <c r="AJ3809" s="1"/>
      <c r="AK3809" s="1" t="s">
        <v>11616</v>
      </c>
      <c r="AL3809" s="9">
        <f t="shared" si="356"/>
        <v>1</v>
      </c>
    </row>
    <row r="3810" spans="1:38" ht="15" x14ac:dyDescent="0.25">
      <c r="A3810" s="1" t="s">
        <v>11617</v>
      </c>
      <c r="B3810" s="1" t="s">
        <v>11618</v>
      </c>
      <c r="C3810" s="1" t="s">
        <v>57</v>
      </c>
      <c r="D3810" s="1" t="s">
        <v>57</v>
      </c>
      <c r="E3810" s="6">
        <v>237.1</v>
      </c>
      <c r="F3810" s="1" t="s">
        <v>40</v>
      </c>
      <c r="G3810" s="6">
        <f ca="1">IFERROR(__xludf.DUMMYFUNCTION("iferror(GOOGLEFINANCE(TRIM(F3810)&amp;"":"" &amp; TRIM(B3810), ""price""),0
)"),410)</f>
        <v>410</v>
      </c>
      <c r="H3810" s="6">
        <v>191.69</v>
      </c>
      <c r="I3810" s="6">
        <f t="shared" ca="1" si="0"/>
        <v>410</v>
      </c>
      <c r="J3810" s="6">
        <f ca="1">IFERROR(__xludf.DUMMYFUNCTION("IFERROR(GOOGLEFINANCE(B3810, ""volume""), 0)"),20606)</f>
        <v>20606</v>
      </c>
      <c r="K3810" s="6">
        <v>0.89</v>
      </c>
      <c r="L3810" s="6">
        <f ca="1">IFERROR(__xludf.DUMMYFUNCTION("IFERROR(GOOGLEFINANCE(B3810,""changepct""),K3810)"),4.37)</f>
        <v>4.37</v>
      </c>
      <c r="M3810" s="6">
        <f ca="1">IFERROR(__xludf.DUMMYFUNCTION("IFERROR(GOOGLEFINANCE(B3810,""change""),0)"),17.15)</f>
        <v>17.149999999999999</v>
      </c>
      <c r="N3810" s="6">
        <v>2</v>
      </c>
      <c r="O3810" s="7">
        <v>45536</v>
      </c>
      <c r="P3810" s="6">
        <v>28.88</v>
      </c>
      <c r="Q3810" s="6">
        <v>265.98</v>
      </c>
      <c r="R3810" s="7">
        <v>45536</v>
      </c>
      <c r="S3810" s="6">
        <v>94.06</v>
      </c>
      <c r="T3810" s="6">
        <v>6.83</v>
      </c>
      <c r="U3810" s="7">
        <v>45536</v>
      </c>
      <c r="V3810" s="6">
        <v>34.72</v>
      </c>
      <c r="W3810" s="6">
        <f ca="1">IFERROR(__xludf.DUMMYFUNCTION("IFERROR(GOOGLEFINANCE(B3810,""pe""),V3810)"),30.85)</f>
        <v>30.85</v>
      </c>
      <c r="X3810" s="9"/>
      <c r="Y3810" s="6">
        <v>2.02</v>
      </c>
      <c r="Z3810" s="6">
        <v>2</v>
      </c>
      <c r="AA3810" s="8">
        <v>45352</v>
      </c>
      <c r="AB3810" s="4">
        <v>0.3</v>
      </c>
      <c r="AC3810" s="6">
        <v>3.06</v>
      </c>
      <c r="AD3810" s="6">
        <v>6.46</v>
      </c>
      <c r="AE3810" s="1">
        <v>0</v>
      </c>
      <c r="AF3810" s="1">
        <f ca="1">IFERROR(__xludf.DUMMYFUNCTION("IFERROR(GOOGLEFINANCE(TRIM(F3810)&amp;"":"" &amp; TRIM(B3810),""high52""),AE3810)"),598)</f>
        <v>598</v>
      </c>
      <c r="AG3810" s="1">
        <v>0</v>
      </c>
      <c r="AH3810" s="1">
        <f ca="1">IFERROR(__xludf.DUMMYFUNCTION("IFERROR(GOOGLEFINANCE(TRIM(F3810)&amp;"":"" &amp; TRIM(B3810),""low52""),AE3810)"),162.85)</f>
        <v>162.85</v>
      </c>
      <c r="AI3810" s="1">
        <f ca="1">IFERROR(__xludf.DUMMYFUNCTION("IFERROR(GOOGLEFINANCE(B3810,""eps""),0)"),13.29)</f>
        <v>13.29</v>
      </c>
      <c r="AJ3810" s="1"/>
      <c r="AK3810" s="1" t="s">
        <v>11619</v>
      </c>
      <c r="AL3810" s="9">
        <f t="shared" si="356"/>
        <v>1</v>
      </c>
    </row>
    <row r="3811" spans="1:38" ht="15" x14ac:dyDescent="0.25">
      <c r="A3811" s="1" t="s">
        <v>11620</v>
      </c>
      <c r="B3811" s="1" t="s">
        <v>11621</v>
      </c>
      <c r="C3811" s="1" t="s">
        <v>1913</v>
      </c>
      <c r="D3811" s="1" t="s">
        <v>1913</v>
      </c>
      <c r="E3811" s="6">
        <v>41.18</v>
      </c>
      <c r="F3811" s="1" t="s">
        <v>53</v>
      </c>
      <c r="G3811" s="6">
        <f ca="1">IFERROR(__xludf.DUMMYFUNCTION("iferror(GOOGLEFINANCE(TRIM(F3811)&amp;"":"" &amp; TRIM(B3811), ""price""),0
)"),0)</f>
        <v>0</v>
      </c>
      <c r="H3811" s="6">
        <v>125</v>
      </c>
      <c r="I3811" s="6">
        <f t="shared" ca="1" si="0"/>
        <v>125</v>
      </c>
      <c r="J3811" s="6">
        <f ca="1">IFERROR(__xludf.DUMMYFUNCTION("IFERROR(GOOGLEFINANCE(B3811, ""volume""), 0)"),0)</f>
        <v>0</v>
      </c>
      <c r="K3811" s="6">
        <v>3.26</v>
      </c>
      <c r="L3811" s="6">
        <f ca="1">IFERROR(__xludf.DUMMYFUNCTION("IFERROR(GOOGLEFINANCE(B3811,""changepct""),K3811)"),3.26)</f>
        <v>3.26</v>
      </c>
      <c r="M3811" s="6">
        <f ca="1">IFERROR(__xludf.DUMMYFUNCTION("IFERROR(GOOGLEFINANCE(B3811,""change""),0)"),0)</f>
        <v>0</v>
      </c>
      <c r="N3811" s="6">
        <v>1</v>
      </c>
      <c r="O3811" s="7">
        <v>45536</v>
      </c>
      <c r="P3811" s="6">
        <v>4.45</v>
      </c>
      <c r="Q3811" s="6">
        <v>45.22</v>
      </c>
      <c r="R3811" s="7">
        <v>45536</v>
      </c>
      <c r="S3811" s="6">
        <v>38.090000000000003</v>
      </c>
      <c r="T3811" s="6">
        <v>2.46</v>
      </c>
      <c r="U3811" s="7">
        <v>45536</v>
      </c>
      <c r="V3811" s="6">
        <v>16.73</v>
      </c>
      <c r="W3811" s="6">
        <f ca="1">IFERROR(__xludf.DUMMYFUNCTION("IFERROR(GOOGLEFINANCE(B3811,""pe""),V3811)"),16.73)</f>
        <v>16.73</v>
      </c>
      <c r="X3811" s="6">
        <v>0.52</v>
      </c>
      <c r="Y3811" s="6">
        <v>0.88</v>
      </c>
      <c r="Z3811" s="6">
        <v>1</v>
      </c>
      <c r="AA3811" s="8">
        <v>45352</v>
      </c>
      <c r="AB3811" s="4">
        <v>0.15</v>
      </c>
      <c r="AC3811" s="6">
        <v>8.31</v>
      </c>
      <c r="AD3811" s="6">
        <v>9.76</v>
      </c>
      <c r="AE3811" s="1">
        <v>0</v>
      </c>
      <c r="AF3811" s="1">
        <f ca="1">IFERROR(__xludf.DUMMYFUNCTION("IFERROR(GOOGLEFINANCE(TRIM(F3811)&amp;"":"" &amp; TRIM(B3811),""high52""),AE3811)"),0)</f>
        <v>0</v>
      </c>
      <c r="AG3811" s="1">
        <v>0</v>
      </c>
      <c r="AH3811" s="1">
        <f ca="1">IFERROR(__xludf.DUMMYFUNCTION("IFERROR(GOOGLEFINANCE(TRIM(F3811)&amp;"":"" &amp; TRIM(B3811),""low52""),AE3811)"),0)</f>
        <v>0</v>
      </c>
      <c r="AI3811" s="1">
        <f ca="1">IFERROR(__xludf.DUMMYFUNCTION("IFERROR(GOOGLEFINANCE(B3811,""eps""),0)"),0)</f>
        <v>0</v>
      </c>
      <c r="AJ3811" s="1"/>
      <c r="AK3811" s="1" t="s">
        <v>11622</v>
      </c>
      <c r="AL3811" s="9">
        <f t="shared" si="356"/>
        <v>1</v>
      </c>
    </row>
    <row r="3812" spans="1:38" ht="15" x14ac:dyDescent="0.25">
      <c r="A3812" s="1" t="s">
        <v>11623</v>
      </c>
      <c r="B3812" s="1" t="s">
        <v>11624</v>
      </c>
      <c r="C3812" s="1" t="s">
        <v>1913</v>
      </c>
      <c r="D3812" s="1" t="s">
        <v>1913</v>
      </c>
      <c r="E3812" s="6">
        <v>68.760000000000005</v>
      </c>
      <c r="F3812" s="1" t="s">
        <v>53</v>
      </c>
      <c r="G3812" s="6">
        <f ca="1">IFERROR(__xludf.DUMMYFUNCTION("iferror(GOOGLEFINANCE(TRIM(F3812)&amp;"":"" &amp; TRIM(B3812), ""price""),0
)"),0)</f>
        <v>0</v>
      </c>
      <c r="H3812" s="6">
        <v>57.71</v>
      </c>
      <c r="I3812" s="6">
        <f t="shared" ca="1" si="0"/>
        <v>57.71</v>
      </c>
      <c r="J3812" s="6">
        <f ca="1">IFERROR(__xludf.DUMMYFUNCTION("IFERROR(GOOGLEFINANCE(B3812, ""volume""), 0)"),0)</f>
        <v>0</v>
      </c>
      <c r="K3812" s="6">
        <v>0.3</v>
      </c>
      <c r="L3812" s="6">
        <f ca="1">IFERROR(__xludf.DUMMYFUNCTION("IFERROR(GOOGLEFINANCE(B3812,""changepct""),K3812)"),0.3)</f>
        <v>0.3</v>
      </c>
      <c r="M3812" s="6">
        <f ca="1">IFERROR(__xludf.DUMMYFUNCTION("IFERROR(GOOGLEFINANCE(B3812,""change""),0)"),0)</f>
        <v>0</v>
      </c>
      <c r="N3812" s="6">
        <v>2</v>
      </c>
      <c r="O3812" s="7">
        <v>45536</v>
      </c>
      <c r="P3812" s="9"/>
      <c r="Q3812" s="6">
        <v>65.22</v>
      </c>
      <c r="R3812" s="7">
        <v>45536</v>
      </c>
      <c r="S3812" s="6">
        <v>0</v>
      </c>
      <c r="T3812" s="6">
        <v>-1.83</v>
      </c>
      <c r="U3812" s="7">
        <v>45536</v>
      </c>
      <c r="V3812" s="6">
        <v>0</v>
      </c>
      <c r="W3812" s="6">
        <f ca="1">IFERROR(__xludf.DUMMYFUNCTION("IFERROR(GOOGLEFINANCE(B3812,""pe""),V3812)"),0)</f>
        <v>0</v>
      </c>
      <c r="X3812" s="6">
        <v>0</v>
      </c>
      <c r="Y3812" s="6">
        <v>0.73</v>
      </c>
      <c r="Z3812" s="6">
        <v>2</v>
      </c>
      <c r="AA3812" s="8">
        <v>45352</v>
      </c>
      <c r="AB3812" s="4">
        <v>0</v>
      </c>
      <c r="AC3812" s="6">
        <v>-0.91</v>
      </c>
      <c r="AD3812" s="6">
        <v>-0.24</v>
      </c>
      <c r="AE3812" s="1">
        <v>0</v>
      </c>
      <c r="AF3812" s="1">
        <f ca="1">IFERROR(__xludf.DUMMYFUNCTION("IFERROR(GOOGLEFINANCE(TRIM(F3812)&amp;"":"" &amp; TRIM(B3812),""high52""),AE3812)"),0)</f>
        <v>0</v>
      </c>
      <c r="AG3812" s="1">
        <v>0</v>
      </c>
      <c r="AH3812" s="1">
        <f ca="1">IFERROR(__xludf.DUMMYFUNCTION("IFERROR(GOOGLEFINANCE(TRIM(F3812)&amp;"":"" &amp; TRIM(B3812),""low52""),AE3812)"),0)</f>
        <v>0</v>
      </c>
      <c r="AI3812" s="1">
        <f ca="1">IFERROR(__xludf.DUMMYFUNCTION("IFERROR(GOOGLEFINANCE(B3812,""eps""),0)"),0)</f>
        <v>0</v>
      </c>
      <c r="AJ3812" s="1"/>
      <c r="AK3812" s="1" t="s">
        <v>11625</v>
      </c>
      <c r="AL3812" s="9">
        <f t="shared" si="356"/>
        <v>1</v>
      </c>
    </row>
    <row r="3813" spans="1:38" ht="15" x14ac:dyDescent="0.25">
      <c r="A3813" s="1" t="s">
        <v>11626</v>
      </c>
      <c r="B3813" s="1" t="s">
        <v>11627</v>
      </c>
      <c r="C3813" s="1" t="s">
        <v>4084</v>
      </c>
      <c r="D3813" s="1" t="s">
        <v>4084</v>
      </c>
      <c r="E3813" s="6">
        <v>6612.39</v>
      </c>
      <c r="F3813" s="1" t="s">
        <v>53</v>
      </c>
      <c r="G3813" s="6">
        <f ca="1">IFERROR(__xludf.DUMMYFUNCTION("iferror(GOOGLEFINANCE(TRIM(F3813)&amp;"":"" &amp; TRIM(B3813), ""price""),0
)"),0)</f>
        <v>0</v>
      </c>
      <c r="H3813" s="6">
        <v>609.95000000000005</v>
      </c>
      <c r="I3813" s="6">
        <f t="shared" ca="1" si="0"/>
        <v>609.95000000000005</v>
      </c>
      <c r="J3813" s="6">
        <f ca="1">IFERROR(__xludf.DUMMYFUNCTION("IFERROR(GOOGLEFINANCE(B3813, ""volume""), 0)"),0)</f>
        <v>0</v>
      </c>
      <c r="K3813" s="6">
        <v>-0.37</v>
      </c>
      <c r="L3813" s="6">
        <f ca="1">IFERROR(__xludf.DUMMYFUNCTION("IFERROR(GOOGLEFINANCE(B3813,""changepct""),K3813)"),-0.37)</f>
        <v>-0.37</v>
      </c>
      <c r="M3813" s="6">
        <f ca="1">IFERROR(__xludf.DUMMYFUNCTION("IFERROR(GOOGLEFINANCE(B3813,""change""),0)"),0)</f>
        <v>0</v>
      </c>
      <c r="N3813" s="6">
        <v>1</v>
      </c>
      <c r="O3813" s="7">
        <v>45536</v>
      </c>
      <c r="P3813" s="6">
        <v>100.68</v>
      </c>
      <c r="Q3813" s="6">
        <v>6671.07</v>
      </c>
      <c r="R3813" s="7">
        <v>45352</v>
      </c>
      <c r="S3813" s="6">
        <v>741.42</v>
      </c>
      <c r="T3813" s="6">
        <v>40.61</v>
      </c>
      <c r="U3813" s="7">
        <v>45352</v>
      </c>
      <c r="V3813" s="6">
        <v>162.82</v>
      </c>
      <c r="W3813" s="6">
        <f ca="1">IFERROR(__xludf.DUMMYFUNCTION("IFERROR(GOOGLEFINANCE(B3813,""pe""),V3813)"),162.82)</f>
        <v>162.82</v>
      </c>
      <c r="X3813" s="9"/>
      <c r="Y3813" s="6">
        <v>42.1</v>
      </c>
      <c r="Z3813" s="6">
        <v>2</v>
      </c>
      <c r="AA3813" s="8">
        <v>45352</v>
      </c>
      <c r="AB3813" s="4">
        <v>0.39</v>
      </c>
      <c r="AC3813" s="6">
        <v>38.479999999999997</v>
      </c>
      <c r="AD3813" s="6">
        <v>36.409999999999997</v>
      </c>
      <c r="AE3813" s="1">
        <v>0</v>
      </c>
      <c r="AF3813" s="1">
        <f ca="1">IFERROR(__xludf.DUMMYFUNCTION("IFERROR(GOOGLEFINANCE(TRIM(F3813)&amp;"":"" &amp; TRIM(B3813),""high52""),AE3813)"),0)</f>
        <v>0</v>
      </c>
      <c r="AG3813" s="1">
        <v>0</v>
      </c>
      <c r="AH3813" s="1">
        <f ca="1">IFERROR(__xludf.DUMMYFUNCTION("IFERROR(GOOGLEFINANCE(TRIM(F3813)&amp;"":"" &amp; TRIM(B3813),""low52""),AE3813)"),0)</f>
        <v>0</v>
      </c>
      <c r="AI3813" s="1">
        <f ca="1">IFERROR(__xludf.DUMMYFUNCTION("IFERROR(GOOGLEFINANCE(B3813,""eps""),0)"),0)</f>
        <v>0</v>
      </c>
      <c r="AJ3813" s="1"/>
      <c r="AK3813" s="12"/>
      <c r="AL3813" s="9">
        <f t="shared" si="356"/>
        <v>1</v>
      </c>
    </row>
    <row r="3814" spans="1:38" ht="15" x14ac:dyDescent="0.25">
      <c r="A3814" s="1" t="s">
        <v>11628</v>
      </c>
      <c r="B3814" s="1" t="s">
        <v>11629</v>
      </c>
      <c r="C3814" s="1" t="s">
        <v>487</v>
      </c>
      <c r="D3814" s="1" t="s">
        <v>487</v>
      </c>
      <c r="E3814" s="6">
        <v>1678.21</v>
      </c>
      <c r="F3814" s="1" t="s">
        <v>40</v>
      </c>
      <c r="G3814" s="6">
        <f ca="1">IFERROR(__xludf.DUMMYFUNCTION("iferror(GOOGLEFINANCE(TRIM(F3814)&amp;"":"" &amp; TRIM(B3814), ""price""),0
)"),96.1)</f>
        <v>96.1</v>
      </c>
      <c r="H3814" s="6">
        <v>132.07</v>
      </c>
      <c r="I3814" s="6">
        <f t="shared" ca="1" si="0"/>
        <v>96.1</v>
      </c>
      <c r="J3814" s="6">
        <f ca="1">IFERROR(__xludf.DUMMYFUNCTION("IFERROR(GOOGLEFINANCE(B3814, ""volume""), 0)"),92057)</f>
        <v>92057</v>
      </c>
      <c r="K3814" s="6">
        <v>0.3</v>
      </c>
      <c r="L3814" s="6">
        <f ca="1">IFERROR(__xludf.DUMMYFUNCTION("IFERROR(GOOGLEFINANCE(B3814,""changepct""),K3814)"),1.13)</f>
        <v>1.1299999999999999</v>
      </c>
      <c r="M3814" s="6">
        <f ca="1">IFERROR(__xludf.DUMMYFUNCTION("IFERROR(GOOGLEFINANCE(B3814,""change""),0)"),1.07)</f>
        <v>1.07</v>
      </c>
      <c r="N3814" s="6">
        <v>2</v>
      </c>
      <c r="O3814" s="7">
        <v>45536</v>
      </c>
      <c r="P3814" s="6">
        <v>23.62</v>
      </c>
      <c r="Q3814" s="6">
        <v>1699.69</v>
      </c>
      <c r="R3814" s="7">
        <v>45536</v>
      </c>
      <c r="S3814" s="6">
        <v>15.88</v>
      </c>
      <c r="T3814" s="6">
        <v>4.1900000000000004</v>
      </c>
      <c r="U3814" s="7">
        <v>45536</v>
      </c>
      <c r="V3814" s="6">
        <v>281.11</v>
      </c>
      <c r="W3814" s="6">
        <f ca="1">IFERROR(__xludf.DUMMYFUNCTION("IFERROR(GOOGLEFINANCE(B3814,""pe""),V3814)"),281.11)</f>
        <v>281.11</v>
      </c>
      <c r="X3814" s="6">
        <v>-10.220000000000001</v>
      </c>
      <c r="Y3814" s="6">
        <v>0.94</v>
      </c>
      <c r="Z3814" s="6">
        <v>2</v>
      </c>
      <c r="AA3814" s="8">
        <v>45352</v>
      </c>
      <c r="AB3814" s="4">
        <v>0.02</v>
      </c>
      <c r="AC3814" s="6">
        <v>0.37</v>
      </c>
      <c r="AD3814" s="6">
        <v>0.47</v>
      </c>
      <c r="AE3814" s="1">
        <v>0</v>
      </c>
      <c r="AF3814" s="1">
        <f ca="1">IFERROR(__xludf.DUMMYFUNCTION("IFERROR(GOOGLEFINANCE(TRIM(F3814)&amp;"":"" &amp; TRIM(B3814),""high52""),AE3814)"),118.78)</f>
        <v>118.78</v>
      </c>
      <c r="AG3814" s="1">
        <v>0</v>
      </c>
      <c r="AH3814" s="1">
        <f ca="1">IFERROR(__xludf.DUMMYFUNCTION("IFERROR(GOOGLEFINANCE(TRIM(F3814)&amp;"":"" &amp; TRIM(B3814),""low52""),AE3814)"),85.35)</f>
        <v>85.35</v>
      </c>
      <c r="AI3814" s="1">
        <f ca="1">IFERROR(__xludf.DUMMYFUNCTION("IFERROR(GOOGLEFINANCE(B3814,""eps""),0)"),-0.02)</f>
        <v>-0.02</v>
      </c>
      <c r="AJ3814" s="1"/>
      <c r="AK3814" s="1" t="s">
        <v>11630</v>
      </c>
      <c r="AL3814" s="9">
        <f t="shared" si="356"/>
        <v>1</v>
      </c>
    </row>
    <row r="3815" spans="1:38" ht="15" x14ac:dyDescent="0.25">
      <c r="A3815" s="1" t="s">
        <v>11631</v>
      </c>
      <c r="B3815" s="1" t="s">
        <v>11632</v>
      </c>
      <c r="C3815" s="1" t="s">
        <v>5852</v>
      </c>
      <c r="D3815" s="1" t="s">
        <v>5852</v>
      </c>
      <c r="E3815" s="6">
        <v>7879.49</v>
      </c>
      <c r="F3815" s="1" t="s">
        <v>40</v>
      </c>
      <c r="G3815" s="6">
        <f ca="1">IFERROR(__xludf.DUMMYFUNCTION("iferror(GOOGLEFINANCE(TRIM(F3815)&amp;"":"" &amp; TRIM(B3815), ""price""),0
)"),121.2)</f>
        <v>121.2</v>
      </c>
      <c r="H3815" s="6">
        <v>200.39</v>
      </c>
      <c r="I3815" s="6">
        <f t="shared" ca="1" si="0"/>
        <v>121.2</v>
      </c>
      <c r="J3815" s="6">
        <f ca="1">IFERROR(__xludf.DUMMYFUNCTION("IFERROR(GOOGLEFINANCE(B3815, ""volume""), 0)"),1439332)</f>
        <v>1439332</v>
      </c>
      <c r="K3815" s="6">
        <v>1.51</v>
      </c>
      <c r="L3815" s="6">
        <f ca="1">IFERROR(__xludf.DUMMYFUNCTION("IFERROR(GOOGLEFINANCE(B3815,""changepct""),K3815)"),0.18)</f>
        <v>0.18</v>
      </c>
      <c r="M3815" s="6">
        <f ca="1">IFERROR(__xludf.DUMMYFUNCTION("IFERROR(GOOGLEFINANCE(B3815,""change""),0)"),0.22)</f>
        <v>0.22</v>
      </c>
      <c r="N3815" s="6">
        <v>2</v>
      </c>
      <c r="O3815" s="7">
        <v>45536</v>
      </c>
      <c r="P3815" s="6">
        <v>913.85</v>
      </c>
      <c r="Q3815" s="6">
        <v>8597.17</v>
      </c>
      <c r="R3815" s="7">
        <v>45536</v>
      </c>
      <c r="S3815" s="6">
        <v>4278.6000000000004</v>
      </c>
      <c r="T3815" s="6">
        <v>164.12</v>
      </c>
      <c r="U3815" s="7">
        <v>45536</v>
      </c>
      <c r="V3815" s="6">
        <v>42.59</v>
      </c>
      <c r="W3815" s="6">
        <f ca="1">IFERROR(__xludf.DUMMYFUNCTION("IFERROR(GOOGLEFINANCE(B3815,""pe""),V3815)"),23.13)</f>
        <v>23.13</v>
      </c>
      <c r="X3815" s="6">
        <v>5.03</v>
      </c>
      <c r="Y3815" s="6">
        <v>2.98</v>
      </c>
      <c r="Z3815" s="6">
        <v>2</v>
      </c>
      <c r="AA3815" s="8">
        <v>45352</v>
      </c>
      <c r="AB3815" s="4">
        <v>0.25</v>
      </c>
      <c r="AC3815" s="6">
        <v>4.99</v>
      </c>
      <c r="AD3815" s="6">
        <v>10.79</v>
      </c>
      <c r="AE3815" s="1">
        <v>0</v>
      </c>
      <c r="AF3815" s="1">
        <f ca="1">IFERROR(__xludf.DUMMYFUNCTION("IFERROR(GOOGLEFINANCE(TRIM(F3815)&amp;"":"" &amp; TRIM(B3815),""high52""),AE3815)"),189)</f>
        <v>189</v>
      </c>
      <c r="AG3815" s="1">
        <v>0</v>
      </c>
      <c r="AH3815" s="1">
        <f ca="1">IFERROR(__xludf.DUMMYFUNCTION("IFERROR(GOOGLEFINANCE(TRIM(F3815)&amp;"":"" &amp; TRIM(B3815),""low52""),AE3815)"),116)</f>
        <v>116</v>
      </c>
      <c r="AI3815" s="1">
        <f ca="1">IFERROR(__xludf.DUMMYFUNCTION("IFERROR(GOOGLEFINANCE(B3815,""eps""),0)"),5.24)</f>
        <v>5.24</v>
      </c>
      <c r="AJ3815" s="1"/>
      <c r="AK3815" s="9"/>
      <c r="AL3815" s="9">
        <f t="shared" si="356"/>
        <v>1</v>
      </c>
    </row>
    <row r="3816" spans="1:38" ht="15" x14ac:dyDescent="0.25">
      <c r="A3816" s="1" t="s">
        <v>11633</v>
      </c>
      <c r="B3816" s="1" t="s">
        <v>11634</v>
      </c>
      <c r="C3816" s="1" t="s">
        <v>82</v>
      </c>
      <c r="D3816" s="1" t="s">
        <v>82</v>
      </c>
      <c r="E3816" s="6">
        <v>195.43</v>
      </c>
      <c r="F3816" s="1" t="s">
        <v>40</v>
      </c>
      <c r="G3816" s="6">
        <f ca="1">IFERROR(__xludf.DUMMYFUNCTION("iferror(GOOGLEFINANCE(TRIM(F3816)&amp;"":"" &amp; TRIM(B3816), ""price""),0
)"),44)</f>
        <v>44</v>
      </c>
      <c r="H3816" s="6">
        <v>66.69</v>
      </c>
      <c r="I3816" s="6">
        <f t="shared" ca="1" si="0"/>
        <v>44</v>
      </c>
      <c r="J3816" s="6">
        <f ca="1">IFERROR(__xludf.DUMMYFUNCTION("IFERROR(GOOGLEFINANCE(B3816, ""volume""), 0)"),13798)</f>
        <v>13798</v>
      </c>
      <c r="K3816" s="6">
        <v>-0.61</v>
      </c>
      <c r="L3816" s="6">
        <f ca="1">IFERROR(__xludf.DUMMYFUNCTION("IFERROR(GOOGLEFINANCE(B3816,""changepct""),K3816)"),-0.56)</f>
        <v>-0.56000000000000005</v>
      </c>
      <c r="M3816" s="6">
        <f ca="1">IFERROR(__xludf.DUMMYFUNCTION("IFERROR(GOOGLEFINANCE(B3816,""change""),0)"),-0.25)</f>
        <v>-0.25</v>
      </c>
      <c r="N3816" s="6">
        <v>2</v>
      </c>
      <c r="O3816" s="7">
        <v>45536</v>
      </c>
      <c r="P3816" s="6">
        <v>45.25</v>
      </c>
      <c r="Q3816" s="6">
        <v>227.82</v>
      </c>
      <c r="R3816" s="7">
        <v>45536</v>
      </c>
      <c r="S3816" s="6">
        <v>390.26</v>
      </c>
      <c r="T3816" s="6">
        <v>3.32</v>
      </c>
      <c r="U3816" s="7">
        <v>45536</v>
      </c>
      <c r="V3816" s="6">
        <v>49.19</v>
      </c>
      <c r="W3816" s="6">
        <f ca="1">IFERROR(__xludf.DUMMYFUNCTION("IFERROR(GOOGLEFINANCE(B3816,""pe""),V3816)"),7.22)</f>
        <v>7.22</v>
      </c>
      <c r="X3816" s="6">
        <v>2.1</v>
      </c>
      <c r="Y3816" s="6">
        <v>1.39</v>
      </c>
      <c r="Z3816" s="6">
        <v>2</v>
      </c>
      <c r="AA3816" s="8">
        <v>45352</v>
      </c>
      <c r="AB3816" s="4">
        <v>0.33</v>
      </c>
      <c r="AC3816" s="6">
        <v>3.59</v>
      </c>
      <c r="AD3816" s="6">
        <v>11.64</v>
      </c>
      <c r="AE3816" s="1">
        <v>0</v>
      </c>
      <c r="AF3816" s="1">
        <f ca="1">IFERROR(__xludf.DUMMYFUNCTION("IFERROR(GOOGLEFINANCE(TRIM(F3816)&amp;"":"" &amp; TRIM(B3816),""high52""),AE3816)"),68.99)</f>
        <v>68.989999999999995</v>
      </c>
      <c r="AG3816" s="1">
        <v>0</v>
      </c>
      <c r="AH3816" s="1">
        <f ca="1">IFERROR(__xludf.DUMMYFUNCTION("IFERROR(GOOGLEFINANCE(TRIM(F3816)&amp;"":"" &amp; TRIM(B3816),""low52""),AE3816)"),43.81)</f>
        <v>43.81</v>
      </c>
      <c r="AI3816" s="1">
        <f ca="1">IFERROR(__xludf.DUMMYFUNCTION("IFERROR(GOOGLEFINANCE(B3816,""eps""),0)"),6.1)</f>
        <v>6.1</v>
      </c>
      <c r="AJ3816" s="1"/>
      <c r="AK3816" s="1" t="s">
        <v>11635</v>
      </c>
      <c r="AL3816" s="9">
        <f t="shared" si="356"/>
        <v>1</v>
      </c>
    </row>
    <row r="3817" spans="1:38" ht="15" x14ac:dyDescent="0.25">
      <c r="A3817" s="1" t="s">
        <v>11636</v>
      </c>
      <c r="B3817" s="1" t="s">
        <v>11637</v>
      </c>
      <c r="C3817" s="1" t="s">
        <v>1129</v>
      </c>
      <c r="D3817" s="1" t="s">
        <v>1129</v>
      </c>
      <c r="E3817" s="6">
        <v>754.72</v>
      </c>
      <c r="F3817" s="1" t="s">
        <v>53</v>
      </c>
      <c r="G3817" s="6">
        <f ca="1">IFERROR(__xludf.DUMMYFUNCTION("iferror(GOOGLEFINANCE(TRIM(F3817)&amp;"":"" &amp; TRIM(B3817), ""price""),0
)"),0)</f>
        <v>0</v>
      </c>
      <c r="H3817" s="6">
        <v>1623.85</v>
      </c>
      <c r="I3817" s="6">
        <f t="shared" ca="1" si="0"/>
        <v>1623.85</v>
      </c>
      <c r="J3817" s="6">
        <f ca="1">IFERROR(__xludf.DUMMYFUNCTION("IFERROR(GOOGLEFINANCE(B3817, ""volume""), 0)"),0)</f>
        <v>0</v>
      </c>
      <c r="K3817" s="6">
        <v>-1.03</v>
      </c>
      <c r="L3817" s="6">
        <f ca="1">IFERROR(__xludf.DUMMYFUNCTION("IFERROR(GOOGLEFINANCE(B3817,""changepct""),K3817)"),-1.03)</f>
        <v>-1.03</v>
      </c>
      <c r="M3817" s="6">
        <f ca="1">IFERROR(__xludf.DUMMYFUNCTION("IFERROR(GOOGLEFINANCE(B3817,""change""),0)"),0)</f>
        <v>0</v>
      </c>
      <c r="N3817" s="6">
        <v>1</v>
      </c>
      <c r="O3817" s="7">
        <v>45536</v>
      </c>
      <c r="P3817" s="9"/>
      <c r="Q3817" s="6">
        <v>705.12</v>
      </c>
      <c r="R3817" s="7">
        <v>45536</v>
      </c>
      <c r="S3817" s="6">
        <v>185.61</v>
      </c>
      <c r="T3817" s="6">
        <v>29</v>
      </c>
      <c r="U3817" s="7">
        <v>45536</v>
      </c>
      <c r="V3817" s="6">
        <v>26.02</v>
      </c>
      <c r="W3817" s="6">
        <f ca="1">IFERROR(__xludf.DUMMYFUNCTION("IFERROR(GOOGLEFINANCE(B3817,""pe""),V3817)"),26.02)</f>
        <v>26.02</v>
      </c>
      <c r="X3817" s="6">
        <v>0.91</v>
      </c>
      <c r="Y3817" s="6">
        <v>10.38</v>
      </c>
      <c r="Z3817" s="6">
        <v>1</v>
      </c>
      <c r="AA3817" s="8">
        <v>45352</v>
      </c>
      <c r="AB3817" s="4">
        <v>0</v>
      </c>
      <c r="AC3817" s="6">
        <v>33.68</v>
      </c>
      <c r="AD3817" s="6">
        <v>45.22</v>
      </c>
      <c r="AE3817" s="1">
        <v>0</v>
      </c>
      <c r="AF3817" s="1">
        <f ca="1">IFERROR(__xludf.DUMMYFUNCTION("IFERROR(GOOGLEFINANCE(TRIM(F3817)&amp;"":"" &amp; TRIM(B3817),""high52""),AE3817)"),0)</f>
        <v>0</v>
      </c>
      <c r="AG3817" s="1">
        <v>0</v>
      </c>
      <c r="AH3817" s="1">
        <f ca="1">IFERROR(__xludf.DUMMYFUNCTION("IFERROR(GOOGLEFINANCE(TRIM(F3817)&amp;"":"" &amp; TRIM(B3817),""low52""),AE3817)"),0)</f>
        <v>0</v>
      </c>
      <c r="AI3817" s="1">
        <f ca="1">IFERROR(__xludf.DUMMYFUNCTION("IFERROR(GOOGLEFINANCE(B3817,""eps""),0)"),0)</f>
        <v>0</v>
      </c>
      <c r="AJ3817" s="1"/>
      <c r="AK3817" s="1" t="s">
        <v>11638</v>
      </c>
      <c r="AL3817" s="9">
        <f t="shared" si="356"/>
        <v>1</v>
      </c>
    </row>
    <row r="3818" spans="1:38" ht="15" x14ac:dyDescent="0.25">
      <c r="A3818" s="1" t="s">
        <v>11639</v>
      </c>
      <c r="B3818" s="1" t="s">
        <v>11640</v>
      </c>
      <c r="C3818" s="1" t="s">
        <v>410</v>
      </c>
      <c r="D3818" s="1" t="s">
        <v>410</v>
      </c>
      <c r="E3818" s="6">
        <v>40.590000000000003</v>
      </c>
      <c r="F3818" s="1" t="s">
        <v>40</v>
      </c>
      <c r="G3818" s="6">
        <f ca="1">IFERROR(__xludf.DUMMYFUNCTION("iferror(GOOGLEFINANCE(TRIM(F3818)&amp;"":"" &amp; TRIM(B3818), ""price""),0
)"),9.16)</f>
        <v>9.16</v>
      </c>
      <c r="H3818" s="6">
        <v>14</v>
      </c>
      <c r="I3818" s="6">
        <f t="shared" ca="1" si="0"/>
        <v>9.16</v>
      </c>
      <c r="J3818" s="6">
        <f ca="1">IFERROR(__xludf.DUMMYFUNCTION("IFERROR(GOOGLEFINANCE(B3818, ""volume""), 0)"),8712)</f>
        <v>8712</v>
      </c>
      <c r="K3818" s="6">
        <v>1.01</v>
      </c>
      <c r="L3818" s="6">
        <f ca="1">IFERROR(__xludf.DUMMYFUNCTION("IFERROR(GOOGLEFINANCE(B3818,""changepct""),K3818)"),-2.55)</f>
        <v>-2.5499999999999998</v>
      </c>
      <c r="M3818" s="6">
        <f ca="1">IFERROR(__xludf.DUMMYFUNCTION("IFERROR(GOOGLEFINANCE(B3818,""change""),0)"),-0.24)</f>
        <v>-0.24</v>
      </c>
      <c r="N3818" s="6">
        <v>1</v>
      </c>
      <c r="O3818" s="7">
        <v>45536</v>
      </c>
      <c r="P3818" s="6">
        <v>4.1100000000000003</v>
      </c>
      <c r="Q3818" s="6">
        <v>44.7</v>
      </c>
      <c r="R3818" s="7">
        <v>45536</v>
      </c>
      <c r="S3818" s="6">
        <v>35.340000000000003</v>
      </c>
      <c r="T3818" s="6">
        <v>-3.56</v>
      </c>
      <c r="U3818" s="7">
        <v>45536</v>
      </c>
      <c r="V3818" s="6">
        <v>0</v>
      </c>
      <c r="W3818" s="6">
        <f ca="1">IFERROR(__xludf.DUMMYFUNCTION("IFERROR(GOOGLEFINANCE(B3818,""pe""),V3818)"),13.67)</f>
        <v>13.67</v>
      </c>
      <c r="X3818" s="6">
        <v>0</v>
      </c>
      <c r="Y3818" s="6">
        <v>0.54</v>
      </c>
      <c r="Z3818" s="6">
        <v>1</v>
      </c>
      <c r="AA3818" s="8">
        <v>45352</v>
      </c>
      <c r="AB3818" s="4">
        <v>7.0000000000000007E-2</v>
      </c>
      <c r="AC3818" s="6">
        <v>-4.6900000000000004</v>
      </c>
      <c r="AD3818" s="6">
        <v>-2.08</v>
      </c>
      <c r="AE3818" s="1">
        <v>0</v>
      </c>
      <c r="AF3818" s="1">
        <f ca="1">IFERROR(__xludf.DUMMYFUNCTION("IFERROR(GOOGLEFINANCE(TRIM(F3818)&amp;"":"" &amp; TRIM(B3818),""high52""),AE3818)"),15.5)</f>
        <v>15.5</v>
      </c>
      <c r="AG3818" s="1">
        <v>0</v>
      </c>
      <c r="AH3818" s="1">
        <f ca="1">IFERROR(__xludf.DUMMYFUNCTION("IFERROR(GOOGLEFINANCE(TRIM(F3818)&amp;"":"" &amp; TRIM(B3818),""low52""),AE3818)"),8.7)</f>
        <v>8.6999999999999993</v>
      </c>
      <c r="AI3818" s="1">
        <f ca="1">IFERROR(__xludf.DUMMYFUNCTION("IFERROR(GOOGLEFINANCE(B3818,""eps""),0)"),0.67)</f>
        <v>0.67</v>
      </c>
      <c r="AJ3818" s="1"/>
      <c r="AK3818" s="1" t="s">
        <v>11641</v>
      </c>
      <c r="AL3818" s="9">
        <f t="shared" si="356"/>
        <v>1</v>
      </c>
    </row>
    <row r="3819" spans="1:38" ht="15" x14ac:dyDescent="0.25">
      <c r="A3819" s="1" t="s">
        <v>11642</v>
      </c>
      <c r="B3819" s="1" t="s">
        <v>11643</v>
      </c>
      <c r="C3819" s="1" t="s">
        <v>521</v>
      </c>
      <c r="D3819" s="1" t="s">
        <v>521</v>
      </c>
      <c r="E3819" s="6">
        <v>335.38</v>
      </c>
      <c r="F3819" s="1" t="s">
        <v>40</v>
      </c>
      <c r="G3819" s="6">
        <f ca="1">IFERROR(__xludf.DUMMYFUNCTION("iferror(GOOGLEFINANCE(TRIM(F3819)&amp;"":"" &amp; TRIM(B3819), ""price""),0
)"),0)</f>
        <v>0</v>
      </c>
      <c r="H3819" s="6">
        <v>140.80000000000001</v>
      </c>
      <c r="I3819" s="6">
        <f t="shared" ca="1" si="0"/>
        <v>140.80000000000001</v>
      </c>
      <c r="J3819" s="6">
        <f ca="1">IFERROR(__xludf.DUMMYFUNCTION("IFERROR(GOOGLEFINANCE(B3819, ""volume""), 0)"),3969014)</f>
        <v>3969014</v>
      </c>
      <c r="K3819" s="6">
        <v>-2.9</v>
      </c>
      <c r="L3819" s="6">
        <f ca="1">IFERROR(__xludf.DUMMYFUNCTION("IFERROR(GOOGLEFINANCE(B3819,""changepct""),K3819)"),-0.86)</f>
        <v>-0.86</v>
      </c>
      <c r="M3819" s="6">
        <f ca="1">IFERROR(__xludf.DUMMYFUNCTION("IFERROR(GOOGLEFINANCE(B3819,""change""),0)"),-0.12)</f>
        <v>-0.12</v>
      </c>
      <c r="N3819" s="6">
        <v>1</v>
      </c>
      <c r="O3819" s="7">
        <v>45536</v>
      </c>
      <c r="P3819" s="6">
        <v>53.72</v>
      </c>
      <c r="Q3819" s="6">
        <v>389.1</v>
      </c>
      <c r="R3819" s="12"/>
      <c r="S3819" s="12"/>
      <c r="T3819" s="12"/>
      <c r="U3819" s="7">
        <v>45352</v>
      </c>
      <c r="V3819" s="6">
        <v>31.46</v>
      </c>
      <c r="W3819" s="6">
        <f ca="1">IFERROR(__xludf.DUMMYFUNCTION("IFERROR(GOOGLEFINANCE(B3819,""pe""),V3819)"),322.75)</f>
        <v>322.75</v>
      </c>
      <c r="X3819" s="12"/>
      <c r="Y3819" s="6">
        <v>4.6399999999999997</v>
      </c>
      <c r="Z3819" s="6">
        <v>2</v>
      </c>
      <c r="AA3819" s="8">
        <v>45352</v>
      </c>
      <c r="AB3819" s="4">
        <v>0.63</v>
      </c>
      <c r="AC3819" s="6">
        <v>14.76</v>
      </c>
      <c r="AD3819" s="6">
        <v>14.71</v>
      </c>
      <c r="AE3819" s="1">
        <v>0</v>
      </c>
      <c r="AF3819" s="1">
        <f ca="1">IFERROR(__xludf.DUMMYFUNCTION("IFERROR(GOOGLEFINANCE(TRIM(F3819)&amp;"":"" &amp; TRIM(B3819),""high52""),AE3819)"),0)</f>
        <v>0</v>
      </c>
      <c r="AG3819" s="1">
        <v>0</v>
      </c>
      <c r="AH3819" s="1">
        <f ca="1">IFERROR(__xludf.DUMMYFUNCTION("IFERROR(GOOGLEFINANCE(TRIM(F3819)&amp;"":"" &amp; TRIM(B3819),""low52""),AE3819)"),0)</f>
        <v>0</v>
      </c>
      <c r="AI3819" s="1">
        <f ca="1">IFERROR(__xludf.DUMMYFUNCTION("IFERROR(GOOGLEFINANCE(B3819,""eps""),0)"),0.04)</f>
        <v>0.04</v>
      </c>
      <c r="AJ3819" s="1"/>
      <c r="AK3819" s="1" t="s">
        <v>11644</v>
      </c>
      <c r="AL3819" s="1" t="b">
        <f>ISNUMBER(AA3819)</f>
        <v>1</v>
      </c>
    </row>
    <row r="3820" spans="1:38" ht="15" x14ac:dyDescent="0.25">
      <c r="A3820" s="1" t="s">
        <v>11645</v>
      </c>
      <c r="B3820" s="1" t="s">
        <v>11646</v>
      </c>
      <c r="C3820" s="1" t="s">
        <v>2432</v>
      </c>
      <c r="D3820" s="1" t="s">
        <v>2432</v>
      </c>
      <c r="E3820" s="6">
        <v>5590.46</v>
      </c>
      <c r="F3820" s="1" t="s">
        <v>40</v>
      </c>
      <c r="G3820" s="6">
        <f ca="1">IFERROR(__xludf.DUMMYFUNCTION("iferror(GOOGLEFINANCE(TRIM(F3820)&amp;"":"" &amp; TRIM(B3820), ""price""),0
)"),3222.1)</f>
        <v>3222.1</v>
      </c>
      <c r="H3820" s="6">
        <v>2069</v>
      </c>
      <c r="I3820" s="6">
        <f t="shared" ca="1" si="0"/>
        <v>3222.1</v>
      </c>
      <c r="J3820" s="6">
        <f ca="1">IFERROR(__xludf.DUMMYFUNCTION("IFERROR(GOOGLEFINANCE(B3820, ""volume""), 0)"),139936)</f>
        <v>139936</v>
      </c>
      <c r="K3820" s="6">
        <v>1.41</v>
      </c>
      <c r="L3820" s="6">
        <f ca="1">IFERROR(__xludf.DUMMYFUNCTION("IFERROR(GOOGLEFINANCE(B3820,""changepct""),K3820)"),1.52)</f>
        <v>1.52</v>
      </c>
      <c r="M3820" s="6">
        <f ca="1">IFERROR(__xludf.DUMMYFUNCTION("IFERROR(GOOGLEFINANCE(B3820,""change""),0)"),48.3)</f>
        <v>48.3</v>
      </c>
      <c r="N3820" s="6">
        <v>1</v>
      </c>
      <c r="O3820" s="7">
        <v>45536</v>
      </c>
      <c r="P3820" s="6">
        <v>771.08</v>
      </c>
      <c r="Q3820" s="6">
        <v>6184.96</v>
      </c>
      <c r="R3820" s="7">
        <v>45536</v>
      </c>
      <c r="S3820" s="6">
        <v>4281.7700000000004</v>
      </c>
      <c r="T3820" s="6">
        <v>95.36</v>
      </c>
      <c r="U3820" s="7">
        <v>45536</v>
      </c>
      <c r="V3820" s="6">
        <v>58.62</v>
      </c>
      <c r="W3820" s="6">
        <f ca="1">IFERROR(__xludf.DUMMYFUNCTION("IFERROR(GOOGLEFINANCE(B3820,""pe""),V3820)"),41.09)</f>
        <v>41.09</v>
      </c>
      <c r="X3820" s="6">
        <v>1.81</v>
      </c>
      <c r="Y3820" s="6">
        <v>10.83</v>
      </c>
      <c r="Z3820" s="6">
        <v>1</v>
      </c>
      <c r="AA3820" s="8">
        <v>45352</v>
      </c>
      <c r="AB3820" s="4">
        <v>0.95</v>
      </c>
      <c r="AC3820" s="6">
        <v>27.95</v>
      </c>
      <c r="AD3820" s="6">
        <v>21.42</v>
      </c>
      <c r="AE3820" s="1">
        <v>0</v>
      </c>
      <c r="AF3820" s="1">
        <f ca="1">IFERROR(__xludf.DUMMYFUNCTION("IFERROR(GOOGLEFINANCE(TRIM(F3820)&amp;"":"" &amp; TRIM(B3820),""high52""),AE3820)"),4149)</f>
        <v>4149</v>
      </c>
      <c r="AG3820" s="1">
        <v>0</v>
      </c>
      <c r="AH3820" s="1">
        <f ca="1">IFERROR(__xludf.DUMMYFUNCTION("IFERROR(GOOGLEFINANCE(TRIM(F3820)&amp;"":"" &amp; TRIM(B3820),""low52""),AE3820)"),1523.1)</f>
        <v>1523.1</v>
      </c>
      <c r="AI3820" s="1">
        <f ca="1">IFERROR(__xludf.DUMMYFUNCTION("IFERROR(GOOGLEFINANCE(B3820,""eps""),0)"),78.42)</f>
        <v>78.42</v>
      </c>
      <c r="AJ3820" s="1"/>
      <c r="AK3820" s="1" t="s">
        <v>11647</v>
      </c>
      <c r="AL3820" s="9">
        <f t="shared" ref="AL3820:AL3826" si="357">IF(AA3820&lt;&gt;AB3820,1,0)</f>
        <v>1</v>
      </c>
    </row>
    <row r="3821" spans="1:38" ht="15" x14ac:dyDescent="0.25">
      <c r="A3821" s="1" t="s">
        <v>11648</v>
      </c>
      <c r="B3821" s="1" t="s">
        <v>11649</v>
      </c>
      <c r="C3821" s="1" t="s">
        <v>135</v>
      </c>
      <c r="D3821" s="1" t="s">
        <v>135</v>
      </c>
      <c r="E3821" s="6">
        <v>1348.31</v>
      </c>
      <c r="F3821" s="1" t="s">
        <v>40</v>
      </c>
      <c r="G3821" s="6">
        <f ca="1">IFERROR(__xludf.DUMMYFUNCTION("iferror(GOOGLEFINANCE(TRIM(F3821)&amp;"":"" &amp; TRIM(B3821), ""price""),0
)"),70.5)</f>
        <v>70.5</v>
      </c>
      <c r="H3821" s="6">
        <v>98.66</v>
      </c>
      <c r="I3821" s="6">
        <f t="shared" ca="1" si="0"/>
        <v>70.5</v>
      </c>
      <c r="J3821" s="6">
        <f ca="1">IFERROR(__xludf.DUMMYFUNCTION("IFERROR(GOOGLEFINANCE(B3821, ""volume""), 0)"),61617)</f>
        <v>61617</v>
      </c>
      <c r="K3821" s="6">
        <v>-0.96</v>
      </c>
      <c r="L3821" s="6">
        <f ca="1">IFERROR(__xludf.DUMMYFUNCTION("IFERROR(GOOGLEFINANCE(B3821,""changepct""),K3821)"),1.76)</f>
        <v>1.76</v>
      </c>
      <c r="M3821" s="6">
        <f ca="1">IFERROR(__xludf.DUMMYFUNCTION("IFERROR(GOOGLEFINANCE(B3821,""change""),0)"),1.22)</f>
        <v>1.22</v>
      </c>
      <c r="N3821" s="6">
        <v>2</v>
      </c>
      <c r="O3821" s="7">
        <v>45536</v>
      </c>
      <c r="P3821" s="6">
        <v>23.57</v>
      </c>
      <c r="Q3821" s="6">
        <v>1324.76</v>
      </c>
      <c r="R3821" s="7">
        <v>45536</v>
      </c>
      <c r="S3821" s="6">
        <v>1892.73</v>
      </c>
      <c r="T3821" s="6">
        <v>32.94</v>
      </c>
      <c r="U3821" s="7">
        <v>45536</v>
      </c>
      <c r="V3821" s="6">
        <v>24.71</v>
      </c>
      <c r="W3821" s="6">
        <f ca="1">IFERROR(__xludf.DUMMYFUNCTION("IFERROR(GOOGLEFINANCE(B3821,""pe""),V3821)"),15.23)</f>
        <v>15.23</v>
      </c>
      <c r="X3821" s="6">
        <v>-1.53</v>
      </c>
      <c r="Y3821" s="6">
        <v>0.85</v>
      </c>
      <c r="Z3821" s="6">
        <v>2</v>
      </c>
      <c r="AA3821" s="8">
        <v>45352</v>
      </c>
      <c r="AB3821" s="4">
        <v>0.02</v>
      </c>
      <c r="AC3821" s="6">
        <v>3.48</v>
      </c>
      <c r="AD3821" s="6">
        <v>4.43</v>
      </c>
      <c r="AE3821" s="1">
        <v>0</v>
      </c>
      <c r="AF3821" s="1">
        <f ca="1">IFERROR(__xludf.DUMMYFUNCTION("IFERROR(GOOGLEFINANCE(TRIM(F3821)&amp;"":"" &amp; TRIM(B3821),""high52""),AE3821)"),91.55)</f>
        <v>91.55</v>
      </c>
      <c r="AG3821" s="1">
        <v>0</v>
      </c>
      <c r="AH3821" s="1">
        <f ca="1">IFERROR(__xludf.DUMMYFUNCTION("IFERROR(GOOGLEFINANCE(TRIM(F3821)&amp;"":"" &amp; TRIM(B3821),""low52""),AE3821)"),65.1)</f>
        <v>65.099999999999994</v>
      </c>
      <c r="AI3821" s="1">
        <f ca="1">IFERROR(__xludf.DUMMYFUNCTION("IFERROR(GOOGLEFINANCE(B3821,""eps""),0)"),4.63)</f>
        <v>4.63</v>
      </c>
      <c r="AJ3821" s="1"/>
      <c r="AK3821" s="9"/>
      <c r="AL3821" s="9">
        <f t="shared" si="357"/>
        <v>1</v>
      </c>
    </row>
    <row r="3822" spans="1:38" ht="15" x14ac:dyDescent="0.25">
      <c r="A3822" s="1" t="s">
        <v>11650</v>
      </c>
      <c r="B3822" s="1" t="s">
        <v>11651</v>
      </c>
      <c r="C3822" s="1" t="s">
        <v>416</v>
      </c>
      <c r="D3822" s="1" t="s">
        <v>416</v>
      </c>
      <c r="E3822" s="6">
        <v>7092.77</v>
      </c>
      <c r="F3822" s="1" t="s">
        <v>40</v>
      </c>
      <c r="G3822" s="6">
        <f ca="1">IFERROR(__xludf.DUMMYFUNCTION("iferror(GOOGLEFINANCE(TRIM(F3822)&amp;"":"" &amp; TRIM(B3822), ""price""),0
)"),1755)</f>
        <v>1755</v>
      </c>
      <c r="H3822" s="6">
        <v>3538.1</v>
      </c>
      <c r="I3822" s="6">
        <f t="shared" ca="1" si="0"/>
        <v>1755</v>
      </c>
      <c r="J3822" s="6">
        <f ca="1">IFERROR(__xludf.DUMMYFUNCTION("IFERROR(GOOGLEFINANCE(B3822, ""volume""), 0)"),17437)</f>
        <v>17437</v>
      </c>
      <c r="K3822" s="6">
        <v>-0.13</v>
      </c>
      <c r="L3822" s="6">
        <f ca="1">IFERROR(__xludf.DUMMYFUNCTION("IFERROR(GOOGLEFINANCE(B3822,""changepct""),K3822)"),-0.14)</f>
        <v>-0.14000000000000001</v>
      </c>
      <c r="M3822" s="6">
        <f ca="1">IFERROR(__xludf.DUMMYFUNCTION("IFERROR(GOOGLEFINANCE(B3822,""change""),0)"),-2.4)</f>
        <v>-2.4</v>
      </c>
      <c r="N3822" s="6">
        <v>2</v>
      </c>
      <c r="O3822" s="7">
        <v>45536</v>
      </c>
      <c r="P3822" s="6">
        <v>17.89</v>
      </c>
      <c r="Q3822" s="6">
        <v>7102.19</v>
      </c>
      <c r="R3822" s="7">
        <v>45170</v>
      </c>
      <c r="S3822" s="6">
        <v>523.66</v>
      </c>
      <c r="T3822" s="6">
        <v>73.63</v>
      </c>
      <c r="U3822" s="7">
        <v>45170</v>
      </c>
      <c r="V3822" s="6">
        <v>96.34</v>
      </c>
      <c r="W3822" s="6">
        <f ca="1">IFERROR(__xludf.DUMMYFUNCTION("IFERROR(GOOGLEFINANCE(B3822,""pe""),V3822)"),29.35)</f>
        <v>29.35</v>
      </c>
      <c r="X3822" s="9"/>
      <c r="Y3822" s="6">
        <v>12.93</v>
      </c>
      <c r="Z3822" s="6">
        <v>2</v>
      </c>
      <c r="AA3822" s="8">
        <v>44986</v>
      </c>
      <c r="AB3822" s="4">
        <v>0.08</v>
      </c>
      <c r="AC3822" s="6">
        <v>12.41</v>
      </c>
      <c r="AD3822" s="6">
        <v>16.77</v>
      </c>
      <c r="AE3822" s="1">
        <v>0</v>
      </c>
      <c r="AF3822" s="1">
        <f ca="1">IFERROR(__xludf.DUMMYFUNCTION("IFERROR(GOOGLEFINANCE(TRIM(F3822)&amp;"":"" &amp; TRIM(B3822),""high52""),AE3822)"),3633.05)</f>
        <v>3633.05</v>
      </c>
      <c r="AG3822" s="1">
        <v>0</v>
      </c>
      <c r="AH3822" s="1">
        <f ca="1">IFERROR(__xludf.DUMMYFUNCTION("IFERROR(GOOGLEFINANCE(TRIM(F3822)&amp;"":"" &amp; TRIM(B3822),""low52""),AE3822)"),1700)</f>
        <v>1700</v>
      </c>
      <c r="AI3822" s="1">
        <f ca="1">IFERROR(__xludf.DUMMYFUNCTION("IFERROR(GOOGLEFINANCE(B3822,""eps""),0)"),59.8)</f>
        <v>59.8</v>
      </c>
      <c r="AJ3822" s="1"/>
      <c r="AK3822" s="1" t="s">
        <v>11652</v>
      </c>
      <c r="AL3822" s="9">
        <f t="shared" si="357"/>
        <v>1</v>
      </c>
    </row>
    <row r="3823" spans="1:38" ht="15" x14ac:dyDescent="0.25">
      <c r="A3823" s="1" t="s">
        <v>11653</v>
      </c>
      <c r="B3823" s="1" t="s">
        <v>11654</v>
      </c>
      <c r="C3823" s="1" t="s">
        <v>1129</v>
      </c>
      <c r="D3823" s="1" t="s">
        <v>1129</v>
      </c>
      <c r="E3823" s="6">
        <v>128.99</v>
      </c>
      <c r="F3823" s="1" t="s">
        <v>53</v>
      </c>
      <c r="G3823" s="6">
        <f ca="1">IFERROR(__xludf.DUMMYFUNCTION("iferror(GOOGLEFINANCE(TRIM(F3823)&amp;"":"" &amp; TRIM(B3823), ""price""),0
)"),0)</f>
        <v>0</v>
      </c>
      <c r="H3823" s="6">
        <v>232</v>
      </c>
      <c r="I3823" s="6">
        <f t="shared" ca="1" si="0"/>
        <v>232</v>
      </c>
      <c r="J3823" s="6">
        <f ca="1">IFERROR(__xludf.DUMMYFUNCTION("IFERROR(GOOGLEFINANCE(B3823, ""volume""), 0)"),0)</f>
        <v>0</v>
      </c>
      <c r="K3823" s="6">
        <v>-0.9</v>
      </c>
      <c r="L3823" s="6">
        <f ca="1">IFERROR(__xludf.DUMMYFUNCTION("IFERROR(GOOGLEFINANCE(B3823,""changepct""),K3823)"),-0.9)</f>
        <v>-0.9</v>
      </c>
      <c r="M3823" s="6">
        <f ca="1">IFERROR(__xludf.DUMMYFUNCTION("IFERROR(GOOGLEFINANCE(B3823,""change""),0)"),0)</f>
        <v>0</v>
      </c>
      <c r="N3823" s="6">
        <v>1</v>
      </c>
      <c r="O3823" s="7">
        <v>45536</v>
      </c>
      <c r="P3823" s="6">
        <v>2.39</v>
      </c>
      <c r="Q3823" s="6">
        <v>99.81</v>
      </c>
      <c r="R3823" s="7">
        <v>45536</v>
      </c>
      <c r="S3823" s="6">
        <v>33.54</v>
      </c>
      <c r="T3823" s="6">
        <v>5.03</v>
      </c>
      <c r="U3823" s="7">
        <v>45536</v>
      </c>
      <c r="V3823" s="6">
        <v>25.67</v>
      </c>
      <c r="W3823" s="6">
        <f ca="1">IFERROR(__xludf.DUMMYFUNCTION("IFERROR(GOOGLEFINANCE(B3823,""pe""),V3823)"),25.67)</f>
        <v>25.67</v>
      </c>
      <c r="X3823" s="6">
        <v>0.36</v>
      </c>
      <c r="Y3823" s="6">
        <v>3.93</v>
      </c>
      <c r="Z3823" s="6">
        <v>1</v>
      </c>
      <c r="AA3823" s="8">
        <v>45352</v>
      </c>
      <c r="AB3823" s="4">
        <v>0.18</v>
      </c>
      <c r="AC3823" s="6">
        <v>17.600000000000001</v>
      </c>
      <c r="AD3823" s="6">
        <v>23.26</v>
      </c>
      <c r="AE3823" s="1">
        <v>0</v>
      </c>
      <c r="AF3823" s="1">
        <f ca="1">IFERROR(__xludf.DUMMYFUNCTION("IFERROR(GOOGLEFINANCE(TRIM(F3823)&amp;"":"" &amp; TRIM(B3823),""high52""),AE3823)"),0)</f>
        <v>0</v>
      </c>
      <c r="AG3823" s="1">
        <v>0</v>
      </c>
      <c r="AH3823" s="1">
        <f ca="1">IFERROR(__xludf.DUMMYFUNCTION("IFERROR(GOOGLEFINANCE(TRIM(F3823)&amp;"":"" &amp; TRIM(B3823),""low52""),AE3823)"),0)</f>
        <v>0</v>
      </c>
      <c r="AI3823" s="1">
        <f ca="1">IFERROR(__xludf.DUMMYFUNCTION("IFERROR(GOOGLEFINANCE(B3823,""eps""),0)"),0)</f>
        <v>0</v>
      </c>
      <c r="AJ3823" s="1"/>
      <c r="AK3823" s="1" t="s">
        <v>11655</v>
      </c>
      <c r="AL3823" s="9">
        <f t="shared" si="357"/>
        <v>1</v>
      </c>
    </row>
    <row r="3824" spans="1:38" ht="15" x14ac:dyDescent="0.25">
      <c r="A3824" s="1" t="s">
        <v>11656</v>
      </c>
      <c r="B3824" s="1" t="s">
        <v>11657</v>
      </c>
      <c r="C3824" s="1" t="s">
        <v>1129</v>
      </c>
      <c r="D3824" s="1" t="s">
        <v>1129</v>
      </c>
      <c r="E3824" s="6">
        <v>67.06</v>
      </c>
      <c r="F3824" s="1" t="s">
        <v>53</v>
      </c>
      <c r="G3824" s="6">
        <f ca="1">IFERROR(__xludf.DUMMYFUNCTION("iferror(GOOGLEFINANCE(TRIM(F3824)&amp;"":"" &amp; TRIM(B3824), ""price""),0
)"),0)</f>
        <v>0</v>
      </c>
      <c r="H3824" s="6">
        <v>56</v>
      </c>
      <c r="I3824" s="6">
        <f t="shared" ca="1" si="0"/>
        <v>56</v>
      </c>
      <c r="J3824" s="6">
        <f ca="1">IFERROR(__xludf.DUMMYFUNCTION("IFERROR(GOOGLEFINANCE(B3824, ""volume""), 0)"),0)</f>
        <v>0</v>
      </c>
      <c r="K3824" s="6">
        <v>0.41</v>
      </c>
      <c r="L3824" s="6">
        <f ca="1">IFERROR(__xludf.DUMMYFUNCTION("IFERROR(GOOGLEFINANCE(B3824,""changepct""),K3824)"),0.41)</f>
        <v>0.41</v>
      </c>
      <c r="M3824" s="6">
        <f ca="1">IFERROR(__xludf.DUMMYFUNCTION("IFERROR(GOOGLEFINANCE(B3824,""change""),0)"),0)</f>
        <v>0</v>
      </c>
      <c r="N3824" s="6">
        <v>1</v>
      </c>
      <c r="O3824" s="7">
        <v>45536</v>
      </c>
      <c r="P3824" s="9"/>
      <c r="Q3824" s="6">
        <v>17.14</v>
      </c>
      <c r="R3824" s="7">
        <v>45536</v>
      </c>
      <c r="S3824" s="6">
        <v>17.739999999999998</v>
      </c>
      <c r="T3824" s="6">
        <v>11.31</v>
      </c>
      <c r="U3824" s="7">
        <v>45536</v>
      </c>
      <c r="V3824" s="6">
        <v>5.93</v>
      </c>
      <c r="W3824" s="6">
        <f ca="1">IFERROR(__xludf.DUMMYFUNCTION("IFERROR(GOOGLEFINANCE(B3824,""pe""),V3824)"),5.93)</f>
        <v>5.93</v>
      </c>
      <c r="X3824" s="6">
        <v>-84.68</v>
      </c>
      <c r="Y3824" s="6">
        <v>2.57</v>
      </c>
      <c r="Z3824" s="6">
        <v>1</v>
      </c>
      <c r="AA3824" s="8">
        <v>45352</v>
      </c>
      <c r="AB3824" s="4">
        <v>0</v>
      </c>
      <c r="AC3824" s="6">
        <v>42.82</v>
      </c>
      <c r="AD3824" s="6">
        <v>44.88</v>
      </c>
      <c r="AE3824" s="1">
        <v>0</v>
      </c>
      <c r="AF3824" s="1">
        <f ca="1">IFERROR(__xludf.DUMMYFUNCTION("IFERROR(GOOGLEFINANCE(TRIM(F3824)&amp;"":"" &amp; TRIM(B3824),""high52""),AE3824)"),0)</f>
        <v>0</v>
      </c>
      <c r="AG3824" s="1">
        <v>0</v>
      </c>
      <c r="AH3824" s="1">
        <f ca="1">IFERROR(__xludf.DUMMYFUNCTION("IFERROR(GOOGLEFINANCE(TRIM(F3824)&amp;"":"" &amp; TRIM(B3824),""low52""),AE3824)"),0)</f>
        <v>0</v>
      </c>
      <c r="AI3824" s="1">
        <f ca="1">IFERROR(__xludf.DUMMYFUNCTION("IFERROR(GOOGLEFINANCE(B3824,""eps""),0)"),0)</f>
        <v>0</v>
      </c>
      <c r="AJ3824" s="1"/>
      <c r="AK3824" s="1" t="s">
        <v>11658</v>
      </c>
      <c r="AL3824" s="9">
        <f t="shared" si="357"/>
        <v>1</v>
      </c>
    </row>
    <row r="3825" spans="1:38" ht="15" x14ac:dyDescent="0.25">
      <c r="A3825" s="1" t="s">
        <v>11659</v>
      </c>
      <c r="B3825" s="1" t="s">
        <v>11660</v>
      </c>
      <c r="C3825" s="1" t="s">
        <v>1129</v>
      </c>
      <c r="D3825" s="1" t="s">
        <v>1129</v>
      </c>
      <c r="E3825" s="6">
        <v>74.7</v>
      </c>
      <c r="F3825" s="1" t="s">
        <v>53</v>
      </c>
      <c r="G3825" s="6">
        <f ca="1">IFERROR(__xludf.DUMMYFUNCTION("iferror(GOOGLEFINANCE(TRIM(F3825)&amp;"":"" &amp; TRIM(B3825), ""price""),0
)"),0)</f>
        <v>0</v>
      </c>
      <c r="H3825" s="6">
        <v>1.1599999999999999</v>
      </c>
      <c r="I3825" s="6">
        <f t="shared" ca="1" si="0"/>
        <v>1.1599999999999999</v>
      </c>
      <c r="J3825" s="6">
        <f ca="1">IFERROR(__xludf.DUMMYFUNCTION("IFERROR(GOOGLEFINANCE(B3825, ""volume""), 0)"),0)</f>
        <v>0</v>
      </c>
      <c r="K3825" s="6">
        <v>-4.92</v>
      </c>
      <c r="L3825" s="6">
        <f ca="1">IFERROR(__xludf.DUMMYFUNCTION("IFERROR(GOOGLEFINANCE(B3825,""changepct""),K3825)"),-4.92)</f>
        <v>-4.92</v>
      </c>
      <c r="M3825" s="6">
        <f ca="1">IFERROR(__xludf.DUMMYFUNCTION("IFERROR(GOOGLEFINANCE(B3825,""change""),0)"),0)</f>
        <v>0</v>
      </c>
      <c r="N3825" s="6">
        <v>1</v>
      </c>
      <c r="O3825" s="7">
        <v>45536</v>
      </c>
      <c r="P3825" s="6">
        <v>2041.03</v>
      </c>
      <c r="Q3825" s="6">
        <v>2111.9</v>
      </c>
      <c r="R3825" s="7">
        <v>45536</v>
      </c>
      <c r="S3825" s="6">
        <v>251.55</v>
      </c>
      <c r="T3825" s="6">
        <v>-121.9</v>
      </c>
      <c r="U3825" s="7">
        <v>45536</v>
      </c>
      <c r="V3825" s="6">
        <v>0</v>
      </c>
      <c r="W3825" s="6">
        <f ca="1">IFERROR(__xludf.DUMMYFUNCTION("IFERROR(GOOGLEFINANCE(B3825,""pe""),V3825)"),0)</f>
        <v>0</v>
      </c>
      <c r="X3825" s="6">
        <v>0</v>
      </c>
      <c r="Y3825" s="6">
        <v>-0.03</v>
      </c>
      <c r="Z3825" s="6">
        <v>1</v>
      </c>
      <c r="AA3825" s="8">
        <v>45352</v>
      </c>
      <c r="AB3825" s="4">
        <v>-0.71</v>
      </c>
      <c r="AC3825" s="6">
        <v>0</v>
      </c>
      <c r="AD3825" s="6">
        <v>0</v>
      </c>
      <c r="AE3825" s="1">
        <v>0</v>
      </c>
      <c r="AF3825" s="1">
        <f ca="1">IFERROR(__xludf.DUMMYFUNCTION("IFERROR(GOOGLEFINANCE(TRIM(F3825)&amp;"":"" &amp; TRIM(B3825),""high52""),AE3825)"),0)</f>
        <v>0</v>
      </c>
      <c r="AG3825" s="1">
        <v>0</v>
      </c>
      <c r="AH3825" s="1">
        <f ca="1">IFERROR(__xludf.DUMMYFUNCTION("IFERROR(GOOGLEFINANCE(TRIM(F3825)&amp;"":"" &amp; TRIM(B3825),""low52""),AE3825)"),0)</f>
        <v>0</v>
      </c>
      <c r="AI3825" s="1">
        <f ca="1">IFERROR(__xludf.DUMMYFUNCTION("IFERROR(GOOGLEFINANCE(B3825,""eps""),0)"),0)</f>
        <v>0</v>
      </c>
      <c r="AJ3825" s="1"/>
      <c r="AK3825" s="1" t="s">
        <v>11661</v>
      </c>
      <c r="AL3825" s="9">
        <f t="shared" si="357"/>
        <v>1</v>
      </c>
    </row>
    <row r="3826" spans="1:38" ht="15" x14ac:dyDescent="0.25">
      <c r="A3826" s="1" t="s">
        <v>11662</v>
      </c>
      <c r="B3826" s="1" t="s">
        <v>11663</v>
      </c>
      <c r="C3826" s="1" t="s">
        <v>410</v>
      </c>
      <c r="D3826" s="1" t="s">
        <v>410</v>
      </c>
      <c r="E3826" s="6">
        <v>501.88</v>
      </c>
      <c r="F3826" s="1" t="s">
        <v>40</v>
      </c>
      <c r="G3826" s="6">
        <f ca="1">IFERROR(__xludf.DUMMYFUNCTION("iferror(GOOGLEFINANCE(TRIM(F3826)&amp;"":"" &amp; TRIM(B3826), ""price""),0
)"),50)</f>
        <v>50</v>
      </c>
      <c r="H3826" s="6">
        <v>95.02</v>
      </c>
      <c r="I3826" s="6">
        <f t="shared" ca="1" si="0"/>
        <v>50</v>
      </c>
      <c r="J3826" s="6">
        <f ca="1">IFERROR(__xludf.DUMMYFUNCTION("IFERROR(GOOGLEFINANCE(B3826, ""volume""), 0)"),51516)</f>
        <v>51516</v>
      </c>
      <c r="K3826" s="6">
        <v>-0.48</v>
      </c>
      <c r="L3826" s="6">
        <f ca="1">IFERROR(__xludf.DUMMYFUNCTION("IFERROR(GOOGLEFINANCE(B3826,""changepct""),K3826)"),-2.32)</f>
        <v>-2.3199999999999998</v>
      </c>
      <c r="M3826" s="6">
        <f ca="1">IFERROR(__xludf.DUMMYFUNCTION("IFERROR(GOOGLEFINANCE(B3826,""change""),0)"),-1.19)</f>
        <v>-1.19</v>
      </c>
      <c r="N3826" s="6">
        <v>1</v>
      </c>
      <c r="O3826" s="7">
        <v>45536</v>
      </c>
      <c r="P3826" s="6">
        <v>5.6</v>
      </c>
      <c r="Q3826" s="6">
        <v>492.78</v>
      </c>
      <c r="R3826" s="7">
        <v>45536</v>
      </c>
      <c r="S3826" s="6">
        <v>87.81</v>
      </c>
      <c r="T3826" s="6">
        <v>6.04</v>
      </c>
      <c r="U3826" s="7">
        <v>45536</v>
      </c>
      <c r="V3826" s="6">
        <v>83.13</v>
      </c>
      <c r="W3826" s="6">
        <f ca="1">IFERROR(__xludf.DUMMYFUNCTION("IFERROR(GOOGLEFINANCE(B3826,""pe""),V3826)"),49.5)</f>
        <v>49.5</v>
      </c>
      <c r="X3826" s="6">
        <v>37.619999999999997</v>
      </c>
      <c r="Y3826" s="6">
        <v>2.25</v>
      </c>
      <c r="Z3826" s="6">
        <v>1</v>
      </c>
      <c r="AA3826" s="8">
        <v>45352</v>
      </c>
      <c r="AB3826" s="4">
        <v>7.0000000000000007E-2</v>
      </c>
      <c r="AC3826" s="6">
        <v>3.18</v>
      </c>
      <c r="AD3826" s="6">
        <v>5.71</v>
      </c>
      <c r="AE3826" s="1">
        <v>0</v>
      </c>
      <c r="AF3826" s="1">
        <f ca="1">IFERROR(__xludf.DUMMYFUNCTION("IFERROR(GOOGLEFINANCE(TRIM(F3826)&amp;"":"" &amp; TRIM(B3826),""high52""),AE3826)"),100.8)</f>
        <v>100.8</v>
      </c>
      <c r="AG3826" s="1">
        <v>0</v>
      </c>
      <c r="AH3826" s="1">
        <f ca="1">IFERROR(__xludf.DUMMYFUNCTION("IFERROR(GOOGLEFINANCE(TRIM(F3826)&amp;"":"" &amp; TRIM(B3826),""low52""),AE3826)"),46)</f>
        <v>46</v>
      </c>
      <c r="AI3826" s="1">
        <f ca="1">IFERROR(__xludf.DUMMYFUNCTION("IFERROR(GOOGLEFINANCE(B3826,""eps""),0)"),1.01)</f>
        <v>1.01</v>
      </c>
      <c r="AJ3826" s="1"/>
      <c r="AK3826" s="1" t="s">
        <v>11664</v>
      </c>
      <c r="AL3826" s="9">
        <f t="shared" si="357"/>
        <v>1</v>
      </c>
    </row>
    <row r="3827" spans="1:38" ht="15" x14ac:dyDescent="0.25">
      <c r="A3827" s="1" t="s">
        <v>11665</v>
      </c>
      <c r="B3827" s="1" t="s">
        <v>11666</v>
      </c>
      <c r="C3827" s="1" t="s">
        <v>1067</v>
      </c>
      <c r="D3827" s="1" t="s">
        <v>1067</v>
      </c>
      <c r="E3827" s="6">
        <v>50562.55</v>
      </c>
      <c r="F3827" s="1" t="s">
        <v>40</v>
      </c>
      <c r="G3827" s="6">
        <f ca="1">IFERROR(__xludf.DUMMYFUNCTION("iferror(GOOGLEFINANCE(TRIM(F3827)&amp;"":"" &amp; TRIM(B3827), ""price""),0
)"),281.15)</f>
        <v>281.14999999999998</v>
      </c>
      <c r="H3827" s="6">
        <v>206.09</v>
      </c>
      <c r="I3827" s="6">
        <f t="shared" ca="1" si="0"/>
        <v>281.14999999999998</v>
      </c>
      <c r="J3827" s="6">
        <f ca="1">IFERROR(__xludf.DUMMYFUNCTION("IFERROR(GOOGLEFINANCE(B3827, ""volume""), 0)"),7143698)</f>
        <v>7143698</v>
      </c>
      <c r="K3827" s="6">
        <v>-0.02</v>
      </c>
      <c r="L3827" s="6">
        <f ca="1">IFERROR(__xludf.DUMMYFUNCTION("IFERROR(GOOGLEFINANCE(B3827,""changepct""),K3827)"),-1.39)</f>
        <v>-1.39</v>
      </c>
      <c r="M3827" s="6">
        <f ca="1">IFERROR(__xludf.DUMMYFUNCTION("IFERROR(GOOGLEFINANCE(B3827,""change""),0)"),-3.95)</f>
        <v>-3.95</v>
      </c>
      <c r="N3827" s="6">
        <v>2</v>
      </c>
      <c r="O3827" s="7">
        <v>45536</v>
      </c>
      <c r="P3827" s="6">
        <v>26157.68</v>
      </c>
      <c r="Q3827" s="6">
        <v>4180.1099999999997</v>
      </c>
      <c r="R3827" s="7">
        <v>45536</v>
      </c>
      <c r="S3827" s="6">
        <v>12.24</v>
      </c>
      <c r="T3827" s="6">
        <v>0.51</v>
      </c>
      <c r="U3827" s="6">
        <v>1.55</v>
      </c>
      <c r="V3827" s="6">
        <v>2</v>
      </c>
      <c r="W3827" s="6">
        <f ca="1">IFERROR(__xludf.DUMMYFUNCTION("IFERROR(GOOGLEFINANCE(B3827,""pe""),V3827)"),17.04)</f>
        <v>17.04</v>
      </c>
      <c r="X3827" s="7">
        <v>45352</v>
      </c>
      <c r="Y3827" s="6">
        <v>15.04</v>
      </c>
      <c r="Z3827" s="6">
        <v>1</v>
      </c>
      <c r="AA3827" s="8">
        <v>45352</v>
      </c>
      <c r="AB3827" s="4">
        <v>0.6</v>
      </c>
      <c r="AC3827" s="6">
        <v>2.87</v>
      </c>
      <c r="AD3827" s="6">
        <v>10.6</v>
      </c>
      <c r="AE3827" s="1">
        <v>0</v>
      </c>
      <c r="AF3827" s="1">
        <f ca="1">IFERROR(__xludf.DUMMYFUNCTION("IFERROR(GOOGLEFINANCE(TRIM(F3827)&amp;"":"" &amp; TRIM(B3827),""high52""),AE3827)"),289.6)</f>
        <v>289.60000000000002</v>
      </c>
      <c r="AG3827" s="1">
        <v>0</v>
      </c>
      <c r="AH3827" s="1">
        <f ca="1">IFERROR(__xludf.DUMMYFUNCTION("IFERROR(GOOGLEFINANCE(TRIM(F3827)&amp;"":"" &amp; TRIM(B3827),""low52""),AE3827)"),172.66)</f>
        <v>172.66</v>
      </c>
      <c r="AI3827" s="1">
        <f ca="1">IFERROR(__xludf.DUMMYFUNCTION("IFERROR(GOOGLEFINANCE(B3827,""eps""),0)"),16.5)</f>
        <v>16.5</v>
      </c>
      <c r="AJ3827" s="1"/>
      <c r="AK3827" s="1" t="s">
        <v>11667</v>
      </c>
      <c r="AL3827" s="1" t="b">
        <f>ISNUMBER(AA3827)</f>
        <v>1</v>
      </c>
    </row>
    <row r="3828" spans="1:38" ht="15" x14ac:dyDescent="0.25">
      <c r="A3828" s="1" t="s">
        <v>11668</v>
      </c>
      <c r="B3828" s="1" t="s">
        <v>11669</v>
      </c>
      <c r="C3828" s="1" t="s">
        <v>502</v>
      </c>
      <c r="D3828" s="1" t="s">
        <v>502</v>
      </c>
      <c r="E3828" s="6">
        <v>65134.26</v>
      </c>
      <c r="F3828" s="1" t="s">
        <v>40</v>
      </c>
      <c r="G3828" s="6">
        <f ca="1">IFERROR(__xludf.DUMMYFUNCTION("iferror(GOOGLEFINANCE(TRIM(F3828)&amp;"":"" &amp; TRIM(B3828), ""price""),0
)"),787.3)</f>
        <v>787.3</v>
      </c>
      <c r="H3828" s="6">
        <v>978.05</v>
      </c>
      <c r="I3828" s="6">
        <f t="shared" ca="1" si="0"/>
        <v>787.3</v>
      </c>
      <c r="J3828" s="6">
        <f ca="1">IFERROR(__xludf.DUMMYFUNCTION("IFERROR(GOOGLEFINANCE(B3828, ""volume""), 0)"),0)</f>
        <v>0</v>
      </c>
      <c r="K3828" s="6">
        <v>-2.76</v>
      </c>
      <c r="L3828" s="6">
        <f ca="1">IFERROR(__xludf.DUMMYFUNCTION("IFERROR(GOOGLEFINANCE(B3828,""changepct""),K3828)"),-0.48)</f>
        <v>-0.48</v>
      </c>
      <c r="M3828" s="6">
        <f ca="1">IFERROR(__xludf.DUMMYFUNCTION("IFERROR(GOOGLEFINANCE(B3828,""change""),0)"),-0.05)</f>
        <v>-0.05</v>
      </c>
      <c r="N3828" s="6">
        <v>2</v>
      </c>
      <c r="O3828" s="7">
        <v>45536</v>
      </c>
      <c r="P3828" s="6">
        <v>1775.59</v>
      </c>
      <c r="Q3828" s="6">
        <v>64302.04</v>
      </c>
      <c r="R3828" s="7">
        <v>45536</v>
      </c>
      <c r="S3828" s="6">
        <v>4207.3599999999997</v>
      </c>
      <c r="T3828" s="6">
        <v>-68.37</v>
      </c>
      <c r="U3828" s="7">
        <v>45536</v>
      </c>
      <c r="V3828" s="6">
        <v>0</v>
      </c>
      <c r="W3828" s="6">
        <f ca="1">IFERROR(__xludf.DUMMYFUNCTION("IFERROR(GOOGLEFINANCE(B3828,""pe""),V3828)"),58.17)</f>
        <v>58.17</v>
      </c>
      <c r="X3828" s="6">
        <v>0</v>
      </c>
      <c r="Y3828" s="6">
        <v>49.97</v>
      </c>
      <c r="Z3828" s="6">
        <v>2</v>
      </c>
      <c r="AA3828" s="8">
        <v>45352</v>
      </c>
      <c r="AB3828" s="4">
        <v>0.94</v>
      </c>
      <c r="AC3828" s="6">
        <v>11.03</v>
      </c>
      <c r="AD3828" s="6">
        <v>11.05</v>
      </c>
      <c r="AE3828" s="1">
        <v>0</v>
      </c>
      <c r="AF3828" s="1">
        <f ca="1">IFERROR(__xludf.DUMMYFUNCTION("IFERROR(GOOGLEFINANCE(TRIM(F3828)&amp;"":"" &amp; TRIM(B3828),""high52""),AE3828)"),1112)</f>
        <v>1112</v>
      </c>
      <c r="AG3828" s="1">
        <v>0</v>
      </c>
      <c r="AH3828" s="1">
        <f ca="1">IFERROR(__xludf.DUMMYFUNCTION("IFERROR(GOOGLEFINANCE(TRIM(F3828)&amp;"":"" &amp; TRIM(B3828),""low52""),AE3828)"),565)</f>
        <v>565</v>
      </c>
      <c r="AI3828" s="1">
        <f ca="1">IFERROR(__xludf.DUMMYFUNCTION("IFERROR(GOOGLEFINANCE(B3828,""eps""),0)"),0.18)</f>
        <v>0.18</v>
      </c>
      <c r="AJ3828" s="1"/>
      <c r="AK3828" s="1" t="s">
        <v>11670</v>
      </c>
      <c r="AL3828" s="9">
        <f t="shared" ref="AL3828:AL3832" si="358">IF(AA3828&lt;&gt;AB3828,1,0)</f>
        <v>1</v>
      </c>
    </row>
    <row r="3829" spans="1:38" ht="15" x14ac:dyDescent="0.25">
      <c r="A3829" s="1" t="s">
        <v>11671</v>
      </c>
      <c r="B3829" s="1" t="s">
        <v>11672</v>
      </c>
      <c r="C3829" s="1" t="s">
        <v>1129</v>
      </c>
      <c r="D3829" s="1" t="s">
        <v>1129</v>
      </c>
      <c r="E3829" s="6">
        <v>72.349999999999994</v>
      </c>
      <c r="F3829" s="1" t="s">
        <v>53</v>
      </c>
      <c r="G3829" s="6">
        <f ca="1">IFERROR(__xludf.DUMMYFUNCTION("iferror(GOOGLEFINANCE(TRIM(F3829)&amp;"":"" &amp; TRIM(B3829), ""price""),0
)"),0)</f>
        <v>0</v>
      </c>
      <c r="H3829" s="6">
        <v>22</v>
      </c>
      <c r="I3829" s="6">
        <f t="shared" ca="1" si="0"/>
        <v>22</v>
      </c>
      <c r="J3829" s="6">
        <f ca="1">IFERROR(__xludf.DUMMYFUNCTION("IFERROR(GOOGLEFINANCE(B3829, ""volume""), 0)"),0)</f>
        <v>0</v>
      </c>
      <c r="K3829" s="6">
        <v>-3.93</v>
      </c>
      <c r="L3829" s="6">
        <f ca="1">IFERROR(__xludf.DUMMYFUNCTION("IFERROR(GOOGLEFINANCE(B3829,""changepct""),K3829)"),-3.93)</f>
        <v>-3.93</v>
      </c>
      <c r="M3829" s="6">
        <f ca="1">IFERROR(__xludf.DUMMYFUNCTION("IFERROR(GOOGLEFINANCE(B3829,""change""),0)"),0)</f>
        <v>0</v>
      </c>
      <c r="N3829" s="6">
        <v>1</v>
      </c>
      <c r="O3829" s="7">
        <v>45536</v>
      </c>
      <c r="P3829" s="6">
        <v>2.2599999999999998</v>
      </c>
      <c r="Q3829" s="6">
        <v>74.61</v>
      </c>
      <c r="R3829" s="7">
        <v>45536</v>
      </c>
      <c r="S3829" s="6">
        <v>21.07</v>
      </c>
      <c r="T3829" s="6">
        <v>1.88</v>
      </c>
      <c r="U3829" s="7">
        <v>45536</v>
      </c>
      <c r="V3829" s="6">
        <v>38.549999999999997</v>
      </c>
      <c r="W3829" s="6">
        <f ca="1">IFERROR(__xludf.DUMMYFUNCTION("IFERROR(GOOGLEFINANCE(B3829,""pe""),V3829)"),38.55)</f>
        <v>38.549999999999997</v>
      </c>
      <c r="X3829" s="6">
        <v>2.48</v>
      </c>
      <c r="Y3829" s="6">
        <v>17.71</v>
      </c>
      <c r="Z3829" s="6">
        <v>1</v>
      </c>
      <c r="AA3829" s="8">
        <v>45352</v>
      </c>
      <c r="AB3829" s="4">
        <v>-0.81</v>
      </c>
      <c r="AC3829" s="6">
        <v>0</v>
      </c>
      <c r="AD3829" s="6">
        <v>0</v>
      </c>
      <c r="AE3829" s="1">
        <v>0</v>
      </c>
      <c r="AF3829" s="1">
        <f ca="1">IFERROR(__xludf.DUMMYFUNCTION("IFERROR(GOOGLEFINANCE(TRIM(F3829)&amp;"":"" &amp; TRIM(B3829),""high52""),AE3829)"),0)</f>
        <v>0</v>
      </c>
      <c r="AG3829" s="1">
        <v>0</v>
      </c>
      <c r="AH3829" s="1">
        <f ca="1">IFERROR(__xludf.DUMMYFUNCTION("IFERROR(GOOGLEFINANCE(TRIM(F3829)&amp;"":"" &amp; TRIM(B3829),""low52""),AE3829)"),0)</f>
        <v>0</v>
      </c>
      <c r="AI3829" s="1">
        <f ca="1">IFERROR(__xludf.DUMMYFUNCTION("IFERROR(GOOGLEFINANCE(B3829,""eps""),0)"),0)</f>
        <v>0</v>
      </c>
      <c r="AJ3829" s="1"/>
      <c r="AK3829" s="1" t="s">
        <v>11673</v>
      </c>
      <c r="AL3829" s="9">
        <f t="shared" si="358"/>
        <v>1</v>
      </c>
    </row>
    <row r="3830" spans="1:38" ht="15" x14ac:dyDescent="0.25">
      <c r="A3830" s="1" t="s">
        <v>11674</v>
      </c>
      <c r="B3830" s="1" t="s">
        <v>11675</v>
      </c>
      <c r="C3830" s="1" t="s">
        <v>231</v>
      </c>
      <c r="D3830" s="1" t="s">
        <v>231</v>
      </c>
      <c r="E3830" s="6">
        <v>13960.49</v>
      </c>
      <c r="F3830" s="1" t="s">
        <v>40</v>
      </c>
      <c r="G3830" s="6">
        <f ca="1">IFERROR(__xludf.DUMMYFUNCTION("iferror(GOOGLEFINANCE(TRIM(F3830)&amp;"":"" &amp; TRIM(B3830), ""price""),0
)"),1215.9)</f>
        <v>1215.9000000000001</v>
      </c>
      <c r="H3830" s="6">
        <v>984.25</v>
      </c>
      <c r="I3830" s="6">
        <f t="shared" ca="1" si="0"/>
        <v>1215.9000000000001</v>
      </c>
      <c r="J3830" s="6">
        <f ca="1">IFERROR(__xludf.DUMMYFUNCTION("IFERROR(GOOGLEFINANCE(B3830, ""volume""), 0)"),537224)</f>
        <v>537224</v>
      </c>
      <c r="K3830" s="6">
        <v>0.59</v>
      </c>
      <c r="L3830" s="6">
        <f ca="1">IFERROR(__xludf.DUMMYFUNCTION("IFERROR(GOOGLEFINANCE(B3830,""changepct""),K3830)"),1.93)</f>
        <v>1.93</v>
      </c>
      <c r="M3830" s="6">
        <f ca="1">IFERROR(__xludf.DUMMYFUNCTION("IFERROR(GOOGLEFINANCE(B3830,""change""),0)"),23)</f>
        <v>23</v>
      </c>
      <c r="N3830" s="6">
        <v>2</v>
      </c>
      <c r="O3830" s="7">
        <v>45536</v>
      </c>
      <c r="P3830" s="6">
        <v>2774.34</v>
      </c>
      <c r="Q3830" s="6">
        <v>11456.09</v>
      </c>
      <c r="R3830" s="7">
        <v>45536</v>
      </c>
      <c r="S3830" s="6">
        <v>5605.09</v>
      </c>
      <c r="T3830" s="6">
        <v>2830.76</v>
      </c>
      <c r="U3830" s="7">
        <v>45536</v>
      </c>
      <c r="V3830" s="6">
        <v>4.93</v>
      </c>
      <c r="W3830" s="6">
        <f ca="1">IFERROR(__xludf.DUMMYFUNCTION("IFERROR(GOOGLEFINANCE(B3830,""pe""),V3830)"),7.69)</f>
        <v>7.69</v>
      </c>
      <c r="X3830" s="6">
        <v>0.03</v>
      </c>
      <c r="Y3830" s="6">
        <v>1.03</v>
      </c>
      <c r="Z3830" s="6">
        <v>2</v>
      </c>
      <c r="AA3830" s="8">
        <v>45352</v>
      </c>
      <c r="AB3830" s="4">
        <v>0.24</v>
      </c>
      <c r="AC3830" s="6">
        <v>23.06</v>
      </c>
      <c r="AD3830" s="6">
        <v>20.18</v>
      </c>
      <c r="AE3830" s="1">
        <v>0</v>
      </c>
      <c r="AF3830" s="1">
        <f ca="1">IFERROR(__xludf.DUMMYFUNCTION("IFERROR(GOOGLEFINANCE(TRIM(F3830)&amp;"":"" &amp; TRIM(B3830),""high52""),AE3830)"),1266.5)</f>
        <v>1266.5</v>
      </c>
      <c r="AG3830" s="1">
        <v>0</v>
      </c>
      <c r="AH3830" s="1">
        <f ca="1">IFERROR(__xludf.DUMMYFUNCTION("IFERROR(GOOGLEFINANCE(TRIM(F3830)&amp;"":"" &amp; TRIM(B3830),""low52""),AE3830)"),797.5)</f>
        <v>797.5</v>
      </c>
      <c r="AI3830" s="1">
        <f ca="1">IFERROR(__xludf.DUMMYFUNCTION("IFERROR(GOOGLEFINANCE(B3830,""eps""),0)"),158.09)</f>
        <v>158.09</v>
      </c>
      <c r="AJ3830" s="1"/>
      <c r="AK3830" s="1" t="s">
        <v>11676</v>
      </c>
      <c r="AL3830" s="9">
        <f t="shared" si="358"/>
        <v>1</v>
      </c>
    </row>
    <row r="3831" spans="1:38" ht="15" x14ac:dyDescent="0.25">
      <c r="A3831" s="1" t="s">
        <v>11677</v>
      </c>
      <c r="B3831" s="1" t="s">
        <v>11678</v>
      </c>
      <c r="C3831" s="1" t="s">
        <v>1129</v>
      </c>
      <c r="D3831" s="1" t="s">
        <v>1129</v>
      </c>
      <c r="E3831" s="6">
        <v>456.81</v>
      </c>
      <c r="F3831" s="1" t="s">
        <v>53</v>
      </c>
      <c r="G3831" s="6">
        <f ca="1">IFERROR(__xludf.DUMMYFUNCTION("iferror(GOOGLEFINANCE(TRIM(F3831)&amp;"":"" &amp; TRIM(B3831), ""price""),0
)"),0)</f>
        <v>0</v>
      </c>
      <c r="H3831" s="6">
        <v>608</v>
      </c>
      <c r="I3831" s="6">
        <f t="shared" ca="1" si="0"/>
        <v>608</v>
      </c>
      <c r="J3831" s="6">
        <f ca="1">IFERROR(__xludf.DUMMYFUNCTION("IFERROR(GOOGLEFINANCE(B3831, ""volume""), 0)"),0)</f>
        <v>0</v>
      </c>
      <c r="K3831" s="6">
        <v>1.53</v>
      </c>
      <c r="L3831" s="6">
        <f ca="1">IFERROR(__xludf.DUMMYFUNCTION("IFERROR(GOOGLEFINANCE(B3831,""changepct""),K3831)"),1.53)</f>
        <v>1.53</v>
      </c>
      <c r="M3831" s="6">
        <f ca="1">IFERROR(__xludf.DUMMYFUNCTION("IFERROR(GOOGLEFINANCE(B3831,""change""),0)"),0)</f>
        <v>0</v>
      </c>
      <c r="N3831" s="6">
        <v>2</v>
      </c>
      <c r="O3831" s="7">
        <v>45536</v>
      </c>
      <c r="P3831" s="6">
        <v>1.84</v>
      </c>
      <c r="Q3831" s="6">
        <v>431.72</v>
      </c>
      <c r="R3831" s="7">
        <v>45536</v>
      </c>
      <c r="S3831" s="6">
        <v>51.95</v>
      </c>
      <c r="T3831" s="6">
        <v>9.8000000000000007</v>
      </c>
      <c r="U3831" s="7">
        <v>45536</v>
      </c>
      <c r="V3831" s="6">
        <v>46.63</v>
      </c>
      <c r="W3831" s="6">
        <f ca="1">IFERROR(__xludf.DUMMYFUNCTION("IFERROR(GOOGLEFINANCE(B3831,""pe""),V3831)"),46.63)</f>
        <v>46.63</v>
      </c>
      <c r="X3831" s="6">
        <v>0.66</v>
      </c>
      <c r="Y3831" s="6">
        <v>7.89</v>
      </c>
      <c r="Z3831" s="6">
        <v>2</v>
      </c>
      <c r="AA3831" s="17">
        <v>45352</v>
      </c>
      <c r="AB3831" s="18">
        <v>0.03</v>
      </c>
      <c r="AC3831" s="6">
        <v>14.64</v>
      </c>
      <c r="AD3831" s="6">
        <v>19.309999999999999</v>
      </c>
      <c r="AE3831" s="1">
        <v>0</v>
      </c>
      <c r="AF3831" s="1">
        <f ca="1">IFERROR(__xludf.DUMMYFUNCTION("IFERROR(GOOGLEFINANCE(TRIM(F3831)&amp;"":"" &amp; TRIM(B3831),""high52""),AE3831)"),0)</f>
        <v>0</v>
      </c>
      <c r="AG3831" s="1">
        <v>0</v>
      </c>
      <c r="AH3831" s="1">
        <f ca="1">IFERROR(__xludf.DUMMYFUNCTION("IFERROR(GOOGLEFINANCE(TRIM(F3831)&amp;"":"" &amp; TRIM(B3831),""low52""),AE3831)"),0)</f>
        <v>0</v>
      </c>
      <c r="AI3831" s="1">
        <f ca="1">IFERROR(__xludf.DUMMYFUNCTION("IFERROR(GOOGLEFINANCE(B3831,""eps""),0)"),0)</f>
        <v>0</v>
      </c>
      <c r="AJ3831" s="1"/>
      <c r="AK3831" s="1" t="s">
        <v>11679</v>
      </c>
      <c r="AL3831" s="9">
        <f t="shared" si="358"/>
        <v>1</v>
      </c>
    </row>
    <row r="3832" spans="1:38" ht="15" x14ac:dyDescent="0.25">
      <c r="A3832" s="1" t="s">
        <v>11680</v>
      </c>
      <c r="B3832" s="1" t="s">
        <v>11681</v>
      </c>
      <c r="C3832" s="1" t="s">
        <v>1913</v>
      </c>
      <c r="D3832" s="1" t="s">
        <v>1913</v>
      </c>
      <c r="E3832" s="6">
        <v>149.24</v>
      </c>
      <c r="F3832" s="1" t="s">
        <v>40</v>
      </c>
      <c r="G3832" s="6">
        <f ca="1">IFERROR(__xludf.DUMMYFUNCTION("iferror(GOOGLEFINANCE(TRIM(F3832)&amp;"":"" &amp; TRIM(B3832), ""price""),0
)"),919)</f>
        <v>919</v>
      </c>
      <c r="H3832" s="6">
        <v>1321.95</v>
      </c>
      <c r="I3832" s="6">
        <f t="shared" ca="1" si="0"/>
        <v>919</v>
      </c>
      <c r="J3832" s="6">
        <f ca="1">IFERROR(__xludf.DUMMYFUNCTION("IFERROR(GOOGLEFINANCE(B3832, ""volume""), 0)"),206)</f>
        <v>206</v>
      </c>
      <c r="K3832" s="6">
        <v>2.96</v>
      </c>
      <c r="L3832" s="6">
        <f ca="1">IFERROR(__xludf.DUMMYFUNCTION("IFERROR(GOOGLEFINANCE(B3832,""changepct""),K3832)"),2.65)</f>
        <v>2.65</v>
      </c>
      <c r="M3832" s="6">
        <f ca="1">IFERROR(__xludf.DUMMYFUNCTION("IFERROR(GOOGLEFINANCE(B3832,""change""),0)"),23.7)</f>
        <v>23.7</v>
      </c>
      <c r="N3832" s="6">
        <v>1</v>
      </c>
      <c r="O3832" s="7">
        <v>45536</v>
      </c>
      <c r="P3832" s="6">
        <v>17.48</v>
      </c>
      <c r="Q3832" s="6">
        <v>163.6</v>
      </c>
      <c r="R3832" s="7">
        <v>45536</v>
      </c>
      <c r="S3832" s="6">
        <v>124.9</v>
      </c>
      <c r="T3832" s="6">
        <v>17.079999999999998</v>
      </c>
      <c r="U3832" s="7">
        <v>45536</v>
      </c>
      <c r="V3832" s="6">
        <v>8.74</v>
      </c>
      <c r="W3832" s="6">
        <f ca="1">IFERROR(__xludf.DUMMYFUNCTION("IFERROR(GOOGLEFINANCE(B3832,""pe""),V3832)"),8.74)</f>
        <v>8.74</v>
      </c>
      <c r="X3832" s="12"/>
      <c r="Y3832" s="6">
        <v>1.39</v>
      </c>
      <c r="Z3832" s="6">
        <v>1</v>
      </c>
      <c r="AA3832" s="8">
        <v>45352</v>
      </c>
      <c r="AB3832" s="4">
        <v>0.12</v>
      </c>
      <c r="AC3832" s="6">
        <v>-0.01</v>
      </c>
      <c r="AD3832" s="6">
        <v>1.35</v>
      </c>
      <c r="AE3832" s="1">
        <v>0</v>
      </c>
      <c r="AF3832" s="1">
        <f ca="1">IFERROR(__xludf.DUMMYFUNCTION("IFERROR(GOOGLEFINANCE(TRIM(F3832)&amp;"":"" &amp; TRIM(B3832),""high52""),AE3832)"),1359.9)</f>
        <v>1359.9</v>
      </c>
      <c r="AG3832" s="1">
        <v>0</v>
      </c>
      <c r="AH3832" s="1">
        <f ca="1">IFERROR(__xludf.DUMMYFUNCTION("IFERROR(GOOGLEFINANCE(TRIM(F3832)&amp;"":"" &amp; TRIM(B3832),""low52""),AE3832)"),747)</f>
        <v>747</v>
      </c>
      <c r="AI3832" s="1">
        <f ca="1">IFERROR(__xludf.DUMMYFUNCTION("IFERROR(GOOGLEFINANCE(B3832,""eps""),0)"),-7.29)</f>
        <v>-7.29</v>
      </c>
      <c r="AJ3832" s="1"/>
      <c r="AK3832" s="1" t="s">
        <v>11682</v>
      </c>
      <c r="AL3832" s="9">
        <f t="shared" si="358"/>
        <v>1</v>
      </c>
    </row>
    <row r="3833" spans="1:38" ht="15" x14ac:dyDescent="0.25">
      <c r="A3833" s="1" t="s">
        <v>11683</v>
      </c>
      <c r="B3833" s="1" t="s">
        <v>11684</v>
      </c>
      <c r="C3833" s="1" t="s">
        <v>355</v>
      </c>
      <c r="D3833" s="1" t="s">
        <v>355</v>
      </c>
      <c r="E3833" s="6">
        <v>1508.45</v>
      </c>
      <c r="F3833" s="1" t="s">
        <v>40</v>
      </c>
      <c r="G3833" s="6">
        <f ca="1">IFERROR(__xludf.DUMMYFUNCTION("iferror(GOOGLEFINANCE(TRIM(F3833)&amp;"":"" &amp; TRIM(B3833), ""price""),0
)"),664.95)</f>
        <v>664.95</v>
      </c>
      <c r="H3833" s="6">
        <v>838</v>
      </c>
      <c r="I3833" s="6">
        <f t="shared" ca="1" si="0"/>
        <v>664.95</v>
      </c>
      <c r="J3833" s="6">
        <f ca="1">IFERROR(__xludf.DUMMYFUNCTION("IFERROR(GOOGLEFINANCE(B3833, ""volume""), 0)"),366)</f>
        <v>366</v>
      </c>
      <c r="K3833" s="6">
        <v>2.14</v>
      </c>
      <c r="L3833" s="6">
        <f ca="1">IFERROR(__xludf.DUMMYFUNCTION("IFERROR(GOOGLEFINANCE(B3833,""changepct""),K3833)"),0.81)</f>
        <v>0.81</v>
      </c>
      <c r="M3833" s="6">
        <f ca="1">IFERROR(__xludf.DUMMYFUNCTION("IFERROR(GOOGLEFINANCE(B3833,""change""),0)"),5.35)</f>
        <v>5.35</v>
      </c>
      <c r="N3833" s="6">
        <v>2</v>
      </c>
      <c r="O3833" s="7">
        <v>45536</v>
      </c>
      <c r="P3833" s="6">
        <v>139.11000000000001</v>
      </c>
      <c r="Q3833" s="6">
        <v>1598.75</v>
      </c>
      <c r="R3833" s="7">
        <v>45536</v>
      </c>
      <c r="S3833" s="6">
        <v>1066.8</v>
      </c>
      <c r="T3833" s="6">
        <v>56.52</v>
      </c>
      <c r="U3833" s="7">
        <v>45536</v>
      </c>
      <c r="V3833" s="6">
        <v>26.69</v>
      </c>
      <c r="W3833" s="6">
        <f ca="1">IFERROR(__xludf.DUMMYFUNCTION("IFERROR(GOOGLEFINANCE(B3833,""pe""),V3833)"),43.74)</f>
        <v>43.74</v>
      </c>
      <c r="X3833" s="6">
        <v>3.69</v>
      </c>
      <c r="Y3833" s="6">
        <v>3.08</v>
      </c>
      <c r="Z3833" s="6">
        <v>2</v>
      </c>
      <c r="AA3833" s="8">
        <v>45352</v>
      </c>
      <c r="AB3833" s="4">
        <v>0.64</v>
      </c>
      <c r="AC3833" s="6">
        <v>27.88</v>
      </c>
      <c r="AD3833" s="6">
        <v>22.29</v>
      </c>
      <c r="AE3833" s="1">
        <v>0</v>
      </c>
      <c r="AF3833" s="1">
        <f ca="1">IFERROR(__xludf.DUMMYFUNCTION("IFERROR(GOOGLEFINANCE(TRIM(F3833)&amp;"":"" &amp; TRIM(B3833),""high52""),AE3833)"),897.45)</f>
        <v>897.45</v>
      </c>
      <c r="AG3833" s="1">
        <v>0</v>
      </c>
      <c r="AH3833" s="1">
        <f ca="1">IFERROR(__xludf.DUMMYFUNCTION("IFERROR(GOOGLEFINANCE(TRIM(F3833)&amp;"":"" &amp; TRIM(B3833),""low52""),AE3833)"),515)</f>
        <v>515</v>
      </c>
      <c r="AI3833" s="1">
        <f ca="1">IFERROR(__xludf.DUMMYFUNCTION("IFERROR(GOOGLEFINANCE(B3833,""eps""),0)"),15.2)</f>
        <v>15.2</v>
      </c>
      <c r="AJ3833" s="1"/>
      <c r="AK3833" s="1" t="s">
        <v>11685</v>
      </c>
      <c r="AL3833" s="1" t="b">
        <f>ISNUMBER(AA3833)</f>
        <v>1</v>
      </c>
    </row>
    <row r="3834" spans="1:38" ht="15" x14ac:dyDescent="0.25">
      <c r="A3834" s="1" t="s">
        <v>11686</v>
      </c>
      <c r="B3834" s="1" t="s">
        <v>11687</v>
      </c>
      <c r="C3834" s="1" t="s">
        <v>239</v>
      </c>
      <c r="D3834" s="1" t="s">
        <v>239</v>
      </c>
      <c r="E3834" s="6">
        <v>11693.97</v>
      </c>
      <c r="F3834" s="1" t="s">
        <v>40</v>
      </c>
      <c r="G3834" s="6">
        <f ca="1">IFERROR(__xludf.DUMMYFUNCTION("iferror(GOOGLEFINANCE(TRIM(F3834)&amp;"":"" &amp; TRIM(B3834), ""price""),0
)"),457.3)</f>
        <v>457.3</v>
      </c>
      <c r="H3834" s="6">
        <v>376.85</v>
      </c>
      <c r="I3834" s="6">
        <f t="shared" ca="1" si="0"/>
        <v>457.3</v>
      </c>
      <c r="J3834" s="6">
        <f ca="1">IFERROR(__xludf.DUMMYFUNCTION("IFERROR(GOOGLEFINANCE(B3834, ""volume""), 0)"),1357409)</f>
        <v>1357409</v>
      </c>
      <c r="K3834" s="6">
        <v>-0.04</v>
      </c>
      <c r="L3834" s="6">
        <f ca="1">IFERROR(__xludf.DUMMYFUNCTION("IFERROR(GOOGLEFINANCE(B3834,""changepct""),K3834)"),4.43)</f>
        <v>4.43</v>
      </c>
      <c r="M3834" s="6">
        <f ca="1">IFERROR(__xludf.DUMMYFUNCTION("IFERROR(GOOGLEFINANCE(B3834,""change""),0)"),19.4)</f>
        <v>19.399999999999999</v>
      </c>
      <c r="N3834" s="6">
        <v>2</v>
      </c>
      <c r="O3834" s="7">
        <v>45536</v>
      </c>
      <c r="P3834" s="6">
        <v>2130.54</v>
      </c>
      <c r="Q3834" s="6">
        <v>13824.51</v>
      </c>
      <c r="R3834" s="7">
        <v>45536</v>
      </c>
      <c r="S3834" s="6">
        <v>4469.67</v>
      </c>
      <c r="T3834" s="6">
        <v>-324.45999999999998</v>
      </c>
      <c r="U3834" s="7">
        <v>45536</v>
      </c>
      <c r="V3834" s="6">
        <v>0</v>
      </c>
      <c r="W3834" s="6">
        <f ca="1">IFERROR(__xludf.DUMMYFUNCTION("IFERROR(GOOGLEFINANCE(B3834,""pe""),V3834)"),0)</f>
        <v>0</v>
      </c>
      <c r="X3834" s="9"/>
      <c r="Y3834" s="6">
        <v>2.42</v>
      </c>
      <c r="Z3834" s="6">
        <v>2</v>
      </c>
      <c r="AA3834" s="8">
        <v>45352</v>
      </c>
      <c r="AB3834" s="4">
        <v>0.51</v>
      </c>
      <c r="AC3834" s="6">
        <v>-4.12</v>
      </c>
      <c r="AD3834" s="6">
        <v>-0.25</v>
      </c>
      <c r="AE3834" s="1">
        <v>0</v>
      </c>
      <c r="AF3834" s="1">
        <f ca="1">IFERROR(__xludf.DUMMYFUNCTION("IFERROR(GOOGLEFINANCE(TRIM(F3834)&amp;"":"" &amp; TRIM(B3834),""high52""),AE3834)"),485.8)</f>
        <v>485.8</v>
      </c>
      <c r="AG3834" s="1">
        <v>0</v>
      </c>
      <c r="AH3834" s="1">
        <f ca="1">IFERROR(__xludf.DUMMYFUNCTION("IFERROR(GOOGLEFINANCE(TRIM(F3834)&amp;"":"" &amp; TRIM(B3834),""low52""),AE3834)"),238.85)</f>
        <v>238.85</v>
      </c>
      <c r="AI3834" s="1">
        <f ca="1">IFERROR(__xludf.DUMMYFUNCTION("IFERROR(GOOGLEFINANCE(B3834,""eps""),0)"),-3.55)</f>
        <v>-3.55</v>
      </c>
      <c r="AJ3834" s="1"/>
      <c r="AK3834" s="9"/>
      <c r="AL3834" s="1" t="b">
        <f>ISBLANK(AB3834)</f>
        <v>0</v>
      </c>
    </row>
    <row r="3835" spans="1:38" ht="15" x14ac:dyDescent="0.25">
      <c r="A3835" s="1" t="s">
        <v>11688</v>
      </c>
      <c r="B3835" s="1" t="s">
        <v>11689</v>
      </c>
      <c r="C3835" s="1" t="s">
        <v>255</v>
      </c>
      <c r="D3835" s="1" t="s">
        <v>255</v>
      </c>
      <c r="E3835" s="6">
        <v>152.88</v>
      </c>
      <c r="F3835" s="1" t="s">
        <v>53</v>
      </c>
      <c r="G3835" s="6">
        <f ca="1">IFERROR(__xludf.DUMMYFUNCTION("iferror(GOOGLEFINANCE(TRIM(F3835)&amp;"":"" &amp; TRIM(B3835), ""price""),0
)"),0)</f>
        <v>0</v>
      </c>
      <c r="H3835" s="6">
        <v>158</v>
      </c>
      <c r="I3835" s="6">
        <f t="shared" ca="1" si="0"/>
        <v>158</v>
      </c>
      <c r="J3835" s="6">
        <f ca="1">IFERROR(__xludf.DUMMYFUNCTION("IFERROR(GOOGLEFINANCE(B3835, ""volume""), 0)"),0)</f>
        <v>0</v>
      </c>
      <c r="K3835" s="9"/>
      <c r="L3835" s="6" t="str">
        <f ca="1">IFERROR(__xludf.DUMMYFUNCTION("IFERROR(GOOGLEFINANCE(B3835,""changepct""),K3835)"),"")</f>
        <v/>
      </c>
      <c r="M3835" s="6">
        <f ca="1">IFERROR(__xludf.DUMMYFUNCTION("IFERROR(GOOGLEFINANCE(B3835,""change""),0)"),0)</f>
        <v>0</v>
      </c>
      <c r="N3835" s="6">
        <v>1</v>
      </c>
      <c r="O3835" s="7">
        <v>45536</v>
      </c>
      <c r="P3835" s="6">
        <v>24.37</v>
      </c>
      <c r="Q3835" s="6">
        <v>177.25</v>
      </c>
      <c r="R3835" s="7">
        <v>45352</v>
      </c>
      <c r="S3835" s="6">
        <v>189.39</v>
      </c>
      <c r="T3835" s="6">
        <v>7.32</v>
      </c>
      <c r="U3835" s="7">
        <v>45352</v>
      </c>
      <c r="V3835" s="6">
        <v>20.87</v>
      </c>
      <c r="W3835" s="6">
        <f ca="1">IFERROR(__xludf.DUMMYFUNCTION("IFERROR(GOOGLEFINANCE(B3835,""pe""),V3835)"),20.87)</f>
        <v>20.87</v>
      </c>
      <c r="X3835" s="9"/>
      <c r="Y3835" s="6">
        <v>3.24</v>
      </c>
      <c r="Z3835" s="6">
        <v>2</v>
      </c>
      <c r="AA3835" s="8">
        <v>45352</v>
      </c>
      <c r="AB3835" s="4">
        <v>1.47</v>
      </c>
      <c r="AC3835" s="6">
        <v>-35.92</v>
      </c>
      <c r="AD3835" s="6">
        <v>-9.2799999999999994</v>
      </c>
      <c r="AE3835" s="1">
        <v>0</v>
      </c>
      <c r="AF3835" s="1">
        <f ca="1">IFERROR(__xludf.DUMMYFUNCTION("IFERROR(GOOGLEFINANCE(TRIM(F3835)&amp;"":"" &amp; TRIM(B3835),""high52""),AE3835)"),0)</f>
        <v>0</v>
      </c>
      <c r="AG3835" s="1">
        <v>0</v>
      </c>
      <c r="AH3835" s="1">
        <f ca="1">IFERROR(__xludf.DUMMYFUNCTION("IFERROR(GOOGLEFINANCE(TRIM(F3835)&amp;"":"" &amp; TRIM(B3835),""low52""),AE3835)"),0)</f>
        <v>0</v>
      </c>
      <c r="AI3835" s="1">
        <f ca="1">IFERROR(__xludf.DUMMYFUNCTION("IFERROR(GOOGLEFINANCE(B3835,""eps""),0)"),0)</f>
        <v>0</v>
      </c>
      <c r="AJ3835" s="1"/>
      <c r="AK3835" s="1" t="s">
        <v>11690</v>
      </c>
      <c r="AL3835" s="9">
        <f t="shared" ref="AL3835:AL3838" si="359">IF(AA3835&lt;&gt;AB3835,1,0)</f>
        <v>1</v>
      </c>
    </row>
    <row r="3836" spans="1:38" ht="15" x14ac:dyDescent="0.25">
      <c r="A3836" s="1" t="s">
        <v>11691</v>
      </c>
      <c r="B3836" s="1" t="s">
        <v>11692</v>
      </c>
      <c r="C3836" s="1" t="s">
        <v>410</v>
      </c>
      <c r="D3836" s="1" t="s">
        <v>410</v>
      </c>
      <c r="E3836" s="6">
        <v>125126.8</v>
      </c>
      <c r="F3836" s="1" t="s">
        <v>40</v>
      </c>
      <c r="G3836" s="6">
        <f ca="1">IFERROR(__xludf.DUMMYFUNCTION("iferror(GOOGLEFINANCE(TRIM(F3836)&amp;"":"" &amp; TRIM(B3836), ""price""),0
)"),666.95)</f>
        <v>666.95</v>
      </c>
      <c r="H3836" s="6">
        <v>874.7</v>
      </c>
      <c r="I3836" s="6">
        <f t="shared" ca="1" si="0"/>
        <v>666.95</v>
      </c>
      <c r="J3836" s="6">
        <f ca="1">IFERROR(__xludf.DUMMYFUNCTION("IFERROR(GOOGLEFINANCE(B3836, ""volume""), 0)"),1970748)</f>
        <v>1970748</v>
      </c>
      <c r="K3836" s="6">
        <v>-0.55000000000000004</v>
      </c>
      <c r="L3836" s="6">
        <f ca="1">IFERROR(__xludf.DUMMYFUNCTION("IFERROR(GOOGLEFINANCE(B3836,""changepct""),K3836)"),0.4)</f>
        <v>0.4</v>
      </c>
      <c r="M3836" s="6">
        <f ca="1">IFERROR(__xludf.DUMMYFUNCTION("IFERROR(GOOGLEFINANCE(B3836,""change""),0)"),2.65)</f>
        <v>2.65</v>
      </c>
      <c r="N3836" s="6">
        <v>2</v>
      </c>
      <c r="O3836" s="7">
        <v>45536</v>
      </c>
      <c r="P3836" s="6">
        <v>282.27999999999997</v>
      </c>
      <c r="Q3836" s="6">
        <v>123679.5</v>
      </c>
      <c r="R3836" s="7">
        <v>45536</v>
      </c>
      <c r="S3836" s="6">
        <v>7245.53</v>
      </c>
      <c r="T3836" s="6">
        <v>1638.5</v>
      </c>
      <c r="U3836" s="7">
        <v>45536</v>
      </c>
      <c r="V3836" s="6">
        <v>74.81</v>
      </c>
      <c r="W3836" s="6">
        <f ca="1">IFERROR(__xludf.DUMMYFUNCTION("IFERROR(GOOGLEFINANCE(B3836,""pe""),V3836)"),56.32)</f>
        <v>56.32</v>
      </c>
      <c r="X3836" s="6">
        <v>2.15</v>
      </c>
      <c r="Y3836" s="6">
        <v>12.32</v>
      </c>
      <c r="Z3836" s="6">
        <v>2</v>
      </c>
      <c r="AA3836" s="8">
        <v>45352</v>
      </c>
      <c r="AB3836" s="4">
        <v>0.03</v>
      </c>
      <c r="AC3836" s="6">
        <v>13.78</v>
      </c>
      <c r="AD3836" s="6">
        <v>20.37</v>
      </c>
      <c r="AE3836" s="1">
        <v>0</v>
      </c>
      <c r="AF3836" s="1">
        <f ca="1">IFERROR(__xludf.DUMMYFUNCTION("IFERROR(GOOGLEFINANCE(TRIM(F3836)&amp;"":"" &amp; TRIM(B3836),""high52""),AE3836)"),858)</f>
        <v>858</v>
      </c>
      <c r="AG3836" s="1">
        <v>0</v>
      </c>
      <c r="AH3836" s="1">
        <f ca="1">IFERROR(__xludf.DUMMYFUNCTION("IFERROR(GOOGLEFINANCE(TRIM(F3836)&amp;"":"" &amp; TRIM(B3836),""low52""),AE3836)"),627.2)</f>
        <v>627.20000000000005</v>
      </c>
      <c r="AI3836" s="1">
        <f ca="1">IFERROR(__xludf.DUMMYFUNCTION("IFERROR(GOOGLEFINANCE(B3836,""eps""),0)"),11.84)</f>
        <v>11.84</v>
      </c>
      <c r="AJ3836" s="1"/>
      <c r="AK3836" s="1" t="s">
        <v>11693</v>
      </c>
      <c r="AL3836" s="9">
        <f t="shared" si="359"/>
        <v>1</v>
      </c>
    </row>
    <row r="3837" spans="1:38" ht="15" x14ac:dyDescent="0.25">
      <c r="A3837" s="1" t="s">
        <v>11694</v>
      </c>
      <c r="B3837" s="1" t="s">
        <v>11695</v>
      </c>
      <c r="C3837" s="1" t="s">
        <v>255</v>
      </c>
      <c r="D3837" s="1" t="s">
        <v>255</v>
      </c>
      <c r="E3837" s="6">
        <v>4.1900000000000004</v>
      </c>
      <c r="F3837" s="1" t="s">
        <v>53</v>
      </c>
      <c r="G3837" s="6">
        <f ca="1">IFERROR(__xludf.DUMMYFUNCTION("iferror(GOOGLEFINANCE(TRIM(F3837)&amp;"":"" &amp; TRIM(B3837), ""price""),0
)"),0)</f>
        <v>0</v>
      </c>
      <c r="H3837" s="6">
        <v>8.1999999999999993</v>
      </c>
      <c r="I3837" s="6">
        <f t="shared" ca="1" si="0"/>
        <v>8.1999999999999993</v>
      </c>
      <c r="J3837" s="6">
        <f ca="1">IFERROR(__xludf.DUMMYFUNCTION("IFERROR(GOOGLEFINANCE(B3837, ""volume""), 0)"),0)</f>
        <v>0</v>
      </c>
      <c r="K3837" s="6">
        <v>0.99</v>
      </c>
      <c r="L3837" s="6">
        <f ca="1">IFERROR(__xludf.DUMMYFUNCTION("IFERROR(GOOGLEFINANCE(B3837,""changepct""),K3837)"),0.99)</f>
        <v>0.99</v>
      </c>
      <c r="M3837" s="6">
        <f ca="1">IFERROR(__xludf.DUMMYFUNCTION("IFERROR(GOOGLEFINANCE(B3837,""change""),0)"),0)</f>
        <v>0</v>
      </c>
      <c r="N3837" s="6">
        <v>1</v>
      </c>
      <c r="O3837" s="7">
        <v>45536</v>
      </c>
      <c r="P3837" s="6">
        <v>1.03</v>
      </c>
      <c r="Q3837" s="6">
        <v>3.72</v>
      </c>
      <c r="R3837" s="7">
        <v>45536</v>
      </c>
      <c r="S3837" s="6">
        <v>8.75</v>
      </c>
      <c r="T3837" s="6">
        <v>0.34</v>
      </c>
      <c r="U3837" s="7">
        <v>45536</v>
      </c>
      <c r="V3837" s="6">
        <v>12.33</v>
      </c>
      <c r="W3837" s="6">
        <f ca="1">IFERROR(__xludf.DUMMYFUNCTION("IFERROR(GOOGLEFINANCE(B3837,""pe""),V3837)"),12.33)</f>
        <v>12.33</v>
      </c>
      <c r="X3837" s="6">
        <v>1.04</v>
      </c>
      <c r="Y3837" s="6">
        <v>-14.78</v>
      </c>
      <c r="Z3837" s="6">
        <v>1</v>
      </c>
      <c r="AA3837" s="8">
        <v>45352</v>
      </c>
      <c r="AB3837" s="4">
        <v>-3.83</v>
      </c>
      <c r="AC3837" s="6">
        <v>0</v>
      </c>
      <c r="AD3837" s="6">
        <v>24.96</v>
      </c>
      <c r="AE3837" s="1">
        <v>0</v>
      </c>
      <c r="AF3837" s="1">
        <f ca="1">IFERROR(__xludf.DUMMYFUNCTION("IFERROR(GOOGLEFINANCE(TRIM(F3837)&amp;"":"" &amp; TRIM(B3837),""high52""),AE3837)"),0)</f>
        <v>0</v>
      </c>
      <c r="AG3837" s="1">
        <v>0</v>
      </c>
      <c r="AH3837" s="1">
        <f ca="1">IFERROR(__xludf.DUMMYFUNCTION("IFERROR(GOOGLEFINANCE(TRIM(F3837)&amp;"":"" &amp; TRIM(B3837),""low52""),AE3837)"),0)</f>
        <v>0</v>
      </c>
      <c r="AI3837" s="1">
        <f ca="1">IFERROR(__xludf.DUMMYFUNCTION("IFERROR(GOOGLEFINANCE(B3837,""eps""),0)"),0)</f>
        <v>0</v>
      </c>
      <c r="AJ3837" s="1"/>
      <c r="AK3837" s="1" t="s">
        <v>11696</v>
      </c>
      <c r="AL3837" s="9">
        <f t="shared" si="359"/>
        <v>1</v>
      </c>
    </row>
    <row r="3838" spans="1:38" ht="15" x14ac:dyDescent="0.25">
      <c r="A3838" s="1" t="s">
        <v>11697</v>
      </c>
      <c r="B3838" s="1" t="s">
        <v>11698</v>
      </c>
      <c r="C3838" s="1" t="s">
        <v>208</v>
      </c>
      <c r="D3838" s="1" t="s">
        <v>208</v>
      </c>
      <c r="E3838" s="6">
        <v>1031.78</v>
      </c>
      <c r="F3838" s="1" t="s">
        <v>40</v>
      </c>
      <c r="G3838" s="6">
        <f ca="1">IFERROR(__xludf.DUMMYFUNCTION("iferror(GOOGLEFINANCE(TRIM(F3838)&amp;"":"" &amp; TRIM(B3838), ""price""),0
)"),99)</f>
        <v>99</v>
      </c>
      <c r="H3838" s="6">
        <v>198.61</v>
      </c>
      <c r="I3838" s="6">
        <f t="shared" ca="1" si="0"/>
        <v>99</v>
      </c>
      <c r="J3838" s="6">
        <f ca="1">IFERROR(__xludf.DUMMYFUNCTION("IFERROR(GOOGLEFINANCE(B3838, ""volume""), 0)"),2495)</f>
        <v>2495</v>
      </c>
      <c r="K3838" s="6">
        <v>0.24</v>
      </c>
      <c r="L3838" s="6">
        <f ca="1">IFERROR(__xludf.DUMMYFUNCTION("IFERROR(GOOGLEFINANCE(B3838,""changepct""),K3838)"),-0.49)</f>
        <v>-0.49</v>
      </c>
      <c r="M3838" s="6">
        <f ca="1">IFERROR(__xludf.DUMMYFUNCTION("IFERROR(GOOGLEFINANCE(B3838,""change""),0)"),-0.49)</f>
        <v>-0.49</v>
      </c>
      <c r="N3838" s="6">
        <v>2</v>
      </c>
      <c r="O3838" s="7">
        <v>45536</v>
      </c>
      <c r="P3838" s="6">
        <v>33.880000000000003</v>
      </c>
      <c r="Q3838" s="7">
        <v>45536</v>
      </c>
      <c r="R3838" s="6">
        <v>24.39</v>
      </c>
      <c r="S3838" s="6">
        <v>-2.02</v>
      </c>
      <c r="T3838" s="6">
        <v>1.49</v>
      </c>
      <c r="U3838" s="6">
        <v>2</v>
      </c>
      <c r="V3838" s="7">
        <v>45352</v>
      </c>
      <c r="W3838" s="6">
        <f ca="1">IFERROR(__xludf.DUMMYFUNCTION("IFERROR(GOOGLEFINANCE(B3838,""pe""),V3838)"),23.68)</f>
        <v>23.68</v>
      </c>
      <c r="X3838" s="6">
        <v>0.54</v>
      </c>
      <c r="Y3838" s="6">
        <v>3.09</v>
      </c>
      <c r="Z3838" s="6">
        <v>6.91</v>
      </c>
      <c r="AA3838" s="3" t="s">
        <v>11699</v>
      </c>
      <c r="AB3838" s="4"/>
      <c r="AC3838" s="12"/>
      <c r="AD3838" s="12"/>
      <c r="AE3838" s="1">
        <v>0</v>
      </c>
      <c r="AF3838" s="1">
        <f ca="1">IFERROR(__xludf.DUMMYFUNCTION("IFERROR(GOOGLEFINANCE(TRIM(F3838)&amp;"":"" &amp; TRIM(B3838),""high52""),AE3838)"),192.33)</f>
        <v>192.33</v>
      </c>
      <c r="AG3838" s="1">
        <v>0</v>
      </c>
      <c r="AH3838" s="1">
        <f ca="1">IFERROR(__xludf.DUMMYFUNCTION("IFERROR(GOOGLEFINANCE(TRIM(F3838)&amp;"":"" &amp; TRIM(B3838),""low52""),AE3838)"),97.5)</f>
        <v>97.5</v>
      </c>
      <c r="AI3838" s="1">
        <f ca="1">IFERROR(__xludf.DUMMYFUNCTION("IFERROR(GOOGLEFINANCE(B3838,""eps""),0)"),4.18)</f>
        <v>4.18</v>
      </c>
      <c r="AJ3838" s="1"/>
      <c r="AK3838" s="1" t="s">
        <v>11700</v>
      </c>
      <c r="AL3838" s="9">
        <f t="shared" si="359"/>
        <v>1</v>
      </c>
    </row>
    <row r="3839" spans="1:38" ht="15" x14ac:dyDescent="0.25">
      <c r="A3839" s="1" t="s">
        <v>11701</v>
      </c>
      <c r="B3839" s="1" t="s">
        <v>11702</v>
      </c>
      <c r="C3839" s="1" t="s">
        <v>1067</v>
      </c>
      <c r="D3839" s="1" t="s">
        <v>1067</v>
      </c>
      <c r="E3839" s="6">
        <v>11132.95</v>
      </c>
      <c r="F3839" s="1" t="s">
        <v>40</v>
      </c>
      <c r="G3839" s="6">
        <f ca="1">IFERROR(__xludf.DUMMYFUNCTION("iferror(GOOGLEFINANCE(TRIM(F3839)&amp;"":"" &amp; TRIM(B3839), ""price""),0
)"),102.29)</f>
        <v>102.29</v>
      </c>
      <c r="H3839" s="6">
        <v>101.44</v>
      </c>
      <c r="I3839" s="6">
        <f t="shared" ca="1" si="0"/>
        <v>102.29</v>
      </c>
      <c r="J3839" s="6">
        <f ca="1">IFERROR(__xludf.DUMMYFUNCTION("IFERROR(GOOGLEFINANCE(B3839, ""volume""), 0)"),2647009)</f>
        <v>2647009</v>
      </c>
      <c r="K3839" s="6">
        <v>0.33</v>
      </c>
      <c r="L3839" s="6">
        <f ca="1">IFERROR(__xludf.DUMMYFUNCTION("IFERROR(GOOGLEFINANCE(B3839,""changepct""),K3839)"),0.4)</f>
        <v>0.4</v>
      </c>
      <c r="M3839" s="6">
        <f ca="1">IFERROR(__xludf.DUMMYFUNCTION("IFERROR(GOOGLEFINANCE(B3839,""change""),0)"),0.41)</f>
        <v>0.41</v>
      </c>
      <c r="N3839" s="6">
        <v>2</v>
      </c>
      <c r="O3839" s="7">
        <v>45536</v>
      </c>
      <c r="P3839" s="6">
        <v>11909.57</v>
      </c>
      <c r="Q3839" s="6">
        <v>2030.99</v>
      </c>
      <c r="R3839" s="7">
        <v>45536</v>
      </c>
      <c r="S3839" s="6">
        <v>5.49</v>
      </c>
      <c r="T3839" s="6">
        <v>0.18</v>
      </c>
      <c r="U3839" s="6">
        <v>0.92</v>
      </c>
      <c r="V3839" s="6">
        <v>2</v>
      </c>
      <c r="W3839" s="6">
        <f ca="1">IFERROR(__xludf.DUMMYFUNCTION("IFERROR(GOOGLEFINANCE(B3839,""pe""),V3839)"),5.26)</f>
        <v>5.26</v>
      </c>
      <c r="X3839" s="7">
        <v>45352</v>
      </c>
      <c r="Y3839" s="6">
        <v>18.12</v>
      </c>
      <c r="Z3839" s="6">
        <v>1</v>
      </c>
      <c r="AA3839" s="17">
        <v>45352</v>
      </c>
      <c r="AB3839" s="18">
        <v>0.79</v>
      </c>
      <c r="AC3839" s="6">
        <v>3.8</v>
      </c>
      <c r="AD3839" s="6">
        <v>11.96</v>
      </c>
      <c r="AE3839" s="1">
        <v>0</v>
      </c>
      <c r="AF3839" s="1">
        <f ca="1">IFERROR(__xludf.DUMMYFUNCTION("IFERROR(GOOGLEFINANCE(TRIM(F3839)&amp;"":"" &amp; TRIM(B3839),""high52""),AE3839)"),117.25)</f>
        <v>117.25</v>
      </c>
      <c r="AG3839" s="1">
        <v>0</v>
      </c>
      <c r="AH3839" s="1">
        <f ca="1">IFERROR(__xludf.DUMMYFUNCTION("IFERROR(GOOGLEFINANCE(TRIM(F3839)&amp;"":"" &amp; TRIM(B3839),""low52""),AE3839)"),87.3)</f>
        <v>87.3</v>
      </c>
      <c r="AI3839" s="1">
        <f ca="1">IFERROR(__xludf.DUMMYFUNCTION("IFERROR(GOOGLEFINANCE(B3839,""eps""),0)"),19.46)</f>
        <v>19.46</v>
      </c>
      <c r="AJ3839" s="1"/>
      <c r="AK3839" s="9"/>
      <c r="AL3839" s="1" t="b">
        <f>ISBLANK(AB3839)</f>
        <v>0</v>
      </c>
    </row>
    <row r="3840" spans="1:38" ht="15" x14ac:dyDescent="0.25">
      <c r="A3840" s="1" t="s">
        <v>11703</v>
      </c>
      <c r="B3840" s="1" t="s">
        <v>11704</v>
      </c>
      <c r="C3840" s="1" t="s">
        <v>1067</v>
      </c>
      <c r="D3840" s="1" t="s">
        <v>1067</v>
      </c>
      <c r="E3840" s="6">
        <v>8060.47</v>
      </c>
      <c r="F3840" s="1" t="s">
        <v>40</v>
      </c>
      <c r="G3840" s="6">
        <f ca="1">IFERROR(__xludf.DUMMYFUNCTION("iferror(GOOGLEFINANCE(TRIM(F3840)&amp;"":"" &amp; TRIM(B3840), ""price""),0
)"),179.98)</f>
        <v>179.98</v>
      </c>
      <c r="H3840" s="6">
        <v>212.94</v>
      </c>
      <c r="I3840" s="6">
        <f t="shared" ca="1" si="0"/>
        <v>179.98</v>
      </c>
      <c r="J3840" s="6">
        <f ca="1">IFERROR(__xludf.DUMMYFUNCTION("IFERROR(GOOGLEFINANCE(B3840, ""volume""), 0)"),2035353)</f>
        <v>2035353</v>
      </c>
      <c r="K3840" s="6">
        <v>-0.22</v>
      </c>
      <c r="L3840" s="6">
        <f ca="1">IFERROR(__xludf.DUMMYFUNCTION("IFERROR(GOOGLEFINANCE(B3840,""changepct""),K3840)"),-0.65)</f>
        <v>-0.65</v>
      </c>
      <c r="M3840" s="6">
        <f ca="1">IFERROR(__xludf.DUMMYFUNCTION("IFERROR(GOOGLEFINANCE(B3840,""change""),0)"),-1.17)</f>
        <v>-1.17</v>
      </c>
      <c r="N3840" s="6">
        <v>2</v>
      </c>
      <c r="O3840" s="7">
        <v>45536</v>
      </c>
      <c r="P3840" s="6">
        <v>8825.2900000000009</v>
      </c>
      <c r="Q3840" s="6">
        <v>1342.31</v>
      </c>
      <c r="R3840" s="7">
        <v>45536</v>
      </c>
      <c r="S3840" s="6">
        <v>6</v>
      </c>
      <c r="T3840" s="9"/>
      <c r="U3840" s="6">
        <v>0.73</v>
      </c>
      <c r="V3840" s="6">
        <v>2</v>
      </c>
      <c r="W3840" s="6">
        <f ca="1">IFERROR(__xludf.DUMMYFUNCTION("IFERROR(GOOGLEFINANCE(B3840,""pe""),V3840)"),5.94)</f>
        <v>5.94</v>
      </c>
      <c r="X3840" s="7">
        <v>45352</v>
      </c>
      <c r="Y3840" s="6">
        <v>14.48</v>
      </c>
      <c r="Z3840" s="6">
        <v>1</v>
      </c>
      <c r="AA3840" s="8">
        <v>45352</v>
      </c>
      <c r="AB3840" s="4">
        <v>1.58</v>
      </c>
      <c r="AC3840" s="6">
        <v>3.18</v>
      </c>
      <c r="AD3840" s="6">
        <v>11.6</v>
      </c>
      <c r="AE3840" s="1">
        <v>0</v>
      </c>
      <c r="AF3840" s="1">
        <f ca="1">IFERROR(__xludf.DUMMYFUNCTION("IFERROR(GOOGLEFINANCE(TRIM(F3840)&amp;"":"" &amp; TRIM(B3840),""high52""),AE3840)"),220.4)</f>
        <v>220.4</v>
      </c>
      <c r="AG3840" s="1">
        <v>0</v>
      </c>
      <c r="AH3840" s="1">
        <f ca="1">IFERROR(__xludf.DUMMYFUNCTION("IFERROR(GOOGLEFINANCE(TRIM(F3840)&amp;"":"" &amp; TRIM(B3840),""low52""),AE3840)"),162.2)</f>
        <v>162.19999999999999</v>
      </c>
      <c r="AI3840" s="1">
        <f ca="1">IFERROR(__xludf.DUMMYFUNCTION("IFERROR(GOOGLEFINANCE(B3840,""eps""),0)"),30.32)</f>
        <v>30.32</v>
      </c>
      <c r="AJ3840" s="1"/>
      <c r="AK3840" s="1" t="s">
        <v>11705</v>
      </c>
      <c r="AL3840" s="1" t="b">
        <f>ISNUMBER(AA3840)</f>
        <v>1</v>
      </c>
    </row>
    <row r="3841" spans="1:38" ht="15" x14ac:dyDescent="0.25">
      <c r="A3841" s="1" t="s">
        <v>11706</v>
      </c>
      <c r="B3841" s="1" t="s">
        <v>11707</v>
      </c>
      <c r="C3841" s="1" t="s">
        <v>208</v>
      </c>
      <c r="D3841" s="1" t="s">
        <v>208</v>
      </c>
      <c r="E3841" s="6">
        <v>117.81</v>
      </c>
      <c r="F3841" s="1" t="s">
        <v>40</v>
      </c>
      <c r="G3841" s="6">
        <f ca="1">IFERROR(__xludf.DUMMYFUNCTION("iferror(GOOGLEFINANCE(TRIM(F3841)&amp;"":"" &amp; TRIM(B3841), ""price""),0
)"),20.8)</f>
        <v>20.8</v>
      </c>
      <c r="H3841" s="6">
        <v>30.2</v>
      </c>
      <c r="I3841" s="6">
        <f t="shared" ca="1" si="0"/>
        <v>20.8</v>
      </c>
      <c r="J3841" s="6">
        <f ca="1">IFERROR(__xludf.DUMMYFUNCTION("IFERROR(GOOGLEFINANCE(B3841, ""volume""), 0)"),3171)</f>
        <v>3171</v>
      </c>
      <c r="K3841" s="6">
        <v>-0.46</v>
      </c>
      <c r="L3841" s="6">
        <f ca="1">IFERROR(__xludf.DUMMYFUNCTION("IFERROR(GOOGLEFINANCE(B3841,""changepct""),K3841)"),-0.43)</f>
        <v>-0.43</v>
      </c>
      <c r="M3841" s="6">
        <f ca="1">IFERROR(__xludf.DUMMYFUNCTION("IFERROR(GOOGLEFINANCE(B3841,""change""),0)"),-0.09)</f>
        <v>-0.09</v>
      </c>
      <c r="N3841" s="6">
        <v>2</v>
      </c>
      <c r="O3841" s="7">
        <v>45536</v>
      </c>
      <c r="P3841" s="6">
        <v>2.13</v>
      </c>
      <c r="Q3841" s="7">
        <v>45536</v>
      </c>
      <c r="R3841" s="6">
        <v>56.34</v>
      </c>
      <c r="S3841" s="6">
        <v>3.08</v>
      </c>
      <c r="T3841" s="6">
        <v>2.37</v>
      </c>
      <c r="U3841" s="6">
        <v>2</v>
      </c>
      <c r="V3841" s="7">
        <v>45352</v>
      </c>
      <c r="W3841" s="6">
        <f ca="1">IFERROR(__xludf.DUMMYFUNCTION("IFERROR(GOOGLEFINANCE(B3841,""pe""),V3841)"),52.98)</f>
        <v>52.98</v>
      </c>
      <c r="X3841" s="6">
        <v>0.03</v>
      </c>
      <c r="Y3841" s="6">
        <v>2.39</v>
      </c>
      <c r="Z3841" s="6">
        <v>3.16</v>
      </c>
      <c r="AA3841" s="3" t="s">
        <v>11708</v>
      </c>
      <c r="AB3841" s="3"/>
      <c r="AC3841" s="9"/>
      <c r="AD3841" s="9"/>
      <c r="AE3841" s="1">
        <v>0</v>
      </c>
      <c r="AF3841" s="1">
        <f ca="1">IFERROR(__xludf.DUMMYFUNCTION("IFERROR(GOOGLEFINANCE(TRIM(F3841)&amp;"":"" &amp; TRIM(B3841),""high52""),AE3841)"),33.7)</f>
        <v>33.700000000000003</v>
      </c>
      <c r="AG3841" s="1">
        <v>0</v>
      </c>
      <c r="AH3841" s="1">
        <f ca="1">IFERROR(__xludf.DUMMYFUNCTION("IFERROR(GOOGLEFINANCE(TRIM(F3841)&amp;"":"" &amp; TRIM(B3841),""low52""),AE3841)"),20.5)</f>
        <v>20.5</v>
      </c>
      <c r="AI3841" s="1">
        <f ca="1">IFERROR(__xludf.DUMMYFUNCTION("IFERROR(GOOGLEFINANCE(B3841,""eps""),0)"),0.39)</f>
        <v>0.39</v>
      </c>
      <c r="AJ3841" s="1"/>
      <c r="AK3841" s="9"/>
      <c r="AL3841" s="9">
        <f t="shared" ref="AL3841:AL3845" si="360">IF(AA3841&lt;&gt;AB3841,1,0)</f>
        <v>1</v>
      </c>
    </row>
    <row r="3842" spans="1:38" ht="15" x14ac:dyDescent="0.25">
      <c r="A3842" s="1" t="s">
        <v>11709</v>
      </c>
      <c r="B3842" s="1" t="s">
        <v>11710</v>
      </c>
      <c r="C3842" s="1" t="s">
        <v>3720</v>
      </c>
      <c r="D3842" s="1" t="s">
        <v>3720</v>
      </c>
      <c r="E3842" s="6">
        <v>33775.760000000002</v>
      </c>
      <c r="F3842" s="1" t="s">
        <v>40</v>
      </c>
      <c r="G3842" s="6">
        <f ca="1">IFERROR(__xludf.DUMMYFUNCTION("iferror(GOOGLEFINANCE(TRIM(F3842)&amp;"":"" &amp; TRIM(B3842), ""price""),0
)"),147)</f>
        <v>147</v>
      </c>
      <c r="H3842" s="6">
        <v>206.93</v>
      </c>
      <c r="I3842" s="6">
        <f t="shared" ca="1" si="0"/>
        <v>147</v>
      </c>
      <c r="J3842" s="6">
        <f ca="1">IFERROR(__xludf.DUMMYFUNCTION("IFERROR(GOOGLEFINANCE(B3842, ""volume""), 0)"),404754)</f>
        <v>404754</v>
      </c>
      <c r="K3842" s="6">
        <v>0.96</v>
      </c>
      <c r="L3842" s="6">
        <f ca="1">IFERROR(__xludf.DUMMYFUNCTION("IFERROR(GOOGLEFINANCE(B3842,""changepct""),K3842)"),-1)</f>
        <v>-1</v>
      </c>
      <c r="M3842" s="6">
        <f ca="1">IFERROR(__xludf.DUMMYFUNCTION("IFERROR(GOOGLEFINANCE(B3842,""change""),0)"),-1.48)</f>
        <v>-1.48</v>
      </c>
      <c r="N3842" s="6">
        <v>2</v>
      </c>
      <c r="O3842" s="7">
        <v>45536</v>
      </c>
      <c r="P3842" s="6">
        <v>1327.14</v>
      </c>
      <c r="Q3842" s="7">
        <v>45536</v>
      </c>
      <c r="R3842" s="6">
        <v>24.81</v>
      </c>
      <c r="S3842" s="6">
        <v>1.98</v>
      </c>
      <c r="T3842" s="6">
        <v>1.54</v>
      </c>
      <c r="U3842" s="6">
        <v>2</v>
      </c>
      <c r="V3842" s="7">
        <v>45352</v>
      </c>
      <c r="W3842" s="6">
        <f ca="1">IFERROR(__xludf.DUMMYFUNCTION("IFERROR(GOOGLEFINANCE(B3842,""pe""),V3842)"),20.81)</f>
        <v>20.81</v>
      </c>
      <c r="X3842" s="6">
        <v>0</v>
      </c>
      <c r="Y3842" s="6">
        <v>6.74</v>
      </c>
      <c r="Z3842" s="6">
        <v>8.25</v>
      </c>
      <c r="AA3842" s="3" t="s">
        <v>11711</v>
      </c>
      <c r="AB3842" s="11"/>
      <c r="AC3842" s="9"/>
      <c r="AD3842" s="9"/>
      <c r="AE3842" s="1">
        <v>0</v>
      </c>
      <c r="AF3842" s="1">
        <f ca="1">IFERROR(__xludf.DUMMYFUNCTION("IFERROR(GOOGLEFINANCE(TRIM(F3842)&amp;"":"" &amp; TRIM(B3842),""high52""),AE3842)"),214.74)</f>
        <v>214.74</v>
      </c>
      <c r="AG3842" s="1">
        <v>0</v>
      </c>
      <c r="AH3842" s="1">
        <f ca="1">IFERROR(__xludf.DUMMYFUNCTION("IFERROR(GOOGLEFINANCE(TRIM(F3842)&amp;"":"" &amp; TRIM(B3842),""low52""),AE3842)"),135.6)</f>
        <v>135.6</v>
      </c>
      <c r="AI3842" s="1">
        <f ca="1">IFERROR(__xludf.DUMMYFUNCTION("IFERROR(GOOGLEFINANCE(B3842,""eps""),0)"),7.06)</f>
        <v>7.06</v>
      </c>
      <c r="AJ3842" s="1"/>
      <c r="AK3842" s="1" t="s">
        <v>11712</v>
      </c>
      <c r="AL3842" s="9">
        <f t="shared" si="360"/>
        <v>1</v>
      </c>
    </row>
    <row r="3843" spans="1:38" ht="15" x14ac:dyDescent="0.25">
      <c r="A3843" s="1" t="s">
        <v>11713</v>
      </c>
      <c r="B3843" s="1" t="s">
        <v>11714</v>
      </c>
      <c r="C3843" s="1" t="s">
        <v>39</v>
      </c>
      <c r="D3843" s="1" t="s">
        <v>39</v>
      </c>
      <c r="E3843" s="6">
        <v>4369.05</v>
      </c>
      <c r="F3843" s="1" t="s">
        <v>40</v>
      </c>
      <c r="G3843" s="6">
        <f ca="1">IFERROR(__xludf.DUMMYFUNCTION("iferror(GOOGLEFINANCE(TRIM(F3843)&amp;"":"" &amp; TRIM(B3843), ""price""),0
)"),4399)</f>
        <v>4399</v>
      </c>
      <c r="H3843" s="6">
        <v>7298.4</v>
      </c>
      <c r="I3843" s="6">
        <f t="shared" ca="1" si="0"/>
        <v>4399</v>
      </c>
      <c r="J3843" s="6">
        <f ca="1">IFERROR(__xludf.DUMMYFUNCTION("IFERROR(GOOGLEFINANCE(B3843, ""volume""), 0)"),10901)</f>
        <v>10901</v>
      </c>
      <c r="K3843" s="6">
        <v>0.47</v>
      </c>
      <c r="L3843" s="6">
        <f ca="1">IFERROR(__xludf.DUMMYFUNCTION("IFERROR(GOOGLEFINANCE(B3843,""changepct""),K3843)"),-0.8)</f>
        <v>-0.8</v>
      </c>
      <c r="M3843" s="6">
        <f ca="1">IFERROR(__xludf.DUMMYFUNCTION("IFERROR(GOOGLEFINANCE(B3843,""change""),0)"),-35.6)</f>
        <v>-35.6</v>
      </c>
      <c r="N3843" s="6">
        <v>1</v>
      </c>
      <c r="O3843" s="7">
        <v>45536</v>
      </c>
      <c r="P3843" s="9"/>
      <c r="Q3843" s="6">
        <v>4340.28</v>
      </c>
      <c r="R3843" s="7">
        <v>45536</v>
      </c>
      <c r="S3843" s="6">
        <v>99.52</v>
      </c>
      <c r="T3843" s="6">
        <v>14.52</v>
      </c>
      <c r="U3843" s="7">
        <v>45536</v>
      </c>
      <c r="V3843" s="6">
        <v>300.89999999999998</v>
      </c>
      <c r="W3843" s="6">
        <f ca="1">IFERROR(__xludf.DUMMYFUNCTION("IFERROR(GOOGLEFINANCE(B3843,""pe""),V3843)"),300.9)</f>
        <v>300.89999999999998</v>
      </c>
      <c r="X3843" s="6">
        <v>20.14</v>
      </c>
      <c r="Y3843" s="6">
        <v>-363.29</v>
      </c>
      <c r="Z3843" s="6">
        <v>1</v>
      </c>
      <c r="AA3843" s="17">
        <v>45352</v>
      </c>
      <c r="AB3843" s="18">
        <v>0</v>
      </c>
      <c r="AC3843" s="6">
        <v>0</v>
      </c>
      <c r="AD3843" s="6">
        <v>33.72</v>
      </c>
      <c r="AE3843" s="1">
        <v>0</v>
      </c>
      <c r="AF3843" s="1">
        <f ca="1">IFERROR(__xludf.DUMMYFUNCTION("IFERROR(GOOGLEFINANCE(TRIM(F3843)&amp;"":"" &amp; TRIM(B3843),""high52""),AE3843)"),6420)</f>
        <v>6420</v>
      </c>
      <c r="AG3843" s="1">
        <v>0</v>
      </c>
      <c r="AH3843" s="1">
        <f ca="1">IFERROR(__xludf.DUMMYFUNCTION("IFERROR(GOOGLEFINANCE(TRIM(F3843)&amp;"":"" &amp; TRIM(B3843),""low52""),AE3843)"),4201)</f>
        <v>4201</v>
      </c>
      <c r="AI3843" s="1">
        <f ca="1">IFERROR(__xludf.DUMMYFUNCTION("IFERROR(GOOGLEFINANCE(B3843,""eps""),0)"),-64.31)</f>
        <v>-64.31</v>
      </c>
      <c r="AJ3843" s="1"/>
      <c r="AK3843" s="1" t="s">
        <v>11715</v>
      </c>
      <c r="AL3843" s="9">
        <f t="shared" si="360"/>
        <v>1</v>
      </c>
    </row>
    <row r="3844" spans="1:38" ht="15" x14ac:dyDescent="0.25">
      <c r="A3844" s="1" t="s">
        <v>11716</v>
      </c>
      <c r="B3844" s="1" t="s">
        <v>11717</v>
      </c>
      <c r="C3844" s="1" t="s">
        <v>1913</v>
      </c>
      <c r="D3844" s="1" t="s">
        <v>1913</v>
      </c>
      <c r="E3844" s="6">
        <v>227.86</v>
      </c>
      <c r="F3844" s="1" t="s">
        <v>40</v>
      </c>
      <c r="G3844" s="6">
        <f ca="1">IFERROR(__xludf.DUMMYFUNCTION("iferror(GOOGLEFINANCE(TRIM(F3844)&amp;"":"" &amp; TRIM(B3844), ""price""),0
)"),689.4)</f>
        <v>689.4</v>
      </c>
      <c r="H3844" s="6">
        <v>721</v>
      </c>
      <c r="I3844" s="6">
        <f t="shared" ca="1" si="0"/>
        <v>689.4</v>
      </c>
      <c r="J3844" s="6">
        <f ca="1">IFERROR(__xludf.DUMMYFUNCTION("IFERROR(GOOGLEFINANCE(B3844, ""volume""), 0)"),53)</f>
        <v>53</v>
      </c>
      <c r="K3844" s="6">
        <v>-2.04</v>
      </c>
      <c r="L3844" s="6">
        <f ca="1">IFERROR(__xludf.DUMMYFUNCTION("IFERROR(GOOGLEFINANCE(B3844,""changepct""),K3844)"),0.94)</f>
        <v>0.94</v>
      </c>
      <c r="M3844" s="6">
        <f ca="1">IFERROR(__xludf.DUMMYFUNCTION("IFERROR(GOOGLEFINANCE(B3844,""change""),0)"),6.4)</f>
        <v>6.4</v>
      </c>
      <c r="N3844" s="6">
        <v>1</v>
      </c>
      <c r="O3844" s="7">
        <v>45536</v>
      </c>
      <c r="P3844" s="6">
        <v>21.06</v>
      </c>
      <c r="Q3844" s="6">
        <v>246.13</v>
      </c>
      <c r="R3844" s="7">
        <v>45536</v>
      </c>
      <c r="S3844" s="6">
        <v>57.55</v>
      </c>
      <c r="T3844" s="6">
        <v>11.74</v>
      </c>
      <c r="U3844" s="7">
        <v>45536</v>
      </c>
      <c r="V3844" s="6">
        <v>19.41</v>
      </c>
      <c r="W3844" s="6">
        <f ca="1">IFERROR(__xludf.DUMMYFUNCTION("IFERROR(GOOGLEFINANCE(B3844,""pe""),V3844)"),19.41)</f>
        <v>19.41</v>
      </c>
      <c r="X3844" s="6">
        <v>1.5</v>
      </c>
      <c r="Y3844" s="6">
        <v>1.1499999999999999</v>
      </c>
      <c r="Z3844" s="6">
        <v>2</v>
      </c>
      <c r="AA3844" s="8">
        <v>45352</v>
      </c>
      <c r="AB3844" s="4">
        <v>0.11</v>
      </c>
      <c r="AC3844" s="6">
        <v>2.86</v>
      </c>
      <c r="AD3844" s="6">
        <v>4.16</v>
      </c>
      <c r="AE3844" s="1">
        <v>0</v>
      </c>
      <c r="AF3844" s="1">
        <f ca="1">IFERROR(__xludf.DUMMYFUNCTION("IFERROR(GOOGLEFINANCE(TRIM(F3844)&amp;"":"" &amp; TRIM(B3844),""high52""),AE3844)"),1013.9)</f>
        <v>1013.9</v>
      </c>
      <c r="AG3844" s="1">
        <v>0</v>
      </c>
      <c r="AH3844" s="1">
        <f ca="1">IFERROR(__xludf.DUMMYFUNCTION("IFERROR(GOOGLEFINANCE(TRIM(F3844)&amp;"":"" &amp; TRIM(B3844),""low52""),AE3844)"),565)</f>
        <v>565</v>
      </c>
      <c r="AI3844" s="1">
        <f ca="1">IFERROR(__xludf.DUMMYFUNCTION("IFERROR(GOOGLEFINANCE(B3844,""eps""),0)"),-13.79)</f>
        <v>-13.79</v>
      </c>
      <c r="AJ3844" s="1"/>
      <c r="AK3844" s="1" t="s">
        <v>11718</v>
      </c>
      <c r="AL3844" s="9">
        <f t="shared" si="360"/>
        <v>1</v>
      </c>
    </row>
    <row r="3845" spans="1:38" ht="15" x14ac:dyDescent="0.25">
      <c r="A3845" s="1" t="s">
        <v>11719</v>
      </c>
      <c r="B3845" s="1" t="s">
        <v>11720</v>
      </c>
      <c r="C3845" s="1" t="s">
        <v>487</v>
      </c>
      <c r="D3845" s="1" t="s">
        <v>487</v>
      </c>
      <c r="E3845" s="6">
        <v>57436.37</v>
      </c>
      <c r="F3845" s="1" t="s">
        <v>40</v>
      </c>
      <c r="G3845" s="6">
        <f ca="1">IFERROR(__xludf.DUMMYFUNCTION("iferror(GOOGLEFINANCE(TRIM(F3845)&amp;"":"" &amp; TRIM(B3845), ""price""),0
)"),1630)</f>
        <v>1630</v>
      </c>
      <c r="H3845" s="6">
        <v>1594.75</v>
      </c>
      <c r="I3845" s="6">
        <f t="shared" ca="1" si="0"/>
        <v>1630</v>
      </c>
      <c r="J3845" s="6">
        <f ca="1">IFERROR(__xludf.DUMMYFUNCTION("IFERROR(GOOGLEFINANCE(B3845, ""volume""), 0)"),685804)</f>
        <v>685804</v>
      </c>
      <c r="K3845" s="6">
        <v>-0.49</v>
      </c>
      <c r="L3845" s="6">
        <f ca="1">IFERROR(__xludf.DUMMYFUNCTION("IFERROR(GOOGLEFINANCE(B3845,""changepct""),K3845)"),-0.65)</f>
        <v>-0.65</v>
      </c>
      <c r="M3845" s="6">
        <f ca="1">IFERROR(__xludf.DUMMYFUNCTION("IFERROR(GOOGLEFINANCE(B3845,""change""),0)"),-10.6)</f>
        <v>-10.6</v>
      </c>
      <c r="N3845" s="6">
        <v>2</v>
      </c>
      <c r="O3845" s="7">
        <v>45536</v>
      </c>
      <c r="P3845" s="6">
        <v>4636.93</v>
      </c>
      <c r="Q3845" s="6">
        <v>61627.61</v>
      </c>
      <c r="R3845" s="7">
        <v>45536</v>
      </c>
      <c r="S3845" s="6">
        <v>4114.1400000000003</v>
      </c>
      <c r="T3845" s="6">
        <v>1336.87</v>
      </c>
      <c r="U3845" s="7">
        <v>45536</v>
      </c>
      <c r="V3845" s="6">
        <v>54.35</v>
      </c>
      <c r="W3845" s="6">
        <f ca="1">IFERROR(__xludf.DUMMYFUNCTION("IFERROR(GOOGLEFINANCE(B3845,""pe""),V3845)"),53.52)</f>
        <v>53.52</v>
      </c>
      <c r="X3845" s="6">
        <v>2.31</v>
      </c>
      <c r="Y3845" s="6">
        <v>5.75</v>
      </c>
      <c r="Z3845" s="6">
        <v>2</v>
      </c>
      <c r="AA3845" s="8">
        <v>45352</v>
      </c>
      <c r="AB3845" s="4">
        <v>0.49</v>
      </c>
      <c r="AC3845" s="6">
        <v>14.92</v>
      </c>
      <c r="AD3845" s="6">
        <v>15.27</v>
      </c>
      <c r="AE3845" s="1">
        <v>0</v>
      </c>
      <c r="AF3845" s="1">
        <f ca="1">IFERROR(__xludf.DUMMYFUNCTION("IFERROR(GOOGLEFINANCE(TRIM(F3845)&amp;"":"" &amp; TRIM(B3845),""high52""),AE3845)"),1993)</f>
        <v>1993</v>
      </c>
      <c r="AG3845" s="1">
        <v>0</v>
      </c>
      <c r="AH3845" s="1">
        <f ca="1">IFERROR(__xludf.DUMMYFUNCTION("IFERROR(GOOGLEFINANCE(TRIM(F3845)&amp;"":"" &amp; TRIM(B3845),""low52""),AE3845)"),1402.5)</f>
        <v>1402.5</v>
      </c>
      <c r="AI3845" s="1">
        <f ca="1">IFERROR(__xludf.DUMMYFUNCTION("IFERROR(GOOGLEFINANCE(B3845,""eps""),0)"),30.46)</f>
        <v>30.46</v>
      </c>
      <c r="AJ3845" s="1"/>
      <c r="AK3845" s="1" t="s">
        <v>11721</v>
      </c>
      <c r="AL3845" s="9">
        <f t="shared" si="360"/>
        <v>1</v>
      </c>
    </row>
    <row r="3846" spans="1:38" ht="15" x14ac:dyDescent="0.25">
      <c r="A3846" s="1" t="s">
        <v>11722</v>
      </c>
      <c r="B3846" s="1" t="s">
        <v>11723</v>
      </c>
      <c r="C3846" s="1" t="s">
        <v>239</v>
      </c>
      <c r="D3846" s="1" t="s">
        <v>239</v>
      </c>
      <c r="E3846" s="6">
        <v>23307.88</v>
      </c>
      <c r="F3846" s="1" t="s">
        <v>40</v>
      </c>
      <c r="G3846" s="6">
        <f ca="1">IFERROR(__xludf.DUMMYFUNCTION("iferror(GOOGLEFINANCE(TRIM(F3846)&amp;"":"" &amp; TRIM(B3846), ""price""),0
)"),1110)</f>
        <v>1110</v>
      </c>
      <c r="H3846" s="6">
        <v>986</v>
      </c>
      <c r="I3846" s="6">
        <f t="shared" ca="1" si="0"/>
        <v>1110</v>
      </c>
      <c r="J3846" s="6">
        <f ca="1">IFERROR(__xludf.DUMMYFUNCTION("IFERROR(GOOGLEFINANCE(B3846, ""volume""), 0)"),433332)</f>
        <v>433332</v>
      </c>
      <c r="K3846" s="6">
        <v>0.02</v>
      </c>
      <c r="L3846" s="6">
        <f ca="1">IFERROR(__xludf.DUMMYFUNCTION("IFERROR(GOOGLEFINANCE(B3846,""changepct""),K3846)"),2.05)</f>
        <v>2.0499999999999998</v>
      </c>
      <c r="M3846" s="6">
        <f ca="1">IFERROR(__xludf.DUMMYFUNCTION("IFERROR(GOOGLEFINANCE(B3846,""change""),0)"),22.3)</f>
        <v>22.3</v>
      </c>
      <c r="N3846" s="6">
        <v>2</v>
      </c>
      <c r="O3846" s="7">
        <v>45536</v>
      </c>
      <c r="P3846" s="6">
        <v>5203.72</v>
      </c>
      <c r="Q3846" s="6">
        <v>28369.45</v>
      </c>
      <c r="R3846" s="7">
        <v>45536</v>
      </c>
      <c r="S3846" s="6">
        <v>8926.7999999999993</v>
      </c>
      <c r="T3846" s="6">
        <v>274.10000000000002</v>
      </c>
      <c r="U3846" s="7">
        <v>45536</v>
      </c>
      <c r="V3846" s="6">
        <v>84.33</v>
      </c>
      <c r="W3846" s="6">
        <f ca="1">IFERROR(__xludf.DUMMYFUNCTION("IFERROR(GOOGLEFINANCE(B3846,""pe""),V3846)"),70.92)</f>
        <v>70.92</v>
      </c>
      <c r="X3846" s="6">
        <v>-12.48</v>
      </c>
      <c r="Y3846" s="6">
        <v>3.22</v>
      </c>
      <c r="Z3846" s="6">
        <v>2</v>
      </c>
      <c r="AA3846" s="8">
        <v>45352</v>
      </c>
      <c r="AB3846" s="4">
        <v>0.68</v>
      </c>
      <c r="AC3846" s="6">
        <v>5.58</v>
      </c>
      <c r="AD3846" s="6">
        <v>8.15</v>
      </c>
      <c r="AE3846" s="1">
        <v>0</v>
      </c>
      <c r="AF3846" s="1">
        <f ca="1">IFERROR(__xludf.DUMMYFUNCTION("IFERROR(GOOGLEFINANCE(TRIM(F3846)&amp;"":"" &amp; TRIM(B3846),""high52""),AE3846)"),1209)</f>
        <v>1209</v>
      </c>
      <c r="AG3846" s="1">
        <v>0</v>
      </c>
      <c r="AH3846" s="1">
        <f ca="1">IFERROR(__xludf.DUMMYFUNCTION("IFERROR(GOOGLEFINANCE(TRIM(F3846)&amp;"":"" &amp; TRIM(B3846),""low52""),AE3846)"),788.2)</f>
        <v>788.2</v>
      </c>
      <c r="AI3846" s="1">
        <f ca="1">IFERROR(__xludf.DUMMYFUNCTION("IFERROR(GOOGLEFINANCE(B3846,""eps""),0)"),15.65)</f>
        <v>15.65</v>
      </c>
      <c r="AJ3846" s="1"/>
      <c r="AK3846" s="9"/>
      <c r="AL3846" s="1" t="b">
        <f>ISBLANK(AB3846)</f>
        <v>0</v>
      </c>
    </row>
    <row r="3847" spans="1:38" ht="15" x14ac:dyDescent="0.25">
      <c r="A3847" s="1" t="s">
        <v>11724</v>
      </c>
      <c r="B3847" s="1" t="s">
        <v>11725</v>
      </c>
      <c r="C3847" s="1" t="s">
        <v>186</v>
      </c>
      <c r="D3847" s="1" t="s">
        <v>186</v>
      </c>
      <c r="E3847" s="6">
        <v>897.03</v>
      </c>
      <c r="F3847" s="1" t="s">
        <v>40</v>
      </c>
      <c r="G3847" s="6">
        <f ca="1">IFERROR(__xludf.DUMMYFUNCTION("iferror(GOOGLEFINANCE(TRIM(F3847)&amp;"":"" &amp; TRIM(B3847), ""price""),0
)"),195.89)</f>
        <v>195.89</v>
      </c>
      <c r="H3847" s="6">
        <v>270.95</v>
      </c>
      <c r="I3847" s="6">
        <f t="shared" ca="1" si="0"/>
        <v>195.89</v>
      </c>
      <c r="J3847" s="6">
        <f ca="1">IFERROR(__xludf.DUMMYFUNCTION("IFERROR(GOOGLEFINANCE(B3847, ""volume""), 0)"),4354)</f>
        <v>4354</v>
      </c>
      <c r="K3847" s="6">
        <v>0.91</v>
      </c>
      <c r="L3847" s="6">
        <f ca="1">IFERROR(__xludf.DUMMYFUNCTION("IFERROR(GOOGLEFINANCE(B3847,""changepct""),K3847)"),0.99)</f>
        <v>0.99</v>
      </c>
      <c r="M3847" s="6">
        <f ca="1">IFERROR(__xludf.DUMMYFUNCTION("IFERROR(GOOGLEFINANCE(B3847,""change""),0)"),1.92)</f>
        <v>1.92</v>
      </c>
      <c r="N3847" s="6">
        <v>1</v>
      </c>
      <c r="O3847" s="7">
        <v>45536</v>
      </c>
      <c r="P3847" s="6">
        <v>207.24</v>
      </c>
      <c r="Q3847" s="6">
        <v>1098.33</v>
      </c>
      <c r="R3847" s="7">
        <v>45536</v>
      </c>
      <c r="S3847" s="6">
        <v>228.29</v>
      </c>
      <c r="T3847" s="6">
        <v>38.89</v>
      </c>
      <c r="U3847" s="7">
        <v>45536</v>
      </c>
      <c r="V3847" s="6">
        <v>23.07</v>
      </c>
      <c r="W3847" s="6">
        <f ca="1">IFERROR(__xludf.DUMMYFUNCTION("IFERROR(GOOGLEFINANCE(B3847,""pe""),V3847)"),12.18)</f>
        <v>12.18</v>
      </c>
      <c r="X3847" s="6">
        <v>1.1499999999999999</v>
      </c>
      <c r="Y3847" s="6">
        <v>1.48</v>
      </c>
      <c r="Z3847" s="6">
        <v>1</v>
      </c>
      <c r="AA3847" s="8">
        <v>45352</v>
      </c>
      <c r="AB3847" s="4">
        <v>0.35</v>
      </c>
      <c r="AC3847" s="6">
        <v>7.68</v>
      </c>
      <c r="AD3847" s="6">
        <v>7.48</v>
      </c>
      <c r="AE3847" s="1">
        <v>0</v>
      </c>
      <c r="AF3847" s="1">
        <f ca="1">IFERROR(__xludf.DUMMYFUNCTION("IFERROR(GOOGLEFINANCE(TRIM(F3847)&amp;"":"" &amp; TRIM(B3847),""high52""),AE3847)"),269)</f>
        <v>269</v>
      </c>
      <c r="AG3847" s="1">
        <v>0</v>
      </c>
      <c r="AH3847" s="1">
        <f ca="1">IFERROR(__xludf.DUMMYFUNCTION("IFERROR(GOOGLEFINANCE(TRIM(F3847)&amp;"":"" &amp; TRIM(B3847),""low52""),AE3847)"),171.78)</f>
        <v>171.78</v>
      </c>
      <c r="AI3847" s="1">
        <f ca="1">IFERROR(__xludf.DUMMYFUNCTION("IFERROR(GOOGLEFINANCE(B3847,""eps""),0)"),16.08)</f>
        <v>16.079999999999998</v>
      </c>
      <c r="AJ3847" s="1"/>
      <c r="AK3847" s="6">
        <v>50.51</v>
      </c>
      <c r="AL3847" s="9">
        <f t="shared" ref="AL3847:AL3849" si="361">IF(AA3847&lt;&gt;AB3847,1,0)</f>
        <v>1</v>
      </c>
    </row>
    <row r="3848" spans="1:38" ht="15" x14ac:dyDescent="0.25">
      <c r="A3848" s="1" t="s">
        <v>11726</v>
      </c>
      <c r="B3848" s="1" t="s">
        <v>11727</v>
      </c>
      <c r="C3848" s="1" t="s">
        <v>186</v>
      </c>
      <c r="D3848" s="1" t="s">
        <v>186</v>
      </c>
      <c r="E3848" s="6">
        <v>3.84</v>
      </c>
      <c r="F3848" s="1" t="s">
        <v>53</v>
      </c>
      <c r="G3848" s="6">
        <f ca="1">IFERROR(__xludf.DUMMYFUNCTION("iferror(GOOGLEFINANCE(TRIM(F3848)&amp;"":"" &amp; TRIM(B3848), ""price""),0
)"),0)</f>
        <v>0</v>
      </c>
      <c r="H3848" s="6">
        <v>1.72</v>
      </c>
      <c r="I3848" s="6">
        <f t="shared" ca="1" si="0"/>
        <v>1.72</v>
      </c>
      <c r="J3848" s="6">
        <f ca="1">IFERROR(__xludf.DUMMYFUNCTION("IFERROR(GOOGLEFINANCE(B3848, ""volume""), 0)"),0)</f>
        <v>0</v>
      </c>
      <c r="K3848" s="6">
        <v>4.88</v>
      </c>
      <c r="L3848" s="6">
        <f ca="1">IFERROR(__xludf.DUMMYFUNCTION("IFERROR(GOOGLEFINANCE(B3848,""changepct""),K3848)"),4.88)</f>
        <v>4.88</v>
      </c>
      <c r="M3848" s="6">
        <f ca="1">IFERROR(__xludf.DUMMYFUNCTION("IFERROR(GOOGLEFINANCE(B3848,""change""),0)"),0)</f>
        <v>0</v>
      </c>
      <c r="N3848" s="6">
        <v>1</v>
      </c>
      <c r="O3848" s="7">
        <v>45352</v>
      </c>
      <c r="P3848" s="6">
        <v>378.49</v>
      </c>
      <c r="Q3848" s="6">
        <v>381.69</v>
      </c>
      <c r="R3848" s="7">
        <v>43344</v>
      </c>
      <c r="S3848" s="6">
        <v>124.19</v>
      </c>
      <c r="T3848" s="6">
        <v>-169.43</v>
      </c>
      <c r="U3848" s="7">
        <v>45352</v>
      </c>
      <c r="V3848" s="6">
        <v>0</v>
      </c>
      <c r="W3848" s="6">
        <f ca="1">IFERROR(__xludf.DUMMYFUNCTION("IFERROR(GOOGLEFINANCE(B3848,""pe""),V3848)"),0)</f>
        <v>0</v>
      </c>
      <c r="X3848" s="9"/>
      <c r="Y3848" s="6">
        <v>-0.01</v>
      </c>
      <c r="Z3848" s="6">
        <v>1</v>
      </c>
      <c r="AA3848" s="8">
        <v>45352</v>
      </c>
      <c r="AB3848" s="4">
        <v>-1.22</v>
      </c>
      <c r="AC3848" s="6">
        <v>0</v>
      </c>
      <c r="AD3848" s="6">
        <v>-21.88</v>
      </c>
      <c r="AE3848" s="1">
        <v>0</v>
      </c>
      <c r="AF3848" s="1">
        <f ca="1">IFERROR(__xludf.DUMMYFUNCTION("IFERROR(GOOGLEFINANCE(TRIM(F3848)&amp;"":"" &amp; TRIM(B3848),""high52""),AE3848)"),0)</f>
        <v>0</v>
      </c>
      <c r="AG3848" s="1">
        <v>0</v>
      </c>
      <c r="AH3848" s="1">
        <f ca="1">IFERROR(__xludf.DUMMYFUNCTION("IFERROR(GOOGLEFINANCE(TRIM(F3848)&amp;"":"" &amp; TRIM(B3848),""low52""),AE3848)"),0)</f>
        <v>0</v>
      </c>
      <c r="AI3848" s="1">
        <f ca="1">IFERROR(__xludf.DUMMYFUNCTION("IFERROR(GOOGLEFINANCE(B3848,""eps""),0)"),0)</f>
        <v>0</v>
      </c>
      <c r="AJ3848" s="1"/>
      <c r="AK3848" s="1" t="s">
        <v>11728</v>
      </c>
      <c r="AL3848" s="9">
        <f t="shared" si="361"/>
        <v>1</v>
      </c>
    </row>
    <row r="3849" spans="1:38" ht="15" x14ac:dyDescent="0.25">
      <c r="A3849" s="1" t="s">
        <v>11729</v>
      </c>
      <c r="B3849" s="1" t="s">
        <v>11730</v>
      </c>
      <c r="C3849" s="1" t="s">
        <v>778</v>
      </c>
      <c r="D3849" s="1" t="s">
        <v>778</v>
      </c>
      <c r="E3849" s="6">
        <v>1230.45</v>
      </c>
      <c r="F3849" s="1" t="s">
        <v>40</v>
      </c>
      <c r="G3849" s="6">
        <f ca="1">IFERROR(__xludf.DUMMYFUNCTION("iferror(GOOGLEFINANCE(TRIM(F3849)&amp;"":"" &amp; TRIM(B3849), ""price""),0
)"),1004)</f>
        <v>1004</v>
      </c>
      <c r="H3849" s="6">
        <v>1647</v>
      </c>
      <c r="I3849" s="6">
        <f t="shared" ca="1" si="0"/>
        <v>1004</v>
      </c>
      <c r="J3849" s="6">
        <f ca="1">IFERROR(__xludf.DUMMYFUNCTION("IFERROR(GOOGLEFINANCE(B3849, ""volume""), 0)"),665)</f>
        <v>665</v>
      </c>
      <c r="K3849" s="6">
        <v>1.65</v>
      </c>
      <c r="L3849" s="6">
        <f ca="1">IFERROR(__xludf.DUMMYFUNCTION("IFERROR(GOOGLEFINANCE(B3849,""changepct""),K3849)"),0.66)</f>
        <v>0.66</v>
      </c>
      <c r="M3849" s="6">
        <f ca="1">IFERROR(__xludf.DUMMYFUNCTION("IFERROR(GOOGLEFINANCE(B3849,""change""),0)"),6.6)</f>
        <v>6.6</v>
      </c>
      <c r="N3849" s="6">
        <v>2</v>
      </c>
      <c r="O3849" s="7">
        <v>45536</v>
      </c>
      <c r="P3849" s="9"/>
      <c r="Q3849" s="6">
        <v>1194.5999999999999</v>
      </c>
      <c r="R3849" s="7">
        <v>45536</v>
      </c>
      <c r="S3849" s="6">
        <v>316.37</v>
      </c>
      <c r="T3849" s="6">
        <v>218.28</v>
      </c>
      <c r="U3849" s="7">
        <v>45536</v>
      </c>
      <c r="V3849" s="6">
        <v>5.64</v>
      </c>
      <c r="W3849" s="6">
        <f ca="1">IFERROR(__xludf.DUMMYFUNCTION("IFERROR(GOOGLEFINANCE(B3849,""pe""),V3849)"),15.09)</f>
        <v>15.09</v>
      </c>
      <c r="X3849" s="6">
        <v>0.24</v>
      </c>
      <c r="Y3849" s="6">
        <v>0.91</v>
      </c>
      <c r="Z3849" s="6">
        <v>2</v>
      </c>
      <c r="AA3849" s="8">
        <v>45352</v>
      </c>
      <c r="AB3849" s="4">
        <v>0</v>
      </c>
      <c r="AC3849" s="6">
        <v>16.28</v>
      </c>
      <c r="AD3849" s="6">
        <v>20.81</v>
      </c>
      <c r="AE3849" s="1">
        <v>0</v>
      </c>
      <c r="AF3849" s="1">
        <f ca="1">IFERROR(__xludf.DUMMYFUNCTION("IFERROR(GOOGLEFINANCE(TRIM(F3849)&amp;"":"" &amp; TRIM(B3849),""high52""),AE3849)"),1487)</f>
        <v>1487</v>
      </c>
      <c r="AG3849" s="1">
        <v>0</v>
      </c>
      <c r="AH3849" s="1">
        <f ca="1">IFERROR(__xludf.DUMMYFUNCTION("IFERROR(GOOGLEFINANCE(TRIM(F3849)&amp;"":"" &amp; TRIM(B3849),""low52""),AE3849)"),951)</f>
        <v>951</v>
      </c>
      <c r="AI3849" s="1">
        <f ca="1">IFERROR(__xludf.DUMMYFUNCTION("IFERROR(GOOGLEFINANCE(B3849,""eps""),0)"),66.53)</f>
        <v>66.53</v>
      </c>
      <c r="AJ3849" s="1"/>
      <c r="AK3849" s="9"/>
      <c r="AL3849" s="9">
        <f t="shared" si="361"/>
        <v>1</v>
      </c>
    </row>
    <row r="3850" spans="1:38" ht="15" x14ac:dyDescent="0.25">
      <c r="A3850" s="1" t="s">
        <v>11731</v>
      </c>
      <c r="B3850" s="1" t="s">
        <v>11732</v>
      </c>
      <c r="C3850" s="1" t="s">
        <v>1067</v>
      </c>
      <c r="D3850" s="1" t="s">
        <v>1067</v>
      </c>
      <c r="E3850" s="6">
        <v>6789.28</v>
      </c>
      <c r="F3850" s="1" t="s">
        <v>40</v>
      </c>
      <c r="G3850" s="6">
        <f ca="1">IFERROR(__xludf.DUMMYFUNCTION("iferror(GOOGLEFINANCE(TRIM(F3850)&amp;"":"" &amp; TRIM(B3850), ""price""),0
)"),37.85)</f>
        <v>37.85</v>
      </c>
      <c r="H3850" s="6">
        <v>26.59</v>
      </c>
      <c r="I3850" s="6">
        <f t="shared" ca="1" si="0"/>
        <v>37.85</v>
      </c>
      <c r="J3850" s="6">
        <f ca="1">IFERROR(__xludf.DUMMYFUNCTION("IFERROR(GOOGLEFINANCE(B3850, ""volume""), 0)"),27670454)</f>
        <v>27670454</v>
      </c>
      <c r="K3850" s="6">
        <v>2.4700000000000002</v>
      </c>
      <c r="L3850" s="6">
        <f ca="1">IFERROR(__xludf.DUMMYFUNCTION("IFERROR(GOOGLEFINANCE(B3850,""changepct""),K3850)"),0.8)</f>
        <v>0.8</v>
      </c>
      <c r="M3850" s="6">
        <f ca="1">IFERROR(__xludf.DUMMYFUNCTION("IFERROR(GOOGLEFINANCE(B3850,""change""),0)"),0.3)</f>
        <v>0.3</v>
      </c>
      <c r="N3850" s="6">
        <v>2</v>
      </c>
      <c r="O3850" s="7">
        <v>45536</v>
      </c>
      <c r="P3850" s="6">
        <v>9127.89</v>
      </c>
      <c r="Q3850" s="6">
        <v>1211.4000000000001</v>
      </c>
      <c r="R3850" s="7">
        <v>45536</v>
      </c>
      <c r="S3850" s="6">
        <v>5.6</v>
      </c>
      <c r="T3850" s="12"/>
      <c r="U3850" s="6">
        <v>0.72</v>
      </c>
      <c r="V3850" s="6">
        <v>2</v>
      </c>
      <c r="W3850" s="6">
        <f ca="1">IFERROR(__xludf.DUMMYFUNCTION("IFERROR(GOOGLEFINANCE(B3850,""pe""),V3850)"),7.13)</f>
        <v>7.13</v>
      </c>
      <c r="X3850" s="7">
        <v>45352</v>
      </c>
      <c r="Y3850" s="6">
        <v>13.81</v>
      </c>
      <c r="Z3850" s="6">
        <v>1</v>
      </c>
      <c r="AA3850" s="8">
        <v>45352</v>
      </c>
      <c r="AB3850" s="4">
        <v>1.46</v>
      </c>
      <c r="AC3850" s="6">
        <v>2.97</v>
      </c>
      <c r="AD3850" s="6">
        <v>11.03</v>
      </c>
      <c r="AE3850" s="1">
        <v>0</v>
      </c>
      <c r="AF3850" s="1">
        <f ca="1">IFERROR(__xludf.DUMMYFUNCTION("IFERROR(GOOGLEFINANCE(TRIM(F3850)&amp;"":"" &amp; TRIM(B3850),""high52""),AE3850)"),46.84)</f>
        <v>46.84</v>
      </c>
      <c r="AG3850" s="1">
        <v>0</v>
      </c>
      <c r="AH3850" s="1">
        <f ca="1">IFERROR(__xludf.DUMMYFUNCTION("IFERROR(GOOGLEFINANCE(TRIM(F3850)&amp;"":"" &amp; TRIM(B3850),""low52""),AE3850)"),22.3)</f>
        <v>22.3</v>
      </c>
      <c r="AI3850" s="1">
        <f ca="1">IFERROR(__xludf.DUMMYFUNCTION("IFERROR(GOOGLEFINANCE(B3850,""eps""),0)"),5.31)</f>
        <v>5.31</v>
      </c>
      <c r="AJ3850" s="1"/>
      <c r="AK3850" s="1" t="s">
        <v>11733</v>
      </c>
      <c r="AL3850" s="1" t="b">
        <f>ISNUMBER(AA3850)</f>
        <v>1</v>
      </c>
    </row>
    <row r="3851" spans="1:38" ht="15" x14ac:dyDescent="0.25">
      <c r="A3851" s="1" t="s">
        <v>11734</v>
      </c>
      <c r="B3851" s="1" t="s">
        <v>11735</v>
      </c>
      <c r="C3851" s="1" t="s">
        <v>227</v>
      </c>
      <c r="D3851" s="1" t="s">
        <v>227</v>
      </c>
      <c r="E3851" s="6">
        <v>933.9</v>
      </c>
      <c r="F3851" s="1" t="s">
        <v>40</v>
      </c>
      <c r="G3851" s="6">
        <f ca="1">IFERROR(__xludf.DUMMYFUNCTION("iferror(GOOGLEFINANCE(TRIM(F3851)&amp;"":"" &amp; TRIM(B3851), ""price""),0
)"),118.5)</f>
        <v>118.5</v>
      </c>
      <c r="H3851" s="6">
        <v>158.03</v>
      </c>
      <c r="I3851" s="6">
        <f t="shared" ca="1" si="0"/>
        <v>118.5</v>
      </c>
      <c r="J3851" s="6">
        <f ca="1">IFERROR(__xludf.DUMMYFUNCTION("IFERROR(GOOGLEFINANCE(B3851, ""volume""), 0)"),55966)</f>
        <v>55966</v>
      </c>
      <c r="K3851" s="6">
        <v>1.53</v>
      </c>
      <c r="L3851" s="6">
        <f ca="1">IFERROR(__xludf.DUMMYFUNCTION("IFERROR(GOOGLEFINANCE(B3851,""changepct""),K3851)"),0.03)</f>
        <v>0.03</v>
      </c>
      <c r="M3851" s="6">
        <f ca="1">IFERROR(__xludf.DUMMYFUNCTION("IFERROR(GOOGLEFINANCE(B3851,""change""),0)"),0.04)</f>
        <v>0.04</v>
      </c>
      <c r="N3851" s="6">
        <v>2</v>
      </c>
      <c r="O3851" s="7">
        <v>45536</v>
      </c>
      <c r="P3851" s="6">
        <v>1981.26</v>
      </c>
      <c r="Q3851" s="6">
        <v>2914.27</v>
      </c>
      <c r="R3851" s="7">
        <v>45536</v>
      </c>
      <c r="S3851" s="6">
        <v>0</v>
      </c>
      <c r="T3851" s="6">
        <v>48.11</v>
      </c>
      <c r="U3851" s="7">
        <v>45536</v>
      </c>
      <c r="V3851" s="6">
        <v>19.41</v>
      </c>
      <c r="W3851" s="6">
        <f ca="1">IFERROR(__xludf.DUMMYFUNCTION("IFERROR(GOOGLEFINANCE(B3851,""pe""),V3851)"),28.73)</f>
        <v>28.73</v>
      </c>
      <c r="X3851" s="6">
        <v>1.1000000000000001</v>
      </c>
      <c r="Y3851" s="6">
        <v>-0.17</v>
      </c>
      <c r="Z3851" s="6">
        <v>2</v>
      </c>
      <c r="AA3851" s="8">
        <v>45352</v>
      </c>
      <c r="AB3851" s="4">
        <v>-0.36</v>
      </c>
      <c r="AC3851" s="6">
        <v>0</v>
      </c>
      <c r="AD3851" s="6">
        <v>0</v>
      </c>
      <c r="AE3851" s="1">
        <v>0</v>
      </c>
      <c r="AF3851" s="1">
        <f ca="1">IFERROR(__xludf.DUMMYFUNCTION("IFERROR(GOOGLEFINANCE(TRIM(F3851)&amp;"":"" &amp; TRIM(B3851),""high52""),AE3851)"),168.45)</f>
        <v>168.45</v>
      </c>
      <c r="AG3851" s="1">
        <v>0</v>
      </c>
      <c r="AH3851" s="1">
        <f ca="1">IFERROR(__xludf.DUMMYFUNCTION("IFERROR(GOOGLEFINANCE(TRIM(F3851)&amp;"":"" &amp; TRIM(B3851),""low52""),AE3851)"),104.11)</f>
        <v>104.11</v>
      </c>
      <c r="AI3851" s="1">
        <f ca="1">IFERROR(__xludf.DUMMYFUNCTION("IFERROR(GOOGLEFINANCE(B3851,""eps""),0)"),4.12)</f>
        <v>4.12</v>
      </c>
      <c r="AJ3851" s="1"/>
      <c r="AK3851" s="1" t="s">
        <v>11736</v>
      </c>
      <c r="AL3851" s="9">
        <f t="shared" ref="AL3851:AL3865" si="362">IF(AA3851&lt;&gt;AB3851,1,0)</f>
        <v>1</v>
      </c>
    </row>
    <row r="3852" spans="1:38" ht="15" x14ac:dyDescent="0.25">
      <c r="A3852" s="1" t="s">
        <v>11737</v>
      </c>
      <c r="B3852" s="1" t="s">
        <v>11738</v>
      </c>
      <c r="C3852" s="1" t="s">
        <v>1118</v>
      </c>
      <c r="D3852" s="1" t="s">
        <v>1118</v>
      </c>
      <c r="E3852" s="6">
        <v>747.79</v>
      </c>
      <c r="F3852" s="1" t="s">
        <v>40</v>
      </c>
      <c r="G3852" s="6">
        <f ca="1">IFERROR(__xludf.DUMMYFUNCTION("iferror(GOOGLEFINANCE(TRIM(F3852)&amp;"":"" &amp; TRIM(B3852), ""price""),0
)"),37.73)</f>
        <v>37.729999999999997</v>
      </c>
      <c r="H3852" s="6">
        <v>66.62</v>
      </c>
      <c r="I3852" s="6">
        <f t="shared" ca="1" si="0"/>
        <v>37.729999999999997</v>
      </c>
      <c r="J3852" s="6">
        <f ca="1">IFERROR(__xludf.DUMMYFUNCTION("IFERROR(GOOGLEFINANCE(B3852, ""volume""), 0)"),87040)</f>
        <v>87040</v>
      </c>
      <c r="K3852" s="6">
        <v>0.5</v>
      </c>
      <c r="L3852" s="6">
        <f ca="1">IFERROR(__xludf.DUMMYFUNCTION("IFERROR(GOOGLEFINANCE(B3852,""changepct""),K3852)"),-0.47)</f>
        <v>-0.47</v>
      </c>
      <c r="M3852" s="6">
        <f ca="1">IFERROR(__xludf.DUMMYFUNCTION("IFERROR(GOOGLEFINANCE(B3852,""change""),0)"),-0.18)</f>
        <v>-0.18</v>
      </c>
      <c r="N3852" s="6">
        <v>1</v>
      </c>
      <c r="O3852" s="7">
        <v>45536</v>
      </c>
      <c r="P3852" s="6">
        <v>371.46</v>
      </c>
      <c r="Q3852" s="6">
        <v>1096.6400000000001</v>
      </c>
      <c r="R3852" s="7">
        <v>45536</v>
      </c>
      <c r="S3852" s="6">
        <v>1402.01</v>
      </c>
      <c r="T3852" s="6">
        <v>-8.3800000000000008</v>
      </c>
      <c r="U3852" s="7">
        <v>45536</v>
      </c>
      <c r="V3852" s="6">
        <v>0</v>
      </c>
      <c r="W3852" s="6">
        <f ca="1">IFERROR(__xludf.DUMMYFUNCTION("IFERROR(GOOGLEFINANCE(B3852,""pe""),V3852)"),44.39)</f>
        <v>44.39</v>
      </c>
      <c r="X3852" s="12"/>
      <c r="Y3852" s="6">
        <v>4.71</v>
      </c>
      <c r="Z3852" s="6">
        <v>2</v>
      </c>
      <c r="AA3852" s="8">
        <v>44986</v>
      </c>
      <c r="AB3852" s="4">
        <v>1.57</v>
      </c>
      <c r="AC3852" s="6">
        <v>60.16</v>
      </c>
      <c r="AD3852" s="6">
        <v>29.62</v>
      </c>
      <c r="AE3852" s="1">
        <v>0</v>
      </c>
      <c r="AF3852" s="1">
        <f ca="1">IFERROR(__xludf.DUMMYFUNCTION("IFERROR(GOOGLEFINANCE(TRIM(F3852)&amp;"":"" &amp; TRIM(B3852),""high52""),AE3852)"),53.48)</f>
        <v>53.48</v>
      </c>
      <c r="AG3852" s="1">
        <v>0</v>
      </c>
      <c r="AH3852" s="1">
        <f ca="1">IFERROR(__xludf.DUMMYFUNCTION("IFERROR(GOOGLEFINANCE(TRIM(F3852)&amp;"":"" &amp; TRIM(B3852),""low52""),AE3852)"),35.81)</f>
        <v>35.81</v>
      </c>
      <c r="AI3852" s="1">
        <f ca="1">IFERROR(__xludf.DUMMYFUNCTION("IFERROR(GOOGLEFINANCE(B3852,""eps""),0)"),0.85)</f>
        <v>0.85</v>
      </c>
      <c r="AJ3852" s="1"/>
      <c r="AK3852" s="1" t="s">
        <v>11739</v>
      </c>
      <c r="AL3852" s="9">
        <f t="shared" si="362"/>
        <v>1</v>
      </c>
    </row>
    <row r="3853" spans="1:38" ht="15" x14ac:dyDescent="0.25">
      <c r="A3853" s="1" t="s">
        <v>11740</v>
      </c>
      <c r="B3853" s="1" t="s">
        <v>11741</v>
      </c>
      <c r="C3853" s="1" t="s">
        <v>1913</v>
      </c>
      <c r="D3853" s="1" t="s">
        <v>1913</v>
      </c>
      <c r="E3853" s="6">
        <v>279.83</v>
      </c>
      <c r="F3853" s="1" t="s">
        <v>40</v>
      </c>
      <c r="G3853" s="6">
        <f ca="1">IFERROR(__xludf.DUMMYFUNCTION("iferror(GOOGLEFINANCE(TRIM(F3853)&amp;"":"" &amp; TRIM(B3853), ""price""),0
)"),476.9)</f>
        <v>476.9</v>
      </c>
      <c r="H3853" s="6">
        <v>565.04999999999995</v>
      </c>
      <c r="I3853" s="6">
        <f t="shared" ca="1" si="0"/>
        <v>476.9</v>
      </c>
      <c r="J3853" s="6">
        <f ca="1">IFERROR(__xludf.DUMMYFUNCTION("IFERROR(GOOGLEFINANCE(B3853, ""volume""), 0)"),1399)</f>
        <v>1399</v>
      </c>
      <c r="K3853" s="6">
        <v>0.89</v>
      </c>
      <c r="L3853" s="6">
        <f ca="1">IFERROR(__xludf.DUMMYFUNCTION("IFERROR(GOOGLEFINANCE(B3853,""changepct""),K3853)"),0.8)</f>
        <v>0.8</v>
      </c>
      <c r="M3853" s="6">
        <f ca="1">IFERROR(__xludf.DUMMYFUNCTION("IFERROR(GOOGLEFINANCE(B3853,""change""),0)"),3.8)</f>
        <v>3.8</v>
      </c>
      <c r="N3853" s="6">
        <v>1</v>
      </c>
      <c r="O3853" s="7">
        <v>45536</v>
      </c>
      <c r="P3853" s="12"/>
      <c r="Q3853" s="6">
        <v>271.58999999999997</v>
      </c>
      <c r="R3853" s="7">
        <v>45536</v>
      </c>
      <c r="S3853" s="6">
        <v>93.44</v>
      </c>
      <c r="T3853" s="6">
        <v>17.489999999999998</v>
      </c>
      <c r="U3853" s="7">
        <v>45536</v>
      </c>
      <c r="V3853" s="6">
        <v>16</v>
      </c>
      <c r="W3853" s="6">
        <f ca="1">IFERROR(__xludf.DUMMYFUNCTION("IFERROR(GOOGLEFINANCE(B3853,""pe""),V3853)"),11.19)</f>
        <v>11.19</v>
      </c>
      <c r="X3853" s="6">
        <v>3.69</v>
      </c>
      <c r="Y3853" s="6">
        <v>1.31</v>
      </c>
      <c r="Z3853" s="6">
        <v>1</v>
      </c>
      <c r="AA3853" s="8">
        <v>45352</v>
      </c>
      <c r="AB3853" s="4">
        <v>0</v>
      </c>
      <c r="AC3853" s="6">
        <v>8.1999999999999993</v>
      </c>
      <c r="AD3853" s="6">
        <v>10.46</v>
      </c>
      <c r="AE3853" s="1">
        <v>0</v>
      </c>
      <c r="AF3853" s="1">
        <f ca="1">IFERROR(__xludf.DUMMYFUNCTION("IFERROR(GOOGLEFINANCE(TRIM(F3853)&amp;"":"" &amp; TRIM(B3853),""high52""),AE3853)"),529.5)</f>
        <v>529.5</v>
      </c>
      <c r="AG3853" s="1">
        <v>0</v>
      </c>
      <c r="AH3853" s="1">
        <f ca="1">IFERROR(__xludf.DUMMYFUNCTION("IFERROR(GOOGLEFINANCE(TRIM(F3853)&amp;"":"" &amp; TRIM(B3853),""low52""),AE3853)"),350.1)</f>
        <v>350.1</v>
      </c>
      <c r="AI3853" s="1">
        <f ca="1">IFERROR(__xludf.DUMMYFUNCTION("IFERROR(GOOGLEFINANCE(B3853,""eps""),0)"),42.63)</f>
        <v>42.63</v>
      </c>
      <c r="AJ3853" s="1"/>
      <c r="AK3853" s="1" t="s">
        <v>11742</v>
      </c>
      <c r="AL3853" s="9">
        <f t="shared" si="362"/>
        <v>1</v>
      </c>
    </row>
    <row r="3854" spans="1:38" ht="15" x14ac:dyDescent="0.25">
      <c r="A3854" s="1" t="s">
        <v>11743</v>
      </c>
      <c r="B3854" s="1" t="s">
        <v>11744</v>
      </c>
      <c r="C3854" s="1" t="s">
        <v>535</v>
      </c>
      <c r="D3854" s="1" t="s">
        <v>535</v>
      </c>
      <c r="E3854" s="6">
        <v>207.93</v>
      </c>
      <c r="F3854" s="1" t="s">
        <v>40</v>
      </c>
      <c r="G3854" s="6">
        <f ca="1">IFERROR(__xludf.DUMMYFUNCTION("iferror(GOOGLEFINANCE(TRIM(F3854)&amp;"":"" &amp; TRIM(B3854), ""price""),0
)"),150)</f>
        <v>150</v>
      </c>
      <c r="H3854" s="6">
        <v>241</v>
      </c>
      <c r="I3854" s="6">
        <f t="shared" ca="1" si="0"/>
        <v>150</v>
      </c>
      <c r="J3854" s="6">
        <f ca="1">IFERROR(__xludf.DUMMYFUNCTION("IFERROR(GOOGLEFINANCE(B3854, ""volume""), 0)"),2933)</f>
        <v>2933</v>
      </c>
      <c r="K3854" s="6">
        <v>-1.63</v>
      </c>
      <c r="L3854" s="6">
        <f ca="1">IFERROR(__xludf.DUMMYFUNCTION("IFERROR(GOOGLEFINANCE(B3854,""changepct""),K3854)"),1.28)</f>
        <v>1.28</v>
      </c>
      <c r="M3854" s="6">
        <f ca="1">IFERROR(__xludf.DUMMYFUNCTION("IFERROR(GOOGLEFINANCE(B3854,""change""),0)"),1.9)</f>
        <v>1.9</v>
      </c>
      <c r="N3854" s="6">
        <v>2</v>
      </c>
      <c r="O3854" s="7">
        <v>45536</v>
      </c>
      <c r="P3854" s="6">
        <v>16.25</v>
      </c>
      <c r="Q3854" s="6">
        <v>217</v>
      </c>
      <c r="R3854" s="7">
        <v>45536</v>
      </c>
      <c r="S3854" s="6">
        <v>113.17</v>
      </c>
      <c r="T3854" s="6">
        <v>2.98</v>
      </c>
      <c r="U3854" s="7">
        <v>45536</v>
      </c>
      <c r="V3854" s="6">
        <v>69.78</v>
      </c>
      <c r="W3854" s="6">
        <f ca="1">IFERROR(__xludf.DUMMYFUNCTION("IFERROR(GOOGLEFINANCE(B3854,""pe""),V3854)"),57.81)</f>
        <v>57.81</v>
      </c>
      <c r="X3854" s="6">
        <v>3</v>
      </c>
      <c r="Y3854" s="6">
        <v>4.68</v>
      </c>
      <c r="Z3854" s="6">
        <v>2</v>
      </c>
      <c r="AA3854" s="8">
        <v>45352</v>
      </c>
      <c r="AB3854" s="4">
        <v>0.44</v>
      </c>
      <c r="AC3854" s="6">
        <v>8.01</v>
      </c>
      <c r="AD3854" s="6">
        <v>10.29</v>
      </c>
      <c r="AE3854" s="1">
        <v>0</v>
      </c>
      <c r="AF3854" s="1">
        <f ca="1">IFERROR(__xludf.DUMMYFUNCTION("IFERROR(GOOGLEFINANCE(TRIM(F3854)&amp;"":"" &amp; TRIM(B3854),""high52""),AE3854)"),221)</f>
        <v>221</v>
      </c>
      <c r="AG3854" s="1">
        <v>0</v>
      </c>
      <c r="AH3854" s="1">
        <f ca="1">IFERROR(__xludf.DUMMYFUNCTION("IFERROR(GOOGLEFINANCE(TRIM(F3854)&amp;"":"" &amp; TRIM(B3854),""low52""),AE3854)"),133.1)</f>
        <v>133.1</v>
      </c>
      <c r="AI3854" s="1">
        <f ca="1">IFERROR(__xludf.DUMMYFUNCTION("IFERROR(GOOGLEFINANCE(B3854,""eps""),0)"),2.59)</f>
        <v>2.59</v>
      </c>
      <c r="AJ3854" s="1"/>
      <c r="AK3854" s="1" t="s">
        <v>11745</v>
      </c>
      <c r="AL3854" s="9">
        <f t="shared" si="362"/>
        <v>1</v>
      </c>
    </row>
    <row r="3855" spans="1:38" ht="15" x14ac:dyDescent="0.25">
      <c r="A3855" s="1" t="s">
        <v>11746</v>
      </c>
      <c r="B3855" s="1" t="s">
        <v>11747</v>
      </c>
      <c r="C3855" s="1" t="s">
        <v>112</v>
      </c>
      <c r="D3855" s="1" t="s">
        <v>112</v>
      </c>
      <c r="E3855" s="6">
        <v>2252.67</v>
      </c>
      <c r="F3855" s="1" t="s">
        <v>40</v>
      </c>
      <c r="G3855" s="6">
        <f ca="1">IFERROR(__xludf.DUMMYFUNCTION("iferror(GOOGLEFINANCE(TRIM(F3855)&amp;"":"" &amp; TRIM(B3855), ""price""),0
)"),1765.1)</f>
        <v>1765.1</v>
      </c>
      <c r="H3855" s="6">
        <v>2081.75</v>
      </c>
      <c r="I3855" s="6">
        <f t="shared" ca="1" si="0"/>
        <v>1765.1</v>
      </c>
      <c r="J3855" s="6">
        <f ca="1">IFERROR(__xludf.DUMMYFUNCTION("IFERROR(GOOGLEFINANCE(B3855, ""volume""), 0)"),7130)</f>
        <v>7130</v>
      </c>
      <c r="K3855" s="6">
        <v>0.22</v>
      </c>
      <c r="L3855" s="6">
        <f ca="1">IFERROR(__xludf.DUMMYFUNCTION("IFERROR(GOOGLEFINANCE(B3855,""changepct""),K3855)"),1.37)</f>
        <v>1.37</v>
      </c>
      <c r="M3855" s="6">
        <f ca="1">IFERROR(__xludf.DUMMYFUNCTION("IFERROR(GOOGLEFINANCE(B3855,""change""),0)"),23.8)</f>
        <v>23.8</v>
      </c>
      <c r="N3855" s="6">
        <v>2</v>
      </c>
      <c r="O3855" s="7">
        <v>45536</v>
      </c>
      <c r="P3855" s="6">
        <v>12.59</v>
      </c>
      <c r="Q3855" s="6">
        <v>2197.16</v>
      </c>
      <c r="R3855" s="7">
        <v>45536</v>
      </c>
      <c r="S3855" s="6">
        <v>554.66</v>
      </c>
      <c r="T3855" s="6">
        <v>54.25</v>
      </c>
      <c r="U3855" s="7">
        <v>45536</v>
      </c>
      <c r="V3855" s="6">
        <v>43.89</v>
      </c>
      <c r="W3855" s="6">
        <f ca="1">IFERROR(__xludf.DUMMYFUNCTION("IFERROR(GOOGLEFINANCE(B3855,""pe""),V3855)"),36.2)</f>
        <v>36.200000000000003</v>
      </c>
      <c r="X3855" s="6">
        <v>1.45</v>
      </c>
      <c r="Y3855" s="6">
        <v>8.32</v>
      </c>
      <c r="Z3855" s="6">
        <v>2</v>
      </c>
      <c r="AA3855" s="8">
        <v>45352</v>
      </c>
      <c r="AB3855" s="4">
        <v>0.06</v>
      </c>
      <c r="AC3855" s="6">
        <v>26.81</v>
      </c>
      <c r="AD3855" s="6">
        <v>34.85</v>
      </c>
      <c r="AE3855" s="1">
        <v>0</v>
      </c>
      <c r="AF3855" s="1">
        <f ca="1">IFERROR(__xludf.DUMMYFUNCTION("IFERROR(GOOGLEFINANCE(TRIM(F3855)&amp;"":"" &amp; TRIM(B3855),""high52""),AE3855)"),2485.8)</f>
        <v>2485.8000000000002</v>
      </c>
      <c r="AG3855" s="1">
        <v>0</v>
      </c>
      <c r="AH3855" s="1">
        <f ca="1">IFERROR(__xludf.DUMMYFUNCTION("IFERROR(GOOGLEFINANCE(TRIM(F3855)&amp;"":"" &amp; TRIM(B3855),""low52""),AE3855)"),1446)</f>
        <v>1446</v>
      </c>
      <c r="AI3855" s="1">
        <f ca="1">IFERROR(__xludf.DUMMYFUNCTION("IFERROR(GOOGLEFINANCE(B3855,""eps""),0)"),48.76)</f>
        <v>48.76</v>
      </c>
      <c r="AJ3855" s="1"/>
      <c r="AK3855" s="1" t="s">
        <v>11748</v>
      </c>
      <c r="AL3855" s="9">
        <f t="shared" si="362"/>
        <v>1</v>
      </c>
    </row>
    <row r="3856" spans="1:38" ht="15" x14ac:dyDescent="0.25">
      <c r="A3856" s="1" t="s">
        <v>11749</v>
      </c>
      <c r="B3856" s="1" t="s">
        <v>11750</v>
      </c>
      <c r="C3856" s="1" t="s">
        <v>106</v>
      </c>
      <c r="D3856" s="1" t="s">
        <v>106</v>
      </c>
      <c r="E3856" s="6">
        <v>2493.37</v>
      </c>
      <c r="F3856" s="1" t="s">
        <v>40</v>
      </c>
      <c r="G3856" s="6">
        <f ca="1">IFERROR(__xludf.DUMMYFUNCTION("iferror(GOOGLEFINANCE(TRIM(F3856)&amp;"":"" &amp; TRIM(B3856), ""price""),0
)"),78.8)</f>
        <v>78.8</v>
      </c>
      <c r="H3856" s="6">
        <v>268.7</v>
      </c>
      <c r="I3856" s="6">
        <f t="shared" ca="1" si="0"/>
        <v>78.8</v>
      </c>
      <c r="J3856" s="6">
        <f ca="1">IFERROR(__xludf.DUMMYFUNCTION("IFERROR(GOOGLEFINANCE(B3856, ""volume""), 0)"),59613)</f>
        <v>59613</v>
      </c>
      <c r="K3856" s="6">
        <v>-1.1599999999999999</v>
      </c>
      <c r="L3856" s="6">
        <f ca="1">IFERROR(__xludf.DUMMYFUNCTION("IFERROR(GOOGLEFINANCE(B3856,""changepct""),K3856)"),-0.14)</f>
        <v>-0.14000000000000001</v>
      </c>
      <c r="M3856" s="6">
        <f ca="1">IFERROR(__xludf.DUMMYFUNCTION("IFERROR(GOOGLEFINANCE(B3856,""change""),0)"),-0.11)</f>
        <v>-0.11</v>
      </c>
      <c r="N3856" s="6">
        <v>2</v>
      </c>
      <c r="O3856" s="7">
        <v>45536</v>
      </c>
      <c r="P3856" s="6">
        <v>81.45</v>
      </c>
      <c r="Q3856" s="6">
        <v>2557.2199999999998</v>
      </c>
      <c r="R3856" s="7">
        <v>45536</v>
      </c>
      <c r="S3856" s="6">
        <v>420.34</v>
      </c>
      <c r="T3856" s="6">
        <v>33.65</v>
      </c>
      <c r="U3856" s="7">
        <v>45536</v>
      </c>
      <c r="V3856" s="6">
        <v>47.05</v>
      </c>
      <c r="W3856" s="6">
        <f ca="1">IFERROR(__xludf.DUMMYFUNCTION("IFERROR(GOOGLEFINANCE(B3856,""pe""),V3856)"),47.05)</f>
        <v>47.05</v>
      </c>
      <c r="X3856" s="6">
        <v>1.0900000000000001</v>
      </c>
      <c r="Y3856" s="6">
        <v>6.05</v>
      </c>
      <c r="Z3856" s="6">
        <v>2</v>
      </c>
      <c r="AA3856" s="8">
        <v>45352</v>
      </c>
      <c r="AB3856" s="4">
        <v>0.25</v>
      </c>
      <c r="AC3856" s="6">
        <v>12.14</v>
      </c>
      <c r="AD3856" s="6">
        <v>13.88</v>
      </c>
      <c r="AE3856" s="1">
        <v>0</v>
      </c>
      <c r="AF3856" s="1">
        <f ca="1">IFERROR(__xludf.DUMMYFUNCTION("IFERROR(GOOGLEFINANCE(TRIM(F3856)&amp;"":"" &amp; TRIM(B3856),""high52""),AE3856)"),245.27)</f>
        <v>245.27</v>
      </c>
      <c r="AG3856" s="1">
        <v>0</v>
      </c>
      <c r="AH3856" s="1">
        <f ca="1">IFERROR(__xludf.DUMMYFUNCTION("IFERROR(GOOGLEFINANCE(TRIM(F3856)&amp;"":"" &amp; TRIM(B3856),""low52""),AE3856)"),75.15)</f>
        <v>75.150000000000006</v>
      </c>
      <c r="AI3856" s="1">
        <f ca="1">IFERROR(__xludf.DUMMYFUNCTION("IFERROR(GOOGLEFINANCE(B3856,""eps""),0)"),-2.92)</f>
        <v>-2.92</v>
      </c>
      <c r="AJ3856" s="1"/>
      <c r="AK3856" s="1" t="s">
        <v>11751</v>
      </c>
      <c r="AL3856" s="9">
        <f t="shared" si="362"/>
        <v>1</v>
      </c>
    </row>
    <row r="3857" spans="1:38" ht="15" x14ac:dyDescent="0.25">
      <c r="A3857" s="1" t="s">
        <v>11752</v>
      </c>
      <c r="B3857" s="1" t="s">
        <v>11753</v>
      </c>
      <c r="C3857" s="1" t="s">
        <v>416</v>
      </c>
      <c r="D3857" s="1" t="s">
        <v>416</v>
      </c>
      <c r="E3857" s="6">
        <v>48379.25</v>
      </c>
      <c r="F3857" s="1" t="s">
        <v>40</v>
      </c>
      <c r="G3857" s="6">
        <f ca="1">IFERROR(__xludf.DUMMYFUNCTION("iferror(GOOGLEFINANCE(TRIM(F3857)&amp;"":"" &amp; TRIM(B3857), ""price""),0
)"),2825.6)</f>
        <v>2825.6</v>
      </c>
      <c r="H3857" s="6">
        <v>4145.2</v>
      </c>
      <c r="I3857" s="6">
        <f t="shared" ca="1" si="0"/>
        <v>2825.6</v>
      </c>
      <c r="J3857" s="6">
        <f ca="1">IFERROR(__xludf.DUMMYFUNCTION("IFERROR(GOOGLEFINANCE(B3857, ""volume""), 0)"),118408)</f>
        <v>118408</v>
      </c>
      <c r="K3857" s="6">
        <v>2.15</v>
      </c>
      <c r="L3857" s="6">
        <f ca="1">IFERROR(__xludf.DUMMYFUNCTION("IFERROR(GOOGLEFINANCE(B3857,""changepct""),K3857)"),-2.1)</f>
        <v>-2.1</v>
      </c>
      <c r="M3857" s="6">
        <f ca="1">IFERROR(__xludf.DUMMYFUNCTION("IFERROR(GOOGLEFINANCE(B3857,""change""),0)"),-60.6)</f>
        <v>-60.6</v>
      </c>
      <c r="N3857" s="6">
        <v>2</v>
      </c>
      <c r="O3857" s="7">
        <v>45536</v>
      </c>
      <c r="P3857" s="6">
        <v>1451.98</v>
      </c>
      <c r="Q3857" s="6">
        <v>49064.47</v>
      </c>
      <c r="R3857" s="7">
        <v>45536</v>
      </c>
      <c r="S3857" s="6">
        <v>9884.0400000000009</v>
      </c>
      <c r="T3857" s="6">
        <v>732.69</v>
      </c>
      <c r="U3857" s="7">
        <v>45536</v>
      </c>
      <c r="V3857" s="6">
        <v>65.239999999999995</v>
      </c>
      <c r="W3857" s="6">
        <f ca="1">IFERROR(__xludf.DUMMYFUNCTION("IFERROR(GOOGLEFINANCE(B3857,""pe""),V3857)"),53.62)</f>
        <v>53.62</v>
      </c>
      <c r="X3857" s="6">
        <v>7.91</v>
      </c>
      <c r="Y3857" s="6">
        <v>10.47</v>
      </c>
      <c r="Z3857" s="6">
        <v>2</v>
      </c>
      <c r="AA3857" s="8">
        <v>45352</v>
      </c>
      <c r="AB3857" s="4">
        <v>0.28000000000000003</v>
      </c>
      <c r="AC3857" s="6">
        <v>15.5</v>
      </c>
      <c r="AD3857" s="6">
        <v>18.440000000000001</v>
      </c>
      <c r="AE3857" s="1">
        <v>0</v>
      </c>
      <c r="AF3857" s="1">
        <f ca="1">IFERROR(__xludf.DUMMYFUNCTION("IFERROR(GOOGLEFINANCE(TRIM(F3857)&amp;"":"" &amp; TRIM(B3857),""high52""),AE3857)"),4091.8)</f>
        <v>4091.8</v>
      </c>
      <c r="AG3857" s="1">
        <v>0</v>
      </c>
      <c r="AH3857" s="1">
        <f ca="1">IFERROR(__xludf.DUMMYFUNCTION("IFERROR(GOOGLEFINANCE(TRIM(F3857)&amp;"":"" &amp; TRIM(B3857),""low52""),AE3857)"),2742.7)</f>
        <v>2742.7</v>
      </c>
      <c r="AI3857" s="1">
        <f ca="1">IFERROR(__xludf.DUMMYFUNCTION("IFERROR(GOOGLEFINANCE(B3857,""eps""),0)"),52.69)</f>
        <v>52.69</v>
      </c>
      <c r="AJ3857" s="1"/>
      <c r="AK3857" s="1" t="s">
        <v>11754</v>
      </c>
      <c r="AL3857" s="9">
        <f t="shared" si="362"/>
        <v>1</v>
      </c>
    </row>
    <row r="3858" spans="1:38" ht="15" x14ac:dyDescent="0.25">
      <c r="A3858" s="1" t="s">
        <v>11755</v>
      </c>
      <c r="B3858" s="1" t="s">
        <v>11756</v>
      </c>
      <c r="C3858" s="1" t="s">
        <v>1229</v>
      </c>
      <c r="D3858" s="1" t="s">
        <v>1229</v>
      </c>
      <c r="E3858" s="6">
        <v>57.69</v>
      </c>
      <c r="F3858" s="1" t="s">
        <v>40</v>
      </c>
      <c r="G3858" s="6">
        <f ca="1">IFERROR(__xludf.DUMMYFUNCTION("iferror(GOOGLEFINANCE(TRIM(F3858)&amp;"":"" &amp; TRIM(B3858), ""price""),0
)"),0)</f>
        <v>0</v>
      </c>
      <c r="H3858" s="6">
        <v>48.5</v>
      </c>
      <c r="I3858" s="6">
        <f t="shared" ca="1" si="0"/>
        <v>48.5</v>
      </c>
      <c r="J3858" s="6">
        <f ca="1">IFERROR(__xludf.DUMMYFUNCTION("IFERROR(GOOGLEFINANCE(B3858, ""volume""), 0)"),0)</f>
        <v>0</v>
      </c>
      <c r="K3858" s="6">
        <v>4.9800000000000004</v>
      </c>
      <c r="L3858" s="6">
        <f ca="1">IFERROR(__xludf.DUMMYFUNCTION("IFERROR(GOOGLEFINANCE(B3858,""changepct""),K3858)"),4.98)</f>
        <v>4.9800000000000004</v>
      </c>
      <c r="M3858" s="6">
        <f ca="1">IFERROR(__xludf.DUMMYFUNCTION("IFERROR(GOOGLEFINANCE(B3858,""change""),0)"),0)</f>
        <v>0</v>
      </c>
      <c r="N3858" s="6">
        <v>1</v>
      </c>
      <c r="O3858" s="7">
        <v>45536</v>
      </c>
      <c r="P3858" s="6">
        <v>2.94</v>
      </c>
      <c r="Q3858" s="6">
        <v>60.63</v>
      </c>
      <c r="R3858" s="9"/>
      <c r="S3858" s="9"/>
      <c r="T3858" s="9"/>
      <c r="U3858" s="7">
        <v>45352</v>
      </c>
      <c r="V3858" s="6">
        <v>18.66</v>
      </c>
      <c r="W3858" s="6">
        <f ca="1">IFERROR(__xludf.DUMMYFUNCTION("IFERROR(GOOGLEFINANCE(B3858,""pe""),V3858)"),18.66)</f>
        <v>18.66</v>
      </c>
      <c r="X3858" s="9"/>
      <c r="Y3858" s="6">
        <v>1.66</v>
      </c>
      <c r="Z3858" s="6">
        <v>1</v>
      </c>
      <c r="AA3858" s="8">
        <v>45352</v>
      </c>
      <c r="AB3858" s="4">
        <v>0.49</v>
      </c>
      <c r="AC3858" s="6">
        <v>36.96</v>
      </c>
      <c r="AD3858" s="6">
        <v>37.29</v>
      </c>
      <c r="AE3858" s="1">
        <v>0</v>
      </c>
      <c r="AF3858" s="1">
        <f ca="1">IFERROR(__xludf.DUMMYFUNCTION("IFERROR(GOOGLEFINANCE(TRIM(F3858)&amp;"":"" &amp; TRIM(B3858),""high52""),AE3858)"),0)</f>
        <v>0</v>
      </c>
      <c r="AG3858" s="1">
        <v>0</v>
      </c>
      <c r="AH3858" s="1">
        <f ca="1">IFERROR(__xludf.DUMMYFUNCTION("IFERROR(GOOGLEFINANCE(TRIM(F3858)&amp;"":"" &amp; TRIM(B3858),""low52""),AE3858)"),0)</f>
        <v>0</v>
      </c>
      <c r="AI3858" s="1">
        <f ca="1">IFERROR(__xludf.DUMMYFUNCTION("IFERROR(GOOGLEFINANCE(B3858,""eps""),0)"),0)</f>
        <v>0</v>
      </c>
      <c r="AJ3858" s="1"/>
      <c r="AK3858" s="1" t="s">
        <v>11757</v>
      </c>
      <c r="AL3858" s="9">
        <f t="shared" si="362"/>
        <v>1</v>
      </c>
    </row>
    <row r="3859" spans="1:38" ht="15" x14ac:dyDescent="0.25">
      <c r="A3859" s="1" t="s">
        <v>11758</v>
      </c>
      <c r="B3859" s="1" t="s">
        <v>11759</v>
      </c>
      <c r="C3859" s="1" t="s">
        <v>135</v>
      </c>
      <c r="D3859" s="1" t="s">
        <v>135</v>
      </c>
      <c r="E3859" s="6">
        <v>3401.33</v>
      </c>
      <c r="F3859" s="1" t="s">
        <v>40</v>
      </c>
      <c r="G3859" s="6">
        <f ca="1">IFERROR(__xludf.DUMMYFUNCTION("iferror(GOOGLEFINANCE(TRIM(F3859)&amp;"":"" &amp; TRIM(B3859), ""price""),0
)"),184.58)</f>
        <v>184.58</v>
      </c>
      <c r="H3859" s="6">
        <v>334.25</v>
      </c>
      <c r="I3859" s="6">
        <f t="shared" ca="1" si="0"/>
        <v>184.58</v>
      </c>
      <c r="J3859" s="6">
        <f ca="1">IFERROR(__xludf.DUMMYFUNCTION("IFERROR(GOOGLEFINANCE(B3859, ""volume""), 0)"),110842)</f>
        <v>110842</v>
      </c>
      <c r="K3859" s="6">
        <v>0.59</v>
      </c>
      <c r="L3859" s="6">
        <f ca="1">IFERROR(__xludf.DUMMYFUNCTION("IFERROR(GOOGLEFINANCE(B3859,""changepct""),K3859)"),-0.24)</f>
        <v>-0.24</v>
      </c>
      <c r="M3859" s="6">
        <f ca="1">IFERROR(__xludf.DUMMYFUNCTION("IFERROR(GOOGLEFINANCE(B3859,""change""),0)"),-0.45)</f>
        <v>-0.45</v>
      </c>
      <c r="N3859" s="6">
        <v>2</v>
      </c>
      <c r="O3859" s="7">
        <v>45536</v>
      </c>
      <c r="P3859" s="6">
        <v>1303.3399999999999</v>
      </c>
      <c r="Q3859" s="6">
        <v>4289.24</v>
      </c>
      <c r="R3859" s="7">
        <v>45536</v>
      </c>
      <c r="S3859" s="6">
        <v>2098.2199999999998</v>
      </c>
      <c r="T3859" s="6">
        <v>-33.46</v>
      </c>
      <c r="U3859" s="7">
        <v>45536</v>
      </c>
      <c r="V3859" s="6">
        <v>0</v>
      </c>
      <c r="W3859" s="6">
        <f ca="1">IFERROR(__xludf.DUMMYFUNCTION("IFERROR(GOOGLEFINANCE(B3859,""pe""),V3859)"),0)</f>
        <v>0</v>
      </c>
      <c r="X3859" s="12"/>
      <c r="Y3859" s="6">
        <v>2.81</v>
      </c>
      <c r="Z3859" s="6">
        <v>2</v>
      </c>
      <c r="AA3859" s="8">
        <v>45352</v>
      </c>
      <c r="AB3859" s="4">
        <v>1.01</v>
      </c>
      <c r="AC3859" s="6">
        <v>-3.32</v>
      </c>
      <c r="AD3859" s="6">
        <v>0.36</v>
      </c>
      <c r="AE3859" s="1">
        <v>0</v>
      </c>
      <c r="AF3859" s="1">
        <f ca="1">IFERROR(__xludf.DUMMYFUNCTION("IFERROR(GOOGLEFINANCE(TRIM(F3859)&amp;"":"" &amp; TRIM(B3859),""high52""),AE3859)"),328.8)</f>
        <v>328.8</v>
      </c>
      <c r="AG3859" s="1">
        <v>0</v>
      </c>
      <c r="AH3859" s="1">
        <f ca="1">IFERROR(__xludf.DUMMYFUNCTION("IFERROR(GOOGLEFINANCE(TRIM(F3859)&amp;"":"" &amp; TRIM(B3859),""low52""),AE3859)"),177.85)</f>
        <v>177.85</v>
      </c>
      <c r="AI3859" s="1">
        <f ca="1">IFERROR(__xludf.DUMMYFUNCTION("IFERROR(GOOGLEFINANCE(B3859,""eps""),0)"),-14.4)</f>
        <v>-14.4</v>
      </c>
      <c r="AJ3859" s="1"/>
      <c r="AK3859" s="1" t="s">
        <v>11760</v>
      </c>
      <c r="AL3859" s="9">
        <f t="shared" si="362"/>
        <v>1</v>
      </c>
    </row>
    <row r="3860" spans="1:38" ht="15" x14ac:dyDescent="0.25">
      <c r="A3860" s="1" t="s">
        <v>11761</v>
      </c>
      <c r="B3860" s="1" t="s">
        <v>11762</v>
      </c>
      <c r="C3860" s="1" t="s">
        <v>1644</v>
      </c>
      <c r="D3860" s="1" t="s">
        <v>1644</v>
      </c>
      <c r="E3860" s="6">
        <v>9254.74</v>
      </c>
      <c r="F3860" s="1" t="s">
        <v>40</v>
      </c>
      <c r="G3860" s="6">
        <f ca="1">IFERROR(__xludf.DUMMYFUNCTION("iferror(GOOGLEFINANCE(TRIM(F3860)&amp;"":"" &amp; TRIM(B3860), ""price""),0
)"),121.75)</f>
        <v>121.75</v>
      </c>
      <c r="H3860" s="6">
        <v>196.59</v>
      </c>
      <c r="I3860" s="6">
        <f t="shared" ca="1" si="0"/>
        <v>121.75</v>
      </c>
      <c r="J3860" s="6">
        <f ca="1">IFERROR(__xludf.DUMMYFUNCTION("IFERROR(GOOGLEFINANCE(B3860, ""volume""), 0)"),618102)</f>
        <v>618102</v>
      </c>
      <c r="K3860" s="6">
        <v>-0.54</v>
      </c>
      <c r="L3860" s="6">
        <f ca="1">IFERROR(__xludf.DUMMYFUNCTION("IFERROR(GOOGLEFINANCE(B3860,""changepct""),K3860)"),-0.64)</f>
        <v>-0.64</v>
      </c>
      <c r="M3860" s="6">
        <f ca="1">IFERROR(__xludf.DUMMYFUNCTION("IFERROR(GOOGLEFINANCE(B3860,""change""),0)"),-0.79)</f>
        <v>-0.79</v>
      </c>
      <c r="N3860" s="6">
        <v>2</v>
      </c>
      <c r="O3860" s="7">
        <v>45536</v>
      </c>
      <c r="P3860" s="6">
        <v>258.02999999999997</v>
      </c>
      <c r="Q3860" s="6">
        <v>8027.41</v>
      </c>
      <c r="R3860" s="7">
        <v>45536</v>
      </c>
      <c r="S3860" s="6">
        <v>7666.65</v>
      </c>
      <c r="T3860" s="6">
        <v>290.74</v>
      </c>
      <c r="U3860" s="7">
        <v>45536</v>
      </c>
      <c r="V3860" s="6">
        <v>33.14</v>
      </c>
      <c r="W3860" s="6">
        <f ca="1">IFERROR(__xludf.DUMMYFUNCTION("IFERROR(GOOGLEFINANCE(B3860,""pe""),V3860)"),22.45)</f>
        <v>22.45</v>
      </c>
      <c r="X3860" s="6">
        <v>1.32</v>
      </c>
      <c r="Y3860" s="6">
        <v>6.03</v>
      </c>
      <c r="Z3860" s="6">
        <v>2</v>
      </c>
      <c r="AA3860" s="8">
        <v>45352</v>
      </c>
      <c r="AB3860" s="4">
        <v>0.15</v>
      </c>
      <c r="AC3860" s="6">
        <v>20.93</v>
      </c>
      <c r="AD3860" s="6">
        <v>27.42</v>
      </c>
      <c r="AE3860" s="1">
        <v>0</v>
      </c>
      <c r="AF3860" s="1">
        <f ca="1">IFERROR(__xludf.DUMMYFUNCTION("IFERROR(GOOGLEFINANCE(TRIM(F3860)&amp;"":"" &amp; TRIM(B3860),""high52""),AE3860)"),188.29)</f>
        <v>188.29</v>
      </c>
      <c r="AG3860" s="1">
        <v>0</v>
      </c>
      <c r="AH3860" s="1">
        <f ca="1">IFERROR(__xludf.DUMMYFUNCTION("IFERROR(GOOGLEFINANCE(TRIM(F3860)&amp;"":"" &amp; TRIM(B3860),""low52""),AE3860)"),117.45)</f>
        <v>117.45</v>
      </c>
      <c r="AI3860" s="1">
        <f ca="1">IFERROR(__xludf.DUMMYFUNCTION("IFERROR(GOOGLEFINANCE(B3860,""eps""),0)"),5.42)</f>
        <v>5.42</v>
      </c>
      <c r="AJ3860" s="1"/>
      <c r="AK3860" s="1" t="s">
        <v>11763</v>
      </c>
      <c r="AL3860" s="9">
        <f t="shared" si="362"/>
        <v>1</v>
      </c>
    </row>
    <row r="3861" spans="1:38" ht="15" x14ac:dyDescent="0.25">
      <c r="A3861" s="1" t="s">
        <v>11764</v>
      </c>
      <c r="B3861" s="1" t="s">
        <v>11765</v>
      </c>
      <c r="C3861" s="1" t="s">
        <v>359</v>
      </c>
      <c r="D3861" s="1" t="s">
        <v>359</v>
      </c>
      <c r="E3861" s="6">
        <v>542.57000000000005</v>
      </c>
      <c r="F3861" s="1" t="s">
        <v>40</v>
      </c>
      <c r="G3861" s="6">
        <f ca="1">IFERROR(__xludf.DUMMYFUNCTION("iferror(GOOGLEFINANCE(TRIM(F3861)&amp;"":"" &amp; TRIM(B3861), ""price""),0
)"),312)</f>
        <v>312</v>
      </c>
      <c r="H3861" s="6">
        <v>489.45</v>
      </c>
      <c r="I3861" s="6">
        <f t="shared" ca="1" si="0"/>
        <v>312</v>
      </c>
      <c r="J3861" s="6">
        <f ca="1">IFERROR(__xludf.DUMMYFUNCTION("IFERROR(GOOGLEFINANCE(B3861, ""volume""), 0)"),14869)</f>
        <v>14869</v>
      </c>
      <c r="K3861" s="6">
        <v>1.99</v>
      </c>
      <c r="L3861" s="6">
        <f ca="1">IFERROR(__xludf.DUMMYFUNCTION("IFERROR(GOOGLEFINANCE(B3861,""changepct""),K3861)"),-1.7)</f>
        <v>-1.7</v>
      </c>
      <c r="M3861" s="6">
        <f ca="1">IFERROR(__xludf.DUMMYFUNCTION("IFERROR(GOOGLEFINANCE(B3861,""change""),0)"),-5.4)</f>
        <v>-5.4</v>
      </c>
      <c r="N3861" s="6">
        <v>1</v>
      </c>
      <c r="O3861" s="7">
        <v>45536</v>
      </c>
      <c r="P3861" s="6">
        <v>18.84</v>
      </c>
      <c r="Q3861" s="6">
        <v>561.05999999999995</v>
      </c>
      <c r="R3861" s="7">
        <v>45536</v>
      </c>
      <c r="S3861" s="6">
        <v>115.38</v>
      </c>
      <c r="T3861" s="6">
        <v>10.62</v>
      </c>
      <c r="U3861" s="7">
        <v>45536</v>
      </c>
      <c r="V3861" s="6">
        <v>51.11</v>
      </c>
      <c r="W3861" s="6">
        <f ca="1">IFERROR(__xludf.DUMMYFUNCTION("IFERROR(GOOGLEFINANCE(B3861,""pe""),V3861)"),19.93)</f>
        <v>19.93</v>
      </c>
      <c r="X3861" s="6">
        <v>0.86</v>
      </c>
      <c r="Y3861" s="6">
        <v>8.49</v>
      </c>
      <c r="Z3861" s="6">
        <v>1</v>
      </c>
      <c r="AA3861" s="8">
        <v>45352</v>
      </c>
      <c r="AB3861" s="4">
        <v>0.14000000000000001</v>
      </c>
      <c r="AC3861" s="6">
        <v>36.15</v>
      </c>
      <c r="AD3861" s="6">
        <v>31.24</v>
      </c>
      <c r="AE3861" s="1">
        <v>0</v>
      </c>
      <c r="AF3861" s="1">
        <f ca="1">IFERROR(__xludf.DUMMYFUNCTION("IFERROR(GOOGLEFINANCE(TRIM(F3861)&amp;"":"" &amp; TRIM(B3861),""high52""),AE3861)"),494)</f>
        <v>494</v>
      </c>
      <c r="AG3861" s="1">
        <v>0</v>
      </c>
      <c r="AH3861" s="1">
        <f ca="1">IFERROR(__xludf.DUMMYFUNCTION("IFERROR(GOOGLEFINANCE(TRIM(F3861)&amp;"":"" &amp; TRIM(B3861),""low52""),AE3861)"),274.75)</f>
        <v>274.75</v>
      </c>
      <c r="AI3861" s="1">
        <f ca="1">IFERROR(__xludf.DUMMYFUNCTION("IFERROR(GOOGLEFINANCE(B3861,""eps""),0)"),15.66)</f>
        <v>15.66</v>
      </c>
      <c r="AJ3861" s="1"/>
      <c r="AK3861" s="1" t="s">
        <v>11766</v>
      </c>
      <c r="AL3861" s="9">
        <f t="shared" si="362"/>
        <v>1</v>
      </c>
    </row>
    <row r="3862" spans="1:38" ht="15" x14ac:dyDescent="0.25">
      <c r="A3862" s="1" t="s">
        <v>11767</v>
      </c>
      <c r="B3862" s="1" t="s">
        <v>11768</v>
      </c>
      <c r="C3862" s="1" t="s">
        <v>186</v>
      </c>
      <c r="D3862" s="1" t="s">
        <v>186</v>
      </c>
      <c r="E3862" s="6">
        <v>115.77</v>
      </c>
      <c r="F3862" s="1" t="s">
        <v>53</v>
      </c>
      <c r="G3862" s="6">
        <f ca="1">IFERROR(__xludf.DUMMYFUNCTION("iferror(GOOGLEFINANCE(TRIM(F3862)&amp;"":"" &amp; TRIM(B3862), ""price""),0
)"),0)</f>
        <v>0</v>
      </c>
      <c r="H3862" s="6">
        <v>68.55</v>
      </c>
      <c r="I3862" s="6">
        <f t="shared" ca="1" si="0"/>
        <v>68.55</v>
      </c>
      <c r="J3862" s="6">
        <f ca="1">IFERROR(__xludf.DUMMYFUNCTION("IFERROR(GOOGLEFINANCE(B3862, ""volume""), 0)"),0)</f>
        <v>0</v>
      </c>
      <c r="K3862" s="12"/>
      <c r="L3862" s="6" t="str">
        <f ca="1">IFERROR(__xludf.DUMMYFUNCTION("IFERROR(GOOGLEFINANCE(B3862,""changepct""),K3862)"),"")</f>
        <v/>
      </c>
      <c r="M3862" s="6">
        <f ca="1">IFERROR(__xludf.DUMMYFUNCTION("IFERROR(GOOGLEFINANCE(B3862,""change""),0)"),0)</f>
        <v>0</v>
      </c>
      <c r="N3862" s="6">
        <v>1</v>
      </c>
      <c r="O3862" s="7">
        <v>45536</v>
      </c>
      <c r="P3862" s="6">
        <v>19.739999999999998</v>
      </c>
      <c r="Q3862" s="6">
        <v>135.51</v>
      </c>
      <c r="R3862" s="7">
        <v>45352</v>
      </c>
      <c r="S3862" s="6">
        <v>505.83</v>
      </c>
      <c r="T3862" s="6">
        <v>13.02</v>
      </c>
      <c r="U3862" s="7">
        <v>45352</v>
      </c>
      <c r="V3862" s="6">
        <v>8.89</v>
      </c>
      <c r="W3862" s="6">
        <f ca="1">IFERROR(__xludf.DUMMYFUNCTION("IFERROR(GOOGLEFINANCE(B3862,""pe""),V3862)"),8.89)</f>
        <v>8.89</v>
      </c>
      <c r="X3862" s="12"/>
      <c r="Y3862" s="6">
        <v>1.34</v>
      </c>
      <c r="Z3862" s="6">
        <v>1</v>
      </c>
      <c r="AA3862" s="8">
        <v>45352</v>
      </c>
      <c r="AB3862" s="4">
        <v>0.26</v>
      </c>
      <c r="AC3862" s="6">
        <v>18.25</v>
      </c>
      <c r="AD3862" s="6">
        <v>20.45</v>
      </c>
      <c r="AE3862" s="1">
        <v>0</v>
      </c>
      <c r="AF3862" s="1">
        <f ca="1">IFERROR(__xludf.DUMMYFUNCTION("IFERROR(GOOGLEFINANCE(TRIM(F3862)&amp;"":"" &amp; TRIM(B3862),""high52""),AE3862)"),0)</f>
        <v>0</v>
      </c>
      <c r="AG3862" s="1">
        <v>0</v>
      </c>
      <c r="AH3862" s="1">
        <f ca="1">IFERROR(__xludf.DUMMYFUNCTION("IFERROR(GOOGLEFINANCE(TRIM(F3862)&amp;"":"" &amp; TRIM(B3862),""low52""),AE3862)"),0)</f>
        <v>0</v>
      </c>
      <c r="AI3862" s="1">
        <f ca="1">IFERROR(__xludf.DUMMYFUNCTION("IFERROR(GOOGLEFINANCE(B3862,""eps""),0)"),0)</f>
        <v>0</v>
      </c>
      <c r="AJ3862" s="1"/>
      <c r="AK3862" s="1" t="s">
        <v>11769</v>
      </c>
      <c r="AL3862" s="9">
        <f t="shared" si="362"/>
        <v>1</v>
      </c>
    </row>
    <row r="3863" spans="1:38" ht="15" x14ac:dyDescent="0.25">
      <c r="A3863" s="1" t="s">
        <v>11770</v>
      </c>
      <c r="B3863" s="1" t="s">
        <v>11771</v>
      </c>
      <c r="C3863" s="1" t="s">
        <v>163</v>
      </c>
      <c r="D3863" s="1" t="s">
        <v>163</v>
      </c>
      <c r="E3863" s="6">
        <v>4809.8</v>
      </c>
      <c r="F3863" s="1" t="s">
        <v>40</v>
      </c>
      <c r="G3863" s="6">
        <f ca="1">IFERROR(__xludf.DUMMYFUNCTION("iferror(GOOGLEFINANCE(TRIM(F3863)&amp;"":"" &amp; TRIM(B3863), ""price""),0
)"),400.5)</f>
        <v>400.5</v>
      </c>
      <c r="H3863" s="6">
        <v>911.35</v>
      </c>
      <c r="I3863" s="6">
        <f t="shared" ca="1" si="0"/>
        <v>400.5</v>
      </c>
      <c r="J3863" s="6">
        <f ca="1">IFERROR(__xludf.DUMMYFUNCTION("IFERROR(GOOGLEFINANCE(B3863, ""volume""), 0)"),452441)</f>
        <v>452441</v>
      </c>
      <c r="K3863" s="6">
        <v>0.28999999999999998</v>
      </c>
      <c r="L3863" s="6">
        <f ca="1">IFERROR(__xludf.DUMMYFUNCTION("IFERROR(GOOGLEFINANCE(B3863,""changepct""),K3863)"),0.11)</f>
        <v>0.11</v>
      </c>
      <c r="M3863" s="6">
        <f ca="1">IFERROR(__xludf.DUMMYFUNCTION("IFERROR(GOOGLEFINANCE(B3863,""change""),0)"),0.45)</f>
        <v>0.45</v>
      </c>
      <c r="N3863" s="6">
        <v>2</v>
      </c>
      <c r="O3863" s="7">
        <v>45536</v>
      </c>
      <c r="P3863" s="6">
        <v>0.12</v>
      </c>
      <c r="Q3863" s="6">
        <v>4755.87</v>
      </c>
      <c r="R3863" s="7">
        <v>45536</v>
      </c>
      <c r="S3863" s="6">
        <v>623.26</v>
      </c>
      <c r="T3863" s="6">
        <v>83.02</v>
      </c>
      <c r="U3863" s="7">
        <v>45536</v>
      </c>
      <c r="V3863" s="6">
        <v>57.28</v>
      </c>
      <c r="W3863" s="6">
        <f ca="1">IFERROR(__xludf.DUMMYFUNCTION("IFERROR(GOOGLEFINANCE(B3863,""pe""),V3863)"),46.03)</f>
        <v>46.03</v>
      </c>
      <c r="X3863" s="6">
        <v>-15.78</v>
      </c>
      <c r="Y3863" s="6">
        <v>9.85</v>
      </c>
      <c r="Z3863" s="6">
        <v>2</v>
      </c>
      <c r="AA3863" s="8">
        <v>45352</v>
      </c>
      <c r="AB3863" s="4">
        <v>0.04</v>
      </c>
      <c r="AC3863" s="6">
        <v>13.21</v>
      </c>
      <c r="AD3863" s="6">
        <v>18.75</v>
      </c>
      <c r="AE3863" s="1">
        <v>0</v>
      </c>
      <c r="AF3863" s="1">
        <f ca="1">IFERROR(__xludf.DUMMYFUNCTION("IFERROR(GOOGLEFINANCE(TRIM(F3863)&amp;"":"" &amp; TRIM(B3863),""high52""),AE3863)"),536.67)</f>
        <v>536.66999999999996</v>
      </c>
      <c r="AG3863" s="1">
        <v>0</v>
      </c>
      <c r="AH3863" s="1">
        <f ca="1">IFERROR(__xludf.DUMMYFUNCTION("IFERROR(GOOGLEFINANCE(TRIM(F3863)&amp;"":"" &amp; TRIM(B3863),""low52""),AE3863)"),219.33)</f>
        <v>219.33</v>
      </c>
      <c r="AI3863" s="1">
        <f ca="1">IFERROR(__xludf.DUMMYFUNCTION("IFERROR(GOOGLEFINANCE(B3863,""eps""),0)"),8.7)</f>
        <v>8.6999999999999993</v>
      </c>
      <c r="AJ3863" s="1"/>
      <c r="AK3863" s="1" t="s">
        <v>11772</v>
      </c>
      <c r="AL3863" s="9">
        <f t="shared" si="362"/>
        <v>1</v>
      </c>
    </row>
    <row r="3864" spans="1:38" ht="15" x14ac:dyDescent="0.25">
      <c r="A3864" s="1" t="s">
        <v>11773</v>
      </c>
      <c r="B3864" s="1" t="s">
        <v>11774</v>
      </c>
      <c r="C3864" s="1" t="s">
        <v>801</v>
      </c>
      <c r="D3864" s="1" t="s">
        <v>801</v>
      </c>
      <c r="E3864" s="6">
        <v>33.58</v>
      </c>
      <c r="F3864" s="1" t="s">
        <v>40</v>
      </c>
      <c r="G3864" s="6">
        <f ca="1">IFERROR(__xludf.DUMMYFUNCTION("iferror(GOOGLEFINANCE(TRIM(F3864)&amp;"":"" &amp; TRIM(B3864), ""price""),0
)"),4.1)</f>
        <v>4.0999999999999996</v>
      </c>
      <c r="H3864" s="6">
        <v>11.36</v>
      </c>
      <c r="I3864" s="6">
        <f t="shared" ca="1" si="0"/>
        <v>4.0999999999999996</v>
      </c>
      <c r="J3864" s="6">
        <f ca="1">IFERROR(__xludf.DUMMYFUNCTION("IFERROR(GOOGLEFINANCE(B3864, ""volume""), 0)"),105381)</f>
        <v>105381</v>
      </c>
      <c r="K3864" s="6">
        <v>-2.0699999999999998</v>
      </c>
      <c r="L3864" s="6">
        <f ca="1">IFERROR(__xludf.DUMMYFUNCTION("IFERROR(GOOGLEFINANCE(B3864,""changepct""),K3864)"),-6.61)</f>
        <v>-6.61</v>
      </c>
      <c r="M3864" s="6">
        <f ca="1">IFERROR(__xludf.DUMMYFUNCTION("IFERROR(GOOGLEFINANCE(B3864,""change""),0)"),-0.29)</f>
        <v>-0.28999999999999998</v>
      </c>
      <c r="N3864" s="6">
        <v>1</v>
      </c>
      <c r="O3864" s="7">
        <v>45536</v>
      </c>
      <c r="P3864" s="6">
        <v>72.41</v>
      </c>
      <c r="Q3864" s="6">
        <v>104.2</v>
      </c>
      <c r="R3864" s="7">
        <v>45536</v>
      </c>
      <c r="S3864" s="6">
        <v>0.11</v>
      </c>
      <c r="T3864" s="6">
        <v>-2.95</v>
      </c>
      <c r="U3864" s="7">
        <v>45536</v>
      </c>
      <c r="V3864" s="6">
        <v>0</v>
      </c>
      <c r="W3864" s="6">
        <f ca="1">IFERROR(__xludf.DUMMYFUNCTION("IFERROR(GOOGLEFINANCE(B3864,""pe""),V3864)"),0)</f>
        <v>0</v>
      </c>
      <c r="X3864" s="12"/>
      <c r="Y3864" s="6">
        <v>-1.17</v>
      </c>
      <c r="Z3864" s="6">
        <v>1</v>
      </c>
      <c r="AA3864" s="8">
        <v>45352</v>
      </c>
      <c r="AB3864" s="4">
        <v>-2.67</v>
      </c>
      <c r="AC3864" s="6">
        <v>0</v>
      </c>
      <c r="AD3864" s="6">
        <v>-5.95</v>
      </c>
      <c r="AE3864" s="1">
        <v>0</v>
      </c>
      <c r="AF3864" s="1">
        <f ca="1">IFERROR(__xludf.DUMMYFUNCTION("IFERROR(GOOGLEFINANCE(TRIM(F3864)&amp;"":"" &amp; TRIM(B3864),""high52""),AE3864)"),10.9)</f>
        <v>10.9</v>
      </c>
      <c r="AG3864" s="1">
        <v>0</v>
      </c>
      <c r="AH3864" s="1">
        <f ca="1">IFERROR(__xludf.DUMMYFUNCTION("IFERROR(GOOGLEFINANCE(TRIM(F3864)&amp;"":"" &amp; TRIM(B3864),""low52""),AE3864)"),3.55)</f>
        <v>3.55</v>
      </c>
      <c r="AI3864" s="1">
        <f ca="1">IFERROR(__xludf.DUMMYFUNCTION("IFERROR(GOOGLEFINANCE(B3864,""eps""),0)"),-1.58)</f>
        <v>-1.58</v>
      </c>
      <c r="AJ3864" s="1"/>
      <c r="AK3864" s="1" t="s">
        <v>11775</v>
      </c>
      <c r="AL3864" s="9">
        <f t="shared" si="362"/>
        <v>1</v>
      </c>
    </row>
    <row r="3865" spans="1:38" ht="15" x14ac:dyDescent="0.25">
      <c r="A3865" s="1" t="s">
        <v>11776</v>
      </c>
      <c r="B3865" s="1" t="s">
        <v>11777</v>
      </c>
      <c r="C3865" s="1" t="s">
        <v>275</v>
      </c>
      <c r="D3865" s="1" t="s">
        <v>275</v>
      </c>
      <c r="E3865" s="6">
        <v>2046.35</v>
      </c>
      <c r="F3865" s="1" t="s">
        <v>40</v>
      </c>
      <c r="G3865" s="6">
        <f ca="1">IFERROR(__xludf.DUMMYFUNCTION("iferror(GOOGLEFINANCE(TRIM(F3865)&amp;"":"" &amp; TRIM(B3865), ""price""),0
)"),230.4)</f>
        <v>230.4</v>
      </c>
      <c r="H3865" s="6">
        <v>307.75</v>
      </c>
      <c r="I3865" s="6">
        <f t="shared" ca="1" si="0"/>
        <v>230.4</v>
      </c>
      <c r="J3865" s="6">
        <f ca="1">IFERROR(__xludf.DUMMYFUNCTION("IFERROR(GOOGLEFINANCE(B3865, ""volume""), 0)"),0)</f>
        <v>0</v>
      </c>
      <c r="K3865" s="6">
        <v>-0.74</v>
      </c>
      <c r="L3865" s="6">
        <f ca="1">IFERROR(__xludf.DUMMYFUNCTION("IFERROR(GOOGLEFINANCE(B3865,""changepct""),K3865)"),-1.94)</f>
        <v>-1.94</v>
      </c>
      <c r="M3865" s="6">
        <f ca="1">IFERROR(__xludf.DUMMYFUNCTION("IFERROR(GOOGLEFINANCE(B3865,""change""),0)"),-0.14)</f>
        <v>-0.14000000000000001</v>
      </c>
      <c r="N3865" s="6">
        <v>2</v>
      </c>
      <c r="O3865" s="7">
        <v>45536</v>
      </c>
      <c r="P3865" s="6">
        <v>215.47</v>
      </c>
      <c r="Q3865" s="6">
        <v>2253.15</v>
      </c>
      <c r="R3865" s="7">
        <v>45536</v>
      </c>
      <c r="S3865" s="6">
        <v>178.11</v>
      </c>
      <c r="T3865" s="6">
        <v>270.10000000000002</v>
      </c>
      <c r="U3865" s="7">
        <v>45536</v>
      </c>
      <c r="V3865" s="6">
        <v>7.58</v>
      </c>
      <c r="W3865" s="6">
        <f ca="1">IFERROR(__xludf.DUMMYFUNCTION("IFERROR(GOOGLEFINANCE(B3865,""pe""),V3865)"),7.58)</f>
        <v>7.58</v>
      </c>
      <c r="X3865" s="12"/>
      <c r="Y3865" s="6">
        <v>26.75</v>
      </c>
      <c r="Z3865" s="6">
        <v>2</v>
      </c>
      <c r="AA3865" s="8">
        <v>45352</v>
      </c>
      <c r="AB3865" s="4">
        <v>4.9800000000000004</v>
      </c>
      <c r="AC3865" s="6">
        <v>0</v>
      </c>
      <c r="AD3865" s="6">
        <v>150.37</v>
      </c>
      <c r="AE3865" s="1">
        <v>0</v>
      </c>
      <c r="AF3865" s="1">
        <f ca="1">IFERROR(__xludf.DUMMYFUNCTION("IFERROR(GOOGLEFINANCE(TRIM(F3865)&amp;"":"" &amp; TRIM(B3865),""high52""),AE3865)"),409)</f>
        <v>409</v>
      </c>
      <c r="AG3865" s="1">
        <v>0</v>
      </c>
      <c r="AH3865" s="1">
        <f ca="1">IFERROR(__xludf.DUMMYFUNCTION("IFERROR(GOOGLEFINANCE(TRIM(F3865)&amp;"":"" &amp; TRIM(B3865),""low52""),AE3865)"),165.4)</f>
        <v>165.4</v>
      </c>
      <c r="AI3865" s="1">
        <f ca="1">IFERROR(__xludf.DUMMYFUNCTION("IFERROR(GOOGLEFINANCE(B3865,""eps""),0)"),-11.39)</f>
        <v>-11.39</v>
      </c>
      <c r="AJ3865" s="1"/>
      <c r="AK3865" s="1" t="s">
        <v>11778</v>
      </c>
      <c r="AL3865" s="9">
        <f t="shared" si="362"/>
        <v>1</v>
      </c>
    </row>
    <row r="3866" spans="1:38" ht="15" x14ac:dyDescent="0.25">
      <c r="A3866" s="1" t="s">
        <v>11779</v>
      </c>
      <c r="B3866" s="1" t="s">
        <v>11780</v>
      </c>
      <c r="C3866" s="1" t="s">
        <v>643</v>
      </c>
      <c r="D3866" s="1" t="s">
        <v>643</v>
      </c>
      <c r="E3866" s="6">
        <v>8575.08</v>
      </c>
      <c r="F3866" s="1" t="s">
        <v>40</v>
      </c>
      <c r="G3866" s="6">
        <f ca="1">IFERROR(__xludf.DUMMYFUNCTION("iferror(GOOGLEFINANCE(TRIM(F3866)&amp;"":"" &amp; TRIM(B3866), ""price""),0
)"),420.95)</f>
        <v>420.95</v>
      </c>
      <c r="H3866" s="6">
        <v>446.1</v>
      </c>
      <c r="I3866" s="6">
        <f t="shared" ca="1" si="0"/>
        <v>420.95</v>
      </c>
      <c r="J3866" s="6">
        <f ca="1">IFERROR(__xludf.DUMMYFUNCTION("IFERROR(GOOGLEFINANCE(B3866, ""volume""), 0)"),157873)</f>
        <v>157873</v>
      </c>
      <c r="K3866" s="6">
        <v>0.73</v>
      </c>
      <c r="L3866" s="6">
        <f ca="1">IFERROR(__xludf.DUMMYFUNCTION("IFERROR(GOOGLEFINANCE(B3866,""changepct""),K3866)"),-11.33)</f>
        <v>-11.33</v>
      </c>
      <c r="M3866" s="6">
        <f ca="1">IFERROR(__xludf.DUMMYFUNCTION("IFERROR(GOOGLEFINANCE(B3866,""change""),0)"),-0.7)</f>
        <v>-0.7</v>
      </c>
      <c r="N3866" s="6">
        <v>2</v>
      </c>
      <c r="O3866" s="7">
        <v>45536</v>
      </c>
      <c r="P3866" s="6">
        <v>92.37</v>
      </c>
      <c r="Q3866" s="6">
        <v>8602.2999999999993</v>
      </c>
      <c r="R3866" s="7">
        <v>45536</v>
      </c>
      <c r="S3866" s="6">
        <v>3056.29</v>
      </c>
      <c r="T3866" s="6">
        <v>173.54</v>
      </c>
      <c r="U3866" s="7">
        <v>45536</v>
      </c>
      <c r="V3866" s="6">
        <v>49.41</v>
      </c>
      <c r="W3866" s="6">
        <f ca="1">IFERROR(__xludf.DUMMYFUNCTION("IFERROR(GOOGLEFINANCE(B3866,""pe""),V3866)"),29.82)</f>
        <v>29.82</v>
      </c>
      <c r="X3866" s="6">
        <v>2.09</v>
      </c>
      <c r="Y3866" s="6">
        <v>11.49</v>
      </c>
      <c r="Z3866" s="6">
        <v>2</v>
      </c>
      <c r="AA3866" s="8">
        <v>45352</v>
      </c>
      <c r="AB3866" s="4">
        <v>0.18</v>
      </c>
      <c r="AC3866" s="6">
        <v>24.78</v>
      </c>
      <c r="AD3866" s="6">
        <v>21.83</v>
      </c>
      <c r="AE3866" s="1">
        <v>0</v>
      </c>
      <c r="AF3866" s="1">
        <f ca="1">IFERROR(__xludf.DUMMYFUNCTION("IFERROR(GOOGLEFINANCE(TRIM(F3866)&amp;"":"" &amp; TRIM(B3866),""high52""),AE3866)"),549.7)</f>
        <v>549.70000000000005</v>
      </c>
      <c r="AG3866" s="1">
        <v>0</v>
      </c>
      <c r="AH3866" s="1">
        <f ca="1">IFERROR(__xludf.DUMMYFUNCTION("IFERROR(GOOGLEFINANCE(TRIM(F3866)&amp;"":"" &amp; TRIM(B3866),""low52""),AE3866)"),199.53)</f>
        <v>199.53</v>
      </c>
      <c r="AI3866" s="1">
        <f ca="1">IFERROR(__xludf.DUMMYFUNCTION("IFERROR(GOOGLEFINANCE(B3866,""eps""),0)"),0.18)</f>
        <v>0.18</v>
      </c>
      <c r="AJ3866" s="1"/>
      <c r="AK3866" s="1" t="s">
        <v>11781</v>
      </c>
      <c r="AL3866" s="1" t="b">
        <f>ISNUMBER(AA3866)</f>
        <v>1</v>
      </c>
    </row>
    <row r="3867" spans="1:38" ht="15" x14ac:dyDescent="0.25">
      <c r="A3867" s="1" t="s">
        <v>11782</v>
      </c>
      <c r="B3867" s="1" t="s">
        <v>11783</v>
      </c>
      <c r="C3867" s="1" t="s">
        <v>186</v>
      </c>
      <c r="D3867" s="1" t="s">
        <v>186</v>
      </c>
      <c r="E3867" s="6">
        <v>63.92</v>
      </c>
      <c r="F3867" s="1" t="s">
        <v>53</v>
      </c>
      <c r="G3867" s="6">
        <f ca="1">IFERROR(__xludf.DUMMYFUNCTION("iferror(GOOGLEFINANCE(TRIM(F3867)&amp;"":"" &amp; TRIM(B3867), ""price""),0
)"),0)</f>
        <v>0</v>
      </c>
      <c r="H3867" s="6">
        <v>95</v>
      </c>
      <c r="I3867" s="6">
        <f t="shared" ca="1" si="0"/>
        <v>95</v>
      </c>
      <c r="J3867" s="6">
        <f ca="1">IFERROR(__xludf.DUMMYFUNCTION("IFERROR(GOOGLEFINANCE(B3867, ""volume""), 0)"),0)</f>
        <v>0</v>
      </c>
      <c r="K3867" s="9"/>
      <c r="L3867" s="6" t="str">
        <f ca="1">IFERROR(__xludf.DUMMYFUNCTION("IFERROR(GOOGLEFINANCE(B3867,""changepct""),K3867)"),"")</f>
        <v/>
      </c>
      <c r="M3867" s="6">
        <f ca="1">IFERROR(__xludf.DUMMYFUNCTION("IFERROR(GOOGLEFINANCE(B3867,""change""),0)"),0)</f>
        <v>0</v>
      </c>
      <c r="N3867" s="6">
        <v>1</v>
      </c>
      <c r="O3867" s="7">
        <v>45536</v>
      </c>
      <c r="P3867" s="6">
        <v>26.98</v>
      </c>
      <c r="Q3867" s="6">
        <v>90.9</v>
      </c>
      <c r="R3867" s="7">
        <v>45352</v>
      </c>
      <c r="S3867" s="6">
        <v>191.52</v>
      </c>
      <c r="T3867" s="6">
        <v>1.32</v>
      </c>
      <c r="U3867" s="7">
        <v>45352</v>
      </c>
      <c r="V3867" s="6">
        <v>48.31</v>
      </c>
      <c r="W3867" s="6">
        <f ca="1">IFERROR(__xludf.DUMMYFUNCTION("IFERROR(GOOGLEFINANCE(B3867,""pe""),V3867)"),48.31)</f>
        <v>48.31</v>
      </c>
      <c r="X3867" s="6">
        <v>3.59</v>
      </c>
      <c r="Y3867" s="6">
        <v>3.69</v>
      </c>
      <c r="Z3867" s="6">
        <v>1</v>
      </c>
      <c r="AA3867" s="8">
        <v>45352</v>
      </c>
      <c r="AB3867" s="4">
        <v>2.42</v>
      </c>
      <c r="AC3867" s="6">
        <v>7.94</v>
      </c>
      <c r="AD3867" s="6">
        <v>10.19</v>
      </c>
      <c r="AE3867" s="1">
        <v>0</v>
      </c>
      <c r="AF3867" s="1">
        <f ca="1">IFERROR(__xludf.DUMMYFUNCTION("IFERROR(GOOGLEFINANCE(TRIM(F3867)&amp;"":"" &amp; TRIM(B3867),""high52""),AE3867)"),0)</f>
        <v>0</v>
      </c>
      <c r="AG3867" s="1">
        <v>0</v>
      </c>
      <c r="AH3867" s="1">
        <f ca="1">IFERROR(__xludf.DUMMYFUNCTION("IFERROR(GOOGLEFINANCE(TRIM(F3867)&amp;"":"" &amp; TRIM(B3867),""low52""),AE3867)"),0)</f>
        <v>0</v>
      </c>
      <c r="AI3867" s="1">
        <f ca="1">IFERROR(__xludf.DUMMYFUNCTION("IFERROR(GOOGLEFINANCE(B3867,""eps""),0)"),0)</f>
        <v>0</v>
      </c>
      <c r="AJ3867" s="1"/>
      <c r="AK3867" s="1" t="s">
        <v>11784</v>
      </c>
      <c r="AL3867" s="9">
        <f t="shared" ref="AL3867:AL3876" si="363">IF(AA3867&lt;&gt;AB3867,1,0)</f>
        <v>1</v>
      </c>
    </row>
    <row r="3868" spans="1:38" ht="15" x14ac:dyDescent="0.25">
      <c r="A3868" s="1" t="s">
        <v>11785</v>
      </c>
      <c r="B3868" s="1" t="s">
        <v>11786</v>
      </c>
      <c r="C3868" s="1" t="s">
        <v>82</v>
      </c>
      <c r="D3868" s="1" t="s">
        <v>82</v>
      </c>
      <c r="E3868" s="6">
        <v>11009.46</v>
      </c>
      <c r="F3868" s="1" t="s">
        <v>40</v>
      </c>
      <c r="G3868" s="6">
        <f ca="1">IFERROR(__xludf.DUMMYFUNCTION("iferror(GOOGLEFINANCE(TRIM(F3868)&amp;"":"" &amp; TRIM(B3868), ""price""),0
)"),182)</f>
        <v>182</v>
      </c>
      <c r="H3868" s="6">
        <v>483.95</v>
      </c>
      <c r="I3868" s="6">
        <f t="shared" ca="1" si="0"/>
        <v>182</v>
      </c>
      <c r="J3868" s="6">
        <f ca="1">IFERROR(__xludf.DUMMYFUNCTION("IFERROR(GOOGLEFINANCE(B3868, ""volume""), 0)"),1156565)</f>
        <v>1156565</v>
      </c>
      <c r="K3868" s="6">
        <v>-0.28000000000000003</v>
      </c>
      <c r="L3868" s="6">
        <f ca="1">IFERROR(__xludf.DUMMYFUNCTION("IFERROR(GOOGLEFINANCE(B3868,""changepct""),K3868)"),0.41)</f>
        <v>0.41</v>
      </c>
      <c r="M3868" s="6">
        <f ca="1">IFERROR(__xludf.DUMMYFUNCTION("IFERROR(GOOGLEFINANCE(B3868,""change""),0)"),0.75)</f>
        <v>0.75</v>
      </c>
      <c r="N3868" s="6">
        <v>2</v>
      </c>
      <c r="O3868" s="7">
        <v>45536</v>
      </c>
      <c r="P3868" s="6">
        <v>692.84</v>
      </c>
      <c r="Q3868" s="6">
        <v>11531.23</v>
      </c>
      <c r="R3868" s="7">
        <v>45536</v>
      </c>
      <c r="S3868" s="6">
        <v>5319.54</v>
      </c>
      <c r="T3868" s="6">
        <v>367.61</v>
      </c>
      <c r="U3868" s="7">
        <v>45536</v>
      </c>
      <c r="V3868" s="6">
        <v>30.45</v>
      </c>
      <c r="W3868" s="6">
        <f ca="1">IFERROR(__xludf.DUMMYFUNCTION("IFERROR(GOOGLEFINANCE(B3868,""pe""),V3868)"),19.64)</f>
        <v>19.64</v>
      </c>
      <c r="X3868" s="6">
        <v>3.42</v>
      </c>
      <c r="Y3868" s="6">
        <v>4.1100000000000003</v>
      </c>
      <c r="Z3868" s="6">
        <v>2</v>
      </c>
      <c r="AA3868" s="8">
        <v>45352</v>
      </c>
      <c r="AB3868" s="4">
        <v>0.28999999999999998</v>
      </c>
      <c r="AC3868" s="6">
        <v>13.13</v>
      </c>
      <c r="AD3868" s="6">
        <v>16.71</v>
      </c>
      <c r="AE3868" s="1">
        <v>0</v>
      </c>
      <c r="AF3868" s="1">
        <f ca="1">IFERROR(__xludf.DUMMYFUNCTION("IFERROR(GOOGLEFINANCE(TRIM(F3868)&amp;"":"" &amp; TRIM(B3868),""high52""),AE3868)"),249.15)</f>
        <v>249.15</v>
      </c>
      <c r="AG3868" s="1">
        <v>0</v>
      </c>
      <c r="AH3868" s="1">
        <f ca="1">IFERROR(__xludf.DUMMYFUNCTION("IFERROR(GOOGLEFINANCE(TRIM(F3868)&amp;"":"" &amp; TRIM(B3868),""low52""),AE3868)"),153.3)</f>
        <v>153.30000000000001</v>
      </c>
      <c r="AI3868" s="1">
        <f ca="1">IFERROR(__xludf.DUMMYFUNCTION("IFERROR(GOOGLEFINANCE(B3868,""eps""),0)"),9.27)</f>
        <v>9.27</v>
      </c>
      <c r="AJ3868" s="1"/>
      <c r="AK3868" s="9"/>
      <c r="AL3868" s="9">
        <f t="shared" si="363"/>
        <v>1</v>
      </c>
    </row>
    <row r="3869" spans="1:38" ht="15" x14ac:dyDescent="0.25">
      <c r="A3869" s="1" t="s">
        <v>11787</v>
      </c>
      <c r="B3869" s="1" t="s">
        <v>11788</v>
      </c>
      <c r="C3869" s="1" t="s">
        <v>43</v>
      </c>
      <c r="D3869" s="1" t="s">
        <v>43</v>
      </c>
      <c r="E3869" s="6">
        <v>143.88999999999999</v>
      </c>
      <c r="F3869" s="1" t="s">
        <v>40</v>
      </c>
      <c r="G3869" s="6">
        <f ca="1">IFERROR(__xludf.DUMMYFUNCTION("iferror(GOOGLEFINANCE(TRIM(F3869)&amp;"":"" &amp; TRIM(B3869), ""price""),0
)"),0)</f>
        <v>0</v>
      </c>
      <c r="H3869" s="6">
        <v>158.5</v>
      </c>
      <c r="I3869" s="6">
        <f t="shared" ca="1" si="0"/>
        <v>158.5</v>
      </c>
      <c r="J3869" s="6">
        <f ca="1">IFERROR(__xludf.DUMMYFUNCTION("IFERROR(GOOGLEFINANCE(B3869, ""volume""), 0)"),0)</f>
        <v>0</v>
      </c>
      <c r="K3869" s="6">
        <v>-0.17</v>
      </c>
      <c r="L3869" s="6">
        <f ca="1">IFERROR(__xludf.DUMMYFUNCTION("IFERROR(GOOGLEFINANCE(B3869,""changepct""),K3869)"),-0.17)</f>
        <v>-0.17</v>
      </c>
      <c r="M3869" s="6">
        <f ca="1">IFERROR(__xludf.DUMMYFUNCTION("IFERROR(GOOGLEFINANCE(B3869,""change""),0)"),0)</f>
        <v>0</v>
      </c>
      <c r="N3869" s="6">
        <v>1</v>
      </c>
      <c r="O3869" s="7">
        <v>45536</v>
      </c>
      <c r="P3869" s="6">
        <v>1.93</v>
      </c>
      <c r="Q3869" s="7">
        <v>45536</v>
      </c>
      <c r="R3869" s="6">
        <v>74.63</v>
      </c>
      <c r="S3869" s="6">
        <v>42.65</v>
      </c>
      <c r="T3869" s="6">
        <v>3.1</v>
      </c>
      <c r="U3869" s="6">
        <v>1</v>
      </c>
      <c r="V3869" s="7">
        <v>45352</v>
      </c>
      <c r="W3869" s="10">
        <f ca="1">IFERROR(__xludf.DUMMYFUNCTION("IFERROR(GOOGLEFINANCE(B3869,""pe""),V3869)"),45352)</f>
        <v>45352</v>
      </c>
      <c r="X3869" s="6">
        <v>0</v>
      </c>
      <c r="Y3869" s="6">
        <v>4.0199999999999996</v>
      </c>
      <c r="Z3869" s="6">
        <v>5.31</v>
      </c>
      <c r="AA3869" s="3" t="s">
        <v>11789</v>
      </c>
      <c r="AB3869" s="3"/>
      <c r="AC3869" s="9"/>
      <c r="AD3869" s="9"/>
      <c r="AE3869" s="1">
        <v>0</v>
      </c>
      <c r="AF3869" s="1">
        <f ca="1">IFERROR(__xludf.DUMMYFUNCTION("IFERROR(GOOGLEFINANCE(TRIM(F3869)&amp;"":"" &amp; TRIM(B3869),""high52""),AE3869)"),0)</f>
        <v>0</v>
      </c>
      <c r="AG3869" s="1">
        <v>0</v>
      </c>
      <c r="AH3869" s="1">
        <f ca="1">IFERROR(__xludf.DUMMYFUNCTION("IFERROR(GOOGLEFINANCE(TRIM(F3869)&amp;"":"" &amp; TRIM(B3869),""low52""),AE3869)"),0)</f>
        <v>0</v>
      </c>
      <c r="AI3869" s="1">
        <f ca="1">IFERROR(__xludf.DUMMYFUNCTION("IFERROR(GOOGLEFINANCE(B3869,""eps""),0)"),0)</f>
        <v>0</v>
      </c>
      <c r="AJ3869" s="1"/>
      <c r="AK3869" s="9"/>
      <c r="AL3869" s="9">
        <f t="shared" si="363"/>
        <v>1</v>
      </c>
    </row>
    <row r="3870" spans="1:38" ht="15" x14ac:dyDescent="0.25">
      <c r="A3870" s="1" t="s">
        <v>11790</v>
      </c>
      <c r="B3870" s="1" t="s">
        <v>11791</v>
      </c>
      <c r="C3870" s="1" t="s">
        <v>186</v>
      </c>
      <c r="D3870" s="1" t="s">
        <v>186</v>
      </c>
      <c r="E3870" s="6">
        <v>15.89</v>
      </c>
      <c r="F3870" s="1" t="s">
        <v>53</v>
      </c>
      <c r="G3870" s="6">
        <f ca="1">IFERROR(__xludf.DUMMYFUNCTION("iferror(GOOGLEFINANCE(TRIM(F3870)&amp;"":"" &amp; TRIM(B3870), ""price""),0
)"),0)</f>
        <v>0</v>
      </c>
      <c r="H3870" s="6">
        <v>40.35</v>
      </c>
      <c r="I3870" s="6">
        <f t="shared" ca="1" si="0"/>
        <v>40.35</v>
      </c>
      <c r="J3870" s="6">
        <f ca="1">IFERROR(__xludf.DUMMYFUNCTION("IFERROR(GOOGLEFINANCE(B3870, ""volume""), 0)"),0)</f>
        <v>0</v>
      </c>
      <c r="K3870" s="9"/>
      <c r="L3870" s="6" t="str">
        <f ca="1">IFERROR(__xludf.DUMMYFUNCTION("IFERROR(GOOGLEFINANCE(B3870,""changepct""),K3870)"),"")</f>
        <v/>
      </c>
      <c r="M3870" s="6">
        <f ca="1">IFERROR(__xludf.DUMMYFUNCTION("IFERROR(GOOGLEFINANCE(B3870,""change""),0)"),0)</f>
        <v>0</v>
      </c>
      <c r="N3870" s="6">
        <v>1</v>
      </c>
      <c r="O3870" s="7">
        <v>45536</v>
      </c>
      <c r="P3870" s="6">
        <v>4.13</v>
      </c>
      <c r="Q3870" s="6">
        <v>20.010000000000002</v>
      </c>
      <c r="R3870" s="7">
        <v>45352</v>
      </c>
      <c r="S3870" s="6">
        <v>198.41</v>
      </c>
      <c r="T3870" s="6">
        <v>0.7</v>
      </c>
      <c r="U3870" s="7">
        <v>45352</v>
      </c>
      <c r="V3870" s="6">
        <v>22.67</v>
      </c>
      <c r="W3870" s="6">
        <f ca="1">IFERROR(__xludf.DUMMYFUNCTION("IFERROR(GOOGLEFINANCE(B3870,""pe""),V3870)"),22.67)</f>
        <v>22.67</v>
      </c>
      <c r="X3870" s="9"/>
      <c r="Y3870" s="6">
        <v>0.76</v>
      </c>
      <c r="Z3870" s="6">
        <v>1</v>
      </c>
      <c r="AA3870" s="8">
        <v>45352</v>
      </c>
      <c r="AB3870" s="4">
        <v>0.2</v>
      </c>
      <c r="AC3870" s="6">
        <v>4.2</v>
      </c>
      <c r="AD3870" s="6">
        <v>4.62</v>
      </c>
      <c r="AE3870" s="1">
        <v>0</v>
      </c>
      <c r="AF3870" s="1">
        <f ca="1">IFERROR(__xludf.DUMMYFUNCTION("IFERROR(GOOGLEFINANCE(TRIM(F3870)&amp;"":"" &amp; TRIM(B3870),""high52""),AE3870)"),0)</f>
        <v>0</v>
      </c>
      <c r="AG3870" s="1">
        <v>0</v>
      </c>
      <c r="AH3870" s="1">
        <f ca="1">IFERROR(__xludf.DUMMYFUNCTION("IFERROR(GOOGLEFINANCE(TRIM(F3870)&amp;"":"" &amp; TRIM(B3870),""low52""),AE3870)"),0)</f>
        <v>0</v>
      </c>
      <c r="AI3870" s="1">
        <f ca="1">IFERROR(__xludf.DUMMYFUNCTION("IFERROR(GOOGLEFINANCE(B3870,""eps""),0)"),0)</f>
        <v>0</v>
      </c>
      <c r="AJ3870" s="1"/>
      <c r="AK3870" s="1" t="s">
        <v>11792</v>
      </c>
      <c r="AL3870" s="9">
        <f t="shared" si="363"/>
        <v>1</v>
      </c>
    </row>
    <row r="3871" spans="1:38" ht="15" x14ac:dyDescent="0.25">
      <c r="A3871" s="1" t="s">
        <v>11793</v>
      </c>
      <c r="B3871" s="1" t="s">
        <v>11794</v>
      </c>
      <c r="C3871" s="1" t="s">
        <v>186</v>
      </c>
      <c r="D3871" s="1" t="s">
        <v>186</v>
      </c>
      <c r="E3871" s="6">
        <v>16.489999999999998</v>
      </c>
      <c r="F3871" s="1" t="s">
        <v>53</v>
      </c>
      <c r="G3871" s="6">
        <f ca="1">IFERROR(__xludf.DUMMYFUNCTION("iferror(GOOGLEFINANCE(TRIM(F3871)&amp;"":"" &amp; TRIM(B3871), ""price""),0
)"),0)</f>
        <v>0</v>
      </c>
      <c r="H3871" s="6">
        <v>49.03</v>
      </c>
      <c r="I3871" s="6">
        <f t="shared" ca="1" si="0"/>
        <v>49.03</v>
      </c>
      <c r="J3871" s="6">
        <f ca="1">IFERROR(__xludf.DUMMYFUNCTION("IFERROR(GOOGLEFINANCE(B3871, ""volume""), 0)"),0)</f>
        <v>0</v>
      </c>
      <c r="K3871" s="12"/>
      <c r="L3871" s="6" t="str">
        <f ca="1">IFERROR(__xludf.DUMMYFUNCTION("IFERROR(GOOGLEFINANCE(B3871,""changepct""),K3871)"),"")</f>
        <v/>
      </c>
      <c r="M3871" s="6">
        <f ca="1">IFERROR(__xludf.DUMMYFUNCTION("IFERROR(GOOGLEFINANCE(B3871,""change""),0)"),0)</f>
        <v>0</v>
      </c>
      <c r="N3871" s="6">
        <v>2</v>
      </c>
      <c r="O3871" s="7">
        <v>45536</v>
      </c>
      <c r="P3871" s="6">
        <v>30.04</v>
      </c>
      <c r="Q3871" s="6">
        <v>46.52</v>
      </c>
      <c r="R3871" s="7">
        <v>45352</v>
      </c>
      <c r="S3871" s="6">
        <v>31.57</v>
      </c>
      <c r="T3871" s="6">
        <v>0.82</v>
      </c>
      <c r="U3871" s="7">
        <v>45352</v>
      </c>
      <c r="V3871" s="6">
        <v>60.67</v>
      </c>
      <c r="W3871" s="6">
        <f ca="1">IFERROR(__xludf.DUMMYFUNCTION("IFERROR(GOOGLEFINANCE(B3871,""pe""),V3871)"),60.67)</f>
        <v>60.67</v>
      </c>
      <c r="X3871" s="6">
        <v>89.22</v>
      </c>
      <c r="Y3871" s="6">
        <v>1.01</v>
      </c>
      <c r="Z3871" s="6">
        <v>2</v>
      </c>
      <c r="AA3871" s="8">
        <v>45352</v>
      </c>
      <c r="AB3871" s="4">
        <v>1.18</v>
      </c>
      <c r="AC3871" s="6">
        <v>1.76</v>
      </c>
      <c r="AD3871" s="6">
        <v>6.85</v>
      </c>
      <c r="AE3871" s="1">
        <v>0</v>
      </c>
      <c r="AF3871" s="1">
        <f ca="1">IFERROR(__xludf.DUMMYFUNCTION("IFERROR(GOOGLEFINANCE(TRIM(F3871)&amp;"":"" &amp; TRIM(B3871),""high52""),AE3871)"),0)</f>
        <v>0</v>
      </c>
      <c r="AG3871" s="1">
        <v>0</v>
      </c>
      <c r="AH3871" s="1">
        <f ca="1">IFERROR(__xludf.DUMMYFUNCTION("IFERROR(GOOGLEFINANCE(TRIM(F3871)&amp;"":"" &amp; TRIM(B3871),""low52""),AE3871)"),0)</f>
        <v>0</v>
      </c>
      <c r="AI3871" s="1">
        <f ca="1">IFERROR(__xludf.DUMMYFUNCTION("IFERROR(GOOGLEFINANCE(B3871,""eps""),0)"),0)</f>
        <v>0</v>
      </c>
      <c r="AJ3871" s="1"/>
      <c r="AK3871" s="1" t="s">
        <v>11795</v>
      </c>
      <c r="AL3871" s="9">
        <f t="shared" si="363"/>
        <v>1</v>
      </c>
    </row>
    <row r="3872" spans="1:38" ht="15" x14ac:dyDescent="0.25">
      <c r="A3872" s="1" t="s">
        <v>11796</v>
      </c>
      <c r="B3872" s="1" t="s">
        <v>11797</v>
      </c>
      <c r="C3872" s="1" t="s">
        <v>259</v>
      </c>
      <c r="D3872" s="1" t="s">
        <v>259</v>
      </c>
      <c r="E3872" s="6">
        <v>47.34</v>
      </c>
      <c r="F3872" s="1" t="s">
        <v>40</v>
      </c>
      <c r="G3872" s="6">
        <f ca="1">IFERROR(__xludf.DUMMYFUNCTION("iferror(GOOGLEFINANCE(TRIM(F3872)&amp;"":"" &amp; TRIM(B3872), ""price""),0
)"),0)</f>
        <v>0</v>
      </c>
      <c r="H3872" s="6">
        <v>67.75</v>
      </c>
      <c r="I3872" s="6">
        <f t="shared" ca="1" si="0"/>
        <v>67.75</v>
      </c>
      <c r="J3872" s="6">
        <f ca="1">IFERROR(__xludf.DUMMYFUNCTION("IFERROR(GOOGLEFINANCE(B3872, ""volume""), 0)"),0)</f>
        <v>0</v>
      </c>
      <c r="K3872" s="9"/>
      <c r="L3872" s="6" t="str">
        <f ca="1">IFERROR(__xludf.DUMMYFUNCTION("IFERROR(GOOGLEFINANCE(B3872,""changepct""),K3872)"),"")</f>
        <v/>
      </c>
      <c r="M3872" s="6">
        <f ca="1">IFERROR(__xludf.DUMMYFUNCTION("IFERROR(GOOGLEFINANCE(B3872,""change""),0)"),0)</f>
        <v>0</v>
      </c>
      <c r="N3872" s="6">
        <v>1</v>
      </c>
      <c r="O3872" s="7">
        <v>45536</v>
      </c>
      <c r="P3872" s="6">
        <v>6.6</v>
      </c>
      <c r="Q3872" s="6">
        <v>53.95</v>
      </c>
      <c r="R3872" s="7">
        <v>45352</v>
      </c>
      <c r="S3872" s="6">
        <v>201.92</v>
      </c>
      <c r="T3872" s="6">
        <v>3.79</v>
      </c>
      <c r="U3872" s="7">
        <v>45352</v>
      </c>
      <c r="V3872" s="6">
        <v>12.48</v>
      </c>
      <c r="W3872" s="6">
        <f ca="1">IFERROR(__xludf.DUMMYFUNCTION("IFERROR(GOOGLEFINANCE(B3872,""pe""),V3872)"),12.48)</f>
        <v>12.48</v>
      </c>
      <c r="X3872" s="9"/>
      <c r="Y3872" s="6">
        <v>2</v>
      </c>
      <c r="Z3872" s="6">
        <v>1</v>
      </c>
      <c r="AA3872" s="8">
        <v>45352</v>
      </c>
      <c r="AB3872" s="4">
        <v>0.1</v>
      </c>
      <c r="AC3872" s="6">
        <v>20.83</v>
      </c>
      <c r="AD3872" s="6">
        <v>25.42</v>
      </c>
      <c r="AE3872" s="1">
        <v>0</v>
      </c>
      <c r="AF3872" s="1">
        <f ca="1">IFERROR(__xludf.DUMMYFUNCTION("IFERROR(GOOGLEFINANCE(TRIM(F3872)&amp;"":"" &amp; TRIM(B3872),""high52""),AE3872)"),0)</f>
        <v>0</v>
      </c>
      <c r="AG3872" s="1">
        <v>0</v>
      </c>
      <c r="AH3872" s="1">
        <f ca="1">IFERROR(__xludf.DUMMYFUNCTION("IFERROR(GOOGLEFINANCE(TRIM(F3872)&amp;"":"" &amp; TRIM(B3872),""low52""),AE3872)"),0)</f>
        <v>0</v>
      </c>
      <c r="AI3872" s="1">
        <f ca="1">IFERROR(__xludf.DUMMYFUNCTION("IFERROR(GOOGLEFINANCE(B3872,""eps""),0)"),0)</f>
        <v>0</v>
      </c>
      <c r="AJ3872" s="1"/>
      <c r="AK3872" s="1" t="s">
        <v>11798</v>
      </c>
      <c r="AL3872" s="9">
        <f t="shared" si="363"/>
        <v>1</v>
      </c>
    </row>
    <row r="3873" spans="1:38" ht="15" x14ac:dyDescent="0.25">
      <c r="A3873" s="1" t="s">
        <v>11799</v>
      </c>
      <c r="B3873" s="1" t="s">
        <v>11800</v>
      </c>
      <c r="C3873" s="1" t="s">
        <v>186</v>
      </c>
      <c r="D3873" s="1" t="s">
        <v>186</v>
      </c>
      <c r="E3873" s="6">
        <v>93.57</v>
      </c>
      <c r="F3873" s="1" t="s">
        <v>53</v>
      </c>
      <c r="G3873" s="6">
        <f ca="1">IFERROR(__xludf.DUMMYFUNCTION("iferror(GOOGLEFINANCE(TRIM(F3873)&amp;"":"" &amp; TRIM(B3873), ""price""),0
)"),0)</f>
        <v>0</v>
      </c>
      <c r="H3873" s="6">
        <v>302.3</v>
      </c>
      <c r="I3873" s="6">
        <f t="shared" ca="1" si="0"/>
        <v>302.3</v>
      </c>
      <c r="J3873" s="6">
        <f ca="1">IFERROR(__xludf.DUMMYFUNCTION("IFERROR(GOOGLEFINANCE(B3873, ""volume""), 0)"),0)</f>
        <v>0</v>
      </c>
      <c r="K3873" s="6">
        <v>-1.79</v>
      </c>
      <c r="L3873" s="6">
        <f ca="1">IFERROR(__xludf.DUMMYFUNCTION("IFERROR(GOOGLEFINANCE(B3873,""changepct""),K3873)"),-1.79)</f>
        <v>-1.79</v>
      </c>
      <c r="M3873" s="6">
        <f ca="1">IFERROR(__xludf.DUMMYFUNCTION("IFERROR(GOOGLEFINANCE(B3873,""change""),0)"),0)</f>
        <v>0</v>
      </c>
      <c r="N3873" s="6">
        <v>1</v>
      </c>
      <c r="O3873" s="7">
        <v>45536</v>
      </c>
      <c r="P3873" s="6">
        <v>43.25</v>
      </c>
      <c r="Q3873" s="6">
        <v>136.19999999999999</v>
      </c>
      <c r="R3873" s="7">
        <v>45536</v>
      </c>
      <c r="S3873" s="6">
        <v>234.4</v>
      </c>
      <c r="T3873" s="6">
        <v>9.14</v>
      </c>
      <c r="U3873" s="7">
        <v>45536</v>
      </c>
      <c r="V3873" s="6">
        <v>10.24</v>
      </c>
      <c r="W3873" s="6">
        <f ca="1">IFERROR(__xludf.DUMMYFUNCTION("IFERROR(GOOGLEFINANCE(B3873,""pe""),V3873)"),10.24)</f>
        <v>10.24</v>
      </c>
      <c r="X3873" s="6">
        <v>0.8</v>
      </c>
      <c r="Y3873" s="6">
        <v>1.1399999999999999</v>
      </c>
      <c r="Z3873" s="6">
        <v>1</v>
      </c>
      <c r="AA3873" s="8">
        <v>45352</v>
      </c>
      <c r="AB3873" s="4">
        <v>0.74</v>
      </c>
      <c r="AC3873" s="6">
        <v>11.46</v>
      </c>
      <c r="AD3873" s="6">
        <v>11.31</v>
      </c>
      <c r="AE3873" s="1">
        <v>0</v>
      </c>
      <c r="AF3873" s="1">
        <f ca="1">IFERROR(__xludf.DUMMYFUNCTION("IFERROR(GOOGLEFINANCE(TRIM(F3873)&amp;"":"" &amp; TRIM(B3873),""high52""),AE3873)"),0)</f>
        <v>0</v>
      </c>
      <c r="AG3873" s="1">
        <v>0</v>
      </c>
      <c r="AH3873" s="1">
        <f ca="1">IFERROR(__xludf.DUMMYFUNCTION("IFERROR(GOOGLEFINANCE(TRIM(F3873)&amp;"":"" &amp; TRIM(B3873),""low52""),AE3873)"),0)</f>
        <v>0</v>
      </c>
      <c r="AI3873" s="1">
        <f ca="1">IFERROR(__xludf.DUMMYFUNCTION("IFERROR(GOOGLEFINANCE(B3873,""eps""),0)"),0)</f>
        <v>0</v>
      </c>
      <c r="AJ3873" s="1"/>
      <c r="AK3873" s="1" t="s">
        <v>11801</v>
      </c>
      <c r="AL3873" s="9">
        <f t="shared" si="363"/>
        <v>1</v>
      </c>
    </row>
    <row r="3874" spans="1:38" ht="15" x14ac:dyDescent="0.25">
      <c r="A3874" s="1" t="s">
        <v>11802</v>
      </c>
      <c r="B3874" s="1" t="s">
        <v>11803</v>
      </c>
      <c r="C3874" s="1" t="s">
        <v>186</v>
      </c>
      <c r="D3874" s="1" t="s">
        <v>186</v>
      </c>
      <c r="E3874" s="6">
        <v>164.35</v>
      </c>
      <c r="F3874" s="1" t="s">
        <v>53</v>
      </c>
      <c r="G3874" s="6">
        <f ca="1">IFERROR(__xludf.DUMMYFUNCTION("iferror(GOOGLEFINANCE(TRIM(F3874)&amp;"":"" &amp; TRIM(B3874), ""price""),0
)"),0)</f>
        <v>0</v>
      </c>
      <c r="H3874" s="6">
        <v>105.8</v>
      </c>
      <c r="I3874" s="6">
        <f t="shared" ca="1" si="0"/>
        <v>105.8</v>
      </c>
      <c r="J3874" s="6">
        <f ca="1">IFERROR(__xludf.DUMMYFUNCTION("IFERROR(GOOGLEFINANCE(B3874, ""volume""), 0)"),0)</f>
        <v>0</v>
      </c>
      <c r="K3874" s="6">
        <v>-0.14000000000000001</v>
      </c>
      <c r="L3874" s="6">
        <f ca="1">IFERROR(__xludf.DUMMYFUNCTION("IFERROR(GOOGLEFINANCE(B3874,""changepct""),K3874)"),-0.14)</f>
        <v>-0.14000000000000001</v>
      </c>
      <c r="M3874" s="6">
        <f ca="1">IFERROR(__xludf.DUMMYFUNCTION("IFERROR(GOOGLEFINANCE(B3874,""change""),0)"),0)</f>
        <v>0</v>
      </c>
      <c r="N3874" s="6">
        <v>1</v>
      </c>
      <c r="O3874" s="7">
        <v>45536</v>
      </c>
      <c r="P3874" s="6">
        <v>120.51</v>
      </c>
      <c r="Q3874" s="6">
        <v>284.86</v>
      </c>
      <c r="R3874" s="7">
        <v>45536</v>
      </c>
      <c r="S3874" s="6">
        <v>218.7</v>
      </c>
      <c r="T3874" s="6">
        <v>5.99</v>
      </c>
      <c r="U3874" s="7">
        <v>45536</v>
      </c>
      <c r="V3874" s="6">
        <v>27.42</v>
      </c>
      <c r="W3874" s="6">
        <f ca="1">IFERROR(__xludf.DUMMYFUNCTION("IFERROR(GOOGLEFINANCE(B3874,""pe""),V3874)"),27.42)</f>
        <v>27.42</v>
      </c>
      <c r="X3874" s="6">
        <v>2.83</v>
      </c>
      <c r="Y3874" s="6">
        <v>2.2599999999999998</v>
      </c>
      <c r="Z3874" s="6">
        <v>1</v>
      </c>
      <c r="AA3874" s="8">
        <v>45352</v>
      </c>
      <c r="AB3874" s="4">
        <v>1.34</v>
      </c>
      <c r="AC3874" s="6">
        <v>7.28</v>
      </c>
      <c r="AD3874" s="6">
        <v>8.98</v>
      </c>
      <c r="AE3874" s="1">
        <v>0</v>
      </c>
      <c r="AF3874" s="1">
        <f ca="1">IFERROR(__xludf.DUMMYFUNCTION("IFERROR(GOOGLEFINANCE(TRIM(F3874)&amp;"":"" &amp; TRIM(B3874),""high52""),AE3874)"),0)</f>
        <v>0</v>
      </c>
      <c r="AG3874" s="1">
        <v>0</v>
      </c>
      <c r="AH3874" s="1">
        <f ca="1">IFERROR(__xludf.DUMMYFUNCTION("IFERROR(GOOGLEFINANCE(TRIM(F3874)&amp;"":"" &amp; TRIM(B3874),""low52""),AE3874)"),0)</f>
        <v>0</v>
      </c>
      <c r="AI3874" s="1">
        <f ca="1">IFERROR(__xludf.DUMMYFUNCTION("IFERROR(GOOGLEFINANCE(B3874,""eps""),0)"),0)</f>
        <v>0</v>
      </c>
      <c r="AJ3874" s="1"/>
      <c r="AK3874" s="1" t="s">
        <v>11804</v>
      </c>
      <c r="AL3874" s="9">
        <f t="shared" si="363"/>
        <v>1</v>
      </c>
    </row>
    <row r="3875" spans="1:38" ht="15" x14ac:dyDescent="0.25">
      <c r="A3875" s="1" t="s">
        <v>11805</v>
      </c>
      <c r="B3875" s="1" t="s">
        <v>11806</v>
      </c>
      <c r="C3875" s="1" t="s">
        <v>186</v>
      </c>
      <c r="D3875" s="1" t="s">
        <v>186</v>
      </c>
      <c r="E3875" s="6">
        <v>44.37</v>
      </c>
      <c r="F3875" s="1" t="s">
        <v>53</v>
      </c>
      <c r="G3875" s="6">
        <f ca="1">IFERROR(__xludf.DUMMYFUNCTION("iferror(GOOGLEFINANCE(TRIM(F3875)&amp;"":"" &amp; TRIM(B3875), ""price""),0
)"),0)</f>
        <v>0</v>
      </c>
      <c r="H3875" s="6">
        <v>40.799999999999997</v>
      </c>
      <c r="I3875" s="6">
        <f t="shared" ca="1" si="0"/>
        <v>40.799999999999997</v>
      </c>
      <c r="J3875" s="6">
        <f ca="1">IFERROR(__xludf.DUMMYFUNCTION("IFERROR(GOOGLEFINANCE(B3875, ""volume""), 0)"),0)</f>
        <v>0</v>
      </c>
      <c r="K3875" s="6">
        <v>-0.73</v>
      </c>
      <c r="L3875" s="6">
        <f ca="1">IFERROR(__xludf.DUMMYFUNCTION("IFERROR(GOOGLEFINANCE(B3875,""changepct""),K3875)"),-0.73)</f>
        <v>-0.73</v>
      </c>
      <c r="M3875" s="6">
        <f ca="1">IFERROR(__xludf.DUMMYFUNCTION("IFERROR(GOOGLEFINANCE(B3875,""change""),0)"),0)</f>
        <v>0</v>
      </c>
      <c r="N3875" s="6">
        <v>2</v>
      </c>
      <c r="O3875" s="7">
        <v>45536</v>
      </c>
      <c r="P3875" s="9"/>
      <c r="Q3875" s="6">
        <v>5.53</v>
      </c>
      <c r="R3875" s="7">
        <v>45536</v>
      </c>
      <c r="S3875" s="6">
        <v>0</v>
      </c>
      <c r="T3875" s="6">
        <v>4.63</v>
      </c>
      <c r="U3875" s="7">
        <v>45536</v>
      </c>
      <c r="V3875" s="6">
        <v>9.59</v>
      </c>
      <c r="W3875" s="6">
        <f ca="1">IFERROR(__xludf.DUMMYFUNCTION("IFERROR(GOOGLEFINANCE(B3875,""pe""),V3875)"),9.59)</f>
        <v>9.59</v>
      </c>
      <c r="X3875" s="6">
        <v>0.17</v>
      </c>
      <c r="Y3875" s="6">
        <v>0.56000000000000005</v>
      </c>
      <c r="Z3875" s="6">
        <v>2</v>
      </c>
      <c r="AA3875" s="8">
        <v>45352</v>
      </c>
      <c r="AB3875" s="4">
        <v>0</v>
      </c>
      <c r="AC3875" s="6">
        <v>6.16</v>
      </c>
      <c r="AD3875" s="6">
        <v>8.3800000000000008</v>
      </c>
      <c r="AE3875" s="1">
        <v>0</v>
      </c>
      <c r="AF3875" s="1">
        <f ca="1">IFERROR(__xludf.DUMMYFUNCTION("IFERROR(GOOGLEFINANCE(TRIM(F3875)&amp;"":"" &amp; TRIM(B3875),""high52""),AE3875)"),0)</f>
        <v>0</v>
      </c>
      <c r="AG3875" s="1">
        <v>0</v>
      </c>
      <c r="AH3875" s="1">
        <f ca="1">IFERROR(__xludf.DUMMYFUNCTION("IFERROR(GOOGLEFINANCE(TRIM(F3875)&amp;"":"" &amp; TRIM(B3875),""low52""),AE3875)"),0)</f>
        <v>0</v>
      </c>
      <c r="AI3875" s="1">
        <f ca="1">IFERROR(__xludf.DUMMYFUNCTION("IFERROR(GOOGLEFINANCE(B3875,""eps""),0)"),0)</f>
        <v>0</v>
      </c>
      <c r="AJ3875" s="1"/>
      <c r="AK3875" s="1" t="s">
        <v>11807</v>
      </c>
      <c r="AL3875" s="9">
        <f t="shared" si="363"/>
        <v>1</v>
      </c>
    </row>
    <row r="3876" spans="1:38" ht="15" x14ac:dyDescent="0.25">
      <c r="A3876" s="1" t="s">
        <v>11808</v>
      </c>
      <c r="B3876" s="1" t="s">
        <v>11809</v>
      </c>
      <c r="C3876" s="1" t="s">
        <v>186</v>
      </c>
      <c r="D3876" s="1" t="s">
        <v>186</v>
      </c>
      <c r="E3876" s="6">
        <v>19.59</v>
      </c>
      <c r="F3876" s="1" t="s">
        <v>53</v>
      </c>
      <c r="G3876" s="6">
        <f ca="1">IFERROR(__xludf.DUMMYFUNCTION("iferror(GOOGLEFINANCE(TRIM(F3876)&amp;"":"" &amp; TRIM(B3876), ""price""),0
)"),0)</f>
        <v>0</v>
      </c>
      <c r="H3876" s="6">
        <v>31.5</v>
      </c>
      <c r="I3876" s="6">
        <f t="shared" ca="1" si="0"/>
        <v>31.5</v>
      </c>
      <c r="J3876" s="6">
        <f ca="1">IFERROR(__xludf.DUMMYFUNCTION("IFERROR(GOOGLEFINANCE(B3876, ""volume""), 0)"),0)</f>
        <v>0</v>
      </c>
      <c r="K3876" s="6">
        <v>0.1</v>
      </c>
      <c r="L3876" s="6">
        <f ca="1">IFERROR(__xludf.DUMMYFUNCTION("IFERROR(GOOGLEFINANCE(B3876,""changepct""),K3876)"),0.1)</f>
        <v>0.1</v>
      </c>
      <c r="M3876" s="6">
        <f ca="1">IFERROR(__xludf.DUMMYFUNCTION("IFERROR(GOOGLEFINANCE(B3876,""change""),0)"),0)</f>
        <v>0</v>
      </c>
      <c r="N3876" s="6">
        <v>1</v>
      </c>
      <c r="O3876" s="7">
        <v>45536</v>
      </c>
      <c r="P3876" s="6">
        <v>41.36</v>
      </c>
      <c r="Q3876" s="6">
        <v>60.95</v>
      </c>
      <c r="R3876" s="7">
        <v>45536</v>
      </c>
      <c r="S3876" s="6">
        <v>0</v>
      </c>
      <c r="T3876" s="6">
        <v>1.05</v>
      </c>
      <c r="U3876" s="7">
        <v>45536</v>
      </c>
      <c r="V3876" s="6">
        <v>18.59</v>
      </c>
      <c r="W3876" s="6">
        <f ca="1">IFERROR(__xludf.DUMMYFUNCTION("IFERROR(GOOGLEFINANCE(B3876,""pe""),V3876)"),18.59)</f>
        <v>18.59</v>
      </c>
      <c r="X3876" s="6">
        <v>1.1000000000000001</v>
      </c>
      <c r="Y3876" s="6">
        <v>0.72</v>
      </c>
      <c r="Z3876" s="6">
        <v>1</v>
      </c>
      <c r="AA3876" s="8">
        <v>45352</v>
      </c>
      <c r="AB3876" s="4">
        <v>1.53</v>
      </c>
      <c r="AC3876" s="6">
        <v>0.81</v>
      </c>
      <c r="AD3876" s="6">
        <v>4.22</v>
      </c>
      <c r="AE3876" s="1">
        <v>0</v>
      </c>
      <c r="AF3876" s="1">
        <f ca="1">IFERROR(__xludf.DUMMYFUNCTION("IFERROR(GOOGLEFINANCE(TRIM(F3876)&amp;"":"" &amp; TRIM(B3876),""high52""),AE3876)"),0)</f>
        <v>0</v>
      </c>
      <c r="AG3876" s="1">
        <v>0</v>
      </c>
      <c r="AH3876" s="1">
        <f ca="1">IFERROR(__xludf.DUMMYFUNCTION("IFERROR(GOOGLEFINANCE(TRIM(F3876)&amp;"":"" &amp; TRIM(B3876),""low52""),AE3876)"),0)</f>
        <v>0</v>
      </c>
      <c r="AI3876" s="1">
        <f ca="1">IFERROR(__xludf.DUMMYFUNCTION("IFERROR(GOOGLEFINANCE(B3876,""eps""),0)"),0)</f>
        <v>0</v>
      </c>
      <c r="AJ3876" s="1"/>
      <c r="AK3876" s="1" t="s">
        <v>11810</v>
      </c>
      <c r="AL3876" s="9">
        <f t="shared" si="363"/>
        <v>1</v>
      </c>
    </row>
    <row r="3877" spans="1:38" ht="15" x14ac:dyDescent="0.25">
      <c r="A3877" s="1" t="s">
        <v>11811</v>
      </c>
      <c r="B3877" s="1" t="s">
        <v>11812</v>
      </c>
      <c r="C3877" s="1" t="s">
        <v>907</v>
      </c>
      <c r="D3877" s="1" t="s">
        <v>907</v>
      </c>
      <c r="E3877" s="6">
        <v>22661.9</v>
      </c>
      <c r="F3877" s="1" t="s">
        <v>40</v>
      </c>
      <c r="G3877" s="6">
        <f ca="1">IFERROR(__xludf.DUMMYFUNCTION("iferror(GOOGLEFINANCE(TRIM(F3877)&amp;"":"" &amp; TRIM(B3877), ""price""),0
)"),3039)</f>
        <v>3039</v>
      </c>
      <c r="H3877" s="6">
        <v>3010.05</v>
      </c>
      <c r="I3877" s="6">
        <f t="shared" ca="1" si="0"/>
        <v>3039</v>
      </c>
      <c r="J3877" s="6">
        <f ca="1">IFERROR(__xludf.DUMMYFUNCTION("IFERROR(GOOGLEFINANCE(B3877, ""volume""), 0)"),30651)</f>
        <v>30651</v>
      </c>
      <c r="K3877" s="6">
        <v>-0.05</v>
      </c>
      <c r="L3877" s="6">
        <f ca="1">IFERROR(__xludf.DUMMYFUNCTION("IFERROR(GOOGLEFINANCE(B3877,""changepct""),K3877)"),0.28)</f>
        <v>0.28000000000000003</v>
      </c>
      <c r="M3877" s="6">
        <f ca="1">IFERROR(__xludf.DUMMYFUNCTION("IFERROR(GOOGLEFINANCE(B3877,""change""),0)"),8.6)</f>
        <v>8.6</v>
      </c>
      <c r="N3877" s="6">
        <v>1</v>
      </c>
      <c r="O3877" s="7">
        <v>45536</v>
      </c>
      <c r="P3877" s="12"/>
      <c r="Q3877" s="6">
        <v>22263.07</v>
      </c>
      <c r="R3877" s="7">
        <v>45536</v>
      </c>
      <c r="S3877" s="6">
        <v>3046.56</v>
      </c>
      <c r="T3877" s="6">
        <v>395.21</v>
      </c>
      <c r="U3877" s="7">
        <v>45536</v>
      </c>
      <c r="V3877" s="6">
        <v>57.34</v>
      </c>
      <c r="W3877" s="6">
        <f ca="1">IFERROR(__xludf.DUMMYFUNCTION("IFERROR(GOOGLEFINANCE(B3877,""pe""),V3877)"),50.26)</f>
        <v>50.26</v>
      </c>
      <c r="X3877" s="6">
        <v>2.68</v>
      </c>
      <c r="Y3877" s="6">
        <v>8.77</v>
      </c>
      <c r="Z3877" s="6">
        <v>1</v>
      </c>
      <c r="AA3877" s="8">
        <v>45352</v>
      </c>
      <c r="AB3877" s="4">
        <v>0</v>
      </c>
      <c r="AC3877" s="6">
        <v>17.61</v>
      </c>
      <c r="AD3877" s="6">
        <v>23.52</v>
      </c>
      <c r="AE3877" s="1">
        <v>0</v>
      </c>
      <c r="AF3877" s="1">
        <f ca="1">IFERROR(__xludf.DUMMYFUNCTION("IFERROR(GOOGLEFINANCE(TRIM(F3877)&amp;"":"" &amp; TRIM(B3877),""high52""),AE3877)"),3575)</f>
        <v>3575</v>
      </c>
      <c r="AG3877" s="1">
        <v>0</v>
      </c>
      <c r="AH3877" s="1">
        <f ca="1">IFERROR(__xludf.DUMMYFUNCTION("IFERROR(GOOGLEFINANCE(TRIM(F3877)&amp;"":"" &amp; TRIM(B3877),""low52""),AE3877)"),2202)</f>
        <v>2202</v>
      </c>
      <c r="AI3877" s="1">
        <f ca="1">IFERROR(__xludf.DUMMYFUNCTION("IFERROR(GOOGLEFINANCE(B3877,""eps""),0)"),60.47)</f>
        <v>60.47</v>
      </c>
      <c r="AJ3877" s="1"/>
      <c r="AK3877" s="1" t="s">
        <v>11813</v>
      </c>
      <c r="AL3877" s="1" t="b">
        <f>ISNUMBER(AA3877)</f>
        <v>1</v>
      </c>
    </row>
    <row r="3878" spans="1:38" ht="15" x14ac:dyDescent="0.25">
      <c r="A3878" s="1" t="s">
        <v>11814</v>
      </c>
      <c r="B3878" s="1" t="s">
        <v>11815</v>
      </c>
      <c r="C3878" s="1" t="s">
        <v>186</v>
      </c>
      <c r="D3878" s="1" t="s">
        <v>186</v>
      </c>
      <c r="E3878" s="6">
        <v>90.07</v>
      </c>
      <c r="F3878" s="1" t="s">
        <v>53</v>
      </c>
      <c r="G3878" s="6">
        <f ca="1">IFERROR(__xludf.DUMMYFUNCTION("iferror(GOOGLEFINANCE(TRIM(F3878)&amp;"":"" &amp; TRIM(B3878), ""price""),0
)"),0)</f>
        <v>0</v>
      </c>
      <c r="H3878" s="6">
        <v>243.5</v>
      </c>
      <c r="I3878" s="6">
        <f t="shared" ca="1" si="0"/>
        <v>243.5</v>
      </c>
      <c r="J3878" s="6">
        <f ca="1">IFERROR(__xludf.DUMMYFUNCTION("IFERROR(GOOGLEFINANCE(B3878, ""volume""), 0)"),0)</f>
        <v>0</v>
      </c>
      <c r="K3878" s="6">
        <v>-1.81</v>
      </c>
      <c r="L3878" s="6">
        <f ca="1">IFERROR(__xludf.DUMMYFUNCTION("IFERROR(GOOGLEFINANCE(B3878,""changepct""),K3878)"),-1.81)</f>
        <v>-1.81</v>
      </c>
      <c r="M3878" s="6">
        <f ca="1">IFERROR(__xludf.DUMMYFUNCTION("IFERROR(GOOGLEFINANCE(B3878,""change""),0)"),0)</f>
        <v>0</v>
      </c>
      <c r="N3878" s="6">
        <v>2</v>
      </c>
      <c r="O3878" s="7">
        <v>45536</v>
      </c>
      <c r="P3878" s="6">
        <v>11.17</v>
      </c>
      <c r="Q3878" s="6">
        <v>101.24</v>
      </c>
      <c r="R3878" s="7">
        <v>45536</v>
      </c>
      <c r="S3878" s="6">
        <v>21.1</v>
      </c>
      <c r="T3878" s="6">
        <v>-3.48</v>
      </c>
      <c r="U3878" s="7">
        <v>45536</v>
      </c>
      <c r="V3878" s="6">
        <v>0</v>
      </c>
      <c r="W3878" s="6">
        <f ca="1">IFERROR(__xludf.DUMMYFUNCTION("IFERROR(GOOGLEFINANCE(B3878,""pe""),V3878)"),0)</f>
        <v>0</v>
      </c>
      <c r="X3878" s="9"/>
      <c r="Y3878" s="6">
        <v>46.45</v>
      </c>
      <c r="Z3878" s="6">
        <v>2</v>
      </c>
      <c r="AA3878" s="8">
        <v>45352</v>
      </c>
      <c r="AB3878" s="4">
        <v>2.59</v>
      </c>
      <c r="AC3878" s="6">
        <v>-156.57</v>
      </c>
      <c r="AD3878" s="6">
        <v>-26.24</v>
      </c>
      <c r="AE3878" s="1">
        <v>0</v>
      </c>
      <c r="AF3878" s="1">
        <f ca="1">IFERROR(__xludf.DUMMYFUNCTION("IFERROR(GOOGLEFINANCE(TRIM(F3878)&amp;"":"" &amp; TRIM(B3878),""high52""),AE3878)"),0)</f>
        <v>0</v>
      </c>
      <c r="AG3878" s="1">
        <v>0</v>
      </c>
      <c r="AH3878" s="1">
        <f ca="1">IFERROR(__xludf.DUMMYFUNCTION("IFERROR(GOOGLEFINANCE(TRIM(F3878)&amp;"":"" &amp; TRIM(B3878),""low52""),AE3878)"),0)</f>
        <v>0</v>
      </c>
      <c r="AI3878" s="1">
        <f ca="1">IFERROR(__xludf.DUMMYFUNCTION("IFERROR(GOOGLEFINANCE(B3878,""eps""),0)"),0)</f>
        <v>0</v>
      </c>
      <c r="AJ3878" s="1"/>
      <c r="AK3878" s="9"/>
      <c r="AL3878" s="9">
        <f t="shared" ref="AL3878:AL3951" si="364">IF(AA3878&lt;&gt;AB3878,1,0)</f>
        <v>1</v>
      </c>
    </row>
    <row r="3879" spans="1:38" ht="15" x14ac:dyDescent="0.25">
      <c r="A3879" s="1" t="s">
        <v>11816</v>
      </c>
      <c r="B3879" s="1" t="s">
        <v>11817</v>
      </c>
      <c r="C3879" s="1" t="s">
        <v>1229</v>
      </c>
      <c r="D3879" s="1" t="s">
        <v>1229</v>
      </c>
      <c r="E3879" s="6">
        <v>259.94</v>
      </c>
      <c r="F3879" s="1" t="s">
        <v>40</v>
      </c>
      <c r="G3879" s="6">
        <f ca="1">IFERROR(__xludf.DUMMYFUNCTION("iferror(GOOGLEFINANCE(TRIM(F3879)&amp;"":"" &amp; TRIM(B3879), ""price""),0
)"),339)</f>
        <v>339</v>
      </c>
      <c r="H3879" s="6">
        <v>599</v>
      </c>
      <c r="I3879" s="6">
        <f t="shared" ca="1" si="0"/>
        <v>339</v>
      </c>
      <c r="J3879" s="6">
        <f ca="1">IFERROR(__xludf.DUMMYFUNCTION("IFERROR(GOOGLEFINANCE(B3879, ""volume""), 0)"),1954)</f>
        <v>1954</v>
      </c>
      <c r="K3879" s="6">
        <v>-1.42</v>
      </c>
      <c r="L3879" s="6">
        <f ca="1">IFERROR(__xludf.DUMMYFUNCTION("IFERROR(GOOGLEFINANCE(B3879,""changepct""),K3879)"),-1.91)</f>
        <v>-1.91</v>
      </c>
      <c r="M3879" s="6">
        <f ca="1">IFERROR(__xludf.DUMMYFUNCTION("IFERROR(GOOGLEFINANCE(B3879,""change""),0)"),-6.6)</f>
        <v>-6.6</v>
      </c>
      <c r="N3879" s="6">
        <v>1</v>
      </c>
      <c r="O3879" s="7">
        <v>45536</v>
      </c>
      <c r="P3879" s="6">
        <v>95.1</v>
      </c>
      <c r="Q3879" s="6">
        <v>350.66</v>
      </c>
      <c r="R3879" s="7">
        <v>45536</v>
      </c>
      <c r="S3879" s="6">
        <v>85.31</v>
      </c>
      <c r="T3879" s="6">
        <v>-6.23</v>
      </c>
      <c r="U3879" s="7">
        <v>45536</v>
      </c>
      <c r="V3879" s="6">
        <v>0</v>
      </c>
      <c r="W3879" s="6">
        <f ca="1">IFERROR(__xludf.DUMMYFUNCTION("IFERROR(GOOGLEFINANCE(B3879,""pe""),V3879)"),0)</f>
        <v>0</v>
      </c>
      <c r="X3879" s="12"/>
      <c r="Y3879" s="6">
        <v>3.23</v>
      </c>
      <c r="Z3879" s="6">
        <v>1</v>
      </c>
      <c r="AA3879" s="8">
        <v>45352</v>
      </c>
      <c r="AB3879" s="4">
        <v>0</v>
      </c>
      <c r="AC3879" s="6">
        <v>1.19</v>
      </c>
      <c r="AD3879" s="6">
        <v>0.96</v>
      </c>
      <c r="AE3879" s="1">
        <v>0</v>
      </c>
      <c r="AF3879" s="1">
        <f ca="1">IFERROR(__xludf.DUMMYFUNCTION("IFERROR(GOOGLEFINANCE(TRIM(F3879)&amp;"":"" &amp; TRIM(B3879),""high52""),AE3879)"),666)</f>
        <v>666</v>
      </c>
      <c r="AG3879" s="1">
        <v>0</v>
      </c>
      <c r="AH3879" s="1">
        <f ca="1">IFERROR(__xludf.DUMMYFUNCTION("IFERROR(GOOGLEFINANCE(TRIM(F3879)&amp;"":"" &amp; TRIM(B3879),""low52""),AE3879)"),333)</f>
        <v>333</v>
      </c>
      <c r="AI3879" s="1">
        <f ca="1">IFERROR(__xludf.DUMMYFUNCTION("IFERROR(GOOGLEFINANCE(B3879,""eps""),0)"),-104.29)</f>
        <v>-104.29</v>
      </c>
      <c r="AJ3879" s="1"/>
      <c r="AK3879" s="9"/>
      <c r="AL3879" s="9">
        <f t="shared" si="364"/>
        <v>1</v>
      </c>
    </row>
    <row r="3880" spans="1:38" ht="15" x14ac:dyDescent="0.25">
      <c r="A3880" s="1" t="s">
        <v>11818</v>
      </c>
      <c r="B3880" s="1" t="s">
        <v>11819</v>
      </c>
      <c r="C3880" s="1" t="s">
        <v>1229</v>
      </c>
      <c r="D3880" s="1" t="s">
        <v>1229</v>
      </c>
      <c r="E3880" s="6">
        <v>9042.17</v>
      </c>
      <c r="F3880" s="1" t="s">
        <v>40</v>
      </c>
      <c r="G3880" s="6">
        <f ca="1">IFERROR(__xludf.DUMMYFUNCTION("iferror(GOOGLEFINANCE(TRIM(F3880)&amp;"":"" &amp; TRIM(B3880), ""price""),0
)"),533)</f>
        <v>533</v>
      </c>
      <c r="H3880" s="6">
        <v>683.65</v>
      </c>
      <c r="I3880" s="6">
        <f t="shared" ca="1" si="0"/>
        <v>533</v>
      </c>
      <c r="J3880" s="6">
        <f ca="1">IFERROR(__xludf.DUMMYFUNCTION("IFERROR(GOOGLEFINANCE(B3880, ""volume""), 0)"),95314)</f>
        <v>95314</v>
      </c>
      <c r="K3880" s="6">
        <v>-3.32</v>
      </c>
      <c r="L3880" s="6">
        <f ca="1">IFERROR(__xludf.DUMMYFUNCTION("IFERROR(GOOGLEFINANCE(B3880,""changepct""),K3880)"),1.75)</f>
        <v>1.75</v>
      </c>
      <c r="M3880" s="6">
        <f ca="1">IFERROR(__xludf.DUMMYFUNCTION("IFERROR(GOOGLEFINANCE(B3880,""change""),0)"),9.15)</f>
        <v>9.15</v>
      </c>
      <c r="N3880" s="6">
        <v>1</v>
      </c>
      <c r="O3880" s="7">
        <v>45536</v>
      </c>
      <c r="P3880" s="9"/>
      <c r="Q3880" s="6">
        <v>9023.4</v>
      </c>
      <c r="R3880" s="7">
        <v>45536</v>
      </c>
      <c r="S3880" s="6">
        <v>282.61</v>
      </c>
      <c r="T3880" s="6">
        <v>152.13999999999999</v>
      </c>
      <c r="U3880" s="7">
        <v>45536</v>
      </c>
      <c r="V3880" s="6">
        <v>59.43</v>
      </c>
      <c r="W3880" s="6">
        <f ca="1">IFERROR(__xludf.DUMMYFUNCTION("IFERROR(GOOGLEFINANCE(B3880,""pe""),V3880)"),36.18)</f>
        <v>36.18</v>
      </c>
      <c r="X3880" s="6">
        <v>0.52</v>
      </c>
      <c r="Y3880" s="6">
        <v>45.4</v>
      </c>
      <c r="Z3880" s="6">
        <v>1</v>
      </c>
      <c r="AA3880" s="8">
        <v>45352</v>
      </c>
      <c r="AB3880" s="4">
        <v>0</v>
      </c>
      <c r="AC3880" s="6">
        <v>80.569999999999993</v>
      </c>
      <c r="AD3880" s="6">
        <v>108.26</v>
      </c>
      <c r="AE3880" s="1">
        <v>0</v>
      </c>
      <c r="AF3880" s="1">
        <f ca="1">IFERROR(__xludf.DUMMYFUNCTION("IFERROR(GOOGLEFINANCE(TRIM(F3880)&amp;"":"" &amp; TRIM(B3880),""high52""),AE3880)"),735)</f>
        <v>735</v>
      </c>
      <c r="AG3880" s="1">
        <v>0</v>
      </c>
      <c r="AH3880" s="1">
        <f ca="1">IFERROR(__xludf.DUMMYFUNCTION("IFERROR(GOOGLEFINANCE(TRIM(F3880)&amp;"":"" &amp; TRIM(B3880),""low52""),AE3880)"),483)</f>
        <v>483</v>
      </c>
      <c r="AI3880" s="1">
        <f ca="1">IFERROR(__xludf.DUMMYFUNCTION("IFERROR(GOOGLEFINANCE(B3880,""eps""),0)"),14.73)</f>
        <v>14.73</v>
      </c>
      <c r="AJ3880" s="1"/>
      <c r="AK3880" s="1" t="s">
        <v>11820</v>
      </c>
      <c r="AL3880" s="9">
        <f t="shared" si="364"/>
        <v>1</v>
      </c>
    </row>
    <row r="3881" spans="1:38" ht="15" x14ac:dyDescent="0.25">
      <c r="A3881" s="1" t="s">
        <v>11821</v>
      </c>
      <c r="B3881" s="1" t="s">
        <v>11822</v>
      </c>
      <c r="C3881" s="1" t="s">
        <v>186</v>
      </c>
      <c r="D3881" s="1" t="s">
        <v>186</v>
      </c>
      <c r="E3881" s="6">
        <v>70.959999999999994</v>
      </c>
      <c r="F3881" s="1" t="s">
        <v>53</v>
      </c>
      <c r="G3881" s="6">
        <f ca="1">IFERROR(__xludf.DUMMYFUNCTION("iferror(GOOGLEFINANCE(TRIM(F3881)&amp;"":"" &amp; TRIM(B3881), ""price""),0
)"),0)</f>
        <v>0</v>
      </c>
      <c r="H3881" s="6">
        <v>48.48</v>
      </c>
      <c r="I3881" s="6">
        <f t="shared" ca="1" si="0"/>
        <v>48.48</v>
      </c>
      <c r="J3881" s="6">
        <f ca="1">IFERROR(__xludf.DUMMYFUNCTION("IFERROR(GOOGLEFINANCE(B3881, ""volume""), 0)"),0)</f>
        <v>0</v>
      </c>
      <c r="K3881" s="6">
        <v>0.77</v>
      </c>
      <c r="L3881" s="6">
        <f ca="1">IFERROR(__xludf.DUMMYFUNCTION("IFERROR(GOOGLEFINANCE(B3881,""changepct""),K3881)"),0.77)</f>
        <v>0.77</v>
      </c>
      <c r="M3881" s="6">
        <f ca="1">IFERROR(__xludf.DUMMYFUNCTION("IFERROR(GOOGLEFINANCE(B3881,""change""),0)"),0)</f>
        <v>0</v>
      </c>
      <c r="N3881" s="6">
        <v>1</v>
      </c>
      <c r="O3881" s="7">
        <v>45536</v>
      </c>
      <c r="P3881" s="6">
        <v>29.62</v>
      </c>
      <c r="Q3881" s="6">
        <v>100.41</v>
      </c>
      <c r="R3881" s="7">
        <v>45536</v>
      </c>
      <c r="S3881" s="6">
        <v>220.72</v>
      </c>
      <c r="T3881" s="6">
        <v>4.24</v>
      </c>
      <c r="U3881" s="7">
        <v>45536</v>
      </c>
      <c r="V3881" s="6">
        <v>16.739999999999998</v>
      </c>
      <c r="W3881" s="6">
        <f ca="1">IFERROR(__xludf.DUMMYFUNCTION("IFERROR(GOOGLEFINANCE(B3881,""pe""),V3881)"),16.74)</f>
        <v>16.739999999999998</v>
      </c>
      <c r="X3881" s="6">
        <v>2.31</v>
      </c>
      <c r="Y3881" s="6">
        <v>0.84</v>
      </c>
      <c r="Z3881" s="6">
        <v>1</v>
      </c>
      <c r="AA3881" s="8">
        <v>45352</v>
      </c>
      <c r="AB3881" s="4">
        <v>0.53</v>
      </c>
      <c r="AC3881" s="6">
        <v>5.28</v>
      </c>
      <c r="AD3881" s="6">
        <v>7.35</v>
      </c>
      <c r="AE3881" s="1">
        <v>0</v>
      </c>
      <c r="AF3881" s="1">
        <f ca="1">IFERROR(__xludf.DUMMYFUNCTION("IFERROR(GOOGLEFINANCE(TRIM(F3881)&amp;"":"" &amp; TRIM(B3881),""high52""),AE3881)"),0)</f>
        <v>0</v>
      </c>
      <c r="AG3881" s="1">
        <v>0</v>
      </c>
      <c r="AH3881" s="1">
        <f ca="1">IFERROR(__xludf.DUMMYFUNCTION("IFERROR(GOOGLEFINANCE(TRIM(F3881)&amp;"":"" &amp; TRIM(B3881),""low52""),AE3881)"),0)</f>
        <v>0</v>
      </c>
      <c r="AI3881" s="1">
        <f ca="1">IFERROR(__xludf.DUMMYFUNCTION("IFERROR(GOOGLEFINANCE(B3881,""eps""),0)"),0)</f>
        <v>0</v>
      </c>
      <c r="AJ3881" s="1"/>
      <c r="AK3881" s="1" t="s">
        <v>11823</v>
      </c>
      <c r="AL3881" s="9">
        <f t="shared" si="364"/>
        <v>1</v>
      </c>
    </row>
    <row r="3882" spans="1:38" ht="15" x14ac:dyDescent="0.25">
      <c r="A3882" s="1" t="s">
        <v>11824</v>
      </c>
      <c r="B3882" s="1" t="s">
        <v>11825</v>
      </c>
      <c r="C3882" s="1" t="s">
        <v>186</v>
      </c>
      <c r="D3882" s="1" t="s">
        <v>186</v>
      </c>
      <c r="E3882" s="6">
        <v>55.91</v>
      </c>
      <c r="F3882" s="1" t="s">
        <v>53</v>
      </c>
      <c r="G3882" s="6">
        <f ca="1">IFERROR(__xludf.DUMMYFUNCTION("iferror(GOOGLEFINANCE(TRIM(F3882)&amp;"":"" &amp; TRIM(B3882), ""price""),0
)"),0)</f>
        <v>0</v>
      </c>
      <c r="H3882" s="6">
        <v>155.25</v>
      </c>
      <c r="I3882" s="6">
        <f t="shared" ca="1" si="0"/>
        <v>155.25</v>
      </c>
      <c r="J3882" s="6">
        <f ca="1">IFERROR(__xludf.DUMMYFUNCTION("IFERROR(GOOGLEFINANCE(B3882, ""volume""), 0)"),0)</f>
        <v>0</v>
      </c>
      <c r="K3882" s="12"/>
      <c r="L3882" s="6" t="str">
        <f ca="1">IFERROR(__xludf.DUMMYFUNCTION("IFERROR(GOOGLEFINANCE(B3882,""changepct""),K3882)"),"")</f>
        <v/>
      </c>
      <c r="M3882" s="6">
        <f ca="1">IFERROR(__xludf.DUMMYFUNCTION("IFERROR(GOOGLEFINANCE(B3882,""change""),0)"),0)</f>
        <v>0</v>
      </c>
      <c r="N3882" s="6">
        <v>1</v>
      </c>
      <c r="O3882" s="7">
        <v>45536</v>
      </c>
      <c r="P3882" s="6">
        <v>12.42</v>
      </c>
      <c r="Q3882" s="6">
        <v>67.97</v>
      </c>
      <c r="R3882" s="7">
        <v>45536</v>
      </c>
      <c r="S3882" s="6">
        <v>51.83</v>
      </c>
      <c r="T3882" s="6">
        <v>2.9</v>
      </c>
      <c r="U3882" s="7">
        <v>45536</v>
      </c>
      <c r="V3882" s="6">
        <v>19.3</v>
      </c>
      <c r="W3882" s="6">
        <f ca="1">IFERROR(__xludf.DUMMYFUNCTION("IFERROR(GOOGLEFINANCE(B3882,""pe""),V3882)"),19.3)</f>
        <v>19.3</v>
      </c>
      <c r="X3882" s="6">
        <v>113.56</v>
      </c>
      <c r="Y3882" s="6">
        <v>2.29</v>
      </c>
      <c r="Z3882" s="6">
        <v>1</v>
      </c>
      <c r="AA3882" s="8">
        <v>45352</v>
      </c>
      <c r="AB3882" s="4">
        <v>0.33</v>
      </c>
      <c r="AC3882" s="6">
        <v>8.3800000000000008</v>
      </c>
      <c r="AD3882" s="6">
        <v>11.29</v>
      </c>
      <c r="AE3882" s="1">
        <v>0</v>
      </c>
      <c r="AF3882" s="1">
        <f ca="1">IFERROR(__xludf.DUMMYFUNCTION("IFERROR(GOOGLEFINANCE(TRIM(F3882)&amp;"":"" &amp; TRIM(B3882),""high52""),AE3882)"),0)</f>
        <v>0</v>
      </c>
      <c r="AG3882" s="1">
        <v>0</v>
      </c>
      <c r="AH3882" s="1">
        <f ca="1">IFERROR(__xludf.DUMMYFUNCTION("IFERROR(GOOGLEFINANCE(TRIM(F3882)&amp;"":"" &amp; TRIM(B3882),""low52""),AE3882)"),0)</f>
        <v>0</v>
      </c>
      <c r="AI3882" s="1">
        <f ca="1">IFERROR(__xludf.DUMMYFUNCTION("IFERROR(GOOGLEFINANCE(B3882,""eps""),0)"),0)</f>
        <v>0</v>
      </c>
      <c r="AJ3882" s="1"/>
      <c r="AK3882" s="1" t="s">
        <v>11826</v>
      </c>
      <c r="AL3882" s="9">
        <f t="shared" si="364"/>
        <v>1</v>
      </c>
    </row>
    <row r="3883" spans="1:38" ht="15" x14ac:dyDescent="0.25">
      <c r="A3883" s="1" t="s">
        <v>11827</v>
      </c>
      <c r="B3883" s="1" t="s">
        <v>11828</v>
      </c>
      <c r="C3883" s="1" t="s">
        <v>1528</v>
      </c>
      <c r="D3883" s="1" t="s">
        <v>1528</v>
      </c>
      <c r="E3883" s="6">
        <v>654.95000000000005</v>
      </c>
      <c r="F3883" s="1" t="s">
        <v>40</v>
      </c>
      <c r="G3883" s="6">
        <f ca="1">IFERROR(__xludf.DUMMYFUNCTION("iferror(GOOGLEFINANCE(TRIM(F3883)&amp;"":"" &amp; TRIM(B3883), ""price""),0
)"),33.85)</f>
        <v>33.85</v>
      </c>
      <c r="H3883" s="6">
        <v>64.430000000000007</v>
      </c>
      <c r="I3883" s="6">
        <f t="shared" ca="1" si="0"/>
        <v>33.85</v>
      </c>
      <c r="J3883" s="6">
        <f ca="1">IFERROR(__xludf.DUMMYFUNCTION("IFERROR(GOOGLEFINANCE(B3883, ""volume""), 0)"),313597)</f>
        <v>313597</v>
      </c>
      <c r="K3883" s="6">
        <v>1.99</v>
      </c>
      <c r="L3883" s="6">
        <f ca="1">IFERROR(__xludf.DUMMYFUNCTION("IFERROR(GOOGLEFINANCE(B3883,""changepct""),K3883)"),3.9)</f>
        <v>3.9</v>
      </c>
      <c r="M3883" s="6">
        <f ca="1">IFERROR(__xludf.DUMMYFUNCTION("IFERROR(GOOGLEFINANCE(B3883,""change""),0)"),1.27)</f>
        <v>1.27</v>
      </c>
      <c r="N3883" s="6">
        <v>1</v>
      </c>
      <c r="O3883" s="7">
        <v>45536</v>
      </c>
      <c r="P3883" s="6">
        <v>11.38</v>
      </c>
      <c r="Q3883" s="6">
        <v>666.32</v>
      </c>
      <c r="R3883" s="7">
        <v>45536</v>
      </c>
      <c r="S3883" s="6">
        <v>126.81</v>
      </c>
      <c r="T3883" s="6">
        <v>9.2200000000000006</v>
      </c>
      <c r="U3883" s="7">
        <v>45536</v>
      </c>
      <c r="V3883" s="6">
        <v>71</v>
      </c>
      <c r="W3883" s="6">
        <f ca="1">IFERROR(__xludf.DUMMYFUNCTION("IFERROR(GOOGLEFINANCE(B3883,""pe""),V3883)"),72.07)</f>
        <v>72.069999999999993</v>
      </c>
      <c r="X3883" s="6">
        <v>7.36</v>
      </c>
      <c r="Y3883" s="6">
        <v>11.87</v>
      </c>
      <c r="Z3883" s="6">
        <v>1</v>
      </c>
      <c r="AA3883" s="8">
        <v>45352</v>
      </c>
      <c r="AB3883" s="4">
        <v>0.22</v>
      </c>
      <c r="AC3883" s="6">
        <v>15.42</v>
      </c>
      <c r="AD3883" s="6">
        <v>19.260000000000002</v>
      </c>
      <c r="AE3883" s="1">
        <v>0</v>
      </c>
      <c r="AF3883" s="1">
        <f ca="1">IFERROR(__xludf.DUMMYFUNCTION("IFERROR(GOOGLEFINANCE(TRIM(F3883)&amp;"":"" &amp; TRIM(B3883),""high52""),AE3883)"),49.5)</f>
        <v>49.5</v>
      </c>
      <c r="AG3883" s="1">
        <v>0</v>
      </c>
      <c r="AH3883" s="1">
        <f ca="1">IFERROR(__xludf.DUMMYFUNCTION("IFERROR(GOOGLEFINANCE(TRIM(F3883)&amp;"":"" &amp; TRIM(B3883),""low52""),AE3883)"),28.21)</f>
        <v>28.21</v>
      </c>
      <c r="AI3883" s="1">
        <f ca="1">IFERROR(__xludf.DUMMYFUNCTION("IFERROR(GOOGLEFINANCE(B3883,""eps""),0)"),0.47)</f>
        <v>0.47</v>
      </c>
      <c r="AJ3883" s="1"/>
      <c r="AK3883" s="1" t="s">
        <v>11829</v>
      </c>
      <c r="AL3883" s="9">
        <f t="shared" si="364"/>
        <v>1</v>
      </c>
    </row>
    <row r="3884" spans="1:38" ht="15" x14ac:dyDescent="0.25">
      <c r="A3884" s="1" t="s">
        <v>11830</v>
      </c>
      <c r="B3884" s="1" t="s">
        <v>11831</v>
      </c>
      <c r="C3884" s="1" t="s">
        <v>186</v>
      </c>
      <c r="D3884" s="1" t="s">
        <v>186</v>
      </c>
      <c r="E3884" s="6">
        <v>115.4</v>
      </c>
      <c r="F3884" s="1" t="s">
        <v>53</v>
      </c>
      <c r="G3884" s="6">
        <f ca="1">IFERROR(__xludf.DUMMYFUNCTION("iferror(GOOGLEFINANCE(TRIM(F3884)&amp;"":"" &amp; TRIM(B3884), ""price""),0
)"),0)</f>
        <v>0</v>
      </c>
      <c r="H3884" s="6">
        <v>74.8</v>
      </c>
      <c r="I3884" s="6">
        <f t="shared" ca="1" si="0"/>
        <v>74.8</v>
      </c>
      <c r="J3884" s="6">
        <f ca="1">IFERROR(__xludf.DUMMYFUNCTION("IFERROR(GOOGLEFINANCE(B3884, ""volume""), 0)"),0)</f>
        <v>0</v>
      </c>
      <c r="K3884" s="6">
        <v>3.27</v>
      </c>
      <c r="L3884" s="6">
        <f ca="1">IFERROR(__xludf.DUMMYFUNCTION("IFERROR(GOOGLEFINANCE(B3884,""changepct""),K3884)"),3.27)</f>
        <v>3.27</v>
      </c>
      <c r="M3884" s="6">
        <f ca="1">IFERROR(__xludf.DUMMYFUNCTION("IFERROR(GOOGLEFINANCE(B3884,""change""),0)"),0)</f>
        <v>0</v>
      </c>
      <c r="N3884" s="6">
        <v>1</v>
      </c>
      <c r="O3884" s="7">
        <v>45536</v>
      </c>
      <c r="P3884" s="6">
        <v>66.349999999999994</v>
      </c>
      <c r="Q3884" s="6">
        <v>180.06</v>
      </c>
      <c r="R3884" s="7">
        <v>45536</v>
      </c>
      <c r="S3884" s="6">
        <v>160.55000000000001</v>
      </c>
      <c r="T3884" s="6">
        <v>14.96</v>
      </c>
      <c r="U3884" s="7">
        <v>45536</v>
      </c>
      <c r="V3884" s="6">
        <v>7.72</v>
      </c>
      <c r="W3884" s="6">
        <f ca="1">IFERROR(__xludf.DUMMYFUNCTION("IFERROR(GOOGLEFINANCE(B3884,""pe""),V3884)"),7.72)</f>
        <v>7.72</v>
      </c>
      <c r="X3884" s="6">
        <v>0.63</v>
      </c>
      <c r="Y3884" s="6">
        <v>1.42</v>
      </c>
      <c r="Z3884" s="6">
        <v>1</v>
      </c>
      <c r="AA3884" s="8">
        <v>45352</v>
      </c>
      <c r="AB3884" s="4">
        <v>1.18</v>
      </c>
      <c r="AC3884" s="6">
        <v>12.32</v>
      </c>
      <c r="AD3884" s="6">
        <v>11.24</v>
      </c>
      <c r="AE3884" s="1">
        <v>0</v>
      </c>
      <c r="AF3884" s="1">
        <f ca="1">IFERROR(__xludf.DUMMYFUNCTION("IFERROR(GOOGLEFINANCE(TRIM(F3884)&amp;"":"" &amp; TRIM(B3884),""high52""),AE3884)"),0)</f>
        <v>0</v>
      </c>
      <c r="AG3884" s="1">
        <v>0</v>
      </c>
      <c r="AH3884" s="1">
        <f ca="1">IFERROR(__xludf.DUMMYFUNCTION("IFERROR(GOOGLEFINANCE(TRIM(F3884)&amp;"":"" &amp; TRIM(B3884),""low52""),AE3884)"),0)</f>
        <v>0</v>
      </c>
      <c r="AI3884" s="1">
        <f ca="1">IFERROR(__xludf.DUMMYFUNCTION("IFERROR(GOOGLEFINANCE(B3884,""eps""),0)"),0)</f>
        <v>0</v>
      </c>
      <c r="AJ3884" s="1"/>
      <c r="AK3884" s="1" t="s">
        <v>11832</v>
      </c>
      <c r="AL3884" s="9">
        <f t="shared" si="364"/>
        <v>1</v>
      </c>
    </row>
    <row r="3885" spans="1:38" ht="15" x14ac:dyDescent="0.25">
      <c r="A3885" s="1" t="s">
        <v>11833</v>
      </c>
      <c r="B3885" s="1" t="s">
        <v>11834</v>
      </c>
      <c r="C3885" s="1" t="s">
        <v>5852</v>
      </c>
      <c r="D3885" s="1" t="s">
        <v>5852</v>
      </c>
      <c r="E3885" s="6">
        <v>14999.29</v>
      </c>
      <c r="F3885" s="1" t="s">
        <v>40</v>
      </c>
      <c r="G3885" s="6">
        <f ca="1">IFERROR(__xludf.DUMMYFUNCTION("iferror(GOOGLEFINANCE(TRIM(F3885)&amp;"":"" &amp; TRIM(B3885), ""price""),0
)"),796)</f>
        <v>796</v>
      </c>
      <c r="H3885" s="6">
        <v>1133.6500000000001</v>
      </c>
      <c r="I3885" s="6">
        <f t="shared" ca="1" si="0"/>
        <v>796</v>
      </c>
      <c r="J3885" s="6">
        <f ca="1">IFERROR(__xludf.DUMMYFUNCTION("IFERROR(GOOGLEFINANCE(B3885, ""volume""), 0)"),601766)</f>
        <v>601766</v>
      </c>
      <c r="K3885" s="6">
        <v>1.91</v>
      </c>
      <c r="L3885" s="6">
        <f ca="1">IFERROR(__xludf.DUMMYFUNCTION("IFERROR(GOOGLEFINANCE(B3885,""changepct""),K3885)"),1.35)</f>
        <v>1.35</v>
      </c>
      <c r="M3885" s="6">
        <f ca="1">IFERROR(__xludf.DUMMYFUNCTION("IFERROR(GOOGLEFINANCE(B3885,""change""),0)"),10.6)</f>
        <v>10.6</v>
      </c>
      <c r="N3885" s="6">
        <v>2</v>
      </c>
      <c r="O3885" s="7">
        <v>45536</v>
      </c>
      <c r="P3885" s="6">
        <v>396.54</v>
      </c>
      <c r="Q3885" s="6">
        <v>14824.91</v>
      </c>
      <c r="R3885" s="7">
        <v>45536</v>
      </c>
      <c r="S3885" s="6">
        <v>3967.09</v>
      </c>
      <c r="T3885" s="6">
        <v>314.8</v>
      </c>
      <c r="U3885" s="7">
        <v>45536</v>
      </c>
      <c r="V3885" s="6">
        <v>49.75</v>
      </c>
      <c r="W3885" s="6">
        <f ca="1">IFERROR(__xludf.DUMMYFUNCTION("IFERROR(GOOGLEFINANCE(B3885,""pe""),V3885)"),49.75)</f>
        <v>49.75</v>
      </c>
      <c r="X3885" s="6">
        <v>0.44</v>
      </c>
      <c r="Y3885" s="6">
        <v>6.37</v>
      </c>
      <c r="Z3885" s="6">
        <v>2</v>
      </c>
      <c r="AA3885" s="8">
        <v>45352</v>
      </c>
      <c r="AB3885" s="4">
        <v>0.03</v>
      </c>
      <c r="AC3885" s="6">
        <v>18.13</v>
      </c>
      <c r="AD3885" s="6">
        <v>26.42</v>
      </c>
      <c r="AE3885" s="1">
        <v>0</v>
      </c>
      <c r="AF3885" s="1">
        <f ca="1">IFERROR(__xludf.DUMMYFUNCTION("IFERROR(GOOGLEFINANCE(TRIM(F3885)&amp;"":"" &amp; TRIM(B3885),""high52""),AE3885)"),974.35)</f>
        <v>974.35</v>
      </c>
      <c r="AG3885" s="1">
        <v>0</v>
      </c>
      <c r="AH3885" s="1">
        <f ca="1">IFERROR(__xludf.DUMMYFUNCTION("IFERROR(GOOGLEFINANCE(TRIM(F3885)&amp;"":"" &amp; TRIM(B3885),""low52""),AE3885)"),654.55)</f>
        <v>654.54999999999995</v>
      </c>
      <c r="AI3885" s="1">
        <f ca="1">IFERROR(__xludf.DUMMYFUNCTION("IFERROR(GOOGLEFINANCE(B3885,""eps""),0)"),0)</f>
        <v>0</v>
      </c>
      <c r="AJ3885" s="1"/>
      <c r="AK3885" s="1" t="s">
        <v>11835</v>
      </c>
      <c r="AL3885" s="9">
        <f t="shared" si="364"/>
        <v>1</v>
      </c>
    </row>
    <row r="3886" spans="1:38" ht="15" x14ac:dyDescent="0.25">
      <c r="A3886" s="1" t="s">
        <v>11836</v>
      </c>
      <c r="B3886" s="1" t="s">
        <v>11837</v>
      </c>
      <c r="C3886" s="1" t="s">
        <v>2432</v>
      </c>
      <c r="D3886" s="1" t="s">
        <v>2432</v>
      </c>
      <c r="E3886" s="6">
        <v>301083.8</v>
      </c>
      <c r="F3886" s="1" t="s">
        <v>40</v>
      </c>
      <c r="G3886" s="6">
        <f ca="1">IFERROR(__xludf.DUMMYFUNCTION("iferror(GOOGLEFINANCE(TRIM(F3886)&amp;"":"" &amp; TRIM(B3886), ""price""),0
)"),3961.8)</f>
        <v>3961.8</v>
      </c>
      <c r="H3886" s="6">
        <v>3433.3</v>
      </c>
      <c r="I3886" s="6">
        <f t="shared" ca="1" si="0"/>
        <v>3961.8</v>
      </c>
      <c r="J3886" s="6">
        <f ca="1">IFERROR(__xludf.DUMMYFUNCTION("IFERROR(GOOGLEFINANCE(B3886, ""volume""), 0)"),4002)</f>
        <v>4002</v>
      </c>
      <c r="K3886" s="6">
        <v>1.31</v>
      </c>
      <c r="L3886" s="6">
        <f ca="1">IFERROR(__xludf.DUMMYFUNCTION("IFERROR(GOOGLEFINANCE(B3886,""changepct""),K3886)"),0.28)</f>
        <v>0.28000000000000003</v>
      </c>
      <c r="M3886" s="6">
        <f ca="1">IFERROR(__xludf.DUMMYFUNCTION("IFERROR(GOOGLEFINANCE(B3886,""change""),0)"),0.02)</f>
        <v>0.02</v>
      </c>
      <c r="N3886" s="6">
        <v>2</v>
      </c>
      <c r="O3886" s="7">
        <v>45536</v>
      </c>
      <c r="P3886" s="6">
        <v>8410</v>
      </c>
      <c r="Q3886" s="6">
        <v>307735.8</v>
      </c>
      <c r="R3886" s="7">
        <v>45536</v>
      </c>
      <c r="S3886" s="6">
        <v>54458</v>
      </c>
      <c r="T3886" s="6">
        <v>3242</v>
      </c>
      <c r="U3886" s="7">
        <v>45536</v>
      </c>
      <c r="V3886" s="6">
        <v>92.84</v>
      </c>
      <c r="W3886" s="6">
        <f ca="1">IFERROR(__xludf.DUMMYFUNCTION("IFERROR(GOOGLEFINANCE(B3886,""pe""),V3886)"),13.31)</f>
        <v>13.31</v>
      </c>
      <c r="X3886" s="6">
        <v>4.6399999999999997</v>
      </c>
      <c r="Y3886" s="6">
        <v>30.93</v>
      </c>
      <c r="Z3886" s="6">
        <v>2</v>
      </c>
      <c r="AA3886" s="8">
        <v>45352</v>
      </c>
      <c r="AB3886" s="4">
        <v>1.41</v>
      </c>
      <c r="AC3886" s="6">
        <v>33</v>
      </c>
      <c r="AD3886" s="6">
        <v>25.01</v>
      </c>
      <c r="AE3886" s="1">
        <v>0</v>
      </c>
      <c r="AF3886" s="1">
        <f ca="1">IFERROR(__xludf.DUMMYFUNCTION("IFERROR(GOOGLEFINANCE(TRIM(F3886)&amp;"":"" &amp; TRIM(B3886),""high52""),AE3886)"),4312.1)</f>
        <v>4312.1000000000004</v>
      </c>
      <c r="AG3886" s="1">
        <v>0</v>
      </c>
      <c r="AH3886" s="1">
        <f ca="1">IFERROR(__xludf.DUMMYFUNCTION("IFERROR(GOOGLEFINANCE(TRIM(F3886)&amp;"":"" &amp; TRIM(B3886),""low52""),AE3886)"),2925)</f>
        <v>2925</v>
      </c>
      <c r="AI3886" s="1">
        <f ca="1">IFERROR(__xludf.DUMMYFUNCTION("IFERROR(GOOGLEFINANCE(B3886,""eps""),0)"),0.55)</f>
        <v>0.55000000000000004</v>
      </c>
      <c r="AJ3886" s="1"/>
      <c r="AK3886" s="1" t="s">
        <v>11838</v>
      </c>
      <c r="AL3886" s="9">
        <f t="shared" si="364"/>
        <v>1</v>
      </c>
    </row>
    <row r="3887" spans="1:38" ht="15" x14ac:dyDescent="0.25">
      <c r="A3887" s="1" t="s">
        <v>11839</v>
      </c>
      <c r="B3887" s="1" t="s">
        <v>11840</v>
      </c>
      <c r="C3887" s="1" t="s">
        <v>82</v>
      </c>
      <c r="D3887" s="1" t="s">
        <v>82</v>
      </c>
      <c r="E3887" s="6">
        <v>121.38</v>
      </c>
      <c r="F3887" s="1" t="s">
        <v>40</v>
      </c>
      <c r="G3887" s="6">
        <f ca="1">IFERROR(__xludf.DUMMYFUNCTION("iferror(GOOGLEFINANCE(TRIM(F3887)&amp;"":"" &amp; TRIM(B3887), ""price""),0
)"),100)</f>
        <v>100</v>
      </c>
      <c r="H3887" s="6">
        <v>129.19999999999999</v>
      </c>
      <c r="I3887" s="6">
        <f t="shared" ca="1" si="0"/>
        <v>100</v>
      </c>
      <c r="J3887" s="6">
        <f ca="1">IFERROR(__xludf.DUMMYFUNCTION("IFERROR(GOOGLEFINANCE(B3887, ""volume""), 0)"),3308)</f>
        <v>3308</v>
      </c>
      <c r="K3887" s="6">
        <v>2.2999999999999998</v>
      </c>
      <c r="L3887" s="6">
        <f ca="1">IFERROR(__xludf.DUMMYFUNCTION("IFERROR(GOOGLEFINANCE(B3887,""changepct""),K3887)"),-0.7)</f>
        <v>-0.7</v>
      </c>
      <c r="M3887" s="6">
        <f ca="1">IFERROR(__xludf.DUMMYFUNCTION("IFERROR(GOOGLEFINANCE(B3887,""change""),0)"),-0.71)</f>
        <v>-0.71</v>
      </c>
      <c r="N3887" s="6">
        <v>1</v>
      </c>
      <c r="O3887" s="7">
        <v>45536</v>
      </c>
      <c r="P3887" s="6">
        <v>17.649999999999999</v>
      </c>
      <c r="Q3887" s="6">
        <v>139.03</v>
      </c>
      <c r="R3887" s="7">
        <v>45536</v>
      </c>
      <c r="S3887" s="6">
        <v>69.099999999999994</v>
      </c>
      <c r="T3887" s="6">
        <v>0.88</v>
      </c>
      <c r="U3887" s="7">
        <v>45536</v>
      </c>
      <c r="V3887" s="6">
        <v>137.78</v>
      </c>
      <c r="W3887" s="6">
        <f ca="1">IFERROR(__xludf.DUMMYFUNCTION("IFERROR(GOOGLEFINANCE(B3887,""pe""),V3887)"),89.72)</f>
        <v>89.72</v>
      </c>
      <c r="X3887" s="6">
        <v>7.75</v>
      </c>
      <c r="Y3887" s="6">
        <v>1.99</v>
      </c>
      <c r="Z3887" s="6">
        <v>1</v>
      </c>
      <c r="AA3887" s="8">
        <v>45352</v>
      </c>
      <c r="AB3887" s="4">
        <v>0.28000000000000003</v>
      </c>
      <c r="AC3887" s="6">
        <v>1.68</v>
      </c>
      <c r="AD3887" s="6">
        <v>3.45</v>
      </c>
      <c r="AE3887" s="1">
        <v>0</v>
      </c>
      <c r="AF3887" s="1">
        <f ca="1">IFERROR(__xludf.DUMMYFUNCTION("IFERROR(GOOGLEFINANCE(TRIM(F3887)&amp;"":"" &amp; TRIM(B3887),""high52""),AE3887)"),161)</f>
        <v>161</v>
      </c>
      <c r="AG3887" s="1">
        <v>0</v>
      </c>
      <c r="AH3887" s="1">
        <f ca="1">IFERROR(__xludf.DUMMYFUNCTION("IFERROR(GOOGLEFINANCE(TRIM(F3887)&amp;"":"" &amp; TRIM(B3887),""low52""),AE3887)"),97.03)</f>
        <v>97.03</v>
      </c>
      <c r="AI3887" s="1">
        <f ca="1">IFERROR(__xludf.DUMMYFUNCTION("IFERROR(GOOGLEFINANCE(B3887,""eps""),0)"),1.11)</f>
        <v>1.1100000000000001</v>
      </c>
      <c r="AJ3887" s="1"/>
      <c r="AK3887" s="1" t="s">
        <v>11841</v>
      </c>
      <c r="AL3887" s="9">
        <f t="shared" si="364"/>
        <v>1</v>
      </c>
    </row>
    <row r="3888" spans="1:38" ht="15" x14ac:dyDescent="0.25">
      <c r="A3888" s="1" t="s">
        <v>11842</v>
      </c>
      <c r="B3888" s="1" t="s">
        <v>11843</v>
      </c>
      <c r="C3888" s="1" t="s">
        <v>186</v>
      </c>
      <c r="D3888" s="1" t="s">
        <v>186</v>
      </c>
      <c r="E3888" s="6">
        <v>397.63</v>
      </c>
      <c r="F3888" s="1" t="s">
        <v>53</v>
      </c>
      <c r="G3888" s="6">
        <f ca="1">IFERROR(__xludf.DUMMYFUNCTION("iferror(GOOGLEFINANCE(TRIM(F3888)&amp;"":"" &amp; TRIM(B3888), ""price""),0
)"),0)</f>
        <v>0</v>
      </c>
      <c r="H3888" s="6">
        <v>173.6</v>
      </c>
      <c r="I3888" s="6">
        <f t="shared" ca="1" si="0"/>
        <v>173.6</v>
      </c>
      <c r="J3888" s="6">
        <f ca="1">IFERROR(__xludf.DUMMYFUNCTION("IFERROR(GOOGLEFINANCE(B3888, ""volume""), 0)"),0)</f>
        <v>0</v>
      </c>
      <c r="K3888" s="6">
        <v>0.03</v>
      </c>
      <c r="L3888" s="6">
        <f ca="1">IFERROR(__xludf.DUMMYFUNCTION("IFERROR(GOOGLEFINANCE(B3888,""changepct""),K3888)"),0.03)</f>
        <v>0.03</v>
      </c>
      <c r="M3888" s="6">
        <f ca="1">IFERROR(__xludf.DUMMYFUNCTION("IFERROR(GOOGLEFINANCE(B3888,""change""),0)"),0)</f>
        <v>0</v>
      </c>
      <c r="N3888" s="6">
        <v>1</v>
      </c>
      <c r="O3888" s="7">
        <v>45536</v>
      </c>
      <c r="P3888" s="6">
        <v>232.15</v>
      </c>
      <c r="Q3888" s="6">
        <v>629.78</v>
      </c>
      <c r="R3888" s="7">
        <v>45536</v>
      </c>
      <c r="S3888" s="6">
        <v>43.91</v>
      </c>
      <c r="T3888" s="6">
        <v>27.72</v>
      </c>
      <c r="U3888" s="7">
        <v>45536</v>
      </c>
      <c r="V3888" s="6">
        <v>14.34</v>
      </c>
      <c r="W3888" s="6">
        <f ca="1">IFERROR(__xludf.DUMMYFUNCTION("IFERROR(GOOGLEFINANCE(B3888,""pe""),V3888)"),14.34)</f>
        <v>14.34</v>
      </c>
      <c r="X3888" s="6">
        <v>0.4</v>
      </c>
      <c r="Y3888" s="6">
        <v>1.1599999999999999</v>
      </c>
      <c r="Z3888" s="6">
        <v>1</v>
      </c>
      <c r="AA3888" s="8">
        <v>45352</v>
      </c>
      <c r="AB3888" s="4">
        <v>0.64</v>
      </c>
      <c r="AC3888" s="6">
        <v>10.87</v>
      </c>
      <c r="AD3888" s="6">
        <v>6.8</v>
      </c>
      <c r="AE3888" s="1">
        <v>0</v>
      </c>
      <c r="AF3888" s="1">
        <f ca="1">IFERROR(__xludf.DUMMYFUNCTION("IFERROR(GOOGLEFINANCE(TRIM(F3888)&amp;"":"" &amp; TRIM(B3888),""high52""),AE3888)"),0)</f>
        <v>0</v>
      </c>
      <c r="AG3888" s="1">
        <v>0</v>
      </c>
      <c r="AH3888" s="1">
        <f ca="1">IFERROR(__xludf.DUMMYFUNCTION("IFERROR(GOOGLEFINANCE(TRIM(F3888)&amp;"":"" &amp; TRIM(B3888),""low52""),AE3888)"),0)</f>
        <v>0</v>
      </c>
      <c r="AI3888" s="1">
        <f ca="1">IFERROR(__xludf.DUMMYFUNCTION("IFERROR(GOOGLEFINANCE(B3888,""eps""),0)"),0)</f>
        <v>0</v>
      </c>
      <c r="AJ3888" s="1"/>
      <c r="AK3888" s="9"/>
      <c r="AL3888" s="9">
        <f t="shared" si="364"/>
        <v>1</v>
      </c>
    </row>
    <row r="3889" spans="1:38" ht="15" x14ac:dyDescent="0.25">
      <c r="A3889" s="1" t="s">
        <v>11844</v>
      </c>
      <c r="B3889" s="1" t="s">
        <v>11845</v>
      </c>
      <c r="C3889" s="1" t="s">
        <v>186</v>
      </c>
      <c r="D3889" s="1" t="s">
        <v>186</v>
      </c>
      <c r="E3889" s="6">
        <v>715.56</v>
      </c>
      <c r="F3889" s="1" t="s">
        <v>53</v>
      </c>
      <c r="G3889" s="6">
        <f ca="1">IFERROR(__xludf.DUMMYFUNCTION("iferror(GOOGLEFINANCE(TRIM(F3889)&amp;"":"" &amp; TRIM(B3889), ""price""),0
)"),0)</f>
        <v>0</v>
      </c>
      <c r="H3889" s="6">
        <v>544.79999999999995</v>
      </c>
      <c r="I3889" s="6">
        <f t="shared" ca="1" si="0"/>
        <v>544.79999999999995</v>
      </c>
      <c r="J3889" s="6">
        <f ca="1">IFERROR(__xludf.DUMMYFUNCTION("IFERROR(GOOGLEFINANCE(B3889, ""volume""), 0)"),4698)</f>
        <v>4698</v>
      </c>
      <c r="K3889" s="6">
        <v>1.93</v>
      </c>
      <c r="L3889" s="6">
        <f ca="1">IFERROR(__xludf.DUMMYFUNCTION("IFERROR(GOOGLEFINANCE(B3889,""changepct""),K3889)"),1.63)</f>
        <v>1.63</v>
      </c>
      <c r="M3889" s="6">
        <f ca="1">IFERROR(__xludf.DUMMYFUNCTION("IFERROR(GOOGLEFINANCE(B3889,""change""),0)"),4.95)</f>
        <v>4.95</v>
      </c>
      <c r="N3889" s="6">
        <v>1</v>
      </c>
      <c r="O3889" s="7">
        <v>45536</v>
      </c>
      <c r="P3889" s="6">
        <v>64.98</v>
      </c>
      <c r="Q3889" s="6">
        <v>780.46</v>
      </c>
      <c r="R3889" s="7">
        <v>45536</v>
      </c>
      <c r="S3889" s="6">
        <v>299.70999999999998</v>
      </c>
      <c r="T3889" s="6">
        <v>13.52</v>
      </c>
      <c r="U3889" s="7">
        <v>45536</v>
      </c>
      <c r="V3889" s="6">
        <v>52.91</v>
      </c>
      <c r="W3889" s="6">
        <f ca="1">IFERROR(__xludf.DUMMYFUNCTION("IFERROR(GOOGLEFINANCE(B3889,""pe""),V3889)"),21.6)</f>
        <v>21.6</v>
      </c>
      <c r="X3889" s="6">
        <v>17.52</v>
      </c>
      <c r="Y3889" s="6">
        <v>5.05</v>
      </c>
      <c r="Z3889" s="6">
        <v>1</v>
      </c>
      <c r="AA3889" s="8">
        <v>45352</v>
      </c>
      <c r="AB3889" s="4">
        <v>0.5</v>
      </c>
      <c r="AC3889" s="6">
        <v>12.69</v>
      </c>
      <c r="AD3889" s="6">
        <v>14.54</v>
      </c>
      <c r="AE3889" s="1">
        <v>0</v>
      </c>
      <c r="AF3889" s="1">
        <f ca="1">IFERROR(__xludf.DUMMYFUNCTION("IFERROR(GOOGLEFINANCE(TRIM(F3889)&amp;"":"" &amp; TRIM(B3889),""high52""),AE3889)"),0)</f>
        <v>0</v>
      </c>
      <c r="AG3889" s="1">
        <v>0</v>
      </c>
      <c r="AH3889" s="1">
        <f ca="1">IFERROR(__xludf.DUMMYFUNCTION("IFERROR(GOOGLEFINANCE(TRIM(F3889)&amp;"":"" &amp; TRIM(B3889),""low52""),AE3889)"),0)</f>
        <v>0</v>
      </c>
      <c r="AI3889" s="1">
        <f ca="1">IFERROR(__xludf.DUMMYFUNCTION("IFERROR(GOOGLEFINANCE(B3889,""eps""),0)"),14.31)</f>
        <v>14.31</v>
      </c>
      <c r="AJ3889" s="1"/>
      <c r="AK3889" s="1" t="s">
        <v>11846</v>
      </c>
      <c r="AL3889" s="9">
        <f t="shared" si="364"/>
        <v>1</v>
      </c>
    </row>
    <row r="3890" spans="1:38" ht="15" x14ac:dyDescent="0.25">
      <c r="A3890" s="1" t="s">
        <v>11847</v>
      </c>
      <c r="B3890" s="1" t="s">
        <v>11848</v>
      </c>
      <c r="C3890" s="1" t="s">
        <v>828</v>
      </c>
      <c r="D3890" s="1" t="s">
        <v>828</v>
      </c>
      <c r="E3890" s="6">
        <v>854.77</v>
      </c>
      <c r="F3890" s="1" t="s">
        <v>40</v>
      </c>
      <c r="G3890" s="6">
        <f ca="1">IFERROR(__xludf.DUMMYFUNCTION("iferror(GOOGLEFINANCE(TRIM(F3890)&amp;"":"" &amp; TRIM(B3890), ""price""),0
)"),115.77)</f>
        <v>115.77</v>
      </c>
      <c r="H3890" s="6">
        <v>216.55</v>
      </c>
      <c r="I3890" s="6">
        <f t="shared" ca="1" si="0"/>
        <v>115.77</v>
      </c>
      <c r="J3890" s="6">
        <f ca="1">IFERROR(__xludf.DUMMYFUNCTION("IFERROR(GOOGLEFINANCE(B3890, ""volume""), 0)"),60801)</f>
        <v>60801</v>
      </c>
      <c r="K3890" s="6">
        <v>0.4</v>
      </c>
      <c r="L3890" s="6">
        <f ca="1">IFERROR(__xludf.DUMMYFUNCTION("IFERROR(GOOGLEFINANCE(B3890,""changepct""),K3890)"),-2.96)</f>
        <v>-2.96</v>
      </c>
      <c r="M3890" s="6">
        <f ca="1">IFERROR(__xludf.DUMMYFUNCTION("IFERROR(GOOGLEFINANCE(B3890,""change""),0)"),-3.53)</f>
        <v>-3.53</v>
      </c>
      <c r="N3890" s="6">
        <v>2</v>
      </c>
      <c r="O3890" s="7">
        <v>45536</v>
      </c>
      <c r="P3890" s="6">
        <v>11.92</v>
      </c>
      <c r="Q3890" s="6">
        <v>776.24</v>
      </c>
      <c r="R3890" s="12"/>
      <c r="S3890" s="12"/>
      <c r="T3890" s="12"/>
      <c r="U3890" s="7">
        <v>45352</v>
      </c>
      <c r="V3890" s="6">
        <v>32.869999999999997</v>
      </c>
      <c r="W3890" s="6">
        <f ca="1">IFERROR(__xludf.DUMMYFUNCTION("IFERROR(GOOGLEFINANCE(B3890,""pe""),V3890)"),11.15)</f>
        <v>11.15</v>
      </c>
      <c r="X3890" s="12"/>
      <c r="Y3890" s="6">
        <v>2.87</v>
      </c>
      <c r="Z3890" s="6">
        <v>2</v>
      </c>
      <c r="AA3890" s="8">
        <v>45352</v>
      </c>
      <c r="AB3890" s="4">
        <v>0.78</v>
      </c>
      <c r="AC3890" s="6">
        <v>25.87</v>
      </c>
      <c r="AD3890" s="6">
        <v>25.28</v>
      </c>
      <c r="AE3890" s="1">
        <v>0</v>
      </c>
      <c r="AF3890" s="1">
        <f ca="1">IFERROR(__xludf.DUMMYFUNCTION("IFERROR(GOOGLEFINANCE(TRIM(F3890)&amp;"":"" &amp; TRIM(B3890),""high52""),AE3890)"),202)</f>
        <v>202</v>
      </c>
      <c r="AG3890" s="1">
        <v>0</v>
      </c>
      <c r="AH3890" s="1">
        <f ca="1">IFERROR(__xludf.DUMMYFUNCTION("IFERROR(GOOGLEFINANCE(TRIM(F3890)&amp;"":"" &amp; TRIM(B3890),""low52""),AE3890)"),107.72)</f>
        <v>107.72</v>
      </c>
      <c r="AI3890" s="1">
        <f ca="1">IFERROR(__xludf.DUMMYFUNCTION("IFERROR(GOOGLEFINANCE(B3890,""eps""),0)"),10.39)</f>
        <v>10.39</v>
      </c>
      <c r="AJ3890" s="1"/>
      <c r="AK3890" s="1" t="s">
        <v>11849</v>
      </c>
      <c r="AL3890" s="9">
        <f t="shared" si="364"/>
        <v>1</v>
      </c>
    </row>
    <row r="3891" spans="1:38" ht="15" x14ac:dyDescent="0.25">
      <c r="A3891" s="1" t="s">
        <v>11850</v>
      </c>
      <c r="B3891" s="1" t="s">
        <v>11851</v>
      </c>
      <c r="C3891" s="1" t="s">
        <v>186</v>
      </c>
      <c r="D3891" s="1" t="s">
        <v>186</v>
      </c>
      <c r="E3891" s="6">
        <v>330.92</v>
      </c>
      <c r="F3891" s="1" t="s">
        <v>53</v>
      </c>
      <c r="G3891" s="6">
        <f ca="1">IFERROR(__xludf.DUMMYFUNCTION("iferror(GOOGLEFINANCE(TRIM(F3891)&amp;"":"" &amp; TRIM(B3891), ""price""),0
)"),0)</f>
        <v>0</v>
      </c>
      <c r="H3891" s="6">
        <v>57.1</v>
      </c>
      <c r="I3891" s="6">
        <f t="shared" ca="1" si="0"/>
        <v>57.1</v>
      </c>
      <c r="J3891" s="6">
        <f ca="1">IFERROR(__xludf.DUMMYFUNCTION("IFERROR(GOOGLEFINANCE(B3891, ""volume""), 0)"),0)</f>
        <v>0</v>
      </c>
      <c r="K3891" s="6">
        <v>0.72</v>
      </c>
      <c r="L3891" s="6">
        <f ca="1">IFERROR(__xludf.DUMMYFUNCTION("IFERROR(GOOGLEFINANCE(B3891,""changepct""),K3891)"),0.72)</f>
        <v>0.72</v>
      </c>
      <c r="M3891" s="6">
        <f ca="1">IFERROR(__xludf.DUMMYFUNCTION("IFERROR(GOOGLEFINANCE(B3891,""change""),0)"),0)</f>
        <v>0</v>
      </c>
      <c r="N3891" s="6">
        <v>2</v>
      </c>
      <c r="O3891" s="7">
        <v>45536</v>
      </c>
      <c r="P3891" s="9"/>
      <c r="Q3891" s="6">
        <v>330.58</v>
      </c>
      <c r="R3891" s="7">
        <v>45536</v>
      </c>
      <c r="S3891" s="6">
        <v>11.11</v>
      </c>
      <c r="T3891" s="6">
        <v>1.93</v>
      </c>
      <c r="U3891" s="7">
        <v>45536</v>
      </c>
      <c r="V3891" s="6">
        <v>28.61</v>
      </c>
      <c r="W3891" s="6">
        <f ca="1">IFERROR(__xludf.DUMMYFUNCTION("IFERROR(GOOGLEFINANCE(B3891,""pe""),V3891)"),28.61)</f>
        <v>28.61</v>
      </c>
      <c r="X3891" s="6">
        <v>10.92</v>
      </c>
      <c r="Y3891" s="6">
        <v>1.91</v>
      </c>
      <c r="Z3891" s="6">
        <v>2</v>
      </c>
      <c r="AA3891" s="8">
        <v>45352</v>
      </c>
      <c r="AB3891" s="4">
        <v>0</v>
      </c>
      <c r="AC3891" s="6">
        <v>8.1300000000000008</v>
      </c>
      <c r="AD3891" s="6">
        <v>8.35</v>
      </c>
      <c r="AE3891" s="1">
        <v>0</v>
      </c>
      <c r="AF3891" s="1">
        <f ca="1">IFERROR(__xludf.DUMMYFUNCTION("IFERROR(GOOGLEFINANCE(TRIM(F3891)&amp;"":"" &amp; TRIM(B3891),""high52""),AE3891)"),0)</f>
        <v>0</v>
      </c>
      <c r="AG3891" s="1">
        <v>0</v>
      </c>
      <c r="AH3891" s="1">
        <f ca="1">IFERROR(__xludf.DUMMYFUNCTION("IFERROR(GOOGLEFINANCE(TRIM(F3891)&amp;"":"" &amp; TRIM(B3891),""low52""),AE3891)"),0)</f>
        <v>0</v>
      </c>
      <c r="AI3891" s="1">
        <f ca="1">IFERROR(__xludf.DUMMYFUNCTION("IFERROR(GOOGLEFINANCE(B3891,""eps""),0)"),0)</f>
        <v>0</v>
      </c>
      <c r="AJ3891" s="1"/>
      <c r="AK3891" s="1" t="s">
        <v>11852</v>
      </c>
      <c r="AL3891" s="9">
        <f t="shared" si="364"/>
        <v>1</v>
      </c>
    </row>
    <row r="3892" spans="1:38" ht="15" x14ac:dyDescent="0.25">
      <c r="A3892" s="1" t="s">
        <v>11853</v>
      </c>
      <c r="B3892" s="1" t="s">
        <v>11854</v>
      </c>
      <c r="C3892" s="1" t="s">
        <v>186</v>
      </c>
      <c r="D3892" s="1" t="s">
        <v>186</v>
      </c>
      <c r="E3892" s="6">
        <v>55.51</v>
      </c>
      <c r="F3892" s="1" t="s">
        <v>53</v>
      </c>
      <c r="G3892" s="6">
        <f ca="1">IFERROR(__xludf.DUMMYFUNCTION("iferror(GOOGLEFINANCE(TRIM(F3892)&amp;"":"" &amp; TRIM(B3892), ""price""),0
)"),0)</f>
        <v>0</v>
      </c>
      <c r="H3892" s="6">
        <v>120.95</v>
      </c>
      <c r="I3892" s="6">
        <f t="shared" ca="1" si="0"/>
        <v>120.95</v>
      </c>
      <c r="J3892" s="6">
        <f ca="1">IFERROR(__xludf.DUMMYFUNCTION("IFERROR(GOOGLEFINANCE(B3892, ""volume""), 0)"),0)</f>
        <v>0</v>
      </c>
      <c r="K3892" s="12"/>
      <c r="L3892" s="6" t="str">
        <f ca="1">IFERROR(__xludf.DUMMYFUNCTION("IFERROR(GOOGLEFINANCE(B3892,""changepct""),K3892)"),"")</f>
        <v/>
      </c>
      <c r="M3892" s="6">
        <f ca="1">IFERROR(__xludf.DUMMYFUNCTION("IFERROR(GOOGLEFINANCE(B3892,""change""),0)"),0)</f>
        <v>0</v>
      </c>
      <c r="N3892" s="6">
        <v>1</v>
      </c>
      <c r="O3892" s="7">
        <v>45536</v>
      </c>
      <c r="P3892" s="6">
        <v>2.74</v>
      </c>
      <c r="Q3892" s="6">
        <v>58.24</v>
      </c>
      <c r="R3892" s="7">
        <v>45536</v>
      </c>
      <c r="S3892" s="6">
        <v>3.62</v>
      </c>
      <c r="T3892" s="6">
        <v>1.81</v>
      </c>
      <c r="U3892" s="7">
        <v>45536</v>
      </c>
      <c r="V3892" s="6">
        <v>30.68</v>
      </c>
      <c r="W3892" s="6">
        <f ca="1">IFERROR(__xludf.DUMMYFUNCTION("IFERROR(GOOGLEFINANCE(B3892,""pe""),V3892)"),30.68)</f>
        <v>30.68</v>
      </c>
      <c r="X3892" s="6">
        <v>0.44</v>
      </c>
      <c r="Y3892" s="6">
        <v>-253.99</v>
      </c>
      <c r="Z3892" s="6">
        <v>1</v>
      </c>
      <c r="AA3892" s="8">
        <v>45352</v>
      </c>
      <c r="AB3892" s="4">
        <v>0.86</v>
      </c>
      <c r="AC3892" s="6">
        <v>0</v>
      </c>
      <c r="AD3892" s="6">
        <v>67.95</v>
      </c>
      <c r="AE3892" s="1">
        <v>0</v>
      </c>
      <c r="AF3892" s="1">
        <f ca="1">IFERROR(__xludf.DUMMYFUNCTION("IFERROR(GOOGLEFINANCE(TRIM(F3892)&amp;"":"" &amp; TRIM(B3892),""high52""),AE3892)"),0)</f>
        <v>0</v>
      </c>
      <c r="AG3892" s="1">
        <v>0</v>
      </c>
      <c r="AH3892" s="1">
        <f ca="1">IFERROR(__xludf.DUMMYFUNCTION("IFERROR(GOOGLEFINANCE(TRIM(F3892)&amp;"":"" &amp; TRIM(B3892),""low52""),AE3892)"),0)</f>
        <v>0</v>
      </c>
      <c r="AI3892" s="1">
        <f ca="1">IFERROR(__xludf.DUMMYFUNCTION("IFERROR(GOOGLEFINANCE(B3892,""eps""),0)"),0)</f>
        <v>0</v>
      </c>
      <c r="AJ3892" s="1"/>
      <c r="AK3892" s="1" t="s">
        <v>11855</v>
      </c>
      <c r="AL3892" s="9">
        <f t="shared" si="364"/>
        <v>1</v>
      </c>
    </row>
    <row r="3893" spans="1:38" ht="15" x14ac:dyDescent="0.25">
      <c r="A3893" s="1" t="s">
        <v>11856</v>
      </c>
      <c r="B3893" s="1" t="s">
        <v>11857</v>
      </c>
      <c r="C3893" s="1" t="s">
        <v>186</v>
      </c>
      <c r="D3893" s="1" t="s">
        <v>186</v>
      </c>
      <c r="E3893" s="6">
        <v>149.37</v>
      </c>
      <c r="F3893" s="1" t="s">
        <v>53</v>
      </c>
      <c r="G3893" s="6">
        <f ca="1">IFERROR(__xludf.DUMMYFUNCTION("iferror(GOOGLEFINANCE(TRIM(F3893)&amp;"":"" &amp; TRIM(B3893), ""price""),0
)"),0)</f>
        <v>0</v>
      </c>
      <c r="H3893" s="6">
        <v>2100</v>
      </c>
      <c r="I3893" s="6">
        <f t="shared" ca="1" si="0"/>
        <v>2100</v>
      </c>
      <c r="J3893" s="6">
        <f ca="1">IFERROR(__xludf.DUMMYFUNCTION("IFERROR(GOOGLEFINANCE(B3893, ""volume""), 0)"),0)</f>
        <v>0</v>
      </c>
      <c r="K3893" s="9"/>
      <c r="L3893" s="6" t="str">
        <f ca="1">IFERROR(__xludf.DUMMYFUNCTION("IFERROR(GOOGLEFINANCE(B3893,""changepct""),K3893)"),"")</f>
        <v/>
      </c>
      <c r="M3893" s="6">
        <f ca="1">IFERROR(__xludf.DUMMYFUNCTION("IFERROR(GOOGLEFINANCE(B3893,""change""),0)"),0)</f>
        <v>0</v>
      </c>
      <c r="N3893" s="6">
        <v>1</v>
      </c>
      <c r="O3893" s="7">
        <v>45536</v>
      </c>
      <c r="P3893" s="6">
        <v>61.19</v>
      </c>
      <c r="Q3893" s="6">
        <v>205.25</v>
      </c>
      <c r="R3893" s="7">
        <v>45536</v>
      </c>
      <c r="S3893" s="6">
        <v>208.66</v>
      </c>
      <c r="T3893" s="6">
        <v>4.88</v>
      </c>
      <c r="U3893" s="7">
        <v>45536</v>
      </c>
      <c r="V3893" s="6">
        <v>30.64</v>
      </c>
      <c r="W3893" s="6">
        <f ca="1">IFERROR(__xludf.DUMMYFUNCTION("IFERROR(GOOGLEFINANCE(B3893,""pe""),V3893)"),30.64)</f>
        <v>30.64</v>
      </c>
      <c r="X3893" s="6">
        <v>1.72</v>
      </c>
      <c r="Y3893" s="6">
        <v>1.59</v>
      </c>
      <c r="Z3893" s="6">
        <v>1</v>
      </c>
      <c r="AA3893" s="8">
        <v>45352</v>
      </c>
      <c r="AB3893" s="4">
        <v>0.6</v>
      </c>
      <c r="AC3893" s="6">
        <v>6.15</v>
      </c>
      <c r="AD3893" s="6">
        <v>8.65</v>
      </c>
      <c r="AE3893" s="1">
        <v>0</v>
      </c>
      <c r="AF3893" s="1">
        <f ca="1">IFERROR(__xludf.DUMMYFUNCTION("IFERROR(GOOGLEFINANCE(TRIM(F3893)&amp;"":"" &amp; TRIM(B3893),""high52""),AE3893)"),0)</f>
        <v>0</v>
      </c>
      <c r="AG3893" s="1">
        <v>0</v>
      </c>
      <c r="AH3893" s="1">
        <f ca="1">IFERROR(__xludf.DUMMYFUNCTION("IFERROR(GOOGLEFINANCE(TRIM(F3893)&amp;"":"" &amp; TRIM(B3893),""low52""),AE3893)"),0)</f>
        <v>0</v>
      </c>
      <c r="AI3893" s="1">
        <f ca="1">IFERROR(__xludf.DUMMYFUNCTION("IFERROR(GOOGLEFINANCE(B3893,""eps""),0)"),0)</f>
        <v>0</v>
      </c>
      <c r="AJ3893" s="1"/>
      <c r="AK3893" s="1" t="s">
        <v>11858</v>
      </c>
      <c r="AL3893" s="9">
        <f t="shared" si="364"/>
        <v>1</v>
      </c>
    </row>
    <row r="3894" spans="1:38" ht="15" x14ac:dyDescent="0.25">
      <c r="A3894" s="1" t="s">
        <v>11859</v>
      </c>
      <c r="B3894" s="1" t="s">
        <v>11860</v>
      </c>
      <c r="C3894" s="1" t="s">
        <v>106</v>
      </c>
      <c r="D3894" s="1" t="s">
        <v>106</v>
      </c>
      <c r="E3894" s="6">
        <v>116636.8</v>
      </c>
      <c r="F3894" s="1" t="s">
        <v>40</v>
      </c>
      <c r="G3894" s="6">
        <f ca="1">IFERROR(__xludf.DUMMYFUNCTION("iferror(GOOGLEFINANCE(TRIM(F3894)&amp;"":"" &amp; TRIM(B3894), ""price""),0
)"),3993)</f>
        <v>3993</v>
      </c>
      <c r="H3894" s="6">
        <v>3405.9</v>
      </c>
      <c r="I3894" s="6">
        <f t="shared" ca="1" si="0"/>
        <v>3993</v>
      </c>
      <c r="J3894" s="6">
        <f ca="1">IFERROR(__xludf.DUMMYFUNCTION("IFERROR(GOOGLEFINANCE(B3894, ""volume""), 0)"),293121)</f>
        <v>293121</v>
      </c>
      <c r="K3894" s="6">
        <v>-1.04</v>
      </c>
      <c r="L3894" s="6">
        <f ca="1">IFERROR(__xludf.DUMMYFUNCTION("IFERROR(GOOGLEFINANCE(B3894,""changepct""),K3894)"),-0.1)</f>
        <v>-0.1</v>
      </c>
      <c r="M3894" s="6">
        <f ca="1">IFERROR(__xludf.DUMMYFUNCTION("IFERROR(GOOGLEFINANCE(B3894,""change""),0)"),-4.1)</f>
        <v>-4.0999999999999996</v>
      </c>
      <c r="N3894" s="6">
        <v>2</v>
      </c>
      <c r="O3894" s="7">
        <v>45536</v>
      </c>
      <c r="P3894" s="6">
        <v>3048</v>
      </c>
      <c r="Q3894" s="6">
        <v>118534.8</v>
      </c>
      <c r="R3894" s="7">
        <v>45536</v>
      </c>
      <c r="S3894" s="6">
        <v>11225</v>
      </c>
      <c r="T3894" s="6">
        <v>1802</v>
      </c>
      <c r="U3894" s="7">
        <v>45536</v>
      </c>
      <c r="V3894" s="6">
        <v>64.73</v>
      </c>
      <c r="W3894" s="6">
        <f ca="1">IFERROR(__xludf.DUMMYFUNCTION("IFERROR(GOOGLEFINANCE(B3894,""pe""),V3894)"),63.15)</f>
        <v>63.15</v>
      </c>
      <c r="X3894" s="6">
        <v>3.71</v>
      </c>
      <c r="Y3894" s="6">
        <v>15.54</v>
      </c>
      <c r="Z3894" s="6">
        <v>2</v>
      </c>
      <c r="AA3894" s="8">
        <v>45352</v>
      </c>
      <c r="AB3894" s="4">
        <v>0.56999999999999995</v>
      </c>
      <c r="AC3894" s="6">
        <v>25.38</v>
      </c>
      <c r="AD3894" s="6">
        <v>24.28</v>
      </c>
      <c r="AE3894" s="1">
        <v>0</v>
      </c>
      <c r="AF3894" s="1">
        <f ca="1">IFERROR(__xludf.DUMMYFUNCTION("IFERROR(GOOGLEFINANCE(TRIM(F3894)&amp;"":"" &amp; TRIM(B3894),""high52""),AE3894)"),4107.2)</f>
        <v>4107.2</v>
      </c>
      <c r="AG3894" s="1">
        <v>0</v>
      </c>
      <c r="AH3894" s="1">
        <f ca="1">IFERROR(__xludf.DUMMYFUNCTION("IFERROR(GOOGLEFINANCE(TRIM(F3894)&amp;"":"" &amp; TRIM(B3894),""low52""),AE3894)"),2886.45)</f>
        <v>2886.45</v>
      </c>
      <c r="AI3894" s="1">
        <f ca="1">IFERROR(__xludf.DUMMYFUNCTION("IFERROR(GOOGLEFINANCE(B3894,""eps""),0)"),63.23)</f>
        <v>63.23</v>
      </c>
      <c r="AJ3894" s="1"/>
      <c r="AK3894" s="1" t="s">
        <v>11861</v>
      </c>
      <c r="AL3894" s="9">
        <f t="shared" si="364"/>
        <v>1</v>
      </c>
    </row>
    <row r="3895" spans="1:38" ht="15" x14ac:dyDescent="0.25">
      <c r="A3895" s="1" t="s">
        <v>11862</v>
      </c>
      <c r="B3895" s="1" t="s">
        <v>11863</v>
      </c>
      <c r="C3895" s="1" t="s">
        <v>186</v>
      </c>
      <c r="D3895" s="1" t="s">
        <v>186</v>
      </c>
      <c r="E3895" s="6">
        <v>178.1</v>
      </c>
      <c r="F3895" s="1" t="s">
        <v>53</v>
      </c>
      <c r="G3895" s="6">
        <f ca="1">IFERROR(__xludf.DUMMYFUNCTION("iferror(GOOGLEFINANCE(TRIM(F3895)&amp;"":"" &amp; TRIM(B3895), ""price""),0
)"),0)</f>
        <v>0</v>
      </c>
      <c r="H3895" s="6">
        <v>107.65</v>
      </c>
      <c r="I3895" s="6">
        <f t="shared" ca="1" si="0"/>
        <v>107.65</v>
      </c>
      <c r="J3895" s="6">
        <f ca="1">IFERROR(__xludf.DUMMYFUNCTION("IFERROR(GOOGLEFINANCE(B3895, ""volume""), 0)"),0)</f>
        <v>0</v>
      </c>
      <c r="K3895" s="6">
        <v>2.38</v>
      </c>
      <c r="L3895" s="6">
        <f ca="1">IFERROR(__xludf.DUMMYFUNCTION("IFERROR(GOOGLEFINANCE(B3895,""changepct""),K3895)"),2.38)</f>
        <v>2.38</v>
      </c>
      <c r="M3895" s="6">
        <f ca="1">IFERROR(__xludf.DUMMYFUNCTION("IFERROR(GOOGLEFINANCE(B3895,""change""),0)"),0)</f>
        <v>0</v>
      </c>
      <c r="N3895" s="6">
        <v>1</v>
      </c>
      <c r="O3895" s="7">
        <v>45536</v>
      </c>
      <c r="P3895" s="6">
        <v>31.36</v>
      </c>
      <c r="Q3895" s="6">
        <v>207.65</v>
      </c>
      <c r="R3895" s="7">
        <v>45536</v>
      </c>
      <c r="S3895" s="6">
        <v>174.03</v>
      </c>
      <c r="T3895" s="6">
        <v>0.47</v>
      </c>
      <c r="U3895" s="7">
        <v>45536</v>
      </c>
      <c r="V3895" s="6">
        <v>382.18</v>
      </c>
      <c r="W3895" s="6">
        <f ca="1">IFERROR(__xludf.DUMMYFUNCTION("IFERROR(GOOGLEFINANCE(B3895,""pe""),V3895)"),382.18)</f>
        <v>382.18</v>
      </c>
      <c r="X3895" s="12"/>
      <c r="Y3895" s="6">
        <v>6.19</v>
      </c>
      <c r="Z3895" s="6">
        <v>1</v>
      </c>
      <c r="AA3895" s="8">
        <v>45352</v>
      </c>
      <c r="AB3895" s="4">
        <v>1.25</v>
      </c>
      <c r="AC3895" s="6">
        <v>-3.75</v>
      </c>
      <c r="AD3895" s="6">
        <v>2.09</v>
      </c>
      <c r="AE3895" s="1">
        <v>0</v>
      </c>
      <c r="AF3895" s="1">
        <f ca="1">IFERROR(__xludf.DUMMYFUNCTION("IFERROR(GOOGLEFINANCE(TRIM(F3895)&amp;"":"" &amp; TRIM(B3895),""high52""),AE3895)"),0)</f>
        <v>0</v>
      </c>
      <c r="AG3895" s="1">
        <v>0</v>
      </c>
      <c r="AH3895" s="1">
        <f ca="1">IFERROR(__xludf.DUMMYFUNCTION("IFERROR(GOOGLEFINANCE(TRIM(F3895)&amp;"":"" &amp; TRIM(B3895),""low52""),AE3895)"),0)</f>
        <v>0</v>
      </c>
      <c r="AI3895" s="1">
        <f ca="1">IFERROR(__xludf.DUMMYFUNCTION("IFERROR(GOOGLEFINANCE(B3895,""eps""),0)"),0)</f>
        <v>0</v>
      </c>
      <c r="AJ3895" s="1"/>
      <c r="AK3895" s="9"/>
      <c r="AL3895" s="9">
        <f t="shared" si="364"/>
        <v>1</v>
      </c>
    </row>
    <row r="3896" spans="1:38" ht="15" x14ac:dyDescent="0.25">
      <c r="A3896" s="1" t="s">
        <v>11864</v>
      </c>
      <c r="B3896" s="1" t="s">
        <v>11865</v>
      </c>
      <c r="C3896" s="1" t="s">
        <v>268</v>
      </c>
      <c r="D3896" s="1" t="s">
        <v>268</v>
      </c>
      <c r="E3896" s="6">
        <v>77528.08</v>
      </c>
      <c r="F3896" s="1" t="s">
        <v>40</v>
      </c>
      <c r="G3896" s="6">
        <f ca="1">IFERROR(__xludf.DUMMYFUNCTION("iferror(GOOGLEFINANCE(TRIM(F3896)&amp;"":"" &amp; TRIM(B3896), ""price""),0
)"),1330)</f>
        <v>1330</v>
      </c>
      <c r="H3896" s="6">
        <v>1516.05</v>
      </c>
      <c r="I3896" s="6">
        <f t="shared" ca="1" si="0"/>
        <v>1330</v>
      </c>
      <c r="J3896" s="6">
        <f ca="1">IFERROR(__xludf.DUMMYFUNCTION("IFERROR(GOOGLEFINANCE(B3896, ""volume""), 0)"),385115)</f>
        <v>385115</v>
      </c>
      <c r="K3896" s="6">
        <v>-1.46</v>
      </c>
      <c r="L3896" s="6">
        <f ca="1">IFERROR(__xludf.DUMMYFUNCTION("IFERROR(GOOGLEFINANCE(B3896,""changepct""),K3896)"),2.5)</f>
        <v>2.5</v>
      </c>
      <c r="M3896" s="6">
        <f ca="1">IFERROR(__xludf.DUMMYFUNCTION("IFERROR(GOOGLEFINANCE(B3896,""change""),0)"),32.5)</f>
        <v>32.5</v>
      </c>
      <c r="N3896" s="6">
        <v>2</v>
      </c>
      <c r="O3896" s="7">
        <v>45536</v>
      </c>
      <c r="P3896" s="6">
        <v>11508.81</v>
      </c>
      <c r="Q3896" s="6">
        <v>88591.11</v>
      </c>
      <c r="R3896" s="7">
        <v>45536</v>
      </c>
      <c r="S3896" s="6">
        <v>29104.21</v>
      </c>
      <c r="T3896" s="6">
        <v>2313.23</v>
      </c>
      <c r="U3896" s="7">
        <v>45536</v>
      </c>
      <c r="V3896" s="6">
        <v>34.56</v>
      </c>
      <c r="W3896" s="6">
        <f ca="1">IFERROR(__xludf.DUMMYFUNCTION("IFERROR(GOOGLEFINANCE(B3896,""pe""),V3896)"),22.28)</f>
        <v>22.28</v>
      </c>
      <c r="X3896" s="6">
        <v>2.2599999999999998</v>
      </c>
      <c r="Y3896" s="6">
        <v>4.6100000000000003</v>
      </c>
      <c r="Z3896" s="6">
        <v>2</v>
      </c>
      <c r="AA3896" s="8">
        <v>45352</v>
      </c>
      <c r="AB3896" s="4">
        <v>0.96</v>
      </c>
      <c r="AC3896" s="6">
        <v>16.440000000000001</v>
      </c>
      <c r="AD3896" s="6">
        <v>15.62</v>
      </c>
      <c r="AE3896" s="1">
        <v>0</v>
      </c>
      <c r="AF3896" s="1">
        <f ca="1">IFERROR(__xludf.DUMMYFUNCTION("IFERROR(GOOGLEFINANCE(TRIM(F3896)&amp;"":"" &amp; TRIM(B3896),""high52""),AE3896)"),1640)</f>
        <v>1640</v>
      </c>
      <c r="AG3896" s="1">
        <v>0</v>
      </c>
      <c r="AH3896" s="1">
        <f ca="1">IFERROR(__xludf.DUMMYFUNCTION("IFERROR(GOOGLEFINANCE(TRIM(F3896)&amp;"":"" &amp; TRIM(B3896),""low52""),AE3896)"),1188)</f>
        <v>1188</v>
      </c>
      <c r="AI3896" s="1">
        <f ca="1">IFERROR(__xludf.DUMMYFUNCTION("IFERROR(GOOGLEFINANCE(B3896,""eps""),0)"),59.69)</f>
        <v>59.69</v>
      </c>
      <c r="AJ3896" s="1"/>
      <c r="AK3896" s="9"/>
      <c r="AL3896" s="9">
        <f t="shared" si="364"/>
        <v>1</v>
      </c>
    </row>
    <row r="3897" spans="1:38" ht="15" x14ac:dyDescent="0.25">
      <c r="A3897" s="1" t="s">
        <v>11866</v>
      </c>
      <c r="B3897" s="1" t="s">
        <v>11867</v>
      </c>
      <c r="C3897" s="1" t="s">
        <v>186</v>
      </c>
      <c r="D3897" s="1" t="s">
        <v>186</v>
      </c>
      <c r="E3897" s="6">
        <v>469.72</v>
      </c>
      <c r="F3897" s="1" t="s">
        <v>53</v>
      </c>
      <c r="G3897" s="6">
        <f ca="1">IFERROR(__xludf.DUMMYFUNCTION("iferror(GOOGLEFINANCE(TRIM(F3897)&amp;"":"" &amp; TRIM(B3897), ""price""),0
)"),0)</f>
        <v>0</v>
      </c>
      <c r="H3897" s="6">
        <v>1201.0999999999999</v>
      </c>
      <c r="I3897" s="6">
        <f t="shared" ca="1" si="0"/>
        <v>1201.0999999999999</v>
      </c>
      <c r="J3897" s="6">
        <f ca="1">IFERROR(__xludf.DUMMYFUNCTION("IFERROR(GOOGLEFINANCE(B3897, ""volume""), 0)"),0)</f>
        <v>0</v>
      </c>
      <c r="K3897" s="6">
        <v>2.79</v>
      </c>
      <c r="L3897" s="6">
        <f ca="1">IFERROR(__xludf.DUMMYFUNCTION("IFERROR(GOOGLEFINANCE(B3897,""changepct""),K3897)"),2.79)</f>
        <v>2.79</v>
      </c>
      <c r="M3897" s="6">
        <f ca="1">IFERROR(__xludf.DUMMYFUNCTION("IFERROR(GOOGLEFINANCE(B3897,""change""),0)"),0)</f>
        <v>0</v>
      </c>
      <c r="N3897" s="6">
        <v>1</v>
      </c>
      <c r="O3897" s="7">
        <v>45536</v>
      </c>
      <c r="P3897" s="6">
        <v>23.16</v>
      </c>
      <c r="Q3897" s="6">
        <v>492.88</v>
      </c>
      <c r="R3897" s="7">
        <v>45536</v>
      </c>
      <c r="S3897" s="6">
        <v>0</v>
      </c>
      <c r="T3897" s="6">
        <v>8.66</v>
      </c>
      <c r="U3897" s="7">
        <v>45536</v>
      </c>
      <c r="V3897" s="6">
        <v>54.26</v>
      </c>
      <c r="W3897" s="6">
        <f ca="1">IFERROR(__xludf.DUMMYFUNCTION("IFERROR(GOOGLEFINANCE(B3897,""pe""),V3897)"),54.26)</f>
        <v>54.26</v>
      </c>
      <c r="X3897" s="6">
        <v>3.15</v>
      </c>
      <c r="Y3897" s="6">
        <v>6.32</v>
      </c>
      <c r="Z3897" s="6">
        <v>1</v>
      </c>
      <c r="AA3897" s="8">
        <v>45352</v>
      </c>
      <c r="AB3897" s="4">
        <v>1.43</v>
      </c>
      <c r="AC3897" s="6">
        <v>6.07</v>
      </c>
      <c r="AD3897" s="6">
        <v>11.08</v>
      </c>
      <c r="AE3897" s="1">
        <v>0</v>
      </c>
      <c r="AF3897" s="1">
        <f ca="1">IFERROR(__xludf.DUMMYFUNCTION("IFERROR(GOOGLEFINANCE(TRIM(F3897)&amp;"":"" &amp; TRIM(B3897),""high52""),AE3897)"),0)</f>
        <v>0</v>
      </c>
      <c r="AG3897" s="1">
        <v>0</v>
      </c>
      <c r="AH3897" s="1">
        <f ca="1">IFERROR(__xludf.DUMMYFUNCTION("IFERROR(GOOGLEFINANCE(TRIM(F3897)&amp;"":"" &amp; TRIM(B3897),""low52""),AE3897)"),0)</f>
        <v>0</v>
      </c>
      <c r="AI3897" s="1">
        <f ca="1">IFERROR(__xludf.DUMMYFUNCTION("IFERROR(GOOGLEFINANCE(B3897,""eps""),0)"),0)</f>
        <v>0</v>
      </c>
      <c r="AJ3897" s="1"/>
      <c r="AK3897" s="1" t="s">
        <v>11868</v>
      </c>
      <c r="AL3897" s="9">
        <f t="shared" si="364"/>
        <v>1</v>
      </c>
    </row>
    <row r="3898" spans="1:38" ht="15" x14ac:dyDescent="0.25">
      <c r="A3898" s="1" t="s">
        <v>11869</v>
      </c>
      <c r="B3898" s="1" t="s">
        <v>11870</v>
      </c>
      <c r="C3898" s="1" t="s">
        <v>259</v>
      </c>
      <c r="D3898" s="1" t="s">
        <v>259</v>
      </c>
      <c r="E3898" s="6">
        <v>117.82</v>
      </c>
      <c r="F3898" s="1" t="s">
        <v>40</v>
      </c>
      <c r="G3898" s="6">
        <f ca="1">IFERROR(__xludf.DUMMYFUNCTION("iferror(GOOGLEFINANCE(TRIM(F3898)&amp;"":"" &amp; TRIM(B3898), ""price""),0
)"),64.47)</f>
        <v>64.47</v>
      </c>
      <c r="H3898" s="6">
        <v>73.13</v>
      </c>
      <c r="I3898" s="6">
        <f t="shared" ca="1" si="0"/>
        <v>64.47</v>
      </c>
      <c r="J3898" s="6">
        <f ca="1">IFERROR(__xludf.DUMMYFUNCTION("IFERROR(GOOGLEFINANCE(B3898, ""volume""), 0)"),6980)</f>
        <v>6980</v>
      </c>
      <c r="K3898" s="6">
        <v>0.1</v>
      </c>
      <c r="L3898" s="6">
        <f ca="1">IFERROR(__xludf.DUMMYFUNCTION("IFERROR(GOOGLEFINANCE(B3898,""changepct""),K3898)"),-2.05)</f>
        <v>-2.0499999999999998</v>
      </c>
      <c r="M3898" s="6">
        <f ca="1">IFERROR(__xludf.DUMMYFUNCTION("IFERROR(GOOGLEFINANCE(B3898,""change""),0)"),-1.35)</f>
        <v>-1.35</v>
      </c>
      <c r="N3898" s="6">
        <v>2</v>
      </c>
      <c r="O3898" s="7">
        <v>45536</v>
      </c>
      <c r="P3898" s="6">
        <v>39.770000000000003</v>
      </c>
      <c r="Q3898" s="6">
        <v>143.1</v>
      </c>
      <c r="R3898" s="7">
        <v>45536</v>
      </c>
      <c r="S3898" s="6">
        <v>596.84</v>
      </c>
      <c r="T3898" s="6">
        <v>0.17</v>
      </c>
      <c r="U3898" s="7">
        <v>45536</v>
      </c>
      <c r="V3898" s="6">
        <v>364.78</v>
      </c>
      <c r="W3898" s="6">
        <f ca="1">IFERROR(__xludf.DUMMYFUNCTION("IFERROR(GOOGLEFINANCE(B3898,""pe""),V3898)"),7.45)</f>
        <v>7.45</v>
      </c>
      <c r="X3898" s="6">
        <v>-12.36</v>
      </c>
      <c r="Y3898" s="6">
        <v>1.55</v>
      </c>
      <c r="Z3898" s="6">
        <v>2</v>
      </c>
      <c r="AA3898" s="8">
        <v>45352</v>
      </c>
      <c r="AB3898" s="4">
        <v>0.44</v>
      </c>
      <c r="AC3898" s="6">
        <v>1.67</v>
      </c>
      <c r="AD3898" s="6">
        <v>7.13</v>
      </c>
      <c r="AE3898" s="1">
        <v>0</v>
      </c>
      <c r="AF3898" s="1">
        <f ca="1">IFERROR(__xludf.DUMMYFUNCTION("IFERROR(GOOGLEFINANCE(TRIM(F3898)&amp;"":"" &amp; TRIM(B3898),""high52""),AE3898)"),93.5)</f>
        <v>93.5</v>
      </c>
      <c r="AG3898" s="1">
        <v>0</v>
      </c>
      <c r="AH3898" s="1">
        <f ca="1">IFERROR(__xludf.DUMMYFUNCTION("IFERROR(GOOGLEFINANCE(TRIM(F3898)&amp;"":"" &amp; TRIM(B3898),""low52""),AE3898)"),61.5)</f>
        <v>61.5</v>
      </c>
      <c r="AI3898" s="1">
        <f ca="1">IFERROR(__xludf.DUMMYFUNCTION("IFERROR(GOOGLEFINANCE(B3898,""eps""),0)"),8.66)</f>
        <v>8.66</v>
      </c>
      <c r="AJ3898" s="1"/>
      <c r="AK3898" s="1" t="s">
        <v>11871</v>
      </c>
      <c r="AL3898" s="9">
        <f t="shared" si="364"/>
        <v>1</v>
      </c>
    </row>
    <row r="3899" spans="1:38" ht="15" x14ac:dyDescent="0.25">
      <c r="A3899" s="1" t="s">
        <v>11872</v>
      </c>
      <c r="B3899" s="1" t="s">
        <v>11873</v>
      </c>
      <c r="C3899" s="1" t="s">
        <v>159</v>
      </c>
      <c r="D3899" s="1" t="s">
        <v>159</v>
      </c>
      <c r="E3899" s="6">
        <v>169.7</v>
      </c>
      <c r="F3899" s="1" t="s">
        <v>40</v>
      </c>
      <c r="G3899" s="6">
        <f ca="1">IFERROR(__xludf.DUMMYFUNCTION("iferror(GOOGLEFINANCE(TRIM(F3899)&amp;"":"" &amp; TRIM(B3899), ""price""),0
)"),92.4)</f>
        <v>92.4</v>
      </c>
      <c r="H3899" s="6">
        <v>154.84</v>
      </c>
      <c r="I3899" s="6">
        <f t="shared" ca="1" si="0"/>
        <v>92.4</v>
      </c>
      <c r="J3899" s="6">
        <f ca="1">IFERROR(__xludf.DUMMYFUNCTION("IFERROR(GOOGLEFINANCE(B3899, ""volume""), 0)"),1720)</f>
        <v>1720</v>
      </c>
      <c r="K3899" s="6">
        <v>1.1100000000000001</v>
      </c>
      <c r="L3899" s="6">
        <f ca="1">IFERROR(__xludf.DUMMYFUNCTION("IFERROR(GOOGLEFINANCE(B3899,""changepct""),K3899)"),-0.63)</f>
        <v>-0.63</v>
      </c>
      <c r="M3899" s="6">
        <f ca="1">IFERROR(__xludf.DUMMYFUNCTION("IFERROR(GOOGLEFINANCE(B3899,""change""),0)"),-0.59)</f>
        <v>-0.59</v>
      </c>
      <c r="N3899" s="6">
        <v>2</v>
      </c>
      <c r="O3899" s="7">
        <v>45536</v>
      </c>
      <c r="P3899" s="6">
        <v>1.54</v>
      </c>
      <c r="Q3899" s="6">
        <v>154.80000000000001</v>
      </c>
      <c r="R3899" s="7">
        <v>45536</v>
      </c>
      <c r="S3899" s="6">
        <v>35.69</v>
      </c>
      <c r="T3899" s="6">
        <v>3.03</v>
      </c>
      <c r="U3899" s="7">
        <v>45536</v>
      </c>
      <c r="V3899" s="6">
        <v>55.91</v>
      </c>
      <c r="W3899" s="6">
        <f ca="1">IFERROR(__xludf.DUMMYFUNCTION("IFERROR(GOOGLEFINANCE(B3899,""pe""),V3899)"),16.38)</f>
        <v>16.38</v>
      </c>
      <c r="X3899" s="9"/>
      <c r="Y3899" s="6">
        <v>5.52</v>
      </c>
      <c r="Z3899" s="6">
        <v>2</v>
      </c>
      <c r="AA3899" s="8">
        <v>45352</v>
      </c>
      <c r="AB3899" s="4">
        <v>0.06</v>
      </c>
      <c r="AC3899" s="6">
        <v>13.4</v>
      </c>
      <c r="AD3899" s="6">
        <v>14.39</v>
      </c>
      <c r="AE3899" s="1">
        <v>0</v>
      </c>
      <c r="AF3899" s="1">
        <f ca="1">IFERROR(__xludf.DUMMYFUNCTION("IFERROR(GOOGLEFINANCE(TRIM(F3899)&amp;"":"" &amp; TRIM(B3899),""high52""),AE3899)"),136.59)</f>
        <v>136.59</v>
      </c>
      <c r="AG3899" s="1">
        <v>0</v>
      </c>
      <c r="AH3899" s="1">
        <f ca="1">IFERROR(__xludf.DUMMYFUNCTION("IFERROR(GOOGLEFINANCE(TRIM(F3899)&amp;"":"" &amp; TRIM(B3899),""low52""),AE3899)"),74)</f>
        <v>74</v>
      </c>
      <c r="AI3899" s="1">
        <f ca="1">IFERROR(__xludf.DUMMYFUNCTION("IFERROR(GOOGLEFINANCE(B3899,""eps""),0)"),5.64)</f>
        <v>5.64</v>
      </c>
      <c r="AJ3899" s="1"/>
      <c r="AK3899" s="1" t="s">
        <v>11874</v>
      </c>
      <c r="AL3899" s="9">
        <f t="shared" si="364"/>
        <v>1</v>
      </c>
    </row>
    <row r="3900" spans="1:38" ht="15" x14ac:dyDescent="0.25">
      <c r="A3900" s="1" t="s">
        <v>11875</v>
      </c>
      <c r="B3900" s="1" t="s">
        <v>11876</v>
      </c>
      <c r="C3900" s="1" t="s">
        <v>4298</v>
      </c>
      <c r="D3900" s="1" t="s">
        <v>4298</v>
      </c>
      <c r="E3900" s="6">
        <v>1519.95</v>
      </c>
      <c r="F3900" s="1" t="s">
        <v>40</v>
      </c>
      <c r="G3900" s="6">
        <f ca="1">IFERROR(__xludf.DUMMYFUNCTION("iferror(GOOGLEFINANCE(TRIM(F3900)&amp;"":"" &amp; TRIM(B3900), ""price""),0
)"),64.78)</f>
        <v>64.78</v>
      </c>
      <c r="H3900" s="6">
        <v>168.69</v>
      </c>
      <c r="I3900" s="6">
        <f t="shared" ca="1" si="0"/>
        <v>64.78</v>
      </c>
      <c r="J3900" s="6">
        <f ca="1">IFERROR(__xludf.DUMMYFUNCTION("IFERROR(GOOGLEFINANCE(B3900, ""volume""), 0)"),10690169)</f>
        <v>10690169</v>
      </c>
      <c r="K3900" s="6">
        <v>2.94</v>
      </c>
      <c r="L3900" s="6">
        <f ca="1">IFERROR(__xludf.DUMMYFUNCTION("IFERROR(GOOGLEFINANCE(B3900,""changepct""),K3900)"),2.6)</f>
        <v>2.6</v>
      </c>
      <c r="M3900" s="6">
        <f ca="1">IFERROR(__xludf.DUMMYFUNCTION("IFERROR(GOOGLEFINANCE(B3900,""change""),0)"),1.64)</f>
        <v>1.64</v>
      </c>
      <c r="N3900" s="6">
        <v>1</v>
      </c>
      <c r="O3900" s="7">
        <v>45536</v>
      </c>
      <c r="P3900" s="6">
        <v>98.96</v>
      </c>
      <c r="Q3900" s="7">
        <v>45536</v>
      </c>
      <c r="R3900" s="6">
        <v>15.36</v>
      </c>
      <c r="S3900" s="6">
        <v>13.96</v>
      </c>
      <c r="T3900" s="6">
        <v>1.3</v>
      </c>
      <c r="U3900" s="6">
        <v>1</v>
      </c>
      <c r="V3900" s="7">
        <v>45352</v>
      </c>
      <c r="W3900" s="6">
        <f ca="1">IFERROR(__xludf.DUMMYFUNCTION("IFERROR(GOOGLEFINANCE(B3900,""pe""),V3900)"),26.66)</f>
        <v>26.66</v>
      </c>
      <c r="X3900" s="6">
        <v>0.9</v>
      </c>
      <c r="Y3900" s="6">
        <v>8.65</v>
      </c>
      <c r="Z3900" s="6">
        <v>10.49</v>
      </c>
      <c r="AA3900" s="3" t="s">
        <v>11877</v>
      </c>
      <c r="AB3900" s="11"/>
      <c r="AC3900" s="9"/>
      <c r="AD3900" s="9"/>
      <c r="AE3900" s="1">
        <v>0</v>
      </c>
      <c r="AF3900" s="1">
        <f ca="1">IFERROR(__xludf.DUMMYFUNCTION("IFERROR(GOOGLEFINANCE(TRIM(F3900)&amp;"":"" &amp; TRIM(B3900),""high52""),AE3900)"),75.9)</f>
        <v>75.900000000000006</v>
      </c>
      <c r="AG3900" s="1">
        <v>0</v>
      </c>
      <c r="AH3900" s="1">
        <f ca="1">IFERROR(__xludf.DUMMYFUNCTION("IFERROR(GOOGLEFINANCE(TRIM(F3900)&amp;"":"" &amp; TRIM(B3900),""low52""),AE3900)"),24.46)</f>
        <v>24.46</v>
      </c>
      <c r="AI3900" s="1">
        <f ca="1">IFERROR(__xludf.DUMMYFUNCTION("IFERROR(GOOGLEFINANCE(B3900,""eps""),0)"),2.43)</f>
        <v>2.4300000000000002</v>
      </c>
      <c r="AJ3900" s="1"/>
      <c r="AK3900" s="1" t="s">
        <v>11878</v>
      </c>
      <c r="AL3900" s="9">
        <f t="shared" si="364"/>
        <v>1</v>
      </c>
    </row>
    <row r="3901" spans="1:38" ht="15" x14ac:dyDescent="0.25">
      <c r="A3901" s="1" t="s">
        <v>11879</v>
      </c>
      <c r="B3901" s="1" t="s">
        <v>11880</v>
      </c>
      <c r="C3901" s="1" t="s">
        <v>186</v>
      </c>
      <c r="D3901" s="1" t="s">
        <v>186</v>
      </c>
      <c r="E3901" s="6">
        <v>16.97</v>
      </c>
      <c r="F3901" s="1" t="s">
        <v>53</v>
      </c>
      <c r="G3901" s="6">
        <f ca="1">IFERROR(__xludf.DUMMYFUNCTION("iferror(GOOGLEFINANCE(TRIM(F3901)&amp;"":"" &amp; TRIM(B3901), ""price""),0
)"),0)</f>
        <v>0</v>
      </c>
      <c r="H3901" s="6">
        <v>29.82</v>
      </c>
      <c r="I3901" s="6">
        <f t="shared" ca="1" si="0"/>
        <v>29.82</v>
      </c>
      <c r="J3901" s="6">
        <f ca="1">IFERROR(__xludf.DUMMYFUNCTION("IFERROR(GOOGLEFINANCE(B3901, ""volume""), 0)"),1850)</f>
        <v>1850</v>
      </c>
      <c r="K3901" s="6">
        <v>7.42</v>
      </c>
      <c r="L3901" s="6">
        <f ca="1">IFERROR(__xludf.DUMMYFUNCTION("IFERROR(GOOGLEFINANCE(B3901,""changepct""),K3901)"),-0.34)</f>
        <v>-0.34</v>
      </c>
      <c r="M3901" s="6">
        <f ca="1">IFERROR(__xludf.DUMMYFUNCTION("IFERROR(GOOGLEFINANCE(B3901,""change""),0)"),-0.01)</f>
        <v>-0.01</v>
      </c>
      <c r="N3901" s="6">
        <v>1</v>
      </c>
      <c r="O3901" s="7">
        <v>45536</v>
      </c>
      <c r="P3901" s="6">
        <v>0.22</v>
      </c>
      <c r="Q3901" s="6">
        <v>17.190000000000001</v>
      </c>
      <c r="R3901" s="7">
        <v>45536</v>
      </c>
      <c r="S3901" s="6">
        <v>0</v>
      </c>
      <c r="T3901" s="6">
        <v>-0.09</v>
      </c>
      <c r="U3901" s="7">
        <v>45536</v>
      </c>
      <c r="V3901" s="6">
        <v>0</v>
      </c>
      <c r="W3901" s="6">
        <f ca="1">IFERROR(__xludf.DUMMYFUNCTION("IFERROR(GOOGLEFINANCE(B3901,""pe""),V3901)"),0)</f>
        <v>0</v>
      </c>
      <c r="X3901" s="6">
        <v>0</v>
      </c>
      <c r="Y3901" s="6">
        <v>2.98</v>
      </c>
      <c r="Z3901" s="6">
        <v>1</v>
      </c>
      <c r="AA3901" s="8">
        <v>45352</v>
      </c>
      <c r="AB3901" s="4">
        <v>0.03</v>
      </c>
      <c r="AC3901" s="6">
        <v>-1.72</v>
      </c>
      <c r="AD3901" s="6">
        <v>-1.69</v>
      </c>
      <c r="AE3901" s="1">
        <v>0</v>
      </c>
      <c r="AF3901" s="1">
        <f ca="1">IFERROR(__xludf.DUMMYFUNCTION("IFERROR(GOOGLEFINANCE(TRIM(F3901)&amp;"":"" &amp; TRIM(B3901),""high52""),AE3901)"),0)</f>
        <v>0</v>
      </c>
      <c r="AG3901" s="1">
        <v>0</v>
      </c>
      <c r="AH3901" s="1">
        <f ca="1">IFERROR(__xludf.DUMMYFUNCTION("IFERROR(GOOGLEFINANCE(TRIM(F3901)&amp;"":"" &amp; TRIM(B3901),""low52""),AE3901)"),0)</f>
        <v>0</v>
      </c>
      <c r="AI3901" s="1">
        <f ca="1">IFERROR(__xludf.DUMMYFUNCTION("IFERROR(GOOGLEFINANCE(B3901,""eps""),0)"),-1.01)</f>
        <v>-1.01</v>
      </c>
      <c r="AJ3901" s="1"/>
      <c r="AK3901" s="1" t="s">
        <v>11881</v>
      </c>
      <c r="AL3901" s="9">
        <f t="shared" si="364"/>
        <v>1</v>
      </c>
    </row>
    <row r="3902" spans="1:38" ht="15" x14ac:dyDescent="0.25">
      <c r="A3902" s="1" t="s">
        <v>11882</v>
      </c>
      <c r="B3902" s="1" t="s">
        <v>11883</v>
      </c>
      <c r="C3902" s="1" t="s">
        <v>82</v>
      </c>
      <c r="D3902" s="1" t="s">
        <v>82</v>
      </c>
      <c r="E3902" s="6">
        <v>815.91</v>
      </c>
      <c r="F3902" s="1" t="s">
        <v>40</v>
      </c>
      <c r="G3902" s="6">
        <f ca="1">IFERROR(__xludf.DUMMYFUNCTION("iferror(GOOGLEFINANCE(TRIM(F3902)&amp;"":"" &amp; TRIM(B3902), ""price""),0
)"),60.35)</f>
        <v>60.35</v>
      </c>
      <c r="H3902" s="6">
        <v>105.12</v>
      </c>
      <c r="I3902" s="6">
        <f t="shared" ca="1" si="0"/>
        <v>60.35</v>
      </c>
      <c r="J3902" s="6">
        <f ca="1">IFERROR(__xludf.DUMMYFUNCTION("IFERROR(GOOGLEFINANCE(B3902, ""volume""), 0)"),79095)</f>
        <v>79095</v>
      </c>
      <c r="K3902" s="6">
        <v>0.38</v>
      </c>
      <c r="L3902" s="6">
        <f ca="1">IFERROR(__xludf.DUMMYFUNCTION("IFERROR(GOOGLEFINANCE(B3902,""changepct""),K3902)"),-1.61)</f>
        <v>-1.61</v>
      </c>
      <c r="M3902" s="6">
        <f ca="1">IFERROR(__xludf.DUMMYFUNCTION("IFERROR(GOOGLEFINANCE(B3902,""change""),0)"),-0.99)</f>
        <v>-0.99</v>
      </c>
      <c r="N3902" s="6">
        <v>2</v>
      </c>
      <c r="O3902" s="7">
        <v>45536</v>
      </c>
      <c r="P3902" s="6">
        <v>22.75</v>
      </c>
      <c r="Q3902" s="6">
        <v>831.74</v>
      </c>
      <c r="R3902" s="7">
        <v>45352</v>
      </c>
      <c r="S3902" s="6">
        <v>312.91000000000003</v>
      </c>
      <c r="T3902" s="6">
        <v>19.850000000000001</v>
      </c>
      <c r="U3902" s="7">
        <v>45352</v>
      </c>
      <c r="V3902" s="6">
        <v>41.11</v>
      </c>
      <c r="W3902" s="6">
        <f ca="1">IFERROR(__xludf.DUMMYFUNCTION("IFERROR(GOOGLEFINANCE(B3902,""pe""),V3902)"),18.04)</f>
        <v>18.04</v>
      </c>
      <c r="X3902" s="6">
        <v>3.52</v>
      </c>
      <c r="Y3902" s="6">
        <v>6.09</v>
      </c>
      <c r="Z3902" s="6">
        <v>2</v>
      </c>
      <c r="AA3902" s="17">
        <v>45352</v>
      </c>
      <c r="AB3902" s="18">
        <v>0.19</v>
      </c>
      <c r="AC3902" s="6">
        <v>16.149999999999999</v>
      </c>
      <c r="AD3902" s="6">
        <v>20.73</v>
      </c>
      <c r="AE3902" s="1">
        <v>0</v>
      </c>
      <c r="AF3902" s="1">
        <f ca="1">IFERROR(__xludf.DUMMYFUNCTION("IFERROR(GOOGLEFINANCE(TRIM(F3902)&amp;"":"" &amp; TRIM(B3902),""high52""),AE3902)"),96.75)</f>
        <v>96.75</v>
      </c>
      <c r="AG3902" s="1">
        <v>0</v>
      </c>
      <c r="AH3902" s="1">
        <f ca="1">IFERROR(__xludf.DUMMYFUNCTION("IFERROR(GOOGLEFINANCE(TRIM(F3902)&amp;"":"" &amp; TRIM(B3902),""low52""),AE3902)"),59.44)</f>
        <v>59.44</v>
      </c>
      <c r="AI3902" s="1">
        <f ca="1">IFERROR(__xludf.DUMMYFUNCTION("IFERROR(GOOGLEFINANCE(B3902,""eps""),0)"),3.34)</f>
        <v>3.34</v>
      </c>
      <c r="AJ3902" s="1"/>
      <c r="AK3902" s="1" t="s">
        <v>11884</v>
      </c>
      <c r="AL3902" s="9">
        <f t="shared" si="364"/>
        <v>1</v>
      </c>
    </row>
    <row r="3903" spans="1:38" ht="15" x14ac:dyDescent="0.25">
      <c r="A3903" s="1" t="s">
        <v>11885</v>
      </c>
      <c r="B3903" s="1" t="s">
        <v>11886</v>
      </c>
      <c r="C3903" s="1" t="s">
        <v>186</v>
      </c>
      <c r="D3903" s="1" t="s">
        <v>186</v>
      </c>
      <c r="E3903" s="6">
        <v>51.49</v>
      </c>
      <c r="F3903" s="1" t="s">
        <v>53</v>
      </c>
      <c r="G3903" s="6">
        <f ca="1">IFERROR(__xludf.DUMMYFUNCTION("iferror(GOOGLEFINANCE(TRIM(F3903)&amp;"":"" &amp; TRIM(B3903), ""price""),0
)"),0)</f>
        <v>0</v>
      </c>
      <c r="H3903" s="6">
        <v>60</v>
      </c>
      <c r="I3903" s="6">
        <f t="shared" ca="1" si="0"/>
        <v>60</v>
      </c>
      <c r="J3903" s="6">
        <f ca="1">IFERROR(__xludf.DUMMYFUNCTION("IFERROR(GOOGLEFINANCE(B3903, ""volume""), 0)"),0)</f>
        <v>0</v>
      </c>
      <c r="K3903" s="9"/>
      <c r="L3903" s="6" t="str">
        <f ca="1">IFERROR(__xludf.DUMMYFUNCTION("IFERROR(GOOGLEFINANCE(B3903,""changepct""),K3903)"),"")</f>
        <v/>
      </c>
      <c r="M3903" s="6">
        <f ca="1">IFERROR(__xludf.DUMMYFUNCTION("IFERROR(GOOGLEFINANCE(B3903,""change""),0)"),0)</f>
        <v>0</v>
      </c>
      <c r="N3903" s="6">
        <v>2</v>
      </c>
      <c r="O3903" s="7">
        <v>45536</v>
      </c>
      <c r="P3903" s="6">
        <v>1.89</v>
      </c>
      <c r="Q3903" s="6">
        <v>53.38</v>
      </c>
      <c r="R3903" s="7">
        <v>45536</v>
      </c>
      <c r="S3903" s="6">
        <v>17.37</v>
      </c>
      <c r="T3903" s="6">
        <v>-4.4000000000000004</v>
      </c>
      <c r="U3903" s="7">
        <v>45536</v>
      </c>
      <c r="V3903" s="6">
        <v>0</v>
      </c>
      <c r="W3903" s="6">
        <f ca="1">IFERROR(__xludf.DUMMYFUNCTION("IFERROR(GOOGLEFINANCE(B3903,""pe""),V3903)"),0)</f>
        <v>0</v>
      </c>
      <c r="X3903" s="9"/>
      <c r="Y3903" s="6">
        <v>1.0900000000000001</v>
      </c>
      <c r="Z3903" s="6">
        <v>2</v>
      </c>
      <c r="AA3903" s="8">
        <v>45352</v>
      </c>
      <c r="AB3903" s="4">
        <v>0.03</v>
      </c>
      <c r="AC3903" s="6">
        <v>-15.08</v>
      </c>
      <c r="AD3903" s="6">
        <v>-12.66</v>
      </c>
      <c r="AE3903" s="1">
        <v>0</v>
      </c>
      <c r="AF3903" s="1">
        <f ca="1">IFERROR(__xludf.DUMMYFUNCTION("IFERROR(GOOGLEFINANCE(TRIM(F3903)&amp;"":"" &amp; TRIM(B3903),""high52""),AE3903)"),0)</f>
        <v>0</v>
      </c>
      <c r="AG3903" s="1">
        <v>0</v>
      </c>
      <c r="AH3903" s="1">
        <f ca="1">IFERROR(__xludf.DUMMYFUNCTION("IFERROR(GOOGLEFINANCE(TRIM(F3903)&amp;"":"" &amp; TRIM(B3903),""low52""),AE3903)"),0)</f>
        <v>0</v>
      </c>
      <c r="AI3903" s="1">
        <f ca="1">IFERROR(__xludf.DUMMYFUNCTION("IFERROR(GOOGLEFINANCE(B3903,""eps""),0)"),0)</f>
        <v>0</v>
      </c>
      <c r="AJ3903" s="1"/>
      <c r="AK3903" s="1" t="s">
        <v>11887</v>
      </c>
      <c r="AL3903" s="9">
        <f t="shared" si="364"/>
        <v>1</v>
      </c>
    </row>
    <row r="3904" spans="1:38" ht="15" x14ac:dyDescent="0.25">
      <c r="A3904" s="1" t="s">
        <v>11888</v>
      </c>
      <c r="B3904" s="1" t="s">
        <v>11889</v>
      </c>
      <c r="C3904" s="1" t="s">
        <v>57</v>
      </c>
      <c r="D3904" s="1" t="s">
        <v>57</v>
      </c>
      <c r="E3904" s="6">
        <v>816.71</v>
      </c>
      <c r="F3904" s="1" t="s">
        <v>40</v>
      </c>
      <c r="G3904" s="6">
        <f ca="1">IFERROR(__xludf.DUMMYFUNCTION("iferror(GOOGLEFINANCE(TRIM(F3904)&amp;"":"" &amp; TRIM(B3904), ""price""),0
)"),34.5)</f>
        <v>34.5</v>
      </c>
      <c r="H3904" s="6">
        <v>80.2</v>
      </c>
      <c r="I3904" s="6">
        <f t="shared" ca="1" si="0"/>
        <v>34.5</v>
      </c>
      <c r="J3904" s="6">
        <f ca="1">IFERROR(__xludf.DUMMYFUNCTION("IFERROR(GOOGLEFINANCE(B3904, ""volume""), 0)"),212904)</f>
        <v>212904</v>
      </c>
      <c r="K3904" s="6">
        <v>3.77</v>
      </c>
      <c r="L3904" s="6">
        <f ca="1">IFERROR(__xludf.DUMMYFUNCTION("IFERROR(GOOGLEFINANCE(B3904,""changepct""),K3904)"),-7.9)</f>
        <v>-7.9</v>
      </c>
      <c r="M3904" s="6">
        <f ca="1">IFERROR(__xludf.DUMMYFUNCTION("IFERROR(GOOGLEFINANCE(B3904,""change""),0)"),-2.96)</f>
        <v>-2.96</v>
      </c>
      <c r="N3904" s="6">
        <v>1</v>
      </c>
      <c r="O3904" s="7">
        <v>45536</v>
      </c>
      <c r="P3904" s="12"/>
      <c r="Q3904" s="6">
        <v>816.71</v>
      </c>
      <c r="R3904" s="7">
        <v>45536</v>
      </c>
      <c r="S3904" s="6">
        <v>83.39</v>
      </c>
      <c r="T3904" s="6">
        <v>0.26</v>
      </c>
      <c r="U3904" s="7">
        <v>45536</v>
      </c>
      <c r="V3904" s="6">
        <v>0</v>
      </c>
      <c r="W3904" s="6">
        <f ca="1">IFERROR(__xludf.DUMMYFUNCTION("IFERROR(GOOGLEFINANCE(B3904,""pe""),V3904)"),0)</f>
        <v>0</v>
      </c>
      <c r="X3904" s="12"/>
      <c r="Y3904" s="6">
        <v>11.75</v>
      </c>
      <c r="Z3904" s="6">
        <v>1</v>
      </c>
      <c r="AA3904" s="8">
        <v>45352</v>
      </c>
      <c r="AB3904" s="4">
        <v>0</v>
      </c>
      <c r="AC3904" s="6">
        <v>17.11</v>
      </c>
      <c r="AD3904" s="6">
        <v>13.76</v>
      </c>
      <c r="AE3904" s="1">
        <v>0</v>
      </c>
      <c r="AF3904" s="1">
        <f ca="1">IFERROR(__xludf.DUMMYFUNCTION("IFERROR(GOOGLEFINANCE(TRIM(F3904)&amp;"":"" &amp; TRIM(B3904),""high52""),AE3904)"),73.89)</f>
        <v>73.89</v>
      </c>
      <c r="AG3904" s="1">
        <v>0</v>
      </c>
      <c r="AH3904" s="1">
        <f ca="1">IFERROR(__xludf.DUMMYFUNCTION("IFERROR(GOOGLEFINANCE(TRIM(F3904)&amp;"":"" &amp; TRIM(B3904),""low52""),AE3904)"),31.95)</f>
        <v>31.95</v>
      </c>
      <c r="AI3904" s="1">
        <f ca="1">IFERROR(__xludf.DUMMYFUNCTION("IFERROR(GOOGLEFINANCE(B3904,""eps""),0)"),-1.03)</f>
        <v>-1.03</v>
      </c>
      <c r="AJ3904" s="1"/>
      <c r="AK3904" s="1" t="s">
        <v>11890</v>
      </c>
      <c r="AL3904" s="9">
        <f t="shared" si="364"/>
        <v>1</v>
      </c>
    </row>
    <row r="3905" spans="1:38" ht="15" x14ac:dyDescent="0.25">
      <c r="A3905" s="1" t="s">
        <v>11891</v>
      </c>
      <c r="B3905" s="1" t="s">
        <v>11892</v>
      </c>
      <c r="C3905" s="1" t="s">
        <v>186</v>
      </c>
      <c r="D3905" s="1" t="s">
        <v>186</v>
      </c>
      <c r="E3905" s="6">
        <v>61.14</v>
      </c>
      <c r="F3905" s="1" t="s">
        <v>53</v>
      </c>
      <c r="G3905" s="6">
        <f ca="1">IFERROR(__xludf.DUMMYFUNCTION("iferror(GOOGLEFINANCE(TRIM(F3905)&amp;"":"" &amp; TRIM(B3905), ""price""),0
)"),0)</f>
        <v>0</v>
      </c>
      <c r="H3905" s="6">
        <v>12.87</v>
      </c>
      <c r="I3905" s="6">
        <f t="shared" ca="1" si="0"/>
        <v>12.87</v>
      </c>
      <c r="J3905" s="6">
        <f ca="1">IFERROR(__xludf.DUMMYFUNCTION("IFERROR(GOOGLEFINANCE(B3905, ""volume""), 0)"),0)</f>
        <v>0</v>
      </c>
      <c r="K3905" s="6">
        <v>1.02</v>
      </c>
      <c r="L3905" s="6">
        <f ca="1">IFERROR(__xludf.DUMMYFUNCTION("IFERROR(GOOGLEFINANCE(B3905,""changepct""),K3905)"),1.02)</f>
        <v>1.02</v>
      </c>
      <c r="M3905" s="6">
        <f ca="1">IFERROR(__xludf.DUMMYFUNCTION("IFERROR(GOOGLEFINANCE(B3905,""change""),0)"),0)</f>
        <v>0</v>
      </c>
      <c r="N3905" s="6">
        <v>1</v>
      </c>
      <c r="O3905" s="7">
        <v>45536</v>
      </c>
      <c r="P3905" s="6">
        <v>50.07</v>
      </c>
      <c r="Q3905" s="6">
        <v>85.83</v>
      </c>
      <c r="R3905" s="7">
        <v>45536</v>
      </c>
      <c r="S3905" s="6">
        <v>244.39</v>
      </c>
      <c r="T3905" s="6">
        <v>-18.64</v>
      </c>
      <c r="U3905" s="7">
        <v>45536</v>
      </c>
      <c r="V3905" s="6">
        <v>0</v>
      </c>
      <c r="W3905" s="6">
        <f ca="1">IFERROR(__xludf.DUMMYFUNCTION("IFERROR(GOOGLEFINANCE(B3905,""pe""),V3905)"),0)</f>
        <v>0</v>
      </c>
      <c r="X3905" s="6">
        <v>0</v>
      </c>
      <c r="Y3905" s="6">
        <v>-0.12</v>
      </c>
      <c r="Z3905" s="6">
        <v>1</v>
      </c>
      <c r="AA3905" s="8">
        <v>45352</v>
      </c>
      <c r="AB3905" s="4">
        <v>-0.1</v>
      </c>
      <c r="AC3905" s="6">
        <v>0</v>
      </c>
      <c r="AD3905" s="6">
        <v>0</v>
      </c>
      <c r="AE3905" s="1">
        <v>0</v>
      </c>
      <c r="AF3905" s="1">
        <f ca="1">IFERROR(__xludf.DUMMYFUNCTION("IFERROR(GOOGLEFINANCE(TRIM(F3905)&amp;"":"" &amp; TRIM(B3905),""high52""),AE3905)"),0)</f>
        <v>0</v>
      </c>
      <c r="AG3905" s="1">
        <v>0</v>
      </c>
      <c r="AH3905" s="1">
        <f ca="1">IFERROR(__xludf.DUMMYFUNCTION("IFERROR(GOOGLEFINANCE(TRIM(F3905)&amp;"":"" &amp; TRIM(B3905),""low52""),AE3905)"),0)</f>
        <v>0</v>
      </c>
      <c r="AI3905" s="1">
        <f ca="1">IFERROR(__xludf.DUMMYFUNCTION("IFERROR(GOOGLEFINANCE(B3905,""eps""),0)"),0)</f>
        <v>0</v>
      </c>
      <c r="AJ3905" s="1"/>
      <c r="AK3905" s="1" t="s">
        <v>11893</v>
      </c>
      <c r="AL3905" s="9">
        <f t="shared" si="364"/>
        <v>1</v>
      </c>
    </row>
    <row r="3906" spans="1:38" ht="15" x14ac:dyDescent="0.25">
      <c r="A3906" s="1" t="s">
        <v>11894</v>
      </c>
      <c r="B3906" s="1" t="s">
        <v>11895</v>
      </c>
      <c r="C3906" s="1" t="s">
        <v>125</v>
      </c>
      <c r="D3906" s="1" t="s">
        <v>125</v>
      </c>
      <c r="E3906" s="6">
        <v>18727.349999999999</v>
      </c>
      <c r="F3906" s="1" t="s">
        <v>40</v>
      </c>
      <c r="G3906" s="6">
        <f ca="1">IFERROR(__xludf.DUMMYFUNCTION("iferror(GOOGLEFINANCE(TRIM(F3906)&amp;"":"" &amp; TRIM(B3906), ""price""),0
)"),231.5)</f>
        <v>231.5</v>
      </c>
      <c r="H3906" s="6">
        <v>1254.8</v>
      </c>
      <c r="I3906" s="6">
        <f t="shared" ca="1" si="0"/>
        <v>231.5</v>
      </c>
      <c r="J3906" s="6">
        <f ca="1">IFERROR(__xludf.DUMMYFUNCTION("IFERROR(GOOGLEFINANCE(B3906, ""volume""), 0)"),3588471)</f>
        <v>3588471</v>
      </c>
      <c r="K3906" s="6">
        <v>1.3</v>
      </c>
      <c r="L3906" s="6">
        <f ca="1">IFERROR(__xludf.DUMMYFUNCTION("IFERROR(GOOGLEFINANCE(B3906,""changepct""),K3906)"),-2.39)</f>
        <v>-2.39</v>
      </c>
      <c r="M3906" s="6">
        <f ca="1">IFERROR(__xludf.DUMMYFUNCTION("IFERROR(GOOGLEFINANCE(B3906,""change""),0)"),-5.67)</f>
        <v>-5.67</v>
      </c>
      <c r="N3906" s="6">
        <v>2</v>
      </c>
      <c r="O3906" s="7">
        <v>45536</v>
      </c>
      <c r="P3906" s="6">
        <v>244.02</v>
      </c>
      <c r="Q3906" s="6">
        <v>18885.72</v>
      </c>
      <c r="R3906" s="7">
        <v>45536</v>
      </c>
      <c r="S3906" s="6">
        <v>1665.59</v>
      </c>
      <c r="T3906" s="6">
        <v>124.08</v>
      </c>
      <c r="U3906" s="7">
        <v>45536</v>
      </c>
      <c r="V3906" s="6">
        <v>154.96</v>
      </c>
      <c r="W3906" s="6">
        <f ca="1">IFERROR(__xludf.DUMMYFUNCTION("IFERROR(GOOGLEFINANCE(B3906,""pe""),V3906)"),138.99)</f>
        <v>138.99</v>
      </c>
      <c r="X3906" s="6">
        <v>2.67</v>
      </c>
      <c r="Y3906" s="6">
        <v>16.97</v>
      </c>
      <c r="Z3906" s="6">
        <v>2</v>
      </c>
      <c r="AA3906" s="8">
        <v>45352</v>
      </c>
      <c r="AB3906" s="4">
        <v>0.46</v>
      </c>
      <c r="AC3906" s="6">
        <v>9.91</v>
      </c>
      <c r="AD3906" s="6">
        <v>15.02</v>
      </c>
      <c r="AE3906" s="1">
        <v>0</v>
      </c>
      <c r="AF3906" s="1">
        <f ca="1">IFERROR(__xludf.DUMMYFUNCTION("IFERROR(GOOGLEFINANCE(TRIM(F3906)&amp;"":"" &amp; TRIM(B3906),""high52""),AE3906)"),594)</f>
        <v>594</v>
      </c>
      <c r="AG3906" s="1">
        <v>0</v>
      </c>
      <c r="AH3906" s="1">
        <f ca="1">IFERROR(__xludf.DUMMYFUNCTION("IFERROR(GOOGLEFINANCE(TRIM(F3906)&amp;"":"" &amp; TRIM(B3906),""low52""),AE3906)"),224.05)</f>
        <v>224.05</v>
      </c>
      <c r="AI3906" s="1">
        <f ca="1">IFERROR(__xludf.DUMMYFUNCTION("IFERROR(GOOGLEFINANCE(B3906,""eps""),0)"),5.36)</f>
        <v>5.36</v>
      </c>
      <c r="AJ3906" s="1"/>
      <c r="AK3906" s="1" t="s">
        <v>11896</v>
      </c>
      <c r="AL3906" s="9">
        <f t="shared" si="364"/>
        <v>1</v>
      </c>
    </row>
    <row r="3907" spans="1:38" ht="15" x14ac:dyDescent="0.25">
      <c r="A3907" s="1" t="s">
        <v>11897</v>
      </c>
      <c r="B3907" s="1" t="s">
        <v>11898</v>
      </c>
      <c r="C3907" s="1" t="s">
        <v>186</v>
      </c>
      <c r="D3907" s="1" t="s">
        <v>186</v>
      </c>
      <c r="E3907" s="6">
        <v>140.72</v>
      </c>
      <c r="F3907" s="1" t="s">
        <v>53</v>
      </c>
      <c r="G3907" s="6">
        <f ca="1">IFERROR(__xludf.DUMMYFUNCTION("iferror(GOOGLEFINANCE(TRIM(F3907)&amp;"":"" &amp; TRIM(B3907), ""price""),0
)"),0)</f>
        <v>0</v>
      </c>
      <c r="H3907" s="6">
        <v>28.03</v>
      </c>
      <c r="I3907" s="6">
        <f t="shared" ca="1" si="0"/>
        <v>28.03</v>
      </c>
      <c r="J3907" s="6">
        <f ca="1">IFERROR(__xludf.DUMMYFUNCTION("IFERROR(GOOGLEFINANCE(B3907, ""volume""), 0)"),0)</f>
        <v>0</v>
      </c>
      <c r="K3907" s="6">
        <v>2.6</v>
      </c>
      <c r="L3907" s="6">
        <f ca="1">IFERROR(__xludf.DUMMYFUNCTION("IFERROR(GOOGLEFINANCE(B3907,""changepct""),K3907)"),2.6)</f>
        <v>2.6</v>
      </c>
      <c r="M3907" s="6">
        <f ca="1">IFERROR(__xludf.DUMMYFUNCTION("IFERROR(GOOGLEFINANCE(B3907,""change""),0)"),0)</f>
        <v>0</v>
      </c>
      <c r="N3907" s="6">
        <v>2</v>
      </c>
      <c r="O3907" s="7">
        <v>45352</v>
      </c>
      <c r="P3907" s="6">
        <v>0</v>
      </c>
      <c r="Q3907" s="6">
        <v>119.6</v>
      </c>
      <c r="R3907" s="7">
        <v>45536</v>
      </c>
      <c r="S3907" s="6">
        <v>0.1</v>
      </c>
      <c r="T3907" s="6">
        <v>-3.42</v>
      </c>
      <c r="U3907" s="7">
        <v>45536</v>
      </c>
      <c r="V3907" s="6">
        <v>0</v>
      </c>
      <c r="W3907" s="6">
        <f ca="1">IFERROR(__xludf.DUMMYFUNCTION("IFERROR(GOOGLEFINANCE(B3907,""pe""),V3907)"),0)</f>
        <v>0</v>
      </c>
      <c r="X3907" s="9"/>
      <c r="Y3907" s="6">
        <v>3.31</v>
      </c>
      <c r="Z3907" s="6">
        <v>2</v>
      </c>
      <c r="AA3907" s="8">
        <v>45352</v>
      </c>
      <c r="AB3907" s="4">
        <v>0</v>
      </c>
      <c r="AC3907" s="6">
        <v>0</v>
      </c>
      <c r="AD3907" s="6">
        <v>-28.94</v>
      </c>
      <c r="AE3907" s="1">
        <v>0</v>
      </c>
      <c r="AF3907" s="1">
        <f ca="1">IFERROR(__xludf.DUMMYFUNCTION("IFERROR(GOOGLEFINANCE(TRIM(F3907)&amp;"":"" &amp; TRIM(B3907),""high52""),AE3907)"),0)</f>
        <v>0</v>
      </c>
      <c r="AG3907" s="1">
        <v>0</v>
      </c>
      <c r="AH3907" s="1">
        <f ca="1">IFERROR(__xludf.DUMMYFUNCTION("IFERROR(GOOGLEFINANCE(TRIM(F3907)&amp;"":"" &amp; TRIM(B3907),""low52""),AE3907)"),0)</f>
        <v>0</v>
      </c>
      <c r="AI3907" s="1">
        <f ca="1">IFERROR(__xludf.DUMMYFUNCTION("IFERROR(GOOGLEFINANCE(B3907,""eps""),0)"),0)</f>
        <v>0</v>
      </c>
      <c r="AJ3907" s="1"/>
      <c r="AK3907" s="1" t="s">
        <v>11899</v>
      </c>
      <c r="AL3907" s="9">
        <f t="shared" si="364"/>
        <v>1</v>
      </c>
    </row>
    <row r="3908" spans="1:38" ht="15" x14ac:dyDescent="0.25">
      <c r="A3908" s="1" t="s">
        <v>11900</v>
      </c>
      <c r="B3908" s="1" t="s">
        <v>11901</v>
      </c>
      <c r="C3908" s="1" t="s">
        <v>186</v>
      </c>
      <c r="D3908" s="1" t="s">
        <v>186</v>
      </c>
      <c r="E3908" s="6">
        <v>9.19</v>
      </c>
      <c r="F3908" s="1" t="s">
        <v>53</v>
      </c>
      <c r="G3908" s="6">
        <f ca="1">IFERROR(__xludf.DUMMYFUNCTION("iferror(GOOGLEFINANCE(TRIM(F3908)&amp;"":"" &amp; TRIM(B3908), ""price""),0
)"),0)</f>
        <v>0</v>
      </c>
      <c r="H3908" s="6">
        <v>30.79</v>
      </c>
      <c r="I3908" s="6">
        <f t="shared" ca="1" si="0"/>
        <v>30.79</v>
      </c>
      <c r="J3908" s="6">
        <f ca="1">IFERROR(__xludf.DUMMYFUNCTION("IFERROR(GOOGLEFINANCE(B3908, ""volume""), 0)"),0)</f>
        <v>0</v>
      </c>
      <c r="K3908" s="9"/>
      <c r="L3908" s="6" t="str">
        <f ca="1">IFERROR(__xludf.DUMMYFUNCTION("IFERROR(GOOGLEFINANCE(B3908,""changepct""),K3908)"),"")</f>
        <v/>
      </c>
      <c r="M3908" s="6">
        <f ca="1">IFERROR(__xludf.DUMMYFUNCTION("IFERROR(GOOGLEFINANCE(B3908,""change""),0)"),0)</f>
        <v>0</v>
      </c>
      <c r="N3908" s="6">
        <v>1</v>
      </c>
      <c r="O3908" s="7">
        <v>45536</v>
      </c>
      <c r="P3908" s="6">
        <v>0.24</v>
      </c>
      <c r="Q3908" s="6">
        <v>9.43</v>
      </c>
      <c r="R3908" s="7">
        <v>45536</v>
      </c>
      <c r="S3908" s="6">
        <v>5.82</v>
      </c>
      <c r="T3908" s="6">
        <v>0.26</v>
      </c>
      <c r="U3908" s="7">
        <v>45536</v>
      </c>
      <c r="V3908" s="6">
        <v>35.07</v>
      </c>
      <c r="W3908" s="6">
        <f ca="1">IFERROR(__xludf.DUMMYFUNCTION("IFERROR(GOOGLEFINANCE(B3908,""pe""),V3908)"),35.07)</f>
        <v>35.07</v>
      </c>
      <c r="X3908" s="6">
        <v>-1.58</v>
      </c>
      <c r="Y3908" s="6">
        <v>0.68</v>
      </c>
      <c r="Z3908" s="6">
        <v>1</v>
      </c>
      <c r="AA3908" s="8">
        <v>45352</v>
      </c>
      <c r="AB3908" s="4">
        <v>0</v>
      </c>
      <c r="AC3908" s="6">
        <v>1.24</v>
      </c>
      <c r="AD3908" s="6">
        <v>2.36</v>
      </c>
      <c r="AE3908" s="1">
        <v>0</v>
      </c>
      <c r="AF3908" s="1">
        <f ca="1">IFERROR(__xludf.DUMMYFUNCTION("IFERROR(GOOGLEFINANCE(TRIM(F3908)&amp;"":"" &amp; TRIM(B3908),""high52""),AE3908)"),0)</f>
        <v>0</v>
      </c>
      <c r="AG3908" s="1">
        <v>0</v>
      </c>
      <c r="AH3908" s="1">
        <f ca="1">IFERROR(__xludf.DUMMYFUNCTION("IFERROR(GOOGLEFINANCE(TRIM(F3908)&amp;"":"" &amp; TRIM(B3908),""low52""),AE3908)"),0)</f>
        <v>0</v>
      </c>
      <c r="AI3908" s="1">
        <f ca="1">IFERROR(__xludf.DUMMYFUNCTION("IFERROR(GOOGLEFINANCE(B3908,""eps""),0)"),0)</f>
        <v>0</v>
      </c>
      <c r="AJ3908" s="1"/>
      <c r="AK3908" s="1" t="s">
        <v>11902</v>
      </c>
      <c r="AL3908" s="9">
        <f t="shared" si="364"/>
        <v>1</v>
      </c>
    </row>
    <row r="3909" spans="1:38" ht="15" x14ac:dyDescent="0.25">
      <c r="A3909" s="1" t="s">
        <v>11903</v>
      </c>
      <c r="B3909" s="1" t="s">
        <v>11904</v>
      </c>
      <c r="C3909" s="1" t="s">
        <v>487</v>
      </c>
      <c r="D3909" s="1" t="s">
        <v>487</v>
      </c>
      <c r="E3909" s="6">
        <v>979.83</v>
      </c>
      <c r="F3909" s="1" t="s">
        <v>40</v>
      </c>
      <c r="G3909" s="6">
        <f ca="1">IFERROR(__xludf.DUMMYFUNCTION("iferror(GOOGLEFINANCE(TRIM(F3909)&amp;"":"" &amp; TRIM(B3909), ""price""),0
)"),22.65)</f>
        <v>22.65</v>
      </c>
      <c r="H3909" s="6">
        <v>40.159999999999997</v>
      </c>
      <c r="I3909" s="6">
        <f t="shared" ca="1" si="0"/>
        <v>22.65</v>
      </c>
      <c r="J3909" s="6">
        <f ca="1">IFERROR(__xludf.DUMMYFUNCTION("IFERROR(GOOGLEFINANCE(B3909, ""volume""), 0)"),0)</f>
        <v>0</v>
      </c>
      <c r="K3909" s="6">
        <v>0.75</v>
      </c>
      <c r="L3909" s="6">
        <f ca="1">IFERROR(__xludf.DUMMYFUNCTION("IFERROR(GOOGLEFINANCE(B3909,""changepct""),K3909)"),-0.9)</f>
        <v>-0.9</v>
      </c>
      <c r="M3909" s="6">
        <f ca="1">IFERROR(__xludf.DUMMYFUNCTION("IFERROR(GOOGLEFINANCE(B3909,""change""),0)"),-0.04)</f>
        <v>-0.04</v>
      </c>
      <c r="N3909" s="6">
        <v>2</v>
      </c>
      <c r="O3909" s="7">
        <v>45536</v>
      </c>
      <c r="P3909" s="6">
        <v>40.049999999999997</v>
      </c>
      <c r="Q3909" s="6">
        <v>1010.31</v>
      </c>
      <c r="R3909" s="7">
        <v>45536</v>
      </c>
      <c r="S3909" s="6">
        <v>84.33</v>
      </c>
      <c r="T3909" s="6">
        <v>177.07</v>
      </c>
      <c r="U3909" s="7">
        <v>45536</v>
      </c>
      <c r="V3909" s="6">
        <v>5.53</v>
      </c>
      <c r="W3909" s="6">
        <f ca="1">IFERROR(__xludf.DUMMYFUNCTION("IFERROR(GOOGLEFINANCE(B3909,""pe""),V3909)"),5.53)</f>
        <v>5.53</v>
      </c>
      <c r="X3909" s="12"/>
      <c r="Y3909" s="6">
        <v>0.81</v>
      </c>
      <c r="Z3909" s="6">
        <v>2</v>
      </c>
      <c r="AA3909" s="8">
        <v>45352</v>
      </c>
      <c r="AB3909" s="4">
        <v>0.05</v>
      </c>
      <c r="AC3909" s="6">
        <v>22.33</v>
      </c>
      <c r="AD3909" s="6">
        <v>29.18</v>
      </c>
      <c r="AE3909" s="1">
        <v>0</v>
      </c>
      <c r="AF3909" s="1">
        <f ca="1">IFERROR(__xludf.DUMMYFUNCTION("IFERROR(GOOGLEFINANCE(TRIM(F3909)&amp;"":"" &amp; TRIM(B3909),""high52""),AE3909)"),37.95)</f>
        <v>37.950000000000003</v>
      </c>
      <c r="AG3909" s="1">
        <v>0</v>
      </c>
      <c r="AH3909" s="1">
        <f ca="1">IFERROR(__xludf.DUMMYFUNCTION("IFERROR(GOOGLEFINANCE(TRIM(F3909)&amp;"":"" &amp; TRIM(B3909),""low52""),AE3909)"),22.33)</f>
        <v>22.33</v>
      </c>
      <c r="AI3909" s="1">
        <f ca="1">IFERROR(__xludf.DUMMYFUNCTION("IFERROR(GOOGLEFINANCE(B3909,""eps""),0)"),0)</f>
        <v>0</v>
      </c>
      <c r="AJ3909" s="1"/>
      <c r="AK3909" s="1" t="s">
        <v>11905</v>
      </c>
      <c r="AL3909" s="9">
        <f t="shared" si="364"/>
        <v>1</v>
      </c>
    </row>
    <row r="3910" spans="1:38" ht="15" x14ac:dyDescent="0.25">
      <c r="A3910" s="1" t="s">
        <v>11906</v>
      </c>
      <c r="B3910" s="1" t="s">
        <v>11907</v>
      </c>
      <c r="C3910" s="1" t="s">
        <v>186</v>
      </c>
      <c r="D3910" s="1" t="s">
        <v>186</v>
      </c>
      <c r="E3910" s="6">
        <v>46.4</v>
      </c>
      <c r="F3910" s="1" t="s">
        <v>53</v>
      </c>
      <c r="G3910" s="6">
        <f ca="1">IFERROR(__xludf.DUMMYFUNCTION("iferror(GOOGLEFINANCE(TRIM(F3910)&amp;"":"" &amp; TRIM(B3910), ""price""),0
)"),0)</f>
        <v>0</v>
      </c>
      <c r="H3910" s="6">
        <v>3.07</v>
      </c>
      <c r="I3910" s="6">
        <f t="shared" ca="1" si="0"/>
        <v>3.07</v>
      </c>
      <c r="J3910" s="6">
        <f ca="1">IFERROR(__xludf.DUMMYFUNCTION("IFERROR(GOOGLEFINANCE(B3910, ""volume""), 0)"),0)</f>
        <v>0</v>
      </c>
      <c r="K3910" s="6">
        <v>0.33</v>
      </c>
      <c r="L3910" s="6">
        <f ca="1">IFERROR(__xludf.DUMMYFUNCTION("IFERROR(GOOGLEFINANCE(B3910,""changepct""),K3910)"),0.33)</f>
        <v>0.33</v>
      </c>
      <c r="M3910" s="6">
        <f ca="1">IFERROR(__xludf.DUMMYFUNCTION("IFERROR(GOOGLEFINANCE(B3910,""change""),0)"),0)</f>
        <v>0</v>
      </c>
      <c r="N3910" s="6">
        <v>2</v>
      </c>
      <c r="O3910" s="7">
        <v>45536</v>
      </c>
      <c r="P3910" s="6">
        <v>0.47</v>
      </c>
      <c r="Q3910" s="6">
        <v>46.87</v>
      </c>
      <c r="R3910" s="7">
        <v>45536</v>
      </c>
      <c r="S3910" s="6">
        <v>1</v>
      </c>
      <c r="T3910" s="6">
        <v>0.06</v>
      </c>
      <c r="U3910" s="7">
        <v>45536</v>
      </c>
      <c r="V3910" s="6">
        <v>760.59</v>
      </c>
      <c r="W3910" s="6">
        <f ca="1">IFERROR(__xludf.DUMMYFUNCTION("IFERROR(GOOGLEFINANCE(B3910,""pe""),V3910)"),760.59)</f>
        <v>760.59</v>
      </c>
      <c r="X3910" s="6">
        <v>-55.19</v>
      </c>
      <c r="Y3910" s="6">
        <v>1.82</v>
      </c>
      <c r="Z3910" s="6">
        <v>2</v>
      </c>
      <c r="AA3910" s="8">
        <v>45352</v>
      </c>
      <c r="AB3910" s="4">
        <v>7.0000000000000007E-2</v>
      </c>
      <c r="AC3910" s="6">
        <v>2.37</v>
      </c>
      <c r="AD3910" s="6">
        <v>2.23</v>
      </c>
      <c r="AE3910" s="1">
        <v>0</v>
      </c>
      <c r="AF3910" s="1">
        <f ca="1">IFERROR(__xludf.DUMMYFUNCTION("IFERROR(GOOGLEFINANCE(TRIM(F3910)&amp;"":"" &amp; TRIM(B3910),""high52""),AE3910)"),0)</f>
        <v>0</v>
      </c>
      <c r="AG3910" s="1">
        <v>0</v>
      </c>
      <c r="AH3910" s="1">
        <f ca="1">IFERROR(__xludf.DUMMYFUNCTION("IFERROR(GOOGLEFINANCE(TRIM(F3910)&amp;"":"" &amp; TRIM(B3910),""low52""),AE3910)"),0)</f>
        <v>0</v>
      </c>
      <c r="AI3910" s="1">
        <f ca="1">IFERROR(__xludf.DUMMYFUNCTION("IFERROR(GOOGLEFINANCE(B3910,""eps""),0)"),0)</f>
        <v>0</v>
      </c>
      <c r="AJ3910" s="1"/>
      <c r="AK3910" s="1" t="s">
        <v>11908</v>
      </c>
      <c r="AL3910" s="9">
        <f t="shared" si="364"/>
        <v>1</v>
      </c>
    </row>
    <row r="3911" spans="1:38" ht="15" x14ac:dyDescent="0.25">
      <c r="A3911" s="1" t="s">
        <v>11909</v>
      </c>
      <c r="B3911" s="1" t="s">
        <v>11910</v>
      </c>
      <c r="C3911" s="1" t="s">
        <v>259</v>
      </c>
      <c r="D3911" s="1" t="s">
        <v>259</v>
      </c>
      <c r="E3911" s="6">
        <v>8806.31</v>
      </c>
      <c r="F3911" s="1" t="s">
        <v>40</v>
      </c>
      <c r="G3911" s="6">
        <f ca="1">IFERROR(__xludf.DUMMYFUNCTION("iferror(GOOGLEFINANCE(TRIM(F3911)&amp;"":"" &amp; TRIM(B3911), ""price""),0
)"),1080)</f>
        <v>1080</v>
      </c>
      <c r="H3911" s="6">
        <v>1154.8499999999999</v>
      </c>
      <c r="I3911" s="6">
        <f t="shared" ca="1" si="0"/>
        <v>1080</v>
      </c>
      <c r="J3911" s="6">
        <f ca="1">IFERROR(__xludf.DUMMYFUNCTION("IFERROR(GOOGLEFINANCE(B3911, ""volume""), 0)"),0)</f>
        <v>0</v>
      </c>
      <c r="K3911" s="6">
        <v>0.45</v>
      </c>
      <c r="L3911" s="6">
        <f ca="1">IFERROR(__xludf.DUMMYFUNCTION("IFERROR(GOOGLEFINANCE(B3911,""changepct""),K3911)"),-1.19)</f>
        <v>-1.19</v>
      </c>
      <c r="M3911" s="6">
        <f ca="1">IFERROR(__xludf.DUMMYFUNCTION("IFERROR(GOOGLEFINANCE(B3911,""change""),0)"),-0.64)</f>
        <v>-0.64</v>
      </c>
      <c r="N3911" s="6">
        <v>2</v>
      </c>
      <c r="O3911" s="7">
        <v>45536</v>
      </c>
      <c r="P3911" s="6">
        <v>169.5</v>
      </c>
      <c r="Q3911" s="6">
        <v>8912.2099999999991</v>
      </c>
      <c r="R3911" s="7">
        <v>45536</v>
      </c>
      <c r="S3911" s="6">
        <v>4246.8</v>
      </c>
      <c r="T3911" s="6">
        <v>298.8</v>
      </c>
      <c r="U3911" s="7">
        <v>45536</v>
      </c>
      <c r="V3911" s="6">
        <v>23.24</v>
      </c>
      <c r="W3911" s="6">
        <f ca="1">IFERROR(__xludf.DUMMYFUNCTION("IFERROR(GOOGLEFINANCE(B3911,""pe""),V3911)"),81.83)</f>
        <v>81.83</v>
      </c>
      <c r="X3911" s="6">
        <v>1.19</v>
      </c>
      <c r="Y3911" s="6">
        <v>4.41</v>
      </c>
      <c r="Z3911" s="6">
        <v>2</v>
      </c>
      <c r="AA3911" s="8">
        <v>45352</v>
      </c>
      <c r="AB3911" s="4">
        <v>0.08</v>
      </c>
      <c r="AC3911" s="6">
        <v>19.239999999999998</v>
      </c>
      <c r="AD3911" s="6">
        <v>20.49</v>
      </c>
      <c r="AE3911" s="1">
        <v>0</v>
      </c>
      <c r="AF3911" s="1">
        <f ca="1">IFERROR(__xludf.DUMMYFUNCTION("IFERROR(GOOGLEFINANCE(TRIM(F3911)&amp;"":"" &amp; TRIM(B3911),""high52""),AE3911)"),1289)</f>
        <v>1289</v>
      </c>
      <c r="AG3911" s="1">
        <v>0</v>
      </c>
      <c r="AH3911" s="1">
        <f ca="1">IFERROR(__xludf.DUMMYFUNCTION("IFERROR(GOOGLEFINANCE(TRIM(F3911)&amp;"":"" &amp; TRIM(B3911),""low52""),AE3911)"),876)</f>
        <v>876</v>
      </c>
      <c r="AI3911" s="1">
        <f ca="1">IFERROR(__xludf.DUMMYFUNCTION("IFERROR(GOOGLEFINANCE(B3911,""eps""),0)"),0.65)</f>
        <v>0.65</v>
      </c>
      <c r="AJ3911" s="1"/>
      <c r="AK3911" s="1" t="s">
        <v>11911</v>
      </c>
      <c r="AL3911" s="9">
        <f t="shared" si="364"/>
        <v>1</v>
      </c>
    </row>
    <row r="3912" spans="1:38" ht="15" x14ac:dyDescent="0.25">
      <c r="A3912" s="1" t="s">
        <v>11912</v>
      </c>
      <c r="B3912" s="1" t="s">
        <v>11913</v>
      </c>
      <c r="C3912" s="1" t="s">
        <v>125</v>
      </c>
      <c r="D3912" s="1" t="s">
        <v>125</v>
      </c>
      <c r="E3912" s="6">
        <v>8636.02</v>
      </c>
      <c r="F3912" s="1" t="s">
        <v>40</v>
      </c>
      <c r="G3912" s="6">
        <f ca="1">IFERROR(__xludf.DUMMYFUNCTION("iferror(GOOGLEFINANCE(TRIM(F3912)&amp;"":"" &amp; TRIM(B3912), ""price""),0
)"),505)</f>
        <v>505</v>
      </c>
      <c r="H3912" s="6">
        <v>639.45000000000005</v>
      </c>
      <c r="I3912" s="6">
        <f t="shared" ca="1" si="0"/>
        <v>505</v>
      </c>
      <c r="J3912" s="6">
        <f ca="1">IFERROR(__xludf.DUMMYFUNCTION("IFERROR(GOOGLEFINANCE(B3912, ""volume""), 0)"),460990)</f>
        <v>460990</v>
      </c>
      <c r="K3912" s="6">
        <v>-0.54</v>
      </c>
      <c r="L3912" s="6">
        <f ca="1">IFERROR(__xludf.DUMMYFUNCTION("IFERROR(GOOGLEFINANCE(B3912,""changepct""),K3912)"),2.28)</f>
        <v>2.2799999999999998</v>
      </c>
      <c r="M3912" s="6">
        <f ca="1">IFERROR(__xludf.DUMMYFUNCTION("IFERROR(GOOGLEFINANCE(B3912,""change""),0)"),11.25)</f>
        <v>11.25</v>
      </c>
      <c r="N3912" s="6">
        <v>1</v>
      </c>
      <c r="O3912" s="7">
        <v>45352</v>
      </c>
      <c r="P3912" s="6">
        <v>643.19000000000005</v>
      </c>
      <c r="Q3912" s="6">
        <v>9055.31</v>
      </c>
      <c r="R3912" s="12"/>
      <c r="S3912" s="12"/>
      <c r="T3912" s="12"/>
      <c r="U3912" s="7">
        <v>45352</v>
      </c>
      <c r="V3912" s="6">
        <v>36.799999999999997</v>
      </c>
      <c r="W3912" s="6">
        <f ca="1">IFERROR(__xludf.DUMMYFUNCTION("IFERROR(GOOGLEFINANCE(B3912,""pe""),V3912)"),16.09)</f>
        <v>16.09</v>
      </c>
      <c r="X3912" s="12"/>
      <c r="Y3912" s="6">
        <v>4.22</v>
      </c>
      <c r="Z3912" s="6">
        <v>2</v>
      </c>
      <c r="AA3912" s="8">
        <v>45352</v>
      </c>
      <c r="AB3912" s="4">
        <v>0.56999999999999995</v>
      </c>
      <c r="AC3912" s="6">
        <v>24.43</v>
      </c>
      <c r="AD3912" s="6">
        <v>35.74</v>
      </c>
      <c r="AE3912" s="1">
        <v>0</v>
      </c>
      <c r="AF3912" s="1">
        <f ca="1">IFERROR(__xludf.DUMMYFUNCTION("IFERROR(GOOGLEFINANCE(TRIM(F3912)&amp;"":"" &amp; TRIM(B3912),""high52""),AE3912)"),855.8)</f>
        <v>855.8</v>
      </c>
      <c r="AG3912" s="1">
        <v>0</v>
      </c>
      <c r="AH3912" s="1">
        <f ca="1">IFERROR(__xludf.DUMMYFUNCTION("IFERROR(GOOGLEFINANCE(TRIM(F3912)&amp;"":"" &amp; TRIM(B3912),""low52""),AE3912)"),394.55)</f>
        <v>394.55</v>
      </c>
      <c r="AI3912" s="1">
        <f ca="1">IFERROR(__xludf.DUMMYFUNCTION("IFERROR(GOOGLEFINANCE(B3912,""eps""),0)"),31.38)</f>
        <v>31.38</v>
      </c>
      <c r="AJ3912" s="1"/>
      <c r="AK3912" s="1" t="s">
        <v>11914</v>
      </c>
      <c r="AL3912" s="9">
        <f t="shared" si="364"/>
        <v>1</v>
      </c>
    </row>
    <row r="3913" spans="1:38" ht="15" x14ac:dyDescent="0.25">
      <c r="A3913" s="1" t="s">
        <v>11915</v>
      </c>
      <c r="B3913" s="1" t="s">
        <v>11916</v>
      </c>
      <c r="C3913" s="1" t="s">
        <v>151</v>
      </c>
      <c r="D3913" s="1" t="s">
        <v>151</v>
      </c>
      <c r="E3913" s="6">
        <v>181.3</v>
      </c>
      <c r="F3913" s="1" t="s">
        <v>40</v>
      </c>
      <c r="G3913" s="6">
        <f ca="1">IFERROR(__xludf.DUMMYFUNCTION("iferror(GOOGLEFINANCE(TRIM(F3913)&amp;"":"" &amp; TRIM(B3913), ""price""),0
)"),0)</f>
        <v>0</v>
      </c>
      <c r="H3913" s="6">
        <v>87.5</v>
      </c>
      <c r="I3913" s="6">
        <f t="shared" ca="1" si="0"/>
        <v>87.5</v>
      </c>
      <c r="J3913" s="6">
        <f ca="1">IFERROR(__xludf.DUMMYFUNCTION("IFERROR(GOOGLEFINANCE(B3913, ""volume""), 0)"),0)</f>
        <v>0</v>
      </c>
      <c r="K3913" s="6">
        <v>-2.62</v>
      </c>
      <c r="L3913" s="6">
        <f ca="1">IFERROR(__xludf.DUMMYFUNCTION("IFERROR(GOOGLEFINANCE(B3913,""changepct""),K3913)"),-2.62)</f>
        <v>-2.62</v>
      </c>
      <c r="M3913" s="6">
        <f ca="1">IFERROR(__xludf.DUMMYFUNCTION("IFERROR(GOOGLEFINANCE(B3913,""change""),0)"),0)</f>
        <v>0</v>
      </c>
      <c r="N3913" s="6">
        <v>1</v>
      </c>
      <c r="O3913" s="7">
        <v>45536</v>
      </c>
      <c r="P3913" s="6">
        <v>38.08</v>
      </c>
      <c r="Q3913" s="6">
        <v>219.38</v>
      </c>
      <c r="R3913" s="7">
        <v>45352</v>
      </c>
      <c r="S3913" s="6">
        <v>74.260000000000005</v>
      </c>
      <c r="T3913" s="6">
        <v>11.11</v>
      </c>
      <c r="U3913" s="7">
        <v>45352</v>
      </c>
      <c r="V3913" s="6">
        <v>16.309999999999999</v>
      </c>
      <c r="W3913" s="6">
        <f ca="1">IFERROR(__xludf.DUMMYFUNCTION("IFERROR(GOOGLEFINANCE(B3913,""pe""),V3913)"),16.31)</f>
        <v>16.309999999999999</v>
      </c>
      <c r="X3913" s="12"/>
      <c r="Y3913" s="6">
        <v>2.33</v>
      </c>
      <c r="Z3913" s="6">
        <v>1</v>
      </c>
      <c r="AA3913" s="8">
        <v>45352</v>
      </c>
      <c r="AB3913" s="4">
        <v>0.45</v>
      </c>
      <c r="AC3913" s="6">
        <v>21.72</v>
      </c>
      <c r="AD3913" s="6">
        <v>23.24</v>
      </c>
      <c r="AE3913" s="1">
        <v>0</v>
      </c>
      <c r="AF3913" s="1">
        <f ca="1">IFERROR(__xludf.DUMMYFUNCTION("IFERROR(GOOGLEFINANCE(TRIM(F3913)&amp;"":"" &amp; TRIM(B3913),""high52""),AE3913)"),0)</f>
        <v>0</v>
      </c>
      <c r="AG3913" s="1">
        <v>0</v>
      </c>
      <c r="AH3913" s="1">
        <f ca="1">IFERROR(__xludf.DUMMYFUNCTION("IFERROR(GOOGLEFINANCE(TRIM(F3913)&amp;"":"" &amp; TRIM(B3913),""low52""),AE3913)"),0)</f>
        <v>0</v>
      </c>
      <c r="AI3913" s="1">
        <f ca="1">IFERROR(__xludf.DUMMYFUNCTION("IFERROR(GOOGLEFINANCE(B3913,""eps""),0)"),0)</f>
        <v>0</v>
      </c>
      <c r="AJ3913" s="1"/>
      <c r="AK3913" s="1" t="s">
        <v>11917</v>
      </c>
      <c r="AL3913" s="9">
        <f t="shared" si="364"/>
        <v>1</v>
      </c>
    </row>
    <row r="3914" spans="1:38" ht="15" x14ac:dyDescent="0.25">
      <c r="A3914" s="1" t="s">
        <v>11918</v>
      </c>
      <c r="B3914" s="1" t="s">
        <v>11919</v>
      </c>
      <c r="C3914" s="1" t="s">
        <v>186</v>
      </c>
      <c r="D3914" s="1" t="s">
        <v>186</v>
      </c>
      <c r="E3914" s="6">
        <v>51.2</v>
      </c>
      <c r="F3914" s="1" t="s">
        <v>53</v>
      </c>
      <c r="G3914" s="6">
        <f ca="1">IFERROR(__xludf.DUMMYFUNCTION("iferror(GOOGLEFINANCE(TRIM(F3914)&amp;"":"" &amp; TRIM(B3914), ""price""),0
)"),0)</f>
        <v>0</v>
      </c>
      <c r="H3914" s="6">
        <v>2.62</v>
      </c>
      <c r="I3914" s="6">
        <f t="shared" ca="1" si="0"/>
        <v>2.62</v>
      </c>
      <c r="J3914" s="6">
        <f ca="1">IFERROR(__xludf.DUMMYFUNCTION("IFERROR(GOOGLEFINANCE(B3914, ""volume""), 0)"),0)</f>
        <v>0</v>
      </c>
      <c r="K3914" s="6">
        <v>2.75</v>
      </c>
      <c r="L3914" s="6">
        <f ca="1">IFERROR(__xludf.DUMMYFUNCTION("IFERROR(GOOGLEFINANCE(B3914,""changepct""),K3914)"),2.75)</f>
        <v>2.75</v>
      </c>
      <c r="M3914" s="6">
        <f ca="1">IFERROR(__xludf.DUMMYFUNCTION("IFERROR(GOOGLEFINANCE(B3914,""change""),0)"),0)</f>
        <v>0</v>
      </c>
      <c r="N3914" s="6">
        <v>2</v>
      </c>
      <c r="O3914" s="7">
        <v>45536</v>
      </c>
      <c r="P3914" s="6">
        <v>41.83</v>
      </c>
      <c r="Q3914" s="6">
        <v>93.02</v>
      </c>
      <c r="R3914" s="7">
        <v>45536</v>
      </c>
      <c r="S3914" s="6">
        <v>179</v>
      </c>
      <c r="T3914" s="6">
        <v>3.17</v>
      </c>
      <c r="U3914" s="7">
        <v>45536</v>
      </c>
      <c r="V3914" s="6">
        <v>16.170000000000002</v>
      </c>
      <c r="W3914" s="6">
        <f ca="1">IFERROR(__xludf.DUMMYFUNCTION("IFERROR(GOOGLEFINANCE(B3914,""pe""),V3914)"),16.17)</f>
        <v>16.170000000000002</v>
      </c>
      <c r="X3914" s="9"/>
      <c r="Y3914" s="6">
        <v>1.05</v>
      </c>
      <c r="Z3914" s="6">
        <v>2</v>
      </c>
      <c r="AA3914" s="8">
        <v>45352</v>
      </c>
      <c r="AB3914" s="4">
        <v>2.1</v>
      </c>
      <c r="AC3914" s="6">
        <v>6.89</v>
      </c>
      <c r="AD3914" s="6">
        <v>7.88</v>
      </c>
      <c r="AE3914" s="1">
        <v>0</v>
      </c>
      <c r="AF3914" s="1">
        <f ca="1">IFERROR(__xludf.DUMMYFUNCTION("IFERROR(GOOGLEFINANCE(TRIM(F3914)&amp;"":"" &amp; TRIM(B3914),""high52""),AE3914)"),0)</f>
        <v>0</v>
      </c>
      <c r="AG3914" s="1">
        <v>0</v>
      </c>
      <c r="AH3914" s="1">
        <f ca="1">IFERROR(__xludf.DUMMYFUNCTION("IFERROR(GOOGLEFINANCE(TRIM(F3914)&amp;"":"" &amp; TRIM(B3914),""low52""),AE3914)"),0)</f>
        <v>0</v>
      </c>
      <c r="AI3914" s="1">
        <f ca="1">IFERROR(__xludf.DUMMYFUNCTION("IFERROR(GOOGLEFINANCE(B3914,""eps""),0)"),0)</f>
        <v>0</v>
      </c>
      <c r="AJ3914" s="1"/>
      <c r="AK3914" s="1" t="s">
        <v>11920</v>
      </c>
      <c r="AL3914" s="9">
        <f t="shared" si="364"/>
        <v>1</v>
      </c>
    </row>
    <row r="3915" spans="1:38" ht="15" x14ac:dyDescent="0.25">
      <c r="A3915" s="1" t="s">
        <v>11921</v>
      </c>
      <c r="B3915" s="1" t="s">
        <v>11922</v>
      </c>
      <c r="C3915" s="1" t="s">
        <v>186</v>
      </c>
      <c r="D3915" s="1" t="s">
        <v>186</v>
      </c>
      <c r="E3915" s="6">
        <v>17.440000000000001</v>
      </c>
      <c r="F3915" s="1" t="s">
        <v>53</v>
      </c>
      <c r="G3915" s="6">
        <f ca="1">IFERROR(__xludf.DUMMYFUNCTION("iferror(GOOGLEFINANCE(TRIM(F3915)&amp;"":"" &amp; TRIM(B3915), ""price""),0
)"),0)</f>
        <v>0</v>
      </c>
      <c r="H3915" s="6">
        <v>29.65</v>
      </c>
      <c r="I3915" s="6">
        <f t="shared" ca="1" si="0"/>
        <v>29.65</v>
      </c>
      <c r="J3915" s="6">
        <f ca="1">IFERROR(__xludf.DUMMYFUNCTION("IFERROR(GOOGLEFINANCE(B3915, ""volume""), 0)"),0)</f>
        <v>0</v>
      </c>
      <c r="K3915" s="6">
        <v>-1.98</v>
      </c>
      <c r="L3915" s="6">
        <f ca="1">IFERROR(__xludf.DUMMYFUNCTION("IFERROR(GOOGLEFINANCE(B3915,""changepct""),K3915)"),-1.98)</f>
        <v>-1.98</v>
      </c>
      <c r="M3915" s="6">
        <f ca="1">IFERROR(__xludf.DUMMYFUNCTION("IFERROR(GOOGLEFINANCE(B3915,""change""),0)"),0)</f>
        <v>0</v>
      </c>
      <c r="N3915" s="6">
        <v>1</v>
      </c>
      <c r="O3915" s="7">
        <v>45536</v>
      </c>
      <c r="P3915" s="9"/>
      <c r="Q3915" s="6">
        <v>17.440000000000001</v>
      </c>
      <c r="R3915" s="7">
        <v>45536</v>
      </c>
      <c r="S3915" s="6">
        <v>1</v>
      </c>
      <c r="T3915" s="6">
        <v>0.21</v>
      </c>
      <c r="U3915" s="7">
        <v>45536</v>
      </c>
      <c r="V3915" s="6">
        <v>82.28</v>
      </c>
      <c r="W3915" s="6">
        <f ca="1">IFERROR(__xludf.DUMMYFUNCTION("IFERROR(GOOGLEFINANCE(B3915,""pe""),V3915)"),82.28)</f>
        <v>82.28</v>
      </c>
      <c r="X3915" s="9"/>
      <c r="Y3915" s="6">
        <v>1.04</v>
      </c>
      <c r="Z3915" s="6">
        <v>1</v>
      </c>
      <c r="AA3915" s="17">
        <v>45352</v>
      </c>
      <c r="AB3915" s="18">
        <v>0</v>
      </c>
      <c r="AC3915" s="6">
        <v>-0.72</v>
      </c>
      <c r="AD3915" s="6">
        <v>-0.68</v>
      </c>
      <c r="AE3915" s="1">
        <v>0</v>
      </c>
      <c r="AF3915" s="1">
        <f ca="1">IFERROR(__xludf.DUMMYFUNCTION("IFERROR(GOOGLEFINANCE(TRIM(F3915)&amp;"":"" &amp; TRIM(B3915),""high52""),AE3915)"),0)</f>
        <v>0</v>
      </c>
      <c r="AG3915" s="1">
        <v>0</v>
      </c>
      <c r="AH3915" s="1">
        <f ca="1">IFERROR(__xludf.DUMMYFUNCTION("IFERROR(GOOGLEFINANCE(TRIM(F3915)&amp;"":"" &amp; TRIM(B3915),""low52""),AE3915)"),0)</f>
        <v>0</v>
      </c>
      <c r="AI3915" s="1">
        <f ca="1">IFERROR(__xludf.DUMMYFUNCTION("IFERROR(GOOGLEFINANCE(B3915,""eps""),0)"),0)</f>
        <v>0</v>
      </c>
      <c r="AJ3915" s="1"/>
      <c r="AK3915" s="1" t="s">
        <v>11923</v>
      </c>
      <c r="AL3915" s="9">
        <f t="shared" si="364"/>
        <v>1</v>
      </c>
    </row>
    <row r="3916" spans="1:38" ht="15" x14ac:dyDescent="0.25">
      <c r="A3916" s="1" t="s">
        <v>11924</v>
      </c>
      <c r="B3916" s="1" t="s">
        <v>11925</v>
      </c>
      <c r="C3916" s="1" t="s">
        <v>208</v>
      </c>
      <c r="D3916" s="1" t="s">
        <v>208</v>
      </c>
      <c r="E3916" s="6">
        <v>118.08</v>
      </c>
      <c r="F3916" s="1" t="s">
        <v>40</v>
      </c>
      <c r="G3916" s="6">
        <f ca="1">IFERROR(__xludf.DUMMYFUNCTION("iferror(GOOGLEFINANCE(TRIM(F3916)&amp;"":"" &amp; TRIM(B3916), ""price""),0
)"),13.8)</f>
        <v>13.8</v>
      </c>
      <c r="H3916" s="6">
        <v>21.81</v>
      </c>
      <c r="I3916" s="6">
        <f t="shared" ca="1" si="0"/>
        <v>13.8</v>
      </c>
      <c r="J3916" s="6">
        <f ca="1">IFERROR(__xludf.DUMMYFUNCTION("IFERROR(GOOGLEFINANCE(B3916, ""volume""), 0)"),0)</f>
        <v>0</v>
      </c>
      <c r="K3916" s="6">
        <v>-1.76</v>
      </c>
      <c r="L3916" s="6">
        <f ca="1">IFERROR(__xludf.DUMMYFUNCTION("IFERROR(GOOGLEFINANCE(B3916,""changepct""),K3916)"),0)</f>
        <v>0</v>
      </c>
      <c r="M3916" s="6">
        <f ca="1">IFERROR(__xludf.DUMMYFUNCTION("IFERROR(GOOGLEFINANCE(B3916,""change""),0)"),0)</f>
        <v>0</v>
      </c>
      <c r="N3916" s="6">
        <v>2</v>
      </c>
      <c r="O3916" s="7">
        <v>45536</v>
      </c>
      <c r="P3916" s="6">
        <v>2.4500000000000002</v>
      </c>
      <c r="Q3916" s="7">
        <v>45536</v>
      </c>
      <c r="R3916" s="6">
        <v>48.14</v>
      </c>
      <c r="S3916" s="6">
        <v>3.93</v>
      </c>
      <c r="T3916" s="6">
        <v>3.14</v>
      </c>
      <c r="U3916" s="6">
        <v>2</v>
      </c>
      <c r="V3916" s="7">
        <v>45352</v>
      </c>
      <c r="W3916" s="10">
        <f ca="1">IFERROR(__xludf.DUMMYFUNCTION("IFERROR(GOOGLEFINANCE(B3916,""pe""),V3916)"),45352)</f>
        <v>45352</v>
      </c>
      <c r="X3916" s="6">
        <v>1.27</v>
      </c>
      <c r="Y3916" s="6">
        <v>2.69</v>
      </c>
      <c r="Z3916" s="6">
        <v>8.01</v>
      </c>
      <c r="AA3916" s="3" t="s">
        <v>11926</v>
      </c>
      <c r="AB3916" s="11"/>
      <c r="AC3916" s="9"/>
      <c r="AD3916" s="9"/>
      <c r="AE3916" s="1">
        <v>0</v>
      </c>
      <c r="AF3916" s="1">
        <f ca="1">IFERROR(__xludf.DUMMYFUNCTION("IFERROR(GOOGLEFINANCE(TRIM(F3916)&amp;"":"" &amp; TRIM(B3916),""high52""),AE3916)"),21.5)</f>
        <v>21.5</v>
      </c>
      <c r="AG3916" s="1">
        <v>0</v>
      </c>
      <c r="AH3916" s="1">
        <f ca="1">IFERROR(__xludf.DUMMYFUNCTION("IFERROR(GOOGLEFINANCE(TRIM(F3916)&amp;"":"" &amp; TRIM(B3916),""low52""),AE3916)"),11.75)</f>
        <v>11.75</v>
      </c>
      <c r="AI3916" s="1">
        <f ca="1">IFERROR(__xludf.DUMMYFUNCTION("IFERROR(GOOGLEFINANCE(B3916,""eps""),0)"),-0.02)</f>
        <v>-0.02</v>
      </c>
      <c r="AJ3916" s="1"/>
      <c r="AK3916" s="1" t="s">
        <v>11927</v>
      </c>
      <c r="AL3916" s="9">
        <f t="shared" si="364"/>
        <v>1</v>
      </c>
    </row>
    <row r="3917" spans="1:38" ht="15" x14ac:dyDescent="0.25">
      <c r="A3917" s="1" t="s">
        <v>11928</v>
      </c>
      <c r="B3917" s="1" t="s">
        <v>11929</v>
      </c>
      <c r="C3917" s="1" t="s">
        <v>186</v>
      </c>
      <c r="D3917" s="1" t="s">
        <v>186</v>
      </c>
      <c r="E3917" s="6">
        <v>73.790000000000006</v>
      </c>
      <c r="F3917" s="1" t="s">
        <v>53</v>
      </c>
      <c r="G3917" s="6">
        <f ca="1">IFERROR(__xludf.DUMMYFUNCTION("iferror(GOOGLEFINANCE(TRIM(F3917)&amp;"":"" &amp; TRIM(B3917), ""price""),0
)"),0)</f>
        <v>0</v>
      </c>
      <c r="H3917" s="6">
        <v>130</v>
      </c>
      <c r="I3917" s="6">
        <f t="shared" ca="1" si="0"/>
        <v>130</v>
      </c>
      <c r="J3917" s="6">
        <f ca="1">IFERROR(__xludf.DUMMYFUNCTION("IFERROR(GOOGLEFINANCE(B3917, ""volume""), 0)"),0)</f>
        <v>0</v>
      </c>
      <c r="K3917" s="6">
        <v>-1.48</v>
      </c>
      <c r="L3917" s="6">
        <f ca="1">IFERROR(__xludf.DUMMYFUNCTION("IFERROR(GOOGLEFINANCE(B3917,""changepct""),K3917)"),-1.48)</f>
        <v>-1.48</v>
      </c>
      <c r="M3917" s="6">
        <f ca="1">IFERROR(__xludf.DUMMYFUNCTION("IFERROR(GOOGLEFINANCE(B3917,""change""),0)"),0)</f>
        <v>0</v>
      </c>
      <c r="N3917" s="6">
        <v>1</v>
      </c>
      <c r="O3917" s="7">
        <v>45536</v>
      </c>
      <c r="P3917" s="6">
        <v>4.5599999999999996</v>
      </c>
      <c r="Q3917" s="6">
        <v>78.27</v>
      </c>
      <c r="R3917" s="7">
        <v>45536</v>
      </c>
      <c r="S3917" s="6">
        <v>41.78</v>
      </c>
      <c r="T3917" s="6">
        <v>2.42</v>
      </c>
      <c r="U3917" s="7">
        <v>45536</v>
      </c>
      <c r="V3917" s="6">
        <v>30.48</v>
      </c>
      <c r="W3917" s="6">
        <f ca="1">IFERROR(__xludf.DUMMYFUNCTION("IFERROR(GOOGLEFINANCE(B3917,""pe""),V3917)"),30.48)</f>
        <v>30.48</v>
      </c>
      <c r="X3917" s="6">
        <v>1.49</v>
      </c>
      <c r="Y3917" s="6">
        <v>1.51</v>
      </c>
      <c r="Z3917" s="6">
        <v>1</v>
      </c>
      <c r="AA3917" s="17">
        <v>45352</v>
      </c>
      <c r="AB3917" s="18">
        <v>0.17</v>
      </c>
      <c r="AC3917" s="6">
        <v>6.73</v>
      </c>
      <c r="AD3917" s="6">
        <v>7.96</v>
      </c>
      <c r="AE3917" s="1">
        <v>0</v>
      </c>
      <c r="AF3917" s="1">
        <f ca="1">IFERROR(__xludf.DUMMYFUNCTION("IFERROR(GOOGLEFINANCE(TRIM(F3917)&amp;"":"" &amp; TRIM(B3917),""high52""),AE3917)"),0)</f>
        <v>0</v>
      </c>
      <c r="AG3917" s="1">
        <v>0</v>
      </c>
      <c r="AH3917" s="1">
        <f ca="1">IFERROR(__xludf.DUMMYFUNCTION("IFERROR(GOOGLEFINANCE(TRIM(F3917)&amp;"":"" &amp; TRIM(B3917),""low52""),AE3917)"),0)</f>
        <v>0</v>
      </c>
      <c r="AI3917" s="1">
        <f ca="1">IFERROR(__xludf.DUMMYFUNCTION("IFERROR(GOOGLEFINANCE(B3917,""eps""),0)"),0)</f>
        <v>0</v>
      </c>
      <c r="AJ3917" s="1"/>
      <c r="AK3917" s="1" t="s">
        <v>11930</v>
      </c>
      <c r="AL3917" s="9">
        <f t="shared" si="364"/>
        <v>1</v>
      </c>
    </row>
    <row r="3918" spans="1:38" ht="15" x14ac:dyDescent="0.25">
      <c r="A3918" s="1" t="s">
        <v>11931</v>
      </c>
      <c r="B3918" s="1" t="s">
        <v>11932</v>
      </c>
      <c r="C3918" s="1" t="s">
        <v>86</v>
      </c>
      <c r="D3918" s="1" t="s">
        <v>86</v>
      </c>
      <c r="E3918" s="6">
        <v>14.38</v>
      </c>
      <c r="F3918" s="1" t="s">
        <v>40</v>
      </c>
      <c r="G3918" s="6">
        <f ca="1">IFERROR(__xludf.DUMMYFUNCTION("iferror(GOOGLEFINANCE(TRIM(F3918)&amp;"":"" &amp; TRIM(B3918), ""price""),0
)"),0)</f>
        <v>0</v>
      </c>
      <c r="H3918" s="6">
        <v>21.5</v>
      </c>
      <c r="I3918" s="6">
        <f t="shared" ca="1" si="0"/>
        <v>21.5</v>
      </c>
      <c r="J3918" s="6">
        <f ca="1">IFERROR(__xludf.DUMMYFUNCTION("IFERROR(GOOGLEFINANCE(B3918, ""volume""), 0)"),0)</f>
        <v>0</v>
      </c>
      <c r="K3918" s="9"/>
      <c r="L3918" s="6" t="str">
        <f ca="1">IFERROR(__xludf.DUMMYFUNCTION("IFERROR(GOOGLEFINANCE(B3918,""changepct""),K3918)"),"")</f>
        <v/>
      </c>
      <c r="M3918" s="6">
        <f ca="1">IFERROR(__xludf.DUMMYFUNCTION("IFERROR(GOOGLEFINANCE(B3918,""change""),0)"),0)</f>
        <v>0</v>
      </c>
      <c r="N3918" s="6">
        <v>1</v>
      </c>
      <c r="O3918" s="7">
        <v>45536</v>
      </c>
      <c r="P3918" s="6">
        <v>3.11</v>
      </c>
      <c r="Q3918" s="6">
        <v>17.489999999999998</v>
      </c>
      <c r="R3918" s="7">
        <v>45352</v>
      </c>
      <c r="S3918" s="6">
        <v>14.8</v>
      </c>
      <c r="T3918" s="6">
        <v>0.55000000000000004</v>
      </c>
      <c r="U3918" s="7">
        <v>45352</v>
      </c>
      <c r="V3918" s="6">
        <v>26.34</v>
      </c>
      <c r="W3918" s="6">
        <f ca="1">IFERROR(__xludf.DUMMYFUNCTION("IFERROR(GOOGLEFINANCE(B3918,""pe""),V3918)"),26.34)</f>
        <v>26.34</v>
      </c>
      <c r="X3918" s="6">
        <v>1.29</v>
      </c>
      <c r="Y3918" s="6">
        <v>0.91</v>
      </c>
      <c r="Z3918" s="6">
        <v>1</v>
      </c>
      <c r="AA3918" s="8">
        <v>45352</v>
      </c>
      <c r="AB3918" s="4">
        <v>0.04</v>
      </c>
      <c r="AC3918" s="6">
        <v>3.5</v>
      </c>
      <c r="AD3918" s="6">
        <v>4.87</v>
      </c>
      <c r="AE3918" s="1">
        <v>0</v>
      </c>
      <c r="AF3918" s="1">
        <f ca="1">IFERROR(__xludf.DUMMYFUNCTION("IFERROR(GOOGLEFINANCE(TRIM(F3918)&amp;"":"" &amp; TRIM(B3918),""high52""),AE3918)"),0)</f>
        <v>0</v>
      </c>
      <c r="AG3918" s="1">
        <v>0</v>
      </c>
      <c r="AH3918" s="1">
        <f ca="1">IFERROR(__xludf.DUMMYFUNCTION("IFERROR(GOOGLEFINANCE(TRIM(F3918)&amp;"":"" &amp; TRIM(B3918),""low52""),AE3918)"),0)</f>
        <v>0</v>
      </c>
      <c r="AI3918" s="1">
        <f ca="1">IFERROR(__xludf.DUMMYFUNCTION("IFERROR(GOOGLEFINANCE(B3918,""eps""),0)"),0)</f>
        <v>0</v>
      </c>
      <c r="AJ3918" s="1"/>
      <c r="AK3918" s="9"/>
      <c r="AL3918" s="9">
        <f t="shared" si="364"/>
        <v>1</v>
      </c>
    </row>
    <row r="3919" spans="1:38" ht="15" x14ac:dyDescent="0.25">
      <c r="A3919" s="1" t="s">
        <v>11933</v>
      </c>
      <c r="B3919" s="1" t="s">
        <v>11934</v>
      </c>
      <c r="C3919" s="1" t="s">
        <v>231</v>
      </c>
      <c r="D3919" s="1" t="s">
        <v>231</v>
      </c>
      <c r="E3919" s="6">
        <v>916.07</v>
      </c>
      <c r="F3919" s="1" t="s">
        <v>40</v>
      </c>
      <c r="G3919" s="6">
        <f ca="1">IFERROR(__xludf.DUMMYFUNCTION("iferror(GOOGLEFINANCE(TRIM(F3919)&amp;"":"" &amp; TRIM(B3919), ""price""),0
)"),175.12)</f>
        <v>175.12</v>
      </c>
      <c r="H3919" s="6">
        <v>423.3</v>
      </c>
      <c r="I3919" s="6">
        <f t="shared" ca="1" si="0"/>
        <v>175.12</v>
      </c>
      <c r="J3919" s="6">
        <f ca="1">IFERROR(__xludf.DUMMYFUNCTION("IFERROR(GOOGLEFINANCE(B3919, ""volume""), 0)"),11738)</f>
        <v>11738</v>
      </c>
      <c r="K3919" s="6">
        <v>1.57</v>
      </c>
      <c r="L3919" s="6">
        <f ca="1">IFERROR(__xludf.DUMMYFUNCTION("IFERROR(GOOGLEFINANCE(B3919,""changepct""),K3919)"),-3.21)</f>
        <v>-3.21</v>
      </c>
      <c r="M3919" s="6">
        <f ca="1">IFERROR(__xludf.DUMMYFUNCTION("IFERROR(GOOGLEFINANCE(B3919,""change""),0)"),-5.8)</f>
        <v>-5.8</v>
      </c>
      <c r="N3919" s="6">
        <v>2</v>
      </c>
      <c r="O3919" s="7">
        <v>45536</v>
      </c>
      <c r="P3919" s="6">
        <v>381.64</v>
      </c>
      <c r="Q3919" s="6">
        <v>1262.69</v>
      </c>
      <c r="R3919" s="7">
        <v>45536</v>
      </c>
      <c r="S3919" s="6">
        <v>380</v>
      </c>
      <c r="T3919" s="6">
        <v>6.14</v>
      </c>
      <c r="U3919" s="7">
        <v>45536</v>
      </c>
      <c r="V3919" s="6">
        <v>148.94999999999999</v>
      </c>
      <c r="W3919" s="6">
        <f ca="1">IFERROR(__xludf.DUMMYFUNCTION("IFERROR(GOOGLEFINANCE(B3919,""pe""),V3919)"),148.95)</f>
        <v>148.94999999999999</v>
      </c>
      <c r="X3919" s="9"/>
      <c r="Y3919" s="6">
        <v>1.1599999999999999</v>
      </c>
      <c r="Z3919" s="6">
        <v>2</v>
      </c>
      <c r="AA3919" s="8">
        <v>45352</v>
      </c>
      <c r="AB3919" s="4">
        <v>0.53</v>
      </c>
      <c r="AC3919" s="6">
        <v>-6.44</v>
      </c>
      <c r="AD3919" s="6">
        <v>-0.83</v>
      </c>
      <c r="AE3919" s="1">
        <v>0</v>
      </c>
      <c r="AF3919" s="1">
        <f ca="1">IFERROR(__xludf.DUMMYFUNCTION("IFERROR(GOOGLEFINANCE(TRIM(F3919)&amp;"":"" &amp; TRIM(B3919),""high52""),AE3919)"),343.65)</f>
        <v>343.65</v>
      </c>
      <c r="AG3919" s="1">
        <v>0</v>
      </c>
      <c r="AH3919" s="1">
        <f ca="1">IFERROR(__xludf.DUMMYFUNCTION("IFERROR(GOOGLEFINANCE(TRIM(F3919)&amp;"":"" &amp; TRIM(B3919),""low52""),AE3919)"),140)</f>
        <v>140</v>
      </c>
      <c r="AI3919" s="1">
        <f ca="1">IFERROR(__xludf.DUMMYFUNCTION("IFERROR(GOOGLEFINANCE(B3919,""eps""),0)"),-22.93)</f>
        <v>-22.93</v>
      </c>
      <c r="AJ3919" s="1"/>
      <c r="AK3919" s="1" t="s">
        <v>11935</v>
      </c>
      <c r="AL3919" s="9">
        <f t="shared" si="364"/>
        <v>1</v>
      </c>
    </row>
    <row r="3920" spans="1:38" ht="15" x14ac:dyDescent="0.25">
      <c r="A3920" s="1" t="s">
        <v>11936</v>
      </c>
      <c r="B3920" s="1" t="s">
        <v>11937</v>
      </c>
      <c r="C3920" s="1" t="s">
        <v>186</v>
      </c>
      <c r="D3920" s="1" t="s">
        <v>186</v>
      </c>
      <c r="E3920" s="6">
        <v>107.24</v>
      </c>
      <c r="F3920" s="1" t="s">
        <v>53</v>
      </c>
      <c r="G3920" s="6">
        <f ca="1">IFERROR(__xludf.DUMMYFUNCTION("iferror(GOOGLEFINANCE(TRIM(F3920)&amp;"":"" &amp; TRIM(B3920), ""price""),0
)"),0)</f>
        <v>0</v>
      </c>
      <c r="H3920" s="6">
        <v>159.19999999999999</v>
      </c>
      <c r="I3920" s="6">
        <f t="shared" ca="1" si="0"/>
        <v>159.19999999999999</v>
      </c>
      <c r="J3920" s="6">
        <f ca="1">IFERROR(__xludf.DUMMYFUNCTION("IFERROR(GOOGLEFINANCE(B3920, ""volume""), 0)"),0)</f>
        <v>0</v>
      </c>
      <c r="K3920" s="6">
        <v>-3.52</v>
      </c>
      <c r="L3920" s="6">
        <f ca="1">IFERROR(__xludf.DUMMYFUNCTION("IFERROR(GOOGLEFINANCE(B3920,""changepct""),K3920)"),-3.52)</f>
        <v>-3.52</v>
      </c>
      <c r="M3920" s="6">
        <f ca="1">IFERROR(__xludf.DUMMYFUNCTION("IFERROR(GOOGLEFINANCE(B3920,""change""),0)"),0)</f>
        <v>0</v>
      </c>
      <c r="N3920" s="6">
        <v>2</v>
      </c>
      <c r="O3920" s="7">
        <v>45536</v>
      </c>
      <c r="P3920" s="6">
        <v>303.12</v>
      </c>
      <c r="Q3920" s="6">
        <v>405.85</v>
      </c>
      <c r="R3920" s="7">
        <v>45536</v>
      </c>
      <c r="S3920" s="6">
        <v>98.71</v>
      </c>
      <c r="T3920" s="6">
        <v>-25.8</v>
      </c>
      <c r="U3920" s="7">
        <v>45536</v>
      </c>
      <c r="V3920" s="6">
        <v>0</v>
      </c>
      <c r="W3920" s="6">
        <f ca="1">IFERROR(__xludf.DUMMYFUNCTION("IFERROR(GOOGLEFINANCE(B3920,""pe""),V3920)"),0)</f>
        <v>0</v>
      </c>
      <c r="X3920" s="6">
        <v>0</v>
      </c>
      <c r="Y3920" s="6">
        <v>-0.6</v>
      </c>
      <c r="Z3920" s="6">
        <v>2</v>
      </c>
      <c r="AA3920" s="8">
        <v>45352</v>
      </c>
      <c r="AB3920" s="4">
        <v>-2.5099999999999998</v>
      </c>
      <c r="AC3920" s="6">
        <v>0</v>
      </c>
      <c r="AD3920" s="6">
        <v>2.42</v>
      </c>
      <c r="AE3920" s="1">
        <v>0</v>
      </c>
      <c r="AF3920" s="1">
        <f ca="1">IFERROR(__xludf.DUMMYFUNCTION("IFERROR(GOOGLEFINANCE(TRIM(F3920)&amp;"":"" &amp; TRIM(B3920),""high52""),AE3920)"),0)</f>
        <v>0</v>
      </c>
      <c r="AG3920" s="1">
        <v>0</v>
      </c>
      <c r="AH3920" s="1">
        <f ca="1">IFERROR(__xludf.DUMMYFUNCTION("IFERROR(GOOGLEFINANCE(TRIM(F3920)&amp;"":"" &amp; TRIM(B3920),""low52""),AE3920)"),0)</f>
        <v>0</v>
      </c>
      <c r="AI3920" s="1">
        <f ca="1">IFERROR(__xludf.DUMMYFUNCTION("IFERROR(GOOGLEFINANCE(B3920,""eps""),0)"),0)</f>
        <v>0</v>
      </c>
      <c r="AJ3920" s="1"/>
      <c r="AK3920" s="1" t="s">
        <v>11938</v>
      </c>
      <c r="AL3920" s="9">
        <f t="shared" si="364"/>
        <v>1</v>
      </c>
    </row>
    <row r="3921" spans="1:38" ht="15" x14ac:dyDescent="0.25">
      <c r="A3921" s="1" t="s">
        <v>11939</v>
      </c>
      <c r="B3921" s="1" t="s">
        <v>11940</v>
      </c>
      <c r="C3921" s="1" t="s">
        <v>321</v>
      </c>
      <c r="D3921" s="1" t="s">
        <v>321</v>
      </c>
      <c r="E3921" s="6">
        <v>72.989999999999995</v>
      </c>
      <c r="F3921" s="1" t="s">
        <v>40</v>
      </c>
      <c r="G3921" s="6">
        <f ca="1">IFERROR(__xludf.DUMMYFUNCTION("iferror(GOOGLEFINANCE(TRIM(F3921)&amp;"":"" &amp; TRIM(B3921), ""price""),0
)"),7.54)</f>
        <v>7.54</v>
      </c>
      <c r="H3921" s="6">
        <v>16.899999999999999</v>
      </c>
      <c r="I3921" s="6">
        <f t="shared" ca="1" si="0"/>
        <v>7.54</v>
      </c>
      <c r="J3921" s="6">
        <f ca="1">IFERROR(__xludf.DUMMYFUNCTION("IFERROR(GOOGLEFINANCE(B3921, ""volume""), 0)"),10388)</f>
        <v>10388</v>
      </c>
      <c r="K3921" s="9"/>
      <c r="L3921" s="6">
        <f ca="1">IFERROR(__xludf.DUMMYFUNCTION("IFERROR(GOOGLEFINANCE(B3921,""changepct""),K3921)"),-2.08)</f>
        <v>-2.08</v>
      </c>
      <c r="M3921" s="6">
        <f ca="1">IFERROR(__xludf.DUMMYFUNCTION("IFERROR(GOOGLEFINANCE(B3921,""change""),0)"),-0.16)</f>
        <v>-0.16</v>
      </c>
      <c r="N3921" s="6">
        <v>2</v>
      </c>
      <c r="O3921" s="7">
        <v>45536</v>
      </c>
      <c r="P3921" s="9"/>
      <c r="Q3921" s="6">
        <v>72.989999999999995</v>
      </c>
      <c r="R3921" s="7">
        <v>45536</v>
      </c>
      <c r="S3921" s="6">
        <v>8.4</v>
      </c>
      <c r="T3921" s="6">
        <v>-3.17</v>
      </c>
      <c r="U3921" s="7">
        <v>45536</v>
      </c>
      <c r="V3921" s="6">
        <v>0</v>
      </c>
      <c r="W3921" s="6">
        <f ca="1">IFERROR(__xludf.DUMMYFUNCTION("IFERROR(GOOGLEFINANCE(B3921,""pe""),V3921)"),0)</f>
        <v>0</v>
      </c>
      <c r="X3921" s="6">
        <v>0</v>
      </c>
      <c r="Y3921" s="6">
        <v>0.34</v>
      </c>
      <c r="Z3921" s="6">
        <v>2</v>
      </c>
      <c r="AA3921" s="8">
        <v>45352</v>
      </c>
      <c r="AB3921" s="4">
        <v>0</v>
      </c>
      <c r="AC3921" s="6">
        <v>-1.75</v>
      </c>
      <c r="AD3921" s="6">
        <v>0.05</v>
      </c>
      <c r="AE3921" s="1">
        <v>0</v>
      </c>
      <c r="AF3921" s="1">
        <f ca="1">IFERROR(__xludf.DUMMYFUNCTION("IFERROR(GOOGLEFINANCE(TRIM(F3921)&amp;"":"" &amp; TRIM(B3921),""high52""),AE3921)"),17.57)</f>
        <v>17.57</v>
      </c>
      <c r="AG3921" s="1">
        <v>0</v>
      </c>
      <c r="AH3921" s="1">
        <f ca="1">IFERROR(__xludf.DUMMYFUNCTION("IFERROR(GOOGLEFINANCE(TRIM(F3921)&amp;"":"" &amp; TRIM(B3921),""low52""),AE3921)"),6.19)</f>
        <v>6.19</v>
      </c>
      <c r="AI3921" s="1">
        <f ca="1">IFERROR(__xludf.DUMMYFUNCTION("IFERROR(GOOGLEFINANCE(B3921,""eps""),0)"),-3.85)</f>
        <v>-3.85</v>
      </c>
      <c r="AJ3921" s="1"/>
      <c r="AK3921" s="1" t="s">
        <v>11941</v>
      </c>
      <c r="AL3921" s="9">
        <f t="shared" si="364"/>
        <v>1</v>
      </c>
    </row>
    <row r="3922" spans="1:38" ht="15" x14ac:dyDescent="0.25">
      <c r="A3922" s="1" t="s">
        <v>11942</v>
      </c>
      <c r="B3922" s="1" t="s">
        <v>11943</v>
      </c>
      <c r="C3922" s="1" t="s">
        <v>186</v>
      </c>
      <c r="D3922" s="1" t="s">
        <v>186</v>
      </c>
      <c r="E3922" s="6">
        <v>8.09</v>
      </c>
      <c r="F3922" s="1" t="s">
        <v>53</v>
      </c>
      <c r="G3922" s="6">
        <f ca="1">IFERROR(__xludf.DUMMYFUNCTION("iferror(GOOGLEFINANCE(TRIM(F3922)&amp;"":"" &amp; TRIM(B3922), ""price""),0
)"),0)</f>
        <v>0</v>
      </c>
      <c r="H3922" s="6">
        <v>5.35</v>
      </c>
      <c r="I3922" s="6">
        <f t="shared" ca="1" si="0"/>
        <v>5.35</v>
      </c>
      <c r="J3922" s="6">
        <f ca="1">IFERROR(__xludf.DUMMYFUNCTION("IFERROR(GOOGLEFINANCE(B3922, ""volume""), 0)"),0)</f>
        <v>0</v>
      </c>
      <c r="K3922" s="6">
        <v>1.1299999999999999</v>
      </c>
      <c r="L3922" s="6">
        <f ca="1">IFERROR(__xludf.DUMMYFUNCTION("IFERROR(GOOGLEFINANCE(B3922,""changepct""),K3922)"),1.13)</f>
        <v>1.1299999999999999</v>
      </c>
      <c r="M3922" s="6">
        <f ca="1">IFERROR(__xludf.DUMMYFUNCTION("IFERROR(GOOGLEFINANCE(B3922,""change""),0)"),0)</f>
        <v>0</v>
      </c>
      <c r="N3922" s="6">
        <v>1</v>
      </c>
      <c r="O3922" s="7">
        <v>45536</v>
      </c>
      <c r="P3922" s="6">
        <v>1.1499999999999999</v>
      </c>
      <c r="Q3922" s="6">
        <v>9.23</v>
      </c>
      <c r="R3922" s="7">
        <v>45536</v>
      </c>
      <c r="S3922" s="6">
        <v>0</v>
      </c>
      <c r="T3922" s="6">
        <v>0.54</v>
      </c>
      <c r="U3922" s="7">
        <v>45536</v>
      </c>
      <c r="V3922" s="6">
        <v>14.92</v>
      </c>
      <c r="W3922" s="6">
        <f ca="1">IFERROR(__xludf.DUMMYFUNCTION("IFERROR(GOOGLEFINANCE(B3922,""pe""),V3922)"),14.92)</f>
        <v>14.92</v>
      </c>
      <c r="X3922" s="6">
        <v>3.38</v>
      </c>
      <c r="Y3922" s="6">
        <v>1.46</v>
      </c>
      <c r="Z3922" s="6">
        <v>1</v>
      </c>
      <c r="AA3922" s="8">
        <v>45352</v>
      </c>
      <c r="AB3922" s="4">
        <v>0.25</v>
      </c>
      <c r="AC3922" s="6">
        <v>18.420000000000002</v>
      </c>
      <c r="AD3922" s="6">
        <v>18.739999999999998</v>
      </c>
      <c r="AE3922" s="1">
        <v>0</v>
      </c>
      <c r="AF3922" s="1">
        <f ca="1">IFERROR(__xludf.DUMMYFUNCTION("IFERROR(GOOGLEFINANCE(TRIM(F3922)&amp;"":"" &amp; TRIM(B3922),""high52""),AE3922)"),0)</f>
        <v>0</v>
      </c>
      <c r="AG3922" s="1">
        <v>0</v>
      </c>
      <c r="AH3922" s="1">
        <f ca="1">IFERROR(__xludf.DUMMYFUNCTION("IFERROR(GOOGLEFINANCE(TRIM(F3922)&amp;"":"" &amp; TRIM(B3922),""low52""),AE3922)"),0)</f>
        <v>0</v>
      </c>
      <c r="AI3922" s="1">
        <f ca="1">IFERROR(__xludf.DUMMYFUNCTION("IFERROR(GOOGLEFINANCE(B3922,""eps""),0)"),0)</f>
        <v>0</v>
      </c>
      <c r="AJ3922" s="1"/>
      <c r="AK3922" s="1" t="s">
        <v>11944</v>
      </c>
      <c r="AL3922" s="9">
        <f t="shared" si="364"/>
        <v>1</v>
      </c>
    </row>
    <row r="3923" spans="1:38" ht="15" x14ac:dyDescent="0.25">
      <c r="A3923" s="1" t="s">
        <v>11945</v>
      </c>
      <c r="B3923" s="1" t="s">
        <v>11946</v>
      </c>
      <c r="C3923" s="1" t="s">
        <v>186</v>
      </c>
      <c r="D3923" s="1" t="s">
        <v>186</v>
      </c>
      <c r="E3923" s="6">
        <v>6.54</v>
      </c>
      <c r="F3923" s="1" t="s">
        <v>53</v>
      </c>
      <c r="G3923" s="6">
        <f ca="1">IFERROR(__xludf.DUMMYFUNCTION("iferror(GOOGLEFINANCE(TRIM(F3923)&amp;"":"" &amp; TRIM(B3923), ""price""),0
)"),0)</f>
        <v>0</v>
      </c>
      <c r="H3923" s="6">
        <v>106.1</v>
      </c>
      <c r="I3923" s="6">
        <f t="shared" ca="1" si="0"/>
        <v>106.1</v>
      </c>
      <c r="J3923" s="6">
        <f ca="1">IFERROR(__xludf.DUMMYFUNCTION("IFERROR(GOOGLEFINANCE(B3923, ""volume""), 0)"),0)</f>
        <v>0</v>
      </c>
      <c r="K3923" s="6">
        <v>5</v>
      </c>
      <c r="L3923" s="6">
        <f ca="1">IFERROR(__xludf.DUMMYFUNCTION("IFERROR(GOOGLEFINANCE(B3923,""changepct""),K3923)"),5)</f>
        <v>5</v>
      </c>
      <c r="M3923" s="6">
        <f ca="1">IFERROR(__xludf.DUMMYFUNCTION("IFERROR(GOOGLEFINANCE(B3923,""change""),0)"),0)</f>
        <v>0</v>
      </c>
      <c r="N3923" s="6">
        <v>1</v>
      </c>
      <c r="O3923" s="7">
        <v>45536</v>
      </c>
      <c r="P3923" s="6">
        <v>1.59</v>
      </c>
      <c r="Q3923" s="6">
        <v>8.1300000000000008</v>
      </c>
      <c r="R3923" s="7">
        <v>45536</v>
      </c>
      <c r="S3923" s="6">
        <v>5.37</v>
      </c>
      <c r="T3923" s="6">
        <v>0.09</v>
      </c>
      <c r="U3923" s="7">
        <v>45536</v>
      </c>
      <c r="V3923" s="6">
        <v>72.64</v>
      </c>
      <c r="W3923" s="6">
        <f ca="1">IFERROR(__xludf.DUMMYFUNCTION("IFERROR(GOOGLEFINANCE(B3923,""pe""),V3923)"),72.64)</f>
        <v>72.64</v>
      </c>
      <c r="X3923" s="6">
        <v>3.9</v>
      </c>
      <c r="Y3923" s="6">
        <v>-4.55</v>
      </c>
      <c r="Z3923" s="6">
        <v>1</v>
      </c>
      <c r="AA3923" s="8">
        <v>45352</v>
      </c>
      <c r="AB3923" s="4">
        <v>-1.1299999999999999</v>
      </c>
      <c r="AC3923" s="6">
        <v>0</v>
      </c>
      <c r="AD3923" s="6">
        <v>70.73</v>
      </c>
      <c r="AE3923" s="1">
        <v>0</v>
      </c>
      <c r="AF3923" s="1">
        <f ca="1">IFERROR(__xludf.DUMMYFUNCTION("IFERROR(GOOGLEFINANCE(TRIM(F3923)&amp;"":"" &amp; TRIM(B3923),""high52""),AE3923)"),0)</f>
        <v>0</v>
      </c>
      <c r="AG3923" s="1">
        <v>0</v>
      </c>
      <c r="AH3923" s="1">
        <f ca="1">IFERROR(__xludf.DUMMYFUNCTION("IFERROR(GOOGLEFINANCE(TRIM(F3923)&amp;"":"" &amp; TRIM(B3923),""low52""),AE3923)"),0)</f>
        <v>0</v>
      </c>
      <c r="AI3923" s="1">
        <f ca="1">IFERROR(__xludf.DUMMYFUNCTION("IFERROR(GOOGLEFINANCE(B3923,""eps""),0)"),0)</f>
        <v>0</v>
      </c>
      <c r="AJ3923" s="1"/>
      <c r="AK3923" s="1" t="s">
        <v>11947</v>
      </c>
      <c r="AL3923" s="9">
        <f t="shared" si="364"/>
        <v>1</v>
      </c>
    </row>
    <row r="3924" spans="1:38" ht="15" x14ac:dyDescent="0.25">
      <c r="A3924" s="1" t="s">
        <v>11948</v>
      </c>
      <c r="B3924" s="1" t="s">
        <v>11949</v>
      </c>
      <c r="C3924" s="1" t="s">
        <v>57</v>
      </c>
      <c r="D3924" s="1" t="s">
        <v>57</v>
      </c>
      <c r="E3924" s="6">
        <v>378.73</v>
      </c>
      <c r="F3924" s="1" t="s">
        <v>40</v>
      </c>
      <c r="G3924" s="6">
        <f ca="1">IFERROR(__xludf.DUMMYFUNCTION("iferror(GOOGLEFINANCE(TRIM(F3924)&amp;"":"" &amp; TRIM(B3924), ""price""),0
)"),195.77)</f>
        <v>195.77</v>
      </c>
      <c r="H3924" s="6">
        <v>256.20999999999998</v>
      </c>
      <c r="I3924" s="6">
        <f t="shared" ca="1" si="0"/>
        <v>195.77</v>
      </c>
      <c r="J3924" s="6">
        <f ca="1">IFERROR(__xludf.DUMMYFUNCTION("IFERROR(GOOGLEFINANCE(B3924, ""volume""), 0)"),4620)</f>
        <v>4620</v>
      </c>
      <c r="K3924" s="6">
        <v>-2.08</v>
      </c>
      <c r="L3924" s="6">
        <f ca="1">IFERROR(__xludf.DUMMYFUNCTION("IFERROR(GOOGLEFINANCE(B3924,""changepct""),K3924)"),-1.05)</f>
        <v>-1.05</v>
      </c>
      <c r="M3924" s="6">
        <f ca="1">IFERROR(__xludf.DUMMYFUNCTION("IFERROR(GOOGLEFINANCE(B3924,""change""),0)"),-2.07)</f>
        <v>-2.0699999999999998</v>
      </c>
      <c r="N3924" s="6">
        <v>2</v>
      </c>
      <c r="O3924" s="7">
        <v>45536</v>
      </c>
      <c r="P3924" s="6">
        <v>1.2</v>
      </c>
      <c r="Q3924" s="6">
        <v>376.79</v>
      </c>
      <c r="R3924" s="7">
        <v>45536</v>
      </c>
      <c r="S3924" s="6">
        <v>25.18</v>
      </c>
      <c r="T3924" s="6">
        <v>14.67</v>
      </c>
      <c r="U3924" s="7">
        <v>45536</v>
      </c>
      <c r="V3924" s="6">
        <v>27.18</v>
      </c>
      <c r="W3924" s="6">
        <f ca="1">IFERROR(__xludf.DUMMYFUNCTION("IFERROR(GOOGLEFINANCE(B3924,""pe""),V3924)"),63.07)</f>
        <v>63.07</v>
      </c>
      <c r="X3924" s="6">
        <v>-3.45</v>
      </c>
      <c r="Y3924" s="6">
        <v>1.7</v>
      </c>
      <c r="Z3924" s="6">
        <v>2</v>
      </c>
      <c r="AA3924" s="8">
        <v>45352</v>
      </c>
      <c r="AB3924" s="4">
        <v>0</v>
      </c>
      <c r="AC3924" s="6">
        <v>6.69</v>
      </c>
      <c r="AD3924" s="6">
        <v>7.29</v>
      </c>
      <c r="AE3924" s="1">
        <v>0</v>
      </c>
      <c r="AF3924" s="1">
        <f ca="1">IFERROR(__xludf.DUMMYFUNCTION("IFERROR(GOOGLEFINANCE(TRIM(F3924)&amp;"":"" &amp; TRIM(B3924),""high52""),AE3924)"),284.85)</f>
        <v>284.85000000000002</v>
      </c>
      <c r="AG3924" s="1">
        <v>0</v>
      </c>
      <c r="AH3924" s="1">
        <f ca="1">IFERROR(__xludf.DUMMYFUNCTION("IFERROR(GOOGLEFINANCE(TRIM(F3924)&amp;"":"" &amp; TRIM(B3924),""low52""),AE3924)"),155.6)</f>
        <v>155.6</v>
      </c>
      <c r="AI3924" s="1">
        <f ca="1">IFERROR(__xludf.DUMMYFUNCTION("IFERROR(GOOGLEFINANCE(B3924,""eps""),0)"),3.1)</f>
        <v>3.1</v>
      </c>
      <c r="AJ3924" s="1"/>
      <c r="AK3924" s="1" t="s">
        <v>11950</v>
      </c>
      <c r="AL3924" s="9">
        <f t="shared" si="364"/>
        <v>1</v>
      </c>
    </row>
    <row r="3925" spans="1:38" ht="15" x14ac:dyDescent="0.25">
      <c r="A3925" s="1" t="s">
        <v>11951</v>
      </c>
      <c r="B3925" s="1" t="s">
        <v>11952</v>
      </c>
      <c r="C3925" s="1" t="s">
        <v>186</v>
      </c>
      <c r="D3925" s="1" t="s">
        <v>186</v>
      </c>
      <c r="E3925" s="6">
        <v>35.74</v>
      </c>
      <c r="F3925" s="1" t="s">
        <v>53</v>
      </c>
      <c r="G3925" s="6">
        <f ca="1">IFERROR(__xludf.DUMMYFUNCTION("iferror(GOOGLEFINANCE(TRIM(F3925)&amp;"":"" &amp; TRIM(B3925), ""price""),0
)"),0)</f>
        <v>0</v>
      </c>
      <c r="H3925" s="6">
        <v>215.75</v>
      </c>
      <c r="I3925" s="6">
        <f t="shared" ca="1" si="0"/>
        <v>215.75</v>
      </c>
      <c r="J3925" s="6">
        <f ca="1">IFERROR(__xludf.DUMMYFUNCTION("IFERROR(GOOGLEFINANCE(B3925, ""volume""), 0)"),0)</f>
        <v>0</v>
      </c>
      <c r="K3925" s="6">
        <v>0.49</v>
      </c>
      <c r="L3925" s="6">
        <f ca="1">IFERROR(__xludf.DUMMYFUNCTION("IFERROR(GOOGLEFINANCE(B3925,""changepct""),K3925)"),0.49)</f>
        <v>0.49</v>
      </c>
      <c r="M3925" s="6">
        <f ca="1">IFERROR(__xludf.DUMMYFUNCTION("IFERROR(GOOGLEFINANCE(B3925,""change""),0)"),0)</f>
        <v>0</v>
      </c>
      <c r="N3925" s="6">
        <v>1</v>
      </c>
      <c r="O3925" s="7">
        <v>45536</v>
      </c>
      <c r="P3925" s="9"/>
      <c r="Q3925" s="6">
        <v>22.09</v>
      </c>
      <c r="R3925" s="7">
        <v>45536</v>
      </c>
      <c r="S3925" s="6">
        <v>67.73</v>
      </c>
      <c r="T3925" s="6">
        <v>-4.57</v>
      </c>
      <c r="U3925" s="7">
        <v>45536</v>
      </c>
      <c r="V3925" s="6">
        <v>0</v>
      </c>
      <c r="W3925" s="6">
        <f ca="1">IFERROR(__xludf.DUMMYFUNCTION("IFERROR(GOOGLEFINANCE(B3925,""pe""),V3925)"),0)</f>
        <v>0</v>
      </c>
      <c r="X3925" s="6">
        <v>0</v>
      </c>
      <c r="Y3925" s="6">
        <v>0.82</v>
      </c>
      <c r="Z3925" s="6">
        <v>1</v>
      </c>
      <c r="AA3925" s="8">
        <v>45352</v>
      </c>
      <c r="AB3925" s="4">
        <v>0</v>
      </c>
      <c r="AC3925" s="6">
        <v>2.56</v>
      </c>
      <c r="AD3925" s="6">
        <v>3.42</v>
      </c>
      <c r="AE3925" s="1">
        <v>0</v>
      </c>
      <c r="AF3925" s="1">
        <f ca="1">IFERROR(__xludf.DUMMYFUNCTION("IFERROR(GOOGLEFINANCE(TRIM(F3925)&amp;"":"" &amp; TRIM(B3925),""high52""),AE3925)"),0)</f>
        <v>0</v>
      </c>
      <c r="AG3925" s="1">
        <v>0</v>
      </c>
      <c r="AH3925" s="1">
        <f ca="1">IFERROR(__xludf.DUMMYFUNCTION("IFERROR(GOOGLEFINANCE(TRIM(F3925)&amp;"":"" &amp; TRIM(B3925),""low52""),AE3925)"),0)</f>
        <v>0</v>
      </c>
      <c r="AI3925" s="1">
        <f ca="1">IFERROR(__xludf.DUMMYFUNCTION("IFERROR(GOOGLEFINANCE(B3925,""eps""),0)"),0)</f>
        <v>0</v>
      </c>
      <c r="AJ3925" s="1"/>
      <c r="AK3925" s="1" t="s">
        <v>11953</v>
      </c>
      <c r="AL3925" s="9">
        <f t="shared" si="364"/>
        <v>1</v>
      </c>
    </row>
    <row r="3926" spans="1:38" ht="15" x14ac:dyDescent="0.25">
      <c r="A3926" s="1" t="s">
        <v>11954</v>
      </c>
      <c r="B3926" s="1" t="s">
        <v>11955</v>
      </c>
      <c r="C3926" s="1" t="s">
        <v>186</v>
      </c>
      <c r="D3926" s="1" t="s">
        <v>186</v>
      </c>
      <c r="E3926" s="6">
        <v>51.89</v>
      </c>
      <c r="F3926" s="1" t="s">
        <v>53</v>
      </c>
      <c r="G3926" s="6">
        <f ca="1">IFERROR(__xludf.DUMMYFUNCTION("iferror(GOOGLEFINANCE(TRIM(F3926)&amp;"":"" &amp; TRIM(B3926), ""price""),0
)"),0)</f>
        <v>0</v>
      </c>
      <c r="H3926" s="6">
        <v>133.6</v>
      </c>
      <c r="I3926" s="6">
        <f t="shared" ca="1" si="0"/>
        <v>133.6</v>
      </c>
      <c r="J3926" s="6">
        <f ca="1">IFERROR(__xludf.DUMMYFUNCTION("IFERROR(GOOGLEFINANCE(B3926, ""volume""), 0)"),0)</f>
        <v>0</v>
      </c>
      <c r="K3926" s="6">
        <v>0.98</v>
      </c>
      <c r="L3926" s="6">
        <f ca="1">IFERROR(__xludf.DUMMYFUNCTION("IFERROR(GOOGLEFINANCE(B3926,""changepct""),K3926)"),0.98)</f>
        <v>0.98</v>
      </c>
      <c r="M3926" s="6">
        <f ca="1">IFERROR(__xludf.DUMMYFUNCTION("IFERROR(GOOGLEFINANCE(B3926,""change""),0)"),0)</f>
        <v>0</v>
      </c>
      <c r="N3926" s="6">
        <v>2</v>
      </c>
      <c r="O3926" s="7">
        <v>45536</v>
      </c>
      <c r="P3926" s="6">
        <v>37.15</v>
      </c>
      <c r="Q3926" s="6">
        <v>87.74</v>
      </c>
      <c r="R3926" s="7">
        <v>45536</v>
      </c>
      <c r="S3926" s="6">
        <v>103.83</v>
      </c>
      <c r="T3926" s="6">
        <v>-2.2200000000000002</v>
      </c>
      <c r="U3926" s="7">
        <v>45536</v>
      </c>
      <c r="V3926" s="6">
        <v>0</v>
      </c>
      <c r="W3926" s="6">
        <f ca="1">IFERROR(__xludf.DUMMYFUNCTION("IFERROR(GOOGLEFINANCE(B3926,""pe""),V3926)"),0)</f>
        <v>0</v>
      </c>
      <c r="X3926" s="9"/>
      <c r="Y3926" s="6">
        <v>3.45</v>
      </c>
      <c r="Z3926" s="6">
        <v>2</v>
      </c>
      <c r="AA3926" s="8">
        <v>45352</v>
      </c>
      <c r="AB3926" s="4">
        <v>2.5299999999999998</v>
      </c>
      <c r="AC3926" s="6">
        <v>6.78</v>
      </c>
      <c r="AD3926" s="6">
        <v>4.8499999999999996</v>
      </c>
      <c r="AE3926" s="1">
        <v>0</v>
      </c>
      <c r="AF3926" s="1">
        <f ca="1">IFERROR(__xludf.DUMMYFUNCTION("IFERROR(GOOGLEFINANCE(TRIM(F3926)&amp;"":"" &amp; TRIM(B3926),""high52""),AE3926)"),0)</f>
        <v>0</v>
      </c>
      <c r="AG3926" s="1">
        <v>0</v>
      </c>
      <c r="AH3926" s="1">
        <f ca="1">IFERROR(__xludf.DUMMYFUNCTION("IFERROR(GOOGLEFINANCE(TRIM(F3926)&amp;"":"" &amp; TRIM(B3926),""low52""),AE3926)"),0)</f>
        <v>0</v>
      </c>
      <c r="AI3926" s="1">
        <f ca="1">IFERROR(__xludf.DUMMYFUNCTION("IFERROR(GOOGLEFINANCE(B3926,""eps""),0)"),0)</f>
        <v>0</v>
      </c>
      <c r="AJ3926" s="1"/>
      <c r="AK3926" s="9"/>
      <c r="AL3926" s="9">
        <f t="shared" si="364"/>
        <v>1</v>
      </c>
    </row>
    <row r="3927" spans="1:38" ht="15" x14ac:dyDescent="0.25">
      <c r="A3927" s="1" t="s">
        <v>11956</v>
      </c>
      <c r="B3927" s="1" t="s">
        <v>11957</v>
      </c>
      <c r="C3927" s="1" t="s">
        <v>359</v>
      </c>
      <c r="D3927" s="1" t="s">
        <v>359</v>
      </c>
      <c r="E3927" s="6">
        <v>260154.6</v>
      </c>
      <c r="F3927" s="1" t="s">
        <v>40</v>
      </c>
      <c r="G3927" s="6">
        <f ca="1">IFERROR(__xludf.DUMMYFUNCTION("iferror(GOOGLEFINANCE(TRIM(F3927)&amp;"":"" &amp; TRIM(B3927), ""price""),0
)"),3717)</f>
        <v>3717</v>
      </c>
      <c r="H3927" s="6">
        <v>7439.95</v>
      </c>
      <c r="I3927" s="6">
        <f t="shared" ca="1" si="0"/>
        <v>3717</v>
      </c>
      <c r="J3927" s="6">
        <f ca="1">IFERROR(__xludf.DUMMYFUNCTION("IFERROR(GOOGLEFINANCE(B3927, ""volume""), 0)"),1046808)</f>
        <v>1046808</v>
      </c>
      <c r="K3927" s="6">
        <v>1.62</v>
      </c>
      <c r="L3927" s="6">
        <f ca="1">IFERROR(__xludf.DUMMYFUNCTION("IFERROR(GOOGLEFINANCE(B3927,""changepct""),K3927)"),-0.32)</f>
        <v>-0.32</v>
      </c>
      <c r="M3927" s="6">
        <f ca="1">IFERROR(__xludf.DUMMYFUNCTION("IFERROR(GOOGLEFINANCE(B3927,""change""),0)"),-12)</f>
        <v>-12</v>
      </c>
      <c r="N3927" s="6">
        <v>2</v>
      </c>
      <c r="O3927" s="7">
        <v>45536</v>
      </c>
      <c r="P3927" s="6">
        <v>498.88</v>
      </c>
      <c r="Q3927" s="6">
        <v>260433.3</v>
      </c>
      <c r="R3927" s="7">
        <v>45536</v>
      </c>
      <c r="S3927" s="6">
        <v>15025.43</v>
      </c>
      <c r="T3927" s="6">
        <v>1676.02</v>
      </c>
      <c r="U3927" s="7">
        <v>45536</v>
      </c>
      <c r="V3927" s="6">
        <v>143.74</v>
      </c>
      <c r="W3927" s="6">
        <f ca="1">IFERROR(__xludf.DUMMYFUNCTION("IFERROR(GOOGLEFINANCE(B3927,""pe""),V3927)"),81.46)</f>
        <v>81.459999999999994</v>
      </c>
      <c r="X3927" s="6">
        <v>2.35</v>
      </c>
      <c r="Y3927" s="6">
        <v>55.59</v>
      </c>
      <c r="Z3927" s="6">
        <v>2</v>
      </c>
      <c r="AA3927" s="8">
        <v>45352</v>
      </c>
      <c r="AB3927" s="4">
        <v>0.12</v>
      </c>
      <c r="AC3927" s="6">
        <v>44.35</v>
      </c>
      <c r="AD3927" s="6">
        <v>59.75</v>
      </c>
      <c r="AE3927" s="1">
        <v>0</v>
      </c>
      <c r="AF3927" s="1">
        <f ca="1">IFERROR(__xludf.DUMMYFUNCTION("IFERROR(GOOGLEFINANCE(TRIM(F3927)&amp;"":"" &amp; TRIM(B3927),""high52""),AE3927)"),6261)</f>
        <v>6261</v>
      </c>
      <c r="AG3927" s="1">
        <v>0</v>
      </c>
      <c r="AH3927" s="1">
        <f ca="1">IFERROR(__xludf.DUMMYFUNCTION("IFERROR(GOOGLEFINANCE(TRIM(F3927)&amp;"":"" &amp; TRIM(B3927),""low52""),AE3927)"),3645)</f>
        <v>3645</v>
      </c>
      <c r="AI3927" s="1">
        <f ca="1">IFERROR(__xludf.DUMMYFUNCTION("IFERROR(GOOGLEFINANCE(B3927,""eps""),0)"),45.63)</f>
        <v>45.63</v>
      </c>
      <c r="AJ3927" s="1"/>
      <c r="AK3927" s="1" t="s">
        <v>11958</v>
      </c>
      <c r="AL3927" s="9">
        <f t="shared" si="364"/>
        <v>1</v>
      </c>
    </row>
    <row r="3928" spans="1:38" ht="15" x14ac:dyDescent="0.25">
      <c r="A3928" s="1" t="s">
        <v>11959</v>
      </c>
      <c r="B3928" s="1" t="s">
        <v>11960</v>
      </c>
      <c r="C3928" s="1" t="s">
        <v>416</v>
      </c>
      <c r="D3928" s="1" t="s">
        <v>416</v>
      </c>
      <c r="E3928" s="6">
        <v>489.97</v>
      </c>
      <c r="F3928" s="1" t="s">
        <v>40</v>
      </c>
      <c r="G3928" s="6">
        <f ca="1">IFERROR(__xludf.DUMMYFUNCTION("iferror(GOOGLEFINANCE(TRIM(F3928)&amp;"":"" &amp; TRIM(B3928), ""price""),0
)"),271.1)</f>
        <v>271.10000000000002</v>
      </c>
      <c r="H3928" s="6">
        <v>443.55</v>
      </c>
      <c r="I3928" s="6">
        <f t="shared" ca="1" si="0"/>
        <v>271.10000000000002</v>
      </c>
      <c r="J3928" s="6">
        <f ca="1">IFERROR(__xludf.DUMMYFUNCTION("IFERROR(GOOGLEFINANCE(B3928, ""volume""), 0)"),12911)</f>
        <v>12911</v>
      </c>
      <c r="K3928" s="6">
        <v>-0.25</v>
      </c>
      <c r="L3928" s="6">
        <f ca="1">IFERROR(__xludf.DUMMYFUNCTION("IFERROR(GOOGLEFINANCE(B3928,""changepct""),K3928)"),-0.93)</f>
        <v>-0.93</v>
      </c>
      <c r="M3928" s="6">
        <f ca="1">IFERROR(__xludf.DUMMYFUNCTION("IFERROR(GOOGLEFINANCE(B3928,""change""),0)"),-2.55)</f>
        <v>-2.5499999999999998</v>
      </c>
      <c r="N3928" s="6">
        <v>2</v>
      </c>
      <c r="O3928" s="7">
        <v>45536</v>
      </c>
      <c r="P3928" s="6">
        <v>108.8</v>
      </c>
      <c r="Q3928" s="6">
        <v>525.53</v>
      </c>
      <c r="R3928" s="7">
        <v>45536</v>
      </c>
      <c r="S3928" s="6">
        <v>137.09</v>
      </c>
      <c r="T3928" s="6">
        <v>26.11</v>
      </c>
      <c r="U3928" s="7">
        <v>45536</v>
      </c>
      <c r="V3928" s="6">
        <v>26.46</v>
      </c>
      <c r="W3928" s="6">
        <f ca="1">IFERROR(__xludf.DUMMYFUNCTION("IFERROR(GOOGLEFINANCE(B3928,""pe""),V3928)"),50.05)</f>
        <v>50.05</v>
      </c>
      <c r="X3928" s="6">
        <v>1.33</v>
      </c>
      <c r="Y3928" s="6">
        <v>7</v>
      </c>
      <c r="Z3928" s="6">
        <v>2</v>
      </c>
      <c r="AA3928" s="8">
        <v>45352</v>
      </c>
      <c r="AB3928" s="4">
        <v>3.05</v>
      </c>
      <c r="AC3928" s="6">
        <v>0</v>
      </c>
      <c r="AD3928" s="6">
        <v>38.69</v>
      </c>
      <c r="AE3928" s="1">
        <v>0</v>
      </c>
      <c r="AF3928" s="1">
        <f ca="1">IFERROR(__xludf.DUMMYFUNCTION("IFERROR(GOOGLEFINANCE(TRIM(F3928)&amp;"":"" &amp; TRIM(B3928),""high52""),AE3928)"),450)</f>
        <v>450</v>
      </c>
      <c r="AG3928" s="1">
        <v>0</v>
      </c>
      <c r="AH3928" s="1">
        <f ca="1">IFERROR(__xludf.DUMMYFUNCTION("IFERROR(GOOGLEFINANCE(TRIM(F3928)&amp;"":"" &amp; TRIM(B3928),""low52""),AE3928)"),252.05)</f>
        <v>252.05</v>
      </c>
      <c r="AI3928" s="1">
        <f ca="1">IFERROR(__xludf.DUMMYFUNCTION("IFERROR(GOOGLEFINANCE(B3928,""eps""),0)"),5.42)</f>
        <v>5.42</v>
      </c>
      <c r="AJ3928" s="1"/>
      <c r="AK3928" s="1" t="s">
        <v>11961</v>
      </c>
      <c r="AL3928" s="9">
        <f t="shared" si="364"/>
        <v>1</v>
      </c>
    </row>
    <row r="3929" spans="1:38" ht="15" x14ac:dyDescent="0.25">
      <c r="A3929" s="1" t="s">
        <v>11962</v>
      </c>
      <c r="B3929" s="1" t="s">
        <v>11963</v>
      </c>
      <c r="C3929" s="1" t="s">
        <v>2432</v>
      </c>
      <c r="D3929" s="1" t="s">
        <v>2432</v>
      </c>
      <c r="E3929" s="6">
        <v>1678.28</v>
      </c>
      <c r="F3929" s="1" t="s">
        <v>40</v>
      </c>
      <c r="G3929" s="6">
        <f ca="1">IFERROR(__xludf.DUMMYFUNCTION("iferror(GOOGLEFINANCE(TRIM(F3929)&amp;"":"" &amp; TRIM(B3929), ""price""),0
)"),150.81)</f>
        <v>150.81</v>
      </c>
      <c r="H3929" s="6">
        <v>250.33</v>
      </c>
      <c r="I3929" s="6">
        <f t="shared" ca="1" si="0"/>
        <v>150.81</v>
      </c>
      <c r="J3929" s="6">
        <f ca="1">IFERROR(__xludf.DUMMYFUNCTION("IFERROR(GOOGLEFINANCE(B3929, ""volume""), 0)"),355498)</f>
        <v>355498</v>
      </c>
      <c r="K3929" s="6">
        <v>-0.14000000000000001</v>
      </c>
      <c r="L3929" s="6">
        <f ca="1">IFERROR(__xludf.DUMMYFUNCTION("IFERROR(GOOGLEFINANCE(B3929,""changepct""),K3929)"),-2.22)</f>
        <v>-2.2200000000000002</v>
      </c>
      <c r="M3929" s="6">
        <f ca="1">IFERROR(__xludf.DUMMYFUNCTION("IFERROR(GOOGLEFINANCE(B3929,""change""),0)"),-3.42)</f>
        <v>-3.42</v>
      </c>
      <c r="N3929" s="6">
        <v>2</v>
      </c>
      <c r="O3929" s="7">
        <v>45536</v>
      </c>
      <c r="P3929" s="6">
        <v>578.98</v>
      </c>
      <c r="Q3929" s="6">
        <v>2207.96</v>
      </c>
      <c r="R3929" s="7">
        <v>45536</v>
      </c>
      <c r="S3929" s="6">
        <v>2410.83</v>
      </c>
      <c r="T3929" s="6">
        <v>63.07</v>
      </c>
      <c r="U3929" s="7">
        <v>45536</v>
      </c>
      <c r="V3929" s="6">
        <v>26.61</v>
      </c>
      <c r="W3929" s="6">
        <f ca="1">IFERROR(__xludf.DUMMYFUNCTION("IFERROR(GOOGLEFINANCE(B3929,""pe""),V3929)"),6.98)</f>
        <v>6.98</v>
      </c>
      <c r="X3929" s="6">
        <v>0.94</v>
      </c>
      <c r="Y3929" s="6">
        <v>2.71</v>
      </c>
      <c r="Z3929" s="6">
        <v>2</v>
      </c>
      <c r="AA3929" s="8">
        <v>45352</v>
      </c>
      <c r="AB3929" s="4">
        <v>0.89</v>
      </c>
      <c r="AC3929" s="6">
        <v>9.3699999999999992</v>
      </c>
      <c r="AD3929" s="6">
        <v>11.75</v>
      </c>
      <c r="AE3929" s="1">
        <v>0</v>
      </c>
      <c r="AF3929" s="1">
        <f ca="1">IFERROR(__xludf.DUMMYFUNCTION("IFERROR(GOOGLEFINANCE(TRIM(F3929)&amp;"":"" &amp; TRIM(B3929),""high52""),AE3929)"),232.65)</f>
        <v>232.65</v>
      </c>
      <c r="AG3929" s="1">
        <v>0</v>
      </c>
      <c r="AH3929" s="1">
        <f ca="1">IFERROR(__xludf.DUMMYFUNCTION("IFERROR(GOOGLEFINANCE(TRIM(F3929)&amp;"":"" &amp; TRIM(B3929),""low52""),AE3929)"),147.11)</f>
        <v>147.11000000000001</v>
      </c>
      <c r="AI3929" s="1">
        <f ca="1">IFERROR(__xludf.DUMMYFUNCTION("IFERROR(GOOGLEFINANCE(B3929,""eps""),0)"),21.6)</f>
        <v>21.6</v>
      </c>
      <c r="AJ3929" s="1"/>
      <c r="AK3929" s="9"/>
      <c r="AL3929" s="9">
        <f t="shared" si="364"/>
        <v>1</v>
      </c>
    </row>
    <row r="3930" spans="1:38" ht="15" x14ac:dyDescent="0.25">
      <c r="A3930" s="1" t="s">
        <v>11964</v>
      </c>
      <c r="B3930" s="1" t="s">
        <v>11965</v>
      </c>
      <c r="C3930" s="1" t="s">
        <v>706</v>
      </c>
      <c r="D3930" s="1" t="s">
        <v>706</v>
      </c>
      <c r="E3930" s="6">
        <v>17346.63</v>
      </c>
      <c r="F3930" s="1" t="s">
        <v>40</v>
      </c>
      <c r="G3930" s="6">
        <f ca="1">IFERROR(__xludf.DUMMYFUNCTION("iferror(GOOGLEFINANCE(TRIM(F3930)&amp;"":"" &amp; TRIM(B3930), ""price""),0
)"),25.85)</f>
        <v>25.85</v>
      </c>
      <c r="H3930" s="6">
        <v>34.340000000000003</v>
      </c>
      <c r="I3930" s="6">
        <f t="shared" ca="1" si="0"/>
        <v>25.85</v>
      </c>
      <c r="J3930" s="6">
        <f ca="1">IFERROR(__xludf.DUMMYFUNCTION("IFERROR(GOOGLEFINANCE(B3930, ""volume""), 0)"),6819281)</f>
        <v>6819281</v>
      </c>
      <c r="K3930" s="6">
        <v>0.91</v>
      </c>
      <c r="L3930" s="6">
        <f ca="1">IFERROR(__xludf.DUMMYFUNCTION("IFERROR(GOOGLEFINANCE(B3930,""changepct""),K3930)"),-0.08)</f>
        <v>-0.08</v>
      </c>
      <c r="M3930" s="6">
        <f ca="1">IFERROR(__xludf.DUMMYFUNCTION("IFERROR(GOOGLEFINANCE(B3930,""change""),0)"),-0.02)</f>
        <v>-0.02</v>
      </c>
      <c r="N3930" s="6">
        <v>2</v>
      </c>
      <c r="O3930" s="7">
        <v>45536</v>
      </c>
      <c r="P3930" s="6">
        <v>1551.68</v>
      </c>
      <c r="Q3930" s="6">
        <v>18472.75</v>
      </c>
      <c r="R3930" s="7">
        <v>45536</v>
      </c>
      <c r="S3930" s="6">
        <v>6973.25</v>
      </c>
      <c r="T3930" s="6">
        <v>325.52999999999997</v>
      </c>
      <c r="U3930" s="7">
        <v>45536</v>
      </c>
      <c r="V3930" s="6">
        <v>53.82</v>
      </c>
      <c r="W3930" s="6">
        <f ca="1">IFERROR(__xludf.DUMMYFUNCTION("IFERROR(GOOGLEFINANCE(B3930,""pe""),V3930)"),29.91)</f>
        <v>29.91</v>
      </c>
      <c r="X3930" s="6">
        <v>-43.76</v>
      </c>
      <c r="Y3930" s="6">
        <v>4.05</v>
      </c>
      <c r="Z3930" s="6">
        <v>2</v>
      </c>
      <c r="AA3930" s="8">
        <v>45352</v>
      </c>
      <c r="AB3930" s="4">
        <v>0.48</v>
      </c>
      <c r="AC3930" s="6">
        <v>8.23</v>
      </c>
      <c r="AD3930" s="6">
        <v>10.6</v>
      </c>
      <c r="AE3930" s="1">
        <v>0</v>
      </c>
      <c r="AF3930" s="1">
        <f ca="1">IFERROR(__xludf.DUMMYFUNCTION("IFERROR(GOOGLEFINANCE(TRIM(F3930)&amp;"":"" &amp; TRIM(B3930),""high52""),AE3930)"),34.62)</f>
        <v>34.619999999999997</v>
      </c>
      <c r="AG3930" s="1">
        <v>0</v>
      </c>
      <c r="AH3930" s="1">
        <f ca="1">IFERROR(__xludf.DUMMYFUNCTION("IFERROR(GOOGLEFINANCE(TRIM(F3930)&amp;"":"" &amp; TRIM(B3930),""low52""),AE3930)"),23.11)</f>
        <v>23.11</v>
      </c>
      <c r="AI3930" s="1">
        <f ca="1">IFERROR(__xludf.DUMMYFUNCTION("IFERROR(GOOGLEFINANCE(B3930,""eps""),0)"),0.86)</f>
        <v>0.86</v>
      </c>
      <c r="AJ3930" s="1"/>
      <c r="AK3930" s="1" t="s">
        <v>11966</v>
      </c>
      <c r="AL3930" s="9">
        <f t="shared" si="364"/>
        <v>1</v>
      </c>
    </row>
    <row r="3931" spans="1:38" ht="15" x14ac:dyDescent="0.25">
      <c r="A3931" s="1" t="s">
        <v>11967</v>
      </c>
      <c r="B3931" s="1" t="s">
        <v>11968</v>
      </c>
      <c r="C3931" s="1" t="s">
        <v>186</v>
      </c>
      <c r="D3931" s="1" t="s">
        <v>186</v>
      </c>
      <c r="E3931" s="6">
        <v>98.44</v>
      </c>
      <c r="F3931" s="1" t="s">
        <v>53</v>
      </c>
      <c r="G3931" s="6">
        <f ca="1">IFERROR(__xludf.DUMMYFUNCTION("iferror(GOOGLEFINANCE(TRIM(F3931)&amp;"":"" &amp; TRIM(B3931), ""price""),0
)"),0)</f>
        <v>0</v>
      </c>
      <c r="H3931" s="6">
        <v>142.44999999999999</v>
      </c>
      <c r="I3931" s="6">
        <f t="shared" ca="1" si="0"/>
        <v>142.44999999999999</v>
      </c>
      <c r="J3931" s="6">
        <f ca="1">IFERROR(__xludf.DUMMYFUNCTION("IFERROR(GOOGLEFINANCE(B3931, ""volume""), 0)"),0)</f>
        <v>0</v>
      </c>
      <c r="K3931" s="6">
        <v>1.1000000000000001</v>
      </c>
      <c r="L3931" s="6">
        <f ca="1">IFERROR(__xludf.DUMMYFUNCTION("IFERROR(GOOGLEFINANCE(B3931,""changepct""),K3931)"),1.1)</f>
        <v>1.1000000000000001</v>
      </c>
      <c r="M3931" s="6">
        <f ca="1">IFERROR(__xludf.DUMMYFUNCTION("IFERROR(GOOGLEFINANCE(B3931,""change""),0)"),0)</f>
        <v>0</v>
      </c>
      <c r="N3931" s="6">
        <v>1</v>
      </c>
      <c r="O3931" s="7">
        <v>45536</v>
      </c>
      <c r="P3931" s="6">
        <v>49.97</v>
      </c>
      <c r="Q3931" s="6">
        <v>147.96</v>
      </c>
      <c r="R3931" s="15">
        <v>45536</v>
      </c>
      <c r="S3931" s="6">
        <v>6.54</v>
      </c>
      <c r="T3931" s="6">
        <v>-0.91</v>
      </c>
      <c r="U3931" s="15">
        <v>45536</v>
      </c>
      <c r="V3931" s="6">
        <v>0</v>
      </c>
      <c r="W3931" s="6">
        <f ca="1">IFERROR(__xludf.DUMMYFUNCTION("IFERROR(GOOGLEFINANCE(B3931,""pe""),V3931)"),0)</f>
        <v>0</v>
      </c>
      <c r="X3931" s="6">
        <v>0</v>
      </c>
      <c r="Y3931" s="6">
        <v>-12.06</v>
      </c>
      <c r="Z3931" s="6">
        <v>1</v>
      </c>
      <c r="AA3931" s="8">
        <v>45352</v>
      </c>
      <c r="AB3931" s="4">
        <v>-6.01</v>
      </c>
      <c r="AC3931" s="6">
        <v>0</v>
      </c>
      <c r="AD3931" s="6">
        <v>-1</v>
      </c>
      <c r="AE3931" s="1">
        <v>0</v>
      </c>
      <c r="AF3931" s="1">
        <f ca="1">IFERROR(__xludf.DUMMYFUNCTION("IFERROR(GOOGLEFINANCE(TRIM(F3931)&amp;"":"" &amp; TRIM(B3931),""high52""),AE3931)"),0)</f>
        <v>0</v>
      </c>
      <c r="AG3931" s="1">
        <v>0</v>
      </c>
      <c r="AH3931" s="1">
        <f ca="1">IFERROR(__xludf.DUMMYFUNCTION("IFERROR(GOOGLEFINANCE(TRIM(F3931)&amp;"":"" &amp; TRIM(B3931),""low52""),AE3931)"),0)</f>
        <v>0</v>
      </c>
      <c r="AI3931" s="1">
        <f ca="1">IFERROR(__xludf.DUMMYFUNCTION("IFERROR(GOOGLEFINANCE(B3931,""eps""),0)"),0)</f>
        <v>0</v>
      </c>
      <c r="AJ3931" s="1"/>
      <c r="AK3931" s="1" t="s">
        <v>11969</v>
      </c>
      <c r="AL3931" s="9">
        <f t="shared" si="364"/>
        <v>1</v>
      </c>
    </row>
    <row r="3932" spans="1:38" ht="15" x14ac:dyDescent="0.25">
      <c r="A3932" s="1" t="s">
        <v>11970</v>
      </c>
      <c r="B3932" s="1" t="s">
        <v>11971</v>
      </c>
      <c r="C3932" s="1" t="s">
        <v>186</v>
      </c>
      <c r="D3932" s="1" t="s">
        <v>186</v>
      </c>
      <c r="E3932" s="6">
        <v>10.130000000000001</v>
      </c>
      <c r="F3932" s="1" t="s">
        <v>53</v>
      </c>
      <c r="G3932" s="6">
        <f ca="1">IFERROR(__xludf.DUMMYFUNCTION("iferror(GOOGLEFINANCE(TRIM(F3932)&amp;"":"" &amp; TRIM(B3932), ""price""),0
)"),0)</f>
        <v>0</v>
      </c>
      <c r="H3932" s="6">
        <v>16.399999999999999</v>
      </c>
      <c r="I3932" s="6">
        <f t="shared" ca="1" si="0"/>
        <v>16.399999999999999</v>
      </c>
      <c r="J3932" s="6">
        <f ca="1">IFERROR(__xludf.DUMMYFUNCTION("IFERROR(GOOGLEFINANCE(B3932, ""volume""), 0)"),0)</f>
        <v>0</v>
      </c>
      <c r="K3932" s="12"/>
      <c r="L3932" s="6" t="str">
        <f ca="1">IFERROR(__xludf.DUMMYFUNCTION("IFERROR(GOOGLEFINANCE(B3932,""changepct""),K3932)"),"")</f>
        <v/>
      </c>
      <c r="M3932" s="6">
        <f ca="1">IFERROR(__xludf.DUMMYFUNCTION("IFERROR(GOOGLEFINANCE(B3932,""change""),0)"),0)</f>
        <v>0</v>
      </c>
      <c r="N3932" s="6">
        <v>1</v>
      </c>
      <c r="O3932" s="7">
        <v>45536</v>
      </c>
      <c r="P3932" s="6">
        <v>16.77</v>
      </c>
      <c r="Q3932" s="6">
        <v>26.9</v>
      </c>
      <c r="R3932" s="7">
        <v>45536</v>
      </c>
      <c r="S3932" s="6">
        <v>15.8</v>
      </c>
      <c r="T3932" s="6">
        <v>-0.31</v>
      </c>
      <c r="U3932" s="7">
        <v>45536</v>
      </c>
      <c r="V3932" s="6">
        <v>0</v>
      </c>
      <c r="W3932" s="6">
        <f ca="1">IFERROR(__xludf.DUMMYFUNCTION("IFERROR(GOOGLEFINANCE(B3932,""pe""),V3932)"),0)</f>
        <v>0</v>
      </c>
      <c r="X3932" s="6">
        <v>0</v>
      </c>
      <c r="Y3932" s="6">
        <v>0.84</v>
      </c>
      <c r="Z3932" s="6">
        <v>1</v>
      </c>
      <c r="AA3932" s="8">
        <v>45352</v>
      </c>
      <c r="AB3932" s="4">
        <v>1.0900000000000001</v>
      </c>
      <c r="AC3932" s="6">
        <v>0.54</v>
      </c>
      <c r="AD3932" s="6">
        <v>5.34</v>
      </c>
      <c r="AE3932" s="1">
        <v>0</v>
      </c>
      <c r="AF3932" s="1">
        <f ca="1">IFERROR(__xludf.DUMMYFUNCTION("IFERROR(GOOGLEFINANCE(TRIM(F3932)&amp;"":"" &amp; TRIM(B3932),""high52""),AE3932)"),0)</f>
        <v>0</v>
      </c>
      <c r="AG3932" s="1">
        <v>0</v>
      </c>
      <c r="AH3932" s="1">
        <f ca="1">IFERROR(__xludf.DUMMYFUNCTION("IFERROR(GOOGLEFINANCE(TRIM(F3932)&amp;"":"" &amp; TRIM(B3932),""low52""),AE3932)"),0)</f>
        <v>0</v>
      </c>
      <c r="AI3932" s="1">
        <f ca="1">IFERROR(__xludf.DUMMYFUNCTION("IFERROR(GOOGLEFINANCE(B3932,""eps""),0)"),0)</f>
        <v>0</v>
      </c>
      <c r="AJ3932" s="1"/>
      <c r="AK3932" s="1" t="s">
        <v>11972</v>
      </c>
      <c r="AL3932" s="9">
        <f t="shared" si="364"/>
        <v>1</v>
      </c>
    </row>
    <row r="3933" spans="1:38" ht="15" x14ac:dyDescent="0.25">
      <c r="A3933" s="1" t="s">
        <v>11973</v>
      </c>
      <c r="B3933" s="1" t="s">
        <v>11974</v>
      </c>
      <c r="C3933" s="1" t="s">
        <v>57</v>
      </c>
      <c r="D3933" s="1" t="s">
        <v>57</v>
      </c>
      <c r="E3933" s="6">
        <v>2265.46</v>
      </c>
      <c r="F3933" s="1" t="s">
        <v>40</v>
      </c>
      <c r="G3933" s="6">
        <f ca="1">IFERROR(__xludf.DUMMYFUNCTION("iferror(GOOGLEFINANCE(TRIM(F3933)&amp;"":"" &amp; TRIM(B3933), ""price""),0
)"),0)</f>
        <v>0</v>
      </c>
      <c r="H3933" s="6">
        <v>1355</v>
      </c>
      <c r="I3933" s="6">
        <f t="shared" ca="1" si="0"/>
        <v>1355</v>
      </c>
      <c r="J3933" s="6">
        <f ca="1">IFERROR(__xludf.DUMMYFUNCTION("IFERROR(GOOGLEFINANCE(B3933, ""volume""), 0)"),0)</f>
        <v>0</v>
      </c>
      <c r="K3933" s="6">
        <v>3.36</v>
      </c>
      <c r="L3933" s="6">
        <f ca="1">IFERROR(__xludf.DUMMYFUNCTION("IFERROR(GOOGLEFINANCE(B3933,""changepct""),K3933)"),3.36)</f>
        <v>3.36</v>
      </c>
      <c r="M3933" s="6">
        <f ca="1">IFERROR(__xludf.DUMMYFUNCTION("IFERROR(GOOGLEFINANCE(B3933,""change""),0)"),0)</f>
        <v>0</v>
      </c>
      <c r="N3933" s="6">
        <v>1</v>
      </c>
      <c r="O3933" s="7">
        <v>45536</v>
      </c>
      <c r="P3933" s="6">
        <v>24.29</v>
      </c>
      <c r="Q3933" s="6">
        <v>2289.75</v>
      </c>
      <c r="R3933" s="7">
        <v>45352</v>
      </c>
      <c r="S3933" s="6">
        <v>72.62</v>
      </c>
      <c r="T3933" s="6">
        <v>9.3699999999999992</v>
      </c>
      <c r="U3933" s="7">
        <v>45352</v>
      </c>
      <c r="V3933" s="6">
        <v>241.84</v>
      </c>
      <c r="W3933" s="6">
        <f ca="1">IFERROR(__xludf.DUMMYFUNCTION("IFERROR(GOOGLEFINANCE(B3933,""pe""),V3933)"),241.84)</f>
        <v>241.84</v>
      </c>
      <c r="X3933" s="12"/>
      <c r="Y3933" s="6">
        <v>48.65</v>
      </c>
      <c r="Z3933" s="6">
        <v>1</v>
      </c>
      <c r="AA3933" s="8">
        <v>45352</v>
      </c>
      <c r="AB3933" s="4">
        <v>0.41</v>
      </c>
      <c r="AC3933" s="6">
        <v>28.32</v>
      </c>
      <c r="AD3933" s="6">
        <v>29.47</v>
      </c>
      <c r="AE3933" s="1">
        <v>0</v>
      </c>
      <c r="AF3933" s="1">
        <f ca="1">IFERROR(__xludf.DUMMYFUNCTION("IFERROR(GOOGLEFINANCE(TRIM(F3933)&amp;"":"" &amp; TRIM(B3933),""high52""),AE3933)"),0)</f>
        <v>0</v>
      </c>
      <c r="AG3933" s="1">
        <v>0</v>
      </c>
      <c r="AH3933" s="1">
        <f ca="1">IFERROR(__xludf.DUMMYFUNCTION("IFERROR(GOOGLEFINANCE(TRIM(F3933)&amp;"":"" &amp; TRIM(B3933),""low52""),AE3933)"),0)</f>
        <v>0</v>
      </c>
      <c r="AI3933" s="1">
        <f ca="1">IFERROR(__xludf.DUMMYFUNCTION("IFERROR(GOOGLEFINANCE(B3933,""eps""),0)"),0)</f>
        <v>0</v>
      </c>
      <c r="AJ3933" s="1"/>
      <c r="AK3933" s="1" t="s">
        <v>11975</v>
      </c>
      <c r="AL3933" s="9">
        <f t="shared" si="364"/>
        <v>1</v>
      </c>
    </row>
    <row r="3934" spans="1:38" ht="15" x14ac:dyDescent="0.25">
      <c r="A3934" s="1" t="s">
        <v>11976</v>
      </c>
      <c r="B3934" s="1" t="s">
        <v>11977</v>
      </c>
      <c r="C3934" s="1" t="s">
        <v>57</v>
      </c>
      <c r="D3934" s="1" t="s">
        <v>57</v>
      </c>
      <c r="E3934" s="6">
        <v>87.56</v>
      </c>
      <c r="F3934" s="1" t="s">
        <v>40</v>
      </c>
      <c r="G3934" s="6">
        <f ca="1">IFERROR(__xludf.DUMMYFUNCTION("iferror(GOOGLEFINANCE(TRIM(F3934)&amp;"":"" &amp; TRIM(B3934), ""price""),0
)"),0)</f>
        <v>0</v>
      </c>
      <c r="H3934" s="6">
        <v>38</v>
      </c>
      <c r="I3934" s="6">
        <f t="shared" ca="1" si="0"/>
        <v>38</v>
      </c>
      <c r="J3934" s="6">
        <f ca="1">IFERROR(__xludf.DUMMYFUNCTION("IFERROR(GOOGLEFINANCE(B3934, ""volume""), 0)"),0)</f>
        <v>0</v>
      </c>
      <c r="K3934" s="6">
        <v>1.06</v>
      </c>
      <c r="L3934" s="6">
        <f ca="1">IFERROR(__xludf.DUMMYFUNCTION("IFERROR(GOOGLEFINANCE(B3934,""changepct""),K3934)"),1.06)</f>
        <v>1.06</v>
      </c>
      <c r="M3934" s="6">
        <f ca="1">IFERROR(__xludf.DUMMYFUNCTION("IFERROR(GOOGLEFINANCE(B3934,""change""),0)"),0)</f>
        <v>0</v>
      </c>
      <c r="N3934" s="6">
        <v>1</v>
      </c>
      <c r="O3934" s="7">
        <v>45536</v>
      </c>
      <c r="P3934" s="6">
        <v>26.54</v>
      </c>
      <c r="Q3934" s="6">
        <v>114.11</v>
      </c>
      <c r="R3934" s="7">
        <v>45352</v>
      </c>
      <c r="S3934" s="6">
        <v>34.24</v>
      </c>
      <c r="T3934" s="6">
        <v>-0.36</v>
      </c>
      <c r="U3934" s="7">
        <v>45352</v>
      </c>
      <c r="V3934" s="6">
        <v>0</v>
      </c>
      <c r="W3934" s="6">
        <f ca="1">IFERROR(__xludf.DUMMYFUNCTION("IFERROR(GOOGLEFINANCE(B3934,""pe""),V3934)"),0)</f>
        <v>0</v>
      </c>
      <c r="X3934" s="9"/>
      <c r="Y3934" s="6">
        <v>1.91</v>
      </c>
      <c r="Z3934" s="6">
        <v>2</v>
      </c>
      <c r="AA3934" s="8">
        <v>45352</v>
      </c>
      <c r="AB3934" s="4">
        <v>0.82</v>
      </c>
      <c r="AC3934" s="6">
        <v>-1.46</v>
      </c>
      <c r="AD3934" s="6">
        <v>5.34</v>
      </c>
      <c r="AE3934" s="1">
        <v>0</v>
      </c>
      <c r="AF3934" s="1">
        <f ca="1">IFERROR(__xludf.DUMMYFUNCTION("IFERROR(GOOGLEFINANCE(TRIM(F3934)&amp;"":"" &amp; TRIM(B3934),""high52""),AE3934)"),0)</f>
        <v>0</v>
      </c>
      <c r="AG3934" s="1">
        <v>0</v>
      </c>
      <c r="AH3934" s="1">
        <f ca="1">IFERROR(__xludf.DUMMYFUNCTION("IFERROR(GOOGLEFINANCE(TRIM(F3934)&amp;"":"" &amp; TRIM(B3934),""low52""),AE3934)"),0)</f>
        <v>0</v>
      </c>
      <c r="AI3934" s="1">
        <f ca="1">IFERROR(__xludf.DUMMYFUNCTION("IFERROR(GOOGLEFINANCE(B3934,""eps""),0)"),0)</f>
        <v>0</v>
      </c>
      <c r="AJ3934" s="1"/>
      <c r="AK3934" s="1" t="s">
        <v>11978</v>
      </c>
      <c r="AL3934" s="9">
        <f t="shared" si="364"/>
        <v>1</v>
      </c>
    </row>
    <row r="3935" spans="1:38" ht="15" x14ac:dyDescent="0.25">
      <c r="A3935" s="1" t="s">
        <v>11979</v>
      </c>
      <c r="B3935" s="1" t="s">
        <v>11980</v>
      </c>
      <c r="C3935" s="1" t="s">
        <v>186</v>
      </c>
      <c r="D3935" s="1" t="s">
        <v>186</v>
      </c>
      <c r="E3935" s="6">
        <v>57.44</v>
      </c>
      <c r="F3935" s="1" t="s">
        <v>53</v>
      </c>
      <c r="G3935" s="6">
        <f ca="1">IFERROR(__xludf.DUMMYFUNCTION("iferror(GOOGLEFINANCE(TRIM(F3935)&amp;"":"" &amp; TRIM(B3935), ""price""),0
)"),0)</f>
        <v>0</v>
      </c>
      <c r="H3935" s="6">
        <v>299</v>
      </c>
      <c r="I3935" s="6">
        <f t="shared" ca="1" si="0"/>
        <v>299</v>
      </c>
      <c r="J3935" s="6">
        <f ca="1">IFERROR(__xludf.DUMMYFUNCTION("IFERROR(GOOGLEFINANCE(B3935, ""volume""), 0)"),0)</f>
        <v>0</v>
      </c>
      <c r="K3935" s="6">
        <v>-0.32</v>
      </c>
      <c r="L3935" s="6">
        <f ca="1">IFERROR(__xludf.DUMMYFUNCTION("IFERROR(GOOGLEFINANCE(B3935,""changepct""),K3935)"),-0.32)</f>
        <v>-0.32</v>
      </c>
      <c r="M3935" s="6">
        <f ca="1">IFERROR(__xludf.DUMMYFUNCTION("IFERROR(GOOGLEFINANCE(B3935,""change""),0)"),0)</f>
        <v>0</v>
      </c>
      <c r="N3935" s="6">
        <v>1</v>
      </c>
      <c r="O3935" s="7">
        <v>45536</v>
      </c>
      <c r="P3935" s="9"/>
      <c r="Q3935" s="6">
        <v>57.44</v>
      </c>
      <c r="R3935" s="7">
        <v>45536</v>
      </c>
      <c r="S3935" s="6">
        <v>0</v>
      </c>
      <c r="T3935" s="6">
        <v>1.82</v>
      </c>
      <c r="U3935" s="7">
        <v>45536</v>
      </c>
      <c r="V3935" s="6">
        <v>31.58</v>
      </c>
      <c r="W3935" s="6">
        <f ca="1">IFERROR(__xludf.DUMMYFUNCTION("IFERROR(GOOGLEFINANCE(B3935,""pe""),V3935)"),31.58)</f>
        <v>31.58</v>
      </c>
      <c r="X3935" s="6">
        <v>0.25</v>
      </c>
      <c r="Y3935" s="6">
        <v>5.07</v>
      </c>
      <c r="Z3935" s="6">
        <v>1</v>
      </c>
      <c r="AA3935" s="8">
        <v>45352</v>
      </c>
      <c r="AB3935" s="4">
        <v>0</v>
      </c>
      <c r="AC3935" s="6">
        <v>21.44</v>
      </c>
      <c r="AD3935" s="6">
        <v>26.18</v>
      </c>
      <c r="AE3935" s="1">
        <v>0</v>
      </c>
      <c r="AF3935" s="1">
        <f ca="1">IFERROR(__xludf.DUMMYFUNCTION("IFERROR(GOOGLEFINANCE(TRIM(F3935)&amp;"":"" &amp; TRIM(B3935),""high52""),AE3935)"),0)</f>
        <v>0</v>
      </c>
      <c r="AG3935" s="1">
        <v>0</v>
      </c>
      <c r="AH3935" s="1">
        <f ca="1">IFERROR(__xludf.DUMMYFUNCTION("IFERROR(GOOGLEFINANCE(TRIM(F3935)&amp;"":"" &amp; TRIM(B3935),""low52""),AE3935)"),0)</f>
        <v>0</v>
      </c>
      <c r="AI3935" s="1">
        <f ca="1">IFERROR(__xludf.DUMMYFUNCTION("IFERROR(GOOGLEFINANCE(B3935,""eps""),0)"),0)</f>
        <v>0</v>
      </c>
      <c r="AJ3935" s="1"/>
      <c r="AK3935" s="1" t="s">
        <v>11981</v>
      </c>
      <c r="AL3935" s="9">
        <f t="shared" si="364"/>
        <v>1</v>
      </c>
    </row>
    <row r="3936" spans="1:38" ht="15" x14ac:dyDescent="0.25">
      <c r="A3936" s="1" t="s">
        <v>11982</v>
      </c>
      <c r="B3936" s="1" t="s">
        <v>11983</v>
      </c>
      <c r="C3936" s="1" t="s">
        <v>57</v>
      </c>
      <c r="D3936" s="1" t="s">
        <v>57</v>
      </c>
      <c r="E3936" s="6">
        <v>341.41</v>
      </c>
      <c r="F3936" s="1" t="s">
        <v>40</v>
      </c>
      <c r="G3936" s="6">
        <f ca="1">IFERROR(__xludf.DUMMYFUNCTION("iferror(GOOGLEFINANCE(TRIM(F3936)&amp;"":"" &amp; TRIM(B3936), ""price""),0
)"),55.57)</f>
        <v>55.57</v>
      </c>
      <c r="H3936" s="6">
        <v>112.61</v>
      </c>
      <c r="I3936" s="6">
        <f t="shared" ca="1" si="0"/>
        <v>55.57</v>
      </c>
      <c r="J3936" s="6">
        <f ca="1">IFERROR(__xludf.DUMMYFUNCTION("IFERROR(GOOGLEFINANCE(B3936, ""volume""), 0)"),16954)</f>
        <v>16954</v>
      </c>
      <c r="K3936" s="6">
        <v>1.1200000000000001</v>
      </c>
      <c r="L3936" s="6">
        <f ca="1">IFERROR(__xludf.DUMMYFUNCTION("IFERROR(GOOGLEFINANCE(B3936,""changepct""),K3936)"),-3.54)</f>
        <v>-3.54</v>
      </c>
      <c r="M3936" s="6">
        <f ca="1">IFERROR(__xludf.DUMMYFUNCTION("IFERROR(GOOGLEFINANCE(B3936,""change""),0)"),-2.04)</f>
        <v>-2.04</v>
      </c>
      <c r="N3936" s="6">
        <v>2</v>
      </c>
      <c r="O3936" s="7">
        <v>45536</v>
      </c>
      <c r="P3936" s="6">
        <v>0.03</v>
      </c>
      <c r="Q3936" s="6">
        <v>341.44</v>
      </c>
      <c r="R3936" s="7">
        <v>45536</v>
      </c>
      <c r="S3936" s="6">
        <v>1091.78</v>
      </c>
      <c r="T3936" s="6">
        <v>4.9400000000000004</v>
      </c>
      <c r="U3936" s="7">
        <v>45536</v>
      </c>
      <c r="V3936" s="6">
        <v>69.11</v>
      </c>
      <c r="W3936" s="6">
        <f ca="1">IFERROR(__xludf.DUMMYFUNCTION("IFERROR(GOOGLEFINANCE(B3936,""pe""),V3936)"),38.52)</f>
        <v>38.520000000000003</v>
      </c>
      <c r="X3936" s="6">
        <v>-4.0199999999999996</v>
      </c>
      <c r="Y3936" s="6">
        <v>0.48</v>
      </c>
      <c r="Z3936" s="6">
        <v>2</v>
      </c>
      <c r="AA3936" s="8">
        <v>45352</v>
      </c>
      <c r="AB3936" s="4">
        <v>0</v>
      </c>
      <c r="AC3936" s="6">
        <v>2.89</v>
      </c>
      <c r="AD3936" s="6">
        <v>5.76</v>
      </c>
      <c r="AE3936" s="1">
        <v>0</v>
      </c>
      <c r="AF3936" s="1">
        <f ca="1">IFERROR(__xludf.DUMMYFUNCTION("IFERROR(GOOGLEFINANCE(TRIM(F3936)&amp;"":"" &amp; TRIM(B3936),""high52""),AE3936)"),108.35)</f>
        <v>108.35</v>
      </c>
      <c r="AG3936" s="1">
        <v>0</v>
      </c>
      <c r="AH3936" s="1">
        <f ca="1">IFERROR(__xludf.DUMMYFUNCTION("IFERROR(GOOGLEFINANCE(TRIM(F3936)&amp;"":"" &amp; TRIM(B3936),""low52""),AE3936)"),54.1)</f>
        <v>54.1</v>
      </c>
      <c r="AI3936" s="1">
        <f ca="1">IFERROR(__xludf.DUMMYFUNCTION("IFERROR(GOOGLEFINANCE(B3936,""eps""),0)"),1.44)</f>
        <v>1.44</v>
      </c>
      <c r="AJ3936" s="1"/>
      <c r="AK3936" s="1" t="s">
        <v>11984</v>
      </c>
      <c r="AL3936" s="9">
        <f t="shared" si="364"/>
        <v>1</v>
      </c>
    </row>
    <row r="3937" spans="1:38" ht="15" x14ac:dyDescent="0.25">
      <c r="A3937" s="1" t="s">
        <v>11985</v>
      </c>
      <c r="B3937" s="1" t="s">
        <v>11986</v>
      </c>
      <c r="C3937" s="1" t="s">
        <v>186</v>
      </c>
      <c r="D3937" s="1" t="s">
        <v>186</v>
      </c>
      <c r="E3937" s="6">
        <v>164.17</v>
      </c>
      <c r="F3937" s="1" t="s">
        <v>53</v>
      </c>
      <c r="G3937" s="6">
        <f ca="1">IFERROR(__xludf.DUMMYFUNCTION("iferror(GOOGLEFINANCE(TRIM(F3937)&amp;"":"" &amp; TRIM(B3937), ""price""),0
)"),0)</f>
        <v>0</v>
      </c>
      <c r="H3937" s="6">
        <v>314.45</v>
      </c>
      <c r="I3937" s="6">
        <f t="shared" ca="1" si="0"/>
        <v>314.45</v>
      </c>
      <c r="J3937" s="6">
        <f ca="1">IFERROR(__xludf.DUMMYFUNCTION("IFERROR(GOOGLEFINANCE(B3937, ""volume""), 0)"),0)</f>
        <v>0</v>
      </c>
      <c r="K3937" s="9"/>
      <c r="L3937" s="6" t="str">
        <f ca="1">IFERROR(__xludf.DUMMYFUNCTION("IFERROR(GOOGLEFINANCE(B3937,""changepct""),K3937)"),"")</f>
        <v/>
      </c>
      <c r="M3937" s="6">
        <f ca="1">IFERROR(__xludf.DUMMYFUNCTION("IFERROR(GOOGLEFINANCE(B3937,""change""),0)"),0)</f>
        <v>0</v>
      </c>
      <c r="N3937" s="6">
        <v>1</v>
      </c>
      <c r="O3937" s="7">
        <v>45536</v>
      </c>
      <c r="P3937" s="6">
        <v>107.21</v>
      </c>
      <c r="Q3937" s="6">
        <v>271.12</v>
      </c>
      <c r="R3937" s="7">
        <v>45536</v>
      </c>
      <c r="S3937" s="6">
        <v>321.55</v>
      </c>
      <c r="T3937" s="6">
        <v>5</v>
      </c>
      <c r="U3937" s="7">
        <v>45536</v>
      </c>
      <c r="V3937" s="6">
        <v>32.83</v>
      </c>
      <c r="W3937" s="6">
        <f ca="1">IFERROR(__xludf.DUMMYFUNCTION("IFERROR(GOOGLEFINANCE(B3937,""pe""),V3937)"),32.83)</f>
        <v>32.83</v>
      </c>
      <c r="X3937" s="6">
        <v>-0.91</v>
      </c>
      <c r="Y3937" s="6">
        <v>1.25</v>
      </c>
      <c r="Z3937" s="6">
        <v>1</v>
      </c>
      <c r="AA3937" s="8">
        <v>45352</v>
      </c>
      <c r="AB3937" s="4">
        <v>0.93</v>
      </c>
      <c r="AC3937" s="6">
        <v>0.72</v>
      </c>
      <c r="AD3937" s="6">
        <v>4.3499999999999996</v>
      </c>
      <c r="AE3937" s="1">
        <v>0</v>
      </c>
      <c r="AF3937" s="1">
        <f ca="1">IFERROR(__xludf.DUMMYFUNCTION("IFERROR(GOOGLEFINANCE(TRIM(F3937)&amp;"":"" &amp; TRIM(B3937),""high52""),AE3937)"),0)</f>
        <v>0</v>
      </c>
      <c r="AG3937" s="1">
        <v>0</v>
      </c>
      <c r="AH3937" s="1">
        <f ca="1">IFERROR(__xludf.DUMMYFUNCTION("IFERROR(GOOGLEFINANCE(TRIM(F3937)&amp;"":"" &amp; TRIM(B3937),""low52""),AE3937)"),0)</f>
        <v>0</v>
      </c>
      <c r="AI3937" s="1">
        <f ca="1">IFERROR(__xludf.DUMMYFUNCTION("IFERROR(GOOGLEFINANCE(B3937,""eps""),0)"),0)</f>
        <v>0</v>
      </c>
      <c r="AJ3937" s="1"/>
      <c r="AK3937" s="1" t="s">
        <v>11987</v>
      </c>
      <c r="AL3937" s="9">
        <f t="shared" si="364"/>
        <v>1</v>
      </c>
    </row>
    <row r="3938" spans="1:38" ht="15" x14ac:dyDescent="0.25">
      <c r="A3938" s="1" t="s">
        <v>11988</v>
      </c>
      <c r="B3938" s="1" t="s">
        <v>11989</v>
      </c>
      <c r="C3938" s="1" t="s">
        <v>1118</v>
      </c>
      <c r="D3938" s="1" t="s">
        <v>1118</v>
      </c>
      <c r="E3938" s="6">
        <v>9958.76</v>
      </c>
      <c r="F3938" s="1" t="s">
        <v>40</v>
      </c>
      <c r="G3938" s="6">
        <f ca="1">IFERROR(__xludf.DUMMYFUNCTION("iferror(GOOGLEFINANCE(TRIM(F3938)&amp;"":"" &amp; TRIM(B3938), ""price""),0
)"),366)</f>
        <v>366</v>
      </c>
      <c r="H3938" s="6">
        <v>452</v>
      </c>
      <c r="I3938" s="6">
        <f t="shared" ca="1" si="0"/>
        <v>366</v>
      </c>
      <c r="J3938" s="6">
        <f ca="1">IFERROR(__xludf.DUMMYFUNCTION("IFERROR(GOOGLEFINANCE(B3938, ""volume""), 0)"),170267)</f>
        <v>170267</v>
      </c>
      <c r="K3938" s="6">
        <v>-0.65</v>
      </c>
      <c r="L3938" s="6">
        <f ca="1">IFERROR(__xludf.DUMMYFUNCTION("IFERROR(GOOGLEFINANCE(B3938,""changepct""),K3938)"),2.06)</f>
        <v>2.06</v>
      </c>
      <c r="M3938" s="6">
        <f ca="1">IFERROR(__xludf.DUMMYFUNCTION("IFERROR(GOOGLEFINANCE(B3938,""change""),0)"),7.4)</f>
        <v>7.4</v>
      </c>
      <c r="N3938" s="6">
        <v>2</v>
      </c>
      <c r="O3938" s="7">
        <v>45536</v>
      </c>
      <c r="P3938" s="6">
        <v>535.79</v>
      </c>
      <c r="Q3938" s="6">
        <v>10307.18</v>
      </c>
      <c r="R3938" s="7">
        <v>45536</v>
      </c>
      <c r="S3938" s="6">
        <v>6384.12</v>
      </c>
      <c r="T3938" s="6">
        <v>306.68</v>
      </c>
      <c r="U3938" s="7">
        <v>45536</v>
      </c>
      <c r="V3938" s="6">
        <v>32.07</v>
      </c>
      <c r="W3938" s="6">
        <f ca="1">IFERROR(__xludf.DUMMYFUNCTION("IFERROR(GOOGLEFINANCE(B3938,""pe""),V3938)"),17.49)</f>
        <v>17.489999999999998</v>
      </c>
      <c r="X3938" s="6">
        <v>2.5</v>
      </c>
      <c r="Y3938" s="6">
        <v>3.46</v>
      </c>
      <c r="Z3938" s="6">
        <v>2</v>
      </c>
      <c r="AA3938" s="8">
        <v>45352</v>
      </c>
      <c r="AB3938" s="4">
        <v>0.49</v>
      </c>
      <c r="AC3938" s="6">
        <v>14.21</v>
      </c>
      <c r="AD3938" s="6">
        <v>14.82</v>
      </c>
      <c r="AE3938" s="1">
        <v>0</v>
      </c>
      <c r="AF3938" s="1">
        <f ca="1">IFERROR(__xludf.DUMMYFUNCTION("IFERROR(GOOGLEFINANCE(TRIM(F3938)&amp;"":"" &amp; TRIM(B3938),""high52""),AE3938)"),468.1)</f>
        <v>468.1</v>
      </c>
      <c r="AG3938" s="1">
        <v>0</v>
      </c>
      <c r="AH3938" s="1">
        <f ca="1">IFERROR(__xludf.DUMMYFUNCTION("IFERROR(GOOGLEFINANCE(TRIM(F3938)&amp;"":"" &amp; TRIM(B3938),""low52""),AE3938)"),313.1)</f>
        <v>313.10000000000002</v>
      </c>
      <c r="AI3938" s="1">
        <f ca="1">IFERROR(__xludf.DUMMYFUNCTION("IFERROR(GOOGLEFINANCE(B3938,""eps""),0)"),20.93)</f>
        <v>20.93</v>
      </c>
      <c r="AJ3938" s="1"/>
      <c r="AK3938" s="1" t="s">
        <v>11990</v>
      </c>
      <c r="AL3938" s="9">
        <f t="shared" si="364"/>
        <v>1</v>
      </c>
    </row>
    <row r="3939" spans="1:38" ht="15" x14ac:dyDescent="0.25">
      <c r="A3939" s="1" t="s">
        <v>11991</v>
      </c>
      <c r="B3939" s="1" t="s">
        <v>11992</v>
      </c>
      <c r="C3939" s="1" t="s">
        <v>186</v>
      </c>
      <c r="D3939" s="1" t="s">
        <v>186</v>
      </c>
      <c r="E3939" s="6">
        <v>20.98</v>
      </c>
      <c r="F3939" s="1" t="s">
        <v>53</v>
      </c>
      <c r="G3939" s="6">
        <f ca="1">IFERROR(__xludf.DUMMYFUNCTION("iferror(GOOGLEFINANCE(TRIM(F3939)&amp;"":"" &amp; TRIM(B3939), ""price""),0
)"),0)</f>
        <v>0</v>
      </c>
      <c r="H3939" s="6">
        <v>36.119999999999997</v>
      </c>
      <c r="I3939" s="6">
        <f t="shared" ca="1" si="0"/>
        <v>36.119999999999997</v>
      </c>
      <c r="J3939" s="6">
        <f ca="1">IFERROR(__xludf.DUMMYFUNCTION("IFERROR(GOOGLEFINANCE(B3939, ""volume""), 0)"),0)</f>
        <v>0</v>
      </c>
      <c r="K3939" s="9"/>
      <c r="L3939" s="6" t="str">
        <f ca="1">IFERROR(__xludf.DUMMYFUNCTION("IFERROR(GOOGLEFINANCE(B3939,""changepct""),K3939)"),"")</f>
        <v/>
      </c>
      <c r="M3939" s="6">
        <f ca="1">IFERROR(__xludf.DUMMYFUNCTION("IFERROR(GOOGLEFINANCE(B3939,""change""),0)"),0)</f>
        <v>0</v>
      </c>
      <c r="N3939" s="6">
        <v>2</v>
      </c>
      <c r="O3939" s="7">
        <v>45536</v>
      </c>
      <c r="P3939" s="6">
        <v>30.42</v>
      </c>
      <c r="Q3939" s="6">
        <v>51.4</v>
      </c>
      <c r="R3939" s="7">
        <v>45536</v>
      </c>
      <c r="S3939" s="6">
        <v>37.61</v>
      </c>
      <c r="T3939" s="6">
        <v>0.23</v>
      </c>
      <c r="U3939" s="7">
        <v>45536</v>
      </c>
      <c r="V3939" s="6">
        <v>0</v>
      </c>
      <c r="W3939" s="6">
        <f ca="1">IFERROR(__xludf.DUMMYFUNCTION("IFERROR(GOOGLEFINANCE(B3939,""pe""),V3939)"),0)</f>
        <v>0</v>
      </c>
      <c r="X3939" s="6">
        <v>0</v>
      </c>
      <c r="Y3939" s="6">
        <v>0.71</v>
      </c>
      <c r="Z3939" s="6">
        <v>2</v>
      </c>
      <c r="AA3939" s="8">
        <v>45352</v>
      </c>
      <c r="AB3939" s="4">
        <v>1.05</v>
      </c>
      <c r="AC3939" s="6">
        <v>46.87</v>
      </c>
      <c r="AD3939" s="6">
        <v>5.29</v>
      </c>
      <c r="AE3939" s="1">
        <v>0</v>
      </c>
      <c r="AF3939" s="1">
        <f ca="1">IFERROR(__xludf.DUMMYFUNCTION("IFERROR(GOOGLEFINANCE(TRIM(F3939)&amp;"":"" &amp; TRIM(B3939),""high52""),AE3939)"),0)</f>
        <v>0</v>
      </c>
      <c r="AG3939" s="1">
        <v>0</v>
      </c>
      <c r="AH3939" s="1">
        <f ca="1">IFERROR(__xludf.DUMMYFUNCTION("IFERROR(GOOGLEFINANCE(TRIM(F3939)&amp;"":"" &amp; TRIM(B3939),""low52""),AE3939)"),0)</f>
        <v>0</v>
      </c>
      <c r="AI3939" s="1">
        <f ca="1">IFERROR(__xludf.DUMMYFUNCTION("IFERROR(GOOGLEFINANCE(B3939,""eps""),0)"),0)</f>
        <v>0</v>
      </c>
      <c r="AJ3939" s="1"/>
      <c r="AK3939" s="1" t="s">
        <v>11993</v>
      </c>
      <c r="AL3939" s="9">
        <f t="shared" si="364"/>
        <v>1</v>
      </c>
    </row>
    <row r="3940" spans="1:38" ht="15" x14ac:dyDescent="0.25">
      <c r="A3940" s="1" t="s">
        <v>11994</v>
      </c>
      <c r="B3940" s="1" t="s">
        <v>7034</v>
      </c>
      <c r="C3940" s="1" t="s">
        <v>186</v>
      </c>
      <c r="D3940" s="1" t="s">
        <v>186</v>
      </c>
      <c r="E3940" s="6">
        <v>20.37</v>
      </c>
      <c r="F3940" s="1" t="s">
        <v>53</v>
      </c>
      <c r="G3940" s="6">
        <f ca="1">IFERROR(__xludf.DUMMYFUNCTION("iferror(GOOGLEFINANCE(TRIM(F3940)&amp;"":"" &amp; TRIM(B3940), ""price""),0
)"),0)</f>
        <v>0</v>
      </c>
      <c r="H3940" s="6">
        <v>29.01</v>
      </c>
      <c r="I3940" s="6">
        <f t="shared" ca="1" si="0"/>
        <v>29.01</v>
      </c>
      <c r="J3940" s="6">
        <f ca="1">IFERROR(__xludf.DUMMYFUNCTION("IFERROR(GOOGLEFINANCE(B3940, ""volume""), 0)"),582178)</f>
        <v>582178</v>
      </c>
      <c r="K3940" s="12"/>
      <c r="L3940" s="6">
        <f ca="1">IFERROR(__xludf.DUMMYFUNCTION("IFERROR(GOOGLEFINANCE(B3940,""changepct""),K3940)"),-3.23)</f>
        <v>-3.23</v>
      </c>
      <c r="M3940" s="6">
        <f ca="1">IFERROR(__xludf.DUMMYFUNCTION("IFERROR(GOOGLEFINANCE(B3940,""change""),0)"),-0.26)</f>
        <v>-0.26</v>
      </c>
      <c r="N3940" s="6">
        <v>1</v>
      </c>
      <c r="O3940" s="7">
        <v>45536</v>
      </c>
      <c r="P3940" s="9"/>
      <c r="Q3940" s="6">
        <v>20.37</v>
      </c>
      <c r="R3940" s="7">
        <v>45536</v>
      </c>
      <c r="S3940" s="6">
        <v>0.85</v>
      </c>
      <c r="T3940" s="6">
        <v>-0.05</v>
      </c>
      <c r="U3940" s="7">
        <v>45536</v>
      </c>
      <c r="V3940" s="6">
        <v>0</v>
      </c>
      <c r="W3940" s="6">
        <f ca="1">IFERROR(__xludf.DUMMYFUNCTION("IFERROR(GOOGLEFINANCE(B3940,""pe""),V3940)"),27.19)</f>
        <v>27.19</v>
      </c>
      <c r="X3940" s="9"/>
      <c r="Y3940" s="6">
        <v>2.14</v>
      </c>
      <c r="Z3940" s="6">
        <v>1</v>
      </c>
      <c r="AA3940" s="8">
        <v>45352</v>
      </c>
      <c r="AB3940" s="4">
        <v>0</v>
      </c>
      <c r="AC3940" s="6">
        <v>-0.15</v>
      </c>
      <c r="AD3940" s="6">
        <v>-0.12</v>
      </c>
      <c r="AE3940" s="1">
        <v>0</v>
      </c>
      <c r="AF3940" s="1">
        <f ca="1">IFERROR(__xludf.DUMMYFUNCTION("IFERROR(GOOGLEFINANCE(TRIM(F3940)&amp;"":"" &amp; TRIM(B3940),""high52""),AE3940)"),0)</f>
        <v>0</v>
      </c>
      <c r="AG3940" s="1">
        <v>0</v>
      </c>
      <c r="AH3940" s="1">
        <f ca="1">IFERROR(__xludf.DUMMYFUNCTION("IFERROR(GOOGLEFINANCE(TRIM(F3940)&amp;"":"" &amp; TRIM(B3940),""low52""),AE3940)"),0)</f>
        <v>0</v>
      </c>
      <c r="AI3940" s="1">
        <f ca="1">IFERROR(__xludf.DUMMYFUNCTION("IFERROR(GOOGLEFINANCE(B3940,""eps""),0)"),0.29)</f>
        <v>0.28999999999999998</v>
      </c>
      <c r="AJ3940" s="1"/>
      <c r="AK3940" s="1" t="s">
        <v>11995</v>
      </c>
      <c r="AL3940" s="9">
        <f t="shared" si="364"/>
        <v>1</v>
      </c>
    </row>
    <row r="3941" spans="1:38" ht="15" x14ac:dyDescent="0.25">
      <c r="A3941" s="1" t="s">
        <v>11996</v>
      </c>
      <c r="B3941" s="1" t="s">
        <v>11997</v>
      </c>
      <c r="C3941" s="1" t="s">
        <v>186</v>
      </c>
      <c r="D3941" s="1" t="s">
        <v>186</v>
      </c>
      <c r="E3941" s="6">
        <v>15.39</v>
      </c>
      <c r="F3941" s="1" t="s">
        <v>53</v>
      </c>
      <c r="G3941" s="6">
        <f ca="1">IFERROR(__xludf.DUMMYFUNCTION("iferror(GOOGLEFINANCE(TRIM(F3941)&amp;"":"" &amp; TRIM(B3941), ""price""),0
)"),0)</f>
        <v>0</v>
      </c>
      <c r="H3941" s="6">
        <v>10.18</v>
      </c>
      <c r="I3941" s="6">
        <f t="shared" ca="1" si="0"/>
        <v>10.18</v>
      </c>
      <c r="J3941" s="6">
        <f ca="1">IFERROR(__xludf.DUMMYFUNCTION("IFERROR(GOOGLEFINANCE(B3941, ""volume""), 0)"),0)</f>
        <v>0</v>
      </c>
      <c r="K3941" s="6">
        <v>0.89</v>
      </c>
      <c r="L3941" s="6">
        <f ca="1">IFERROR(__xludf.DUMMYFUNCTION("IFERROR(GOOGLEFINANCE(B3941,""changepct""),K3941)"),0.89)</f>
        <v>0.89</v>
      </c>
      <c r="M3941" s="6">
        <f ca="1">IFERROR(__xludf.DUMMYFUNCTION("IFERROR(GOOGLEFINANCE(B3941,""change""),0)"),0)</f>
        <v>0</v>
      </c>
      <c r="N3941" s="6">
        <v>1</v>
      </c>
      <c r="O3941" s="7">
        <v>45536</v>
      </c>
      <c r="P3941" s="6">
        <v>9.43</v>
      </c>
      <c r="Q3941" s="6">
        <v>24.31</v>
      </c>
      <c r="R3941" s="7">
        <v>45536</v>
      </c>
      <c r="S3941" s="6">
        <v>0.01</v>
      </c>
      <c r="T3941" s="6">
        <v>2.2400000000000002</v>
      </c>
      <c r="U3941" s="7">
        <v>45536</v>
      </c>
      <c r="V3941" s="6">
        <v>6.88</v>
      </c>
      <c r="W3941" s="6">
        <f ca="1">IFERROR(__xludf.DUMMYFUNCTION("IFERROR(GOOGLEFINANCE(B3941,""pe""),V3941)"),6.88)</f>
        <v>6.88</v>
      </c>
      <c r="X3941" s="6">
        <v>0.54</v>
      </c>
      <c r="Y3941" s="6">
        <v>-2.2200000000000002</v>
      </c>
      <c r="Z3941" s="6">
        <v>1</v>
      </c>
      <c r="AA3941" s="8">
        <v>45352</v>
      </c>
      <c r="AB3941" s="4">
        <v>-1.62</v>
      </c>
      <c r="AC3941" s="6">
        <v>0</v>
      </c>
      <c r="AD3941" s="6">
        <v>68.400000000000006</v>
      </c>
      <c r="AE3941" s="1">
        <v>0</v>
      </c>
      <c r="AF3941" s="1">
        <f ca="1">IFERROR(__xludf.DUMMYFUNCTION("IFERROR(GOOGLEFINANCE(TRIM(F3941)&amp;"":"" &amp; TRIM(B3941),""high52""),AE3941)"),0)</f>
        <v>0</v>
      </c>
      <c r="AG3941" s="1">
        <v>0</v>
      </c>
      <c r="AH3941" s="1">
        <f ca="1">IFERROR(__xludf.DUMMYFUNCTION("IFERROR(GOOGLEFINANCE(TRIM(F3941)&amp;"":"" &amp; TRIM(B3941),""low52""),AE3941)"),0)</f>
        <v>0</v>
      </c>
      <c r="AI3941" s="1">
        <f ca="1">IFERROR(__xludf.DUMMYFUNCTION("IFERROR(GOOGLEFINANCE(B3941,""eps""),0)"),0)</f>
        <v>0</v>
      </c>
      <c r="AJ3941" s="1"/>
      <c r="AK3941" s="1" t="s">
        <v>11998</v>
      </c>
      <c r="AL3941" s="9">
        <f t="shared" si="364"/>
        <v>1</v>
      </c>
    </row>
    <row r="3942" spans="1:38" ht="15" x14ac:dyDescent="0.25">
      <c r="A3942" s="1" t="s">
        <v>11999</v>
      </c>
      <c r="B3942" s="1" t="s">
        <v>12000</v>
      </c>
      <c r="C3942" s="1" t="s">
        <v>416</v>
      </c>
      <c r="D3942" s="1" t="s">
        <v>416</v>
      </c>
      <c r="E3942" s="6">
        <v>24244.47</v>
      </c>
      <c r="F3942" s="1" t="s">
        <v>40</v>
      </c>
      <c r="G3942" s="6">
        <f ca="1">IFERROR(__xludf.DUMMYFUNCTION("iferror(GOOGLEFINANCE(TRIM(F3942)&amp;"":"" &amp; TRIM(B3942), ""price""),0
)"),506)</f>
        <v>506</v>
      </c>
      <c r="H3942" s="6">
        <v>777.5</v>
      </c>
      <c r="I3942" s="6">
        <f t="shared" ca="1" si="0"/>
        <v>506</v>
      </c>
      <c r="J3942" s="6">
        <f ca="1">IFERROR(__xludf.DUMMYFUNCTION("IFERROR(GOOGLEFINANCE(B3942, ""volume""), 0)"),326617)</f>
        <v>326617</v>
      </c>
      <c r="K3942" s="6">
        <v>1.85</v>
      </c>
      <c r="L3942" s="6">
        <f ca="1">IFERROR(__xludf.DUMMYFUNCTION("IFERROR(GOOGLEFINANCE(B3942,""changepct""),K3942)"),1.14)</f>
        <v>1.1399999999999999</v>
      </c>
      <c r="M3942" s="6">
        <f ca="1">IFERROR(__xludf.DUMMYFUNCTION("IFERROR(GOOGLEFINANCE(B3942,""change""),0)"),5.7)</f>
        <v>5.7</v>
      </c>
      <c r="N3942" s="6">
        <v>2</v>
      </c>
      <c r="O3942" s="7">
        <v>45536</v>
      </c>
      <c r="P3942" s="12"/>
      <c r="Q3942" s="6">
        <v>23657.37</v>
      </c>
      <c r="R3942" s="7">
        <v>45536</v>
      </c>
      <c r="S3942" s="6">
        <v>1854.13</v>
      </c>
      <c r="T3942" s="6">
        <v>315.52</v>
      </c>
      <c r="U3942" s="7">
        <v>45536</v>
      </c>
      <c r="V3942" s="6">
        <v>76.94</v>
      </c>
      <c r="W3942" s="6">
        <f ca="1">IFERROR(__xludf.DUMMYFUNCTION("IFERROR(GOOGLEFINANCE(B3942,""pe""),V3942)"),47.02)</f>
        <v>47.02</v>
      </c>
      <c r="X3942" s="6">
        <v>3.52</v>
      </c>
      <c r="Y3942" s="6">
        <v>22.24</v>
      </c>
      <c r="Z3942" s="6">
        <v>2</v>
      </c>
      <c r="AA3942" s="8">
        <v>45352</v>
      </c>
      <c r="AB3942" s="4">
        <v>0</v>
      </c>
      <c r="AC3942" s="6">
        <v>31.35</v>
      </c>
      <c r="AD3942" s="6">
        <v>42.2</v>
      </c>
      <c r="AE3942" s="1">
        <v>0</v>
      </c>
      <c r="AF3942" s="1">
        <f ca="1">IFERROR(__xludf.DUMMYFUNCTION("IFERROR(GOOGLEFINANCE(TRIM(F3942)&amp;"":"" &amp; TRIM(B3942),""high52""),AE3942)"),686.95)</f>
        <v>686.95</v>
      </c>
      <c r="AG3942" s="1">
        <v>0</v>
      </c>
      <c r="AH3942" s="1">
        <f ca="1">IFERROR(__xludf.DUMMYFUNCTION("IFERROR(GOOGLEFINANCE(TRIM(F3942)&amp;"":"" &amp; TRIM(B3942),""low52""),AE3942)"),454.1)</f>
        <v>454.1</v>
      </c>
      <c r="AI3942" s="1">
        <f ca="1">IFERROR(__xludf.DUMMYFUNCTION("IFERROR(GOOGLEFINANCE(B3942,""eps""),0)"),10.76)</f>
        <v>10.76</v>
      </c>
      <c r="AJ3942" s="1"/>
      <c r="AK3942" s="1" t="s">
        <v>12001</v>
      </c>
      <c r="AL3942" s="9">
        <f t="shared" si="364"/>
        <v>1</v>
      </c>
    </row>
    <row r="3943" spans="1:38" ht="15" x14ac:dyDescent="0.25">
      <c r="A3943" s="1" t="s">
        <v>12002</v>
      </c>
      <c r="B3943" s="1" t="s">
        <v>12003</v>
      </c>
      <c r="C3943" s="1" t="s">
        <v>186</v>
      </c>
      <c r="D3943" s="1" t="s">
        <v>186</v>
      </c>
      <c r="E3943" s="6">
        <v>497.01</v>
      </c>
      <c r="F3943" s="1" t="s">
        <v>53</v>
      </c>
      <c r="G3943" s="6">
        <f ca="1">IFERROR(__xludf.DUMMYFUNCTION("iferror(GOOGLEFINANCE(TRIM(F3943)&amp;"":"" &amp; TRIM(B3943), ""price""),0
)"),0)</f>
        <v>0</v>
      </c>
      <c r="H3943" s="6">
        <v>7144.95</v>
      </c>
      <c r="I3943" s="6">
        <f t="shared" ca="1" si="0"/>
        <v>7144.95</v>
      </c>
      <c r="J3943" s="6">
        <f ca="1">IFERROR(__xludf.DUMMYFUNCTION("IFERROR(GOOGLEFINANCE(B3943, ""volume""), 0)"),0)</f>
        <v>0</v>
      </c>
      <c r="K3943" s="9"/>
      <c r="L3943" s="6" t="str">
        <f ca="1">IFERROR(__xludf.DUMMYFUNCTION("IFERROR(GOOGLEFINANCE(B3943,""changepct""),K3943)"),"")</f>
        <v/>
      </c>
      <c r="M3943" s="6">
        <f ca="1">IFERROR(__xludf.DUMMYFUNCTION("IFERROR(GOOGLEFINANCE(B3943,""change""),0)"),0)</f>
        <v>0</v>
      </c>
      <c r="N3943" s="6">
        <v>1</v>
      </c>
      <c r="O3943" s="7">
        <v>45536</v>
      </c>
      <c r="P3943" s="6">
        <v>137.26</v>
      </c>
      <c r="Q3943" s="6">
        <v>629.4</v>
      </c>
      <c r="R3943" s="7">
        <v>45536</v>
      </c>
      <c r="S3943" s="6">
        <v>274.57</v>
      </c>
      <c r="T3943" s="6">
        <v>-4.67</v>
      </c>
      <c r="U3943" s="7">
        <v>45536</v>
      </c>
      <c r="V3943" s="6">
        <v>0</v>
      </c>
      <c r="W3943" s="6">
        <f ca="1">IFERROR(__xludf.DUMMYFUNCTION("IFERROR(GOOGLEFINANCE(B3943,""pe""),V3943)"),0)</f>
        <v>0</v>
      </c>
      <c r="X3943" s="12"/>
      <c r="Y3943" s="6">
        <v>0.5</v>
      </c>
      <c r="Z3943" s="6">
        <v>1</v>
      </c>
      <c r="AA3943" s="8">
        <v>45352</v>
      </c>
      <c r="AB3943" s="4">
        <v>0.16</v>
      </c>
      <c r="AC3943" s="6">
        <v>-1.83</v>
      </c>
      <c r="AD3943" s="6">
        <v>-0.94</v>
      </c>
      <c r="AE3943" s="1">
        <v>0</v>
      </c>
      <c r="AF3943" s="1">
        <f ca="1">IFERROR(__xludf.DUMMYFUNCTION("IFERROR(GOOGLEFINANCE(TRIM(F3943)&amp;"":"" &amp; TRIM(B3943),""high52""),AE3943)"),0)</f>
        <v>0</v>
      </c>
      <c r="AG3943" s="1">
        <v>0</v>
      </c>
      <c r="AH3943" s="1">
        <f ca="1">IFERROR(__xludf.DUMMYFUNCTION("IFERROR(GOOGLEFINANCE(TRIM(F3943)&amp;"":"" &amp; TRIM(B3943),""low52""),AE3943)"),0)</f>
        <v>0</v>
      </c>
      <c r="AI3943" s="1">
        <f ca="1">IFERROR(__xludf.DUMMYFUNCTION("IFERROR(GOOGLEFINANCE(B3943,""eps""),0)"),0)</f>
        <v>0</v>
      </c>
      <c r="AJ3943" s="1"/>
      <c r="AK3943" s="1" t="s">
        <v>12004</v>
      </c>
      <c r="AL3943" s="9">
        <f t="shared" si="364"/>
        <v>1</v>
      </c>
    </row>
    <row r="3944" spans="1:38" ht="15" x14ac:dyDescent="0.25">
      <c r="A3944" s="1" t="s">
        <v>12005</v>
      </c>
      <c r="B3944" s="1" t="s">
        <v>12006</v>
      </c>
      <c r="C3944" s="1" t="s">
        <v>86</v>
      </c>
      <c r="D3944" s="1" t="s">
        <v>86</v>
      </c>
      <c r="E3944" s="6">
        <v>232.63</v>
      </c>
      <c r="F3944" s="1" t="s">
        <v>40</v>
      </c>
      <c r="G3944" s="6">
        <f ca="1">IFERROR(__xludf.DUMMYFUNCTION("iferror(GOOGLEFINANCE(TRIM(F3944)&amp;"":"" &amp; TRIM(B3944), ""price""),0
)"),0)</f>
        <v>0</v>
      </c>
      <c r="H3944" s="6">
        <v>248.15</v>
      </c>
      <c r="I3944" s="6">
        <f t="shared" ca="1" si="0"/>
        <v>248.15</v>
      </c>
      <c r="J3944" s="6">
        <f ca="1">IFERROR(__xludf.DUMMYFUNCTION("IFERROR(GOOGLEFINANCE(B3944, ""volume""), 0)"),0)</f>
        <v>0</v>
      </c>
      <c r="K3944" s="6">
        <v>-1.92</v>
      </c>
      <c r="L3944" s="6">
        <f ca="1">IFERROR(__xludf.DUMMYFUNCTION("IFERROR(GOOGLEFINANCE(B3944,""changepct""),K3944)"),-1.92)</f>
        <v>-1.92</v>
      </c>
      <c r="M3944" s="6">
        <f ca="1">IFERROR(__xludf.DUMMYFUNCTION("IFERROR(GOOGLEFINANCE(B3944,""change""),0)"),0)</f>
        <v>0</v>
      </c>
      <c r="N3944" s="6">
        <v>1</v>
      </c>
      <c r="O3944" s="7">
        <v>45536</v>
      </c>
      <c r="P3944" s="6">
        <v>3.93</v>
      </c>
      <c r="Q3944" s="6">
        <v>236.56</v>
      </c>
      <c r="R3944" s="12"/>
      <c r="S3944" s="12"/>
      <c r="T3944" s="12"/>
      <c r="U3944" s="7">
        <v>45352</v>
      </c>
      <c r="V3944" s="6">
        <v>40.6</v>
      </c>
      <c r="W3944" s="6">
        <f ca="1">IFERROR(__xludf.DUMMYFUNCTION("IFERROR(GOOGLEFINANCE(B3944,""pe""),V3944)"),40.6)</f>
        <v>40.6</v>
      </c>
      <c r="X3944" s="12"/>
      <c r="Y3944" s="6">
        <v>5.34</v>
      </c>
      <c r="Z3944" s="6">
        <v>1</v>
      </c>
      <c r="AA3944" s="8">
        <v>45352</v>
      </c>
      <c r="AB3944" s="4">
        <v>0.47</v>
      </c>
      <c r="AC3944" s="6">
        <v>77.819999999999993</v>
      </c>
      <c r="AD3944" s="6">
        <v>66.36</v>
      </c>
      <c r="AE3944" s="1">
        <v>0</v>
      </c>
      <c r="AF3944" s="1">
        <f ca="1">IFERROR(__xludf.DUMMYFUNCTION("IFERROR(GOOGLEFINANCE(TRIM(F3944)&amp;"":"" &amp; TRIM(B3944),""high52""),AE3944)"),0)</f>
        <v>0</v>
      </c>
      <c r="AG3944" s="1">
        <v>0</v>
      </c>
      <c r="AH3944" s="1">
        <f ca="1">IFERROR(__xludf.DUMMYFUNCTION("IFERROR(GOOGLEFINANCE(TRIM(F3944)&amp;"":"" &amp; TRIM(B3944),""low52""),AE3944)"),0)</f>
        <v>0</v>
      </c>
      <c r="AI3944" s="1">
        <f ca="1">IFERROR(__xludf.DUMMYFUNCTION("IFERROR(GOOGLEFINANCE(B3944,""eps""),0)"),0)</f>
        <v>0</v>
      </c>
      <c r="AJ3944" s="1"/>
      <c r="AK3944" s="1" t="s">
        <v>12007</v>
      </c>
      <c r="AL3944" s="9">
        <f t="shared" si="364"/>
        <v>1</v>
      </c>
    </row>
    <row r="3945" spans="1:38" ht="15" x14ac:dyDescent="0.25">
      <c r="A3945" s="1" t="s">
        <v>12008</v>
      </c>
      <c r="B3945" s="1" t="s">
        <v>12009</v>
      </c>
      <c r="C3945" s="1" t="s">
        <v>75</v>
      </c>
      <c r="D3945" s="1" t="s">
        <v>75</v>
      </c>
      <c r="E3945" s="6">
        <v>193.23</v>
      </c>
      <c r="F3945" s="1" t="s">
        <v>40</v>
      </c>
      <c r="G3945" s="6">
        <f ca="1">IFERROR(__xludf.DUMMYFUNCTION("iferror(GOOGLEFINANCE(TRIM(F3945)&amp;"":"" &amp; TRIM(B3945), ""price""),0
)"),7.71)</f>
        <v>7.71</v>
      </c>
      <c r="H3945" s="6">
        <v>16.13</v>
      </c>
      <c r="I3945" s="6">
        <f t="shared" ca="1" si="0"/>
        <v>7.71</v>
      </c>
      <c r="J3945" s="6">
        <f ca="1">IFERROR(__xludf.DUMMYFUNCTION("IFERROR(GOOGLEFINANCE(B3945, ""volume""), 0)"),0)</f>
        <v>0</v>
      </c>
      <c r="K3945" s="6">
        <v>-2</v>
      </c>
      <c r="L3945" s="6">
        <f ca="1">IFERROR(__xludf.DUMMYFUNCTION("IFERROR(GOOGLEFINANCE(B3945,""changepct""),K3945)"),-2.06)</f>
        <v>-2.06</v>
      </c>
      <c r="M3945" s="6">
        <f ca="1">IFERROR(__xludf.DUMMYFUNCTION("IFERROR(GOOGLEFINANCE(B3945,""change""),0)"),-1.66)</f>
        <v>-1.66</v>
      </c>
      <c r="N3945" s="6">
        <v>2</v>
      </c>
      <c r="O3945" s="7">
        <v>45536</v>
      </c>
      <c r="P3945" s="6">
        <v>10.75</v>
      </c>
      <c r="Q3945" s="7">
        <v>45536</v>
      </c>
      <c r="R3945" s="6">
        <v>17.98</v>
      </c>
      <c r="S3945" s="6">
        <v>0.46</v>
      </c>
      <c r="T3945" s="6">
        <v>0.86</v>
      </c>
      <c r="U3945" s="6">
        <v>2</v>
      </c>
      <c r="V3945" s="7">
        <v>45352</v>
      </c>
      <c r="W3945" s="6">
        <f ca="1">IFERROR(__xludf.DUMMYFUNCTION("IFERROR(GOOGLEFINANCE(B3945,""pe""),V3945)"),37.09)</f>
        <v>37.090000000000003</v>
      </c>
      <c r="X3945" s="6">
        <v>3.47</v>
      </c>
      <c r="Y3945" s="6">
        <v>5.45</v>
      </c>
      <c r="Z3945" s="6">
        <v>11.58</v>
      </c>
      <c r="AA3945" s="3" t="s">
        <v>12010</v>
      </c>
      <c r="AB3945" s="16"/>
      <c r="AC3945" s="12"/>
      <c r="AD3945" s="12"/>
      <c r="AE3945" s="1">
        <v>0</v>
      </c>
      <c r="AF3945" s="1">
        <f ca="1">IFERROR(__xludf.DUMMYFUNCTION("IFERROR(GOOGLEFINANCE(TRIM(F3945)&amp;"":"" &amp; TRIM(B3945),""high52""),AE3945)"),20.84)</f>
        <v>20.84</v>
      </c>
      <c r="AG3945" s="1">
        <v>0</v>
      </c>
      <c r="AH3945" s="1">
        <f ca="1">IFERROR(__xludf.DUMMYFUNCTION("IFERROR(GOOGLEFINANCE(TRIM(F3945)&amp;"":"" &amp; TRIM(B3945),""low52""),AE3945)"),6.41)</f>
        <v>6.41</v>
      </c>
      <c r="AI3945" s="1">
        <f ca="1">IFERROR(__xludf.DUMMYFUNCTION("IFERROR(GOOGLEFINANCE(B3945,""eps""),0)"),2.13)</f>
        <v>2.13</v>
      </c>
      <c r="AJ3945" s="1"/>
      <c r="AK3945" s="1" t="s">
        <v>12011</v>
      </c>
      <c r="AL3945" s="9">
        <f t="shared" si="364"/>
        <v>1</v>
      </c>
    </row>
    <row r="3946" spans="1:38" ht="15" x14ac:dyDescent="0.25">
      <c r="A3946" s="1" t="s">
        <v>12012</v>
      </c>
      <c r="B3946" s="1" t="s">
        <v>12013</v>
      </c>
      <c r="C3946" s="1" t="s">
        <v>57</v>
      </c>
      <c r="D3946" s="1" t="s">
        <v>57</v>
      </c>
      <c r="E3946" s="6">
        <v>388.95</v>
      </c>
      <c r="F3946" s="1" t="s">
        <v>40</v>
      </c>
      <c r="G3946" s="6">
        <f ca="1">IFERROR(__xludf.DUMMYFUNCTION("iferror(GOOGLEFINANCE(TRIM(F3946)&amp;"":"" &amp; TRIM(B3946), ""price""),0
)"),0)</f>
        <v>0</v>
      </c>
      <c r="H3946" s="6">
        <v>161</v>
      </c>
      <c r="I3946" s="6">
        <f t="shared" ca="1" si="0"/>
        <v>161</v>
      </c>
      <c r="J3946" s="6">
        <f ca="1">IFERROR(__xludf.DUMMYFUNCTION("IFERROR(GOOGLEFINANCE(B3946, ""volume""), 0)"),0)</f>
        <v>0</v>
      </c>
      <c r="K3946" s="6">
        <v>-1.38</v>
      </c>
      <c r="L3946" s="6">
        <f ca="1">IFERROR(__xludf.DUMMYFUNCTION("IFERROR(GOOGLEFINANCE(B3946,""changepct""),K3946)"),-1.38)</f>
        <v>-1.38</v>
      </c>
      <c r="M3946" s="6">
        <f ca="1">IFERROR(__xludf.DUMMYFUNCTION("IFERROR(GOOGLEFINANCE(B3946,""change""),0)"),0)</f>
        <v>0</v>
      </c>
      <c r="N3946" s="6">
        <v>1</v>
      </c>
      <c r="O3946" s="7">
        <v>45536</v>
      </c>
      <c r="P3946" s="9"/>
      <c r="Q3946" s="6">
        <v>388.95</v>
      </c>
      <c r="R3946" s="7">
        <v>45352</v>
      </c>
      <c r="S3946" s="6">
        <v>35.04</v>
      </c>
      <c r="T3946" s="6">
        <v>12.5</v>
      </c>
      <c r="U3946" s="7">
        <v>45352</v>
      </c>
      <c r="V3946" s="6">
        <v>31.11</v>
      </c>
      <c r="W3946" s="6">
        <f ca="1">IFERROR(__xludf.DUMMYFUNCTION("IFERROR(GOOGLEFINANCE(B3946,""pe""),V3946)"),31.11)</f>
        <v>31.11</v>
      </c>
      <c r="X3946" s="12"/>
      <c r="Y3946" s="6">
        <v>3.87</v>
      </c>
      <c r="Z3946" s="6">
        <v>1</v>
      </c>
      <c r="AA3946" s="8">
        <v>45352</v>
      </c>
      <c r="AB3946" s="4">
        <v>0</v>
      </c>
      <c r="AC3946" s="6">
        <v>44.41</v>
      </c>
      <c r="AD3946" s="6">
        <v>59.67</v>
      </c>
      <c r="AE3946" s="1">
        <v>0</v>
      </c>
      <c r="AF3946" s="1">
        <f ca="1">IFERROR(__xludf.DUMMYFUNCTION("IFERROR(GOOGLEFINANCE(TRIM(F3946)&amp;"":"" &amp; TRIM(B3946),""high52""),AE3946)"),0)</f>
        <v>0</v>
      </c>
      <c r="AG3946" s="1">
        <v>0</v>
      </c>
      <c r="AH3946" s="1">
        <f ca="1">IFERROR(__xludf.DUMMYFUNCTION("IFERROR(GOOGLEFINANCE(TRIM(F3946)&amp;"":"" &amp; TRIM(B3946),""low52""),AE3946)"),0)</f>
        <v>0</v>
      </c>
      <c r="AI3946" s="1">
        <f ca="1">IFERROR(__xludf.DUMMYFUNCTION("IFERROR(GOOGLEFINANCE(B3946,""eps""),0)"),0)</f>
        <v>0</v>
      </c>
      <c r="AJ3946" s="1"/>
      <c r="AK3946" s="1" t="s">
        <v>12014</v>
      </c>
      <c r="AL3946" s="9">
        <f t="shared" si="364"/>
        <v>1</v>
      </c>
    </row>
    <row r="3947" spans="1:38" ht="15" x14ac:dyDescent="0.25">
      <c r="A3947" s="1" t="s">
        <v>12015</v>
      </c>
      <c r="B3947" s="1" t="s">
        <v>12016</v>
      </c>
      <c r="C3947" s="1" t="s">
        <v>106</v>
      </c>
      <c r="D3947" s="1" t="s">
        <v>106</v>
      </c>
      <c r="E3947" s="6">
        <v>1998.95</v>
      </c>
      <c r="F3947" s="1" t="s">
        <v>40</v>
      </c>
      <c r="G3947" s="6">
        <f ca="1">IFERROR(__xludf.DUMMYFUNCTION("iferror(GOOGLEFINANCE(TRIM(F3947)&amp;"":"" &amp; TRIM(B3947), ""price""),0
)"),962)</f>
        <v>962</v>
      </c>
      <c r="H3947" s="6">
        <v>1422.95</v>
      </c>
      <c r="I3947" s="6">
        <f t="shared" ca="1" si="0"/>
        <v>962</v>
      </c>
      <c r="J3947" s="6">
        <f ca="1">IFERROR(__xludf.DUMMYFUNCTION("IFERROR(GOOGLEFINANCE(B3947, ""volume""), 0)"),1358)</f>
        <v>1358</v>
      </c>
      <c r="K3947" s="6">
        <v>0.81</v>
      </c>
      <c r="L3947" s="6">
        <f ca="1">IFERROR(__xludf.DUMMYFUNCTION("IFERROR(GOOGLEFINANCE(B3947,""changepct""),K3947)"),-0.28)</f>
        <v>-0.28000000000000003</v>
      </c>
      <c r="M3947" s="6">
        <f ca="1">IFERROR(__xludf.DUMMYFUNCTION("IFERROR(GOOGLEFINANCE(B3947,""change""),0)"),-2.7)</f>
        <v>-2.7</v>
      </c>
      <c r="N3947" s="6">
        <v>1</v>
      </c>
      <c r="O3947" s="7">
        <v>45536</v>
      </c>
      <c r="P3947" s="6">
        <v>30.11</v>
      </c>
      <c r="Q3947" s="6">
        <v>1236.22</v>
      </c>
      <c r="R3947" s="7">
        <v>45536</v>
      </c>
      <c r="S3947" s="6">
        <v>771.29</v>
      </c>
      <c r="T3947" s="6">
        <v>79.94</v>
      </c>
      <c r="U3947" s="7">
        <v>45536</v>
      </c>
      <c r="V3947" s="6">
        <v>25</v>
      </c>
      <c r="W3947" s="6">
        <f ca="1">IFERROR(__xludf.DUMMYFUNCTION("IFERROR(GOOGLEFINANCE(B3947,""pe""),V3947)"),22.63)</f>
        <v>22.63</v>
      </c>
      <c r="X3947" s="6">
        <v>1.2</v>
      </c>
      <c r="Y3947" s="6">
        <v>1.93</v>
      </c>
      <c r="Z3947" s="6">
        <v>1</v>
      </c>
      <c r="AA3947" s="8">
        <v>45352</v>
      </c>
      <c r="AB3947" s="4">
        <v>0.02</v>
      </c>
      <c r="AC3947" s="6">
        <v>6.46</v>
      </c>
      <c r="AD3947" s="6">
        <v>8.7200000000000006</v>
      </c>
      <c r="AE3947" s="1">
        <v>0</v>
      </c>
      <c r="AF3947" s="1">
        <f ca="1">IFERROR(__xludf.DUMMYFUNCTION("IFERROR(GOOGLEFINANCE(TRIM(F3947)&amp;"":"" &amp; TRIM(B3947),""high52""),AE3947)"),1398.9)</f>
        <v>1398.9</v>
      </c>
      <c r="AG3947" s="1">
        <v>0</v>
      </c>
      <c r="AH3947" s="1">
        <f ca="1">IFERROR(__xludf.DUMMYFUNCTION("IFERROR(GOOGLEFINANCE(TRIM(F3947)&amp;"":"" &amp; TRIM(B3947),""low52""),AE3947)"),951)</f>
        <v>951</v>
      </c>
      <c r="AI3947" s="1">
        <f ca="1">IFERROR(__xludf.DUMMYFUNCTION("IFERROR(GOOGLEFINANCE(B3947,""eps""),0)"),42.51)</f>
        <v>42.51</v>
      </c>
      <c r="AJ3947" s="1"/>
      <c r="AK3947" s="1" t="s">
        <v>12017</v>
      </c>
      <c r="AL3947" s="9">
        <f t="shared" si="364"/>
        <v>1</v>
      </c>
    </row>
    <row r="3948" spans="1:38" ht="15" x14ac:dyDescent="0.25">
      <c r="A3948" s="1" t="s">
        <v>12018</v>
      </c>
      <c r="B3948" s="1" t="s">
        <v>12019</v>
      </c>
      <c r="C3948" s="1" t="s">
        <v>1265</v>
      </c>
      <c r="D3948" s="1" t="s">
        <v>1265</v>
      </c>
      <c r="E3948" s="6">
        <v>11115.54</v>
      </c>
      <c r="F3948" s="1" t="s">
        <v>40</v>
      </c>
      <c r="G3948" s="6">
        <f ca="1">IFERROR(__xludf.DUMMYFUNCTION("iferror(GOOGLEFINANCE(TRIM(F3948)&amp;"":"" &amp; TRIM(B3948), ""price""),0
)"),554.95)</f>
        <v>554.95000000000005</v>
      </c>
      <c r="H3948" s="6">
        <v>819.55</v>
      </c>
      <c r="I3948" s="6">
        <f t="shared" ca="1" si="0"/>
        <v>554.95000000000005</v>
      </c>
      <c r="J3948" s="6">
        <f ca="1">IFERROR(__xludf.DUMMYFUNCTION("IFERROR(GOOGLEFINANCE(B3948, ""volume""), 0)"),32182)</f>
        <v>32182</v>
      </c>
      <c r="K3948" s="6">
        <v>0.66</v>
      </c>
      <c r="L3948" s="6">
        <f ca="1">IFERROR(__xludf.DUMMYFUNCTION("IFERROR(GOOGLEFINANCE(B3948,""changepct""),K3948)"),-3.47)</f>
        <v>-3.47</v>
      </c>
      <c r="M3948" s="6">
        <f ca="1">IFERROR(__xludf.DUMMYFUNCTION("IFERROR(GOOGLEFINANCE(B3948,""change""),0)"),-19.95)</f>
        <v>-19.95</v>
      </c>
      <c r="N3948" s="6">
        <v>2</v>
      </c>
      <c r="O3948" s="7">
        <v>45536</v>
      </c>
      <c r="P3948" s="6">
        <v>49.81</v>
      </c>
      <c r="Q3948" s="6">
        <v>10522.42</v>
      </c>
      <c r="R3948" s="7">
        <v>45536</v>
      </c>
      <c r="S3948" s="6">
        <v>2698.95</v>
      </c>
      <c r="T3948" s="6">
        <v>212.02</v>
      </c>
      <c r="U3948" s="7">
        <v>45536</v>
      </c>
      <c r="V3948" s="6">
        <v>51.51</v>
      </c>
      <c r="W3948" s="6">
        <f ca="1">IFERROR(__xludf.DUMMYFUNCTION("IFERROR(GOOGLEFINANCE(B3948,""pe""),V3948)"),91.49)</f>
        <v>91.49</v>
      </c>
      <c r="X3948" s="6">
        <v>14.72</v>
      </c>
      <c r="Y3948" s="6">
        <v>5.96</v>
      </c>
      <c r="Z3948" s="6">
        <v>2</v>
      </c>
      <c r="AA3948" s="8">
        <v>45352</v>
      </c>
      <c r="AB3948" s="4">
        <v>0.02</v>
      </c>
      <c r="AC3948" s="6">
        <v>11.21</v>
      </c>
      <c r="AD3948" s="6">
        <v>15.36</v>
      </c>
      <c r="AE3948" s="1">
        <v>0</v>
      </c>
      <c r="AF3948" s="1">
        <f ca="1">IFERROR(__xludf.DUMMYFUNCTION("IFERROR(GOOGLEFINANCE(TRIM(F3948)&amp;"":"" &amp; TRIM(B3948),""high52""),AE3948)"),771.2)</f>
        <v>771.2</v>
      </c>
      <c r="AG3948" s="1">
        <v>0</v>
      </c>
      <c r="AH3948" s="1">
        <f ca="1">IFERROR(__xludf.DUMMYFUNCTION("IFERROR(GOOGLEFINANCE(TRIM(F3948)&amp;"":"" &amp; TRIM(B3948),""low52""),AE3948)"),552.4)</f>
        <v>552.4</v>
      </c>
      <c r="AI3948" s="1">
        <f ca="1">IFERROR(__xludf.DUMMYFUNCTION("IFERROR(GOOGLEFINANCE(B3948,""eps""),0)"),6.07)</f>
        <v>6.07</v>
      </c>
      <c r="AJ3948" s="1"/>
      <c r="AK3948" s="1" t="s">
        <v>12020</v>
      </c>
      <c r="AL3948" s="9">
        <f t="shared" si="364"/>
        <v>1</v>
      </c>
    </row>
    <row r="3949" spans="1:38" ht="15" x14ac:dyDescent="0.25">
      <c r="A3949" s="1" t="s">
        <v>12021</v>
      </c>
      <c r="B3949" s="1" t="s">
        <v>12022</v>
      </c>
      <c r="C3949" s="1" t="s">
        <v>186</v>
      </c>
      <c r="D3949" s="1" t="s">
        <v>186</v>
      </c>
      <c r="E3949" s="6">
        <v>40.11</v>
      </c>
      <c r="F3949" s="1" t="s">
        <v>53</v>
      </c>
      <c r="G3949" s="6">
        <f ca="1">IFERROR(__xludf.DUMMYFUNCTION("iferror(GOOGLEFINANCE(TRIM(F3949)&amp;"":"" &amp; TRIM(B3949), ""price""),0
)"),0)</f>
        <v>0</v>
      </c>
      <c r="H3949" s="6">
        <v>28.7</v>
      </c>
      <c r="I3949" s="6">
        <f t="shared" ca="1" si="0"/>
        <v>28.7</v>
      </c>
      <c r="J3949" s="6">
        <f ca="1">IFERROR(__xludf.DUMMYFUNCTION("IFERROR(GOOGLEFINANCE(B3949, ""volume""), 0)"),0)</f>
        <v>0</v>
      </c>
      <c r="K3949" s="6">
        <v>4.97</v>
      </c>
      <c r="L3949" s="6">
        <f ca="1">IFERROR(__xludf.DUMMYFUNCTION("IFERROR(GOOGLEFINANCE(B3949,""changepct""),K3949)"),4.97)</f>
        <v>4.97</v>
      </c>
      <c r="M3949" s="6">
        <f ca="1">IFERROR(__xludf.DUMMYFUNCTION("IFERROR(GOOGLEFINANCE(B3949,""change""),0)"),0)</f>
        <v>0</v>
      </c>
      <c r="N3949" s="6">
        <v>1</v>
      </c>
      <c r="O3949" s="7">
        <v>45536</v>
      </c>
      <c r="P3949" s="6">
        <v>23.14</v>
      </c>
      <c r="Q3949" s="6">
        <v>62.9</v>
      </c>
      <c r="R3949" s="7">
        <v>45536</v>
      </c>
      <c r="S3949" s="6">
        <v>94.74</v>
      </c>
      <c r="T3949" s="6">
        <v>1.81</v>
      </c>
      <c r="U3949" s="7">
        <v>45536</v>
      </c>
      <c r="V3949" s="6">
        <v>22.22</v>
      </c>
      <c r="W3949" s="6">
        <f ca="1">IFERROR(__xludf.DUMMYFUNCTION("IFERROR(GOOGLEFINANCE(B3949,""pe""),V3949)"),22.22)</f>
        <v>22.22</v>
      </c>
      <c r="X3949" s="6">
        <v>0.85</v>
      </c>
      <c r="Y3949" s="6">
        <v>1.34</v>
      </c>
      <c r="Z3949" s="6">
        <v>1</v>
      </c>
      <c r="AA3949" s="8">
        <v>45352</v>
      </c>
      <c r="AB3949" s="4">
        <v>1.62</v>
      </c>
      <c r="AC3949" s="6">
        <v>12.26</v>
      </c>
      <c r="AD3949" s="6">
        <v>10.8</v>
      </c>
      <c r="AE3949" s="1">
        <v>0</v>
      </c>
      <c r="AF3949" s="1">
        <f ca="1">IFERROR(__xludf.DUMMYFUNCTION("IFERROR(GOOGLEFINANCE(TRIM(F3949)&amp;"":"" &amp; TRIM(B3949),""high52""),AE3949)"),0)</f>
        <v>0</v>
      </c>
      <c r="AG3949" s="1">
        <v>0</v>
      </c>
      <c r="AH3949" s="1">
        <f ca="1">IFERROR(__xludf.DUMMYFUNCTION("IFERROR(GOOGLEFINANCE(TRIM(F3949)&amp;"":"" &amp; TRIM(B3949),""low52""),AE3949)"),0)</f>
        <v>0</v>
      </c>
      <c r="AI3949" s="1">
        <f ca="1">IFERROR(__xludf.DUMMYFUNCTION("IFERROR(GOOGLEFINANCE(B3949,""eps""),0)"),0)</f>
        <v>0</v>
      </c>
      <c r="AJ3949" s="1"/>
      <c r="AK3949" s="12"/>
      <c r="AL3949" s="9">
        <f t="shared" si="364"/>
        <v>1</v>
      </c>
    </row>
    <row r="3950" spans="1:38" ht="15" x14ac:dyDescent="0.25">
      <c r="A3950" s="1" t="s">
        <v>12023</v>
      </c>
      <c r="B3950" s="1" t="s">
        <v>12024</v>
      </c>
      <c r="C3950" s="1" t="s">
        <v>186</v>
      </c>
      <c r="D3950" s="1" t="s">
        <v>186</v>
      </c>
      <c r="E3950" s="6">
        <v>1389.62</v>
      </c>
      <c r="F3950" s="1" t="s">
        <v>53</v>
      </c>
      <c r="G3950" s="6">
        <f ca="1">IFERROR(__xludf.DUMMYFUNCTION("iferror(GOOGLEFINANCE(TRIM(F3950)&amp;"":"" &amp; TRIM(B3950), ""price""),0
)"),0)</f>
        <v>0</v>
      </c>
      <c r="H3950" s="6">
        <v>193.6</v>
      </c>
      <c r="I3950" s="6">
        <f t="shared" ca="1" si="0"/>
        <v>193.6</v>
      </c>
      <c r="J3950" s="6">
        <f ca="1">IFERROR(__xludf.DUMMYFUNCTION("IFERROR(GOOGLEFINANCE(B3950, ""volume""), 0)"),0)</f>
        <v>0</v>
      </c>
      <c r="K3950" s="6">
        <v>0.18</v>
      </c>
      <c r="L3950" s="6">
        <f ca="1">IFERROR(__xludf.DUMMYFUNCTION("IFERROR(GOOGLEFINANCE(B3950,""changepct""),K3950)"),0.18)</f>
        <v>0.18</v>
      </c>
      <c r="M3950" s="6">
        <f ca="1">IFERROR(__xludf.DUMMYFUNCTION("IFERROR(GOOGLEFINANCE(B3950,""change""),0)"),0)</f>
        <v>0</v>
      </c>
      <c r="N3950" s="6">
        <v>2</v>
      </c>
      <c r="O3950" s="7">
        <v>45536</v>
      </c>
      <c r="P3950" s="6">
        <v>85.96</v>
      </c>
      <c r="Q3950" s="6">
        <v>1350.74</v>
      </c>
      <c r="R3950" s="7">
        <v>45536</v>
      </c>
      <c r="S3950" s="6">
        <v>2631.82</v>
      </c>
      <c r="T3950" s="6">
        <v>100.69</v>
      </c>
      <c r="U3950" s="7">
        <v>45536</v>
      </c>
      <c r="V3950" s="6">
        <v>13.8</v>
      </c>
      <c r="W3950" s="6">
        <f ca="1">IFERROR(__xludf.DUMMYFUNCTION("IFERROR(GOOGLEFINANCE(B3950,""pe""),V3950)"),13.8)</f>
        <v>13.8</v>
      </c>
      <c r="X3950" s="6">
        <v>0.56000000000000005</v>
      </c>
      <c r="Y3950" s="6">
        <v>1.47</v>
      </c>
      <c r="Z3950" s="6">
        <v>2</v>
      </c>
      <c r="AA3950" s="13">
        <v>45352</v>
      </c>
      <c r="AB3950" s="4">
        <v>0.1</v>
      </c>
      <c r="AC3950" s="6">
        <v>13.86</v>
      </c>
      <c r="AD3950" s="6">
        <v>11.77</v>
      </c>
      <c r="AE3950" s="1">
        <v>0</v>
      </c>
      <c r="AF3950" s="1">
        <f ca="1">IFERROR(__xludf.DUMMYFUNCTION("IFERROR(GOOGLEFINANCE(TRIM(F3950)&amp;"":"" &amp; TRIM(B3950),""high52""),AE3950)"),0)</f>
        <v>0</v>
      </c>
      <c r="AG3950" s="1">
        <v>0</v>
      </c>
      <c r="AH3950" s="1">
        <f ca="1">IFERROR(__xludf.DUMMYFUNCTION("IFERROR(GOOGLEFINANCE(TRIM(F3950)&amp;"":"" &amp; TRIM(B3950),""low52""),AE3950)"),0)</f>
        <v>0</v>
      </c>
      <c r="AI3950" s="1">
        <f ca="1">IFERROR(__xludf.DUMMYFUNCTION("IFERROR(GOOGLEFINANCE(B3950,""eps""),0)"),0)</f>
        <v>0</v>
      </c>
      <c r="AJ3950" s="1"/>
      <c r="AK3950" s="1" t="s">
        <v>12025</v>
      </c>
      <c r="AL3950" s="9">
        <f t="shared" si="364"/>
        <v>1</v>
      </c>
    </row>
    <row r="3951" spans="1:38" ht="15" x14ac:dyDescent="0.25">
      <c r="A3951" s="1" t="s">
        <v>12026</v>
      </c>
      <c r="B3951" s="1" t="s">
        <v>12027</v>
      </c>
      <c r="C3951" s="1" t="s">
        <v>1054</v>
      </c>
      <c r="D3951" s="1" t="s">
        <v>1054</v>
      </c>
      <c r="E3951" s="6">
        <v>71072.7</v>
      </c>
      <c r="F3951" s="1" t="s">
        <v>40</v>
      </c>
      <c r="G3951" s="6">
        <f ca="1">IFERROR(__xludf.DUMMYFUNCTION("iferror(GOOGLEFINANCE(TRIM(F3951)&amp;"":"" &amp; TRIM(B3951), ""price""),0
)"),2310.3)</f>
        <v>2310.3000000000002</v>
      </c>
      <c r="H3951" s="6">
        <v>3656.2</v>
      </c>
      <c r="I3951" s="6">
        <f t="shared" ca="1" si="0"/>
        <v>2310.3000000000002</v>
      </c>
      <c r="J3951" s="6">
        <f ca="1">IFERROR(__xludf.DUMMYFUNCTION("IFERROR(GOOGLEFINANCE(B3951, ""volume""), 0)"),162852)</f>
        <v>162852</v>
      </c>
      <c r="K3951" s="6">
        <v>-0.44</v>
      </c>
      <c r="L3951" s="6">
        <f ca="1">IFERROR(__xludf.DUMMYFUNCTION("IFERROR(GOOGLEFINANCE(B3951,""changepct""),K3951)"),-1.04)</f>
        <v>-1.04</v>
      </c>
      <c r="M3951" s="6">
        <f ca="1">IFERROR(__xludf.DUMMYFUNCTION("IFERROR(GOOGLEFINANCE(B3951,""change""),0)"),-24.2)</f>
        <v>-24.2</v>
      </c>
      <c r="N3951" s="6">
        <v>2</v>
      </c>
      <c r="O3951" s="7">
        <v>45536</v>
      </c>
      <c r="P3951" s="6">
        <v>534.77</v>
      </c>
      <c r="Q3951" s="6">
        <v>70071.38</v>
      </c>
      <c r="R3951" s="7">
        <v>45536</v>
      </c>
      <c r="S3951" s="6">
        <v>18189.52</v>
      </c>
      <c r="T3951" s="6">
        <v>1157.49</v>
      </c>
      <c r="U3951" s="7">
        <v>45536</v>
      </c>
      <c r="V3951" s="6">
        <v>61.66</v>
      </c>
      <c r="W3951" s="6">
        <f ca="1">IFERROR(__xludf.DUMMYFUNCTION("IFERROR(GOOGLEFINANCE(B3951,""pe""),V3951)"),71.5)</f>
        <v>71.5</v>
      </c>
      <c r="X3951" s="6">
        <v>1.62</v>
      </c>
      <c r="Y3951" s="6">
        <v>13.32</v>
      </c>
      <c r="Z3951" s="6">
        <v>2</v>
      </c>
      <c r="AA3951" s="8">
        <v>45352</v>
      </c>
      <c r="AB3951" s="4">
        <v>0.15</v>
      </c>
      <c r="AC3951" s="6">
        <v>26.32</v>
      </c>
      <c r="AD3951" s="6">
        <v>33.69</v>
      </c>
      <c r="AE3951" s="1">
        <v>0</v>
      </c>
      <c r="AF3951" s="1">
        <f ca="1">IFERROR(__xludf.DUMMYFUNCTION("IFERROR(GOOGLEFINANCE(TRIM(F3951)&amp;"":"" &amp; TRIM(B3951),""high52""),AE3951)"),3419.9)</f>
        <v>3419.9</v>
      </c>
      <c r="AG3951" s="1">
        <v>0</v>
      </c>
      <c r="AH3951" s="1">
        <f ca="1">IFERROR(__xludf.DUMMYFUNCTION("IFERROR(GOOGLEFINANCE(TRIM(F3951)&amp;"":"" &amp; TRIM(B3951),""low52""),AE3951)"),2164.9)</f>
        <v>2164.9</v>
      </c>
      <c r="AI3951" s="1">
        <f ca="1">IFERROR(__xludf.DUMMYFUNCTION("IFERROR(GOOGLEFINANCE(B3951,""eps""),0)"),32.31)</f>
        <v>32.31</v>
      </c>
      <c r="AJ3951" s="1"/>
      <c r="AK3951" s="1" t="s">
        <v>12028</v>
      </c>
      <c r="AL3951" s="9">
        <f t="shared" si="364"/>
        <v>1</v>
      </c>
    </row>
    <row r="3952" spans="1:38" ht="15" x14ac:dyDescent="0.25">
      <c r="A3952" s="1" t="s">
        <v>12029</v>
      </c>
      <c r="B3952" s="1" t="s">
        <v>12030</v>
      </c>
      <c r="C3952" s="1" t="s">
        <v>669</v>
      </c>
      <c r="D3952" s="1" t="s">
        <v>669</v>
      </c>
      <c r="E3952" s="6">
        <v>276.51</v>
      </c>
      <c r="F3952" s="1" t="s">
        <v>40</v>
      </c>
      <c r="G3952" s="6">
        <f ca="1">IFERROR(__xludf.DUMMYFUNCTION("iferror(GOOGLEFINANCE(TRIM(F3952)&amp;"":"" &amp; TRIM(B3952), ""price""),0
)"),0)</f>
        <v>0</v>
      </c>
      <c r="H3952" s="6">
        <v>49.45</v>
      </c>
      <c r="I3952" s="6">
        <f t="shared" ca="1" si="0"/>
        <v>49.45</v>
      </c>
      <c r="J3952" s="6">
        <f ca="1">IFERROR(__xludf.DUMMYFUNCTION("IFERROR(GOOGLEFINANCE(B3952, ""volume""), 0)"),0)</f>
        <v>0</v>
      </c>
      <c r="K3952" s="6">
        <v>-1.1000000000000001</v>
      </c>
      <c r="L3952" s="6">
        <f ca="1">IFERROR(__xludf.DUMMYFUNCTION("IFERROR(GOOGLEFINANCE(B3952,""changepct""),K3952)"),-1.1)</f>
        <v>-1.1000000000000001</v>
      </c>
      <c r="M3952" s="6">
        <f ca="1">IFERROR(__xludf.DUMMYFUNCTION("IFERROR(GOOGLEFINANCE(B3952,""change""),0)"),0)</f>
        <v>0</v>
      </c>
      <c r="N3952" s="6">
        <v>1</v>
      </c>
      <c r="O3952" s="7">
        <v>45536</v>
      </c>
      <c r="P3952" s="6">
        <v>37.24</v>
      </c>
      <c r="Q3952" s="6">
        <v>313.75</v>
      </c>
      <c r="R3952" s="12"/>
      <c r="S3952" s="12"/>
      <c r="T3952" s="12"/>
      <c r="U3952" s="7">
        <v>45352</v>
      </c>
      <c r="V3952" s="6">
        <v>23.41</v>
      </c>
      <c r="W3952" s="6">
        <f ca="1">IFERROR(__xludf.DUMMYFUNCTION("IFERROR(GOOGLEFINANCE(B3952,""pe""),V3952)"),23.41)</f>
        <v>23.41</v>
      </c>
      <c r="X3952" s="12"/>
      <c r="Y3952" s="6">
        <v>2.0499999999999998</v>
      </c>
      <c r="Z3952" s="6">
        <v>1</v>
      </c>
      <c r="AA3952" s="8">
        <v>45352</v>
      </c>
      <c r="AB3952" s="4">
        <v>1</v>
      </c>
      <c r="AC3952" s="6">
        <v>82.17</v>
      </c>
      <c r="AD3952" s="6">
        <v>52.37</v>
      </c>
      <c r="AE3952" s="1">
        <v>0</v>
      </c>
      <c r="AF3952" s="1">
        <f ca="1">IFERROR(__xludf.DUMMYFUNCTION("IFERROR(GOOGLEFINANCE(TRIM(F3952)&amp;"":"" &amp; TRIM(B3952),""high52""),AE3952)"),0)</f>
        <v>0</v>
      </c>
      <c r="AG3952" s="1">
        <v>0</v>
      </c>
      <c r="AH3952" s="1">
        <f ca="1">IFERROR(__xludf.DUMMYFUNCTION("IFERROR(GOOGLEFINANCE(TRIM(F3952)&amp;"":"" &amp; TRIM(B3952),""low52""),AE3952)"),0)</f>
        <v>0</v>
      </c>
      <c r="AI3952" s="1">
        <f ca="1">IFERROR(__xludf.DUMMYFUNCTION("IFERROR(GOOGLEFINANCE(B3952,""eps""),0)"),0)</f>
        <v>0</v>
      </c>
      <c r="AJ3952" s="1"/>
      <c r="AK3952" s="1" t="s">
        <v>12031</v>
      </c>
      <c r="AL3952" s="1" t="b">
        <f>ISNUMBER(AA3952)</f>
        <v>1</v>
      </c>
    </row>
    <row r="3953" spans="1:38" ht="15" x14ac:dyDescent="0.25">
      <c r="A3953" s="1" t="s">
        <v>12032</v>
      </c>
      <c r="B3953" s="1" t="s">
        <v>7528</v>
      </c>
      <c r="C3953" s="1" t="s">
        <v>186</v>
      </c>
      <c r="D3953" s="1" t="s">
        <v>186</v>
      </c>
      <c r="E3953" s="6">
        <v>14.01</v>
      </c>
      <c r="F3953" s="1" t="s">
        <v>53</v>
      </c>
      <c r="G3953" s="6">
        <f ca="1">IFERROR(__xludf.DUMMYFUNCTION("iferror(GOOGLEFINANCE(TRIM(F3953)&amp;"":"" &amp; TRIM(B3953), ""price""),0
)"),0)</f>
        <v>0</v>
      </c>
      <c r="H3953" s="6">
        <v>1.74</v>
      </c>
      <c r="I3953" s="6">
        <f t="shared" ca="1" si="0"/>
        <v>1.74</v>
      </c>
      <c r="J3953" s="6">
        <f ca="1">IFERROR(__xludf.DUMMYFUNCTION("IFERROR(GOOGLEFINANCE(B3953, ""volume""), 0)"),39248)</f>
        <v>39248</v>
      </c>
      <c r="K3953" s="12"/>
      <c r="L3953" s="6">
        <f ca="1">IFERROR(__xludf.DUMMYFUNCTION("IFERROR(GOOGLEFINANCE(B3953,""changepct""),K3953)"),-2.21)</f>
        <v>-2.21</v>
      </c>
      <c r="M3953" s="6">
        <f ca="1">IFERROR(__xludf.DUMMYFUNCTION("IFERROR(GOOGLEFINANCE(B3953,""change""),0)"),-0.47)</f>
        <v>-0.47</v>
      </c>
      <c r="N3953" s="6">
        <v>1</v>
      </c>
      <c r="O3953" s="7">
        <v>45536</v>
      </c>
      <c r="P3953" s="12"/>
      <c r="Q3953" s="6">
        <v>13.97</v>
      </c>
      <c r="R3953" s="7">
        <v>45536</v>
      </c>
      <c r="S3953" s="6">
        <v>3.27</v>
      </c>
      <c r="T3953" s="6">
        <v>-1.3</v>
      </c>
      <c r="U3953" s="7">
        <v>45536</v>
      </c>
      <c r="V3953" s="6">
        <v>0</v>
      </c>
      <c r="W3953" s="6">
        <f ca="1">IFERROR(__xludf.DUMMYFUNCTION("IFERROR(GOOGLEFINANCE(B3953,""pe""),V3953)"),26.58)</f>
        <v>26.58</v>
      </c>
      <c r="X3953" s="6">
        <v>0</v>
      </c>
      <c r="Y3953" s="6">
        <v>-0.43</v>
      </c>
      <c r="Z3953" s="6">
        <v>1</v>
      </c>
      <c r="AA3953" s="8">
        <v>45352</v>
      </c>
      <c r="AB3953" s="4">
        <v>0</v>
      </c>
      <c r="AC3953" s="6">
        <v>0</v>
      </c>
      <c r="AD3953" s="6">
        <v>0</v>
      </c>
      <c r="AE3953" s="1">
        <v>0</v>
      </c>
      <c r="AF3953" s="1">
        <f ca="1">IFERROR(__xludf.DUMMYFUNCTION("IFERROR(GOOGLEFINANCE(TRIM(F3953)&amp;"":"" &amp; TRIM(B3953),""high52""),AE3953)"),0)</f>
        <v>0</v>
      </c>
      <c r="AG3953" s="1">
        <v>0</v>
      </c>
      <c r="AH3953" s="1">
        <f ca="1">IFERROR(__xludf.DUMMYFUNCTION("IFERROR(GOOGLEFINANCE(TRIM(F3953)&amp;"":"" &amp; TRIM(B3953),""low52""),AE3953)"),0)</f>
        <v>0</v>
      </c>
      <c r="AI3953" s="1">
        <f ca="1">IFERROR(__xludf.DUMMYFUNCTION("IFERROR(GOOGLEFINANCE(B3953,""eps""),0)"),0.78)</f>
        <v>0.78</v>
      </c>
      <c r="AJ3953" s="1"/>
      <c r="AK3953" s="1" t="s">
        <v>12033</v>
      </c>
      <c r="AL3953" s="9">
        <f t="shared" ref="AL3953:AL3958" si="365">IF(AA3953&lt;&gt;AB3953,1,0)</f>
        <v>1</v>
      </c>
    </row>
    <row r="3954" spans="1:38" ht="15" x14ac:dyDescent="0.25">
      <c r="A3954" s="1" t="s">
        <v>12034</v>
      </c>
      <c r="B3954" s="1" t="s">
        <v>12035</v>
      </c>
      <c r="C3954" s="1" t="s">
        <v>186</v>
      </c>
      <c r="D3954" s="1" t="s">
        <v>186</v>
      </c>
      <c r="E3954" s="6">
        <v>11.32</v>
      </c>
      <c r="F3954" s="1" t="s">
        <v>53</v>
      </c>
      <c r="G3954" s="6">
        <f ca="1">IFERROR(__xludf.DUMMYFUNCTION("iferror(GOOGLEFINANCE(TRIM(F3954)&amp;"":"" &amp; TRIM(B3954), ""price""),0
)"),0)</f>
        <v>0</v>
      </c>
      <c r="H3954" s="6">
        <v>2.33</v>
      </c>
      <c r="I3954" s="6">
        <f t="shared" ca="1" si="0"/>
        <v>2.33</v>
      </c>
      <c r="J3954" s="6">
        <f ca="1">IFERROR(__xludf.DUMMYFUNCTION("IFERROR(GOOGLEFINANCE(B3954, ""volume""), 0)"),0)</f>
        <v>0</v>
      </c>
      <c r="K3954" s="6">
        <v>1.75</v>
      </c>
      <c r="L3954" s="6">
        <f ca="1">IFERROR(__xludf.DUMMYFUNCTION("IFERROR(GOOGLEFINANCE(B3954,""changepct""),K3954)"),1.75)</f>
        <v>1.75</v>
      </c>
      <c r="M3954" s="6">
        <f ca="1">IFERROR(__xludf.DUMMYFUNCTION("IFERROR(GOOGLEFINANCE(B3954,""change""),0)"),0)</f>
        <v>0</v>
      </c>
      <c r="N3954" s="6">
        <v>1</v>
      </c>
      <c r="O3954" s="7">
        <v>45536</v>
      </c>
      <c r="P3954" s="6">
        <v>16.41</v>
      </c>
      <c r="Q3954" s="6">
        <v>27.72</v>
      </c>
      <c r="R3954" s="7">
        <v>45536</v>
      </c>
      <c r="S3954" s="6">
        <v>33.15</v>
      </c>
      <c r="T3954" s="6">
        <v>-4.2</v>
      </c>
      <c r="U3954" s="7">
        <v>45536</v>
      </c>
      <c r="V3954" s="6">
        <v>0</v>
      </c>
      <c r="W3954" s="6">
        <f ca="1">IFERROR(__xludf.DUMMYFUNCTION("IFERROR(GOOGLEFINANCE(B3954,""pe""),V3954)"),0)</f>
        <v>0</v>
      </c>
      <c r="X3954" s="9"/>
      <c r="Y3954" s="6">
        <v>5.66</v>
      </c>
      <c r="Z3954" s="6">
        <v>1</v>
      </c>
      <c r="AA3954" s="8">
        <v>45352</v>
      </c>
      <c r="AB3954" s="4">
        <v>6.04</v>
      </c>
      <c r="AC3954" s="6">
        <v>-71.39</v>
      </c>
      <c r="AD3954" s="6">
        <v>-11.19</v>
      </c>
      <c r="AE3954" s="1">
        <v>0</v>
      </c>
      <c r="AF3954" s="1">
        <f ca="1">IFERROR(__xludf.DUMMYFUNCTION("IFERROR(GOOGLEFINANCE(TRIM(F3954)&amp;"":"" &amp; TRIM(B3954),""high52""),AE3954)"),0)</f>
        <v>0</v>
      </c>
      <c r="AG3954" s="1">
        <v>0</v>
      </c>
      <c r="AH3954" s="1">
        <f ca="1">IFERROR(__xludf.DUMMYFUNCTION("IFERROR(GOOGLEFINANCE(TRIM(F3954)&amp;"":"" &amp; TRIM(B3954),""low52""),AE3954)"),0)</f>
        <v>0</v>
      </c>
      <c r="AI3954" s="1">
        <f ca="1">IFERROR(__xludf.DUMMYFUNCTION("IFERROR(GOOGLEFINANCE(B3954,""eps""),0)"),0)</f>
        <v>0</v>
      </c>
      <c r="AJ3954" s="1"/>
      <c r="AK3954" s="1" t="s">
        <v>12036</v>
      </c>
      <c r="AL3954" s="9">
        <f t="shared" si="365"/>
        <v>1</v>
      </c>
    </row>
    <row r="3955" spans="1:38" ht="15" x14ac:dyDescent="0.25">
      <c r="A3955" s="1" t="s">
        <v>12037</v>
      </c>
      <c r="B3955" s="1" t="s">
        <v>12038</v>
      </c>
      <c r="C3955" s="1" t="s">
        <v>186</v>
      </c>
      <c r="D3955" s="1" t="s">
        <v>186</v>
      </c>
      <c r="E3955" s="6">
        <v>354.26</v>
      </c>
      <c r="F3955" s="1" t="s">
        <v>53</v>
      </c>
      <c r="G3955" s="6">
        <f ca="1">IFERROR(__xludf.DUMMYFUNCTION("iferror(GOOGLEFINANCE(TRIM(F3955)&amp;"":"" &amp; TRIM(B3955), ""price""),0
)"),0)</f>
        <v>0</v>
      </c>
      <c r="H3955" s="6">
        <v>88.5</v>
      </c>
      <c r="I3955" s="6">
        <f t="shared" ca="1" si="0"/>
        <v>88.5</v>
      </c>
      <c r="J3955" s="6">
        <f ca="1">IFERROR(__xludf.DUMMYFUNCTION("IFERROR(GOOGLEFINANCE(B3955, ""volume""), 0)"),0)</f>
        <v>0</v>
      </c>
      <c r="K3955" s="6">
        <v>0.84</v>
      </c>
      <c r="L3955" s="6">
        <f ca="1">IFERROR(__xludf.DUMMYFUNCTION("IFERROR(GOOGLEFINANCE(B3955,""changepct""),K3955)"),0.84)</f>
        <v>0.84</v>
      </c>
      <c r="M3955" s="6">
        <f ca="1">IFERROR(__xludf.DUMMYFUNCTION("IFERROR(GOOGLEFINANCE(B3955,""change""),0)"),0)</f>
        <v>0</v>
      </c>
      <c r="N3955" s="6">
        <v>1</v>
      </c>
      <c r="O3955" s="7">
        <v>45536</v>
      </c>
      <c r="P3955" s="6">
        <v>0.65</v>
      </c>
      <c r="Q3955" s="6">
        <v>330.18</v>
      </c>
      <c r="R3955" s="7">
        <v>45536</v>
      </c>
      <c r="S3955" s="6">
        <v>82.42</v>
      </c>
      <c r="T3955" s="6">
        <v>16.37</v>
      </c>
      <c r="U3955" s="7">
        <v>45536</v>
      </c>
      <c r="V3955" s="6">
        <v>21.64</v>
      </c>
      <c r="W3955" s="6">
        <f ca="1">IFERROR(__xludf.DUMMYFUNCTION("IFERROR(GOOGLEFINANCE(B3955,""pe""),V3955)"),21.64)</f>
        <v>21.64</v>
      </c>
      <c r="X3955" s="6">
        <v>0.27</v>
      </c>
      <c r="Y3955" s="6">
        <v>4.01</v>
      </c>
      <c r="Z3955" s="6">
        <v>2</v>
      </c>
      <c r="AA3955" s="8">
        <v>45352</v>
      </c>
      <c r="AB3955" s="4">
        <v>0.01</v>
      </c>
      <c r="AC3955" s="6">
        <v>19.940000000000001</v>
      </c>
      <c r="AD3955" s="6">
        <v>26.67</v>
      </c>
      <c r="AE3955" s="1">
        <v>0</v>
      </c>
      <c r="AF3955" s="1">
        <f ca="1">IFERROR(__xludf.DUMMYFUNCTION("IFERROR(GOOGLEFINANCE(TRIM(F3955)&amp;"":"" &amp; TRIM(B3955),""high52""),AE3955)"),0)</f>
        <v>0</v>
      </c>
      <c r="AG3955" s="1">
        <v>0</v>
      </c>
      <c r="AH3955" s="1">
        <f ca="1">IFERROR(__xludf.DUMMYFUNCTION("IFERROR(GOOGLEFINANCE(TRIM(F3955)&amp;"":"" &amp; TRIM(B3955),""low52""),AE3955)"),0)</f>
        <v>0</v>
      </c>
      <c r="AI3955" s="1">
        <f ca="1">IFERROR(__xludf.DUMMYFUNCTION("IFERROR(GOOGLEFINANCE(B3955,""eps""),0)"),0)</f>
        <v>0</v>
      </c>
      <c r="AJ3955" s="1"/>
      <c r="AK3955" s="1" t="s">
        <v>12039</v>
      </c>
      <c r="AL3955" s="9">
        <f t="shared" si="365"/>
        <v>1</v>
      </c>
    </row>
    <row r="3956" spans="1:38" ht="15" x14ac:dyDescent="0.25">
      <c r="A3956" s="1" t="s">
        <v>12040</v>
      </c>
      <c r="B3956" s="1" t="s">
        <v>12041</v>
      </c>
      <c r="C3956" s="1" t="s">
        <v>1682</v>
      </c>
      <c r="D3956" s="1" t="s">
        <v>1682</v>
      </c>
      <c r="E3956" s="6">
        <v>1268.55</v>
      </c>
      <c r="F3956" s="1" t="s">
        <v>40</v>
      </c>
      <c r="G3956" s="6">
        <f ca="1">IFERROR(__xludf.DUMMYFUNCTION("iferror(GOOGLEFINANCE(TRIM(F3956)&amp;"":"" &amp; TRIM(B3956), ""price""),0
)"),118.21)</f>
        <v>118.21</v>
      </c>
      <c r="H3956" s="6">
        <v>217.99</v>
      </c>
      <c r="I3956" s="6">
        <f t="shared" ca="1" si="0"/>
        <v>118.21</v>
      </c>
      <c r="J3956" s="6">
        <f ca="1">IFERROR(__xludf.DUMMYFUNCTION("IFERROR(GOOGLEFINANCE(B3956, ""volume""), 0)"),93616)</f>
        <v>93616</v>
      </c>
      <c r="K3956" s="6">
        <v>2.58</v>
      </c>
      <c r="L3956" s="6">
        <f ca="1">IFERROR(__xludf.DUMMYFUNCTION("IFERROR(GOOGLEFINANCE(B3956,""changepct""),K3956)"),-3.49)</f>
        <v>-3.49</v>
      </c>
      <c r="M3956" s="6">
        <f ca="1">IFERROR(__xludf.DUMMYFUNCTION("IFERROR(GOOGLEFINANCE(B3956,""change""),0)"),-4.27)</f>
        <v>-4.2699999999999996</v>
      </c>
      <c r="N3956" s="6">
        <v>2</v>
      </c>
      <c r="O3956" s="7">
        <v>45536</v>
      </c>
      <c r="P3956" s="9"/>
      <c r="Q3956" s="6">
        <v>943.18</v>
      </c>
      <c r="R3956" s="7">
        <v>45536</v>
      </c>
      <c r="S3956" s="6">
        <v>1034.04</v>
      </c>
      <c r="T3956" s="6">
        <v>100.23</v>
      </c>
      <c r="U3956" s="7">
        <v>45536</v>
      </c>
      <c r="V3956" s="6">
        <v>12.66</v>
      </c>
      <c r="W3956" s="6">
        <f ca="1">IFERROR(__xludf.DUMMYFUNCTION("IFERROR(GOOGLEFINANCE(B3956,""pe""),V3956)"),34.86)</f>
        <v>34.86</v>
      </c>
      <c r="X3956" s="6">
        <v>-0.87</v>
      </c>
      <c r="Y3956" s="6">
        <v>1.45</v>
      </c>
      <c r="Z3956" s="6">
        <v>2</v>
      </c>
      <c r="AA3956" s="8">
        <v>45352</v>
      </c>
      <c r="AB3956" s="4">
        <v>0</v>
      </c>
      <c r="AC3956" s="6">
        <v>6.65</v>
      </c>
      <c r="AD3956" s="6">
        <v>9.49</v>
      </c>
      <c r="AE3956" s="1">
        <v>0</v>
      </c>
      <c r="AF3956" s="1">
        <f ca="1">IFERROR(__xludf.DUMMYFUNCTION("IFERROR(GOOGLEFINANCE(TRIM(F3956)&amp;"":"" &amp; TRIM(B3956),""high52""),AE3956)"),201)</f>
        <v>201</v>
      </c>
      <c r="AG3956" s="1">
        <v>0</v>
      </c>
      <c r="AH3956" s="1">
        <f ca="1">IFERROR(__xludf.DUMMYFUNCTION("IFERROR(GOOGLEFINANCE(TRIM(F3956)&amp;"":"" &amp; TRIM(B3956),""low52""),AE3956)"),117.69)</f>
        <v>117.69</v>
      </c>
      <c r="AI3956" s="1">
        <f ca="1">IFERROR(__xludf.DUMMYFUNCTION("IFERROR(GOOGLEFINANCE(B3956,""eps""),0)"),3.39)</f>
        <v>3.39</v>
      </c>
      <c r="AJ3956" s="1"/>
      <c r="AK3956" s="1" t="s">
        <v>12042</v>
      </c>
      <c r="AL3956" s="9">
        <f t="shared" si="365"/>
        <v>1</v>
      </c>
    </row>
    <row r="3957" spans="1:38" ht="15" x14ac:dyDescent="0.25">
      <c r="A3957" s="1" t="s">
        <v>12043</v>
      </c>
      <c r="B3957" s="1" t="s">
        <v>12044</v>
      </c>
      <c r="C3957" s="1" t="s">
        <v>1682</v>
      </c>
      <c r="D3957" s="1" t="s">
        <v>1682</v>
      </c>
      <c r="E3957" s="6">
        <v>74.31</v>
      </c>
      <c r="F3957" s="1" t="s">
        <v>40</v>
      </c>
      <c r="G3957" s="6">
        <f ca="1">IFERROR(__xludf.DUMMYFUNCTION("iferror(GOOGLEFINANCE(TRIM(F3957)&amp;"":"" &amp; TRIM(B3957), ""price""),0
)"),6.09)</f>
        <v>6.09</v>
      </c>
      <c r="H3957" s="6">
        <v>18.32</v>
      </c>
      <c r="I3957" s="6">
        <f t="shared" ca="1" si="0"/>
        <v>6.09</v>
      </c>
      <c r="J3957" s="6">
        <f ca="1">IFERROR(__xludf.DUMMYFUNCTION("IFERROR(GOOGLEFINANCE(B3957, ""volume""), 0)"),18547)</f>
        <v>18547</v>
      </c>
      <c r="K3957" s="6">
        <v>-5.03</v>
      </c>
      <c r="L3957" s="6">
        <f ca="1">IFERROR(__xludf.DUMMYFUNCTION("IFERROR(GOOGLEFINANCE(B3957,""changepct""),K3957)"),-0.65)</f>
        <v>-0.65</v>
      </c>
      <c r="M3957" s="6">
        <f ca="1">IFERROR(__xludf.DUMMYFUNCTION("IFERROR(GOOGLEFINANCE(B3957,""change""),0)"),-0.04)</f>
        <v>-0.04</v>
      </c>
      <c r="N3957" s="6">
        <v>2</v>
      </c>
      <c r="O3957" s="7">
        <v>45536</v>
      </c>
      <c r="P3957" s="6">
        <v>3.11</v>
      </c>
      <c r="Q3957" s="6">
        <v>77.430000000000007</v>
      </c>
      <c r="R3957" s="7">
        <v>45536</v>
      </c>
      <c r="S3957" s="6">
        <v>61.18</v>
      </c>
      <c r="T3957" s="6">
        <v>-26.64</v>
      </c>
      <c r="U3957" s="7">
        <v>45536</v>
      </c>
      <c r="V3957" s="6">
        <v>0</v>
      </c>
      <c r="W3957" s="6">
        <f ca="1">IFERROR(__xludf.DUMMYFUNCTION("IFERROR(GOOGLEFINANCE(B3957,""pe""),V3957)"),0)</f>
        <v>0</v>
      </c>
      <c r="X3957" s="6">
        <v>0</v>
      </c>
      <c r="Y3957" s="6">
        <v>-0.57999999999999996</v>
      </c>
      <c r="Z3957" s="6">
        <v>2</v>
      </c>
      <c r="AA3957" s="8">
        <v>45352</v>
      </c>
      <c r="AB3957" s="4">
        <v>-0.97</v>
      </c>
      <c r="AC3957" s="6">
        <v>0</v>
      </c>
      <c r="AD3957" s="6">
        <v>-532.74</v>
      </c>
      <c r="AE3957" s="1">
        <v>0</v>
      </c>
      <c r="AF3957" s="1">
        <f ca="1">IFERROR(__xludf.DUMMYFUNCTION("IFERROR(GOOGLEFINANCE(TRIM(F3957)&amp;"":"" &amp; TRIM(B3957),""high52""),AE3957)"),12.4)</f>
        <v>12.4</v>
      </c>
      <c r="AG3957" s="1">
        <v>0</v>
      </c>
      <c r="AH3957" s="1">
        <f ca="1">IFERROR(__xludf.DUMMYFUNCTION("IFERROR(GOOGLEFINANCE(TRIM(F3957)&amp;"":"" &amp; TRIM(B3957),""low52""),AE3957)"),3.65)</f>
        <v>3.65</v>
      </c>
      <c r="AI3957" s="1">
        <f ca="1">IFERROR(__xludf.DUMMYFUNCTION("IFERROR(GOOGLEFINANCE(B3957,""eps""),0)"),-7.65)</f>
        <v>-7.65</v>
      </c>
      <c r="AJ3957" s="1"/>
      <c r="AK3957" s="1" t="s">
        <v>12045</v>
      </c>
      <c r="AL3957" s="9">
        <f t="shared" si="365"/>
        <v>1</v>
      </c>
    </row>
    <row r="3958" spans="1:38" ht="15" x14ac:dyDescent="0.25">
      <c r="A3958" s="1" t="s">
        <v>12046</v>
      </c>
      <c r="B3958" s="1" t="s">
        <v>12047</v>
      </c>
      <c r="C3958" s="1" t="s">
        <v>2185</v>
      </c>
      <c r="D3958" s="1" t="s">
        <v>2185</v>
      </c>
      <c r="E3958" s="6">
        <v>792.45</v>
      </c>
      <c r="F3958" s="1" t="s">
        <v>40</v>
      </c>
      <c r="G3958" s="6">
        <f ca="1">IFERROR(__xludf.DUMMYFUNCTION("iferror(GOOGLEFINANCE(TRIM(F3958)&amp;"":"" &amp; TRIM(B3958), ""price""),0
)"),406.25)</f>
        <v>406.25</v>
      </c>
      <c r="H3958" s="6">
        <v>423.45</v>
      </c>
      <c r="I3958" s="6">
        <f t="shared" ca="1" si="0"/>
        <v>406.25</v>
      </c>
      <c r="J3958" s="6">
        <f ca="1">IFERROR(__xludf.DUMMYFUNCTION("IFERROR(GOOGLEFINANCE(B3958, ""volume""), 0)"),18425)</f>
        <v>18425</v>
      </c>
      <c r="K3958" s="6">
        <v>-0.55000000000000004</v>
      </c>
      <c r="L3958" s="6">
        <f ca="1">IFERROR(__xludf.DUMMYFUNCTION("IFERROR(GOOGLEFINANCE(B3958,""changepct""),K3958)"),-1.42)</f>
        <v>-1.42</v>
      </c>
      <c r="M3958" s="6">
        <f ca="1">IFERROR(__xludf.DUMMYFUNCTION("IFERROR(GOOGLEFINANCE(B3958,""change""),0)"),-5.85)</f>
        <v>-5.85</v>
      </c>
      <c r="N3958" s="6">
        <v>1</v>
      </c>
      <c r="O3958" s="7">
        <v>45536</v>
      </c>
      <c r="P3958" s="6">
        <v>28.91</v>
      </c>
      <c r="Q3958" s="6">
        <v>814.02</v>
      </c>
      <c r="R3958" s="7">
        <v>45536</v>
      </c>
      <c r="S3958" s="6">
        <v>399.95</v>
      </c>
      <c r="T3958" s="6">
        <v>-3.75</v>
      </c>
      <c r="U3958" s="7">
        <v>45536</v>
      </c>
      <c r="V3958" s="6">
        <v>0</v>
      </c>
      <c r="W3958" s="6">
        <f ca="1">IFERROR(__xludf.DUMMYFUNCTION("IFERROR(GOOGLEFINANCE(B3958,""pe""),V3958)"),0)</f>
        <v>0</v>
      </c>
      <c r="X3958" s="6">
        <v>0</v>
      </c>
      <c r="Y3958" s="6">
        <v>8.42</v>
      </c>
      <c r="Z3958" s="6">
        <v>1</v>
      </c>
      <c r="AA3958" s="8">
        <v>45352</v>
      </c>
      <c r="AB3958" s="4">
        <v>0.38</v>
      </c>
      <c r="AC3958" s="6">
        <v>0.27</v>
      </c>
      <c r="AD3958" s="6">
        <v>1.04</v>
      </c>
      <c r="AE3958" s="1">
        <v>0</v>
      </c>
      <c r="AF3958" s="1">
        <f ca="1">IFERROR(__xludf.DUMMYFUNCTION("IFERROR(GOOGLEFINANCE(TRIM(F3958)&amp;"":"" &amp; TRIM(B3958),""high52""),AE3958)"),739.35)</f>
        <v>739.35</v>
      </c>
      <c r="AG3958" s="1">
        <v>0</v>
      </c>
      <c r="AH3958" s="1">
        <f ca="1">IFERROR(__xludf.DUMMYFUNCTION("IFERROR(GOOGLEFINANCE(TRIM(F3958)&amp;"":"" &amp; TRIM(B3958),""low52""),AE3958)"),271.45)</f>
        <v>271.45</v>
      </c>
      <c r="AI3958" s="1">
        <f ca="1">IFERROR(__xludf.DUMMYFUNCTION("IFERROR(GOOGLEFINANCE(B3958,""eps""),0)"),-1.72)</f>
        <v>-1.72</v>
      </c>
      <c r="AJ3958" s="1"/>
      <c r="AK3958" s="1" t="s">
        <v>12048</v>
      </c>
      <c r="AL3958" s="9">
        <f t="shared" si="365"/>
        <v>1</v>
      </c>
    </row>
    <row r="3959" spans="1:38" ht="15" x14ac:dyDescent="0.25">
      <c r="A3959" s="1" t="s">
        <v>12049</v>
      </c>
      <c r="B3959" s="1" t="s">
        <v>12050</v>
      </c>
      <c r="C3959" s="1" t="s">
        <v>355</v>
      </c>
      <c r="D3959" s="1" t="s">
        <v>355</v>
      </c>
      <c r="E3959" s="6">
        <v>19268.150000000001</v>
      </c>
      <c r="F3959" s="1" t="s">
        <v>40</v>
      </c>
      <c r="G3959" s="6">
        <f ca="1">IFERROR(__xludf.DUMMYFUNCTION("iferror(GOOGLEFINANCE(TRIM(F3959)&amp;"":"" &amp; TRIM(B3959), ""price""),0
)"),14804)</f>
        <v>14804</v>
      </c>
      <c r="H3959" s="6">
        <v>9935</v>
      </c>
      <c r="I3959" s="6">
        <f t="shared" ca="1" si="0"/>
        <v>14804</v>
      </c>
      <c r="J3959" s="6">
        <f ca="1">IFERROR(__xludf.DUMMYFUNCTION("IFERROR(GOOGLEFINANCE(B3959, ""volume""), 0)"),5824)</f>
        <v>5824</v>
      </c>
      <c r="K3959" s="6">
        <v>4.37</v>
      </c>
      <c r="L3959" s="6">
        <f ca="1">IFERROR(__xludf.DUMMYFUNCTION("IFERROR(GOOGLEFINANCE(B3959,""changepct""),K3959)"),1.82)</f>
        <v>1.82</v>
      </c>
      <c r="M3959" s="6">
        <f ca="1">IFERROR(__xludf.DUMMYFUNCTION("IFERROR(GOOGLEFINANCE(B3959,""change""),0)"),264)</f>
        <v>264</v>
      </c>
      <c r="N3959" s="6">
        <v>2</v>
      </c>
      <c r="O3959" s="7">
        <v>45536</v>
      </c>
      <c r="P3959" s="6">
        <v>22347.75</v>
      </c>
      <c r="Q3959" s="6">
        <v>37755.89</v>
      </c>
      <c r="R3959" s="7">
        <v>45536</v>
      </c>
      <c r="S3959" s="6">
        <v>42151.09</v>
      </c>
      <c r="T3959" s="6">
        <v>2135.2600000000002</v>
      </c>
      <c r="U3959" s="7">
        <v>45536</v>
      </c>
      <c r="V3959" s="6">
        <v>20.25</v>
      </c>
      <c r="W3959" s="6">
        <f ca="1">IFERROR(__xludf.DUMMYFUNCTION("IFERROR(GOOGLEFINANCE(B3959,""pe""),V3959)"),20.25)</f>
        <v>20.25</v>
      </c>
      <c r="X3959" s="6">
        <v>1.53</v>
      </c>
      <c r="Y3959" s="6">
        <v>5.82</v>
      </c>
      <c r="Z3959" s="6">
        <v>2</v>
      </c>
      <c r="AA3959" s="8">
        <v>45352</v>
      </c>
      <c r="AB3959" s="4">
        <v>9.24</v>
      </c>
      <c r="AC3959" s="6">
        <v>58.62</v>
      </c>
      <c r="AD3959" s="6">
        <v>16.850000000000001</v>
      </c>
      <c r="AE3959" s="1">
        <v>0</v>
      </c>
      <c r="AF3959" s="1">
        <f ca="1">IFERROR(__xludf.DUMMYFUNCTION("IFERROR(GOOGLEFINANCE(TRIM(F3959)&amp;"":"" &amp; TRIM(B3959),""high52""),AE3959)"),16297)</f>
        <v>16297</v>
      </c>
      <c r="AG3959" s="1">
        <v>0</v>
      </c>
      <c r="AH3959" s="1">
        <f ca="1">IFERROR(__xludf.DUMMYFUNCTION("IFERROR(GOOGLEFINANCE(TRIM(F3959)&amp;"":"" &amp; TRIM(B3959),""low52""),AE3959)"),7855.25)</f>
        <v>7855.25</v>
      </c>
      <c r="AI3959" s="1">
        <f ca="1">IFERROR(__xludf.DUMMYFUNCTION("IFERROR(GOOGLEFINANCE(B3959,""eps""),0)"),0)</f>
        <v>0</v>
      </c>
      <c r="AJ3959" s="1"/>
      <c r="AK3959" s="1" t="s">
        <v>12051</v>
      </c>
      <c r="AL3959" s="1" t="b">
        <f>ISNUMBER(AA3959)</f>
        <v>1</v>
      </c>
    </row>
    <row r="3960" spans="1:38" ht="15" x14ac:dyDescent="0.25">
      <c r="A3960" s="1" t="s">
        <v>12052</v>
      </c>
      <c r="B3960" s="1" t="s">
        <v>12053</v>
      </c>
      <c r="C3960" s="1" t="s">
        <v>186</v>
      </c>
      <c r="D3960" s="1" t="s">
        <v>186</v>
      </c>
      <c r="E3960" s="6">
        <v>235.38</v>
      </c>
      <c r="F3960" s="1" t="s">
        <v>53</v>
      </c>
      <c r="G3960" s="6">
        <f ca="1">IFERROR(__xludf.DUMMYFUNCTION("iferror(GOOGLEFINANCE(TRIM(F3960)&amp;"":"" &amp; TRIM(B3960), ""price""),0
)"),0)</f>
        <v>0</v>
      </c>
      <c r="H3960" s="6">
        <v>337.9</v>
      </c>
      <c r="I3960" s="6">
        <f t="shared" ca="1" si="0"/>
        <v>337.9</v>
      </c>
      <c r="J3960" s="6">
        <f ca="1">IFERROR(__xludf.DUMMYFUNCTION("IFERROR(GOOGLEFINANCE(B3960, ""volume""), 0)"),0)</f>
        <v>0</v>
      </c>
      <c r="K3960" s="6">
        <v>1.99</v>
      </c>
      <c r="L3960" s="6">
        <f ca="1">IFERROR(__xludf.DUMMYFUNCTION("IFERROR(GOOGLEFINANCE(B3960,""changepct""),K3960)"),1.99)</f>
        <v>1.99</v>
      </c>
      <c r="M3960" s="6">
        <f ca="1">IFERROR(__xludf.DUMMYFUNCTION("IFERROR(GOOGLEFINANCE(B3960,""change""),0)"),0)</f>
        <v>0</v>
      </c>
      <c r="N3960" s="6">
        <v>1</v>
      </c>
      <c r="O3960" s="7">
        <v>45536</v>
      </c>
      <c r="P3960" s="6">
        <v>0.34</v>
      </c>
      <c r="Q3960" s="6">
        <v>235.72</v>
      </c>
      <c r="R3960" s="7">
        <v>45536</v>
      </c>
      <c r="S3960" s="6">
        <v>71.819999999999993</v>
      </c>
      <c r="T3960" s="6">
        <v>9.4600000000000009</v>
      </c>
      <c r="U3960" s="7">
        <v>45536</v>
      </c>
      <c r="V3960" s="6">
        <v>24.87</v>
      </c>
      <c r="W3960" s="6">
        <f ca="1">IFERROR(__xludf.DUMMYFUNCTION("IFERROR(GOOGLEFINANCE(B3960,""pe""),V3960)"),24.87)</f>
        <v>24.87</v>
      </c>
      <c r="X3960" s="6">
        <v>0.27</v>
      </c>
      <c r="Y3960" s="6">
        <v>12.78</v>
      </c>
      <c r="Z3960" s="6">
        <v>1</v>
      </c>
      <c r="AA3960" s="8">
        <v>45352</v>
      </c>
      <c r="AB3960" s="4">
        <v>0.02</v>
      </c>
      <c r="AC3960" s="6">
        <v>65.55</v>
      </c>
      <c r="AD3960" s="6">
        <v>84.87</v>
      </c>
      <c r="AE3960" s="1">
        <v>0</v>
      </c>
      <c r="AF3960" s="1">
        <f ca="1">IFERROR(__xludf.DUMMYFUNCTION("IFERROR(GOOGLEFINANCE(TRIM(F3960)&amp;"":"" &amp; TRIM(B3960),""high52""),AE3960)"),0)</f>
        <v>0</v>
      </c>
      <c r="AG3960" s="1">
        <v>0</v>
      </c>
      <c r="AH3960" s="1">
        <f ca="1">IFERROR(__xludf.DUMMYFUNCTION("IFERROR(GOOGLEFINANCE(TRIM(F3960)&amp;"":"" &amp; TRIM(B3960),""low52""),AE3960)"),0)</f>
        <v>0</v>
      </c>
      <c r="AI3960" s="1">
        <f ca="1">IFERROR(__xludf.DUMMYFUNCTION("IFERROR(GOOGLEFINANCE(B3960,""eps""),0)"),0)</f>
        <v>0</v>
      </c>
      <c r="AJ3960" s="1"/>
      <c r="AK3960" s="9"/>
      <c r="AL3960" s="9">
        <f>IF(AA3960&lt;&gt;AB3960,1,0)</f>
        <v>1</v>
      </c>
    </row>
    <row r="3961" spans="1:38" ht="15" x14ac:dyDescent="0.25">
      <c r="A3961" s="1" t="s">
        <v>12054</v>
      </c>
      <c r="B3961" s="1" t="s">
        <v>12055</v>
      </c>
      <c r="C3961" s="1" t="s">
        <v>669</v>
      </c>
      <c r="D3961" s="1" t="s">
        <v>669</v>
      </c>
      <c r="E3961" s="6">
        <v>118816.91</v>
      </c>
      <c r="F3961" s="1" t="s">
        <v>40</v>
      </c>
      <c r="G3961" s="6">
        <f ca="1">IFERROR(__xludf.DUMMYFUNCTION("iferror(GOOGLEFINANCE(TRIM(F3961)&amp;"":"" &amp; TRIM(B3961), ""price""),0
)"),3655)</f>
        <v>3655</v>
      </c>
      <c r="H3961" s="6">
        <v>2479.1</v>
      </c>
      <c r="I3961" s="6">
        <f t="shared" ca="1" si="0"/>
        <v>3655</v>
      </c>
      <c r="J3961" s="6">
        <f ca="1">IFERROR(__xludf.DUMMYFUNCTION("IFERROR(GOOGLEFINANCE(B3961, ""volume""), 0)"),594725)</f>
        <v>594725</v>
      </c>
      <c r="K3961" s="6">
        <v>-0.89</v>
      </c>
      <c r="L3961" s="6">
        <f ca="1">IFERROR(__xludf.DUMMYFUNCTION("IFERROR(GOOGLEFINANCE(B3961,""changepct""),K3961)"),1.7)</f>
        <v>1.7</v>
      </c>
      <c r="M3961" s="6">
        <f ca="1">IFERROR(__xludf.DUMMYFUNCTION("IFERROR(GOOGLEFINANCE(B3961,""change""),0)"),61.2)</f>
        <v>61.2</v>
      </c>
      <c r="N3961" s="6">
        <v>2</v>
      </c>
      <c r="O3961" s="7">
        <v>45536</v>
      </c>
      <c r="P3961" s="6">
        <v>26320.6</v>
      </c>
      <c r="Q3961" s="6">
        <v>141567.70000000001</v>
      </c>
      <c r="R3961" s="7">
        <v>45536</v>
      </c>
      <c r="S3961" s="6">
        <v>41864.949999999997</v>
      </c>
      <c r="T3961" s="6">
        <v>2053.09</v>
      </c>
      <c r="U3961" s="7">
        <v>45536</v>
      </c>
      <c r="V3961" s="6">
        <v>62.96</v>
      </c>
      <c r="W3961" s="6">
        <f ca="1">IFERROR(__xludf.DUMMYFUNCTION("IFERROR(GOOGLEFINANCE(B3961,""pe""),V3961)"),59.98)</f>
        <v>59.98</v>
      </c>
      <c r="X3961" s="6">
        <v>3.3</v>
      </c>
      <c r="Y3961" s="6">
        <v>15.31</v>
      </c>
      <c r="Z3961" s="6">
        <v>2</v>
      </c>
      <c r="AA3961" s="8">
        <v>45352</v>
      </c>
      <c r="AB3961" s="4">
        <v>3.73</v>
      </c>
      <c r="AC3961" s="6">
        <v>28.95</v>
      </c>
      <c r="AD3961" s="6">
        <v>15.64</v>
      </c>
      <c r="AE3961" s="1">
        <v>0</v>
      </c>
      <c r="AF3961" s="1">
        <f ca="1">IFERROR(__xludf.DUMMYFUNCTION("IFERROR(GOOGLEFINANCE(TRIM(F3961)&amp;"":"" &amp; TRIM(B3961),""high52""),AE3961)"),3909)</f>
        <v>3909</v>
      </c>
      <c r="AG3961" s="1">
        <v>0</v>
      </c>
      <c r="AH3961" s="1">
        <f ca="1">IFERROR(__xludf.DUMMYFUNCTION("IFERROR(GOOGLEFINANCE(TRIM(F3961)&amp;"":"" &amp; TRIM(B3961),""low52""),AE3961)"),2192.75)</f>
        <v>2192.75</v>
      </c>
      <c r="AI3961" s="1">
        <f ca="1">IFERROR(__xludf.DUMMYFUNCTION("IFERROR(GOOGLEFINANCE(B3961,""eps""),0)"),60.94)</f>
        <v>60.94</v>
      </c>
      <c r="AJ3961" s="1"/>
      <c r="AK3961" s="1" t="s">
        <v>12056</v>
      </c>
      <c r="AL3961" s="1" t="b">
        <f>ISNUMBER(AA3961)</f>
        <v>1</v>
      </c>
    </row>
    <row r="3962" spans="1:38" ht="15" x14ac:dyDescent="0.25">
      <c r="A3962" s="1" t="s">
        <v>12057</v>
      </c>
      <c r="B3962" s="1" t="s">
        <v>12058</v>
      </c>
      <c r="C3962" s="1" t="s">
        <v>186</v>
      </c>
      <c r="D3962" s="1" t="s">
        <v>186</v>
      </c>
      <c r="E3962" s="6">
        <v>27.5</v>
      </c>
      <c r="F3962" s="1" t="s">
        <v>53</v>
      </c>
      <c r="G3962" s="6">
        <f ca="1">IFERROR(__xludf.DUMMYFUNCTION("iferror(GOOGLEFINANCE(TRIM(F3962)&amp;"":"" &amp; TRIM(B3962), ""price""),0
)"),0)</f>
        <v>0</v>
      </c>
      <c r="H3962" s="6">
        <v>51.48</v>
      </c>
      <c r="I3962" s="6">
        <f t="shared" ca="1" si="0"/>
        <v>51.48</v>
      </c>
      <c r="J3962" s="6">
        <f ca="1">IFERROR(__xludf.DUMMYFUNCTION("IFERROR(GOOGLEFINANCE(B3962, ""volume""), 0)"),0)</f>
        <v>0</v>
      </c>
      <c r="K3962" s="6">
        <v>1.08</v>
      </c>
      <c r="L3962" s="6">
        <f ca="1">IFERROR(__xludf.DUMMYFUNCTION("IFERROR(GOOGLEFINANCE(B3962,""changepct""),K3962)"),1.08)</f>
        <v>1.08</v>
      </c>
      <c r="M3962" s="6">
        <f ca="1">IFERROR(__xludf.DUMMYFUNCTION("IFERROR(GOOGLEFINANCE(B3962,""change""),0)"),0)</f>
        <v>0</v>
      </c>
      <c r="N3962" s="6">
        <v>2</v>
      </c>
      <c r="O3962" s="7">
        <v>45536</v>
      </c>
      <c r="P3962" s="6">
        <v>5.26</v>
      </c>
      <c r="Q3962" s="6">
        <v>32.14</v>
      </c>
      <c r="R3962" s="7">
        <v>45536</v>
      </c>
      <c r="S3962" s="6">
        <v>2.2999999999999998</v>
      </c>
      <c r="T3962" s="6">
        <v>1.1100000000000001</v>
      </c>
      <c r="U3962" s="7">
        <v>45536</v>
      </c>
      <c r="V3962" s="6">
        <v>24.69</v>
      </c>
      <c r="W3962" s="6">
        <f ca="1">IFERROR(__xludf.DUMMYFUNCTION("IFERROR(GOOGLEFINANCE(B3962,""pe""),V3962)"),24.69)</f>
        <v>24.69</v>
      </c>
      <c r="X3962" s="9"/>
      <c r="Y3962" s="6">
        <v>2.62</v>
      </c>
      <c r="Z3962" s="6">
        <v>2</v>
      </c>
      <c r="AA3962" s="8">
        <v>45352</v>
      </c>
      <c r="AB3962" s="4">
        <v>0.61</v>
      </c>
      <c r="AC3962" s="6">
        <v>12.42</v>
      </c>
      <c r="AD3962" s="6">
        <v>10.77</v>
      </c>
      <c r="AE3962" s="1">
        <v>0</v>
      </c>
      <c r="AF3962" s="1">
        <f ca="1">IFERROR(__xludf.DUMMYFUNCTION("IFERROR(GOOGLEFINANCE(TRIM(F3962)&amp;"":"" &amp; TRIM(B3962),""high52""),AE3962)"),0)</f>
        <v>0</v>
      </c>
      <c r="AG3962" s="1">
        <v>0</v>
      </c>
      <c r="AH3962" s="1">
        <f ca="1">IFERROR(__xludf.DUMMYFUNCTION("IFERROR(GOOGLEFINANCE(TRIM(F3962)&amp;"":"" &amp; TRIM(B3962),""low52""),AE3962)"),0)</f>
        <v>0</v>
      </c>
      <c r="AI3962" s="1">
        <f ca="1">IFERROR(__xludf.DUMMYFUNCTION("IFERROR(GOOGLEFINANCE(B3962,""eps""),0)"),0)</f>
        <v>0</v>
      </c>
      <c r="AJ3962" s="1"/>
      <c r="AK3962" s="9"/>
      <c r="AL3962" s="9">
        <f t="shared" ref="AL3962:AL3966" si="366">IF(AA3962&lt;&gt;AB3962,1,0)</f>
        <v>1</v>
      </c>
    </row>
    <row r="3963" spans="1:38" ht="15" x14ac:dyDescent="0.25">
      <c r="A3963" s="1" t="s">
        <v>12059</v>
      </c>
      <c r="B3963" s="1" t="s">
        <v>12060</v>
      </c>
      <c r="C3963" s="1" t="s">
        <v>186</v>
      </c>
      <c r="D3963" s="1" t="s">
        <v>186</v>
      </c>
      <c r="E3963" s="6">
        <v>18.13</v>
      </c>
      <c r="F3963" s="1" t="s">
        <v>53</v>
      </c>
      <c r="G3963" s="6">
        <f ca="1">IFERROR(__xludf.DUMMYFUNCTION("iferror(GOOGLEFINANCE(TRIM(F3963)&amp;"":"" &amp; TRIM(B3963), ""price""),0
)"),0)</f>
        <v>0</v>
      </c>
      <c r="H3963" s="6">
        <v>42.96</v>
      </c>
      <c r="I3963" s="6">
        <f t="shared" ca="1" si="0"/>
        <v>42.96</v>
      </c>
      <c r="J3963" s="6">
        <f ca="1">IFERROR(__xludf.DUMMYFUNCTION("IFERROR(GOOGLEFINANCE(B3963, ""volume""), 0)"),0)</f>
        <v>0</v>
      </c>
      <c r="K3963" s="6">
        <v>-5</v>
      </c>
      <c r="L3963" s="6">
        <f ca="1">IFERROR(__xludf.DUMMYFUNCTION("IFERROR(GOOGLEFINANCE(B3963,""changepct""),K3963)"),-5)</f>
        <v>-5</v>
      </c>
      <c r="M3963" s="6">
        <f ca="1">IFERROR(__xludf.DUMMYFUNCTION("IFERROR(GOOGLEFINANCE(B3963,""change""),0)"),0)</f>
        <v>0</v>
      </c>
      <c r="N3963" s="6">
        <v>1</v>
      </c>
      <c r="O3963" s="7">
        <v>45536</v>
      </c>
      <c r="P3963" s="6">
        <v>0.46</v>
      </c>
      <c r="Q3963" s="6">
        <v>18.600000000000001</v>
      </c>
      <c r="R3963" s="7">
        <v>45536</v>
      </c>
      <c r="S3963" s="6">
        <v>1.86</v>
      </c>
      <c r="T3963" s="6">
        <v>-0.09</v>
      </c>
      <c r="U3963" s="7">
        <v>45536</v>
      </c>
      <c r="V3963" s="6">
        <v>0</v>
      </c>
      <c r="W3963" s="6">
        <f ca="1">IFERROR(__xludf.DUMMYFUNCTION("IFERROR(GOOGLEFINANCE(B3963,""pe""),V3963)"),0)</f>
        <v>0</v>
      </c>
      <c r="X3963" s="9"/>
      <c r="Y3963" s="6">
        <v>5.78</v>
      </c>
      <c r="Z3963" s="6">
        <v>1</v>
      </c>
      <c r="AA3963" s="8">
        <v>45352</v>
      </c>
      <c r="AB3963" s="4">
        <v>0.14000000000000001</v>
      </c>
      <c r="AC3963" s="6">
        <v>-6.26</v>
      </c>
      <c r="AD3963" s="6">
        <v>-5.65</v>
      </c>
      <c r="AE3963" s="1">
        <v>0</v>
      </c>
      <c r="AF3963" s="1">
        <f ca="1">IFERROR(__xludf.DUMMYFUNCTION("IFERROR(GOOGLEFINANCE(TRIM(F3963)&amp;"":"" &amp; TRIM(B3963),""high52""),AE3963)"),0)</f>
        <v>0</v>
      </c>
      <c r="AG3963" s="1">
        <v>0</v>
      </c>
      <c r="AH3963" s="1">
        <f ca="1">IFERROR(__xludf.DUMMYFUNCTION("IFERROR(GOOGLEFINANCE(TRIM(F3963)&amp;"":"" &amp; TRIM(B3963),""low52""),AE3963)"),0)</f>
        <v>0</v>
      </c>
      <c r="AI3963" s="1">
        <f ca="1">IFERROR(__xludf.DUMMYFUNCTION("IFERROR(GOOGLEFINANCE(B3963,""eps""),0)"),0)</f>
        <v>0</v>
      </c>
      <c r="AJ3963" s="1"/>
      <c r="AK3963" s="1" t="s">
        <v>12061</v>
      </c>
      <c r="AL3963" s="9">
        <f t="shared" si="366"/>
        <v>1</v>
      </c>
    </row>
    <row r="3964" spans="1:38" ht="15" x14ac:dyDescent="0.25">
      <c r="A3964" s="1" t="s">
        <v>12062</v>
      </c>
      <c r="B3964" s="1" t="s">
        <v>12063</v>
      </c>
      <c r="C3964" s="1" t="s">
        <v>186</v>
      </c>
      <c r="D3964" s="1" t="s">
        <v>186</v>
      </c>
      <c r="E3964" s="6">
        <v>143.44</v>
      </c>
      <c r="F3964" s="1" t="s">
        <v>53</v>
      </c>
      <c r="G3964" s="6">
        <f ca="1">IFERROR(__xludf.DUMMYFUNCTION("iferror(GOOGLEFINANCE(TRIM(F3964)&amp;"":"" &amp; TRIM(B3964), ""price""),0
)"),0)</f>
        <v>0</v>
      </c>
      <c r="H3964" s="6">
        <v>377.75</v>
      </c>
      <c r="I3964" s="6">
        <f t="shared" ca="1" si="0"/>
        <v>377.75</v>
      </c>
      <c r="J3964" s="6">
        <f ca="1">IFERROR(__xludf.DUMMYFUNCTION("IFERROR(GOOGLEFINANCE(B3964, ""volume""), 0)"),0)</f>
        <v>0</v>
      </c>
      <c r="K3964" s="6">
        <v>2</v>
      </c>
      <c r="L3964" s="6">
        <f ca="1">IFERROR(__xludf.DUMMYFUNCTION("IFERROR(GOOGLEFINANCE(B3964,""changepct""),K3964)"),2)</f>
        <v>2</v>
      </c>
      <c r="M3964" s="6">
        <f ca="1">IFERROR(__xludf.DUMMYFUNCTION("IFERROR(GOOGLEFINANCE(B3964,""change""),0)"),0)</f>
        <v>0</v>
      </c>
      <c r="N3964" s="6">
        <v>1</v>
      </c>
      <c r="O3964" s="7">
        <v>45536</v>
      </c>
      <c r="P3964" s="9"/>
      <c r="Q3964" s="6">
        <v>143.44</v>
      </c>
      <c r="R3964" s="7">
        <v>45536</v>
      </c>
      <c r="S3964" s="6">
        <v>0</v>
      </c>
      <c r="T3964" s="6">
        <v>5.16</v>
      </c>
      <c r="U3964" s="7">
        <v>45536</v>
      </c>
      <c r="V3964" s="6">
        <v>27.79</v>
      </c>
      <c r="W3964" s="6">
        <f ca="1">IFERROR(__xludf.DUMMYFUNCTION("IFERROR(GOOGLEFINANCE(B3964,""pe""),V3964)"),27.79)</f>
        <v>27.79</v>
      </c>
      <c r="X3964" s="9"/>
      <c r="Y3964" s="6">
        <v>14.01</v>
      </c>
      <c r="Z3964" s="6">
        <v>1</v>
      </c>
      <c r="AA3964" s="8">
        <v>45352</v>
      </c>
      <c r="AB3964" s="4">
        <v>0</v>
      </c>
      <c r="AC3964" s="6">
        <v>27.48</v>
      </c>
      <c r="AD3964" s="6">
        <v>37.020000000000003</v>
      </c>
      <c r="AE3964" s="1">
        <v>0</v>
      </c>
      <c r="AF3964" s="1">
        <f ca="1">IFERROR(__xludf.DUMMYFUNCTION("IFERROR(GOOGLEFINANCE(TRIM(F3964)&amp;"":"" &amp; TRIM(B3964),""high52""),AE3964)"),0)</f>
        <v>0</v>
      </c>
      <c r="AG3964" s="1">
        <v>0</v>
      </c>
      <c r="AH3964" s="1">
        <f ca="1">IFERROR(__xludf.DUMMYFUNCTION("IFERROR(GOOGLEFINANCE(TRIM(F3964)&amp;"":"" &amp; TRIM(B3964),""low52""),AE3964)"),0)</f>
        <v>0</v>
      </c>
      <c r="AI3964" s="1">
        <f ca="1">IFERROR(__xludf.DUMMYFUNCTION("IFERROR(GOOGLEFINANCE(B3964,""eps""),0)"),0)</f>
        <v>0</v>
      </c>
      <c r="AJ3964" s="1"/>
      <c r="AK3964" s="1" t="s">
        <v>12064</v>
      </c>
      <c r="AL3964" s="9">
        <f t="shared" si="366"/>
        <v>1</v>
      </c>
    </row>
    <row r="3965" spans="1:38" ht="15" x14ac:dyDescent="0.25">
      <c r="A3965" s="1" t="s">
        <v>12065</v>
      </c>
      <c r="B3965" s="1" t="s">
        <v>12066</v>
      </c>
      <c r="C3965" s="1" t="s">
        <v>828</v>
      </c>
      <c r="D3965" s="1" t="s">
        <v>828</v>
      </c>
      <c r="E3965" s="6">
        <v>2733.26</v>
      </c>
      <c r="F3965" s="1" t="s">
        <v>40</v>
      </c>
      <c r="G3965" s="6">
        <f ca="1">IFERROR(__xludf.DUMMYFUNCTION("iferror(GOOGLEFINANCE(TRIM(F3965)&amp;"":"" &amp; TRIM(B3965), ""price""),0
)"),3990)</f>
        <v>3990</v>
      </c>
      <c r="H3965" s="6">
        <v>3617.3</v>
      </c>
      <c r="I3965" s="6">
        <f t="shared" ca="1" si="0"/>
        <v>3990</v>
      </c>
      <c r="J3965" s="6">
        <f ca="1">IFERROR(__xludf.DUMMYFUNCTION("IFERROR(GOOGLEFINANCE(B3965, ""volume""), 0)"),1891)</f>
        <v>1891</v>
      </c>
      <c r="K3965" s="6">
        <v>1.57</v>
      </c>
      <c r="L3965" s="6">
        <f ca="1">IFERROR(__xludf.DUMMYFUNCTION("IFERROR(GOOGLEFINANCE(B3965,""changepct""),K3965)"),2.21)</f>
        <v>2.21</v>
      </c>
      <c r="M3965" s="6">
        <f ca="1">IFERROR(__xludf.DUMMYFUNCTION("IFERROR(GOOGLEFINANCE(B3965,""change""),0)"),86.4)</f>
        <v>86.4</v>
      </c>
      <c r="N3965" s="6">
        <v>2</v>
      </c>
      <c r="O3965" s="7">
        <v>45536</v>
      </c>
      <c r="P3965" s="6">
        <v>869.44</v>
      </c>
      <c r="Q3965" s="6">
        <v>3574.03</v>
      </c>
      <c r="R3965" s="7">
        <v>45536</v>
      </c>
      <c r="S3965" s="6">
        <v>3116.87</v>
      </c>
      <c r="T3965" s="6">
        <v>64.64</v>
      </c>
      <c r="U3965" s="7">
        <v>45536</v>
      </c>
      <c r="V3965" s="6">
        <v>42.13</v>
      </c>
      <c r="W3965" s="6">
        <f ca="1">IFERROR(__xludf.DUMMYFUNCTION("IFERROR(GOOGLEFINANCE(B3965,""pe""),V3965)"),111.6)</f>
        <v>111.6</v>
      </c>
      <c r="X3965" s="6">
        <v>19.510000000000002</v>
      </c>
      <c r="Y3965" s="6">
        <v>2.54</v>
      </c>
      <c r="Z3965" s="6">
        <v>2</v>
      </c>
      <c r="AA3965" s="8">
        <v>45352</v>
      </c>
      <c r="AB3965" s="4">
        <v>0.75</v>
      </c>
      <c r="AC3965" s="6">
        <v>10.039999999999999</v>
      </c>
      <c r="AD3965" s="6">
        <v>10.68</v>
      </c>
      <c r="AE3965" s="1">
        <v>0</v>
      </c>
      <c r="AF3965" s="1">
        <f ca="1">IFERROR(__xludf.DUMMYFUNCTION("IFERROR(GOOGLEFINANCE(TRIM(F3965)&amp;"":"" &amp; TRIM(B3965),""high52""),AE3965)"),4775.8)</f>
        <v>4775.8</v>
      </c>
      <c r="AG3965" s="1">
        <v>0</v>
      </c>
      <c r="AH3965" s="1">
        <f ca="1">IFERROR(__xludf.DUMMYFUNCTION("IFERROR(GOOGLEFINANCE(TRIM(F3965)&amp;"":"" &amp; TRIM(B3965),""low52""),AE3965)"),2431.8)</f>
        <v>2431.8000000000002</v>
      </c>
      <c r="AI3965" s="1">
        <f ca="1">IFERROR(__xludf.DUMMYFUNCTION("IFERROR(GOOGLEFINANCE(B3965,""eps""),0)"),35.75)</f>
        <v>35.75</v>
      </c>
      <c r="AJ3965" s="1"/>
      <c r="AK3965" s="1" t="s">
        <v>12067</v>
      </c>
      <c r="AL3965" s="9">
        <f t="shared" si="366"/>
        <v>1</v>
      </c>
    </row>
    <row r="3966" spans="1:38" ht="15" x14ac:dyDescent="0.25">
      <c r="A3966" s="1" t="s">
        <v>12068</v>
      </c>
      <c r="B3966" s="1" t="s">
        <v>12069</v>
      </c>
      <c r="C3966" s="1" t="s">
        <v>259</v>
      </c>
      <c r="D3966" s="1" t="s">
        <v>259</v>
      </c>
      <c r="E3966" s="6">
        <v>7838.77</v>
      </c>
      <c r="F3966" s="1" t="s">
        <v>40</v>
      </c>
      <c r="G3966" s="6">
        <f ca="1">IFERROR(__xludf.DUMMYFUNCTION("iferror(GOOGLEFINANCE(TRIM(F3966)&amp;"":"" &amp; TRIM(B3966), ""price""),0
)"),97)</f>
        <v>97</v>
      </c>
      <c r="H3966" s="6">
        <v>177.39</v>
      </c>
      <c r="I3966" s="6">
        <f t="shared" ca="1" si="0"/>
        <v>97</v>
      </c>
      <c r="J3966" s="6">
        <f ca="1">IFERROR(__xludf.DUMMYFUNCTION("IFERROR(GOOGLEFINANCE(B3966, ""volume""), 0)"),362946)</f>
        <v>362946</v>
      </c>
      <c r="K3966" s="6">
        <v>-0.36</v>
      </c>
      <c r="L3966" s="6">
        <f ca="1">IFERROR(__xludf.DUMMYFUNCTION("IFERROR(GOOGLEFINANCE(B3966,""changepct""),K3966)"),0.79)</f>
        <v>0.79</v>
      </c>
      <c r="M3966" s="6">
        <f ca="1">IFERROR(__xludf.DUMMYFUNCTION("IFERROR(GOOGLEFINANCE(B3966,""change""),0)"),0.76)</f>
        <v>0.76</v>
      </c>
      <c r="N3966" s="6">
        <v>2</v>
      </c>
      <c r="O3966" s="7">
        <v>45536</v>
      </c>
      <c r="P3966" s="6">
        <v>893.62</v>
      </c>
      <c r="Q3966" s="6">
        <v>8296.34</v>
      </c>
      <c r="R3966" s="7">
        <v>45536</v>
      </c>
      <c r="S3966" s="6">
        <v>9700.42</v>
      </c>
      <c r="T3966" s="6">
        <v>29.32</v>
      </c>
      <c r="U3966" s="7">
        <v>45536</v>
      </c>
      <c r="V3966" s="6">
        <v>263.93</v>
      </c>
      <c r="W3966" s="6">
        <f ca="1">IFERROR(__xludf.DUMMYFUNCTION("IFERROR(GOOGLEFINANCE(B3966,""pe""),V3966)"),76.33)</f>
        <v>76.33</v>
      </c>
      <c r="X3966" s="9"/>
      <c r="Y3966" s="6">
        <v>4.22</v>
      </c>
      <c r="Z3966" s="6">
        <v>2</v>
      </c>
      <c r="AA3966" s="8">
        <v>45352</v>
      </c>
      <c r="AB3966" s="4">
        <v>0.45</v>
      </c>
      <c r="AC3966" s="6">
        <v>-4.72</v>
      </c>
      <c r="AD3966" s="6">
        <v>6.54</v>
      </c>
      <c r="AE3966" s="1">
        <v>0</v>
      </c>
      <c r="AF3966" s="1">
        <f ca="1">IFERROR(__xludf.DUMMYFUNCTION("IFERROR(GOOGLEFINANCE(TRIM(F3966)&amp;"":"" &amp; TRIM(B3966),""high52""),AE3966)"),156.25)</f>
        <v>156.25</v>
      </c>
      <c r="AG3966" s="1">
        <v>0</v>
      </c>
      <c r="AH3966" s="1">
        <f ca="1">IFERROR(__xludf.DUMMYFUNCTION("IFERROR(GOOGLEFINANCE(TRIM(F3966)&amp;"":"" &amp; TRIM(B3966),""low52""),AE3966)"),92.16)</f>
        <v>92.16</v>
      </c>
      <c r="AI3966" s="1">
        <f ca="1">IFERROR(__xludf.DUMMYFUNCTION("IFERROR(GOOGLEFINANCE(B3966,""eps""),0)"),1.27)</f>
        <v>1.27</v>
      </c>
      <c r="AJ3966" s="1"/>
      <c r="AK3966" s="9"/>
      <c r="AL3966" s="9">
        <f t="shared" si="366"/>
        <v>1</v>
      </c>
    </row>
    <row r="3967" spans="1:38" ht="15" x14ac:dyDescent="0.25">
      <c r="A3967" s="1" t="s">
        <v>12070</v>
      </c>
      <c r="B3967" s="1" t="s">
        <v>12071</v>
      </c>
      <c r="C3967" s="1" t="s">
        <v>355</v>
      </c>
      <c r="D3967" s="1" t="s">
        <v>355</v>
      </c>
      <c r="E3967" s="6">
        <v>436.08</v>
      </c>
      <c r="F3967" s="1" t="s">
        <v>40</v>
      </c>
      <c r="G3967" s="6">
        <f ca="1">IFERROR(__xludf.DUMMYFUNCTION("iferror(GOOGLEFINANCE(TRIM(F3967)&amp;"":"" &amp; TRIM(B3967), ""price""),0
)"),109.99)</f>
        <v>109.99</v>
      </c>
      <c r="H3967" s="6">
        <v>198</v>
      </c>
      <c r="I3967" s="6">
        <f t="shared" ca="1" si="0"/>
        <v>109.99</v>
      </c>
      <c r="J3967" s="6">
        <f ca="1">IFERROR(__xludf.DUMMYFUNCTION("IFERROR(GOOGLEFINANCE(B3967, ""volume""), 0)"),20970)</f>
        <v>20970</v>
      </c>
      <c r="K3967" s="6">
        <v>0.91</v>
      </c>
      <c r="L3967" s="6">
        <f ca="1">IFERROR(__xludf.DUMMYFUNCTION("IFERROR(GOOGLEFINANCE(B3967,""changepct""),K3967)"),3.24)</f>
        <v>3.24</v>
      </c>
      <c r="M3967" s="6">
        <f ca="1">IFERROR(__xludf.DUMMYFUNCTION("IFERROR(GOOGLEFINANCE(B3967,""change""),0)"),3.45)</f>
        <v>3.45</v>
      </c>
      <c r="N3967" s="6">
        <v>2</v>
      </c>
      <c r="O3967" s="7">
        <v>45536</v>
      </c>
      <c r="P3967" s="6">
        <v>192.35</v>
      </c>
      <c r="Q3967" s="6">
        <v>615.45000000000005</v>
      </c>
      <c r="R3967" s="7">
        <v>45536</v>
      </c>
      <c r="S3967" s="6">
        <v>764.45</v>
      </c>
      <c r="T3967" s="6">
        <v>-20.94</v>
      </c>
      <c r="U3967" s="7">
        <v>45536</v>
      </c>
      <c r="V3967" s="6">
        <v>0</v>
      </c>
      <c r="W3967" s="6">
        <f ca="1">IFERROR(__xludf.DUMMYFUNCTION("IFERROR(GOOGLEFINANCE(B3967,""pe""),V3967)"),0)</f>
        <v>0</v>
      </c>
      <c r="X3967" s="12"/>
      <c r="Y3967" s="6">
        <v>1.18</v>
      </c>
      <c r="Z3967" s="6">
        <v>2</v>
      </c>
      <c r="AA3967" s="8">
        <v>45352</v>
      </c>
      <c r="AB3967" s="4">
        <v>0.55000000000000004</v>
      </c>
      <c r="AC3967" s="6">
        <v>-6.61</v>
      </c>
      <c r="AD3967" s="6">
        <v>2.65</v>
      </c>
      <c r="AE3967" s="1">
        <v>0</v>
      </c>
      <c r="AF3967" s="1">
        <f ca="1">IFERROR(__xludf.DUMMYFUNCTION("IFERROR(GOOGLEFINANCE(TRIM(F3967)&amp;"":"" &amp; TRIM(B3967),""high52""),AE3967)"),171)</f>
        <v>171</v>
      </c>
      <c r="AG3967" s="1">
        <v>0</v>
      </c>
      <c r="AH3967" s="1">
        <f ca="1">IFERROR(__xludf.DUMMYFUNCTION("IFERROR(GOOGLEFINANCE(TRIM(F3967)&amp;"":"" &amp; TRIM(B3967),""low52""),AE3967)"),104.05)</f>
        <v>104.05</v>
      </c>
      <c r="AI3967" s="1">
        <f ca="1">IFERROR(__xludf.DUMMYFUNCTION("IFERROR(GOOGLEFINANCE(B3967,""eps""),0)"),-11.24)</f>
        <v>-11.24</v>
      </c>
      <c r="AJ3967" s="1"/>
      <c r="AK3967" s="1" t="s">
        <v>12072</v>
      </c>
      <c r="AL3967" s="1" t="b">
        <f>ISNUMBER(AA3967)</f>
        <v>1</v>
      </c>
    </row>
    <row r="3968" spans="1:38" ht="15" x14ac:dyDescent="0.25">
      <c r="A3968" s="1" t="s">
        <v>12073</v>
      </c>
      <c r="B3968" s="1" t="s">
        <v>12074</v>
      </c>
      <c r="C3968" s="1" t="s">
        <v>186</v>
      </c>
      <c r="D3968" s="1" t="s">
        <v>186</v>
      </c>
      <c r="E3968" s="6">
        <v>22.31</v>
      </c>
      <c r="F3968" s="1" t="s">
        <v>53</v>
      </c>
      <c r="G3968" s="6">
        <f ca="1">IFERROR(__xludf.DUMMYFUNCTION("iferror(GOOGLEFINANCE(TRIM(F3968)&amp;"":"" &amp; TRIM(B3968), ""price""),0
)"),0)</f>
        <v>0</v>
      </c>
      <c r="H3968" s="6">
        <v>2.95</v>
      </c>
      <c r="I3968" s="6">
        <f t="shared" ca="1" si="0"/>
        <v>2.95</v>
      </c>
      <c r="J3968" s="6">
        <f ca="1">IFERROR(__xludf.DUMMYFUNCTION("IFERROR(GOOGLEFINANCE(B3968, ""volume""), 0)"),0)</f>
        <v>0</v>
      </c>
      <c r="K3968" s="6">
        <v>-1.67</v>
      </c>
      <c r="L3968" s="6">
        <f ca="1">IFERROR(__xludf.DUMMYFUNCTION("IFERROR(GOOGLEFINANCE(B3968,""changepct""),K3968)"),-1.67)</f>
        <v>-1.67</v>
      </c>
      <c r="M3968" s="6">
        <f ca="1">IFERROR(__xludf.DUMMYFUNCTION("IFERROR(GOOGLEFINANCE(B3968,""change""),0)"),0)</f>
        <v>0</v>
      </c>
      <c r="N3968" s="6">
        <v>2</v>
      </c>
      <c r="O3968" s="7">
        <v>45536</v>
      </c>
      <c r="P3968" s="6">
        <v>160.13999999999999</v>
      </c>
      <c r="Q3968" s="6">
        <v>182.45</v>
      </c>
      <c r="R3968" s="7">
        <v>45536</v>
      </c>
      <c r="S3968" s="6">
        <v>0.32</v>
      </c>
      <c r="T3968" s="6">
        <v>-11.7</v>
      </c>
      <c r="U3968" s="7">
        <v>45536</v>
      </c>
      <c r="V3968" s="6">
        <v>0</v>
      </c>
      <c r="W3968" s="6">
        <f ca="1">IFERROR(__xludf.DUMMYFUNCTION("IFERROR(GOOGLEFINANCE(B3968,""pe""),V3968)"),0)</f>
        <v>0</v>
      </c>
      <c r="X3968" s="6">
        <v>0</v>
      </c>
      <c r="Y3968" s="6">
        <v>-1.39</v>
      </c>
      <c r="Z3968" s="6">
        <v>2</v>
      </c>
      <c r="AA3968" s="8">
        <v>45352</v>
      </c>
      <c r="AB3968" s="4">
        <v>21.45</v>
      </c>
      <c r="AC3968" s="6">
        <v>0</v>
      </c>
      <c r="AD3968" s="6">
        <v>-3.38</v>
      </c>
      <c r="AE3968" s="1">
        <v>0</v>
      </c>
      <c r="AF3968" s="1">
        <f ca="1">IFERROR(__xludf.DUMMYFUNCTION("IFERROR(GOOGLEFINANCE(TRIM(F3968)&amp;"":"" &amp; TRIM(B3968),""high52""),AE3968)"),0)</f>
        <v>0</v>
      </c>
      <c r="AG3968" s="1">
        <v>0</v>
      </c>
      <c r="AH3968" s="1">
        <f ca="1">IFERROR(__xludf.DUMMYFUNCTION("IFERROR(GOOGLEFINANCE(TRIM(F3968)&amp;"":"" &amp; TRIM(B3968),""low52""),AE3968)"),0)</f>
        <v>0</v>
      </c>
      <c r="AI3968" s="1">
        <f ca="1">IFERROR(__xludf.DUMMYFUNCTION("IFERROR(GOOGLEFINANCE(B3968,""eps""),0)"),0)</f>
        <v>0</v>
      </c>
      <c r="AJ3968" s="1"/>
      <c r="AK3968" s="1" t="s">
        <v>12075</v>
      </c>
      <c r="AL3968" s="9">
        <f t="shared" ref="AL3968:AL3977" si="367">IF(AA3968&lt;&gt;AB3968,1,0)</f>
        <v>1</v>
      </c>
    </row>
    <row r="3969" spans="1:38" ht="15" x14ac:dyDescent="0.25">
      <c r="A3969" s="1" t="s">
        <v>12076</v>
      </c>
      <c r="B3969" s="1" t="s">
        <v>12077</v>
      </c>
      <c r="C3969" s="1" t="s">
        <v>186</v>
      </c>
      <c r="D3969" s="1" t="s">
        <v>186</v>
      </c>
      <c r="E3969" s="6">
        <v>39.07</v>
      </c>
      <c r="F3969" s="1" t="s">
        <v>53</v>
      </c>
      <c r="G3969" s="6">
        <f ca="1">IFERROR(__xludf.DUMMYFUNCTION("iferror(GOOGLEFINANCE(TRIM(F3969)&amp;"":"" &amp; TRIM(B3969), ""price""),0
)"),0)</f>
        <v>0</v>
      </c>
      <c r="H3969" s="6">
        <v>36.1</v>
      </c>
      <c r="I3969" s="6">
        <f t="shared" ca="1" si="0"/>
        <v>36.1</v>
      </c>
      <c r="J3969" s="6">
        <f ca="1">IFERROR(__xludf.DUMMYFUNCTION("IFERROR(GOOGLEFINANCE(B3969, ""volume""), 0)"),0)</f>
        <v>0</v>
      </c>
      <c r="K3969" s="6">
        <v>-5.2</v>
      </c>
      <c r="L3969" s="6">
        <f ca="1">IFERROR(__xludf.DUMMYFUNCTION("IFERROR(GOOGLEFINANCE(B3969,""changepct""),K3969)"),-5.2)</f>
        <v>-5.2</v>
      </c>
      <c r="M3969" s="6">
        <f ca="1">IFERROR(__xludf.DUMMYFUNCTION("IFERROR(GOOGLEFINANCE(B3969,""change""),0)"),0)</f>
        <v>0</v>
      </c>
      <c r="N3969" s="6">
        <v>1</v>
      </c>
      <c r="O3969" s="7">
        <v>45536</v>
      </c>
      <c r="P3969" s="6">
        <v>56.07</v>
      </c>
      <c r="Q3969" s="6">
        <v>94.9</v>
      </c>
      <c r="R3969" s="7">
        <v>45536</v>
      </c>
      <c r="S3969" s="6">
        <v>102.87</v>
      </c>
      <c r="T3969" s="6">
        <v>1.24</v>
      </c>
      <c r="U3969" s="7">
        <v>45536</v>
      </c>
      <c r="V3969" s="6">
        <v>31.46</v>
      </c>
      <c r="W3969" s="6">
        <f ca="1">IFERROR(__xludf.DUMMYFUNCTION("IFERROR(GOOGLEFINANCE(B3969,""pe""),V3969)"),31.46)</f>
        <v>31.46</v>
      </c>
      <c r="X3969" s="6">
        <v>-1.28</v>
      </c>
      <c r="Y3969" s="6">
        <v>0.86</v>
      </c>
      <c r="Z3969" s="6">
        <v>1</v>
      </c>
      <c r="AA3969" s="8">
        <v>45352</v>
      </c>
      <c r="AB3969" s="4">
        <v>1.1200000000000001</v>
      </c>
      <c r="AC3969" s="6">
        <v>2.0699999999999998</v>
      </c>
      <c r="AD3969" s="6">
        <v>4.8899999999999997</v>
      </c>
      <c r="AE3969" s="1">
        <v>0</v>
      </c>
      <c r="AF3969" s="1">
        <f ca="1">IFERROR(__xludf.DUMMYFUNCTION("IFERROR(GOOGLEFINANCE(TRIM(F3969)&amp;"":"" &amp; TRIM(B3969),""high52""),AE3969)"),0)</f>
        <v>0</v>
      </c>
      <c r="AG3969" s="1">
        <v>0</v>
      </c>
      <c r="AH3969" s="1">
        <f ca="1">IFERROR(__xludf.DUMMYFUNCTION("IFERROR(GOOGLEFINANCE(TRIM(F3969)&amp;"":"" &amp; TRIM(B3969),""low52""),AE3969)"),0)</f>
        <v>0</v>
      </c>
      <c r="AI3969" s="1">
        <f ca="1">IFERROR(__xludf.DUMMYFUNCTION("IFERROR(GOOGLEFINANCE(B3969,""eps""),0)"),0)</f>
        <v>0</v>
      </c>
      <c r="AJ3969" s="1"/>
      <c r="AK3969" s="1" t="s">
        <v>12078</v>
      </c>
      <c r="AL3969" s="9">
        <f t="shared" si="367"/>
        <v>1</v>
      </c>
    </row>
    <row r="3970" spans="1:38" ht="15" x14ac:dyDescent="0.25">
      <c r="A3970" s="1" t="s">
        <v>12079</v>
      </c>
      <c r="B3970" s="1" t="s">
        <v>12080</v>
      </c>
      <c r="C3970" s="1" t="s">
        <v>186</v>
      </c>
      <c r="D3970" s="1" t="s">
        <v>186</v>
      </c>
      <c r="E3970" s="6">
        <v>4.37</v>
      </c>
      <c r="F3970" s="1" t="s">
        <v>53</v>
      </c>
      <c r="G3970" s="6">
        <f ca="1">IFERROR(__xludf.DUMMYFUNCTION("iferror(GOOGLEFINANCE(TRIM(F3970)&amp;"":"" &amp; TRIM(B3970), ""price""),0
)"),0)</f>
        <v>0</v>
      </c>
      <c r="H3970" s="6">
        <v>10.82</v>
      </c>
      <c r="I3970" s="6">
        <f t="shared" ca="1" si="0"/>
        <v>10.82</v>
      </c>
      <c r="J3970" s="6">
        <f ca="1">IFERROR(__xludf.DUMMYFUNCTION("IFERROR(GOOGLEFINANCE(B3970, ""volume""), 0)"),0)</f>
        <v>0</v>
      </c>
      <c r="K3970" s="6">
        <v>4.95</v>
      </c>
      <c r="L3970" s="6">
        <f ca="1">IFERROR(__xludf.DUMMYFUNCTION("IFERROR(GOOGLEFINANCE(B3970,""changepct""),K3970)"),4.95)</f>
        <v>4.95</v>
      </c>
      <c r="M3970" s="6">
        <f ca="1">IFERROR(__xludf.DUMMYFUNCTION("IFERROR(GOOGLEFINANCE(B3970,""change""),0)"),0)</f>
        <v>0</v>
      </c>
      <c r="N3970" s="6">
        <v>1</v>
      </c>
      <c r="O3970" s="7">
        <v>45536</v>
      </c>
      <c r="P3970" s="6">
        <v>34.61</v>
      </c>
      <c r="Q3970" s="6">
        <v>38.97</v>
      </c>
      <c r="R3970" s="7">
        <v>45536</v>
      </c>
      <c r="S3970" s="6">
        <v>0.34</v>
      </c>
      <c r="T3970" s="6">
        <v>-0.24</v>
      </c>
      <c r="U3970" s="7">
        <v>45536</v>
      </c>
      <c r="V3970" s="6">
        <v>0</v>
      </c>
      <c r="W3970" s="6">
        <f ca="1">IFERROR(__xludf.DUMMYFUNCTION("IFERROR(GOOGLEFINANCE(B3970,""pe""),V3970)"),0)</f>
        <v>0</v>
      </c>
      <c r="X3970" s="9"/>
      <c r="Y3970" s="6">
        <v>-0.13</v>
      </c>
      <c r="Z3970" s="6">
        <v>1</v>
      </c>
      <c r="AA3970" s="8">
        <v>45352</v>
      </c>
      <c r="AB3970" s="4">
        <v>-1.05</v>
      </c>
      <c r="AC3970" s="6">
        <v>0</v>
      </c>
      <c r="AD3970" s="6">
        <v>-20.21</v>
      </c>
      <c r="AE3970" s="1">
        <v>0</v>
      </c>
      <c r="AF3970" s="1">
        <f ca="1">IFERROR(__xludf.DUMMYFUNCTION("IFERROR(GOOGLEFINANCE(TRIM(F3970)&amp;"":"" &amp; TRIM(B3970),""high52""),AE3970)"),0)</f>
        <v>0</v>
      </c>
      <c r="AG3970" s="1">
        <v>0</v>
      </c>
      <c r="AH3970" s="1">
        <f ca="1">IFERROR(__xludf.DUMMYFUNCTION("IFERROR(GOOGLEFINANCE(TRIM(F3970)&amp;"":"" &amp; TRIM(B3970),""low52""),AE3970)"),0)</f>
        <v>0</v>
      </c>
      <c r="AI3970" s="1">
        <f ca="1">IFERROR(__xludf.DUMMYFUNCTION("IFERROR(GOOGLEFINANCE(B3970,""eps""),0)"),0)</f>
        <v>0</v>
      </c>
      <c r="AJ3970" s="1"/>
      <c r="AK3970" s="1" t="s">
        <v>12081</v>
      </c>
      <c r="AL3970" s="9">
        <f t="shared" si="367"/>
        <v>1</v>
      </c>
    </row>
    <row r="3971" spans="1:38" ht="15" x14ac:dyDescent="0.25">
      <c r="A3971" s="1" t="s">
        <v>12082</v>
      </c>
      <c r="B3971" s="1" t="s">
        <v>12083</v>
      </c>
      <c r="C3971" s="1" t="s">
        <v>186</v>
      </c>
      <c r="D3971" s="1" t="s">
        <v>186</v>
      </c>
      <c r="E3971" s="6">
        <v>148.4</v>
      </c>
      <c r="F3971" s="1" t="s">
        <v>53</v>
      </c>
      <c r="G3971" s="6">
        <f ca="1">IFERROR(__xludf.DUMMYFUNCTION("iferror(GOOGLEFINANCE(TRIM(F3971)&amp;"":"" &amp; TRIM(B3971), ""price""),0
)"),0)</f>
        <v>0</v>
      </c>
      <c r="H3971" s="6">
        <v>444.55</v>
      </c>
      <c r="I3971" s="6">
        <f t="shared" ca="1" si="0"/>
        <v>444.55</v>
      </c>
      <c r="J3971" s="6">
        <f ca="1">IFERROR(__xludf.DUMMYFUNCTION("IFERROR(GOOGLEFINANCE(B3971, ""volume""), 0)"),0)</f>
        <v>0</v>
      </c>
      <c r="K3971" s="6">
        <v>-1</v>
      </c>
      <c r="L3971" s="6">
        <f ca="1">IFERROR(__xludf.DUMMYFUNCTION("IFERROR(GOOGLEFINANCE(B3971,""changepct""),K3971)"),-1)</f>
        <v>-1</v>
      </c>
      <c r="M3971" s="6">
        <f ca="1">IFERROR(__xludf.DUMMYFUNCTION("IFERROR(GOOGLEFINANCE(B3971,""change""),0)"),0)</f>
        <v>0</v>
      </c>
      <c r="N3971" s="6">
        <v>2</v>
      </c>
      <c r="O3971" s="7">
        <v>45536</v>
      </c>
      <c r="P3971" s="6">
        <v>5.5</v>
      </c>
      <c r="Q3971" s="6">
        <v>120.84</v>
      </c>
      <c r="R3971" s="7">
        <v>45536</v>
      </c>
      <c r="S3971" s="6">
        <v>102.42</v>
      </c>
      <c r="T3971" s="6">
        <v>9.82</v>
      </c>
      <c r="U3971" s="7">
        <v>45536</v>
      </c>
      <c r="V3971" s="6">
        <v>15.11</v>
      </c>
      <c r="W3971" s="6">
        <f ca="1">IFERROR(__xludf.DUMMYFUNCTION("IFERROR(GOOGLEFINANCE(B3971,""pe""),V3971)"),15.11)</f>
        <v>15.11</v>
      </c>
      <c r="X3971" s="6">
        <v>0.7</v>
      </c>
      <c r="Y3971" s="6">
        <v>1.27</v>
      </c>
      <c r="Z3971" s="6">
        <v>2</v>
      </c>
      <c r="AA3971" s="8">
        <v>45352</v>
      </c>
      <c r="AB3971" s="4">
        <v>0.03</v>
      </c>
      <c r="AC3971" s="6">
        <v>9.24</v>
      </c>
      <c r="AD3971" s="6">
        <v>13.04</v>
      </c>
      <c r="AE3971" s="1">
        <v>0</v>
      </c>
      <c r="AF3971" s="1">
        <f ca="1">IFERROR(__xludf.DUMMYFUNCTION("IFERROR(GOOGLEFINANCE(TRIM(F3971)&amp;"":"" &amp; TRIM(B3971),""high52""),AE3971)"),0)</f>
        <v>0</v>
      </c>
      <c r="AG3971" s="1">
        <v>0</v>
      </c>
      <c r="AH3971" s="1">
        <f ca="1">IFERROR(__xludf.DUMMYFUNCTION("IFERROR(GOOGLEFINANCE(TRIM(F3971)&amp;"":"" &amp; TRIM(B3971),""low52""),AE3971)"),0)</f>
        <v>0</v>
      </c>
      <c r="AI3971" s="1">
        <f ca="1">IFERROR(__xludf.DUMMYFUNCTION("IFERROR(GOOGLEFINANCE(B3971,""eps""),0)"),0)</f>
        <v>0</v>
      </c>
      <c r="AJ3971" s="1"/>
      <c r="AK3971" s="1" t="s">
        <v>12084</v>
      </c>
      <c r="AL3971" s="9">
        <f t="shared" si="367"/>
        <v>1</v>
      </c>
    </row>
    <row r="3972" spans="1:38" ht="15" x14ac:dyDescent="0.25">
      <c r="A3972" s="1" t="s">
        <v>12085</v>
      </c>
      <c r="B3972" s="1" t="s">
        <v>12086</v>
      </c>
      <c r="C3972" s="1" t="s">
        <v>186</v>
      </c>
      <c r="D3972" s="1" t="s">
        <v>186</v>
      </c>
      <c r="E3972" s="6">
        <v>33.68</v>
      </c>
      <c r="F3972" s="1" t="s">
        <v>53</v>
      </c>
      <c r="G3972" s="6">
        <f ca="1">IFERROR(__xludf.DUMMYFUNCTION("iferror(GOOGLEFINANCE(TRIM(F3972)&amp;"":"" &amp; TRIM(B3972), ""price""),0
)"),0)</f>
        <v>0</v>
      </c>
      <c r="H3972" s="6">
        <v>12.64</v>
      </c>
      <c r="I3972" s="6">
        <f t="shared" ca="1" si="0"/>
        <v>12.64</v>
      </c>
      <c r="J3972" s="6">
        <f ca="1">IFERROR(__xludf.DUMMYFUNCTION("IFERROR(GOOGLEFINANCE(B3972, ""volume""), 0)"),0)</f>
        <v>0</v>
      </c>
      <c r="K3972" s="9"/>
      <c r="L3972" s="6" t="str">
        <f ca="1">IFERROR(__xludf.DUMMYFUNCTION("IFERROR(GOOGLEFINANCE(B3972,""changepct""),K3972)"),"")</f>
        <v/>
      </c>
      <c r="M3972" s="6">
        <f ca="1">IFERROR(__xludf.DUMMYFUNCTION("IFERROR(GOOGLEFINANCE(B3972,""change""),0)"),0)</f>
        <v>0</v>
      </c>
      <c r="N3972" s="6">
        <v>2</v>
      </c>
      <c r="O3972" s="7">
        <v>45536</v>
      </c>
      <c r="P3972" s="6">
        <v>8.1199999999999992</v>
      </c>
      <c r="Q3972" s="6">
        <v>41.1</v>
      </c>
      <c r="R3972" s="7">
        <v>45536</v>
      </c>
      <c r="S3972" s="6">
        <v>6.96</v>
      </c>
      <c r="T3972" s="6">
        <v>-1.98</v>
      </c>
      <c r="U3972" s="7">
        <v>45536</v>
      </c>
      <c r="V3972" s="6">
        <v>0</v>
      </c>
      <c r="W3972" s="6">
        <f ca="1">IFERROR(__xludf.DUMMYFUNCTION("IFERROR(GOOGLEFINANCE(B3972,""pe""),V3972)"),0)</f>
        <v>0</v>
      </c>
      <c r="X3972" s="6">
        <v>0</v>
      </c>
      <c r="Y3972" s="6">
        <v>-7.19</v>
      </c>
      <c r="Z3972" s="6">
        <v>2</v>
      </c>
      <c r="AA3972" s="8">
        <v>45352</v>
      </c>
      <c r="AB3972" s="4">
        <v>-2.1</v>
      </c>
      <c r="AC3972" s="6">
        <v>0</v>
      </c>
      <c r="AD3972" s="6">
        <v>-18.98</v>
      </c>
      <c r="AE3972" s="1">
        <v>0</v>
      </c>
      <c r="AF3972" s="1">
        <f ca="1">IFERROR(__xludf.DUMMYFUNCTION("IFERROR(GOOGLEFINANCE(TRIM(F3972)&amp;"":"" &amp; TRIM(B3972),""high52""),AE3972)"),0)</f>
        <v>0</v>
      </c>
      <c r="AG3972" s="1">
        <v>0</v>
      </c>
      <c r="AH3972" s="1">
        <f ca="1">IFERROR(__xludf.DUMMYFUNCTION("IFERROR(GOOGLEFINANCE(TRIM(F3972)&amp;"":"" &amp; TRIM(B3972),""low52""),AE3972)"),0)</f>
        <v>0</v>
      </c>
      <c r="AI3972" s="1">
        <f ca="1">IFERROR(__xludf.DUMMYFUNCTION("IFERROR(GOOGLEFINANCE(B3972,""eps""),0)"),0)</f>
        <v>0</v>
      </c>
      <c r="AJ3972" s="1"/>
      <c r="AK3972" s="1" t="s">
        <v>12087</v>
      </c>
      <c r="AL3972" s="9">
        <f t="shared" si="367"/>
        <v>1</v>
      </c>
    </row>
    <row r="3973" spans="1:38" ht="15" x14ac:dyDescent="0.25">
      <c r="A3973" s="1" t="s">
        <v>12088</v>
      </c>
      <c r="B3973" s="1" t="s">
        <v>12089</v>
      </c>
      <c r="C3973" s="1" t="s">
        <v>186</v>
      </c>
      <c r="D3973" s="1" t="s">
        <v>186</v>
      </c>
      <c r="E3973" s="6">
        <v>757.04</v>
      </c>
      <c r="F3973" s="1" t="s">
        <v>53</v>
      </c>
      <c r="G3973" s="6">
        <f ca="1">IFERROR(__xludf.DUMMYFUNCTION("iferror(GOOGLEFINANCE(TRIM(F3973)&amp;"":"" &amp; TRIM(B3973), ""price""),0
)"),0)</f>
        <v>0</v>
      </c>
      <c r="H3973" s="6">
        <v>85.11</v>
      </c>
      <c r="I3973" s="6">
        <f t="shared" ca="1" si="0"/>
        <v>85.11</v>
      </c>
      <c r="J3973" s="6">
        <f ca="1">IFERROR(__xludf.DUMMYFUNCTION("IFERROR(GOOGLEFINANCE(B3973, ""volume""), 0)"),3232163)</f>
        <v>3232163</v>
      </c>
      <c r="K3973" s="6">
        <v>1.1499999999999999</v>
      </c>
      <c r="L3973" s="6">
        <f ca="1">IFERROR(__xludf.DUMMYFUNCTION("IFERROR(GOOGLEFINANCE(B3973,""changepct""),K3973)"),1.61)</f>
        <v>1.61</v>
      </c>
      <c r="M3973" s="6">
        <f ca="1">IFERROR(__xludf.DUMMYFUNCTION("IFERROR(GOOGLEFINANCE(B3973,""change""),0)"),2.54)</f>
        <v>2.54</v>
      </c>
      <c r="N3973" s="6">
        <v>2</v>
      </c>
      <c r="O3973" s="7">
        <v>45536</v>
      </c>
      <c r="P3973" s="6">
        <v>68.12</v>
      </c>
      <c r="Q3973" s="6">
        <v>825.16</v>
      </c>
      <c r="R3973" s="7">
        <v>45536</v>
      </c>
      <c r="S3973" s="6">
        <v>402.44</v>
      </c>
      <c r="T3973" s="6">
        <v>23.05</v>
      </c>
      <c r="U3973" s="7">
        <v>45536</v>
      </c>
      <c r="V3973" s="6">
        <v>32.840000000000003</v>
      </c>
      <c r="W3973" s="6">
        <f ca="1">IFERROR(__xludf.DUMMYFUNCTION("IFERROR(GOOGLEFINANCE(B3973,""pe""),V3973)"),55.13)</f>
        <v>55.13</v>
      </c>
      <c r="X3973" s="6">
        <v>0.89</v>
      </c>
      <c r="Y3973" s="6">
        <v>4.4400000000000004</v>
      </c>
      <c r="Z3973" s="6">
        <v>2</v>
      </c>
      <c r="AA3973" s="8">
        <v>45352</v>
      </c>
      <c r="AB3973" s="4">
        <v>0.42</v>
      </c>
      <c r="AC3973" s="6">
        <v>18.22</v>
      </c>
      <c r="AD3973" s="6">
        <v>20.77</v>
      </c>
      <c r="AE3973" s="1">
        <v>0</v>
      </c>
      <c r="AF3973" s="1">
        <f ca="1">IFERROR(__xludf.DUMMYFUNCTION("IFERROR(GOOGLEFINANCE(TRIM(F3973)&amp;"":"" &amp; TRIM(B3973),""high52""),AE3973)"),0)</f>
        <v>0</v>
      </c>
      <c r="AG3973" s="1">
        <v>0</v>
      </c>
      <c r="AH3973" s="1">
        <f ca="1">IFERROR(__xludf.DUMMYFUNCTION("IFERROR(GOOGLEFINANCE(TRIM(F3973)&amp;"":"" &amp; TRIM(B3973),""low52""),AE3973)"),0)</f>
        <v>0</v>
      </c>
      <c r="AI3973" s="1">
        <f ca="1">IFERROR(__xludf.DUMMYFUNCTION("IFERROR(GOOGLEFINANCE(B3973,""eps""),0)"),2.91)</f>
        <v>2.91</v>
      </c>
      <c r="AJ3973" s="1"/>
      <c r="AK3973" s="1" t="s">
        <v>12090</v>
      </c>
      <c r="AL3973" s="9">
        <f t="shared" si="367"/>
        <v>1</v>
      </c>
    </row>
    <row r="3974" spans="1:38" ht="15" x14ac:dyDescent="0.25">
      <c r="A3974" s="1" t="s">
        <v>12091</v>
      </c>
      <c r="B3974" s="1" t="s">
        <v>12092</v>
      </c>
      <c r="C3974" s="1" t="s">
        <v>186</v>
      </c>
      <c r="D3974" s="1" t="s">
        <v>186</v>
      </c>
      <c r="E3974" s="6">
        <v>632.98</v>
      </c>
      <c r="F3974" s="1" t="s">
        <v>53</v>
      </c>
      <c r="G3974" s="6">
        <f ca="1">IFERROR(__xludf.DUMMYFUNCTION("iferror(GOOGLEFINANCE(TRIM(F3974)&amp;"":"" &amp; TRIM(B3974), ""price""),0
)"),0)</f>
        <v>0</v>
      </c>
      <c r="H3974" s="6">
        <v>168.9</v>
      </c>
      <c r="I3974" s="6">
        <f t="shared" ca="1" si="0"/>
        <v>168.9</v>
      </c>
      <c r="J3974" s="6">
        <f ca="1">IFERROR(__xludf.DUMMYFUNCTION("IFERROR(GOOGLEFINANCE(B3974, ""volume""), 0)"),0)</f>
        <v>0</v>
      </c>
      <c r="K3974" s="6">
        <v>3.4</v>
      </c>
      <c r="L3974" s="6">
        <f ca="1">IFERROR(__xludf.DUMMYFUNCTION("IFERROR(GOOGLEFINANCE(B3974,""changepct""),K3974)"),3.4)</f>
        <v>3.4</v>
      </c>
      <c r="M3974" s="6">
        <f ca="1">IFERROR(__xludf.DUMMYFUNCTION("IFERROR(GOOGLEFINANCE(B3974,""change""),0)"),0)</f>
        <v>0</v>
      </c>
      <c r="N3974" s="6">
        <v>2</v>
      </c>
      <c r="O3974" s="7">
        <v>45536</v>
      </c>
      <c r="P3974" s="6">
        <v>34.44</v>
      </c>
      <c r="Q3974" s="6">
        <v>666.61</v>
      </c>
      <c r="R3974" s="7">
        <v>45536</v>
      </c>
      <c r="S3974" s="6">
        <v>284.39</v>
      </c>
      <c r="T3974" s="6">
        <v>9.44</v>
      </c>
      <c r="U3974" s="7">
        <v>45536</v>
      </c>
      <c r="V3974" s="6">
        <v>66.86</v>
      </c>
      <c r="W3974" s="6">
        <f ca="1">IFERROR(__xludf.DUMMYFUNCTION("IFERROR(GOOGLEFINANCE(B3974,""pe""),V3974)"),66.86)</f>
        <v>66.86</v>
      </c>
      <c r="X3974" s="9"/>
      <c r="Y3974" s="6">
        <v>20.5</v>
      </c>
      <c r="Z3974" s="6">
        <v>2</v>
      </c>
      <c r="AA3974" s="8">
        <v>45352</v>
      </c>
      <c r="AB3974" s="4">
        <v>1.17</v>
      </c>
      <c r="AC3974" s="6">
        <v>19.52</v>
      </c>
      <c r="AD3974" s="6">
        <v>15.99</v>
      </c>
      <c r="AE3974" s="1">
        <v>0</v>
      </c>
      <c r="AF3974" s="1">
        <f ca="1">IFERROR(__xludf.DUMMYFUNCTION("IFERROR(GOOGLEFINANCE(TRIM(F3974)&amp;"":"" &amp; TRIM(B3974),""high52""),AE3974)"),0)</f>
        <v>0</v>
      </c>
      <c r="AG3974" s="1">
        <v>0</v>
      </c>
      <c r="AH3974" s="1">
        <f ca="1">IFERROR(__xludf.DUMMYFUNCTION("IFERROR(GOOGLEFINANCE(TRIM(F3974)&amp;"":"" &amp; TRIM(B3974),""low52""),AE3974)"),0)</f>
        <v>0</v>
      </c>
      <c r="AI3974" s="1">
        <f ca="1">IFERROR(__xludf.DUMMYFUNCTION("IFERROR(GOOGLEFINANCE(B3974,""eps""),0)"),0)</f>
        <v>0</v>
      </c>
      <c r="AJ3974" s="1"/>
      <c r="AK3974" s="1" t="s">
        <v>12093</v>
      </c>
      <c r="AL3974" s="9">
        <f t="shared" si="367"/>
        <v>1</v>
      </c>
    </row>
    <row r="3975" spans="1:38" ht="15" x14ac:dyDescent="0.25">
      <c r="A3975" s="1" t="s">
        <v>12094</v>
      </c>
      <c r="B3975" s="1" t="s">
        <v>12095</v>
      </c>
      <c r="C3975" s="1" t="s">
        <v>186</v>
      </c>
      <c r="D3975" s="1" t="s">
        <v>186</v>
      </c>
      <c r="E3975" s="6">
        <v>100.34</v>
      </c>
      <c r="F3975" s="1" t="s">
        <v>53</v>
      </c>
      <c r="G3975" s="6">
        <f ca="1">IFERROR(__xludf.DUMMYFUNCTION("iferror(GOOGLEFINANCE(TRIM(F3975)&amp;"":"" &amp; TRIM(B3975), ""price""),0
)"),0)</f>
        <v>0</v>
      </c>
      <c r="H3975" s="6">
        <v>102.55</v>
      </c>
      <c r="I3975" s="6">
        <f t="shared" ca="1" si="0"/>
        <v>102.55</v>
      </c>
      <c r="J3975" s="6">
        <f ca="1">IFERROR(__xludf.DUMMYFUNCTION("IFERROR(GOOGLEFINANCE(B3975, ""volume""), 0)"),0)</f>
        <v>0</v>
      </c>
      <c r="K3975" s="6">
        <v>-1.35</v>
      </c>
      <c r="L3975" s="6">
        <f ca="1">IFERROR(__xludf.DUMMYFUNCTION("IFERROR(GOOGLEFINANCE(B3975,""changepct""),K3975)"),-1.35)</f>
        <v>-1.35</v>
      </c>
      <c r="M3975" s="6">
        <f ca="1">IFERROR(__xludf.DUMMYFUNCTION("IFERROR(GOOGLEFINANCE(B3975,""change""),0)"),0)</f>
        <v>0</v>
      </c>
      <c r="N3975" s="6">
        <v>1</v>
      </c>
      <c r="O3975" s="7">
        <v>45536</v>
      </c>
      <c r="P3975" s="6">
        <v>70.760000000000005</v>
      </c>
      <c r="Q3975" s="6">
        <v>169.8</v>
      </c>
      <c r="R3975" s="7">
        <v>45536</v>
      </c>
      <c r="S3975" s="6">
        <v>268.2</v>
      </c>
      <c r="T3975" s="6">
        <v>8.25</v>
      </c>
      <c r="U3975" s="7">
        <v>45536</v>
      </c>
      <c r="V3975" s="6">
        <v>12.16</v>
      </c>
      <c r="W3975" s="6">
        <f ca="1">IFERROR(__xludf.DUMMYFUNCTION("IFERROR(GOOGLEFINANCE(B3975,""pe""),V3975)"),12.16)</f>
        <v>12.16</v>
      </c>
      <c r="X3975" s="6">
        <v>-16.88</v>
      </c>
      <c r="Y3975" s="6">
        <v>1.07</v>
      </c>
      <c r="Z3975" s="6">
        <v>1</v>
      </c>
      <c r="AA3975" s="8">
        <v>45352</v>
      </c>
      <c r="AB3975" s="4">
        <v>0.76</v>
      </c>
      <c r="AC3975" s="6">
        <v>9.27</v>
      </c>
      <c r="AD3975" s="6">
        <v>10.19</v>
      </c>
      <c r="AE3975" s="1">
        <v>0</v>
      </c>
      <c r="AF3975" s="1">
        <f ca="1">IFERROR(__xludf.DUMMYFUNCTION("IFERROR(GOOGLEFINANCE(TRIM(F3975)&amp;"":"" &amp; TRIM(B3975),""high52""),AE3975)"),0)</f>
        <v>0</v>
      </c>
      <c r="AG3975" s="1">
        <v>0</v>
      </c>
      <c r="AH3975" s="1">
        <f ca="1">IFERROR(__xludf.DUMMYFUNCTION("IFERROR(GOOGLEFINANCE(TRIM(F3975)&amp;"":"" &amp; TRIM(B3975),""low52""),AE3975)"),0)</f>
        <v>0</v>
      </c>
      <c r="AI3975" s="1">
        <f ca="1">IFERROR(__xludf.DUMMYFUNCTION("IFERROR(GOOGLEFINANCE(B3975,""eps""),0)"),0)</f>
        <v>0</v>
      </c>
      <c r="AJ3975" s="1"/>
      <c r="AK3975" s="1" t="s">
        <v>12096</v>
      </c>
      <c r="AL3975" s="9">
        <f t="shared" si="367"/>
        <v>1</v>
      </c>
    </row>
    <row r="3976" spans="1:38" ht="15" x14ac:dyDescent="0.25">
      <c r="A3976" s="1" t="s">
        <v>12097</v>
      </c>
      <c r="B3976" s="1" t="s">
        <v>12098</v>
      </c>
      <c r="C3976" s="1" t="s">
        <v>186</v>
      </c>
      <c r="D3976" s="1" t="s">
        <v>186</v>
      </c>
      <c r="E3976" s="6">
        <v>11.06</v>
      </c>
      <c r="F3976" s="1" t="s">
        <v>53</v>
      </c>
      <c r="G3976" s="6">
        <f ca="1">IFERROR(__xludf.DUMMYFUNCTION("iferror(GOOGLEFINANCE(TRIM(F3976)&amp;"":"" &amp; TRIM(B3976), ""price""),0
)"),0)</f>
        <v>0</v>
      </c>
      <c r="H3976" s="6">
        <v>11.02</v>
      </c>
      <c r="I3976" s="6">
        <f t="shared" ca="1" si="0"/>
        <v>11.02</v>
      </c>
      <c r="J3976" s="6">
        <f ca="1">IFERROR(__xludf.DUMMYFUNCTION("IFERROR(GOOGLEFINANCE(B3976, ""volume""), 0)"),1631289)</f>
        <v>1631289</v>
      </c>
      <c r="K3976" s="6">
        <v>-0.45</v>
      </c>
      <c r="L3976" s="6">
        <f ca="1">IFERROR(__xludf.DUMMYFUNCTION("IFERROR(GOOGLEFINANCE(B3976,""changepct""),K3976)"),-3.45)</f>
        <v>-3.45</v>
      </c>
      <c r="M3976" s="6">
        <f ca="1">IFERROR(__xludf.DUMMYFUNCTION("IFERROR(GOOGLEFINANCE(B3976,""change""),0)"),0)</f>
        <v>0</v>
      </c>
      <c r="N3976" s="6">
        <v>1</v>
      </c>
      <c r="O3976" s="7">
        <v>45536</v>
      </c>
      <c r="P3976" s="6">
        <v>3.94</v>
      </c>
      <c r="Q3976" s="6">
        <v>14.99</v>
      </c>
      <c r="R3976" s="7">
        <v>45536</v>
      </c>
      <c r="S3976" s="6">
        <v>0.39</v>
      </c>
      <c r="T3976" s="6">
        <v>-2.66</v>
      </c>
      <c r="U3976" s="7">
        <v>45536</v>
      </c>
      <c r="V3976" s="6">
        <v>0</v>
      </c>
      <c r="W3976" s="6">
        <f ca="1">IFERROR(__xludf.DUMMYFUNCTION("IFERROR(GOOGLEFINANCE(B3976,""pe""),V3976)"),0)</f>
        <v>0</v>
      </c>
      <c r="X3976" s="6">
        <v>0</v>
      </c>
      <c r="Y3976" s="6">
        <v>0.51</v>
      </c>
      <c r="Z3976" s="6">
        <v>1</v>
      </c>
      <c r="AA3976" s="8">
        <v>45352</v>
      </c>
      <c r="AB3976" s="4">
        <v>0.17</v>
      </c>
      <c r="AC3976" s="6">
        <v>0.21</v>
      </c>
      <c r="AD3976" s="6">
        <v>0.6</v>
      </c>
      <c r="AE3976" s="1">
        <v>0</v>
      </c>
      <c r="AF3976" s="1">
        <f ca="1">IFERROR(__xludf.DUMMYFUNCTION("IFERROR(GOOGLEFINANCE(TRIM(F3976)&amp;"":"" &amp; TRIM(B3976),""high52""),AE3976)"),0)</f>
        <v>0</v>
      </c>
      <c r="AG3976" s="1">
        <v>0</v>
      </c>
      <c r="AH3976" s="1">
        <f ca="1">IFERROR(__xludf.DUMMYFUNCTION("IFERROR(GOOGLEFINANCE(TRIM(F3976)&amp;"":"" &amp; TRIM(B3976),""low52""),AE3976)"),0)</f>
        <v>0</v>
      </c>
      <c r="AI3976" s="1">
        <f ca="1">IFERROR(__xludf.DUMMYFUNCTION("IFERROR(GOOGLEFINANCE(B3976,""eps""),0)"),-0.01)</f>
        <v>-0.01</v>
      </c>
      <c r="AJ3976" s="1"/>
      <c r="AK3976" s="1" t="s">
        <v>12099</v>
      </c>
      <c r="AL3976" s="9">
        <f t="shared" si="367"/>
        <v>1</v>
      </c>
    </row>
    <row r="3977" spans="1:38" ht="15" x14ac:dyDescent="0.25">
      <c r="A3977" s="1" t="s">
        <v>12100</v>
      </c>
      <c r="B3977" s="1" t="s">
        <v>12101</v>
      </c>
      <c r="C3977" s="1" t="s">
        <v>186</v>
      </c>
      <c r="D3977" s="1" t="s">
        <v>186</v>
      </c>
      <c r="E3977" s="6">
        <v>263.64</v>
      </c>
      <c r="F3977" s="1" t="s">
        <v>53</v>
      </c>
      <c r="G3977" s="6">
        <f ca="1">IFERROR(__xludf.DUMMYFUNCTION("iferror(GOOGLEFINANCE(TRIM(F3977)&amp;"":"" &amp; TRIM(B3977), ""price""),0
)"),0)</f>
        <v>0</v>
      </c>
      <c r="H3977" s="6">
        <v>22.63</v>
      </c>
      <c r="I3977" s="6">
        <f t="shared" ca="1" si="0"/>
        <v>22.63</v>
      </c>
      <c r="J3977" s="6">
        <f ca="1">IFERROR(__xludf.DUMMYFUNCTION("IFERROR(GOOGLEFINANCE(B3977, ""volume""), 0)"),0)</f>
        <v>0</v>
      </c>
      <c r="K3977" s="6">
        <v>4.05</v>
      </c>
      <c r="L3977" s="6">
        <f ca="1">IFERROR(__xludf.DUMMYFUNCTION("IFERROR(GOOGLEFINANCE(B3977,""changepct""),K3977)"),4.05)</f>
        <v>4.05</v>
      </c>
      <c r="M3977" s="6">
        <f ca="1">IFERROR(__xludf.DUMMYFUNCTION("IFERROR(GOOGLEFINANCE(B3977,""change""),0)"),0)</f>
        <v>0</v>
      </c>
      <c r="N3977" s="6">
        <v>2</v>
      </c>
      <c r="O3977" s="7">
        <v>45536</v>
      </c>
      <c r="P3977" s="6">
        <v>5.63</v>
      </c>
      <c r="Q3977" s="6">
        <v>269.27</v>
      </c>
      <c r="R3977" s="7">
        <v>45536</v>
      </c>
      <c r="S3977" s="6">
        <v>98.98</v>
      </c>
      <c r="T3977" s="6">
        <v>5.65</v>
      </c>
      <c r="U3977" s="7">
        <v>45536</v>
      </c>
      <c r="V3977" s="6">
        <v>46.66</v>
      </c>
      <c r="W3977" s="6">
        <f ca="1">IFERROR(__xludf.DUMMYFUNCTION("IFERROR(GOOGLEFINANCE(B3977,""pe""),V3977)"),46.66)</f>
        <v>46.66</v>
      </c>
      <c r="X3977" s="12"/>
      <c r="Y3977" s="6">
        <v>2.3199999999999998</v>
      </c>
      <c r="Z3977" s="6">
        <v>2</v>
      </c>
      <c r="AA3977" s="8">
        <v>45352</v>
      </c>
      <c r="AB3977" s="4">
        <v>0.15</v>
      </c>
      <c r="AC3977" s="6">
        <v>6.04</v>
      </c>
      <c r="AD3977" s="6">
        <v>7.78</v>
      </c>
      <c r="AE3977" s="1">
        <v>0</v>
      </c>
      <c r="AF3977" s="1">
        <f ca="1">IFERROR(__xludf.DUMMYFUNCTION("IFERROR(GOOGLEFINANCE(TRIM(F3977)&amp;"":"" &amp; TRIM(B3977),""high52""),AE3977)"),0)</f>
        <v>0</v>
      </c>
      <c r="AG3977" s="1">
        <v>0</v>
      </c>
      <c r="AH3977" s="1">
        <f ca="1">IFERROR(__xludf.DUMMYFUNCTION("IFERROR(GOOGLEFINANCE(TRIM(F3977)&amp;"":"" &amp; TRIM(B3977),""low52""),AE3977)"),0)</f>
        <v>0</v>
      </c>
      <c r="AI3977" s="1">
        <f ca="1">IFERROR(__xludf.DUMMYFUNCTION("IFERROR(GOOGLEFINANCE(B3977,""eps""),0)"),0)</f>
        <v>0</v>
      </c>
      <c r="AJ3977" s="1"/>
      <c r="AK3977" s="1" t="s">
        <v>12102</v>
      </c>
      <c r="AL3977" s="9">
        <f t="shared" si="367"/>
        <v>1</v>
      </c>
    </row>
    <row r="3978" spans="1:38" ht="15" x14ac:dyDescent="0.25">
      <c r="A3978" s="1" t="s">
        <v>12103</v>
      </c>
      <c r="B3978" s="1" t="s">
        <v>12104</v>
      </c>
      <c r="C3978" s="1" t="s">
        <v>1379</v>
      </c>
      <c r="D3978" s="1" t="s">
        <v>1379</v>
      </c>
      <c r="E3978" s="6">
        <v>52761.64</v>
      </c>
      <c r="F3978" s="1" t="s">
        <v>40</v>
      </c>
      <c r="G3978" s="6">
        <f ca="1">IFERROR(__xludf.DUMMYFUNCTION("iferror(GOOGLEFINANCE(TRIM(F3978)&amp;"":"" &amp; TRIM(B3978), ""price""),0
)"),28.36)</f>
        <v>28.36</v>
      </c>
      <c r="H3978" s="6">
        <v>44.85</v>
      </c>
      <c r="I3978" s="6">
        <f t="shared" ca="1" si="0"/>
        <v>28.36</v>
      </c>
      <c r="J3978" s="6">
        <f ca="1">IFERROR(__xludf.DUMMYFUNCTION("IFERROR(GOOGLEFINANCE(B3978, ""volume""), 0)"),8336709)</f>
        <v>8336709</v>
      </c>
      <c r="K3978" s="6">
        <v>1.75</v>
      </c>
      <c r="L3978" s="6">
        <f ca="1">IFERROR(__xludf.DUMMYFUNCTION("IFERROR(GOOGLEFINANCE(B3978,""changepct""),K3978)"),-0.49)</f>
        <v>-0.49</v>
      </c>
      <c r="M3978" s="6">
        <f ca="1">IFERROR(__xludf.DUMMYFUNCTION("IFERROR(GOOGLEFINANCE(B3978,""change""),0)"),-0.14)</f>
        <v>-0.14000000000000001</v>
      </c>
      <c r="N3978" s="6">
        <v>2</v>
      </c>
      <c r="O3978" s="7">
        <v>45536</v>
      </c>
      <c r="P3978" s="6">
        <v>23513.94</v>
      </c>
      <c r="Q3978" s="6">
        <v>2182.3000000000002</v>
      </c>
      <c r="R3978" s="7">
        <v>45536</v>
      </c>
      <c r="S3978" s="6">
        <v>13.3</v>
      </c>
      <c r="T3978" s="12"/>
      <c r="U3978" s="6">
        <v>2.11</v>
      </c>
      <c r="V3978" s="6">
        <v>2</v>
      </c>
      <c r="W3978" s="6">
        <f ca="1">IFERROR(__xludf.DUMMYFUNCTION("IFERROR(GOOGLEFINANCE(B3978,""pe""),V3978)"),13.75)</f>
        <v>13.75</v>
      </c>
      <c r="X3978" s="7">
        <v>45352</v>
      </c>
      <c r="Y3978" s="6">
        <v>7.03</v>
      </c>
      <c r="Z3978" s="6">
        <v>1</v>
      </c>
      <c r="AA3978" s="8">
        <v>45352</v>
      </c>
      <c r="AB3978" s="4">
        <v>0.89</v>
      </c>
      <c r="AC3978" s="6">
        <v>2.67</v>
      </c>
      <c r="AD3978" s="6">
        <v>12.01</v>
      </c>
      <c r="AE3978" s="1">
        <v>0</v>
      </c>
      <c r="AF3978" s="1">
        <f ca="1">IFERROR(__xludf.DUMMYFUNCTION("IFERROR(GOOGLEFINANCE(TRIM(F3978)&amp;"":"" &amp; TRIM(B3978),""high52""),AE3978)"),43.57)</f>
        <v>43.57</v>
      </c>
      <c r="AG3978" s="1">
        <v>0</v>
      </c>
      <c r="AH3978" s="1">
        <f ca="1">IFERROR(__xludf.DUMMYFUNCTION("IFERROR(GOOGLEFINANCE(TRIM(F3978)&amp;"":"" &amp; TRIM(B3978),""low52""),AE3978)"),26.81)</f>
        <v>26.81</v>
      </c>
      <c r="AI3978" s="1">
        <f ca="1">IFERROR(__xludf.DUMMYFUNCTION("IFERROR(GOOGLEFINANCE(B3978,""eps""),0)"),2.06)</f>
        <v>2.06</v>
      </c>
      <c r="AJ3978" s="1"/>
      <c r="AK3978" s="1" t="s">
        <v>12105</v>
      </c>
      <c r="AL3978" s="1" t="b">
        <f>ISNUMBER(AA3978)</f>
        <v>1</v>
      </c>
    </row>
    <row r="3979" spans="1:38" ht="15" x14ac:dyDescent="0.25">
      <c r="A3979" s="1" t="s">
        <v>12106</v>
      </c>
      <c r="B3979" s="1" t="s">
        <v>12107</v>
      </c>
      <c r="C3979" s="1" t="s">
        <v>186</v>
      </c>
      <c r="D3979" s="1" t="s">
        <v>186</v>
      </c>
      <c r="E3979" s="6">
        <v>705.55</v>
      </c>
      <c r="F3979" s="1" t="s">
        <v>53</v>
      </c>
      <c r="G3979" s="6">
        <f ca="1">IFERROR(__xludf.DUMMYFUNCTION("iferror(GOOGLEFINANCE(TRIM(F3979)&amp;"":"" &amp; TRIM(B3979), ""price""),0
)"),0)</f>
        <v>0</v>
      </c>
      <c r="H3979" s="6">
        <v>64</v>
      </c>
      <c r="I3979" s="6">
        <f t="shared" ca="1" si="0"/>
        <v>64</v>
      </c>
      <c r="J3979" s="6">
        <f ca="1">IFERROR(__xludf.DUMMYFUNCTION("IFERROR(GOOGLEFINANCE(B3979, ""volume""), 0)"),0)</f>
        <v>0</v>
      </c>
      <c r="K3979" s="6">
        <v>2.5299999999999998</v>
      </c>
      <c r="L3979" s="6">
        <f ca="1">IFERROR(__xludf.DUMMYFUNCTION("IFERROR(GOOGLEFINANCE(B3979,""changepct""),K3979)"),2.53)</f>
        <v>2.5299999999999998</v>
      </c>
      <c r="M3979" s="6">
        <f ca="1">IFERROR(__xludf.DUMMYFUNCTION("IFERROR(GOOGLEFINANCE(B3979,""change""),0)"),0)</f>
        <v>0</v>
      </c>
      <c r="N3979" s="6">
        <v>1</v>
      </c>
      <c r="O3979" s="7">
        <v>45536</v>
      </c>
      <c r="P3979" s="6">
        <v>0.69</v>
      </c>
      <c r="Q3979" s="6">
        <v>706.24</v>
      </c>
      <c r="R3979" s="7">
        <v>45536</v>
      </c>
      <c r="S3979" s="6">
        <v>27.6</v>
      </c>
      <c r="T3979" s="6">
        <v>0.42</v>
      </c>
      <c r="U3979" s="7">
        <v>45536</v>
      </c>
      <c r="V3979" s="6">
        <v>0</v>
      </c>
      <c r="W3979" s="6">
        <f ca="1">IFERROR(__xludf.DUMMYFUNCTION("IFERROR(GOOGLEFINANCE(B3979,""pe""),V3979)"),0)</f>
        <v>0</v>
      </c>
      <c r="X3979" s="9"/>
      <c r="Y3979" s="6">
        <v>7.73</v>
      </c>
      <c r="Z3979" s="6">
        <v>1</v>
      </c>
      <c r="AA3979" s="8">
        <v>45352</v>
      </c>
      <c r="AB3979" s="4">
        <v>0.03</v>
      </c>
      <c r="AC3979" s="6">
        <v>-5.04</v>
      </c>
      <c r="AD3979" s="6">
        <v>1.9</v>
      </c>
      <c r="AE3979" s="1">
        <v>0</v>
      </c>
      <c r="AF3979" s="1">
        <f ca="1">IFERROR(__xludf.DUMMYFUNCTION("IFERROR(GOOGLEFINANCE(TRIM(F3979)&amp;"":"" &amp; TRIM(B3979),""high52""),AE3979)"),0)</f>
        <v>0</v>
      </c>
      <c r="AG3979" s="1">
        <v>0</v>
      </c>
      <c r="AH3979" s="1">
        <f ca="1">IFERROR(__xludf.DUMMYFUNCTION("IFERROR(GOOGLEFINANCE(TRIM(F3979)&amp;"":"" &amp; TRIM(B3979),""low52""),AE3979)"),0)</f>
        <v>0</v>
      </c>
      <c r="AI3979" s="1">
        <f ca="1">IFERROR(__xludf.DUMMYFUNCTION("IFERROR(GOOGLEFINANCE(B3979,""eps""),0)"),0)</f>
        <v>0</v>
      </c>
      <c r="AJ3979" s="1"/>
      <c r="AK3979" s="1" t="s">
        <v>12108</v>
      </c>
      <c r="AL3979" s="9">
        <f>IF(AA3979&lt;&gt;AB3979,1,0)</f>
        <v>1</v>
      </c>
    </row>
    <row r="3980" spans="1:38" ht="15" x14ac:dyDescent="0.25">
      <c r="A3980" s="1" t="s">
        <v>12109</v>
      </c>
      <c r="B3980" s="1" t="s">
        <v>12110</v>
      </c>
      <c r="C3980" s="1" t="s">
        <v>239</v>
      </c>
      <c r="D3980" s="1" t="s">
        <v>239</v>
      </c>
      <c r="E3980" s="6">
        <v>1690.02</v>
      </c>
      <c r="F3980" s="1" t="s">
        <v>40</v>
      </c>
      <c r="G3980" s="6">
        <f ca="1">IFERROR(__xludf.DUMMYFUNCTION("iferror(GOOGLEFINANCE(TRIM(F3980)&amp;"":"" &amp; TRIM(B3980), ""price""),0
)"),0)</f>
        <v>0</v>
      </c>
      <c r="H3980" s="6">
        <v>30.97</v>
      </c>
      <c r="I3980" s="6">
        <f t="shared" ca="1" si="0"/>
        <v>30.97</v>
      </c>
      <c r="J3980" s="6">
        <f ca="1">IFERROR(__xludf.DUMMYFUNCTION("IFERROR(GOOGLEFINANCE(B3980, ""volume""), 0)"),0)</f>
        <v>0</v>
      </c>
      <c r="K3980" s="6">
        <v>2.69</v>
      </c>
      <c r="L3980" s="6">
        <f ca="1">IFERROR(__xludf.DUMMYFUNCTION("IFERROR(GOOGLEFINANCE(B3980,""changepct""),K3980)"),2.69)</f>
        <v>2.69</v>
      </c>
      <c r="M3980" s="6">
        <f ca="1">IFERROR(__xludf.DUMMYFUNCTION("IFERROR(GOOGLEFINANCE(B3980,""change""),0)"),0)</f>
        <v>0</v>
      </c>
      <c r="N3980" s="6">
        <v>1</v>
      </c>
      <c r="O3980" s="7">
        <v>45536</v>
      </c>
      <c r="P3980" s="6">
        <v>1599.62</v>
      </c>
      <c r="Q3980" s="6">
        <v>3168.69</v>
      </c>
      <c r="R3980" s="7">
        <v>45536</v>
      </c>
      <c r="S3980" s="6">
        <v>1266.8800000000001</v>
      </c>
      <c r="T3980" s="6">
        <v>16.440000000000001</v>
      </c>
      <c r="U3980" s="7">
        <v>45536</v>
      </c>
      <c r="V3980" s="6">
        <v>102.8</v>
      </c>
      <c r="W3980" s="6">
        <f ca="1">IFERROR(__xludf.DUMMYFUNCTION("IFERROR(GOOGLEFINANCE(B3980,""pe""),V3980)"),102.8)</f>
        <v>102.8</v>
      </c>
      <c r="X3980" s="6">
        <v>3.85</v>
      </c>
      <c r="Y3980" s="6">
        <v>2.2200000000000002</v>
      </c>
      <c r="Z3980" s="6">
        <v>1</v>
      </c>
      <c r="AA3980" s="8">
        <v>45352</v>
      </c>
      <c r="AB3980" s="4">
        <v>1.48</v>
      </c>
      <c r="AC3980" s="6">
        <v>9.9600000000000009</v>
      </c>
      <c r="AD3980" s="6">
        <v>8.2799999999999994</v>
      </c>
      <c r="AE3980" s="1">
        <v>0</v>
      </c>
      <c r="AF3980" s="1">
        <f ca="1">IFERROR(__xludf.DUMMYFUNCTION("IFERROR(GOOGLEFINANCE(TRIM(F3980)&amp;"":"" &amp; TRIM(B3980),""high52""),AE3980)"),0)</f>
        <v>0</v>
      </c>
      <c r="AG3980" s="1">
        <v>0</v>
      </c>
      <c r="AH3980" s="1">
        <f ca="1">IFERROR(__xludf.DUMMYFUNCTION("IFERROR(GOOGLEFINANCE(TRIM(F3980)&amp;"":"" &amp; TRIM(B3980),""low52""),AE3980)"),0)</f>
        <v>0</v>
      </c>
      <c r="AI3980" s="1">
        <f ca="1">IFERROR(__xludf.DUMMYFUNCTION("IFERROR(GOOGLEFINANCE(B3980,""eps""),0)"),0)</f>
        <v>0</v>
      </c>
      <c r="AJ3980" s="1"/>
      <c r="AK3980" s="1" t="s">
        <v>12111</v>
      </c>
      <c r="AL3980" s="1" t="b">
        <f>ISNUMBER(AA3980)</f>
        <v>1</v>
      </c>
    </row>
    <row r="3981" spans="1:38" ht="15" x14ac:dyDescent="0.25">
      <c r="A3981" s="1" t="s">
        <v>12112</v>
      </c>
      <c r="B3981" s="1" t="s">
        <v>12113</v>
      </c>
      <c r="C3981" s="1" t="s">
        <v>86</v>
      </c>
      <c r="D3981" s="1" t="s">
        <v>86</v>
      </c>
      <c r="E3981" s="6">
        <v>281.99</v>
      </c>
      <c r="F3981" s="1" t="s">
        <v>40</v>
      </c>
      <c r="G3981" s="6">
        <f ca="1">IFERROR(__xludf.DUMMYFUNCTION("iferror(GOOGLEFINANCE(TRIM(F3981)&amp;"":"" &amp; TRIM(B3981), ""price""),0
)"),21.25)</f>
        <v>21.25</v>
      </c>
      <c r="H3981" s="6">
        <v>50.99</v>
      </c>
      <c r="I3981" s="6">
        <f t="shared" ca="1" si="0"/>
        <v>21.25</v>
      </c>
      <c r="J3981" s="6">
        <f ca="1">IFERROR(__xludf.DUMMYFUNCTION("IFERROR(GOOGLEFINANCE(B3981, ""volume""), 0)"),41888)</f>
        <v>41888</v>
      </c>
      <c r="K3981" s="6">
        <v>0.1</v>
      </c>
      <c r="L3981" s="6">
        <f ca="1">IFERROR(__xludf.DUMMYFUNCTION("IFERROR(GOOGLEFINANCE(B3981,""changepct""),K3981)"),0.38)</f>
        <v>0.38</v>
      </c>
      <c r="M3981" s="6">
        <f ca="1">IFERROR(__xludf.DUMMYFUNCTION("IFERROR(GOOGLEFINANCE(B3981,""change""),0)"),0.08)</f>
        <v>0.08</v>
      </c>
      <c r="N3981" s="6">
        <v>1</v>
      </c>
      <c r="O3981" s="7">
        <v>45536</v>
      </c>
      <c r="P3981" s="6">
        <v>67.8</v>
      </c>
      <c r="Q3981" s="6">
        <v>349.78</v>
      </c>
      <c r="R3981" s="7">
        <v>45536</v>
      </c>
      <c r="S3981" s="6">
        <v>452.15</v>
      </c>
      <c r="T3981" s="6">
        <v>17.47</v>
      </c>
      <c r="U3981" s="7">
        <v>45536</v>
      </c>
      <c r="V3981" s="6">
        <v>16.14</v>
      </c>
      <c r="W3981" s="6">
        <f ca="1">IFERROR(__xludf.DUMMYFUNCTION("IFERROR(GOOGLEFINANCE(B3981,""pe""),V3981)"),16.14)</f>
        <v>16.14</v>
      </c>
      <c r="X3981" s="9"/>
      <c r="Y3981" s="6">
        <v>1.63</v>
      </c>
      <c r="Z3981" s="6">
        <v>1</v>
      </c>
      <c r="AA3981" s="8">
        <v>45352</v>
      </c>
      <c r="AB3981" s="4">
        <v>0.22</v>
      </c>
      <c r="AC3981" s="6">
        <v>18.88</v>
      </c>
      <c r="AD3981" s="6">
        <v>22.97</v>
      </c>
      <c r="AE3981" s="1">
        <v>0</v>
      </c>
      <c r="AF3981" s="1">
        <f ca="1">IFERROR(__xludf.DUMMYFUNCTION("IFERROR(GOOGLEFINANCE(TRIM(F3981)&amp;"":"" &amp; TRIM(B3981),""high52""),AE3981)"),51.78)</f>
        <v>51.78</v>
      </c>
      <c r="AG3981" s="1">
        <v>0</v>
      </c>
      <c r="AH3981" s="1">
        <f ca="1">IFERROR(__xludf.DUMMYFUNCTION("IFERROR(GOOGLEFINANCE(TRIM(F3981)&amp;"":"" &amp; TRIM(B3981),""low52""),AE3981)"),19.2)</f>
        <v>19.2</v>
      </c>
      <c r="AI3981" s="1">
        <f ca="1">IFERROR(__xludf.DUMMYFUNCTION("IFERROR(GOOGLEFINANCE(B3981,""eps""),0)"),-2.11)</f>
        <v>-2.11</v>
      </c>
      <c r="AJ3981" s="1"/>
      <c r="AK3981" s="1" t="s">
        <v>12114</v>
      </c>
      <c r="AL3981" s="9">
        <f t="shared" ref="AL3981:AL3994" si="368">IF(AA3981&lt;&gt;AB3981,1,0)</f>
        <v>1</v>
      </c>
    </row>
    <row r="3982" spans="1:38" ht="15" x14ac:dyDescent="0.25">
      <c r="A3982" s="1" t="s">
        <v>12115</v>
      </c>
      <c r="B3982" s="1" t="s">
        <v>12116</v>
      </c>
      <c r="C3982" s="1" t="s">
        <v>186</v>
      </c>
      <c r="D3982" s="1" t="s">
        <v>186</v>
      </c>
      <c r="E3982" s="6">
        <v>21.53</v>
      </c>
      <c r="F3982" s="1" t="s">
        <v>53</v>
      </c>
      <c r="G3982" s="6">
        <f ca="1">IFERROR(__xludf.DUMMYFUNCTION("iferror(GOOGLEFINANCE(TRIM(F3982)&amp;"":"" &amp; TRIM(B3982), ""price""),0
)"),0)</f>
        <v>0</v>
      </c>
      <c r="H3982" s="6">
        <v>2.85</v>
      </c>
      <c r="I3982" s="6">
        <f t="shared" ca="1" si="0"/>
        <v>2.85</v>
      </c>
      <c r="J3982" s="6">
        <f ca="1">IFERROR(__xludf.DUMMYFUNCTION("IFERROR(GOOGLEFINANCE(B3982, ""volume""), 0)"),0)</f>
        <v>0</v>
      </c>
      <c r="K3982" s="6">
        <v>-1.38</v>
      </c>
      <c r="L3982" s="6">
        <f ca="1">IFERROR(__xludf.DUMMYFUNCTION("IFERROR(GOOGLEFINANCE(B3982,""changepct""),K3982)"),-1.38)</f>
        <v>-1.38</v>
      </c>
      <c r="M3982" s="6">
        <f ca="1">IFERROR(__xludf.DUMMYFUNCTION("IFERROR(GOOGLEFINANCE(B3982,""change""),0)"),0)</f>
        <v>0</v>
      </c>
      <c r="N3982" s="6">
        <v>2</v>
      </c>
      <c r="O3982" s="7">
        <v>45536</v>
      </c>
      <c r="P3982" s="6">
        <v>562.9</v>
      </c>
      <c r="Q3982" s="6">
        <v>583.45000000000005</v>
      </c>
      <c r="R3982" s="7">
        <v>45536</v>
      </c>
      <c r="S3982" s="6">
        <v>0</v>
      </c>
      <c r="T3982" s="6">
        <v>-2.17</v>
      </c>
      <c r="U3982" s="7">
        <v>45536</v>
      </c>
      <c r="V3982" s="6">
        <v>0</v>
      </c>
      <c r="W3982" s="6">
        <f ca="1">IFERROR(__xludf.DUMMYFUNCTION("IFERROR(GOOGLEFINANCE(B3982,""pe""),V3982)"),0)</f>
        <v>0</v>
      </c>
      <c r="X3982" s="6">
        <v>0</v>
      </c>
      <c r="Y3982" s="6">
        <v>-0.09</v>
      </c>
      <c r="Z3982" s="6">
        <v>2</v>
      </c>
      <c r="AA3982" s="8">
        <v>45352</v>
      </c>
      <c r="AB3982" s="4">
        <v>-2.35</v>
      </c>
      <c r="AC3982" s="6">
        <v>0</v>
      </c>
      <c r="AD3982" s="6">
        <v>-1.46</v>
      </c>
      <c r="AE3982" s="1">
        <v>0</v>
      </c>
      <c r="AF3982" s="1">
        <f ca="1">IFERROR(__xludf.DUMMYFUNCTION("IFERROR(GOOGLEFINANCE(TRIM(F3982)&amp;"":"" &amp; TRIM(B3982),""high52""),AE3982)"),0)</f>
        <v>0</v>
      </c>
      <c r="AG3982" s="1">
        <v>0</v>
      </c>
      <c r="AH3982" s="1">
        <f ca="1">IFERROR(__xludf.DUMMYFUNCTION("IFERROR(GOOGLEFINANCE(TRIM(F3982)&amp;"":"" &amp; TRIM(B3982),""low52""),AE3982)"),0)</f>
        <v>0</v>
      </c>
      <c r="AI3982" s="1">
        <f ca="1">IFERROR(__xludf.DUMMYFUNCTION("IFERROR(GOOGLEFINANCE(B3982,""eps""),0)"),0)</f>
        <v>0</v>
      </c>
      <c r="AJ3982" s="1"/>
      <c r="AK3982" s="1" t="s">
        <v>12117</v>
      </c>
      <c r="AL3982" s="9">
        <f t="shared" si="368"/>
        <v>1</v>
      </c>
    </row>
    <row r="3983" spans="1:38" ht="15" x14ac:dyDescent="0.25">
      <c r="A3983" s="1" t="s">
        <v>12118</v>
      </c>
      <c r="B3983" s="1" t="s">
        <v>12119</v>
      </c>
      <c r="C3983" s="1" t="s">
        <v>82</v>
      </c>
      <c r="D3983" s="1" t="s">
        <v>82</v>
      </c>
      <c r="E3983" s="6">
        <v>3858.26</v>
      </c>
      <c r="F3983" s="1" t="s">
        <v>40</v>
      </c>
      <c r="G3983" s="6">
        <f ca="1">IFERROR(__xludf.DUMMYFUNCTION("iferror(GOOGLEFINANCE(TRIM(F3983)&amp;"":"" &amp; TRIM(B3983), ""price""),0
)"),460)</f>
        <v>460</v>
      </c>
      <c r="H3983" s="6">
        <v>534.29999999999995</v>
      </c>
      <c r="I3983" s="6">
        <f t="shared" ca="1" si="0"/>
        <v>460</v>
      </c>
      <c r="J3983" s="6">
        <f ca="1">IFERROR(__xludf.DUMMYFUNCTION("IFERROR(GOOGLEFINANCE(B3983, ""volume""), 0)"),7551)</f>
        <v>7551</v>
      </c>
      <c r="K3983" s="6">
        <v>0.27</v>
      </c>
      <c r="L3983" s="6">
        <f ca="1">IFERROR(__xludf.DUMMYFUNCTION("IFERROR(GOOGLEFINANCE(B3983,""changepct""),K3983)"),0.39)</f>
        <v>0.39</v>
      </c>
      <c r="M3983" s="6">
        <f ca="1">IFERROR(__xludf.DUMMYFUNCTION("IFERROR(GOOGLEFINANCE(B3983,""change""),0)"),1.8)</f>
        <v>1.8</v>
      </c>
      <c r="N3983" s="6">
        <v>2</v>
      </c>
      <c r="O3983" s="7">
        <v>45536</v>
      </c>
      <c r="P3983" s="6">
        <v>6955.7</v>
      </c>
      <c r="Q3983" s="6">
        <v>9770.89</v>
      </c>
      <c r="R3983" s="7">
        <v>45536</v>
      </c>
      <c r="S3983" s="6">
        <v>14223.06</v>
      </c>
      <c r="T3983" s="6">
        <v>-491.08</v>
      </c>
      <c r="U3983" s="7">
        <v>45536</v>
      </c>
      <c r="V3983" s="6">
        <v>0</v>
      </c>
      <c r="W3983" s="6">
        <f ca="1">IFERROR(__xludf.DUMMYFUNCTION("IFERROR(GOOGLEFINANCE(B3983,""pe""),V3983)"),8.52)</f>
        <v>8.52</v>
      </c>
      <c r="X3983" s="6">
        <v>0</v>
      </c>
      <c r="Y3983" s="6">
        <v>0.54</v>
      </c>
      <c r="Z3983" s="6">
        <v>2</v>
      </c>
      <c r="AA3983" s="8">
        <v>45352</v>
      </c>
      <c r="AB3983" s="4">
        <v>0.93</v>
      </c>
      <c r="AC3983" s="6">
        <v>-9.4</v>
      </c>
      <c r="AD3983" s="6">
        <v>-0.1</v>
      </c>
      <c r="AE3983" s="1">
        <v>0</v>
      </c>
      <c r="AF3983" s="1">
        <f ca="1">IFERROR(__xludf.DUMMYFUNCTION("IFERROR(GOOGLEFINANCE(TRIM(F3983)&amp;"":"" &amp; TRIM(B3983),""high52""),AE3983)"),685.6)</f>
        <v>685.6</v>
      </c>
      <c r="AG3983" s="1">
        <v>0</v>
      </c>
      <c r="AH3983" s="1">
        <f ca="1">IFERROR(__xludf.DUMMYFUNCTION("IFERROR(GOOGLEFINANCE(TRIM(F3983)&amp;"":"" &amp; TRIM(B3983),""low52""),AE3983)"),438)</f>
        <v>438</v>
      </c>
      <c r="AI3983" s="1">
        <f ca="1">IFERROR(__xludf.DUMMYFUNCTION("IFERROR(GOOGLEFINANCE(B3983,""eps""),0)"),53.96)</f>
        <v>53.96</v>
      </c>
      <c r="AJ3983" s="1"/>
      <c r="AK3983" s="1" t="s">
        <v>12120</v>
      </c>
      <c r="AL3983" s="9">
        <f t="shared" si="368"/>
        <v>1</v>
      </c>
    </row>
    <row r="3984" spans="1:38" ht="15" x14ac:dyDescent="0.25">
      <c r="A3984" s="1" t="s">
        <v>12121</v>
      </c>
      <c r="B3984" s="1" t="s">
        <v>12122</v>
      </c>
      <c r="C3984" s="1" t="s">
        <v>186</v>
      </c>
      <c r="D3984" s="1" t="s">
        <v>186</v>
      </c>
      <c r="E3984" s="6">
        <v>82.5</v>
      </c>
      <c r="F3984" s="1" t="s">
        <v>53</v>
      </c>
      <c r="G3984" s="6">
        <f ca="1">IFERROR(__xludf.DUMMYFUNCTION("iferror(GOOGLEFINANCE(TRIM(F3984)&amp;"":"" &amp; TRIM(B3984), ""price""),0
)"),0)</f>
        <v>0</v>
      </c>
      <c r="H3984" s="6">
        <v>165</v>
      </c>
      <c r="I3984" s="6">
        <f t="shared" ca="1" si="0"/>
        <v>165</v>
      </c>
      <c r="J3984" s="6">
        <f ca="1">IFERROR(__xludf.DUMMYFUNCTION("IFERROR(GOOGLEFINANCE(B3984, ""volume""), 0)"),0)</f>
        <v>0</v>
      </c>
      <c r="K3984" s="9"/>
      <c r="L3984" s="6" t="str">
        <f ca="1">IFERROR(__xludf.DUMMYFUNCTION("IFERROR(GOOGLEFINANCE(B3984,""changepct""),K3984)"),"")</f>
        <v/>
      </c>
      <c r="M3984" s="6">
        <f ca="1">IFERROR(__xludf.DUMMYFUNCTION("IFERROR(GOOGLEFINANCE(B3984,""change""),0)"),0)</f>
        <v>0</v>
      </c>
      <c r="N3984" s="6">
        <v>1</v>
      </c>
      <c r="O3984" s="7">
        <v>45536</v>
      </c>
      <c r="P3984" s="6">
        <v>10.51</v>
      </c>
      <c r="Q3984" s="6">
        <v>92.2</v>
      </c>
      <c r="R3984" s="7">
        <v>45536</v>
      </c>
      <c r="S3984" s="6">
        <v>70.290000000000006</v>
      </c>
      <c r="T3984" s="6">
        <v>5.75</v>
      </c>
      <c r="U3984" s="7">
        <v>45536</v>
      </c>
      <c r="V3984" s="6">
        <v>14.35</v>
      </c>
      <c r="W3984" s="6">
        <f ca="1">IFERROR(__xludf.DUMMYFUNCTION("IFERROR(GOOGLEFINANCE(B3984,""pe""),V3984)"),14.35)</f>
        <v>14.35</v>
      </c>
      <c r="X3984" s="6">
        <v>0.41</v>
      </c>
      <c r="Y3984" s="6">
        <v>3.5</v>
      </c>
      <c r="Z3984" s="6">
        <v>1</v>
      </c>
      <c r="AA3984" s="8">
        <v>45352</v>
      </c>
      <c r="AB3984" s="4">
        <v>0.28000000000000003</v>
      </c>
      <c r="AC3984" s="6">
        <v>27.22</v>
      </c>
      <c r="AD3984" s="6">
        <v>29.85</v>
      </c>
      <c r="AE3984" s="1">
        <v>0</v>
      </c>
      <c r="AF3984" s="1">
        <f ca="1">IFERROR(__xludf.DUMMYFUNCTION("IFERROR(GOOGLEFINANCE(TRIM(F3984)&amp;"":"" &amp; TRIM(B3984),""high52""),AE3984)"),0)</f>
        <v>0</v>
      </c>
      <c r="AG3984" s="1">
        <v>0</v>
      </c>
      <c r="AH3984" s="1">
        <f ca="1">IFERROR(__xludf.DUMMYFUNCTION("IFERROR(GOOGLEFINANCE(TRIM(F3984)&amp;"":"" &amp; TRIM(B3984),""low52""),AE3984)"),0)</f>
        <v>0</v>
      </c>
      <c r="AI3984" s="1">
        <f ca="1">IFERROR(__xludf.DUMMYFUNCTION("IFERROR(GOOGLEFINANCE(B3984,""eps""),0)"),0)</f>
        <v>0</v>
      </c>
      <c r="AJ3984" s="1"/>
      <c r="AK3984" s="1" t="s">
        <v>12123</v>
      </c>
      <c r="AL3984" s="9">
        <f t="shared" si="368"/>
        <v>1</v>
      </c>
    </row>
    <row r="3985" spans="1:38" ht="15" x14ac:dyDescent="0.25">
      <c r="A3985" s="1" t="s">
        <v>12124</v>
      </c>
      <c r="B3985" s="1" t="s">
        <v>12125</v>
      </c>
      <c r="C3985" s="1" t="s">
        <v>1229</v>
      </c>
      <c r="D3985" s="1" t="s">
        <v>1229</v>
      </c>
      <c r="E3985" s="6">
        <v>402.33</v>
      </c>
      <c r="F3985" s="1" t="s">
        <v>40</v>
      </c>
      <c r="G3985" s="6">
        <f ca="1">IFERROR(__xludf.DUMMYFUNCTION("iferror(GOOGLEFINANCE(TRIM(F3985)&amp;"":"" &amp; TRIM(B3985), ""price""),0
)"),73.75)</f>
        <v>73.75</v>
      </c>
      <c r="H3985" s="6">
        <v>105.48</v>
      </c>
      <c r="I3985" s="6">
        <f t="shared" ca="1" si="0"/>
        <v>73.75</v>
      </c>
      <c r="J3985" s="6">
        <f ca="1">IFERROR(__xludf.DUMMYFUNCTION("IFERROR(GOOGLEFINANCE(B3985, ""volume""), 0)"),4886)</f>
        <v>4886</v>
      </c>
      <c r="K3985" s="6">
        <v>1.58</v>
      </c>
      <c r="L3985" s="6">
        <f ca="1">IFERROR(__xludf.DUMMYFUNCTION("IFERROR(GOOGLEFINANCE(B3985,""changepct""),K3985)"),-3.57)</f>
        <v>-3.57</v>
      </c>
      <c r="M3985" s="6">
        <f ca="1">IFERROR(__xludf.DUMMYFUNCTION("IFERROR(GOOGLEFINANCE(B3985,""change""),0)"),-1.68)</f>
        <v>-1.68</v>
      </c>
      <c r="N3985" s="6">
        <v>2</v>
      </c>
      <c r="O3985" s="7">
        <v>45536</v>
      </c>
      <c r="P3985" s="6">
        <v>58.88</v>
      </c>
      <c r="Q3985" s="6">
        <v>369.33</v>
      </c>
      <c r="R3985" s="7">
        <v>45536</v>
      </c>
      <c r="S3985" s="6">
        <v>427.46</v>
      </c>
      <c r="T3985" s="6">
        <v>3.84</v>
      </c>
      <c r="U3985" s="7">
        <v>45536</v>
      </c>
      <c r="V3985" s="6">
        <v>72.099999999999994</v>
      </c>
      <c r="W3985" s="6">
        <f ca="1">IFERROR(__xludf.DUMMYFUNCTION("IFERROR(GOOGLEFINANCE(B3985,""pe""),V3985)"),72.1)</f>
        <v>72.099999999999994</v>
      </c>
      <c r="X3985" s="6">
        <v>-3.05</v>
      </c>
      <c r="Y3985" s="6">
        <v>1.42</v>
      </c>
      <c r="Z3985" s="6">
        <v>2</v>
      </c>
      <c r="AA3985" s="8">
        <v>45352</v>
      </c>
      <c r="AB3985" s="4">
        <v>0.18</v>
      </c>
      <c r="AC3985" s="6">
        <v>5.93</v>
      </c>
      <c r="AD3985" s="6">
        <v>10.28</v>
      </c>
      <c r="AE3985" s="1">
        <v>0</v>
      </c>
      <c r="AF3985" s="1">
        <f ca="1">IFERROR(__xludf.DUMMYFUNCTION("IFERROR(GOOGLEFINANCE(TRIM(F3985)&amp;"":"" &amp; TRIM(B3985),""high52""),AE3985)"),92.97)</f>
        <v>92.97</v>
      </c>
      <c r="AG3985" s="1">
        <v>0</v>
      </c>
      <c r="AH3985" s="1">
        <f ca="1">IFERROR(__xludf.DUMMYFUNCTION("IFERROR(GOOGLEFINANCE(TRIM(F3985)&amp;"":"" &amp; TRIM(B3985),""low52""),AE3985)"),59.95)</f>
        <v>59.95</v>
      </c>
      <c r="AI3985" s="1">
        <f ca="1">IFERROR(__xludf.DUMMYFUNCTION("IFERROR(GOOGLEFINANCE(B3985,""eps""),0)"),0)</f>
        <v>0</v>
      </c>
      <c r="AJ3985" s="1"/>
      <c r="AK3985" s="1" t="s">
        <v>12126</v>
      </c>
      <c r="AL3985" s="9">
        <f t="shared" si="368"/>
        <v>1</v>
      </c>
    </row>
    <row r="3986" spans="1:38" ht="15" x14ac:dyDescent="0.25">
      <c r="A3986" s="1" t="s">
        <v>12127</v>
      </c>
      <c r="B3986" s="1" t="s">
        <v>12128</v>
      </c>
      <c r="C3986" s="1" t="s">
        <v>186</v>
      </c>
      <c r="D3986" s="1" t="s">
        <v>186</v>
      </c>
      <c r="E3986" s="6">
        <v>15.73</v>
      </c>
      <c r="F3986" s="1" t="s">
        <v>53</v>
      </c>
      <c r="G3986" s="6">
        <f ca="1">IFERROR(__xludf.DUMMYFUNCTION("iferror(GOOGLEFINANCE(TRIM(F3986)&amp;"":"" &amp; TRIM(B3986), ""price""),0
)"),0)</f>
        <v>0</v>
      </c>
      <c r="H3986" s="6">
        <v>21</v>
      </c>
      <c r="I3986" s="6">
        <f t="shared" ca="1" si="0"/>
        <v>21</v>
      </c>
      <c r="J3986" s="6">
        <f ca="1">IFERROR(__xludf.DUMMYFUNCTION("IFERROR(GOOGLEFINANCE(B3986, ""volume""), 0)"),0)</f>
        <v>0</v>
      </c>
      <c r="K3986" s="6">
        <v>0</v>
      </c>
      <c r="L3986" s="6">
        <f ca="1">IFERROR(__xludf.DUMMYFUNCTION("IFERROR(GOOGLEFINANCE(B3986,""changepct""),K3986)"),0)</f>
        <v>0</v>
      </c>
      <c r="M3986" s="6">
        <f ca="1">IFERROR(__xludf.DUMMYFUNCTION("IFERROR(GOOGLEFINANCE(B3986,""change""),0)"),0)</f>
        <v>0</v>
      </c>
      <c r="N3986" s="6">
        <v>1</v>
      </c>
      <c r="O3986" s="7">
        <v>45536</v>
      </c>
      <c r="P3986" s="6">
        <v>22.89</v>
      </c>
      <c r="Q3986" s="6">
        <v>38.619999999999997</v>
      </c>
      <c r="R3986" s="7">
        <v>45536</v>
      </c>
      <c r="S3986" s="6">
        <v>29.38</v>
      </c>
      <c r="T3986" s="6">
        <v>0.13</v>
      </c>
      <c r="U3986" s="7">
        <v>45536</v>
      </c>
      <c r="V3986" s="6">
        <v>121.94</v>
      </c>
      <c r="W3986" s="6">
        <f ca="1">IFERROR(__xludf.DUMMYFUNCTION("IFERROR(GOOGLEFINANCE(B3986,""pe""),V3986)"),121.94)</f>
        <v>121.94</v>
      </c>
      <c r="X3986" s="9"/>
      <c r="Y3986" s="6">
        <v>0.45</v>
      </c>
      <c r="Z3986" s="6">
        <v>1</v>
      </c>
      <c r="AA3986" s="8">
        <v>45352</v>
      </c>
      <c r="AB3986" s="4">
        <v>0.69</v>
      </c>
      <c r="AC3986" s="6">
        <v>-0.6</v>
      </c>
      <c r="AD3986" s="6">
        <v>3.86</v>
      </c>
      <c r="AE3986" s="1">
        <v>0</v>
      </c>
      <c r="AF3986" s="1">
        <f ca="1">IFERROR(__xludf.DUMMYFUNCTION("IFERROR(GOOGLEFINANCE(TRIM(F3986)&amp;"":"" &amp; TRIM(B3986),""high52""),AE3986)"),0)</f>
        <v>0</v>
      </c>
      <c r="AG3986" s="1">
        <v>0</v>
      </c>
      <c r="AH3986" s="1">
        <f ca="1">IFERROR(__xludf.DUMMYFUNCTION("IFERROR(GOOGLEFINANCE(TRIM(F3986)&amp;"":"" &amp; TRIM(B3986),""low52""),AE3986)"),0)</f>
        <v>0</v>
      </c>
      <c r="AI3986" s="1">
        <f ca="1">IFERROR(__xludf.DUMMYFUNCTION("IFERROR(GOOGLEFINANCE(B3986,""eps""),0)"),0)</f>
        <v>0</v>
      </c>
      <c r="AJ3986" s="1"/>
      <c r="AK3986" s="1" t="s">
        <v>12129</v>
      </c>
      <c r="AL3986" s="9">
        <f t="shared" si="368"/>
        <v>1</v>
      </c>
    </row>
    <row r="3987" spans="1:38" ht="15" x14ac:dyDescent="0.25">
      <c r="A3987" s="1" t="s">
        <v>12130</v>
      </c>
      <c r="B3987" s="1" t="s">
        <v>12131</v>
      </c>
      <c r="C3987" s="1" t="s">
        <v>208</v>
      </c>
      <c r="D3987" s="1" t="s">
        <v>208</v>
      </c>
      <c r="E3987" s="6">
        <v>2152.08</v>
      </c>
      <c r="F3987" s="1" t="s">
        <v>40</v>
      </c>
      <c r="G3987" s="6">
        <f ca="1">IFERROR(__xludf.DUMMYFUNCTION("iferror(GOOGLEFINANCE(TRIM(F3987)&amp;"":"" &amp; TRIM(B3987), ""price""),0
)"),148.12)</f>
        <v>148.12</v>
      </c>
      <c r="H3987" s="6">
        <v>234.3</v>
      </c>
      <c r="I3987" s="6">
        <f t="shared" ca="1" si="0"/>
        <v>148.12</v>
      </c>
      <c r="J3987" s="6">
        <f ca="1">IFERROR(__xludf.DUMMYFUNCTION("IFERROR(GOOGLEFINANCE(B3987, ""volume""), 0)"),629085)</f>
        <v>629085</v>
      </c>
      <c r="K3987" s="6">
        <v>1.47</v>
      </c>
      <c r="L3987" s="6">
        <f ca="1">IFERROR(__xludf.DUMMYFUNCTION("IFERROR(GOOGLEFINANCE(B3987,""changepct""),K3987)"),0.84)</f>
        <v>0.84</v>
      </c>
      <c r="M3987" s="6">
        <f ca="1">IFERROR(__xludf.DUMMYFUNCTION("IFERROR(GOOGLEFINANCE(B3987,""change""),0)"),1.24)</f>
        <v>1.24</v>
      </c>
      <c r="N3987" s="6">
        <v>1</v>
      </c>
      <c r="O3987" s="7">
        <v>45536</v>
      </c>
      <c r="P3987" s="6">
        <v>131.1</v>
      </c>
      <c r="Q3987" s="7">
        <v>45536</v>
      </c>
      <c r="R3987" s="6">
        <v>16.420000000000002</v>
      </c>
      <c r="S3987" s="6">
        <v>0.3</v>
      </c>
      <c r="T3987" s="6">
        <v>1.1000000000000001</v>
      </c>
      <c r="U3987" s="6">
        <v>1</v>
      </c>
      <c r="V3987" s="7">
        <v>45352</v>
      </c>
      <c r="W3987" s="6">
        <f ca="1">IFERROR(__xludf.DUMMYFUNCTION("IFERROR(GOOGLEFINANCE(B3987,""pe""),V3987)"),10.49)</f>
        <v>10.49</v>
      </c>
      <c r="X3987" s="6">
        <v>3.25</v>
      </c>
      <c r="Y3987" s="6">
        <v>9.9</v>
      </c>
      <c r="Z3987" s="6">
        <v>12.16</v>
      </c>
      <c r="AA3987" s="3" t="s">
        <v>12132</v>
      </c>
      <c r="AB3987" s="4"/>
      <c r="AC3987" s="12"/>
      <c r="AD3987" s="12"/>
      <c r="AE3987" s="1">
        <v>0</v>
      </c>
      <c r="AF3987" s="1">
        <f ca="1">IFERROR(__xludf.DUMMYFUNCTION("IFERROR(GOOGLEFINANCE(TRIM(F3987)&amp;"":"" &amp; TRIM(B3987),""high52""),AE3987)"),195.96)</f>
        <v>195.96</v>
      </c>
      <c r="AG3987" s="1">
        <v>0</v>
      </c>
      <c r="AH3987" s="1">
        <f ca="1">IFERROR(__xludf.DUMMYFUNCTION("IFERROR(GOOGLEFINANCE(TRIM(F3987)&amp;"":"" &amp; TRIM(B3987),""low52""),AE3987)"),139.12)</f>
        <v>139.12</v>
      </c>
      <c r="AI3987" s="1">
        <f ca="1">IFERROR(__xludf.DUMMYFUNCTION("IFERROR(GOOGLEFINANCE(B3987,""eps""),0)"),14.11)</f>
        <v>14.11</v>
      </c>
      <c r="AJ3987" s="1"/>
      <c r="AK3987" s="9"/>
      <c r="AL3987" s="9">
        <f t="shared" si="368"/>
        <v>1</v>
      </c>
    </row>
    <row r="3988" spans="1:38" ht="15" x14ac:dyDescent="0.25">
      <c r="A3988" s="1" t="s">
        <v>12133</v>
      </c>
      <c r="B3988" s="1" t="s">
        <v>12134</v>
      </c>
      <c r="C3988" s="1" t="s">
        <v>186</v>
      </c>
      <c r="D3988" s="1" t="s">
        <v>186</v>
      </c>
      <c r="E3988" s="6">
        <v>182.18</v>
      </c>
      <c r="F3988" s="1" t="s">
        <v>53</v>
      </c>
      <c r="G3988" s="6">
        <f ca="1">IFERROR(__xludf.DUMMYFUNCTION("iferror(GOOGLEFINANCE(TRIM(F3988)&amp;"":"" &amp; TRIM(B3988), ""price""),0
)"),0)</f>
        <v>0</v>
      </c>
      <c r="H3988" s="6">
        <v>20.98</v>
      </c>
      <c r="I3988" s="6">
        <f t="shared" ca="1" si="0"/>
        <v>20.98</v>
      </c>
      <c r="J3988" s="6">
        <f ca="1">IFERROR(__xludf.DUMMYFUNCTION("IFERROR(GOOGLEFINANCE(B3988, ""volume""), 0)"),0)</f>
        <v>0</v>
      </c>
      <c r="K3988" s="6">
        <v>2.84</v>
      </c>
      <c r="L3988" s="6">
        <f ca="1">IFERROR(__xludf.DUMMYFUNCTION("IFERROR(GOOGLEFINANCE(B3988,""changepct""),K3988)"),2.84)</f>
        <v>2.84</v>
      </c>
      <c r="M3988" s="6">
        <f ca="1">IFERROR(__xludf.DUMMYFUNCTION("IFERROR(GOOGLEFINANCE(B3988,""change""),0)"),0)</f>
        <v>0</v>
      </c>
      <c r="N3988" s="6">
        <v>1</v>
      </c>
      <c r="O3988" s="7">
        <v>45536</v>
      </c>
      <c r="P3988" s="6">
        <v>147.87</v>
      </c>
      <c r="Q3988" s="6">
        <v>328.87</v>
      </c>
      <c r="R3988" s="7">
        <v>45536</v>
      </c>
      <c r="S3988" s="6">
        <v>332.15</v>
      </c>
      <c r="T3988" s="6">
        <v>4.05</v>
      </c>
      <c r="U3988" s="7">
        <v>45536</v>
      </c>
      <c r="V3988" s="6">
        <v>45.02</v>
      </c>
      <c r="W3988" s="6">
        <f ca="1">IFERROR(__xludf.DUMMYFUNCTION("IFERROR(GOOGLEFINANCE(B3988,""pe""),V3988)"),45.02)</f>
        <v>45.02</v>
      </c>
      <c r="X3988" s="6">
        <v>225.08</v>
      </c>
      <c r="Y3988" s="6">
        <v>1.81</v>
      </c>
      <c r="Z3988" s="6">
        <v>1</v>
      </c>
      <c r="AA3988" s="8">
        <v>45352</v>
      </c>
      <c r="AB3988" s="4">
        <v>1.35</v>
      </c>
      <c r="AC3988" s="6">
        <v>4.1399999999999997</v>
      </c>
      <c r="AD3988" s="6">
        <v>9.2200000000000006</v>
      </c>
      <c r="AE3988" s="1">
        <v>0</v>
      </c>
      <c r="AF3988" s="1">
        <f ca="1">IFERROR(__xludf.DUMMYFUNCTION("IFERROR(GOOGLEFINANCE(TRIM(F3988)&amp;"":"" &amp; TRIM(B3988),""high52""),AE3988)"),0)</f>
        <v>0</v>
      </c>
      <c r="AG3988" s="1">
        <v>0</v>
      </c>
      <c r="AH3988" s="1">
        <f ca="1">IFERROR(__xludf.DUMMYFUNCTION("IFERROR(GOOGLEFINANCE(TRIM(F3988)&amp;"":"" &amp; TRIM(B3988),""low52""),AE3988)"),0)</f>
        <v>0</v>
      </c>
      <c r="AI3988" s="1">
        <f ca="1">IFERROR(__xludf.DUMMYFUNCTION("IFERROR(GOOGLEFINANCE(B3988,""eps""),0)"),0)</f>
        <v>0</v>
      </c>
      <c r="AJ3988" s="1"/>
      <c r="AK3988" s="1" t="s">
        <v>12135</v>
      </c>
      <c r="AL3988" s="9">
        <f t="shared" si="368"/>
        <v>1</v>
      </c>
    </row>
    <row r="3989" spans="1:38" ht="15" x14ac:dyDescent="0.25">
      <c r="A3989" s="1" t="s">
        <v>12136</v>
      </c>
      <c r="B3989" s="1" t="s">
        <v>12137</v>
      </c>
      <c r="C3989" s="1" t="s">
        <v>125</v>
      </c>
      <c r="D3989" s="1" t="s">
        <v>125</v>
      </c>
      <c r="E3989" s="6">
        <v>5880.99</v>
      </c>
      <c r="F3989" s="1" t="s">
        <v>40</v>
      </c>
      <c r="G3989" s="6">
        <f ca="1">IFERROR(__xludf.DUMMYFUNCTION("iferror(GOOGLEFINANCE(TRIM(F3989)&amp;"":"" &amp; TRIM(B3989), ""price""),0
)"),129.73)</f>
        <v>129.72999999999999</v>
      </c>
      <c r="H3989" s="6">
        <v>547.70000000000005</v>
      </c>
      <c r="I3989" s="6">
        <f t="shared" ca="1" si="0"/>
        <v>129.72999999999999</v>
      </c>
      <c r="J3989" s="6">
        <f ca="1">IFERROR(__xludf.DUMMYFUNCTION("IFERROR(GOOGLEFINANCE(B3989, ""volume""), 0)"),4146)</f>
        <v>4146</v>
      </c>
      <c r="K3989" s="12"/>
      <c r="L3989" s="6">
        <f ca="1">IFERROR(__xludf.DUMMYFUNCTION("IFERROR(GOOGLEFINANCE(B3989,""changepct""),K3989)"),4.99)</f>
        <v>4.99</v>
      </c>
      <c r="M3989" s="6">
        <f ca="1">IFERROR(__xludf.DUMMYFUNCTION("IFERROR(GOOGLEFINANCE(B3989,""change""),0)"),6.17)</f>
        <v>6.17</v>
      </c>
      <c r="N3989" s="6">
        <v>1</v>
      </c>
      <c r="O3989" s="7">
        <v>45536</v>
      </c>
      <c r="P3989" s="6">
        <v>18.510000000000002</v>
      </c>
      <c r="Q3989" s="6">
        <v>5895.52</v>
      </c>
      <c r="R3989" s="7">
        <v>45536</v>
      </c>
      <c r="S3989" s="6">
        <v>23.68</v>
      </c>
      <c r="T3989" s="6">
        <v>45.92</v>
      </c>
      <c r="U3989" s="7">
        <v>45536</v>
      </c>
      <c r="V3989" s="6">
        <v>128.07</v>
      </c>
      <c r="W3989" s="6">
        <f ca="1">IFERROR(__xludf.DUMMYFUNCTION("IFERROR(GOOGLEFINANCE(B3989,""pe""),V3989)"),3476.15)</f>
        <v>3476.15</v>
      </c>
      <c r="X3989" s="12"/>
      <c r="Y3989" s="6">
        <v>72.37</v>
      </c>
      <c r="Z3989" s="6">
        <v>1</v>
      </c>
      <c r="AA3989" s="8">
        <v>45352</v>
      </c>
      <c r="AB3989" s="4">
        <v>0.21</v>
      </c>
      <c r="AC3989" s="6">
        <v>41.71</v>
      </c>
      <c r="AD3989" s="6">
        <v>6.79</v>
      </c>
      <c r="AE3989" s="1">
        <v>0</v>
      </c>
      <c r="AF3989" s="1">
        <f ca="1">IFERROR(__xludf.DUMMYFUNCTION("IFERROR(GOOGLEFINANCE(TRIM(F3989)&amp;"":"" &amp; TRIM(B3989),""high52""),AE3989)"),157.66)</f>
        <v>157.66</v>
      </c>
      <c r="AG3989" s="1">
        <v>0</v>
      </c>
      <c r="AH3989" s="1">
        <f ca="1">IFERROR(__xludf.DUMMYFUNCTION("IFERROR(GOOGLEFINANCE(TRIM(F3989)&amp;"":"" &amp; TRIM(B3989),""low52""),AE3989)"),72.27)</f>
        <v>72.27</v>
      </c>
      <c r="AI3989" s="1">
        <f ca="1">IFERROR(__xludf.DUMMYFUNCTION("IFERROR(GOOGLEFINANCE(B3989,""eps""),0)"),0.04)</f>
        <v>0.04</v>
      </c>
      <c r="AJ3989" s="1"/>
      <c r="AK3989" s="1" t="s">
        <v>12138</v>
      </c>
      <c r="AL3989" s="9">
        <f t="shared" si="368"/>
        <v>1</v>
      </c>
    </row>
    <row r="3990" spans="1:38" ht="15" x14ac:dyDescent="0.25">
      <c r="A3990" s="1" t="s">
        <v>12139</v>
      </c>
      <c r="B3990" s="1" t="s">
        <v>12140</v>
      </c>
      <c r="C3990" s="1" t="s">
        <v>186</v>
      </c>
      <c r="D3990" s="1" t="s">
        <v>186</v>
      </c>
      <c r="E3990" s="6">
        <v>26.32</v>
      </c>
      <c r="F3990" s="1" t="s">
        <v>53</v>
      </c>
      <c r="G3990" s="6">
        <f ca="1">IFERROR(__xludf.DUMMYFUNCTION("iferror(GOOGLEFINANCE(TRIM(F3990)&amp;"":"" &amp; TRIM(B3990), ""price""),0
)"),0)</f>
        <v>0</v>
      </c>
      <c r="H3990" s="6">
        <v>28.4</v>
      </c>
      <c r="I3990" s="6">
        <f t="shared" ca="1" si="0"/>
        <v>28.4</v>
      </c>
      <c r="J3990" s="6">
        <f ca="1">IFERROR(__xludf.DUMMYFUNCTION("IFERROR(GOOGLEFINANCE(B3990, ""volume""), 0)"),0)</f>
        <v>0</v>
      </c>
      <c r="K3990" s="6">
        <v>2.5299999999999998</v>
      </c>
      <c r="L3990" s="6">
        <f ca="1">IFERROR(__xludf.DUMMYFUNCTION("IFERROR(GOOGLEFINANCE(B3990,""changepct""),K3990)"),2.53)</f>
        <v>2.5299999999999998</v>
      </c>
      <c r="M3990" s="6">
        <f ca="1">IFERROR(__xludf.DUMMYFUNCTION("IFERROR(GOOGLEFINANCE(B3990,""change""),0)"),0)</f>
        <v>0</v>
      </c>
      <c r="N3990" s="6">
        <v>1</v>
      </c>
      <c r="O3990" s="7">
        <v>45536</v>
      </c>
      <c r="P3990" s="6">
        <v>57.7</v>
      </c>
      <c r="Q3990" s="6">
        <v>81.900000000000006</v>
      </c>
      <c r="R3990" s="7">
        <v>45536</v>
      </c>
      <c r="S3990" s="6">
        <v>184.39</v>
      </c>
      <c r="T3990" s="6">
        <v>2.1</v>
      </c>
      <c r="U3990" s="7">
        <v>45536</v>
      </c>
      <c r="V3990" s="6">
        <v>12.55</v>
      </c>
      <c r="W3990" s="6">
        <f ca="1">IFERROR(__xludf.DUMMYFUNCTION("IFERROR(GOOGLEFINANCE(B3990,""pe""),V3990)"),12.55)</f>
        <v>12.55</v>
      </c>
      <c r="X3990" s="6">
        <v>1.78</v>
      </c>
      <c r="Y3990" s="6">
        <v>0.77</v>
      </c>
      <c r="Z3990" s="6">
        <v>1</v>
      </c>
      <c r="AA3990" s="8">
        <v>45352</v>
      </c>
      <c r="AB3990" s="4">
        <v>1.75</v>
      </c>
      <c r="AC3990" s="6">
        <v>6.02</v>
      </c>
      <c r="AD3990" s="6">
        <v>11.27</v>
      </c>
      <c r="AE3990" s="1">
        <v>0</v>
      </c>
      <c r="AF3990" s="1">
        <f ca="1">IFERROR(__xludf.DUMMYFUNCTION("IFERROR(GOOGLEFINANCE(TRIM(F3990)&amp;"":"" &amp; TRIM(B3990),""high52""),AE3990)"),0)</f>
        <v>0</v>
      </c>
      <c r="AG3990" s="1">
        <v>0</v>
      </c>
      <c r="AH3990" s="1">
        <f ca="1">IFERROR(__xludf.DUMMYFUNCTION("IFERROR(GOOGLEFINANCE(TRIM(F3990)&amp;"":"" &amp; TRIM(B3990),""low52""),AE3990)"),0)</f>
        <v>0</v>
      </c>
      <c r="AI3990" s="1">
        <f ca="1">IFERROR(__xludf.DUMMYFUNCTION("IFERROR(GOOGLEFINANCE(B3990,""eps""),0)"),0)</f>
        <v>0</v>
      </c>
      <c r="AJ3990" s="1"/>
      <c r="AK3990" s="1" t="s">
        <v>12141</v>
      </c>
      <c r="AL3990" s="9">
        <f t="shared" si="368"/>
        <v>1</v>
      </c>
    </row>
    <row r="3991" spans="1:38" ht="15" x14ac:dyDescent="0.25">
      <c r="A3991" s="1" t="s">
        <v>12142</v>
      </c>
      <c r="B3991" s="1" t="s">
        <v>12143</v>
      </c>
      <c r="C3991" s="1" t="s">
        <v>186</v>
      </c>
      <c r="D3991" s="1" t="s">
        <v>186</v>
      </c>
      <c r="E3991" s="6">
        <v>221.67</v>
      </c>
      <c r="F3991" s="1" t="s">
        <v>53</v>
      </c>
      <c r="G3991" s="6">
        <f ca="1">IFERROR(__xludf.DUMMYFUNCTION("iferror(GOOGLEFINANCE(TRIM(F3991)&amp;"":"" &amp; TRIM(B3991), ""price""),0
)"),0)</f>
        <v>0</v>
      </c>
      <c r="H3991" s="6">
        <v>403.95</v>
      </c>
      <c r="I3991" s="6">
        <f t="shared" ca="1" si="0"/>
        <v>403.95</v>
      </c>
      <c r="J3991" s="6">
        <f ca="1">IFERROR(__xludf.DUMMYFUNCTION("IFERROR(GOOGLEFINANCE(B3991, ""volume""), 0)"),0)</f>
        <v>0</v>
      </c>
      <c r="K3991" s="6">
        <v>2.06</v>
      </c>
      <c r="L3991" s="6">
        <f ca="1">IFERROR(__xludf.DUMMYFUNCTION("IFERROR(GOOGLEFINANCE(B3991,""changepct""),K3991)"),2.06)</f>
        <v>2.06</v>
      </c>
      <c r="M3991" s="6">
        <f ca="1">IFERROR(__xludf.DUMMYFUNCTION("IFERROR(GOOGLEFINANCE(B3991,""change""),0)"),0)</f>
        <v>0</v>
      </c>
      <c r="N3991" s="6">
        <v>2</v>
      </c>
      <c r="O3991" s="7">
        <v>45536</v>
      </c>
      <c r="P3991" s="6">
        <v>24.47</v>
      </c>
      <c r="Q3991" s="6">
        <v>242.82</v>
      </c>
      <c r="R3991" s="7">
        <v>45536</v>
      </c>
      <c r="S3991" s="6">
        <v>99.08</v>
      </c>
      <c r="T3991" s="6">
        <v>43.2</v>
      </c>
      <c r="U3991" s="7">
        <v>45536</v>
      </c>
      <c r="V3991" s="6">
        <v>4.7</v>
      </c>
      <c r="W3991" s="6">
        <f ca="1">IFERROR(__xludf.DUMMYFUNCTION("IFERROR(GOOGLEFINANCE(B3991,""pe""),V3991)"),4.7)</f>
        <v>4.7</v>
      </c>
      <c r="X3991" s="6">
        <v>0.05</v>
      </c>
      <c r="Y3991" s="6">
        <v>1.1599999999999999</v>
      </c>
      <c r="Z3991" s="6">
        <v>2</v>
      </c>
      <c r="AA3991" s="8">
        <v>45352</v>
      </c>
      <c r="AB3991" s="4">
        <v>0.12</v>
      </c>
      <c r="AC3991" s="6">
        <v>26</v>
      </c>
      <c r="AD3991" s="6">
        <v>31.33</v>
      </c>
      <c r="AE3991" s="1">
        <v>0</v>
      </c>
      <c r="AF3991" s="1">
        <f ca="1">IFERROR(__xludf.DUMMYFUNCTION("IFERROR(GOOGLEFINANCE(TRIM(F3991)&amp;"":"" &amp; TRIM(B3991),""high52""),AE3991)"),0)</f>
        <v>0</v>
      </c>
      <c r="AG3991" s="1">
        <v>0</v>
      </c>
      <c r="AH3991" s="1">
        <f ca="1">IFERROR(__xludf.DUMMYFUNCTION("IFERROR(GOOGLEFINANCE(TRIM(F3991)&amp;"":"" &amp; TRIM(B3991),""low52""),AE3991)"),0)</f>
        <v>0</v>
      </c>
      <c r="AI3991" s="1">
        <f ca="1">IFERROR(__xludf.DUMMYFUNCTION("IFERROR(GOOGLEFINANCE(B3991,""eps""),0)"),0)</f>
        <v>0</v>
      </c>
      <c r="AJ3991" s="1"/>
      <c r="AK3991" s="1" t="s">
        <v>12144</v>
      </c>
      <c r="AL3991" s="9">
        <f t="shared" si="368"/>
        <v>1</v>
      </c>
    </row>
    <row r="3992" spans="1:38" ht="15" x14ac:dyDescent="0.25">
      <c r="A3992" s="1" t="s">
        <v>12145</v>
      </c>
      <c r="B3992" s="1" t="s">
        <v>12146</v>
      </c>
      <c r="C3992" s="1" t="s">
        <v>186</v>
      </c>
      <c r="D3992" s="1" t="s">
        <v>186</v>
      </c>
      <c r="E3992" s="6">
        <v>30.01</v>
      </c>
      <c r="F3992" s="1" t="s">
        <v>53</v>
      </c>
      <c r="G3992" s="6">
        <f ca="1">IFERROR(__xludf.DUMMYFUNCTION("iferror(GOOGLEFINANCE(TRIM(F3992)&amp;"":"" &amp; TRIM(B3992), ""price""),0
)"),0)</f>
        <v>0</v>
      </c>
      <c r="H3992" s="6">
        <v>25.01</v>
      </c>
      <c r="I3992" s="6">
        <f t="shared" ca="1" si="0"/>
        <v>25.01</v>
      </c>
      <c r="J3992" s="6">
        <f ca="1">IFERROR(__xludf.DUMMYFUNCTION("IFERROR(GOOGLEFINANCE(B3992, ""volume""), 0)"),0)</f>
        <v>0</v>
      </c>
      <c r="K3992" s="6">
        <v>1.01</v>
      </c>
      <c r="L3992" s="6">
        <f ca="1">IFERROR(__xludf.DUMMYFUNCTION("IFERROR(GOOGLEFINANCE(B3992,""changepct""),K3992)"),1.01)</f>
        <v>1.01</v>
      </c>
      <c r="M3992" s="6">
        <f ca="1">IFERROR(__xludf.DUMMYFUNCTION("IFERROR(GOOGLEFINANCE(B3992,""change""),0)"),0)</f>
        <v>0</v>
      </c>
      <c r="N3992" s="6">
        <v>1</v>
      </c>
      <c r="O3992" s="7">
        <v>45536</v>
      </c>
      <c r="P3992" s="6">
        <v>9.23</v>
      </c>
      <c r="Q3992" s="6">
        <v>39.24</v>
      </c>
      <c r="R3992" s="7">
        <v>45536</v>
      </c>
      <c r="S3992" s="6">
        <v>49.98</v>
      </c>
      <c r="T3992" s="6">
        <v>0.72</v>
      </c>
      <c r="U3992" s="7">
        <v>45536</v>
      </c>
      <c r="V3992" s="6">
        <v>41.92</v>
      </c>
      <c r="W3992" s="6">
        <f ca="1">IFERROR(__xludf.DUMMYFUNCTION("IFERROR(GOOGLEFINANCE(B3992,""pe""),V3992)"),41.92)</f>
        <v>41.92</v>
      </c>
      <c r="X3992" s="6">
        <v>13.31</v>
      </c>
      <c r="Y3992" s="6">
        <v>1.92</v>
      </c>
      <c r="Z3992" s="6">
        <v>1</v>
      </c>
      <c r="AA3992" s="8">
        <v>45352</v>
      </c>
      <c r="AB3992" s="4">
        <v>0.59</v>
      </c>
      <c r="AC3992" s="6">
        <v>5.8</v>
      </c>
      <c r="AD3992" s="6">
        <v>8.5</v>
      </c>
      <c r="AE3992" s="1">
        <v>0</v>
      </c>
      <c r="AF3992" s="1">
        <f ca="1">IFERROR(__xludf.DUMMYFUNCTION("IFERROR(GOOGLEFINANCE(TRIM(F3992)&amp;"":"" &amp; TRIM(B3992),""high52""),AE3992)"),0)</f>
        <v>0</v>
      </c>
      <c r="AG3992" s="1">
        <v>0</v>
      </c>
      <c r="AH3992" s="1">
        <f ca="1">IFERROR(__xludf.DUMMYFUNCTION("IFERROR(GOOGLEFINANCE(TRIM(F3992)&amp;"":"" &amp; TRIM(B3992),""low52""),AE3992)"),0)</f>
        <v>0</v>
      </c>
      <c r="AI3992" s="1">
        <f ca="1">IFERROR(__xludf.DUMMYFUNCTION("IFERROR(GOOGLEFINANCE(B3992,""eps""),0)"),0)</f>
        <v>0</v>
      </c>
      <c r="AJ3992" s="1"/>
      <c r="AK3992" s="1" t="s">
        <v>12147</v>
      </c>
      <c r="AL3992" s="9">
        <f t="shared" si="368"/>
        <v>1</v>
      </c>
    </row>
    <row r="3993" spans="1:38" ht="15" x14ac:dyDescent="0.25">
      <c r="A3993" s="1" t="s">
        <v>12148</v>
      </c>
      <c r="B3993" s="1" t="s">
        <v>12149</v>
      </c>
      <c r="C3993" s="1" t="s">
        <v>186</v>
      </c>
      <c r="D3993" s="1" t="s">
        <v>186</v>
      </c>
      <c r="E3993" s="6">
        <v>7.93</v>
      </c>
      <c r="F3993" s="1" t="s">
        <v>53</v>
      </c>
      <c r="G3993" s="6">
        <f ca="1">IFERROR(__xludf.DUMMYFUNCTION("iferror(GOOGLEFINANCE(TRIM(F3993)&amp;"":"" &amp; TRIM(B3993), ""price""),0
)"),0)</f>
        <v>0</v>
      </c>
      <c r="H3993" s="6">
        <v>23.97</v>
      </c>
      <c r="I3993" s="6">
        <f t="shared" ca="1" si="0"/>
        <v>23.97</v>
      </c>
      <c r="J3993" s="6">
        <f ca="1">IFERROR(__xludf.DUMMYFUNCTION("IFERROR(GOOGLEFINANCE(B3993, ""volume""), 0)"),0)</f>
        <v>0</v>
      </c>
      <c r="K3993" s="9"/>
      <c r="L3993" s="6" t="str">
        <f ca="1">IFERROR(__xludf.DUMMYFUNCTION("IFERROR(GOOGLEFINANCE(B3993,""changepct""),K3993)"),"")</f>
        <v/>
      </c>
      <c r="M3993" s="6">
        <f ca="1">IFERROR(__xludf.DUMMYFUNCTION("IFERROR(GOOGLEFINANCE(B3993,""change""),0)"),0)</f>
        <v>0</v>
      </c>
      <c r="N3993" s="6">
        <v>1</v>
      </c>
      <c r="O3993" s="7">
        <v>45536</v>
      </c>
      <c r="P3993" s="9"/>
      <c r="Q3993" s="6">
        <v>7.6</v>
      </c>
      <c r="R3993" s="7">
        <v>45536</v>
      </c>
      <c r="S3993" s="6">
        <v>0</v>
      </c>
      <c r="T3993" s="6">
        <v>0.01</v>
      </c>
      <c r="U3993" s="7">
        <v>45536</v>
      </c>
      <c r="V3993" s="6">
        <v>0</v>
      </c>
      <c r="W3993" s="6">
        <f ca="1">IFERROR(__xludf.DUMMYFUNCTION("IFERROR(GOOGLEFINANCE(B3993,""pe""),V3993)"),0)</f>
        <v>0</v>
      </c>
      <c r="X3993" s="6">
        <v>0</v>
      </c>
      <c r="Y3993" s="6">
        <v>0.3</v>
      </c>
      <c r="Z3993" s="6">
        <v>1</v>
      </c>
      <c r="AA3993" s="8">
        <v>45352</v>
      </c>
      <c r="AB3993" s="4">
        <v>0</v>
      </c>
      <c r="AC3993" s="6">
        <v>0.05</v>
      </c>
      <c r="AD3993" s="6">
        <v>0.08</v>
      </c>
      <c r="AE3993" s="1">
        <v>0</v>
      </c>
      <c r="AF3993" s="1">
        <f ca="1">IFERROR(__xludf.DUMMYFUNCTION("IFERROR(GOOGLEFINANCE(TRIM(F3993)&amp;"":"" &amp; TRIM(B3993),""high52""),AE3993)"),0)</f>
        <v>0</v>
      </c>
      <c r="AG3993" s="1">
        <v>0</v>
      </c>
      <c r="AH3993" s="1">
        <f ca="1">IFERROR(__xludf.DUMMYFUNCTION("IFERROR(GOOGLEFINANCE(TRIM(F3993)&amp;"":"" &amp; TRIM(B3993),""low52""),AE3993)"),0)</f>
        <v>0</v>
      </c>
      <c r="AI3993" s="1">
        <f ca="1">IFERROR(__xludf.DUMMYFUNCTION("IFERROR(GOOGLEFINANCE(B3993,""eps""),0)"),0)</f>
        <v>0</v>
      </c>
      <c r="AJ3993" s="1"/>
      <c r="AK3993" s="1" t="s">
        <v>12150</v>
      </c>
      <c r="AL3993" s="9">
        <f t="shared" si="368"/>
        <v>1</v>
      </c>
    </row>
    <row r="3994" spans="1:38" ht="15" x14ac:dyDescent="0.25">
      <c r="A3994" s="1" t="s">
        <v>12151</v>
      </c>
      <c r="B3994" s="1" t="s">
        <v>12152</v>
      </c>
      <c r="C3994" s="1" t="s">
        <v>186</v>
      </c>
      <c r="D3994" s="1" t="s">
        <v>186</v>
      </c>
      <c r="E3994" s="6">
        <v>130.83000000000001</v>
      </c>
      <c r="F3994" s="1" t="s">
        <v>53</v>
      </c>
      <c r="G3994" s="6">
        <f ca="1">IFERROR(__xludf.DUMMYFUNCTION("iferror(GOOGLEFINANCE(TRIM(F3994)&amp;"":"" &amp; TRIM(B3994), ""price""),0
)"),0)</f>
        <v>0</v>
      </c>
      <c r="H3994" s="6">
        <v>165</v>
      </c>
      <c r="I3994" s="6">
        <f t="shared" ca="1" si="0"/>
        <v>165</v>
      </c>
      <c r="J3994" s="6">
        <f ca="1">IFERROR(__xludf.DUMMYFUNCTION("IFERROR(GOOGLEFINANCE(B3994, ""volume""), 0)"),0)</f>
        <v>0</v>
      </c>
      <c r="K3994" s="6">
        <v>-0.48</v>
      </c>
      <c r="L3994" s="6">
        <f ca="1">IFERROR(__xludf.DUMMYFUNCTION("IFERROR(GOOGLEFINANCE(B3994,""changepct""),K3994)"),-0.48)</f>
        <v>-0.48</v>
      </c>
      <c r="M3994" s="6">
        <f ca="1">IFERROR(__xludf.DUMMYFUNCTION("IFERROR(GOOGLEFINANCE(B3994,""change""),0)"),0)</f>
        <v>0</v>
      </c>
      <c r="N3994" s="6">
        <v>2</v>
      </c>
      <c r="O3994" s="7">
        <v>45536</v>
      </c>
      <c r="P3994" s="6">
        <v>8.18</v>
      </c>
      <c r="Q3994" s="6">
        <v>136.08000000000001</v>
      </c>
      <c r="R3994" s="7">
        <v>45536</v>
      </c>
      <c r="S3994" s="6">
        <v>85.11</v>
      </c>
      <c r="T3994" s="6">
        <v>5.62</v>
      </c>
      <c r="U3994" s="7">
        <v>45536</v>
      </c>
      <c r="V3994" s="6">
        <v>23.29</v>
      </c>
      <c r="W3994" s="6">
        <f ca="1">IFERROR(__xludf.DUMMYFUNCTION("IFERROR(GOOGLEFINANCE(B3994,""pe""),V3994)"),23.29)</f>
        <v>23.29</v>
      </c>
      <c r="X3994" s="12"/>
      <c r="Y3994" s="6">
        <v>3.06</v>
      </c>
      <c r="Z3994" s="6">
        <v>2</v>
      </c>
      <c r="AA3994" s="8">
        <v>45352</v>
      </c>
      <c r="AB3994" s="4">
        <v>0.31</v>
      </c>
      <c r="AC3994" s="6">
        <v>10.93</v>
      </c>
      <c r="AD3994" s="6">
        <v>13.52</v>
      </c>
      <c r="AE3994" s="1">
        <v>0</v>
      </c>
      <c r="AF3994" s="1">
        <f ca="1">IFERROR(__xludf.DUMMYFUNCTION("IFERROR(GOOGLEFINANCE(TRIM(F3994)&amp;"":"" &amp; TRIM(B3994),""high52""),AE3994)"),0)</f>
        <v>0</v>
      </c>
      <c r="AG3994" s="1">
        <v>0</v>
      </c>
      <c r="AH3994" s="1">
        <f ca="1">IFERROR(__xludf.DUMMYFUNCTION("IFERROR(GOOGLEFINANCE(TRIM(F3994)&amp;"":"" &amp; TRIM(B3994),""low52""),AE3994)"),0)</f>
        <v>0</v>
      </c>
      <c r="AI3994" s="1">
        <f ca="1">IFERROR(__xludf.DUMMYFUNCTION("IFERROR(GOOGLEFINANCE(B3994,""eps""),0)"),0)</f>
        <v>0</v>
      </c>
      <c r="AJ3994" s="1"/>
      <c r="AK3994" s="1" t="s">
        <v>12153</v>
      </c>
      <c r="AL3994" s="9">
        <f t="shared" si="368"/>
        <v>1</v>
      </c>
    </row>
    <row r="3995" spans="1:38" ht="15" x14ac:dyDescent="0.25">
      <c r="A3995" s="1" t="s">
        <v>12154</v>
      </c>
      <c r="B3995" s="1" t="s">
        <v>12155</v>
      </c>
      <c r="C3995" s="1" t="s">
        <v>1067</v>
      </c>
      <c r="D3995" s="1" t="s">
        <v>1067</v>
      </c>
      <c r="E3995" s="6">
        <v>6654.83</v>
      </c>
      <c r="F3995" s="1" t="s">
        <v>40</v>
      </c>
      <c r="G3995" s="6">
        <f ca="1">IFERROR(__xludf.DUMMYFUNCTION("iferror(GOOGLEFINANCE(TRIM(F3995)&amp;"":"" &amp; TRIM(B3995), ""price""),0
)"),61.5)</f>
        <v>61.5</v>
      </c>
      <c r="H3995" s="6">
        <v>34.54</v>
      </c>
      <c r="I3995" s="6">
        <f t="shared" ca="1" si="0"/>
        <v>61.5</v>
      </c>
      <c r="J3995" s="6">
        <f ca="1">IFERROR(__xludf.DUMMYFUNCTION("IFERROR(GOOGLEFINANCE(B3995, ""volume""), 0)"),16082665)</f>
        <v>16082665</v>
      </c>
      <c r="K3995" s="6">
        <v>0.41</v>
      </c>
      <c r="L3995" s="6">
        <f ca="1">IFERROR(__xludf.DUMMYFUNCTION("IFERROR(GOOGLEFINANCE(B3995,""changepct""),K3995)"),-1.36)</f>
        <v>-1.36</v>
      </c>
      <c r="M3995" s="6">
        <f ca="1">IFERROR(__xludf.DUMMYFUNCTION("IFERROR(GOOGLEFINANCE(B3995,""change""),0)"),-0.85)</f>
        <v>-0.85</v>
      </c>
      <c r="N3995" s="6">
        <v>1</v>
      </c>
      <c r="O3995" s="7">
        <v>45536</v>
      </c>
      <c r="P3995" s="6">
        <v>6189.11</v>
      </c>
      <c r="Q3995" s="6">
        <v>1163.8</v>
      </c>
      <c r="R3995" s="7">
        <v>45536</v>
      </c>
      <c r="S3995" s="6">
        <v>5.72</v>
      </c>
      <c r="T3995" s="6">
        <v>0.13</v>
      </c>
      <c r="U3995" s="6">
        <v>1.1499999999999999</v>
      </c>
      <c r="V3995" s="6">
        <v>1</v>
      </c>
      <c r="W3995" s="6">
        <f ca="1">IFERROR(__xludf.DUMMYFUNCTION("IFERROR(GOOGLEFINANCE(B3995,""pe""),V3995)"),24.42)</f>
        <v>24.42</v>
      </c>
      <c r="X3995" s="7">
        <v>45352</v>
      </c>
      <c r="Y3995" s="6">
        <v>31.7</v>
      </c>
      <c r="Z3995" s="6">
        <v>1</v>
      </c>
      <c r="AA3995" s="8">
        <v>45352</v>
      </c>
      <c r="AB3995" s="4">
        <v>0.28000000000000003</v>
      </c>
      <c r="AC3995" s="6">
        <v>8.6999999999999993</v>
      </c>
      <c r="AD3995" s="6">
        <v>21.12</v>
      </c>
      <c r="AE3995" s="1">
        <v>0</v>
      </c>
      <c r="AF3995" s="1">
        <f ca="1">IFERROR(__xludf.DUMMYFUNCTION("IFERROR(GOOGLEFINANCE(TRIM(F3995)&amp;"":"" &amp; TRIM(B3995),""high52""),AE3995)"),68)</f>
        <v>68</v>
      </c>
      <c r="AG3995" s="1">
        <v>0</v>
      </c>
      <c r="AH3995" s="1">
        <f ca="1">IFERROR(__xludf.DUMMYFUNCTION("IFERROR(GOOGLEFINANCE(TRIM(F3995)&amp;"":"" &amp; TRIM(B3995),""low52""),AE3995)"),30.9)</f>
        <v>30.9</v>
      </c>
      <c r="AI3995" s="1">
        <f ca="1">IFERROR(__xludf.DUMMYFUNCTION("IFERROR(GOOGLEFINANCE(B3995,""eps""),0)"),2.52)</f>
        <v>2.52</v>
      </c>
      <c r="AJ3995" s="1"/>
      <c r="AK3995" s="1" t="s">
        <v>12156</v>
      </c>
      <c r="AL3995" s="1" t="b">
        <f>ISNUMBER(AA3995)</f>
        <v>1</v>
      </c>
    </row>
    <row r="3996" spans="1:38" ht="15" x14ac:dyDescent="0.25">
      <c r="A3996" s="1" t="s">
        <v>12157</v>
      </c>
      <c r="B3996" s="1" t="s">
        <v>12158</v>
      </c>
      <c r="C3996" s="1" t="s">
        <v>186</v>
      </c>
      <c r="D3996" s="1" t="s">
        <v>186</v>
      </c>
      <c r="E3996" s="6">
        <v>28.55</v>
      </c>
      <c r="F3996" s="1" t="s">
        <v>53</v>
      </c>
      <c r="G3996" s="6">
        <f ca="1">IFERROR(__xludf.DUMMYFUNCTION("iferror(GOOGLEFINANCE(TRIM(F3996)&amp;"":"" &amp; TRIM(B3996), ""price""),0
)"),0)</f>
        <v>0</v>
      </c>
      <c r="H3996" s="6">
        <v>38.799999999999997</v>
      </c>
      <c r="I3996" s="6">
        <f t="shared" ca="1" si="0"/>
        <v>38.799999999999997</v>
      </c>
      <c r="J3996" s="6">
        <f ca="1">IFERROR(__xludf.DUMMYFUNCTION("IFERROR(GOOGLEFINANCE(B3996, ""volume""), 0)"),0)</f>
        <v>0</v>
      </c>
      <c r="K3996" s="9"/>
      <c r="L3996" s="6" t="str">
        <f ca="1">IFERROR(__xludf.DUMMYFUNCTION("IFERROR(GOOGLEFINANCE(B3996,""changepct""),K3996)"),"")</f>
        <v/>
      </c>
      <c r="M3996" s="6">
        <f ca="1">IFERROR(__xludf.DUMMYFUNCTION("IFERROR(GOOGLEFINANCE(B3996,""change""),0)"),0)</f>
        <v>0</v>
      </c>
      <c r="N3996" s="6">
        <v>1</v>
      </c>
      <c r="O3996" s="7">
        <v>45536</v>
      </c>
      <c r="P3996" s="6">
        <v>0.09</v>
      </c>
      <c r="Q3996" s="6">
        <v>28.64</v>
      </c>
      <c r="R3996" s="7">
        <v>45536</v>
      </c>
      <c r="S3996" s="6">
        <v>0</v>
      </c>
      <c r="T3996" s="6">
        <v>0.24</v>
      </c>
      <c r="U3996" s="7">
        <v>45536</v>
      </c>
      <c r="V3996" s="6">
        <v>120.99</v>
      </c>
      <c r="W3996" s="6">
        <f ca="1">IFERROR(__xludf.DUMMYFUNCTION("IFERROR(GOOGLEFINANCE(B3996,""pe""),V3996)"),120.99)</f>
        <v>120.99</v>
      </c>
      <c r="X3996" s="6">
        <v>25.85</v>
      </c>
      <c r="Y3996" s="6">
        <v>4.3600000000000003</v>
      </c>
      <c r="Z3996" s="6">
        <v>1</v>
      </c>
      <c r="AA3996" s="8">
        <v>45352</v>
      </c>
      <c r="AB3996" s="4">
        <v>0</v>
      </c>
      <c r="AC3996" s="6">
        <v>3.66</v>
      </c>
      <c r="AD3996" s="6">
        <v>4.34</v>
      </c>
      <c r="AE3996" s="1">
        <v>0</v>
      </c>
      <c r="AF3996" s="1">
        <f ca="1">IFERROR(__xludf.DUMMYFUNCTION("IFERROR(GOOGLEFINANCE(TRIM(F3996)&amp;"":"" &amp; TRIM(B3996),""high52""),AE3996)"),0)</f>
        <v>0</v>
      </c>
      <c r="AG3996" s="1">
        <v>0</v>
      </c>
      <c r="AH3996" s="1">
        <f ca="1">IFERROR(__xludf.DUMMYFUNCTION("IFERROR(GOOGLEFINANCE(TRIM(F3996)&amp;"":"" &amp; TRIM(B3996),""low52""),AE3996)"),0)</f>
        <v>0</v>
      </c>
      <c r="AI3996" s="1">
        <f ca="1">IFERROR(__xludf.DUMMYFUNCTION("IFERROR(GOOGLEFINANCE(B3996,""eps""),0)"),0)</f>
        <v>0</v>
      </c>
      <c r="AJ3996" s="1"/>
      <c r="AK3996" s="1" t="s">
        <v>12159</v>
      </c>
      <c r="AL3996" s="9">
        <f t="shared" ref="AL3996:AL3999" si="369">IF(AA3996&lt;&gt;AB3996,1,0)</f>
        <v>1</v>
      </c>
    </row>
    <row r="3997" spans="1:38" ht="15" x14ac:dyDescent="0.25">
      <c r="A3997" s="1" t="s">
        <v>12160</v>
      </c>
      <c r="B3997" s="1" t="s">
        <v>12161</v>
      </c>
      <c r="C3997" s="1" t="s">
        <v>186</v>
      </c>
      <c r="D3997" s="1" t="s">
        <v>186</v>
      </c>
      <c r="E3997" s="6">
        <v>46.44</v>
      </c>
      <c r="F3997" s="1" t="s">
        <v>53</v>
      </c>
      <c r="G3997" s="6">
        <f ca="1">IFERROR(__xludf.DUMMYFUNCTION("iferror(GOOGLEFINANCE(TRIM(F3997)&amp;"":"" &amp; TRIM(B3997), ""price""),0
)"),0)</f>
        <v>0</v>
      </c>
      <c r="H3997" s="6">
        <v>162</v>
      </c>
      <c r="I3997" s="6">
        <f t="shared" ca="1" si="0"/>
        <v>162</v>
      </c>
      <c r="J3997" s="6">
        <f ca="1">IFERROR(__xludf.DUMMYFUNCTION("IFERROR(GOOGLEFINANCE(B3997, ""volume""), 0)"),0)</f>
        <v>0</v>
      </c>
      <c r="K3997" s="6">
        <v>-3.57</v>
      </c>
      <c r="L3997" s="6">
        <f ca="1">IFERROR(__xludf.DUMMYFUNCTION("IFERROR(GOOGLEFINANCE(B3997,""changepct""),K3997)"),-3.57)</f>
        <v>-3.57</v>
      </c>
      <c r="M3997" s="6">
        <f ca="1">IFERROR(__xludf.DUMMYFUNCTION("IFERROR(GOOGLEFINANCE(B3997,""change""),0)"),0)</f>
        <v>0</v>
      </c>
      <c r="N3997" s="6">
        <v>1</v>
      </c>
      <c r="O3997" s="7">
        <v>45536</v>
      </c>
      <c r="P3997" s="6">
        <v>23.58</v>
      </c>
      <c r="Q3997" s="6">
        <v>59.11</v>
      </c>
      <c r="R3997" s="7">
        <v>45536</v>
      </c>
      <c r="S3997" s="6">
        <v>39.4</v>
      </c>
      <c r="T3997" s="6">
        <v>1.37</v>
      </c>
      <c r="U3997" s="7">
        <v>45536</v>
      </c>
      <c r="V3997" s="6">
        <v>33.82</v>
      </c>
      <c r="W3997" s="6">
        <f ca="1">IFERROR(__xludf.DUMMYFUNCTION("IFERROR(GOOGLEFINANCE(B3997,""pe""),V3997)"),33.82)</f>
        <v>33.82</v>
      </c>
      <c r="X3997" s="6">
        <v>-2.5299999999999998</v>
      </c>
      <c r="Y3997" s="6">
        <v>1.63</v>
      </c>
      <c r="Z3997" s="6">
        <v>1</v>
      </c>
      <c r="AA3997" s="8">
        <v>45352</v>
      </c>
      <c r="AB3997" s="4">
        <v>0.8</v>
      </c>
      <c r="AC3997" s="6">
        <v>3.97</v>
      </c>
      <c r="AD3997" s="6">
        <v>6.82</v>
      </c>
      <c r="AE3997" s="1">
        <v>0</v>
      </c>
      <c r="AF3997" s="1">
        <f ca="1">IFERROR(__xludf.DUMMYFUNCTION("IFERROR(GOOGLEFINANCE(TRIM(F3997)&amp;"":"" &amp; TRIM(B3997),""high52""),AE3997)"),0)</f>
        <v>0</v>
      </c>
      <c r="AG3997" s="1">
        <v>0</v>
      </c>
      <c r="AH3997" s="1">
        <f ca="1">IFERROR(__xludf.DUMMYFUNCTION("IFERROR(GOOGLEFINANCE(TRIM(F3997)&amp;"":"" &amp; TRIM(B3997),""low52""),AE3997)"),0)</f>
        <v>0</v>
      </c>
      <c r="AI3997" s="1">
        <f ca="1">IFERROR(__xludf.DUMMYFUNCTION("IFERROR(GOOGLEFINANCE(B3997,""eps""),0)"),0)</f>
        <v>0</v>
      </c>
      <c r="AJ3997" s="1"/>
      <c r="AK3997" s="1" t="s">
        <v>12162</v>
      </c>
      <c r="AL3997" s="9">
        <f t="shared" si="369"/>
        <v>1</v>
      </c>
    </row>
    <row r="3998" spans="1:38" ht="15" x14ac:dyDescent="0.25">
      <c r="A3998" s="1" t="s">
        <v>12163</v>
      </c>
      <c r="B3998" s="1" t="s">
        <v>12164</v>
      </c>
      <c r="C3998" s="1" t="s">
        <v>186</v>
      </c>
      <c r="D3998" s="1" t="s">
        <v>186</v>
      </c>
      <c r="E3998" s="6">
        <v>26.14</v>
      </c>
      <c r="F3998" s="1" t="s">
        <v>53</v>
      </c>
      <c r="G3998" s="6">
        <f ca="1">IFERROR(__xludf.DUMMYFUNCTION("iferror(GOOGLEFINANCE(TRIM(F3998)&amp;"":"" &amp; TRIM(B3998), ""price""),0
)"),0)</f>
        <v>0</v>
      </c>
      <c r="H3998" s="6">
        <v>41.93</v>
      </c>
      <c r="I3998" s="6">
        <f t="shared" ca="1" si="0"/>
        <v>41.93</v>
      </c>
      <c r="J3998" s="6">
        <f ca="1">IFERROR(__xludf.DUMMYFUNCTION("IFERROR(GOOGLEFINANCE(B3998, ""volume""), 0)"),0)</f>
        <v>0</v>
      </c>
      <c r="K3998" s="9"/>
      <c r="L3998" s="6" t="str">
        <f ca="1">IFERROR(__xludf.DUMMYFUNCTION("IFERROR(GOOGLEFINANCE(B3998,""changepct""),K3998)"),"")</f>
        <v/>
      </c>
      <c r="M3998" s="6">
        <f ca="1">IFERROR(__xludf.DUMMYFUNCTION("IFERROR(GOOGLEFINANCE(B3998,""change""),0)"),0)</f>
        <v>0</v>
      </c>
      <c r="N3998" s="6">
        <v>1</v>
      </c>
      <c r="O3998" s="7">
        <v>45536</v>
      </c>
      <c r="P3998" s="6">
        <v>1.76</v>
      </c>
      <c r="Q3998" s="6">
        <v>27.72</v>
      </c>
      <c r="R3998" s="7">
        <v>45536</v>
      </c>
      <c r="S3998" s="6">
        <v>0.68</v>
      </c>
      <c r="T3998" s="6">
        <v>-0.69</v>
      </c>
      <c r="U3998" s="7">
        <v>45536</v>
      </c>
      <c r="V3998" s="6">
        <v>0</v>
      </c>
      <c r="W3998" s="6">
        <f ca="1">IFERROR(__xludf.DUMMYFUNCTION("IFERROR(GOOGLEFINANCE(B3998,""pe""),V3998)"),0)</f>
        <v>0</v>
      </c>
      <c r="X3998" s="6">
        <v>0</v>
      </c>
      <c r="Y3998" s="6">
        <v>34.29</v>
      </c>
      <c r="Z3998" s="6">
        <v>1</v>
      </c>
      <c r="AA3998" s="8">
        <v>45352</v>
      </c>
      <c r="AB3998" s="4">
        <v>-2.09</v>
      </c>
      <c r="AC3998" s="6">
        <v>0</v>
      </c>
      <c r="AD3998" s="6">
        <v>234.54</v>
      </c>
      <c r="AE3998" s="1">
        <v>0</v>
      </c>
      <c r="AF3998" s="1">
        <f ca="1">IFERROR(__xludf.DUMMYFUNCTION("IFERROR(GOOGLEFINANCE(TRIM(F3998)&amp;"":"" &amp; TRIM(B3998),""high52""),AE3998)"),0)</f>
        <v>0</v>
      </c>
      <c r="AG3998" s="1">
        <v>0</v>
      </c>
      <c r="AH3998" s="1">
        <f ca="1">IFERROR(__xludf.DUMMYFUNCTION("IFERROR(GOOGLEFINANCE(TRIM(F3998)&amp;"":"" &amp; TRIM(B3998),""low52""),AE3998)"),0)</f>
        <v>0</v>
      </c>
      <c r="AI3998" s="1">
        <f ca="1">IFERROR(__xludf.DUMMYFUNCTION("IFERROR(GOOGLEFINANCE(B3998,""eps""),0)"),0)</f>
        <v>0</v>
      </c>
      <c r="AJ3998" s="1"/>
      <c r="AK3998" s="1" t="s">
        <v>12165</v>
      </c>
      <c r="AL3998" s="9">
        <f t="shared" si="369"/>
        <v>1</v>
      </c>
    </row>
    <row r="3999" spans="1:38" ht="15" x14ac:dyDescent="0.25">
      <c r="A3999" s="1" t="s">
        <v>12166</v>
      </c>
      <c r="B3999" s="1" t="s">
        <v>12167</v>
      </c>
      <c r="C3999" s="1" t="s">
        <v>525</v>
      </c>
      <c r="D3999" s="1" t="s">
        <v>525</v>
      </c>
      <c r="E3999" s="6">
        <v>88.54</v>
      </c>
      <c r="F3999" s="1" t="s">
        <v>40</v>
      </c>
      <c r="G3999" s="6">
        <f ca="1">IFERROR(__xludf.DUMMYFUNCTION("iferror(GOOGLEFINANCE(TRIM(F3999)&amp;"":"" &amp; TRIM(B3999), ""price""),0
)"),0)</f>
        <v>0</v>
      </c>
      <c r="H3999" s="6">
        <v>170.15</v>
      </c>
      <c r="I3999" s="6">
        <f t="shared" ca="1" si="0"/>
        <v>170.15</v>
      </c>
      <c r="J3999" s="6">
        <f ca="1">IFERROR(__xludf.DUMMYFUNCTION("IFERROR(GOOGLEFINANCE(B3999, ""volume""), 0)"),0)</f>
        <v>0</v>
      </c>
      <c r="K3999" s="12"/>
      <c r="L3999" s="6" t="str">
        <f ca="1">IFERROR(__xludf.DUMMYFUNCTION("IFERROR(GOOGLEFINANCE(B3999,""changepct""),K3999)"),"")</f>
        <v/>
      </c>
      <c r="M3999" s="6">
        <f ca="1">IFERROR(__xludf.DUMMYFUNCTION("IFERROR(GOOGLEFINANCE(B3999,""change""),0)"),0)</f>
        <v>0</v>
      </c>
      <c r="N3999" s="6">
        <v>1</v>
      </c>
      <c r="O3999" s="7">
        <v>45536</v>
      </c>
      <c r="P3999" s="6">
        <v>6.16</v>
      </c>
      <c r="Q3999" s="6">
        <v>94.7</v>
      </c>
      <c r="R3999" s="7">
        <v>45352</v>
      </c>
      <c r="S3999" s="6">
        <v>41.91</v>
      </c>
      <c r="T3999" s="6">
        <v>1.95</v>
      </c>
      <c r="U3999" s="7">
        <v>45352</v>
      </c>
      <c r="V3999" s="6">
        <v>45.44</v>
      </c>
      <c r="W3999" s="6">
        <f ca="1">IFERROR(__xludf.DUMMYFUNCTION("IFERROR(GOOGLEFINANCE(B3999,""pe""),V3999)"),45.44)</f>
        <v>45.44</v>
      </c>
      <c r="X3999" s="6">
        <v>3.23</v>
      </c>
      <c r="Y3999" s="6">
        <v>4.6100000000000003</v>
      </c>
      <c r="Z3999" s="6">
        <v>1</v>
      </c>
      <c r="AA3999" s="8">
        <v>45352</v>
      </c>
      <c r="AB3999" s="4">
        <v>0.3</v>
      </c>
      <c r="AC3999" s="6">
        <v>10.68</v>
      </c>
      <c r="AD3999" s="6">
        <v>13.98</v>
      </c>
      <c r="AE3999" s="1">
        <v>0</v>
      </c>
      <c r="AF3999" s="1">
        <f ca="1">IFERROR(__xludf.DUMMYFUNCTION("IFERROR(GOOGLEFINANCE(TRIM(F3999)&amp;"":"" &amp; TRIM(B3999),""high52""),AE3999)"),0)</f>
        <v>0</v>
      </c>
      <c r="AG3999" s="1">
        <v>0</v>
      </c>
      <c r="AH3999" s="1">
        <f ca="1">IFERROR(__xludf.DUMMYFUNCTION("IFERROR(GOOGLEFINANCE(TRIM(F3999)&amp;"":"" &amp; TRIM(B3999),""low52""),AE3999)"),0)</f>
        <v>0</v>
      </c>
      <c r="AI3999" s="1">
        <f ca="1">IFERROR(__xludf.DUMMYFUNCTION("IFERROR(GOOGLEFINANCE(B3999,""eps""),0)"),0)</f>
        <v>0</v>
      </c>
      <c r="AJ3999" s="1"/>
      <c r="AK3999" s="1" t="s">
        <v>12168</v>
      </c>
      <c r="AL3999" s="9">
        <f t="shared" si="369"/>
        <v>1</v>
      </c>
    </row>
    <row r="4000" spans="1:38" ht="15" x14ac:dyDescent="0.25">
      <c r="A4000" s="1" t="s">
        <v>12169</v>
      </c>
      <c r="B4000" s="1" t="s">
        <v>12170</v>
      </c>
      <c r="C4000" s="1" t="s">
        <v>239</v>
      </c>
      <c r="D4000" s="1" t="s">
        <v>239</v>
      </c>
      <c r="E4000" s="6">
        <v>340438</v>
      </c>
      <c r="F4000" s="1" t="s">
        <v>40</v>
      </c>
      <c r="G4000" s="6">
        <f ca="1">IFERROR(__xludf.DUMMYFUNCTION("iferror(GOOGLEFINANCE(TRIM(F4000)&amp;"":"" &amp; TRIM(B4000), ""price""),0
)"),12543)</f>
        <v>12543</v>
      </c>
      <c r="H4000" s="6">
        <v>11794.25</v>
      </c>
      <c r="I4000" s="6">
        <f t="shared" ca="1" si="0"/>
        <v>12543</v>
      </c>
      <c r="J4000" s="6">
        <f ca="1">IFERROR(__xludf.DUMMYFUNCTION("IFERROR(GOOGLEFINANCE(B4000, ""volume""), 0)"),259656)</f>
        <v>259656</v>
      </c>
      <c r="K4000" s="6">
        <v>-0.03</v>
      </c>
      <c r="L4000" s="6">
        <f ca="1">IFERROR(__xludf.DUMMYFUNCTION("IFERROR(GOOGLEFINANCE(B4000,""changepct""),K4000)"),2.11)</f>
        <v>2.11</v>
      </c>
      <c r="M4000" s="6">
        <f ca="1">IFERROR(__xludf.DUMMYFUNCTION("IFERROR(GOOGLEFINANCE(B4000,""change""),0)"),259)</f>
        <v>259</v>
      </c>
      <c r="N4000" s="6">
        <v>2</v>
      </c>
      <c r="O4000" s="7">
        <v>45536</v>
      </c>
      <c r="P4000" s="6">
        <v>15921.88</v>
      </c>
      <c r="Q4000" s="6">
        <v>353269.8</v>
      </c>
      <c r="R4000" s="7">
        <v>45536</v>
      </c>
      <c r="S4000" s="6">
        <v>70863.199999999997</v>
      </c>
      <c r="T4000" s="6">
        <v>6537.49</v>
      </c>
      <c r="U4000" s="7">
        <v>45536</v>
      </c>
      <c r="V4000" s="6">
        <v>51.96</v>
      </c>
      <c r="W4000" s="6">
        <f ca="1">IFERROR(__xludf.DUMMYFUNCTION("IFERROR(GOOGLEFINANCE(B4000,""pe""),V4000)"),51.89)</f>
        <v>51.89</v>
      </c>
      <c r="X4000" s="6">
        <v>2.23</v>
      </c>
      <c r="Y4000" s="6">
        <v>5.55</v>
      </c>
      <c r="Z4000" s="6">
        <v>2</v>
      </c>
      <c r="AA4000" s="8">
        <v>45352</v>
      </c>
      <c r="AB4000" s="4">
        <v>0.17</v>
      </c>
      <c r="AC4000" s="6">
        <v>12.25</v>
      </c>
      <c r="AD4000" s="6">
        <v>15.42</v>
      </c>
      <c r="AE4000" s="1">
        <v>0</v>
      </c>
      <c r="AF4000" s="1">
        <f ca="1">IFERROR(__xludf.DUMMYFUNCTION("IFERROR(GOOGLEFINANCE(TRIM(F4000)&amp;"":"" &amp; TRIM(B4000),""high52""),AE4000)"),13097)</f>
        <v>13097</v>
      </c>
      <c r="AG4000" s="1">
        <v>0</v>
      </c>
      <c r="AH4000" s="1">
        <f ca="1">IFERROR(__xludf.DUMMYFUNCTION("IFERROR(GOOGLEFINANCE(TRIM(F4000)&amp;"":"" &amp; TRIM(B4000),""low52""),AE4000)"),10047.85)</f>
        <v>10047.85</v>
      </c>
      <c r="AI4000" s="1">
        <f ca="1">IFERROR(__xludf.DUMMYFUNCTION("IFERROR(GOOGLEFINANCE(B4000,""eps""),0)"),241.71)</f>
        <v>241.71</v>
      </c>
      <c r="AJ4000" s="1"/>
      <c r="AK4000" s="1" t="s">
        <v>12171</v>
      </c>
      <c r="AL4000" s="1" t="b">
        <f>ISNUMBER(AA4000)</f>
        <v>1</v>
      </c>
    </row>
    <row r="4001" spans="1:38" ht="15" x14ac:dyDescent="0.25">
      <c r="A4001" s="1" t="s">
        <v>12172</v>
      </c>
      <c r="B4001" s="1" t="s">
        <v>12173</v>
      </c>
      <c r="C4001" s="1" t="s">
        <v>186</v>
      </c>
      <c r="D4001" s="1" t="s">
        <v>186</v>
      </c>
      <c r="E4001" s="6">
        <v>1631.91</v>
      </c>
      <c r="F4001" s="1" t="s">
        <v>53</v>
      </c>
      <c r="G4001" s="6">
        <f ca="1">IFERROR(__xludf.DUMMYFUNCTION("iferror(GOOGLEFINANCE(TRIM(F4001)&amp;"":"" &amp; TRIM(B4001), ""price""),0
)"),0)</f>
        <v>0</v>
      </c>
      <c r="H4001" s="6">
        <v>14.93</v>
      </c>
      <c r="I4001" s="6">
        <f t="shared" ca="1" si="0"/>
        <v>14.93</v>
      </c>
      <c r="J4001" s="6">
        <f ca="1">IFERROR(__xludf.DUMMYFUNCTION("IFERROR(GOOGLEFINANCE(B4001, ""volume""), 0)"),0)</f>
        <v>0</v>
      </c>
      <c r="K4001" s="6">
        <v>-1.97</v>
      </c>
      <c r="L4001" s="6">
        <f ca="1">IFERROR(__xludf.DUMMYFUNCTION("IFERROR(GOOGLEFINANCE(B4001,""changepct""),K4001)"),-1.97)</f>
        <v>-1.97</v>
      </c>
      <c r="M4001" s="6">
        <f ca="1">IFERROR(__xludf.DUMMYFUNCTION("IFERROR(GOOGLEFINANCE(B4001,""change""),0)"),0)</f>
        <v>0</v>
      </c>
      <c r="N4001" s="6">
        <v>1</v>
      </c>
      <c r="O4001" s="7">
        <v>45536</v>
      </c>
      <c r="P4001" s="6">
        <v>0.28999999999999998</v>
      </c>
      <c r="Q4001" s="6">
        <v>1632.2</v>
      </c>
      <c r="R4001" s="7">
        <v>45536</v>
      </c>
      <c r="S4001" s="6">
        <v>173.34</v>
      </c>
      <c r="T4001" s="6">
        <v>24.49</v>
      </c>
      <c r="U4001" s="7">
        <v>45536</v>
      </c>
      <c r="V4001" s="6">
        <v>66.650000000000006</v>
      </c>
      <c r="W4001" s="6">
        <f ca="1">IFERROR(__xludf.DUMMYFUNCTION("IFERROR(GOOGLEFINANCE(B4001,""pe""),V4001)"),66.65)</f>
        <v>66.650000000000006</v>
      </c>
      <c r="X4001" s="6">
        <v>0.16</v>
      </c>
      <c r="Y4001" s="6">
        <v>9.19</v>
      </c>
      <c r="Z4001" s="6">
        <v>1</v>
      </c>
      <c r="AA4001" s="8">
        <v>45352</v>
      </c>
      <c r="AB4001" s="4">
        <v>0.01</v>
      </c>
      <c r="AC4001" s="6">
        <v>35.67</v>
      </c>
      <c r="AD4001" s="6">
        <v>38.61</v>
      </c>
      <c r="AE4001" s="1">
        <v>0</v>
      </c>
      <c r="AF4001" s="1">
        <f ca="1">IFERROR(__xludf.DUMMYFUNCTION("IFERROR(GOOGLEFINANCE(TRIM(F4001)&amp;"":"" &amp; TRIM(B4001),""high52""),AE4001)"),0)</f>
        <v>0</v>
      </c>
      <c r="AG4001" s="1">
        <v>0</v>
      </c>
      <c r="AH4001" s="1">
        <f ca="1">IFERROR(__xludf.DUMMYFUNCTION("IFERROR(GOOGLEFINANCE(TRIM(F4001)&amp;"":"" &amp; TRIM(B4001),""low52""),AE4001)"),0)</f>
        <v>0</v>
      </c>
      <c r="AI4001" s="1">
        <f ca="1">IFERROR(__xludf.DUMMYFUNCTION("IFERROR(GOOGLEFINANCE(B4001,""eps""),0)"),0)</f>
        <v>0</v>
      </c>
      <c r="AJ4001" s="1"/>
      <c r="AK4001" s="1" t="s">
        <v>12174</v>
      </c>
      <c r="AL4001" s="9">
        <f t="shared" ref="AL4001:AL4020" si="370">IF(AA4001&lt;&gt;AB4001,1,0)</f>
        <v>1</v>
      </c>
    </row>
    <row r="4002" spans="1:38" ht="15" x14ac:dyDescent="0.25">
      <c r="A4002" s="1" t="s">
        <v>12175</v>
      </c>
      <c r="B4002" s="1" t="s">
        <v>12176</v>
      </c>
      <c r="C4002" s="1" t="s">
        <v>483</v>
      </c>
      <c r="D4002" s="1" t="s">
        <v>483</v>
      </c>
      <c r="E4002" s="6">
        <v>84.95</v>
      </c>
      <c r="F4002" s="1" t="s">
        <v>40</v>
      </c>
      <c r="G4002" s="6">
        <f ca="1">IFERROR(__xludf.DUMMYFUNCTION("iferror(GOOGLEFINANCE(TRIM(F4002)&amp;"":"" &amp; TRIM(B4002), ""price""),0
)"),0)</f>
        <v>0</v>
      </c>
      <c r="H4002" s="6">
        <v>42.7</v>
      </c>
      <c r="I4002" s="6">
        <f t="shared" ca="1" si="0"/>
        <v>42.7</v>
      </c>
      <c r="J4002" s="6">
        <f ca="1">IFERROR(__xludf.DUMMYFUNCTION("IFERROR(GOOGLEFINANCE(B4002, ""volume""), 0)"),0)</f>
        <v>0</v>
      </c>
      <c r="K4002" s="6">
        <v>1.91</v>
      </c>
      <c r="L4002" s="6">
        <f ca="1">IFERROR(__xludf.DUMMYFUNCTION("IFERROR(GOOGLEFINANCE(B4002,""changepct""),K4002)"),1.91)</f>
        <v>1.91</v>
      </c>
      <c r="M4002" s="6">
        <f ca="1">IFERROR(__xludf.DUMMYFUNCTION("IFERROR(GOOGLEFINANCE(B4002,""change""),0)"),0)</f>
        <v>0</v>
      </c>
      <c r="N4002" s="6">
        <v>1</v>
      </c>
      <c r="O4002" s="7">
        <v>45536</v>
      </c>
      <c r="P4002" s="6">
        <v>65.05</v>
      </c>
      <c r="Q4002" s="6">
        <v>150</v>
      </c>
      <c r="R4002" s="7">
        <v>45352</v>
      </c>
      <c r="S4002" s="6">
        <v>181.02</v>
      </c>
      <c r="T4002" s="6">
        <v>4.1900000000000004</v>
      </c>
      <c r="U4002" s="7">
        <v>45352</v>
      </c>
      <c r="V4002" s="6">
        <v>20.28</v>
      </c>
      <c r="W4002" s="6">
        <f ca="1">IFERROR(__xludf.DUMMYFUNCTION("IFERROR(GOOGLEFINANCE(B4002,""pe""),V4002)"),20.28)</f>
        <v>20.28</v>
      </c>
      <c r="X4002" s="12"/>
      <c r="Y4002" s="6">
        <v>1.26</v>
      </c>
      <c r="Z4002" s="6">
        <v>1</v>
      </c>
      <c r="AA4002" s="8">
        <v>45352</v>
      </c>
      <c r="AB4002" s="4">
        <v>0.99</v>
      </c>
      <c r="AC4002" s="6">
        <v>6.41</v>
      </c>
      <c r="AD4002" s="6">
        <v>9.33</v>
      </c>
      <c r="AE4002" s="1">
        <v>0</v>
      </c>
      <c r="AF4002" s="1">
        <f ca="1">IFERROR(__xludf.DUMMYFUNCTION("IFERROR(GOOGLEFINANCE(TRIM(F4002)&amp;"":"" &amp; TRIM(B4002),""high52""),AE4002)"),0)</f>
        <v>0</v>
      </c>
      <c r="AG4002" s="1">
        <v>0</v>
      </c>
      <c r="AH4002" s="1">
        <f ca="1">IFERROR(__xludf.DUMMYFUNCTION("IFERROR(GOOGLEFINANCE(TRIM(F4002)&amp;"":"" &amp; TRIM(B4002),""low52""),AE4002)"),0)</f>
        <v>0</v>
      </c>
      <c r="AI4002" s="1">
        <f ca="1">IFERROR(__xludf.DUMMYFUNCTION("IFERROR(GOOGLEFINANCE(B4002,""eps""),0)"),0)</f>
        <v>0</v>
      </c>
      <c r="AJ4002" s="1"/>
      <c r="AK4002" s="1" t="s">
        <v>12177</v>
      </c>
      <c r="AL4002" s="9">
        <f t="shared" si="370"/>
        <v>1</v>
      </c>
    </row>
    <row r="4003" spans="1:38" ht="15" x14ac:dyDescent="0.25">
      <c r="A4003" s="1" t="s">
        <v>12178</v>
      </c>
      <c r="B4003" s="1" t="s">
        <v>12179</v>
      </c>
      <c r="C4003" s="1" t="s">
        <v>186</v>
      </c>
      <c r="D4003" s="1" t="s">
        <v>186</v>
      </c>
      <c r="E4003" s="6">
        <v>32.24</v>
      </c>
      <c r="F4003" s="1" t="s">
        <v>53</v>
      </c>
      <c r="G4003" s="6">
        <f ca="1">IFERROR(__xludf.DUMMYFUNCTION("iferror(GOOGLEFINANCE(TRIM(F4003)&amp;"":"" &amp; TRIM(B4003), ""price""),0
)"),0)</f>
        <v>0</v>
      </c>
      <c r="H4003" s="6">
        <v>77.56</v>
      </c>
      <c r="I4003" s="6">
        <f t="shared" ca="1" si="0"/>
        <v>77.56</v>
      </c>
      <c r="J4003" s="6">
        <f ca="1">IFERROR(__xludf.DUMMYFUNCTION("IFERROR(GOOGLEFINANCE(B4003, ""volume""), 0)"),0)</f>
        <v>0</v>
      </c>
      <c r="K4003" s="6">
        <v>2</v>
      </c>
      <c r="L4003" s="6">
        <f ca="1">IFERROR(__xludf.DUMMYFUNCTION("IFERROR(GOOGLEFINANCE(B4003,""changepct""),K4003)"),2)</f>
        <v>2</v>
      </c>
      <c r="M4003" s="6">
        <f ca="1">IFERROR(__xludf.DUMMYFUNCTION("IFERROR(GOOGLEFINANCE(B4003,""change""),0)"),0)</f>
        <v>0</v>
      </c>
      <c r="N4003" s="6">
        <v>1</v>
      </c>
      <c r="O4003" s="7">
        <v>45536</v>
      </c>
      <c r="P4003" s="6">
        <v>0.77</v>
      </c>
      <c r="Q4003" s="6">
        <v>33.020000000000003</v>
      </c>
      <c r="R4003" s="7">
        <v>45536</v>
      </c>
      <c r="S4003" s="6">
        <v>0.01</v>
      </c>
      <c r="T4003" s="6">
        <v>-7.0000000000000007E-2</v>
      </c>
      <c r="U4003" s="7">
        <v>45536</v>
      </c>
      <c r="V4003" s="6">
        <v>0</v>
      </c>
      <c r="W4003" s="6">
        <f ca="1">IFERROR(__xludf.DUMMYFUNCTION("IFERROR(GOOGLEFINANCE(B4003,""pe""),V4003)"),0)</f>
        <v>0</v>
      </c>
      <c r="X4003" s="6">
        <v>0</v>
      </c>
      <c r="Y4003" s="6">
        <v>3.01</v>
      </c>
      <c r="Z4003" s="6">
        <v>1</v>
      </c>
      <c r="AA4003" s="8">
        <v>45352</v>
      </c>
      <c r="AB4003" s="4">
        <v>0.08</v>
      </c>
      <c r="AC4003" s="6">
        <v>4.5</v>
      </c>
      <c r="AD4003" s="6">
        <v>7.11</v>
      </c>
      <c r="AE4003" s="1">
        <v>0</v>
      </c>
      <c r="AF4003" s="1">
        <f ca="1">IFERROR(__xludf.DUMMYFUNCTION("IFERROR(GOOGLEFINANCE(TRIM(F4003)&amp;"":"" &amp; TRIM(B4003),""high52""),AE4003)"),0)</f>
        <v>0</v>
      </c>
      <c r="AG4003" s="1">
        <v>0</v>
      </c>
      <c r="AH4003" s="1">
        <f ca="1">IFERROR(__xludf.DUMMYFUNCTION("IFERROR(GOOGLEFINANCE(TRIM(F4003)&amp;"":"" &amp; TRIM(B4003),""low52""),AE4003)"),0)</f>
        <v>0</v>
      </c>
      <c r="AI4003" s="1">
        <f ca="1">IFERROR(__xludf.DUMMYFUNCTION("IFERROR(GOOGLEFINANCE(B4003,""eps""),0)"),0)</f>
        <v>0</v>
      </c>
      <c r="AJ4003" s="1"/>
      <c r="AK4003" s="6">
        <v>29.56</v>
      </c>
      <c r="AL4003" s="9">
        <f t="shared" si="370"/>
        <v>1</v>
      </c>
    </row>
    <row r="4004" spans="1:38" ht="15" x14ac:dyDescent="0.25">
      <c r="A4004" s="1" t="s">
        <v>12180</v>
      </c>
      <c r="B4004" s="1" t="s">
        <v>12181</v>
      </c>
      <c r="C4004" s="1" t="s">
        <v>186</v>
      </c>
      <c r="D4004" s="1" t="s">
        <v>186</v>
      </c>
      <c r="E4004" s="6">
        <v>125.27</v>
      </c>
      <c r="F4004" s="1" t="s">
        <v>53</v>
      </c>
      <c r="G4004" s="6">
        <f ca="1">IFERROR(__xludf.DUMMYFUNCTION("iferror(GOOGLEFINANCE(TRIM(F4004)&amp;"":"" &amp; TRIM(B4004), ""price""),0
)"),0)</f>
        <v>0</v>
      </c>
      <c r="H4004" s="6">
        <v>48.46</v>
      </c>
      <c r="I4004" s="6">
        <f t="shared" ca="1" si="0"/>
        <v>48.46</v>
      </c>
      <c r="J4004" s="6">
        <f ca="1">IFERROR(__xludf.DUMMYFUNCTION("IFERROR(GOOGLEFINANCE(B4004, ""volume""), 0)"),0)</f>
        <v>0</v>
      </c>
      <c r="K4004" s="6">
        <v>2</v>
      </c>
      <c r="L4004" s="6">
        <f ca="1">IFERROR(__xludf.DUMMYFUNCTION("IFERROR(GOOGLEFINANCE(B4004,""changepct""),K4004)"),2)</f>
        <v>2</v>
      </c>
      <c r="M4004" s="6">
        <f ca="1">IFERROR(__xludf.DUMMYFUNCTION("IFERROR(GOOGLEFINANCE(B4004,""change""),0)"),0)</f>
        <v>0</v>
      </c>
      <c r="N4004" s="6">
        <v>2</v>
      </c>
      <c r="O4004" s="15">
        <v>45536</v>
      </c>
      <c r="P4004" s="6">
        <v>9.27</v>
      </c>
      <c r="Q4004" s="6">
        <v>133.9</v>
      </c>
      <c r="R4004" s="7">
        <v>45536</v>
      </c>
      <c r="S4004" s="6">
        <v>64.209999999999994</v>
      </c>
      <c r="T4004" s="6">
        <v>-8.6300000000000008</v>
      </c>
      <c r="U4004" s="7">
        <v>45536</v>
      </c>
      <c r="V4004" s="6">
        <v>0</v>
      </c>
      <c r="W4004" s="6">
        <f ca="1">IFERROR(__xludf.DUMMYFUNCTION("IFERROR(GOOGLEFINANCE(B4004,""pe""),V4004)"),0)</f>
        <v>0</v>
      </c>
      <c r="X4004" s="9"/>
      <c r="Y4004" s="6">
        <v>-5.26</v>
      </c>
      <c r="Z4004" s="6">
        <v>2</v>
      </c>
      <c r="AA4004" s="8">
        <v>45352</v>
      </c>
      <c r="AB4004" s="4">
        <v>-0.25</v>
      </c>
      <c r="AC4004" s="6">
        <v>0</v>
      </c>
      <c r="AD4004" s="6">
        <v>0</v>
      </c>
      <c r="AE4004" s="1">
        <v>0</v>
      </c>
      <c r="AF4004" s="1">
        <f ca="1">IFERROR(__xludf.DUMMYFUNCTION("IFERROR(GOOGLEFINANCE(TRIM(F4004)&amp;"":"" &amp; TRIM(B4004),""high52""),AE4004)"),0)</f>
        <v>0</v>
      </c>
      <c r="AG4004" s="1">
        <v>0</v>
      </c>
      <c r="AH4004" s="1">
        <f ca="1">IFERROR(__xludf.DUMMYFUNCTION("IFERROR(GOOGLEFINANCE(TRIM(F4004)&amp;"":"" &amp; TRIM(B4004),""low52""),AE4004)"),0)</f>
        <v>0</v>
      </c>
      <c r="AI4004" s="1">
        <f ca="1">IFERROR(__xludf.DUMMYFUNCTION("IFERROR(GOOGLEFINANCE(B4004,""eps""),0)"),0)</f>
        <v>0</v>
      </c>
      <c r="AJ4004" s="1"/>
      <c r="AK4004" s="1" t="s">
        <v>12182</v>
      </c>
      <c r="AL4004" s="9">
        <f t="shared" si="370"/>
        <v>1</v>
      </c>
    </row>
    <row r="4005" spans="1:38" ht="15" x14ac:dyDescent="0.25">
      <c r="A4005" s="1" t="s">
        <v>12183</v>
      </c>
      <c r="B4005" s="1" t="s">
        <v>12184</v>
      </c>
      <c r="C4005" s="1" t="s">
        <v>186</v>
      </c>
      <c r="D4005" s="1" t="s">
        <v>186</v>
      </c>
      <c r="E4005" s="6">
        <v>31.23</v>
      </c>
      <c r="F4005" s="1" t="s">
        <v>53</v>
      </c>
      <c r="G4005" s="6">
        <f ca="1">IFERROR(__xludf.DUMMYFUNCTION("iferror(GOOGLEFINANCE(TRIM(F4005)&amp;"":"" &amp; TRIM(B4005), ""price""),0
)"),0)</f>
        <v>0</v>
      </c>
      <c r="H4005" s="6">
        <v>74.349999999999994</v>
      </c>
      <c r="I4005" s="6">
        <f t="shared" ca="1" si="0"/>
        <v>74.349999999999994</v>
      </c>
      <c r="J4005" s="6">
        <f ca="1">IFERROR(__xludf.DUMMYFUNCTION("IFERROR(GOOGLEFINANCE(B4005, ""volume""), 0)"),0)</f>
        <v>0</v>
      </c>
      <c r="K4005" s="9"/>
      <c r="L4005" s="6" t="str">
        <f ca="1">IFERROR(__xludf.DUMMYFUNCTION("IFERROR(GOOGLEFINANCE(B4005,""changepct""),K4005)"),"")</f>
        <v/>
      </c>
      <c r="M4005" s="6">
        <f ca="1">IFERROR(__xludf.DUMMYFUNCTION("IFERROR(GOOGLEFINANCE(B4005,""change""),0)"),0)</f>
        <v>0</v>
      </c>
      <c r="N4005" s="6">
        <v>1</v>
      </c>
      <c r="O4005" s="7">
        <v>45536</v>
      </c>
      <c r="P4005" s="6">
        <v>75.790000000000006</v>
      </c>
      <c r="Q4005" s="6">
        <v>105.27</v>
      </c>
      <c r="R4005" s="7">
        <v>45536</v>
      </c>
      <c r="S4005" s="6">
        <v>141.44999999999999</v>
      </c>
      <c r="T4005" s="6">
        <v>2.2000000000000002</v>
      </c>
      <c r="U4005" s="7">
        <v>45536</v>
      </c>
      <c r="V4005" s="6">
        <v>14.16</v>
      </c>
      <c r="W4005" s="6">
        <f ca="1">IFERROR(__xludf.DUMMYFUNCTION("IFERROR(GOOGLEFINANCE(B4005,""pe""),V4005)"),14.16)</f>
        <v>14.16</v>
      </c>
      <c r="X4005" s="6">
        <v>0.89</v>
      </c>
      <c r="Y4005" s="6">
        <v>0.67</v>
      </c>
      <c r="Z4005" s="6">
        <v>1</v>
      </c>
      <c r="AA4005" s="8">
        <v>45352</v>
      </c>
      <c r="AB4005" s="4">
        <v>1.19</v>
      </c>
      <c r="AC4005" s="6">
        <v>5.0599999999999996</v>
      </c>
      <c r="AD4005" s="6">
        <v>9.1</v>
      </c>
      <c r="AE4005" s="1">
        <v>0</v>
      </c>
      <c r="AF4005" s="1">
        <f ca="1">IFERROR(__xludf.DUMMYFUNCTION("IFERROR(GOOGLEFINANCE(TRIM(F4005)&amp;"":"" &amp; TRIM(B4005),""high52""),AE4005)"),0)</f>
        <v>0</v>
      </c>
      <c r="AG4005" s="1">
        <v>0</v>
      </c>
      <c r="AH4005" s="1">
        <f ca="1">IFERROR(__xludf.DUMMYFUNCTION("IFERROR(GOOGLEFINANCE(TRIM(F4005)&amp;"":"" &amp; TRIM(B4005),""low52""),AE4005)"),0)</f>
        <v>0</v>
      </c>
      <c r="AI4005" s="1">
        <f ca="1">IFERROR(__xludf.DUMMYFUNCTION("IFERROR(GOOGLEFINANCE(B4005,""eps""),0)"),0)</f>
        <v>0</v>
      </c>
      <c r="AJ4005" s="1"/>
      <c r="AK4005" s="1" t="s">
        <v>12185</v>
      </c>
      <c r="AL4005" s="9">
        <f t="shared" si="370"/>
        <v>1</v>
      </c>
    </row>
    <row r="4006" spans="1:38" ht="15" x14ac:dyDescent="0.25">
      <c r="A4006" s="1" t="s">
        <v>12186</v>
      </c>
      <c r="B4006" s="1" t="s">
        <v>12187</v>
      </c>
      <c r="C4006" s="1" t="s">
        <v>227</v>
      </c>
      <c r="D4006" s="1" t="s">
        <v>227</v>
      </c>
      <c r="E4006" s="6">
        <v>371.74</v>
      </c>
      <c r="F4006" s="1" t="s">
        <v>40</v>
      </c>
      <c r="G4006" s="6">
        <f ca="1">IFERROR(__xludf.DUMMYFUNCTION("iferror(GOOGLEFINANCE(TRIM(F4006)&amp;"":"" &amp; TRIM(B4006), ""price""),0
)"),31)</f>
        <v>31</v>
      </c>
      <c r="H4006" s="6">
        <v>123.02</v>
      </c>
      <c r="I4006" s="6">
        <f t="shared" ca="1" si="0"/>
        <v>31</v>
      </c>
      <c r="J4006" s="6">
        <f ca="1">IFERROR(__xludf.DUMMYFUNCTION("IFERROR(GOOGLEFINANCE(B4006, ""volume""), 0)"),24213)</f>
        <v>24213</v>
      </c>
      <c r="K4006" s="6">
        <v>11.97</v>
      </c>
      <c r="L4006" s="6">
        <f ca="1">IFERROR(__xludf.DUMMYFUNCTION("IFERROR(GOOGLEFINANCE(B4006,""changepct""),K4006)"),-0.77)</f>
        <v>-0.77</v>
      </c>
      <c r="M4006" s="6">
        <f ca="1">IFERROR(__xludf.DUMMYFUNCTION("IFERROR(GOOGLEFINANCE(B4006,""change""),0)"),-0.24)</f>
        <v>-0.24</v>
      </c>
      <c r="N4006" s="6">
        <v>2</v>
      </c>
      <c r="O4006" s="7">
        <v>45536</v>
      </c>
      <c r="P4006" s="6">
        <v>111.83</v>
      </c>
      <c r="Q4006" s="6">
        <v>424.8</v>
      </c>
      <c r="R4006" s="7">
        <v>45536</v>
      </c>
      <c r="S4006" s="6">
        <v>1693.44</v>
      </c>
      <c r="T4006" s="6">
        <v>15.94</v>
      </c>
      <c r="U4006" s="7">
        <v>45536</v>
      </c>
      <c r="V4006" s="6">
        <v>23.32</v>
      </c>
      <c r="W4006" s="6">
        <f ca="1">IFERROR(__xludf.DUMMYFUNCTION("IFERROR(GOOGLEFINANCE(B4006,""pe""),V4006)"),23.32)</f>
        <v>23.32</v>
      </c>
      <c r="X4006" s="12"/>
      <c r="Y4006" s="6">
        <v>1.89</v>
      </c>
      <c r="Z4006" s="6">
        <v>2</v>
      </c>
      <c r="AA4006" s="8">
        <v>45352</v>
      </c>
      <c r="AB4006" s="4">
        <v>0.64</v>
      </c>
      <c r="AC4006" s="6">
        <v>5.51</v>
      </c>
      <c r="AD4006" s="6">
        <v>6.99</v>
      </c>
      <c r="AE4006" s="1">
        <v>0</v>
      </c>
      <c r="AF4006" s="1">
        <f ca="1">IFERROR(__xludf.DUMMYFUNCTION("IFERROR(GOOGLEFINANCE(TRIM(F4006)&amp;"":"" &amp; TRIM(B4006),""high52""),AE4006)"),119.79)</f>
        <v>119.79</v>
      </c>
      <c r="AG4006" s="1">
        <v>0</v>
      </c>
      <c r="AH4006" s="1">
        <f ca="1">IFERROR(__xludf.DUMMYFUNCTION("IFERROR(GOOGLEFINANCE(TRIM(F4006)&amp;"":"" &amp; TRIM(B4006),""low52""),AE4006)"),30.32)</f>
        <v>30.32</v>
      </c>
      <c r="AI4006" s="1">
        <f ca="1">IFERROR(__xludf.DUMMYFUNCTION("IFERROR(GOOGLEFINANCE(B4006,""eps""),0)"),-1.16)</f>
        <v>-1.1599999999999999</v>
      </c>
      <c r="AJ4006" s="1"/>
      <c r="AK4006" s="1" t="s">
        <v>12188</v>
      </c>
      <c r="AL4006" s="9">
        <f t="shared" si="370"/>
        <v>1</v>
      </c>
    </row>
    <row r="4007" spans="1:38" ht="15" x14ac:dyDescent="0.25">
      <c r="A4007" s="1" t="s">
        <v>12189</v>
      </c>
      <c r="B4007" s="1" t="s">
        <v>12190</v>
      </c>
      <c r="C4007" s="1" t="s">
        <v>324</v>
      </c>
      <c r="D4007" s="1" t="s">
        <v>324</v>
      </c>
      <c r="E4007" s="6">
        <v>223.99</v>
      </c>
      <c r="F4007" s="1" t="s">
        <v>40</v>
      </c>
      <c r="G4007" s="6">
        <f ca="1">IFERROR(__xludf.DUMMYFUNCTION("iferror(GOOGLEFINANCE(TRIM(F4007)&amp;"":"" &amp; TRIM(B4007), ""price""),0
)"),0)</f>
        <v>0</v>
      </c>
      <c r="H4007" s="6">
        <v>103.5</v>
      </c>
      <c r="I4007" s="6">
        <f t="shared" ca="1" si="0"/>
        <v>103.5</v>
      </c>
      <c r="J4007" s="6">
        <f ca="1">IFERROR(__xludf.DUMMYFUNCTION("IFERROR(GOOGLEFINANCE(B4007, ""volume""), 0)"),0)</f>
        <v>0</v>
      </c>
      <c r="K4007" s="6">
        <v>1.58</v>
      </c>
      <c r="L4007" s="6">
        <f ca="1">IFERROR(__xludf.DUMMYFUNCTION("IFERROR(GOOGLEFINANCE(B4007,""changepct""),K4007)"),1.58)</f>
        <v>1.58</v>
      </c>
      <c r="M4007" s="6">
        <f ca="1">IFERROR(__xludf.DUMMYFUNCTION("IFERROR(GOOGLEFINANCE(B4007,""change""),0)"),0)</f>
        <v>0</v>
      </c>
      <c r="N4007" s="6">
        <v>1</v>
      </c>
      <c r="O4007" s="7">
        <v>45536</v>
      </c>
      <c r="P4007" s="6">
        <v>38.200000000000003</v>
      </c>
      <c r="Q4007" s="6">
        <v>259.42</v>
      </c>
      <c r="R4007" s="7">
        <v>45536</v>
      </c>
      <c r="S4007" s="6">
        <v>248.55</v>
      </c>
      <c r="T4007" s="6">
        <v>5.97</v>
      </c>
      <c r="U4007" s="7">
        <v>45536</v>
      </c>
      <c r="V4007" s="6">
        <v>37.520000000000003</v>
      </c>
      <c r="W4007" s="6">
        <f ca="1">IFERROR(__xludf.DUMMYFUNCTION("IFERROR(GOOGLEFINANCE(B4007,""pe""),V4007)"),37.52)</f>
        <v>37.520000000000003</v>
      </c>
      <c r="X4007" s="6">
        <v>-1.61</v>
      </c>
      <c r="Y4007" s="6">
        <v>5.09</v>
      </c>
      <c r="Z4007" s="6">
        <v>1</v>
      </c>
      <c r="AA4007" s="8">
        <v>45352</v>
      </c>
      <c r="AB4007" s="4">
        <v>0.94</v>
      </c>
      <c r="AC4007" s="6">
        <v>3.01</v>
      </c>
      <c r="AD4007" s="6">
        <v>7.43</v>
      </c>
      <c r="AE4007" s="1">
        <v>0</v>
      </c>
      <c r="AF4007" s="1">
        <f ca="1">IFERROR(__xludf.DUMMYFUNCTION("IFERROR(GOOGLEFINANCE(TRIM(F4007)&amp;"":"" &amp; TRIM(B4007),""high52""),AE4007)"),0)</f>
        <v>0</v>
      </c>
      <c r="AG4007" s="1">
        <v>0</v>
      </c>
      <c r="AH4007" s="1">
        <f ca="1">IFERROR(__xludf.DUMMYFUNCTION("IFERROR(GOOGLEFINANCE(TRIM(F4007)&amp;"":"" &amp; TRIM(B4007),""low52""),AE4007)"),0)</f>
        <v>0</v>
      </c>
      <c r="AI4007" s="1">
        <f ca="1">IFERROR(__xludf.DUMMYFUNCTION("IFERROR(GOOGLEFINANCE(B4007,""eps""),0)"),0)</f>
        <v>0</v>
      </c>
      <c r="AJ4007" s="1"/>
      <c r="AK4007" s="1" t="s">
        <v>12191</v>
      </c>
      <c r="AL4007" s="9">
        <f t="shared" si="370"/>
        <v>1</v>
      </c>
    </row>
    <row r="4008" spans="1:38" ht="15" x14ac:dyDescent="0.25">
      <c r="A4008" s="1" t="s">
        <v>12192</v>
      </c>
      <c r="B4008" s="1" t="s">
        <v>12193</v>
      </c>
      <c r="C4008" s="1" t="s">
        <v>106</v>
      </c>
      <c r="D4008" s="1" t="s">
        <v>106</v>
      </c>
      <c r="E4008" s="6">
        <v>5117.4399999999996</v>
      </c>
      <c r="F4008" s="1" t="s">
        <v>40</v>
      </c>
      <c r="G4008" s="6">
        <f ca="1">IFERROR(__xludf.DUMMYFUNCTION("iferror(GOOGLEFINANCE(TRIM(F4008)&amp;"":"" &amp; TRIM(B4008), ""price""),0
)"),377.95)</f>
        <v>377.95</v>
      </c>
      <c r="H4008" s="6">
        <v>737.45</v>
      </c>
      <c r="I4008" s="6">
        <f t="shared" ca="1" si="0"/>
        <v>377.95</v>
      </c>
      <c r="J4008" s="6">
        <f ca="1">IFERROR(__xludf.DUMMYFUNCTION("IFERROR(GOOGLEFINANCE(B4008, ""volume""), 0)"),8807)</f>
        <v>8807</v>
      </c>
      <c r="K4008" s="6">
        <v>1.25</v>
      </c>
      <c r="L4008" s="6">
        <f ca="1">IFERROR(__xludf.DUMMYFUNCTION("IFERROR(GOOGLEFINANCE(B4008,""changepct""),K4008)"),0.68)</f>
        <v>0.68</v>
      </c>
      <c r="M4008" s="6">
        <f ca="1">IFERROR(__xludf.DUMMYFUNCTION("IFERROR(GOOGLEFINANCE(B4008,""change""),0)"),2.55)</f>
        <v>2.5499999999999998</v>
      </c>
      <c r="N4008" s="6">
        <v>2</v>
      </c>
      <c r="O4008" s="7">
        <v>45536</v>
      </c>
      <c r="P4008" s="6">
        <v>268.25</v>
      </c>
      <c r="Q4008" s="6">
        <v>5187.66</v>
      </c>
      <c r="R4008" s="7">
        <v>45536</v>
      </c>
      <c r="S4008" s="6">
        <v>1774.67</v>
      </c>
      <c r="T4008" s="6">
        <v>-5.57</v>
      </c>
      <c r="U4008" s="7">
        <v>45536</v>
      </c>
      <c r="V4008" s="6">
        <v>0</v>
      </c>
      <c r="W4008" s="6">
        <f ca="1">IFERROR(__xludf.DUMMYFUNCTION("IFERROR(GOOGLEFINANCE(B4008,""pe""),V4008)"),30.2)</f>
        <v>30.2</v>
      </c>
      <c r="X4008" s="6">
        <v>0</v>
      </c>
      <c r="Y4008" s="6">
        <v>2.13</v>
      </c>
      <c r="Z4008" s="6">
        <v>2</v>
      </c>
      <c r="AA4008" s="8">
        <v>45352</v>
      </c>
      <c r="AB4008" s="4">
        <v>0.09</v>
      </c>
      <c r="AC4008" s="6">
        <v>-2.95</v>
      </c>
      <c r="AD4008" s="6">
        <v>-1.47</v>
      </c>
      <c r="AE4008" s="1">
        <v>0</v>
      </c>
      <c r="AF4008" s="1">
        <f ca="1">IFERROR(__xludf.DUMMYFUNCTION("IFERROR(GOOGLEFINANCE(TRIM(F4008)&amp;"":"" &amp; TRIM(B4008),""high52""),AE4008)"),760)</f>
        <v>760</v>
      </c>
      <c r="AG4008" s="1">
        <v>0</v>
      </c>
      <c r="AH4008" s="1">
        <f ca="1">IFERROR(__xludf.DUMMYFUNCTION("IFERROR(GOOGLEFINANCE(TRIM(F4008)&amp;"":"" &amp; TRIM(B4008),""low52""),AE4008)"),361.05)</f>
        <v>361.05</v>
      </c>
      <c r="AI4008" s="1">
        <f ca="1">IFERROR(__xludf.DUMMYFUNCTION("IFERROR(GOOGLEFINANCE(B4008,""eps""),0)"),12.51)</f>
        <v>12.51</v>
      </c>
      <c r="AJ4008" s="1"/>
      <c r="AK4008" s="1" t="s">
        <v>12194</v>
      </c>
      <c r="AL4008" s="9">
        <f t="shared" si="370"/>
        <v>1</v>
      </c>
    </row>
    <row r="4009" spans="1:38" ht="15" x14ac:dyDescent="0.25">
      <c r="A4009" s="1" t="s">
        <v>12195</v>
      </c>
      <c r="B4009" s="1" t="s">
        <v>12196</v>
      </c>
      <c r="C4009" s="1" t="s">
        <v>186</v>
      </c>
      <c r="D4009" s="1" t="s">
        <v>186</v>
      </c>
      <c r="E4009" s="6">
        <v>61.92</v>
      </c>
      <c r="F4009" s="1" t="s">
        <v>53</v>
      </c>
      <c r="G4009" s="6">
        <f ca="1">IFERROR(__xludf.DUMMYFUNCTION("iferror(GOOGLEFINANCE(TRIM(F4009)&amp;"":"" &amp; TRIM(B4009), ""price""),0
)"),0)</f>
        <v>0</v>
      </c>
      <c r="H4009" s="6">
        <v>6.93</v>
      </c>
      <c r="I4009" s="6">
        <f t="shared" ca="1" si="0"/>
        <v>6.93</v>
      </c>
      <c r="J4009" s="6">
        <f ca="1">IFERROR(__xludf.DUMMYFUNCTION("IFERROR(GOOGLEFINANCE(B4009, ""volume""), 0)"),0)</f>
        <v>0</v>
      </c>
      <c r="K4009" s="6">
        <v>0.73</v>
      </c>
      <c r="L4009" s="6">
        <f ca="1">IFERROR(__xludf.DUMMYFUNCTION("IFERROR(GOOGLEFINANCE(B4009,""changepct""),K4009)"),0.73)</f>
        <v>0.73</v>
      </c>
      <c r="M4009" s="6">
        <f ca="1">IFERROR(__xludf.DUMMYFUNCTION("IFERROR(GOOGLEFINANCE(B4009,""change""),0)"),0)</f>
        <v>0</v>
      </c>
      <c r="N4009" s="6">
        <v>1</v>
      </c>
      <c r="O4009" s="7">
        <v>45536</v>
      </c>
      <c r="P4009" s="6">
        <v>5.03</v>
      </c>
      <c r="Q4009" s="6">
        <v>66.47</v>
      </c>
      <c r="R4009" s="7">
        <v>45536</v>
      </c>
      <c r="S4009" s="6">
        <v>35.65</v>
      </c>
      <c r="T4009" s="6">
        <v>2.11</v>
      </c>
      <c r="U4009" s="7">
        <v>45536</v>
      </c>
      <c r="V4009" s="6">
        <v>29.33</v>
      </c>
      <c r="W4009" s="6">
        <f ca="1">IFERROR(__xludf.DUMMYFUNCTION("IFERROR(GOOGLEFINANCE(B4009,""pe""),V4009)"),29.33)</f>
        <v>29.33</v>
      </c>
      <c r="X4009" s="6">
        <v>-6.14</v>
      </c>
      <c r="Y4009" s="6">
        <v>2.9</v>
      </c>
      <c r="Z4009" s="6">
        <v>1</v>
      </c>
      <c r="AA4009" s="8">
        <v>45352</v>
      </c>
      <c r="AB4009" s="4">
        <v>0.04</v>
      </c>
      <c r="AC4009" s="6">
        <v>10.37</v>
      </c>
      <c r="AD4009" s="6">
        <v>15.3</v>
      </c>
      <c r="AE4009" s="1">
        <v>0</v>
      </c>
      <c r="AF4009" s="1">
        <f ca="1">IFERROR(__xludf.DUMMYFUNCTION("IFERROR(GOOGLEFINANCE(TRIM(F4009)&amp;"":"" &amp; TRIM(B4009),""high52""),AE4009)"),0)</f>
        <v>0</v>
      </c>
      <c r="AG4009" s="1">
        <v>0</v>
      </c>
      <c r="AH4009" s="1">
        <f ca="1">IFERROR(__xludf.DUMMYFUNCTION("IFERROR(GOOGLEFINANCE(TRIM(F4009)&amp;"":"" &amp; TRIM(B4009),""low52""),AE4009)"),0)</f>
        <v>0</v>
      </c>
      <c r="AI4009" s="1">
        <f ca="1">IFERROR(__xludf.DUMMYFUNCTION("IFERROR(GOOGLEFINANCE(B4009,""eps""),0)"),0)</f>
        <v>0</v>
      </c>
      <c r="AJ4009" s="1"/>
      <c r="AK4009" s="1" t="s">
        <v>12197</v>
      </c>
      <c r="AL4009" s="9">
        <f t="shared" si="370"/>
        <v>1</v>
      </c>
    </row>
    <row r="4010" spans="1:38" ht="15" x14ac:dyDescent="0.25">
      <c r="A4010" s="1" t="s">
        <v>12198</v>
      </c>
      <c r="B4010" s="1" t="s">
        <v>12199</v>
      </c>
      <c r="C4010" s="1" t="s">
        <v>57</v>
      </c>
      <c r="D4010" s="1" t="s">
        <v>57</v>
      </c>
      <c r="E4010" s="6">
        <v>1758.79</v>
      </c>
      <c r="F4010" s="1" t="s">
        <v>40</v>
      </c>
      <c r="G4010" s="6">
        <f ca="1">IFERROR(__xludf.DUMMYFUNCTION("iferror(GOOGLEFINANCE(TRIM(F4010)&amp;"":"" &amp; TRIM(B4010), ""price""),0
)"),104)</f>
        <v>104</v>
      </c>
      <c r="H4010" s="6">
        <v>170.34</v>
      </c>
      <c r="I4010" s="6">
        <f t="shared" ca="1" si="0"/>
        <v>104</v>
      </c>
      <c r="J4010" s="6">
        <f ca="1">IFERROR(__xludf.DUMMYFUNCTION("IFERROR(GOOGLEFINANCE(B4010, ""volume""), 0)"),212137)</f>
        <v>212137</v>
      </c>
      <c r="K4010" s="6">
        <v>-0.85</v>
      </c>
      <c r="L4010" s="6">
        <f ca="1">IFERROR(__xludf.DUMMYFUNCTION("IFERROR(GOOGLEFINANCE(B4010,""changepct""),K4010)"),1.73)</f>
        <v>1.73</v>
      </c>
      <c r="M4010" s="6">
        <f ca="1">IFERROR(__xludf.DUMMYFUNCTION("IFERROR(GOOGLEFINANCE(B4010,""change""),0)"),1.77)</f>
        <v>1.77</v>
      </c>
      <c r="N4010" s="6">
        <v>1</v>
      </c>
      <c r="O4010" s="7">
        <v>45536</v>
      </c>
      <c r="P4010" s="9"/>
      <c r="Q4010" s="6">
        <v>1739.55</v>
      </c>
      <c r="R4010" s="14"/>
      <c r="S4010" s="9"/>
      <c r="T4010" s="9"/>
      <c r="U4010" s="7">
        <v>45352</v>
      </c>
      <c r="V4010" s="6">
        <v>134.47999999999999</v>
      </c>
      <c r="W4010" s="6">
        <f ca="1">IFERROR(__xludf.DUMMYFUNCTION("IFERROR(GOOGLEFINANCE(B4010,""pe""),V4010)"),60.77)</f>
        <v>60.77</v>
      </c>
      <c r="X4010" s="12"/>
      <c r="Y4010" s="6">
        <v>22.65</v>
      </c>
      <c r="Z4010" s="6">
        <v>1</v>
      </c>
      <c r="AA4010" s="8">
        <v>45352</v>
      </c>
      <c r="AB4010" s="4">
        <v>0</v>
      </c>
      <c r="AC4010" s="6">
        <v>29.13</v>
      </c>
      <c r="AD4010" s="6">
        <v>29.59</v>
      </c>
      <c r="AE4010" s="1">
        <v>0</v>
      </c>
      <c r="AF4010" s="1">
        <f ca="1">IFERROR(__xludf.DUMMYFUNCTION("IFERROR(GOOGLEFINANCE(TRIM(F4010)&amp;"":"" &amp; TRIM(B4010),""high52""),AE4010)"),164.9)</f>
        <v>164.9</v>
      </c>
      <c r="AG4010" s="1">
        <v>0</v>
      </c>
      <c r="AH4010" s="1">
        <f ca="1">IFERROR(__xludf.DUMMYFUNCTION("IFERROR(GOOGLEFINANCE(TRIM(F4010)&amp;"":"" &amp; TRIM(B4010),""low52""),AE4010)"),96.03)</f>
        <v>96.03</v>
      </c>
      <c r="AI4010" s="1">
        <f ca="1">IFERROR(__xludf.DUMMYFUNCTION("IFERROR(GOOGLEFINANCE(B4010,""eps""),0)"),1.71)</f>
        <v>1.71</v>
      </c>
      <c r="AJ4010" s="1"/>
      <c r="AK4010" s="1" t="s">
        <v>12200</v>
      </c>
      <c r="AL4010" s="9">
        <f t="shared" si="370"/>
        <v>1</v>
      </c>
    </row>
    <row r="4011" spans="1:38" ht="15" x14ac:dyDescent="0.25">
      <c r="A4011" s="1" t="s">
        <v>12201</v>
      </c>
      <c r="B4011" s="1" t="s">
        <v>12202</v>
      </c>
      <c r="C4011" s="1" t="s">
        <v>186</v>
      </c>
      <c r="D4011" s="1" t="s">
        <v>186</v>
      </c>
      <c r="E4011" s="6">
        <v>123.29</v>
      </c>
      <c r="F4011" s="1" t="s">
        <v>53</v>
      </c>
      <c r="G4011" s="6">
        <f ca="1">IFERROR(__xludf.DUMMYFUNCTION("iferror(GOOGLEFINANCE(TRIM(F4011)&amp;"":"" &amp; TRIM(B4011), ""price""),0
)"),0)</f>
        <v>0</v>
      </c>
      <c r="H4011" s="6">
        <v>92.65</v>
      </c>
      <c r="I4011" s="6">
        <f t="shared" ca="1" si="0"/>
        <v>92.65</v>
      </c>
      <c r="J4011" s="6">
        <f ca="1">IFERROR(__xludf.DUMMYFUNCTION("IFERROR(GOOGLEFINANCE(B4011, ""volume""), 0)"),0)</f>
        <v>0</v>
      </c>
      <c r="K4011" s="6">
        <v>0</v>
      </c>
      <c r="L4011" s="6">
        <f ca="1">IFERROR(__xludf.DUMMYFUNCTION("IFERROR(GOOGLEFINANCE(B4011,""changepct""),K4011)"),0)</f>
        <v>0</v>
      </c>
      <c r="M4011" s="6">
        <f ca="1">IFERROR(__xludf.DUMMYFUNCTION("IFERROR(GOOGLEFINANCE(B4011,""change""),0)"),0)</f>
        <v>0</v>
      </c>
      <c r="N4011" s="6">
        <v>2</v>
      </c>
      <c r="O4011" s="7">
        <v>45536</v>
      </c>
      <c r="P4011" s="6">
        <v>7.54</v>
      </c>
      <c r="Q4011" s="6">
        <v>130.18</v>
      </c>
      <c r="R4011" s="7">
        <v>45536</v>
      </c>
      <c r="S4011" s="6">
        <v>97.05</v>
      </c>
      <c r="T4011" s="6">
        <v>-4.83</v>
      </c>
      <c r="U4011" s="7">
        <v>45536</v>
      </c>
      <c r="V4011" s="6">
        <v>0</v>
      </c>
      <c r="W4011" s="6">
        <f ca="1">IFERROR(__xludf.DUMMYFUNCTION("IFERROR(GOOGLEFINANCE(B4011,""pe""),V4011)"),0)</f>
        <v>0</v>
      </c>
      <c r="X4011" s="9"/>
      <c r="Y4011" s="6">
        <v>3.8</v>
      </c>
      <c r="Z4011" s="6">
        <v>2</v>
      </c>
      <c r="AA4011" s="8">
        <v>45352</v>
      </c>
      <c r="AB4011" s="4">
        <v>0.81</v>
      </c>
      <c r="AC4011" s="6">
        <v>-46.83</v>
      </c>
      <c r="AD4011" s="6">
        <v>-9.2899999999999991</v>
      </c>
      <c r="AE4011" s="1">
        <v>0</v>
      </c>
      <c r="AF4011" s="1">
        <f ca="1">IFERROR(__xludf.DUMMYFUNCTION("IFERROR(GOOGLEFINANCE(TRIM(F4011)&amp;"":"" &amp; TRIM(B4011),""high52""),AE4011)"),0)</f>
        <v>0</v>
      </c>
      <c r="AG4011" s="1">
        <v>0</v>
      </c>
      <c r="AH4011" s="1">
        <f ca="1">IFERROR(__xludf.DUMMYFUNCTION("IFERROR(GOOGLEFINANCE(TRIM(F4011)&amp;"":"" &amp; TRIM(B4011),""low52""),AE4011)"),0)</f>
        <v>0</v>
      </c>
      <c r="AI4011" s="1">
        <f ca="1">IFERROR(__xludf.DUMMYFUNCTION("IFERROR(GOOGLEFINANCE(B4011,""eps""),0)"),0)</f>
        <v>0</v>
      </c>
      <c r="AJ4011" s="1"/>
      <c r="AK4011" s="12"/>
      <c r="AL4011" s="9">
        <f t="shared" si="370"/>
        <v>1</v>
      </c>
    </row>
    <row r="4012" spans="1:38" ht="15" x14ac:dyDescent="0.25">
      <c r="A4012" s="1" t="s">
        <v>12203</v>
      </c>
      <c r="B4012" s="1" t="s">
        <v>12204</v>
      </c>
      <c r="C4012" s="1" t="s">
        <v>163</v>
      </c>
      <c r="D4012" s="1" t="s">
        <v>163</v>
      </c>
      <c r="E4012" s="6">
        <v>224.84</v>
      </c>
      <c r="F4012" s="1" t="s">
        <v>40</v>
      </c>
      <c r="G4012" s="6">
        <f ca="1">IFERROR(__xludf.DUMMYFUNCTION("iferror(GOOGLEFINANCE(TRIM(F4012)&amp;"":"" &amp; TRIM(B4012), ""price""),0
)"),0)</f>
        <v>0</v>
      </c>
      <c r="H4012" s="6">
        <v>146</v>
      </c>
      <c r="I4012" s="6">
        <f t="shared" ca="1" si="0"/>
        <v>146</v>
      </c>
      <c r="J4012" s="6">
        <f ca="1">IFERROR(__xludf.DUMMYFUNCTION("IFERROR(GOOGLEFINANCE(B4012, ""volume""), 0)"),0)</f>
        <v>0</v>
      </c>
      <c r="K4012" s="9"/>
      <c r="L4012" s="6" t="str">
        <f ca="1">IFERROR(__xludf.DUMMYFUNCTION("IFERROR(GOOGLEFINANCE(B4012,""changepct""),K4012)"),"")</f>
        <v/>
      </c>
      <c r="M4012" s="6">
        <f ca="1">IFERROR(__xludf.DUMMYFUNCTION("IFERROR(GOOGLEFINANCE(B4012,""change""),0)"),0)</f>
        <v>0</v>
      </c>
      <c r="N4012" s="6">
        <v>1</v>
      </c>
      <c r="O4012" s="7">
        <v>45536</v>
      </c>
      <c r="P4012" s="6">
        <v>1.1499999999999999</v>
      </c>
      <c r="Q4012" s="6">
        <v>225.99</v>
      </c>
      <c r="R4012" s="7">
        <v>45352</v>
      </c>
      <c r="S4012" s="6">
        <v>4.2300000000000004</v>
      </c>
      <c r="T4012" s="6">
        <v>3.03</v>
      </c>
      <c r="U4012" s="7">
        <v>45352</v>
      </c>
      <c r="V4012" s="6">
        <v>74.08</v>
      </c>
      <c r="W4012" s="6">
        <f ca="1">IFERROR(__xludf.DUMMYFUNCTION("IFERROR(GOOGLEFINANCE(B4012,""pe""),V4012)"),74.08)</f>
        <v>74.08</v>
      </c>
      <c r="X4012" s="9"/>
      <c r="Y4012" s="6">
        <v>3.49</v>
      </c>
      <c r="Z4012" s="6">
        <v>2</v>
      </c>
      <c r="AA4012" s="8">
        <v>45352</v>
      </c>
      <c r="AB4012" s="4">
        <v>0.18</v>
      </c>
      <c r="AC4012" s="6">
        <v>18.39</v>
      </c>
      <c r="AD4012" s="6">
        <v>20.190000000000001</v>
      </c>
      <c r="AE4012" s="1">
        <v>0</v>
      </c>
      <c r="AF4012" s="1">
        <f ca="1">IFERROR(__xludf.DUMMYFUNCTION("IFERROR(GOOGLEFINANCE(TRIM(F4012)&amp;"":"" &amp; TRIM(B4012),""high52""),AE4012)"),0)</f>
        <v>0</v>
      </c>
      <c r="AG4012" s="1">
        <v>0</v>
      </c>
      <c r="AH4012" s="1">
        <f ca="1">IFERROR(__xludf.DUMMYFUNCTION("IFERROR(GOOGLEFINANCE(TRIM(F4012)&amp;"":"" &amp; TRIM(B4012),""low52""),AE4012)"),0)</f>
        <v>0</v>
      </c>
      <c r="AI4012" s="1">
        <f ca="1">IFERROR(__xludf.DUMMYFUNCTION("IFERROR(GOOGLEFINANCE(B4012,""eps""),0)"),0)</f>
        <v>0</v>
      </c>
      <c r="AJ4012" s="1"/>
      <c r="AK4012" s="1" t="s">
        <v>12205</v>
      </c>
      <c r="AL4012" s="9">
        <f t="shared" si="370"/>
        <v>1</v>
      </c>
    </row>
    <row r="4013" spans="1:38" ht="15" x14ac:dyDescent="0.25">
      <c r="A4013" s="1" t="s">
        <v>12206</v>
      </c>
      <c r="B4013" s="1" t="s">
        <v>12207</v>
      </c>
      <c r="C4013" s="1" t="s">
        <v>186</v>
      </c>
      <c r="D4013" s="1" t="s">
        <v>186</v>
      </c>
      <c r="E4013" s="6">
        <v>177.92</v>
      </c>
      <c r="F4013" s="1" t="s">
        <v>53</v>
      </c>
      <c r="G4013" s="6">
        <f ca="1">IFERROR(__xludf.DUMMYFUNCTION("iferror(GOOGLEFINANCE(TRIM(F4013)&amp;"":"" &amp; TRIM(B4013), ""price""),0
)"),0)</f>
        <v>0</v>
      </c>
      <c r="H4013" s="6">
        <v>170</v>
      </c>
      <c r="I4013" s="6">
        <f t="shared" ca="1" si="0"/>
        <v>170</v>
      </c>
      <c r="J4013" s="6">
        <f ca="1">IFERROR(__xludf.DUMMYFUNCTION("IFERROR(GOOGLEFINANCE(B4013, ""volume""), 0)"),0)</f>
        <v>0</v>
      </c>
      <c r="K4013" s="6">
        <v>-1.79</v>
      </c>
      <c r="L4013" s="6">
        <f ca="1">IFERROR(__xludf.DUMMYFUNCTION("IFERROR(GOOGLEFINANCE(B4013,""changepct""),K4013)"),-1.79)</f>
        <v>-1.79</v>
      </c>
      <c r="M4013" s="6">
        <f ca="1">IFERROR(__xludf.DUMMYFUNCTION("IFERROR(GOOGLEFINANCE(B4013,""change""),0)"),0)</f>
        <v>0</v>
      </c>
      <c r="N4013" s="6">
        <v>1</v>
      </c>
      <c r="O4013" s="7">
        <v>45536</v>
      </c>
      <c r="P4013" s="6">
        <v>37.909999999999997</v>
      </c>
      <c r="Q4013" s="6">
        <v>215.67</v>
      </c>
      <c r="R4013" s="7">
        <v>45536</v>
      </c>
      <c r="S4013" s="6">
        <v>105.34</v>
      </c>
      <c r="T4013" s="6">
        <v>2.16</v>
      </c>
      <c r="U4013" s="15">
        <v>45536</v>
      </c>
      <c r="V4013" s="6">
        <v>82.56</v>
      </c>
      <c r="W4013" s="6">
        <f ca="1">IFERROR(__xludf.DUMMYFUNCTION("IFERROR(GOOGLEFINANCE(B4013,""pe""),V4013)"),82.56)</f>
        <v>82.56</v>
      </c>
      <c r="X4013" s="6">
        <v>-11.04</v>
      </c>
      <c r="Y4013" s="6">
        <v>9.17</v>
      </c>
      <c r="Z4013" s="6">
        <v>1</v>
      </c>
      <c r="AA4013" s="8">
        <v>45352</v>
      </c>
      <c r="AB4013" s="4">
        <v>2.2799999999999998</v>
      </c>
      <c r="AC4013" s="6">
        <v>6.88</v>
      </c>
      <c r="AD4013" s="6">
        <v>10.11</v>
      </c>
      <c r="AE4013" s="1">
        <v>0</v>
      </c>
      <c r="AF4013" s="1">
        <f ca="1">IFERROR(__xludf.DUMMYFUNCTION("IFERROR(GOOGLEFINANCE(TRIM(F4013)&amp;"":"" &amp; TRIM(B4013),""high52""),AE4013)"),0)</f>
        <v>0</v>
      </c>
      <c r="AG4013" s="1">
        <v>0</v>
      </c>
      <c r="AH4013" s="1">
        <f ca="1">IFERROR(__xludf.DUMMYFUNCTION("IFERROR(GOOGLEFINANCE(TRIM(F4013)&amp;"":"" &amp; TRIM(B4013),""low52""),AE4013)"),0)</f>
        <v>0</v>
      </c>
      <c r="AI4013" s="1">
        <f ca="1">IFERROR(__xludf.DUMMYFUNCTION("IFERROR(GOOGLEFINANCE(B4013,""eps""),0)"),0)</f>
        <v>0</v>
      </c>
      <c r="AJ4013" s="1"/>
      <c r="AK4013" s="6">
        <v>31.97</v>
      </c>
      <c r="AL4013" s="9">
        <f t="shared" si="370"/>
        <v>1</v>
      </c>
    </row>
    <row r="4014" spans="1:38" ht="15" x14ac:dyDescent="0.25">
      <c r="A4014" s="1" t="s">
        <v>12208</v>
      </c>
      <c r="B4014" s="1" t="s">
        <v>12209</v>
      </c>
      <c r="C4014" s="1" t="s">
        <v>186</v>
      </c>
      <c r="D4014" s="1" t="s">
        <v>186</v>
      </c>
      <c r="E4014" s="6">
        <v>20.47</v>
      </c>
      <c r="F4014" s="1" t="s">
        <v>53</v>
      </c>
      <c r="G4014" s="6">
        <f ca="1">IFERROR(__xludf.DUMMYFUNCTION("iferror(GOOGLEFINANCE(TRIM(F4014)&amp;"":"" &amp; TRIM(B4014), ""price""),0
)"),0)</f>
        <v>0</v>
      </c>
      <c r="H4014" s="6">
        <v>24.76</v>
      </c>
      <c r="I4014" s="6">
        <f t="shared" ca="1" si="0"/>
        <v>24.76</v>
      </c>
      <c r="J4014" s="6">
        <f ca="1">IFERROR(__xludf.DUMMYFUNCTION("IFERROR(GOOGLEFINANCE(B4014, ""volume""), 0)"),0)</f>
        <v>0</v>
      </c>
      <c r="K4014" s="12"/>
      <c r="L4014" s="6" t="str">
        <f ca="1">IFERROR(__xludf.DUMMYFUNCTION("IFERROR(GOOGLEFINANCE(B4014,""changepct""),K4014)"),"")</f>
        <v/>
      </c>
      <c r="M4014" s="6">
        <f ca="1">IFERROR(__xludf.DUMMYFUNCTION("IFERROR(GOOGLEFINANCE(B4014,""change""),0)"),0)</f>
        <v>0</v>
      </c>
      <c r="N4014" s="6">
        <v>2</v>
      </c>
      <c r="O4014" s="15">
        <v>45536</v>
      </c>
      <c r="P4014" s="6">
        <v>19.350000000000001</v>
      </c>
      <c r="Q4014" s="6">
        <v>39.82</v>
      </c>
      <c r="R4014" s="7">
        <v>45536</v>
      </c>
      <c r="S4014" s="6">
        <v>107.58</v>
      </c>
      <c r="T4014" s="6">
        <v>2.21</v>
      </c>
      <c r="U4014" s="7">
        <v>45536</v>
      </c>
      <c r="V4014" s="6">
        <v>9.26</v>
      </c>
      <c r="W4014" s="6">
        <f ca="1">IFERROR(__xludf.DUMMYFUNCTION("IFERROR(GOOGLEFINANCE(B4014,""pe""),V4014)"),9.26)</f>
        <v>9.26</v>
      </c>
      <c r="X4014" s="6">
        <v>-1.53</v>
      </c>
      <c r="Y4014" s="6">
        <v>1.05</v>
      </c>
      <c r="Z4014" s="6">
        <v>2</v>
      </c>
      <c r="AA4014" s="8">
        <v>45352</v>
      </c>
      <c r="AB4014" s="4">
        <v>1.1399999999999999</v>
      </c>
      <c r="AC4014" s="6">
        <v>4.55</v>
      </c>
      <c r="AD4014" s="6">
        <v>7.01</v>
      </c>
      <c r="AE4014" s="1">
        <v>0</v>
      </c>
      <c r="AF4014" s="1">
        <f ca="1">IFERROR(__xludf.DUMMYFUNCTION("IFERROR(GOOGLEFINANCE(TRIM(F4014)&amp;"":"" &amp; TRIM(B4014),""high52""),AE4014)"),0)</f>
        <v>0</v>
      </c>
      <c r="AG4014" s="1">
        <v>0</v>
      </c>
      <c r="AH4014" s="1">
        <f ca="1">IFERROR(__xludf.DUMMYFUNCTION("IFERROR(GOOGLEFINANCE(TRIM(F4014)&amp;"":"" &amp; TRIM(B4014),""low52""),AE4014)"),0)</f>
        <v>0</v>
      </c>
      <c r="AI4014" s="1">
        <f ca="1">IFERROR(__xludf.DUMMYFUNCTION("IFERROR(GOOGLEFINANCE(B4014,""eps""),0)"),0)</f>
        <v>0</v>
      </c>
      <c r="AJ4014" s="1"/>
      <c r="AK4014" s="9"/>
      <c r="AL4014" s="9">
        <f t="shared" si="370"/>
        <v>1</v>
      </c>
    </row>
    <row r="4015" spans="1:38" ht="15" x14ac:dyDescent="0.25">
      <c r="A4015" s="1" t="s">
        <v>12210</v>
      </c>
      <c r="B4015" s="1" t="s">
        <v>12211</v>
      </c>
      <c r="C4015" s="1" t="s">
        <v>186</v>
      </c>
      <c r="D4015" s="1" t="s">
        <v>186</v>
      </c>
      <c r="E4015" s="6">
        <v>10.08</v>
      </c>
      <c r="F4015" s="1" t="s">
        <v>53</v>
      </c>
      <c r="G4015" s="6">
        <f ca="1">IFERROR(__xludf.DUMMYFUNCTION("iferror(GOOGLEFINANCE(TRIM(F4015)&amp;"":"" &amp; TRIM(B4015), ""price""),0
)"),0)</f>
        <v>0</v>
      </c>
      <c r="H4015" s="6">
        <v>35.200000000000003</v>
      </c>
      <c r="I4015" s="6">
        <f t="shared" ca="1" si="0"/>
        <v>35.200000000000003</v>
      </c>
      <c r="J4015" s="6">
        <f ca="1">IFERROR(__xludf.DUMMYFUNCTION("IFERROR(GOOGLEFINANCE(B4015, ""volume""), 0)"),0)</f>
        <v>0</v>
      </c>
      <c r="K4015" s="6">
        <v>4.76</v>
      </c>
      <c r="L4015" s="6">
        <f ca="1">IFERROR(__xludf.DUMMYFUNCTION("IFERROR(GOOGLEFINANCE(B4015,""changepct""),K4015)"),4.76)</f>
        <v>4.76</v>
      </c>
      <c r="M4015" s="6">
        <f ca="1">IFERROR(__xludf.DUMMYFUNCTION("IFERROR(GOOGLEFINANCE(B4015,""change""),0)"),0)</f>
        <v>0</v>
      </c>
      <c r="N4015" s="6">
        <v>1</v>
      </c>
      <c r="O4015" s="7">
        <v>45536</v>
      </c>
      <c r="P4015" s="6">
        <v>5.61</v>
      </c>
      <c r="Q4015" s="6">
        <v>15.15</v>
      </c>
      <c r="R4015" s="7">
        <v>45536</v>
      </c>
      <c r="S4015" s="6">
        <v>7.65</v>
      </c>
      <c r="T4015" s="6">
        <v>0.25</v>
      </c>
      <c r="U4015" s="7">
        <v>45536</v>
      </c>
      <c r="V4015" s="6">
        <v>41.14</v>
      </c>
      <c r="W4015" s="6">
        <f ca="1">IFERROR(__xludf.DUMMYFUNCTION("IFERROR(GOOGLEFINANCE(B4015,""pe""),V4015)"),41.14)</f>
        <v>41.14</v>
      </c>
      <c r="X4015" s="6">
        <v>1.82</v>
      </c>
      <c r="Y4015" s="6">
        <v>3.26</v>
      </c>
      <c r="Z4015" s="6">
        <v>1</v>
      </c>
      <c r="AA4015" s="8">
        <v>45352</v>
      </c>
      <c r="AB4015" s="4">
        <v>1.95</v>
      </c>
      <c r="AC4015" s="6">
        <v>2.99</v>
      </c>
      <c r="AD4015" s="6">
        <v>5.52</v>
      </c>
      <c r="AE4015" s="1">
        <v>0</v>
      </c>
      <c r="AF4015" s="1">
        <f ca="1">IFERROR(__xludf.DUMMYFUNCTION("IFERROR(GOOGLEFINANCE(TRIM(F4015)&amp;"":"" &amp; TRIM(B4015),""high52""),AE4015)"),0)</f>
        <v>0</v>
      </c>
      <c r="AG4015" s="1">
        <v>0</v>
      </c>
      <c r="AH4015" s="1">
        <f ca="1">IFERROR(__xludf.DUMMYFUNCTION("IFERROR(GOOGLEFINANCE(TRIM(F4015)&amp;"":"" &amp; TRIM(B4015),""low52""),AE4015)"),0)</f>
        <v>0</v>
      </c>
      <c r="AI4015" s="1">
        <f ca="1">IFERROR(__xludf.DUMMYFUNCTION("IFERROR(GOOGLEFINANCE(B4015,""eps""),0)"),0)</f>
        <v>0</v>
      </c>
      <c r="AJ4015" s="1"/>
      <c r="AK4015" s="9"/>
      <c r="AL4015" s="9">
        <f t="shared" si="370"/>
        <v>1</v>
      </c>
    </row>
    <row r="4016" spans="1:38" ht="15" x14ac:dyDescent="0.25">
      <c r="A4016" s="1" t="s">
        <v>12212</v>
      </c>
      <c r="B4016" s="1" t="s">
        <v>12213</v>
      </c>
      <c r="C4016" s="1" t="s">
        <v>186</v>
      </c>
      <c r="D4016" s="1" t="s">
        <v>186</v>
      </c>
      <c r="E4016" s="6">
        <v>111.05</v>
      </c>
      <c r="F4016" s="1" t="s">
        <v>53</v>
      </c>
      <c r="G4016" s="6">
        <f ca="1">IFERROR(__xludf.DUMMYFUNCTION("iferror(GOOGLEFINANCE(TRIM(F4016)&amp;"":"" &amp; TRIM(B4016), ""price""),0
)"),0)</f>
        <v>0</v>
      </c>
      <c r="H4016" s="6">
        <v>10.58</v>
      </c>
      <c r="I4016" s="6">
        <f t="shared" ca="1" si="0"/>
        <v>10.58</v>
      </c>
      <c r="J4016" s="6">
        <f ca="1">IFERROR(__xludf.DUMMYFUNCTION("IFERROR(GOOGLEFINANCE(B4016, ""volume""), 0)"),0)</f>
        <v>0</v>
      </c>
      <c r="K4016" s="6">
        <v>1.93</v>
      </c>
      <c r="L4016" s="6">
        <f ca="1">IFERROR(__xludf.DUMMYFUNCTION("IFERROR(GOOGLEFINANCE(B4016,""changepct""),K4016)"),1.93)</f>
        <v>1.93</v>
      </c>
      <c r="M4016" s="6">
        <f ca="1">IFERROR(__xludf.DUMMYFUNCTION("IFERROR(GOOGLEFINANCE(B4016,""change""),0)"),0)</f>
        <v>0</v>
      </c>
      <c r="N4016" s="6">
        <v>1</v>
      </c>
      <c r="O4016" s="7">
        <v>45536</v>
      </c>
      <c r="P4016" s="6">
        <v>0.15</v>
      </c>
      <c r="Q4016" s="6">
        <v>111.19</v>
      </c>
      <c r="R4016" s="7">
        <v>45536</v>
      </c>
      <c r="S4016" s="6">
        <v>4.2699999999999996</v>
      </c>
      <c r="T4016" s="6">
        <v>0.11</v>
      </c>
      <c r="U4016" s="7">
        <v>45536</v>
      </c>
      <c r="V4016" s="6">
        <v>0</v>
      </c>
      <c r="W4016" s="6">
        <f ca="1">IFERROR(__xludf.DUMMYFUNCTION("IFERROR(GOOGLEFINANCE(B4016,""pe""),V4016)"),0)</f>
        <v>0</v>
      </c>
      <c r="X4016" s="6">
        <v>0</v>
      </c>
      <c r="Y4016" s="6">
        <v>9.66</v>
      </c>
      <c r="Z4016" s="6">
        <v>1</v>
      </c>
      <c r="AA4016" s="8">
        <v>45352</v>
      </c>
      <c r="AB4016" s="4">
        <v>7.0000000000000007E-2</v>
      </c>
      <c r="AC4016" s="6">
        <v>0.89</v>
      </c>
      <c r="AD4016" s="6">
        <v>1.47</v>
      </c>
      <c r="AE4016" s="1">
        <v>0</v>
      </c>
      <c r="AF4016" s="1">
        <f ca="1">IFERROR(__xludf.DUMMYFUNCTION("IFERROR(GOOGLEFINANCE(TRIM(F4016)&amp;"":"" &amp; TRIM(B4016),""high52""),AE4016)"),0)</f>
        <v>0</v>
      </c>
      <c r="AG4016" s="1">
        <v>0</v>
      </c>
      <c r="AH4016" s="1">
        <f ca="1">IFERROR(__xludf.DUMMYFUNCTION("IFERROR(GOOGLEFINANCE(TRIM(F4016)&amp;"":"" &amp; TRIM(B4016),""low52""),AE4016)"),0)</f>
        <v>0</v>
      </c>
      <c r="AI4016" s="1">
        <f ca="1">IFERROR(__xludf.DUMMYFUNCTION("IFERROR(GOOGLEFINANCE(B4016,""eps""),0)"),0)</f>
        <v>0</v>
      </c>
      <c r="AJ4016" s="1"/>
      <c r="AK4016" s="1" t="s">
        <v>12214</v>
      </c>
      <c r="AL4016" s="9">
        <f t="shared" si="370"/>
        <v>1</v>
      </c>
    </row>
    <row r="4017" spans="1:38" ht="15" x14ac:dyDescent="0.25">
      <c r="A4017" s="1" t="s">
        <v>12215</v>
      </c>
      <c r="B4017" s="1" t="s">
        <v>12216</v>
      </c>
      <c r="C4017" s="1" t="s">
        <v>1129</v>
      </c>
      <c r="D4017" s="1" t="s">
        <v>1129</v>
      </c>
      <c r="E4017" s="6">
        <v>36.9</v>
      </c>
      <c r="F4017" s="1" t="s">
        <v>40</v>
      </c>
      <c r="G4017" s="6">
        <f ca="1">IFERROR(__xludf.DUMMYFUNCTION("iferror(GOOGLEFINANCE(TRIM(F4017)&amp;"":"" &amp; TRIM(B4017), ""price""),0
)"),15.24)</f>
        <v>15.24</v>
      </c>
      <c r="H4017" s="6">
        <v>35.19</v>
      </c>
      <c r="I4017" s="6">
        <f t="shared" ca="1" si="0"/>
        <v>15.24</v>
      </c>
      <c r="J4017" s="6">
        <f ca="1">IFERROR(__xludf.DUMMYFUNCTION("IFERROR(GOOGLEFINANCE(B4017, ""volume""), 0)"),2040)</f>
        <v>2040</v>
      </c>
      <c r="K4017" s="6">
        <v>1.97</v>
      </c>
      <c r="L4017" s="6">
        <f ca="1">IFERROR(__xludf.DUMMYFUNCTION("IFERROR(GOOGLEFINANCE(B4017,""changepct""),K4017)"),1.6)</f>
        <v>1.6</v>
      </c>
      <c r="M4017" s="6">
        <f ca="1">IFERROR(__xludf.DUMMYFUNCTION("IFERROR(GOOGLEFINANCE(B4017,""change""),0)"),0.24)</f>
        <v>0.24</v>
      </c>
      <c r="N4017" s="6">
        <v>2</v>
      </c>
      <c r="O4017" s="7">
        <v>45536</v>
      </c>
      <c r="P4017" s="6">
        <v>3.93</v>
      </c>
      <c r="Q4017" s="6">
        <v>40.74</v>
      </c>
      <c r="R4017" s="7">
        <v>45536</v>
      </c>
      <c r="S4017" s="6">
        <v>39.79</v>
      </c>
      <c r="T4017" s="6">
        <v>-0.88</v>
      </c>
      <c r="U4017" s="7">
        <v>45536</v>
      </c>
      <c r="V4017" s="6">
        <v>0</v>
      </c>
      <c r="W4017" s="6">
        <f ca="1">IFERROR(__xludf.DUMMYFUNCTION("IFERROR(GOOGLEFINANCE(B4017,""pe""),V4017)"),105.45)</f>
        <v>105.45</v>
      </c>
      <c r="X4017" s="6">
        <v>0</v>
      </c>
      <c r="Y4017" s="6">
        <v>1.1299999999999999</v>
      </c>
      <c r="Z4017" s="6">
        <v>2</v>
      </c>
      <c r="AA4017" s="8">
        <v>45352</v>
      </c>
      <c r="AB4017" s="4">
        <v>0.04</v>
      </c>
      <c r="AC4017" s="6">
        <v>1.65</v>
      </c>
      <c r="AD4017" s="6">
        <v>2.65</v>
      </c>
      <c r="AE4017" s="1">
        <v>0</v>
      </c>
      <c r="AF4017" s="1">
        <f ca="1">IFERROR(__xludf.DUMMYFUNCTION("IFERROR(GOOGLEFINANCE(TRIM(F4017)&amp;"":"" &amp; TRIM(B4017),""high52""),AE4017)"),33.5)</f>
        <v>33.5</v>
      </c>
      <c r="AG4017" s="1">
        <v>0</v>
      </c>
      <c r="AH4017" s="1">
        <f ca="1">IFERROR(__xludf.DUMMYFUNCTION("IFERROR(GOOGLEFINANCE(TRIM(F4017)&amp;"":"" &amp; TRIM(B4017),""low52""),AE4017)"),13.5)</f>
        <v>13.5</v>
      </c>
      <c r="AI4017" s="1">
        <f ca="1">IFERROR(__xludf.DUMMYFUNCTION("IFERROR(GOOGLEFINANCE(B4017,""eps""),0)"),0.14)</f>
        <v>0.14000000000000001</v>
      </c>
      <c r="AJ4017" s="1"/>
      <c r="AK4017" s="1" t="s">
        <v>12217</v>
      </c>
      <c r="AL4017" s="9">
        <f t="shared" si="370"/>
        <v>1</v>
      </c>
    </row>
    <row r="4018" spans="1:38" ht="15" x14ac:dyDescent="0.25">
      <c r="A4018" s="1" t="s">
        <v>12218</v>
      </c>
      <c r="B4018" s="1" t="s">
        <v>12219</v>
      </c>
      <c r="C4018" s="1" t="s">
        <v>135</v>
      </c>
      <c r="D4018" s="1" t="s">
        <v>135</v>
      </c>
      <c r="E4018" s="6">
        <v>117.31</v>
      </c>
      <c r="F4018" s="1" t="s">
        <v>40</v>
      </c>
      <c r="G4018" s="6">
        <f ca="1">IFERROR(__xludf.DUMMYFUNCTION("iferror(GOOGLEFINANCE(TRIM(F4018)&amp;"":"" &amp; TRIM(B4018), ""price""),0
)"),0)</f>
        <v>0</v>
      </c>
      <c r="H4018" s="6">
        <v>86.15</v>
      </c>
      <c r="I4018" s="6">
        <f t="shared" ca="1" si="0"/>
        <v>86.15</v>
      </c>
      <c r="J4018" s="6">
        <f ca="1">IFERROR(__xludf.DUMMYFUNCTION("IFERROR(GOOGLEFINANCE(B4018, ""volume""), 0)"),0)</f>
        <v>0</v>
      </c>
      <c r="K4018" s="12"/>
      <c r="L4018" s="6" t="str">
        <f ca="1">IFERROR(__xludf.DUMMYFUNCTION("IFERROR(GOOGLEFINANCE(B4018,""changepct""),K4018)"),"")</f>
        <v/>
      </c>
      <c r="M4018" s="6">
        <f ca="1">IFERROR(__xludf.DUMMYFUNCTION("IFERROR(GOOGLEFINANCE(B4018,""change""),0)"),0)</f>
        <v>0</v>
      </c>
      <c r="N4018" s="6">
        <v>1</v>
      </c>
      <c r="O4018" s="7">
        <v>45536</v>
      </c>
      <c r="P4018" s="6">
        <v>12.42</v>
      </c>
      <c r="Q4018" s="6">
        <v>129.72999999999999</v>
      </c>
      <c r="R4018" s="12"/>
      <c r="S4018" s="12"/>
      <c r="T4018" s="12"/>
      <c r="U4018" s="7">
        <v>45352</v>
      </c>
      <c r="V4018" s="6">
        <v>19.02</v>
      </c>
      <c r="W4018" s="6">
        <f ca="1">IFERROR(__xludf.DUMMYFUNCTION("IFERROR(GOOGLEFINANCE(B4018,""pe""),V4018)"),19.02)</f>
        <v>19.02</v>
      </c>
      <c r="X4018" s="12"/>
      <c r="Y4018" s="6">
        <v>1.72</v>
      </c>
      <c r="Z4018" s="6">
        <v>1</v>
      </c>
      <c r="AA4018" s="8">
        <v>45352</v>
      </c>
      <c r="AB4018" s="4">
        <v>0.59</v>
      </c>
      <c r="AC4018" s="6">
        <v>17.899999999999999</v>
      </c>
      <c r="AD4018" s="6">
        <v>18.190000000000001</v>
      </c>
      <c r="AE4018" s="1">
        <v>0</v>
      </c>
      <c r="AF4018" s="1">
        <f ca="1">IFERROR(__xludf.DUMMYFUNCTION("IFERROR(GOOGLEFINANCE(TRIM(F4018)&amp;"":"" &amp; TRIM(B4018),""high52""),AE4018)"),0)</f>
        <v>0</v>
      </c>
      <c r="AG4018" s="1">
        <v>0</v>
      </c>
      <c r="AH4018" s="1">
        <f ca="1">IFERROR(__xludf.DUMMYFUNCTION("IFERROR(GOOGLEFINANCE(TRIM(F4018)&amp;"":"" &amp; TRIM(B4018),""low52""),AE4018)"),0)</f>
        <v>0</v>
      </c>
      <c r="AI4018" s="1">
        <f ca="1">IFERROR(__xludf.DUMMYFUNCTION("IFERROR(GOOGLEFINANCE(B4018,""eps""),0)"),0)</f>
        <v>0</v>
      </c>
      <c r="AJ4018" s="1"/>
      <c r="AK4018" s="1" t="s">
        <v>12220</v>
      </c>
      <c r="AL4018" s="9">
        <f t="shared" si="370"/>
        <v>1</v>
      </c>
    </row>
    <row r="4019" spans="1:38" ht="15" x14ac:dyDescent="0.25">
      <c r="A4019" s="1" t="s">
        <v>12221</v>
      </c>
      <c r="B4019" s="1" t="s">
        <v>12222</v>
      </c>
      <c r="C4019" s="1" t="s">
        <v>1019</v>
      </c>
      <c r="D4019" s="1" t="s">
        <v>1019</v>
      </c>
      <c r="E4019" s="6">
        <v>7406.29</v>
      </c>
      <c r="F4019" s="1" t="s">
        <v>40</v>
      </c>
      <c r="G4019" s="6">
        <f ca="1">IFERROR(__xludf.DUMMYFUNCTION("iferror(GOOGLEFINANCE(TRIM(F4019)&amp;"":"" &amp; TRIM(B4019), ""price""),0
)"),861)</f>
        <v>861</v>
      </c>
      <c r="H4019" s="6">
        <v>1414.8</v>
      </c>
      <c r="I4019" s="6">
        <f t="shared" ca="1" si="0"/>
        <v>861</v>
      </c>
      <c r="J4019" s="6">
        <f ca="1">IFERROR(__xludf.DUMMYFUNCTION("IFERROR(GOOGLEFINANCE(B4019, ""volume""), 0)"),0)</f>
        <v>0</v>
      </c>
      <c r="K4019" s="6">
        <v>-2.91</v>
      </c>
      <c r="L4019" s="6">
        <f ca="1">IFERROR(__xludf.DUMMYFUNCTION("IFERROR(GOOGLEFINANCE(B4019,""changepct""),K4019)"),-2.91)</f>
        <v>-2.91</v>
      </c>
      <c r="M4019" s="6">
        <f ca="1">IFERROR(__xludf.DUMMYFUNCTION("IFERROR(GOOGLEFINANCE(B4019,""change""),0)"),0)</f>
        <v>0</v>
      </c>
      <c r="N4019" s="6">
        <v>1</v>
      </c>
      <c r="O4019" s="7">
        <v>45352</v>
      </c>
      <c r="P4019" s="6">
        <v>28.86</v>
      </c>
      <c r="Q4019" s="6">
        <v>7427.5</v>
      </c>
      <c r="R4019" s="14"/>
      <c r="S4019" s="9"/>
      <c r="T4019" s="9"/>
      <c r="U4019" s="6">
        <v>0</v>
      </c>
      <c r="V4019" s="9"/>
      <c r="W4019" s="6" t="str">
        <f ca="1">IFERROR(__xludf.DUMMYFUNCTION("IFERROR(GOOGLEFINANCE(B4019,""pe""),V4019)"),"")</f>
        <v/>
      </c>
      <c r="X4019" s="12"/>
      <c r="Y4019" s="9"/>
      <c r="Z4019" s="6">
        <v>2</v>
      </c>
      <c r="AA4019" s="8">
        <v>45352</v>
      </c>
      <c r="AB4019" s="4">
        <v>0.27</v>
      </c>
      <c r="AC4019" s="6">
        <v>73.849999999999994</v>
      </c>
      <c r="AD4019" s="6">
        <v>76.55</v>
      </c>
      <c r="AE4019" s="1">
        <v>0</v>
      </c>
      <c r="AF4019" s="1">
        <f ca="1">IFERROR(__xludf.DUMMYFUNCTION("IFERROR(GOOGLEFINANCE(TRIM(F4019)&amp;"":"" &amp; TRIM(B4019),""high52""),AE4019)"),1397)</f>
        <v>1397</v>
      </c>
      <c r="AG4019" s="1">
        <v>0</v>
      </c>
      <c r="AH4019" s="1">
        <f ca="1">IFERROR(__xludf.DUMMYFUNCTION("IFERROR(GOOGLEFINANCE(TRIM(F4019)&amp;"":"" &amp; TRIM(B4019),""low52""),AE4019)"),807.05)</f>
        <v>807.05</v>
      </c>
      <c r="AI4019" s="1">
        <f ca="1">IFERROR(__xludf.DUMMYFUNCTION("IFERROR(GOOGLEFINANCE(B4019,""eps""),0)"),0)</f>
        <v>0</v>
      </c>
      <c r="AJ4019" s="1"/>
      <c r="AK4019" s="1" t="s">
        <v>12223</v>
      </c>
      <c r="AL4019" s="9">
        <f t="shared" si="370"/>
        <v>1</v>
      </c>
    </row>
    <row r="4020" spans="1:38" ht="15" x14ac:dyDescent="0.25">
      <c r="A4020" s="1" t="s">
        <v>12224</v>
      </c>
      <c r="B4020" s="1" t="s">
        <v>12225</v>
      </c>
      <c r="C4020" s="1" t="s">
        <v>186</v>
      </c>
      <c r="D4020" s="1" t="s">
        <v>186</v>
      </c>
      <c r="E4020" s="6">
        <v>33.25</v>
      </c>
      <c r="F4020" s="1" t="s">
        <v>53</v>
      </c>
      <c r="G4020" s="6">
        <f ca="1">IFERROR(__xludf.DUMMYFUNCTION("iferror(GOOGLEFINANCE(TRIM(F4020)&amp;"":"" &amp; TRIM(B4020), ""price""),0
)"),0)</f>
        <v>0</v>
      </c>
      <c r="H4020" s="6">
        <v>17.25</v>
      </c>
      <c r="I4020" s="6">
        <f t="shared" ca="1" si="0"/>
        <v>17.25</v>
      </c>
      <c r="J4020" s="6">
        <f ca="1">IFERROR(__xludf.DUMMYFUNCTION("IFERROR(GOOGLEFINANCE(B4020, ""volume""), 0)"),0)</f>
        <v>0</v>
      </c>
      <c r="K4020" s="6">
        <v>0.94</v>
      </c>
      <c r="L4020" s="6">
        <f ca="1">IFERROR(__xludf.DUMMYFUNCTION("IFERROR(GOOGLEFINANCE(B4020,""changepct""),K4020)"),0.94)</f>
        <v>0.94</v>
      </c>
      <c r="M4020" s="6">
        <f ca="1">IFERROR(__xludf.DUMMYFUNCTION("IFERROR(GOOGLEFINANCE(B4020,""change""),0)"),0)</f>
        <v>0</v>
      </c>
      <c r="N4020" s="6">
        <v>1</v>
      </c>
      <c r="O4020" s="15">
        <v>45536</v>
      </c>
      <c r="P4020" s="6">
        <v>7.35</v>
      </c>
      <c r="Q4020" s="6">
        <v>40.6</v>
      </c>
      <c r="R4020" s="7">
        <v>45536</v>
      </c>
      <c r="S4020" s="6">
        <v>0.17</v>
      </c>
      <c r="T4020" s="6">
        <v>-4.3099999999999996</v>
      </c>
      <c r="U4020" s="7">
        <v>45536</v>
      </c>
      <c r="V4020" s="6">
        <v>0</v>
      </c>
      <c r="W4020" s="6">
        <f ca="1">IFERROR(__xludf.DUMMYFUNCTION("IFERROR(GOOGLEFINANCE(B4020,""pe""),V4020)"),0)</f>
        <v>0</v>
      </c>
      <c r="X4020" s="6">
        <v>0</v>
      </c>
      <c r="Y4020" s="6">
        <v>-3.91</v>
      </c>
      <c r="Z4020" s="6">
        <v>1</v>
      </c>
      <c r="AA4020" s="8">
        <v>45352</v>
      </c>
      <c r="AB4020" s="4">
        <v>-0.88</v>
      </c>
      <c r="AC4020" s="6">
        <v>0</v>
      </c>
      <c r="AD4020" s="6">
        <v>937.25</v>
      </c>
      <c r="AE4020" s="1">
        <v>0</v>
      </c>
      <c r="AF4020" s="1">
        <f ca="1">IFERROR(__xludf.DUMMYFUNCTION("IFERROR(GOOGLEFINANCE(TRIM(F4020)&amp;"":"" &amp; TRIM(B4020),""high52""),AE4020)"),0)</f>
        <v>0</v>
      </c>
      <c r="AG4020" s="1">
        <v>0</v>
      </c>
      <c r="AH4020" s="1">
        <f ca="1">IFERROR(__xludf.DUMMYFUNCTION("IFERROR(GOOGLEFINANCE(TRIM(F4020)&amp;"":"" &amp; TRIM(B4020),""low52""),AE4020)"),0)</f>
        <v>0</v>
      </c>
      <c r="AI4020" s="1">
        <f ca="1">IFERROR(__xludf.DUMMYFUNCTION("IFERROR(GOOGLEFINANCE(B4020,""eps""),0)"),0)</f>
        <v>0</v>
      </c>
      <c r="AJ4020" s="1"/>
      <c r="AK4020" s="1" t="s">
        <v>12226</v>
      </c>
      <c r="AL4020" s="9">
        <f t="shared" si="370"/>
        <v>1</v>
      </c>
    </row>
    <row r="4021" spans="1:38" ht="15" x14ac:dyDescent="0.25">
      <c r="A4021" s="1" t="s">
        <v>12227</v>
      </c>
      <c r="B4021" s="1" t="s">
        <v>12228</v>
      </c>
      <c r="C4021" s="1" t="s">
        <v>1379</v>
      </c>
      <c r="D4021" s="1" t="s">
        <v>1379</v>
      </c>
      <c r="E4021" s="6">
        <v>92633.8</v>
      </c>
      <c r="F4021" s="1" t="s">
        <v>40</v>
      </c>
      <c r="G4021" s="6">
        <f ca="1">IFERROR(__xludf.DUMMYFUNCTION("iferror(GOOGLEFINANCE(TRIM(F4021)&amp;"":"" &amp; TRIM(B4021), ""price""),0
)"),171.18)</f>
        <v>171.18</v>
      </c>
      <c r="H4021" s="6">
        <v>125.62</v>
      </c>
      <c r="I4021" s="6">
        <f t="shared" ca="1" si="0"/>
        <v>171.18</v>
      </c>
      <c r="J4021" s="6">
        <f ca="1">IFERROR(__xludf.DUMMYFUNCTION("IFERROR(GOOGLEFINANCE(B4021, ""volume""), 0)"),13991985)</f>
        <v>13991985</v>
      </c>
      <c r="K4021" s="6">
        <v>3.47</v>
      </c>
      <c r="L4021" s="6">
        <f ca="1">IFERROR(__xludf.DUMMYFUNCTION("IFERROR(GOOGLEFINANCE(B4021,""changepct""),K4021)"),1.07)</f>
        <v>1.07</v>
      </c>
      <c r="M4021" s="6">
        <f ca="1">IFERROR(__xludf.DUMMYFUNCTION("IFERROR(GOOGLEFINANCE(B4021,""change""),0)"),1.81)</f>
        <v>1.81</v>
      </c>
      <c r="N4021" s="6">
        <v>2</v>
      </c>
      <c r="O4021" s="7">
        <v>45536</v>
      </c>
      <c r="P4021" s="6">
        <v>105444.3</v>
      </c>
      <c r="Q4021" s="6">
        <v>15243.03</v>
      </c>
      <c r="R4021" s="7">
        <v>45536</v>
      </c>
      <c r="S4021" s="6">
        <v>6.04</v>
      </c>
      <c r="T4021" s="6">
        <v>0.13</v>
      </c>
      <c r="U4021" s="6">
        <v>0.91</v>
      </c>
      <c r="V4021" s="6">
        <v>2</v>
      </c>
      <c r="W4021" s="6">
        <f ca="1">IFERROR(__xludf.DUMMYFUNCTION("IFERROR(GOOGLEFINANCE(B4021,""pe""),V4021)"),6.9)</f>
        <v>6.9</v>
      </c>
      <c r="X4021" s="7">
        <v>45352</v>
      </c>
      <c r="Y4021" s="6">
        <v>16.68</v>
      </c>
      <c r="Z4021" s="6">
        <v>1</v>
      </c>
      <c r="AA4021" s="8">
        <v>45352</v>
      </c>
      <c r="AB4021" s="4">
        <v>1.03</v>
      </c>
      <c r="AC4021" s="6">
        <v>2.75</v>
      </c>
      <c r="AD4021" s="6">
        <v>11.46</v>
      </c>
      <c r="AE4021" s="1">
        <v>0</v>
      </c>
      <c r="AF4021" s="1">
        <f ca="1">IFERROR(__xludf.DUMMYFUNCTION("IFERROR(GOOGLEFINANCE(TRIM(F4021)&amp;"":"" &amp; TRIM(B4021),""high52""),AE4021)"),183.34)</f>
        <v>183.34</v>
      </c>
      <c r="AG4021" s="1">
        <v>0</v>
      </c>
      <c r="AH4021" s="1">
        <f ca="1">IFERROR(__xludf.DUMMYFUNCTION("IFERROR(GOOGLEFINANCE(TRIM(F4021)&amp;"":"" &amp; TRIM(B4021),""low52""),AE4021)"),106.63)</f>
        <v>106.63</v>
      </c>
      <c r="AI4021" s="1">
        <f ca="1">IFERROR(__xludf.DUMMYFUNCTION("IFERROR(GOOGLEFINANCE(B4021,""eps""),0)"),24.82)</f>
        <v>24.82</v>
      </c>
      <c r="AJ4021" s="1"/>
      <c r="AK4021" s="1" t="s">
        <v>12229</v>
      </c>
      <c r="AL4021" s="1" t="b">
        <f>ISNUMBER(AA4021)</f>
        <v>1</v>
      </c>
    </row>
    <row r="4022" spans="1:38" ht="15" x14ac:dyDescent="0.25">
      <c r="A4022" s="1" t="s">
        <v>12230</v>
      </c>
      <c r="B4022" s="1" t="s">
        <v>12231</v>
      </c>
      <c r="C4022" s="1" t="s">
        <v>416</v>
      </c>
      <c r="D4022" s="1" t="s">
        <v>416</v>
      </c>
      <c r="E4022" s="6">
        <v>1863.35</v>
      </c>
      <c r="F4022" s="1" t="s">
        <v>40</v>
      </c>
      <c r="G4022" s="6">
        <f ca="1">IFERROR(__xludf.DUMMYFUNCTION("iferror(GOOGLEFINANCE(TRIM(F4022)&amp;"":"" &amp; TRIM(B4022), ""price""),0
)"),438.9)</f>
        <v>438.9</v>
      </c>
      <c r="H4022" s="6">
        <v>413.75</v>
      </c>
      <c r="I4022" s="6">
        <f t="shared" ca="1" si="0"/>
        <v>438.9</v>
      </c>
      <c r="J4022" s="6">
        <f ca="1">IFERROR(__xludf.DUMMYFUNCTION("IFERROR(GOOGLEFINANCE(B4022, ""volume""), 0)"),74828)</f>
        <v>74828</v>
      </c>
      <c r="K4022" s="6">
        <v>0.38</v>
      </c>
      <c r="L4022" s="6">
        <f ca="1">IFERROR(__xludf.DUMMYFUNCTION("IFERROR(GOOGLEFINANCE(B4022,""changepct""),K4022)"),1.05)</f>
        <v>1.05</v>
      </c>
      <c r="M4022" s="6">
        <f ca="1">IFERROR(__xludf.DUMMYFUNCTION("IFERROR(GOOGLEFINANCE(B4022,""change""),0)"),4.55)</f>
        <v>4.55</v>
      </c>
      <c r="N4022" s="6">
        <v>2</v>
      </c>
      <c r="O4022" s="7">
        <v>45536</v>
      </c>
      <c r="P4022" s="6">
        <v>75.849999999999994</v>
      </c>
      <c r="Q4022" s="6">
        <v>1914.19</v>
      </c>
      <c r="R4022" s="7">
        <v>45536</v>
      </c>
      <c r="S4022" s="6">
        <v>1051.68</v>
      </c>
      <c r="T4022" s="6">
        <v>100.62</v>
      </c>
      <c r="U4022" s="7">
        <v>45536</v>
      </c>
      <c r="V4022" s="6">
        <v>18.52</v>
      </c>
      <c r="W4022" s="6">
        <f ca="1">IFERROR(__xludf.DUMMYFUNCTION("IFERROR(GOOGLEFINANCE(B4022,""pe""),V4022)"),17.11)</f>
        <v>17.11</v>
      </c>
      <c r="X4022" s="12"/>
      <c r="Y4022" s="6">
        <v>2.12</v>
      </c>
      <c r="Z4022" s="6">
        <v>2</v>
      </c>
      <c r="AA4022" s="8">
        <v>45352</v>
      </c>
      <c r="AB4022" s="4">
        <v>7.0000000000000007E-2</v>
      </c>
      <c r="AC4022" s="6">
        <v>14.69</v>
      </c>
      <c r="AD4022" s="6">
        <v>19.010000000000002</v>
      </c>
      <c r="AE4022" s="1">
        <v>0</v>
      </c>
      <c r="AF4022" s="1">
        <f ca="1">IFERROR(__xludf.DUMMYFUNCTION("IFERROR(GOOGLEFINANCE(TRIM(F4022)&amp;"":"" &amp; TRIM(B4022),""high52""),AE4022)"),543.95)</f>
        <v>543.95000000000005</v>
      </c>
      <c r="AG4022" s="1">
        <v>0</v>
      </c>
      <c r="AH4022" s="1">
        <f ca="1">IFERROR(__xludf.DUMMYFUNCTION("IFERROR(GOOGLEFINANCE(TRIM(F4022)&amp;"":"" &amp; TRIM(B4022),""low52""),AE4022)"),296.65)</f>
        <v>296.64999999999998</v>
      </c>
      <c r="AI4022" s="1">
        <f ca="1">IFERROR(__xludf.DUMMYFUNCTION("IFERROR(GOOGLEFINANCE(B4022,""eps""),0)"),25.66)</f>
        <v>25.66</v>
      </c>
      <c r="AJ4022" s="1"/>
      <c r="AK4022" s="1" t="s">
        <v>12232</v>
      </c>
      <c r="AL4022" s="9">
        <f t="shared" ref="AL4022:AL4027" si="371">IF(AA4022&lt;&gt;AB4022,1,0)</f>
        <v>1</v>
      </c>
    </row>
    <row r="4023" spans="1:38" ht="15" x14ac:dyDescent="0.25">
      <c r="A4023" s="1" t="s">
        <v>12233</v>
      </c>
      <c r="B4023" s="1" t="s">
        <v>12234</v>
      </c>
      <c r="C4023" s="1" t="s">
        <v>186</v>
      </c>
      <c r="D4023" s="1" t="s">
        <v>186</v>
      </c>
      <c r="E4023" s="6">
        <v>198.14</v>
      </c>
      <c r="F4023" s="1" t="s">
        <v>53</v>
      </c>
      <c r="G4023" s="6">
        <f ca="1">IFERROR(__xludf.DUMMYFUNCTION("iferror(GOOGLEFINANCE(TRIM(F4023)&amp;"":"" &amp; TRIM(B4023), ""price""),0
)"),0)</f>
        <v>0</v>
      </c>
      <c r="H4023" s="6">
        <v>410.5</v>
      </c>
      <c r="I4023" s="6">
        <f t="shared" ca="1" si="0"/>
        <v>410.5</v>
      </c>
      <c r="J4023" s="6">
        <f ca="1">IFERROR(__xludf.DUMMYFUNCTION("IFERROR(GOOGLEFINANCE(B4023, ""volume""), 0)"),0)</f>
        <v>0</v>
      </c>
      <c r="K4023" s="6">
        <v>2</v>
      </c>
      <c r="L4023" s="6">
        <f ca="1">IFERROR(__xludf.DUMMYFUNCTION("IFERROR(GOOGLEFINANCE(B4023,""changepct""),K4023)"),2)</f>
        <v>2</v>
      </c>
      <c r="M4023" s="6">
        <f ca="1">IFERROR(__xludf.DUMMYFUNCTION("IFERROR(GOOGLEFINANCE(B4023,""change""),0)"),0)</f>
        <v>0</v>
      </c>
      <c r="N4023" s="6">
        <v>1</v>
      </c>
      <c r="O4023" s="7">
        <v>45536</v>
      </c>
      <c r="P4023" s="6">
        <v>1.33</v>
      </c>
      <c r="Q4023" s="6">
        <v>193.22</v>
      </c>
      <c r="R4023" s="7">
        <v>45536</v>
      </c>
      <c r="S4023" s="6">
        <v>31.77</v>
      </c>
      <c r="T4023" s="6">
        <v>0.48</v>
      </c>
      <c r="U4023" s="7">
        <v>45536</v>
      </c>
      <c r="V4023" s="6">
        <v>417.14</v>
      </c>
      <c r="W4023" s="6">
        <f ca="1">IFERROR(__xludf.DUMMYFUNCTION("IFERROR(GOOGLEFINANCE(B4023,""pe""),V4023)"),417.14)</f>
        <v>417.14</v>
      </c>
      <c r="X4023" s="6">
        <v>139.51</v>
      </c>
      <c r="Y4023" s="6">
        <v>7.57</v>
      </c>
      <c r="Z4023" s="6">
        <v>1</v>
      </c>
      <c r="AA4023" s="8">
        <v>45352</v>
      </c>
      <c r="AB4023" s="4">
        <v>0.03</v>
      </c>
      <c r="AC4023" s="6">
        <v>3</v>
      </c>
      <c r="AD4023" s="6">
        <v>4.2300000000000004</v>
      </c>
      <c r="AE4023" s="1">
        <v>0</v>
      </c>
      <c r="AF4023" s="1">
        <f ca="1">IFERROR(__xludf.DUMMYFUNCTION("IFERROR(GOOGLEFINANCE(TRIM(F4023)&amp;"":"" &amp; TRIM(B4023),""high52""),AE4023)"),0)</f>
        <v>0</v>
      </c>
      <c r="AG4023" s="1">
        <v>0</v>
      </c>
      <c r="AH4023" s="1">
        <f ca="1">IFERROR(__xludf.DUMMYFUNCTION("IFERROR(GOOGLEFINANCE(TRIM(F4023)&amp;"":"" &amp; TRIM(B4023),""low52""),AE4023)"),0)</f>
        <v>0</v>
      </c>
      <c r="AI4023" s="1">
        <f ca="1">IFERROR(__xludf.DUMMYFUNCTION("IFERROR(GOOGLEFINANCE(B4023,""eps""),0)"),0)</f>
        <v>0</v>
      </c>
      <c r="AJ4023" s="1"/>
      <c r="AK4023" s="6">
        <v>32.08</v>
      </c>
      <c r="AL4023" s="9">
        <f t="shared" si="371"/>
        <v>1</v>
      </c>
    </row>
    <row r="4024" spans="1:38" ht="15" x14ac:dyDescent="0.25">
      <c r="A4024" s="1" t="s">
        <v>12235</v>
      </c>
      <c r="B4024" s="1" t="s">
        <v>12236</v>
      </c>
      <c r="C4024" s="1" t="s">
        <v>227</v>
      </c>
      <c r="D4024" s="1" t="s">
        <v>227</v>
      </c>
      <c r="E4024" s="6">
        <v>1113.08</v>
      </c>
      <c r="F4024" s="1" t="s">
        <v>40</v>
      </c>
      <c r="G4024" s="6">
        <f ca="1">IFERROR(__xludf.DUMMYFUNCTION("iferror(GOOGLEFINANCE(TRIM(F4024)&amp;"":"" &amp; TRIM(B4024), ""price""),0
)"),106.87)</f>
        <v>106.87</v>
      </c>
      <c r="H4024" s="6">
        <v>160.19999999999999</v>
      </c>
      <c r="I4024" s="6">
        <f t="shared" ca="1" si="0"/>
        <v>106.87</v>
      </c>
      <c r="J4024" s="6">
        <f ca="1">IFERROR(__xludf.DUMMYFUNCTION("IFERROR(GOOGLEFINANCE(B4024, ""volume""), 0)"),124263)</f>
        <v>124263</v>
      </c>
      <c r="K4024" s="6">
        <v>0.44</v>
      </c>
      <c r="L4024" s="6">
        <f ca="1">IFERROR(__xludf.DUMMYFUNCTION("IFERROR(GOOGLEFINANCE(B4024,""changepct""),K4024)"),-10.89)</f>
        <v>-10.89</v>
      </c>
      <c r="M4024" s="6">
        <f ca="1">IFERROR(__xludf.DUMMYFUNCTION("IFERROR(GOOGLEFINANCE(B4024,""change""),0)"),-13.06)</f>
        <v>-13.06</v>
      </c>
      <c r="N4024" s="6">
        <v>1</v>
      </c>
      <c r="O4024" s="7">
        <v>45536</v>
      </c>
      <c r="P4024" s="6">
        <v>40</v>
      </c>
      <c r="Q4024" s="6">
        <v>1099.43</v>
      </c>
      <c r="R4024" s="7">
        <v>45536</v>
      </c>
      <c r="S4024" s="6">
        <v>84.15</v>
      </c>
      <c r="T4024" s="6">
        <v>3.05</v>
      </c>
      <c r="U4024" s="7">
        <v>45536</v>
      </c>
      <c r="V4024" s="6">
        <v>365.06</v>
      </c>
      <c r="W4024" s="6">
        <f ca="1">IFERROR(__xludf.DUMMYFUNCTION("IFERROR(GOOGLEFINANCE(B4024,""pe""),V4024)"),39.12)</f>
        <v>39.119999999999997</v>
      </c>
      <c r="X4024" s="6">
        <v>27.64</v>
      </c>
      <c r="Y4024" s="6">
        <v>0.46</v>
      </c>
      <c r="Z4024" s="6">
        <v>1</v>
      </c>
      <c r="AA4024" s="8">
        <v>45352</v>
      </c>
      <c r="AB4024" s="4">
        <v>0</v>
      </c>
      <c r="AC4024" s="6">
        <v>1.61</v>
      </c>
      <c r="AD4024" s="6">
        <v>1.63</v>
      </c>
      <c r="AE4024" s="1">
        <v>0</v>
      </c>
      <c r="AF4024" s="1">
        <f ca="1">IFERROR(__xludf.DUMMYFUNCTION("IFERROR(GOOGLEFINANCE(TRIM(F4024)&amp;"":"" &amp; TRIM(B4024),""high52""),AE4024)"),171.62)</f>
        <v>171.62</v>
      </c>
      <c r="AG4024" s="1">
        <v>0</v>
      </c>
      <c r="AH4024" s="1">
        <f ca="1">IFERROR(__xludf.DUMMYFUNCTION("IFERROR(GOOGLEFINANCE(TRIM(F4024)&amp;"":"" &amp; TRIM(B4024),""low52""),AE4024)"),100)</f>
        <v>100</v>
      </c>
      <c r="AI4024" s="1">
        <f ca="1">IFERROR(__xludf.DUMMYFUNCTION("IFERROR(GOOGLEFINANCE(B4024,""eps""),0)"),2.73)</f>
        <v>2.73</v>
      </c>
      <c r="AJ4024" s="1"/>
      <c r="AK4024" s="1" t="s">
        <v>12237</v>
      </c>
      <c r="AL4024" s="9">
        <f t="shared" si="371"/>
        <v>1</v>
      </c>
    </row>
    <row r="4025" spans="1:38" ht="15" x14ac:dyDescent="0.25">
      <c r="A4025" s="1" t="s">
        <v>12238</v>
      </c>
      <c r="B4025" s="1" t="s">
        <v>12239</v>
      </c>
      <c r="C4025" s="1" t="s">
        <v>186</v>
      </c>
      <c r="D4025" s="1" t="s">
        <v>186</v>
      </c>
      <c r="E4025" s="6">
        <v>766.53</v>
      </c>
      <c r="F4025" s="1" t="s">
        <v>53</v>
      </c>
      <c r="G4025" s="6">
        <f ca="1">IFERROR(__xludf.DUMMYFUNCTION("iferror(GOOGLEFINANCE(TRIM(F4025)&amp;"":"" &amp; TRIM(B4025), ""price""),0
)"),0)</f>
        <v>0</v>
      </c>
      <c r="H4025" s="6">
        <v>38.32</v>
      </c>
      <c r="I4025" s="6">
        <f t="shared" ca="1" si="0"/>
        <v>38.32</v>
      </c>
      <c r="J4025" s="6">
        <f ca="1">IFERROR(__xludf.DUMMYFUNCTION("IFERROR(GOOGLEFINANCE(B4025, ""volume""), 0)"),0)</f>
        <v>0</v>
      </c>
      <c r="K4025" s="6">
        <v>-1.21</v>
      </c>
      <c r="L4025" s="6">
        <f ca="1">IFERROR(__xludf.DUMMYFUNCTION("IFERROR(GOOGLEFINANCE(B4025,""changepct""),K4025)"),-1.21)</f>
        <v>-1.21</v>
      </c>
      <c r="M4025" s="6">
        <f ca="1">IFERROR(__xludf.DUMMYFUNCTION("IFERROR(GOOGLEFINANCE(B4025,""change""),0)"),0)</f>
        <v>0</v>
      </c>
      <c r="N4025" s="6">
        <v>1</v>
      </c>
      <c r="O4025" s="7">
        <v>45536</v>
      </c>
      <c r="P4025" s="6">
        <v>322.56</v>
      </c>
      <c r="Q4025" s="6">
        <v>1078.1400000000001</v>
      </c>
      <c r="R4025" s="7">
        <v>45536</v>
      </c>
      <c r="S4025" s="6">
        <v>1537.55</v>
      </c>
      <c r="T4025" s="6">
        <v>25.64</v>
      </c>
      <c r="U4025" s="7">
        <v>45536</v>
      </c>
      <c r="V4025" s="6">
        <v>29.9</v>
      </c>
      <c r="W4025" s="6">
        <f ca="1">IFERROR(__xludf.DUMMYFUNCTION("IFERROR(GOOGLEFINANCE(B4025,""pe""),V4025)"),29.9)</f>
        <v>29.9</v>
      </c>
      <c r="X4025" s="6">
        <v>8.8699999999999992</v>
      </c>
      <c r="Y4025" s="6">
        <v>1.81</v>
      </c>
      <c r="Z4025" s="6">
        <v>1</v>
      </c>
      <c r="AA4025" s="8">
        <v>45352</v>
      </c>
      <c r="AB4025" s="4">
        <v>0.92</v>
      </c>
      <c r="AC4025" s="6">
        <v>5.27</v>
      </c>
      <c r="AD4025" s="6">
        <v>9.25</v>
      </c>
      <c r="AE4025" s="1">
        <v>0</v>
      </c>
      <c r="AF4025" s="1">
        <f ca="1">IFERROR(__xludf.DUMMYFUNCTION("IFERROR(GOOGLEFINANCE(TRIM(F4025)&amp;"":"" &amp; TRIM(B4025),""high52""),AE4025)"),0)</f>
        <v>0</v>
      </c>
      <c r="AG4025" s="1">
        <v>0</v>
      </c>
      <c r="AH4025" s="1">
        <f ca="1">IFERROR(__xludf.DUMMYFUNCTION("IFERROR(GOOGLEFINANCE(TRIM(F4025)&amp;"":"" &amp; TRIM(B4025),""low52""),AE4025)"),0)</f>
        <v>0</v>
      </c>
      <c r="AI4025" s="1">
        <f ca="1">IFERROR(__xludf.DUMMYFUNCTION("IFERROR(GOOGLEFINANCE(B4025,""eps""),0)"),0)</f>
        <v>0</v>
      </c>
      <c r="AJ4025" s="1"/>
      <c r="AK4025" s="1" t="s">
        <v>12240</v>
      </c>
      <c r="AL4025" s="9">
        <f t="shared" si="371"/>
        <v>1</v>
      </c>
    </row>
    <row r="4026" spans="1:38" ht="15" x14ac:dyDescent="0.25">
      <c r="A4026" s="1" t="s">
        <v>12241</v>
      </c>
      <c r="B4026" s="1" t="s">
        <v>12242</v>
      </c>
      <c r="C4026" s="1" t="s">
        <v>186</v>
      </c>
      <c r="D4026" s="1" t="s">
        <v>186</v>
      </c>
      <c r="E4026" s="6">
        <v>924.02</v>
      </c>
      <c r="F4026" s="1" t="s">
        <v>53</v>
      </c>
      <c r="G4026" s="6">
        <f ca="1">IFERROR(__xludf.DUMMYFUNCTION("iferror(GOOGLEFINANCE(TRIM(F4026)&amp;"":"" &amp; TRIM(B4026), ""price""),0
)"),0)</f>
        <v>0</v>
      </c>
      <c r="H4026" s="6">
        <v>2110</v>
      </c>
      <c r="I4026" s="6">
        <f t="shared" ca="1" si="0"/>
        <v>2110</v>
      </c>
      <c r="J4026" s="6">
        <f ca="1">IFERROR(__xludf.DUMMYFUNCTION("IFERROR(GOOGLEFINANCE(B4026, ""volume""), 0)"),0)</f>
        <v>0</v>
      </c>
      <c r="K4026" s="6">
        <v>0.3</v>
      </c>
      <c r="L4026" s="6">
        <f ca="1">IFERROR(__xludf.DUMMYFUNCTION("IFERROR(GOOGLEFINANCE(B4026,""changepct""),K4026)"),0.3)</f>
        <v>0.3</v>
      </c>
      <c r="M4026" s="6">
        <f ca="1">IFERROR(__xludf.DUMMYFUNCTION("IFERROR(GOOGLEFINANCE(B4026,""change""),0)"),0)</f>
        <v>0</v>
      </c>
      <c r="N4026" s="6">
        <v>1</v>
      </c>
      <c r="O4026" s="7">
        <v>45536</v>
      </c>
      <c r="P4026" s="9"/>
      <c r="Q4026" s="6">
        <v>712.82</v>
      </c>
      <c r="R4026" s="7">
        <v>45536</v>
      </c>
      <c r="S4026" s="6">
        <v>183.53</v>
      </c>
      <c r="T4026" s="6">
        <v>37.54</v>
      </c>
      <c r="U4026" s="7">
        <v>45536</v>
      </c>
      <c r="V4026" s="6">
        <v>24.62</v>
      </c>
      <c r="W4026" s="6">
        <f ca="1">IFERROR(__xludf.DUMMYFUNCTION("IFERROR(GOOGLEFINANCE(B4026,""pe""),V4026)"),24.62)</f>
        <v>24.62</v>
      </c>
      <c r="X4026" s="6">
        <v>2.6</v>
      </c>
      <c r="Y4026" s="6">
        <v>2.5299999999999998</v>
      </c>
      <c r="Z4026" s="6">
        <v>1</v>
      </c>
      <c r="AA4026" s="8">
        <v>45352</v>
      </c>
      <c r="AB4026" s="4">
        <v>0</v>
      </c>
      <c r="AC4026" s="6">
        <v>10.94</v>
      </c>
      <c r="AD4026" s="6">
        <v>14.71</v>
      </c>
      <c r="AE4026" s="1">
        <v>0</v>
      </c>
      <c r="AF4026" s="1">
        <f ca="1">IFERROR(__xludf.DUMMYFUNCTION("IFERROR(GOOGLEFINANCE(TRIM(F4026)&amp;"":"" &amp; TRIM(B4026),""high52""),AE4026)"),0)</f>
        <v>0</v>
      </c>
      <c r="AG4026" s="1">
        <v>0</v>
      </c>
      <c r="AH4026" s="1">
        <f ca="1">IFERROR(__xludf.DUMMYFUNCTION("IFERROR(GOOGLEFINANCE(TRIM(F4026)&amp;"":"" &amp; TRIM(B4026),""low52""),AE4026)"),0)</f>
        <v>0</v>
      </c>
      <c r="AI4026" s="1">
        <f ca="1">IFERROR(__xludf.DUMMYFUNCTION("IFERROR(GOOGLEFINANCE(B4026,""eps""),0)"),0)</f>
        <v>0</v>
      </c>
      <c r="AJ4026" s="1"/>
      <c r="AK4026" s="1" t="s">
        <v>12243</v>
      </c>
      <c r="AL4026" s="9">
        <f t="shared" si="371"/>
        <v>1</v>
      </c>
    </row>
    <row r="4027" spans="1:38" ht="15" x14ac:dyDescent="0.25">
      <c r="A4027" s="1" t="s">
        <v>12244</v>
      </c>
      <c r="B4027" s="1" t="s">
        <v>12245</v>
      </c>
      <c r="C4027" s="1" t="s">
        <v>487</v>
      </c>
      <c r="D4027" s="1" t="s">
        <v>487</v>
      </c>
      <c r="E4027" s="6">
        <v>2535.1999999999998</v>
      </c>
      <c r="F4027" s="1" t="s">
        <v>40</v>
      </c>
      <c r="G4027" s="6">
        <f ca="1">IFERROR(__xludf.DUMMYFUNCTION("iferror(GOOGLEFINANCE(TRIM(F4027)&amp;"":"" &amp; TRIM(B4027), ""price""),0
)"),4.17)</f>
        <v>4.17</v>
      </c>
      <c r="H4027" s="6">
        <v>9.77</v>
      </c>
      <c r="I4027" s="6">
        <f t="shared" ca="1" si="0"/>
        <v>4.17</v>
      </c>
      <c r="J4027" s="6">
        <f ca="1">IFERROR(__xludf.DUMMYFUNCTION("IFERROR(GOOGLEFINANCE(B4027, ""volume""), 0)"),6883543)</f>
        <v>6883543</v>
      </c>
      <c r="K4027" s="6">
        <v>0.62</v>
      </c>
      <c r="L4027" s="6">
        <f ca="1">IFERROR(__xludf.DUMMYFUNCTION("IFERROR(GOOGLEFINANCE(B4027,""changepct""),K4027)"),-3.25)</f>
        <v>-3.25</v>
      </c>
      <c r="M4027" s="6">
        <f ca="1">IFERROR(__xludf.DUMMYFUNCTION("IFERROR(GOOGLEFINANCE(B4027,""change""),0)"),-0.14)</f>
        <v>-0.14000000000000001</v>
      </c>
      <c r="N4027" s="6">
        <v>2</v>
      </c>
      <c r="O4027" s="7">
        <v>45536</v>
      </c>
      <c r="P4027" s="6">
        <v>7253.64</v>
      </c>
      <c r="Q4027" s="6">
        <v>9341.33</v>
      </c>
      <c r="R4027" s="7">
        <v>45536</v>
      </c>
      <c r="S4027" s="6">
        <v>463.64</v>
      </c>
      <c r="T4027" s="6">
        <v>-4333.1499999999996</v>
      </c>
      <c r="U4027" s="7">
        <v>45536</v>
      </c>
      <c r="V4027" s="6">
        <v>0</v>
      </c>
      <c r="W4027" s="6">
        <f ca="1">IFERROR(__xludf.DUMMYFUNCTION("IFERROR(GOOGLEFINANCE(B4027,""pe""),V4027)"),0)</f>
        <v>0</v>
      </c>
      <c r="X4027" s="9"/>
      <c r="Y4027" s="6">
        <v>-0.41</v>
      </c>
      <c r="Z4027" s="6">
        <v>2</v>
      </c>
      <c r="AA4027" s="8">
        <v>45352</v>
      </c>
      <c r="AB4027" s="4">
        <v>-0.91</v>
      </c>
      <c r="AC4027" s="6">
        <v>0</v>
      </c>
      <c r="AD4027" s="6">
        <v>-56.11</v>
      </c>
      <c r="AE4027" s="1">
        <v>0</v>
      </c>
      <c r="AF4027" s="1">
        <f ca="1">IFERROR(__xludf.DUMMYFUNCTION("IFERROR(GOOGLEFINANCE(TRIM(F4027)&amp;"":"" &amp; TRIM(B4027),""high52""),AE4027)"),10.5)</f>
        <v>10.5</v>
      </c>
      <c r="AG4027" s="1">
        <v>0</v>
      </c>
      <c r="AH4027" s="1">
        <f ca="1">IFERROR(__xludf.DUMMYFUNCTION("IFERROR(GOOGLEFINANCE(TRIM(F4027)&amp;"":"" &amp; TRIM(B4027),""low52""),AE4027)"),4.12)</f>
        <v>4.12</v>
      </c>
      <c r="AI4027" s="1">
        <f ca="1">IFERROR(__xludf.DUMMYFUNCTION("IFERROR(GOOGLEFINANCE(B4027,""eps""),0)"),-7.84)</f>
        <v>-7.84</v>
      </c>
      <c r="AJ4027" s="1"/>
      <c r="AK4027" s="1" t="s">
        <v>12246</v>
      </c>
      <c r="AL4027" s="9">
        <f t="shared" si="371"/>
        <v>1</v>
      </c>
    </row>
    <row r="4028" spans="1:38" ht="15" x14ac:dyDescent="0.25">
      <c r="A4028" s="1" t="s">
        <v>12247</v>
      </c>
      <c r="B4028" s="1" t="s">
        <v>12248</v>
      </c>
      <c r="C4028" s="1" t="s">
        <v>643</v>
      </c>
      <c r="D4028" s="1" t="s">
        <v>643</v>
      </c>
      <c r="E4028" s="6">
        <v>56283.92</v>
      </c>
      <c r="F4028" s="1" t="s">
        <v>40</v>
      </c>
      <c r="G4028" s="6">
        <f ca="1">IFERROR(__xludf.DUMMYFUNCTION("iferror(GOOGLEFINANCE(TRIM(F4028)&amp;"":"" &amp; TRIM(B4028), ""price""),0
)"),1473)</f>
        <v>1473</v>
      </c>
      <c r="H4028" s="6">
        <v>2124.5</v>
      </c>
      <c r="I4028" s="6">
        <f t="shared" ca="1" si="0"/>
        <v>1473</v>
      </c>
      <c r="J4028" s="6">
        <f ca="1">IFERROR(__xludf.DUMMYFUNCTION("IFERROR(GOOGLEFINANCE(B4028, ""volume""), 0)"),36576)</f>
        <v>36576</v>
      </c>
      <c r="K4028" s="6">
        <v>-0.56999999999999995</v>
      </c>
      <c r="L4028" s="6">
        <f ca="1">IFERROR(__xludf.DUMMYFUNCTION("IFERROR(GOOGLEFINANCE(B4028,""changepct""),K4028)"),0.22)</f>
        <v>0.22</v>
      </c>
      <c r="M4028" s="6">
        <f ca="1">IFERROR(__xludf.DUMMYFUNCTION("IFERROR(GOOGLEFINANCE(B4028,""change""),0)"),3.2)</f>
        <v>3.2</v>
      </c>
      <c r="N4028" s="6">
        <v>2</v>
      </c>
      <c r="O4028" s="7">
        <v>45536</v>
      </c>
      <c r="P4028" s="6">
        <v>105</v>
      </c>
      <c r="Q4028" s="6">
        <v>56235.03</v>
      </c>
      <c r="R4028" s="7">
        <v>45536</v>
      </c>
      <c r="S4028" s="6">
        <v>19498.5</v>
      </c>
      <c r="T4028" s="6">
        <v>473.48</v>
      </c>
      <c r="U4028" s="7">
        <v>45536</v>
      </c>
      <c r="V4028" s="6">
        <v>119.18</v>
      </c>
      <c r="W4028" s="6">
        <f ca="1">IFERROR(__xludf.DUMMYFUNCTION("IFERROR(GOOGLEFINANCE(B4028,""pe""),V4028)"),106.39)</f>
        <v>106.39</v>
      </c>
      <c r="X4028" s="6">
        <v>-19.41</v>
      </c>
      <c r="Y4028" s="6">
        <v>13.32</v>
      </c>
      <c r="Z4028" s="6">
        <v>2</v>
      </c>
      <c r="AA4028" s="8">
        <v>45352</v>
      </c>
      <c r="AB4028" s="4">
        <v>0.02</v>
      </c>
      <c r="AC4028" s="6">
        <v>10.09</v>
      </c>
      <c r="AD4028" s="6">
        <v>13.58</v>
      </c>
      <c r="AE4028" s="1">
        <v>0</v>
      </c>
      <c r="AF4028" s="1">
        <f ca="1">IFERROR(__xludf.DUMMYFUNCTION("IFERROR(GOOGLEFINANCE(TRIM(F4028)&amp;"":"" &amp; TRIM(B4028),""high52""),AE4028)"),2299.7)</f>
        <v>2299.6999999999998</v>
      </c>
      <c r="AG4028" s="1">
        <v>0</v>
      </c>
      <c r="AH4028" s="1">
        <f ca="1">IFERROR(__xludf.DUMMYFUNCTION("IFERROR(GOOGLEFINANCE(TRIM(F4028)&amp;"":"" &amp; TRIM(B4028),""low52""),AE4028)"),1401.1)</f>
        <v>1401.1</v>
      </c>
      <c r="AI4028" s="1">
        <f ca="1">IFERROR(__xludf.DUMMYFUNCTION("IFERROR(GOOGLEFINANCE(B4028,""eps""),0)"),13.85)</f>
        <v>13.85</v>
      </c>
      <c r="AJ4028" s="1"/>
      <c r="AK4028" s="1" t="s">
        <v>12249</v>
      </c>
      <c r="AL4028" s="1" t="b">
        <f>ISNUMBER(AA4028)</f>
        <v>1</v>
      </c>
    </row>
    <row r="4029" spans="1:38" ht="15" x14ac:dyDescent="0.25">
      <c r="A4029" s="1" t="s">
        <v>12250</v>
      </c>
      <c r="B4029" s="1" t="s">
        <v>12251</v>
      </c>
      <c r="C4029" s="1" t="s">
        <v>186</v>
      </c>
      <c r="D4029" s="1" t="s">
        <v>186</v>
      </c>
      <c r="E4029" s="6">
        <v>202.06</v>
      </c>
      <c r="F4029" s="1" t="s">
        <v>53</v>
      </c>
      <c r="G4029" s="6">
        <f ca="1">IFERROR(__xludf.DUMMYFUNCTION("iferror(GOOGLEFINANCE(TRIM(F4029)&amp;"":"" &amp; TRIM(B4029), ""price""),0
)"),0)</f>
        <v>0</v>
      </c>
      <c r="H4029" s="6">
        <v>101.6</v>
      </c>
      <c r="I4029" s="6">
        <f t="shared" ca="1" si="0"/>
        <v>101.6</v>
      </c>
      <c r="J4029" s="6">
        <f ca="1">IFERROR(__xludf.DUMMYFUNCTION("IFERROR(GOOGLEFINANCE(B4029, ""volume""), 0)"),0)</f>
        <v>0</v>
      </c>
      <c r="K4029" s="6">
        <v>-0.34</v>
      </c>
      <c r="L4029" s="6">
        <f ca="1">IFERROR(__xludf.DUMMYFUNCTION("IFERROR(GOOGLEFINANCE(B4029,""changepct""),K4029)"),-0.34)</f>
        <v>-0.34</v>
      </c>
      <c r="M4029" s="6">
        <f ca="1">IFERROR(__xludf.DUMMYFUNCTION("IFERROR(GOOGLEFINANCE(B4029,""change""),0)"),0)</f>
        <v>0</v>
      </c>
      <c r="N4029" s="6">
        <v>1</v>
      </c>
      <c r="O4029" s="7">
        <v>45536</v>
      </c>
      <c r="P4029" s="6">
        <v>258.25</v>
      </c>
      <c r="Q4029" s="6">
        <v>428.2</v>
      </c>
      <c r="R4029" s="7">
        <v>45536</v>
      </c>
      <c r="S4029" s="6">
        <v>853.73</v>
      </c>
      <c r="T4029" s="6">
        <v>25.43</v>
      </c>
      <c r="U4029" s="7">
        <v>45536</v>
      </c>
      <c r="V4029" s="6">
        <v>7.95</v>
      </c>
      <c r="W4029" s="6">
        <f ca="1">IFERROR(__xludf.DUMMYFUNCTION("IFERROR(GOOGLEFINANCE(B4029,""pe""),V4029)"),7.95)</f>
        <v>7.95</v>
      </c>
      <c r="X4029" s="6">
        <v>0.88</v>
      </c>
      <c r="Y4029" s="6">
        <v>0.69</v>
      </c>
      <c r="Z4029" s="6">
        <v>1</v>
      </c>
      <c r="AA4029" s="8">
        <v>45352</v>
      </c>
      <c r="AB4029" s="4">
        <v>1.04</v>
      </c>
      <c r="AC4029" s="6">
        <v>7.03</v>
      </c>
      <c r="AD4029" s="6">
        <v>12.5</v>
      </c>
      <c r="AE4029" s="1">
        <v>0</v>
      </c>
      <c r="AF4029" s="1">
        <f ca="1">IFERROR(__xludf.DUMMYFUNCTION("IFERROR(GOOGLEFINANCE(TRIM(F4029)&amp;"":"" &amp; TRIM(B4029),""high52""),AE4029)"),0)</f>
        <v>0</v>
      </c>
      <c r="AG4029" s="1">
        <v>0</v>
      </c>
      <c r="AH4029" s="1">
        <f ca="1">IFERROR(__xludf.DUMMYFUNCTION("IFERROR(GOOGLEFINANCE(TRIM(F4029)&amp;"":"" &amp; TRIM(B4029),""low52""),AE4029)"),0)</f>
        <v>0</v>
      </c>
      <c r="AI4029" s="1">
        <f ca="1">IFERROR(__xludf.DUMMYFUNCTION("IFERROR(GOOGLEFINANCE(B4029,""eps""),0)"),0)</f>
        <v>0</v>
      </c>
      <c r="AJ4029" s="1"/>
      <c r="AK4029" s="1" t="s">
        <v>12252</v>
      </c>
      <c r="AL4029" s="9">
        <f t="shared" ref="AL4029:AL4033" si="372">IF(AA4029&lt;&gt;AB4029,1,0)</f>
        <v>1</v>
      </c>
    </row>
    <row r="4030" spans="1:38" ht="15" x14ac:dyDescent="0.25">
      <c r="A4030" s="1" t="s">
        <v>12253</v>
      </c>
      <c r="B4030" s="1" t="s">
        <v>12254</v>
      </c>
      <c r="C4030" s="1" t="s">
        <v>186</v>
      </c>
      <c r="D4030" s="1" t="s">
        <v>186</v>
      </c>
      <c r="E4030" s="6">
        <v>64.790000000000006</v>
      </c>
      <c r="F4030" s="1" t="s">
        <v>53</v>
      </c>
      <c r="G4030" s="6">
        <f ca="1">IFERROR(__xludf.DUMMYFUNCTION("iferror(GOOGLEFINANCE(TRIM(F4030)&amp;"":"" &amp; TRIM(B4030), ""price""),0
)"),0)</f>
        <v>0</v>
      </c>
      <c r="H4030" s="6">
        <v>212</v>
      </c>
      <c r="I4030" s="6">
        <f t="shared" ca="1" si="0"/>
        <v>212</v>
      </c>
      <c r="J4030" s="6">
        <f ca="1">IFERROR(__xludf.DUMMYFUNCTION("IFERROR(GOOGLEFINANCE(B4030, ""volume""), 0)"),0)</f>
        <v>0</v>
      </c>
      <c r="K4030" s="12"/>
      <c r="L4030" s="6" t="str">
        <f ca="1">IFERROR(__xludf.DUMMYFUNCTION("IFERROR(GOOGLEFINANCE(B4030,""changepct""),K4030)"),"")</f>
        <v/>
      </c>
      <c r="M4030" s="6">
        <f ca="1">IFERROR(__xludf.DUMMYFUNCTION("IFERROR(GOOGLEFINANCE(B4030,""change""),0)"),0)</f>
        <v>0</v>
      </c>
      <c r="N4030" s="6">
        <v>1</v>
      </c>
      <c r="O4030" s="7">
        <v>45536</v>
      </c>
      <c r="P4030" s="6">
        <v>99.21</v>
      </c>
      <c r="Q4030" s="6">
        <v>162.1</v>
      </c>
      <c r="R4030" s="7">
        <v>45536</v>
      </c>
      <c r="S4030" s="6">
        <v>108.69</v>
      </c>
      <c r="T4030" s="6">
        <v>1.4</v>
      </c>
      <c r="U4030" s="7">
        <v>45536</v>
      </c>
      <c r="V4030" s="6">
        <v>46.31</v>
      </c>
      <c r="W4030" s="6">
        <f ca="1">IFERROR(__xludf.DUMMYFUNCTION("IFERROR(GOOGLEFINANCE(B4030,""pe""),V4030)"),46.31)</f>
        <v>46.31</v>
      </c>
      <c r="X4030" s="6">
        <v>14.38</v>
      </c>
      <c r="Y4030" s="6">
        <v>1.31</v>
      </c>
      <c r="Z4030" s="6">
        <v>1</v>
      </c>
      <c r="AA4030" s="8">
        <v>45352</v>
      </c>
      <c r="AB4030" s="4">
        <v>1.69</v>
      </c>
      <c r="AC4030" s="6">
        <v>3.09</v>
      </c>
      <c r="AD4030" s="6">
        <v>5.87</v>
      </c>
      <c r="AE4030" s="1">
        <v>0</v>
      </c>
      <c r="AF4030" s="1">
        <f ca="1">IFERROR(__xludf.DUMMYFUNCTION("IFERROR(GOOGLEFINANCE(TRIM(F4030)&amp;"":"" &amp; TRIM(B4030),""high52""),AE4030)"),0)</f>
        <v>0</v>
      </c>
      <c r="AG4030" s="1">
        <v>0</v>
      </c>
      <c r="AH4030" s="1">
        <f ca="1">IFERROR(__xludf.DUMMYFUNCTION("IFERROR(GOOGLEFINANCE(TRIM(F4030)&amp;"":"" &amp; TRIM(B4030),""low52""),AE4030)"),0)</f>
        <v>0</v>
      </c>
      <c r="AI4030" s="1">
        <f ca="1">IFERROR(__xludf.DUMMYFUNCTION("IFERROR(GOOGLEFINANCE(B4030,""eps""),0)"),0)</f>
        <v>0</v>
      </c>
      <c r="AJ4030" s="1"/>
      <c r="AK4030" s="1" t="s">
        <v>12255</v>
      </c>
      <c r="AL4030" s="9">
        <f t="shared" si="372"/>
        <v>1</v>
      </c>
    </row>
    <row r="4031" spans="1:38" ht="15" x14ac:dyDescent="0.25">
      <c r="A4031" s="1" t="s">
        <v>12256</v>
      </c>
      <c r="B4031" s="1" t="s">
        <v>12257</v>
      </c>
      <c r="C4031" s="1" t="s">
        <v>416</v>
      </c>
      <c r="D4031" s="1" t="s">
        <v>416</v>
      </c>
      <c r="E4031" s="6">
        <v>537.12</v>
      </c>
      <c r="F4031" s="1" t="s">
        <v>40</v>
      </c>
      <c r="G4031" s="6">
        <f ca="1">IFERROR(__xludf.DUMMYFUNCTION("iferror(GOOGLEFINANCE(TRIM(F4031)&amp;"":"" &amp; TRIM(B4031), ""price""),0
)"),181.12)</f>
        <v>181.12</v>
      </c>
      <c r="H4031" s="6">
        <v>264.60000000000002</v>
      </c>
      <c r="I4031" s="6">
        <f t="shared" ca="1" si="0"/>
        <v>181.12</v>
      </c>
      <c r="J4031" s="6">
        <f ca="1">IFERROR(__xludf.DUMMYFUNCTION("IFERROR(GOOGLEFINANCE(B4031, ""volume""), 0)"),1683)</f>
        <v>1683</v>
      </c>
      <c r="K4031" s="6">
        <v>-0.19</v>
      </c>
      <c r="L4031" s="6">
        <f ca="1">IFERROR(__xludf.DUMMYFUNCTION("IFERROR(GOOGLEFINANCE(B4031,""changepct""),K4031)"),-1.4)</f>
        <v>-1.4</v>
      </c>
      <c r="M4031" s="6">
        <f ca="1">IFERROR(__xludf.DUMMYFUNCTION("IFERROR(GOOGLEFINANCE(B4031,""change""),0)"),-2.57)</f>
        <v>-2.57</v>
      </c>
      <c r="N4031" s="6">
        <v>2</v>
      </c>
      <c r="O4031" s="7">
        <v>45536</v>
      </c>
      <c r="P4031" s="6">
        <v>3.59</v>
      </c>
      <c r="Q4031" s="6">
        <v>540.71</v>
      </c>
      <c r="R4031" s="7">
        <v>45536</v>
      </c>
      <c r="S4031" s="6">
        <v>179.98</v>
      </c>
      <c r="T4031" s="6">
        <v>14.03</v>
      </c>
      <c r="U4031" s="7">
        <v>45536</v>
      </c>
      <c r="V4031" s="6">
        <v>38.29</v>
      </c>
      <c r="W4031" s="6">
        <f ca="1">IFERROR(__xludf.DUMMYFUNCTION("IFERROR(GOOGLEFINANCE(B4031,""pe""),V4031)"),24.12)</f>
        <v>24.12</v>
      </c>
      <c r="X4031" s="12"/>
      <c r="Y4031" s="6">
        <v>2.0699999999999998</v>
      </c>
      <c r="Z4031" s="6">
        <v>2</v>
      </c>
      <c r="AA4031" s="8">
        <v>45352</v>
      </c>
      <c r="AB4031" s="4">
        <v>0.13</v>
      </c>
      <c r="AC4031" s="6">
        <v>3.75</v>
      </c>
      <c r="AD4031" s="6">
        <v>6.24</v>
      </c>
      <c r="AE4031" s="1">
        <v>0</v>
      </c>
      <c r="AF4031" s="1">
        <f ca="1">IFERROR(__xludf.DUMMYFUNCTION("IFERROR(GOOGLEFINANCE(TRIM(F4031)&amp;"":"" &amp; TRIM(B4031),""high52""),AE4031)"),275.95)</f>
        <v>275.95</v>
      </c>
      <c r="AG4031" s="1">
        <v>0</v>
      </c>
      <c r="AH4031" s="1">
        <f ca="1">IFERROR(__xludf.DUMMYFUNCTION("IFERROR(GOOGLEFINANCE(TRIM(F4031)&amp;"":"" &amp; TRIM(B4031),""low52""),AE4031)"),181.12)</f>
        <v>181.12</v>
      </c>
      <c r="AI4031" s="1">
        <f ca="1">IFERROR(__xludf.DUMMYFUNCTION("IFERROR(GOOGLEFINANCE(B4031,""eps""),0)"),7.51)</f>
        <v>7.51</v>
      </c>
      <c r="AJ4031" s="1"/>
      <c r="AK4031" s="1" t="s">
        <v>12258</v>
      </c>
      <c r="AL4031" s="9">
        <f t="shared" si="372"/>
        <v>1</v>
      </c>
    </row>
    <row r="4032" spans="1:38" ht="15" x14ac:dyDescent="0.25">
      <c r="A4032" s="1" t="s">
        <v>12259</v>
      </c>
      <c r="B4032" s="1" t="s">
        <v>12260</v>
      </c>
      <c r="C4032" s="1" t="s">
        <v>416</v>
      </c>
      <c r="D4032" s="1" t="s">
        <v>416</v>
      </c>
      <c r="E4032" s="6">
        <v>188.9</v>
      </c>
      <c r="F4032" s="1" t="s">
        <v>40</v>
      </c>
      <c r="G4032" s="6">
        <f ca="1">IFERROR(__xludf.DUMMYFUNCTION("iferror(GOOGLEFINANCE(TRIM(F4032)&amp;"":"" &amp; TRIM(B4032), ""price""),0
)"),0)</f>
        <v>0</v>
      </c>
      <c r="H4032" s="6">
        <v>104.35</v>
      </c>
      <c r="I4032" s="6">
        <f t="shared" ca="1" si="0"/>
        <v>104.35</v>
      </c>
      <c r="J4032" s="6">
        <f ca="1">IFERROR(__xludf.DUMMYFUNCTION("IFERROR(GOOGLEFINANCE(B4032, ""volume""), 0)"),0)</f>
        <v>0</v>
      </c>
      <c r="K4032" s="6">
        <v>4.9800000000000004</v>
      </c>
      <c r="L4032" s="6">
        <f ca="1">IFERROR(__xludf.DUMMYFUNCTION("IFERROR(GOOGLEFINANCE(B4032,""changepct""),K4032)"),4.98)</f>
        <v>4.9800000000000004</v>
      </c>
      <c r="M4032" s="6">
        <f ca="1">IFERROR(__xludf.DUMMYFUNCTION("IFERROR(GOOGLEFINANCE(B4032,""change""),0)"),0)</f>
        <v>0</v>
      </c>
      <c r="N4032" s="6">
        <v>1</v>
      </c>
      <c r="O4032" s="7">
        <v>45536</v>
      </c>
      <c r="P4032" s="6">
        <v>26.94</v>
      </c>
      <c r="Q4032" s="6">
        <v>215.84</v>
      </c>
      <c r="R4032" s="12"/>
      <c r="S4032" s="12"/>
      <c r="T4032" s="12"/>
      <c r="U4032" s="7">
        <v>45352</v>
      </c>
      <c r="V4032" s="6">
        <v>30.28</v>
      </c>
      <c r="W4032" s="6">
        <f ca="1">IFERROR(__xludf.DUMMYFUNCTION("IFERROR(GOOGLEFINANCE(B4032,""pe""),V4032)"),30.28)</f>
        <v>30.28</v>
      </c>
      <c r="X4032" s="12"/>
      <c r="Y4032" s="6">
        <v>3.36</v>
      </c>
      <c r="Z4032" s="6">
        <v>1</v>
      </c>
      <c r="AA4032" s="8">
        <v>45352</v>
      </c>
      <c r="AB4032" s="4">
        <v>1.81</v>
      </c>
      <c r="AC4032" s="6">
        <v>36.15</v>
      </c>
      <c r="AD4032" s="6">
        <v>23.1</v>
      </c>
      <c r="AE4032" s="1">
        <v>0</v>
      </c>
      <c r="AF4032" s="1">
        <f ca="1">IFERROR(__xludf.DUMMYFUNCTION("IFERROR(GOOGLEFINANCE(TRIM(F4032)&amp;"":"" &amp; TRIM(B4032),""high52""),AE4032)"),0)</f>
        <v>0</v>
      </c>
      <c r="AG4032" s="1">
        <v>0</v>
      </c>
      <c r="AH4032" s="1">
        <f ca="1">IFERROR(__xludf.DUMMYFUNCTION("IFERROR(GOOGLEFINANCE(TRIM(F4032)&amp;"":"" &amp; TRIM(B4032),""low52""),AE4032)"),0)</f>
        <v>0</v>
      </c>
      <c r="AI4032" s="1">
        <f ca="1">IFERROR(__xludf.DUMMYFUNCTION("IFERROR(GOOGLEFINANCE(B4032,""eps""),0)"),0)</f>
        <v>0</v>
      </c>
      <c r="AJ4032" s="1"/>
      <c r="AK4032" s="1" t="s">
        <v>12261</v>
      </c>
      <c r="AL4032" s="9">
        <f t="shared" si="372"/>
        <v>1</v>
      </c>
    </row>
    <row r="4033" spans="1:38" ht="15" x14ac:dyDescent="0.25">
      <c r="A4033" s="1" t="s">
        <v>12262</v>
      </c>
      <c r="B4033" s="1" t="s">
        <v>12263</v>
      </c>
      <c r="C4033" s="1" t="s">
        <v>154</v>
      </c>
      <c r="D4033" s="1" t="s">
        <v>154</v>
      </c>
      <c r="E4033" s="6">
        <v>376.41</v>
      </c>
      <c r="F4033" s="1" t="s">
        <v>40</v>
      </c>
      <c r="G4033" s="6">
        <f ca="1">IFERROR(__xludf.DUMMYFUNCTION("iferror(GOOGLEFINANCE(TRIM(F4033)&amp;"":"" &amp; TRIM(B4033), ""price""),0
)"),29.6)</f>
        <v>29.6</v>
      </c>
      <c r="H4033" s="6">
        <v>164</v>
      </c>
      <c r="I4033" s="6">
        <f t="shared" ca="1" si="0"/>
        <v>29.6</v>
      </c>
      <c r="J4033" s="6">
        <f ca="1">IFERROR(__xludf.DUMMYFUNCTION("IFERROR(GOOGLEFINANCE(B4033, ""volume""), 0)"),30112)</f>
        <v>30112</v>
      </c>
      <c r="K4033" s="6">
        <v>0</v>
      </c>
      <c r="L4033" s="6">
        <f ca="1">IFERROR(__xludf.DUMMYFUNCTION("IFERROR(GOOGLEFINANCE(B4033,""changepct""),K4033)"),-1.66)</f>
        <v>-1.66</v>
      </c>
      <c r="M4033" s="6">
        <f ca="1">IFERROR(__xludf.DUMMYFUNCTION("IFERROR(GOOGLEFINANCE(B4033,""change""),0)"),-0.5)</f>
        <v>-0.5</v>
      </c>
      <c r="N4033" s="6">
        <v>2</v>
      </c>
      <c r="O4033" s="7">
        <v>45536</v>
      </c>
      <c r="P4033" s="6">
        <v>121.4</v>
      </c>
      <c r="Q4033" s="6">
        <v>488.15</v>
      </c>
      <c r="R4033" s="7">
        <v>45352</v>
      </c>
      <c r="S4033" s="6">
        <v>908.48</v>
      </c>
      <c r="T4033" s="6">
        <v>6.61</v>
      </c>
      <c r="U4033" s="7">
        <v>45352</v>
      </c>
      <c r="V4033" s="6">
        <v>56.96</v>
      </c>
      <c r="W4033" s="6">
        <f ca="1">IFERROR(__xludf.DUMMYFUNCTION("IFERROR(GOOGLEFINANCE(B4033,""pe""),V4033)"),15.14)</f>
        <v>15.14</v>
      </c>
      <c r="X4033" s="12"/>
      <c r="Y4033" s="6">
        <v>4.26</v>
      </c>
      <c r="Z4033" s="6">
        <v>2</v>
      </c>
      <c r="AA4033" s="8">
        <v>45352</v>
      </c>
      <c r="AB4033" s="4">
        <v>1.58</v>
      </c>
      <c r="AC4033" s="6">
        <v>8.3000000000000007</v>
      </c>
      <c r="AD4033" s="6">
        <v>10.75</v>
      </c>
      <c r="AE4033" s="1">
        <v>0</v>
      </c>
      <c r="AF4033" s="1">
        <f ca="1">IFERROR(__xludf.DUMMYFUNCTION("IFERROR(GOOGLEFINANCE(TRIM(F4033)&amp;"":"" &amp; TRIM(B4033),""high52""),AE4033)"),51.16)</f>
        <v>51.16</v>
      </c>
      <c r="AG4033" s="1">
        <v>0</v>
      </c>
      <c r="AH4033" s="1">
        <f ca="1">IFERROR(__xludf.DUMMYFUNCTION("IFERROR(GOOGLEFINANCE(TRIM(F4033)&amp;"":"" &amp; TRIM(B4033),""low52""),AE4033)"),11.9)</f>
        <v>11.9</v>
      </c>
      <c r="AI4033" s="1">
        <f ca="1">IFERROR(__xludf.DUMMYFUNCTION("IFERROR(GOOGLEFINANCE(B4033,""eps""),0)"),1.95)</f>
        <v>1.95</v>
      </c>
      <c r="AJ4033" s="1"/>
      <c r="AK4033" s="1" t="s">
        <v>12264</v>
      </c>
      <c r="AL4033" s="9">
        <f t="shared" si="372"/>
        <v>1</v>
      </c>
    </row>
    <row r="4034" spans="1:38" ht="15" x14ac:dyDescent="0.25">
      <c r="A4034" s="1" t="s">
        <v>12265</v>
      </c>
      <c r="B4034" s="1" t="s">
        <v>12266</v>
      </c>
      <c r="C4034" s="1" t="s">
        <v>643</v>
      </c>
      <c r="D4034" s="1" t="s">
        <v>643</v>
      </c>
      <c r="E4034" s="6">
        <v>122784.1</v>
      </c>
      <c r="F4034" s="1" t="s">
        <v>40</v>
      </c>
      <c r="G4034" s="6">
        <f ca="1">IFERROR(__xludf.DUMMYFUNCTION("iferror(GOOGLEFINANCE(TRIM(F4034)&amp;"":"" &amp; TRIM(B4034), ""price""),0
)"),1346.5)</f>
        <v>1346.5</v>
      </c>
      <c r="H4034" s="6">
        <v>1675</v>
      </c>
      <c r="I4034" s="6">
        <f t="shared" ca="1" si="0"/>
        <v>1346.5</v>
      </c>
      <c r="J4034" s="6">
        <f ca="1">IFERROR(__xludf.DUMMYFUNCTION("IFERROR(GOOGLEFINANCE(B4034, ""volume""), 0)"),510793)</f>
        <v>510793</v>
      </c>
      <c r="K4034" s="6">
        <v>-0.8</v>
      </c>
      <c r="L4034" s="6">
        <f ca="1">IFERROR(__xludf.DUMMYFUNCTION("IFERROR(GOOGLEFINANCE(B4034,""changepct""),K4034)"),0.86)</f>
        <v>0.86</v>
      </c>
      <c r="M4034" s="6">
        <f ca="1">IFERROR(__xludf.DUMMYFUNCTION("IFERROR(GOOGLEFINANCE(B4034,""change""),0)"),11.5)</f>
        <v>11.5</v>
      </c>
      <c r="N4034" s="6">
        <v>2</v>
      </c>
      <c r="O4034" s="7">
        <v>45536</v>
      </c>
      <c r="P4034" s="12"/>
      <c r="Q4034" s="6">
        <v>121451.1</v>
      </c>
      <c r="R4034" s="7">
        <v>45536</v>
      </c>
      <c r="S4034" s="6">
        <v>26383</v>
      </c>
      <c r="T4034" s="6">
        <v>1420.3</v>
      </c>
      <c r="U4034" s="7">
        <v>45536</v>
      </c>
      <c r="V4034" s="6">
        <v>86.64</v>
      </c>
      <c r="W4034" s="6">
        <f ca="1">IFERROR(__xludf.DUMMYFUNCTION("IFERROR(GOOGLEFINANCE(B4034,""pe""),V4034)"),86.64)</f>
        <v>86.64</v>
      </c>
      <c r="X4034" s="6">
        <v>5.68</v>
      </c>
      <c r="Y4034" s="6">
        <v>16.09</v>
      </c>
      <c r="Z4034" s="6">
        <v>2</v>
      </c>
      <c r="AA4034" s="8">
        <v>45352</v>
      </c>
      <c r="AB4034" s="4">
        <v>0</v>
      </c>
      <c r="AC4034" s="6">
        <v>21.46</v>
      </c>
      <c r="AD4034" s="6">
        <v>29.4</v>
      </c>
      <c r="AE4034" s="1">
        <v>0</v>
      </c>
      <c r="AF4034" s="1">
        <f ca="1">IFERROR(__xludf.DUMMYFUNCTION("IFERROR(GOOGLEFINANCE(TRIM(F4034)&amp;"":"" &amp; TRIM(B4034),""high52""),AE4034)"),1645)</f>
        <v>1645</v>
      </c>
      <c r="AG4034" s="1">
        <v>0</v>
      </c>
      <c r="AH4034" s="1">
        <f ca="1">IFERROR(__xludf.DUMMYFUNCTION("IFERROR(GOOGLEFINANCE(TRIM(F4034)&amp;"":"" &amp; TRIM(B4034),""low52""),AE4034)"),1271.1)</f>
        <v>1271.0999999999999</v>
      </c>
      <c r="AI4034" s="1">
        <f ca="1">IFERROR(__xludf.DUMMYFUNCTION("IFERROR(GOOGLEFINANCE(B4034,""eps""),0)"),0)</f>
        <v>0</v>
      </c>
      <c r="AJ4034" s="1"/>
      <c r="AK4034" s="1" t="s">
        <v>12267</v>
      </c>
      <c r="AL4034" s="1" t="b">
        <f>ISNUMBER(AA4034)</f>
        <v>1</v>
      </c>
    </row>
    <row r="4035" spans="1:38" ht="15" x14ac:dyDescent="0.25">
      <c r="A4035" s="1" t="s">
        <v>12268</v>
      </c>
      <c r="B4035" s="1" t="s">
        <v>12269</v>
      </c>
      <c r="C4035" s="1" t="s">
        <v>410</v>
      </c>
      <c r="D4035" s="1" t="s">
        <v>410</v>
      </c>
      <c r="E4035" s="6">
        <v>13.86</v>
      </c>
      <c r="F4035" s="1" t="s">
        <v>40</v>
      </c>
      <c r="G4035" s="6">
        <f ca="1">IFERROR(__xludf.DUMMYFUNCTION("iferror(GOOGLEFINANCE(TRIM(F4035)&amp;"":"" &amp; TRIM(B4035), ""price""),0
)"),11.38)</f>
        <v>11.38</v>
      </c>
      <c r="H4035" s="6">
        <v>9.68</v>
      </c>
      <c r="I4035" s="6">
        <f t="shared" ca="1" si="0"/>
        <v>11.38</v>
      </c>
      <c r="J4035" s="6">
        <f ca="1">IFERROR(__xludf.DUMMYFUNCTION("IFERROR(GOOGLEFINANCE(B4035, ""volume""), 0)"),0)</f>
        <v>0</v>
      </c>
      <c r="K4035" s="12"/>
      <c r="L4035" s="6">
        <f ca="1">IFERROR(__xludf.DUMMYFUNCTION("IFERROR(GOOGLEFINANCE(B4035,""changepct""),K4035)"),0)</f>
        <v>0</v>
      </c>
      <c r="M4035" s="6">
        <f ca="1">IFERROR(__xludf.DUMMYFUNCTION("IFERROR(GOOGLEFINANCE(B4035,""change""),0)"),0)</f>
        <v>0</v>
      </c>
      <c r="N4035" s="6">
        <v>1</v>
      </c>
      <c r="O4035" s="7">
        <v>45536</v>
      </c>
      <c r="P4035" s="6">
        <v>0.53</v>
      </c>
      <c r="Q4035" s="6">
        <v>14.39</v>
      </c>
      <c r="R4035" s="7">
        <v>45536</v>
      </c>
      <c r="S4035" s="6">
        <v>0.02</v>
      </c>
      <c r="T4035" s="6">
        <v>-7.0000000000000007E-2</v>
      </c>
      <c r="U4035" s="7">
        <v>45536</v>
      </c>
      <c r="V4035" s="6">
        <v>0</v>
      </c>
      <c r="W4035" s="6">
        <f ca="1">IFERROR(__xludf.DUMMYFUNCTION("IFERROR(GOOGLEFINANCE(B4035,""pe""),V4035)"),0)</f>
        <v>0</v>
      </c>
      <c r="X4035" s="6">
        <v>0</v>
      </c>
      <c r="Y4035" s="6">
        <v>-25.14</v>
      </c>
      <c r="Z4035" s="6">
        <v>1</v>
      </c>
      <c r="AA4035" s="8">
        <v>45352</v>
      </c>
      <c r="AB4035" s="4">
        <v>-0.93</v>
      </c>
      <c r="AC4035" s="6">
        <v>0</v>
      </c>
      <c r="AD4035" s="6">
        <v>-350.79</v>
      </c>
      <c r="AE4035" s="1">
        <v>0</v>
      </c>
      <c r="AF4035" s="1">
        <f ca="1">IFERROR(__xludf.DUMMYFUNCTION("IFERROR(GOOGLEFINANCE(TRIM(F4035)&amp;"":"" &amp; TRIM(B4035),""high52""),AE4035)"),14.24)</f>
        <v>14.24</v>
      </c>
      <c r="AG4035" s="1">
        <v>0</v>
      </c>
      <c r="AH4035" s="1">
        <f ca="1">IFERROR(__xludf.DUMMYFUNCTION("IFERROR(GOOGLEFINANCE(TRIM(F4035)&amp;"":"" &amp; TRIM(B4035),""low52""),AE4035)"),9.68)</f>
        <v>9.68</v>
      </c>
      <c r="AI4035" s="1">
        <f ca="1">IFERROR(__xludf.DUMMYFUNCTION("IFERROR(GOOGLEFINANCE(B4035,""eps""),0)"),-3.8)</f>
        <v>-3.8</v>
      </c>
      <c r="AJ4035" s="1"/>
      <c r="AK4035" s="1" t="s">
        <v>12270</v>
      </c>
      <c r="AL4035" s="9">
        <f t="shared" ref="AL4035:AL4037" si="373">IF(AA4035&lt;&gt;AB4035,1,0)</f>
        <v>1</v>
      </c>
    </row>
    <row r="4036" spans="1:38" ht="15" x14ac:dyDescent="0.25">
      <c r="A4036" s="1" t="s">
        <v>12271</v>
      </c>
      <c r="B4036" s="1" t="s">
        <v>12272</v>
      </c>
      <c r="C4036" s="1" t="s">
        <v>186</v>
      </c>
      <c r="D4036" s="1" t="s">
        <v>186</v>
      </c>
      <c r="E4036" s="6">
        <v>20.47</v>
      </c>
      <c r="F4036" s="1" t="s">
        <v>53</v>
      </c>
      <c r="G4036" s="6">
        <f ca="1">IFERROR(__xludf.DUMMYFUNCTION("iferror(GOOGLEFINANCE(TRIM(F4036)&amp;"":"" &amp; TRIM(B4036), ""price""),0
)"),0)</f>
        <v>0</v>
      </c>
      <c r="H4036" s="6">
        <v>26.18</v>
      </c>
      <c r="I4036" s="6">
        <f t="shared" ca="1" si="0"/>
        <v>26.18</v>
      </c>
      <c r="J4036" s="6">
        <f ca="1">IFERROR(__xludf.DUMMYFUNCTION("IFERROR(GOOGLEFINANCE(B4036, ""volume""), 0)"),0)</f>
        <v>0</v>
      </c>
      <c r="K4036" s="9"/>
      <c r="L4036" s="6" t="str">
        <f ca="1">IFERROR(__xludf.DUMMYFUNCTION("IFERROR(GOOGLEFINANCE(B4036,""changepct""),K4036)"),"")</f>
        <v/>
      </c>
      <c r="M4036" s="6">
        <f ca="1">IFERROR(__xludf.DUMMYFUNCTION("IFERROR(GOOGLEFINANCE(B4036,""change""),0)"),0)</f>
        <v>0</v>
      </c>
      <c r="N4036" s="6">
        <v>1</v>
      </c>
      <c r="O4036" s="7">
        <v>45536</v>
      </c>
      <c r="P4036" s="6">
        <v>2.84</v>
      </c>
      <c r="Q4036" s="6">
        <v>23.31</v>
      </c>
      <c r="R4036" s="14"/>
      <c r="S4036" s="9"/>
      <c r="T4036" s="9"/>
      <c r="U4036" s="7">
        <v>45352</v>
      </c>
      <c r="V4036" s="6">
        <v>28.35</v>
      </c>
      <c r="W4036" s="6">
        <f ca="1">IFERROR(__xludf.DUMMYFUNCTION("IFERROR(GOOGLEFINANCE(B4036,""pe""),V4036)"),28.35)</f>
        <v>28.35</v>
      </c>
      <c r="X4036" s="12"/>
      <c r="Y4036" s="6">
        <v>1.79</v>
      </c>
      <c r="Z4036" s="6">
        <v>1</v>
      </c>
      <c r="AA4036" s="8">
        <v>45352</v>
      </c>
      <c r="AB4036" s="4">
        <v>0.88</v>
      </c>
      <c r="AC4036" s="6">
        <v>24.54</v>
      </c>
      <c r="AD4036" s="6">
        <v>28.66</v>
      </c>
      <c r="AE4036" s="1">
        <v>0</v>
      </c>
      <c r="AF4036" s="1">
        <f ca="1">IFERROR(__xludf.DUMMYFUNCTION("IFERROR(GOOGLEFINANCE(TRIM(F4036)&amp;"":"" &amp; TRIM(B4036),""high52""),AE4036)"),0)</f>
        <v>0</v>
      </c>
      <c r="AG4036" s="1">
        <v>0</v>
      </c>
      <c r="AH4036" s="1">
        <f ca="1">IFERROR(__xludf.DUMMYFUNCTION("IFERROR(GOOGLEFINANCE(TRIM(F4036)&amp;"":"" &amp; TRIM(B4036),""low52""),AE4036)"),0)</f>
        <v>0</v>
      </c>
      <c r="AI4036" s="1">
        <f ca="1">IFERROR(__xludf.DUMMYFUNCTION("IFERROR(GOOGLEFINANCE(B4036,""eps""),0)"),0)</f>
        <v>0</v>
      </c>
      <c r="AJ4036" s="1"/>
      <c r="AK4036" s="1" t="s">
        <v>12273</v>
      </c>
      <c r="AL4036" s="9">
        <f t="shared" si="373"/>
        <v>1</v>
      </c>
    </row>
    <row r="4037" spans="1:38" ht="15" x14ac:dyDescent="0.25">
      <c r="A4037" s="1" t="s">
        <v>12274</v>
      </c>
      <c r="B4037" s="1" t="s">
        <v>12275</v>
      </c>
      <c r="C4037" s="1" t="s">
        <v>86</v>
      </c>
      <c r="D4037" s="1" t="s">
        <v>86</v>
      </c>
      <c r="E4037" s="6">
        <v>308.20999999999998</v>
      </c>
      <c r="F4037" s="1" t="s">
        <v>40</v>
      </c>
      <c r="G4037" s="6">
        <f ca="1">IFERROR(__xludf.DUMMYFUNCTION("iferror(GOOGLEFINANCE(TRIM(F4037)&amp;"":"" &amp; TRIM(B4037), ""price""),0
)"),61.15)</f>
        <v>61.15</v>
      </c>
      <c r="H4037" s="6">
        <v>273.5</v>
      </c>
      <c r="I4037" s="6">
        <f t="shared" ca="1" si="0"/>
        <v>61.15</v>
      </c>
      <c r="J4037" s="6">
        <f ca="1">IFERROR(__xludf.DUMMYFUNCTION("IFERROR(GOOGLEFINANCE(B4037, ""volume""), 0)"),16517)</f>
        <v>16517</v>
      </c>
      <c r="K4037" s="6">
        <v>0.85</v>
      </c>
      <c r="L4037" s="6">
        <f ca="1">IFERROR(__xludf.DUMMYFUNCTION("IFERROR(GOOGLEFINANCE(B4037,""changepct""),K4037)"),0.43)</f>
        <v>0.43</v>
      </c>
      <c r="M4037" s="6">
        <f ca="1">IFERROR(__xludf.DUMMYFUNCTION("IFERROR(GOOGLEFINANCE(B4037,""change""),0)"),0.26)</f>
        <v>0.26</v>
      </c>
      <c r="N4037" s="6">
        <v>2</v>
      </c>
      <c r="O4037" s="7">
        <v>45536</v>
      </c>
      <c r="P4037" s="6">
        <v>37.85</v>
      </c>
      <c r="Q4037" s="6">
        <v>335.98</v>
      </c>
      <c r="R4037" s="7">
        <v>45536</v>
      </c>
      <c r="S4037" s="6">
        <v>139.65</v>
      </c>
      <c r="T4037" s="6">
        <v>13.21</v>
      </c>
      <c r="U4037" s="7">
        <v>45536</v>
      </c>
      <c r="V4037" s="6">
        <v>32.85</v>
      </c>
      <c r="W4037" s="6">
        <f ca="1">IFERROR(__xludf.DUMMYFUNCTION("IFERROR(GOOGLEFINANCE(B4037,""pe""),V4037)"),15.19)</f>
        <v>15.19</v>
      </c>
      <c r="X4037" s="6">
        <v>3.52</v>
      </c>
      <c r="Y4037" s="6">
        <v>5.3</v>
      </c>
      <c r="Z4037" s="6">
        <v>2</v>
      </c>
      <c r="AA4037" s="8">
        <v>45352</v>
      </c>
      <c r="AB4037" s="4">
        <v>0.63</v>
      </c>
      <c r="AC4037" s="6">
        <v>20.51</v>
      </c>
      <c r="AD4037" s="6">
        <v>23.78</v>
      </c>
      <c r="AE4037" s="1">
        <v>0</v>
      </c>
      <c r="AF4037" s="1">
        <f ca="1">IFERROR(__xludf.DUMMYFUNCTION("IFERROR(GOOGLEFINANCE(TRIM(F4037)&amp;"":"" &amp; TRIM(B4037),""high52""),AE4037)"),106.67)</f>
        <v>106.67</v>
      </c>
      <c r="AG4037" s="1">
        <v>0</v>
      </c>
      <c r="AH4037" s="1">
        <f ca="1">IFERROR(__xludf.DUMMYFUNCTION("IFERROR(GOOGLEFINANCE(TRIM(F4037)&amp;"":"" &amp; TRIM(B4037),""low52""),AE4037)"),59.85)</f>
        <v>59.85</v>
      </c>
      <c r="AI4037" s="1">
        <f ca="1">IFERROR(__xludf.DUMMYFUNCTION("IFERROR(GOOGLEFINANCE(B4037,""eps""),0)"),4.03)</f>
        <v>4.03</v>
      </c>
      <c r="AJ4037" s="1"/>
      <c r="AK4037" s="1" t="s">
        <v>12276</v>
      </c>
      <c r="AL4037" s="9">
        <f t="shared" si="373"/>
        <v>1</v>
      </c>
    </row>
    <row r="4038" spans="1:38" ht="15" x14ac:dyDescent="0.25">
      <c r="A4038" s="1" t="s">
        <v>12277</v>
      </c>
      <c r="B4038" s="1" t="s">
        <v>12278</v>
      </c>
      <c r="C4038" s="1" t="s">
        <v>577</v>
      </c>
      <c r="D4038" s="1" t="s">
        <v>577</v>
      </c>
      <c r="E4038" s="6">
        <v>2825.77</v>
      </c>
      <c r="F4038" s="1" t="s">
        <v>40</v>
      </c>
      <c r="G4038" s="6">
        <f ca="1">IFERROR(__xludf.DUMMYFUNCTION("iferror(GOOGLEFINANCE(TRIM(F4038)&amp;"":"" &amp; TRIM(B4038), ""price""),0
)"),708)</f>
        <v>708</v>
      </c>
      <c r="H4038" s="6">
        <v>811.15</v>
      </c>
      <c r="I4038" s="6">
        <f t="shared" ca="1" si="0"/>
        <v>708</v>
      </c>
      <c r="J4038" s="6">
        <f ca="1">IFERROR(__xludf.DUMMYFUNCTION("IFERROR(GOOGLEFINANCE(B4038, ""volume""), 0)"),39757)</f>
        <v>39757</v>
      </c>
      <c r="K4038" s="6">
        <v>-0.42</v>
      </c>
      <c r="L4038" s="6">
        <f ca="1">IFERROR(__xludf.DUMMYFUNCTION("IFERROR(GOOGLEFINANCE(B4038,""changepct""),K4038)"),-0.6)</f>
        <v>-0.6</v>
      </c>
      <c r="M4038" s="6">
        <f ca="1">IFERROR(__xludf.DUMMYFUNCTION("IFERROR(GOOGLEFINANCE(B4038,""change""),0)"),-4.25)</f>
        <v>-4.25</v>
      </c>
      <c r="N4038" s="6">
        <v>2</v>
      </c>
      <c r="O4038" s="7">
        <v>45536</v>
      </c>
      <c r="P4038" s="6">
        <v>824.7</v>
      </c>
      <c r="Q4038" s="6">
        <v>3642.59</v>
      </c>
      <c r="R4038" s="7">
        <v>45536</v>
      </c>
      <c r="S4038" s="6">
        <v>2173.6799999999998</v>
      </c>
      <c r="T4038" s="6">
        <v>41.48</v>
      </c>
      <c r="U4038" s="7">
        <v>45536</v>
      </c>
      <c r="V4038" s="6">
        <v>29.32</v>
      </c>
      <c r="W4038" s="6">
        <f ca="1">IFERROR(__xludf.DUMMYFUNCTION("IFERROR(GOOGLEFINANCE(B4038,""pe""),V4038)"),16.81)</f>
        <v>16.809999999999999</v>
      </c>
      <c r="X4038" s="6">
        <v>-6.59</v>
      </c>
      <c r="Y4038" s="6">
        <v>1.55</v>
      </c>
      <c r="Z4038" s="6">
        <v>2</v>
      </c>
      <c r="AA4038" s="8">
        <v>45352</v>
      </c>
      <c r="AB4038" s="4">
        <v>0.43</v>
      </c>
      <c r="AC4038" s="6">
        <v>6.62</v>
      </c>
      <c r="AD4038" s="6">
        <v>10.029999999999999</v>
      </c>
      <c r="AE4038" s="1">
        <v>0</v>
      </c>
      <c r="AF4038" s="1">
        <f ca="1">IFERROR(__xludf.DUMMYFUNCTION("IFERROR(GOOGLEFINANCE(TRIM(F4038)&amp;"":"" &amp; TRIM(B4038),""high52""),AE4038)"),1008)</f>
        <v>1008</v>
      </c>
      <c r="AG4038" s="1">
        <v>0</v>
      </c>
      <c r="AH4038" s="1">
        <f ca="1">IFERROR(__xludf.DUMMYFUNCTION("IFERROR(GOOGLEFINANCE(TRIM(F4038)&amp;"":"" &amp; TRIM(B4038),""low52""),AE4038)"),407.25)</f>
        <v>407.25</v>
      </c>
      <c r="AI4038" s="1">
        <f ca="1">IFERROR(__xludf.DUMMYFUNCTION("IFERROR(GOOGLEFINANCE(B4038,""eps""),0)"),42.11)</f>
        <v>42.11</v>
      </c>
      <c r="AJ4038" s="1"/>
      <c r="AK4038" s="1" t="s">
        <v>12279</v>
      </c>
      <c r="AL4038" s="1" t="b">
        <f>ISNUMBER(AA4038)</f>
        <v>1</v>
      </c>
    </row>
    <row r="4039" spans="1:38" ht="15" x14ac:dyDescent="0.25">
      <c r="A4039" s="1" t="s">
        <v>12280</v>
      </c>
      <c r="B4039" s="1" t="s">
        <v>12281</v>
      </c>
      <c r="C4039" s="1" t="s">
        <v>9949</v>
      </c>
      <c r="D4039" s="1" t="s">
        <v>9949</v>
      </c>
      <c r="E4039" s="6">
        <v>238.09</v>
      </c>
      <c r="F4039" s="1" t="s">
        <v>40</v>
      </c>
      <c r="G4039" s="6">
        <f ca="1">IFERROR(__xludf.DUMMYFUNCTION("iferror(GOOGLEFINANCE(TRIM(F4039)&amp;"":"" &amp; TRIM(B4039), ""price""),0
)"),190.04)</f>
        <v>190.04</v>
      </c>
      <c r="H4039" s="6">
        <v>227.53</v>
      </c>
      <c r="I4039" s="6">
        <f t="shared" ca="1" si="0"/>
        <v>190.04</v>
      </c>
      <c r="J4039" s="6">
        <f ca="1">IFERROR(__xludf.DUMMYFUNCTION("IFERROR(GOOGLEFINANCE(B4039, ""volume""), 0)"),414)</f>
        <v>414</v>
      </c>
      <c r="K4039" s="6">
        <v>5</v>
      </c>
      <c r="L4039" s="6">
        <f ca="1">IFERROR(__xludf.DUMMYFUNCTION("IFERROR(GOOGLEFINANCE(B4039,""changepct""),K4039)"),-1.85)</f>
        <v>-1.85</v>
      </c>
      <c r="M4039" s="6">
        <f ca="1">IFERROR(__xludf.DUMMYFUNCTION("IFERROR(GOOGLEFINANCE(B4039,""change""),0)"),-3.58)</f>
        <v>-3.58</v>
      </c>
      <c r="N4039" s="6">
        <v>2</v>
      </c>
      <c r="O4039" s="7">
        <v>45536</v>
      </c>
      <c r="P4039" s="9"/>
      <c r="Q4039" s="6">
        <v>238.09</v>
      </c>
      <c r="R4039" s="7">
        <v>45536</v>
      </c>
      <c r="S4039" s="6">
        <v>32.25</v>
      </c>
      <c r="T4039" s="6">
        <v>37.54</v>
      </c>
      <c r="U4039" s="7">
        <v>45536</v>
      </c>
      <c r="V4039" s="6">
        <v>2.83</v>
      </c>
      <c r="W4039" s="6">
        <f ca="1">IFERROR(__xludf.DUMMYFUNCTION("IFERROR(GOOGLEFINANCE(B4039,""pe""),V4039)"),2.83)</f>
        <v>2.83</v>
      </c>
      <c r="X4039" s="12"/>
      <c r="Y4039" s="6">
        <v>0.22</v>
      </c>
      <c r="Z4039" s="6">
        <v>2</v>
      </c>
      <c r="AA4039" s="8">
        <v>45352</v>
      </c>
      <c r="AB4039" s="4">
        <v>0</v>
      </c>
      <c r="AC4039" s="6">
        <v>-20.54</v>
      </c>
      <c r="AD4039" s="6">
        <v>-19.559999999999999</v>
      </c>
      <c r="AE4039" s="1">
        <v>0</v>
      </c>
      <c r="AF4039" s="1">
        <f ca="1">IFERROR(__xludf.DUMMYFUNCTION("IFERROR(GOOGLEFINANCE(TRIM(F4039)&amp;"":"" &amp; TRIM(B4039),""high52""),AE4039)"),333.4)</f>
        <v>333.4</v>
      </c>
      <c r="AG4039" s="1">
        <v>0</v>
      </c>
      <c r="AH4039" s="1">
        <f ca="1">IFERROR(__xludf.DUMMYFUNCTION("IFERROR(GOOGLEFINANCE(TRIM(F4039)&amp;"":"" &amp; TRIM(B4039),""low52""),AE4039)"),174)</f>
        <v>174</v>
      </c>
      <c r="AI4039" s="1">
        <f ca="1">IFERROR(__xludf.DUMMYFUNCTION("IFERROR(GOOGLEFINANCE(B4039,""eps""),0)"),-139.76)</f>
        <v>-139.76</v>
      </c>
      <c r="AJ4039" s="1"/>
      <c r="AK4039" s="1" t="s">
        <v>12282</v>
      </c>
      <c r="AL4039" s="9">
        <f>IF(AA4039&lt;&gt;AB4039,1,0)</f>
        <v>1</v>
      </c>
    </row>
    <row r="4040" spans="1:38" ht="15" x14ac:dyDescent="0.25">
      <c r="A4040" s="1" t="s">
        <v>12283</v>
      </c>
      <c r="B4040" s="1" t="s">
        <v>12284</v>
      </c>
      <c r="C4040" s="1" t="s">
        <v>355</v>
      </c>
      <c r="D4040" s="1" t="s">
        <v>355</v>
      </c>
      <c r="E4040" s="6">
        <v>60502.52</v>
      </c>
      <c r="F4040" s="1" t="s">
        <v>40</v>
      </c>
      <c r="G4040" s="6">
        <f ca="1">IFERROR(__xludf.DUMMYFUNCTION("iferror(GOOGLEFINANCE(TRIM(F4040)&amp;"":"" &amp; TRIM(B4040), ""price""),0
)"),1180)</f>
        <v>1180</v>
      </c>
      <c r="H4040" s="6">
        <v>1063.3499999999999</v>
      </c>
      <c r="I4040" s="6">
        <f t="shared" ca="1" si="0"/>
        <v>1180</v>
      </c>
      <c r="J4040" s="6">
        <f ca="1">IFERROR(__xludf.DUMMYFUNCTION("IFERROR(GOOGLEFINANCE(B4040, ""volume""), 0)"),461793)</f>
        <v>461793</v>
      </c>
      <c r="K4040" s="6">
        <v>0.84</v>
      </c>
      <c r="L4040" s="6">
        <f ca="1">IFERROR(__xludf.DUMMYFUNCTION("IFERROR(GOOGLEFINANCE(B4040,""changepct""),K4040)"),3.05)</f>
        <v>3.05</v>
      </c>
      <c r="M4040" s="6">
        <f ca="1">IFERROR(__xludf.DUMMYFUNCTION("IFERROR(GOOGLEFINANCE(B4040,""change""),0)"),34.9)</f>
        <v>34.9</v>
      </c>
      <c r="N4040" s="6">
        <v>2</v>
      </c>
      <c r="O4040" s="7">
        <v>45536</v>
      </c>
      <c r="P4040" s="6">
        <v>1972.63</v>
      </c>
      <c r="Q4040" s="6">
        <v>62237.19</v>
      </c>
      <c r="R4040" s="7">
        <v>45536</v>
      </c>
      <c r="S4040" s="6">
        <v>15379.23</v>
      </c>
      <c r="T4040" s="6">
        <v>796.76</v>
      </c>
      <c r="U4040" s="7">
        <v>45536</v>
      </c>
      <c r="V4040" s="6">
        <v>65.28</v>
      </c>
      <c r="W4040" s="6">
        <f ca="1">IFERROR(__xludf.DUMMYFUNCTION("IFERROR(GOOGLEFINANCE(B4040,""pe""),V4040)"),72.3)</f>
        <v>72.3</v>
      </c>
      <c r="X4040" s="6">
        <v>2.64</v>
      </c>
      <c r="Y4040" s="6">
        <v>11.36</v>
      </c>
      <c r="Z4040" s="6">
        <v>2</v>
      </c>
      <c r="AA4040" s="8">
        <v>45352</v>
      </c>
      <c r="AB4040" s="4">
        <v>0.32</v>
      </c>
      <c r="AC4040" s="6">
        <v>20.43</v>
      </c>
      <c r="AD4040" s="6">
        <v>21.89</v>
      </c>
      <c r="AE4040" s="1">
        <v>0</v>
      </c>
      <c r="AF4040" s="1">
        <f ca="1">IFERROR(__xludf.DUMMYFUNCTION("IFERROR(GOOGLEFINANCE(TRIM(F4040)&amp;"":"" &amp; TRIM(B4040),""high52""),AE4040)"),1382)</f>
        <v>1382</v>
      </c>
      <c r="AG4040" s="1">
        <v>0</v>
      </c>
      <c r="AH4040" s="1">
        <f ca="1">IFERROR(__xludf.DUMMYFUNCTION("IFERROR(GOOGLEFINANCE(TRIM(F4040)&amp;"":"" &amp; TRIM(B4040),""low52""),AE4040)"),767.6)</f>
        <v>767.6</v>
      </c>
      <c r="AI4040" s="1">
        <f ca="1">IFERROR(__xludf.DUMMYFUNCTION("IFERROR(GOOGLEFINANCE(B4040,""eps""),0)"),7.29)</f>
        <v>7.29</v>
      </c>
      <c r="AJ4040" s="1"/>
      <c r="AK4040" s="1" t="s">
        <v>12285</v>
      </c>
      <c r="AL4040" s="1" t="b">
        <f>ISNUMBER(AA4040)</f>
        <v>1</v>
      </c>
    </row>
    <row r="4041" spans="1:38" ht="15" x14ac:dyDescent="0.25">
      <c r="A4041" s="1" t="s">
        <v>12286</v>
      </c>
      <c r="B4041" s="1" t="s">
        <v>12287</v>
      </c>
      <c r="C4041" s="1" t="s">
        <v>159</v>
      </c>
      <c r="D4041" s="1" t="s">
        <v>159</v>
      </c>
      <c r="E4041" s="6">
        <v>2537.34</v>
      </c>
      <c r="F4041" s="1" t="s">
        <v>40</v>
      </c>
      <c r="G4041" s="6">
        <f ca="1">IFERROR(__xludf.DUMMYFUNCTION("iferror(GOOGLEFINANCE(TRIM(F4041)&amp;"":"" &amp; TRIM(B4041), ""price""),0
)"),149.7)</f>
        <v>149.69999999999999</v>
      </c>
      <c r="H4041" s="6">
        <v>376.35</v>
      </c>
      <c r="I4041" s="6">
        <f t="shared" ca="1" si="0"/>
        <v>149.69999999999999</v>
      </c>
      <c r="J4041" s="6">
        <f ca="1">IFERROR(__xludf.DUMMYFUNCTION("IFERROR(GOOGLEFINANCE(B4041, ""volume""), 0)"),227832)</f>
        <v>227832</v>
      </c>
      <c r="K4041" s="6">
        <v>-0.75</v>
      </c>
      <c r="L4041" s="6">
        <f ca="1">IFERROR(__xludf.DUMMYFUNCTION("IFERROR(GOOGLEFINANCE(B4041,""changepct""),K4041)"),-1.69)</f>
        <v>-1.69</v>
      </c>
      <c r="M4041" s="6">
        <f ca="1">IFERROR(__xludf.DUMMYFUNCTION("IFERROR(GOOGLEFINANCE(B4041,""change""),0)"),-2.57)</f>
        <v>-2.57</v>
      </c>
      <c r="N4041" s="6">
        <v>2</v>
      </c>
      <c r="O4041" s="7">
        <v>45536</v>
      </c>
      <c r="P4041" s="6">
        <v>99.24</v>
      </c>
      <c r="Q4041" s="6">
        <v>2473.5300000000002</v>
      </c>
      <c r="R4041" s="7">
        <v>45536</v>
      </c>
      <c r="S4041" s="6">
        <v>2599.98</v>
      </c>
      <c r="T4041" s="6">
        <v>98.34</v>
      </c>
      <c r="U4041" s="7">
        <v>45536</v>
      </c>
      <c r="V4041" s="6">
        <v>25.34</v>
      </c>
      <c r="W4041" s="6">
        <f ca="1">IFERROR(__xludf.DUMMYFUNCTION("IFERROR(GOOGLEFINANCE(B4041,""pe""),V4041)"),8.79)</f>
        <v>8.7899999999999991</v>
      </c>
      <c r="X4041" s="12"/>
      <c r="Y4041" s="6">
        <v>2.84</v>
      </c>
      <c r="Z4041" s="6">
        <v>2</v>
      </c>
      <c r="AA4041" s="8">
        <v>45352</v>
      </c>
      <c r="AB4041" s="4">
        <v>0.06</v>
      </c>
      <c r="AC4041" s="6">
        <v>10.97</v>
      </c>
      <c r="AD4041" s="6">
        <v>14.32</v>
      </c>
      <c r="AE4041" s="1">
        <v>0</v>
      </c>
      <c r="AF4041" s="1">
        <f ca="1">IFERROR(__xludf.DUMMYFUNCTION("IFERROR(GOOGLEFINANCE(TRIM(F4041)&amp;"":"" &amp; TRIM(B4041),""high52""),AE4041)"),371)</f>
        <v>371</v>
      </c>
      <c r="AG4041" s="1">
        <v>0</v>
      </c>
      <c r="AH4041" s="1">
        <f ca="1">IFERROR(__xludf.DUMMYFUNCTION("IFERROR(GOOGLEFINANCE(TRIM(F4041)&amp;"":"" &amp; TRIM(B4041),""low52""),AE4041)"),146.45)</f>
        <v>146.44999999999999</v>
      </c>
      <c r="AI4041" s="1">
        <f ca="1">IFERROR(__xludf.DUMMYFUNCTION("IFERROR(GOOGLEFINANCE(B4041,""eps""),0)"),17.02)</f>
        <v>17.02</v>
      </c>
      <c r="AJ4041" s="1"/>
      <c r="AK4041" s="1" t="s">
        <v>12288</v>
      </c>
      <c r="AL4041" s="9">
        <f t="shared" ref="AL4041:AL4045" si="374">IF(AA4041&lt;&gt;AB4041,1,0)</f>
        <v>1</v>
      </c>
    </row>
    <row r="4042" spans="1:38" ht="15" x14ac:dyDescent="0.25">
      <c r="A4042" s="1" t="s">
        <v>12289</v>
      </c>
      <c r="B4042" s="1" t="s">
        <v>12290</v>
      </c>
      <c r="C4042" s="1" t="s">
        <v>186</v>
      </c>
      <c r="D4042" s="1" t="s">
        <v>186</v>
      </c>
      <c r="E4042" s="6">
        <v>77.180000000000007</v>
      </c>
      <c r="F4042" s="1" t="s">
        <v>53</v>
      </c>
      <c r="G4042" s="6">
        <f ca="1">IFERROR(__xludf.DUMMYFUNCTION("iferror(GOOGLEFINANCE(TRIM(F4042)&amp;"":"" &amp; TRIM(B4042), ""price""),0
)"),0)</f>
        <v>0</v>
      </c>
      <c r="H4042" s="6">
        <v>44.9</v>
      </c>
      <c r="I4042" s="6">
        <f t="shared" ca="1" si="0"/>
        <v>44.9</v>
      </c>
      <c r="J4042" s="6">
        <f ca="1">IFERROR(__xludf.DUMMYFUNCTION("IFERROR(GOOGLEFINANCE(B4042, ""volume""), 0)"),0)</f>
        <v>0</v>
      </c>
      <c r="K4042" s="9"/>
      <c r="L4042" s="6" t="str">
        <f ca="1">IFERROR(__xludf.DUMMYFUNCTION("IFERROR(GOOGLEFINANCE(B4042,""changepct""),K4042)"),"")</f>
        <v/>
      </c>
      <c r="M4042" s="6">
        <f ca="1">IFERROR(__xludf.DUMMYFUNCTION("IFERROR(GOOGLEFINANCE(B4042,""change""),0)"),0)</f>
        <v>0</v>
      </c>
      <c r="N4042" s="6">
        <v>1</v>
      </c>
      <c r="O4042" s="7">
        <v>45536</v>
      </c>
      <c r="P4042" s="6">
        <v>39.5</v>
      </c>
      <c r="Q4042" s="6">
        <v>116.68</v>
      </c>
      <c r="R4042" s="14"/>
      <c r="S4042" s="9"/>
      <c r="T4042" s="9"/>
      <c r="U4042" s="7">
        <v>45352</v>
      </c>
      <c r="V4042" s="6">
        <v>8.91</v>
      </c>
      <c r="W4042" s="6">
        <f ca="1">IFERROR(__xludf.DUMMYFUNCTION("IFERROR(GOOGLEFINANCE(B4042,""pe""),V4042)"),8.91)</f>
        <v>8.91</v>
      </c>
      <c r="X4042" s="9"/>
      <c r="Y4042" s="6">
        <v>1.55</v>
      </c>
      <c r="Z4042" s="6">
        <v>1</v>
      </c>
      <c r="AA4042" s="8">
        <v>45352</v>
      </c>
      <c r="AB4042" s="4">
        <v>3.5</v>
      </c>
      <c r="AC4042" s="6">
        <v>63.89</v>
      </c>
      <c r="AD4042" s="6">
        <v>25.2</v>
      </c>
      <c r="AE4042" s="1">
        <v>0</v>
      </c>
      <c r="AF4042" s="1">
        <f ca="1">IFERROR(__xludf.DUMMYFUNCTION("IFERROR(GOOGLEFINANCE(TRIM(F4042)&amp;"":"" &amp; TRIM(B4042),""high52""),AE4042)"),0)</f>
        <v>0</v>
      </c>
      <c r="AG4042" s="1">
        <v>0</v>
      </c>
      <c r="AH4042" s="1">
        <f ca="1">IFERROR(__xludf.DUMMYFUNCTION("IFERROR(GOOGLEFINANCE(TRIM(F4042)&amp;"":"" &amp; TRIM(B4042),""low52""),AE4042)"),0)</f>
        <v>0</v>
      </c>
      <c r="AI4042" s="1">
        <f ca="1">IFERROR(__xludf.DUMMYFUNCTION("IFERROR(GOOGLEFINANCE(B4042,""eps""),0)"),0)</f>
        <v>0</v>
      </c>
      <c r="AJ4042" s="1"/>
      <c r="AK4042" s="1" t="s">
        <v>12291</v>
      </c>
      <c r="AL4042" s="9">
        <f t="shared" si="374"/>
        <v>1</v>
      </c>
    </row>
    <row r="4043" spans="1:38" ht="15" x14ac:dyDescent="0.25">
      <c r="A4043" s="1" t="s">
        <v>12292</v>
      </c>
      <c r="B4043" s="1" t="s">
        <v>12293</v>
      </c>
      <c r="C4043" s="1" t="s">
        <v>4824</v>
      </c>
      <c r="D4043" s="1" t="s">
        <v>4824</v>
      </c>
      <c r="E4043" s="6">
        <v>15.46</v>
      </c>
      <c r="F4043" s="1" t="s">
        <v>53</v>
      </c>
      <c r="G4043" s="6">
        <f ca="1">IFERROR(__xludf.DUMMYFUNCTION("iferror(GOOGLEFINANCE(TRIM(F4043)&amp;"":"" &amp; TRIM(B4043), ""price""),0
)"),0)</f>
        <v>0</v>
      </c>
      <c r="H4043" s="6">
        <v>34.880000000000003</v>
      </c>
      <c r="I4043" s="6">
        <f t="shared" ca="1" si="0"/>
        <v>34.880000000000003</v>
      </c>
      <c r="J4043" s="6">
        <f ca="1">IFERROR(__xludf.DUMMYFUNCTION("IFERROR(GOOGLEFINANCE(B4043, ""volume""), 0)"),0)</f>
        <v>0</v>
      </c>
      <c r="K4043" s="6">
        <v>-5.73</v>
      </c>
      <c r="L4043" s="6">
        <f ca="1">IFERROR(__xludf.DUMMYFUNCTION("IFERROR(GOOGLEFINANCE(B4043,""changepct""),K4043)"),-5.73)</f>
        <v>-5.73</v>
      </c>
      <c r="M4043" s="6">
        <f ca="1">IFERROR(__xludf.DUMMYFUNCTION("IFERROR(GOOGLEFINANCE(B4043,""change""),0)"),0)</f>
        <v>0</v>
      </c>
      <c r="N4043" s="6">
        <v>1</v>
      </c>
      <c r="O4043" s="7">
        <v>45536</v>
      </c>
      <c r="P4043" s="6">
        <v>0.39</v>
      </c>
      <c r="Q4043" s="6">
        <v>15.85</v>
      </c>
      <c r="R4043" s="7">
        <v>45352</v>
      </c>
      <c r="S4043" s="6">
        <v>4.9000000000000004</v>
      </c>
      <c r="T4043" s="6">
        <v>0.78</v>
      </c>
      <c r="U4043" s="7">
        <v>45352</v>
      </c>
      <c r="V4043" s="6">
        <v>19.8</v>
      </c>
      <c r="W4043" s="6">
        <f ca="1">IFERROR(__xludf.DUMMYFUNCTION("IFERROR(GOOGLEFINANCE(B4043,""pe""),V4043)"),19.8)</f>
        <v>19.8</v>
      </c>
      <c r="X4043" s="9"/>
      <c r="Y4043" s="6">
        <v>1.1499999999999999</v>
      </c>
      <c r="Z4043" s="6">
        <v>1</v>
      </c>
      <c r="AA4043" s="8">
        <v>45352</v>
      </c>
      <c r="AB4043" s="4">
        <v>0.68</v>
      </c>
      <c r="AC4043" s="6">
        <v>12.82</v>
      </c>
      <c r="AD4043" s="6">
        <v>13.28</v>
      </c>
      <c r="AE4043" s="1">
        <v>0</v>
      </c>
      <c r="AF4043" s="1">
        <f ca="1">IFERROR(__xludf.DUMMYFUNCTION("IFERROR(GOOGLEFINANCE(TRIM(F4043)&amp;"":"" &amp; TRIM(B4043),""high52""),AE4043)"),0)</f>
        <v>0</v>
      </c>
      <c r="AG4043" s="1">
        <v>0</v>
      </c>
      <c r="AH4043" s="1">
        <f ca="1">IFERROR(__xludf.DUMMYFUNCTION("IFERROR(GOOGLEFINANCE(TRIM(F4043)&amp;"":"" &amp; TRIM(B4043),""low52""),AE4043)"),0)</f>
        <v>0</v>
      </c>
      <c r="AI4043" s="1">
        <f ca="1">IFERROR(__xludf.DUMMYFUNCTION("IFERROR(GOOGLEFINANCE(B4043,""eps""),0)"),0)</f>
        <v>0</v>
      </c>
      <c r="AJ4043" s="1"/>
      <c r="AK4043" s="1" t="s">
        <v>12294</v>
      </c>
      <c r="AL4043" s="9">
        <f t="shared" si="374"/>
        <v>1</v>
      </c>
    </row>
    <row r="4044" spans="1:38" ht="15" x14ac:dyDescent="0.25">
      <c r="A4044" s="1" t="s">
        <v>12295</v>
      </c>
      <c r="B4044" s="1" t="s">
        <v>12296</v>
      </c>
      <c r="C4044" s="1" t="s">
        <v>4824</v>
      </c>
      <c r="D4044" s="1" t="s">
        <v>4824</v>
      </c>
      <c r="E4044" s="6">
        <v>28.02</v>
      </c>
      <c r="F4044" s="1" t="s">
        <v>53</v>
      </c>
      <c r="G4044" s="6">
        <f ca="1">IFERROR(__xludf.DUMMYFUNCTION("iferror(GOOGLEFINANCE(TRIM(F4044)&amp;"":"" &amp; TRIM(B4044), ""price""),0
)"),0)</f>
        <v>0</v>
      </c>
      <c r="H4044" s="6">
        <v>86.5</v>
      </c>
      <c r="I4044" s="6">
        <f t="shared" ca="1" si="0"/>
        <v>86.5</v>
      </c>
      <c r="J4044" s="6">
        <f ca="1">IFERROR(__xludf.DUMMYFUNCTION("IFERROR(GOOGLEFINANCE(B4044, ""volume""), 0)"),0)</f>
        <v>0</v>
      </c>
      <c r="K4044" s="6">
        <v>2.98</v>
      </c>
      <c r="L4044" s="6">
        <f ca="1">IFERROR(__xludf.DUMMYFUNCTION("IFERROR(GOOGLEFINANCE(B4044,""changepct""),K4044)"),2.98)</f>
        <v>2.98</v>
      </c>
      <c r="M4044" s="6">
        <f ca="1">IFERROR(__xludf.DUMMYFUNCTION("IFERROR(GOOGLEFINANCE(B4044,""change""),0)"),0)</f>
        <v>0</v>
      </c>
      <c r="N4044" s="6">
        <v>1</v>
      </c>
      <c r="O4044" s="7">
        <v>45536</v>
      </c>
      <c r="P4044" s="6">
        <v>36.979999999999997</v>
      </c>
      <c r="Q4044" s="6">
        <v>64.44</v>
      </c>
      <c r="R4044" s="7">
        <v>45536</v>
      </c>
      <c r="S4044" s="6">
        <v>136.21</v>
      </c>
      <c r="T4044" s="6">
        <v>-1.71</v>
      </c>
      <c r="U4044" s="7">
        <v>45536</v>
      </c>
      <c r="V4044" s="6">
        <v>0</v>
      </c>
      <c r="W4044" s="6">
        <f ca="1">IFERROR(__xludf.DUMMYFUNCTION("IFERROR(GOOGLEFINANCE(B4044,""pe""),V4044)"),0)</f>
        <v>0</v>
      </c>
      <c r="X4044" s="9"/>
      <c r="Y4044" s="6">
        <v>3.6</v>
      </c>
      <c r="Z4044" s="6">
        <v>1</v>
      </c>
      <c r="AA4044" s="8">
        <v>45352</v>
      </c>
      <c r="AB4044" s="4">
        <v>3.88</v>
      </c>
      <c r="AC4044" s="6">
        <v>-3.01</v>
      </c>
      <c r="AD4044" s="6">
        <v>10.92</v>
      </c>
      <c r="AE4044" s="1">
        <v>0</v>
      </c>
      <c r="AF4044" s="1">
        <f ca="1">IFERROR(__xludf.DUMMYFUNCTION("IFERROR(GOOGLEFINANCE(TRIM(F4044)&amp;"":"" &amp; TRIM(B4044),""high52""),AE4044)"),0)</f>
        <v>0</v>
      </c>
      <c r="AG4044" s="1">
        <v>0</v>
      </c>
      <c r="AH4044" s="1">
        <f ca="1">IFERROR(__xludf.DUMMYFUNCTION("IFERROR(GOOGLEFINANCE(TRIM(F4044)&amp;"":"" &amp; TRIM(B4044),""low52""),AE4044)"),0)</f>
        <v>0</v>
      </c>
      <c r="AI4044" s="1">
        <f ca="1">IFERROR(__xludf.DUMMYFUNCTION("IFERROR(GOOGLEFINANCE(B4044,""eps""),0)"),0)</f>
        <v>0</v>
      </c>
      <c r="AJ4044" s="1"/>
      <c r="AK4044" s="1" t="s">
        <v>12297</v>
      </c>
      <c r="AL4044" s="9">
        <f t="shared" si="374"/>
        <v>1</v>
      </c>
    </row>
    <row r="4045" spans="1:38" ht="15" x14ac:dyDescent="0.25">
      <c r="A4045" s="1" t="s">
        <v>12298</v>
      </c>
      <c r="B4045" s="1" t="s">
        <v>12299</v>
      </c>
      <c r="C4045" s="1" t="s">
        <v>697</v>
      </c>
      <c r="D4045" s="1" t="s">
        <v>697</v>
      </c>
      <c r="E4045" s="6">
        <v>43009.53</v>
      </c>
      <c r="F4045" s="1" t="s">
        <v>40</v>
      </c>
      <c r="G4045" s="6">
        <f ca="1">IFERROR(__xludf.DUMMYFUNCTION("iferror(GOOGLEFINANCE(TRIM(F4045)&amp;"":"" &amp; TRIM(B4045), ""price""),0
)"),699.65)</f>
        <v>699.65</v>
      </c>
      <c r="H4045" s="6">
        <v>513.54999999999995</v>
      </c>
      <c r="I4045" s="6">
        <f t="shared" ca="1" si="0"/>
        <v>699.65</v>
      </c>
      <c r="J4045" s="6">
        <f ca="1">IFERROR(__xludf.DUMMYFUNCTION("IFERROR(GOOGLEFINANCE(B4045, ""volume""), 0)"),1539073)</f>
        <v>1539073</v>
      </c>
      <c r="K4045" s="6">
        <v>0.8</v>
      </c>
      <c r="L4045" s="6">
        <f ca="1">IFERROR(__xludf.DUMMYFUNCTION("IFERROR(GOOGLEFINANCE(B4045,""changepct""),K4045)"),-4.48)</f>
        <v>-4.4800000000000004</v>
      </c>
      <c r="M4045" s="6">
        <f ca="1">IFERROR(__xludf.DUMMYFUNCTION("IFERROR(GOOGLEFINANCE(B4045,""change""),0)"),-0.15)</f>
        <v>-0.15</v>
      </c>
      <c r="N4045" s="6">
        <v>2</v>
      </c>
      <c r="O4045" s="7">
        <v>45536</v>
      </c>
      <c r="P4045" s="6">
        <v>31843</v>
      </c>
      <c r="Q4045" s="6">
        <v>70942.53</v>
      </c>
      <c r="R4045" s="7">
        <v>45536</v>
      </c>
      <c r="S4045" s="6">
        <v>44122</v>
      </c>
      <c r="T4045" s="6">
        <v>-2651</v>
      </c>
      <c r="U4045" s="7">
        <v>45536</v>
      </c>
      <c r="V4045" s="6">
        <v>0</v>
      </c>
      <c r="W4045" s="6">
        <f ca="1">IFERROR(__xludf.DUMMYFUNCTION("IFERROR(GOOGLEFINANCE(B4045,""pe""),V4045)"),0)</f>
        <v>0</v>
      </c>
      <c r="X4045" s="12"/>
      <c r="Y4045" s="6">
        <v>1.57</v>
      </c>
      <c r="Z4045" s="6">
        <v>2</v>
      </c>
      <c r="AA4045" s="8">
        <v>45352</v>
      </c>
      <c r="AB4045" s="4">
        <v>1.27</v>
      </c>
      <c r="AC4045" s="6">
        <v>-7.28</v>
      </c>
      <c r="AD4045" s="6">
        <v>3.24</v>
      </c>
      <c r="AE4045" s="1">
        <v>0</v>
      </c>
      <c r="AF4045" s="1">
        <f ca="1">IFERROR(__xludf.DUMMYFUNCTION("IFERROR(GOOGLEFINANCE(TRIM(F4045)&amp;"":"" &amp; TRIM(B4045),""high52""),AE4045)"),812.2)</f>
        <v>812.2</v>
      </c>
      <c r="AG4045" s="1">
        <v>0</v>
      </c>
      <c r="AH4045" s="1">
        <f ca="1">IFERROR(__xludf.DUMMYFUNCTION("IFERROR(GOOGLEFINANCE(TRIM(F4045)&amp;"":"" &amp; TRIM(B4045),""low52""),AE4045)"),588.85)</f>
        <v>588.85</v>
      </c>
      <c r="AI4045" s="1">
        <f ca="1">IFERROR(__xludf.DUMMYFUNCTION("IFERROR(GOOGLEFINANCE(B4045,""eps""),0)"),0)</f>
        <v>0</v>
      </c>
      <c r="AJ4045" s="1"/>
      <c r="AK4045" s="1" t="s">
        <v>12300</v>
      </c>
      <c r="AL4045" s="9">
        <f t="shared" si="374"/>
        <v>1</v>
      </c>
    </row>
    <row r="4046" spans="1:38" ht="15" x14ac:dyDescent="0.25">
      <c r="A4046" s="1" t="s">
        <v>12301</v>
      </c>
      <c r="B4046" s="1" t="s">
        <v>12302</v>
      </c>
      <c r="C4046" s="1" t="s">
        <v>99</v>
      </c>
      <c r="D4046" s="1" t="s">
        <v>99</v>
      </c>
      <c r="E4046" s="6">
        <v>159.72999999999999</v>
      </c>
      <c r="F4046" s="1" t="s">
        <v>40</v>
      </c>
      <c r="G4046" s="6">
        <f ca="1">IFERROR(__xludf.DUMMYFUNCTION("iferror(GOOGLEFINANCE(TRIM(F4046)&amp;"":"" &amp; TRIM(B4046), ""price""),0
)"),0)</f>
        <v>0</v>
      </c>
      <c r="H4046" s="6">
        <v>222.5</v>
      </c>
      <c r="I4046" s="6">
        <f t="shared" ca="1" si="0"/>
        <v>222.5</v>
      </c>
      <c r="J4046" s="6">
        <f ca="1">IFERROR(__xludf.DUMMYFUNCTION("IFERROR(GOOGLEFINANCE(B4046, ""volume""), 0)"),0)</f>
        <v>0</v>
      </c>
      <c r="K4046" s="6">
        <v>-1.66</v>
      </c>
      <c r="L4046" s="6">
        <f ca="1">IFERROR(__xludf.DUMMYFUNCTION("IFERROR(GOOGLEFINANCE(B4046,""changepct""),K4046)"),-1.66)</f>
        <v>-1.66</v>
      </c>
      <c r="M4046" s="6">
        <f ca="1">IFERROR(__xludf.DUMMYFUNCTION("IFERROR(GOOGLEFINANCE(B4046,""change""),0)"),0)</f>
        <v>0</v>
      </c>
      <c r="N4046" s="6">
        <v>1</v>
      </c>
      <c r="O4046" s="7">
        <v>45536</v>
      </c>
      <c r="P4046" s="6">
        <v>9.67</v>
      </c>
      <c r="Q4046" s="6">
        <v>169.39</v>
      </c>
      <c r="R4046" s="7">
        <v>45352</v>
      </c>
      <c r="S4046" s="6">
        <v>132.94999999999999</v>
      </c>
      <c r="T4046" s="6">
        <v>7.25</v>
      </c>
      <c r="U4046" s="7">
        <v>45352</v>
      </c>
      <c r="V4046" s="6">
        <v>22.03</v>
      </c>
      <c r="W4046" s="6">
        <f ca="1">IFERROR(__xludf.DUMMYFUNCTION("IFERROR(GOOGLEFINANCE(B4046,""pe""),V4046)"),22.03)</f>
        <v>22.03</v>
      </c>
      <c r="X4046" s="12"/>
      <c r="Y4046" s="6">
        <v>3.48</v>
      </c>
      <c r="Z4046" s="6">
        <v>1</v>
      </c>
      <c r="AA4046" s="8">
        <v>45352</v>
      </c>
      <c r="AB4046" s="4">
        <v>1.04</v>
      </c>
      <c r="AC4046" s="6">
        <v>17.12</v>
      </c>
      <c r="AD4046" s="6">
        <v>13.08</v>
      </c>
      <c r="AE4046" s="1">
        <v>0</v>
      </c>
      <c r="AF4046" s="1">
        <f ca="1">IFERROR(__xludf.DUMMYFUNCTION("IFERROR(GOOGLEFINANCE(TRIM(F4046)&amp;"":"" &amp; TRIM(B4046),""high52""),AE4046)"),0)</f>
        <v>0</v>
      </c>
      <c r="AG4046" s="1">
        <v>0</v>
      </c>
      <c r="AH4046" s="1">
        <f ca="1">IFERROR(__xludf.DUMMYFUNCTION("IFERROR(GOOGLEFINANCE(TRIM(F4046)&amp;"":"" &amp; TRIM(B4046),""low52""),AE4046)"),0)</f>
        <v>0</v>
      </c>
      <c r="AI4046" s="1">
        <f ca="1">IFERROR(__xludf.DUMMYFUNCTION("IFERROR(GOOGLEFINANCE(B4046,""eps""),0)"),0)</f>
        <v>0</v>
      </c>
      <c r="AJ4046" s="1"/>
      <c r="AK4046" s="1" t="s">
        <v>12303</v>
      </c>
      <c r="AL4046" s="1" t="b">
        <f>ISNUMBER(AA4046)</f>
        <v>1</v>
      </c>
    </row>
    <row r="4047" spans="1:38" ht="15" x14ac:dyDescent="0.25">
      <c r="A4047" s="1" t="s">
        <v>12304</v>
      </c>
      <c r="B4047" s="1" t="s">
        <v>12305</v>
      </c>
      <c r="C4047" s="1" t="s">
        <v>4824</v>
      </c>
      <c r="D4047" s="1" t="s">
        <v>4824</v>
      </c>
      <c r="E4047" s="6">
        <v>80.27</v>
      </c>
      <c r="F4047" s="1" t="s">
        <v>53</v>
      </c>
      <c r="G4047" s="6">
        <f ca="1">IFERROR(__xludf.DUMMYFUNCTION("iferror(GOOGLEFINANCE(TRIM(F4047)&amp;"":"" &amp; TRIM(B4047), ""price""),0
)"),0)</f>
        <v>0</v>
      </c>
      <c r="H4047" s="6">
        <v>76.67</v>
      </c>
      <c r="I4047" s="6">
        <f t="shared" ca="1" si="0"/>
        <v>76.67</v>
      </c>
      <c r="J4047" s="6">
        <f ca="1">IFERROR(__xludf.DUMMYFUNCTION("IFERROR(GOOGLEFINANCE(B4047, ""volume""), 0)"),0)</f>
        <v>0</v>
      </c>
      <c r="K4047" s="6">
        <v>2</v>
      </c>
      <c r="L4047" s="6">
        <f ca="1">IFERROR(__xludf.DUMMYFUNCTION("IFERROR(GOOGLEFINANCE(B4047,""changepct""),K4047)"),2)</f>
        <v>2</v>
      </c>
      <c r="M4047" s="6">
        <f ca="1">IFERROR(__xludf.DUMMYFUNCTION("IFERROR(GOOGLEFINANCE(B4047,""change""),0)"),0)</f>
        <v>0</v>
      </c>
      <c r="N4047" s="6">
        <v>2</v>
      </c>
      <c r="O4047" s="7">
        <v>45536</v>
      </c>
      <c r="P4047" s="6">
        <v>5.29</v>
      </c>
      <c r="Q4047" s="6">
        <v>82.75</v>
      </c>
      <c r="R4047" s="7">
        <v>45536</v>
      </c>
      <c r="S4047" s="6">
        <v>38.01</v>
      </c>
      <c r="T4047" s="6">
        <v>3.25</v>
      </c>
      <c r="U4047" s="7">
        <v>45536</v>
      </c>
      <c r="V4047" s="6">
        <v>24.69</v>
      </c>
      <c r="W4047" s="6">
        <f ca="1">IFERROR(__xludf.DUMMYFUNCTION("IFERROR(GOOGLEFINANCE(B4047,""pe""),V4047)"),24.69)</f>
        <v>24.69</v>
      </c>
      <c r="X4047" s="6">
        <v>-1.1399999999999999</v>
      </c>
      <c r="Y4047" s="6">
        <v>2.85</v>
      </c>
      <c r="Z4047" s="6">
        <v>2</v>
      </c>
      <c r="AA4047" s="8">
        <v>45352</v>
      </c>
      <c r="AB4047" s="4">
        <v>0.13</v>
      </c>
      <c r="AC4047" s="6">
        <v>5.72</v>
      </c>
      <c r="AD4047" s="6">
        <v>6.43</v>
      </c>
      <c r="AE4047" s="1">
        <v>0</v>
      </c>
      <c r="AF4047" s="1">
        <f ca="1">IFERROR(__xludf.DUMMYFUNCTION("IFERROR(GOOGLEFINANCE(TRIM(F4047)&amp;"":"" &amp; TRIM(B4047),""high52""),AE4047)"),0)</f>
        <v>0</v>
      </c>
      <c r="AG4047" s="1">
        <v>0</v>
      </c>
      <c r="AH4047" s="1">
        <f ca="1">IFERROR(__xludf.DUMMYFUNCTION("IFERROR(GOOGLEFINANCE(TRIM(F4047)&amp;"":"" &amp; TRIM(B4047),""low52""),AE4047)"),0)</f>
        <v>0</v>
      </c>
      <c r="AI4047" s="1">
        <f ca="1">IFERROR(__xludf.DUMMYFUNCTION("IFERROR(GOOGLEFINANCE(B4047,""eps""),0)"),0)</f>
        <v>0</v>
      </c>
      <c r="AJ4047" s="1"/>
      <c r="AK4047" s="1" t="s">
        <v>12306</v>
      </c>
      <c r="AL4047" s="9">
        <f t="shared" ref="AL4047:AL4050" si="375">IF(AA4047&lt;&gt;AB4047,1,0)</f>
        <v>1</v>
      </c>
    </row>
    <row r="4048" spans="1:38" ht="15" x14ac:dyDescent="0.25">
      <c r="A4048" s="1" t="s">
        <v>12307</v>
      </c>
      <c r="B4048" s="1" t="s">
        <v>12308</v>
      </c>
      <c r="C4048" s="1" t="s">
        <v>4824</v>
      </c>
      <c r="D4048" s="1" t="s">
        <v>4824</v>
      </c>
      <c r="E4048" s="6">
        <v>686.62</v>
      </c>
      <c r="F4048" s="1" t="s">
        <v>53</v>
      </c>
      <c r="G4048" s="6">
        <f ca="1">IFERROR(__xludf.DUMMYFUNCTION("iferror(GOOGLEFINANCE(TRIM(F4048)&amp;"":"" &amp; TRIM(B4048), ""price""),0
)"),0)</f>
        <v>0</v>
      </c>
      <c r="H4048" s="6">
        <v>3250</v>
      </c>
      <c r="I4048" s="6">
        <f t="shared" ca="1" si="0"/>
        <v>3250</v>
      </c>
      <c r="J4048" s="6">
        <f ca="1">IFERROR(__xludf.DUMMYFUNCTION("IFERROR(GOOGLEFINANCE(B4048, ""volume""), 0)"),0)</f>
        <v>0</v>
      </c>
      <c r="K4048" s="6">
        <v>-1.17</v>
      </c>
      <c r="L4048" s="6">
        <f ca="1">IFERROR(__xludf.DUMMYFUNCTION("IFERROR(GOOGLEFINANCE(B4048,""changepct""),K4048)"),-1.17)</f>
        <v>-1.17</v>
      </c>
      <c r="M4048" s="6">
        <f ca="1">IFERROR(__xludf.DUMMYFUNCTION("IFERROR(GOOGLEFINANCE(B4048,""change""),0)"),0)</f>
        <v>0</v>
      </c>
      <c r="N4048" s="6">
        <v>1</v>
      </c>
      <c r="O4048" s="7">
        <v>45444</v>
      </c>
      <c r="P4048" s="9"/>
      <c r="Q4048" s="6">
        <v>661.65</v>
      </c>
      <c r="R4048" s="7">
        <v>45536</v>
      </c>
      <c r="S4048" s="6">
        <v>236.52</v>
      </c>
      <c r="T4048" s="6">
        <v>15.44</v>
      </c>
      <c r="U4048" s="7">
        <v>45536</v>
      </c>
      <c r="V4048" s="6">
        <v>44.48</v>
      </c>
      <c r="W4048" s="6">
        <f ca="1">IFERROR(__xludf.DUMMYFUNCTION("IFERROR(GOOGLEFINANCE(B4048,""pe""),V4048)"),44.48)</f>
        <v>44.48</v>
      </c>
      <c r="X4048" s="6">
        <v>-2.16</v>
      </c>
      <c r="Y4048" s="6">
        <v>5.54</v>
      </c>
      <c r="Z4048" s="6">
        <v>1</v>
      </c>
      <c r="AA4048" s="8">
        <v>45261</v>
      </c>
      <c r="AB4048" s="4">
        <v>0</v>
      </c>
      <c r="AC4048" s="6">
        <v>5.76</v>
      </c>
      <c r="AD4048" s="6">
        <v>7.33</v>
      </c>
      <c r="AE4048" s="1">
        <v>0</v>
      </c>
      <c r="AF4048" s="1">
        <f ca="1">IFERROR(__xludf.DUMMYFUNCTION("IFERROR(GOOGLEFINANCE(TRIM(F4048)&amp;"":"" &amp; TRIM(B4048),""high52""),AE4048)"),0)</f>
        <v>0</v>
      </c>
      <c r="AG4048" s="1">
        <v>0</v>
      </c>
      <c r="AH4048" s="1">
        <f ca="1">IFERROR(__xludf.DUMMYFUNCTION("IFERROR(GOOGLEFINANCE(TRIM(F4048)&amp;"":"" &amp; TRIM(B4048),""low52""),AE4048)"),0)</f>
        <v>0</v>
      </c>
      <c r="AI4048" s="1">
        <f ca="1">IFERROR(__xludf.DUMMYFUNCTION("IFERROR(GOOGLEFINANCE(B4048,""eps""),0)"),0)</f>
        <v>0</v>
      </c>
      <c r="AJ4048" s="1"/>
      <c r="AK4048" s="1" t="s">
        <v>12309</v>
      </c>
      <c r="AL4048" s="9">
        <f t="shared" si="375"/>
        <v>1</v>
      </c>
    </row>
    <row r="4049" spans="1:38" ht="15" x14ac:dyDescent="0.25">
      <c r="A4049" s="1" t="s">
        <v>12310</v>
      </c>
      <c r="B4049" s="1" t="s">
        <v>12311</v>
      </c>
      <c r="C4049" s="1" t="s">
        <v>4824</v>
      </c>
      <c r="D4049" s="1" t="s">
        <v>4824</v>
      </c>
      <c r="E4049" s="6">
        <v>43.9</v>
      </c>
      <c r="F4049" s="1" t="s">
        <v>53</v>
      </c>
      <c r="G4049" s="6">
        <f ca="1">IFERROR(__xludf.DUMMYFUNCTION("iferror(GOOGLEFINANCE(TRIM(F4049)&amp;"":"" &amp; TRIM(B4049), ""price""),0
)"),0)</f>
        <v>0</v>
      </c>
      <c r="H4049" s="6">
        <v>85.28</v>
      </c>
      <c r="I4049" s="6">
        <f t="shared" ca="1" si="0"/>
        <v>85.28</v>
      </c>
      <c r="J4049" s="6">
        <f ca="1">IFERROR(__xludf.DUMMYFUNCTION("IFERROR(GOOGLEFINANCE(B4049, ""volume""), 0)"),0)</f>
        <v>0</v>
      </c>
      <c r="K4049" s="6">
        <v>-1.47</v>
      </c>
      <c r="L4049" s="6">
        <f ca="1">IFERROR(__xludf.DUMMYFUNCTION("IFERROR(GOOGLEFINANCE(B4049,""changepct""),K4049)"),-1.47)</f>
        <v>-1.47</v>
      </c>
      <c r="M4049" s="6">
        <f ca="1">IFERROR(__xludf.DUMMYFUNCTION("IFERROR(GOOGLEFINANCE(B4049,""change""),0)"),0)</f>
        <v>0</v>
      </c>
      <c r="N4049" s="6">
        <v>2</v>
      </c>
      <c r="O4049" s="7">
        <v>45536</v>
      </c>
      <c r="P4049" s="6">
        <v>34.85</v>
      </c>
      <c r="Q4049" s="6">
        <v>78.290000000000006</v>
      </c>
      <c r="R4049" s="7">
        <v>45536</v>
      </c>
      <c r="S4049" s="6">
        <v>82.27</v>
      </c>
      <c r="T4049" s="6">
        <v>-2.77</v>
      </c>
      <c r="U4049" s="7">
        <v>45536</v>
      </c>
      <c r="V4049" s="6">
        <v>0</v>
      </c>
      <c r="W4049" s="6">
        <f ca="1">IFERROR(__xludf.DUMMYFUNCTION("IFERROR(GOOGLEFINANCE(B4049,""pe""),V4049)"),0)</f>
        <v>0</v>
      </c>
      <c r="X4049" s="9"/>
      <c r="Y4049" s="6">
        <v>2.37</v>
      </c>
      <c r="Z4049" s="6">
        <v>2</v>
      </c>
      <c r="AA4049" s="8">
        <v>45352</v>
      </c>
      <c r="AB4049" s="4">
        <v>1.42</v>
      </c>
      <c r="AC4049" s="6">
        <v>-20.67</v>
      </c>
      <c r="AD4049" s="6">
        <v>-4.46</v>
      </c>
      <c r="AE4049" s="1">
        <v>0</v>
      </c>
      <c r="AF4049" s="1">
        <f ca="1">IFERROR(__xludf.DUMMYFUNCTION("IFERROR(GOOGLEFINANCE(TRIM(F4049)&amp;"":"" &amp; TRIM(B4049),""high52""),AE4049)"),0)</f>
        <v>0</v>
      </c>
      <c r="AG4049" s="1">
        <v>0</v>
      </c>
      <c r="AH4049" s="1">
        <f ca="1">IFERROR(__xludf.DUMMYFUNCTION("IFERROR(GOOGLEFINANCE(TRIM(F4049)&amp;"":"" &amp; TRIM(B4049),""low52""),AE4049)"),0)</f>
        <v>0</v>
      </c>
      <c r="AI4049" s="1">
        <f ca="1">IFERROR(__xludf.DUMMYFUNCTION("IFERROR(GOOGLEFINANCE(B4049,""eps""),0)"),0)</f>
        <v>0</v>
      </c>
      <c r="AJ4049" s="1"/>
      <c r="AK4049" s="9"/>
      <c r="AL4049" s="9">
        <f t="shared" si="375"/>
        <v>1</v>
      </c>
    </row>
    <row r="4050" spans="1:38" ht="15" x14ac:dyDescent="0.25">
      <c r="A4050" s="1" t="s">
        <v>12312</v>
      </c>
      <c r="B4050" s="1" t="s">
        <v>12313</v>
      </c>
      <c r="C4050" s="1" t="s">
        <v>1400</v>
      </c>
      <c r="D4050" s="1" t="s">
        <v>1400</v>
      </c>
      <c r="E4050" s="6">
        <v>343.39</v>
      </c>
      <c r="F4050" s="1" t="s">
        <v>53</v>
      </c>
      <c r="G4050" s="6">
        <f ca="1">IFERROR(__xludf.DUMMYFUNCTION("iferror(GOOGLEFINANCE(TRIM(F4050)&amp;"":"" &amp; TRIM(B4050), ""price""),0
)"),0)</f>
        <v>0</v>
      </c>
      <c r="H4050" s="6">
        <v>668.85</v>
      </c>
      <c r="I4050" s="6">
        <f t="shared" ca="1" si="0"/>
        <v>668.85</v>
      </c>
      <c r="J4050" s="6">
        <f ca="1">IFERROR(__xludf.DUMMYFUNCTION("IFERROR(GOOGLEFINANCE(B4050, ""volume""), 0)"),0)</f>
        <v>0</v>
      </c>
      <c r="K4050" s="6">
        <v>-1.99</v>
      </c>
      <c r="L4050" s="6">
        <f ca="1">IFERROR(__xludf.DUMMYFUNCTION("IFERROR(GOOGLEFINANCE(B4050,""changepct""),K4050)"),-1.99)</f>
        <v>-1.99</v>
      </c>
      <c r="M4050" s="6">
        <f ca="1">IFERROR(__xludf.DUMMYFUNCTION("IFERROR(GOOGLEFINANCE(B4050,""change""),0)"),0)</f>
        <v>0</v>
      </c>
      <c r="N4050" s="6">
        <v>1</v>
      </c>
      <c r="O4050" s="7">
        <v>45536</v>
      </c>
      <c r="P4050" s="6">
        <v>9.51</v>
      </c>
      <c r="Q4050" s="6">
        <v>352.9</v>
      </c>
      <c r="R4050" s="7">
        <v>45536</v>
      </c>
      <c r="S4050" s="6">
        <v>109.83</v>
      </c>
      <c r="T4050" s="6">
        <v>7.2</v>
      </c>
      <c r="U4050" s="7">
        <v>45536</v>
      </c>
      <c r="V4050" s="6">
        <v>47.66</v>
      </c>
      <c r="W4050" s="6">
        <f ca="1">IFERROR(__xludf.DUMMYFUNCTION("IFERROR(GOOGLEFINANCE(B4050,""pe""),V4050)"),47.66)</f>
        <v>47.66</v>
      </c>
      <c r="X4050" s="6">
        <v>1.03</v>
      </c>
      <c r="Y4050" s="6">
        <v>8.31</v>
      </c>
      <c r="Z4050" s="6">
        <v>1</v>
      </c>
      <c r="AA4050" s="8">
        <v>44986</v>
      </c>
      <c r="AB4050" s="4">
        <v>0.33</v>
      </c>
      <c r="AC4050" s="6">
        <v>27.26</v>
      </c>
      <c r="AD4050" s="6">
        <v>27.5</v>
      </c>
      <c r="AE4050" s="1">
        <v>0</v>
      </c>
      <c r="AF4050" s="1">
        <f ca="1">IFERROR(__xludf.DUMMYFUNCTION("IFERROR(GOOGLEFINANCE(TRIM(F4050)&amp;"":"" &amp; TRIM(B4050),""high52""),AE4050)"),0)</f>
        <v>0</v>
      </c>
      <c r="AG4050" s="1">
        <v>0</v>
      </c>
      <c r="AH4050" s="1">
        <f ca="1">IFERROR(__xludf.DUMMYFUNCTION("IFERROR(GOOGLEFINANCE(TRIM(F4050)&amp;"":"" &amp; TRIM(B4050),""low52""),AE4050)"),0)</f>
        <v>0</v>
      </c>
      <c r="AI4050" s="1">
        <f ca="1">IFERROR(__xludf.DUMMYFUNCTION("IFERROR(GOOGLEFINANCE(B4050,""eps""),0)"),0)</f>
        <v>0</v>
      </c>
      <c r="AJ4050" s="1"/>
      <c r="AK4050" s="1" t="s">
        <v>12314</v>
      </c>
      <c r="AL4050" s="9">
        <f t="shared" si="375"/>
        <v>1</v>
      </c>
    </row>
    <row r="4051" spans="1:38" ht="15" x14ac:dyDescent="0.25">
      <c r="A4051" s="1" t="s">
        <v>12315</v>
      </c>
      <c r="B4051" s="1" t="s">
        <v>12316</v>
      </c>
      <c r="C4051" s="1" t="s">
        <v>355</v>
      </c>
      <c r="D4051" s="1" t="s">
        <v>355</v>
      </c>
      <c r="E4051" s="6">
        <v>448.31</v>
      </c>
      <c r="F4051" s="1" t="s">
        <v>40</v>
      </c>
      <c r="G4051" s="6">
        <f ca="1">IFERROR(__xludf.DUMMYFUNCTION("iferror(GOOGLEFINANCE(TRIM(F4051)&amp;"":"" &amp; TRIM(B4051), ""price""),0
)"),0)</f>
        <v>0</v>
      </c>
      <c r="H4051" s="6">
        <v>414.9</v>
      </c>
      <c r="I4051" s="6">
        <f t="shared" ca="1" si="0"/>
        <v>414.9</v>
      </c>
      <c r="J4051" s="6">
        <f ca="1">IFERROR(__xludf.DUMMYFUNCTION("IFERROR(GOOGLEFINANCE(B4051, ""volume""), 0)"),0)</f>
        <v>0</v>
      </c>
      <c r="K4051" s="6">
        <v>2.0499999999999998</v>
      </c>
      <c r="L4051" s="6">
        <f ca="1">IFERROR(__xludf.DUMMYFUNCTION("IFERROR(GOOGLEFINANCE(B4051,""changepct""),K4051)"),2.05)</f>
        <v>2.0499999999999998</v>
      </c>
      <c r="M4051" s="6">
        <f ca="1">IFERROR(__xludf.DUMMYFUNCTION("IFERROR(GOOGLEFINANCE(B4051,""change""),0)"),0)</f>
        <v>0</v>
      </c>
      <c r="N4051" s="6">
        <v>1</v>
      </c>
      <c r="O4051" s="7">
        <v>45536</v>
      </c>
      <c r="P4051" s="6">
        <v>24.55</v>
      </c>
      <c r="Q4051" s="6">
        <v>471.6</v>
      </c>
      <c r="R4051" s="7">
        <v>45536</v>
      </c>
      <c r="S4051" s="6">
        <v>44.82</v>
      </c>
      <c r="T4051" s="6">
        <v>1.69</v>
      </c>
      <c r="U4051" s="7">
        <v>45536</v>
      </c>
      <c r="V4051" s="6">
        <v>265.11</v>
      </c>
      <c r="W4051" s="6">
        <f ca="1">IFERROR(__xludf.DUMMYFUNCTION("IFERROR(GOOGLEFINANCE(B4051,""pe""),V4051)"),265.11)</f>
        <v>265.11</v>
      </c>
      <c r="X4051" s="6">
        <v>-45.87</v>
      </c>
      <c r="Y4051" s="6">
        <v>11.6</v>
      </c>
      <c r="Z4051" s="6">
        <v>1</v>
      </c>
      <c r="AA4051" s="8">
        <v>45352</v>
      </c>
      <c r="AB4051" s="4">
        <v>0.95</v>
      </c>
      <c r="AC4051" s="6">
        <v>8.7200000000000006</v>
      </c>
      <c r="AD4051" s="6">
        <v>10.15</v>
      </c>
      <c r="AE4051" s="1">
        <v>0</v>
      </c>
      <c r="AF4051" s="1">
        <f ca="1">IFERROR(__xludf.DUMMYFUNCTION("IFERROR(GOOGLEFINANCE(TRIM(F4051)&amp;"":"" &amp; TRIM(B4051),""high52""),AE4051)"),0)</f>
        <v>0</v>
      </c>
      <c r="AG4051" s="1">
        <v>0</v>
      </c>
      <c r="AH4051" s="1">
        <f ca="1">IFERROR(__xludf.DUMMYFUNCTION("IFERROR(GOOGLEFINANCE(TRIM(F4051)&amp;"":"" &amp; TRIM(B4051),""low52""),AE4051)"),0)</f>
        <v>0</v>
      </c>
      <c r="AI4051" s="1">
        <f ca="1">IFERROR(__xludf.DUMMYFUNCTION("IFERROR(GOOGLEFINANCE(B4051,""eps""),0)"),0)</f>
        <v>0</v>
      </c>
      <c r="AJ4051" s="1"/>
      <c r="AK4051" s="1" t="s">
        <v>12317</v>
      </c>
      <c r="AL4051" s="1" t="b">
        <f>ISNUMBER(AA4051)</f>
        <v>1</v>
      </c>
    </row>
    <row r="4052" spans="1:38" ht="15" x14ac:dyDescent="0.25">
      <c r="A4052" s="1" t="s">
        <v>12318</v>
      </c>
      <c r="B4052" s="1" t="s">
        <v>12319</v>
      </c>
      <c r="C4052" s="1" t="s">
        <v>1400</v>
      </c>
      <c r="D4052" s="1" t="s">
        <v>1400</v>
      </c>
      <c r="E4052" s="6">
        <v>67.5</v>
      </c>
      <c r="F4052" s="1" t="s">
        <v>53</v>
      </c>
      <c r="G4052" s="6">
        <f ca="1">IFERROR(__xludf.DUMMYFUNCTION("iferror(GOOGLEFINANCE(TRIM(F4052)&amp;"":"" &amp; TRIM(B4052), ""price""),0
)"),0)</f>
        <v>0</v>
      </c>
      <c r="H4052" s="6">
        <v>454.95</v>
      </c>
      <c r="I4052" s="6">
        <f t="shared" ca="1" si="0"/>
        <v>454.95</v>
      </c>
      <c r="J4052" s="6">
        <f ca="1">IFERROR(__xludf.DUMMYFUNCTION("IFERROR(GOOGLEFINANCE(B4052, ""volume""), 0)"),0)</f>
        <v>0</v>
      </c>
      <c r="K4052" s="6">
        <v>1.1000000000000001</v>
      </c>
      <c r="L4052" s="6">
        <f ca="1">IFERROR(__xludf.DUMMYFUNCTION("IFERROR(GOOGLEFINANCE(B4052,""changepct""),K4052)"),1.1)</f>
        <v>1.1000000000000001</v>
      </c>
      <c r="M4052" s="6">
        <f ca="1">IFERROR(__xludf.DUMMYFUNCTION("IFERROR(GOOGLEFINANCE(B4052,""change""),0)"),0)</f>
        <v>0</v>
      </c>
      <c r="N4052" s="6">
        <v>1</v>
      </c>
      <c r="O4052" s="7">
        <v>45536</v>
      </c>
      <c r="P4052" s="6">
        <v>5.47</v>
      </c>
      <c r="Q4052" s="6">
        <v>72.97</v>
      </c>
      <c r="R4052" s="7">
        <v>45536</v>
      </c>
      <c r="S4052" s="6">
        <v>96.68</v>
      </c>
      <c r="T4052" s="6">
        <v>4.22</v>
      </c>
      <c r="U4052" s="7">
        <v>45536</v>
      </c>
      <c r="V4052" s="6">
        <v>16</v>
      </c>
      <c r="W4052" s="6">
        <f ca="1">IFERROR(__xludf.DUMMYFUNCTION("IFERROR(GOOGLEFINANCE(B4052,""pe""),V4052)"),16)</f>
        <v>16</v>
      </c>
      <c r="X4052" s="6">
        <v>0.57999999999999996</v>
      </c>
      <c r="Y4052" s="6">
        <v>2.0299999999999998</v>
      </c>
      <c r="Z4052" s="6">
        <v>1</v>
      </c>
      <c r="AA4052" s="8">
        <v>45352</v>
      </c>
      <c r="AB4052" s="4">
        <v>0.11</v>
      </c>
      <c r="AC4052" s="6">
        <v>11.09</v>
      </c>
      <c r="AD4052" s="6">
        <v>17.28</v>
      </c>
      <c r="AE4052" s="1">
        <v>0</v>
      </c>
      <c r="AF4052" s="1">
        <f ca="1">IFERROR(__xludf.DUMMYFUNCTION("IFERROR(GOOGLEFINANCE(TRIM(F4052)&amp;"":"" &amp; TRIM(B4052),""high52""),AE4052)"),0)</f>
        <v>0</v>
      </c>
      <c r="AG4052" s="1">
        <v>0</v>
      </c>
      <c r="AH4052" s="1">
        <f ca="1">IFERROR(__xludf.DUMMYFUNCTION("IFERROR(GOOGLEFINANCE(TRIM(F4052)&amp;"":"" &amp; TRIM(B4052),""low52""),AE4052)"),0)</f>
        <v>0</v>
      </c>
      <c r="AI4052" s="1">
        <f ca="1">IFERROR(__xludf.DUMMYFUNCTION("IFERROR(GOOGLEFINANCE(B4052,""eps""),0)"),0)</f>
        <v>0</v>
      </c>
      <c r="AJ4052" s="1"/>
      <c r="AK4052" s="1" t="s">
        <v>12320</v>
      </c>
      <c r="AL4052" s="9">
        <f t="shared" ref="AL4052:AL4061" si="376">IF(AA4052&lt;&gt;AB4052,1,0)</f>
        <v>1</v>
      </c>
    </row>
    <row r="4053" spans="1:38" ht="15" x14ac:dyDescent="0.25">
      <c r="A4053" s="1" t="s">
        <v>12321</v>
      </c>
      <c r="B4053" s="1" t="s">
        <v>12322</v>
      </c>
      <c r="C4053" s="1" t="s">
        <v>1400</v>
      </c>
      <c r="D4053" s="1" t="s">
        <v>1400</v>
      </c>
      <c r="E4053" s="6">
        <v>36.11</v>
      </c>
      <c r="F4053" s="1" t="s">
        <v>53</v>
      </c>
      <c r="G4053" s="6">
        <f ca="1">IFERROR(__xludf.DUMMYFUNCTION("iferror(GOOGLEFINANCE(TRIM(F4053)&amp;"":"" &amp; TRIM(B4053), ""price""),0
)"),0)</f>
        <v>0</v>
      </c>
      <c r="H4053" s="6">
        <v>181.25</v>
      </c>
      <c r="I4053" s="6">
        <f t="shared" ca="1" si="0"/>
        <v>181.25</v>
      </c>
      <c r="J4053" s="6">
        <f ca="1">IFERROR(__xludf.DUMMYFUNCTION("IFERROR(GOOGLEFINANCE(B4053, ""volume""), 0)"),0)</f>
        <v>0</v>
      </c>
      <c r="K4053" s="6">
        <v>-1.0900000000000001</v>
      </c>
      <c r="L4053" s="6">
        <f ca="1">IFERROR(__xludf.DUMMYFUNCTION("IFERROR(GOOGLEFINANCE(B4053,""changepct""),K4053)"),-1.09)</f>
        <v>-1.0900000000000001</v>
      </c>
      <c r="M4053" s="6">
        <f ca="1">IFERROR(__xludf.DUMMYFUNCTION("IFERROR(GOOGLEFINANCE(B4053,""change""),0)"),0)</f>
        <v>0</v>
      </c>
      <c r="N4053" s="6">
        <v>1</v>
      </c>
      <c r="O4053" s="7">
        <v>45536</v>
      </c>
      <c r="P4053" s="6">
        <v>1.6</v>
      </c>
      <c r="Q4053" s="6">
        <v>36.68</v>
      </c>
      <c r="R4053" s="7">
        <v>45536</v>
      </c>
      <c r="S4053" s="6">
        <v>259.41000000000003</v>
      </c>
      <c r="T4053" s="6">
        <v>-1.79</v>
      </c>
      <c r="U4053" s="7">
        <v>45536</v>
      </c>
      <c r="V4053" s="6">
        <v>0</v>
      </c>
      <c r="W4053" s="6">
        <f ca="1">IFERROR(__xludf.DUMMYFUNCTION("IFERROR(GOOGLEFINANCE(B4053,""pe""),V4053)"),0)</f>
        <v>0</v>
      </c>
      <c r="X4053" s="6">
        <v>0</v>
      </c>
      <c r="Y4053" s="6">
        <v>1.35</v>
      </c>
      <c r="Z4053" s="6">
        <v>1</v>
      </c>
      <c r="AA4053" s="8">
        <v>45352</v>
      </c>
      <c r="AB4053" s="4">
        <v>0.16</v>
      </c>
      <c r="AC4053" s="6">
        <v>1.89</v>
      </c>
      <c r="AD4053" s="6">
        <v>3.34</v>
      </c>
      <c r="AE4053" s="1">
        <v>0</v>
      </c>
      <c r="AF4053" s="1">
        <f ca="1">IFERROR(__xludf.DUMMYFUNCTION("IFERROR(GOOGLEFINANCE(TRIM(F4053)&amp;"":"" &amp; TRIM(B4053),""high52""),AE4053)"),0)</f>
        <v>0</v>
      </c>
      <c r="AG4053" s="1">
        <v>0</v>
      </c>
      <c r="AH4053" s="1">
        <f ca="1">IFERROR(__xludf.DUMMYFUNCTION("IFERROR(GOOGLEFINANCE(TRIM(F4053)&amp;"":"" &amp; TRIM(B4053),""low52""),AE4053)"),0)</f>
        <v>0</v>
      </c>
      <c r="AI4053" s="1">
        <f ca="1">IFERROR(__xludf.DUMMYFUNCTION("IFERROR(GOOGLEFINANCE(B4053,""eps""),0)"),0)</f>
        <v>0</v>
      </c>
      <c r="AJ4053" s="1"/>
      <c r="AK4053" s="1" t="s">
        <v>12323</v>
      </c>
      <c r="AL4053" s="9">
        <f t="shared" si="376"/>
        <v>1</v>
      </c>
    </row>
    <row r="4054" spans="1:38" ht="15" x14ac:dyDescent="0.25">
      <c r="A4054" s="1" t="s">
        <v>12324</v>
      </c>
      <c r="B4054" s="1" t="s">
        <v>12325</v>
      </c>
      <c r="C4054" s="1" t="s">
        <v>782</v>
      </c>
      <c r="D4054" s="1" t="s">
        <v>782</v>
      </c>
      <c r="E4054" s="6">
        <v>288.7</v>
      </c>
      <c r="F4054" s="1" t="s">
        <v>40</v>
      </c>
      <c r="G4054" s="6">
        <f ca="1">IFERROR(__xludf.DUMMYFUNCTION("iferror(GOOGLEFINANCE(TRIM(F4054)&amp;"":"" &amp; TRIM(B4054), ""price""),0
)"),0)</f>
        <v>0</v>
      </c>
      <c r="H4054" s="6">
        <v>680.05</v>
      </c>
      <c r="I4054" s="6">
        <f t="shared" ca="1" si="0"/>
        <v>680.05</v>
      </c>
      <c r="J4054" s="6">
        <f ca="1">IFERROR(__xludf.DUMMYFUNCTION("IFERROR(GOOGLEFINANCE(B4054, ""volume""), 0)"),0)</f>
        <v>0</v>
      </c>
      <c r="K4054" s="6">
        <v>1.99</v>
      </c>
      <c r="L4054" s="6">
        <f ca="1">IFERROR(__xludf.DUMMYFUNCTION("IFERROR(GOOGLEFINANCE(B4054,""changepct""),K4054)"),1.99)</f>
        <v>1.99</v>
      </c>
      <c r="M4054" s="6">
        <f ca="1">IFERROR(__xludf.DUMMYFUNCTION("IFERROR(GOOGLEFINANCE(B4054,""change""),0)"),0)</f>
        <v>0</v>
      </c>
      <c r="N4054" s="6">
        <v>1</v>
      </c>
      <c r="O4054" s="7">
        <v>45536</v>
      </c>
      <c r="P4054" s="6">
        <v>23.18</v>
      </c>
      <c r="Q4054" s="6">
        <v>311.88</v>
      </c>
      <c r="R4054" s="7">
        <v>45352</v>
      </c>
      <c r="S4054" s="6">
        <v>102.47</v>
      </c>
      <c r="T4054" s="6">
        <v>7.05</v>
      </c>
      <c r="U4054" s="7">
        <v>45352</v>
      </c>
      <c r="V4054" s="6">
        <v>40.92</v>
      </c>
      <c r="W4054" s="6">
        <f ca="1">IFERROR(__xludf.DUMMYFUNCTION("IFERROR(GOOGLEFINANCE(B4054,""pe""),V4054)"),40.92)</f>
        <v>40.92</v>
      </c>
      <c r="X4054" s="9"/>
      <c r="Y4054" s="6">
        <v>13.35</v>
      </c>
      <c r="Z4054" s="6">
        <v>1</v>
      </c>
      <c r="AA4054" s="8">
        <v>45352</v>
      </c>
      <c r="AB4054" s="4">
        <v>1.38</v>
      </c>
      <c r="AC4054" s="6">
        <v>51.85</v>
      </c>
      <c r="AD4054" s="6">
        <v>29.83</v>
      </c>
      <c r="AE4054" s="1">
        <v>0</v>
      </c>
      <c r="AF4054" s="1">
        <f ca="1">IFERROR(__xludf.DUMMYFUNCTION("IFERROR(GOOGLEFINANCE(TRIM(F4054)&amp;"":"" &amp; TRIM(B4054),""high52""),AE4054)"),0)</f>
        <v>0</v>
      </c>
      <c r="AG4054" s="1">
        <v>0</v>
      </c>
      <c r="AH4054" s="1">
        <f ca="1">IFERROR(__xludf.DUMMYFUNCTION("IFERROR(GOOGLEFINANCE(TRIM(F4054)&amp;"":"" &amp; TRIM(B4054),""low52""),AE4054)"),0)</f>
        <v>0</v>
      </c>
      <c r="AI4054" s="1">
        <f ca="1">IFERROR(__xludf.DUMMYFUNCTION("IFERROR(GOOGLEFINANCE(B4054,""eps""),0)"),0)</f>
        <v>0</v>
      </c>
      <c r="AJ4054" s="1"/>
      <c r="AK4054" s="1" t="s">
        <v>12326</v>
      </c>
      <c r="AL4054" s="9">
        <f t="shared" si="376"/>
        <v>1</v>
      </c>
    </row>
    <row r="4055" spans="1:38" ht="15" x14ac:dyDescent="0.25">
      <c r="A4055" s="1" t="s">
        <v>12327</v>
      </c>
      <c r="B4055" s="1" t="s">
        <v>12328</v>
      </c>
      <c r="C4055" s="1" t="s">
        <v>268</v>
      </c>
      <c r="D4055" s="1" t="s">
        <v>268</v>
      </c>
      <c r="E4055" s="6">
        <v>953.94</v>
      </c>
      <c r="F4055" s="1" t="s">
        <v>40</v>
      </c>
      <c r="G4055" s="6">
        <f ca="1">IFERROR(__xludf.DUMMYFUNCTION("iferror(GOOGLEFINANCE(TRIM(F4055)&amp;"":"" &amp; TRIM(B4055), ""price""),0
)"),9.92)</f>
        <v>9.92</v>
      </c>
      <c r="H4055" s="6">
        <v>17.25</v>
      </c>
      <c r="I4055" s="6">
        <f t="shared" ca="1" si="0"/>
        <v>9.92</v>
      </c>
      <c r="J4055" s="6">
        <f ca="1">IFERROR(__xludf.DUMMYFUNCTION("IFERROR(GOOGLEFINANCE(B4055, ""volume""), 0)"),5611655)</f>
        <v>5611655</v>
      </c>
      <c r="K4055" s="6">
        <v>-0.69</v>
      </c>
      <c r="L4055" s="6">
        <f ca="1">IFERROR(__xludf.DUMMYFUNCTION("IFERROR(GOOGLEFINANCE(B4055,""changepct""),K4055)"),-4.43)</f>
        <v>-4.43</v>
      </c>
      <c r="M4055" s="6">
        <f ca="1">IFERROR(__xludf.DUMMYFUNCTION("IFERROR(GOOGLEFINANCE(B4055,""change""),0)"),-0.46)</f>
        <v>-0.46</v>
      </c>
      <c r="N4055" s="6">
        <v>2</v>
      </c>
      <c r="O4055" s="7">
        <v>45536</v>
      </c>
      <c r="P4055" s="6">
        <v>6.26</v>
      </c>
      <c r="Q4055" s="6">
        <v>960.2</v>
      </c>
      <c r="R4055" s="7">
        <v>45536</v>
      </c>
      <c r="S4055" s="6">
        <v>54.02</v>
      </c>
      <c r="T4055" s="6">
        <v>2.09</v>
      </c>
      <c r="U4055" s="7">
        <v>45536</v>
      </c>
      <c r="V4055" s="6">
        <v>460.17</v>
      </c>
      <c r="W4055" s="6">
        <f ca="1">IFERROR(__xludf.DUMMYFUNCTION("IFERROR(GOOGLEFINANCE(B4055,""pe""),V4055)"),355.43)</f>
        <v>355.43</v>
      </c>
      <c r="X4055" s="6">
        <v>1.98</v>
      </c>
      <c r="Y4055" s="6">
        <v>5.4</v>
      </c>
      <c r="Z4055" s="6">
        <v>2</v>
      </c>
      <c r="AA4055" s="8">
        <v>45352</v>
      </c>
      <c r="AB4055" s="4">
        <v>0.03</v>
      </c>
      <c r="AC4055" s="6">
        <v>1.18</v>
      </c>
      <c r="AD4055" s="6">
        <v>2</v>
      </c>
      <c r="AE4055" s="1">
        <v>0</v>
      </c>
      <c r="AF4055" s="1">
        <f ca="1">IFERROR(__xludf.DUMMYFUNCTION("IFERROR(GOOGLEFINANCE(TRIM(F4055)&amp;"":"" &amp; TRIM(B4055),""high52""),AE4055)"),17.49)</f>
        <v>17.489999999999998</v>
      </c>
      <c r="AG4055" s="1">
        <v>0</v>
      </c>
      <c r="AH4055" s="1">
        <f ca="1">IFERROR(__xludf.DUMMYFUNCTION("IFERROR(GOOGLEFINANCE(TRIM(F4055)&amp;"":"" &amp; TRIM(B4055),""low52""),AE4055)"),9.42)</f>
        <v>9.42</v>
      </c>
      <c r="AI4055" s="1">
        <f ca="1">IFERROR(__xludf.DUMMYFUNCTION("IFERROR(GOOGLEFINANCE(B4055,""eps""),0)"),0.03)</f>
        <v>0.03</v>
      </c>
      <c r="AJ4055" s="1"/>
      <c r="AK4055" s="9"/>
      <c r="AL4055" s="9">
        <f t="shared" si="376"/>
        <v>1</v>
      </c>
    </row>
    <row r="4056" spans="1:38" ht="15" x14ac:dyDescent="0.25">
      <c r="A4056" s="1" t="s">
        <v>12329</v>
      </c>
      <c r="B4056" s="1" t="s">
        <v>12330</v>
      </c>
      <c r="C4056" s="1" t="s">
        <v>1400</v>
      </c>
      <c r="D4056" s="1" t="s">
        <v>1400</v>
      </c>
      <c r="E4056" s="6">
        <v>63.15</v>
      </c>
      <c r="F4056" s="1" t="s">
        <v>53</v>
      </c>
      <c r="G4056" s="6">
        <f ca="1">IFERROR(__xludf.DUMMYFUNCTION("iferror(GOOGLEFINANCE(TRIM(F4056)&amp;"":"" &amp; TRIM(B4056), ""price""),0
)"),0)</f>
        <v>0</v>
      </c>
      <c r="H4056" s="6">
        <v>143.94999999999999</v>
      </c>
      <c r="I4056" s="6">
        <f t="shared" ca="1" si="0"/>
        <v>143.94999999999999</v>
      </c>
      <c r="J4056" s="6">
        <f ca="1">IFERROR(__xludf.DUMMYFUNCTION("IFERROR(GOOGLEFINANCE(B4056, ""volume""), 0)"),0)</f>
        <v>0</v>
      </c>
      <c r="K4056" s="9"/>
      <c r="L4056" s="6" t="str">
        <f ca="1">IFERROR(__xludf.DUMMYFUNCTION("IFERROR(GOOGLEFINANCE(B4056,""changepct""),K4056)"),"")</f>
        <v/>
      </c>
      <c r="M4056" s="6">
        <f ca="1">IFERROR(__xludf.DUMMYFUNCTION("IFERROR(GOOGLEFINANCE(B4056,""change""),0)"),0)</f>
        <v>0</v>
      </c>
      <c r="N4056" s="6">
        <v>1</v>
      </c>
      <c r="O4056" s="7">
        <v>45536</v>
      </c>
      <c r="P4056" s="9"/>
      <c r="Q4056" s="6">
        <v>63.15</v>
      </c>
      <c r="R4056" s="7">
        <v>45536</v>
      </c>
      <c r="S4056" s="6">
        <v>15.55</v>
      </c>
      <c r="T4056" s="6">
        <v>3.02</v>
      </c>
      <c r="U4056" s="7">
        <v>45536</v>
      </c>
      <c r="V4056" s="6">
        <v>20.93</v>
      </c>
      <c r="W4056" s="6">
        <f ca="1">IFERROR(__xludf.DUMMYFUNCTION("IFERROR(GOOGLEFINANCE(B4056,""pe""),V4056)"),20.93)</f>
        <v>20.93</v>
      </c>
      <c r="X4056" s="6">
        <v>-1.29</v>
      </c>
      <c r="Y4056" s="6">
        <v>3.3</v>
      </c>
      <c r="Z4056" s="6">
        <v>1</v>
      </c>
      <c r="AA4056" s="8">
        <v>45352</v>
      </c>
      <c r="AB4056" s="4">
        <v>0</v>
      </c>
      <c r="AC4056" s="6">
        <v>21.58</v>
      </c>
      <c r="AD4056" s="6">
        <v>25.88</v>
      </c>
      <c r="AE4056" s="1">
        <v>0</v>
      </c>
      <c r="AF4056" s="1">
        <f ca="1">IFERROR(__xludf.DUMMYFUNCTION("IFERROR(GOOGLEFINANCE(TRIM(F4056)&amp;"":"" &amp; TRIM(B4056),""high52""),AE4056)"),0)</f>
        <v>0</v>
      </c>
      <c r="AG4056" s="1">
        <v>0</v>
      </c>
      <c r="AH4056" s="1">
        <f ca="1">IFERROR(__xludf.DUMMYFUNCTION("IFERROR(GOOGLEFINANCE(TRIM(F4056)&amp;"":"" &amp; TRIM(B4056),""low52""),AE4056)"),0)</f>
        <v>0</v>
      </c>
      <c r="AI4056" s="1">
        <f ca="1">IFERROR(__xludf.DUMMYFUNCTION("IFERROR(GOOGLEFINANCE(B4056,""eps""),0)"),0)</f>
        <v>0</v>
      </c>
      <c r="AJ4056" s="1"/>
      <c r="AK4056" s="1" t="s">
        <v>12331</v>
      </c>
      <c r="AL4056" s="9">
        <f t="shared" si="376"/>
        <v>1</v>
      </c>
    </row>
    <row r="4057" spans="1:38" ht="15" x14ac:dyDescent="0.25">
      <c r="A4057" s="1" t="s">
        <v>12332</v>
      </c>
      <c r="B4057" s="1" t="s">
        <v>12333</v>
      </c>
      <c r="C4057" s="1" t="s">
        <v>1400</v>
      </c>
      <c r="D4057" s="1" t="s">
        <v>1400</v>
      </c>
      <c r="E4057" s="6">
        <v>50.62</v>
      </c>
      <c r="F4057" s="1" t="s">
        <v>53</v>
      </c>
      <c r="G4057" s="6">
        <f ca="1">IFERROR(__xludf.DUMMYFUNCTION("iferror(GOOGLEFINANCE(TRIM(F4057)&amp;"":"" &amp; TRIM(B4057), ""price""),0
)"),0)</f>
        <v>0</v>
      </c>
      <c r="H4057" s="6">
        <v>85.5</v>
      </c>
      <c r="I4057" s="6">
        <f t="shared" ca="1" si="0"/>
        <v>85.5</v>
      </c>
      <c r="J4057" s="6">
        <f ca="1">IFERROR(__xludf.DUMMYFUNCTION("IFERROR(GOOGLEFINANCE(B4057, ""volume""), 0)"),0)</f>
        <v>0</v>
      </c>
      <c r="K4057" s="9"/>
      <c r="L4057" s="6" t="str">
        <f ca="1">IFERROR(__xludf.DUMMYFUNCTION("IFERROR(GOOGLEFINANCE(B4057,""changepct""),K4057)"),"")</f>
        <v/>
      </c>
      <c r="M4057" s="6">
        <f ca="1">IFERROR(__xludf.DUMMYFUNCTION("IFERROR(GOOGLEFINANCE(B4057,""change""),0)"),0)</f>
        <v>0</v>
      </c>
      <c r="N4057" s="6">
        <v>1</v>
      </c>
      <c r="O4057" s="7">
        <v>45536</v>
      </c>
      <c r="P4057" s="6">
        <v>19.37</v>
      </c>
      <c r="Q4057" s="6">
        <v>69.739999999999995</v>
      </c>
      <c r="R4057" s="7">
        <v>45536</v>
      </c>
      <c r="S4057" s="6">
        <v>202.74</v>
      </c>
      <c r="T4057" s="6">
        <v>1.69</v>
      </c>
      <c r="U4057" s="7">
        <v>45536</v>
      </c>
      <c r="V4057" s="6">
        <v>29.88</v>
      </c>
      <c r="W4057" s="6">
        <f ca="1">IFERROR(__xludf.DUMMYFUNCTION("IFERROR(GOOGLEFINANCE(B4057,""pe""),V4057)"),29.88)</f>
        <v>29.88</v>
      </c>
      <c r="X4057" s="9"/>
      <c r="Y4057" s="6">
        <v>1.46</v>
      </c>
      <c r="Z4057" s="6">
        <v>2</v>
      </c>
      <c r="AA4057" s="8">
        <v>44986</v>
      </c>
      <c r="AB4057" s="4">
        <v>1.76</v>
      </c>
      <c r="AC4057" s="6">
        <v>4.25</v>
      </c>
      <c r="AD4057" s="6">
        <v>11.09</v>
      </c>
      <c r="AE4057" s="1">
        <v>0</v>
      </c>
      <c r="AF4057" s="1">
        <f ca="1">IFERROR(__xludf.DUMMYFUNCTION("IFERROR(GOOGLEFINANCE(TRIM(F4057)&amp;"":"" &amp; TRIM(B4057),""high52""),AE4057)"),0)</f>
        <v>0</v>
      </c>
      <c r="AG4057" s="1">
        <v>0</v>
      </c>
      <c r="AH4057" s="1">
        <f ca="1">IFERROR(__xludf.DUMMYFUNCTION("IFERROR(GOOGLEFINANCE(TRIM(F4057)&amp;"":"" &amp; TRIM(B4057),""low52""),AE4057)"),0)</f>
        <v>0</v>
      </c>
      <c r="AI4057" s="1">
        <f ca="1">IFERROR(__xludf.DUMMYFUNCTION("IFERROR(GOOGLEFINANCE(B4057,""eps""),0)"),0)</f>
        <v>0</v>
      </c>
      <c r="AJ4057" s="1"/>
      <c r="AK4057" s="1" t="s">
        <v>12334</v>
      </c>
      <c r="AL4057" s="9">
        <f t="shared" si="376"/>
        <v>1</v>
      </c>
    </row>
    <row r="4058" spans="1:38" ht="15" x14ac:dyDescent="0.25">
      <c r="A4058" s="1" t="s">
        <v>12335</v>
      </c>
      <c r="B4058" s="1" t="s">
        <v>12336</v>
      </c>
      <c r="C4058" s="1" t="s">
        <v>1400</v>
      </c>
      <c r="D4058" s="1" t="s">
        <v>1400</v>
      </c>
      <c r="E4058" s="6">
        <v>41</v>
      </c>
      <c r="F4058" s="1" t="s">
        <v>53</v>
      </c>
      <c r="G4058" s="6">
        <f ca="1">IFERROR(__xludf.DUMMYFUNCTION("iferror(GOOGLEFINANCE(TRIM(F4058)&amp;"":"" &amp; TRIM(B4058), ""price""),0
)"),0)</f>
        <v>0</v>
      </c>
      <c r="H4058" s="6">
        <v>39</v>
      </c>
      <c r="I4058" s="6">
        <f t="shared" ca="1" si="0"/>
        <v>39</v>
      </c>
      <c r="J4058" s="6">
        <f ca="1">IFERROR(__xludf.DUMMYFUNCTION("IFERROR(GOOGLEFINANCE(B4058, ""volume""), 0)"),0)</f>
        <v>0</v>
      </c>
      <c r="K4058" s="6">
        <v>-0.36</v>
      </c>
      <c r="L4058" s="6">
        <f ca="1">IFERROR(__xludf.DUMMYFUNCTION("IFERROR(GOOGLEFINANCE(B4058,""changepct""),K4058)"),-0.36)</f>
        <v>-0.36</v>
      </c>
      <c r="M4058" s="6">
        <f ca="1">IFERROR(__xludf.DUMMYFUNCTION("IFERROR(GOOGLEFINANCE(B4058,""change""),0)"),0)</f>
        <v>0</v>
      </c>
      <c r="N4058" s="6">
        <v>1</v>
      </c>
      <c r="O4058" s="7">
        <v>45536</v>
      </c>
      <c r="P4058" s="6">
        <v>7.4</v>
      </c>
      <c r="Q4058" s="6">
        <v>48.39</v>
      </c>
      <c r="R4058" s="7">
        <v>45536</v>
      </c>
      <c r="S4058" s="6">
        <v>45.32</v>
      </c>
      <c r="T4058" s="6">
        <v>1.05</v>
      </c>
      <c r="U4058" s="7">
        <v>45536</v>
      </c>
      <c r="V4058" s="6">
        <v>39.08</v>
      </c>
      <c r="W4058" s="6">
        <f ca="1">IFERROR(__xludf.DUMMYFUNCTION("IFERROR(GOOGLEFINANCE(B4058,""pe""),V4058)"),39.08)</f>
        <v>39.08</v>
      </c>
      <c r="X4058" s="6">
        <v>1.45</v>
      </c>
      <c r="Y4058" s="6">
        <v>4.18</v>
      </c>
      <c r="Z4058" s="6">
        <v>1</v>
      </c>
      <c r="AA4058" s="8">
        <v>45352</v>
      </c>
      <c r="AB4058" s="4">
        <v>0.68</v>
      </c>
      <c r="AC4058" s="6">
        <v>0.76</v>
      </c>
      <c r="AD4058" s="6">
        <v>5.64</v>
      </c>
      <c r="AE4058" s="1">
        <v>0</v>
      </c>
      <c r="AF4058" s="1">
        <f ca="1">IFERROR(__xludf.DUMMYFUNCTION("IFERROR(GOOGLEFINANCE(TRIM(F4058)&amp;"":"" &amp; TRIM(B4058),""high52""),AE4058)"),0)</f>
        <v>0</v>
      </c>
      <c r="AG4058" s="1">
        <v>0</v>
      </c>
      <c r="AH4058" s="1">
        <f ca="1">IFERROR(__xludf.DUMMYFUNCTION("IFERROR(GOOGLEFINANCE(TRIM(F4058)&amp;"":"" &amp; TRIM(B4058),""low52""),AE4058)"),0)</f>
        <v>0</v>
      </c>
      <c r="AI4058" s="1">
        <f ca="1">IFERROR(__xludf.DUMMYFUNCTION("IFERROR(GOOGLEFINANCE(B4058,""eps""),0)"),0)</f>
        <v>0</v>
      </c>
      <c r="AJ4058" s="1"/>
      <c r="AK4058" s="1" t="s">
        <v>12337</v>
      </c>
      <c r="AL4058" s="9">
        <f t="shared" si="376"/>
        <v>1</v>
      </c>
    </row>
    <row r="4059" spans="1:38" ht="15" x14ac:dyDescent="0.25">
      <c r="A4059" s="1" t="s">
        <v>12338</v>
      </c>
      <c r="B4059" s="1" t="s">
        <v>12339</v>
      </c>
      <c r="C4059" s="1" t="s">
        <v>208</v>
      </c>
      <c r="D4059" s="1" t="s">
        <v>208</v>
      </c>
      <c r="E4059" s="6">
        <v>273.89</v>
      </c>
      <c r="F4059" s="1" t="s">
        <v>40</v>
      </c>
      <c r="G4059" s="6">
        <f ca="1">IFERROR(__xludf.DUMMYFUNCTION("iferror(GOOGLEFINANCE(TRIM(F4059)&amp;"":"" &amp; TRIM(B4059), ""price""),0
)"),0)</f>
        <v>0</v>
      </c>
      <c r="H4059" s="6">
        <v>128.55000000000001</v>
      </c>
      <c r="I4059" s="6">
        <f t="shared" ca="1" si="0"/>
        <v>128.55000000000001</v>
      </c>
      <c r="J4059" s="6">
        <f ca="1">IFERROR(__xludf.DUMMYFUNCTION("IFERROR(GOOGLEFINANCE(B4059, ""volume""), 0)"),0)</f>
        <v>0</v>
      </c>
      <c r="K4059" s="6">
        <v>2.02</v>
      </c>
      <c r="L4059" s="6">
        <f ca="1">IFERROR(__xludf.DUMMYFUNCTION("IFERROR(GOOGLEFINANCE(B4059,""changepct""),K4059)"),2.02)</f>
        <v>2.02</v>
      </c>
      <c r="M4059" s="6">
        <f ca="1">IFERROR(__xludf.DUMMYFUNCTION("IFERROR(GOOGLEFINANCE(B4059,""change""),0)"),0)</f>
        <v>0</v>
      </c>
      <c r="N4059" s="6">
        <v>1</v>
      </c>
      <c r="O4059" s="12"/>
      <c r="P4059" s="12"/>
      <c r="Q4059" s="7">
        <v>45352</v>
      </c>
      <c r="R4059" s="6">
        <v>20.36</v>
      </c>
      <c r="S4059" s="12"/>
      <c r="T4059" s="6">
        <v>1.34</v>
      </c>
      <c r="U4059" s="6">
        <v>1</v>
      </c>
      <c r="V4059" s="7">
        <v>45352</v>
      </c>
      <c r="W4059" s="10">
        <f ca="1">IFERROR(__xludf.DUMMYFUNCTION("IFERROR(GOOGLEFINANCE(B4059,""pe""),V4059)"),45352)</f>
        <v>45352</v>
      </c>
      <c r="X4059" s="6">
        <v>1.71</v>
      </c>
      <c r="Y4059" s="6">
        <v>14.3</v>
      </c>
      <c r="Z4059" s="6">
        <v>15.41</v>
      </c>
      <c r="AA4059" s="3" t="s">
        <v>12340</v>
      </c>
      <c r="AB4059" s="16"/>
      <c r="AC4059" s="12"/>
      <c r="AD4059" s="12"/>
      <c r="AE4059" s="1">
        <v>0</v>
      </c>
      <c r="AF4059" s="1">
        <f ca="1">IFERROR(__xludf.DUMMYFUNCTION("IFERROR(GOOGLEFINANCE(TRIM(F4059)&amp;"":"" &amp; TRIM(B4059),""high52""),AE4059)"),0)</f>
        <v>0</v>
      </c>
      <c r="AG4059" s="1">
        <v>0</v>
      </c>
      <c r="AH4059" s="1">
        <f ca="1">IFERROR(__xludf.DUMMYFUNCTION("IFERROR(GOOGLEFINANCE(TRIM(F4059)&amp;"":"" &amp; TRIM(B4059),""low52""),AE4059)"),0)</f>
        <v>0</v>
      </c>
      <c r="AI4059" s="1">
        <f ca="1">IFERROR(__xludf.DUMMYFUNCTION("IFERROR(GOOGLEFINANCE(B4059,""eps""),0)"),0)</f>
        <v>0</v>
      </c>
      <c r="AJ4059" s="1"/>
      <c r="AK4059" s="1" t="s">
        <v>12341</v>
      </c>
      <c r="AL4059" s="9">
        <f t="shared" si="376"/>
        <v>1</v>
      </c>
    </row>
    <row r="4060" spans="1:38" ht="15" x14ac:dyDescent="0.25">
      <c r="A4060" s="1" t="s">
        <v>12342</v>
      </c>
      <c r="B4060" s="1" t="s">
        <v>12343</v>
      </c>
      <c r="C4060" s="1" t="s">
        <v>835</v>
      </c>
      <c r="D4060" s="1" t="s">
        <v>835</v>
      </c>
      <c r="E4060" s="6">
        <v>17.940000000000001</v>
      </c>
      <c r="F4060" s="1" t="s">
        <v>40</v>
      </c>
      <c r="G4060" s="6">
        <f ca="1">IFERROR(__xludf.DUMMYFUNCTION("iferror(GOOGLEFINANCE(TRIM(F4060)&amp;"":"" &amp; TRIM(B4060), ""price""),0
)"),4.64)</f>
        <v>4.6399999999999997</v>
      </c>
      <c r="H4060" s="6">
        <v>6.87</v>
      </c>
      <c r="I4060" s="6">
        <f t="shared" ca="1" si="0"/>
        <v>4.6399999999999997</v>
      </c>
      <c r="J4060" s="6">
        <f ca="1">IFERROR(__xludf.DUMMYFUNCTION("IFERROR(GOOGLEFINANCE(B4060, ""volume""), 0)"),4162)</f>
        <v>4162</v>
      </c>
      <c r="K4060" s="6">
        <v>1.93</v>
      </c>
      <c r="L4060" s="6">
        <f ca="1">IFERROR(__xludf.DUMMYFUNCTION("IFERROR(GOOGLEFINANCE(B4060,""changepct""),K4060)"),1.98)</f>
        <v>1.98</v>
      </c>
      <c r="M4060" s="6">
        <f ca="1">IFERROR(__xludf.DUMMYFUNCTION("IFERROR(GOOGLEFINANCE(B4060,""change""),0)"),0.09)</f>
        <v>0.09</v>
      </c>
      <c r="N4060" s="6">
        <v>2</v>
      </c>
      <c r="O4060" s="7">
        <v>45536</v>
      </c>
      <c r="P4060" s="6">
        <v>1.32</v>
      </c>
      <c r="Q4060" s="6">
        <v>19.260000000000002</v>
      </c>
      <c r="R4060" s="7">
        <v>45536</v>
      </c>
      <c r="S4060" s="6">
        <v>0.8</v>
      </c>
      <c r="T4060" s="6">
        <v>0.08</v>
      </c>
      <c r="U4060" s="7">
        <v>45536</v>
      </c>
      <c r="V4060" s="6">
        <v>221.44</v>
      </c>
      <c r="W4060" s="6">
        <f ca="1">IFERROR(__xludf.DUMMYFUNCTION("IFERROR(GOOGLEFINANCE(B4060,""pe""),V4060)"),31.62)</f>
        <v>31.62</v>
      </c>
      <c r="X4060" s="6">
        <v>7.6</v>
      </c>
      <c r="Y4060" s="6">
        <v>1.25</v>
      </c>
      <c r="Z4060" s="6">
        <v>2</v>
      </c>
      <c r="AA4060" s="8">
        <v>45352</v>
      </c>
      <c r="AB4060" s="4">
        <v>0.12</v>
      </c>
      <c r="AC4060" s="6">
        <v>1.06</v>
      </c>
      <c r="AD4060" s="6">
        <v>3.06</v>
      </c>
      <c r="AE4060" s="1">
        <v>0</v>
      </c>
      <c r="AF4060" s="1">
        <f ca="1">IFERROR(__xludf.DUMMYFUNCTION("IFERROR(GOOGLEFINANCE(TRIM(F4060)&amp;"":"" &amp; TRIM(B4060),""high52""),AE4060)"),7.28)</f>
        <v>7.28</v>
      </c>
      <c r="AG4060" s="1">
        <v>0</v>
      </c>
      <c r="AH4060" s="1">
        <f ca="1">IFERROR(__xludf.DUMMYFUNCTION("IFERROR(GOOGLEFINANCE(TRIM(F4060)&amp;"":"" &amp; TRIM(B4060),""low52""),AE4060)"),4.16)</f>
        <v>4.16</v>
      </c>
      <c r="AI4060" s="1">
        <f ca="1">IFERROR(__xludf.DUMMYFUNCTION("IFERROR(GOOGLEFINANCE(B4060,""eps""),0)"),0.15)</f>
        <v>0.15</v>
      </c>
      <c r="AJ4060" s="1"/>
      <c r="AK4060" s="9"/>
      <c r="AL4060" s="9">
        <f t="shared" si="376"/>
        <v>1</v>
      </c>
    </row>
    <row r="4061" spans="1:38" ht="15" x14ac:dyDescent="0.25">
      <c r="A4061" s="1" t="s">
        <v>12344</v>
      </c>
      <c r="B4061" s="1" t="s">
        <v>12345</v>
      </c>
      <c r="C4061" s="1" t="s">
        <v>219</v>
      </c>
      <c r="D4061" s="1" t="s">
        <v>219</v>
      </c>
      <c r="E4061" s="6">
        <v>11549.72</v>
      </c>
      <c r="F4061" s="1" t="s">
        <v>40</v>
      </c>
      <c r="G4061" s="6">
        <f ca="1">IFERROR(__xludf.DUMMYFUNCTION("iferror(GOOGLEFINANCE(TRIM(F4061)&amp;"":"" &amp; TRIM(B4061), ""price""),0
)"),394.65)</f>
        <v>394.65</v>
      </c>
      <c r="H4061" s="6">
        <v>376.65</v>
      </c>
      <c r="I4061" s="6">
        <f t="shared" ca="1" si="0"/>
        <v>394.65</v>
      </c>
      <c r="J4061" s="6">
        <f ca="1">IFERROR(__xludf.DUMMYFUNCTION("IFERROR(GOOGLEFINANCE(B4061, ""volume""), 0)"),854490)</f>
        <v>854490</v>
      </c>
      <c r="K4061" s="6">
        <v>-0.65</v>
      </c>
      <c r="L4061" s="6">
        <f ca="1">IFERROR(__xludf.DUMMYFUNCTION("IFERROR(GOOGLEFINANCE(B4061,""changepct""),K4061)"),-3.45)</f>
        <v>-3.45</v>
      </c>
      <c r="M4061" s="6">
        <f ca="1">IFERROR(__xludf.DUMMYFUNCTION("IFERROR(GOOGLEFINANCE(B4061,""change""),0)"),-14.1)</f>
        <v>-14.1</v>
      </c>
      <c r="N4061" s="6">
        <v>2</v>
      </c>
      <c r="O4061" s="7">
        <v>45536</v>
      </c>
      <c r="P4061" s="6">
        <v>382.18</v>
      </c>
      <c r="Q4061" s="6">
        <v>11741.5</v>
      </c>
      <c r="R4061" s="7">
        <v>45536</v>
      </c>
      <c r="S4061" s="6">
        <v>3343.66</v>
      </c>
      <c r="T4061" s="6">
        <v>412.41</v>
      </c>
      <c r="U4061" s="7">
        <v>45536</v>
      </c>
      <c r="V4061" s="6">
        <v>27.01</v>
      </c>
      <c r="W4061" s="6">
        <f ca="1">IFERROR(__xludf.DUMMYFUNCTION("IFERROR(GOOGLEFINANCE(B4061,""pe""),V4061)"),28.66)</f>
        <v>28.66</v>
      </c>
      <c r="X4061" s="6">
        <v>0.49</v>
      </c>
      <c r="Y4061" s="6">
        <v>4.49</v>
      </c>
      <c r="Z4061" s="6">
        <v>2</v>
      </c>
      <c r="AA4061" s="8">
        <v>45352</v>
      </c>
      <c r="AB4061" s="4">
        <v>0.13</v>
      </c>
      <c r="AC4061" s="6">
        <v>19.23</v>
      </c>
      <c r="AD4061" s="6">
        <v>22.69</v>
      </c>
      <c r="AE4061" s="1">
        <v>0</v>
      </c>
      <c r="AF4061" s="1">
        <f ca="1">IFERROR(__xludf.DUMMYFUNCTION("IFERROR(GOOGLEFINANCE(TRIM(F4061)&amp;"":"" &amp; TRIM(B4061),""high52""),AE4061)"),497.1)</f>
        <v>497.1</v>
      </c>
      <c r="AG4061" s="1">
        <v>0</v>
      </c>
      <c r="AH4061" s="1">
        <f ca="1">IFERROR(__xludf.DUMMYFUNCTION("IFERROR(GOOGLEFINANCE(TRIM(F4061)&amp;"":"" &amp; TRIM(B4061),""low52""),AE4061)"),278.55)</f>
        <v>278.55</v>
      </c>
      <c r="AI4061" s="1">
        <f ca="1">IFERROR(__xludf.DUMMYFUNCTION("IFERROR(GOOGLEFINANCE(B4061,""eps""),0)"),13.77)</f>
        <v>13.77</v>
      </c>
      <c r="AJ4061" s="1"/>
      <c r="AK4061" s="1" t="s">
        <v>12346</v>
      </c>
      <c r="AL4061" s="9">
        <f t="shared" si="376"/>
        <v>1</v>
      </c>
    </row>
    <row r="4062" spans="1:38" ht="15" x14ac:dyDescent="0.25">
      <c r="A4062" s="1" t="s">
        <v>12347</v>
      </c>
      <c r="B4062" s="1" t="s">
        <v>12348</v>
      </c>
      <c r="C4062" s="1" t="s">
        <v>135</v>
      </c>
      <c r="D4062" s="1" t="s">
        <v>135</v>
      </c>
      <c r="E4062" s="6">
        <v>69.5</v>
      </c>
      <c r="F4062" s="1" t="s">
        <v>40</v>
      </c>
      <c r="G4062" s="6">
        <f ca="1">IFERROR(__xludf.DUMMYFUNCTION("iferror(GOOGLEFINANCE(TRIM(F4062)&amp;"":"" &amp; TRIM(B4062), ""price""),0
)"),0)</f>
        <v>0</v>
      </c>
      <c r="H4062" s="6">
        <v>62.05</v>
      </c>
      <c r="I4062" s="6">
        <f t="shared" ca="1" si="0"/>
        <v>62.05</v>
      </c>
      <c r="J4062" s="6">
        <f ca="1">IFERROR(__xludf.DUMMYFUNCTION("IFERROR(GOOGLEFINANCE(B4062, ""volume""), 0)"),0)</f>
        <v>0</v>
      </c>
      <c r="K4062" s="6">
        <v>0.32</v>
      </c>
      <c r="L4062" s="6">
        <f ca="1">IFERROR(__xludf.DUMMYFUNCTION("IFERROR(GOOGLEFINANCE(B4062,""changepct""),K4062)"),-1.92)</f>
        <v>-1.92</v>
      </c>
      <c r="M4062" s="6">
        <f ca="1">IFERROR(__xludf.DUMMYFUNCTION("IFERROR(GOOGLEFINANCE(B4062,""change""),0)"),-0.03)</f>
        <v>-0.03</v>
      </c>
      <c r="N4062" s="6">
        <v>1</v>
      </c>
      <c r="O4062" s="7">
        <v>45536</v>
      </c>
      <c r="P4062" s="6">
        <v>10.86</v>
      </c>
      <c r="Q4062" s="6">
        <v>80.349999999999994</v>
      </c>
      <c r="R4062" s="7">
        <v>45352</v>
      </c>
      <c r="S4062" s="6">
        <v>42.59</v>
      </c>
      <c r="T4062" s="6">
        <v>1.34</v>
      </c>
      <c r="U4062" s="7">
        <v>45352</v>
      </c>
      <c r="V4062" s="6">
        <v>51.81</v>
      </c>
      <c r="W4062" s="6">
        <f ca="1">IFERROR(__xludf.DUMMYFUNCTION("IFERROR(GOOGLEFINANCE(B4062,""pe""),V4062)"),7.4)</f>
        <v>7.4</v>
      </c>
      <c r="X4062" s="12"/>
      <c r="Y4062" s="6">
        <v>1.27</v>
      </c>
      <c r="Z4062" s="6">
        <v>2</v>
      </c>
      <c r="AA4062" s="8">
        <v>45352</v>
      </c>
      <c r="AB4062" s="4">
        <v>1.1599999999999999</v>
      </c>
      <c r="AC4062" s="6">
        <v>-10.49</v>
      </c>
      <c r="AD4062" s="6">
        <v>-0.01</v>
      </c>
      <c r="AE4062" s="1">
        <v>0</v>
      </c>
      <c r="AF4062" s="1">
        <f ca="1">IFERROR(__xludf.DUMMYFUNCTION("IFERROR(GOOGLEFINANCE(TRIM(F4062)&amp;"":"" &amp; TRIM(B4062),""high52""),AE4062)"),0)</f>
        <v>0</v>
      </c>
      <c r="AG4062" s="1">
        <v>0</v>
      </c>
      <c r="AH4062" s="1">
        <f ca="1">IFERROR(__xludf.DUMMYFUNCTION("IFERROR(GOOGLEFINANCE(TRIM(F4062)&amp;"":"" &amp; TRIM(B4062),""low52""),AE4062)"),0)</f>
        <v>0</v>
      </c>
      <c r="AI4062" s="1">
        <f ca="1">IFERROR(__xludf.DUMMYFUNCTION("IFERROR(GOOGLEFINANCE(B4062,""eps""),0)"),0.21)</f>
        <v>0.21</v>
      </c>
      <c r="AJ4062" s="1"/>
      <c r="AK4062" s="1" t="s">
        <v>12349</v>
      </c>
      <c r="AL4062" s="1" t="b">
        <f>ISNUMBER(AA4062)</f>
        <v>1</v>
      </c>
    </row>
    <row r="4063" spans="1:38" ht="15" x14ac:dyDescent="0.25">
      <c r="A4063" s="1" t="s">
        <v>12350</v>
      </c>
      <c r="B4063" s="1" t="s">
        <v>12351</v>
      </c>
      <c r="C4063" s="1" t="s">
        <v>1400</v>
      </c>
      <c r="D4063" s="1" t="s">
        <v>1400</v>
      </c>
      <c r="E4063" s="6">
        <v>47.23</v>
      </c>
      <c r="F4063" s="1" t="s">
        <v>53</v>
      </c>
      <c r="G4063" s="6">
        <f ca="1">IFERROR(__xludf.DUMMYFUNCTION("iferror(GOOGLEFINANCE(TRIM(F4063)&amp;"":"" &amp; TRIM(B4063), ""price""),0
)"),0)</f>
        <v>0</v>
      </c>
      <c r="H4063" s="6">
        <v>16.86</v>
      </c>
      <c r="I4063" s="6">
        <f t="shared" ca="1" si="0"/>
        <v>16.86</v>
      </c>
      <c r="J4063" s="6">
        <f ca="1">IFERROR(__xludf.DUMMYFUNCTION("IFERROR(GOOGLEFINANCE(B4063, ""volume""), 0)"),0)</f>
        <v>0</v>
      </c>
      <c r="K4063" s="9"/>
      <c r="L4063" s="6" t="str">
        <f ca="1">IFERROR(__xludf.DUMMYFUNCTION("IFERROR(GOOGLEFINANCE(B4063,""changepct""),K4063)"),"")</f>
        <v/>
      </c>
      <c r="M4063" s="6">
        <f ca="1">IFERROR(__xludf.DUMMYFUNCTION("IFERROR(GOOGLEFINANCE(B4063,""change""),0)"),0)</f>
        <v>0</v>
      </c>
      <c r="N4063" s="6">
        <v>1</v>
      </c>
      <c r="O4063" s="7">
        <v>45536</v>
      </c>
      <c r="P4063" s="6">
        <v>11.36</v>
      </c>
      <c r="Q4063" s="6">
        <v>58.59</v>
      </c>
      <c r="R4063" s="7">
        <v>45536</v>
      </c>
      <c r="S4063" s="6">
        <v>12.2</v>
      </c>
      <c r="T4063" s="6">
        <v>117.63</v>
      </c>
      <c r="U4063" s="7">
        <v>45536</v>
      </c>
      <c r="V4063" s="6">
        <v>0.4</v>
      </c>
      <c r="W4063" s="6">
        <f ca="1">IFERROR(__xludf.DUMMYFUNCTION("IFERROR(GOOGLEFINANCE(B4063,""pe""),V4063)"),0.4)</f>
        <v>0.4</v>
      </c>
      <c r="X4063" s="6">
        <v>0.03</v>
      </c>
      <c r="Y4063" s="6">
        <v>4.84</v>
      </c>
      <c r="Z4063" s="6">
        <v>1</v>
      </c>
      <c r="AA4063" s="8">
        <v>45352</v>
      </c>
      <c r="AB4063" s="4">
        <v>1.0900000000000001</v>
      </c>
      <c r="AC4063" s="6">
        <v>0</v>
      </c>
      <c r="AD4063" s="6">
        <v>3213.37</v>
      </c>
      <c r="AE4063" s="1">
        <v>0</v>
      </c>
      <c r="AF4063" s="1">
        <f ca="1">IFERROR(__xludf.DUMMYFUNCTION("IFERROR(GOOGLEFINANCE(TRIM(F4063)&amp;"":"" &amp; TRIM(B4063),""high52""),AE4063)"),0)</f>
        <v>0</v>
      </c>
      <c r="AG4063" s="1">
        <v>0</v>
      </c>
      <c r="AH4063" s="1">
        <f ca="1">IFERROR(__xludf.DUMMYFUNCTION("IFERROR(GOOGLEFINANCE(TRIM(F4063)&amp;"":"" &amp; TRIM(B4063),""low52""),AE4063)"),0)</f>
        <v>0</v>
      </c>
      <c r="AI4063" s="1">
        <f ca="1">IFERROR(__xludf.DUMMYFUNCTION("IFERROR(GOOGLEFINANCE(B4063,""eps""),0)"),0)</f>
        <v>0</v>
      </c>
      <c r="AJ4063" s="1"/>
      <c r="AK4063" s="1" t="s">
        <v>12352</v>
      </c>
      <c r="AL4063" s="9">
        <f t="shared" ref="AL4063:AL4068" si="377">IF(AA4063&lt;&gt;AB4063,1,0)</f>
        <v>1</v>
      </c>
    </row>
    <row r="4064" spans="1:38" ht="15" x14ac:dyDescent="0.25">
      <c r="A4064" s="1" t="s">
        <v>12353</v>
      </c>
      <c r="B4064" s="1" t="s">
        <v>12354</v>
      </c>
      <c r="C4064" s="1" t="s">
        <v>1400</v>
      </c>
      <c r="D4064" s="1" t="s">
        <v>1400</v>
      </c>
      <c r="E4064" s="6">
        <v>11.01</v>
      </c>
      <c r="F4064" s="1" t="s">
        <v>53</v>
      </c>
      <c r="G4064" s="6">
        <f ca="1">IFERROR(__xludf.DUMMYFUNCTION("iferror(GOOGLEFINANCE(TRIM(F4064)&amp;"":"" &amp; TRIM(B4064), ""price""),0
)"),0)</f>
        <v>0</v>
      </c>
      <c r="H4064" s="6">
        <v>22.5</v>
      </c>
      <c r="I4064" s="6">
        <f t="shared" ca="1" si="0"/>
        <v>22.5</v>
      </c>
      <c r="J4064" s="6">
        <f ca="1">IFERROR(__xludf.DUMMYFUNCTION("IFERROR(GOOGLEFINANCE(B4064, ""volume""), 0)"),0)</f>
        <v>0</v>
      </c>
      <c r="K4064" s="6">
        <v>1.03</v>
      </c>
      <c r="L4064" s="6">
        <f ca="1">IFERROR(__xludf.DUMMYFUNCTION("IFERROR(GOOGLEFINANCE(B4064,""changepct""),K4064)"),1.03)</f>
        <v>1.03</v>
      </c>
      <c r="M4064" s="6">
        <f ca="1">IFERROR(__xludf.DUMMYFUNCTION("IFERROR(GOOGLEFINANCE(B4064,""change""),0)"),0)</f>
        <v>0</v>
      </c>
      <c r="N4064" s="6">
        <v>1</v>
      </c>
      <c r="O4064" s="7">
        <v>45536</v>
      </c>
      <c r="P4064" s="6">
        <v>0.01</v>
      </c>
      <c r="Q4064" s="6">
        <v>11.03</v>
      </c>
      <c r="R4064" s="7">
        <v>45536</v>
      </c>
      <c r="S4064" s="6">
        <v>1.71</v>
      </c>
      <c r="T4064" s="6">
        <v>-0.03</v>
      </c>
      <c r="U4064" s="7">
        <v>45536</v>
      </c>
      <c r="V4064" s="6">
        <v>0</v>
      </c>
      <c r="W4064" s="6">
        <f ca="1">IFERROR(__xludf.DUMMYFUNCTION("IFERROR(GOOGLEFINANCE(B4064,""pe""),V4064)"),0)</f>
        <v>0</v>
      </c>
      <c r="X4064" s="9"/>
      <c r="Y4064" s="6">
        <v>-46.19</v>
      </c>
      <c r="Z4064" s="6">
        <v>1</v>
      </c>
      <c r="AA4064" s="8">
        <v>45352</v>
      </c>
      <c r="AB4064" s="4">
        <v>56.92</v>
      </c>
      <c r="AC4064" s="6">
        <v>722.89</v>
      </c>
      <c r="AD4064" s="6">
        <v>6.51</v>
      </c>
      <c r="AE4064" s="1">
        <v>0</v>
      </c>
      <c r="AF4064" s="1">
        <f ca="1">IFERROR(__xludf.DUMMYFUNCTION("IFERROR(GOOGLEFINANCE(TRIM(F4064)&amp;"":"" &amp; TRIM(B4064),""high52""),AE4064)"),0)</f>
        <v>0</v>
      </c>
      <c r="AG4064" s="1">
        <v>0</v>
      </c>
      <c r="AH4064" s="1">
        <f ca="1">IFERROR(__xludf.DUMMYFUNCTION("IFERROR(GOOGLEFINANCE(TRIM(F4064)&amp;"":"" &amp; TRIM(B4064),""low52""),AE4064)"),0)</f>
        <v>0</v>
      </c>
      <c r="AI4064" s="1">
        <f ca="1">IFERROR(__xludf.DUMMYFUNCTION("IFERROR(GOOGLEFINANCE(B4064,""eps""),0)"),0)</f>
        <v>0</v>
      </c>
      <c r="AJ4064" s="1"/>
      <c r="AK4064" s="1" t="s">
        <v>12355</v>
      </c>
      <c r="AL4064" s="9">
        <f t="shared" si="377"/>
        <v>1</v>
      </c>
    </row>
    <row r="4065" spans="1:38" ht="15" x14ac:dyDescent="0.25">
      <c r="A4065" s="1" t="s">
        <v>12356</v>
      </c>
      <c r="B4065" s="1" t="s">
        <v>12357</v>
      </c>
      <c r="C4065" s="1" t="s">
        <v>1400</v>
      </c>
      <c r="D4065" s="1" t="s">
        <v>1400</v>
      </c>
      <c r="E4065" s="6">
        <v>12.63</v>
      </c>
      <c r="F4065" s="1" t="s">
        <v>53</v>
      </c>
      <c r="G4065" s="6">
        <f ca="1">IFERROR(__xludf.DUMMYFUNCTION("iferror(GOOGLEFINANCE(TRIM(F4065)&amp;"":"" &amp; TRIM(B4065), ""price""),0
)"),0)</f>
        <v>0</v>
      </c>
      <c r="H4065" s="6">
        <v>11.15</v>
      </c>
      <c r="I4065" s="6">
        <f t="shared" ca="1" si="0"/>
        <v>11.15</v>
      </c>
      <c r="J4065" s="6">
        <f ca="1">IFERROR(__xludf.DUMMYFUNCTION("IFERROR(GOOGLEFINANCE(B4065, ""volume""), 0)"),0)</f>
        <v>0</v>
      </c>
      <c r="K4065" s="6">
        <v>0.09</v>
      </c>
      <c r="L4065" s="6">
        <f ca="1">IFERROR(__xludf.DUMMYFUNCTION("IFERROR(GOOGLEFINANCE(B4065,""changepct""),K4065)"),0.09)</f>
        <v>0.09</v>
      </c>
      <c r="M4065" s="6">
        <f ca="1">IFERROR(__xludf.DUMMYFUNCTION("IFERROR(GOOGLEFINANCE(B4065,""change""),0)"),0)</f>
        <v>0</v>
      </c>
      <c r="N4065" s="6">
        <v>1</v>
      </c>
      <c r="O4065" s="7">
        <v>45536</v>
      </c>
      <c r="P4065" s="6">
        <v>17.899999999999999</v>
      </c>
      <c r="Q4065" s="6">
        <v>29.45</v>
      </c>
      <c r="R4065" s="7">
        <v>45536</v>
      </c>
      <c r="S4065" s="6">
        <v>95</v>
      </c>
      <c r="T4065" s="6">
        <v>0.7</v>
      </c>
      <c r="U4065" s="7">
        <v>45536</v>
      </c>
      <c r="V4065" s="6">
        <v>18.05</v>
      </c>
      <c r="W4065" s="6">
        <f ca="1">IFERROR(__xludf.DUMMYFUNCTION("IFERROR(GOOGLEFINANCE(B4065,""pe""),V4065)"),18.05)</f>
        <v>18.05</v>
      </c>
      <c r="X4065" s="6">
        <v>0.76</v>
      </c>
      <c r="Y4065" s="6">
        <v>0.41</v>
      </c>
      <c r="Z4065" s="6">
        <v>1</v>
      </c>
      <c r="AA4065" s="8">
        <v>45352</v>
      </c>
      <c r="AB4065" s="4">
        <v>0.78</v>
      </c>
      <c r="AC4065" s="6">
        <v>0.37</v>
      </c>
      <c r="AD4065" s="6">
        <v>6.57</v>
      </c>
      <c r="AE4065" s="1">
        <v>0</v>
      </c>
      <c r="AF4065" s="1">
        <f ca="1">IFERROR(__xludf.DUMMYFUNCTION("IFERROR(GOOGLEFINANCE(TRIM(F4065)&amp;"":"" &amp; TRIM(B4065),""high52""),AE4065)"),0)</f>
        <v>0</v>
      </c>
      <c r="AG4065" s="1">
        <v>0</v>
      </c>
      <c r="AH4065" s="1">
        <f ca="1">IFERROR(__xludf.DUMMYFUNCTION("IFERROR(GOOGLEFINANCE(TRIM(F4065)&amp;"":"" &amp; TRIM(B4065),""low52""),AE4065)"),0)</f>
        <v>0</v>
      </c>
      <c r="AI4065" s="1">
        <f ca="1">IFERROR(__xludf.DUMMYFUNCTION("IFERROR(GOOGLEFINANCE(B4065,""eps""),0)"),0)</f>
        <v>0</v>
      </c>
      <c r="AJ4065" s="1"/>
      <c r="AK4065" s="9"/>
      <c r="AL4065" s="9">
        <f t="shared" si="377"/>
        <v>1</v>
      </c>
    </row>
    <row r="4066" spans="1:38" ht="15" x14ac:dyDescent="0.25">
      <c r="A4066" s="1" t="s">
        <v>12358</v>
      </c>
      <c r="B4066" s="1" t="s">
        <v>12359</v>
      </c>
      <c r="C4066" s="1" t="s">
        <v>1400</v>
      </c>
      <c r="D4066" s="1" t="s">
        <v>1400</v>
      </c>
      <c r="E4066" s="6">
        <v>178.06</v>
      </c>
      <c r="F4066" s="1" t="s">
        <v>53</v>
      </c>
      <c r="G4066" s="6">
        <f ca="1">IFERROR(__xludf.DUMMYFUNCTION("iferror(GOOGLEFINANCE(TRIM(F4066)&amp;"":"" &amp; TRIM(B4066), ""price""),0
)"),0)</f>
        <v>0</v>
      </c>
      <c r="H4066" s="6">
        <v>8</v>
      </c>
      <c r="I4066" s="6">
        <f t="shared" ca="1" si="0"/>
        <v>8</v>
      </c>
      <c r="J4066" s="6">
        <f ca="1">IFERROR(__xludf.DUMMYFUNCTION("IFERROR(GOOGLEFINANCE(B4066, ""volume""), 0)"),0)</f>
        <v>0</v>
      </c>
      <c r="K4066" s="6">
        <v>-0.25</v>
      </c>
      <c r="L4066" s="6">
        <f ca="1">IFERROR(__xludf.DUMMYFUNCTION("IFERROR(GOOGLEFINANCE(B4066,""changepct""),K4066)"),-0.25)</f>
        <v>-0.25</v>
      </c>
      <c r="M4066" s="6">
        <f ca="1">IFERROR(__xludf.DUMMYFUNCTION("IFERROR(GOOGLEFINANCE(B4066,""change""),0)"),0)</f>
        <v>0</v>
      </c>
      <c r="N4066" s="6">
        <v>1</v>
      </c>
      <c r="O4066" s="7">
        <v>45536</v>
      </c>
      <c r="P4066" s="9"/>
      <c r="Q4066" s="6">
        <v>178.06</v>
      </c>
      <c r="R4066" s="7">
        <v>45536</v>
      </c>
      <c r="S4066" s="6">
        <v>76.11</v>
      </c>
      <c r="T4066" s="6">
        <v>14.14</v>
      </c>
      <c r="U4066" s="7">
        <v>45536</v>
      </c>
      <c r="V4066" s="6">
        <v>12.59</v>
      </c>
      <c r="W4066" s="6">
        <f ca="1">IFERROR(__xludf.DUMMYFUNCTION("IFERROR(GOOGLEFINANCE(B4066,""pe""),V4066)"),12.59)</f>
        <v>12.59</v>
      </c>
      <c r="X4066" s="6">
        <v>-2.2200000000000002</v>
      </c>
      <c r="Y4066" s="6">
        <v>0.83</v>
      </c>
      <c r="Z4066" s="6">
        <v>1</v>
      </c>
      <c r="AA4066" s="8">
        <v>45352</v>
      </c>
      <c r="AB4066" s="4">
        <v>0</v>
      </c>
      <c r="AC4066" s="6">
        <v>4.5199999999999996</v>
      </c>
      <c r="AD4066" s="6">
        <v>6.74</v>
      </c>
      <c r="AE4066" s="1">
        <v>0</v>
      </c>
      <c r="AF4066" s="1">
        <f ca="1">IFERROR(__xludf.DUMMYFUNCTION("IFERROR(GOOGLEFINANCE(TRIM(F4066)&amp;"":"" &amp; TRIM(B4066),""high52""),AE4066)"),0)</f>
        <v>0</v>
      </c>
      <c r="AG4066" s="1">
        <v>0</v>
      </c>
      <c r="AH4066" s="1">
        <f ca="1">IFERROR(__xludf.DUMMYFUNCTION("IFERROR(GOOGLEFINANCE(TRIM(F4066)&amp;"":"" &amp; TRIM(B4066),""low52""),AE4066)"),0)</f>
        <v>0</v>
      </c>
      <c r="AI4066" s="1">
        <f ca="1">IFERROR(__xludf.DUMMYFUNCTION("IFERROR(GOOGLEFINANCE(B4066,""eps""),0)"),0)</f>
        <v>0</v>
      </c>
      <c r="AJ4066" s="1"/>
      <c r="AK4066" s="9"/>
      <c r="AL4066" s="9">
        <f t="shared" si="377"/>
        <v>1</v>
      </c>
    </row>
    <row r="4067" spans="1:38" ht="15" x14ac:dyDescent="0.25">
      <c r="A4067" s="1" t="s">
        <v>12360</v>
      </c>
      <c r="B4067" s="1" t="s">
        <v>12361</v>
      </c>
      <c r="C4067" s="1" t="s">
        <v>386</v>
      </c>
      <c r="D4067" s="1" t="s">
        <v>386</v>
      </c>
      <c r="E4067" s="6">
        <v>17769.11</v>
      </c>
      <c r="F4067" s="1" t="s">
        <v>40</v>
      </c>
      <c r="G4067" s="6">
        <f ca="1">IFERROR(__xludf.DUMMYFUNCTION("iferror(GOOGLEFINANCE(TRIM(F4067)&amp;"":"" &amp; TRIM(B4067), ""price""),0
)"),1002)</f>
        <v>1002</v>
      </c>
      <c r="H4067" s="6">
        <v>1375.3</v>
      </c>
      <c r="I4067" s="6">
        <f t="shared" ca="1" si="0"/>
        <v>1002</v>
      </c>
      <c r="J4067" s="6">
        <f ca="1">IFERROR(__xludf.DUMMYFUNCTION("IFERROR(GOOGLEFINANCE(B4067, ""volume""), 0)"),89624)</f>
        <v>89624</v>
      </c>
      <c r="K4067" s="6">
        <v>-1.22</v>
      </c>
      <c r="L4067" s="6">
        <f ca="1">IFERROR(__xludf.DUMMYFUNCTION("IFERROR(GOOGLEFINANCE(B4067,""changepct""),K4067)"),1.57)</f>
        <v>1.57</v>
      </c>
      <c r="M4067" s="6">
        <f ca="1">IFERROR(__xludf.DUMMYFUNCTION("IFERROR(GOOGLEFINANCE(B4067,""change""),0)"),15.45)</f>
        <v>15.45</v>
      </c>
      <c r="N4067" s="6">
        <v>2</v>
      </c>
      <c r="O4067" s="7">
        <v>45536</v>
      </c>
      <c r="P4067" s="6">
        <v>922.19</v>
      </c>
      <c r="Q4067" s="7">
        <v>45536</v>
      </c>
      <c r="R4067" s="6">
        <v>21.11</v>
      </c>
      <c r="S4067" s="12"/>
      <c r="T4067" s="6">
        <v>4.09</v>
      </c>
      <c r="U4067" s="6">
        <v>2</v>
      </c>
      <c r="V4067" s="7">
        <v>45352</v>
      </c>
      <c r="W4067" s="6">
        <f ca="1">IFERROR(__xludf.DUMMYFUNCTION("IFERROR(GOOGLEFINANCE(B4067,""pe""),V4067)"),23.09)</f>
        <v>23.09</v>
      </c>
      <c r="X4067" s="6">
        <v>0</v>
      </c>
      <c r="Y4067" s="6">
        <v>19.79</v>
      </c>
      <c r="Z4067" s="6">
        <v>24.18</v>
      </c>
      <c r="AA4067" s="3" t="s">
        <v>12362</v>
      </c>
      <c r="AB4067" s="11"/>
      <c r="AC4067" s="9"/>
      <c r="AD4067" s="9"/>
      <c r="AE4067" s="1">
        <v>0</v>
      </c>
      <c r="AF4067" s="1">
        <f ca="1">IFERROR(__xludf.DUMMYFUNCTION("IFERROR(GOOGLEFINANCE(TRIM(F4067)&amp;"":"" &amp; TRIM(B4067),""high52""),AE4067)"),1494.8)</f>
        <v>1494.8</v>
      </c>
      <c r="AG4067" s="1">
        <v>0</v>
      </c>
      <c r="AH4067" s="1">
        <f ca="1">IFERROR(__xludf.DUMMYFUNCTION("IFERROR(GOOGLEFINANCE(TRIM(F4067)&amp;"":"" &amp; TRIM(B4067),""low52""),AE4067)"),905)</f>
        <v>905</v>
      </c>
      <c r="AI4067" s="1">
        <f ca="1">IFERROR(__xludf.DUMMYFUNCTION("IFERROR(GOOGLEFINANCE(B4067,""eps""),0)"),43.39)</f>
        <v>43.39</v>
      </c>
      <c r="AJ4067" s="1"/>
      <c r="AK4067" s="1" t="s">
        <v>12363</v>
      </c>
      <c r="AL4067" s="9">
        <f t="shared" si="377"/>
        <v>1</v>
      </c>
    </row>
    <row r="4068" spans="1:38" ht="15" x14ac:dyDescent="0.25">
      <c r="A4068" s="1" t="s">
        <v>12364</v>
      </c>
      <c r="B4068" s="1" t="s">
        <v>12365</v>
      </c>
      <c r="C4068" s="1" t="s">
        <v>1400</v>
      </c>
      <c r="D4068" s="1" t="s">
        <v>1400</v>
      </c>
      <c r="E4068" s="6">
        <v>30.84</v>
      </c>
      <c r="F4068" s="1" t="s">
        <v>53</v>
      </c>
      <c r="G4068" s="6">
        <f ca="1">IFERROR(__xludf.DUMMYFUNCTION("iferror(GOOGLEFINANCE(TRIM(F4068)&amp;"":"" &amp; TRIM(B4068), ""price""),0
)"),0)</f>
        <v>0</v>
      </c>
      <c r="H4068" s="6">
        <v>78.790000000000006</v>
      </c>
      <c r="I4068" s="6">
        <f t="shared" ca="1" si="0"/>
        <v>78.790000000000006</v>
      </c>
      <c r="J4068" s="6">
        <f ca="1">IFERROR(__xludf.DUMMYFUNCTION("IFERROR(GOOGLEFINANCE(B4068, ""volume""), 0)"),0)</f>
        <v>0</v>
      </c>
      <c r="K4068" s="6">
        <v>0.75</v>
      </c>
      <c r="L4068" s="6">
        <f ca="1">IFERROR(__xludf.DUMMYFUNCTION("IFERROR(GOOGLEFINANCE(B4068,""changepct""),K4068)"),0.75)</f>
        <v>0.75</v>
      </c>
      <c r="M4068" s="6">
        <f ca="1">IFERROR(__xludf.DUMMYFUNCTION("IFERROR(GOOGLEFINANCE(B4068,""change""),0)"),0)</f>
        <v>0</v>
      </c>
      <c r="N4068" s="6">
        <v>1</v>
      </c>
      <c r="O4068" s="7">
        <v>45536</v>
      </c>
      <c r="P4068" s="9"/>
      <c r="Q4068" s="6">
        <v>5.83</v>
      </c>
      <c r="R4068" s="7">
        <v>45536</v>
      </c>
      <c r="S4068" s="6">
        <v>41.7</v>
      </c>
      <c r="T4068" s="6">
        <v>1.92</v>
      </c>
      <c r="U4068" s="7">
        <v>45536</v>
      </c>
      <c r="V4068" s="6">
        <v>16.079999999999998</v>
      </c>
      <c r="W4068" s="6">
        <f ca="1">IFERROR(__xludf.DUMMYFUNCTION("IFERROR(GOOGLEFINANCE(B4068,""pe""),V4068)"),16.08)</f>
        <v>16.079999999999998</v>
      </c>
      <c r="X4068" s="6">
        <v>-1.67</v>
      </c>
      <c r="Y4068" s="6">
        <v>0.55000000000000004</v>
      </c>
      <c r="Z4068" s="6">
        <v>1</v>
      </c>
      <c r="AA4068" s="8">
        <v>45352</v>
      </c>
      <c r="AB4068" s="4">
        <v>0</v>
      </c>
      <c r="AC4068" s="6">
        <v>2.41</v>
      </c>
      <c r="AD4068" s="6">
        <v>3.27</v>
      </c>
      <c r="AE4068" s="1">
        <v>0</v>
      </c>
      <c r="AF4068" s="1">
        <f ca="1">IFERROR(__xludf.DUMMYFUNCTION("IFERROR(GOOGLEFINANCE(TRIM(F4068)&amp;"":"" &amp; TRIM(B4068),""high52""),AE4068)"),0)</f>
        <v>0</v>
      </c>
      <c r="AG4068" s="1">
        <v>0</v>
      </c>
      <c r="AH4068" s="1">
        <f ca="1">IFERROR(__xludf.DUMMYFUNCTION("IFERROR(GOOGLEFINANCE(TRIM(F4068)&amp;"":"" &amp; TRIM(B4068),""low52""),AE4068)"),0)</f>
        <v>0</v>
      </c>
      <c r="AI4068" s="1">
        <f ca="1">IFERROR(__xludf.DUMMYFUNCTION("IFERROR(GOOGLEFINANCE(B4068,""eps""),0)"),0)</f>
        <v>0</v>
      </c>
      <c r="AJ4068" s="1"/>
      <c r="AK4068" s="1" t="s">
        <v>12366</v>
      </c>
      <c r="AL4068" s="9">
        <f t="shared" si="377"/>
        <v>1</v>
      </c>
    </row>
    <row r="4069" spans="1:38" ht="15" x14ac:dyDescent="0.25">
      <c r="A4069" s="1" t="s">
        <v>12367</v>
      </c>
      <c r="B4069" s="1" t="s">
        <v>12368</v>
      </c>
      <c r="C4069" s="1" t="s">
        <v>1067</v>
      </c>
      <c r="D4069" s="1" t="s">
        <v>1067</v>
      </c>
      <c r="E4069" s="6">
        <v>3734.38</v>
      </c>
      <c r="F4069" s="1" t="s">
        <v>40</v>
      </c>
      <c r="G4069" s="6">
        <f ca="1">IFERROR(__xludf.DUMMYFUNCTION("iferror(GOOGLEFINANCE(TRIM(F4069)&amp;"":"" &amp; TRIM(B4069), ""price""),0
)"),13.64)</f>
        <v>13.64</v>
      </c>
      <c r="H4069" s="6">
        <v>34.06</v>
      </c>
      <c r="I4069" s="6">
        <f t="shared" ca="1" si="0"/>
        <v>13.64</v>
      </c>
      <c r="J4069" s="6">
        <f ca="1">IFERROR(__xludf.DUMMYFUNCTION("IFERROR(GOOGLEFINANCE(B4069, ""volume""), 0)"),7677333)</f>
        <v>7677333</v>
      </c>
      <c r="K4069" s="6">
        <v>0.32</v>
      </c>
      <c r="L4069" s="6">
        <f ca="1">IFERROR(__xludf.DUMMYFUNCTION("IFERROR(GOOGLEFINANCE(B4069,""changepct""),K4069)"),-0.15)</f>
        <v>-0.15</v>
      </c>
      <c r="M4069" s="6">
        <f ca="1">IFERROR(__xludf.DUMMYFUNCTION("IFERROR(GOOGLEFINANCE(B4069,""change""),0)"),-0.02)</f>
        <v>-0.02</v>
      </c>
      <c r="N4069" s="6">
        <v>1</v>
      </c>
      <c r="O4069" s="7">
        <v>45536</v>
      </c>
      <c r="P4069" s="6">
        <v>3654.47</v>
      </c>
      <c r="Q4069" s="6">
        <v>464.5</v>
      </c>
      <c r="R4069" s="7">
        <v>45536</v>
      </c>
      <c r="S4069" s="6">
        <v>8.0399999999999991</v>
      </c>
      <c r="T4069" s="12"/>
      <c r="U4069" s="6">
        <v>1.19</v>
      </c>
      <c r="V4069" s="6">
        <v>1</v>
      </c>
      <c r="W4069" s="6">
        <f ca="1">IFERROR(__xludf.DUMMYFUNCTION("IFERROR(GOOGLEFINANCE(B4069,""pe""),V4069)"),1)</f>
        <v>1</v>
      </c>
      <c r="X4069" s="7">
        <v>45352</v>
      </c>
      <c r="Y4069" s="6">
        <v>20.170000000000002</v>
      </c>
      <c r="Z4069" s="6">
        <v>1</v>
      </c>
      <c r="AA4069" s="8">
        <v>45352</v>
      </c>
      <c r="AB4069" s="4">
        <v>0.03</v>
      </c>
      <c r="AC4069" s="6">
        <v>8.17</v>
      </c>
      <c r="AD4069" s="6">
        <v>19.420000000000002</v>
      </c>
      <c r="AE4069" s="1">
        <v>0</v>
      </c>
      <c r="AF4069" s="1">
        <f ca="1">IFERROR(__xludf.DUMMYFUNCTION("IFERROR(GOOGLEFINANCE(TRIM(F4069)&amp;"":"" &amp; TRIM(B4069),""high52""),AE4069)"),27.89)</f>
        <v>27.89</v>
      </c>
      <c r="AG4069" s="1">
        <v>0</v>
      </c>
      <c r="AH4069" s="1">
        <f ca="1">IFERROR(__xludf.DUMMYFUNCTION("IFERROR(GOOGLEFINANCE(TRIM(F4069)&amp;"":"" &amp; TRIM(B4069),""low52""),AE4069)"),13.17)</f>
        <v>13.17</v>
      </c>
      <c r="AI4069" s="1">
        <f ca="1">IFERROR(__xludf.DUMMYFUNCTION("IFERROR(GOOGLEFINANCE(B4069,""eps""),0)"),-5.8)</f>
        <v>-5.8</v>
      </c>
      <c r="AJ4069" s="1"/>
      <c r="AK4069" s="1" t="s">
        <v>12369</v>
      </c>
      <c r="AL4069" s="1" t="b">
        <f>ISNUMBER(AA4069)</f>
        <v>1</v>
      </c>
    </row>
    <row r="4070" spans="1:38" ht="15" x14ac:dyDescent="0.25">
      <c r="A4070" s="1" t="s">
        <v>12370</v>
      </c>
      <c r="B4070" s="1" t="s">
        <v>12371</v>
      </c>
      <c r="C4070" s="1" t="s">
        <v>2432</v>
      </c>
      <c r="D4070" s="1" t="s">
        <v>2432</v>
      </c>
      <c r="E4070" s="6">
        <v>693.1</v>
      </c>
      <c r="F4070" s="1" t="s">
        <v>40</v>
      </c>
      <c r="G4070" s="6">
        <f ca="1">IFERROR(__xludf.DUMMYFUNCTION("iferror(GOOGLEFINANCE(TRIM(F4070)&amp;"":"" &amp; TRIM(B4070), ""price""),0
)"),0)</f>
        <v>0</v>
      </c>
      <c r="H4070" s="6">
        <v>285.2</v>
      </c>
      <c r="I4070" s="6">
        <f t="shared" ca="1" si="0"/>
        <v>285.2</v>
      </c>
      <c r="J4070" s="6">
        <f ca="1">IFERROR(__xludf.DUMMYFUNCTION("IFERROR(GOOGLEFINANCE(B4070, ""volume""), 0)"),0)</f>
        <v>0</v>
      </c>
      <c r="K4070" s="6">
        <v>-1.99</v>
      </c>
      <c r="L4070" s="6">
        <f ca="1">IFERROR(__xludf.DUMMYFUNCTION("IFERROR(GOOGLEFINANCE(B4070,""changepct""),K4070)"),-1.99)</f>
        <v>-1.99</v>
      </c>
      <c r="M4070" s="6">
        <f ca="1">IFERROR(__xludf.DUMMYFUNCTION("IFERROR(GOOGLEFINANCE(B4070,""change""),0)"),0)</f>
        <v>0</v>
      </c>
      <c r="N4070" s="6">
        <v>1</v>
      </c>
      <c r="O4070" s="7">
        <v>45536</v>
      </c>
      <c r="P4070" s="6">
        <v>37.65</v>
      </c>
      <c r="Q4070" s="6">
        <v>730.76</v>
      </c>
      <c r="R4070" s="7">
        <v>45352</v>
      </c>
      <c r="S4070" s="6">
        <v>340.2</v>
      </c>
      <c r="T4070" s="6">
        <v>12.85</v>
      </c>
      <c r="U4070" s="7">
        <v>45352</v>
      </c>
      <c r="V4070" s="6">
        <v>53.94</v>
      </c>
      <c r="W4070" s="6">
        <f ca="1">IFERROR(__xludf.DUMMYFUNCTION("IFERROR(GOOGLEFINANCE(B4070,""pe""),V4070)"),53.94)</f>
        <v>53.94</v>
      </c>
      <c r="X4070" s="9"/>
      <c r="Y4070" s="6">
        <v>6.27</v>
      </c>
      <c r="Z4070" s="6">
        <v>1</v>
      </c>
      <c r="AA4070" s="8">
        <v>45352</v>
      </c>
      <c r="AB4070" s="4">
        <v>2.0699999999999998</v>
      </c>
      <c r="AC4070" s="6">
        <v>44.62</v>
      </c>
      <c r="AD4070" s="6">
        <v>24.77</v>
      </c>
      <c r="AE4070" s="1">
        <v>0</v>
      </c>
      <c r="AF4070" s="1">
        <f ca="1">IFERROR(__xludf.DUMMYFUNCTION("IFERROR(GOOGLEFINANCE(TRIM(F4070)&amp;"":"" &amp; TRIM(B4070),""high52""),AE4070)"),0)</f>
        <v>0</v>
      </c>
      <c r="AG4070" s="1">
        <v>0</v>
      </c>
      <c r="AH4070" s="1">
        <f ca="1">IFERROR(__xludf.DUMMYFUNCTION("IFERROR(GOOGLEFINANCE(TRIM(F4070)&amp;"":"" &amp; TRIM(B4070),""low52""),AE4070)"),0)</f>
        <v>0</v>
      </c>
      <c r="AI4070" s="1">
        <f ca="1">IFERROR(__xludf.DUMMYFUNCTION("IFERROR(GOOGLEFINANCE(B4070,""eps""),0)"),0)</f>
        <v>0</v>
      </c>
      <c r="AJ4070" s="1"/>
      <c r="AK4070" s="1" t="s">
        <v>12372</v>
      </c>
      <c r="AL4070" s="9">
        <f t="shared" ref="AL4070:AL4079" si="378">IF(AA4070&lt;&gt;AB4070,1,0)</f>
        <v>1</v>
      </c>
    </row>
    <row r="4071" spans="1:38" ht="15" x14ac:dyDescent="0.25">
      <c r="A4071" s="1" t="s">
        <v>12373</v>
      </c>
      <c r="B4071" s="1" t="s">
        <v>12374</v>
      </c>
      <c r="C4071" s="1" t="s">
        <v>706</v>
      </c>
      <c r="D4071" s="1" t="s">
        <v>706</v>
      </c>
      <c r="E4071" s="6">
        <v>35.01</v>
      </c>
      <c r="F4071" s="1" t="s">
        <v>53</v>
      </c>
      <c r="G4071" s="6">
        <f ca="1">IFERROR(__xludf.DUMMYFUNCTION("iferror(GOOGLEFINANCE(TRIM(F4071)&amp;"":"" &amp; TRIM(B4071), ""price""),0
)"),0)</f>
        <v>0</v>
      </c>
      <c r="H4071" s="6">
        <v>20.9</v>
      </c>
      <c r="I4071" s="6">
        <f t="shared" ca="1" si="0"/>
        <v>20.9</v>
      </c>
      <c r="J4071" s="6">
        <f ca="1">IFERROR(__xludf.DUMMYFUNCTION("IFERROR(GOOGLEFINANCE(B4071, ""volume""), 0)"),0)</f>
        <v>0</v>
      </c>
      <c r="K4071" s="9"/>
      <c r="L4071" s="6" t="str">
        <f ca="1">IFERROR(__xludf.DUMMYFUNCTION("IFERROR(GOOGLEFINANCE(B4071,""changepct""),K4071)"),"")</f>
        <v/>
      </c>
      <c r="M4071" s="6">
        <f ca="1">IFERROR(__xludf.DUMMYFUNCTION("IFERROR(GOOGLEFINANCE(B4071,""change""),0)"),0)</f>
        <v>0</v>
      </c>
      <c r="N4071" s="6">
        <v>1</v>
      </c>
      <c r="O4071" s="7">
        <v>45536</v>
      </c>
      <c r="P4071" s="6">
        <v>9.35</v>
      </c>
      <c r="Q4071" s="6">
        <v>44.36</v>
      </c>
      <c r="R4071" s="7">
        <v>45352</v>
      </c>
      <c r="S4071" s="6">
        <v>91.76</v>
      </c>
      <c r="T4071" s="6">
        <v>0.17</v>
      </c>
      <c r="U4071" s="7">
        <v>45352</v>
      </c>
      <c r="V4071" s="6">
        <v>208.38</v>
      </c>
      <c r="W4071" s="6">
        <f ca="1">IFERROR(__xludf.DUMMYFUNCTION("IFERROR(GOOGLEFINANCE(B4071,""pe""),V4071)"),208.38)</f>
        <v>208.38</v>
      </c>
      <c r="X4071" s="6">
        <v>15.67</v>
      </c>
      <c r="Y4071" s="6">
        <v>1.84</v>
      </c>
      <c r="Z4071" s="6">
        <v>1</v>
      </c>
      <c r="AA4071" s="8">
        <v>45352</v>
      </c>
      <c r="AB4071" s="4">
        <v>0.51</v>
      </c>
      <c r="AC4071" s="6">
        <v>0.89</v>
      </c>
      <c r="AD4071" s="6">
        <v>4.32</v>
      </c>
      <c r="AE4071" s="1">
        <v>0</v>
      </c>
      <c r="AF4071" s="1">
        <f ca="1">IFERROR(__xludf.DUMMYFUNCTION("IFERROR(GOOGLEFINANCE(TRIM(F4071)&amp;"":"" &amp; TRIM(B4071),""high52""),AE4071)"),0)</f>
        <v>0</v>
      </c>
      <c r="AG4071" s="1">
        <v>0</v>
      </c>
      <c r="AH4071" s="1">
        <f ca="1">IFERROR(__xludf.DUMMYFUNCTION("IFERROR(GOOGLEFINANCE(TRIM(F4071)&amp;"":"" &amp; TRIM(B4071),""low52""),AE4071)"),0)</f>
        <v>0</v>
      </c>
      <c r="AI4071" s="1">
        <f ca="1">IFERROR(__xludf.DUMMYFUNCTION("IFERROR(GOOGLEFINANCE(B4071,""eps""),0)"),0)</f>
        <v>0</v>
      </c>
      <c r="AJ4071" s="1"/>
      <c r="AK4071" s="1" t="s">
        <v>12375</v>
      </c>
      <c r="AL4071" s="9">
        <f t="shared" si="378"/>
        <v>1</v>
      </c>
    </row>
    <row r="4072" spans="1:38" ht="15" x14ac:dyDescent="0.25">
      <c r="A4072" s="1" t="s">
        <v>12376</v>
      </c>
      <c r="B4072" s="1" t="s">
        <v>12377</v>
      </c>
      <c r="C4072" s="1" t="s">
        <v>1118</v>
      </c>
      <c r="D4072" s="1" t="s">
        <v>1118</v>
      </c>
      <c r="E4072" s="6">
        <v>1005.13</v>
      </c>
      <c r="F4072" s="1" t="s">
        <v>40</v>
      </c>
      <c r="G4072" s="6">
        <f ca="1">IFERROR(__xludf.DUMMYFUNCTION("iferror(GOOGLEFINANCE(TRIM(F4072)&amp;"":"" &amp; TRIM(B4072), ""price""),0
)"),213)</f>
        <v>213</v>
      </c>
      <c r="H4072" s="6">
        <v>263.95</v>
      </c>
      <c r="I4072" s="6">
        <f t="shared" ca="1" si="0"/>
        <v>213</v>
      </c>
      <c r="J4072" s="6">
        <f ca="1">IFERROR(__xludf.DUMMYFUNCTION("IFERROR(GOOGLEFINANCE(B4072, ""volume""), 0)"),44942)</f>
        <v>44942</v>
      </c>
      <c r="K4072" s="6">
        <v>0.59</v>
      </c>
      <c r="L4072" s="6">
        <f ca="1">IFERROR(__xludf.DUMMYFUNCTION("IFERROR(GOOGLEFINANCE(B4072,""changepct""),K4072)"),0.34)</f>
        <v>0.34</v>
      </c>
      <c r="M4072" s="6">
        <f ca="1">IFERROR(__xludf.DUMMYFUNCTION("IFERROR(GOOGLEFINANCE(B4072,""change""),0)"),0.72)</f>
        <v>0.72</v>
      </c>
      <c r="N4072" s="6">
        <v>1</v>
      </c>
      <c r="O4072" s="7">
        <v>45536</v>
      </c>
      <c r="P4072" s="6">
        <v>282.18</v>
      </c>
      <c r="Q4072" s="6">
        <v>1281.8499999999999</v>
      </c>
      <c r="R4072" s="7">
        <v>45536</v>
      </c>
      <c r="S4072" s="6">
        <v>1822.44</v>
      </c>
      <c r="T4072" s="6">
        <v>76.41</v>
      </c>
      <c r="U4072" s="7">
        <v>45536</v>
      </c>
      <c r="V4072" s="6">
        <v>13.15</v>
      </c>
      <c r="W4072" s="6">
        <f ca="1">IFERROR(__xludf.DUMMYFUNCTION("IFERROR(GOOGLEFINANCE(B4072,""pe""),V4072)"),7.22)</f>
        <v>7.22</v>
      </c>
      <c r="X4072" s="6">
        <v>0.74</v>
      </c>
      <c r="Y4072" s="6">
        <v>1.49</v>
      </c>
      <c r="Z4072" s="6">
        <v>1</v>
      </c>
      <c r="AA4072" s="8">
        <v>45352</v>
      </c>
      <c r="AB4072" s="4">
        <v>1.0900000000000001</v>
      </c>
      <c r="AC4072" s="6">
        <v>20.78</v>
      </c>
      <c r="AD4072" s="6">
        <v>17.86</v>
      </c>
      <c r="AE4072" s="1">
        <v>0</v>
      </c>
      <c r="AF4072" s="1">
        <f ca="1">IFERROR(__xludf.DUMMYFUNCTION("IFERROR(GOOGLEFINANCE(TRIM(F4072)&amp;"":"" &amp; TRIM(B4072),""high52""),AE4072)"),330.45)</f>
        <v>330.45</v>
      </c>
      <c r="AG4072" s="1">
        <v>0</v>
      </c>
      <c r="AH4072" s="1">
        <f ca="1">IFERROR(__xludf.DUMMYFUNCTION("IFERROR(GOOGLEFINANCE(TRIM(F4072)&amp;"":"" &amp; TRIM(B4072),""low52""),AE4072)"),171.51)</f>
        <v>171.51</v>
      </c>
      <c r="AI4072" s="1">
        <f ca="1">IFERROR(__xludf.DUMMYFUNCTION("IFERROR(GOOGLEFINANCE(B4072,""eps""),0)"),29.52)</f>
        <v>29.52</v>
      </c>
      <c r="AJ4072" s="1"/>
      <c r="AK4072" s="1" t="s">
        <v>12378</v>
      </c>
      <c r="AL4072" s="9">
        <f t="shared" si="378"/>
        <v>1</v>
      </c>
    </row>
    <row r="4073" spans="1:38" ht="15" x14ac:dyDescent="0.25">
      <c r="A4073" s="1" t="s">
        <v>12379</v>
      </c>
      <c r="B4073" s="1" t="s">
        <v>12380</v>
      </c>
      <c r="C4073" s="1" t="s">
        <v>208</v>
      </c>
      <c r="D4073" s="1" t="s">
        <v>208</v>
      </c>
      <c r="E4073" s="6">
        <v>473.12</v>
      </c>
      <c r="F4073" s="1" t="s">
        <v>40</v>
      </c>
      <c r="G4073" s="6">
        <f ca="1">IFERROR(__xludf.DUMMYFUNCTION("iferror(GOOGLEFINANCE(TRIM(F4073)&amp;"":"" &amp; TRIM(B4073), ""price""),0
)"),13.41)</f>
        <v>13.41</v>
      </c>
      <c r="H4073" s="6">
        <v>24.89</v>
      </c>
      <c r="I4073" s="6">
        <f t="shared" ca="1" si="0"/>
        <v>13.41</v>
      </c>
      <c r="J4073" s="6">
        <f ca="1">IFERROR(__xludf.DUMMYFUNCTION("IFERROR(GOOGLEFINANCE(B4073, ""volume""), 0)"),324296)</f>
        <v>324296</v>
      </c>
      <c r="K4073" s="6">
        <v>-0.2</v>
      </c>
      <c r="L4073" s="6">
        <f ca="1">IFERROR(__xludf.DUMMYFUNCTION("IFERROR(GOOGLEFINANCE(B4073,""changepct""),K4073)"),4.93)</f>
        <v>4.93</v>
      </c>
      <c r="M4073" s="6">
        <f ca="1">IFERROR(__xludf.DUMMYFUNCTION("IFERROR(GOOGLEFINANCE(B4073,""change""),0)"),0.63)</f>
        <v>0.63</v>
      </c>
      <c r="N4073" s="6">
        <v>1</v>
      </c>
      <c r="O4073" s="7">
        <v>45536</v>
      </c>
      <c r="P4073" s="6">
        <v>17.97</v>
      </c>
      <c r="Q4073" s="7">
        <v>45536</v>
      </c>
      <c r="R4073" s="6">
        <v>26.33</v>
      </c>
      <c r="S4073" s="6">
        <v>0.35</v>
      </c>
      <c r="T4073" s="6">
        <v>1.45</v>
      </c>
      <c r="U4073" s="6">
        <v>1</v>
      </c>
      <c r="V4073" s="7">
        <v>45352</v>
      </c>
      <c r="W4073" s="6">
        <f ca="1">IFERROR(__xludf.DUMMYFUNCTION("IFERROR(GOOGLEFINANCE(B4073,""pe""),V4073)"),14.78)</f>
        <v>14.78</v>
      </c>
      <c r="X4073" s="6">
        <v>0</v>
      </c>
      <c r="Y4073" s="6">
        <v>22.74</v>
      </c>
      <c r="Z4073" s="6">
        <v>29.48</v>
      </c>
      <c r="AA4073" s="3" t="s">
        <v>12381</v>
      </c>
      <c r="AB4073" s="4"/>
      <c r="AC4073" s="12"/>
      <c r="AD4073" s="12"/>
      <c r="AE4073" s="1">
        <v>0</v>
      </c>
      <c r="AF4073" s="1">
        <f ca="1">IFERROR(__xludf.DUMMYFUNCTION("IFERROR(GOOGLEFINANCE(TRIM(F4073)&amp;"":"" &amp; TRIM(B4073),""high52""),AE4073)"),24.51)</f>
        <v>24.51</v>
      </c>
      <c r="AG4073" s="1">
        <v>0</v>
      </c>
      <c r="AH4073" s="1">
        <f ca="1">IFERROR(__xludf.DUMMYFUNCTION("IFERROR(GOOGLEFINANCE(TRIM(F4073)&amp;"":"" &amp; TRIM(B4073),""low52""),AE4073)"),11.16)</f>
        <v>11.16</v>
      </c>
      <c r="AI4073" s="1">
        <f ca="1">IFERROR(__xludf.DUMMYFUNCTION("IFERROR(GOOGLEFINANCE(B4073,""eps""),0)"),0.91)</f>
        <v>0.91</v>
      </c>
      <c r="AJ4073" s="1"/>
      <c r="AK4073" s="1" t="s">
        <v>12382</v>
      </c>
      <c r="AL4073" s="9">
        <f t="shared" si="378"/>
        <v>1</v>
      </c>
    </row>
    <row r="4074" spans="1:38" ht="15" x14ac:dyDescent="0.25">
      <c r="A4074" s="1" t="s">
        <v>12383</v>
      </c>
      <c r="B4074" s="1" t="s">
        <v>12384</v>
      </c>
      <c r="C4074" s="1" t="s">
        <v>706</v>
      </c>
      <c r="D4074" s="1" t="s">
        <v>706</v>
      </c>
      <c r="E4074" s="6">
        <v>7.52</v>
      </c>
      <c r="F4074" s="1" t="s">
        <v>53</v>
      </c>
      <c r="G4074" s="6">
        <f ca="1">IFERROR(__xludf.DUMMYFUNCTION("iferror(GOOGLEFINANCE(TRIM(F4074)&amp;"":"" &amp; TRIM(B4074), ""price""),0
)"),0)</f>
        <v>0</v>
      </c>
      <c r="H4074" s="6">
        <v>21.5</v>
      </c>
      <c r="I4074" s="6">
        <f t="shared" ca="1" si="0"/>
        <v>21.5</v>
      </c>
      <c r="J4074" s="6">
        <f ca="1">IFERROR(__xludf.DUMMYFUNCTION("IFERROR(GOOGLEFINANCE(B4074, ""volume""), 0)"),0)</f>
        <v>0</v>
      </c>
      <c r="K4074" s="9"/>
      <c r="L4074" s="6" t="str">
        <f ca="1">IFERROR(__xludf.DUMMYFUNCTION("IFERROR(GOOGLEFINANCE(B4074,""changepct""),K4074)"),"")</f>
        <v/>
      </c>
      <c r="M4074" s="6">
        <f ca="1">IFERROR(__xludf.DUMMYFUNCTION("IFERROR(GOOGLEFINANCE(B4074,""change""),0)"),0)</f>
        <v>0</v>
      </c>
      <c r="N4074" s="6">
        <v>1</v>
      </c>
      <c r="O4074" s="7">
        <v>45536</v>
      </c>
      <c r="P4074" s="6">
        <v>18.63</v>
      </c>
      <c r="Q4074" s="6">
        <v>26.15</v>
      </c>
      <c r="R4074" s="7">
        <v>45536</v>
      </c>
      <c r="S4074" s="6">
        <v>1.41</v>
      </c>
      <c r="T4074" s="6">
        <v>3.08</v>
      </c>
      <c r="U4074" s="7">
        <v>45536</v>
      </c>
      <c r="V4074" s="6">
        <v>2.4500000000000002</v>
      </c>
      <c r="W4074" s="6">
        <f ca="1">IFERROR(__xludf.DUMMYFUNCTION("IFERROR(GOOGLEFINANCE(B4074,""pe""),V4074)"),2.45)</f>
        <v>2.4500000000000002</v>
      </c>
      <c r="X4074" s="6">
        <v>0.09</v>
      </c>
      <c r="Y4074" s="6">
        <v>-0.41</v>
      </c>
      <c r="Z4074" s="6">
        <v>1</v>
      </c>
      <c r="AA4074" s="8">
        <v>45352</v>
      </c>
      <c r="AB4074" s="4">
        <v>-1.0900000000000001</v>
      </c>
      <c r="AC4074" s="6">
        <v>0</v>
      </c>
      <c r="AD4074" s="6">
        <v>555.01</v>
      </c>
      <c r="AE4074" s="1">
        <v>0</v>
      </c>
      <c r="AF4074" s="1">
        <f ca="1">IFERROR(__xludf.DUMMYFUNCTION("IFERROR(GOOGLEFINANCE(TRIM(F4074)&amp;"":"" &amp; TRIM(B4074),""high52""),AE4074)"),0)</f>
        <v>0</v>
      </c>
      <c r="AG4074" s="1">
        <v>0</v>
      </c>
      <c r="AH4074" s="1">
        <f ca="1">IFERROR(__xludf.DUMMYFUNCTION("IFERROR(GOOGLEFINANCE(TRIM(F4074)&amp;"":"" &amp; TRIM(B4074),""low52""),AE4074)"),0)</f>
        <v>0</v>
      </c>
      <c r="AI4074" s="1">
        <f ca="1">IFERROR(__xludf.DUMMYFUNCTION("IFERROR(GOOGLEFINANCE(B4074,""eps""),0)"),0)</f>
        <v>0</v>
      </c>
      <c r="AJ4074" s="1"/>
      <c r="AK4074" s="1" t="s">
        <v>12385</v>
      </c>
      <c r="AL4074" s="9">
        <f t="shared" si="378"/>
        <v>1</v>
      </c>
    </row>
    <row r="4075" spans="1:38" ht="15" x14ac:dyDescent="0.25">
      <c r="A4075" s="1" t="s">
        <v>12386</v>
      </c>
      <c r="B4075" s="1" t="s">
        <v>12387</v>
      </c>
      <c r="C4075" s="1" t="s">
        <v>706</v>
      </c>
      <c r="D4075" s="1" t="s">
        <v>706</v>
      </c>
      <c r="E4075" s="6">
        <v>14.25</v>
      </c>
      <c r="F4075" s="1" t="s">
        <v>53</v>
      </c>
      <c r="G4075" s="6">
        <f ca="1">IFERROR(__xludf.DUMMYFUNCTION("iferror(GOOGLEFINANCE(TRIM(F4075)&amp;"":"" &amp; TRIM(B4075), ""price""),0
)"),0)</f>
        <v>0</v>
      </c>
      <c r="H4075" s="6">
        <v>28.42</v>
      </c>
      <c r="I4075" s="6">
        <f t="shared" ca="1" si="0"/>
        <v>28.42</v>
      </c>
      <c r="J4075" s="6">
        <f ca="1">IFERROR(__xludf.DUMMYFUNCTION("IFERROR(GOOGLEFINANCE(B4075, ""volume""), 0)"),0)</f>
        <v>0</v>
      </c>
      <c r="K4075" s="6">
        <v>0</v>
      </c>
      <c r="L4075" s="6">
        <f ca="1">IFERROR(__xludf.DUMMYFUNCTION("IFERROR(GOOGLEFINANCE(B4075,""changepct""),K4075)"),0)</f>
        <v>0</v>
      </c>
      <c r="M4075" s="6">
        <f ca="1">IFERROR(__xludf.DUMMYFUNCTION("IFERROR(GOOGLEFINANCE(B4075,""change""),0)"),0)</f>
        <v>0</v>
      </c>
      <c r="N4075" s="6">
        <v>1</v>
      </c>
      <c r="O4075" s="7">
        <v>45536</v>
      </c>
      <c r="P4075" s="9"/>
      <c r="Q4075" s="6">
        <v>14.16</v>
      </c>
      <c r="R4075" s="7">
        <v>45536</v>
      </c>
      <c r="S4075" s="6">
        <v>0</v>
      </c>
      <c r="T4075" s="6">
        <v>0.49</v>
      </c>
      <c r="U4075" s="7">
        <v>45536</v>
      </c>
      <c r="V4075" s="6">
        <v>29.02</v>
      </c>
      <c r="W4075" s="6">
        <f ca="1">IFERROR(__xludf.DUMMYFUNCTION("IFERROR(GOOGLEFINANCE(B4075,""pe""),V4075)"),29.02)</f>
        <v>29.02</v>
      </c>
      <c r="X4075" s="6">
        <v>1.1599999999999999</v>
      </c>
      <c r="Y4075" s="6">
        <v>13.16</v>
      </c>
      <c r="Z4075" s="6">
        <v>1</v>
      </c>
      <c r="AA4075" s="8">
        <v>45352</v>
      </c>
      <c r="AB4075" s="4">
        <v>0</v>
      </c>
      <c r="AC4075" s="6">
        <v>19.260000000000002</v>
      </c>
      <c r="AD4075" s="6">
        <v>25.44</v>
      </c>
      <c r="AE4075" s="1">
        <v>0</v>
      </c>
      <c r="AF4075" s="1">
        <f ca="1">IFERROR(__xludf.DUMMYFUNCTION("IFERROR(GOOGLEFINANCE(TRIM(F4075)&amp;"":"" &amp; TRIM(B4075),""high52""),AE4075)"),0)</f>
        <v>0</v>
      </c>
      <c r="AG4075" s="1">
        <v>0</v>
      </c>
      <c r="AH4075" s="1">
        <f ca="1">IFERROR(__xludf.DUMMYFUNCTION("IFERROR(GOOGLEFINANCE(TRIM(F4075)&amp;"":"" &amp; TRIM(B4075),""low52""),AE4075)"),0)</f>
        <v>0</v>
      </c>
      <c r="AI4075" s="1">
        <f ca="1">IFERROR(__xludf.DUMMYFUNCTION("IFERROR(GOOGLEFINANCE(B4075,""eps""),0)"),0)</f>
        <v>0</v>
      </c>
      <c r="AJ4075" s="1"/>
      <c r="AK4075" s="9"/>
      <c r="AL4075" s="9">
        <f t="shared" si="378"/>
        <v>1</v>
      </c>
    </row>
    <row r="4076" spans="1:38" ht="15" x14ac:dyDescent="0.25">
      <c r="A4076" s="1" t="s">
        <v>12388</v>
      </c>
      <c r="B4076" s="1" t="s">
        <v>12389</v>
      </c>
      <c r="C4076" s="1" t="s">
        <v>706</v>
      </c>
      <c r="D4076" s="1" t="s">
        <v>706</v>
      </c>
      <c r="E4076" s="6">
        <v>54.12</v>
      </c>
      <c r="F4076" s="1" t="s">
        <v>53</v>
      </c>
      <c r="G4076" s="6">
        <f ca="1">IFERROR(__xludf.DUMMYFUNCTION("iferror(GOOGLEFINANCE(TRIM(F4076)&amp;"":"" &amp; TRIM(B4076), ""price""),0
)"),0)</f>
        <v>0</v>
      </c>
      <c r="H4076" s="6">
        <v>31.98</v>
      </c>
      <c r="I4076" s="6">
        <f t="shared" ca="1" si="0"/>
        <v>31.98</v>
      </c>
      <c r="J4076" s="6">
        <f ca="1">IFERROR(__xludf.DUMMYFUNCTION("IFERROR(GOOGLEFINANCE(B4076, ""volume""), 0)"),0)</f>
        <v>0</v>
      </c>
      <c r="K4076" s="6">
        <v>-1.08</v>
      </c>
      <c r="L4076" s="6">
        <f ca="1">IFERROR(__xludf.DUMMYFUNCTION("IFERROR(GOOGLEFINANCE(B4076,""changepct""),K4076)"),-1.08)</f>
        <v>-1.08</v>
      </c>
      <c r="M4076" s="6">
        <f ca="1">IFERROR(__xludf.DUMMYFUNCTION("IFERROR(GOOGLEFINANCE(B4076,""change""),0)"),0)</f>
        <v>0</v>
      </c>
      <c r="N4076" s="6">
        <v>1</v>
      </c>
      <c r="O4076" s="7">
        <v>45536</v>
      </c>
      <c r="P4076" s="6">
        <v>15.24</v>
      </c>
      <c r="Q4076" s="6">
        <v>69.22</v>
      </c>
      <c r="R4076" s="7">
        <v>45536</v>
      </c>
      <c r="S4076" s="6">
        <v>60.34</v>
      </c>
      <c r="T4076" s="6">
        <v>0.33</v>
      </c>
      <c r="U4076" s="7">
        <v>45536</v>
      </c>
      <c r="V4076" s="6">
        <v>165.01</v>
      </c>
      <c r="W4076" s="6">
        <f ca="1">IFERROR(__xludf.DUMMYFUNCTION("IFERROR(GOOGLEFINANCE(B4076,""pe""),V4076)"),165.01)</f>
        <v>165.01</v>
      </c>
      <c r="X4076" s="6">
        <v>10.78</v>
      </c>
      <c r="Y4076" s="6">
        <v>1.1299999999999999</v>
      </c>
      <c r="Z4076" s="6">
        <v>1</v>
      </c>
      <c r="AA4076" s="8">
        <v>45352</v>
      </c>
      <c r="AB4076" s="4">
        <v>0.32</v>
      </c>
      <c r="AC4076" s="6">
        <v>3.87</v>
      </c>
      <c r="AD4076" s="6">
        <v>5.26</v>
      </c>
      <c r="AE4076" s="1">
        <v>0</v>
      </c>
      <c r="AF4076" s="1">
        <f ca="1">IFERROR(__xludf.DUMMYFUNCTION("IFERROR(GOOGLEFINANCE(TRIM(F4076)&amp;"":"" &amp; TRIM(B4076),""high52""),AE4076)"),0)</f>
        <v>0</v>
      </c>
      <c r="AG4076" s="1">
        <v>0</v>
      </c>
      <c r="AH4076" s="1">
        <f ca="1">IFERROR(__xludf.DUMMYFUNCTION("IFERROR(GOOGLEFINANCE(TRIM(F4076)&amp;"":"" &amp; TRIM(B4076),""low52""),AE4076)"),0)</f>
        <v>0</v>
      </c>
      <c r="AI4076" s="1">
        <f ca="1">IFERROR(__xludf.DUMMYFUNCTION("IFERROR(GOOGLEFINANCE(B4076,""eps""),0)"),0)</f>
        <v>0</v>
      </c>
      <c r="AJ4076" s="1"/>
      <c r="AK4076" s="9"/>
      <c r="AL4076" s="9">
        <f t="shared" si="378"/>
        <v>1</v>
      </c>
    </row>
    <row r="4077" spans="1:38" ht="15" x14ac:dyDescent="0.25">
      <c r="A4077" s="1" t="s">
        <v>12390</v>
      </c>
      <c r="B4077" s="1" t="s">
        <v>12391</v>
      </c>
      <c r="C4077" s="1" t="s">
        <v>706</v>
      </c>
      <c r="D4077" s="1" t="s">
        <v>706</v>
      </c>
      <c r="E4077" s="6">
        <v>144.35</v>
      </c>
      <c r="F4077" s="1" t="s">
        <v>53</v>
      </c>
      <c r="G4077" s="6">
        <f ca="1">IFERROR(__xludf.DUMMYFUNCTION("iferror(GOOGLEFINANCE(TRIM(F4077)&amp;"":"" &amp; TRIM(B4077), ""price""),0
)"),0)</f>
        <v>0</v>
      </c>
      <c r="H4077" s="6">
        <v>219.75</v>
      </c>
      <c r="I4077" s="6">
        <f t="shared" ca="1" si="0"/>
        <v>219.75</v>
      </c>
      <c r="J4077" s="6">
        <f ca="1">IFERROR(__xludf.DUMMYFUNCTION("IFERROR(GOOGLEFINANCE(B4077, ""volume""), 0)"),0)</f>
        <v>0</v>
      </c>
      <c r="K4077" s="6">
        <v>2.76</v>
      </c>
      <c r="L4077" s="6">
        <f ca="1">IFERROR(__xludf.DUMMYFUNCTION("IFERROR(GOOGLEFINANCE(B4077,""changepct""),K4077)"),2.76)</f>
        <v>2.76</v>
      </c>
      <c r="M4077" s="6">
        <f ca="1">IFERROR(__xludf.DUMMYFUNCTION("IFERROR(GOOGLEFINANCE(B4077,""change""),0)"),0)</f>
        <v>0</v>
      </c>
      <c r="N4077" s="6">
        <v>2</v>
      </c>
      <c r="O4077" s="7">
        <v>45536</v>
      </c>
      <c r="P4077" s="6">
        <v>49.13</v>
      </c>
      <c r="Q4077" s="6">
        <v>156.21</v>
      </c>
      <c r="R4077" s="7">
        <v>45536</v>
      </c>
      <c r="S4077" s="6">
        <v>247.84</v>
      </c>
      <c r="T4077" s="6">
        <v>13.56</v>
      </c>
      <c r="U4077" s="7">
        <v>45536</v>
      </c>
      <c r="V4077" s="6">
        <v>10.65</v>
      </c>
      <c r="W4077" s="6">
        <f ca="1">IFERROR(__xludf.DUMMYFUNCTION("IFERROR(GOOGLEFINANCE(B4077,""pe""),V4077)"),10.65)</f>
        <v>10.65</v>
      </c>
      <c r="X4077" s="6">
        <v>-0.91</v>
      </c>
      <c r="Y4077" s="6">
        <v>0.76</v>
      </c>
      <c r="Z4077" s="6">
        <v>2</v>
      </c>
      <c r="AA4077" s="8">
        <v>45352</v>
      </c>
      <c r="AB4077" s="4">
        <v>0.34</v>
      </c>
      <c r="AC4077" s="6">
        <v>4.42</v>
      </c>
      <c r="AD4077" s="6">
        <v>8.66</v>
      </c>
      <c r="AE4077" s="1">
        <v>0</v>
      </c>
      <c r="AF4077" s="1">
        <f ca="1">IFERROR(__xludf.DUMMYFUNCTION("IFERROR(GOOGLEFINANCE(TRIM(F4077)&amp;"":"" &amp; TRIM(B4077),""high52""),AE4077)"),0)</f>
        <v>0</v>
      </c>
      <c r="AG4077" s="1">
        <v>0</v>
      </c>
      <c r="AH4077" s="1">
        <f ca="1">IFERROR(__xludf.DUMMYFUNCTION("IFERROR(GOOGLEFINANCE(TRIM(F4077)&amp;"":"" &amp; TRIM(B4077),""low52""),AE4077)"),0)</f>
        <v>0</v>
      </c>
      <c r="AI4077" s="1">
        <f ca="1">IFERROR(__xludf.DUMMYFUNCTION("IFERROR(GOOGLEFINANCE(B4077,""eps""),0)"),0)</f>
        <v>0</v>
      </c>
      <c r="AJ4077" s="1"/>
      <c r="AK4077" s="1" t="s">
        <v>12392</v>
      </c>
      <c r="AL4077" s="9">
        <f t="shared" si="378"/>
        <v>1</v>
      </c>
    </row>
    <row r="4078" spans="1:38" ht="15" x14ac:dyDescent="0.25">
      <c r="A4078" s="1" t="s">
        <v>12393</v>
      </c>
      <c r="B4078" s="1" t="s">
        <v>12394</v>
      </c>
      <c r="C4078" s="1" t="s">
        <v>125</v>
      </c>
      <c r="D4078" s="1" t="s">
        <v>125</v>
      </c>
      <c r="E4078" s="6">
        <v>18692.87</v>
      </c>
      <c r="F4078" s="1" t="s">
        <v>40</v>
      </c>
      <c r="G4078" s="6">
        <f ca="1">IFERROR(__xludf.DUMMYFUNCTION("iferror(GOOGLEFINANCE(TRIM(F4078)&amp;"":"" &amp; TRIM(B4078), ""price""),0
)"),342.5)</f>
        <v>342.5</v>
      </c>
      <c r="H4078" s="6">
        <v>429.1</v>
      </c>
      <c r="I4078" s="6">
        <f t="shared" ca="1" si="0"/>
        <v>342.5</v>
      </c>
      <c r="J4078" s="6">
        <f ca="1">IFERROR(__xludf.DUMMYFUNCTION("IFERROR(GOOGLEFINANCE(B4078, ""volume""), 0)"),444920)</f>
        <v>444920</v>
      </c>
      <c r="K4078" s="6">
        <v>-0.08</v>
      </c>
      <c r="L4078" s="6">
        <f ca="1">IFERROR(__xludf.DUMMYFUNCTION("IFERROR(GOOGLEFINANCE(B4078,""changepct""),K4078)"),-0.65)</f>
        <v>-0.65</v>
      </c>
      <c r="M4078" s="6">
        <f ca="1">IFERROR(__xludf.DUMMYFUNCTION("IFERROR(GOOGLEFINANCE(B4078,""change""),0)"),-2.25)</f>
        <v>-2.25</v>
      </c>
      <c r="N4078" s="6">
        <v>2</v>
      </c>
      <c r="O4078" s="7">
        <v>45536</v>
      </c>
      <c r="P4078" s="6">
        <v>146.91</v>
      </c>
      <c r="Q4078" s="6">
        <v>18769.07</v>
      </c>
      <c r="R4078" s="7">
        <v>45536</v>
      </c>
      <c r="S4078" s="6">
        <v>5279.25</v>
      </c>
      <c r="T4078" s="6">
        <v>296.77</v>
      </c>
      <c r="U4078" s="7">
        <v>45536</v>
      </c>
      <c r="V4078" s="6">
        <v>62.99</v>
      </c>
      <c r="W4078" s="6">
        <f ca="1">IFERROR(__xludf.DUMMYFUNCTION("IFERROR(GOOGLEFINANCE(B4078,""pe""),V4078)"),52.48)</f>
        <v>52.48</v>
      </c>
      <c r="X4078" s="6">
        <v>6.98</v>
      </c>
      <c r="Y4078" s="6">
        <v>9.68</v>
      </c>
      <c r="Z4078" s="6">
        <v>2</v>
      </c>
      <c r="AA4078" s="8">
        <v>45352</v>
      </c>
      <c r="AB4078" s="4">
        <v>0.16</v>
      </c>
      <c r="AC4078" s="6">
        <v>15.4</v>
      </c>
      <c r="AD4078" s="6">
        <v>18.38</v>
      </c>
      <c r="AE4078" s="1">
        <v>0</v>
      </c>
      <c r="AF4078" s="1">
        <f ca="1">IFERROR(__xludf.DUMMYFUNCTION("IFERROR(GOOGLEFINANCE(TRIM(F4078)&amp;"":"" &amp; TRIM(B4078),""high52""),AE4078)"),409.75)</f>
        <v>409.75</v>
      </c>
      <c r="AG4078" s="1">
        <v>0</v>
      </c>
      <c r="AH4078" s="1">
        <f ca="1">IFERROR(__xludf.DUMMYFUNCTION("IFERROR(GOOGLEFINANCE(TRIM(F4078)&amp;"":"" &amp; TRIM(B4078),""low52""),AE4078)"),298)</f>
        <v>298</v>
      </c>
      <c r="AI4078" s="1">
        <f ca="1">IFERROR(__xludf.DUMMYFUNCTION("IFERROR(GOOGLEFINANCE(B4078,""eps""),0)"),6.53)</f>
        <v>6.53</v>
      </c>
      <c r="AJ4078" s="1"/>
      <c r="AK4078" s="1" t="s">
        <v>12395</v>
      </c>
      <c r="AL4078" s="9">
        <f t="shared" si="378"/>
        <v>1</v>
      </c>
    </row>
    <row r="4079" spans="1:38" ht="15" x14ac:dyDescent="0.25">
      <c r="A4079" s="1" t="s">
        <v>12396</v>
      </c>
      <c r="B4079" s="1" t="s">
        <v>12397</v>
      </c>
      <c r="C4079" s="1" t="s">
        <v>706</v>
      </c>
      <c r="D4079" s="1" t="s">
        <v>706</v>
      </c>
      <c r="E4079" s="6">
        <v>113.98</v>
      </c>
      <c r="F4079" s="1" t="s">
        <v>53</v>
      </c>
      <c r="G4079" s="6">
        <f ca="1">IFERROR(__xludf.DUMMYFUNCTION("iferror(GOOGLEFINANCE(TRIM(F4079)&amp;"":"" &amp; TRIM(B4079), ""price""),0
)"),0)</f>
        <v>0</v>
      </c>
      <c r="H4079" s="6">
        <v>53.99</v>
      </c>
      <c r="I4079" s="6">
        <f t="shared" ca="1" si="0"/>
        <v>53.99</v>
      </c>
      <c r="J4079" s="6">
        <f ca="1">IFERROR(__xludf.DUMMYFUNCTION("IFERROR(GOOGLEFINANCE(B4079, ""volume""), 0)"),0)</f>
        <v>0</v>
      </c>
      <c r="K4079" s="6">
        <v>2.37</v>
      </c>
      <c r="L4079" s="6">
        <f ca="1">IFERROR(__xludf.DUMMYFUNCTION("IFERROR(GOOGLEFINANCE(B4079,""changepct""),K4079)"),2.37)</f>
        <v>2.37</v>
      </c>
      <c r="M4079" s="6">
        <f ca="1">IFERROR(__xludf.DUMMYFUNCTION("IFERROR(GOOGLEFINANCE(B4079,""change""),0)"),0)</f>
        <v>0</v>
      </c>
      <c r="N4079" s="6">
        <v>1</v>
      </c>
      <c r="O4079" s="7">
        <v>45536</v>
      </c>
      <c r="P4079" s="6">
        <v>15.72</v>
      </c>
      <c r="Q4079" s="6">
        <v>127.05</v>
      </c>
      <c r="R4079" s="7">
        <v>45536</v>
      </c>
      <c r="S4079" s="6">
        <v>295.79000000000002</v>
      </c>
      <c r="T4079" s="6">
        <v>1</v>
      </c>
      <c r="U4079" s="7">
        <v>45536</v>
      </c>
      <c r="V4079" s="6">
        <v>113.98</v>
      </c>
      <c r="W4079" s="6">
        <f ca="1">IFERROR(__xludf.DUMMYFUNCTION("IFERROR(GOOGLEFINANCE(B4079,""pe""),V4079)"),113.98)</f>
        <v>113.98</v>
      </c>
      <c r="X4079" s="6">
        <v>-10.66</v>
      </c>
      <c r="Y4079" s="6">
        <v>0.67</v>
      </c>
      <c r="Z4079" s="6">
        <v>1</v>
      </c>
      <c r="AA4079" s="8">
        <v>45352</v>
      </c>
      <c r="AB4079" s="4">
        <v>0.17</v>
      </c>
      <c r="AC4079" s="6">
        <v>2.4500000000000002</v>
      </c>
      <c r="AD4079" s="6">
        <v>3.25</v>
      </c>
      <c r="AE4079" s="1">
        <v>0</v>
      </c>
      <c r="AF4079" s="1">
        <f ca="1">IFERROR(__xludf.DUMMYFUNCTION("IFERROR(GOOGLEFINANCE(TRIM(F4079)&amp;"":"" &amp; TRIM(B4079),""high52""),AE4079)"),0)</f>
        <v>0</v>
      </c>
      <c r="AG4079" s="1">
        <v>0</v>
      </c>
      <c r="AH4079" s="1">
        <f ca="1">IFERROR(__xludf.DUMMYFUNCTION("IFERROR(GOOGLEFINANCE(TRIM(F4079)&amp;"":"" &amp; TRIM(B4079),""low52""),AE4079)"),0)</f>
        <v>0</v>
      </c>
      <c r="AI4079" s="1">
        <f ca="1">IFERROR(__xludf.DUMMYFUNCTION("IFERROR(GOOGLEFINANCE(B4079,""eps""),0)"),0)</f>
        <v>0</v>
      </c>
      <c r="AJ4079" s="1"/>
      <c r="AK4079" s="1" t="s">
        <v>12398</v>
      </c>
      <c r="AL4079" s="9">
        <f t="shared" si="378"/>
        <v>1</v>
      </c>
    </row>
    <row r="4080" spans="1:38" ht="15" x14ac:dyDescent="0.25">
      <c r="A4080" s="1" t="s">
        <v>12399</v>
      </c>
      <c r="B4080" s="1" t="s">
        <v>12400</v>
      </c>
      <c r="C4080" s="1" t="s">
        <v>577</v>
      </c>
      <c r="D4080" s="1" t="s">
        <v>577</v>
      </c>
      <c r="E4080" s="6">
        <v>998.32</v>
      </c>
      <c r="F4080" s="1" t="s">
        <v>40</v>
      </c>
      <c r="G4080" s="6">
        <f ca="1">IFERROR(__xludf.DUMMYFUNCTION("iferror(GOOGLEFINANCE(TRIM(F4080)&amp;"":"" &amp; TRIM(B4080), ""price""),0
)"),0)</f>
        <v>0</v>
      </c>
      <c r="H4080" s="6">
        <v>401</v>
      </c>
      <c r="I4080" s="6">
        <f t="shared" ca="1" si="0"/>
        <v>401</v>
      </c>
      <c r="J4080" s="6">
        <f ca="1">IFERROR(__xludf.DUMMYFUNCTION("IFERROR(GOOGLEFINANCE(B4080, ""volume""), 0)"),0)</f>
        <v>0</v>
      </c>
      <c r="K4080" s="6">
        <v>-1.91</v>
      </c>
      <c r="L4080" s="6">
        <f ca="1">IFERROR(__xludf.DUMMYFUNCTION("IFERROR(GOOGLEFINANCE(B4080,""changepct""),K4080)"),-1.91)</f>
        <v>-1.91</v>
      </c>
      <c r="M4080" s="6">
        <f ca="1">IFERROR(__xludf.DUMMYFUNCTION("IFERROR(GOOGLEFINANCE(B4080,""change""),0)"),0)</f>
        <v>0</v>
      </c>
      <c r="N4080" s="6">
        <v>1</v>
      </c>
      <c r="O4080" s="7">
        <v>45536</v>
      </c>
      <c r="P4080" s="6">
        <v>160.77000000000001</v>
      </c>
      <c r="Q4080" s="6">
        <v>1159.0899999999999</v>
      </c>
      <c r="R4080" s="7">
        <v>45352</v>
      </c>
      <c r="S4080" s="6">
        <v>564.73</v>
      </c>
      <c r="T4080" s="6">
        <v>26.85</v>
      </c>
      <c r="U4080" s="7">
        <v>45352</v>
      </c>
      <c r="V4080" s="6">
        <v>37.18</v>
      </c>
      <c r="W4080" s="6">
        <f ca="1">IFERROR(__xludf.DUMMYFUNCTION("IFERROR(GOOGLEFINANCE(B4080,""pe""),V4080)"),37.18)</f>
        <v>37.18</v>
      </c>
      <c r="X4080" s="12"/>
      <c r="Y4080" s="6">
        <v>9.23</v>
      </c>
      <c r="Z4080" s="6">
        <v>1</v>
      </c>
      <c r="AA4080" s="8">
        <v>45352</v>
      </c>
      <c r="AB4080" s="4">
        <v>1.32</v>
      </c>
      <c r="AC4080" s="6">
        <v>28.84</v>
      </c>
      <c r="AD4080" s="6">
        <v>28.87</v>
      </c>
      <c r="AE4080" s="1">
        <v>0</v>
      </c>
      <c r="AF4080" s="1">
        <f ca="1">IFERROR(__xludf.DUMMYFUNCTION("IFERROR(GOOGLEFINANCE(TRIM(F4080)&amp;"":"" &amp; TRIM(B4080),""high52""),AE4080)"),0)</f>
        <v>0</v>
      </c>
      <c r="AG4080" s="1">
        <v>0</v>
      </c>
      <c r="AH4080" s="1">
        <f ca="1">IFERROR(__xludf.DUMMYFUNCTION("IFERROR(GOOGLEFINANCE(TRIM(F4080)&amp;"":"" &amp; TRIM(B4080),""low52""),AE4080)"),0)</f>
        <v>0</v>
      </c>
      <c r="AI4080" s="1">
        <f ca="1">IFERROR(__xludf.DUMMYFUNCTION("IFERROR(GOOGLEFINANCE(B4080,""eps""),0)"),0)</f>
        <v>0</v>
      </c>
      <c r="AJ4080" s="1"/>
      <c r="AK4080" s="1" t="s">
        <v>12401</v>
      </c>
      <c r="AL4080" s="1" t="b">
        <f>ISNUMBER(AA4080)</f>
        <v>1</v>
      </c>
    </row>
    <row r="4081" spans="1:38" ht="15" x14ac:dyDescent="0.25">
      <c r="A4081" s="1" t="s">
        <v>12402</v>
      </c>
      <c r="B4081" s="1" t="s">
        <v>12403</v>
      </c>
      <c r="C4081" s="1" t="s">
        <v>706</v>
      </c>
      <c r="D4081" s="1" t="s">
        <v>706</v>
      </c>
      <c r="E4081" s="6">
        <v>143.19999999999999</v>
      </c>
      <c r="F4081" s="1" t="s">
        <v>53</v>
      </c>
      <c r="G4081" s="6">
        <f ca="1">IFERROR(__xludf.DUMMYFUNCTION("iferror(GOOGLEFINANCE(TRIM(F4081)&amp;"":"" &amp; TRIM(B4081), ""price""),0
)"),0)</f>
        <v>0</v>
      </c>
      <c r="H4081" s="6">
        <v>163.95</v>
      </c>
      <c r="I4081" s="6">
        <f t="shared" ca="1" si="0"/>
        <v>163.95</v>
      </c>
      <c r="J4081" s="6">
        <f ca="1">IFERROR(__xludf.DUMMYFUNCTION("IFERROR(GOOGLEFINANCE(B4081, ""volume""), 0)"),0)</f>
        <v>0</v>
      </c>
      <c r="K4081" s="6">
        <v>3.11</v>
      </c>
      <c r="L4081" s="6">
        <f ca="1">IFERROR(__xludf.DUMMYFUNCTION("IFERROR(GOOGLEFINANCE(B4081,""changepct""),K4081)"),3.11)</f>
        <v>3.11</v>
      </c>
      <c r="M4081" s="6">
        <f ca="1">IFERROR(__xludf.DUMMYFUNCTION("IFERROR(GOOGLEFINANCE(B4081,""change""),0)"),0)</f>
        <v>0</v>
      </c>
      <c r="N4081" s="6">
        <v>1</v>
      </c>
      <c r="O4081" s="7">
        <v>45536</v>
      </c>
      <c r="P4081" s="6">
        <v>5.4</v>
      </c>
      <c r="Q4081" s="6">
        <v>147.96</v>
      </c>
      <c r="R4081" s="7">
        <v>45536</v>
      </c>
      <c r="S4081" s="6">
        <v>68.48</v>
      </c>
      <c r="T4081" s="6">
        <v>-2.11</v>
      </c>
      <c r="U4081" s="7">
        <v>45536</v>
      </c>
      <c r="V4081" s="6">
        <v>0</v>
      </c>
      <c r="W4081" s="6">
        <f ca="1">IFERROR(__xludf.DUMMYFUNCTION("IFERROR(GOOGLEFINANCE(B4081,""pe""),V4081)"),0)</f>
        <v>0</v>
      </c>
      <c r="X4081" s="9"/>
      <c r="Y4081" s="6">
        <v>1.31</v>
      </c>
      <c r="Z4081" s="6">
        <v>1</v>
      </c>
      <c r="AA4081" s="8">
        <v>45352</v>
      </c>
      <c r="AB4081" s="4">
        <v>0.06</v>
      </c>
      <c r="AC4081" s="6">
        <v>-2.33</v>
      </c>
      <c r="AD4081" s="6">
        <v>2.42</v>
      </c>
      <c r="AE4081" s="1">
        <v>0</v>
      </c>
      <c r="AF4081" s="1">
        <f ca="1">IFERROR(__xludf.DUMMYFUNCTION("IFERROR(GOOGLEFINANCE(TRIM(F4081)&amp;"":"" &amp; TRIM(B4081),""high52""),AE4081)"),0)</f>
        <v>0</v>
      </c>
      <c r="AG4081" s="1">
        <v>0</v>
      </c>
      <c r="AH4081" s="1">
        <f ca="1">IFERROR(__xludf.DUMMYFUNCTION("IFERROR(GOOGLEFINANCE(TRIM(F4081)&amp;"":"" &amp; TRIM(B4081),""low52""),AE4081)"),0)</f>
        <v>0</v>
      </c>
      <c r="AI4081" s="1">
        <f ca="1">IFERROR(__xludf.DUMMYFUNCTION("IFERROR(GOOGLEFINANCE(B4081,""eps""),0)"),0)</f>
        <v>0</v>
      </c>
      <c r="AJ4081" s="1"/>
      <c r="AK4081" s="1" t="s">
        <v>12404</v>
      </c>
      <c r="AL4081" s="9">
        <f t="shared" ref="AL4081:AL4082" si="379">IF(AA4081&lt;&gt;AB4081,1,0)</f>
        <v>1</v>
      </c>
    </row>
    <row r="4082" spans="1:38" ht="15" x14ac:dyDescent="0.25">
      <c r="A4082" s="1" t="s">
        <v>12405</v>
      </c>
      <c r="B4082" s="1" t="s">
        <v>12406</v>
      </c>
      <c r="C4082" s="1" t="s">
        <v>359</v>
      </c>
      <c r="D4082" s="1" t="s">
        <v>359</v>
      </c>
      <c r="E4082" s="6">
        <v>7642.84</v>
      </c>
      <c r="F4082" s="1" t="s">
        <v>40</v>
      </c>
      <c r="G4082" s="6">
        <f ca="1">IFERROR(__xludf.DUMMYFUNCTION("iferror(GOOGLEFINANCE(TRIM(F4082)&amp;"":"" &amp; TRIM(B4082), ""price""),0
)"),598)</f>
        <v>598</v>
      </c>
      <c r="H4082" s="6">
        <v>3882.9</v>
      </c>
      <c r="I4082" s="6">
        <f t="shared" ca="1" si="0"/>
        <v>598</v>
      </c>
      <c r="J4082" s="6">
        <f ca="1">IFERROR(__xludf.DUMMYFUNCTION("IFERROR(GOOGLEFINANCE(B4082, ""volume""), 0)"),65299)</f>
        <v>65299</v>
      </c>
      <c r="K4082" s="6">
        <v>0.53</v>
      </c>
      <c r="L4082" s="6">
        <f ca="1">IFERROR(__xludf.DUMMYFUNCTION("IFERROR(GOOGLEFINANCE(B4082,""changepct""),K4082)"),-1.17)</f>
        <v>-1.17</v>
      </c>
      <c r="M4082" s="6">
        <f ca="1">IFERROR(__xludf.DUMMYFUNCTION("IFERROR(GOOGLEFINANCE(B4082,""change""),0)"),-7.1)</f>
        <v>-7.1</v>
      </c>
      <c r="N4082" s="6">
        <v>1</v>
      </c>
      <c r="O4082" s="7">
        <v>45536</v>
      </c>
      <c r="P4082" s="6">
        <v>155.47</v>
      </c>
      <c r="Q4082" s="6">
        <v>7798.31</v>
      </c>
      <c r="R4082" s="7">
        <v>45536</v>
      </c>
      <c r="S4082" s="6">
        <v>3004.7</v>
      </c>
      <c r="T4082" s="6">
        <v>-55.06</v>
      </c>
      <c r="U4082" s="7">
        <v>45536</v>
      </c>
      <c r="V4082" s="6">
        <v>0</v>
      </c>
      <c r="W4082" s="6">
        <f ca="1">IFERROR(__xludf.DUMMYFUNCTION("IFERROR(GOOGLEFINANCE(B4082,""pe""),V4082)"),36.36)</f>
        <v>36.36</v>
      </c>
      <c r="X4082" s="12"/>
      <c r="Y4082" s="6">
        <v>10.8</v>
      </c>
      <c r="Z4082" s="6">
        <v>1</v>
      </c>
      <c r="AA4082" s="8">
        <v>45352</v>
      </c>
      <c r="AB4082" s="4">
        <v>0.15</v>
      </c>
      <c r="AC4082" s="6">
        <v>-12.27</v>
      </c>
      <c r="AD4082" s="6">
        <v>2.13</v>
      </c>
      <c r="AE4082" s="1">
        <v>0</v>
      </c>
      <c r="AF4082" s="1">
        <f ca="1">IFERROR(__xludf.DUMMYFUNCTION("IFERROR(GOOGLEFINANCE(TRIM(F4082)&amp;"":"" &amp; TRIM(B4082),""high52""),AE4082)"),945)</f>
        <v>945</v>
      </c>
      <c r="AG4082" s="1">
        <v>0</v>
      </c>
      <c r="AH4082" s="1">
        <f ca="1">IFERROR(__xludf.DUMMYFUNCTION("IFERROR(GOOGLEFINANCE(TRIM(F4082)&amp;"":"" &amp; TRIM(B4082),""low52""),AE4082)"),550.5)</f>
        <v>550.5</v>
      </c>
      <c r="AI4082" s="1">
        <f ca="1">IFERROR(__xludf.DUMMYFUNCTION("IFERROR(GOOGLEFINANCE(B4082,""eps""),0)"),16.45)</f>
        <v>16.45</v>
      </c>
      <c r="AJ4082" s="1"/>
      <c r="AK4082" s="9"/>
      <c r="AL4082" s="9">
        <f t="shared" si="379"/>
        <v>1</v>
      </c>
    </row>
    <row r="4083" spans="1:38" ht="15" x14ac:dyDescent="0.25">
      <c r="A4083" s="1" t="s">
        <v>12407</v>
      </c>
      <c r="B4083" s="1" t="s">
        <v>12408</v>
      </c>
      <c r="C4083" s="1" t="s">
        <v>3273</v>
      </c>
      <c r="D4083" s="1" t="s">
        <v>3273</v>
      </c>
      <c r="E4083" s="6">
        <v>4488.41</v>
      </c>
      <c r="F4083" s="1" t="s">
        <v>40</v>
      </c>
      <c r="G4083" s="6">
        <f ca="1">IFERROR(__xludf.DUMMYFUNCTION("iferror(GOOGLEFINANCE(TRIM(F4083)&amp;"":"" &amp; TRIM(B4083), ""price""),0
)"),5650)</f>
        <v>5650</v>
      </c>
      <c r="H4083" s="6">
        <v>5151.45</v>
      </c>
      <c r="I4083" s="6">
        <f t="shared" ca="1" si="0"/>
        <v>5650</v>
      </c>
      <c r="J4083" s="6">
        <f ca="1">IFERROR(__xludf.DUMMYFUNCTION("IFERROR(GOOGLEFINANCE(B4083, ""volume""), 0)"),8971)</f>
        <v>8971</v>
      </c>
      <c r="K4083" s="6">
        <v>-0.85</v>
      </c>
      <c r="L4083" s="6">
        <f ca="1">IFERROR(__xludf.DUMMYFUNCTION("IFERROR(GOOGLEFINANCE(B4083,""changepct""),K4083)"),1.11)</f>
        <v>1.1100000000000001</v>
      </c>
      <c r="M4083" s="6">
        <f ca="1">IFERROR(__xludf.DUMMYFUNCTION("IFERROR(GOOGLEFINANCE(B4083,""change""),0)"),62)</f>
        <v>62</v>
      </c>
      <c r="N4083" s="6">
        <v>2</v>
      </c>
      <c r="O4083" s="7">
        <v>45536</v>
      </c>
      <c r="P4083" s="6">
        <v>6.9</v>
      </c>
      <c r="Q4083" s="6">
        <v>4487.75</v>
      </c>
      <c r="R4083" s="7">
        <v>45536</v>
      </c>
      <c r="S4083" s="6">
        <v>917.42</v>
      </c>
      <c r="T4083" s="6">
        <v>120.03</v>
      </c>
      <c r="U4083" s="7">
        <v>45536</v>
      </c>
      <c r="V4083" s="6">
        <v>37.75</v>
      </c>
      <c r="W4083" s="6">
        <f ca="1">IFERROR(__xludf.DUMMYFUNCTION("IFERROR(GOOGLEFINANCE(B4083,""pe""),V4083)"),51.62)</f>
        <v>51.62</v>
      </c>
      <c r="X4083" s="12"/>
      <c r="Y4083" s="6">
        <v>4.5999999999999996</v>
      </c>
      <c r="Z4083" s="6">
        <v>2</v>
      </c>
      <c r="AA4083" s="8">
        <v>45352</v>
      </c>
      <c r="AB4083" s="4">
        <v>0</v>
      </c>
      <c r="AC4083" s="6">
        <v>13.85</v>
      </c>
      <c r="AD4083" s="6">
        <v>18.05</v>
      </c>
      <c r="AE4083" s="1">
        <v>0</v>
      </c>
      <c r="AF4083" s="1">
        <f ca="1">IFERROR(__xludf.DUMMYFUNCTION("IFERROR(GOOGLEFINANCE(TRIM(F4083)&amp;"":"" &amp; TRIM(B4083),""high52""),AE4083)"),6374)</f>
        <v>6374</v>
      </c>
      <c r="AG4083" s="1">
        <v>0</v>
      </c>
      <c r="AH4083" s="1">
        <f ca="1">IFERROR(__xludf.DUMMYFUNCTION("IFERROR(GOOGLEFINANCE(TRIM(F4083)&amp;"":"" &amp; TRIM(B4083),""low52""),AE4083)"),3082)</f>
        <v>3082</v>
      </c>
      <c r="AI4083" s="1">
        <f ca="1">IFERROR(__xludf.DUMMYFUNCTION("IFERROR(GOOGLEFINANCE(B4083,""eps""),0)"),109.46)</f>
        <v>109.46</v>
      </c>
      <c r="AJ4083" s="1"/>
      <c r="AK4083" s="1" t="s">
        <v>12409</v>
      </c>
      <c r="AL4083" s="1" t="b">
        <f>ISNUMBER(AA4083)</f>
        <v>1</v>
      </c>
    </row>
    <row r="4084" spans="1:38" ht="15" x14ac:dyDescent="0.25">
      <c r="A4084" s="1" t="s">
        <v>12410</v>
      </c>
      <c r="B4084" s="1" t="s">
        <v>12411</v>
      </c>
      <c r="C4084" s="1" t="s">
        <v>706</v>
      </c>
      <c r="D4084" s="1" t="s">
        <v>706</v>
      </c>
      <c r="E4084" s="6">
        <v>140.88</v>
      </c>
      <c r="F4084" s="1" t="s">
        <v>53</v>
      </c>
      <c r="G4084" s="6">
        <f ca="1">IFERROR(__xludf.DUMMYFUNCTION("iferror(GOOGLEFINANCE(TRIM(F4084)&amp;"":"" &amp; TRIM(B4084), ""price""),0
)"),0)</f>
        <v>0</v>
      </c>
      <c r="H4084" s="6">
        <v>196.55</v>
      </c>
      <c r="I4084" s="6">
        <f t="shared" ca="1" si="0"/>
        <v>196.55</v>
      </c>
      <c r="J4084" s="6">
        <f ca="1">IFERROR(__xludf.DUMMYFUNCTION("IFERROR(GOOGLEFINANCE(B4084, ""volume""), 0)"),0)</f>
        <v>0</v>
      </c>
      <c r="K4084" s="6">
        <v>-0.03</v>
      </c>
      <c r="L4084" s="6">
        <f ca="1">IFERROR(__xludf.DUMMYFUNCTION("IFERROR(GOOGLEFINANCE(B4084,""changepct""),K4084)"),-0.03)</f>
        <v>-0.03</v>
      </c>
      <c r="M4084" s="6">
        <f ca="1">IFERROR(__xludf.DUMMYFUNCTION("IFERROR(GOOGLEFINANCE(B4084,""change""),0)"),0)</f>
        <v>0</v>
      </c>
      <c r="N4084" s="6">
        <v>1</v>
      </c>
      <c r="O4084" s="7">
        <v>45536</v>
      </c>
      <c r="P4084" s="6">
        <v>42.87</v>
      </c>
      <c r="Q4084" s="6">
        <v>183.03</v>
      </c>
      <c r="R4084" s="7">
        <v>45536</v>
      </c>
      <c r="S4084" s="6">
        <v>495.4</v>
      </c>
      <c r="T4084" s="6">
        <v>-12.53</v>
      </c>
      <c r="U4084" s="7">
        <v>45536</v>
      </c>
      <c r="V4084" s="6">
        <v>0</v>
      </c>
      <c r="W4084" s="6">
        <f ca="1">IFERROR(__xludf.DUMMYFUNCTION("IFERROR(GOOGLEFINANCE(B4084,""pe""),V4084)"),0)</f>
        <v>0</v>
      </c>
      <c r="X4084" s="6">
        <v>0</v>
      </c>
      <c r="Y4084" s="6">
        <v>0.62</v>
      </c>
      <c r="Z4084" s="6">
        <v>1</v>
      </c>
      <c r="AA4084" s="8">
        <v>45352</v>
      </c>
      <c r="AB4084" s="4">
        <v>0.18</v>
      </c>
      <c r="AC4084" s="6">
        <v>0.55000000000000004</v>
      </c>
      <c r="AD4084" s="6">
        <v>2.12</v>
      </c>
      <c r="AE4084" s="1">
        <v>0</v>
      </c>
      <c r="AF4084" s="1">
        <f ca="1">IFERROR(__xludf.DUMMYFUNCTION("IFERROR(GOOGLEFINANCE(TRIM(F4084)&amp;"":"" &amp; TRIM(B4084),""high52""),AE4084)"),0)</f>
        <v>0</v>
      </c>
      <c r="AG4084" s="1">
        <v>0</v>
      </c>
      <c r="AH4084" s="1">
        <f ca="1">IFERROR(__xludf.DUMMYFUNCTION("IFERROR(GOOGLEFINANCE(TRIM(F4084)&amp;"":"" &amp; TRIM(B4084),""low52""),AE4084)"),0)</f>
        <v>0</v>
      </c>
      <c r="AI4084" s="1">
        <f ca="1">IFERROR(__xludf.DUMMYFUNCTION("IFERROR(GOOGLEFINANCE(B4084,""eps""),0)"),0)</f>
        <v>0</v>
      </c>
      <c r="AJ4084" s="1"/>
      <c r="AK4084" s="1" t="s">
        <v>12412</v>
      </c>
      <c r="AL4084" s="9">
        <f t="shared" ref="AL4084:AL4090" si="380">IF(AA4084&lt;&gt;AB4084,1,0)</f>
        <v>1</v>
      </c>
    </row>
    <row r="4085" spans="1:38" ht="15" x14ac:dyDescent="0.25">
      <c r="A4085" s="1" t="s">
        <v>12413</v>
      </c>
      <c r="B4085" s="1" t="s">
        <v>12414</v>
      </c>
      <c r="C4085" s="1" t="s">
        <v>706</v>
      </c>
      <c r="D4085" s="1" t="s">
        <v>706</v>
      </c>
      <c r="E4085" s="6">
        <v>9.2100000000000009</v>
      </c>
      <c r="F4085" s="1" t="s">
        <v>53</v>
      </c>
      <c r="G4085" s="6">
        <f ca="1">IFERROR(__xludf.DUMMYFUNCTION("iferror(GOOGLEFINANCE(TRIM(F4085)&amp;"":"" &amp; TRIM(B4085), ""price""),0
)"),0)</f>
        <v>0</v>
      </c>
      <c r="H4085" s="6">
        <v>10.75</v>
      </c>
      <c r="I4085" s="6">
        <f t="shared" ca="1" si="0"/>
        <v>10.75</v>
      </c>
      <c r="J4085" s="6">
        <f ca="1">IFERROR(__xludf.DUMMYFUNCTION("IFERROR(GOOGLEFINANCE(B4085, ""volume""), 0)"),0)</f>
        <v>0</v>
      </c>
      <c r="K4085" s="6">
        <v>2.09</v>
      </c>
      <c r="L4085" s="6">
        <f ca="1">IFERROR(__xludf.DUMMYFUNCTION("IFERROR(GOOGLEFINANCE(B4085,""changepct""),K4085)"),2.09)</f>
        <v>2.09</v>
      </c>
      <c r="M4085" s="6">
        <f ca="1">IFERROR(__xludf.DUMMYFUNCTION("IFERROR(GOOGLEFINANCE(B4085,""change""),0)"),0)</f>
        <v>0</v>
      </c>
      <c r="N4085" s="6">
        <v>1</v>
      </c>
      <c r="O4085" s="7">
        <v>45536</v>
      </c>
      <c r="P4085" s="6">
        <v>1.29</v>
      </c>
      <c r="Q4085" s="6">
        <v>10.5</v>
      </c>
      <c r="R4085" s="7">
        <v>45536</v>
      </c>
      <c r="S4085" s="6">
        <v>24.22</v>
      </c>
      <c r="T4085" s="6">
        <v>-3.58</v>
      </c>
      <c r="U4085" s="7">
        <v>45536</v>
      </c>
      <c r="V4085" s="6">
        <v>0</v>
      </c>
      <c r="W4085" s="6">
        <f ca="1">IFERROR(__xludf.DUMMYFUNCTION("IFERROR(GOOGLEFINANCE(B4085,""pe""),V4085)"),0)</f>
        <v>0</v>
      </c>
      <c r="X4085" s="9"/>
      <c r="Y4085" s="6">
        <v>-3.34</v>
      </c>
      <c r="Z4085" s="6">
        <v>1</v>
      </c>
      <c r="AA4085" s="8">
        <v>45352</v>
      </c>
      <c r="AB4085" s="4">
        <v>-0.35</v>
      </c>
      <c r="AC4085" s="6">
        <v>0</v>
      </c>
      <c r="AD4085" s="6">
        <v>-381.3</v>
      </c>
      <c r="AE4085" s="1">
        <v>0</v>
      </c>
      <c r="AF4085" s="1">
        <f ca="1">IFERROR(__xludf.DUMMYFUNCTION("IFERROR(GOOGLEFINANCE(TRIM(F4085)&amp;"":"" &amp; TRIM(B4085),""high52""),AE4085)"),0)</f>
        <v>0</v>
      </c>
      <c r="AG4085" s="1">
        <v>0</v>
      </c>
      <c r="AH4085" s="1">
        <f ca="1">IFERROR(__xludf.DUMMYFUNCTION("IFERROR(GOOGLEFINANCE(TRIM(F4085)&amp;"":"" &amp; TRIM(B4085),""low52""),AE4085)"),0)</f>
        <v>0</v>
      </c>
      <c r="AI4085" s="1">
        <f ca="1">IFERROR(__xludf.DUMMYFUNCTION("IFERROR(GOOGLEFINANCE(B4085,""eps""),0)"),0)</f>
        <v>0</v>
      </c>
      <c r="AJ4085" s="1"/>
      <c r="AK4085" s="1" t="s">
        <v>12415</v>
      </c>
      <c r="AL4085" s="9">
        <f t="shared" si="380"/>
        <v>1</v>
      </c>
    </row>
    <row r="4086" spans="1:38" ht="15" x14ac:dyDescent="0.25">
      <c r="A4086" s="1" t="s">
        <v>12416</v>
      </c>
      <c r="B4086" s="1" t="s">
        <v>12417</v>
      </c>
      <c r="C4086" s="1" t="s">
        <v>359</v>
      </c>
      <c r="D4086" s="1" t="s">
        <v>359</v>
      </c>
      <c r="E4086" s="6">
        <v>5685.62</v>
      </c>
      <c r="F4086" s="1" t="s">
        <v>40</v>
      </c>
      <c r="G4086" s="6">
        <f ca="1">IFERROR(__xludf.DUMMYFUNCTION("iferror(GOOGLEFINANCE(TRIM(F4086)&amp;"":"" &amp; TRIM(B4086), ""price""),0
)"),2001)</f>
        <v>2001</v>
      </c>
      <c r="H4086" s="6">
        <v>1728.85</v>
      </c>
      <c r="I4086" s="6">
        <f t="shared" ca="1" si="0"/>
        <v>2001</v>
      </c>
      <c r="J4086" s="6">
        <f ca="1">IFERROR(__xludf.DUMMYFUNCTION("IFERROR(GOOGLEFINANCE(B4086, ""volume""), 0)"),80426)</f>
        <v>80426</v>
      </c>
      <c r="K4086" s="6">
        <v>5</v>
      </c>
      <c r="L4086" s="6">
        <f ca="1">IFERROR(__xludf.DUMMYFUNCTION("IFERROR(GOOGLEFINANCE(B4086,""changepct""),K4086)"),-0.27)</f>
        <v>-0.27</v>
      </c>
      <c r="M4086" s="6">
        <f ca="1">IFERROR(__xludf.DUMMYFUNCTION("IFERROR(GOOGLEFINANCE(B4086,""change""),0)"),-5.4)</f>
        <v>-5.4</v>
      </c>
      <c r="N4086" s="6">
        <v>2</v>
      </c>
      <c r="O4086" s="7">
        <v>45536</v>
      </c>
      <c r="P4086" s="6">
        <v>91.86</v>
      </c>
      <c r="Q4086" s="6">
        <v>5773.16</v>
      </c>
      <c r="R4086" s="7">
        <v>45536</v>
      </c>
      <c r="S4086" s="6">
        <v>1464.84</v>
      </c>
      <c r="T4086" s="6">
        <v>41.58</v>
      </c>
      <c r="U4086" s="7">
        <v>45536</v>
      </c>
      <c r="V4086" s="6">
        <v>136.76</v>
      </c>
      <c r="W4086" s="6">
        <f ca="1">IFERROR(__xludf.DUMMYFUNCTION("IFERROR(GOOGLEFINANCE(B4086,""pe""),V4086)"),69.62)</f>
        <v>69.62</v>
      </c>
      <c r="X4086" s="9"/>
      <c r="Y4086" s="6">
        <v>19.7</v>
      </c>
      <c r="Z4086" s="6">
        <v>2</v>
      </c>
      <c r="AA4086" s="8">
        <v>45352</v>
      </c>
      <c r="AB4086" s="4">
        <v>0.33</v>
      </c>
      <c r="AC4086" s="6">
        <v>10.72</v>
      </c>
      <c r="AD4086" s="6">
        <v>23.99</v>
      </c>
      <c r="AE4086" s="1">
        <v>0</v>
      </c>
      <c r="AF4086" s="1">
        <f ca="1">IFERROR(__xludf.DUMMYFUNCTION("IFERROR(GOOGLEFINANCE(TRIM(F4086)&amp;"":"" &amp; TRIM(B4086),""high52""),AE4086)"),2564.1)</f>
        <v>2564.1</v>
      </c>
      <c r="AG4086" s="1">
        <v>0</v>
      </c>
      <c r="AH4086" s="1">
        <f ca="1">IFERROR(__xludf.DUMMYFUNCTION("IFERROR(GOOGLEFINANCE(TRIM(F4086)&amp;"":"" &amp; TRIM(B4086),""low52""),AE4086)"),1390.2)</f>
        <v>1390.2</v>
      </c>
      <c r="AI4086" s="1">
        <f ca="1">IFERROR(__xludf.DUMMYFUNCTION("IFERROR(GOOGLEFINANCE(B4086,""eps""),0)"),28.74)</f>
        <v>28.74</v>
      </c>
      <c r="AJ4086" s="1"/>
      <c r="AK4086" s="9"/>
      <c r="AL4086" s="9">
        <f t="shared" si="380"/>
        <v>1</v>
      </c>
    </row>
    <row r="4087" spans="1:38" ht="15" x14ac:dyDescent="0.25">
      <c r="A4087" s="1" t="s">
        <v>12418</v>
      </c>
      <c r="B4087" s="1" t="s">
        <v>12419</v>
      </c>
      <c r="C4087" s="1" t="s">
        <v>706</v>
      </c>
      <c r="D4087" s="1" t="s">
        <v>706</v>
      </c>
      <c r="E4087" s="6">
        <v>88.04</v>
      </c>
      <c r="F4087" s="1" t="s">
        <v>53</v>
      </c>
      <c r="G4087" s="6">
        <f ca="1">IFERROR(__xludf.DUMMYFUNCTION("iferror(GOOGLEFINANCE(TRIM(F4087)&amp;"":"" &amp; TRIM(B4087), ""price""),0
)"),0)</f>
        <v>0</v>
      </c>
      <c r="H4087" s="6">
        <v>137</v>
      </c>
      <c r="I4087" s="6">
        <f t="shared" ca="1" si="0"/>
        <v>137</v>
      </c>
      <c r="J4087" s="6">
        <f ca="1">IFERROR(__xludf.DUMMYFUNCTION("IFERROR(GOOGLEFINANCE(B4087, ""volume""), 0)"),0)</f>
        <v>0</v>
      </c>
      <c r="K4087" s="6">
        <v>-3.52</v>
      </c>
      <c r="L4087" s="6">
        <f ca="1">IFERROR(__xludf.DUMMYFUNCTION("IFERROR(GOOGLEFINANCE(B4087,""changepct""),K4087)"),-3.52)</f>
        <v>-3.52</v>
      </c>
      <c r="M4087" s="6">
        <f ca="1">IFERROR(__xludf.DUMMYFUNCTION("IFERROR(GOOGLEFINANCE(B4087,""change""),0)"),0)</f>
        <v>0</v>
      </c>
      <c r="N4087" s="6">
        <v>1</v>
      </c>
      <c r="O4087" s="7">
        <v>45536</v>
      </c>
      <c r="P4087" s="6">
        <v>0.25</v>
      </c>
      <c r="Q4087" s="6">
        <v>88.29</v>
      </c>
      <c r="R4087" s="7">
        <v>45536</v>
      </c>
      <c r="S4087" s="6">
        <v>12.1</v>
      </c>
      <c r="T4087" s="6">
        <v>8.58</v>
      </c>
      <c r="U4087" s="7">
        <v>45536</v>
      </c>
      <c r="V4087" s="6">
        <v>10.26</v>
      </c>
      <c r="W4087" s="6">
        <f ca="1">IFERROR(__xludf.DUMMYFUNCTION("IFERROR(GOOGLEFINANCE(B4087,""pe""),V4087)"),10.26)</f>
        <v>10.26</v>
      </c>
      <c r="X4087" s="6">
        <v>0.12</v>
      </c>
      <c r="Y4087" s="6">
        <v>2.88</v>
      </c>
      <c r="Z4087" s="6">
        <v>1</v>
      </c>
      <c r="AA4087" s="8">
        <v>45352</v>
      </c>
      <c r="AB4087" s="4">
        <v>0</v>
      </c>
      <c r="AC4087" s="6">
        <v>54.36</v>
      </c>
      <c r="AD4087" s="6">
        <v>61.7</v>
      </c>
      <c r="AE4087" s="1">
        <v>0</v>
      </c>
      <c r="AF4087" s="1">
        <f ca="1">IFERROR(__xludf.DUMMYFUNCTION("IFERROR(GOOGLEFINANCE(TRIM(F4087)&amp;"":"" &amp; TRIM(B4087),""high52""),AE4087)"),0)</f>
        <v>0</v>
      </c>
      <c r="AG4087" s="1">
        <v>0</v>
      </c>
      <c r="AH4087" s="1">
        <f ca="1">IFERROR(__xludf.DUMMYFUNCTION("IFERROR(GOOGLEFINANCE(TRIM(F4087)&amp;"":"" &amp; TRIM(B4087),""low52""),AE4087)"),0)</f>
        <v>0</v>
      </c>
      <c r="AI4087" s="1">
        <f ca="1">IFERROR(__xludf.DUMMYFUNCTION("IFERROR(GOOGLEFINANCE(B4087,""eps""),0)"),0)</f>
        <v>0</v>
      </c>
      <c r="AJ4087" s="1"/>
      <c r="AK4087" s="1" t="s">
        <v>12420</v>
      </c>
      <c r="AL4087" s="9">
        <f t="shared" si="380"/>
        <v>1</v>
      </c>
    </row>
    <row r="4088" spans="1:38" ht="15" x14ac:dyDescent="0.25">
      <c r="A4088" s="1" t="s">
        <v>12421</v>
      </c>
      <c r="B4088" s="1" t="s">
        <v>12422</v>
      </c>
      <c r="C4088" s="1" t="s">
        <v>782</v>
      </c>
      <c r="D4088" s="1" t="s">
        <v>782</v>
      </c>
      <c r="E4088" s="6">
        <v>10359.06</v>
      </c>
      <c r="F4088" s="1" t="s">
        <v>40</v>
      </c>
      <c r="G4088" s="6">
        <f ca="1">IFERROR(__xludf.DUMMYFUNCTION("iferror(GOOGLEFINANCE(TRIM(F4088)&amp;"":"" &amp; TRIM(B4088), ""price""),0
)"),1097)</f>
        <v>1097</v>
      </c>
      <c r="H4088" s="6">
        <v>1661.8</v>
      </c>
      <c r="I4088" s="6">
        <f t="shared" ca="1" si="0"/>
        <v>1097</v>
      </c>
      <c r="J4088" s="6">
        <f ca="1">IFERROR(__xludf.DUMMYFUNCTION("IFERROR(GOOGLEFINANCE(B4088, ""volume""), 0)"),336124)</f>
        <v>336124</v>
      </c>
      <c r="K4088" s="6">
        <v>-0.27</v>
      </c>
      <c r="L4088" s="6">
        <f ca="1">IFERROR(__xludf.DUMMYFUNCTION("IFERROR(GOOGLEFINANCE(B4088,""changepct""),K4088)"),2.51)</f>
        <v>2.5099999999999998</v>
      </c>
      <c r="M4088" s="6">
        <f ca="1">IFERROR(__xludf.DUMMYFUNCTION("IFERROR(GOOGLEFINANCE(B4088,""change""),0)"),26.9)</f>
        <v>26.9</v>
      </c>
      <c r="N4088" s="6">
        <v>2</v>
      </c>
      <c r="O4088" s="7">
        <v>45536</v>
      </c>
      <c r="P4088" s="6">
        <v>422.6</v>
      </c>
      <c r="Q4088" s="6">
        <v>10144.86</v>
      </c>
      <c r="R4088" s="7">
        <v>45536</v>
      </c>
      <c r="S4088" s="6">
        <v>2965.4</v>
      </c>
      <c r="T4088" s="6">
        <v>262.7</v>
      </c>
      <c r="U4088" s="7">
        <v>45536</v>
      </c>
      <c r="V4088" s="6">
        <v>39.71</v>
      </c>
      <c r="W4088" s="6">
        <f ca="1">IFERROR(__xludf.DUMMYFUNCTION("IFERROR(GOOGLEFINANCE(B4088,""pe""),V4088)"),19.74)</f>
        <v>19.739999999999998</v>
      </c>
      <c r="X4088" s="6">
        <v>2.14</v>
      </c>
      <c r="Y4088" s="6">
        <v>5.27</v>
      </c>
      <c r="Z4088" s="6">
        <v>2</v>
      </c>
      <c r="AA4088" s="8">
        <v>45352</v>
      </c>
      <c r="AB4088" s="4">
        <v>0.15</v>
      </c>
      <c r="AC4088" s="6">
        <v>14.76</v>
      </c>
      <c r="AD4088" s="6">
        <v>20.64</v>
      </c>
      <c r="AE4088" s="1">
        <v>0</v>
      </c>
      <c r="AF4088" s="1">
        <f ca="1">IFERROR(__xludf.DUMMYFUNCTION("IFERROR(GOOGLEFINANCE(TRIM(F4088)&amp;"":"" &amp; TRIM(B4088),""high52""),AE4088)"),1680)</f>
        <v>1680</v>
      </c>
      <c r="AG4088" s="1">
        <v>0</v>
      </c>
      <c r="AH4088" s="1">
        <f ca="1">IFERROR(__xludf.DUMMYFUNCTION("IFERROR(GOOGLEFINANCE(TRIM(F4088)&amp;"":"" &amp; TRIM(B4088),""low52""),AE4088)"),1033)</f>
        <v>1033</v>
      </c>
      <c r="AI4088" s="1">
        <f ca="1">IFERROR(__xludf.DUMMYFUNCTION("IFERROR(GOOGLEFINANCE(B4088,""eps""),0)"),55.57)</f>
        <v>55.57</v>
      </c>
      <c r="AJ4088" s="1"/>
      <c r="AK4088" s="9"/>
      <c r="AL4088" s="9">
        <f t="shared" si="380"/>
        <v>1</v>
      </c>
    </row>
    <row r="4089" spans="1:38" ht="15" x14ac:dyDescent="0.25">
      <c r="A4089" s="1" t="s">
        <v>12423</v>
      </c>
      <c r="B4089" s="1" t="s">
        <v>12424</v>
      </c>
      <c r="C4089" s="1" t="s">
        <v>706</v>
      </c>
      <c r="D4089" s="1" t="s">
        <v>706</v>
      </c>
      <c r="E4089" s="6">
        <v>18.16</v>
      </c>
      <c r="F4089" s="1" t="s">
        <v>53</v>
      </c>
      <c r="G4089" s="6">
        <f ca="1">IFERROR(__xludf.DUMMYFUNCTION("iferror(GOOGLEFINANCE(TRIM(F4089)&amp;"":"" &amp; TRIM(B4089), ""price""),0
)"),0)</f>
        <v>0</v>
      </c>
      <c r="H4089" s="6">
        <v>30.64</v>
      </c>
      <c r="I4089" s="6">
        <f t="shared" ca="1" si="0"/>
        <v>30.64</v>
      </c>
      <c r="J4089" s="6">
        <f ca="1">IFERROR(__xludf.DUMMYFUNCTION("IFERROR(GOOGLEFINANCE(B4089, ""volume""), 0)"),0)</f>
        <v>0</v>
      </c>
      <c r="K4089" s="6">
        <v>-1.98</v>
      </c>
      <c r="L4089" s="6">
        <f ca="1">IFERROR(__xludf.DUMMYFUNCTION("IFERROR(GOOGLEFINANCE(B4089,""changepct""),K4089)"),-1.98)</f>
        <v>-1.98</v>
      </c>
      <c r="M4089" s="6">
        <f ca="1">IFERROR(__xludf.DUMMYFUNCTION("IFERROR(GOOGLEFINANCE(B4089,""change""),0)"),0)</f>
        <v>0</v>
      </c>
      <c r="N4089" s="6">
        <v>1</v>
      </c>
      <c r="O4089" s="7">
        <v>45536</v>
      </c>
      <c r="P4089" s="6">
        <v>10.72</v>
      </c>
      <c r="Q4089" s="6">
        <v>28.88</v>
      </c>
      <c r="R4089" s="7">
        <v>45536</v>
      </c>
      <c r="S4089" s="6">
        <v>10.77</v>
      </c>
      <c r="T4089" s="6">
        <v>0.28000000000000003</v>
      </c>
      <c r="U4089" s="7">
        <v>45536</v>
      </c>
      <c r="V4089" s="6">
        <v>64.39</v>
      </c>
      <c r="W4089" s="6">
        <f ca="1">IFERROR(__xludf.DUMMYFUNCTION("IFERROR(GOOGLEFINANCE(B4089,""pe""),V4089)"),64.39)</f>
        <v>64.39</v>
      </c>
      <c r="X4089" s="9"/>
      <c r="Y4089" s="6">
        <v>-9.18</v>
      </c>
      <c r="Z4089" s="6">
        <v>1</v>
      </c>
      <c r="AA4089" s="8">
        <v>45352</v>
      </c>
      <c r="AB4089" s="4">
        <v>-2.59</v>
      </c>
      <c r="AC4089" s="6">
        <v>0</v>
      </c>
      <c r="AD4089" s="6">
        <v>6.13</v>
      </c>
      <c r="AE4089" s="1">
        <v>0</v>
      </c>
      <c r="AF4089" s="1">
        <f ca="1">IFERROR(__xludf.DUMMYFUNCTION("IFERROR(GOOGLEFINANCE(TRIM(F4089)&amp;"":"" &amp; TRIM(B4089),""high52""),AE4089)"),0)</f>
        <v>0</v>
      </c>
      <c r="AG4089" s="1">
        <v>0</v>
      </c>
      <c r="AH4089" s="1">
        <f ca="1">IFERROR(__xludf.DUMMYFUNCTION("IFERROR(GOOGLEFINANCE(TRIM(F4089)&amp;"":"" &amp; TRIM(B4089),""low52""),AE4089)"),0)</f>
        <v>0</v>
      </c>
      <c r="AI4089" s="1">
        <f ca="1">IFERROR(__xludf.DUMMYFUNCTION("IFERROR(GOOGLEFINANCE(B4089,""eps""),0)"),0)</f>
        <v>0</v>
      </c>
      <c r="AJ4089" s="1"/>
      <c r="AK4089" s="1" t="s">
        <v>12425</v>
      </c>
      <c r="AL4089" s="9">
        <f t="shared" si="380"/>
        <v>1</v>
      </c>
    </row>
    <row r="4090" spans="1:38" ht="15" x14ac:dyDescent="0.25">
      <c r="A4090" s="1" t="s">
        <v>12426</v>
      </c>
      <c r="B4090" s="1" t="s">
        <v>12427</v>
      </c>
      <c r="C4090" s="1" t="s">
        <v>324</v>
      </c>
      <c r="D4090" s="1" t="s">
        <v>324</v>
      </c>
      <c r="E4090" s="6">
        <v>2856.73</v>
      </c>
      <c r="F4090" s="1" t="s">
        <v>40</v>
      </c>
      <c r="G4090" s="6">
        <f ca="1">IFERROR(__xludf.DUMMYFUNCTION("iferror(GOOGLEFINANCE(TRIM(F4090)&amp;"":"" &amp; TRIM(B4090), ""price""),0
)"),4450)</f>
        <v>4450</v>
      </c>
      <c r="H4090" s="6">
        <v>3980.2</v>
      </c>
      <c r="I4090" s="6">
        <f t="shared" ca="1" si="0"/>
        <v>4450</v>
      </c>
      <c r="J4090" s="6">
        <f ca="1">IFERROR(__xludf.DUMMYFUNCTION("IFERROR(GOOGLEFINANCE(B4090, ""volume""), 0)"),7485)</f>
        <v>7485</v>
      </c>
      <c r="K4090" s="6">
        <v>-0.17</v>
      </c>
      <c r="L4090" s="6">
        <f ca="1">IFERROR(__xludf.DUMMYFUNCTION("IFERROR(GOOGLEFINANCE(B4090,""changepct""),K4090)"),3.24)</f>
        <v>3.24</v>
      </c>
      <c r="M4090" s="6">
        <f ca="1">IFERROR(__xludf.DUMMYFUNCTION("IFERROR(GOOGLEFINANCE(B4090,""change""),0)"),139.6)</f>
        <v>139.6</v>
      </c>
      <c r="N4090" s="6">
        <v>2</v>
      </c>
      <c r="O4090" s="7">
        <v>45536</v>
      </c>
      <c r="P4090" s="6">
        <v>52.95</v>
      </c>
      <c r="Q4090" s="6">
        <v>2819.31</v>
      </c>
      <c r="R4090" s="7">
        <v>45536</v>
      </c>
      <c r="S4090" s="6">
        <v>1185.47</v>
      </c>
      <c r="T4090" s="6">
        <v>153.28</v>
      </c>
      <c r="U4090" s="7">
        <v>45536</v>
      </c>
      <c r="V4090" s="6">
        <v>18.64</v>
      </c>
      <c r="W4090" s="6">
        <f ca="1">IFERROR(__xludf.DUMMYFUNCTION("IFERROR(GOOGLEFINANCE(B4090,""pe""),V4090)"),23.84)</f>
        <v>23.84</v>
      </c>
      <c r="X4090" s="6">
        <v>0.54</v>
      </c>
      <c r="Y4090" s="6">
        <v>4.9000000000000004</v>
      </c>
      <c r="Z4090" s="6">
        <v>2</v>
      </c>
      <c r="AA4090" s="8">
        <v>45352</v>
      </c>
      <c r="AB4090" s="4">
        <v>0.25</v>
      </c>
      <c r="AC4090" s="6">
        <v>36.99</v>
      </c>
      <c r="AD4090" s="6">
        <v>35.6</v>
      </c>
      <c r="AE4090" s="1">
        <v>0</v>
      </c>
      <c r="AF4090" s="1">
        <f ca="1">IFERROR(__xludf.DUMMYFUNCTION("IFERROR(GOOGLEFINANCE(TRIM(F4090)&amp;"":"" &amp; TRIM(B4090),""high52""),AE4090)"),7398.5)</f>
        <v>7398.5</v>
      </c>
      <c r="AG4090" s="1">
        <v>0</v>
      </c>
      <c r="AH4090" s="1">
        <f ca="1">IFERROR(__xludf.DUMMYFUNCTION("IFERROR(GOOGLEFINANCE(TRIM(F4090)&amp;"":"" &amp; TRIM(B4090),""low52""),AE4090)"),3503.5)</f>
        <v>3503.5</v>
      </c>
      <c r="AI4090" s="1">
        <f ca="1">IFERROR(__xludf.DUMMYFUNCTION("IFERROR(GOOGLEFINANCE(B4090,""eps""),0)"),186.69)</f>
        <v>186.69</v>
      </c>
      <c r="AJ4090" s="1"/>
      <c r="AK4090" s="1" t="s">
        <v>12428</v>
      </c>
      <c r="AL4090" s="9">
        <f t="shared" si="380"/>
        <v>1</v>
      </c>
    </row>
    <row r="4091" spans="1:38" ht="15" x14ac:dyDescent="0.25">
      <c r="A4091" s="1" t="s">
        <v>12429</v>
      </c>
      <c r="B4091" s="1" t="s">
        <v>12430</v>
      </c>
      <c r="C4091" s="1" t="s">
        <v>135</v>
      </c>
      <c r="D4091" s="1" t="s">
        <v>135</v>
      </c>
      <c r="E4091" s="6">
        <v>56.95</v>
      </c>
      <c r="F4091" s="1" t="s">
        <v>40</v>
      </c>
      <c r="G4091" s="6">
        <f ca="1">IFERROR(__xludf.DUMMYFUNCTION("iferror(GOOGLEFINANCE(TRIM(F4091)&amp;"":"" &amp; TRIM(B4091), ""price""),0
)"),0)</f>
        <v>0</v>
      </c>
      <c r="H4091" s="6">
        <v>44.55</v>
      </c>
      <c r="I4091" s="6">
        <f t="shared" ca="1" si="0"/>
        <v>44.55</v>
      </c>
      <c r="J4091" s="6">
        <f ca="1">IFERROR(__xludf.DUMMYFUNCTION("IFERROR(GOOGLEFINANCE(B4091, ""volume""), 0)"),0)</f>
        <v>0</v>
      </c>
      <c r="K4091" s="12"/>
      <c r="L4091" s="6" t="str">
        <f ca="1">IFERROR(__xludf.DUMMYFUNCTION("IFERROR(GOOGLEFINANCE(B4091,""changepct""),K4091)"),"")</f>
        <v/>
      </c>
      <c r="M4091" s="6">
        <f ca="1">IFERROR(__xludf.DUMMYFUNCTION("IFERROR(GOOGLEFINANCE(B4091,""change""),0)"),0)</f>
        <v>0</v>
      </c>
      <c r="N4091" s="6">
        <v>1</v>
      </c>
      <c r="O4091" s="7">
        <v>45536</v>
      </c>
      <c r="P4091" s="6">
        <v>31.36</v>
      </c>
      <c r="Q4091" s="6">
        <v>88.31</v>
      </c>
      <c r="R4091" s="7">
        <v>45352</v>
      </c>
      <c r="S4091" s="6">
        <v>40.08</v>
      </c>
      <c r="T4091" s="6">
        <v>0.06</v>
      </c>
      <c r="U4091" s="7">
        <v>45352</v>
      </c>
      <c r="V4091" s="6">
        <v>925.67</v>
      </c>
      <c r="W4091" s="6">
        <f ca="1">IFERROR(__xludf.DUMMYFUNCTION("IFERROR(GOOGLEFINANCE(B4091,""pe""),V4091)"),925.67)</f>
        <v>925.67</v>
      </c>
      <c r="X4091" s="12"/>
      <c r="Y4091" s="6">
        <v>8.7799999999999994</v>
      </c>
      <c r="Z4091" s="6">
        <v>1</v>
      </c>
      <c r="AA4091" s="8">
        <v>45352</v>
      </c>
      <c r="AB4091" s="4">
        <v>4.03</v>
      </c>
      <c r="AC4091" s="6">
        <v>0.95</v>
      </c>
      <c r="AD4091" s="6">
        <v>10.1</v>
      </c>
      <c r="AE4091" s="1">
        <v>0</v>
      </c>
      <c r="AF4091" s="1">
        <f ca="1">IFERROR(__xludf.DUMMYFUNCTION("IFERROR(GOOGLEFINANCE(TRIM(F4091)&amp;"":"" &amp; TRIM(B4091),""high52""),AE4091)"),0)</f>
        <v>0</v>
      </c>
      <c r="AG4091" s="1">
        <v>0</v>
      </c>
      <c r="AH4091" s="1">
        <f ca="1">IFERROR(__xludf.DUMMYFUNCTION("IFERROR(GOOGLEFINANCE(TRIM(F4091)&amp;"":"" &amp; TRIM(B4091),""low52""),AE4091)"),0)</f>
        <v>0</v>
      </c>
      <c r="AI4091" s="1">
        <f ca="1">IFERROR(__xludf.DUMMYFUNCTION("IFERROR(GOOGLEFINANCE(B4091,""eps""),0)"),0)</f>
        <v>0</v>
      </c>
      <c r="AJ4091" s="1"/>
      <c r="AK4091" s="1" t="s">
        <v>12431</v>
      </c>
      <c r="AL4091" s="1" t="b">
        <f>ISNUMBER(AA4091)</f>
        <v>1</v>
      </c>
    </row>
    <row r="4092" spans="1:38" ht="15" x14ac:dyDescent="0.25">
      <c r="A4092" s="1" t="s">
        <v>12432</v>
      </c>
      <c r="B4092" s="1" t="s">
        <v>12433</v>
      </c>
      <c r="C4092" s="1" t="s">
        <v>706</v>
      </c>
      <c r="D4092" s="1" t="s">
        <v>706</v>
      </c>
      <c r="E4092" s="6">
        <v>61.25</v>
      </c>
      <c r="F4092" s="1" t="s">
        <v>53</v>
      </c>
      <c r="G4092" s="6">
        <f ca="1">IFERROR(__xludf.DUMMYFUNCTION("iferror(GOOGLEFINANCE(TRIM(F4092)&amp;"":"" &amp; TRIM(B4092), ""price""),0
)"),0)</f>
        <v>0</v>
      </c>
      <c r="H4092" s="6">
        <v>35</v>
      </c>
      <c r="I4092" s="6">
        <f t="shared" ca="1" si="0"/>
        <v>35</v>
      </c>
      <c r="J4092" s="6">
        <f ca="1">IFERROR(__xludf.DUMMYFUNCTION("IFERROR(GOOGLEFINANCE(B4092, ""volume""), 0)"),0)</f>
        <v>0</v>
      </c>
      <c r="K4092" s="6">
        <v>0.23</v>
      </c>
      <c r="L4092" s="6">
        <f ca="1">IFERROR(__xludf.DUMMYFUNCTION("IFERROR(GOOGLEFINANCE(B4092,""changepct""),K4092)"),0.23)</f>
        <v>0.23</v>
      </c>
      <c r="M4092" s="6">
        <f ca="1">IFERROR(__xludf.DUMMYFUNCTION("IFERROR(GOOGLEFINANCE(B4092,""change""),0)"),0)</f>
        <v>0</v>
      </c>
      <c r="N4092" s="6">
        <v>1</v>
      </c>
      <c r="O4092" s="7">
        <v>45536</v>
      </c>
      <c r="P4092" s="6">
        <v>30.76</v>
      </c>
      <c r="Q4092" s="6">
        <v>84.06</v>
      </c>
      <c r="R4092" s="7">
        <v>45536</v>
      </c>
      <c r="S4092" s="6">
        <v>177.46</v>
      </c>
      <c r="T4092" s="6">
        <v>-4.3099999999999996</v>
      </c>
      <c r="U4092" s="7">
        <v>45536</v>
      </c>
      <c r="V4092" s="6">
        <v>0</v>
      </c>
      <c r="W4092" s="6">
        <f ca="1">IFERROR(__xludf.DUMMYFUNCTION("IFERROR(GOOGLEFINANCE(B4092,""pe""),V4092)"),0)</f>
        <v>0</v>
      </c>
      <c r="X4092" s="6">
        <v>0</v>
      </c>
      <c r="Y4092" s="6">
        <v>0.7</v>
      </c>
      <c r="Z4092" s="6">
        <v>1</v>
      </c>
      <c r="AA4092" s="8">
        <v>44986</v>
      </c>
      <c r="AB4092" s="4">
        <v>0.33</v>
      </c>
      <c r="AC4092" s="6">
        <v>17.62</v>
      </c>
      <c r="AD4092" s="6">
        <v>19.850000000000001</v>
      </c>
      <c r="AE4092" s="1">
        <v>0</v>
      </c>
      <c r="AF4092" s="1">
        <f ca="1">IFERROR(__xludf.DUMMYFUNCTION("IFERROR(GOOGLEFINANCE(TRIM(F4092)&amp;"":"" &amp; TRIM(B4092),""high52""),AE4092)"),0)</f>
        <v>0</v>
      </c>
      <c r="AG4092" s="1">
        <v>0</v>
      </c>
      <c r="AH4092" s="1">
        <f ca="1">IFERROR(__xludf.DUMMYFUNCTION("IFERROR(GOOGLEFINANCE(TRIM(F4092)&amp;"":"" &amp; TRIM(B4092),""low52""),AE4092)"),0)</f>
        <v>0</v>
      </c>
      <c r="AI4092" s="1">
        <f ca="1">IFERROR(__xludf.DUMMYFUNCTION("IFERROR(GOOGLEFINANCE(B4092,""eps""),0)"),0)</f>
        <v>0</v>
      </c>
      <c r="AJ4092" s="1"/>
      <c r="AK4092" s="9"/>
      <c r="AL4092" s="9">
        <f t="shared" ref="AL4092:AL4105" si="381">IF(AA4092&lt;&gt;AB4092,1,0)</f>
        <v>1</v>
      </c>
    </row>
    <row r="4093" spans="1:38" ht="15" x14ac:dyDescent="0.25">
      <c r="A4093" s="1" t="s">
        <v>12434</v>
      </c>
      <c r="B4093" s="1" t="s">
        <v>12435</v>
      </c>
      <c r="C4093" s="1" t="s">
        <v>706</v>
      </c>
      <c r="D4093" s="1" t="s">
        <v>706</v>
      </c>
      <c r="E4093" s="6">
        <v>13.88</v>
      </c>
      <c r="F4093" s="1" t="s">
        <v>53</v>
      </c>
      <c r="G4093" s="6">
        <f ca="1">IFERROR(__xludf.DUMMYFUNCTION("iferror(GOOGLEFINANCE(TRIM(F4093)&amp;"":"" &amp; TRIM(B4093), ""price""),0
)"),0)</f>
        <v>0</v>
      </c>
      <c r="H4093" s="6">
        <v>11.67</v>
      </c>
      <c r="I4093" s="6">
        <f t="shared" ca="1" si="0"/>
        <v>11.67</v>
      </c>
      <c r="J4093" s="6">
        <f ca="1">IFERROR(__xludf.DUMMYFUNCTION("IFERROR(GOOGLEFINANCE(B4093, ""volume""), 0)"),0)</f>
        <v>0</v>
      </c>
      <c r="K4093" s="6">
        <v>-2.1</v>
      </c>
      <c r="L4093" s="6">
        <f ca="1">IFERROR(__xludf.DUMMYFUNCTION("IFERROR(GOOGLEFINANCE(B4093,""changepct""),K4093)"),-2.1)</f>
        <v>-2.1</v>
      </c>
      <c r="M4093" s="6">
        <f ca="1">IFERROR(__xludf.DUMMYFUNCTION("IFERROR(GOOGLEFINANCE(B4093,""change""),0)"),0)</f>
        <v>0</v>
      </c>
      <c r="N4093" s="6">
        <v>2</v>
      </c>
      <c r="O4093" s="7">
        <v>45536</v>
      </c>
      <c r="P4093" s="6">
        <v>44.86</v>
      </c>
      <c r="Q4093" s="6">
        <v>58.61</v>
      </c>
      <c r="R4093" s="7">
        <v>45536</v>
      </c>
      <c r="S4093" s="6">
        <v>0</v>
      </c>
      <c r="T4093" s="6">
        <v>0</v>
      </c>
      <c r="U4093" s="7">
        <v>45536</v>
      </c>
      <c r="V4093" s="6">
        <v>0</v>
      </c>
      <c r="W4093" s="6">
        <f ca="1">IFERROR(__xludf.DUMMYFUNCTION("IFERROR(GOOGLEFINANCE(B4093,""pe""),V4093)"),0)</f>
        <v>0</v>
      </c>
      <c r="X4093" s="6">
        <v>0</v>
      </c>
      <c r="Y4093" s="6">
        <v>-0.14000000000000001</v>
      </c>
      <c r="Z4093" s="6">
        <v>2</v>
      </c>
      <c r="AA4093" s="8">
        <v>45352</v>
      </c>
      <c r="AB4093" s="4">
        <v>-0.47</v>
      </c>
      <c r="AC4093" s="6">
        <v>0</v>
      </c>
      <c r="AD4093" s="6">
        <v>0</v>
      </c>
      <c r="AE4093" s="1">
        <v>0</v>
      </c>
      <c r="AF4093" s="1">
        <f ca="1">IFERROR(__xludf.DUMMYFUNCTION("IFERROR(GOOGLEFINANCE(TRIM(F4093)&amp;"":"" &amp; TRIM(B4093),""high52""),AE4093)"),0)</f>
        <v>0</v>
      </c>
      <c r="AG4093" s="1">
        <v>0</v>
      </c>
      <c r="AH4093" s="1">
        <f ca="1">IFERROR(__xludf.DUMMYFUNCTION("IFERROR(GOOGLEFINANCE(TRIM(F4093)&amp;"":"" &amp; TRIM(B4093),""low52""),AE4093)"),0)</f>
        <v>0</v>
      </c>
      <c r="AI4093" s="1">
        <f ca="1">IFERROR(__xludf.DUMMYFUNCTION("IFERROR(GOOGLEFINANCE(B4093,""eps""),0)"),0)</f>
        <v>0</v>
      </c>
      <c r="AJ4093" s="1"/>
      <c r="AK4093" s="1" t="s">
        <v>12436</v>
      </c>
      <c r="AL4093" s="9">
        <f t="shared" si="381"/>
        <v>1</v>
      </c>
    </row>
    <row r="4094" spans="1:38" ht="15" x14ac:dyDescent="0.25">
      <c r="A4094" s="1" t="s">
        <v>12437</v>
      </c>
      <c r="B4094" s="1" t="s">
        <v>12438</v>
      </c>
      <c r="C4094" s="1" t="s">
        <v>706</v>
      </c>
      <c r="D4094" s="1" t="s">
        <v>706</v>
      </c>
      <c r="E4094" s="6">
        <v>151.15</v>
      </c>
      <c r="F4094" s="1" t="s">
        <v>53</v>
      </c>
      <c r="G4094" s="6">
        <f ca="1">IFERROR(__xludf.DUMMYFUNCTION("iferror(GOOGLEFINANCE(TRIM(F4094)&amp;"":"" &amp; TRIM(B4094), ""price""),0
)"),0)</f>
        <v>0</v>
      </c>
      <c r="H4094" s="6">
        <v>11.26</v>
      </c>
      <c r="I4094" s="6">
        <f t="shared" ca="1" si="0"/>
        <v>11.26</v>
      </c>
      <c r="J4094" s="6">
        <f ca="1">IFERROR(__xludf.DUMMYFUNCTION("IFERROR(GOOGLEFINANCE(B4094, ""volume""), 0)"),0)</f>
        <v>0</v>
      </c>
      <c r="K4094" s="6">
        <v>0.81</v>
      </c>
      <c r="L4094" s="6">
        <f ca="1">IFERROR(__xludf.DUMMYFUNCTION("IFERROR(GOOGLEFINANCE(B4094,""changepct""),K4094)"),0.81)</f>
        <v>0.81</v>
      </c>
      <c r="M4094" s="6">
        <f ca="1">IFERROR(__xludf.DUMMYFUNCTION("IFERROR(GOOGLEFINANCE(B4094,""change""),0)"),0)</f>
        <v>0</v>
      </c>
      <c r="N4094" s="6">
        <v>2</v>
      </c>
      <c r="O4094" s="7">
        <v>45536</v>
      </c>
      <c r="P4094" s="6">
        <v>187.19</v>
      </c>
      <c r="Q4094" s="6">
        <v>338.35</v>
      </c>
      <c r="R4094" s="7">
        <v>45536</v>
      </c>
      <c r="S4094" s="6">
        <v>446.61</v>
      </c>
      <c r="T4094" s="6">
        <v>-40.25</v>
      </c>
      <c r="U4094" s="7">
        <v>45536</v>
      </c>
      <c r="V4094" s="6">
        <v>0</v>
      </c>
      <c r="W4094" s="6">
        <f ca="1">IFERROR(__xludf.DUMMYFUNCTION("IFERROR(GOOGLEFINANCE(B4094,""pe""),V4094)"),0)</f>
        <v>0</v>
      </c>
      <c r="X4094" s="9"/>
      <c r="Y4094" s="6">
        <v>7.4</v>
      </c>
      <c r="Z4094" s="6">
        <v>2</v>
      </c>
      <c r="AA4094" s="8">
        <v>45352</v>
      </c>
      <c r="AB4094" s="4">
        <v>4.51</v>
      </c>
      <c r="AC4094" s="6">
        <v>-81.36</v>
      </c>
      <c r="AD4094" s="6">
        <v>-8.7200000000000006</v>
      </c>
      <c r="AE4094" s="1">
        <v>0</v>
      </c>
      <c r="AF4094" s="1">
        <f ca="1">IFERROR(__xludf.DUMMYFUNCTION("IFERROR(GOOGLEFINANCE(TRIM(F4094)&amp;"":"" &amp; TRIM(B4094),""high52""),AE4094)"),0)</f>
        <v>0</v>
      </c>
      <c r="AG4094" s="1">
        <v>0</v>
      </c>
      <c r="AH4094" s="1">
        <f ca="1">IFERROR(__xludf.DUMMYFUNCTION("IFERROR(GOOGLEFINANCE(TRIM(F4094)&amp;"":"" &amp; TRIM(B4094),""low52""),AE4094)"),0)</f>
        <v>0</v>
      </c>
      <c r="AI4094" s="1">
        <f ca="1">IFERROR(__xludf.DUMMYFUNCTION("IFERROR(GOOGLEFINANCE(B4094,""eps""),0)"),0)</f>
        <v>0</v>
      </c>
      <c r="AJ4094" s="1"/>
      <c r="AK4094" s="1" t="s">
        <v>12439</v>
      </c>
      <c r="AL4094" s="9">
        <f t="shared" si="381"/>
        <v>1</v>
      </c>
    </row>
    <row r="4095" spans="1:38" ht="15" x14ac:dyDescent="0.25">
      <c r="A4095" s="1" t="s">
        <v>12440</v>
      </c>
      <c r="B4095" s="1" t="s">
        <v>12441</v>
      </c>
      <c r="C4095" s="1" t="s">
        <v>706</v>
      </c>
      <c r="D4095" s="1" t="s">
        <v>706</v>
      </c>
      <c r="E4095" s="6">
        <v>26.61</v>
      </c>
      <c r="F4095" s="1" t="s">
        <v>53</v>
      </c>
      <c r="G4095" s="6">
        <f ca="1">IFERROR(__xludf.DUMMYFUNCTION("iferror(GOOGLEFINANCE(TRIM(F4095)&amp;"":"" &amp; TRIM(B4095), ""price""),0
)"),0)</f>
        <v>0</v>
      </c>
      <c r="H4095" s="6">
        <v>38.47</v>
      </c>
      <c r="I4095" s="6">
        <f t="shared" ca="1" si="0"/>
        <v>38.47</v>
      </c>
      <c r="J4095" s="6">
        <f ca="1">IFERROR(__xludf.DUMMYFUNCTION("IFERROR(GOOGLEFINANCE(B4095, ""volume""), 0)"),930)</f>
        <v>930</v>
      </c>
      <c r="K4095" s="6">
        <v>3.22</v>
      </c>
      <c r="L4095" s="6">
        <f ca="1">IFERROR(__xludf.DUMMYFUNCTION("IFERROR(GOOGLEFINANCE(B4095,""changepct""),K4095)"),-2.19)</f>
        <v>-2.19</v>
      </c>
      <c r="M4095" s="6">
        <f ca="1">IFERROR(__xludf.DUMMYFUNCTION("IFERROR(GOOGLEFINANCE(B4095,""change""),0)"),-0.12)</f>
        <v>-0.12</v>
      </c>
      <c r="N4095" s="6">
        <v>1</v>
      </c>
      <c r="O4095" s="7">
        <v>45536</v>
      </c>
      <c r="P4095" s="6">
        <v>0.04</v>
      </c>
      <c r="Q4095" s="6">
        <v>26.37</v>
      </c>
      <c r="R4095" s="7">
        <v>45536</v>
      </c>
      <c r="S4095" s="6">
        <v>19.559999999999999</v>
      </c>
      <c r="T4095" s="6">
        <v>0.36</v>
      </c>
      <c r="U4095" s="7">
        <v>45536</v>
      </c>
      <c r="V4095" s="6">
        <v>72.91</v>
      </c>
      <c r="W4095" s="6">
        <f ca="1">IFERROR(__xludf.DUMMYFUNCTION("IFERROR(GOOGLEFINANCE(B4095,""pe""),V4095)"),72.91)</f>
        <v>72.91</v>
      </c>
      <c r="X4095" s="6">
        <v>5.81</v>
      </c>
      <c r="Y4095" s="6">
        <v>3.69</v>
      </c>
      <c r="Z4095" s="6">
        <v>1</v>
      </c>
      <c r="AA4095" s="8">
        <v>45352</v>
      </c>
      <c r="AB4095" s="4">
        <v>0.01</v>
      </c>
      <c r="AC4095" s="6">
        <v>0.97</v>
      </c>
      <c r="AD4095" s="6">
        <v>1.03</v>
      </c>
      <c r="AE4095" s="1">
        <v>0</v>
      </c>
      <c r="AF4095" s="1">
        <f ca="1">IFERROR(__xludf.DUMMYFUNCTION("IFERROR(GOOGLEFINANCE(TRIM(F4095)&amp;"":"" &amp; TRIM(B4095),""high52""),AE4095)"),0)</f>
        <v>0</v>
      </c>
      <c r="AG4095" s="1">
        <v>0</v>
      </c>
      <c r="AH4095" s="1">
        <f ca="1">IFERROR(__xludf.DUMMYFUNCTION("IFERROR(GOOGLEFINANCE(TRIM(F4095)&amp;"":"" &amp; TRIM(B4095),""low52""),AE4095)"),0)</f>
        <v>0</v>
      </c>
      <c r="AI4095" s="1">
        <f ca="1">IFERROR(__xludf.DUMMYFUNCTION("IFERROR(GOOGLEFINANCE(B4095,""eps""),0)"),0)</f>
        <v>0</v>
      </c>
      <c r="AJ4095" s="1"/>
      <c r="AK4095" s="1" t="s">
        <v>12442</v>
      </c>
      <c r="AL4095" s="9">
        <f t="shared" si="381"/>
        <v>1</v>
      </c>
    </row>
    <row r="4096" spans="1:38" ht="15" x14ac:dyDescent="0.25">
      <c r="A4096" s="1" t="s">
        <v>12443</v>
      </c>
      <c r="B4096" s="1" t="s">
        <v>12444</v>
      </c>
      <c r="C4096" s="1" t="s">
        <v>706</v>
      </c>
      <c r="D4096" s="1" t="s">
        <v>706</v>
      </c>
      <c r="E4096" s="6">
        <v>13.13</v>
      </c>
      <c r="F4096" s="1" t="s">
        <v>53</v>
      </c>
      <c r="G4096" s="6">
        <f ca="1">IFERROR(__xludf.DUMMYFUNCTION("iferror(GOOGLEFINANCE(TRIM(F4096)&amp;"":"" &amp; TRIM(B4096), ""price""),0
)"),0)</f>
        <v>0</v>
      </c>
      <c r="H4096" s="6">
        <v>22</v>
      </c>
      <c r="I4096" s="6">
        <f t="shared" ca="1" si="0"/>
        <v>22</v>
      </c>
      <c r="J4096" s="6">
        <f ca="1">IFERROR(__xludf.DUMMYFUNCTION("IFERROR(GOOGLEFINANCE(B4096, ""volume""), 0)"),0)</f>
        <v>0</v>
      </c>
      <c r="K4096" s="6">
        <v>-2.61</v>
      </c>
      <c r="L4096" s="6">
        <f ca="1">IFERROR(__xludf.DUMMYFUNCTION("IFERROR(GOOGLEFINANCE(B4096,""changepct""),K4096)"),-2.61)</f>
        <v>-2.61</v>
      </c>
      <c r="M4096" s="6">
        <f ca="1">IFERROR(__xludf.DUMMYFUNCTION("IFERROR(GOOGLEFINANCE(B4096,""change""),0)"),0)</f>
        <v>0</v>
      </c>
      <c r="N4096" s="6">
        <v>1</v>
      </c>
      <c r="O4096" s="7">
        <v>45536</v>
      </c>
      <c r="P4096" s="6">
        <v>15.71</v>
      </c>
      <c r="Q4096" s="6">
        <v>28.71</v>
      </c>
      <c r="R4096" s="7">
        <v>45536</v>
      </c>
      <c r="S4096" s="6">
        <v>3.36</v>
      </c>
      <c r="T4096" s="6">
        <v>-1.37</v>
      </c>
      <c r="U4096" s="7">
        <v>45536</v>
      </c>
      <c r="V4096" s="6">
        <v>0</v>
      </c>
      <c r="W4096" s="6">
        <f ca="1">IFERROR(__xludf.DUMMYFUNCTION("IFERROR(GOOGLEFINANCE(B4096,""pe""),V4096)"),0)</f>
        <v>0</v>
      </c>
      <c r="X4096" s="9"/>
      <c r="Y4096" s="6">
        <v>-0.89</v>
      </c>
      <c r="Z4096" s="6">
        <v>1</v>
      </c>
      <c r="AA4096" s="8">
        <v>45352</v>
      </c>
      <c r="AB4096" s="4">
        <v>-1.46</v>
      </c>
      <c r="AC4096" s="6">
        <v>0</v>
      </c>
      <c r="AD4096" s="6">
        <v>-24.01</v>
      </c>
      <c r="AE4096" s="1">
        <v>0</v>
      </c>
      <c r="AF4096" s="1">
        <f ca="1">IFERROR(__xludf.DUMMYFUNCTION("IFERROR(GOOGLEFINANCE(TRIM(F4096)&amp;"":"" &amp; TRIM(B4096),""high52""),AE4096)"),0)</f>
        <v>0</v>
      </c>
      <c r="AG4096" s="1">
        <v>0</v>
      </c>
      <c r="AH4096" s="1">
        <f ca="1">IFERROR(__xludf.DUMMYFUNCTION("IFERROR(GOOGLEFINANCE(TRIM(F4096)&amp;"":"" &amp; TRIM(B4096),""low52""),AE4096)"),0)</f>
        <v>0</v>
      </c>
      <c r="AI4096" s="1">
        <f ca="1">IFERROR(__xludf.DUMMYFUNCTION("IFERROR(GOOGLEFINANCE(B4096,""eps""),0)"),0)</f>
        <v>0</v>
      </c>
      <c r="AJ4096" s="1"/>
      <c r="AK4096" s="1" t="s">
        <v>12445</v>
      </c>
      <c r="AL4096" s="9">
        <f t="shared" si="381"/>
        <v>1</v>
      </c>
    </row>
    <row r="4097" spans="1:38" ht="15" x14ac:dyDescent="0.25">
      <c r="A4097" s="1" t="s">
        <v>12446</v>
      </c>
      <c r="B4097" s="1" t="s">
        <v>12447</v>
      </c>
      <c r="C4097" s="1" t="s">
        <v>706</v>
      </c>
      <c r="D4097" s="1" t="s">
        <v>706</v>
      </c>
      <c r="E4097" s="6">
        <v>31.16</v>
      </c>
      <c r="F4097" s="1" t="s">
        <v>53</v>
      </c>
      <c r="G4097" s="6">
        <f ca="1">IFERROR(__xludf.DUMMYFUNCTION("iferror(GOOGLEFINANCE(TRIM(F4097)&amp;"":"" &amp; TRIM(B4097), ""price""),0
)"),0)</f>
        <v>0</v>
      </c>
      <c r="H4097" s="6">
        <v>6.14</v>
      </c>
      <c r="I4097" s="6">
        <f t="shared" ca="1" si="0"/>
        <v>6.14</v>
      </c>
      <c r="J4097" s="6">
        <f ca="1">IFERROR(__xludf.DUMMYFUNCTION("IFERROR(GOOGLEFINANCE(B4097, ""volume""), 0)"),0)</f>
        <v>0</v>
      </c>
      <c r="K4097" s="6">
        <v>4.07</v>
      </c>
      <c r="L4097" s="6">
        <f ca="1">IFERROR(__xludf.DUMMYFUNCTION("IFERROR(GOOGLEFINANCE(B4097,""changepct""),K4097)"),4.07)</f>
        <v>4.07</v>
      </c>
      <c r="M4097" s="6">
        <f ca="1">IFERROR(__xludf.DUMMYFUNCTION("IFERROR(GOOGLEFINANCE(B4097,""change""),0)"),0)</f>
        <v>0</v>
      </c>
      <c r="N4097" s="6">
        <v>1</v>
      </c>
      <c r="O4097" s="7">
        <v>45536</v>
      </c>
      <c r="P4097" s="6">
        <v>332.63</v>
      </c>
      <c r="Q4097" s="6">
        <v>362.99</v>
      </c>
      <c r="R4097" s="7">
        <v>45536</v>
      </c>
      <c r="S4097" s="6">
        <v>268.57</v>
      </c>
      <c r="T4097" s="6">
        <v>-44.47</v>
      </c>
      <c r="U4097" s="7">
        <v>45536</v>
      </c>
      <c r="V4097" s="6">
        <v>0</v>
      </c>
      <c r="W4097" s="6">
        <f ca="1">IFERROR(__xludf.DUMMYFUNCTION("IFERROR(GOOGLEFINANCE(B4097,""pe""),V4097)"),0)</f>
        <v>0</v>
      </c>
      <c r="X4097" s="9"/>
      <c r="Y4097" s="6">
        <v>1.1200000000000001</v>
      </c>
      <c r="Z4097" s="6">
        <v>1</v>
      </c>
      <c r="AA4097" s="8">
        <v>45352</v>
      </c>
      <c r="AB4097" s="4">
        <v>6.34</v>
      </c>
      <c r="AC4097" s="6">
        <v>-54.97</v>
      </c>
      <c r="AD4097" s="6">
        <v>-5.45</v>
      </c>
      <c r="AE4097" s="1">
        <v>0</v>
      </c>
      <c r="AF4097" s="1">
        <f ca="1">IFERROR(__xludf.DUMMYFUNCTION("IFERROR(GOOGLEFINANCE(TRIM(F4097)&amp;"":"" &amp; TRIM(B4097),""high52""),AE4097)"),0)</f>
        <v>0</v>
      </c>
      <c r="AG4097" s="1">
        <v>0</v>
      </c>
      <c r="AH4097" s="1">
        <f ca="1">IFERROR(__xludf.DUMMYFUNCTION("IFERROR(GOOGLEFINANCE(TRIM(F4097)&amp;"":"" &amp; TRIM(B4097),""low52""),AE4097)"),0)</f>
        <v>0</v>
      </c>
      <c r="AI4097" s="1">
        <f ca="1">IFERROR(__xludf.DUMMYFUNCTION("IFERROR(GOOGLEFINANCE(B4097,""eps""),0)"),0)</f>
        <v>0</v>
      </c>
      <c r="AJ4097" s="1"/>
      <c r="AK4097" s="1" t="s">
        <v>12448</v>
      </c>
      <c r="AL4097" s="9">
        <f t="shared" si="381"/>
        <v>1</v>
      </c>
    </row>
    <row r="4098" spans="1:38" ht="15" x14ac:dyDescent="0.25">
      <c r="A4098" s="1" t="s">
        <v>12449</v>
      </c>
      <c r="B4098" s="1" t="s">
        <v>12450</v>
      </c>
      <c r="C4098" s="1" t="s">
        <v>706</v>
      </c>
      <c r="D4098" s="1" t="s">
        <v>706</v>
      </c>
      <c r="E4098" s="6">
        <v>13.19</v>
      </c>
      <c r="F4098" s="1" t="s">
        <v>53</v>
      </c>
      <c r="G4098" s="6">
        <f ca="1">IFERROR(__xludf.DUMMYFUNCTION("iferror(GOOGLEFINANCE(TRIM(F4098)&amp;"":"" &amp; TRIM(B4098), ""price""),0
)"),0)</f>
        <v>0</v>
      </c>
      <c r="H4098" s="6">
        <v>34.270000000000003</v>
      </c>
      <c r="I4098" s="6">
        <f t="shared" ca="1" si="0"/>
        <v>34.270000000000003</v>
      </c>
      <c r="J4098" s="6">
        <f ca="1">IFERROR(__xludf.DUMMYFUNCTION("IFERROR(GOOGLEFINANCE(B4098, ""volume""), 0)"),0)</f>
        <v>0</v>
      </c>
      <c r="K4098" s="6">
        <v>0</v>
      </c>
      <c r="L4098" s="6">
        <f ca="1">IFERROR(__xludf.DUMMYFUNCTION("IFERROR(GOOGLEFINANCE(B4098,""changepct""),K4098)"),0)</f>
        <v>0</v>
      </c>
      <c r="M4098" s="6">
        <f ca="1">IFERROR(__xludf.DUMMYFUNCTION("IFERROR(GOOGLEFINANCE(B4098,""change""),0)"),0)</f>
        <v>0</v>
      </c>
      <c r="N4098" s="6">
        <v>2</v>
      </c>
      <c r="O4098" s="7">
        <v>45536</v>
      </c>
      <c r="P4098" s="6">
        <v>18.28</v>
      </c>
      <c r="Q4098" s="6">
        <v>31.44</v>
      </c>
      <c r="R4098" s="7">
        <v>45536</v>
      </c>
      <c r="S4098" s="6">
        <v>2.11</v>
      </c>
      <c r="T4098" s="6">
        <v>-2.69</v>
      </c>
      <c r="U4098" s="7">
        <v>45536</v>
      </c>
      <c r="V4098" s="6">
        <v>0</v>
      </c>
      <c r="W4098" s="6">
        <f ca="1">IFERROR(__xludf.DUMMYFUNCTION("IFERROR(GOOGLEFINANCE(B4098,""pe""),V4098)"),0)</f>
        <v>0</v>
      </c>
      <c r="X4098" s="6">
        <v>0</v>
      </c>
      <c r="Y4098" s="6">
        <v>-1.85</v>
      </c>
      <c r="Z4098" s="6">
        <v>2</v>
      </c>
      <c r="AA4098" s="8">
        <v>45352</v>
      </c>
      <c r="AB4098" s="4">
        <v>-2.84</v>
      </c>
      <c r="AC4098" s="6">
        <v>0</v>
      </c>
      <c r="AD4098" s="6">
        <v>5.72</v>
      </c>
      <c r="AE4098" s="1">
        <v>0</v>
      </c>
      <c r="AF4098" s="1">
        <f ca="1">IFERROR(__xludf.DUMMYFUNCTION("IFERROR(GOOGLEFINANCE(TRIM(F4098)&amp;"":"" &amp; TRIM(B4098),""high52""),AE4098)"),0)</f>
        <v>0</v>
      </c>
      <c r="AG4098" s="1">
        <v>0</v>
      </c>
      <c r="AH4098" s="1">
        <f ca="1">IFERROR(__xludf.DUMMYFUNCTION("IFERROR(GOOGLEFINANCE(TRIM(F4098)&amp;"":"" &amp; TRIM(B4098),""low52""),AE4098)"),0)</f>
        <v>0</v>
      </c>
      <c r="AI4098" s="1">
        <f ca="1">IFERROR(__xludf.DUMMYFUNCTION("IFERROR(GOOGLEFINANCE(B4098,""eps""),0)"),0)</f>
        <v>0</v>
      </c>
      <c r="AJ4098" s="1"/>
      <c r="AK4098" s="1" t="s">
        <v>12451</v>
      </c>
      <c r="AL4098" s="9">
        <f t="shared" si="381"/>
        <v>1</v>
      </c>
    </row>
    <row r="4099" spans="1:38" ht="15" x14ac:dyDescent="0.25">
      <c r="A4099" s="1" t="s">
        <v>12452</v>
      </c>
      <c r="B4099" s="1" t="s">
        <v>12453</v>
      </c>
      <c r="C4099" s="1" t="s">
        <v>706</v>
      </c>
      <c r="D4099" s="1" t="s">
        <v>706</v>
      </c>
      <c r="E4099" s="6">
        <v>60.05</v>
      </c>
      <c r="F4099" s="1" t="s">
        <v>53</v>
      </c>
      <c r="G4099" s="6">
        <f ca="1">IFERROR(__xludf.DUMMYFUNCTION("iferror(GOOGLEFINANCE(TRIM(F4099)&amp;"":"" &amp; TRIM(B4099), ""price""),0
)"),0)</f>
        <v>0</v>
      </c>
      <c r="H4099" s="6">
        <v>211.9</v>
      </c>
      <c r="I4099" s="6">
        <f t="shared" ca="1" si="0"/>
        <v>211.9</v>
      </c>
      <c r="J4099" s="6">
        <f ca="1">IFERROR(__xludf.DUMMYFUNCTION("IFERROR(GOOGLEFINANCE(B4099, ""volume""), 0)"),0)</f>
        <v>0</v>
      </c>
      <c r="K4099" s="12"/>
      <c r="L4099" s="6" t="str">
        <f ca="1">IFERROR(__xludf.DUMMYFUNCTION("IFERROR(GOOGLEFINANCE(B4099,""changepct""),K4099)"),"")</f>
        <v/>
      </c>
      <c r="M4099" s="6">
        <f ca="1">IFERROR(__xludf.DUMMYFUNCTION("IFERROR(GOOGLEFINANCE(B4099,""change""),0)"),0)</f>
        <v>0</v>
      </c>
      <c r="N4099" s="6">
        <v>1</v>
      </c>
      <c r="O4099" s="7">
        <v>45536</v>
      </c>
      <c r="P4099" s="6">
        <v>3.88</v>
      </c>
      <c r="Q4099" s="6">
        <v>63.93</v>
      </c>
      <c r="R4099" s="7">
        <v>45536</v>
      </c>
      <c r="S4099" s="6">
        <v>4.09</v>
      </c>
      <c r="T4099" s="6">
        <v>-2.6</v>
      </c>
      <c r="U4099" s="7">
        <v>45536</v>
      </c>
      <c r="V4099" s="6">
        <v>0</v>
      </c>
      <c r="W4099" s="6">
        <f ca="1">IFERROR(__xludf.DUMMYFUNCTION("IFERROR(GOOGLEFINANCE(B4099,""pe""),V4099)"),0)</f>
        <v>0</v>
      </c>
      <c r="X4099" s="12"/>
      <c r="Y4099" s="6">
        <v>9.61</v>
      </c>
      <c r="Z4099" s="6">
        <v>1</v>
      </c>
      <c r="AA4099" s="8">
        <v>45352</v>
      </c>
      <c r="AB4099" s="4">
        <v>0.5</v>
      </c>
      <c r="AC4099" s="6">
        <v>-23.19</v>
      </c>
      <c r="AD4099" s="6">
        <v>-15.18</v>
      </c>
      <c r="AE4099" s="1">
        <v>0</v>
      </c>
      <c r="AF4099" s="1">
        <f ca="1">IFERROR(__xludf.DUMMYFUNCTION("IFERROR(GOOGLEFINANCE(TRIM(F4099)&amp;"":"" &amp; TRIM(B4099),""high52""),AE4099)"),0)</f>
        <v>0</v>
      </c>
      <c r="AG4099" s="1">
        <v>0</v>
      </c>
      <c r="AH4099" s="1">
        <f ca="1">IFERROR(__xludf.DUMMYFUNCTION("IFERROR(GOOGLEFINANCE(TRIM(F4099)&amp;"":"" &amp; TRIM(B4099),""low52""),AE4099)"),0)</f>
        <v>0</v>
      </c>
      <c r="AI4099" s="1">
        <f ca="1">IFERROR(__xludf.DUMMYFUNCTION("IFERROR(GOOGLEFINANCE(B4099,""eps""),0)"),0)</f>
        <v>0</v>
      </c>
      <c r="AJ4099" s="1"/>
      <c r="AK4099" s="1" t="s">
        <v>12454</v>
      </c>
      <c r="AL4099" s="9">
        <f t="shared" si="381"/>
        <v>1</v>
      </c>
    </row>
    <row r="4100" spans="1:38" ht="15" x14ac:dyDescent="0.25">
      <c r="A4100" s="1" t="s">
        <v>12455</v>
      </c>
      <c r="B4100" s="1" t="s">
        <v>12456</v>
      </c>
      <c r="C4100" s="1" t="s">
        <v>706</v>
      </c>
      <c r="D4100" s="1" t="s">
        <v>706</v>
      </c>
      <c r="E4100" s="6">
        <v>3.59</v>
      </c>
      <c r="F4100" s="1" t="s">
        <v>53</v>
      </c>
      <c r="G4100" s="6">
        <f ca="1">IFERROR(__xludf.DUMMYFUNCTION("iferror(GOOGLEFINANCE(TRIM(F4100)&amp;"":"" &amp; TRIM(B4100), ""price""),0
)"),0)</f>
        <v>0</v>
      </c>
      <c r="H4100" s="6">
        <v>8.4499999999999993</v>
      </c>
      <c r="I4100" s="6">
        <f t="shared" ca="1" si="0"/>
        <v>8.4499999999999993</v>
      </c>
      <c r="J4100" s="6">
        <f ca="1">IFERROR(__xludf.DUMMYFUNCTION("IFERROR(GOOGLEFINANCE(B4100, ""volume""), 0)"),0)</f>
        <v>0</v>
      </c>
      <c r="K4100" s="9"/>
      <c r="L4100" s="6" t="str">
        <f ca="1">IFERROR(__xludf.DUMMYFUNCTION("IFERROR(GOOGLEFINANCE(B4100,""changepct""),K4100)"),"")</f>
        <v/>
      </c>
      <c r="M4100" s="6">
        <f ca="1">IFERROR(__xludf.DUMMYFUNCTION("IFERROR(GOOGLEFINANCE(B4100,""change""),0)"),0)</f>
        <v>0</v>
      </c>
      <c r="N4100" s="6">
        <v>1</v>
      </c>
      <c r="O4100" s="7">
        <v>45536</v>
      </c>
      <c r="P4100" s="9"/>
      <c r="Q4100" s="6">
        <v>3.59</v>
      </c>
      <c r="R4100" s="7">
        <v>45536</v>
      </c>
      <c r="S4100" s="6">
        <v>0</v>
      </c>
      <c r="T4100" s="6">
        <v>-0.08</v>
      </c>
      <c r="U4100" s="7">
        <v>45536</v>
      </c>
      <c r="V4100" s="6">
        <v>0</v>
      </c>
      <c r="W4100" s="6">
        <f ca="1">IFERROR(__xludf.DUMMYFUNCTION("IFERROR(GOOGLEFINANCE(B4100,""pe""),V4100)"),0)</f>
        <v>0</v>
      </c>
      <c r="X4100" s="9"/>
      <c r="Y4100" s="6">
        <v>1.79</v>
      </c>
      <c r="Z4100" s="6">
        <v>1</v>
      </c>
      <c r="AA4100" s="8">
        <v>45352</v>
      </c>
      <c r="AB4100" s="4">
        <v>0</v>
      </c>
      <c r="AC4100" s="6">
        <v>-4.2300000000000004</v>
      </c>
      <c r="AD4100" s="6">
        <v>-3.86</v>
      </c>
      <c r="AE4100" s="1">
        <v>0</v>
      </c>
      <c r="AF4100" s="1">
        <f ca="1">IFERROR(__xludf.DUMMYFUNCTION("IFERROR(GOOGLEFINANCE(TRIM(F4100)&amp;"":"" &amp; TRIM(B4100),""high52""),AE4100)"),0)</f>
        <v>0</v>
      </c>
      <c r="AG4100" s="1">
        <v>0</v>
      </c>
      <c r="AH4100" s="1">
        <f ca="1">IFERROR(__xludf.DUMMYFUNCTION("IFERROR(GOOGLEFINANCE(TRIM(F4100)&amp;"":"" &amp; TRIM(B4100),""low52""),AE4100)"),0)</f>
        <v>0</v>
      </c>
      <c r="AI4100" s="1">
        <f ca="1">IFERROR(__xludf.DUMMYFUNCTION("IFERROR(GOOGLEFINANCE(B4100,""eps""),0)"),0)</f>
        <v>0</v>
      </c>
      <c r="AJ4100" s="1"/>
      <c r="AK4100" s="1" t="s">
        <v>12457</v>
      </c>
      <c r="AL4100" s="9">
        <f t="shared" si="381"/>
        <v>1</v>
      </c>
    </row>
    <row r="4101" spans="1:38" ht="15" x14ac:dyDescent="0.25">
      <c r="A4101" s="1" t="s">
        <v>12458</v>
      </c>
      <c r="B4101" s="1" t="s">
        <v>12459</v>
      </c>
      <c r="C4101" s="1" t="s">
        <v>359</v>
      </c>
      <c r="D4101" s="1" t="s">
        <v>359</v>
      </c>
      <c r="E4101" s="6">
        <v>4958.12</v>
      </c>
      <c r="F4101" s="1" t="s">
        <v>40</v>
      </c>
      <c r="G4101" s="6">
        <f ca="1">IFERROR(__xludf.DUMMYFUNCTION("iferror(GOOGLEFINANCE(TRIM(F4101)&amp;"":"" &amp; TRIM(B4101), ""price""),0
)"),223.55)</f>
        <v>223.55</v>
      </c>
      <c r="H4101" s="6">
        <v>298</v>
      </c>
      <c r="I4101" s="6">
        <f t="shared" ca="1" si="0"/>
        <v>223.55</v>
      </c>
      <c r="J4101" s="6">
        <f ca="1">IFERROR(__xludf.DUMMYFUNCTION("IFERROR(GOOGLEFINANCE(B4101, ""volume""), 0)"),907187)</f>
        <v>907187</v>
      </c>
      <c r="K4101" s="6">
        <v>0</v>
      </c>
      <c r="L4101" s="6">
        <f ca="1">IFERROR(__xludf.DUMMYFUNCTION("IFERROR(GOOGLEFINANCE(B4101,""changepct""),K4101)"),1.55)</f>
        <v>1.55</v>
      </c>
      <c r="M4101" s="6">
        <f ca="1">IFERROR(__xludf.DUMMYFUNCTION("IFERROR(GOOGLEFINANCE(B4101,""change""),0)"),3.42)</f>
        <v>3.42</v>
      </c>
      <c r="N4101" s="6">
        <v>2</v>
      </c>
      <c r="O4101" s="7">
        <v>45536</v>
      </c>
      <c r="P4101" s="6">
        <v>110.72</v>
      </c>
      <c r="Q4101" s="6">
        <v>4962.49</v>
      </c>
      <c r="R4101" s="7">
        <v>45536</v>
      </c>
      <c r="S4101" s="6">
        <v>3230.15</v>
      </c>
      <c r="T4101" s="6">
        <v>123.36</v>
      </c>
      <c r="U4101" s="7">
        <v>45536</v>
      </c>
      <c r="V4101" s="6">
        <v>39.880000000000003</v>
      </c>
      <c r="W4101" s="6">
        <f ca="1">IFERROR(__xludf.DUMMYFUNCTION("IFERROR(GOOGLEFINANCE(B4101,""pe""),V4101)"),17.92)</f>
        <v>17.920000000000002</v>
      </c>
      <c r="X4101" s="6">
        <v>-14.09</v>
      </c>
      <c r="Y4101" s="6">
        <v>3.83</v>
      </c>
      <c r="Z4101" s="6">
        <v>2</v>
      </c>
      <c r="AA4101" s="8">
        <v>45352</v>
      </c>
      <c r="AB4101" s="4">
        <v>0.09</v>
      </c>
      <c r="AC4101" s="6">
        <v>10.44</v>
      </c>
      <c r="AD4101" s="6">
        <v>14.46</v>
      </c>
      <c r="AE4101" s="1">
        <v>0</v>
      </c>
      <c r="AF4101" s="1">
        <f ca="1">IFERROR(__xludf.DUMMYFUNCTION("IFERROR(GOOGLEFINANCE(TRIM(F4101)&amp;"":"" &amp; TRIM(B4101),""high52""),AE4101)"),293.25)</f>
        <v>293.25</v>
      </c>
      <c r="AG4101" s="1">
        <v>0</v>
      </c>
      <c r="AH4101" s="1">
        <f ca="1">IFERROR(__xludf.DUMMYFUNCTION("IFERROR(GOOGLEFINANCE(TRIM(F4101)&amp;"":"" &amp; TRIM(B4101),""low52""),AE4101)"),195)</f>
        <v>195</v>
      </c>
      <c r="AI4101" s="1">
        <f ca="1">IFERROR(__xludf.DUMMYFUNCTION("IFERROR(GOOGLEFINANCE(B4101,""eps""),0)"),12.47)</f>
        <v>12.47</v>
      </c>
      <c r="AJ4101" s="1"/>
      <c r="AK4101" s="1" t="s">
        <v>12460</v>
      </c>
      <c r="AL4101" s="9">
        <f t="shared" si="381"/>
        <v>1</v>
      </c>
    </row>
    <row r="4102" spans="1:38" ht="15" x14ac:dyDescent="0.25">
      <c r="A4102" s="1" t="s">
        <v>12461</v>
      </c>
      <c r="B4102" s="1" t="s">
        <v>12462</v>
      </c>
      <c r="C4102" s="1" t="s">
        <v>163</v>
      </c>
      <c r="D4102" s="1" t="s">
        <v>163</v>
      </c>
      <c r="E4102" s="6">
        <v>143.04</v>
      </c>
      <c r="F4102" s="1" t="s">
        <v>40</v>
      </c>
      <c r="G4102" s="6">
        <f ca="1">IFERROR(__xludf.DUMMYFUNCTION("iferror(GOOGLEFINANCE(TRIM(F4102)&amp;"":"" &amp; TRIM(B4102), ""price""),0
)"),0)</f>
        <v>0</v>
      </c>
      <c r="H4102" s="6">
        <v>136</v>
      </c>
      <c r="I4102" s="6">
        <f t="shared" ca="1" si="0"/>
        <v>136</v>
      </c>
      <c r="J4102" s="6">
        <f ca="1">IFERROR(__xludf.DUMMYFUNCTION("IFERROR(GOOGLEFINANCE(B4102, ""volume""), 0)"),0)</f>
        <v>0</v>
      </c>
      <c r="K4102" s="6">
        <v>-0.04</v>
      </c>
      <c r="L4102" s="6">
        <f ca="1">IFERROR(__xludf.DUMMYFUNCTION("IFERROR(GOOGLEFINANCE(B4102,""changepct""),K4102)"),-0.04)</f>
        <v>-0.04</v>
      </c>
      <c r="M4102" s="6">
        <f ca="1">IFERROR(__xludf.DUMMYFUNCTION("IFERROR(GOOGLEFINANCE(B4102,""change""),0)"),0)</f>
        <v>0</v>
      </c>
      <c r="N4102" s="6">
        <v>1</v>
      </c>
      <c r="O4102" s="7">
        <v>45536</v>
      </c>
      <c r="P4102" s="6">
        <v>1.1299999999999999</v>
      </c>
      <c r="Q4102" s="6">
        <v>144.16999999999999</v>
      </c>
      <c r="R4102" s="7">
        <v>45352</v>
      </c>
      <c r="S4102" s="6">
        <v>97.33</v>
      </c>
      <c r="T4102" s="6">
        <v>1.05</v>
      </c>
      <c r="U4102" s="7">
        <v>45352</v>
      </c>
      <c r="V4102" s="6">
        <v>136.88</v>
      </c>
      <c r="W4102" s="6">
        <f ca="1">IFERROR(__xludf.DUMMYFUNCTION("IFERROR(GOOGLEFINANCE(B4102,""pe""),V4102)"),136.88)</f>
        <v>136.88</v>
      </c>
      <c r="X4102" s="9"/>
      <c r="Y4102" s="6">
        <v>3.44</v>
      </c>
      <c r="Z4102" s="6">
        <v>2</v>
      </c>
      <c r="AA4102" s="8">
        <v>45352</v>
      </c>
      <c r="AB4102" s="4">
        <v>0.04</v>
      </c>
      <c r="AC4102" s="6">
        <v>4.82</v>
      </c>
      <c r="AD4102" s="6">
        <v>8.14</v>
      </c>
      <c r="AE4102" s="1">
        <v>0</v>
      </c>
      <c r="AF4102" s="1">
        <f ca="1">IFERROR(__xludf.DUMMYFUNCTION("IFERROR(GOOGLEFINANCE(TRIM(F4102)&amp;"":"" &amp; TRIM(B4102),""high52""),AE4102)"),0)</f>
        <v>0</v>
      </c>
      <c r="AG4102" s="1">
        <v>0</v>
      </c>
      <c r="AH4102" s="1">
        <f ca="1">IFERROR(__xludf.DUMMYFUNCTION("IFERROR(GOOGLEFINANCE(TRIM(F4102)&amp;"":"" &amp; TRIM(B4102),""low52""),AE4102)"),0)</f>
        <v>0</v>
      </c>
      <c r="AI4102" s="1">
        <f ca="1">IFERROR(__xludf.DUMMYFUNCTION("IFERROR(GOOGLEFINANCE(B4102,""eps""),0)"),0)</f>
        <v>0</v>
      </c>
      <c r="AJ4102" s="1"/>
      <c r="AK4102" s="1" t="s">
        <v>12463</v>
      </c>
      <c r="AL4102" s="9">
        <f t="shared" si="381"/>
        <v>1</v>
      </c>
    </row>
    <row r="4103" spans="1:38" ht="15" x14ac:dyDescent="0.25">
      <c r="A4103" s="1" t="s">
        <v>12464</v>
      </c>
      <c r="B4103" s="1" t="s">
        <v>12465</v>
      </c>
      <c r="C4103" s="1" t="s">
        <v>106</v>
      </c>
      <c r="D4103" s="1" t="s">
        <v>106</v>
      </c>
      <c r="E4103" s="6">
        <v>230.33</v>
      </c>
      <c r="F4103" s="1" t="s">
        <v>40</v>
      </c>
      <c r="G4103" s="6">
        <f ca="1">IFERROR(__xludf.DUMMYFUNCTION("iferror(GOOGLEFINANCE(TRIM(F4103)&amp;"":"" &amp; TRIM(B4103), ""price""),0
)"),8)</f>
        <v>8</v>
      </c>
      <c r="H4103" s="6">
        <v>18</v>
      </c>
      <c r="I4103" s="6">
        <f t="shared" ca="1" si="0"/>
        <v>8</v>
      </c>
      <c r="J4103" s="6">
        <f ca="1">IFERROR(__xludf.DUMMYFUNCTION("IFERROR(GOOGLEFINANCE(B4103, ""volume""), 0)"),53939)</f>
        <v>53939</v>
      </c>
      <c r="K4103" s="6">
        <v>0</v>
      </c>
      <c r="L4103" s="6">
        <f ca="1">IFERROR(__xludf.DUMMYFUNCTION("IFERROR(GOOGLEFINANCE(B4103,""changepct""),K4103)"),-0.37)</f>
        <v>-0.37</v>
      </c>
      <c r="M4103" s="6">
        <f ca="1">IFERROR(__xludf.DUMMYFUNCTION("IFERROR(GOOGLEFINANCE(B4103,""change""),0)"),-0.03)</f>
        <v>-0.03</v>
      </c>
      <c r="N4103" s="6">
        <v>1</v>
      </c>
      <c r="O4103" s="7">
        <v>45536</v>
      </c>
      <c r="P4103" s="6">
        <v>12.35</v>
      </c>
      <c r="Q4103" s="6">
        <v>241.54</v>
      </c>
      <c r="R4103" s="7">
        <v>45536</v>
      </c>
      <c r="S4103" s="6">
        <v>99.16</v>
      </c>
      <c r="T4103" s="6">
        <v>1.0900000000000001</v>
      </c>
      <c r="U4103" s="7">
        <v>45536</v>
      </c>
      <c r="V4103" s="6">
        <v>210.73</v>
      </c>
      <c r="W4103" s="6">
        <f ca="1">IFERROR(__xludf.DUMMYFUNCTION("IFERROR(GOOGLEFINANCE(B4103,""pe""),V4103)"),24.56)</f>
        <v>24.56</v>
      </c>
      <c r="X4103" s="6">
        <v>1239.6099999999999</v>
      </c>
      <c r="Y4103" s="6">
        <v>4.24</v>
      </c>
      <c r="Z4103" s="6">
        <v>1</v>
      </c>
      <c r="AA4103" s="8">
        <v>45352</v>
      </c>
      <c r="AB4103" s="4">
        <v>0.35</v>
      </c>
      <c r="AC4103" s="6">
        <v>2.09</v>
      </c>
      <c r="AD4103" s="6">
        <v>5.82</v>
      </c>
      <c r="AE4103" s="1">
        <v>0</v>
      </c>
      <c r="AF4103" s="1">
        <f ca="1">IFERROR(__xludf.DUMMYFUNCTION("IFERROR(GOOGLEFINANCE(TRIM(F4103)&amp;"":"" &amp; TRIM(B4103),""high52""),AE4103)"),18.8)</f>
        <v>18.8</v>
      </c>
      <c r="AG4103" s="1">
        <v>0</v>
      </c>
      <c r="AH4103" s="1">
        <f ca="1">IFERROR(__xludf.DUMMYFUNCTION("IFERROR(GOOGLEFINANCE(TRIM(F4103)&amp;"":"" &amp; TRIM(B4103),""low52""),AE4103)"),7.4)</f>
        <v>7.4</v>
      </c>
      <c r="AI4103" s="1">
        <f ca="1">IFERROR(__xludf.DUMMYFUNCTION("IFERROR(GOOGLEFINANCE(B4103,""eps""),0)"),0.33)</f>
        <v>0.33</v>
      </c>
      <c r="AJ4103" s="1"/>
      <c r="AK4103" s="1" t="s">
        <v>12466</v>
      </c>
      <c r="AL4103" s="9">
        <f t="shared" si="381"/>
        <v>1</v>
      </c>
    </row>
    <row r="4104" spans="1:38" ht="15" x14ac:dyDescent="0.25">
      <c r="A4104" s="1" t="s">
        <v>12467</v>
      </c>
      <c r="B4104" s="1" t="s">
        <v>12468</v>
      </c>
      <c r="C4104" s="1" t="s">
        <v>706</v>
      </c>
      <c r="D4104" s="1" t="s">
        <v>706</v>
      </c>
      <c r="E4104" s="6">
        <v>31.26</v>
      </c>
      <c r="F4104" s="1" t="s">
        <v>53</v>
      </c>
      <c r="G4104" s="6">
        <f ca="1">IFERROR(__xludf.DUMMYFUNCTION("iferror(GOOGLEFINANCE(TRIM(F4104)&amp;"":"" &amp; TRIM(B4104), ""price""),0
)"),0)</f>
        <v>0</v>
      </c>
      <c r="H4104" s="6">
        <v>40.97</v>
      </c>
      <c r="I4104" s="6">
        <f t="shared" ca="1" si="0"/>
        <v>40.97</v>
      </c>
      <c r="J4104" s="6">
        <f ca="1">IFERROR(__xludf.DUMMYFUNCTION("IFERROR(GOOGLEFINANCE(B4104, ""volume""), 0)"),0)</f>
        <v>0</v>
      </c>
      <c r="K4104" s="6">
        <v>3.85</v>
      </c>
      <c r="L4104" s="6">
        <f ca="1">IFERROR(__xludf.DUMMYFUNCTION("IFERROR(GOOGLEFINANCE(B4104,""changepct""),K4104)"),3.85)</f>
        <v>3.85</v>
      </c>
      <c r="M4104" s="6">
        <f ca="1">IFERROR(__xludf.DUMMYFUNCTION("IFERROR(GOOGLEFINANCE(B4104,""change""),0)"),0)</f>
        <v>0</v>
      </c>
      <c r="N4104" s="6">
        <v>1</v>
      </c>
      <c r="O4104" s="7">
        <v>45536</v>
      </c>
      <c r="P4104" s="6">
        <v>79.27</v>
      </c>
      <c r="Q4104" s="6">
        <v>107.86</v>
      </c>
      <c r="R4104" s="7">
        <v>45536</v>
      </c>
      <c r="S4104" s="6">
        <v>158.38999999999999</v>
      </c>
      <c r="T4104" s="6">
        <v>-4.8</v>
      </c>
      <c r="U4104" s="7">
        <v>45536</v>
      </c>
      <c r="V4104" s="6">
        <v>0</v>
      </c>
      <c r="W4104" s="6">
        <f ca="1">IFERROR(__xludf.DUMMYFUNCTION("IFERROR(GOOGLEFINANCE(B4104,""pe""),V4104)"),0)</f>
        <v>0</v>
      </c>
      <c r="X4104" s="9"/>
      <c r="Y4104" s="6">
        <v>1.6</v>
      </c>
      <c r="Z4104" s="6">
        <v>1</v>
      </c>
      <c r="AA4104" s="8">
        <v>45352</v>
      </c>
      <c r="AB4104" s="4">
        <v>3.82</v>
      </c>
      <c r="AC4104" s="6">
        <v>-35.340000000000003</v>
      </c>
      <c r="AD4104" s="6">
        <v>-4.26</v>
      </c>
      <c r="AE4104" s="1">
        <v>0</v>
      </c>
      <c r="AF4104" s="1">
        <f ca="1">IFERROR(__xludf.DUMMYFUNCTION("IFERROR(GOOGLEFINANCE(TRIM(F4104)&amp;"":"" &amp; TRIM(B4104),""high52""),AE4104)"),0)</f>
        <v>0</v>
      </c>
      <c r="AG4104" s="1">
        <v>0</v>
      </c>
      <c r="AH4104" s="1">
        <f ca="1">IFERROR(__xludf.DUMMYFUNCTION("IFERROR(GOOGLEFINANCE(TRIM(F4104)&amp;"":"" &amp; TRIM(B4104),""low52""),AE4104)"),0)</f>
        <v>0</v>
      </c>
      <c r="AI4104" s="1">
        <f ca="1">IFERROR(__xludf.DUMMYFUNCTION("IFERROR(GOOGLEFINANCE(B4104,""eps""),0)"),0)</f>
        <v>0</v>
      </c>
      <c r="AJ4104" s="1"/>
      <c r="AK4104" s="1" t="s">
        <v>12469</v>
      </c>
      <c r="AL4104" s="9">
        <f t="shared" si="381"/>
        <v>1</v>
      </c>
    </row>
    <row r="4105" spans="1:38" ht="15" x14ac:dyDescent="0.25">
      <c r="A4105" s="1" t="s">
        <v>12470</v>
      </c>
      <c r="B4105" s="1" t="s">
        <v>12471</v>
      </c>
      <c r="C4105" s="1" t="s">
        <v>706</v>
      </c>
      <c r="D4105" s="1" t="s">
        <v>706</v>
      </c>
      <c r="E4105" s="6">
        <v>15.34</v>
      </c>
      <c r="F4105" s="1" t="s">
        <v>53</v>
      </c>
      <c r="G4105" s="6">
        <f ca="1">IFERROR(__xludf.DUMMYFUNCTION("iferror(GOOGLEFINANCE(TRIM(F4105)&amp;"":"" &amp; TRIM(B4105), ""price""),0
)"),0)</f>
        <v>0</v>
      </c>
      <c r="H4105" s="6">
        <v>9.41</v>
      </c>
      <c r="I4105" s="6">
        <f t="shared" ca="1" si="0"/>
        <v>9.41</v>
      </c>
      <c r="J4105" s="6">
        <f ca="1">IFERROR(__xludf.DUMMYFUNCTION("IFERROR(GOOGLEFINANCE(B4105, ""volume""), 0)"),0)</f>
        <v>0</v>
      </c>
      <c r="K4105" s="6">
        <v>0</v>
      </c>
      <c r="L4105" s="6">
        <f ca="1">IFERROR(__xludf.DUMMYFUNCTION("IFERROR(GOOGLEFINANCE(B4105,""changepct""),K4105)"),0)</f>
        <v>0</v>
      </c>
      <c r="M4105" s="6">
        <f ca="1">IFERROR(__xludf.DUMMYFUNCTION("IFERROR(GOOGLEFINANCE(B4105,""change""),0)"),0)</f>
        <v>0</v>
      </c>
      <c r="N4105" s="6">
        <v>1</v>
      </c>
      <c r="O4105" s="7">
        <v>45536</v>
      </c>
      <c r="P4105" s="9"/>
      <c r="Q4105" s="6">
        <v>15.34</v>
      </c>
      <c r="R4105" s="7">
        <v>45536</v>
      </c>
      <c r="S4105" s="6">
        <v>4.13</v>
      </c>
      <c r="T4105" s="6">
        <v>-0.47</v>
      </c>
      <c r="U4105" s="7">
        <v>45536</v>
      </c>
      <c r="V4105" s="6">
        <v>0</v>
      </c>
      <c r="W4105" s="6">
        <f ca="1">IFERROR(__xludf.DUMMYFUNCTION("IFERROR(GOOGLEFINANCE(B4105,""pe""),V4105)"),0)</f>
        <v>0</v>
      </c>
      <c r="X4105" s="6">
        <v>0</v>
      </c>
      <c r="Y4105" s="6">
        <v>-3.41</v>
      </c>
      <c r="Z4105" s="6">
        <v>1</v>
      </c>
      <c r="AA4105" s="8">
        <v>45352</v>
      </c>
      <c r="AB4105" s="4">
        <v>0</v>
      </c>
      <c r="AC4105" s="6">
        <v>0</v>
      </c>
      <c r="AD4105" s="6">
        <v>0</v>
      </c>
      <c r="AE4105" s="1">
        <v>0</v>
      </c>
      <c r="AF4105" s="1">
        <f ca="1">IFERROR(__xludf.DUMMYFUNCTION("IFERROR(GOOGLEFINANCE(TRIM(F4105)&amp;"":"" &amp; TRIM(B4105),""high52""),AE4105)"),0)</f>
        <v>0</v>
      </c>
      <c r="AG4105" s="1">
        <v>0</v>
      </c>
      <c r="AH4105" s="1">
        <f ca="1">IFERROR(__xludf.DUMMYFUNCTION("IFERROR(GOOGLEFINANCE(TRIM(F4105)&amp;"":"" &amp; TRIM(B4105),""low52""),AE4105)"),0)</f>
        <v>0</v>
      </c>
      <c r="AI4105" s="1">
        <f ca="1">IFERROR(__xludf.DUMMYFUNCTION("IFERROR(GOOGLEFINANCE(B4105,""eps""),0)"),0)</f>
        <v>0</v>
      </c>
      <c r="AJ4105" s="1"/>
      <c r="AK4105" s="1" t="s">
        <v>12472</v>
      </c>
      <c r="AL4105" s="9">
        <f t="shared" si="381"/>
        <v>1</v>
      </c>
    </row>
    <row r="4106" spans="1:38" ht="15" x14ac:dyDescent="0.25">
      <c r="A4106" s="1" t="s">
        <v>12473</v>
      </c>
      <c r="B4106" s="1" t="s">
        <v>12474</v>
      </c>
      <c r="C4106" s="1" t="s">
        <v>90</v>
      </c>
      <c r="D4106" s="1" t="s">
        <v>90</v>
      </c>
      <c r="E4106" s="6">
        <v>3813.91</v>
      </c>
      <c r="F4106" s="1" t="s">
        <v>40</v>
      </c>
      <c r="G4106" s="6">
        <f ca="1">IFERROR(__xludf.DUMMYFUNCTION("iferror(GOOGLEFINANCE(TRIM(F4106)&amp;"":"" &amp; TRIM(B4106), ""price""),0
)"),6.82)</f>
        <v>6.82</v>
      </c>
      <c r="H4106" s="6">
        <v>35.49</v>
      </c>
      <c r="I4106" s="6">
        <f t="shared" ca="1" si="0"/>
        <v>6.82</v>
      </c>
      <c r="J4106" s="6">
        <f ca="1">IFERROR(__xludf.DUMMYFUNCTION("IFERROR(GOOGLEFINANCE(B4106, ""volume""), 0)"),2252569)</f>
        <v>2252569</v>
      </c>
      <c r="K4106" s="6">
        <v>1.17</v>
      </c>
      <c r="L4106" s="6">
        <f ca="1">IFERROR(__xludf.DUMMYFUNCTION("IFERROR(GOOGLEFINANCE(B4106,""changepct""),K4106)"),0.59)</f>
        <v>0.59</v>
      </c>
      <c r="M4106" s="6">
        <f ca="1">IFERROR(__xludf.DUMMYFUNCTION("IFERROR(GOOGLEFINANCE(B4106,""change""),0)"),0.04)</f>
        <v>0.04</v>
      </c>
      <c r="N4106" s="6">
        <v>2</v>
      </c>
      <c r="O4106" s="7">
        <v>45536</v>
      </c>
      <c r="P4106" s="6">
        <v>8.32</v>
      </c>
      <c r="Q4106" s="6">
        <v>3778.58</v>
      </c>
      <c r="R4106" s="7">
        <v>45536</v>
      </c>
      <c r="S4106" s="6">
        <v>229.41</v>
      </c>
      <c r="T4106" s="6">
        <v>6.26</v>
      </c>
      <c r="U4106" s="7">
        <v>45536</v>
      </c>
      <c r="V4106" s="6">
        <v>599.95000000000005</v>
      </c>
      <c r="W4106" s="6">
        <f ca="1">IFERROR(__xludf.DUMMYFUNCTION("IFERROR(GOOGLEFINANCE(B4106,""pe""),V4106)"),63)</f>
        <v>63</v>
      </c>
      <c r="X4106" s="6">
        <v>-19.670000000000002</v>
      </c>
      <c r="Y4106" s="6">
        <v>19.28</v>
      </c>
      <c r="Z4106" s="6">
        <v>2</v>
      </c>
      <c r="AA4106" s="8">
        <v>45352</v>
      </c>
      <c r="AB4106" s="4">
        <v>0.1</v>
      </c>
      <c r="AC4106" s="6">
        <v>3.61</v>
      </c>
      <c r="AD4106" s="6">
        <v>7.63</v>
      </c>
      <c r="AE4106" s="1">
        <v>0</v>
      </c>
      <c r="AF4106" s="1">
        <f ca="1">IFERROR(__xludf.DUMMYFUNCTION("IFERROR(GOOGLEFINANCE(TRIM(F4106)&amp;"":"" &amp; TRIM(B4106),""high52""),AE4106)"),21.6)</f>
        <v>21.6</v>
      </c>
      <c r="AG4106" s="1">
        <v>0</v>
      </c>
      <c r="AH4106" s="1">
        <f ca="1">IFERROR(__xludf.DUMMYFUNCTION("IFERROR(GOOGLEFINANCE(TRIM(F4106)&amp;"":"" &amp; TRIM(B4106),""low52""),AE4106)"),6.5)</f>
        <v>6.5</v>
      </c>
      <c r="AI4106" s="1">
        <f ca="1">IFERROR(__xludf.DUMMYFUNCTION("IFERROR(GOOGLEFINANCE(B4106,""eps""),0)"),0.11)</f>
        <v>0.11</v>
      </c>
      <c r="AJ4106" s="1"/>
      <c r="AK4106" s="1" t="s">
        <v>12475</v>
      </c>
      <c r="AL4106" s="1" t="b">
        <f>ISNUMBER(AA4106)</f>
        <v>1</v>
      </c>
    </row>
    <row r="4107" spans="1:38" ht="15" x14ac:dyDescent="0.25">
      <c r="A4107" s="1" t="s">
        <v>12476</v>
      </c>
      <c r="B4107" s="1" t="s">
        <v>12477</v>
      </c>
      <c r="C4107" s="1" t="s">
        <v>106</v>
      </c>
      <c r="D4107" s="1" t="s">
        <v>106</v>
      </c>
      <c r="E4107" s="6">
        <v>496.42</v>
      </c>
      <c r="F4107" s="1" t="s">
        <v>40</v>
      </c>
      <c r="G4107" s="6">
        <f ca="1">IFERROR(__xludf.DUMMYFUNCTION("iferror(GOOGLEFINANCE(TRIM(F4107)&amp;"":"" &amp; TRIM(B4107), ""price""),0
)"),58)</f>
        <v>58</v>
      </c>
      <c r="H4107" s="6">
        <v>113.94</v>
      </c>
      <c r="I4107" s="6">
        <f t="shared" ca="1" si="0"/>
        <v>58</v>
      </c>
      <c r="J4107" s="6">
        <f ca="1">IFERROR(__xludf.DUMMYFUNCTION("IFERROR(GOOGLEFINANCE(B4107, ""volume""), 0)"),5158)</f>
        <v>5158</v>
      </c>
      <c r="K4107" s="6">
        <v>-0.15</v>
      </c>
      <c r="L4107" s="6">
        <f ca="1">IFERROR(__xludf.DUMMYFUNCTION("IFERROR(GOOGLEFINANCE(B4107,""changepct""),K4107)"),0.54)</f>
        <v>0.54</v>
      </c>
      <c r="M4107" s="6">
        <f ca="1">IFERROR(__xludf.DUMMYFUNCTION("IFERROR(GOOGLEFINANCE(B4107,""change""),0)"),0.31)</f>
        <v>0.31</v>
      </c>
      <c r="N4107" s="6">
        <v>2</v>
      </c>
      <c r="O4107" s="7">
        <v>45536</v>
      </c>
      <c r="P4107" s="6">
        <v>115.01</v>
      </c>
      <c r="Q4107" s="6">
        <v>492.45</v>
      </c>
      <c r="R4107" s="7">
        <v>45536</v>
      </c>
      <c r="S4107" s="6">
        <v>111.47</v>
      </c>
      <c r="T4107" s="6">
        <v>-9.99</v>
      </c>
      <c r="U4107" s="7">
        <v>45536</v>
      </c>
      <c r="V4107" s="6">
        <v>0</v>
      </c>
      <c r="W4107" s="6">
        <f ca="1">IFERROR(__xludf.DUMMYFUNCTION("IFERROR(GOOGLEFINANCE(B4107,""pe""),V4107)"),53.65)</f>
        <v>53.65</v>
      </c>
      <c r="X4107" s="12"/>
      <c r="Y4107" s="6">
        <v>2.14</v>
      </c>
      <c r="Z4107" s="6">
        <v>2</v>
      </c>
      <c r="AA4107" s="8">
        <v>45352</v>
      </c>
      <c r="AB4107" s="4">
        <v>0.32</v>
      </c>
      <c r="AC4107" s="6">
        <v>0.19</v>
      </c>
      <c r="AD4107" s="6">
        <v>-0.28999999999999998</v>
      </c>
      <c r="AE4107" s="1">
        <v>0</v>
      </c>
      <c r="AF4107" s="1">
        <f ca="1">IFERROR(__xludf.DUMMYFUNCTION("IFERROR(GOOGLEFINANCE(TRIM(F4107)&amp;"":"" &amp; TRIM(B4107),""high52""),AE4107)"),115.46)</f>
        <v>115.46</v>
      </c>
      <c r="AG4107" s="1">
        <v>0</v>
      </c>
      <c r="AH4107" s="1">
        <f ca="1">IFERROR(__xludf.DUMMYFUNCTION("IFERROR(GOOGLEFINANCE(TRIM(F4107)&amp;"":"" &amp; TRIM(B4107),""low52""),AE4107)"),56.53)</f>
        <v>56.53</v>
      </c>
      <c r="AI4107" s="1">
        <f ca="1">IFERROR(__xludf.DUMMYFUNCTION("IFERROR(GOOGLEFINANCE(B4107,""eps""),0)"),1.08)</f>
        <v>1.08</v>
      </c>
      <c r="AJ4107" s="1"/>
      <c r="AK4107" s="1" t="s">
        <v>12478</v>
      </c>
      <c r="AL4107" s="9">
        <f t="shared" ref="AL4107:AL4109" si="382">IF(AA4107&lt;&gt;AB4107,1,0)</f>
        <v>1</v>
      </c>
    </row>
    <row r="4108" spans="1:38" ht="15" x14ac:dyDescent="0.25">
      <c r="A4108" s="1" t="s">
        <v>12479</v>
      </c>
      <c r="B4108" s="1" t="s">
        <v>12480</v>
      </c>
      <c r="C4108" s="1" t="s">
        <v>135</v>
      </c>
      <c r="D4108" s="1" t="s">
        <v>135</v>
      </c>
      <c r="E4108" s="6">
        <v>861.64</v>
      </c>
      <c r="F4108" s="1" t="s">
        <v>40</v>
      </c>
      <c r="G4108" s="6">
        <f ca="1">IFERROR(__xludf.DUMMYFUNCTION("iferror(GOOGLEFINANCE(TRIM(F4108)&amp;"":"" &amp; TRIM(B4108), ""price""),0
)"),242)</f>
        <v>242</v>
      </c>
      <c r="H4108" s="6">
        <v>312.95</v>
      </c>
      <c r="I4108" s="6">
        <f t="shared" ca="1" si="0"/>
        <v>242</v>
      </c>
      <c r="J4108" s="6">
        <f ca="1">IFERROR(__xludf.DUMMYFUNCTION("IFERROR(GOOGLEFINANCE(B4108, ""volume""), 0)"),26065)</f>
        <v>26065</v>
      </c>
      <c r="K4108" s="6">
        <v>0.05</v>
      </c>
      <c r="L4108" s="6">
        <f ca="1">IFERROR(__xludf.DUMMYFUNCTION("IFERROR(GOOGLEFINANCE(B4108,""changepct""),K4108)"),0)</f>
        <v>0</v>
      </c>
      <c r="M4108" s="6">
        <f ca="1">IFERROR(__xludf.DUMMYFUNCTION("IFERROR(GOOGLEFINANCE(B4108,""change""),0)"),-0.01)</f>
        <v>-0.01</v>
      </c>
      <c r="N4108" s="6">
        <v>2</v>
      </c>
      <c r="O4108" s="7">
        <v>45536</v>
      </c>
      <c r="P4108" s="6">
        <v>202.08</v>
      </c>
      <c r="Q4108" s="6">
        <v>1054.56</v>
      </c>
      <c r="R4108" s="7">
        <v>45536</v>
      </c>
      <c r="S4108" s="6">
        <v>646.21</v>
      </c>
      <c r="T4108" s="6">
        <v>-37.81</v>
      </c>
      <c r="U4108" s="7">
        <v>45536</v>
      </c>
      <c r="V4108" s="6">
        <v>0</v>
      </c>
      <c r="W4108" s="6">
        <f ca="1">IFERROR(__xludf.DUMMYFUNCTION("IFERROR(GOOGLEFINANCE(B4108,""pe""),V4108)"),28.56)</f>
        <v>28.56</v>
      </c>
      <c r="X4108" s="12"/>
      <c r="Y4108" s="6">
        <v>1.2</v>
      </c>
      <c r="Z4108" s="6">
        <v>2</v>
      </c>
      <c r="AA4108" s="8">
        <v>45352</v>
      </c>
      <c r="AB4108" s="4">
        <v>0.35</v>
      </c>
      <c r="AC4108" s="6">
        <v>-1.19</v>
      </c>
      <c r="AD4108" s="6">
        <v>0.79</v>
      </c>
      <c r="AE4108" s="1">
        <v>0</v>
      </c>
      <c r="AF4108" s="1">
        <f ca="1">IFERROR(__xludf.DUMMYFUNCTION("IFERROR(GOOGLEFINANCE(TRIM(F4108)&amp;"":"" &amp; TRIM(B4108),""high52""),AE4108)"),507.8)</f>
        <v>507.8</v>
      </c>
      <c r="AG4108" s="1">
        <v>0</v>
      </c>
      <c r="AH4108" s="1">
        <f ca="1">IFERROR(__xludf.DUMMYFUNCTION("IFERROR(GOOGLEFINANCE(TRIM(F4108)&amp;"":"" &amp; TRIM(B4108),""low52""),AE4108)"),226)</f>
        <v>226</v>
      </c>
      <c r="AI4108" s="1">
        <f ca="1">IFERROR(__xludf.DUMMYFUNCTION("IFERROR(GOOGLEFINANCE(B4108,""eps""),0)"),8.47)</f>
        <v>8.4700000000000006</v>
      </c>
      <c r="AJ4108" s="1"/>
      <c r="AK4108" s="1" t="s">
        <v>12481</v>
      </c>
      <c r="AL4108" s="9">
        <f t="shared" si="382"/>
        <v>1</v>
      </c>
    </row>
    <row r="4109" spans="1:38" ht="15" x14ac:dyDescent="0.25">
      <c r="A4109" s="1" t="s">
        <v>12482</v>
      </c>
      <c r="B4109" s="1" t="s">
        <v>12483</v>
      </c>
      <c r="C4109" s="1" t="s">
        <v>487</v>
      </c>
      <c r="D4109" s="1" t="s">
        <v>487</v>
      </c>
      <c r="E4109" s="6">
        <v>9743.5300000000007</v>
      </c>
      <c r="F4109" s="1" t="s">
        <v>40</v>
      </c>
      <c r="G4109" s="6">
        <f ca="1">IFERROR(__xludf.DUMMYFUNCTION("iferror(GOOGLEFINANCE(TRIM(F4109)&amp;"":"" &amp; TRIM(B4109), ""price""),0
)"),103.99)</f>
        <v>103.99</v>
      </c>
      <c r="H4109" s="6">
        <v>181.37</v>
      </c>
      <c r="I4109" s="6">
        <f t="shared" ca="1" si="0"/>
        <v>103.99</v>
      </c>
      <c r="J4109" s="6">
        <f ca="1">IFERROR(__xludf.DUMMYFUNCTION("IFERROR(GOOGLEFINANCE(B4109, ""volume""), 0)"),1478864)</f>
        <v>1478864</v>
      </c>
      <c r="K4109" s="6">
        <v>0.16</v>
      </c>
      <c r="L4109" s="6">
        <f ca="1">IFERROR(__xludf.DUMMYFUNCTION("IFERROR(GOOGLEFINANCE(B4109,""changepct""),K4109)"),3.23)</f>
        <v>3.23</v>
      </c>
      <c r="M4109" s="6">
        <f ca="1">IFERROR(__xludf.DUMMYFUNCTION("IFERROR(GOOGLEFINANCE(B4109,""change""),0)"),3.25)</f>
        <v>3.25</v>
      </c>
      <c r="N4109" s="6">
        <v>2</v>
      </c>
      <c r="O4109" s="7">
        <v>45536</v>
      </c>
      <c r="P4109" s="6">
        <v>1980.12</v>
      </c>
      <c r="Q4109" s="6">
        <v>11557.3</v>
      </c>
      <c r="R4109" s="7">
        <v>45536</v>
      </c>
      <c r="S4109" s="6">
        <v>445.52</v>
      </c>
      <c r="T4109" s="6">
        <v>327.84</v>
      </c>
      <c r="U4109" s="7">
        <v>45536</v>
      </c>
      <c r="V4109" s="6">
        <v>29.53</v>
      </c>
      <c r="W4109" s="6">
        <f ca="1">IFERROR(__xludf.DUMMYFUNCTION("IFERROR(GOOGLEFINANCE(B4109,""pe""),V4109)"),227.92)</f>
        <v>227.92</v>
      </c>
      <c r="X4109" s="6">
        <v>0.51</v>
      </c>
      <c r="Y4109" s="6">
        <v>1.99</v>
      </c>
      <c r="Z4109" s="6">
        <v>2</v>
      </c>
      <c r="AA4109" s="8">
        <v>45352</v>
      </c>
      <c r="AB4109" s="4">
        <v>0.4</v>
      </c>
      <c r="AC4109" s="6">
        <v>38.25</v>
      </c>
      <c r="AD4109" s="6">
        <v>24.57</v>
      </c>
      <c r="AE4109" s="1">
        <v>0</v>
      </c>
      <c r="AF4109" s="1">
        <f ca="1">IFERROR(__xludf.DUMMYFUNCTION("IFERROR(GOOGLEFINANCE(TRIM(F4109)&amp;"":"" &amp; TRIM(B4109),""high52""),AE4109)"),217.29)</f>
        <v>217.29</v>
      </c>
      <c r="AG4109" s="1">
        <v>0</v>
      </c>
      <c r="AH4109" s="1">
        <f ca="1">IFERROR(__xludf.DUMMYFUNCTION("IFERROR(GOOGLEFINANCE(TRIM(F4109)&amp;"":"" &amp; TRIM(B4109),""low52""),AE4109)"),95.5)</f>
        <v>95.5</v>
      </c>
      <c r="AI4109" s="1">
        <f ca="1">IFERROR(__xludf.DUMMYFUNCTION("IFERROR(GOOGLEFINANCE(B4109,""eps""),0)"),0.46)</f>
        <v>0.46</v>
      </c>
      <c r="AJ4109" s="1"/>
      <c r="AK4109" s="1" t="s">
        <v>12484</v>
      </c>
      <c r="AL4109" s="9">
        <f t="shared" si="382"/>
        <v>1</v>
      </c>
    </row>
    <row r="4110" spans="1:38" ht="15" x14ac:dyDescent="0.25">
      <c r="A4110" s="1" t="s">
        <v>12485</v>
      </c>
      <c r="B4110" s="1" t="s">
        <v>12486</v>
      </c>
      <c r="C4110" s="1" t="s">
        <v>223</v>
      </c>
      <c r="D4110" s="1" t="s">
        <v>223</v>
      </c>
      <c r="E4110" s="6">
        <v>71.650000000000006</v>
      </c>
      <c r="F4110" s="1" t="s">
        <v>40</v>
      </c>
      <c r="G4110" s="6">
        <f ca="1">IFERROR(__xludf.DUMMYFUNCTION("iferror(GOOGLEFINANCE(TRIM(F4110)&amp;"":"" &amp; TRIM(B4110), ""price""),0
)"),0)</f>
        <v>0</v>
      </c>
      <c r="H4110" s="6">
        <v>15.1</v>
      </c>
      <c r="I4110" s="6">
        <f t="shared" ca="1" si="0"/>
        <v>15.1</v>
      </c>
      <c r="J4110" s="6">
        <f ca="1">IFERROR(__xludf.DUMMYFUNCTION("IFERROR(GOOGLEFINANCE(B4110, ""volume""), 0)"),0)</f>
        <v>0</v>
      </c>
      <c r="K4110" s="6">
        <v>-6.79</v>
      </c>
      <c r="L4110" s="6">
        <f ca="1">IFERROR(__xludf.DUMMYFUNCTION("IFERROR(GOOGLEFINANCE(B4110,""changepct""),K4110)"),-6.79)</f>
        <v>-6.79</v>
      </c>
      <c r="M4110" s="6">
        <f ca="1">IFERROR(__xludf.DUMMYFUNCTION("IFERROR(GOOGLEFINANCE(B4110,""change""),0)"),0)</f>
        <v>0</v>
      </c>
      <c r="N4110" s="6">
        <v>1</v>
      </c>
      <c r="O4110" s="7">
        <v>45170</v>
      </c>
      <c r="P4110" s="9"/>
      <c r="Q4110" s="6">
        <v>50.23</v>
      </c>
      <c r="R4110" s="7">
        <v>44986</v>
      </c>
      <c r="S4110" s="6">
        <v>383.36</v>
      </c>
      <c r="T4110" s="6">
        <v>85.47</v>
      </c>
      <c r="U4110" s="7">
        <v>44986</v>
      </c>
      <c r="V4110" s="6">
        <v>0.84</v>
      </c>
      <c r="W4110" s="6">
        <f ca="1">IFERROR(__xludf.DUMMYFUNCTION("IFERROR(GOOGLEFINANCE(B4110,""pe""),V4110)"),0.84)</f>
        <v>0.84</v>
      </c>
      <c r="X4110" s="9"/>
      <c r="Y4110" s="6">
        <v>0.3</v>
      </c>
      <c r="Z4110" s="6">
        <v>1</v>
      </c>
      <c r="AA4110" s="8">
        <v>44986</v>
      </c>
      <c r="AB4110" s="4">
        <v>0</v>
      </c>
      <c r="AC4110" s="6">
        <v>109.41</v>
      </c>
      <c r="AD4110" s="6">
        <v>149.77000000000001</v>
      </c>
      <c r="AE4110" s="1">
        <v>0</v>
      </c>
      <c r="AF4110" s="1">
        <f ca="1">IFERROR(__xludf.DUMMYFUNCTION("IFERROR(GOOGLEFINANCE(TRIM(F4110)&amp;"":"" &amp; TRIM(B4110),""high52""),AE4110)"),0)</f>
        <v>0</v>
      </c>
      <c r="AG4110" s="1">
        <v>0</v>
      </c>
      <c r="AH4110" s="1">
        <f ca="1">IFERROR(__xludf.DUMMYFUNCTION("IFERROR(GOOGLEFINANCE(TRIM(F4110)&amp;"":"" &amp; TRIM(B4110),""low52""),AE4110)"),0)</f>
        <v>0</v>
      </c>
      <c r="AI4110" s="1">
        <f ca="1">IFERROR(__xludf.DUMMYFUNCTION("IFERROR(GOOGLEFINANCE(B4110,""eps""),0)"),0)</f>
        <v>0</v>
      </c>
      <c r="AJ4110" s="1"/>
      <c r="AK4110" s="9"/>
      <c r="AL4110" s="1" t="b">
        <f>ISBLANK(AB4110)</f>
        <v>0</v>
      </c>
    </row>
    <row r="4111" spans="1:38" ht="15" x14ac:dyDescent="0.25">
      <c r="A4111" s="1" t="s">
        <v>12487</v>
      </c>
      <c r="B4111" s="1" t="s">
        <v>12488</v>
      </c>
      <c r="C4111" s="1" t="s">
        <v>706</v>
      </c>
      <c r="D4111" s="1" t="s">
        <v>706</v>
      </c>
      <c r="E4111" s="6">
        <v>12.88</v>
      </c>
      <c r="F4111" s="1" t="s">
        <v>53</v>
      </c>
      <c r="G4111" s="6">
        <f ca="1">IFERROR(__xludf.DUMMYFUNCTION("iferror(GOOGLEFINANCE(TRIM(F4111)&amp;"":"" &amp; TRIM(B4111), ""price""),0
)"),0)</f>
        <v>0</v>
      </c>
      <c r="H4111" s="6">
        <v>10.4</v>
      </c>
      <c r="I4111" s="6">
        <f t="shared" ca="1" si="0"/>
        <v>10.4</v>
      </c>
      <c r="J4111" s="6">
        <f ca="1">IFERROR(__xludf.DUMMYFUNCTION("IFERROR(GOOGLEFINANCE(B4111, ""volume""), 0)"),0)</f>
        <v>0</v>
      </c>
      <c r="K4111" s="6">
        <v>11.47</v>
      </c>
      <c r="L4111" s="6">
        <f ca="1">IFERROR(__xludf.DUMMYFUNCTION("IFERROR(GOOGLEFINANCE(B4111,""changepct""),K4111)"),11.47)</f>
        <v>11.47</v>
      </c>
      <c r="M4111" s="6">
        <f ca="1">IFERROR(__xludf.DUMMYFUNCTION("IFERROR(GOOGLEFINANCE(B4111,""change""),0)"),0)</f>
        <v>0</v>
      </c>
      <c r="N4111" s="6">
        <v>1</v>
      </c>
      <c r="O4111" s="7">
        <v>45536</v>
      </c>
      <c r="P4111" s="6">
        <v>1.94</v>
      </c>
      <c r="Q4111" s="6">
        <v>14.82</v>
      </c>
      <c r="R4111" s="7">
        <v>45536</v>
      </c>
      <c r="S4111" s="6">
        <v>0.69</v>
      </c>
      <c r="T4111" s="6">
        <v>0.43</v>
      </c>
      <c r="U4111" s="7">
        <v>45536</v>
      </c>
      <c r="V4111" s="6">
        <v>30.01</v>
      </c>
      <c r="W4111" s="6">
        <f ca="1">IFERROR(__xludf.DUMMYFUNCTION("IFERROR(GOOGLEFINANCE(B4111,""pe""),V4111)"),30.01)</f>
        <v>30.01</v>
      </c>
      <c r="X4111" s="6">
        <v>3.03</v>
      </c>
      <c r="Y4111" s="6">
        <v>-164.26</v>
      </c>
      <c r="Z4111" s="6">
        <v>1</v>
      </c>
      <c r="AA4111" s="8">
        <v>45352</v>
      </c>
      <c r="AB4111" s="4">
        <v>-6.73</v>
      </c>
      <c r="AC4111" s="6">
        <v>0</v>
      </c>
      <c r="AD4111" s="6">
        <v>24.52</v>
      </c>
      <c r="AE4111" s="1">
        <v>0</v>
      </c>
      <c r="AF4111" s="1">
        <f ca="1">IFERROR(__xludf.DUMMYFUNCTION("IFERROR(GOOGLEFINANCE(TRIM(F4111)&amp;"":"" &amp; TRIM(B4111),""high52""),AE4111)"),0)</f>
        <v>0</v>
      </c>
      <c r="AG4111" s="1">
        <v>0</v>
      </c>
      <c r="AH4111" s="1">
        <f ca="1">IFERROR(__xludf.DUMMYFUNCTION("IFERROR(GOOGLEFINANCE(TRIM(F4111)&amp;"":"" &amp; TRIM(B4111),""low52""),AE4111)"),0)</f>
        <v>0</v>
      </c>
      <c r="AI4111" s="1">
        <f ca="1">IFERROR(__xludf.DUMMYFUNCTION("IFERROR(GOOGLEFINANCE(B4111,""eps""),0)"),0)</f>
        <v>0</v>
      </c>
      <c r="AJ4111" s="1"/>
      <c r="AK4111" s="1" t="s">
        <v>12489</v>
      </c>
      <c r="AL4111" s="9">
        <f t="shared" ref="AL4111:AL4123" si="383">IF(AA4111&lt;&gt;AB4111,1,0)</f>
        <v>1</v>
      </c>
    </row>
    <row r="4112" spans="1:38" ht="15" x14ac:dyDescent="0.25">
      <c r="A4112" s="1" t="s">
        <v>12490</v>
      </c>
      <c r="B4112" s="1" t="s">
        <v>12491</v>
      </c>
      <c r="C4112" s="1" t="s">
        <v>706</v>
      </c>
      <c r="D4112" s="1" t="s">
        <v>706</v>
      </c>
      <c r="E4112" s="6">
        <v>39.76</v>
      </c>
      <c r="F4112" s="1" t="s">
        <v>53</v>
      </c>
      <c r="G4112" s="6">
        <f ca="1">IFERROR(__xludf.DUMMYFUNCTION("iferror(GOOGLEFINANCE(TRIM(F4112)&amp;"":"" &amp; TRIM(B4112), ""price""),0
)"),0)</f>
        <v>0</v>
      </c>
      <c r="H4112" s="6">
        <v>13.25</v>
      </c>
      <c r="I4112" s="6">
        <f t="shared" ca="1" si="0"/>
        <v>13.25</v>
      </c>
      <c r="J4112" s="6">
        <f ca="1">IFERROR(__xludf.DUMMYFUNCTION("IFERROR(GOOGLEFINANCE(B4112, ""volume""), 0)"),0)</f>
        <v>0</v>
      </c>
      <c r="K4112" s="6">
        <v>3.03</v>
      </c>
      <c r="L4112" s="6">
        <f ca="1">IFERROR(__xludf.DUMMYFUNCTION("IFERROR(GOOGLEFINANCE(B4112,""changepct""),K4112)"),3.03)</f>
        <v>3.03</v>
      </c>
      <c r="M4112" s="6">
        <f ca="1">IFERROR(__xludf.DUMMYFUNCTION("IFERROR(GOOGLEFINANCE(B4112,""change""),0)"),0)</f>
        <v>0</v>
      </c>
      <c r="N4112" s="6">
        <v>1</v>
      </c>
      <c r="O4112" s="7">
        <v>45536</v>
      </c>
      <c r="P4112" s="6">
        <v>73.349999999999994</v>
      </c>
      <c r="Q4112" s="6">
        <v>113.03</v>
      </c>
      <c r="R4112" s="7">
        <v>45536</v>
      </c>
      <c r="S4112" s="6">
        <v>44.86</v>
      </c>
      <c r="T4112" s="6">
        <v>-4.2</v>
      </c>
      <c r="U4112" s="7">
        <v>45536</v>
      </c>
      <c r="V4112" s="6">
        <v>0</v>
      </c>
      <c r="W4112" s="6">
        <f ca="1">IFERROR(__xludf.DUMMYFUNCTION("IFERROR(GOOGLEFINANCE(B4112,""pe""),V4112)"),0)</f>
        <v>0</v>
      </c>
      <c r="X4112" s="12"/>
      <c r="Y4112" s="6">
        <v>-0.67</v>
      </c>
      <c r="Z4112" s="6">
        <v>1</v>
      </c>
      <c r="AA4112" s="8">
        <v>45352</v>
      </c>
      <c r="AB4112" s="4">
        <v>-1.35</v>
      </c>
      <c r="AC4112" s="6">
        <v>0</v>
      </c>
      <c r="AD4112" s="6">
        <v>3.72</v>
      </c>
      <c r="AE4112" s="1">
        <v>0</v>
      </c>
      <c r="AF4112" s="1">
        <f ca="1">IFERROR(__xludf.DUMMYFUNCTION("IFERROR(GOOGLEFINANCE(TRIM(F4112)&amp;"":"" &amp; TRIM(B4112),""high52""),AE4112)"),0)</f>
        <v>0</v>
      </c>
      <c r="AG4112" s="1">
        <v>0</v>
      </c>
      <c r="AH4112" s="1">
        <f ca="1">IFERROR(__xludf.DUMMYFUNCTION("IFERROR(GOOGLEFINANCE(TRIM(F4112)&amp;"":"" &amp; TRIM(B4112),""low52""),AE4112)"),0)</f>
        <v>0</v>
      </c>
      <c r="AI4112" s="1">
        <f ca="1">IFERROR(__xludf.DUMMYFUNCTION("IFERROR(GOOGLEFINANCE(B4112,""eps""),0)"),0)</f>
        <v>0</v>
      </c>
      <c r="AJ4112" s="1"/>
      <c r="AK4112" s="1" t="s">
        <v>12492</v>
      </c>
      <c r="AL4112" s="9">
        <f t="shared" si="383"/>
        <v>1</v>
      </c>
    </row>
    <row r="4113" spans="1:38" ht="15" x14ac:dyDescent="0.25">
      <c r="A4113" s="1" t="s">
        <v>12493</v>
      </c>
      <c r="B4113" s="1" t="s">
        <v>12494</v>
      </c>
      <c r="C4113" s="1" t="s">
        <v>706</v>
      </c>
      <c r="D4113" s="1" t="s">
        <v>706</v>
      </c>
      <c r="E4113" s="6">
        <v>62.56</v>
      </c>
      <c r="F4113" s="1" t="s">
        <v>53</v>
      </c>
      <c r="G4113" s="6">
        <f ca="1">IFERROR(__xludf.DUMMYFUNCTION("iferror(GOOGLEFINANCE(TRIM(F4113)&amp;"":"" &amp; TRIM(B4113), ""price""),0
)"),0)</f>
        <v>0</v>
      </c>
      <c r="H4113" s="6">
        <v>93.6</v>
      </c>
      <c r="I4113" s="6">
        <f t="shared" ca="1" si="0"/>
        <v>93.6</v>
      </c>
      <c r="J4113" s="6">
        <f ca="1">IFERROR(__xludf.DUMMYFUNCTION("IFERROR(GOOGLEFINANCE(B4113, ""volume""), 0)"),0)</f>
        <v>0</v>
      </c>
      <c r="K4113" s="6">
        <v>2.91</v>
      </c>
      <c r="L4113" s="6">
        <f ca="1">IFERROR(__xludf.DUMMYFUNCTION("IFERROR(GOOGLEFINANCE(B4113,""changepct""),K4113)"),2.91)</f>
        <v>2.91</v>
      </c>
      <c r="M4113" s="6">
        <f ca="1">IFERROR(__xludf.DUMMYFUNCTION("IFERROR(GOOGLEFINANCE(B4113,""change""),0)"),0)</f>
        <v>0</v>
      </c>
      <c r="N4113" s="6">
        <v>2</v>
      </c>
      <c r="O4113" s="7">
        <v>45536</v>
      </c>
      <c r="P4113" s="6">
        <v>0.93</v>
      </c>
      <c r="Q4113" s="6">
        <v>61.73</v>
      </c>
      <c r="R4113" s="7">
        <v>45536</v>
      </c>
      <c r="S4113" s="6">
        <v>179.79</v>
      </c>
      <c r="T4113" s="6">
        <v>-3.76</v>
      </c>
      <c r="U4113" s="7">
        <v>45536</v>
      </c>
      <c r="V4113" s="6">
        <v>0</v>
      </c>
      <c r="W4113" s="6">
        <f ca="1">IFERROR(__xludf.DUMMYFUNCTION("IFERROR(GOOGLEFINANCE(B4113,""pe""),V4113)"),0)</f>
        <v>0</v>
      </c>
      <c r="X4113" s="12"/>
      <c r="Y4113" s="6">
        <v>0.54</v>
      </c>
      <c r="Z4113" s="6">
        <v>2</v>
      </c>
      <c r="AA4113" s="8">
        <v>45352</v>
      </c>
      <c r="AB4113" s="4">
        <v>0.01</v>
      </c>
      <c r="AC4113" s="6">
        <v>-5.33</v>
      </c>
      <c r="AD4113" s="6">
        <v>-6.61</v>
      </c>
      <c r="AE4113" s="1">
        <v>0</v>
      </c>
      <c r="AF4113" s="1">
        <f ca="1">IFERROR(__xludf.DUMMYFUNCTION("IFERROR(GOOGLEFINANCE(TRIM(F4113)&amp;"":"" &amp; TRIM(B4113),""high52""),AE4113)"),0)</f>
        <v>0</v>
      </c>
      <c r="AG4113" s="1">
        <v>0</v>
      </c>
      <c r="AH4113" s="1">
        <f ca="1">IFERROR(__xludf.DUMMYFUNCTION("IFERROR(GOOGLEFINANCE(TRIM(F4113)&amp;"":"" &amp; TRIM(B4113),""low52""),AE4113)"),0)</f>
        <v>0</v>
      </c>
      <c r="AI4113" s="1">
        <f ca="1">IFERROR(__xludf.DUMMYFUNCTION("IFERROR(GOOGLEFINANCE(B4113,""eps""),0)"),0)</f>
        <v>0</v>
      </c>
      <c r="AJ4113" s="1"/>
      <c r="AK4113" s="1" t="s">
        <v>12495</v>
      </c>
      <c r="AL4113" s="9">
        <f t="shared" si="383"/>
        <v>1</v>
      </c>
    </row>
    <row r="4114" spans="1:38" ht="15" x14ac:dyDescent="0.25">
      <c r="A4114" s="1" t="s">
        <v>12496</v>
      </c>
      <c r="B4114" s="1" t="s">
        <v>12497</v>
      </c>
      <c r="C4114" s="1" t="s">
        <v>1400</v>
      </c>
      <c r="D4114" s="1" t="s">
        <v>1400</v>
      </c>
      <c r="E4114" s="6">
        <v>439.59</v>
      </c>
      <c r="F4114" s="1" t="s">
        <v>40</v>
      </c>
      <c r="G4114" s="6">
        <f ca="1">IFERROR(__xludf.DUMMYFUNCTION("iferror(GOOGLEFINANCE(TRIM(F4114)&amp;"":"" &amp; TRIM(B4114), ""price""),0
)"),37.14)</f>
        <v>37.14</v>
      </c>
      <c r="H4114" s="6">
        <v>54.6</v>
      </c>
      <c r="I4114" s="6">
        <f t="shared" ca="1" si="0"/>
        <v>37.14</v>
      </c>
      <c r="J4114" s="6">
        <f ca="1">IFERROR(__xludf.DUMMYFUNCTION("IFERROR(GOOGLEFINANCE(B4114, ""volume""), 0)"),12515)</f>
        <v>12515</v>
      </c>
      <c r="K4114" s="6">
        <v>-0.18</v>
      </c>
      <c r="L4114" s="6">
        <f ca="1">IFERROR(__xludf.DUMMYFUNCTION("IFERROR(GOOGLEFINANCE(B4114,""changepct""),K4114)"),-0.54)</f>
        <v>-0.54</v>
      </c>
      <c r="M4114" s="6">
        <f ca="1">IFERROR(__xludf.DUMMYFUNCTION("IFERROR(GOOGLEFINANCE(B4114,""change""),0)"),-0.2)</f>
        <v>-0.2</v>
      </c>
      <c r="N4114" s="6">
        <v>1</v>
      </c>
      <c r="O4114" s="7">
        <v>45536</v>
      </c>
      <c r="P4114" s="9"/>
      <c r="Q4114" s="6">
        <v>434.33</v>
      </c>
      <c r="R4114" s="7">
        <v>45536</v>
      </c>
      <c r="S4114" s="6">
        <v>257.94</v>
      </c>
      <c r="T4114" s="6">
        <v>16.79</v>
      </c>
      <c r="U4114" s="7">
        <v>45536</v>
      </c>
      <c r="V4114" s="6">
        <v>26.18</v>
      </c>
      <c r="W4114" s="6">
        <f ca="1">IFERROR(__xludf.DUMMYFUNCTION("IFERROR(GOOGLEFINANCE(B4114,""pe""),V4114)"),21.95)</f>
        <v>21.95</v>
      </c>
      <c r="X4114" s="6">
        <v>-2.0699999999999998</v>
      </c>
      <c r="Y4114" s="6">
        <v>1.77</v>
      </c>
      <c r="Z4114" s="6">
        <v>1</v>
      </c>
      <c r="AA4114" s="8">
        <v>45352</v>
      </c>
      <c r="AB4114" s="4">
        <v>0</v>
      </c>
      <c r="AC4114" s="6">
        <v>7.18</v>
      </c>
      <c r="AD4114" s="6">
        <v>8.84</v>
      </c>
      <c r="AE4114" s="1">
        <v>0</v>
      </c>
      <c r="AF4114" s="1">
        <f ca="1">IFERROR(__xludf.DUMMYFUNCTION("IFERROR(GOOGLEFINANCE(TRIM(F4114)&amp;"":"" &amp; TRIM(B4114),""high52""),AE4114)"),54.25)</f>
        <v>54.25</v>
      </c>
      <c r="AG4114" s="1">
        <v>0</v>
      </c>
      <c r="AH4114" s="1">
        <f ca="1">IFERROR(__xludf.DUMMYFUNCTION("IFERROR(GOOGLEFINANCE(TRIM(F4114)&amp;"":"" &amp; TRIM(B4114),""low52""),AE4114)"),35.4)</f>
        <v>35.4</v>
      </c>
      <c r="AI4114" s="1">
        <f ca="1">IFERROR(__xludf.DUMMYFUNCTION("IFERROR(GOOGLEFINANCE(B4114,""eps""),0)"),1.69)</f>
        <v>1.69</v>
      </c>
      <c r="AJ4114" s="1"/>
      <c r="AK4114" s="1" t="s">
        <v>12498</v>
      </c>
      <c r="AL4114" s="9">
        <f t="shared" si="383"/>
        <v>1</v>
      </c>
    </row>
    <row r="4115" spans="1:38" ht="15" x14ac:dyDescent="0.25">
      <c r="A4115" s="1" t="s">
        <v>12499</v>
      </c>
      <c r="B4115" s="1" t="s">
        <v>12500</v>
      </c>
      <c r="C4115" s="1" t="s">
        <v>208</v>
      </c>
      <c r="D4115" s="1" t="s">
        <v>208</v>
      </c>
      <c r="E4115" s="6">
        <v>1445.3</v>
      </c>
      <c r="F4115" s="1" t="s">
        <v>40</v>
      </c>
      <c r="G4115" s="6">
        <f ca="1">IFERROR(__xludf.DUMMYFUNCTION("iferror(GOOGLEFINANCE(TRIM(F4115)&amp;"":"" &amp; TRIM(B4115), ""price""),0
)"),3068)</f>
        <v>3068</v>
      </c>
      <c r="H4115" s="6">
        <v>4532.05</v>
      </c>
      <c r="I4115" s="6">
        <f t="shared" ca="1" si="0"/>
        <v>3068</v>
      </c>
      <c r="J4115" s="6">
        <f ca="1">IFERROR(__xludf.DUMMYFUNCTION("IFERROR(GOOGLEFINANCE(B4115, ""volume""), 0)"),150816)</f>
        <v>150816</v>
      </c>
      <c r="K4115" s="6">
        <v>0.1</v>
      </c>
      <c r="L4115" s="6">
        <f ca="1">IFERROR(__xludf.DUMMYFUNCTION("IFERROR(GOOGLEFINANCE(B4115,""changepct""),K4115)"),-5)</f>
        <v>-5</v>
      </c>
      <c r="M4115" s="6">
        <f ca="1">IFERROR(__xludf.DUMMYFUNCTION("IFERROR(GOOGLEFINANCE(B4115,""change""),0)"),0)</f>
        <v>0</v>
      </c>
      <c r="N4115" s="6">
        <v>2</v>
      </c>
      <c r="O4115" s="7">
        <v>45536</v>
      </c>
      <c r="P4115" s="6">
        <v>-26.74</v>
      </c>
      <c r="Q4115" s="7">
        <v>45536</v>
      </c>
      <c r="R4115" s="6">
        <v>7.17</v>
      </c>
      <c r="S4115" s="6">
        <v>-4.12</v>
      </c>
      <c r="T4115" s="6">
        <v>0.41</v>
      </c>
      <c r="U4115" s="6">
        <v>2</v>
      </c>
      <c r="V4115" s="7">
        <v>45352</v>
      </c>
      <c r="W4115" s="10">
        <f ca="1">IFERROR(__xludf.DUMMYFUNCTION("IFERROR(GOOGLEFINANCE(B4115,""pe""),V4115)"),45352)</f>
        <v>45352</v>
      </c>
      <c r="X4115" s="6">
        <v>0</v>
      </c>
      <c r="Y4115" s="6">
        <v>5.78</v>
      </c>
      <c r="Z4115" s="6">
        <v>6.07</v>
      </c>
      <c r="AA4115" s="3" t="s">
        <v>12501</v>
      </c>
      <c r="AB4115" s="11"/>
      <c r="AC4115" s="9"/>
      <c r="AD4115" s="9"/>
      <c r="AE4115" s="1">
        <v>0</v>
      </c>
      <c r="AF4115" s="1">
        <f ca="1">IFERROR(__xludf.DUMMYFUNCTION("IFERROR(GOOGLEFINANCE(TRIM(F4115)&amp;"":"" &amp; TRIM(B4115),""high52""),AE4115)"),4469)</f>
        <v>4469</v>
      </c>
      <c r="AG4115" s="1">
        <v>0</v>
      </c>
      <c r="AH4115" s="1">
        <f ca="1">IFERROR(__xludf.DUMMYFUNCTION("IFERROR(GOOGLEFINANCE(TRIM(F4115)&amp;"":"" &amp; TRIM(B4115),""low52""),AE4115)"),2850)</f>
        <v>2850</v>
      </c>
      <c r="AI4115" s="1">
        <f ca="1">IFERROR(__xludf.DUMMYFUNCTION("IFERROR(GOOGLEFINANCE(B4115,""eps""),0)"),-0.01)</f>
        <v>-0.01</v>
      </c>
      <c r="AJ4115" s="1"/>
      <c r="AK4115" s="1" t="s">
        <v>12502</v>
      </c>
      <c r="AL4115" s="9">
        <f t="shared" si="383"/>
        <v>1</v>
      </c>
    </row>
    <row r="4116" spans="1:38" ht="15" x14ac:dyDescent="0.25">
      <c r="A4116" s="1" t="s">
        <v>12503</v>
      </c>
      <c r="B4116" s="1" t="s">
        <v>12504</v>
      </c>
      <c r="C4116" s="1" t="s">
        <v>706</v>
      </c>
      <c r="D4116" s="1" t="s">
        <v>706</v>
      </c>
      <c r="E4116" s="6">
        <v>11.48</v>
      </c>
      <c r="F4116" s="1" t="s">
        <v>53</v>
      </c>
      <c r="G4116" s="6">
        <f ca="1">IFERROR(__xludf.DUMMYFUNCTION("iferror(GOOGLEFINANCE(TRIM(F4116)&amp;"":"" &amp; TRIM(B4116), ""price""),0
)"),0)</f>
        <v>0</v>
      </c>
      <c r="H4116" s="6">
        <v>26</v>
      </c>
      <c r="I4116" s="6">
        <f t="shared" ca="1" si="0"/>
        <v>26</v>
      </c>
      <c r="J4116" s="6">
        <f ca="1">IFERROR(__xludf.DUMMYFUNCTION("IFERROR(GOOGLEFINANCE(B4116, ""volume""), 0)"),0)</f>
        <v>0</v>
      </c>
      <c r="K4116" s="6">
        <v>4</v>
      </c>
      <c r="L4116" s="6">
        <f ca="1">IFERROR(__xludf.DUMMYFUNCTION("IFERROR(GOOGLEFINANCE(B4116,""changepct""),K4116)"),4)</f>
        <v>4</v>
      </c>
      <c r="M4116" s="6">
        <f ca="1">IFERROR(__xludf.DUMMYFUNCTION("IFERROR(GOOGLEFINANCE(B4116,""change""),0)"),0)</f>
        <v>0</v>
      </c>
      <c r="N4116" s="6">
        <v>1</v>
      </c>
      <c r="O4116" s="7">
        <v>45536</v>
      </c>
      <c r="P4116" s="6">
        <v>8.2799999999999994</v>
      </c>
      <c r="Q4116" s="6">
        <v>19.760000000000002</v>
      </c>
      <c r="R4116" s="7">
        <v>45536</v>
      </c>
      <c r="S4116" s="6">
        <v>28.77</v>
      </c>
      <c r="T4116" s="6">
        <v>-1.4</v>
      </c>
      <c r="U4116" s="7">
        <v>45536</v>
      </c>
      <c r="V4116" s="6">
        <v>0</v>
      </c>
      <c r="W4116" s="6">
        <f ca="1">IFERROR(__xludf.DUMMYFUNCTION("IFERROR(GOOGLEFINANCE(B4116,""pe""),V4116)"),0)</f>
        <v>0</v>
      </c>
      <c r="X4116" s="9"/>
      <c r="Y4116" s="6">
        <v>1.05</v>
      </c>
      <c r="Z4116" s="6">
        <v>1</v>
      </c>
      <c r="AA4116" s="8">
        <v>45352</v>
      </c>
      <c r="AB4116" s="4">
        <v>0.61</v>
      </c>
      <c r="AC4116" s="6">
        <v>-18.309999999999999</v>
      </c>
      <c r="AD4116" s="6">
        <v>-6.64</v>
      </c>
      <c r="AE4116" s="1">
        <v>0</v>
      </c>
      <c r="AF4116" s="1">
        <f ca="1">IFERROR(__xludf.DUMMYFUNCTION("IFERROR(GOOGLEFINANCE(TRIM(F4116)&amp;"":"" &amp; TRIM(B4116),""high52""),AE4116)"),0)</f>
        <v>0</v>
      </c>
      <c r="AG4116" s="1">
        <v>0</v>
      </c>
      <c r="AH4116" s="1">
        <f ca="1">IFERROR(__xludf.DUMMYFUNCTION("IFERROR(GOOGLEFINANCE(TRIM(F4116)&amp;"":"" &amp; TRIM(B4116),""low52""),AE4116)"),0)</f>
        <v>0</v>
      </c>
      <c r="AI4116" s="1">
        <f ca="1">IFERROR(__xludf.DUMMYFUNCTION("IFERROR(GOOGLEFINANCE(B4116,""eps""),0)"),0)</f>
        <v>0</v>
      </c>
      <c r="AJ4116" s="1"/>
      <c r="AK4116" s="1" t="s">
        <v>12505</v>
      </c>
      <c r="AL4116" s="9">
        <f t="shared" si="383"/>
        <v>1</v>
      </c>
    </row>
    <row r="4117" spans="1:38" ht="15" x14ac:dyDescent="0.25">
      <c r="A4117" s="1" t="s">
        <v>12506</v>
      </c>
      <c r="B4117" s="1" t="s">
        <v>12507</v>
      </c>
      <c r="C4117" s="1" t="s">
        <v>706</v>
      </c>
      <c r="D4117" s="1" t="s">
        <v>706</v>
      </c>
      <c r="E4117" s="6">
        <v>143.87</v>
      </c>
      <c r="F4117" s="1" t="s">
        <v>53</v>
      </c>
      <c r="G4117" s="6">
        <f ca="1">IFERROR(__xludf.DUMMYFUNCTION("iferror(GOOGLEFINANCE(TRIM(F4117)&amp;"":"" &amp; TRIM(B4117), ""price""),0
)"),0)</f>
        <v>0</v>
      </c>
      <c r="H4117" s="6">
        <v>5754.6</v>
      </c>
      <c r="I4117" s="6">
        <f t="shared" ca="1" si="0"/>
        <v>5754.6</v>
      </c>
      <c r="J4117" s="6">
        <f ca="1">IFERROR(__xludf.DUMMYFUNCTION("IFERROR(GOOGLEFINANCE(B4117, ""volume""), 0)"),0)</f>
        <v>0</v>
      </c>
      <c r="K4117" s="9"/>
      <c r="L4117" s="6" t="str">
        <f ca="1">IFERROR(__xludf.DUMMYFUNCTION("IFERROR(GOOGLEFINANCE(B4117,""changepct""),K4117)"),"")</f>
        <v/>
      </c>
      <c r="M4117" s="6">
        <f ca="1">IFERROR(__xludf.DUMMYFUNCTION("IFERROR(GOOGLEFINANCE(B4117,""change""),0)"),0)</f>
        <v>0</v>
      </c>
      <c r="N4117" s="6">
        <v>2</v>
      </c>
      <c r="O4117" s="7">
        <v>45536</v>
      </c>
      <c r="P4117" s="6">
        <v>175.56</v>
      </c>
      <c r="Q4117" s="6">
        <v>319.43</v>
      </c>
      <c r="R4117" s="7">
        <v>45536</v>
      </c>
      <c r="S4117" s="6">
        <v>26.27</v>
      </c>
      <c r="T4117" s="6">
        <v>-0.09</v>
      </c>
      <c r="U4117" s="7">
        <v>45536</v>
      </c>
      <c r="V4117" s="6">
        <v>0</v>
      </c>
      <c r="W4117" s="6">
        <f ca="1">IFERROR(__xludf.DUMMYFUNCTION("IFERROR(GOOGLEFINANCE(B4117,""pe""),V4117)"),0)</f>
        <v>0</v>
      </c>
      <c r="X4117" s="6">
        <v>0</v>
      </c>
      <c r="Y4117" s="6">
        <v>-63.54</v>
      </c>
      <c r="Z4117" s="6">
        <v>2</v>
      </c>
      <c r="AA4117" s="8">
        <v>45352</v>
      </c>
      <c r="AB4117" s="4">
        <v>355.93</v>
      </c>
      <c r="AC4117" s="6">
        <v>0</v>
      </c>
      <c r="AD4117" s="6">
        <v>8.4</v>
      </c>
      <c r="AE4117" s="1">
        <v>0</v>
      </c>
      <c r="AF4117" s="1">
        <f ca="1">IFERROR(__xludf.DUMMYFUNCTION("IFERROR(GOOGLEFINANCE(TRIM(F4117)&amp;"":"" &amp; TRIM(B4117),""high52""),AE4117)"),0)</f>
        <v>0</v>
      </c>
      <c r="AG4117" s="1">
        <v>0</v>
      </c>
      <c r="AH4117" s="1">
        <f ca="1">IFERROR(__xludf.DUMMYFUNCTION("IFERROR(GOOGLEFINANCE(TRIM(F4117)&amp;"":"" &amp; TRIM(B4117),""low52""),AE4117)"),0)</f>
        <v>0</v>
      </c>
      <c r="AI4117" s="1">
        <f ca="1">IFERROR(__xludf.DUMMYFUNCTION("IFERROR(GOOGLEFINANCE(B4117,""eps""),0)"),0)</f>
        <v>0</v>
      </c>
      <c r="AJ4117" s="1"/>
      <c r="AK4117" s="1" t="s">
        <v>12508</v>
      </c>
      <c r="AL4117" s="9">
        <f t="shared" si="383"/>
        <v>1</v>
      </c>
    </row>
    <row r="4118" spans="1:38" ht="15" x14ac:dyDescent="0.25">
      <c r="A4118" s="1" t="s">
        <v>12509</v>
      </c>
      <c r="B4118" s="1" t="s">
        <v>12510</v>
      </c>
      <c r="C4118" s="1" t="s">
        <v>706</v>
      </c>
      <c r="D4118" s="1" t="s">
        <v>706</v>
      </c>
      <c r="E4118" s="6">
        <v>1032.8499999999999</v>
      </c>
      <c r="F4118" s="1" t="s">
        <v>53</v>
      </c>
      <c r="G4118" s="6">
        <f ca="1">IFERROR(__xludf.DUMMYFUNCTION("iferror(GOOGLEFINANCE(TRIM(F4118)&amp;"":"" &amp; TRIM(B4118), ""price""),0
)"),0)</f>
        <v>0</v>
      </c>
      <c r="H4118" s="6">
        <v>1119</v>
      </c>
      <c r="I4118" s="6">
        <f t="shared" ca="1" si="0"/>
        <v>1119</v>
      </c>
      <c r="J4118" s="6">
        <f ca="1">IFERROR(__xludf.DUMMYFUNCTION("IFERROR(GOOGLEFINANCE(B4118, ""volume""), 0)"),0)</f>
        <v>0</v>
      </c>
      <c r="K4118" s="6">
        <v>-0.11</v>
      </c>
      <c r="L4118" s="6">
        <f ca="1">IFERROR(__xludf.DUMMYFUNCTION("IFERROR(GOOGLEFINANCE(B4118,""changepct""),K4118)"),-0.11)</f>
        <v>-0.11</v>
      </c>
      <c r="M4118" s="6">
        <f ca="1">IFERROR(__xludf.DUMMYFUNCTION("IFERROR(GOOGLEFINANCE(B4118,""change""),0)"),0)</f>
        <v>0</v>
      </c>
      <c r="N4118" s="6">
        <v>2</v>
      </c>
      <c r="O4118" s="7">
        <v>45536</v>
      </c>
      <c r="P4118" s="6">
        <v>1060.73</v>
      </c>
      <c r="Q4118" s="6">
        <v>2086.2399999999998</v>
      </c>
      <c r="R4118" s="7">
        <v>45536</v>
      </c>
      <c r="S4118" s="6">
        <v>873.12</v>
      </c>
      <c r="T4118" s="6">
        <v>-49.62</v>
      </c>
      <c r="U4118" s="7">
        <v>45536</v>
      </c>
      <c r="V4118" s="6">
        <v>0</v>
      </c>
      <c r="W4118" s="6">
        <f ca="1">IFERROR(__xludf.DUMMYFUNCTION("IFERROR(GOOGLEFINANCE(B4118,""pe""),V4118)"),0)</f>
        <v>0</v>
      </c>
      <c r="X4118" s="6">
        <v>0</v>
      </c>
      <c r="Y4118" s="6">
        <v>0.45</v>
      </c>
      <c r="Z4118" s="6">
        <v>2</v>
      </c>
      <c r="AA4118" s="8">
        <v>45352</v>
      </c>
      <c r="AB4118" s="4">
        <v>0.47</v>
      </c>
      <c r="AC4118" s="6">
        <v>-0.4</v>
      </c>
      <c r="AD4118" s="6">
        <v>1.78</v>
      </c>
      <c r="AE4118" s="1">
        <v>0</v>
      </c>
      <c r="AF4118" s="1">
        <f ca="1">IFERROR(__xludf.DUMMYFUNCTION("IFERROR(GOOGLEFINANCE(TRIM(F4118)&amp;"":"" &amp; TRIM(B4118),""high52""),AE4118)"),0)</f>
        <v>0</v>
      </c>
      <c r="AG4118" s="1">
        <v>0</v>
      </c>
      <c r="AH4118" s="1">
        <f ca="1">IFERROR(__xludf.DUMMYFUNCTION("IFERROR(GOOGLEFINANCE(TRIM(F4118)&amp;"":"" &amp; TRIM(B4118),""low52""),AE4118)"),0)</f>
        <v>0</v>
      </c>
      <c r="AI4118" s="1">
        <f ca="1">IFERROR(__xludf.DUMMYFUNCTION("IFERROR(GOOGLEFINANCE(B4118,""eps""),0)"),0)</f>
        <v>0</v>
      </c>
      <c r="AJ4118" s="1"/>
      <c r="AK4118" s="1" t="s">
        <v>12511</v>
      </c>
      <c r="AL4118" s="9">
        <f t="shared" si="383"/>
        <v>1</v>
      </c>
    </row>
    <row r="4119" spans="1:38" ht="15" x14ac:dyDescent="0.25">
      <c r="A4119" s="1" t="s">
        <v>12512</v>
      </c>
      <c r="B4119" s="1" t="s">
        <v>12513</v>
      </c>
      <c r="C4119" s="1" t="s">
        <v>186</v>
      </c>
      <c r="D4119" s="1" t="s">
        <v>186</v>
      </c>
      <c r="E4119" s="6">
        <v>527.52</v>
      </c>
      <c r="F4119" s="1" t="s">
        <v>40</v>
      </c>
      <c r="G4119" s="6">
        <f ca="1">IFERROR(__xludf.DUMMYFUNCTION("iferror(GOOGLEFINANCE(TRIM(F4119)&amp;"":"" &amp; TRIM(B4119), ""price""),0
)"),6.08)</f>
        <v>6.08</v>
      </c>
      <c r="H4119" s="6">
        <v>12.63</v>
      </c>
      <c r="I4119" s="6">
        <f t="shared" ca="1" si="0"/>
        <v>6.08</v>
      </c>
      <c r="J4119" s="6">
        <f ca="1">IFERROR(__xludf.DUMMYFUNCTION("IFERROR(GOOGLEFINANCE(B4119, ""volume""), 0)"),232534)</f>
        <v>232534</v>
      </c>
      <c r="K4119" s="6">
        <v>4.99</v>
      </c>
      <c r="L4119" s="6">
        <f ca="1">IFERROR(__xludf.DUMMYFUNCTION("IFERROR(GOOGLEFINANCE(B4119,""changepct""),K4119)"),0)</f>
        <v>0</v>
      </c>
      <c r="M4119" s="6">
        <f ca="1">IFERROR(__xludf.DUMMYFUNCTION("IFERROR(GOOGLEFINANCE(B4119,""change""),0)"),0)</f>
        <v>0</v>
      </c>
      <c r="N4119" s="6">
        <v>1</v>
      </c>
      <c r="O4119" s="7">
        <v>45536</v>
      </c>
      <c r="P4119" s="6">
        <v>69.02</v>
      </c>
      <c r="Q4119" s="6">
        <v>595.9</v>
      </c>
      <c r="R4119" s="7">
        <v>45536</v>
      </c>
      <c r="S4119" s="6">
        <v>262.93</v>
      </c>
      <c r="T4119" s="6">
        <v>-3.87</v>
      </c>
      <c r="U4119" s="7">
        <v>45536</v>
      </c>
      <c r="V4119" s="6">
        <v>0</v>
      </c>
      <c r="W4119" s="6">
        <f ca="1">IFERROR(__xludf.DUMMYFUNCTION("IFERROR(GOOGLEFINANCE(B4119,""pe""),V4119)"),7.18)</f>
        <v>7.18</v>
      </c>
      <c r="X4119" s="6">
        <v>0</v>
      </c>
      <c r="Y4119" s="6">
        <v>-1.78</v>
      </c>
      <c r="Z4119" s="6">
        <v>1</v>
      </c>
      <c r="AA4119" s="8">
        <v>45352</v>
      </c>
      <c r="AB4119" s="4">
        <v>-0.21</v>
      </c>
      <c r="AC4119" s="6">
        <v>0</v>
      </c>
      <c r="AD4119" s="6">
        <v>0</v>
      </c>
      <c r="AE4119" s="1">
        <v>0</v>
      </c>
      <c r="AF4119" s="1">
        <f ca="1">IFERROR(__xludf.DUMMYFUNCTION("IFERROR(GOOGLEFINANCE(TRIM(F4119)&amp;"":"" &amp; TRIM(B4119),""high52""),AE4119)"),13.74)</f>
        <v>13.74</v>
      </c>
      <c r="AG4119" s="1">
        <v>0</v>
      </c>
      <c r="AH4119" s="1">
        <f ca="1">IFERROR(__xludf.DUMMYFUNCTION("IFERROR(GOOGLEFINANCE(TRIM(F4119)&amp;"":"" &amp; TRIM(B4119),""low52""),AE4119)"),5.1)</f>
        <v>5.0999999999999996</v>
      </c>
      <c r="AI4119" s="1">
        <f ca="1">IFERROR(__xludf.DUMMYFUNCTION("IFERROR(GOOGLEFINANCE(B4119,""eps""),0)"),0.85)</f>
        <v>0.85</v>
      </c>
      <c r="AJ4119" s="1"/>
      <c r="AK4119" s="1" t="s">
        <v>12514</v>
      </c>
      <c r="AL4119" s="9">
        <f t="shared" si="383"/>
        <v>1</v>
      </c>
    </row>
    <row r="4120" spans="1:38" ht="15" x14ac:dyDescent="0.25">
      <c r="A4120" s="1" t="s">
        <v>12515</v>
      </c>
      <c r="B4120" s="1" t="s">
        <v>12516</v>
      </c>
      <c r="C4120" s="1" t="s">
        <v>219</v>
      </c>
      <c r="D4120" s="1" t="s">
        <v>219</v>
      </c>
      <c r="E4120" s="6">
        <v>1907.25</v>
      </c>
      <c r="F4120" s="1" t="s">
        <v>40</v>
      </c>
      <c r="G4120" s="6">
        <f ca="1">IFERROR(__xludf.DUMMYFUNCTION("iferror(GOOGLEFINANCE(TRIM(F4120)&amp;"":"" &amp; TRIM(B4120), ""price""),0
)"),247.5)</f>
        <v>247.5</v>
      </c>
      <c r="H4120" s="6">
        <v>242.5</v>
      </c>
      <c r="I4120" s="6">
        <f t="shared" ca="1" si="0"/>
        <v>247.5</v>
      </c>
      <c r="J4120" s="6">
        <f ca="1">IFERROR(__xludf.DUMMYFUNCTION("IFERROR(GOOGLEFINANCE(B4120, ""volume""), 0)"),63951)</f>
        <v>63951</v>
      </c>
      <c r="K4120" s="6">
        <v>3.99</v>
      </c>
      <c r="L4120" s="6">
        <f ca="1">IFERROR(__xludf.DUMMYFUNCTION("IFERROR(GOOGLEFINANCE(B4120,""changepct""),K4120)"),-1.71)</f>
        <v>-1.71</v>
      </c>
      <c r="M4120" s="6">
        <f ca="1">IFERROR(__xludf.DUMMYFUNCTION("IFERROR(GOOGLEFINANCE(B4120,""change""),0)"),-4.3)</f>
        <v>-4.3</v>
      </c>
      <c r="N4120" s="6">
        <v>1</v>
      </c>
      <c r="O4120" s="7">
        <v>45536</v>
      </c>
      <c r="P4120" s="6">
        <v>140.99</v>
      </c>
      <c r="Q4120" s="6">
        <v>2040.44</v>
      </c>
      <c r="R4120" s="7">
        <v>45536</v>
      </c>
      <c r="S4120" s="6">
        <v>1746.41</v>
      </c>
      <c r="T4120" s="6">
        <v>106.5</v>
      </c>
      <c r="U4120" s="7">
        <v>45536</v>
      </c>
      <c r="V4120" s="6">
        <v>17.91</v>
      </c>
      <c r="W4120" s="6">
        <f ca="1">IFERROR(__xludf.DUMMYFUNCTION("IFERROR(GOOGLEFINANCE(B4120,""pe""),V4120)"),20.79)</f>
        <v>20.79</v>
      </c>
      <c r="X4120" s="6">
        <v>0.55000000000000004</v>
      </c>
      <c r="Y4120" s="6">
        <v>2.52</v>
      </c>
      <c r="Z4120" s="6">
        <v>1</v>
      </c>
      <c r="AA4120" s="8">
        <v>45352</v>
      </c>
      <c r="AB4120" s="4">
        <v>0.12</v>
      </c>
      <c r="AC4120" s="6">
        <v>13.49</v>
      </c>
      <c r="AD4120" s="6">
        <v>17.8</v>
      </c>
      <c r="AE4120" s="1">
        <v>0</v>
      </c>
      <c r="AF4120" s="1">
        <f ca="1">IFERROR(__xludf.DUMMYFUNCTION("IFERROR(GOOGLEFINANCE(TRIM(F4120)&amp;"":"" &amp; TRIM(B4120),""high52""),AE4120)"),324)</f>
        <v>324</v>
      </c>
      <c r="AG4120" s="1">
        <v>0</v>
      </c>
      <c r="AH4120" s="1">
        <f ca="1">IFERROR(__xludf.DUMMYFUNCTION("IFERROR(GOOGLEFINANCE(TRIM(F4120)&amp;"":"" &amp; TRIM(B4120),""low52""),AE4120)"),178)</f>
        <v>178</v>
      </c>
      <c r="AI4120" s="1">
        <f ca="1">IFERROR(__xludf.DUMMYFUNCTION("IFERROR(GOOGLEFINANCE(B4120,""eps""),0)"),11.9)</f>
        <v>11.9</v>
      </c>
      <c r="AJ4120" s="1"/>
      <c r="AK4120" s="1" t="s">
        <v>12517</v>
      </c>
      <c r="AL4120" s="9">
        <f t="shared" si="383"/>
        <v>1</v>
      </c>
    </row>
    <row r="4121" spans="1:38" ht="15" x14ac:dyDescent="0.25">
      <c r="A4121" s="1" t="s">
        <v>12518</v>
      </c>
      <c r="B4121" s="1" t="s">
        <v>12519</v>
      </c>
      <c r="C4121" s="1" t="s">
        <v>706</v>
      </c>
      <c r="D4121" s="1" t="s">
        <v>706</v>
      </c>
      <c r="E4121" s="6">
        <v>70.88</v>
      </c>
      <c r="F4121" s="1" t="s">
        <v>53</v>
      </c>
      <c r="G4121" s="6">
        <f ca="1">IFERROR(__xludf.DUMMYFUNCTION("iferror(GOOGLEFINANCE(TRIM(F4121)&amp;"":"" &amp; TRIM(B4121), ""price""),0
)"),0)</f>
        <v>0</v>
      </c>
      <c r="H4121" s="6">
        <v>166.2</v>
      </c>
      <c r="I4121" s="6">
        <f t="shared" ca="1" si="0"/>
        <v>166.2</v>
      </c>
      <c r="J4121" s="6">
        <f ca="1">IFERROR(__xludf.DUMMYFUNCTION("IFERROR(GOOGLEFINANCE(B4121, ""volume""), 0)"),0)</f>
        <v>0</v>
      </c>
      <c r="K4121" s="12"/>
      <c r="L4121" s="6" t="str">
        <f ca="1">IFERROR(__xludf.DUMMYFUNCTION("IFERROR(GOOGLEFINANCE(B4121,""changepct""),K4121)"),"")</f>
        <v/>
      </c>
      <c r="M4121" s="6">
        <f ca="1">IFERROR(__xludf.DUMMYFUNCTION("IFERROR(GOOGLEFINANCE(B4121,""change""),0)"),0)</f>
        <v>0</v>
      </c>
      <c r="N4121" s="6">
        <v>2</v>
      </c>
      <c r="O4121" s="7">
        <v>45536</v>
      </c>
      <c r="P4121" s="6">
        <v>113.03</v>
      </c>
      <c r="Q4121" s="6">
        <v>182.09</v>
      </c>
      <c r="R4121" s="7">
        <v>45536</v>
      </c>
      <c r="S4121" s="6">
        <v>257.11</v>
      </c>
      <c r="T4121" s="6">
        <v>-8.5500000000000007</v>
      </c>
      <c r="U4121" s="7">
        <v>45536</v>
      </c>
      <c r="V4121" s="6">
        <v>0</v>
      </c>
      <c r="W4121" s="6">
        <f ca="1">IFERROR(__xludf.DUMMYFUNCTION("IFERROR(GOOGLEFINANCE(B4121,""pe""),V4121)"),0)</f>
        <v>0</v>
      </c>
      <c r="X4121" s="9"/>
      <c r="Y4121" s="6">
        <v>0.81</v>
      </c>
      <c r="Z4121" s="6">
        <v>2</v>
      </c>
      <c r="AA4121" s="8">
        <v>45352</v>
      </c>
      <c r="AB4121" s="4">
        <v>1.28</v>
      </c>
      <c r="AC4121" s="6">
        <v>-8.2100000000000009</v>
      </c>
      <c r="AD4121" s="6">
        <v>1.1200000000000001</v>
      </c>
      <c r="AE4121" s="1">
        <v>0</v>
      </c>
      <c r="AF4121" s="1">
        <f ca="1">IFERROR(__xludf.DUMMYFUNCTION("IFERROR(GOOGLEFINANCE(TRIM(F4121)&amp;"":"" &amp; TRIM(B4121),""high52""),AE4121)"),0)</f>
        <v>0</v>
      </c>
      <c r="AG4121" s="1">
        <v>0</v>
      </c>
      <c r="AH4121" s="1">
        <f ca="1">IFERROR(__xludf.DUMMYFUNCTION("IFERROR(GOOGLEFINANCE(TRIM(F4121)&amp;"":"" &amp; TRIM(B4121),""low52""),AE4121)"),0)</f>
        <v>0</v>
      </c>
      <c r="AI4121" s="1">
        <f ca="1">IFERROR(__xludf.DUMMYFUNCTION("IFERROR(GOOGLEFINANCE(B4121,""eps""),0)"),0)</f>
        <v>0</v>
      </c>
      <c r="AJ4121" s="1"/>
      <c r="AK4121" s="1" t="s">
        <v>12520</v>
      </c>
      <c r="AL4121" s="9">
        <f t="shared" si="383"/>
        <v>1</v>
      </c>
    </row>
    <row r="4122" spans="1:38" ht="15" x14ac:dyDescent="0.25">
      <c r="A4122" s="1" t="s">
        <v>12521</v>
      </c>
      <c r="B4122" s="1" t="s">
        <v>12522</v>
      </c>
      <c r="C4122" s="1" t="s">
        <v>186</v>
      </c>
      <c r="D4122" s="1" t="s">
        <v>186</v>
      </c>
      <c r="E4122" s="6">
        <v>14853.46</v>
      </c>
      <c r="F4122" s="1" t="s">
        <v>40</v>
      </c>
      <c r="G4122" s="6">
        <f ca="1">IFERROR(__xludf.DUMMYFUNCTION("iferror(GOOGLEFINANCE(TRIM(F4122)&amp;"":"" &amp; TRIM(B4122), ""price""),0
)"),454.8)</f>
        <v>454.8</v>
      </c>
      <c r="H4122" s="6">
        <v>516.95000000000005</v>
      </c>
      <c r="I4122" s="6">
        <f t="shared" ca="1" si="0"/>
        <v>454.8</v>
      </c>
      <c r="J4122" s="6">
        <f ca="1">IFERROR(__xludf.DUMMYFUNCTION("IFERROR(GOOGLEFINANCE(B4122, ""volume""), 0)"),424094)</f>
        <v>424094</v>
      </c>
      <c r="K4122" s="6">
        <v>0.61</v>
      </c>
      <c r="L4122" s="6">
        <f ca="1">IFERROR(__xludf.DUMMYFUNCTION("IFERROR(GOOGLEFINANCE(B4122,""changepct""),K4122)"),0.57)</f>
        <v>0.56999999999999995</v>
      </c>
      <c r="M4122" s="6">
        <f ca="1">IFERROR(__xludf.DUMMYFUNCTION("IFERROR(GOOGLEFINANCE(B4122,""change""),0)"),2.6)</f>
        <v>2.6</v>
      </c>
      <c r="N4122" s="6">
        <v>2</v>
      </c>
      <c r="O4122" s="7">
        <v>45536</v>
      </c>
      <c r="P4122" s="6">
        <v>951.2</v>
      </c>
      <c r="Q4122" s="6">
        <v>15728.51</v>
      </c>
      <c r="R4122" s="7">
        <v>45536</v>
      </c>
      <c r="S4122" s="6">
        <v>9599.93</v>
      </c>
      <c r="T4122" s="6">
        <v>751.84</v>
      </c>
      <c r="U4122" s="7">
        <v>45536</v>
      </c>
      <c r="V4122" s="6">
        <v>18.66</v>
      </c>
      <c r="W4122" s="6">
        <f ca="1">IFERROR(__xludf.DUMMYFUNCTION("IFERROR(GOOGLEFINANCE(B4122,""pe""),V4122)"),16.22)</f>
        <v>16.22</v>
      </c>
      <c r="X4122" s="6">
        <v>-6.5</v>
      </c>
      <c r="Y4122" s="6">
        <v>1.58</v>
      </c>
      <c r="Z4122" s="6">
        <v>2</v>
      </c>
      <c r="AA4122" s="8">
        <v>45352</v>
      </c>
      <c r="AB4122" s="4">
        <v>0.2</v>
      </c>
      <c r="AC4122" s="6">
        <v>7.21</v>
      </c>
      <c r="AD4122" s="6">
        <v>8.8699999999999992</v>
      </c>
      <c r="AE4122" s="1">
        <v>0</v>
      </c>
      <c r="AF4122" s="1">
        <f ca="1">IFERROR(__xludf.DUMMYFUNCTION("IFERROR(GOOGLEFINANCE(TRIM(F4122)&amp;"":"" &amp; TRIM(B4122),""high52""),AE4122)"),539.9)</f>
        <v>539.9</v>
      </c>
      <c r="AG4122" s="1">
        <v>0</v>
      </c>
      <c r="AH4122" s="1">
        <f ca="1">IFERROR(__xludf.DUMMYFUNCTION("IFERROR(GOOGLEFINANCE(TRIM(F4122)&amp;"":"" &amp; TRIM(B4122),""low52""),AE4122)"),361.1)</f>
        <v>361.1</v>
      </c>
      <c r="AI4122" s="1">
        <f ca="1">IFERROR(__xludf.DUMMYFUNCTION("IFERROR(GOOGLEFINANCE(B4122,""eps""),0)"),28.05)</f>
        <v>28.05</v>
      </c>
      <c r="AJ4122" s="1"/>
      <c r="AK4122" s="1" t="s">
        <v>12523</v>
      </c>
      <c r="AL4122" s="9">
        <f t="shared" si="383"/>
        <v>1</v>
      </c>
    </row>
    <row r="4123" spans="1:38" ht="15" x14ac:dyDescent="0.25">
      <c r="A4123" s="1" t="s">
        <v>12524</v>
      </c>
      <c r="B4123" s="1" t="s">
        <v>12525</v>
      </c>
      <c r="C4123" s="1" t="s">
        <v>706</v>
      </c>
      <c r="D4123" s="1" t="s">
        <v>706</v>
      </c>
      <c r="E4123" s="6">
        <v>6.59</v>
      </c>
      <c r="F4123" s="1" t="s">
        <v>53</v>
      </c>
      <c r="G4123" s="6">
        <f ca="1">IFERROR(__xludf.DUMMYFUNCTION("iferror(GOOGLEFINANCE(TRIM(F4123)&amp;"":"" &amp; TRIM(B4123), ""price""),0
)"),0)</f>
        <v>0</v>
      </c>
      <c r="H4123" s="6">
        <v>13.28</v>
      </c>
      <c r="I4123" s="6">
        <f t="shared" ca="1" si="0"/>
        <v>13.28</v>
      </c>
      <c r="J4123" s="6">
        <f ca="1">IFERROR(__xludf.DUMMYFUNCTION("IFERROR(GOOGLEFINANCE(B4123, ""volume""), 0)"),0)</f>
        <v>0</v>
      </c>
      <c r="K4123" s="6">
        <v>0</v>
      </c>
      <c r="L4123" s="6">
        <f ca="1">IFERROR(__xludf.DUMMYFUNCTION("IFERROR(GOOGLEFINANCE(B4123,""changepct""),K4123)"),0)</f>
        <v>0</v>
      </c>
      <c r="M4123" s="6">
        <f ca="1">IFERROR(__xludf.DUMMYFUNCTION("IFERROR(GOOGLEFINANCE(B4123,""change""),0)"),0)</f>
        <v>0</v>
      </c>
      <c r="N4123" s="6">
        <v>1</v>
      </c>
      <c r="O4123" s="7">
        <v>45536</v>
      </c>
      <c r="P4123" s="6">
        <v>25.03</v>
      </c>
      <c r="Q4123" s="6">
        <v>31.62</v>
      </c>
      <c r="R4123" s="7">
        <v>45536</v>
      </c>
      <c r="S4123" s="6">
        <v>24.36</v>
      </c>
      <c r="T4123" s="6">
        <v>-1.49</v>
      </c>
      <c r="U4123" s="7">
        <v>45536</v>
      </c>
      <c r="V4123" s="6">
        <v>0</v>
      </c>
      <c r="W4123" s="6">
        <f ca="1">IFERROR(__xludf.DUMMYFUNCTION("IFERROR(GOOGLEFINANCE(B4123,""pe""),V4123)"),0)</f>
        <v>0</v>
      </c>
      <c r="X4123" s="6">
        <v>0</v>
      </c>
      <c r="Y4123" s="6">
        <v>-0.35</v>
      </c>
      <c r="Z4123" s="6">
        <v>1</v>
      </c>
      <c r="AA4123" s="17">
        <v>45352</v>
      </c>
      <c r="AB4123" s="18">
        <v>-1.33</v>
      </c>
      <c r="AC4123" s="6">
        <v>0</v>
      </c>
      <c r="AD4123" s="6">
        <v>-7.05</v>
      </c>
      <c r="AE4123" s="1">
        <v>0</v>
      </c>
      <c r="AF4123" s="1">
        <f ca="1">IFERROR(__xludf.DUMMYFUNCTION("IFERROR(GOOGLEFINANCE(TRIM(F4123)&amp;"":"" &amp; TRIM(B4123),""high52""),AE4123)"),0)</f>
        <v>0</v>
      </c>
      <c r="AG4123" s="1">
        <v>0</v>
      </c>
      <c r="AH4123" s="1">
        <f ca="1">IFERROR(__xludf.DUMMYFUNCTION("IFERROR(GOOGLEFINANCE(TRIM(F4123)&amp;"":"" &amp; TRIM(B4123),""low52""),AE4123)"),0)</f>
        <v>0</v>
      </c>
      <c r="AI4123" s="1">
        <f ca="1">IFERROR(__xludf.DUMMYFUNCTION("IFERROR(GOOGLEFINANCE(B4123,""eps""),0)"),0)</f>
        <v>0</v>
      </c>
      <c r="AJ4123" s="1"/>
      <c r="AK4123" s="9"/>
      <c r="AL4123" s="9">
        <f t="shared" si="383"/>
        <v>1</v>
      </c>
    </row>
    <row r="4124" spans="1:38" ht="15" x14ac:dyDescent="0.25">
      <c r="A4124" s="1" t="s">
        <v>12526</v>
      </c>
      <c r="B4124" s="1" t="s">
        <v>12527</v>
      </c>
      <c r="C4124" s="1" t="s">
        <v>355</v>
      </c>
      <c r="D4124" s="1" t="s">
        <v>355</v>
      </c>
      <c r="E4124" s="6">
        <v>9653.81</v>
      </c>
      <c r="F4124" s="1" t="s">
        <v>40</v>
      </c>
      <c r="G4124" s="6">
        <f ca="1">IFERROR(__xludf.DUMMYFUNCTION("iferror(GOOGLEFINANCE(TRIM(F4124)&amp;"":"" &amp; TRIM(B4124), ""price""),0
)"),577)</f>
        <v>577</v>
      </c>
      <c r="H4124" s="6">
        <v>633.75</v>
      </c>
      <c r="I4124" s="6">
        <f t="shared" ca="1" si="0"/>
        <v>577</v>
      </c>
      <c r="J4124" s="6">
        <f ca="1">IFERROR(__xludf.DUMMYFUNCTION("IFERROR(GOOGLEFINANCE(B4124, ""volume""), 0)"),124764)</f>
        <v>124764</v>
      </c>
      <c r="K4124" s="6">
        <v>0.04</v>
      </c>
      <c r="L4124" s="6">
        <f ca="1">IFERROR(__xludf.DUMMYFUNCTION("IFERROR(GOOGLEFINANCE(B4124,""changepct""),K4124)"),0.93)</f>
        <v>0.93</v>
      </c>
      <c r="M4124" s="6">
        <f ca="1">IFERROR(__xludf.DUMMYFUNCTION("IFERROR(GOOGLEFINANCE(B4124,""change""),0)"),5.3)</f>
        <v>5.3</v>
      </c>
      <c r="N4124" s="6">
        <v>2</v>
      </c>
      <c r="O4124" s="7">
        <v>45536</v>
      </c>
      <c r="P4124" s="6">
        <v>1032.56</v>
      </c>
      <c r="Q4124" s="6">
        <v>10542.88</v>
      </c>
      <c r="R4124" s="7">
        <v>45536</v>
      </c>
      <c r="S4124" s="6">
        <v>7839.06</v>
      </c>
      <c r="T4124" s="6">
        <v>500.52</v>
      </c>
      <c r="U4124" s="7">
        <v>45536</v>
      </c>
      <c r="V4124" s="6">
        <v>18.3</v>
      </c>
      <c r="W4124" s="6">
        <f ca="1">IFERROR(__xludf.DUMMYFUNCTION("IFERROR(GOOGLEFINANCE(B4124,""pe""),V4124)"),63.28)</f>
        <v>63.28</v>
      </c>
      <c r="X4124" s="6">
        <v>4.21</v>
      </c>
      <c r="Y4124" s="6">
        <v>6.01</v>
      </c>
      <c r="Z4124" s="6">
        <v>2</v>
      </c>
      <c r="AA4124" s="8">
        <v>45352</v>
      </c>
      <c r="AB4124" s="4">
        <v>0.81</v>
      </c>
      <c r="AC4124" s="6">
        <v>44.72</v>
      </c>
      <c r="AD4124" s="6">
        <v>19.13</v>
      </c>
      <c r="AE4124" s="1">
        <v>0</v>
      </c>
      <c r="AF4124" s="1">
        <f ca="1">IFERROR(__xludf.DUMMYFUNCTION("IFERROR(GOOGLEFINANCE(TRIM(F4124)&amp;"":"" &amp; TRIM(B4124),""high52""),AE4124)"),694.7)</f>
        <v>694.7</v>
      </c>
      <c r="AG4124" s="1">
        <v>0</v>
      </c>
      <c r="AH4124" s="1">
        <f ca="1">IFERROR(__xludf.DUMMYFUNCTION("IFERROR(GOOGLEFINANCE(TRIM(F4124)&amp;"":"" &amp; TRIM(B4124),""low52""),AE4124)"),374.1)</f>
        <v>374.1</v>
      </c>
      <c r="AI4124" s="1">
        <f ca="1">IFERROR(__xludf.DUMMYFUNCTION("IFERROR(GOOGLEFINANCE(B4124,""eps""),0)"),9.12)</f>
        <v>9.1199999999999992</v>
      </c>
      <c r="AJ4124" s="1"/>
      <c r="AK4124" s="1" t="s">
        <v>12528</v>
      </c>
      <c r="AL4124" s="1" t="b">
        <f>ISNUMBER(AA4124)</f>
        <v>1</v>
      </c>
    </row>
    <row r="4125" spans="1:38" ht="15" x14ac:dyDescent="0.25">
      <c r="A4125" s="1" t="s">
        <v>12529</v>
      </c>
      <c r="B4125" s="1" t="s">
        <v>12530</v>
      </c>
      <c r="C4125" s="1" t="s">
        <v>706</v>
      </c>
      <c r="D4125" s="1" t="s">
        <v>706</v>
      </c>
      <c r="E4125" s="6">
        <v>9.27</v>
      </c>
      <c r="F4125" s="1" t="s">
        <v>53</v>
      </c>
      <c r="G4125" s="6">
        <f ca="1">IFERROR(__xludf.DUMMYFUNCTION("iferror(GOOGLEFINANCE(TRIM(F4125)&amp;"":"" &amp; TRIM(B4125), ""price""),0
)"),0)</f>
        <v>0</v>
      </c>
      <c r="H4125" s="6">
        <v>11.17</v>
      </c>
      <c r="I4125" s="6">
        <f t="shared" ca="1" si="0"/>
        <v>11.17</v>
      </c>
      <c r="J4125" s="6">
        <f ca="1">IFERROR(__xludf.DUMMYFUNCTION("IFERROR(GOOGLEFINANCE(B4125, ""volume""), 0)"),0)</f>
        <v>0</v>
      </c>
      <c r="K4125" s="12"/>
      <c r="L4125" s="6" t="str">
        <f ca="1">IFERROR(__xludf.DUMMYFUNCTION("IFERROR(GOOGLEFINANCE(B4125,""changepct""),K4125)"),"")</f>
        <v/>
      </c>
      <c r="M4125" s="6">
        <f ca="1">IFERROR(__xludf.DUMMYFUNCTION("IFERROR(GOOGLEFINANCE(B4125,""change""),0)"),0)</f>
        <v>0</v>
      </c>
      <c r="N4125" s="6">
        <v>1</v>
      </c>
      <c r="O4125" s="7">
        <v>45536</v>
      </c>
      <c r="P4125" s="6">
        <v>2.1</v>
      </c>
      <c r="Q4125" s="6">
        <v>11.38</v>
      </c>
      <c r="R4125" s="7">
        <v>45536</v>
      </c>
      <c r="S4125" s="6">
        <v>0</v>
      </c>
      <c r="T4125" s="6">
        <v>-0.38</v>
      </c>
      <c r="U4125" s="7">
        <v>45536</v>
      </c>
      <c r="V4125" s="6">
        <v>0</v>
      </c>
      <c r="W4125" s="6">
        <f ca="1">IFERROR(__xludf.DUMMYFUNCTION("IFERROR(GOOGLEFINANCE(B4125,""pe""),V4125)"),0)</f>
        <v>0</v>
      </c>
      <c r="X4125" s="6">
        <v>0</v>
      </c>
      <c r="Y4125" s="6">
        <v>-3.32</v>
      </c>
      <c r="Z4125" s="6">
        <v>1</v>
      </c>
      <c r="AA4125" s="8">
        <v>45352</v>
      </c>
      <c r="AB4125" s="4">
        <v>-0.75</v>
      </c>
      <c r="AC4125" s="6">
        <v>0</v>
      </c>
      <c r="AD4125" s="6">
        <v>0</v>
      </c>
      <c r="AE4125" s="1">
        <v>0</v>
      </c>
      <c r="AF4125" s="1">
        <f ca="1">IFERROR(__xludf.DUMMYFUNCTION("IFERROR(GOOGLEFINANCE(TRIM(F4125)&amp;"":"" &amp; TRIM(B4125),""high52""),AE4125)"),0)</f>
        <v>0</v>
      </c>
      <c r="AG4125" s="1">
        <v>0</v>
      </c>
      <c r="AH4125" s="1">
        <f ca="1">IFERROR(__xludf.DUMMYFUNCTION("IFERROR(GOOGLEFINANCE(TRIM(F4125)&amp;"":"" &amp; TRIM(B4125),""low52""),AE4125)"),0)</f>
        <v>0</v>
      </c>
      <c r="AI4125" s="1">
        <f ca="1">IFERROR(__xludf.DUMMYFUNCTION("IFERROR(GOOGLEFINANCE(B4125,""eps""),0)"),0)</f>
        <v>0</v>
      </c>
      <c r="AJ4125" s="1"/>
      <c r="AK4125" s="1" t="s">
        <v>12531</v>
      </c>
      <c r="AL4125" s="9">
        <f t="shared" ref="AL4125:AL4167" si="384">IF(AA4125&lt;&gt;AB4125,1,0)</f>
        <v>1</v>
      </c>
    </row>
    <row r="4126" spans="1:38" ht="15" x14ac:dyDescent="0.25">
      <c r="A4126" s="1" t="s">
        <v>12532</v>
      </c>
      <c r="B4126" s="1" t="s">
        <v>12533</v>
      </c>
      <c r="C4126" s="1" t="s">
        <v>706</v>
      </c>
      <c r="D4126" s="1" t="s">
        <v>706</v>
      </c>
      <c r="E4126" s="6">
        <v>36.78</v>
      </c>
      <c r="F4126" s="1" t="s">
        <v>53</v>
      </c>
      <c r="G4126" s="6">
        <f ca="1">IFERROR(__xludf.DUMMYFUNCTION("iferror(GOOGLEFINANCE(TRIM(F4126)&amp;"":"" &amp; TRIM(B4126), ""price""),0
)"),0)</f>
        <v>0</v>
      </c>
      <c r="H4126" s="6">
        <v>80.489999999999995</v>
      </c>
      <c r="I4126" s="6">
        <f t="shared" ca="1" si="0"/>
        <v>80.489999999999995</v>
      </c>
      <c r="J4126" s="6">
        <f ca="1">IFERROR(__xludf.DUMMYFUNCTION("IFERROR(GOOGLEFINANCE(B4126, ""volume""), 0)"),0)</f>
        <v>0</v>
      </c>
      <c r="K4126" s="6">
        <v>-2</v>
      </c>
      <c r="L4126" s="6">
        <f ca="1">IFERROR(__xludf.DUMMYFUNCTION("IFERROR(GOOGLEFINANCE(B4126,""changepct""),K4126)"),-2)</f>
        <v>-2</v>
      </c>
      <c r="M4126" s="6">
        <f ca="1">IFERROR(__xludf.DUMMYFUNCTION("IFERROR(GOOGLEFINANCE(B4126,""change""),0)"),0)</f>
        <v>0</v>
      </c>
      <c r="N4126" s="6">
        <v>1</v>
      </c>
      <c r="O4126" s="7">
        <v>45536</v>
      </c>
      <c r="P4126" s="6">
        <v>0.01</v>
      </c>
      <c r="Q4126" s="6">
        <v>35.82</v>
      </c>
      <c r="R4126" s="7">
        <v>45536</v>
      </c>
      <c r="S4126" s="6">
        <v>0</v>
      </c>
      <c r="T4126" s="6">
        <v>3.36</v>
      </c>
      <c r="U4126" s="7">
        <v>45536</v>
      </c>
      <c r="V4126" s="6">
        <v>10.96</v>
      </c>
      <c r="W4126" s="6">
        <f ca="1">IFERROR(__xludf.DUMMYFUNCTION("IFERROR(GOOGLEFINANCE(B4126,""pe""),V4126)"),10.96)</f>
        <v>10.96</v>
      </c>
      <c r="X4126" s="6">
        <v>0.21</v>
      </c>
      <c r="Y4126" s="6">
        <v>28.18</v>
      </c>
      <c r="Z4126" s="6">
        <v>1</v>
      </c>
      <c r="AA4126" s="8">
        <v>45352</v>
      </c>
      <c r="AB4126" s="4">
        <v>0</v>
      </c>
      <c r="AC4126" s="6">
        <v>0</v>
      </c>
      <c r="AD4126" s="6">
        <v>313.39999999999998</v>
      </c>
      <c r="AE4126" s="1">
        <v>0</v>
      </c>
      <c r="AF4126" s="1">
        <f ca="1">IFERROR(__xludf.DUMMYFUNCTION("IFERROR(GOOGLEFINANCE(TRIM(F4126)&amp;"":"" &amp; TRIM(B4126),""high52""),AE4126)"),0)</f>
        <v>0</v>
      </c>
      <c r="AG4126" s="1">
        <v>0</v>
      </c>
      <c r="AH4126" s="1">
        <f ca="1">IFERROR(__xludf.DUMMYFUNCTION("IFERROR(GOOGLEFINANCE(TRIM(F4126)&amp;"":"" &amp; TRIM(B4126),""low52""),AE4126)"),0)</f>
        <v>0</v>
      </c>
      <c r="AI4126" s="1">
        <f ca="1">IFERROR(__xludf.DUMMYFUNCTION("IFERROR(GOOGLEFINANCE(B4126,""eps""),0)"),0)</f>
        <v>0</v>
      </c>
      <c r="AJ4126" s="1"/>
      <c r="AK4126" s="1" t="s">
        <v>12534</v>
      </c>
      <c r="AL4126" s="9">
        <f t="shared" si="384"/>
        <v>1</v>
      </c>
    </row>
    <row r="4127" spans="1:38" ht="15" x14ac:dyDescent="0.25">
      <c r="A4127" s="1" t="s">
        <v>12535</v>
      </c>
      <c r="B4127" s="1" t="s">
        <v>12536</v>
      </c>
      <c r="C4127" s="1" t="s">
        <v>706</v>
      </c>
      <c r="D4127" s="1" t="s">
        <v>706</v>
      </c>
      <c r="E4127" s="6">
        <v>12.59</v>
      </c>
      <c r="F4127" s="1" t="s">
        <v>53</v>
      </c>
      <c r="G4127" s="6">
        <f ca="1">IFERROR(__xludf.DUMMYFUNCTION("iferror(GOOGLEFINANCE(TRIM(F4127)&amp;"":"" &amp; TRIM(B4127), ""price""),0
)"),0)</f>
        <v>0</v>
      </c>
      <c r="H4127" s="6">
        <v>39.65</v>
      </c>
      <c r="I4127" s="6">
        <f t="shared" ca="1" si="0"/>
        <v>39.65</v>
      </c>
      <c r="J4127" s="6">
        <f ca="1">IFERROR(__xludf.DUMMYFUNCTION("IFERROR(GOOGLEFINANCE(B4127, ""volume""), 0)"),0)</f>
        <v>0</v>
      </c>
      <c r="K4127" s="6">
        <v>4.9800000000000004</v>
      </c>
      <c r="L4127" s="6">
        <f ca="1">IFERROR(__xludf.DUMMYFUNCTION("IFERROR(GOOGLEFINANCE(B4127,""changepct""),K4127)"),4.98)</f>
        <v>4.9800000000000004</v>
      </c>
      <c r="M4127" s="6">
        <f ca="1">IFERROR(__xludf.DUMMYFUNCTION("IFERROR(GOOGLEFINANCE(B4127,""change""),0)"),0)</f>
        <v>0</v>
      </c>
      <c r="N4127" s="6">
        <v>1</v>
      </c>
      <c r="O4127" s="7">
        <v>45536</v>
      </c>
      <c r="P4127" s="6">
        <v>30.12</v>
      </c>
      <c r="Q4127" s="6">
        <v>40.729999999999997</v>
      </c>
      <c r="R4127" s="7">
        <v>45536</v>
      </c>
      <c r="S4127" s="6">
        <v>105.66</v>
      </c>
      <c r="T4127" s="6">
        <v>-21.12</v>
      </c>
      <c r="U4127" s="7">
        <v>45536</v>
      </c>
      <c r="V4127" s="6">
        <v>0</v>
      </c>
      <c r="W4127" s="6">
        <f ca="1">IFERROR(__xludf.DUMMYFUNCTION("IFERROR(GOOGLEFINANCE(B4127,""pe""),V4127)"),0)</f>
        <v>0</v>
      </c>
      <c r="X4127" s="9"/>
      <c r="Y4127" s="6">
        <v>-0.21</v>
      </c>
      <c r="Z4127" s="6">
        <v>1</v>
      </c>
      <c r="AA4127" s="8">
        <v>45352</v>
      </c>
      <c r="AB4127" s="4">
        <v>-0.4</v>
      </c>
      <c r="AC4127" s="6">
        <v>0</v>
      </c>
      <c r="AD4127" s="6">
        <v>0</v>
      </c>
      <c r="AE4127" s="1">
        <v>0</v>
      </c>
      <c r="AF4127" s="1">
        <f ca="1">IFERROR(__xludf.DUMMYFUNCTION("IFERROR(GOOGLEFINANCE(TRIM(F4127)&amp;"":"" &amp; TRIM(B4127),""high52""),AE4127)"),0)</f>
        <v>0</v>
      </c>
      <c r="AG4127" s="1">
        <v>0</v>
      </c>
      <c r="AH4127" s="1">
        <f ca="1">IFERROR(__xludf.DUMMYFUNCTION("IFERROR(GOOGLEFINANCE(TRIM(F4127)&amp;"":"" &amp; TRIM(B4127),""low52""),AE4127)"),0)</f>
        <v>0</v>
      </c>
      <c r="AI4127" s="1">
        <f ca="1">IFERROR(__xludf.DUMMYFUNCTION("IFERROR(GOOGLEFINANCE(B4127,""eps""),0)"),0)</f>
        <v>0</v>
      </c>
      <c r="AJ4127" s="1"/>
      <c r="AK4127" s="1" t="s">
        <v>12537</v>
      </c>
      <c r="AL4127" s="9">
        <f t="shared" si="384"/>
        <v>1</v>
      </c>
    </row>
    <row r="4128" spans="1:38" ht="15" x14ac:dyDescent="0.25">
      <c r="A4128" s="1" t="s">
        <v>12538</v>
      </c>
      <c r="B4128" s="1" t="s">
        <v>12539</v>
      </c>
      <c r="C4128" s="1" t="s">
        <v>706</v>
      </c>
      <c r="D4128" s="1" t="s">
        <v>706</v>
      </c>
      <c r="E4128" s="6">
        <v>18.350000000000001</v>
      </c>
      <c r="F4128" s="1" t="s">
        <v>53</v>
      </c>
      <c r="G4128" s="6">
        <f ca="1">IFERROR(__xludf.DUMMYFUNCTION("iferror(GOOGLEFINANCE(TRIM(F4128)&amp;"":"" &amp; TRIM(B4128), ""price""),0
)"),0)</f>
        <v>0</v>
      </c>
      <c r="H4128" s="6">
        <v>41.52</v>
      </c>
      <c r="I4128" s="6">
        <f t="shared" ca="1" si="0"/>
        <v>41.52</v>
      </c>
      <c r="J4128" s="6">
        <f ca="1">IFERROR(__xludf.DUMMYFUNCTION("IFERROR(GOOGLEFINANCE(B4128, ""volume""), 0)"),0)</f>
        <v>0</v>
      </c>
      <c r="K4128" s="6">
        <v>-2.72</v>
      </c>
      <c r="L4128" s="6">
        <f ca="1">IFERROR(__xludf.DUMMYFUNCTION("IFERROR(GOOGLEFINANCE(B4128,""changepct""),K4128)"),-2.72)</f>
        <v>-2.72</v>
      </c>
      <c r="M4128" s="6">
        <f ca="1">IFERROR(__xludf.DUMMYFUNCTION("IFERROR(GOOGLEFINANCE(B4128,""change""),0)"),0)</f>
        <v>0</v>
      </c>
      <c r="N4128" s="6">
        <v>1</v>
      </c>
      <c r="O4128" s="7">
        <v>45536</v>
      </c>
      <c r="P4128" s="6">
        <v>40.81</v>
      </c>
      <c r="Q4128" s="6">
        <v>59.16</v>
      </c>
      <c r="R4128" s="7">
        <v>45536</v>
      </c>
      <c r="S4128" s="6">
        <v>62.72</v>
      </c>
      <c r="T4128" s="6">
        <v>-2.57</v>
      </c>
      <c r="U4128" s="7">
        <v>45536</v>
      </c>
      <c r="V4128" s="6">
        <v>0</v>
      </c>
      <c r="W4128" s="6">
        <f ca="1">IFERROR(__xludf.DUMMYFUNCTION("IFERROR(GOOGLEFINANCE(B4128,""pe""),V4128)"),0)</f>
        <v>0</v>
      </c>
      <c r="X4128" s="9"/>
      <c r="Y4128" s="6">
        <v>1.03</v>
      </c>
      <c r="Z4128" s="6">
        <v>1</v>
      </c>
      <c r="AA4128" s="8">
        <v>45352</v>
      </c>
      <c r="AB4128" s="4">
        <v>2.0499999999999998</v>
      </c>
      <c r="AC4128" s="6">
        <v>-22.07</v>
      </c>
      <c r="AD4128" s="6">
        <v>-3.66</v>
      </c>
      <c r="AE4128" s="1">
        <v>0</v>
      </c>
      <c r="AF4128" s="1">
        <f ca="1">IFERROR(__xludf.DUMMYFUNCTION("IFERROR(GOOGLEFINANCE(TRIM(F4128)&amp;"":"" &amp; TRIM(B4128),""high52""),AE4128)"),0)</f>
        <v>0</v>
      </c>
      <c r="AG4128" s="1">
        <v>0</v>
      </c>
      <c r="AH4128" s="1">
        <f ca="1">IFERROR(__xludf.DUMMYFUNCTION("IFERROR(GOOGLEFINANCE(TRIM(F4128)&amp;"":"" &amp; TRIM(B4128),""low52""),AE4128)"),0)</f>
        <v>0</v>
      </c>
      <c r="AI4128" s="1">
        <f ca="1">IFERROR(__xludf.DUMMYFUNCTION("IFERROR(GOOGLEFINANCE(B4128,""eps""),0)"),0)</f>
        <v>0</v>
      </c>
      <c r="AJ4128" s="1"/>
      <c r="AK4128" s="1" t="s">
        <v>12540</v>
      </c>
      <c r="AL4128" s="9">
        <f t="shared" si="384"/>
        <v>1</v>
      </c>
    </row>
    <row r="4129" spans="1:38" ht="15" x14ac:dyDescent="0.25">
      <c r="A4129" s="1" t="s">
        <v>12541</v>
      </c>
      <c r="B4129" s="1" t="s">
        <v>12542</v>
      </c>
      <c r="C4129" s="1" t="s">
        <v>706</v>
      </c>
      <c r="D4129" s="1" t="s">
        <v>706</v>
      </c>
      <c r="E4129" s="6">
        <v>47.45</v>
      </c>
      <c r="F4129" s="1" t="s">
        <v>53</v>
      </c>
      <c r="G4129" s="6">
        <f ca="1">IFERROR(__xludf.DUMMYFUNCTION("iferror(GOOGLEFINANCE(TRIM(F4129)&amp;"":"" &amp; TRIM(B4129), ""price""),0
)"),0)</f>
        <v>0</v>
      </c>
      <c r="H4129" s="6">
        <v>66.67</v>
      </c>
      <c r="I4129" s="6">
        <f t="shared" ca="1" si="0"/>
        <v>66.67</v>
      </c>
      <c r="J4129" s="6">
        <f ca="1">IFERROR(__xludf.DUMMYFUNCTION("IFERROR(GOOGLEFINANCE(B4129, ""volume""), 0)"),0)</f>
        <v>0</v>
      </c>
      <c r="K4129" s="6">
        <v>0.02</v>
      </c>
      <c r="L4129" s="6">
        <f ca="1">IFERROR(__xludf.DUMMYFUNCTION("IFERROR(GOOGLEFINANCE(B4129,""changepct""),K4129)"),0.02)</f>
        <v>0.02</v>
      </c>
      <c r="M4129" s="6">
        <f ca="1">IFERROR(__xludf.DUMMYFUNCTION("IFERROR(GOOGLEFINANCE(B4129,""change""),0)"),0)</f>
        <v>0</v>
      </c>
      <c r="N4129" s="6">
        <v>1</v>
      </c>
      <c r="O4129" s="7">
        <v>45536</v>
      </c>
      <c r="P4129" s="6">
        <v>31.97</v>
      </c>
      <c r="Q4129" s="6">
        <v>79.42</v>
      </c>
      <c r="R4129" s="7">
        <v>45536</v>
      </c>
      <c r="S4129" s="6">
        <v>69.319999999999993</v>
      </c>
      <c r="T4129" s="6">
        <v>6.68</v>
      </c>
      <c r="U4129" s="7">
        <v>45536</v>
      </c>
      <c r="V4129" s="6">
        <v>7.11</v>
      </c>
      <c r="W4129" s="6">
        <f ca="1">IFERROR(__xludf.DUMMYFUNCTION("IFERROR(GOOGLEFINANCE(B4129,""pe""),V4129)"),7.11)</f>
        <v>7.11</v>
      </c>
      <c r="X4129" s="6">
        <v>0.79</v>
      </c>
      <c r="Y4129" s="6">
        <v>2.0699999999999998</v>
      </c>
      <c r="Z4129" s="6">
        <v>1</v>
      </c>
      <c r="AA4129" s="8">
        <v>45352</v>
      </c>
      <c r="AB4129" s="4">
        <v>1.8</v>
      </c>
      <c r="AC4129" s="6">
        <v>42.43</v>
      </c>
      <c r="AD4129" s="6">
        <v>25.92</v>
      </c>
      <c r="AE4129" s="1">
        <v>0</v>
      </c>
      <c r="AF4129" s="1">
        <f ca="1">IFERROR(__xludf.DUMMYFUNCTION("IFERROR(GOOGLEFINANCE(TRIM(F4129)&amp;"":"" &amp; TRIM(B4129),""high52""),AE4129)"),0)</f>
        <v>0</v>
      </c>
      <c r="AG4129" s="1">
        <v>0</v>
      </c>
      <c r="AH4129" s="1">
        <f ca="1">IFERROR(__xludf.DUMMYFUNCTION("IFERROR(GOOGLEFINANCE(TRIM(F4129)&amp;"":"" &amp; TRIM(B4129),""low52""),AE4129)"),0)</f>
        <v>0</v>
      </c>
      <c r="AI4129" s="1">
        <f ca="1">IFERROR(__xludf.DUMMYFUNCTION("IFERROR(GOOGLEFINANCE(B4129,""eps""),0)"),0)</f>
        <v>0</v>
      </c>
      <c r="AJ4129" s="1"/>
      <c r="AK4129" s="1" t="s">
        <v>12543</v>
      </c>
      <c r="AL4129" s="9">
        <f t="shared" si="384"/>
        <v>1</v>
      </c>
    </row>
    <row r="4130" spans="1:38" ht="15" x14ac:dyDescent="0.25">
      <c r="A4130" s="1" t="s">
        <v>12544</v>
      </c>
      <c r="B4130" s="1" t="s">
        <v>12545</v>
      </c>
      <c r="C4130" s="1" t="s">
        <v>706</v>
      </c>
      <c r="D4130" s="1" t="s">
        <v>706</v>
      </c>
      <c r="E4130" s="6">
        <v>415.01</v>
      </c>
      <c r="F4130" s="1" t="s">
        <v>53</v>
      </c>
      <c r="G4130" s="6">
        <f ca="1">IFERROR(__xludf.DUMMYFUNCTION("iferror(GOOGLEFINANCE(TRIM(F4130)&amp;"":"" &amp; TRIM(B4130), ""price""),0
)"),0)</f>
        <v>0</v>
      </c>
      <c r="H4130" s="6">
        <v>1369.8</v>
      </c>
      <c r="I4130" s="6">
        <f t="shared" ca="1" si="0"/>
        <v>1369.8</v>
      </c>
      <c r="J4130" s="6">
        <f ca="1">IFERROR(__xludf.DUMMYFUNCTION("IFERROR(GOOGLEFINANCE(B4130, ""volume""), 0)"),0)</f>
        <v>0</v>
      </c>
      <c r="K4130" s="6">
        <v>1.38</v>
      </c>
      <c r="L4130" s="6">
        <f ca="1">IFERROR(__xludf.DUMMYFUNCTION("IFERROR(GOOGLEFINANCE(B4130,""changepct""),K4130)"),1.38)</f>
        <v>1.38</v>
      </c>
      <c r="M4130" s="6">
        <f ca="1">IFERROR(__xludf.DUMMYFUNCTION("IFERROR(GOOGLEFINANCE(B4130,""change""),0)"),0)</f>
        <v>0</v>
      </c>
      <c r="N4130" s="6">
        <v>1</v>
      </c>
      <c r="O4130" s="7">
        <v>45536</v>
      </c>
      <c r="P4130" s="6">
        <v>94.41</v>
      </c>
      <c r="Q4130" s="6">
        <v>486.79</v>
      </c>
      <c r="R4130" s="7">
        <v>45536</v>
      </c>
      <c r="S4130" s="6">
        <v>400.91</v>
      </c>
      <c r="T4130" s="6">
        <v>4.42</v>
      </c>
      <c r="U4130" s="7">
        <v>45536</v>
      </c>
      <c r="V4130" s="6">
        <v>93.79</v>
      </c>
      <c r="W4130" s="6">
        <f ca="1">IFERROR(__xludf.DUMMYFUNCTION("IFERROR(GOOGLEFINANCE(B4130,""pe""),V4130)"),93.79)</f>
        <v>93.79</v>
      </c>
      <c r="X4130" s="6">
        <v>3.74</v>
      </c>
      <c r="Y4130" s="6">
        <v>0.67</v>
      </c>
      <c r="Z4130" s="6">
        <v>1</v>
      </c>
      <c r="AA4130" s="8">
        <v>45352</v>
      </c>
      <c r="AB4130" s="4">
        <v>0.14000000000000001</v>
      </c>
      <c r="AC4130" s="6">
        <v>4.01</v>
      </c>
      <c r="AD4130" s="6">
        <v>5.81</v>
      </c>
      <c r="AE4130" s="1">
        <v>0</v>
      </c>
      <c r="AF4130" s="1">
        <f ca="1">IFERROR(__xludf.DUMMYFUNCTION("IFERROR(GOOGLEFINANCE(TRIM(F4130)&amp;"":"" &amp; TRIM(B4130),""high52""),AE4130)"),0)</f>
        <v>0</v>
      </c>
      <c r="AG4130" s="1">
        <v>0</v>
      </c>
      <c r="AH4130" s="1">
        <f ca="1">IFERROR(__xludf.DUMMYFUNCTION("IFERROR(GOOGLEFINANCE(TRIM(F4130)&amp;"":"" &amp; TRIM(B4130),""low52""),AE4130)"),0)</f>
        <v>0</v>
      </c>
      <c r="AI4130" s="1">
        <f ca="1">IFERROR(__xludf.DUMMYFUNCTION("IFERROR(GOOGLEFINANCE(B4130,""eps""),0)"),0)</f>
        <v>0</v>
      </c>
      <c r="AJ4130" s="1"/>
      <c r="AK4130" s="1" t="s">
        <v>12546</v>
      </c>
      <c r="AL4130" s="9">
        <f t="shared" si="384"/>
        <v>1</v>
      </c>
    </row>
    <row r="4131" spans="1:38" ht="15" x14ac:dyDescent="0.25">
      <c r="A4131" s="1" t="s">
        <v>12547</v>
      </c>
      <c r="B4131" s="1" t="s">
        <v>12548</v>
      </c>
      <c r="C4131" s="1" t="s">
        <v>324</v>
      </c>
      <c r="D4131" s="1" t="s">
        <v>324</v>
      </c>
      <c r="E4131" s="6">
        <v>219257.1</v>
      </c>
      <c r="F4131" s="1" t="s">
        <v>40</v>
      </c>
      <c r="G4131" s="6">
        <f ca="1">IFERROR(__xludf.DUMMYFUNCTION("iferror(GOOGLEFINANCE(TRIM(F4131)&amp;"":"" &amp; TRIM(B4131), ""price""),0
)"),465.9)</f>
        <v>465.9</v>
      </c>
      <c r="H4131" s="6">
        <v>642.25</v>
      </c>
      <c r="I4131" s="6">
        <f t="shared" ca="1" si="0"/>
        <v>465.9</v>
      </c>
      <c r="J4131" s="6">
        <f ca="1">IFERROR(__xludf.DUMMYFUNCTION("IFERROR(GOOGLEFINANCE(B4131, ""volume""), 0)"),5718949)</f>
        <v>5718949</v>
      </c>
      <c r="K4131" s="6">
        <v>-0.99</v>
      </c>
      <c r="L4131" s="6">
        <f ca="1">IFERROR(__xludf.DUMMYFUNCTION("IFERROR(GOOGLEFINANCE(B4131,""changepct""),K4131)"),-0.68)</f>
        <v>-0.68</v>
      </c>
      <c r="M4131" s="6">
        <f ca="1">IFERROR(__xludf.DUMMYFUNCTION("IFERROR(GOOGLEFINANCE(B4131,""change""),0)"),-3.2)</f>
        <v>-3.2</v>
      </c>
      <c r="N4131" s="6">
        <v>2</v>
      </c>
      <c r="O4131" s="7">
        <v>45444</v>
      </c>
      <c r="P4131" s="6">
        <v>6288.55</v>
      </c>
      <c r="Q4131" s="6">
        <v>225137.9</v>
      </c>
      <c r="R4131" s="7">
        <v>45536</v>
      </c>
      <c r="S4131" s="6">
        <v>19394.7</v>
      </c>
      <c r="T4131" s="6">
        <v>2582.9899999999998</v>
      </c>
      <c r="U4131" s="7">
        <v>45536</v>
      </c>
      <c r="V4131" s="6">
        <v>86.27</v>
      </c>
      <c r="W4131" s="6">
        <f ca="1">IFERROR(__xludf.DUMMYFUNCTION("IFERROR(GOOGLEFINANCE(B4131,""pe""),V4131)"),53.01)</f>
        <v>53.01</v>
      </c>
      <c r="X4131" s="6">
        <v>1.81</v>
      </c>
      <c r="Y4131" s="6">
        <v>13.12</v>
      </c>
      <c r="Z4131" s="6">
        <v>2</v>
      </c>
      <c r="AA4131" s="8">
        <v>45261</v>
      </c>
      <c r="AB4131" s="4">
        <v>0.75</v>
      </c>
      <c r="AC4131" s="6">
        <v>34.950000000000003</v>
      </c>
      <c r="AD4131" s="6">
        <v>28.97</v>
      </c>
      <c r="AE4131" s="1">
        <v>0</v>
      </c>
      <c r="AF4131" s="1">
        <f ca="1">IFERROR(__xludf.DUMMYFUNCTION("IFERROR(GOOGLEFINANCE(TRIM(F4131)&amp;"":"" &amp; TRIM(B4131),""high52""),AE4131)"),592.95)</f>
        <v>592.95000000000005</v>
      </c>
      <c r="AG4131" s="1">
        <v>0</v>
      </c>
      <c r="AH4131" s="1">
        <f ca="1">IFERROR(__xludf.DUMMYFUNCTION("IFERROR(GOOGLEFINANCE(TRIM(F4131)&amp;"":"" &amp; TRIM(B4131),""low52""),AE4131)"),419.55)</f>
        <v>419.55</v>
      </c>
      <c r="AI4131" s="1">
        <f ca="1">IFERROR(__xludf.DUMMYFUNCTION("IFERROR(GOOGLEFINANCE(B4131,""eps""),0)"),8.79)</f>
        <v>8.7899999999999991</v>
      </c>
      <c r="AJ4131" s="1"/>
      <c r="AK4131" s="1" t="s">
        <v>12549</v>
      </c>
      <c r="AL4131" s="9">
        <f t="shared" si="384"/>
        <v>1</v>
      </c>
    </row>
    <row r="4132" spans="1:38" ht="15" x14ac:dyDescent="0.25">
      <c r="A4132" s="1" t="s">
        <v>12550</v>
      </c>
      <c r="B4132" s="1" t="s">
        <v>12551</v>
      </c>
      <c r="C4132" s="1" t="s">
        <v>706</v>
      </c>
      <c r="D4132" s="1" t="s">
        <v>706</v>
      </c>
      <c r="E4132" s="6">
        <v>46.44</v>
      </c>
      <c r="F4132" s="1" t="s">
        <v>53</v>
      </c>
      <c r="G4132" s="6">
        <f ca="1">IFERROR(__xludf.DUMMYFUNCTION("iferror(GOOGLEFINANCE(TRIM(F4132)&amp;"":"" &amp; TRIM(B4132), ""price""),0
)"),0)</f>
        <v>0</v>
      </c>
      <c r="H4132" s="6">
        <v>158.4</v>
      </c>
      <c r="I4132" s="6">
        <f t="shared" ca="1" si="0"/>
        <v>158.4</v>
      </c>
      <c r="J4132" s="6">
        <f ca="1">IFERROR(__xludf.DUMMYFUNCTION("IFERROR(GOOGLEFINANCE(B4132, ""volume""), 0)"),0)</f>
        <v>0</v>
      </c>
      <c r="K4132" s="12"/>
      <c r="L4132" s="6" t="str">
        <f ca="1">IFERROR(__xludf.DUMMYFUNCTION("IFERROR(GOOGLEFINANCE(B4132,""changepct""),K4132)"),"")</f>
        <v/>
      </c>
      <c r="M4132" s="6">
        <f ca="1">IFERROR(__xludf.DUMMYFUNCTION("IFERROR(GOOGLEFINANCE(B4132,""change""),0)"),0)</f>
        <v>0</v>
      </c>
      <c r="N4132" s="6">
        <v>1</v>
      </c>
      <c r="O4132" s="7">
        <v>45536</v>
      </c>
      <c r="P4132" s="6">
        <v>34.909999999999997</v>
      </c>
      <c r="Q4132" s="6">
        <v>80.84</v>
      </c>
      <c r="R4132" s="7">
        <v>45536</v>
      </c>
      <c r="S4132" s="6">
        <v>208.28</v>
      </c>
      <c r="T4132" s="6">
        <v>0.14000000000000001</v>
      </c>
      <c r="U4132" s="7">
        <v>45536</v>
      </c>
      <c r="V4132" s="6">
        <v>322.51</v>
      </c>
      <c r="W4132" s="6">
        <f ca="1">IFERROR(__xludf.DUMMYFUNCTION("IFERROR(GOOGLEFINANCE(B4132,""pe""),V4132)"),322.51)</f>
        <v>322.51</v>
      </c>
      <c r="X4132" s="6">
        <v>-25.72</v>
      </c>
      <c r="Y4132" s="6">
        <v>0.76</v>
      </c>
      <c r="Z4132" s="6">
        <v>1</v>
      </c>
      <c r="AA4132" s="8">
        <v>45352</v>
      </c>
      <c r="AB4132" s="4">
        <v>0.7</v>
      </c>
      <c r="AC4132" s="6">
        <v>2.86</v>
      </c>
      <c r="AD4132" s="6">
        <v>7.74</v>
      </c>
      <c r="AE4132" s="1">
        <v>0</v>
      </c>
      <c r="AF4132" s="1">
        <f ca="1">IFERROR(__xludf.DUMMYFUNCTION("IFERROR(GOOGLEFINANCE(TRIM(F4132)&amp;"":"" &amp; TRIM(B4132),""high52""),AE4132)"),0)</f>
        <v>0</v>
      </c>
      <c r="AG4132" s="1">
        <v>0</v>
      </c>
      <c r="AH4132" s="1">
        <f ca="1">IFERROR(__xludf.DUMMYFUNCTION("IFERROR(GOOGLEFINANCE(TRIM(F4132)&amp;"":"" &amp; TRIM(B4132),""low52""),AE4132)"),0)</f>
        <v>0</v>
      </c>
      <c r="AI4132" s="1">
        <f ca="1">IFERROR(__xludf.DUMMYFUNCTION("IFERROR(GOOGLEFINANCE(B4132,""eps""),0)"),0)</f>
        <v>0</v>
      </c>
      <c r="AJ4132" s="1"/>
      <c r="AK4132" s="1" t="s">
        <v>12552</v>
      </c>
      <c r="AL4132" s="9">
        <f t="shared" si="384"/>
        <v>1</v>
      </c>
    </row>
    <row r="4133" spans="1:38" ht="15" x14ac:dyDescent="0.25">
      <c r="A4133" s="1" t="s">
        <v>12553</v>
      </c>
      <c r="B4133" s="1" t="s">
        <v>12554</v>
      </c>
      <c r="C4133" s="1" t="s">
        <v>706</v>
      </c>
      <c r="D4133" s="1" t="s">
        <v>706</v>
      </c>
      <c r="E4133" s="6">
        <v>161.53</v>
      </c>
      <c r="F4133" s="1" t="s">
        <v>53</v>
      </c>
      <c r="G4133" s="6">
        <f ca="1">IFERROR(__xludf.DUMMYFUNCTION("iferror(GOOGLEFINANCE(TRIM(F4133)&amp;"":"" &amp; TRIM(B4133), ""price""),0
)"),0)</f>
        <v>0</v>
      </c>
      <c r="H4133" s="6">
        <v>375.2</v>
      </c>
      <c r="I4133" s="6">
        <f t="shared" ca="1" si="0"/>
        <v>375.2</v>
      </c>
      <c r="J4133" s="6">
        <f ca="1">IFERROR(__xludf.DUMMYFUNCTION("IFERROR(GOOGLEFINANCE(B4133, ""volume""), 0)"),0)</f>
        <v>0</v>
      </c>
      <c r="K4133" s="6">
        <v>-0.88</v>
      </c>
      <c r="L4133" s="6">
        <f ca="1">IFERROR(__xludf.DUMMYFUNCTION("IFERROR(GOOGLEFINANCE(B4133,""changepct""),K4133)"),-0.88)</f>
        <v>-0.88</v>
      </c>
      <c r="M4133" s="6">
        <f ca="1">IFERROR(__xludf.DUMMYFUNCTION("IFERROR(GOOGLEFINANCE(B4133,""change""),0)"),0)</f>
        <v>0</v>
      </c>
      <c r="N4133" s="6">
        <v>2</v>
      </c>
      <c r="O4133" s="7">
        <v>45536</v>
      </c>
      <c r="P4133" s="6">
        <v>81.48</v>
      </c>
      <c r="Q4133" s="6">
        <v>242.66</v>
      </c>
      <c r="R4133" s="7">
        <v>45536</v>
      </c>
      <c r="S4133" s="6">
        <v>488.45</v>
      </c>
      <c r="T4133" s="6">
        <v>12.8</v>
      </c>
      <c r="U4133" s="7">
        <v>45536</v>
      </c>
      <c r="V4133" s="6">
        <v>12.62</v>
      </c>
      <c r="W4133" s="6">
        <f ca="1">IFERROR(__xludf.DUMMYFUNCTION("IFERROR(GOOGLEFINANCE(B4133,""pe""),V4133)"),12.62)</f>
        <v>12.62</v>
      </c>
      <c r="X4133" s="9"/>
      <c r="Y4133" s="6">
        <v>0.64</v>
      </c>
      <c r="Z4133" s="6">
        <v>2</v>
      </c>
      <c r="AA4133" s="8">
        <v>45352</v>
      </c>
      <c r="AB4133" s="4">
        <v>0.4</v>
      </c>
      <c r="AC4133" s="6">
        <v>7.83</v>
      </c>
      <c r="AD4133" s="6">
        <v>9.69</v>
      </c>
      <c r="AE4133" s="1">
        <v>0</v>
      </c>
      <c r="AF4133" s="1">
        <f ca="1">IFERROR(__xludf.DUMMYFUNCTION("IFERROR(GOOGLEFINANCE(TRIM(F4133)&amp;"":"" &amp; TRIM(B4133),""high52""),AE4133)"),0)</f>
        <v>0</v>
      </c>
      <c r="AG4133" s="1">
        <v>0</v>
      </c>
      <c r="AH4133" s="1">
        <f ca="1">IFERROR(__xludf.DUMMYFUNCTION("IFERROR(GOOGLEFINANCE(TRIM(F4133)&amp;"":"" &amp; TRIM(B4133),""low52""),AE4133)"),0)</f>
        <v>0</v>
      </c>
      <c r="AI4133" s="1">
        <f ca="1">IFERROR(__xludf.DUMMYFUNCTION("IFERROR(GOOGLEFINANCE(B4133,""eps""),0)"),0)</f>
        <v>0</v>
      </c>
      <c r="AJ4133" s="1"/>
      <c r="AK4133" s="1" t="s">
        <v>12555</v>
      </c>
      <c r="AL4133" s="9">
        <f t="shared" si="384"/>
        <v>1</v>
      </c>
    </row>
    <row r="4134" spans="1:38" ht="15" x14ac:dyDescent="0.25">
      <c r="A4134" s="1" t="s">
        <v>12556</v>
      </c>
      <c r="B4134" s="1" t="s">
        <v>12557</v>
      </c>
      <c r="C4134" s="1" t="s">
        <v>706</v>
      </c>
      <c r="D4134" s="1" t="s">
        <v>706</v>
      </c>
      <c r="E4134" s="6">
        <v>13.22</v>
      </c>
      <c r="F4134" s="1" t="s">
        <v>53</v>
      </c>
      <c r="G4134" s="6">
        <f ca="1">IFERROR(__xludf.DUMMYFUNCTION("iferror(GOOGLEFINANCE(TRIM(F4134)&amp;"":"" &amp; TRIM(B4134), ""price""),0
)"),0)</f>
        <v>0</v>
      </c>
      <c r="H4134" s="6">
        <v>26.93</v>
      </c>
      <c r="I4134" s="6">
        <f t="shared" ca="1" si="0"/>
        <v>26.93</v>
      </c>
      <c r="J4134" s="6">
        <f ca="1">IFERROR(__xludf.DUMMYFUNCTION("IFERROR(GOOGLEFINANCE(B4134, ""volume""), 0)"),0)</f>
        <v>0</v>
      </c>
      <c r="K4134" s="9"/>
      <c r="L4134" s="6" t="str">
        <f ca="1">IFERROR(__xludf.DUMMYFUNCTION("IFERROR(GOOGLEFINANCE(B4134,""changepct""),K4134)"),"")</f>
        <v/>
      </c>
      <c r="M4134" s="6">
        <f ca="1">IFERROR(__xludf.DUMMYFUNCTION("IFERROR(GOOGLEFINANCE(B4134,""change""),0)"),0)</f>
        <v>0</v>
      </c>
      <c r="N4134" s="6">
        <v>1</v>
      </c>
      <c r="O4134" s="7">
        <v>45536</v>
      </c>
      <c r="P4134" s="6">
        <v>18.809999999999999</v>
      </c>
      <c r="Q4134" s="6">
        <v>32.03</v>
      </c>
      <c r="R4134" s="7">
        <v>45536</v>
      </c>
      <c r="S4134" s="6">
        <v>0.56999999999999995</v>
      </c>
      <c r="T4134" s="6">
        <v>2.2999999999999998</v>
      </c>
      <c r="U4134" s="7">
        <v>45536</v>
      </c>
      <c r="V4134" s="6">
        <v>5.74</v>
      </c>
      <c r="W4134" s="6">
        <f ca="1">IFERROR(__xludf.DUMMYFUNCTION("IFERROR(GOOGLEFINANCE(B4134,""pe""),V4134)"),5.74)</f>
        <v>5.74</v>
      </c>
      <c r="X4134" s="6">
        <v>-0.43</v>
      </c>
      <c r="Y4134" s="6">
        <v>-1.26</v>
      </c>
      <c r="Z4134" s="6">
        <v>1</v>
      </c>
      <c r="AA4134" s="8">
        <v>45352</v>
      </c>
      <c r="AB4134" s="4">
        <v>-1.63</v>
      </c>
      <c r="AC4134" s="6">
        <v>0</v>
      </c>
      <c r="AD4134" s="6">
        <v>73.94</v>
      </c>
      <c r="AE4134" s="1">
        <v>0</v>
      </c>
      <c r="AF4134" s="1">
        <f ca="1">IFERROR(__xludf.DUMMYFUNCTION("IFERROR(GOOGLEFINANCE(TRIM(F4134)&amp;"":"" &amp; TRIM(B4134),""high52""),AE4134)"),0)</f>
        <v>0</v>
      </c>
      <c r="AG4134" s="1">
        <v>0</v>
      </c>
      <c r="AH4134" s="1">
        <f ca="1">IFERROR(__xludf.DUMMYFUNCTION("IFERROR(GOOGLEFINANCE(TRIM(F4134)&amp;"":"" &amp; TRIM(B4134),""low52""),AE4134)"),0)</f>
        <v>0</v>
      </c>
      <c r="AI4134" s="1">
        <f ca="1">IFERROR(__xludf.DUMMYFUNCTION("IFERROR(GOOGLEFINANCE(B4134,""eps""),0)"),0)</f>
        <v>0</v>
      </c>
      <c r="AJ4134" s="1"/>
      <c r="AK4134" s="1" t="s">
        <v>12558</v>
      </c>
      <c r="AL4134" s="9">
        <f t="shared" si="384"/>
        <v>1</v>
      </c>
    </row>
    <row r="4135" spans="1:38" ht="15" x14ac:dyDescent="0.25">
      <c r="A4135" s="1" t="s">
        <v>12559</v>
      </c>
      <c r="B4135" s="1" t="s">
        <v>12560</v>
      </c>
      <c r="C4135" s="1" t="s">
        <v>227</v>
      </c>
      <c r="D4135" s="1" t="s">
        <v>227</v>
      </c>
      <c r="E4135" s="6">
        <v>1226.5999999999999</v>
      </c>
      <c r="F4135" s="1" t="s">
        <v>40</v>
      </c>
      <c r="G4135" s="6">
        <f ca="1">IFERROR(__xludf.DUMMYFUNCTION("iferror(GOOGLEFINANCE(TRIM(F4135)&amp;"":"" &amp; TRIM(B4135), ""price""),0
)"),0)</f>
        <v>0</v>
      </c>
      <c r="H4135" s="6">
        <v>725.1</v>
      </c>
      <c r="I4135" s="6">
        <f t="shared" ca="1" si="0"/>
        <v>725.1</v>
      </c>
      <c r="J4135" s="6">
        <f ca="1">IFERROR(__xludf.DUMMYFUNCTION("IFERROR(GOOGLEFINANCE(B4135, ""volume""), 0)"),0)</f>
        <v>0</v>
      </c>
      <c r="K4135" s="6">
        <v>-1.74</v>
      </c>
      <c r="L4135" s="6">
        <f ca="1">IFERROR(__xludf.DUMMYFUNCTION("IFERROR(GOOGLEFINANCE(B4135,""changepct""),K4135)"),-1.74)</f>
        <v>-1.74</v>
      </c>
      <c r="M4135" s="6">
        <f ca="1">IFERROR(__xludf.DUMMYFUNCTION("IFERROR(GOOGLEFINANCE(B4135,""change""),0)"),0)</f>
        <v>0</v>
      </c>
      <c r="N4135" s="6">
        <v>2</v>
      </c>
      <c r="O4135" s="7">
        <v>45536</v>
      </c>
      <c r="P4135" s="12"/>
      <c r="Q4135" s="6">
        <v>1226.5999999999999</v>
      </c>
      <c r="R4135" s="7">
        <v>45352</v>
      </c>
      <c r="S4135" s="6">
        <v>171.88</v>
      </c>
      <c r="T4135" s="6">
        <v>15.08</v>
      </c>
      <c r="U4135" s="7">
        <v>45352</v>
      </c>
      <c r="V4135" s="6">
        <v>81.36</v>
      </c>
      <c r="W4135" s="6">
        <f ca="1">IFERROR(__xludf.DUMMYFUNCTION("IFERROR(GOOGLEFINANCE(B4135,""pe""),V4135)"),81.36)</f>
        <v>81.36</v>
      </c>
      <c r="X4135" s="9"/>
      <c r="Y4135" s="6">
        <v>10.94</v>
      </c>
      <c r="Z4135" s="6">
        <v>2</v>
      </c>
      <c r="AA4135" s="8">
        <v>45352</v>
      </c>
      <c r="AB4135" s="4">
        <v>0</v>
      </c>
      <c r="AC4135" s="6">
        <v>22.06</v>
      </c>
      <c r="AD4135" s="6">
        <v>28.5</v>
      </c>
      <c r="AE4135" s="1">
        <v>0</v>
      </c>
      <c r="AF4135" s="1">
        <f ca="1">IFERROR(__xludf.DUMMYFUNCTION("IFERROR(GOOGLEFINANCE(TRIM(F4135)&amp;"":"" &amp; TRIM(B4135),""high52""),AE4135)"),0)</f>
        <v>0</v>
      </c>
      <c r="AG4135" s="1">
        <v>0</v>
      </c>
      <c r="AH4135" s="1">
        <f ca="1">IFERROR(__xludf.DUMMYFUNCTION("IFERROR(GOOGLEFINANCE(TRIM(F4135)&amp;"":"" &amp; TRIM(B4135),""low52""),AE4135)"),0)</f>
        <v>0</v>
      </c>
      <c r="AI4135" s="1">
        <f ca="1">IFERROR(__xludf.DUMMYFUNCTION("IFERROR(GOOGLEFINANCE(B4135,""eps""),0)"),0)</f>
        <v>0</v>
      </c>
      <c r="AJ4135" s="1"/>
      <c r="AK4135" s="1" t="s">
        <v>12561</v>
      </c>
      <c r="AL4135" s="9">
        <f t="shared" si="384"/>
        <v>1</v>
      </c>
    </row>
    <row r="4136" spans="1:38" ht="15" x14ac:dyDescent="0.25">
      <c r="A4136" s="1" t="s">
        <v>12562</v>
      </c>
      <c r="B4136" s="1" t="s">
        <v>12563</v>
      </c>
      <c r="C4136" s="1" t="s">
        <v>706</v>
      </c>
      <c r="D4136" s="1" t="s">
        <v>706</v>
      </c>
      <c r="E4136" s="6">
        <v>5.45</v>
      </c>
      <c r="F4136" s="1" t="s">
        <v>53</v>
      </c>
      <c r="G4136" s="6">
        <f ca="1">IFERROR(__xludf.DUMMYFUNCTION("iferror(GOOGLEFINANCE(TRIM(F4136)&amp;"":"" &amp; TRIM(B4136), ""price""),0
)"),0)</f>
        <v>0</v>
      </c>
      <c r="H4136" s="6">
        <v>6.24</v>
      </c>
      <c r="I4136" s="6">
        <f t="shared" ca="1" si="0"/>
        <v>6.24</v>
      </c>
      <c r="J4136" s="6">
        <f ca="1">IFERROR(__xludf.DUMMYFUNCTION("IFERROR(GOOGLEFINANCE(B4136, ""volume""), 0)"),0)</f>
        <v>0</v>
      </c>
      <c r="K4136" s="6">
        <v>4.87</v>
      </c>
      <c r="L4136" s="6">
        <f ca="1">IFERROR(__xludf.DUMMYFUNCTION("IFERROR(GOOGLEFINANCE(B4136,""changepct""),K4136)"),4.87)</f>
        <v>4.87</v>
      </c>
      <c r="M4136" s="6">
        <f ca="1">IFERROR(__xludf.DUMMYFUNCTION("IFERROR(GOOGLEFINANCE(B4136,""change""),0)"),0)</f>
        <v>0</v>
      </c>
      <c r="N4136" s="6">
        <v>1</v>
      </c>
      <c r="O4136" s="7">
        <v>45536</v>
      </c>
      <c r="P4136" s="6">
        <v>7.06</v>
      </c>
      <c r="Q4136" s="6">
        <v>12.49</v>
      </c>
      <c r="R4136" s="7">
        <v>45536</v>
      </c>
      <c r="S4136" s="6">
        <v>0.02</v>
      </c>
      <c r="T4136" s="6">
        <v>-0.14000000000000001</v>
      </c>
      <c r="U4136" s="7">
        <v>45536</v>
      </c>
      <c r="V4136" s="6">
        <v>0</v>
      </c>
      <c r="W4136" s="6">
        <f ca="1">IFERROR(__xludf.DUMMYFUNCTION("IFERROR(GOOGLEFINANCE(B4136,""pe""),V4136)"),0)</f>
        <v>0</v>
      </c>
      <c r="X4136" s="6">
        <v>0</v>
      </c>
      <c r="Y4136" s="6">
        <v>1.26</v>
      </c>
      <c r="Z4136" s="6">
        <v>1</v>
      </c>
      <c r="AA4136" s="8">
        <v>45352</v>
      </c>
      <c r="AB4136" s="4">
        <v>6.57</v>
      </c>
      <c r="AC4136" s="6">
        <v>-134.44</v>
      </c>
      <c r="AD4136" s="6">
        <v>-48.48</v>
      </c>
      <c r="AE4136" s="1">
        <v>0</v>
      </c>
      <c r="AF4136" s="1">
        <f ca="1">IFERROR(__xludf.DUMMYFUNCTION("IFERROR(GOOGLEFINANCE(TRIM(F4136)&amp;"":"" &amp; TRIM(B4136),""high52""),AE4136)"),0)</f>
        <v>0</v>
      </c>
      <c r="AG4136" s="1">
        <v>0</v>
      </c>
      <c r="AH4136" s="1">
        <f ca="1">IFERROR(__xludf.DUMMYFUNCTION("IFERROR(GOOGLEFINANCE(TRIM(F4136)&amp;"":"" &amp; TRIM(B4136),""low52""),AE4136)"),0)</f>
        <v>0</v>
      </c>
      <c r="AI4136" s="1">
        <f ca="1">IFERROR(__xludf.DUMMYFUNCTION("IFERROR(GOOGLEFINANCE(B4136,""eps""),0)"),0)</f>
        <v>0</v>
      </c>
      <c r="AJ4136" s="1"/>
      <c r="AK4136" s="1" t="s">
        <v>12564</v>
      </c>
      <c r="AL4136" s="9">
        <f t="shared" si="384"/>
        <v>1</v>
      </c>
    </row>
    <row r="4137" spans="1:38" ht="15" x14ac:dyDescent="0.25">
      <c r="A4137" s="1" t="s">
        <v>12565</v>
      </c>
      <c r="B4137" s="1" t="s">
        <v>12566</v>
      </c>
      <c r="C4137" s="1" t="s">
        <v>2874</v>
      </c>
      <c r="D4137" s="1" t="s">
        <v>2874</v>
      </c>
      <c r="E4137" s="6">
        <v>3.87</v>
      </c>
      <c r="F4137" s="1" t="s">
        <v>40</v>
      </c>
      <c r="G4137" s="6">
        <f ca="1">IFERROR(__xludf.DUMMYFUNCTION("iferror(GOOGLEFINANCE(TRIM(F4137)&amp;"":"" &amp; TRIM(B4137), ""price""),0
)"),0)</f>
        <v>0</v>
      </c>
      <c r="H4137" s="6">
        <v>6.45</v>
      </c>
      <c r="I4137" s="6">
        <f t="shared" ca="1" si="0"/>
        <v>6.45</v>
      </c>
      <c r="J4137" s="6">
        <f ca="1">IFERROR(__xludf.DUMMYFUNCTION("IFERROR(GOOGLEFINANCE(B4137, ""volume""), 0)"),0)</f>
        <v>0</v>
      </c>
      <c r="K4137" s="12"/>
      <c r="L4137" s="6" t="str">
        <f ca="1">IFERROR(__xludf.DUMMYFUNCTION("IFERROR(GOOGLEFINANCE(B4137,""changepct""),K4137)"),"")</f>
        <v/>
      </c>
      <c r="M4137" s="6">
        <f ca="1">IFERROR(__xludf.DUMMYFUNCTION("IFERROR(GOOGLEFINANCE(B4137,""change""),0)"),0)</f>
        <v>0</v>
      </c>
      <c r="N4137" s="6">
        <v>1</v>
      </c>
      <c r="O4137" s="7">
        <v>45536</v>
      </c>
      <c r="P4137" s="6">
        <v>22.5</v>
      </c>
      <c r="Q4137" s="6">
        <v>26.37</v>
      </c>
      <c r="R4137" s="7">
        <v>45352</v>
      </c>
      <c r="S4137" s="6">
        <v>0</v>
      </c>
      <c r="T4137" s="6">
        <v>-0.25</v>
      </c>
      <c r="U4137" s="7">
        <v>45352</v>
      </c>
      <c r="V4137" s="6">
        <v>0</v>
      </c>
      <c r="W4137" s="6">
        <f ca="1">IFERROR(__xludf.DUMMYFUNCTION("IFERROR(GOOGLEFINANCE(B4137,""pe""),V4137)"),0)</f>
        <v>0</v>
      </c>
      <c r="X4137" s="12"/>
      <c r="Y4137" s="6">
        <v>-0.22</v>
      </c>
      <c r="Z4137" s="6">
        <v>1</v>
      </c>
      <c r="AA4137" s="8">
        <v>45352</v>
      </c>
      <c r="AB4137" s="4">
        <v>-1.26</v>
      </c>
      <c r="AC4137" s="6">
        <v>0</v>
      </c>
      <c r="AD4137" s="6">
        <v>-5.25</v>
      </c>
      <c r="AE4137" s="1">
        <v>0</v>
      </c>
      <c r="AF4137" s="1">
        <f ca="1">IFERROR(__xludf.DUMMYFUNCTION("IFERROR(GOOGLEFINANCE(TRIM(F4137)&amp;"":"" &amp; TRIM(B4137),""high52""),AE4137)"),0)</f>
        <v>0</v>
      </c>
      <c r="AG4137" s="1">
        <v>0</v>
      </c>
      <c r="AH4137" s="1">
        <f ca="1">IFERROR(__xludf.DUMMYFUNCTION("IFERROR(GOOGLEFINANCE(TRIM(F4137)&amp;"":"" &amp; TRIM(B4137),""low52""),AE4137)"),0)</f>
        <v>0</v>
      </c>
      <c r="AI4137" s="1">
        <f ca="1">IFERROR(__xludf.DUMMYFUNCTION("IFERROR(GOOGLEFINANCE(B4137,""eps""),0)"),0)</f>
        <v>0</v>
      </c>
      <c r="AJ4137" s="1"/>
      <c r="AK4137" s="1" t="s">
        <v>12567</v>
      </c>
      <c r="AL4137" s="9">
        <f t="shared" si="384"/>
        <v>1</v>
      </c>
    </row>
    <row r="4138" spans="1:38" ht="15" x14ac:dyDescent="0.25">
      <c r="A4138" s="1" t="s">
        <v>12568</v>
      </c>
      <c r="B4138" s="1" t="s">
        <v>12569</v>
      </c>
      <c r="C4138" s="1" t="s">
        <v>706</v>
      </c>
      <c r="D4138" s="1" t="s">
        <v>706</v>
      </c>
      <c r="E4138" s="6">
        <v>308.94</v>
      </c>
      <c r="F4138" s="1" t="s">
        <v>53</v>
      </c>
      <c r="G4138" s="6">
        <f ca="1">IFERROR(__xludf.DUMMYFUNCTION("iferror(GOOGLEFINANCE(TRIM(F4138)&amp;"":"" &amp; TRIM(B4138), ""price""),0
)"),0)</f>
        <v>0</v>
      </c>
      <c r="H4138" s="6">
        <v>116.25</v>
      </c>
      <c r="I4138" s="6">
        <f t="shared" ca="1" si="0"/>
        <v>116.25</v>
      </c>
      <c r="J4138" s="6">
        <f ca="1">IFERROR(__xludf.DUMMYFUNCTION("IFERROR(GOOGLEFINANCE(B4138, ""volume""), 0)"),0)</f>
        <v>0</v>
      </c>
      <c r="K4138" s="6">
        <v>1.97</v>
      </c>
      <c r="L4138" s="6">
        <f ca="1">IFERROR(__xludf.DUMMYFUNCTION("IFERROR(GOOGLEFINANCE(B4138,""changepct""),K4138)"),1.97)</f>
        <v>1.97</v>
      </c>
      <c r="M4138" s="6">
        <f ca="1">IFERROR(__xludf.DUMMYFUNCTION("IFERROR(GOOGLEFINANCE(B4138,""change""),0)"),0)</f>
        <v>0</v>
      </c>
      <c r="N4138" s="6">
        <v>1</v>
      </c>
      <c r="O4138" s="7">
        <v>45536</v>
      </c>
      <c r="P4138" s="6">
        <v>94.66</v>
      </c>
      <c r="Q4138" s="6">
        <v>402.78</v>
      </c>
      <c r="R4138" s="7">
        <v>45536</v>
      </c>
      <c r="S4138" s="6">
        <v>18.37</v>
      </c>
      <c r="T4138" s="6">
        <v>-1.9</v>
      </c>
      <c r="U4138" s="7">
        <v>45536</v>
      </c>
      <c r="V4138" s="6">
        <v>0</v>
      </c>
      <c r="W4138" s="6">
        <f ca="1">IFERROR(__xludf.DUMMYFUNCTION("IFERROR(GOOGLEFINANCE(B4138,""pe""),V4138)"),0)</f>
        <v>0</v>
      </c>
      <c r="X4138" s="6">
        <v>0</v>
      </c>
      <c r="Y4138" s="6">
        <v>6.47</v>
      </c>
      <c r="Z4138" s="6">
        <v>1</v>
      </c>
      <c r="AA4138" s="8">
        <v>45352</v>
      </c>
      <c r="AB4138" s="4">
        <v>0.37</v>
      </c>
      <c r="AC4138" s="6">
        <v>-6.87</v>
      </c>
      <c r="AD4138" s="6">
        <v>-5.8</v>
      </c>
      <c r="AE4138" s="1">
        <v>0</v>
      </c>
      <c r="AF4138" s="1">
        <f ca="1">IFERROR(__xludf.DUMMYFUNCTION("IFERROR(GOOGLEFINANCE(TRIM(F4138)&amp;"":"" &amp; TRIM(B4138),""high52""),AE4138)"),0)</f>
        <v>0</v>
      </c>
      <c r="AG4138" s="1">
        <v>0</v>
      </c>
      <c r="AH4138" s="1">
        <f ca="1">IFERROR(__xludf.DUMMYFUNCTION("IFERROR(GOOGLEFINANCE(TRIM(F4138)&amp;"":"" &amp; TRIM(B4138),""low52""),AE4138)"),0)</f>
        <v>0</v>
      </c>
      <c r="AI4138" s="1">
        <f ca="1">IFERROR(__xludf.DUMMYFUNCTION("IFERROR(GOOGLEFINANCE(B4138,""eps""),0)"),0)</f>
        <v>0</v>
      </c>
      <c r="AJ4138" s="1"/>
      <c r="AK4138" s="1" t="s">
        <v>12570</v>
      </c>
      <c r="AL4138" s="9">
        <f t="shared" si="384"/>
        <v>1</v>
      </c>
    </row>
    <row r="4139" spans="1:38" ht="15" x14ac:dyDescent="0.25">
      <c r="A4139" s="1" t="s">
        <v>12571</v>
      </c>
      <c r="B4139" s="1" t="s">
        <v>12572</v>
      </c>
      <c r="C4139" s="1" t="s">
        <v>706</v>
      </c>
      <c r="D4139" s="1" t="s">
        <v>706</v>
      </c>
      <c r="E4139" s="6">
        <v>23.17</v>
      </c>
      <c r="F4139" s="1" t="s">
        <v>53</v>
      </c>
      <c r="G4139" s="6">
        <f ca="1">IFERROR(__xludf.DUMMYFUNCTION("iferror(GOOGLEFINANCE(TRIM(F4139)&amp;"":"" &amp; TRIM(B4139), ""price""),0
)"),0)</f>
        <v>0</v>
      </c>
      <c r="H4139" s="6">
        <v>31.09</v>
      </c>
      <c r="I4139" s="6">
        <f t="shared" ca="1" si="0"/>
        <v>31.09</v>
      </c>
      <c r="J4139" s="6">
        <f ca="1">IFERROR(__xludf.DUMMYFUNCTION("IFERROR(GOOGLEFINANCE(B4139, ""volume""), 0)"),0)</f>
        <v>0</v>
      </c>
      <c r="K4139" s="6">
        <v>2.81</v>
      </c>
      <c r="L4139" s="6">
        <f ca="1">IFERROR(__xludf.DUMMYFUNCTION("IFERROR(GOOGLEFINANCE(B4139,""changepct""),K4139)"),2.81)</f>
        <v>2.81</v>
      </c>
      <c r="M4139" s="6">
        <f ca="1">IFERROR(__xludf.DUMMYFUNCTION("IFERROR(GOOGLEFINANCE(B4139,""change""),0)"),0)</f>
        <v>0</v>
      </c>
      <c r="N4139" s="6">
        <v>1</v>
      </c>
      <c r="O4139" s="7">
        <v>45536</v>
      </c>
      <c r="P4139" s="6">
        <v>15.01</v>
      </c>
      <c r="Q4139" s="6">
        <v>37.82</v>
      </c>
      <c r="R4139" s="7">
        <v>45536</v>
      </c>
      <c r="S4139" s="6">
        <v>116.42</v>
      </c>
      <c r="T4139" s="6">
        <v>0.55000000000000004</v>
      </c>
      <c r="U4139" s="7">
        <v>45536</v>
      </c>
      <c r="V4139" s="6">
        <v>41.89</v>
      </c>
      <c r="W4139" s="6">
        <f ca="1">IFERROR(__xludf.DUMMYFUNCTION("IFERROR(GOOGLEFINANCE(B4139,""pe""),V4139)"),41.89)</f>
        <v>41.89</v>
      </c>
      <c r="X4139" s="6">
        <v>-2.82</v>
      </c>
      <c r="Y4139" s="6">
        <v>0.86</v>
      </c>
      <c r="Z4139" s="6">
        <v>1</v>
      </c>
      <c r="AA4139" s="8">
        <v>45352</v>
      </c>
      <c r="AB4139" s="4">
        <v>0.63</v>
      </c>
      <c r="AC4139" s="6">
        <v>3.72</v>
      </c>
      <c r="AD4139" s="6">
        <v>4.33</v>
      </c>
      <c r="AE4139" s="1">
        <v>0</v>
      </c>
      <c r="AF4139" s="1">
        <f ca="1">IFERROR(__xludf.DUMMYFUNCTION("IFERROR(GOOGLEFINANCE(TRIM(F4139)&amp;"":"" &amp; TRIM(B4139),""high52""),AE4139)"),0)</f>
        <v>0</v>
      </c>
      <c r="AG4139" s="1">
        <v>0</v>
      </c>
      <c r="AH4139" s="1">
        <f ca="1">IFERROR(__xludf.DUMMYFUNCTION("IFERROR(GOOGLEFINANCE(TRIM(F4139)&amp;"":"" &amp; TRIM(B4139),""low52""),AE4139)"),0)</f>
        <v>0</v>
      </c>
      <c r="AI4139" s="1">
        <f ca="1">IFERROR(__xludf.DUMMYFUNCTION("IFERROR(GOOGLEFINANCE(B4139,""eps""),0)"),0)</f>
        <v>0</v>
      </c>
      <c r="AJ4139" s="1"/>
      <c r="AK4139" s="1" t="s">
        <v>12573</v>
      </c>
      <c r="AL4139" s="9">
        <f t="shared" si="384"/>
        <v>1</v>
      </c>
    </row>
    <row r="4140" spans="1:38" ht="15" x14ac:dyDescent="0.25">
      <c r="A4140" s="1" t="s">
        <v>12574</v>
      </c>
      <c r="B4140" s="1" t="s">
        <v>12575</v>
      </c>
      <c r="C4140" s="1" t="s">
        <v>706</v>
      </c>
      <c r="D4140" s="1" t="s">
        <v>706</v>
      </c>
      <c r="E4140" s="6">
        <v>112.76</v>
      </c>
      <c r="F4140" s="1" t="s">
        <v>53</v>
      </c>
      <c r="G4140" s="6">
        <f ca="1">IFERROR(__xludf.DUMMYFUNCTION("iferror(GOOGLEFINANCE(TRIM(F4140)&amp;"":"" &amp; TRIM(B4140), ""price""),0
)"),0)</f>
        <v>0</v>
      </c>
      <c r="H4140" s="6">
        <v>197</v>
      </c>
      <c r="I4140" s="6">
        <f t="shared" ca="1" si="0"/>
        <v>197</v>
      </c>
      <c r="J4140" s="6">
        <f ca="1">IFERROR(__xludf.DUMMYFUNCTION("IFERROR(GOOGLEFINANCE(B4140, ""volume""), 0)"),0)</f>
        <v>0</v>
      </c>
      <c r="K4140" s="6">
        <v>2.5499999999999998</v>
      </c>
      <c r="L4140" s="6">
        <f ca="1">IFERROR(__xludf.DUMMYFUNCTION("IFERROR(GOOGLEFINANCE(B4140,""changepct""),K4140)"),2.55)</f>
        <v>2.5499999999999998</v>
      </c>
      <c r="M4140" s="6">
        <f ca="1">IFERROR(__xludf.DUMMYFUNCTION("IFERROR(GOOGLEFINANCE(B4140,""change""),0)"),0)</f>
        <v>0</v>
      </c>
      <c r="N4140" s="6">
        <v>1</v>
      </c>
      <c r="O4140" s="7">
        <v>45536</v>
      </c>
      <c r="P4140" s="6">
        <v>51.93</v>
      </c>
      <c r="Q4140" s="6">
        <v>164.69</v>
      </c>
      <c r="R4140" s="7">
        <v>45536</v>
      </c>
      <c r="S4140" s="6">
        <v>262.85000000000002</v>
      </c>
      <c r="T4140" s="6">
        <v>8.75</v>
      </c>
      <c r="U4140" s="7">
        <v>45536</v>
      </c>
      <c r="V4140" s="6">
        <v>12.89</v>
      </c>
      <c r="W4140" s="6">
        <f ca="1">IFERROR(__xludf.DUMMYFUNCTION("IFERROR(GOOGLEFINANCE(B4140,""pe""),V4140)"),12.89)</f>
        <v>12.89</v>
      </c>
      <c r="X4140" s="6">
        <v>-23.43</v>
      </c>
      <c r="Y4140" s="6">
        <v>1.39</v>
      </c>
      <c r="Z4140" s="6">
        <v>1</v>
      </c>
      <c r="AA4140" s="8">
        <v>45352</v>
      </c>
      <c r="AB4140" s="4">
        <v>0.82</v>
      </c>
      <c r="AC4140" s="6">
        <v>5.91</v>
      </c>
      <c r="AD4140" s="6">
        <v>7.16</v>
      </c>
      <c r="AE4140" s="1">
        <v>0</v>
      </c>
      <c r="AF4140" s="1">
        <f ca="1">IFERROR(__xludf.DUMMYFUNCTION("IFERROR(GOOGLEFINANCE(TRIM(F4140)&amp;"":"" &amp; TRIM(B4140),""high52""),AE4140)"),0)</f>
        <v>0</v>
      </c>
      <c r="AG4140" s="1">
        <v>0</v>
      </c>
      <c r="AH4140" s="1">
        <f ca="1">IFERROR(__xludf.DUMMYFUNCTION("IFERROR(GOOGLEFINANCE(TRIM(F4140)&amp;"":"" &amp; TRIM(B4140),""low52""),AE4140)"),0)</f>
        <v>0</v>
      </c>
      <c r="AI4140" s="1">
        <f ca="1">IFERROR(__xludf.DUMMYFUNCTION("IFERROR(GOOGLEFINANCE(B4140,""eps""),0)"),0)</f>
        <v>0</v>
      </c>
      <c r="AJ4140" s="1"/>
      <c r="AK4140" s="1" t="s">
        <v>12576</v>
      </c>
      <c r="AL4140" s="9">
        <f t="shared" si="384"/>
        <v>1</v>
      </c>
    </row>
    <row r="4141" spans="1:38" ht="15" x14ac:dyDescent="0.25">
      <c r="A4141" s="1" t="s">
        <v>12577</v>
      </c>
      <c r="B4141" s="1" t="s">
        <v>12578</v>
      </c>
      <c r="C4141" s="1" t="s">
        <v>86</v>
      </c>
      <c r="D4141" s="1" t="s">
        <v>86</v>
      </c>
      <c r="E4141" s="6">
        <v>1240.51</v>
      </c>
      <c r="F4141" s="1" t="s">
        <v>40</v>
      </c>
      <c r="G4141" s="6">
        <f ca="1">IFERROR(__xludf.DUMMYFUNCTION("iferror(GOOGLEFINANCE(TRIM(F4141)&amp;"":"" &amp; TRIM(B4141), ""price""),0
)"),41.51)</f>
        <v>41.51</v>
      </c>
      <c r="H4141" s="6">
        <v>55.55</v>
      </c>
      <c r="I4141" s="6">
        <f t="shared" ca="1" si="0"/>
        <v>41.51</v>
      </c>
      <c r="J4141" s="6">
        <f ca="1">IFERROR(__xludf.DUMMYFUNCTION("IFERROR(GOOGLEFINANCE(B4141, ""volume""), 0)"),478926)</f>
        <v>478926</v>
      </c>
      <c r="K4141" s="6">
        <v>1.5</v>
      </c>
      <c r="L4141" s="6">
        <f ca="1">IFERROR(__xludf.DUMMYFUNCTION("IFERROR(GOOGLEFINANCE(B4141,""changepct""),K4141)"),1.19)</f>
        <v>1.19</v>
      </c>
      <c r="M4141" s="6">
        <f ca="1">IFERROR(__xludf.DUMMYFUNCTION("IFERROR(GOOGLEFINANCE(B4141,""change""),0)"),0.49)</f>
        <v>0.49</v>
      </c>
      <c r="N4141" s="6">
        <v>2</v>
      </c>
      <c r="O4141" s="7">
        <v>45536</v>
      </c>
      <c r="P4141" s="6">
        <v>232.64</v>
      </c>
      <c r="Q4141" s="6">
        <v>1429.89</v>
      </c>
      <c r="R4141" s="7">
        <v>45536</v>
      </c>
      <c r="S4141" s="6">
        <v>1090.94</v>
      </c>
      <c r="T4141" s="6">
        <v>53.53</v>
      </c>
      <c r="U4141" s="7">
        <v>45536</v>
      </c>
      <c r="V4141" s="6">
        <v>22.44</v>
      </c>
      <c r="W4141" s="6">
        <f ca="1">IFERROR(__xludf.DUMMYFUNCTION("IFERROR(GOOGLEFINANCE(B4141,""pe""),V4141)"),6.5)</f>
        <v>6.5</v>
      </c>
      <c r="X4141" s="6">
        <v>0.34</v>
      </c>
      <c r="Y4141" s="6">
        <v>1.23</v>
      </c>
      <c r="Z4141" s="6">
        <v>2</v>
      </c>
      <c r="AA4141" s="8">
        <v>45352</v>
      </c>
      <c r="AB4141" s="4">
        <v>0.18</v>
      </c>
      <c r="AC4141" s="6">
        <v>7.24</v>
      </c>
      <c r="AD4141" s="6">
        <v>8.5399999999999991</v>
      </c>
      <c r="AE4141" s="1">
        <v>0</v>
      </c>
      <c r="AF4141" s="1">
        <f ca="1">IFERROR(__xludf.DUMMYFUNCTION("IFERROR(GOOGLEFINANCE(TRIM(F4141)&amp;"":"" &amp; TRIM(B4141),""high52""),AE4141)"),74.59)</f>
        <v>74.59</v>
      </c>
      <c r="AG4141" s="1">
        <v>0</v>
      </c>
      <c r="AH4141" s="1">
        <f ca="1">IFERROR(__xludf.DUMMYFUNCTION("IFERROR(GOOGLEFINANCE(TRIM(F4141)&amp;"":"" &amp; TRIM(B4141),""low52""),AE4141)"),31.98)</f>
        <v>31.98</v>
      </c>
      <c r="AI4141" s="1">
        <f ca="1">IFERROR(__xludf.DUMMYFUNCTION("IFERROR(GOOGLEFINANCE(B4141,""eps""),0)"),6.39)</f>
        <v>6.39</v>
      </c>
      <c r="AJ4141" s="1"/>
      <c r="AK4141" s="1" t="s">
        <v>12579</v>
      </c>
      <c r="AL4141" s="9">
        <f t="shared" si="384"/>
        <v>1</v>
      </c>
    </row>
    <row r="4142" spans="1:38" ht="15" x14ac:dyDescent="0.25">
      <c r="A4142" s="1" t="s">
        <v>12580</v>
      </c>
      <c r="B4142" s="1" t="s">
        <v>12581</v>
      </c>
      <c r="C4142" s="1" t="s">
        <v>2018</v>
      </c>
      <c r="D4142" s="1" t="s">
        <v>2018</v>
      </c>
      <c r="E4142" s="6">
        <v>166.6</v>
      </c>
      <c r="F4142" s="1" t="s">
        <v>40</v>
      </c>
      <c r="G4142" s="6">
        <f ca="1">IFERROR(__xludf.DUMMYFUNCTION("iferror(GOOGLEFINANCE(TRIM(F4142)&amp;"":"" &amp; TRIM(B4142), ""price""),0
)"),51.32)</f>
        <v>51.32</v>
      </c>
      <c r="H4142" s="6">
        <v>54.05</v>
      </c>
      <c r="I4142" s="6">
        <f t="shared" ca="1" si="0"/>
        <v>51.32</v>
      </c>
      <c r="J4142" s="6">
        <f ca="1">IFERROR(__xludf.DUMMYFUNCTION("IFERROR(GOOGLEFINANCE(B4142, ""volume""), 0)"),67873)</f>
        <v>67873</v>
      </c>
      <c r="K4142" s="6">
        <v>1.05</v>
      </c>
      <c r="L4142" s="6">
        <f ca="1">IFERROR(__xludf.DUMMYFUNCTION("IFERROR(GOOGLEFINANCE(B4142,""changepct""),K4142)"),-1.25)</f>
        <v>-1.25</v>
      </c>
      <c r="M4142" s="6">
        <f ca="1">IFERROR(__xludf.DUMMYFUNCTION("IFERROR(GOOGLEFINANCE(B4142,""change""),0)"),-0.65)</f>
        <v>-0.65</v>
      </c>
      <c r="N4142" s="6">
        <v>1</v>
      </c>
      <c r="O4142" s="7">
        <v>45536</v>
      </c>
      <c r="P4142" s="6">
        <v>103.18</v>
      </c>
      <c r="Q4142" s="6">
        <v>235.16</v>
      </c>
      <c r="R4142" s="7">
        <v>45536</v>
      </c>
      <c r="S4142" s="6">
        <v>402.58</v>
      </c>
      <c r="T4142" s="6">
        <v>10.27</v>
      </c>
      <c r="U4142" s="7">
        <v>45536</v>
      </c>
      <c r="V4142" s="6">
        <v>16.22</v>
      </c>
      <c r="W4142" s="6">
        <f ca="1">IFERROR(__xludf.DUMMYFUNCTION("IFERROR(GOOGLEFINANCE(B4142,""pe""),V4142)"),15.16)</f>
        <v>15.16</v>
      </c>
      <c r="X4142" s="6">
        <v>0.32</v>
      </c>
      <c r="Y4142" s="6">
        <v>1.32</v>
      </c>
      <c r="Z4142" s="6">
        <v>1</v>
      </c>
      <c r="AA4142" s="8">
        <v>45352</v>
      </c>
      <c r="AB4142" s="4">
        <v>0.28999999999999998</v>
      </c>
      <c r="AC4142" s="6">
        <v>8.25</v>
      </c>
      <c r="AD4142" s="6">
        <v>13.93</v>
      </c>
      <c r="AE4142" s="1">
        <v>0</v>
      </c>
      <c r="AF4142" s="1">
        <f ca="1">IFERROR(__xludf.DUMMYFUNCTION("IFERROR(GOOGLEFINANCE(TRIM(F4142)&amp;"":"" &amp; TRIM(B4142),""high52""),AE4142)"),69.99)</f>
        <v>69.989999999999995</v>
      </c>
      <c r="AG4142" s="1">
        <v>0</v>
      </c>
      <c r="AH4142" s="1">
        <f ca="1">IFERROR(__xludf.DUMMYFUNCTION("IFERROR(GOOGLEFINANCE(TRIM(F4142)&amp;"":"" &amp; TRIM(B4142),""low52""),AE4142)"),33.3)</f>
        <v>33.299999999999997</v>
      </c>
      <c r="AI4142" s="1">
        <f ca="1">IFERROR(__xludf.DUMMYFUNCTION("IFERROR(GOOGLEFINANCE(B4142,""eps""),0)"),3.38)</f>
        <v>3.38</v>
      </c>
      <c r="AJ4142" s="1"/>
      <c r="AK4142" s="1" t="s">
        <v>12582</v>
      </c>
      <c r="AL4142" s="9">
        <f t="shared" si="384"/>
        <v>1</v>
      </c>
    </row>
    <row r="4143" spans="1:38" ht="15" x14ac:dyDescent="0.25">
      <c r="A4143" s="1" t="s">
        <v>12583</v>
      </c>
      <c r="B4143" s="1" t="s">
        <v>12584</v>
      </c>
      <c r="C4143" s="1" t="s">
        <v>154</v>
      </c>
      <c r="D4143" s="1" t="s">
        <v>154</v>
      </c>
      <c r="E4143" s="6">
        <v>42.72</v>
      </c>
      <c r="F4143" s="1" t="s">
        <v>53</v>
      </c>
      <c r="G4143" s="6">
        <f ca="1">IFERROR(__xludf.DUMMYFUNCTION("iferror(GOOGLEFINANCE(TRIM(F4143)&amp;"":"" &amp; TRIM(B4143), ""price""),0
)"),0)</f>
        <v>0</v>
      </c>
      <c r="H4143" s="6">
        <v>140.19999999999999</v>
      </c>
      <c r="I4143" s="6">
        <f t="shared" ca="1" si="0"/>
        <v>140.19999999999999</v>
      </c>
      <c r="J4143" s="6">
        <f ca="1">IFERROR(__xludf.DUMMYFUNCTION("IFERROR(GOOGLEFINANCE(B4143, ""volume""), 0)"),0)</f>
        <v>0</v>
      </c>
      <c r="K4143" s="6">
        <v>-2.64</v>
      </c>
      <c r="L4143" s="6">
        <f ca="1">IFERROR(__xludf.DUMMYFUNCTION("IFERROR(GOOGLEFINANCE(B4143,""changepct""),K4143)"),-2.64)</f>
        <v>-2.64</v>
      </c>
      <c r="M4143" s="6">
        <f ca="1">IFERROR(__xludf.DUMMYFUNCTION("IFERROR(GOOGLEFINANCE(B4143,""change""),0)"),0)</f>
        <v>0</v>
      </c>
      <c r="N4143" s="6">
        <v>1</v>
      </c>
      <c r="O4143" s="7">
        <v>45536</v>
      </c>
      <c r="P4143" s="6">
        <v>1.37</v>
      </c>
      <c r="Q4143" s="6">
        <v>44.1</v>
      </c>
      <c r="R4143" s="7">
        <v>45352</v>
      </c>
      <c r="S4143" s="6">
        <v>13.15</v>
      </c>
      <c r="T4143" s="6">
        <v>0.81</v>
      </c>
      <c r="U4143" s="7">
        <v>45352</v>
      </c>
      <c r="V4143" s="6">
        <v>52.55</v>
      </c>
      <c r="W4143" s="6">
        <f ca="1">IFERROR(__xludf.DUMMYFUNCTION("IFERROR(GOOGLEFINANCE(B4143,""pe""),V4143)"),52.55)</f>
        <v>52.55</v>
      </c>
      <c r="X4143" s="9"/>
      <c r="Y4143" s="6">
        <v>3.06</v>
      </c>
      <c r="Z4143" s="6">
        <v>1</v>
      </c>
      <c r="AA4143" s="8">
        <v>45352</v>
      </c>
      <c r="AB4143" s="4">
        <v>0.16</v>
      </c>
      <c r="AC4143" s="6">
        <v>11.93</v>
      </c>
      <c r="AD4143" s="6">
        <v>16.239999999999998</v>
      </c>
      <c r="AE4143" s="1">
        <v>0</v>
      </c>
      <c r="AF4143" s="1">
        <f ca="1">IFERROR(__xludf.DUMMYFUNCTION("IFERROR(GOOGLEFINANCE(TRIM(F4143)&amp;"":"" &amp; TRIM(B4143),""high52""),AE4143)"),0)</f>
        <v>0</v>
      </c>
      <c r="AG4143" s="1">
        <v>0</v>
      </c>
      <c r="AH4143" s="1">
        <f ca="1">IFERROR(__xludf.DUMMYFUNCTION("IFERROR(GOOGLEFINANCE(TRIM(F4143)&amp;"":"" &amp; TRIM(B4143),""low52""),AE4143)"),0)</f>
        <v>0</v>
      </c>
      <c r="AI4143" s="1">
        <f ca="1">IFERROR(__xludf.DUMMYFUNCTION("IFERROR(GOOGLEFINANCE(B4143,""eps""),0)"),0)</f>
        <v>0</v>
      </c>
      <c r="AJ4143" s="1"/>
      <c r="AK4143" s="1" t="s">
        <v>12585</v>
      </c>
      <c r="AL4143" s="9">
        <f t="shared" si="384"/>
        <v>1</v>
      </c>
    </row>
    <row r="4144" spans="1:38" ht="15" x14ac:dyDescent="0.25">
      <c r="A4144" s="1" t="s">
        <v>12586</v>
      </c>
      <c r="B4144" s="1" t="s">
        <v>12587</v>
      </c>
      <c r="C4144" s="1" t="s">
        <v>227</v>
      </c>
      <c r="D4144" s="1" t="s">
        <v>227</v>
      </c>
      <c r="E4144" s="6">
        <v>16.91</v>
      </c>
      <c r="F4144" s="1" t="s">
        <v>40</v>
      </c>
      <c r="G4144" s="6">
        <f ca="1">IFERROR(__xludf.DUMMYFUNCTION("iferror(GOOGLEFINANCE(TRIM(F4144)&amp;"":"" &amp; TRIM(B4144), ""price""),0
)"),2.04)</f>
        <v>2.04</v>
      </c>
      <c r="H4144" s="6">
        <v>0.96</v>
      </c>
      <c r="I4144" s="6">
        <f t="shared" ca="1" si="0"/>
        <v>2.04</v>
      </c>
      <c r="J4144" s="6">
        <f ca="1">IFERROR(__xludf.DUMMYFUNCTION("IFERROR(GOOGLEFINANCE(B4144, ""volume""), 0)"),443770)</f>
        <v>443770</v>
      </c>
      <c r="K4144" s="6">
        <v>4.3499999999999996</v>
      </c>
      <c r="L4144" s="6">
        <f ca="1">IFERROR(__xludf.DUMMYFUNCTION("IFERROR(GOOGLEFINANCE(B4144,""changepct""),K4144)"),2.51)</f>
        <v>2.5099999999999998</v>
      </c>
      <c r="M4144" s="6">
        <f ca="1">IFERROR(__xludf.DUMMYFUNCTION("IFERROR(GOOGLEFINANCE(B4144,""change""),0)"),0.05)</f>
        <v>0.05</v>
      </c>
      <c r="N4144" s="6">
        <v>1</v>
      </c>
      <c r="O4144" s="7">
        <v>45536</v>
      </c>
      <c r="P4144" s="6">
        <v>11.9</v>
      </c>
      <c r="Q4144" s="6">
        <v>28.81</v>
      </c>
      <c r="R4144" s="7">
        <v>45536</v>
      </c>
      <c r="S4144" s="6">
        <v>1.68</v>
      </c>
      <c r="T4144" s="6">
        <v>-9.32</v>
      </c>
      <c r="U4144" s="7">
        <v>45536</v>
      </c>
      <c r="V4144" s="6">
        <v>0</v>
      </c>
      <c r="W4144" s="6">
        <f ca="1">IFERROR(__xludf.DUMMYFUNCTION("IFERROR(GOOGLEFINANCE(B4144,""pe""),V4144)"),22.75)</f>
        <v>22.75</v>
      </c>
      <c r="X4144" s="9"/>
      <c r="Y4144" s="6">
        <v>0.9</v>
      </c>
      <c r="Z4144" s="6">
        <v>1</v>
      </c>
      <c r="AA4144" s="8">
        <v>45352</v>
      </c>
      <c r="AB4144" s="4">
        <v>0.61</v>
      </c>
      <c r="AC4144" s="6">
        <v>-41.8</v>
      </c>
      <c r="AD4144" s="6">
        <v>-29.73</v>
      </c>
      <c r="AE4144" s="1">
        <v>0</v>
      </c>
      <c r="AF4144" s="1">
        <f ca="1">IFERROR(__xludf.DUMMYFUNCTION("IFERROR(GOOGLEFINANCE(TRIM(F4144)&amp;"":"" &amp; TRIM(B4144),""high52""),AE4144)"),2.66)</f>
        <v>2.66</v>
      </c>
      <c r="AG4144" s="1">
        <v>0</v>
      </c>
      <c r="AH4144" s="1">
        <f ca="1">IFERROR(__xludf.DUMMYFUNCTION("IFERROR(GOOGLEFINANCE(TRIM(F4144)&amp;"":"" &amp; TRIM(B4144),""low52""),AE4144)"),0.6)</f>
        <v>0.6</v>
      </c>
      <c r="AI4144" s="1">
        <f ca="1">IFERROR(__xludf.DUMMYFUNCTION("IFERROR(GOOGLEFINANCE(B4144,""eps""),0)"),0.09)</f>
        <v>0.09</v>
      </c>
      <c r="AJ4144" s="1"/>
      <c r="AK4144" s="1" t="s">
        <v>12588</v>
      </c>
      <c r="AL4144" s="9">
        <f t="shared" si="384"/>
        <v>1</v>
      </c>
    </row>
    <row r="4145" spans="1:38" ht="15" x14ac:dyDescent="0.25">
      <c r="A4145" s="1" t="s">
        <v>12589</v>
      </c>
      <c r="B4145" s="1" t="s">
        <v>12590</v>
      </c>
      <c r="C4145" s="1" t="s">
        <v>125</v>
      </c>
      <c r="D4145" s="1" t="s">
        <v>125</v>
      </c>
      <c r="E4145" s="6">
        <v>83.63</v>
      </c>
      <c r="F4145" s="1" t="s">
        <v>40</v>
      </c>
      <c r="G4145" s="6">
        <f ca="1">IFERROR(__xludf.DUMMYFUNCTION("iferror(GOOGLEFINANCE(TRIM(F4145)&amp;"":"" &amp; TRIM(B4145), ""price""),0
)"),0)</f>
        <v>0</v>
      </c>
      <c r="H4145" s="6">
        <v>166.2</v>
      </c>
      <c r="I4145" s="6">
        <f t="shared" ca="1" si="0"/>
        <v>166.2</v>
      </c>
      <c r="J4145" s="6">
        <f ca="1">IFERROR(__xludf.DUMMYFUNCTION("IFERROR(GOOGLEFINANCE(B4145, ""volume""), 0)"),0)</f>
        <v>0</v>
      </c>
      <c r="K4145" s="6">
        <v>-2.81</v>
      </c>
      <c r="L4145" s="6">
        <f ca="1">IFERROR(__xludf.DUMMYFUNCTION("IFERROR(GOOGLEFINANCE(B4145,""changepct""),K4145)"),-2.81)</f>
        <v>-2.81</v>
      </c>
      <c r="M4145" s="6">
        <f ca="1">IFERROR(__xludf.DUMMYFUNCTION("IFERROR(GOOGLEFINANCE(B4145,""change""),0)"),0)</f>
        <v>0</v>
      </c>
      <c r="N4145" s="6">
        <v>1</v>
      </c>
      <c r="O4145" s="7">
        <v>45536</v>
      </c>
      <c r="P4145" s="6">
        <v>3.56</v>
      </c>
      <c r="Q4145" s="6">
        <v>87.19</v>
      </c>
      <c r="R4145" s="12"/>
      <c r="S4145" s="12"/>
      <c r="T4145" s="12"/>
      <c r="U4145" s="7">
        <v>45352</v>
      </c>
      <c r="V4145" s="6">
        <v>26.86</v>
      </c>
      <c r="W4145" s="6">
        <f ca="1">IFERROR(__xludf.DUMMYFUNCTION("IFERROR(GOOGLEFINANCE(B4145,""pe""),V4145)"),26.86)</f>
        <v>26.86</v>
      </c>
      <c r="X4145" s="12"/>
      <c r="Y4145" s="6">
        <v>3.43</v>
      </c>
      <c r="Z4145" s="6">
        <v>1</v>
      </c>
      <c r="AA4145" s="17">
        <v>45352</v>
      </c>
      <c r="AB4145" s="18">
        <v>1.5</v>
      </c>
      <c r="AC4145" s="6">
        <v>64.16</v>
      </c>
      <c r="AD4145" s="6">
        <v>42.28</v>
      </c>
      <c r="AE4145" s="1">
        <v>0</v>
      </c>
      <c r="AF4145" s="1">
        <f ca="1">IFERROR(__xludf.DUMMYFUNCTION("IFERROR(GOOGLEFINANCE(TRIM(F4145)&amp;"":"" &amp; TRIM(B4145),""high52""),AE4145)"),0)</f>
        <v>0</v>
      </c>
      <c r="AG4145" s="1">
        <v>0</v>
      </c>
      <c r="AH4145" s="1">
        <f ca="1">IFERROR(__xludf.DUMMYFUNCTION("IFERROR(GOOGLEFINANCE(TRIM(F4145)&amp;"":"" &amp; TRIM(B4145),""low52""),AE4145)"),0)</f>
        <v>0</v>
      </c>
      <c r="AI4145" s="1">
        <f ca="1">IFERROR(__xludf.DUMMYFUNCTION("IFERROR(GOOGLEFINANCE(B4145,""eps""),0)"),0)</f>
        <v>0</v>
      </c>
      <c r="AJ4145" s="1"/>
      <c r="AK4145" s="1" t="s">
        <v>12591</v>
      </c>
      <c r="AL4145" s="9">
        <f t="shared" si="384"/>
        <v>1</v>
      </c>
    </row>
    <row r="4146" spans="1:38" ht="15" x14ac:dyDescent="0.25">
      <c r="A4146" s="1" t="s">
        <v>12592</v>
      </c>
      <c r="B4146" s="1" t="s">
        <v>12593</v>
      </c>
      <c r="C4146" s="1" t="s">
        <v>154</v>
      </c>
      <c r="D4146" s="1" t="s">
        <v>154</v>
      </c>
      <c r="E4146" s="6">
        <v>173.48</v>
      </c>
      <c r="F4146" s="1" t="s">
        <v>53</v>
      </c>
      <c r="G4146" s="6">
        <f ca="1">IFERROR(__xludf.DUMMYFUNCTION("iferror(GOOGLEFINANCE(TRIM(F4146)&amp;"":"" &amp; TRIM(B4146), ""price""),0
)"),0)</f>
        <v>0</v>
      </c>
      <c r="H4146" s="6">
        <v>59.1</v>
      </c>
      <c r="I4146" s="6">
        <f t="shared" ca="1" si="0"/>
        <v>59.1</v>
      </c>
      <c r="J4146" s="6">
        <f ca="1">IFERROR(__xludf.DUMMYFUNCTION("IFERROR(GOOGLEFINANCE(B4146, ""volume""), 0)"),0)</f>
        <v>0</v>
      </c>
      <c r="K4146" s="6">
        <v>4.7699999999999996</v>
      </c>
      <c r="L4146" s="6">
        <f ca="1">IFERROR(__xludf.DUMMYFUNCTION("IFERROR(GOOGLEFINANCE(B4146,""changepct""),K4146)"),4.77)</f>
        <v>4.7699999999999996</v>
      </c>
      <c r="M4146" s="6">
        <f ca="1">IFERROR(__xludf.DUMMYFUNCTION("IFERROR(GOOGLEFINANCE(B4146,""change""),0)"),0)</f>
        <v>0</v>
      </c>
      <c r="N4146" s="6">
        <v>1</v>
      </c>
      <c r="O4146" s="7">
        <v>45536</v>
      </c>
      <c r="P4146" s="6">
        <v>60.32</v>
      </c>
      <c r="Q4146" s="6">
        <v>232.47</v>
      </c>
      <c r="R4146" s="7">
        <v>45536</v>
      </c>
      <c r="S4146" s="6">
        <v>61.93</v>
      </c>
      <c r="T4146" s="6">
        <v>-56.2</v>
      </c>
      <c r="U4146" s="7">
        <v>45536</v>
      </c>
      <c r="V4146" s="6">
        <v>0</v>
      </c>
      <c r="W4146" s="6">
        <f ca="1">IFERROR(__xludf.DUMMYFUNCTION("IFERROR(GOOGLEFINANCE(B4146,""pe""),V4146)"),0)</f>
        <v>0</v>
      </c>
      <c r="X4146" s="12"/>
      <c r="Y4146" s="6">
        <v>-56.59</v>
      </c>
      <c r="Z4146" s="6">
        <v>2</v>
      </c>
      <c r="AA4146" s="8">
        <v>45352</v>
      </c>
      <c r="AB4146" s="4">
        <v>2.08</v>
      </c>
      <c r="AC4146" s="6">
        <v>-102.82</v>
      </c>
      <c r="AD4146" s="6">
        <v>-52.69</v>
      </c>
      <c r="AE4146" s="1">
        <v>0</v>
      </c>
      <c r="AF4146" s="1">
        <f ca="1">IFERROR(__xludf.DUMMYFUNCTION("IFERROR(GOOGLEFINANCE(TRIM(F4146)&amp;"":"" &amp; TRIM(B4146),""high52""),AE4146)"),0)</f>
        <v>0</v>
      </c>
      <c r="AG4146" s="1">
        <v>0</v>
      </c>
      <c r="AH4146" s="1">
        <f ca="1">IFERROR(__xludf.DUMMYFUNCTION("IFERROR(GOOGLEFINANCE(TRIM(F4146)&amp;"":"" &amp; TRIM(B4146),""low52""),AE4146)"),0)</f>
        <v>0</v>
      </c>
      <c r="AI4146" s="1">
        <f ca="1">IFERROR(__xludf.DUMMYFUNCTION("IFERROR(GOOGLEFINANCE(B4146,""eps""),0)"),0)</f>
        <v>0</v>
      </c>
      <c r="AJ4146" s="1"/>
      <c r="AK4146" s="1" t="s">
        <v>12594</v>
      </c>
      <c r="AL4146" s="9">
        <f t="shared" si="384"/>
        <v>1</v>
      </c>
    </row>
    <row r="4147" spans="1:38" ht="15" x14ac:dyDescent="0.25">
      <c r="A4147" s="1" t="s">
        <v>12595</v>
      </c>
      <c r="B4147" s="1" t="s">
        <v>12596</v>
      </c>
      <c r="C4147" s="1" t="s">
        <v>186</v>
      </c>
      <c r="D4147" s="1" t="s">
        <v>186</v>
      </c>
      <c r="E4147" s="6">
        <v>30729.68</v>
      </c>
      <c r="F4147" s="1" t="s">
        <v>40</v>
      </c>
      <c r="G4147" s="6">
        <f ca="1">IFERROR(__xludf.DUMMYFUNCTION("iferror(GOOGLEFINANCE(TRIM(F4147)&amp;"":"" &amp; TRIM(B4147), ""price""),0
)"),479.5)</f>
        <v>479.5</v>
      </c>
      <c r="H4147" s="6">
        <v>1285.3</v>
      </c>
      <c r="I4147" s="6">
        <f t="shared" ca="1" si="0"/>
        <v>479.5</v>
      </c>
      <c r="J4147" s="6">
        <f ca="1">IFERROR(__xludf.DUMMYFUNCTION("IFERROR(GOOGLEFINANCE(B4147, ""volume""), 0)"),163817)</f>
        <v>163817</v>
      </c>
      <c r="K4147" s="6">
        <v>1.73</v>
      </c>
      <c r="L4147" s="6">
        <f ca="1">IFERROR(__xludf.DUMMYFUNCTION("IFERROR(GOOGLEFINANCE(B4147,""changepct""),K4147)"),0.22)</f>
        <v>0.22</v>
      </c>
      <c r="M4147" s="6">
        <f ca="1">IFERROR(__xludf.DUMMYFUNCTION("IFERROR(GOOGLEFINANCE(B4147,""change""),0)"),1.05)</f>
        <v>1.05</v>
      </c>
      <c r="N4147" s="6">
        <v>2</v>
      </c>
      <c r="O4147" s="7">
        <v>45536</v>
      </c>
      <c r="P4147" s="12"/>
      <c r="Q4147" s="6">
        <v>30685.64</v>
      </c>
      <c r="R4147" s="7">
        <v>45536</v>
      </c>
      <c r="S4147" s="6">
        <v>1345.38</v>
      </c>
      <c r="T4147" s="6">
        <v>402.9</v>
      </c>
      <c r="U4147" s="7">
        <v>45536</v>
      </c>
      <c r="V4147" s="6">
        <v>76.27</v>
      </c>
      <c r="W4147" s="6">
        <f ca="1">IFERROR(__xludf.DUMMYFUNCTION("IFERROR(GOOGLEFINANCE(B4147,""pe""),V4147)"),30.23)</f>
        <v>30.23</v>
      </c>
      <c r="X4147" s="12"/>
      <c r="Y4147" s="6">
        <v>20.12</v>
      </c>
      <c r="Z4147" s="6">
        <v>2</v>
      </c>
      <c r="AA4147" s="8">
        <v>45352</v>
      </c>
      <c r="AB4147" s="4">
        <v>0</v>
      </c>
      <c r="AC4147" s="6">
        <v>27.74</v>
      </c>
      <c r="AD4147" s="6">
        <v>39.5</v>
      </c>
      <c r="AE4147" s="1">
        <v>0</v>
      </c>
      <c r="AF4147" s="1">
        <f ca="1">IFERROR(__xludf.DUMMYFUNCTION("IFERROR(GOOGLEFINANCE(TRIM(F4147)&amp;"":"" &amp; TRIM(B4147),""high52""),AE4147)"),974.55)</f>
        <v>974.55</v>
      </c>
      <c r="AG4147" s="1">
        <v>0</v>
      </c>
      <c r="AH4147" s="1">
        <f ca="1">IFERROR(__xludf.DUMMYFUNCTION("IFERROR(GOOGLEFINANCE(TRIM(F4147)&amp;"":"" &amp; TRIM(B4147),""low52""),AE4147)"),465.5)</f>
        <v>465.5</v>
      </c>
      <c r="AI4147" s="1">
        <f ca="1">IFERROR(__xludf.DUMMYFUNCTION("IFERROR(GOOGLEFINANCE(B4147,""eps""),0)"),15.86)</f>
        <v>15.86</v>
      </c>
      <c r="AJ4147" s="1"/>
      <c r="AK4147" s="1" t="s">
        <v>12597</v>
      </c>
      <c r="AL4147" s="9">
        <f t="shared" si="384"/>
        <v>1</v>
      </c>
    </row>
    <row r="4148" spans="1:38" ht="15" x14ac:dyDescent="0.25">
      <c r="A4148" s="1" t="s">
        <v>12598</v>
      </c>
      <c r="B4148" s="1" t="s">
        <v>12599</v>
      </c>
      <c r="C4148" s="1" t="s">
        <v>1497</v>
      </c>
      <c r="D4148" s="1" t="s">
        <v>1497</v>
      </c>
      <c r="E4148" s="6">
        <v>175889.3</v>
      </c>
      <c r="F4148" s="1" t="s">
        <v>40</v>
      </c>
      <c r="G4148" s="6">
        <f ca="1">IFERROR(__xludf.DUMMYFUNCTION("iferror(GOOGLEFINANCE(TRIM(F4148)&amp;"":"" &amp; TRIM(B4148), ""price""),0
)"),661.85)</f>
        <v>661.85</v>
      </c>
      <c r="H4148" s="6">
        <v>452.45</v>
      </c>
      <c r="I4148" s="6">
        <f t="shared" ca="1" si="0"/>
        <v>661.85</v>
      </c>
      <c r="J4148" s="6">
        <f ca="1">IFERROR(__xludf.DUMMYFUNCTION("IFERROR(GOOGLEFINANCE(B4148, ""volume""), 0)"),35747809)</f>
        <v>35747809</v>
      </c>
      <c r="K4148" s="6">
        <v>0.6</v>
      </c>
      <c r="L4148" s="6">
        <f ca="1">IFERROR(__xludf.DUMMYFUNCTION("IFERROR(GOOGLEFINANCE(B4148,""changepct""),K4148)"),1.02)</f>
        <v>1.02</v>
      </c>
      <c r="M4148" s="6">
        <f ca="1">IFERROR(__xludf.DUMMYFUNCTION("IFERROR(GOOGLEFINANCE(B4148,""change""),0)"),6.7)</f>
        <v>6.7</v>
      </c>
      <c r="N4148" s="6">
        <v>2</v>
      </c>
      <c r="O4148" s="7">
        <v>45536</v>
      </c>
      <c r="P4148" s="6">
        <v>78653</v>
      </c>
      <c r="Q4148" s="6">
        <v>243546.3</v>
      </c>
      <c r="R4148" s="7">
        <v>45536</v>
      </c>
      <c r="S4148" s="6">
        <v>144448</v>
      </c>
      <c r="T4148" s="6">
        <v>15839</v>
      </c>
      <c r="U4148" s="7">
        <v>45536</v>
      </c>
      <c r="V4148" s="6">
        <v>15.51</v>
      </c>
      <c r="W4148" s="6">
        <f ca="1">IFERROR(__xludf.DUMMYFUNCTION("IFERROR(GOOGLEFINANCE(B4148,""pe""),V4148)"),18.39)</f>
        <v>18.39</v>
      </c>
      <c r="X4148" s="6">
        <v>-1.1000000000000001</v>
      </c>
      <c r="Y4148" s="6">
        <v>4.6900000000000004</v>
      </c>
      <c r="Z4148" s="6">
        <v>2</v>
      </c>
      <c r="AA4148" s="8">
        <v>45352</v>
      </c>
      <c r="AB4148" s="4">
        <v>2.84</v>
      </c>
      <c r="AC4148" s="6">
        <v>21.61</v>
      </c>
      <c r="AD4148" s="6">
        <v>25.2</v>
      </c>
      <c r="AE4148" s="1">
        <v>0</v>
      </c>
      <c r="AF4148" s="1">
        <f ca="1">IFERROR(__xludf.DUMMYFUNCTION("IFERROR(GOOGLEFINANCE(TRIM(F4148)&amp;"":"" &amp; TRIM(B4148),""high52""),AE4148)"),769.8)</f>
        <v>769.8</v>
      </c>
      <c r="AG4148" s="1">
        <v>0</v>
      </c>
      <c r="AH4148" s="1">
        <f ca="1">IFERROR(__xludf.DUMMYFUNCTION("IFERROR(GOOGLEFINANCE(TRIM(F4148)&amp;"":"" &amp; TRIM(B4148),""low52""),AE4148)"),363)</f>
        <v>363</v>
      </c>
      <c r="AI4148" s="1">
        <f ca="1">IFERROR(__xludf.DUMMYFUNCTION("IFERROR(GOOGLEFINANCE(B4148,""eps""),0)"),35.99)</f>
        <v>35.99</v>
      </c>
      <c r="AJ4148" s="1"/>
      <c r="AK4148" s="1" t="s">
        <v>12600</v>
      </c>
      <c r="AL4148" s="9">
        <f t="shared" si="384"/>
        <v>1</v>
      </c>
    </row>
    <row r="4149" spans="1:38" ht="15" x14ac:dyDescent="0.25">
      <c r="A4149" s="1" t="s">
        <v>12601</v>
      </c>
      <c r="B4149" s="1" t="s">
        <v>12602</v>
      </c>
      <c r="C4149" s="1" t="s">
        <v>154</v>
      </c>
      <c r="D4149" s="1" t="s">
        <v>154</v>
      </c>
      <c r="E4149" s="6">
        <v>89.97</v>
      </c>
      <c r="F4149" s="1" t="s">
        <v>53</v>
      </c>
      <c r="G4149" s="6">
        <f ca="1">IFERROR(__xludf.DUMMYFUNCTION("iferror(GOOGLEFINANCE(TRIM(F4149)&amp;"":"" &amp; TRIM(B4149), ""price""),0
)"),0)</f>
        <v>0</v>
      </c>
      <c r="H4149" s="6">
        <v>147</v>
      </c>
      <c r="I4149" s="6">
        <f t="shared" ca="1" si="0"/>
        <v>147</v>
      </c>
      <c r="J4149" s="6">
        <f ca="1">IFERROR(__xludf.DUMMYFUNCTION("IFERROR(GOOGLEFINANCE(B4149, ""volume""), 0)"),0)</f>
        <v>0</v>
      </c>
      <c r="K4149" s="6">
        <v>-1.97</v>
      </c>
      <c r="L4149" s="6">
        <f ca="1">IFERROR(__xludf.DUMMYFUNCTION("IFERROR(GOOGLEFINANCE(B4149,""changepct""),K4149)"),-1.97)</f>
        <v>-1.97</v>
      </c>
      <c r="M4149" s="6">
        <f ca="1">IFERROR(__xludf.DUMMYFUNCTION("IFERROR(GOOGLEFINANCE(B4149,""change""),0)"),0)</f>
        <v>0</v>
      </c>
      <c r="N4149" s="6">
        <v>1</v>
      </c>
      <c r="O4149" s="7">
        <v>45536</v>
      </c>
      <c r="P4149" s="6">
        <v>6.6</v>
      </c>
      <c r="Q4149" s="6">
        <v>96.57</v>
      </c>
      <c r="R4149" s="7">
        <v>45536</v>
      </c>
      <c r="S4149" s="6">
        <v>0.33</v>
      </c>
      <c r="T4149" s="6">
        <v>6.33</v>
      </c>
      <c r="U4149" s="7">
        <v>45536</v>
      </c>
      <c r="V4149" s="6">
        <v>14.21</v>
      </c>
      <c r="W4149" s="6">
        <f ca="1">IFERROR(__xludf.DUMMYFUNCTION("IFERROR(GOOGLEFINANCE(B4149,""pe""),V4149)"),14.21)</f>
        <v>14.21</v>
      </c>
      <c r="X4149" s="6">
        <v>0.21</v>
      </c>
      <c r="Y4149" s="6">
        <v>-13.88</v>
      </c>
      <c r="Z4149" s="6">
        <v>1</v>
      </c>
      <c r="AA4149" s="8">
        <v>45352</v>
      </c>
      <c r="AB4149" s="4">
        <v>-0.99</v>
      </c>
      <c r="AC4149" s="6">
        <v>0</v>
      </c>
      <c r="AD4149" s="6">
        <v>4514.93</v>
      </c>
      <c r="AE4149" s="1">
        <v>0</v>
      </c>
      <c r="AF4149" s="1">
        <f ca="1">IFERROR(__xludf.DUMMYFUNCTION("IFERROR(GOOGLEFINANCE(TRIM(F4149)&amp;"":"" &amp; TRIM(B4149),""high52""),AE4149)"),0)</f>
        <v>0</v>
      </c>
      <c r="AG4149" s="1">
        <v>0</v>
      </c>
      <c r="AH4149" s="1">
        <f ca="1">IFERROR(__xludf.DUMMYFUNCTION("IFERROR(GOOGLEFINANCE(TRIM(F4149)&amp;"":"" &amp; TRIM(B4149),""low52""),AE4149)"),0)</f>
        <v>0</v>
      </c>
      <c r="AI4149" s="1">
        <f ca="1">IFERROR(__xludf.DUMMYFUNCTION("IFERROR(GOOGLEFINANCE(B4149,""eps""),0)"),0)</f>
        <v>0</v>
      </c>
      <c r="AJ4149" s="1"/>
      <c r="AK4149" s="1" t="s">
        <v>12603</v>
      </c>
      <c r="AL4149" s="9">
        <f t="shared" si="384"/>
        <v>1</v>
      </c>
    </row>
    <row r="4150" spans="1:38" ht="15" x14ac:dyDescent="0.25">
      <c r="A4150" s="1" t="s">
        <v>12604</v>
      </c>
      <c r="B4150" s="1" t="s">
        <v>12605</v>
      </c>
      <c r="C4150" s="1" t="s">
        <v>154</v>
      </c>
      <c r="D4150" s="1" t="s">
        <v>154</v>
      </c>
      <c r="E4150" s="6">
        <v>21.95</v>
      </c>
      <c r="F4150" s="1" t="s">
        <v>53</v>
      </c>
      <c r="G4150" s="6">
        <f ca="1">IFERROR(__xludf.DUMMYFUNCTION("iferror(GOOGLEFINANCE(TRIM(F4150)&amp;"":"" &amp; TRIM(B4150), ""price""),0
)"),0)</f>
        <v>0</v>
      </c>
      <c r="H4150" s="6">
        <v>13.92</v>
      </c>
      <c r="I4150" s="6">
        <f t="shared" ca="1" si="0"/>
        <v>13.92</v>
      </c>
      <c r="J4150" s="6">
        <f ca="1">IFERROR(__xludf.DUMMYFUNCTION("IFERROR(GOOGLEFINANCE(B4150, ""volume""), 0)"),0)</f>
        <v>0</v>
      </c>
      <c r="K4150" s="6">
        <v>-1.07</v>
      </c>
      <c r="L4150" s="6">
        <f ca="1">IFERROR(__xludf.DUMMYFUNCTION("IFERROR(GOOGLEFINANCE(B4150,""changepct""),K4150)"),-1.07)</f>
        <v>-1.07</v>
      </c>
      <c r="M4150" s="6">
        <f ca="1">IFERROR(__xludf.DUMMYFUNCTION("IFERROR(GOOGLEFINANCE(B4150,""change""),0)"),0)</f>
        <v>0</v>
      </c>
      <c r="N4150" s="6">
        <v>1</v>
      </c>
      <c r="O4150" s="7">
        <v>45536</v>
      </c>
      <c r="P4150" s="6">
        <v>0.13</v>
      </c>
      <c r="Q4150" s="6">
        <v>22.08</v>
      </c>
      <c r="R4150" s="7">
        <v>45536</v>
      </c>
      <c r="S4150" s="6">
        <v>0</v>
      </c>
      <c r="T4150" s="6">
        <v>-0.06</v>
      </c>
      <c r="U4150" s="7">
        <v>45536</v>
      </c>
      <c r="V4150" s="6">
        <v>0</v>
      </c>
      <c r="W4150" s="6">
        <f ca="1">IFERROR(__xludf.DUMMYFUNCTION("IFERROR(GOOGLEFINANCE(B4150,""pe""),V4150)"),0)</f>
        <v>0</v>
      </c>
      <c r="X4150" s="6">
        <v>0</v>
      </c>
      <c r="Y4150" s="6">
        <v>323.45</v>
      </c>
      <c r="Z4150" s="6">
        <v>1</v>
      </c>
      <c r="AA4150" s="8">
        <v>45352</v>
      </c>
      <c r="AB4150" s="4">
        <v>1.61</v>
      </c>
      <c r="AC4150" s="6">
        <v>0</v>
      </c>
      <c r="AD4150" s="6">
        <v>2431.23</v>
      </c>
      <c r="AE4150" s="1">
        <v>0</v>
      </c>
      <c r="AF4150" s="1">
        <f ca="1">IFERROR(__xludf.DUMMYFUNCTION("IFERROR(GOOGLEFINANCE(TRIM(F4150)&amp;"":"" &amp; TRIM(B4150),""high52""),AE4150)"),0)</f>
        <v>0</v>
      </c>
      <c r="AG4150" s="1">
        <v>0</v>
      </c>
      <c r="AH4150" s="1">
        <f ca="1">IFERROR(__xludf.DUMMYFUNCTION("IFERROR(GOOGLEFINANCE(TRIM(F4150)&amp;"":"" &amp; TRIM(B4150),""low52""),AE4150)"),0)</f>
        <v>0</v>
      </c>
      <c r="AI4150" s="1">
        <f ca="1">IFERROR(__xludf.DUMMYFUNCTION("IFERROR(GOOGLEFINANCE(B4150,""eps""),0)"),0)</f>
        <v>0</v>
      </c>
      <c r="AJ4150" s="1"/>
      <c r="AK4150" s="1" t="s">
        <v>12606</v>
      </c>
      <c r="AL4150" s="9">
        <f t="shared" si="384"/>
        <v>1</v>
      </c>
    </row>
    <row r="4151" spans="1:38" ht="15" x14ac:dyDescent="0.25">
      <c r="A4151" s="1" t="s">
        <v>12607</v>
      </c>
      <c r="B4151" s="1" t="s">
        <v>12608</v>
      </c>
      <c r="C4151" s="1" t="s">
        <v>154</v>
      </c>
      <c r="D4151" s="1" t="s">
        <v>154</v>
      </c>
      <c r="E4151" s="6">
        <v>127.36</v>
      </c>
      <c r="F4151" s="1" t="s">
        <v>53</v>
      </c>
      <c r="G4151" s="6">
        <f ca="1">IFERROR(__xludf.DUMMYFUNCTION("iferror(GOOGLEFINANCE(TRIM(F4151)&amp;"":"" &amp; TRIM(B4151), ""price""),0
)"),0)</f>
        <v>0</v>
      </c>
      <c r="H4151" s="6">
        <v>190.95</v>
      </c>
      <c r="I4151" s="6">
        <f t="shared" ca="1" si="0"/>
        <v>190.95</v>
      </c>
      <c r="J4151" s="6">
        <f ca="1">IFERROR(__xludf.DUMMYFUNCTION("IFERROR(GOOGLEFINANCE(B4151, ""volume""), 0)"),0)</f>
        <v>0</v>
      </c>
      <c r="K4151" s="6">
        <v>1.92</v>
      </c>
      <c r="L4151" s="6">
        <f ca="1">IFERROR(__xludf.DUMMYFUNCTION("IFERROR(GOOGLEFINANCE(B4151,""changepct""),K4151)"),1.92)</f>
        <v>1.92</v>
      </c>
      <c r="M4151" s="6">
        <f ca="1">IFERROR(__xludf.DUMMYFUNCTION("IFERROR(GOOGLEFINANCE(B4151,""change""),0)"),0)</f>
        <v>0</v>
      </c>
      <c r="N4151" s="6">
        <v>1</v>
      </c>
      <c r="O4151" s="7">
        <v>45536</v>
      </c>
      <c r="P4151" s="6">
        <v>18.899999999999999</v>
      </c>
      <c r="Q4151" s="6">
        <v>143.37</v>
      </c>
      <c r="R4151" s="7">
        <v>45536</v>
      </c>
      <c r="S4151" s="6">
        <v>171.11</v>
      </c>
      <c r="T4151" s="6">
        <v>7.41</v>
      </c>
      <c r="U4151" s="7">
        <v>45536</v>
      </c>
      <c r="V4151" s="6">
        <v>17.18</v>
      </c>
      <c r="W4151" s="6">
        <f ca="1">IFERROR(__xludf.DUMMYFUNCTION("IFERROR(GOOGLEFINANCE(B4151,""pe""),V4151)"),17.18)</f>
        <v>17.18</v>
      </c>
      <c r="X4151" s="6">
        <v>0.9</v>
      </c>
      <c r="Y4151" s="6">
        <v>2.13</v>
      </c>
      <c r="Z4151" s="6">
        <v>2</v>
      </c>
      <c r="AA4151" s="8">
        <v>44986</v>
      </c>
      <c r="AB4151" s="4">
        <v>0.08</v>
      </c>
      <c r="AC4151" s="6">
        <v>19.98</v>
      </c>
      <c r="AD4151" s="6">
        <v>26.28</v>
      </c>
      <c r="AE4151" s="1">
        <v>0</v>
      </c>
      <c r="AF4151" s="1">
        <f ca="1">IFERROR(__xludf.DUMMYFUNCTION("IFERROR(GOOGLEFINANCE(TRIM(F4151)&amp;"":"" &amp; TRIM(B4151),""high52""),AE4151)"),0)</f>
        <v>0</v>
      </c>
      <c r="AG4151" s="1">
        <v>0</v>
      </c>
      <c r="AH4151" s="1">
        <f ca="1">IFERROR(__xludf.DUMMYFUNCTION("IFERROR(GOOGLEFINANCE(TRIM(F4151)&amp;"":"" &amp; TRIM(B4151),""low52""),AE4151)"),0)</f>
        <v>0</v>
      </c>
      <c r="AI4151" s="1">
        <f ca="1">IFERROR(__xludf.DUMMYFUNCTION("IFERROR(GOOGLEFINANCE(B4151,""eps""),0)"),0)</f>
        <v>0</v>
      </c>
      <c r="AJ4151" s="1"/>
      <c r="AK4151" s="6">
        <v>26.7</v>
      </c>
      <c r="AL4151" s="9">
        <f t="shared" si="384"/>
        <v>1</v>
      </c>
    </row>
    <row r="4152" spans="1:38" ht="15" x14ac:dyDescent="0.25">
      <c r="A4152" s="1" t="s">
        <v>12609</v>
      </c>
      <c r="B4152" s="1" t="s">
        <v>12610</v>
      </c>
      <c r="C4152" s="1" t="s">
        <v>154</v>
      </c>
      <c r="D4152" s="1" t="s">
        <v>154</v>
      </c>
      <c r="E4152" s="6">
        <v>65.94</v>
      </c>
      <c r="F4152" s="1" t="s">
        <v>53</v>
      </c>
      <c r="G4152" s="6">
        <f ca="1">IFERROR(__xludf.DUMMYFUNCTION("iferror(GOOGLEFINANCE(TRIM(F4152)&amp;"":"" &amp; TRIM(B4152), ""price""),0
)"),0)</f>
        <v>0</v>
      </c>
      <c r="H4152" s="6">
        <v>26.43</v>
      </c>
      <c r="I4152" s="6">
        <f t="shared" ca="1" si="0"/>
        <v>26.43</v>
      </c>
      <c r="J4152" s="6">
        <f ca="1">IFERROR(__xludf.DUMMYFUNCTION("IFERROR(GOOGLEFINANCE(B4152, ""volume""), 0)"),0)</f>
        <v>0</v>
      </c>
      <c r="K4152" s="6">
        <v>2.76</v>
      </c>
      <c r="L4152" s="6">
        <f ca="1">IFERROR(__xludf.DUMMYFUNCTION("IFERROR(GOOGLEFINANCE(B4152,""changepct""),K4152)"),2.76)</f>
        <v>2.76</v>
      </c>
      <c r="M4152" s="6">
        <f ca="1">IFERROR(__xludf.DUMMYFUNCTION("IFERROR(GOOGLEFINANCE(B4152,""change""),0)"),0)</f>
        <v>0</v>
      </c>
      <c r="N4152" s="6">
        <v>2</v>
      </c>
      <c r="O4152" s="7">
        <v>45536</v>
      </c>
      <c r="P4152" s="6">
        <v>209.07</v>
      </c>
      <c r="Q4152" s="6">
        <v>273.67</v>
      </c>
      <c r="R4152" s="7">
        <v>45536</v>
      </c>
      <c r="S4152" s="6">
        <v>177.34</v>
      </c>
      <c r="T4152" s="6">
        <v>-25.18</v>
      </c>
      <c r="U4152" s="7">
        <v>45536</v>
      </c>
      <c r="V4152" s="6">
        <v>0</v>
      </c>
      <c r="W4152" s="6">
        <f ca="1">IFERROR(__xludf.DUMMYFUNCTION("IFERROR(GOOGLEFINANCE(B4152,""pe""),V4152)"),0)</f>
        <v>0</v>
      </c>
      <c r="X4152" s="9"/>
      <c r="Y4152" s="6">
        <v>8.23</v>
      </c>
      <c r="Z4152" s="6">
        <v>2</v>
      </c>
      <c r="AA4152" s="8">
        <v>45352</v>
      </c>
      <c r="AB4152" s="4">
        <v>9.5399999999999991</v>
      </c>
      <c r="AC4152" s="6">
        <v>-74.28</v>
      </c>
      <c r="AD4152" s="6">
        <v>-4.18</v>
      </c>
      <c r="AE4152" s="1">
        <v>0</v>
      </c>
      <c r="AF4152" s="1">
        <f ca="1">IFERROR(__xludf.DUMMYFUNCTION("IFERROR(GOOGLEFINANCE(TRIM(F4152)&amp;"":"" &amp; TRIM(B4152),""high52""),AE4152)"),0)</f>
        <v>0</v>
      </c>
      <c r="AG4152" s="1">
        <v>0</v>
      </c>
      <c r="AH4152" s="1">
        <f ca="1">IFERROR(__xludf.DUMMYFUNCTION("IFERROR(GOOGLEFINANCE(TRIM(F4152)&amp;"":"" &amp; TRIM(B4152),""low52""),AE4152)"),0)</f>
        <v>0</v>
      </c>
      <c r="AI4152" s="1">
        <f ca="1">IFERROR(__xludf.DUMMYFUNCTION("IFERROR(GOOGLEFINANCE(B4152,""eps""),0)"),0)</f>
        <v>0</v>
      </c>
      <c r="AJ4152" s="1"/>
      <c r="AK4152" s="1" t="s">
        <v>12611</v>
      </c>
      <c r="AL4152" s="9">
        <f t="shared" si="384"/>
        <v>1</v>
      </c>
    </row>
    <row r="4153" spans="1:38" ht="15" x14ac:dyDescent="0.25">
      <c r="A4153" s="1" t="s">
        <v>12612</v>
      </c>
      <c r="B4153" s="1" t="s">
        <v>12613</v>
      </c>
      <c r="C4153" s="1" t="s">
        <v>154</v>
      </c>
      <c r="D4153" s="1" t="s">
        <v>154</v>
      </c>
      <c r="E4153" s="6">
        <v>8118.95</v>
      </c>
      <c r="F4153" s="1" t="s">
        <v>53</v>
      </c>
      <c r="G4153" s="6">
        <f ca="1">IFERROR(__xludf.DUMMYFUNCTION("iferror(GOOGLEFINANCE(TRIM(F4153)&amp;"":"" &amp; TRIM(B4153), ""price""),0
)"),0)</f>
        <v>0</v>
      </c>
      <c r="H4153" s="6">
        <v>90.9</v>
      </c>
      <c r="I4153" s="6">
        <f t="shared" ca="1" si="0"/>
        <v>90.9</v>
      </c>
      <c r="J4153" s="6">
        <f ca="1">IFERROR(__xludf.DUMMYFUNCTION("IFERROR(GOOGLEFINANCE(B4153, ""volume""), 0)"),0)</f>
        <v>0</v>
      </c>
      <c r="K4153" s="6">
        <v>-4.97</v>
      </c>
      <c r="L4153" s="6">
        <f ca="1">IFERROR(__xludf.DUMMYFUNCTION("IFERROR(GOOGLEFINANCE(B4153,""changepct""),K4153)"),-4.97)</f>
        <v>-4.97</v>
      </c>
      <c r="M4153" s="6">
        <f ca="1">IFERROR(__xludf.DUMMYFUNCTION("IFERROR(GOOGLEFINANCE(B4153,""change""),0)"),0)</f>
        <v>0</v>
      </c>
      <c r="N4153" s="6">
        <v>1</v>
      </c>
      <c r="O4153" s="7">
        <v>45536</v>
      </c>
      <c r="P4153" s="9"/>
      <c r="Q4153" s="6">
        <v>8115.71</v>
      </c>
      <c r="R4153" s="7">
        <v>45536</v>
      </c>
      <c r="S4153" s="6">
        <v>0.23</v>
      </c>
      <c r="T4153" s="6">
        <v>-25.83</v>
      </c>
      <c r="U4153" s="7">
        <v>45536</v>
      </c>
      <c r="V4153" s="6">
        <v>0</v>
      </c>
      <c r="W4153" s="6">
        <f ca="1">IFERROR(__xludf.DUMMYFUNCTION("IFERROR(GOOGLEFINANCE(B4153,""pe""),V4153)"),0)</f>
        <v>0</v>
      </c>
      <c r="X4153" s="9"/>
      <c r="Y4153" s="6">
        <v>212.46</v>
      </c>
      <c r="Z4153" s="6">
        <v>1</v>
      </c>
      <c r="AA4153" s="8">
        <v>45352</v>
      </c>
      <c r="AB4153" s="4">
        <v>0</v>
      </c>
      <c r="AC4153" s="6">
        <v>-5.29</v>
      </c>
      <c r="AD4153" s="6">
        <v>-4.66</v>
      </c>
      <c r="AE4153" s="1">
        <v>0</v>
      </c>
      <c r="AF4153" s="1">
        <f ca="1">IFERROR(__xludf.DUMMYFUNCTION("IFERROR(GOOGLEFINANCE(TRIM(F4153)&amp;"":"" &amp; TRIM(B4153),""high52""),AE4153)"),0)</f>
        <v>0</v>
      </c>
      <c r="AG4153" s="1">
        <v>0</v>
      </c>
      <c r="AH4153" s="1">
        <f ca="1">IFERROR(__xludf.DUMMYFUNCTION("IFERROR(GOOGLEFINANCE(TRIM(F4153)&amp;"":"" &amp; TRIM(B4153),""low52""),AE4153)"),0)</f>
        <v>0</v>
      </c>
      <c r="AI4153" s="1">
        <f ca="1">IFERROR(__xludf.DUMMYFUNCTION("IFERROR(GOOGLEFINANCE(B4153,""eps""),0)"),0)</f>
        <v>0</v>
      </c>
      <c r="AJ4153" s="1"/>
      <c r="AK4153" s="1" t="s">
        <v>12614</v>
      </c>
      <c r="AL4153" s="9">
        <f t="shared" si="384"/>
        <v>1</v>
      </c>
    </row>
    <row r="4154" spans="1:38" ht="15" x14ac:dyDescent="0.25">
      <c r="A4154" s="1" t="s">
        <v>12615</v>
      </c>
      <c r="B4154" s="1" t="s">
        <v>12616</v>
      </c>
      <c r="C4154" s="1" t="s">
        <v>154</v>
      </c>
      <c r="D4154" s="1" t="s">
        <v>154</v>
      </c>
      <c r="E4154" s="6">
        <v>295.35000000000002</v>
      </c>
      <c r="F4154" s="1" t="s">
        <v>53</v>
      </c>
      <c r="G4154" s="6">
        <f ca="1">IFERROR(__xludf.DUMMYFUNCTION("iferror(GOOGLEFINANCE(TRIM(F4154)&amp;"":"" &amp; TRIM(B4154), ""price""),0
)"),0)</f>
        <v>0</v>
      </c>
      <c r="H4154" s="6">
        <v>274</v>
      </c>
      <c r="I4154" s="6">
        <f t="shared" ca="1" si="0"/>
        <v>274</v>
      </c>
      <c r="J4154" s="6">
        <f ca="1">IFERROR(__xludf.DUMMYFUNCTION("IFERROR(GOOGLEFINANCE(B4154, ""volume""), 0)"),0)</f>
        <v>0</v>
      </c>
      <c r="K4154" s="6">
        <v>-0.05</v>
      </c>
      <c r="L4154" s="6">
        <f ca="1">IFERROR(__xludf.DUMMYFUNCTION("IFERROR(GOOGLEFINANCE(B4154,""changepct""),K4154)"),-0.05)</f>
        <v>-0.05</v>
      </c>
      <c r="M4154" s="6">
        <f ca="1">IFERROR(__xludf.DUMMYFUNCTION("IFERROR(GOOGLEFINANCE(B4154,""change""),0)"),0)</f>
        <v>0</v>
      </c>
      <c r="N4154" s="6">
        <v>1</v>
      </c>
      <c r="O4154" s="7">
        <v>45536</v>
      </c>
      <c r="P4154" s="6">
        <v>125.98</v>
      </c>
      <c r="Q4154" s="6">
        <v>420.67</v>
      </c>
      <c r="R4154" s="7">
        <v>45536</v>
      </c>
      <c r="S4154" s="6">
        <v>380.98</v>
      </c>
      <c r="T4154" s="6">
        <v>-18.43</v>
      </c>
      <c r="U4154" s="7">
        <v>45536</v>
      </c>
      <c r="V4154" s="6">
        <v>0</v>
      </c>
      <c r="W4154" s="6">
        <f ca="1">IFERROR(__xludf.DUMMYFUNCTION("IFERROR(GOOGLEFINANCE(B4154,""pe""),V4154)"),0)</f>
        <v>0</v>
      </c>
      <c r="X4154" s="9"/>
      <c r="Y4154" s="6">
        <v>1.9</v>
      </c>
      <c r="Z4154" s="6">
        <v>1</v>
      </c>
      <c r="AA4154" s="8">
        <v>45352</v>
      </c>
      <c r="AB4154" s="4">
        <v>0.73</v>
      </c>
      <c r="AC4154" s="6">
        <v>-7.33</v>
      </c>
      <c r="AD4154" s="6">
        <v>-2.74</v>
      </c>
      <c r="AE4154" s="1">
        <v>0</v>
      </c>
      <c r="AF4154" s="1">
        <f ca="1">IFERROR(__xludf.DUMMYFUNCTION("IFERROR(GOOGLEFINANCE(TRIM(F4154)&amp;"":"" &amp; TRIM(B4154),""high52""),AE4154)"),0)</f>
        <v>0</v>
      </c>
      <c r="AG4154" s="1">
        <v>0</v>
      </c>
      <c r="AH4154" s="1">
        <f ca="1">IFERROR(__xludf.DUMMYFUNCTION("IFERROR(GOOGLEFINANCE(TRIM(F4154)&amp;"":"" &amp; TRIM(B4154),""low52""),AE4154)"),0)</f>
        <v>0</v>
      </c>
      <c r="AI4154" s="1">
        <f ca="1">IFERROR(__xludf.DUMMYFUNCTION("IFERROR(GOOGLEFINANCE(B4154,""eps""),0)"),0)</f>
        <v>0</v>
      </c>
      <c r="AJ4154" s="1"/>
      <c r="AK4154" s="1" t="s">
        <v>12617</v>
      </c>
      <c r="AL4154" s="9">
        <f t="shared" si="384"/>
        <v>1</v>
      </c>
    </row>
    <row r="4155" spans="1:38" ht="15" x14ac:dyDescent="0.25">
      <c r="A4155" s="1" t="s">
        <v>12618</v>
      </c>
      <c r="B4155" s="1" t="s">
        <v>12619</v>
      </c>
      <c r="C4155" s="1" t="s">
        <v>843</v>
      </c>
      <c r="D4155" s="1" t="s">
        <v>843</v>
      </c>
      <c r="E4155" s="6">
        <v>2909.81</v>
      </c>
      <c r="F4155" s="1" t="s">
        <v>40</v>
      </c>
      <c r="G4155" s="6">
        <f ca="1">IFERROR(__xludf.DUMMYFUNCTION("iferror(GOOGLEFINANCE(TRIM(F4155)&amp;"":"" &amp; TRIM(B4155), ""price""),0
)"),1430.8)</f>
        <v>1430.8</v>
      </c>
      <c r="H4155" s="6">
        <v>1682</v>
      </c>
      <c r="I4155" s="6">
        <f t="shared" ca="1" si="0"/>
        <v>1430.8</v>
      </c>
      <c r="J4155" s="6">
        <f ca="1">IFERROR(__xludf.DUMMYFUNCTION("IFERROR(GOOGLEFINANCE(B4155, ""volume""), 0)"),9991)</f>
        <v>9991</v>
      </c>
      <c r="K4155" s="6">
        <v>0.66</v>
      </c>
      <c r="L4155" s="6">
        <f ca="1">IFERROR(__xludf.DUMMYFUNCTION("IFERROR(GOOGLEFINANCE(B4155,""changepct""),K4155)"),0.97)</f>
        <v>0.97</v>
      </c>
      <c r="M4155" s="6">
        <f ca="1">IFERROR(__xludf.DUMMYFUNCTION("IFERROR(GOOGLEFINANCE(B4155,""change""),0)"),13.8)</f>
        <v>13.8</v>
      </c>
      <c r="N4155" s="6">
        <v>2</v>
      </c>
      <c r="O4155" s="7">
        <v>45536</v>
      </c>
      <c r="P4155" s="12"/>
      <c r="Q4155" s="6">
        <v>2838.25</v>
      </c>
      <c r="R4155" s="7">
        <v>45536</v>
      </c>
      <c r="S4155" s="6">
        <v>1938.36</v>
      </c>
      <c r="T4155" s="6">
        <v>127.87</v>
      </c>
      <c r="U4155" s="7">
        <v>45536</v>
      </c>
      <c r="V4155" s="6">
        <v>19.64</v>
      </c>
      <c r="W4155" s="6">
        <f ca="1">IFERROR(__xludf.DUMMYFUNCTION("IFERROR(GOOGLEFINANCE(B4155,""pe""),V4155)"),12.96)</f>
        <v>12.96</v>
      </c>
      <c r="X4155" s="6">
        <v>2.4300000000000002</v>
      </c>
      <c r="Y4155" s="6">
        <v>3.34</v>
      </c>
      <c r="Z4155" s="6">
        <v>2</v>
      </c>
      <c r="AA4155" s="8">
        <v>45352</v>
      </c>
      <c r="AB4155" s="4">
        <v>0</v>
      </c>
      <c r="AC4155" s="6">
        <v>17.96</v>
      </c>
      <c r="AD4155" s="6">
        <v>23.67</v>
      </c>
      <c r="AE4155" s="1">
        <v>0</v>
      </c>
      <c r="AF4155" s="1">
        <f ca="1">IFERROR(__xludf.DUMMYFUNCTION("IFERROR(GOOGLEFINANCE(TRIM(F4155)&amp;"":"" &amp; TRIM(B4155),""high52""),AE4155)"),2035)</f>
        <v>2035</v>
      </c>
      <c r="AG4155" s="1">
        <v>0</v>
      </c>
      <c r="AH4155" s="1">
        <f ca="1">IFERROR(__xludf.DUMMYFUNCTION("IFERROR(GOOGLEFINANCE(TRIM(F4155)&amp;"":"" &amp; TRIM(B4155),""low52""),AE4155)"),1305)</f>
        <v>1305</v>
      </c>
      <c r="AI4155" s="1">
        <f ca="1">IFERROR(__xludf.DUMMYFUNCTION("IFERROR(GOOGLEFINANCE(B4155,""eps""),0)"),110.41)</f>
        <v>110.41</v>
      </c>
      <c r="AJ4155" s="1"/>
      <c r="AK4155" s="1" t="s">
        <v>12620</v>
      </c>
      <c r="AL4155" s="9">
        <f t="shared" si="384"/>
        <v>1</v>
      </c>
    </row>
    <row r="4156" spans="1:38" ht="15" x14ac:dyDescent="0.25">
      <c r="A4156" s="1" t="s">
        <v>12621</v>
      </c>
      <c r="B4156" s="1" t="s">
        <v>12622</v>
      </c>
      <c r="C4156" s="1" t="s">
        <v>154</v>
      </c>
      <c r="D4156" s="1" t="s">
        <v>154</v>
      </c>
      <c r="E4156" s="6">
        <v>19.18</v>
      </c>
      <c r="F4156" s="1" t="s">
        <v>53</v>
      </c>
      <c r="G4156" s="6">
        <f ca="1">IFERROR(__xludf.DUMMYFUNCTION("iferror(GOOGLEFINANCE(TRIM(F4156)&amp;"":"" &amp; TRIM(B4156), ""price""),0
)"),0)</f>
        <v>0</v>
      </c>
      <c r="H4156" s="6">
        <v>10.1</v>
      </c>
      <c r="I4156" s="6">
        <f t="shared" ca="1" si="0"/>
        <v>10.1</v>
      </c>
      <c r="J4156" s="6">
        <f ca="1">IFERROR(__xludf.DUMMYFUNCTION("IFERROR(GOOGLEFINANCE(B4156, ""volume""), 0)"),0)</f>
        <v>0</v>
      </c>
      <c r="K4156" s="6">
        <v>1.1000000000000001</v>
      </c>
      <c r="L4156" s="6">
        <f ca="1">IFERROR(__xludf.DUMMYFUNCTION("IFERROR(GOOGLEFINANCE(B4156,""changepct""),K4156)"),1.1)</f>
        <v>1.1000000000000001</v>
      </c>
      <c r="M4156" s="6">
        <f ca="1">IFERROR(__xludf.DUMMYFUNCTION("IFERROR(GOOGLEFINANCE(B4156,""change""),0)"),0)</f>
        <v>0</v>
      </c>
      <c r="N4156" s="6">
        <v>1</v>
      </c>
      <c r="O4156" s="7">
        <v>45536</v>
      </c>
      <c r="P4156" s="9"/>
      <c r="Q4156" s="6">
        <v>19.18</v>
      </c>
      <c r="R4156" s="7">
        <v>45536</v>
      </c>
      <c r="S4156" s="6">
        <v>58.74</v>
      </c>
      <c r="T4156" s="6">
        <v>3.1</v>
      </c>
      <c r="U4156" s="7">
        <v>45536</v>
      </c>
      <c r="V4156" s="6">
        <v>6.19</v>
      </c>
      <c r="W4156" s="6">
        <f ca="1">IFERROR(__xludf.DUMMYFUNCTION("IFERROR(GOOGLEFINANCE(B4156,""pe""),V4156)"),6.19)</f>
        <v>6.19</v>
      </c>
      <c r="X4156" s="6">
        <v>0.06</v>
      </c>
      <c r="Y4156" s="6">
        <v>1.77</v>
      </c>
      <c r="Z4156" s="6">
        <v>1</v>
      </c>
      <c r="AA4156" s="8">
        <v>45352</v>
      </c>
      <c r="AB4156" s="4">
        <v>0</v>
      </c>
      <c r="AC4156" s="6">
        <v>0</v>
      </c>
      <c r="AD4156" s="6">
        <v>0</v>
      </c>
      <c r="AE4156" s="1">
        <v>0</v>
      </c>
      <c r="AF4156" s="1">
        <f ca="1">IFERROR(__xludf.DUMMYFUNCTION("IFERROR(GOOGLEFINANCE(TRIM(F4156)&amp;"":"" &amp; TRIM(B4156),""high52""),AE4156)"),0)</f>
        <v>0</v>
      </c>
      <c r="AG4156" s="1">
        <v>0</v>
      </c>
      <c r="AH4156" s="1">
        <f ca="1">IFERROR(__xludf.DUMMYFUNCTION("IFERROR(GOOGLEFINANCE(TRIM(F4156)&amp;"":"" &amp; TRIM(B4156),""low52""),AE4156)"),0)</f>
        <v>0</v>
      </c>
      <c r="AI4156" s="1">
        <f ca="1">IFERROR(__xludf.DUMMYFUNCTION("IFERROR(GOOGLEFINANCE(B4156,""eps""),0)"),0)</f>
        <v>0</v>
      </c>
      <c r="AJ4156" s="1"/>
      <c r="AK4156" s="1" t="s">
        <v>12623</v>
      </c>
      <c r="AL4156" s="9">
        <f t="shared" si="384"/>
        <v>1</v>
      </c>
    </row>
    <row r="4157" spans="1:38" ht="15" x14ac:dyDescent="0.25">
      <c r="A4157" s="1" t="s">
        <v>12624</v>
      </c>
      <c r="B4157" s="1" t="s">
        <v>12625</v>
      </c>
      <c r="C4157" s="1" t="s">
        <v>154</v>
      </c>
      <c r="D4157" s="1" t="s">
        <v>154</v>
      </c>
      <c r="E4157" s="6">
        <v>9</v>
      </c>
      <c r="F4157" s="1" t="s">
        <v>53</v>
      </c>
      <c r="G4157" s="6">
        <f ca="1">IFERROR(__xludf.DUMMYFUNCTION("iferror(GOOGLEFINANCE(TRIM(F4157)&amp;"":"" &amp; TRIM(B4157), ""price""),0
)"),0)</f>
        <v>0</v>
      </c>
      <c r="H4157" s="6">
        <v>27.16</v>
      </c>
      <c r="I4157" s="6">
        <f t="shared" ca="1" si="0"/>
        <v>27.16</v>
      </c>
      <c r="J4157" s="6">
        <f ca="1">IFERROR(__xludf.DUMMYFUNCTION("IFERROR(GOOGLEFINANCE(B4157, ""volume""), 0)"),0)</f>
        <v>0</v>
      </c>
      <c r="K4157" s="6">
        <v>-3.28</v>
      </c>
      <c r="L4157" s="6">
        <f ca="1">IFERROR(__xludf.DUMMYFUNCTION("IFERROR(GOOGLEFINANCE(B4157,""changepct""),K4157)"),-3.28)</f>
        <v>-3.28</v>
      </c>
      <c r="M4157" s="6">
        <f ca="1">IFERROR(__xludf.DUMMYFUNCTION("IFERROR(GOOGLEFINANCE(B4157,""change""),0)"),0)</f>
        <v>0</v>
      </c>
      <c r="N4157" s="6">
        <v>1</v>
      </c>
      <c r="O4157" s="7">
        <v>45536</v>
      </c>
      <c r="P4157" s="6">
        <v>9.43</v>
      </c>
      <c r="Q4157" s="6">
        <v>18.43</v>
      </c>
      <c r="R4157" s="7">
        <v>45536</v>
      </c>
      <c r="S4157" s="6">
        <v>36.82</v>
      </c>
      <c r="T4157" s="6">
        <v>-0.25</v>
      </c>
      <c r="U4157" s="7">
        <v>45536</v>
      </c>
      <c r="V4157" s="6">
        <v>0</v>
      </c>
      <c r="W4157" s="6">
        <f ca="1">IFERROR(__xludf.DUMMYFUNCTION("IFERROR(GOOGLEFINANCE(B4157,""pe""),V4157)"),0)</f>
        <v>0</v>
      </c>
      <c r="X4157" s="9"/>
      <c r="Y4157" s="6">
        <v>1.55</v>
      </c>
      <c r="Z4157" s="6">
        <v>1</v>
      </c>
      <c r="AA4157" s="8">
        <v>45352</v>
      </c>
      <c r="AB4157" s="4">
        <v>1.37</v>
      </c>
      <c r="AC4157" s="6">
        <v>-1.33</v>
      </c>
      <c r="AD4157" s="6">
        <v>7.09</v>
      </c>
      <c r="AE4157" s="1">
        <v>0</v>
      </c>
      <c r="AF4157" s="1">
        <f ca="1">IFERROR(__xludf.DUMMYFUNCTION("IFERROR(GOOGLEFINANCE(TRIM(F4157)&amp;"":"" &amp; TRIM(B4157),""high52""),AE4157)"),0)</f>
        <v>0</v>
      </c>
      <c r="AG4157" s="1">
        <v>0</v>
      </c>
      <c r="AH4157" s="1">
        <f ca="1">IFERROR(__xludf.DUMMYFUNCTION("IFERROR(GOOGLEFINANCE(TRIM(F4157)&amp;"":"" &amp; TRIM(B4157),""low52""),AE4157)"),0)</f>
        <v>0</v>
      </c>
      <c r="AI4157" s="1">
        <f ca="1">IFERROR(__xludf.DUMMYFUNCTION("IFERROR(GOOGLEFINANCE(B4157,""eps""),0)"),0)</f>
        <v>0</v>
      </c>
      <c r="AJ4157" s="1"/>
      <c r="AK4157" s="1" t="s">
        <v>12626</v>
      </c>
      <c r="AL4157" s="9">
        <f t="shared" si="384"/>
        <v>1</v>
      </c>
    </row>
    <row r="4158" spans="1:38" ht="15" x14ac:dyDescent="0.25">
      <c r="A4158" s="1" t="s">
        <v>12627</v>
      </c>
      <c r="B4158" s="1" t="s">
        <v>12628</v>
      </c>
      <c r="C4158" s="1" t="s">
        <v>186</v>
      </c>
      <c r="D4158" s="1" t="s">
        <v>186</v>
      </c>
      <c r="E4158" s="6">
        <v>147.69</v>
      </c>
      <c r="F4158" s="1" t="s">
        <v>40</v>
      </c>
      <c r="G4158" s="6">
        <f ca="1">IFERROR(__xludf.DUMMYFUNCTION("iferror(GOOGLEFINANCE(TRIM(F4158)&amp;"":"" &amp; TRIM(B4158), ""price""),0
)"),0)</f>
        <v>0</v>
      </c>
      <c r="H4158" s="6">
        <v>262.5</v>
      </c>
      <c r="I4158" s="6">
        <f t="shared" ca="1" si="0"/>
        <v>262.5</v>
      </c>
      <c r="J4158" s="6">
        <f ca="1">IFERROR(__xludf.DUMMYFUNCTION("IFERROR(GOOGLEFINANCE(B4158, ""volume""), 0)"),0)</f>
        <v>0</v>
      </c>
      <c r="K4158" s="6">
        <v>4.4400000000000004</v>
      </c>
      <c r="L4158" s="6">
        <f ca="1">IFERROR(__xludf.DUMMYFUNCTION("IFERROR(GOOGLEFINANCE(B4158,""changepct""),K4158)"),4.44)</f>
        <v>4.4400000000000004</v>
      </c>
      <c r="M4158" s="6">
        <f ca="1">IFERROR(__xludf.DUMMYFUNCTION("IFERROR(GOOGLEFINANCE(B4158,""change""),0)"),0)</f>
        <v>0</v>
      </c>
      <c r="N4158" s="6">
        <v>1</v>
      </c>
      <c r="O4158" s="7">
        <v>45536</v>
      </c>
      <c r="P4158" s="6">
        <v>101.88</v>
      </c>
      <c r="Q4158" s="6">
        <v>249.57</v>
      </c>
      <c r="R4158" s="7">
        <v>45352</v>
      </c>
      <c r="S4158" s="6">
        <v>243.82</v>
      </c>
      <c r="T4158" s="6">
        <v>4.03</v>
      </c>
      <c r="U4158" s="7">
        <v>45352</v>
      </c>
      <c r="V4158" s="6">
        <v>36.69</v>
      </c>
      <c r="W4158" s="6">
        <f ca="1">IFERROR(__xludf.DUMMYFUNCTION("IFERROR(GOOGLEFINANCE(B4158,""pe""),V4158)"),36.69)</f>
        <v>36.69</v>
      </c>
      <c r="X4158" s="9"/>
      <c r="Y4158" s="6">
        <v>3.58</v>
      </c>
      <c r="Z4158" s="6">
        <v>1</v>
      </c>
      <c r="AA4158" s="8">
        <v>45352</v>
      </c>
      <c r="AB4158" s="4">
        <v>2.3199999999999998</v>
      </c>
      <c r="AC4158" s="6">
        <v>10.26</v>
      </c>
      <c r="AD4158" s="6">
        <v>11.44</v>
      </c>
      <c r="AE4158" s="1">
        <v>0</v>
      </c>
      <c r="AF4158" s="1">
        <f ca="1">IFERROR(__xludf.DUMMYFUNCTION("IFERROR(GOOGLEFINANCE(TRIM(F4158)&amp;"":"" &amp; TRIM(B4158),""high52""),AE4158)"),0)</f>
        <v>0</v>
      </c>
      <c r="AG4158" s="1">
        <v>0</v>
      </c>
      <c r="AH4158" s="1">
        <f ca="1">IFERROR(__xludf.DUMMYFUNCTION("IFERROR(GOOGLEFINANCE(TRIM(F4158)&amp;"":"" &amp; TRIM(B4158),""low52""),AE4158)"),0)</f>
        <v>0</v>
      </c>
      <c r="AI4158" s="1">
        <f ca="1">IFERROR(__xludf.DUMMYFUNCTION("IFERROR(GOOGLEFINANCE(B4158,""eps""),0)"),0)</f>
        <v>0</v>
      </c>
      <c r="AJ4158" s="1"/>
      <c r="AK4158" s="1" t="s">
        <v>12629</v>
      </c>
      <c r="AL4158" s="9">
        <f t="shared" si="384"/>
        <v>1</v>
      </c>
    </row>
    <row r="4159" spans="1:38" ht="15" x14ac:dyDescent="0.25">
      <c r="A4159" s="1" t="s">
        <v>12630</v>
      </c>
      <c r="B4159" s="1" t="s">
        <v>12631</v>
      </c>
      <c r="C4159" s="1" t="s">
        <v>1229</v>
      </c>
      <c r="D4159" s="1" t="s">
        <v>1229</v>
      </c>
      <c r="E4159" s="6">
        <v>51.37</v>
      </c>
      <c r="F4159" s="1" t="s">
        <v>40</v>
      </c>
      <c r="G4159" s="6">
        <f ca="1">IFERROR(__xludf.DUMMYFUNCTION("iferror(GOOGLEFINANCE(TRIM(F4159)&amp;"":"" &amp; TRIM(B4159), ""price""),0
)"),0)</f>
        <v>0</v>
      </c>
      <c r="H4159" s="6">
        <v>39.799999999999997</v>
      </c>
      <c r="I4159" s="6">
        <f t="shared" ca="1" si="0"/>
        <v>39.799999999999997</v>
      </c>
      <c r="J4159" s="6">
        <f ca="1">IFERROR(__xludf.DUMMYFUNCTION("IFERROR(GOOGLEFINANCE(B4159, ""volume""), 0)"),0)</f>
        <v>0</v>
      </c>
      <c r="K4159" s="9"/>
      <c r="L4159" s="6" t="str">
        <f ca="1">IFERROR(__xludf.DUMMYFUNCTION("IFERROR(GOOGLEFINANCE(B4159,""changepct""),K4159)"),"")</f>
        <v/>
      </c>
      <c r="M4159" s="6">
        <f ca="1">IFERROR(__xludf.DUMMYFUNCTION("IFERROR(GOOGLEFINANCE(B4159,""change""),0)"),0)</f>
        <v>0</v>
      </c>
      <c r="N4159" s="6">
        <v>1</v>
      </c>
      <c r="O4159" s="7">
        <v>45536</v>
      </c>
      <c r="P4159" s="6">
        <v>70.97</v>
      </c>
      <c r="Q4159" s="6">
        <v>122.34</v>
      </c>
      <c r="R4159" s="7">
        <v>45352</v>
      </c>
      <c r="S4159" s="6">
        <v>10.75</v>
      </c>
      <c r="T4159" s="6">
        <v>-13.43</v>
      </c>
      <c r="U4159" s="7">
        <v>45352</v>
      </c>
      <c r="V4159" s="6">
        <v>0</v>
      </c>
      <c r="W4159" s="6">
        <f ca="1">IFERROR(__xludf.DUMMYFUNCTION("IFERROR(GOOGLEFINANCE(B4159,""pe""),V4159)"),0)</f>
        <v>0</v>
      </c>
      <c r="X4159" s="12"/>
      <c r="Y4159" s="6">
        <v>1.0900000000000001</v>
      </c>
      <c r="Z4159" s="6">
        <v>2</v>
      </c>
      <c r="AA4159" s="8">
        <v>45352</v>
      </c>
      <c r="AB4159" s="4">
        <v>8.35</v>
      </c>
      <c r="AC4159" s="6">
        <v>-120.14</v>
      </c>
      <c r="AD4159" s="6">
        <v>-24.28</v>
      </c>
      <c r="AE4159" s="1">
        <v>0</v>
      </c>
      <c r="AF4159" s="1">
        <f ca="1">IFERROR(__xludf.DUMMYFUNCTION("IFERROR(GOOGLEFINANCE(TRIM(F4159)&amp;"":"" &amp; TRIM(B4159),""high52""),AE4159)"),0)</f>
        <v>0</v>
      </c>
      <c r="AG4159" s="1">
        <v>0</v>
      </c>
      <c r="AH4159" s="1">
        <f ca="1">IFERROR(__xludf.DUMMYFUNCTION("IFERROR(GOOGLEFINANCE(TRIM(F4159)&amp;"":"" &amp; TRIM(B4159),""low52""),AE4159)"),0)</f>
        <v>0</v>
      </c>
      <c r="AI4159" s="1">
        <f ca="1">IFERROR(__xludf.DUMMYFUNCTION("IFERROR(GOOGLEFINANCE(B4159,""eps""),0)"),0)</f>
        <v>0</v>
      </c>
      <c r="AJ4159" s="1"/>
      <c r="AK4159" s="9"/>
      <c r="AL4159" s="9">
        <f t="shared" si="384"/>
        <v>1</v>
      </c>
    </row>
    <row r="4160" spans="1:38" ht="15" x14ac:dyDescent="0.25">
      <c r="A4160" s="1" t="s">
        <v>12632</v>
      </c>
      <c r="B4160" s="1" t="s">
        <v>12633</v>
      </c>
      <c r="C4160" s="1" t="s">
        <v>154</v>
      </c>
      <c r="D4160" s="1" t="s">
        <v>154</v>
      </c>
      <c r="E4160" s="6">
        <v>23.91</v>
      </c>
      <c r="F4160" s="1" t="s">
        <v>53</v>
      </c>
      <c r="G4160" s="6">
        <f ca="1">IFERROR(__xludf.DUMMYFUNCTION("iferror(GOOGLEFINANCE(TRIM(F4160)&amp;"":"" &amp; TRIM(B4160), ""price""),0
)"),0)</f>
        <v>0</v>
      </c>
      <c r="H4160" s="6">
        <v>1.84</v>
      </c>
      <c r="I4160" s="6">
        <f t="shared" ca="1" si="0"/>
        <v>1.84</v>
      </c>
      <c r="J4160" s="6">
        <f ca="1">IFERROR(__xludf.DUMMYFUNCTION("IFERROR(GOOGLEFINANCE(B4160, ""volume""), 0)"),0)</f>
        <v>0</v>
      </c>
      <c r="K4160" s="6">
        <v>0.55000000000000004</v>
      </c>
      <c r="L4160" s="6">
        <f ca="1">IFERROR(__xludf.DUMMYFUNCTION("IFERROR(GOOGLEFINANCE(B4160,""changepct""),K4160)"),0.55)</f>
        <v>0.55000000000000004</v>
      </c>
      <c r="M4160" s="6">
        <f ca="1">IFERROR(__xludf.DUMMYFUNCTION("IFERROR(GOOGLEFINANCE(B4160,""change""),0)"),0)</f>
        <v>0</v>
      </c>
      <c r="N4160" s="6">
        <v>1</v>
      </c>
      <c r="O4160" s="7">
        <v>45536</v>
      </c>
      <c r="P4160" s="6">
        <v>16.47</v>
      </c>
      <c r="Q4160" s="6">
        <v>40.31</v>
      </c>
      <c r="R4160" s="7">
        <v>45536</v>
      </c>
      <c r="S4160" s="6">
        <v>76.7</v>
      </c>
      <c r="T4160" s="6">
        <v>0.47</v>
      </c>
      <c r="U4160" s="7">
        <v>45536</v>
      </c>
      <c r="V4160" s="6">
        <v>50.65</v>
      </c>
      <c r="W4160" s="6">
        <f ca="1">IFERROR(__xludf.DUMMYFUNCTION("IFERROR(GOOGLEFINANCE(B4160,""pe""),V4160)"),50.65)</f>
        <v>50.65</v>
      </c>
      <c r="X4160" s="6">
        <v>3.33</v>
      </c>
      <c r="Y4160" s="6">
        <v>1.77</v>
      </c>
      <c r="Z4160" s="6">
        <v>1</v>
      </c>
      <c r="AA4160" s="8">
        <v>45352</v>
      </c>
      <c r="AB4160" s="4">
        <v>0.96</v>
      </c>
      <c r="AC4160" s="6">
        <v>2.46</v>
      </c>
      <c r="AD4160" s="6">
        <v>7.72</v>
      </c>
      <c r="AE4160" s="1">
        <v>0</v>
      </c>
      <c r="AF4160" s="1">
        <f ca="1">IFERROR(__xludf.DUMMYFUNCTION("IFERROR(GOOGLEFINANCE(TRIM(F4160)&amp;"":"" &amp; TRIM(B4160),""high52""),AE4160)"),0)</f>
        <v>0</v>
      </c>
      <c r="AG4160" s="1">
        <v>0</v>
      </c>
      <c r="AH4160" s="1">
        <f ca="1">IFERROR(__xludf.DUMMYFUNCTION("IFERROR(GOOGLEFINANCE(TRIM(F4160)&amp;"":"" &amp; TRIM(B4160),""low52""),AE4160)"),0)</f>
        <v>0</v>
      </c>
      <c r="AI4160" s="1">
        <f ca="1">IFERROR(__xludf.DUMMYFUNCTION("IFERROR(GOOGLEFINANCE(B4160,""eps""),0)"),0)</f>
        <v>0</v>
      </c>
      <c r="AJ4160" s="1"/>
      <c r="AK4160" s="1" t="s">
        <v>12634</v>
      </c>
      <c r="AL4160" s="9">
        <f t="shared" si="384"/>
        <v>1</v>
      </c>
    </row>
    <row r="4161" spans="1:38" ht="15" x14ac:dyDescent="0.25">
      <c r="A4161" s="1" t="s">
        <v>12635</v>
      </c>
      <c r="B4161" s="1" t="s">
        <v>12636</v>
      </c>
      <c r="C4161" s="1" t="s">
        <v>154</v>
      </c>
      <c r="D4161" s="1" t="s">
        <v>154</v>
      </c>
      <c r="E4161" s="6">
        <v>722.89</v>
      </c>
      <c r="F4161" s="1" t="s">
        <v>53</v>
      </c>
      <c r="G4161" s="6">
        <f ca="1">IFERROR(__xludf.DUMMYFUNCTION("iferror(GOOGLEFINANCE(TRIM(F4161)&amp;"":"" &amp; TRIM(B4161), ""price""),0
)"),0)</f>
        <v>0</v>
      </c>
      <c r="H4161" s="6">
        <v>180</v>
      </c>
      <c r="I4161" s="6">
        <f t="shared" ca="1" si="0"/>
        <v>180</v>
      </c>
      <c r="J4161" s="6">
        <f ca="1">IFERROR(__xludf.DUMMYFUNCTION("IFERROR(GOOGLEFINANCE(B4161, ""volume""), 0)"),0)</f>
        <v>0</v>
      </c>
      <c r="K4161" s="6">
        <v>0.17</v>
      </c>
      <c r="L4161" s="6">
        <f ca="1">IFERROR(__xludf.DUMMYFUNCTION("IFERROR(GOOGLEFINANCE(B4161,""changepct""),K4161)"),0.17)</f>
        <v>0.17</v>
      </c>
      <c r="M4161" s="6">
        <f ca="1">IFERROR(__xludf.DUMMYFUNCTION("IFERROR(GOOGLEFINANCE(B4161,""change""),0)"),0)</f>
        <v>0</v>
      </c>
      <c r="N4161" s="6">
        <v>1</v>
      </c>
      <c r="O4161" s="7">
        <v>45536</v>
      </c>
      <c r="P4161" s="6">
        <v>20.51</v>
      </c>
      <c r="Q4161" s="6">
        <v>740.87</v>
      </c>
      <c r="R4161" s="7">
        <v>45536</v>
      </c>
      <c r="S4161" s="6">
        <v>247.11</v>
      </c>
      <c r="T4161" s="6">
        <v>23.14</v>
      </c>
      <c r="U4161" s="7">
        <v>45536</v>
      </c>
      <c r="V4161" s="6">
        <v>31.24</v>
      </c>
      <c r="W4161" s="6">
        <f ca="1">IFERROR(__xludf.DUMMYFUNCTION("IFERROR(GOOGLEFINANCE(B4161,""pe""),V4161)"),31.24)</f>
        <v>31.24</v>
      </c>
      <c r="X4161" s="6">
        <v>2.5299999999999998</v>
      </c>
      <c r="Y4161" s="6">
        <v>2.61</v>
      </c>
      <c r="Z4161" s="6">
        <v>1</v>
      </c>
      <c r="AA4161" s="8">
        <v>45352</v>
      </c>
      <c r="AB4161" s="4">
        <v>0.01</v>
      </c>
      <c r="AC4161" s="6">
        <v>7.2</v>
      </c>
      <c r="AD4161" s="6">
        <v>9.4600000000000009</v>
      </c>
      <c r="AE4161" s="1">
        <v>0</v>
      </c>
      <c r="AF4161" s="1">
        <f ca="1">IFERROR(__xludf.DUMMYFUNCTION("IFERROR(GOOGLEFINANCE(TRIM(F4161)&amp;"":"" &amp; TRIM(B4161),""high52""),AE4161)"),0)</f>
        <v>0</v>
      </c>
      <c r="AG4161" s="1">
        <v>0</v>
      </c>
      <c r="AH4161" s="1">
        <f ca="1">IFERROR(__xludf.DUMMYFUNCTION("IFERROR(GOOGLEFINANCE(TRIM(F4161)&amp;"":"" &amp; TRIM(B4161),""low52""),AE4161)"),0)</f>
        <v>0</v>
      </c>
      <c r="AI4161" s="1">
        <f ca="1">IFERROR(__xludf.DUMMYFUNCTION("IFERROR(GOOGLEFINANCE(B4161,""eps""),0)"),0)</f>
        <v>0</v>
      </c>
      <c r="AJ4161" s="1"/>
      <c r="AK4161" s="1" t="s">
        <v>12637</v>
      </c>
      <c r="AL4161" s="9">
        <f t="shared" si="384"/>
        <v>1</v>
      </c>
    </row>
    <row r="4162" spans="1:38" ht="15" x14ac:dyDescent="0.25">
      <c r="A4162" s="1" t="s">
        <v>12638</v>
      </c>
      <c r="B4162" s="1" t="s">
        <v>12639</v>
      </c>
      <c r="C4162" s="1" t="s">
        <v>227</v>
      </c>
      <c r="D4162" s="1" t="s">
        <v>227</v>
      </c>
      <c r="E4162" s="6">
        <v>1407.4</v>
      </c>
      <c r="F4162" s="1" t="s">
        <v>53</v>
      </c>
      <c r="G4162" s="6">
        <f ca="1">IFERROR(__xludf.DUMMYFUNCTION("iferror(GOOGLEFINANCE(TRIM(F4162)&amp;"":"" &amp; TRIM(B4162), ""price""),0
)"),0)</f>
        <v>0</v>
      </c>
      <c r="H4162" s="6">
        <v>329</v>
      </c>
      <c r="I4162" s="6">
        <f t="shared" ca="1" si="0"/>
        <v>329</v>
      </c>
      <c r="J4162" s="6">
        <f ca="1">IFERROR(__xludf.DUMMYFUNCTION("IFERROR(GOOGLEFINANCE(B4162, ""volume""), 0)"),0)</f>
        <v>0</v>
      </c>
      <c r="K4162" s="6">
        <v>1.17</v>
      </c>
      <c r="L4162" s="6">
        <f ca="1">IFERROR(__xludf.DUMMYFUNCTION("IFERROR(GOOGLEFINANCE(B4162,""changepct""),K4162)"),1.17)</f>
        <v>1.17</v>
      </c>
      <c r="M4162" s="6">
        <f ca="1">IFERROR(__xludf.DUMMYFUNCTION("IFERROR(GOOGLEFINANCE(B4162,""change""),0)"),0)</f>
        <v>0</v>
      </c>
      <c r="N4162" s="6">
        <v>2</v>
      </c>
      <c r="O4162" s="7">
        <v>45536</v>
      </c>
      <c r="P4162" s="6">
        <v>108.73</v>
      </c>
      <c r="Q4162" s="6">
        <v>1500.92</v>
      </c>
      <c r="R4162" s="7">
        <v>44256</v>
      </c>
      <c r="S4162" s="6">
        <v>244.91</v>
      </c>
      <c r="T4162" s="6">
        <v>-1.39</v>
      </c>
      <c r="U4162" s="7">
        <v>44256</v>
      </c>
      <c r="V4162" s="6">
        <v>0</v>
      </c>
      <c r="W4162" s="6">
        <f ca="1">IFERROR(__xludf.DUMMYFUNCTION("IFERROR(GOOGLEFINANCE(B4162,""pe""),V4162)"),0)</f>
        <v>0</v>
      </c>
      <c r="X4162" s="6">
        <v>0</v>
      </c>
      <c r="Y4162" s="9"/>
      <c r="Z4162" s="6">
        <v>1</v>
      </c>
      <c r="AA4162" s="8">
        <v>45352</v>
      </c>
      <c r="AB4162" s="4">
        <v>1.22</v>
      </c>
      <c r="AC4162" s="6">
        <v>0.41</v>
      </c>
      <c r="AD4162" s="6">
        <v>7.37</v>
      </c>
      <c r="AE4162" s="1">
        <v>0</v>
      </c>
      <c r="AF4162" s="1">
        <f ca="1">IFERROR(__xludf.DUMMYFUNCTION("IFERROR(GOOGLEFINANCE(TRIM(F4162)&amp;"":"" &amp; TRIM(B4162),""high52""),AE4162)"),0)</f>
        <v>0</v>
      </c>
      <c r="AG4162" s="1">
        <v>0</v>
      </c>
      <c r="AH4162" s="1">
        <f ca="1">IFERROR(__xludf.DUMMYFUNCTION("IFERROR(GOOGLEFINANCE(TRIM(F4162)&amp;"":"" &amp; TRIM(B4162),""low52""),AE4162)"),0)</f>
        <v>0</v>
      </c>
      <c r="AI4162" s="1">
        <f ca="1">IFERROR(__xludf.DUMMYFUNCTION("IFERROR(GOOGLEFINANCE(B4162,""eps""),0)"),0)</f>
        <v>0</v>
      </c>
      <c r="AJ4162" s="1"/>
      <c r="AK4162" s="1" t="s">
        <v>12640</v>
      </c>
      <c r="AL4162" s="9">
        <f t="shared" si="384"/>
        <v>1</v>
      </c>
    </row>
    <row r="4163" spans="1:38" ht="15" x14ac:dyDescent="0.25">
      <c r="A4163" s="1" t="s">
        <v>12641</v>
      </c>
      <c r="B4163" s="1" t="s">
        <v>12642</v>
      </c>
      <c r="C4163" s="1" t="s">
        <v>227</v>
      </c>
      <c r="D4163" s="1" t="s">
        <v>227</v>
      </c>
      <c r="E4163" s="6">
        <v>28.04</v>
      </c>
      <c r="F4163" s="1" t="s">
        <v>53</v>
      </c>
      <c r="G4163" s="6">
        <f ca="1">IFERROR(__xludf.DUMMYFUNCTION("iferror(GOOGLEFINANCE(TRIM(F4163)&amp;"":"" &amp; TRIM(B4163), ""price""),0
)"),0)</f>
        <v>0</v>
      </c>
      <c r="H4163" s="6">
        <v>27.97</v>
      </c>
      <c r="I4163" s="6">
        <f t="shared" ca="1" si="0"/>
        <v>27.97</v>
      </c>
      <c r="J4163" s="6">
        <f ca="1">IFERROR(__xludf.DUMMYFUNCTION("IFERROR(GOOGLEFINANCE(B4163, ""volume""), 0)"),0)</f>
        <v>0</v>
      </c>
      <c r="K4163" s="6">
        <v>0.14000000000000001</v>
      </c>
      <c r="L4163" s="6">
        <f ca="1">IFERROR(__xludf.DUMMYFUNCTION("IFERROR(GOOGLEFINANCE(B4163,""changepct""),K4163)"),0.14)</f>
        <v>0.14000000000000001</v>
      </c>
      <c r="M4163" s="6">
        <f ca="1">IFERROR(__xludf.DUMMYFUNCTION("IFERROR(GOOGLEFINANCE(B4163,""change""),0)"),0)</f>
        <v>0</v>
      </c>
      <c r="N4163" s="6">
        <v>1</v>
      </c>
      <c r="O4163" s="7">
        <v>45536</v>
      </c>
      <c r="P4163" s="6">
        <v>2.3199999999999998</v>
      </c>
      <c r="Q4163" s="6">
        <v>30.37</v>
      </c>
      <c r="R4163" s="7">
        <v>45261</v>
      </c>
      <c r="S4163" s="6">
        <v>143.52000000000001</v>
      </c>
      <c r="T4163" s="6">
        <v>0.41</v>
      </c>
      <c r="U4163" s="7">
        <v>45261</v>
      </c>
      <c r="V4163" s="6">
        <v>68.23</v>
      </c>
      <c r="W4163" s="6">
        <f ca="1">IFERROR(__xludf.DUMMYFUNCTION("IFERROR(GOOGLEFINANCE(B4163,""pe""),V4163)"),68.23)</f>
        <v>68.23</v>
      </c>
      <c r="X4163" s="6">
        <v>2.42</v>
      </c>
      <c r="Y4163" s="6">
        <v>1.83</v>
      </c>
      <c r="Z4163" s="6">
        <v>1</v>
      </c>
      <c r="AA4163" s="8">
        <v>44986</v>
      </c>
      <c r="AB4163" s="4">
        <v>0.12</v>
      </c>
      <c r="AC4163" s="6">
        <v>2.09</v>
      </c>
      <c r="AD4163" s="6">
        <v>3.22</v>
      </c>
      <c r="AE4163" s="1">
        <v>0</v>
      </c>
      <c r="AF4163" s="1">
        <f ca="1">IFERROR(__xludf.DUMMYFUNCTION("IFERROR(GOOGLEFINANCE(TRIM(F4163)&amp;"":"" &amp; TRIM(B4163),""high52""),AE4163)"),0)</f>
        <v>0</v>
      </c>
      <c r="AG4163" s="1">
        <v>0</v>
      </c>
      <c r="AH4163" s="1">
        <f ca="1">IFERROR(__xludf.DUMMYFUNCTION("IFERROR(GOOGLEFINANCE(TRIM(F4163)&amp;"":"" &amp; TRIM(B4163),""low52""),AE4163)"),0)</f>
        <v>0</v>
      </c>
      <c r="AI4163" s="1">
        <f ca="1">IFERROR(__xludf.DUMMYFUNCTION("IFERROR(GOOGLEFINANCE(B4163,""eps""),0)"),0)</f>
        <v>0</v>
      </c>
      <c r="AJ4163" s="1"/>
      <c r="AK4163" s="1" t="s">
        <v>12643</v>
      </c>
      <c r="AL4163" s="9">
        <f t="shared" si="384"/>
        <v>1</v>
      </c>
    </row>
    <row r="4164" spans="1:38" ht="15" x14ac:dyDescent="0.25">
      <c r="A4164" s="1" t="s">
        <v>12644</v>
      </c>
      <c r="B4164" s="1" t="s">
        <v>12645</v>
      </c>
      <c r="C4164" s="1" t="s">
        <v>227</v>
      </c>
      <c r="D4164" s="1" t="s">
        <v>227</v>
      </c>
      <c r="E4164" s="6">
        <v>1082.57</v>
      </c>
      <c r="F4164" s="1" t="s">
        <v>53</v>
      </c>
      <c r="G4164" s="6">
        <f ca="1">IFERROR(__xludf.DUMMYFUNCTION("iferror(GOOGLEFINANCE(TRIM(F4164)&amp;"":"" &amp; TRIM(B4164), ""price""),0
)"),0)</f>
        <v>0</v>
      </c>
      <c r="H4164" s="6">
        <v>707</v>
      </c>
      <c r="I4164" s="6">
        <f t="shared" ca="1" si="0"/>
        <v>707</v>
      </c>
      <c r="J4164" s="6">
        <f ca="1">IFERROR(__xludf.DUMMYFUNCTION("IFERROR(GOOGLEFINANCE(B4164, ""volume""), 0)"),0)</f>
        <v>0</v>
      </c>
      <c r="K4164" s="9"/>
      <c r="L4164" s="6" t="str">
        <f ca="1">IFERROR(__xludf.DUMMYFUNCTION("IFERROR(GOOGLEFINANCE(B4164,""changepct""),K4164)"),"")</f>
        <v/>
      </c>
      <c r="M4164" s="6">
        <f ca="1">IFERROR(__xludf.DUMMYFUNCTION("IFERROR(GOOGLEFINANCE(B4164,""change""),0)"),0)</f>
        <v>0</v>
      </c>
      <c r="N4164" s="6">
        <v>1</v>
      </c>
      <c r="O4164" s="7">
        <v>45536</v>
      </c>
      <c r="P4164" s="9"/>
      <c r="Q4164" s="6">
        <v>1082.57</v>
      </c>
      <c r="R4164" s="7">
        <v>45352</v>
      </c>
      <c r="S4164" s="6">
        <v>7.33</v>
      </c>
      <c r="T4164" s="6">
        <v>0.26</v>
      </c>
      <c r="U4164" s="7">
        <v>45352</v>
      </c>
      <c r="V4164" s="6">
        <v>0</v>
      </c>
      <c r="W4164" s="6">
        <f ca="1">IFERROR(__xludf.DUMMYFUNCTION("IFERROR(GOOGLEFINANCE(B4164,""pe""),V4164)"),0)</f>
        <v>0</v>
      </c>
      <c r="X4164" s="6">
        <v>0</v>
      </c>
      <c r="Y4164" s="6">
        <v>22.27</v>
      </c>
      <c r="Z4164" s="6">
        <v>1</v>
      </c>
      <c r="AA4164" s="8">
        <v>45352</v>
      </c>
      <c r="AB4164" s="4">
        <v>0</v>
      </c>
      <c r="AC4164" s="6">
        <v>1.79</v>
      </c>
      <c r="AD4164" s="6">
        <v>1.34</v>
      </c>
      <c r="AE4164" s="1">
        <v>0</v>
      </c>
      <c r="AF4164" s="1">
        <f ca="1">IFERROR(__xludf.DUMMYFUNCTION("IFERROR(GOOGLEFINANCE(TRIM(F4164)&amp;"":"" &amp; TRIM(B4164),""high52""),AE4164)"),0)</f>
        <v>0</v>
      </c>
      <c r="AG4164" s="1">
        <v>0</v>
      </c>
      <c r="AH4164" s="1">
        <f ca="1">IFERROR(__xludf.DUMMYFUNCTION("IFERROR(GOOGLEFINANCE(TRIM(F4164)&amp;"":"" &amp; TRIM(B4164),""low52""),AE4164)"),0)</f>
        <v>0</v>
      </c>
      <c r="AI4164" s="1">
        <f ca="1">IFERROR(__xludf.DUMMYFUNCTION("IFERROR(GOOGLEFINANCE(B4164,""eps""),0)"),0)</f>
        <v>0</v>
      </c>
      <c r="AJ4164" s="1"/>
      <c r="AK4164" s="9"/>
      <c r="AL4164" s="9">
        <f t="shared" si="384"/>
        <v>1</v>
      </c>
    </row>
    <row r="4165" spans="1:38" ht="15" x14ac:dyDescent="0.25">
      <c r="A4165" s="1" t="s">
        <v>12646</v>
      </c>
      <c r="B4165" s="1" t="s">
        <v>12647</v>
      </c>
      <c r="C4165" s="1" t="s">
        <v>227</v>
      </c>
      <c r="D4165" s="1" t="s">
        <v>227</v>
      </c>
      <c r="E4165" s="6">
        <v>102.47</v>
      </c>
      <c r="F4165" s="1" t="s">
        <v>53</v>
      </c>
      <c r="G4165" s="6">
        <f ca="1">IFERROR(__xludf.DUMMYFUNCTION("iferror(GOOGLEFINANCE(TRIM(F4165)&amp;"":"" &amp; TRIM(B4165), ""price""),0
)"),0)</f>
        <v>0</v>
      </c>
      <c r="H4165" s="6">
        <v>4.5599999999999996</v>
      </c>
      <c r="I4165" s="6">
        <f t="shared" ca="1" si="0"/>
        <v>4.5599999999999996</v>
      </c>
      <c r="J4165" s="6">
        <f ca="1">IFERROR(__xludf.DUMMYFUNCTION("IFERROR(GOOGLEFINANCE(B4165, ""volume""), 0)"),0)</f>
        <v>0</v>
      </c>
      <c r="K4165" s="6">
        <v>4.83</v>
      </c>
      <c r="L4165" s="6">
        <f ca="1">IFERROR(__xludf.DUMMYFUNCTION("IFERROR(GOOGLEFINANCE(B4165,""changepct""),K4165)"),4.83)</f>
        <v>4.83</v>
      </c>
      <c r="M4165" s="6">
        <f ca="1">IFERROR(__xludf.DUMMYFUNCTION("IFERROR(GOOGLEFINANCE(B4165,""change""),0)"),0)</f>
        <v>0</v>
      </c>
      <c r="N4165" s="6">
        <v>1</v>
      </c>
      <c r="O4165" s="7">
        <v>45536</v>
      </c>
      <c r="P4165" s="9"/>
      <c r="Q4165" s="6">
        <v>102.47</v>
      </c>
      <c r="R4165" s="7">
        <v>45352</v>
      </c>
      <c r="S4165" s="6">
        <v>6.14</v>
      </c>
      <c r="T4165" s="6">
        <v>0.56999999999999995</v>
      </c>
      <c r="U4165" s="7">
        <v>45352</v>
      </c>
      <c r="V4165" s="6">
        <v>178.51</v>
      </c>
      <c r="W4165" s="6">
        <f ca="1">IFERROR(__xludf.DUMMYFUNCTION("IFERROR(GOOGLEFINANCE(B4165,""pe""),V4165)"),178.51)</f>
        <v>178.51</v>
      </c>
      <c r="X4165" s="9"/>
      <c r="Y4165" s="6">
        <v>2.73</v>
      </c>
      <c r="Z4165" s="6">
        <v>1</v>
      </c>
      <c r="AA4165" s="8">
        <v>45352</v>
      </c>
      <c r="AB4165" s="4">
        <v>0</v>
      </c>
      <c r="AC4165" s="6">
        <v>2.5299999999999998</v>
      </c>
      <c r="AD4165" s="6">
        <v>3.29</v>
      </c>
      <c r="AE4165" s="1">
        <v>0</v>
      </c>
      <c r="AF4165" s="1">
        <f ca="1">IFERROR(__xludf.DUMMYFUNCTION("IFERROR(GOOGLEFINANCE(TRIM(F4165)&amp;"":"" &amp; TRIM(B4165),""high52""),AE4165)"),0)</f>
        <v>0</v>
      </c>
      <c r="AG4165" s="1">
        <v>0</v>
      </c>
      <c r="AH4165" s="1">
        <f ca="1">IFERROR(__xludf.DUMMYFUNCTION("IFERROR(GOOGLEFINANCE(TRIM(F4165)&amp;"":"" &amp; TRIM(B4165),""low52""),AE4165)"),0)</f>
        <v>0</v>
      </c>
      <c r="AI4165" s="1">
        <f ca="1">IFERROR(__xludf.DUMMYFUNCTION("IFERROR(GOOGLEFINANCE(B4165,""eps""),0)"),0)</f>
        <v>0</v>
      </c>
      <c r="AJ4165" s="1"/>
      <c r="AK4165" s="1" t="s">
        <v>12648</v>
      </c>
      <c r="AL4165" s="9">
        <f t="shared" si="384"/>
        <v>1</v>
      </c>
    </row>
    <row r="4166" spans="1:38" ht="15" x14ac:dyDescent="0.25">
      <c r="A4166" s="1" t="s">
        <v>12649</v>
      </c>
      <c r="B4166" s="1" t="s">
        <v>12650</v>
      </c>
      <c r="C4166" s="1" t="s">
        <v>227</v>
      </c>
      <c r="D4166" s="1" t="s">
        <v>227</v>
      </c>
      <c r="E4166" s="6">
        <v>582.34</v>
      </c>
      <c r="F4166" s="1" t="s">
        <v>53</v>
      </c>
      <c r="G4166" s="6">
        <f ca="1">IFERROR(__xludf.DUMMYFUNCTION("iferror(GOOGLEFINANCE(TRIM(F4166)&amp;"":"" &amp; TRIM(B4166), ""price""),0
)"),0)</f>
        <v>0</v>
      </c>
      <c r="H4166" s="6">
        <v>289.39999999999998</v>
      </c>
      <c r="I4166" s="6">
        <f t="shared" ca="1" si="0"/>
        <v>289.39999999999998</v>
      </c>
      <c r="J4166" s="6">
        <f ca="1">IFERROR(__xludf.DUMMYFUNCTION("IFERROR(GOOGLEFINANCE(B4166, ""volume""), 0)"),0)</f>
        <v>0</v>
      </c>
      <c r="K4166" s="6">
        <v>1.22</v>
      </c>
      <c r="L4166" s="6">
        <f ca="1">IFERROR(__xludf.DUMMYFUNCTION("IFERROR(GOOGLEFINANCE(B4166,""changepct""),K4166)"),1.22)</f>
        <v>1.22</v>
      </c>
      <c r="M4166" s="6">
        <f ca="1">IFERROR(__xludf.DUMMYFUNCTION("IFERROR(GOOGLEFINANCE(B4166,""change""),0)"),0)</f>
        <v>0</v>
      </c>
      <c r="N4166" s="6">
        <v>1</v>
      </c>
      <c r="O4166" s="7">
        <v>45536</v>
      </c>
      <c r="P4166" s="6">
        <v>24.25</v>
      </c>
      <c r="Q4166" s="6">
        <v>606.59</v>
      </c>
      <c r="R4166" s="7">
        <v>45352</v>
      </c>
      <c r="S4166" s="6">
        <v>119.89</v>
      </c>
      <c r="T4166" s="6">
        <v>6.03</v>
      </c>
      <c r="U4166" s="7">
        <v>45352</v>
      </c>
      <c r="V4166" s="6">
        <v>85.91</v>
      </c>
      <c r="W4166" s="6">
        <f ca="1">IFERROR(__xludf.DUMMYFUNCTION("IFERROR(GOOGLEFINANCE(B4166,""pe""),V4166)"),85.91)</f>
        <v>85.91</v>
      </c>
      <c r="X4166" s="9"/>
      <c r="Y4166" s="6">
        <v>7.84</v>
      </c>
      <c r="Z4166" s="6">
        <v>2</v>
      </c>
      <c r="AA4166" s="8">
        <v>45352</v>
      </c>
      <c r="AB4166" s="4">
        <v>0.89</v>
      </c>
      <c r="AC4166" s="6">
        <v>30.75</v>
      </c>
      <c r="AD4166" s="6">
        <v>24.84</v>
      </c>
      <c r="AE4166" s="1">
        <v>0</v>
      </c>
      <c r="AF4166" s="1">
        <f ca="1">IFERROR(__xludf.DUMMYFUNCTION("IFERROR(GOOGLEFINANCE(TRIM(F4166)&amp;"":"" &amp; TRIM(B4166),""high52""),AE4166)"),0)</f>
        <v>0</v>
      </c>
      <c r="AG4166" s="1">
        <v>0</v>
      </c>
      <c r="AH4166" s="1">
        <f ca="1">IFERROR(__xludf.DUMMYFUNCTION("IFERROR(GOOGLEFINANCE(TRIM(F4166)&amp;"":"" &amp; TRIM(B4166),""low52""),AE4166)"),0)</f>
        <v>0</v>
      </c>
      <c r="AI4166" s="1">
        <f ca="1">IFERROR(__xludf.DUMMYFUNCTION("IFERROR(GOOGLEFINANCE(B4166,""eps""),0)"),0)</f>
        <v>0</v>
      </c>
      <c r="AJ4166" s="1"/>
      <c r="AK4166" s="1" t="s">
        <v>12651</v>
      </c>
      <c r="AL4166" s="9">
        <f t="shared" si="384"/>
        <v>1</v>
      </c>
    </row>
    <row r="4167" spans="1:38" ht="15" x14ac:dyDescent="0.25">
      <c r="A4167" s="1" t="s">
        <v>12652</v>
      </c>
      <c r="B4167" s="1" t="s">
        <v>12653</v>
      </c>
      <c r="C4167" s="1" t="s">
        <v>227</v>
      </c>
      <c r="D4167" s="1" t="s">
        <v>227</v>
      </c>
      <c r="E4167" s="6">
        <v>749</v>
      </c>
      <c r="F4167" s="1" t="s">
        <v>53</v>
      </c>
      <c r="G4167" s="6">
        <f ca="1">IFERROR(__xludf.DUMMYFUNCTION("iferror(GOOGLEFINANCE(TRIM(F4167)&amp;"":"" &amp; TRIM(B4167), ""price""),0
)"),0)</f>
        <v>0</v>
      </c>
      <c r="H4167" s="6">
        <v>49.2</v>
      </c>
      <c r="I4167" s="6">
        <f t="shared" ca="1" si="0"/>
        <v>49.2</v>
      </c>
      <c r="J4167" s="6">
        <f ca="1">IFERROR(__xludf.DUMMYFUNCTION("IFERROR(GOOGLEFINANCE(B4167, ""volume""), 0)"),0)</f>
        <v>0</v>
      </c>
      <c r="K4167" s="6">
        <v>-1.8</v>
      </c>
      <c r="L4167" s="6">
        <f ca="1">IFERROR(__xludf.DUMMYFUNCTION("IFERROR(GOOGLEFINANCE(B4167,""changepct""),K4167)"),-1.8)</f>
        <v>-1.8</v>
      </c>
      <c r="M4167" s="6">
        <f ca="1">IFERROR(__xludf.DUMMYFUNCTION("IFERROR(GOOGLEFINANCE(B4167,""change""),0)"),0)</f>
        <v>0</v>
      </c>
      <c r="N4167" s="6">
        <v>2</v>
      </c>
      <c r="O4167" s="7">
        <v>45536</v>
      </c>
      <c r="P4167" s="9"/>
      <c r="Q4167" s="6">
        <v>749</v>
      </c>
      <c r="R4167" s="7">
        <v>45352</v>
      </c>
      <c r="S4167" s="6">
        <v>0</v>
      </c>
      <c r="T4167" s="6">
        <v>-1.84</v>
      </c>
      <c r="U4167" s="7">
        <v>45352</v>
      </c>
      <c r="V4167" s="6">
        <v>0</v>
      </c>
      <c r="W4167" s="6">
        <f ca="1">IFERROR(__xludf.DUMMYFUNCTION("IFERROR(GOOGLEFINANCE(B4167,""pe""),V4167)"),0)</f>
        <v>0</v>
      </c>
      <c r="X4167" s="9"/>
      <c r="Y4167" s="6">
        <v>21.63</v>
      </c>
      <c r="Z4167" s="6">
        <v>2</v>
      </c>
      <c r="AA4167" s="8">
        <v>45352</v>
      </c>
      <c r="AB4167" s="4">
        <v>0</v>
      </c>
      <c r="AC4167" s="6">
        <v>-22.61</v>
      </c>
      <c r="AD4167" s="6">
        <v>-19.940000000000001</v>
      </c>
      <c r="AE4167" s="1">
        <v>0</v>
      </c>
      <c r="AF4167" s="1">
        <f ca="1">IFERROR(__xludf.DUMMYFUNCTION("IFERROR(GOOGLEFINANCE(TRIM(F4167)&amp;"":"" &amp; TRIM(B4167),""high52""),AE4167)"),0)</f>
        <v>0</v>
      </c>
      <c r="AG4167" s="1">
        <v>0</v>
      </c>
      <c r="AH4167" s="1">
        <f ca="1">IFERROR(__xludf.DUMMYFUNCTION("IFERROR(GOOGLEFINANCE(TRIM(F4167)&amp;"":"" &amp; TRIM(B4167),""low52""),AE4167)"),0)</f>
        <v>0</v>
      </c>
      <c r="AI4167" s="1">
        <f ca="1">IFERROR(__xludf.DUMMYFUNCTION("IFERROR(GOOGLEFINANCE(B4167,""eps""),0)"),0)</f>
        <v>0</v>
      </c>
      <c r="AJ4167" s="1"/>
      <c r="AK4167" s="1" t="s">
        <v>12654</v>
      </c>
      <c r="AL4167" s="9">
        <f t="shared" si="384"/>
        <v>1</v>
      </c>
    </row>
    <row r="4168" spans="1:38" ht="15" x14ac:dyDescent="0.25">
      <c r="A4168" s="1" t="s">
        <v>12655</v>
      </c>
      <c r="B4168" s="1" t="s">
        <v>12656</v>
      </c>
      <c r="C4168" s="1" t="s">
        <v>99</v>
      </c>
      <c r="D4168" s="1" t="s">
        <v>99</v>
      </c>
      <c r="E4168" s="6">
        <v>2598.1999999999998</v>
      </c>
      <c r="F4168" s="1" t="s">
        <v>40</v>
      </c>
      <c r="G4168" s="6">
        <f ca="1">IFERROR(__xludf.DUMMYFUNCTION("iferror(GOOGLEFINANCE(TRIM(F4168)&amp;"":"" &amp; TRIM(B4168), ""price""),0
)"),1517)</f>
        <v>1517</v>
      </c>
      <c r="H4168" s="6">
        <v>1850.35</v>
      </c>
      <c r="I4168" s="6">
        <f t="shared" ca="1" si="0"/>
        <v>1517</v>
      </c>
      <c r="J4168" s="6">
        <f ca="1">IFERROR(__xludf.DUMMYFUNCTION("IFERROR(GOOGLEFINANCE(B4168, ""volume""), 0)"),81033)</f>
        <v>81033</v>
      </c>
      <c r="K4168" s="6">
        <v>0.77</v>
      </c>
      <c r="L4168" s="6">
        <f ca="1">IFERROR(__xludf.DUMMYFUNCTION("IFERROR(GOOGLEFINANCE(B4168,""changepct""),K4168)"),0.34)</f>
        <v>0.34</v>
      </c>
      <c r="M4168" s="6">
        <f ca="1">IFERROR(__xludf.DUMMYFUNCTION("IFERROR(GOOGLEFINANCE(B4168,""change""),0)"),5.2)</f>
        <v>5.2</v>
      </c>
      <c r="N4168" s="6">
        <v>1</v>
      </c>
      <c r="O4168" s="7">
        <v>45536</v>
      </c>
      <c r="P4168" s="6">
        <v>155.13</v>
      </c>
      <c r="Q4168" s="6">
        <v>2620.7800000000002</v>
      </c>
      <c r="R4168" s="7">
        <v>45536</v>
      </c>
      <c r="S4168" s="6">
        <v>3431.33</v>
      </c>
      <c r="T4168" s="6">
        <v>108.51</v>
      </c>
      <c r="U4168" s="7">
        <v>45536</v>
      </c>
      <c r="V4168" s="6">
        <v>23.94</v>
      </c>
      <c r="W4168" s="6">
        <f ca="1">IFERROR(__xludf.DUMMYFUNCTION("IFERROR(GOOGLEFINANCE(B4168,""pe""),V4168)"),239.93)</f>
        <v>239.93</v>
      </c>
      <c r="X4168" s="6">
        <v>-1.64</v>
      </c>
      <c r="Y4168" s="6">
        <v>1.8</v>
      </c>
      <c r="Z4168" s="6">
        <v>1</v>
      </c>
      <c r="AA4168" s="8">
        <v>45352</v>
      </c>
      <c r="AB4168" s="4">
        <v>0.12</v>
      </c>
      <c r="AC4168" s="6">
        <v>5.93</v>
      </c>
      <c r="AD4168" s="6">
        <v>8.4499999999999993</v>
      </c>
      <c r="AE4168" s="1">
        <v>0</v>
      </c>
      <c r="AF4168" s="1">
        <f ca="1">IFERROR(__xludf.DUMMYFUNCTION("IFERROR(GOOGLEFINANCE(TRIM(F4168)&amp;"":"" &amp; TRIM(B4168),""high52""),AE4168)"),2026.6)</f>
        <v>2026.6</v>
      </c>
      <c r="AG4168" s="1">
        <v>0</v>
      </c>
      <c r="AH4168" s="1">
        <f ca="1">IFERROR(__xludf.DUMMYFUNCTION("IFERROR(GOOGLEFINANCE(TRIM(F4168)&amp;"":"" &amp; TRIM(B4168),""low52""),AE4168)"),1315)</f>
        <v>1315</v>
      </c>
      <c r="AI4168" s="1">
        <f ca="1">IFERROR(__xludf.DUMMYFUNCTION("IFERROR(GOOGLEFINANCE(B4168,""eps""),0)"),6.32)</f>
        <v>6.32</v>
      </c>
      <c r="AJ4168" s="1"/>
      <c r="AK4168" s="9"/>
      <c r="AL4168" s="1" t="b">
        <f>ISBLANK(AB4168)</f>
        <v>0</v>
      </c>
    </row>
    <row r="4169" spans="1:38" ht="15" x14ac:dyDescent="0.25">
      <c r="A4169" s="1" t="s">
        <v>12657</v>
      </c>
      <c r="B4169" s="1" t="s">
        <v>12658</v>
      </c>
      <c r="C4169" s="1" t="s">
        <v>410</v>
      </c>
      <c r="D4169" s="1" t="s">
        <v>410</v>
      </c>
      <c r="E4169" s="6">
        <v>17285.580000000002</v>
      </c>
      <c r="F4169" s="1" t="s">
        <v>40</v>
      </c>
      <c r="G4169" s="6">
        <f ca="1">IFERROR(__xludf.DUMMYFUNCTION("iferror(GOOGLEFINANCE(TRIM(F4169)&amp;"":"" &amp; TRIM(B4169), ""price""),0
)"),760.1)</f>
        <v>760.1</v>
      </c>
      <c r="H4169" s="6">
        <v>751.35</v>
      </c>
      <c r="I4169" s="6">
        <f t="shared" ca="1" si="0"/>
        <v>760.1</v>
      </c>
      <c r="J4169" s="6">
        <f ca="1">IFERROR(__xludf.DUMMYFUNCTION("IFERROR(GOOGLEFINANCE(B4169, ""volume""), 0)"),96617)</f>
        <v>96617</v>
      </c>
      <c r="K4169" s="6">
        <v>1.76</v>
      </c>
      <c r="L4169" s="6">
        <f ca="1">IFERROR(__xludf.DUMMYFUNCTION("IFERROR(GOOGLEFINANCE(B4169,""changepct""),K4169)"),4.86)</f>
        <v>4.8600000000000003</v>
      </c>
      <c r="M4169" s="6">
        <f ca="1">IFERROR(__xludf.DUMMYFUNCTION("IFERROR(GOOGLEFINANCE(B4169,""change""),0)"),35.2)</f>
        <v>35.200000000000003</v>
      </c>
      <c r="N4169" s="6">
        <v>1</v>
      </c>
      <c r="O4169" s="7">
        <v>45352</v>
      </c>
      <c r="P4169" s="6">
        <v>412.61</v>
      </c>
      <c r="Q4169" s="6">
        <v>17627.27</v>
      </c>
      <c r="R4169" s="12"/>
      <c r="S4169" s="12"/>
      <c r="T4169" s="12"/>
      <c r="U4169" s="7">
        <v>45352</v>
      </c>
      <c r="V4169" s="6">
        <v>103.93</v>
      </c>
      <c r="W4169" s="6">
        <f ca="1">IFERROR(__xludf.DUMMYFUNCTION("IFERROR(GOOGLEFINANCE(B4169,""pe""),V4169)"),77.33)</f>
        <v>77.33</v>
      </c>
      <c r="X4169" s="12"/>
      <c r="Y4169" s="6">
        <v>3.8</v>
      </c>
      <c r="Z4169" s="6">
        <v>1</v>
      </c>
      <c r="AA4169" s="8">
        <v>45352</v>
      </c>
      <c r="AB4169" s="4">
        <v>1.23</v>
      </c>
      <c r="AC4169" s="6">
        <v>66.23</v>
      </c>
      <c r="AD4169" s="6">
        <v>37.67</v>
      </c>
      <c r="AE4169" s="1">
        <v>0</v>
      </c>
      <c r="AF4169" s="1">
        <f ca="1">IFERROR(__xludf.DUMMYFUNCTION("IFERROR(GOOGLEFINANCE(TRIM(F4169)&amp;"":"" &amp; TRIM(B4169),""high52""),AE4169)"),840)</f>
        <v>840</v>
      </c>
      <c r="AG4169" s="1">
        <v>0</v>
      </c>
      <c r="AH4169" s="1">
        <f ca="1">IFERROR(__xludf.DUMMYFUNCTION("IFERROR(GOOGLEFINANCE(TRIM(F4169)&amp;"":"" &amp; TRIM(B4169),""low52""),AE4169)"),523.4)</f>
        <v>523.4</v>
      </c>
      <c r="AI4169" s="1">
        <f ca="1">IFERROR(__xludf.DUMMYFUNCTION("IFERROR(GOOGLEFINANCE(B4169,""eps""),0)"),9.83)</f>
        <v>9.83</v>
      </c>
      <c r="AJ4169" s="1"/>
      <c r="AK4169" s="1" t="s">
        <v>12659</v>
      </c>
      <c r="AL4169" s="9">
        <f t="shared" ref="AL4169:AL4178" si="385">IF(AA4169&lt;&gt;AB4169,1,0)</f>
        <v>1</v>
      </c>
    </row>
    <row r="4170" spans="1:38" ht="15" x14ac:dyDescent="0.25">
      <c r="A4170" s="1" t="s">
        <v>12660</v>
      </c>
      <c r="B4170" s="1" t="s">
        <v>12661</v>
      </c>
      <c r="C4170" s="1" t="s">
        <v>227</v>
      </c>
      <c r="D4170" s="1" t="s">
        <v>227</v>
      </c>
      <c r="E4170" s="6">
        <v>7.14</v>
      </c>
      <c r="F4170" s="1" t="s">
        <v>53</v>
      </c>
      <c r="G4170" s="6">
        <f ca="1">IFERROR(__xludf.DUMMYFUNCTION("iferror(GOOGLEFINANCE(TRIM(F4170)&amp;"":"" &amp; TRIM(B4170), ""price""),0
)"),0)</f>
        <v>0</v>
      </c>
      <c r="H4170" s="6">
        <v>18.149999999999999</v>
      </c>
      <c r="I4170" s="6">
        <f t="shared" ca="1" si="0"/>
        <v>18.149999999999999</v>
      </c>
      <c r="J4170" s="6">
        <f ca="1">IFERROR(__xludf.DUMMYFUNCTION("IFERROR(GOOGLEFINANCE(B4170, ""volume""), 0)"),0)</f>
        <v>0</v>
      </c>
      <c r="K4170" s="6">
        <v>-4.97</v>
      </c>
      <c r="L4170" s="6">
        <f ca="1">IFERROR(__xludf.DUMMYFUNCTION("IFERROR(GOOGLEFINANCE(B4170,""changepct""),K4170)"),-4.97)</f>
        <v>-4.97</v>
      </c>
      <c r="M4170" s="6">
        <f ca="1">IFERROR(__xludf.DUMMYFUNCTION("IFERROR(GOOGLEFINANCE(B4170,""change""),0)"),0)</f>
        <v>0</v>
      </c>
      <c r="N4170" s="6">
        <v>1</v>
      </c>
      <c r="O4170" s="7">
        <v>45536</v>
      </c>
      <c r="P4170" s="9"/>
      <c r="Q4170" s="6">
        <v>5.82</v>
      </c>
      <c r="R4170" s="7">
        <v>45352</v>
      </c>
      <c r="S4170" s="6">
        <v>30.81</v>
      </c>
      <c r="T4170" s="6">
        <v>0.1</v>
      </c>
      <c r="U4170" s="7">
        <v>45352</v>
      </c>
      <c r="V4170" s="6">
        <v>74.45</v>
      </c>
      <c r="W4170" s="6">
        <f ca="1">IFERROR(__xludf.DUMMYFUNCTION("IFERROR(GOOGLEFINANCE(B4170,""pe""),V4170)"),74.45)</f>
        <v>74.45</v>
      </c>
      <c r="X4170" s="12"/>
      <c r="Y4170" s="6">
        <v>1.42</v>
      </c>
      <c r="Z4170" s="6">
        <v>1</v>
      </c>
      <c r="AA4170" s="8">
        <v>45352</v>
      </c>
      <c r="AB4170" s="4">
        <v>0</v>
      </c>
      <c r="AC4170" s="6">
        <v>1.93</v>
      </c>
      <c r="AD4170" s="6">
        <v>2.62</v>
      </c>
      <c r="AE4170" s="1">
        <v>0</v>
      </c>
      <c r="AF4170" s="1">
        <f ca="1">IFERROR(__xludf.DUMMYFUNCTION("IFERROR(GOOGLEFINANCE(TRIM(F4170)&amp;"":"" &amp; TRIM(B4170),""high52""),AE4170)"),0)</f>
        <v>0</v>
      </c>
      <c r="AG4170" s="1">
        <v>0</v>
      </c>
      <c r="AH4170" s="1">
        <f ca="1">IFERROR(__xludf.DUMMYFUNCTION("IFERROR(GOOGLEFINANCE(TRIM(F4170)&amp;"":"" &amp; TRIM(B4170),""low52""),AE4170)"),0)</f>
        <v>0</v>
      </c>
      <c r="AI4170" s="1">
        <f ca="1">IFERROR(__xludf.DUMMYFUNCTION("IFERROR(GOOGLEFINANCE(B4170,""eps""),0)"),0)</f>
        <v>0</v>
      </c>
      <c r="AJ4170" s="1"/>
      <c r="AK4170" s="1" t="s">
        <v>12662</v>
      </c>
      <c r="AL4170" s="9">
        <f t="shared" si="385"/>
        <v>1</v>
      </c>
    </row>
    <row r="4171" spans="1:38" ht="15" x14ac:dyDescent="0.25">
      <c r="A4171" s="1" t="s">
        <v>12663</v>
      </c>
      <c r="B4171" s="1" t="s">
        <v>12664</v>
      </c>
      <c r="C4171" s="1" t="s">
        <v>219</v>
      </c>
      <c r="D4171" s="1" t="s">
        <v>219</v>
      </c>
      <c r="E4171" s="6">
        <v>3185.11</v>
      </c>
      <c r="F4171" s="1" t="s">
        <v>40</v>
      </c>
      <c r="G4171" s="6">
        <f ca="1">IFERROR(__xludf.DUMMYFUNCTION("iferror(GOOGLEFINANCE(TRIM(F4171)&amp;"":"" &amp; TRIM(B4171), ""price""),0
)"),1019.2)</f>
        <v>1019.2</v>
      </c>
      <c r="H4171" s="6">
        <v>1556.5</v>
      </c>
      <c r="I4171" s="6">
        <f t="shared" ca="1" si="0"/>
        <v>1019.2</v>
      </c>
      <c r="J4171" s="6">
        <f ca="1">IFERROR(__xludf.DUMMYFUNCTION("IFERROR(GOOGLEFINANCE(B4171, ""volume""), 0)"),57944)</f>
        <v>57944</v>
      </c>
      <c r="K4171" s="6">
        <v>-0.32</v>
      </c>
      <c r="L4171" s="6">
        <f ca="1">IFERROR(__xludf.DUMMYFUNCTION("IFERROR(GOOGLEFINANCE(B4171,""changepct""),K4171)"),-0.76)</f>
        <v>-0.76</v>
      </c>
      <c r="M4171" s="6">
        <f ca="1">IFERROR(__xludf.DUMMYFUNCTION("IFERROR(GOOGLEFINANCE(B4171,""change""),0)"),-7.8)</f>
        <v>-7.8</v>
      </c>
      <c r="N4171" s="6">
        <v>1</v>
      </c>
      <c r="O4171" s="7">
        <v>45536</v>
      </c>
      <c r="P4171" s="6">
        <v>181</v>
      </c>
      <c r="Q4171" s="6">
        <v>3343.3</v>
      </c>
      <c r="R4171" s="7">
        <v>45536</v>
      </c>
      <c r="S4171" s="6">
        <v>900.32</v>
      </c>
      <c r="T4171" s="6">
        <v>99.52</v>
      </c>
      <c r="U4171" s="7">
        <v>45536</v>
      </c>
      <c r="V4171" s="6">
        <v>32</v>
      </c>
      <c r="W4171" s="6">
        <f ca="1">IFERROR(__xludf.DUMMYFUNCTION("IFERROR(GOOGLEFINANCE(B4171,""pe""),V4171)"),22.54)</f>
        <v>22.54</v>
      </c>
      <c r="X4171" s="12"/>
      <c r="Y4171" s="6">
        <v>6.59</v>
      </c>
      <c r="Z4171" s="6">
        <v>1</v>
      </c>
      <c r="AA4171" s="8">
        <v>45352</v>
      </c>
      <c r="AB4171" s="4">
        <v>0.37</v>
      </c>
      <c r="AC4171" s="6">
        <v>23.61</v>
      </c>
      <c r="AD4171" s="6">
        <v>28.45</v>
      </c>
      <c r="AE4171" s="1">
        <v>0</v>
      </c>
      <c r="AF4171" s="1">
        <f ca="1">IFERROR(__xludf.DUMMYFUNCTION("IFERROR(GOOGLEFINANCE(TRIM(F4171)&amp;"":"" &amp; TRIM(B4171),""high52""),AE4171)"),1660)</f>
        <v>1660</v>
      </c>
      <c r="AG4171" s="1">
        <v>0</v>
      </c>
      <c r="AH4171" s="1">
        <f ca="1">IFERROR(__xludf.DUMMYFUNCTION("IFERROR(GOOGLEFINANCE(TRIM(F4171)&amp;"":"" &amp; TRIM(B4171),""low52""),AE4171)"),990)</f>
        <v>990</v>
      </c>
      <c r="AI4171" s="1">
        <f ca="1">IFERROR(__xludf.DUMMYFUNCTION("IFERROR(GOOGLEFINANCE(B4171,""eps""),0)"),45.21)</f>
        <v>45.21</v>
      </c>
      <c r="AJ4171" s="1"/>
      <c r="AK4171" s="1" t="s">
        <v>12665</v>
      </c>
      <c r="AL4171" s="9">
        <f t="shared" si="385"/>
        <v>1</v>
      </c>
    </row>
    <row r="4172" spans="1:38" ht="15" x14ac:dyDescent="0.25">
      <c r="A4172" s="1" t="s">
        <v>12666</v>
      </c>
      <c r="B4172" s="1" t="s">
        <v>12667</v>
      </c>
      <c r="C4172" s="1" t="s">
        <v>227</v>
      </c>
      <c r="D4172" s="1" t="s">
        <v>227</v>
      </c>
      <c r="E4172" s="6">
        <v>29.8</v>
      </c>
      <c r="F4172" s="1" t="s">
        <v>53</v>
      </c>
      <c r="G4172" s="6">
        <f ca="1">IFERROR(__xludf.DUMMYFUNCTION("iferror(GOOGLEFINANCE(TRIM(F4172)&amp;"":"" &amp; TRIM(B4172), ""price""),0
)"),0)</f>
        <v>0</v>
      </c>
      <c r="H4172" s="6">
        <v>147</v>
      </c>
      <c r="I4172" s="6">
        <f t="shared" ca="1" si="0"/>
        <v>147</v>
      </c>
      <c r="J4172" s="6">
        <f ca="1">IFERROR(__xludf.DUMMYFUNCTION("IFERROR(GOOGLEFINANCE(B4172, ""volume""), 0)"),0)</f>
        <v>0</v>
      </c>
      <c r="K4172" s="12"/>
      <c r="L4172" s="6" t="str">
        <f ca="1">IFERROR(__xludf.DUMMYFUNCTION("IFERROR(GOOGLEFINANCE(B4172,""changepct""),K4172)"),"")</f>
        <v/>
      </c>
      <c r="M4172" s="6">
        <f ca="1">IFERROR(__xludf.DUMMYFUNCTION("IFERROR(GOOGLEFINANCE(B4172,""change""),0)"),0)</f>
        <v>0</v>
      </c>
      <c r="N4172" s="6">
        <v>1</v>
      </c>
      <c r="O4172" s="7">
        <v>45536</v>
      </c>
      <c r="P4172" s="6">
        <v>0.22</v>
      </c>
      <c r="Q4172" s="6">
        <v>30.02</v>
      </c>
      <c r="R4172" s="7">
        <v>45352</v>
      </c>
      <c r="S4172" s="6">
        <v>26.86</v>
      </c>
      <c r="T4172" s="6">
        <v>2</v>
      </c>
      <c r="U4172" s="7">
        <v>45352</v>
      </c>
      <c r="V4172" s="6">
        <v>14.87</v>
      </c>
      <c r="W4172" s="6">
        <f ca="1">IFERROR(__xludf.DUMMYFUNCTION("IFERROR(GOOGLEFINANCE(B4172,""pe""),V4172)"),14.87)</f>
        <v>14.87</v>
      </c>
      <c r="X4172" s="9"/>
      <c r="Y4172" s="6">
        <v>4.3899999999999997</v>
      </c>
      <c r="Z4172" s="6">
        <v>1</v>
      </c>
      <c r="AA4172" s="8">
        <v>45352</v>
      </c>
      <c r="AB4172" s="4">
        <v>0</v>
      </c>
      <c r="AC4172" s="6">
        <v>34.619999999999997</v>
      </c>
      <c r="AD4172" s="6">
        <v>46.22</v>
      </c>
      <c r="AE4172" s="1">
        <v>0</v>
      </c>
      <c r="AF4172" s="1">
        <f ca="1">IFERROR(__xludf.DUMMYFUNCTION("IFERROR(GOOGLEFINANCE(TRIM(F4172)&amp;"":"" &amp; TRIM(B4172),""high52""),AE4172)"),0)</f>
        <v>0</v>
      </c>
      <c r="AG4172" s="1">
        <v>0</v>
      </c>
      <c r="AH4172" s="1">
        <f ca="1">IFERROR(__xludf.DUMMYFUNCTION("IFERROR(GOOGLEFINANCE(TRIM(F4172)&amp;"":"" &amp; TRIM(B4172),""low52""),AE4172)"),0)</f>
        <v>0</v>
      </c>
      <c r="AI4172" s="1">
        <f ca="1">IFERROR(__xludf.DUMMYFUNCTION("IFERROR(GOOGLEFINANCE(B4172,""eps""),0)"),0)</f>
        <v>0</v>
      </c>
      <c r="AJ4172" s="1"/>
      <c r="AK4172" s="1" t="s">
        <v>12668</v>
      </c>
      <c r="AL4172" s="9">
        <f t="shared" si="385"/>
        <v>1</v>
      </c>
    </row>
    <row r="4173" spans="1:38" ht="15" x14ac:dyDescent="0.25">
      <c r="A4173" s="1" t="s">
        <v>12669</v>
      </c>
      <c r="B4173" s="1" t="s">
        <v>12670</v>
      </c>
      <c r="C4173" s="1" t="s">
        <v>106</v>
      </c>
      <c r="D4173" s="1" t="s">
        <v>106</v>
      </c>
      <c r="E4173" s="6">
        <v>423.47</v>
      </c>
      <c r="F4173" s="1" t="s">
        <v>40</v>
      </c>
      <c r="G4173" s="6">
        <f ca="1">IFERROR(__xludf.DUMMYFUNCTION("iferror(GOOGLEFINANCE(TRIM(F4173)&amp;"":"" &amp; TRIM(B4173), ""price""),0
)"),778)</f>
        <v>778</v>
      </c>
      <c r="H4173" s="6">
        <v>323</v>
      </c>
      <c r="I4173" s="6">
        <f t="shared" ca="1" si="0"/>
        <v>778</v>
      </c>
      <c r="J4173" s="6">
        <f ca="1">IFERROR(__xludf.DUMMYFUNCTION("IFERROR(GOOGLEFINANCE(B4173, ""volume""), 0)"),21314)</f>
        <v>21314</v>
      </c>
      <c r="K4173" s="6">
        <v>1.68</v>
      </c>
      <c r="L4173" s="6">
        <f ca="1">IFERROR(__xludf.DUMMYFUNCTION("IFERROR(GOOGLEFINANCE(B4173,""changepct""),K4173)"),-4.29)</f>
        <v>-4.29</v>
      </c>
      <c r="M4173" s="6">
        <f ca="1">IFERROR(__xludf.DUMMYFUNCTION("IFERROR(GOOGLEFINANCE(B4173,""change""),0)"),-34.85)</f>
        <v>-34.85</v>
      </c>
      <c r="N4173" s="6">
        <v>2</v>
      </c>
      <c r="O4173" s="7">
        <v>45536</v>
      </c>
      <c r="P4173" s="6">
        <v>40.909999999999997</v>
      </c>
      <c r="Q4173" s="6">
        <v>385.95</v>
      </c>
      <c r="R4173" s="7">
        <v>45536</v>
      </c>
      <c r="S4173" s="6">
        <v>614.64</v>
      </c>
      <c r="T4173" s="6">
        <v>22.09</v>
      </c>
      <c r="U4173" s="7">
        <v>45536</v>
      </c>
      <c r="V4173" s="6">
        <v>19.170000000000002</v>
      </c>
      <c r="W4173" s="6">
        <f ca="1">IFERROR(__xludf.DUMMYFUNCTION("IFERROR(GOOGLEFINANCE(B4173,""pe""),V4173)"),14.78)</f>
        <v>14.78</v>
      </c>
      <c r="X4173" s="6">
        <v>0.69</v>
      </c>
      <c r="Y4173" s="6">
        <v>0.86</v>
      </c>
      <c r="Z4173" s="6">
        <v>2</v>
      </c>
      <c r="AA4173" s="8">
        <v>45352</v>
      </c>
      <c r="AB4173" s="4">
        <v>0.08</v>
      </c>
      <c r="AC4173" s="6">
        <v>6.01</v>
      </c>
      <c r="AD4173" s="6">
        <v>8.67</v>
      </c>
      <c r="AE4173" s="1">
        <v>0</v>
      </c>
      <c r="AF4173" s="1">
        <f ca="1">IFERROR(__xludf.DUMMYFUNCTION("IFERROR(GOOGLEFINANCE(TRIM(F4173)&amp;"":"" &amp; TRIM(B4173),""high52""),AE4173)"),839.95)</f>
        <v>839.95</v>
      </c>
      <c r="AG4173" s="1">
        <v>0</v>
      </c>
      <c r="AH4173" s="1">
        <f ca="1">IFERROR(__xludf.DUMMYFUNCTION("IFERROR(GOOGLEFINANCE(TRIM(F4173)&amp;"":"" &amp; TRIM(B4173),""low52""),AE4173)"),277.95)</f>
        <v>277.95</v>
      </c>
      <c r="AI4173" s="1">
        <f ca="1">IFERROR(__xludf.DUMMYFUNCTION("IFERROR(GOOGLEFINANCE(B4173,""eps""),0)"),52.62)</f>
        <v>52.62</v>
      </c>
      <c r="AJ4173" s="1"/>
      <c r="AK4173" s="1" t="s">
        <v>12671</v>
      </c>
      <c r="AL4173" s="9">
        <f t="shared" si="385"/>
        <v>1</v>
      </c>
    </row>
    <row r="4174" spans="1:38" ht="15" x14ac:dyDescent="0.25">
      <c r="A4174" s="1" t="s">
        <v>12672</v>
      </c>
      <c r="B4174" s="1" t="s">
        <v>12673</v>
      </c>
      <c r="C4174" s="1" t="s">
        <v>186</v>
      </c>
      <c r="D4174" s="1" t="s">
        <v>186</v>
      </c>
      <c r="E4174" s="6">
        <v>47.13</v>
      </c>
      <c r="F4174" s="1" t="s">
        <v>40</v>
      </c>
      <c r="G4174" s="6">
        <f ca="1">IFERROR(__xludf.DUMMYFUNCTION("iferror(GOOGLEFINANCE(TRIM(F4174)&amp;"":"" &amp; TRIM(B4174), ""price""),0
)"),0)</f>
        <v>0</v>
      </c>
      <c r="H4174" s="6">
        <v>91.5</v>
      </c>
      <c r="I4174" s="6">
        <f t="shared" ca="1" si="0"/>
        <v>91.5</v>
      </c>
      <c r="J4174" s="6">
        <f ca="1">IFERROR(__xludf.DUMMYFUNCTION("IFERROR(GOOGLEFINANCE(B4174, ""volume""), 0)"),122)</f>
        <v>122</v>
      </c>
      <c r="K4174" s="6">
        <v>-4.1900000000000004</v>
      </c>
      <c r="L4174" s="6">
        <f ca="1">IFERROR(__xludf.DUMMYFUNCTION("IFERROR(GOOGLEFINANCE(B4174,""changepct""),K4174)"),-3.87)</f>
        <v>-3.87</v>
      </c>
      <c r="M4174" s="6">
        <f ca="1">IFERROR(__xludf.DUMMYFUNCTION("IFERROR(GOOGLEFINANCE(B4174,""change""),0)"),-1.74)</f>
        <v>-1.74</v>
      </c>
      <c r="N4174" s="6">
        <v>1</v>
      </c>
      <c r="O4174" s="7">
        <v>45536</v>
      </c>
      <c r="P4174" s="6">
        <v>0.03</v>
      </c>
      <c r="Q4174" s="6">
        <v>47.16</v>
      </c>
      <c r="R4174" s="7">
        <v>45352</v>
      </c>
      <c r="S4174" s="6">
        <v>39.450000000000003</v>
      </c>
      <c r="T4174" s="6">
        <v>1.79</v>
      </c>
      <c r="U4174" s="7">
        <v>45352</v>
      </c>
      <c r="V4174" s="6">
        <v>26.24</v>
      </c>
      <c r="W4174" s="6">
        <f ca="1">IFERROR(__xludf.DUMMYFUNCTION("IFERROR(GOOGLEFINANCE(B4174,""pe""),V4174)"),26.24)</f>
        <v>26.24</v>
      </c>
      <c r="X4174" s="6">
        <v>5.18</v>
      </c>
      <c r="Y4174" s="6">
        <v>2.25</v>
      </c>
      <c r="Z4174" s="6">
        <v>1</v>
      </c>
      <c r="AA4174" s="8">
        <v>45352</v>
      </c>
      <c r="AB4174" s="4">
        <v>0</v>
      </c>
      <c r="AC4174" s="6">
        <v>8.9700000000000006</v>
      </c>
      <c r="AD4174" s="6">
        <v>12.33</v>
      </c>
      <c r="AE4174" s="1">
        <v>0</v>
      </c>
      <c r="AF4174" s="1">
        <f ca="1">IFERROR(__xludf.DUMMYFUNCTION("IFERROR(GOOGLEFINANCE(TRIM(F4174)&amp;"":"" &amp; TRIM(B4174),""high52""),AE4174)"),0)</f>
        <v>0</v>
      </c>
      <c r="AG4174" s="1">
        <v>0</v>
      </c>
      <c r="AH4174" s="1">
        <f ca="1">IFERROR(__xludf.DUMMYFUNCTION("IFERROR(GOOGLEFINANCE(TRIM(F4174)&amp;"":"" &amp; TRIM(B4174),""low52""),AE4174)"),0)</f>
        <v>0</v>
      </c>
      <c r="AI4174" s="1">
        <f ca="1">IFERROR(__xludf.DUMMYFUNCTION("IFERROR(GOOGLEFINANCE(B4174,""eps""),0)"),-3.98)</f>
        <v>-3.98</v>
      </c>
      <c r="AJ4174" s="1"/>
      <c r="AK4174" s="1" t="s">
        <v>12674</v>
      </c>
      <c r="AL4174" s="9">
        <f t="shared" si="385"/>
        <v>1</v>
      </c>
    </row>
    <row r="4175" spans="1:38" ht="15" x14ac:dyDescent="0.25">
      <c r="A4175" s="1" t="s">
        <v>12675</v>
      </c>
      <c r="B4175" s="1" t="s">
        <v>12676</v>
      </c>
      <c r="C4175" s="1" t="s">
        <v>227</v>
      </c>
      <c r="D4175" s="1" t="s">
        <v>227</v>
      </c>
      <c r="E4175" s="6">
        <v>28.94</v>
      </c>
      <c r="F4175" s="1" t="s">
        <v>53</v>
      </c>
      <c r="G4175" s="6">
        <f ca="1">IFERROR(__xludf.DUMMYFUNCTION("iferror(GOOGLEFINANCE(TRIM(F4175)&amp;"":"" &amp; TRIM(B4175), ""price""),0
)"),0)</f>
        <v>0</v>
      </c>
      <c r="H4175" s="6">
        <v>17.34</v>
      </c>
      <c r="I4175" s="6">
        <f t="shared" ca="1" si="0"/>
        <v>17.34</v>
      </c>
      <c r="J4175" s="6">
        <f ca="1">IFERROR(__xludf.DUMMYFUNCTION("IFERROR(GOOGLEFINANCE(B4175, ""volume""), 0)"),0)</f>
        <v>0</v>
      </c>
      <c r="K4175" s="6">
        <v>2</v>
      </c>
      <c r="L4175" s="6">
        <f ca="1">IFERROR(__xludf.DUMMYFUNCTION("IFERROR(GOOGLEFINANCE(B4175,""changepct""),K4175)"),2)</f>
        <v>2</v>
      </c>
      <c r="M4175" s="6">
        <f ca="1">IFERROR(__xludf.DUMMYFUNCTION("IFERROR(GOOGLEFINANCE(B4175,""change""),0)"),0)</f>
        <v>0</v>
      </c>
      <c r="N4175" s="6">
        <v>1</v>
      </c>
      <c r="O4175" s="7">
        <v>45536</v>
      </c>
      <c r="P4175" s="6">
        <v>5.34</v>
      </c>
      <c r="Q4175" s="6">
        <v>34.28</v>
      </c>
      <c r="R4175" s="7">
        <v>45352</v>
      </c>
      <c r="S4175" s="6">
        <v>29.67</v>
      </c>
      <c r="T4175" s="6">
        <v>0.69</v>
      </c>
      <c r="U4175" s="7">
        <v>45352</v>
      </c>
      <c r="V4175" s="6">
        <v>42.16</v>
      </c>
      <c r="W4175" s="6">
        <f ca="1">IFERROR(__xludf.DUMMYFUNCTION("IFERROR(GOOGLEFINANCE(B4175,""pe""),V4175)"),42.16)</f>
        <v>42.16</v>
      </c>
      <c r="X4175" s="9"/>
      <c r="Y4175" s="6">
        <v>0.84</v>
      </c>
      <c r="Z4175" s="6">
        <v>1</v>
      </c>
      <c r="AA4175" s="8">
        <v>45352</v>
      </c>
      <c r="AB4175" s="4">
        <v>0.61</v>
      </c>
      <c r="AC4175" s="6">
        <v>14.9</v>
      </c>
      <c r="AD4175" s="6">
        <v>19.37</v>
      </c>
      <c r="AE4175" s="1">
        <v>0</v>
      </c>
      <c r="AF4175" s="1">
        <f ca="1">IFERROR(__xludf.DUMMYFUNCTION("IFERROR(GOOGLEFINANCE(TRIM(F4175)&amp;"":"" &amp; TRIM(B4175),""high52""),AE4175)"),0)</f>
        <v>0</v>
      </c>
      <c r="AG4175" s="1">
        <v>0</v>
      </c>
      <c r="AH4175" s="1">
        <f ca="1">IFERROR(__xludf.DUMMYFUNCTION("IFERROR(GOOGLEFINANCE(TRIM(F4175)&amp;"":"" &amp; TRIM(B4175),""low52""),AE4175)"),0)</f>
        <v>0</v>
      </c>
      <c r="AI4175" s="1">
        <f ca="1">IFERROR(__xludf.DUMMYFUNCTION("IFERROR(GOOGLEFINANCE(B4175,""eps""),0)"),0)</f>
        <v>0</v>
      </c>
      <c r="AJ4175" s="1"/>
      <c r="AK4175" s="1" t="s">
        <v>12677</v>
      </c>
      <c r="AL4175" s="9">
        <f t="shared" si="385"/>
        <v>1</v>
      </c>
    </row>
    <row r="4176" spans="1:38" ht="15" x14ac:dyDescent="0.25">
      <c r="A4176" s="1" t="s">
        <v>12678</v>
      </c>
      <c r="B4176" s="1" t="s">
        <v>12679</v>
      </c>
      <c r="C4176" s="1" t="s">
        <v>227</v>
      </c>
      <c r="D4176" s="1" t="s">
        <v>227</v>
      </c>
      <c r="E4176" s="6">
        <v>21.68</v>
      </c>
      <c r="F4176" s="1" t="s">
        <v>53</v>
      </c>
      <c r="G4176" s="6">
        <f ca="1">IFERROR(__xludf.DUMMYFUNCTION("iferror(GOOGLEFINANCE(TRIM(F4176)&amp;"":"" &amp; TRIM(B4176), ""price""),0
)"),0)</f>
        <v>0</v>
      </c>
      <c r="H4176" s="6">
        <v>22.4</v>
      </c>
      <c r="I4176" s="6">
        <f t="shared" ca="1" si="0"/>
        <v>22.4</v>
      </c>
      <c r="J4176" s="6">
        <f ca="1">IFERROR(__xludf.DUMMYFUNCTION("IFERROR(GOOGLEFINANCE(B4176, ""volume""), 0)"),6592474)</f>
        <v>6592474</v>
      </c>
      <c r="K4176" s="9"/>
      <c r="L4176" s="6">
        <f ca="1">IFERROR(__xludf.DUMMYFUNCTION("IFERROR(GOOGLEFINANCE(B4176,""changepct""),K4176)"),-5.94)</f>
        <v>-5.94</v>
      </c>
      <c r="M4176" s="6">
        <f ca="1">IFERROR(__xludf.DUMMYFUNCTION("IFERROR(GOOGLEFINANCE(B4176,""change""),0)"),-0.34)</f>
        <v>-0.34</v>
      </c>
      <c r="N4176" s="6">
        <v>1</v>
      </c>
      <c r="O4176" s="7">
        <v>45536</v>
      </c>
      <c r="P4176" s="9"/>
      <c r="Q4176" s="6">
        <v>21.68</v>
      </c>
      <c r="R4176" s="7">
        <v>45352</v>
      </c>
      <c r="S4176" s="6">
        <v>0</v>
      </c>
      <c r="T4176" s="6">
        <v>-0.27</v>
      </c>
      <c r="U4176" s="7">
        <v>45352</v>
      </c>
      <c r="V4176" s="6">
        <v>0</v>
      </c>
      <c r="W4176" s="6">
        <f ca="1">IFERROR(__xludf.DUMMYFUNCTION("IFERROR(GOOGLEFINANCE(B4176,""pe""),V4176)"),0)</f>
        <v>0</v>
      </c>
      <c r="X4176" s="9"/>
      <c r="Y4176" s="6">
        <v>2.1</v>
      </c>
      <c r="Z4176" s="6">
        <v>1</v>
      </c>
      <c r="AA4176" s="8">
        <v>45352</v>
      </c>
      <c r="AB4176" s="4">
        <v>0</v>
      </c>
      <c r="AC4176" s="6">
        <v>-2.62</v>
      </c>
      <c r="AD4176" s="6">
        <v>-2.64</v>
      </c>
      <c r="AE4176" s="1">
        <v>0</v>
      </c>
      <c r="AF4176" s="1">
        <f ca="1">IFERROR(__xludf.DUMMYFUNCTION("IFERROR(GOOGLEFINANCE(TRIM(F4176)&amp;"":"" &amp; TRIM(B4176),""high52""),AE4176)"),0)</f>
        <v>0</v>
      </c>
      <c r="AG4176" s="1">
        <v>0</v>
      </c>
      <c r="AH4176" s="1">
        <f ca="1">IFERROR(__xludf.DUMMYFUNCTION("IFERROR(GOOGLEFINANCE(TRIM(F4176)&amp;"":"" &amp; TRIM(B4176),""low52""),AE4176)"),0)</f>
        <v>0</v>
      </c>
      <c r="AI4176" s="1">
        <f ca="1">IFERROR(__xludf.DUMMYFUNCTION("IFERROR(GOOGLEFINANCE(B4176,""eps""),0)"),-0.22)</f>
        <v>-0.22</v>
      </c>
      <c r="AJ4176" s="1"/>
      <c r="AK4176" s="1" t="s">
        <v>12680</v>
      </c>
      <c r="AL4176" s="9">
        <f t="shared" si="385"/>
        <v>1</v>
      </c>
    </row>
    <row r="4177" spans="1:38" ht="15" x14ac:dyDescent="0.25">
      <c r="A4177" s="1" t="s">
        <v>12681</v>
      </c>
      <c r="B4177" s="1" t="s">
        <v>12682</v>
      </c>
      <c r="C4177" s="1" t="s">
        <v>227</v>
      </c>
      <c r="D4177" s="1" t="s">
        <v>227</v>
      </c>
      <c r="E4177" s="6">
        <v>34.26</v>
      </c>
      <c r="F4177" s="1" t="s">
        <v>53</v>
      </c>
      <c r="G4177" s="6">
        <f ca="1">IFERROR(__xludf.DUMMYFUNCTION("iferror(GOOGLEFINANCE(TRIM(F4177)&amp;"":"" &amp; TRIM(B4177), ""price""),0
)"),0)</f>
        <v>0</v>
      </c>
      <c r="H4177" s="6">
        <v>14.96</v>
      </c>
      <c r="I4177" s="6">
        <f t="shared" ca="1" si="0"/>
        <v>14.96</v>
      </c>
      <c r="J4177" s="6">
        <f ca="1">IFERROR(__xludf.DUMMYFUNCTION("IFERROR(GOOGLEFINANCE(B4177, ""volume""), 0)"),0)</f>
        <v>0</v>
      </c>
      <c r="K4177" s="6">
        <v>4.9800000000000004</v>
      </c>
      <c r="L4177" s="6">
        <f ca="1">IFERROR(__xludf.DUMMYFUNCTION("IFERROR(GOOGLEFINANCE(B4177,""changepct""),K4177)"),4.98)</f>
        <v>4.9800000000000004</v>
      </c>
      <c r="M4177" s="6">
        <f ca="1">IFERROR(__xludf.DUMMYFUNCTION("IFERROR(GOOGLEFINANCE(B4177,""change""),0)"),0)</f>
        <v>0</v>
      </c>
      <c r="N4177" s="6">
        <v>1</v>
      </c>
      <c r="O4177" s="7">
        <v>45536</v>
      </c>
      <c r="P4177" s="6">
        <v>17.059999999999999</v>
      </c>
      <c r="Q4177" s="6">
        <v>51.33</v>
      </c>
      <c r="R4177" s="7">
        <v>45352</v>
      </c>
      <c r="S4177" s="6">
        <v>164.34</v>
      </c>
      <c r="T4177" s="6">
        <v>1.0900000000000001</v>
      </c>
      <c r="U4177" s="7">
        <v>45352</v>
      </c>
      <c r="V4177" s="6">
        <v>31.57</v>
      </c>
      <c r="W4177" s="6">
        <f ca="1">IFERROR(__xludf.DUMMYFUNCTION("IFERROR(GOOGLEFINANCE(B4177,""pe""),V4177)"),31.57)</f>
        <v>31.57</v>
      </c>
      <c r="X4177" s="12"/>
      <c r="Y4177" s="6">
        <v>0.91</v>
      </c>
      <c r="Z4177" s="6">
        <v>1</v>
      </c>
      <c r="AA4177" s="8">
        <v>45352</v>
      </c>
      <c r="AB4177" s="4">
        <v>0.52</v>
      </c>
      <c r="AC4177" s="6">
        <v>3.51</v>
      </c>
      <c r="AD4177" s="6">
        <v>7.18</v>
      </c>
      <c r="AE4177" s="1">
        <v>0</v>
      </c>
      <c r="AF4177" s="1">
        <f ca="1">IFERROR(__xludf.DUMMYFUNCTION("IFERROR(GOOGLEFINANCE(TRIM(F4177)&amp;"":"" &amp; TRIM(B4177),""high52""),AE4177)"),0)</f>
        <v>0</v>
      </c>
      <c r="AG4177" s="1">
        <v>0</v>
      </c>
      <c r="AH4177" s="1">
        <f ca="1">IFERROR(__xludf.DUMMYFUNCTION("IFERROR(GOOGLEFINANCE(TRIM(F4177)&amp;"":"" &amp; TRIM(B4177),""low52""),AE4177)"),0)</f>
        <v>0</v>
      </c>
      <c r="AI4177" s="1">
        <f ca="1">IFERROR(__xludf.DUMMYFUNCTION("IFERROR(GOOGLEFINANCE(B4177,""eps""),0)"),0)</f>
        <v>0</v>
      </c>
      <c r="AJ4177" s="1"/>
      <c r="AK4177" s="1" t="s">
        <v>12683</v>
      </c>
      <c r="AL4177" s="9">
        <f t="shared" si="385"/>
        <v>1</v>
      </c>
    </row>
    <row r="4178" spans="1:38" ht="15" x14ac:dyDescent="0.25">
      <c r="A4178" s="1" t="s">
        <v>12684</v>
      </c>
      <c r="B4178" s="1" t="s">
        <v>12685</v>
      </c>
      <c r="C4178" s="1" t="s">
        <v>321</v>
      </c>
      <c r="D4178" s="1" t="s">
        <v>321</v>
      </c>
      <c r="E4178" s="6">
        <v>1732.81</v>
      </c>
      <c r="F4178" s="1" t="s">
        <v>40</v>
      </c>
      <c r="G4178" s="6">
        <f ca="1">IFERROR(__xludf.DUMMYFUNCTION("iferror(GOOGLEFINANCE(TRIM(F4178)&amp;"":"" &amp; TRIM(B4178), ""price""),0
)"),191)</f>
        <v>191</v>
      </c>
      <c r="H4178" s="6">
        <v>247.25</v>
      </c>
      <c r="I4178" s="6">
        <f t="shared" ca="1" si="0"/>
        <v>191</v>
      </c>
      <c r="J4178" s="6">
        <f ca="1">IFERROR(__xludf.DUMMYFUNCTION("IFERROR(GOOGLEFINANCE(B4178, ""volume""), 0)"),89732)</f>
        <v>89732</v>
      </c>
      <c r="K4178" s="6">
        <v>1.38</v>
      </c>
      <c r="L4178" s="6">
        <f ca="1">IFERROR(__xludf.DUMMYFUNCTION("IFERROR(GOOGLEFINANCE(B4178,""changepct""),K4178)"),-2.81)</f>
        <v>-2.81</v>
      </c>
      <c r="M4178" s="6">
        <f ca="1">IFERROR(__xludf.DUMMYFUNCTION("IFERROR(GOOGLEFINANCE(B4178,""change""),0)"),-5.52)</f>
        <v>-5.52</v>
      </c>
      <c r="N4178" s="6">
        <v>2</v>
      </c>
      <c r="O4178" s="7">
        <v>45536</v>
      </c>
      <c r="P4178" s="6">
        <v>480.19</v>
      </c>
      <c r="Q4178" s="6">
        <v>2152.9</v>
      </c>
      <c r="R4178" s="7">
        <v>45536</v>
      </c>
      <c r="S4178" s="6">
        <v>452.06</v>
      </c>
      <c r="T4178" s="6">
        <v>-110.78</v>
      </c>
      <c r="U4178" s="7">
        <v>45536</v>
      </c>
      <c r="V4178" s="6">
        <v>0</v>
      </c>
      <c r="W4178" s="6">
        <f ca="1">IFERROR(__xludf.DUMMYFUNCTION("IFERROR(GOOGLEFINANCE(B4178,""pe""),V4178)"),0)</f>
        <v>0</v>
      </c>
      <c r="X4178" s="9"/>
      <c r="Y4178" s="6">
        <v>4.66</v>
      </c>
      <c r="Z4178" s="6">
        <v>2</v>
      </c>
      <c r="AA4178" s="8">
        <v>45352</v>
      </c>
      <c r="AB4178" s="4">
        <v>1.28</v>
      </c>
      <c r="AC4178" s="6">
        <v>-23.78</v>
      </c>
      <c r="AD4178" s="6">
        <v>-0.38</v>
      </c>
      <c r="AE4178" s="1">
        <v>0</v>
      </c>
      <c r="AF4178" s="1">
        <f ca="1">IFERROR(__xludf.DUMMYFUNCTION("IFERROR(GOOGLEFINANCE(TRIM(F4178)&amp;"":"" &amp; TRIM(B4178),""high52""),AE4178)"),272.5)</f>
        <v>272.5</v>
      </c>
      <c r="AG4178" s="1">
        <v>0</v>
      </c>
      <c r="AH4178" s="1">
        <f ca="1">IFERROR(__xludf.DUMMYFUNCTION("IFERROR(GOOGLEFINANCE(TRIM(F4178)&amp;"":"" &amp; TRIM(B4178),""low52""),AE4178)"),172.15)</f>
        <v>172.15</v>
      </c>
      <c r="AI4178" s="1">
        <f ca="1">IFERROR(__xludf.DUMMYFUNCTION("IFERROR(GOOGLEFINANCE(B4178,""eps""),0)"),-16.33)</f>
        <v>-16.329999999999998</v>
      </c>
      <c r="AJ4178" s="1"/>
      <c r="AK4178" s="1" t="s">
        <v>12686</v>
      </c>
      <c r="AL4178" s="9">
        <f t="shared" si="385"/>
        <v>1</v>
      </c>
    </row>
    <row r="4179" spans="1:38" ht="15" x14ac:dyDescent="0.25">
      <c r="A4179" s="1" t="s">
        <v>12687</v>
      </c>
      <c r="B4179" s="1" t="s">
        <v>12688</v>
      </c>
      <c r="C4179" s="1" t="s">
        <v>52</v>
      </c>
      <c r="D4179" s="1" t="s">
        <v>52</v>
      </c>
      <c r="E4179" s="6">
        <v>31.62</v>
      </c>
      <c r="F4179" s="1" t="s">
        <v>40</v>
      </c>
      <c r="G4179" s="6">
        <f ca="1">IFERROR(__xludf.DUMMYFUNCTION("iferror(GOOGLEFINANCE(TRIM(F4179)&amp;"":"" &amp; TRIM(B4179), ""price""),0
)"),0)</f>
        <v>0</v>
      </c>
      <c r="H4179" s="6">
        <v>112</v>
      </c>
      <c r="I4179" s="6">
        <f t="shared" ca="1" si="0"/>
        <v>112</v>
      </c>
      <c r="J4179" s="6">
        <f ca="1">IFERROR(__xludf.DUMMYFUNCTION("IFERROR(GOOGLEFINANCE(B4179, ""volume""), 0)"),0)</f>
        <v>0</v>
      </c>
      <c r="K4179" s="9"/>
      <c r="L4179" s="6" t="str">
        <f ca="1">IFERROR(__xludf.DUMMYFUNCTION("IFERROR(GOOGLEFINANCE(B4179,""changepct""),K4179)"),"")</f>
        <v/>
      </c>
      <c r="M4179" s="6">
        <f ca="1">IFERROR(__xludf.DUMMYFUNCTION("IFERROR(GOOGLEFINANCE(B4179,""change""),0)"),0)</f>
        <v>0</v>
      </c>
      <c r="N4179" s="6">
        <v>1</v>
      </c>
      <c r="O4179" s="7">
        <v>45536</v>
      </c>
      <c r="P4179" s="6">
        <v>2.58</v>
      </c>
      <c r="Q4179" s="6">
        <v>34.200000000000003</v>
      </c>
      <c r="R4179" s="7">
        <v>45352</v>
      </c>
      <c r="S4179" s="6">
        <v>10.35</v>
      </c>
      <c r="T4179" s="6">
        <v>1.7</v>
      </c>
      <c r="U4179" s="7">
        <v>45352</v>
      </c>
      <c r="V4179" s="6">
        <v>18.61</v>
      </c>
      <c r="W4179" s="6">
        <f ca="1">IFERROR(__xludf.DUMMYFUNCTION("IFERROR(GOOGLEFINANCE(B4179,""pe""),V4179)"),18.61)</f>
        <v>18.61</v>
      </c>
      <c r="X4179" s="12"/>
      <c r="Y4179" s="6">
        <v>2.6</v>
      </c>
      <c r="Z4179" s="6">
        <v>1</v>
      </c>
      <c r="AA4179" s="8">
        <v>45352</v>
      </c>
      <c r="AB4179" s="4">
        <v>0.59</v>
      </c>
      <c r="AC4179" s="6">
        <v>74.77</v>
      </c>
      <c r="AD4179" s="6">
        <v>65.58</v>
      </c>
      <c r="AE4179" s="1">
        <v>0</v>
      </c>
      <c r="AF4179" s="1">
        <f ca="1">IFERROR(__xludf.DUMMYFUNCTION("IFERROR(GOOGLEFINANCE(TRIM(F4179)&amp;"":"" &amp; TRIM(B4179),""high52""),AE4179)"),0)</f>
        <v>0</v>
      </c>
      <c r="AG4179" s="1">
        <v>0</v>
      </c>
      <c r="AH4179" s="1">
        <f ca="1">IFERROR(__xludf.DUMMYFUNCTION("IFERROR(GOOGLEFINANCE(TRIM(F4179)&amp;"":"" &amp; TRIM(B4179),""low52""),AE4179)"),0)</f>
        <v>0</v>
      </c>
      <c r="AI4179" s="1">
        <f ca="1">IFERROR(__xludf.DUMMYFUNCTION("IFERROR(GOOGLEFINANCE(B4179,""eps""),0)"),0)</f>
        <v>0</v>
      </c>
      <c r="AJ4179" s="1"/>
      <c r="AK4179" s="9"/>
      <c r="AL4179" s="1" t="b">
        <f>ISBLANK(AB4179)</f>
        <v>0</v>
      </c>
    </row>
    <row r="4180" spans="1:38" ht="15" x14ac:dyDescent="0.25">
      <c r="A4180" s="1" t="s">
        <v>12689</v>
      </c>
      <c r="B4180" s="1" t="s">
        <v>12690</v>
      </c>
      <c r="C4180" s="1" t="s">
        <v>227</v>
      </c>
      <c r="D4180" s="1" t="s">
        <v>227</v>
      </c>
      <c r="E4180" s="6">
        <v>19.420000000000002</v>
      </c>
      <c r="F4180" s="1" t="s">
        <v>53</v>
      </c>
      <c r="G4180" s="6">
        <f ca="1">IFERROR(__xludf.DUMMYFUNCTION("iferror(GOOGLEFINANCE(TRIM(F4180)&amp;"":"" &amp; TRIM(B4180), ""price""),0
)"),0)</f>
        <v>0</v>
      </c>
      <c r="H4180" s="6">
        <v>7.86</v>
      </c>
      <c r="I4180" s="6">
        <f t="shared" ca="1" si="0"/>
        <v>7.86</v>
      </c>
      <c r="J4180" s="6">
        <f ca="1">IFERROR(__xludf.DUMMYFUNCTION("IFERROR(GOOGLEFINANCE(B4180, ""volume""), 0)"),0)</f>
        <v>0</v>
      </c>
      <c r="K4180" s="6">
        <v>0.77</v>
      </c>
      <c r="L4180" s="6">
        <f ca="1">IFERROR(__xludf.DUMMYFUNCTION("IFERROR(GOOGLEFINANCE(B4180,""changepct""),K4180)"),0.77)</f>
        <v>0.77</v>
      </c>
      <c r="M4180" s="6">
        <f ca="1">IFERROR(__xludf.DUMMYFUNCTION("IFERROR(GOOGLEFINANCE(B4180,""change""),0)"),0)</f>
        <v>0</v>
      </c>
      <c r="N4180" s="6">
        <v>1</v>
      </c>
      <c r="O4180" s="7">
        <v>45352</v>
      </c>
      <c r="P4180" s="6">
        <v>4.24</v>
      </c>
      <c r="Q4180" s="6">
        <v>23.54</v>
      </c>
      <c r="R4180" s="7">
        <v>45352</v>
      </c>
      <c r="S4180" s="6">
        <v>4.05</v>
      </c>
      <c r="T4180" s="6">
        <v>0.45</v>
      </c>
      <c r="U4180" s="7">
        <v>45352</v>
      </c>
      <c r="V4180" s="6">
        <v>42.97</v>
      </c>
      <c r="W4180" s="6">
        <f ca="1">IFERROR(__xludf.DUMMYFUNCTION("IFERROR(GOOGLEFINANCE(B4180,""pe""),V4180)"),42.97)</f>
        <v>42.97</v>
      </c>
      <c r="X4180" s="9"/>
      <c r="Y4180" s="6">
        <v>0.44</v>
      </c>
      <c r="Z4180" s="6">
        <v>1</v>
      </c>
      <c r="AA4180" s="8">
        <v>45352</v>
      </c>
      <c r="AB4180" s="4">
        <v>0.17</v>
      </c>
      <c r="AC4180" s="6">
        <v>1.81</v>
      </c>
      <c r="AD4180" s="6">
        <v>1.92</v>
      </c>
      <c r="AE4180" s="1">
        <v>0</v>
      </c>
      <c r="AF4180" s="1">
        <f ca="1">IFERROR(__xludf.DUMMYFUNCTION("IFERROR(GOOGLEFINANCE(TRIM(F4180)&amp;"":"" &amp; TRIM(B4180),""high52""),AE4180)"),0)</f>
        <v>0</v>
      </c>
      <c r="AG4180" s="1">
        <v>0</v>
      </c>
      <c r="AH4180" s="1">
        <f ca="1">IFERROR(__xludf.DUMMYFUNCTION("IFERROR(GOOGLEFINANCE(TRIM(F4180)&amp;"":"" &amp; TRIM(B4180),""low52""),AE4180)"),0)</f>
        <v>0</v>
      </c>
      <c r="AI4180" s="1">
        <f ca="1">IFERROR(__xludf.DUMMYFUNCTION("IFERROR(GOOGLEFINANCE(B4180,""eps""),0)"),0)</f>
        <v>0</v>
      </c>
      <c r="AJ4180" s="1"/>
      <c r="AK4180" s="1" t="s">
        <v>12691</v>
      </c>
      <c r="AL4180" s="9">
        <f t="shared" ref="AL4180:AL4186" si="386">IF(AA4180&lt;&gt;AB4180,1,0)</f>
        <v>1</v>
      </c>
    </row>
    <row r="4181" spans="1:38" ht="15" x14ac:dyDescent="0.25">
      <c r="A4181" s="1" t="s">
        <v>12692</v>
      </c>
      <c r="B4181" s="1" t="s">
        <v>12693</v>
      </c>
      <c r="C4181" s="1" t="s">
        <v>227</v>
      </c>
      <c r="D4181" s="1" t="s">
        <v>227</v>
      </c>
      <c r="E4181" s="6">
        <v>104.67</v>
      </c>
      <c r="F4181" s="1" t="s">
        <v>53</v>
      </c>
      <c r="G4181" s="6">
        <f ca="1">IFERROR(__xludf.DUMMYFUNCTION("iferror(GOOGLEFINANCE(TRIM(F4181)&amp;"":"" &amp; TRIM(B4181), ""price""),0
)"),0)</f>
        <v>0</v>
      </c>
      <c r="H4181" s="6">
        <v>42.5</v>
      </c>
      <c r="I4181" s="6">
        <f t="shared" ca="1" si="0"/>
        <v>42.5</v>
      </c>
      <c r="J4181" s="6">
        <f ca="1">IFERROR(__xludf.DUMMYFUNCTION("IFERROR(GOOGLEFINANCE(B4181, ""volume""), 0)"),0)</f>
        <v>0</v>
      </c>
      <c r="K4181" s="9"/>
      <c r="L4181" s="6" t="str">
        <f ca="1">IFERROR(__xludf.DUMMYFUNCTION("IFERROR(GOOGLEFINANCE(B4181,""changepct""),K4181)"),"")</f>
        <v/>
      </c>
      <c r="M4181" s="6">
        <f ca="1">IFERROR(__xludf.DUMMYFUNCTION("IFERROR(GOOGLEFINANCE(B4181,""change""),0)"),0)</f>
        <v>0</v>
      </c>
      <c r="N4181" s="6">
        <v>1</v>
      </c>
      <c r="O4181" s="7">
        <v>45536</v>
      </c>
      <c r="P4181" s="6">
        <v>19.37</v>
      </c>
      <c r="Q4181" s="6">
        <v>124.05</v>
      </c>
      <c r="R4181" s="7">
        <v>45352</v>
      </c>
      <c r="S4181" s="6">
        <v>5.92</v>
      </c>
      <c r="T4181" s="6">
        <v>4.2300000000000004</v>
      </c>
      <c r="U4181" s="7">
        <v>45352</v>
      </c>
      <c r="V4181" s="6">
        <v>24.74</v>
      </c>
      <c r="W4181" s="6">
        <f ca="1">IFERROR(__xludf.DUMMYFUNCTION("IFERROR(GOOGLEFINANCE(B4181,""pe""),V4181)"),24.74)</f>
        <v>24.74</v>
      </c>
      <c r="X4181" s="6">
        <v>7.0000000000000007E-2</v>
      </c>
      <c r="Y4181" s="6">
        <v>1.87</v>
      </c>
      <c r="Z4181" s="6">
        <v>1</v>
      </c>
      <c r="AA4181" s="8">
        <v>45352</v>
      </c>
      <c r="AB4181" s="4">
        <v>2.1</v>
      </c>
      <c r="AC4181" s="6">
        <v>42.9</v>
      </c>
      <c r="AD4181" s="6">
        <v>25.26</v>
      </c>
      <c r="AE4181" s="1">
        <v>0</v>
      </c>
      <c r="AF4181" s="1">
        <f ca="1">IFERROR(__xludf.DUMMYFUNCTION("IFERROR(GOOGLEFINANCE(TRIM(F4181)&amp;"":"" &amp; TRIM(B4181),""high52""),AE4181)"),0)</f>
        <v>0</v>
      </c>
      <c r="AG4181" s="1">
        <v>0</v>
      </c>
      <c r="AH4181" s="1">
        <f ca="1">IFERROR(__xludf.DUMMYFUNCTION("IFERROR(GOOGLEFINANCE(TRIM(F4181)&amp;"":"" &amp; TRIM(B4181),""low52""),AE4181)"),0)</f>
        <v>0</v>
      </c>
      <c r="AI4181" s="1">
        <f ca="1">IFERROR(__xludf.DUMMYFUNCTION("IFERROR(GOOGLEFINANCE(B4181,""eps""),0)"),0)</f>
        <v>0</v>
      </c>
      <c r="AJ4181" s="1"/>
      <c r="AK4181" s="9"/>
      <c r="AL4181" s="9">
        <f t="shared" si="386"/>
        <v>1</v>
      </c>
    </row>
    <row r="4182" spans="1:38" ht="15" x14ac:dyDescent="0.25">
      <c r="A4182" s="1" t="s">
        <v>12694</v>
      </c>
      <c r="B4182" s="1" t="s">
        <v>12695</v>
      </c>
      <c r="C4182" s="1" t="s">
        <v>227</v>
      </c>
      <c r="D4182" s="1" t="s">
        <v>227</v>
      </c>
      <c r="E4182" s="6">
        <v>46.28</v>
      </c>
      <c r="F4182" s="1" t="s">
        <v>53</v>
      </c>
      <c r="G4182" s="6">
        <f ca="1">IFERROR(__xludf.DUMMYFUNCTION("iferror(GOOGLEFINANCE(TRIM(F4182)&amp;"":"" &amp; TRIM(B4182), ""price""),0
)"),0)</f>
        <v>0</v>
      </c>
      <c r="H4182" s="6">
        <v>33.200000000000003</v>
      </c>
      <c r="I4182" s="6">
        <f t="shared" ca="1" si="0"/>
        <v>33.200000000000003</v>
      </c>
      <c r="J4182" s="6">
        <f ca="1">IFERROR(__xludf.DUMMYFUNCTION("IFERROR(GOOGLEFINANCE(B4182, ""volume""), 0)"),0)</f>
        <v>0</v>
      </c>
      <c r="K4182" s="6">
        <v>-0.87</v>
      </c>
      <c r="L4182" s="6">
        <f ca="1">IFERROR(__xludf.DUMMYFUNCTION("IFERROR(GOOGLEFINANCE(B4182,""changepct""),K4182)"),-0.87)</f>
        <v>-0.87</v>
      </c>
      <c r="M4182" s="6">
        <f ca="1">IFERROR(__xludf.DUMMYFUNCTION("IFERROR(GOOGLEFINANCE(B4182,""change""),0)"),0)</f>
        <v>0</v>
      </c>
      <c r="N4182" s="6">
        <v>1</v>
      </c>
      <c r="O4182" s="7">
        <v>45536</v>
      </c>
      <c r="P4182" s="6">
        <v>18.27</v>
      </c>
      <c r="Q4182" s="6">
        <v>64.55</v>
      </c>
      <c r="R4182" s="7">
        <v>45352</v>
      </c>
      <c r="S4182" s="6">
        <v>30.8</v>
      </c>
      <c r="T4182" s="6">
        <v>1.73</v>
      </c>
      <c r="U4182" s="7">
        <v>45352</v>
      </c>
      <c r="V4182" s="6">
        <v>26.8</v>
      </c>
      <c r="W4182" s="6">
        <f ca="1">IFERROR(__xludf.DUMMYFUNCTION("IFERROR(GOOGLEFINANCE(B4182,""pe""),V4182)"),26.8)</f>
        <v>26.8</v>
      </c>
      <c r="X4182" s="12"/>
      <c r="Y4182" s="6">
        <v>1.21</v>
      </c>
      <c r="Z4182" s="6">
        <v>2</v>
      </c>
      <c r="AA4182" s="8">
        <v>45352</v>
      </c>
      <c r="AB4182" s="4">
        <v>0.54</v>
      </c>
      <c r="AC4182" s="6">
        <v>6.89</v>
      </c>
      <c r="AD4182" s="6">
        <v>8.18</v>
      </c>
      <c r="AE4182" s="1">
        <v>0</v>
      </c>
      <c r="AF4182" s="1">
        <f ca="1">IFERROR(__xludf.DUMMYFUNCTION("IFERROR(GOOGLEFINANCE(TRIM(F4182)&amp;"":"" &amp; TRIM(B4182),""high52""),AE4182)"),0)</f>
        <v>0</v>
      </c>
      <c r="AG4182" s="1">
        <v>0</v>
      </c>
      <c r="AH4182" s="1">
        <f ca="1">IFERROR(__xludf.DUMMYFUNCTION("IFERROR(GOOGLEFINANCE(TRIM(F4182)&amp;"":"" &amp; TRIM(B4182),""low52""),AE4182)"),0)</f>
        <v>0</v>
      </c>
      <c r="AI4182" s="1">
        <f ca="1">IFERROR(__xludf.DUMMYFUNCTION("IFERROR(GOOGLEFINANCE(B4182,""eps""),0)"),0)</f>
        <v>0</v>
      </c>
      <c r="AJ4182" s="1"/>
      <c r="AK4182" s="1" t="s">
        <v>12696</v>
      </c>
      <c r="AL4182" s="9">
        <f t="shared" si="386"/>
        <v>1</v>
      </c>
    </row>
    <row r="4183" spans="1:38" ht="15" x14ac:dyDescent="0.25">
      <c r="A4183" s="1" t="s">
        <v>12697</v>
      </c>
      <c r="B4183" s="1" t="s">
        <v>12698</v>
      </c>
      <c r="C4183" s="1" t="s">
        <v>57</v>
      </c>
      <c r="D4183" s="1" t="s">
        <v>57</v>
      </c>
      <c r="E4183" s="6">
        <v>55.34</v>
      </c>
      <c r="F4183" s="1" t="s">
        <v>40</v>
      </c>
      <c r="G4183" s="6">
        <f ca="1">IFERROR(__xludf.DUMMYFUNCTION("iferror(GOOGLEFINANCE(TRIM(F4183)&amp;"":"" &amp; TRIM(B4183), ""price""),0
)"),0)</f>
        <v>0</v>
      </c>
      <c r="H4183" s="6">
        <v>101</v>
      </c>
      <c r="I4183" s="6">
        <f t="shared" ca="1" si="0"/>
        <v>101</v>
      </c>
      <c r="J4183" s="6">
        <f ca="1">IFERROR(__xludf.DUMMYFUNCTION("IFERROR(GOOGLEFINANCE(B4183, ""volume""), 0)"),0)</f>
        <v>0</v>
      </c>
      <c r="K4183" s="6">
        <v>0</v>
      </c>
      <c r="L4183" s="6">
        <f ca="1">IFERROR(__xludf.DUMMYFUNCTION("IFERROR(GOOGLEFINANCE(B4183,""changepct""),K4183)"),0)</f>
        <v>0</v>
      </c>
      <c r="M4183" s="6">
        <f ca="1">IFERROR(__xludf.DUMMYFUNCTION("IFERROR(GOOGLEFINANCE(B4183,""change""),0)"),0)</f>
        <v>0</v>
      </c>
      <c r="N4183" s="6">
        <v>1</v>
      </c>
      <c r="O4183" s="7">
        <v>45536</v>
      </c>
      <c r="P4183" s="6">
        <v>2.69</v>
      </c>
      <c r="Q4183" s="6">
        <v>58.04</v>
      </c>
      <c r="R4183" s="7">
        <v>45352</v>
      </c>
      <c r="S4183" s="6">
        <v>18.22</v>
      </c>
      <c r="T4183" s="6">
        <v>0.72</v>
      </c>
      <c r="U4183" s="7">
        <v>45352</v>
      </c>
      <c r="V4183" s="6">
        <v>77.38</v>
      </c>
      <c r="W4183" s="6">
        <f ca="1">IFERROR(__xludf.DUMMYFUNCTION("IFERROR(GOOGLEFINANCE(B4183,""pe""),V4183)"),77.38)</f>
        <v>77.38</v>
      </c>
      <c r="X4183" s="12"/>
      <c r="Y4183" s="6">
        <v>2.34</v>
      </c>
      <c r="Z4183" s="6">
        <v>2</v>
      </c>
      <c r="AA4183" s="8">
        <v>45352</v>
      </c>
      <c r="AB4183" s="4">
        <v>0.12</v>
      </c>
      <c r="AC4183" s="6">
        <v>2.66</v>
      </c>
      <c r="AD4183" s="6">
        <v>5.38</v>
      </c>
      <c r="AE4183" s="1">
        <v>0</v>
      </c>
      <c r="AF4183" s="1">
        <f ca="1">IFERROR(__xludf.DUMMYFUNCTION("IFERROR(GOOGLEFINANCE(TRIM(F4183)&amp;"":"" &amp; TRIM(B4183),""high52""),AE4183)"),0)</f>
        <v>0</v>
      </c>
      <c r="AG4183" s="1">
        <v>0</v>
      </c>
      <c r="AH4183" s="1">
        <f ca="1">IFERROR(__xludf.DUMMYFUNCTION("IFERROR(GOOGLEFINANCE(TRIM(F4183)&amp;"":"" &amp; TRIM(B4183),""low52""),AE4183)"),0)</f>
        <v>0</v>
      </c>
      <c r="AI4183" s="1">
        <f ca="1">IFERROR(__xludf.DUMMYFUNCTION("IFERROR(GOOGLEFINANCE(B4183,""eps""),0)"),0)</f>
        <v>0</v>
      </c>
      <c r="AJ4183" s="1"/>
      <c r="AK4183" s="1" t="s">
        <v>12699</v>
      </c>
      <c r="AL4183" s="9">
        <f t="shared" si="386"/>
        <v>1</v>
      </c>
    </row>
    <row r="4184" spans="1:38" ht="15" x14ac:dyDescent="0.25">
      <c r="A4184" s="1" t="s">
        <v>12700</v>
      </c>
      <c r="B4184" s="1" t="s">
        <v>12701</v>
      </c>
      <c r="C4184" s="1" t="s">
        <v>227</v>
      </c>
      <c r="D4184" s="1" t="s">
        <v>227</v>
      </c>
      <c r="E4184" s="6">
        <v>228.87</v>
      </c>
      <c r="F4184" s="1" t="s">
        <v>53</v>
      </c>
      <c r="G4184" s="6">
        <f ca="1">IFERROR(__xludf.DUMMYFUNCTION("iferror(GOOGLEFINANCE(TRIM(F4184)&amp;"":"" &amp; TRIM(B4184), ""price""),0
)"),0)</f>
        <v>0</v>
      </c>
      <c r="H4184" s="6">
        <v>700</v>
      </c>
      <c r="I4184" s="6">
        <f t="shared" ca="1" si="0"/>
        <v>700</v>
      </c>
      <c r="J4184" s="6">
        <f ca="1">IFERROR(__xludf.DUMMYFUNCTION("IFERROR(GOOGLEFINANCE(B4184, ""volume""), 0)"),472)</f>
        <v>472</v>
      </c>
      <c r="K4184" s="6">
        <v>-3.33</v>
      </c>
      <c r="L4184" s="6">
        <f ca="1">IFERROR(__xludf.DUMMYFUNCTION("IFERROR(GOOGLEFINANCE(B4184,""changepct""),K4184)"),3.54)</f>
        <v>3.54</v>
      </c>
      <c r="M4184" s="6">
        <f ca="1">IFERROR(__xludf.DUMMYFUNCTION("IFERROR(GOOGLEFINANCE(B4184,""change""),0)"),9.4)</f>
        <v>9.4</v>
      </c>
      <c r="N4184" s="6">
        <v>2</v>
      </c>
      <c r="O4184" s="7">
        <v>45536</v>
      </c>
      <c r="P4184" s="6">
        <v>272.58</v>
      </c>
      <c r="Q4184" s="6">
        <v>487.32</v>
      </c>
      <c r="R4184" s="7">
        <v>45352</v>
      </c>
      <c r="S4184" s="6">
        <v>643.66</v>
      </c>
      <c r="T4184" s="6">
        <v>11.67</v>
      </c>
      <c r="U4184" s="7">
        <v>45352</v>
      </c>
      <c r="V4184" s="6">
        <v>44.67</v>
      </c>
      <c r="W4184" s="6">
        <f ca="1">IFERROR(__xludf.DUMMYFUNCTION("IFERROR(GOOGLEFINANCE(B4184,""pe""),V4184)"),44.67)</f>
        <v>44.67</v>
      </c>
      <c r="X4184" s="6">
        <v>1.58</v>
      </c>
      <c r="Y4184" s="6">
        <v>3.54</v>
      </c>
      <c r="Z4184" s="6">
        <v>2</v>
      </c>
      <c r="AA4184" s="8">
        <v>45352</v>
      </c>
      <c r="AB4184" s="4">
        <v>4.01</v>
      </c>
      <c r="AC4184" s="6">
        <v>20.9</v>
      </c>
      <c r="AD4184" s="6">
        <v>13.46</v>
      </c>
      <c r="AE4184" s="1">
        <v>0</v>
      </c>
      <c r="AF4184" s="1">
        <f ca="1">IFERROR(__xludf.DUMMYFUNCTION("IFERROR(GOOGLEFINANCE(TRIM(F4184)&amp;"":"" &amp; TRIM(B4184),""high52""),AE4184)"),0)</f>
        <v>0</v>
      </c>
      <c r="AG4184" s="1">
        <v>0</v>
      </c>
      <c r="AH4184" s="1">
        <f ca="1">IFERROR(__xludf.DUMMYFUNCTION("IFERROR(GOOGLEFINANCE(TRIM(F4184)&amp;"":"" &amp; TRIM(B4184),""low52""),AE4184)"),0)</f>
        <v>0</v>
      </c>
      <c r="AI4184" s="1">
        <f ca="1">IFERROR(__xludf.DUMMYFUNCTION("IFERROR(GOOGLEFINANCE(B4184,""eps""),0)"),-18.88)</f>
        <v>-18.88</v>
      </c>
      <c r="AJ4184" s="1"/>
      <c r="AK4184" s="1" t="s">
        <v>12702</v>
      </c>
      <c r="AL4184" s="9">
        <f t="shared" si="386"/>
        <v>1</v>
      </c>
    </row>
    <row r="4185" spans="1:38" ht="15" x14ac:dyDescent="0.25">
      <c r="A4185" s="1" t="s">
        <v>12703</v>
      </c>
      <c r="B4185" s="1" t="s">
        <v>12704</v>
      </c>
      <c r="C4185" s="1" t="s">
        <v>227</v>
      </c>
      <c r="D4185" s="1" t="s">
        <v>227</v>
      </c>
      <c r="E4185" s="6">
        <v>213.14</v>
      </c>
      <c r="F4185" s="1" t="s">
        <v>53</v>
      </c>
      <c r="G4185" s="6">
        <f ca="1">IFERROR(__xludf.DUMMYFUNCTION("iferror(GOOGLEFINANCE(TRIM(F4185)&amp;"":"" &amp; TRIM(B4185), ""price""),0
)"),0)</f>
        <v>0</v>
      </c>
      <c r="H4185" s="6">
        <v>87.61</v>
      </c>
      <c r="I4185" s="6">
        <f t="shared" ca="1" si="0"/>
        <v>87.61</v>
      </c>
      <c r="J4185" s="6">
        <f ca="1">IFERROR(__xludf.DUMMYFUNCTION("IFERROR(GOOGLEFINANCE(B4185, ""volume""), 0)"),0)</f>
        <v>0</v>
      </c>
      <c r="K4185" s="6">
        <v>1.99</v>
      </c>
      <c r="L4185" s="6">
        <f ca="1">IFERROR(__xludf.DUMMYFUNCTION("IFERROR(GOOGLEFINANCE(B4185,""changepct""),K4185)"),1.99)</f>
        <v>1.99</v>
      </c>
      <c r="M4185" s="6">
        <f ca="1">IFERROR(__xludf.DUMMYFUNCTION("IFERROR(GOOGLEFINANCE(B4185,""change""),0)"),0)</f>
        <v>0</v>
      </c>
      <c r="N4185" s="6">
        <v>1</v>
      </c>
      <c r="O4185" s="7">
        <v>45536</v>
      </c>
      <c r="P4185" s="6">
        <v>2.5</v>
      </c>
      <c r="Q4185" s="6">
        <v>215.64</v>
      </c>
      <c r="R4185" s="7">
        <v>45352</v>
      </c>
      <c r="S4185" s="6">
        <v>52.37</v>
      </c>
      <c r="T4185" s="6">
        <v>1.49</v>
      </c>
      <c r="U4185" s="7">
        <v>45352</v>
      </c>
      <c r="V4185" s="6">
        <v>143.16</v>
      </c>
      <c r="W4185" s="6">
        <f ca="1">IFERROR(__xludf.DUMMYFUNCTION("IFERROR(GOOGLEFINANCE(B4185,""pe""),V4185)"),143.16)</f>
        <v>143.16</v>
      </c>
      <c r="X4185" s="12"/>
      <c r="Y4185" s="6">
        <v>7.23</v>
      </c>
      <c r="Z4185" s="6">
        <v>2</v>
      </c>
      <c r="AA4185" s="8">
        <v>45352</v>
      </c>
      <c r="AB4185" s="4">
        <v>0.09</v>
      </c>
      <c r="AC4185" s="6">
        <v>9.77</v>
      </c>
      <c r="AD4185" s="6">
        <v>12.63</v>
      </c>
      <c r="AE4185" s="1">
        <v>0</v>
      </c>
      <c r="AF4185" s="1">
        <f ca="1">IFERROR(__xludf.DUMMYFUNCTION("IFERROR(GOOGLEFINANCE(TRIM(F4185)&amp;"":"" &amp; TRIM(B4185),""high52""),AE4185)"),0)</f>
        <v>0</v>
      </c>
      <c r="AG4185" s="1">
        <v>0</v>
      </c>
      <c r="AH4185" s="1">
        <f ca="1">IFERROR(__xludf.DUMMYFUNCTION("IFERROR(GOOGLEFINANCE(TRIM(F4185)&amp;"":"" &amp; TRIM(B4185),""low52""),AE4185)"),0)</f>
        <v>0</v>
      </c>
      <c r="AI4185" s="1">
        <f ca="1">IFERROR(__xludf.DUMMYFUNCTION("IFERROR(GOOGLEFINANCE(B4185,""eps""),0)"),0)</f>
        <v>0</v>
      </c>
      <c r="AJ4185" s="1"/>
      <c r="AK4185" s="1" t="s">
        <v>12705</v>
      </c>
      <c r="AL4185" s="9">
        <f t="shared" si="386"/>
        <v>1</v>
      </c>
    </row>
    <row r="4186" spans="1:38" ht="15" x14ac:dyDescent="0.25">
      <c r="A4186" s="1" t="s">
        <v>12706</v>
      </c>
      <c r="B4186" s="1" t="s">
        <v>12707</v>
      </c>
      <c r="C4186" s="1" t="s">
        <v>227</v>
      </c>
      <c r="D4186" s="1" t="s">
        <v>227</v>
      </c>
      <c r="E4186" s="6">
        <v>33.72</v>
      </c>
      <c r="F4186" s="1" t="s">
        <v>53</v>
      </c>
      <c r="G4186" s="6">
        <f ca="1">IFERROR(__xludf.DUMMYFUNCTION("iferror(GOOGLEFINANCE(TRIM(F4186)&amp;"":"" &amp; TRIM(B4186), ""price""),0
)"),0)</f>
        <v>0</v>
      </c>
      <c r="H4186" s="6">
        <v>29.7</v>
      </c>
      <c r="I4186" s="6">
        <f t="shared" ca="1" si="0"/>
        <v>29.7</v>
      </c>
      <c r="J4186" s="6">
        <f ca="1">IFERROR(__xludf.DUMMYFUNCTION("IFERROR(GOOGLEFINANCE(B4186, ""volume""), 0)"),0)</f>
        <v>0</v>
      </c>
      <c r="K4186" s="9"/>
      <c r="L4186" s="6" t="str">
        <f ca="1">IFERROR(__xludf.DUMMYFUNCTION("IFERROR(GOOGLEFINANCE(B4186,""changepct""),K4186)"),"")</f>
        <v/>
      </c>
      <c r="M4186" s="6">
        <f ca="1">IFERROR(__xludf.DUMMYFUNCTION("IFERROR(GOOGLEFINANCE(B4186,""change""),0)"),0)</f>
        <v>0</v>
      </c>
      <c r="N4186" s="6">
        <v>1</v>
      </c>
      <c r="O4186" s="7">
        <v>45536</v>
      </c>
      <c r="P4186" s="6">
        <v>20.03</v>
      </c>
      <c r="Q4186" s="6">
        <v>53.75</v>
      </c>
      <c r="R4186" s="7">
        <v>45352</v>
      </c>
      <c r="S4186" s="6">
        <v>0.25</v>
      </c>
      <c r="T4186" s="6">
        <v>-2.46</v>
      </c>
      <c r="U4186" s="7">
        <v>45352</v>
      </c>
      <c r="V4186" s="6">
        <v>0</v>
      </c>
      <c r="W4186" s="6">
        <f ca="1">IFERROR(__xludf.DUMMYFUNCTION("IFERROR(GOOGLEFINANCE(B4186,""pe""),V4186)"),0)</f>
        <v>0</v>
      </c>
      <c r="X4186" s="12"/>
      <c r="Y4186" s="6">
        <v>14.49</v>
      </c>
      <c r="Z4186" s="6">
        <v>1</v>
      </c>
      <c r="AA4186" s="8">
        <v>45352</v>
      </c>
      <c r="AB4186" s="4">
        <v>8.44</v>
      </c>
      <c r="AC4186" s="6">
        <v>-69.099999999999994</v>
      </c>
      <c r="AD4186" s="6">
        <v>-14.56</v>
      </c>
      <c r="AE4186" s="1">
        <v>0</v>
      </c>
      <c r="AF4186" s="1">
        <f ca="1">IFERROR(__xludf.DUMMYFUNCTION("IFERROR(GOOGLEFINANCE(TRIM(F4186)&amp;"":"" &amp; TRIM(B4186),""high52""),AE4186)"),0)</f>
        <v>0</v>
      </c>
      <c r="AG4186" s="1">
        <v>0</v>
      </c>
      <c r="AH4186" s="1">
        <f ca="1">IFERROR(__xludf.DUMMYFUNCTION("IFERROR(GOOGLEFINANCE(TRIM(F4186)&amp;"":"" &amp; TRIM(B4186),""low52""),AE4186)"),0)</f>
        <v>0</v>
      </c>
      <c r="AI4186" s="1">
        <f ca="1">IFERROR(__xludf.DUMMYFUNCTION("IFERROR(GOOGLEFINANCE(B4186,""eps""),0)"),0)</f>
        <v>0</v>
      </c>
      <c r="AJ4186" s="1"/>
      <c r="AK4186" s="1" t="s">
        <v>12708</v>
      </c>
      <c r="AL4186" s="9">
        <f t="shared" si="386"/>
        <v>1</v>
      </c>
    </row>
    <row r="4187" spans="1:38" ht="15" x14ac:dyDescent="0.25">
      <c r="A4187" s="1" t="s">
        <v>12709</v>
      </c>
      <c r="B4187" s="1" t="s">
        <v>12710</v>
      </c>
      <c r="C4187" s="1" t="s">
        <v>52</v>
      </c>
      <c r="D4187" s="1" t="s">
        <v>52</v>
      </c>
      <c r="E4187" s="6">
        <v>1216.23</v>
      </c>
      <c r="F4187" s="1" t="s">
        <v>40</v>
      </c>
      <c r="G4187" s="6">
        <f ca="1">IFERROR(__xludf.DUMMYFUNCTION("iferror(GOOGLEFINANCE(TRIM(F4187)&amp;"":"" &amp; TRIM(B4187), ""price""),0
)"),54.58)</f>
        <v>54.58</v>
      </c>
      <c r="H4187" s="6">
        <v>14.56</v>
      </c>
      <c r="I4187" s="6">
        <f t="shared" ca="1" si="0"/>
        <v>54.58</v>
      </c>
      <c r="J4187" s="6">
        <f ca="1">IFERROR(__xludf.DUMMYFUNCTION("IFERROR(GOOGLEFINANCE(B4187, ""volume""), 0)"),191280)</f>
        <v>191280</v>
      </c>
      <c r="K4187" s="6">
        <v>2.0299999999999998</v>
      </c>
      <c r="L4187" s="6">
        <f ca="1">IFERROR(__xludf.DUMMYFUNCTION("IFERROR(GOOGLEFINANCE(B4187,""changepct""),K4187)"),-2.73)</f>
        <v>-2.73</v>
      </c>
      <c r="M4187" s="6">
        <f ca="1">IFERROR(__xludf.DUMMYFUNCTION("IFERROR(GOOGLEFINANCE(B4187,""change""),0)"),-1.53)</f>
        <v>-1.53</v>
      </c>
      <c r="N4187" s="6">
        <v>2</v>
      </c>
      <c r="O4187" s="7">
        <v>45536</v>
      </c>
      <c r="P4187" s="6">
        <v>19.829999999999998</v>
      </c>
      <c r="Q4187" s="6">
        <v>1217.5899999999999</v>
      </c>
      <c r="R4187" s="7">
        <v>45536</v>
      </c>
      <c r="S4187" s="6">
        <v>224.71</v>
      </c>
      <c r="T4187" s="6">
        <v>21.5</v>
      </c>
      <c r="U4187" s="7">
        <v>45536</v>
      </c>
      <c r="V4187" s="6">
        <v>54.31</v>
      </c>
      <c r="W4187" s="6">
        <f ca="1">IFERROR(__xludf.DUMMYFUNCTION("IFERROR(GOOGLEFINANCE(B4187,""pe""),V4187)"),17)</f>
        <v>17</v>
      </c>
      <c r="X4187" s="6">
        <v>3.28</v>
      </c>
      <c r="Y4187" s="6">
        <v>5.72</v>
      </c>
      <c r="Z4187" s="6">
        <v>2</v>
      </c>
      <c r="AA4187" s="8">
        <v>45352</v>
      </c>
      <c r="AB4187" s="4">
        <v>0.09</v>
      </c>
      <c r="AC4187" s="6">
        <v>13.66</v>
      </c>
      <c r="AD4187" s="6">
        <v>12.42</v>
      </c>
      <c r="AE4187" s="1">
        <v>0</v>
      </c>
      <c r="AF4187" s="1">
        <f ca="1">IFERROR(__xludf.DUMMYFUNCTION("IFERROR(GOOGLEFINANCE(TRIM(F4187)&amp;"":"" &amp; TRIM(B4187),""high52""),AE4187)"),113.5)</f>
        <v>113.5</v>
      </c>
      <c r="AG4187" s="1">
        <v>0</v>
      </c>
      <c r="AH4187" s="1">
        <f ca="1">IFERROR(__xludf.DUMMYFUNCTION("IFERROR(GOOGLEFINANCE(TRIM(F4187)&amp;"":"" &amp; TRIM(B4187),""low52""),AE4187)"),52.2)</f>
        <v>52.2</v>
      </c>
      <c r="AI4187" s="1">
        <f ca="1">IFERROR(__xludf.DUMMYFUNCTION("IFERROR(GOOGLEFINANCE(B4187,""eps""),0)"),3.21)</f>
        <v>3.21</v>
      </c>
      <c r="AJ4187" s="1"/>
      <c r="AK4187" s="1" t="s">
        <v>12711</v>
      </c>
      <c r="AL4187" s="1" t="b">
        <f>ISNUMBER(AA4187)</f>
        <v>1</v>
      </c>
    </row>
    <row r="4188" spans="1:38" ht="15" x14ac:dyDescent="0.25">
      <c r="A4188" s="1" t="s">
        <v>12712</v>
      </c>
      <c r="B4188" s="1" t="s">
        <v>12713</v>
      </c>
      <c r="C4188" s="1" t="s">
        <v>4673</v>
      </c>
      <c r="D4188" s="1" t="s">
        <v>4673</v>
      </c>
      <c r="E4188" s="6">
        <v>9254.7099999999991</v>
      </c>
      <c r="F4188" s="1" t="s">
        <v>40</v>
      </c>
      <c r="G4188" s="6">
        <f ca="1">IFERROR(__xludf.DUMMYFUNCTION("iferror(GOOGLEFINANCE(TRIM(F4188)&amp;"":"" &amp; TRIM(B4188), ""price""),0
)"),466.5)</f>
        <v>466.5</v>
      </c>
      <c r="H4188" s="6">
        <v>4561.7</v>
      </c>
      <c r="I4188" s="6">
        <f t="shared" ca="1" si="0"/>
        <v>466.5</v>
      </c>
      <c r="J4188" s="6">
        <f ca="1">IFERROR(__xludf.DUMMYFUNCTION("IFERROR(GOOGLEFINANCE(B4188, ""volume""), 0)"),30944)</f>
        <v>30944</v>
      </c>
      <c r="K4188" s="6">
        <v>7.0000000000000007E-2</v>
      </c>
      <c r="L4188" s="6">
        <f ca="1">IFERROR(__xludf.DUMMYFUNCTION("IFERROR(GOOGLEFINANCE(B4188,""changepct""),K4188)"),1.11)</f>
        <v>1.1100000000000001</v>
      </c>
      <c r="M4188" s="6">
        <f ca="1">IFERROR(__xludf.DUMMYFUNCTION("IFERROR(GOOGLEFINANCE(B4188,""change""),0)"),5.1)</f>
        <v>5.0999999999999996</v>
      </c>
      <c r="N4188" s="6">
        <v>1</v>
      </c>
      <c r="O4188" s="7">
        <v>45444</v>
      </c>
      <c r="P4188" s="12"/>
      <c r="Q4188" s="6">
        <v>8832</v>
      </c>
      <c r="R4188" s="7">
        <v>45536</v>
      </c>
      <c r="S4188" s="6">
        <v>1776.72</v>
      </c>
      <c r="T4188" s="6">
        <v>261.66000000000003</v>
      </c>
      <c r="U4188" s="7">
        <v>45536</v>
      </c>
      <c r="V4188" s="6">
        <v>35.369999999999997</v>
      </c>
      <c r="W4188" s="6">
        <f ca="1">IFERROR(__xludf.DUMMYFUNCTION("IFERROR(GOOGLEFINANCE(B4188,""pe""),V4188)"),38.64)</f>
        <v>38.64</v>
      </c>
      <c r="X4188" s="6">
        <v>9.5299999999999994</v>
      </c>
      <c r="Y4188" s="6">
        <v>6.75</v>
      </c>
      <c r="Z4188" s="6">
        <v>1</v>
      </c>
      <c r="AA4188" s="13">
        <v>45261</v>
      </c>
      <c r="AB4188" s="4">
        <v>0</v>
      </c>
      <c r="AC4188" s="6">
        <v>19.43</v>
      </c>
      <c r="AD4188" s="6">
        <v>26.25</v>
      </c>
      <c r="AE4188" s="1">
        <v>0</v>
      </c>
      <c r="AF4188" s="1">
        <f ca="1">IFERROR(__xludf.DUMMYFUNCTION("IFERROR(GOOGLEFINANCE(TRIM(F4188)&amp;"":"" &amp; TRIM(B4188),""high52""),AE4188)"),646)</f>
        <v>646</v>
      </c>
      <c r="AG4188" s="1">
        <v>0</v>
      </c>
      <c r="AH4188" s="1">
        <f ca="1">IFERROR(__xludf.DUMMYFUNCTION("IFERROR(GOOGLEFINANCE(TRIM(F4188)&amp;"":"" &amp; TRIM(B4188),""low52""),AE4188)"),356.13)</f>
        <v>356.13</v>
      </c>
      <c r="AI4188" s="1">
        <f ca="1">IFERROR(__xludf.DUMMYFUNCTION("IFERROR(GOOGLEFINANCE(B4188,""eps""),0)"),12.07)</f>
        <v>12.07</v>
      </c>
      <c r="AJ4188" s="1"/>
      <c r="AK4188" s="1" t="s">
        <v>12714</v>
      </c>
      <c r="AL4188" s="9">
        <f t="shared" ref="AL4188:AL4211" si="387">IF(AA4188&lt;&gt;AB4188,1,0)</f>
        <v>1</v>
      </c>
    </row>
    <row r="4189" spans="1:38" ht="15" x14ac:dyDescent="0.25">
      <c r="A4189" s="1" t="s">
        <v>12715</v>
      </c>
      <c r="B4189" s="1" t="s">
        <v>12716</v>
      </c>
      <c r="C4189" s="1" t="s">
        <v>227</v>
      </c>
      <c r="D4189" s="1" t="s">
        <v>227</v>
      </c>
      <c r="E4189" s="6">
        <v>1552</v>
      </c>
      <c r="F4189" s="1" t="s">
        <v>53</v>
      </c>
      <c r="G4189" s="6">
        <f ca="1">IFERROR(__xludf.DUMMYFUNCTION("iferror(GOOGLEFINANCE(TRIM(F4189)&amp;"":"" &amp; TRIM(B4189), ""price""),0
)"),0)</f>
        <v>0</v>
      </c>
      <c r="H4189" s="6">
        <v>635</v>
      </c>
      <c r="I4189" s="6">
        <f t="shared" ca="1" si="0"/>
        <v>635</v>
      </c>
      <c r="J4189" s="6">
        <f ca="1">IFERROR(__xludf.DUMMYFUNCTION("IFERROR(GOOGLEFINANCE(B4189, ""volume""), 0)"),0)</f>
        <v>0</v>
      </c>
      <c r="K4189" s="6">
        <v>1.25</v>
      </c>
      <c r="L4189" s="6">
        <f ca="1">IFERROR(__xludf.DUMMYFUNCTION("IFERROR(GOOGLEFINANCE(B4189,""changepct""),K4189)"),1.25)</f>
        <v>1.25</v>
      </c>
      <c r="M4189" s="6">
        <f ca="1">IFERROR(__xludf.DUMMYFUNCTION("IFERROR(GOOGLEFINANCE(B4189,""change""),0)"),0)</f>
        <v>0</v>
      </c>
      <c r="N4189" s="6">
        <v>1</v>
      </c>
      <c r="O4189" s="7">
        <v>45536</v>
      </c>
      <c r="P4189" s="6">
        <v>49.14</v>
      </c>
      <c r="Q4189" s="6">
        <v>1601.14</v>
      </c>
      <c r="R4189" s="7">
        <v>45352</v>
      </c>
      <c r="S4189" s="6">
        <v>820.78</v>
      </c>
      <c r="T4189" s="6">
        <v>27.32</v>
      </c>
      <c r="U4189" s="7">
        <v>45352</v>
      </c>
      <c r="V4189" s="6">
        <v>56.81</v>
      </c>
      <c r="W4189" s="6">
        <f ca="1">IFERROR(__xludf.DUMMYFUNCTION("IFERROR(GOOGLEFINANCE(B4189,""pe""),V4189)"),56.81)</f>
        <v>56.81</v>
      </c>
      <c r="X4189" s="9"/>
      <c r="Y4189" s="6">
        <v>7.88</v>
      </c>
      <c r="Z4189" s="6">
        <v>1</v>
      </c>
      <c r="AA4189" s="8">
        <v>45352</v>
      </c>
      <c r="AB4189" s="4">
        <v>0.28999999999999998</v>
      </c>
      <c r="AC4189" s="6">
        <v>24.41</v>
      </c>
      <c r="AD4189" s="6">
        <v>22.86</v>
      </c>
      <c r="AE4189" s="1">
        <v>0</v>
      </c>
      <c r="AF4189" s="1">
        <f ca="1">IFERROR(__xludf.DUMMYFUNCTION("IFERROR(GOOGLEFINANCE(TRIM(F4189)&amp;"":"" &amp; TRIM(B4189),""high52""),AE4189)"),0)</f>
        <v>0</v>
      </c>
      <c r="AG4189" s="1">
        <v>0</v>
      </c>
      <c r="AH4189" s="1">
        <f ca="1">IFERROR(__xludf.DUMMYFUNCTION("IFERROR(GOOGLEFINANCE(TRIM(F4189)&amp;"":"" &amp; TRIM(B4189),""low52""),AE4189)"),0)</f>
        <v>0</v>
      </c>
      <c r="AI4189" s="1">
        <f ca="1">IFERROR(__xludf.DUMMYFUNCTION("IFERROR(GOOGLEFINANCE(B4189,""eps""),0)"),0)</f>
        <v>0</v>
      </c>
      <c r="AJ4189" s="1"/>
      <c r="AK4189" s="1" t="s">
        <v>12717</v>
      </c>
      <c r="AL4189" s="9">
        <f t="shared" si="387"/>
        <v>1</v>
      </c>
    </row>
    <row r="4190" spans="1:38" ht="15" x14ac:dyDescent="0.25">
      <c r="A4190" s="1" t="s">
        <v>12718</v>
      </c>
      <c r="B4190" s="1" t="s">
        <v>12719</v>
      </c>
      <c r="C4190" s="1" t="s">
        <v>227</v>
      </c>
      <c r="D4190" s="1" t="s">
        <v>227</v>
      </c>
      <c r="E4190" s="6">
        <v>228.03</v>
      </c>
      <c r="F4190" s="1" t="s">
        <v>53</v>
      </c>
      <c r="G4190" s="6">
        <f ca="1">IFERROR(__xludf.DUMMYFUNCTION("iferror(GOOGLEFINANCE(TRIM(F4190)&amp;"":"" &amp; TRIM(B4190), ""price""),0
)"),0)</f>
        <v>0</v>
      </c>
      <c r="H4190" s="6">
        <v>199.9</v>
      </c>
      <c r="I4190" s="6">
        <f t="shared" ca="1" si="0"/>
        <v>199.9</v>
      </c>
      <c r="J4190" s="6">
        <f ca="1">IFERROR(__xludf.DUMMYFUNCTION("IFERROR(GOOGLEFINANCE(B4190, ""volume""), 0)"),0)</f>
        <v>0</v>
      </c>
      <c r="K4190" s="12"/>
      <c r="L4190" s="6">
        <f ca="1">IFERROR(__xludf.DUMMYFUNCTION("IFERROR(GOOGLEFINANCE(B4190,""changepct""),K4190)"),-0.29)</f>
        <v>-0.28999999999999998</v>
      </c>
      <c r="M4190" s="6">
        <f ca="1">IFERROR(__xludf.DUMMYFUNCTION("IFERROR(GOOGLEFINANCE(B4190,""change""),0)"),-19)</f>
        <v>-19</v>
      </c>
      <c r="N4190" s="6">
        <v>1</v>
      </c>
      <c r="O4190" s="7">
        <v>45536</v>
      </c>
      <c r="P4190" s="6">
        <v>55.49</v>
      </c>
      <c r="Q4190" s="6">
        <v>283.51</v>
      </c>
      <c r="R4190" s="7">
        <v>45352</v>
      </c>
      <c r="S4190" s="6">
        <v>95.92</v>
      </c>
      <c r="T4190" s="6">
        <v>6.08</v>
      </c>
      <c r="U4190" s="7">
        <v>45352</v>
      </c>
      <c r="V4190" s="6">
        <v>37.51</v>
      </c>
      <c r="W4190" s="6">
        <f ca="1">IFERROR(__xludf.DUMMYFUNCTION("IFERROR(GOOGLEFINANCE(B4190,""pe""),V4190)"),37.51)</f>
        <v>37.51</v>
      </c>
      <c r="X4190" s="9"/>
      <c r="Y4190" s="6">
        <v>2.91</v>
      </c>
      <c r="Z4190" s="6">
        <v>2</v>
      </c>
      <c r="AA4190" s="8">
        <v>45352</v>
      </c>
      <c r="AB4190" s="4">
        <v>1.87</v>
      </c>
      <c r="AC4190" s="6">
        <v>27.47</v>
      </c>
      <c r="AD4190" s="6">
        <v>19.52</v>
      </c>
      <c r="AE4190" s="1">
        <v>0</v>
      </c>
      <c r="AF4190" s="1">
        <f ca="1">IFERROR(__xludf.DUMMYFUNCTION("IFERROR(GOOGLEFINANCE(TRIM(F4190)&amp;"":"" &amp; TRIM(B4190),""high52""),AE4190)"),0)</f>
        <v>0</v>
      </c>
      <c r="AG4190" s="1">
        <v>0</v>
      </c>
      <c r="AH4190" s="1">
        <f ca="1">IFERROR(__xludf.DUMMYFUNCTION("IFERROR(GOOGLEFINANCE(TRIM(F4190)&amp;"":"" &amp; TRIM(B4190),""low52""),AE4190)"),0)</f>
        <v>0</v>
      </c>
      <c r="AI4190" s="1">
        <f ca="1">IFERROR(__xludf.DUMMYFUNCTION("IFERROR(GOOGLEFINANCE(B4190,""eps""),0)"),0)</f>
        <v>0</v>
      </c>
      <c r="AJ4190" s="1"/>
      <c r="AK4190" s="1" t="s">
        <v>12720</v>
      </c>
      <c r="AL4190" s="9">
        <f t="shared" si="387"/>
        <v>1</v>
      </c>
    </row>
    <row r="4191" spans="1:38" ht="15" x14ac:dyDescent="0.25">
      <c r="A4191" s="1" t="s">
        <v>12721</v>
      </c>
      <c r="B4191" s="1" t="s">
        <v>12722</v>
      </c>
      <c r="C4191" s="1" t="s">
        <v>227</v>
      </c>
      <c r="D4191" s="1" t="s">
        <v>227</v>
      </c>
      <c r="E4191" s="6">
        <v>561.85</v>
      </c>
      <c r="F4191" s="1" t="s">
        <v>53</v>
      </c>
      <c r="G4191" s="6">
        <f ca="1">IFERROR(__xludf.DUMMYFUNCTION("iferror(GOOGLEFINANCE(TRIM(F4191)&amp;"":"" &amp; TRIM(B4191), ""price""),0
)"),0)</f>
        <v>0</v>
      </c>
      <c r="H4191" s="6">
        <v>541.95000000000005</v>
      </c>
      <c r="I4191" s="6">
        <f t="shared" ca="1" si="0"/>
        <v>541.95000000000005</v>
      </c>
      <c r="J4191" s="6">
        <f ca="1">IFERROR(__xludf.DUMMYFUNCTION("IFERROR(GOOGLEFINANCE(B4191, ""volume""), 0)"),0)</f>
        <v>0</v>
      </c>
      <c r="K4191" s="6">
        <v>-2</v>
      </c>
      <c r="L4191" s="6">
        <f ca="1">IFERROR(__xludf.DUMMYFUNCTION("IFERROR(GOOGLEFINANCE(B4191,""changepct""),K4191)"),-2)</f>
        <v>-2</v>
      </c>
      <c r="M4191" s="6">
        <f ca="1">IFERROR(__xludf.DUMMYFUNCTION("IFERROR(GOOGLEFINANCE(B4191,""change""),0)"),0)</f>
        <v>0</v>
      </c>
      <c r="N4191" s="6">
        <v>1</v>
      </c>
      <c r="O4191" s="7">
        <v>45536</v>
      </c>
      <c r="P4191" s="6">
        <v>4.71</v>
      </c>
      <c r="Q4191" s="6">
        <v>562.89</v>
      </c>
      <c r="R4191" s="7">
        <v>45352</v>
      </c>
      <c r="S4191" s="6">
        <v>63.14</v>
      </c>
      <c r="T4191" s="6">
        <v>9.0500000000000007</v>
      </c>
      <c r="U4191" s="7">
        <v>45352</v>
      </c>
      <c r="V4191" s="6">
        <v>62.06</v>
      </c>
      <c r="W4191" s="6">
        <f ca="1">IFERROR(__xludf.DUMMYFUNCTION("IFERROR(GOOGLEFINANCE(B4191,""pe""),V4191)"),62.06)</f>
        <v>62.06</v>
      </c>
      <c r="X4191" s="9"/>
      <c r="Y4191" s="6">
        <v>9.33</v>
      </c>
      <c r="Z4191" s="6">
        <v>1</v>
      </c>
      <c r="AA4191" s="8">
        <v>45352</v>
      </c>
      <c r="AB4191" s="4">
        <v>0.09</v>
      </c>
      <c r="AC4191" s="6">
        <v>23</v>
      </c>
      <c r="AD4191" s="6">
        <v>28.39</v>
      </c>
      <c r="AE4191" s="1">
        <v>0</v>
      </c>
      <c r="AF4191" s="1">
        <f ca="1">IFERROR(__xludf.DUMMYFUNCTION("IFERROR(GOOGLEFINANCE(TRIM(F4191)&amp;"":"" &amp; TRIM(B4191),""high52""),AE4191)"),0)</f>
        <v>0</v>
      </c>
      <c r="AG4191" s="1">
        <v>0</v>
      </c>
      <c r="AH4191" s="1">
        <f ca="1">IFERROR(__xludf.DUMMYFUNCTION("IFERROR(GOOGLEFINANCE(TRIM(F4191)&amp;"":"" &amp; TRIM(B4191),""low52""),AE4191)"),0)</f>
        <v>0</v>
      </c>
      <c r="AI4191" s="1">
        <f ca="1">IFERROR(__xludf.DUMMYFUNCTION("IFERROR(GOOGLEFINANCE(B4191,""eps""),0)"),0)</f>
        <v>0</v>
      </c>
      <c r="AJ4191" s="1"/>
      <c r="AK4191" s="1" t="s">
        <v>12723</v>
      </c>
      <c r="AL4191" s="9">
        <f t="shared" si="387"/>
        <v>1</v>
      </c>
    </row>
    <row r="4192" spans="1:38" ht="15" x14ac:dyDescent="0.25">
      <c r="A4192" s="1" t="s">
        <v>12724</v>
      </c>
      <c r="B4192" s="1" t="s">
        <v>12725</v>
      </c>
      <c r="C4192" s="1" t="s">
        <v>125</v>
      </c>
      <c r="D4192" s="1" t="s">
        <v>125</v>
      </c>
      <c r="E4192" s="6">
        <v>263.60000000000002</v>
      </c>
      <c r="F4192" s="1" t="s">
        <v>40</v>
      </c>
      <c r="G4192" s="6">
        <f ca="1">IFERROR(__xludf.DUMMYFUNCTION("iferror(GOOGLEFINANCE(TRIM(F4192)&amp;"":"" &amp; TRIM(B4192), ""price""),0
)"),99.35)</f>
        <v>99.35</v>
      </c>
      <c r="H4192" s="6">
        <v>138</v>
      </c>
      <c r="I4192" s="6">
        <f t="shared" ca="1" si="0"/>
        <v>99.35</v>
      </c>
      <c r="J4192" s="6">
        <f ca="1">IFERROR(__xludf.DUMMYFUNCTION("IFERROR(GOOGLEFINANCE(B4192, ""volume""), 0)"),1922)</f>
        <v>1922</v>
      </c>
      <c r="K4192" s="6">
        <v>2</v>
      </c>
      <c r="L4192" s="6">
        <f ca="1">IFERROR(__xludf.DUMMYFUNCTION("IFERROR(GOOGLEFINANCE(B4192,""changepct""),K4192)"),-1.5)</f>
        <v>-1.5</v>
      </c>
      <c r="M4192" s="6">
        <f ca="1">IFERROR(__xludf.DUMMYFUNCTION("IFERROR(GOOGLEFINANCE(B4192,""change""),0)"),-1.3)</f>
        <v>-1.3</v>
      </c>
      <c r="N4192" s="6">
        <v>2</v>
      </c>
      <c r="O4192" s="7">
        <v>45536</v>
      </c>
      <c r="P4192" s="6">
        <v>10.96</v>
      </c>
      <c r="Q4192" s="6">
        <v>272.35000000000002</v>
      </c>
      <c r="R4192" s="7">
        <v>45536</v>
      </c>
      <c r="S4192" s="6">
        <v>296.98</v>
      </c>
      <c r="T4192" s="6">
        <v>17.96</v>
      </c>
      <c r="U4192" s="7">
        <v>45536</v>
      </c>
      <c r="V4192" s="6">
        <v>14.93</v>
      </c>
      <c r="W4192" s="6">
        <f ca="1">IFERROR(__xludf.DUMMYFUNCTION("IFERROR(GOOGLEFINANCE(B4192,""pe""),V4192)"),16.79)</f>
        <v>16.79</v>
      </c>
      <c r="X4192" s="6">
        <v>1.63</v>
      </c>
      <c r="Y4192" s="6">
        <v>1.03</v>
      </c>
      <c r="Z4192" s="6">
        <v>2</v>
      </c>
      <c r="AA4192" s="8">
        <v>45352</v>
      </c>
      <c r="AB4192" s="4">
        <v>0.09</v>
      </c>
      <c r="AC4192" s="6">
        <v>7.54</v>
      </c>
      <c r="AD4192" s="6">
        <v>12.09</v>
      </c>
      <c r="AE4192" s="1">
        <v>0</v>
      </c>
      <c r="AF4192" s="1">
        <f ca="1">IFERROR(__xludf.DUMMYFUNCTION("IFERROR(GOOGLEFINANCE(TRIM(F4192)&amp;"":"" &amp; TRIM(B4192),""high52""),AE4192)"),141)</f>
        <v>141</v>
      </c>
      <c r="AG4192" s="1">
        <v>0</v>
      </c>
      <c r="AH4192" s="1">
        <f ca="1">IFERROR(__xludf.DUMMYFUNCTION("IFERROR(GOOGLEFINANCE(TRIM(F4192)&amp;"":"" &amp; TRIM(B4192),""low52""),AE4192)"),92.6)</f>
        <v>92.6</v>
      </c>
      <c r="AI4192" s="1">
        <f ca="1">IFERROR(__xludf.DUMMYFUNCTION("IFERROR(GOOGLEFINANCE(B4192,""eps""),0)"),5.1)</f>
        <v>5.0999999999999996</v>
      </c>
      <c r="AJ4192" s="1"/>
      <c r="AK4192" s="1" t="s">
        <v>12726</v>
      </c>
      <c r="AL4192" s="9">
        <f t="shared" si="387"/>
        <v>1</v>
      </c>
    </row>
    <row r="4193" spans="1:38" ht="15" x14ac:dyDescent="0.25">
      <c r="A4193" s="1" t="s">
        <v>12727</v>
      </c>
      <c r="B4193" s="1" t="s">
        <v>12728</v>
      </c>
      <c r="C4193" s="1" t="s">
        <v>227</v>
      </c>
      <c r="D4193" s="1" t="s">
        <v>227</v>
      </c>
      <c r="E4193" s="6">
        <v>25.76</v>
      </c>
      <c r="F4193" s="1" t="s">
        <v>53</v>
      </c>
      <c r="G4193" s="6">
        <f ca="1">IFERROR(__xludf.DUMMYFUNCTION("iferror(GOOGLEFINANCE(TRIM(F4193)&amp;"":"" &amp; TRIM(B4193), ""price""),0
)"),0)</f>
        <v>0</v>
      </c>
      <c r="H4193" s="6">
        <v>55.15</v>
      </c>
      <c r="I4193" s="6">
        <f t="shared" ca="1" si="0"/>
        <v>55.15</v>
      </c>
      <c r="J4193" s="6">
        <f ca="1">IFERROR(__xludf.DUMMYFUNCTION("IFERROR(GOOGLEFINANCE(B4193, ""volume""), 0)"),0)</f>
        <v>0</v>
      </c>
      <c r="K4193" s="12"/>
      <c r="L4193" s="6" t="str">
        <f ca="1">IFERROR(__xludf.DUMMYFUNCTION("IFERROR(GOOGLEFINANCE(B4193,""changepct""),K4193)"),"")</f>
        <v/>
      </c>
      <c r="M4193" s="6">
        <f ca="1">IFERROR(__xludf.DUMMYFUNCTION("IFERROR(GOOGLEFINANCE(B4193,""change""),0)"),0)</f>
        <v>0</v>
      </c>
      <c r="N4193" s="6">
        <v>1</v>
      </c>
      <c r="O4193" s="7">
        <v>45536</v>
      </c>
      <c r="P4193" s="9"/>
      <c r="Q4193" s="6">
        <v>25.76</v>
      </c>
      <c r="R4193" s="7">
        <v>45352</v>
      </c>
      <c r="S4193" s="6">
        <v>25.83</v>
      </c>
      <c r="T4193" s="6">
        <v>0.19</v>
      </c>
      <c r="U4193" s="7">
        <v>45352</v>
      </c>
      <c r="V4193" s="6">
        <v>131.6</v>
      </c>
      <c r="W4193" s="6">
        <f ca="1">IFERROR(__xludf.DUMMYFUNCTION("IFERROR(GOOGLEFINANCE(B4193,""pe""),V4193)"),131.6)</f>
        <v>131.6</v>
      </c>
      <c r="X4193" s="9"/>
      <c r="Y4193" s="6">
        <v>1.1599999999999999</v>
      </c>
      <c r="Z4193" s="6">
        <v>1</v>
      </c>
      <c r="AA4193" s="8">
        <v>45352</v>
      </c>
      <c r="AB4193" s="4">
        <v>0</v>
      </c>
      <c r="AC4193" s="6">
        <v>1.27</v>
      </c>
      <c r="AD4193" s="6">
        <v>1.77</v>
      </c>
      <c r="AE4193" s="1">
        <v>0</v>
      </c>
      <c r="AF4193" s="1">
        <f ca="1">IFERROR(__xludf.DUMMYFUNCTION("IFERROR(GOOGLEFINANCE(TRIM(F4193)&amp;"":"" &amp; TRIM(B4193),""high52""),AE4193)"),0)</f>
        <v>0</v>
      </c>
      <c r="AG4193" s="1">
        <v>0</v>
      </c>
      <c r="AH4193" s="1">
        <f ca="1">IFERROR(__xludf.DUMMYFUNCTION("IFERROR(GOOGLEFINANCE(TRIM(F4193)&amp;"":"" &amp; TRIM(B4193),""low52""),AE4193)"),0)</f>
        <v>0</v>
      </c>
      <c r="AI4193" s="1">
        <f ca="1">IFERROR(__xludf.DUMMYFUNCTION("IFERROR(GOOGLEFINANCE(B4193,""eps""),0)"),0)</f>
        <v>0</v>
      </c>
      <c r="AJ4193" s="1"/>
      <c r="AK4193" s="1" t="s">
        <v>12729</v>
      </c>
      <c r="AL4193" s="9">
        <f t="shared" si="387"/>
        <v>1</v>
      </c>
    </row>
    <row r="4194" spans="1:38" ht="15" x14ac:dyDescent="0.25">
      <c r="A4194" s="1" t="s">
        <v>12730</v>
      </c>
      <c r="B4194" s="1" t="s">
        <v>12731</v>
      </c>
      <c r="C4194" s="1" t="s">
        <v>227</v>
      </c>
      <c r="D4194" s="1" t="s">
        <v>227</v>
      </c>
      <c r="E4194" s="6">
        <v>16.510000000000002</v>
      </c>
      <c r="F4194" s="1" t="s">
        <v>53</v>
      </c>
      <c r="G4194" s="6">
        <f ca="1">IFERROR(__xludf.DUMMYFUNCTION("iferror(GOOGLEFINANCE(TRIM(F4194)&amp;"":"" &amp; TRIM(B4194), ""price""),0
)"),0)</f>
        <v>0</v>
      </c>
      <c r="H4194" s="6">
        <v>7.81</v>
      </c>
      <c r="I4194" s="6">
        <f t="shared" ca="1" si="0"/>
        <v>7.81</v>
      </c>
      <c r="J4194" s="6">
        <f ca="1">IFERROR(__xludf.DUMMYFUNCTION("IFERROR(GOOGLEFINANCE(B4194, ""volume""), 0)"),0)</f>
        <v>0</v>
      </c>
      <c r="K4194" s="6">
        <v>-10.74</v>
      </c>
      <c r="L4194" s="6">
        <f ca="1">IFERROR(__xludf.DUMMYFUNCTION("IFERROR(GOOGLEFINANCE(B4194,""changepct""),K4194)"),-10.74)</f>
        <v>-10.74</v>
      </c>
      <c r="M4194" s="6">
        <f ca="1">IFERROR(__xludf.DUMMYFUNCTION("IFERROR(GOOGLEFINANCE(B4194,""change""),0)"),0)</f>
        <v>0</v>
      </c>
      <c r="N4194" s="6">
        <v>1</v>
      </c>
      <c r="O4194" s="7">
        <v>45536</v>
      </c>
      <c r="P4194" s="6">
        <v>12.06</v>
      </c>
      <c r="Q4194" s="6">
        <v>28.57</v>
      </c>
      <c r="R4194" s="7">
        <v>45352</v>
      </c>
      <c r="S4194" s="6">
        <v>41.88</v>
      </c>
      <c r="T4194" s="6">
        <v>0.99</v>
      </c>
      <c r="U4194" s="7">
        <v>45352</v>
      </c>
      <c r="V4194" s="6">
        <v>16.62</v>
      </c>
      <c r="W4194" s="6">
        <f ca="1">IFERROR(__xludf.DUMMYFUNCTION("IFERROR(GOOGLEFINANCE(B4194,""pe""),V4194)"),16.62)</f>
        <v>16.62</v>
      </c>
      <c r="X4194" s="9"/>
      <c r="Y4194" s="6">
        <v>0.43</v>
      </c>
      <c r="Z4194" s="6">
        <v>1</v>
      </c>
      <c r="AA4194" s="8">
        <v>45352</v>
      </c>
      <c r="AB4194" s="4">
        <v>0.32</v>
      </c>
      <c r="AC4194" s="6">
        <v>3.17</v>
      </c>
      <c r="AD4194" s="6">
        <v>3.12</v>
      </c>
      <c r="AE4194" s="1">
        <v>0</v>
      </c>
      <c r="AF4194" s="1">
        <f ca="1">IFERROR(__xludf.DUMMYFUNCTION("IFERROR(GOOGLEFINANCE(TRIM(F4194)&amp;"":"" &amp; TRIM(B4194),""high52""),AE4194)"),0)</f>
        <v>0</v>
      </c>
      <c r="AG4194" s="1">
        <v>0</v>
      </c>
      <c r="AH4194" s="1">
        <f ca="1">IFERROR(__xludf.DUMMYFUNCTION("IFERROR(GOOGLEFINANCE(TRIM(F4194)&amp;"":"" &amp; TRIM(B4194),""low52""),AE4194)"),0)</f>
        <v>0</v>
      </c>
      <c r="AI4194" s="1">
        <f ca="1">IFERROR(__xludf.DUMMYFUNCTION("IFERROR(GOOGLEFINANCE(B4194,""eps""),0)"),0)</f>
        <v>0</v>
      </c>
      <c r="AJ4194" s="1"/>
      <c r="AK4194" s="1" t="s">
        <v>12732</v>
      </c>
      <c r="AL4194" s="9">
        <f t="shared" si="387"/>
        <v>1</v>
      </c>
    </row>
    <row r="4195" spans="1:38" ht="15" x14ac:dyDescent="0.25">
      <c r="A4195" s="1" t="s">
        <v>12733</v>
      </c>
      <c r="B4195" s="1" t="s">
        <v>12734</v>
      </c>
      <c r="C4195" s="1" t="s">
        <v>828</v>
      </c>
      <c r="D4195" s="1" t="s">
        <v>828</v>
      </c>
      <c r="E4195" s="6">
        <v>81.709999999999994</v>
      </c>
      <c r="F4195" s="1" t="s">
        <v>40</v>
      </c>
      <c r="G4195" s="6">
        <f ca="1">IFERROR(__xludf.DUMMYFUNCTION("iferror(GOOGLEFINANCE(TRIM(F4195)&amp;"":"" &amp; TRIM(B4195), ""price""),0
)"),0)</f>
        <v>0</v>
      </c>
      <c r="H4195" s="6">
        <v>70.5</v>
      </c>
      <c r="I4195" s="6">
        <f t="shared" ca="1" si="0"/>
        <v>70.5</v>
      </c>
      <c r="J4195" s="6">
        <f ca="1">IFERROR(__xludf.DUMMYFUNCTION("IFERROR(GOOGLEFINANCE(B4195, ""volume""), 0)"),0)</f>
        <v>0</v>
      </c>
      <c r="K4195" s="6">
        <v>5.7</v>
      </c>
      <c r="L4195" s="6">
        <f ca="1">IFERROR(__xludf.DUMMYFUNCTION("IFERROR(GOOGLEFINANCE(B4195,""changepct""),K4195)"),5.7)</f>
        <v>5.7</v>
      </c>
      <c r="M4195" s="6">
        <f ca="1">IFERROR(__xludf.DUMMYFUNCTION("IFERROR(GOOGLEFINANCE(B4195,""change""),0)"),0)</f>
        <v>0</v>
      </c>
      <c r="N4195" s="6">
        <v>1</v>
      </c>
      <c r="O4195" s="7">
        <v>45536</v>
      </c>
      <c r="P4195" s="6">
        <v>13.39</v>
      </c>
      <c r="Q4195" s="6">
        <v>95.11</v>
      </c>
      <c r="R4195" s="7">
        <v>45352</v>
      </c>
      <c r="S4195" s="6">
        <v>50.37</v>
      </c>
      <c r="T4195" s="6">
        <v>2.37</v>
      </c>
      <c r="U4195" s="7">
        <v>45352</v>
      </c>
      <c r="V4195" s="6">
        <v>34.450000000000003</v>
      </c>
      <c r="W4195" s="6">
        <f ca="1">IFERROR(__xludf.DUMMYFUNCTION("IFERROR(GOOGLEFINANCE(B4195,""pe""),V4195)"),34.45)</f>
        <v>34.450000000000003</v>
      </c>
      <c r="X4195" s="12"/>
      <c r="Y4195" s="6">
        <v>2.44</v>
      </c>
      <c r="Z4195" s="6">
        <v>1</v>
      </c>
      <c r="AA4195" s="8">
        <v>45352</v>
      </c>
      <c r="AB4195" s="4">
        <v>0.4</v>
      </c>
      <c r="AC4195" s="6">
        <v>7.35</v>
      </c>
      <c r="AD4195" s="6">
        <v>9.44</v>
      </c>
      <c r="AE4195" s="1">
        <v>0</v>
      </c>
      <c r="AF4195" s="1">
        <f ca="1">IFERROR(__xludf.DUMMYFUNCTION("IFERROR(GOOGLEFINANCE(TRIM(F4195)&amp;"":"" &amp; TRIM(B4195),""high52""),AE4195)"),0)</f>
        <v>0</v>
      </c>
      <c r="AG4195" s="1">
        <v>0</v>
      </c>
      <c r="AH4195" s="1">
        <f ca="1">IFERROR(__xludf.DUMMYFUNCTION("IFERROR(GOOGLEFINANCE(TRIM(F4195)&amp;"":"" &amp; TRIM(B4195),""low52""),AE4195)"),0)</f>
        <v>0</v>
      </c>
      <c r="AI4195" s="1">
        <f ca="1">IFERROR(__xludf.DUMMYFUNCTION("IFERROR(GOOGLEFINANCE(B4195,""eps""),0)"),0)</f>
        <v>0</v>
      </c>
      <c r="AJ4195" s="1"/>
      <c r="AK4195" s="1" t="s">
        <v>12735</v>
      </c>
      <c r="AL4195" s="9">
        <f t="shared" si="387"/>
        <v>1</v>
      </c>
    </row>
    <row r="4196" spans="1:38" ht="15" x14ac:dyDescent="0.25">
      <c r="A4196" s="1" t="s">
        <v>12736</v>
      </c>
      <c r="B4196" s="1" t="s">
        <v>12737</v>
      </c>
      <c r="C4196" s="1" t="s">
        <v>227</v>
      </c>
      <c r="D4196" s="1" t="s">
        <v>227</v>
      </c>
      <c r="E4196" s="6">
        <v>342.21</v>
      </c>
      <c r="F4196" s="1" t="s">
        <v>53</v>
      </c>
      <c r="G4196" s="6">
        <f ca="1">IFERROR(__xludf.DUMMYFUNCTION("iferror(GOOGLEFINANCE(TRIM(F4196)&amp;"":"" &amp; TRIM(B4196), ""price""),0
)"),0)</f>
        <v>0</v>
      </c>
      <c r="H4196" s="6">
        <v>228.9</v>
      </c>
      <c r="I4196" s="6">
        <f t="shared" ca="1" si="0"/>
        <v>228.9</v>
      </c>
      <c r="J4196" s="6">
        <f ca="1">IFERROR(__xludf.DUMMYFUNCTION("IFERROR(GOOGLEFINANCE(B4196, ""volume""), 0)"),0)</f>
        <v>0</v>
      </c>
      <c r="K4196" s="6">
        <v>7.36</v>
      </c>
      <c r="L4196" s="6">
        <f ca="1">IFERROR(__xludf.DUMMYFUNCTION("IFERROR(GOOGLEFINANCE(B4196,""changepct""),K4196)"),7.36)</f>
        <v>7.36</v>
      </c>
      <c r="M4196" s="6">
        <f ca="1">IFERROR(__xludf.DUMMYFUNCTION("IFERROR(GOOGLEFINANCE(B4196,""change""),0)"),0)</f>
        <v>0</v>
      </c>
      <c r="N4196" s="6">
        <v>1</v>
      </c>
      <c r="O4196" s="7">
        <v>45536</v>
      </c>
      <c r="P4196" s="6">
        <v>135.87</v>
      </c>
      <c r="Q4196" s="6">
        <v>478.08</v>
      </c>
      <c r="R4196" s="7">
        <v>45352</v>
      </c>
      <c r="S4196" s="6">
        <v>1235.31</v>
      </c>
      <c r="T4196" s="6">
        <v>16.57</v>
      </c>
      <c r="U4196" s="7">
        <v>45352</v>
      </c>
      <c r="V4196" s="6">
        <v>20.65</v>
      </c>
      <c r="W4196" s="6">
        <f ca="1">IFERROR(__xludf.DUMMYFUNCTION("IFERROR(GOOGLEFINANCE(B4196,""pe""),V4196)"),20.65)</f>
        <v>20.65</v>
      </c>
      <c r="X4196" s="6">
        <v>1.97</v>
      </c>
      <c r="Y4196" s="6">
        <v>3.42</v>
      </c>
      <c r="Z4196" s="6">
        <v>1</v>
      </c>
      <c r="AA4196" s="8">
        <v>45352</v>
      </c>
      <c r="AB4196" s="4">
        <v>1.38</v>
      </c>
      <c r="AC4196" s="6">
        <v>18.07</v>
      </c>
      <c r="AD4196" s="6">
        <v>15.1</v>
      </c>
      <c r="AE4196" s="1">
        <v>0</v>
      </c>
      <c r="AF4196" s="1">
        <f ca="1">IFERROR(__xludf.DUMMYFUNCTION("IFERROR(GOOGLEFINANCE(TRIM(F4196)&amp;"":"" &amp; TRIM(B4196),""high52""),AE4196)"),0)</f>
        <v>0</v>
      </c>
      <c r="AG4196" s="1">
        <v>0</v>
      </c>
      <c r="AH4196" s="1">
        <f ca="1">IFERROR(__xludf.DUMMYFUNCTION("IFERROR(GOOGLEFINANCE(TRIM(F4196)&amp;"":"" &amp; TRIM(B4196),""low52""),AE4196)"),0)</f>
        <v>0</v>
      </c>
      <c r="AI4196" s="1">
        <f ca="1">IFERROR(__xludf.DUMMYFUNCTION("IFERROR(GOOGLEFINANCE(B4196,""eps""),0)"),0)</f>
        <v>0</v>
      </c>
      <c r="AJ4196" s="1"/>
      <c r="AK4196" s="1" t="s">
        <v>12738</v>
      </c>
      <c r="AL4196" s="9">
        <f t="shared" si="387"/>
        <v>1</v>
      </c>
    </row>
    <row r="4197" spans="1:38" ht="15" x14ac:dyDescent="0.25">
      <c r="A4197" s="1" t="s">
        <v>12739</v>
      </c>
      <c r="B4197" s="1" t="s">
        <v>12740</v>
      </c>
      <c r="C4197" s="1" t="s">
        <v>227</v>
      </c>
      <c r="D4197" s="1" t="s">
        <v>227</v>
      </c>
      <c r="E4197" s="6">
        <v>2.19</v>
      </c>
      <c r="F4197" s="1" t="s">
        <v>53</v>
      </c>
      <c r="G4197" s="6">
        <f ca="1">IFERROR(__xludf.DUMMYFUNCTION("iferror(GOOGLEFINANCE(TRIM(F4197)&amp;"":"" &amp; TRIM(B4197), ""price""),0
)"),0)</f>
        <v>0</v>
      </c>
      <c r="H4197" s="6">
        <v>4.3600000000000003</v>
      </c>
      <c r="I4197" s="6">
        <f t="shared" ca="1" si="0"/>
        <v>4.3600000000000003</v>
      </c>
      <c r="J4197" s="6">
        <f ca="1">IFERROR(__xludf.DUMMYFUNCTION("IFERROR(GOOGLEFINANCE(B4197, ""volume""), 0)"),0)</f>
        <v>0</v>
      </c>
      <c r="K4197" s="12"/>
      <c r="L4197" s="6" t="str">
        <f ca="1">IFERROR(__xludf.DUMMYFUNCTION("IFERROR(GOOGLEFINANCE(B4197,""changepct""),K4197)"),"")</f>
        <v/>
      </c>
      <c r="M4197" s="6">
        <f ca="1">IFERROR(__xludf.DUMMYFUNCTION("IFERROR(GOOGLEFINANCE(B4197,""change""),0)"),0)</f>
        <v>0</v>
      </c>
      <c r="N4197" s="6">
        <v>1</v>
      </c>
      <c r="O4197" s="7">
        <v>45536</v>
      </c>
      <c r="P4197" s="6">
        <v>0.78</v>
      </c>
      <c r="Q4197" s="6">
        <v>2.98</v>
      </c>
      <c r="R4197" s="7">
        <v>45352</v>
      </c>
      <c r="S4197" s="6">
        <v>0.01</v>
      </c>
      <c r="T4197" s="6">
        <v>-0.33</v>
      </c>
      <c r="U4197" s="7">
        <v>45352</v>
      </c>
      <c r="V4197" s="6">
        <v>0</v>
      </c>
      <c r="W4197" s="6">
        <f ca="1">IFERROR(__xludf.DUMMYFUNCTION("IFERROR(GOOGLEFINANCE(B4197,""pe""),V4197)"),0)</f>
        <v>0</v>
      </c>
      <c r="X4197" s="9"/>
      <c r="Y4197" s="6">
        <v>-10.56</v>
      </c>
      <c r="Z4197" s="6">
        <v>1</v>
      </c>
      <c r="AA4197" s="8">
        <v>45352</v>
      </c>
      <c r="AB4197" s="4">
        <v>1.18</v>
      </c>
      <c r="AC4197" s="6">
        <v>0</v>
      </c>
      <c r="AD4197" s="6">
        <v>-12.1</v>
      </c>
      <c r="AE4197" s="1">
        <v>0</v>
      </c>
      <c r="AF4197" s="1">
        <f ca="1">IFERROR(__xludf.DUMMYFUNCTION("IFERROR(GOOGLEFINANCE(TRIM(F4197)&amp;"":"" &amp; TRIM(B4197),""high52""),AE4197)"),0)</f>
        <v>0</v>
      </c>
      <c r="AG4197" s="1">
        <v>0</v>
      </c>
      <c r="AH4197" s="1">
        <f ca="1">IFERROR(__xludf.DUMMYFUNCTION("IFERROR(GOOGLEFINANCE(TRIM(F4197)&amp;"":"" &amp; TRIM(B4197),""low52""),AE4197)"),0)</f>
        <v>0</v>
      </c>
      <c r="AI4197" s="1">
        <f ca="1">IFERROR(__xludf.DUMMYFUNCTION("IFERROR(GOOGLEFINANCE(B4197,""eps""),0)"),0)</f>
        <v>0</v>
      </c>
      <c r="AJ4197" s="1"/>
      <c r="AK4197" s="1" t="s">
        <v>12741</v>
      </c>
      <c r="AL4197" s="9">
        <f t="shared" si="387"/>
        <v>1</v>
      </c>
    </row>
    <row r="4198" spans="1:38" ht="15" x14ac:dyDescent="0.25">
      <c r="A4198" s="1" t="s">
        <v>12742</v>
      </c>
      <c r="B4198" s="1" t="s">
        <v>12743</v>
      </c>
      <c r="C4198" s="1" t="s">
        <v>227</v>
      </c>
      <c r="D4198" s="1" t="s">
        <v>227</v>
      </c>
      <c r="E4198" s="6">
        <v>5.18</v>
      </c>
      <c r="F4198" s="1" t="s">
        <v>53</v>
      </c>
      <c r="G4198" s="6">
        <f ca="1">IFERROR(__xludf.DUMMYFUNCTION("iferror(GOOGLEFINANCE(TRIM(F4198)&amp;"":"" &amp; TRIM(B4198), ""price""),0
)"),0)</f>
        <v>0</v>
      </c>
      <c r="H4198" s="6">
        <v>8.15</v>
      </c>
      <c r="I4198" s="6">
        <f t="shared" ca="1" si="0"/>
        <v>8.15</v>
      </c>
      <c r="J4198" s="6">
        <f ca="1">IFERROR(__xludf.DUMMYFUNCTION("IFERROR(GOOGLEFINANCE(B4198, ""volume""), 0)"),0)</f>
        <v>0</v>
      </c>
      <c r="K4198" s="6">
        <v>-4.9000000000000004</v>
      </c>
      <c r="L4198" s="6">
        <f ca="1">IFERROR(__xludf.DUMMYFUNCTION("IFERROR(GOOGLEFINANCE(B4198,""changepct""),K4198)"),-4.9)</f>
        <v>-4.9000000000000004</v>
      </c>
      <c r="M4198" s="6">
        <f ca="1">IFERROR(__xludf.DUMMYFUNCTION("IFERROR(GOOGLEFINANCE(B4198,""change""),0)"),0)</f>
        <v>0</v>
      </c>
      <c r="N4198" s="6">
        <v>1</v>
      </c>
      <c r="O4198" s="7">
        <v>45536</v>
      </c>
      <c r="P4198" s="6">
        <v>0.23</v>
      </c>
      <c r="Q4198" s="6">
        <v>5.41</v>
      </c>
      <c r="R4198" s="7">
        <v>45352</v>
      </c>
      <c r="S4198" s="6">
        <v>33.6</v>
      </c>
      <c r="T4198" s="6">
        <v>0.16</v>
      </c>
      <c r="U4198" s="7">
        <v>45352</v>
      </c>
      <c r="V4198" s="6">
        <v>33.1</v>
      </c>
      <c r="W4198" s="6">
        <f ca="1">IFERROR(__xludf.DUMMYFUNCTION("IFERROR(GOOGLEFINANCE(B4198,""pe""),V4198)"),33.1)</f>
        <v>33.1</v>
      </c>
      <c r="X4198" s="9"/>
      <c r="Y4198" s="6">
        <v>0.24</v>
      </c>
      <c r="Z4198" s="6">
        <v>1</v>
      </c>
      <c r="AA4198" s="8">
        <v>45352</v>
      </c>
      <c r="AB4198" s="4">
        <v>0.01</v>
      </c>
      <c r="AC4198" s="6">
        <v>0.74</v>
      </c>
      <c r="AD4198" s="6">
        <v>0.67</v>
      </c>
      <c r="AE4198" s="1">
        <v>0</v>
      </c>
      <c r="AF4198" s="1">
        <f ca="1">IFERROR(__xludf.DUMMYFUNCTION("IFERROR(GOOGLEFINANCE(TRIM(F4198)&amp;"":"" &amp; TRIM(B4198),""high52""),AE4198)"),0)</f>
        <v>0</v>
      </c>
      <c r="AG4198" s="1">
        <v>0</v>
      </c>
      <c r="AH4198" s="1">
        <f ca="1">IFERROR(__xludf.DUMMYFUNCTION("IFERROR(GOOGLEFINANCE(TRIM(F4198)&amp;"":"" &amp; TRIM(B4198),""low52""),AE4198)"),0)</f>
        <v>0</v>
      </c>
      <c r="AI4198" s="1">
        <f ca="1">IFERROR(__xludf.DUMMYFUNCTION("IFERROR(GOOGLEFINANCE(B4198,""eps""),0)"),0)</f>
        <v>0</v>
      </c>
      <c r="AJ4198" s="1"/>
      <c r="AK4198" s="1" t="s">
        <v>12744</v>
      </c>
      <c r="AL4198" s="9">
        <f t="shared" si="387"/>
        <v>1</v>
      </c>
    </row>
    <row r="4199" spans="1:38" ht="15" x14ac:dyDescent="0.25">
      <c r="A4199" s="1" t="s">
        <v>12745</v>
      </c>
      <c r="B4199" s="1" t="s">
        <v>12746</v>
      </c>
      <c r="C4199" s="1" t="s">
        <v>227</v>
      </c>
      <c r="D4199" s="1" t="s">
        <v>227</v>
      </c>
      <c r="E4199" s="6">
        <v>18.079999999999998</v>
      </c>
      <c r="F4199" s="1" t="s">
        <v>53</v>
      </c>
      <c r="G4199" s="6">
        <f ca="1">IFERROR(__xludf.DUMMYFUNCTION("iferror(GOOGLEFINANCE(TRIM(F4199)&amp;"":"" &amp; TRIM(B4199), ""price""),0
)"),0)</f>
        <v>0</v>
      </c>
      <c r="H4199" s="6">
        <v>7.8</v>
      </c>
      <c r="I4199" s="6">
        <f t="shared" ca="1" si="0"/>
        <v>7.8</v>
      </c>
      <c r="J4199" s="6">
        <f ca="1">IFERROR(__xludf.DUMMYFUNCTION("IFERROR(GOOGLEFINANCE(B4199, ""volume""), 0)"),0)</f>
        <v>0</v>
      </c>
      <c r="K4199" s="12"/>
      <c r="L4199" s="6" t="str">
        <f ca="1">IFERROR(__xludf.DUMMYFUNCTION("IFERROR(GOOGLEFINANCE(B4199,""changepct""),K4199)"),"")</f>
        <v/>
      </c>
      <c r="M4199" s="6">
        <f ca="1">IFERROR(__xludf.DUMMYFUNCTION("IFERROR(GOOGLEFINANCE(B4199,""change""),0)"),0)</f>
        <v>0</v>
      </c>
      <c r="N4199" s="6">
        <v>1</v>
      </c>
      <c r="O4199" s="7">
        <v>45536</v>
      </c>
      <c r="P4199" s="6">
        <v>0.57999999999999996</v>
      </c>
      <c r="Q4199" s="6">
        <v>18.66</v>
      </c>
      <c r="R4199" s="7">
        <v>45352</v>
      </c>
      <c r="S4199" s="6">
        <v>6.58</v>
      </c>
      <c r="T4199" s="6">
        <v>0.67</v>
      </c>
      <c r="U4199" s="7">
        <v>45352</v>
      </c>
      <c r="V4199" s="6">
        <v>27.15</v>
      </c>
      <c r="W4199" s="6">
        <f ca="1">IFERROR(__xludf.DUMMYFUNCTION("IFERROR(GOOGLEFINANCE(B4199,""pe""),V4199)"),27.15)</f>
        <v>27.15</v>
      </c>
      <c r="X4199" s="9"/>
      <c r="Y4199" s="6">
        <v>0.46</v>
      </c>
      <c r="Z4199" s="6">
        <v>1</v>
      </c>
      <c r="AA4199" s="8">
        <v>45352</v>
      </c>
      <c r="AB4199" s="4">
        <v>0.01</v>
      </c>
      <c r="AC4199" s="6">
        <v>1.72</v>
      </c>
      <c r="AD4199" s="6">
        <v>2.31</v>
      </c>
      <c r="AE4199" s="1">
        <v>0</v>
      </c>
      <c r="AF4199" s="1">
        <f ca="1">IFERROR(__xludf.DUMMYFUNCTION("IFERROR(GOOGLEFINANCE(TRIM(F4199)&amp;"":"" &amp; TRIM(B4199),""high52""),AE4199)"),0)</f>
        <v>0</v>
      </c>
      <c r="AG4199" s="1">
        <v>0</v>
      </c>
      <c r="AH4199" s="1">
        <f ca="1">IFERROR(__xludf.DUMMYFUNCTION("IFERROR(GOOGLEFINANCE(TRIM(F4199)&amp;"":"" &amp; TRIM(B4199),""low52""),AE4199)"),0)</f>
        <v>0</v>
      </c>
      <c r="AI4199" s="1">
        <f ca="1">IFERROR(__xludf.DUMMYFUNCTION("IFERROR(GOOGLEFINANCE(B4199,""eps""),0)"),0)</f>
        <v>0</v>
      </c>
      <c r="AJ4199" s="1"/>
      <c r="AK4199" s="1" t="s">
        <v>12747</v>
      </c>
      <c r="AL4199" s="9">
        <f t="shared" si="387"/>
        <v>1</v>
      </c>
    </row>
    <row r="4200" spans="1:38" ht="15" x14ac:dyDescent="0.25">
      <c r="A4200" s="1" t="s">
        <v>12748</v>
      </c>
      <c r="B4200" s="1" t="s">
        <v>12749</v>
      </c>
      <c r="C4200" s="1" t="s">
        <v>227</v>
      </c>
      <c r="D4200" s="1" t="s">
        <v>227</v>
      </c>
      <c r="E4200" s="6">
        <v>40.17</v>
      </c>
      <c r="F4200" s="1" t="s">
        <v>53</v>
      </c>
      <c r="G4200" s="6">
        <f ca="1">IFERROR(__xludf.DUMMYFUNCTION("iferror(GOOGLEFINANCE(TRIM(F4200)&amp;"":"" &amp; TRIM(B4200), ""price""),0
)"),0)</f>
        <v>0</v>
      </c>
      <c r="H4200" s="6">
        <v>150.05000000000001</v>
      </c>
      <c r="I4200" s="6">
        <f t="shared" ca="1" si="0"/>
        <v>150.05000000000001</v>
      </c>
      <c r="J4200" s="6">
        <f ca="1">IFERROR(__xludf.DUMMYFUNCTION("IFERROR(GOOGLEFINANCE(B4200, ""volume""), 0)"),0)</f>
        <v>0</v>
      </c>
      <c r="K4200" s="12"/>
      <c r="L4200" s="6" t="str">
        <f ca="1">IFERROR(__xludf.DUMMYFUNCTION("IFERROR(GOOGLEFINANCE(B4200,""changepct""),K4200)"),"")</f>
        <v/>
      </c>
      <c r="M4200" s="6">
        <f ca="1">IFERROR(__xludf.DUMMYFUNCTION("IFERROR(GOOGLEFINANCE(B4200,""change""),0)"),0)</f>
        <v>0</v>
      </c>
      <c r="N4200" s="6">
        <v>1</v>
      </c>
      <c r="O4200" s="7">
        <v>45536</v>
      </c>
      <c r="P4200" s="12"/>
      <c r="Q4200" s="6">
        <v>40.17</v>
      </c>
      <c r="R4200" s="7">
        <v>45352</v>
      </c>
      <c r="S4200" s="6">
        <v>7.79</v>
      </c>
      <c r="T4200" s="6">
        <v>0.04</v>
      </c>
      <c r="U4200" s="7">
        <v>45352</v>
      </c>
      <c r="V4200" s="6">
        <v>989.41</v>
      </c>
      <c r="W4200" s="6">
        <f ca="1">IFERROR(__xludf.DUMMYFUNCTION("IFERROR(GOOGLEFINANCE(B4200,""pe""),V4200)"),989.41)</f>
        <v>989.41</v>
      </c>
      <c r="X4200" s="9"/>
      <c r="Y4200" s="6">
        <v>1.63</v>
      </c>
      <c r="Z4200" s="6">
        <v>1</v>
      </c>
      <c r="AA4200" s="8">
        <v>45352</v>
      </c>
      <c r="AB4200" s="4">
        <v>0</v>
      </c>
      <c r="AC4200" s="6">
        <v>0.21</v>
      </c>
      <c r="AD4200" s="6">
        <v>0.37</v>
      </c>
      <c r="AE4200" s="1">
        <v>0</v>
      </c>
      <c r="AF4200" s="1">
        <f ca="1">IFERROR(__xludf.DUMMYFUNCTION("IFERROR(GOOGLEFINANCE(TRIM(F4200)&amp;"":"" &amp; TRIM(B4200),""high52""),AE4200)"),0)</f>
        <v>0</v>
      </c>
      <c r="AG4200" s="1">
        <v>0</v>
      </c>
      <c r="AH4200" s="1">
        <f ca="1">IFERROR(__xludf.DUMMYFUNCTION("IFERROR(GOOGLEFINANCE(TRIM(F4200)&amp;"":"" &amp; TRIM(B4200),""low52""),AE4200)"),0)</f>
        <v>0</v>
      </c>
      <c r="AI4200" s="1">
        <f ca="1">IFERROR(__xludf.DUMMYFUNCTION("IFERROR(GOOGLEFINANCE(B4200,""eps""),0)"),0)</f>
        <v>0</v>
      </c>
      <c r="AJ4200" s="1"/>
      <c r="AK4200" s="1" t="s">
        <v>12750</v>
      </c>
      <c r="AL4200" s="9">
        <f t="shared" si="387"/>
        <v>1</v>
      </c>
    </row>
    <row r="4201" spans="1:38" ht="15" x14ac:dyDescent="0.25">
      <c r="A4201" s="1" t="s">
        <v>12751</v>
      </c>
      <c r="B4201" s="1" t="s">
        <v>12752</v>
      </c>
      <c r="C4201" s="1" t="s">
        <v>227</v>
      </c>
      <c r="D4201" s="1" t="s">
        <v>227</v>
      </c>
      <c r="E4201" s="6">
        <v>57.18</v>
      </c>
      <c r="F4201" s="1" t="s">
        <v>53</v>
      </c>
      <c r="G4201" s="6">
        <f ca="1">IFERROR(__xludf.DUMMYFUNCTION("iferror(GOOGLEFINANCE(TRIM(F4201)&amp;"":"" &amp; TRIM(B4201), ""price""),0
)"),0)</f>
        <v>0</v>
      </c>
      <c r="H4201" s="6">
        <v>107.41</v>
      </c>
      <c r="I4201" s="6">
        <f t="shared" ca="1" si="0"/>
        <v>107.41</v>
      </c>
      <c r="J4201" s="6">
        <f ca="1">IFERROR(__xludf.DUMMYFUNCTION("IFERROR(GOOGLEFINANCE(B4201, ""volume""), 0)"),10838324)</f>
        <v>10838324</v>
      </c>
      <c r="K4201" s="9"/>
      <c r="L4201" s="6">
        <f ca="1">IFERROR(__xludf.DUMMYFUNCTION("IFERROR(GOOGLEFINANCE(B4201,""changepct""),K4201)"),0)</f>
        <v>0</v>
      </c>
      <c r="M4201" s="6">
        <f ca="1">IFERROR(__xludf.DUMMYFUNCTION("IFERROR(GOOGLEFINANCE(B4201,""change""),0)"),0)</f>
        <v>0</v>
      </c>
      <c r="N4201" s="6">
        <v>1</v>
      </c>
      <c r="O4201" s="7">
        <v>45536</v>
      </c>
      <c r="P4201" s="6">
        <v>3.41</v>
      </c>
      <c r="Q4201" s="6">
        <v>60.59</v>
      </c>
      <c r="R4201" s="7">
        <v>45352</v>
      </c>
      <c r="S4201" s="6">
        <v>24.27</v>
      </c>
      <c r="T4201" s="6">
        <v>1.73</v>
      </c>
      <c r="U4201" s="7">
        <v>45352</v>
      </c>
      <c r="V4201" s="6">
        <v>33.15</v>
      </c>
      <c r="W4201" s="6">
        <f ca="1">IFERROR(__xludf.DUMMYFUNCTION("IFERROR(GOOGLEFINANCE(B4201,""pe""),V4201)"),33.15)</f>
        <v>33.15</v>
      </c>
      <c r="X4201" s="9"/>
      <c r="Y4201" s="6">
        <v>2.79</v>
      </c>
      <c r="Z4201" s="6">
        <v>1</v>
      </c>
      <c r="AA4201" s="8">
        <v>45352</v>
      </c>
      <c r="AB4201" s="4">
        <v>0.22</v>
      </c>
      <c r="AC4201" s="6">
        <v>14.68</v>
      </c>
      <c r="AD4201" s="6">
        <v>19.13</v>
      </c>
      <c r="AE4201" s="1">
        <v>0</v>
      </c>
      <c r="AF4201" s="1">
        <f ca="1">IFERROR(__xludf.DUMMYFUNCTION("IFERROR(GOOGLEFINANCE(TRIM(F4201)&amp;"":"" &amp; TRIM(B4201),""high52""),AE4201)"),0)</f>
        <v>0</v>
      </c>
      <c r="AG4201" s="1">
        <v>0</v>
      </c>
      <c r="AH4201" s="1">
        <f ca="1">IFERROR(__xludf.DUMMYFUNCTION("IFERROR(GOOGLEFINANCE(TRIM(F4201)&amp;"":"" &amp; TRIM(B4201),""low52""),AE4201)"),0)</f>
        <v>0</v>
      </c>
      <c r="AI4201" s="1">
        <f ca="1">IFERROR(__xludf.DUMMYFUNCTION("IFERROR(GOOGLEFINANCE(B4201,""eps""),0)"),0)</f>
        <v>0</v>
      </c>
      <c r="AJ4201" s="1"/>
      <c r="AK4201" s="9"/>
      <c r="AL4201" s="9">
        <f t="shared" si="387"/>
        <v>1</v>
      </c>
    </row>
    <row r="4202" spans="1:38" ht="15" x14ac:dyDescent="0.25">
      <c r="A4202" s="1" t="s">
        <v>12753</v>
      </c>
      <c r="B4202" s="1" t="s">
        <v>12754</v>
      </c>
      <c r="C4202" s="1" t="s">
        <v>227</v>
      </c>
      <c r="D4202" s="1" t="s">
        <v>227</v>
      </c>
      <c r="E4202" s="6">
        <v>151.9</v>
      </c>
      <c r="F4202" s="1" t="s">
        <v>53</v>
      </c>
      <c r="G4202" s="6">
        <f ca="1">IFERROR(__xludf.DUMMYFUNCTION("iferror(GOOGLEFINANCE(TRIM(F4202)&amp;"":"" &amp; TRIM(B4202), ""price""),0
)"),0)</f>
        <v>0</v>
      </c>
      <c r="H4202" s="6">
        <v>310</v>
      </c>
      <c r="I4202" s="6">
        <f t="shared" ca="1" si="0"/>
        <v>310</v>
      </c>
      <c r="J4202" s="6">
        <f ca="1">IFERROR(__xludf.DUMMYFUNCTION("IFERROR(GOOGLEFINANCE(B4202, ""volume""), 0)"),0)</f>
        <v>0</v>
      </c>
      <c r="K4202" s="9"/>
      <c r="L4202" s="6" t="str">
        <f ca="1">IFERROR(__xludf.DUMMYFUNCTION("IFERROR(GOOGLEFINANCE(B4202,""changepct""),K4202)"),"")</f>
        <v/>
      </c>
      <c r="M4202" s="6">
        <f ca="1">IFERROR(__xludf.DUMMYFUNCTION("IFERROR(GOOGLEFINANCE(B4202,""change""),0)"),0)</f>
        <v>0</v>
      </c>
      <c r="N4202" s="6">
        <v>1</v>
      </c>
      <c r="O4202" s="7">
        <v>45536</v>
      </c>
      <c r="P4202" s="6">
        <v>1.55</v>
      </c>
      <c r="Q4202" s="6">
        <v>153.44999999999999</v>
      </c>
      <c r="R4202" s="7">
        <v>45352</v>
      </c>
      <c r="S4202" s="6">
        <v>18.96</v>
      </c>
      <c r="T4202" s="6">
        <v>1.7</v>
      </c>
      <c r="U4202" s="7">
        <v>45352</v>
      </c>
      <c r="V4202" s="6">
        <v>89.26</v>
      </c>
      <c r="W4202" s="6">
        <f ca="1">IFERROR(__xludf.DUMMYFUNCTION("IFERROR(GOOGLEFINANCE(B4202,""pe""),V4202)"),89.26)</f>
        <v>89.26</v>
      </c>
      <c r="X4202" s="9"/>
      <c r="Y4202" s="6">
        <v>8.2799999999999994</v>
      </c>
      <c r="Z4202" s="6">
        <v>2</v>
      </c>
      <c r="AA4202" s="8">
        <v>45352</v>
      </c>
      <c r="AB4202" s="4">
        <v>0.09</v>
      </c>
      <c r="AC4202" s="6">
        <v>8.7200000000000006</v>
      </c>
      <c r="AD4202" s="6">
        <v>11.55</v>
      </c>
      <c r="AE4202" s="1">
        <v>0</v>
      </c>
      <c r="AF4202" s="1">
        <f ca="1">IFERROR(__xludf.DUMMYFUNCTION("IFERROR(GOOGLEFINANCE(TRIM(F4202)&amp;"":"" &amp; TRIM(B4202),""high52""),AE4202)"),0)</f>
        <v>0</v>
      </c>
      <c r="AG4202" s="1">
        <v>0</v>
      </c>
      <c r="AH4202" s="1">
        <f ca="1">IFERROR(__xludf.DUMMYFUNCTION("IFERROR(GOOGLEFINANCE(TRIM(F4202)&amp;"":"" &amp; TRIM(B4202),""low52""),AE4202)"),0)</f>
        <v>0</v>
      </c>
      <c r="AI4202" s="1">
        <f ca="1">IFERROR(__xludf.DUMMYFUNCTION("IFERROR(GOOGLEFINANCE(B4202,""eps""),0)"),0)</f>
        <v>0</v>
      </c>
      <c r="AJ4202" s="1"/>
      <c r="AK4202" s="1" t="s">
        <v>12755</v>
      </c>
      <c r="AL4202" s="9">
        <f t="shared" si="387"/>
        <v>1</v>
      </c>
    </row>
    <row r="4203" spans="1:38" ht="15" x14ac:dyDescent="0.25">
      <c r="A4203" s="1" t="s">
        <v>12756</v>
      </c>
      <c r="B4203" s="1" t="s">
        <v>12757</v>
      </c>
      <c r="C4203" s="1" t="s">
        <v>227</v>
      </c>
      <c r="D4203" s="1" t="s">
        <v>227</v>
      </c>
      <c r="E4203" s="6">
        <v>33.17</v>
      </c>
      <c r="F4203" s="1" t="s">
        <v>53</v>
      </c>
      <c r="G4203" s="6">
        <f ca="1">IFERROR(__xludf.DUMMYFUNCTION("iferror(GOOGLEFINANCE(TRIM(F4203)&amp;"":"" &amp; TRIM(B4203), ""price""),0
)"),0)</f>
        <v>0</v>
      </c>
      <c r="H4203" s="6">
        <v>51</v>
      </c>
      <c r="I4203" s="6">
        <f t="shared" ca="1" si="0"/>
        <v>51</v>
      </c>
      <c r="J4203" s="6">
        <f ca="1">IFERROR(__xludf.DUMMYFUNCTION("IFERROR(GOOGLEFINANCE(B4203, ""volume""), 0)"),474333)</f>
        <v>474333</v>
      </c>
      <c r="K4203" s="6">
        <v>1.76</v>
      </c>
      <c r="L4203" s="6">
        <f ca="1">IFERROR(__xludf.DUMMYFUNCTION("IFERROR(GOOGLEFINANCE(B4203,""changepct""),K4203)"),-1.8)</f>
        <v>-1.8</v>
      </c>
      <c r="M4203" s="6">
        <f ca="1">IFERROR(__xludf.DUMMYFUNCTION("IFERROR(GOOGLEFINANCE(B4203,""change""),0)"),0)</f>
        <v>0</v>
      </c>
      <c r="N4203" s="6">
        <v>1</v>
      </c>
      <c r="O4203" s="7">
        <v>45536</v>
      </c>
      <c r="P4203" s="6">
        <v>9</v>
      </c>
      <c r="Q4203" s="6">
        <v>42.17</v>
      </c>
      <c r="R4203" s="7">
        <v>45352</v>
      </c>
      <c r="S4203" s="6">
        <v>16.32</v>
      </c>
      <c r="T4203" s="6">
        <v>1.05</v>
      </c>
      <c r="U4203" s="7">
        <v>45352</v>
      </c>
      <c r="V4203" s="6">
        <v>31.5</v>
      </c>
      <c r="W4203" s="6">
        <f ca="1">IFERROR(__xludf.DUMMYFUNCTION("IFERROR(GOOGLEFINANCE(B4203,""pe""),V4203)"),0.69)</f>
        <v>0.69</v>
      </c>
      <c r="X4203" s="12"/>
      <c r="Y4203" s="6">
        <v>1.65</v>
      </c>
      <c r="Z4203" s="6">
        <v>2</v>
      </c>
      <c r="AA4203" s="8">
        <v>44986</v>
      </c>
      <c r="AB4203" s="4">
        <v>19.12</v>
      </c>
      <c r="AC4203" s="6">
        <v>10.84</v>
      </c>
      <c r="AD4203" s="6">
        <v>0.54</v>
      </c>
      <c r="AE4203" s="1">
        <v>0</v>
      </c>
      <c r="AF4203" s="1">
        <f ca="1">IFERROR(__xludf.DUMMYFUNCTION("IFERROR(GOOGLEFINANCE(TRIM(F4203)&amp;"":"" &amp; TRIM(B4203),""high52""),AE4203)"),0)</f>
        <v>0</v>
      </c>
      <c r="AG4203" s="1">
        <v>0</v>
      </c>
      <c r="AH4203" s="1">
        <f ca="1">IFERROR(__xludf.DUMMYFUNCTION("IFERROR(GOOGLEFINANCE(TRIM(F4203)&amp;"":"" &amp; TRIM(B4203),""low52""),AE4203)"),0)</f>
        <v>0</v>
      </c>
      <c r="AI4203" s="1">
        <f ca="1">IFERROR(__xludf.DUMMYFUNCTION("IFERROR(GOOGLEFINANCE(B4203,""eps""),0)"),0.1)</f>
        <v>0.1</v>
      </c>
      <c r="AJ4203" s="1"/>
      <c r="AK4203" s="1" t="s">
        <v>12758</v>
      </c>
      <c r="AL4203" s="9">
        <f t="shared" si="387"/>
        <v>1</v>
      </c>
    </row>
    <row r="4204" spans="1:38" ht="15" x14ac:dyDescent="0.25">
      <c r="A4204" s="1" t="s">
        <v>12759</v>
      </c>
      <c r="B4204" s="1" t="s">
        <v>12760</v>
      </c>
      <c r="C4204" s="1" t="s">
        <v>227</v>
      </c>
      <c r="D4204" s="1" t="s">
        <v>227</v>
      </c>
      <c r="E4204" s="6">
        <v>4318.45</v>
      </c>
      <c r="F4204" s="1" t="s">
        <v>53</v>
      </c>
      <c r="G4204" s="6">
        <f ca="1">IFERROR(__xludf.DUMMYFUNCTION("iferror(GOOGLEFINANCE(TRIM(F4204)&amp;"":"" &amp; TRIM(B4204), ""price""),0
)"),0)</f>
        <v>0</v>
      </c>
      <c r="H4204" s="6">
        <v>381</v>
      </c>
      <c r="I4204" s="6">
        <f t="shared" ca="1" si="0"/>
        <v>381</v>
      </c>
      <c r="J4204" s="6">
        <f ca="1">IFERROR(__xludf.DUMMYFUNCTION("IFERROR(GOOGLEFINANCE(B4204, ""volume""), 0)"),36421)</f>
        <v>36421</v>
      </c>
      <c r="K4204" s="6">
        <v>-0.96</v>
      </c>
      <c r="L4204" s="6">
        <f ca="1">IFERROR(__xludf.DUMMYFUNCTION("IFERROR(GOOGLEFINANCE(B4204,""changepct""),K4204)"),0.03)</f>
        <v>0.03</v>
      </c>
      <c r="M4204" s="6">
        <f ca="1">IFERROR(__xludf.DUMMYFUNCTION("IFERROR(GOOGLEFINANCE(B4204,""change""),0)"),0.1)</f>
        <v>0.1</v>
      </c>
      <c r="N4204" s="6">
        <v>2</v>
      </c>
      <c r="O4204" s="7">
        <v>45536</v>
      </c>
      <c r="P4204" s="6">
        <v>41.24</v>
      </c>
      <c r="Q4204" s="6">
        <v>4229.1099999999997</v>
      </c>
      <c r="R4204" s="7">
        <v>45352</v>
      </c>
      <c r="S4204" s="6">
        <v>2682.9</v>
      </c>
      <c r="T4204" s="6">
        <v>60.94</v>
      </c>
      <c r="U4204" s="7">
        <v>45352</v>
      </c>
      <c r="V4204" s="6">
        <v>70.86</v>
      </c>
      <c r="W4204" s="6">
        <f ca="1">IFERROR(__xludf.DUMMYFUNCTION("IFERROR(GOOGLEFINANCE(B4204,""pe""),V4204)"),42.88)</f>
        <v>42.88</v>
      </c>
      <c r="X4204" s="6">
        <v>0.53</v>
      </c>
      <c r="Y4204" s="6">
        <v>3.79</v>
      </c>
      <c r="Z4204" s="6">
        <v>2</v>
      </c>
      <c r="AA4204" s="8">
        <v>45352</v>
      </c>
      <c r="AB4204" s="4">
        <v>0.18</v>
      </c>
      <c r="AC4204" s="6">
        <v>12.08</v>
      </c>
      <c r="AD4204" s="6">
        <v>14.51</v>
      </c>
      <c r="AE4204" s="1">
        <v>0</v>
      </c>
      <c r="AF4204" s="1">
        <f ca="1">IFERROR(__xludf.DUMMYFUNCTION("IFERROR(GOOGLEFINANCE(TRIM(F4204)&amp;"":"" &amp; TRIM(B4204),""high52""),AE4204)"),0)</f>
        <v>0</v>
      </c>
      <c r="AG4204" s="1">
        <v>0</v>
      </c>
      <c r="AH4204" s="1">
        <f ca="1">IFERROR(__xludf.DUMMYFUNCTION("IFERROR(GOOGLEFINANCE(TRIM(F4204)&amp;"":"" &amp; TRIM(B4204),""low52""),AE4204)"),0)</f>
        <v>0</v>
      </c>
      <c r="AI4204" s="1">
        <f ca="1">IFERROR(__xludf.DUMMYFUNCTION("IFERROR(GOOGLEFINANCE(B4204,""eps""),0)"),8.14)</f>
        <v>8.14</v>
      </c>
      <c r="AJ4204" s="1"/>
      <c r="AK4204" s="1" t="s">
        <v>12761</v>
      </c>
      <c r="AL4204" s="9">
        <f t="shared" si="387"/>
        <v>1</v>
      </c>
    </row>
    <row r="4205" spans="1:38" ht="15" x14ac:dyDescent="0.25">
      <c r="A4205" s="1" t="s">
        <v>12762</v>
      </c>
      <c r="B4205" s="1" t="s">
        <v>12763</v>
      </c>
      <c r="C4205" s="1" t="s">
        <v>219</v>
      </c>
      <c r="D4205" s="1" t="s">
        <v>219</v>
      </c>
      <c r="E4205" s="6">
        <v>404.18</v>
      </c>
      <c r="F4205" s="1" t="s">
        <v>40</v>
      </c>
      <c r="G4205" s="6">
        <f ca="1">IFERROR(__xludf.DUMMYFUNCTION("iferror(GOOGLEFINANCE(TRIM(F4205)&amp;"":"" &amp; TRIM(B4205), ""price""),0
)"),117)</f>
        <v>117</v>
      </c>
      <c r="H4205" s="6">
        <v>214.44</v>
      </c>
      <c r="I4205" s="6">
        <f t="shared" ca="1" si="0"/>
        <v>117</v>
      </c>
      <c r="J4205" s="6">
        <f ca="1">IFERROR(__xludf.DUMMYFUNCTION("IFERROR(GOOGLEFINANCE(B4205, ""volume""), 0)"),640)</f>
        <v>640</v>
      </c>
      <c r="K4205" s="6">
        <v>0.38</v>
      </c>
      <c r="L4205" s="6">
        <f ca="1">IFERROR(__xludf.DUMMYFUNCTION("IFERROR(GOOGLEFINANCE(B4205,""changepct""),K4205)"),-5.32)</f>
        <v>-5.32</v>
      </c>
      <c r="M4205" s="6">
        <f ca="1">IFERROR(__xludf.DUMMYFUNCTION("IFERROR(GOOGLEFINANCE(B4205,""change""),0)"),-0.64)</f>
        <v>-0.64</v>
      </c>
      <c r="N4205" s="6">
        <v>1</v>
      </c>
      <c r="O4205" s="7">
        <v>45536</v>
      </c>
      <c r="P4205" s="6">
        <v>134.75</v>
      </c>
      <c r="Q4205" s="6">
        <v>523.54999999999995</v>
      </c>
      <c r="R4205" s="7">
        <v>45536</v>
      </c>
      <c r="S4205" s="6">
        <v>1003.04</v>
      </c>
      <c r="T4205" s="6">
        <v>13.1</v>
      </c>
      <c r="U4205" s="7">
        <v>45536</v>
      </c>
      <c r="V4205" s="6">
        <v>30.85</v>
      </c>
      <c r="W4205" s="6">
        <f ca="1">IFERROR(__xludf.DUMMYFUNCTION("IFERROR(GOOGLEFINANCE(B4205,""pe""),V4205)"),30.85)</f>
        <v>30.85</v>
      </c>
      <c r="X4205" s="12"/>
      <c r="Y4205" s="6">
        <v>2.2400000000000002</v>
      </c>
      <c r="Z4205" s="6">
        <v>1</v>
      </c>
      <c r="AA4205" s="8">
        <v>45352</v>
      </c>
      <c r="AB4205" s="4">
        <v>0.79</v>
      </c>
      <c r="AC4205" s="6">
        <v>13.08</v>
      </c>
      <c r="AD4205" s="6">
        <v>14.95</v>
      </c>
      <c r="AE4205" s="1">
        <v>0</v>
      </c>
      <c r="AF4205" s="1">
        <f ca="1">IFERROR(__xludf.DUMMYFUNCTION("IFERROR(GOOGLEFINANCE(TRIM(F4205)&amp;"":"" &amp; TRIM(B4205),""high52""),AE4205)"),204.99)</f>
        <v>204.99</v>
      </c>
      <c r="AG4205" s="1">
        <v>0</v>
      </c>
      <c r="AH4205" s="1">
        <f ca="1">IFERROR(__xludf.DUMMYFUNCTION("IFERROR(GOOGLEFINANCE(TRIM(F4205)&amp;"":"" &amp; TRIM(B4205),""low52""),AE4205)"),114)</f>
        <v>114</v>
      </c>
      <c r="AI4205" s="1">
        <f ca="1">IFERROR(__xludf.DUMMYFUNCTION("IFERROR(GOOGLEFINANCE(B4205,""eps""),0)"),0)</f>
        <v>0</v>
      </c>
      <c r="AJ4205" s="1"/>
      <c r="AK4205" s="1" t="s">
        <v>12764</v>
      </c>
      <c r="AL4205" s="9">
        <f t="shared" si="387"/>
        <v>1</v>
      </c>
    </row>
    <row r="4206" spans="1:38" ht="15" x14ac:dyDescent="0.25">
      <c r="A4206" s="1" t="s">
        <v>12765</v>
      </c>
      <c r="B4206" s="1" t="s">
        <v>12766</v>
      </c>
      <c r="C4206" s="1" t="s">
        <v>410</v>
      </c>
      <c r="D4206" s="1" t="s">
        <v>410</v>
      </c>
      <c r="E4206" s="6">
        <v>810.95</v>
      </c>
      <c r="F4206" s="1" t="s">
        <v>40</v>
      </c>
      <c r="G4206" s="6">
        <f ca="1">IFERROR(__xludf.DUMMYFUNCTION("iferror(GOOGLEFINANCE(TRIM(F4206)&amp;"":"" &amp; TRIM(B4206), ""price""),0
)"),138.25)</f>
        <v>138.25</v>
      </c>
      <c r="H4206" s="6">
        <v>121</v>
      </c>
      <c r="I4206" s="6">
        <f t="shared" ca="1" si="0"/>
        <v>138.25</v>
      </c>
      <c r="J4206" s="6">
        <f ca="1">IFERROR(__xludf.DUMMYFUNCTION("IFERROR(GOOGLEFINANCE(B4206, ""volume""), 0)"),7678)</f>
        <v>7678</v>
      </c>
      <c r="K4206" s="6">
        <v>0.08</v>
      </c>
      <c r="L4206" s="6">
        <f ca="1">IFERROR(__xludf.DUMMYFUNCTION("IFERROR(GOOGLEFINANCE(B4206,""changepct""),K4206)"),-0.78)</f>
        <v>-0.78</v>
      </c>
      <c r="M4206" s="6">
        <f ca="1">IFERROR(__xludf.DUMMYFUNCTION("IFERROR(GOOGLEFINANCE(B4206,""change""),0)"),-1.08)</f>
        <v>-1.08</v>
      </c>
      <c r="N4206" s="6">
        <v>2</v>
      </c>
      <c r="O4206" s="7">
        <v>45536</v>
      </c>
      <c r="P4206" s="6">
        <v>66.69</v>
      </c>
      <c r="Q4206" s="6">
        <v>846.08</v>
      </c>
      <c r="R4206" s="7">
        <v>45536</v>
      </c>
      <c r="S4206" s="6">
        <v>145.6</v>
      </c>
      <c r="T4206" s="6">
        <v>56.56</v>
      </c>
      <c r="U4206" s="7">
        <v>45536</v>
      </c>
      <c r="V4206" s="6">
        <v>14.34</v>
      </c>
      <c r="W4206" s="6">
        <f ca="1">IFERROR(__xludf.DUMMYFUNCTION("IFERROR(GOOGLEFINANCE(B4206,""pe""),V4206)"),48.93)</f>
        <v>48.93</v>
      </c>
      <c r="X4206" s="6">
        <v>0.47</v>
      </c>
      <c r="Y4206" s="6">
        <v>1.91</v>
      </c>
      <c r="Z4206" s="6">
        <v>2</v>
      </c>
      <c r="AA4206" s="8">
        <v>45352</v>
      </c>
      <c r="AB4206" s="4">
        <v>2.72</v>
      </c>
      <c r="AC4206" s="6">
        <v>0</v>
      </c>
      <c r="AD4206" s="6">
        <v>0.87</v>
      </c>
      <c r="AE4206" s="1">
        <v>0</v>
      </c>
      <c r="AF4206" s="1">
        <f ca="1">IFERROR(__xludf.DUMMYFUNCTION("IFERROR(GOOGLEFINANCE(TRIM(F4206)&amp;"":"" &amp; TRIM(B4206),""high52""),AE4206)"),155.36)</f>
        <v>155.36000000000001</v>
      </c>
      <c r="AG4206" s="1">
        <v>0</v>
      </c>
      <c r="AH4206" s="1">
        <f ca="1">IFERROR(__xludf.DUMMYFUNCTION("IFERROR(GOOGLEFINANCE(TRIM(F4206)&amp;"":"" &amp; TRIM(B4206),""low52""),AE4206)"),93.05)</f>
        <v>93.05</v>
      </c>
      <c r="AI4206" s="1">
        <f ca="1">IFERROR(__xludf.DUMMYFUNCTION("IFERROR(GOOGLEFINANCE(B4206,""eps""),0)"),2.83)</f>
        <v>2.83</v>
      </c>
      <c r="AJ4206" s="1"/>
      <c r="AK4206" s="1" t="s">
        <v>12767</v>
      </c>
      <c r="AL4206" s="9">
        <f t="shared" si="387"/>
        <v>1</v>
      </c>
    </row>
    <row r="4207" spans="1:38" ht="15" x14ac:dyDescent="0.25">
      <c r="A4207" s="1" t="s">
        <v>12768</v>
      </c>
      <c r="B4207" s="1" t="s">
        <v>12769</v>
      </c>
      <c r="C4207" s="1" t="s">
        <v>227</v>
      </c>
      <c r="D4207" s="1" t="s">
        <v>227</v>
      </c>
      <c r="E4207" s="6">
        <v>60.05</v>
      </c>
      <c r="F4207" s="1" t="s">
        <v>53</v>
      </c>
      <c r="G4207" s="6">
        <f ca="1">IFERROR(__xludf.DUMMYFUNCTION("iferror(GOOGLEFINANCE(TRIM(F4207)&amp;"":"" &amp; TRIM(B4207), ""price""),0
)"),0)</f>
        <v>0</v>
      </c>
      <c r="H4207" s="6">
        <v>173.55</v>
      </c>
      <c r="I4207" s="6">
        <f t="shared" ca="1" si="0"/>
        <v>173.55</v>
      </c>
      <c r="J4207" s="6">
        <f ca="1">IFERROR(__xludf.DUMMYFUNCTION("IFERROR(GOOGLEFINANCE(B4207, ""volume""), 0)"),0)</f>
        <v>0</v>
      </c>
      <c r="K4207" s="6">
        <v>0</v>
      </c>
      <c r="L4207" s="6">
        <f ca="1">IFERROR(__xludf.DUMMYFUNCTION("IFERROR(GOOGLEFINANCE(B4207,""changepct""),K4207)"),0)</f>
        <v>0</v>
      </c>
      <c r="M4207" s="6">
        <f ca="1">IFERROR(__xludf.DUMMYFUNCTION("IFERROR(GOOGLEFINANCE(B4207,""change""),0)"),0)</f>
        <v>0</v>
      </c>
      <c r="N4207" s="6">
        <v>1</v>
      </c>
      <c r="O4207" s="7">
        <v>45536</v>
      </c>
      <c r="P4207" s="6">
        <v>5.49</v>
      </c>
      <c r="Q4207" s="6">
        <v>65.540000000000006</v>
      </c>
      <c r="R4207" s="7">
        <v>45352</v>
      </c>
      <c r="S4207" s="6">
        <v>91.78</v>
      </c>
      <c r="T4207" s="6">
        <v>2.63</v>
      </c>
      <c r="U4207" s="7">
        <v>45352</v>
      </c>
      <c r="V4207" s="6">
        <v>22.83</v>
      </c>
      <c r="W4207" s="6">
        <f ca="1">IFERROR(__xludf.DUMMYFUNCTION("IFERROR(GOOGLEFINANCE(B4207,""pe""),V4207)"),22.83)</f>
        <v>22.83</v>
      </c>
      <c r="X4207" s="9"/>
      <c r="Y4207" s="6">
        <v>3.14</v>
      </c>
      <c r="Z4207" s="6">
        <v>1</v>
      </c>
      <c r="AA4207" s="8">
        <v>45352</v>
      </c>
      <c r="AB4207" s="4">
        <v>0.31</v>
      </c>
      <c r="AC4207" s="6">
        <v>24.12</v>
      </c>
      <c r="AD4207" s="6">
        <v>23.96</v>
      </c>
      <c r="AE4207" s="1">
        <v>0</v>
      </c>
      <c r="AF4207" s="1">
        <f ca="1">IFERROR(__xludf.DUMMYFUNCTION("IFERROR(GOOGLEFINANCE(TRIM(F4207)&amp;"":"" &amp; TRIM(B4207),""high52""),AE4207)"),0)</f>
        <v>0</v>
      </c>
      <c r="AG4207" s="1">
        <v>0</v>
      </c>
      <c r="AH4207" s="1">
        <f ca="1">IFERROR(__xludf.DUMMYFUNCTION("IFERROR(GOOGLEFINANCE(TRIM(F4207)&amp;"":"" &amp; TRIM(B4207),""low52""),AE4207)"),0)</f>
        <v>0</v>
      </c>
      <c r="AI4207" s="1">
        <f ca="1">IFERROR(__xludf.DUMMYFUNCTION("IFERROR(GOOGLEFINANCE(B4207,""eps""),0)"),0)</f>
        <v>0</v>
      </c>
      <c r="AJ4207" s="1"/>
      <c r="AK4207" s="1" t="s">
        <v>12770</v>
      </c>
      <c r="AL4207" s="9">
        <f t="shared" si="387"/>
        <v>1</v>
      </c>
    </row>
    <row r="4208" spans="1:38" ht="15" x14ac:dyDescent="0.25">
      <c r="A4208" s="1" t="s">
        <v>12771</v>
      </c>
      <c r="B4208" s="1" t="s">
        <v>12772</v>
      </c>
      <c r="C4208" s="1" t="s">
        <v>584</v>
      </c>
      <c r="D4208" s="1" t="s">
        <v>584</v>
      </c>
      <c r="E4208" s="6">
        <v>2722.5</v>
      </c>
      <c r="F4208" s="1" t="s">
        <v>40</v>
      </c>
      <c r="G4208" s="6">
        <f ca="1">IFERROR(__xludf.DUMMYFUNCTION("iferror(GOOGLEFINANCE(TRIM(F4208)&amp;"":"" &amp; TRIM(B4208), ""price""),0
)"),320)</f>
        <v>320</v>
      </c>
      <c r="H4208" s="6">
        <v>557</v>
      </c>
      <c r="I4208" s="6">
        <f t="shared" ca="1" si="0"/>
        <v>320</v>
      </c>
      <c r="J4208" s="6">
        <f ca="1">IFERROR(__xludf.DUMMYFUNCTION("IFERROR(GOOGLEFINANCE(B4208, ""volume""), 0)"),13381)</f>
        <v>13381</v>
      </c>
      <c r="K4208" s="6">
        <v>1.76</v>
      </c>
      <c r="L4208" s="6">
        <f ca="1">IFERROR(__xludf.DUMMYFUNCTION("IFERROR(GOOGLEFINANCE(B4208,""changepct""),K4208)"),2.22)</f>
        <v>2.2200000000000002</v>
      </c>
      <c r="M4208" s="6">
        <f ca="1">IFERROR(__xludf.DUMMYFUNCTION("IFERROR(GOOGLEFINANCE(B4208,""change""),0)"),6.95)</f>
        <v>6.95</v>
      </c>
      <c r="N4208" s="6">
        <v>2</v>
      </c>
      <c r="O4208" s="7">
        <v>45536</v>
      </c>
      <c r="P4208" s="6">
        <v>29.44</v>
      </c>
      <c r="Q4208" s="6">
        <v>2739.45</v>
      </c>
      <c r="R4208" s="7">
        <v>45536</v>
      </c>
      <c r="S4208" s="6">
        <v>317.86</v>
      </c>
      <c r="T4208" s="6">
        <v>37.840000000000003</v>
      </c>
      <c r="U4208" s="7">
        <v>45536</v>
      </c>
      <c r="V4208" s="6">
        <v>71.94</v>
      </c>
      <c r="W4208" s="6">
        <f ca="1">IFERROR(__xludf.DUMMYFUNCTION("IFERROR(GOOGLEFINANCE(B4208,""pe""),V4208)"),33.44)</f>
        <v>33.44</v>
      </c>
      <c r="X4208" s="12"/>
      <c r="Y4208" s="6">
        <v>9.42</v>
      </c>
      <c r="Z4208" s="6">
        <v>2</v>
      </c>
      <c r="AA4208" s="8">
        <v>45352</v>
      </c>
      <c r="AB4208" s="4">
        <v>7.0000000000000007E-2</v>
      </c>
      <c r="AC4208" s="6">
        <v>13.73</v>
      </c>
      <c r="AD4208" s="6">
        <v>17.309999999999999</v>
      </c>
      <c r="AE4208" s="1">
        <v>0</v>
      </c>
      <c r="AF4208" s="1">
        <f ca="1">IFERROR(__xludf.DUMMYFUNCTION("IFERROR(GOOGLEFINANCE(TRIM(F4208)&amp;"":"" &amp; TRIM(B4208),""high52""),AE4208)"),502)</f>
        <v>502</v>
      </c>
      <c r="AG4208" s="1">
        <v>0</v>
      </c>
      <c r="AH4208" s="1">
        <f ca="1">IFERROR(__xludf.DUMMYFUNCTION("IFERROR(GOOGLEFINANCE(TRIM(F4208)&amp;"":"" &amp; TRIM(B4208),""low52""),AE4208)"),272.05)</f>
        <v>272.05</v>
      </c>
      <c r="AI4208" s="1">
        <f ca="1">IFERROR(__xludf.DUMMYFUNCTION("IFERROR(GOOGLEFINANCE(B4208,""eps""),0)"),9.57)</f>
        <v>9.57</v>
      </c>
      <c r="AJ4208" s="1"/>
      <c r="AK4208" s="1" t="s">
        <v>12773</v>
      </c>
      <c r="AL4208" s="9">
        <f t="shared" si="387"/>
        <v>1</v>
      </c>
    </row>
    <row r="4209" spans="1:38" ht="15" x14ac:dyDescent="0.25">
      <c r="A4209" s="1" t="s">
        <v>12774</v>
      </c>
      <c r="B4209" s="1" t="s">
        <v>12775</v>
      </c>
      <c r="C4209" s="1" t="s">
        <v>163</v>
      </c>
      <c r="D4209" s="1" t="s">
        <v>163</v>
      </c>
      <c r="E4209" s="6">
        <v>10777.12</v>
      </c>
      <c r="F4209" s="1" t="s">
        <v>40</v>
      </c>
      <c r="G4209" s="6">
        <f ca="1">IFERROR(__xludf.DUMMYFUNCTION("iferror(GOOGLEFINANCE(TRIM(F4209)&amp;"":"" &amp; TRIM(B4209), ""price""),0
)"),960)</f>
        <v>960</v>
      </c>
      <c r="H4209" s="6">
        <v>1063.8499999999999</v>
      </c>
      <c r="I4209" s="6">
        <f t="shared" ca="1" si="0"/>
        <v>960</v>
      </c>
      <c r="J4209" s="6">
        <f ca="1">IFERROR(__xludf.DUMMYFUNCTION("IFERROR(GOOGLEFINANCE(B4209, ""volume""), 0)"),91462)</f>
        <v>91462</v>
      </c>
      <c r="K4209" s="6">
        <v>1.28</v>
      </c>
      <c r="L4209" s="6">
        <f ca="1">IFERROR(__xludf.DUMMYFUNCTION("IFERROR(GOOGLEFINANCE(B4209,""changepct""),K4209)"),-2.14)</f>
        <v>-2.14</v>
      </c>
      <c r="M4209" s="6">
        <f ca="1">IFERROR(__xludf.DUMMYFUNCTION("IFERROR(GOOGLEFINANCE(B4209,""change""),0)"),-20.95)</f>
        <v>-20.95</v>
      </c>
      <c r="N4209" s="6">
        <v>2</v>
      </c>
      <c r="O4209" s="7">
        <v>45536</v>
      </c>
      <c r="P4209" s="12"/>
      <c r="Q4209" s="6">
        <v>10725.32</v>
      </c>
      <c r="R4209" s="7">
        <v>45536</v>
      </c>
      <c r="S4209" s="6">
        <v>627.05999999999995</v>
      </c>
      <c r="T4209" s="6">
        <v>133.31</v>
      </c>
      <c r="U4209" s="7">
        <v>45536</v>
      </c>
      <c r="V4209" s="6">
        <v>81.290000000000006</v>
      </c>
      <c r="W4209" s="6">
        <f ca="1">IFERROR(__xludf.DUMMYFUNCTION("IFERROR(GOOGLEFINANCE(B4209,""pe""),V4209)"),65.13)</f>
        <v>65.13</v>
      </c>
      <c r="X4209" s="12"/>
      <c r="Y4209" s="6">
        <v>14.87</v>
      </c>
      <c r="Z4209" s="6">
        <v>2</v>
      </c>
      <c r="AA4209" s="8">
        <v>45352</v>
      </c>
      <c r="AB4209" s="4">
        <v>0</v>
      </c>
      <c r="AC4209" s="6">
        <v>19.96</v>
      </c>
      <c r="AD4209" s="6">
        <v>30.4</v>
      </c>
      <c r="AE4209" s="1">
        <v>0</v>
      </c>
      <c r="AF4209" s="1">
        <f ca="1">IFERROR(__xludf.DUMMYFUNCTION("IFERROR(GOOGLEFINANCE(TRIM(F4209)&amp;"":"" &amp; TRIM(B4209),""high52""),AE4209)"),1192)</f>
        <v>1192</v>
      </c>
      <c r="AG4209" s="1">
        <v>0</v>
      </c>
      <c r="AH4209" s="1">
        <f ca="1">IFERROR(__xludf.DUMMYFUNCTION("IFERROR(GOOGLEFINANCE(TRIM(F4209)&amp;"":"" &amp; TRIM(B4209),""low52""),AE4209)"),740)</f>
        <v>740</v>
      </c>
      <c r="AI4209" s="1">
        <f ca="1">IFERROR(__xludf.DUMMYFUNCTION("IFERROR(GOOGLEFINANCE(B4209,""eps""),0)"),14.74)</f>
        <v>14.74</v>
      </c>
      <c r="AJ4209" s="1"/>
      <c r="AK4209" s="1" t="s">
        <v>12776</v>
      </c>
      <c r="AL4209" s="9">
        <f t="shared" si="387"/>
        <v>1</v>
      </c>
    </row>
    <row r="4210" spans="1:38" ht="15" x14ac:dyDescent="0.25">
      <c r="A4210" s="1" t="s">
        <v>12777</v>
      </c>
      <c r="B4210" s="1" t="s">
        <v>12778</v>
      </c>
      <c r="C4210" s="1" t="s">
        <v>208</v>
      </c>
      <c r="D4210" s="1" t="s">
        <v>208</v>
      </c>
      <c r="E4210" s="6">
        <v>45.88</v>
      </c>
      <c r="F4210" s="1" t="s">
        <v>40</v>
      </c>
      <c r="G4210" s="6">
        <f ca="1">IFERROR(__xludf.DUMMYFUNCTION("iferror(GOOGLEFINANCE(TRIM(F4210)&amp;"":"" &amp; TRIM(B4210), ""price""),0
)"),2.47)</f>
        <v>2.4700000000000002</v>
      </c>
      <c r="H4210" s="6">
        <v>3.2</v>
      </c>
      <c r="I4210" s="6">
        <f t="shared" ca="1" si="0"/>
        <v>2.4700000000000002</v>
      </c>
      <c r="J4210" s="6">
        <f ca="1">IFERROR(__xludf.DUMMYFUNCTION("IFERROR(GOOGLEFINANCE(B4210, ""volume""), 0)"),174817)</f>
        <v>174817</v>
      </c>
      <c r="K4210" s="6">
        <v>0</v>
      </c>
      <c r="L4210" s="6">
        <f ca="1">IFERROR(__xludf.DUMMYFUNCTION("IFERROR(GOOGLEFINANCE(B4210,""changepct""),K4210)"),-1.98)</f>
        <v>-1.98</v>
      </c>
      <c r="M4210" s="6">
        <f ca="1">IFERROR(__xludf.DUMMYFUNCTION("IFERROR(GOOGLEFINANCE(B4210,""change""),0)"),-0.05)</f>
        <v>-0.05</v>
      </c>
      <c r="N4210" s="6">
        <v>1</v>
      </c>
      <c r="O4210" s="7">
        <v>45536</v>
      </c>
      <c r="P4210" s="6">
        <v>-0.32</v>
      </c>
      <c r="Q4210" s="7">
        <v>45536</v>
      </c>
      <c r="R4210" s="6">
        <v>0</v>
      </c>
      <c r="S4210" s="6">
        <v>0</v>
      </c>
      <c r="T4210" s="6">
        <v>2.19</v>
      </c>
      <c r="U4210" s="6">
        <v>2</v>
      </c>
      <c r="V4210" s="7">
        <v>45352</v>
      </c>
      <c r="W4210" s="6">
        <f ca="1">IFERROR(__xludf.DUMMYFUNCTION("IFERROR(GOOGLEFINANCE(B4210,""pe""),V4210)"),28.16)</f>
        <v>28.16</v>
      </c>
      <c r="X4210" s="6">
        <v>0.99</v>
      </c>
      <c r="Y4210" s="6">
        <v>1.1399999999999999</v>
      </c>
      <c r="Z4210" s="6">
        <v>1.52</v>
      </c>
      <c r="AA4210" s="3" t="s">
        <v>12779</v>
      </c>
      <c r="AB4210" s="16"/>
      <c r="AC4210" s="12"/>
      <c r="AD4210" s="12"/>
      <c r="AE4210" s="1">
        <v>0</v>
      </c>
      <c r="AF4210" s="1">
        <f ca="1">IFERROR(__xludf.DUMMYFUNCTION("IFERROR(GOOGLEFINANCE(TRIM(F4210)&amp;"":"" &amp; TRIM(B4210),""high52""),AE4210)"),4.6)</f>
        <v>4.5999999999999996</v>
      </c>
      <c r="AG4210" s="1">
        <v>0</v>
      </c>
      <c r="AH4210" s="1">
        <f ca="1">IFERROR(__xludf.DUMMYFUNCTION("IFERROR(GOOGLEFINANCE(TRIM(F4210)&amp;"":"" &amp; TRIM(B4210),""low52""),AE4210)"),1.99)</f>
        <v>1.99</v>
      </c>
      <c r="AI4210" s="1">
        <f ca="1">IFERROR(__xludf.DUMMYFUNCTION("IFERROR(GOOGLEFINANCE(B4210,""eps""),0)"),0.09)</f>
        <v>0.09</v>
      </c>
      <c r="AJ4210" s="1"/>
      <c r="AK4210" s="9"/>
      <c r="AL4210" s="9">
        <f t="shared" si="387"/>
        <v>1</v>
      </c>
    </row>
    <row r="4211" spans="1:38" ht="15" x14ac:dyDescent="0.25">
      <c r="A4211" s="1" t="s">
        <v>12780</v>
      </c>
      <c r="B4211" s="1" t="s">
        <v>12781</v>
      </c>
      <c r="C4211" s="1" t="s">
        <v>227</v>
      </c>
      <c r="D4211" s="1" t="s">
        <v>227</v>
      </c>
      <c r="E4211" s="6">
        <v>11.95</v>
      </c>
      <c r="F4211" s="1" t="s">
        <v>53</v>
      </c>
      <c r="G4211" s="6">
        <f ca="1">IFERROR(__xludf.DUMMYFUNCTION("iferror(GOOGLEFINANCE(TRIM(F4211)&amp;"":"" &amp; TRIM(B4211), ""price""),0
)"),0)</f>
        <v>0</v>
      </c>
      <c r="H4211" s="6">
        <v>0.76</v>
      </c>
      <c r="I4211" s="6">
        <f t="shared" ca="1" si="0"/>
        <v>0.76</v>
      </c>
      <c r="J4211" s="6">
        <f ca="1">IFERROR(__xludf.DUMMYFUNCTION("IFERROR(GOOGLEFINANCE(B4211, ""volume""), 0)"),0)</f>
        <v>0</v>
      </c>
      <c r="K4211" s="6">
        <v>-1.3</v>
      </c>
      <c r="L4211" s="6">
        <f ca="1">IFERROR(__xludf.DUMMYFUNCTION("IFERROR(GOOGLEFINANCE(B4211,""changepct""),K4211)"),-1.3)</f>
        <v>-1.3</v>
      </c>
      <c r="M4211" s="6">
        <f ca="1">IFERROR(__xludf.DUMMYFUNCTION("IFERROR(GOOGLEFINANCE(B4211,""change""),0)"),0)</f>
        <v>0</v>
      </c>
      <c r="N4211" s="6">
        <v>1</v>
      </c>
      <c r="O4211" s="7">
        <v>45536</v>
      </c>
      <c r="P4211" s="6">
        <v>2.27</v>
      </c>
      <c r="Q4211" s="6">
        <v>14.21</v>
      </c>
      <c r="R4211" s="7">
        <v>45352</v>
      </c>
      <c r="S4211" s="6">
        <v>97.02</v>
      </c>
      <c r="T4211" s="6">
        <v>1.1200000000000001</v>
      </c>
      <c r="U4211" s="7">
        <v>45352</v>
      </c>
      <c r="V4211" s="6">
        <v>10.7</v>
      </c>
      <c r="W4211" s="6">
        <f ca="1">IFERROR(__xludf.DUMMYFUNCTION("IFERROR(GOOGLEFINANCE(B4211,""pe""),V4211)"),10.7)</f>
        <v>10.7</v>
      </c>
      <c r="X4211" s="9"/>
      <c r="Y4211" s="6">
        <v>0.73</v>
      </c>
      <c r="Z4211" s="6">
        <v>1</v>
      </c>
      <c r="AA4211" s="8">
        <v>45352</v>
      </c>
      <c r="AB4211" s="4">
        <v>0.13</v>
      </c>
      <c r="AC4211" s="6">
        <v>7.02</v>
      </c>
      <c r="AD4211" s="6">
        <v>5.52</v>
      </c>
      <c r="AE4211" s="1">
        <v>0</v>
      </c>
      <c r="AF4211" s="1">
        <f ca="1">IFERROR(__xludf.DUMMYFUNCTION("IFERROR(GOOGLEFINANCE(TRIM(F4211)&amp;"":"" &amp; TRIM(B4211),""high52""),AE4211)"),0)</f>
        <v>0</v>
      </c>
      <c r="AG4211" s="1">
        <v>0</v>
      </c>
      <c r="AH4211" s="1">
        <f ca="1">IFERROR(__xludf.DUMMYFUNCTION("IFERROR(GOOGLEFINANCE(TRIM(F4211)&amp;"":"" &amp; TRIM(B4211),""low52""),AE4211)"),0)</f>
        <v>0</v>
      </c>
      <c r="AI4211" s="1">
        <f ca="1">IFERROR(__xludf.DUMMYFUNCTION("IFERROR(GOOGLEFINANCE(B4211,""eps""),0)"),0)</f>
        <v>0</v>
      </c>
      <c r="AJ4211" s="1"/>
      <c r="AK4211" s="9"/>
      <c r="AL4211" s="9">
        <f t="shared" si="387"/>
        <v>1</v>
      </c>
    </row>
    <row r="4212" spans="1:38" ht="15" x14ac:dyDescent="0.25">
      <c r="A4212" s="1" t="s">
        <v>12782</v>
      </c>
      <c r="B4212" s="1" t="s">
        <v>12783</v>
      </c>
      <c r="C4212" s="1" t="s">
        <v>135</v>
      </c>
      <c r="D4212" s="1" t="s">
        <v>135</v>
      </c>
      <c r="E4212" s="6">
        <v>583.66999999999996</v>
      </c>
      <c r="F4212" s="1" t="s">
        <v>40</v>
      </c>
      <c r="G4212" s="6">
        <f ca="1">IFERROR(__xludf.DUMMYFUNCTION("iferror(GOOGLEFINANCE(TRIM(F4212)&amp;"":"" &amp; TRIM(B4212), ""price""),0
)"),1.52)</f>
        <v>1.52</v>
      </c>
      <c r="H4212" s="6">
        <v>3.39</v>
      </c>
      <c r="I4212" s="6">
        <f t="shared" ca="1" si="0"/>
        <v>1.52</v>
      </c>
      <c r="J4212" s="6">
        <f ca="1">IFERROR(__xludf.DUMMYFUNCTION("IFERROR(GOOGLEFINANCE(B4212, ""volume""), 0)"),2261472)</f>
        <v>2261472</v>
      </c>
      <c r="K4212" s="6">
        <v>2.73</v>
      </c>
      <c r="L4212" s="6">
        <f ca="1">IFERROR(__xludf.DUMMYFUNCTION("IFERROR(GOOGLEFINANCE(B4212,""changepct""),K4212)"),-1.3)</f>
        <v>-1.3</v>
      </c>
      <c r="M4212" s="6">
        <f ca="1">IFERROR(__xludf.DUMMYFUNCTION("IFERROR(GOOGLEFINANCE(B4212,""change""),0)"),-0.02)</f>
        <v>-0.02</v>
      </c>
      <c r="N4212" s="6">
        <v>2</v>
      </c>
      <c r="O4212" s="7">
        <v>45536</v>
      </c>
      <c r="P4212" s="6">
        <v>30.63</v>
      </c>
      <c r="Q4212" s="6">
        <v>610.53</v>
      </c>
      <c r="R4212" s="7">
        <v>45352</v>
      </c>
      <c r="S4212" s="6">
        <v>258.63</v>
      </c>
      <c r="T4212" s="6">
        <v>6.85</v>
      </c>
      <c r="U4212" s="7">
        <v>45352</v>
      </c>
      <c r="V4212" s="6">
        <v>85.25</v>
      </c>
      <c r="W4212" s="6">
        <f ca="1">IFERROR(__xludf.DUMMYFUNCTION("IFERROR(GOOGLEFINANCE(B4212,""pe""),V4212)"),7.47)</f>
        <v>7.47</v>
      </c>
      <c r="X4212" s="12"/>
      <c r="Y4212" s="6">
        <v>1.06</v>
      </c>
      <c r="Z4212" s="6">
        <v>2</v>
      </c>
      <c r="AA4212" s="8">
        <v>45352</v>
      </c>
      <c r="AB4212" s="4">
        <v>0.05</v>
      </c>
      <c r="AC4212" s="6">
        <v>2.23</v>
      </c>
      <c r="AD4212" s="6">
        <v>4.72</v>
      </c>
      <c r="AE4212" s="1">
        <v>0</v>
      </c>
      <c r="AF4212" s="1">
        <f ca="1">IFERROR(__xludf.DUMMYFUNCTION("IFERROR(GOOGLEFINANCE(TRIM(F4212)&amp;"":"" &amp; TRIM(B4212),""high52""),AE4212)"),3)</f>
        <v>3</v>
      </c>
      <c r="AG4212" s="1">
        <v>0</v>
      </c>
      <c r="AH4212" s="1">
        <f ca="1">IFERROR(__xludf.DUMMYFUNCTION("IFERROR(GOOGLEFINANCE(TRIM(F4212)&amp;"":"" &amp; TRIM(B4212),""low52""),AE4212)"),1.45)</f>
        <v>1.45</v>
      </c>
      <c r="AI4212" s="1">
        <f ca="1">IFERROR(__xludf.DUMMYFUNCTION("IFERROR(GOOGLEFINANCE(B4212,""eps""),0)"),0.2)</f>
        <v>0.2</v>
      </c>
      <c r="AJ4212" s="1"/>
      <c r="AK4212" s="1" t="s">
        <v>12784</v>
      </c>
      <c r="AL4212" s="1" t="b">
        <f>ISNUMBER(AA4212)</f>
        <v>1</v>
      </c>
    </row>
    <row r="4213" spans="1:38" ht="15" x14ac:dyDescent="0.25">
      <c r="A4213" s="1" t="s">
        <v>12785</v>
      </c>
      <c r="B4213" s="1" t="s">
        <v>12786</v>
      </c>
      <c r="C4213" s="1" t="s">
        <v>227</v>
      </c>
      <c r="D4213" s="1" t="s">
        <v>227</v>
      </c>
      <c r="E4213" s="6">
        <v>243.75</v>
      </c>
      <c r="F4213" s="1" t="s">
        <v>53</v>
      </c>
      <c r="G4213" s="6">
        <f ca="1">IFERROR(__xludf.DUMMYFUNCTION("iferror(GOOGLEFINANCE(TRIM(F4213)&amp;"":"" &amp; TRIM(B4213), ""price""),0
)"),0)</f>
        <v>0</v>
      </c>
      <c r="H4213" s="6">
        <v>165.75</v>
      </c>
      <c r="I4213" s="6">
        <f t="shared" ca="1" si="0"/>
        <v>165.75</v>
      </c>
      <c r="J4213" s="6">
        <f ca="1">IFERROR(__xludf.DUMMYFUNCTION("IFERROR(GOOGLEFINANCE(B4213, ""volume""), 0)"),2397)</f>
        <v>2397</v>
      </c>
      <c r="K4213" s="6">
        <v>2</v>
      </c>
      <c r="L4213" s="6">
        <f ca="1">IFERROR(__xludf.DUMMYFUNCTION("IFERROR(GOOGLEFINANCE(B4213,""changepct""),K4213)"),0.13)</f>
        <v>0.13</v>
      </c>
      <c r="M4213" s="6">
        <f ca="1">IFERROR(__xludf.DUMMYFUNCTION("IFERROR(GOOGLEFINANCE(B4213,""change""),0)"),0.05)</f>
        <v>0.05</v>
      </c>
      <c r="N4213" s="6">
        <v>1</v>
      </c>
      <c r="O4213" s="7">
        <v>45536</v>
      </c>
      <c r="P4213" s="6">
        <v>10.58</v>
      </c>
      <c r="Q4213" s="6">
        <v>254.33</v>
      </c>
      <c r="R4213" s="7">
        <v>45352</v>
      </c>
      <c r="S4213" s="6">
        <v>110.74</v>
      </c>
      <c r="T4213" s="6">
        <v>8.11</v>
      </c>
      <c r="U4213" s="7">
        <v>45352</v>
      </c>
      <c r="V4213" s="6">
        <v>30.05</v>
      </c>
      <c r="W4213" s="6">
        <f ca="1">IFERROR(__xludf.DUMMYFUNCTION("IFERROR(GOOGLEFINANCE(B4213,""pe""),V4213)"),30.05)</f>
        <v>30.05</v>
      </c>
      <c r="X4213" s="9"/>
      <c r="Y4213" s="6">
        <v>5.32</v>
      </c>
      <c r="Z4213" s="6">
        <v>1</v>
      </c>
      <c r="AA4213" s="8">
        <v>45352</v>
      </c>
      <c r="AB4213" s="4">
        <v>0.18</v>
      </c>
      <c r="AC4213" s="6">
        <v>22.06</v>
      </c>
      <c r="AD4213" s="6">
        <v>28.05</v>
      </c>
      <c r="AE4213" s="1">
        <v>0</v>
      </c>
      <c r="AF4213" s="1">
        <f ca="1">IFERROR(__xludf.DUMMYFUNCTION("IFERROR(GOOGLEFINANCE(TRIM(F4213)&amp;"":"" &amp; TRIM(B4213),""high52""),AE4213)"),0)</f>
        <v>0</v>
      </c>
      <c r="AG4213" s="1">
        <v>0</v>
      </c>
      <c r="AH4213" s="1">
        <f ca="1">IFERROR(__xludf.DUMMYFUNCTION("IFERROR(GOOGLEFINANCE(TRIM(F4213)&amp;"":"" &amp; TRIM(B4213),""low52""),AE4213)"),0)</f>
        <v>0</v>
      </c>
      <c r="AI4213" s="1">
        <f ca="1">IFERROR(__xludf.DUMMYFUNCTION("IFERROR(GOOGLEFINANCE(B4213,""eps""),0)"),0)</f>
        <v>0</v>
      </c>
      <c r="AJ4213" s="1"/>
      <c r="AK4213" s="9"/>
      <c r="AL4213" s="9">
        <f t="shared" ref="AL4213:AL4294" si="388">IF(AA4213&lt;&gt;AB4213,1,0)</f>
        <v>1</v>
      </c>
    </row>
    <row r="4214" spans="1:38" ht="15" x14ac:dyDescent="0.25">
      <c r="A4214" s="1" t="s">
        <v>12787</v>
      </c>
      <c r="B4214" s="1" t="s">
        <v>12788</v>
      </c>
      <c r="C4214" s="1" t="s">
        <v>227</v>
      </c>
      <c r="D4214" s="1" t="s">
        <v>227</v>
      </c>
      <c r="E4214" s="6">
        <v>8.2799999999999994</v>
      </c>
      <c r="F4214" s="1" t="s">
        <v>53</v>
      </c>
      <c r="G4214" s="6">
        <f ca="1">IFERROR(__xludf.DUMMYFUNCTION("iferror(GOOGLEFINANCE(TRIM(F4214)&amp;"":"" &amp; TRIM(B4214), ""price""),0
)"),0)</f>
        <v>0</v>
      </c>
      <c r="H4214" s="6">
        <v>3.25</v>
      </c>
      <c r="I4214" s="6">
        <f t="shared" ca="1" si="0"/>
        <v>3.25</v>
      </c>
      <c r="J4214" s="6">
        <f ca="1">IFERROR(__xludf.DUMMYFUNCTION("IFERROR(GOOGLEFINANCE(B4214, ""volume""), 0)"),0)</f>
        <v>0</v>
      </c>
      <c r="K4214" s="6">
        <v>-2.99</v>
      </c>
      <c r="L4214" s="6">
        <f ca="1">IFERROR(__xludf.DUMMYFUNCTION("IFERROR(GOOGLEFINANCE(B4214,""changepct""),K4214)"),-2.99)</f>
        <v>-2.99</v>
      </c>
      <c r="M4214" s="6">
        <f ca="1">IFERROR(__xludf.DUMMYFUNCTION("IFERROR(GOOGLEFINANCE(B4214,""change""),0)"),0)</f>
        <v>0</v>
      </c>
      <c r="N4214" s="6">
        <v>1</v>
      </c>
      <c r="O4214" s="7">
        <v>45352</v>
      </c>
      <c r="P4214" s="6">
        <v>7.04</v>
      </c>
      <c r="Q4214" s="6">
        <v>13.59</v>
      </c>
      <c r="R4214" s="7">
        <v>45352</v>
      </c>
      <c r="S4214" s="6">
        <v>2.46</v>
      </c>
      <c r="T4214" s="6">
        <v>-485.35</v>
      </c>
      <c r="U4214" s="7">
        <v>45352</v>
      </c>
      <c r="V4214" s="6">
        <v>0</v>
      </c>
      <c r="W4214" s="6">
        <f ca="1">IFERROR(__xludf.DUMMYFUNCTION("IFERROR(GOOGLEFINANCE(B4214,""pe""),V4214)"),0)</f>
        <v>0</v>
      </c>
      <c r="X4214" s="9"/>
      <c r="Y4214" s="6">
        <v>-0.02</v>
      </c>
      <c r="Z4214" s="6">
        <v>1</v>
      </c>
      <c r="AA4214" s="8">
        <v>45352</v>
      </c>
      <c r="AB4214" s="4">
        <v>-0.02</v>
      </c>
      <c r="AC4214" s="6">
        <v>0</v>
      </c>
      <c r="AD4214" s="6">
        <v>0</v>
      </c>
      <c r="AE4214" s="1">
        <v>0</v>
      </c>
      <c r="AF4214" s="1">
        <f ca="1">IFERROR(__xludf.DUMMYFUNCTION("IFERROR(GOOGLEFINANCE(TRIM(F4214)&amp;"":"" &amp; TRIM(B4214),""high52""),AE4214)"),0)</f>
        <v>0</v>
      </c>
      <c r="AG4214" s="1">
        <v>0</v>
      </c>
      <c r="AH4214" s="1">
        <f ca="1">IFERROR(__xludf.DUMMYFUNCTION("IFERROR(GOOGLEFINANCE(TRIM(F4214)&amp;"":"" &amp; TRIM(B4214),""low52""),AE4214)"),0)</f>
        <v>0</v>
      </c>
      <c r="AI4214" s="1">
        <f ca="1">IFERROR(__xludf.DUMMYFUNCTION("IFERROR(GOOGLEFINANCE(B4214,""eps""),0)"),0)</f>
        <v>0</v>
      </c>
      <c r="AJ4214" s="1"/>
      <c r="AK4214" s="9"/>
      <c r="AL4214" s="9">
        <f t="shared" si="388"/>
        <v>1</v>
      </c>
    </row>
    <row r="4215" spans="1:38" ht="15" x14ac:dyDescent="0.25">
      <c r="A4215" s="1" t="s">
        <v>12789</v>
      </c>
      <c r="B4215" s="1" t="s">
        <v>12790</v>
      </c>
      <c r="C4215" s="1" t="s">
        <v>470</v>
      </c>
      <c r="D4215" s="1" t="s">
        <v>470</v>
      </c>
      <c r="E4215" s="6">
        <v>797.47</v>
      </c>
      <c r="F4215" s="1" t="s">
        <v>40</v>
      </c>
      <c r="G4215" s="6">
        <f ca="1">IFERROR(__xludf.DUMMYFUNCTION("iferror(GOOGLEFINANCE(TRIM(F4215)&amp;"":"" &amp; TRIM(B4215), ""price""),0
)"),1.67)</f>
        <v>1.67</v>
      </c>
      <c r="H4215" s="6">
        <v>4.3</v>
      </c>
      <c r="I4215" s="6">
        <f t="shared" ca="1" si="0"/>
        <v>1.67</v>
      </c>
      <c r="J4215" s="6">
        <f ca="1">IFERROR(__xludf.DUMMYFUNCTION("IFERROR(GOOGLEFINANCE(B4215, ""volume""), 0)"),3356945)</f>
        <v>3356945</v>
      </c>
      <c r="K4215" s="6">
        <v>0.7</v>
      </c>
      <c r="L4215" s="6">
        <f ca="1">IFERROR(__xludf.DUMMYFUNCTION("IFERROR(GOOGLEFINANCE(B4215,""changepct""),K4215)"),-1.18)</f>
        <v>-1.18</v>
      </c>
      <c r="M4215" s="6">
        <f ca="1">IFERROR(__xludf.DUMMYFUNCTION("IFERROR(GOOGLEFINANCE(B4215,""change""),0)"),-0.02)</f>
        <v>-0.02</v>
      </c>
      <c r="N4215" s="6">
        <v>2</v>
      </c>
      <c r="O4215" s="7">
        <v>45536</v>
      </c>
      <c r="P4215" s="6">
        <v>61.46</v>
      </c>
      <c r="Q4215" s="6">
        <v>858.93</v>
      </c>
      <c r="R4215" s="7">
        <v>45536</v>
      </c>
      <c r="S4215" s="6">
        <v>457.79</v>
      </c>
      <c r="T4215" s="6">
        <v>-4.47</v>
      </c>
      <c r="U4215" s="7">
        <v>45536</v>
      </c>
      <c r="V4215" s="6">
        <v>0</v>
      </c>
      <c r="W4215" s="6">
        <f ca="1">IFERROR(__xludf.DUMMYFUNCTION("IFERROR(GOOGLEFINANCE(B4215,""pe""),V4215)"),0)</f>
        <v>0</v>
      </c>
      <c r="X4215" s="12"/>
      <c r="Y4215" s="6">
        <v>1.47</v>
      </c>
      <c r="Z4215" s="6">
        <v>2</v>
      </c>
      <c r="AA4215" s="8">
        <v>45352</v>
      </c>
      <c r="AB4215" s="4">
        <v>0.08</v>
      </c>
      <c r="AC4215" s="6">
        <v>3.42</v>
      </c>
      <c r="AD4215" s="6">
        <v>4.57</v>
      </c>
      <c r="AE4215" s="1">
        <v>0</v>
      </c>
      <c r="AF4215" s="1">
        <f ca="1">IFERROR(__xludf.DUMMYFUNCTION("IFERROR(GOOGLEFINANCE(TRIM(F4215)&amp;"":"" &amp; TRIM(B4215),""high52""),AE4215)"),3.87)</f>
        <v>3.87</v>
      </c>
      <c r="AG4215" s="1">
        <v>0</v>
      </c>
      <c r="AH4215" s="1">
        <f ca="1">IFERROR(__xludf.DUMMYFUNCTION("IFERROR(GOOGLEFINANCE(TRIM(F4215)&amp;"":"" &amp; TRIM(B4215),""low52""),AE4215)"),1.64)</f>
        <v>1.64</v>
      </c>
      <c r="AI4215" s="1">
        <f ca="1">IFERROR(__xludf.DUMMYFUNCTION("IFERROR(GOOGLEFINANCE(B4215,""eps""),0)"),-0.05)</f>
        <v>-0.05</v>
      </c>
      <c r="AJ4215" s="1"/>
      <c r="AK4215" s="1" t="s">
        <v>12791</v>
      </c>
      <c r="AL4215" s="9">
        <f t="shared" si="388"/>
        <v>1</v>
      </c>
    </row>
    <row r="4216" spans="1:38" ht="15" x14ac:dyDescent="0.25">
      <c r="A4216" s="1" t="s">
        <v>12792</v>
      </c>
      <c r="B4216" s="1" t="s">
        <v>12793</v>
      </c>
      <c r="C4216" s="1" t="s">
        <v>227</v>
      </c>
      <c r="D4216" s="1" t="s">
        <v>227</v>
      </c>
      <c r="E4216" s="6">
        <v>7.74</v>
      </c>
      <c r="F4216" s="1" t="s">
        <v>53</v>
      </c>
      <c r="G4216" s="6">
        <f ca="1">IFERROR(__xludf.DUMMYFUNCTION("iferror(GOOGLEFINANCE(TRIM(F4216)&amp;"":"" &amp; TRIM(B4216), ""price""),0
)"),0)</f>
        <v>0</v>
      </c>
      <c r="H4216" s="6">
        <v>7.91</v>
      </c>
      <c r="I4216" s="6">
        <f t="shared" ca="1" si="0"/>
        <v>7.91</v>
      </c>
      <c r="J4216" s="6">
        <f ca="1">IFERROR(__xludf.DUMMYFUNCTION("IFERROR(GOOGLEFINANCE(B4216, ""volume""), 0)"),0)</f>
        <v>0</v>
      </c>
      <c r="K4216" s="6">
        <v>4.91</v>
      </c>
      <c r="L4216" s="6">
        <f ca="1">IFERROR(__xludf.DUMMYFUNCTION("IFERROR(GOOGLEFINANCE(B4216,""changepct""),K4216)"),4.91)</f>
        <v>4.91</v>
      </c>
      <c r="M4216" s="6">
        <f ca="1">IFERROR(__xludf.DUMMYFUNCTION("IFERROR(GOOGLEFINANCE(B4216,""change""),0)"),0)</f>
        <v>0</v>
      </c>
      <c r="N4216" s="6">
        <v>1</v>
      </c>
      <c r="O4216" s="7">
        <v>45536</v>
      </c>
      <c r="P4216" s="6">
        <v>5.21</v>
      </c>
      <c r="Q4216" s="6">
        <v>11.89</v>
      </c>
      <c r="R4216" s="7">
        <v>45352</v>
      </c>
      <c r="S4216" s="6">
        <v>0.28999999999999998</v>
      </c>
      <c r="T4216" s="6">
        <v>-1.07</v>
      </c>
      <c r="U4216" s="7">
        <v>45352</v>
      </c>
      <c r="V4216" s="6">
        <v>0</v>
      </c>
      <c r="W4216" s="6">
        <f ca="1">IFERROR(__xludf.DUMMYFUNCTION("IFERROR(GOOGLEFINANCE(B4216,""pe""),V4216)"),0)</f>
        <v>0</v>
      </c>
      <c r="X4216" s="9"/>
      <c r="Y4216" s="6">
        <v>1.1200000000000001</v>
      </c>
      <c r="Z4216" s="6">
        <v>1</v>
      </c>
      <c r="AA4216" s="8">
        <v>45352</v>
      </c>
      <c r="AB4216" s="4">
        <v>0.75</v>
      </c>
      <c r="AC4216" s="6">
        <v>-4.2699999999999996</v>
      </c>
      <c r="AD4216" s="6">
        <v>-1.4</v>
      </c>
      <c r="AE4216" s="1">
        <v>0</v>
      </c>
      <c r="AF4216" s="1">
        <f ca="1">IFERROR(__xludf.DUMMYFUNCTION("IFERROR(GOOGLEFINANCE(TRIM(F4216)&amp;"":"" &amp; TRIM(B4216),""high52""),AE4216)"),0)</f>
        <v>0</v>
      </c>
      <c r="AG4216" s="1">
        <v>0</v>
      </c>
      <c r="AH4216" s="1">
        <f ca="1">IFERROR(__xludf.DUMMYFUNCTION("IFERROR(GOOGLEFINANCE(TRIM(F4216)&amp;"":"" &amp; TRIM(B4216),""low52""),AE4216)"),0)</f>
        <v>0</v>
      </c>
      <c r="AI4216" s="1">
        <f ca="1">IFERROR(__xludf.DUMMYFUNCTION("IFERROR(GOOGLEFINANCE(B4216,""eps""),0)"),0)</f>
        <v>0</v>
      </c>
      <c r="AJ4216" s="1"/>
      <c r="AK4216" s="1" t="s">
        <v>12794</v>
      </c>
      <c r="AL4216" s="9">
        <f t="shared" si="388"/>
        <v>1</v>
      </c>
    </row>
    <row r="4217" spans="1:38" ht="15" x14ac:dyDescent="0.25">
      <c r="A4217" s="1" t="s">
        <v>12795</v>
      </c>
      <c r="B4217" s="1" t="s">
        <v>12796</v>
      </c>
      <c r="C4217" s="1" t="s">
        <v>125</v>
      </c>
      <c r="D4217" s="1" t="s">
        <v>125</v>
      </c>
      <c r="E4217" s="6">
        <v>1168.68</v>
      </c>
      <c r="F4217" s="1" t="s">
        <v>40</v>
      </c>
      <c r="G4217" s="6">
        <f ca="1">IFERROR(__xludf.DUMMYFUNCTION("iferror(GOOGLEFINANCE(TRIM(F4217)&amp;"":"" &amp; TRIM(B4217), ""price""),0
)"),0)</f>
        <v>0</v>
      </c>
      <c r="H4217" s="6">
        <v>471.75</v>
      </c>
      <c r="I4217" s="6">
        <f t="shared" ca="1" si="0"/>
        <v>471.75</v>
      </c>
      <c r="J4217" s="6">
        <f ca="1">IFERROR(__xludf.DUMMYFUNCTION("IFERROR(GOOGLEFINANCE(B4217, ""volume""), 0)"),0)</f>
        <v>0</v>
      </c>
      <c r="K4217" s="6">
        <v>-1.18</v>
      </c>
      <c r="L4217" s="6">
        <f ca="1">IFERROR(__xludf.DUMMYFUNCTION("IFERROR(GOOGLEFINANCE(B4217,""changepct""),K4217)"),-1.18)</f>
        <v>-1.18</v>
      </c>
      <c r="M4217" s="6">
        <f ca="1">IFERROR(__xludf.DUMMYFUNCTION("IFERROR(GOOGLEFINANCE(B4217,""change""),0)"),0)</f>
        <v>0</v>
      </c>
      <c r="N4217" s="6">
        <v>1</v>
      </c>
      <c r="O4217" s="7">
        <v>45536</v>
      </c>
      <c r="P4217" s="6">
        <v>15.13</v>
      </c>
      <c r="Q4217" s="6">
        <v>1183.8</v>
      </c>
      <c r="R4217" s="7">
        <v>45352</v>
      </c>
      <c r="S4217" s="6">
        <v>309.74</v>
      </c>
      <c r="T4217" s="6">
        <v>23.08</v>
      </c>
      <c r="U4217" s="7">
        <v>45352</v>
      </c>
      <c r="V4217" s="6">
        <v>50.65</v>
      </c>
      <c r="W4217" s="6">
        <f ca="1">IFERROR(__xludf.DUMMYFUNCTION("IFERROR(GOOGLEFINANCE(B4217,""pe""),V4217)"),50.65)</f>
        <v>50.65</v>
      </c>
      <c r="X4217" s="12"/>
      <c r="Y4217" s="6">
        <v>4.9000000000000004</v>
      </c>
      <c r="Z4217" s="6">
        <v>1</v>
      </c>
      <c r="AA4217" s="17">
        <v>45352</v>
      </c>
      <c r="AB4217" s="18">
        <v>0</v>
      </c>
      <c r="AC4217" s="6">
        <v>17.5</v>
      </c>
      <c r="AD4217" s="6">
        <v>24.06</v>
      </c>
      <c r="AE4217" s="1">
        <v>0</v>
      </c>
      <c r="AF4217" s="1">
        <f ca="1">IFERROR(__xludf.DUMMYFUNCTION("IFERROR(GOOGLEFINANCE(TRIM(F4217)&amp;"":"" &amp; TRIM(B4217),""high52""),AE4217)"),0)</f>
        <v>0</v>
      </c>
      <c r="AG4217" s="1">
        <v>0</v>
      </c>
      <c r="AH4217" s="1">
        <f ca="1">IFERROR(__xludf.DUMMYFUNCTION("IFERROR(GOOGLEFINANCE(TRIM(F4217)&amp;"":"" &amp; TRIM(B4217),""low52""),AE4217)"),0)</f>
        <v>0</v>
      </c>
      <c r="AI4217" s="1">
        <f ca="1">IFERROR(__xludf.DUMMYFUNCTION("IFERROR(GOOGLEFINANCE(B4217,""eps""),0)"),0)</f>
        <v>0</v>
      </c>
      <c r="AJ4217" s="1"/>
      <c r="AK4217" s="1" t="s">
        <v>12797</v>
      </c>
      <c r="AL4217" s="9">
        <f t="shared" si="388"/>
        <v>1</v>
      </c>
    </row>
    <row r="4218" spans="1:38" ht="15" x14ac:dyDescent="0.25">
      <c r="A4218" s="1" t="s">
        <v>12798</v>
      </c>
      <c r="B4218" s="1" t="s">
        <v>12799</v>
      </c>
      <c r="C4218" s="1" t="s">
        <v>227</v>
      </c>
      <c r="D4218" s="1" t="s">
        <v>227</v>
      </c>
      <c r="E4218" s="6">
        <v>20.71</v>
      </c>
      <c r="F4218" s="1" t="s">
        <v>53</v>
      </c>
      <c r="G4218" s="6">
        <f ca="1">IFERROR(__xludf.DUMMYFUNCTION("iferror(GOOGLEFINANCE(TRIM(F4218)&amp;"":"" &amp; TRIM(B4218), ""price""),0
)"),0)</f>
        <v>0</v>
      </c>
      <c r="H4218" s="6">
        <v>1.6</v>
      </c>
      <c r="I4218" s="6">
        <f t="shared" ca="1" si="0"/>
        <v>1.6</v>
      </c>
      <c r="J4218" s="6">
        <f ca="1">IFERROR(__xludf.DUMMYFUNCTION("IFERROR(GOOGLEFINANCE(B4218, ""volume""), 0)"),0)</f>
        <v>0</v>
      </c>
      <c r="K4218" s="6">
        <v>1.27</v>
      </c>
      <c r="L4218" s="6">
        <f ca="1">IFERROR(__xludf.DUMMYFUNCTION("IFERROR(GOOGLEFINANCE(B4218,""changepct""),K4218)"),1.27)</f>
        <v>1.27</v>
      </c>
      <c r="M4218" s="6">
        <f ca="1">IFERROR(__xludf.DUMMYFUNCTION("IFERROR(GOOGLEFINANCE(B4218,""change""),0)"),0)</f>
        <v>0</v>
      </c>
      <c r="N4218" s="6">
        <v>1</v>
      </c>
      <c r="O4218" s="7">
        <v>45536</v>
      </c>
      <c r="P4218" s="6">
        <v>4.9000000000000004</v>
      </c>
      <c r="Q4218" s="6">
        <v>25.6</v>
      </c>
      <c r="R4218" s="7">
        <v>45352</v>
      </c>
      <c r="S4218" s="6">
        <v>13.85</v>
      </c>
      <c r="T4218" s="6">
        <v>0.24</v>
      </c>
      <c r="U4218" s="7">
        <v>45352</v>
      </c>
      <c r="V4218" s="6">
        <v>85</v>
      </c>
      <c r="W4218" s="6">
        <f ca="1">IFERROR(__xludf.DUMMYFUNCTION("IFERROR(GOOGLEFINANCE(B4218,""pe""),V4218)"),85)</f>
        <v>85</v>
      </c>
      <c r="X4218" s="12"/>
      <c r="Y4218" s="6">
        <v>1.1200000000000001</v>
      </c>
      <c r="Z4218" s="6">
        <v>1</v>
      </c>
      <c r="AA4218" s="8">
        <v>45352</v>
      </c>
      <c r="AB4218" s="4">
        <v>0.14000000000000001</v>
      </c>
      <c r="AC4218" s="6">
        <v>1.85</v>
      </c>
      <c r="AD4218" s="6">
        <v>1.98</v>
      </c>
      <c r="AE4218" s="1">
        <v>0</v>
      </c>
      <c r="AF4218" s="1">
        <f ca="1">IFERROR(__xludf.DUMMYFUNCTION("IFERROR(GOOGLEFINANCE(TRIM(F4218)&amp;"":"" &amp; TRIM(B4218),""high52""),AE4218)"),0)</f>
        <v>0</v>
      </c>
      <c r="AG4218" s="1">
        <v>0</v>
      </c>
      <c r="AH4218" s="1">
        <f ca="1">IFERROR(__xludf.DUMMYFUNCTION("IFERROR(GOOGLEFINANCE(TRIM(F4218)&amp;"":"" &amp; TRIM(B4218),""low52""),AE4218)"),0)</f>
        <v>0</v>
      </c>
      <c r="AI4218" s="1">
        <f ca="1">IFERROR(__xludf.DUMMYFUNCTION("IFERROR(GOOGLEFINANCE(B4218,""eps""),0)"),0)</f>
        <v>0</v>
      </c>
      <c r="AJ4218" s="1"/>
      <c r="AK4218" s="1" t="s">
        <v>12800</v>
      </c>
      <c r="AL4218" s="9">
        <f t="shared" si="388"/>
        <v>1</v>
      </c>
    </row>
    <row r="4219" spans="1:38" ht="15" x14ac:dyDescent="0.25">
      <c r="A4219" s="1" t="s">
        <v>12801</v>
      </c>
      <c r="B4219" s="1" t="s">
        <v>12802</v>
      </c>
      <c r="C4219" s="1" t="s">
        <v>106</v>
      </c>
      <c r="D4219" s="1" t="s">
        <v>106</v>
      </c>
      <c r="E4219" s="6">
        <v>30.69</v>
      </c>
      <c r="F4219" s="1" t="s">
        <v>40</v>
      </c>
      <c r="G4219" s="6">
        <f ca="1">IFERROR(__xludf.DUMMYFUNCTION("iferror(GOOGLEFINANCE(TRIM(F4219)&amp;"":"" &amp; TRIM(B4219), ""price""),0
)"),0)</f>
        <v>0</v>
      </c>
      <c r="H4219" s="6">
        <v>22</v>
      </c>
      <c r="I4219" s="6">
        <f t="shared" ca="1" si="0"/>
        <v>22</v>
      </c>
      <c r="J4219" s="6">
        <f ca="1">IFERROR(__xludf.DUMMYFUNCTION("IFERROR(GOOGLEFINANCE(B4219, ""volume""), 0)"),0)</f>
        <v>0</v>
      </c>
      <c r="K4219" s="9"/>
      <c r="L4219" s="6" t="str">
        <f ca="1">IFERROR(__xludf.DUMMYFUNCTION("IFERROR(GOOGLEFINANCE(B4219,""changepct""),K4219)"),"")</f>
        <v/>
      </c>
      <c r="M4219" s="6">
        <f ca="1">IFERROR(__xludf.DUMMYFUNCTION("IFERROR(GOOGLEFINANCE(B4219,""change""),0)"),0)</f>
        <v>0</v>
      </c>
      <c r="N4219" s="6">
        <v>1</v>
      </c>
      <c r="O4219" s="7">
        <v>45536</v>
      </c>
      <c r="P4219" s="6">
        <v>7.35</v>
      </c>
      <c r="Q4219" s="6">
        <v>38.049999999999997</v>
      </c>
      <c r="R4219" s="7">
        <v>45352</v>
      </c>
      <c r="S4219" s="6">
        <v>15.81</v>
      </c>
      <c r="T4219" s="6">
        <v>0.16</v>
      </c>
      <c r="U4219" s="7">
        <v>45352</v>
      </c>
      <c r="V4219" s="6">
        <v>188.98</v>
      </c>
      <c r="W4219" s="6">
        <f ca="1">IFERROR(__xludf.DUMMYFUNCTION("IFERROR(GOOGLEFINANCE(B4219,""pe""),V4219)"),188.98)</f>
        <v>188.98</v>
      </c>
      <c r="X4219" s="9"/>
      <c r="Y4219" s="6">
        <v>1.34</v>
      </c>
      <c r="Z4219" s="6">
        <v>1</v>
      </c>
      <c r="AA4219" s="8">
        <v>45352</v>
      </c>
      <c r="AB4219" s="4">
        <v>0.3</v>
      </c>
      <c r="AC4219" s="6">
        <v>0.97</v>
      </c>
      <c r="AD4219" s="6">
        <v>4.47</v>
      </c>
      <c r="AE4219" s="1">
        <v>0</v>
      </c>
      <c r="AF4219" s="1">
        <f ca="1">IFERROR(__xludf.DUMMYFUNCTION("IFERROR(GOOGLEFINANCE(TRIM(F4219)&amp;"":"" &amp; TRIM(B4219),""high52""),AE4219)"),0)</f>
        <v>0</v>
      </c>
      <c r="AG4219" s="1">
        <v>0</v>
      </c>
      <c r="AH4219" s="1">
        <f ca="1">IFERROR(__xludf.DUMMYFUNCTION("IFERROR(GOOGLEFINANCE(TRIM(F4219)&amp;"":"" &amp; TRIM(B4219),""low52""),AE4219)"),0)</f>
        <v>0</v>
      </c>
      <c r="AI4219" s="1">
        <f ca="1">IFERROR(__xludf.DUMMYFUNCTION("IFERROR(GOOGLEFINANCE(B4219,""eps""),0)"),0)</f>
        <v>0</v>
      </c>
      <c r="AJ4219" s="1"/>
      <c r="AK4219" s="1" t="s">
        <v>12803</v>
      </c>
      <c r="AL4219" s="9">
        <f t="shared" si="388"/>
        <v>1</v>
      </c>
    </row>
    <row r="4220" spans="1:38" ht="15" x14ac:dyDescent="0.25">
      <c r="A4220" s="1" t="s">
        <v>12804</v>
      </c>
      <c r="B4220" s="1" t="s">
        <v>12805</v>
      </c>
      <c r="C4220" s="1" t="s">
        <v>227</v>
      </c>
      <c r="D4220" s="1" t="s">
        <v>227</v>
      </c>
      <c r="E4220" s="6">
        <v>64.45</v>
      </c>
      <c r="F4220" s="1" t="s">
        <v>53</v>
      </c>
      <c r="G4220" s="6">
        <f ca="1">IFERROR(__xludf.DUMMYFUNCTION("iferror(GOOGLEFINANCE(TRIM(F4220)&amp;"":"" &amp; TRIM(B4220), ""price""),0
)"),0)</f>
        <v>0</v>
      </c>
      <c r="H4220" s="6">
        <v>29.26</v>
      </c>
      <c r="I4220" s="6">
        <f t="shared" ca="1" si="0"/>
        <v>29.26</v>
      </c>
      <c r="J4220" s="6">
        <f ca="1">IFERROR(__xludf.DUMMYFUNCTION("IFERROR(GOOGLEFINANCE(B4220, ""volume""), 0)"),0)</f>
        <v>0</v>
      </c>
      <c r="K4220" s="6">
        <v>-1.25</v>
      </c>
      <c r="L4220" s="6">
        <f ca="1">IFERROR(__xludf.DUMMYFUNCTION("IFERROR(GOOGLEFINANCE(B4220,""changepct""),K4220)"),-1.25)</f>
        <v>-1.25</v>
      </c>
      <c r="M4220" s="6">
        <f ca="1">IFERROR(__xludf.DUMMYFUNCTION("IFERROR(GOOGLEFINANCE(B4220,""change""),0)"),0)</f>
        <v>0</v>
      </c>
      <c r="N4220" s="6">
        <v>2</v>
      </c>
      <c r="O4220" s="7">
        <v>45536</v>
      </c>
      <c r="P4220" s="6">
        <v>3.62</v>
      </c>
      <c r="Q4220" s="6">
        <v>68.06</v>
      </c>
      <c r="R4220" s="7">
        <v>45352</v>
      </c>
      <c r="S4220" s="6">
        <v>3.9</v>
      </c>
      <c r="T4220" s="6">
        <v>1.4</v>
      </c>
      <c r="U4220" s="7">
        <v>45352</v>
      </c>
      <c r="V4220" s="6">
        <v>85.58</v>
      </c>
      <c r="W4220" s="6">
        <f ca="1">IFERROR(__xludf.DUMMYFUNCTION("IFERROR(GOOGLEFINANCE(B4220,""pe""),V4220)"),85.58)</f>
        <v>85.58</v>
      </c>
      <c r="X4220" s="9"/>
      <c r="Y4220" s="6">
        <v>2.0299999999999998</v>
      </c>
      <c r="Z4220" s="6">
        <v>2</v>
      </c>
      <c r="AA4220" s="17">
        <v>45352</v>
      </c>
      <c r="AB4220" s="18">
        <v>0.79</v>
      </c>
      <c r="AC4220" s="6">
        <v>11.69</v>
      </c>
      <c r="AD4220" s="6">
        <v>8.42</v>
      </c>
      <c r="AE4220" s="1">
        <v>0</v>
      </c>
      <c r="AF4220" s="1">
        <f ca="1">IFERROR(__xludf.DUMMYFUNCTION("IFERROR(GOOGLEFINANCE(TRIM(F4220)&amp;"":"" &amp; TRIM(B4220),""high52""),AE4220)"),0)</f>
        <v>0</v>
      </c>
      <c r="AG4220" s="1">
        <v>0</v>
      </c>
      <c r="AH4220" s="1">
        <f ca="1">IFERROR(__xludf.DUMMYFUNCTION("IFERROR(GOOGLEFINANCE(TRIM(F4220)&amp;"":"" &amp; TRIM(B4220),""low52""),AE4220)"),0)</f>
        <v>0</v>
      </c>
      <c r="AI4220" s="1">
        <f ca="1">IFERROR(__xludf.DUMMYFUNCTION("IFERROR(GOOGLEFINANCE(B4220,""eps""),0)"),0)</f>
        <v>0</v>
      </c>
      <c r="AJ4220" s="1"/>
      <c r="AK4220" s="1" t="s">
        <v>12806</v>
      </c>
      <c r="AL4220" s="9">
        <f t="shared" si="388"/>
        <v>1</v>
      </c>
    </row>
    <row r="4221" spans="1:38" ht="15" x14ac:dyDescent="0.25">
      <c r="A4221" s="1" t="s">
        <v>12807</v>
      </c>
      <c r="B4221" s="1" t="s">
        <v>12808</v>
      </c>
      <c r="C4221" s="1" t="s">
        <v>227</v>
      </c>
      <c r="D4221" s="1" t="s">
        <v>227</v>
      </c>
      <c r="E4221" s="6">
        <v>14.97</v>
      </c>
      <c r="F4221" s="1" t="s">
        <v>53</v>
      </c>
      <c r="G4221" s="6">
        <f ca="1">IFERROR(__xludf.DUMMYFUNCTION("iferror(GOOGLEFINANCE(TRIM(F4221)&amp;"":"" &amp; TRIM(B4221), ""price""),0
)"),0)</f>
        <v>0</v>
      </c>
      <c r="H4221" s="6">
        <v>50</v>
      </c>
      <c r="I4221" s="6">
        <f t="shared" ca="1" si="0"/>
        <v>50</v>
      </c>
      <c r="J4221" s="6">
        <f ca="1">IFERROR(__xludf.DUMMYFUNCTION("IFERROR(GOOGLEFINANCE(B4221, ""volume""), 0)"),0)</f>
        <v>0</v>
      </c>
      <c r="K4221" s="6">
        <v>0.1</v>
      </c>
      <c r="L4221" s="6">
        <f ca="1">IFERROR(__xludf.DUMMYFUNCTION("IFERROR(GOOGLEFINANCE(B4221,""changepct""),K4221)"),0.1)</f>
        <v>0.1</v>
      </c>
      <c r="M4221" s="6">
        <f ca="1">IFERROR(__xludf.DUMMYFUNCTION("IFERROR(GOOGLEFINANCE(B4221,""change""),0)"),0)</f>
        <v>0</v>
      </c>
      <c r="N4221" s="6">
        <v>1</v>
      </c>
      <c r="O4221" s="7">
        <v>45352</v>
      </c>
      <c r="P4221" s="6">
        <v>0</v>
      </c>
      <c r="Q4221" s="6">
        <v>14.8</v>
      </c>
      <c r="R4221" s="7">
        <v>45444</v>
      </c>
      <c r="S4221" s="6">
        <v>2.1800000000000002</v>
      </c>
      <c r="T4221" s="6">
        <v>1.63</v>
      </c>
      <c r="U4221" s="7">
        <v>45444</v>
      </c>
      <c r="V4221" s="6">
        <v>9.17</v>
      </c>
      <c r="W4221" s="6">
        <f ca="1">IFERROR(__xludf.DUMMYFUNCTION("IFERROR(GOOGLEFINANCE(B4221,""pe""),V4221)"),9.17)</f>
        <v>9.17</v>
      </c>
      <c r="X4221" s="6">
        <v>7.0000000000000007E-2</v>
      </c>
      <c r="Y4221" s="6">
        <v>0.81</v>
      </c>
      <c r="Z4221" s="6">
        <v>1</v>
      </c>
      <c r="AA4221" s="8">
        <v>45352</v>
      </c>
      <c r="AB4221" s="4">
        <v>0</v>
      </c>
      <c r="AC4221" s="6">
        <v>8.93</v>
      </c>
      <c r="AD4221" s="6">
        <v>10.74</v>
      </c>
      <c r="AE4221" s="1">
        <v>0</v>
      </c>
      <c r="AF4221" s="1">
        <f ca="1">IFERROR(__xludf.DUMMYFUNCTION("IFERROR(GOOGLEFINANCE(TRIM(F4221)&amp;"":"" &amp; TRIM(B4221),""high52""),AE4221)"),0)</f>
        <v>0</v>
      </c>
      <c r="AG4221" s="1">
        <v>0</v>
      </c>
      <c r="AH4221" s="1">
        <f ca="1">IFERROR(__xludf.DUMMYFUNCTION("IFERROR(GOOGLEFINANCE(TRIM(F4221)&amp;"":"" &amp; TRIM(B4221),""low52""),AE4221)"),0)</f>
        <v>0</v>
      </c>
      <c r="AI4221" s="1">
        <f ca="1">IFERROR(__xludf.DUMMYFUNCTION("IFERROR(GOOGLEFINANCE(B4221,""eps""),0)"),0)</f>
        <v>0</v>
      </c>
      <c r="AJ4221" s="1"/>
      <c r="AK4221" s="1" t="s">
        <v>12809</v>
      </c>
      <c r="AL4221" s="9">
        <f t="shared" si="388"/>
        <v>1</v>
      </c>
    </row>
    <row r="4222" spans="1:38" ht="15" x14ac:dyDescent="0.25">
      <c r="A4222" s="1" t="s">
        <v>12810</v>
      </c>
      <c r="B4222" s="1" t="s">
        <v>12811</v>
      </c>
      <c r="C4222" s="1" t="s">
        <v>227</v>
      </c>
      <c r="D4222" s="1" t="s">
        <v>227</v>
      </c>
      <c r="E4222" s="6">
        <v>14.28</v>
      </c>
      <c r="F4222" s="1" t="s">
        <v>53</v>
      </c>
      <c r="G4222" s="6">
        <f ca="1">IFERROR(__xludf.DUMMYFUNCTION("iferror(GOOGLEFINANCE(TRIM(F4222)&amp;"":"" &amp; TRIM(B4222), ""price""),0
)"),0)</f>
        <v>0</v>
      </c>
      <c r="H4222" s="6">
        <v>5.14</v>
      </c>
      <c r="I4222" s="6">
        <f t="shared" ca="1" si="0"/>
        <v>5.14</v>
      </c>
      <c r="J4222" s="6">
        <f ca="1">IFERROR(__xludf.DUMMYFUNCTION("IFERROR(GOOGLEFINANCE(B4222, ""volume""), 0)"),0)</f>
        <v>0</v>
      </c>
      <c r="K4222" s="6">
        <v>0.78</v>
      </c>
      <c r="L4222" s="6">
        <f ca="1">IFERROR(__xludf.DUMMYFUNCTION("IFERROR(GOOGLEFINANCE(B4222,""changepct""),K4222)"),0.78)</f>
        <v>0.78</v>
      </c>
      <c r="M4222" s="6">
        <f ca="1">IFERROR(__xludf.DUMMYFUNCTION("IFERROR(GOOGLEFINANCE(B4222,""change""),0)"),0)</f>
        <v>0</v>
      </c>
      <c r="N4222" s="6">
        <v>1</v>
      </c>
      <c r="O4222" s="7">
        <v>45536</v>
      </c>
      <c r="P4222" s="6">
        <v>3.69</v>
      </c>
      <c r="Q4222" s="6">
        <v>17.97</v>
      </c>
      <c r="R4222" s="7">
        <v>45536</v>
      </c>
      <c r="S4222" s="6">
        <v>8.9600000000000009</v>
      </c>
      <c r="T4222" s="6">
        <v>-1.78</v>
      </c>
      <c r="U4222" s="7">
        <v>45536</v>
      </c>
      <c r="V4222" s="6">
        <v>0</v>
      </c>
      <c r="W4222" s="6">
        <f ca="1">IFERROR(__xludf.DUMMYFUNCTION("IFERROR(GOOGLEFINANCE(B4222,""pe""),V4222)"),0)</f>
        <v>0</v>
      </c>
      <c r="X4222" s="9"/>
      <c r="Y4222" s="6">
        <v>0.52</v>
      </c>
      <c r="Z4222" s="6">
        <v>1</v>
      </c>
      <c r="AA4222" s="8">
        <v>45352</v>
      </c>
      <c r="AB4222" s="4">
        <v>0.18</v>
      </c>
      <c r="AC4222" s="6">
        <v>-3.81</v>
      </c>
      <c r="AD4222" s="6">
        <v>-3.11</v>
      </c>
      <c r="AE4222" s="1">
        <v>0</v>
      </c>
      <c r="AF4222" s="1">
        <f ca="1">IFERROR(__xludf.DUMMYFUNCTION("IFERROR(GOOGLEFINANCE(TRIM(F4222)&amp;"":"" &amp; TRIM(B4222),""high52""),AE4222)"),0)</f>
        <v>0</v>
      </c>
      <c r="AG4222" s="1">
        <v>0</v>
      </c>
      <c r="AH4222" s="1">
        <f ca="1">IFERROR(__xludf.DUMMYFUNCTION("IFERROR(GOOGLEFINANCE(TRIM(F4222)&amp;"":"" &amp; TRIM(B4222),""low52""),AE4222)"),0)</f>
        <v>0</v>
      </c>
      <c r="AI4222" s="1">
        <f ca="1">IFERROR(__xludf.DUMMYFUNCTION("IFERROR(GOOGLEFINANCE(B4222,""eps""),0)"),0)</f>
        <v>0</v>
      </c>
      <c r="AJ4222" s="1"/>
      <c r="AK4222" s="1" t="s">
        <v>12812</v>
      </c>
      <c r="AL4222" s="9">
        <f t="shared" si="388"/>
        <v>1</v>
      </c>
    </row>
    <row r="4223" spans="1:38" ht="15" x14ac:dyDescent="0.25">
      <c r="A4223" s="1" t="s">
        <v>12813</v>
      </c>
      <c r="B4223" s="1" t="s">
        <v>12814</v>
      </c>
      <c r="C4223" s="1" t="s">
        <v>227</v>
      </c>
      <c r="D4223" s="1" t="s">
        <v>227</v>
      </c>
      <c r="E4223" s="6">
        <v>468.86</v>
      </c>
      <c r="F4223" s="1" t="s">
        <v>53</v>
      </c>
      <c r="G4223" s="6">
        <f ca="1">IFERROR(__xludf.DUMMYFUNCTION("iferror(GOOGLEFINANCE(TRIM(F4223)&amp;"":"" &amp; TRIM(B4223), ""price""),0
)"),0)</f>
        <v>0</v>
      </c>
      <c r="H4223" s="6">
        <v>408</v>
      </c>
      <c r="I4223" s="6">
        <f t="shared" ca="1" si="0"/>
        <v>408</v>
      </c>
      <c r="J4223" s="6">
        <f ca="1">IFERROR(__xludf.DUMMYFUNCTION("IFERROR(GOOGLEFINANCE(B4223, ""volume""), 0)"),0)</f>
        <v>0</v>
      </c>
      <c r="K4223" s="6">
        <v>7.0000000000000007E-2</v>
      </c>
      <c r="L4223" s="6">
        <f ca="1">IFERROR(__xludf.DUMMYFUNCTION("IFERROR(GOOGLEFINANCE(B4223,""changepct""),K4223)"),0.07)</f>
        <v>7.0000000000000007E-2</v>
      </c>
      <c r="M4223" s="6">
        <f ca="1">IFERROR(__xludf.DUMMYFUNCTION("IFERROR(GOOGLEFINANCE(B4223,""change""),0)"),0)</f>
        <v>0</v>
      </c>
      <c r="N4223" s="6">
        <v>2</v>
      </c>
      <c r="O4223" s="7">
        <v>45536</v>
      </c>
      <c r="P4223" s="6">
        <v>21.64</v>
      </c>
      <c r="Q4223" s="6">
        <v>485.95</v>
      </c>
      <c r="R4223" s="7">
        <v>45536</v>
      </c>
      <c r="S4223" s="6">
        <v>246.3</v>
      </c>
      <c r="T4223" s="6">
        <v>3.1</v>
      </c>
      <c r="U4223" s="7">
        <v>45536</v>
      </c>
      <c r="V4223" s="6">
        <v>169.75</v>
      </c>
      <c r="W4223" s="6">
        <f ca="1">IFERROR(__xludf.DUMMYFUNCTION("IFERROR(GOOGLEFINANCE(B4223,""pe""),V4223)"),169.75)</f>
        <v>169.75</v>
      </c>
      <c r="X4223" s="9"/>
      <c r="Y4223" s="6">
        <v>9.8000000000000007</v>
      </c>
      <c r="Z4223" s="6">
        <v>2</v>
      </c>
      <c r="AA4223" s="8">
        <v>45352</v>
      </c>
      <c r="AB4223" s="4">
        <v>0.22</v>
      </c>
      <c r="AC4223" s="6">
        <v>3.07</v>
      </c>
      <c r="AD4223" s="6">
        <v>4.7</v>
      </c>
      <c r="AE4223" s="1">
        <v>0</v>
      </c>
      <c r="AF4223" s="1">
        <f ca="1">IFERROR(__xludf.DUMMYFUNCTION("IFERROR(GOOGLEFINANCE(TRIM(F4223)&amp;"":"" &amp; TRIM(B4223),""high52""),AE4223)"),0)</f>
        <v>0</v>
      </c>
      <c r="AG4223" s="1">
        <v>0</v>
      </c>
      <c r="AH4223" s="1">
        <f ca="1">IFERROR(__xludf.DUMMYFUNCTION("IFERROR(GOOGLEFINANCE(TRIM(F4223)&amp;"":"" &amp; TRIM(B4223),""low52""),AE4223)"),0)</f>
        <v>0</v>
      </c>
      <c r="AI4223" s="1">
        <f ca="1">IFERROR(__xludf.DUMMYFUNCTION("IFERROR(GOOGLEFINANCE(B4223,""eps""),0)"),0)</f>
        <v>0</v>
      </c>
      <c r="AJ4223" s="1"/>
      <c r="AK4223" s="1" t="s">
        <v>12815</v>
      </c>
      <c r="AL4223" s="9">
        <f t="shared" si="388"/>
        <v>1</v>
      </c>
    </row>
    <row r="4224" spans="1:38" ht="15" x14ac:dyDescent="0.25">
      <c r="A4224" s="1" t="s">
        <v>12816</v>
      </c>
      <c r="B4224" s="1" t="s">
        <v>12817</v>
      </c>
      <c r="C4224" s="1" t="s">
        <v>227</v>
      </c>
      <c r="D4224" s="1" t="s">
        <v>227</v>
      </c>
      <c r="E4224" s="6">
        <v>271.89</v>
      </c>
      <c r="F4224" s="1" t="s">
        <v>53</v>
      </c>
      <c r="G4224" s="6">
        <f ca="1">IFERROR(__xludf.DUMMYFUNCTION("iferror(GOOGLEFINANCE(TRIM(F4224)&amp;"":"" &amp; TRIM(B4224), ""price""),0
)"),0)</f>
        <v>0</v>
      </c>
      <c r="H4224" s="6">
        <v>64.25</v>
      </c>
      <c r="I4224" s="6">
        <f t="shared" ca="1" si="0"/>
        <v>64.25</v>
      </c>
      <c r="J4224" s="6">
        <f ca="1">IFERROR(__xludf.DUMMYFUNCTION("IFERROR(GOOGLEFINANCE(B4224, ""volume""), 0)"),0)</f>
        <v>0</v>
      </c>
      <c r="K4224" s="6">
        <v>-0.19</v>
      </c>
      <c r="L4224" s="6">
        <f ca="1">IFERROR(__xludf.DUMMYFUNCTION("IFERROR(GOOGLEFINANCE(B4224,""changepct""),K4224)"),-0.19)</f>
        <v>-0.19</v>
      </c>
      <c r="M4224" s="6">
        <f ca="1">IFERROR(__xludf.DUMMYFUNCTION("IFERROR(GOOGLEFINANCE(B4224,""change""),0)"),0)</f>
        <v>0</v>
      </c>
      <c r="N4224" s="6">
        <v>1</v>
      </c>
      <c r="O4224" s="7">
        <v>45536</v>
      </c>
      <c r="P4224" s="6">
        <v>105.48</v>
      </c>
      <c r="Q4224" s="6">
        <v>373.51</v>
      </c>
      <c r="R4224" s="7">
        <v>45536</v>
      </c>
      <c r="S4224" s="6">
        <v>373.69</v>
      </c>
      <c r="T4224" s="6">
        <v>7.49</v>
      </c>
      <c r="U4224" s="7">
        <v>45536</v>
      </c>
      <c r="V4224" s="6">
        <v>36.299999999999997</v>
      </c>
      <c r="W4224" s="6">
        <f ca="1">IFERROR(__xludf.DUMMYFUNCTION("IFERROR(GOOGLEFINANCE(B4224,""pe""),V4224)"),36.3)</f>
        <v>36.299999999999997</v>
      </c>
      <c r="X4224" s="6">
        <v>0.37</v>
      </c>
      <c r="Y4224" s="6">
        <v>1.49</v>
      </c>
      <c r="Z4224" s="6">
        <v>1</v>
      </c>
      <c r="AA4224" s="8">
        <v>45352</v>
      </c>
      <c r="AB4224" s="4">
        <v>0.61</v>
      </c>
      <c r="AC4224" s="6">
        <v>3.2</v>
      </c>
      <c r="AD4224" s="6">
        <v>6.71</v>
      </c>
      <c r="AE4224" s="1">
        <v>0</v>
      </c>
      <c r="AF4224" s="1">
        <f ca="1">IFERROR(__xludf.DUMMYFUNCTION("IFERROR(GOOGLEFINANCE(TRIM(F4224)&amp;"":"" &amp; TRIM(B4224),""high52""),AE4224)"),0)</f>
        <v>0</v>
      </c>
      <c r="AG4224" s="1">
        <v>0</v>
      </c>
      <c r="AH4224" s="1">
        <f ca="1">IFERROR(__xludf.DUMMYFUNCTION("IFERROR(GOOGLEFINANCE(TRIM(F4224)&amp;"":"" &amp; TRIM(B4224),""low52""),AE4224)"),0)</f>
        <v>0</v>
      </c>
      <c r="AI4224" s="1">
        <f ca="1">IFERROR(__xludf.DUMMYFUNCTION("IFERROR(GOOGLEFINANCE(B4224,""eps""),0)"),0)</f>
        <v>0</v>
      </c>
      <c r="AJ4224" s="1"/>
      <c r="AK4224" s="1" t="s">
        <v>12818</v>
      </c>
      <c r="AL4224" s="9">
        <f t="shared" si="388"/>
        <v>1</v>
      </c>
    </row>
    <row r="4225" spans="1:38" ht="15" x14ac:dyDescent="0.25">
      <c r="A4225" s="1" t="s">
        <v>12819</v>
      </c>
      <c r="B4225" s="1" t="s">
        <v>12820</v>
      </c>
      <c r="C4225" s="1" t="s">
        <v>227</v>
      </c>
      <c r="D4225" s="1" t="s">
        <v>227</v>
      </c>
      <c r="E4225" s="6">
        <v>278.72000000000003</v>
      </c>
      <c r="F4225" s="1" t="s">
        <v>53</v>
      </c>
      <c r="G4225" s="6">
        <f ca="1">IFERROR(__xludf.DUMMYFUNCTION("iferror(GOOGLEFINANCE(TRIM(F4225)&amp;"":"" &amp; TRIM(B4225), ""price""),0
)"),0)</f>
        <v>0</v>
      </c>
      <c r="H4225" s="6">
        <v>40.68</v>
      </c>
      <c r="I4225" s="6">
        <f t="shared" ca="1" si="0"/>
        <v>40.68</v>
      </c>
      <c r="J4225" s="6">
        <f ca="1">IFERROR(__xludf.DUMMYFUNCTION("IFERROR(GOOGLEFINANCE(B4225, ""volume""), 0)"),0)</f>
        <v>0</v>
      </c>
      <c r="K4225" s="6">
        <v>1.8</v>
      </c>
      <c r="L4225" s="6">
        <f ca="1">IFERROR(__xludf.DUMMYFUNCTION("IFERROR(GOOGLEFINANCE(B4225,""changepct""),K4225)"),1.8)</f>
        <v>1.8</v>
      </c>
      <c r="M4225" s="6">
        <f ca="1">IFERROR(__xludf.DUMMYFUNCTION("IFERROR(GOOGLEFINANCE(B4225,""change""),0)"),0)</f>
        <v>0</v>
      </c>
      <c r="N4225" s="6">
        <v>2</v>
      </c>
      <c r="O4225" s="7">
        <v>45536</v>
      </c>
      <c r="P4225" s="6">
        <v>316.98</v>
      </c>
      <c r="Q4225" s="6">
        <v>576.73</v>
      </c>
      <c r="R4225" s="7">
        <v>45536</v>
      </c>
      <c r="S4225" s="6">
        <v>2217.11</v>
      </c>
      <c r="T4225" s="6">
        <v>13.45</v>
      </c>
      <c r="U4225" s="7">
        <v>45536</v>
      </c>
      <c r="V4225" s="6">
        <v>20.9</v>
      </c>
      <c r="W4225" s="6">
        <f ca="1">IFERROR(__xludf.DUMMYFUNCTION("IFERROR(GOOGLEFINANCE(B4225,""pe""),V4225)"),20.9)</f>
        <v>20.9</v>
      </c>
      <c r="X4225" s="9"/>
      <c r="Y4225" s="6">
        <v>1.43</v>
      </c>
      <c r="Z4225" s="6">
        <v>2</v>
      </c>
      <c r="AA4225" s="8">
        <v>45352</v>
      </c>
      <c r="AB4225" s="4">
        <v>0.84</v>
      </c>
      <c r="AC4225" s="6">
        <v>5.41</v>
      </c>
      <c r="AD4225" s="6">
        <v>10.95</v>
      </c>
      <c r="AE4225" s="1">
        <v>0</v>
      </c>
      <c r="AF4225" s="1">
        <f ca="1">IFERROR(__xludf.DUMMYFUNCTION("IFERROR(GOOGLEFINANCE(TRIM(F4225)&amp;"":"" &amp; TRIM(B4225),""high52""),AE4225)"),0)</f>
        <v>0</v>
      </c>
      <c r="AG4225" s="1">
        <v>0</v>
      </c>
      <c r="AH4225" s="1">
        <f ca="1">IFERROR(__xludf.DUMMYFUNCTION("IFERROR(GOOGLEFINANCE(TRIM(F4225)&amp;"":"" &amp; TRIM(B4225),""low52""),AE4225)"),0)</f>
        <v>0</v>
      </c>
      <c r="AI4225" s="1">
        <f ca="1">IFERROR(__xludf.DUMMYFUNCTION("IFERROR(GOOGLEFINANCE(B4225,""eps""),0)"),0)</f>
        <v>0</v>
      </c>
      <c r="AJ4225" s="1"/>
      <c r="AK4225" s="1" t="s">
        <v>12821</v>
      </c>
      <c r="AL4225" s="9">
        <f t="shared" si="388"/>
        <v>1</v>
      </c>
    </row>
    <row r="4226" spans="1:38" ht="15" x14ac:dyDescent="0.25">
      <c r="A4226" s="1" t="s">
        <v>12822</v>
      </c>
      <c r="B4226" s="1" t="s">
        <v>12823</v>
      </c>
      <c r="C4226" s="1" t="s">
        <v>163</v>
      </c>
      <c r="D4226" s="1" t="s">
        <v>163</v>
      </c>
      <c r="E4226" s="6">
        <v>2155.02</v>
      </c>
      <c r="F4226" s="1" t="s">
        <v>40</v>
      </c>
      <c r="G4226" s="6">
        <f ca="1">IFERROR(__xludf.DUMMYFUNCTION("iferror(GOOGLEFINANCE(TRIM(F4226)&amp;"":"" &amp; TRIM(B4226), ""price""),0
)"),439)</f>
        <v>439</v>
      </c>
      <c r="H4226" s="6">
        <v>962.7</v>
      </c>
      <c r="I4226" s="6">
        <f t="shared" ca="1" si="0"/>
        <v>439</v>
      </c>
      <c r="J4226" s="6">
        <f ca="1">IFERROR(__xludf.DUMMYFUNCTION("IFERROR(GOOGLEFINANCE(B4226, ""volume""), 0)"),253775)</f>
        <v>253775</v>
      </c>
      <c r="K4226" s="6">
        <v>-0.74</v>
      </c>
      <c r="L4226" s="6">
        <f ca="1">IFERROR(__xludf.DUMMYFUNCTION("IFERROR(GOOGLEFINANCE(B4226,""changepct""),K4226)"),-0.87)</f>
        <v>-0.87</v>
      </c>
      <c r="M4226" s="6">
        <f ca="1">IFERROR(__xludf.DUMMYFUNCTION("IFERROR(GOOGLEFINANCE(B4226,""change""),0)"),-3.85)</f>
        <v>-3.85</v>
      </c>
      <c r="N4226" s="6">
        <v>2</v>
      </c>
      <c r="O4226" s="7">
        <v>45536</v>
      </c>
      <c r="P4226" s="6">
        <v>11.61</v>
      </c>
      <c r="Q4226" s="6">
        <v>2138.85</v>
      </c>
      <c r="R4226" s="7">
        <v>45536</v>
      </c>
      <c r="S4226" s="6">
        <v>327.86</v>
      </c>
      <c r="T4226" s="6">
        <v>51.78</v>
      </c>
      <c r="U4226" s="7">
        <v>45536</v>
      </c>
      <c r="V4226" s="6">
        <v>43.09</v>
      </c>
      <c r="W4226" s="6">
        <f ca="1">IFERROR(__xludf.DUMMYFUNCTION("IFERROR(GOOGLEFINANCE(B4226,""pe""),V4226)"),26.4)</f>
        <v>26.4</v>
      </c>
      <c r="X4226" s="12"/>
      <c r="Y4226" s="6">
        <v>6.29</v>
      </c>
      <c r="Z4226" s="6">
        <v>2</v>
      </c>
      <c r="AA4226" s="8">
        <v>45352</v>
      </c>
      <c r="AB4226" s="4">
        <v>0.06</v>
      </c>
      <c r="AC4226" s="6">
        <v>13.94</v>
      </c>
      <c r="AD4226" s="6">
        <v>17.809999999999999</v>
      </c>
      <c r="AE4226" s="1">
        <v>0</v>
      </c>
      <c r="AF4226" s="1">
        <f ca="1">IFERROR(__xludf.DUMMYFUNCTION("IFERROR(GOOGLEFINANCE(TRIM(F4226)&amp;"":"" &amp; TRIM(B4226),""high52""),AE4226)"),902.65)</f>
        <v>902.65</v>
      </c>
      <c r="AG4226" s="1">
        <v>0</v>
      </c>
      <c r="AH4226" s="1">
        <f ca="1">IFERROR(__xludf.DUMMYFUNCTION("IFERROR(GOOGLEFINANCE(TRIM(F4226)&amp;"":"" &amp; TRIM(B4226),""low52""),AE4226)"),400.3)</f>
        <v>400.3</v>
      </c>
      <c r="AI4226" s="1">
        <f ca="1">IFERROR(__xludf.DUMMYFUNCTION("IFERROR(GOOGLEFINANCE(B4226,""eps""),0)"),16.63)</f>
        <v>16.63</v>
      </c>
      <c r="AJ4226" s="1"/>
      <c r="AK4226" s="9"/>
      <c r="AL4226" s="9">
        <f t="shared" si="388"/>
        <v>1</v>
      </c>
    </row>
    <row r="4227" spans="1:38" ht="15" x14ac:dyDescent="0.25">
      <c r="A4227" s="1" t="s">
        <v>12824</v>
      </c>
      <c r="B4227" s="1" t="s">
        <v>12825</v>
      </c>
      <c r="C4227" s="1" t="s">
        <v>227</v>
      </c>
      <c r="D4227" s="1" t="s">
        <v>227</v>
      </c>
      <c r="E4227" s="6">
        <v>27.42</v>
      </c>
      <c r="F4227" s="1" t="s">
        <v>53</v>
      </c>
      <c r="G4227" s="6">
        <f ca="1">IFERROR(__xludf.DUMMYFUNCTION("iferror(GOOGLEFINANCE(TRIM(F4227)&amp;"":"" &amp; TRIM(B4227), ""price""),0
)"),0)</f>
        <v>0</v>
      </c>
      <c r="H4227" s="6">
        <v>88.4</v>
      </c>
      <c r="I4227" s="6">
        <f t="shared" ca="1" si="0"/>
        <v>88.4</v>
      </c>
      <c r="J4227" s="6">
        <f ca="1">IFERROR(__xludf.DUMMYFUNCTION("IFERROR(GOOGLEFINANCE(B4227, ""volume""), 0)"),0)</f>
        <v>0</v>
      </c>
      <c r="K4227" s="6">
        <v>-0.11</v>
      </c>
      <c r="L4227" s="6">
        <f ca="1">IFERROR(__xludf.DUMMYFUNCTION("IFERROR(GOOGLEFINANCE(B4227,""changepct""),K4227)"),-0.11)</f>
        <v>-0.11</v>
      </c>
      <c r="M4227" s="6">
        <f ca="1">IFERROR(__xludf.DUMMYFUNCTION("IFERROR(GOOGLEFINANCE(B4227,""change""),0)"),0)</f>
        <v>0</v>
      </c>
      <c r="N4227" s="6">
        <v>1</v>
      </c>
      <c r="O4227" s="7">
        <v>45536</v>
      </c>
      <c r="P4227" s="9"/>
      <c r="Q4227" s="6">
        <v>27.42</v>
      </c>
      <c r="R4227" s="7">
        <v>45536</v>
      </c>
      <c r="S4227" s="6">
        <v>0</v>
      </c>
      <c r="T4227" s="6">
        <v>7.0000000000000007E-2</v>
      </c>
      <c r="U4227" s="7">
        <v>45536</v>
      </c>
      <c r="V4227" s="6">
        <v>409.28</v>
      </c>
      <c r="W4227" s="6">
        <f ca="1">IFERROR(__xludf.DUMMYFUNCTION("IFERROR(GOOGLEFINANCE(B4227,""pe""),V4227)"),409.28)</f>
        <v>409.28</v>
      </c>
      <c r="X4227" s="6">
        <v>5.01</v>
      </c>
      <c r="Y4227" s="6">
        <v>7.09</v>
      </c>
      <c r="Z4227" s="6">
        <v>1</v>
      </c>
      <c r="AA4227" s="8">
        <v>45352</v>
      </c>
      <c r="AB4227" s="4">
        <v>0</v>
      </c>
      <c r="AC4227" s="6">
        <v>2.3199999999999998</v>
      </c>
      <c r="AD4227" s="6">
        <v>3.88</v>
      </c>
      <c r="AE4227" s="1">
        <v>0</v>
      </c>
      <c r="AF4227" s="1">
        <f ca="1">IFERROR(__xludf.DUMMYFUNCTION("IFERROR(GOOGLEFINANCE(TRIM(F4227)&amp;"":"" &amp; TRIM(B4227),""high52""),AE4227)"),0)</f>
        <v>0</v>
      </c>
      <c r="AG4227" s="1">
        <v>0</v>
      </c>
      <c r="AH4227" s="1">
        <f ca="1">IFERROR(__xludf.DUMMYFUNCTION("IFERROR(GOOGLEFINANCE(TRIM(F4227)&amp;"":"" &amp; TRIM(B4227),""low52""),AE4227)"),0)</f>
        <v>0</v>
      </c>
      <c r="AI4227" s="1">
        <f ca="1">IFERROR(__xludf.DUMMYFUNCTION("IFERROR(GOOGLEFINANCE(B4227,""eps""),0)"),0)</f>
        <v>0</v>
      </c>
      <c r="AJ4227" s="1"/>
      <c r="AK4227" s="1" t="s">
        <v>12826</v>
      </c>
      <c r="AL4227" s="9">
        <f t="shared" si="388"/>
        <v>1</v>
      </c>
    </row>
    <row r="4228" spans="1:38" ht="15" x14ac:dyDescent="0.25">
      <c r="A4228" s="1" t="s">
        <v>12827</v>
      </c>
      <c r="B4228" s="1" t="s">
        <v>12828</v>
      </c>
      <c r="C4228" s="1" t="s">
        <v>135</v>
      </c>
      <c r="D4228" s="1" t="s">
        <v>135</v>
      </c>
      <c r="E4228" s="6">
        <v>18854.189999999999</v>
      </c>
      <c r="F4228" s="1" t="s">
        <v>40</v>
      </c>
      <c r="G4228" s="6">
        <f ca="1">IFERROR(__xludf.DUMMYFUNCTION("iferror(GOOGLEFINANCE(TRIM(F4228)&amp;"":"" &amp; TRIM(B4228), ""price""),0
)"),1498.3)</f>
        <v>1498.3</v>
      </c>
      <c r="H4228" s="6">
        <v>1801.05</v>
      </c>
      <c r="I4228" s="6">
        <f t="shared" ca="1" si="0"/>
        <v>1498.3</v>
      </c>
      <c r="J4228" s="6">
        <f ca="1">IFERROR(__xludf.DUMMYFUNCTION("IFERROR(GOOGLEFINANCE(B4228, ""volume""), 0)"),17081)</f>
        <v>17081</v>
      </c>
      <c r="K4228" s="6">
        <v>-0.94</v>
      </c>
      <c r="L4228" s="6">
        <f ca="1">IFERROR(__xludf.DUMMYFUNCTION("IFERROR(GOOGLEFINANCE(B4228,""changepct""),K4228)"),0.52)</f>
        <v>0.52</v>
      </c>
      <c r="M4228" s="6">
        <f ca="1">IFERROR(__xludf.DUMMYFUNCTION("IFERROR(GOOGLEFINANCE(B4228,""change""),0)"),7.7)</f>
        <v>7.7</v>
      </c>
      <c r="N4228" s="6">
        <v>2</v>
      </c>
      <c r="O4228" s="7">
        <v>45536</v>
      </c>
      <c r="P4228" s="6">
        <v>7.67</v>
      </c>
      <c r="Q4228" s="6">
        <v>18840.509999999998</v>
      </c>
      <c r="R4228" s="7">
        <v>45536</v>
      </c>
      <c r="S4228" s="6">
        <v>2076.34</v>
      </c>
      <c r="T4228" s="6">
        <v>369.6</v>
      </c>
      <c r="U4228" s="7">
        <v>45536</v>
      </c>
      <c r="V4228" s="6">
        <v>51.01</v>
      </c>
      <c r="W4228" s="6">
        <f ca="1">IFERROR(__xludf.DUMMYFUNCTION("IFERROR(GOOGLEFINANCE(B4228,""pe""),V4228)"),35.64)</f>
        <v>35.64</v>
      </c>
      <c r="X4228" s="12"/>
      <c r="Y4228" s="6">
        <v>7.32</v>
      </c>
      <c r="Z4228" s="6">
        <v>2</v>
      </c>
      <c r="AA4228" s="8">
        <v>45352</v>
      </c>
      <c r="AB4228" s="4">
        <v>0</v>
      </c>
      <c r="AC4228" s="6">
        <v>14.84</v>
      </c>
      <c r="AD4228" s="6">
        <v>18.54</v>
      </c>
      <c r="AE4228" s="1">
        <v>0</v>
      </c>
      <c r="AF4228" s="1">
        <f ca="1">IFERROR(__xludf.DUMMYFUNCTION("IFERROR(GOOGLEFINANCE(TRIM(F4228)&amp;"":"" &amp; TRIM(B4228),""high52""),AE4228)"),2040)</f>
        <v>2040</v>
      </c>
      <c r="AG4228" s="1">
        <v>0</v>
      </c>
      <c r="AH4228" s="1">
        <f ca="1">IFERROR(__xludf.DUMMYFUNCTION("IFERROR(GOOGLEFINANCE(TRIM(F4228)&amp;"":"" &amp; TRIM(B4228),""low52""),AE4228)"),1412.5)</f>
        <v>1412.5</v>
      </c>
      <c r="AI4228" s="1">
        <f ca="1">IFERROR(__xludf.DUMMYFUNCTION("IFERROR(GOOGLEFINANCE(B4228,""eps""),0)"),42.04)</f>
        <v>42.04</v>
      </c>
      <c r="AJ4228" s="1"/>
      <c r="AK4228" s="1" t="s">
        <v>12829</v>
      </c>
      <c r="AL4228" s="9">
        <f t="shared" si="388"/>
        <v>1</v>
      </c>
    </row>
    <row r="4229" spans="1:38" ht="15" x14ac:dyDescent="0.25">
      <c r="A4229" s="1" t="s">
        <v>12830</v>
      </c>
      <c r="B4229" s="1" t="s">
        <v>12831</v>
      </c>
      <c r="C4229" s="1" t="s">
        <v>227</v>
      </c>
      <c r="D4229" s="1" t="s">
        <v>227</v>
      </c>
      <c r="E4229" s="6">
        <v>42.92</v>
      </c>
      <c r="F4229" s="1" t="s">
        <v>53</v>
      </c>
      <c r="G4229" s="6">
        <f ca="1">IFERROR(__xludf.DUMMYFUNCTION("iferror(GOOGLEFINANCE(TRIM(F4229)&amp;"":"" &amp; TRIM(B4229), ""price""),0
)"),0)</f>
        <v>0</v>
      </c>
      <c r="H4229" s="6">
        <v>15.36</v>
      </c>
      <c r="I4229" s="6">
        <f t="shared" ca="1" si="0"/>
        <v>15.36</v>
      </c>
      <c r="J4229" s="6">
        <f ca="1">IFERROR(__xludf.DUMMYFUNCTION("IFERROR(GOOGLEFINANCE(B4229, ""volume""), 0)"),0)</f>
        <v>0</v>
      </c>
      <c r="K4229" s="6">
        <v>1.32</v>
      </c>
      <c r="L4229" s="6">
        <f ca="1">IFERROR(__xludf.DUMMYFUNCTION("IFERROR(GOOGLEFINANCE(B4229,""changepct""),K4229)"),1.32)</f>
        <v>1.32</v>
      </c>
      <c r="M4229" s="6">
        <f ca="1">IFERROR(__xludf.DUMMYFUNCTION("IFERROR(GOOGLEFINANCE(B4229,""change""),0)"),0)</f>
        <v>0</v>
      </c>
      <c r="N4229" s="6">
        <v>1</v>
      </c>
      <c r="O4229" s="7">
        <v>45536</v>
      </c>
      <c r="P4229" s="6">
        <v>12.32</v>
      </c>
      <c r="Q4229" s="6">
        <v>55.24</v>
      </c>
      <c r="R4229" s="7">
        <v>45536</v>
      </c>
      <c r="S4229" s="6">
        <v>186.94</v>
      </c>
      <c r="T4229" s="6">
        <v>-2.4300000000000002</v>
      </c>
      <c r="U4229" s="15">
        <v>45536</v>
      </c>
      <c r="V4229" s="6">
        <v>0</v>
      </c>
      <c r="W4229" s="6">
        <f ca="1">IFERROR(__xludf.DUMMYFUNCTION("IFERROR(GOOGLEFINANCE(B4229,""pe""),V4229)"),0)</f>
        <v>0</v>
      </c>
      <c r="X4229" s="6">
        <v>0</v>
      </c>
      <c r="Y4229" s="6">
        <v>0.38</v>
      </c>
      <c r="Z4229" s="6">
        <v>1</v>
      </c>
      <c r="AA4229" s="8">
        <v>45352</v>
      </c>
      <c r="AB4229" s="4">
        <v>0.12</v>
      </c>
      <c r="AC4229" s="6">
        <v>2.91</v>
      </c>
      <c r="AD4229" s="6">
        <v>6.14</v>
      </c>
      <c r="AE4229" s="1">
        <v>0</v>
      </c>
      <c r="AF4229" s="1">
        <f ca="1">IFERROR(__xludf.DUMMYFUNCTION("IFERROR(GOOGLEFINANCE(TRIM(F4229)&amp;"":"" &amp; TRIM(B4229),""high52""),AE4229)"),0)</f>
        <v>0</v>
      </c>
      <c r="AG4229" s="1">
        <v>0</v>
      </c>
      <c r="AH4229" s="1">
        <f ca="1">IFERROR(__xludf.DUMMYFUNCTION("IFERROR(GOOGLEFINANCE(TRIM(F4229)&amp;"":"" &amp; TRIM(B4229),""low52""),AE4229)"),0)</f>
        <v>0</v>
      </c>
      <c r="AI4229" s="1">
        <f ca="1">IFERROR(__xludf.DUMMYFUNCTION("IFERROR(GOOGLEFINANCE(B4229,""eps""),0)"),0)</f>
        <v>0</v>
      </c>
      <c r="AJ4229" s="1"/>
      <c r="AK4229" s="1" t="s">
        <v>12832</v>
      </c>
      <c r="AL4229" s="9">
        <f t="shared" si="388"/>
        <v>1</v>
      </c>
    </row>
    <row r="4230" spans="1:38" ht="15" x14ac:dyDescent="0.25">
      <c r="A4230" s="1" t="s">
        <v>12833</v>
      </c>
      <c r="B4230" s="1" t="s">
        <v>12834</v>
      </c>
      <c r="C4230" s="1" t="s">
        <v>227</v>
      </c>
      <c r="D4230" s="1" t="s">
        <v>227</v>
      </c>
      <c r="E4230" s="6">
        <v>15.98</v>
      </c>
      <c r="F4230" s="1" t="s">
        <v>53</v>
      </c>
      <c r="G4230" s="6">
        <f ca="1">IFERROR(__xludf.DUMMYFUNCTION("iferror(GOOGLEFINANCE(TRIM(F4230)&amp;"":"" &amp; TRIM(B4230), ""price""),0
)"),0)</f>
        <v>0</v>
      </c>
      <c r="H4230" s="6">
        <v>34.56</v>
      </c>
      <c r="I4230" s="6">
        <f t="shared" ca="1" si="0"/>
        <v>34.56</v>
      </c>
      <c r="J4230" s="6">
        <f ca="1">IFERROR(__xludf.DUMMYFUNCTION("IFERROR(GOOGLEFINANCE(B4230, ""volume""), 0)"),0)</f>
        <v>0</v>
      </c>
      <c r="K4230" s="6">
        <v>1.98</v>
      </c>
      <c r="L4230" s="6">
        <f ca="1">IFERROR(__xludf.DUMMYFUNCTION("IFERROR(GOOGLEFINANCE(B4230,""changepct""),K4230)"),1.98)</f>
        <v>1.98</v>
      </c>
      <c r="M4230" s="6">
        <f ca="1">IFERROR(__xludf.DUMMYFUNCTION("IFERROR(GOOGLEFINANCE(B4230,""change""),0)"),0)</f>
        <v>0</v>
      </c>
      <c r="N4230" s="6">
        <v>1</v>
      </c>
      <c r="O4230" s="7">
        <v>45536</v>
      </c>
      <c r="P4230" s="6">
        <v>1.1499999999999999</v>
      </c>
      <c r="Q4230" s="6">
        <v>17.13</v>
      </c>
      <c r="R4230" s="7">
        <v>45536</v>
      </c>
      <c r="S4230" s="6">
        <v>3.97</v>
      </c>
      <c r="T4230" s="6">
        <v>-1.46</v>
      </c>
      <c r="U4230" s="7">
        <v>45536</v>
      </c>
      <c r="V4230" s="6">
        <v>0</v>
      </c>
      <c r="W4230" s="6">
        <f ca="1">IFERROR(__xludf.DUMMYFUNCTION("IFERROR(GOOGLEFINANCE(B4230,""pe""),V4230)"),0)</f>
        <v>0</v>
      </c>
      <c r="X4230" s="12"/>
      <c r="Y4230" s="6">
        <v>13.7</v>
      </c>
      <c r="Z4230" s="6">
        <v>1</v>
      </c>
      <c r="AA4230" s="8">
        <v>45352</v>
      </c>
      <c r="AB4230" s="4">
        <v>0.94</v>
      </c>
      <c r="AC4230" s="6">
        <v>-40.97</v>
      </c>
      <c r="AD4230" s="6">
        <v>-13.89</v>
      </c>
      <c r="AE4230" s="1">
        <v>0</v>
      </c>
      <c r="AF4230" s="1">
        <f ca="1">IFERROR(__xludf.DUMMYFUNCTION("IFERROR(GOOGLEFINANCE(TRIM(F4230)&amp;"":"" &amp; TRIM(B4230),""high52""),AE4230)"),0)</f>
        <v>0</v>
      </c>
      <c r="AG4230" s="1">
        <v>0</v>
      </c>
      <c r="AH4230" s="1">
        <f ca="1">IFERROR(__xludf.DUMMYFUNCTION("IFERROR(GOOGLEFINANCE(TRIM(F4230)&amp;"":"" &amp; TRIM(B4230),""low52""),AE4230)"),0)</f>
        <v>0</v>
      </c>
      <c r="AI4230" s="1">
        <f ca="1">IFERROR(__xludf.DUMMYFUNCTION("IFERROR(GOOGLEFINANCE(B4230,""eps""),0)"),0)</f>
        <v>0</v>
      </c>
      <c r="AJ4230" s="1"/>
      <c r="AK4230" s="1" t="s">
        <v>12835</v>
      </c>
      <c r="AL4230" s="9">
        <f t="shared" si="388"/>
        <v>1</v>
      </c>
    </row>
    <row r="4231" spans="1:38" ht="15" x14ac:dyDescent="0.25">
      <c r="A4231" s="1" t="s">
        <v>12836</v>
      </c>
      <c r="B4231" s="1" t="s">
        <v>12837</v>
      </c>
      <c r="C4231" s="1" t="s">
        <v>227</v>
      </c>
      <c r="D4231" s="1" t="s">
        <v>227</v>
      </c>
      <c r="E4231" s="6">
        <v>118.99</v>
      </c>
      <c r="F4231" s="1" t="s">
        <v>53</v>
      </c>
      <c r="G4231" s="6">
        <f ca="1">IFERROR(__xludf.DUMMYFUNCTION("iferror(GOOGLEFINANCE(TRIM(F4231)&amp;"":"" &amp; TRIM(B4231), ""price""),0
)"),0)</f>
        <v>0</v>
      </c>
      <c r="H4231" s="6">
        <v>252</v>
      </c>
      <c r="I4231" s="6">
        <f t="shared" ca="1" si="0"/>
        <v>252</v>
      </c>
      <c r="J4231" s="6">
        <f ca="1">IFERROR(__xludf.DUMMYFUNCTION("IFERROR(GOOGLEFINANCE(B4231, ""volume""), 0)"),0)</f>
        <v>0</v>
      </c>
      <c r="K4231" s="6">
        <v>-2.57</v>
      </c>
      <c r="L4231" s="6">
        <f ca="1">IFERROR(__xludf.DUMMYFUNCTION("IFERROR(GOOGLEFINANCE(B4231,""changepct""),K4231)"),-2.57)</f>
        <v>-2.57</v>
      </c>
      <c r="M4231" s="6">
        <f ca="1">IFERROR(__xludf.DUMMYFUNCTION("IFERROR(GOOGLEFINANCE(B4231,""change""),0)"),0)</f>
        <v>0</v>
      </c>
      <c r="N4231" s="6">
        <v>2</v>
      </c>
      <c r="O4231" s="7">
        <v>45536</v>
      </c>
      <c r="P4231" s="6">
        <v>0.26</v>
      </c>
      <c r="Q4231" s="6">
        <v>108.17</v>
      </c>
      <c r="R4231" s="7">
        <v>45536</v>
      </c>
      <c r="S4231" s="6">
        <v>35.76</v>
      </c>
      <c r="T4231" s="6">
        <v>4.2</v>
      </c>
      <c r="U4231" s="7">
        <v>45536</v>
      </c>
      <c r="V4231" s="6">
        <v>28.35</v>
      </c>
      <c r="W4231" s="6">
        <f ca="1">IFERROR(__xludf.DUMMYFUNCTION("IFERROR(GOOGLEFINANCE(B4231,""pe""),V4231)"),28.35)</f>
        <v>28.35</v>
      </c>
      <c r="X4231" s="6">
        <v>1.32</v>
      </c>
      <c r="Y4231" s="6">
        <v>2.42</v>
      </c>
      <c r="Z4231" s="6">
        <v>2</v>
      </c>
      <c r="AA4231" s="8">
        <v>45352</v>
      </c>
      <c r="AB4231" s="4">
        <v>0</v>
      </c>
      <c r="AC4231" s="6">
        <v>5.99</v>
      </c>
      <c r="AD4231" s="6">
        <v>9.15</v>
      </c>
      <c r="AE4231" s="1">
        <v>0</v>
      </c>
      <c r="AF4231" s="1">
        <f ca="1">IFERROR(__xludf.DUMMYFUNCTION("IFERROR(GOOGLEFINANCE(TRIM(F4231)&amp;"":"" &amp; TRIM(B4231),""high52""),AE4231)"),0)</f>
        <v>0</v>
      </c>
      <c r="AG4231" s="1">
        <v>0</v>
      </c>
      <c r="AH4231" s="1">
        <f ca="1">IFERROR(__xludf.DUMMYFUNCTION("IFERROR(GOOGLEFINANCE(TRIM(F4231)&amp;"":"" &amp; TRIM(B4231),""low52""),AE4231)"),0)</f>
        <v>0</v>
      </c>
      <c r="AI4231" s="1">
        <f ca="1">IFERROR(__xludf.DUMMYFUNCTION("IFERROR(GOOGLEFINANCE(B4231,""eps""),0)"),0)</f>
        <v>0</v>
      </c>
      <c r="AJ4231" s="1"/>
      <c r="AK4231" s="1" t="s">
        <v>12838</v>
      </c>
      <c r="AL4231" s="9">
        <f t="shared" si="388"/>
        <v>1</v>
      </c>
    </row>
    <row r="4232" spans="1:38" ht="15" x14ac:dyDescent="0.25">
      <c r="A4232" s="1" t="s">
        <v>12839</v>
      </c>
      <c r="B4232" s="1" t="s">
        <v>12840</v>
      </c>
      <c r="C4232" s="1" t="s">
        <v>227</v>
      </c>
      <c r="D4232" s="1" t="s">
        <v>227</v>
      </c>
      <c r="E4232" s="6">
        <v>127.43</v>
      </c>
      <c r="F4232" s="1" t="s">
        <v>53</v>
      </c>
      <c r="G4232" s="6">
        <f ca="1">IFERROR(__xludf.DUMMYFUNCTION("iferror(GOOGLEFINANCE(TRIM(F4232)&amp;"":"" &amp; TRIM(B4232), ""price""),0
)"),0)</f>
        <v>0</v>
      </c>
      <c r="H4232" s="6">
        <v>132.15</v>
      </c>
      <c r="I4232" s="6">
        <f t="shared" ca="1" si="0"/>
        <v>132.15</v>
      </c>
      <c r="J4232" s="6">
        <f ca="1">IFERROR(__xludf.DUMMYFUNCTION("IFERROR(GOOGLEFINANCE(B4232, ""volume""), 0)"),0)</f>
        <v>0</v>
      </c>
      <c r="K4232" s="6">
        <v>-4.96</v>
      </c>
      <c r="L4232" s="6">
        <f ca="1">IFERROR(__xludf.DUMMYFUNCTION("IFERROR(GOOGLEFINANCE(B4232,""changepct""),K4232)"),-4.96)</f>
        <v>-4.96</v>
      </c>
      <c r="M4232" s="6">
        <f ca="1">IFERROR(__xludf.DUMMYFUNCTION("IFERROR(GOOGLEFINANCE(B4232,""change""),0)"),0)</f>
        <v>0</v>
      </c>
      <c r="N4232" s="6">
        <v>2</v>
      </c>
      <c r="O4232" s="7">
        <v>45536</v>
      </c>
      <c r="P4232" s="6">
        <v>9.8699999999999992</v>
      </c>
      <c r="Q4232" s="6">
        <v>137.30000000000001</v>
      </c>
      <c r="R4232" s="7">
        <v>45536</v>
      </c>
      <c r="S4232" s="6">
        <v>14.18</v>
      </c>
      <c r="T4232" s="6">
        <v>1.19</v>
      </c>
      <c r="U4232" s="7">
        <v>45536</v>
      </c>
      <c r="V4232" s="6">
        <v>60.22</v>
      </c>
      <c r="W4232" s="6">
        <f ca="1">IFERROR(__xludf.DUMMYFUNCTION("IFERROR(GOOGLEFINANCE(B4232,""pe""),V4232)"),60.22)</f>
        <v>60.22</v>
      </c>
      <c r="X4232" s="9"/>
      <c r="Y4232" s="6">
        <v>2.23</v>
      </c>
      <c r="Z4232" s="6">
        <v>2</v>
      </c>
      <c r="AA4232" s="8">
        <v>45352</v>
      </c>
      <c r="AB4232" s="4">
        <v>0.05</v>
      </c>
      <c r="AC4232" s="6">
        <v>9.68</v>
      </c>
      <c r="AD4232" s="6">
        <v>10.67</v>
      </c>
      <c r="AE4232" s="1">
        <v>0</v>
      </c>
      <c r="AF4232" s="1">
        <f ca="1">IFERROR(__xludf.DUMMYFUNCTION("IFERROR(GOOGLEFINANCE(TRIM(F4232)&amp;"":"" &amp; TRIM(B4232),""high52""),AE4232)"),0)</f>
        <v>0</v>
      </c>
      <c r="AG4232" s="1">
        <v>0</v>
      </c>
      <c r="AH4232" s="1">
        <f ca="1">IFERROR(__xludf.DUMMYFUNCTION("IFERROR(GOOGLEFINANCE(TRIM(F4232)&amp;"":"" &amp; TRIM(B4232),""low52""),AE4232)"),0)</f>
        <v>0</v>
      </c>
      <c r="AI4232" s="1">
        <f ca="1">IFERROR(__xludf.DUMMYFUNCTION("IFERROR(GOOGLEFINANCE(B4232,""eps""),0)"),0)</f>
        <v>0</v>
      </c>
      <c r="AJ4232" s="1"/>
      <c r="AK4232" s="1" t="s">
        <v>12841</v>
      </c>
      <c r="AL4232" s="9">
        <f t="shared" si="388"/>
        <v>1</v>
      </c>
    </row>
    <row r="4233" spans="1:38" ht="15" x14ac:dyDescent="0.25">
      <c r="A4233" s="1" t="s">
        <v>12842</v>
      </c>
      <c r="B4233" s="1" t="s">
        <v>12843</v>
      </c>
      <c r="C4233" s="1" t="s">
        <v>4084</v>
      </c>
      <c r="D4233" s="1" t="s">
        <v>4084</v>
      </c>
      <c r="E4233" s="6">
        <v>2272.88</v>
      </c>
      <c r="F4233" s="1" t="s">
        <v>40</v>
      </c>
      <c r="G4233" s="6">
        <f ca="1">IFERROR(__xludf.DUMMYFUNCTION("iferror(GOOGLEFINANCE(TRIM(F4233)&amp;"":"" &amp; TRIM(B4233), ""price""),0
)"),1191)</f>
        <v>1191</v>
      </c>
      <c r="H4233" s="6">
        <v>1938.8</v>
      </c>
      <c r="I4233" s="6">
        <f t="shared" ca="1" si="0"/>
        <v>1191</v>
      </c>
      <c r="J4233" s="6">
        <f ca="1">IFERROR(__xludf.DUMMYFUNCTION("IFERROR(GOOGLEFINANCE(B4233, ""volume""), 0)"),12598)</f>
        <v>12598</v>
      </c>
      <c r="K4233" s="6">
        <v>1.08</v>
      </c>
      <c r="L4233" s="6">
        <f ca="1">IFERROR(__xludf.DUMMYFUNCTION("IFERROR(GOOGLEFINANCE(B4233,""changepct""),K4233)"),-0.49)</f>
        <v>-0.49</v>
      </c>
      <c r="M4233" s="6">
        <f ca="1">IFERROR(__xludf.DUMMYFUNCTION("IFERROR(GOOGLEFINANCE(B4233,""change""),0)"),-5.9)</f>
        <v>-5.9</v>
      </c>
      <c r="N4233" s="6">
        <v>2</v>
      </c>
      <c r="O4233" s="7">
        <v>45536</v>
      </c>
      <c r="P4233" s="6">
        <v>944.53</v>
      </c>
      <c r="Q4233" s="6">
        <v>3172.13</v>
      </c>
      <c r="R4233" s="7">
        <v>45536</v>
      </c>
      <c r="S4233" s="6">
        <v>4159.78</v>
      </c>
      <c r="T4233" s="6">
        <v>103.48</v>
      </c>
      <c r="U4233" s="7">
        <v>45536</v>
      </c>
      <c r="V4233" s="6">
        <v>9.84</v>
      </c>
      <c r="W4233" s="6">
        <f ca="1">IFERROR(__xludf.DUMMYFUNCTION("IFERROR(GOOGLEFINANCE(B4233,""pe""),V4233)"),5.29)</f>
        <v>5.29</v>
      </c>
      <c r="X4233" s="6">
        <v>19.3</v>
      </c>
      <c r="Y4233" s="6">
        <v>0.57999999999999996</v>
      </c>
      <c r="Z4233" s="6">
        <v>2</v>
      </c>
      <c r="AA4233" s="8">
        <v>45352</v>
      </c>
      <c r="AB4233" s="4">
        <v>0.13</v>
      </c>
      <c r="AC4233" s="6">
        <v>8.14</v>
      </c>
      <c r="AD4233" s="6">
        <v>11.5</v>
      </c>
      <c r="AE4233" s="1">
        <v>0</v>
      </c>
      <c r="AF4233" s="1">
        <f ca="1">IFERROR(__xludf.DUMMYFUNCTION("IFERROR(GOOGLEFINANCE(TRIM(F4233)&amp;"":"" &amp; TRIM(B4233),""high52""),AE4233)"),1889)</f>
        <v>1889</v>
      </c>
      <c r="AG4233" s="1">
        <v>0</v>
      </c>
      <c r="AH4233" s="1">
        <f ca="1">IFERROR(__xludf.DUMMYFUNCTION("IFERROR(GOOGLEFINANCE(TRIM(F4233)&amp;"":"" &amp; TRIM(B4233),""low52""),AE4233)"),1140.1)</f>
        <v>1140.0999999999999</v>
      </c>
      <c r="AI4233" s="1">
        <f ca="1">IFERROR(__xludf.DUMMYFUNCTION("IFERROR(GOOGLEFINANCE(B4233,""eps""),0)"),225.13)</f>
        <v>225.13</v>
      </c>
      <c r="AJ4233" s="1"/>
      <c r="AK4233" s="1" t="s">
        <v>12844</v>
      </c>
      <c r="AL4233" s="9">
        <f t="shared" si="388"/>
        <v>1</v>
      </c>
    </row>
    <row r="4234" spans="1:38" ht="15" x14ac:dyDescent="0.25">
      <c r="A4234" s="1" t="s">
        <v>12845</v>
      </c>
      <c r="B4234" s="1" t="s">
        <v>12846</v>
      </c>
      <c r="C4234" s="1" t="s">
        <v>227</v>
      </c>
      <c r="D4234" s="1" t="s">
        <v>227</v>
      </c>
      <c r="E4234" s="6">
        <v>464.34</v>
      </c>
      <c r="F4234" s="1" t="s">
        <v>53</v>
      </c>
      <c r="G4234" s="6">
        <f ca="1">IFERROR(__xludf.DUMMYFUNCTION("iferror(GOOGLEFINANCE(TRIM(F4234)&amp;"":"" &amp; TRIM(B4234), ""price""),0
)"),0)</f>
        <v>0</v>
      </c>
      <c r="H4234" s="6">
        <v>0.75</v>
      </c>
      <c r="I4234" s="6">
        <f t="shared" ca="1" si="0"/>
        <v>0.75</v>
      </c>
      <c r="J4234" s="6">
        <f ca="1">IFERROR(__xludf.DUMMYFUNCTION("IFERROR(GOOGLEFINANCE(B4234, ""volume""), 0)"),0)</f>
        <v>0</v>
      </c>
      <c r="K4234" s="6">
        <v>1.35</v>
      </c>
      <c r="L4234" s="6">
        <f ca="1">IFERROR(__xludf.DUMMYFUNCTION("IFERROR(GOOGLEFINANCE(B4234,""changepct""),K4234)"),1.35)</f>
        <v>1.35</v>
      </c>
      <c r="M4234" s="6">
        <f ca="1">IFERROR(__xludf.DUMMYFUNCTION("IFERROR(GOOGLEFINANCE(B4234,""change""),0)"),0)</f>
        <v>0</v>
      </c>
      <c r="N4234" s="6">
        <v>1</v>
      </c>
      <c r="O4234" s="7">
        <v>45536</v>
      </c>
      <c r="P4234" s="6">
        <v>500</v>
      </c>
      <c r="Q4234" s="6">
        <v>964.31</v>
      </c>
      <c r="R4234" s="7">
        <v>45536</v>
      </c>
      <c r="S4234" s="6">
        <v>2.79</v>
      </c>
      <c r="T4234" s="6">
        <v>4.57</v>
      </c>
      <c r="U4234" s="7">
        <v>45536</v>
      </c>
      <c r="V4234" s="6">
        <v>101.56</v>
      </c>
      <c r="W4234" s="6">
        <f ca="1">IFERROR(__xludf.DUMMYFUNCTION("IFERROR(GOOGLEFINANCE(B4234,""pe""),V4234)"),101.56)</f>
        <v>101.56</v>
      </c>
      <c r="X4234" s="6">
        <v>0.82</v>
      </c>
      <c r="Y4234" s="6">
        <v>0.71</v>
      </c>
      <c r="Z4234" s="6">
        <v>1</v>
      </c>
      <c r="AA4234" s="8">
        <v>45352</v>
      </c>
      <c r="AB4234" s="4">
        <v>3.27</v>
      </c>
      <c r="AC4234" s="6">
        <v>2.76</v>
      </c>
      <c r="AD4234" s="6">
        <v>1.04</v>
      </c>
      <c r="AE4234" s="1">
        <v>0</v>
      </c>
      <c r="AF4234" s="1">
        <f ca="1">IFERROR(__xludf.DUMMYFUNCTION("IFERROR(GOOGLEFINANCE(TRIM(F4234)&amp;"":"" &amp; TRIM(B4234),""high52""),AE4234)"),0)</f>
        <v>0</v>
      </c>
      <c r="AG4234" s="1">
        <v>0</v>
      </c>
      <c r="AH4234" s="1">
        <f ca="1">IFERROR(__xludf.DUMMYFUNCTION("IFERROR(GOOGLEFINANCE(TRIM(F4234)&amp;"":"" &amp; TRIM(B4234),""low52""),AE4234)"),0)</f>
        <v>0</v>
      </c>
      <c r="AI4234" s="1">
        <f ca="1">IFERROR(__xludf.DUMMYFUNCTION("IFERROR(GOOGLEFINANCE(B4234,""eps""),0)"),0)</f>
        <v>0</v>
      </c>
      <c r="AJ4234" s="1"/>
      <c r="AK4234" s="1" t="s">
        <v>12847</v>
      </c>
      <c r="AL4234" s="9">
        <f t="shared" si="388"/>
        <v>1</v>
      </c>
    </row>
    <row r="4235" spans="1:38" ht="15" x14ac:dyDescent="0.25">
      <c r="A4235" s="1" t="s">
        <v>12848</v>
      </c>
      <c r="B4235" s="1" t="s">
        <v>12849</v>
      </c>
      <c r="C4235" s="1" t="s">
        <v>227</v>
      </c>
      <c r="D4235" s="1" t="s">
        <v>227</v>
      </c>
      <c r="E4235" s="6">
        <v>7.52</v>
      </c>
      <c r="F4235" s="1" t="s">
        <v>53</v>
      </c>
      <c r="G4235" s="6">
        <f ca="1">IFERROR(__xludf.DUMMYFUNCTION("iferror(GOOGLEFINANCE(TRIM(F4235)&amp;"":"" &amp; TRIM(B4235), ""price""),0
)"),0)</f>
        <v>0</v>
      </c>
      <c r="H4235" s="6">
        <v>12.7</v>
      </c>
      <c r="I4235" s="6">
        <f t="shared" ca="1" si="0"/>
        <v>12.7</v>
      </c>
      <c r="J4235" s="6">
        <f ca="1">IFERROR(__xludf.DUMMYFUNCTION("IFERROR(GOOGLEFINANCE(B4235, ""volume""), 0)"),0)</f>
        <v>0</v>
      </c>
      <c r="K4235" s="6">
        <v>-1.93</v>
      </c>
      <c r="L4235" s="6">
        <f ca="1">IFERROR(__xludf.DUMMYFUNCTION("IFERROR(GOOGLEFINANCE(B4235,""changepct""),K4235)"),-1.93)</f>
        <v>-1.93</v>
      </c>
      <c r="M4235" s="6">
        <f ca="1">IFERROR(__xludf.DUMMYFUNCTION("IFERROR(GOOGLEFINANCE(B4235,""change""),0)"),0)</f>
        <v>0</v>
      </c>
      <c r="N4235" s="6">
        <v>1</v>
      </c>
      <c r="O4235" s="7">
        <v>45536</v>
      </c>
      <c r="P4235" s="6">
        <v>0.78</v>
      </c>
      <c r="Q4235" s="6">
        <v>8.3000000000000007</v>
      </c>
      <c r="R4235" s="7">
        <v>45536</v>
      </c>
      <c r="S4235" s="6">
        <v>6.56</v>
      </c>
      <c r="T4235" s="6">
        <v>0.14000000000000001</v>
      </c>
      <c r="U4235" s="7">
        <v>45536</v>
      </c>
      <c r="V4235" s="6">
        <v>54.92</v>
      </c>
      <c r="W4235" s="6">
        <f ca="1">IFERROR(__xludf.DUMMYFUNCTION("IFERROR(GOOGLEFINANCE(B4235,""pe""),V4235)"),54.92)</f>
        <v>54.92</v>
      </c>
      <c r="X4235" s="6">
        <v>3.38</v>
      </c>
      <c r="Y4235" s="6">
        <v>-10.23</v>
      </c>
      <c r="Z4235" s="6">
        <v>1</v>
      </c>
      <c r="AA4235" s="8">
        <v>45352</v>
      </c>
      <c r="AB4235" s="4">
        <v>-1.04</v>
      </c>
      <c r="AC4235" s="6">
        <v>0</v>
      </c>
      <c r="AD4235" s="6">
        <v>114.5</v>
      </c>
      <c r="AE4235" s="1">
        <v>0</v>
      </c>
      <c r="AF4235" s="1">
        <f ca="1">IFERROR(__xludf.DUMMYFUNCTION("IFERROR(GOOGLEFINANCE(TRIM(F4235)&amp;"":"" &amp; TRIM(B4235),""high52""),AE4235)"),0)</f>
        <v>0</v>
      </c>
      <c r="AG4235" s="1">
        <v>0</v>
      </c>
      <c r="AH4235" s="1">
        <f ca="1">IFERROR(__xludf.DUMMYFUNCTION("IFERROR(GOOGLEFINANCE(TRIM(F4235)&amp;"":"" &amp; TRIM(B4235),""low52""),AE4235)"),0)</f>
        <v>0</v>
      </c>
      <c r="AI4235" s="1">
        <f ca="1">IFERROR(__xludf.DUMMYFUNCTION("IFERROR(GOOGLEFINANCE(B4235,""eps""),0)"),0)</f>
        <v>0</v>
      </c>
      <c r="AJ4235" s="1"/>
      <c r="AK4235" s="1" t="s">
        <v>12850</v>
      </c>
      <c r="AL4235" s="9">
        <f t="shared" si="388"/>
        <v>1</v>
      </c>
    </row>
    <row r="4236" spans="1:38" ht="15" x14ac:dyDescent="0.25">
      <c r="A4236" s="1" t="s">
        <v>12851</v>
      </c>
      <c r="B4236" s="1" t="s">
        <v>12852</v>
      </c>
      <c r="C4236" s="1" t="s">
        <v>227</v>
      </c>
      <c r="D4236" s="1" t="s">
        <v>227</v>
      </c>
      <c r="E4236" s="6">
        <v>88.79</v>
      </c>
      <c r="F4236" s="1" t="s">
        <v>53</v>
      </c>
      <c r="G4236" s="6">
        <f ca="1">IFERROR(__xludf.DUMMYFUNCTION("iferror(GOOGLEFINANCE(TRIM(F4236)&amp;"":"" &amp; TRIM(B4236), ""price""),0
)"),0)</f>
        <v>0</v>
      </c>
      <c r="H4236" s="6">
        <v>17.52</v>
      </c>
      <c r="I4236" s="6">
        <f t="shared" ca="1" si="0"/>
        <v>17.52</v>
      </c>
      <c r="J4236" s="6">
        <f ca="1">IFERROR(__xludf.DUMMYFUNCTION("IFERROR(GOOGLEFINANCE(B4236, ""volume""), 0)"),0)</f>
        <v>0</v>
      </c>
      <c r="K4236" s="6">
        <v>1.45</v>
      </c>
      <c r="L4236" s="6">
        <f ca="1">IFERROR(__xludf.DUMMYFUNCTION("IFERROR(GOOGLEFINANCE(B4236,""changepct""),K4236)"),1.45)</f>
        <v>1.45</v>
      </c>
      <c r="M4236" s="6">
        <f ca="1">IFERROR(__xludf.DUMMYFUNCTION("IFERROR(GOOGLEFINANCE(B4236,""change""),0)"),0)</f>
        <v>0</v>
      </c>
      <c r="N4236" s="6">
        <v>1</v>
      </c>
      <c r="O4236" s="7">
        <v>45536</v>
      </c>
      <c r="P4236" s="6">
        <v>71.11</v>
      </c>
      <c r="Q4236" s="6">
        <v>159.9</v>
      </c>
      <c r="R4236" s="7">
        <v>45536</v>
      </c>
      <c r="S4236" s="6">
        <v>24556.39</v>
      </c>
      <c r="T4236" s="6">
        <v>0.55000000000000004</v>
      </c>
      <c r="U4236" s="7">
        <v>45536</v>
      </c>
      <c r="V4236" s="6">
        <v>162.91</v>
      </c>
      <c r="W4236" s="6">
        <f ca="1">IFERROR(__xludf.DUMMYFUNCTION("IFERROR(GOOGLEFINANCE(B4236,""pe""),V4236)"),162.91)</f>
        <v>162.91</v>
      </c>
      <c r="X4236" s="6">
        <v>2.2000000000000002</v>
      </c>
      <c r="Y4236" s="6">
        <v>2.8</v>
      </c>
      <c r="Z4236" s="6">
        <v>1</v>
      </c>
      <c r="AA4236" s="8">
        <v>45352</v>
      </c>
      <c r="AB4236" s="4">
        <v>2.0099999999999998</v>
      </c>
      <c r="AC4236" s="6">
        <v>2.9</v>
      </c>
      <c r="AD4236" s="6">
        <v>5.29</v>
      </c>
      <c r="AE4236" s="1">
        <v>0</v>
      </c>
      <c r="AF4236" s="1">
        <f ca="1">IFERROR(__xludf.DUMMYFUNCTION("IFERROR(GOOGLEFINANCE(TRIM(F4236)&amp;"":"" &amp; TRIM(B4236),""high52""),AE4236)"),0)</f>
        <v>0</v>
      </c>
      <c r="AG4236" s="1">
        <v>0</v>
      </c>
      <c r="AH4236" s="1">
        <f ca="1">IFERROR(__xludf.DUMMYFUNCTION("IFERROR(GOOGLEFINANCE(TRIM(F4236)&amp;"":"" &amp; TRIM(B4236),""low52""),AE4236)"),0)</f>
        <v>0</v>
      </c>
      <c r="AI4236" s="1">
        <f ca="1">IFERROR(__xludf.DUMMYFUNCTION("IFERROR(GOOGLEFINANCE(B4236,""eps""),0)"),0)</f>
        <v>0</v>
      </c>
      <c r="AJ4236" s="1"/>
      <c r="AK4236" s="1" t="s">
        <v>12853</v>
      </c>
      <c r="AL4236" s="9">
        <f t="shared" si="388"/>
        <v>1</v>
      </c>
    </row>
    <row r="4237" spans="1:38" ht="15" x14ac:dyDescent="0.25">
      <c r="A4237" s="1" t="s">
        <v>12854</v>
      </c>
      <c r="B4237" s="1" t="s">
        <v>12855</v>
      </c>
      <c r="C4237" s="1" t="s">
        <v>227</v>
      </c>
      <c r="D4237" s="1" t="s">
        <v>227</v>
      </c>
      <c r="E4237" s="6">
        <v>16.600000000000001</v>
      </c>
      <c r="F4237" s="1" t="s">
        <v>53</v>
      </c>
      <c r="G4237" s="6">
        <f ca="1">IFERROR(__xludf.DUMMYFUNCTION("iferror(GOOGLEFINANCE(TRIM(F4237)&amp;"":"" &amp; TRIM(B4237), ""price""),0
)"),0)</f>
        <v>0</v>
      </c>
      <c r="H4237" s="6">
        <v>1.4</v>
      </c>
      <c r="I4237" s="6">
        <f t="shared" ca="1" si="0"/>
        <v>1.4</v>
      </c>
      <c r="J4237" s="6">
        <f ca="1">IFERROR(__xludf.DUMMYFUNCTION("IFERROR(GOOGLEFINANCE(B4237, ""volume""), 0)"),0)</f>
        <v>0</v>
      </c>
      <c r="K4237" s="6">
        <v>1.45</v>
      </c>
      <c r="L4237" s="6">
        <f ca="1">IFERROR(__xludf.DUMMYFUNCTION("IFERROR(GOOGLEFINANCE(B4237,""changepct""),K4237)"),1.45)</f>
        <v>1.45</v>
      </c>
      <c r="M4237" s="6">
        <f ca="1">IFERROR(__xludf.DUMMYFUNCTION("IFERROR(GOOGLEFINANCE(B4237,""change""),0)"),0)</f>
        <v>0</v>
      </c>
      <c r="N4237" s="6">
        <v>1</v>
      </c>
      <c r="O4237" s="7">
        <v>45536</v>
      </c>
      <c r="P4237" s="9"/>
      <c r="Q4237" s="6">
        <v>16.559999999999999</v>
      </c>
      <c r="R4237" s="7">
        <v>45536</v>
      </c>
      <c r="S4237" s="6">
        <v>3.35</v>
      </c>
      <c r="T4237" s="6">
        <v>5.75</v>
      </c>
      <c r="U4237" s="7">
        <v>45536</v>
      </c>
      <c r="V4237" s="6">
        <v>2.89</v>
      </c>
      <c r="W4237" s="6">
        <f ca="1">IFERROR(__xludf.DUMMYFUNCTION("IFERROR(GOOGLEFINANCE(B4237,""pe""),V4237)"),2.89)</f>
        <v>2.89</v>
      </c>
      <c r="X4237" s="6">
        <v>0.02</v>
      </c>
      <c r="Y4237" s="6">
        <v>1</v>
      </c>
      <c r="Z4237" s="6">
        <v>1</v>
      </c>
      <c r="AA4237" s="8">
        <v>45352</v>
      </c>
      <c r="AB4237" s="4">
        <v>0</v>
      </c>
      <c r="AC4237" s="6">
        <v>3.84</v>
      </c>
      <c r="AD4237" s="6">
        <v>3.84</v>
      </c>
      <c r="AE4237" s="1">
        <v>0</v>
      </c>
      <c r="AF4237" s="1">
        <f ca="1">IFERROR(__xludf.DUMMYFUNCTION("IFERROR(GOOGLEFINANCE(TRIM(F4237)&amp;"":"" &amp; TRIM(B4237),""high52""),AE4237)"),0)</f>
        <v>0</v>
      </c>
      <c r="AG4237" s="1">
        <v>0</v>
      </c>
      <c r="AH4237" s="1">
        <f ca="1">IFERROR(__xludf.DUMMYFUNCTION("IFERROR(GOOGLEFINANCE(TRIM(F4237)&amp;"":"" &amp; TRIM(B4237),""low52""),AE4237)"),0)</f>
        <v>0</v>
      </c>
      <c r="AI4237" s="1">
        <f ca="1">IFERROR(__xludf.DUMMYFUNCTION("IFERROR(GOOGLEFINANCE(B4237,""eps""),0)"),0)</f>
        <v>0</v>
      </c>
      <c r="AJ4237" s="1"/>
      <c r="AK4237" s="1" t="s">
        <v>12856</v>
      </c>
      <c r="AL4237" s="9">
        <f t="shared" si="388"/>
        <v>1</v>
      </c>
    </row>
    <row r="4238" spans="1:38" ht="15" x14ac:dyDescent="0.25">
      <c r="A4238" s="1" t="s">
        <v>12857</v>
      </c>
      <c r="B4238" s="1" t="s">
        <v>12858</v>
      </c>
      <c r="C4238" s="1" t="s">
        <v>227</v>
      </c>
      <c r="D4238" s="1" t="s">
        <v>227</v>
      </c>
      <c r="E4238" s="6">
        <v>234.59</v>
      </c>
      <c r="F4238" s="1" t="s">
        <v>53</v>
      </c>
      <c r="G4238" s="6">
        <f ca="1">IFERROR(__xludf.DUMMYFUNCTION("iferror(GOOGLEFINANCE(TRIM(F4238)&amp;"":"" &amp; TRIM(B4238), ""price""),0
)"),0)</f>
        <v>0</v>
      </c>
      <c r="H4238" s="6">
        <v>159.65</v>
      </c>
      <c r="I4238" s="6">
        <f t="shared" ca="1" si="0"/>
        <v>159.65</v>
      </c>
      <c r="J4238" s="6">
        <f ca="1">IFERROR(__xludf.DUMMYFUNCTION("IFERROR(GOOGLEFINANCE(B4238, ""volume""), 0)"),0)</f>
        <v>0</v>
      </c>
      <c r="K4238" s="6">
        <v>1.98</v>
      </c>
      <c r="L4238" s="6">
        <f ca="1">IFERROR(__xludf.DUMMYFUNCTION("IFERROR(GOOGLEFINANCE(B4238,""changepct""),K4238)"),-3.53)</f>
        <v>-3.53</v>
      </c>
      <c r="M4238" s="6">
        <f ca="1">IFERROR(__xludf.DUMMYFUNCTION("IFERROR(GOOGLEFINANCE(B4238,""change""),0)"),-0.63)</f>
        <v>-0.63</v>
      </c>
      <c r="N4238" s="6">
        <v>1</v>
      </c>
      <c r="O4238" s="7">
        <v>45536</v>
      </c>
      <c r="P4238" s="6">
        <v>35.909999999999997</v>
      </c>
      <c r="Q4238" s="6">
        <v>270.49</v>
      </c>
      <c r="R4238" s="7">
        <v>45536</v>
      </c>
      <c r="S4238" s="6">
        <v>338.44</v>
      </c>
      <c r="T4238" s="6">
        <v>4.24</v>
      </c>
      <c r="U4238" s="7">
        <v>45536</v>
      </c>
      <c r="V4238" s="6">
        <v>55.3</v>
      </c>
      <c r="W4238" s="6">
        <f ca="1">IFERROR(__xludf.DUMMYFUNCTION("IFERROR(GOOGLEFINANCE(B4238,""pe""),V4238)"),48.32)</f>
        <v>48.32</v>
      </c>
      <c r="X4238" s="6">
        <v>6.95</v>
      </c>
      <c r="Y4238" s="6">
        <v>6.2</v>
      </c>
      <c r="Z4238" s="6">
        <v>1</v>
      </c>
      <c r="AA4238" s="8">
        <v>45352</v>
      </c>
      <c r="AB4238" s="4">
        <v>0.8</v>
      </c>
      <c r="AC4238" s="6">
        <v>9.0299999999999994</v>
      </c>
      <c r="AD4238" s="6">
        <v>10.76</v>
      </c>
      <c r="AE4238" s="1">
        <v>0</v>
      </c>
      <c r="AF4238" s="1">
        <f ca="1">IFERROR(__xludf.DUMMYFUNCTION("IFERROR(GOOGLEFINANCE(TRIM(F4238)&amp;"":"" &amp; TRIM(B4238),""high52""),AE4238)"),0)</f>
        <v>0</v>
      </c>
      <c r="AG4238" s="1">
        <v>0</v>
      </c>
      <c r="AH4238" s="1">
        <f ca="1">IFERROR(__xludf.DUMMYFUNCTION("IFERROR(GOOGLEFINANCE(TRIM(F4238)&amp;"":"" &amp; TRIM(B4238),""low52""),AE4238)"),0)</f>
        <v>0</v>
      </c>
      <c r="AI4238" s="1">
        <f ca="1">IFERROR(__xludf.DUMMYFUNCTION("IFERROR(GOOGLEFINANCE(B4238,""eps""),0)"),0.36)</f>
        <v>0.36</v>
      </c>
      <c r="AJ4238" s="1"/>
      <c r="AK4238" s="1" t="s">
        <v>12859</v>
      </c>
      <c r="AL4238" s="9">
        <f t="shared" si="388"/>
        <v>1</v>
      </c>
    </row>
    <row r="4239" spans="1:38" ht="15" x14ac:dyDescent="0.25">
      <c r="A4239" s="1" t="s">
        <v>12860</v>
      </c>
      <c r="B4239" s="1" t="s">
        <v>12861</v>
      </c>
      <c r="C4239" s="1" t="s">
        <v>106</v>
      </c>
      <c r="D4239" s="1" t="s">
        <v>106</v>
      </c>
      <c r="E4239" s="6">
        <v>54.39</v>
      </c>
      <c r="F4239" s="1" t="s">
        <v>40</v>
      </c>
      <c r="G4239" s="6">
        <f ca="1">IFERROR(__xludf.DUMMYFUNCTION("iferror(GOOGLEFINANCE(TRIM(F4239)&amp;"":"" &amp; TRIM(B4239), ""price""),0
)"),32.72)</f>
        <v>32.72</v>
      </c>
      <c r="H4239" s="6">
        <v>58.1</v>
      </c>
      <c r="I4239" s="6">
        <f t="shared" ca="1" si="0"/>
        <v>32.72</v>
      </c>
      <c r="J4239" s="6">
        <f ca="1">IFERROR(__xludf.DUMMYFUNCTION("IFERROR(GOOGLEFINANCE(B4239, ""volume""), 0)"),38969)</f>
        <v>38969</v>
      </c>
      <c r="K4239" s="6">
        <v>0.05</v>
      </c>
      <c r="L4239" s="6">
        <f ca="1">IFERROR(__xludf.DUMMYFUNCTION("IFERROR(GOOGLEFINANCE(B4239,""changepct""),K4239)"),-2.21)</f>
        <v>-2.21</v>
      </c>
      <c r="M4239" s="6">
        <f ca="1">IFERROR(__xludf.DUMMYFUNCTION("IFERROR(GOOGLEFINANCE(B4239,""change""),0)"),-0.74)</f>
        <v>-0.74</v>
      </c>
      <c r="N4239" s="6">
        <v>1</v>
      </c>
      <c r="O4239" s="7">
        <v>45536</v>
      </c>
      <c r="P4239" s="6">
        <v>40.57</v>
      </c>
      <c r="Q4239" s="6">
        <v>94.65</v>
      </c>
      <c r="R4239" s="7">
        <v>45536</v>
      </c>
      <c r="S4239" s="6">
        <v>112.52</v>
      </c>
      <c r="T4239" s="6">
        <v>-4.0999999999999996</v>
      </c>
      <c r="U4239" s="7">
        <v>45536</v>
      </c>
      <c r="V4239" s="6">
        <v>0</v>
      </c>
      <c r="W4239" s="6">
        <f ca="1">IFERROR(__xludf.DUMMYFUNCTION("IFERROR(GOOGLEFINANCE(B4239,""pe""),V4239)"),0)</f>
        <v>0</v>
      </c>
      <c r="X4239" s="12"/>
      <c r="Y4239" s="6">
        <v>1.77</v>
      </c>
      <c r="Z4239" s="6">
        <v>1</v>
      </c>
      <c r="AA4239" s="8">
        <v>45352</v>
      </c>
      <c r="AB4239" s="4">
        <v>1.28</v>
      </c>
      <c r="AC4239" s="6">
        <v>3</v>
      </c>
      <c r="AD4239" s="6">
        <v>7.16</v>
      </c>
      <c r="AE4239" s="1">
        <v>0</v>
      </c>
      <c r="AF4239" s="1">
        <f ca="1">IFERROR(__xludf.DUMMYFUNCTION("IFERROR(GOOGLEFINANCE(TRIM(F4239)&amp;"":"" &amp; TRIM(B4239),""high52""),AE4239)"),45.21)</f>
        <v>45.21</v>
      </c>
      <c r="AG4239" s="1">
        <v>0</v>
      </c>
      <c r="AH4239" s="1">
        <f ca="1">IFERROR(__xludf.DUMMYFUNCTION("IFERROR(GOOGLEFINANCE(TRIM(F4239)&amp;"":"" &amp; TRIM(B4239),""low52""),AE4239)"),22.28)</f>
        <v>22.28</v>
      </c>
      <c r="AI4239" s="1">
        <f ca="1">IFERROR(__xludf.DUMMYFUNCTION("IFERROR(GOOGLEFINANCE(B4239,""eps""),0)"),-15.3)</f>
        <v>-15.3</v>
      </c>
      <c r="AJ4239" s="1"/>
      <c r="AK4239" s="1" t="s">
        <v>12862</v>
      </c>
      <c r="AL4239" s="9">
        <f t="shared" si="388"/>
        <v>1</v>
      </c>
    </row>
    <row r="4240" spans="1:38" ht="15" x14ac:dyDescent="0.25">
      <c r="A4240" s="1" t="s">
        <v>12863</v>
      </c>
      <c r="B4240" s="1" t="s">
        <v>12864</v>
      </c>
      <c r="C4240" s="1" t="s">
        <v>227</v>
      </c>
      <c r="D4240" s="1" t="s">
        <v>227</v>
      </c>
      <c r="E4240" s="6">
        <v>5.75</v>
      </c>
      <c r="F4240" s="1" t="s">
        <v>53</v>
      </c>
      <c r="G4240" s="6">
        <f ca="1">IFERROR(__xludf.DUMMYFUNCTION("iferror(GOOGLEFINANCE(TRIM(F4240)&amp;"":"" &amp; TRIM(B4240), ""price""),0
)"),0)</f>
        <v>0</v>
      </c>
      <c r="H4240" s="6">
        <v>11.87</v>
      </c>
      <c r="I4240" s="6">
        <f t="shared" ca="1" si="0"/>
        <v>11.87</v>
      </c>
      <c r="J4240" s="6">
        <f ca="1">IFERROR(__xludf.DUMMYFUNCTION("IFERROR(GOOGLEFINANCE(B4240, ""volume""), 0)"),0)</f>
        <v>0</v>
      </c>
      <c r="K4240" s="6">
        <v>-4.96</v>
      </c>
      <c r="L4240" s="6">
        <f ca="1">IFERROR(__xludf.DUMMYFUNCTION("IFERROR(GOOGLEFINANCE(B4240,""changepct""),K4240)"),-4.96)</f>
        <v>-4.96</v>
      </c>
      <c r="M4240" s="6">
        <f ca="1">IFERROR(__xludf.DUMMYFUNCTION("IFERROR(GOOGLEFINANCE(B4240,""change""),0)"),0)</f>
        <v>0</v>
      </c>
      <c r="N4240" s="6">
        <v>1</v>
      </c>
      <c r="O4240" s="7">
        <v>45536</v>
      </c>
      <c r="P4240" s="9"/>
      <c r="Q4240" s="6">
        <v>5.75</v>
      </c>
      <c r="R4240" s="7">
        <v>45536</v>
      </c>
      <c r="S4240" s="6">
        <v>0.86</v>
      </c>
      <c r="T4240" s="6">
        <v>0.12</v>
      </c>
      <c r="U4240" s="7">
        <v>45536</v>
      </c>
      <c r="V4240" s="6">
        <v>47.88</v>
      </c>
      <c r="W4240" s="6">
        <f ca="1">IFERROR(__xludf.DUMMYFUNCTION("IFERROR(GOOGLEFINANCE(B4240,""pe""),V4240)"),47.88)</f>
        <v>47.88</v>
      </c>
      <c r="X4240" s="6">
        <v>1.17</v>
      </c>
      <c r="Y4240" s="6">
        <v>2.25</v>
      </c>
      <c r="Z4240" s="6">
        <v>1</v>
      </c>
      <c r="AA4240" s="8">
        <v>45352</v>
      </c>
      <c r="AB4240" s="4">
        <v>0</v>
      </c>
      <c r="AC4240" s="6">
        <v>5.0599999999999996</v>
      </c>
      <c r="AD4240" s="6">
        <v>5.27</v>
      </c>
      <c r="AE4240" s="1">
        <v>0</v>
      </c>
      <c r="AF4240" s="1">
        <f ca="1">IFERROR(__xludf.DUMMYFUNCTION("IFERROR(GOOGLEFINANCE(TRIM(F4240)&amp;"":"" &amp; TRIM(B4240),""high52""),AE4240)"),0)</f>
        <v>0</v>
      </c>
      <c r="AG4240" s="1">
        <v>0</v>
      </c>
      <c r="AH4240" s="1">
        <f ca="1">IFERROR(__xludf.DUMMYFUNCTION("IFERROR(GOOGLEFINANCE(TRIM(F4240)&amp;"":"" &amp; TRIM(B4240),""low52""),AE4240)"),0)</f>
        <v>0</v>
      </c>
      <c r="AI4240" s="1">
        <f ca="1">IFERROR(__xludf.DUMMYFUNCTION("IFERROR(GOOGLEFINANCE(B4240,""eps""),0)"),0)</f>
        <v>0</v>
      </c>
      <c r="AJ4240" s="1"/>
      <c r="AK4240" s="1" t="s">
        <v>12865</v>
      </c>
      <c r="AL4240" s="9">
        <f t="shared" si="388"/>
        <v>1</v>
      </c>
    </row>
    <row r="4241" spans="1:38" ht="15" x14ac:dyDescent="0.25">
      <c r="A4241" s="1" t="s">
        <v>12866</v>
      </c>
      <c r="B4241" s="1" t="s">
        <v>12867</v>
      </c>
      <c r="C4241" s="1" t="s">
        <v>227</v>
      </c>
      <c r="D4241" s="1" t="s">
        <v>227</v>
      </c>
      <c r="E4241" s="6">
        <v>45.75</v>
      </c>
      <c r="F4241" s="1" t="s">
        <v>53</v>
      </c>
      <c r="G4241" s="6">
        <f ca="1">IFERROR(__xludf.DUMMYFUNCTION("iferror(GOOGLEFINANCE(TRIM(F4241)&amp;"":"" &amp; TRIM(B4241), ""price""),0
)"),0)</f>
        <v>0</v>
      </c>
      <c r="H4241" s="6">
        <v>4.46</v>
      </c>
      <c r="I4241" s="6">
        <f t="shared" ca="1" si="0"/>
        <v>4.46</v>
      </c>
      <c r="J4241" s="6">
        <f ca="1">IFERROR(__xludf.DUMMYFUNCTION("IFERROR(GOOGLEFINANCE(B4241, ""volume""), 0)"),0)</f>
        <v>0</v>
      </c>
      <c r="K4241" s="6">
        <v>-1.55</v>
      </c>
      <c r="L4241" s="6">
        <f ca="1">IFERROR(__xludf.DUMMYFUNCTION("IFERROR(GOOGLEFINANCE(B4241,""changepct""),K4241)"),-1.55)</f>
        <v>-1.55</v>
      </c>
      <c r="M4241" s="6">
        <f ca="1">IFERROR(__xludf.DUMMYFUNCTION("IFERROR(GOOGLEFINANCE(B4241,""change""),0)"),0)</f>
        <v>0</v>
      </c>
      <c r="N4241" s="6">
        <v>2</v>
      </c>
      <c r="O4241" s="7">
        <v>45536</v>
      </c>
      <c r="P4241" s="6">
        <v>80.959999999999994</v>
      </c>
      <c r="Q4241" s="6">
        <v>126.71</v>
      </c>
      <c r="R4241" s="7">
        <v>45536</v>
      </c>
      <c r="S4241" s="6">
        <v>8.9600000000000009</v>
      </c>
      <c r="T4241" s="6">
        <v>0.46</v>
      </c>
      <c r="U4241" s="7">
        <v>45536</v>
      </c>
      <c r="V4241" s="6">
        <v>99.46</v>
      </c>
      <c r="W4241" s="6">
        <f ca="1">IFERROR(__xludf.DUMMYFUNCTION("IFERROR(GOOGLEFINANCE(B4241,""pe""),V4241)"),99.46)</f>
        <v>99.46</v>
      </c>
      <c r="X4241" s="6">
        <v>-3.98</v>
      </c>
      <c r="Y4241" s="6">
        <v>0.77</v>
      </c>
      <c r="Z4241" s="6">
        <v>2</v>
      </c>
      <c r="AA4241" s="8">
        <v>45352</v>
      </c>
      <c r="AB4241" s="4">
        <v>0.06</v>
      </c>
      <c r="AC4241" s="6">
        <v>1.63</v>
      </c>
      <c r="AD4241" s="6">
        <v>2.36</v>
      </c>
      <c r="AE4241" s="1">
        <v>0</v>
      </c>
      <c r="AF4241" s="1">
        <f ca="1">IFERROR(__xludf.DUMMYFUNCTION("IFERROR(GOOGLEFINANCE(TRIM(F4241)&amp;"":"" &amp; TRIM(B4241),""high52""),AE4241)"),0)</f>
        <v>0</v>
      </c>
      <c r="AG4241" s="1">
        <v>0</v>
      </c>
      <c r="AH4241" s="1">
        <f ca="1">IFERROR(__xludf.DUMMYFUNCTION("IFERROR(GOOGLEFINANCE(TRIM(F4241)&amp;"":"" &amp; TRIM(B4241),""low52""),AE4241)"),0)</f>
        <v>0</v>
      </c>
      <c r="AI4241" s="1">
        <f ca="1">IFERROR(__xludf.DUMMYFUNCTION("IFERROR(GOOGLEFINANCE(B4241,""eps""),0)"),0)</f>
        <v>0</v>
      </c>
      <c r="AJ4241" s="1"/>
      <c r="AK4241" s="1" t="s">
        <v>12868</v>
      </c>
      <c r="AL4241" s="9">
        <f t="shared" si="388"/>
        <v>1</v>
      </c>
    </row>
    <row r="4242" spans="1:38" ht="15" x14ac:dyDescent="0.25">
      <c r="A4242" s="1" t="s">
        <v>12869</v>
      </c>
      <c r="B4242" s="1" t="s">
        <v>12870</v>
      </c>
      <c r="C4242" s="1" t="s">
        <v>186</v>
      </c>
      <c r="D4242" s="1" t="s">
        <v>186</v>
      </c>
      <c r="E4242" s="6">
        <v>84.21</v>
      </c>
      <c r="F4242" s="1" t="s">
        <v>40</v>
      </c>
      <c r="G4242" s="6">
        <f ca="1">IFERROR(__xludf.DUMMYFUNCTION("iferror(GOOGLEFINANCE(TRIM(F4242)&amp;"":"" &amp; TRIM(B4242), ""price""),0
)"),1)</f>
        <v>1</v>
      </c>
      <c r="H4242" s="6">
        <v>1.82</v>
      </c>
      <c r="I4242" s="6">
        <f t="shared" ca="1" si="0"/>
        <v>1</v>
      </c>
      <c r="J4242" s="6">
        <f ca="1">IFERROR(__xludf.DUMMYFUNCTION("IFERROR(GOOGLEFINANCE(B4242, ""volume""), 0)"),449457)</f>
        <v>449457</v>
      </c>
      <c r="K4242" s="6">
        <v>0</v>
      </c>
      <c r="L4242" s="6">
        <f ca="1">IFERROR(__xludf.DUMMYFUNCTION("IFERROR(GOOGLEFINANCE(B4242,""changepct""),K4242)"),-2.91)</f>
        <v>-2.91</v>
      </c>
      <c r="M4242" s="6">
        <f ca="1">IFERROR(__xludf.DUMMYFUNCTION("IFERROR(GOOGLEFINANCE(B4242,""change""),0)"),-0.03)</f>
        <v>-0.03</v>
      </c>
      <c r="N4242" s="6">
        <v>1</v>
      </c>
      <c r="O4242" s="7">
        <v>45536</v>
      </c>
      <c r="P4242" s="6">
        <v>9.2799999999999994</v>
      </c>
      <c r="Q4242" s="6">
        <v>53.87</v>
      </c>
      <c r="R4242" s="7">
        <v>45536</v>
      </c>
      <c r="S4242" s="6">
        <v>113.62</v>
      </c>
      <c r="T4242" s="6">
        <v>2.0299999999999998</v>
      </c>
      <c r="U4242" s="7">
        <v>45536</v>
      </c>
      <c r="V4242" s="6">
        <v>41.54</v>
      </c>
      <c r="W4242" s="6">
        <f ca="1">IFERROR(__xludf.DUMMYFUNCTION("IFERROR(GOOGLEFINANCE(B4242,""pe""),V4242)"),7.16)</f>
        <v>7.16</v>
      </c>
      <c r="X4242" s="6">
        <v>21.64</v>
      </c>
      <c r="Y4242" s="6">
        <v>1.08</v>
      </c>
      <c r="Z4242" s="6">
        <v>1</v>
      </c>
      <c r="AA4242" s="8">
        <v>45352</v>
      </c>
      <c r="AB4242" s="4">
        <v>0.48</v>
      </c>
      <c r="AC4242" s="6">
        <v>11.99</v>
      </c>
      <c r="AD4242" s="6">
        <v>13.33</v>
      </c>
      <c r="AE4242" s="1">
        <v>0</v>
      </c>
      <c r="AF4242" s="1">
        <f ca="1">IFERROR(__xludf.DUMMYFUNCTION("IFERROR(GOOGLEFINANCE(TRIM(F4242)&amp;"":"" &amp; TRIM(B4242),""high52""),AE4242)"),1.64)</f>
        <v>1.64</v>
      </c>
      <c r="AG4242" s="1">
        <v>0</v>
      </c>
      <c r="AH4242" s="1">
        <f ca="1">IFERROR(__xludf.DUMMYFUNCTION("IFERROR(GOOGLEFINANCE(TRIM(F4242)&amp;"":"" &amp; TRIM(B4242),""low52""),AE4242)"),0.94)</f>
        <v>0.94</v>
      </c>
      <c r="AI4242" s="1">
        <f ca="1">IFERROR(__xludf.DUMMYFUNCTION("IFERROR(GOOGLEFINANCE(B4242,""eps""),0)"),0.14)</f>
        <v>0.14000000000000001</v>
      </c>
      <c r="AJ4242" s="1"/>
      <c r="AK4242" s="1" t="s">
        <v>12871</v>
      </c>
      <c r="AL4242" s="9">
        <f t="shared" si="388"/>
        <v>1</v>
      </c>
    </row>
    <row r="4243" spans="1:38" ht="15" x14ac:dyDescent="0.25">
      <c r="A4243" s="1" t="s">
        <v>12872</v>
      </c>
      <c r="B4243" s="1" t="s">
        <v>12873</v>
      </c>
      <c r="C4243" s="1" t="s">
        <v>227</v>
      </c>
      <c r="D4243" s="1" t="s">
        <v>227</v>
      </c>
      <c r="E4243" s="6">
        <v>23.59</v>
      </c>
      <c r="F4243" s="1" t="s">
        <v>53</v>
      </c>
      <c r="G4243" s="6">
        <f ca="1">IFERROR(__xludf.DUMMYFUNCTION("iferror(GOOGLEFINANCE(TRIM(F4243)&amp;"":"" &amp; TRIM(B4243), ""price""),0
)"),0)</f>
        <v>0</v>
      </c>
      <c r="H4243" s="6">
        <v>89.44</v>
      </c>
      <c r="I4243" s="6">
        <f t="shared" ca="1" si="0"/>
        <v>89.44</v>
      </c>
      <c r="J4243" s="6">
        <f ca="1">IFERROR(__xludf.DUMMYFUNCTION("IFERROR(GOOGLEFINANCE(B4243, ""volume""), 0)"),0)</f>
        <v>0</v>
      </c>
      <c r="K4243" s="9"/>
      <c r="L4243" s="6" t="str">
        <f ca="1">IFERROR(__xludf.DUMMYFUNCTION("IFERROR(GOOGLEFINANCE(B4243,""changepct""),K4243)"),"")</f>
        <v/>
      </c>
      <c r="M4243" s="6">
        <f ca="1">IFERROR(__xludf.DUMMYFUNCTION("IFERROR(GOOGLEFINANCE(B4243,""change""),0)"),0)</f>
        <v>0</v>
      </c>
      <c r="N4243" s="6">
        <v>1</v>
      </c>
      <c r="O4243" s="7">
        <v>45536</v>
      </c>
      <c r="P4243" s="9"/>
      <c r="Q4243" s="6">
        <v>23.59</v>
      </c>
      <c r="R4243" s="7">
        <v>45536</v>
      </c>
      <c r="S4243" s="6">
        <v>0.18</v>
      </c>
      <c r="T4243" s="6">
        <v>0.46</v>
      </c>
      <c r="U4243" s="7">
        <v>45536</v>
      </c>
      <c r="V4243" s="6">
        <v>51.39</v>
      </c>
      <c r="W4243" s="6">
        <f ca="1">IFERROR(__xludf.DUMMYFUNCTION("IFERROR(GOOGLEFINANCE(B4243,""pe""),V4243)"),51.39)</f>
        <v>51.39</v>
      </c>
      <c r="X4243" s="6">
        <v>1.94</v>
      </c>
      <c r="Y4243" s="6">
        <v>0.69</v>
      </c>
      <c r="Z4243" s="6">
        <v>1</v>
      </c>
      <c r="AA4243" s="8">
        <v>45352</v>
      </c>
      <c r="AB4243" s="4">
        <v>0</v>
      </c>
      <c r="AC4243" s="6">
        <v>1.39</v>
      </c>
      <c r="AD4243" s="6">
        <v>1.85</v>
      </c>
      <c r="AE4243" s="1">
        <v>0</v>
      </c>
      <c r="AF4243" s="1">
        <f ca="1">IFERROR(__xludf.DUMMYFUNCTION("IFERROR(GOOGLEFINANCE(TRIM(F4243)&amp;"":"" &amp; TRIM(B4243),""high52""),AE4243)"),0)</f>
        <v>0</v>
      </c>
      <c r="AG4243" s="1">
        <v>0</v>
      </c>
      <c r="AH4243" s="1">
        <f ca="1">IFERROR(__xludf.DUMMYFUNCTION("IFERROR(GOOGLEFINANCE(TRIM(F4243)&amp;"":"" &amp; TRIM(B4243),""low52""),AE4243)"),0)</f>
        <v>0</v>
      </c>
      <c r="AI4243" s="1">
        <f ca="1">IFERROR(__xludf.DUMMYFUNCTION("IFERROR(GOOGLEFINANCE(B4243,""eps""),0)"),0)</f>
        <v>0</v>
      </c>
      <c r="AJ4243" s="1"/>
      <c r="AK4243" s="9"/>
      <c r="AL4243" s="9">
        <f t="shared" si="388"/>
        <v>1</v>
      </c>
    </row>
    <row r="4244" spans="1:38" ht="15" x14ac:dyDescent="0.25">
      <c r="A4244" s="1" t="s">
        <v>12874</v>
      </c>
      <c r="B4244" s="1" t="s">
        <v>12875</v>
      </c>
      <c r="C4244" s="1" t="s">
        <v>227</v>
      </c>
      <c r="D4244" s="1" t="s">
        <v>227</v>
      </c>
      <c r="E4244" s="6">
        <v>34.22</v>
      </c>
      <c r="F4244" s="1" t="s">
        <v>53</v>
      </c>
      <c r="G4244" s="6">
        <f ca="1">IFERROR(__xludf.DUMMYFUNCTION("iferror(GOOGLEFINANCE(TRIM(F4244)&amp;"":"" &amp; TRIM(B4244), ""price""),0
)"),0)</f>
        <v>0</v>
      </c>
      <c r="H4244" s="6">
        <v>17.649999999999999</v>
      </c>
      <c r="I4244" s="6">
        <f t="shared" ca="1" si="0"/>
        <v>17.649999999999999</v>
      </c>
      <c r="J4244" s="6">
        <f ca="1">IFERROR(__xludf.DUMMYFUNCTION("IFERROR(GOOGLEFINANCE(B4244, ""volume""), 0)"),0)</f>
        <v>0</v>
      </c>
      <c r="K4244" s="6">
        <v>3.16</v>
      </c>
      <c r="L4244" s="6">
        <f ca="1">IFERROR(__xludf.DUMMYFUNCTION("IFERROR(GOOGLEFINANCE(B4244,""changepct""),K4244)"),3.16)</f>
        <v>3.16</v>
      </c>
      <c r="M4244" s="6">
        <f ca="1">IFERROR(__xludf.DUMMYFUNCTION("IFERROR(GOOGLEFINANCE(B4244,""change""),0)"),0)</f>
        <v>0</v>
      </c>
      <c r="N4244" s="6">
        <v>2</v>
      </c>
      <c r="O4244" s="7">
        <v>45536</v>
      </c>
      <c r="P4244" s="6">
        <v>24.1</v>
      </c>
      <c r="Q4244" s="6">
        <v>58.32</v>
      </c>
      <c r="R4244" s="7">
        <v>45536</v>
      </c>
      <c r="S4244" s="6">
        <v>53.02</v>
      </c>
      <c r="T4244" s="6">
        <v>0.47</v>
      </c>
      <c r="U4244" s="7">
        <v>45536</v>
      </c>
      <c r="V4244" s="6">
        <v>72.19</v>
      </c>
      <c r="W4244" s="6">
        <f ca="1">IFERROR(__xludf.DUMMYFUNCTION("IFERROR(GOOGLEFINANCE(B4244,""pe""),V4244)"),72.19)</f>
        <v>72.19</v>
      </c>
      <c r="X4244" s="6">
        <v>-1.79</v>
      </c>
      <c r="Y4244" s="6">
        <v>0.57999999999999996</v>
      </c>
      <c r="Z4244" s="6">
        <v>2</v>
      </c>
      <c r="AA4244" s="8">
        <v>45352</v>
      </c>
      <c r="AB4244" s="4">
        <v>0.42</v>
      </c>
      <c r="AC4244" s="6">
        <v>0.16</v>
      </c>
      <c r="AD4244" s="6">
        <v>2.68</v>
      </c>
      <c r="AE4244" s="1">
        <v>0</v>
      </c>
      <c r="AF4244" s="1">
        <f ca="1">IFERROR(__xludf.DUMMYFUNCTION("IFERROR(GOOGLEFINANCE(TRIM(F4244)&amp;"":"" &amp; TRIM(B4244),""high52""),AE4244)"),0)</f>
        <v>0</v>
      </c>
      <c r="AG4244" s="1">
        <v>0</v>
      </c>
      <c r="AH4244" s="1">
        <f ca="1">IFERROR(__xludf.DUMMYFUNCTION("IFERROR(GOOGLEFINANCE(TRIM(F4244)&amp;"":"" &amp; TRIM(B4244),""low52""),AE4244)"),0)</f>
        <v>0</v>
      </c>
      <c r="AI4244" s="1">
        <f ca="1">IFERROR(__xludf.DUMMYFUNCTION("IFERROR(GOOGLEFINANCE(B4244,""eps""),0)"),0)</f>
        <v>0</v>
      </c>
      <c r="AJ4244" s="1"/>
      <c r="AK4244" s="1" t="s">
        <v>12876</v>
      </c>
      <c r="AL4244" s="9">
        <f t="shared" si="388"/>
        <v>1</v>
      </c>
    </row>
    <row r="4245" spans="1:38" ht="15" x14ac:dyDescent="0.25">
      <c r="A4245" s="1" t="s">
        <v>12877</v>
      </c>
      <c r="B4245" s="1" t="s">
        <v>12878</v>
      </c>
      <c r="C4245" s="1" t="s">
        <v>227</v>
      </c>
      <c r="D4245" s="1" t="s">
        <v>227</v>
      </c>
      <c r="E4245" s="6">
        <v>81.180000000000007</v>
      </c>
      <c r="F4245" s="1" t="s">
        <v>53</v>
      </c>
      <c r="G4245" s="6">
        <f ca="1">IFERROR(__xludf.DUMMYFUNCTION("iferror(GOOGLEFINANCE(TRIM(F4245)&amp;"":"" &amp; TRIM(B4245), ""price""),0
)"),0)</f>
        <v>0</v>
      </c>
      <c r="H4245" s="6">
        <v>83.24</v>
      </c>
      <c r="I4245" s="6">
        <f t="shared" ca="1" si="0"/>
        <v>83.24</v>
      </c>
      <c r="J4245" s="6">
        <f ca="1">IFERROR(__xludf.DUMMYFUNCTION("IFERROR(GOOGLEFINANCE(B4245, ""volume""), 0)"),0)</f>
        <v>0</v>
      </c>
      <c r="K4245" s="6">
        <v>0.8</v>
      </c>
      <c r="L4245" s="6">
        <f ca="1">IFERROR(__xludf.DUMMYFUNCTION("IFERROR(GOOGLEFINANCE(B4245,""changepct""),K4245)"),0.8)</f>
        <v>0.8</v>
      </c>
      <c r="M4245" s="6">
        <f ca="1">IFERROR(__xludf.DUMMYFUNCTION("IFERROR(GOOGLEFINANCE(B4245,""change""),0)"),0)</f>
        <v>0</v>
      </c>
      <c r="N4245" s="6">
        <v>1</v>
      </c>
      <c r="O4245" s="7">
        <v>45536</v>
      </c>
      <c r="P4245" s="6">
        <v>3.07</v>
      </c>
      <c r="Q4245" s="6">
        <v>84.25</v>
      </c>
      <c r="R4245" s="7">
        <v>45536</v>
      </c>
      <c r="S4245" s="6">
        <v>46.97</v>
      </c>
      <c r="T4245" s="6">
        <v>4.74</v>
      </c>
      <c r="U4245" s="7">
        <v>45536</v>
      </c>
      <c r="V4245" s="6">
        <v>17.13</v>
      </c>
      <c r="W4245" s="6">
        <f ca="1">IFERROR(__xludf.DUMMYFUNCTION("IFERROR(GOOGLEFINANCE(B4245,""pe""),V4245)"),17.13)</f>
        <v>17.13</v>
      </c>
      <c r="X4245" s="6">
        <v>0.27</v>
      </c>
      <c r="Y4245" s="6">
        <v>2.76</v>
      </c>
      <c r="Z4245" s="6">
        <v>1</v>
      </c>
      <c r="AA4245" s="8">
        <v>45352</v>
      </c>
      <c r="AB4245" s="4">
        <v>0.01</v>
      </c>
      <c r="AC4245" s="6">
        <v>5.51</v>
      </c>
      <c r="AD4245" s="6">
        <v>7.62</v>
      </c>
      <c r="AE4245" s="1">
        <v>0</v>
      </c>
      <c r="AF4245" s="1">
        <f ca="1">IFERROR(__xludf.DUMMYFUNCTION("IFERROR(GOOGLEFINANCE(TRIM(F4245)&amp;"":"" &amp; TRIM(B4245),""high52""),AE4245)"),0)</f>
        <v>0</v>
      </c>
      <c r="AG4245" s="1">
        <v>0</v>
      </c>
      <c r="AH4245" s="1">
        <f ca="1">IFERROR(__xludf.DUMMYFUNCTION("IFERROR(GOOGLEFINANCE(TRIM(F4245)&amp;"":"" &amp; TRIM(B4245),""low52""),AE4245)"),0)</f>
        <v>0</v>
      </c>
      <c r="AI4245" s="1">
        <f ca="1">IFERROR(__xludf.DUMMYFUNCTION("IFERROR(GOOGLEFINANCE(B4245,""eps""),0)"),0)</f>
        <v>0</v>
      </c>
      <c r="AJ4245" s="1"/>
      <c r="AK4245" s="1" t="s">
        <v>12879</v>
      </c>
      <c r="AL4245" s="9">
        <f t="shared" si="388"/>
        <v>1</v>
      </c>
    </row>
    <row r="4246" spans="1:38" ht="15" x14ac:dyDescent="0.25">
      <c r="A4246" s="1" t="s">
        <v>12880</v>
      </c>
      <c r="B4246" s="1" t="s">
        <v>12881</v>
      </c>
      <c r="C4246" s="1" t="s">
        <v>57</v>
      </c>
      <c r="D4246" s="1" t="s">
        <v>57</v>
      </c>
      <c r="E4246" s="6">
        <v>616.4</v>
      </c>
      <c r="F4246" s="1" t="s">
        <v>40</v>
      </c>
      <c r="G4246" s="6">
        <f ca="1">IFERROR(__xludf.DUMMYFUNCTION("iferror(GOOGLEFINANCE(TRIM(F4246)&amp;"":"" &amp; TRIM(B4246), ""price""),0
)"),0)</f>
        <v>0</v>
      </c>
      <c r="H4246" s="6">
        <v>421.4</v>
      </c>
      <c r="I4246" s="6">
        <f t="shared" ca="1" si="0"/>
        <v>421.4</v>
      </c>
      <c r="J4246" s="6">
        <f ca="1">IFERROR(__xludf.DUMMYFUNCTION("IFERROR(GOOGLEFINANCE(B4246, ""volume""), 0)"),0)</f>
        <v>0</v>
      </c>
      <c r="K4246" s="6">
        <v>0.35</v>
      </c>
      <c r="L4246" s="6">
        <f ca="1">IFERROR(__xludf.DUMMYFUNCTION("IFERROR(GOOGLEFINANCE(B4246,""changepct""),K4246)"),0.35)</f>
        <v>0.35</v>
      </c>
      <c r="M4246" s="6">
        <f ca="1">IFERROR(__xludf.DUMMYFUNCTION("IFERROR(GOOGLEFINANCE(B4246,""change""),0)"),0)</f>
        <v>0</v>
      </c>
      <c r="N4246" s="6">
        <v>1</v>
      </c>
      <c r="O4246" s="7">
        <v>45536</v>
      </c>
      <c r="P4246" s="6">
        <v>17.61</v>
      </c>
      <c r="Q4246" s="6">
        <v>634.01</v>
      </c>
      <c r="R4246" s="7">
        <v>45352</v>
      </c>
      <c r="S4246" s="6">
        <v>45.99</v>
      </c>
      <c r="T4246" s="6">
        <v>9.84</v>
      </c>
      <c r="U4246" s="7">
        <v>45352</v>
      </c>
      <c r="V4246" s="6">
        <v>62.66</v>
      </c>
      <c r="W4246" s="6">
        <f ca="1">IFERROR(__xludf.DUMMYFUNCTION("IFERROR(GOOGLEFINANCE(B4246,""pe""),V4246)"),62.66)</f>
        <v>62.66</v>
      </c>
      <c r="X4246" s="9"/>
      <c r="Y4246" s="6">
        <v>8.33</v>
      </c>
      <c r="Z4246" s="6">
        <v>2</v>
      </c>
      <c r="AA4246" s="8">
        <v>45352</v>
      </c>
      <c r="AB4246" s="4">
        <v>0.18</v>
      </c>
      <c r="AC4246" s="6">
        <v>36.53</v>
      </c>
      <c r="AD4246" s="6">
        <v>32.64</v>
      </c>
      <c r="AE4246" s="1">
        <v>0</v>
      </c>
      <c r="AF4246" s="1">
        <f ca="1">IFERROR(__xludf.DUMMYFUNCTION("IFERROR(GOOGLEFINANCE(TRIM(F4246)&amp;"":"" &amp; TRIM(B4246),""high52""),AE4246)"),0)</f>
        <v>0</v>
      </c>
      <c r="AG4246" s="1">
        <v>0</v>
      </c>
      <c r="AH4246" s="1">
        <f ca="1">IFERROR(__xludf.DUMMYFUNCTION("IFERROR(GOOGLEFINANCE(TRIM(F4246)&amp;"":"" &amp; TRIM(B4246),""low52""),AE4246)"),0)</f>
        <v>0</v>
      </c>
      <c r="AI4246" s="1">
        <f ca="1">IFERROR(__xludf.DUMMYFUNCTION("IFERROR(GOOGLEFINANCE(B4246,""eps""),0)"),0)</f>
        <v>0</v>
      </c>
      <c r="AJ4246" s="1"/>
      <c r="AK4246" s="1" t="s">
        <v>12882</v>
      </c>
      <c r="AL4246" s="9">
        <f t="shared" si="388"/>
        <v>1</v>
      </c>
    </row>
    <row r="4247" spans="1:38" ht="15" x14ac:dyDescent="0.25">
      <c r="A4247" s="1" t="s">
        <v>12883</v>
      </c>
      <c r="B4247" s="1" t="s">
        <v>12884</v>
      </c>
      <c r="C4247" s="1" t="s">
        <v>227</v>
      </c>
      <c r="D4247" s="1" t="s">
        <v>227</v>
      </c>
      <c r="E4247" s="6">
        <v>5.1100000000000003</v>
      </c>
      <c r="F4247" s="1" t="s">
        <v>53</v>
      </c>
      <c r="G4247" s="6">
        <f ca="1">IFERROR(__xludf.DUMMYFUNCTION("iferror(GOOGLEFINANCE(TRIM(F4247)&amp;"":"" &amp; TRIM(B4247), ""price""),0
)"),0)</f>
        <v>0</v>
      </c>
      <c r="H4247" s="6">
        <v>12.01</v>
      </c>
      <c r="I4247" s="6">
        <f t="shared" ca="1" si="0"/>
        <v>12.01</v>
      </c>
      <c r="J4247" s="6">
        <f ca="1">IFERROR(__xludf.DUMMYFUNCTION("IFERROR(GOOGLEFINANCE(B4247, ""volume""), 0)"),0)</f>
        <v>0</v>
      </c>
      <c r="K4247" s="6">
        <v>-3.92</v>
      </c>
      <c r="L4247" s="6">
        <f ca="1">IFERROR(__xludf.DUMMYFUNCTION("IFERROR(GOOGLEFINANCE(B4247,""changepct""),K4247)"),0)</f>
        <v>0</v>
      </c>
      <c r="M4247" s="6">
        <f ca="1">IFERROR(__xludf.DUMMYFUNCTION("IFERROR(GOOGLEFINANCE(B4247,""change""),0)"),0)</f>
        <v>0</v>
      </c>
      <c r="N4247" s="6">
        <v>1</v>
      </c>
      <c r="O4247" s="7">
        <v>45536</v>
      </c>
      <c r="P4247" s="9"/>
      <c r="Q4247" s="6">
        <v>5.1100000000000003</v>
      </c>
      <c r="R4247" s="7">
        <v>45536</v>
      </c>
      <c r="S4247" s="6">
        <v>0.64</v>
      </c>
      <c r="T4247" s="6">
        <v>0.04</v>
      </c>
      <c r="U4247" s="7">
        <v>45536</v>
      </c>
      <c r="V4247" s="6">
        <v>121.75</v>
      </c>
      <c r="W4247" s="6">
        <f ca="1">IFERROR(__xludf.DUMMYFUNCTION("IFERROR(GOOGLEFINANCE(B4247,""pe""),V4247)"),121.75)</f>
        <v>121.75</v>
      </c>
      <c r="X4247" s="6">
        <v>19.54</v>
      </c>
      <c r="Y4247" s="6">
        <v>1.1299999999999999</v>
      </c>
      <c r="Z4247" s="6">
        <v>1</v>
      </c>
      <c r="AA4247" s="8">
        <v>45352</v>
      </c>
      <c r="AB4247" s="4">
        <v>0.17</v>
      </c>
      <c r="AC4247" s="6">
        <v>0.53</v>
      </c>
      <c r="AD4247" s="6">
        <v>0.64</v>
      </c>
      <c r="AE4247" s="1">
        <v>0</v>
      </c>
      <c r="AF4247" s="1">
        <f ca="1">IFERROR(__xludf.DUMMYFUNCTION("IFERROR(GOOGLEFINANCE(TRIM(F4247)&amp;"":"" &amp; TRIM(B4247),""high52""),AE4247)"),0)</f>
        <v>0</v>
      </c>
      <c r="AG4247" s="1">
        <v>0</v>
      </c>
      <c r="AH4247" s="1">
        <f ca="1">IFERROR(__xludf.DUMMYFUNCTION("IFERROR(GOOGLEFINANCE(TRIM(F4247)&amp;"":"" &amp; TRIM(B4247),""low52""),AE4247)"),0)</f>
        <v>0</v>
      </c>
      <c r="AI4247" s="1">
        <f ca="1">IFERROR(__xludf.DUMMYFUNCTION("IFERROR(GOOGLEFINANCE(B4247,""eps""),0)"),0)</f>
        <v>0</v>
      </c>
      <c r="AJ4247" s="1"/>
      <c r="AK4247" s="1" t="s">
        <v>12885</v>
      </c>
      <c r="AL4247" s="9">
        <f t="shared" si="388"/>
        <v>1</v>
      </c>
    </row>
    <row r="4248" spans="1:38" ht="15" x14ac:dyDescent="0.25">
      <c r="A4248" s="1" t="s">
        <v>12886</v>
      </c>
      <c r="B4248" s="1" t="s">
        <v>12887</v>
      </c>
      <c r="C4248" s="1" t="s">
        <v>227</v>
      </c>
      <c r="D4248" s="1" t="s">
        <v>227</v>
      </c>
      <c r="E4248" s="6">
        <v>8.6</v>
      </c>
      <c r="F4248" s="1" t="s">
        <v>53</v>
      </c>
      <c r="G4248" s="6">
        <f ca="1">IFERROR(__xludf.DUMMYFUNCTION("iferror(GOOGLEFINANCE(TRIM(F4248)&amp;"":"" &amp; TRIM(B4248), ""price""),0
)"),0)</f>
        <v>0</v>
      </c>
      <c r="H4248" s="6">
        <v>26</v>
      </c>
      <c r="I4248" s="6">
        <f t="shared" ca="1" si="0"/>
        <v>26</v>
      </c>
      <c r="J4248" s="6">
        <f ca="1">IFERROR(__xludf.DUMMYFUNCTION("IFERROR(GOOGLEFINANCE(B4248, ""volume""), 0)"),0)</f>
        <v>0</v>
      </c>
      <c r="K4248" s="6">
        <v>0</v>
      </c>
      <c r="L4248" s="6">
        <f ca="1">IFERROR(__xludf.DUMMYFUNCTION("IFERROR(GOOGLEFINANCE(B4248,""changepct""),K4248)"),0)</f>
        <v>0</v>
      </c>
      <c r="M4248" s="6">
        <f ca="1">IFERROR(__xludf.DUMMYFUNCTION("IFERROR(GOOGLEFINANCE(B4248,""change""),0)"),0)</f>
        <v>0</v>
      </c>
      <c r="N4248" s="6">
        <v>1</v>
      </c>
      <c r="O4248" s="7">
        <v>45536</v>
      </c>
      <c r="P4248" s="6">
        <v>0.4</v>
      </c>
      <c r="Q4248" s="6">
        <v>5.81</v>
      </c>
      <c r="R4248" s="7">
        <v>45536</v>
      </c>
      <c r="S4248" s="6">
        <v>4.4400000000000004</v>
      </c>
      <c r="T4248" s="6">
        <v>0.16</v>
      </c>
      <c r="U4248" s="7">
        <v>45536</v>
      </c>
      <c r="V4248" s="6">
        <v>53.07</v>
      </c>
      <c r="W4248" s="6">
        <f ca="1">IFERROR(__xludf.DUMMYFUNCTION("IFERROR(GOOGLEFINANCE(B4248,""pe""),V4248)"),53.07)</f>
        <v>53.07</v>
      </c>
      <c r="X4248" s="6">
        <v>2.58</v>
      </c>
      <c r="Y4248" s="6">
        <v>1.21</v>
      </c>
      <c r="Z4248" s="6">
        <v>1</v>
      </c>
      <c r="AA4248" s="8">
        <v>45352</v>
      </c>
      <c r="AB4248" s="4">
        <v>0.04</v>
      </c>
      <c r="AC4248" s="6">
        <v>4.4000000000000004</v>
      </c>
      <c r="AD4248" s="6">
        <v>5.75</v>
      </c>
      <c r="AE4248" s="1">
        <v>0</v>
      </c>
      <c r="AF4248" s="1">
        <f ca="1">IFERROR(__xludf.DUMMYFUNCTION("IFERROR(GOOGLEFINANCE(TRIM(F4248)&amp;"":"" &amp; TRIM(B4248),""high52""),AE4248)"),0)</f>
        <v>0</v>
      </c>
      <c r="AG4248" s="1">
        <v>0</v>
      </c>
      <c r="AH4248" s="1">
        <f ca="1">IFERROR(__xludf.DUMMYFUNCTION("IFERROR(GOOGLEFINANCE(TRIM(F4248)&amp;"":"" &amp; TRIM(B4248),""low52""),AE4248)"),0)</f>
        <v>0</v>
      </c>
      <c r="AI4248" s="1">
        <f ca="1">IFERROR(__xludf.DUMMYFUNCTION("IFERROR(GOOGLEFINANCE(B4248,""eps""),0)"),0)</f>
        <v>0</v>
      </c>
      <c r="AJ4248" s="1"/>
      <c r="AK4248" s="1" t="s">
        <v>12888</v>
      </c>
      <c r="AL4248" s="9">
        <f t="shared" si="388"/>
        <v>1</v>
      </c>
    </row>
    <row r="4249" spans="1:38" ht="15" x14ac:dyDescent="0.25">
      <c r="A4249" s="1" t="s">
        <v>12889</v>
      </c>
      <c r="B4249" s="1" t="s">
        <v>12890</v>
      </c>
      <c r="C4249" s="1" t="s">
        <v>227</v>
      </c>
      <c r="D4249" s="1" t="s">
        <v>227</v>
      </c>
      <c r="E4249" s="6">
        <v>928.36</v>
      </c>
      <c r="F4249" s="1" t="s">
        <v>53</v>
      </c>
      <c r="G4249" s="6">
        <f ca="1">IFERROR(__xludf.DUMMYFUNCTION("iferror(GOOGLEFINANCE(TRIM(F4249)&amp;"":"" &amp; TRIM(B4249), ""price""),0
)"),0)</f>
        <v>0</v>
      </c>
      <c r="H4249" s="6">
        <v>775</v>
      </c>
      <c r="I4249" s="6">
        <f t="shared" ca="1" si="0"/>
        <v>775</v>
      </c>
      <c r="J4249" s="6">
        <f ca="1">IFERROR(__xludf.DUMMYFUNCTION("IFERROR(GOOGLEFINANCE(B4249, ""volume""), 0)"),0)</f>
        <v>0</v>
      </c>
      <c r="K4249" s="9"/>
      <c r="L4249" s="6" t="str">
        <f ca="1">IFERROR(__xludf.DUMMYFUNCTION("IFERROR(GOOGLEFINANCE(B4249,""changepct""),K4249)"),"")</f>
        <v/>
      </c>
      <c r="M4249" s="6">
        <f ca="1">IFERROR(__xludf.DUMMYFUNCTION("IFERROR(GOOGLEFINANCE(B4249,""change""),0)"),0)</f>
        <v>0</v>
      </c>
      <c r="N4249" s="6">
        <v>1</v>
      </c>
      <c r="O4249" s="7">
        <v>45536</v>
      </c>
      <c r="P4249" s="9"/>
      <c r="Q4249" s="6">
        <v>928.36</v>
      </c>
      <c r="R4249" s="7">
        <v>45536</v>
      </c>
      <c r="S4249" s="6">
        <v>0.2</v>
      </c>
      <c r="T4249" s="6">
        <v>-0.13</v>
      </c>
      <c r="U4249" s="7">
        <v>45536</v>
      </c>
      <c r="V4249" s="6">
        <v>0</v>
      </c>
      <c r="W4249" s="6">
        <f ca="1">IFERROR(__xludf.DUMMYFUNCTION("IFERROR(GOOGLEFINANCE(B4249,""pe""),V4249)"),0)</f>
        <v>0</v>
      </c>
      <c r="X4249" s="9"/>
      <c r="Y4249" s="6">
        <v>65.14</v>
      </c>
      <c r="Z4249" s="6">
        <v>1</v>
      </c>
      <c r="AA4249" s="8">
        <v>45352</v>
      </c>
      <c r="AB4249" s="4">
        <v>0</v>
      </c>
      <c r="AC4249" s="6">
        <v>-7.53</v>
      </c>
      <c r="AD4249" s="6">
        <v>-7.45</v>
      </c>
      <c r="AE4249" s="1">
        <v>0</v>
      </c>
      <c r="AF4249" s="1">
        <f ca="1">IFERROR(__xludf.DUMMYFUNCTION("IFERROR(GOOGLEFINANCE(TRIM(F4249)&amp;"":"" &amp; TRIM(B4249),""high52""),AE4249)"),0)</f>
        <v>0</v>
      </c>
      <c r="AG4249" s="1">
        <v>0</v>
      </c>
      <c r="AH4249" s="1">
        <f ca="1">IFERROR(__xludf.DUMMYFUNCTION("IFERROR(GOOGLEFINANCE(TRIM(F4249)&amp;"":"" &amp; TRIM(B4249),""low52""),AE4249)"),0)</f>
        <v>0</v>
      </c>
      <c r="AI4249" s="1">
        <f ca="1">IFERROR(__xludf.DUMMYFUNCTION("IFERROR(GOOGLEFINANCE(B4249,""eps""),0)"),0)</f>
        <v>0</v>
      </c>
      <c r="AJ4249" s="1"/>
      <c r="AK4249" s="1" t="s">
        <v>12891</v>
      </c>
      <c r="AL4249" s="9">
        <f t="shared" si="388"/>
        <v>1</v>
      </c>
    </row>
    <row r="4250" spans="1:38" ht="15" x14ac:dyDescent="0.25">
      <c r="A4250" s="1" t="s">
        <v>12892</v>
      </c>
      <c r="B4250" s="1" t="s">
        <v>12893</v>
      </c>
      <c r="C4250" s="1" t="s">
        <v>227</v>
      </c>
      <c r="D4250" s="1" t="s">
        <v>227</v>
      </c>
      <c r="E4250" s="6">
        <v>143.18</v>
      </c>
      <c r="F4250" s="1" t="s">
        <v>53</v>
      </c>
      <c r="G4250" s="6">
        <f ca="1">IFERROR(__xludf.DUMMYFUNCTION("iferror(GOOGLEFINANCE(TRIM(F4250)&amp;"":"" &amp; TRIM(B4250), ""price""),0
)"),0)</f>
        <v>0</v>
      </c>
      <c r="H4250" s="6">
        <v>156.19999999999999</v>
      </c>
      <c r="I4250" s="6">
        <f t="shared" ca="1" si="0"/>
        <v>156.19999999999999</v>
      </c>
      <c r="J4250" s="6">
        <f ca="1">IFERROR(__xludf.DUMMYFUNCTION("IFERROR(GOOGLEFINANCE(B4250, ""volume""), 0)"),0)</f>
        <v>0</v>
      </c>
      <c r="K4250" s="6">
        <v>-1.23</v>
      </c>
      <c r="L4250" s="6">
        <f ca="1">IFERROR(__xludf.DUMMYFUNCTION("IFERROR(GOOGLEFINANCE(B4250,""changepct""),K4250)"),-1.23)</f>
        <v>-1.23</v>
      </c>
      <c r="M4250" s="6">
        <f ca="1">IFERROR(__xludf.DUMMYFUNCTION("IFERROR(GOOGLEFINANCE(B4250,""change""),0)"),0)</f>
        <v>0</v>
      </c>
      <c r="N4250" s="6">
        <v>1</v>
      </c>
      <c r="O4250" s="7">
        <v>45536</v>
      </c>
      <c r="P4250" s="6">
        <v>61.99</v>
      </c>
      <c r="Q4250" s="6">
        <v>205.17</v>
      </c>
      <c r="R4250" s="7">
        <v>45536</v>
      </c>
      <c r="S4250" s="6">
        <v>21.57</v>
      </c>
      <c r="T4250" s="6">
        <v>2.95</v>
      </c>
      <c r="U4250" s="7">
        <v>45536</v>
      </c>
      <c r="V4250" s="6">
        <v>48.57</v>
      </c>
      <c r="W4250" s="6">
        <f ca="1">IFERROR(__xludf.DUMMYFUNCTION("IFERROR(GOOGLEFINANCE(B4250,""pe""),V4250)"),48.57)</f>
        <v>48.57</v>
      </c>
      <c r="X4250" s="6">
        <v>1.78</v>
      </c>
      <c r="Y4250" s="6">
        <v>3.14</v>
      </c>
      <c r="Z4250" s="6">
        <v>1</v>
      </c>
      <c r="AA4250" s="8">
        <v>45352</v>
      </c>
      <c r="AB4250" s="4">
        <v>1.21</v>
      </c>
      <c r="AC4250" s="6">
        <v>4.92</v>
      </c>
      <c r="AD4250" s="6">
        <v>3.56</v>
      </c>
      <c r="AE4250" s="1">
        <v>0</v>
      </c>
      <c r="AF4250" s="1">
        <f ca="1">IFERROR(__xludf.DUMMYFUNCTION("IFERROR(GOOGLEFINANCE(TRIM(F4250)&amp;"":"" &amp; TRIM(B4250),""high52""),AE4250)"),0)</f>
        <v>0</v>
      </c>
      <c r="AG4250" s="1">
        <v>0</v>
      </c>
      <c r="AH4250" s="1">
        <f ca="1">IFERROR(__xludf.DUMMYFUNCTION("IFERROR(GOOGLEFINANCE(TRIM(F4250)&amp;"":"" &amp; TRIM(B4250),""low52""),AE4250)"),0)</f>
        <v>0</v>
      </c>
      <c r="AI4250" s="1">
        <f ca="1">IFERROR(__xludf.DUMMYFUNCTION("IFERROR(GOOGLEFINANCE(B4250,""eps""),0)"),0)</f>
        <v>0</v>
      </c>
      <c r="AJ4250" s="1"/>
      <c r="AK4250" s="9"/>
      <c r="AL4250" s="9">
        <f t="shared" si="388"/>
        <v>1</v>
      </c>
    </row>
    <row r="4251" spans="1:38" ht="15" x14ac:dyDescent="0.25">
      <c r="A4251" s="1" t="s">
        <v>12894</v>
      </c>
      <c r="B4251" s="1" t="s">
        <v>12895</v>
      </c>
      <c r="C4251" s="1" t="s">
        <v>227</v>
      </c>
      <c r="D4251" s="1" t="s">
        <v>227</v>
      </c>
      <c r="E4251" s="6">
        <v>1556.93</v>
      </c>
      <c r="F4251" s="1" t="s">
        <v>40</v>
      </c>
      <c r="G4251" s="6">
        <f ca="1">IFERROR(__xludf.DUMMYFUNCTION("iferror(GOOGLEFINANCE(TRIM(F4251)&amp;"":"" &amp; TRIM(B4251), ""price""),0
)"),145.55)</f>
        <v>145.55000000000001</v>
      </c>
      <c r="H4251" s="6">
        <v>130.38999999999999</v>
      </c>
      <c r="I4251" s="6">
        <f t="shared" ca="1" si="0"/>
        <v>145.55000000000001</v>
      </c>
      <c r="J4251" s="6">
        <f ca="1">IFERROR(__xludf.DUMMYFUNCTION("IFERROR(GOOGLEFINANCE(B4251, ""volume""), 0)"),1921073)</f>
        <v>1921073</v>
      </c>
      <c r="K4251" s="6">
        <v>3.29</v>
      </c>
      <c r="L4251" s="6">
        <f ca="1">IFERROR(__xludf.DUMMYFUNCTION("IFERROR(GOOGLEFINANCE(B4251,""changepct""),K4251)"),-2.66)</f>
        <v>-2.66</v>
      </c>
      <c r="M4251" s="6">
        <f ca="1">IFERROR(__xludf.DUMMYFUNCTION("IFERROR(GOOGLEFINANCE(B4251,""change""),0)"),-3.98)</f>
        <v>-3.98</v>
      </c>
      <c r="N4251" s="6">
        <v>2</v>
      </c>
      <c r="O4251" s="7">
        <v>45536</v>
      </c>
      <c r="P4251" s="6">
        <v>93.47</v>
      </c>
      <c r="Q4251" s="6">
        <v>1650.4</v>
      </c>
      <c r="R4251" s="7">
        <v>45536</v>
      </c>
      <c r="S4251" s="6">
        <v>195.26</v>
      </c>
      <c r="T4251" s="6">
        <v>19.95</v>
      </c>
      <c r="U4251" s="7">
        <v>45536</v>
      </c>
      <c r="V4251" s="6">
        <v>78.05</v>
      </c>
      <c r="W4251" s="6">
        <f ca="1">IFERROR(__xludf.DUMMYFUNCTION("IFERROR(GOOGLEFINANCE(B4251,""pe""),V4251)"),32.36)</f>
        <v>32.36</v>
      </c>
      <c r="X4251" s="9"/>
      <c r="Y4251" s="6">
        <v>6.22</v>
      </c>
      <c r="Z4251" s="6">
        <v>2</v>
      </c>
      <c r="AA4251" s="8">
        <v>45352</v>
      </c>
      <c r="AB4251" s="4">
        <v>0.68</v>
      </c>
      <c r="AC4251" s="6">
        <v>10.33</v>
      </c>
      <c r="AD4251" s="6">
        <v>9.6300000000000008</v>
      </c>
      <c r="AE4251" s="1">
        <v>0</v>
      </c>
      <c r="AF4251" s="1">
        <f ca="1">IFERROR(__xludf.DUMMYFUNCTION("IFERROR(GOOGLEFINANCE(TRIM(F4251)&amp;"":"" &amp; TRIM(B4251),""high52""),AE4251)"),179.85)</f>
        <v>179.85</v>
      </c>
      <c r="AG4251" s="1">
        <v>0</v>
      </c>
      <c r="AH4251" s="1">
        <f ca="1">IFERROR(__xludf.DUMMYFUNCTION("IFERROR(GOOGLEFINANCE(TRIM(F4251)&amp;"":"" &amp; TRIM(B4251),""low52""),AE4251)"),75)</f>
        <v>75</v>
      </c>
      <c r="AI4251" s="1">
        <f ca="1">IFERROR(__xludf.DUMMYFUNCTION("IFERROR(GOOGLEFINANCE(B4251,""eps""),0)"),4.5)</f>
        <v>4.5</v>
      </c>
      <c r="AJ4251" s="1"/>
      <c r="AK4251" s="1" t="s">
        <v>12896</v>
      </c>
      <c r="AL4251" s="9">
        <f t="shared" si="388"/>
        <v>1</v>
      </c>
    </row>
    <row r="4252" spans="1:38" ht="15" x14ac:dyDescent="0.25">
      <c r="A4252" s="1" t="s">
        <v>12897</v>
      </c>
      <c r="B4252" s="1" t="s">
        <v>12898</v>
      </c>
      <c r="C4252" s="1" t="s">
        <v>227</v>
      </c>
      <c r="D4252" s="1" t="s">
        <v>227</v>
      </c>
      <c r="E4252" s="6">
        <v>49.87</v>
      </c>
      <c r="F4252" s="1" t="s">
        <v>53</v>
      </c>
      <c r="G4252" s="6">
        <f ca="1">IFERROR(__xludf.DUMMYFUNCTION("iferror(GOOGLEFINANCE(TRIM(F4252)&amp;"":"" &amp; TRIM(B4252), ""price""),0
)"),0)</f>
        <v>0</v>
      </c>
      <c r="H4252" s="6">
        <v>25.78</v>
      </c>
      <c r="I4252" s="6">
        <f t="shared" ca="1" si="0"/>
        <v>25.78</v>
      </c>
      <c r="J4252" s="6">
        <f ca="1">IFERROR(__xludf.DUMMYFUNCTION("IFERROR(GOOGLEFINANCE(B4252, ""volume""), 0)"),0)</f>
        <v>0</v>
      </c>
      <c r="K4252" s="6">
        <v>-4.41</v>
      </c>
      <c r="L4252" s="6">
        <f ca="1">IFERROR(__xludf.DUMMYFUNCTION("IFERROR(GOOGLEFINANCE(B4252,""changepct""),K4252)"),-4.41)</f>
        <v>-4.41</v>
      </c>
      <c r="M4252" s="6">
        <f ca="1">IFERROR(__xludf.DUMMYFUNCTION("IFERROR(GOOGLEFINANCE(B4252,""change""),0)"),0)</f>
        <v>0</v>
      </c>
      <c r="N4252" s="6">
        <v>1</v>
      </c>
      <c r="O4252" s="7">
        <v>45536</v>
      </c>
      <c r="P4252" s="6">
        <v>90.03</v>
      </c>
      <c r="Q4252" s="6">
        <v>118.75</v>
      </c>
      <c r="R4252" s="7">
        <v>45536</v>
      </c>
      <c r="S4252" s="6">
        <v>842.11</v>
      </c>
      <c r="T4252" s="6">
        <v>-1.37</v>
      </c>
      <c r="U4252" s="7">
        <v>45536</v>
      </c>
      <c r="V4252" s="6">
        <v>0</v>
      </c>
      <c r="W4252" s="6">
        <f ca="1">IFERROR(__xludf.DUMMYFUNCTION("IFERROR(GOOGLEFINANCE(B4252,""pe""),V4252)"),0)</f>
        <v>0</v>
      </c>
      <c r="X4252" s="6">
        <v>0</v>
      </c>
      <c r="Y4252" s="6">
        <v>1.08</v>
      </c>
      <c r="Z4252" s="6">
        <v>1</v>
      </c>
      <c r="AA4252" s="8">
        <v>45352</v>
      </c>
      <c r="AB4252" s="4">
        <v>1.22</v>
      </c>
      <c r="AC4252" s="6">
        <v>1.66</v>
      </c>
      <c r="AD4252" s="6">
        <v>7.17</v>
      </c>
      <c r="AE4252" s="1">
        <v>0</v>
      </c>
      <c r="AF4252" s="1">
        <f ca="1">IFERROR(__xludf.DUMMYFUNCTION("IFERROR(GOOGLEFINANCE(TRIM(F4252)&amp;"":"" &amp; TRIM(B4252),""high52""),AE4252)"),0)</f>
        <v>0</v>
      </c>
      <c r="AG4252" s="1">
        <v>0</v>
      </c>
      <c r="AH4252" s="1">
        <f ca="1">IFERROR(__xludf.DUMMYFUNCTION("IFERROR(GOOGLEFINANCE(TRIM(F4252)&amp;"":"" &amp; TRIM(B4252),""low52""),AE4252)"),0)</f>
        <v>0</v>
      </c>
      <c r="AI4252" s="1">
        <f ca="1">IFERROR(__xludf.DUMMYFUNCTION("IFERROR(GOOGLEFINANCE(B4252,""eps""),0)"),0)</f>
        <v>0</v>
      </c>
      <c r="AJ4252" s="1"/>
      <c r="AK4252" s="1" t="s">
        <v>12899</v>
      </c>
      <c r="AL4252" s="9">
        <f t="shared" si="388"/>
        <v>1</v>
      </c>
    </row>
    <row r="4253" spans="1:38" ht="15" x14ac:dyDescent="0.25">
      <c r="A4253" s="1" t="s">
        <v>12900</v>
      </c>
      <c r="B4253" s="1" t="s">
        <v>12901</v>
      </c>
      <c r="C4253" s="1" t="s">
        <v>227</v>
      </c>
      <c r="D4253" s="1" t="s">
        <v>227</v>
      </c>
      <c r="E4253" s="6">
        <v>194.93</v>
      </c>
      <c r="F4253" s="1" t="s">
        <v>53</v>
      </c>
      <c r="G4253" s="6">
        <f ca="1">IFERROR(__xludf.DUMMYFUNCTION("iferror(GOOGLEFINANCE(TRIM(F4253)&amp;"":"" &amp; TRIM(B4253), ""price""),0
)"),0)</f>
        <v>0</v>
      </c>
      <c r="H4253" s="6">
        <v>89.51</v>
      </c>
      <c r="I4253" s="6">
        <f t="shared" ca="1" si="0"/>
        <v>89.51</v>
      </c>
      <c r="J4253" s="6">
        <f ca="1">IFERROR(__xludf.DUMMYFUNCTION("IFERROR(GOOGLEFINANCE(B4253, ""volume""), 0)"),0)</f>
        <v>0</v>
      </c>
      <c r="K4253" s="6">
        <v>1.99</v>
      </c>
      <c r="L4253" s="6">
        <f ca="1">IFERROR(__xludf.DUMMYFUNCTION("IFERROR(GOOGLEFINANCE(B4253,""changepct""),K4253)"),1.99)</f>
        <v>1.99</v>
      </c>
      <c r="M4253" s="6">
        <f ca="1">IFERROR(__xludf.DUMMYFUNCTION("IFERROR(GOOGLEFINANCE(B4253,""change""),0)"),0)</f>
        <v>0</v>
      </c>
      <c r="N4253" s="6">
        <v>1</v>
      </c>
      <c r="O4253" s="7">
        <v>45536</v>
      </c>
      <c r="P4253" s="6">
        <v>2.81</v>
      </c>
      <c r="Q4253" s="6">
        <v>197.74</v>
      </c>
      <c r="R4253" s="7">
        <v>45536</v>
      </c>
      <c r="S4253" s="6">
        <v>27.63</v>
      </c>
      <c r="T4253" s="6">
        <v>4.1100000000000003</v>
      </c>
      <c r="U4253" s="7">
        <v>45536</v>
      </c>
      <c r="V4253" s="6">
        <v>47.42</v>
      </c>
      <c r="W4253" s="6">
        <f ca="1">IFERROR(__xludf.DUMMYFUNCTION("IFERROR(GOOGLEFINANCE(B4253,""pe""),V4253)"),47.42)</f>
        <v>47.42</v>
      </c>
      <c r="X4253" s="6">
        <v>0.26</v>
      </c>
      <c r="Y4253" s="6">
        <v>2.14</v>
      </c>
      <c r="Z4253" s="6">
        <v>1</v>
      </c>
      <c r="AA4253" s="8">
        <v>45352</v>
      </c>
      <c r="AB4253" s="4">
        <v>7.0000000000000007E-2</v>
      </c>
      <c r="AC4253" s="6">
        <v>1.1200000000000001</v>
      </c>
      <c r="AD4253" s="6">
        <v>0.96</v>
      </c>
      <c r="AE4253" s="1">
        <v>0</v>
      </c>
      <c r="AF4253" s="1">
        <f ca="1">IFERROR(__xludf.DUMMYFUNCTION("IFERROR(GOOGLEFINANCE(TRIM(F4253)&amp;"":"" &amp; TRIM(B4253),""high52""),AE4253)"),0)</f>
        <v>0</v>
      </c>
      <c r="AG4253" s="1">
        <v>0</v>
      </c>
      <c r="AH4253" s="1">
        <f ca="1">IFERROR(__xludf.DUMMYFUNCTION("IFERROR(GOOGLEFINANCE(TRIM(F4253)&amp;"":"" &amp; TRIM(B4253),""low52""),AE4253)"),0)</f>
        <v>0</v>
      </c>
      <c r="AI4253" s="1">
        <f ca="1">IFERROR(__xludf.DUMMYFUNCTION("IFERROR(GOOGLEFINANCE(B4253,""eps""),0)"),0)</f>
        <v>0</v>
      </c>
      <c r="AJ4253" s="1"/>
      <c r="AK4253" s="1" t="s">
        <v>12902</v>
      </c>
      <c r="AL4253" s="9">
        <f t="shared" si="388"/>
        <v>1</v>
      </c>
    </row>
    <row r="4254" spans="1:38" ht="15" x14ac:dyDescent="0.25">
      <c r="A4254" s="1" t="s">
        <v>12903</v>
      </c>
      <c r="B4254" s="1" t="s">
        <v>12904</v>
      </c>
      <c r="C4254" s="1" t="s">
        <v>227</v>
      </c>
      <c r="D4254" s="1" t="s">
        <v>227</v>
      </c>
      <c r="E4254" s="6">
        <v>7.35</v>
      </c>
      <c r="F4254" s="1" t="s">
        <v>53</v>
      </c>
      <c r="G4254" s="6">
        <f ca="1">IFERROR(__xludf.DUMMYFUNCTION("iferror(GOOGLEFINANCE(TRIM(F4254)&amp;"":"" &amp; TRIM(B4254), ""price""),0
)"),0)</f>
        <v>0</v>
      </c>
      <c r="H4254" s="6">
        <v>8</v>
      </c>
      <c r="I4254" s="6">
        <f t="shared" ca="1" si="0"/>
        <v>8</v>
      </c>
      <c r="J4254" s="6">
        <f ca="1">IFERROR(__xludf.DUMMYFUNCTION("IFERROR(GOOGLEFINANCE(B4254, ""volume""), 0)"),0)</f>
        <v>0</v>
      </c>
      <c r="K4254" s="6">
        <v>10.039999999999999</v>
      </c>
      <c r="L4254" s="6">
        <f ca="1">IFERROR(__xludf.DUMMYFUNCTION("IFERROR(GOOGLEFINANCE(B4254,""changepct""),K4254)"),10.04)</f>
        <v>10.039999999999999</v>
      </c>
      <c r="M4254" s="6">
        <f ca="1">IFERROR(__xludf.DUMMYFUNCTION("IFERROR(GOOGLEFINANCE(B4254,""change""),0)"),0)</f>
        <v>0</v>
      </c>
      <c r="N4254" s="6">
        <v>1</v>
      </c>
      <c r="O4254" s="7">
        <v>45536</v>
      </c>
      <c r="P4254" s="6">
        <v>6.67</v>
      </c>
      <c r="Q4254" s="6">
        <v>14.02</v>
      </c>
      <c r="R4254" s="7">
        <v>45536</v>
      </c>
      <c r="S4254" s="6">
        <v>11.71</v>
      </c>
      <c r="T4254" s="6">
        <v>-0.18</v>
      </c>
      <c r="U4254" s="7">
        <v>45536</v>
      </c>
      <c r="V4254" s="6">
        <v>0</v>
      </c>
      <c r="W4254" s="6">
        <f ca="1">IFERROR(__xludf.DUMMYFUNCTION("IFERROR(GOOGLEFINANCE(B4254,""pe""),V4254)"),0)</f>
        <v>0</v>
      </c>
      <c r="X4254" s="6">
        <v>0</v>
      </c>
      <c r="Y4254" s="6">
        <v>0.56000000000000005</v>
      </c>
      <c r="Z4254" s="6">
        <v>1</v>
      </c>
      <c r="AA4254" s="8">
        <v>45352</v>
      </c>
      <c r="AB4254" s="4">
        <v>0.5</v>
      </c>
      <c r="AC4254" s="6">
        <v>1.96</v>
      </c>
      <c r="AD4254" s="6">
        <v>2.97</v>
      </c>
      <c r="AE4254" s="1">
        <v>0</v>
      </c>
      <c r="AF4254" s="1">
        <f ca="1">IFERROR(__xludf.DUMMYFUNCTION("IFERROR(GOOGLEFINANCE(TRIM(F4254)&amp;"":"" &amp; TRIM(B4254),""high52""),AE4254)"),0)</f>
        <v>0</v>
      </c>
      <c r="AG4254" s="1">
        <v>0</v>
      </c>
      <c r="AH4254" s="1">
        <f ca="1">IFERROR(__xludf.DUMMYFUNCTION("IFERROR(GOOGLEFINANCE(TRIM(F4254)&amp;"":"" &amp; TRIM(B4254),""low52""),AE4254)"),0)</f>
        <v>0</v>
      </c>
      <c r="AI4254" s="1">
        <f ca="1">IFERROR(__xludf.DUMMYFUNCTION("IFERROR(GOOGLEFINANCE(B4254,""eps""),0)"),0)</f>
        <v>0</v>
      </c>
      <c r="AJ4254" s="1"/>
      <c r="AK4254" s="1" t="s">
        <v>12905</v>
      </c>
      <c r="AL4254" s="9">
        <f t="shared" si="388"/>
        <v>1</v>
      </c>
    </row>
    <row r="4255" spans="1:38" ht="15" x14ac:dyDescent="0.25">
      <c r="A4255" s="1" t="s">
        <v>12906</v>
      </c>
      <c r="B4255" s="1" t="s">
        <v>12907</v>
      </c>
      <c r="C4255" s="1" t="s">
        <v>227</v>
      </c>
      <c r="D4255" s="1" t="s">
        <v>227</v>
      </c>
      <c r="E4255" s="6">
        <v>6.86</v>
      </c>
      <c r="F4255" s="1" t="s">
        <v>53</v>
      </c>
      <c r="G4255" s="6">
        <f ca="1">IFERROR(__xludf.DUMMYFUNCTION("iferror(GOOGLEFINANCE(TRIM(F4255)&amp;"":"" &amp; TRIM(B4255), ""price""),0
)"),0)</f>
        <v>0</v>
      </c>
      <c r="H4255" s="6">
        <v>12.29</v>
      </c>
      <c r="I4255" s="6">
        <f t="shared" ca="1" si="0"/>
        <v>12.29</v>
      </c>
      <c r="J4255" s="6">
        <f ca="1">IFERROR(__xludf.DUMMYFUNCTION("IFERROR(GOOGLEFINANCE(B4255, ""volume""), 0)"),0)</f>
        <v>0</v>
      </c>
      <c r="K4255" s="6">
        <v>-1.99</v>
      </c>
      <c r="L4255" s="6">
        <f ca="1">IFERROR(__xludf.DUMMYFUNCTION("IFERROR(GOOGLEFINANCE(B4255,""changepct""),K4255)"),-1.99)</f>
        <v>-1.99</v>
      </c>
      <c r="M4255" s="6">
        <f ca="1">IFERROR(__xludf.DUMMYFUNCTION("IFERROR(GOOGLEFINANCE(B4255,""change""),0)"),0)</f>
        <v>0</v>
      </c>
      <c r="N4255" s="6">
        <v>1</v>
      </c>
      <c r="O4255" s="7">
        <v>45536</v>
      </c>
      <c r="P4255" s="9"/>
      <c r="Q4255" s="6">
        <v>6.82</v>
      </c>
      <c r="R4255" s="7">
        <v>45536</v>
      </c>
      <c r="S4255" s="6">
        <v>0.79</v>
      </c>
      <c r="T4255" s="6">
        <v>-0.19</v>
      </c>
      <c r="U4255" s="7">
        <v>45536</v>
      </c>
      <c r="V4255" s="6">
        <v>0</v>
      </c>
      <c r="W4255" s="6">
        <f ca="1">IFERROR(__xludf.DUMMYFUNCTION("IFERROR(GOOGLEFINANCE(B4255,""pe""),V4255)"),0)</f>
        <v>0</v>
      </c>
      <c r="X4255" s="6">
        <v>0</v>
      </c>
      <c r="Y4255" s="6">
        <v>13.37</v>
      </c>
      <c r="Z4255" s="6">
        <v>1</v>
      </c>
      <c r="AA4255" s="8">
        <v>45352</v>
      </c>
      <c r="AB4255" s="4">
        <v>0</v>
      </c>
      <c r="AC4255" s="6">
        <v>8.66</v>
      </c>
      <c r="AD4255" s="6">
        <v>3.84</v>
      </c>
      <c r="AE4255" s="1">
        <v>0</v>
      </c>
      <c r="AF4255" s="1">
        <f ca="1">IFERROR(__xludf.DUMMYFUNCTION("IFERROR(GOOGLEFINANCE(TRIM(F4255)&amp;"":"" &amp; TRIM(B4255),""high52""),AE4255)"),0)</f>
        <v>0</v>
      </c>
      <c r="AG4255" s="1">
        <v>0</v>
      </c>
      <c r="AH4255" s="1">
        <f ca="1">IFERROR(__xludf.DUMMYFUNCTION("IFERROR(GOOGLEFINANCE(TRIM(F4255)&amp;"":"" &amp; TRIM(B4255),""low52""),AE4255)"),0)</f>
        <v>0</v>
      </c>
      <c r="AI4255" s="1">
        <f ca="1">IFERROR(__xludf.DUMMYFUNCTION("IFERROR(GOOGLEFINANCE(B4255,""eps""),0)"),0)</f>
        <v>0</v>
      </c>
      <c r="AJ4255" s="1"/>
      <c r="AK4255" s="1" t="s">
        <v>12908</v>
      </c>
      <c r="AL4255" s="9">
        <f t="shared" si="388"/>
        <v>1</v>
      </c>
    </row>
    <row r="4256" spans="1:38" ht="15" x14ac:dyDescent="0.25">
      <c r="A4256" s="1" t="s">
        <v>12909</v>
      </c>
      <c r="B4256" s="1" t="s">
        <v>12910</v>
      </c>
      <c r="C4256" s="1" t="s">
        <v>227</v>
      </c>
      <c r="D4256" s="1" t="s">
        <v>227</v>
      </c>
      <c r="E4256" s="6">
        <v>67.44</v>
      </c>
      <c r="F4256" s="1" t="s">
        <v>53</v>
      </c>
      <c r="G4256" s="6">
        <f ca="1">IFERROR(__xludf.DUMMYFUNCTION("iferror(GOOGLEFINANCE(TRIM(F4256)&amp;"":"" &amp; TRIM(B4256), ""price""),0
)"),0)</f>
        <v>0</v>
      </c>
      <c r="H4256" s="6">
        <v>43.1</v>
      </c>
      <c r="I4256" s="6">
        <f t="shared" ca="1" si="0"/>
        <v>43.1</v>
      </c>
      <c r="J4256" s="6">
        <f ca="1">IFERROR(__xludf.DUMMYFUNCTION("IFERROR(GOOGLEFINANCE(B4256, ""volume""), 0)"),0)</f>
        <v>0</v>
      </c>
      <c r="K4256" s="6">
        <v>-1.1200000000000001</v>
      </c>
      <c r="L4256" s="6">
        <f ca="1">IFERROR(__xludf.DUMMYFUNCTION("IFERROR(GOOGLEFINANCE(B4256,""changepct""),K4256)"),-1.12)</f>
        <v>-1.1200000000000001</v>
      </c>
      <c r="M4256" s="6">
        <f ca="1">IFERROR(__xludf.DUMMYFUNCTION("IFERROR(GOOGLEFINANCE(B4256,""change""),0)"),0)</f>
        <v>0</v>
      </c>
      <c r="N4256" s="6">
        <v>1</v>
      </c>
      <c r="O4256" s="7">
        <v>45536</v>
      </c>
      <c r="P4256" s="9"/>
      <c r="Q4256" s="6">
        <v>66.92</v>
      </c>
      <c r="R4256" s="7">
        <v>45536</v>
      </c>
      <c r="S4256" s="6">
        <v>32.97</v>
      </c>
      <c r="T4256" s="6">
        <v>2.36</v>
      </c>
      <c r="U4256" s="7">
        <v>45536</v>
      </c>
      <c r="V4256" s="6">
        <v>28.53</v>
      </c>
      <c r="W4256" s="6">
        <f ca="1">IFERROR(__xludf.DUMMYFUNCTION("IFERROR(GOOGLEFINANCE(B4256,""pe""),V4256)"),28.53)</f>
        <v>28.53</v>
      </c>
      <c r="X4256" s="6">
        <v>0.72</v>
      </c>
      <c r="Y4256" s="6">
        <v>6.62</v>
      </c>
      <c r="Z4256" s="6">
        <v>1</v>
      </c>
      <c r="AA4256" s="8">
        <v>45352</v>
      </c>
      <c r="AB4256" s="4">
        <v>0</v>
      </c>
      <c r="AC4256" s="6">
        <v>16.649999999999999</v>
      </c>
      <c r="AD4256" s="6">
        <v>23.74</v>
      </c>
      <c r="AE4256" s="1">
        <v>0</v>
      </c>
      <c r="AF4256" s="1">
        <f ca="1">IFERROR(__xludf.DUMMYFUNCTION("IFERROR(GOOGLEFINANCE(TRIM(F4256)&amp;"":"" &amp; TRIM(B4256),""high52""),AE4256)"),0)</f>
        <v>0</v>
      </c>
      <c r="AG4256" s="1">
        <v>0</v>
      </c>
      <c r="AH4256" s="1">
        <f ca="1">IFERROR(__xludf.DUMMYFUNCTION("IFERROR(GOOGLEFINANCE(TRIM(F4256)&amp;"":"" &amp; TRIM(B4256),""low52""),AE4256)"),0)</f>
        <v>0</v>
      </c>
      <c r="AI4256" s="1">
        <f ca="1">IFERROR(__xludf.DUMMYFUNCTION("IFERROR(GOOGLEFINANCE(B4256,""eps""),0)"),0)</f>
        <v>0</v>
      </c>
      <c r="AJ4256" s="1"/>
      <c r="AK4256" s="1" t="s">
        <v>12911</v>
      </c>
      <c r="AL4256" s="9">
        <f t="shared" si="388"/>
        <v>1</v>
      </c>
    </row>
    <row r="4257" spans="1:38" ht="15" x14ac:dyDescent="0.25">
      <c r="A4257" s="1" t="s">
        <v>12912</v>
      </c>
      <c r="B4257" s="1" t="s">
        <v>12913</v>
      </c>
      <c r="C4257" s="1" t="s">
        <v>227</v>
      </c>
      <c r="D4257" s="1" t="s">
        <v>227</v>
      </c>
      <c r="E4257" s="6">
        <v>139.16</v>
      </c>
      <c r="F4257" s="1" t="s">
        <v>53</v>
      </c>
      <c r="G4257" s="6">
        <f ca="1">IFERROR(__xludf.DUMMYFUNCTION("iferror(GOOGLEFINANCE(TRIM(F4257)&amp;"":"" &amp; TRIM(B4257), ""price""),0
)"),0)</f>
        <v>0</v>
      </c>
      <c r="H4257" s="6">
        <v>337</v>
      </c>
      <c r="I4257" s="6">
        <f t="shared" ca="1" si="0"/>
        <v>337</v>
      </c>
      <c r="J4257" s="6">
        <f ca="1">IFERROR(__xludf.DUMMYFUNCTION("IFERROR(GOOGLEFINANCE(B4257, ""volume""), 0)"),0)</f>
        <v>0</v>
      </c>
      <c r="K4257" s="6">
        <v>0.76</v>
      </c>
      <c r="L4257" s="6">
        <f ca="1">IFERROR(__xludf.DUMMYFUNCTION("IFERROR(GOOGLEFINANCE(B4257,""changepct""),K4257)"),0.76)</f>
        <v>0.76</v>
      </c>
      <c r="M4257" s="6">
        <f ca="1">IFERROR(__xludf.DUMMYFUNCTION("IFERROR(GOOGLEFINANCE(B4257,""change""),0)"),0)</f>
        <v>0</v>
      </c>
      <c r="N4257" s="6">
        <v>1</v>
      </c>
      <c r="O4257" s="7">
        <v>45536</v>
      </c>
      <c r="P4257" s="6">
        <v>60.29</v>
      </c>
      <c r="Q4257" s="6">
        <v>199.45</v>
      </c>
      <c r="R4257" s="7">
        <v>45536</v>
      </c>
      <c r="S4257" s="6">
        <v>176.3</v>
      </c>
      <c r="T4257" s="6">
        <v>3.74</v>
      </c>
      <c r="U4257" s="7">
        <v>45536</v>
      </c>
      <c r="V4257" s="6">
        <v>37.22</v>
      </c>
      <c r="W4257" s="6">
        <f ca="1">IFERROR(__xludf.DUMMYFUNCTION("IFERROR(GOOGLEFINANCE(B4257,""pe""),V4257)"),37.22)</f>
        <v>37.22</v>
      </c>
      <c r="X4257" s="6">
        <v>31.02</v>
      </c>
      <c r="Y4257" s="6">
        <v>2.7</v>
      </c>
      <c r="Z4257" s="6">
        <v>1</v>
      </c>
      <c r="AA4257" s="8">
        <v>45352</v>
      </c>
      <c r="AB4257" s="4">
        <v>1.1299999999999999</v>
      </c>
      <c r="AC4257" s="6">
        <v>6.66</v>
      </c>
      <c r="AD4257" s="6">
        <v>9.68</v>
      </c>
      <c r="AE4257" s="1">
        <v>0</v>
      </c>
      <c r="AF4257" s="1">
        <f ca="1">IFERROR(__xludf.DUMMYFUNCTION("IFERROR(GOOGLEFINANCE(TRIM(F4257)&amp;"":"" &amp; TRIM(B4257),""high52""),AE4257)"),0)</f>
        <v>0</v>
      </c>
      <c r="AG4257" s="1">
        <v>0</v>
      </c>
      <c r="AH4257" s="1">
        <f ca="1">IFERROR(__xludf.DUMMYFUNCTION("IFERROR(GOOGLEFINANCE(TRIM(F4257)&amp;"":"" &amp; TRIM(B4257),""low52""),AE4257)"),0)</f>
        <v>0</v>
      </c>
      <c r="AI4257" s="1">
        <f ca="1">IFERROR(__xludf.DUMMYFUNCTION("IFERROR(GOOGLEFINANCE(B4257,""eps""),0)"),0)</f>
        <v>0</v>
      </c>
      <c r="AJ4257" s="1"/>
      <c r="AK4257" s="1" t="s">
        <v>12914</v>
      </c>
      <c r="AL4257" s="9">
        <f t="shared" si="388"/>
        <v>1</v>
      </c>
    </row>
    <row r="4258" spans="1:38" ht="15" x14ac:dyDescent="0.25">
      <c r="A4258" s="1" t="s">
        <v>12915</v>
      </c>
      <c r="B4258" s="1" t="s">
        <v>12916</v>
      </c>
      <c r="C4258" s="1" t="s">
        <v>227</v>
      </c>
      <c r="D4258" s="1" t="s">
        <v>227</v>
      </c>
      <c r="E4258" s="6">
        <v>117.94</v>
      </c>
      <c r="F4258" s="1" t="s">
        <v>53</v>
      </c>
      <c r="G4258" s="6">
        <f ca="1">IFERROR(__xludf.DUMMYFUNCTION("iferror(GOOGLEFINANCE(TRIM(F4258)&amp;"":"" &amp; TRIM(B4258), ""price""),0
)"),0)</f>
        <v>0</v>
      </c>
      <c r="H4258" s="6">
        <v>442.1</v>
      </c>
      <c r="I4258" s="6">
        <f t="shared" ca="1" si="0"/>
        <v>442.1</v>
      </c>
      <c r="J4258" s="6">
        <f ca="1">IFERROR(__xludf.DUMMYFUNCTION("IFERROR(GOOGLEFINANCE(B4258, ""volume""), 0)"),0)</f>
        <v>0</v>
      </c>
      <c r="K4258" s="9"/>
      <c r="L4258" s="6" t="str">
        <f ca="1">IFERROR(__xludf.DUMMYFUNCTION("IFERROR(GOOGLEFINANCE(B4258,""changepct""),K4258)"),"")</f>
        <v/>
      </c>
      <c r="M4258" s="6">
        <f ca="1">IFERROR(__xludf.DUMMYFUNCTION("IFERROR(GOOGLEFINANCE(B4258,""change""),0)"),0)</f>
        <v>0</v>
      </c>
      <c r="N4258" s="6">
        <v>2</v>
      </c>
      <c r="O4258" s="7">
        <v>45536</v>
      </c>
      <c r="P4258" s="9"/>
      <c r="Q4258" s="6">
        <v>44.8</v>
      </c>
      <c r="R4258" s="7">
        <v>45536</v>
      </c>
      <c r="S4258" s="6">
        <v>169.4</v>
      </c>
      <c r="T4258" s="6">
        <v>4.43</v>
      </c>
      <c r="U4258" s="7">
        <v>45536</v>
      </c>
      <c r="V4258" s="6">
        <v>26.65</v>
      </c>
      <c r="W4258" s="6">
        <f ca="1">IFERROR(__xludf.DUMMYFUNCTION("IFERROR(GOOGLEFINANCE(B4258,""pe""),V4258)"),26.65)</f>
        <v>26.65</v>
      </c>
      <c r="X4258" s="6">
        <v>-1.82</v>
      </c>
      <c r="Y4258" s="6">
        <v>1.1200000000000001</v>
      </c>
      <c r="Z4258" s="6">
        <v>2</v>
      </c>
      <c r="AA4258" s="8">
        <v>45352</v>
      </c>
      <c r="AB4258" s="4">
        <v>0</v>
      </c>
      <c r="AC4258" s="6">
        <v>5.05</v>
      </c>
      <c r="AD4258" s="6">
        <v>6.9</v>
      </c>
      <c r="AE4258" s="1">
        <v>0</v>
      </c>
      <c r="AF4258" s="1">
        <f ca="1">IFERROR(__xludf.DUMMYFUNCTION("IFERROR(GOOGLEFINANCE(TRIM(F4258)&amp;"":"" &amp; TRIM(B4258),""high52""),AE4258)"),0)</f>
        <v>0</v>
      </c>
      <c r="AG4258" s="1">
        <v>0</v>
      </c>
      <c r="AH4258" s="1">
        <f ca="1">IFERROR(__xludf.DUMMYFUNCTION("IFERROR(GOOGLEFINANCE(TRIM(F4258)&amp;"":"" &amp; TRIM(B4258),""low52""),AE4258)"),0)</f>
        <v>0</v>
      </c>
      <c r="AI4258" s="1">
        <f ca="1">IFERROR(__xludf.DUMMYFUNCTION("IFERROR(GOOGLEFINANCE(B4258,""eps""),0)"),0)</f>
        <v>0</v>
      </c>
      <c r="AJ4258" s="1"/>
      <c r="AK4258" s="1" t="s">
        <v>12917</v>
      </c>
      <c r="AL4258" s="9">
        <f t="shared" si="388"/>
        <v>1</v>
      </c>
    </row>
    <row r="4259" spans="1:38" ht="15" x14ac:dyDescent="0.25">
      <c r="A4259" s="1" t="s">
        <v>12918</v>
      </c>
      <c r="B4259" s="1" t="s">
        <v>12919</v>
      </c>
      <c r="C4259" s="1" t="s">
        <v>525</v>
      </c>
      <c r="D4259" s="1" t="s">
        <v>525</v>
      </c>
      <c r="E4259" s="6">
        <v>1133.8800000000001</v>
      </c>
      <c r="F4259" s="1" t="s">
        <v>40</v>
      </c>
      <c r="G4259" s="6">
        <f ca="1">IFERROR(__xludf.DUMMYFUNCTION("iferror(GOOGLEFINANCE(TRIM(F4259)&amp;"":"" &amp; TRIM(B4259), ""price""),0
)"),0)</f>
        <v>0</v>
      </c>
      <c r="H4259" s="6">
        <v>902</v>
      </c>
      <c r="I4259" s="6">
        <f t="shared" ca="1" si="0"/>
        <v>902</v>
      </c>
      <c r="J4259" s="6">
        <f ca="1">IFERROR(__xludf.DUMMYFUNCTION("IFERROR(GOOGLEFINANCE(B4259, ""volume""), 0)"),0)</f>
        <v>0</v>
      </c>
      <c r="K4259" s="6">
        <v>0.11</v>
      </c>
      <c r="L4259" s="6">
        <f ca="1">IFERROR(__xludf.DUMMYFUNCTION("IFERROR(GOOGLEFINANCE(B4259,""changepct""),K4259)"),0.11)</f>
        <v>0.11</v>
      </c>
      <c r="M4259" s="6">
        <f ca="1">IFERROR(__xludf.DUMMYFUNCTION("IFERROR(GOOGLEFINANCE(B4259,""change""),0)"),0)</f>
        <v>0</v>
      </c>
      <c r="N4259" s="6">
        <v>1</v>
      </c>
      <c r="O4259" s="7">
        <v>45536</v>
      </c>
      <c r="P4259" s="6">
        <v>93.87</v>
      </c>
      <c r="Q4259" s="6">
        <v>1219.72</v>
      </c>
      <c r="R4259" s="7">
        <v>45352</v>
      </c>
      <c r="S4259" s="6">
        <v>317.2</v>
      </c>
      <c r="T4259" s="6">
        <v>15.35</v>
      </c>
      <c r="U4259" s="7">
        <v>45352</v>
      </c>
      <c r="V4259" s="6">
        <v>73.89</v>
      </c>
      <c r="W4259" s="6">
        <f ca="1">IFERROR(__xludf.DUMMYFUNCTION("IFERROR(GOOGLEFINANCE(B4259,""pe""),V4259)"),73.89)</f>
        <v>73.89</v>
      </c>
      <c r="X4259" s="12"/>
      <c r="Y4259" s="6">
        <v>8.85</v>
      </c>
      <c r="Z4259" s="6">
        <v>1</v>
      </c>
      <c r="AA4259" s="8">
        <v>45352</v>
      </c>
      <c r="AB4259" s="4">
        <v>0.75</v>
      </c>
      <c r="AC4259" s="6">
        <v>18.41</v>
      </c>
      <c r="AD4259" s="6">
        <v>19.510000000000002</v>
      </c>
      <c r="AE4259" s="1">
        <v>0</v>
      </c>
      <c r="AF4259" s="1">
        <f ca="1">IFERROR(__xludf.DUMMYFUNCTION("IFERROR(GOOGLEFINANCE(TRIM(F4259)&amp;"":"" &amp; TRIM(B4259),""high52""),AE4259)"),0)</f>
        <v>0</v>
      </c>
      <c r="AG4259" s="1">
        <v>0</v>
      </c>
      <c r="AH4259" s="1">
        <f ca="1">IFERROR(__xludf.DUMMYFUNCTION("IFERROR(GOOGLEFINANCE(TRIM(F4259)&amp;"":"" &amp; TRIM(B4259),""low52""),AE4259)"),0)</f>
        <v>0</v>
      </c>
      <c r="AI4259" s="1">
        <f ca="1">IFERROR(__xludf.DUMMYFUNCTION("IFERROR(GOOGLEFINANCE(B4259,""eps""),0)"),0)</f>
        <v>0</v>
      </c>
      <c r="AJ4259" s="1"/>
      <c r="AK4259" s="1" t="s">
        <v>12920</v>
      </c>
      <c r="AL4259" s="9">
        <f t="shared" si="388"/>
        <v>1</v>
      </c>
    </row>
    <row r="4260" spans="1:38" ht="15" x14ac:dyDescent="0.25">
      <c r="A4260" s="1" t="s">
        <v>12921</v>
      </c>
      <c r="B4260" s="1" t="s">
        <v>12922</v>
      </c>
      <c r="C4260" s="1" t="s">
        <v>227</v>
      </c>
      <c r="D4260" s="1" t="s">
        <v>227</v>
      </c>
      <c r="E4260" s="6">
        <v>29.22</v>
      </c>
      <c r="F4260" s="1" t="s">
        <v>53</v>
      </c>
      <c r="G4260" s="6">
        <f ca="1">IFERROR(__xludf.DUMMYFUNCTION("iferror(GOOGLEFINANCE(TRIM(F4260)&amp;"":"" &amp; TRIM(B4260), ""price""),0
)"),0)</f>
        <v>0</v>
      </c>
      <c r="H4260" s="6">
        <v>4.76</v>
      </c>
      <c r="I4260" s="6">
        <f t="shared" ca="1" si="0"/>
        <v>4.76</v>
      </c>
      <c r="J4260" s="6">
        <f ca="1">IFERROR(__xludf.DUMMYFUNCTION("IFERROR(GOOGLEFINANCE(B4260, ""volume""), 0)"),0)</f>
        <v>0</v>
      </c>
      <c r="K4260" s="6">
        <v>-2.2599999999999998</v>
      </c>
      <c r="L4260" s="6">
        <f ca="1">IFERROR(__xludf.DUMMYFUNCTION("IFERROR(GOOGLEFINANCE(B4260,""changepct""),K4260)"),-2.26)</f>
        <v>-2.2599999999999998</v>
      </c>
      <c r="M4260" s="6">
        <f ca="1">IFERROR(__xludf.DUMMYFUNCTION("IFERROR(GOOGLEFINANCE(B4260,""change""),0)"),0)</f>
        <v>0</v>
      </c>
      <c r="N4260" s="6">
        <v>1</v>
      </c>
      <c r="O4260" s="7">
        <v>45536</v>
      </c>
      <c r="P4260" s="6">
        <v>23.56</v>
      </c>
      <c r="Q4260" s="6">
        <v>52.78</v>
      </c>
      <c r="R4260" s="7">
        <v>45536</v>
      </c>
      <c r="S4260" s="6">
        <v>85.37</v>
      </c>
      <c r="T4260" s="6">
        <v>0.42</v>
      </c>
      <c r="U4260" s="7">
        <v>45536</v>
      </c>
      <c r="V4260" s="6">
        <v>69.41</v>
      </c>
      <c r="W4260" s="6">
        <f ca="1">IFERROR(__xludf.DUMMYFUNCTION("IFERROR(GOOGLEFINANCE(B4260,""pe""),V4260)"),69.41)</f>
        <v>69.41</v>
      </c>
      <c r="X4260" s="6">
        <v>1.77</v>
      </c>
      <c r="Y4260" s="6">
        <v>1.74</v>
      </c>
      <c r="Z4260" s="6">
        <v>1</v>
      </c>
      <c r="AA4260" s="8">
        <v>45352</v>
      </c>
      <c r="AB4260" s="4">
        <v>0.6</v>
      </c>
      <c r="AC4260" s="6">
        <v>6.12</v>
      </c>
      <c r="AD4260" s="6">
        <v>9.0399999999999991</v>
      </c>
      <c r="AE4260" s="1">
        <v>0</v>
      </c>
      <c r="AF4260" s="1">
        <f ca="1">IFERROR(__xludf.DUMMYFUNCTION("IFERROR(GOOGLEFINANCE(TRIM(F4260)&amp;"":"" &amp; TRIM(B4260),""high52""),AE4260)"),0)</f>
        <v>0</v>
      </c>
      <c r="AG4260" s="1">
        <v>0</v>
      </c>
      <c r="AH4260" s="1">
        <f ca="1">IFERROR(__xludf.DUMMYFUNCTION("IFERROR(GOOGLEFINANCE(TRIM(F4260)&amp;"":"" &amp; TRIM(B4260),""low52""),AE4260)"),0)</f>
        <v>0</v>
      </c>
      <c r="AI4260" s="1">
        <f ca="1">IFERROR(__xludf.DUMMYFUNCTION("IFERROR(GOOGLEFINANCE(B4260,""eps""),0)"),0)</f>
        <v>0</v>
      </c>
      <c r="AJ4260" s="1"/>
      <c r="AK4260" s="1" t="s">
        <v>12923</v>
      </c>
      <c r="AL4260" s="9">
        <f t="shared" si="388"/>
        <v>1</v>
      </c>
    </row>
    <row r="4261" spans="1:38" ht="15" x14ac:dyDescent="0.25">
      <c r="A4261" s="1" t="s">
        <v>12924</v>
      </c>
      <c r="B4261" s="1" t="s">
        <v>12925</v>
      </c>
      <c r="C4261" s="1" t="s">
        <v>227</v>
      </c>
      <c r="D4261" s="1" t="s">
        <v>227</v>
      </c>
      <c r="E4261" s="6">
        <v>7.79</v>
      </c>
      <c r="F4261" s="1" t="s">
        <v>53</v>
      </c>
      <c r="G4261" s="6">
        <f ca="1">IFERROR(__xludf.DUMMYFUNCTION("iferror(GOOGLEFINANCE(TRIM(F4261)&amp;"":"" &amp; TRIM(B4261), ""price""),0
)"),0)</f>
        <v>0</v>
      </c>
      <c r="H4261" s="6">
        <v>14.45</v>
      </c>
      <c r="I4261" s="6">
        <f t="shared" ca="1" si="0"/>
        <v>14.45</v>
      </c>
      <c r="J4261" s="6">
        <f ca="1">IFERROR(__xludf.DUMMYFUNCTION("IFERROR(GOOGLEFINANCE(B4261, ""volume""), 0)"),0)</f>
        <v>0</v>
      </c>
      <c r="K4261" s="6">
        <v>0</v>
      </c>
      <c r="L4261" s="6">
        <f ca="1">IFERROR(__xludf.DUMMYFUNCTION("IFERROR(GOOGLEFINANCE(B4261,""changepct""),K4261)"),0)</f>
        <v>0</v>
      </c>
      <c r="M4261" s="6">
        <f ca="1">IFERROR(__xludf.DUMMYFUNCTION("IFERROR(GOOGLEFINANCE(B4261,""change""),0)"),0)</f>
        <v>0</v>
      </c>
      <c r="N4261" s="6">
        <v>1</v>
      </c>
      <c r="O4261" s="7">
        <v>45536</v>
      </c>
      <c r="P4261" s="12"/>
      <c r="Q4261" s="6">
        <v>7.79</v>
      </c>
      <c r="R4261" s="7">
        <v>45536</v>
      </c>
      <c r="S4261" s="6">
        <v>0</v>
      </c>
      <c r="T4261" s="6">
        <v>-0.12</v>
      </c>
      <c r="U4261" s="7">
        <v>45536</v>
      </c>
      <c r="V4261" s="6">
        <v>0</v>
      </c>
      <c r="W4261" s="6">
        <f ca="1">IFERROR(__xludf.DUMMYFUNCTION("IFERROR(GOOGLEFINANCE(B4261,""pe""),V4261)"),0)</f>
        <v>0</v>
      </c>
      <c r="X4261" s="6">
        <v>0</v>
      </c>
      <c r="Y4261" s="6">
        <v>1.61</v>
      </c>
      <c r="Z4261" s="6">
        <v>1</v>
      </c>
      <c r="AA4261" s="8">
        <v>45352</v>
      </c>
      <c r="AB4261" s="4">
        <v>0</v>
      </c>
      <c r="AC4261" s="6">
        <v>-0.33</v>
      </c>
      <c r="AD4261" s="6">
        <v>-0.33</v>
      </c>
      <c r="AE4261" s="1">
        <v>0</v>
      </c>
      <c r="AF4261" s="1">
        <f ca="1">IFERROR(__xludf.DUMMYFUNCTION("IFERROR(GOOGLEFINANCE(TRIM(F4261)&amp;"":"" &amp; TRIM(B4261),""high52""),AE4261)"),0)</f>
        <v>0</v>
      </c>
      <c r="AG4261" s="1">
        <v>0</v>
      </c>
      <c r="AH4261" s="1">
        <f ca="1">IFERROR(__xludf.DUMMYFUNCTION("IFERROR(GOOGLEFINANCE(TRIM(F4261)&amp;"":"" &amp; TRIM(B4261),""low52""),AE4261)"),0)</f>
        <v>0</v>
      </c>
      <c r="AI4261" s="1">
        <f ca="1">IFERROR(__xludf.DUMMYFUNCTION("IFERROR(GOOGLEFINANCE(B4261,""eps""),0)"),0)</f>
        <v>0</v>
      </c>
      <c r="AJ4261" s="1"/>
      <c r="AK4261" s="1" t="s">
        <v>12926</v>
      </c>
      <c r="AL4261" s="9">
        <f t="shared" si="388"/>
        <v>1</v>
      </c>
    </row>
    <row r="4262" spans="1:38" ht="15" x14ac:dyDescent="0.25">
      <c r="A4262" s="1" t="s">
        <v>12927</v>
      </c>
      <c r="B4262" s="1" t="s">
        <v>12928</v>
      </c>
      <c r="C4262" s="1" t="s">
        <v>227</v>
      </c>
      <c r="D4262" s="1" t="s">
        <v>227</v>
      </c>
      <c r="E4262" s="6">
        <v>9.5399999999999991</v>
      </c>
      <c r="F4262" s="1" t="s">
        <v>53</v>
      </c>
      <c r="G4262" s="6">
        <f ca="1">IFERROR(__xludf.DUMMYFUNCTION("iferror(GOOGLEFINANCE(TRIM(F4262)&amp;"":"" &amp; TRIM(B4262), ""price""),0
)"),0)</f>
        <v>0</v>
      </c>
      <c r="H4262" s="6">
        <v>10.01</v>
      </c>
      <c r="I4262" s="6">
        <f t="shared" ca="1" si="0"/>
        <v>10.01</v>
      </c>
      <c r="J4262" s="6">
        <f ca="1">IFERROR(__xludf.DUMMYFUNCTION("IFERROR(GOOGLEFINANCE(B4262, ""volume""), 0)"),0)</f>
        <v>0</v>
      </c>
      <c r="K4262" s="6">
        <v>0</v>
      </c>
      <c r="L4262" s="6">
        <f ca="1">IFERROR(__xludf.DUMMYFUNCTION("IFERROR(GOOGLEFINANCE(B4262,""changepct""),K4262)"),0)</f>
        <v>0</v>
      </c>
      <c r="M4262" s="6">
        <f ca="1">IFERROR(__xludf.DUMMYFUNCTION("IFERROR(GOOGLEFINANCE(B4262,""change""),0)"),0)</f>
        <v>0</v>
      </c>
      <c r="N4262" s="6">
        <v>1</v>
      </c>
      <c r="O4262" s="7">
        <v>45536</v>
      </c>
      <c r="P4262" s="12"/>
      <c r="Q4262" s="6">
        <v>9.5399999999999991</v>
      </c>
      <c r="R4262" s="7">
        <v>45536</v>
      </c>
      <c r="S4262" s="6">
        <v>2.0099999999999998</v>
      </c>
      <c r="T4262" s="6">
        <v>0.09</v>
      </c>
      <c r="U4262" s="7">
        <v>45536</v>
      </c>
      <c r="V4262" s="6">
        <v>109.68</v>
      </c>
      <c r="W4262" s="6">
        <f ca="1">IFERROR(__xludf.DUMMYFUNCTION("IFERROR(GOOGLEFINANCE(B4262,""pe""),V4262)"),109.68)</f>
        <v>109.68</v>
      </c>
      <c r="X4262" s="6">
        <v>7.69</v>
      </c>
      <c r="Y4262" s="6">
        <v>0.7</v>
      </c>
      <c r="Z4262" s="6">
        <v>1</v>
      </c>
      <c r="AA4262" s="8">
        <v>45352</v>
      </c>
      <c r="AB4262" s="4">
        <v>0</v>
      </c>
      <c r="AC4262" s="6">
        <v>0.28000000000000003</v>
      </c>
      <c r="AD4262" s="6">
        <v>0.38</v>
      </c>
      <c r="AE4262" s="1">
        <v>0</v>
      </c>
      <c r="AF4262" s="1">
        <f ca="1">IFERROR(__xludf.DUMMYFUNCTION("IFERROR(GOOGLEFINANCE(TRIM(F4262)&amp;"":"" &amp; TRIM(B4262),""high52""),AE4262)"),0)</f>
        <v>0</v>
      </c>
      <c r="AG4262" s="1">
        <v>0</v>
      </c>
      <c r="AH4262" s="1">
        <f ca="1">IFERROR(__xludf.DUMMYFUNCTION("IFERROR(GOOGLEFINANCE(TRIM(F4262)&amp;"":"" &amp; TRIM(B4262),""low52""),AE4262)"),0)</f>
        <v>0</v>
      </c>
      <c r="AI4262" s="1">
        <f ca="1">IFERROR(__xludf.DUMMYFUNCTION("IFERROR(GOOGLEFINANCE(B4262,""eps""),0)"),0)</f>
        <v>0</v>
      </c>
      <c r="AJ4262" s="1"/>
      <c r="AK4262" s="1" t="s">
        <v>12929</v>
      </c>
      <c r="AL4262" s="9">
        <f t="shared" si="388"/>
        <v>1</v>
      </c>
    </row>
    <row r="4263" spans="1:38" ht="15" x14ac:dyDescent="0.25">
      <c r="A4263" s="1" t="s">
        <v>12930</v>
      </c>
      <c r="B4263" s="1" t="s">
        <v>12931</v>
      </c>
      <c r="C4263" s="1" t="s">
        <v>227</v>
      </c>
      <c r="D4263" s="1" t="s">
        <v>227</v>
      </c>
      <c r="E4263" s="6">
        <v>81.56</v>
      </c>
      <c r="F4263" s="1" t="s">
        <v>53</v>
      </c>
      <c r="G4263" s="6">
        <f ca="1">IFERROR(__xludf.DUMMYFUNCTION("iferror(GOOGLEFINANCE(TRIM(F4263)&amp;"":"" &amp; TRIM(B4263), ""price""),0
)"),0)</f>
        <v>0</v>
      </c>
      <c r="H4263" s="6">
        <v>210</v>
      </c>
      <c r="I4263" s="6">
        <f t="shared" ca="1" si="0"/>
        <v>210</v>
      </c>
      <c r="J4263" s="6">
        <f ca="1">IFERROR(__xludf.DUMMYFUNCTION("IFERROR(GOOGLEFINANCE(B4263, ""volume""), 0)"),0)</f>
        <v>0</v>
      </c>
      <c r="K4263" s="6">
        <v>0.43</v>
      </c>
      <c r="L4263" s="6">
        <f ca="1">IFERROR(__xludf.DUMMYFUNCTION("IFERROR(GOOGLEFINANCE(B4263,""changepct""),K4263)"),0.43)</f>
        <v>0.43</v>
      </c>
      <c r="M4263" s="6">
        <f ca="1">IFERROR(__xludf.DUMMYFUNCTION("IFERROR(GOOGLEFINANCE(B4263,""change""),0)"),0)</f>
        <v>0</v>
      </c>
      <c r="N4263" s="6">
        <v>1</v>
      </c>
      <c r="O4263" s="7">
        <v>45536</v>
      </c>
      <c r="P4263" s="6">
        <v>5.51</v>
      </c>
      <c r="Q4263" s="6">
        <v>87.06</v>
      </c>
      <c r="R4263" s="7">
        <v>45536</v>
      </c>
      <c r="S4263" s="6">
        <v>180.68</v>
      </c>
      <c r="T4263" s="6">
        <v>9.59</v>
      </c>
      <c r="U4263" s="7">
        <v>45536</v>
      </c>
      <c r="V4263" s="6">
        <v>8.51</v>
      </c>
      <c r="W4263" s="6">
        <f ca="1">IFERROR(__xludf.DUMMYFUNCTION("IFERROR(GOOGLEFINANCE(B4263,""pe""),V4263)"),8.51)</f>
        <v>8.51</v>
      </c>
      <c r="X4263" s="6">
        <v>0.21</v>
      </c>
      <c r="Y4263" s="6">
        <v>1.62</v>
      </c>
      <c r="Z4263" s="6">
        <v>1</v>
      </c>
      <c r="AA4263" s="8">
        <v>45352</v>
      </c>
      <c r="AB4263" s="4">
        <v>0.03</v>
      </c>
      <c r="AC4263" s="6">
        <v>31.4</v>
      </c>
      <c r="AD4263" s="6">
        <v>42.21</v>
      </c>
      <c r="AE4263" s="1">
        <v>0</v>
      </c>
      <c r="AF4263" s="1">
        <f ca="1">IFERROR(__xludf.DUMMYFUNCTION("IFERROR(GOOGLEFINANCE(TRIM(F4263)&amp;"":"" &amp; TRIM(B4263),""high52""),AE4263)"),0)</f>
        <v>0</v>
      </c>
      <c r="AG4263" s="1">
        <v>0</v>
      </c>
      <c r="AH4263" s="1">
        <f ca="1">IFERROR(__xludf.DUMMYFUNCTION("IFERROR(GOOGLEFINANCE(TRIM(F4263)&amp;"":"" &amp; TRIM(B4263),""low52""),AE4263)"),0)</f>
        <v>0</v>
      </c>
      <c r="AI4263" s="1">
        <f ca="1">IFERROR(__xludf.DUMMYFUNCTION("IFERROR(GOOGLEFINANCE(B4263,""eps""),0)"),0)</f>
        <v>0</v>
      </c>
      <c r="AJ4263" s="1"/>
      <c r="AK4263" s="1" t="s">
        <v>12932</v>
      </c>
      <c r="AL4263" s="9">
        <f t="shared" si="388"/>
        <v>1</v>
      </c>
    </row>
    <row r="4264" spans="1:38" ht="15" x14ac:dyDescent="0.25">
      <c r="A4264" s="1" t="s">
        <v>12933</v>
      </c>
      <c r="B4264" s="1" t="s">
        <v>12934</v>
      </c>
      <c r="C4264" s="1" t="s">
        <v>227</v>
      </c>
      <c r="D4264" s="1" t="s">
        <v>227</v>
      </c>
      <c r="E4264" s="6">
        <v>254.55</v>
      </c>
      <c r="F4264" s="1" t="s">
        <v>53</v>
      </c>
      <c r="G4264" s="6">
        <f ca="1">IFERROR(__xludf.DUMMYFUNCTION("iferror(GOOGLEFINANCE(TRIM(F4264)&amp;"":"" &amp; TRIM(B4264), ""price""),0
)"),0)</f>
        <v>0</v>
      </c>
      <c r="H4264" s="6">
        <v>393.35</v>
      </c>
      <c r="I4264" s="6">
        <f t="shared" ca="1" si="0"/>
        <v>393.35</v>
      </c>
      <c r="J4264" s="6">
        <f ca="1">IFERROR(__xludf.DUMMYFUNCTION("IFERROR(GOOGLEFINANCE(B4264, ""volume""), 0)"),0)</f>
        <v>0</v>
      </c>
      <c r="K4264" s="6">
        <v>-2.37</v>
      </c>
      <c r="L4264" s="6">
        <f ca="1">IFERROR(__xludf.DUMMYFUNCTION("IFERROR(GOOGLEFINANCE(B4264,""changepct""),K4264)"),-2.37)</f>
        <v>-2.37</v>
      </c>
      <c r="M4264" s="6">
        <f ca="1">IFERROR(__xludf.DUMMYFUNCTION("IFERROR(GOOGLEFINANCE(B4264,""change""),0)"),0)</f>
        <v>0</v>
      </c>
      <c r="N4264" s="6">
        <v>1</v>
      </c>
      <c r="O4264" s="7">
        <v>45536</v>
      </c>
      <c r="P4264" s="6">
        <v>22.99</v>
      </c>
      <c r="Q4264" s="6">
        <v>277.55</v>
      </c>
      <c r="R4264" s="7">
        <v>45536</v>
      </c>
      <c r="S4264" s="6">
        <v>32.11</v>
      </c>
      <c r="T4264" s="6">
        <v>164.06</v>
      </c>
      <c r="U4264" s="7">
        <v>45536</v>
      </c>
      <c r="V4264" s="6">
        <v>1.55</v>
      </c>
      <c r="W4264" s="6">
        <f ca="1">IFERROR(__xludf.DUMMYFUNCTION("IFERROR(GOOGLEFINANCE(B4264,""pe""),V4264)"),1.55)</f>
        <v>1.55</v>
      </c>
      <c r="X4264" s="6">
        <v>0.01</v>
      </c>
      <c r="Y4264" s="6">
        <v>0.5</v>
      </c>
      <c r="Z4264" s="6">
        <v>1</v>
      </c>
      <c r="AA4264" s="8">
        <v>45352</v>
      </c>
      <c r="AB4264" s="4">
        <v>0.15</v>
      </c>
      <c r="AC4264" s="6">
        <v>42.11</v>
      </c>
      <c r="AD4264" s="6">
        <v>42.98</v>
      </c>
      <c r="AE4264" s="1">
        <v>0</v>
      </c>
      <c r="AF4264" s="1">
        <f ca="1">IFERROR(__xludf.DUMMYFUNCTION("IFERROR(GOOGLEFINANCE(TRIM(F4264)&amp;"":"" &amp; TRIM(B4264),""high52""),AE4264)"),0)</f>
        <v>0</v>
      </c>
      <c r="AG4264" s="1">
        <v>0</v>
      </c>
      <c r="AH4264" s="1">
        <f ca="1">IFERROR(__xludf.DUMMYFUNCTION("IFERROR(GOOGLEFINANCE(TRIM(F4264)&amp;"":"" &amp; TRIM(B4264),""low52""),AE4264)"),0)</f>
        <v>0</v>
      </c>
      <c r="AI4264" s="1">
        <f ca="1">IFERROR(__xludf.DUMMYFUNCTION("IFERROR(GOOGLEFINANCE(B4264,""eps""),0)"),0)</f>
        <v>0</v>
      </c>
      <c r="AJ4264" s="1"/>
      <c r="AK4264" s="1" t="s">
        <v>12935</v>
      </c>
      <c r="AL4264" s="9">
        <f t="shared" si="388"/>
        <v>1</v>
      </c>
    </row>
    <row r="4265" spans="1:38" ht="15" x14ac:dyDescent="0.25">
      <c r="A4265" s="1" t="s">
        <v>12936</v>
      </c>
      <c r="B4265" s="1" t="s">
        <v>2713</v>
      </c>
      <c r="C4265" s="1" t="s">
        <v>227</v>
      </c>
      <c r="D4265" s="1" t="s">
        <v>227</v>
      </c>
      <c r="E4265" s="6">
        <v>18.399999999999999</v>
      </c>
      <c r="F4265" s="1" t="s">
        <v>53</v>
      </c>
      <c r="G4265" s="6">
        <f ca="1">IFERROR(__xludf.DUMMYFUNCTION("iferror(GOOGLEFINANCE(TRIM(F4265)&amp;"":"" &amp; TRIM(B4265), ""price""),0
)"),0)</f>
        <v>0</v>
      </c>
      <c r="H4265" s="6">
        <v>24.39</v>
      </c>
      <c r="I4265" s="6">
        <f t="shared" ca="1" si="0"/>
        <v>24.39</v>
      </c>
      <c r="J4265" s="6">
        <f ca="1">IFERROR(__xludf.DUMMYFUNCTION("IFERROR(GOOGLEFINANCE(B4265, ""volume""), 0)"),0)</f>
        <v>0</v>
      </c>
      <c r="K4265" s="6">
        <v>-3.02</v>
      </c>
      <c r="L4265" s="6">
        <f ca="1">IFERROR(__xludf.DUMMYFUNCTION("IFERROR(GOOGLEFINANCE(B4265,""changepct""),K4265)"),-3.02)</f>
        <v>-3.02</v>
      </c>
      <c r="M4265" s="6">
        <f ca="1">IFERROR(__xludf.DUMMYFUNCTION("IFERROR(GOOGLEFINANCE(B4265,""change""),0)"),0)</f>
        <v>0</v>
      </c>
      <c r="N4265" s="6">
        <v>1</v>
      </c>
      <c r="O4265" s="7">
        <v>45536</v>
      </c>
      <c r="P4265" s="6">
        <v>0.5</v>
      </c>
      <c r="Q4265" s="6">
        <v>18.899999999999999</v>
      </c>
      <c r="R4265" s="7">
        <v>45536</v>
      </c>
      <c r="S4265" s="6">
        <v>0.03</v>
      </c>
      <c r="T4265" s="6">
        <v>0.42</v>
      </c>
      <c r="U4265" s="7">
        <v>45536</v>
      </c>
      <c r="V4265" s="6">
        <v>44.02</v>
      </c>
      <c r="W4265" s="6">
        <f ca="1">IFERROR(__xludf.DUMMYFUNCTION("IFERROR(GOOGLEFINANCE(B4265,""pe""),V4265)"),44.02)</f>
        <v>44.02</v>
      </c>
      <c r="X4265" s="6">
        <v>0.91</v>
      </c>
      <c r="Y4265" s="6">
        <v>0.45</v>
      </c>
      <c r="Z4265" s="6">
        <v>1</v>
      </c>
      <c r="AA4265" s="8">
        <v>45352</v>
      </c>
      <c r="AB4265" s="4">
        <v>0.06</v>
      </c>
      <c r="AC4265" s="6">
        <v>8.31</v>
      </c>
      <c r="AD4265" s="6">
        <v>7.57</v>
      </c>
      <c r="AE4265" s="1">
        <v>0</v>
      </c>
      <c r="AF4265" s="1">
        <f ca="1">IFERROR(__xludf.DUMMYFUNCTION("IFERROR(GOOGLEFINANCE(TRIM(F4265)&amp;"":"" &amp; TRIM(B4265),""high52""),AE4265)"),0)</f>
        <v>0</v>
      </c>
      <c r="AG4265" s="1">
        <v>0</v>
      </c>
      <c r="AH4265" s="1">
        <f ca="1">IFERROR(__xludf.DUMMYFUNCTION("IFERROR(GOOGLEFINANCE(TRIM(F4265)&amp;"":"" &amp; TRIM(B4265),""low52""),AE4265)"),0)</f>
        <v>0</v>
      </c>
      <c r="AI4265" s="1">
        <f ca="1">IFERROR(__xludf.DUMMYFUNCTION("IFERROR(GOOGLEFINANCE(B4265,""eps""),0)"),0)</f>
        <v>0</v>
      </c>
      <c r="AJ4265" s="1"/>
      <c r="AK4265" s="1" t="s">
        <v>12937</v>
      </c>
      <c r="AL4265" s="9">
        <f t="shared" si="388"/>
        <v>1</v>
      </c>
    </row>
    <row r="4266" spans="1:38" ht="15" x14ac:dyDescent="0.25">
      <c r="A4266" s="1" t="s">
        <v>12938</v>
      </c>
      <c r="B4266" s="1" t="s">
        <v>12939</v>
      </c>
      <c r="C4266" s="1" t="s">
        <v>227</v>
      </c>
      <c r="D4266" s="1" t="s">
        <v>227</v>
      </c>
      <c r="E4266" s="6">
        <v>32.659999999999997</v>
      </c>
      <c r="F4266" s="1" t="s">
        <v>53</v>
      </c>
      <c r="G4266" s="6">
        <f ca="1">IFERROR(__xludf.DUMMYFUNCTION("iferror(GOOGLEFINANCE(TRIM(F4266)&amp;"":"" &amp; TRIM(B4266), ""price""),0
)"),0)</f>
        <v>0</v>
      </c>
      <c r="H4266" s="6">
        <v>55.7</v>
      </c>
      <c r="I4266" s="6">
        <f t="shared" ca="1" si="0"/>
        <v>55.7</v>
      </c>
      <c r="J4266" s="6">
        <f ca="1">IFERROR(__xludf.DUMMYFUNCTION("IFERROR(GOOGLEFINANCE(B4266, ""volume""), 0)"),0)</f>
        <v>0</v>
      </c>
      <c r="K4266" s="6">
        <v>3.82</v>
      </c>
      <c r="L4266" s="6">
        <f ca="1">IFERROR(__xludf.DUMMYFUNCTION("IFERROR(GOOGLEFINANCE(B4266,""changepct""),K4266)"),3.82)</f>
        <v>3.82</v>
      </c>
      <c r="M4266" s="6">
        <f ca="1">IFERROR(__xludf.DUMMYFUNCTION("IFERROR(GOOGLEFINANCE(B4266,""change""),0)"),0)</f>
        <v>0</v>
      </c>
      <c r="N4266" s="6">
        <v>1</v>
      </c>
      <c r="O4266" s="7">
        <v>45536</v>
      </c>
      <c r="P4266" s="9"/>
      <c r="Q4266" s="6">
        <v>32.659999999999997</v>
      </c>
      <c r="R4266" s="7">
        <v>45536</v>
      </c>
      <c r="S4266" s="6">
        <v>19.059999999999999</v>
      </c>
      <c r="T4266" s="6">
        <v>0.73</v>
      </c>
      <c r="U4266" s="7">
        <v>45536</v>
      </c>
      <c r="V4266" s="6">
        <v>44.8</v>
      </c>
      <c r="W4266" s="6">
        <f ca="1">IFERROR(__xludf.DUMMYFUNCTION("IFERROR(GOOGLEFINANCE(B4266,""pe""),V4266)"),44.8)</f>
        <v>44.8</v>
      </c>
      <c r="X4266" s="6">
        <v>5.09</v>
      </c>
      <c r="Y4266" s="6">
        <v>2.41</v>
      </c>
      <c r="Z4266" s="6">
        <v>1</v>
      </c>
      <c r="AA4266" s="8">
        <v>45352</v>
      </c>
      <c r="AB4266" s="4">
        <v>0</v>
      </c>
      <c r="AC4266" s="6">
        <v>8.65</v>
      </c>
      <c r="AD4266" s="6">
        <v>8.85</v>
      </c>
      <c r="AE4266" s="1">
        <v>0</v>
      </c>
      <c r="AF4266" s="1">
        <f ca="1">IFERROR(__xludf.DUMMYFUNCTION("IFERROR(GOOGLEFINANCE(TRIM(F4266)&amp;"":"" &amp; TRIM(B4266),""high52""),AE4266)"),0)</f>
        <v>0</v>
      </c>
      <c r="AG4266" s="1">
        <v>0</v>
      </c>
      <c r="AH4266" s="1">
        <f ca="1">IFERROR(__xludf.DUMMYFUNCTION("IFERROR(GOOGLEFINANCE(TRIM(F4266)&amp;"":"" &amp; TRIM(B4266),""low52""),AE4266)"),0)</f>
        <v>0</v>
      </c>
      <c r="AI4266" s="1">
        <f ca="1">IFERROR(__xludf.DUMMYFUNCTION("IFERROR(GOOGLEFINANCE(B4266,""eps""),0)"),0)</f>
        <v>0</v>
      </c>
      <c r="AJ4266" s="1"/>
      <c r="AK4266" s="1" t="s">
        <v>12940</v>
      </c>
      <c r="AL4266" s="9">
        <f t="shared" si="388"/>
        <v>1</v>
      </c>
    </row>
    <row r="4267" spans="1:38" ht="15" x14ac:dyDescent="0.25">
      <c r="A4267" s="1" t="s">
        <v>12941</v>
      </c>
      <c r="B4267" s="1" t="s">
        <v>12942</v>
      </c>
      <c r="C4267" s="1" t="s">
        <v>227</v>
      </c>
      <c r="D4267" s="1" t="s">
        <v>227</v>
      </c>
      <c r="E4267" s="6">
        <v>13.08</v>
      </c>
      <c r="F4267" s="1" t="s">
        <v>53</v>
      </c>
      <c r="G4267" s="6">
        <f ca="1">IFERROR(__xludf.DUMMYFUNCTION("iferror(GOOGLEFINANCE(TRIM(F4267)&amp;"":"" &amp; TRIM(B4267), ""price""),0
)"),0)</f>
        <v>0</v>
      </c>
      <c r="H4267" s="6">
        <v>6.6</v>
      </c>
      <c r="I4267" s="6">
        <f t="shared" ca="1" si="0"/>
        <v>6.6</v>
      </c>
      <c r="J4267" s="6">
        <f ca="1">IFERROR(__xludf.DUMMYFUNCTION("IFERROR(GOOGLEFINANCE(B4267, ""volume""), 0)"),0)</f>
        <v>0</v>
      </c>
      <c r="K4267" s="6">
        <v>0.92</v>
      </c>
      <c r="L4267" s="6">
        <f ca="1">IFERROR(__xludf.DUMMYFUNCTION("IFERROR(GOOGLEFINANCE(B4267,""changepct""),K4267)"),0.92)</f>
        <v>0.92</v>
      </c>
      <c r="M4267" s="6">
        <f ca="1">IFERROR(__xludf.DUMMYFUNCTION("IFERROR(GOOGLEFINANCE(B4267,""change""),0)"),0)</f>
        <v>0</v>
      </c>
      <c r="N4267" s="6">
        <v>1</v>
      </c>
      <c r="O4267" s="7">
        <v>45536</v>
      </c>
      <c r="P4267" s="9"/>
      <c r="Q4267" s="6">
        <v>13.08</v>
      </c>
      <c r="R4267" s="7">
        <v>45536</v>
      </c>
      <c r="S4267" s="6">
        <v>0.57999999999999996</v>
      </c>
      <c r="T4267" s="6">
        <v>0.43</v>
      </c>
      <c r="U4267" s="7">
        <v>45536</v>
      </c>
      <c r="V4267" s="6">
        <v>30.28</v>
      </c>
      <c r="W4267" s="6">
        <f ca="1">IFERROR(__xludf.DUMMYFUNCTION("IFERROR(GOOGLEFINANCE(B4267,""pe""),V4267)"),30.28)</f>
        <v>30.28</v>
      </c>
      <c r="X4267" s="6">
        <v>1.76</v>
      </c>
      <c r="Y4267" s="6">
        <v>0.62</v>
      </c>
      <c r="Z4267" s="6">
        <v>1</v>
      </c>
      <c r="AA4267" s="8">
        <v>45352</v>
      </c>
      <c r="AB4267" s="4">
        <v>0</v>
      </c>
      <c r="AC4267" s="6">
        <v>0.08</v>
      </c>
      <c r="AD4267" s="6">
        <v>0.12</v>
      </c>
      <c r="AE4267" s="1">
        <v>0</v>
      </c>
      <c r="AF4267" s="1">
        <f ca="1">IFERROR(__xludf.DUMMYFUNCTION("IFERROR(GOOGLEFINANCE(TRIM(F4267)&amp;"":"" &amp; TRIM(B4267),""high52""),AE4267)"),0)</f>
        <v>0</v>
      </c>
      <c r="AG4267" s="1">
        <v>0</v>
      </c>
      <c r="AH4267" s="1">
        <f ca="1">IFERROR(__xludf.DUMMYFUNCTION("IFERROR(GOOGLEFINANCE(TRIM(F4267)&amp;"":"" &amp; TRIM(B4267),""low52""),AE4267)"),0)</f>
        <v>0</v>
      </c>
      <c r="AI4267" s="1">
        <f ca="1">IFERROR(__xludf.DUMMYFUNCTION("IFERROR(GOOGLEFINANCE(B4267,""eps""),0)"),0)</f>
        <v>0</v>
      </c>
      <c r="AJ4267" s="1"/>
      <c r="AK4267" s="9"/>
      <c r="AL4267" s="9">
        <f t="shared" si="388"/>
        <v>1</v>
      </c>
    </row>
    <row r="4268" spans="1:38" ht="15" x14ac:dyDescent="0.25">
      <c r="A4268" s="1" t="s">
        <v>12943</v>
      </c>
      <c r="B4268" s="1" t="s">
        <v>12944</v>
      </c>
      <c r="C4268" s="1" t="s">
        <v>227</v>
      </c>
      <c r="D4268" s="1" t="s">
        <v>227</v>
      </c>
      <c r="E4268" s="6">
        <v>14.77</v>
      </c>
      <c r="F4268" s="1" t="s">
        <v>53</v>
      </c>
      <c r="G4268" s="6">
        <f ca="1">IFERROR(__xludf.DUMMYFUNCTION("iferror(GOOGLEFINANCE(TRIM(F4268)&amp;"":"" &amp; TRIM(B4268), ""price""),0
)"),0)</f>
        <v>0</v>
      </c>
      <c r="H4268" s="6">
        <v>107.8</v>
      </c>
      <c r="I4268" s="6">
        <f t="shared" ca="1" si="0"/>
        <v>107.8</v>
      </c>
      <c r="J4268" s="6">
        <f ca="1">IFERROR(__xludf.DUMMYFUNCTION("IFERROR(GOOGLEFINANCE(B4268, ""volume""), 0)"),0)</f>
        <v>0</v>
      </c>
      <c r="K4268" s="6">
        <v>1.99</v>
      </c>
      <c r="L4268" s="6">
        <f ca="1">IFERROR(__xludf.DUMMYFUNCTION("IFERROR(GOOGLEFINANCE(B4268,""changepct""),K4268)"),1.99)</f>
        <v>1.99</v>
      </c>
      <c r="M4268" s="6">
        <f ca="1">IFERROR(__xludf.DUMMYFUNCTION("IFERROR(GOOGLEFINANCE(B4268,""change""),0)"),0)</f>
        <v>0</v>
      </c>
      <c r="N4268" s="6">
        <v>1</v>
      </c>
      <c r="O4268" s="7">
        <v>45536</v>
      </c>
      <c r="P4268" s="6">
        <v>114.55</v>
      </c>
      <c r="Q4268" s="6">
        <v>129.32</v>
      </c>
      <c r="R4268" s="7">
        <v>45536</v>
      </c>
      <c r="S4268" s="6">
        <v>182.84</v>
      </c>
      <c r="T4268" s="6">
        <v>19.440000000000001</v>
      </c>
      <c r="U4268" s="7">
        <v>45536</v>
      </c>
      <c r="V4268" s="6">
        <v>0.76</v>
      </c>
      <c r="W4268" s="6">
        <f ca="1">IFERROR(__xludf.DUMMYFUNCTION("IFERROR(GOOGLEFINANCE(B4268,""pe""),V4268)"),0.76)</f>
        <v>0.76</v>
      </c>
      <c r="X4268" s="6">
        <v>0</v>
      </c>
      <c r="Y4268" s="6">
        <v>0.66</v>
      </c>
      <c r="Z4268" s="6">
        <v>1</v>
      </c>
      <c r="AA4268" s="8">
        <v>45352</v>
      </c>
      <c r="AB4268" s="4">
        <v>-2.0499999999999998</v>
      </c>
      <c r="AC4268" s="6">
        <v>0</v>
      </c>
      <c r="AD4268" s="6">
        <v>16.149999999999999</v>
      </c>
      <c r="AE4268" s="1">
        <v>0</v>
      </c>
      <c r="AF4268" s="1">
        <f ca="1">IFERROR(__xludf.DUMMYFUNCTION("IFERROR(GOOGLEFINANCE(TRIM(F4268)&amp;"":"" &amp; TRIM(B4268),""high52""),AE4268)"),0)</f>
        <v>0</v>
      </c>
      <c r="AG4268" s="1">
        <v>0</v>
      </c>
      <c r="AH4268" s="1">
        <f ca="1">IFERROR(__xludf.DUMMYFUNCTION("IFERROR(GOOGLEFINANCE(TRIM(F4268)&amp;"":"" &amp; TRIM(B4268),""low52""),AE4268)"),0)</f>
        <v>0</v>
      </c>
      <c r="AI4268" s="1">
        <f ca="1">IFERROR(__xludf.DUMMYFUNCTION("IFERROR(GOOGLEFINANCE(B4268,""eps""),0)"),0)</f>
        <v>0</v>
      </c>
      <c r="AJ4268" s="1"/>
      <c r="AK4268" s="9"/>
      <c r="AL4268" s="9">
        <f t="shared" si="388"/>
        <v>1</v>
      </c>
    </row>
    <row r="4269" spans="1:38" ht="15" x14ac:dyDescent="0.25">
      <c r="A4269" s="1" t="s">
        <v>12945</v>
      </c>
      <c r="B4269" s="1" t="s">
        <v>12946</v>
      </c>
      <c r="C4269" s="1" t="s">
        <v>227</v>
      </c>
      <c r="D4269" s="1" t="s">
        <v>227</v>
      </c>
      <c r="E4269" s="6">
        <v>175.38</v>
      </c>
      <c r="F4269" s="1" t="s">
        <v>53</v>
      </c>
      <c r="G4269" s="6">
        <f ca="1">IFERROR(__xludf.DUMMYFUNCTION("iferror(GOOGLEFINANCE(TRIM(F4269)&amp;"":"" &amp; TRIM(B4269), ""price""),0
)"),0)</f>
        <v>0</v>
      </c>
      <c r="H4269" s="6">
        <v>383.85</v>
      </c>
      <c r="I4269" s="6">
        <f t="shared" ca="1" si="0"/>
        <v>383.85</v>
      </c>
      <c r="J4269" s="6">
        <f ca="1">IFERROR(__xludf.DUMMYFUNCTION("IFERROR(GOOGLEFINANCE(B4269, ""volume""), 0)"),0)</f>
        <v>0</v>
      </c>
      <c r="K4269" s="9"/>
      <c r="L4269" s="6" t="str">
        <f ca="1">IFERROR(__xludf.DUMMYFUNCTION("IFERROR(GOOGLEFINANCE(B4269,""changepct""),K4269)"),"")</f>
        <v/>
      </c>
      <c r="M4269" s="6">
        <f ca="1">IFERROR(__xludf.DUMMYFUNCTION("IFERROR(GOOGLEFINANCE(B4269,""change""),0)"),0)</f>
        <v>0</v>
      </c>
      <c r="N4269" s="6">
        <v>2</v>
      </c>
      <c r="O4269" s="7">
        <v>45536</v>
      </c>
      <c r="P4269" s="9"/>
      <c r="Q4269" s="6">
        <v>118.17</v>
      </c>
      <c r="R4269" s="7">
        <v>45536</v>
      </c>
      <c r="S4269" s="6">
        <v>978.34</v>
      </c>
      <c r="T4269" s="6">
        <v>6.66</v>
      </c>
      <c r="U4269" s="7">
        <v>45536</v>
      </c>
      <c r="V4269" s="6">
        <v>26.34</v>
      </c>
      <c r="W4269" s="6">
        <f ca="1">IFERROR(__xludf.DUMMYFUNCTION("IFERROR(GOOGLEFINANCE(B4269,""pe""),V4269)"),26.34)</f>
        <v>26.34</v>
      </c>
      <c r="X4269" s="6">
        <v>0.98</v>
      </c>
      <c r="Y4269" s="6">
        <v>6.01</v>
      </c>
      <c r="Z4269" s="6">
        <v>2</v>
      </c>
      <c r="AA4269" s="8">
        <v>45352</v>
      </c>
      <c r="AB4269" s="4">
        <v>0</v>
      </c>
      <c r="AC4269" s="6">
        <v>7.41</v>
      </c>
      <c r="AD4269" s="6">
        <v>13.72</v>
      </c>
      <c r="AE4269" s="1">
        <v>0</v>
      </c>
      <c r="AF4269" s="1">
        <f ca="1">IFERROR(__xludf.DUMMYFUNCTION("IFERROR(GOOGLEFINANCE(TRIM(F4269)&amp;"":"" &amp; TRIM(B4269),""high52""),AE4269)"),0)</f>
        <v>0</v>
      </c>
      <c r="AG4269" s="1">
        <v>0</v>
      </c>
      <c r="AH4269" s="1">
        <f ca="1">IFERROR(__xludf.DUMMYFUNCTION("IFERROR(GOOGLEFINANCE(TRIM(F4269)&amp;"":"" &amp; TRIM(B4269),""low52""),AE4269)"),0)</f>
        <v>0</v>
      </c>
      <c r="AI4269" s="1">
        <f ca="1">IFERROR(__xludf.DUMMYFUNCTION("IFERROR(GOOGLEFINANCE(B4269,""eps""),0)"),0)</f>
        <v>0</v>
      </c>
      <c r="AJ4269" s="1"/>
      <c r="AK4269" s="1" t="s">
        <v>12947</v>
      </c>
      <c r="AL4269" s="9">
        <f t="shared" si="388"/>
        <v>1</v>
      </c>
    </row>
    <row r="4270" spans="1:38" ht="15" x14ac:dyDescent="0.25">
      <c r="A4270" s="1" t="s">
        <v>12948</v>
      </c>
      <c r="B4270" s="1" t="s">
        <v>12949</v>
      </c>
      <c r="C4270" s="1" t="s">
        <v>227</v>
      </c>
      <c r="D4270" s="1" t="s">
        <v>227</v>
      </c>
      <c r="E4270" s="6">
        <v>656.56</v>
      </c>
      <c r="F4270" s="1" t="s">
        <v>40</v>
      </c>
      <c r="G4270" s="6">
        <f ca="1">IFERROR(__xludf.DUMMYFUNCTION("iferror(GOOGLEFINANCE(TRIM(F4270)&amp;"":"" &amp; TRIM(B4270), ""price""),0
)"),212.5)</f>
        <v>212.5</v>
      </c>
      <c r="H4270" s="6">
        <v>356.55</v>
      </c>
      <c r="I4270" s="6">
        <f t="shared" ca="1" si="0"/>
        <v>212.5</v>
      </c>
      <c r="J4270" s="6">
        <f ca="1">IFERROR(__xludf.DUMMYFUNCTION("IFERROR(GOOGLEFINANCE(B4270, ""volume""), 0)"),4501)</f>
        <v>4501</v>
      </c>
      <c r="K4270" s="6">
        <v>-0.38</v>
      </c>
      <c r="L4270" s="6">
        <f ca="1">IFERROR(__xludf.DUMMYFUNCTION("IFERROR(GOOGLEFINANCE(B4270,""changepct""),K4270)"),-1.21)</f>
        <v>-1.21</v>
      </c>
      <c r="M4270" s="6">
        <f ca="1">IFERROR(__xludf.DUMMYFUNCTION("IFERROR(GOOGLEFINANCE(B4270,""change""),0)"),-2.61)</f>
        <v>-2.61</v>
      </c>
      <c r="N4270" s="6">
        <v>1</v>
      </c>
      <c r="O4270" s="7">
        <v>45536</v>
      </c>
      <c r="P4270" s="6">
        <v>0.49</v>
      </c>
      <c r="Q4270" s="6">
        <v>651.63</v>
      </c>
      <c r="R4270" s="7">
        <v>45536</v>
      </c>
      <c r="S4270" s="6">
        <v>633.27</v>
      </c>
      <c r="T4270" s="6">
        <v>24.51</v>
      </c>
      <c r="U4270" s="7">
        <v>45536</v>
      </c>
      <c r="V4270" s="6">
        <v>26.79</v>
      </c>
      <c r="W4270" s="6">
        <f ca="1">IFERROR(__xludf.DUMMYFUNCTION("IFERROR(GOOGLEFINANCE(B4270,""pe""),V4270)"),20.35)</f>
        <v>20.350000000000001</v>
      </c>
      <c r="X4270" s="6">
        <v>1.35</v>
      </c>
      <c r="Y4270" s="6">
        <v>5.74</v>
      </c>
      <c r="Z4270" s="6">
        <v>1</v>
      </c>
      <c r="AA4270" s="8">
        <v>45352</v>
      </c>
      <c r="AB4270" s="4">
        <v>0</v>
      </c>
      <c r="AC4270" s="6">
        <v>18.989999999999998</v>
      </c>
      <c r="AD4270" s="6">
        <v>25.72</v>
      </c>
      <c r="AE4270" s="1">
        <v>0</v>
      </c>
      <c r="AF4270" s="1">
        <f ca="1">IFERROR(__xludf.DUMMYFUNCTION("IFERROR(GOOGLEFINANCE(TRIM(F4270)&amp;"":"" &amp; TRIM(B4270),""high52""),AE4270)"),356.8)</f>
        <v>356.8</v>
      </c>
      <c r="AG4270" s="1">
        <v>0</v>
      </c>
      <c r="AH4270" s="1">
        <f ca="1">IFERROR(__xludf.DUMMYFUNCTION("IFERROR(GOOGLEFINANCE(TRIM(F4270)&amp;"":"" &amp; TRIM(B4270),""low52""),AE4270)"),206.68)</f>
        <v>206.68</v>
      </c>
      <c r="AI4270" s="1">
        <f ca="1">IFERROR(__xludf.DUMMYFUNCTION("IFERROR(GOOGLEFINANCE(B4270,""eps""),0)"),10.44)</f>
        <v>10.44</v>
      </c>
      <c r="AJ4270" s="1"/>
      <c r="AK4270" s="1" t="s">
        <v>12950</v>
      </c>
      <c r="AL4270" s="9">
        <f t="shared" si="388"/>
        <v>1</v>
      </c>
    </row>
    <row r="4271" spans="1:38" ht="15" x14ac:dyDescent="0.25">
      <c r="A4271" s="1" t="s">
        <v>12951</v>
      </c>
      <c r="B4271" s="1" t="s">
        <v>12952</v>
      </c>
      <c r="C4271" s="1" t="s">
        <v>186</v>
      </c>
      <c r="D4271" s="1" t="s">
        <v>186</v>
      </c>
      <c r="E4271" s="6">
        <v>474.98</v>
      </c>
      <c r="F4271" s="1" t="s">
        <v>40</v>
      </c>
      <c r="G4271" s="6">
        <f ca="1">IFERROR(__xludf.DUMMYFUNCTION("iferror(GOOGLEFINANCE(TRIM(F4271)&amp;"":"" &amp; TRIM(B4271), ""price""),0
)"),24.6)</f>
        <v>24.6</v>
      </c>
      <c r="H4271" s="6">
        <v>46.35</v>
      </c>
      <c r="I4271" s="6">
        <f t="shared" ca="1" si="0"/>
        <v>24.6</v>
      </c>
      <c r="J4271" s="6">
        <f ca="1">IFERROR(__xludf.DUMMYFUNCTION("IFERROR(GOOGLEFINANCE(B4271, ""volume""), 0)"),634841)</f>
        <v>634841</v>
      </c>
      <c r="K4271" s="6">
        <v>-0.86</v>
      </c>
      <c r="L4271" s="6">
        <f ca="1">IFERROR(__xludf.DUMMYFUNCTION("IFERROR(GOOGLEFINANCE(B4271,""changepct""),K4271)"),-3)</f>
        <v>-3</v>
      </c>
      <c r="M4271" s="6">
        <f ca="1">IFERROR(__xludf.DUMMYFUNCTION("IFERROR(GOOGLEFINANCE(B4271,""change""),0)"),-0.76)</f>
        <v>-0.76</v>
      </c>
      <c r="N4271" s="6">
        <v>1</v>
      </c>
      <c r="O4271" s="7">
        <v>45536</v>
      </c>
      <c r="P4271" s="6">
        <v>74.97</v>
      </c>
      <c r="Q4271" s="6">
        <v>522.76</v>
      </c>
      <c r="R4271" s="7">
        <v>45536</v>
      </c>
      <c r="S4271" s="6">
        <v>186.62</v>
      </c>
      <c r="T4271" s="6">
        <v>-9.74</v>
      </c>
      <c r="U4271" s="7">
        <v>45536</v>
      </c>
      <c r="V4271" s="6">
        <v>0</v>
      </c>
      <c r="W4271" s="6">
        <f ca="1">IFERROR(__xludf.DUMMYFUNCTION("IFERROR(GOOGLEFINANCE(B4271,""pe""),V4271)"),24.41)</f>
        <v>24.41</v>
      </c>
      <c r="X4271" s="12"/>
      <c r="Y4271" s="6">
        <v>2.11</v>
      </c>
      <c r="Z4271" s="6">
        <v>1</v>
      </c>
      <c r="AA4271" s="8">
        <v>45352</v>
      </c>
      <c r="AB4271" s="4">
        <v>0.59</v>
      </c>
      <c r="AC4271" s="6">
        <v>-9.48</v>
      </c>
      <c r="AD4271" s="6">
        <v>-3.13</v>
      </c>
      <c r="AE4271" s="1">
        <v>0</v>
      </c>
      <c r="AF4271" s="1">
        <f ca="1">IFERROR(__xludf.DUMMYFUNCTION("IFERROR(GOOGLEFINANCE(TRIM(F4271)&amp;"":"" &amp; TRIM(B4271),""high52""),AE4271)"),45.1)</f>
        <v>45.1</v>
      </c>
      <c r="AG4271" s="1">
        <v>0</v>
      </c>
      <c r="AH4271" s="1">
        <f ca="1">IFERROR(__xludf.DUMMYFUNCTION("IFERROR(GOOGLEFINANCE(TRIM(F4271)&amp;"":"" &amp; TRIM(B4271),""low52""),AE4271)"),22.86)</f>
        <v>22.86</v>
      </c>
      <c r="AI4271" s="1">
        <f ca="1">IFERROR(__xludf.DUMMYFUNCTION("IFERROR(GOOGLEFINANCE(B4271,""eps""),0)"),1.01)</f>
        <v>1.01</v>
      </c>
      <c r="AJ4271" s="1"/>
      <c r="AK4271" s="1" t="s">
        <v>12953</v>
      </c>
      <c r="AL4271" s="9">
        <f t="shared" si="388"/>
        <v>1</v>
      </c>
    </row>
    <row r="4272" spans="1:38" ht="15" x14ac:dyDescent="0.25">
      <c r="A4272" s="1" t="s">
        <v>12954</v>
      </c>
      <c r="B4272" s="1" t="s">
        <v>12955</v>
      </c>
      <c r="C4272" s="1" t="s">
        <v>227</v>
      </c>
      <c r="D4272" s="1" t="s">
        <v>227</v>
      </c>
      <c r="E4272" s="6">
        <v>651.42999999999995</v>
      </c>
      <c r="F4272" s="1" t="s">
        <v>53</v>
      </c>
      <c r="G4272" s="6">
        <f ca="1">IFERROR(__xludf.DUMMYFUNCTION("iferror(GOOGLEFINANCE(TRIM(F4272)&amp;"":"" &amp; TRIM(B4272), ""price""),0
)"),0)</f>
        <v>0</v>
      </c>
      <c r="H4272" s="6">
        <v>3.48</v>
      </c>
      <c r="I4272" s="6">
        <f t="shared" ca="1" si="0"/>
        <v>3.48</v>
      </c>
      <c r="J4272" s="6">
        <f ca="1">IFERROR(__xludf.DUMMYFUNCTION("IFERROR(GOOGLEFINANCE(B4272, ""volume""), 0)"),0)</f>
        <v>0</v>
      </c>
      <c r="K4272" s="6">
        <v>0.28999999999999998</v>
      </c>
      <c r="L4272" s="6">
        <f ca="1">IFERROR(__xludf.DUMMYFUNCTION("IFERROR(GOOGLEFINANCE(B4272,""changepct""),K4272)"),0.29)</f>
        <v>0.28999999999999998</v>
      </c>
      <c r="M4272" s="6">
        <f ca="1">IFERROR(__xludf.DUMMYFUNCTION("IFERROR(GOOGLEFINANCE(B4272,""change""),0)"),0)</f>
        <v>0</v>
      </c>
      <c r="N4272" s="6">
        <v>2</v>
      </c>
      <c r="O4272" s="7">
        <v>45536</v>
      </c>
      <c r="P4272" s="6">
        <v>502.07</v>
      </c>
      <c r="Q4272" s="6">
        <v>1153.51</v>
      </c>
      <c r="R4272" s="15">
        <v>45536</v>
      </c>
      <c r="S4272" s="6">
        <v>80.819999999999993</v>
      </c>
      <c r="T4272" s="6">
        <v>3.71</v>
      </c>
      <c r="U4272" s="15">
        <v>45536</v>
      </c>
      <c r="V4272" s="6">
        <v>175.78</v>
      </c>
      <c r="W4272" s="6">
        <f ca="1">IFERROR(__xludf.DUMMYFUNCTION("IFERROR(GOOGLEFINANCE(B4272,""pe""),V4272)"),175.78)</f>
        <v>175.78</v>
      </c>
      <c r="X4272" s="6">
        <v>-69.48</v>
      </c>
      <c r="Y4272" s="6">
        <v>1.43</v>
      </c>
      <c r="Z4272" s="6">
        <v>2</v>
      </c>
      <c r="AA4272" s="17">
        <v>45352</v>
      </c>
      <c r="AB4272" s="18">
        <v>5.63</v>
      </c>
      <c r="AC4272" s="6">
        <v>1.34</v>
      </c>
      <c r="AD4272" s="6">
        <v>0.3</v>
      </c>
      <c r="AE4272" s="1">
        <v>0</v>
      </c>
      <c r="AF4272" s="1">
        <f ca="1">IFERROR(__xludf.DUMMYFUNCTION("IFERROR(GOOGLEFINANCE(TRIM(F4272)&amp;"":"" &amp; TRIM(B4272),""high52""),AE4272)"),0)</f>
        <v>0</v>
      </c>
      <c r="AG4272" s="1">
        <v>0</v>
      </c>
      <c r="AH4272" s="1">
        <f ca="1">IFERROR(__xludf.DUMMYFUNCTION("IFERROR(GOOGLEFINANCE(TRIM(F4272)&amp;"":"" &amp; TRIM(B4272),""low52""),AE4272)"),0)</f>
        <v>0</v>
      </c>
      <c r="AI4272" s="1">
        <f ca="1">IFERROR(__xludf.DUMMYFUNCTION("IFERROR(GOOGLEFINANCE(B4272,""eps""),0)"),0)</f>
        <v>0</v>
      </c>
      <c r="AJ4272" s="1"/>
      <c r="AK4272" s="1" t="s">
        <v>12956</v>
      </c>
      <c r="AL4272" s="9">
        <f t="shared" si="388"/>
        <v>1</v>
      </c>
    </row>
    <row r="4273" spans="1:38" ht="15" x14ac:dyDescent="0.25">
      <c r="A4273" s="1" t="s">
        <v>12957</v>
      </c>
      <c r="B4273" s="1" t="s">
        <v>12958</v>
      </c>
      <c r="C4273" s="1" t="s">
        <v>151</v>
      </c>
      <c r="D4273" s="1" t="s">
        <v>151</v>
      </c>
      <c r="E4273" s="6">
        <v>6868.06</v>
      </c>
      <c r="F4273" s="1" t="s">
        <v>40</v>
      </c>
      <c r="G4273" s="6">
        <f ca="1">IFERROR(__xludf.DUMMYFUNCTION("iferror(GOOGLEFINANCE(TRIM(F4273)&amp;"":"" &amp; TRIM(B4273), ""price""),0
)"),380)</f>
        <v>380</v>
      </c>
      <c r="H4273" s="6">
        <v>480.35</v>
      </c>
      <c r="I4273" s="6">
        <f t="shared" ca="1" si="0"/>
        <v>380</v>
      </c>
      <c r="J4273" s="6">
        <f ca="1">IFERROR(__xludf.DUMMYFUNCTION("IFERROR(GOOGLEFINANCE(B4273, ""volume""), 0)"),81975)</f>
        <v>81975</v>
      </c>
      <c r="K4273" s="6">
        <v>-0.65</v>
      </c>
      <c r="L4273" s="6">
        <f ca="1">IFERROR(__xludf.DUMMYFUNCTION("IFERROR(GOOGLEFINANCE(B4273,""changepct""),K4273)"),2.65)</f>
        <v>2.65</v>
      </c>
      <c r="M4273" s="6">
        <f ca="1">IFERROR(__xludf.DUMMYFUNCTION("IFERROR(GOOGLEFINANCE(B4273,""change""),0)"),9.8)</f>
        <v>9.8000000000000007</v>
      </c>
      <c r="N4273" s="6">
        <v>2</v>
      </c>
      <c r="O4273" s="7">
        <v>45536</v>
      </c>
      <c r="P4273" s="6">
        <v>500.49</v>
      </c>
      <c r="Q4273" s="6">
        <v>7322.76</v>
      </c>
      <c r="R4273" s="7">
        <v>45536</v>
      </c>
      <c r="S4273" s="6">
        <v>2245.89</v>
      </c>
      <c r="T4273" s="6">
        <v>-45.74</v>
      </c>
      <c r="U4273" s="7">
        <v>45536</v>
      </c>
      <c r="V4273" s="6">
        <v>0</v>
      </c>
      <c r="W4273" s="6">
        <f ca="1">IFERROR(__xludf.DUMMYFUNCTION("IFERROR(GOOGLEFINANCE(B4273,""pe""),V4273)"),0)</f>
        <v>0</v>
      </c>
      <c r="X4273" s="6">
        <v>0</v>
      </c>
      <c r="Y4273" s="6">
        <v>10.59</v>
      </c>
      <c r="Z4273" s="6">
        <v>2</v>
      </c>
      <c r="AA4273" s="8">
        <v>45352</v>
      </c>
      <c r="AB4273" s="4">
        <v>0.8</v>
      </c>
      <c r="AC4273" s="6">
        <v>8.39</v>
      </c>
      <c r="AD4273" s="6">
        <v>13.34</v>
      </c>
      <c r="AE4273" s="1">
        <v>0</v>
      </c>
      <c r="AF4273" s="1">
        <f ca="1">IFERROR(__xludf.DUMMYFUNCTION("IFERROR(GOOGLEFINANCE(TRIM(F4273)&amp;"":"" &amp; TRIM(B4273),""high52""),AE4273)"),492.3)</f>
        <v>492.3</v>
      </c>
      <c r="AG4273" s="1">
        <v>0</v>
      </c>
      <c r="AH4273" s="1">
        <f ca="1">IFERROR(__xludf.DUMMYFUNCTION("IFERROR(GOOGLEFINANCE(TRIM(F4273)&amp;"":"" &amp; TRIM(B4273),""low52""),AE4273)"),248.35)</f>
        <v>248.35</v>
      </c>
      <c r="AI4273" s="1">
        <f ca="1">IFERROR(__xludf.DUMMYFUNCTION("IFERROR(GOOGLEFINANCE(B4273,""eps""),0)"),-13.8)</f>
        <v>-13.8</v>
      </c>
      <c r="AJ4273" s="1"/>
      <c r="AK4273" s="9"/>
      <c r="AL4273" s="9">
        <f t="shared" si="388"/>
        <v>1</v>
      </c>
    </row>
    <row r="4274" spans="1:38" ht="15" x14ac:dyDescent="0.25">
      <c r="A4274" s="1" t="s">
        <v>12959</v>
      </c>
      <c r="B4274" s="1" t="s">
        <v>12960</v>
      </c>
      <c r="C4274" s="1" t="s">
        <v>227</v>
      </c>
      <c r="D4274" s="1" t="s">
        <v>227</v>
      </c>
      <c r="E4274" s="6">
        <v>64.38</v>
      </c>
      <c r="F4274" s="1" t="s">
        <v>53</v>
      </c>
      <c r="G4274" s="6">
        <f ca="1">IFERROR(__xludf.DUMMYFUNCTION("iferror(GOOGLEFINANCE(TRIM(F4274)&amp;"":"" &amp; TRIM(B4274), ""price""),0
)"),0)</f>
        <v>0</v>
      </c>
      <c r="H4274" s="6">
        <v>20.2</v>
      </c>
      <c r="I4274" s="6">
        <f t="shared" ca="1" si="0"/>
        <v>20.2</v>
      </c>
      <c r="J4274" s="6">
        <f ca="1">IFERROR(__xludf.DUMMYFUNCTION("IFERROR(GOOGLEFINANCE(B4274, ""volume""), 0)"),0)</f>
        <v>0</v>
      </c>
      <c r="K4274" s="6">
        <v>-5.87</v>
      </c>
      <c r="L4274" s="6">
        <f ca="1">IFERROR(__xludf.DUMMYFUNCTION("IFERROR(GOOGLEFINANCE(B4274,""changepct""),K4274)"),-5.87)</f>
        <v>-5.87</v>
      </c>
      <c r="M4274" s="6">
        <f ca="1">IFERROR(__xludf.DUMMYFUNCTION("IFERROR(GOOGLEFINANCE(B4274,""change""),0)"),0)</f>
        <v>0</v>
      </c>
      <c r="N4274" s="6">
        <v>1</v>
      </c>
      <c r="O4274" s="7">
        <v>45536</v>
      </c>
      <c r="P4274" s="9"/>
      <c r="Q4274" s="6">
        <v>64.38</v>
      </c>
      <c r="R4274" s="7">
        <v>45536</v>
      </c>
      <c r="S4274" s="6">
        <v>24.41</v>
      </c>
      <c r="T4274" s="6">
        <v>-12.93</v>
      </c>
      <c r="U4274" s="7">
        <v>45536</v>
      </c>
      <c r="V4274" s="6">
        <v>0</v>
      </c>
      <c r="W4274" s="6">
        <f ca="1">IFERROR(__xludf.DUMMYFUNCTION("IFERROR(GOOGLEFINANCE(B4274,""pe""),V4274)"),0)</f>
        <v>0</v>
      </c>
      <c r="X4274" s="9"/>
      <c r="Y4274" s="6">
        <v>2.11</v>
      </c>
      <c r="Z4274" s="6">
        <v>1</v>
      </c>
      <c r="AA4274" s="8">
        <v>45352</v>
      </c>
      <c r="AB4274" s="4">
        <v>0</v>
      </c>
      <c r="AC4274" s="6">
        <v>-34.9</v>
      </c>
      <c r="AD4274" s="6">
        <v>-34.799999999999997</v>
      </c>
      <c r="AE4274" s="1">
        <v>0</v>
      </c>
      <c r="AF4274" s="1">
        <f ca="1">IFERROR(__xludf.DUMMYFUNCTION("IFERROR(GOOGLEFINANCE(TRIM(F4274)&amp;"":"" &amp; TRIM(B4274),""high52""),AE4274)"),0)</f>
        <v>0</v>
      </c>
      <c r="AG4274" s="1">
        <v>0</v>
      </c>
      <c r="AH4274" s="1">
        <f ca="1">IFERROR(__xludf.DUMMYFUNCTION("IFERROR(GOOGLEFINANCE(TRIM(F4274)&amp;"":"" &amp; TRIM(B4274),""low52""),AE4274)"),0)</f>
        <v>0</v>
      </c>
      <c r="AI4274" s="1">
        <f ca="1">IFERROR(__xludf.DUMMYFUNCTION("IFERROR(GOOGLEFINANCE(B4274,""eps""),0)"),0)</f>
        <v>0</v>
      </c>
      <c r="AJ4274" s="1"/>
      <c r="AK4274" s="1" t="s">
        <v>12961</v>
      </c>
      <c r="AL4274" s="9">
        <f t="shared" si="388"/>
        <v>1</v>
      </c>
    </row>
    <row r="4275" spans="1:38" ht="15" x14ac:dyDescent="0.25">
      <c r="A4275" s="1" t="s">
        <v>12962</v>
      </c>
      <c r="B4275" s="1" t="s">
        <v>12963</v>
      </c>
      <c r="C4275" s="1" t="s">
        <v>227</v>
      </c>
      <c r="D4275" s="1" t="s">
        <v>227</v>
      </c>
      <c r="E4275" s="6">
        <v>52.61</v>
      </c>
      <c r="F4275" s="1" t="s">
        <v>53</v>
      </c>
      <c r="G4275" s="6">
        <f ca="1">IFERROR(__xludf.DUMMYFUNCTION("iferror(GOOGLEFINANCE(TRIM(F4275)&amp;"":"" &amp; TRIM(B4275), ""price""),0
)"),0)</f>
        <v>0</v>
      </c>
      <c r="H4275" s="6">
        <v>74.72</v>
      </c>
      <c r="I4275" s="6">
        <f t="shared" ca="1" si="0"/>
        <v>74.72</v>
      </c>
      <c r="J4275" s="6">
        <f ca="1">IFERROR(__xludf.DUMMYFUNCTION("IFERROR(GOOGLEFINANCE(B4275, ""volume""), 0)"),0)</f>
        <v>0</v>
      </c>
      <c r="K4275" s="6">
        <v>-0.01</v>
      </c>
      <c r="L4275" s="6">
        <f ca="1">IFERROR(__xludf.DUMMYFUNCTION("IFERROR(GOOGLEFINANCE(B4275,""changepct""),K4275)"),-0.01)</f>
        <v>-0.01</v>
      </c>
      <c r="M4275" s="6">
        <f ca="1">IFERROR(__xludf.DUMMYFUNCTION("IFERROR(GOOGLEFINANCE(B4275,""change""),0)"),0)</f>
        <v>0</v>
      </c>
      <c r="N4275" s="6">
        <v>2</v>
      </c>
      <c r="O4275" s="7">
        <v>45536</v>
      </c>
      <c r="P4275" s="6">
        <v>0.43</v>
      </c>
      <c r="Q4275" s="6">
        <v>53.04</v>
      </c>
      <c r="R4275" s="7">
        <v>45536</v>
      </c>
      <c r="S4275" s="6">
        <v>0</v>
      </c>
      <c r="T4275" s="6">
        <v>-0.31</v>
      </c>
      <c r="U4275" s="7">
        <v>45536</v>
      </c>
      <c r="V4275" s="6">
        <v>9.2200000000000006</v>
      </c>
      <c r="W4275" s="6">
        <f ca="1">IFERROR(__xludf.DUMMYFUNCTION("IFERROR(GOOGLEFINANCE(B4275,""pe""),V4275)"),9.22)</f>
        <v>9.2200000000000006</v>
      </c>
      <c r="X4275" s="6">
        <v>-1.1299999999999999</v>
      </c>
      <c r="Y4275" s="6">
        <v>1.25</v>
      </c>
      <c r="Z4275" s="6">
        <v>2</v>
      </c>
      <c r="AA4275" s="8">
        <v>45352</v>
      </c>
      <c r="AB4275" s="4">
        <v>0.01</v>
      </c>
      <c r="AC4275" s="6">
        <v>-0.96</v>
      </c>
      <c r="AD4275" s="6">
        <v>-0.43</v>
      </c>
      <c r="AE4275" s="1">
        <v>0</v>
      </c>
      <c r="AF4275" s="1">
        <f ca="1">IFERROR(__xludf.DUMMYFUNCTION("IFERROR(GOOGLEFINANCE(TRIM(F4275)&amp;"":"" &amp; TRIM(B4275),""high52""),AE4275)"),0)</f>
        <v>0</v>
      </c>
      <c r="AG4275" s="1">
        <v>0</v>
      </c>
      <c r="AH4275" s="1">
        <f ca="1">IFERROR(__xludf.DUMMYFUNCTION("IFERROR(GOOGLEFINANCE(TRIM(F4275)&amp;"":"" &amp; TRIM(B4275),""low52""),AE4275)"),0)</f>
        <v>0</v>
      </c>
      <c r="AI4275" s="1">
        <f ca="1">IFERROR(__xludf.DUMMYFUNCTION("IFERROR(GOOGLEFINANCE(B4275,""eps""),0)"),0)</f>
        <v>0</v>
      </c>
      <c r="AJ4275" s="1"/>
      <c r="AK4275" s="1" t="s">
        <v>12964</v>
      </c>
      <c r="AL4275" s="9">
        <f t="shared" si="388"/>
        <v>1</v>
      </c>
    </row>
    <row r="4276" spans="1:38" ht="15" x14ac:dyDescent="0.25">
      <c r="A4276" s="1" t="s">
        <v>12965</v>
      </c>
      <c r="B4276" s="1" t="s">
        <v>12966</v>
      </c>
      <c r="C4276" s="1" t="s">
        <v>227</v>
      </c>
      <c r="D4276" s="1" t="s">
        <v>227</v>
      </c>
      <c r="E4276" s="6">
        <v>81.84</v>
      </c>
      <c r="F4276" s="1" t="s">
        <v>53</v>
      </c>
      <c r="G4276" s="6">
        <f ca="1">IFERROR(__xludf.DUMMYFUNCTION("iferror(GOOGLEFINANCE(TRIM(F4276)&amp;"":"" &amp; TRIM(B4276), ""price""),0
)"),0)</f>
        <v>0</v>
      </c>
      <c r="H4276" s="6">
        <v>2.97</v>
      </c>
      <c r="I4276" s="6">
        <f t="shared" ca="1" si="0"/>
        <v>2.97</v>
      </c>
      <c r="J4276" s="6">
        <f ca="1">IFERROR(__xludf.DUMMYFUNCTION("IFERROR(GOOGLEFINANCE(B4276, ""volume""), 0)"),0)</f>
        <v>0</v>
      </c>
      <c r="K4276" s="6">
        <v>4.95</v>
      </c>
      <c r="L4276" s="6">
        <f ca="1">IFERROR(__xludf.DUMMYFUNCTION("IFERROR(GOOGLEFINANCE(B4276,""changepct""),K4276)"),4.95)</f>
        <v>4.95</v>
      </c>
      <c r="M4276" s="6">
        <f ca="1">IFERROR(__xludf.DUMMYFUNCTION("IFERROR(GOOGLEFINANCE(B4276,""change""),0)"),0)</f>
        <v>0</v>
      </c>
      <c r="N4276" s="6">
        <v>1</v>
      </c>
      <c r="O4276" s="7">
        <v>45536</v>
      </c>
      <c r="P4276" s="6">
        <v>0.25</v>
      </c>
      <c r="Q4276" s="6">
        <v>82.09</v>
      </c>
      <c r="R4276" s="7">
        <v>45536</v>
      </c>
      <c r="S4276" s="6">
        <v>88.52</v>
      </c>
      <c r="T4276" s="6">
        <v>18.760000000000002</v>
      </c>
      <c r="U4276" s="7">
        <v>45536</v>
      </c>
      <c r="V4276" s="6">
        <v>4.3600000000000003</v>
      </c>
      <c r="W4276" s="6">
        <f ca="1">IFERROR(__xludf.DUMMYFUNCTION("IFERROR(GOOGLEFINANCE(B4276,""pe""),V4276)"),4.36)</f>
        <v>4.3600000000000003</v>
      </c>
      <c r="X4276" s="6">
        <v>0.03</v>
      </c>
      <c r="Y4276" s="6">
        <v>1.3</v>
      </c>
      <c r="Z4276" s="6">
        <v>1</v>
      </c>
      <c r="AA4276" s="8">
        <v>45352</v>
      </c>
      <c r="AB4276" s="4">
        <v>0.02</v>
      </c>
      <c r="AC4276" s="6">
        <v>112.38</v>
      </c>
      <c r="AD4276" s="6">
        <v>119.57</v>
      </c>
      <c r="AE4276" s="1">
        <v>0</v>
      </c>
      <c r="AF4276" s="1">
        <f ca="1">IFERROR(__xludf.DUMMYFUNCTION("IFERROR(GOOGLEFINANCE(TRIM(F4276)&amp;"":"" &amp; TRIM(B4276),""high52""),AE4276)"),0)</f>
        <v>0</v>
      </c>
      <c r="AG4276" s="1">
        <v>0</v>
      </c>
      <c r="AH4276" s="1">
        <f ca="1">IFERROR(__xludf.DUMMYFUNCTION("IFERROR(GOOGLEFINANCE(TRIM(F4276)&amp;"":"" &amp; TRIM(B4276),""low52""),AE4276)"),0)</f>
        <v>0</v>
      </c>
      <c r="AI4276" s="1">
        <f ca="1">IFERROR(__xludf.DUMMYFUNCTION("IFERROR(GOOGLEFINANCE(B4276,""eps""),0)"),0)</f>
        <v>0</v>
      </c>
      <c r="AJ4276" s="1"/>
      <c r="AK4276" s="1" t="s">
        <v>12967</v>
      </c>
      <c r="AL4276" s="9">
        <f t="shared" si="388"/>
        <v>1</v>
      </c>
    </row>
    <row r="4277" spans="1:38" ht="15" x14ac:dyDescent="0.25">
      <c r="A4277" s="1" t="s">
        <v>12968</v>
      </c>
      <c r="B4277" s="1" t="s">
        <v>12969</v>
      </c>
      <c r="C4277" s="1" t="s">
        <v>227</v>
      </c>
      <c r="D4277" s="1" t="s">
        <v>227</v>
      </c>
      <c r="E4277" s="6">
        <v>6.86</v>
      </c>
      <c r="F4277" s="1" t="s">
        <v>53</v>
      </c>
      <c r="G4277" s="6">
        <f ca="1">IFERROR(__xludf.DUMMYFUNCTION("iferror(GOOGLEFINANCE(TRIM(F4277)&amp;"":"" &amp; TRIM(B4277), ""price""),0
)"),0)</f>
        <v>0</v>
      </c>
      <c r="H4277" s="6">
        <v>8.61</v>
      </c>
      <c r="I4277" s="6">
        <f t="shared" ca="1" si="0"/>
        <v>8.61</v>
      </c>
      <c r="J4277" s="6">
        <f ca="1">IFERROR(__xludf.DUMMYFUNCTION("IFERROR(GOOGLEFINANCE(B4277, ""volume""), 0)"),0)</f>
        <v>0</v>
      </c>
      <c r="K4277" s="6">
        <v>1.89</v>
      </c>
      <c r="L4277" s="6">
        <f ca="1">IFERROR(__xludf.DUMMYFUNCTION("IFERROR(GOOGLEFINANCE(B4277,""changepct""),K4277)"),1.89)</f>
        <v>1.89</v>
      </c>
      <c r="M4277" s="6">
        <f ca="1">IFERROR(__xludf.DUMMYFUNCTION("IFERROR(GOOGLEFINANCE(B4277,""change""),0)"),0)</f>
        <v>0</v>
      </c>
      <c r="N4277" s="6">
        <v>1</v>
      </c>
      <c r="O4277" s="7">
        <v>45536</v>
      </c>
      <c r="P4277" s="6">
        <v>0.69</v>
      </c>
      <c r="Q4277" s="6">
        <v>7.55</v>
      </c>
      <c r="R4277" s="7">
        <v>45536</v>
      </c>
      <c r="S4277" s="6">
        <v>0.24</v>
      </c>
      <c r="T4277" s="6">
        <v>-1.71</v>
      </c>
      <c r="U4277" s="7">
        <v>45536</v>
      </c>
      <c r="V4277" s="6">
        <v>0</v>
      </c>
      <c r="W4277" s="6">
        <f ca="1">IFERROR(__xludf.DUMMYFUNCTION("IFERROR(GOOGLEFINANCE(B4277,""pe""),V4277)"),0)</f>
        <v>0</v>
      </c>
      <c r="X4277" s="9"/>
      <c r="Y4277" s="6">
        <v>1.1399999999999999</v>
      </c>
      <c r="Z4277" s="6">
        <v>1</v>
      </c>
      <c r="AA4277" s="8">
        <v>45352</v>
      </c>
      <c r="AB4277" s="4">
        <v>0.05</v>
      </c>
      <c r="AC4277" s="6">
        <v>-14.11</v>
      </c>
      <c r="AD4277" s="6">
        <v>-9.24</v>
      </c>
      <c r="AE4277" s="1">
        <v>0</v>
      </c>
      <c r="AF4277" s="1">
        <f ca="1">IFERROR(__xludf.DUMMYFUNCTION("IFERROR(GOOGLEFINANCE(TRIM(F4277)&amp;"":"" &amp; TRIM(B4277),""high52""),AE4277)"),0)</f>
        <v>0</v>
      </c>
      <c r="AG4277" s="1">
        <v>0</v>
      </c>
      <c r="AH4277" s="1">
        <f ca="1">IFERROR(__xludf.DUMMYFUNCTION("IFERROR(GOOGLEFINANCE(TRIM(F4277)&amp;"":"" &amp; TRIM(B4277),""low52""),AE4277)"),0)</f>
        <v>0</v>
      </c>
      <c r="AI4277" s="1">
        <f ca="1">IFERROR(__xludf.DUMMYFUNCTION("IFERROR(GOOGLEFINANCE(B4277,""eps""),0)"),0)</f>
        <v>0</v>
      </c>
      <c r="AJ4277" s="1"/>
      <c r="AK4277" s="1" t="s">
        <v>12970</v>
      </c>
      <c r="AL4277" s="9">
        <f t="shared" si="388"/>
        <v>1</v>
      </c>
    </row>
    <row r="4278" spans="1:38" ht="15" x14ac:dyDescent="0.25">
      <c r="A4278" s="1" t="s">
        <v>12971</v>
      </c>
      <c r="B4278" s="1" t="s">
        <v>12972</v>
      </c>
      <c r="C4278" s="1" t="s">
        <v>227</v>
      </c>
      <c r="D4278" s="1" t="s">
        <v>227</v>
      </c>
      <c r="E4278" s="6">
        <v>8.41</v>
      </c>
      <c r="F4278" s="1" t="s">
        <v>53</v>
      </c>
      <c r="G4278" s="6">
        <f ca="1">IFERROR(__xludf.DUMMYFUNCTION("iferror(GOOGLEFINANCE(TRIM(F4278)&amp;"":"" &amp; TRIM(B4278), ""price""),0
)"),0)</f>
        <v>0</v>
      </c>
      <c r="H4278" s="6">
        <v>8.91</v>
      </c>
      <c r="I4278" s="6">
        <f t="shared" ca="1" si="0"/>
        <v>8.91</v>
      </c>
      <c r="J4278" s="6">
        <f ca="1">IFERROR(__xludf.DUMMYFUNCTION("IFERROR(GOOGLEFINANCE(B4278, ""volume""), 0)"),0)</f>
        <v>0</v>
      </c>
      <c r="K4278" s="6">
        <v>-1.1100000000000001</v>
      </c>
      <c r="L4278" s="6">
        <f ca="1">IFERROR(__xludf.DUMMYFUNCTION("IFERROR(GOOGLEFINANCE(B4278,""changepct""),K4278)"),-1.11)</f>
        <v>-1.1100000000000001</v>
      </c>
      <c r="M4278" s="6">
        <f ca="1">IFERROR(__xludf.DUMMYFUNCTION("IFERROR(GOOGLEFINANCE(B4278,""change""),0)"),0)</f>
        <v>0</v>
      </c>
      <c r="N4278" s="6">
        <v>1</v>
      </c>
      <c r="O4278" s="7">
        <v>45536</v>
      </c>
      <c r="P4278" s="12"/>
      <c r="Q4278" s="6">
        <v>8.41</v>
      </c>
      <c r="R4278" s="7">
        <v>45536</v>
      </c>
      <c r="S4278" s="6">
        <v>22.92</v>
      </c>
      <c r="T4278" s="6">
        <v>-0.14000000000000001</v>
      </c>
      <c r="U4278" s="7">
        <v>45536</v>
      </c>
      <c r="V4278" s="6">
        <v>0</v>
      </c>
      <c r="W4278" s="6">
        <f ca="1">IFERROR(__xludf.DUMMYFUNCTION("IFERROR(GOOGLEFINANCE(B4278,""pe""),V4278)"),0)</f>
        <v>0</v>
      </c>
      <c r="X4278" s="6">
        <v>0</v>
      </c>
      <c r="Y4278" s="6">
        <v>0.76</v>
      </c>
      <c r="Z4278" s="6">
        <v>1</v>
      </c>
      <c r="AA4278" s="8">
        <v>45352</v>
      </c>
      <c r="AB4278" s="4">
        <v>0</v>
      </c>
      <c r="AC4278" s="6">
        <v>1.17</v>
      </c>
      <c r="AD4278" s="6">
        <v>6.41</v>
      </c>
      <c r="AE4278" s="1">
        <v>0</v>
      </c>
      <c r="AF4278" s="1">
        <f ca="1">IFERROR(__xludf.DUMMYFUNCTION("IFERROR(GOOGLEFINANCE(TRIM(F4278)&amp;"":"" &amp; TRIM(B4278),""high52""),AE4278)"),0)</f>
        <v>0</v>
      </c>
      <c r="AG4278" s="1">
        <v>0</v>
      </c>
      <c r="AH4278" s="1">
        <f ca="1">IFERROR(__xludf.DUMMYFUNCTION("IFERROR(GOOGLEFINANCE(TRIM(F4278)&amp;"":"" &amp; TRIM(B4278),""low52""),AE4278)"),0)</f>
        <v>0</v>
      </c>
      <c r="AI4278" s="1">
        <f ca="1">IFERROR(__xludf.DUMMYFUNCTION("IFERROR(GOOGLEFINANCE(B4278,""eps""),0)"),0)</f>
        <v>0</v>
      </c>
      <c r="AJ4278" s="1"/>
      <c r="AK4278" s="1" t="s">
        <v>12973</v>
      </c>
      <c r="AL4278" s="9">
        <f t="shared" si="388"/>
        <v>1</v>
      </c>
    </row>
    <row r="4279" spans="1:38" ht="15" x14ac:dyDescent="0.25">
      <c r="A4279" s="1" t="s">
        <v>12974</v>
      </c>
      <c r="B4279" s="1" t="s">
        <v>12975</v>
      </c>
      <c r="C4279" s="1" t="s">
        <v>227</v>
      </c>
      <c r="D4279" s="1" t="s">
        <v>227</v>
      </c>
      <c r="E4279" s="6">
        <v>22.1</v>
      </c>
      <c r="F4279" s="1" t="s">
        <v>53</v>
      </c>
      <c r="G4279" s="6">
        <f ca="1">IFERROR(__xludf.DUMMYFUNCTION("iferror(GOOGLEFINANCE(TRIM(F4279)&amp;"":"" &amp; TRIM(B4279), ""price""),0
)"),0)</f>
        <v>0</v>
      </c>
      <c r="H4279" s="6">
        <v>38.24</v>
      </c>
      <c r="I4279" s="6">
        <f t="shared" ca="1" si="0"/>
        <v>38.24</v>
      </c>
      <c r="J4279" s="6">
        <f ca="1">IFERROR(__xludf.DUMMYFUNCTION("IFERROR(GOOGLEFINANCE(B4279, ""volume""), 0)"),22853)</f>
        <v>22853</v>
      </c>
      <c r="K4279" s="6">
        <v>3.86</v>
      </c>
      <c r="L4279" s="6">
        <f ca="1">IFERROR(__xludf.DUMMYFUNCTION("IFERROR(GOOGLEFINANCE(B4279,""changepct""),K4279)"),-14.24)</f>
        <v>-14.24</v>
      </c>
      <c r="M4279" s="6">
        <f ca="1">IFERROR(__xludf.DUMMYFUNCTION("IFERROR(GOOGLEFINANCE(B4279,""change""),0)"),-6.4)</f>
        <v>-6.4</v>
      </c>
      <c r="N4279" s="6">
        <v>1</v>
      </c>
      <c r="O4279" s="7">
        <v>45536</v>
      </c>
      <c r="P4279" s="6">
        <v>1.47</v>
      </c>
      <c r="Q4279" s="6">
        <v>23.57</v>
      </c>
      <c r="R4279" s="7">
        <v>45536</v>
      </c>
      <c r="S4279" s="6">
        <v>181.38</v>
      </c>
      <c r="T4279" s="6">
        <v>4.93</v>
      </c>
      <c r="U4279" s="7">
        <v>45536</v>
      </c>
      <c r="V4279" s="6">
        <v>4.49</v>
      </c>
      <c r="W4279" s="6">
        <f ca="1">IFERROR(__xludf.DUMMYFUNCTION("IFERROR(GOOGLEFINANCE(B4279,""pe""),V4279)"),4.49)</f>
        <v>4.49</v>
      </c>
      <c r="X4279" s="6">
        <v>0.03</v>
      </c>
      <c r="Y4279" s="6">
        <v>7.0000000000000007E-2</v>
      </c>
      <c r="Z4279" s="6">
        <v>1</v>
      </c>
      <c r="AA4279" s="8">
        <v>45352</v>
      </c>
      <c r="AB4279" s="4">
        <v>0.12</v>
      </c>
      <c r="AC4279" s="6">
        <v>27.83</v>
      </c>
      <c r="AD4279" s="6">
        <v>33.630000000000003</v>
      </c>
      <c r="AE4279" s="1">
        <v>0</v>
      </c>
      <c r="AF4279" s="1">
        <f ca="1">IFERROR(__xludf.DUMMYFUNCTION("IFERROR(GOOGLEFINANCE(TRIM(F4279)&amp;"":"" &amp; TRIM(B4279),""high52""),AE4279)"),0)</f>
        <v>0</v>
      </c>
      <c r="AG4279" s="1">
        <v>0</v>
      </c>
      <c r="AH4279" s="1">
        <f ca="1">IFERROR(__xludf.DUMMYFUNCTION("IFERROR(GOOGLEFINANCE(TRIM(F4279)&amp;"":"" &amp; TRIM(B4279),""low52""),AE4279)"),0)</f>
        <v>0</v>
      </c>
      <c r="AI4279" s="1">
        <f ca="1">IFERROR(__xludf.DUMMYFUNCTION("IFERROR(GOOGLEFINANCE(B4279,""eps""),0)"),0)</f>
        <v>0</v>
      </c>
      <c r="AJ4279" s="1"/>
      <c r="AK4279" s="1" t="s">
        <v>12976</v>
      </c>
      <c r="AL4279" s="9">
        <f t="shared" si="388"/>
        <v>1</v>
      </c>
    </row>
    <row r="4280" spans="1:38" ht="15" x14ac:dyDescent="0.25">
      <c r="A4280" s="1" t="s">
        <v>12977</v>
      </c>
      <c r="B4280" s="1" t="s">
        <v>12978</v>
      </c>
      <c r="C4280" s="1" t="s">
        <v>487</v>
      </c>
      <c r="D4280" s="1" t="s">
        <v>487</v>
      </c>
      <c r="E4280" s="6">
        <v>321.52999999999997</v>
      </c>
      <c r="F4280" s="1" t="s">
        <v>40</v>
      </c>
      <c r="G4280" s="6">
        <f ca="1">IFERROR(__xludf.DUMMYFUNCTION("iferror(GOOGLEFINANCE(TRIM(F4280)&amp;"":"" &amp; TRIM(B4280), ""price""),0
)"),11.24)</f>
        <v>11.24</v>
      </c>
      <c r="H4280" s="6">
        <v>22.34</v>
      </c>
      <c r="I4280" s="6">
        <f t="shared" ca="1" si="0"/>
        <v>11.24</v>
      </c>
      <c r="J4280" s="6">
        <f ca="1">IFERROR(__xludf.DUMMYFUNCTION("IFERROR(GOOGLEFINANCE(B4280, ""volume""), 0)"),593317)</f>
        <v>593317</v>
      </c>
      <c r="K4280" s="6">
        <v>-2.02</v>
      </c>
      <c r="L4280" s="6">
        <f ca="1">IFERROR(__xludf.DUMMYFUNCTION("IFERROR(GOOGLEFINANCE(B4280,""changepct""),K4280)"),-1.92)</f>
        <v>-1.92</v>
      </c>
      <c r="M4280" s="6">
        <f ca="1">IFERROR(__xludf.DUMMYFUNCTION("IFERROR(GOOGLEFINANCE(B4280,""change""),0)"),-0.22)</f>
        <v>-0.22</v>
      </c>
      <c r="N4280" s="6">
        <v>2</v>
      </c>
      <c r="O4280" s="7">
        <v>45536</v>
      </c>
      <c r="P4280" s="6">
        <v>106.18</v>
      </c>
      <c r="Q4280" s="6">
        <v>427.7</v>
      </c>
      <c r="R4280" s="7">
        <v>45536</v>
      </c>
      <c r="S4280" s="6">
        <v>224.47</v>
      </c>
      <c r="T4280" s="6">
        <v>268.64</v>
      </c>
      <c r="U4280" s="7">
        <v>45536</v>
      </c>
      <c r="V4280" s="6">
        <v>1.2</v>
      </c>
      <c r="W4280" s="6">
        <f ca="1">IFERROR(__xludf.DUMMYFUNCTION("IFERROR(GOOGLEFINANCE(B4280,""pe""),V4280)"),1.2)</f>
        <v>1.2</v>
      </c>
      <c r="X4280" s="6">
        <v>0.01</v>
      </c>
      <c r="Y4280" s="6">
        <v>0.79</v>
      </c>
      <c r="Z4280" s="6">
        <v>2</v>
      </c>
      <c r="AA4280" s="8">
        <v>45352</v>
      </c>
      <c r="AB4280" s="4">
        <v>0.54</v>
      </c>
      <c r="AC4280" s="6">
        <v>100.47</v>
      </c>
      <c r="AD4280" s="6">
        <v>67.73</v>
      </c>
      <c r="AE4280" s="1">
        <v>0</v>
      </c>
      <c r="AF4280" s="1">
        <f ca="1">IFERROR(__xludf.DUMMYFUNCTION("IFERROR(GOOGLEFINANCE(TRIM(F4280)&amp;"":"" &amp; TRIM(B4280),""high52""),AE4280)"),17.09)</f>
        <v>17.09</v>
      </c>
      <c r="AG4280" s="1">
        <v>0</v>
      </c>
      <c r="AH4280" s="1">
        <f ca="1">IFERROR(__xludf.DUMMYFUNCTION("IFERROR(GOOGLEFINANCE(TRIM(F4280)&amp;"":"" &amp; TRIM(B4280),""low52""),AE4280)"),7.38)</f>
        <v>7.38</v>
      </c>
      <c r="AI4280" s="1">
        <f ca="1">IFERROR(__xludf.DUMMYFUNCTION("IFERROR(GOOGLEFINANCE(B4280,""eps""),0)"),-1.81)</f>
        <v>-1.81</v>
      </c>
      <c r="AJ4280" s="1"/>
      <c r="AK4280" s="1" t="s">
        <v>12979</v>
      </c>
      <c r="AL4280" s="9">
        <f t="shared" si="388"/>
        <v>1</v>
      </c>
    </row>
    <row r="4281" spans="1:38" ht="15" x14ac:dyDescent="0.25">
      <c r="A4281" s="1" t="s">
        <v>12980</v>
      </c>
      <c r="B4281" s="1" t="s">
        <v>12981</v>
      </c>
      <c r="C4281" s="1" t="s">
        <v>227</v>
      </c>
      <c r="D4281" s="1" t="s">
        <v>227</v>
      </c>
      <c r="E4281" s="6">
        <v>8.6199999999999992</v>
      </c>
      <c r="F4281" s="1" t="s">
        <v>53</v>
      </c>
      <c r="G4281" s="6">
        <f ca="1">IFERROR(__xludf.DUMMYFUNCTION("iferror(GOOGLEFINANCE(TRIM(F4281)&amp;"":"" &amp; TRIM(B4281), ""price""),0
)"),0)</f>
        <v>0</v>
      </c>
      <c r="H4281" s="6">
        <v>0.65</v>
      </c>
      <c r="I4281" s="6">
        <f t="shared" ca="1" si="0"/>
        <v>0.65</v>
      </c>
      <c r="J4281" s="6">
        <f ca="1">IFERROR(__xludf.DUMMYFUNCTION("IFERROR(GOOGLEFINANCE(B4281, ""volume""), 0)"),0)</f>
        <v>0</v>
      </c>
      <c r="K4281" s="6">
        <v>-1.52</v>
      </c>
      <c r="L4281" s="6">
        <f ca="1">IFERROR(__xludf.DUMMYFUNCTION("IFERROR(GOOGLEFINANCE(B4281,""changepct""),K4281)"),-1.52)</f>
        <v>-1.52</v>
      </c>
      <c r="M4281" s="6">
        <f ca="1">IFERROR(__xludf.DUMMYFUNCTION("IFERROR(GOOGLEFINANCE(B4281,""change""),0)"),0)</f>
        <v>0</v>
      </c>
      <c r="N4281" s="6">
        <v>1</v>
      </c>
      <c r="O4281" s="7">
        <v>45536</v>
      </c>
      <c r="P4281" s="6">
        <v>0.12</v>
      </c>
      <c r="Q4281" s="6">
        <v>8.74</v>
      </c>
      <c r="R4281" s="7">
        <v>45536</v>
      </c>
      <c r="S4281" s="6">
        <v>0.28999999999999998</v>
      </c>
      <c r="T4281" s="6">
        <v>-1.25</v>
      </c>
      <c r="U4281" s="7">
        <v>45536</v>
      </c>
      <c r="V4281" s="6">
        <v>0</v>
      </c>
      <c r="W4281" s="6">
        <f ca="1">IFERROR(__xludf.DUMMYFUNCTION("IFERROR(GOOGLEFINANCE(B4281,""pe""),V4281)"),0)</f>
        <v>0</v>
      </c>
      <c r="X4281" s="9"/>
      <c r="Y4281" s="6">
        <v>50.38</v>
      </c>
      <c r="Z4281" s="6">
        <v>1</v>
      </c>
      <c r="AA4281" s="8">
        <v>45352</v>
      </c>
      <c r="AB4281" s="4">
        <v>0.01</v>
      </c>
      <c r="AC4281" s="6">
        <v>-1.61</v>
      </c>
      <c r="AD4281" s="6">
        <v>-0.42</v>
      </c>
      <c r="AE4281" s="1">
        <v>0</v>
      </c>
      <c r="AF4281" s="1">
        <f ca="1">IFERROR(__xludf.DUMMYFUNCTION("IFERROR(GOOGLEFINANCE(TRIM(F4281)&amp;"":"" &amp; TRIM(B4281),""high52""),AE4281)"),0)</f>
        <v>0</v>
      </c>
      <c r="AG4281" s="1">
        <v>0</v>
      </c>
      <c r="AH4281" s="1">
        <f ca="1">IFERROR(__xludf.DUMMYFUNCTION("IFERROR(GOOGLEFINANCE(TRIM(F4281)&amp;"":"" &amp; TRIM(B4281),""low52""),AE4281)"),0)</f>
        <v>0</v>
      </c>
      <c r="AI4281" s="1">
        <f ca="1">IFERROR(__xludf.DUMMYFUNCTION("IFERROR(GOOGLEFINANCE(B4281,""eps""),0)"),0)</f>
        <v>0</v>
      </c>
      <c r="AJ4281" s="1"/>
      <c r="AK4281" s="9"/>
      <c r="AL4281" s="9">
        <f t="shared" si="388"/>
        <v>1</v>
      </c>
    </row>
    <row r="4282" spans="1:38" ht="15" x14ac:dyDescent="0.25">
      <c r="A4282" s="1" t="s">
        <v>12982</v>
      </c>
      <c r="B4282" s="1" t="s">
        <v>12983</v>
      </c>
      <c r="C4282" s="1" t="s">
        <v>227</v>
      </c>
      <c r="D4282" s="1" t="s">
        <v>227</v>
      </c>
      <c r="E4282" s="6">
        <v>24.41</v>
      </c>
      <c r="F4282" s="1" t="s">
        <v>53</v>
      </c>
      <c r="G4282" s="6">
        <f ca="1">IFERROR(__xludf.DUMMYFUNCTION("iferror(GOOGLEFINANCE(TRIM(F4282)&amp;"":"" &amp; TRIM(B4282), ""price""),0
)"),0)</f>
        <v>0</v>
      </c>
      <c r="H4282" s="6">
        <v>17.989999999999998</v>
      </c>
      <c r="I4282" s="6">
        <f t="shared" ca="1" si="0"/>
        <v>17.989999999999998</v>
      </c>
      <c r="J4282" s="6">
        <f ca="1">IFERROR(__xludf.DUMMYFUNCTION("IFERROR(GOOGLEFINANCE(B4282, ""volume""), 0)"),0)</f>
        <v>0</v>
      </c>
      <c r="K4282" s="6">
        <v>4.96</v>
      </c>
      <c r="L4282" s="6">
        <f ca="1">IFERROR(__xludf.DUMMYFUNCTION("IFERROR(GOOGLEFINANCE(B4282,""changepct""),K4282)"),4.96)</f>
        <v>4.96</v>
      </c>
      <c r="M4282" s="6">
        <f ca="1">IFERROR(__xludf.DUMMYFUNCTION("IFERROR(GOOGLEFINANCE(B4282,""change""),0)"),0)</f>
        <v>0</v>
      </c>
      <c r="N4282" s="6">
        <v>1</v>
      </c>
      <c r="O4282" s="7">
        <v>45536</v>
      </c>
      <c r="P4282" s="6">
        <v>0.12</v>
      </c>
      <c r="Q4282" s="6">
        <v>24.54</v>
      </c>
      <c r="R4282" s="7">
        <v>45536</v>
      </c>
      <c r="S4282" s="6">
        <v>20.39</v>
      </c>
      <c r="T4282" s="6">
        <v>0.43</v>
      </c>
      <c r="U4282" s="7">
        <v>45536</v>
      </c>
      <c r="V4282" s="6">
        <v>56.78</v>
      </c>
      <c r="W4282" s="6">
        <f ca="1">IFERROR(__xludf.DUMMYFUNCTION("IFERROR(GOOGLEFINANCE(B4282,""pe""),V4282)"),56.78)</f>
        <v>56.78</v>
      </c>
      <c r="X4282" s="6">
        <v>-1.97</v>
      </c>
      <c r="Y4282" s="6">
        <v>3.5</v>
      </c>
      <c r="Z4282" s="6">
        <v>1</v>
      </c>
      <c r="AA4282" s="8">
        <v>45352</v>
      </c>
      <c r="AB4282" s="4">
        <v>0.15</v>
      </c>
      <c r="AC4282" s="6">
        <v>2.89</v>
      </c>
      <c r="AD4282" s="6">
        <v>3.59</v>
      </c>
      <c r="AE4282" s="1">
        <v>0</v>
      </c>
      <c r="AF4282" s="1">
        <f ca="1">IFERROR(__xludf.DUMMYFUNCTION("IFERROR(GOOGLEFINANCE(TRIM(F4282)&amp;"":"" &amp; TRIM(B4282),""high52""),AE4282)"),0)</f>
        <v>0</v>
      </c>
      <c r="AG4282" s="1">
        <v>0</v>
      </c>
      <c r="AH4282" s="1">
        <f ca="1">IFERROR(__xludf.DUMMYFUNCTION("IFERROR(GOOGLEFINANCE(TRIM(F4282)&amp;"":"" &amp; TRIM(B4282),""low52""),AE4282)"),0)</f>
        <v>0</v>
      </c>
      <c r="AI4282" s="1">
        <f ca="1">IFERROR(__xludf.DUMMYFUNCTION("IFERROR(GOOGLEFINANCE(B4282,""eps""),0)"),0)</f>
        <v>0</v>
      </c>
      <c r="AJ4282" s="1"/>
      <c r="AK4282" s="1" t="s">
        <v>12984</v>
      </c>
      <c r="AL4282" s="9">
        <f t="shared" si="388"/>
        <v>1</v>
      </c>
    </row>
    <row r="4283" spans="1:38" ht="15" x14ac:dyDescent="0.25">
      <c r="A4283" s="1" t="s">
        <v>12985</v>
      </c>
      <c r="B4283" s="1" t="s">
        <v>12986</v>
      </c>
      <c r="C4283" s="1" t="s">
        <v>227</v>
      </c>
      <c r="D4283" s="1" t="s">
        <v>227</v>
      </c>
      <c r="E4283" s="6">
        <v>6.69</v>
      </c>
      <c r="F4283" s="1" t="s">
        <v>53</v>
      </c>
      <c r="G4283" s="6">
        <f ca="1">IFERROR(__xludf.DUMMYFUNCTION("iferror(GOOGLEFINANCE(TRIM(F4283)&amp;"":"" &amp; TRIM(B4283), ""price""),0
)"),0)</f>
        <v>0</v>
      </c>
      <c r="H4283" s="6">
        <v>5.68</v>
      </c>
      <c r="I4283" s="6">
        <f t="shared" ca="1" si="0"/>
        <v>5.68</v>
      </c>
      <c r="J4283" s="6">
        <f ca="1">IFERROR(__xludf.DUMMYFUNCTION("IFERROR(GOOGLEFINANCE(B4283, ""volume""), 0)"),0)</f>
        <v>0</v>
      </c>
      <c r="K4283" s="6">
        <v>-1.9</v>
      </c>
      <c r="L4283" s="6">
        <f ca="1">IFERROR(__xludf.DUMMYFUNCTION("IFERROR(GOOGLEFINANCE(B4283,""changepct""),K4283)"),-1.9)</f>
        <v>-1.9</v>
      </c>
      <c r="M4283" s="6">
        <f ca="1">IFERROR(__xludf.DUMMYFUNCTION("IFERROR(GOOGLEFINANCE(B4283,""change""),0)"),0)</f>
        <v>0</v>
      </c>
      <c r="N4283" s="6">
        <v>1</v>
      </c>
      <c r="O4283" s="7">
        <v>45536</v>
      </c>
      <c r="P4283" s="9"/>
      <c r="Q4283" s="6">
        <v>6.6</v>
      </c>
      <c r="R4283" s="7">
        <v>45536</v>
      </c>
      <c r="S4283" s="6">
        <v>0</v>
      </c>
      <c r="T4283" s="6">
        <v>0.1</v>
      </c>
      <c r="U4283" s="7">
        <v>45536</v>
      </c>
      <c r="V4283" s="6">
        <v>65.56</v>
      </c>
      <c r="W4283" s="6">
        <f ca="1">IFERROR(__xludf.DUMMYFUNCTION("IFERROR(GOOGLEFINANCE(B4283,""pe""),V4283)"),65.56)</f>
        <v>65.56</v>
      </c>
      <c r="X4283" s="6">
        <v>-1.82</v>
      </c>
      <c r="Y4283" s="6">
        <v>0.47</v>
      </c>
      <c r="Z4283" s="6">
        <v>1</v>
      </c>
      <c r="AA4283" s="8">
        <v>45352</v>
      </c>
      <c r="AB4283" s="4">
        <v>0</v>
      </c>
      <c r="AC4283" s="6">
        <v>0.63</v>
      </c>
      <c r="AD4283" s="6">
        <v>0.63</v>
      </c>
      <c r="AE4283" s="1">
        <v>0</v>
      </c>
      <c r="AF4283" s="1">
        <f ca="1">IFERROR(__xludf.DUMMYFUNCTION("IFERROR(GOOGLEFINANCE(TRIM(F4283)&amp;"":"" &amp; TRIM(B4283),""high52""),AE4283)"),0)</f>
        <v>0</v>
      </c>
      <c r="AG4283" s="1">
        <v>0</v>
      </c>
      <c r="AH4283" s="1">
        <f ca="1">IFERROR(__xludf.DUMMYFUNCTION("IFERROR(GOOGLEFINANCE(TRIM(F4283)&amp;"":"" &amp; TRIM(B4283),""low52""),AE4283)"),0)</f>
        <v>0</v>
      </c>
      <c r="AI4283" s="1">
        <f ca="1">IFERROR(__xludf.DUMMYFUNCTION("IFERROR(GOOGLEFINANCE(B4283,""eps""),0)"),0)</f>
        <v>0</v>
      </c>
      <c r="AJ4283" s="1"/>
      <c r="AK4283" s="1" t="s">
        <v>12987</v>
      </c>
      <c r="AL4283" s="9">
        <f t="shared" si="388"/>
        <v>1</v>
      </c>
    </row>
    <row r="4284" spans="1:38" ht="15" x14ac:dyDescent="0.25">
      <c r="A4284" s="1" t="s">
        <v>12988</v>
      </c>
      <c r="B4284" s="1" t="s">
        <v>12989</v>
      </c>
      <c r="C4284" s="1" t="s">
        <v>227</v>
      </c>
      <c r="D4284" s="1" t="s">
        <v>227</v>
      </c>
      <c r="E4284" s="6">
        <v>39.39</v>
      </c>
      <c r="F4284" s="1" t="s">
        <v>53</v>
      </c>
      <c r="G4284" s="6">
        <f ca="1">IFERROR(__xludf.DUMMYFUNCTION("iferror(GOOGLEFINANCE(TRIM(F4284)&amp;"":"" &amp; TRIM(B4284), ""price""),0
)"),0)</f>
        <v>0</v>
      </c>
      <c r="H4284" s="6">
        <v>29.84</v>
      </c>
      <c r="I4284" s="6">
        <f t="shared" ca="1" si="0"/>
        <v>29.84</v>
      </c>
      <c r="J4284" s="6">
        <f ca="1">IFERROR(__xludf.DUMMYFUNCTION("IFERROR(GOOGLEFINANCE(B4284, ""volume""), 0)"),0)</f>
        <v>0</v>
      </c>
      <c r="K4284" s="6">
        <v>0</v>
      </c>
      <c r="L4284" s="6">
        <f ca="1">IFERROR(__xludf.DUMMYFUNCTION("IFERROR(GOOGLEFINANCE(B4284,""changepct""),K4284)"),0)</f>
        <v>0</v>
      </c>
      <c r="M4284" s="6">
        <f ca="1">IFERROR(__xludf.DUMMYFUNCTION("IFERROR(GOOGLEFINANCE(B4284,""change""),0)"),0)</f>
        <v>0</v>
      </c>
      <c r="N4284" s="6">
        <v>1</v>
      </c>
      <c r="O4284" s="7">
        <v>45536</v>
      </c>
      <c r="P4284" s="6">
        <v>1.86</v>
      </c>
      <c r="Q4284" s="6">
        <v>41.25</v>
      </c>
      <c r="R4284" s="7">
        <v>45536</v>
      </c>
      <c r="S4284" s="6">
        <v>8.56</v>
      </c>
      <c r="T4284" s="6">
        <v>10.79</v>
      </c>
      <c r="U4284" s="7">
        <v>45536</v>
      </c>
      <c r="V4284" s="6">
        <v>3.65</v>
      </c>
      <c r="W4284" s="6">
        <f ca="1">IFERROR(__xludf.DUMMYFUNCTION("IFERROR(GOOGLEFINANCE(B4284,""pe""),V4284)"),3.65)</f>
        <v>3.65</v>
      </c>
      <c r="X4284" s="6">
        <v>0.26</v>
      </c>
      <c r="Y4284" s="6">
        <v>1.58</v>
      </c>
      <c r="Z4284" s="6">
        <v>1</v>
      </c>
      <c r="AA4284" s="8">
        <v>45352</v>
      </c>
      <c r="AB4284" s="4">
        <v>7.0000000000000007E-2</v>
      </c>
      <c r="AC4284" s="6">
        <v>-4.18</v>
      </c>
      <c r="AD4284" s="6">
        <v>-11.34</v>
      </c>
      <c r="AE4284" s="1">
        <v>0</v>
      </c>
      <c r="AF4284" s="1">
        <f ca="1">IFERROR(__xludf.DUMMYFUNCTION("IFERROR(GOOGLEFINANCE(TRIM(F4284)&amp;"":"" &amp; TRIM(B4284),""high52""),AE4284)"),0)</f>
        <v>0</v>
      </c>
      <c r="AG4284" s="1">
        <v>0</v>
      </c>
      <c r="AH4284" s="1">
        <f ca="1">IFERROR(__xludf.DUMMYFUNCTION("IFERROR(GOOGLEFINANCE(TRIM(F4284)&amp;"":"" &amp; TRIM(B4284),""low52""),AE4284)"),0)</f>
        <v>0</v>
      </c>
      <c r="AI4284" s="1">
        <f ca="1">IFERROR(__xludf.DUMMYFUNCTION("IFERROR(GOOGLEFINANCE(B4284,""eps""),0)"),0)</f>
        <v>0</v>
      </c>
      <c r="AJ4284" s="1"/>
      <c r="AK4284" s="1" t="s">
        <v>12990</v>
      </c>
      <c r="AL4284" s="9">
        <f t="shared" si="388"/>
        <v>1</v>
      </c>
    </row>
    <row r="4285" spans="1:38" ht="15" x14ac:dyDescent="0.25">
      <c r="A4285" s="1" t="s">
        <v>12991</v>
      </c>
      <c r="B4285" s="1" t="s">
        <v>12992</v>
      </c>
      <c r="C4285" s="1" t="s">
        <v>57</v>
      </c>
      <c r="D4285" s="1" t="s">
        <v>57</v>
      </c>
      <c r="E4285" s="6">
        <v>310.93</v>
      </c>
      <c r="F4285" s="1" t="s">
        <v>40</v>
      </c>
      <c r="G4285" s="6">
        <f ca="1">IFERROR(__xludf.DUMMYFUNCTION("iferror(GOOGLEFINANCE(TRIM(F4285)&amp;"":"" &amp; TRIM(B4285), ""price""),0
)"),20.15)</f>
        <v>20.149999999999999</v>
      </c>
      <c r="H4285" s="6">
        <v>30.45</v>
      </c>
      <c r="I4285" s="6">
        <f t="shared" ca="1" si="0"/>
        <v>20.149999999999999</v>
      </c>
      <c r="J4285" s="6">
        <f ca="1">IFERROR(__xludf.DUMMYFUNCTION("IFERROR(GOOGLEFINANCE(B4285, ""volume""), 0)"),111071)</f>
        <v>111071</v>
      </c>
      <c r="K4285" s="6">
        <v>-0.1</v>
      </c>
      <c r="L4285" s="6">
        <f ca="1">IFERROR(__xludf.DUMMYFUNCTION("IFERROR(GOOGLEFINANCE(B4285,""changepct""),K4285)"),-1.56)</f>
        <v>-1.56</v>
      </c>
      <c r="M4285" s="6">
        <f ca="1">IFERROR(__xludf.DUMMYFUNCTION("IFERROR(GOOGLEFINANCE(B4285,""change""),0)"),-0.32)</f>
        <v>-0.32</v>
      </c>
      <c r="N4285" s="6">
        <v>2</v>
      </c>
      <c r="O4285" s="7">
        <v>45536</v>
      </c>
      <c r="P4285" s="6">
        <v>189.24</v>
      </c>
      <c r="Q4285" s="6">
        <v>500.17</v>
      </c>
      <c r="R4285" s="7">
        <v>45536</v>
      </c>
      <c r="S4285" s="6">
        <v>297</v>
      </c>
      <c r="T4285" s="6">
        <v>8.81</v>
      </c>
      <c r="U4285" s="7">
        <v>45536</v>
      </c>
      <c r="V4285" s="6">
        <v>34.35</v>
      </c>
      <c r="W4285" s="6">
        <f ca="1">IFERROR(__xludf.DUMMYFUNCTION("IFERROR(GOOGLEFINANCE(B4285,""pe""),V4285)"),34.35)</f>
        <v>34.35</v>
      </c>
      <c r="X4285" s="6">
        <v>-1.36</v>
      </c>
      <c r="Y4285" s="6">
        <v>0.65</v>
      </c>
      <c r="Z4285" s="6">
        <v>2</v>
      </c>
      <c r="AA4285" s="8">
        <v>45352</v>
      </c>
      <c r="AB4285" s="4">
        <v>0.46</v>
      </c>
      <c r="AC4285" s="6">
        <v>3.26</v>
      </c>
      <c r="AD4285" s="6">
        <v>9.7200000000000006</v>
      </c>
      <c r="AE4285" s="1">
        <v>0</v>
      </c>
      <c r="AF4285" s="1">
        <f ca="1">IFERROR(__xludf.DUMMYFUNCTION("IFERROR(GOOGLEFINANCE(TRIM(F4285)&amp;"":"" &amp; TRIM(B4285),""high52""),AE4285)"),32.69)</f>
        <v>32.69</v>
      </c>
      <c r="AG4285" s="1">
        <v>0</v>
      </c>
      <c r="AH4285" s="1">
        <f ca="1">IFERROR(__xludf.DUMMYFUNCTION("IFERROR(GOOGLEFINANCE(TRIM(F4285)&amp;"":"" &amp; TRIM(B4285),""low52""),AE4285)"),19.28)</f>
        <v>19.28</v>
      </c>
      <c r="AI4285" s="1">
        <f ca="1">IFERROR(__xludf.DUMMYFUNCTION("IFERROR(GOOGLEFINANCE(B4285,""eps""),0)"),-1.33)</f>
        <v>-1.33</v>
      </c>
      <c r="AJ4285" s="1"/>
      <c r="AK4285" s="1" t="s">
        <v>12993</v>
      </c>
      <c r="AL4285" s="9">
        <f t="shared" si="388"/>
        <v>1</v>
      </c>
    </row>
    <row r="4286" spans="1:38" ht="15" x14ac:dyDescent="0.25">
      <c r="A4286" s="1" t="s">
        <v>12994</v>
      </c>
      <c r="B4286" s="1" t="s">
        <v>12992</v>
      </c>
      <c r="C4286" s="1" t="s">
        <v>57</v>
      </c>
      <c r="D4286" s="1" t="s">
        <v>57</v>
      </c>
      <c r="E4286" s="6">
        <v>310.93</v>
      </c>
      <c r="F4286" s="1" t="s">
        <v>40</v>
      </c>
      <c r="G4286" s="6">
        <f ca="1">IFERROR(__xludf.DUMMYFUNCTION("iferror(GOOGLEFINANCE(TRIM(F4286)&amp;"":"" &amp; TRIM(B4286), ""price""),0
)"),20.15)</f>
        <v>20.149999999999999</v>
      </c>
      <c r="H4286" s="6">
        <v>30.45</v>
      </c>
      <c r="I4286" s="6">
        <f t="shared" ca="1" si="0"/>
        <v>20.149999999999999</v>
      </c>
      <c r="J4286" s="6">
        <f ca="1">IFERROR(__xludf.DUMMYFUNCTION("IFERROR(GOOGLEFINANCE(B4286, ""volume""), 0)"),111071)</f>
        <v>111071</v>
      </c>
      <c r="K4286" s="6">
        <v>-0.1</v>
      </c>
      <c r="L4286" s="6">
        <f ca="1">IFERROR(__xludf.DUMMYFUNCTION("IFERROR(GOOGLEFINANCE(B4286,""changepct""),K4286)"),-1.56)</f>
        <v>-1.56</v>
      </c>
      <c r="M4286" s="6">
        <f ca="1">IFERROR(__xludf.DUMMYFUNCTION("IFERROR(GOOGLEFINANCE(B4286,""change""),0)"),-0.32)</f>
        <v>-0.32</v>
      </c>
      <c r="N4286" s="6">
        <v>2</v>
      </c>
      <c r="O4286" s="7">
        <v>45536</v>
      </c>
      <c r="P4286" s="6">
        <v>189.24</v>
      </c>
      <c r="Q4286" s="6">
        <v>500.17</v>
      </c>
      <c r="R4286" s="7">
        <v>45536</v>
      </c>
      <c r="S4286" s="6">
        <v>297</v>
      </c>
      <c r="T4286" s="6">
        <v>8.81</v>
      </c>
      <c r="U4286" s="7">
        <v>45536</v>
      </c>
      <c r="V4286" s="6">
        <v>34.35</v>
      </c>
      <c r="W4286" s="6">
        <f ca="1">IFERROR(__xludf.DUMMYFUNCTION("IFERROR(GOOGLEFINANCE(B4286,""pe""),V4286)"),34.35)</f>
        <v>34.35</v>
      </c>
      <c r="X4286" s="6">
        <v>-1.36</v>
      </c>
      <c r="Y4286" s="6">
        <v>0.65</v>
      </c>
      <c r="Z4286" s="6">
        <v>2</v>
      </c>
      <c r="AA4286" s="8">
        <v>45352</v>
      </c>
      <c r="AB4286" s="4">
        <v>0.46</v>
      </c>
      <c r="AC4286" s="6">
        <v>3.26</v>
      </c>
      <c r="AD4286" s="6">
        <v>9.7200000000000006</v>
      </c>
      <c r="AE4286" s="1">
        <v>0</v>
      </c>
      <c r="AF4286" s="1">
        <f ca="1">IFERROR(__xludf.DUMMYFUNCTION("IFERROR(GOOGLEFINANCE(TRIM(F4286)&amp;"":"" &amp; TRIM(B4286),""high52""),AE4286)"),32.69)</f>
        <v>32.69</v>
      </c>
      <c r="AG4286" s="1">
        <v>0</v>
      </c>
      <c r="AH4286" s="1">
        <f ca="1">IFERROR(__xludf.DUMMYFUNCTION("IFERROR(GOOGLEFINANCE(TRIM(F4286)&amp;"":"" &amp; TRIM(B4286),""low52""),AE4286)"),19.28)</f>
        <v>19.28</v>
      </c>
      <c r="AI4286" s="1">
        <f ca="1">IFERROR(__xludf.DUMMYFUNCTION("IFERROR(GOOGLEFINANCE(B4286,""eps""),0)"),-1.33)</f>
        <v>-1.33</v>
      </c>
      <c r="AJ4286" s="1"/>
      <c r="AK4286" s="1" t="s">
        <v>12995</v>
      </c>
      <c r="AL4286" s="9">
        <f t="shared" si="388"/>
        <v>1</v>
      </c>
    </row>
    <row r="4287" spans="1:38" ht="15" x14ac:dyDescent="0.25">
      <c r="A4287" s="1" t="s">
        <v>12996</v>
      </c>
      <c r="B4287" s="1" t="s">
        <v>12997</v>
      </c>
      <c r="C4287" s="1" t="s">
        <v>227</v>
      </c>
      <c r="D4287" s="1" t="s">
        <v>227</v>
      </c>
      <c r="E4287" s="6">
        <v>73.53</v>
      </c>
      <c r="F4287" s="1" t="s">
        <v>53</v>
      </c>
      <c r="G4287" s="6">
        <f ca="1">IFERROR(__xludf.DUMMYFUNCTION("iferror(GOOGLEFINANCE(TRIM(F4287)&amp;"":"" &amp; TRIM(B4287), ""price""),0
)"),0)</f>
        <v>0</v>
      </c>
      <c r="H4287" s="6">
        <v>0.99</v>
      </c>
      <c r="I4287" s="6">
        <f t="shared" ca="1" si="0"/>
        <v>0.99</v>
      </c>
      <c r="J4287" s="6">
        <f ca="1">IFERROR(__xludf.DUMMYFUNCTION("IFERROR(GOOGLEFINANCE(B4287, ""volume""), 0)"),1106666)</f>
        <v>1106666</v>
      </c>
      <c r="K4287" s="6">
        <v>1.02</v>
      </c>
      <c r="L4287" s="6">
        <f ca="1">IFERROR(__xludf.DUMMYFUNCTION("IFERROR(GOOGLEFINANCE(B4287,""changepct""),K4287)"),0.22)</f>
        <v>0.22</v>
      </c>
      <c r="M4287" s="6">
        <f ca="1">IFERROR(__xludf.DUMMYFUNCTION("IFERROR(GOOGLEFINANCE(B4287,""change""),0)"),0.01)</f>
        <v>0.01</v>
      </c>
      <c r="N4287" s="6">
        <v>2</v>
      </c>
      <c r="O4287" s="7">
        <v>45536</v>
      </c>
      <c r="P4287" s="6">
        <v>4.24</v>
      </c>
      <c r="Q4287" s="6">
        <v>77.77</v>
      </c>
      <c r="R4287" s="7">
        <v>45536</v>
      </c>
      <c r="S4287" s="6">
        <v>22.2</v>
      </c>
      <c r="T4287" s="6">
        <v>-0.2</v>
      </c>
      <c r="U4287" s="7">
        <v>45536</v>
      </c>
      <c r="V4287" s="6">
        <v>0</v>
      </c>
      <c r="W4287" s="6">
        <f ca="1">IFERROR(__xludf.DUMMYFUNCTION("IFERROR(GOOGLEFINANCE(B4287,""pe""),V4287)"),193.36)</f>
        <v>193.36</v>
      </c>
      <c r="X4287" s="9"/>
      <c r="Y4287" s="6">
        <v>0.98</v>
      </c>
      <c r="Z4287" s="6">
        <v>2</v>
      </c>
      <c r="AA4287" s="8">
        <v>45352</v>
      </c>
      <c r="AB4287" s="4">
        <v>0.01</v>
      </c>
      <c r="AC4287" s="6">
        <v>3.34</v>
      </c>
      <c r="AD4287" s="6">
        <v>5.09</v>
      </c>
      <c r="AE4287" s="1">
        <v>0</v>
      </c>
      <c r="AF4287" s="1">
        <f ca="1">IFERROR(__xludf.DUMMYFUNCTION("IFERROR(GOOGLEFINANCE(TRIM(F4287)&amp;"":"" &amp; TRIM(B4287),""high52""),AE4287)"),0)</f>
        <v>0</v>
      </c>
      <c r="AG4287" s="1">
        <v>0</v>
      </c>
      <c r="AH4287" s="1">
        <f ca="1">IFERROR(__xludf.DUMMYFUNCTION("IFERROR(GOOGLEFINANCE(TRIM(F4287)&amp;"":"" &amp; TRIM(B4287),""low52""),AE4287)"),0)</f>
        <v>0</v>
      </c>
      <c r="AI4287" s="1">
        <f ca="1">IFERROR(__xludf.DUMMYFUNCTION("IFERROR(GOOGLEFINANCE(B4287,""eps""),0)"),0.02)</f>
        <v>0.02</v>
      </c>
      <c r="AJ4287" s="1"/>
      <c r="AK4287" s="1" t="s">
        <v>12998</v>
      </c>
      <c r="AL4287" s="9">
        <f t="shared" si="388"/>
        <v>1</v>
      </c>
    </row>
    <row r="4288" spans="1:38" ht="15" x14ac:dyDescent="0.25">
      <c r="A4288" s="1" t="s">
        <v>12999</v>
      </c>
      <c r="B4288" s="1" t="s">
        <v>13000</v>
      </c>
      <c r="C4288" s="1" t="s">
        <v>227</v>
      </c>
      <c r="D4288" s="1" t="s">
        <v>227</v>
      </c>
      <c r="E4288" s="6">
        <v>30.97</v>
      </c>
      <c r="F4288" s="1" t="s">
        <v>53</v>
      </c>
      <c r="G4288" s="6">
        <f ca="1">IFERROR(__xludf.DUMMYFUNCTION("iferror(GOOGLEFINANCE(TRIM(F4288)&amp;"":"" &amp; TRIM(B4288), ""price""),0
)"),0)</f>
        <v>0</v>
      </c>
      <c r="H4288" s="6">
        <v>8.48</v>
      </c>
      <c r="I4288" s="6">
        <f t="shared" ca="1" si="0"/>
        <v>8.48</v>
      </c>
      <c r="J4288" s="6">
        <f ca="1">IFERROR(__xludf.DUMMYFUNCTION("IFERROR(GOOGLEFINANCE(B4288, ""volume""), 0)"),0)</f>
        <v>0</v>
      </c>
      <c r="K4288" s="6">
        <v>-4.93</v>
      </c>
      <c r="L4288" s="6">
        <f ca="1">IFERROR(__xludf.DUMMYFUNCTION("IFERROR(GOOGLEFINANCE(B4288,""changepct""),K4288)"),-4.93)</f>
        <v>-4.93</v>
      </c>
      <c r="M4288" s="6">
        <f ca="1">IFERROR(__xludf.DUMMYFUNCTION("IFERROR(GOOGLEFINANCE(B4288,""change""),0)"),0)</f>
        <v>0</v>
      </c>
      <c r="N4288" s="6">
        <v>1</v>
      </c>
      <c r="O4288" s="7">
        <v>45536</v>
      </c>
      <c r="P4288" s="9"/>
      <c r="Q4288" s="6">
        <v>30.97</v>
      </c>
      <c r="R4288" s="7">
        <v>45536</v>
      </c>
      <c r="S4288" s="6">
        <v>1.98</v>
      </c>
      <c r="T4288" s="6">
        <v>-0.05</v>
      </c>
      <c r="U4288" s="7">
        <v>45536</v>
      </c>
      <c r="V4288" s="6">
        <v>0</v>
      </c>
      <c r="W4288" s="6">
        <f ca="1">IFERROR(__xludf.DUMMYFUNCTION("IFERROR(GOOGLEFINANCE(B4288,""pe""),V4288)"),0)</f>
        <v>0</v>
      </c>
      <c r="X4288" s="9"/>
      <c r="Y4288" s="6">
        <v>0.72</v>
      </c>
      <c r="Z4288" s="6">
        <v>1</v>
      </c>
      <c r="AA4288" s="8">
        <v>45352</v>
      </c>
      <c r="AB4288" s="4">
        <v>0</v>
      </c>
      <c r="AC4288" s="6">
        <v>-43.67</v>
      </c>
      <c r="AD4288" s="6">
        <v>-43.44</v>
      </c>
      <c r="AE4288" s="1">
        <v>0</v>
      </c>
      <c r="AF4288" s="1">
        <f ca="1">IFERROR(__xludf.DUMMYFUNCTION("IFERROR(GOOGLEFINANCE(TRIM(F4288)&amp;"":"" &amp; TRIM(B4288),""high52""),AE4288)"),0)</f>
        <v>0</v>
      </c>
      <c r="AG4288" s="1">
        <v>0</v>
      </c>
      <c r="AH4288" s="1">
        <f ca="1">IFERROR(__xludf.DUMMYFUNCTION("IFERROR(GOOGLEFINANCE(TRIM(F4288)&amp;"":"" &amp; TRIM(B4288),""low52""),AE4288)"),0)</f>
        <v>0</v>
      </c>
      <c r="AI4288" s="1">
        <f ca="1">IFERROR(__xludf.DUMMYFUNCTION("IFERROR(GOOGLEFINANCE(B4288,""eps""),0)"),0)</f>
        <v>0</v>
      </c>
      <c r="AJ4288" s="1"/>
      <c r="AK4288" s="1" t="s">
        <v>13001</v>
      </c>
      <c r="AL4288" s="9">
        <f t="shared" si="388"/>
        <v>1</v>
      </c>
    </row>
    <row r="4289" spans="1:38" ht="15" x14ac:dyDescent="0.25">
      <c r="A4289" s="1" t="s">
        <v>13002</v>
      </c>
      <c r="B4289" s="1" t="s">
        <v>13003</v>
      </c>
      <c r="C4289" s="1" t="s">
        <v>227</v>
      </c>
      <c r="D4289" s="1" t="s">
        <v>227</v>
      </c>
      <c r="E4289" s="6">
        <v>12.19</v>
      </c>
      <c r="F4289" s="1" t="s">
        <v>53</v>
      </c>
      <c r="G4289" s="6">
        <f ca="1">IFERROR(__xludf.DUMMYFUNCTION("iferror(GOOGLEFINANCE(TRIM(F4289)&amp;"":"" &amp; TRIM(B4289), ""price""),0
)"),0)</f>
        <v>0</v>
      </c>
      <c r="H4289" s="6">
        <v>65.45</v>
      </c>
      <c r="I4289" s="6">
        <f t="shared" ca="1" si="0"/>
        <v>65.45</v>
      </c>
      <c r="J4289" s="6">
        <f ca="1">IFERROR(__xludf.DUMMYFUNCTION("IFERROR(GOOGLEFINANCE(B4289, ""volume""), 0)"),0)</f>
        <v>0</v>
      </c>
      <c r="K4289" s="6">
        <v>1.99</v>
      </c>
      <c r="L4289" s="6">
        <f ca="1">IFERROR(__xludf.DUMMYFUNCTION("IFERROR(GOOGLEFINANCE(B4289,""changepct""),K4289)"),1.99)</f>
        <v>1.99</v>
      </c>
      <c r="M4289" s="6">
        <f ca="1">IFERROR(__xludf.DUMMYFUNCTION("IFERROR(GOOGLEFINANCE(B4289,""change""),0)"),0)</f>
        <v>0</v>
      </c>
      <c r="N4289" s="6">
        <v>1</v>
      </c>
      <c r="O4289" s="7">
        <v>45536</v>
      </c>
      <c r="P4289" s="9"/>
      <c r="Q4289" s="6">
        <v>12.16</v>
      </c>
      <c r="R4289" s="7">
        <v>45536</v>
      </c>
      <c r="S4289" s="6">
        <v>5.71</v>
      </c>
      <c r="T4289" s="6">
        <v>1.1599999999999999</v>
      </c>
      <c r="U4289" s="7">
        <v>45536</v>
      </c>
      <c r="V4289" s="6">
        <v>10.56</v>
      </c>
      <c r="W4289" s="6">
        <f ca="1">IFERROR(__xludf.DUMMYFUNCTION("IFERROR(GOOGLEFINANCE(B4289,""pe""),V4289)"),10.56)</f>
        <v>10.56</v>
      </c>
      <c r="X4289" s="6">
        <v>0.71</v>
      </c>
      <c r="Y4289" s="6">
        <v>7.32</v>
      </c>
      <c r="Z4289" s="6">
        <v>2</v>
      </c>
      <c r="AA4289" s="8">
        <v>45352</v>
      </c>
      <c r="AB4289" s="4">
        <v>0</v>
      </c>
      <c r="AC4289" s="6">
        <v>0</v>
      </c>
      <c r="AD4289" s="6">
        <v>0</v>
      </c>
      <c r="AE4289" s="1">
        <v>0</v>
      </c>
      <c r="AF4289" s="1">
        <f ca="1">IFERROR(__xludf.DUMMYFUNCTION("IFERROR(GOOGLEFINANCE(TRIM(F4289)&amp;"":"" &amp; TRIM(B4289),""high52""),AE4289)"),0)</f>
        <v>0</v>
      </c>
      <c r="AG4289" s="1">
        <v>0</v>
      </c>
      <c r="AH4289" s="1">
        <f ca="1">IFERROR(__xludf.DUMMYFUNCTION("IFERROR(GOOGLEFINANCE(TRIM(F4289)&amp;"":"" &amp; TRIM(B4289),""low52""),AE4289)"),0)</f>
        <v>0</v>
      </c>
      <c r="AI4289" s="1">
        <f ca="1">IFERROR(__xludf.DUMMYFUNCTION("IFERROR(GOOGLEFINANCE(B4289,""eps""),0)"),0)</f>
        <v>0</v>
      </c>
      <c r="AJ4289" s="1"/>
      <c r="AK4289" s="1" t="s">
        <v>13004</v>
      </c>
      <c r="AL4289" s="9">
        <f t="shared" si="388"/>
        <v>1</v>
      </c>
    </row>
    <row r="4290" spans="1:38" ht="15" x14ac:dyDescent="0.25">
      <c r="A4290" s="1" t="s">
        <v>13005</v>
      </c>
      <c r="B4290" s="1" t="s">
        <v>13006</v>
      </c>
      <c r="C4290" s="1" t="s">
        <v>219</v>
      </c>
      <c r="D4290" s="1" t="s">
        <v>219</v>
      </c>
      <c r="E4290" s="6">
        <v>458.29</v>
      </c>
      <c r="F4290" s="1" t="s">
        <v>40</v>
      </c>
      <c r="G4290" s="6">
        <f ca="1">IFERROR(__xludf.DUMMYFUNCTION("iferror(GOOGLEFINANCE(TRIM(F4290)&amp;"":"" &amp; TRIM(B4290), ""price""),0
)"),38.9)</f>
        <v>38.9</v>
      </c>
      <c r="H4290" s="6">
        <v>39.31</v>
      </c>
      <c r="I4290" s="6">
        <f t="shared" ca="1" si="0"/>
        <v>38.9</v>
      </c>
      <c r="J4290" s="6">
        <f ca="1">IFERROR(__xludf.DUMMYFUNCTION("IFERROR(GOOGLEFINANCE(B4290, ""volume""), 0)"),9047)</f>
        <v>9047</v>
      </c>
      <c r="K4290" s="6">
        <v>4.99</v>
      </c>
      <c r="L4290" s="6">
        <f ca="1">IFERROR(__xludf.DUMMYFUNCTION("IFERROR(GOOGLEFINANCE(B4290,""changepct""),K4290)"),-2.43)</f>
        <v>-2.4300000000000002</v>
      </c>
      <c r="M4290" s="6">
        <f ca="1">IFERROR(__xludf.DUMMYFUNCTION("IFERROR(GOOGLEFINANCE(B4290,""change""),0)"),-0.97)</f>
        <v>-0.97</v>
      </c>
      <c r="N4290" s="6">
        <v>2</v>
      </c>
      <c r="O4290" s="7">
        <v>45536</v>
      </c>
      <c r="P4290" s="6">
        <v>1356.59</v>
      </c>
      <c r="Q4290" s="6">
        <v>1789.17</v>
      </c>
      <c r="R4290" s="7">
        <v>45536</v>
      </c>
      <c r="S4290" s="6">
        <v>531.05999999999995</v>
      </c>
      <c r="T4290" s="6">
        <v>-44.32</v>
      </c>
      <c r="U4290" s="7">
        <v>45536</v>
      </c>
      <c r="V4290" s="6">
        <v>0</v>
      </c>
      <c r="W4290" s="6">
        <f ca="1">IFERROR(__xludf.DUMMYFUNCTION("IFERROR(GOOGLEFINANCE(B4290,""pe""),V4290)"),0)</f>
        <v>0</v>
      </c>
      <c r="X4290" s="6">
        <v>0</v>
      </c>
      <c r="Y4290" s="6">
        <v>-0.54</v>
      </c>
      <c r="Z4290" s="6">
        <v>2</v>
      </c>
      <c r="AA4290" s="8">
        <v>45352</v>
      </c>
      <c r="AB4290" s="4">
        <v>-1.62</v>
      </c>
      <c r="AC4290" s="6">
        <v>0</v>
      </c>
      <c r="AD4290" s="6">
        <v>-7.61</v>
      </c>
      <c r="AE4290" s="1">
        <v>0</v>
      </c>
      <c r="AF4290" s="1">
        <f ca="1">IFERROR(__xludf.DUMMYFUNCTION("IFERROR(GOOGLEFINANCE(TRIM(F4290)&amp;"":"" &amp; TRIM(B4290),""high52""),AE4290)"),73.68)</f>
        <v>73.680000000000007</v>
      </c>
      <c r="AG4290" s="1">
        <v>0</v>
      </c>
      <c r="AH4290" s="1">
        <f ca="1">IFERROR(__xludf.DUMMYFUNCTION("IFERROR(GOOGLEFINANCE(TRIM(F4290)&amp;"":"" &amp; TRIM(B4290),""low52""),AE4290)"),28.2)</f>
        <v>28.2</v>
      </c>
      <c r="AI4290" s="1">
        <f ca="1">IFERROR(__xludf.DUMMYFUNCTION("IFERROR(GOOGLEFINANCE(B4290,""eps""),0)"),-44.93)</f>
        <v>-44.93</v>
      </c>
      <c r="AJ4290" s="1"/>
      <c r="AK4290" s="1" t="s">
        <v>13007</v>
      </c>
      <c r="AL4290" s="9">
        <f t="shared" si="388"/>
        <v>1</v>
      </c>
    </row>
    <row r="4291" spans="1:38" ht="15" x14ac:dyDescent="0.25">
      <c r="A4291" s="1" t="s">
        <v>13008</v>
      </c>
      <c r="B4291" s="1" t="s">
        <v>13009</v>
      </c>
      <c r="C4291" s="1" t="s">
        <v>227</v>
      </c>
      <c r="D4291" s="1" t="s">
        <v>227</v>
      </c>
      <c r="E4291" s="6">
        <v>40.68</v>
      </c>
      <c r="F4291" s="1" t="s">
        <v>53</v>
      </c>
      <c r="G4291" s="6">
        <f ca="1">IFERROR(__xludf.DUMMYFUNCTION("iferror(GOOGLEFINANCE(TRIM(F4291)&amp;"":"" &amp; TRIM(B4291), ""price""),0
)"),0)</f>
        <v>0</v>
      </c>
      <c r="H4291" s="6">
        <v>49.9</v>
      </c>
      <c r="I4291" s="6">
        <f t="shared" ca="1" si="0"/>
        <v>49.9</v>
      </c>
      <c r="J4291" s="6">
        <f ca="1">IFERROR(__xludf.DUMMYFUNCTION("IFERROR(GOOGLEFINANCE(B4291, ""volume""), 0)"),0)</f>
        <v>0</v>
      </c>
      <c r="K4291" s="6">
        <v>4.83</v>
      </c>
      <c r="L4291" s="6">
        <f ca="1">IFERROR(__xludf.DUMMYFUNCTION("IFERROR(GOOGLEFINANCE(B4291,""changepct""),K4291)"),4.83)</f>
        <v>4.83</v>
      </c>
      <c r="M4291" s="6">
        <f ca="1">IFERROR(__xludf.DUMMYFUNCTION("IFERROR(GOOGLEFINANCE(B4291,""change""),0)"),0)</f>
        <v>0</v>
      </c>
      <c r="N4291" s="6">
        <v>1</v>
      </c>
      <c r="O4291" s="7">
        <v>45536</v>
      </c>
      <c r="P4291" s="6">
        <v>0.99</v>
      </c>
      <c r="Q4291" s="6">
        <v>41.67</v>
      </c>
      <c r="R4291" s="7">
        <v>45536</v>
      </c>
      <c r="S4291" s="6">
        <v>0.22</v>
      </c>
      <c r="T4291" s="6">
        <v>0.04</v>
      </c>
      <c r="U4291" s="7">
        <v>45536</v>
      </c>
      <c r="V4291" s="6">
        <v>924.59</v>
      </c>
      <c r="W4291" s="6">
        <f ca="1">IFERROR(__xludf.DUMMYFUNCTION("IFERROR(GOOGLEFINANCE(B4291,""pe""),V4291)"),924.59)</f>
        <v>924.59</v>
      </c>
      <c r="X4291" s="6">
        <v>-202.76</v>
      </c>
      <c r="Y4291" s="6">
        <v>2.7</v>
      </c>
      <c r="Z4291" s="6">
        <v>1</v>
      </c>
      <c r="AA4291" s="8">
        <v>44621</v>
      </c>
      <c r="AB4291" s="4">
        <v>0.05</v>
      </c>
      <c r="AC4291" s="6">
        <v>0.1</v>
      </c>
      <c r="AD4291" s="6">
        <v>0.13</v>
      </c>
      <c r="AE4291" s="1">
        <v>0</v>
      </c>
      <c r="AF4291" s="1">
        <f ca="1">IFERROR(__xludf.DUMMYFUNCTION("IFERROR(GOOGLEFINANCE(TRIM(F4291)&amp;"":"" &amp; TRIM(B4291),""high52""),AE4291)"),0)</f>
        <v>0</v>
      </c>
      <c r="AG4291" s="1">
        <v>0</v>
      </c>
      <c r="AH4291" s="1">
        <f ca="1">IFERROR(__xludf.DUMMYFUNCTION("IFERROR(GOOGLEFINANCE(TRIM(F4291)&amp;"":"" &amp; TRIM(B4291),""low52""),AE4291)"),0)</f>
        <v>0</v>
      </c>
      <c r="AI4291" s="1">
        <f ca="1">IFERROR(__xludf.DUMMYFUNCTION("IFERROR(GOOGLEFINANCE(B4291,""eps""),0)"),0)</f>
        <v>0</v>
      </c>
      <c r="AJ4291" s="1"/>
      <c r="AK4291" s="1" t="s">
        <v>13010</v>
      </c>
      <c r="AL4291" s="9">
        <f t="shared" si="388"/>
        <v>1</v>
      </c>
    </row>
    <row r="4292" spans="1:38" ht="15" x14ac:dyDescent="0.25">
      <c r="A4292" s="1" t="s">
        <v>13011</v>
      </c>
      <c r="B4292" s="1" t="s">
        <v>13012</v>
      </c>
      <c r="C4292" s="1" t="s">
        <v>227</v>
      </c>
      <c r="D4292" s="1" t="s">
        <v>227</v>
      </c>
      <c r="E4292" s="6">
        <v>14.94</v>
      </c>
      <c r="F4292" s="1" t="s">
        <v>53</v>
      </c>
      <c r="G4292" s="6">
        <f ca="1">IFERROR(__xludf.DUMMYFUNCTION("iferror(GOOGLEFINANCE(TRIM(F4292)&amp;"":"" &amp; TRIM(B4292), ""price""),0
)"),0)</f>
        <v>0</v>
      </c>
      <c r="H4292" s="6">
        <v>6.44</v>
      </c>
      <c r="I4292" s="6">
        <f t="shared" ca="1" si="0"/>
        <v>6.44</v>
      </c>
      <c r="J4292" s="6">
        <f ca="1">IFERROR(__xludf.DUMMYFUNCTION("IFERROR(GOOGLEFINANCE(B4292, ""volume""), 0)"),0)</f>
        <v>0</v>
      </c>
      <c r="K4292" s="6">
        <v>-0.16</v>
      </c>
      <c r="L4292" s="6">
        <f ca="1">IFERROR(__xludf.DUMMYFUNCTION("IFERROR(GOOGLEFINANCE(B4292,""changepct""),K4292)"),-0.16)</f>
        <v>-0.16</v>
      </c>
      <c r="M4292" s="6">
        <f ca="1">IFERROR(__xludf.DUMMYFUNCTION("IFERROR(GOOGLEFINANCE(B4292,""change""),0)"),0)</f>
        <v>0</v>
      </c>
      <c r="N4292" s="6">
        <v>1</v>
      </c>
      <c r="O4292" s="7">
        <v>45536</v>
      </c>
      <c r="P4292" s="6">
        <v>0.87</v>
      </c>
      <c r="Q4292" s="6">
        <v>15.81</v>
      </c>
      <c r="R4292" s="7">
        <v>45536</v>
      </c>
      <c r="S4292" s="6">
        <v>0.46</v>
      </c>
      <c r="T4292" s="6">
        <v>-0.14000000000000001</v>
      </c>
      <c r="U4292" s="7">
        <v>45536</v>
      </c>
      <c r="V4292" s="6">
        <v>0</v>
      </c>
      <c r="W4292" s="6">
        <f ca="1">IFERROR(__xludf.DUMMYFUNCTION("IFERROR(GOOGLEFINANCE(B4292,""pe""),V4292)"),0)</f>
        <v>0</v>
      </c>
      <c r="X4292" s="6">
        <v>0</v>
      </c>
      <c r="Y4292" s="6">
        <v>2.2000000000000002</v>
      </c>
      <c r="Z4292" s="6">
        <v>1</v>
      </c>
      <c r="AA4292" s="8">
        <v>45352</v>
      </c>
      <c r="AB4292" s="4">
        <v>0.12</v>
      </c>
      <c r="AC4292" s="6">
        <v>2.39</v>
      </c>
      <c r="AD4292" s="6">
        <v>3.19</v>
      </c>
      <c r="AE4292" s="1">
        <v>0</v>
      </c>
      <c r="AF4292" s="1">
        <f ca="1">IFERROR(__xludf.DUMMYFUNCTION("IFERROR(GOOGLEFINANCE(TRIM(F4292)&amp;"":"" &amp; TRIM(B4292),""high52""),AE4292)"),0)</f>
        <v>0</v>
      </c>
      <c r="AG4292" s="1">
        <v>0</v>
      </c>
      <c r="AH4292" s="1">
        <f ca="1">IFERROR(__xludf.DUMMYFUNCTION("IFERROR(GOOGLEFINANCE(TRIM(F4292)&amp;"":"" &amp; TRIM(B4292),""low52""),AE4292)"),0)</f>
        <v>0</v>
      </c>
      <c r="AI4292" s="1">
        <f ca="1">IFERROR(__xludf.DUMMYFUNCTION("IFERROR(GOOGLEFINANCE(B4292,""eps""),0)"),0)</f>
        <v>0</v>
      </c>
      <c r="AJ4292" s="1"/>
      <c r="AK4292" s="1" t="s">
        <v>13013</v>
      </c>
      <c r="AL4292" s="9">
        <f t="shared" si="388"/>
        <v>1</v>
      </c>
    </row>
    <row r="4293" spans="1:38" ht="15" x14ac:dyDescent="0.25">
      <c r="A4293" s="1" t="s">
        <v>13014</v>
      </c>
      <c r="B4293" s="1" t="s">
        <v>13015</v>
      </c>
      <c r="C4293" s="1" t="s">
        <v>227</v>
      </c>
      <c r="D4293" s="1" t="s">
        <v>227</v>
      </c>
      <c r="E4293" s="6">
        <v>62.7</v>
      </c>
      <c r="F4293" s="1" t="s">
        <v>53</v>
      </c>
      <c r="G4293" s="6">
        <f ca="1">IFERROR(__xludf.DUMMYFUNCTION("iferror(GOOGLEFINANCE(TRIM(F4293)&amp;"":"" &amp; TRIM(B4293), ""price""),0
)"),0)</f>
        <v>0</v>
      </c>
      <c r="H4293" s="6">
        <v>1.1499999999999999</v>
      </c>
      <c r="I4293" s="6">
        <f t="shared" ca="1" si="0"/>
        <v>1.1499999999999999</v>
      </c>
      <c r="J4293" s="6">
        <f ca="1">IFERROR(__xludf.DUMMYFUNCTION("IFERROR(GOOGLEFINANCE(B4293, ""volume""), 0)"),0)</f>
        <v>0</v>
      </c>
      <c r="K4293" s="6">
        <v>0.88</v>
      </c>
      <c r="L4293" s="6">
        <f ca="1">IFERROR(__xludf.DUMMYFUNCTION("IFERROR(GOOGLEFINANCE(B4293,""changepct""),K4293)"),0.88)</f>
        <v>0.88</v>
      </c>
      <c r="M4293" s="6">
        <f ca="1">IFERROR(__xludf.DUMMYFUNCTION("IFERROR(GOOGLEFINANCE(B4293,""change""),0)"),0)</f>
        <v>0</v>
      </c>
      <c r="N4293" s="6">
        <v>1</v>
      </c>
      <c r="O4293" s="7">
        <v>45536</v>
      </c>
      <c r="P4293" s="6">
        <v>1.99</v>
      </c>
      <c r="Q4293" s="6">
        <v>64.69</v>
      </c>
      <c r="R4293" s="7">
        <v>45536</v>
      </c>
      <c r="S4293" s="6">
        <v>0</v>
      </c>
      <c r="T4293" s="6">
        <v>-0.05</v>
      </c>
      <c r="U4293" s="7">
        <v>45536</v>
      </c>
      <c r="V4293" s="6">
        <v>0</v>
      </c>
      <c r="W4293" s="6">
        <f ca="1">IFERROR(__xludf.DUMMYFUNCTION("IFERROR(GOOGLEFINANCE(B4293,""pe""),V4293)"),0)</f>
        <v>0</v>
      </c>
      <c r="X4293" s="9"/>
      <c r="Y4293" s="6">
        <v>1.1100000000000001</v>
      </c>
      <c r="Z4293" s="6">
        <v>1</v>
      </c>
      <c r="AA4293" s="8">
        <v>45352</v>
      </c>
      <c r="AB4293" s="4">
        <v>0.03</v>
      </c>
      <c r="AC4293" s="6">
        <v>-0.35</v>
      </c>
      <c r="AD4293" s="6">
        <v>-0.33</v>
      </c>
      <c r="AE4293" s="1">
        <v>0</v>
      </c>
      <c r="AF4293" s="1">
        <f ca="1">IFERROR(__xludf.DUMMYFUNCTION("IFERROR(GOOGLEFINANCE(TRIM(F4293)&amp;"":"" &amp; TRIM(B4293),""high52""),AE4293)"),0)</f>
        <v>0</v>
      </c>
      <c r="AG4293" s="1">
        <v>0</v>
      </c>
      <c r="AH4293" s="1">
        <f ca="1">IFERROR(__xludf.DUMMYFUNCTION("IFERROR(GOOGLEFINANCE(TRIM(F4293)&amp;"":"" &amp; TRIM(B4293),""low52""),AE4293)"),0)</f>
        <v>0</v>
      </c>
      <c r="AI4293" s="1">
        <f ca="1">IFERROR(__xludf.DUMMYFUNCTION("IFERROR(GOOGLEFINANCE(B4293,""eps""),0)"),0)</f>
        <v>0</v>
      </c>
      <c r="AJ4293" s="1"/>
      <c r="AK4293" s="1" t="s">
        <v>13016</v>
      </c>
      <c r="AL4293" s="9">
        <f t="shared" si="388"/>
        <v>1</v>
      </c>
    </row>
    <row r="4294" spans="1:38" ht="15" x14ac:dyDescent="0.25">
      <c r="A4294" s="1" t="s">
        <v>13017</v>
      </c>
      <c r="B4294" s="1" t="s">
        <v>13018</v>
      </c>
      <c r="C4294" s="1" t="s">
        <v>186</v>
      </c>
      <c r="D4294" s="1" t="s">
        <v>186</v>
      </c>
      <c r="E4294" s="6">
        <v>31.03</v>
      </c>
      <c r="F4294" s="1" t="s">
        <v>40</v>
      </c>
      <c r="G4294" s="6">
        <f ca="1">IFERROR(__xludf.DUMMYFUNCTION("iferror(GOOGLEFINANCE(TRIM(F4294)&amp;"":"" &amp; TRIM(B4294), ""price""),0
)"),0.57)</f>
        <v>0.56999999999999995</v>
      </c>
      <c r="H4294" s="6">
        <v>1.06</v>
      </c>
      <c r="I4294" s="6">
        <f t="shared" ca="1" si="0"/>
        <v>0.56999999999999995</v>
      </c>
      <c r="J4294" s="6">
        <f ca="1">IFERROR(__xludf.DUMMYFUNCTION("IFERROR(GOOGLEFINANCE(B4294, ""volume""), 0)"),128858)</f>
        <v>128858</v>
      </c>
      <c r="K4294" s="6">
        <v>0</v>
      </c>
      <c r="L4294" s="6">
        <f ca="1">IFERROR(__xludf.DUMMYFUNCTION("IFERROR(GOOGLEFINANCE(B4294,""changepct""),K4294)"),1.79)</f>
        <v>1.79</v>
      </c>
      <c r="M4294" s="6">
        <f ca="1">IFERROR(__xludf.DUMMYFUNCTION("IFERROR(GOOGLEFINANCE(B4294,""change""),0)"),0.01)</f>
        <v>0.01</v>
      </c>
      <c r="N4294" s="6">
        <v>1</v>
      </c>
      <c r="O4294" s="7">
        <v>45536</v>
      </c>
      <c r="P4294" s="6">
        <v>5.78</v>
      </c>
      <c r="Q4294" s="6">
        <v>36.81</v>
      </c>
      <c r="R4294" s="7">
        <v>45536</v>
      </c>
      <c r="S4294" s="6">
        <v>8.2100000000000009</v>
      </c>
      <c r="T4294" s="6">
        <v>-15.37</v>
      </c>
      <c r="U4294" s="7">
        <v>45536</v>
      </c>
      <c r="V4294" s="6">
        <v>0</v>
      </c>
      <c r="W4294" s="6">
        <f ca="1">IFERROR(__xludf.DUMMYFUNCTION("IFERROR(GOOGLEFINANCE(B4294,""pe""),V4294)"),0)</f>
        <v>0</v>
      </c>
      <c r="X4294" s="12"/>
      <c r="Y4294" s="6">
        <v>43.62</v>
      </c>
      <c r="Z4294" s="6">
        <v>1</v>
      </c>
      <c r="AA4294" s="8">
        <v>45352</v>
      </c>
      <c r="AB4294" s="4">
        <v>4.12</v>
      </c>
      <c r="AC4294" s="6">
        <v>-166.26</v>
      </c>
      <c r="AD4294" s="6">
        <v>-80.13</v>
      </c>
      <c r="AE4294" s="1">
        <v>0</v>
      </c>
      <c r="AF4294" s="1">
        <f ca="1">IFERROR(__xludf.DUMMYFUNCTION("IFERROR(GOOGLEFINANCE(TRIM(F4294)&amp;"":"" &amp; TRIM(B4294),""high52""),AE4294)"),1.05)</f>
        <v>1.05</v>
      </c>
      <c r="AG4294" s="1">
        <v>0</v>
      </c>
      <c r="AH4294" s="1">
        <f ca="1">IFERROR(__xludf.DUMMYFUNCTION("IFERROR(GOOGLEFINANCE(TRIM(F4294)&amp;"":"" &amp; TRIM(B4294),""low52""),AE4294)"),0.55)</f>
        <v>0.55000000000000004</v>
      </c>
      <c r="AI4294" s="1">
        <f ca="1">IFERROR(__xludf.DUMMYFUNCTION("IFERROR(GOOGLEFINANCE(B4294,""eps""),0)"),-0.06)</f>
        <v>-0.06</v>
      </c>
      <c r="AJ4294" s="1"/>
      <c r="AK4294" s="1" t="s">
        <v>13019</v>
      </c>
      <c r="AL4294" s="9">
        <f t="shared" si="388"/>
        <v>1</v>
      </c>
    </row>
    <row r="4295" spans="1:38" ht="15" x14ac:dyDescent="0.25">
      <c r="A4295" s="1" t="s">
        <v>13020</v>
      </c>
      <c r="B4295" s="1" t="s">
        <v>13021</v>
      </c>
      <c r="C4295" s="1" t="s">
        <v>239</v>
      </c>
      <c r="D4295" s="1" t="s">
        <v>239</v>
      </c>
      <c r="E4295" s="6">
        <v>778.51</v>
      </c>
      <c r="F4295" s="1" t="s">
        <v>40</v>
      </c>
      <c r="G4295" s="6">
        <f ca="1">IFERROR(__xludf.DUMMYFUNCTION("iferror(GOOGLEFINANCE(TRIM(F4295)&amp;"":"" &amp; TRIM(B4295), ""price""),0
)"),62)</f>
        <v>62</v>
      </c>
      <c r="H4295" s="6">
        <v>91.17</v>
      </c>
      <c r="I4295" s="6">
        <f t="shared" ca="1" si="0"/>
        <v>62</v>
      </c>
      <c r="J4295" s="6">
        <f ca="1">IFERROR(__xludf.DUMMYFUNCTION("IFERROR(GOOGLEFINANCE(B4295, ""volume""), 0)"),118149)</f>
        <v>118149</v>
      </c>
      <c r="K4295" s="6">
        <v>1.18</v>
      </c>
      <c r="L4295" s="6">
        <f ca="1">IFERROR(__xludf.DUMMYFUNCTION("IFERROR(GOOGLEFINANCE(B4295,""changepct""),K4295)"),-0.85)</f>
        <v>-0.85</v>
      </c>
      <c r="M4295" s="6">
        <f ca="1">IFERROR(__xludf.DUMMYFUNCTION("IFERROR(GOOGLEFINANCE(B4295,""change""),0)"),-0.53)</f>
        <v>-0.53</v>
      </c>
      <c r="N4295" s="6">
        <v>2</v>
      </c>
      <c r="O4295" s="7">
        <v>45536</v>
      </c>
      <c r="P4295" s="6">
        <v>520.03</v>
      </c>
      <c r="Q4295" s="6">
        <v>1282.69</v>
      </c>
      <c r="R4295" s="7">
        <v>45536</v>
      </c>
      <c r="S4295" s="6">
        <v>1505.62</v>
      </c>
      <c r="T4295" s="6">
        <v>-12.62</v>
      </c>
      <c r="U4295" s="7">
        <v>45536</v>
      </c>
      <c r="V4295" s="6">
        <v>0</v>
      </c>
      <c r="W4295" s="6">
        <f ca="1">IFERROR(__xludf.DUMMYFUNCTION("IFERROR(GOOGLEFINANCE(B4295,""pe""),V4295)"),11.38)</f>
        <v>11.38</v>
      </c>
      <c r="X4295" s="12"/>
      <c r="Y4295" s="6">
        <v>1.05</v>
      </c>
      <c r="Z4295" s="6">
        <v>2</v>
      </c>
      <c r="AA4295" s="8">
        <v>45352</v>
      </c>
      <c r="AB4295" s="4">
        <v>0.71</v>
      </c>
      <c r="AC4295" s="6">
        <v>0.11</v>
      </c>
      <c r="AD4295" s="6">
        <v>3.24</v>
      </c>
      <c r="AE4295" s="1">
        <v>0</v>
      </c>
      <c r="AF4295" s="1">
        <f ca="1">IFERROR(__xludf.DUMMYFUNCTION("IFERROR(GOOGLEFINANCE(TRIM(F4295)&amp;"":"" &amp; TRIM(B4295),""high52""),AE4295)"),98.1)</f>
        <v>98.1</v>
      </c>
      <c r="AG4295" s="1">
        <v>0</v>
      </c>
      <c r="AH4295" s="1">
        <f ca="1">IFERROR(__xludf.DUMMYFUNCTION("IFERROR(GOOGLEFINANCE(TRIM(F4295)&amp;"":"" &amp; TRIM(B4295),""low52""),AE4295)"),55.05)</f>
        <v>55.05</v>
      </c>
      <c r="AI4295" s="1">
        <f ca="1">IFERROR(__xludf.DUMMYFUNCTION("IFERROR(GOOGLEFINANCE(B4295,""eps""),0)"),5.45)</f>
        <v>5.45</v>
      </c>
      <c r="AJ4295" s="1"/>
      <c r="AK4295" s="9"/>
      <c r="AL4295" s="1" t="b">
        <f>ISBLANK(AB4295)</f>
        <v>0</v>
      </c>
    </row>
    <row r="4296" spans="1:38" ht="15" x14ac:dyDescent="0.25">
      <c r="A4296" s="1" t="s">
        <v>13022</v>
      </c>
      <c r="B4296" s="1" t="s">
        <v>13023</v>
      </c>
      <c r="C4296" s="1" t="s">
        <v>227</v>
      </c>
      <c r="D4296" s="1" t="s">
        <v>227</v>
      </c>
      <c r="E4296" s="6">
        <v>40.82</v>
      </c>
      <c r="F4296" s="1" t="s">
        <v>53</v>
      </c>
      <c r="G4296" s="6">
        <f ca="1">IFERROR(__xludf.DUMMYFUNCTION("iferror(GOOGLEFINANCE(TRIM(F4296)&amp;"":"" &amp; TRIM(B4296), ""price""),0
)"),0)</f>
        <v>0</v>
      </c>
      <c r="H4296" s="6">
        <v>10.98</v>
      </c>
      <c r="I4296" s="6">
        <f t="shared" ca="1" si="0"/>
        <v>10.98</v>
      </c>
      <c r="J4296" s="6">
        <f ca="1">IFERROR(__xludf.DUMMYFUNCTION("IFERROR(GOOGLEFINANCE(B4296, ""volume""), 0)"),0)</f>
        <v>0</v>
      </c>
      <c r="K4296" s="6">
        <v>-0.09</v>
      </c>
      <c r="L4296" s="6">
        <f ca="1">IFERROR(__xludf.DUMMYFUNCTION("IFERROR(GOOGLEFINANCE(B4296,""changepct""),K4296)"),-0.09)</f>
        <v>-0.09</v>
      </c>
      <c r="M4296" s="6">
        <f ca="1">IFERROR(__xludf.DUMMYFUNCTION("IFERROR(GOOGLEFINANCE(B4296,""change""),0)"),0)</f>
        <v>0</v>
      </c>
      <c r="N4296" s="6">
        <v>1</v>
      </c>
      <c r="O4296" s="7">
        <v>45536</v>
      </c>
      <c r="P4296" s="9"/>
      <c r="Q4296" s="6">
        <v>40.64</v>
      </c>
      <c r="R4296" s="7">
        <v>45536</v>
      </c>
      <c r="S4296" s="6">
        <v>12.55</v>
      </c>
      <c r="T4296" s="6">
        <v>1.39</v>
      </c>
      <c r="U4296" s="7">
        <v>45536</v>
      </c>
      <c r="V4296" s="6">
        <v>29.37</v>
      </c>
      <c r="W4296" s="6">
        <f ca="1">IFERROR(__xludf.DUMMYFUNCTION("IFERROR(GOOGLEFINANCE(B4296,""pe""),V4296)"),29.37)</f>
        <v>29.37</v>
      </c>
      <c r="X4296" s="9"/>
      <c r="Y4296" s="6">
        <v>0.98</v>
      </c>
      <c r="Z4296" s="6">
        <v>2</v>
      </c>
      <c r="AA4296" s="8">
        <v>45352</v>
      </c>
      <c r="AB4296" s="4">
        <v>0</v>
      </c>
      <c r="AC4296" s="6">
        <v>38.299999999999997</v>
      </c>
      <c r="AD4296" s="6">
        <v>15.43</v>
      </c>
      <c r="AE4296" s="1">
        <v>0</v>
      </c>
      <c r="AF4296" s="1">
        <f ca="1">IFERROR(__xludf.DUMMYFUNCTION("IFERROR(GOOGLEFINANCE(TRIM(F4296)&amp;"":"" &amp; TRIM(B4296),""high52""),AE4296)"),0)</f>
        <v>0</v>
      </c>
      <c r="AG4296" s="1">
        <v>0</v>
      </c>
      <c r="AH4296" s="1">
        <f ca="1">IFERROR(__xludf.DUMMYFUNCTION("IFERROR(GOOGLEFINANCE(TRIM(F4296)&amp;"":"" &amp; TRIM(B4296),""low52""),AE4296)"),0)</f>
        <v>0</v>
      </c>
      <c r="AI4296" s="1">
        <f ca="1">IFERROR(__xludf.DUMMYFUNCTION("IFERROR(GOOGLEFINANCE(B4296,""eps""),0)"),0)</f>
        <v>0</v>
      </c>
      <c r="AJ4296" s="1"/>
      <c r="AK4296" s="1" t="s">
        <v>13024</v>
      </c>
      <c r="AL4296" s="9">
        <f t="shared" ref="AL4296:AL4319" si="389">IF(AA4296&lt;&gt;AB4296,1,0)</f>
        <v>1</v>
      </c>
    </row>
    <row r="4297" spans="1:38" ht="15" x14ac:dyDescent="0.25">
      <c r="A4297" s="1" t="s">
        <v>13025</v>
      </c>
      <c r="B4297" s="1" t="s">
        <v>13026</v>
      </c>
      <c r="C4297" s="1" t="s">
        <v>227</v>
      </c>
      <c r="D4297" s="1" t="s">
        <v>227</v>
      </c>
      <c r="E4297" s="6">
        <v>164.73</v>
      </c>
      <c r="F4297" s="1" t="s">
        <v>53</v>
      </c>
      <c r="G4297" s="6">
        <f ca="1">IFERROR(__xludf.DUMMYFUNCTION("iferror(GOOGLEFINANCE(TRIM(F4297)&amp;"":"" &amp; TRIM(B4297), ""price""),0
)"),0)</f>
        <v>0</v>
      </c>
      <c r="H4297" s="6">
        <v>1525</v>
      </c>
      <c r="I4297" s="6">
        <f t="shared" ca="1" si="0"/>
        <v>1525</v>
      </c>
      <c r="J4297" s="6">
        <f ca="1">IFERROR(__xludf.DUMMYFUNCTION("IFERROR(GOOGLEFINANCE(B4297, ""volume""), 0)"),0)</f>
        <v>0</v>
      </c>
      <c r="K4297" s="12"/>
      <c r="L4297" s="6" t="str">
        <f ca="1">IFERROR(__xludf.DUMMYFUNCTION("IFERROR(GOOGLEFINANCE(B4297,""changepct""),K4297)"),"")</f>
        <v/>
      </c>
      <c r="M4297" s="6">
        <f ca="1">IFERROR(__xludf.DUMMYFUNCTION("IFERROR(GOOGLEFINANCE(B4297,""change""),0)"),0)</f>
        <v>0</v>
      </c>
      <c r="N4297" s="6">
        <v>1</v>
      </c>
      <c r="O4297" s="7">
        <v>45536</v>
      </c>
      <c r="P4297" s="9"/>
      <c r="Q4297" s="6">
        <v>164.52</v>
      </c>
      <c r="R4297" s="7">
        <v>45536</v>
      </c>
      <c r="S4297" s="6">
        <v>2.87</v>
      </c>
      <c r="T4297" s="6">
        <v>-0.46</v>
      </c>
      <c r="U4297" s="7">
        <v>45536</v>
      </c>
      <c r="V4297" s="6">
        <v>0</v>
      </c>
      <c r="W4297" s="6">
        <f ca="1">IFERROR(__xludf.DUMMYFUNCTION("IFERROR(GOOGLEFINANCE(B4297,""pe""),V4297)"),0)</f>
        <v>0</v>
      </c>
      <c r="X4297" s="12"/>
      <c r="Y4297" s="6">
        <v>0.75</v>
      </c>
      <c r="Z4297" s="6">
        <v>1</v>
      </c>
      <c r="AA4297" s="8">
        <v>45352</v>
      </c>
      <c r="AB4297" s="4">
        <v>0</v>
      </c>
      <c r="AC4297" s="6">
        <v>-0.11</v>
      </c>
      <c r="AD4297" s="6">
        <v>-0.12</v>
      </c>
      <c r="AE4297" s="1">
        <v>0</v>
      </c>
      <c r="AF4297" s="1">
        <f ca="1">IFERROR(__xludf.DUMMYFUNCTION("IFERROR(GOOGLEFINANCE(TRIM(F4297)&amp;"":"" &amp; TRIM(B4297),""high52""),AE4297)"),0)</f>
        <v>0</v>
      </c>
      <c r="AG4297" s="1">
        <v>0</v>
      </c>
      <c r="AH4297" s="1">
        <f ca="1">IFERROR(__xludf.DUMMYFUNCTION("IFERROR(GOOGLEFINANCE(TRIM(F4297)&amp;"":"" &amp; TRIM(B4297),""low52""),AE4297)"),0)</f>
        <v>0</v>
      </c>
      <c r="AI4297" s="1">
        <f ca="1">IFERROR(__xludf.DUMMYFUNCTION("IFERROR(GOOGLEFINANCE(B4297,""eps""),0)"),0)</f>
        <v>0</v>
      </c>
      <c r="AJ4297" s="1"/>
      <c r="AK4297" s="1" t="s">
        <v>13027</v>
      </c>
      <c r="AL4297" s="9">
        <f t="shared" si="389"/>
        <v>1</v>
      </c>
    </row>
    <row r="4298" spans="1:38" ht="15" x14ac:dyDescent="0.25">
      <c r="A4298" s="1" t="s">
        <v>13028</v>
      </c>
      <c r="B4298" s="1" t="s">
        <v>13029</v>
      </c>
      <c r="C4298" s="1" t="s">
        <v>227</v>
      </c>
      <c r="D4298" s="1" t="s">
        <v>227</v>
      </c>
      <c r="E4298" s="6">
        <v>6.19</v>
      </c>
      <c r="F4298" s="1" t="s">
        <v>53</v>
      </c>
      <c r="G4298" s="6">
        <f ca="1">IFERROR(__xludf.DUMMYFUNCTION("iferror(GOOGLEFINANCE(TRIM(F4298)&amp;"":"" &amp; TRIM(B4298), ""price""),0
)"),0)</f>
        <v>0</v>
      </c>
      <c r="H4298" s="6">
        <v>11.17</v>
      </c>
      <c r="I4298" s="6">
        <f t="shared" ca="1" si="0"/>
        <v>11.17</v>
      </c>
      <c r="J4298" s="6">
        <f ca="1">IFERROR(__xludf.DUMMYFUNCTION("IFERROR(GOOGLEFINANCE(B4298, ""volume""), 0)"),0)</f>
        <v>0</v>
      </c>
      <c r="K4298" s="6">
        <v>-0.45</v>
      </c>
      <c r="L4298" s="6">
        <f ca="1">IFERROR(__xludf.DUMMYFUNCTION("IFERROR(GOOGLEFINANCE(B4298,""changepct""),K4298)"),-0.45)</f>
        <v>-0.45</v>
      </c>
      <c r="M4298" s="6">
        <f ca="1">IFERROR(__xludf.DUMMYFUNCTION("IFERROR(GOOGLEFINANCE(B4298,""change""),0)"),0)</f>
        <v>0</v>
      </c>
      <c r="N4298" s="6">
        <v>1</v>
      </c>
      <c r="O4298" s="7">
        <v>45536</v>
      </c>
      <c r="P4298" s="9"/>
      <c r="Q4298" s="6">
        <v>6.19</v>
      </c>
      <c r="R4298" s="7">
        <v>45536</v>
      </c>
      <c r="S4298" s="6">
        <v>11.68</v>
      </c>
      <c r="T4298" s="6">
        <v>0.88</v>
      </c>
      <c r="U4298" s="7">
        <v>45536</v>
      </c>
      <c r="V4298" s="6">
        <v>7.01</v>
      </c>
      <c r="W4298" s="6">
        <f ca="1">IFERROR(__xludf.DUMMYFUNCTION("IFERROR(GOOGLEFINANCE(B4298,""pe""),V4298)"),7.01)</f>
        <v>7.01</v>
      </c>
      <c r="X4298" s="6">
        <v>0.13</v>
      </c>
      <c r="Y4298" s="6">
        <v>0.63</v>
      </c>
      <c r="Z4298" s="6">
        <v>1</v>
      </c>
      <c r="AA4298" s="8">
        <v>45352</v>
      </c>
      <c r="AB4298" s="4">
        <v>0</v>
      </c>
      <c r="AC4298" s="6">
        <v>7.26</v>
      </c>
      <c r="AD4298" s="6">
        <v>9.27</v>
      </c>
      <c r="AE4298" s="1">
        <v>0</v>
      </c>
      <c r="AF4298" s="1">
        <f ca="1">IFERROR(__xludf.DUMMYFUNCTION("IFERROR(GOOGLEFINANCE(TRIM(F4298)&amp;"":"" &amp; TRIM(B4298),""high52""),AE4298)"),0)</f>
        <v>0</v>
      </c>
      <c r="AG4298" s="1">
        <v>0</v>
      </c>
      <c r="AH4298" s="1">
        <f ca="1">IFERROR(__xludf.DUMMYFUNCTION("IFERROR(GOOGLEFINANCE(TRIM(F4298)&amp;"":"" &amp; TRIM(B4298),""low52""),AE4298)"),0)</f>
        <v>0</v>
      </c>
      <c r="AI4298" s="1">
        <f ca="1">IFERROR(__xludf.DUMMYFUNCTION("IFERROR(GOOGLEFINANCE(B4298,""eps""),0)"),0)</f>
        <v>0</v>
      </c>
      <c r="AJ4298" s="1"/>
      <c r="AK4298" s="9"/>
      <c r="AL4298" s="9">
        <f t="shared" si="389"/>
        <v>1</v>
      </c>
    </row>
    <row r="4299" spans="1:38" ht="15" x14ac:dyDescent="0.25">
      <c r="A4299" s="1" t="s">
        <v>13030</v>
      </c>
      <c r="B4299" s="1" t="s">
        <v>13031</v>
      </c>
      <c r="C4299" s="1" t="s">
        <v>227</v>
      </c>
      <c r="D4299" s="1" t="s">
        <v>227</v>
      </c>
      <c r="E4299" s="6">
        <v>59.32</v>
      </c>
      <c r="F4299" s="1" t="s">
        <v>40</v>
      </c>
      <c r="G4299" s="6">
        <f ca="1">IFERROR(__xludf.DUMMYFUNCTION("iferror(GOOGLEFINANCE(TRIM(F4299)&amp;"":"" &amp; TRIM(B4299), ""price""),0
)"),0)</f>
        <v>0</v>
      </c>
      <c r="H4299" s="6">
        <v>42.95</v>
      </c>
      <c r="I4299" s="6">
        <f t="shared" ca="1" si="0"/>
        <v>42.95</v>
      </c>
      <c r="J4299" s="6">
        <f ca="1">IFERROR(__xludf.DUMMYFUNCTION("IFERROR(GOOGLEFINANCE(B4299, ""volume""), 0)"),0)</f>
        <v>0</v>
      </c>
      <c r="K4299" s="9"/>
      <c r="L4299" s="6" t="str">
        <f ca="1">IFERROR(__xludf.DUMMYFUNCTION("IFERROR(GOOGLEFINANCE(B4299,""changepct""),K4299)"),"")</f>
        <v/>
      </c>
      <c r="M4299" s="6">
        <f ca="1">IFERROR(__xludf.DUMMYFUNCTION("IFERROR(GOOGLEFINANCE(B4299,""change""),0)"),0)</f>
        <v>0</v>
      </c>
      <c r="N4299" s="6">
        <v>1</v>
      </c>
      <c r="O4299" s="7">
        <v>45536</v>
      </c>
      <c r="P4299" s="6">
        <v>46.13</v>
      </c>
      <c r="Q4299" s="6">
        <v>105.45</v>
      </c>
      <c r="R4299" s="7">
        <v>45352</v>
      </c>
      <c r="S4299" s="6">
        <v>307.93</v>
      </c>
      <c r="T4299" s="6">
        <v>1.31</v>
      </c>
      <c r="U4299" s="7">
        <v>45352</v>
      </c>
      <c r="V4299" s="6">
        <v>45.17</v>
      </c>
      <c r="W4299" s="6">
        <f ca="1">IFERROR(__xludf.DUMMYFUNCTION("IFERROR(GOOGLEFINANCE(B4299,""pe""),V4299)"),45.17)</f>
        <v>45.17</v>
      </c>
      <c r="X4299" s="9"/>
      <c r="Y4299" s="6">
        <v>2.16</v>
      </c>
      <c r="Z4299" s="6">
        <v>1</v>
      </c>
      <c r="AA4299" s="8">
        <v>45352</v>
      </c>
      <c r="AB4299" s="4">
        <v>4.57</v>
      </c>
      <c r="AC4299" s="6">
        <v>12.17</v>
      </c>
      <c r="AD4299" s="6">
        <v>12.35</v>
      </c>
      <c r="AE4299" s="1">
        <v>0</v>
      </c>
      <c r="AF4299" s="1">
        <f ca="1">IFERROR(__xludf.DUMMYFUNCTION("IFERROR(GOOGLEFINANCE(TRIM(F4299)&amp;"":"" &amp; TRIM(B4299),""high52""),AE4299)"),0)</f>
        <v>0</v>
      </c>
      <c r="AG4299" s="1">
        <v>0</v>
      </c>
      <c r="AH4299" s="1">
        <f ca="1">IFERROR(__xludf.DUMMYFUNCTION("IFERROR(GOOGLEFINANCE(TRIM(F4299)&amp;"":"" &amp; TRIM(B4299),""low52""),AE4299)"),0)</f>
        <v>0</v>
      </c>
      <c r="AI4299" s="1">
        <f ca="1">IFERROR(__xludf.DUMMYFUNCTION("IFERROR(GOOGLEFINANCE(B4299,""eps""),0)"),0)</f>
        <v>0</v>
      </c>
      <c r="AJ4299" s="1"/>
      <c r="AK4299" s="12"/>
      <c r="AL4299" s="9">
        <f t="shared" si="389"/>
        <v>1</v>
      </c>
    </row>
    <row r="4300" spans="1:38" ht="15" x14ac:dyDescent="0.25">
      <c r="A4300" s="1" t="s">
        <v>13032</v>
      </c>
      <c r="B4300" s="1" t="s">
        <v>13033</v>
      </c>
      <c r="C4300" s="1" t="s">
        <v>227</v>
      </c>
      <c r="D4300" s="1" t="s">
        <v>227</v>
      </c>
      <c r="E4300" s="6">
        <v>45.6</v>
      </c>
      <c r="F4300" s="1" t="s">
        <v>53</v>
      </c>
      <c r="G4300" s="6">
        <f ca="1">IFERROR(__xludf.DUMMYFUNCTION("iferror(GOOGLEFINANCE(TRIM(F4300)&amp;"":"" &amp; TRIM(B4300), ""price""),0
)"),0)</f>
        <v>0</v>
      </c>
      <c r="H4300" s="6">
        <v>58.6</v>
      </c>
      <c r="I4300" s="6">
        <f t="shared" ca="1" si="0"/>
        <v>58.6</v>
      </c>
      <c r="J4300" s="6">
        <f ca="1">IFERROR(__xludf.DUMMYFUNCTION("IFERROR(GOOGLEFINANCE(B4300, ""volume""), 0)"),0)</f>
        <v>0</v>
      </c>
      <c r="K4300" s="6">
        <v>2.81</v>
      </c>
      <c r="L4300" s="6">
        <f ca="1">IFERROR(__xludf.DUMMYFUNCTION("IFERROR(GOOGLEFINANCE(B4300,""changepct""),K4300)"),2.81)</f>
        <v>2.81</v>
      </c>
      <c r="M4300" s="6">
        <f ca="1">IFERROR(__xludf.DUMMYFUNCTION("IFERROR(GOOGLEFINANCE(B4300,""change""),0)"),0)</f>
        <v>0</v>
      </c>
      <c r="N4300" s="6">
        <v>1</v>
      </c>
      <c r="O4300" s="7">
        <v>45536</v>
      </c>
      <c r="P4300" s="6">
        <v>0.25</v>
      </c>
      <c r="Q4300" s="6">
        <v>45.85</v>
      </c>
      <c r="R4300" s="7">
        <v>45536</v>
      </c>
      <c r="S4300" s="6">
        <v>10.93</v>
      </c>
      <c r="T4300" s="6">
        <v>6.15</v>
      </c>
      <c r="U4300" s="7">
        <v>45536</v>
      </c>
      <c r="V4300" s="6">
        <v>7.41</v>
      </c>
      <c r="W4300" s="6">
        <f ca="1">IFERROR(__xludf.DUMMYFUNCTION("IFERROR(GOOGLEFINANCE(B4300,""pe""),V4300)"),7.41)</f>
        <v>7.41</v>
      </c>
      <c r="X4300" s="6">
        <v>0.26</v>
      </c>
      <c r="Y4300" s="6">
        <v>0.67</v>
      </c>
      <c r="Z4300" s="6">
        <v>1</v>
      </c>
      <c r="AA4300" s="8">
        <v>45352</v>
      </c>
      <c r="AB4300" s="4">
        <v>0.01</v>
      </c>
      <c r="AC4300" s="6">
        <v>4.32</v>
      </c>
      <c r="AD4300" s="6">
        <v>6.34</v>
      </c>
      <c r="AE4300" s="1">
        <v>0</v>
      </c>
      <c r="AF4300" s="1">
        <f ca="1">IFERROR(__xludf.DUMMYFUNCTION("IFERROR(GOOGLEFINANCE(TRIM(F4300)&amp;"":"" &amp; TRIM(B4300),""high52""),AE4300)"),0)</f>
        <v>0</v>
      </c>
      <c r="AG4300" s="1">
        <v>0</v>
      </c>
      <c r="AH4300" s="1">
        <f ca="1">IFERROR(__xludf.DUMMYFUNCTION("IFERROR(GOOGLEFINANCE(TRIM(F4300)&amp;"":"" &amp; TRIM(B4300),""low52""),AE4300)"),0)</f>
        <v>0</v>
      </c>
      <c r="AI4300" s="1">
        <f ca="1">IFERROR(__xludf.DUMMYFUNCTION("IFERROR(GOOGLEFINANCE(B4300,""eps""),0)"),0)</f>
        <v>0</v>
      </c>
      <c r="AJ4300" s="1"/>
      <c r="AK4300" s="1" t="s">
        <v>13034</v>
      </c>
      <c r="AL4300" s="9">
        <f t="shared" si="389"/>
        <v>1</v>
      </c>
    </row>
    <row r="4301" spans="1:38" ht="15" x14ac:dyDescent="0.25">
      <c r="A4301" s="1" t="s">
        <v>13035</v>
      </c>
      <c r="B4301" s="1" t="s">
        <v>13036</v>
      </c>
      <c r="C4301" s="1" t="s">
        <v>227</v>
      </c>
      <c r="D4301" s="1" t="s">
        <v>227</v>
      </c>
      <c r="E4301" s="6">
        <v>144.57</v>
      </c>
      <c r="F4301" s="1" t="s">
        <v>53</v>
      </c>
      <c r="G4301" s="6">
        <f ca="1">IFERROR(__xludf.DUMMYFUNCTION("iferror(GOOGLEFINANCE(TRIM(F4301)&amp;"":"" &amp; TRIM(B4301), ""price""),0
)"),0)</f>
        <v>0</v>
      </c>
      <c r="H4301" s="6">
        <v>50.86</v>
      </c>
      <c r="I4301" s="6">
        <f t="shared" ca="1" si="0"/>
        <v>50.86</v>
      </c>
      <c r="J4301" s="6">
        <f ca="1">IFERROR(__xludf.DUMMYFUNCTION("IFERROR(GOOGLEFINANCE(B4301, ""volume""), 0)"),0)</f>
        <v>0</v>
      </c>
      <c r="K4301" s="6">
        <v>2.62</v>
      </c>
      <c r="L4301" s="6">
        <f ca="1">IFERROR(__xludf.DUMMYFUNCTION("IFERROR(GOOGLEFINANCE(B4301,""changepct""),K4301)"),2.62)</f>
        <v>2.62</v>
      </c>
      <c r="M4301" s="6">
        <f ca="1">IFERROR(__xludf.DUMMYFUNCTION("IFERROR(GOOGLEFINANCE(B4301,""change""),0)"),0)</f>
        <v>0</v>
      </c>
      <c r="N4301" s="6">
        <v>2</v>
      </c>
      <c r="O4301" s="7">
        <v>45536</v>
      </c>
      <c r="P4301" s="6">
        <v>76.349999999999994</v>
      </c>
      <c r="Q4301" s="6">
        <v>220.92</v>
      </c>
      <c r="R4301" s="7">
        <v>45536</v>
      </c>
      <c r="S4301" s="6">
        <v>498.08</v>
      </c>
      <c r="T4301" s="6">
        <v>7.08</v>
      </c>
      <c r="U4301" s="7">
        <v>45536</v>
      </c>
      <c r="V4301" s="6">
        <v>20.420000000000002</v>
      </c>
      <c r="W4301" s="6">
        <f ca="1">IFERROR(__xludf.DUMMYFUNCTION("IFERROR(GOOGLEFINANCE(B4301,""pe""),V4301)"),20.42)</f>
        <v>20.420000000000002</v>
      </c>
      <c r="X4301" s="6">
        <v>-3.55</v>
      </c>
      <c r="Y4301" s="6">
        <v>0.75</v>
      </c>
      <c r="Z4301" s="6">
        <v>2</v>
      </c>
      <c r="AA4301" s="8">
        <v>45352</v>
      </c>
      <c r="AB4301" s="4">
        <v>0.05</v>
      </c>
      <c r="AC4301" s="6">
        <v>6.59</v>
      </c>
      <c r="AD4301" s="6">
        <v>10.01</v>
      </c>
      <c r="AE4301" s="1">
        <v>0</v>
      </c>
      <c r="AF4301" s="1">
        <f ca="1">IFERROR(__xludf.DUMMYFUNCTION("IFERROR(GOOGLEFINANCE(TRIM(F4301)&amp;"":"" &amp; TRIM(B4301),""high52""),AE4301)"),0)</f>
        <v>0</v>
      </c>
      <c r="AG4301" s="1">
        <v>0</v>
      </c>
      <c r="AH4301" s="1">
        <f ca="1">IFERROR(__xludf.DUMMYFUNCTION("IFERROR(GOOGLEFINANCE(TRIM(F4301)&amp;"":"" &amp; TRIM(B4301),""low52""),AE4301)"),0)</f>
        <v>0</v>
      </c>
      <c r="AI4301" s="1">
        <f ca="1">IFERROR(__xludf.DUMMYFUNCTION("IFERROR(GOOGLEFINANCE(B4301,""eps""),0)"),0)</f>
        <v>0</v>
      </c>
      <c r="AJ4301" s="1"/>
      <c r="AK4301" s="1" t="s">
        <v>13037</v>
      </c>
      <c r="AL4301" s="9">
        <f t="shared" si="389"/>
        <v>1</v>
      </c>
    </row>
    <row r="4302" spans="1:38" ht="15" x14ac:dyDescent="0.25">
      <c r="A4302" s="1" t="s">
        <v>13038</v>
      </c>
      <c r="B4302" s="1" t="s">
        <v>13039</v>
      </c>
      <c r="C4302" s="1" t="s">
        <v>227</v>
      </c>
      <c r="D4302" s="1" t="s">
        <v>227</v>
      </c>
      <c r="E4302" s="6">
        <v>44.95</v>
      </c>
      <c r="F4302" s="1" t="s">
        <v>53</v>
      </c>
      <c r="G4302" s="6">
        <f ca="1">IFERROR(__xludf.DUMMYFUNCTION("iferror(GOOGLEFINANCE(TRIM(F4302)&amp;"":"" &amp; TRIM(B4302), ""price""),0
)"),0)</f>
        <v>0</v>
      </c>
      <c r="H4302" s="6">
        <v>1.57</v>
      </c>
      <c r="I4302" s="6">
        <f t="shared" ca="1" si="0"/>
        <v>1.57</v>
      </c>
      <c r="J4302" s="6">
        <f ca="1">IFERROR(__xludf.DUMMYFUNCTION("IFERROR(GOOGLEFINANCE(B4302, ""volume""), 0)"),0)</f>
        <v>0</v>
      </c>
      <c r="K4302" s="6">
        <v>-0.63</v>
      </c>
      <c r="L4302" s="6">
        <f ca="1">IFERROR(__xludf.DUMMYFUNCTION("IFERROR(GOOGLEFINANCE(B4302,""changepct""),K4302)"),-0.63)</f>
        <v>-0.63</v>
      </c>
      <c r="M4302" s="6">
        <f ca="1">IFERROR(__xludf.DUMMYFUNCTION("IFERROR(GOOGLEFINANCE(B4302,""change""),0)"),0)</f>
        <v>0</v>
      </c>
      <c r="N4302" s="6">
        <v>1</v>
      </c>
      <c r="O4302" s="7">
        <v>45536</v>
      </c>
      <c r="P4302" s="6">
        <v>0.33</v>
      </c>
      <c r="Q4302" s="6">
        <v>45.28</v>
      </c>
      <c r="R4302" s="7">
        <v>45536</v>
      </c>
      <c r="S4302" s="6">
        <v>22.17</v>
      </c>
      <c r="T4302" s="6">
        <v>1.06</v>
      </c>
      <c r="U4302" s="7">
        <v>45536</v>
      </c>
      <c r="V4302" s="6">
        <v>42.49</v>
      </c>
      <c r="W4302" s="6">
        <f ca="1">IFERROR(__xludf.DUMMYFUNCTION("IFERROR(GOOGLEFINANCE(B4302,""pe""),V4302)"),42.49)</f>
        <v>42.49</v>
      </c>
      <c r="X4302" s="6">
        <v>0.28000000000000003</v>
      </c>
      <c r="Y4302" s="6">
        <v>0.6</v>
      </c>
      <c r="Z4302" s="6">
        <v>1</v>
      </c>
      <c r="AA4302" s="8">
        <v>45352</v>
      </c>
      <c r="AB4302" s="4">
        <v>0.82</v>
      </c>
      <c r="AC4302" s="6">
        <v>32.85</v>
      </c>
      <c r="AD4302" s="6">
        <v>22.54</v>
      </c>
      <c r="AE4302" s="1">
        <v>0</v>
      </c>
      <c r="AF4302" s="1">
        <f ca="1">IFERROR(__xludf.DUMMYFUNCTION("IFERROR(GOOGLEFINANCE(TRIM(F4302)&amp;"":"" &amp; TRIM(B4302),""high52""),AE4302)"),0)</f>
        <v>0</v>
      </c>
      <c r="AG4302" s="1">
        <v>0</v>
      </c>
      <c r="AH4302" s="1">
        <f ca="1">IFERROR(__xludf.DUMMYFUNCTION("IFERROR(GOOGLEFINANCE(TRIM(F4302)&amp;"":"" &amp; TRIM(B4302),""low52""),AE4302)"),0)</f>
        <v>0</v>
      </c>
      <c r="AI4302" s="1">
        <f ca="1">IFERROR(__xludf.DUMMYFUNCTION("IFERROR(GOOGLEFINANCE(B4302,""eps""),0)"),0)</f>
        <v>0</v>
      </c>
      <c r="AJ4302" s="1"/>
      <c r="AK4302" s="1" t="s">
        <v>13040</v>
      </c>
      <c r="AL4302" s="9">
        <f t="shared" si="389"/>
        <v>1</v>
      </c>
    </row>
    <row r="4303" spans="1:38" ht="15" x14ac:dyDescent="0.25">
      <c r="A4303" s="1" t="s">
        <v>13041</v>
      </c>
      <c r="B4303" s="1" t="s">
        <v>13042</v>
      </c>
      <c r="C4303" s="1" t="s">
        <v>227</v>
      </c>
      <c r="D4303" s="1" t="s">
        <v>227</v>
      </c>
      <c r="E4303" s="6">
        <v>8.64</v>
      </c>
      <c r="F4303" s="1" t="s">
        <v>53</v>
      </c>
      <c r="G4303" s="6">
        <f ca="1">IFERROR(__xludf.DUMMYFUNCTION("iferror(GOOGLEFINANCE(TRIM(F4303)&amp;"":"" &amp; TRIM(B4303), ""price""),0
)"),0)</f>
        <v>0</v>
      </c>
      <c r="H4303" s="6">
        <v>21.22</v>
      </c>
      <c r="I4303" s="6">
        <f t="shared" ca="1" si="0"/>
        <v>21.22</v>
      </c>
      <c r="J4303" s="6">
        <f ca="1">IFERROR(__xludf.DUMMYFUNCTION("IFERROR(GOOGLEFINANCE(B4303, ""volume""), 0)"),0)</f>
        <v>0</v>
      </c>
      <c r="K4303" s="6">
        <v>-3.5</v>
      </c>
      <c r="L4303" s="6">
        <f ca="1">IFERROR(__xludf.DUMMYFUNCTION("IFERROR(GOOGLEFINANCE(B4303,""changepct""),K4303)"),-3.5)</f>
        <v>-3.5</v>
      </c>
      <c r="M4303" s="6">
        <f ca="1">IFERROR(__xludf.DUMMYFUNCTION("IFERROR(GOOGLEFINANCE(B4303,""change""),0)"),0)</f>
        <v>0</v>
      </c>
      <c r="N4303" s="6">
        <v>1</v>
      </c>
      <c r="O4303" s="7">
        <v>45536</v>
      </c>
      <c r="P4303" s="6">
        <v>1.1000000000000001</v>
      </c>
      <c r="Q4303" s="6">
        <v>9.74</v>
      </c>
      <c r="R4303" s="7">
        <v>45536</v>
      </c>
      <c r="S4303" s="6">
        <v>0.26</v>
      </c>
      <c r="T4303" s="6">
        <v>-0.47</v>
      </c>
      <c r="U4303" s="7">
        <v>45536</v>
      </c>
      <c r="V4303" s="6">
        <v>0</v>
      </c>
      <c r="W4303" s="6">
        <f ca="1">IFERROR(__xludf.DUMMYFUNCTION("IFERROR(GOOGLEFINANCE(B4303,""pe""),V4303)"),0)</f>
        <v>0</v>
      </c>
      <c r="X4303" s="6">
        <v>0</v>
      </c>
      <c r="Y4303" s="6">
        <v>-8.83</v>
      </c>
      <c r="Z4303" s="6">
        <v>1</v>
      </c>
      <c r="AA4303" s="8">
        <v>45352</v>
      </c>
      <c r="AB4303" s="4">
        <v>-1.37</v>
      </c>
      <c r="AC4303" s="6">
        <v>0</v>
      </c>
      <c r="AD4303" s="6">
        <v>-190.32</v>
      </c>
      <c r="AE4303" s="1">
        <v>0</v>
      </c>
      <c r="AF4303" s="1">
        <f ca="1">IFERROR(__xludf.DUMMYFUNCTION("IFERROR(GOOGLEFINANCE(TRIM(F4303)&amp;"":"" &amp; TRIM(B4303),""high52""),AE4303)"),0)</f>
        <v>0</v>
      </c>
      <c r="AG4303" s="1">
        <v>0</v>
      </c>
      <c r="AH4303" s="1">
        <f ca="1">IFERROR(__xludf.DUMMYFUNCTION("IFERROR(GOOGLEFINANCE(TRIM(F4303)&amp;"":"" &amp; TRIM(B4303),""low52""),AE4303)"),0)</f>
        <v>0</v>
      </c>
      <c r="AI4303" s="1">
        <f ca="1">IFERROR(__xludf.DUMMYFUNCTION("IFERROR(GOOGLEFINANCE(B4303,""eps""),0)"),0)</f>
        <v>0</v>
      </c>
      <c r="AJ4303" s="1"/>
      <c r="AK4303" s="1" t="s">
        <v>13043</v>
      </c>
      <c r="AL4303" s="9">
        <f t="shared" si="389"/>
        <v>1</v>
      </c>
    </row>
    <row r="4304" spans="1:38" ht="15" x14ac:dyDescent="0.25">
      <c r="A4304" s="1" t="s">
        <v>13044</v>
      </c>
      <c r="B4304" s="1" t="s">
        <v>13045</v>
      </c>
      <c r="C4304" s="1" t="s">
        <v>359</v>
      </c>
      <c r="D4304" s="1" t="s">
        <v>359</v>
      </c>
      <c r="E4304" s="6">
        <v>48356.02</v>
      </c>
      <c r="F4304" s="1" t="s">
        <v>40</v>
      </c>
      <c r="G4304" s="6">
        <f ca="1">IFERROR(__xludf.DUMMYFUNCTION("iferror(GOOGLEFINANCE(TRIM(F4304)&amp;"":"" &amp; TRIM(B4304), ""price""),0
)"),122.2)</f>
        <v>122.2</v>
      </c>
      <c r="H4304" s="6">
        <v>116.25</v>
      </c>
      <c r="I4304" s="6">
        <f t="shared" ca="1" si="0"/>
        <v>122.2</v>
      </c>
      <c r="J4304" s="6">
        <f ca="1">IFERROR(__xludf.DUMMYFUNCTION("IFERROR(GOOGLEFINANCE(B4304, ""volume""), 0)"),1064879)</f>
        <v>1064879</v>
      </c>
      <c r="K4304" s="6">
        <v>8.2799999999999994</v>
      </c>
      <c r="L4304" s="6">
        <f ca="1">IFERROR(__xludf.DUMMYFUNCTION("IFERROR(GOOGLEFINANCE(B4304,""changepct""),K4304)"),-4.42)</f>
        <v>-4.42</v>
      </c>
      <c r="M4304" s="6">
        <f ca="1">IFERROR(__xludf.DUMMYFUNCTION("IFERROR(GOOGLEFINANCE(B4304,""change""),0)"),-0.08)</f>
        <v>-0.08</v>
      </c>
      <c r="N4304" s="6">
        <v>1</v>
      </c>
      <c r="O4304" s="7">
        <v>45352</v>
      </c>
      <c r="P4304" s="6">
        <v>0</v>
      </c>
      <c r="Q4304" s="6">
        <v>48237.120000000003</v>
      </c>
      <c r="R4304" s="14"/>
      <c r="S4304" s="9"/>
      <c r="T4304" s="9"/>
      <c r="U4304" s="7">
        <v>45352</v>
      </c>
      <c r="V4304" s="6">
        <v>152.13</v>
      </c>
      <c r="W4304" s="6">
        <f ca="1">IFERROR(__xludf.DUMMYFUNCTION("IFERROR(GOOGLEFINANCE(B4304,""pe""),V4304)"),152.13)</f>
        <v>152.13</v>
      </c>
      <c r="X4304" s="9"/>
      <c r="Y4304" s="6">
        <v>3.87</v>
      </c>
      <c r="Z4304" s="6">
        <v>2</v>
      </c>
      <c r="AA4304" s="8">
        <v>45352</v>
      </c>
      <c r="AB4304" s="4">
        <v>0</v>
      </c>
      <c r="AC4304" s="6">
        <v>8.65</v>
      </c>
      <c r="AD4304" s="6">
        <v>14.49</v>
      </c>
      <c r="AE4304" s="1">
        <v>0</v>
      </c>
      <c r="AF4304" s="1">
        <f ca="1">IFERROR(__xludf.DUMMYFUNCTION("IFERROR(GOOGLEFINANCE(TRIM(F4304)&amp;"":"" &amp; TRIM(B4304),""high52""),AE4304)"),157.6)</f>
        <v>157.6</v>
      </c>
      <c r="AG4304" s="1">
        <v>0</v>
      </c>
      <c r="AH4304" s="1">
        <f ca="1">IFERROR(__xludf.DUMMYFUNCTION("IFERROR(GOOGLEFINANCE(TRIM(F4304)&amp;"":"" &amp; TRIM(B4304),""low52""),AE4304)"),95.99)</f>
        <v>95.99</v>
      </c>
      <c r="AI4304" s="1">
        <f ca="1">IFERROR(__xludf.DUMMYFUNCTION("IFERROR(GOOGLEFINANCE(B4304,""eps""),0)"),-0.04)</f>
        <v>-0.04</v>
      </c>
      <c r="AJ4304" s="1"/>
      <c r="AK4304" s="1" t="s">
        <v>13046</v>
      </c>
      <c r="AL4304" s="9">
        <f t="shared" si="389"/>
        <v>1</v>
      </c>
    </row>
    <row r="4305" spans="1:38" ht="15" x14ac:dyDescent="0.25">
      <c r="A4305" s="1" t="s">
        <v>13047</v>
      </c>
      <c r="B4305" s="1" t="s">
        <v>13048</v>
      </c>
      <c r="C4305" s="1" t="s">
        <v>135</v>
      </c>
      <c r="D4305" s="1" t="s">
        <v>135</v>
      </c>
      <c r="E4305" s="6">
        <v>2647.95</v>
      </c>
      <c r="F4305" s="1" t="s">
        <v>40</v>
      </c>
      <c r="G4305" s="6">
        <f ca="1">IFERROR(__xludf.DUMMYFUNCTION("iferror(GOOGLEFINANCE(TRIM(F4305)&amp;"":"" &amp; TRIM(B4305), ""price""),0
)"),515)</f>
        <v>515</v>
      </c>
      <c r="H4305" s="6">
        <v>404.9</v>
      </c>
      <c r="I4305" s="6">
        <f t="shared" ca="1" si="0"/>
        <v>515</v>
      </c>
      <c r="J4305" s="6">
        <f ca="1">IFERROR(__xludf.DUMMYFUNCTION("IFERROR(GOOGLEFINANCE(B4305, ""volume""), 0)"),74180)</f>
        <v>74180</v>
      </c>
      <c r="K4305" s="6">
        <v>-0.02</v>
      </c>
      <c r="L4305" s="6">
        <f ca="1">IFERROR(__xludf.DUMMYFUNCTION("IFERROR(GOOGLEFINANCE(B4305,""changepct""),K4305)"),3)</f>
        <v>3</v>
      </c>
      <c r="M4305" s="6">
        <f ca="1">IFERROR(__xludf.DUMMYFUNCTION("IFERROR(GOOGLEFINANCE(B4305,""change""),0)"),15)</f>
        <v>15</v>
      </c>
      <c r="N4305" s="6">
        <v>2</v>
      </c>
      <c r="O4305" s="7">
        <v>45536</v>
      </c>
      <c r="P4305" s="6">
        <v>342.47</v>
      </c>
      <c r="Q4305" s="6">
        <v>2890.32</v>
      </c>
      <c r="R4305" s="7">
        <v>45536</v>
      </c>
      <c r="S4305" s="6">
        <v>1286.6400000000001</v>
      </c>
      <c r="T4305" s="6">
        <v>101.8</v>
      </c>
      <c r="U4305" s="7">
        <v>45536</v>
      </c>
      <c r="V4305" s="6">
        <v>26.01</v>
      </c>
      <c r="W4305" s="6">
        <f ca="1">IFERROR(__xludf.DUMMYFUNCTION("IFERROR(GOOGLEFINANCE(B4305,""pe""),V4305)"),24.82)</f>
        <v>24.82</v>
      </c>
      <c r="X4305" s="6">
        <v>0.79</v>
      </c>
      <c r="Y4305" s="6">
        <v>3.48</v>
      </c>
      <c r="Z4305" s="6">
        <v>2</v>
      </c>
      <c r="AA4305" s="8">
        <v>45352</v>
      </c>
      <c r="AB4305" s="4">
        <v>0.45</v>
      </c>
      <c r="AC4305" s="6">
        <v>18.13</v>
      </c>
      <c r="AD4305" s="6">
        <v>20.03</v>
      </c>
      <c r="AE4305" s="1">
        <v>0</v>
      </c>
      <c r="AF4305" s="1">
        <f ca="1">IFERROR(__xludf.DUMMYFUNCTION("IFERROR(GOOGLEFINANCE(TRIM(F4305)&amp;"":"" &amp; TRIM(B4305),""high52""),AE4305)"),595.8)</f>
        <v>595.79999999999995</v>
      </c>
      <c r="AG4305" s="1">
        <v>0</v>
      </c>
      <c r="AH4305" s="1">
        <f ca="1">IFERROR(__xludf.DUMMYFUNCTION("IFERROR(GOOGLEFINANCE(TRIM(F4305)&amp;"":"" &amp; TRIM(B4305),""low52""),AE4305)"),336)</f>
        <v>336</v>
      </c>
      <c r="AI4305" s="1">
        <f ca="1">IFERROR(__xludf.DUMMYFUNCTION("IFERROR(GOOGLEFINANCE(B4305,""eps""),0)"),20.75)</f>
        <v>20.75</v>
      </c>
      <c r="AJ4305" s="1"/>
      <c r="AK4305" s="1" t="s">
        <v>13049</v>
      </c>
      <c r="AL4305" s="9">
        <f t="shared" si="389"/>
        <v>1</v>
      </c>
    </row>
    <row r="4306" spans="1:38" ht="15" x14ac:dyDescent="0.25">
      <c r="A4306" s="1" t="s">
        <v>13050</v>
      </c>
      <c r="B4306" s="1" t="s">
        <v>13051</v>
      </c>
      <c r="C4306" s="1" t="s">
        <v>227</v>
      </c>
      <c r="D4306" s="1" t="s">
        <v>227</v>
      </c>
      <c r="E4306" s="6">
        <v>1308</v>
      </c>
      <c r="F4306" s="1" t="s">
        <v>53</v>
      </c>
      <c r="G4306" s="6">
        <f ca="1">IFERROR(__xludf.DUMMYFUNCTION("iferror(GOOGLEFINANCE(TRIM(F4306)&amp;"":"" &amp; TRIM(B4306), ""price""),0
)"),0)</f>
        <v>0</v>
      </c>
      <c r="H4306" s="6">
        <v>1321</v>
      </c>
      <c r="I4306" s="6">
        <f t="shared" ca="1" si="0"/>
        <v>1321</v>
      </c>
      <c r="J4306" s="6">
        <f ca="1">IFERROR(__xludf.DUMMYFUNCTION("IFERROR(GOOGLEFINANCE(B4306, ""volume""), 0)"),0)</f>
        <v>0</v>
      </c>
      <c r="K4306" s="6">
        <v>-4.9000000000000004</v>
      </c>
      <c r="L4306" s="6">
        <f ca="1">IFERROR(__xludf.DUMMYFUNCTION("IFERROR(GOOGLEFINANCE(B4306,""changepct""),K4306)"),-4.9)</f>
        <v>-4.9000000000000004</v>
      </c>
      <c r="M4306" s="6">
        <f ca="1">IFERROR(__xludf.DUMMYFUNCTION("IFERROR(GOOGLEFINANCE(B4306,""change""),0)"),0)</f>
        <v>0</v>
      </c>
      <c r="N4306" s="6">
        <v>2</v>
      </c>
      <c r="O4306" s="7">
        <v>45536</v>
      </c>
      <c r="P4306" s="6">
        <v>37.74</v>
      </c>
      <c r="Q4306" s="6">
        <v>1345.74</v>
      </c>
      <c r="R4306" s="7">
        <v>45536</v>
      </c>
      <c r="S4306" s="6">
        <v>218.84</v>
      </c>
      <c r="T4306" s="6">
        <v>17.29</v>
      </c>
      <c r="U4306" s="7">
        <v>45536</v>
      </c>
      <c r="V4306" s="6">
        <v>75.650000000000006</v>
      </c>
      <c r="W4306" s="6">
        <f ca="1">IFERROR(__xludf.DUMMYFUNCTION("IFERROR(GOOGLEFINANCE(B4306,""pe""),V4306)"),75.65)</f>
        <v>75.650000000000006</v>
      </c>
      <c r="X4306" s="9"/>
      <c r="Y4306" s="6">
        <v>20.9</v>
      </c>
      <c r="Z4306" s="6">
        <v>2</v>
      </c>
      <c r="AA4306" s="8">
        <v>45352</v>
      </c>
      <c r="AB4306" s="4">
        <v>0.3</v>
      </c>
      <c r="AC4306" s="6">
        <v>39.619999999999997</v>
      </c>
      <c r="AD4306" s="6">
        <v>45.38</v>
      </c>
      <c r="AE4306" s="1">
        <v>0</v>
      </c>
      <c r="AF4306" s="1">
        <f ca="1">IFERROR(__xludf.DUMMYFUNCTION("IFERROR(GOOGLEFINANCE(TRIM(F4306)&amp;"":"" &amp; TRIM(B4306),""high52""),AE4306)"),0)</f>
        <v>0</v>
      </c>
      <c r="AG4306" s="1">
        <v>0</v>
      </c>
      <c r="AH4306" s="1">
        <f ca="1">IFERROR(__xludf.DUMMYFUNCTION("IFERROR(GOOGLEFINANCE(TRIM(F4306)&amp;"":"" &amp; TRIM(B4306),""low52""),AE4306)"),0)</f>
        <v>0</v>
      </c>
      <c r="AI4306" s="1">
        <f ca="1">IFERROR(__xludf.DUMMYFUNCTION("IFERROR(GOOGLEFINANCE(B4306,""eps""),0)"),0)</f>
        <v>0</v>
      </c>
      <c r="AJ4306" s="1"/>
      <c r="AK4306" s="1" t="s">
        <v>13052</v>
      </c>
      <c r="AL4306" s="9">
        <f t="shared" si="389"/>
        <v>1</v>
      </c>
    </row>
    <row r="4307" spans="1:38" ht="15" x14ac:dyDescent="0.25">
      <c r="A4307" s="1" t="s">
        <v>13053</v>
      </c>
      <c r="B4307" s="1" t="s">
        <v>13054</v>
      </c>
      <c r="C4307" s="1" t="s">
        <v>227</v>
      </c>
      <c r="D4307" s="1" t="s">
        <v>227</v>
      </c>
      <c r="E4307" s="6">
        <v>30.8</v>
      </c>
      <c r="F4307" s="1" t="s">
        <v>53</v>
      </c>
      <c r="G4307" s="6">
        <f ca="1">IFERROR(__xludf.DUMMYFUNCTION("iferror(GOOGLEFINANCE(TRIM(F4307)&amp;"":"" &amp; TRIM(B4307), ""price""),0
)"),0)</f>
        <v>0</v>
      </c>
      <c r="H4307" s="6">
        <v>59.01</v>
      </c>
      <c r="I4307" s="6">
        <f t="shared" ca="1" si="0"/>
        <v>59.01</v>
      </c>
      <c r="J4307" s="6">
        <f ca="1">IFERROR(__xludf.DUMMYFUNCTION("IFERROR(GOOGLEFINANCE(B4307, ""volume""), 0)"),0)</f>
        <v>0</v>
      </c>
      <c r="K4307" s="6">
        <v>2.98</v>
      </c>
      <c r="L4307" s="6">
        <f ca="1">IFERROR(__xludf.DUMMYFUNCTION("IFERROR(GOOGLEFINANCE(B4307,""changepct""),K4307)"),2.98)</f>
        <v>2.98</v>
      </c>
      <c r="M4307" s="6">
        <f ca="1">IFERROR(__xludf.DUMMYFUNCTION("IFERROR(GOOGLEFINANCE(B4307,""change""),0)"),0)</f>
        <v>0</v>
      </c>
      <c r="N4307" s="6">
        <v>1</v>
      </c>
      <c r="O4307" s="7">
        <v>45536</v>
      </c>
      <c r="P4307" s="9"/>
      <c r="Q4307" s="6">
        <v>19.760000000000002</v>
      </c>
      <c r="R4307" s="7">
        <v>45536</v>
      </c>
      <c r="S4307" s="6">
        <v>1.24</v>
      </c>
      <c r="T4307" s="6">
        <v>1.31</v>
      </c>
      <c r="U4307" s="7">
        <v>45536</v>
      </c>
      <c r="V4307" s="6">
        <v>23.6</v>
      </c>
      <c r="W4307" s="6">
        <f ca="1">IFERROR(__xludf.DUMMYFUNCTION("IFERROR(GOOGLEFINANCE(B4307,""pe""),V4307)"),23.6)</f>
        <v>23.6</v>
      </c>
      <c r="X4307" s="6">
        <v>0.35</v>
      </c>
      <c r="Y4307" s="6">
        <v>0.99</v>
      </c>
      <c r="Z4307" s="6">
        <v>1</v>
      </c>
      <c r="AA4307" s="8">
        <v>45352</v>
      </c>
      <c r="AB4307" s="4">
        <v>0</v>
      </c>
      <c r="AC4307" s="6">
        <v>8.5500000000000007</v>
      </c>
      <c r="AD4307" s="6">
        <v>11.27</v>
      </c>
      <c r="AE4307" s="1">
        <v>0</v>
      </c>
      <c r="AF4307" s="1">
        <f ca="1">IFERROR(__xludf.DUMMYFUNCTION("IFERROR(GOOGLEFINANCE(TRIM(F4307)&amp;"":"" &amp; TRIM(B4307),""high52""),AE4307)"),0)</f>
        <v>0</v>
      </c>
      <c r="AG4307" s="1">
        <v>0</v>
      </c>
      <c r="AH4307" s="1">
        <f ca="1">IFERROR(__xludf.DUMMYFUNCTION("IFERROR(GOOGLEFINANCE(TRIM(F4307)&amp;"":"" &amp; TRIM(B4307),""low52""),AE4307)"),0)</f>
        <v>0</v>
      </c>
      <c r="AI4307" s="1">
        <f ca="1">IFERROR(__xludf.DUMMYFUNCTION("IFERROR(GOOGLEFINANCE(B4307,""eps""),0)"),0)</f>
        <v>0</v>
      </c>
      <c r="AJ4307" s="1"/>
      <c r="AK4307" s="1" t="s">
        <v>13055</v>
      </c>
      <c r="AL4307" s="9">
        <f t="shared" si="389"/>
        <v>1</v>
      </c>
    </row>
    <row r="4308" spans="1:38" ht="15" x14ac:dyDescent="0.25">
      <c r="A4308" s="1" t="s">
        <v>13056</v>
      </c>
      <c r="B4308" s="1" t="s">
        <v>13057</v>
      </c>
      <c r="C4308" s="1" t="s">
        <v>227</v>
      </c>
      <c r="D4308" s="1" t="s">
        <v>227</v>
      </c>
      <c r="E4308" s="6">
        <v>49.89</v>
      </c>
      <c r="F4308" s="1" t="s">
        <v>53</v>
      </c>
      <c r="G4308" s="6">
        <f ca="1">IFERROR(__xludf.DUMMYFUNCTION("iferror(GOOGLEFINANCE(TRIM(F4308)&amp;"":"" &amp; TRIM(B4308), ""price""),0
)"),0)</f>
        <v>0</v>
      </c>
      <c r="H4308" s="6">
        <v>0.8</v>
      </c>
      <c r="I4308" s="6">
        <f t="shared" ca="1" si="0"/>
        <v>0.8</v>
      </c>
      <c r="J4308" s="6">
        <f ca="1">IFERROR(__xludf.DUMMYFUNCTION("IFERROR(GOOGLEFINANCE(B4308, ""volume""), 0)"),0)</f>
        <v>0</v>
      </c>
      <c r="K4308" s="6">
        <v>1.27</v>
      </c>
      <c r="L4308" s="6">
        <f ca="1">IFERROR(__xludf.DUMMYFUNCTION("IFERROR(GOOGLEFINANCE(B4308,""changepct""),K4308)"),1.27)</f>
        <v>1.27</v>
      </c>
      <c r="M4308" s="6">
        <f ca="1">IFERROR(__xludf.DUMMYFUNCTION("IFERROR(GOOGLEFINANCE(B4308,""change""),0)"),0)</f>
        <v>0</v>
      </c>
      <c r="N4308" s="6">
        <v>1</v>
      </c>
      <c r="O4308" s="7">
        <v>45536</v>
      </c>
      <c r="P4308" s="9"/>
      <c r="Q4308" s="6">
        <v>49.79</v>
      </c>
      <c r="R4308" s="7">
        <v>45536</v>
      </c>
      <c r="S4308" s="6">
        <v>1.68</v>
      </c>
      <c r="T4308" s="6">
        <v>0.98</v>
      </c>
      <c r="U4308" s="7">
        <v>45536</v>
      </c>
      <c r="V4308" s="6">
        <v>50.91</v>
      </c>
      <c r="W4308" s="6">
        <f ca="1">IFERROR(__xludf.DUMMYFUNCTION("IFERROR(GOOGLEFINANCE(B4308,""pe""),V4308)"),50.91)</f>
        <v>50.91</v>
      </c>
      <c r="X4308" s="6">
        <v>1.43</v>
      </c>
      <c r="Y4308" s="6">
        <v>0.79</v>
      </c>
      <c r="Z4308" s="6">
        <v>1</v>
      </c>
      <c r="AA4308" s="8">
        <v>45352</v>
      </c>
      <c r="AB4308" s="4">
        <v>0</v>
      </c>
      <c r="AC4308" s="6">
        <v>0.34</v>
      </c>
      <c r="AD4308" s="6">
        <v>0.34</v>
      </c>
      <c r="AE4308" s="1">
        <v>0</v>
      </c>
      <c r="AF4308" s="1">
        <f ca="1">IFERROR(__xludf.DUMMYFUNCTION("IFERROR(GOOGLEFINANCE(TRIM(F4308)&amp;"":"" &amp; TRIM(B4308),""high52""),AE4308)"),0)</f>
        <v>0</v>
      </c>
      <c r="AG4308" s="1">
        <v>0</v>
      </c>
      <c r="AH4308" s="1">
        <f ca="1">IFERROR(__xludf.DUMMYFUNCTION("IFERROR(GOOGLEFINANCE(TRIM(F4308)&amp;"":"" &amp; TRIM(B4308),""low52""),AE4308)"),0)</f>
        <v>0</v>
      </c>
      <c r="AI4308" s="1">
        <f ca="1">IFERROR(__xludf.DUMMYFUNCTION("IFERROR(GOOGLEFINANCE(B4308,""eps""),0)"),0)</f>
        <v>0</v>
      </c>
      <c r="AJ4308" s="1"/>
      <c r="AK4308" s="1" t="s">
        <v>13058</v>
      </c>
      <c r="AL4308" s="9">
        <f t="shared" si="389"/>
        <v>1</v>
      </c>
    </row>
    <row r="4309" spans="1:38" ht="15" x14ac:dyDescent="0.25">
      <c r="A4309" s="1" t="s">
        <v>13059</v>
      </c>
      <c r="B4309" s="1" t="s">
        <v>13060</v>
      </c>
      <c r="C4309" s="1" t="s">
        <v>227</v>
      </c>
      <c r="D4309" s="1" t="s">
        <v>227</v>
      </c>
      <c r="E4309" s="6">
        <v>11.44</v>
      </c>
      <c r="F4309" s="1" t="s">
        <v>53</v>
      </c>
      <c r="G4309" s="6">
        <f ca="1">IFERROR(__xludf.DUMMYFUNCTION("iferror(GOOGLEFINANCE(TRIM(F4309)&amp;"":"" &amp; TRIM(B4309), ""price""),0
)"),0)</f>
        <v>0</v>
      </c>
      <c r="H4309" s="6">
        <v>26</v>
      </c>
      <c r="I4309" s="6">
        <f t="shared" ca="1" si="0"/>
        <v>26</v>
      </c>
      <c r="J4309" s="6">
        <f ca="1">IFERROR(__xludf.DUMMYFUNCTION("IFERROR(GOOGLEFINANCE(B4309, ""volume""), 0)"),0)</f>
        <v>0</v>
      </c>
      <c r="K4309" s="9"/>
      <c r="L4309" s="6" t="str">
        <f ca="1">IFERROR(__xludf.DUMMYFUNCTION("IFERROR(GOOGLEFINANCE(B4309,""changepct""),K4309)"),"")</f>
        <v/>
      </c>
      <c r="M4309" s="6">
        <f ca="1">IFERROR(__xludf.DUMMYFUNCTION("IFERROR(GOOGLEFINANCE(B4309,""change""),0)"),0)</f>
        <v>0</v>
      </c>
      <c r="N4309" s="6">
        <v>2</v>
      </c>
      <c r="O4309" s="7">
        <v>45536</v>
      </c>
      <c r="P4309" s="6">
        <v>8.24</v>
      </c>
      <c r="Q4309" s="6">
        <v>19.68</v>
      </c>
      <c r="R4309" s="7">
        <v>45536</v>
      </c>
      <c r="S4309" s="6">
        <v>27.31</v>
      </c>
      <c r="T4309" s="6">
        <v>0.2</v>
      </c>
      <c r="U4309" s="7">
        <v>45536</v>
      </c>
      <c r="V4309" s="6">
        <v>55.8</v>
      </c>
      <c r="W4309" s="6">
        <f ca="1">IFERROR(__xludf.DUMMYFUNCTION("IFERROR(GOOGLEFINANCE(B4309,""pe""),V4309)"),55.8)</f>
        <v>55.8</v>
      </c>
      <c r="X4309" s="9"/>
      <c r="Y4309" s="6">
        <v>2.15</v>
      </c>
      <c r="Z4309" s="6">
        <v>2</v>
      </c>
      <c r="AA4309" s="8">
        <v>45352</v>
      </c>
      <c r="AB4309" s="4">
        <v>2.33</v>
      </c>
      <c r="AC4309" s="6">
        <v>-9.48</v>
      </c>
      <c r="AD4309" s="6">
        <v>2.39</v>
      </c>
      <c r="AE4309" s="1">
        <v>0</v>
      </c>
      <c r="AF4309" s="1">
        <f ca="1">IFERROR(__xludf.DUMMYFUNCTION("IFERROR(GOOGLEFINANCE(TRIM(F4309)&amp;"":"" &amp; TRIM(B4309),""high52""),AE4309)"),0)</f>
        <v>0</v>
      </c>
      <c r="AG4309" s="1">
        <v>0</v>
      </c>
      <c r="AH4309" s="1">
        <f ca="1">IFERROR(__xludf.DUMMYFUNCTION("IFERROR(GOOGLEFINANCE(TRIM(F4309)&amp;"":"" &amp; TRIM(B4309),""low52""),AE4309)"),0)</f>
        <v>0</v>
      </c>
      <c r="AI4309" s="1">
        <f ca="1">IFERROR(__xludf.DUMMYFUNCTION("IFERROR(GOOGLEFINANCE(B4309,""eps""),0)"),0)</f>
        <v>0</v>
      </c>
      <c r="AJ4309" s="1"/>
      <c r="AK4309" s="1" t="s">
        <v>13061</v>
      </c>
      <c r="AL4309" s="9">
        <f t="shared" si="389"/>
        <v>1</v>
      </c>
    </row>
    <row r="4310" spans="1:38" ht="15" x14ac:dyDescent="0.25">
      <c r="A4310" s="1" t="s">
        <v>13062</v>
      </c>
      <c r="B4310" s="1" t="s">
        <v>13063</v>
      </c>
      <c r="C4310" s="1" t="s">
        <v>86</v>
      </c>
      <c r="D4310" s="1" t="s">
        <v>86</v>
      </c>
      <c r="E4310" s="6">
        <v>3786.68</v>
      </c>
      <c r="F4310" s="1" t="s">
        <v>40</v>
      </c>
      <c r="G4310" s="6">
        <f ca="1">IFERROR(__xludf.DUMMYFUNCTION("iferror(GOOGLEFINANCE(TRIM(F4310)&amp;"":"" &amp; TRIM(B4310), ""price""),0
)"),44.7)</f>
        <v>44.7</v>
      </c>
      <c r="H4310" s="6">
        <v>304.95</v>
      </c>
      <c r="I4310" s="6">
        <f t="shared" ca="1" si="0"/>
        <v>44.7</v>
      </c>
      <c r="J4310" s="6">
        <f ca="1">IFERROR(__xludf.DUMMYFUNCTION("IFERROR(GOOGLEFINANCE(B4310, ""volume""), 0)"),1753391)</f>
        <v>1753391</v>
      </c>
      <c r="K4310" s="6">
        <v>0.3</v>
      </c>
      <c r="L4310" s="6">
        <f ca="1">IFERROR(__xludf.DUMMYFUNCTION("IFERROR(GOOGLEFINANCE(B4310,""changepct""),K4310)"),0.56)</f>
        <v>0.56000000000000005</v>
      </c>
      <c r="M4310" s="6">
        <f ca="1">IFERROR(__xludf.DUMMYFUNCTION("IFERROR(GOOGLEFINANCE(B4310,""change""),0)"),0.25)</f>
        <v>0.25</v>
      </c>
      <c r="N4310" s="6">
        <v>1</v>
      </c>
      <c r="O4310" s="7">
        <v>45536</v>
      </c>
      <c r="P4310" s="6">
        <v>562.33000000000004</v>
      </c>
      <c r="Q4310" s="6">
        <v>4272.32</v>
      </c>
      <c r="R4310" s="7">
        <v>45536</v>
      </c>
      <c r="S4310" s="6">
        <v>1490.69</v>
      </c>
      <c r="T4310" s="6">
        <v>123</v>
      </c>
      <c r="U4310" s="7">
        <v>45536</v>
      </c>
      <c r="V4310" s="6">
        <v>30.79</v>
      </c>
      <c r="W4310" s="6">
        <f ca="1">IFERROR(__xludf.DUMMYFUNCTION("IFERROR(GOOGLEFINANCE(B4310,""pe""),V4310)"),18.17)</f>
        <v>18.170000000000002</v>
      </c>
      <c r="X4310" s="12"/>
      <c r="Y4310" s="6">
        <v>4.99</v>
      </c>
      <c r="Z4310" s="6">
        <v>1</v>
      </c>
      <c r="AA4310" s="8">
        <v>45352</v>
      </c>
      <c r="AB4310" s="4">
        <v>0.55000000000000004</v>
      </c>
      <c r="AC4310" s="6">
        <v>23.6</v>
      </c>
      <c r="AD4310" s="6">
        <v>24.72</v>
      </c>
      <c r="AE4310" s="1">
        <v>0</v>
      </c>
      <c r="AF4310" s="1">
        <f ca="1">IFERROR(__xludf.DUMMYFUNCTION("IFERROR(GOOGLEFINANCE(TRIM(F4310)&amp;"":"" &amp; TRIM(B4310),""high52""),AE4310)"),250)</f>
        <v>250</v>
      </c>
      <c r="AG4310" s="1">
        <v>0</v>
      </c>
      <c r="AH4310" s="1">
        <f ca="1">IFERROR(__xludf.DUMMYFUNCTION("IFERROR(GOOGLEFINANCE(TRIM(F4310)&amp;"":"" &amp; TRIM(B4310),""low52""),AE4310)"),42.6)</f>
        <v>42.6</v>
      </c>
      <c r="AI4310" s="1">
        <f ca="1">IFERROR(__xludf.DUMMYFUNCTION("IFERROR(GOOGLEFINANCE(B4310,""eps""),0)"),2.46)</f>
        <v>2.46</v>
      </c>
      <c r="AJ4310" s="1"/>
      <c r="AK4310" s="1" t="s">
        <v>13064</v>
      </c>
      <c r="AL4310" s="9">
        <f t="shared" si="389"/>
        <v>1</v>
      </c>
    </row>
    <row r="4311" spans="1:38" ht="15" x14ac:dyDescent="0.25">
      <c r="A4311" s="1" t="s">
        <v>13065</v>
      </c>
      <c r="B4311" s="1" t="s">
        <v>13066</v>
      </c>
      <c r="C4311" s="1" t="s">
        <v>227</v>
      </c>
      <c r="D4311" s="1" t="s">
        <v>227</v>
      </c>
      <c r="E4311" s="6">
        <v>609.69000000000005</v>
      </c>
      <c r="F4311" s="1" t="s">
        <v>53</v>
      </c>
      <c r="G4311" s="6">
        <f ca="1">IFERROR(__xludf.DUMMYFUNCTION("iferror(GOOGLEFINANCE(TRIM(F4311)&amp;"":"" &amp; TRIM(B4311), ""price""),0
)"),0)</f>
        <v>0</v>
      </c>
      <c r="H4311" s="6">
        <v>1030</v>
      </c>
      <c r="I4311" s="6">
        <f t="shared" ca="1" si="0"/>
        <v>1030</v>
      </c>
      <c r="J4311" s="6">
        <f ca="1">IFERROR(__xludf.DUMMYFUNCTION("IFERROR(GOOGLEFINANCE(B4311, ""volume""), 0)"),0)</f>
        <v>0</v>
      </c>
      <c r="K4311" s="6">
        <v>-2</v>
      </c>
      <c r="L4311" s="6">
        <f ca="1">IFERROR(__xludf.DUMMYFUNCTION("IFERROR(GOOGLEFINANCE(B4311,""changepct""),K4311)"),-2)</f>
        <v>-2</v>
      </c>
      <c r="M4311" s="6">
        <f ca="1">IFERROR(__xludf.DUMMYFUNCTION("IFERROR(GOOGLEFINANCE(B4311,""change""),0)"),0)</f>
        <v>0</v>
      </c>
      <c r="N4311" s="6">
        <v>1</v>
      </c>
      <c r="O4311" s="7">
        <v>45536</v>
      </c>
      <c r="P4311" s="6">
        <v>0.15</v>
      </c>
      <c r="Q4311" s="6">
        <v>609.84</v>
      </c>
      <c r="R4311" s="7">
        <v>45536</v>
      </c>
      <c r="S4311" s="6">
        <v>20.87</v>
      </c>
      <c r="T4311" s="6">
        <v>-0.03</v>
      </c>
      <c r="U4311" s="7">
        <v>45536</v>
      </c>
      <c r="V4311" s="6">
        <v>0</v>
      </c>
      <c r="W4311" s="6">
        <f ca="1">IFERROR(__xludf.DUMMYFUNCTION("IFERROR(GOOGLEFINANCE(B4311,""pe""),V4311)"),0)</f>
        <v>0</v>
      </c>
      <c r="X4311" s="6">
        <v>0</v>
      </c>
      <c r="Y4311" s="6">
        <v>17.739999999999998</v>
      </c>
      <c r="Z4311" s="6">
        <v>1</v>
      </c>
      <c r="AA4311" s="8">
        <v>45352</v>
      </c>
      <c r="AB4311" s="4">
        <v>0</v>
      </c>
      <c r="AC4311" s="6">
        <v>699.98</v>
      </c>
      <c r="AD4311" s="6">
        <v>671.59</v>
      </c>
      <c r="AE4311" s="1">
        <v>0</v>
      </c>
      <c r="AF4311" s="1">
        <f ca="1">IFERROR(__xludf.DUMMYFUNCTION("IFERROR(GOOGLEFINANCE(TRIM(F4311)&amp;"":"" &amp; TRIM(B4311),""high52""),AE4311)"),0)</f>
        <v>0</v>
      </c>
      <c r="AG4311" s="1">
        <v>0</v>
      </c>
      <c r="AH4311" s="1">
        <f ca="1">IFERROR(__xludf.DUMMYFUNCTION("IFERROR(GOOGLEFINANCE(TRIM(F4311)&amp;"":"" &amp; TRIM(B4311),""low52""),AE4311)"),0)</f>
        <v>0</v>
      </c>
      <c r="AI4311" s="1">
        <f ca="1">IFERROR(__xludf.DUMMYFUNCTION("IFERROR(GOOGLEFINANCE(B4311,""eps""),0)"),0)</f>
        <v>0</v>
      </c>
      <c r="AJ4311" s="1"/>
      <c r="AK4311" s="12"/>
      <c r="AL4311" s="9">
        <f t="shared" si="389"/>
        <v>1</v>
      </c>
    </row>
    <row r="4312" spans="1:38" ht="15" x14ac:dyDescent="0.25">
      <c r="A4312" s="1" t="s">
        <v>13067</v>
      </c>
      <c r="B4312" s="1" t="s">
        <v>13068</v>
      </c>
      <c r="C4312" s="1" t="s">
        <v>487</v>
      </c>
      <c r="D4312" s="1" t="s">
        <v>487</v>
      </c>
      <c r="E4312" s="6">
        <v>602.94000000000005</v>
      </c>
      <c r="F4312" s="1" t="s">
        <v>40</v>
      </c>
      <c r="G4312" s="6">
        <f ca="1">IFERROR(__xludf.DUMMYFUNCTION("iferror(GOOGLEFINANCE(TRIM(F4312)&amp;"":"" &amp; TRIM(B4312), ""price""),0
)"),0)</f>
        <v>0</v>
      </c>
      <c r="H4312" s="6">
        <v>254</v>
      </c>
      <c r="I4312" s="6">
        <f t="shared" ca="1" si="0"/>
        <v>254</v>
      </c>
      <c r="J4312" s="6">
        <f ca="1">IFERROR(__xludf.DUMMYFUNCTION("IFERROR(GOOGLEFINANCE(B4312, ""volume""), 0)"),0)</f>
        <v>0</v>
      </c>
      <c r="K4312" s="6">
        <v>3.67</v>
      </c>
      <c r="L4312" s="6">
        <f ca="1">IFERROR(__xludf.DUMMYFUNCTION("IFERROR(GOOGLEFINANCE(B4312,""changepct""),K4312)"),3.67)</f>
        <v>3.67</v>
      </c>
      <c r="M4312" s="6">
        <f ca="1">IFERROR(__xludf.DUMMYFUNCTION("IFERROR(GOOGLEFINANCE(B4312,""change""),0)"),0)</f>
        <v>0</v>
      </c>
      <c r="N4312" s="6">
        <v>1</v>
      </c>
      <c r="O4312" s="7">
        <v>45536</v>
      </c>
      <c r="P4312" s="6">
        <v>38.04</v>
      </c>
      <c r="Q4312" s="6">
        <v>640.97</v>
      </c>
      <c r="R4312" s="7">
        <v>45352</v>
      </c>
      <c r="S4312" s="6">
        <v>230.54</v>
      </c>
      <c r="T4312" s="6">
        <v>27.58</v>
      </c>
      <c r="U4312" s="7">
        <v>45352</v>
      </c>
      <c r="V4312" s="6">
        <v>21.86</v>
      </c>
      <c r="W4312" s="6">
        <f ca="1">IFERROR(__xludf.DUMMYFUNCTION("IFERROR(GOOGLEFINANCE(B4312,""pe""),V4312)"),21.86)</f>
        <v>21.86</v>
      </c>
      <c r="X4312" s="9"/>
      <c r="Y4312" s="6">
        <v>4.59</v>
      </c>
      <c r="Z4312" s="6">
        <v>2</v>
      </c>
      <c r="AA4312" s="8">
        <v>44986</v>
      </c>
      <c r="AB4312" s="4">
        <v>0.61</v>
      </c>
      <c r="AC4312" s="6">
        <v>34.659999999999997</v>
      </c>
      <c r="AD4312" s="6">
        <v>30.72</v>
      </c>
      <c r="AE4312" s="1">
        <v>0</v>
      </c>
      <c r="AF4312" s="1">
        <f ca="1">IFERROR(__xludf.DUMMYFUNCTION("IFERROR(GOOGLEFINANCE(TRIM(F4312)&amp;"":"" &amp; TRIM(B4312),""high52""),AE4312)"),0)</f>
        <v>0</v>
      </c>
      <c r="AG4312" s="1">
        <v>0</v>
      </c>
      <c r="AH4312" s="1">
        <f ca="1">IFERROR(__xludf.DUMMYFUNCTION("IFERROR(GOOGLEFINANCE(TRIM(F4312)&amp;"":"" &amp; TRIM(B4312),""low52""),AE4312)"),0)</f>
        <v>0</v>
      </c>
      <c r="AI4312" s="1">
        <f ca="1">IFERROR(__xludf.DUMMYFUNCTION("IFERROR(GOOGLEFINANCE(B4312,""eps""),0)"),0)</f>
        <v>0</v>
      </c>
      <c r="AJ4312" s="1"/>
      <c r="AK4312" s="1" t="s">
        <v>13069</v>
      </c>
      <c r="AL4312" s="9">
        <f t="shared" si="389"/>
        <v>1</v>
      </c>
    </row>
    <row r="4313" spans="1:38" ht="15" x14ac:dyDescent="0.25">
      <c r="A4313" s="1" t="s">
        <v>13070</v>
      </c>
      <c r="B4313" s="1" t="s">
        <v>13071</v>
      </c>
      <c r="C4313" s="1" t="s">
        <v>227</v>
      </c>
      <c r="D4313" s="1" t="s">
        <v>227</v>
      </c>
      <c r="E4313" s="6">
        <v>200.65</v>
      </c>
      <c r="F4313" s="1" t="s">
        <v>53</v>
      </c>
      <c r="G4313" s="6">
        <f ca="1">IFERROR(__xludf.DUMMYFUNCTION("iferror(GOOGLEFINANCE(TRIM(F4313)&amp;"":"" &amp; TRIM(B4313), ""price""),0
)"),0)</f>
        <v>0</v>
      </c>
      <c r="H4313" s="6">
        <v>14.75</v>
      </c>
      <c r="I4313" s="6">
        <f t="shared" ca="1" si="0"/>
        <v>14.75</v>
      </c>
      <c r="J4313" s="6">
        <f ca="1">IFERROR(__xludf.DUMMYFUNCTION("IFERROR(GOOGLEFINANCE(B4313, ""volume""), 0)"),0)</f>
        <v>0</v>
      </c>
      <c r="K4313" s="6">
        <v>0</v>
      </c>
      <c r="L4313" s="6">
        <f ca="1">IFERROR(__xludf.DUMMYFUNCTION("IFERROR(GOOGLEFINANCE(B4313,""changepct""),K4313)"),0)</f>
        <v>0</v>
      </c>
      <c r="M4313" s="6">
        <f ca="1">IFERROR(__xludf.DUMMYFUNCTION("IFERROR(GOOGLEFINANCE(B4313,""change""),0)"),0)</f>
        <v>0</v>
      </c>
      <c r="N4313" s="6">
        <v>2</v>
      </c>
      <c r="O4313" s="7">
        <v>45536</v>
      </c>
      <c r="P4313" s="6">
        <v>15.07</v>
      </c>
      <c r="Q4313" s="6">
        <v>215.72</v>
      </c>
      <c r="R4313" s="7">
        <v>45536</v>
      </c>
      <c r="S4313" s="6">
        <v>137.87</v>
      </c>
      <c r="T4313" s="6">
        <v>9.6199999999999992</v>
      </c>
      <c r="U4313" s="7">
        <v>45536</v>
      </c>
      <c r="V4313" s="6">
        <v>20.98</v>
      </c>
      <c r="W4313" s="6">
        <f ca="1">IFERROR(__xludf.DUMMYFUNCTION("IFERROR(GOOGLEFINANCE(B4313,""pe""),V4313)"),20.98)</f>
        <v>20.98</v>
      </c>
      <c r="X4313" s="6">
        <v>0.63</v>
      </c>
      <c r="Y4313" s="6">
        <v>3.02</v>
      </c>
      <c r="Z4313" s="6">
        <v>2</v>
      </c>
      <c r="AA4313" s="8">
        <v>45352</v>
      </c>
      <c r="AB4313" s="4">
        <v>0.43</v>
      </c>
      <c r="AC4313" s="6">
        <v>21.97</v>
      </c>
      <c r="AD4313" s="6">
        <v>21.53</v>
      </c>
      <c r="AE4313" s="1">
        <v>0</v>
      </c>
      <c r="AF4313" s="1">
        <f ca="1">IFERROR(__xludf.DUMMYFUNCTION("IFERROR(GOOGLEFINANCE(TRIM(F4313)&amp;"":"" &amp; TRIM(B4313),""high52""),AE4313)"),0)</f>
        <v>0</v>
      </c>
      <c r="AG4313" s="1">
        <v>0</v>
      </c>
      <c r="AH4313" s="1">
        <f ca="1">IFERROR(__xludf.DUMMYFUNCTION("IFERROR(GOOGLEFINANCE(TRIM(F4313)&amp;"":"" &amp; TRIM(B4313),""low52""),AE4313)"),0)</f>
        <v>0</v>
      </c>
      <c r="AI4313" s="1">
        <f ca="1">IFERROR(__xludf.DUMMYFUNCTION("IFERROR(GOOGLEFINANCE(B4313,""eps""),0)"),0)</f>
        <v>0</v>
      </c>
      <c r="AJ4313" s="1"/>
      <c r="AK4313" s="1" t="s">
        <v>13072</v>
      </c>
      <c r="AL4313" s="9">
        <f t="shared" si="389"/>
        <v>1</v>
      </c>
    </row>
    <row r="4314" spans="1:38" ht="15" x14ac:dyDescent="0.25">
      <c r="A4314" s="1" t="s">
        <v>13073</v>
      </c>
      <c r="B4314" s="1" t="s">
        <v>13074</v>
      </c>
      <c r="C4314" s="1" t="s">
        <v>227</v>
      </c>
      <c r="D4314" s="1" t="s">
        <v>227</v>
      </c>
      <c r="E4314" s="6">
        <v>52.71</v>
      </c>
      <c r="F4314" s="1" t="s">
        <v>53</v>
      </c>
      <c r="G4314" s="6">
        <f ca="1">IFERROR(__xludf.DUMMYFUNCTION("iferror(GOOGLEFINANCE(TRIM(F4314)&amp;"":"" &amp; TRIM(B4314), ""price""),0
)"),0)</f>
        <v>0</v>
      </c>
      <c r="H4314" s="6">
        <v>52.06</v>
      </c>
      <c r="I4314" s="6">
        <f t="shared" ca="1" si="0"/>
        <v>52.06</v>
      </c>
      <c r="J4314" s="6">
        <f ca="1">IFERROR(__xludf.DUMMYFUNCTION("IFERROR(GOOGLEFINANCE(B4314, ""volume""), 0)"),0)</f>
        <v>0</v>
      </c>
      <c r="K4314" s="6">
        <v>-1.23</v>
      </c>
      <c r="L4314" s="6">
        <f ca="1">IFERROR(__xludf.DUMMYFUNCTION("IFERROR(GOOGLEFINANCE(B4314,""changepct""),K4314)"),2.5)</f>
        <v>2.5</v>
      </c>
      <c r="M4314" s="6">
        <f ca="1">IFERROR(__xludf.DUMMYFUNCTION("IFERROR(GOOGLEFINANCE(B4314,""change""),0)"),0.3)</f>
        <v>0.3</v>
      </c>
      <c r="N4314" s="6">
        <v>2</v>
      </c>
      <c r="O4314" s="7">
        <v>45536</v>
      </c>
      <c r="P4314" s="6">
        <v>9.93</v>
      </c>
      <c r="Q4314" s="6">
        <v>62.64</v>
      </c>
      <c r="R4314" s="7">
        <v>45536</v>
      </c>
      <c r="S4314" s="6">
        <v>85.42</v>
      </c>
      <c r="T4314" s="6">
        <v>4.7699999999999996</v>
      </c>
      <c r="U4314" s="7">
        <v>45536</v>
      </c>
      <c r="V4314" s="6">
        <v>11.05</v>
      </c>
      <c r="W4314" s="6">
        <f ca="1">IFERROR(__xludf.DUMMYFUNCTION("IFERROR(GOOGLEFINANCE(B4314,""pe""),V4314)"),11.05)</f>
        <v>11.05</v>
      </c>
      <c r="X4314" s="6">
        <v>0.28000000000000003</v>
      </c>
      <c r="Y4314" s="6">
        <v>1.1000000000000001</v>
      </c>
      <c r="Z4314" s="6">
        <v>2</v>
      </c>
      <c r="AA4314" s="8">
        <v>45352</v>
      </c>
      <c r="AB4314" s="4">
        <v>0.11</v>
      </c>
      <c r="AC4314" s="6">
        <v>9.16</v>
      </c>
      <c r="AD4314" s="6">
        <v>12.39</v>
      </c>
      <c r="AE4314" s="1">
        <v>0</v>
      </c>
      <c r="AF4314" s="1">
        <f ca="1">IFERROR(__xludf.DUMMYFUNCTION("IFERROR(GOOGLEFINANCE(TRIM(F4314)&amp;"":"" &amp; TRIM(B4314),""high52""),AE4314)"),0)</f>
        <v>0</v>
      </c>
      <c r="AG4314" s="1">
        <v>0</v>
      </c>
      <c r="AH4314" s="1">
        <f ca="1">IFERROR(__xludf.DUMMYFUNCTION("IFERROR(GOOGLEFINANCE(TRIM(F4314)&amp;"":"" &amp; TRIM(B4314),""low52""),AE4314)"),0)</f>
        <v>0</v>
      </c>
      <c r="AI4314" s="1">
        <f ca="1">IFERROR(__xludf.DUMMYFUNCTION("IFERROR(GOOGLEFINANCE(B4314,""eps""),0)"),0)</f>
        <v>0</v>
      </c>
      <c r="AJ4314" s="1"/>
      <c r="AK4314" s="1" t="s">
        <v>13075</v>
      </c>
      <c r="AL4314" s="9">
        <f t="shared" si="389"/>
        <v>1</v>
      </c>
    </row>
    <row r="4315" spans="1:38" ht="15" x14ac:dyDescent="0.25">
      <c r="A4315" s="1" t="s">
        <v>13076</v>
      </c>
      <c r="B4315" s="1" t="s">
        <v>13077</v>
      </c>
      <c r="C4315" s="1" t="s">
        <v>227</v>
      </c>
      <c r="D4315" s="1" t="s">
        <v>227</v>
      </c>
      <c r="E4315" s="6">
        <v>202.47</v>
      </c>
      <c r="F4315" s="1" t="s">
        <v>53</v>
      </c>
      <c r="G4315" s="6">
        <f ca="1">IFERROR(__xludf.DUMMYFUNCTION("iferror(GOOGLEFINANCE(TRIM(F4315)&amp;"":"" &amp; TRIM(B4315), ""price""),0
)"),0)</f>
        <v>0</v>
      </c>
      <c r="H4315" s="6">
        <v>168.8</v>
      </c>
      <c r="I4315" s="6">
        <f t="shared" ca="1" si="0"/>
        <v>168.8</v>
      </c>
      <c r="J4315" s="6">
        <f ca="1">IFERROR(__xludf.DUMMYFUNCTION("IFERROR(GOOGLEFINANCE(B4315, ""volume""), 0)"),0)</f>
        <v>0</v>
      </c>
      <c r="K4315" s="6">
        <v>2.83</v>
      </c>
      <c r="L4315" s="6">
        <f ca="1">IFERROR(__xludf.DUMMYFUNCTION("IFERROR(GOOGLEFINANCE(B4315,""changepct""),K4315)"),2.83)</f>
        <v>2.83</v>
      </c>
      <c r="M4315" s="6">
        <f ca="1">IFERROR(__xludf.DUMMYFUNCTION("IFERROR(GOOGLEFINANCE(B4315,""change""),0)"),0)</f>
        <v>0</v>
      </c>
      <c r="N4315" s="6">
        <v>2</v>
      </c>
      <c r="O4315" s="7">
        <v>45536</v>
      </c>
      <c r="P4315" s="6">
        <v>4.9800000000000004</v>
      </c>
      <c r="Q4315" s="6">
        <v>204.92</v>
      </c>
      <c r="R4315" s="7">
        <v>45536</v>
      </c>
      <c r="S4315" s="6">
        <v>265.54000000000002</v>
      </c>
      <c r="T4315" s="6">
        <v>22.98</v>
      </c>
      <c r="U4315" s="7">
        <v>45536</v>
      </c>
      <c r="V4315" s="6">
        <v>8.7100000000000009</v>
      </c>
      <c r="W4315" s="6">
        <f ca="1">IFERROR(__xludf.DUMMYFUNCTION("IFERROR(GOOGLEFINANCE(B4315,""pe""),V4315)"),8.71)</f>
        <v>8.7100000000000009</v>
      </c>
      <c r="X4315" s="6">
        <v>-72.569999999999993</v>
      </c>
      <c r="Y4315" s="6">
        <v>0.52</v>
      </c>
      <c r="Z4315" s="6">
        <v>2</v>
      </c>
      <c r="AA4315" s="8">
        <v>45352</v>
      </c>
      <c r="AB4315" s="4">
        <v>0.08</v>
      </c>
      <c r="AC4315" s="6">
        <v>4.6100000000000003</v>
      </c>
      <c r="AD4315" s="6">
        <v>5.93</v>
      </c>
      <c r="AE4315" s="1">
        <v>0</v>
      </c>
      <c r="AF4315" s="1">
        <f ca="1">IFERROR(__xludf.DUMMYFUNCTION("IFERROR(GOOGLEFINANCE(TRIM(F4315)&amp;"":"" &amp; TRIM(B4315),""high52""),AE4315)"),0)</f>
        <v>0</v>
      </c>
      <c r="AG4315" s="1">
        <v>0</v>
      </c>
      <c r="AH4315" s="1">
        <f ca="1">IFERROR(__xludf.DUMMYFUNCTION("IFERROR(GOOGLEFINANCE(TRIM(F4315)&amp;"":"" &amp; TRIM(B4315),""low52""),AE4315)"),0)</f>
        <v>0</v>
      </c>
      <c r="AI4315" s="1">
        <f ca="1">IFERROR(__xludf.DUMMYFUNCTION("IFERROR(GOOGLEFINANCE(B4315,""eps""),0)"),0)</f>
        <v>0</v>
      </c>
      <c r="AJ4315" s="1"/>
      <c r="AK4315" s="1" t="s">
        <v>13078</v>
      </c>
      <c r="AL4315" s="9">
        <f t="shared" si="389"/>
        <v>1</v>
      </c>
    </row>
    <row r="4316" spans="1:38" ht="15" x14ac:dyDescent="0.25">
      <c r="A4316" s="1" t="s">
        <v>13079</v>
      </c>
      <c r="B4316" s="1" t="s">
        <v>13080</v>
      </c>
      <c r="C4316" s="1" t="s">
        <v>227</v>
      </c>
      <c r="D4316" s="1" t="s">
        <v>227</v>
      </c>
      <c r="E4316" s="6">
        <v>24.69</v>
      </c>
      <c r="F4316" s="1" t="s">
        <v>53</v>
      </c>
      <c r="G4316" s="6">
        <f ca="1">IFERROR(__xludf.DUMMYFUNCTION("iferror(GOOGLEFINANCE(TRIM(F4316)&amp;"":"" &amp; TRIM(B4316), ""price""),0
)"),0)</f>
        <v>0</v>
      </c>
      <c r="H4316" s="6">
        <v>24.78</v>
      </c>
      <c r="I4316" s="6">
        <f t="shared" ca="1" si="0"/>
        <v>24.78</v>
      </c>
      <c r="J4316" s="6">
        <f ca="1">IFERROR(__xludf.DUMMYFUNCTION("IFERROR(GOOGLEFINANCE(B4316, ""volume""), 0)"),0)</f>
        <v>0</v>
      </c>
      <c r="K4316" s="9"/>
      <c r="L4316" s="6" t="str">
        <f ca="1">IFERROR(__xludf.DUMMYFUNCTION("IFERROR(GOOGLEFINANCE(B4316,""changepct""),K4316)"),"")</f>
        <v/>
      </c>
      <c r="M4316" s="6">
        <f ca="1">IFERROR(__xludf.DUMMYFUNCTION("IFERROR(GOOGLEFINANCE(B4316,""change""),0)"),0)</f>
        <v>0</v>
      </c>
      <c r="N4316" s="6">
        <v>1</v>
      </c>
      <c r="O4316" s="7">
        <v>45536</v>
      </c>
      <c r="P4316" s="6">
        <v>0.16</v>
      </c>
      <c r="Q4316" s="6">
        <v>24.85</v>
      </c>
      <c r="R4316" s="7">
        <v>45536</v>
      </c>
      <c r="S4316" s="6">
        <v>12.62</v>
      </c>
      <c r="T4316" s="6">
        <v>0.83</v>
      </c>
      <c r="U4316" s="7">
        <v>45536</v>
      </c>
      <c r="V4316" s="6">
        <v>29.78</v>
      </c>
      <c r="W4316" s="6">
        <f ca="1">IFERROR(__xludf.DUMMYFUNCTION("IFERROR(GOOGLEFINANCE(B4316,""pe""),V4316)"),29.78)</f>
        <v>29.78</v>
      </c>
      <c r="X4316" s="6">
        <v>1.46</v>
      </c>
      <c r="Y4316" s="6">
        <v>1.1000000000000001</v>
      </c>
      <c r="Z4316" s="6">
        <v>1</v>
      </c>
      <c r="AA4316" s="8">
        <v>45352</v>
      </c>
      <c r="AB4316" s="4">
        <v>0</v>
      </c>
      <c r="AC4316" s="6">
        <v>0.81</v>
      </c>
      <c r="AD4316" s="6">
        <v>0.89</v>
      </c>
      <c r="AE4316" s="1">
        <v>0</v>
      </c>
      <c r="AF4316" s="1">
        <f ca="1">IFERROR(__xludf.DUMMYFUNCTION("IFERROR(GOOGLEFINANCE(TRIM(F4316)&amp;"":"" &amp; TRIM(B4316),""high52""),AE4316)"),0)</f>
        <v>0</v>
      </c>
      <c r="AG4316" s="1">
        <v>0</v>
      </c>
      <c r="AH4316" s="1">
        <f ca="1">IFERROR(__xludf.DUMMYFUNCTION("IFERROR(GOOGLEFINANCE(TRIM(F4316)&amp;"":"" &amp; TRIM(B4316),""low52""),AE4316)"),0)</f>
        <v>0</v>
      </c>
      <c r="AI4316" s="1">
        <f ca="1">IFERROR(__xludf.DUMMYFUNCTION("IFERROR(GOOGLEFINANCE(B4316,""eps""),0)"),0)</f>
        <v>0</v>
      </c>
      <c r="AJ4316" s="1"/>
      <c r="AK4316" s="1" t="s">
        <v>13081</v>
      </c>
      <c r="AL4316" s="9">
        <f t="shared" si="389"/>
        <v>1</v>
      </c>
    </row>
    <row r="4317" spans="1:38" ht="15" x14ac:dyDescent="0.25">
      <c r="A4317" s="1" t="s">
        <v>13082</v>
      </c>
      <c r="B4317" s="1" t="s">
        <v>13083</v>
      </c>
      <c r="C4317" s="1" t="s">
        <v>227</v>
      </c>
      <c r="D4317" s="1" t="s">
        <v>227</v>
      </c>
      <c r="E4317" s="6">
        <v>71.53</v>
      </c>
      <c r="F4317" s="1" t="s">
        <v>53</v>
      </c>
      <c r="G4317" s="6">
        <f ca="1">IFERROR(__xludf.DUMMYFUNCTION("iferror(GOOGLEFINANCE(TRIM(F4317)&amp;"":"" &amp; TRIM(B4317), ""price""),0
)"),0)</f>
        <v>0</v>
      </c>
      <c r="H4317" s="6">
        <v>48.5</v>
      </c>
      <c r="I4317" s="6">
        <f t="shared" ca="1" si="0"/>
        <v>48.5</v>
      </c>
      <c r="J4317" s="6">
        <f ca="1">IFERROR(__xludf.DUMMYFUNCTION("IFERROR(GOOGLEFINANCE(B4317, ""volume""), 0)"),0)</f>
        <v>0</v>
      </c>
      <c r="K4317" s="6">
        <v>-2.02</v>
      </c>
      <c r="L4317" s="6">
        <f ca="1">IFERROR(__xludf.DUMMYFUNCTION("IFERROR(GOOGLEFINANCE(B4317,""changepct""),K4317)"),-2.02)</f>
        <v>-2.02</v>
      </c>
      <c r="M4317" s="6">
        <f ca="1">IFERROR(__xludf.DUMMYFUNCTION("IFERROR(GOOGLEFINANCE(B4317,""change""),0)"),0)</f>
        <v>0</v>
      </c>
      <c r="N4317" s="6">
        <v>1</v>
      </c>
      <c r="O4317" s="7">
        <v>45536</v>
      </c>
      <c r="P4317" s="9"/>
      <c r="Q4317" s="6">
        <v>71.53</v>
      </c>
      <c r="R4317" s="7">
        <v>45536</v>
      </c>
      <c r="S4317" s="6">
        <v>6.07</v>
      </c>
      <c r="T4317" s="6">
        <v>0.45</v>
      </c>
      <c r="U4317" s="7">
        <v>45536</v>
      </c>
      <c r="V4317" s="6">
        <v>157.19999999999999</v>
      </c>
      <c r="W4317" s="6">
        <f ca="1">IFERROR(__xludf.DUMMYFUNCTION("IFERROR(GOOGLEFINANCE(B4317,""pe""),V4317)"),157.2)</f>
        <v>157.19999999999999</v>
      </c>
      <c r="X4317" s="6">
        <v>12.69</v>
      </c>
      <c r="Y4317" s="6">
        <v>3.99</v>
      </c>
      <c r="Z4317" s="6">
        <v>2</v>
      </c>
      <c r="AA4317" s="8">
        <v>45352</v>
      </c>
      <c r="AB4317" s="4">
        <v>0</v>
      </c>
      <c r="AC4317" s="6">
        <v>1.19</v>
      </c>
      <c r="AD4317" s="6">
        <v>1.98</v>
      </c>
      <c r="AE4317" s="1">
        <v>0</v>
      </c>
      <c r="AF4317" s="1">
        <f ca="1">IFERROR(__xludf.DUMMYFUNCTION("IFERROR(GOOGLEFINANCE(TRIM(F4317)&amp;"":"" &amp; TRIM(B4317),""high52""),AE4317)"),0)</f>
        <v>0</v>
      </c>
      <c r="AG4317" s="1">
        <v>0</v>
      </c>
      <c r="AH4317" s="1">
        <f ca="1">IFERROR(__xludf.DUMMYFUNCTION("IFERROR(GOOGLEFINANCE(TRIM(F4317)&amp;"":"" &amp; TRIM(B4317),""low52""),AE4317)"),0)</f>
        <v>0</v>
      </c>
      <c r="AI4317" s="1">
        <f ca="1">IFERROR(__xludf.DUMMYFUNCTION("IFERROR(GOOGLEFINANCE(B4317,""eps""),0)"),0)</f>
        <v>0</v>
      </c>
      <c r="AJ4317" s="1"/>
      <c r="AK4317" s="1" t="s">
        <v>13084</v>
      </c>
      <c r="AL4317" s="9">
        <f t="shared" si="389"/>
        <v>1</v>
      </c>
    </row>
    <row r="4318" spans="1:38" ht="15" x14ac:dyDescent="0.25">
      <c r="A4318" s="1" t="s">
        <v>13085</v>
      </c>
      <c r="B4318" s="1" t="s">
        <v>13086</v>
      </c>
      <c r="C4318" s="1" t="s">
        <v>227</v>
      </c>
      <c r="D4318" s="1" t="s">
        <v>227</v>
      </c>
      <c r="E4318" s="6">
        <v>15.14</v>
      </c>
      <c r="F4318" s="1" t="s">
        <v>53</v>
      </c>
      <c r="G4318" s="6">
        <f ca="1">IFERROR(__xludf.DUMMYFUNCTION("iferror(GOOGLEFINANCE(TRIM(F4318)&amp;"":"" &amp; TRIM(B4318), ""price""),0
)"),0)</f>
        <v>0</v>
      </c>
      <c r="H4318" s="6">
        <v>17.29</v>
      </c>
      <c r="I4318" s="6">
        <f t="shared" ca="1" si="0"/>
        <v>17.29</v>
      </c>
      <c r="J4318" s="6">
        <f ca="1">IFERROR(__xludf.DUMMYFUNCTION("IFERROR(GOOGLEFINANCE(B4318, ""volume""), 0)"),0)</f>
        <v>0</v>
      </c>
      <c r="K4318" s="6">
        <v>0.52</v>
      </c>
      <c r="L4318" s="6">
        <f ca="1">IFERROR(__xludf.DUMMYFUNCTION("IFERROR(GOOGLEFINANCE(B4318,""changepct""),K4318)"),0.52)</f>
        <v>0.52</v>
      </c>
      <c r="M4318" s="6">
        <f ca="1">IFERROR(__xludf.DUMMYFUNCTION("IFERROR(GOOGLEFINANCE(B4318,""change""),0)"),0)</f>
        <v>0</v>
      </c>
      <c r="N4318" s="6">
        <v>1</v>
      </c>
      <c r="O4318" s="7">
        <v>45536</v>
      </c>
      <c r="P4318" s="6">
        <v>0.13</v>
      </c>
      <c r="Q4318" s="6">
        <v>15.26</v>
      </c>
      <c r="R4318" s="7">
        <v>45536</v>
      </c>
      <c r="S4318" s="6">
        <v>8.61</v>
      </c>
      <c r="T4318" s="6">
        <v>-0.82</v>
      </c>
      <c r="U4318" s="7">
        <v>45536</v>
      </c>
      <c r="V4318" s="6">
        <v>0</v>
      </c>
      <c r="W4318" s="6">
        <f ca="1">IFERROR(__xludf.DUMMYFUNCTION("IFERROR(GOOGLEFINANCE(B4318,""pe""),V4318)"),0)</f>
        <v>0</v>
      </c>
      <c r="X4318" s="6">
        <v>0</v>
      </c>
      <c r="Y4318" s="6">
        <v>5.62</v>
      </c>
      <c r="Z4318" s="6">
        <v>1</v>
      </c>
      <c r="AA4318" s="8">
        <v>45352</v>
      </c>
      <c r="AB4318" s="4">
        <v>0.01</v>
      </c>
      <c r="AC4318" s="6">
        <v>4.6100000000000003</v>
      </c>
      <c r="AD4318" s="6">
        <v>5.76</v>
      </c>
      <c r="AE4318" s="1">
        <v>0</v>
      </c>
      <c r="AF4318" s="1">
        <f ca="1">IFERROR(__xludf.DUMMYFUNCTION("IFERROR(GOOGLEFINANCE(TRIM(F4318)&amp;"":"" &amp; TRIM(B4318),""high52""),AE4318)"),0)</f>
        <v>0</v>
      </c>
      <c r="AG4318" s="1">
        <v>0</v>
      </c>
      <c r="AH4318" s="1">
        <f ca="1">IFERROR(__xludf.DUMMYFUNCTION("IFERROR(GOOGLEFINANCE(TRIM(F4318)&amp;"":"" &amp; TRIM(B4318),""low52""),AE4318)"),0)</f>
        <v>0</v>
      </c>
      <c r="AI4318" s="1">
        <f ca="1">IFERROR(__xludf.DUMMYFUNCTION("IFERROR(GOOGLEFINANCE(B4318,""eps""),0)"),0)</f>
        <v>0</v>
      </c>
      <c r="AJ4318" s="1"/>
      <c r="AK4318" s="1" t="s">
        <v>13087</v>
      </c>
      <c r="AL4318" s="9">
        <f t="shared" si="389"/>
        <v>1</v>
      </c>
    </row>
    <row r="4319" spans="1:38" ht="15" x14ac:dyDescent="0.25">
      <c r="A4319" s="1" t="s">
        <v>13088</v>
      </c>
      <c r="B4319" s="1" t="s">
        <v>13089</v>
      </c>
      <c r="C4319" s="1" t="s">
        <v>1118</v>
      </c>
      <c r="D4319" s="1" t="s">
        <v>1118</v>
      </c>
      <c r="E4319" s="6">
        <v>330.66</v>
      </c>
      <c r="F4319" s="1" t="s">
        <v>40</v>
      </c>
      <c r="G4319" s="6">
        <f ca="1">IFERROR(__xludf.DUMMYFUNCTION("iferror(GOOGLEFINANCE(TRIM(F4319)&amp;"":"" &amp; TRIM(B4319), ""price""),0
)"),6.15)</f>
        <v>6.15</v>
      </c>
      <c r="H4319" s="6">
        <v>15.35</v>
      </c>
      <c r="I4319" s="6">
        <f t="shared" ca="1" si="0"/>
        <v>6.15</v>
      </c>
      <c r="J4319" s="6">
        <f ca="1">IFERROR(__xludf.DUMMYFUNCTION("IFERROR(GOOGLEFINANCE(B4319, ""volume""), 0)"),379179)</f>
        <v>379179</v>
      </c>
      <c r="K4319" s="6">
        <v>1.19</v>
      </c>
      <c r="L4319" s="6">
        <f ca="1">IFERROR(__xludf.DUMMYFUNCTION("IFERROR(GOOGLEFINANCE(B4319,""changepct""),K4319)"),-2.54)</f>
        <v>-2.54</v>
      </c>
      <c r="M4319" s="6">
        <f ca="1">IFERROR(__xludf.DUMMYFUNCTION("IFERROR(GOOGLEFINANCE(B4319,""change""),0)"),-0.16)</f>
        <v>-0.16</v>
      </c>
      <c r="N4319" s="6">
        <v>1</v>
      </c>
      <c r="O4319" s="7">
        <v>45536</v>
      </c>
      <c r="P4319" s="6">
        <v>328.99</v>
      </c>
      <c r="Q4319" s="6">
        <v>627.03</v>
      </c>
      <c r="R4319" s="7">
        <v>45536</v>
      </c>
      <c r="S4319" s="6">
        <v>463.99</v>
      </c>
      <c r="T4319" s="6">
        <v>-5.49</v>
      </c>
      <c r="U4319" s="7">
        <v>45536</v>
      </c>
      <c r="V4319" s="6">
        <v>0</v>
      </c>
      <c r="W4319" s="6">
        <f ca="1">IFERROR(__xludf.DUMMYFUNCTION("IFERROR(GOOGLEFINANCE(B4319,""pe""),V4319)"),0)</f>
        <v>0</v>
      </c>
      <c r="X4319" s="6">
        <v>0</v>
      </c>
      <c r="Y4319" s="6">
        <v>1.18</v>
      </c>
      <c r="Z4319" s="6">
        <v>1</v>
      </c>
      <c r="AA4319" s="8">
        <v>45352</v>
      </c>
      <c r="AB4319" s="4">
        <v>1.36</v>
      </c>
      <c r="AC4319" s="6">
        <v>5.53</v>
      </c>
      <c r="AD4319" s="6">
        <v>8.48</v>
      </c>
      <c r="AE4319" s="1">
        <v>0</v>
      </c>
      <c r="AF4319" s="1">
        <f ca="1">IFERROR(__xludf.DUMMYFUNCTION("IFERROR(GOOGLEFINANCE(TRIM(F4319)&amp;"":"" &amp; TRIM(B4319),""high52""),AE4319)"),14.14)</f>
        <v>14.14</v>
      </c>
      <c r="AG4319" s="1">
        <v>0</v>
      </c>
      <c r="AH4319" s="1">
        <f ca="1">IFERROR(__xludf.DUMMYFUNCTION("IFERROR(GOOGLEFINANCE(TRIM(F4319)&amp;"":"" &amp; TRIM(B4319),""low52""),AE4319)"),5.91)</f>
        <v>5.91</v>
      </c>
      <c r="AI4319" s="1">
        <f ca="1">IFERROR(__xludf.DUMMYFUNCTION("IFERROR(GOOGLEFINANCE(B4319,""eps""),0)"),-1.3)</f>
        <v>-1.3</v>
      </c>
      <c r="AJ4319" s="1"/>
      <c r="AK4319" s="1" t="s">
        <v>13090</v>
      </c>
      <c r="AL4319" s="9">
        <f t="shared" si="389"/>
        <v>1</v>
      </c>
    </row>
    <row r="4320" spans="1:38" ht="15" x14ac:dyDescent="0.25">
      <c r="A4320" s="1" t="s">
        <v>13091</v>
      </c>
      <c r="B4320" s="1" t="s">
        <v>13092</v>
      </c>
      <c r="C4320" s="1" t="s">
        <v>99</v>
      </c>
      <c r="D4320" s="1" t="s">
        <v>99</v>
      </c>
      <c r="E4320" s="6">
        <v>82.8</v>
      </c>
      <c r="F4320" s="1" t="s">
        <v>40</v>
      </c>
      <c r="G4320" s="6">
        <f ca="1">IFERROR(__xludf.DUMMYFUNCTION("iferror(GOOGLEFINANCE(TRIM(F4320)&amp;"":"" &amp; TRIM(B4320), ""price""),0
)"),0)</f>
        <v>0</v>
      </c>
      <c r="H4320" s="6">
        <v>86.6</v>
      </c>
      <c r="I4320" s="6">
        <f t="shared" ca="1" si="0"/>
        <v>86.6</v>
      </c>
      <c r="J4320" s="6">
        <f ca="1">IFERROR(__xludf.DUMMYFUNCTION("IFERROR(GOOGLEFINANCE(B4320, ""volume""), 0)"),0)</f>
        <v>0</v>
      </c>
      <c r="K4320" s="6">
        <v>4.59</v>
      </c>
      <c r="L4320" s="6">
        <f ca="1">IFERROR(__xludf.DUMMYFUNCTION("IFERROR(GOOGLEFINANCE(B4320,""changepct""),K4320)"),4.59)</f>
        <v>4.59</v>
      </c>
      <c r="M4320" s="6">
        <f ca="1">IFERROR(__xludf.DUMMYFUNCTION("IFERROR(GOOGLEFINANCE(B4320,""change""),0)"),0)</f>
        <v>0</v>
      </c>
      <c r="N4320" s="6">
        <v>1</v>
      </c>
      <c r="O4320" s="7">
        <v>45536</v>
      </c>
      <c r="P4320" s="6">
        <v>42.53</v>
      </c>
      <c r="Q4320" s="6">
        <v>125.33</v>
      </c>
      <c r="R4320" s="7">
        <v>45352</v>
      </c>
      <c r="S4320" s="6">
        <v>74.77</v>
      </c>
      <c r="T4320" s="6">
        <v>6.01</v>
      </c>
      <c r="U4320" s="7">
        <v>45352</v>
      </c>
      <c r="V4320" s="6">
        <v>13.77</v>
      </c>
      <c r="W4320" s="6">
        <f ca="1">IFERROR(__xludf.DUMMYFUNCTION("IFERROR(GOOGLEFINANCE(B4320,""pe""),V4320)"),13.77)</f>
        <v>13.77</v>
      </c>
      <c r="X4320" s="12"/>
      <c r="Y4320" s="6">
        <v>1.26</v>
      </c>
      <c r="Z4320" s="6">
        <v>1</v>
      </c>
      <c r="AA4320" s="8">
        <v>45352</v>
      </c>
      <c r="AB4320" s="4">
        <v>0.52</v>
      </c>
      <c r="AC4320" s="6">
        <v>20.96</v>
      </c>
      <c r="AD4320" s="6">
        <v>20.89</v>
      </c>
      <c r="AE4320" s="1">
        <v>0</v>
      </c>
      <c r="AF4320" s="1">
        <f ca="1">IFERROR(__xludf.DUMMYFUNCTION("IFERROR(GOOGLEFINANCE(TRIM(F4320)&amp;"":"" &amp; TRIM(B4320),""high52""),AE4320)"),0)</f>
        <v>0</v>
      </c>
      <c r="AG4320" s="1">
        <v>0</v>
      </c>
      <c r="AH4320" s="1">
        <f ca="1">IFERROR(__xludf.DUMMYFUNCTION("IFERROR(GOOGLEFINANCE(TRIM(F4320)&amp;"":"" &amp; TRIM(B4320),""low52""),AE4320)"),0)</f>
        <v>0</v>
      </c>
      <c r="AI4320" s="1">
        <f ca="1">IFERROR(__xludf.DUMMYFUNCTION("IFERROR(GOOGLEFINANCE(B4320,""eps""),0)"),0)</f>
        <v>0</v>
      </c>
      <c r="AJ4320" s="1"/>
      <c r="AK4320" s="1" t="s">
        <v>13093</v>
      </c>
      <c r="AL4320" s="1" t="b">
        <f>ISNUMBER(AA4320)</f>
        <v>1</v>
      </c>
    </row>
    <row r="4321" spans="1:38" ht="15" x14ac:dyDescent="0.25">
      <c r="A4321" s="1" t="s">
        <v>13094</v>
      </c>
      <c r="B4321" s="1" t="s">
        <v>13095</v>
      </c>
      <c r="C4321" s="1" t="s">
        <v>227</v>
      </c>
      <c r="D4321" s="1" t="s">
        <v>227</v>
      </c>
      <c r="E4321" s="6">
        <v>5.46</v>
      </c>
      <c r="F4321" s="1" t="s">
        <v>53</v>
      </c>
      <c r="G4321" s="6">
        <f ca="1">IFERROR(__xludf.DUMMYFUNCTION("iferror(GOOGLEFINANCE(TRIM(F4321)&amp;"":"" &amp; TRIM(B4321), ""price""),0
)"),0)</f>
        <v>0</v>
      </c>
      <c r="H4321" s="6">
        <v>60</v>
      </c>
      <c r="I4321" s="6">
        <f t="shared" ca="1" si="0"/>
        <v>60</v>
      </c>
      <c r="J4321" s="6">
        <f ca="1">IFERROR(__xludf.DUMMYFUNCTION("IFERROR(GOOGLEFINANCE(B4321, ""volume""), 0)"),0)</f>
        <v>0</v>
      </c>
      <c r="K4321" s="9"/>
      <c r="L4321" s="6" t="str">
        <f ca="1">IFERROR(__xludf.DUMMYFUNCTION("IFERROR(GOOGLEFINANCE(B4321,""changepct""),K4321)"),"")</f>
        <v/>
      </c>
      <c r="M4321" s="6">
        <f ca="1">IFERROR(__xludf.DUMMYFUNCTION("IFERROR(GOOGLEFINANCE(B4321,""change""),0)"),0)</f>
        <v>0</v>
      </c>
      <c r="N4321" s="6">
        <v>1</v>
      </c>
      <c r="O4321" s="7">
        <v>45536</v>
      </c>
      <c r="P4321" s="9"/>
      <c r="Q4321" s="6">
        <v>5.46</v>
      </c>
      <c r="R4321" s="7">
        <v>45536</v>
      </c>
      <c r="S4321" s="6">
        <v>0</v>
      </c>
      <c r="T4321" s="6">
        <v>-0.13</v>
      </c>
      <c r="U4321" s="7">
        <v>45536</v>
      </c>
      <c r="V4321" s="6">
        <v>0</v>
      </c>
      <c r="W4321" s="6">
        <f ca="1">IFERROR(__xludf.DUMMYFUNCTION("IFERROR(GOOGLEFINANCE(B4321,""pe""),V4321)"),0)</f>
        <v>0</v>
      </c>
      <c r="X4321" s="9"/>
      <c r="Y4321" s="6">
        <v>-24.59</v>
      </c>
      <c r="Z4321" s="6">
        <v>1</v>
      </c>
      <c r="AA4321" s="8">
        <v>45352</v>
      </c>
      <c r="AB4321" s="4">
        <v>0</v>
      </c>
      <c r="AC4321" s="6">
        <v>0</v>
      </c>
      <c r="AD4321" s="6">
        <v>0</v>
      </c>
      <c r="AE4321" s="1">
        <v>0</v>
      </c>
      <c r="AF4321" s="1">
        <f ca="1">IFERROR(__xludf.DUMMYFUNCTION("IFERROR(GOOGLEFINANCE(TRIM(F4321)&amp;"":"" &amp; TRIM(B4321),""high52""),AE4321)"),0)</f>
        <v>0</v>
      </c>
      <c r="AG4321" s="1">
        <v>0</v>
      </c>
      <c r="AH4321" s="1">
        <f ca="1">IFERROR(__xludf.DUMMYFUNCTION("IFERROR(GOOGLEFINANCE(TRIM(F4321)&amp;"":"" &amp; TRIM(B4321),""low52""),AE4321)"),0)</f>
        <v>0</v>
      </c>
      <c r="AI4321" s="1">
        <f ca="1">IFERROR(__xludf.DUMMYFUNCTION("IFERROR(GOOGLEFINANCE(B4321,""eps""),0)"),0)</f>
        <v>0</v>
      </c>
      <c r="AJ4321" s="1"/>
      <c r="AK4321" s="1" t="s">
        <v>13096</v>
      </c>
      <c r="AL4321" s="9">
        <f t="shared" ref="AL4321:AL4334" si="390">IF(AA4321&lt;&gt;AB4321,1,0)</f>
        <v>1</v>
      </c>
    </row>
    <row r="4322" spans="1:38" ht="15" x14ac:dyDescent="0.25">
      <c r="A4322" s="1" t="s">
        <v>13097</v>
      </c>
      <c r="B4322" s="1" t="s">
        <v>13098</v>
      </c>
      <c r="C4322" s="1" t="s">
        <v>227</v>
      </c>
      <c r="D4322" s="1" t="s">
        <v>227</v>
      </c>
      <c r="E4322" s="6">
        <v>33.72</v>
      </c>
      <c r="F4322" s="1" t="s">
        <v>53</v>
      </c>
      <c r="G4322" s="6">
        <f ca="1">IFERROR(__xludf.DUMMYFUNCTION("iferror(GOOGLEFINANCE(TRIM(F4322)&amp;"":"" &amp; TRIM(B4322), ""price""),0
)"),0)</f>
        <v>0</v>
      </c>
      <c r="H4322" s="6">
        <v>16.22</v>
      </c>
      <c r="I4322" s="6">
        <f t="shared" ca="1" si="0"/>
        <v>16.22</v>
      </c>
      <c r="J4322" s="6">
        <f ca="1">IFERROR(__xludf.DUMMYFUNCTION("IFERROR(GOOGLEFINANCE(B4322, ""volume""), 0)"),0)</f>
        <v>0</v>
      </c>
      <c r="K4322" s="6">
        <v>-1.46</v>
      </c>
      <c r="L4322" s="6">
        <f ca="1">IFERROR(__xludf.DUMMYFUNCTION("IFERROR(GOOGLEFINANCE(B4322,""changepct""),K4322)"),-1.46)</f>
        <v>-1.46</v>
      </c>
      <c r="M4322" s="6">
        <f ca="1">IFERROR(__xludf.DUMMYFUNCTION("IFERROR(GOOGLEFINANCE(B4322,""change""),0)"),0)</f>
        <v>0</v>
      </c>
      <c r="N4322" s="6">
        <v>1</v>
      </c>
      <c r="O4322" s="7">
        <v>45536</v>
      </c>
      <c r="P4322" s="6">
        <v>0.21</v>
      </c>
      <c r="Q4322" s="6">
        <v>33.93</v>
      </c>
      <c r="R4322" s="7">
        <v>45536</v>
      </c>
      <c r="S4322" s="6">
        <v>14.4</v>
      </c>
      <c r="T4322" s="6">
        <v>0.33</v>
      </c>
      <c r="U4322" s="7">
        <v>45536</v>
      </c>
      <c r="V4322" s="6">
        <v>102.19</v>
      </c>
      <c r="W4322" s="6">
        <f ca="1">IFERROR(__xludf.DUMMYFUNCTION("IFERROR(GOOGLEFINANCE(B4322,""pe""),V4322)"),102.19)</f>
        <v>102.19</v>
      </c>
      <c r="X4322" s="9"/>
      <c r="Y4322" s="6">
        <v>1.1299999999999999</v>
      </c>
      <c r="Z4322" s="6">
        <v>1</v>
      </c>
      <c r="AA4322" s="8">
        <v>45352</v>
      </c>
      <c r="AB4322" s="4">
        <v>0.12</v>
      </c>
      <c r="AC4322" s="6">
        <v>6.75</v>
      </c>
      <c r="AD4322" s="6">
        <v>8.2899999999999991</v>
      </c>
      <c r="AE4322" s="1">
        <v>0</v>
      </c>
      <c r="AF4322" s="1">
        <f ca="1">IFERROR(__xludf.DUMMYFUNCTION("IFERROR(GOOGLEFINANCE(TRIM(F4322)&amp;"":"" &amp; TRIM(B4322),""high52""),AE4322)"),0)</f>
        <v>0</v>
      </c>
      <c r="AG4322" s="1">
        <v>0</v>
      </c>
      <c r="AH4322" s="1">
        <f ca="1">IFERROR(__xludf.DUMMYFUNCTION("IFERROR(GOOGLEFINANCE(TRIM(F4322)&amp;"":"" &amp; TRIM(B4322),""low52""),AE4322)"),0)</f>
        <v>0</v>
      </c>
      <c r="AI4322" s="1">
        <f ca="1">IFERROR(__xludf.DUMMYFUNCTION("IFERROR(GOOGLEFINANCE(B4322,""eps""),0)"),0)</f>
        <v>0</v>
      </c>
      <c r="AJ4322" s="1"/>
      <c r="AK4322" s="1" t="s">
        <v>13099</v>
      </c>
      <c r="AL4322" s="9">
        <f t="shared" si="390"/>
        <v>1</v>
      </c>
    </row>
    <row r="4323" spans="1:38" ht="15" x14ac:dyDescent="0.25">
      <c r="A4323" s="1" t="s">
        <v>13100</v>
      </c>
      <c r="B4323" s="1" t="s">
        <v>13101</v>
      </c>
      <c r="C4323" s="1" t="s">
        <v>227</v>
      </c>
      <c r="D4323" s="1" t="s">
        <v>227</v>
      </c>
      <c r="E4323" s="6">
        <v>150.53</v>
      </c>
      <c r="F4323" s="1" t="s">
        <v>53</v>
      </c>
      <c r="G4323" s="6">
        <f ca="1">IFERROR(__xludf.DUMMYFUNCTION("iferror(GOOGLEFINANCE(TRIM(F4323)&amp;"":"" &amp; TRIM(B4323), ""price""),0
)"),0)</f>
        <v>0</v>
      </c>
      <c r="H4323" s="6">
        <v>151.5</v>
      </c>
      <c r="I4323" s="6">
        <f t="shared" ca="1" si="0"/>
        <v>151.5</v>
      </c>
      <c r="J4323" s="6">
        <f ca="1">IFERROR(__xludf.DUMMYFUNCTION("IFERROR(GOOGLEFINANCE(B4323, ""volume""), 0)"),0)</f>
        <v>0</v>
      </c>
      <c r="K4323" s="6">
        <v>1</v>
      </c>
      <c r="L4323" s="6">
        <f ca="1">IFERROR(__xludf.DUMMYFUNCTION("IFERROR(GOOGLEFINANCE(B4323,""changepct""),K4323)"),0.34)</f>
        <v>0.34</v>
      </c>
      <c r="M4323" s="6">
        <f ca="1">IFERROR(__xludf.DUMMYFUNCTION("IFERROR(GOOGLEFINANCE(B4323,""change""),0)"),0.1)</f>
        <v>0.1</v>
      </c>
      <c r="N4323" s="6">
        <v>1</v>
      </c>
      <c r="O4323" s="7">
        <v>45536</v>
      </c>
      <c r="P4323" s="6">
        <v>1.63</v>
      </c>
      <c r="Q4323" s="6">
        <v>152.16</v>
      </c>
      <c r="R4323" s="7">
        <v>45536</v>
      </c>
      <c r="S4323" s="6">
        <v>61.84</v>
      </c>
      <c r="T4323" s="6">
        <v>2.34</v>
      </c>
      <c r="U4323" s="7">
        <v>45536</v>
      </c>
      <c r="V4323" s="6">
        <v>64.25</v>
      </c>
      <c r="W4323" s="6">
        <f ca="1">IFERROR(__xludf.DUMMYFUNCTION("IFERROR(GOOGLEFINANCE(B4323,""pe""),V4323)"),22.82)</f>
        <v>22.82</v>
      </c>
      <c r="X4323" s="9"/>
      <c r="Y4323" s="6">
        <v>10.25</v>
      </c>
      <c r="Z4323" s="6">
        <v>1</v>
      </c>
      <c r="AA4323" s="8">
        <v>45352</v>
      </c>
      <c r="AB4323" s="4">
        <v>0.14000000000000001</v>
      </c>
      <c r="AC4323" s="6">
        <v>9.5</v>
      </c>
      <c r="AD4323" s="6">
        <v>12.31</v>
      </c>
      <c r="AE4323" s="1">
        <v>0</v>
      </c>
      <c r="AF4323" s="1">
        <f ca="1">IFERROR(__xludf.DUMMYFUNCTION("IFERROR(GOOGLEFINANCE(TRIM(F4323)&amp;"":"" &amp; TRIM(B4323),""high52""),AE4323)"),0)</f>
        <v>0</v>
      </c>
      <c r="AG4323" s="1">
        <v>0</v>
      </c>
      <c r="AH4323" s="1">
        <f ca="1">IFERROR(__xludf.DUMMYFUNCTION("IFERROR(GOOGLEFINANCE(TRIM(F4323)&amp;"":"" &amp; TRIM(B4323),""low52""),AE4323)"),0)</f>
        <v>0</v>
      </c>
      <c r="AI4323" s="1">
        <f ca="1">IFERROR(__xludf.DUMMYFUNCTION("IFERROR(GOOGLEFINANCE(B4323,""eps""),0)"),1.31)</f>
        <v>1.31</v>
      </c>
      <c r="AJ4323" s="1"/>
      <c r="AK4323" s="1" t="s">
        <v>13102</v>
      </c>
      <c r="AL4323" s="9">
        <f t="shared" si="390"/>
        <v>1</v>
      </c>
    </row>
    <row r="4324" spans="1:38" ht="15" x14ac:dyDescent="0.25">
      <c r="A4324" s="1" t="s">
        <v>13103</v>
      </c>
      <c r="B4324" s="1" t="s">
        <v>13104</v>
      </c>
      <c r="C4324" s="1" t="s">
        <v>227</v>
      </c>
      <c r="D4324" s="1" t="s">
        <v>227</v>
      </c>
      <c r="E4324" s="6">
        <v>10.71</v>
      </c>
      <c r="F4324" s="1" t="s">
        <v>53</v>
      </c>
      <c r="G4324" s="6">
        <f ca="1">IFERROR(__xludf.DUMMYFUNCTION("iferror(GOOGLEFINANCE(TRIM(F4324)&amp;"":"" &amp; TRIM(B4324), ""price""),0
)"),0)</f>
        <v>0</v>
      </c>
      <c r="H4324" s="6">
        <v>5.18</v>
      </c>
      <c r="I4324" s="6">
        <f t="shared" ca="1" si="0"/>
        <v>5.18</v>
      </c>
      <c r="J4324" s="6">
        <f ca="1">IFERROR(__xludf.DUMMYFUNCTION("IFERROR(GOOGLEFINANCE(B4324, ""volume""), 0)"),0)</f>
        <v>0</v>
      </c>
      <c r="K4324" s="6">
        <v>4.8600000000000003</v>
      </c>
      <c r="L4324" s="6">
        <f ca="1">IFERROR(__xludf.DUMMYFUNCTION("IFERROR(GOOGLEFINANCE(B4324,""changepct""),K4324)"),4.86)</f>
        <v>4.8600000000000003</v>
      </c>
      <c r="M4324" s="6">
        <f ca="1">IFERROR(__xludf.DUMMYFUNCTION("IFERROR(GOOGLEFINANCE(B4324,""change""),0)"),0)</f>
        <v>0</v>
      </c>
      <c r="N4324" s="6">
        <v>1</v>
      </c>
      <c r="O4324" s="7">
        <v>45536</v>
      </c>
      <c r="P4324" s="9"/>
      <c r="Q4324" s="6">
        <v>10.67</v>
      </c>
      <c r="R4324" s="7">
        <v>45536</v>
      </c>
      <c r="S4324" s="6">
        <v>0</v>
      </c>
      <c r="T4324" s="6">
        <v>-1.75</v>
      </c>
      <c r="U4324" s="7">
        <v>45536</v>
      </c>
      <c r="V4324" s="6">
        <v>0</v>
      </c>
      <c r="W4324" s="6">
        <f ca="1">IFERROR(__xludf.DUMMYFUNCTION("IFERROR(GOOGLEFINANCE(B4324,""pe""),V4324)"),0)</f>
        <v>0</v>
      </c>
      <c r="X4324" s="6">
        <v>0</v>
      </c>
      <c r="Y4324" s="6">
        <v>0.48</v>
      </c>
      <c r="Z4324" s="6">
        <v>1</v>
      </c>
      <c r="AA4324" s="8">
        <v>45352</v>
      </c>
      <c r="AB4324" s="4">
        <v>0.05</v>
      </c>
      <c r="AC4324" s="6">
        <v>-8.39</v>
      </c>
      <c r="AD4324" s="6">
        <v>-7.98</v>
      </c>
      <c r="AE4324" s="1">
        <v>0</v>
      </c>
      <c r="AF4324" s="1">
        <f ca="1">IFERROR(__xludf.DUMMYFUNCTION("IFERROR(GOOGLEFINANCE(TRIM(F4324)&amp;"":"" &amp; TRIM(B4324),""high52""),AE4324)"),0)</f>
        <v>0</v>
      </c>
      <c r="AG4324" s="1">
        <v>0</v>
      </c>
      <c r="AH4324" s="1">
        <f ca="1">IFERROR(__xludf.DUMMYFUNCTION("IFERROR(GOOGLEFINANCE(TRIM(F4324)&amp;"":"" &amp; TRIM(B4324),""low52""),AE4324)"),0)</f>
        <v>0</v>
      </c>
      <c r="AI4324" s="1">
        <f ca="1">IFERROR(__xludf.DUMMYFUNCTION("IFERROR(GOOGLEFINANCE(B4324,""eps""),0)"),0)</f>
        <v>0</v>
      </c>
      <c r="AJ4324" s="1"/>
      <c r="AK4324" s="1" t="s">
        <v>13105</v>
      </c>
      <c r="AL4324" s="9">
        <f t="shared" si="390"/>
        <v>1</v>
      </c>
    </row>
    <row r="4325" spans="1:38" ht="15" x14ac:dyDescent="0.25">
      <c r="A4325" s="1" t="s">
        <v>13106</v>
      </c>
      <c r="B4325" s="1" t="s">
        <v>13107</v>
      </c>
      <c r="C4325" s="1" t="s">
        <v>227</v>
      </c>
      <c r="D4325" s="1" t="s">
        <v>227</v>
      </c>
      <c r="E4325" s="6">
        <v>16.59</v>
      </c>
      <c r="F4325" s="1" t="s">
        <v>53</v>
      </c>
      <c r="G4325" s="6">
        <f ca="1">IFERROR(__xludf.DUMMYFUNCTION("iferror(GOOGLEFINANCE(TRIM(F4325)&amp;"":"" &amp; TRIM(B4325), ""price""),0
)"),0)</f>
        <v>0</v>
      </c>
      <c r="H4325" s="6">
        <v>18.04</v>
      </c>
      <c r="I4325" s="6">
        <f t="shared" ca="1" si="0"/>
        <v>18.04</v>
      </c>
      <c r="J4325" s="6">
        <f ca="1">IFERROR(__xludf.DUMMYFUNCTION("IFERROR(GOOGLEFINANCE(B4325, ""volume""), 0)"),0)</f>
        <v>0</v>
      </c>
      <c r="K4325" s="6">
        <v>4.9400000000000004</v>
      </c>
      <c r="L4325" s="6">
        <f ca="1">IFERROR(__xludf.DUMMYFUNCTION("IFERROR(GOOGLEFINANCE(B4325,""changepct""),K4325)"),4.94)</f>
        <v>4.9400000000000004</v>
      </c>
      <c r="M4325" s="6">
        <f ca="1">IFERROR(__xludf.DUMMYFUNCTION("IFERROR(GOOGLEFINANCE(B4325,""change""),0)"),0)</f>
        <v>0</v>
      </c>
      <c r="N4325" s="6">
        <v>1</v>
      </c>
      <c r="O4325" s="7">
        <v>45536</v>
      </c>
      <c r="P4325" s="6">
        <v>1.7</v>
      </c>
      <c r="Q4325" s="6">
        <v>18.28</v>
      </c>
      <c r="R4325" s="7">
        <v>45536</v>
      </c>
      <c r="S4325" s="6">
        <v>0</v>
      </c>
      <c r="T4325" s="6">
        <v>-0.2</v>
      </c>
      <c r="U4325" s="7">
        <v>45536</v>
      </c>
      <c r="V4325" s="6">
        <v>0</v>
      </c>
      <c r="W4325" s="6">
        <f ca="1">IFERROR(__xludf.DUMMYFUNCTION("IFERROR(GOOGLEFINANCE(B4325,""pe""),V4325)"),0)</f>
        <v>0</v>
      </c>
      <c r="X4325" s="6">
        <v>0</v>
      </c>
      <c r="Y4325" s="6">
        <v>1.26</v>
      </c>
      <c r="Z4325" s="6">
        <v>2</v>
      </c>
      <c r="AA4325" s="8">
        <v>45352</v>
      </c>
      <c r="AB4325" s="4">
        <v>0.14000000000000001</v>
      </c>
      <c r="AC4325" s="6">
        <v>-2.77</v>
      </c>
      <c r="AD4325" s="6">
        <v>0.3</v>
      </c>
      <c r="AE4325" s="1">
        <v>0</v>
      </c>
      <c r="AF4325" s="1">
        <f ca="1">IFERROR(__xludf.DUMMYFUNCTION("IFERROR(GOOGLEFINANCE(TRIM(F4325)&amp;"":"" &amp; TRIM(B4325),""high52""),AE4325)"),0)</f>
        <v>0</v>
      </c>
      <c r="AG4325" s="1">
        <v>0</v>
      </c>
      <c r="AH4325" s="1">
        <f ca="1">IFERROR(__xludf.DUMMYFUNCTION("IFERROR(GOOGLEFINANCE(TRIM(F4325)&amp;"":"" &amp; TRIM(B4325),""low52""),AE4325)"),0)</f>
        <v>0</v>
      </c>
      <c r="AI4325" s="1">
        <f ca="1">IFERROR(__xludf.DUMMYFUNCTION("IFERROR(GOOGLEFINANCE(B4325,""eps""),0)"),0)</f>
        <v>0</v>
      </c>
      <c r="AJ4325" s="1"/>
      <c r="AK4325" s="1" t="s">
        <v>13108</v>
      </c>
      <c r="AL4325" s="9">
        <f t="shared" si="390"/>
        <v>1</v>
      </c>
    </row>
    <row r="4326" spans="1:38" ht="15" x14ac:dyDescent="0.25">
      <c r="A4326" s="1" t="s">
        <v>13109</v>
      </c>
      <c r="B4326" s="1" t="s">
        <v>13110</v>
      </c>
      <c r="C4326" s="1" t="s">
        <v>227</v>
      </c>
      <c r="D4326" s="1" t="s">
        <v>227</v>
      </c>
      <c r="E4326" s="6">
        <v>12.95</v>
      </c>
      <c r="F4326" s="1" t="s">
        <v>53</v>
      </c>
      <c r="G4326" s="6">
        <f ca="1">IFERROR(__xludf.DUMMYFUNCTION("iferror(GOOGLEFINANCE(TRIM(F4326)&amp;"":"" &amp; TRIM(B4326), ""price""),0
)"),0)</f>
        <v>0</v>
      </c>
      <c r="H4326" s="6">
        <v>6.87</v>
      </c>
      <c r="I4326" s="6">
        <f t="shared" ca="1" si="0"/>
        <v>6.87</v>
      </c>
      <c r="J4326" s="6">
        <f ca="1">IFERROR(__xludf.DUMMYFUNCTION("IFERROR(GOOGLEFINANCE(B4326, ""volume""), 0)"),0)</f>
        <v>0</v>
      </c>
      <c r="K4326" s="6">
        <v>4.8899999999999997</v>
      </c>
      <c r="L4326" s="6">
        <f ca="1">IFERROR(__xludf.DUMMYFUNCTION("IFERROR(GOOGLEFINANCE(B4326,""changepct""),K4326)"),4.89)</f>
        <v>4.8899999999999997</v>
      </c>
      <c r="M4326" s="6">
        <f ca="1">IFERROR(__xludf.DUMMYFUNCTION("IFERROR(GOOGLEFINANCE(B4326,""change""),0)"),0)</f>
        <v>0</v>
      </c>
      <c r="N4326" s="6">
        <v>1</v>
      </c>
      <c r="O4326" s="7">
        <v>45536</v>
      </c>
      <c r="P4326" s="12"/>
      <c r="Q4326" s="6">
        <v>12.95</v>
      </c>
      <c r="R4326" s="7">
        <v>45536</v>
      </c>
      <c r="S4326" s="6">
        <v>0</v>
      </c>
      <c r="T4326" s="6">
        <v>-0.97</v>
      </c>
      <c r="U4326" s="7">
        <v>45536</v>
      </c>
      <c r="V4326" s="6">
        <v>0</v>
      </c>
      <c r="W4326" s="6">
        <f ca="1">IFERROR(__xludf.DUMMYFUNCTION("IFERROR(GOOGLEFINANCE(B4326,""pe""),V4326)"),0)</f>
        <v>0</v>
      </c>
      <c r="X4326" s="6">
        <v>0</v>
      </c>
      <c r="Y4326" s="6">
        <v>0.46</v>
      </c>
      <c r="Z4326" s="6">
        <v>1</v>
      </c>
      <c r="AA4326" s="8">
        <v>45352</v>
      </c>
      <c r="AB4326" s="4">
        <v>0.04</v>
      </c>
      <c r="AC4326" s="6">
        <v>-5.27</v>
      </c>
      <c r="AD4326" s="6">
        <v>-5.01</v>
      </c>
      <c r="AE4326" s="1">
        <v>0</v>
      </c>
      <c r="AF4326" s="1">
        <f ca="1">IFERROR(__xludf.DUMMYFUNCTION("IFERROR(GOOGLEFINANCE(TRIM(F4326)&amp;"":"" &amp; TRIM(B4326),""high52""),AE4326)"),0)</f>
        <v>0</v>
      </c>
      <c r="AG4326" s="1">
        <v>0</v>
      </c>
      <c r="AH4326" s="1">
        <f ca="1">IFERROR(__xludf.DUMMYFUNCTION("IFERROR(GOOGLEFINANCE(TRIM(F4326)&amp;"":"" &amp; TRIM(B4326),""low52""),AE4326)"),0)</f>
        <v>0</v>
      </c>
      <c r="AI4326" s="1">
        <f ca="1">IFERROR(__xludf.DUMMYFUNCTION("IFERROR(GOOGLEFINANCE(B4326,""eps""),0)"),0)</f>
        <v>0</v>
      </c>
      <c r="AJ4326" s="1"/>
      <c r="AK4326" s="1" t="s">
        <v>13111</v>
      </c>
      <c r="AL4326" s="9">
        <f t="shared" si="390"/>
        <v>1</v>
      </c>
    </row>
    <row r="4327" spans="1:38" ht="15" x14ac:dyDescent="0.25">
      <c r="A4327" s="1" t="s">
        <v>13112</v>
      </c>
      <c r="B4327" s="1" t="s">
        <v>13113</v>
      </c>
      <c r="C4327" s="1" t="s">
        <v>227</v>
      </c>
      <c r="D4327" s="1" t="s">
        <v>227</v>
      </c>
      <c r="E4327" s="6">
        <v>44.6</v>
      </c>
      <c r="F4327" s="1" t="s">
        <v>53</v>
      </c>
      <c r="G4327" s="6">
        <f ca="1">IFERROR(__xludf.DUMMYFUNCTION("iferror(GOOGLEFINANCE(TRIM(F4327)&amp;"":"" &amp; TRIM(B4327), ""price""),0
)"),0)</f>
        <v>0</v>
      </c>
      <c r="H4327" s="6">
        <v>46.65</v>
      </c>
      <c r="I4327" s="6">
        <f t="shared" ca="1" si="0"/>
        <v>46.65</v>
      </c>
      <c r="J4327" s="6">
        <f ca="1">IFERROR(__xludf.DUMMYFUNCTION("IFERROR(GOOGLEFINANCE(B4327, ""volume""), 0)"),0)</f>
        <v>0</v>
      </c>
      <c r="K4327" s="6">
        <v>-2</v>
      </c>
      <c r="L4327" s="6">
        <f ca="1">IFERROR(__xludf.DUMMYFUNCTION("IFERROR(GOOGLEFINANCE(B4327,""changepct""),K4327)"),-2)</f>
        <v>-2</v>
      </c>
      <c r="M4327" s="6">
        <f ca="1">IFERROR(__xludf.DUMMYFUNCTION("IFERROR(GOOGLEFINANCE(B4327,""change""),0)"),0)</f>
        <v>0</v>
      </c>
      <c r="N4327" s="6">
        <v>1</v>
      </c>
      <c r="O4327" s="7">
        <v>45536</v>
      </c>
      <c r="P4327" s="9"/>
      <c r="Q4327" s="6">
        <v>44.6</v>
      </c>
      <c r="R4327" s="7">
        <v>45536</v>
      </c>
      <c r="S4327" s="6">
        <v>1.48</v>
      </c>
      <c r="T4327" s="6">
        <v>-1.54</v>
      </c>
      <c r="U4327" s="7">
        <v>45536</v>
      </c>
      <c r="V4327" s="6">
        <v>0</v>
      </c>
      <c r="W4327" s="6">
        <f ca="1">IFERROR(__xludf.DUMMYFUNCTION("IFERROR(GOOGLEFINANCE(B4327,""pe""),V4327)"),0)</f>
        <v>0</v>
      </c>
      <c r="X4327" s="12"/>
      <c r="Y4327" s="6">
        <v>6.44</v>
      </c>
      <c r="Z4327" s="6">
        <v>1</v>
      </c>
      <c r="AA4327" s="8">
        <v>45352</v>
      </c>
      <c r="AB4327" s="4">
        <v>0</v>
      </c>
      <c r="AC4327" s="6">
        <v>75.069999999999993</v>
      </c>
      <c r="AD4327" s="6">
        <v>87.6</v>
      </c>
      <c r="AE4327" s="1">
        <v>0</v>
      </c>
      <c r="AF4327" s="1">
        <f ca="1">IFERROR(__xludf.DUMMYFUNCTION("IFERROR(GOOGLEFINANCE(TRIM(F4327)&amp;"":"" &amp; TRIM(B4327),""high52""),AE4327)"),0)</f>
        <v>0</v>
      </c>
      <c r="AG4327" s="1">
        <v>0</v>
      </c>
      <c r="AH4327" s="1">
        <f ca="1">IFERROR(__xludf.DUMMYFUNCTION("IFERROR(GOOGLEFINANCE(TRIM(F4327)&amp;"":"" &amp; TRIM(B4327),""low52""),AE4327)"),0)</f>
        <v>0</v>
      </c>
      <c r="AI4327" s="1">
        <f ca="1">IFERROR(__xludf.DUMMYFUNCTION("IFERROR(GOOGLEFINANCE(B4327,""eps""),0)"),0)</f>
        <v>0</v>
      </c>
      <c r="AJ4327" s="1"/>
      <c r="AK4327" s="1" t="s">
        <v>13114</v>
      </c>
      <c r="AL4327" s="9">
        <f t="shared" si="390"/>
        <v>1</v>
      </c>
    </row>
    <row r="4328" spans="1:38" ht="15" x14ac:dyDescent="0.25">
      <c r="A4328" s="1" t="s">
        <v>13115</v>
      </c>
      <c r="B4328" s="1" t="s">
        <v>13116</v>
      </c>
      <c r="C4328" s="1" t="s">
        <v>227</v>
      </c>
      <c r="D4328" s="1" t="s">
        <v>227</v>
      </c>
      <c r="E4328" s="6">
        <v>34.14</v>
      </c>
      <c r="F4328" s="1" t="s">
        <v>53</v>
      </c>
      <c r="G4328" s="6">
        <f ca="1">IFERROR(__xludf.DUMMYFUNCTION("iferror(GOOGLEFINANCE(TRIM(F4328)&amp;"":"" &amp; TRIM(B4328), ""price""),0
)"),0)</f>
        <v>0</v>
      </c>
      <c r="H4328" s="6">
        <v>13.87</v>
      </c>
      <c r="I4328" s="6">
        <f t="shared" ca="1" si="0"/>
        <v>13.87</v>
      </c>
      <c r="J4328" s="6">
        <f ca="1">IFERROR(__xludf.DUMMYFUNCTION("IFERROR(GOOGLEFINANCE(B4328, ""volume""), 0)"),0)</f>
        <v>0</v>
      </c>
      <c r="K4328" s="6">
        <v>4.76</v>
      </c>
      <c r="L4328" s="6">
        <f ca="1">IFERROR(__xludf.DUMMYFUNCTION("IFERROR(GOOGLEFINANCE(B4328,""changepct""),K4328)"),4.76)</f>
        <v>4.76</v>
      </c>
      <c r="M4328" s="6">
        <f ca="1">IFERROR(__xludf.DUMMYFUNCTION("IFERROR(GOOGLEFINANCE(B4328,""change""),0)"),0)</f>
        <v>0</v>
      </c>
      <c r="N4328" s="6">
        <v>1</v>
      </c>
      <c r="O4328" s="7">
        <v>45536</v>
      </c>
      <c r="P4328" s="9"/>
      <c r="Q4328" s="6">
        <v>34.14</v>
      </c>
      <c r="R4328" s="7">
        <v>45536</v>
      </c>
      <c r="S4328" s="6">
        <v>19.260000000000002</v>
      </c>
      <c r="T4328" s="6">
        <v>0.45</v>
      </c>
      <c r="U4328" s="7">
        <v>45536</v>
      </c>
      <c r="V4328" s="6">
        <v>75.36</v>
      </c>
      <c r="W4328" s="6">
        <f ca="1">IFERROR(__xludf.DUMMYFUNCTION("IFERROR(GOOGLEFINANCE(B4328,""pe""),V4328)"),75.36)</f>
        <v>75.36</v>
      </c>
      <c r="X4328" s="6">
        <v>5.12</v>
      </c>
      <c r="Y4328" s="6">
        <v>1.06</v>
      </c>
      <c r="Z4328" s="6">
        <v>1</v>
      </c>
      <c r="AA4328" s="8">
        <v>45352</v>
      </c>
      <c r="AB4328" s="4">
        <v>0.01</v>
      </c>
      <c r="AC4328" s="6">
        <v>1.24</v>
      </c>
      <c r="AD4328" s="6">
        <v>1.81</v>
      </c>
      <c r="AE4328" s="1">
        <v>0</v>
      </c>
      <c r="AF4328" s="1">
        <f ca="1">IFERROR(__xludf.DUMMYFUNCTION("IFERROR(GOOGLEFINANCE(TRIM(F4328)&amp;"":"" &amp; TRIM(B4328),""high52""),AE4328)"),0)</f>
        <v>0</v>
      </c>
      <c r="AG4328" s="1">
        <v>0</v>
      </c>
      <c r="AH4328" s="1">
        <f ca="1">IFERROR(__xludf.DUMMYFUNCTION("IFERROR(GOOGLEFINANCE(TRIM(F4328)&amp;"":"" &amp; TRIM(B4328),""low52""),AE4328)"),0)</f>
        <v>0</v>
      </c>
      <c r="AI4328" s="1">
        <f ca="1">IFERROR(__xludf.DUMMYFUNCTION("IFERROR(GOOGLEFINANCE(B4328,""eps""),0)"),0)</f>
        <v>0</v>
      </c>
      <c r="AJ4328" s="1"/>
      <c r="AK4328" s="1" t="s">
        <v>13117</v>
      </c>
      <c r="AL4328" s="9">
        <f t="shared" si="390"/>
        <v>1</v>
      </c>
    </row>
    <row r="4329" spans="1:38" ht="15" x14ac:dyDescent="0.25">
      <c r="A4329" s="1" t="s">
        <v>13118</v>
      </c>
      <c r="B4329" s="1" t="s">
        <v>13119</v>
      </c>
      <c r="C4329" s="1" t="s">
        <v>227</v>
      </c>
      <c r="D4329" s="1" t="s">
        <v>227</v>
      </c>
      <c r="E4329" s="6">
        <v>30.15</v>
      </c>
      <c r="F4329" s="1" t="s">
        <v>53</v>
      </c>
      <c r="G4329" s="6">
        <f ca="1">IFERROR(__xludf.DUMMYFUNCTION("iferror(GOOGLEFINANCE(TRIM(F4329)&amp;"":"" &amp; TRIM(B4329), ""price""),0
)"),0)</f>
        <v>0</v>
      </c>
      <c r="H4329" s="6">
        <v>27.41</v>
      </c>
      <c r="I4329" s="6">
        <f t="shared" ca="1" si="0"/>
        <v>27.41</v>
      </c>
      <c r="J4329" s="6">
        <f ca="1">IFERROR(__xludf.DUMMYFUNCTION("IFERROR(GOOGLEFINANCE(B4329, ""volume""), 0)"),0)</f>
        <v>0</v>
      </c>
      <c r="K4329" s="9"/>
      <c r="L4329" s="6" t="str">
        <f ca="1">IFERROR(__xludf.DUMMYFUNCTION("IFERROR(GOOGLEFINANCE(B4329,""changepct""),K4329)"),"")</f>
        <v/>
      </c>
      <c r="M4329" s="6">
        <f ca="1">IFERROR(__xludf.DUMMYFUNCTION("IFERROR(GOOGLEFINANCE(B4329,""change""),0)"),0)</f>
        <v>0</v>
      </c>
      <c r="N4329" s="6">
        <v>1</v>
      </c>
      <c r="O4329" s="7">
        <v>45536</v>
      </c>
      <c r="P4329" s="6">
        <v>20.399999999999999</v>
      </c>
      <c r="Q4329" s="6">
        <v>50.33</v>
      </c>
      <c r="R4329" s="7">
        <v>45536</v>
      </c>
      <c r="S4329" s="6">
        <v>184.04</v>
      </c>
      <c r="T4329" s="6">
        <v>0.56000000000000005</v>
      </c>
      <c r="U4329" s="7">
        <v>45536</v>
      </c>
      <c r="V4329" s="6">
        <v>53.75</v>
      </c>
      <c r="W4329" s="6">
        <f ca="1">IFERROR(__xludf.DUMMYFUNCTION("IFERROR(GOOGLEFINANCE(B4329,""pe""),V4329)"),53.75)</f>
        <v>53.75</v>
      </c>
      <c r="X4329" s="6">
        <v>31.07</v>
      </c>
      <c r="Y4329" s="6">
        <v>1.08</v>
      </c>
      <c r="Z4329" s="6">
        <v>1</v>
      </c>
      <c r="AA4329" s="8">
        <v>45352</v>
      </c>
      <c r="AB4329" s="4">
        <v>0.93</v>
      </c>
      <c r="AC4329" s="6">
        <v>2.09</v>
      </c>
      <c r="AD4329" s="6">
        <v>6.02</v>
      </c>
      <c r="AE4329" s="1">
        <v>0</v>
      </c>
      <c r="AF4329" s="1">
        <f ca="1">IFERROR(__xludf.DUMMYFUNCTION("IFERROR(GOOGLEFINANCE(TRIM(F4329)&amp;"":"" &amp; TRIM(B4329),""high52""),AE4329)"),0)</f>
        <v>0</v>
      </c>
      <c r="AG4329" s="1">
        <v>0</v>
      </c>
      <c r="AH4329" s="1">
        <f ca="1">IFERROR(__xludf.DUMMYFUNCTION("IFERROR(GOOGLEFINANCE(TRIM(F4329)&amp;"":"" &amp; TRIM(B4329),""low52""),AE4329)"),0)</f>
        <v>0</v>
      </c>
      <c r="AI4329" s="1">
        <f ca="1">IFERROR(__xludf.DUMMYFUNCTION("IFERROR(GOOGLEFINANCE(B4329,""eps""),0)"),0)</f>
        <v>0</v>
      </c>
      <c r="AJ4329" s="1"/>
      <c r="AK4329" s="9"/>
      <c r="AL4329" s="9">
        <f t="shared" si="390"/>
        <v>1</v>
      </c>
    </row>
    <row r="4330" spans="1:38" ht="15" x14ac:dyDescent="0.25">
      <c r="A4330" s="1" t="s">
        <v>13120</v>
      </c>
      <c r="B4330" s="1" t="s">
        <v>13121</v>
      </c>
      <c r="C4330" s="1" t="s">
        <v>227</v>
      </c>
      <c r="D4330" s="1" t="s">
        <v>227</v>
      </c>
      <c r="E4330" s="6">
        <v>17.73</v>
      </c>
      <c r="F4330" s="1" t="s">
        <v>53</v>
      </c>
      <c r="G4330" s="6">
        <f ca="1">IFERROR(__xludf.DUMMYFUNCTION("iferror(GOOGLEFINANCE(TRIM(F4330)&amp;"":"" &amp; TRIM(B4330), ""price""),0
)"),0)</f>
        <v>0</v>
      </c>
      <c r="H4330" s="6">
        <v>59</v>
      </c>
      <c r="I4330" s="6">
        <f t="shared" ca="1" si="0"/>
        <v>59</v>
      </c>
      <c r="J4330" s="6">
        <f ca="1">IFERROR(__xludf.DUMMYFUNCTION("IFERROR(GOOGLEFINANCE(B4330, ""volume""), 0)"),0)</f>
        <v>0</v>
      </c>
      <c r="K4330" s="9"/>
      <c r="L4330" s="6" t="str">
        <f ca="1">IFERROR(__xludf.DUMMYFUNCTION("IFERROR(GOOGLEFINANCE(B4330,""changepct""),K4330)"),"")</f>
        <v/>
      </c>
      <c r="M4330" s="6">
        <f ca="1">IFERROR(__xludf.DUMMYFUNCTION("IFERROR(GOOGLEFINANCE(B4330,""change""),0)"),0)</f>
        <v>0</v>
      </c>
      <c r="N4330" s="6">
        <v>2</v>
      </c>
      <c r="O4330" s="7">
        <v>45536</v>
      </c>
      <c r="P4330" s="6">
        <v>36.479999999999997</v>
      </c>
      <c r="Q4330" s="6">
        <v>53.05</v>
      </c>
      <c r="R4330" s="7">
        <v>45536</v>
      </c>
      <c r="S4330" s="6">
        <v>21.93</v>
      </c>
      <c r="T4330" s="6">
        <v>-0.01</v>
      </c>
      <c r="U4330" s="7">
        <v>45536</v>
      </c>
      <c r="V4330" s="6">
        <v>0</v>
      </c>
      <c r="W4330" s="6">
        <f ca="1">IFERROR(__xludf.DUMMYFUNCTION("IFERROR(GOOGLEFINANCE(B4330,""pe""),V4330)"),0)</f>
        <v>0</v>
      </c>
      <c r="X4330" s="9"/>
      <c r="Y4330" s="6">
        <v>2.04</v>
      </c>
      <c r="Z4330" s="6">
        <v>2</v>
      </c>
      <c r="AA4330" s="8">
        <v>45352</v>
      </c>
      <c r="AB4330" s="4">
        <v>1.82</v>
      </c>
      <c r="AC4330" s="6">
        <v>6.87</v>
      </c>
      <c r="AD4330" s="6">
        <v>7.87</v>
      </c>
      <c r="AE4330" s="1">
        <v>0</v>
      </c>
      <c r="AF4330" s="1">
        <f ca="1">IFERROR(__xludf.DUMMYFUNCTION("IFERROR(GOOGLEFINANCE(TRIM(F4330)&amp;"":"" &amp; TRIM(B4330),""high52""),AE4330)"),0)</f>
        <v>0</v>
      </c>
      <c r="AG4330" s="1">
        <v>0</v>
      </c>
      <c r="AH4330" s="1">
        <f ca="1">IFERROR(__xludf.DUMMYFUNCTION("IFERROR(GOOGLEFINANCE(TRIM(F4330)&amp;"":"" &amp; TRIM(B4330),""low52""),AE4330)"),0)</f>
        <v>0</v>
      </c>
      <c r="AI4330" s="1">
        <f ca="1">IFERROR(__xludf.DUMMYFUNCTION("IFERROR(GOOGLEFINANCE(B4330,""eps""),0)"),0)</f>
        <v>0</v>
      </c>
      <c r="AJ4330" s="1"/>
      <c r="AK4330" s="1" t="s">
        <v>13122</v>
      </c>
      <c r="AL4330" s="9">
        <f t="shared" si="390"/>
        <v>1</v>
      </c>
    </row>
    <row r="4331" spans="1:38" ht="15" x14ac:dyDescent="0.25">
      <c r="A4331" s="1" t="s">
        <v>13123</v>
      </c>
      <c r="B4331" s="1" t="s">
        <v>13124</v>
      </c>
      <c r="C4331" s="1" t="s">
        <v>227</v>
      </c>
      <c r="D4331" s="1" t="s">
        <v>227</v>
      </c>
      <c r="E4331" s="6">
        <v>527.35</v>
      </c>
      <c r="F4331" s="1" t="s">
        <v>40</v>
      </c>
      <c r="G4331" s="6">
        <f ca="1">IFERROR(__xludf.DUMMYFUNCTION("iferror(GOOGLEFINANCE(TRIM(F4331)&amp;"":"" &amp; TRIM(B4331), ""price""),0
)"),0)</f>
        <v>0</v>
      </c>
      <c r="H4331" s="6">
        <v>208.3</v>
      </c>
      <c r="I4331" s="6">
        <f t="shared" ca="1" si="0"/>
        <v>208.3</v>
      </c>
      <c r="J4331" s="6">
        <f ca="1">IFERROR(__xludf.DUMMYFUNCTION("IFERROR(GOOGLEFINANCE(B4331, ""volume""), 0)"),0)</f>
        <v>0</v>
      </c>
      <c r="K4331" s="6">
        <v>-2.66</v>
      </c>
      <c r="L4331" s="6">
        <f ca="1">IFERROR(__xludf.DUMMYFUNCTION("IFERROR(GOOGLEFINANCE(B4331,""changepct""),K4331)"),-2.66)</f>
        <v>-2.66</v>
      </c>
      <c r="M4331" s="6">
        <f ca="1">IFERROR(__xludf.DUMMYFUNCTION("IFERROR(GOOGLEFINANCE(B4331,""change""),0)"),0)</f>
        <v>0</v>
      </c>
      <c r="N4331" s="6">
        <v>1</v>
      </c>
      <c r="O4331" s="7">
        <v>45536</v>
      </c>
      <c r="P4331" s="6">
        <v>245.87</v>
      </c>
      <c r="Q4331" s="6">
        <v>773.22</v>
      </c>
      <c r="R4331" s="14"/>
      <c r="S4331" s="9"/>
      <c r="T4331" s="9"/>
      <c r="U4331" s="6">
        <v>0</v>
      </c>
      <c r="V4331" s="9"/>
      <c r="W4331" s="6" t="str">
        <f ca="1">IFERROR(__xludf.DUMMYFUNCTION("IFERROR(GOOGLEFINANCE(B4331,""pe""),V4331)"),"")</f>
        <v/>
      </c>
      <c r="X4331" s="12"/>
      <c r="Y4331" s="6">
        <v>21.4</v>
      </c>
      <c r="Z4331" s="6">
        <v>2</v>
      </c>
      <c r="AA4331" s="8">
        <v>45352</v>
      </c>
      <c r="AB4331" s="4">
        <v>11.26</v>
      </c>
      <c r="AC4331" s="6">
        <v>113.75</v>
      </c>
      <c r="AD4331" s="6">
        <v>19.78</v>
      </c>
      <c r="AE4331" s="1">
        <v>0</v>
      </c>
      <c r="AF4331" s="1">
        <f ca="1">IFERROR(__xludf.DUMMYFUNCTION("IFERROR(GOOGLEFINANCE(TRIM(F4331)&amp;"":"" &amp; TRIM(B4331),""high52""),AE4331)"),0)</f>
        <v>0</v>
      </c>
      <c r="AG4331" s="1">
        <v>0</v>
      </c>
      <c r="AH4331" s="1">
        <f ca="1">IFERROR(__xludf.DUMMYFUNCTION("IFERROR(GOOGLEFINANCE(TRIM(F4331)&amp;"":"" &amp; TRIM(B4331),""low52""),AE4331)"),0)</f>
        <v>0</v>
      </c>
      <c r="AI4331" s="1">
        <f ca="1">IFERROR(__xludf.DUMMYFUNCTION("IFERROR(GOOGLEFINANCE(B4331,""eps""),0)"),0)</f>
        <v>0</v>
      </c>
      <c r="AJ4331" s="1"/>
      <c r="AK4331" s="1" t="s">
        <v>13125</v>
      </c>
      <c r="AL4331" s="9">
        <f t="shared" si="390"/>
        <v>1</v>
      </c>
    </row>
    <row r="4332" spans="1:38" ht="15" x14ac:dyDescent="0.25">
      <c r="A4332" s="1" t="s">
        <v>13126</v>
      </c>
      <c r="B4332" s="1" t="s">
        <v>13127</v>
      </c>
      <c r="C4332" s="1" t="s">
        <v>227</v>
      </c>
      <c r="D4332" s="1" t="s">
        <v>227</v>
      </c>
      <c r="E4332" s="6">
        <v>17.7</v>
      </c>
      <c r="F4332" s="1" t="s">
        <v>53</v>
      </c>
      <c r="G4332" s="6">
        <f ca="1">IFERROR(__xludf.DUMMYFUNCTION("iferror(GOOGLEFINANCE(TRIM(F4332)&amp;"":"" &amp; TRIM(B4332), ""price""),0
)"),0)</f>
        <v>0</v>
      </c>
      <c r="H4332" s="6">
        <v>6.01</v>
      </c>
      <c r="I4332" s="6">
        <f t="shared" ca="1" si="0"/>
        <v>6.01</v>
      </c>
      <c r="J4332" s="6">
        <f ca="1">IFERROR(__xludf.DUMMYFUNCTION("IFERROR(GOOGLEFINANCE(B4332, ""volume""), 0)"),0)</f>
        <v>0</v>
      </c>
      <c r="K4332" s="6">
        <v>1.86</v>
      </c>
      <c r="L4332" s="6">
        <f ca="1">IFERROR(__xludf.DUMMYFUNCTION("IFERROR(GOOGLEFINANCE(B4332,""changepct""),K4332)"),1.86)</f>
        <v>1.86</v>
      </c>
      <c r="M4332" s="6">
        <f ca="1">IFERROR(__xludf.DUMMYFUNCTION("IFERROR(GOOGLEFINANCE(B4332,""change""),0)"),0)</f>
        <v>0</v>
      </c>
      <c r="N4332" s="6">
        <v>2</v>
      </c>
      <c r="O4332" s="7">
        <v>45536</v>
      </c>
      <c r="P4332" s="6">
        <v>2.09</v>
      </c>
      <c r="Q4332" s="6">
        <v>19.79</v>
      </c>
      <c r="R4332" s="7">
        <v>45536</v>
      </c>
      <c r="S4332" s="6">
        <v>6.52</v>
      </c>
      <c r="T4332" s="6">
        <v>2.54</v>
      </c>
      <c r="U4332" s="7">
        <v>45536</v>
      </c>
      <c r="V4332" s="6">
        <v>6.97</v>
      </c>
      <c r="W4332" s="6">
        <f ca="1">IFERROR(__xludf.DUMMYFUNCTION("IFERROR(GOOGLEFINANCE(B4332,""pe""),V4332)"),6.97)</f>
        <v>6.97</v>
      </c>
      <c r="X4332" s="6">
        <v>0.3</v>
      </c>
      <c r="Y4332" s="6">
        <v>0.54</v>
      </c>
      <c r="Z4332" s="6">
        <v>2</v>
      </c>
      <c r="AA4332" s="8">
        <v>45352</v>
      </c>
      <c r="AB4332" s="4">
        <v>0.08</v>
      </c>
      <c r="AC4332" s="6">
        <v>8.1</v>
      </c>
      <c r="AD4332" s="6">
        <v>10.63</v>
      </c>
      <c r="AE4332" s="1">
        <v>0</v>
      </c>
      <c r="AF4332" s="1">
        <f ca="1">IFERROR(__xludf.DUMMYFUNCTION("IFERROR(GOOGLEFINANCE(TRIM(F4332)&amp;"":"" &amp; TRIM(B4332),""high52""),AE4332)"),0)</f>
        <v>0</v>
      </c>
      <c r="AG4332" s="1">
        <v>0</v>
      </c>
      <c r="AH4332" s="1">
        <f ca="1">IFERROR(__xludf.DUMMYFUNCTION("IFERROR(GOOGLEFINANCE(TRIM(F4332)&amp;"":"" &amp; TRIM(B4332),""low52""),AE4332)"),0)</f>
        <v>0</v>
      </c>
      <c r="AI4332" s="1">
        <f ca="1">IFERROR(__xludf.DUMMYFUNCTION("IFERROR(GOOGLEFINANCE(B4332,""eps""),0)"),0)</f>
        <v>0</v>
      </c>
      <c r="AJ4332" s="1"/>
      <c r="AK4332" s="1" t="s">
        <v>13128</v>
      </c>
      <c r="AL4332" s="9">
        <f t="shared" si="390"/>
        <v>1</v>
      </c>
    </row>
    <row r="4333" spans="1:38" ht="15" x14ac:dyDescent="0.25">
      <c r="A4333" s="1" t="s">
        <v>13129</v>
      </c>
      <c r="B4333" s="1" t="s">
        <v>13130</v>
      </c>
      <c r="C4333" s="1" t="s">
        <v>227</v>
      </c>
      <c r="D4333" s="1" t="s">
        <v>227</v>
      </c>
      <c r="E4333" s="6">
        <v>10.56</v>
      </c>
      <c r="F4333" s="1" t="s">
        <v>53</v>
      </c>
      <c r="G4333" s="6">
        <f ca="1">IFERROR(__xludf.DUMMYFUNCTION("iferror(GOOGLEFINANCE(TRIM(F4333)&amp;"":"" &amp; TRIM(B4333), ""price""),0
)"),0)</f>
        <v>0</v>
      </c>
      <c r="H4333" s="6">
        <v>36.299999999999997</v>
      </c>
      <c r="I4333" s="6">
        <f t="shared" ca="1" si="0"/>
        <v>36.299999999999997</v>
      </c>
      <c r="J4333" s="6">
        <f ca="1">IFERROR(__xludf.DUMMYFUNCTION("IFERROR(GOOGLEFINANCE(B4333, ""volume""), 0)"),0)</f>
        <v>0</v>
      </c>
      <c r="K4333" s="6">
        <v>-1.89</v>
      </c>
      <c r="L4333" s="6">
        <f ca="1">IFERROR(__xludf.DUMMYFUNCTION("IFERROR(GOOGLEFINANCE(B4333,""changepct""),K4333)"),-1.89)</f>
        <v>-1.89</v>
      </c>
      <c r="M4333" s="6">
        <f ca="1">IFERROR(__xludf.DUMMYFUNCTION("IFERROR(GOOGLEFINANCE(B4333,""change""),0)"),0)</f>
        <v>0</v>
      </c>
      <c r="N4333" s="6">
        <v>1</v>
      </c>
      <c r="O4333" s="7">
        <v>45536</v>
      </c>
      <c r="P4333" s="6">
        <v>38.47</v>
      </c>
      <c r="Q4333" s="6">
        <v>48.72</v>
      </c>
      <c r="R4333" s="7">
        <v>45536</v>
      </c>
      <c r="S4333" s="6">
        <v>0</v>
      </c>
      <c r="T4333" s="6">
        <v>-0.37</v>
      </c>
      <c r="U4333" s="7">
        <v>45536</v>
      </c>
      <c r="V4333" s="6">
        <v>0</v>
      </c>
      <c r="W4333" s="6">
        <f ca="1">IFERROR(__xludf.DUMMYFUNCTION("IFERROR(GOOGLEFINANCE(B4333,""pe""),V4333)"),0)</f>
        <v>0</v>
      </c>
      <c r="X4333" s="6">
        <v>0</v>
      </c>
      <c r="Y4333" s="6">
        <v>-0.47</v>
      </c>
      <c r="Z4333" s="6">
        <v>1</v>
      </c>
      <c r="AA4333" s="8">
        <v>45352</v>
      </c>
      <c r="AB4333" s="4">
        <v>-4.78</v>
      </c>
      <c r="AC4333" s="6">
        <v>0</v>
      </c>
      <c r="AD4333" s="6">
        <v>-0.54</v>
      </c>
      <c r="AE4333" s="1">
        <v>0</v>
      </c>
      <c r="AF4333" s="1">
        <f ca="1">IFERROR(__xludf.DUMMYFUNCTION("IFERROR(GOOGLEFINANCE(TRIM(F4333)&amp;"":"" &amp; TRIM(B4333),""high52""),AE4333)"),0)</f>
        <v>0</v>
      </c>
      <c r="AG4333" s="1">
        <v>0</v>
      </c>
      <c r="AH4333" s="1">
        <f ca="1">IFERROR(__xludf.DUMMYFUNCTION("IFERROR(GOOGLEFINANCE(TRIM(F4333)&amp;"":"" &amp; TRIM(B4333),""low52""),AE4333)"),0)</f>
        <v>0</v>
      </c>
      <c r="AI4333" s="1">
        <f ca="1">IFERROR(__xludf.DUMMYFUNCTION("IFERROR(GOOGLEFINANCE(B4333,""eps""),0)"),0)</f>
        <v>0</v>
      </c>
      <c r="AJ4333" s="1"/>
      <c r="AK4333" s="1" t="s">
        <v>13131</v>
      </c>
      <c r="AL4333" s="9">
        <f t="shared" si="390"/>
        <v>1</v>
      </c>
    </row>
    <row r="4334" spans="1:38" ht="15" x14ac:dyDescent="0.25">
      <c r="A4334" s="1" t="s">
        <v>13132</v>
      </c>
      <c r="B4334" s="1" t="s">
        <v>13133</v>
      </c>
      <c r="C4334" s="1" t="s">
        <v>227</v>
      </c>
      <c r="D4334" s="1" t="s">
        <v>227</v>
      </c>
      <c r="E4334" s="6">
        <v>114.62</v>
      </c>
      <c r="F4334" s="1" t="s">
        <v>53</v>
      </c>
      <c r="G4334" s="6">
        <f ca="1">IFERROR(__xludf.DUMMYFUNCTION("iferror(GOOGLEFINANCE(TRIM(F4334)&amp;"":"" &amp; TRIM(B4334), ""price""),0
)"),0)</f>
        <v>0</v>
      </c>
      <c r="H4334" s="6">
        <v>267.2</v>
      </c>
      <c r="I4334" s="6">
        <f t="shared" ca="1" si="0"/>
        <v>267.2</v>
      </c>
      <c r="J4334" s="6">
        <f ca="1">IFERROR(__xludf.DUMMYFUNCTION("IFERROR(GOOGLEFINANCE(B4334, ""volume""), 0)"),0)</f>
        <v>0</v>
      </c>
      <c r="K4334" s="6">
        <v>-2</v>
      </c>
      <c r="L4334" s="6">
        <f ca="1">IFERROR(__xludf.DUMMYFUNCTION("IFERROR(GOOGLEFINANCE(B4334,""changepct""),K4334)"),-2)</f>
        <v>-2</v>
      </c>
      <c r="M4334" s="6">
        <f ca="1">IFERROR(__xludf.DUMMYFUNCTION("IFERROR(GOOGLEFINANCE(B4334,""change""),0)"),0)</f>
        <v>0</v>
      </c>
      <c r="N4334" s="6">
        <v>1</v>
      </c>
      <c r="O4334" s="7">
        <v>45536</v>
      </c>
      <c r="P4334" s="9"/>
      <c r="Q4334" s="6">
        <v>114.62</v>
      </c>
      <c r="R4334" s="7">
        <v>45536</v>
      </c>
      <c r="S4334" s="6">
        <v>3.21</v>
      </c>
      <c r="T4334" s="6">
        <v>4.53</v>
      </c>
      <c r="U4334" s="7">
        <v>45536</v>
      </c>
      <c r="V4334" s="6">
        <v>25.3</v>
      </c>
      <c r="W4334" s="6">
        <f ca="1">IFERROR(__xludf.DUMMYFUNCTION("IFERROR(GOOGLEFINANCE(B4334,""pe""),V4334)"),25.3)</f>
        <v>25.3</v>
      </c>
      <c r="X4334" s="6">
        <v>0.26</v>
      </c>
      <c r="Y4334" s="6">
        <v>0.92</v>
      </c>
      <c r="Z4334" s="6">
        <v>1</v>
      </c>
      <c r="AA4334" s="8">
        <v>45352</v>
      </c>
      <c r="AB4334" s="4">
        <v>0</v>
      </c>
      <c r="AC4334" s="6">
        <v>5.32</v>
      </c>
      <c r="AD4334" s="6">
        <v>5.34</v>
      </c>
      <c r="AE4334" s="1">
        <v>0</v>
      </c>
      <c r="AF4334" s="1">
        <f ca="1">IFERROR(__xludf.DUMMYFUNCTION("IFERROR(GOOGLEFINANCE(TRIM(F4334)&amp;"":"" &amp; TRIM(B4334),""high52""),AE4334)"),0)</f>
        <v>0</v>
      </c>
      <c r="AG4334" s="1">
        <v>0</v>
      </c>
      <c r="AH4334" s="1">
        <f ca="1">IFERROR(__xludf.DUMMYFUNCTION("IFERROR(GOOGLEFINANCE(TRIM(F4334)&amp;"":"" &amp; TRIM(B4334),""low52""),AE4334)"),0)</f>
        <v>0</v>
      </c>
      <c r="AI4334" s="1">
        <f ca="1">IFERROR(__xludf.DUMMYFUNCTION("IFERROR(GOOGLEFINANCE(B4334,""eps""),0)"),0)</f>
        <v>0</v>
      </c>
      <c r="AJ4334" s="1"/>
      <c r="AK4334" s="1" t="s">
        <v>13134</v>
      </c>
      <c r="AL4334" s="9">
        <f t="shared" si="390"/>
        <v>1</v>
      </c>
    </row>
    <row r="4335" spans="1:38" ht="15" x14ac:dyDescent="0.25">
      <c r="A4335" s="1" t="s">
        <v>13135</v>
      </c>
      <c r="B4335" s="1" t="s">
        <v>13136</v>
      </c>
      <c r="C4335" s="1" t="s">
        <v>135</v>
      </c>
      <c r="D4335" s="1" t="s">
        <v>135</v>
      </c>
      <c r="E4335" s="6">
        <v>178.91</v>
      </c>
      <c r="F4335" s="1" t="s">
        <v>40</v>
      </c>
      <c r="G4335" s="6">
        <f ca="1">IFERROR(__xludf.DUMMYFUNCTION("iferror(GOOGLEFINANCE(TRIM(F4335)&amp;"":"" &amp; TRIM(B4335), ""price""),0
)"),0)</f>
        <v>0</v>
      </c>
      <c r="H4335" s="6">
        <v>74</v>
      </c>
      <c r="I4335" s="6">
        <f t="shared" ca="1" si="0"/>
        <v>74</v>
      </c>
      <c r="J4335" s="6">
        <f ca="1">IFERROR(__xludf.DUMMYFUNCTION("IFERROR(GOOGLEFINANCE(B4335, ""volume""), 0)"),0)</f>
        <v>0</v>
      </c>
      <c r="K4335" s="6">
        <v>-0.94</v>
      </c>
      <c r="L4335" s="6">
        <f ca="1">IFERROR(__xludf.DUMMYFUNCTION("IFERROR(GOOGLEFINANCE(B4335,""changepct""),K4335)"),-0.94)</f>
        <v>-0.94</v>
      </c>
      <c r="M4335" s="6">
        <f ca="1">IFERROR(__xludf.DUMMYFUNCTION("IFERROR(GOOGLEFINANCE(B4335,""change""),0)"),0)</f>
        <v>0</v>
      </c>
      <c r="N4335" s="6">
        <v>1</v>
      </c>
      <c r="O4335" s="7">
        <v>45536</v>
      </c>
      <c r="P4335" s="6">
        <v>5.01</v>
      </c>
      <c r="Q4335" s="6">
        <v>183.93</v>
      </c>
      <c r="R4335" s="7">
        <v>45352</v>
      </c>
      <c r="S4335" s="6">
        <v>101.73</v>
      </c>
      <c r="T4335" s="6">
        <v>4.0199999999999996</v>
      </c>
      <c r="U4335" s="7">
        <v>45352</v>
      </c>
      <c r="V4335" s="6">
        <v>44.47</v>
      </c>
      <c r="W4335" s="6">
        <f ca="1">IFERROR(__xludf.DUMMYFUNCTION("IFERROR(GOOGLEFINANCE(B4335,""pe""),V4335)"),44.47)</f>
        <v>44.47</v>
      </c>
      <c r="X4335" s="12"/>
      <c r="Y4335" s="6">
        <v>2</v>
      </c>
      <c r="Z4335" s="6">
        <v>2</v>
      </c>
      <c r="AA4335" s="8">
        <v>45352</v>
      </c>
      <c r="AB4335" s="4">
        <v>0.31</v>
      </c>
      <c r="AC4335" s="6">
        <v>-1.5</v>
      </c>
      <c r="AD4335" s="6">
        <v>0.78</v>
      </c>
      <c r="AE4335" s="1">
        <v>0</v>
      </c>
      <c r="AF4335" s="1">
        <f ca="1">IFERROR(__xludf.DUMMYFUNCTION("IFERROR(GOOGLEFINANCE(TRIM(F4335)&amp;"":"" &amp; TRIM(B4335),""high52""),AE4335)"),0)</f>
        <v>0</v>
      </c>
      <c r="AG4335" s="1">
        <v>0</v>
      </c>
      <c r="AH4335" s="1">
        <f ca="1">IFERROR(__xludf.DUMMYFUNCTION("IFERROR(GOOGLEFINANCE(TRIM(F4335)&amp;"":"" &amp; TRIM(B4335),""low52""),AE4335)"),0)</f>
        <v>0</v>
      </c>
      <c r="AI4335" s="1">
        <f ca="1">IFERROR(__xludf.DUMMYFUNCTION("IFERROR(GOOGLEFINANCE(B4335,""eps""),0)"),0)</f>
        <v>0</v>
      </c>
      <c r="AJ4335" s="1"/>
      <c r="AK4335" s="1" t="s">
        <v>13137</v>
      </c>
      <c r="AL4335" s="1" t="b">
        <f>ISNUMBER(AA4335)</f>
        <v>1</v>
      </c>
    </row>
    <row r="4336" spans="1:38" ht="15" x14ac:dyDescent="0.25">
      <c r="A4336" s="1" t="s">
        <v>13138</v>
      </c>
      <c r="B4336" s="1" t="s">
        <v>13139</v>
      </c>
      <c r="C4336" s="1" t="s">
        <v>86</v>
      </c>
      <c r="D4336" s="1" t="s">
        <v>86</v>
      </c>
      <c r="E4336" s="6">
        <v>676.64</v>
      </c>
      <c r="F4336" s="1" t="s">
        <v>40</v>
      </c>
      <c r="G4336" s="6">
        <f ca="1">IFERROR(__xludf.DUMMYFUNCTION("iferror(GOOGLEFINANCE(TRIM(F4336)&amp;"":"" &amp; TRIM(B4336), ""price""),0
)"),0)</f>
        <v>0</v>
      </c>
      <c r="H4336" s="6">
        <v>1026.05</v>
      </c>
      <c r="I4336" s="6">
        <f t="shared" ca="1" si="0"/>
        <v>1026.05</v>
      </c>
      <c r="J4336" s="6">
        <f ca="1">IFERROR(__xludf.DUMMYFUNCTION("IFERROR(GOOGLEFINANCE(B4336, ""volume""), 0)"),0)</f>
        <v>0</v>
      </c>
      <c r="K4336" s="6">
        <v>-4.82</v>
      </c>
      <c r="L4336" s="6">
        <f ca="1">IFERROR(__xludf.DUMMYFUNCTION("IFERROR(GOOGLEFINANCE(B4336,""changepct""),K4336)"),-4.82)</f>
        <v>-4.82</v>
      </c>
      <c r="M4336" s="6">
        <f ca="1">IFERROR(__xludf.DUMMYFUNCTION("IFERROR(GOOGLEFINANCE(B4336,""change""),0)"),0)</f>
        <v>0</v>
      </c>
      <c r="N4336" s="6">
        <v>1</v>
      </c>
      <c r="O4336" s="7">
        <v>45536</v>
      </c>
      <c r="P4336" s="6">
        <v>19.809999999999999</v>
      </c>
      <c r="Q4336" s="6">
        <v>696.45</v>
      </c>
      <c r="R4336" s="7">
        <v>45352</v>
      </c>
      <c r="S4336" s="6">
        <v>65.53</v>
      </c>
      <c r="T4336" s="6">
        <v>6.48</v>
      </c>
      <c r="U4336" s="7">
        <v>45352</v>
      </c>
      <c r="V4336" s="6">
        <v>103.37</v>
      </c>
      <c r="W4336" s="6">
        <f ca="1">IFERROR(__xludf.DUMMYFUNCTION("IFERROR(GOOGLEFINANCE(B4336,""pe""),V4336)"),103.37)</f>
        <v>103.37</v>
      </c>
      <c r="X4336" s="12"/>
      <c r="Y4336" s="6">
        <v>15.5</v>
      </c>
      <c r="Z4336" s="6">
        <v>2</v>
      </c>
      <c r="AA4336" s="8">
        <v>44986</v>
      </c>
      <c r="AB4336" s="4">
        <v>0.56000000000000005</v>
      </c>
      <c r="AC4336" s="6">
        <v>17.25</v>
      </c>
      <c r="AD4336" s="6">
        <v>18.75</v>
      </c>
      <c r="AE4336" s="1">
        <v>0</v>
      </c>
      <c r="AF4336" s="1">
        <f ca="1">IFERROR(__xludf.DUMMYFUNCTION("IFERROR(GOOGLEFINANCE(TRIM(F4336)&amp;"":"" &amp; TRIM(B4336),""high52""),AE4336)"),0)</f>
        <v>0</v>
      </c>
      <c r="AG4336" s="1">
        <v>0</v>
      </c>
      <c r="AH4336" s="1">
        <f ca="1">IFERROR(__xludf.DUMMYFUNCTION("IFERROR(GOOGLEFINANCE(TRIM(F4336)&amp;"":"" &amp; TRIM(B4336),""low52""),AE4336)"),0)</f>
        <v>0</v>
      </c>
      <c r="AI4336" s="1">
        <f ca="1">IFERROR(__xludf.DUMMYFUNCTION("IFERROR(GOOGLEFINANCE(B4336,""eps""),0)"),0)</f>
        <v>0</v>
      </c>
      <c r="AJ4336" s="1"/>
      <c r="AK4336" s="1" t="s">
        <v>13140</v>
      </c>
      <c r="AL4336" s="9">
        <f t="shared" ref="AL4336:AL4378" si="391">IF(AA4336&lt;&gt;AB4336,1,0)</f>
        <v>1</v>
      </c>
    </row>
    <row r="4337" spans="1:38" ht="15" x14ac:dyDescent="0.25">
      <c r="A4337" s="1" t="s">
        <v>13141</v>
      </c>
      <c r="B4337" s="1" t="s">
        <v>13142</v>
      </c>
      <c r="C4337" s="1" t="s">
        <v>227</v>
      </c>
      <c r="D4337" s="1" t="s">
        <v>227</v>
      </c>
      <c r="E4337" s="6">
        <v>7.08</v>
      </c>
      <c r="F4337" s="1" t="s">
        <v>53</v>
      </c>
      <c r="G4337" s="6">
        <f ca="1">IFERROR(__xludf.DUMMYFUNCTION("iferror(GOOGLEFINANCE(TRIM(F4337)&amp;"":"" &amp; TRIM(B4337), ""price""),0
)"),0)</f>
        <v>0</v>
      </c>
      <c r="H4337" s="6">
        <v>12.23</v>
      </c>
      <c r="I4337" s="6">
        <f t="shared" ca="1" si="0"/>
        <v>12.23</v>
      </c>
      <c r="J4337" s="6">
        <f ca="1">IFERROR(__xludf.DUMMYFUNCTION("IFERROR(GOOGLEFINANCE(B4337, ""volume""), 0)"),0)</f>
        <v>0</v>
      </c>
      <c r="K4337" s="6">
        <v>4.9800000000000004</v>
      </c>
      <c r="L4337" s="6">
        <f ca="1">IFERROR(__xludf.DUMMYFUNCTION("IFERROR(GOOGLEFINANCE(B4337,""changepct""),K4337)"),4.98)</f>
        <v>4.9800000000000004</v>
      </c>
      <c r="M4337" s="6">
        <f ca="1">IFERROR(__xludf.DUMMYFUNCTION("IFERROR(GOOGLEFINANCE(B4337,""change""),0)"),0)</f>
        <v>0</v>
      </c>
      <c r="N4337" s="6">
        <v>1</v>
      </c>
      <c r="O4337" s="7">
        <v>45536</v>
      </c>
      <c r="P4337" s="6">
        <v>0.61</v>
      </c>
      <c r="Q4337" s="6">
        <v>7.69</v>
      </c>
      <c r="R4337" s="7">
        <v>45536</v>
      </c>
      <c r="S4337" s="6">
        <v>0.96</v>
      </c>
      <c r="T4337" s="6">
        <v>-0.11</v>
      </c>
      <c r="U4337" s="7">
        <v>45536</v>
      </c>
      <c r="V4337" s="6">
        <v>0</v>
      </c>
      <c r="W4337" s="6">
        <f ca="1">IFERROR(__xludf.DUMMYFUNCTION("IFERROR(GOOGLEFINANCE(B4337,""pe""),V4337)"),0)</f>
        <v>0</v>
      </c>
      <c r="X4337" s="6">
        <v>0</v>
      </c>
      <c r="Y4337" s="6">
        <v>-54.72</v>
      </c>
      <c r="Z4337" s="6">
        <v>1</v>
      </c>
      <c r="AA4337" s="8">
        <v>45352</v>
      </c>
      <c r="AB4337" s="4">
        <v>-9.7799999999999994</v>
      </c>
      <c r="AC4337" s="6">
        <v>0</v>
      </c>
      <c r="AD4337" s="6">
        <v>-9.92</v>
      </c>
      <c r="AE4337" s="1">
        <v>0</v>
      </c>
      <c r="AF4337" s="1">
        <f ca="1">IFERROR(__xludf.DUMMYFUNCTION("IFERROR(GOOGLEFINANCE(TRIM(F4337)&amp;"":"" &amp; TRIM(B4337),""high52""),AE4337)"),0)</f>
        <v>0</v>
      </c>
      <c r="AG4337" s="1">
        <v>0</v>
      </c>
      <c r="AH4337" s="1">
        <f ca="1">IFERROR(__xludf.DUMMYFUNCTION("IFERROR(GOOGLEFINANCE(TRIM(F4337)&amp;"":"" &amp; TRIM(B4337),""low52""),AE4337)"),0)</f>
        <v>0</v>
      </c>
      <c r="AI4337" s="1">
        <f ca="1">IFERROR(__xludf.DUMMYFUNCTION("IFERROR(GOOGLEFINANCE(B4337,""eps""),0)"),0)</f>
        <v>0</v>
      </c>
      <c r="AJ4337" s="1"/>
      <c r="AK4337" s="1" t="s">
        <v>13143</v>
      </c>
      <c r="AL4337" s="9">
        <f t="shared" si="391"/>
        <v>1</v>
      </c>
    </row>
    <row r="4338" spans="1:38" ht="15" x14ac:dyDescent="0.25">
      <c r="A4338" s="1" t="s">
        <v>13144</v>
      </c>
      <c r="B4338" s="1" t="s">
        <v>13145</v>
      </c>
      <c r="C4338" s="1" t="s">
        <v>227</v>
      </c>
      <c r="D4338" s="1" t="s">
        <v>227</v>
      </c>
      <c r="E4338" s="6">
        <v>20.94</v>
      </c>
      <c r="F4338" s="1" t="s">
        <v>53</v>
      </c>
      <c r="G4338" s="6">
        <f ca="1">IFERROR(__xludf.DUMMYFUNCTION("iferror(GOOGLEFINANCE(TRIM(F4338)&amp;"":"" &amp; TRIM(B4338), ""price""),0
)"),0)</f>
        <v>0</v>
      </c>
      <c r="H4338" s="6">
        <v>45.31</v>
      </c>
      <c r="I4338" s="6">
        <f t="shared" ca="1" si="0"/>
        <v>45.31</v>
      </c>
      <c r="J4338" s="6">
        <f ca="1">IFERROR(__xludf.DUMMYFUNCTION("IFERROR(GOOGLEFINANCE(B4338, ""volume""), 0)"),0)</f>
        <v>0</v>
      </c>
      <c r="K4338" s="6">
        <v>-4.99</v>
      </c>
      <c r="L4338" s="6">
        <f ca="1">IFERROR(__xludf.DUMMYFUNCTION("IFERROR(GOOGLEFINANCE(B4338,""changepct""),K4338)"),-4.99)</f>
        <v>-4.99</v>
      </c>
      <c r="M4338" s="6">
        <f ca="1">IFERROR(__xludf.DUMMYFUNCTION("IFERROR(GOOGLEFINANCE(B4338,""change""),0)"),0)</f>
        <v>0</v>
      </c>
      <c r="N4338" s="6">
        <v>1</v>
      </c>
      <c r="O4338" s="7">
        <v>45536</v>
      </c>
      <c r="P4338" s="6">
        <v>3.41</v>
      </c>
      <c r="Q4338" s="6">
        <v>24.33</v>
      </c>
      <c r="R4338" s="7">
        <v>45536</v>
      </c>
      <c r="S4338" s="6">
        <v>5.4</v>
      </c>
      <c r="T4338" s="6">
        <v>0.05</v>
      </c>
      <c r="U4338" s="7">
        <v>45536</v>
      </c>
      <c r="V4338" s="6">
        <v>455.13</v>
      </c>
      <c r="W4338" s="6">
        <f ca="1">IFERROR(__xludf.DUMMYFUNCTION("IFERROR(GOOGLEFINANCE(B4338,""pe""),V4338)"),455.13)</f>
        <v>455.13</v>
      </c>
      <c r="X4338" s="9"/>
      <c r="Y4338" s="6">
        <v>8.2100000000000009</v>
      </c>
      <c r="Z4338" s="6">
        <v>1</v>
      </c>
      <c r="AA4338" s="8">
        <v>45352</v>
      </c>
      <c r="AB4338" s="4">
        <v>1.17</v>
      </c>
      <c r="AC4338" s="6">
        <v>-16.809999999999999</v>
      </c>
      <c r="AD4338" s="6">
        <v>-2.64</v>
      </c>
      <c r="AE4338" s="1">
        <v>0</v>
      </c>
      <c r="AF4338" s="1">
        <f ca="1">IFERROR(__xludf.DUMMYFUNCTION("IFERROR(GOOGLEFINANCE(TRIM(F4338)&amp;"":"" &amp; TRIM(B4338),""high52""),AE4338)"),0)</f>
        <v>0</v>
      </c>
      <c r="AG4338" s="1">
        <v>0</v>
      </c>
      <c r="AH4338" s="1">
        <f ca="1">IFERROR(__xludf.DUMMYFUNCTION("IFERROR(GOOGLEFINANCE(TRIM(F4338)&amp;"":"" &amp; TRIM(B4338),""low52""),AE4338)"),0)</f>
        <v>0</v>
      </c>
      <c r="AI4338" s="1">
        <f ca="1">IFERROR(__xludf.DUMMYFUNCTION("IFERROR(GOOGLEFINANCE(B4338,""eps""),0)"),0)</f>
        <v>0</v>
      </c>
      <c r="AJ4338" s="1"/>
      <c r="AK4338" s="1" t="s">
        <v>13146</v>
      </c>
      <c r="AL4338" s="9">
        <f t="shared" si="391"/>
        <v>1</v>
      </c>
    </row>
    <row r="4339" spans="1:38" ht="15" x14ac:dyDescent="0.25">
      <c r="A4339" s="1" t="s">
        <v>13147</v>
      </c>
      <c r="B4339" s="1" t="s">
        <v>13148</v>
      </c>
      <c r="C4339" s="1" t="s">
        <v>227</v>
      </c>
      <c r="D4339" s="1" t="s">
        <v>227</v>
      </c>
      <c r="E4339" s="6">
        <v>28.26</v>
      </c>
      <c r="F4339" s="1" t="s">
        <v>53</v>
      </c>
      <c r="G4339" s="6">
        <f ca="1">IFERROR(__xludf.DUMMYFUNCTION("iferror(GOOGLEFINANCE(TRIM(F4339)&amp;"":"" &amp; TRIM(B4339), ""price""),0
)"),0)</f>
        <v>0</v>
      </c>
      <c r="H4339" s="6">
        <v>7.93</v>
      </c>
      <c r="I4339" s="6">
        <f t="shared" ca="1" si="0"/>
        <v>7.93</v>
      </c>
      <c r="J4339" s="6">
        <f ca="1">IFERROR(__xludf.DUMMYFUNCTION("IFERROR(GOOGLEFINANCE(B4339, ""volume""), 0)"),0)</f>
        <v>0</v>
      </c>
      <c r="K4339" s="6">
        <v>0</v>
      </c>
      <c r="L4339" s="6">
        <f ca="1">IFERROR(__xludf.DUMMYFUNCTION("IFERROR(GOOGLEFINANCE(B4339,""changepct""),K4339)"),0)</f>
        <v>0</v>
      </c>
      <c r="M4339" s="6">
        <f ca="1">IFERROR(__xludf.DUMMYFUNCTION("IFERROR(GOOGLEFINANCE(B4339,""change""),0)"),0)</f>
        <v>0</v>
      </c>
      <c r="N4339" s="6">
        <v>1</v>
      </c>
      <c r="O4339" s="7">
        <v>45536</v>
      </c>
      <c r="P4339" s="6">
        <v>57.46</v>
      </c>
      <c r="Q4339" s="6">
        <v>85.73</v>
      </c>
      <c r="R4339" s="7">
        <v>45536</v>
      </c>
      <c r="S4339" s="6">
        <v>4.2699999999999996</v>
      </c>
      <c r="T4339" s="6">
        <v>-0.31</v>
      </c>
      <c r="U4339" s="7">
        <v>45536</v>
      </c>
      <c r="V4339" s="6">
        <v>0</v>
      </c>
      <c r="W4339" s="6">
        <f ca="1">IFERROR(__xludf.DUMMYFUNCTION("IFERROR(GOOGLEFINANCE(B4339,""pe""),V4339)"),0)</f>
        <v>0</v>
      </c>
      <c r="X4339" s="9"/>
      <c r="Y4339" s="6">
        <v>0.73</v>
      </c>
      <c r="Z4339" s="6">
        <v>1</v>
      </c>
      <c r="AA4339" s="8">
        <v>44986</v>
      </c>
      <c r="AB4339" s="4">
        <v>0</v>
      </c>
      <c r="AC4339" s="6">
        <v>-11.01</v>
      </c>
      <c r="AD4339" s="6">
        <v>-11.01</v>
      </c>
      <c r="AE4339" s="1">
        <v>0</v>
      </c>
      <c r="AF4339" s="1">
        <f ca="1">IFERROR(__xludf.DUMMYFUNCTION("IFERROR(GOOGLEFINANCE(TRIM(F4339)&amp;"":"" &amp; TRIM(B4339),""high52""),AE4339)"),0)</f>
        <v>0</v>
      </c>
      <c r="AG4339" s="1">
        <v>0</v>
      </c>
      <c r="AH4339" s="1">
        <f ca="1">IFERROR(__xludf.DUMMYFUNCTION("IFERROR(GOOGLEFINANCE(TRIM(F4339)&amp;"":"" &amp; TRIM(B4339),""low52""),AE4339)"),0)</f>
        <v>0</v>
      </c>
      <c r="AI4339" s="1">
        <f ca="1">IFERROR(__xludf.DUMMYFUNCTION("IFERROR(GOOGLEFINANCE(B4339,""eps""),0)"),0)</f>
        <v>0</v>
      </c>
      <c r="AJ4339" s="1"/>
      <c r="AK4339" s="1" t="s">
        <v>13149</v>
      </c>
      <c r="AL4339" s="9">
        <f t="shared" si="391"/>
        <v>1</v>
      </c>
    </row>
    <row r="4340" spans="1:38" ht="15" x14ac:dyDescent="0.25">
      <c r="A4340" s="1" t="s">
        <v>13150</v>
      </c>
      <c r="B4340" s="1" t="s">
        <v>13151</v>
      </c>
      <c r="C4340" s="1" t="s">
        <v>227</v>
      </c>
      <c r="D4340" s="1" t="s">
        <v>227</v>
      </c>
      <c r="E4340" s="6">
        <v>9.08</v>
      </c>
      <c r="F4340" s="1" t="s">
        <v>53</v>
      </c>
      <c r="G4340" s="6">
        <f ca="1">IFERROR(__xludf.DUMMYFUNCTION("iferror(GOOGLEFINANCE(TRIM(F4340)&amp;"":"" &amp; TRIM(B4340), ""price""),0
)"),0)</f>
        <v>0</v>
      </c>
      <c r="H4340" s="6">
        <v>19</v>
      </c>
      <c r="I4340" s="6">
        <f t="shared" ca="1" si="0"/>
        <v>19</v>
      </c>
      <c r="J4340" s="6">
        <f ca="1">IFERROR(__xludf.DUMMYFUNCTION("IFERROR(GOOGLEFINANCE(B4340, ""volume""), 0)"),0)</f>
        <v>0</v>
      </c>
      <c r="K4340" s="9"/>
      <c r="L4340" s="6" t="str">
        <f ca="1">IFERROR(__xludf.DUMMYFUNCTION("IFERROR(GOOGLEFINANCE(B4340,""changepct""),K4340)"),"")</f>
        <v/>
      </c>
      <c r="M4340" s="6">
        <f ca="1">IFERROR(__xludf.DUMMYFUNCTION("IFERROR(GOOGLEFINANCE(B4340,""change""),0)"),0)</f>
        <v>0</v>
      </c>
      <c r="N4340" s="6">
        <v>1</v>
      </c>
      <c r="O4340" s="7">
        <v>45536</v>
      </c>
      <c r="P4340" s="6">
        <v>0.6</v>
      </c>
      <c r="Q4340" s="6">
        <v>9.68</v>
      </c>
      <c r="R4340" s="7">
        <v>45536</v>
      </c>
      <c r="S4340" s="6">
        <v>3.72</v>
      </c>
      <c r="T4340" s="6">
        <v>-0.65</v>
      </c>
      <c r="U4340" s="7">
        <v>45536</v>
      </c>
      <c r="V4340" s="6">
        <v>0</v>
      </c>
      <c r="W4340" s="6">
        <f ca="1">IFERROR(__xludf.DUMMYFUNCTION("IFERROR(GOOGLEFINANCE(B4340,""pe""),V4340)"),0)</f>
        <v>0</v>
      </c>
      <c r="X4340" s="6">
        <v>0</v>
      </c>
      <c r="Y4340" s="6">
        <v>2.4700000000000002</v>
      </c>
      <c r="Z4340" s="6">
        <v>1</v>
      </c>
      <c r="AA4340" s="8">
        <v>45352</v>
      </c>
      <c r="AB4340" s="4">
        <v>0.21</v>
      </c>
      <c r="AC4340" s="6">
        <v>30.04</v>
      </c>
      <c r="AD4340" s="6">
        <v>25.55</v>
      </c>
      <c r="AE4340" s="1">
        <v>0</v>
      </c>
      <c r="AF4340" s="1">
        <f ca="1">IFERROR(__xludf.DUMMYFUNCTION("IFERROR(GOOGLEFINANCE(TRIM(F4340)&amp;"":"" &amp; TRIM(B4340),""high52""),AE4340)"),0)</f>
        <v>0</v>
      </c>
      <c r="AG4340" s="1">
        <v>0</v>
      </c>
      <c r="AH4340" s="1">
        <f ca="1">IFERROR(__xludf.DUMMYFUNCTION("IFERROR(GOOGLEFINANCE(TRIM(F4340)&amp;"":"" &amp; TRIM(B4340),""low52""),AE4340)"),0)</f>
        <v>0</v>
      </c>
      <c r="AI4340" s="1">
        <f ca="1">IFERROR(__xludf.DUMMYFUNCTION("IFERROR(GOOGLEFINANCE(B4340,""eps""),0)"),0)</f>
        <v>0</v>
      </c>
      <c r="AJ4340" s="1"/>
      <c r="AK4340" s="1" t="s">
        <v>13152</v>
      </c>
      <c r="AL4340" s="9">
        <f t="shared" si="391"/>
        <v>1</v>
      </c>
    </row>
    <row r="4341" spans="1:38" ht="15" x14ac:dyDescent="0.25">
      <c r="A4341" s="1" t="s">
        <v>13153</v>
      </c>
      <c r="B4341" s="1" t="s">
        <v>13154</v>
      </c>
      <c r="C4341" s="1" t="s">
        <v>227</v>
      </c>
      <c r="D4341" s="1" t="s">
        <v>227</v>
      </c>
      <c r="E4341" s="6">
        <v>167.37</v>
      </c>
      <c r="F4341" s="1" t="s">
        <v>53</v>
      </c>
      <c r="G4341" s="6">
        <f ca="1">IFERROR(__xludf.DUMMYFUNCTION("iferror(GOOGLEFINANCE(TRIM(F4341)&amp;"":"" &amp; TRIM(B4341), ""price""),0
)"),0)</f>
        <v>0</v>
      </c>
      <c r="H4341" s="6">
        <v>164.25</v>
      </c>
      <c r="I4341" s="6">
        <f t="shared" ca="1" si="0"/>
        <v>164.25</v>
      </c>
      <c r="J4341" s="6">
        <f ca="1">IFERROR(__xludf.DUMMYFUNCTION("IFERROR(GOOGLEFINANCE(B4341, ""volume""), 0)"),0)</f>
        <v>0</v>
      </c>
      <c r="K4341" s="6">
        <v>0</v>
      </c>
      <c r="L4341" s="6">
        <f ca="1">IFERROR(__xludf.DUMMYFUNCTION("IFERROR(GOOGLEFINANCE(B4341,""changepct""),K4341)"),0)</f>
        <v>0</v>
      </c>
      <c r="M4341" s="6">
        <f ca="1">IFERROR(__xludf.DUMMYFUNCTION("IFERROR(GOOGLEFINANCE(B4341,""change""),0)"),0)</f>
        <v>0</v>
      </c>
      <c r="N4341" s="6">
        <v>2</v>
      </c>
      <c r="O4341" s="7">
        <v>45536</v>
      </c>
      <c r="P4341" s="6">
        <v>1.1599999999999999</v>
      </c>
      <c r="Q4341" s="6">
        <v>168.4</v>
      </c>
      <c r="R4341" s="7">
        <v>45536</v>
      </c>
      <c r="S4341" s="6">
        <v>26.78</v>
      </c>
      <c r="T4341" s="6">
        <v>0.22</v>
      </c>
      <c r="U4341" s="7">
        <v>45536</v>
      </c>
      <c r="V4341" s="6">
        <v>760.76</v>
      </c>
      <c r="W4341" s="6">
        <f ca="1">IFERROR(__xludf.DUMMYFUNCTION("IFERROR(GOOGLEFINANCE(B4341,""pe""),V4341)"),760.76)</f>
        <v>760.76</v>
      </c>
      <c r="X4341" s="9"/>
      <c r="Y4341" s="6">
        <v>12.38</v>
      </c>
      <c r="Z4341" s="6">
        <v>2</v>
      </c>
      <c r="AA4341" s="8">
        <v>45352</v>
      </c>
      <c r="AB4341" s="4">
        <v>0.08</v>
      </c>
      <c r="AC4341" s="6">
        <v>2.14</v>
      </c>
      <c r="AD4341" s="6">
        <v>3.64</v>
      </c>
      <c r="AE4341" s="1">
        <v>0</v>
      </c>
      <c r="AF4341" s="1">
        <f ca="1">IFERROR(__xludf.DUMMYFUNCTION("IFERROR(GOOGLEFINANCE(TRIM(F4341)&amp;"":"" &amp; TRIM(B4341),""high52""),AE4341)"),0)</f>
        <v>0</v>
      </c>
      <c r="AG4341" s="1">
        <v>0</v>
      </c>
      <c r="AH4341" s="1">
        <f ca="1">IFERROR(__xludf.DUMMYFUNCTION("IFERROR(GOOGLEFINANCE(TRIM(F4341)&amp;"":"" &amp; TRIM(B4341),""low52""),AE4341)"),0)</f>
        <v>0</v>
      </c>
      <c r="AI4341" s="1">
        <f ca="1">IFERROR(__xludf.DUMMYFUNCTION("IFERROR(GOOGLEFINANCE(B4341,""eps""),0)"),0)</f>
        <v>0</v>
      </c>
      <c r="AJ4341" s="1"/>
      <c r="AK4341" s="9"/>
      <c r="AL4341" s="9">
        <f t="shared" si="391"/>
        <v>1</v>
      </c>
    </row>
    <row r="4342" spans="1:38" ht="15" x14ac:dyDescent="0.25">
      <c r="A4342" s="1" t="s">
        <v>13155</v>
      </c>
      <c r="B4342" s="1" t="s">
        <v>13156</v>
      </c>
      <c r="C4342" s="1" t="s">
        <v>227</v>
      </c>
      <c r="D4342" s="1" t="s">
        <v>227</v>
      </c>
      <c r="E4342" s="6">
        <v>9.3000000000000007</v>
      </c>
      <c r="F4342" s="1" t="s">
        <v>53</v>
      </c>
      <c r="G4342" s="6">
        <f ca="1">IFERROR(__xludf.DUMMYFUNCTION("iferror(GOOGLEFINANCE(TRIM(F4342)&amp;"":"" &amp; TRIM(B4342), ""price""),0
)"),0)</f>
        <v>0</v>
      </c>
      <c r="H4342" s="6">
        <v>24.79</v>
      </c>
      <c r="I4342" s="6">
        <f t="shared" ca="1" si="0"/>
        <v>24.79</v>
      </c>
      <c r="J4342" s="6">
        <f ca="1">IFERROR(__xludf.DUMMYFUNCTION("IFERROR(GOOGLEFINANCE(B4342, ""volume""), 0)"),0)</f>
        <v>0</v>
      </c>
      <c r="K4342" s="6">
        <v>-0.04</v>
      </c>
      <c r="L4342" s="6">
        <f ca="1">IFERROR(__xludf.DUMMYFUNCTION("IFERROR(GOOGLEFINANCE(B4342,""changepct""),K4342)"),-0.04)</f>
        <v>-0.04</v>
      </c>
      <c r="M4342" s="6">
        <f ca="1">IFERROR(__xludf.DUMMYFUNCTION("IFERROR(GOOGLEFINANCE(B4342,""change""),0)"),0)</f>
        <v>0</v>
      </c>
      <c r="N4342" s="6">
        <v>1</v>
      </c>
      <c r="O4342" s="7">
        <v>45536</v>
      </c>
      <c r="P4342" s="9"/>
      <c r="Q4342" s="6">
        <v>9.3000000000000007</v>
      </c>
      <c r="R4342" s="7">
        <v>45536</v>
      </c>
      <c r="S4342" s="6">
        <v>23.92</v>
      </c>
      <c r="T4342" s="6">
        <v>0.3</v>
      </c>
      <c r="U4342" s="7">
        <v>45536</v>
      </c>
      <c r="V4342" s="6">
        <v>30.9</v>
      </c>
      <c r="W4342" s="6">
        <f ca="1">IFERROR(__xludf.DUMMYFUNCTION("IFERROR(GOOGLEFINANCE(B4342,""pe""),V4342)"),30.9)</f>
        <v>30.9</v>
      </c>
      <c r="X4342" s="6">
        <v>-2.52</v>
      </c>
      <c r="Y4342" s="6">
        <v>0.75</v>
      </c>
      <c r="Z4342" s="6">
        <v>1</v>
      </c>
      <c r="AA4342" s="8">
        <v>45352</v>
      </c>
      <c r="AB4342" s="4">
        <v>0</v>
      </c>
      <c r="AC4342" s="6">
        <v>3.69</v>
      </c>
      <c r="AD4342" s="6">
        <v>4.6500000000000004</v>
      </c>
      <c r="AE4342" s="1">
        <v>0</v>
      </c>
      <c r="AF4342" s="1">
        <f ca="1">IFERROR(__xludf.DUMMYFUNCTION("IFERROR(GOOGLEFINANCE(TRIM(F4342)&amp;"":"" &amp; TRIM(B4342),""high52""),AE4342)"),0)</f>
        <v>0</v>
      </c>
      <c r="AG4342" s="1">
        <v>0</v>
      </c>
      <c r="AH4342" s="1">
        <f ca="1">IFERROR(__xludf.DUMMYFUNCTION("IFERROR(GOOGLEFINANCE(TRIM(F4342)&amp;"":"" &amp; TRIM(B4342),""low52""),AE4342)"),0)</f>
        <v>0</v>
      </c>
      <c r="AI4342" s="1">
        <f ca="1">IFERROR(__xludf.DUMMYFUNCTION("IFERROR(GOOGLEFINANCE(B4342,""eps""),0)"),0)</f>
        <v>0</v>
      </c>
      <c r="AJ4342" s="1"/>
      <c r="AK4342" s="1" t="s">
        <v>13157</v>
      </c>
      <c r="AL4342" s="9">
        <f t="shared" si="391"/>
        <v>1</v>
      </c>
    </row>
    <row r="4343" spans="1:38" ht="15" x14ac:dyDescent="0.25">
      <c r="A4343" s="1" t="s">
        <v>13158</v>
      </c>
      <c r="B4343" s="1" t="s">
        <v>13159</v>
      </c>
      <c r="C4343" s="1" t="s">
        <v>227</v>
      </c>
      <c r="D4343" s="1" t="s">
        <v>227</v>
      </c>
      <c r="E4343" s="6">
        <v>0.74</v>
      </c>
      <c r="F4343" s="1" t="s">
        <v>53</v>
      </c>
      <c r="G4343" s="6">
        <f ca="1">IFERROR(__xludf.DUMMYFUNCTION("iferror(GOOGLEFINANCE(TRIM(F4343)&amp;"":"" &amp; TRIM(B4343), ""price""),0
)"),0)</f>
        <v>0</v>
      </c>
      <c r="H4343" s="6">
        <v>15.46</v>
      </c>
      <c r="I4343" s="6">
        <f t="shared" ca="1" si="0"/>
        <v>15.46</v>
      </c>
      <c r="J4343" s="6">
        <f ca="1">IFERROR(__xludf.DUMMYFUNCTION("IFERROR(GOOGLEFINANCE(B4343, ""volume""), 0)"),0)</f>
        <v>0</v>
      </c>
      <c r="K4343" s="12"/>
      <c r="L4343" s="6" t="str">
        <f ca="1">IFERROR(__xludf.DUMMYFUNCTION("IFERROR(GOOGLEFINANCE(B4343,""changepct""),K4343)"),"")</f>
        <v/>
      </c>
      <c r="M4343" s="6">
        <f ca="1">IFERROR(__xludf.DUMMYFUNCTION("IFERROR(GOOGLEFINANCE(B4343,""change""),0)"),0)</f>
        <v>0</v>
      </c>
      <c r="N4343" s="6">
        <v>1</v>
      </c>
      <c r="O4343" s="7">
        <v>45536</v>
      </c>
      <c r="P4343" s="12"/>
      <c r="Q4343" s="6">
        <v>0.74</v>
      </c>
      <c r="R4343" s="7">
        <v>45536</v>
      </c>
      <c r="S4343" s="6">
        <v>0</v>
      </c>
      <c r="T4343" s="6">
        <v>0.22</v>
      </c>
      <c r="U4343" s="7">
        <v>45536</v>
      </c>
      <c r="V4343" s="6">
        <v>3.3</v>
      </c>
      <c r="W4343" s="6">
        <f ca="1">IFERROR(__xludf.DUMMYFUNCTION("IFERROR(GOOGLEFINANCE(B4343,""pe""),V4343)"),3.3)</f>
        <v>3.3</v>
      </c>
      <c r="X4343" s="6">
        <v>-0.22</v>
      </c>
      <c r="Y4343" s="6">
        <v>0.3</v>
      </c>
      <c r="Z4343" s="6">
        <v>1</v>
      </c>
      <c r="AA4343" s="8">
        <v>45352</v>
      </c>
      <c r="AB4343" s="4">
        <v>0</v>
      </c>
      <c r="AC4343" s="6">
        <v>7.01</v>
      </c>
      <c r="AD4343" s="6">
        <v>9.8000000000000007</v>
      </c>
      <c r="AE4343" s="1">
        <v>0</v>
      </c>
      <c r="AF4343" s="1">
        <f ca="1">IFERROR(__xludf.DUMMYFUNCTION("IFERROR(GOOGLEFINANCE(TRIM(F4343)&amp;"":"" &amp; TRIM(B4343),""high52""),AE4343)"),0)</f>
        <v>0</v>
      </c>
      <c r="AG4343" s="1">
        <v>0</v>
      </c>
      <c r="AH4343" s="1">
        <f ca="1">IFERROR(__xludf.DUMMYFUNCTION("IFERROR(GOOGLEFINANCE(TRIM(F4343)&amp;"":"" &amp; TRIM(B4343),""low52""),AE4343)"),0)</f>
        <v>0</v>
      </c>
      <c r="AI4343" s="1">
        <f ca="1">IFERROR(__xludf.DUMMYFUNCTION("IFERROR(GOOGLEFINANCE(B4343,""eps""),0)"),0)</f>
        <v>0</v>
      </c>
      <c r="AJ4343" s="1"/>
      <c r="AK4343" s="1" t="s">
        <v>13160</v>
      </c>
      <c r="AL4343" s="9">
        <f t="shared" si="391"/>
        <v>1</v>
      </c>
    </row>
    <row r="4344" spans="1:38" ht="15" x14ac:dyDescent="0.25">
      <c r="A4344" s="1" t="s">
        <v>13161</v>
      </c>
      <c r="B4344" s="1" t="s">
        <v>13162</v>
      </c>
      <c r="C4344" s="1" t="s">
        <v>227</v>
      </c>
      <c r="D4344" s="1" t="s">
        <v>227</v>
      </c>
      <c r="E4344" s="6">
        <v>5.65</v>
      </c>
      <c r="F4344" s="1" t="s">
        <v>53</v>
      </c>
      <c r="G4344" s="6">
        <f ca="1">IFERROR(__xludf.DUMMYFUNCTION("iferror(GOOGLEFINANCE(TRIM(F4344)&amp;"":"" &amp; TRIM(B4344), ""price""),0
)"),0)</f>
        <v>0</v>
      </c>
      <c r="H4344" s="6">
        <v>5.61</v>
      </c>
      <c r="I4344" s="6">
        <f t="shared" ca="1" si="0"/>
        <v>5.61</v>
      </c>
      <c r="J4344" s="6">
        <f ca="1">IFERROR(__xludf.DUMMYFUNCTION("IFERROR(GOOGLEFINANCE(B4344, ""volume""), 0)"),0)</f>
        <v>0</v>
      </c>
      <c r="K4344" s="9"/>
      <c r="L4344" s="6" t="str">
        <f ca="1">IFERROR(__xludf.DUMMYFUNCTION("IFERROR(GOOGLEFINANCE(B4344,""changepct""),K4344)"),"")</f>
        <v/>
      </c>
      <c r="M4344" s="6">
        <f ca="1">IFERROR(__xludf.DUMMYFUNCTION("IFERROR(GOOGLEFINANCE(B4344,""change""),0)"),0)</f>
        <v>0</v>
      </c>
      <c r="N4344" s="6">
        <v>1</v>
      </c>
      <c r="O4344" s="7">
        <v>45536</v>
      </c>
      <c r="P4344" s="6">
        <v>0.01</v>
      </c>
      <c r="Q4344" s="6">
        <v>5.66</v>
      </c>
      <c r="R4344" s="7">
        <v>45536</v>
      </c>
      <c r="S4344" s="6">
        <v>14.62</v>
      </c>
      <c r="T4344" s="6">
        <v>-0.02</v>
      </c>
      <c r="U4344" s="7">
        <v>45536</v>
      </c>
      <c r="V4344" s="6">
        <v>0</v>
      </c>
      <c r="W4344" s="6">
        <f ca="1">IFERROR(__xludf.DUMMYFUNCTION("IFERROR(GOOGLEFINANCE(B4344,""pe""),V4344)"),0)</f>
        <v>0</v>
      </c>
      <c r="X4344" s="6">
        <v>0</v>
      </c>
      <c r="Y4344" s="6">
        <v>0.66</v>
      </c>
      <c r="Z4344" s="6">
        <v>1</v>
      </c>
      <c r="AA4344" s="8">
        <v>45352</v>
      </c>
      <c r="AB4344" s="4">
        <v>0</v>
      </c>
      <c r="AC4344" s="6">
        <v>0.93</v>
      </c>
      <c r="AD4344" s="6">
        <v>1.24</v>
      </c>
      <c r="AE4344" s="1">
        <v>0</v>
      </c>
      <c r="AF4344" s="1">
        <f ca="1">IFERROR(__xludf.DUMMYFUNCTION("IFERROR(GOOGLEFINANCE(TRIM(F4344)&amp;"":"" &amp; TRIM(B4344),""high52""),AE4344)"),0)</f>
        <v>0</v>
      </c>
      <c r="AG4344" s="1">
        <v>0</v>
      </c>
      <c r="AH4344" s="1">
        <f ca="1">IFERROR(__xludf.DUMMYFUNCTION("IFERROR(GOOGLEFINANCE(TRIM(F4344)&amp;"":"" &amp; TRIM(B4344),""low52""),AE4344)"),0)</f>
        <v>0</v>
      </c>
      <c r="AI4344" s="1">
        <f ca="1">IFERROR(__xludf.DUMMYFUNCTION("IFERROR(GOOGLEFINANCE(B4344,""eps""),0)"),0)</f>
        <v>0</v>
      </c>
      <c r="AJ4344" s="1"/>
      <c r="AK4344" s="1" t="s">
        <v>13160</v>
      </c>
      <c r="AL4344" s="9">
        <f t="shared" si="391"/>
        <v>1</v>
      </c>
    </row>
    <row r="4345" spans="1:38" ht="15" x14ac:dyDescent="0.25">
      <c r="A4345" s="1" t="s">
        <v>13163</v>
      </c>
      <c r="B4345" s="1" t="s">
        <v>13164</v>
      </c>
      <c r="C4345" s="1" t="s">
        <v>227</v>
      </c>
      <c r="D4345" s="1" t="s">
        <v>227</v>
      </c>
      <c r="E4345" s="6">
        <v>4258.99</v>
      </c>
      <c r="F4345" s="1" t="s">
        <v>53</v>
      </c>
      <c r="G4345" s="6">
        <f ca="1">IFERROR(__xludf.DUMMYFUNCTION("iferror(GOOGLEFINANCE(TRIM(F4345)&amp;"":"" &amp; TRIM(B4345), ""price""),0
)"),0)</f>
        <v>0</v>
      </c>
      <c r="H4345" s="6">
        <v>120.55</v>
      </c>
      <c r="I4345" s="6">
        <f t="shared" ca="1" si="0"/>
        <v>120.55</v>
      </c>
      <c r="J4345" s="6">
        <f ca="1">IFERROR(__xludf.DUMMYFUNCTION("IFERROR(GOOGLEFINANCE(B4345, ""volume""), 0)"),0)</f>
        <v>0</v>
      </c>
      <c r="K4345" s="6">
        <v>-4.97</v>
      </c>
      <c r="L4345" s="6">
        <f ca="1">IFERROR(__xludf.DUMMYFUNCTION("IFERROR(GOOGLEFINANCE(B4345,""changepct""),K4345)"),-4.97)</f>
        <v>-4.97</v>
      </c>
      <c r="M4345" s="6">
        <f ca="1">IFERROR(__xludf.DUMMYFUNCTION("IFERROR(GOOGLEFINANCE(B4345,""change""),0)"),0)</f>
        <v>0</v>
      </c>
      <c r="N4345" s="6">
        <v>2</v>
      </c>
      <c r="O4345" s="7">
        <v>45536</v>
      </c>
      <c r="P4345" s="6">
        <v>12.26</v>
      </c>
      <c r="Q4345" s="6">
        <v>4270.3100000000004</v>
      </c>
      <c r="R4345" s="7">
        <v>45536</v>
      </c>
      <c r="S4345" s="6">
        <v>89.31</v>
      </c>
      <c r="T4345" s="6">
        <v>3.55</v>
      </c>
      <c r="U4345" s="7">
        <v>45536</v>
      </c>
      <c r="V4345" s="6">
        <v>0</v>
      </c>
      <c r="W4345" s="6">
        <f ca="1">IFERROR(__xludf.DUMMYFUNCTION("IFERROR(GOOGLEFINANCE(B4345,""pe""),V4345)"),0)</f>
        <v>0</v>
      </c>
      <c r="X4345" s="6">
        <v>0</v>
      </c>
      <c r="Y4345" s="6">
        <v>25.65</v>
      </c>
      <c r="Z4345" s="6">
        <v>2</v>
      </c>
      <c r="AA4345" s="8">
        <v>45352</v>
      </c>
      <c r="AB4345" s="4">
        <v>0.09</v>
      </c>
      <c r="AC4345" s="6">
        <v>1.75</v>
      </c>
      <c r="AD4345" s="6">
        <v>3.08</v>
      </c>
      <c r="AE4345" s="1">
        <v>0</v>
      </c>
      <c r="AF4345" s="1">
        <f ca="1">IFERROR(__xludf.DUMMYFUNCTION("IFERROR(GOOGLEFINANCE(TRIM(F4345)&amp;"":"" &amp; TRIM(B4345),""high52""),AE4345)"),0)</f>
        <v>0</v>
      </c>
      <c r="AG4345" s="1">
        <v>0</v>
      </c>
      <c r="AH4345" s="1">
        <f ca="1">IFERROR(__xludf.DUMMYFUNCTION("IFERROR(GOOGLEFINANCE(TRIM(F4345)&amp;"":"" &amp; TRIM(B4345),""low52""),AE4345)"),0)</f>
        <v>0</v>
      </c>
      <c r="AI4345" s="1">
        <f ca="1">IFERROR(__xludf.DUMMYFUNCTION("IFERROR(GOOGLEFINANCE(B4345,""eps""),0)"),0)</f>
        <v>0</v>
      </c>
      <c r="AJ4345" s="1"/>
      <c r="AK4345" s="1" t="s">
        <v>13165</v>
      </c>
      <c r="AL4345" s="9">
        <f t="shared" si="391"/>
        <v>1</v>
      </c>
    </row>
    <row r="4346" spans="1:38" ht="15" x14ac:dyDescent="0.25">
      <c r="A4346" s="1" t="s">
        <v>13166</v>
      </c>
      <c r="B4346" s="1" t="s">
        <v>13167</v>
      </c>
      <c r="C4346" s="1" t="s">
        <v>227</v>
      </c>
      <c r="D4346" s="1" t="s">
        <v>227</v>
      </c>
      <c r="E4346" s="6">
        <v>56.23</v>
      </c>
      <c r="F4346" s="1" t="s">
        <v>53</v>
      </c>
      <c r="G4346" s="6">
        <f ca="1">IFERROR(__xludf.DUMMYFUNCTION("iferror(GOOGLEFINANCE(TRIM(F4346)&amp;"":"" &amp; TRIM(B4346), ""price""),0
)"),0)</f>
        <v>0</v>
      </c>
      <c r="H4346" s="6">
        <v>88.75</v>
      </c>
      <c r="I4346" s="6">
        <f t="shared" ca="1" si="0"/>
        <v>88.75</v>
      </c>
      <c r="J4346" s="6">
        <f ca="1">IFERROR(__xludf.DUMMYFUNCTION("IFERROR(GOOGLEFINANCE(B4346, ""volume""), 0)"),0)</f>
        <v>0</v>
      </c>
      <c r="K4346" s="6">
        <v>-1.39</v>
      </c>
      <c r="L4346" s="6">
        <f ca="1">IFERROR(__xludf.DUMMYFUNCTION("IFERROR(GOOGLEFINANCE(B4346,""changepct""),K4346)"),-1.39)</f>
        <v>-1.39</v>
      </c>
      <c r="M4346" s="6">
        <f ca="1">IFERROR(__xludf.DUMMYFUNCTION("IFERROR(GOOGLEFINANCE(B4346,""change""),0)"),0)</f>
        <v>0</v>
      </c>
      <c r="N4346" s="6">
        <v>1</v>
      </c>
      <c r="O4346" s="7">
        <v>45536</v>
      </c>
      <c r="P4346" s="6">
        <v>5.51</v>
      </c>
      <c r="Q4346" s="6">
        <v>61.75</v>
      </c>
      <c r="R4346" s="7">
        <v>45536</v>
      </c>
      <c r="S4346" s="6">
        <v>66.64</v>
      </c>
      <c r="T4346" s="6">
        <v>1.95</v>
      </c>
      <c r="U4346" s="7">
        <v>45536</v>
      </c>
      <c r="V4346" s="6">
        <v>28.78</v>
      </c>
      <c r="W4346" s="6">
        <f ca="1">IFERROR(__xludf.DUMMYFUNCTION("IFERROR(GOOGLEFINANCE(B4346,""pe""),V4346)"),28.78)</f>
        <v>28.78</v>
      </c>
      <c r="X4346" s="6">
        <v>0.36</v>
      </c>
      <c r="Y4346" s="6">
        <v>6.57</v>
      </c>
      <c r="Z4346" s="6">
        <v>1</v>
      </c>
      <c r="AA4346" s="8">
        <v>45352</v>
      </c>
      <c r="AB4346" s="4">
        <v>0.66</v>
      </c>
      <c r="AC4346" s="6">
        <v>20.25</v>
      </c>
      <c r="AD4346" s="6">
        <v>24.27</v>
      </c>
      <c r="AE4346" s="1">
        <v>0</v>
      </c>
      <c r="AF4346" s="1">
        <f ca="1">IFERROR(__xludf.DUMMYFUNCTION("IFERROR(GOOGLEFINANCE(TRIM(F4346)&amp;"":"" &amp; TRIM(B4346),""high52""),AE4346)"),0)</f>
        <v>0</v>
      </c>
      <c r="AG4346" s="1">
        <v>0</v>
      </c>
      <c r="AH4346" s="1">
        <f ca="1">IFERROR(__xludf.DUMMYFUNCTION("IFERROR(GOOGLEFINANCE(TRIM(F4346)&amp;"":"" &amp; TRIM(B4346),""low52""),AE4346)"),0)</f>
        <v>0</v>
      </c>
      <c r="AI4346" s="1">
        <f ca="1">IFERROR(__xludf.DUMMYFUNCTION("IFERROR(GOOGLEFINANCE(B4346,""eps""),0)"),0)</f>
        <v>0</v>
      </c>
      <c r="AJ4346" s="1"/>
      <c r="AK4346" s="1" t="s">
        <v>13168</v>
      </c>
      <c r="AL4346" s="9">
        <f t="shared" si="391"/>
        <v>1</v>
      </c>
    </row>
    <row r="4347" spans="1:38" ht="15" x14ac:dyDescent="0.25">
      <c r="A4347" s="1" t="s">
        <v>13169</v>
      </c>
      <c r="B4347" s="1" t="s">
        <v>13170</v>
      </c>
      <c r="C4347" s="1" t="s">
        <v>227</v>
      </c>
      <c r="D4347" s="1" t="s">
        <v>227</v>
      </c>
      <c r="E4347" s="6">
        <v>84.33</v>
      </c>
      <c r="F4347" s="1" t="s">
        <v>53</v>
      </c>
      <c r="G4347" s="6">
        <f ca="1">IFERROR(__xludf.DUMMYFUNCTION("iferror(GOOGLEFINANCE(TRIM(F4347)&amp;"":"" &amp; TRIM(B4347), ""price""),0
)"),0)</f>
        <v>0</v>
      </c>
      <c r="H4347" s="6">
        <v>25.95</v>
      </c>
      <c r="I4347" s="6">
        <f t="shared" ca="1" si="0"/>
        <v>25.95</v>
      </c>
      <c r="J4347" s="6">
        <f ca="1">IFERROR(__xludf.DUMMYFUNCTION("IFERROR(GOOGLEFINANCE(B4347, ""volume""), 0)"),0)</f>
        <v>0</v>
      </c>
      <c r="K4347" s="6">
        <v>4.09</v>
      </c>
      <c r="L4347" s="6">
        <f ca="1">IFERROR(__xludf.DUMMYFUNCTION("IFERROR(GOOGLEFINANCE(B4347,""changepct""),K4347)"),4.09)</f>
        <v>4.09</v>
      </c>
      <c r="M4347" s="6">
        <f ca="1">IFERROR(__xludf.DUMMYFUNCTION("IFERROR(GOOGLEFINANCE(B4347,""change""),0)"),0)</f>
        <v>0</v>
      </c>
      <c r="N4347" s="6">
        <v>1</v>
      </c>
      <c r="O4347" s="7">
        <v>45536</v>
      </c>
      <c r="P4347" s="6">
        <v>19.579999999999998</v>
      </c>
      <c r="Q4347" s="6">
        <v>103.91</v>
      </c>
      <c r="R4347" s="7">
        <v>45536</v>
      </c>
      <c r="S4347" s="6">
        <v>84.63</v>
      </c>
      <c r="T4347" s="6">
        <v>1.75</v>
      </c>
      <c r="U4347" s="7">
        <v>45536</v>
      </c>
      <c r="V4347" s="6">
        <v>48.3</v>
      </c>
      <c r="W4347" s="6">
        <f ca="1">IFERROR(__xludf.DUMMYFUNCTION("IFERROR(GOOGLEFINANCE(B4347,""pe""),V4347)"),48.3)</f>
        <v>48.3</v>
      </c>
      <c r="X4347" s="6">
        <v>2.62</v>
      </c>
      <c r="Y4347" s="6">
        <v>1.26</v>
      </c>
      <c r="Z4347" s="6">
        <v>1</v>
      </c>
      <c r="AA4347" s="8">
        <v>45352</v>
      </c>
      <c r="AB4347" s="4">
        <v>0</v>
      </c>
      <c r="AC4347" s="6">
        <v>8.5500000000000007</v>
      </c>
      <c r="AD4347" s="6">
        <v>10.49</v>
      </c>
      <c r="AE4347" s="1">
        <v>0</v>
      </c>
      <c r="AF4347" s="1">
        <f ca="1">IFERROR(__xludf.DUMMYFUNCTION("IFERROR(GOOGLEFINANCE(TRIM(F4347)&amp;"":"" &amp; TRIM(B4347),""high52""),AE4347)"),0)</f>
        <v>0</v>
      </c>
      <c r="AG4347" s="1">
        <v>0</v>
      </c>
      <c r="AH4347" s="1">
        <f ca="1">IFERROR(__xludf.DUMMYFUNCTION("IFERROR(GOOGLEFINANCE(TRIM(F4347)&amp;"":"" &amp; TRIM(B4347),""low52""),AE4347)"),0)</f>
        <v>0</v>
      </c>
      <c r="AI4347" s="1">
        <f ca="1">IFERROR(__xludf.DUMMYFUNCTION("IFERROR(GOOGLEFINANCE(B4347,""eps""),0)"),0)</f>
        <v>0</v>
      </c>
      <c r="AJ4347" s="1"/>
      <c r="AK4347" s="1" t="s">
        <v>13171</v>
      </c>
      <c r="AL4347" s="9">
        <f t="shared" si="391"/>
        <v>1</v>
      </c>
    </row>
    <row r="4348" spans="1:38" ht="15" x14ac:dyDescent="0.25">
      <c r="A4348" s="1" t="s">
        <v>13172</v>
      </c>
      <c r="B4348" s="1" t="s">
        <v>13173</v>
      </c>
      <c r="C4348" s="1" t="s">
        <v>227</v>
      </c>
      <c r="D4348" s="1" t="s">
        <v>227</v>
      </c>
      <c r="E4348" s="6">
        <v>8.2100000000000009</v>
      </c>
      <c r="F4348" s="1" t="s">
        <v>53</v>
      </c>
      <c r="G4348" s="6">
        <f ca="1">IFERROR(__xludf.DUMMYFUNCTION("iferror(GOOGLEFINANCE(TRIM(F4348)&amp;"":"" &amp; TRIM(B4348), ""price""),0
)"),0)</f>
        <v>0</v>
      </c>
      <c r="H4348" s="6">
        <v>26.82</v>
      </c>
      <c r="I4348" s="6">
        <f t="shared" ca="1" si="0"/>
        <v>26.82</v>
      </c>
      <c r="J4348" s="6">
        <f ca="1">IFERROR(__xludf.DUMMYFUNCTION("IFERROR(GOOGLEFINANCE(B4348, ""volume""), 0)"),0)</f>
        <v>0</v>
      </c>
      <c r="K4348" s="6">
        <v>-1.97</v>
      </c>
      <c r="L4348" s="6">
        <f ca="1">IFERROR(__xludf.DUMMYFUNCTION("IFERROR(GOOGLEFINANCE(B4348,""changepct""),K4348)"),-1.97)</f>
        <v>-1.97</v>
      </c>
      <c r="M4348" s="6">
        <f ca="1">IFERROR(__xludf.DUMMYFUNCTION("IFERROR(GOOGLEFINANCE(B4348,""change""),0)"),0)</f>
        <v>0</v>
      </c>
      <c r="N4348" s="6">
        <v>1</v>
      </c>
      <c r="O4348" s="7">
        <v>45536</v>
      </c>
      <c r="P4348" s="6">
        <v>26.03</v>
      </c>
      <c r="Q4348" s="6">
        <v>34.200000000000003</v>
      </c>
      <c r="R4348" s="7">
        <v>45536</v>
      </c>
      <c r="S4348" s="6">
        <v>0</v>
      </c>
      <c r="T4348" s="6">
        <v>-4.07</v>
      </c>
      <c r="U4348" s="7">
        <v>45536</v>
      </c>
      <c r="V4348" s="6">
        <v>0</v>
      </c>
      <c r="W4348" s="6">
        <f ca="1">IFERROR(__xludf.DUMMYFUNCTION("IFERROR(GOOGLEFINANCE(B4348,""pe""),V4348)"),0)</f>
        <v>0</v>
      </c>
      <c r="X4348" s="6">
        <v>0</v>
      </c>
      <c r="Y4348" s="6">
        <v>-0.17</v>
      </c>
      <c r="Z4348" s="6">
        <v>1</v>
      </c>
      <c r="AA4348" s="8">
        <v>45352</v>
      </c>
      <c r="AB4348" s="4">
        <v>-0.56999999999999995</v>
      </c>
      <c r="AC4348" s="6">
        <v>0</v>
      </c>
      <c r="AD4348" s="6">
        <v>0</v>
      </c>
      <c r="AE4348" s="1">
        <v>0</v>
      </c>
      <c r="AF4348" s="1">
        <f ca="1">IFERROR(__xludf.DUMMYFUNCTION("IFERROR(GOOGLEFINANCE(TRIM(F4348)&amp;"":"" &amp; TRIM(B4348),""high52""),AE4348)"),0)</f>
        <v>0</v>
      </c>
      <c r="AG4348" s="1">
        <v>0</v>
      </c>
      <c r="AH4348" s="1">
        <f ca="1">IFERROR(__xludf.DUMMYFUNCTION("IFERROR(GOOGLEFINANCE(TRIM(F4348)&amp;"":"" &amp; TRIM(B4348),""low52""),AE4348)"),0)</f>
        <v>0</v>
      </c>
      <c r="AI4348" s="1">
        <f ca="1">IFERROR(__xludf.DUMMYFUNCTION("IFERROR(GOOGLEFINANCE(B4348,""eps""),0)"),0)</f>
        <v>0</v>
      </c>
      <c r="AJ4348" s="1"/>
      <c r="AK4348" s="9"/>
      <c r="AL4348" s="9">
        <f t="shared" si="391"/>
        <v>1</v>
      </c>
    </row>
    <row r="4349" spans="1:38" ht="15" x14ac:dyDescent="0.25">
      <c r="A4349" s="1" t="s">
        <v>13174</v>
      </c>
      <c r="B4349" s="1" t="s">
        <v>13175</v>
      </c>
      <c r="C4349" s="1" t="s">
        <v>57</v>
      </c>
      <c r="D4349" s="1" t="s">
        <v>57</v>
      </c>
      <c r="E4349" s="6">
        <v>16.25</v>
      </c>
      <c r="F4349" s="1" t="s">
        <v>40</v>
      </c>
      <c r="G4349" s="6">
        <f ca="1">IFERROR(__xludf.DUMMYFUNCTION("iferror(GOOGLEFINANCE(TRIM(F4349)&amp;"":"" &amp; TRIM(B4349), ""price""),0
)"),0)</f>
        <v>0</v>
      </c>
      <c r="H4349" s="6">
        <v>80.650000000000006</v>
      </c>
      <c r="I4349" s="6">
        <f t="shared" ca="1" si="0"/>
        <v>80.650000000000006</v>
      </c>
      <c r="J4349" s="6">
        <f ca="1">IFERROR(__xludf.DUMMYFUNCTION("IFERROR(GOOGLEFINANCE(B4349, ""volume""), 0)"),0)</f>
        <v>0</v>
      </c>
      <c r="K4349" s="12"/>
      <c r="L4349" s="6" t="str">
        <f ca="1">IFERROR(__xludf.DUMMYFUNCTION("IFERROR(GOOGLEFINANCE(B4349,""changepct""),K4349)"),"")</f>
        <v/>
      </c>
      <c r="M4349" s="6">
        <f ca="1">IFERROR(__xludf.DUMMYFUNCTION("IFERROR(GOOGLEFINANCE(B4349,""change""),0)"),0)</f>
        <v>0</v>
      </c>
      <c r="N4349" s="6">
        <v>1</v>
      </c>
      <c r="O4349" s="7">
        <v>45536</v>
      </c>
      <c r="P4349" s="12"/>
      <c r="Q4349" s="6">
        <v>16.25</v>
      </c>
      <c r="R4349" s="7">
        <v>45352</v>
      </c>
      <c r="S4349" s="6">
        <v>5.18</v>
      </c>
      <c r="T4349" s="6">
        <v>-0.67</v>
      </c>
      <c r="U4349" s="7">
        <v>45352</v>
      </c>
      <c r="V4349" s="6">
        <v>0</v>
      </c>
      <c r="W4349" s="6">
        <f ca="1">IFERROR(__xludf.DUMMYFUNCTION("IFERROR(GOOGLEFINANCE(B4349,""pe""),V4349)"),0)</f>
        <v>0</v>
      </c>
      <c r="X4349" s="12"/>
      <c r="Y4349" s="6">
        <v>1.2</v>
      </c>
      <c r="Z4349" s="6">
        <v>1</v>
      </c>
      <c r="AA4349" s="8">
        <v>45352</v>
      </c>
      <c r="AB4349" s="4">
        <v>0</v>
      </c>
      <c r="AC4349" s="6">
        <v>-4.8099999999999996</v>
      </c>
      <c r="AD4349" s="6">
        <v>-4.74</v>
      </c>
      <c r="AE4349" s="1">
        <v>0</v>
      </c>
      <c r="AF4349" s="1">
        <f ca="1">IFERROR(__xludf.DUMMYFUNCTION("IFERROR(GOOGLEFINANCE(TRIM(F4349)&amp;"":"" &amp; TRIM(B4349),""high52""),AE4349)"),0)</f>
        <v>0</v>
      </c>
      <c r="AG4349" s="1">
        <v>0</v>
      </c>
      <c r="AH4349" s="1">
        <f ca="1">IFERROR(__xludf.DUMMYFUNCTION("IFERROR(GOOGLEFINANCE(TRIM(F4349)&amp;"":"" &amp; TRIM(B4349),""low52""),AE4349)"),0)</f>
        <v>0</v>
      </c>
      <c r="AI4349" s="1">
        <f ca="1">IFERROR(__xludf.DUMMYFUNCTION("IFERROR(GOOGLEFINANCE(B4349,""eps""),0)"),0)</f>
        <v>0</v>
      </c>
      <c r="AJ4349" s="1"/>
      <c r="AK4349" s="1" t="s">
        <v>13176</v>
      </c>
      <c r="AL4349" s="9">
        <f t="shared" si="391"/>
        <v>1</v>
      </c>
    </row>
    <row r="4350" spans="1:38" ht="15" x14ac:dyDescent="0.25">
      <c r="A4350" s="1" t="s">
        <v>13177</v>
      </c>
      <c r="B4350" s="1" t="s">
        <v>13178</v>
      </c>
      <c r="C4350" s="1" t="s">
        <v>227</v>
      </c>
      <c r="D4350" s="1" t="s">
        <v>227</v>
      </c>
      <c r="E4350" s="6">
        <v>92.49</v>
      </c>
      <c r="F4350" s="1" t="s">
        <v>53</v>
      </c>
      <c r="G4350" s="6">
        <f ca="1">IFERROR(__xludf.DUMMYFUNCTION("iferror(GOOGLEFINANCE(TRIM(F4350)&amp;"":"" &amp; TRIM(B4350), ""price""),0
)"),0)</f>
        <v>0</v>
      </c>
      <c r="H4350" s="6">
        <v>1.95</v>
      </c>
      <c r="I4350" s="6">
        <f t="shared" ca="1" si="0"/>
        <v>1.95</v>
      </c>
      <c r="J4350" s="6">
        <f ca="1">IFERROR(__xludf.DUMMYFUNCTION("IFERROR(GOOGLEFINANCE(B4350, ""volume""), 0)"),0)</f>
        <v>0</v>
      </c>
      <c r="K4350" s="6">
        <v>1.56</v>
      </c>
      <c r="L4350" s="6">
        <f ca="1">IFERROR(__xludf.DUMMYFUNCTION("IFERROR(GOOGLEFINANCE(B4350,""changepct""),K4350)"),1.56)</f>
        <v>1.56</v>
      </c>
      <c r="M4350" s="6">
        <f ca="1">IFERROR(__xludf.DUMMYFUNCTION("IFERROR(GOOGLEFINANCE(B4350,""change""),0)"),0)</f>
        <v>0</v>
      </c>
      <c r="N4350" s="6">
        <v>1</v>
      </c>
      <c r="O4350" s="7">
        <v>45536</v>
      </c>
      <c r="P4350" s="6">
        <v>0.13</v>
      </c>
      <c r="Q4350" s="6">
        <v>92.62</v>
      </c>
      <c r="R4350" s="7">
        <v>45536</v>
      </c>
      <c r="S4350" s="6">
        <v>39.99</v>
      </c>
      <c r="T4350" s="6">
        <v>2.2000000000000002</v>
      </c>
      <c r="U4350" s="7">
        <v>45536</v>
      </c>
      <c r="V4350" s="6">
        <v>42</v>
      </c>
      <c r="W4350" s="6">
        <f ca="1">IFERROR(__xludf.DUMMYFUNCTION("IFERROR(GOOGLEFINANCE(B4350,""pe""),V4350)"),42)</f>
        <v>42</v>
      </c>
      <c r="X4350" s="6">
        <v>0.22</v>
      </c>
      <c r="Y4350" s="6">
        <v>1.57</v>
      </c>
      <c r="Z4350" s="6">
        <v>1</v>
      </c>
      <c r="AA4350" s="8">
        <v>45352</v>
      </c>
      <c r="AB4350" s="4">
        <v>0</v>
      </c>
      <c r="AC4350" s="6">
        <v>22.43</v>
      </c>
      <c r="AD4350" s="6">
        <v>32.68</v>
      </c>
      <c r="AE4350" s="1">
        <v>0</v>
      </c>
      <c r="AF4350" s="1">
        <f ca="1">IFERROR(__xludf.DUMMYFUNCTION("IFERROR(GOOGLEFINANCE(TRIM(F4350)&amp;"":"" &amp; TRIM(B4350),""high52""),AE4350)"),0)</f>
        <v>0</v>
      </c>
      <c r="AG4350" s="1">
        <v>0</v>
      </c>
      <c r="AH4350" s="1">
        <f ca="1">IFERROR(__xludf.DUMMYFUNCTION("IFERROR(GOOGLEFINANCE(TRIM(F4350)&amp;"":"" &amp; TRIM(B4350),""low52""),AE4350)"),0)</f>
        <v>0</v>
      </c>
      <c r="AI4350" s="1">
        <f ca="1">IFERROR(__xludf.DUMMYFUNCTION("IFERROR(GOOGLEFINANCE(B4350,""eps""),0)"),0)</f>
        <v>0</v>
      </c>
      <c r="AJ4350" s="1"/>
      <c r="AK4350" s="1" t="s">
        <v>13179</v>
      </c>
      <c r="AL4350" s="9">
        <f t="shared" si="391"/>
        <v>1</v>
      </c>
    </row>
    <row r="4351" spans="1:38" ht="15" x14ac:dyDescent="0.25">
      <c r="A4351" s="1" t="s">
        <v>13180</v>
      </c>
      <c r="B4351" s="1" t="s">
        <v>13181</v>
      </c>
      <c r="C4351" s="1" t="s">
        <v>227</v>
      </c>
      <c r="D4351" s="1" t="s">
        <v>227</v>
      </c>
      <c r="E4351" s="6">
        <v>5.13</v>
      </c>
      <c r="F4351" s="1" t="s">
        <v>53</v>
      </c>
      <c r="G4351" s="6">
        <f ca="1">IFERROR(__xludf.DUMMYFUNCTION("iferror(GOOGLEFINANCE(TRIM(F4351)&amp;"":"" &amp; TRIM(B4351), ""price""),0
)"),0)</f>
        <v>0</v>
      </c>
      <c r="H4351" s="6">
        <v>3.39</v>
      </c>
      <c r="I4351" s="6">
        <f t="shared" ca="1" si="0"/>
        <v>3.39</v>
      </c>
      <c r="J4351" s="6">
        <f ca="1">IFERROR(__xludf.DUMMYFUNCTION("IFERROR(GOOGLEFINANCE(B4351, ""volume""), 0)"),499)</f>
        <v>499</v>
      </c>
      <c r="K4351" s="6">
        <v>-4.78</v>
      </c>
      <c r="L4351" s="6">
        <f ca="1">IFERROR(__xludf.DUMMYFUNCTION("IFERROR(GOOGLEFINANCE(B4351,""changepct""),K4351)"),-6.17)</f>
        <v>-6.17</v>
      </c>
      <c r="M4351" s="6">
        <f ca="1">IFERROR(__xludf.DUMMYFUNCTION("IFERROR(GOOGLEFINANCE(B4351,""change""),0)"),-21.33)</f>
        <v>-21.33</v>
      </c>
      <c r="N4351" s="6">
        <v>1</v>
      </c>
      <c r="O4351" s="7">
        <v>45536</v>
      </c>
      <c r="P4351" s="6">
        <v>1.06</v>
      </c>
      <c r="Q4351" s="6">
        <v>6.18</v>
      </c>
      <c r="R4351" s="7">
        <v>45536</v>
      </c>
      <c r="S4351" s="6">
        <v>7.0000000000000007E-2</v>
      </c>
      <c r="T4351" s="6">
        <v>-0.52</v>
      </c>
      <c r="U4351" s="7">
        <v>45536</v>
      </c>
      <c r="V4351" s="6">
        <v>0</v>
      </c>
      <c r="W4351" s="6">
        <f ca="1">IFERROR(__xludf.DUMMYFUNCTION("IFERROR(GOOGLEFINANCE(B4351,""pe""),V4351)"),20.84)</f>
        <v>20.84</v>
      </c>
      <c r="X4351" s="12"/>
      <c r="Y4351" s="6">
        <v>-1.1000000000000001</v>
      </c>
      <c r="Z4351" s="6">
        <v>1</v>
      </c>
      <c r="AA4351" s="8">
        <v>45352</v>
      </c>
      <c r="AB4351" s="4">
        <v>-0.21</v>
      </c>
      <c r="AC4351" s="6">
        <v>0</v>
      </c>
      <c r="AD4351" s="6">
        <v>0</v>
      </c>
      <c r="AE4351" s="1">
        <v>0</v>
      </c>
      <c r="AF4351" s="1">
        <f ca="1">IFERROR(__xludf.DUMMYFUNCTION("IFERROR(GOOGLEFINANCE(TRIM(F4351)&amp;"":"" &amp; TRIM(B4351),""high52""),AE4351)"),0)</f>
        <v>0</v>
      </c>
      <c r="AG4351" s="1">
        <v>0</v>
      </c>
      <c r="AH4351" s="1">
        <f ca="1">IFERROR(__xludf.DUMMYFUNCTION("IFERROR(GOOGLEFINANCE(TRIM(F4351)&amp;"":"" &amp; TRIM(B4351),""low52""),AE4351)"),0)</f>
        <v>0</v>
      </c>
      <c r="AI4351" s="1">
        <f ca="1">IFERROR(__xludf.DUMMYFUNCTION("IFERROR(GOOGLEFINANCE(B4351,""eps""),0)"),15.58)</f>
        <v>15.58</v>
      </c>
      <c r="AJ4351" s="1"/>
      <c r="AK4351" s="1" t="s">
        <v>13182</v>
      </c>
      <c r="AL4351" s="9">
        <f t="shared" si="391"/>
        <v>1</v>
      </c>
    </row>
    <row r="4352" spans="1:38" ht="15" x14ac:dyDescent="0.25">
      <c r="A4352" s="1" t="s">
        <v>13183</v>
      </c>
      <c r="B4352" s="1" t="s">
        <v>13184</v>
      </c>
      <c r="C4352" s="1" t="s">
        <v>227</v>
      </c>
      <c r="D4352" s="1" t="s">
        <v>227</v>
      </c>
      <c r="E4352" s="6">
        <v>42.01</v>
      </c>
      <c r="F4352" s="1" t="s">
        <v>53</v>
      </c>
      <c r="G4352" s="6">
        <f ca="1">IFERROR(__xludf.DUMMYFUNCTION("iferror(GOOGLEFINANCE(TRIM(F4352)&amp;"":"" &amp; TRIM(B4352), ""price""),0
)"),0)</f>
        <v>0</v>
      </c>
      <c r="H4352" s="6">
        <v>63.7</v>
      </c>
      <c r="I4352" s="6">
        <f t="shared" ca="1" si="0"/>
        <v>63.7</v>
      </c>
      <c r="J4352" s="6">
        <f ca="1">IFERROR(__xludf.DUMMYFUNCTION("IFERROR(GOOGLEFINANCE(B4352, ""volume""), 0)"),0)</f>
        <v>0</v>
      </c>
      <c r="K4352" s="6">
        <v>-1.44</v>
      </c>
      <c r="L4352" s="6">
        <f ca="1">IFERROR(__xludf.DUMMYFUNCTION("IFERROR(GOOGLEFINANCE(B4352,""changepct""),K4352)"),-1.44)</f>
        <v>-1.44</v>
      </c>
      <c r="M4352" s="6">
        <f ca="1">IFERROR(__xludf.DUMMYFUNCTION("IFERROR(GOOGLEFINANCE(B4352,""change""),0)"),0)</f>
        <v>0</v>
      </c>
      <c r="N4352" s="6">
        <v>1</v>
      </c>
      <c r="O4352" s="7">
        <v>45536</v>
      </c>
      <c r="P4352" s="6">
        <v>0.35</v>
      </c>
      <c r="Q4352" s="6">
        <v>42.36</v>
      </c>
      <c r="R4352" s="7">
        <v>45536</v>
      </c>
      <c r="S4352" s="6">
        <v>0.99</v>
      </c>
      <c r="T4352" s="6">
        <v>0.22</v>
      </c>
      <c r="U4352" s="7">
        <v>45536</v>
      </c>
      <c r="V4352" s="6">
        <v>186.71</v>
      </c>
      <c r="W4352" s="6">
        <f ca="1">IFERROR(__xludf.DUMMYFUNCTION("IFERROR(GOOGLEFINANCE(B4352,""pe""),V4352)"),186.71)</f>
        <v>186.71</v>
      </c>
      <c r="X4352" s="6">
        <v>9.49</v>
      </c>
      <c r="Y4352" s="6">
        <v>156.75</v>
      </c>
      <c r="Z4352" s="6">
        <v>1</v>
      </c>
      <c r="AA4352" s="8">
        <v>45352</v>
      </c>
      <c r="AB4352" s="4">
        <v>1.05</v>
      </c>
      <c r="AC4352" s="6">
        <v>613.01</v>
      </c>
      <c r="AD4352" s="6">
        <v>91.13</v>
      </c>
      <c r="AE4352" s="1">
        <v>0</v>
      </c>
      <c r="AF4352" s="1">
        <f ca="1">IFERROR(__xludf.DUMMYFUNCTION("IFERROR(GOOGLEFINANCE(TRIM(F4352)&amp;"":"" &amp; TRIM(B4352),""high52""),AE4352)"),0)</f>
        <v>0</v>
      </c>
      <c r="AG4352" s="1">
        <v>0</v>
      </c>
      <c r="AH4352" s="1">
        <f ca="1">IFERROR(__xludf.DUMMYFUNCTION("IFERROR(GOOGLEFINANCE(TRIM(F4352)&amp;"":"" &amp; TRIM(B4352),""low52""),AE4352)"),0)</f>
        <v>0</v>
      </c>
      <c r="AI4352" s="1">
        <f ca="1">IFERROR(__xludf.DUMMYFUNCTION("IFERROR(GOOGLEFINANCE(B4352,""eps""),0)"),0)</f>
        <v>0</v>
      </c>
      <c r="AJ4352" s="1"/>
      <c r="AK4352" s="9"/>
      <c r="AL4352" s="9">
        <f t="shared" si="391"/>
        <v>1</v>
      </c>
    </row>
    <row r="4353" spans="1:38" ht="15" x14ac:dyDescent="0.25">
      <c r="A4353" s="1" t="s">
        <v>13185</v>
      </c>
      <c r="B4353" s="1" t="s">
        <v>13186</v>
      </c>
      <c r="C4353" s="1" t="s">
        <v>227</v>
      </c>
      <c r="D4353" s="1" t="s">
        <v>227</v>
      </c>
      <c r="E4353" s="6">
        <v>199.79</v>
      </c>
      <c r="F4353" s="1" t="s">
        <v>53</v>
      </c>
      <c r="G4353" s="6">
        <f ca="1">IFERROR(__xludf.DUMMYFUNCTION("iferror(GOOGLEFINANCE(TRIM(F4353)&amp;"":"" &amp; TRIM(B4353), ""price""),0
)"),0)</f>
        <v>0</v>
      </c>
      <c r="H4353" s="6">
        <v>10.01</v>
      </c>
      <c r="I4353" s="6">
        <f t="shared" ca="1" si="0"/>
        <v>10.01</v>
      </c>
      <c r="J4353" s="6">
        <f ca="1">IFERROR(__xludf.DUMMYFUNCTION("IFERROR(GOOGLEFINANCE(B4353, ""volume""), 0)"),0)</f>
        <v>0</v>
      </c>
      <c r="K4353" s="6">
        <v>-2.44</v>
      </c>
      <c r="L4353" s="6">
        <f ca="1">IFERROR(__xludf.DUMMYFUNCTION("IFERROR(GOOGLEFINANCE(B4353,""changepct""),K4353)"),-2.44)</f>
        <v>-2.44</v>
      </c>
      <c r="M4353" s="6">
        <f ca="1">IFERROR(__xludf.DUMMYFUNCTION("IFERROR(GOOGLEFINANCE(B4353,""change""),0)"),0)</f>
        <v>0</v>
      </c>
      <c r="N4353" s="6">
        <v>1</v>
      </c>
      <c r="O4353" s="7">
        <v>45536</v>
      </c>
      <c r="P4353" s="6">
        <v>0.05</v>
      </c>
      <c r="Q4353" s="6">
        <v>199.84</v>
      </c>
      <c r="R4353" s="7">
        <v>45536</v>
      </c>
      <c r="S4353" s="6">
        <v>45.06</v>
      </c>
      <c r="T4353" s="6">
        <v>1.31</v>
      </c>
      <c r="U4353" s="7">
        <v>45536</v>
      </c>
      <c r="V4353" s="6">
        <v>152.86000000000001</v>
      </c>
      <c r="W4353" s="6">
        <f ca="1">IFERROR(__xludf.DUMMYFUNCTION("IFERROR(GOOGLEFINANCE(B4353,""pe""),V4353)"),152.86)</f>
        <v>152.86000000000001</v>
      </c>
      <c r="X4353" s="6">
        <v>5.1100000000000003</v>
      </c>
      <c r="Y4353" s="6">
        <v>2.81</v>
      </c>
      <c r="Z4353" s="6">
        <v>1</v>
      </c>
      <c r="AA4353" s="8">
        <v>45352</v>
      </c>
      <c r="AB4353" s="4">
        <v>0</v>
      </c>
      <c r="AC4353" s="6">
        <v>1.2</v>
      </c>
      <c r="AD4353" s="6">
        <v>1.41</v>
      </c>
      <c r="AE4353" s="1">
        <v>0</v>
      </c>
      <c r="AF4353" s="1">
        <f ca="1">IFERROR(__xludf.DUMMYFUNCTION("IFERROR(GOOGLEFINANCE(TRIM(F4353)&amp;"":"" &amp; TRIM(B4353),""high52""),AE4353)"),0)</f>
        <v>0</v>
      </c>
      <c r="AG4353" s="1">
        <v>0</v>
      </c>
      <c r="AH4353" s="1">
        <f ca="1">IFERROR(__xludf.DUMMYFUNCTION("IFERROR(GOOGLEFINANCE(TRIM(F4353)&amp;"":"" &amp; TRIM(B4353),""low52""),AE4353)"),0)</f>
        <v>0</v>
      </c>
      <c r="AI4353" s="1">
        <f ca="1">IFERROR(__xludf.DUMMYFUNCTION("IFERROR(GOOGLEFINANCE(B4353,""eps""),0)"),0)</f>
        <v>0</v>
      </c>
      <c r="AJ4353" s="1"/>
      <c r="AK4353" s="1" t="s">
        <v>13187</v>
      </c>
      <c r="AL4353" s="9">
        <f t="shared" si="391"/>
        <v>1</v>
      </c>
    </row>
    <row r="4354" spans="1:38" ht="15" x14ac:dyDescent="0.25">
      <c r="A4354" s="1" t="s">
        <v>13188</v>
      </c>
      <c r="B4354" s="1" t="s">
        <v>13189</v>
      </c>
      <c r="C4354" s="1" t="s">
        <v>227</v>
      </c>
      <c r="D4354" s="1" t="s">
        <v>227</v>
      </c>
      <c r="E4354" s="6">
        <v>136.22</v>
      </c>
      <c r="F4354" s="1" t="s">
        <v>53</v>
      </c>
      <c r="G4354" s="6">
        <f ca="1">IFERROR(__xludf.DUMMYFUNCTION("iferror(GOOGLEFINANCE(TRIM(F4354)&amp;"":"" &amp; TRIM(B4354), ""price""),0
)"),0)</f>
        <v>0</v>
      </c>
      <c r="H4354" s="6">
        <v>133</v>
      </c>
      <c r="I4354" s="6">
        <f t="shared" ca="1" si="0"/>
        <v>133</v>
      </c>
      <c r="J4354" s="6">
        <f ca="1">IFERROR(__xludf.DUMMYFUNCTION("IFERROR(GOOGLEFINANCE(B4354, ""volume""), 0)"),0)</f>
        <v>0</v>
      </c>
      <c r="K4354" s="6">
        <v>1.8</v>
      </c>
      <c r="L4354" s="6">
        <f ca="1">IFERROR(__xludf.DUMMYFUNCTION("IFERROR(GOOGLEFINANCE(B4354,""changepct""),K4354)"),1.8)</f>
        <v>1.8</v>
      </c>
      <c r="M4354" s="6">
        <f ca="1">IFERROR(__xludf.DUMMYFUNCTION("IFERROR(GOOGLEFINANCE(B4354,""change""),0)"),0)</f>
        <v>0</v>
      </c>
      <c r="N4354" s="6">
        <v>1</v>
      </c>
      <c r="O4354" s="7">
        <v>45536</v>
      </c>
      <c r="P4354" s="6">
        <v>21.29</v>
      </c>
      <c r="Q4354" s="6">
        <v>155.97</v>
      </c>
      <c r="R4354" s="7">
        <v>45536</v>
      </c>
      <c r="S4354" s="6">
        <v>102.17</v>
      </c>
      <c r="T4354" s="6">
        <v>3.78</v>
      </c>
      <c r="U4354" s="7">
        <v>45536</v>
      </c>
      <c r="V4354" s="6">
        <v>36.03</v>
      </c>
      <c r="W4354" s="6">
        <f ca="1">IFERROR(__xludf.DUMMYFUNCTION("IFERROR(GOOGLEFINANCE(B4354,""pe""),V4354)"),36.03)</f>
        <v>36.03</v>
      </c>
      <c r="X4354" s="6">
        <v>0.31</v>
      </c>
      <c r="Y4354" s="6">
        <v>4.6100000000000003</v>
      </c>
      <c r="Z4354" s="6">
        <v>1</v>
      </c>
      <c r="AA4354" s="8">
        <v>45352</v>
      </c>
      <c r="AB4354" s="4">
        <v>0.68</v>
      </c>
      <c r="AC4354" s="6">
        <v>14.23</v>
      </c>
      <c r="AD4354" s="6">
        <v>15.43</v>
      </c>
      <c r="AE4354" s="1">
        <v>0</v>
      </c>
      <c r="AF4354" s="1">
        <f ca="1">IFERROR(__xludf.DUMMYFUNCTION("IFERROR(GOOGLEFINANCE(TRIM(F4354)&amp;"":"" &amp; TRIM(B4354),""high52""),AE4354)"),0)</f>
        <v>0</v>
      </c>
      <c r="AG4354" s="1">
        <v>0</v>
      </c>
      <c r="AH4354" s="1">
        <f ca="1">IFERROR(__xludf.DUMMYFUNCTION("IFERROR(GOOGLEFINANCE(TRIM(F4354)&amp;"":"" &amp; TRIM(B4354),""low52""),AE4354)"),0)</f>
        <v>0</v>
      </c>
      <c r="AI4354" s="1">
        <f ca="1">IFERROR(__xludf.DUMMYFUNCTION("IFERROR(GOOGLEFINANCE(B4354,""eps""),0)"),0)</f>
        <v>0</v>
      </c>
      <c r="AJ4354" s="1"/>
      <c r="AK4354" s="1" t="s">
        <v>13190</v>
      </c>
      <c r="AL4354" s="9">
        <f t="shared" si="391"/>
        <v>1</v>
      </c>
    </row>
    <row r="4355" spans="1:38" ht="15" x14ac:dyDescent="0.25">
      <c r="A4355" s="1" t="s">
        <v>13191</v>
      </c>
      <c r="B4355" s="1" t="s">
        <v>13192</v>
      </c>
      <c r="C4355" s="1" t="s">
        <v>227</v>
      </c>
      <c r="D4355" s="1" t="s">
        <v>227</v>
      </c>
      <c r="E4355" s="6">
        <v>8.34</v>
      </c>
      <c r="F4355" s="1" t="s">
        <v>53</v>
      </c>
      <c r="G4355" s="6">
        <f ca="1">IFERROR(__xludf.DUMMYFUNCTION("iferror(GOOGLEFINANCE(TRIM(F4355)&amp;"":"" &amp; TRIM(B4355), ""price""),0
)"),0)</f>
        <v>0</v>
      </c>
      <c r="H4355" s="6">
        <v>2.96</v>
      </c>
      <c r="I4355" s="6">
        <f t="shared" ca="1" si="0"/>
        <v>2.96</v>
      </c>
      <c r="J4355" s="6">
        <f ca="1">IFERROR(__xludf.DUMMYFUNCTION("IFERROR(GOOGLEFINANCE(B4355, ""volume""), 0)"),0)</f>
        <v>0</v>
      </c>
      <c r="K4355" s="6">
        <v>1.37</v>
      </c>
      <c r="L4355" s="6">
        <f ca="1">IFERROR(__xludf.DUMMYFUNCTION("IFERROR(GOOGLEFINANCE(B4355,""changepct""),K4355)"),1.37)</f>
        <v>1.37</v>
      </c>
      <c r="M4355" s="6">
        <f ca="1">IFERROR(__xludf.DUMMYFUNCTION("IFERROR(GOOGLEFINANCE(B4355,""change""),0)"),0)</f>
        <v>0</v>
      </c>
      <c r="N4355" s="6">
        <v>1</v>
      </c>
      <c r="O4355" s="7">
        <v>45536</v>
      </c>
      <c r="P4355" s="6">
        <v>9.9499999999999993</v>
      </c>
      <c r="Q4355" s="6">
        <v>18.29</v>
      </c>
      <c r="R4355" s="7">
        <v>45536</v>
      </c>
      <c r="S4355" s="6">
        <v>5</v>
      </c>
      <c r="T4355" s="6">
        <v>-5.73</v>
      </c>
      <c r="U4355" s="7">
        <v>45536</v>
      </c>
      <c r="V4355" s="6">
        <v>0</v>
      </c>
      <c r="W4355" s="6">
        <f ca="1">IFERROR(__xludf.DUMMYFUNCTION("IFERROR(GOOGLEFINANCE(B4355,""pe""),V4355)"),0)</f>
        <v>0</v>
      </c>
      <c r="X4355" s="9"/>
      <c r="Y4355" s="6">
        <v>0.79</v>
      </c>
      <c r="Z4355" s="6">
        <v>1</v>
      </c>
      <c r="AA4355" s="8">
        <v>45352</v>
      </c>
      <c r="AB4355" s="4">
        <v>0.8</v>
      </c>
      <c r="AC4355" s="6">
        <v>-34.29</v>
      </c>
      <c r="AD4355" s="6">
        <v>-14.86</v>
      </c>
      <c r="AE4355" s="1">
        <v>0</v>
      </c>
      <c r="AF4355" s="1">
        <f ca="1">IFERROR(__xludf.DUMMYFUNCTION("IFERROR(GOOGLEFINANCE(TRIM(F4355)&amp;"":"" &amp; TRIM(B4355),""high52""),AE4355)"),0)</f>
        <v>0</v>
      </c>
      <c r="AG4355" s="1">
        <v>0</v>
      </c>
      <c r="AH4355" s="1">
        <f ca="1">IFERROR(__xludf.DUMMYFUNCTION("IFERROR(GOOGLEFINANCE(TRIM(F4355)&amp;"":"" &amp; TRIM(B4355),""low52""),AE4355)"),0)</f>
        <v>0</v>
      </c>
      <c r="AI4355" s="1">
        <f ca="1">IFERROR(__xludf.DUMMYFUNCTION("IFERROR(GOOGLEFINANCE(B4355,""eps""),0)"),0)</f>
        <v>0</v>
      </c>
      <c r="AJ4355" s="1"/>
      <c r="AK4355" s="1" t="s">
        <v>13193</v>
      </c>
      <c r="AL4355" s="9">
        <f t="shared" si="391"/>
        <v>1</v>
      </c>
    </row>
    <row r="4356" spans="1:38" ht="15" x14ac:dyDescent="0.25">
      <c r="A4356" s="1" t="s">
        <v>13194</v>
      </c>
      <c r="B4356" s="1" t="s">
        <v>13195</v>
      </c>
      <c r="C4356" s="1" t="s">
        <v>227</v>
      </c>
      <c r="D4356" s="1" t="s">
        <v>227</v>
      </c>
      <c r="E4356" s="6">
        <v>8.6999999999999993</v>
      </c>
      <c r="F4356" s="1" t="s">
        <v>53</v>
      </c>
      <c r="G4356" s="6">
        <f ca="1">IFERROR(__xludf.DUMMYFUNCTION("iferror(GOOGLEFINANCE(TRIM(F4356)&amp;"":"" &amp; TRIM(B4356), ""price""),0
)"),0)</f>
        <v>0</v>
      </c>
      <c r="H4356" s="6">
        <v>5.99</v>
      </c>
      <c r="I4356" s="6">
        <f t="shared" ca="1" si="0"/>
        <v>5.99</v>
      </c>
      <c r="J4356" s="6">
        <f ca="1">IFERROR(__xludf.DUMMYFUNCTION("IFERROR(GOOGLEFINANCE(B4356, ""volume""), 0)"),0)</f>
        <v>0</v>
      </c>
      <c r="K4356" s="6">
        <v>-0.17</v>
      </c>
      <c r="L4356" s="6">
        <f ca="1">IFERROR(__xludf.DUMMYFUNCTION("IFERROR(GOOGLEFINANCE(B4356,""changepct""),K4356)"),-0.17)</f>
        <v>-0.17</v>
      </c>
      <c r="M4356" s="6">
        <f ca="1">IFERROR(__xludf.DUMMYFUNCTION("IFERROR(GOOGLEFINANCE(B4356,""change""),0)"),0)</f>
        <v>0</v>
      </c>
      <c r="N4356" s="6">
        <v>1</v>
      </c>
      <c r="O4356" s="7">
        <v>45536</v>
      </c>
      <c r="P4356" s="9"/>
      <c r="Q4356" s="6">
        <v>8.6999999999999993</v>
      </c>
      <c r="R4356" s="7">
        <v>45536</v>
      </c>
      <c r="S4356" s="6">
        <v>4.01</v>
      </c>
      <c r="T4356" s="6">
        <v>-1.05</v>
      </c>
      <c r="U4356" s="7">
        <v>45536</v>
      </c>
      <c r="V4356" s="6">
        <v>0</v>
      </c>
      <c r="W4356" s="6">
        <f ca="1">IFERROR(__xludf.DUMMYFUNCTION("IFERROR(GOOGLEFINANCE(B4356,""pe""),V4356)"),0)</f>
        <v>0</v>
      </c>
      <c r="X4356" s="9"/>
      <c r="Y4356" s="6">
        <v>0.76</v>
      </c>
      <c r="Z4356" s="6">
        <v>1</v>
      </c>
      <c r="AA4356" s="8">
        <v>45352</v>
      </c>
      <c r="AB4356" s="4">
        <v>0</v>
      </c>
      <c r="AC4356" s="6">
        <v>-13.6</v>
      </c>
      <c r="AD4356" s="6">
        <v>-11.91</v>
      </c>
      <c r="AE4356" s="1">
        <v>0</v>
      </c>
      <c r="AF4356" s="1">
        <f ca="1">IFERROR(__xludf.DUMMYFUNCTION("IFERROR(GOOGLEFINANCE(TRIM(F4356)&amp;"":"" &amp; TRIM(B4356),""high52""),AE4356)"),0)</f>
        <v>0</v>
      </c>
      <c r="AG4356" s="1">
        <v>0</v>
      </c>
      <c r="AH4356" s="1">
        <f ca="1">IFERROR(__xludf.DUMMYFUNCTION("IFERROR(GOOGLEFINANCE(TRIM(F4356)&amp;"":"" &amp; TRIM(B4356),""low52""),AE4356)"),0)</f>
        <v>0</v>
      </c>
      <c r="AI4356" s="1">
        <f ca="1">IFERROR(__xludf.DUMMYFUNCTION("IFERROR(GOOGLEFINANCE(B4356,""eps""),0)"),0)</f>
        <v>0</v>
      </c>
      <c r="AJ4356" s="1"/>
      <c r="AK4356" s="1" t="s">
        <v>13196</v>
      </c>
      <c r="AL4356" s="9">
        <f t="shared" si="391"/>
        <v>1</v>
      </c>
    </row>
    <row r="4357" spans="1:38" ht="15" x14ac:dyDescent="0.25">
      <c r="A4357" s="1" t="s">
        <v>13197</v>
      </c>
      <c r="B4357" s="1" t="s">
        <v>13198</v>
      </c>
      <c r="C4357" s="1" t="s">
        <v>1656</v>
      </c>
      <c r="D4357" s="1" t="s">
        <v>1656</v>
      </c>
      <c r="E4357" s="6">
        <v>1997.18</v>
      </c>
      <c r="F4357" s="1" t="s">
        <v>40</v>
      </c>
      <c r="G4357" s="6">
        <f ca="1">IFERROR(__xludf.DUMMYFUNCTION("iferror(GOOGLEFINANCE(TRIM(F4357)&amp;"":"" &amp; TRIM(B4357), ""price""),0
)"),14.1)</f>
        <v>14.1</v>
      </c>
      <c r="H4357" s="6">
        <v>189.8</v>
      </c>
      <c r="I4357" s="6">
        <f t="shared" ca="1" si="0"/>
        <v>14.1</v>
      </c>
      <c r="J4357" s="6">
        <f ca="1">IFERROR(__xludf.DUMMYFUNCTION("IFERROR(GOOGLEFINANCE(B4357, ""volume""), 0)"),690452)</f>
        <v>690452</v>
      </c>
      <c r="K4357" s="6">
        <v>0.56000000000000005</v>
      </c>
      <c r="L4357" s="6">
        <f ca="1">IFERROR(__xludf.DUMMYFUNCTION("IFERROR(GOOGLEFINANCE(B4357,""changepct""),K4357)"),-3.75)</f>
        <v>-3.75</v>
      </c>
      <c r="M4357" s="6">
        <f ca="1">IFERROR(__xludf.DUMMYFUNCTION("IFERROR(GOOGLEFINANCE(B4357,""change""),0)"),-0.55)</f>
        <v>-0.55000000000000004</v>
      </c>
      <c r="N4357" s="6">
        <v>1</v>
      </c>
      <c r="O4357" s="7">
        <v>45536</v>
      </c>
      <c r="P4357" s="6">
        <v>51.09</v>
      </c>
      <c r="Q4357" s="6">
        <v>2047.24</v>
      </c>
      <c r="R4357" s="7">
        <v>45536</v>
      </c>
      <c r="S4357" s="6">
        <v>10.5</v>
      </c>
      <c r="T4357" s="6">
        <v>-163.08000000000001</v>
      </c>
      <c r="U4357" s="7">
        <v>45536</v>
      </c>
      <c r="V4357" s="6">
        <v>0</v>
      </c>
      <c r="W4357" s="6">
        <f ca="1">IFERROR(__xludf.DUMMYFUNCTION("IFERROR(GOOGLEFINANCE(B4357,""pe""),V4357)"),0)</f>
        <v>0</v>
      </c>
      <c r="X4357" s="9"/>
      <c r="Y4357" s="6">
        <v>0.82</v>
      </c>
      <c r="Z4357" s="6">
        <v>1</v>
      </c>
      <c r="AA4357" s="8">
        <v>45352</v>
      </c>
      <c r="AB4357" s="4">
        <v>0.02</v>
      </c>
      <c r="AC4357" s="6">
        <v>-6.71</v>
      </c>
      <c r="AD4357" s="6">
        <v>-6.57</v>
      </c>
      <c r="AE4357" s="1">
        <v>0</v>
      </c>
      <c r="AF4357" s="1">
        <f ca="1">IFERROR(__xludf.DUMMYFUNCTION("IFERROR(GOOGLEFINANCE(TRIM(F4357)&amp;"":"" &amp; TRIM(B4357),""high52""),AE4357)"),134.24)</f>
        <v>134.24</v>
      </c>
      <c r="AG4357" s="1">
        <v>0</v>
      </c>
      <c r="AH4357" s="1">
        <f ca="1">IFERROR(__xludf.DUMMYFUNCTION("IFERROR(GOOGLEFINANCE(TRIM(F4357)&amp;"":"" &amp; TRIM(B4357),""low52""),AE4357)"),13.38)</f>
        <v>13.38</v>
      </c>
      <c r="AI4357" s="1">
        <f ca="1">IFERROR(__xludf.DUMMYFUNCTION("IFERROR(GOOGLEFINANCE(B4357,""eps""),0)"),-244.59)</f>
        <v>-244.59</v>
      </c>
      <c r="AJ4357" s="1"/>
      <c r="AK4357" s="1" t="s">
        <v>13199</v>
      </c>
      <c r="AL4357" s="9">
        <f t="shared" si="391"/>
        <v>1</v>
      </c>
    </row>
    <row r="4358" spans="1:38" ht="15" x14ac:dyDescent="0.25">
      <c r="A4358" s="1" t="s">
        <v>13200</v>
      </c>
      <c r="B4358" s="1" t="s">
        <v>13201</v>
      </c>
      <c r="C4358" s="1" t="s">
        <v>86</v>
      </c>
      <c r="D4358" s="1" t="s">
        <v>86</v>
      </c>
      <c r="E4358" s="6">
        <v>86.5</v>
      </c>
      <c r="F4358" s="1" t="s">
        <v>40</v>
      </c>
      <c r="G4358" s="6">
        <f ca="1">IFERROR(__xludf.DUMMYFUNCTION("iferror(GOOGLEFINANCE(TRIM(F4358)&amp;"":"" &amp; TRIM(B4358), ""price""),0
)"),0)</f>
        <v>0</v>
      </c>
      <c r="H4358" s="6">
        <v>56.15</v>
      </c>
      <c r="I4358" s="6">
        <f t="shared" ca="1" si="0"/>
        <v>56.15</v>
      </c>
      <c r="J4358" s="6">
        <f ca="1">IFERROR(__xludf.DUMMYFUNCTION("IFERROR(GOOGLEFINANCE(B4358, ""volume""), 0)"),0)</f>
        <v>0</v>
      </c>
      <c r="K4358" s="6">
        <v>2</v>
      </c>
      <c r="L4358" s="6">
        <f ca="1">IFERROR(__xludf.DUMMYFUNCTION("IFERROR(GOOGLEFINANCE(B4358,""changepct""),K4358)"),2)</f>
        <v>2</v>
      </c>
      <c r="M4358" s="6">
        <f ca="1">IFERROR(__xludf.DUMMYFUNCTION("IFERROR(GOOGLEFINANCE(B4358,""change""),0)"),0)</f>
        <v>0</v>
      </c>
      <c r="N4358" s="6">
        <v>1</v>
      </c>
      <c r="O4358" s="7">
        <v>45536</v>
      </c>
      <c r="P4358" s="6">
        <v>14.26</v>
      </c>
      <c r="Q4358" s="6">
        <v>100.76</v>
      </c>
      <c r="R4358" s="14"/>
      <c r="S4358" s="9"/>
      <c r="T4358" s="9"/>
      <c r="U4358" s="7">
        <v>45352</v>
      </c>
      <c r="V4358" s="6">
        <v>14.09</v>
      </c>
      <c r="W4358" s="6">
        <f ca="1">IFERROR(__xludf.DUMMYFUNCTION("IFERROR(GOOGLEFINANCE(B4358,""pe""),V4358)"),14.09)</f>
        <v>14.09</v>
      </c>
      <c r="X4358" s="9"/>
      <c r="Y4358" s="6">
        <v>2.48</v>
      </c>
      <c r="Z4358" s="6">
        <v>1</v>
      </c>
      <c r="AA4358" s="8">
        <v>45352</v>
      </c>
      <c r="AB4358" s="4">
        <v>1.01</v>
      </c>
      <c r="AC4358" s="6">
        <v>46.2</v>
      </c>
      <c r="AD4358" s="6">
        <v>39.47</v>
      </c>
      <c r="AE4358" s="1">
        <v>0</v>
      </c>
      <c r="AF4358" s="1">
        <f ca="1">IFERROR(__xludf.DUMMYFUNCTION("IFERROR(GOOGLEFINANCE(TRIM(F4358)&amp;"":"" &amp; TRIM(B4358),""high52""),AE4358)"),0)</f>
        <v>0</v>
      </c>
      <c r="AG4358" s="1">
        <v>0</v>
      </c>
      <c r="AH4358" s="1">
        <f ca="1">IFERROR(__xludf.DUMMYFUNCTION("IFERROR(GOOGLEFINANCE(TRIM(F4358)&amp;"":"" &amp; TRIM(B4358),""low52""),AE4358)"),0)</f>
        <v>0</v>
      </c>
      <c r="AI4358" s="1">
        <f ca="1">IFERROR(__xludf.DUMMYFUNCTION("IFERROR(GOOGLEFINANCE(B4358,""eps""),0)"),0)</f>
        <v>0</v>
      </c>
      <c r="AJ4358" s="1"/>
      <c r="AK4358" s="1" t="s">
        <v>13202</v>
      </c>
      <c r="AL4358" s="9">
        <f t="shared" si="391"/>
        <v>1</v>
      </c>
    </row>
    <row r="4359" spans="1:38" ht="15" x14ac:dyDescent="0.25">
      <c r="A4359" s="1" t="s">
        <v>13203</v>
      </c>
      <c r="B4359" s="1" t="s">
        <v>13204</v>
      </c>
      <c r="C4359" s="1" t="s">
        <v>227</v>
      </c>
      <c r="D4359" s="1" t="s">
        <v>227</v>
      </c>
      <c r="E4359" s="6">
        <v>30.78</v>
      </c>
      <c r="F4359" s="1" t="s">
        <v>53</v>
      </c>
      <c r="G4359" s="6">
        <f ca="1">IFERROR(__xludf.DUMMYFUNCTION("iferror(GOOGLEFINANCE(TRIM(F4359)&amp;"":"" &amp; TRIM(B4359), ""price""),0
)"),0)</f>
        <v>0</v>
      </c>
      <c r="H4359" s="6">
        <v>9.02</v>
      </c>
      <c r="I4359" s="6">
        <f t="shared" ca="1" si="0"/>
        <v>9.02</v>
      </c>
      <c r="J4359" s="6">
        <f ca="1">IFERROR(__xludf.DUMMYFUNCTION("IFERROR(GOOGLEFINANCE(B4359, ""volume""), 0)"),0)</f>
        <v>0</v>
      </c>
      <c r="K4359" s="6">
        <v>-1.96</v>
      </c>
      <c r="L4359" s="6">
        <f ca="1">IFERROR(__xludf.DUMMYFUNCTION("IFERROR(GOOGLEFINANCE(B4359,""changepct""),K4359)"),-1.96)</f>
        <v>-1.96</v>
      </c>
      <c r="M4359" s="6">
        <f ca="1">IFERROR(__xludf.DUMMYFUNCTION("IFERROR(GOOGLEFINANCE(B4359,""change""),0)"),0)</f>
        <v>0</v>
      </c>
      <c r="N4359" s="6">
        <v>1</v>
      </c>
      <c r="O4359" s="7">
        <v>45536</v>
      </c>
      <c r="P4359" s="9"/>
      <c r="Q4359" s="6">
        <v>30.49</v>
      </c>
      <c r="R4359" s="7">
        <v>45536</v>
      </c>
      <c r="S4359" s="6">
        <v>734.86</v>
      </c>
      <c r="T4359" s="6">
        <v>3.71</v>
      </c>
      <c r="U4359" s="7">
        <v>45536</v>
      </c>
      <c r="V4359" s="6">
        <v>8.3000000000000007</v>
      </c>
      <c r="W4359" s="6">
        <f ca="1">IFERROR(__xludf.DUMMYFUNCTION("IFERROR(GOOGLEFINANCE(B4359,""pe""),V4359)"),8.3)</f>
        <v>8.3000000000000007</v>
      </c>
      <c r="X4359" s="6">
        <v>-0.28999999999999998</v>
      </c>
      <c r="Y4359" s="6">
        <v>0.73</v>
      </c>
      <c r="Z4359" s="6">
        <v>1</v>
      </c>
      <c r="AA4359" s="8">
        <v>45352</v>
      </c>
      <c r="AB4359" s="4">
        <v>0</v>
      </c>
      <c r="AC4359" s="6">
        <v>1.69</v>
      </c>
      <c r="AD4359" s="6">
        <v>2.5499999999999998</v>
      </c>
      <c r="AE4359" s="1">
        <v>0</v>
      </c>
      <c r="AF4359" s="1">
        <f ca="1">IFERROR(__xludf.DUMMYFUNCTION("IFERROR(GOOGLEFINANCE(TRIM(F4359)&amp;"":"" &amp; TRIM(B4359),""high52""),AE4359)"),0)</f>
        <v>0</v>
      </c>
      <c r="AG4359" s="1">
        <v>0</v>
      </c>
      <c r="AH4359" s="1">
        <f ca="1">IFERROR(__xludf.DUMMYFUNCTION("IFERROR(GOOGLEFINANCE(TRIM(F4359)&amp;"":"" &amp; TRIM(B4359),""low52""),AE4359)"),0)</f>
        <v>0</v>
      </c>
      <c r="AI4359" s="1">
        <f ca="1">IFERROR(__xludf.DUMMYFUNCTION("IFERROR(GOOGLEFINANCE(B4359,""eps""),0)"),0)</f>
        <v>0</v>
      </c>
      <c r="AJ4359" s="1"/>
      <c r="AK4359" s="1" t="s">
        <v>13205</v>
      </c>
      <c r="AL4359" s="9">
        <f t="shared" si="391"/>
        <v>1</v>
      </c>
    </row>
    <row r="4360" spans="1:38" ht="15" x14ac:dyDescent="0.25">
      <c r="A4360" s="1" t="s">
        <v>13206</v>
      </c>
      <c r="B4360" s="1" t="s">
        <v>13207</v>
      </c>
      <c r="C4360" s="1" t="s">
        <v>227</v>
      </c>
      <c r="D4360" s="1" t="s">
        <v>227</v>
      </c>
      <c r="E4360" s="6">
        <v>201.6</v>
      </c>
      <c r="F4360" s="1" t="s">
        <v>53</v>
      </c>
      <c r="G4360" s="6">
        <f ca="1">IFERROR(__xludf.DUMMYFUNCTION("iferror(GOOGLEFINANCE(TRIM(F4360)&amp;"":"" &amp; TRIM(B4360), ""price""),0
)"),0)</f>
        <v>0</v>
      </c>
      <c r="H4360" s="6">
        <v>5.0599999999999996</v>
      </c>
      <c r="I4360" s="6">
        <f t="shared" ca="1" si="0"/>
        <v>5.0599999999999996</v>
      </c>
      <c r="J4360" s="6">
        <f ca="1">IFERROR(__xludf.DUMMYFUNCTION("IFERROR(GOOGLEFINANCE(B4360, ""volume""), 0)"),0)</f>
        <v>0</v>
      </c>
      <c r="K4360" s="6">
        <v>1.2</v>
      </c>
      <c r="L4360" s="6">
        <f ca="1">IFERROR(__xludf.DUMMYFUNCTION("IFERROR(GOOGLEFINANCE(B4360,""changepct""),K4360)"),1.2)</f>
        <v>1.2</v>
      </c>
      <c r="M4360" s="6">
        <f ca="1">IFERROR(__xludf.DUMMYFUNCTION("IFERROR(GOOGLEFINANCE(B4360,""change""),0)"),0)</f>
        <v>0</v>
      </c>
      <c r="N4360" s="6">
        <v>1</v>
      </c>
      <c r="O4360" s="7">
        <v>45536</v>
      </c>
      <c r="P4360" s="6">
        <v>181.46</v>
      </c>
      <c r="Q4360" s="6">
        <v>377.95</v>
      </c>
      <c r="R4360" s="7">
        <v>45536</v>
      </c>
      <c r="S4360" s="6">
        <v>3345.45</v>
      </c>
      <c r="T4360" s="6">
        <v>18.47</v>
      </c>
      <c r="U4360" s="7">
        <v>45536</v>
      </c>
      <c r="V4360" s="6">
        <v>10.92</v>
      </c>
      <c r="W4360" s="6">
        <f ca="1">IFERROR(__xludf.DUMMYFUNCTION("IFERROR(GOOGLEFINANCE(B4360,""pe""),V4360)"),10.92)</f>
        <v>10.92</v>
      </c>
      <c r="X4360" s="6">
        <v>0.03</v>
      </c>
      <c r="Y4360" s="6">
        <v>4.3899999999999997</v>
      </c>
      <c r="Z4360" s="6">
        <v>1</v>
      </c>
      <c r="AA4360" s="8">
        <v>45352</v>
      </c>
      <c r="AB4360" s="4">
        <v>1.34</v>
      </c>
      <c r="AC4360" s="6">
        <v>122.76</v>
      </c>
      <c r="AD4360" s="6">
        <v>99.51</v>
      </c>
      <c r="AE4360" s="1">
        <v>0</v>
      </c>
      <c r="AF4360" s="1">
        <f ca="1">IFERROR(__xludf.DUMMYFUNCTION("IFERROR(GOOGLEFINANCE(TRIM(F4360)&amp;"":"" &amp; TRIM(B4360),""high52""),AE4360)"),0)</f>
        <v>0</v>
      </c>
      <c r="AG4360" s="1">
        <v>0</v>
      </c>
      <c r="AH4360" s="1">
        <f ca="1">IFERROR(__xludf.DUMMYFUNCTION("IFERROR(GOOGLEFINANCE(TRIM(F4360)&amp;"":"" &amp; TRIM(B4360),""low52""),AE4360)"),0)</f>
        <v>0</v>
      </c>
      <c r="AI4360" s="1">
        <f ca="1">IFERROR(__xludf.DUMMYFUNCTION("IFERROR(GOOGLEFINANCE(B4360,""eps""),0)"),0)</f>
        <v>0</v>
      </c>
      <c r="AJ4360" s="1"/>
      <c r="AK4360" s="1" t="s">
        <v>13208</v>
      </c>
      <c r="AL4360" s="9">
        <f t="shared" si="391"/>
        <v>1</v>
      </c>
    </row>
    <row r="4361" spans="1:38" ht="15" x14ac:dyDescent="0.25">
      <c r="A4361" s="1" t="s">
        <v>13209</v>
      </c>
      <c r="B4361" s="1" t="s">
        <v>13210</v>
      </c>
      <c r="C4361" s="1" t="s">
        <v>227</v>
      </c>
      <c r="D4361" s="1" t="s">
        <v>227</v>
      </c>
      <c r="E4361" s="6">
        <v>463.94</v>
      </c>
      <c r="F4361" s="1" t="s">
        <v>53</v>
      </c>
      <c r="G4361" s="6">
        <f ca="1">IFERROR(__xludf.DUMMYFUNCTION("iferror(GOOGLEFINANCE(TRIM(F4361)&amp;"":"" &amp; TRIM(B4361), ""price""),0
)"),0)</f>
        <v>0</v>
      </c>
      <c r="H4361" s="6">
        <v>654.4</v>
      </c>
      <c r="I4361" s="6">
        <f t="shared" ca="1" si="0"/>
        <v>654.4</v>
      </c>
      <c r="J4361" s="6">
        <f ca="1">IFERROR(__xludf.DUMMYFUNCTION("IFERROR(GOOGLEFINANCE(B4361, ""volume""), 0)"),0)</f>
        <v>0</v>
      </c>
      <c r="K4361" s="6">
        <v>0.56999999999999995</v>
      </c>
      <c r="L4361" s="6">
        <f ca="1">IFERROR(__xludf.DUMMYFUNCTION("IFERROR(GOOGLEFINANCE(B4361,""changepct""),K4361)"),0.57)</f>
        <v>0.56999999999999995</v>
      </c>
      <c r="M4361" s="6">
        <f ca="1">IFERROR(__xludf.DUMMYFUNCTION("IFERROR(GOOGLEFINANCE(B4361,""change""),0)"),0)</f>
        <v>0</v>
      </c>
      <c r="N4361" s="6">
        <v>2</v>
      </c>
      <c r="O4361" s="7">
        <v>45536</v>
      </c>
      <c r="P4361" s="6">
        <v>106.85</v>
      </c>
      <c r="Q4361" s="6">
        <v>570.45000000000005</v>
      </c>
      <c r="R4361" s="7">
        <v>45536</v>
      </c>
      <c r="S4361" s="6">
        <v>249.38</v>
      </c>
      <c r="T4361" s="6">
        <v>79.31</v>
      </c>
      <c r="U4361" s="7">
        <v>45536</v>
      </c>
      <c r="V4361" s="6">
        <v>6.9</v>
      </c>
      <c r="W4361" s="6">
        <f ca="1">IFERROR(__xludf.DUMMYFUNCTION("IFERROR(GOOGLEFINANCE(B4361,""pe""),V4361)"),6.9)</f>
        <v>6.9</v>
      </c>
      <c r="X4361" s="6">
        <v>-8.1199999999999992</v>
      </c>
      <c r="Y4361" s="6">
        <v>0.28999999999999998</v>
      </c>
      <c r="Z4361" s="6">
        <v>2</v>
      </c>
      <c r="AA4361" s="8">
        <v>45352</v>
      </c>
      <c r="AB4361" s="4">
        <v>0.05</v>
      </c>
      <c r="AC4361" s="6">
        <v>3.85</v>
      </c>
      <c r="AD4361" s="6">
        <v>4.71</v>
      </c>
      <c r="AE4361" s="1">
        <v>0</v>
      </c>
      <c r="AF4361" s="1">
        <f ca="1">IFERROR(__xludf.DUMMYFUNCTION("IFERROR(GOOGLEFINANCE(TRIM(F4361)&amp;"":"" &amp; TRIM(B4361),""high52""),AE4361)"),0)</f>
        <v>0</v>
      </c>
      <c r="AG4361" s="1">
        <v>0</v>
      </c>
      <c r="AH4361" s="1">
        <f ca="1">IFERROR(__xludf.DUMMYFUNCTION("IFERROR(GOOGLEFINANCE(TRIM(F4361)&amp;"":"" &amp; TRIM(B4361),""low52""),AE4361)"),0)</f>
        <v>0</v>
      </c>
      <c r="AI4361" s="1">
        <f ca="1">IFERROR(__xludf.DUMMYFUNCTION("IFERROR(GOOGLEFINANCE(B4361,""eps""),0)"),0)</f>
        <v>0</v>
      </c>
      <c r="AJ4361" s="1"/>
      <c r="AK4361" s="1" t="s">
        <v>13211</v>
      </c>
      <c r="AL4361" s="9">
        <f t="shared" si="391"/>
        <v>1</v>
      </c>
    </row>
    <row r="4362" spans="1:38" ht="15" x14ac:dyDescent="0.25">
      <c r="A4362" s="1" t="s">
        <v>13212</v>
      </c>
      <c r="B4362" s="1" t="s">
        <v>13213</v>
      </c>
      <c r="C4362" s="1" t="s">
        <v>227</v>
      </c>
      <c r="D4362" s="1" t="s">
        <v>227</v>
      </c>
      <c r="E4362" s="6">
        <v>17.07</v>
      </c>
      <c r="F4362" s="1" t="s">
        <v>53</v>
      </c>
      <c r="G4362" s="6">
        <f ca="1">IFERROR(__xludf.DUMMYFUNCTION("iferror(GOOGLEFINANCE(TRIM(F4362)&amp;"":"" &amp; TRIM(B4362), ""price""),0
)"),0)</f>
        <v>0</v>
      </c>
      <c r="H4362" s="6">
        <v>1.0900000000000001</v>
      </c>
      <c r="I4362" s="6">
        <f t="shared" ca="1" si="0"/>
        <v>1.0900000000000001</v>
      </c>
      <c r="J4362" s="6">
        <f ca="1">IFERROR(__xludf.DUMMYFUNCTION("IFERROR(GOOGLEFINANCE(B4362, ""volume""), 0)"),0)</f>
        <v>0</v>
      </c>
      <c r="K4362" s="6">
        <v>1.87</v>
      </c>
      <c r="L4362" s="6">
        <f ca="1">IFERROR(__xludf.DUMMYFUNCTION("IFERROR(GOOGLEFINANCE(B4362,""changepct""),K4362)"),1.87)</f>
        <v>1.87</v>
      </c>
      <c r="M4362" s="6">
        <f ca="1">IFERROR(__xludf.DUMMYFUNCTION("IFERROR(GOOGLEFINANCE(B4362,""change""),0)"),0)</f>
        <v>0</v>
      </c>
      <c r="N4362" s="6">
        <v>1</v>
      </c>
      <c r="O4362" s="7">
        <v>45536</v>
      </c>
      <c r="P4362" s="6">
        <v>1.79</v>
      </c>
      <c r="Q4362" s="6">
        <v>18.86</v>
      </c>
      <c r="R4362" s="7">
        <v>45536</v>
      </c>
      <c r="S4362" s="6">
        <v>0</v>
      </c>
      <c r="T4362" s="6">
        <v>-0.41</v>
      </c>
      <c r="U4362" s="7">
        <v>45536</v>
      </c>
      <c r="V4362" s="6">
        <v>0</v>
      </c>
      <c r="W4362" s="6">
        <f ca="1">IFERROR(__xludf.DUMMYFUNCTION("IFERROR(GOOGLEFINANCE(B4362,""pe""),V4362)"),0)</f>
        <v>0</v>
      </c>
      <c r="X4362" s="9"/>
      <c r="Y4362" s="6">
        <v>3.32</v>
      </c>
      <c r="Z4362" s="6">
        <v>1</v>
      </c>
      <c r="AA4362" s="8">
        <v>45352</v>
      </c>
      <c r="AB4362" s="4">
        <v>0.28999999999999998</v>
      </c>
      <c r="AC4362" s="6">
        <v>-115.94</v>
      </c>
      <c r="AD4362" s="6">
        <v>-104.19</v>
      </c>
      <c r="AE4362" s="1">
        <v>0</v>
      </c>
      <c r="AF4362" s="1">
        <f ca="1">IFERROR(__xludf.DUMMYFUNCTION("IFERROR(GOOGLEFINANCE(TRIM(F4362)&amp;"":"" &amp; TRIM(B4362),""high52""),AE4362)"),0)</f>
        <v>0</v>
      </c>
      <c r="AG4362" s="1">
        <v>0</v>
      </c>
      <c r="AH4362" s="1">
        <f ca="1">IFERROR(__xludf.DUMMYFUNCTION("IFERROR(GOOGLEFINANCE(TRIM(F4362)&amp;"":"" &amp; TRIM(B4362),""low52""),AE4362)"),0)</f>
        <v>0</v>
      </c>
      <c r="AI4362" s="1">
        <f ca="1">IFERROR(__xludf.DUMMYFUNCTION("IFERROR(GOOGLEFINANCE(B4362,""eps""),0)"),0)</f>
        <v>0</v>
      </c>
      <c r="AJ4362" s="1"/>
      <c r="AK4362" s="1" t="s">
        <v>13214</v>
      </c>
      <c r="AL4362" s="9">
        <f t="shared" si="391"/>
        <v>1</v>
      </c>
    </row>
    <row r="4363" spans="1:38" ht="15" x14ac:dyDescent="0.25">
      <c r="A4363" s="1" t="s">
        <v>13215</v>
      </c>
      <c r="B4363" s="1" t="s">
        <v>13216</v>
      </c>
      <c r="C4363" s="1" t="s">
        <v>227</v>
      </c>
      <c r="D4363" s="1" t="s">
        <v>227</v>
      </c>
      <c r="E4363" s="6">
        <v>209.48</v>
      </c>
      <c r="F4363" s="1" t="s">
        <v>53</v>
      </c>
      <c r="G4363" s="6">
        <f ca="1">IFERROR(__xludf.DUMMYFUNCTION("iferror(GOOGLEFINANCE(TRIM(F4363)&amp;"":"" &amp; TRIM(B4363), ""price""),0
)"),0)</f>
        <v>0</v>
      </c>
      <c r="H4363" s="6">
        <v>224.9</v>
      </c>
      <c r="I4363" s="6">
        <f t="shared" ca="1" si="0"/>
        <v>224.9</v>
      </c>
      <c r="J4363" s="6">
        <f ca="1">IFERROR(__xludf.DUMMYFUNCTION("IFERROR(GOOGLEFINANCE(B4363, ""volume""), 0)"),0)</f>
        <v>0</v>
      </c>
      <c r="K4363" s="6">
        <v>-1.62</v>
      </c>
      <c r="L4363" s="6">
        <f ca="1">IFERROR(__xludf.DUMMYFUNCTION("IFERROR(GOOGLEFINANCE(B4363,""changepct""),K4363)"),-1.62)</f>
        <v>-1.62</v>
      </c>
      <c r="M4363" s="6">
        <f ca="1">IFERROR(__xludf.DUMMYFUNCTION("IFERROR(GOOGLEFINANCE(B4363,""change""),0)"),0)</f>
        <v>0</v>
      </c>
      <c r="N4363" s="6">
        <v>1</v>
      </c>
      <c r="O4363" s="7">
        <v>45536</v>
      </c>
      <c r="P4363" s="9"/>
      <c r="Q4363" s="6">
        <v>206.2</v>
      </c>
      <c r="R4363" s="7">
        <v>45536</v>
      </c>
      <c r="S4363" s="6">
        <v>78.349999999999994</v>
      </c>
      <c r="T4363" s="6">
        <v>28.46</v>
      </c>
      <c r="U4363" s="7">
        <v>45536</v>
      </c>
      <c r="V4363" s="6">
        <v>7.36</v>
      </c>
      <c r="W4363" s="6">
        <f ca="1">IFERROR(__xludf.DUMMYFUNCTION("IFERROR(GOOGLEFINANCE(B4363,""pe""),V4363)"),7.36)</f>
        <v>7.36</v>
      </c>
      <c r="X4363" s="6">
        <v>0.27</v>
      </c>
      <c r="Y4363" s="6">
        <v>1.53</v>
      </c>
      <c r="Z4363" s="6">
        <v>1</v>
      </c>
      <c r="AA4363" s="8">
        <v>45352</v>
      </c>
      <c r="AB4363" s="4">
        <v>0</v>
      </c>
      <c r="AC4363" s="6">
        <v>21.63</v>
      </c>
      <c r="AD4363" s="6">
        <v>25.19</v>
      </c>
      <c r="AE4363" s="1">
        <v>0</v>
      </c>
      <c r="AF4363" s="1">
        <f ca="1">IFERROR(__xludf.DUMMYFUNCTION("IFERROR(GOOGLEFINANCE(TRIM(F4363)&amp;"":"" &amp; TRIM(B4363),""high52""),AE4363)"),0)</f>
        <v>0</v>
      </c>
      <c r="AG4363" s="1">
        <v>0</v>
      </c>
      <c r="AH4363" s="1">
        <f ca="1">IFERROR(__xludf.DUMMYFUNCTION("IFERROR(GOOGLEFINANCE(TRIM(F4363)&amp;"":"" &amp; TRIM(B4363),""low52""),AE4363)"),0)</f>
        <v>0</v>
      </c>
      <c r="AI4363" s="1">
        <f ca="1">IFERROR(__xludf.DUMMYFUNCTION("IFERROR(GOOGLEFINANCE(B4363,""eps""),0)"),0)</f>
        <v>0</v>
      </c>
      <c r="AJ4363" s="1"/>
      <c r="AK4363" s="1" t="s">
        <v>13217</v>
      </c>
      <c r="AL4363" s="9">
        <f t="shared" si="391"/>
        <v>1</v>
      </c>
    </row>
    <row r="4364" spans="1:38" ht="15" x14ac:dyDescent="0.25">
      <c r="A4364" s="1" t="s">
        <v>13218</v>
      </c>
      <c r="B4364" s="1" t="s">
        <v>13219</v>
      </c>
      <c r="C4364" s="1" t="s">
        <v>227</v>
      </c>
      <c r="D4364" s="1" t="s">
        <v>227</v>
      </c>
      <c r="E4364" s="6">
        <v>15.74</v>
      </c>
      <c r="F4364" s="1" t="s">
        <v>53</v>
      </c>
      <c r="G4364" s="6">
        <f ca="1">IFERROR(__xludf.DUMMYFUNCTION("iferror(GOOGLEFINANCE(TRIM(F4364)&amp;"":"" &amp; TRIM(B4364), ""price""),0
)"),0)</f>
        <v>0</v>
      </c>
      <c r="H4364" s="6">
        <v>3.15</v>
      </c>
      <c r="I4364" s="6">
        <f t="shared" ca="1" si="0"/>
        <v>3.15</v>
      </c>
      <c r="J4364" s="6">
        <f ca="1">IFERROR(__xludf.DUMMYFUNCTION("IFERROR(GOOGLEFINANCE(B4364, ""volume""), 0)"),0)</f>
        <v>0</v>
      </c>
      <c r="K4364" s="6">
        <v>0.96</v>
      </c>
      <c r="L4364" s="6">
        <f ca="1">IFERROR(__xludf.DUMMYFUNCTION("IFERROR(GOOGLEFINANCE(B4364,""changepct""),K4364)"),0.96)</f>
        <v>0.96</v>
      </c>
      <c r="M4364" s="6">
        <f ca="1">IFERROR(__xludf.DUMMYFUNCTION("IFERROR(GOOGLEFINANCE(B4364,""change""),0)"),0)</f>
        <v>0</v>
      </c>
      <c r="N4364" s="6">
        <v>1</v>
      </c>
      <c r="O4364" s="7">
        <v>45536</v>
      </c>
      <c r="P4364" s="6">
        <v>7.59</v>
      </c>
      <c r="Q4364" s="6">
        <v>23.33</v>
      </c>
      <c r="R4364" s="7">
        <v>45536</v>
      </c>
      <c r="S4364" s="6">
        <v>79.98</v>
      </c>
      <c r="T4364" s="6">
        <v>-0.27</v>
      </c>
      <c r="U4364" s="7">
        <v>45536</v>
      </c>
      <c r="V4364" s="6">
        <v>0</v>
      </c>
      <c r="W4364" s="6">
        <f ca="1">IFERROR(__xludf.DUMMYFUNCTION("IFERROR(GOOGLEFINANCE(B4364,""pe""),V4364)"),0)</f>
        <v>0</v>
      </c>
      <c r="X4364" s="6">
        <v>0</v>
      </c>
      <c r="Y4364" s="6">
        <v>1.2</v>
      </c>
      <c r="Z4364" s="6">
        <v>1</v>
      </c>
      <c r="AA4364" s="8">
        <v>45352</v>
      </c>
      <c r="AB4364" s="4">
        <v>0.51</v>
      </c>
      <c r="AC4364" s="6">
        <v>7.35</v>
      </c>
      <c r="AD4364" s="6">
        <v>7.22</v>
      </c>
      <c r="AE4364" s="1">
        <v>0</v>
      </c>
      <c r="AF4364" s="1">
        <f ca="1">IFERROR(__xludf.DUMMYFUNCTION("IFERROR(GOOGLEFINANCE(TRIM(F4364)&amp;"":"" &amp; TRIM(B4364),""high52""),AE4364)"),0)</f>
        <v>0</v>
      </c>
      <c r="AG4364" s="1">
        <v>0</v>
      </c>
      <c r="AH4364" s="1">
        <f ca="1">IFERROR(__xludf.DUMMYFUNCTION("IFERROR(GOOGLEFINANCE(TRIM(F4364)&amp;"":"" &amp; TRIM(B4364),""low52""),AE4364)"),0)</f>
        <v>0</v>
      </c>
      <c r="AI4364" s="1">
        <f ca="1">IFERROR(__xludf.DUMMYFUNCTION("IFERROR(GOOGLEFINANCE(B4364,""eps""),0)"),0)</f>
        <v>0</v>
      </c>
      <c r="AJ4364" s="1"/>
      <c r="AK4364" s="1" t="s">
        <v>13220</v>
      </c>
      <c r="AL4364" s="9">
        <f t="shared" si="391"/>
        <v>1</v>
      </c>
    </row>
    <row r="4365" spans="1:38" ht="15" x14ac:dyDescent="0.25">
      <c r="A4365" s="1" t="s">
        <v>13221</v>
      </c>
      <c r="B4365" s="1" t="s">
        <v>13222</v>
      </c>
      <c r="C4365" s="1" t="s">
        <v>43</v>
      </c>
      <c r="D4365" s="1" t="s">
        <v>43</v>
      </c>
      <c r="E4365" s="6">
        <v>1179.82</v>
      </c>
      <c r="F4365" s="1" t="s">
        <v>40</v>
      </c>
      <c r="G4365" s="6">
        <f ca="1">IFERROR(__xludf.DUMMYFUNCTION("iferror(GOOGLEFINANCE(TRIM(F4365)&amp;"":"" &amp; TRIM(B4365), ""price""),0
)"),267.35)</f>
        <v>267.35000000000002</v>
      </c>
      <c r="H4365" s="6">
        <v>349.35</v>
      </c>
      <c r="I4365" s="6">
        <f t="shared" ca="1" si="0"/>
        <v>267.35000000000002</v>
      </c>
      <c r="J4365" s="6">
        <f ca="1">IFERROR(__xludf.DUMMYFUNCTION("IFERROR(GOOGLEFINANCE(B4365, ""volume""), 0)"),16107)</f>
        <v>16107</v>
      </c>
      <c r="K4365" s="6">
        <v>0.66</v>
      </c>
      <c r="L4365" s="6">
        <f ca="1">IFERROR(__xludf.DUMMYFUNCTION("IFERROR(GOOGLEFINANCE(B4365,""changepct""),K4365)"),2.37)</f>
        <v>2.37</v>
      </c>
      <c r="M4365" s="6">
        <f ca="1">IFERROR(__xludf.DUMMYFUNCTION("IFERROR(GOOGLEFINANCE(B4365,""change""),0)"),6.2)</f>
        <v>6.2</v>
      </c>
      <c r="N4365" s="6">
        <v>2</v>
      </c>
      <c r="O4365" s="7">
        <v>45536</v>
      </c>
      <c r="P4365" s="6">
        <v>306.45</v>
      </c>
      <c r="Q4365" s="7">
        <v>45536</v>
      </c>
      <c r="R4365" s="6">
        <v>3.85</v>
      </c>
      <c r="S4365" s="6">
        <v>0.03</v>
      </c>
      <c r="T4365" s="6">
        <v>0.36</v>
      </c>
      <c r="U4365" s="6">
        <v>2</v>
      </c>
      <c r="V4365" s="7">
        <v>45352</v>
      </c>
      <c r="W4365" s="10">
        <f ca="1">IFERROR(__xludf.DUMMYFUNCTION("IFERROR(GOOGLEFINANCE(B4365,""pe""),V4365)"),45352)</f>
        <v>45352</v>
      </c>
      <c r="X4365" s="6">
        <v>0</v>
      </c>
      <c r="Y4365" s="6">
        <v>11.83</v>
      </c>
      <c r="Z4365" s="6">
        <v>14.09</v>
      </c>
      <c r="AA4365" s="3" t="s">
        <v>13223</v>
      </c>
      <c r="AB4365" s="4"/>
      <c r="AC4365" s="12"/>
      <c r="AD4365" s="12"/>
      <c r="AE4365" s="1">
        <v>0</v>
      </c>
      <c r="AF4365" s="1">
        <f ca="1">IFERROR(__xludf.DUMMYFUNCTION("IFERROR(GOOGLEFINANCE(TRIM(F4365)&amp;"":"" &amp; TRIM(B4365),""high52""),AE4365)"),339)</f>
        <v>339</v>
      </c>
      <c r="AG4365" s="1">
        <v>0</v>
      </c>
      <c r="AH4365" s="1">
        <f ca="1">IFERROR(__xludf.DUMMYFUNCTION("IFERROR(GOOGLEFINANCE(TRIM(F4365)&amp;"":"" &amp; TRIM(B4365),""low52""),AE4365)"),186.9)</f>
        <v>186.9</v>
      </c>
      <c r="AI4365" s="1">
        <f ca="1">IFERROR(__xludf.DUMMYFUNCTION("IFERROR(GOOGLEFINANCE(B4365,""eps""),0)"),-5.65)</f>
        <v>-5.65</v>
      </c>
      <c r="AJ4365" s="1"/>
      <c r="AK4365" s="9"/>
      <c r="AL4365" s="9">
        <f t="shared" si="391"/>
        <v>1</v>
      </c>
    </row>
    <row r="4366" spans="1:38" ht="15" x14ac:dyDescent="0.25">
      <c r="A4366" s="1" t="s">
        <v>13224</v>
      </c>
      <c r="B4366" s="1" t="s">
        <v>13225</v>
      </c>
      <c r="C4366" s="1" t="s">
        <v>227</v>
      </c>
      <c r="D4366" s="1" t="s">
        <v>227</v>
      </c>
      <c r="E4366" s="6">
        <v>38.31</v>
      </c>
      <c r="F4366" s="1" t="s">
        <v>53</v>
      </c>
      <c r="G4366" s="6">
        <f ca="1">IFERROR(__xludf.DUMMYFUNCTION("iferror(GOOGLEFINANCE(TRIM(F4366)&amp;"":"" &amp; TRIM(B4366), ""price""),0
)"),0)</f>
        <v>0</v>
      </c>
      <c r="H4366" s="6">
        <v>49</v>
      </c>
      <c r="I4366" s="6">
        <f t="shared" ca="1" si="0"/>
        <v>49</v>
      </c>
      <c r="J4366" s="6">
        <f ca="1">IFERROR(__xludf.DUMMYFUNCTION("IFERROR(GOOGLEFINANCE(B4366, ""volume""), 0)"),0)</f>
        <v>0</v>
      </c>
      <c r="K4366" s="6">
        <v>2.2999999999999998</v>
      </c>
      <c r="L4366" s="6">
        <f ca="1">IFERROR(__xludf.DUMMYFUNCTION("IFERROR(GOOGLEFINANCE(B4366,""changepct""),K4366)"),2.3)</f>
        <v>2.2999999999999998</v>
      </c>
      <c r="M4366" s="6">
        <f ca="1">IFERROR(__xludf.DUMMYFUNCTION("IFERROR(GOOGLEFINANCE(B4366,""change""),0)"),0)</f>
        <v>0</v>
      </c>
      <c r="N4366" s="6">
        <v>1</v>
      </c>
      <c r="O4366" s="7">
        <v>45536</v>
      </c>
      <c r="P4366" s="6">
        <v>2.4700000000000002</v>
      </c>
      <c r="Q4366" s="6">
        <v>40.78</v>
      </c>
      <c r="R4366" s="7">
        <v>45536</v>
      </c>
      <c r="S4366" s="6">
        <v>19.489999999999998</v>
      </c>
      <c r="T4366" s="6">
        <v>0.62</v>
      </c>
      <c r="U4366" s="7">
        <v>45536</v>
      </c>
      <c r="V4366" s="6">
        <v>62.29</v>
      </c>
      <c r="W4366" s="6">
        <f ca="1">IFERROR(__xludf.DUMMYFUNCTION("IFERROR(GOOGLEFINANCE(B4366,""pe""),V4366)"),62.29)</f>
        <v>62.29</v>
      </c>
      <c r="X4366" s="6">
        <v>0.88</v>
      </c>
      <c r="Y4366" s="6">
        <v>0.83</v>
      </c>
      <c r="Z4366" s="6">
        <v>2</v>
      </c>
      <c r="AA4366" s="8">
        <v>45352</v>
      </c>
      <c r="AB4366" s="4">
        <v>0.05</v>
      </c>
      <c r="AC4366" s="6">
        <v>5.55</v>
      </c>
      <c r="AD4366" s="6">
        <v>6.1</v>
      </c>
      <c r="AE4366" s="1">
        <v>0</v>
      </c>
      <c r="AF4366" s="1">
        <f ca="1">IFERROR(__xludf.DUMMYFUNCTION("IFERROR(GOOGLEFINANCE(TRIM(F4366)&amp;"":"" &amp; TRIM(B4366),""high52""),AE4366)"),0)</f>
        <v>0</v>
      </c>
      <c r="AG4366" s="1">
        <v>0</v>
      </c>
      <c r="AH4366" s="1">
        <f ca="1">IFERROR(__xludf.DUMMYFUNCTION("IFERROR(GOOGLEFINANCE(TRIM(F4366)&amp;"":"" &amp; TRIM(B4366),""low52""),AE4366)"),0)</f>
        <v>0</v>
      </c>
      <c r="AI4366" s="1">
        <f ca="1">IFERROR(__xludf.DUMMYFUNCTION("IFERROR(GOOGLEFINANCE(B4366,""eps""),0)"),0)</f>
        <v>0</v>
      </c>
      <c r="AJ4366" s="1"/>
      <c r="AK4366" s="1" t="s">
        <v>13226</v>
      </c>
      <c r="AL4366" s="9">
        <f t="shared" si="391"/>
        <v>1</v>
      </c>
    </row>
    <row r="4367" spans="1:38" ht="15" x14ac:dyDescent="0.25">
      <c r="A4367" s="1" t="s">
        <v>13227</v>
      </c>
      <c r="B4367" s="1" t="s">
        <v>13228</v>
      </c>
      <c r="C4367" s="1" t="s">
        <v>227</v>
      </c>
      <c r="D4367" s="1" t="s">
        <v>227</v>
      </c>
      <c r="E4367" s="6">
        <v>33.72</v>
      </c>
      <c r="F4367" s="1" t="s">
        <v>53</v>
      </c>
      <c r="G4367" s="6">
        <f ca="1">IFERROR(__xludf.DUMMYFUNCTION("iferror(GOOGLEFINANCE(TRIM(F4367)&amp;"":"" &amp; TRIM(B4367), ""price""),0
)"),0)</f>
        <v>0</v>
      </c>
      <c r="H4367" s="6">
        <v>67.5</v>
      </c>
      <c r="I4367" s="6">
        <f t="shared" ca="1" si="0"/>
        <v>67.5</v>
      </c>
      <c r="J4367" s="6">
        <f ca="1">IFERROR(__xludf.DUMMYFUNCTION("IFERROR(GOOGLEFINANCE(B4367, ""volume""), 0)"),0)</f>
        <v>0</v>
      </c>
      <c r="K4367" s="6">
        <v>7.0000000000000007E-2</v>
      </c>
      <c r="L4367" s="6">
        <f ca="1">IFERROR(__xludf.DUMMYFUNCTION("IFERROR(GOOGLEFINANCE(B4367,""changepct""),K4367)"),0.07)</f>
        <v>7.0000000000000007E-2</v>
      </c>
      <c r="M4367" s="6">
        <f ca="1">IFERROR(__xludf.DUMMYFUNCTION("IFERROR(GOOGLEFINANCE(B4367,""change""),0)"),0)</f>
        <v>0</v>
      </c>
      <c r="N4367" s="6">
        <v>1</v>
      </c>
      <c r="O4367" s="7">
        <v>45536</v>
      </c>
      <c r="P4367" s="9"/>
      <c r="Q4367" s="6">
        <v>33.72</v>
      </c>
      <c r="R4367" s="7">
        <v>45536</v>
      </c>
      <c r="S4367" s="6">
        <v>1.4</v>
      </c>
      <c r="T4367" s="6">
        <v>0.27</v>
      </c>
      <c r="U4367" s="7">
        <v>45536</v>
      </c>
      <c r="V4367" s="6">
        <v>123.98</v>
      </c>
      <c r="W4367" s="6">
        <f ca="1">IFERROR(__xludf.DUMMYFUNCTION("IFERROR(GOOGLEFINANCE(B4367,""pe""),V4367)"),123.98)</f>
        <v>123.98</v>
      </c>
      <c r="X4367" s="6">
        <v>5.1100000000000003</v>
      </c>
      <c r="Y4367" s="6">
        <v>0.55000000000000004</v>
      </c>
      <c r="Z4367" s="6">
        <v>1</v>
      </c>
      <c r="AA4367" s="8">
        <v>45352</v>
      </c>
      <c r="AB4367" s="4">
        <v>0</v>
      </c>
      <c r="AC4367" s="6">
        <v>0.52</v>
      </c>
      <c r="AD4367" s="6">
        <v>0.71</v>
      </c>
      <c r="AE4367" s="1">
        <v>0</v>
      </c>
      <c r="AF4367" s="1">
        <f ca="1">IFERROR(__xludf.DUMMYFUNCTION("IFERROR(GOOGLEFINANCE(TRIM(F4367)&amp;"":"" &amp; TRIM(B4367),""high52""),AE4367)"),0)</f>
        <v>0</v>
      </c>
      <c r="AG4367" s="1">
        <v>0</v>
      </c>
      <c r="AH4367" s="1">
        <f ca="1">IFERROR(__xludf.DUMMYFUNCTION("IFERROR(GOOGLEFINANCE(TRIM(F4367)&amp;"":"" &amp; TRIM(B4367),""low52""),AE4367)"),0)</f>
        <v>0</v>
      </c>
      <c r="AI4367" s="1">
        <f ca="1">IFERROR(__xludf.DUMMYFUNCTION("IFERROR(GOOGLEFINANCE(B4367,""eps""),0)"),0)</f>
        <v>0</v>
      </c>
      <c r="AJ4367" s="1"/>
      <c r="AK4367" s="1" t="s">
        <v>13229</v>
      </c>
      <c r="AL4367" s="9">
        <f t="shared" si="391"/>
        <v>1</v>
      </c>
    </row>
    <row r="4368" spans="1:38" ht="15" x14ac:dyDescent="0.25">
      <c r="A4368" s="1" t="s">
        <v>13230</v>
      </c>
      <c r="B4368" s="1" t="s">
        <v>13231</v>
      </c>
      <c r="C4368" s="1" t="s">
        <v>227</v>
      </c>
      <c r="D4368" s="1" t="s">
        <v>227</v>
      </c>
      <c r="E4368" s="6">
        <v>27.68</v>
      </c>
      <c r="F4368" s="1" t="s">
        <v>53</v>
      </c>
      <c r="G4368" s="6">
        <f ca="1">IFERROR(__xludf.DUMMYFUNCTION("iferror(GOOGLEFINANCE(TRIM(F4368)&amp;"":"" &amp; TRIM(B4368), ""price""),0
)"),0)</f>
        <v>0</v>
      </c>
      <c r="H4368" s="6">
        <v>30.49</v>
      </c>
      <c r="I4368" s="6">
        <f t="shared" ca="1" si="0"/>
        <v>30.49</v>
      </c>
      <c r="J4368" s="6">
        <f ca="1">IFERROR(__xludf.DUMMYFUNCTION("IFERROR(GOOGLEFINANCE(B4368, ""volume""), 0)"),0)</f>
        <v>0</v>
      </c>
      <c r="K4368" s="6">
        <v>2.35</v>
      </c>
      <c r="L4368" s="6">
        <f ca="1">IFERROR(__xludf.DUMMYFUNCTION("IFERROR(GOOGLEFINANCE(B4368,""changepct""),K4368)"),2.35)</f>
        <v>2.35</v>
      </c>
      <c r="M4368" s="6">
        <f ca="1">IFERROR(__xludf.DUMMYFUNCTION("IFERROR(GOOGLEFINANCE(B4368,""change""),0)"),0)</f>
        <v>0</v>
      </c>
      <c r="N4368" s="6">
        <v>1</v>
      </c>
      <c r="O4368" s="7">
        <v>45536</v>
      </c>
      <c r="P4368" s="6">
        <v>0.5</v>
      </c>
      <c r="Q4368" s="6">
        <v>23.47</v>
      </c>
      <c r="R4368" s="7">
        <v>45536</v>
      </c>
      <c r="S4368" s="6">
        <v>53.68</v>
      </c>
      <c r="T4368" s="6">
        <v>1.51</v>
      </c>
      <c r="U4368" s="7">
        <v>45536</v>
      </c>
      <c r="V4368" s="6">
        <v>18.38</v>
      </c>
      <c r="W4368" s="6">
        <f ca="1">IFERROR(__xludf.DUMMYFUNCTION("IFERROR(GOOGLEFINANCE(B4368,""pe""),V4368)"),18.38)</f>
        <v>18.38</v>
      </c>
      <c r="X4368" s="6">
        <v>2.1800000000000002</v>
      </c>
      <c r="Y4368" s="6">
        <v>0.66</v>
      </c>
      <c r="Z4368" s="6">
        <v>1</v>
      </c>
      <c r="AA4368" s="8">
        <v>45352</v>
      </c>
      <c r="AB4368" s="4">
        <v>0.04</v>
      </c>
      <c r="AC4368" s="6">
        <v>1.71</v>
      </c>
      <c r="AD4368" s="6">
        <v>3.77</v>
      </c>
      <c r="AE4368" s="1">
        <v>0</v>
      </c>
      <c r="AF4368" s="1">
        <f ca="1">IFERROR(__xludf.DUMMYFUNCTION("IFERROR(GOOGLEFINANCE(TRIM(F4368)&amp;"":"" &amp; TRIM(B4368),""high52""),AE4368)"),0)</f>
        <v>0</v>
      </c>
      <c r="AG4368" s="1">
        <v>0</v>
      </c>
      <c r="AH4368" s="1">
        <f ca="1">IFERROR(__xludf.DUMMYFUNCTION("IFERROR(GOOGLEFINANCE(TRIM(F4368)&amp;"":"" &amp; TRIM(B4368),""low52""),AE4368)"),0)</f>
        <v>0</v>
      </c>
      <c r="AI4368" s="1">
        <f ca="1">IFERROR(__xludf.DUMMYFUNCTION("IFERROR(GOOGLEFINANCE(B4368,""eps""),0)"),0)</f>
        <v>0</v>
      </c>
      <c r="AJ4368" s="1"/>
      <c r="AK4368" s="1" t="s">
        <v>13232</v>
      </c>
      <c r="AL4368" s="9">
        <f t="shared" si="391"/>
        <v>1</v>
      </c>
    </row>
    <row r="4369" spans="1:38" ht="15" x14ac:dyDescent="0.25">
      <c r="A4369" s="1" t="s">
        <v>13233</v>
      </c>
      <c r="B4369" s="1" t="s">
        <v>13234</v>
      </c>
      <c r="C4369" s="1" t="s">
        <v>227</v>
      </c>
      <c r="D4369" s="1" t="s">
        <v>227</v>
      </c>
      <c r="E4369" s="6">
        <v>25.32</v>
      </c>
      <c r="F4369" s="1" t="s">
        <v>53</v>
      </c>
      <c r="G4369" s="6">
        <f ca="1">IFERROR(__xludf.DUMMYFUNCTION("iferror(GOOGLEFINANCE(TRIM(F4369)&amp;"":"" &amp; TRIM(B4369), ""price""),0
)"),0)</f>
        <v>0</v>
      </c>
      <c r="H4369" s="6">
        <v>2.2400000000000002</v>
      </c>
      <c r="I4369" s="6">
        <f t="shared" ca="1" si="0"/>
        <v>2.2400000000000002</v>
      </c>
      <c r="J4369" s="6">
        <f ca="1">IFERROR(__xludf.DUMMYFUNCTION("IFERROR(GOOGLEFINANCE(B4369, ""volume""), 0)"),0)</f>
        <v>0</v>
      </c>
      <c r="K4369" s="6">
        <v>6.16</v>
      </c>
      <c r="L4369" s="6">
        <f ca="1">IFERROR(__xludf.DUMMYFUNCTION("IFERROR(GOOGLEFINANCE(B4369,""changepct""),K4369)"),6.16)</f>
        <v>6.16</v>
      </c>
      <c r="M4369" s="6">
        <f ca="1">IFERROR(__xludf.DUMMYFUNCTION("IFERROR(GOOGLEFINANCE(B4369,""change""),0)"),0)</f>
        <v>0</v>
      </c>
      <c r="N4369" s="6">
        <v>2</v>
      </c>
      <c r="O4369" s="7">
        <v>45536</v>
      </c>
      <c r="P4369" s="6">
        <v>0.44</v>
      </c>
      <c r="Q4369" s="6">
        <v>25.76</v>
      </c>
      <c r="R4369" s="7">
        <v>45536</v>
      </c>
      <c r="S4369" s="6">
        <v>4.76</v>
      </c>
      <c r="T4369" s="6">
        <v>1.81</v>
      </c>
      <c r="U4369" s="7">
        <v>45536</v>
      </c>
      <c r="V4369" s="6">
        <v>13.96</v>
      </c>
      <c r="W4369" s="6">
        <f ca="1">IFERROR(__xludf.DUMMYFUNCTION("IFERROR(GOOGLEFINANCE(B4369,""pe""),V4369)"),13.96)</f>
        <v>13.96</v>
      </c>
      <c r="X4369" s="9"/>
      <c r="Y4369" s="6">
        <v>1.1200000000000001</v>
      </c>
      <c r="Z4369" s="6">
        <v>2</v>
      </c>
      <c r="AA4369" s="8">
        <v>45352</v>
      </c>
      <c r="AB4369" s="4">
        <v>0.01</v>
      </c>
      <c r="AC4369" s="6">
        <v>6.87</v>
      </c>
      <c r="AD4369" s="6">
        <v>8.32</v>
      </c>
      <c r="AE4369" s="1">
        <v>0</v>
      </c>
      <c r="AF4369" s="1">
        <f ca="1">IFERROR(__xludf.DUMMYFUNCTION("IFERROR(GOOGLEFINANCE(TRIM(F4369)&amp;"":"" &amp; TRIM(B4369),""high52""),AE4369)"),0)</f>
        <v>0</v>
      </c>
      <c r="AG4369" s="1">
        <v>0</v>
      </c>
      <c r="AH4369" s="1">
        <f ca="1">IFERROR(__xludf.DUMMYFUNCTION("IFERROR(GOOGLEFINANCE(TRIM(F4369)&amp;"":"" &amp; TRIM(B4369),""low52""),AE4369)"),0)</f>
        <v>0</v>
      </c>
      <c r="AI4369" s="1">
        <f ca="1">IFERROR(__xludf.DUMMYFUNCTION("IFERROR(GOOGLEFINANCE(B4369,""eps""),0)"),0)</f>
        <v>0</v>
      </c>
      <c r="AJ4369" s="1"/>
      <c r="AK4369" s="1" t="s">
        <v>13235</v>
      </c>
      <c r="AL4369" s="9">
        <f t="shared" si="391"/>
        <v>1</v>
      </c>
    </row>
    <row r="4370" spans="1:38" ht="15" x14ac:dyDescent="0.25">
      <c r="A4370" s="1" t="s">
        <v>13236</v>
      </c>
      <c r="B4370" s="1" t="s">
        <v>13237</v>
      </c>
      <c r="C4370" s="1" t="s">
        <v>227</v>
      </c>
      <c r="D4370" s="1" t="s">
        <v>227</v>
      </c>
      <c r="E4370" s="6">
        <v>41.76</v>
      </c>
      <c r="F4370" s="1" t="s">
        <v>53</v>
      </c>
      <c r="G4370" s="6">
        <f ca="1">IFERROR(__xludf.DUMMYFUNCTION("iferror(GOOGLEFINANCE(TRIM(F4370)&amp;"":"" &amp; TRIM(B4370), ""price""),0
)"),0)</f>
        <v>0</v>
      </c>
      <c r="H4370" s="6">
        <v>0.74</v>
      </c>
      <c r="I4370" s="6">
        <f t="shared" ca="1" si="0"/>
        <v>0.74</v>
      </c>
      <c r="J4370" s="6">
        <f ca="1">IFERROR(__xludf.DUMMYFUNCTION("IFERROR(GOOGLEFINANCE(B4370, ""volume""), 0)"),0)</f>
        <v>0</v>
      </c>
      <c r="K4370" s="6">
        <v>1.37</v>
      </c>
      <c r="L4370" s="6">
        <f ca="1">IFERROR(__xludf.DUMMYFUNCTION("IFERROR(GOOGLEFINANCE(B4370,""changepct""),K4370)"),1.37)</f>
        <v>1.37</v>
      </c>
      <c r="M4370" s="6">
        <f ca="1">IFERROR(__xludf.DUMMYFUNCTION("IFERROR(GOOGLEFINANCE(B4370,""change""),0)"),0)</f>
        <v>0</v>
      </c>
      <c r="N4370" s="6">
        <v>1</v>
      </c>
      <c r="O4370" s="7">
        <v>45536</v>
      </c>
      <c r="P4370" s="9"/>
      <c r="Q4370" s="6">
        <v>41.76</v>
      </c>
      <c r="R4370" s="7">
        <v>45536</v>
      </c>
      <c r="S4370" s="6">
        <v>54.04</v>
      </c>
      <c r="T4370" s="6">
        <v>0.89</v>
      </c>
      <c r="U4370" s="7">
        <v>45536</v>
      </c>
      <c r="V4370" s="6">
        <v>47.08</v>
      </c>
      <c r="W4370" s="6">
        <f ca="1">IFERROR(__xludf.DUMMYFUNCTION("IFERROR(GOOGLEFINANCE(B4370,""pe""),V4370)"),47.08)</f>
        <v>47.08</v>
      </c>
      <c r="X4370" s="6">
        <v>2.57</v>
      </c>
      <c r="Y4370" s="6">
        <v>0.7</v>
      </c>
      <c r="Z4370" s="6">
        <v>1</v>
      </c>
      <c r="AA4370" s="8">
        <v>45352</v>
      </c>
      <c r="AB4370" s="4">
        <v>0.05</v>
      </c>
      <c r="AC4370" s="6">
        <v>3.55</v>
      </c>
      <c r="AD4370" s="6">
        <v>4.8600000000000003</v>
      </c>
      <c r="AE4370" s="1">
        <v>0</v>
      </c>
      <c r="AF4370" s="1">
        <f ca="1">IFERROR(__xludf.DUMMYFUNCTION("IFERROR(GOOGLEFINANCE(TRIM(F4370)&amp;"":"" &amp; TRIM(B4370),""high52""),AE4370)"),0)</f>
        <v>0</v>
      </c>
      <c r="AG4370" s="1">
        <v>0</v>
      </c>
      <c r="AH4370" s="1">
        <f ca="1">IFERROR(__xludf.DUMMYFUNCTION("IFERROR(GOOGLEFINANCE(TRIM(F4370)&amp;"":"" &amp; TRIM(B4370),""low52""),AE4370)"),0)</f>
        <v>0</v>
      </c>
      <c r="AI4370" s="1">
        <f ca="1">IFERROR(__xludf.DUMMYFUNCTION("IFERROR(GOOGLEFINANCE(B4370,""eps""),0)"),0)</f>
        <v>0</v>
      </c>
      <c r="AJ4370" s="1"/>
      <c r="AK4370" s="1" t="s">
        <v>13238</v>
      </c>
      <c r="AL4370" s="9">
        <f t="shared" si="391"/>
        <v>1</v>
      </c>
    </row>
    <row r="4371" spans="1:38" ht="15" x14ac:dyDescent="0.25">
      <c r="A4371" s="1" t="s">
        <v>13239</v>
      </c>
      <c r="B4371" s="1" t="s">
        <v>13240</v>
      </c>
      <c r="C4371" s="1" t="s">
        <v>255</v>
      </c>
      <c r="D4371" s="1" t="s">
        <v>255</v>
      </c>
      <c r="E4371" s="6">
        <v>56665.95</v>
      </c>
      <c r="F4371" s="1" t="s">
        <v>40</v>
      </c>
      <c r="G4371" s="6">
        <f ca="1">IFERROR(__xludf.DUMMYFUNCTION("iferror(GOOGLEFINANCE(TRIM(F4371)&amp;"":"" &amp; TRIM(B4371), ""price""),0
)"),10.8)</f>
        <v>10.8</v>
      </c>
      <c r="H4371" s="6">
        <v>8.31</v>
      </c>
      <c r="I4371" s="6">
        <f t="shared" ca="1" si="0"/>
        <v>10.8</v>
      </c>
      <c r="J4371" s="6">
        <f ca="1">IFERROR(__xludf.DUMMYFUNCTION("IFERROR(GOOGLEFINANCE(B4371, ""volume""), 0)"),144970)</f>
        <v>144970</v>
      </c>
      <c r="K4371" s="6">
        <v>2.09</v>
      </c>
      <c r="L4371" s="6">
        <f ca="1">IFERROR(__xludf.DUMMYFUNCTION("IFERROR(GOOGLEFINANCE(B4371,""changepct""),K4371)"),76.47)</f>
        <v>76.47</v>
      </c>
      <c r="M4371" s="6">
        <f ca="1">IFERROR(__xludf.DUMMYFUNCTION("IFERROR(GOOGLEFINANCE(B4371,""change""),0)"),0.01)</f>
        <v>0.01</v>
      </c>
      <c r="N4371" s="6">
        <v>2</v>
      </c>
      <c r="O4371" s="7">
        <v>45536</v>
      </c>
      <c r="P4371" s="6">
        <v>215507</v>
      </c>
      <c r="Q4371" s="6">
        <v>258367</v>
      </c>
      <c r="R4371" s="7">
        <v>45536</v>
      </c>
      <c r="S4371" s="6">
        <v>42720.4</v>
      </c>
      <c r="T4371" s="6">
        <v>-28264.6</v>
      </c>
      <c r="U4371" s="7">
        <v>45536</v>
      </c>
      <c r="V4371" s="6">
        <v>0</v>
      </c>
      <c r="W4371" s="6">
        <f ca="1">IFERROR(__xludf.DUMMYFUNCTION("IFERROR(GOOGLEFINANCE(B4371,""pe""),V4371)"),0)</f>
        <v>0</v>
      </c>
      <c r="X4371" s="12"/>
      <c r="Y4371" s="6">
        <v>-0.6</v>
      </c>
      <c r="Z4371" s="6">
        <v>2</v>
      </c>
      <c r="AA4371" s="8">
        <v>45352</v>
      </c>
      <c r="AB4371" s="4">
        <v>-1.99</v>
      </c>
      <c r="AC4371" s="6">
        <v>0</v>
      </c>
      <c r="AD4371" s="6">
        <v>-4.03</v>
      </c>
      <c r="AE4371" s="1">
        <v>0</v>
      </c>
      <c r="AF4371" s="1">
        <f ca="1">IFERROR(__xludf.DUMMYFUNCTION("IFERROR(GOOGLEFINANCE(TRIM(F4371)&amp;"":"" &amp; TRIM(B4371),""high52""),AE4371)"),12.8)</f>
        <v>12.8</v>
      </c>
      <c r="AG4371" s="1">
        <v>0</v>
      </c>
      <c r="AH4371" s="1">
        <f ca="1">IFERROR(__xludf.DUMMYFUNCTION("IFERROR(GOOGLEFINANCE(TRIM(F4371)&amp;"":"" &amp; TRIM(B4371),""low52""),AE4371)"),6.12)</f>
        <v>6.12</v>
      </c>
      <c r="AI4371" s="1">
        <f ca="1">IFERROR(__xludf.DUMMYFUNCTION("IFERROR(GOOGLEFINANCE(B4371,""eps""),0)"),0)</f>
        <v>0</v>
      </c>
      <c r="AJ4371" s="1"/>
      <c r="AK4371" s="1" t="s">
        <v>13241</v>
      </c>
      <c r="AL4371" s="9">
        <f t="shared" si="391"/>
        <v>1</v>
      </c>
    </row>
    <row r="4372" spans="1:38" ht="15" x14ac:dyDescent="0.25">
      <c r="A4372" s="1" t="s">
        <v>13242</v>
      </c>
      <c r="B4372" s="1" t="s">
        <v>13243</v>
      </c>
      <c r="C4372" s="1" t="s">
        <v>227</v>
      </c>
      <c r="D4372" s="1" t="s">
        <v>227</v>
      </c>
      <c r="E4372" s="6">
        <v>64.2</v>
      </c>
      <c r="F4372" s="1" t="s">
        <v>53</v>
      </c>
      <c r="G4372" s="6">
        <f ca="1">IFERROR(__xludf.DUMMYFUNCTION("iferror(GOOGLEFINANCE(TRIM(F4372)&amp;"":"" &amp; TRIM(B4372), ""price""),0
)"),0)</f>
        <v>0</v>
      </c>
      <c r="H4372" s="6">
        <v>1.06</v>
      </c>
      <c r="I4372" s="6">
        <f t="shared" ca="1" si="0"/>
        <v>1.06</v>
      </c>
      <c r="J4372" s="6">
        <f ca="1">IFERROR(__xludf.DUMMYFUNCTION("IFERROR(GOOGLEFINANCE(B4372, ""volume""), 0)"),0)</f>
        <v>0</v>
      </c>
      <c r="K4372" s="6">
        <v>-0.93</v>
      </c>
      <c r="L4372" s="6">
        <f ca="1">IFERROR(__xludf.DUMMYFUNCTION("IFERROR(GOOGLEFINANCE(B4372,""changepct""),K4372)"),-0.93)</f>
        <v>-0.93</v>
      </c>
      <c r="M4372" s="6">
        <f ca="1">IFERROR(__xludf.DUMMYFUNCTION("IFERROR(GOOGLEFINANCE(B4372,""change""),0)"),0)</f>
        <v>0</v>
      </c>
      <c r="N4372" s="6">
        <v>1</v>
      </c>
      <c r="O4372" s="7">
        <v>45536</v>
      </c>
      <c r="P4372" s="6">
        <v>1.31</v>
      </c>
      <c r="Q4372" s="6">
        <v>65.510000000000005</v>
      </c>
      <c r="R4372" s="7">
        <v>45536</v>
      </c>
      <c r="S4372" s="6">
        <v>5.42</v>
      </c>
      <c r="T4372" s="6">
        <v>0.46</v>
      </c>
      <c r="U4372" s="7">
        <v>45536</v>
      </c>
      <c r="V4372" s="6">
        <v>140.47999999999999</v>
      </c>
      <c r="W4372" s="6">
        <f ca="1">IFERROR(__xludf.DUMMYFUNCTION("IFERROR(GOOGLEFINANCE(B4372,""pe""),V4372)"),140.48)</f>
        <v>140.47999999999999</v>
      </c>
      <c r="X4372" s="6">
        <v>8.25</v>
      </c>
      <c r="Y4372" s="6">
        <v>1.0900000000000001</v>
      </c>
      <c r="Z4372" s="6">
        <v>1</v>
      </c>
      <c r="AA4372" s="8">
        <v>45352</v>
      </c>
      <c r="AB4372" s="4">
        <v>0.06</v>
      </c>
      <c r="AC4372" s="6">
        <v>0.37</v>
      </c>
      <c r="AD4372" s="6">
        <v>0.42</v>
      </c>
      <c r="AE4372" s="1">
        <v>0</v>
      </c>
      <c r="AF4372" s="1">
        <f ca="1">IFERROR(__xludf.DUMMYFUNCTION("IFERROR(GOOGLEFINANCE(TRIM(F4372)&amp;"":"" &amp; TRIM(B4372),""high52""),AE4372)"),0)</f>
        <v>0</v>
      </c>
      <c r="AG4372" s="1">
        <v>0</v>
      </c>
      <c r="AH4372" s="1">
        <f ca="1">IFERROR(__xludf.DUMMYFUNCTION("IFERROR(GOOGLEFINANCE(TRIM(F4372)&amp;"":"" &amp; TRIM(B4372),""low52""),AE4372)"),0)</f>
        <v>0</v>
      </c>
      <c r="AI4372" s="1">
        <f ca="1">IFERROR(__xludf.DUMMYFUNCTION("IFERROR(GOOGLEFINANCE(B4372,""eps""),0)"),0)</f>
        <v>0</v>
      </c>
      <c r="AJ4372" s="1"/>
      <c r="AK4372" s="1" t="s">
        <v>13244</v>
      </c>
      <c r="AL4372" s="9">
        <f t="shared" si="391"/>
        <v>1</v>
      </c>
    </row>
    <row r="4373" spans="1:38" ht="15" x14ac:dyDescent="0.25">
      <c r="A4373" s="1" t="s">
        <v>13245</v>
      </c>
      <c r="B4373" s="1" t="s">
        <v>13246</v>
      </c>
      <c r="C4373" s="1" t="s">
        <v>227</v>
      </c>
      <c r="D4373" s="1" t="s">
        <v>227</v>
      </c>
      <c r="E4373" s="6">
        <v>3.15</v>
      </c>
      <c r="F4373" s="1" t="s">
        <v>53</v>
      </c>
      <c r="G4373" s="6">
        <f ca="1">IFERROR(__xludf.DUMMYFUNCTION("iferror(GOOGLEFINANCE(TRIM(F4373)&amp;"":"" &amp; TRIM(B4373), ""price""),0
)"),0)</f>
        <v>0</v>
      </c>
      <c r="H4373" s="6">
        <v>5.16</v>
      </c>
      <c r="I4373" s="6">
        <f t="shared" ca="1" si="0"/>
        <v>5.16</v>
      </c>
      <c r="J4373" s="6">
        <f ca="1">IFERROR(__xludf.DUMMYFUNCTION("IFERROR(GOOGLEFINANCE(B4373, ""volume""), 0)"),0)</f>
        <v>0</v>
      </c>
      <c r="K4373" s="6">
        <v>2.1800000000000002</v>
      </c>
      <c r="L4373" s="6">
        <f ca="1">IFERROR(__xludf.DUMMYFUNCTION("IFERROR(GOOGLEFINANCE(B4373,""changepct""),K4373)"),2.18)</f>
        <v>2.1800000000000002</v>
      </c>
      <c r="M4373" s="6">
        <f ca="1">IFERROR(__xludf.DUMMYFUNCTION("IFERROR(GOOGLEFINANCE(B4373,""change""),0)"),0)</f>
        <v>0</v>
      </c>
      <c r="N4373" s="6">
        <v>1</v>
      </c>
      <c r="O4373" s="7">
        <v>45536</v>
      </c>
      <c r="P4373" s="6">
        <v>10</v>
      </c>
      <c r="Q4373" s="6">
        <v>8.1300000000000008</v>
      </c>
      <c r="R4373" s="7">
        <v>45536</v>
      </c>
      <c r="S4373" s="6">
        <v>0.56999999999999995</v>
      </c>
      <c r="T4373" s="6">
        <v>-0.11</v>
      </c>
      <c r="U4373" s="7">
        <v>45536</v>
      </c>
      <c r="V4373" s="6">
        <v>0</v>
      </c>
      <c r="W4373" s="6">
        <f ca="1">IFERROR(__xludf.DUMMYFUNCTION("IFERROR(GOOGLEFINANCE(B4373,""pe""),V4373)"),0)</f>
        <v>0</v>
      </c>
      <c r="X4373" s="12"/>
      <c r="Y4373" s="6">
        <v>0.48</v>
      </c>
      <c r="Z4373" s="6">
        <v>2</v>
      </c>
      <c r="AA4373" s="8">
        <v>45352</v>
      </c>
      <c r="AB4373" s="4">
        <v>3.78</v>
      </c>
      <c r="AC4373" s="6">
        <v>0.78</v>
      </c>
      <c r="AD4373" s="6">
        <v>2.2799999999999998</v>
      </c>
      <c r="AE4373" s="1">
        <v>0</v>
      </c>
      <c r="AF4373" s="1">
        <f ca="1">IFERROR(__xludf.DUMMYFUNCTION("IFERROR(GOOGLEFINANCE(TRIM(F4373)&amp;"":"" &amp; TRIM(B4373),""high52""),AE4373)"),0)</f>
        <v>0</v>
      </c>
      <c r="AG4373" s="1">
        <v>0</v>
      </c>
      <c r="AH4373" s="1">
        <f ca="1">IFERROR(__xludf.DUMMYFUNCTION("IFERROR(GOOGLEFINANCE(TRIM(F4373)&amp;"":"" &amp; TRIM(B4373),""low52""),AE4373)"),0)</f>
        <v>0</v>
      </c>
      <c r="AI4373" s="1">
        <f ca="1">IFERROR(__xludf.DUMMYFUNCTION("IFERROR(GOOGLEFINANCE(B4373,""eps""),0)"),0)</f>
        <v>0</v>
      </c>
      <c r="AJ4373" s="1"/>
      <c r="AK4373" s="1" t="s">
        <v>13247</v>
      </c>
      <c r="AL4373" s="9">
        <f t="shared" si="391"/>
        <v>1</v>
      </c>
    </row>
    <row r="4374" spans="1:38" ht="15" x14ac:dyDescent="0.25">
      <c r="A4374" s="1" t="s">
        <v>13248</v>
      </c>
      <c r="B4374" s="1" t="s">
        <v>13249</v>
      </c>
      <c r="C4374" s="1" t="s">
        <v>227</v>
      </c>
      <c r="D4374" s="1" t="s">
        <v>227</v>
      </c>
      <c r="E4374" s="6">
        <v>372.91</v>
      </c>
      <c r="F4374" s="1" t="s">
        <v>53</v>
      </c>
      <c r="G4374" s="6">
        <f ca="1">IFERROR(__xludf.DUMMYFUNCTION("iferror(GOOGLEFINANCE(TRIM(F4374)&amp;"":"" &amp; TRIM(B4374), ""price""),0
)"),0)</f>
        <v>0</v>
      </c>
      <c r="H4374" s="6">
        <v>62.4</v>
      </c>
      <c r="I4374" s="6">
        <f t="shared" ca="1" si="0"/>
        <v>62.4</v>
      </c>
      <c r="J4374" s="6">
        <f ca="1">IFERROR(__xludf.DUMMYFUNCTION("IFERROR(GOOGLEFINANCE(B4374, ""volume""), 0)"),0)</f>
        <v>0</v>
      </c>
      <c r="K4374" s="6">
        <v>1.99</v>
      </c>
      <c r="L4374" s="6">
        <f ca="1">IFERROR(__xludf.DUMMYFUNCTION("IFERROR(GOOGLEFINANCE(B4374,""changepct""),K4374)"),1.99)</f>
        <v>1.99</v>
      </c>
      <c r="M4374" s="6">
        <f ca="1">IFERROR(__xludf.DUMMYFUNCTION("IFERROR(GOOGLEFINANCE(B4374,""change""),0)"),0)</f>
        <v>0</v>
      </c>
      <c r="N4374" s="6">
        <v>1</v>
      </c>
      <c r="O4374" s="7">
        <v>45536</v>
      </c>
      <c r="P4374" s="9"/>
      <c r="Q4374" s="6">
        <v>363.37</v>
      </c>
      <c r="R4374" s="7">
        <v>45536</v>
      </c>
      <c r="S4374" s="6">
        <v>14.69</v>
      </c>
      <c r="T4374" s="6">
        <v>8.0500000000000007</v>
      </c>
      <c r="U4374" s="7">
        <v>45536</v>
      </c>
      <c r="V4374" s="6">
        <v>46.34</v>
      </c>
      <c r="W4374" s="6">
        <f ca="1">IFERROR(__xludf.DUMMYFUNCTION("IFERROR(GOOGLEFINANCE(B4374,""pe""),V4374)"),46.34)</f>
        <v>46.34</v>
      </c>
      <c r="X4374" s="9"/>
      <c r="Y4374" s="6">
        <v>4.76</v>
      </c>
      <c r="Z4374" s="6">
        <v>1</v>
      </c>
      <c r="AA4374" s="8">
        <v>45352</v>
      </c>
      <c r="AB4374" s="4">
        <v>0</v>
      </c>
      <c r="AC4374" s="6">
        <v>13.14</v>
      </c>
      <c r="AD4374" s="6">
        <v>17.82</v>
      </c>
      <c r="AE4374" s="1">
        <v>0</v>
      </c>
      <c r="AF4374" s="1">
        <f ca="1">IFERROR(__xludf.DUMMYFUNCTION("IFERROR(GOOGLEFINANCE(TRIM(F4374)&amp;"":"" &amp; TRIM(B4374),""high52""),AE4374)"),0)</f>
        <v>0</v>
      </c>
      <c r="AG4374" s="1">
        <v>0</v>
      </c>
      <c r="AH4374" s="1">
        <f ca="1">IFERROR(__xludf.DUMMYFUNCTION("IFERROR(GOOGLEFINANCE(TRIM(F4374)&amp;"":"" &amp; TRIM(B4374),""low52""),AE4374)"),0)</f>
        <v>0</v>
      </c>
      <c r="AI4374" s="1">
        <f ca="1">IFERROR(__xludf.DUMMYFUNCTION("IFERROR(GOOGLEFINANCE(B4374,""eps""),0)"),0)</f>
        <v>0</v>
      </c>
      <c r="AJ4374" s="1"/>
      <c r="AK4374" s="1" t="s">
        <v>13250</v>
      </c>
      <c r="AL4374" s="9">
        <f t="shared" si="391"/>
        <v>1</v>
      </c>
    </row>
    <row r="4375" spans="1:38" ht="15" x14ac:dyDescent="0.25">
      <c r="A4375" s="1" t="s">
        <v>13251</v>
      </c>
      <c r="B4375" s="1" t="s">
        <v>13252</v>
      </c>
      <c r="C4375" s="1" t="s">
        <v>227</v>
      </c>
      <c r="D4375" s="1" t="s">
        <v>227</v>
      </c>
      <c r="E4375" s="6">
        <v>14.63</v>
      </c>
      <c r="F4375" s="1" t="s">
        <v>53</v>
      </c>
      <c r="G4375" s="6">
        <f ca="1">IFERROR(__xludf.DUMMYFUNCTION("iferror(GOOGLEFINANCE(TRIM(F4375)&amp;"":"" &amp; TRIM(B4375), ""price""),0
)"),0)</f>
        <v>0</v>
      </c>
      <c r="H4375" s="6">
        <v>26.07</v>
      </c>
      <c r="I4375" s="6">
        <f t="shared" ca="1" si="0"/>
        <v>26.07</v>
      </c>
      <c r="J4375" s="6">
        <f ca="1">IFERROR(__xludf.DUMMYFUNCTION("IFERROR(GOOGLEFINANCE(B4375, ""volume""), 0)"),0)</f>
        <v>0</v>
      </c>
      <c r="K4375" s="9"/>
      <c r="L4375" s="6" t="str">
        <f ca="1">IFERROR(__xludf.DUMMYFUNCTION("IFERROR(GOOGLEFINANCE(B4375,""changepct""),K4375)"),"")</f>
        <v/>
      </c>
      <c r="M4375" s="6">
        <f ca="1">IFERROR(__xludf.DUMMYFUNCTION("IFERROR(GOOGLEFINANCE(B4375,""change""),0)"),0)</f>
        <v>0</v>
      </c>
      <c r="N4375" s="6">
        <v>1</v>
      </c>
      <c r="O4375" s="7">
        <v>45536</v>
      </c>
      <c r="P4375" s="6">
        <v>7.0000000000000007E-2</v>
      </c>
      <c r="Q4375" s="6">
        <v>14.7</v>
      </c>
      <c r="R4375" s="7">
        <v>45536</v>
      </c>
      <c r="S4375" s="6">
        <v>31.46</v>
      </c>
      <c r="T4375" s="6">
        <v>1.96</v>
      </c>
      <c r="U4375" s="7">
        <v>45536</v>
      </c>
      <c r="V4375" s="6">
        <v>7.45</v>
      </c>
      <c r="W4375" s="6">
        <f ca="1">IFERROR(__xludf.DUMMYFUNCTION("IFERROR(GOOGLEFINANCE(B4375,""pe""),V4375)"),7.45)</f>
        <v>7.45</v>
      </c>
      <c r="X4375" s="6">
        <v>0.04</v>
      </c>
      <c r="Y4375" s="6">
        <v>2.08</v>
      </c>
      <c r="Z4375" s="6">
        <v>1</v>
      </c>
      <c r="AA4375" s="8">
        <v>45352</v>
      </c>
      <c r="AB4375" s="4">
        <v>0.15</v>
      </c>
      <c r="AC4375" s="6">
        <v>34.700000000000003</v>
      </c>
      <c r="AD4375" s="6">
        <v>38.6</v>
      </c>
      <c r="AE4375" s="1">
        <v>0</v>
      </c>
      <c r="AF4375" s="1">
        <f ca="1">IFERROR(__xludf.DUMMYFUNCTION("IFERROR(GOOGLEFINANCE(TRIM(F4375)&amp;"":"" &amp; TRIM(B4375),""high52""),AE4375)"),0)</f>
        <v>0</v>
      </c>
      <c r="AG4375" s="1">
        <v>0</v>
      </c>
      <c r="AH4375" s="1">
        <f ca="1">IFERROR(__xludf.DUMMYFUNCTION("IFERROR(GOOGLEFINANCE(TRIM(F4375)&amp;"":"" &amp; TRIM(B4375),""low52""),AE4375)"),0)</f>
        <v>0</v>
      </c>
      <c r="AI4375" s="1">
        <f ca="1">IFERROR(__xludf.DUMMYFUNCTION("IFERROR(GOOGLEFINANCE(B4375,""eps""),0)"),0)</f>
        <v>0</v>
      </c>
      <c r="AJ4375" s="1"/>
      <c r="AK4375" s="1" t="s">
        <v>13253</v>
      </c>
      <c r="AL4375" s="9">
        <f t="shared" si="391"/>
        <v>1</v>
      </c>
    </row>
    <row r="4376" spans="1:38" ht="15" x14ac:dyDescent="0.25">
      <c r="A4376" s="1" t="s">
        <v>13254</v>
      </c>
      <c r="B4376" s="1" t="s">
        <v>13255</v>
      </c>
      <c r="C4376" s="1" t="s">
        <v>227</v>
      </c>
      <c r="D4376" s="1" t="s">
        <v>227</v>
      </c>
      <c r="E4376" s="6">
        <v>24.25</v>
      </c>
      <c r="F4376" s="1" t="s">
        <v>53</v>
      </c>
      <c r="G4376" s="6">
        <f ca="1">IFERROR(__xludf.DUMMYFUNCTION("iferror(GOOGLEFINANCE(TRIM(F4376)&amp;"":"" &amp; TRIM(B4376), ""price""),0
)"),0)</f>
        <v>0</v>
      </c>
      <c r="H4376" s="6">
        <v>48</v>
      </c>
      <c r="I4376" s="6">
        <f t="shared" ca="1" si="0"/>
        <v>48</v>
      </c>
      <c r="J4376" s="6">
        <f ca="1">IFERROR(__xludf.DUMMYFUNCTION("IFERROR(GOOGLEFINANCE(B4376, ""volume""), 0)"),0)</f>
        <v>0</v>
      </c>
      <c r="K4376" s="6">
        <v>4.05</v>
      </c>
      <c r="L4376" s="6">
        <f ca="1">IFERROR(__xludf.DUMMYFUNCTION("IFERROR(GOOGLEFINANCE(B4376,""changepct""),K4376)"),4.05)</f>
        <v>4.05</v>
      </c>
      <c r="M4376" s="6">
        <f ca="1">IFERROR(__xludf.DUMMYFUNCTION("IFERROR(GOOGLEFINANCE(B4376,""change""),0)"),0)</f>
        <v>0</v>
      </c>
      <c r="N4376" s="6">
        <v>1</v>
      </c>
      <c r="O4376" s="7">
        <v>45536</v>
      </c>
      <c r="P4376" s="6">
        <v>4.24</v>
      </c>
      <c r="Q4376" s="6">
        <v>28.49</v>
      </c>
      <c r="R4376" s="7">
        <v>45536</v>
      </c>
      <c r="S4376" s="6">
        <v>97.45</v>
      </c>
      <c r="T4376" s="6">
        <v>0.74</v>
      </c>
      <c r="U4376" s="7">
        <v>45536</v>
      </c>
      <c r="V4376" s="6">
        <v>32.81</v>
      </c>
      <c r="W4376" s="6">
        <f ca="1">IFERROR(__xludf.DUMMYFUNCTION("IFERROR(GOOGLEFINANCE(B4376,""pe""),V4376)"),32.81)</f>
        <v>32.81</v>
      </c>
      <c r="X4376" s="6">
        <v>1.2</v>
      </c>
      <c r="Y4376" s="6">
        <v>2.61</v>
      </c>
      <c r="Z4376" s="6">
        <v>1</v>
      </c>
      <c r="AA4376" s="8">
        <v>45352</v>
      </c>
      <c r="AB4376" s="4">
        <v>0</v>
      </c>
      <c r="AC4376" s="6">
        <v>5.94</v>
      </c>
      <c r="AD4376" s="6">
        <v>8.8000000000000007</v>
      </c>
      <c r="AE4376" s="1">
        <v>0</v>
      </c>
      <c r="AF4376" s="1">
        <f ca="1">IFERROR(__xludf.DUMMYFUNCTION("IFERROR(GOOGLEFINANCE(TRIM(F4376)&amp;"":"" &amp; TRIM(B4376),""high52""),AE4376)"),0)</f>
        <v>0</v>
      </c>
      <c r="AG4376" s="1">
        <v>0</v>
      </c>
      <c r="AH4376" s="1">
        <f ca="1">IFERROR(__xludf.DUMMYFUNCTION("IFERROR(GOOGLEFINANCE(TRIM(F4376)&amp;"":"" &amp; TRIM(B4376),""low52""),AE4376)"),0)</f>
        <v>0</v>
      </c>
      <c r="AI4376" s="1">
        <f ca="1">IFERROR(__xludf.DUMMYFUNCTION("IFERROR(GOOGLEFINANCE(B4376,""eps""),0)"),0)</f>
        <v>0</v>
      </c>
      <c r="AJ4376" s="1"/>
      <c r="AK4376" s="1" t="s">
        <v>13256</v>
      </c>
      <c r="AL4376" s="9">
        <f t="shared" si="391"/>
        <v>1</v>
      </c>
    </row>
    <row r="4377" spans="1:38" ht="15" x14ac:dyDescent="0.25">
      <c r="A4377" s="1" t="s">
        <v>13257</v>
      </c>
      <c r="B4377" s="1" t="s">
        <v>13258</v>
      </c>
      <c r="C4377" s="1" t="s">
        <v>125</v>
      </c>
      <c r="D4377" s="1" t="s">
        <v>125</v>
      </c>
      <c r="E4377" s="6">
        <v>10539.36</v>
      </c>
      <c r="F4377" s="1" t="s">
        <v>40</v>
      </c>
      <c r="G4377" s="6">
        <f ca="1">IFERROR(__xludf.DUMMYFUNCTION("iferror(GOOGLEFINANCE(TRIM(F4377)&amp;"":"" &amp; TRIM(B4377), ""price""),0
)"),7559.5)</f>
        <v>7559.5</v>
      </c>
      <c r="H4377" s="6">
        <v>10293.4</v>
      </c>
      <c r="I4377" s="6">
        <f t="shared" ca="1" si="0"/>
        <v>7559.5</v>
      </c>
      <c r="J4377" s="6">
        <f ca="1">IFERROR(__xludf.DUMMYFUNCTION("IFERROR(GOOGLEFINANCE(B4377, ""volume""), 0)"),45982)</f>
        <v>45982</v>
      </c>
      <c r="K4377" s="6">
        <v>-1.27</v>
      </c>
      <c r="L4377" s="6">
        <f ca="1">IFERROR(__xludf.DUMMYFUNCTION("IFERROR(GOOGLEFINANCE(B4377,""changepct""),K4377)"),3.24)</f>
        <v>3.24</v>
      </c>
      <c r="M4377" s="6">
        <f ca="1">IFERROR(__xludf.DUMMYFUNCTION("IFERROR(GOOGLEFINANCE(B4377,""change""),0)"),237.5)</f>
        <v>237.5</v>
      </c>
      <c r="N4377" s="6">
        <v>1</v>
      </c>
      <c r="O4377" s="7">
        <v>45536</v>
      </c>
      <c r="P4377" s="12"/>
      <c r="Q4377" s="6">
        <v>10530.97</v>
      </c>
      <c r="R4377" s="7">
        <v>45536</v>
      </c>
      <c r="S4377" s="6">
        <v>1738.54</v>
      </c>
      <c r="T4377" s="6">
        <v>343.33</v>
      </c>
      <c r="U4377" s="7">
        <v>45536</v>
      </c>
      <c r="V4377" s="6">
        <v>30.7</v>
      </c>
      <c r="W4377" s="6">
        <f ca="1">IFERROR(__xludf.DUMMYFUNCTION("IFERROR(GOOGLEFINANCE(B4377,""pe""),V4377)"),23.27)</f>
        <v>23.27</v>
      </c>
      <c r="X4377" s="6">
        <v>1.05</v>
      </c>
      <c r="Y4377" s="6">
        <v>7.43</v>
      </c>
      <c r="Z4377" s="6">
        <v>1</v>
      </c>
      <c r="AA4377" s="8">
        <v>45352</v>
      </c>
      <c r="AB4377" s="4">
        <v>0</v>
      </c>
      <c r="AC4377" s="6">
        <v>24.98</v>
      </c>
      <c r="AD4377" s="6">
        <v>32.51</v>
      </c>
      <c r="AE4377" s="1">
        <v>0</v>
      </c>
      <c r="AF4377" s="1">
        <f ca="1">IFERROR(__xludf.DUMMYFUNCTION("IFERROR(GOOGLEFINANCE(TRIM(F4377)&amp;"":"" &amp; TRIM(B4377),""high52""),AE4377)"),10088)</f>
        <v>10088</v>
      </c>
      <c r="AG4377" s="1">
        <v>0</v>
      </c>
      <c r="AH4377" s="1">
        <f ca="1">IFERROR(__xludf.DUMMYFUNCTION("IFERROR(GOOGLEFINANCE(TRIM(F4377)&amp;"":"" &amp; TRIM(B4377),""low52""),AE4377)"),6051)</f>
        <v>6051</v>
      </c>
      <c r="AI4377" s="1">
        <f ca="1">IFERROR(__xludf.DUMMYFUNCTION("IFERROR(GOOGLEFINANCE(B4377,""eps""),0)"),324.83)</f>
        <v>324.83</v>
      </c>
      <c r="AJ4377" s="1"/>
      <c r="AK4377" s="1" t="s">
        <v>13259</v>
      </c>
      <c r="AL4377" s="9">
        <f t="shared" si="391"/>
        <v>1</v>
      </c>
    </row>
    <row r="4378" spans="1:38" ht="15" x14ac:dyDescent="0.25">
      <c r="A4378" s="1" t="s">
        <v>13260</v>
      </c>
      <c r="B4378" s="1" t="s">
        <v>13261</v>
      </c>
      <c r="C4378" s="1" t="s">
        <v>227</v>
      </c>
      <c r="D4378" s="1" t="s">
        <v>227</v>
      </c>
      <c r="E4378" s="6">
        <v>356.54</v>
      </c>
      <c r="F4378" s="1" t="s">
        <v>53</v>
      </c>
      <c r="G4378" s="6">
        <f ca="1">IFERROR(__xludf.DUMMYFUNCTION("iferror(GOOGLEFINANCE(TRIM(F4378)&amp;"":"" &amp; TRIM(B4378), ""price""),0
)"),0)</f>
        <v>0</v>
      </c>
      <c r="H4378" s="6">
        <v>89.58</v>
      </c>
      <c r="I4378" s="6">
        <f t="shared" ca="1" si="0"/>
        <v>89.58</v>
      </c>
      <c r="J4378" s="6">
        <f ca="1">IFERROR(__xludf.DUMMYFUNCTION("IFERROR(GOOGLEFINANCE(B4378, ""volume""), 0)"),0)</f>
        <v>0</v>
      </c>
      <c r="K4378" s="6">
        <v>-0.57999999999999996</v>
      </c>
      <c r="L4378" s="6">
        <f ca="1">IFERROR(__xludf.DUMMYFUNCTION("IFERROR(GOOGLEFINANCE(B4378,""changepct""),K4378)"),-0.58)</f>
        <v>-0.57999999999999996</v>
      </c>
      <c r="M4378" s="6">
        <f ca="1">IFERROR(__xludf.DUMMYFUNCTION("IFERROR(GOOGLEFINANCE(B4378,""change""),0)"),0)</f>
        <v>0</v>
      </c>
      <c r="N4378" s="6">
        <v>2</v>
      </c>
      <c r="O4378" s="7">
        <v>45536</v>
      </c>
      <c r="P4378" s="6">
        <v>133.11000000000001</v>
      </c>
      <c r="Q4378" s="6">
        <v>430.58</v>
      </c>
      <c r="R4378" s="7">
        <v>45536</v>
      </c>
      <c r="S4378" s="6">
        <v>878.91</v>
      </c>
      <c r="T4378" s="6">
        <v>14.33</v>
      </c>
      <c r="U4378" s="7">
        <v>45536</v>
      </c>
      <c r="V4378" s="6">
        <v>24.88</v>
      </c>
      <c r="W4378" s="6">
        <f ca="1">IFERROR(__xludf.DUMMYFUNCTION("IFERROR(GOOGLEFINANCE(B4378,""pe""),V4378)"),24.88)</f>
        <v>24.88</v>
      </c>
      <c r="X4378" s="6">
        <v>0.18</v>
      </c>
      <c r="Y4378" s="6">
        <v>0.73</v>
      </c>
      <c r="Z4378" s="6">
        <v>2</v>
      </c>
      <c r="AA4378" s="8">
        <v>45352</v>
      </c>
      <c r="AB4378" s="4">
        <v>0.23</v>
      </c>
      <c r="AC4378" s="6">
        <v>2.33</v>
      </c>
      <c r="AD4378" s="6">
        <v>4.41</v>
      </c>
      <c r="AE4378" s="1">
        <v>0</v>
      </c>
      <c r="AF4378" s="1">
        <f ca="1">IFERROR(__xludf.DUMMYFUNCTION("IFERROR(GOOGLEFINANCE(TRIM(F4378)&amp;"":"" &amp; TRIM(B4378),""high52""),AE4378)"),0)</f>
        <v>0</v>
      </c>
      <c r="AG4378" s="1">
        <v>0</v>
      </c>
      <c r="AH4378" s="1">
        <f ca="1">IFERROR(__xludf.DUMMYFUNCTION("IFERROR(GOOGLEFINANCE(TRIM(F4378)&amp;"":"" &amp; TRIM(B4378),""low52""),AE4378)"),0)</f>
        <v>0</v>
      </c>
      <c r="AI4378" s="1">
        <f ca="1">IFERROR(__xludf.DUMMYFUNCTION("IFERROR(GOOGLEFINANCE(B4378,""eps""),0)"),0)</f>
        <v>0</v>
      </c>
      <c r="AJ4378" s="1"/>
      <c r="AK4378" s="1" t="s">
        <v>13262</v>
      </c>
      <c r="AL4378" s="9">
        <f t="shared" si="391"/>
        <v>1</v>
      </c>
    </row>
    <row r="4379" spans="1:38" ht="15" x14ac:dyDescent="0.25">
      <c r="A4379" s="1" t="s">
        <v>13263</v>
      </c>
      <c r="B4379" s="1" t="s">
        <v>13264</v>
      </c>
      <c r="C4379" s="1" t="s">
        <v>689</v>
      </c>
      <c r="D4379" s="1" t="s">
        <v>689</v>
      </c>
      <c r="E4379" s="6">
        <v>60740.51</v>
      </c>
      <c r="F4379" s="1" t="s">
        <v>40</v>
      </c>
      <c r="G4379" s="6">
        <f ca="1">IFERROR(__xludf.DUMMYFUNCTION("iferror(GOOGLEFINANCE(TRIM(F4379)&amp;"":"" &amp; TRIM(B4379), ""price""),0
)"),1326.2)</f>
        <v>1326.2</v>
      </c>
      <c r="H4379" s="6">
        <v>1857.45</v>
      </c>
      <c r="I4379" s="6">
        <f t="shared" ca="1" si="0"/>
        <v>1326.2</v>
      </c>
      <c r="J4379" s="6">
        <f ca="1">IFERROR(__xludf.DUMMYFUNCTION("IFERROR(GOOGLEFINANCE(B4379, ""volume""), 0)"),804266)</f>
        <v>804266</v>
      </c>
      <c r="K4379" s="6">
        <v>1.18</v>
      </c>
      <c r="L4379" s="6">
        <f ca="1">IFERROR(__xludf.DUMMYFUNCTION("IFERROR(GOOGLEFINANCE(B4379,""changepct""),K4379)"),2.43)</f>
        <v>2.4300000000000002</v>
      </c>
      <c r="M4379" s="6">
        <f ca="1">IFERROR(__xludf.DUMMYFUNCTION("IFERROR(GOOGLEFINANCE(B4379,""change""),0)"),31.4)</f>
        <v>31.4</v>
      </c>
      <c r="N4379" s="6">
        <v>2</v>
      </c>
      <c r="O4379" s="7">
        <v>45536</v>
      </c>
      <c r="P4379" s="6">
        <v>829.83</v>
      </c>
      <c r="Q4379" s="6">
        <v>60892.2</v>
      </c>
      <c r="R4379" s="7">
        <v>45536</v>
      </c>
      <c r="S4379" s="6">
        <v>14368.73</v>
      </c>
      <c r="T4379" s="6">
        <v>686.89</v>
      </c>
      <c r="U4379" s="7">
        <v>45536</v>
      </c>
      <c r="V4379" s="6">
        <v>109.59</v>
      </c>
      <c r="W4379" s="6">
        <f ca="1">IFERROR(__xludf.DUMMYFUNCTION("IFERROR(GOOGLEFINANCE(B4379,""pe""),V4379)"),87.6)</f>
        <v>87.6</v>
      </c>
      <c r="X4379" s="6">
        <v>-8.18</v>
      </c>
      <c r="Y4379" s="6">
        <v>9.67</v>
      </c>
      <c r="Z4379" s="6">
        <v>2</v>
      </c>
      <c r="AA4379" s="8">
        <v>45352</v>
      </c>
      <c r="AB4379" s="4">
        <v>0.12</v>
      </c>
      <c r="AC4379" s="6">
        <v>4.4000000000000004</v>
      </c>
      <c r="AD4379" s="6">
        <v>8.6</v>
      </c>
      <c r="AE4379" s="1">
        <v>0</v>
      </c>
      <c r="AF4379" s="1">
        <f ca="1">IFERROR(__xludf.DUMMYFUNCTION("IFERROR(GOOGLEFINANCE(TRIM(F4379)&amp;"":"" &amp; TRIM(B4379),""high52""),AE4379)"),1531)</f>
        <v>1531</v>
      </c>
      <c r="AG4379" s="1">
        <v>0</v>
      </c>
      <c r="AH4379" s="1">
        <f ca="1">IFERROR(__xludf.DUMMYFUNCTION("IFERROR(GOOGLEFINANCE(TRIM(F4379)&amp;"":"" &amp; TRIM(B4379),""low52""),AE4379)"),1182.7)</f>
        <v>1182.7</v>
      </c>
      <c r="AI4379" s="1">
        <f ca="1">IFERROR(__xludf.DUMMYFUNCTION("IFERROR(GOOGLEFINANCE(B4379,""eps""),0)"),15.14)</f>
        <v>15.14</v>
      </c>
      <c r="AJ4379" s="1"/>
      <c r="AK4379" s="1" t="s">
        <v>13265</v>
      </c>
      <c r="AL4379" s="1" t="b">
        <f>ISNUMBER(AA4379)</f>
        <v>1</v>
      </c>
    </row>
    <row r="4380" spans="1:38" ht="15" x14ac:dyDescent="0.25">
      <c r="A4380" s="1" t="s">
        <v>13266</v>
      </c>
      <c r="B4380" s="1" t="s">
        <v>13267</v>
      </c>
      <c r="C4380" s="1" t="s">
        <v>227</v>
      </c>
      <c r="D4380" s="1" t="s">
        <v>227</v>
      </c>
      <c r="E4380" s="6">
        <v>6.74</v>
      </c>
      <c r="F4380" s="1" t="s">
        <v>53</v>
      </c>
      <c r="G4380" s="6">
        <f ca="1">IFERROR(__xludf.DUMMYFUNCTION("iferror(GOOGLEFINANCE(TRIM(F4380)&amp;"":"" &amp; TRIM(B4380), ""price""),0
)"),0)</f>
        <v>0</v>
      </c>
      <c r="H4380" s="6">
        <v>2356.1</v>
      </c>
      <c r="I4380" s="6">
        <f t="shared" ca="1" si="0"/>
        <v>2356.1</v>
      </c>
      <c r="J4380" s="6">
        <f ca="1">IFERROR(__xludf.DUMMYFUNCTION("IFERROR(GOOGLEFINANCE(B4380, ""volume""), 0)"),0)</f>
        <v>0</v>
      </c>
      <c r="K4380" s="6">
        <v>5</v>
      </c>
      <c r="L4380" s="6">
        <f ca="1">IFERROR(__xludf.DUMMYFUNCTION("IFERROR(GOOGLEFINANCE(B4380,""changepct""),K4380)"),5)</f>
        <v>5</v>
      </c>
      <c r="M4380" s="6">
        <f ca="1">IFERROR(__xludf.DUMMYFUNCTION("IFERROR(GOOGLEFINANCE(B4380,""change""),0)"),0)</f>
        <v>0</v>
      </c>
      <c r="N4380" s="6">
        <v>1</v>
      </c>
      <c r="O4380" s="7">
        <v>45536</v>
      </c>
      <c r="P4380" s="6">
        <v>12.44</v>
      </c>
      <c r="Q4380" s="6">
        <v>19.18</v>
      </c>
      <c r="R4380" s="7">
        <v>45536</v>
      </c>
      <c r="S4380" s="6">
        <v>0</v>
      </c>
      <c r="T4380" s="6">
        <v>-0.17</v>
      </c>
      <c r="U4380" s="7">
        <v>45536</v>
      </c>
      <c r="V4380" s="6">
        <v>0</v>
      </c>
      <c r="W4380" s="6">
        <f ca="1">IFERROR(__xludf.DUMMYFUNCTION("IFERROR(GOOGLEFINANCE(B4380,""pe""),V4380)"),0)</f>
        <v>0</v>
      </c>
      <c r="X4380" s="9"/>
      <c r="Y4380" s="6">
        <v>-0.56000000000000005</v>
      </c>
      <c r="Z4380" s="6">
        <v>1</v>
      </c>
      <c r="AA4380" s="8">
        <v>45352</v>
      </c>
      <c r="AB4380" s="4">
        <v>-1.0900000000000001</v>
      </c>
      <c r="AC4380" s="6">
        <v>0</v>
      </c>
      <c r="AD4380" s="6">
        <v>12.64</v>
      </c>
      <c r="AE4380" s="1">
        <v>0</v>
      </c>
      <c r="AF4380" s="1">
        <f ca="1">IFERROR(__xludf.DUMMYFUNCTION("IFERROR(GOOGLEFINANCE(TRIM(F4380)&amp;"":"" &amp; TRIM(B4380),""high52""),AE4380)"),0)</f>
        <v>0</v>
      </c>
      <c r="AG4380" s="1">
        <v>0</v>
      </c>
      <c r="AH4380" s="1">
        <f ca="1">IFERROR(__xludf.DUMMYFUNCTION("IFERROR(GOOGLEFINANCE(TRIM(F4380)&amp;"":"" &amp; TRIM(B4380),""low52""),AE4380)"),0)</f>
        <v>0</v>
      </c>
      <c r="AI4380" s="1">
        <f ca="1">IFERROR(__xludf.DUMMYFUNCTION("IFERROR(GOOGLEFINANCE(B4380,""eps""),0)"),0)</f>
        <v>0</v>
      </c>
      <c r="AJ4380" s="1"/>
      <c r="AK4380" s="1" t="s">
        <v>13268</v>
      </c>
      <c r="AL4380" s="9">
        <f t="shared" ref="AL4380:AL4418" si="392">IF(AA4380&lt;&gt;AB4380,1,0)</f>
        <v>1</v>
      </c>
    </row>
    <row r="4381" spans="1:38" ht="15" x14ac:dyDescent="0.25">
      <c r="A4381" s="1" t="s">
        <v>13269</v>
      </c>
      <c r="B4381" s="1" t="s">
        <v>13270</v>
      </c>
      <c r="C4381" s="1" t="s">
        <v>487</v>
      </c>
      <c r="D4381" s="1" t="s">
        <v>487</v>
      </c>
      <c r="E4381" s="6">
        <v>281.85000000000002</v>
      </c>
      <c r="F4381" s="1" t="s">
        <v>40</v>
      </c>
      <c r="G4381" s="6">
        <f ca="1">IFERROR(__xludf.DUMMYFUNCTION("iferror(GOOGLEFINANCE(TRIM(F4381)&amp;"":"" &amp; TRIM(B4381), ""price""),0
)"),0)</f>
        <v>0</v>
      </c>
      <c r="H4381" s="6">
        <v>317.39999999999998</v>
      </c>
      <c r="I4381" s="6">
        <f t="shared" ca="1" si="0"/>
        <v>317.39999999999998</v>
      </c>
      <c r="J4381" s="6">
        <f ca="1">IFERROR(__xludf.DUMMYFUNCTION("IFERROR(GOOGLEFINANCE(B4381, ""volume""), 0)"),0)</f>
        <v>0</v>
      </c>
      <c r="K4381" s="9"/>
      <c r="L4381" s="6" t="str">
        <f ca="1">IFERROR(__xludf.DUMMYFUNCTION("IFERROR(GOOGLEFINANCE(B4381,""changepct""),K4381)"),"")</f>
        <v/>
      </c>
      <c r="M4381" s="6">
        <f ca="1">IFERROR(__xludf.DUMMYFUNCTION("IFERROR(GOOGLEFINANCE(B4381,""change""),0)"),0)</f>
        <v>0</v>
      </c>
      <c r="N4381" s="6">
        <v>1</v>
      </c>
      <c r="O4381" s="7">
        <v>45536</v>
      </c>
      <c r="P4381" s="9"/>
      <c r="Q4381" s="6">
        <v>281.85000000000002</v>
      </c>
      <c r="R4381" s="7">
        <v>45352</v>
      </c>
      <c r="S4381" s="6">
        <v>11.27</v>
      </c>
      <c r="T4381" s="6">
        <v>2.13</v>
      </c>
      <c r="U4381" s="7">
        <v>45352</v>
      </c>
      <c r="V4381" s="6">
        <v>132.36000000000001</v>
      </c>
      <c r="W4381" s="6">
        <f ca="1">IFERROR(__xludf.DUMMYFUNCTION("IFERROR(GOOGLEFINANCE(B4381,""pe""),V4381)"),132.36)</f>
        <v>132.36000000000001</v>
      </c>
      <c r="X4381" s="9"/>
      <c r="Y4381" s="6">
        <v>8.2200000000000006</v>
      </c>
      <c r="Z4381" s="6">
        <v>2</v>
      </c>
      <c r="AA4381" s="8">
        <v>45352</v>
      </c>
      <c r="AB4381" s="4">
        <v>0.16</v>
      </c>
      <c r="AC4381" s="6">
        <v>10.28</v>
      </c>
      <c r="AD4381" s="6">
        <v>12.37</v>
      </c>
      <c r="AE4381" s="1">
        <v>0</v>
      </c>
      <c r="AF4381" s="1">
        <f ca="1">IFERROR(__xludf.DUMMYFUNCTION("IFERROR(GOOGLEFINANCE(TRIM(F4381)&amp;"":"" &amp; TRIM(B4381),""high52""),AE4381)"),0)</f>
        <v>0</v>
      </c>
      <c r="AG4381" s="1">
        <v>0</v>
      </c>
      <c r="AH4381" s="1">
        <f ca="1">IFERROR(__xludf.DUMMYFUNCTION("IFERROR(GOOGLEFINANCE(TRIM(F4381)&amp;"":"" &amp; TRIM(B4381),""low52""),AE4381)"),0)</f>
        <v>0</v>
      </c>
      <c r="AI4381" s="1">
        <f ca="1">IFERROR(__xludf.DUMMYFUNCTION("IFERROR(GOOGLEFINANCE(B4381,""eps""),0)"),0)</f>
        <v>0</v>
      </c>
      <c r="AJ4381" s="1"/>
      <c r="AK4381" s="1" t="s">
        <v>13271</v>
      </c>
      <c r="AL4381" s="9">
        <f t="shared" si="392"/>
        <v>1</v>
      </c>
    </row>
    <row r="4382" spans="1:38" ht="15" x14ac:dyDescent="0.25">
      <c r="A4382" s="1" t="s">
        <v>13272</v>
      </c>
      <c r="B4382" s="1" t="s">
        <v>13273</v>
      </c>
      <c r="C4382" s="1" t="s">
        <v>227</v>
      </c>
      <c r="D4382" s="1" t="s">
        <v>227</v>
      </c>
      <c r="E4382" s="6">
        <v>142.65</v>
      </c>
      <c r="F4382" s="1" t="s">
        <v>53</v>
      </c>
      <c r="G4382" s="6">
        <f ca="1">IFERROR(__xludf.DUMMYFUNCTION("iferror(GOOGLEFINANCE(TRIM(F4382)&amp;"":"" &amp; TRIM(B4382), ""price""),0
)"),0)</f>
        <v>0</v>
      </c>
      <c r="H4382" s="6">
        <v>141</v>
      </c>
      <c r="I4382" s="6">
        <f t="shared" ca="1" si="0"/>
        <v>141</v>
      </c>
      <c r="J4382" s="6">
        <f ca="1">IFERROR(__xludf.DUMMYFUNCTION("IFERROR(GOOGLEFINANCE(B4382, ""volume""), 0)"),0)</f>
        <v>0</v>
      </c>
      <c r="K4382" s="12"/>
      <c r="L4382" s="6" t="str">
        <f ca="1">IFERROR(__xludf.DUMMYFUNCTION("IFERROR(GOOGLEFINANCE(B4382,""changepct""),K4382)"),"")</f>
        <v/>
      </c>
      <c r="M4382" s="6">
        <f ca="1">IFERROR(__xludf.DUMMYFUNCTION("IFERROR(GOOGLEFINANCE(B4382,""change""),0)"),0)</f>
        <v>0</v>
      </c>
      <c r="N4382" s="6">
        <v>2</v>
      </c>
      <c r="O4382" s="7">
        <v>45536</v>
      </c>
      <c r="P4382" s="6">
        <v>12.09</v>
      </c>
      <c r="Q4382" s="6">
        <v>144.41</v>
      </c>
      <c r="R4382" s="7">
        <v>45536</v>
      </c>
      <c r="S4382" s="6">
        <v>12.87</v>
      </c>
      <c r="T4382" s="6">
        <v>2.42</v>
      </c>
      <c r="U4382" s="7">
        <v>45536</v>
      </c>
      <c r="V4382" s="6">
        <v>61.41</v>
      </c>
      <c r="W4382" s="6">
        <f ca="1">IFERROR(__xludf.DUMMYFUNCTION("IFERROR(GOOGLEFINANCE(B4382,""pe""),V4382)"),61.41)</f>
        <v>61.41</v>
      </c>
      <c r="X4382" s="9"/>
      <c r="Y4382" s="6">
        <v>10.77</v>
      </c>
      <c r="Z4382" s="6">
        <v>2</v>
      </c>
      <c r="AA4382" s="8">
        <v>45352</v>
      </c>
      <c r="AB4382" s="4">
        <v>1.05</v>
      </c>
      <c r="AC4382" s="6">
        <v>14.79</v>
      </c>
      <c r="AD4382" s="6">
        <v>14.28</v>
      </c>
      <c r="AE4382" s="1">
        <v>0</v>
      </c>
      <c r="AF4382" s="1">
        <f ca="1">IFERROR(__xludf.DUMMYFUNCTION("IFERROR(GOOGLEFINANCE(TRIM(F4382)&amp;"":"" &amp; TRIM(B4382),""high52""),AE4382)"),0)</f>
        <v>0</v>
      </c>
      <c r="AG4382" s="1">
        <v>0</v>
      </c>
      <c r="AH4382" s="1">
        <f ca="1">IFERROR(__xludf.DUMMYFUNCTION("IFERROR(GOOGLEFINANCE(TRIM(F4382)&amp;"":"" &amp; TRIM(B4382),""low52""),AE4382)"),0)</f>
        <v>0</v>
      </c>
      <c r="AI4382" s="1">
        <f ca="1">IFERROR(__xludf.DUMMYFUNCTION("IFERROR(GOOGLEFINANCE(B4382,""eps""),0)"),0)</f>
        <v>0</v>
      </c>
      <c r="AJ4382" s="1"/>
      <c r="AK4382" s="1" t="s">
        <v>13274</v>
      </c>
      <c r="AL4382" s="9">
        <f t="shared" si="392"/>
        <v>1</v>
      </c>
    </row>
    <row r="4383" spans="1:38" ht="15" x14ac:dyDescent="0.25">
      <c r="A4383" s="1" t="s">
        <v>13275</v>
      </c>
      <c r="B4383" s="1" t="s">
        <v>13276</v>
      </c>
      <c r="C4383" s="1" t="s">
        <v>227</v>
      </c>
      <c r="D4383" s="1" t="s">
        <v>227</v>
      </c>
      <c r="E4383" s="6">
        <v>234.65</v>
      </c>
      <c r="F4383" s="1" t="s">
        <v>53</v>
      </c>
      <c r="G4383" s="6">
        <f ca="1">IFERROR(__xludf.DUMMYFUNCTION("iferror(GOOGLEFINANCE(TRIM(F4383)&amp;"":"" &amp; TRIM(B4383), ""price""),0
)"),0)</f>
        <v>0</v>
      </c>
      <c r="H4383" s="6">
        <v>273.8</v>
      </c>
      <c r="I4383" s="6">
        <f t="shared" ca="1" si="0"/>
        <v>273.8</v>
      </c>
      <c r="J4383" s="6">
        <f ca="1">IFERROR(__xludf.DUMMYFUNCTION("IFERROR(GOOGLEFINANCE(B4383, ""volume""), 0)"),0)</f>
        <v>0</v>
      </c>
      <c r="K4383" s="6">
        <v>-1.99</v>
      </c>
      <c r="L4383" s="6">
        <f ca="1">IFERROR(__xludf.DUMMYFUNCTION("IFERROR(GOOGLEFINANCE(B4383,""changepct""),K4383)"),-1.99)</f>
        <v>-1.99</v>
      </c>
      <c r="M4383" s="6">
        <f ca="1">IFERROR(__xludf.DUMMYFUNCTION("IFERROR(GOOGLEFINANCE(B4383,""change""),0)"),0)</f>
        <v>0</v>
      </c>
      <c r="N4383" s="6">
        <v>1</v>
      </c>
      <c r="O4383" s="7">
        <v>45536</v>
      </c>
      <c r="P4383" s="6">
        <v>6.25</v>
      </c>
      <c r="Q4383" s="6">
        <v>239.55</v>
      </c>
      <c r="R4383" s="7">
        <v>45536</v>
      </c>
      <c r="S4383" s="6">
        <v>115.69</v>
      </c>
      <c r="T4383" s="6">
        <v>10.4</v>
      </c>
      <c r="U4383" s="7">
        <v>45536</v>
      </c>
      <c r="V4383" s="6">
        <v>22.56</v>
      </c>
      <c r="W4383" s="6">
        <f ca="1">IFERROR(__xludf.DUMMYFUNCTION("IFERROR(GOOGLEFINANCE(B4383,""pe""),V4383)"),22.56)</f>
        <v>22.56</v>
      </c>
      <c r="X4383" s="6">
        <v>0.11</v>
      </c>
      <c r="Y4383" s="6">
        <v>3.42</v>
      </c>
      <c r="Z4383" s="6">
        <v>1</v>
      </c>
      <c r="AA4383" s="8">
        <v>45352</v>
      </c>
      <c r="AB4383" s="4">
        <v>0.28999999999999998</v>
      </c>
      <c r="AC4383" s="6">
        <v>27.98</v>
      </c>
      <c r="AD4383" s="6">
        <v>33.9</v>
      </c>
      <c r="AE4383" s="1">
        <v>0</v>
      </c>
      <c r="AF4383" s="1">
        <f ca="1">IFERROR(__xludf.DUMMYFUNCTION("IFERROR(GOOGLEFINANCE(TRIM(F4383)&amp;"":"" &amp; TRIM(B4383),""high52""),AE4383)"),0)</f>
        <v>0</v>
      </c>
      <c r="AG4383" s="1">
        <v>0</v>
      </c>
      <c r="AH4383" s="1">
        <f ca="1">IFERROR(__xludf.DUMMYFUNCTION("IFERROR(GOOGLEFINANCE(TRIM(F4383)&amp;"":"" &amp; TRIM(B4383),""low52""),AE4383)"),0)</f>
        <v>0</v>
      </c>
      <c r="AI4383" s="1">
        <f ca="1">IFERROR(__xludf.DUMMYFUNCTION("IFERROR(GOOGLEFINANCE(B4383,""eps""),0)"),0)</f>
        <v>0</v>
      </c>
      <c r="AJ4383" s="1"/>
      <c r="AK4383" s="9"/>
      <c r="AL4383" s="9">
        <f t="shared" si="392"/>
        <v>1</v>
      </c>
    </row>
    <row r="4384" spans="1:38" ht="15" x14ac:dyDescent="0.25">
      <c r="A4384" s="1" t="s">
        <v>13277</v>
      </c>
      <c r="B4384" s="1" t="s">
        <v>13278</v>
      </c>
      <c r="C4384" s="1" t="s">
        <v>219</v>
      </c>
      <c r="D4384" s="1" t="s">
        <v>219</v>
      </c>
      <c r="E4384" s="6">
        <v>734.52</v>
      </c>
      <c r="F4384" s="1" t="s">
        <v>40</v>
      </c>
      <c r="G4384" s="6">
        <f ca="1">IFERROR(__xludf.DUMMYFUNCTION("iferror(GOOGLEFINANCE(TRIM(F4384)&amp;"":"" &amp; TRIM(B4384), ""price""),0
)"),122.48)</f>
        <v>122.48</v>
      </c>
      <c r="H4384" s="6">
        <v>222.69</v>
      </c>
      <c r="I4384" s="6">
        <f t="shared" ca="1" si="0"/>
        <v>122.48</v>
      </c>
      <c r="J4384" s="6">
        <f ca="1">IFERROR(__xludf.DUMMYFUNCTION("IFERROR(GOOGLEFINANCE(B4384, ""volume""), 0)"),12602)</f>
        <v>12602</v>
      </c>
      <c r="K4384" s="6">
        <v>-0.08</v>
      </c>
      <c r="L4384" s="6">
        <f ca="1">IFERROR(__xludf.DUMMYFUNCTION("IFERROR(GOOGLEFINANCE(B4384,""changepct""),K4384)"),-1.44)</f>
        <v>-1.44</v>
      </c>
      <c r="M4384" s="6">
        <f ca="1">IFERROR(__xludf.DUMMYFUNCTION("IFERROR(GOOGLEFINANCE(B4384,""change""),0)"),-1.79)</f>
        <v>-1.79</v>
      </c>
      <c r="N4384" s="6">
        <v>2</v>
      </c>
      <c r="O4384" s="7">
        <v>45536</v>
      </c>
      <c r="P4384" s="6">
        <v>5.15</v>
      </c>
      <c r="Q4384" s="6">
        <v>679.88</v>
      </c>
      <c r="R4384" s="7">
        <v>45352</v>
      </c>
      <c r="S4384" s="6">
        <v>419.86</v>
      </c>
      <c r="T4384" s="6">
        <v>54.12</v>
      </c>
      <c r="U4384" s="7">
        <v>45352</v>
      </c>
      <c r="V4384" s="6">
        <v>12.79</v>
      </c>
      <c r="W4384" s="6">
        <f ca="1">IFERROR(__xludf.DUMMYFUNCTION("IFERROR(GOOGLEFINANCE(B4384,""pe""),V4384)"),11.74)</f>
        <v>11.74</v>
      </c>
      <c r="X4384" s="12"/>
      <c r="Y4384" s="6">
        <v>1.94</v>
      </c>
      <c r="Z4384" s="6">
        <v>2</v>
      </c>
      <c r="AA4384" s="8">
        <v>45352</v>
      </c>
      <c r="AB4384" s="4">
        <v>0.31</v>
      </c>
      <c r="AC4384" s="6">
        <v>33.65</v>
      </c>
      <c r="AD4384" s="6">
        <v>37</v>
      </c>
      <c r="AE4384" s="1">
        <v>0</v>
      </c>
      <c r="AF4384" s="1">
        <f ca="1">IFERROR(__xludf.DUMMYFUNCTION("IFERROR(GOOGLEFINANCE(TRIM(F4384)&amp;"":"" &amp; TRIM(B4384),""high52""),AE4384)"),196.94)</f>
        <v>196.94</v>
      </c>
      <c r="AG4384" s="1">
        <v>0</v>
      </c>
      <c r="AH4384" s="1">
        <f ca="1">IFERROR(__xludf.DUMMYFUNCTION("IFERROR(GOOGLEFINANCE(TRIM(F4384)&amp;"":"" &amp; TRIM(B4384),""low52""),AE4384)"),119)</f>
        <v>119</v>
      </c>
      <c r="AI4384" s="1">
        <f ca="1">IFERROR(__xludf.DUMMYFUNCTION("IFERROR(GOOGLEFINANCE(B4384,""eps""),0)"),10.43)</f>
        <v>10.43</v>
      </c>
      <c r="AJ4384" s="1"/>
      <c r="AK4384" s="1" t="s">
        <v>13279</v>
      </c>
      <c r="AL4384" s="9">
        <f t="shared" si="392"/>
        <v>1</v>
      </c>
    </row>
    <row r="4385" spans="1:38" ht="15" x14ac:dyDescent="0.25">
      <c r="A4385" s="1" t="s">
        <v>13280</v>
      </c>
      <c r="B4385" s="1" t="s">
        <v>13281</v>
      </c>
      <c r="C4385" s="1" t="s">
        <v>227</v>
      </c>
      <c r="D4385" s="1" t="s">
        <v>227</v>
      </c>
      <c r="E4385" s="6">
        <v>48.85</v>
      </c>
      <c r="F4385" s="1" t="s">
        <v>53</v>
      </c>
      <c r="G4385" s="6">
        <f ca="1">IFERROR(__xludf.DUMMYFUNCTION("iferror(GOOGLEFINANCE(TRIM(F4385)&amp;"":"" &amp; TRIM(B4385), ""price""),0
)"),0)</f>
        <v>0</v>
      </c>
      <c r="H4385" s="6">
        <v>8.17</v>
      </c>
      <c r="I4385" s="6">
        <f t="shared" ca="1" si="0"/>
        <v>8.17</v>
      </c>
      <c r="J4385" s="6">
        <f ca="1">IFERROR(__xludf.DUMMYFUNCTION("IFERROR(GOOGLEFINANCE(B4385, ""volume""), 0)"),0)</f>
        <v>0</v>
      </c>
      <c r="K4385" s="6">
        <v>0.25</v>
      </c>
      <c r="L4385" s="6">
        <f ca="1">IFERROR(__xludf.DUMMYFUNCTION("IFERROR(GOOGLEFINANCE(B4385,""changepct""),K4385)"),0.25)</f>
        <v>0.25</v>
      </c>
      <c r="M4385" s="6">
        <f ca="1">IFERROR(__xludf.DUMMYFUNCTION("IFERROR(GOOGLEFINANCE(B4385,""change""),0)"),0)</f>
        <v>0</v>
      </c>
      <c r="N4385" s="6">
        <v>1</v>
      </c>
      <c r="O4385" s="7">
        <v>45536</v>
      </c>
      <c r="P4385" s="9"/>
      <c r="Q4385" s="6">
        <v>48.85</v>
      </c>
      <c r="R4385" s="7">
        <v>45536</v>
      </c>
      <c r="S4385" s="6">
        <v>1.56</v>
      </c>
      <c r="T4385" s="6">
        <v>-0.4</v>
      </c>
      <c r="U4385" s="7">
        <v>45536</v>
      </c>
      <c r="V4385" s="6">
        <v>0</v>
      </c>
      <c r="W4385" s="6">
        <f ca="1">IFERROR(__xludf.DUMMYFUNCTION("IFERROR(GOOGLEFINANCE(B4385,""pe""),V4385)"),0)</f>
        <v>0</v>
      </c>
      <c r="X4385" s="6">
        <v>0</v>
      </c>
      <c r="Y4385" s="6">
        <v>0.8</v>
      </c>
      <c r="Z4385" s="6">
        <v>1</v>
      </c>
      <c r="AA4385" s="8">
        <v>45352</v>
      </c>
      <c r="AB4385" s="4">
        <v>0</v>
      </c>
      <c r="AC4385" s="6">
        <v>2.4</v>
      </c>
      <c r="AD4385" s="6">
        <v>3.26</v>
      </c>
      <c r="AE4385" s="1">
        <v>0</v>
      </c>
      <c r="AF4385" s="1">
        <f ca="1">IFERROR(__xludf.DUMMYFUNCTION("IFERROR(GOOGLEFINANCE(TRIM(F4385)&amp;"":"" &amp; TRIM(B4385),""high52""),AE4385)"),0)</f>
        <v>0</v>
      </c>
      <c r="AG4385" s="1">
        <v>0</v>
      </c>
      <c r="AH4385" s="1">
        <f ca="1">IFERROR(__xludf.DUMMYFUNCTION("IFERROR(GOOGLEFINANCE(TRIM(F4385)&amp;"":"" &amp; TRIM(B4385),""low52""),AE4385)"),0)</f>
        <v>0</v>
      </c>
      <c r="AI4385" s="1">
        <f ca="1">IFERROR(__xludf.DUMMYFUNCTION("IFERROR(GOOGLEFINANCE(B4385,""eps""),0)"),0)</f>
        <v>0</v>
      </c>
      <c r="AJ4385" s="1"/>
      <c r="AK4385" s="1" t="s">
        <v>13282</v>
      </c>
      <c r="AL4385" s="9">
        <f t="shared" si="392"/>
        <v>1</v>
      </c>
    </row>
    <row r="4386" spans="1:38" ht="15" x14ac:dyDescent="0.25">
      <c r="A4386" s="1" t="s">
        <v>13283</v>
      </c>
      <c r="B4386" s="1" t="s">
        <v>13284</v>
      </c>
      <c r="C4386" s="1" t="s">
        <v>227</v>
      </c>
      <c r="D4386" s="1" t="s">
        <v>227</v>
      </c>
      <c r="E4386" s="6">
        <v>44.51</v>
      </c>
      <c r="F4386" s="1" t="s">
        <v>53</v>
      </c>
      <c r="G4386" s="6">
        <f ca="1">IFERROR(__xludf.DUMMYFUNCTION("iferror(GOOGLEFINANCE(TRIM(F4386)&amp;"":"" &amp; TRIM(B4386), ""price""),0
)"),0)</f>
        <v>0</v>
      </c>
      <c r="H4386" s="6">
        <v>83.05</v>
      </c>
      <c r="I4386" s="6">
        <f t="shared" ca="1" si="0"/>
        <v>83.05</v>
      </c>
      <c r="J4386" s="6">
        <f ca="1">IFERROR(__xludf.DUMMYFUNCTION("IFERROR(GOOGLEFINANCE(B4386, ""volume""), 0)"),0)</f>
        <v>0</v>
      </c>
      <c r="K4386" s="6">
        <v>-3.51</v>
      </c>
      <c r="L4386" s="6">
        <f ca="1">IFERROR(__xludf.DUMMYFUNCTION("IFERROR(GOOGLEFINANCE(B4386,""changepct""),K4386)"),-3.51)</f>
        <v>-3.51</v>
      </c>
      <c r="M4386" s="6">
        <f ca="1">IFERROR(__xludf.DUMMYFUNCTION("IFERROR(GOOGLEFINANCE(B4386,""change""),0)"),0)</f>
        <v>0</v>
      </c>
      <c r="N4386" s="6">
        <v>1</v>
      </c>
      <c r="O4386" s="7">
        <v>45536</v>
      </c>
      <c r="P4386" s="9"/>
      <c r="Q4386" s="6">
        <v>44.07</v>
      </c>
      <c r="R4386" s="7">
        <v>45536</v>
      </c>
      <c r="S4386" s="6">
        <v>0</v>
      </c>
      <c r="T4386" s="6">
        <v>1.28</v>
      </c>
      <c r="U4386" s="7">
        <v>45536</v>
      </c>
      <c r="V4386" s="6">
        <v>34.64</v>
      </c>
      <c r="W4386" s="6">
        <f ca="1">IFERROR(__xludf.DUMMYFUNCTION("IFERROR(GOOGLEFINANCE(B4386,""pe""),V4386)"),34.64)</f>
        <v>34.64</v>
      </c>
      <c r="X4386" s="12"/>
      <c r="Y4386" s="6">
        <v>25.49</v>
      </c>
      <c r="Z4386" s="6">
        <v>1</v>
      </c>
      <c r="AA4386" s="8">
        <v>45352</v>
      </c>
      <c r="AB4386" s="4">
        <v>0</v>
      </c>
      <c r="AC4386" s="6">
        <v>-7.55</v>
      </c>
      <c r="AD4386" s="6">
        <v>-7.53</v>
      </c>
      <c r="AE4386" s="1">
        <v>0</v>
      </c>
      <c r="AF4386" s="1">
        <f ca="1">IFERROR(__xludf.DUMMYFUNCTION("IFERROR(GOOGLEFINANCE(TRIM(F4386)&amp;"":"" &amp; TRIM(B4386),""high52""),AE4386)"),0)</f>
        <v>0</v>
      </c>
      <c r="AG4386" s="1">
        <v>0</v>
      </c>
      <c r="AH4386" s="1">
        <f ca="1">IFERROR(__xludf.DUMMYFUNCTION("IFERROR(GOOGLEFINANCE(TRIM(F4386)&amp;"":"" &amp; TRIM(B4386),""low52""),AE4386)"),0)</f>
        <v>0</v>
      </c>
      <c r="AI4386" s="1">
        <f ca="1">IFERROR(__xludf.DUMMYFUNCTION("IFERROR(GOOGLEFINANCE(B4386,""eps""),0)"),0)</f>
        <v>0</v>
      </c>
      <c r="AJ4386" s="1"/>
      <c r="AK4386" s="1" t="s">
        <v>13285</v>
      </c>
      <c r="AL4386" s="9">
        <f t="shared" si="392"/>
        <v>1</v>
      </c>
    </row>
    <row r="4387" spans="1:38" ht="15" x14ac:dyDescent="0.25">
      <c r="A4387" s="1" t="s">
        <v>13286</v>
      </c>
      <c r="B4387" s="1" t="s">
        <v>13287</v>
      </c>
      <c r="C4387" s="1" t="s">
        <v>259</v>
      </c>
      <c r="D4387" s="1" t="s">
        <v>259</v>
      </c>
      <c r="E4387" s="6">
        <v>4518.62</v>
      </c>
      <c r="F4387" s="1" t="s">
        <v>40</v>
      </c>
      <c r="G4387" s="6">
        <f ca="1">IFERROR(__xludf.DUMMYFUNCTION("iferror(GOOGLEFINANCE(TRIM(F4387)&amp;"":"" &amp; TRIM(B4387), ""price""),0
)"),272.8)</f>
        <v>272.8</v>
      </c>
      <c r="H4387" s="6">
        <v>514.1</v>
      </c>
      <c r="I4387" s="6">
        <f t="shared" ca="1" si="0"/>
        <v>272.8</v>
      </c>
      <c r="J4387" s="6">
        <f ca="1">IFERROR(__xludf.DUMMYFUNCTION("IFERROR(GOOGLEFINANCE(B4387, ""volume""), 0)"),119607)</f>
        <v>119607</v>
      </c>
      <c r="K4387" s="6">
        <v>-0.17</v>
      </c>
      <c r="L4387" s="6">
        <f ca="1">IFERROR(__xludf.DUMMYFUNCTION("IFERROR(GOOGLEFINANCE(B4387,""changepct""),K4387)"),-0.11)</f>
        <v>-0.11</v>
      </c>
      <c r="M4387" s="6">
        <f ca="1">IFERROR(__xludf.DUMMYFUNCTION("IFERROR(GOOGLEFINANCE(B4387,""change""),0)"),-0.3)</f>
        <v>-0.3</v>
      </c>
      <c r="N4387" s="6">
        <v>1</v>
      </c>
      <c r="O4387" s="7">
        <v>45536</v>
      </c>
      <c r="P4387" s="6">
        <v>282.91000000000003</v>
      </c>
      <c r="Q4387" s="6">
        <v>4776.53</v>
      </c>
      <c r="R4387" s="7">
        <v>45536</v>
      </c>
      <c r="S4387" s="6">
        <v>3031.76</v>
      </c>
      <c r="T4387" s="6">
        <v>84.45</v>
      </c>
      <c r="U4387" s="7">
        <v>45536</v>
      </c>
      <c r="V4387" s="6">
        <v>53.51</v>
      </c>
      <c r="W4387" s="6">
        <f ca="1">IFERROR(__xludf.DUMMYFUNCTION("IFERROR(GOOGLEFINANCE(B4387,""pe""),V4387)"),20.44)</f>
        <v>20.440000000000001</v>
      </c>
      <c r="X4387" s="6">
        <v>-70.41</v>
      </c>
      <c r="Y4387" s="6">
        <v>4.54</v>
      </c>
      <c r="Z4387" s="6">
        <v>1</v>
      </c>
      <c r="AA4387" s="8">
        <v>45352</v>
      </c>
      <c r="AB4387" s="4">
        <v>0.3</v>
      </c>
      <c r="AC4387" s="6">
        <v>9.27</v>
      </c>
      <c r="AD4387" s="6">
        <v>16.8</v>
      </c>
      <c r="AE4387" s="1">
        <v>0</v>
      </c>
      <c r="AF4387" s="1">
        <f ca="1">IFERROR(__xludf.DUMMYFUNCTION("IFERROR(GOOGLEFINANCE(TRIM(F4387)&amp;"":"" &amp; TRIM(B4387),""high52""),AE4387)"),324.5)</f>
        <v>324.5</v>
      </c>
      <c r="AG4387" s="1">
        <v>0</v>
      </c>
      <c r="AH4387" s="1">
        <f ca="1">IFERROR(__xludf.DUMMYFUNCTION("IFERROR(GOOGLEFINANCE(TRIM(F4387)&amp;"":"" &amp; TRIM(B4387),""low52""),AE4387)"),216.83)</f>
        <v>216.83</v>
      </c>
      <c r="AI4387" s="1">
        <f ca="1">IFERROR(__xludf.DUMMYFUNCTION("IFERROR(GOOGLEFINANCE(B4387,""eps""),0)"),13.34)</f>
        <v>13.34</v>
      </c>
      <c r="AJ4387" s="1"/>
      <c r="AK4387" s="1" t="s">
        <v>13288</v>
      </c>
      <c r="AL4387" s="9">
        <f t="shared" si="392"/>
        <v>1</v>
      </c>
    </row>
    <row r="4388" spans="1:38" ht="15" x14ac:dyDescent="0.25">
      <c r="A4388" s="1" t="s">
        <v>13289</v>
      </c>
      <c r="B4388" s="1" t="s">
        <v>13290</v>
      </c>
      <c r="C4388" s="1" t="s">
        <v>227</v>
      </c>
      <c r="D4388" s="1" t="s">
        <v>227</v>
      </c>
      <c r="E4388" s="6">
        <v>372.75</v>
      </c>
      <c r="F4388" s="1" t="s">
        <v>53</v>
      </c>
      <c r="G4388" s="6">
        <f ca="1">IFERROR(__xludf.DUMMYFUNCTION("iferror(GOOGLEFINANCE(TRIM(F4388)&amp;"":"" &amp; TRIM(B4388), ""price""),0
)"),0)</f>
        <v>0</v>
      </c>
      <c r="H4388" s="6">
        <v>137.30000000000001</v>
      </c>
      <c r="I4388" s="6">
        <f t="shared" ca="1" si="0"/>
        <v>137.30000000000001</v>
      </c>
      <c r="J4388" s="6">
        <f ca="1">IFERROR(__xludf.DUMMYFUNCTION("IFERROR(GOOGLEFINANCE(B4388, ""volume""), 0)"),0)</f>
        <v>0</v>
      </c>
      <c r="K4388" s="6">
        <v>4.97</v>
      </c>
      <c r="L4388" s="6">
        <f ca="1">IFERROR(__xludf.DUMMYFUNCTION("IFERROR(GOOGLEFINANCE(B4388,""changepct""),K4388)"),4.97)</f>
        <v>4.97</v>
      </c>
      <c r="M4388" s="6">
        <f ca="1">IFERROR(__xludf.DUMMYFUNCTION("IFERROR(GOOGLEFINANCE(B4388,""change""),0)"),0)</f>
        <v>0</v>
      </c>
      <c r="N4388" s="6">
        <v>1</v>
      </c>
      <c r="O4388" s="7">
        <v>45536</v>
      </c>
      <c r="P4388" s="6">
        <v>0.34</v>
      </c>
      <c r="Q4388" s="6">
        <v>373.1</v>
      </c>
      <c r="R4388" s="7">
        <v>45536</v>
      </c>
      <c r="S4388" s="6">
        <v>115.06</v>
      </c>
      <c r="T4388" s="6">
        <v>1.51</v>
      </c>
      <c r="U4388" s="7">
        <v>45536</v>
      </c>
      <c r="V4388" s="6">
        <v>246.37</v>
      </c>
      <c r="W4388" s="6">
        <f ca="1">IFERROR(__xludf.DUMMYFUNCTION("IFERROR(GOOGLEFINANCE(B4388,""pe""),V4388)"),246.37)</f>
        <v>246.37</v>
      </c>
      <c r="X4388" s="6">
        <v>4.21</v>
      </c>
      <c r="Y4388" s="6">
        <v>12.64</v>
      </c>
      <c r="Z4388" s="6">
        <v>1</v>
      </c>
      <c r="AA4388" s="8">
        <v>45352</v>
      </c>
      <c r="AB4388" s="4">
        <v>7.57</v>
      </c>
      <c r="AC4388" s="6">
        <v>22.87</v>
      </c>
      <c r="AD4388" s="6">
        <v>7.16</v>
      </c>
      <c r="AE4388" s="1">
        <v>0</v>
      </c>
      <c r="AF4388" s="1">
        <f ca="1">IFERROR(__xludf.DUMMYFUNCTION("IFERROR(GOOGLEFINANCE(TRIM(F4388)&amp;"":"" &amp; TRIM(B4388),""high52""),AE4388)"),0)</f>
        <v>0</v>
      </c>
      <c r="AG4388" s="1">
        <v>0</v>
      </c>
      <c r="AH4388" s="1">
        <f ca="1">IFERROR(__xludf.DUMMYFUNCTION("IFERROR(GOOGLEFINANCE(TRIM(F4388)&amp;"":"" &amp; TRIM(B4388),""low52""),AE4388)"),0)</f>
        <v>0</v>
      </c>
      <c r="AI4388" s="1">
        <f ca="1">IFERROR(__xludf.DUMMYFUNCTION("IFERROR(GOOGLEFINANCE(B4388,""eps""),0)"),0)</f>
        <v>0</v>
      </c>
      <c r="AJ4388" s="1"/>
      <c r="AK4388" s="1" t="s">
        <v>13291</v>
      </c>
      <c r="AL4388" s="9">
        <f t="shared" si="392"/>
        <v>1</v>
      </c>
    </row>
    <row r="4389" spans="1:38" ht="15" x14ac:dyDescent="0.25">
      <c r="A4389" s="1" t="s">
        <v>13292</v>
      </c>
      <c r="B4389" s="1" t="s">
        <v>13293</v>
      </c>
      <c r="C4389" s="1" t="s">
        <v>227</v>
      </c>
      <c r="D4389" s="1" t="s">
        <v>227</v>
      </c>
      <c r="E4389" s="6">
        <v>144.1</v>
      </c>
      <c r="F4389" s="1" t="s">
        <v>53</v>
      </c>
      <c r="G4389" s="6">
        <f ca="1">IFERROR(__xludf.DUMMYFUNCTION("iferror(GOOGLEFINANCE(TRIM(F4389)&amp;"":"" &amp; TRIM(B4389), ""price""),0
)"),0)</f>
        <v>0</v>
      </c>
      <c r="H4389" s="6">
        <v>198</v>
      </c>
      <c r="I4389" s="6">
        <f t="shared" ca="1" si="0"/>
        <v>198</v>
      </c>
      <c r="J4389" s="6">
        <f ca="1">IFERROR(__xludf.DUMMYFUNCTION("IFERROR(GOOGLEFINANCE(B4389, ""volume""), 0)"),0)</f>
        <v>0</v>
      </c>
      <c r="K4389" s="6">
        <v>-2.34</v>
      </c>
      <c r="L4389" s="6">
        <f ca="1">IFERROR(__xludf.DUMMYFUNCTION("IFERROR(GOOGLEFINANCE(B4389,""changepct""),K4389)"),-2.34)</f>
        <v>-2.34</v>
      </c>
      <c r="M4389" s="6">
        <f ca="1">IFERROR(__xludf.DUMMYFUNCTION("IFERROR(GOOGLEFINANCE(B4389,""change""),0)"),0)</f>
        <v>0</v>
      </c>
      <c r="N4389" s="6">
        <v>1</v>
      </c>
      <c r="O4389" s="7">
        <v>45536</v>
      </c>
      <c r="P4389" s="6">
        <v>0.54</v>
      </c>
      <c r="Q4389" s="6">
        <v>144.63999999999999</v>
      </c>
      <c r="R4389" s="7">
        <v>45536</v>
      </c>
      <c r="S4389" s="6">
        <v>59.73</v>
      </c>
      <c r="T4389" s="6">
        <v>3.56</v>
      </c>
      <c r="U4389" s="7">
        <v>45536</v>
      </c>
      <c r="V4389" s="6">
        <v>40.49</v>
      </c>
      <c r="W4389" s="6">
        <f ca="1">IFERROR(__xludf.DUMMYFUNCTION("IFERROR(GOOGLEFINANCE(B4389,""pe""),V4389)"),40.49)</f>
        <v>40.49</v>
      </c>
      <c r="X4389" s="6">
        <v>0.5</v>
      </c>
      <c r="Y4389" s="6">
        <v>9.4600000000000009</v>
      </c>
      <c r="Z4389" s="6">
        <v>1</v>
      </c>
      <c r="AA4389" s="8">
        <v>45352</v>
      </c>
      <c r="AB4389" s="4">
        <v>0.04</v>
      </c>
      <c r="AC4389" s="6">
        <v>37.700000000000003</v>
      </c>
      <c r="AD4389" s="6">
        <v>45.7</v>
      </c>
      <c r="AE4389" s="1">
        <v>0</v>
      </c>
      <c r="AF4389" s="1">
        <f ca="1">IFERROR(__xludf.DUMMYFUNCTION("IFERROR(GOOGLEFINANCE(TRIM(F4389)&amp;"":"" &amp; TRIM(B4389),""high52""),AE4389)"),0)</f>
        <v>0</v>
      </c>
      <c r="AG4389" s="1">
        <v>0</v>
      </c>
      <c r="AH4389" s="1">
        <f ca="1">IFERROR(__xludf.DUMMYFUNCTION("IFERROR(GOOGLEFINANCE(TRIM(F4389)&amp;"":"" &amp; TRIM(B4389),""low52""),AE4389)"),0)</f>
        <v>0</v>
      </c>
      <c r="AI4389" s="1">
        <f ca="1">IFERROR(__xludf.DUMMYFUNCTION("IFERROR(GOOGLEFINANCE(B4389,""eps""),0)"),0)</f>
        <v>0</v>
      </c>
      <c r="AJ4389" s="1"/>
      <c r="AK4389" s="1" t="s">
        <v>13294</v>
      </c>
      <c r="AL4389" s="9">
        <f t="shared" si="392"/>
        <v>1</v>
      </c>
    </row>
    <row r="4390" spans="1:38" ht="15" x14ac:dyDescent="0.25">
      <c r="A4390" s="1" t="s">
        <v>13295</v>
      </c>
      <c r="B4390" s="1" t="s">
        <v>13296</v>
      </c>
      <c r="C4390" s="1" t="s">
        <v>227</v>
      </c>
      <c r="D4390" s="1" t="s">
        <v>227</v>
      </c>
      <c r="E4390" s="6">
        <v>6.47</v>
      </c>
      <c r="F4390" s="1" t="s">
        <v>53</v>
      </c>
      <c r="G4390" s="6">
        <f ca="1">IFERROR(__xludf.DUMMYFUNCTION("iferror(GOOGLEFINANCE(TRIM(F4390)&amp;"":"" &amp; TRIM(B4390), ""price""),0
)"),0)</f>
        <v>0</v>
      </c>
      <c r="H4390" s="6">
        <v>26.59</v>
      </c>
      <c r="I4390" s="6">
        <f t="shared" ca="1" si="0"/>
        <v>26.59</v>
      </c>
      <c r="J4390" s="6">
        <f ca="1">IFERROR(__xludf.DUMMYFUNCTION("IFERROR(GOOGLEFINANCE(B4390, ""volume""), 0)"),0)</f>
        <v>0</v>
      </c>
      <c r="K4390" s="12"/>
      <c r="L4390" s="6" t="str">
        <f ca="1">IFERROR(__xludf.DUMMYFUNCTION("IFERROR(GOOGLEFINANCE(B4390,""changepct""),K4390)"),"")</f>
        <v/>
      </c>
      <c r="M4390" s="6">
        <f ca="1">IFERROR(__xludf.DUMMYFUNCTION("IFERROR(GOOGLEFINANCE(B4390,""change""),0)"),0)</f>
        <v>0</v>
      </c>
      <c r="N4390" s="6">
        <v>1</v>
      </c>
      <c r="O4390" s="7">
        <v>45536</v>
      </c>
      <c r="P4390" s="6">
        <v>0.08</v>
      </c>
      <c r="Q4390" s="6">
        <v>6.55</v>
      </c>
      <c r="R4390" s="7">
        <v>45536</v>
      </c>
      <c r="S4390" s="6">
        <v>0</v>
      </c>
      <c r="T4390" s="6">
        <v>-0.04</v>
      </c>
      <c r="U4390" s="7">
        <v>45536</v>
      </c>
      <c r="V4390" s="6">
        <v>0</v>
      </c>
      <c r="W4390" s="6">
        <f ca="1">IFERROR(__xludf.DUMMYFUNCTION("IFERROR(GOOGLEFINANCE(B4390,""pe""),V4390)"),0)</f>
        <v>0</v>
      </c>
      <c r="X4390" s="9"/>
      <c r="Y4390" s="6">
        <v>-269.39999999999998</v>
      </c>
      <c r="Z4390" s="6">
        <v>1</v>
      </c>
      <c r="AA4390" s="8">
        <v>45352</v>
      </c>
      <c r="AB4390" s="4">
        <v>-65.8</v>
      </c>
      <c r="AC4390" s="6">
        <v>-212.62</v>
      </c>
      <c r="AD4390" s="6">
        <v>-68.92</v>
      </c>
      <c r="AE4390" s="1">
        <v>0</v>
      </c>
      <c r="AF4390" s="1">
        <f ca="1">IFERROR(__xludf.DUMMYFUNCTION("IFERROR(GOOGLEFINANCE(TRIM(F4390)&amp;"":"" &amp; TRIM(B4390),""high52""),AE4390)"),0)</f>
        <v>0</v>
      </c>
      <c r="AG4390" s="1">
        <v>0</v>
      </c>
      <c r="AH4390" s="1">
        <f ca="1">IFERROR(__xludf.DUMMYFUNCTION("IFERROR(GOOGLEFINANCE(TRIM(F4390)&amp;"":"" &amp; TRIM(B4390),""low52""),AE4390)"),0)</f>
        <v>0</v>
      </c>
      <c r="AI4390" s="1">
        <f ca="1">IFERROR(__xludf.DUMMYFUNCTION("IFERROR(GOOGLEFINANCE(B4390,""eps""),0)"),0)</f>
        <v>0</v>
      </c>
      <c r="AJ4390" s="1"/>
      <c r="AK4390" s="1" t="s">
        <v>13297</v>
      </c>
      <c r="AL4390" s="9">
        <f t="shared" si="392"/>
        <v>1</v>
      </c>
    </row>
    <row r="4391" spans="1:38" ht="15" x14ac:dyDescent="0.25">
      <c r="A4391" s="1" t="s">
        <v>13298</v>
      </c>
      <c r="B4391" s="1" t="s">
        <v>13299</v>
      </c>
      <c r="C4391" s="1" t="s">
        <v>227</v>
      </c>
      <c r="D4391" s="1" t="s">
        <v>227</v>
      </c>
      <c r="E4391" s="6">
        <v>875.47</v>
      </c>
      <c r="F4391" s="1" t="s">
        <v>53</v>
      </c>
      <c r="G4391" s="6">
        <f ca="1">IFERROR(__xludf.DUMMYFUNCTION("iferror(GOOGLEFINANCE(TRIM(F4391)&amp;"":"" &amp; TRIM(B4391), ""price""),0
)"),0)</f>
        <v>0</v>
      </c>
      <c r="H4391" s="6">
        <v>36.700000000000003</v>
      </c>
      <c r="I4391" s="6">
        <f t="shared" ca="1" si="0"/>
        <v>36.700000000000003</v>
      </c>
      <c r="J4391" s="6">
        <f ca="1">IFERROR(__xludf.DUMMYFUNCTION("IFERROR(GOOGLEFINANCE(B4391, ""volume""), 0)"),0)</f>
        <v>0</v>
      </c>
      <c r="K4391" s="6">
        <v>-1.1000000000000001</v>
      </c>
      <c r="L4391" s="6">
        <f ca="1">IFERROR(__xludf.DUMMYFUNCTION("IFERROR(GOOGLEFINANCE(B4391,""changepct""),K4391)"),-1.1)</f>
        <v>-1.1000000000000001</v>
      </c>
      <c r="M4391" s="6">
        <f ca="1">IFERROR(__xludf.DUMMYFUNCTION("IFERROR(GOOGLEFINANCE(B4391,""change""),0)"),0)</f>
        <v>0</v>
      </c>
      <c r="N4391" s="6">
        <v>2</v>
      </c>
      <c r="O4391" s="7">
        <v>45536</v>
      </c>
      <c r="P4391" s="6">
        <v>18.46</v>
      </c>
      <c r="Q4391" s="6">
        <v>841.34</v>
      </c>
      <c r="R4391" s="7">
        <v>45536</v>
      </c>
      <c r="S4391" s="6">
        <v>205.77</v>
      </c>
      <c r="T4391" s="6">
        <v>8.27</v>
      </c>
      <c r="U4391" s="7">
        <v>45536</v>
      </c>
      <c r="V4391" s="6">
        <v>105.86</v>
      </c>
      <c r="W4391" s="6">
        <f ca="1">IFERROR(__xludf.DUMMYFUNCTION("IFERROR(GOOGLEFINANCE(B4391,""pe""),V4391)"),105.86)</f>
        <v>105.86</v>
      </c>
      <c r="X4391" s="9"/>
      <c r="Y4391" s="6">
        <v>6.96</v>
      </c>
      <c r="Z4391" s="6">
        <v>2</v>
      </c>
      <c r="AA4391" s="8">
        <v>45352</v>
      </c>
      <c r="AB4391" s="4">
        <v>0</v>
      </c>
      <c r="AC4391" s="6">
        <v>11.85</v>
      </c>
      <c r="AD4391" s="6">
        <v>15.94</v>
      </c>
      <c r="AE4391" s="1">
        <v>0</v>
      </c>
      <c r="AF4391" s="1">
        <f ca="1">IFERROR(__xludf.DUMMYFUNCTION("IFERROR(GOOGLEFINANCE(TRIM(F4391)&amp;"":"" &amp; TRIM(B4391),""high52""),AE4391)"),0)</f>
        <v>0</v>
      </c>
      <c r="AG4391" s="1">
        <v>0</v>
      </c>
      <c r="AH4391" s="1">
        <f ca="1">IFERROR(__xludf.DUMMYFUNCTION("IFERROR(GOOGLEFINANCE(TRIM(F4391)&amp;"":"" &amp; TRIM(B4391),""low52""),AE4391)"),0)</f>
        <v>0</v>
      </c>
      <c r="AI4391" s="1">
        <f ca="1">IFERROR(__xludf.DUMMYFUNCTION("IFERROR(GOOGLEFINANCE(B4391,""eps""),0)"),0)</f>
        <v>0</v>
      </c>
      <c r="AJ4391" s="1"/>
      <c r="AK4391" s="1" t="s">
        <v>13300</v>
      </c>
      <c r="AL4391" s="9">
        <f t="shared" si="392"/>
        <v>1</v>
      </c>
    </row>
    <row r="4392" spans="1:38" ht="15" x14ac:dyDescent="0.25">
      <c r="A4392" s="1" t="s">
        <v>13301</v>
      </c>
      <c r="B4392" s="1" t="s">
        <v>13302</v>
      </c>
      <c r="C4392" s="1" t="s">
        <v>227</v>
      </c>
      <c r="D4392" s="1" t="s">
        <v>227</v>
      </c>
      <c r="E4392" s="6">
        <v>17.27</v>
      </c>
      <c r="F4392" s="1" t="s">
        <v>53</v>
      </c>
      <c r="G4392" s="6">
        <f ca="1">IFERROR(__xludf.DUMMYFUNCTION("iferror(GOOGLEFINANCE(TRIM(F4392)&amp;"":"" &amp; TRIM(B4392), ""price""),0
)"),0)</f>
        <v>0</v>
      </c>
      <c r="H4392" s="6">
        <v>5.75</v>
      </c>
      <c r="I4392" s="6">
        <f t="shared" ca="1" si="0"/>
        <v>5.75</v>
      </c>
      <c r="J4392" s="6">
        <f ca="1">IFERROR(__xludf.DUMMYFUNCTION("IFERROR(GOOGLEFINANCE(B4392, ""volume""), 0)"),0)</f>
        <v>0</v>
      </c>
      <c r="K4392" s="6">
        <v>4.17</v>
      </c>
      <c r="L4392" s="6">
        <f ca="1">IFERROR(__xludf.DUMMYFUNCTION("IFERROR(GOOGLEFINANCE(B4392,""changepct""),K4392)"),4.17)</f>
        <v>4.17</v>
      </c>
      <c r="M4392" s="6">
        <f ca="1">IFERROR(__xludf.DUMMYFUNCTION("IFERROR(GOOGLEFINANCE(B4392,""change""),0)"),0)</f>
        <v>0</v>
      </c>
      <c r="N4392" s="6">
        <v>1</v>
      </c>
      <c r="O4392" s="7">
        <v>45536</v>
      </c>
      <c r="P4392" s="9"/>
      <c r="Q4392" s="6">
        <v>17.149999999999999</v>
      </c>
      <c r="R4392" s="7">
        <v>45536</v>
      </c>
      <c r="S4392" s="6">
        <v>2.37</v>
      </c>
      <c r="T4392" s="6">
        <v>0.3</v>
      </c>
      <c r="U4392" s="7">
        <v>45536</v>
      </c>
      <c r="V4392" s="6">
        <v>58.15</v>
      </c>
      <c r="W4392" s="6">
        <f ca="1">IFERROR(__xludf.DUMMYFUNCTION("IFERROR(GOOGLEFINANCE(B4392,""pe""),V4392)"),58.15)</f>
        <v>58.15</v>
      </c>
      <c r="X4392" s="6">
        <v>1.1499999999999999</v>
      </c>
      <c r="Y4392" s="6">
        <v>0.54</v>
      </c>
      <c r="Z4392" s="6">
        <v>1</v>
      </c>
      <c r="AA4392" s="8">
        <v>45352</v>
      </c>
      <c r="AB4392" s="4">
        <v>0</v>
      </c>
      <c r="AC4392" s="6">
        <v>0.66</v>
      </c>
      <c r="AD4392" s="6">
        <v>0.79</v>
      </c>
      <c r="AE4392" s="1">
        <v>0</v>
      </c>
      <c r="AF4392" s="1">
        <f ca="1">IFERROR(__xludf.DUMMYFUNCTION("IFERROR(GOOGLEFINANCE(TRIM(F4392)&amp;"":"" &amp; TRIM(B4392),""high52""),AE4392)"),0)</f>
        <v>0</v>
      </c>
      <c r="AG4392" s="1">
        <v>0</v>
      </c>
      <c r="AH4392" s="1">
        <f ca="1">IFERROR(__xludf.DUMMYFUNCTION("IFERROR(GOOGLEFINANCE(TRIM(F4392)&amp;"":"" &amp; TRIM(B4392),""low52""),AE4392)"),0)</f>
        <v>0</v>
      </c>
      <c r="AI4392" s="1">
        <f ca="1">IFERROR(__xludf.DUMMYFUNCTION("IFERROR(GOOGLEFINANCE(B4392,""eps""),0)"),0)</f>
        <v>0</v>
      </c>
      <c r="AJ4392" s="1"/>
      <c r="AK4392" s="1" t="s">
        <v>13303</v>
      </c>
      <c r="AL4392" s="9">
        <f t="shared" si="392"/>
        <v>1</v>
      </c>
    </row>
    <row r="4393" spans="1:38" ht="15" x14ac:dyDescent="0.25">
      <c r="A4393" s="1" t="s">
        <v>13304</v>
      </c>
      <c r="B4393" s="1" t="s">
        <v>13305</v>
      </c>
      <c r="C4393" s="1" t="s">
        <v>227</v>
      </c>
      <c r="D4393" s="1" t="s">
        <v>227</v>
      </c>
      <c r="E4393" s="6">
        <v>28.04</v>
      </c>
      <c r="F4393" s="1" t="s">
        <v>53</v>
      </c>
      <c r="G4393" s="6">
        <f ca="1">IFERROR(__xludf.DUMMYFUNCTION("iferror(GOOGLEFINANCE(TRIM(F4393)&amp;"":"" &amp; TRIM(B4393), ""price""),0
)"),0)</f>
        <v>0</v>
      </c>
      <c r="H4393" s="6">
        <v>47.39</v>
      </c>
      <c r="I4393" s="6">
        <f t="shared" ca="1" si="0"/>
        <v>47.39</v>
      </c>
      <c r="J4393" s="6">
        <f ca="1">IFERROR(__xludf.DUMMYFUNCTION("IFERROR(GOOGLEFINANCE(B4393, ""volume""), 0)"),0)</f>
        <v>0</v>
      </c>
      <c r="K4393" s="9"/>
      <c r="L4393" s="6" t="str">
        <f ca="1">IFERROR(__xludf.DUMMYFUNCTION("IFERROR(GOOGLEFINANCE(B4393,""changepct""),K4393)"),"")</f>
        <v/>
      </c>
      <c r="M4393" s="6">
        <f ca="1">IFERROR(__xludf.DUMMYFUNCTION("IFERROR(GOOGLEFINANCE(B4393,""change""),0)"),0)</f>
        <v>0</v>
      </c>
      <c r="N4393" s="6">
        <v>1</v>
      </c>
      <c r="O4393" s="7">
        <v>45536</v>
      </c>
      <c r="P4393" s="6">
        <v>2.34</v>
      </c>
      <c r="Q4393" s="6">
        <v>25.52</v>
      </c>
      <c r="R4393" s="7">
        <v>45536</v>
      </c>
      <c r="S4393" s="6">
        <v>214.2</v>
      </c>
      <c r="T4393" s="6">
        <v>1.53</v>
      </c>
      <c r="U4393" s="7">
        <v>45536</v>
      </c>
      <c r="V4393" s="6">
        <v>18.329999999999998</v>
      </c>
      <c r="W4393" s="6">
        <f ca="1">IFERROR(__xludf.DUMMYFUNCTION("IFERROR(GOOGLEFINANCE(B4393,""pe""),V4393)"),18.33)</f>
        <v>18.329999999999998</v>
      </c>
      <c r="X4393" s="6">
        <v>-6.28</v>
      </c>
      <c r="Y4393" s="6">
        <v>0.94</v>
      </c>
      <c r="Z4393" s="6">
        <v>1</v>
      </c>
      <c r="AA4393" s="8">
        <v>45352</v>
      </c>
      <c r="AB4393" s="4">
        <v>0.06</v>
      </c>
      <c r="AC4393" s="6">
        <v>5.0599999999999996</v>
      </c>
      <c r="AD4393" s="6">
        <v>5.08</v>
      </c>
      <c r="AE4393" s="1">
        <v>0</v>
      </c>
      <c r="AF4393" s="1">
        <f ca="1">IFERROR(__xludf.DUMMYFUNCTION("IFERROR(GOOGLEFINANCE(TRIM(F4393)&amp;"":"" &amp; TRIM(B4393),""high52""),AE4393)"),0)</f>
        <v>0</v>
      </c>
      <c r="AG4393" s="1">
        <v>0</v>
      </c>
      <c r="AH4393" s="1">
        <f ca="1">IFERROR(__xludf.DUMMYFUNCTION("IFERROR(GOOGLEFINANCE(TRIM(F4393)&amp;"":"" &amp; TRIM(B4393),""low52""),AE4393)"),0)</f>
        <v>0</v>
      </c>
      <c r="AI4393" s="1">
        <f ca="1">IFERROR(__xludf.DUMMYFUNCTION("IFERROR(GOOGLEFINANCE(B4393,""eps""),0)"),0)</f>
        <v>0</v>
      </c>
      <c r="AJ4393" s="1"/>
      <c r="AK4393" s="1" t="s">
        <v>13306</v>
      </c>
      <c r="AL4393" s="9">
        <f t="shared" si="392"/>
        <v>1</v>
      </c>
    </row>
    <row r="4394" spans="1:38" ht="15" x14ac:dyDescent="0.25">
      <c r="A4394" s="1" t="s">
        <v>13307</v>
      </c>
      <c r="B4394" s="1" t="s">
        <v>13308</v>
      </c>
      <c r="C4394" s="1" t="s">
        <v>227</v>
      </c>
      <c r="D4394" s="1" t="s">
        <v>227</v>
      </c>
      <c r="E4394" s="6">
        <v>2111.46</v>
      </c>
      <c r="F4394" s="1" t="s">
        <v>53</v>
      </c>
      <c r="G4394" s="6">
        <f ca="1">IFERROR(__xludf.DUMMYFUNCTION("iferror(GOOGLEFINANCE(TRIM(F4394)&amp;"":"" &amp; TRIM(B4394), ""price""),0
)"),0)</f>
        <v>0</v>
      </c>
      <c r="H4394" s="6">
        <v>595.70000000000005</v>
      </c>
      <c r="I4394" s="6">
        <f t="shared" ca="1" si="0"/>
        <v>595.70000000000005</v>
      </c>
      <c r="J4394" s="6">
        <f ca="1">IFERROR(__xludf.DUMMYFUNCTION("IFERROR(GOOGLEFINANCE(B4394, ""volume""), 0)"),0)</f>
        <v>0</v>
      </c>
      <c r="K4394" s="6">
        <v>0.64</v>
      </c>
      <c r="L4394" s="6">
        <f ca="1">IFERROR(__xludf.DUMMYFUNCTION("IFERROR(GOOGLEFINANCE(B4394,""changepct""),K4394)"),0.64)</f>
        <v>0.64</v>
      </c>
      <c r="M4394" s="6">
        <f ca="1">IFERROR(__xludf.DUMMYFUNCTION("IFERROR(GOOGLEFINANCE(B4394,""change""),0)"),0)</f>
        <v>0</v>
      </c>
      <c r="N4394" s="6">
        <v>2</v>
      </c>
      <c r="O4394" s="7">
        <v>45536</v>
      </c>
      <c r="P4394" s="6">
        <v>0.61</v>
      </c>
      <c r="Q4394" s="6">
        <v>2112.0700000000002</v>
      </c>
      <c r="R4394" s="7">
        <v>45536</v>
      </c>
      <c r="S4394" s="6">
        <v>70.63</v>
      </c>
      <c r="T4394" s="6">
        <v>30.16</v>
      </c>
      <c r="U4394" s="7">
        <v>45536</v>
      </c>
      <c r="V4394" s="6">
        <v>70.010000000000005</v>
      </c>
      <c r="W4394" s="6">
        <f ca="1">IFERROR(__xludf.DUMMYFUNCTION("IFERROR(GOOGLEFINANCE(B4394,""pe""),V4394)"),70.01)</f>
        <v>70.010000000000005</v>
      </c>
      <c r="X4394" s="9"/>
      <c r="Y4394" s="6">
        <v>3.07</v>
      </c>
      <c r="Z4394" s="6">
        <v>2</v>
      </c>
      <c r="AA4394" s="8">
        <v>45352</v>
      </c>
      <c r="AB4394" s="4">
        <v>0</v>
      </c>
      <c r="AC4394" s="6">
        <v>20.96</v>
      </c>
      <c r="AD4394" s="6">
        <v>28.54</v>
      </c>
      <c r="AE4394" s="1">
        <v>0</v>
      </c>
      <c r="AF4394" s="1">
        <f ca="1">IFERROR(__xludf.DUMMYFUNCTION("IFERROR(GOOGLEFINANCE(TRIM(F4394)&amp;"":"" &amp; TRIM(B4394),""high52""),AE4394)"),0)</f>
        <v>0</v>
      </c>
      <c r="AG4394" s="1">
        <v>0</v>
      </c>
      <c r="AH4394" s="1">
        <f ca="1">IFERROR(__xludf.DUMMYFUNCTION("IFERROR(GOOGLEFINANCE(TRIM(F4394)&amp;"":"" &amp; TRIM(B4394),""low52""),AE4394)"),0)</f>
        <v>0</v>
      </c>
      <c r="AI4394" s="1">
        <f ca="1">IFERROR(__xludf.DUMMYFUNCTION("IFERROR(GOOGLEFINANCE(B4394,""eps""),0)"),0)</f>
        <v>0</v>
      </c>
      <c r="AJ4394" s="1"/>
      <c r="AK4394" s="1" t="s">
        <v>13309</v>
      </c>
      <c r="AL4394" s="9">
        <f t="shared" si="392"/>
        <v>1</v>
      </c>
    </row>
    <row r="4395" spans="1:38" ht="15" x14ac:dyDescent="0.25">
      <c r="A4395" s="1" t="s">
        <v>13310</v>
      </c>
      <c r="B4395" s="1" t="s">
        <v>13311</v>
      </c>
      <c r="C4395" s="1" t="s">
        <v>227</v>
      </c>
      <c r="D4395" s="1" t="s">
        <v>227</v>
      </c>
      <c r="E4395" s="6">
        <v>25.26</v>
      </c>
      <c r="F4395" s="1" t="s">
        <v>53</v>
      </c>
      <c r="G4395" s="6">
        <f ca="1">IFERROR(__xludf.DUMMYFUNCTION("iferror(GOOGLEFINANCE(TRIM(F4395)&amp;"":"" &amp; TRIM(B4395), ""price""),0
)"),0)</f>
        <v>0</v>
      </c>
      <c r="H4395" s="6">
        <v>36.08</v>
      </c>
      <c r="I4395" s="6">
        <f t="shared" ca="1" si="0"/>
        <v>36.08</v>
      </c>
      <c r="J4395" s="6">
        <f ca="1">IFERROR(__xludf.DUMMYFUNCTION("IFERROR(GOOGLEFINANCE(B4395, ""volume""), 0)"),0)</f>
        <v>0</v>
      </c>
      <c r="K4395" s="9"/>
      <c r="L4395" s="6" t="str">
        <f ca="1">IFERROR(__xludf.DUMMYFUNCTION("IFERROR(GOOGLEFINANCE(B4395,""changepct""),K4395)"),"")</f>
        <v/>
      </c>
      <c r="M4395" s="6">
        <f ca="1">IFERROR(__xludf.DUMMYFUNCTION("IFERROR(GOOGLEFINANCE(B4395,""change""),0)"),0)</f>
        <v>0</v>
      </c>
      <c r="N4395" s="6">
        <v>1</v>
      </c>
      <c r="O4395" s="7">
        <v>45536</v>
      </c>
      <c r="P4395" s="6">
        <v>5.66</v>
      </c>
      <c r="Q4395" s="6">
        <v>30.92</v>
      </c>
      <c r="R4395" s="7">
        <v>45536</v>
      </c>
      <c r="S4395" s="6">
        <v>4.68</v>
      </c>
      <c r="T4395" s="6">
        <v>-0.81</v>
      </c>
      <c r="U4395" s="7">
        <v>45536</v>
      </c>
      <c r="V4395" s="6">
        <v>0</v>
      </c>
      <c r="W4395" s="6">
        <f ca="1">IFERROR(__xludf.DUMMYFUNCTION("IFERROR(GOOGLEFINANCE(B4395,""pe""),V4395)"),0)</f>
        <v>0</v>
      </c>
      <c r="X4395" s="6">
        <v>0</v>
      </c>
      <c r="Y4395" s="6">
        <v>-4.4800000000000004</v>
      </c>
      <c r="Z4395" s="6">
        <v>1</v>
      </c>
      <c r="AA4395" s="8">
        <v>45352</v>
      </c>
      <c r="AB4395" s="4">
        <v>-0.98</v>
      </c>
      <c r="AC4395" s="6">
        <v>0</v>
      </c>
      <c r="AD4395" s="6">
        <v>0</v>
      </c>
      <c r="AE4395" s="1">
        <v>0</v>
      </c>
      <c r="AF4395" s="1">
        <f ca="1">IFERROR(__xludf.DUMMYFUNCTION("IFERROR(GOOGLEFINANCE(TRIM(F4395)&amp;"":"" &amp; TRIM(B4395),""high52""),AE4395)"),0)</f>
        <v>0</v>
      </c>
      <c r="AG4395" s="1">
        <v>0</v>
      </c>
      <c r="AH4395" s="1">
        <f ca="1">IFERROR(__xludf.DUMMYFUNCTION("IFERROR(GOOGLEFINANCE(TRIM(F4395)&amp;"":"" &amp; TRIM(B4395),""low52""),AE4395)"),0)</f>
        <v>0</v>
      </c>
      <c r="AI4395" s="1">
        <f ca="1">IFERROR(__xludf.DUMMYFUNCTION("IFERROR(GOOGLEFINANCE(B4395,""eps""),0)"),0)</f>
        <v>0</v>
      </c>
      <c r="AJ4395" s="1"/>
      <c r="AK4395" s="1" t="s">
        <v>13312</v>
      </c>
      <c r="AL4395" s="9">
        <f t="shared" si="392"/>
        <v>1</v>
      </c>
    </row>
    <row r="4396" spans="1:38" ht="15" x14ac:dyDescent="0.25">
      <c r="A4396" s="1" t="s">
        <v>13313</v>
      </c>
      <c r="B4396" s="1" t="s">
        <v>13314</v>
      </c>
      <c r="C4396" s="1" t="s">
        <v>227</v>
      </c>
      <c r="D4396" s="1" t="s">
        <v>227</v>
      </c>
      <c r="E4396" s="6">
        <v>208.84</v>
      </c>
      <c r="F4396" s="1" t="s">
        <v>53</v>
      </c>
      <c r="G4396" s="6">
        <f ca="1">IFERROR(__xludf.DUMMYFUNCTION("iferror(GOOGLEFINANCE(TRIM(F4396)&amp;"":"" &amp; TRIM(B4396), ""price""),0
)"),0)</f>
        <v>0</v>
      </c>
      <c r="H4396" s="6">
        <v>1920</v>
      </c>
      <c r="I4396" s="6">
        <f t="shared" ca="1" si="0"/>
        <v>1920</v>
      </c>
      <c r="J4396" s="6">
        <f ca="1">IFERROR(__xludf.DUMMYFUNCTION("IFERROR(GOOGLEFINANCE(B4396, ""volume""), 0)"),0)</f>
        <v>0</v>
      </c>
      <c r="K4396" s="9"/>
      <c r="L4396" s="6" t="str">
        <f ca="1">IFERROR(__xludf.DUMMYFUNCTION("IFERROR(GOOGLEFINANCE(B4396,""changepct""),K4396)"),"")</f>
        <v/>
      </c>
      <c r="M4396" s="6">
        <f ca="1">IFERROR(__xludf.DUMMYFUNCTION("IFERROR(GOOGLEFINANCE(B4396,""change""),0)"),0)</f>
        <v>0</v>
      </c>
      <c r="N4396" s="6">
        <v>2</v>
      </c>
      <c r="O4396" s="7">
        <v>45536</v>
      </c>
      <c r="P4396" s="6">
        <v>0.03</v>
      </c>
      <c r="Q4396" s="6">
        <v>208.02</v>
      </c>
      <c r="R4396" s="7">
        <v>45536</v>
      </c>
      <c r="S4396" s="6">
        <v>5.28</v>
      </c>
      <c r="T4396" s="6">
        <v>1.86</v>
      </c>
      <c r="U4396" s="7">
        <v>45536</v>
      </c>
      <c r="V4396" s="6">
        <v>9.27</v>
      </c>
      <c r="W4396" s="6">
        <f ca="1">IFERROR(__xludf.DUMMYFUNCTION("IFERROR(GOOGLEFINANCE(B4396,""pe""),V4396)"),9.27)</f>
        <v>9.27</v>
      </c>
      <c r="X4396" s="6">
        <v>0.2</v>
      </c>
      <c r="Y4396" s="6">
        <v>1.44</v>
      </c>
      <c r="Z4396" s="6">
        <v>2</v>
      </c>
      <c r="AA4396" s="8">
        <v>45352</v>
      </c>
      <c r="AB4396" s="4">
        <v>0</v>
      </c>
      <c r="AC4396" s="6">
        <v>1.7</v>
      </c>
      <c r="AD4396" s="6">
        <v>2.9</v>
      </c>
      <c r="AE4396" s="1">
        <v>0</v>
      </c>
      <c r="AF4396" s="1">
        <f ca="1">IFERROR(__xludf.DUMMYFUNCTION("IFERROR(GOOGLEFINANCE(TRIM(F4396)&amp;"":"" &amp; TRIM(B4396),""high52""),AE4396)"),0)</f>
        <v>0</v>
      </c>
      <c r="AG4396" s="1">
        <v>0</v>
      </c>
      <c r="AH4396" s="1">
        <f ca="1">IFERROR(__xludf.DUMMYFUNCTION("IFERROR(GOOGLEFINANCE(TRIM(F4396)&amp;"":"" &amp; TRIM(B4396),""low52""),AE4396)"),0)</f>
        <v>0</v>
      </c>
      <c r="AI4396" s="1">
        <f ca="1">IFERROR(__xludf.DUMMYFUNCTION("IFERROR(GOOGLEFINANCE(B4396,""eps""),0)"),0)</f>
        <v>0</v>
      </c>
      <c r="AJ4396" s="1"/>
      <c r="AK4396" s="1" t="s">
        <v>13315</v>
      </c>
      <c r="AL4396" s="9">
        <f t="shared" si="392"/>
        <v>1</v>
      </c>
    </row>
    <row r="4397" spans="1:38" ht="15" x14ac:dyDescent="0.25">
      <c r="A4397" s="1" t="s">
        <v>13316</v>
      </c>
      <c r="B4397" s="1" t="s">
        <v>13317</v>
      </c>
      <c r="C4397" s="1" t="s">
        <v>2124</v>
      </c>
      <c r="D4397" s="1" t="s">
        <v>2124</v>
      </c>
      <c r="E4397" s="6">
        <v>5798.21</v>
      </c>
      <c r="F4397" s="1" t="s">
        <v>40</v>
      </c>
      <c r="G4397" s="6">
        <f ca="1">IFERROR(__xludf.DUMMYFUNCTION("iferror(GOOGLEFINANCE(TRIM(F4397)&amp;"":"" &amp; TRIM(B4397), ""price""),0
)"),228)</f>
        <v>228</v>
      </c>
      <c r="H4397" s="6">
        <v>343.8</v>
      </c>
      <c r="I4397" s="6">
        <f t="shared" ca="1" si="0"/>
        <v>228</v>
      </c>
      <c r="J4397" s="6">
        <f ca="1">IFERROR(__xludf.DUMMYFUNCTION("IFERROR(GOOGLEFINANCE(B4397, ""volume""), 0)"),212786)</f>
        <v>212786</v>
      </c>
      <c r="K4397" s="6">
        <v>0.87</v>
      </c>
      <c r="L4397" s="6">
        <f ca="1">IFERROR(__xludf.DUMMYFUNCTION("IFERROR(GOOGLEFINANCE(B4397,""changepct""),K4397)"),-0.88)</f>
        <v>-0.88</v>
      </c>
      <c r="M4397" s="6">
        <f ca="1">IFERROR(__xludf.DUMMYFUNCTION("IFERROR(GOOGLEFINANCE(B4397,""change""),0)"),-2.03)</f>
        <v>-2.0299999999999998</v>
      </c>
      <c r="N4397" s="6">
        <v>1</v>
      </c>
      <c r="O4397" s="7">
        <v>45536</v>
      </c>
      <c r="P4397" s="9"/>
      <c r="Q4397" s="6">
        <v>5761.09</v>
      </c>
      <c r="R4397" s="7">
        <v>45536</v>
      </c>
      <c r="S4397" s="6">
        <v>1829.3</v>
      </c>
      <c r="T4397" s="6">
        <v>243.06</v>
      </c>
      <c r="U4397" s="7">
        <v>45536</v>
      </c>
      <c r="V4397" s="6">
        <v>23.86</v>
      </c>
      <c r="W4397" s="6">
        <f ca="1">IFERROR(__xludf.DUMMYFUNCTION("IFERROR(GOOGLEFINANCE(B4397,""pe""),V4397)"),12.71)</f>
        <v>12.71</v>
      </c>
      <c r="X4397" s="6">
        <v>4.07</v>
      </c>
      <c r="Y4397" s="6">
        <v>5.12</v>
      </c>
      <c r="Z4397" s="6">
        <v>1</v>
      </c>
      <c r="AA4397" s="8">
        <v>45352</v>
      </c>
      <c r="AB4397" s="4">
        <v>0</v>
      </c>
      <c r="AC4397" s="6">
        <v>24.86</v>
      </c>
      <c r="AD4397" s="6">
        <v>32.46</v>
      </c>
      <c r="AE4397" s="1">
        <v>0</v>
      </c>
      <c r="AF4397" s="1">
        <f ca="1">IFERROR(__xludf.DUMMYFUNCTION("IFERROR(GOOGLEFINANCE(TRIM(F4397)&amp;"":"" &amp; TRIM(B4397),""high52""),AE4397)"),338.9)</f>
        <v>338.9</v>
      </c>
      <c r="AG4397" s="1">
        <v>0</v>
      </c>
      <c r="AH4397" s="1">
        <f ca="1">IFERROR(__xludf.DUMMYFUNCTION("IFERROR(GOOGLEFINANCE(TRIM(F4397)&amp;"":"" &amp; TRIM(B4397),""low52""),AE4397)"),223.8)</f>
        <v>223.8</v>
      </c>
      <c r="AI4397" s="1">
        <f ca="1">IFERROR(__xludf.DUMMYFUNCTION("IFERROR(GOOGLEFINANCE(B4397,""eps""),0)"),17.93)</f>
        <v>17.93</v>
      </c>
      <c r="AJ4397" s="1"/>
      <c r="AK4397" s="9"/>
      <c r="AL4397" s="9">
        <f t="shared" si="392"/>
        <v>1</v>
      </c>
    </row>
    <row r="4398" spans="1:38" ht="15" x14ac:dyDescent="0.25">
      <c r="A4398" s="1" t="s">
        <v>13318</v>
      </c>
      <c r="B4398" s="1" t="s">
        <v>13319</v>
      </c>
      <c r="C4398" s="1" t="s">
        <v>227</v>
      </c>
      <c r="D4398" s="1" t="s">
        <v>227</v>
      </c>
      <c r="E4398" s="6">
        <v>1321.67</v>
      </c>
      <c r="F4398" s="1" t="s">
        <v>53</v>
      </c>
      <c r="G4398" s="6">
        <f ca="1">IFERROR(__xludf.DUMMYFUNCTION("iferror(GOOGLEFINANCE(TRIM(F4398)&amp;"":"" &amp; TRIM(B4398), ""price""),0
)"),0)</f>
        <v>0</v>
      </c>
      <c r="H4398" s="6">
        <v>43000</v>
      </c>
      <c r="I4398" s="6">
        <f t="shared" ca="1" si="0"/>
        <v>43000</v>
      </c>
      <c r="J4398" s="6">
        <f ca="1">IFERROR(__xludf.DUMMYFUNCTION("IFERROR(GOOGLEFINANCE(B4398, ""volume""), 0)"),0)</f>
        <v>0</v>
      </c>
      <c r="K4398" s="9"/>
      <c r="L4398" s="6" t="str">
        <f ca="1">IFERROR(__xludf.DUMMYFUNCTION("IFERROR(GOOGLEFINANCE(B4398,""changepct""),K4398)"),"")</f>
        <v/>
      </c>
      <c r="M4398" s="6">
        <f ca="1">IFERROR(__xludf.DUMMYFUNCTION("IFERROR(GOOGLEFINANCE(B4398,""change""),0)"),0)</f>
        <v>0</v>
      </c>
      <c r="N4398" s="6">
        <v>2</v>
      </c>
      <c r="O4398" s="7">
        <v>45536</v>
      </c>
      <c r="P4398" s="9"/>
      <c r="Q4398" s="6">
        <v>1282</v>
      </c>
      <c r="R4398" s="7">
        <v>45536</v>
      </c>
      <c r="S4398" s="6">
        <v>63.35</v>
      </c>
      <c r="T4398" s="6">
        <v>14.88</v>
      </c>
      <c r="U4398" s="7">
        <v>45536</v>
      </c>
      <c r="V4398" s="6">
        <v>9.06</v>
      </c>
      <c r="W4398" s="6">
        <f ca="1">IFERROR(__xludf.DUMMYFUNCTION("IFERROR(GOOGLEFINANCE(B4398,""pe""),V4398)"),9.06)</f>
        <v>9.06</v>
      </c>
      <c r="X4398" s="6">
        <v>0.68</v>
      </c>
      <c r="Y4398" s="6">
        <v>1.06</v>
      </c>
      <c r="Z4398" s="6">
        <v>2</v>
      </c>
      <c r="AA4398" s="8">
        <v>45352</v>
      </c>
      <c r="AB4398" s="4">
        <v>0</v>
      </c>
      <c r="AC4398" s="6">
        <v>11</v>
      </c>
      <c r="AD4398" s="6">
        <v>11.29</v>
      </c>
      <c r="AE4398" s="1">
        <v>0</v>
      </c>
      <c r="AF4398" s="1">
        <f ca="1">IFERROR(__xludf.DUMMYFUNCTION("IFERROR(GOOGLEFINANCE(TRIM(F4398)&amp;"":"" &amp; TRIM(B4398),""high52""),AE4398)"),0)</f>
        <v>0</v>
      </c>
      <c r="AG4398" s="1">
        <v>0</v>
      </c>
      <c r="AH4398" s="1">
        <f ca="1">IFERROR(__xludf.DUMMYFUNCTION("IFERROR(GOOGLEFINANCE(TRIM(F4398)&amp;"":"" &amp; TRIM(B4398),""low52""),AE4398)"),0)</f>
        <v>0</v>
      </c>
      <c r="AI4398" s="1">
        <f ca="1">IFERROR(__xludf.DUMMYFUNCTION("IFERROR(GOOGLEFINANCE(B4398,""eps""),0)"),0)</f>
        <v>0</v>
      </c>
      <c r="AJ4398" s="1"/>
      <c r="AK4398" s="1" t="s">
        <v>13320</v>
      </c>
      <c r="AL4398" s="9">
        <f t="shared" si="392"/>
        <v>1</v>
      </c>
    </row>
    <row r="4399" spans="1:38" ht="15" x14ac:dyDescent="0.25">
      <c r="A4399" s="1" t="s">
        <v>13321</v>
      </c>
      <c r="B4399" s="1" t="s">
        <v>13322</v>
      </c>
      <c r="C4399" s="1" t="s">
        <v>227</v>
      </c>
      <c r="D4399" s="1" t="s">
        <v>227</v>
      </c>
      <c r="E4399" s="6">
        <v>32.46</v>
      </c>
      <c r="F4399" s="1" t="s">
        <v>53</v>
      </c>
      <c r="G4399" s="6">
        <f ca="1">IFERROR(__xludf.DUMMYFUNCTION("iferror(GOOGLEFINANCE(TRIM(F4399)&amp;"":"" &amp; TRIM(B4399), ""price""),0
)"),0)</f>
        <v>0</v>
      </c>
      <c r="H4399" s="6">
        <v>13.4</v>
      </c>
      <c r="I4399" s="6">
        <f t="shared" ca="1" si="0"/>
        <v>13.4</v>
      </c>
      <c r="J4399" s="6">
        <f ca="1">IFERROR(__xludf.DUMMYFUNCTION("IFERROR(GOOGLEFINANCE(B4399, ""volume""), 0)"),0)</f>
        <v>0</v>
      </c>
      <c r="K4399" s="6">
        <v>0.9</v>
      </c>
      <c r="L4399" s="6">
        <f ca="1">IFERROR(__xludf.DUMMYFUNCTION("IFERROR(GOOGLEFINANCE(B4399,""changepct""),K4399)"),0.9)</f>
        <v>0.9</v>
      </c>
      <c r="M4399" s="6">
        <f ca="1">IFERROR(__xludf.DUMMYFUNCTION("IFERROR(GOOGLEFINANCE(B4399,""change""),0)"),0)</f>
        <v>0</v>
      </c>
      <c r="N4399" s="6">
        <v>1</v>
      </c>
      <c r="O4399" s="7">
        <v>45536</v>
      </c>
      <c r="P4399" s="9"/>
      <c r="Q4399" s="6">
        <v>32.46</v>
      </c>
      <c r="R4399" s="7">
        <v>45536</v>
      </c>
      <c r="S4399" s="6">
        <v>0.12</v>
      </c>
      <c r="T4399" s="6">
        <v>0.17</v>
      </c>
      <c r="U4399" s="7">
        <v>45536</v>
      </c>
      <c r="V4399" s="6">
        <v>194.38</v>
      </c>
      <c r="W4399" s="6">
        <f ca="1">IFERROR(__xludf.DUMMYFUNCTION("IFERROR(GOOGLEFINANCE(B4399,""pe""),V4399)"),194.38)</f>
        <v>194.38</v>
      </c>
      <c r="X4399" s="6">
        <v>10.77</v>
      </c>
      <c r="Y4399" s="6">
        <v>0.6</v>
      </c>
      <c r="Z4399" s="6">
        <v>1</v>
      </c>
      <c r="AA4399" s="8">
        <v>45352</v>
      </c>
      <c r="AB4399" s="4">
        <v>0</v>
      </c>
      <c r="AC4399" s="6">
        <v>0.16</v>
      </c>
      <c r="AD4399" s="6">
        <v>0.22</v>
      </c>
      <c r="AE4399" s="1">
        <v>0</v>
      </c>
      <c r="AF4399" s="1">
        <f ca="1">IFERROR(__xludf.DUMMYFUNCTION("IFERROR(GOOGLEFINANCE(TRIM(F4399)&amp;"":"" &amp; TRIM(B4399),""high52""),AE4399)"),0)</f>
        <v>0</v>
      </c>
      <c r="AG4399" s="1">
        <v>0</v>
      </c>
      <c r="AH4399" s="1">
        <f ca="1">IFERROR(__xludf.DUMMYFUNCTION("IFERROR(GOOGLEFINANCE(TRIM(F4399)&amp;"":"" &amp; TRIM(B4399),""low52""),AE4399)"),0)</f>
        <v>0</v>
      </c>
      <c r="AI4399" s="1">
        <f ca="1">IFERROR(__xludf.DUMMYFUNCTION("IFERROR(GOOGLEFINANCE(B4399,""eps""),0)"),0)</f>
        <v>0</v>
      </c>
      <c r="AJ4399" s="1"/>
      <c r="AK4399" s="1" t="s">
        <v>13323</v>
      </c>
      <c r="AL4399" s="9">
        <f t="shared" si="392"/>
        <v>1</v>
      </c>
    </row>
    <row r="4400" spans="1:38" ht="15" x14ac:dyDescent="0.25">
      <c r="A4400" s="1" t="s">
        <v>13324</v>
      </c>
      <c r="B4400" s="1" t="s">
        <v>13325</v>
      </c>
      <c r="C4400" s="1" t="s">
        <v>227</v>
      </c>
      <c r="D4400" s="1" t="s">
        <v>227</v>
      </c>
      <c r="E4400" s="6">
        <v>8.08</v>
      </c>
      <c r="F4400" s="1" t="s">
        <v>53</v>
      </c>
      <c r="G4400" s="6">
        <f ca="1">IFERROR(__xludf.DUMMYFUNCTION("iferror(GOOGLEFINANCE(TRIM(F4400)&amp;"":"" &amp; TRIM(B4400), ""price""),0
)"),0)</f>
        <v>0</v>
      </c>
      <c r="H4400" s="6">
        <v>1.19</v>
      </c>
      <c r="I4400" s="6">
        <f t="shared" ca="1" si="0"/>
        <v>1.19</v>
      </c>
      <c r="J4400" s="6">
        <f ca="1">IFERROR(__xludf.DUMMYFUNCTION("IFERROR(GOOGLEFINANCE(B4400, ""volume""), 0)"),0)</f>
        <v>0</v>
      </c>
      <c r="K4400" s="6">
        <v>0</v>
      </c>
      <c r="L4400" s="6">
        <f ca="1">IFERROR(__xludf.DUMMYFUNCTION("IFERROR(GOOGLEFINANCE(B4400,""changepct""),K4400)"),0)</f>
        <v>0</v>
      </c>
      <c r="M4400" s="6">
        <f ca="1">IFERROR(__xludf.DUMMYFUNCTION("IFERROR(GOOGLEFINANCE(B4400,""change""),0)"),0)</f>
        <v>0</v>
      </c>
      <c r="N4400" s="6">
        <v>1</v>
      </c>
      <c r="O4400" s="7">
        <v>45536</v>
      </c>
      <c r="P4400" s="6">
        <v>0.11</v>
      </c>
      <c r="Q4400" s="6">
        <v>8.1999999999999993</v>
      </c>
      <c r="R4400" s="7">
        <v>45536</v>
      </c>
      <c r="S4400" s="6">
        <v>1.7</v>
      </c>
      <c r="T4400" s="6">
        <v>0.18</v>
      </c>
      <c r="U4400" s="7">
        <v>45536</v>
      </c>
      <c r="V4400" s="6">
        <v>45.67</v>
      </c>
      <c r="W4400" s="6">
        <f ca="1">IFERROR(__xludf.DUMMYFUNCTION("IFERROR(GOOGLEFINANCE(B4400,""pe""),V4400)"),45.67)</f>
        <v>45.67</v>
      </c>
      <c r="X4400" s="9"/>
      <c r="Y4400" s="6">
        <v>0.34</v>
      </c>
      <c r="Z4400" s="6">
        <v>1</v>
      </c>
      <c r="AA4400" s="8">
        <v>45352</v>
      </c>
      <c r="AB4400" s="4">
        <v>0.02</v>
      </c>
      <c r="AC4400" s="6">
        <v>-0.91</v>
      </c>
      <c r="AD4400" s="6">
        <v>-0.84</v>
      </c>
      <c r="AE4400" s="1">
        <v>0</v>
      </c>
      <c r="AF4400" s="1">
        <f ca="1">IFERROR(__xludf.DUMMYFUNCTION("IFERROR(GOOGLEFINANCE(TRIM(F4400)&amp;"":"" &amp; TRIM(B4400),""high52""),AE4400)"),0)</f>
        <v>0</v>
      </c>
      <c r="AG4400" s="1">
        <v>0</v>
      </c>
      <c r="AH4400" s="1">
        <f ca="1">IFERROR(__xludf.DUMMYFUNCTION("IFERROR(GOOGLEFINANCE(TRIM(F4400)&amp;"":"" &amp; TRIM(B4400),""low52""),AE4400)"),0)</f>
        <v>0</v>
      </c>
      <c r="AI4400" s="1">
        <f ca="1">IFERROR(__xludf.DUMMYFUNCTION("IFERROR(GOOGLEFINANCE(B4400,""eps""),0)"),0)</f>
        <v>0</v>
      </c>
      <c r="AJ4400" s="1"/>
      <c r="AK4400" s="1" t="s">
        <v>13326</v>
      </c>
      <c r="AL4400" s="9">
        <f t="shared" si="392"/>
        <v>1</v>
      </c>
    </row>
    <row r="4401" spans="1:38" ht="15" x14ac:dyDescent="0.25">
      <c r="A4401" s="1" t="s">
        <v>13327</v>
      </c>
      <c r="B4401" s="1" t="s">
        <v>13328</v>
      </c>
      <c r="C4401" s="1" t="s">
        <v>227</v>
      </c>
      <c r="D4401" s="1" t="s">
        <v>227</v>
      </c>
      <c r="E4401" s="6">
        <v>15.28</v>
      </c>
      <c r="F4401" s="1" t="s">
        <v>53</v>
      </c>
      <c r="G4401" s="6">
        <f ca="1">IFERROR(__xludf.DUMMYFUNCTION("iferror(GOOGLEFINANCE(TRIM(F4401)&amp;"":"" &amp; TRIM(B4401), ""price""),0
)"),0)</f>
        <v>0</v>
      </c>
      <c r="H4401" s="6">
        <v>2.61</v>
      </c>
      <c r="I4401" s="6">
        <f t="shared" ca="1" si="0"/>
        <v>2.61</v>
      </c>
      <c r="J4401" s="6">
        <f ca="1">IFERROR(__xludf.DUMMYFUNCTION("IFERROR(GOOGLEFINANCE(B4401, ""volume""), 0)"),0)</f>
        <v>0</v>
      </c>
      <c r="K4401" s="6">
        <v>-2.25</v>
      </c>
      <c r="L4401" s="6">
        <f ca="1">IFERROR(__xludf.DUMMYFUNCTION("IFERROR(GOOGLEFINANCE(B4401,""changepct""),K4401)"),-2.25)</f>
        <v>-2.25</v>
      </c>
      <c r="M4401" s="6">
        <f ca="1">IFERROR(__xludf.DUMMYFUNCTION("IFERROR(GOOGLEFINANCE(B4401,""change""),0)"),0)</f>
        <v>0</v>
      </c>
      <c r="N4401" s="6">
        <v>1</v>
      </c>
      <c r="O4401" s="7">
        <v>45536</v>
      </c>
      <c r="P4401" s="6">
        <v>0.62</v>
      </c>
      <c r="Q4401" s="6">
        <v>15.89</v>
      </c>
      <c r="R4401" s="7">
        <v>45536</v>
      </c>
      <c r="S4401" s="6">
        <v>1.82</v>
      </c>
      <c r="T4401" s="6">
        <v>0.24</v>
      </c>
      <c r="U4401" s="7">
        <v>45536</v>
      </c>
      <c r="V4401" s="6">
        <v>64.760000000000005</v>
      </c>
      <c r="W4401" s="6">
        <f ca="1">IFERROR(__xludf.DUMMYFUNCTION("IFERROR(GOOGLEFINANCE(B4401,""pe""),V4401)"),64.76)</f>
        <v>64.760000000000005</v>
      </c>
      <c r="X4401" s="6">
        <v>6.22</v>
      </c>
      <c r="Y4401" s="6">
        <v>1.43</v>
      </c>
      <c r="Z4401" s="6">
        <v>1</v>
      </c>
      <c r="AA4401" s="8">
        <v>45352</v>
      </c>
      <c r="AB4401" s="4">
        <v>0.06</v>
      </c>
      <c r="AC4401" s="6">
        <v>1.4</v>
      </c>
      <c r="AD4401" s="6">
        <v>1.79</v>
      </c>
      <c r="AE4401" s="1">
        <v>0</v>
      </c>
      <c r="AF4401" s="1">
        <f ca="1">IFERROR(__xludf.DUMMYFUNCTION("IFERROR(GOOGLEFINANCE(TRIM(F4401)&amp;"":"" &amp; TRIM(B4401),""high52""),AE4401)"),0)</f>
        <v>0</v>
      </c>
      <c r="AG4401" s="1">
        <v>0</v>
      </c>
      <c r="AH4401" s="1">
        <f ca="1">IFERROR(__xludf.DUMMYFUNCTION("IFERROR(GOOGLEFINANCE(TRIM(F4401)&amp;"":"" &amp; TRIM(B4401),""low52""),AE4401)"),0)</f>
        <v>0</v>
      </c>
      <c r="AI4401" s="1">
        <f ca="1">IFERROR(__xludf.DUMMYFUNCTION("IFERROR(GOOGLEFINANCE(B4401,""eps""),0)"),0)</f>
        <v>0</v>
      </c>
      <c r="AJ4401" s="1"/>
      <c r="AK4401" s="1" t="s">
        <v>13329</v>
      </c>
      <c r="AL4401" s="9">
        <f t="shared" si="392"/>
        <v>1</v>
      </c>
    </row>
    <row r="4402" spans="1:38" ht="15" x14ac:dyDescent="0.25">
      <c r="A4402" s="1" t="s">
        <v>13330</v>
      </c>
      <c r="B4402" s="1" t="s">
        <v>13331</v>
      </c>
      <c r="C4402" s="1" t="s">
        <v>125</v>
      </c>
      <c r="D4402" s="1" t="s">
        <v>125</v>
      </c>
      <c r="E4402" s="6">
        <v>748.88</v>
      </c>
      <c r="F4402" s="1" t="s">
        <v>40</v>
      </c>
      <c r="G4402" s="6">
        <f ca="1">IFERROR(__xludf.DUMMYFUNCTION("iferror(GOOGLEFINANCE(TRIM(F4402)&amp;"":"" &amp; TRIM(B4402), ""price""),0
)"),77.1)</f>
        <v>77.099999999999994</v>
      </c>
      <c r="H4402" s="6">
        <v>116.64</v>
      </c>
      <c r="I4402" s="6">
        <f t="shared" ca="1" si="0"/>
        <v>77.099999999999994</v>
      </c>
      <c r="J4402" s="6">
        <f ca="1">IFERROR(__xludf.DUMMYFUNCTION("IFERROR(GOOGLEFINANCE(B4402, ""volume""), 0)"),0)</f>
        <v>0</v>
      </c>
      <c r="K4402" s="6">
        <v>-1.2</v>
      </c>
      <c r="L4402" s="6">
        <f ca="1">IFERROR(__xludf.DUMMYFUNCTION("IFERROR(GOOGLEFINANCE(B4402,""changepct""),K4402)"),0)</f>
        <v>0</v>
      </c>
      <c r="M4402" s="6">
        <f ca="1">IFERROR(__xludf.DUMMYFUNCTION("IFERROR(GOOGLEFINANCE(B4402,""change""),0)"),0)</f>
        <v>0</v>
      </c>
      <c r="N4402" s="6">
        <v>2</v>
      </c>
      <c r="O4402" s="7">
        <v>45536</v>
      </c>
      <c r="P4402" s="6">
        <v>91.04</v>
      </c>
      <c r="Q4402" s="6">
        <v>761.1</v>
      </c>
      <c r="R4402" s="7">
        <v>45536</v>
      </c>
      <c r="S4402" s="6">
        <v>333.29</v>
      </c>
      <c r="T4402" s="6">
        <v>38.119999999999997</v>
      </c>
      <c r="U4402" s="7">
        <v>45536</v>
      </c>
      <c r="V4402" s="6">
        <v>19.64</v>
      </c>
      <c r="W4402" s="6">
        <f ca="1">IFERROR(__xludf.DUMMYFUNCTION("IFERROR(GOOGLEFINANCE(B4402,""pe""),V4402)"),19.64)</f>
        <v>19.64</v>
      </c>
      <c r="X4402" s="6">
        <v>1.1399999999999999</v>
      </c>
      <c r="Y4402" s="6">
        <v>3.68</v>
      </c>
      <c r="Z4402" s="6">
        <v>2</v>
      </c>
      <c r="AA4402" s="8">
        <v>45352</v>
      </c>
      <c r="AB4402" s="4">
        <v>0.62</v>
      </c>
      <c r="AC4402" s="6">
        <v>60.62</v>
      </c>
      <c r="AD4402" s="6">
        <v>28.52</v>
      </c>
      <c r="AE4402" s="1">
        <v>0</v>
      </c>
      <c r="AF4402" s="1">
        <f ca="1">IFERROR(__xludf.DUMMYFUNCTION("IFERROR(GOOGLEFINANCE(TRIM(F4402)&amp;"":"" &amp; TRIM(B4402),""high52""),AE4402)"),102.25)</f>
        <v>102.25</v>
      </c>
      <c r="AG4402" s="1">
        <v>0</v>
      </c>
      <c r="AH4402" s="1">
        <f ca="1">IFERROR(__xludf.DUMMYFUNCTION("IFERROR(GOOGLEFINANCE(TRIM(F4402)&amp;"":"" &amp; TRIM(B4402),""low52""),AE4402)"),62.6)</f>
        <v>62.6</v>
      </c>
      <c r="AI4402" s="1">
        <f ca="1">IFERROR(__xludf.DUMMYFUNCTION("IFERROR(GOOGLEFINANCE(B4402,""eps""),0)"),-0.03)</f>
        <v>-0.03</v>
      </c>
      <c r="AJ4402" s="1"/>
      <c r="AK4402" s="1" t="s">
        <v>13332</v>
      </c>
      <c r="AL4402" s="9">
        <f t="shared" si="392"/>
        <v>1</v>
      </c>
    </row>
    <row r="4403" spans="1:38" ht="15" x14ac:dyDescent="0.25">
      <c r="A4403" s="1" t="s">
        <v>13333</v>
      </c>
      <c r="B4403" s="1" t="s">
        <v>13334</v>
      </c>
      <c r="C4403" s="1" t="s">
        <v>125</v>
      </c>
      <c r="D4403" s="1" t="s">
        <v>125</v>
      </c>
      <c r="E4403" s="6">
        <v>81533.84</v>
      </c>
      <c r="F4403" s="1" t="s">
        <v>40</v>
      </c>
      <c r="G4403" s="6">
        <f ca="1">IFERROR(__xludf.DUMMYFUNCTION("iferror(GOOGLEFINANCE(TRIM(F4403)&amp;"":"" &amp; TRIM(B4403), ""price""),0
)"),2805)</f>
        <v>2805</v>
      </c>
      <c r="H4403" s="6">
        <v>2864.4</v>
      </c>
      <c r="I4403" s="6">
        <f t="shared" ca="1" si="0"/>
        <v>2805</v>
      </c>
      <c r="J4403" s="6">
        <f ca="1">IFERROR(__xludf.DUMMYFUNCTION("IFERROR(GOOGLEFINANCE(B4403, ""volume""), 0)"),1511526)</f>
        <v>1511526</v>
      </c>
      <c r="K4403" s="6">
        <v>0.89</v>
      </c>
      <c r="L4403" s="6">
        <f ca="1">IFERROR(__xludf.DUMMYFUNCTION("IFERROR(GOOGLEFINANCE(B4403,""changepct""),K4403)"),5.95)</f>
        <v>5.95</v>
      </c>
      <c r="M4403" s="6">
        <f ca="1">IFERROR(__xludf.DUMMYFUNCTION("IFERROR(GOOGLEFINANCE(B4403,""change""),0)"),157.6)</f>
        <v>157.6</v>
      </c>
      <c r="N4403" s="6">
        <v>2</v>
      </c>
      <c r="O4403" s="7">
        <v>45536</v>
      </c>
      <c r="P4403" s="6">
        <v>737.54</v>
      </c>
      <c r="Q4403" s="6">
        <v>78458.63</v>
      </c>
      <c r="R4403" s="12"/>
      <c r="S4403" s="12"/>
      <c r="T4403" s="12"/>
      <c r="U4403" s="7">
        <v>45352</v>
      </c>
      <c r="V4403" s="6">
        <v>65.900000000000006</v>
      </c>
      <c r="W4403" s="6">
        <f ca="1">IFERROR(__xludf.DUMMYFUNCTION("IFERROR(GOOGLEFINANCE(B4403,""pe""),V4403)"),24.79)</f>
        <v>24.79</v>
      </c>
      <c r="X4403" s="12"/>
      <c r="Y4403" s="6">
        <v>8.9</v>
      </c>
      <c r="Z4403" s="6">
        <v>2</v>
      </c>
      <c r="AA4403" s="8">
        <v>45352</v>
      </c>
      <c r="AB4403" s="4">
        <v>0.21</v>
      </c>
      <c r="AC4403" s="6">
        <v>43.62</v>
      </c>
      <c r="AD4403" s="6">
        <v>49.05</v>
      </c>
      <c r="AE4403" s="1">
        <v>0</v>
      </c>
      <c r="AF4403" s="1">
        <f ca="1">IFERROR(__xludf.DUMMYFUNCTION("IFERROR(GOOGLEFINANCE(TRIM(F4403)&amp;"":"" &amp; TRIM(B4403),""high52""),AE4403)"),3865)</f>
        <v>3865</v>
      </c>
      <c r="AG4403" s="1">
        <v>0</v>
      </c>
      <c r="AH4403" s="1">
        <f ca="1">IFERROR(__xludf.DUMMYFUNCTION("IFERROR(GOOGLEFINANCE(TRIM(F4403)&amp;"":"" &amp; TRIM(B4403),""low52""),AE4403)"),1863)</f>
        <v>1863</v>
      </c>
      <c r="AI4403" s="1">
        <f ca="1">IFERROR(__xludf.DUMMYFUNCTION("IFERROR(GOOGLEFINANCE(B4403,""eps""),0)"),113.15)</f>
        <v>113.15</v>
      </c>
      <c r="AJ4403" s="1"/>
      <c r="AK4403" s="1" t="s">
        <v>13335</v>
      </c>
      <c r="AL4403" s="9">
        <f t="shared" si="392"/>
        <v>1</v>
      </c>
    </row>
    <row r="4404" spans="1:38" ht="15" x14ac:dyDescent="0.25">
      <c r="A4404" s="1" t="s">
        <v>13336</v>
      </c>
      <c r="B4404" s="1" t="s">
        <v>13337</v>
      </c>
      <c r="C4404" s="1" t="s">
        <v>227</v>
      </c>
      <c r="D4404" s="1" t="s">
        <v>227</v>
      </c>
      <c r="E4404" s="6">
        <v>5.3</v>
      </c>
      <c r="F4404" s="1" t="s">
        <v>53</v>
      </c>
      <c r="G4404" s="6">
        <f ca="1">IFERROR(__xludf.DUMMYFUNCTION("iferror(GOOGLEFINANCE(TRIM(F4404)&amp;"":"" &amp; TRIM(B4404), ""price""),0
)"),0)</f>
        <v>0</v>
      </c>
      <c r="H4404" s="6">
        <v>5.15</v>
      </c>
      <c r="I4404" s="6">
        <f t="shared" ca="1" si="0"/>
        <v>5.15</v>
      </c>
      <c r="J4404" s="6">
        <f ca="1">IFERROR(__xludf.DUMMYFUNCTION("IFERROR(GOOGLEFINANCE(B4404, ""volume""), 0)"),0)</f>
        <v>0</v>
      </c>
      <c r="K4404" s="6">
        <v>-1.9</v>
      </c>
      <c r="L4404" s="6">
        <f ca="1">IFERROR(__xludf.DUMMYFUNCTION("IFERROR(GOOGLEFINANCE(B4404,""changepct""),K4404)"),-1.9)</f>
        <v>-1.9</v>
      </c>
      <c r="M4404" s="6">
        <f ca="1">IFERROR(__xludf.DUMMYFUNCTION("IFERROR(GOOGLEFINANCE(B4404,""change""),0)"),0)</f>
        <v>0</v>
      </c>
      <c r="N4404" s="6">
        <v>1</v>
      </c>
      <c r="O4404" s="7">
        <v>45536</v>
      </c>
      <c r="P4404" s="6">
        <v>27.76</v>
      </c>
      <c r="Q4404" s="6">
        <v>33.07</v>
      </c>
      <c r="R4404" s="7">
        <v>45536</v>
      </c>
      <c r="S4404" s="6">
        <v>0.36</v>
      </c>
      <c r="T4404" s="6">
        <v>-7.39</v>
      </c>
      <c r="U4404" s="7">
        <v>45536</v>
      </c>
      <c r="V4404" s="6">
        <v>0</v>
      </c>
      <c r="W4404" s="6">
        <f ca="1">IFERROR(__xludf.DUMMYFUNCTION("IFERROR(GOOGLEFINANCE(B4404,""pe""),V4404)"),0)</f>
        <v>0</v>
      </c>
      <c r="X4404" s="9"/>
      <c r="Y4404" s="6">
        <v>-0.2</v>
      </c>
      <c r="Z4404" s="6">
        <v>1</v>
      </c>
      <c r="AA4404" s="8">
        <v>45352</v>
      </c>
      <c r="AB4404" s="4">
        <v>-1.06</v>
      </c>
      <c r="AC4404" s="6">
        <v>0</v>
      </c>
      <c r="AD4404" s="6">
        <v>-175.12</v>
      </c>
      <c r="AE4404" s="1">
        <v>0</v>
      </c>
      <c r="AF4404" s="1">
        <f ca="1">IFERROR(__xludf.DUMMYFUNCTION("IFERROR(GOOGLEFINANCE(TRIM(F4404)&amp;"":"" &amp; TRIM(B4404),""high52""),AE4404)"),0)</f>
        <v>0</v>
      </c>
      <c r="AG4404" s="1">
        <v>0</v>
      </c>
      <c r="AH4404" s="1">
        <f ca="1">IFERROR(__xludf.DUMMYFUNCTION("IFERROR(GOOGLEFINANCE(TRIM(F4404)&amp;"":"" &amp; TRIM(B4404),""low52""),AE4404)"),0)</f>
        <v>0</v>
      </c>
      <c r="AI4404" s="1">
        <f ca="1">IFERROR(__xludf.DUMMYFUNCTION("IFERROR(GOOGLEFINANCE(B4404,""eps""),0)"),0)</f>
        <v>0</v>
      </c>
      <c r="AJ4404" s="1"/>
      <c r="AK4404" s="9"/>
      <c r="AL4404" s="9">
        <f t="shared" si="392"/>
        <v>1</v>
      </c>
    </row>
    <row r="4405" spans="1:38" ht="15" x14ac:dyDescent="0.25">
      <c r="A4405" s="1" t="s">
        <v>13338</v>
      </c>
      <c r="B4405" s="1" t="s">
        <v>13339</v>
      </c>
      <c r="C4405" s="1" t="s">
        <v>227</v>
      </c>
      <c r="D4405" s="1" t="s">
        <v>227</v>
      </c>
      <c r="E4405" s="6">
        <v>48.83</v>
      </c>
      <c r="F4405" s="1" t="s">
        <v>53</v>
      </c>
      <c r="G4405" s="6">
        <f ca="1">IFERROR(__xludf.DUMMYFUNCTION("iferror(GOOGLEFINANCE(TRIM(F4405)&amp;"":"" &amp; TRIM(B4405), ""price""),0
)"),0)</f>
        <v>0</v>
      </c>
      <c r="H4405" s="6">
        <v>9.2899999999999991</v>
      </c>
      <c r="I4405" s="6">
        <f t="shared" ca="1" si="0"/>
        <v>9.2899999999999991</v>
      </c>
      <c r="J4405" s="6">
        <f ca="1">IFERROR(__xludf.DUMMYFUNCTION("IFERROR(GOOGLEFINANCE(B4405, ""volume""), 0)"),0)</f>
        <v>0</v>
      </c>
      <c r="K4405" s="6">
        <v>-0.11</v>
      </c>
      <c r="L4405" s="6">
        <f ca="1">IFERROR(__xludf.DUMMYFUNCTION("IFERROR(GOOGLEFINANCE(B4405,""changepct""),K4405)"),-0.11)</f>
        <v>-0.11</v>
      </c>
      <c r="M4405" s="6">
        <f ca="1">IFERROR(__xludf.DUMMYFUNCTION("IFERROR(GOOGLEFINANCE(B4405,""change""),0)"),0)</f>
        <v>0</v>
      </c>
      <c r="N4405" s="6">
        <v>1</v>
      </c>
      <c r="O4405" s="7">
        <v>45536</v>
      </c>
      <c r="P4405" s="9"/>
      <c r="Q4405" s="6">
        <v>32.89</v>
      </c>
      <c r="R4405" s="7">
        <v>45536</v>
      </c>
      <c r="S4405" s="6">
        <v>0</v>
      </c>
      <c r="T4405" s="6">
        <v>0.02</v>
      </c>
      <c r="U4405" s="7">
        <v>45536</v>
      </c>
      <c r="V4405" s="6">
        <v>0</v>
      </c>
      <c r="W4405" s="6">
        <f ca="1">IFERROR(__xludf.DUMMYFUNCTION("IFERROR(GOOGLEFINANCE(B4405,""pe""),V4405)"),0)</f>
        <v>0</v>
      </c>
      <c r="X4405" s="6">
        <v>0</v>
      </c>
      <c r="Y4405" s="6">
        <v>2.67</v>
      </c>
      <c r="Z4405" s="6">
        <v>1</v>
      </c>
      <c r="AA4405" s="8">
        <v>45352</v>
      </c>
      <c r="AB4405" s="4">
        <v>0</v>
      </c>
      <c r="AC4405" s="6">
        <v>3.12</v>
      </c>
      <c r="AD4405" s="6">
        <v>4.5199999999999996</v>
      </c>
      <c r="AE4405" s="1">
        <v>0</v>
      </c>
      <c r="AF4405" s="1">
        <f ca="1">IFERROR(__xludf.DUMMYFUNCTION("IFERROR(GOOGLEFINANCE(TRIM(F4405)&amp;"":"" &amp; TRIM(B4405),""high52""),AE4405)"),0)</f>
        <v>0</v>
      </c>
      <c r="AG4405" s="1">
        <v>0</v>
      </c>
      <c r="AH4405" s="1">
        <f ca="1">IFERROR(__xludf.DUMMYFUNCTION("IFERROR(GOOGLEFINANCE(TRIM(F4405)&amp;"":"" &amp; TRIM(B4405),""low52""),AE4405)"),0)</f>
        <v>0</v>
      </c>
      <c r="AI4405" s="1">
        <f ca="1">IFERROR(__xludf.DUMMYFUNCTION("IFERROR(GOOGLEFINANCE(B4405,""eps""),0)"),0)</f>
        <v>0</v>
      </c>
      <c r="AJ4405" s="1"/>
      <c r="AK4405" s="9"/>
      <c r="AL4405" s="9">
        <f t="shared" si="392"/>
        <v>1</v>
      </c>
    </row>
    <row r="4406" spans="1:38" ht="15" x14ac:dyDescent="0.25">
      <c r="A4406" s="1" t="s">
        <v>13340</v>
      </c>
      <c r="B4406" s="1" t="s">
        <v>13341</v>
      </c>
      <c r="C4406" s="1" t="s">
        <v>227</v>
      </c>
      <c r="D4406" s="1" t="s">
        <v>227</v>
      </c>
      <c r="E4406" s="6">
        <v>38.909999999999997</v>
      </c>
      <c r="F4406" s="1" t="s">
        <v>53</v>
      </c>
      <c r="G4406" s="6">
        <f ca="1">IFERROR(__xludf.DUMMYFUNCTION("iferror(GOOGLEFINANCE(TRIM(F4406)&amp;"":"" &amp; TRIM(B4406), ""price""),0
)"),0)</f>
        <v>0</v>
      </c>
      <c r="H4406" s="6">
        <v>9.11</v>
      </c>
      <c r="I4406" s="6">
        <f t="shared" ca="1" si="0"/>
        <v>9.11</v>
      </c>
      <c r="J4406" s="6">
        <f ca="1">IFERROR(__xludf.DUMMYFUNCTION("IFERROR(GOOGLEFINANCE(B4406, ""volume""), 0)"),0)</f>
        <v>0</v>
      </c>
      <c r="K4406" s="6">
        <v>2.82</v>
      </c>
      <c r="L4406" s="6">
        <f ca="1">IFERROR(__xludf.DUMMYFUNCTION("IFERROR(GOOGLEFINANCE(B4406,""changepct""),K4406)"),2.82)</f>
        <v>2.82</v>
      </c>
      <c r="M4406" s="6">
        <f ca="1">IFERROR(__xludf.DUMMYFUNCTION("IFERROR(GOOGLEFINANCE(B4406,""change""),0)"),0)</f>
        <v>0</v>
      </c>
      <c r="N4406" s="6">
        <v>2</v>
      </c>
      <c r="O4406" s="7">
        <v>45536</v>
      </c>
      <c r="P4406" s="9"/>
      <c r="Q4406" s="6">
        <v>38.909999999999997</v>
      </c>
      <c r="R4406" s="7">
        <v>45536</v>
      </c>
      <c r="S4406" s="6">
        <v>39.630000000000003</v>
      </c>
      <c r="T4406" s="6">
        <v>2.8</v>
      </c>
      <c r="U4406" s="7">
        <v>45536</v>
      </c>
      <c r="V4406" s="6">
        <v>13.94</v>
      </c>
      <c r="W4406" s="6">
        <f ca="1">IFERROR(__xludf.DUMMYFUNCTION("IFERROR(GOOGLEFINANCE(B4406,""pe""),V4406)"),13.94)</f>
        <v>13.94</v>
      </c>
      <c r="X4406" s="9"/>
      <c r="Y4406" s="6">
        <v>0.35</v>
      </c>
      <c r="Z4406" s="6">
        <v>2</v>
      </c>
      <c r="AA4406" s="8">
        <v>45352</v>
      </c>
      <c r="AB4406" s="4">
        <v>0.03</v>
      </c>
      <c r="AC4406" s="6">
        <v>3.82</v>
      </c>
      <c r="AD4406" s="6">
        <v>4.9800000000000004</v>
      </c>
      <c r="AE4406" s="1">
        <v>0</v>
      </c>
      <c r="AF4406" s="1">
        <f ca="1">IFERROR(__xludf.DUMMYFUNCTION("IFERROR(GOOGLEFINANCE(TRIM(F4406)&amp;"":"" &amp; TRIM(B4406),""high52""),AE4406)"),0)</f>
        <v>0</v>
      </c>
      <c r="AG4406" s="1">
        <v>0</v>
      </c>
      <c r="AH4406" s="1">
        <f ca="1">IFERROR(__xludf.DUMMYFUNCTION("IFERROR(GOOGLEFINANCE(TRIM(F4406)&amp;"":"" &amp; TRIM(B4406),""low52""),AE4406)"),0)</f>
        <v>0</v>
      </c>
      <c r="AI4406" s="1">
        <f ca="1">IFERROR(__xludf.DUMMYFUNCTION("IFERROR(GOOGLEFINANCE(B4406,""eps""),0)"),0)</f>
        <v>0</v>
      </c>
      <c r="AJ4406" s="1"/>
      <c r="AK4406" s="1" t="s">
        <v>13342</v>
      </c>
      <c r="AL4406" s="9">
        <f t="shared" si="392"/>
        <v>1</v>
      </c>
    </row>
    <row r="4407" spans="1:38" ht="15" x14ac:dyDescent="0.25">
      <c r="A4407" s="1" t="s">
        <v>13343</v>
      </c>
      <c r="B4407" s="1" t="s">
        <v>13344</v>
      </c>
      <c r="C4407" s="1" t="s">
        <v>227</v>
      </c>
      <c r="D4407" s="1" t="s">
        <v>227</v>
      </c>
      <c r="E4407" s="6">
        <v>9.0500000000000007</v>
      </c>
      <c r="F4407" s="1" t="s">
        <v>53</v>
      </c>
      <c r="G4407" s="6">
        <f ca="1">IFERROR(__xludf.DUMMYFUNCTION("iferror(GOOGLEFINANCE(TRIM(F4407)&amp;"":"" &amp; TRIM(B4407), ""price""),0
)"),0)</f>
        <v>0</v>
      </c>
      <c r="H4407" s="6">
        <v>10.24</v>
      </c>
      <c r="I4407" s="6">
        <f t="shared" ca="1" si="0"/>
        <v>10.24</v>
      </c>
      <c r="J4407" s="6">
        <f ca="1">IFERROR(__xludf.DUMMYFUNCTION("IFERROR(GOOGLEFINANCE(B4407, ""volume""), 0)"),0)</f>
        <v>0</v>
      </c>
      <c r="K4407" s="6">
        <v>-4.92</v>
      </c>
      <c r="L4407" s="6">
        <f ca="1">IFERROR(__xludf.DUMMYFUNCTION("IFERROR(GOOGLEFINANCE(B4407,""changepct""),K4407)"),-0.54)</f>
        <v>-0.54</v>
      </c>
      <c r="M4407" s="6">
        <f ca="1">IFERROR(__xludf.DUMMYFUNCTION("IFERROR(GOOGLEFINANCE(B4407,""change""),0)"),-0.11)</f>
        <v>-0.11</v>
      </c>
      <c r="N4407" s="6">
        <v>1</v>
      </c>
      <c r="O4407" s="7">
        <v>45536</v>
      </c>
      <c r="P4407" s="6">
        <v>0.17</v>
      </c>
      <c r="Q4407" s="6">
        <v>9.2200000000000006</v>
      </c>
      <c r="R4407" s="7">
        <v>45536</v>
      </c>
      <c r="S4407" s="6">
        <v>13.76</v>
      </c>
      <c r="T4407" s="6">
        <v>-11.5</v>
      </c>
      <c r="U4407" s="7">
        <v>45536</v>
      </c>
      <c r="V4407" s="6">
        <v>0</v>
      </c>
      <c r="W4407" s="6">
        <f ca="1">IFERROR(__xludf.DUMMYFUNCTION("IFERROR(GOOGLEFINANCE(B4407,""pe""),V4407)"),8.37)</f>
        <v>8.3699999999999992</v>
      </c>
      <c r="X4407" s="9"/>
      <c r="Y4407" s="6">
        <v>1.82</v>
      </c>
      <c r="Z4407" s="6">
        <v>2</v>
      </c>
      <c r="AA4407" s="8">
        <v>44986</v>
      </c>
      <c r="AB4407" s="4">
        <v>0.02</v>
      </c>
      <c r="AC4407" s="6">
        <v>4.08</v>
      </c>
      <c r="AD4407" s="6">
        <v>5.0999999999999996</v>
      </c>
      <c r="AE4407" s="1">
        <v>0</v>
      </c>
      <c r="AF4407" s="1">
        <f ca="1">IFERROR(__xludf.DUMMYFUNCTION("IFERROR(GOOGLEFINANCE(TRIM(F4407)&amp;"":"" &amp; TRIM(B4407),""high52""),AE4407)"),0)</f>
        <v>0</v>
      </c>
      <c r="AG4407" s="1">
        <v>0</v>
      </c>
      <c r="AH4407" s="1">
        <f ca="1">IFERROR(__xludf.DUMMYFUNCTION("IFERROR(GOOGLEFINANCE(TRIM(F4407)&amp;"":"" &amp; TRIM(B4407),""low52""),AE4407)"),0)</f>
        <v>0</v>
      </c>
      <c r="AI4407" s="1">
        <f ca="1">IFERROR(__xludf.DUMMYFUNCTION("IFERROR(GOOGLEFINANCE(B4407,""eps""),0)"),2.43)</f>
        <v>2.4300000000000002</v>
      </c>
      <c r="AJ4407" s="1"/>
      <c r="AK4407" s="9"/>
      <c r="AL4407" s="9">
        <f t="shared" si="392"/>
        <v>1</v>
      </c>
    </row>
    <row r="4408" spans="1:38" ht="15" x14ac:dyDescent="0.25">
      <c r="A4408" s="1" t="s">
        <v>13345</v>
      </c>
      <c r="B4408" s="1" t="s">
        <v>13346</v>
      </c>
      <c r="C4408" s="1" t="s">
        <v>416</v>
      </c>
      <c r="D4408" s="1" t="s">
        <v>416</v>
      </c>
      <c r="E4408" s="6">
        <v>1937.1</v>
      </c>
      <c r="F4408" s="1" t="s">
        <v>40</v>
      </c>
      <c r="G4408" s="6">
        <f ca="1">IFERROR(__xludf.DUMMYFUNCTION("iferror(GOOGLEFINANCE(TRIM(F4408)&amp;"":"" &amp; TRIM(B4408), ""price""),0
)"),195)</f>
        <v>195</v>
      </c>
      <c r="H4408" s="6">
        <v>287.39999999999998</v>
      </c>
      <c r="I4408" s="6">
        <f t="shared" ca="1" si="0"/>
        <v>195</v>
      </c>
      <c r="J4408" s="6">
        <f ca="1">IFERROR(__xludf.DUMMYFUNCTION("IFERROR(GOOGLEFINANCE(B4408, ""volume""), 0)"),2610209)</f>
        <v>2610209</v>
      </c>
      <c r="K4408" s="6">
        <v>0.23</v>
      </c>
      <c r="L4408" s="6">
        <f ca="1">IFERROR(__xludf.DUMMYFUNCTION("IFERROR(GOOGLEFINANCE(B4408,""changepct""),K4408)"),5.73)</f>
        <v>5.73</v>
      </c>
      <c r="M4408" s="6">
        <f ca="1">IFERROR(__xludf.DUMMYFUNCTION("IFERROR(GOOGLEFINANCE(B4408,""change""),0)"),10.56)</f>
        <v>10.56</v>
      </c>
      <c r="N4408" s="6">
        <v>1</v>
      </c>
      <c r="O4408" s="7">
        <v>45536</v>
      </c>
      <c r="P4408" s="6">
        <v>268.77</v>
      </c>
      <c r="Q4408" s="6">
        <v>2080.6799999999998</v>
      </c>
      <c r="R4408" s="7">
        <v>45536</v>
      </c>
      <c r="S4408" s="6">
        <v>294.27</v>
      </c>
      <c r="T4408" s="6">
        <v>-35.020000000000003</v>
      </c>
      <c r="U4408" s="7">
        <v>45536</v>
      </c>
      <c r="V4408" s="6">
        <v>0</v>
      </c>
      <c r="W4408" s="6">
        <f ca="1">IFERROR(__xludf.DUMMYFUNCTION("IFERROR(GOOGLEFINANCE(B4408,""pe""),V4408)"),0)</f>
        <v>0</v>
      </c>
      <c r="X4408" s="12"/>
      <c r="Y4408" s="6">
        <v>4.55</v>
      </c>
      <c r="Z4408" s="6">
        <v>1</v>
      </c>
      <c r="AA4408" s="8">
        <v>45352</v>
      </c>
      <c r="AB4408" s="4">
        <v>0.77</v>
      </c>
      <c r="AC4408" s="6">
        <v>-14.57</v>
      </c>
      <c r="AD4408" s="6">
        <v>1.34</v>
      </c>
      <c r="AE4408" s="1">
        <v>0</v>
      </c>
      <c r="AF4408" s="1">
        <f ca="1">IFERROR(__xludf.DUMMYFUNCTION("IFERROR(GOOGLEFINANCE(TRIM(F4408)&amp;"":"" &amp; TRIM(B4408),""high52""),AE4408)"),291)</f>
        <v>291</v>
      </c>
      <c r="AG4408" s="1">
        <v>0</v>
      </c>
      <c r="AH4408" s="1">
        <f ca="1">IFERROR(__xludf.DUMMYFUNCTION("IFERROR(GOOGLEFINANCE(TRIM(F4408)&amp;"":"" &amp; TRIM(B4408),""low52""),AE4408)"),141.6)</f>
        <v>141.6</v>
      </c>
      <c r="AI4408" s="1">
        <f ca="1">IFERROR(__xludf.DUMMYFUNCTION("IFERROR(GOOGLEFINANCE(B4408,""eps""),0)"),-14.74)</f>
        <v>-14.74</v>
      </c>
      <c r="AJ4408" s="1"/>
      <c r="AK4408" s="1" t="s">
        <v>13347</v>
      </c>
      <c r="AL4408" s="9">
        <f t="shared" si="392"/>
        <v>1</v>
      </c>
    </row>
    <row r="4409" spans="1:38" ht="15" x14ac:dyDescent="0.25">
      <c r="A4409" s="1" t="s">
        <v>13348</v>
      </c>
      <c r="B4409" s="1" t="s">
        <v>13349</v>
      </c>
      <c r="C4409" s="1" t="s">
        <v>227</v>
      </c>
      <c r="D4409" s="1" t="s">
        <v>227</v>
      </c>
      <c r="E4409" s="6">
        <v>2336.7600000000002</v>
      </c>
      <c r="F4409" s="1" t="s">
        <v>53</v>
      </c>
      <c r="G4409" s="6">
        <f ca="1">IFERROR(__xludf.DUMMYFUNCTION("iferror(GOOGLEFINANCE(TRIM(F4409)&amp;"":"" &amp; TRIM(B4409), ""price""),0
)"),0)</f>
        <v>0</v>
      </c>
      <c r="H4409" s="6">
        <v>870</v>
      </c>
      <c r="I4409" s="6">
        <f t="shared" ca="1" si="0"/>
        <v>870</v>
      </c>
      <c r="J4409" s="6">
        <f ca="1">IFERROR(__xludf.DUMMYFUNCTION("IFERROR(GOOGLEFINANCE(B4409, ""volume""), 0)"),0)</f>
        <v>0</v>
      </c>
      <c r="K4409" s="6">
        <v>-0.18</v>
      </c>
      <c r="L4409" s="6">
        <f ca="1">IFERROR(__xludf.DUMMYFUNCTION("IFERROR(GOOGLEFINANCE(B4409,""changepct""),K4409)"),-0.18)</f>
        <v>-0.18</v>
      </c>
      <c r="M4409" s="6">
        <f ca="1">IFERROR(__xludf.DUMMYFUNCTION("IFERROR(GOOGLEFINANCE(B4409,""change""),0)"),0)</f>
        <v>0</v>
      </c>
      <c r="N4409" s="6">
        <v>2</v>
      </c>
      <c r="O4409" s="7">
        <v>45536</v>
      </c>
      <c r="P4409" s="6">
        <v>48.87</v>
      </c>
      <c r="Q4409" s="6">
        <v>2332.84</v>
      </c>
      <c r="R4409" s="7">
        <v>45536</v>
      </c>
      <c r="S4409" s="6">
        <v>4089.47</v>
      </c>
      <c r="T4409" s="6">
        <v>204.84</v>
      </c>
      <c r="U4409" s="7">
        <v>45536</v>
      </c>
      <c r="V4409" s="6">
        <v>11.41</v>
      </c>
      <c r="W4409" s="6">
        <f ca="1">IFERROR(__xludf.DUMMYFUNCTION("IFERROR(GOOGLEFINANCE(B4409,""pe""),V4409)"),11.41)</f>
        <v>11.41</v>
      </c>
      <c r="X4409" s="6">
        <v>0.34</v>
      </c>
      <c r="Y4409" s="6">
        <v>0.9</v>
      </c>
      <c r="Z4409" s="6">
        <v>2</v>
      </c>
      <c r="AA4409" s="8">
        <v>45352</v>
      </c>
      <c r="AB4409" s="4">
        <v>0.1</v>
      </c>
      <c r="AC4409" s="6">
        <v>7.76</v>
      </c>
      <c r="AD4409" s="6">
        <v>8.2799999999999994</v>
      </c>
      <c r="AE4409" s="1">
        <v>0</v>
      </c>
      <c r="AF4409" s="1">
        <f ca="1">IFERROR(__xludf.DUMMYFUNCTION("IFERROR(GOOGLEFINANCE(TRIM(F4409)&amp;"":"" &amp; TRIM(B4409),""high52""),AE4409)"),0)</f>
        <v>0</v>
      </c>
      <c r="AG4409" s="1">
        <v>0</v>
      </c>
      <c r="AH4409" s="1">
        <f ca="1">IFERROR(__xludf.DUMMYFUNCTION("IFERROR(GOOGLEFINANCE(TRIM(F4409)&amp;"":"" &amp; TRIM(B4409),""low52""),AE4409)"),0)</f>
        <v>0</v>
      </c>
      <c r="AI4409" s="1">
        <f ca="1">IFERROR(__xludf.DUMMYFUNCTION("IFERROR(GOOGLEFINANCE(B4409,""eps""),0)"),0)</f>
        <v>0</v>
      </c>
      <c r="AJ4409" s="1"/>
      <c r="AK4409" s="1" t="s">
        <v>13350</v>
      </c>
      <c r="AL4409" s="9">
        <f t="shared" si="392"/>
        <v>1</v>
      </c>
    </row>
    <row r="4410" spans="1:38" ht="15" x14ac:dyDescent="0.25">
      <c r="A4410" s="1" t="s">
        <v>13351</v>
      </c>
      <c r="B4410" s="1" t="s">
        <v>13352</v>
      </c>
      <c r="C4410" s="1" t="s">
        <v>106</v>
      </c>
      <c r="D4410" s="1" t="s">
        <v>106</v>
      </c>
      <c r="E4410" s="6">
        <v>47.84</v>
      </c>
      <c r="F4410" s="1" t="s">
        <v>40</v>
      </c>
      <c r="G4410" s="6">
        <f ca="1">IFERROR(__xludf.DUMMYFUNCTION("iferror(GOOGLEFINANCE(TRIM(F4410)&amp;"":"" &amp; TRIM(B4410), ""price""),0
)"),0)</f>
        <v>0</v>
      </c>
      <c r="H4410" s="6">
        <v>51.9</v>
      </c>
      <c r="I4410" s="6">
        <f t="shared" ca="1" si="0"/>
        <v>51.9</v>
      </c>
      <c r="J4410" s="6">
        <f ca="1">IFERROR(__xludf.DUMMYFUNCTION("IFERROR(GOOGLEFINANCE(B4410, ""volume""), 0)"),0)</f>
        <v>0</v>
      </c>
      <c r="K4410" s="6">
        <v>1.86</v>
      </c>
      <c r="L4410" s="6">
        <f ca="1">IFERROR(__xludf.DUMMYFUNCTION("IFERROR(GOOGLEFINANCE(B4410,""changepct""),K4410)"),1.86)</f>
        <v>1.86</v>
      </c>
      <c r="M4410" s="6">
        <f ca="1">IFERROR(__xludf.DUMMYFUNCTION("IFERROR(GOOGLEFINANCE(B4410,""change""),0)"),0)</f>
        <v>0</v>
      </c>
      <c r="N4410" s="6">
        <v>1</v>
      </c>
      <c r="O4410" s="7">
        <v>45536</v>
      </c>
      <c r="P4410" s="6">
        <v>1.07</v>
      </c>
      <c r="Q4410" s="6">
        <v>48.91</v>
      </c>
      <c r="R4410" s="7">
        <v>45352</v>
      </c>
      <c r="S4410" s="6">
        <v>51.31</v>
      </c>
      <c r="T4410" s="6">
        <v>1.1100000000000001</v>
      </c>
      <c r="U4410" s="7">
        <v>45352</v>
      </c>
      <c r="V4410" s="6">
        <v>43.03</v>
      </c>
      <c r="W4410" s="6">
        <f ca="1">IFERROR(__xludf.DUMMYFUNCTION("IFERROR(GOOGLEFINANCE(B4410,""pe""),V4410)"),43.03)</f>
        <v>43.03</v>
      </c>
      <c r="X4410" s="12"/>
      <c r="Y4410" s="6">
        <v>2.66</v>
      </c>
      <c r="Z4410" s="6">
        <v>2</v>
      </c>
      <c r="AA4410" s="8">
        <v>45352</v>
      </c>
      <c r="AB4410" s="4">
        <v>0.59</v>
      </c>
      <c r="AC4410" s="6">
        <v>15.05</v>
      </c>
      <c r="AD4410" s="6">
        <v>14.23</v>
      </c>
      <c r="AE4410" s="1">
        <v>0</v>
      </c>
      <c r="AF4410" s="1">
        <f ca="1">IFERROR(__xludf.DUMMYFUNCTION("IFERROR(GOOGLEFINANCE(TRIM(F4410)&amp;"":"" &amp; TRIM(B4410),""high52""),AE4410)"),0)</f>
        <v>0</v>
      </c>
      <c r="AG4410" s="1">
        <v>0</v>
      </c>
      <c r="AH4410" s="1">
        <f ca="1">IFERROR(__xludf.DUMMYFUNCTION("IFERROR(GOOGLEFINANCE(TRIM(F4410)&amp;"":"" &amp; TRIM(B4410),""low52""),AE4410)"),0)</f>
        <v>0</v>
      </c>
      <c r="AI4410" s="1">
        <f ca="1">IFERROR(__xludf.DUMMYFUNCTION("IFERROR(GOOGLEFINANCE(B4410,""eps""),0)"),0)</f>
        <v>0</v>
      </c>
      <c r="AJ4410" s="1"/>
      <c r="AK4410" s="1" t="s">
        <v>13353</v>
      </c>
      <c r="AL4410" s="9">
        <f t="shared" si="392"/>
        <v>1</v>
      </c>
    </row>
    <row r="4411" spans="1:38" ht="15" x14ac:dyDescent="0.25">
      <c r="A4411" s="1" t="s">
        <v>13354</v>
      </c>
      <c r="B4411" s="1" t="s">
        <v>13355</v>
      </c>
      <c r="C4411" s="1" t="s">
        <v>106</v>
      </c>
      <c r="D4411" s="1" t="s">
        <v>106</v>
      </c>
      <c r="E4411" s="6">
        <v>981.97</v>
      </c>
      <c r="F4411" s="1" t="s">
        <v>40</v>
      </c>
      <c r="G4411" s="6">
        <f ca="1">IFERROR(__xludf.DUMMYFUNCTION("iferror(GOOGLEFINANCE(TRIM(F4411)&amp;"":"" &amp; TRIM(B4411), ""price""),0
)"),214.67)</f>
        <v>214.67</v>
      </c>
      <c r="H4411" s="6">
        <v>294.7</v>
      </c>
      <c r="I4411" s="6">
        <f t="shared" ca="1" si="0"/>
        <v>214.67</v>
      </c>
      <c r="J4411" s="6">
        <f ca="1">IFERROR(__xludf.DUMMYFUNCTION("IFERROR(GOOGLEFINANCE(B4411, ""volume""), 0)"),72543)</f>
        <v>72543</v>
      </c>
      <c r="K4411" s="6">
        <v>-1.6</v>
      </c>
      <c r="L4411" s="6">
        <f ca="1">IFERROR(__xludf.DUMMYFUNCTION("IFERROR(GOOGLEFINANCE(B4411,""changepct""),K4411)"),2.93)</f>
        <v>2.93</v>
      </c>
      <c r="M4411" s="6">
        <f ca="1">IFERROR(__xludf.DUMMYFUNCTION("IFERROR(GOOGLEFINANCE(B4411,""change""),0)"),6.12)</f>
        <v>6.12</v>
      </c>
      <c r="N4411" s="6">
        <v>2</v>
      </c>
      <c r="O4411" s="7">
        <v>45536</v>
      </c>
      <c r="P4411" s="6">
        <v>175.56</v>
      </c>
      <c r="Q4411" s="6">
        <v>1145.78</v>
      </c>
      <c r="R4411" s="15">
        <v>45536</v>
      </c>
      <c r="S4411" s="6">
        <v>577.20000000000005</v>
      </c>
      <c r="T4411" s="6">
        <v>52.96</v>
      </c>
      <c r="U4411" s="15">
        <v>45536</v>
      </c>
      <c r="V4411" s="6">
        <v>18.54</v>
      </c>
      <c r="W4411" s="6">
        <f ca="1">IFERROR(__xludf.DUMMYFUNCTION("IFERROR(GOOGLEFINANCE(B4411,""pe""),V4411)"),14.34)</f>
        <v>14.34</v>
      </c>
      <c r="X4411" s="6">
        <v>0.7</v>
      </c>
      <c r="Y4411" s="6">
        <v>25.34</v>
      </c>
      <c r="Z4411" s="6">
        <v>2</v>
      </c>
      <c r="AA4411" s="8">
        <v>45352</v>
      </c>
      <c r="AB4411" s="4">
        <v>5.21</v>
      </c>
      <c r="AC4411" s="6">
        <v>0</v>
      </c>
      <c r="AD4411" s="6">
        <v>101.15</v>
      </c>
      <c r="AE4411" s="1">
        <v>0</v>
      </c>
      <c r="AF4411" s="1">
        <f ca="1">IFERROR(__xludf.DUMMYFUNCTION("IFERROR(GOOGLEFINANCE(TRIM(F4411)&amp;"":"" &amp; TRIM(B4411),""high52""),AE4411)"),329.7)</f>
        <v>329.7</v>
      </c>
      <c r="AG4411" s="1">
        <v>0</v>
      </c>
      <c r="AH4411" s="1">
        <f ca="1">IFERROR(__xludf.DUMMYFUNCTION("IFERROR(GOOGLEFINANCE(TRIM(F4411)&amp;"":"" &amp; TRIM(B4411),""low52""),AE4411)"),154.01)</f>
        <v>154.01</v>
      </c>
      <c r="AI4411" s="1">
        <f ca="1">IFERROR(__xludf.DUMMYFUNCTION("IFERROR(GOOGLEFINANCE(B4411,""eps""),0)"),14.97)</f>
        <v>14.97</v>
      </c>
      <c r="AJ4411" s="1"/>
      <c r="AK4411" s="1" t="s">
        <v>13356</v>
      </c>
      <c r="AL4411" s="9">
        <f t="shared" si="392"/>
        <v>1</v>
      </c>
    </row>
    <row r="4412" spans="1:38" ht="15" x14ac:dyDescent="0.25">
      <c r="A4412" s="1" t="s">
        <v>13357</v>
      </c>
      <c r="B4412" s="1" t="s">
        <v>13358</v>
      </c>
      <c r="C4412" s="1" t="s">
        <v>227</v>
      </c>
      <c r="D4412" s="1" t="s">
        <v>227</v>
      </c>
      <c r="E4412" s="6">
        <v>14.84</v>
      </c>
      <c r="F4412" s="1" t="s">
        <v>53</v>
      </c>
      <c r="G4412" s="6">
        <f ca="1">IFERROR(__xludf.DUMMYFUNCTION("iferror(GOOGLEFINANCE(TRIM(F4412)&amp;"":"" &amp; TRIM(B4412), ""price""),0
)"),0)</f>
        <v>0</v>
      </c>
      <c r="H4412" s="6">
        <v>3.75</v>
      </c>
      <c r="I4412" s="6">
        <f t="shared" ca="1" si="0"/>
        <v>3.75</v>
      </c>
      <c r="J4412" s="6">
        <f ca="1">IFERROR(__xludf.DUMMYFUNCTION("IFERROR(GOOGLEFINANCE(B4412, ""volume""), 0)"),0)</f>
        <v>0</v>
      </c>
      <c r="K4412" s="6">
        <v>1.08</v>
      </c>
      <c r="L4412" s="6">
        <f ca="1">IFERROR(__xludf.DUMMYFUNCTION("IFERROR(GOOGLEFINANCE(B4412,""changepct""),K4412)"),1.08)</f>
        <v>1.08</v>
      </c>
      <c r="M4412" s="6">
        <f ca="1">IFERROR(__xludf.DUMMYFUNCTION("IFERROR(GOOGLEFINANCE(B4412,""change""),0)"),0)</f>
        <v>0</v>
      </c>
      <c r="N4412" s="6">
        <v>2</v>
      </c>
      <c r="O4412" s="7">
        <v>45536</v>
      </c>
      <c r="P4412" s="6">
        <v>6.24</v>
      </c>
      <c r="Q4412" s="6">
        <v>21.08</v>
      </c>
      <c r="R4412" s="7">
        <v>45536</v>
      </c>
      <c r="S4412" s="6">
        <v>16.420000000000002</v>
      </c>
      <c r="T4412" s="6">
        <v>7.0000000000000007E-2</v>
      </c>
      <c r="U4412" s="7">
        <v>45536</v>
      </c>
      <c r="V4412" s="6">
        <v>200.54</v>
      </c>
      <c r="W4412" s="6">
        <f ca="1">IFERROR(__xludf.DUMMYFUNCTION("IFERROR(GOOGLEFINANCE(B4412,""pe""),V4412)"),200.54)</f>
        <v>200.54</v>
      </c>
      <c r="X4412" s="6">
        <v>7.56</v>
      </c>
      <c r="Y4412" s="6">
        <v>3.02</v>
      </c>
      <c r="Z4412" s="6">
        <v>2</v>
      </c>
      <c r="AA4412" s="8">
        <v>45352</v>
      </c>
      <c r="AB4412" s="4">
        <v>1.1100000000000001</v>
      </c>
      <c r="AC4412" s="6">
        <v>12.54</v>
      </c>
      <c r="AD4412" s="6">
        <v>10.18</v>
      </c>
      <c r="AE4412" s="1">
        <v>0</v>
      </c>
      <c r="AF4412" s="1">
        <f ca="1">IFERROR(__xludf.DUMMYFUNCTION("IFERROR(GOOGLEFINANCE(TRIM(F4412)&amp;"":"" &amp; TRIM(B4412),""high52""),AE4412)"),0)</f>
        <v>0</v>
      </c>
      <c r="AG4412" s="1">
        <v>0</v>
      </c>
      <c r="AH4412" s="1">
        <f ca="1">IFERROR(__xludf.DUMMYFUNCTION("IFERROR(GOOGLEFINANCE(TRIM(F4412)&amp;"":"" &amp; TRIM(B4412),""low52""),AE4412)"),0)</f>
        <v>0</v>
      </c>
      <c r="AI4412" s="1">
        <f ca="1">IFERROR(__xludf.DUMMYFUNCTION("IFERROR(GOOGLEFINANCE(B4412,""eps""),0)"),0)</f>
        <v>0</v>
      </c>
      <c r="AJ4412" s="1"/>
      <c r="AK4412" s="1" t="s">
        <v>13359</v>
      </c>
      <c r="AL4412" s="9">
        <f t="shared" si="392"/>
        <v>1</v>
      </c>
    </row>
    <row r="4413" spans="1:38" ht="15" x14ac:dyDescent="0.25">
      <c r="A4413" s="1" t="s">
        <v>13360</v>
      </c>
      <c r="B4413" s="1" t="s">
        <v>13361</v>
      </c>
      <c r="C4413" s="1" t="s">
        <v>227</v>
      </c>
      <c r="D4413" s="1" t="s">
        <v>227</v>
      </c>
      <c r="E4413" s="6">
        <v>92.55</v>
      </c>
      <c r="F4413" s="1" t="s">
        <v>53</v>
      </c>
      <c r="G4413" s="6">
        <f ca="1">IFERROR(__xludf.DUMMYFUNCTION("iferror(GOOGLEFINANCE(TRIM(F4413)&amp;"":"" &amp; TRIM(B4413), ""price""),0
)"),0)</f>
        <v>0</v>
      </c>
      <c r="H4413" s="6">
        <v>12.22</v>
      </c>
      <c r="I4413" s="6">
        <f t="shared" ca="1" si="0"/>
        <v>12.22</v>
      </c>
      <c r="J4413" s="6">
        <f ca="1">IFERROR(__xludf.DUMMYFUNCTION("IFERROR(GOOGLEFINANCE(B4413, ""volume""), 0)"),0)</f>
        <v>0</v>
      </c>
      <c r="K4413" s="6">
        <v>4.9800000000000004</v>
      </c>
      <c r="L4413" s="6">
        <f ca="1">IFERROR(__xludf.DUMMYFUNCTION("IFERROR(GOOGLEFINANCE(B4413,""changepct""),K4413)"),4.98)</f>
        <v>4.9800000000000004</v>
      </c>
      <c r="M4413" s="6">
        <f ca="1">IFERROR(__xludf.DUMMYFUNCTION("IFERROR(GOOGLEFINANCE(B4413,""change""),0)"),0)</f>
        <v>0</v>
      </c>
      <c r="N4413" s="6">
        <v>1</v>
      </c>
      <c r="O4413" s="7">
        <v>45536</v>
      </c>
      <c r="P4413" s="9"/>
      <c r="Q4413" s="6">
        <v>92.55</v>
      </c>
      <c r="R4413" s="7">
        <v>45536</v>
      </c>
      <c r="S4413" s="6">
        <v>24.58</v>
      </c>
      <c r="T4413" s="6">
        <v>1.45</v>
      </c>
      <c r="U4413" s="7">
        <v>45536</v>
      </c>
      <c r="V4413" s="6">
        <v>63.87</v>
      </c>
      <c r="W4413" s="6">
        <f ca="1">IFERROR(__xludf.DUMMYFUNCTION("IFERROR(GOOGLEFINANCE(B4413,""pe""),V4413)"),63.87)</f>
        <v>63.87</v>
      </c>
      <c r="X4413" s="9"/>
      <c r="Y4413" s="6">
        <v>1.34</v>
      </c>
      <c r="Z4413" s="6">
        <v>1</v>
      </c>
      <c r="AA4413" s="8">
        <v>45352</v>
      </c>
      <c r="AB4413" s="4">
        <v>0</v>
      </c>
      <c r="AC4413" s="6">
        <v>-12.26</v>
      </c>
      <c r="AD4413" s="6">
        <v>-12.26</v>
      </c>
      <c r="AE4413" s="1">
        <v>0</v>
      </c>
      <c r="AF4413" s="1">
        <f ca="1">IFERROR(__xludf.DUMMYFUNCTION("IFERROR(GOOGLEFINANCE(TRIM(F4413)&amp;"":"" &amp; TRIM(B4413),""high52""),AE4413)"),0)</f>
        <v>0</v>
      </c>
      <c r="AG4413" s="1">
        <v>0</v>
      </c>
      <c r="AH4413" s="1">
        <f ca="1">IFERROR(__xludf.DUMMYFUNCTION("IFERROR(GOOGLEFINANCE(TRIM(F4413)&amp;"":"" &amp; TRIM(B4413),""low52""),AE4413)"),0)</f>
        <v>0</v>
      </c>
      <c r="AI4413" s="1">
        <f ca="1">IFERROR(__xludf.DUMMYFUNCTION("IFERROR(GOOGLEFINANCE(B4413,""eps""),0)"),0)</f>
        <v>0</v>
      </c>
      <c r="AJ4413" s="1"/>
      <c r="AK4413" s="1" t="s">
        <v>13362</v>
      </c>
      <c r="AL4413" s="9">
        <f t="shared" si="392"/>
        <v>1</v>
      </c>
    </row>
    <row r="4414" spans="1:38" ht="15" x14ac:dyDescent="0.25">
      <c r="A4414" s="1" t="s">
        <v>13363</v>
      </c>
      <c r="B4414" s="1" t="s">
        <v>13364</v>
      </c>
      <c r="C4414" s="1" t="s">
        <v>227</v>
      </c>
      <c r="D4414" s="1" t="s">
        <v>227</v>
      </c>
      <c r="E4414" s="6">
        <v>232.71</v>
      </c>
      <c r="F4414" s="1" t="s">
        <v>53</v>
      </c>
      <c r="G4414" s="6">
        <f ca="1">IFERROR(__xludf.DUMMYFUNCTION("iferror(GOOGLEFINANCE(TRIM(F4414)&amp;"":"" &amp; TRIM(B4414), ""price""),0
)"),0)</f>
        <v>0</v>
      </c>
      <c r="H4414" s="6">
        <v>901</v>
      </c>
      <c r="I4414" s="6">
        <f t="shared" ca="1" si="0"/>
        <v>901</v>
      </c>
      <c r="J4414" s="6">
        <f ca="1">IFERROR(__xludf.DUMMYFUNCTION("IFERROR(GOOGLEFINANCE(B4414, ""volume""), 0)"),0)</f>
        <v>0</v>
      </c>
      <c r="K4414" s="6">
        <v>-1.27</v>
      </c>
      <c r="L4414" s="6">
        <f ca="1">IFERROR(__xludf.DUMMYFUNCTION("IFERROR(GOOGLEFINANCE(B4414,""changepct""),K4414)"),-1.27)</f>
        <v>-1.27</v>
      </c>
      <c r="M4414" s="6">
        <f ca="1">IFERROR(__xludf.DUMMYFUNCTION("IFERROR(GOOGLEFINANCE(B4414,""change""),0)"),0)</f>
        <v>0</v>
      </c>
      <c r="N4414" s="6">
        <v>2</v>
      </c>
      <c r="O4414" s="7">
        <v>45536</v>
      </c>
      <c r="P4414" s="6">
        <v>8.6999999999999993</v>
      </c>
      <c r="Q4414" s="6">
        <v>227.69</v>
      </c>
      <c r="R4414" s="7">
        <v>45536</v>
      </c>
      <c r="S4414" s="6">
        <v>104.14</v>
      </c>
      <c r="T4414" s="6">
        <v>13.4</v>
      </c>
      <c r="U4414" s="7">
        <v>45536</v>
      </c>
      <c r="V4414" s="6">
        <v>21.55</v>
      </c>
      <c r="W4414" s="6">
        <f ca="1">IFERROR(__xludf.DUMMYFUNCTION("IFERROR(GOOGLEFINANCE(B4414,""pe""),V4414)"),21.55)</f>
        <v>21.55</v>
      </c>
      <c r="X4414" s="6">
        <v>1.48</v>
      </c>
      <c r="Y4414" s="6">
        <v>3.39</v>
      </c>
      <c r="Z4414" s="6">
        <v>2</v>
      </c>
      <c r="AA4414" s="8">
        <v>45352</v>
      </c>
      <c r="AB4414" s="4">
        <v>0.09</v>
      </c>
      <c r="AC4414" s="6">
        <v>20.260000000000002</v>
      </c>
      <c r="AD4414" s="6">
        <v>27.02</v>
      </c>
      <c r="AE4414" s="1">
        <v>0</v>
      </c>
      <c r="AF4414" s="1">
        <f ca="1">IFERROR(__xludf.DUMMYFUNCTION("IFERROR(GOOGLEFINANCE(TRIM(F4414)&amp;"":"" &amp; TRIM(B4414),""high52""),AE4414)"),0)</f>
        <v>0</v>
      </c>
      <c r="AG4414" s="1">
        <v>0</v>
      </c>
      <c r="AH4414" s="1">
        <f ca="1">IFERROR(__xludf.DUMMYFUNCTION("IFERROR(GOOGLEFINANCE(TRIM(F4414)&amp;"":"" &amp; TRIM(B4414),""low52""),AE4414)"),0)</f>
        <v>0</v>
      </c>
      <c r="AI4414" s="1">
        <f ca="1">IFERROR(__xludf.DUMMYFUNCTION("IFERROR(GOOGLEFINANCE(B4414,""eps""),0)"),0)</f>
        <v>0</v>
      </c>
      <c r="AJ4414" s="1"/>
      <c r="AK4414" s="1" t="s">
        <v>13365</v>
      </c>
      <c r="AL4414" s="9">
        <f t="shared" si="392"/>
        <v>1</v>
      </c>
    </row>
    <row r="4415" spans="1:38" ht="15" x14ac:dyDescent="0.25">
      <c r="A4415" s="1" t="s">
        <v>13366</v>
      </c>
      <c r="B4415" s="1" t="s">
        <v>13367</v>
      </c>
      <c r="C4415" s="1" t="s">
        <v>227</v>
      </c>
      <c r="D4415" s="1" t="s">
        <v>227</v>
      </c>
      <c r="E4415" s="6">
        <v>24.46</v>
      </c>
      <c r="F4415" s="1" t="s">
        <v>53</v>
      </c>
      <c r="G4415" s="6">
        <f ca="1">IFERROR(__xludf.DUMMYFUNCTION("iferror(GOOGLEFINANCE(TRIM(F4415)&amp;"":"" &amp; TRIM(B4415), ""price""),0
)"),0)</f>
        <v>0</v>
      </c>
      <c r="H4415" s="6">
        <v>7</v>
      </c>
      <c r="I4415" s="6">
        <f t="shared" ca="1" si="0"/>
        <v>7</v>
      </c>
      <c r="J4415" s="6">
        <f ca="1">IFERROR(__xludf.DUMMYFUNCTION("IFERROR(GOOGLEFINANCE(B4415, ""volume""), 0)"),0)</f>
        <v>0</v>
      </c>
      <c r="K4415" s="6">
        <v>0.14000000000000001</v>
      </c>
      <c r="L4415" s="6">
        <f ca="1">IFERROR(__xludf.DUMMYFUNCTION("IFERROR(GOOGLEFINANCE(B4415,""changepct""),K4415)"),0.14)</f>
        <v>0.14000000000000001</v>
      </c>
      <c r="M4415" s="6">
        <f ca="1">IFERROR(__xludf.DUMMYFUNCTION("IFERROR(GOOGLEFINANCE(B4415,""change""),0)"),0)</f>
        <v>0</v>
      </c>
      <c r="N4415" s="6">
        <v>1</v>
      </c>
      <c r="O4415" s="7">
        <v>45536</v>
      </c>
      <c r="P4415" s="6">
        <v>2.64</v>
      </c>
      <c r="Q4415" s="6">
        <v>26.06</v>
      </c>
      <c r="R4415" s="7">
        <v>45536</v>
      </c>
      <c r="S4415" s="6">
        <v>29.83</v>
      </c>
      <c r="T4415" s="6">
        <v>0.67</v>
      </c>
      <c r="U4415" s="7">
        <v>45536</v>
      </c>
      <c r="V4415" s="6">
        <v>36.51</v>
      </c>
      <c r="W4415" s="6">
        <f ca="1">IFERROR(__xludf.DUMMYFUNCTION("IFERROR(GOOGLEFINANCE(B4415,""pe""),V4415)"),36.51)</f>
        <v>36.51</v>
      </c>
      <c r="X4415" s="6">
        <v>-2.79</v>
      </c>
      <c r="Y4415" s="6">
        <v>0.43</v>
      </c>
      <c r="Z4415" s="6">
        <v>1</v>
      </c>
      <c r="AA4415" s="8">
        <v>45352</v>
      </c>
      <c r="AB4415" s="4">
        <v>0</v>
      </c>
      <c r="AC4415" s="6">
        <v>2.12</v>
      </c>
      <c r="AD4415" s="6">
        <v>4.4800000000000004</v>
      </c>
      <c r="AE4415" s="1">
        <v>0</v>
      </c>
      <c r="AF4415" s="1">
        <f ca="1">IFERROR(__xludf.DUMMYFUNCTION("IFERROR(GOOGLEFINANCE(TRIM(F4415)&amp;"":"" &amp; TRIM(B4415),""high52""),AE4415)"),0)</f>
        <v>0</v>
      </c>
      <c r="AG4415" s="1">
        <v>0</v>
      </c>
      <c r="AH4415" s="1">
        <f ca="1">IFERROR(__xludf.DUMMYFUNCTION("IFERROR(GOOGLEFINANCE(TRIM(F4415)&amp;"":"" &amp; TRIM(B4415),""low52""),AE4415)"),0)</f>
        <v>0</v>
      </c>
      <c r="AI4415" s="1">
        <f ca="1">IFERROR(__xludf.DUMMYFUNCTION("IFERROR(GOOGLEFINANCE(B4415,""eps""),0)"),0)</f>
        <v>0</v>
      </c>
      <c r="AJ4415" s="1"/>
      <c r="AK4415" s="12"/>
      <c r="AL4415" s="9">
        <f t="shared" si="392"/>
        <v>1</v>
      </c>
    </row>
    <row r="4416" spans="1:38" ht="15" x14ac:dyDescent="0.25">
      <c r="A4416" s="1" t="s">
        <v>13368</v>
      </c>
      <c r="B4416" s="1" t="s">
        <v>13369</v>
      </c>
      <c r="C4416" s="1" t="s">
        <v>227</v>
      </c>
      <c r="D4416" s="1" t="s">
        <v>227</v>
      </c>
      <c r="E4416" s="6">
        <v>9.17</v>
      </c>
      <c r="F4416" s="1" t="s">
        <v>53</v>
      </c>
      <c r="G4416" s="6">
        <f ca="1">IFERROR(__xludf.DUMMYFUNCTION("iferror(GOOGLEFINANCE(TRIM(F4416)&amp;"":"" &amp; TRIM(B4416), ""price""),0
)"),0)</f>
        <v>0</v>
      </c>
      <c r="H4416" s="6">
        <v>27.86</v>
      </c>
      <c r="I4416" s="6">
        <f t="shared" ca="1" si="0"/>
        <v>27.86</v>
      </c>
      <c r="J4416" s="6">
        <f ca="1">IFERROR(__xludf.DUMMYFUNCTION("IFERROR(GOOGLEFINANCE(B4416, ""volume""), 0)"),0)</f>
        <v>0</v>
      </c>
      <c r="K4416" s="6">
        <v>-0.11</v>
      </c>
      <c r="L4416" s="6">
        <f ca="1">IFERROR(__xludf.DUMMYFUNCTION("IFERROR(GOOGLEFINANCE(B4416,""changepct""),K4416)"),-0.11)</f>
        <v>-0.11</v>
      </c>
      <c r="M4416" s="6">
        <f ca="1">IFERROR(__xludf.DUMMYFUNCTION("IFERROR(GOOGLEFINANCE(B4416,""change""),0)"),0)</f>
        <v>0</v>
      </c>
      <c r="N4416" s="6">
        <v>1</v>
      </c>
      <c r="O4416" s="7">
        <v>45536</v>
      </c>
      <c r="P4416" s="9"/>
      <c r="Q4416" s="6">
        <v>8.6999999999999993</v>
      </c>
      <c r="R4416" s="7">
        <v>45536</v>
      </c>
      <c r="S4416" s="6">
        <v>21.52</v>
      </c>
      <c r="T4416" s="6">
        <v>-4.22</v>
      </c>
      <c r="U4416" s="7">
        <v>45536</v>
      </c>
      <c r="V4416" s="6">
        <v>0</v>
      </c>
      <c r="W4416" s="6">
        <f ca="1">IFERROR(__xludf.DUMMYFUNCTION("IFERROR(GOOGLEFINANCE(B4416,""pe""),V4416)"),0)</f>
        <v>0</v>
      </c>
      <c r="X4416" s="6">
        <v>0</v>
      </c>
      <c r="Y4416" s="6">
        <v>1.4</v>
      </c>
      <c r="Z4416" s="6">
        <v>1</v>
      </c>
      <c r="AA4416" s="8">
        <v>45352</v>
      </c>
      <c r="AB4416" s="4">
        <v>0</v>
      </c>
      <c r="AC4416" s="6">
        <v>0.04</v>
      </c>
      <c r="AD4416" s="6">
        <v>0.09</v>
      </c>
      <c r="AE4416" s="1">
        <v>0</v>
      </c>
      <c r="AF4416" s="1">
        <f ca="1">IFERROR(__xludf.DUMMYFUNCTION("IFERROR(GOOGLEFINANCE(TRIM(F4416)&amp;"":"" &amp; TRIM(B4416),""high52""),AE4416)"),0)</f>
        <v>0</v>
      </c>
      <c r="AG4416" s="1">
        <v>0</v>
      </c>
      <c r="AH4416" s="1">
        <f ca="1">IFERROR(__xludf.DUMMYFUNCTION("IFERROR(GOOGLEFINANCE(TRIM(F4416)&amp;"":"" &amp; TRIM(B4416),""low52""),AE4416)"),0)</f>
        <v>0</v>
      </c>
      <c r="AI4416" s="1">
        <f ca="1">IFERROR(__xludf.DUMMYFUNCTION("IFERROR(GOOGLEFINANCE(B4416,""eps""),0)"),0)</f>
        <v>0</v>
      </c>
      <c r="AJ4416" s="1"/>
      <c r="AK4416" s="1" t="s">
        <v>13370</v>
      </c>
      <c r="AL4416" s="9">
        <f t="shared" si="392"/>
        <v>1</v>
      </c>
    </row>
    <row r="4417" spans="1:38" ht="15" x14ac:dyDescent="0.25">
      <c r="A4417" s="1" t="s">
        <v>13371</v>
      </c>
      <c r="B4417" s="1" t="s">
        <v>13372</v>
      </c>
      <c r="C4417" s="1" t="s">
        <v>227</v>
      </c>
      <c r="D4417" s="1" t="s">
        <v>227</v>
      </c>
      <c r="E4417" s="6">
        <v>53.38</v>
      </c>
      <c r="F4417" s="1" t="s">
        <v>53</v>
      </c>
      <c r="G4417" s="6">
        <f ca="1">IFERROR(__xludf.DUMMYFUNCTION("iferror(GOOGLEFINANCE(TRIM(F4417)&amp;"":"" &amp; TRIM(B4417), ""price""),0
)"),0)</f>
        <v>0</v>
      </c>
      <c r="H4417" s="6">
        <v>51.4</v>
      </c>
      <c r="I4417" s="6">
        <f t="shared" ca="1" si="0"/>
        <v>51.4</v>
      </c>
      <c r="J4417" s="6">
        <f ca="1">IFERROR(__xludf.DUMMYFUNCTION("IFERROR(GOOGLEFINANCE(B4417, ""volume""), 0)"),0)</f>
        <v>0</v>
      </c>
      <c r="K4417" s="6">
        <v>-1.36</v>
      </c>
      <c r="L4417" s="6">
        <f ca="1">IFERROR(__xludf.DUMMYFUNCTION("IFERROR(GOOGLEFINANCE(B4417,""changepct""),K4417)"),-1.36)</f>
        <v>-1.36</v>
      </c>
      <c r="M4417" s="6">
        <f ca="1">IFERROR(__xludf.DUMMYFUNCTION("IFERROR(GOOGLEFINANCE(B4417,""change""),0)"),0)</f>
        <v>0</v>
      </c>
      <c r="N4417" s="6">
        <v>2</v>
      </c>
      <c r="O4417" s="7">
        <v>45536</v>
      </c>
      <c r="P4417" s="6">
        <v>15.58</v>
      </c>
      <c r="Q4417" s="6">
        <v>67.59</v>
      </c>
      <c r="R4417" s="7">
        <v>45536</v>
      </c>
      <c r="S4417" s="6">
        <v>81.89</v>
      </c>
      <c r="T4417" s="6">
        <v>-0.21</v>
      </c>
      <c r="U4417" s="7">
        <v>45536</v>
      </c>
      <c r="V4417" s="6">
        <v>0</v>
      </c>
      <c r="W4417" s="6">
        <f ca="1">IFERROR(__xludf.DUMMYFUNCTION("IFERROR(GOOGLEFINANCE(B4417,""pe""),V4417)"),0)</f>
        <v>0</v>
      </c>
      <c r="X4417" s="9"/>
      <c r="Y4417" s="6">
        <v>1.45</v>
      </c>
      <c r="Z4417" s="6">
        <v>2</v>
      </c>
      <c r="AA4417" s="8">
        <v>45352</v>
      </c>
      <c r="AB4417" s="4">
        <v>0.28000000000000003</v>
      </c>
      <c r="AC4417" s="6">
        <v>1.01</v>
      </c>
      <c r="AD4417" s="6">
        <v>3.46</v>
      </c>
      <c r="AE4417" s="1">
        <v>0</v>
      </c>
      <c r="AF4417" s="1">
        <f ca="1">IFERROR(__xludf.DUMMYFUNCTION("IFERROR(GOOGLEFINANCE(TRIM(F4417)&amp;"":"" &amp; TRIM(B4417),""high52""),AE4417)"),0)</f>
        <v>0</v>
      </c>
      <c r="AG4417" s="1">
        <v>0</v>
      </c>
      <c r="AH4417" s="1">
        <f ca="1">IFERROR(__xludf.DUMMYFUNCTION("IFERROR(GOOGLEFINANCE(TRIM(F4417)&amp;"":"" &amp; TRIM(B4417),""low52""),AE4417)"),0)</f>
        <v>0</v>
      </c>
      <c r="AI4417" s="1">
        <f ca="1">IFERROR(__xludf.DUMMYFUNCTION("IFERROR(GOOGLEFINANCE(B4417,""eps""),0)"),0)</f>
        <v>0</v>
      </c>
      <c r="AJ4417" s="1"/>
      <c r="AK4417" s="1" t="s">
        <v>13373</v>
      </c>
      <c r="AL4417" s="9">
        <f t="shared" si="392"/>
        <v>1</v>
      </c>
    </row>
    <row r="4418" spans="1:38" ht="15" x14ac:dyDescent="0.25">
      <c r="A4418" s="1" t="s">
        <v>13374</v>
      </c>
      <c r="B4418" s="1" t="s">
        <v>13375</v>
      </c>
      <c r="C4418" s="1" t="s">
        <v>227</v>
      </c>
      <c r="D4418" s="1" t="s">
        <v>227</v>
      </c>
      <c r="E4418" s="6">
        <v>27.62</v>
      </c>
      <c r="F4418" s="1" t="s">
        <v>53</v>
      </c>
      <c r="G4418" s="6">
        <f ca="1">IFERROR(__xludf.DUMMYFUNCTION("iferror(GOOGLEFINANCE(TRIM(F4418)&amp;"":"" &amp; TRIM(B4418), ""price""),0
)"),0)</f>
        <v>0</v>
      </c>
      <c r="H4418" s="6">
        <v>41.15</v>
      </c>
      <c r="I4418" s="6">
        <f t="shared" ca="1" si="0"/>
        <v>41.15</v>
      </c>
      <c r="J4418" s="6">
        <f ca="1">IFERROR(__xludf.DUMMYFUNCTION("IFERROR(GOOGLEFINANCE(B4418, ""volume""), 0)"),0)</f>
        <v>0</v>
      </c>
      <c r="K4418" s="6">
        <v>-2.99</v>
      </c>
      <c r="L4418" s="6">
        <f ca="1">IFERROR(__xludf.DUMMYFUNCTION("IFERROR(GOOGLEFINANCE(B4418,""changepct""),K4418)"),-2.99)</f>
        <v>-2.99</v>
      </c>
      <c r="M4418" s="6">
        <f ca="1">IFERROR(__xludf.DUMMYFUNCTION("IFERROR(GOOGLEFINANCE(B4418,""change""),0)"),0)</f>
        <v>0</v>
      </c>
      <c r="N4418" s="6">
        <v>1</v>
      </c>
      <c r="O4418" s="7">
        <v>45536</v>
      </c>
      <c r="P4418" s="6">
        <v>10</v>
      </c>
      <c r="Q4418" s="6">
        <v>36.19</v>
      </c>
      <c r="R4418" s="7">
        <v>45536</v>
      </c>
      <c r="S4418" s="6">
        <v>56.64</v>
      </c>
      <c r="T4418" s="6">
        <v>0.36</v>
      </c>
      <c r="U4418" s="7">
        <v>45536</v>
      </c>
      <c r="V4418" s="6">
        <v>76.709999999999994</v>
      </c>
      <c r="W4418" s="6">
        <f ca="1">IFERROR(__xludf.DUMMYFUNCTION("IFERROR(GOOGLEFINANCE(B4418,""pe""),V4418)"),76.71)</f>
        <v>76.709999999999994</v>
      </c>
      <c r="X4418" s="6">
        <v>-3.88</v>
      </c>
      <c r="Y4418" s="6">
        <v>2.69</v>
      </c>
      <c r="Z4418" s="6">
        <v>1</v>
      </c>
      <c r="AA4418" s="8">
        <v>45352</v>
      </c>
      <c r="AB4418" s="4">
        <v>1.28</v>
      </c>
      <c r="AC4418" s="6">
        <v>4.25</v>
      </c>
      <c r="AD4418" s="6">
        <v>7.91</v>
      </c>
      <c r="AE4418" s="1">
        <v>0</v>
      </c>
      <c r="AF4418" s="1">
        <f ca="1">IFERROR(__xludf.DUMMYFUNCTION("IFERROR(GOOGLEFINANCE(TRIM(F4418)&amp;"":"" &amp; TRIM(B4418),""high52""),AE4418)"),0)</f>
        <v>0</v>
      </c>
      <c r="AG4418" s="1">
        <v>0</v>
      </c>
      <c r="AH4418" s="1">
        <f ca="1">IFERROR(__xludf.DUMMYFUNCTION("IFERROR(GOOGLEFINANCE(TRIM(F4418)&amp;"":"" &amp; TRIM(B4418),""low52""),AE4418)"),0)</f>
        <v>0</v>
      </c>
      <c r="AI4418" s="1">
        <f ca="1">IFERROR(__xludf.DUMMYFUNCTION("IFERROR(GOOGLEFINANCE(B4418,""eps""),0)"),0)</f>
        <v>0</v>
      </c>
      <c r="AJ4418" s="1"/>
      <c r="AK4418" s="1" t="s">
        <v>13376</v>
      </c>
      <c r="AL4418" s="9">
        <f t="shared" si="392"/>
        <v>1</v>
      </c>
    </row>
    <row r="4419" spans="1:38" ht="15" x14ac:dyDescent="0.25">
      <c r="A4419" s="1" t="s">
        <v>13377</v>
      </c>
      <c r="B4419" s="1" t="s">
        <v>13378</v>
      </c>
      <c r="C4419" s="1" t="s">
        <v>90</v>
      </c>
      <c r="D4419" s="1" t="s">
        <v>90</v>
      </c>
      <c r="E4419" s="6">
        <v>95.82</v>
      </c>
      <c r="F4419" s="1" t="s">
        <v>40</v>
      </c>
      <c r="G4419" s="6">
        <f ca="1">IFERROR(__xludf.DUMMYFUNCTION("iferror(GOOGLEFINANCE(TRIM(F4419)&amp;"":"" &amp; TRIM(B4419), ""price""),0
)"),43.27)</f>
        <v>43.27</v>
      </c>
      <c r="H4419" s="6">
        <v>93.09</v>
      </c>
      <c r="I4419" s="6">
        <f t="shared" ca="1" si="0"/>
        <v>43.27</v>
      </c>
      <c r="J4419" s="6">
        <f ca="1">IFERROR(__xludf.DUMMYFUNCTION("IFERROR(GOOGLEFINANCE(B4419, ""volume""), 0)"),2498)</f>
        <v>2498</v>
      </c>
      <c r="K4419" s="6">
        <v>-2.19</v>
      </c>
      <c r="L4419" s="6">
        <f ca="1">IFERROR(__xludf.DUMMYFUNCTION("IFERROR(GOOGLEFINANCE(B4419,""changepct""),K4419)"),-2.92)</f>
        <v>-2.92</v>
      </c>
      <c r="M4419" s="6">
        <f ca="1">IFERROR(__xludf.DUMMYFUNCTION("IFERROR(GOOGLEFINANCE(B4419,""change""),0)"),-1.3)</f>
        <v>-1.3</v>
      </c>
      <c r="N4419" s="6">
        <v>2</v>
      </c>
      <c r="O4419" s="7">
        <v>45536</v>
      </c>
      <c r="P4419" s="6">
        <v>8.49</v>
      </c>
      <c r="Q4419" s="6">
        <v>104.31</v>
      </c>
      <c r="R4419" s="7">
        <v>45536</v>
      </c>
      <c r="S4419" s="6">
        <v>75.319999999999993</v>
      </c>
      <c r="T4419" s="6">
        <v>2.54</v>
      </c>
      <c r="U4419" s="7">
        <v>45536</v>
      </c>
      <c r="V4419" s="6">
        <v>37.770000000000003</v>
      </c>
      <c r="W4419" s="6">
        <f ca="1">IFERROR(__xludf.DUMMYFUNCTION("IFERROR(GOOGLEFINANCE(B4419,""pe""),V4419)"),15.72)</f>
        <v>15.72</v>
      </c>
      <c r="X4419" s="6">
        <v>-2.4500000000000002</v>
      </c>
      <c r="Y4419" s="6">
        <v>3.51</v>
      </c>
      <c r="Z4419" s="6">
        <v>2</v>
      </c>
      <c r="AA4419" s="8">
        <v>45352</v>
      </c>
      <c r="AB4419" s="4">
        <v>0.47</v>
      </c>
      <c r="AC4419" s="6">
        <v>9.84</v>
      </c>
      <c r="AD4419" s="6">
        <v>12.58</v>
      </c>
      <c r="AE4419" s="1">
        <v>0</v>
      </c>
      <c r="AF4419" s="1">
        <f ca="1">IFERROR(__xludf.DUMMYFUNCTION("IFERROR(GOOGLEFINANCE(TRIM(F4419)&amp;"":"" &amp; TRIM(B4419),""high52""),AE4419)"),83.3)</f>
        <v>83.3</v>
      </c>
      <c r="AG4419" s="1">
        <v>0</v>
      </c>
      <c r="AH4419" s="1">
        <f ca="1">IFERROR(__xludf.DUMMYFUNCTION("IFERROR(GOOGLEFINANCE(TRIM(F4419)&amp;"":"" &amp; TRIM(B4419),""low52""),AE4419)"),37.7)</f>
        <v>37.700000000000003</v>
      </c>
      <c r="AI4419" s="1">
        <f ca="1">IFERROR(__xludf.DUMMYFUNCTION("IFERROR(GOOGLEFINANCE(B4419,""eps""),0)"),2.75)</f>
        <v>2.75</v>
      </c>
      <c r="AJ4419" s="1"/>
      <c r="AK4419" s="1" t="s">
        <v>13379</v>
      </c>
      <c r="AL4419" s="1" t="b">
        <f>ISNUMBER(AA4419)</f>
        <v>1</v>
      </c>
    </row>
    <row r="4420" spans="1:38" ht="15" x14ac:dyDescent="0.25">
      <c r="A4420" s="1" t="s">
        <v>13380</v>
      </c>
      <c r="B4420" s="1" t="s">
        <v>13381</v>
      </c>
      <c r="C4420" s="1" t="s">
        <v>43</v>
      </c>
      <c r="D4420" s="1" t="s">
        <v>43</v>
      </c>
      <c r="E4420" s="6">
        <v>1635.33</v>
      </c>
      <c r="F4420" s="1" t="s">
        <v>40</v>
      </c>
      <c r="G4420" s="6">
        <f ca="1">IFERROR(__xludf.DUMMYFUNCTION("iferror(GOOGLEFINANCE(TRIM(F4420)&amp;"":"" &amp; TRIM(B4420), ""price""),0
)"),815)</f>
        <v>815</v>
      </c>
      <c r="H4420" s="6">
        <v>1525</v>
      </c>
      <c r="I4420" s="6">
        <f t="shared" ca="1" si="0"/>
        <v>815</v>
      </c>
      <c r="J4420" s="6">
        <f ca="1">IFERROR(__xludf.DUMMYFUNCTION("IFERROR(GOOGLEFINANCE(B4420, ""volume""), 0)"),1074)</f>
        <v>1074</v>
      </c>
      <c r="K4420" s="6">
        <v>-0.64</v>
      </c>
      <c r="L4420" s="6">
        <f ca="1">IFERROR(__xludf.DUMMYFUNCTION("IFERROR(GOOGLEFINANCE(B4420,""changepct""),K4420)"),-0.16)</f>
        <v>-0.16</v>
      </c>
      <c r="M4420" s="6">
        <f ca="1">IFERROR(__xludf.DUMMYFUNCTION("IFERROR(GOOGLEFINANCE(B4420,""change""),0)"),-1.3)</f>
        <v>-1.3</v>
      </c>
      <c r="N4420" s="6">
        <v>2</v>
      </c>
      <c r="O4420" s="7">
        <v>45536</v>
      </c>
      <c r="P4420" s="6">
        <v>53.14</v>
      </c>
      <c r="Q4420" s="7">
        <v>45536</v>
      </c>
      <c r="R4420" s="6">
        <v>30.77</v>
      </c>
      <c r="S4420" s="6">
        <v>0.71</v>
      </c>
      <c r="T4420" s="6">
        <v>11.09</v>
      </c>
      <c r="U4420" s="6">
        <v>2</v>
      </c>
      <c r="V4420" s="7">
        <v>45352</v>
      </c>
      <c r="W4420" s="6">
        <f ca="1">IFERROR(__xludf.DUMMYFUNCTION("IFERROR(GOOGLEFINANCE(B4420,""pe""),V4420)"),27.13)</f>
        <v>27.13</v>
      </c>
      <c r="X4420" s="6">
        <v>0</v>
      </c>
      <c r="Y4420" s="6">
        <v>43.79</v>
      </c>
      <c r="Z4420" s="6">
        <v>56.91</v>
      </c>
      <c r="AA4420" s="3" t="s">
        <v>13382</v>
      </c>
      <c r="AB4420" s="16"/>
      <c r="AC4420" s="12"/>
      <c r="AD4420" s="12"/>
      <c r="AE4420" s="1">
        <v>0</v>
      </c>
      <c r="AF4420" s="1">
        <f ca="1">IFERROR(__xludf.DUMMYFUNCTION("IFERROR(GOOGLEFINANCE(TRIM(F4420)&amp;"":"" &amp; TRIM(B4420),""high52""),AE4420)"),1410)</f>
        <v>1410</v>
      </c>
      <c r="AG4420" s="1">
        <v>0</v>
      </c>
      <c r="AH4420" s="1">
        <f ca="1">IFERROR(__xludf.DUMMYFUNCTION("IFERROR(GOOGLEFINANCE(TRIM(F4420)&amp;"":"" &amp; TRIM(B4420),""low52""),AE4420)"),790)</f>
        <v>790</v>
      </c>
      <c r="AI4420" s="1">
        <f ca="1">IFERROR(__xludf.DUMMYFUNCTION("IFERROR(GOOGLEFINANCE(B4420,""eps""),0)"),30.04)</f>
        <v>30.04</v>
      </c>
      <c r="AJ4420" s="1"/>
      <c r="AK4420" s="1" t="s">
        <v>13383</v>
      </c>
      <c r="AL4420" s="9">
        <f t="shared" ref="AL4420:AL4432" si="393">IF(AA4420&lt;&gt;AB4420,1,0)</f>
        <v>1</v>
      </c>
    </row>
    <row r="4421" spans="1:38" ht="15" x14ac:dyDescent="0.25">
      <c r="A4421" s="1" t="s">
        <v>13384</v>
      </c>
      <c r="B4421" s="1" t="s">
        <v>13385</v>
      </c>
      <c r="C4421" s="1" t="s">
        <v>227</v>
      </c>
      <c r="D4421" s="1" t="s">
        <v>227</v>
      </c>
      <c r="E4421" s="6">
        <v>208.19</v>
      </c>
      <c r="F4421" s="1" t="s">
        <v>53</v>
      </c>
      <c r="G4421" s="6">
        <f ca="1">IFERROR(__xludf.DUMMYFUNCTION("iferror(GOOGLEFINANCE(TRIM(F4421)&amp;"":"" &amp; TRIM(B4421), ""price""),0
)"),0)</f>
        <v>0</v>
      </c>
      <c r="H4421" s="6">
        <v>125.5</v>
      </c>
      <c r="I4421" s="6">
        <f t="shared" ca="1" si="0"/>
        <v>125.5</v>
      </c>
      <c r="J4421" s="6">
        <f ca="1">IFERROR(__xludf.DUMMYFUNCTION("IFERROR(GOOGLEFINANCE(B4421, ""volume""), 0)"),0)</f>
        <v>0</v>
      </c>
      <c r="K4421" s="6">
        <v>-0.48</v>
      </c>
      <c r="L4421" s="6">
        <f ca="1">IFERROR(__xludf.DUMMYFUNCTION("IFERROR(GOOGLEFINANCE(B4421,""changepct""),K4421)"),-0.48)</f>
        <v>-0.48</v>
      </c>
      <c r="M4421" s="6">
        <f ca="1">IFERROR(__xludf.DUMMYFUNCTION("IFERROR(GOOGLEFINANCE(B4421,""change""),0)"),0)</f>
        <v>0</v>
      </c>
      <c r="N4421" s="6">
        <v>2</v>
      </c>
      <c r="O4421" s="7">
        <v>45536</v>
      </c>
      <c r="P4421" s="6">
        <v>1.7</v>
      </c>
      <c r="Q4421" s="6">
        <v>209.57</v>
      </c>
      <c r="R4421" s="14"/>
      <c r="S4421" s="9"/>
      <c r="T4421" s="9"/>
      <c r="U4421" s="7">
        <v>42064</v>
      </c>
      <c r="V4421" s="6">
        <v>0</v>
      </c>
      <c r="W4421" s="6">
        <f ca="1">IFERROR(__xludf.DUMMYFUNCTION("IFERROR(GOOGLEFINANCE(B4421,""pe""),V4421)"),0)</f>
        <v>0</v>
      </c>
      <c r="X4421" s="6">
        <v>0</v>
      </c>
      <c r="Y4421" s="9"/>
      <c r="Z4421" s="6">
        <v>1</v>
      </c>
      <c r="AA4421" s="8">
        <v>45352</v>
      </c>
      <c r="AB4421" s="4">
        <v>0</v>
      </c>
      <c r="AC4421" s="6">
        <v>59.86</v>
      </c>
      <c r="AD4421" s="6">
        <v>64.319999999999993</v>
      </c>
      <c r="AE4421" s="1">
        <v>0</v>
      </c>
      <c r="AF4421" s="1">
        <f ca="1">IFERROR(__xludf.DUMMYFUNCTION("IFERROR(GOOGLEFINANCE(TRIM(F4421)&amp;"":"" &amp; TRIM(B4421),""high52""),AE4421)"),0)</f>
        <v>0</v>
      </c>
      <c r="AG4421" s="1">
        <v>0</v>
      </c>
      <c r="AH4421" s="1">
        <f ca="1">IFERROR(__xludf.DUMMYFUNCTION("IFERROR(GOOGLEFINANCE(TRIM(F4421)&amp;"":"" &amp; TRIM(B4421),""low52""),AE4421)"),0)</f>
        <v>0</v>
      </c>
      <c r="AI4421" s="1">
        <f ca="1">IFERROR(__xludf.DUMMYFUNCTION("IFERROR(GOOGLEFINANCE(B4421,""eps""),0)"),0)</f>
        <v>0</v>
      </c>
      <c r="AJ4421" s="1"/>
      <c r="AK4421" s="1" t="s">
        <v>13386</v>
      </c>
      <c r="AL4421" s="9">
        <f t="shared" si="393"/>
        <v>1</v>
      </c>
    </row>
    <row r="4422" spans="1:38" ht="15" x14ac:dyDescent="0.25">
      <c r="A4422" s="1" t="s">
        <v>13387</v>
      </c>
      <c r="B4422" s="1" t="s">
        <v>13388</v>
      </c>
      <c r="C4422" s="1" t="s">
        <v>525</v>
      </c>
      <c r="D4422" s="1" t="s">
        <v>525</v>
      </c>
      <c r="E4422" s="6">
        <v>7442.25</v>
      </c>
      <c r="F4422" s="1" t="s">
        <v>40</v>
      </c>
      <c r="G4422" s="6">
        <f ca="1">IFERROR(__xludf.DUMMYFUNCTION("iferror(GOOGLEFINANCE(TRIM(F4422)&amp;"":"" &amp; TRIM(B4422), ""price""),0
)"),75.4)</f>
        <v>75.400000000000006</v>
      </c>
      <c r="H4422" s="6">
        <v>1749.4</v>
      </c>
      <c r="I4422" s="6">
        <f t="shared" ca="1" si="0"/>
        <v>75.400000000000006</v>
      </c>
      <c r="J4422" s="6">
        <f ca="1">IFERROR(__xludf.DUMMYFUNCTION("IFERROR(GOOGLEFINANCE(B4422, ""volume""), 0)"),5143589)</f>
        <v>5143589</v>
      </c>
      <c r="K4422" s="6">
        <v>-0.98</v>
      </c>
      <c r="L4422" s="6">
        <f ca="1">IFERROR(__xludf.DUMMYFUNCTION("IFERROR(GOOGLEFINANCE(B4422,""changepct""),K4422)"),1.19)</f>
        <v>1.19</v>
      </c>
      <c r="M4422" s="6">
        <f ca="1">IFERROR(__xludf.DUMMYFUNCTION("IFERROR(GOOGLEFINANCE(B4422,""change""),0)"),0.89)</f>
        <v>0.89</v>
      </c>
      <c r="N4422" s="6">
        <v>1</v>
      </c>
      <c r="O4422" s="7">
        <v>45536</v>
      </c>
      <c r="P4422" s="6">
        <v>158</v>
      </c>
      <c r="Q4422" s="6">
        <v>7553.45</v>
      </c>
      <c r="R4422" s="7">
        <v>45536</v>
      </c>
      <c r="S4422" s="6">
        <v>280.52999999999997</v>
      </c>
      <c r="T4422" s="6">
        <v>-48.35</v>
      </c>
      <c r="U4422" s="7">
        <v>45536</v>
      </c>
      <c r="V4422" s="6">
        <v>0</v>
      </c>
      <c r="W4422" s="6">
        <f ca="1">IFERROR(__xludf.DUMMYFUNCTION("IFERROR(GOOGLEFINANCE(B4422,""pe""),V4422)"),15.91)</f>
        <v>15.91</v>
      </c>
      <c r="X4422" s="6">
        <v>0</v>
      </c>
      <c r="Y4422" s="6">
        <v>39.479999999999997</v>
      </c>
      <c r="Z4422" s="6">
        <v>1</v>
      </c>
      <c r="AA4422" s="8">
        <v>45352</v>
      </c>
      <c r="AB4422" s="4">
        <v>1.7</v>
      </c>
      <c r="AC4422" s="6">
        <v>-80.91</v>
      </c>
      <c r="AD4422" s="6">
        <v>-57.99</v>
      </c>
      <c r="AE4422" s="1">
        <v>0</v>
      </c>
      <c r="AF4422" s="1">
        <f ca="1">IFERROR(__xludf.DUMMYFUNCTION("IFERROR(GOOGLEFINANCE(TRIM(F4422)&amp;"":"" &amp; TRIM(B4422),""high52""),AE4422)"),159)</f>
        <v>159</v>
      </c>
      <c r="AG4422" s="1">
        <v>0</v>
      </c>
      <c r="AH4422" s="1">
        <f ca="1">IFERROR(__xludf.DUMMYFUNCTION("IFERROR(GOOGLEFINANCE(TRIM(F4422)&amp;"":"" &amp; TRIM(B4422),""low52""),AE4422)"),72.91)</f>
        <v>72.91</v>
      </c>
      <c r="AI4422" s="1">
        <f ca="1">IFERROR(__xludf.DUMMYFUNCTION("IFERROR(GOOGLEFINANCE(B4422,""eps""),0)"),4.74)</f>
        <v>4.74</v>
      </c>
      <c r="AJ4422" s="1"/>
      <c r="AK4422" s="1" t="s">
        <v>13389</v>
      </c>
      <c r="AL4422" s="9">
        <f t="shared" si="393"/>
        <v>1</v>
      </c>
    </row>
    <row r="4423" spans="1:38" ht="15" x14ac:dyDescent="0.25">
      <c r="A4423" s="1" t="s">
        <v>13390</v>
      </c>
      <c r="B4423" s="1" t="s">
        <v>13391</v>
      </c>
      <c r="C4423" s="1" t="s">
        <v>227</v>
      </c>
      <c r="D4423" s="1" t="s">
        <v>227</v>
      </c>
      <c r="E4423" s="6">
        <v>33.96</v>
      </c>
      <c r="F4423" s="1" t="s">
        <v>53</v>
      </c>
      <c r="G4423" s="6">
        <f ca="1">IFERROR(__xludf.DUMMYFUNCTION("iferror(GOOGLEFINANCE(TRIM(F4423)&amp;"":"" &amp; TRIM(B4423), ""price""),0
)"),0)</f>
        <v>0</v>
      </c>
      <c r="H4423" s="6">
        <v>81.86</v>
      </c>
      <c r="I4423" s="6">
        <f t="shared" ca="1" si="0"/>
        <v>81.86</v>
      </c>
      <c r="J4423" s="6">
        <f ca="1">IFERROR(__xludf.DUMMYFUNCTION("IFERROR(GOOGLEFINANCE(B4423, ""volume""), 0)"),0)</f>
        <v>0</v>
      </c>
      <c r="K4423" s="6">
        <v>4.99</v>
      </c>
      <c r="L4423" s="6">
        <f ca="1">IFERROR(__xludf.DUMMYFUNCTION("IFERROR(GOOGLEFINANCE(B4423,""changepct""),K4423)"),4.99)</f>
        <v>4.99</v>
      </c>
      <c r="M4423" s="6">
        <f ca="1">IFERROR(__xludf.DUMMYFUNCTION("IFERROR(GOOGLEFINANCE(B4423,""change""),0)"),0)</f>
        <v>0</v>
      </c>
      <c r="N4423" s="6">
        <v>1</v>
      </c>
      <c r="O4423" s="7">
        <v>45352</v>
      </c>
      <c r="P4423" s="6">
        <v>1.05</v>
      </c>
      <c r="Q4423" s="6">
        <v>34.950000000000003</v>
      </c>
      <c r="R4423" s="14"/>
      <c r="S4423" s="9"/>
      <c r="T4423" s="9"/>
      <c r="U4423" s="7">
        <v>45352</v>
      </c>
      <c r="V4423" s="6">
        <v>67.83</v>
      </c>
      <c r="W4423" s="6">
        <f ca="1">IFERROR(__xludf.DUMMYFUNCTION("IFERROR(GOOGLEFINANCE(B4423,""pe""),V4423)"),67.83)</f>
        <v>67.83</v>
      </c>
      <c r="X4423" s="9"/>
      <c r="Y4423" s="6">
        <v>3.15</v>
      </c>
      <c r="Z4423" s="6">
        <v>1</v>
      </c>
      <c r="AA4423" s="8">
        <v>45352</v>
      </c>
      <c r="AB4423" s="4">
        <v>0.31</v>
      </c>
      <c r="AC4423" s="6">
        <v>21.14</v>
      </c>
      <c r="AD4423" s="6">
        <v>21.27</v>
      </c>
      <c r="AE4423" s="1">
        <v>0</v>
      </c>
      <c r="AF4423" s="1">
        <f ca="1">IFERROR(__xludf.DUMMYFUNCTION("IFERROR(GOOGLEFINANCE(TRIM(F4423)&amp;"":"" &amp; TRIM(B4423),""high52""),AE4423)"),0)</f>
        <v>0</v>
      </c>
      <c r="AG4423" s="1">
        <v>0</v>
      </c>
      <c r="AH4423" s="1">
        <f ca="1">IFERROR(__xludf.DUMMYFUNCTION("IFERROR(GOOGLEFINANCE(TRIM(F4423)&amp;"":"" &amp; TRIM(B4423),""low52""),AE4423)"),0)</f>
        <v>0</v>
      </c>
      <c r="AI4423" s="1">
        <f ca="1">IFERROR(__xludf.DUMMYFUNCTION("IFERROR(GOOGLEFINANCE(B4423,""eps""),0)"),0)</f>
        <v>0</v>
      </c>
      <c r="AJ4423" s="1"/>
      <c r="AK4423" s="1" t="s">
        <v>13392</v>
      </c>
      <c r="AL4423" s="9">
        <f t="shared" si="393"/>
        <v>1</v>
      </c>
    </row>
    <row r="4424" spans="1:38" ht="15" x14ac:dyDescent="0.25">
      <c r="A4424" s="1" t="s">
        <v>13393</v>
      </c>
      <c r="B4424" s="1" t="s">
        <v>13394</v>
      </c>
      <c r="C4424" s="1" t="s">
        <v>227</v>
      </c>
      <c r="D4424" s="1" t="s">
        <v>227</v>
      </c>
      <c r="E4424" s="6">
        <v>46.82</v>
      </c>
      <c r="F4424" s="1" t="s">
        <v>53</v>
      </c>
      <c r="G4424" s="6">
        <f ca="1">IFERROR(__xludf.DUMMYFUNCTION("iferror(GOOGLEFINANCE(TRIM(F4424)&amp;"":"" &amp; TRIM(B4424), ""price""),0
)"),0)</f>
        <v>0</v>
      </c>
      <c r="H4424" s="6">
        <v>67.099999999999994</v>
      </c>
      <c r="I4424" s="6">
        <f t="shared" ca="1" si="0"/>
        <v>67.099999999999994</v>
      </c>
      <c r="J4424" s="6">
        <f ca="1">IFERROR(__xludf.DUMMYFUNCTION("IFERROR(GOOGLEFINANCE(B4424, ""volume""), 0)"),0)</f>
        <v>0</v>
      </c>
      <c r="K4424" s="9"/>
      <c r="L4424" s="6" t="str">
        <f ca="1">IFERROR(__xludf.DUMMYFUNCTION("IFERROR(GOOGLEFINANCE(B4424,""changepct""),K4424)"),"")</f>
        <v/>
      </c>
      <c r="M4424" s="6">
        <f ca="1">IFERROR(__xludf.DUMMYFUNCTION("IFERROR(GOOGLEFINANCE(B4424,""change""),0)"),0)</f>
        <v>0</v>
      </c>
      <c r="N4424" s="6">
        <v>1</v>
      </c>
      <c r="O4424" s="7">
        <v>45536</v>
      </c>
      <c r="P4424" s="6">
        <v>19.989999999999998</v>
      </c>
      <c r="Q4424" s="6">
        <v>66.819999999999993</v>
      </c>
      <c r="R4424" s="14"/>
      <c r="S4424" s="9"/>
      <c r="T4424" s="9"/>
      <c r="U4424" s="7">
        <v>45352</v>
      </c>
      <c r="V4424" s="6">
        <v>18.489999999999998</v>
      </c>
      <c r="W4424" s="6">
        <f ca="1">IFERROR(__xludf.DUMMYFUNCTION("IFERROR(GOOGLEFINANCE(B4424,""pe""),V4424)"),18.49)</f>
        <v>18.489999999999998</v>
      </c>
      <c r="X4424" s="12"/>
      <c r="Y4424" s="6">
        <v>1.37</v>
      </c>
      <c r="Z4424" s="6">
        <v>1</v>
      </c>
      <c r="AA4424" s="8">
        <v>45352</v>
      </c>
      <c r="AB4424" s="4">
        <v>1.68</v>
      </c>
      <c r="AC4424" s="6">
        <v>23.85</v>
      </c>
      <c r="AD4424" s="6">
        <v>18.32</v>
      </c>
      <c r="AE4424" s="1">
        <v>0</v>
      </c>
      <c r="AF4424" s="1">
        <f ca="1">IFERROR(__xludf.DUMMYFUNCTION("IFERROR(GOOGLEFINANCE(TRIM(F4424)&amp;"":"" &amp; TRIM(B4424),""high52""),AE4424)"),0)</f>
        <v>0</v>
      </c>
      <c r="AG4424" s="1">
        <v>0</v>
      </c>
      <c r="AH4424" s="1">
        <f ca="1">IFERROR(__xludf.DUMMYFUNCTION("IFERROR(GOOGLEFINANCE(TRIM(F4424)&amp;"":"" &amp; TRIM(B4424),""low52""),AE4424)"),0)</f>
        <v>0</v>
      </c>
      <c r="AI4424" s="1">
        <f ca="1">IFERROR(__xludf.DUMMYFUNCTION("IFERROR(GOOGLEFINANCE(B4424,""eps""),0)"),0)</f>
        <v>0</v>
      </c>
      <c r="AJ4424" s="1"/>
      <c r="AK4424" s="1" t="s">
        <v>13395</v>
      </c>
      <c r="AL4424" s="9">
        <f t="shared" si="393"/>
        <v>1</v>
      </c>
    </row>
    <row r="4425" spans="1:38" ht="15" x14ac:dyDescent="0.25">
      <c r="A4425" s="1" t="s">
        <v>13396</v>
      </c>
      <c r="B4425" s="1" t="s">
        <v>13397</v>
      </c>
      <c r="C4425" s="1" t="s">
        <v>186</v>
      </c>
      <c r="D4425" s="1" t="s">
        <v>186</v>
      </c>
      <c r="E4425" s="6">
        <v>216.14</v>
      </c>
      <c r="F4425" s="1" t="s">
        <v>40</v>
      </c>
      <c r="G4425" s="6">
        <f ca="1">IFERROR(__xludf.DUMMYFUNCTION("iferror(GOOGLEFINANCE(TRIM(F4425)&amp;"":"" &amp; TRIM(B4425), ""price""),0
)"),77.56)</f>
        <v>77.56</v>
      </c>
      <c r="H4425" s="6">
        <v>135.85</v>
      </c>
      <c r="I4425" s="6">
        <f t="shared" ca="1" si="0"/>
        <v>77.56</v>
      </c>
      <c r="J4425" s="6">
        <f ca="1">IFERROR(__xludf.DUMMYFUNCTION("IFERROR(GOOGLEFINANCE(B4425, ""volume""), 0)"),2713)</f>
        <v>2713</v>
      </c>
      <c r="K4425" s="6">
        <v>-1.84</v>
      </c>
      <c r="L4425" s="6">
        <f ca="1">IFERROR(__xludf.DUMMYFUNCTION("IFERROR(GOOGLEFINANCE(B4425,""changepct""),K4425)"),-3.42)</f>
        <v>-3.42</v>
      </c>
      <c r="M4425" s="6">
        <f ca="1">IFERROR(__xludf.DUMMYFUNCTION("IFERROR(GOOGLEFINANCE(B4425,""change""),0)"),-2.75)</f>
        <v>-2.75</v>
      </c>
      <c r="N4425" s="6">
        <v>2</v>
      </c>
      <c r="O4425" s="7">
        <v>45536</v>
      </c>
      <c r="P4425" s="6">
        <v>11.6</v>
      </c>
      <c r="Q4425" s="6">
        <v>227.01</v>
      </c>
      <c r="R4425" s="7">
        <v>45536</v>
      </c>
      <c r="S4425" s="6">
        <v>111.48</v>
      </c>
      <c r="T4425" s="6">
        <v>8.57</v>
      </c>
      <c r="U4425" s="7">
        <v>45536</v>
      </c>
      <c r="V4425" s="6">
        <v>29.37</v>
      </c>
      <c r="W4425" s="6">
        <f ca="1">IFERROR(__xludf.DUMMYFUNCTION("IFERROR(GOOGLEFINANCE(B4425,""pe""),V4425)"),29.37)</f>
        <v>29.37</v>
      </c>
      <c r="X4425" s="6">
        <v>4.07</v>
      </c>
      <c r="Y4425" s="6">
        <v>3.19</v>
      </c>
      <c r="Z4425" s="6">
        <v>2</v>
      </c>
      <c r="AA4425" s="8">
        <v>45352</v>
      </c>
      <c r="AB4425" s="4">
        <v>0.11</v>
      </c>
      <c r="AC4425" s="6">
        <v>13.93</v>
      </c>
      <c r="AD4425" s="6">
        <v>16.05</v>
      </c>
      <c r="AE4425" s="1">
        <v>0</v>
      </c>
      <c r="AF4425" s="1">
        <f ca="1">IFERROR(__xludf.DUMMYFUNCTION("IFERROR(GOOGLEFINANCE(TRIM(F4425)&amp;"":"" &amp; TRIM(B4425),""high52""),AE4425)"),133.8)</f>
        <v>133.80000000000001</v>
      </c>
      <c r="AG4425" s="1">
        <v>0</v>
      </c>
      <c r="AH4425" s="1">
        <f ca="1">IFERROR(__xludf.DUMMYFUNCTION("IFERROR(GOOGLEFINANCE(TRIM(F4425)&amp;"":"" &amp; TRIM(B4425),""low52""),AE4425)"),75.91)</f>
        <v>75.91</v>
      </c>
      <c r="AI4425" s="1">
        <f ca="1">IFERROR(__xludf.DUMMYFUNCTION("IFERROR(GOOGLEFINANCE(B4425,""eps""),0)"),-2.57)</f>
        <v>-2.57</v>
      </c>
      <c r="AJ4425" s="1"/>
      <c r="AK4425" s="1" t="s">
        <v>13398</v>
      </c>
      <c r="AL4425" s="9">
        <f t="shared" si="393"/>
        <v>1</v>
      </c>
    </row>
    <row r="4426" spans="1:38" ht="15" x14ac:dyDescent="0.25">
      <c r="A4426" s="1" t="s">
        <v>13399</v>
      </c>
      <c r="B4426" s="1" t="s">
        <v>13400</v>
      </c>
      <c r="C4426" s="1" t="s">
        <v>219</v>
      </c>
      <c r="D4426" s="1" t="s">
        <v>219</v>
      </c>
      <c r="E4426" s="6">
        <v>21489.040000000001</v>
      </c>
      <c r="F4426" s="1" t="s">
        <v>40</v>
      </c>
      <c r="G4426" s="6">
        <f ca="1">IFERROR(__xludf.DUMMYFUNCTION("iferror(GOOGLEFINANCE(TRIM(F4426)&amp;"":"" &amp; TRIM(B4426), ""price""),0
)"),757.6)</f>
        <v>757.6</v>
      </c>
      <c r="H4426" s="6">
        <v>815.95</v>
      </c>
      <c r="I4426" s="6">
        <f t="shared" ca="1" si="0"/>
        <v>757.6</v>
      </c>
      <c r="J4426" s="6">
        <f ca="1">IFERROR(__xludf.DUMMYFUNCTION("IFERROR(GOOGLEFINANCE(B4426, ""volume""), 0)"),508924)</f>
        <v>508924</v>
      </c>
      <c r="K4426" s="6">
        <v>-0.55000000000000004</v>
      </c>
      <c r="L4426" s="6">
        <f ca="1">IFERROR(__xludf.DUMMYFUNCTION("IFERROR(GOOGLEFINANCE(B4426,""changepct""),K4426)"),2.85)</f>
        <v>2.85</v>
      </c>
      <c r="M4426" s="6">
        <f ca="1">IFERROR(__xludf.DUMMYFUNCTION("IFERROR(GOOGLEFINANCE(B4426,""change""),0)"),21)</f>
        <v>21</v>
      </c>
      <c r="N4426" s="6">
        <v>2</v>
      </c>
      <c r="O4426" s="7">
        <v>45536</v>
      </c>
      <c r="P4426" s="6">
        <v>2084.36</v>
      </c>
      <c r="Q4426" s="6">
        <v>22920.03</v>
      </c>
      <c r="R4426" s="7">
        <v>45536</v>
      </c>
      <c r="S4426" s="6">
        <v>15649.94</v>
      </c>
      <c r="T4426" s="6">
        <v>849.1</v>
      </c>
      <c r="U4426" s="7">
        <v>45536</v>
      </c>
      <c r="V4426" s="6">
        <v>19.62</v>
      </c>
      <c r="W4426" s="6">
        <f ca="1">IFERROR(__xludf.DUMMYFUNCTION("IFERROR(GOOGLEFINANCE(B4426,""pe""),V4426)"),9.23)</f>
        <v>9.23</v>
      </c>
      <c r="X4426" s="6">
        <v>0.14000000000000001</v>
      </c>
      <c r="Y4426" s="6">
        <v>3.56</v>
      </c>
      <c r="Z4426" s="6">
        <v>2</v>
      </c>
      <c r="AA4426" s="8">
        <v>45352</v>
      </c>
      <c r="AB4426" s="4">
        <v>0.34</v>
      </c>
      <c r="AC4426" s="6">
        <v>22.03</v>
      </c>
      <c r="AD4426" s="6">
        <v>22.06</v>
      </c>
      <c r="AE4426" s="1">
        <v>0</v>
      </c>
      <c r="AF4426" s="1">
        <f ca="1">IFERROR(__xludf.DUMMYFUNCTION("IFERROR(GOOGLEFINANCE(TRIM(F4426)&amp;"":"" &amp; TRIM(B4426),""high52""),AE4426)"),994)</f>
        <v>994</v>
      </c>
      <c r="AG4426" s="1">
        <v>0</v>
      </c>
      <c r="AH4426" s="1">
        <f ca="1">IFERROR(__xludf.DUMMYFUNCTION("IFERROR(GOOGLEFINANCE(TRIM(F4426)&amp;"":"" &amp; TRIM(B4426),""low52""),AE4426)"),664.3)</f>
        <v>664.3</v>
      </c>
      <c r="AI4426" s="1">
        <f ca="1">IFERROR(__xludf.DUMMYFUNCTION("IFERROR(GOOGLEFINANCE(B4426,""eps""),0)"),82.06)</f>
        <v>82.06</v>
      </c>
      <c r="AJ4426" s="1"/>
      <c r="AK4426" s="1" t="s">
        <v>13401</v>
      </c>
      <c r="AL4426" s="9">
        <f t="shared" si="393"/>
        <v>1</v>
      </c>
    </row>
    <row r="4427" spans="1:38" ht="15" x14ac:dyDescent="0.25">
      <c r="A4427" s="1" t="s">
        <v>13402</v>
      </c>
      <c r="B4427" s="1" t="s">
        <v>13403</v>
      </c>
      <c r="C4427" s="1" t="s">
        <v>487</v>
      </c>
      <c r="D4427" s="1" t="s">
        <v>487</v>
      </c>
      <c r="E4427" s="6">
        <v>8934.61</v>
      </c>
      <c r="F4427" s="1" t="s">
        <v>40</v>
      </c>
      <c r="G4427" s="6">
        <f ca="1">IFERROR(__xludf.DUMMYFUNCTION("iferror(GOOGLEFINANCE(TRIM(F4427)&amp;"":"" &amp; TRIM(B4427), ""price""),0
)"),468)</f>
        <v>468</v>
      </c>
      <c r="H4427" s="6">
        <v>645.29999999999995</v>
      </c>
      <c r="I4427" s="6">
        <f t="shared" ca="1" si="0"/>
        <v>468</v>
      </c>
      <c r="J4427" s="6">
        <f ca="1">IFERROR(__xludf.DUMMYFUNCTION("IFERROR(GOOGLEFINANCE(B4427, ""volume""), 0)"),72459)</f>
        <v>72459</v>
      </c>
      <c r="K4427" s="6">
        <v>0.28000000000000003</v>
      </c>
      <c r="L4427" s="6">
        <f ca="1">IFERROR(__xludf.DUMMYFUNCTION("IFERROR(GOOGLEFINANCE(B4427,""changepct""),K4427)"),1.44)</f>
        <v>1.44</v>
      </c>
      <c r="M4427" s="6">
        <f ca="1">IFERROR(__xludf.DUMMYFUNCTION("IFERROR(GOOGLEFINANCE(B4427,""change""),0)"),6.65)</f>
        <v>6.65</v>
      </c>
      <c r="N4427" s="6">
        <v>2</v>
      </c>
      <c r="O4427" s="7">
        <v>45536</v>
      </c>
      <c r="P4427" s="6">
        <v>1204.0899999999999</v>
      </c>
      <c r="Q4427" s="6">
        <v>9772.0400000000009</v>
      </c>
      <c r="R4427" s="7">
        <v>45536</v>
      </c>
      <c r="S4427" s="6">
        <v>3223.58</v>
      </c>
      <c r="T4427" s="6">
        <v>372.86</v>
      </c>
      <c r="U4427" s="7">
        <v>45536</v>
      </c>
      <c r="V4427" s="6">
        <v>30</v>
      </c>
      <c r="W4427" s="6">
        <f ca="1">IFERROR(__xludf.DUMMYFUNCTION("IFERROR(GOOGLEFINANCE(B4427,""pe""),V4427)"),18.66)</f>
        <v>18.66</v>
      </c>
      <c r="X4427" s="6">
        <v>1.43</v>
      </c>
      <c r="Y4427" s="6">
        <v>3.66</v>
      </c>
      <c r="Z4427" s="6">
        <v>2</v>
      </c>
      <c r="AA4427" s="8">
        <v>45352</v>
      </c>
      <c r="AB4427" s="4">
        <v>0.32</v>
      </c>
      <c r="AC4427" s="6">
        <v>14.92</v>
      </c>
      <c r="AD4427" s="6">
        <v>19.02</v>
      </c>
      <c r="AE4427" s="1">
        <v>0</v>
      </c>
      <c r="AF4427" s="1">
        <f ca="1">IFERROR(__xludf.DUMMYFUNCTION("IFERROR(GOOGLEFINANCE(TRIM(F4427)&amp;"":"" &amp; TRIM(B4427),""high52""),AE4427)"),613.4)</f>
        <v>613.4</v>
      </c>
      <c r="AG4427" s="1">
        <v>0</v>
      </c>
      <c r="AH4427" s="1">
        <f ca="1">IFERROR(__xludf.DUMMYFUNCTION("IFERROR(GOOGLEFINANCE(TRIM(F4427)&amp;"":"" &amp; TRIM(B4427),""low52""),AE4427)"),400.05)</f>
        <v>400.05</v>
      </c>
      <c r="AI4427" s="1">
        <f ca="1">IFERROR(__xludf.DUMMYFUNCTION("IFERROR(GOOGLEFINANCE(B4427,""eps""),0)"),25.08)</f>
        <v>25.08</v>
      </c>
      <c r="AJ4427" s="1"/>
      <c r="AK4427" s="1" t="s">
        <v>13404</v>
      </c>
      <c r="AL4427" s="9">
        <f t="shared" si="393"/>
        <v>1</v>
      </c>
    </row>
    <row r="4428" spans="1:38" ht="15" x14ac:dyDescent="0.25">
      <c r="A4428" s="1" t="s">
        <v>13405</v>
      </c>
      <c r="B4428" s="1" t="s">
        <v>13406</v>
      </c>
      <c r="C4428" s="1" t="s">
        <v>227</v>
      </c>
      <c r="D4428" s="1" t="s">
        <v>227</v>
      </c>
      <c r="E4428" s="6">
        <v>35.950000000000003</v>
      </c>
      <c r="F4428" s="1" t="s">
        <v>53</v>
      </c>
      <c r="G4428" s="6">
        <f ca="1">IFERROR(__xludf.DUMMYFUNCTION("iferror(GOOGLEFINANCE(TRIM(F4428)&amp;"":"" &amp; TRIM(B4428), ""price""),0
)"),0)</f>
        <v>0</v>
      </c>
      <c r="H4428" s="6">
        <v>70.45</v>
      </c>
      <c r="I4428" s="6">
        <f t="shared" ca="1" si="0"/>
        <v>70.45</v>
      </c>
      <c r="J4428" s="6">
        <f ca="1">IFERROR(__xludf.DUMMYFUNCTION("IFERROR(GOOGLEFINANCE(B4428, ""volume""), 0)"),0)</f>
        <v>0</v>
      </c>
      <c r="K4428" s="12"/>
      <c r="L4428" s="6" t="str">
        <f ca="1">IFERROR(__xludf.DUMMYFUNCTION("IFERROR(GOOGLEFINANCE(B4428,""changepct""),K4428)"),"")</f>
        <v/>
      </c>
      <c r="M4428" s="6">
        <f ca="1">IFERROR(__xludf.DUMMYFUNCTION("IFERROR(GOOGLEFINANCE(B4428,""change""),0)"),0)</f>
        <v>0</v>
      </c>
      <c r="N4428" s="6">
        <v>1</v>
      </c>
      <c r="O4428" s="7">
        <v>45536</v>
      </c>
      <c r="P4428" s="6">
        <v>2.4300000000000002</v>
      </c>
      <c r="Q4428" s="6">
        <v>38.380000000000003</v>
      </c>
      <c r="R4428" s="14"/>
      <c r="S4428" s="9"/>
      <c r="T4428" s="9"/>
      <c r="U4428" s="7">
        <v>44986</v>
      </c>
      <c r="V4428" s="6">
        <v>12.45</v>
      </c>
      <c r="W4428" s="6">
        <f ca="1">IFERROR(__xludf.DUMMYFUNCTION("IFERROR(GOOGLEFINANCE(B4428,""pe""),V4428)"),12.45)</f>
        <v>12.45</v>
      </c>
      <c r="X4428" s="12"/>
      <c r="Y4428" s="9"/>
      <c r="Z4428" s="6">
        <v>1</v>
      </c>
      <c r="AA4428" s="17">
        <v>44986</v>
      </c>
      <c r="AB4428" s="18">
        <v>0.85</v>
      </c>
      <c r="AC4428" s="6">
        <v>97.65</v>
      </c>
      <c r="AD4428" s="6">
        <v>64.63</v>
      </c>
      <c r="AE4428" s="1">
        <v>0</v>
      </c>
      <c r="AF4428" s="1">
        <f ca="1">IFERROR(__xludf.DUMMYFUNCTION("IFERROR(GOOGLEFINANCE(TRIM(F4428)&amp;"":"" &amp; TRIM(B4428),""high52""),AE4428)"),0)</f>
        <v>0</v>
      </c>
      <c r="AG4428" s="1">
        <v>0</v>
      </c>
      <c r="AH4428" s="1">
        <f ca="1">IFERROR(__xludf.DUMMYFUNCTION("IFERROR(GOOGLEFINANCE(TRIM(F4428)&amp;"":"" &amp; TRIM(B4428),""low52""),AE4428)"),0)</f>
        <v>0</v>
      </c>
      <c r="AI4428" s="1">
        <f ca="1">IFERROR(__xludf.DUMMYFUNCTION("IFERROR(GOOGLEFINANCE(B4428,""eps""),0)"),0)</f>
        <v>0</v>
      </c>
      <c r="AJ4428" s="1"/>
      <c r="AK4428" s="1" t="s">
        <v>13407</v>
      </c>
      <c r="AL4428" s="9">
        <f t="shared" si="393"/>
        <v>1</v>
      </c>
    </row>
    <row r="4429" spans="1:38" ht="15" x14ac:dyDescent="0.25">
      <c r="A4429" s="1" t="s">
        <v>13408</v>
      </c>
      <c r="B4429" s="1" t="s">
        <v>13409</v>
      </c>
      <c r="C4429" s="1" t="s">
        <v>43</v>
      </c>
      <c r="D4429" s="1" t="s">
        <v>43</v>
      </c>
      <c r="E4429" s="6">
        <v>338.15</v>
      </c>
      <c r="F4429" s="1" t="s">
        <v>40</v>
      </c>
      <c r="G4429" s="6">
        <f ca="1">IFERROR(__xludf.DUMMYFUNCTION("iferror(GOOGLEFINANCE(TRIM(F4429)&amp;"":"" &amp; TRIM(B4429), ""price""),0
)"),1218.4)</f>
        <v>1218.4000000000001</v>
      </c>
      <c r="H4429" s="6">
        <v>910.4</v>
      </c>
      <c r="I4429" s="6">
        <f t="shared" ca="1" si="0"/>
        <v>1218.4000000000001</v>
      </c>
      <c r="J4429" s="6">
        <f ca="1">IFERROR(__xludf.DUMMYFUNCTION("IFERROR(GOOGLEFINANCE(B4429, ""volume""), 0)"),257)</f>
        <v>257</v>
      </c>
      <c r="K4429" s="6">
        <v>-1.25</v>
      </c>
      <c r="L4429" s="6">
        <f ca="1">IFERROR(__xludf.DUMMYFUNCTION("IFERROR(GOOGLEFINANCE(B4429,""changepct""),K4429)"),-0.29)</f>
        <v>-0.28999999999999998</v>
      </c>
      <c r="M4429" s="6">
        <f ca="1">IFERROR(__xludf.DUMMYFUNCTION("IFERROR(GOOGLEFINANCE(B4429,""change""),0)"),-3.6)</f>
        <v>-3.6</v>
      </c>
      <c r="N4429" s="6">
        <v>1</v>
      </c>
      <c r="O4429" s="7">
        <v>45536</v>
      </c>
      <c r="P4429" s="6">
        <v>3.62</v>
      </c>
      <c r="Q4429" s="7">
        <v>45536</v>
      </c>
      <c r="R4429" s="6">
        <v>93.41</v>
      </c>
      <c r="S4429" s="6">
        <v>2.4700000000000002</v>
      </c>
      <c r="T4429" s="6">
        <v>0.48</v>
      </c>
      <c r="U4429" s="6">
        <v>1</v>
      </c>
      <c r="V4429" s="7">
        <v>45352</v>
      </c>
      <c r="W4429" s="6">
        <f ca="1">IFERROR(__xludf.DUMMYFUNCTION("IFERROR(GOOGLEFINANCE(B4429,""pe""),V4429)"),132.69)</f>
        <v>132.69</v>
      </c>
      <c r="X4429" s="6">
        <v>0</v>
      </c>
      <c r="Y4429" s="6">
        <v>0.86</v>
      </c>
      <c r="Z4429" s="6">
        <v>1.1399999999999999</v>
      </c>
      <c r="AA4429" s="3" t="s">
        <v>13410</v>
      </c>
      <c r="AB4429" s="11"/>
      <c r="AC4429" s="9"/>
      <c r="AD4429" s="9"/>
      <c r="AE4429" s="1">
        <v>0</v>
      </c>
      <c r="AF4429" s="1">
        <f ca="1">IFERROR(__xludf.DUMMYFUNCTION("IFERROR(GOOGLEFINANCE(TRIM(F4429)&amp;"":"" &amp; TRIM(B4429),""high52""),AE4429)"),1549)</f>
        <v>1549</v>
      </c>
      <c r="AG4429" s="1">
        <v>0</v>
      </c>
      <c r="AH4429" s="1">
        <f ca="1">IFERROR(__xludf.DUMMYFUNCTION("IFERROR(GOOGLEFINANCE(TRIM(F4429)&amp;"":"" &amp; TRIM(B4429),""low52""),AE4429)"),597.55)</f>
        <v>597.54999999999995</v>
      </c>
      <c r="AI4429" s="1">
        <f ca="1">IFERROR(__xludf.DUMMYFUNCTION("IFERROR(GOOGLEFINANCE(B4429,""eps""),0)"),9.18)</f>
        <v>9.18</v>
      </c>
      <c r="AJ4429" s="1"/>
      <c r="AK4429" s="9"/>
      <c r="AL4429" s="9">
        <f t="shared" si="393"/>
        <v>1</v>
      </c>
    </row>
    <row r="4430" spans="1:38" ht="15" x14ac:dyDescent="0.25">
      <c r="A4430" s="1" t="s">
        <v>13411</v>
      </c>
      <c r="B4430" s="1" t="s">
        <v>13412</v>
      </c>
      <c r="C4430" s="1" t="s">
        <v>186</v>
      </c>
      <c r="D4430" s="1" t="s">
        <v>186</v>
      </c>
      <c r="E4430" s="6">
        <v>15701.33</v>
      </c>
      <c r="F4430" s="1" t="s">
        <v>40</v>
      </c>
      <c r="G4430" s="6">
        <f ca="1">IFERROR(__xludf.DUMMYFUNCTION("iferror(GOOGLEFINANCE(TRIM(F4430)&amp;"":"" &amp; TRIM(B4430), ""price""),0
)"),123.6)</f>
        <v>123.6</v>
      </c>
      <c r="H4430" s="6">
        <v>163.71</v>
      </c>
      <c r="I4430" s="6">
        <f t="shared" ca="1" si="0"/>
        <v>123.6</v>
      </c>
      <c r="J4430" s="6">
        <f ca="1">IFERROR(__xludf.DUMMYFUNCTION("IFERROR(GOOGLEFINANCE(B4430, ""volume""), 0)"),810029)</f>
        <v>810029</v>
      </c>
      <c r="K4430" s="6">
        <v>0.13</v>
      </c>
      <c r="L4430" s="6">
        <f ca="1">IFERROR(__xludf.DUMMYFUNCTION("IFERROR(GOOGLEFINANCE(B4430,""changepct""),K4430)"),0.27)</f>
        <v>0.27</v>
      </c>
      <c r="M4430" s="6">
        <f ca="1">IFERROR(__xludf.DUMMYFUNCTION("IFERROR(GOOGLEFINANCE(B4430,""change""),0)"),0.33)</f>
        <v>0.33</v>
      </c>
      <c r="N4430" s="6">
        <v>2</v>
      </c>
      <c r="O4430" s="7">
        <v>45536</v>
      </c>
      <c r="P4430" s="6">
        <v>2878.62</v>
      </c>
      <c r="Q4430" s="6">
        <v>18349.03</v>
      </c>
      <c r="R4430" s="7">
        <v>45536</v>
      </c>
      <c r="S4430" s="6">
        <v>10395.69</v>
      </c>
      <c r="T4430" s="6">
        <v>697.59</v>
      </c>
      <c r="U4430" s="7">
        <v>45536</v>
      </c>
      <c r="V4430" s="6">
        <v>22.14</v>
      </c>
      <c r="W4430" s="6">
        <f ca="1">IFERROR(__xludf.DUMMYFUNCTION("IFERROR(GOOGLEFINANCE(B4430,""pe""),V4430)"),29.14)</f>
        <v>29.14</v>
      </c>
      <c r="X4430" s="6">
        <v>2.16</v>
      </c>
      <c r="Y4430" s="6">
        <v>3.45</v>
      </c>
      <c r="Z4430" s="6">
        <v>2</v>
      </c>
      <c r="AA4430" s="8">
        <v>45352</v>
      </c>
      <c r="AB4430" s="4">
        <v>0.56000000000000005</v>
      </c>
      <c r="AC4430" s="6">
        <v>15.66</v>
      </c>
      <c r="AD4430" s="6">
        <v>16.63</v>
      </c>
      <c r="AE4430" s="1">
        <v>0</v>
      </c>
      <c r="AF4430" s="1">
        <f ca="1">IFERROR(__xludf.DUMMYFUNCTION("IFERROR(GOOGLEFINANCE(TRIM(F4430)&amp;"":"" &amp; TRIM(B4430),""high52""),AE4430)"),154.57)</f>
        <v>154.57</v>
      </c>
      <c r="AG4430" s="1">
        <v>0</v>
      </c>
      <c r="AH4430" s="1">
        <f ca="1">IFERROR(__xludf.DUMMYFUNCTION("IFERROR(GOOGLEFINANCE(TRIM(F4430)&amp;"":"" &amp; TRIM(B4430),""low52""),AE4430)"),104.8)</f>
        <v>104.8</v>
      </c>
      <c r="AI4430" s="1">
        <f ca="1">IFERROR(__xludf.DUMMYFUNCTION("IFERROR(GOOGLEFINANCE(B4430,""eps""),0)"),5.46)</f>
        <v>5.46</v>
      </c>
      <c r="AJ4430" s="1"/>
      <c r="AK4430" s="1" t="s">
        <v>13413</v>
      </c>
      <c r="AL4430" s="9">
        <f t="shared" si="393"/>
        <v>1</v>
      </c>
    </row>
    <row r="4431" spans="1:38" ht="15" x14ac:dyDescent="0.25">
      <c r="A4431" s="1" t="s">
        <v>13414</v>
      </c>
      <c r="B4431" s="1" t="s">
        <v>13415</v>
      </c>
      <c r="C4431" s="1" t="s">
        <v>227</v>
      </c>
      <c r="D4431" s="1" t="s">
        <v>227</v>
      </c>
      <c r="E4431" s="6">
        <v>2054.2800000000002</v>
      </c>
      <c r="F4431" s="1" t="s">
        <v>53</v>
      </c>
      <c r="G4431" s="6">
        <f ca="1">IFERROR(__xludf.DUMMYFUNCTION("iferror(GOOGLEFINANCE(TRIM(F4431)&amp;"":"" &amp; TRIM(B4431), ""price""),0
)"),0)</f>
        <v>0</v>
      </c>
      <c r="H4431" s="6">
        <v>1150</v>
      </c>
      <c r="I4431" s="6">
        <f t="shared" ca="1" si="0"/>
        <v>1150</v>
      </c>
      <c r="J4431" s="6">
        <f ca="1">IFERROR(__xludf.DUMMYFUNCTION("IFERROR(GOOGLEFINANCE(B4431, ""volume""), 0)"),0)</f>
        <v>0</v>
      </c>
      <c r="K4431" s="6">
        <v>0.81</v>
      </c>
      <c r="L4431" s="6">
        <f ca="1">IFERROR(__xludf.DUMMYFUNCTION("IFERROR(GOOGLEFINANCE(B4431,""changepct""),K4431)"),0.81)</f>
        <v>0.81</v>
      </c>
      <c r="M4431" s="6">
        <f ca="1">IFERROR(__xludf.DUMMYFUNCTION("IFERROR(GOOGLEFINANCE(B4431,""change""),0)"),0)</f>
        <v>0</v>
      </c>
      <c r="N4431" s="6">
        <v>1</v>
      </c>
      <c r="O4431" s="7">
        <v>45352</v>
      </c>
      <c r="P4431" s="6">
        <v>77.67</v>
      </c>
      <c r="Q4431" s="6">
        <v>2131.7800000000002</v>
      </c>
      <c r="R4431" s="9"/>
      <c r="S4431" s="9"/>
      <c r="T4431" s="9"/>
      <c r="U4431" s="7">
        <v>45352</v>
      </c>
      <c r="V4431" s="6">
        <v>78.94</v>
      </c>
      <c r="W4431" s="6">
        <f ca="1">IFERROR(__xludf.DUMMYFUNCTION("IFERROR(GOOGLEFINANCE(B4431,""pe""),V4431)"),78.94)</f>
        <v>78.94</v>
      </c>
      <c r="X4431" s="9"/>
      <c r="Y4431" s="6">
        <v>8.4600000000000009</v>
      </c>
      <c r="Z4431" s="6">
        <v>1</v>
      </c>
      <c r="AA4431" s="8">
        <v>45352</v>
      </c>
      <c r="AB4431" s="4">
        <v>0.92</v>
      </c>
      <c r="AC4431" s="6">
        <v>36.409999999999997</v>
      </c>
      <c r="AD4431" s="6">
        <v>30.93</v>
      </c>
      <c r="AE4431" s="1">
        <v>0</v>
      </c>
      <c r="AF4431" s="1">
        <f ca="1">IFERROR(__xludf.DUMMYFUNCTION("IFERROR(GOOGLEFINANCE(TRIM(F4431)&amp;"":"" &amp; TRIM(B4431),""high52""),AE4431)"),0)</f>
        <v>0</v>
      </c>
      <c r="AG4431" s="1">
        <v>0</v>
      </c>
      <c r="AH4431" s="1">
        <f ca="1">IFERROR(__xludf.DUMMYFUNCTION("IFERROR(GOOGLEFINANCE(TRIM(F4431)&amp;"":"" &amp; TRIM(B4431),""low52""),AE4431)"),0)</f>
        <v>0</v>
      </c>
      <c r="AI4431" s="1">
        <f ca="1">IFERROR(__xludf.DUMMYFUNCTION("IFERROR(GOOGLEFINANCE(B4431,""eps""),0)"),0)</f>
        <v>0</v>
      </c>
      <c r="AJ4431" s="1"/>
      <c r="AK4431" s="1" t="s">
        <v>13416</v>
      </c>
      <c r="AL4431" s="9">
        <f t="shared" si="393"/>
        <v>1</v>
      </c>
    </row>
    <row r="4432" spans="1:38" ht="15" x14ac:dyDescent="0.25">
      <c r="A4432" s="1" t="s">
        <v>13417</v>
      </c>
      <c r="B4432" s="1" t="s">
        <v>13418</v>
      </c>
      <c r="C4432" s="1" t="s">
        <v>227</v>
      </c>
      <c r="D4432" s="1" t="s">
        <v>227</v>
      </c>
      <c r="E4432" s="6">
        <v>60.61</v>
      </c>
      <c r="F4432" s="1" t="s">
        <v>53</v>
      </c>
      <c r="G4432" s="6">
        <f ca="1">IFERROR(__xludf.DUMMYFUNCTION("iferror(GOOGLEFINANCE(TRIM(F4432)&amp;"":"" &amp; TRIM(B4432), ""price""),0
)"),0)</f>
        <v>0</v>
      </c>
      <c r="H4432" s="6">
        <v>115.9</v>
      </c>
      <c r="I4432" s="6">
        <f t="shared" ca="1" si="0"/>
        <v>115.9</v>
      </c>
      <c r="J4432" s="6">
        <f ca="1">IFERROR(__xludf.DUMMYFUNCTION("IFERROR(GOOGLEFINANCE(B4432, ""volume""), 0)"),0)</f>
        <v>0</v>
      </c>
      <c r="K4432" s="6">
        <v>0.43</v>
      </c>
      <c r="L4432" s="6">
        <f ca="1">IFERROR(__xludf.DUMMYFUNCTION("IFERROR(GOOGLEFINANCE(B4432,""changepct""),K4432)"),0.43)</f>
        <v>0.43</v>
      </c>
      <c r="M4432" s="6">
        <f ca="1">IFERROR(__xludf.DUMMYFUNCTION("IFERROR(GOOGLEFINANCE(B4432,""change""),0)"),0)</f>
        <v>0</v>
      </c>
      <c r="N4432" s="6">
        <v>2</v>
      </c>
      <c r="O4432" s="7">
        <v>45536</v>
      </c>
      <c r="P4432" s="6">
        <v>0.7</v>
      </c>
      <c r="Q4432" s="6">
        <v>61.31</v>
      </c>
      <c r="R4432" s="9"/>
      <c r="S4432" s="9"/>
      <c r="T4432" s="9"/>
      <c r="U4432" s="7">
        <v>45352</v>
      </c>
      <c r="V4432" s="6">
        <v>161.36000000000001</v>
      </c>
      <c r="W4432" s="6">
        <f ca="1">IFERROR(__xludf.DUMMYFUNCTION("IFERROR(GOOGLEFINANCE(B4432,""pe""),V4432)"),161.36)</f>
        <v>161.36000000000001</v>
      </c>
      <c r="X4432" s="9"/>
      <c r="Y4432" s="6">
        <v>1.97</v>
      </c>
      <c r="Z4432" s="6">
        <v>2</v>
      </c>
      <c r="AA4432" s="8">
        <v>45352</v>
      </c>
      <c r="AB4432" s="4">
        <v>0.03</v>
      </c>
      <c r="AC4432" s="6">
        <v>3.19</v>
      </c>
      <c r="AD4432" s="6">
        <v>2.63</v>
      </c>
      <c r="AE4432" s="1">
        <v>0</v>
      </c>
      <c r="AF4432" s="1">
        <f ca="1">IFERROR(__xludf.DUMMYFUNCTION("IFERROR(GOOGLEFINANCE(TRIM(F4432)&amp;"":"" &amp; TRIM(B4432),""high52""),AE4432)"),0)</f>
        <v>0</v>
      </c>
      <c r="AG4432" s="1">
        <v>0</v>
      </c>
      <c r="AH4432" s="1">
        <f ca="1">IFERROR(__xludf.DUMMYFUNCTION("IFERROR(GOOGLEFINANCE(TRIM(F4432)&amp;"":"" &amp; TRIM(B4432),""low52""),AE4432)"),0)</f>
        <v>0</v>
      </c>
      <c r="AI4432" s="1">
        <f ca="1">IFERROR(__xludf.DUMMYFUNCTION("IFERROR(GOOGLEFINANCE(B4432,""eps""),0)"),0)</f>
        <v>0</v>
      </c>
      <c r="AJ4432" s="1"/>
      <c r="AK4432" s="1" t="s">
        <v>13419</v>
      </c>
      <c r="AL4432" s="9">
        <f t="shared" si="393"/>
        <v>1</v>
      </c>
    </row>
    <row r="4433" spans="1:38" ht="15" x14ac:dyDescent="0.25">
      <c r="A4433" s="1" t="s">
        <v>13420</v>
      </c>
      <c r="B4433" s="1" t="s">
        <v>13421</v>
      </c>
      <c r="C4433" s="1" t="s">
        <v>1866</v>
      </c>
      <c r="D4433" s="1" t="s">
        <v>1866</v>
      </c>
      <c r="E4433" s="6">
        <v>3272</v>
      </c>
      <c r="F4433" s="1" t="s">
        <v>40</v>
      </c>
      <c r="G4433" s="6">
        <f ca="1">IFERROR(__xludf.DUMMYFUNCTION("iferror(GOOGLEFINANCE(TRIM(F4433)&amp;"":"" &amp; TRIM(B4433), ""price""),0
)"),6841.5)</f>
        <v>6841.5</v>
      </c>
      <c r="H4433" s="6">
        <v>16497.2</v>
      </c>
      <c r="I4433" s="6">
        <f t="shared" ca="1" si="0"/>
        <v>6841.5</v>
      </c>
      <c r="J4433" s="6">
        <f ca="1">IFERROR(__xludf.DUMMYFUNCTION("IFERROR(GOOGLEFINANCE(B4433, ""volume""), 0)"),4067)</f>
        <v>4067</v>
      </c>
      <c r="K4433" s="6">
        <v>0.5</v>
      </c>
      <c r="L4433" s="6">
        <f ca="1">IFERROR(__xludf.DUMMYFUNCTION("IFERROR(GOOGLEFINANCE(B4433,""changepct""),K4433)"),0.6)</f>
        <v>0.6</v>
      </c>
      <c r="M4433" s="6">
        <f ca="1">IFERROR(__xludf.DUMMYFUNCTION("IFERROR(GOOGLEFINANCE(B4433,""change""),0)"),40.5)</f>
        <v>40.5</v>
      </c>
      <c r="N4433" s="6">
        <v>2</v>
      </c>
      <c r="O4433" s="7">
        <v>45536</v>
      </c>
      <c r="P4433" s="12"/>
      <c r="Q4433" s="6">
        <v>3252.86</v>
      </c>
      <c r="R4433" s="7">
        <v>45536</v>
      </c>
      <c r="S4433" s="6">
        <v>229.29</v>
      </c>
      <c r="T4433" s="6">
        <v>41.35</v>
      </c>
      <c r="U4433" s="7">
        <v>45536</v>
      </c>
      <c r="V4433" s="6">
        <v>79.13</v>
      </c>
      <c r="W4433" s="6">
        <f ca="1">IFERROR(__xludf.DUMMYFUNCTION("IFERROR(GOOGLEFINANCE(B4433,""pe""),V4433)"),61.25)</f>
        <v>61.25</v>
      </c>
      <c r="X4433" s="6">
        <v>3.67</v>
      </c>
      <c r="Y4433" s="6">
        <v>14.25</v>
      </c>
      <c r="Z4433" s="6">
        <v>2</v>
      </c>
      <c r="AA4433" s="8">
        <v>45352</v>
      </c>
      <c r="AB4433" s="4">
        <v>0</v>
      </c>
      <c r="AC4433" s="6">
        <v>20.43</v>
      </c>
      <c r="AD4433" s="6">
        <v>27.25</v>
      </c>
      <c r="AE4433" s="1">
        <v>0</v>
      </c>
      <c r="AF4433" s="1">
        <f ca="1">IFERROR(__xludf.DUMMYFUNCTION("IFERROR(GOOGLEFINANCE(TRIM(F4433)&amp;"":"" &amp; TRIM(B4433),""high52""),AE4433)"),12990)</f>
        <v>12990</v>
      </c>
      <c r="AG4433" s="1">
        <v>0</v>
      </c>
      <c r="AH4433" s="1">
        <f ca="1">IFERROR(__xludf.DUMMYFUNCTION("IFERROR(GOOGLEFINANCE(TRIM(F4433)&amp;"":"" &amp; TRIM(B4433),""low52""),AE4433)"),6447)</f>
        <v>6447</v>
      </c>
      <c r="AI4433" s="1">
        <f ca="1">IFERROR(__xludf.DUMMYFUNCTION("IFERROR(GOOGLEFINANCE(B4433,""eps""),0)"),111.71)</f>
        <v>111.71</v>
      </c>
      <c r="AJ4433" s="1"/>
      <c r="AK4433" s="12"/>
      <c r="AL4433" s="1" t="b">
        <f>ISBLANK(AB4433)</f>
        <v>0</v>
      </c>
    </row>
    <row r="4434" spans="1:38" ht="15" x14ac:dyDescent="0.25">
      <c r="A4434" s="1" t="s">
        <v>13422</v>
      </c>
      <c r="B4434" s="1" t="s">
        <v>13423</v>
      </c>
      <c r="C4434" s="1" t="s">
        <v>227</v>
      </c>
      <c r="D4434" s="1" t="s">
        <v>227</v>
      </c>
      <c r="E4434" s="6">
        <v>815.32</v>
      </c>
      <c r="F4434" s="1" t="s">
        <v>53</v>
      </c>
      <c r="G4434" s="6">
        <f ca="1">IFERROR(__xludf.DUMMYFUNCTION("iferror(GOOGLEFINANCE(TRIM(F4434)&amp;"":"" &amp; TRIM(B4434), ""price""),0
)"),0)</f>
        <v>0</v>
      </c>
      <c r="H4434" s="6">
        <v>350</v>
      </c>
      <c r="I4434" s="6">
        <f t="shared" ca="1" si="0"/>
        <v>350</v>
      </c>
      <c r="J4434" s="6">
        <f ca="1">IFERROR(__xludf.DUMMYFUNCTION("IFERROR(GOOGLEFINANCE(B4434, ""volume""), 0)"),0)</f>
        <v>0</v>
      </c>
      <c r="K4434" s="6">
        <v>-0.53</v>
      </c>
      <c r="L4434" s="6">
        <f ca="1">IFERROR(__xludf.DUMMYFUNCTION("IFERROR(GOOGLEFINANCE(B4434,""changepct""),K4434)"),-0.53)</f>
        <v>-0.53</v>
      </c>
      <c r="M4434" s="6">
        <f ca="1">IFERROR(__xludf.DUMMYFUNCTION("IFERROR(GOOGLEFINANCE(B4434,""change""),0)"),0)</f>
        <v>0</v>
      </c>
      <c r="N4434" s="6">
        <v>1</v>
      </c>
      <c r="O4434" s="7">
        <v>45536</v>
      </c>
      <c r="P4434" s="6">
        <v>366.91</v>
      </c>
      <c r="Q4434" s="6">
        <v>1182.22</v>
      </c>
      <c r="R4434" s="14"/>
      <c r="S4434" s="9"/>
      <c r="T4434" s="9"/>
      <c r="U4434" s="7">
        <v>45352</v>
      </c>
      <c r="V4434" s="6">
        <v>27.08</v>
      </c>
      <c r="W4434" s="6">
        <f ca="1">IFERROR(__xludf.DUMMYFUNCTION("IFERROR(GOOGLEFINANCE(B4434,""pe""),V4434)"),27.08)</f>
        <v>27.08</v>
      </c>
      <c r="X4434" s="9"/>
      <c r="Y4434" s="6">
        <v>2.64</v>
      </c>
      <c r="Z4434" s="6">
        <v>1</v>
      </c>
      <c r="AA4434" s="8">
        <v>45352</v>
      </c>
      <c r="AB4434" s="4">
        <v>1.54</v>
      </c>
      <c r="AC4434" s="6">
        <v>19.079999999999998</v>
      </c>
      <c r="AD4434" s="6">
        <v>12.69</v>
      </c>
      <c r="AE4434" s="1">
        <v>0</v>
      </c>
      <c r="AF4434" s="1">
        <f ca="1">IFERROR(__xludf.DUMMYFUNCTION("IFERROR(GOOGLEFINANCE(TRIM(F4434)&amp;"":"" &amp; TRIM(B4434),""high52""),AE4434)"),0)</f>
        <v>0</v>
      </c>
      <c r="AG4434" s="1">
        <v>0</v>
      </c>
      <c r="AH4434" s="1">
        <f ca="1">IFERROR(__xludf.DUMMYFUNCTION("IFERROR(GOOGLEFINANCE(TRIM(F4434)&amp;"":"" &amp; TRIM(B4434),""low52""),AE4434)"),0)</f>
        <v>0</v>
      </c>
      <c r="AI4434" s="1">
        <f ca="1">IFERROR(__xludf.DUMMYFUNCTION("IFERROR(GOOGLEFINANCE(B4434,""eps""),0)"),0)</f>
        <v>0</v>
      </c>
      <c r="AJ4434" s="1"/>
      <c r="AK4434" s="1" t="s">
        <v>13424</v>
      </c>
      <c r="AL4434" s="9">
        <f t="shared" ref="AL4434:AL4437" si="394">IF(AA4434&lt;&gt;AB4434,1,0)</f>
        <v>1</v>
      </c>
    </row>
    <row r="4435" spans="1:38" ht="15" x14ac:dyDescent="0.25">
      <c r="A4435" s="1" t="s">
        <v>13425</v>
      </c>
      <c r="B4435" s="1" t="s">
        <v>13426</v>
      </c>
      <c r="C4435" s="1" t="s">
        <v>373</v>
      </c>
      <c r="D4435" s="1" t="s">
        <v>373</v>
      </c>
      <c r="E4435" s="6">
        <v>3781.63</v>
      </c>
      <c r="F4435" s="1" t="s">
        <v>40</v>
      </c>
      <c r="G4435" s="6">
        <f ca="1">IFERROR(__xludf.DUMMYFUNCTION("iferror(GOOGLEFINANCE(TRIM(F4435)&amp;"":"" &amp; TRIM(B4435), ""price""),0
)"),397)</f>
        <v>397</v>
      </c>
      <c r="H4435" s="6">
        <v>566.6</v>
      </c>
      <c r="I4435" s="6">
        <f t="shared" ca="1" si="0"/>
        <v>397</v>
      </c>
      <c r="J4435" s="6">
        <f ca="1">IFERROR(__xludf.DUMMYFUNCTION("IFERROR(GOOGLEFINANCE(B4435, ""volume""), 0)"),37059)</f>
        <v>37059</v>
      </c>
      <c r="K4435" s="6">
        <v>-0.97</v>
      </c>
      <c r="L4435" s="6">
        <f ca="1">IFERROR(__xludf.DUMMYFUNCTION("IFERROR(GOOGLEFINANCE(B4435,""changepct""),K4435)"),1.52)</f>
        <v>1.52</v>
      </c>
      <c r="M4435" s="6">
        <f ca="1">IFERROR(__xludf.DUMMYFUNCTION("IFERROR(GOOGLEFINANCE(B4435,""change""),0)"),5.95)</f>
        <v>5.95</v>
      </c>
      <c r="N4435" s="6">
        <v>2</v>
      </c>
      <c r="O4435" s="7">
        <v>45536</v>
      </c>
      <c r="P4435" s="6">
        <v>389.59</v>
      </c>
      <c r="Q4435" s="6">
        <v>4135.08</v>
      </c>
      <c r="R4435" s="7">
        <v>45536</v>
      </c>
      <c r="S4435" s="6">
        <v>4120.38</v>
      </c>
      <c r="T4435" s="6">
        <v>511.27</v>
      </c>
      <c r="U4435" s="7">
        <v>45536</v>
      </c>
      <c r="V4435" s="6">
        <v>8.24</v>
      </c>
      <c r="W4435" s="6">
        <f ca="1">IFERROR(__xludf.DUMMYFUNCTION("IFERROR(GOOGLEFINANCE(B4435,""pe""),V4435)"),14.56)</f>
        <v>14.56</v>
      </c>
      <c r="X4435" s="6">
        <v>0.45</v>
      </c>
      <c r="Y4435" s="6">
        <v>1.1000000000000001</v>
      </c>
      <c r="Z4435" s="6">
        <v>2</v>
      </c>
      <c r="AA4435" s="8">
        <v>45352</v>
      </c>
      <c r="AB4435" s="4">
        <v>0.08</v>
      </c>
      <c r="AC4435" s="6">
        <v>27.03</v>
      </c>
      <c r="AD4435" s="6">
        <v>34.270000000000003</v>
      </c>
      <c r="AE4435" s="1">
        <v>0</v>
      </c>
      <c r="AF4435" s="1">
        <f ca="1">IFERROR(__xludf.DUMMYFUNCTION("IFERROR(GOOGLEFINANCE(TRIM(F4435)&amp;"":"" &amp; TRIM(B4435),""high52""),AE4435)"),583)</f>
        <v>583</v>
      </c>
      <c r="AG4435" s="1">
        <v>0</v>
      </c>
      <c r="AH4435" s="1">
        <f ca="1">IFERROR(__xludf.DUMMYFUNCTION("IFERROR(GOOGLEFINANCE(TRIM(F4435)&amp;"":"" &amp; TRIM(B4435),""low52""),AE4435)"),379.8)</f>
        <v>379.8</v>
      </c>
      <c r="AI4435" s="1">
        <f ca="1">IFERROR(__xludf.DUMMYFUNCTION("IFERROR(GOOGLEFINANCE(B4435,""eps""),0)"),27.27)</f>
        <v>27.27</v>
      </c>
      <c r="AJ4435" s="1"/>
      <c r="AK4435" s="9"/>
      <c r="AL4435" s="9">
        <f t="shared" si="394"/>
        <v>1</v>
      </c>
    </row>
    <row r="4436" spans="1:38" ht="15" x14ac:dyDescent="0.25">
      <c r="A4436" s="1" t="s">
        <v>13427</v>
      </c>
      <c r="B4436" s="1" t="s">
        <v>13428</v>
      </c>
      <c r="C4436" s="1" t="s">
        <v>259</v>
      </c>
      <c r="D4436" s="1" t="s">
        <v>259</v>
      </c>
      <c r="E4436" s="6">
        <v>1176.56</v>
      </c>
      <c r="F4436" s="1" t="s">
        <v>40</v>
      </c>
      <c r="G4436" s="6">
        <f ca="1">IFERROR(__xludf.DUMMYFUNCTION("iferror(GOOGLEFINANCE(TRIM(F4436)&amp;"":"" &amp; TRIM(B4436), ""price""),0
)"),108)</f>
        <v>108</v>
      </c>
      <c r="H4436" s="6">
        <v>124.04</v>
      </c>
      <c r="I4436" s="6">
        <f t="shared" ca="1" si="0"/>
        <v>108</v>
      </c>
      <c r="J4436" s="6">
        <f ca="1">IFERROR(__xludf.DUMMYFUNCTION("IFERROR(GOOGLEFINANCE(B4436, ""volume""), 0)"),144411)</f>
        <v>144411</v>
      </c>
      <c r="K4436" s="6">
        <v>7.02</v>
      </c>
      <c r="L4436" s="6">
        <f ca="1">IFERROR(__xludf.DUMMYFUNCTION("IFERROR(GOOGLEFINANCE(B4436,""changepct""),K4436)"),-0.33)</f>
        <v>-0.33</v>
      </c>
      <c r="M4436" s="6">
        <f ca="1">IFERROR(__xludf.DUMMYFUNCTION("IFERROR(GOOGLEFINANCE(B4436,""change""),0)"),-0.36)</f>
        <v>-0.36</v>
      </c>
      <c r="N4436" s="6">
        <v>2</v>
      </c>
      <c r="O4436" s="7">
        <v>45536</v>
      </c>
      <c r="P4436" s="6">
        <v>288.11</v>
      </c>
      <c r="Q4436" s="6">
        <v>1405.11</v>
      </c>
      <c r="R4436" s="12"/>
      <c r="S4436" s="12"/>
      <c r="T4436" s="12"/>
      <c r="U4436" s="7">
        <v>45352</v>
      </c>
      <c r="V4436" s="6">
        <v>14.64</v>
      </c>
      <c r="W4436" s="6">
        <f ca="1">IFERROR(__xludf.DUMMYFUNCTION("IFERROR(GOOGLEFINANCE(B4436,""pe""),V4436)"),24.36)</f>
        <v>24.36</v>
      </c>
      <c r="X4436" s="12"/>
      <c r="Y4436" s="6">
        <v>1.41</v>
      </c>
      <c r="Z4436" s="6">
        <v>2</v>
      </c>
      <c r="AA4436" s="8">
        <v>45352</v>
      </c>
      <c r="AB4436" s="4">
        <v>0.67</v>
      </c>
      <c r="AC4436" s="6">
        <v>22.42</v>
      </c>
      <c r="AD4436" s="6">
        <v>21.9</v>
      </c>
      <c r="AE4436" s="1">
        <v>0</v>
      </c>
      <c r="AF4436" s="1">
        <f ca="1">IFERROR(__xludf.DUMMYFUNCTION("IFERROR(GOOGLEFINANCE(TRIM(F4436)&amp;"":"" &amp; TRIM(B4436),""high52""),AE4436)"),147.29)</f>
        <v>147.29</v>
      </c>
      <c r="AG4436" s="1">
        <v>0</v>
      </c>
      <c r="AH4436" s="1">
        <f ca="1">IFERROR(__xludf.DUMMYFUNCTION("IFERROR(GOOGLEFINANCE(TRIM(F4436)&amp;"":"" &amp; TRIM(B4436),""low52""),AE4436)"),65.1)</f>
        <v>65.099999999999994</v>
      </c>
      <c r="AI4436" s="1">
        <f ca="1">IFERROR(__xludf.DUMMYFUNCTION("IFERROR(GOOGLEFINANCE(B4436,""eps""),0)"),4.43)</f>
        <v>4.43</v>
      </c>
      <c r="AJ4436" s="1"/>
      <c r="AK4436" s="1" t="s">
        <v>13429</v>
      </c>
      <c r="AL4436" s="9">
        <f t="shared" si="394"/>
        <v>1</v>
      </c>
    </row>
    <row r="4437" spans="1:38" ht="15" x14ac:dyDescent="0.25">
      <c r="A4437" s="1" t="s">
        <v>13430</v>
      </c>
      <c r="B4437" s="1" t="s">
        <v>13431</v>
      </c>
      <c r="C4437" s="1" t="s">
        <v>1410</v>
      </c>
      <c r="D4437" s="1" t="s">
        <v>1410</v>
      </c>
      <c r="E4437" s="6">
        <v>12221.5</v>
      </c>
      <c r="F4437" s="1" t="s">
        <v>40</v>
      </c>
      <c r="G4437" s="6">
        <f ca="1">IFERROR(__xludf.DUMMYFUNCTION("iferror(GOOGLEFINANCE(TRIM(F4437)&amp;"":"" &amp; TRIM(B4437), ""price""),0
)"),478.35)</f>
        <v>478.35</v>
      </c>
      <c r="H4437" s="6">
        <v>806.4</v>
      </c>
      <c r="I4437" s="6">
        <f t="shared" ca="1" si="0"/>
        <v>478.35</v>
      </c>
      <c r="J4437" s="6">
        <f ca="1">IFERROR(__xludf.DUMMYFUNCTION("IFERROR(GOOGLEFINANCE(B4437, ""volume""), 0)"),40449)</f>
        <v>40449</v>
      </c>
      <c r="K4437" s="6">
        <v>2.39</v>
      </c>
      <c r="L4437" s="6">
        <f ca="1">IFERROR(__xludf.DUMMYFUNCTION("IFERROR(GOOGLEFINANCE(B4437,""changepct""),K4437)"),-0.49)</f>
        <v>-0.49</v>
      </c>
      <c r="M4437" s="6">
        <f ca="1">IFERROR(__xludf.DUMMYFUNCTION("IFERROR(GOOGLEFINANCE(B4437,""change""),0)"),-2.35)</f>
        <v>-2.35</v>
      </c>
      <c r="N4437" s="6">
        <v>2</v>
      </c>
      <c r="O4437" s="7">
        <v>45536</v>
      </c>
      <c r="P4437" s="6">
        <v>270.07</v>
      </c>
      <c r="Q4437" s="6">
        <v>12473.26</v>
      </c>
      <c r="R4437" s="7">
        <v>45536</v>
      </c>
      <c r="S4437" s="6">
        <v>2396.87</v>
      </c>
      <c r="T4437" s="6">
        <v>21.62</v>
      </c>
      <c r="U4437" s="7">
        <v>45536</v>
      </c>
      <c r="V4437" s="6">
        <v>565.29</v>
      </c>
      <c r="W4437" s="6">
        <f ca="1">IFERROR(__xludf.DUMMYFUNCTION("IFERROR(GOOGLEFINANCE(B4437,""pe""),V4437)"),198.59)</f>
        <v>198.59</v>
      </c>
      <c r="X4437" s="6">
        <v>21.26</v>
      </c>
      <c r="Y4437" s="6">
        <v>20.55</v>
      </c>
      <c r="Z4437" s="6">
        <v>2</v>
      </c>
      <c r="AA4437" s="8">
        <v>45352</v>
      </c>
      <c r="AB4437" s="4">
        <v>0.41</v>
      </c>
      <c r="AC4437" s="6">
        <v>12.07</v>
      </c>
      <c r="AD4437" s="6">
        <v>25.69</v>
      </c>
      <c r="AE4437" s="1">
        <v>0</v>
      </c>
      <c r="AF4437" s="1">
        <f ca="1">IFERROR(__xludf.DUMMYFUNCTION("IFERROR(GOOGLEFINANCE(TRIM(F4437)&amp;"":"" &amp; TRIM(B4437),""high52""),AE4437)"),893.35)</f>
        <v>893.35</v>
      </c>
      <c r="AG4437" s="1">
        <v>0</v>
      </c>
      <c r="AH4437" s="1">
        <f ca="1">IFERROR(__xludf.DUMMYFUNCTION("IFERROR(GOOGLEFINANCE(TRIM(F4437)&amp;"":"" &amp; TRIM(B4437),""low52""),AE4437)"),464.3)</f>
        <v>464.3</v>
      </c>
      <c r="AI4437" s="1">
        <f ca="1">IFERROR(__xludf.DUMMYFUNCTION("IFERROR(GOOGLEFINANCE(B4437,""eps""),0)"),2.41)</f>
        <v>2.41</v>
      </c>
      <c r="AJ4437" s="1"/>
      <c r="AK4437" s="1" t="s">
        <v>13432</v>
      </c>
      <c r="AL4437" s="9">
        <f t="shared" si="394"/>
        <v>1</v>
      </c>
    </row>
    <row r="4438" spans="1:38" ht="15" x14ac:dyDescent="0.25">
      <c r="A4438" s="1" t="s">
        <v>13433</v>
      </c>
      <c r="B4438" s="1" t="s">
        <v>13434</v>
      </c>
      <c r="C4438" s="1" t="s">
        <v>355</v>
      </c>
      <c r="D4438" s="1" t="s">
        <v>355</v>
      </c>
      <c r="E4438" s="6">
        <v>1803.52</v>
      </c>
      <c r="F4438" s="1" t="s">
        <v>40</v>
      </c>
      <c r="G4438" s="6">
        <f ca="1">IFERROR(__xludf.DUMMYFUNCTION("iferror(GOOGLEFINANCE(TRIM(F4438)&amp;"":"" &amp; TRIM(B4438), ""price""),0
)"),779.2)</f>
        <v>779.2</v>
      </c>
      <c r="H4438" s="6">
        <v>740.55</v>
      </c>
      <c r="I4438" s="6">
        <f t="shared" ca="1" si="0"/>
        <v>779.2</v>
      </c>
      <c r="J4438" s="6">
        <f ca="1">IFERROR(__xludf.DUMMYFUNCTION("IFERROR(GOOGLEFINANCE(B4438, ""volume""), 0)"),47129)</f>
        <v>47129</v>
      </c>
      <c r="K4438" s="6">
        <v>0.37</v>
      </c>
      <c r="L4438" s="6">
        <f ca="1">IFERROR(__xludf.DUMMYFUNCTION("IFERROR(GOOGLEFINANCE(B4438,""changepct""),K4438)"),1.23)</f>
        <v>1.23</v>
      </c>
      <c r="M4438" s="6">
        <f ca="1">IFERROR(__xludf.DUMMYFUNCTION("IFERROR(GOOGLEFINANCE(B4438,""change""),0)"),9.5)</f>
        <v>9.5</v>
      </c>
      <c r="N4438" s="6">
        <v>2</v>
      </c>
      <c r="O4438" s="7">
        <v>45536</v>
      </c>
      <c r="P4438" s="6">
        <v>732.82</v>
      </c>
      <c r="Q4438" s="6">
        <v>2518.44</v>
      </c>
      <c r="R4438" s="7">
        <v>45536</v>
      </c>
      <c r="S4438" s="6">
        <v>4824.24</v>
      </c>
      <c r="T4438" s="6">
        <v>87.81</v>
      </c>
      <c r="U4438" s="7">
        <v>45536</v>
      </c>
      <c r="V4438" s="6">
        <v>18.739999999999998</v>
      </c>
      <c r="W4438" s="6">
        <f ca="1">IFERROR(__xludf.DUMMYFUNCTION("IFERROR(GOOGLEFINANCE(B4438,""pe""),V4438)"),14.09)</f>
        <v>14.09</v>
      </c>
      <c r="X4438" s="6">
        <v>-4.83</v>
      </c>
      <c r="Y4438" s="6">
        <v>2.08</v>
      </c>
      <c r="Z4438" s="6">
        <v>2</v>
      </c>
      <c r="AA4438" s="8">
        <v>45352</v>
      </c>
      <c r="AB4438" s="4">
        <v>0.9</v>
      </c>
      <c r="AC4438" s="6">
        <v>7.39</v>
      </c>
      <c r="AD4438" s="6">
        <v>12.41</v>
      </c>
      <c r="AE4438" s="1">
        <v>0</v>
      </c>
      <c r="AF4438" s="1">
        <f ca="1">IFERROR(__xludf.DUMMYFUNCTION("IFERROR(GOOGLEFINANCE(TRIM(F4438)&amp;"":"" &amp; TRIM(B4438),""high52""),AE4438)"),978.5)</f>
        <v>978.5</v>
      </c>
      <c r="AG4438" s="1">
        <v>0</v>
      </c>
      <c r="AH4438" s="1">
        <f ca="1">IFERROR(__xludf.DUMMYFUNCTION("IFERROR(GOOGLEFINANCE(TRIM(F4438)&amp;"":"" &amp; TRIM(B4438),""low52""),AE4438)"),543.6)</f>
        <v>543.6</v>
      </c>
      <c r="AI4438" s="1">
        <f ca="1">IFERROR(__xludf.DUMMYFUNCTION("IFERROR(GOOGLEFINANCE(B4438,""eps""),0)"),55.32)</f>
        <v>55.32</v>
      </c>
      <c r="AJ4438" s="1"/>
      <c r="AK4438" s="1" t="s">
        <v>13435</v>
      </c>
      <c r="AL4438" s="1" t="b">
        <f>ISNUMBER(AA4438)</f>
        <v>1</v>
      </c>
    </row>
    <row r="4439" spans="1:38" ht="15" x14ac:dyDescent="0.25">
      <c r="A4439" s="1" t="s">
        <v>13436</v>
      </c>
      <c r="B4439" s="1" t="s">
        <v>13437</v>
      </c>
      <c r="C4439" s="1" t="s">
        <v>1644</v>
      </c>
      <c r="D4439" s="1" t="s">
        <v>1644</v>
      </c>
      <c r="E4439" s="6">
        <v>10.35</v>
      </c>
      <c r="F4439" s="1" t="s">
        <v>53</v>
      </c>
      <c r="G4439" s="6">
        <f ca="1">IFERROR(__xludf.DUMMYFUNCTION("iferror(GOOGLEFINANCE(TRIM(F4439)&amp;"":"" &amp; TRIM(B4439), ""price""),0
)"),0)</f>
        <v>0</v>
      </c>
      <c r="H4439" s="6">
        <v>21.06</v>
      </c>
      <c r="I4439" s="6">
        <f t="shared" ca="1" si="0"/>
        <v>21.06</v>
      </c>
      <c r="J4439" s="6">
        <f ca="1">IFERROR(__xludf.DUMMYFUNCTION("IFERROR(GOOGLEFINANCE(B4439, ""volume""), 0)"),0)</f>
        <v>0</v>
      </c>
      <c r="K4439" s="6">
        <v>-4.2699999999999996</v>
      </c>
      <c r="L4439" s="6">
        <f ca="1">IFERROR(__xludf.DUMMYFUNCTION("IFERROR(GOOGLEFINANCE(B4439,""changepct""),K4439)"),-4.27)</f>
        <v>-4.2699999999999996</v>
      </c>
      <c r="M4439" s="6">
        <f ca="1">IFERROR(__xludf.DUMMYFUNCTION("IFERROR(GOOGLEFINANCE(B4439,""change""),0)"),0)</f>
        <v>0</v>
      </c>
      <c r="N4439" s="6">
        <v>1</v>
      </c>
      <c r="O4439" s="7">
        <v>45536</v>
      </c>
      <c r="P4439" s="6">
        <v>2.0499999999999998</v>
      </c>
      <c r="Q4439" s="6">
        <v>12.4</v>
      </c>
      <c r="R4439" s="7">
        <v>45352</v>
      </c>
      <c r="S4439" s="6">
        <v>23.46</v>
      </c>
      <c r="T4439" s="6">
        <v>0.3</v>
      </c>
      <c r="U4439" s="7">
        <v>45352</v>
      </c>
      <c r="V4439" s="6">
        <v>34.729999999999997</v>
      </c>
      <c r="W4439" s="6">
        <f ca="1">IFERROR(__xludf.DUMMYFUNCTION("IFERROR(GOOGLEFINANCE(B4439,""pe""),V4439)"),34.73)</f>
        <v>34.729999999999997</v>
      </c>
      <c r="X4439" s="12"/>
      <c r="Y4439" s="6">
        <v>1.43</v>
      </c>
      <c r="Z4439" s="6">
        <v>2</v>
      </c>
      <c r="AA4439" s="8">
        <v>45352</v>
      </c>
      <c r="AB4439" s="4">
        <v>0.1</v>
      </c>
      <c r="AC4439" s="6">
        <v>4.1100000000000003</v>
      </c>
      <c r="AD4439" s="6">
        <v>5.77</v>
      </c>
      <c r="AE4439" s="1">
        <v>0</v>
      </c>
      <c r="AF4439" s="1">
        <f ca="1">IFERROR(__xludf.DUMMYFUNCTION("IFERROR(GOOGLEFINANCE(TRIM(F4439)&amp;"":"" &amp; TRIM(B4439),""high52""),AE4439)"),0)</f>
        <v>0</v>
      </c>
      <c r="AG4439" s="1">
        <v>0</v>
      </c>
      <c r="AH4439" s="1">
        <f ca="1">IFERROR(__xludf.DUMMYFUNCTION("IFERROR(GOOGLEFINANCE(TRIM(F4439)&amp;"":"" &amp; TRIM(B4439),""low52""),AE4439)"),0)</f>
        <v>0</v>
      </c>
      <c r="AI4439" s="1">
        <f ca="1">IFERROR(__xludf.DUMMYFUNCTION("IFERROR(GOOGLEFINANCE(B4439,""eps""),0)"),0)</f>
        <v>0</v>
      </c>
      <c r="AJ4439" s="1"/>
      <c r="AK4439" s="1" t="s">
        <v>13438</v>
      </c>
      <c r="AL4439" s="9">
        <f t="shared" ref="AL4439:AL4461" si="395">IF(AA4439&lt;&gt;AB4439,1,0)</f>
        <v>1</v>
      </c>
    </row>
    <row r="4440" spans="1:38" ht="15" x14ac:dyDescent="0.25">
      <c r="A4440" s="1" t="s">
        <v>13439</v>
      </c>
      <c r="B4440" s="1" t="s">
        <v>13440</v>
      </c>
      <c r="C4440" s="1" t="s">
        <v>1265</v>
      </c>
      <c r="D4440" s="1" t="s">
        <v>1265</v>
      </c>
      <c r="E4440" s="6">
        <v>23401.51</v>
      </c>
      <c r="F4440" s="1" t="s">
        <v>40</v>
      </c>
      <c r="G4440" s="6">
        <f ca="1">IFERROR(__xludf.DUMMYFUNCTION("iferror(GOOGLEFINANCE(TRIM(F4440)&amp;"":"" &amp; TRIM(B4440), ""price""),0
)"),788)</f>
        <v>788</v>
      </c>
      <c r="H4440" s="6">
        <v>1841.5</v>
      </c>
      <c r="I4440" s="6">
        <f t="shared" ca="1" si="0"/>
        <v>788</v>
      </c>
      <c r="J4440" s="6">
        <f ca="1">IFERROR(__xludf.DUMMYFUNCTION("IFERROR(GOOGLEFINANCE(B4440, ""volume""), 0)"),514950)</f>
        <v>514950</v>
      </c>
      <c r="K4440" s="6">
        <v>-0.16</v>
      </c>
      <c r="L4440" s="6">
        <f ca="1">IFERROR(__xludf.DUMMYFUNCTION("IFERROR(GOOGLEFINANCE(B4440,""changepct""),K4440)"),1.72)</f>
        <v>1.72</v>
      </c>
      <c r="M4440" s="6">
        <f ca="1">IFERROR(__xludf.DUMMYFUNCTION("IFERROR(GOOGLEFINANCE(B4440,""change""),0)"),13.35)</f>
        <v>13.35</v>
      </c>
      <c r="N4440" s="6">
        <v>2</v>
      </c>
      <c r="O4440" s="7">
        <v>45536</v>
      </c>
      <c r="P4440" s="12"/>
      <c r="Q4440" s="6">
        <v>20956.060000000001</v>
      </c>
      <c r="R4440" s="7">
        <v>45536</v>
      </c>
      <c r="S4440" s="6">
        <v>7479.49</v>
      </c>
      <c r="T4440" s="6">
        <v>308.16000000000003</v>
      </c>
      <c r="U4440" s="7">
        <v>45536</v>
      </c>
      <c r="V4440" s="6">
        <v>77.64</v>
      </c>
      <c r="W4440" s="6">
        <f ca="1">IFERROR(__xludf.DUMMYFUNCTION("IFERROR(GOOGLEFINANCE(B4440,""pe""),V4440)"),28.54)</f>
        <v>28.54</v>
      </c>
      <c r="X4440" s="6">
        <v>-7.16</v>
      </c>
      <c r="Y4440" s="6">
        <v>6.19</v>
      </c>
      <c r="Z4440" s="6">
        <v>2</v>
      </c>
      <c r="AA4440" s="8">
        <v>45352</v>
      </c>
      <c r="AB4440" s="4">
        <v>0</v>
      </c>
      <c r="AC4440" s="6">
        <v>6.36</v>
      </c>
      <c r="AD4440" s="6">
        <v>9.36</v>
      </c>
      <c r="AE4440" s="1">
        <v>0</v>
      </c>
      <c r="AF4440" s="1">
        <f ca="1">IFERROR(__xludf.DUMMYFUNCTION("IFERROR(GOOGLEFINANCE(TRIM(F4440)&amp;"":"" &amp; TRIM(B4440),""high52""),AE4440)"),1473.8)</f>
        <v>1473.8</v>
      </c>
      <c r="AG4440" s="1">
        <v>0</v>
      </c>
      <c r="AH4440" s="1">
        <f ca="1">IFERROR(__xludf.DUMMYFUNCTION("IFERROR(GOOGLEFINANCE(TRIM(F4440)&amp;"":"" &amp; TRIM(B4440),""low52""),AE4440)"),756.85)</f>
        <v>756.85</v>
      </c>
      <c r="AI4440" s="1">
        <f ca="1">IFERROR(__xludf.DUMMYFUNCTION("IFERROR(GOOGLEFINANCE(B4440,""eps""),0)"),27.61)</f>
        <v>27.61</v>
      </c>
      <c r="AJ4440" s="1"/>
      <c r="AK4440" s="1" t="s">
        <v>13441</v>
      </c>
      <c r="AL4440" s="9">
        <f t="shared" si="395"/>
        <v>1</v>
      </c>
    </row>
    <row r="4441" spans="1:38" ht="15" x14ac:dyDescent="0.25">
      <c r="A4441" s="1" t="s">
        <v>13442</v>
      </c>
      <c r="B4441" s="1" t="s">
        <v>13443</v>
      </c>
      <c r="C4441" s="1" t="s">
        <v>208</v>
      </c>
      <c r="D4441" s="1" t="s">
        <v>208</v>
      </c>
      <c r="E4441" s="6">
        <v>42.4</v>
      </c>
      <c r="F4441" s="1" t="s">
        <v>40</v>
      </c>
      <c r="G4441" s="6">
        <f ca="1">IFERROR(__xludf.DUMMYFUNCTION("iferror(GOOGLEFINANCE(TRIM(F4441)&amp;"":"" &amp; TRIM(B4441), ""price""),0
)"),28.64)</f>
        <v>28.64</v>
      </c>
      <c r="H4441" s="6">
        <v>38.89</v>
      </c>
      <c r="I4441" s="6">
        <f t="shared" ca="1" si="0"/>
        <v>28.64</v>
      </c>
      <c r="J4441" s="6">
        <f ca="1">IFERROR(__xludf.DUMMYFUNCTION("IFERROR(GOOGLEFINANCE(B4441, ""volume""), 0)"),1783)</f>
        <v>1783</v>
      </c>
      <c r="K4441" s="6">
        <v>0.26</v>
      </c>
      <c r="L4441" s="6">
        <f ca="1">IFERROR(__xludf.DUMMYFUNCTION("IFERROR(GOOGLEFINANCE(B4441,""changepct""),K4441)"),2.47)</f>
        <v>2.4700000000000002</v>
      </c>
      <c r="M4441" s="6">
        <f ca="1">IFERROR(__xludf.DUMMYFUNCTION("IFERROR(GOOGLEFINANCE(B4441,""change""),0)"),0.69)</f>
        <v>0.69</v>
      </c>
      <c r="N4441" s="6">
        <v>2</v>
      </c>
      <c r="O4441" s="7">
        <v>45536</v>
      </c>
      <c r="P4441" s="6">
        <v>-249.77</v>
      </c>
      <c r="Q4441" s="7">
        <v>45536</v>
      </c>
      <c r="R4441" s="6">
        <v>0</v>
      </c>
      <c r="S4441" s="9"/>
      <c r="T4441" s="6">
        <v>-0.16</v>
      </c>
      <c r="U4441" s="6">
        <v>2</v>
      </c>
      <c r="V4441" s="7">
        <v>45352</v>
      </c>
      <c r="W4441" s="10">
        <f ca="1">IFERROR(__xludf.DUMMYFUNCTION("IFERROR(GOOGLEFINANCE(B4441,""pe""),V4441)"),45352)</f>
        <v>45352</v>
      </c>
      <c r="X4441" s="6">
        <v>-8.67</v>
      </c>
      <c r="Y4441" s="6">
        <v>0</v>
      </c>
      <c r="Z4441" s="6">
        <v>-7.48</v>
      </c>
      <c r="AA4441" s="3" t="s">
        <v>13444</v>
      </c>
      <c r="AB4441" s="4"/>
      <c r="AC4441" s="9"/>
      <c r="AD4441" s="9"/>
      <c r="AE4441" s="1">
        <v>0</v>
      </c>
      <c r="AF4441" s="1">
        <f ca="1">IFERROR(__xludf.DUMMYFUNCTION("IFERROR(GOOGLEFINANCE(TRIM(F4441)&amp;"":"" &amp; TRIM(B4441),""high52""),AE4441)"),41)</f>
        <v>41</v>
      </c>
      <c r="AG4441" s="1">
        <v>0</v>
      </c>
      <c r="AH4441" s="1">
        <f ca="1">IFERROR(__xludf.DUMMYFUNCTION("IFERROR(GOOGLEFINANCE(TRIM(F4441)&amp;"":"" &amp; TRIM(B4441),""low52""),AE4441)"),25.31)</f>
        <v>25.31</v>
      </c>
      <c r="AI4441" s="1">
        <f ca="1">IFERROR(__xludf.DUMMYFUNCTION("IFERROR(GOOGLEFINANCE(B4441,""eps""),0)"),-0.28)</f>
        <v>-0.28000000000000003</v>
      </c>
      <c r="AJ4441" s="1"/>
      <c r="AK4441" s="9"/>
      <c r="AL4441" s="9">
        <f t="shared" si="395"/>
        <v>1</v>
      </c>
    </row>
    <row r="4442" spans="1:38" ht="15" x14ac:dyDescent="0.25">
      <c r="A4442" s="1" t="s">
        <v>13445</v>
      </c>
      <c r="B4442" s="1" t="s">
        <v>13446</v>
      </c>
      <c r="C4442" s="1" t="s">
        <v>106</v>
      </c>
      <c r="D4442" s="1" t="s">
        <v>106</v>
      </c>
      <c r="E4442" s="6">
        <v>2139.15</v>
      </c>
      <c r="F4442" s="1" t="s">
        <v>40</v>
      </c>
      <c r="G4442" s="6">
        <f ca="1">IFERROR(__xludf.DUMMYFUNCTION("iferror(GOOGLEFINANCE(TRIM(F4442)&amp;"":"" &amp; TRIM(B4442), ""price""),0
)"),861)</f>
        <v>861</v>
      </c>
      <c r="H4442" s="6">
        <v>1019.55</v>
      </c>
      <c r="I4442" s="6">
        <f t="shared" ca="1" si="0"/>
        <v>861</v>
      </c>
      <c r="J4442" s="6">
        <f ca="1">IFERROR(__xludf.DUMMYFUNCTION("IFERROR(GOOGLEFINANCE(B4442, ""volume""), 0)"),69021)</f>
        <v>69021</v>
      </c>
      <c r="K4442" s="6">
        <v>-0.25</v>
      </c>
      <c r="L4442" s="6">
        <f ca="1">IFERROR(__xludf.DUMMYFUNCTION("IFERROR(GOOGLEFINANCE(B4442,""changepct""),K4442)"),3.62)</f>
        <v>3.62</v>
      </c>
      <c r="M4442" s="6">
        <f ca="1">IFERROR(__xludf.DUMMYFUNCTION("IFERROR(GOOGLEFINANCE(B4442,""change""),0)"),30.05)</f>
        <v>30.05</v>
      </c>
      <c r="N4442" s="6">
        <v>2</v>
      </c>
      <c r="O4442" s="7">
        <v>45536</v>
      </c>
      <c r="P4442" s="6">
        <v>15.16</v>
      </c>
      <c r="Q4442" s="6">
        <v>2122.86</v>
      </c>
      <c r="R4442" s="7">
        <v>45536</v>
      </c>
      <c r="S4442" s="6">
        <v>695.65</v>
      </c>
      <c r="T4442" s="6">
        <v>61.23</v>
      </c>
      <c r="U4442" s="7">
        <v>45536</v>
      </c>
      <c r="V4442" s="6">
        <v>34.94</v>
      </c>
      <c r="W4442" s="6">
        <f ca="1">IFERROR(__xludf.DUMMYFUNCTION("IFERROR(GOOGLEFINANCE(B4442,""pe""),V4442)"),27.09)</f>
        <v>27.09</v>
      </c>
      <c r="X4442" s="9"/>
      <c r="Y4442" s="6">
        <v>4.54</v>
      </c>
      <c r="Z4442" s="6">
        <v>2</v>
      </c>
      <c r="AA4442" s="8">
        <v>45352</v>
      </c>
      <c r="AB4442" s="4">
        <v>0</v>
      </c>
      <c r="AC4442" s="6">
        <v>13.78</v>
      </c>
      <c r="AD4442" s="6">
        <v>18.34</v>
      </c>
      <c r="AE4442" s="1">
        <v>0</v>
      </c>
      <c r="AF4442" s="1">
        <f ca="1">IFERROR(__xludf.DUMMYFUNCTION("IFERROR(GOOGLEFINANCE(TRIM(F4442)&amp;"":"" &amp; TRIM(B4442),""high52""),AE4442)"),1140)</f>
        <v>1140</v>
      </c>
      <c r="AG4442" s="1">
        <v>0</v>
      </c>
      <c r="AH4442" s="1">
        <f ca="1">IFERROR(__xludf.DUMMYFUNCTION("IFERROR(GOOGLEFINANCE(TRIM(F4442)&amp;"":"" &amp; TRIM(B4442),""low52""),AE4442)"),665.1)</f>
        <v>665.1</v>
      </c>
      <c r="AI4442" s="1">
        <f ca="1">IFERROR(__xludf.DUMMYFUNCTION("IFERROR(GOOGLEFINANCE(B4442,""eps""),0)"),31.79)</f>
        <v>31.79</v>
      </c>
      <c r="AJ4442" s="1"/>
      <c r="AK4442" s="1" t="s">
        <v>13447</v>
      </c>
      <c r="AL4442" s="9">
        <f t="shared" si="395"/>
        <v>1</v>
      </c>
    </row>
    <row r="4443" spans="1:38" ht="15" x14ac:dyDescent="0.25">
      <c r="A4443" s="1" t="s">
        <v>13448</v>
      </c>
      <c r="B4443" s="1" t="s">
        <v>13449</v>
      </c>
      <c r="C4443" s="1" t="s">
        <v>416</v>
      </c>
      <c r="D4443" s="1" t="s">
        <v>416</v>
      </c>
      <c r="E4443" s="6">
        <v>2389.17</v>
      </c>
      <c r="F4443" s="1" t="s">
        <v>40</v>
      </c>
      <c r="G4443" s="6">
        <f ca="1">IFERROR(__xludf.DUMMYFUNCTION("iferror(GOOGLEFINANCE(TRIM(F4443)&amp;"":"" &amp; TRIM(B4443), ""price""),0
)"),255)</f>
        <v>255</v>
      </c>
      <c r="H4443" s="6">
        <v>370.5</v>
      </c>
      <c r="I4443" s="6">
        <f t="shared" ca="1" si="0"/>
        <v>255</v>
      </c>
      <c r="J4443" s="6">
        <f ca="1">IFERROR(__xludf.DUMMYFUNCTION("IFERROR(GOOGLEFINANCE(B4443, ""volume""), 0)"),66847)</f>
        <v>66847</v>
      </c>
      <c r="K4443" s="6">
        <v>0.93</v>
      </c>
      <c r="L4443" s="6">
        <f ca="1">IFERROR(__xludf.DUMMYFUNCTION("IFERROR(GOOGLEFINANCE(B4443,""changepct""),K4443)"),0.24)</f>
        <v>0.24</v>
      </c>
      <c r="M4443" s="6">
        <f ca="1">IFERROR(__xludf.DUMMYFUNCTION("IFERROR(GOOGLEFINANCE(B4443,""change""),0)"),0.6)</f>
        <v>0.6</v>
      </c>
      <c r="N4443" s="6">
        <v>2</v>
      </c>
      <c r="O4443" s="7">
        <v>45536</v>
      </c>
      <c r="P4443" s="6">
        <v>10.51</v>
      </c>
      <c r="Q4443" s="6">
        <v>2394.5100000000002</v>
      </c>
      <c r="R4443" s="7">
        <v>45536</v>
      </c>
      <c r="S4443" s="6">
        <v>336.66</v>
      </c>
      <c r="T4443" s="6">
        <v>-46.57</v>
      </c>
      <c r="U4443" s="7">
        <v>45536</v>
      </c>
      <c r="V4443" s="6">
        <v>0</v>
      </c>
      <c r="W4443" s="6">
        <f ca="1">IFERROR(__xludf.DUMMYFUNCTION("IFERROR(GOOGLEFINANCE(B4443,""pe""),V4443)"),50.35)</f>
        <v>50.35</v>
      </c>
      <c r="X4443" s="12"/>
      <c r="Y4443" s="6">
        <v>10.34</v>
      </c>
      <c r="Z4443" s="6">
        <v>2</v>
      </c>
      <c r="AA4443" s="8">
        <v>45352</v>
      </c>
      <c r="AB4443" s="4">
        <v>0.13</v>
      </c>
      <c r="AC4443" s="6">
        <v>-2.82</v>
      </c>
      <c r="AD4443" s="6">
        <v>3.16</v>
      </c>
      <c r="AE4443" s="1">
        <v>0</v>
      </c>
      <c r="AF4443" s="1">
        <f ca="1">IFERROR(__xludf.DUMMYFUNCTION("IFERROR(GOOGLEFINANCE(TRIM(F4443)&amp;"":"" &amp; TRIM(B4443),""high52""),AE4443)"),409)</f>
        <v>409</v>
      </c>
      <c r="AG4443" s="1">
        <v>0</v>
      </c>
      <c r="AH4443" s="1">
        <f ca="1">IFERROR(__xludf.DUMMYFUNCTION("IFERROR(GOOGLEFINANCE(TRIM(F4443)&amp;"":"" &amp; TRIM(B4443),""low52""),AE4443)"),228.05)</f>
        <v>228.05</v>
      </c>
      <c r="AI4443" s="1">
        <f ca="1">IFERROR(__xludf.DUMMYFUNCTION("IFERROR(GOOGLEFINANCE(B4443,""eps""),0)"),5.06)</f>
        <v>5.0599999999999996</v>
      </c>
      <c r="AJ4443" s="1"/>
      <c r="AK4443" s="1" t="s">
        <v>13450</v>
      </c>
      <c r="AL4443" s="9">
        <f t="shared" si="395"/>
        <v>1</v>
      </c>
    </row>
    <row r="4444" spans="1:38" ht="15" x14ac:dyDescent="0.25">
      <c r="A4444" s="1" t="s">
        <v>13451</v>
      </c>
      <c r="B4444" s="1" t="s">
        <v>13452</v>
      </c>
      <c r="C4444" s="1" t="s">
        <v>1644</v>
      </c>
      <c r="D4444" s="1" t="s">
        <v>1644</v>
      </c>
      <c r="E4444" s="6">
        <v>66.790000000000006</v>
      </c>
      <c r="F4444" s="1" t="s">
        <v>53</v>
      </c>
      <c r="G4444" s="6">
        <f ca="1">IFERROR(__xludf.DUMMYFUNCTION("iferror(GOOGLEFINANCE(TRIM(F4444)&amp;"":"" &amp; TRIM(B4444), ""price""),0
)"),0)</f>
        <v>0</v>
      </c>
      <c r="H4444" s="6">
        <v>4.18</v>
      </c>
      <c r="I4444" s="6">
        <f t="shared" ca="1" si="0"/>
        <v>4.18</v>
      </c>
      <c r="J4444" s="6">
        <f ca="1">IFERROR(__xludf.DUMMYFUNCTION("IFERROR(GOOGLEFINANCE(B4444, ""volume""), 0)"),0)</f>
        <v>0</v>
      </c>
      <c r="K4444" s="6">
        <v>0.48</v>
      </c>
      <c r="L4444" s="6">
        <f ca="1">IFERROR(__xludf.DUMMYFUNCTION("IFERROR(GOOGLEFINANCE(B4444,""changepct""),K4444)"),0.48)</f>
        <v>0.48</v>
      </c>
      <c r="M4444" s="6">
        <f ca="1">IFERROR(__xludf.DUMMYFUNCTION("IFERROR(GOOGLEFINANCE(B4444,""change""),0)"),0)</f>
        <v>0</v>
      </c>
      <c r="N4444" s="6">
        <v>2</v>
      </c>
      <c r="O4444" s="7">
        <v>45536</v>
      </c>
      <c r="P4444" s="6">
        <v>6.41</v>
      </c>
      <c r="Q4444" s="6">
        <v>72.05</v>
      </c>
      <c r="R4444" s="7">
        <v>45536</v>
      </c>
      <c r="S4444" s="6">
        <v>36.49</v>
      </c>
      <c r="T4444" s="6">
        <v>1.1100000000000001</v>
      </c>
      <c r="U4444" s="7">
        <v>45536</v>
      </c>
      <c r="V4444" s="6">
        <v>60.23</v>
      </c>
      <c r="W4444" s="6">
        <f ca="1">IFERROR(__xludf.DUMMYFUNCTION("IFERROR(GOOGLEFINANCE(B4444,""pe""),V4444)"),60.23)</f>
        <v>60.23</v>
      </c>
      <c r="X4444" s="12"/>
      <c r="Y4444" s="6">
        <v>3.43</v>
      </c>
      <c r="Z4444" s="6">
        <v>2</v>
      </c>
      <c r="AA4444" s="8">
        <v>45352</v>
      </c>
      <c r="AB4444" s="4">
        <v>0.16</v>
      </c>
      <c r="AC4444" s="6">
        <v>6.38</v>
      </c>
      <c r="AD4444" s="6">
        <v>11.73</v>
      </c>
      <c r="AE4444" s="1">
        <v>0</v>
      </c>
      <c r="AF4444" s="1">
        <f ca="1">IFERROR(__xludf.DUMMYFUNCTION("IFERROR(GOOGLEFINANCE(TRIM(F4444)&amp;"":"" &amp; TRIM(B4444),""high52""),AE4444)"),0)</f>
        <v>0</v>
      </c>
      <c r="AG4444" s="1">
        <v>0</v>
      </c>
      <c r="AH4444" s="1">
        <f ca="1">IFERROR(__xludf.DUMMYFUNCTION("IFERROR(GOOGLEFINANCE(TRIM(F4444)&amp;"":"" &amp; TRIM(B4444),""low52""),AE4444)"),0)</f>
        <v>0</v>
      </c>
      <c r="AI4444" s="1">
        <f ca="1">IFERROR(__xludf.DUMMYFUNCTION("IFERROR(GOOGLEFINANCE(B4444,""eps""),0)"),0)</f>
        <v>0</v>
      </c>
      <c r="AJ4444" s="1"/>
      <c r="AK4444" s="1" t="s">
        <v>13453</v>
      </c>
      <c r="AL4444" s="9">
        <f t="shared" si="395"/>
        <v>1</v>
      </c>
    </row>
    <row r="4445" spans="1:38" ht="15" x14ac:dyDescent="0.25">
      <c r="A4445" s="1" t="s">
        <v>13454</v>
      </c>
      <c r="B4445" s="1" t="s">
        <v>13455</v>
      </c>
      <c r="C4445" s="1" t="s">
        <v>1644</v>
      </c>
      <c r="D4445" s="1" t="s">
        <v>1644</v>
      </c>
      <c r="E4445" s="6">
        <v>573.73</v>
      </c>
      <c r="F4445" s="1" t="s">
        <v>53</v>
      </c>
      <c r="G4445" s="6">
        <f ca="1">IFERROR(__xludf.DUMMYFUNCTION("iferror(GOOGLEFINANCE(TRIM(F4445)&amp;"":"" &amp; TRIM(B4445), ""price""),0
)"),0)</f>
        <v>0</v>
      </c>
      <c r="H4445" s="6">
        <v>721.2</v>
      </c>
      <c r="I4445" s="6">
        <f t="shared" ca="1" si="0"/>
        <v>721.2</v>
      </c>
      <c r="J4445" s="6">
        <f ca="1">IFERROR(__xludf.DUMMYFUNCTION("IFERROR(GOOGLEFINANCE(B4445, ""volume""), 0)"),0)</f>
        <v>0</v>
      </c>
      <c r="K4445" s="6">
        <v>0.49</v>
      </c>
      <c r="L4445" s="6">
        <f ca="1">IFERROR(__xludf.DUMMYFUNCTION("IFERROR(GOOGLEFINANCE(B4445,""changepct""),K4445)"),0.49)</f>
        <v>0.49</v>
      </c>
      <c r="M4445" s="6">
        <f ca="1">IFERROR(__xludf.DUMMYFUNCTION("IFERROR(GOOGLEFINANCE(B4445,""change""),0)"),0)</f>
        <v>0</v>
      </c>
      <c r="N4445" s="6">
        <v>1</v>
      </c>
      <c r="O4445" s="7">
        <v>45536</v>
      </c>
      <c r="P4445" s="9"/>
      <c r="Q4445" s="6">
        <v>534.74</v>
      </c>
      <c r="R4445" s="7">
        <v>45536</v>
      </c>
      <c r="S4445" s="6">
        <v>229.05</v>
      </c>
      <c r="T4445" s="6">
        <v>25.2</v>
      </c>
      <c r="U4445" s="7">
        <v>45536</v>
      </c>
      <c r="V4445" s="6">
        <v>22.77</v>
      </c>
      <c r="W4445" s="6">
        <f ca="1">IFERROR(__xludf.DUMMYFUNCTION("IFERROR(GOOGLEFINANCE(B4445,""pe""),V4445)"),22.77)</f>
        <v>22.77</v>
      </c>
      <c r="X4445" s="6">
        <v>0.43</v>
      </c>
      <c r="Y4445" s="6">
        <v>3.77</v>
      </c>
      <c r="Z4445" s="6">
        <v>1</v>
      </c>
      <c r="AA4445" s="8">
        <v>45352</v>
      </c>
      <c r="AB4445" s="4">
        <v>0</v>
      </c>
      <c r="AC4445" s="6">
        <v>16.940000000000001</v>
      </c>
      <c r="AD4445" s="6">
        <v>23.38</v>
      </c>
      <c r="AE4445" s="1">
        <v>0</v>
      </c>
      <c r="AF4445" s="1">
        <f ca="1">IFERROR(__xludf.DUMMYFUNCTION("IFERROR(GOOGLEFINANCE(TRIM(F4445)&amp;"":"" &amp; TRIM(B4445),""high52""),AE4445)"),0)</f>
        <v>0</v>
      </c>
      <c r="AG4445" s="1">
        <v>0</v>
      </c>
      <c r="AH4445" s="1">
        <f ca="1">IFERROR(__xludf.DUMMYFUNCTION("IFERROR(GOOGLEFINANCE(TRIM(F4445)&amp;"":"" &amp; TRIM(B4445),""low52""),AE4445)"),0)</f>
        <v>0</v>
      </c>
      <c r="AI4445" s="1">
        <f ca="1">IFERROR(__xludf.DUMMYFUNCTION("IFERROR(GOOGLEFINANCE(B4445,""eps""),0)"),0)</f>
        <v>0</v>
      </c>
      <c r="AJ4445" s="1"/>
      <c r="AK4445" s="1" t="s">
        <v>13456</v>
      </c>
      <c r="AL4445" s="9">
        <f t="shared" si="395"/>
        <v>1</v>
      </c>
    </row>
    <row r="4446" spans="1:38" ht="15" x14ac:dyDescent="0.25">
      <c r="A4446" s="1" t="s">
        <v>13457</v>
      </c>
      <c r="B4446" s="1" t="s">
        <v>13458</v>
      </c>
      <c r="C4446" s="1" t="s">
        <v>1644</v>
      </c>
      <c r="D4446" s="1" t="s">
        <v>1644</v>
      </c>
      <c r="E4446" s="6">
        <v>80.400000000000006</v>
      </c>
      <c r="F4446" s="1" t="s">
        <v>53</v>
      </c>
      <c r="G4446" s="6">
        <f ca="1">IFERROR(__xludf.DUMMYFUNCTION("iferror(GOOGLEFINANCE(TRIM(F4446)&amp;"":"" &amp; TRIM(B4446), ""price""),0
)"),0)</f>
        <v>0</v>
      </c>
      <c r="H4446" s="6">
        <v>3.82</v>
      </c>
      <c r="I4446" s="6">
        <f t="shared" ca="1" si="0"/>
        <v>3.82</v>
      </c>
      <c r="J4446" s="6">
        <f ca="1">IFERROR(__xludf.DUMMYFUNCTION("IFERROR(GOOGLEFINANCE(B4446, ""volume""), 0)"),0)</f>
        <v>0</v>
      </c>
      <c r="K4446" s="6">
        <v>-4.9800000000000004</v>
      </c>
      <c r="L4446" s="6">
        <f ca="1">IFERROR(__xludf.DUMMYFUNCTION("IFERROR(GOOGLEFINANCE(B4446,""changepct""),K4446)"),-4.98)</f>
        <v>-4.9800000000000004</v>
      </c>
      <c r="M4446" s="6">
        <f ca="1">IFERROR(__xludf.DUMMYFUNCTION("IFERROR(GOOGLEFINANCE(B4446,""change""),0)"),0)</f>
        <v>0</v>
      </c>
      <c r="N4446" s="6">
        <v>1</v>
      </c>
      <c r="O4446" s="7">
        <v>45536</v>
      </c>
      <c r="P4446" s="12"/>
      <c r="Q4446" s="6">
        <v>80.400000000000006</v>
      </c>
      <c r="R4446" s="7">
        <v>45536</v>
      </c>
      <c r="S4446" s="6">
        <v>4.93</v>
      </c>
      <c r="T4446" s="6">
        <v>0.16</v>
      </c>
      <c r="U4446" s="7">
        <v>45536</v>
      </c>
      <c r="V4446" s="6">
        <v>502.5</v>
      </c>
      <c r="W4446" s="6">
        <f ca="1">IFERROR(__xludf.DUMMYFUNCTION("IFERROR(GOOGLEFINANCE(B4446,""pe""),V4446)"),502.5)</f>
        <v>502.5</v>
      </c>
      <c r="X4446" s="6">
        <v>28.98</v>
      </c>
      <c r="Y4446" s="6">
        <v>2.33</v>
      </c>
      <c r="Z4446" s="6">
        <v>1</v>
      </c>
      <c r="AA4446" s="8">
        <v>45352</v>
      </c>
      <c r="AB4446" s="4">
        <v>1.19</v>
      </c>
      <c r="AC4446" s="6">
        <v>1.07</v>
      </c>
      <c r="AD4446" s="6">
        <v>6.41</v>
      </c>
      <c r="AE4446" s="1">
        <v>0</v>
      </c>
      <c r="AF4446" s="1">
        <f ca="1">IFERROR(__xludf.DUMMYFUNCTION("IFERROR(GOOGLEFINANCE(TRIM(F4446)&amp;"":"" &amp; TRIM(B4446),""high52""),AE4446)"),0)</f>
        <v>0</v>
      </c>
      <c r="AG4446" s="1">
        <v>0</v>
      </c>
      <c r="AH4446" s="1">
        <f ca="1">IFERROR(__xludf.DUMMYFUNCTION("IFERROR(GOOGLEFINANCE(TRIM(F4446)&amp;"":"" &amp; TRIM(B4446),""low52""),AE4446)"),0)</f>
        <v>0</v>
      </c>
      <c r="AI4446" s="1">
        <f ca="1">IFERROR(__xludf.DUMMYFUNCTION("IFERROR(GOOGLEFINANCE(B4446,""eps""),0)"),0)</f>
        <v>0</v>
      </c>
      <c r="AJ4446" s="1"/>
      <c r="AK4446" s="1" t="s">
        <v>13459</v>
      </c>
      <c r="AL4446" s="9">
        <f t="shared" si="395"/>
        <v>1</v>
      </c>
    </row>
    <row r="4447" spans="1:38" ht="15" x14ac:dyDescent="0.25">
      <c r="A4447" s="1" t="s">
        <v>13460</v>
      </c>
      <c r="B4447" s="1" t="s">
        <v>13461</v>
      </c>
      <c r="C4447" s="1" t="s">
        <v>159</v>
      </c>
      <c r="D4447" s="1" t="s">
        <v>159</v>
      </c>
      <c r="E4447" s="6">
        <v>68.98</v>
      </c>
      <c r="F4447" s="1" t="s">
        <v>40</v>
      </c>
      <c r="G4447" s="6">
        <f ca="1">IFERROR(__xludf.DUMMYFUNCTION("iferror(GOOGLEFINANCE(TRIM(F4447)&amp;"":"" &amp; TRIM(B4447), ""price""),0
)"),0)</f>
        <v>0</v>
      </c>
      <c r="H4447" s="6">
        <v>317.89999999999998</v>
      </c>
      <c r="I4447" s="6">
        <f t="shared" ca="1" si="0"/>
        <v>317.89999999999998</v>
      </c>
      <c r="J4447" s="6">
        <f ca="1">IFERROR(__xludf.DUMMYFUNCTION("IFERROR(GOOGLEFINANCE(B4447, ""volume""), 0)"),0)</f>
        <v>0</v>
      </c>
      <c r="K4447" s="12"/>
      <c r="L4447" s="6" t="str">
        <f ca="1">IFERROR(__xludf.DUMMYFUNCTION("IFERROR(GOOGLEFINANCE(B4447,""changepct""),K4447)"),"")</f>
        <v/>
      </c>
      <c r="M4447" s="6">
        <f ca="1">IFERROR(__xludf.DUMMYFUNCTION("IFERROR(GOOGLEFINANCE(B4447,""change""),0)"),0)</f>
        <v>0</v>
      </c>
      <c r="N4447" s="6">
        <v>1</v>
      </c>
      <c r="O4447" s="7">
        <v>45536</v>
      </c>
      <c r="P4447" s="6">
        <v>0.36</v>
      </c>
      <c r="Q4447" s="6">
        <v>69.349999999999994</v>
      </c>
      <c r="R4447" s="12"/>
      <c r="S4447" s="12"/>
      <c r="T4447" s="12"/>
      <c r="U4447" s="7">
        <v>45352</v>
      </c>
      <c r="V4447" s="6">
        <v>175.67</v>
      </c>
      <c r="W4447" s="6">
        <f ca="1">IFERROR(__xludf.DUMMYFUNCTION("IFERROR(GOOGLEFINANCE(B4447,""pe""),V4447)"),175.67)</f>
        <v>175.67</v>
      </c>
      <c r="X4447" s="12"/>
      <c r="Y4447" s="6">
        <v>6.03</v>
      </c>
      <c r="Z4447" s="6">
        <v>1</v>
      </c>
      <c r="AA4447" s="8">
        <v>45352</v>
      </c>
      <c r="AB4447" s="4">
        <v>0.9</v>
      </c>
      <c r="AC4447" s="6">
        <v>18.600000000000001</v>
      </c>
      <c r="AD4447" s="6">
        <v>16.54</v>
      </c>
      <c r="AE4447" s="1">
        <v>0</v>
      </c>
      <c r="AF4447" s="1">
        <f ca="1">IFERROR(__xludf.DUMMYFUNCTION("IFERROR(GOOGLEFINANCE(TRIM(F4447)&amp;"":"" &amp; TRIM(B4447),""high52""),AE4447)"),0)</f>
        <v>0</v>
      </c>
      <c r="AG4447" s="1">
        <v>0</v>
      </c>
      <c r="AH4447" s="1">
        <f ca="1">IFERROR(__xludf.DUMMYFUNCTION("IFERROR(GOOGLEFINANCE(TRIM(F4447)&amp;"":"" &amp; TRIM(B4447),""low52""),AE4447)"),0)</f>
        <v>0</v>
      </c>
      <c r="AI4447" s="1">
        <f ca="1">IFERROR(__xludf.DUMMYFUNCTION("IFERROR(GOOGLEFINANCE(B4447,""eps""),0)"),0)</f>
        <v>0</v>
      </c>
      <c r="AJ4447" s="1"/>
      <c r="AK4447" s="1" t="s">
        <v>13462</v>
      </c>
      <c r="AL4447" s="9">
        <f t="shared" si="395"/>
        <v>1</v>
      </c>
    </row>
    <row r="4448" spans="1:38" ht="15" x14ac:dyDescent="0.25">
      <c r="A4448" s="1" t="s">
        <v>13463</v>
      </c>
      <c r="B4448" s="1" t="s">
        <v>13464</v>
      </c>
      <c r="C4448" s="1" t="s">
        <v>1644</v>
      </c>
      <c r="D4448" s="1" t="s">
        <v>1644</v>
      </c>
      <c r="E4448" s="6">
        <v>101.91</v>
      </c>
      <c r="F4448" s="1" t="s">
        <v>53</v>
      </c>
      <c r="G4448" s="6">
        <f ca="1">IFERROR(__xludf.DUMMYFUNCTION("iferror(GOOGLEFINANCE(TRIM(F4448)&amp;"":"" &amp; TRIM(B4448), ""price""),0
)"),0)</f>
        <v>0</v>
      </c>
      <c r="H4448" s="6">
        <v>33.200000000000003</v>
      </c>
      <c r="I4448" s="6">
        <f t="shared" ca="1" si="0"/>
        <v>33.200000000000003</v>
      </c>
      <c r="J4448" s="6">
        <f ca="1">IFERROR(__xludf.DUMMYFUNCTION("IFERROR(GOOGLEFINANCE(B4448, ""volume""), 0)"),0)</f>
        <v>0</v>
      </c>
      <c r="K4448" s="6">
        <v>3.78</v>
      </c>
      <c r="L4448" s="6">
        <f ca="1">IFERROR(__xludf.DUMMYFUNCTION("IFERROR(GOOGLEFINANCE(B4448,""changepct""),K4448)"),3.78)</f>
        <v>3.78</v>
      </c>
      <c r="M4448" s="6">
        <f ca="1">IFERROR(__xludf.DUMMYFUNCTION("IFERROR(GOOGLEFINANCE(B4448,""change""),0)"),0)</f>
        <v>0</v>
      </c>
      <c r="N4448" s="6">
        <v>2</v>
      </c>
      <c r="O4448" s="7">
        <v>45536</v>
      </c>
      <c r="P4448" s="6">
        <v>18.809999999999999</v>
      </c>
      <c r="Q4448" s="6">
        <v>65.680000000000007</v>
      </c>
      <c r="R4448" s="7">
        <v>45536</v>
      </c>
      <c r="S4448" s="6">
        <v>1788.67</v>
      </c>
      <c r="T4448" s="6">
        <v>-1.91</v>
      </c>
      <c r="U4448" s="7">
        <v>45536</v>
      </c>
      <c r="V4448" s="6">
        <v>11.15</v>
      </c>
      <c r="W4448" s="6">
        <f ca="1">IFERROR(__xludf.DUMMYFUNCTION("IFERROR(GOOGLEFINANCE(B4448,""pe""),V4448)"),11.15)</f>
        <v>11.15</v>
      </c>
      <c r="X4448" s="6">
        <v>0.75</v>
      </c>
      <c r="Y4448" s="6">
        <v>1.54</v>
      </c>
      <c r="Z4448" s="6">
        <v>2</v>
      </c>
      <c r="AA4448" s="8">
        <v>45352</v>
      </c>
      <c r="AB4448" s="4">
        <v>0.35</v>
      </c>
      <c r="AC4448" s="6">
        <v>0.11</v>
      </c>
      <c r="AD4448" s="6">
        <v>6.03</v>
      </c>
      <c r="AE4448" s="1">
        <v>0</v>
      </c>
      <c r="AF4448" s="1">
        <f ca="1">IFERROR(__xludf.DUMMYFUNCTION("IFERROR(GOOGLEFINANCE(TRIM(F4448)&amp;"":"" &amp; TRIM(B4448),""high52""),AE4448)"),0)</f>
        <v>0</v>
      </c>
      <c r="AG4448" s="1">
        <v>0</v>
      </c>
      <c r="AH4448" s="1">
        <f ca="1">IFERROR(__xludf.DUMMYFUNCTION("IFERROR(GOOGLEFINANCE(TRIM(F4448)&amp;"":"" &amp; TRIM(B4448),""low52""),AE4448)"),0)</f>
        <v>0</v>
      </c>
      <c r="AI4448" s="1">
        <f ca="1">IFERROR(__xludf.DUMMYFUNCTION("IFERROR(GOOGLEFINANCE(B4448,""eps""),0)"),0)</f>
        <v>0</v>
      </c>
      <c r="AJ4448" s="1"/>
      <c r="AK4448" s="1" t="s">
        <v>13465</v>
      </c>
      <c r="AL4448" s="9">
        <f t="shared" si="395"/>
        <v>1</v>
      </c>
    </row>
    <row r="4449" spans="1:38" ht="15" x14ac:dyDescent="0.25">
      <c r="A4449" s="1" t="s">
        <v>13466</v>
      </c>
      <c r="B4449" s="1" t="s">
        <v>13467</v>
      </c>
      <c r="C4449" s="1" t="s">
        <v>1644</v>
      </c>
      <c r="D4449" s="1" t="s">
        <v>1644</v>
      </c>
      <c r="E4449" s="6">
        <v>24.03</v>
      </c>
      <c r="F4449" s="1" t="s">
        <v>53</v>
      </c>
      <c r="G4449" s="6">
        <f ca="1">IFERROR(__xludf.DUMMYFUNCTION("iferror(GOOGLEFINANCE(TRIM(F4449)&amp;"":"" &amp; TRIM(B4449), ""price""),0
)"),0)</f>
        <v>0</v>
      </c>
      <c r="H4449" s="6">
        <v>81.38</v>
      </c>
      <c r="I4449" s="6">
        <f t="shared" ca="1" si="0"/>
        <v>81.38</v>
      </c>
      <c r="J4449" s="6">
        <f ca="1">IFERROR(__xludf.DUMMYFUNCTION("IFERROR(GOOGLEFINANCE(B4449, ""volume""), 0)"),0)</f>
        <v>0</v>
      </c>
      <c r="K4449" s="6">
        <v>4.99</v>
      </c>
      <c r="L4449" s="6">
        <f ca="1">IFERROR(__xludf.DUMMYFUNCTION("IFERROR(GOOGLEFINANCE(B4449,""changepct""),K4449)"),4.99)</f>
        <v>4.99</v>
      </c>
      <c r="M4449" s="6">
        <f ca="1">IFERROR(__xludf.DUMMYFUNCTION("IFERROR(GOOGLEFINANCE(B4449,""change""),0)"),0)</f>
        <v>0</v>
      </c>
      <c r="N4449" s="6">
        <v>1</v>
      </c>
      <c r="O4449" s="7">
        <v>45536</v>
      </c>
      <c r="P4449" s="6">
        <v>0.59</v>
      </c>
      <c r="Q4449" s="6">
        <v>23.13</v>
      </c>
      <c r="R4449" s="7">
        <v>45536</v>
      </c>
      <c r="S4449" s="6">
        <v>5.74</v>
      </c>
      <c r="T4449" s="6">
        <v>0.5</v>
      </c>
      <c r="U4449" s="7">
        <v>45536</v>
      </c>
      <c r="V4449" s="6">
        <v>48.25</v>
      </c>
      <c r="W4449" s="6">
        <f ca="1">IFERROR(__xludf.DUMMYFUNCTION("IFERROR(GOOGLEFINANCE(B4449,""pe""),V4449)"),48.25)</f>
        <v>48.25</v>
      </c>
      <c r="X4449" s="6">
        <v>3.31</v>
      </c>
      <c r="Y4449" s="6">
        <v>5.8</v>
      </c>
      <c r="Z4449" s="6">
        <v>1</v>
      </c>
      <c r="AA4449" s="8">
        <v>45352</v>
      </c>
      <c r="AB4449" s="4">
        <v>0.14000000000000001</v>
      </c>
      <c r="AC4449" s="6">
        <v>12.69</v>
      </c>
      <c r="AD4449" s="6">
        <v>16.86</v>
      </c>
      <c r="AE4449" s="1">
        <v>0</v>
      </c>
      <c r="AF4449" s="1">
        <f ca="1">IFERROR(__xludf.DUMMYFUNCTION("IFERROR(GOOGLEFINANCE(TRIM(F4449)&amp;"":"" &amp; TRIM(B4449),""high52""),AE4449)"),0)</f>
        <v>0</v>
      </c>
      <c r="AG4449" s="1">
        <v>0</v>
      </c>
      <c r="AH4449" s="1">
        <f ca="1">IFERROR(__xludf.DUMMYFUNCTION("IFERROR(GOOGLEFINANCE(TRIM(F4449)&amp;"":"" &amp; TRIM(B4449),""low52""),AE4449)"),0)</f>
        <v>0</v>
      </c>
      <c r="AI4449" s="1">
        <f ca="1">IFERROR(__xludf.DUMMYFUNCTION("IFERROR(GOOGLEFINANCE(B4449,""eps""),0)"),0)</f>
        <v>0</v>
      </c>
      <c r="AJ4449" s="1"/>
      <c r="AK4449" s="1" t="s">
        <v>13468</v>
      </c>
      <c r="AL4449" s="9">
        <f t="shared" si="395"/>
        <v>1</v>
      </c>
    </row>
    <row r="4450" spans="1:38" ht="15" x14ac:dyDescent="0.25">
      <c r="A4450" s="1" t="s">
        <v>13469</v>
      </c>
      <c r="B4450" s="1" t="s">
        <v>13470</v>
      </c>
      <c r="C4450" s="1" t="s">
        <v>1663</v>
      </c>
      <c r="D4450" s="1" t="s">
        <v>1663</v>
      </c>
      <c r="E4450" s="6">
        <v>317.51</v>
      </c>
      <c r="F4450" s="1" t="s">
        <v>40</v>
      </c>
      <c r="G4450" s="6">
        <f ca="1">IFERROR(__xludf.DUMMYFUNCTION("iferror(GOOGLEFINANCE(TRIM(F4450)&amp;"":"" &amp; TRIM(B4450), ""price""),0
)"),0)</f>
        <v>0</v>
      </c>
      <c r="H4450" s="6">
        <v>273.5</v>
      </c>
      <c r="I4450" s="6">
        <f t="shared" ca="1" si="0"/>
        <v>273.5</v>
      </c>
      <c r="J4450" s="6">
        <f ca="1">IFERROR(__xludf.DUMMYFUNCTION("IFERROR(GOOGLEFINANCE(B4450, ""volume""), 0)"),0)</f>
        <v>0</v>
      </c>
      <c r="K4450" s="6">
        <v>-0.64</v>
      </c>
      <c r="L4450" s="6">
        <f ca="1">IFERROR(__xludf.DUMMYFUNCTION("IFERROR(GOOGLEFINANCE(B4450,""changepct""),K4450)"),-0.64)</f>
        <v>-0.64</v>
      </c>
      <c r="M4450" s="6">
        <f ca="1">IFERROR(__xludf.DUMMYFUNCTION("IFERROR(GOOGLEFINANCE(B4450,""change""),0)"),0)</f>
        <v>0</v>
      </c>
      <c r="N4450" s="6">
        <v>1</v>
      </c>
      <c r="O4450" s="7">
        <v>45536</v>
      </c>
      <c r="P4450" s="6">
        <v>10.02</v>
      </c>
      <c r="Q4450" s="6">
        <v>327.52999999999997</v>
      </c>
      <c r="R4450" s="7">
        <v>45352</v>
      </c>
      <c r="S4450" s="6">
        <v>75.16</v>
      </c>
      <c r="T4450" s="6">
        <v>8.68</v>
      </c>
      <c r="U4450" s="7">
        <v>45352</v>
      </c>
      <c r="V4450" s="6">
        <v>36.58</v>
      </c>
      <c r="W4450" s="6">
        <f ca="1">IFERROR(__xludf.DUMMYFUNCTION("IFERROR(GOOGLEFINANCE(B4450,""pe""),V4450)"),36.58)</f>
        <v>36.58</v>
      </c>
      <c r="X4450" s="12"/>
      <c r="Y4450" s="6">
        <v>7.83</v>
      </c>
      <c r="Z4450" s="6">
        <v>2</v>
      </c>
      <c r="AA4450" s="8">
        <v>45352</v>
      </c>
      <c r="AB4450" s="4">
        <v>0.56000000000000005</v>
      </c>
      <c r="AC4450" s="6">
        <v>68.89</v>
      </c>
      <c r="AD4450" s="6">
        <v>54.22</v>
      </c>
      <c r="AE4450" s="1">
        <v>0</v>
      </c>
      <c r="AF4450" s="1">
        <f ca="1">IFERROR(__xludf.DUMMYFUNCTION("IFERROR(GOOGLEFINANCE(TRIM(F4450)&amp;"":"" &amp; TRIM(B4450),""high52""),AE4450)"),0)</f>
        <v>0</v>
      </c>
      <c r="AG4450" s="1">
        <v>0</v>
      </c>
      <c r="AH4450" s="1">
        <f ca="1">IFERROR(__xludf.DUMMYFUNCTION("IFERROR(GOOGLEFINANCE(TRIM(F4450)&amp;"":"" &amp; TRIM(B4450),""low52""),AE4450)"),0)</f>
        <v>0</v>
      </c>
      <c r="AI4450" s="1">
        <f ca="1">IFERROR(__xludf.DUMMYFUNCTION("IFERROR(GOOGLEFINANCE(B4450,""eps""),0)"),0)</f>
        <v>0</v>
      </c>
      <c r="AJ4450" s="1"/>
      <c r="AK4450" s="1" t="s">
        <v>13471</v>
      </c>
      <c r="AL4450" s="9">
        <f t="shared" si="395"/>
        <v>1</v>
      </c>
    </row>
    <row r="4451" spans="1:38" ht="15" x14ac:dyDescent="0.25">
      <c r="A4451" s="1" t="s">
        <v>13472</v>
      </c>
      <c r="B4451" s="1" t="s">
        <v>13473</v>
      </c>
      <c r="C4451" s="1" t="s">
        <v>1644</v>
      </c>
      <c r="D4451" s="1" t="s">
        <v>1644</v>
      </c>
      <c r="E4451" s="6">
        <v>26.57</v>
      </c>
      <c r="F4451" s="1" t="s">
        <v>53</v>
      </c>
      <c r="G4451" s="6">
        <f ca="1">IFERROR(__xludf.DUMMYFUNCTION("iferror(GOOGLEFINANCE(TRIM(F4451)&amp;"":"" &amp; TRIM(B4451), ""price""),0
)"),0)</f>
        <v>0</v>
      </c>
      <c r="H4451" s="6">
        <v>84.06</v>
      </c>
      <c r="I4451" s="6">
        <f t="shared" ca="1" si="0"/>
        <v>84.06</v>
      </c>
      <c r="J4451" s="6">
        <f ca="1">IFERROR(__xludf.DUMMYFUNCTION("IFERROR(GOOGLEFINANCE(B4451, ""volume""), 0)"),0)</f>
        <v>0</v>
      </c>
      <c r="K4451" s="9"/>
      <c r="L4451" s="6" t="str">
        <f ca="1">IFERROR(__xludf.DUMMYFUNCTION("IFERROR(GOOGLEFINANCE(B4451,""changepct""),K4451)"),"")</f>
        <v/>
      </c>
      <c r="M4451" s="6">
        <f ca="1">IFERROR(__xludf.DUMMYFUNCTION("IFERROR(GOOGLEFINANCE(B4451,""change""),0)"),0)</f>
        <v>0</v>
      </c>
      <c r="N4451" s="6">
        <v>1</v>
      </c>
      <c r="O4451" s="7">
        <v>45536</v>
      </c>
      <c r="P4451" s="6">
        <v>0.04</v>
      </c>
      <c r="Q4451" s="6">
        <v>26.61</v>
      </c>
      <c r="R4451" s="14"/>
      <c r="S4451" s="9"/>
      <c r="T4451" s="9"/>
      <c r="U4451" s="7">
        <v>45352</v>
      </c>
      <c r="V4451" s="6">
        <v>23.74</v>
      </c>
      <c r="W4451" s="6">
        <f ca="1">IFERROR(__xludf.DUMMYFUNCTION("IFERROR(GOOGLEFINANCE(B4451,""pe""),V4451)"),23.74)</f>
        <v>23.74</v>
      </c>
      <c r="X4451" s="9"/>
      <c r="Y4451" s="6">
        <v>2.74</v>
      </c>
      <c r="Z4451" s="6">
        <v>1</v>
      </c>
      <c r="AA4451" s="8">
        <v>45352</v>
      </c>
      <c r="AB4451" s="4">
        <v>0.02</v>
      </c>
      <c r="AC4451" s="6">
        <v>53.38</v>
      </c>
      <c r="AD4451" s="6">
        <v>72</v>
      </c>
      <c r="AE4451" s="1">
        <v>0</v>
      </c>
      <c r="AF4451" s="1">
        <f ca="1">IFERROR(__xludf.DUMMYFUNCTION("IFERROR(GOOGLEFINANCE(TRIM(F4451)&amp;"":"" &amp; TRIM(B4451),""high52""),AE4451)"),0)</f>
        <v>0</v>
      </c>
      <c r="AG4451" s="1">
        <v>0</v>
      </c>
      <c r="AH4451" s="1">
        <f ca="1">IFERROR(__xludf.DUMMYFUNCTION("IFERROR(GOOGLEFINANCE(TRIM(F4451)&amp;"":"" &amp; TRIM(B4451),""low52""),AE4451)"),0)</f>
        <v>0</v>
      </c>
      <c r="AI4451" s="1">
        <f ca="1">IFERROR(__xludf.DUMMYFUNCTION("IFERROR(GOOGLEFINANCE(B4451,""eps""),0)"),0)</f>
        <v>0</v>
      </c>
      <c r="AJ4451" s="1"/>
      <c r="AK4451" s="1" t="s">
        <v>13474</v>
      </c>
      <c r="AL4451" s="9">
        <f t="shared" si="395"/>
        <v>1</v>
      </c>
    </row>
    <row r="4452" spans="1:38" ht="15" x14ac:dyDescent="0.25">
      <c r="A4452" s="1" t="s">
        <v>13475</v>
      </c>
      <c r="B4452" s="1" t="s">
        <v>13476</v>
      </c>
      <c r="C4452" s="1" t="s">
        <v>1644</v>
      </c>
      <c r="D4452" s="1" t="s">
        <v>1644</v>
      </c>
      <c r="E4452" s="6">
        <v>102.65</v>
      </c>
      <c r="F4452" s="1" t="s">
        <v>53</v>
      </c>
      <c r="G4452" s="6">
        <f ca="1">IFERROR(__xludf.DUMMYFUNCTION("iferror(GOOGLEFINANCE(TRIM(F4452)&amp;"":"" &amp; TRIM(B4452), ""price""),0
)"),0)</f>
        <v>0</v>
      </c>
      <c r="H4452" s="6">
        <v>89.85</v>
      </c>
      <c r="I4452" s="6">
        <f t="shared" ca="1" si="0"/>
        <v>89.85</v>
      </c>
      <c r="J4452" s="6">
        <f ca="1">IFERROR(__xludf.DUMMYFUNCTION("IFERROR(GOOGLEFINANCE(B4452, ""volume""), 0)"),0)</f>
        <v>0</v>
      </c>
      <c r="K4452" s="6">
        <v>-1.94</v>
      </c>
      <c r="L4452" s="6">
        <f ca="1">IFERROR(__xludf.DUMMYFUNCTION("IFERROR(GOOGLEFINANCE(B4452,""changepct""),K4452)"),-1.94)</f>
        <v>-1.94</v>
      </c>
      <c r="M4452" s="6">
        <f ca="1">IFERROR(__xludf.DUMMYFUNCTION("IFERROR(GOOGLEFINANCE(B4452,""change""),0)"),0)</f>
        <v>0</v>
      </c>
      <c r="N4452" s="6">
        <v>1</v>
      </c>
      <c r="O4452" s="7">
        <v>45536</v>
      </c>
      <c r="P4452" s="6">
        <v>9.4600000000000009</v>
      </c>
      <c r="Q4452" s="6">
        <v>112.11</v>
      </c>
      <c r="R4452" s="14"/>
      <c r="S4452" s="9"/>
      <c r="T4452" s="9"/>
      <c r="U4452" s="7">
        <v>45352</v>
      </c>
      <c r="V4452" s="6">
        <v>34.61</v>
      </c>
      <c r="W4452" s="6">
        <f ca="1">IFERROR(__xludf.DUMMYFUNCTION("IFERROR(GOOGLEFINANCE(B4452,""pe""),V4452)"),34.61)</f>
        <v>34.61</v>
      </c>
      <c r="X4452" s="9"/>
      <c r="Y4452" s="6">
        <v>3.8</v>
      </c>
      <c r="Z4452" s="6">
        <v>1</v>
      </c>
      <c r="AA4452" s="8">
        <v>45352</v>
      </c>
      <c r="AB4452" s="4">
        <v>0.32</v>
      </c>
      <c r="AC4452" s="6">
        <v>26.72</v>
      </c>
      <c r="AD4452" s="6">
        <v>29.56</v>
      </c>
      <c r="AE4452" s="1">
        <v>0</v>
      </c>
      <c r="AF4452" s="1">
        <f ca="1">IFERROR(__xludf.DUMMYFUNCTION("IFERROR(GOOGLEFINANCE(TRIM(F4452)&amp;"":"" &amp; TRIM(B4452),""high52""),AE4452)"),0)</f>
        <v>0</v>
      </c>
      <c r="AG4452" s="1">
        <v>0</v>
      </c>
      <c r="AH4452" s="1">
        <f ca="1">IFERROR(__xludf.DUMMYFUNCTION("IFERROR(GOOGLEFINANCE(TRIM(F4452)&amp;"":"" &amp; TRIM(B4452),""low52""),AE4452)"),0)</f>
        <v>0</v>
      </c>
      <c r="AI4452" s="1">
        <f ca="1">IFERROR(__xludf.DUMMYFUNCTION("IFERROR(GOOGLEFINANCE(B4452,""eps""),0)"),0)</f>
        <v>0</v>
      </c>
      <c r="AJ4452" s="1"/>
      <c r="AK4452" s="1" t="s">
        <v>13477</v>
      </c>
      <c r="AL4452" s="9">
        <f t="shared" si="395"/>
        <v>1</v>
      </c>
    </row>
    <row r="4453" spans="1:38" ht="15" x14ac:dyDescent="0.25">
      <c r="A4453" s="1" t="s">
        <v>13478</v>
      </c>
      <c r="B4453" s="1" t="s">
        <v>13479</v>
      </c>
      <c r="C4453" s="1" t="s">
        <v>706</v>
      </c>
      <c r="D4453" s="1" t="s">
        <v>706</v>
      </c>
      <c r="E4453" s="6">
        <v>24.04</v>
      </c>
      <c r="F4453" s="1" t="s">
        <v>40</v>
      </c>
      <c r="G4453" s="6">
        <f ca="1">IFERROR(__xludf.DUMMYFUNCTION("iferror(GOOGLEFINANCE(TRIM(F4453)&amp;"":"" &amp; TRIM(B4453), ""price""),0
)"),1.64)</f>
        <v>1.64</v>
      </c>
      <c r="H4453" s="6">
        <v>3.38</v>
      </c>
      <c r="I4453" s="6">
        <f t="shared" ca="1" si="0"/>
        <v>1.64</v>
      </c>
      <c r="J4453" s="6">
        <f ca="1">IFERROR(__xludf.DUMMYFUNCTION("IFERROR(GOOGLEFINANCE(B4453, ""volume""), 0)"),7664)</f>
        <v>7664</v>
      </c>
      <c r="K4453" s="6">
        <v>-2.0299999999999998</v>
      </c>
      <c r="L4453" s="6">
        <f ca="1">IFERROR(__xludf.DUMMYFUNCTION("IFERROR(GOOGLEFINANCE(B4453,""changepct""),K4453)"),-1.8)</f>
        <v>-1.8</v>
      </c>
      <c r="M4453" s="6">
        <f ca="1">IFERROR(__xludf.DUMMYFUNCTION("IFERROR(GOOGLEFINANCE(B4453,""change""),0)"),-0.03)</f>
        <v>-0.03</v>
      </c>
      <c r="N4453" s="6">
        <v>1</v>
      </c>
      <c r="O4453" s="7">
        <v>45352</v>
      </c>
      <c r="P4453" s="6">
        <v>556.58000000000004</v>
      </c>
      <c r="Q4453" s="6">
        <v>579.13</v>
      </c>
      <c r="R4453" s="7">
        <v>45352</v>
      </c>
      <c r="S4453" s="6">
        <v>25.43</v>
      </c>
      <c r="T4453" s="6">
        <v>-10.93</v>
      </c>
      <c r="U4453" s="7">
        <v>45352</v>
      </c>
      <c r="V4453" s="6">
        <v>0</v>
      </c>
      <c r="W4453" s="6">
        <f ca="1">IFERROR(__xludf.DUMMYFUNCTION("IFERROR(GOOGLEFINANCE(B4453,""pe""),V4453)"),0)</f>
        <v>0</v>
      </c>
      <c r="X4453" s="6">
        <v>0</v>
      </c>
      <c r="Y4453" s="6">
        <v>-0.06</v>
      </c>
      <c r="Z4453" s="6">
        <v>2</v>
      </c>
      <c r="AA4453" s="8">
        <v>44986</v>
      </c>
      <c r="AB4453" s="4">
        <v>-1.36</v>
      </c>
      <c r="AC4453" s="6">
        <v>0</v>
      </c>
      <c r="AD4453" s="6">
        <v>-16.34</v>
      </c>
      <c r="AE4453" s="1">
        <v>0</v>
      </c>
      <c r="AF4453" s="1">
        <f ca="1">IFERROR(__xludf.DUMMYFUNCTION("IFERROR(GOOGLEFINANCE(TRIM(F4453)&amp;"":"" &amp; TRIM(B4453),""high52""),AE4453)"),2.75)</f>
        <v>2.75</v>
      </c>
      <c r="AG4453" s="1">
        <v>0</v>
      </c>
      <c r="AH4453" s="1">
        <f ca="1">IFERROR(__xludf.DUMMYFUNCTION("IFERROR(GOOGLEFINANCE(TRIM(F4453)&amp;"":"" &amp; TRIM(B4453),""low52""),AE4453)"),1.58)</f>
        <v>1.58</v>
      </c>
      <c r="AI4453" s="1">
        <f ca="1">IFERROR(__xludf.DUMMYFUNCTION("IFERROR(GOOGLEFINANCE(B4453,""eps""),0)"),-2.45)</f>
        <v>-2.4500000000000002</v>
      </c>
      <c r="AJ4453" s="1"/>
      <c r="AK4453" s="1" t="s">
        <v>13480</v>
      </c>
      <c r="AL4453" s="9">
        <f t="shared" si="395"/>
        <v>1</v>
      </c>
    </row>
    <row r="4454" spans="1:38" ht="15" x14ac:dyDescent="0.25">
      <c r="A4454" s="1" t="s">
        <v>13481</v>
      </c>
      <c r="B4454" s="1" t="s">
        <v>13482</v>
      </c>
      <c r="C4454" s="1" t="s">
        <v>1682</v>
      </c>
      <c r="D4454" s="1" t="s">
        <v>1682</v>
      </c>
      <c r="E4454" s="6">
        <v>26.87</v>
      </c>
      <c r="F4454" s="1" t="s">
        <v>53</v>
      </c>
      <c r="G4454" s="6">
        <f ca="1">IFERROR(__xludf.DUMMYFUNCTION("iferror(GOOGLEFINANCE(TRIM(F4454)&amp;"":"" &amp; TRIM(B4454), ""price""),0
)"),0)</f>
        <v>0</v>
      </c>
      <c r="H4454" s="6">
        <v>11.56</v>
      </c>
      <c r="I4454" s="6">
        <f t="shared" ca="1" si="0"/>
        <v>11.56</v>
      </c>
      <c r="J4454" s="6">
        <f ca="1">IFERROR(__xludf.DUMMYFUNCTION("IFERROR(GOOGLEFINANCE(B4454, ""volume""), 0)"),0)</f>
        <v>0</v>
      </c>
      <c r="K4454" s="6">
        <v>0</v>
      </c>
      <c r="L4454" s="6">
        <f ca="1">IFERROR(__xludf.DUMMYFUNCTION("IFERROR(GOOGLEFINANCE(B4454,""changepct""),K4454)"),0)</f>
        <v>0</v>
      </c>
      <c r="M4454" s="6">
        <f ca="1">IFERROR(__xludf.DUMMYFUNCTION("IFERROR(GOOGLEFINANCE(B4454,""change""),0)"),0)</f>
        <v>0</v>
      </c>
      <c r="N4454" s="6">
        <v>1</v>
      </c>
      <c r="O4454" s="7">
        <v>45536</v>
      </c>
      <c r="P4454" s="9"/>
      <c r="Q4454" s="6">
        <v>26.87</v>
      </c>
      <c r="R4454" s="7">
        <v>45352</v>
      </c>
      <c r="S4454" s="6">
        <v>31.33</v>
      </c>
      <c r="T4454" s="6">
        <v>0.69</v>
      </c>
      <c r="U4454" s="7">
        <v>45352</v>
      </c>
      <c r="V4454" s="6">
        <v>38.99</v>
      </c>
      <c r="W4454" s="6">
        <f ca="1">IFERROR(__xludf.DUMMYFUNCTION("IFERROR(GOOGLEFINANCE(B4454,""pe""),V4454)"),38.99)</f>
        <v>38.99</v>
      </c>
      <c r="X4454" s="9"/>
      <c r="Y4454" s="6">
        <v>0.34</v>
      </c>
      <c r="Z4454" s="6">
        <v>2</v>
      </c>
      <c r="AA4454" s="8">
        <v>45352</v>
      </c>
      <c r="AB4454" s="4">
        <v>0</v>
      </c>
      <c r="AC4454" s="6">
        <v>1.08</v>
      </c>
      <c r="AD4454" s="6">
        <v>1.44</v>
      </c>
      <c r="AE4454" s="1">
        <v>0</v>
      </c>
      <c r="AF4454" s="1">
        <f ca="1">IFERROR(__xludf.DUMMYFUNCTION("IFERROR(GOOGLEFINANCE(TRIM(F4454)&amp;"":"" &amp; TRIM(B4454),""high52""),AE4454)"),0)</f>
        <v>0</v>
      </c>
      <c r="AG4454" s="1">
        <v>0</v>
      </c>
      <c r="AH4454" s="1">
        <f ca="1">IFERROR(__xludf.DUMMYFUNCTION("IFERROR(GOOGLEFINANCE(TRIM(F4454)&amp;"":"" &amp; TRIM(B4454),""low52""),AE4454)"),0)</f>
        <v>0</v>
      </c>
      <c r="AI4454" s="1">
        <f ca="1">IFERROR(__xludf.DUMMYFUNCTION("IFERROR(GOOGLEFINANCE(B4454,""eps""),0)"),0)</f>
        <v>0</v>
      </c>
      <c r="AJ4454" s="1"/>
      <c r="AK4454" s="1" t="s">
        <v>13483</v>
      </c>
      <c r="AL4454" s="9">
        <f t="shared" si="395"/>
        <v>1</v>
      </c>
    </row>
    <row r="4455" spans="1:38" ht="15" x14ac:dyDescent="0.25">
      <c r="A4455" s="1" t="s">
        <v>13484</v>
      </c>
      <c r="B4455" s="1" t="s">
        <v>13485</v>
      </c>
      <c r="C4455" s="1" t="s">
        <v>57</v>
      </c>
      <c r="D4455" s="1" t="s">
        <v>57</v>
      </c>
      <c r="E4455" s="6">
        <v>317898.31</v>
      </c>
      <c r="F4455" s="1" t="s">
        <v>40</v>
      </c>
      <c r="G4455" s="6">
        <f ca="1">IFERROR(__xludf.DUMMYFUNCTION("iferror(GOOGLEFINANCE(TRIM(F4455)&amp;"":"" &amp; TRIM(B4455), ""price""),0
)"),242.5)</f>
        <v>242.5</v>
      </c>
      <c r="H4455" s="6">
        <v>298.5</v>
      </c>
      <c r="I4455" s="6">
        <f t="shared" ca="1" si="0"/>
        <v>242.5</v>
      </c>
      <c r="J4455" s="6">
        <f ca="1">IFERROR(__xludf.DUMMYFUNCTION("IFERROR(GOOGLEFINANCE(B4455, ""volume""), 0)"),12335721)</f>
        <v>12335721</v>
      </c>
      <c r="K4455" s="6">
        <v>-1.74</v>
      </c>
      <c r="L4455" s="6">
        <f ca="1">IFERROR(__xludf.DUMMYFUNCTION("IFERROR(GOOGLEFINANCE(B4455,""changepct""),K4455)"),0.29)</f>
        <v>0.28999999999999998</v>
      </c>
      <c r="M4455" s="6">
        <f ca="1">IFERROR(__xludf.DUMMYFUNCTION("IFERROR(GOOGLEFINANCE(B4455,""change""),0)"),0.7)</f>
        <v>0.7</v>
      </c>
      <c r="N4455" s="6">
        <v>2</v>
      </c>
      <c r="O4455" s="7">
        <v>45536</v>
      </c>
      <c r="P4455" s="6">
        <v>16581</v>
      </c>
      <c r="Q4455" s="6">
        <v>334479.3</v>
      </c>
      <c r="R4455" s="7">
        <v>45536</v>
      </c>
      <c r="S4455" s="6">
        <v>88678.8</v>
      </c>
      <c r="T4455" s="6">
        <v>11846.8</v>
      </c>
      <c r="U4455" s="7">
        <v>45536</v>
      </c>
      <c r="V4455" s="6">
        <v>27.08</v>
      </c>
      <c r="W4455" s="6">
        <f ca="1">IFERROR(__xludf.DUMMYFUNCTION("IFERROR(GOOGLEFINANCE(B4455,""pe""),V4455)"),19.19)</f>
        <v>19.190000000000001</v>
      </c>
      <c r="X4455" s="6">
        <v>6.49</v>
      </c>
      <c r="Y4455" s="6">
        <v>3.86</v>
      </c>
      <c r="Z4455" s="6">
        <v>2</v>
      </c>
      <c r="AA4455" s="8">
        <v>45352</v>
      </c>
      <c r="AB4455" s="4">
        <v>0.19</v>
      </c>
      <c r="AC4455" s="6">
        <v>14.72</v>
      </c>
      <c r="AD4455" s="6">
        <v>17.62</v>
      </c>
      <c r="AE4455" s="1">
        <v>0</v>
      </c>
      <c r="AF4455" s="1">
        <f ca="1">IFERROR(__xludf.DUMMYFUNCTION("IFERROR(GOOGLEFINANCE(TRIM(F4455)&amp;"":"" &amp; TRIM(B4455),""high52""),AE4455)"),323.6)</f>
        <v>323.60000000000002</v>
      </c>
      <c r="AG4455" s="1">
        <v>0</v>
      </c>
      <c r="AH4455" s="1">
        <f ca="1">IFERROR(__xludf.DUMMYFUNCTION("IFERROR(GOOGLEFINANCE(TRIM(F4455)&amp;"":"" &amp; TRIM(B4455),""low52""),AE4455)"),228)</f>
        <v>228</v>
      </c>
      <c r="AI4455" s="1">
        <f ca="1">IFERROR(__xludf.DUMMYFUNCTION("IFERROR(GOOGLEFINANCE(B4455,""eps""),0)"),12.63)</f>
        <v>12.63</v>
      </c>
      <c r="AJ4455" s="1"/>
      <c r="AK4455" s="1" t="s">
        <v>13486</v>
      </c>
      <c r="AL4455" s="9">
        <f t="shared" si="395"/>
        <v>1</v>
      </c>
    </row>
    <row r="4456" spans="1:38" ht="15" x14ac:dyDescent="0.25">
      <c r="A4456" s="1" t="s">
        <v>13487</v>
      </c>
      <c r="B4456" s="1" t="s">
        <v>13488</v>
      </c>
      <c r="C4456" s="1" t="s">
        <v>1644</v>
      </c>
      <c r="D4456" s="1" t="s">
        <v>1644</v>
      </c>
      <c r="E4456" s="6">
        <v>393.97</v>
      </c>
      <c r="F4456" s="1" t="s">
        <v>40</v>
      </c>
      <c r="G4456" s="6">
        <f ca="1">IFERROR(__xludf.DUMMYFUNCTION("iferror(GOOGLEFINANCE(TRIM(F4456)&amp;"":"" &amp; TRIM(B4456), ""price""),0
)"),0)</f>
        <v>0</v>
      </c>
      <c r="H4456" s="6">
        <v>166.4</v>
      </c>
      <c r="I4456" s="6">
        <f t="shared" ca="1" si="0"/>
        <v>166.4</v>
      </c>
      <c r="J4456" s="6">
        <f ca="1">IFERROR(__xludf.DUMMYFUNCTION("IFERROR(GOOGLEFINANCE(B4456, ""volume""), 0)"),0)</f>
        <v>0</v>
      </c>
      <c r="K4456" s="6">
        <v>0.56999999999999995</v>
      </c>
      <c r="L4456" s="6">
        <f ca="1">IFERROR(__xludf.DUMMYFUNCTION("IFERROR(GOOGLEFINANCE(B4456,""changepct""),K4456)"),0.57)</f>
        <v>0.56999999999999995</v>
      </c>
      <c r="M4456" s="6">
        <f ca="1">IFERROR(__xludf.DUMMYFUNCTION("IFERROR(GOOGLEFINANCE(B4456,""change""),0)"),0)</f>
        <v>0</v>
      </c>
      <c r="N4456" s="6">
        <v>1</v>
      </c>
      <c r="O4456" s="7">
        <v>45536</v>
      </c>
      <c r="P4456" s="6">
        <v>48.79</v>
      </c>
      <c r="Q4456" s="6">
        <v>442.76</v>
      </c>
      <c r="R4456" s="7">
        <v>45352</v>
      </c>
      <c r="S4456" s="6">
        <v>409.91</v>
      </c>
      <c r="T4456" s="6">
        <v>24.18</v>
      </c>
      <c r="U4456" s="7">
        <v>45352</v>
      </c>
      <c r="V4456" s="6">
        <v>16.29</v>
      </c>
      <c r="W4456" s="6">
        <f ca="1">IFERROR(__xludf.DUMMYFUNCTION("IFERROR(GOOGLEFINANCE(B4456,""pe""),V4456)"),16.29)</f>
        <v>16.29</v>
      </c>
      <c r="X4456" s="12"/>
      <c r="Y4456" s="6">
        <v>2.63</v>
      </c>
      <c r="Z4456" s="6">
        <v>2</v>
      </c>
      <c r="AA4456" s="8">
        <v>45352</v>
      </c>
      <c r="AB4456" s="4">
        <v>0.18</v>
      </c>
      <c r="AC4456" s="6">
        <v>24.54</v>
      </c>
      <c r="AD4456" s="6">
        <v>28.69</v>
      </c>
      <c r="AE4456" s="1">
        <v>0</v>
      </c>
      <c r="AF4456" s="1">
        <f ca="1">IFERROR(__xludf.DUMMYFUNCTION("IFERROR(GOOGLEFINANCE(TRIM(F4456)&amp;"":"" &amp; TRIM(B4456),""high52""),AE4456)"),0)</f>
        <v>0</v>
      </c>
      <c r="AG4456" s="1">
        <v>0</v>
      </c>
      <c r="AH4456" s="1">
        <f ca="1">IFERROR(__xludf.DUMMYFUNCTION("IFERROR(GOOGLEFINANCE(TRIM(F4456)&amp;"":"" &amp; TRIM(B4456),""low52""),AE4456)"),0)</f>
        <v>0</v>
      </c>
      <c r="AI4456" s="1">
        <f ca="1">IFERROR(__xludf.DUMMYFUNCTION("IFERROR(GOOGLEFINANCE(B4456,""eps""),0)"),0)</f>
        <v>0</v>
      </c>
      <c r="AJ4456" s="1"/>
      <c r="AK4456" s="1" t="s">
        <v>13489</v>
      </c>
      <c r="AL4456" s="9">
        <f t="shared" si="395"/>
        <v>1</v>
      </c>
    </row>
    <row r="4457" spans="1:38" ht="15" x14ac:dyDescent="0.25">
      <c r="A4457" s="1" t="s">
        <v>13490</v>
      </c>
      <c r="B4457" s="1" t="s">
        <v>13491</v>
      </c>
      <c r="C4457" s="1" t="s">
        <v>106</v>
      </c>
      <c r="D4457" s="1" t="s">
        <v>106</v>
      </c>
      <c r="E4457" s="6">
        <v>23489.439999999999</v>
      </c>
      <c r="F4457" s="1" t="s">
        <v>40</v>
      </c>
      <c r="G4457" s="6">
        <f ca="1">IFERROR(__xludf.DUMMYFUNCTION("iferror(GOOGLEFINANCE(TRIM(F4457)&amp;"":"" &amp; TRIM(B4457), ""price""),0
)"),1320.9)</f>
        <v>1320.9</v>
      </c>
      <c r="H4457" s="6">
        <v>1518.25</v>
      </c>
      <c r="I4457" s="6">
        <f t="shared" ca="1" si="0"/>
        <v>1320.9</v>
      </c>
      <c r="J4457" s="6">
        <f ca="1">IFERROR(__xludf.DUMMYFUNCTION("IFERROR(GOOGLEFINANCE(B4457, ""volume""), 0)"),571159)</f>
        <v>571159</v>
      </c>
      <c r="K4457" s="6">
        <v>4.96</v>
      </c>
      <c r="L4457" s="6">
        <f ca="1">IFERROR(__xludf.DUMMYFUNCTION("IFERROR(GOOGLEFINANCE(B4457,""changepct""),K4457)"),-2.43)</f>
        <v>-2.4300000000000002</v>
      </c>
      <c r="M4457" s="6">
        <f ca="1">IFERROR(__xludf.DUMMYFUNCTION("IFERROR(GOOGLEFINANCE(B4457,""change""),0)"),-32.9)</f>
        <v>-32.9</v>
      </c>
      <c r="N4457" s="6">
        <v>2</v>
      </c>
      <c r="O4457" s="7">
        <v>45536</v>
      </c>
      <c r="P4457" s="6">
        <v>2154</v>
      </c>
      <c r="Q4457" s="6">
        <v>25468.44</v>
      </c>
      <c r="R4457" s="7">
        <v>45536</v>
      </c>
      <c r="S4457" s="6">
        <v>2949</v>
      </c>
      <c r="T4457" s="6">
        <v>-295</v>
      </c>
      <c r="U4457" s="7">
        <v>45536</v>
      </c>
      <c r="V4457" s="6">
        <v>0</v>
      </c>
      <c r="W4457" s="6">
        <f ca="1">IFERROR(__xludf.DUMMYFUNCTION("IFERROR(GOOGLEFINANCE(B4457,""pe""),V4457)"),0)</f>
        <v>0</v>
      </c>
      <c r="X4457" s="12"/>
      <c r="Y4457" s="6">
        <v>5.34</v>
      </c>
      <c r="Z4457" s="6">
        <v>2</v>
      </c>
      <c r="AA4457" s="8">
        <v>45352</v>
      </c>
      <c r="AB4457" s="4">
        <v>0.63</v>
      </c>
      <c r="AC4457" s="6">
        <v>-14.12</v>
      </c>
      <c r="AD4457" s="6">
        <v>-2.15</v>
      </c>
      <c r="AE4457" s="1">
        <v>0</v>
      </c>
      <c r="AF4457" s="1">
        <f ca="1">IFERROR(__xludf.DUMMYFUNCTION("IFERROR(GOOGLEFINANCE(TRIM(F4457)&amp;"":"" &amp; TRIM(B4457),""high52""),AE4457)"),1868.8)</f>
        <v>1868.8</v>
      </c>
      <c r="AG4457" s="1">
        <v>0</v>
      </c>
      <c r="AH4457" s="1">
        <f ca="1">IFERROR(__xludf.DUMMYFUNCTION("IFERROR(GOOGLEFINANCE(TRIM(F4457)&amp;"":"" &amp; TRIM(B4457),""low52""),AE4457)"),1110.05)</f>
        <v>1110.05</v>
      </c>
      <c r="AI4457" s="1">
        <f ca="1">IFERROR(__xludf.DUMMYFUNCTION("IFERROR(GOOGLEFINANCE(B4457,""eps""),0)"),-1.38)</f>
        <v>-1.38</v>
      </c>
      <c r="AJ4457" s="1"/>
      <c r="AK4457" s="9"/>
      <c r="AL4457" s="9">
        <f t="shared" si="395"/>
        <v>1</v>
      </c>
    </row>
    <row r="4458" spans="1:38" ht="15" x14ac:dyDescent="0.25">
      <c r="A4458" s="1" t="s">
        <v>13492</v>
      </c>
      <c r="B4458" s="1" t="s">
        <v>13493</v>
      </c>
      <c r="C4458" s="1" t="s">
        <v>778</v>
      </c>
      <c r="D4458" s="1" t="s">
        <v>778</v>
      </c>
      <c r="E4458" s="6">
        <v>92.91</v>
      </c>
      <c r="F4458" s="1" t="s">
        <v>40</v>
      </c>
      <c r="G4458" s="6">
        <f ca="1">IFERROR(__xludf.DUMMYFUNCTION("iferror(GOOGLEFINANCE(TRIM(F4458)&amp;"":"" &amp; TRIM(B4458), ""price""),0
)"),0)</f>
        <v>0</v>
      </c>
      <c r="H4458" s="6">
        <v>141</v>
      </c>
      <c r="I4458" s="6">
        <f t="shared" ca="1" si="0"/>
        <v>141</v>
      </c>
      <c r="J4458" s="6">
        <f ca="1">IFERROR(__xludf.DUMMYFUNCTION("IFERROR(GOOGLEFINANCE(B4458, ""volume""), 0)"),0)</f>
        <v>0</v>
      </c>
      <c r="K4458" s="6">
        <v>-2.08</v>
      </c>
      <c r="L4458" s="6">
        <f ca="1">IFERROR(__xludf.DUMMYFUNCTION("IFERROR(GOOGLEFINANCE(B4458,""changepct""),K4458)"),-2.08)</f>
        <v>-2.08</v>
      </c>
      <c r="M4458" s="6">
        <f ca="1">IFERROR(__xludf.DUMMYFUNCTION("IFERROR(GOOGLEFINANCE(B4458,""change""),0)"),0)</f>
        <v>0</v>
      </c>
      <c r="N4458" s="6">
        <v>1</v>
      </c>
      <c r="O4458" s="7">
        <v>45536</v>
      </c>
      <c r="P4458" s="6">
        <v>5.98</v>
      </c>
      <c r="Q4458" s="6">
        <v>98.89</v>
      </c>
      <c r="R4458" s="14"/>
      <c r="S4458" s="9"/>
      <c r="T4458" s="9"/>
      <c r="U4458" s="7">
        <v>45352</v>
      </c>
      <c r="V4458" s="6">
        <v>18.46</v>
      </c>
      <c r="W4458" s="6">
        <f ca="1">IFERROR(__xludf.DUMMYFUNCTION("IFERROR(GOOGLEFINANCE(B4458,""pe""),V4458)"),18.46)</f>
        <v>18.46</v>
      </c>
      <c r="X4458" s="12"/>
      <c r="Y4458" s="6">
        <v>2.4500000000000002</v>
      </c>
      <c r="Z4458" s="6">
        <v>1</v>
      </c>
      <c r="AA4458" s="8">
        <v>45352</v>
      </c>
      <c r="AB4458" s="4">
        <v>0.54</v>
      </c>
      <c r="AC4458" s="6">
        <v>61.83</v>
      </c>
      <c r="AD4458" s="6">
        <v>50.23</v>
      </c>
      <c r="AE4458" s="1">
        <v>0</v>
      </c>
      <c r="AF4458" s="1">
        <f ca="1">IFERROR(__xludf.DUMMYFUNCTION("IFERROR(GOOGLEFINANCE(TRIM(F4458)&amp;"":"" &amp; TRIM(B4458),""high52""),AE4458)"),0)</f>
        <v>0</v>
      </c>
      <c r="AG4458" s="1">
        <v>0</v>
      </c>
      <c r="AH4458" s="1">
        <f ca="1">IFERROR(__xludf.DUMMYFUNCTION("IFERROR(GOOGLEFINANCE(TRIM(F4458)&amp;"":"" &amp; TRIM(B4458),""low52""),AE4458)"),0)</f>
        <v>0</v>
      </c>
      <c r="AI4458" s="1">
        <f ca="1">IFERROR(__xludf.DUMMYFUNCTION("IFERROR(GOOGLEFINANCE(B4458,""eps""),0)"),0)</f>
        <v>0</v>
      </c>
      <c r="AJ4458" s="1"/>
      <c r="AK4458" s="1" t="s">
        <v>13494</v>
      </c>
      <c r="AL4458" s="9">
        <f t="shared" si="395"/>
        <v>1</v>
      </c>
    </row>
    <row r="4459" spans="1:38" ht="15" x14ac:dyDescent="0.25">
      <c r="A4459" s="1" t="s">
        <v>13495</v>
      </c>
      <c r="B4459" s="1" t="s">
        <v>13496</v>
      </c>
      <c r="C4459" s="1" t="s">
        <v>359</v>
      </c>
      <c r="D4459" s="1" t="s">
        <v>359</v>
      </c>
      <c r="E4459" s="6">
        <v>193.23</v>
      </c>
      <c r="F4459" s="1" t="s">
        <v>40</v>
      </c>
      <c r="G4459" s="6">
        <f ca="1">IFERROR(__xludf.DUMMYFUNCTION("iferror(GOOGLEFINANCE(TRIM(F4459)&amp;"":"" &amp; TRIM(B4459), ""price""),0
)"),0)</f>
        <v>0</v>
      </c>
      <c r="H4459" s="6">
        <v>398.15</v>
      </c>
      <c r="I4459" s="6">
        <f t="shared" ca="1" si="0"/>
        <v>398.15</v>
      </c>
      <c r="J4459" s="6">
        <f ca="1">IFERROR(__xludf.DUMMYFUNCTION("IFERROR(GOOGLEFINANCE(B4459, ""volume""), 0)"),0)</f>
        <v>0</v>
      </c>
      <c r="K4459" s="6">
        <v>2</v>
      </c>
      <c r="L4459" s="6">
        <f ca="1">IFERROR(__xludf.DUMMYFUNCTION("IFERROR(GOOGLEFINANCE(B4459,""changepct""),K4459)"),2)</f>
        <v>2</v>
      </c>
      <c r="M4459" s="6">
        <f ca="1">IFERROR(__xludf.DUMMYFUNCTION("IFERROR(GOOGLEFINANCE(B4459,""change""),0)"),0)</f>
        <v>0</v>
      </c>
      <c r="N4459" s="6">
        <v>1</v>
      </c>
      <c r="O4459" s="7">
        <v>45536</v>
      </c>
      <c r="P4459" s="6">
        <v>16.260000000000002</v>
      </c>
      <c r="Q4459" s="6">
        <v>209.49</v>
      </c>
      <c r="R4459" s="7">
        <v>45352</v>
      </c>
      <c r="S4459" s="6">
        <v>23.42</v>
      </c>
      <c r="T4459" s="6">
        <v>1.45</v>
      </c>
      <c r="U4459" s="7">
        <v>45352</v>
      </c>
      <c r="V4459" s="6">
        <v>132.97999999999999</v>
      </c>
      <c r="W4459" s="6">
        <f ca="1">IFERROR(__xludf.DUMMYFUNCTION("IFERROR(GOOGLEFINANCE(B4459,""pe""),V4459)"),132.98)</f>
        <v>132.97999999999999</v>
      </c>
      <c r="X4459" s="9"/>
      <c r="Y4459" s="6">
        <v>7.77</v>
      </c>
      <c r="Z4459" s="6">
        <v>2</v>
      </c>
      <c r="AA4459" s="8">
        <v>45352</v>
      </c>
      <c r="AB4459" s="4">
        <v>0.4</v>
      </c>
      <c r="AC4459" s="6">
        <v>28.89</v>
      </c>
      <c r="AD4459" s="6">
        <v>27.88</v>
      </c>
      <c r="AE4459" s="1">
        <v>0</v>
      </c>
      <c r="AF4459" s="1">
        <f ca="1">IFERROR(__xludf.DUMMYFUNCTION("IFERROR(GOOGLEFINANCE(TRIM(F4459)&amp;"":"" &amp; TRIM(B4459),""high52""),AE4459)"),0)</f>
        <v>0</v>
      </c>
      <c r="AG4459" s="1">
        <v>0</v>
      </c>
      <c r="AH4459" s="1">
        <f ca="1">IFERROR(__xludf.DUMMYFUNCTION("IFERROR(GOOGLEFINANCE(TRIM(F4459)&amp;"":"" &amp; TRIM(B4459),""low52""),AE4459)"),0)</f>
        <v>0</v>
      </c>
      <c r="AI4459" s="1">
        <f ca="1">IFERROR(__xludf.DUMMYFUNCTION("IFERROR(GOOGLEFINANCE(B4459,""eps""),0)"),0)</f>
        <v>0</v>
      </c>
      <c r="AJ4459" s="1"/>
      <c r="AK4459" s="1" t="s">
        <v>13497</v>
      </c>
      <c r="AL4459" s="9">
        <f t="shared" si="395"/>
        <v>1</v>
      </c>
    </row>
    <row r="4460" spans="1:38" ht="15" x14ac:dyDescent="0.25">
      <c r="A4460" s="1" t="s">
        <v>13498</v>
      </c>
      <c r="B4460" s="1" t="s">
        <v>13499</v>
      </c>
      <c r="C4460" s="1" t="s">
        <v>1682</v>
      </c>
      <c r="D4460" s="1" t="s">
        <v>1682</v>
      </c>
      <c r="E4460" s="6">
        <v>46.47</v>
      </c>
      <c r="F4460" s="1" t="s">
        <v>53</v>
      </c>
      <c r="G4460" s="6">
        <f ca="1">IFERROR(__xludf.DUMMYFUNCTION("iferror(GOOGLEFINANCE(TRIM(F4460)&amp;"":"" &amp; TRIM(B4460), ""price""),0
)"),0)</f>
        <v>0</v>
      </c>
      <c r="H4460" s="6">
        <v>28.68</v>
      </c>
      <c r="I4460" s="6">
        <f t="shared" ca="1" si="0"/>
        <v>28.68</v>
      </c>
      <c r="J4460" s="6">
        <f ca="1">IFERROR(__xludf.DUMMYFUNCTION("IFERROR(GOOGLEFINANCE(B4460, ""volume""), 0)"),0)</f>
        <v>0</v>
      </c>
      <c r="K4460" s="6">
        <v>4.9800000000000004</v>
      </c>
      <c r="L4460" s="6">
        <f ca="1">IFERROR(__xludf.DUMMYFUNCTION("IFERROR(GOOGLEFINANCE(B4460,""changepct""),K4460)"),4.98)</f>
        <v>4.9800000000000004</v>
      </c>
      <c r="M4460" s="6">
        <f ca="1">IFERROR(__xludf.DUMMYFUNCTION("IFERROR(GOOGLEFINANCE(B4460,""change""),0)"),0)</f>
        <v>0</v>
      </c>
      <c r="N4460" s="6">
        <v>1</v>
      </c>
      <c r="O4460" s="7">
        <v>45536</v>
      </c>
      <c r="P4460" s="9"/>
      <c r="Q4460" s="6">
        <v>46.47</v>
      </c>
      <c r="R4460" s="7">
        <v>45536</v>
      </c>
      <c r="S4460" s="6">
        <v>0.72</v>
      </c>
      <c r="T4460" s="6">
        <v>-9.6999999999999993</v>
      </c>
      <c r="U4460" s="7">
        <v>45536</v>
      </c>
      <c r="V4460" s="6">
        <v>0</v>
      </c>
      <c r="W4460" s="6">
        <f ca="1">IFERROR(__xludf.DUMMYFUNCTION("IFERROR(GOOGLEFINANCE(B4460,""pe""),V4460)"),0)</f>
        <v>0</v>
      </c>
      <c r="X4460" s="9"/>
      <c r="Y4460" s="6">
        <v>2.2999999999999998</v>
      </c>
      <c r="Z4460" s="6">
        <v>2</v>
      </c>
      <c r="AA4460" s="8">
        <v>44986</v>
      </c>
      <c r="AB4460" s="4">
        <v>0</v>
      </c>
      <c r="AC4460" s="6">
        <v>-1.62</v>
      </c>
      <c r="AD4460" s="6">
        <v>-0.03</v>
      </c>
      <c r="AE4460" s="1">
        <v>0</v>
      </c>
      <c r="AF4460" s="1">
        <f ca="1">IFERROR(__xludf.DUMMYFUNCTION("IFERROR(GOOGLEFINANCE(TRIM(F4460)&amp;"":"" &amp; TRIM(B4460),""high52""),AE4460)"),0)</f>
        <v>0</v>
      </c>
      <c r="AG4460" s="1">
        <v>0</v>
      </c>
      <c r="AH4460" s="1">
        <f ca="1">IFERROR(__xludf.DUMMYFUNCTION("IFERROR(GOOGLEFINANCE(TRIM(F4460)&amp;"":"" &amp; TRIM(B4460),""low52""),AE4460)"),0)</f>
        <v>0</v>
      </c>
      <c r="AI4460" s="1">
        <f ca="1">IFERROR(__xludf.DUMMYFUNCTION("IFERROR(GOOGLEFINANCE(B4460,""eps""),0)"),0)</f>
        <v>0</v>
      </c>
      <c r="AJ4460" s="1"/>
      <c r="AK4460" s="1" t="s">
        <v>13500</v>
      </c>
      <c r="AL4460" s="9">
        <f t="shared" si="395"/>
        <v>1</v>
      </c>
    </row>
    <row r="4461" spans="1:38" ht="15" x14ac:dyDescent="0.25">
      <c r="A4461" s="1" t="s">
        <v>13501</v>
      </c>
      <c r="B4461" s="1" t="s">
        <v>13502</v>
      </c>
      <c r="C4461" s="1" t="s">
        <v>860</v>
      </c>
      <c r="D4461" s="1" t="s">
        <v>860</v>
      </c>
      <c r="E4461" s="6">
        <v>2091.19</v>
      </c>
      <c r="F4461" s="1" t="s">
        <v>40</v>
      </c>
      <c r="G4461" s="6">
        <f ca="1">IFERROR(__xludf.DUMMYFUNCTION("iferror(GOOGLEFINANCE(TRIM(F4461)&amp;"":"" &amp; TRIM(B4461), ""price""),0
)"),134.7)</f>
        <v>134.69999999999999</v>
      </c>
      <c r="H4461" s="6">
        <v>154.11000000000001</v>
      </c>
      <c r="I4461" s="6">
        <f t="shared" ca="1" si="0"/>
        <v>134.69999999999999</v>
      </c>
      <c r="J4461" s="6">
        <f ca="1">IFERROR(__xludf.DUMMYFUNCTION("IFERROR(GOOGLEFINANCE(B4461, ""volume""), 0)"),0)</f>
        <v>0</v>
      </c>
      <c r="K4461" s="6">
        <v>-1.1200000000000001</v>
      </c>
      <c r="L4461" s="6">
        <f ca="1">IFERROR(__xludf.DUMMYFUNCTION("IFERROR(GOOGLEFINANCE(B4461,""changepct""),K4461)"),0)</f>
        <v>0</v>
      </c>
      <c r="M4461" s="6">
        <f ca="1">IFERROR(__xludf.DUMMYFUNCTION("IFERROR(GOOGLEFINANCE(B4461,""change""),0)"),0)</f>
        <v>0</v>
      </c>
      <c r="N4461" s="6">
        <v>1</v>
      </c>
      <c r="O4461" s="7">
        <v>45536</v>
      </c>
      <c r="P4461" s="6">
        <v>49.76</v>
      </c>
      <c r="Q4461" s="6">
        <v>2140.96</v>
      </c>
      <c r="R4461" s="7">
        <v>45536</v>
      </c>
      <c r="S4461" s="6">
        <v>751.4</v>
      </c>
      <c r="T4461" s="6">
        <v>11.82</v>
      </c>
      <c r="U4461" s="7">
        <v>45536</v>
      </c>
      <c r="V4461" s="6">
        <v>176.98</v>
      </c>
      <c r="W4461" s="6">
        <f ca="1">IFERROR(__xludf.DUMMYFUNCTION("IFERROR(GOOGLEFINANCE(B4461,""pe""),V4461)"),176.98)</f>
        <v>176.98</v>
      </c>
      <c r="X4461" s="6">
        <v>16.71</v>
      </c>
      <c r="Y4461" s="6">
        <v>29.86</v>
      </c>
      <c r="Z4461" s="6">
        <v>1</v>
      </c>
      <c r="AA4461" s="8">
        <v>45352</v>
      </c>
      <c r="AB4461" s="4">
        <v>0.73</v>
      </c>
      <c r="AC4461" s="6">
        <v>16</v>
      </c>
      <c r="AD4461" s="6">
        <v>16.04</v>
      </c>
      <c r="AE4461" s="1">
        <v>0</v>
      </c>
      <c r="AF4461" s="1">
        <f ca="1">IFERROR(__xludf.DUMMYFUNCTION("IFERROR(GOOGLEFINANCE(TRIM(F4461)&amp;"":"" &amp; TRIM(B4461),""high52""),AE4461)"),200)</f>
        <v>200</v>
      </c>
      <c r="AG4461" s="1">
        <v>0</v>
      </c>
      <c r="AH4461" s="1">
        <f ca="1">IFERROR(__xludf.DUMMYFUNCTION("IFERROR(GOOGLEFINANCE(TRIM(F4461)&amp;"":"" &amp; TRIM(B4461),""low52""),AE4461)"),123.15)</f>
        <v>123.15</v>
      </c>
      <c r="AI4461" s="1">
        <f ca="1">IFERROR(__xludf.DUMMYFUNCTION("IFERROR(GOOGLEFINANCE(B4461,""eps""),0)"),0)</f>
        <v>0</v>
      </c>
      <c r="AJ4461" s="1"/>
      <c r="AK4461" s="1" t="s">
        <v>13503</v>
      </c>
      <c r="AL4461" s="9">
        <f t="shared" si="395"/>
        <v>1</v>
      </c>
    </row>
    <row r="4462" spans="1:38" ht="15" x14ac:dyDescent="0.25">
      <c r="A4462" s="1" t="s">
        <v>13504</v>
      </c>
      <c r="B4462" s="1" t="s">
        <v>13505</v>
      </c>
      <c r="C4462" s="1" t="s">
        <v>313</v>
      </c>
      <c r="D4462" s="1" t="s">
        <v>313</v>
      </c>
      <c r="E4462" s="6">
        <v>4848.2299999999996</v>
      </c>
      <c r="F4462" s="1" t="s">
        <v>40</v>
      </c>
      <c r="G4462" s="6">
        <f ca="1">IFERROR(__xludf.DUMMYFUNCTION("iferror(GOOGLEFINANCE(TRIM(F4462)&amp;"":"" &amp; TRIM(B4462), ""price""),0
)"),487.1)</f>
        <v>487.1</v>
      </c>
      <c r="H4462" s="6">
        <v>764.1</v>
      </c>
      <c r="I4462" s="6">
        <f t="shared" ca="1" si="0"/>
        <v>487.1</v>
      </c>
      <c r="J4462" s="6">
        <f ca="1">IFERROR(__xludf.DUMMYFUNCTION("IFERROR(GOOGLEFINANCE(B4462, ""volume""), 0)"),45454)</f>
        <v>45454</v>
      </c>
      <c r="K4462" s="6">
        <v>0.01</v>
      </c>
      <c r="L4462" s="6">
        <f ca="1">IFERROR(__xludf.DUMMYFUNCTION("IFERROR(GOOGLEFINANCE(B4462,""changepct""),K4462)"),-0.72)</f>
        <v>-0.72</v>
      </c>
      <c r="M4462" s="6">
        <f ca="1">IFERROR(__xludf.DUMMYFUNCTION("IFERROR(GOOGLEFINANCE(B4462,""change""),0)"),-3.55)</f>
        <v>-3.55</v>
      </c>
      <c r="N4462" s="6">
        <v>1</v>
      </c>
      <c r="O4462" s="7">
        <v>45536</v>
      </c>
      <c r="P4462" s="6">
        <v>0.31</v>
      </c>
      <c r="Q4462" s="6">
        <v>4779.4799999999996</v>
      </c>
      <c r="R4462" s="7">
        <v>45536</v>
      </c>
      <c r="S4462" s="6">
        <v>463.52</v>
      </c>
      <c r="T4462" s="6">
        <v>137.93</v>
      </c>
      <c r="U4462" s="7">
        <v>45536</v>
      </c>
      <c r="V4462" s="6">
        <v>35.15</v>
      </c>
      <c r="W4462" s="6">
        <f ca="1">IFERROR(__xludf.DUMMYFUNCTION("IFERROR(GOOGLEFINANCE(B4462,""pe""),V4462)"),36.96)</f>
        <v>36.96</v>
      </c>
      <c r="X4462" s="6">
        <v>1.51</v>
      </c>
      <c r="Y4462" s="6">
        <v>2.85</v>
      </c>
      <c r="Z4462" s="6">
        <v>1</v>
      </c>
      <c r="AA4462" s="8">
        <v>45352</v>
      </c>
      <c r="AB4462" s="4">
        <v>0</v>
      </c>
      <c r="AC4462" s="6">
        <v>15.47</v>
      </c>
      <c r="AD4462" s="6">
        <v>20.91</v>
      </c>
      <c r="AE4462" s="1">
        <v>0</v>
      </c>
      <c r="AF4462" s="1">
        <f ca="1">IFERROR(__xludf.DUMMYFUNCTION("IFERROR(GOOGLEFINANCE(TRIM(F4462)&amp;"":"" &amp; TRIM(B4462),""high52""),AE4462)"),728)</f>
        <v>728</v>
      </c>
      <c r="AG4462" s="1">
        <v>0</v>
      </c>
      <c r="AH4462" s="1">
        <f ca="1">IFERROR(__xludf.DUMMYFUNCTION("IFERROR(GOOGLEFINANCE(TRIM(F4462)&amp;"":"" &amp; TRIM(B4462),""low52""),AE4462)"),478.5)</f>
        <v>478.5</v>
      </c>
      <c r="AI4462" s="1">
        <f ca="1">IFERROR(__xludf.DUMMYFUNCTION("IFERROR(GOOGLEFINANCE(B4462,""eps""),0)"),13.18)</f>
        <v>13.18</v>
      </c>
      <c r="AJ4462" s="1"/>
      <c r="AK4462" s="1" t="s">
        <v>13506</v>
      </c>
      <c r="AL4462" s="1" t="b">
        <f>ISNUMBER(AA4462)</f>
        <v>1</v>
      </c>
    </row>
    <row r="4463" spans="1:38" ht="15" x14ac:dyDescent="0.25">
      <c r="A4463" s="1" t="s">
        <v>13507</v>
      </c>
      <c r="B4463" s="1" t="s">
        <v>6853</v>
      </c>
      <c r="C4463" s="1" t="s">
        <v>373</v>
      </c>
      <c r="D4463" s="1" t="s">
        <v>373</v>
      </c>
      <c r="E4463" s="6">
        <v>277.49</v>
      </c>
      <c r="F4463" s="1" t="s">
        <v>40</v>
      </c>
      <c r="G4463" s="6">
        <f ca="1">IFERROR(__xludf.DUMMYFUNCTION("iferror(GOOGLEFINANCE(TRIM(F4463)&amp;"":"" &amp; TRIM(B4463), ""price""),0
)"),0)</f>
        <v>0</v>
      </c>
      <c r="H4463" s="6">
        <v>179.5</v>
      </c>
      <c r="I4463" s="6">
        <f t="shared" ca="1" si="0"/>
        <v>179.5</v>
      </c>
      <c r="J4463" s="6">
        <f ca="1">IFERROR(__xludf.DUMMYFUNCTION("IFERROR(GOOGLEFINANCE(B4463, ""volume""), 0)"),0)</f>
        <v>0</v>
      </c>
      <c r="K4463" s="6">
        <v>1.89</v>
      </c>
      <c r="L4463" s="6">
        <f ca="1">IFERROR(__xludf.DUMMYFUNCTION("IFERROR(GOOGLEFINANCE(B4463,""changepct""),K4463)"),1.89)</f>
        <v>1.89</v>
      </c>
      <c r="M4463" s="6">
        <f ca="1">IFERROR(__xludf.DUMMYFUNCTION("IFERROR(GOOGLEFINANCE(B4463,""change""),0)"),0)</f>
        <v>0</v>
      </c>
      <c r="N4463" s="6">
        <v>2</v>
      </c>
      <c r="O4463" s="7">
        <v>45536</v>
      </c>
      <c r="P4463" s="6">
        <v>6.3</v>
      </c>
      <c r="Q4463" s="6">
        <v>227.8</v>
      </c>
      <c r="R4463" s="7">
        <v>45536</v>
      </c>
      <c r="S4463" s="6">
        <v>255.38</v>
      </c>
      <c r="T4463" s="6">
        <v>17.18</v>
      </c>
      <c r="U4463" s="7">
        <v>45536</v>
      </c>
      <c r="V4463" s="6">
        <v>17.39</v>
      </c>
      <c r="W4463" s="6">
        <f ca="1">IFERROR(__xludf.DUMMYFUNCTION("IFERROR(GOOGLEFINANCE(B4463,""pe""),V4463)"),17.39)</f>
        <v>17.39</v>
      </c>
      <c r="X4463" s="6">
        <v>4.22</v>
      </c>
      <c r="Y4463" s="6">
        <v>1.67</v>
      </c>
      <c r="Z4463" s="6">
        <v>2</v>
      </c>
      <c r="AA4463" s="8">
        <v>45352</v>
      </c>
      <c r="AB4463" s="4">
        <v>0.06</v>
      </c>
      <c r="AC4463" s="6">
        <v>10.79</v>
      </c>
      <c r="AD4463" s="6">
        <v>15.04</v>
      </c>
      <c r="AE4463" s="1">
        <v>0</v>
      </c>
      <c r="AF4463" s="1">
        <f ca="1">IFERROR(__xludf.DUMMYFUNCTION("IFERROR(GOOGLEFINANCE(TRIM(F4463)&amp;"":"" &amp; TRIM(B4463),""high52""),AE4463)"),0)</f>
        <v>0</v>
      </c>
      <c r="AG4463" s="1">
        <v>0</v>
      </c>
      <c r="AH4463" s="1">
        <f ca="1">IFERROR(__xludf.DUMMYFUNCTION("IFERROR(GOOGLEFINANCE(TRIM(F4463)&amp;"":"" &amp; TRIM(B4463),""low52""),AE4463)"),0)</f>
        <v>0</v>
      </c>
      <c r="AI4463" s="1">
        <f ca="1">IFERROR(__xludf.DUMMYFUNCTION("IFERROR(GOOGLEFINANCE(B4463,""eps""),0)"),0)</f>
        <v>0</v>
      </c>
      <c r="AJ4463" s="1"/>
      <c r="AK4463" s="9"/>
      <c r="AL4463" s="9">
        <f t="shared" ref="AL4463:AL4481" si="396">IF(AA4463&lt;&gt;AB4463,1,0)</f>
        <v>1</v>
      </c>
    </row>
    <row r="4464" spans="1:38" ht="15" x14ac:dyDescent="0.25">
      <c r="A4464" s="1" t="s">
        <v>13508</v>
      </c>
      <c r="B4464" s="1" t="s">
        <v>13509</v>
      </c>
      <c r="C4464" s="1" t="s">
        <v>57</v>
      </c>
      <c r="D4464" s="1" t="s">
        <v>57</v>
      </c>
      <c r="E4464" s="6">
        <v>1268.33</v>
      </c>
      <c r="F4464" s="1" t="s">
        <v>40</v>
      </c>
      <c r="G4464" s="6">
        <f ca="1">IFERROR(__xludf.DUMMYFUNCTION("iferror(GOOGLEFINANCE(TRIM(F4464)&amp;"":"" &amp; TRIM(B4464), ""price""),0
)"),72.8)</f>
        <v>72.8</v>
      </c>
      <c r="H4464" s="6">
        <v>117.1</v>
      </c>
      <c r="I4464" s="6">
        <f t="shared" ca="1" si="0"/>
        <v>72.8</v>
      </c>
      <c r="J4464" s="6">
        <f ca="1">IFERROR(__xludf.DUMMYFUNCTION("IFERROR(GOOGLEFINANCE(B4464, ""volume""), 0)"),81017)</f>
        <v>81017</v>
      </c>
      <c r="K4464" s="6">
        <v>2.76</v>
      </c>
      <c r="L4464" s="6">
        <f ca="1">IFERROR(__xludf.DUMMYFUNCTION("IFERROR(GOOGLEFINANCE(B4464,""changepct""),K4464)"),1.11)</f>
        <v>1.1100000000000001</v>
      </c>
      <c r="M4464" s="6">
        <f ca="1">IFERROR(__xludf.DUMMYFUNCTION("IFERROR(GOOGLEFINANCE(B4464,""change""),0)"),0.8)</f>
        <v>0.8</v>
      </c>
      <c r="N4464" s="6">
        <v>2</v>
      </c>
      <c r="O4464" s="7">
        <v>45536</v>
      </c>
      <c r="P4464" s="6">
        <v>104.75</v>
      </c>
      <c r="Q4464" s="6">
        <v>1077</v>
      </c>
      <c r="R4464" s="7">
        <v>45536</v>
      </c>
      <c r="S4464" s="6">
        <v>175.46</v>
      </c>
      <c r="T4464" s="6">
        <v>29.29</v>
      </c>
      <c r="U4464" s="7">
        <v>45536</v>
      </c>
      <c r="V4464" s="6">
        <v>43.3</v>
      </c>
      <c r="W4464" s="6">
        <f ca="1">IFERROR(__xludf.DUMMYFUNCTION("IFERROR(GOOGLEFINANCE(B4464,""pe""),V4464)"),13.71)</f>
        <v>13.71</v>
      </c>
      <c r="X4464" s="6">
        <v>-1.99</v>
      </c>
      <c r="Y4464" s="6">
        <v>3.84</v>
      </c>
      <c r="Z4464" s="6">
        <v>2</v>
      </c>
      <c r="AA4464" s="8">
        <v>45352</v>
      </c>
      <c r="AB4464" s="4">
        <v>0.28999999999999998</v>
      </c>
      <c r="AC4464" s="6">
        <v>2.66</v>
      </c>
      <c r="AD4464" s="6">
        <v>12</v>
      </c>
      <c r="AE4464" s="1">
        <v>0</v>
      </c>
      <c r="AF4464" s="1">
        <f ca="1">IFERROR(__xludf.DUMMYFUNCTION("IFERROR(GOOGLEFINANCE(TRIM(F4464)&amp;"":"" &amp; TRIM(B4464),""high52""),AE4464)"),108.48)</f>
        <v>108.48</v>
      </c>
      <c r="AG4464" s="1">
        <v>0</v>
      </c>
      <c r="AH4464" s="1">
        <f ca="1">IFERROR(__xludf.DUMMYFUNCTION("IFERROR(GOOGLEFINANCE(TRIM(F4464)&amp;"":"" &amp; TRIM(B4464),""low52""),AE4464)"),68.5)</f>
        <v>68.5</v>
      </c>
      <c r="AI4464" s="1">
        <f ca="1">IFERROR(__xludf.DUMMYFUNCTION("IFERROR(GOOGLEFINANCE(B4464,""eps""),0)"),5.31)</f>
        <v>5.31</v>
      </c>
      <c r="AJ4464" s="1"/>
      <c r="AK4464" s="1" t="s">
        <v>13510</v>
      </c>
      <c r="AL4464" s="9">
        <f t="shared" si="396"/>
        <v>1</v>
      </c>
    </row>
    <row r="4465" spans="1:38" ht="15" x14ac:dyDescent="0.25">
      <c r="A4465" s="1" t="s">
        <v>13511</v>
      </c>
      <c r="B4465" s="1" t="s">
        <v>13512</v>
      </c>
      <c r="C4465" s="1" t="s">
        <v>1682</v>
      </c>
      <c r="D4465" s="1" t="s">
        <v>1682</v>
      </c>
      <c r="E4465" s="6">
        <v>12.1</v>
      </c>
      <c r="F4465" s="1" t="s">
        <v>53</v>
      </c>
      <c r="G4465" s="6">
        <f ca="1">IFERROR(__xludf.DUMMYFUNCTION("iferror(GOOGLEFINANCE(TRIM(F4465)&amp;"":"" &amp; TRIM(B4465), ""price""),0
)"),0)</f>
        <v>0</v>
      </c>
      <c r="H4465" s="6">
        <v>15.79</v>
      </c>
      <c r="I4465" s="6">
        <f t="shared" ca="1" si="0"/>
        <v>15.79</v>
      </c>
      <c r="J4465" s="6">
        <f ca="1">IFERROR(__xludf.DUMMYFUNCTION("IFERROR(GOOGLEFINANCE(B4465, ""volume""), 0)"),0)</f>
        <v>0</v>
      </c>
      <c r="K4465" s="6">
        <v>1.87</v>
      </c>
      <c r="L4465" s="6">
        <f ca="1">IFERROR(__xludf.DUMMYFUNCTION("IFERROR(GOOGLEFINANCE(B4465,""changepct""),K4465)"),1.87)</f>
        <v>1.87</v>
      </c>
      <c r="M4465" s="6">
        <f ca="1">IFERROR(__xludf.DUMMYFUNCTION("IFERROR(GOOGLEFINANCE(B4465,""change""),0)"),0)</f>
        <v>0</v>
      </c>
      <c r="N4465" s="6">
        <v>1</v>
      </c>
      <c r="O4465" s="7">
        <v>45536</v>
      </c>
      <c r="P4465" s="6">
        <v>7.93</v>
      </c>
      <c r="Q4465" s="6">
        <v>20.03</v>
      </c>
      <c r="R4465" s="7">
        <v>45536</v>
      </c>
      <c r="S4465" s="6">
        <v>1.6</v>
      </c>
      <c r="T4465" s="6">
        <v>-3.46</v>
      </c>
      <c r="U4465" s="7">
        <v>45536</v>
      </c>
      <c r="V4465" s="6">
        <v>0</v>
      </c>
      <c r="W4465" s="6">
        <f ca="1">IFERROR(__xludf.DUMMYFUNCTION("IFERROR(GOOGLEFINANCE(B4465,""pe""),V4465)"),0)</f>
        <v>0</v>
      </c>
      <c r="X4465" s="6">
        <v>0</v>
      </c>
      <c r="Y4465" s="6">
        <v>-1.1299999999999999</v>
      </c>
      <c r="Z4465" s="6">
        <v>1</v>
      </c>
      <c r="AA4465" s="8">
        <v>45352</v>
      </c>
      <c r="AB4465" s="4">
        <v>-1.07</v>
      </c>
      <c r="AC4465" s="6">
        <v>0</v>
      </c>
      <c r="AD4465" s="6">
        <v>-16.11</v>
      </c>
      <c r="AE4465" s="1">
        <v>0</v>
      </c>
      <c r="AF4465" s="1">
        <f ca="1">IFERROR(__xludf.DUMMYFUNCTION("IFERROR(GOOGLEFINANCE(TRIM(F4465)&amp;"":"" &amp; TRIM(B4465),""high52""),AE4465)"),0)</f>
        <v>0</v>
      </c>
      <c r="AG4465" s="1">
        <v>0</v>
      </c>
      <c r="AH4465" s="1">
        <f ca="1">IFERROR(__xludf.DUMMYFUNCTION("IFERROR(GOOGLEFINANCE(TRIM(F4465)&amp;"":"" &amp; TRIM(B4465),""low52""),AE4465)"),0)</f>
        <v>0</v>
      </c>
      <c r="AI4465" s="1">
        <f ca="1">IFERROR(__xludf.DUMMYFUNCTION("IFERROR(GOOGLEFINANCE(B4465,""eps""),0)"),0)</f>
        <v>0</v>
      </c>
      <c r="AJ4465" s="1"/>
      <c r="AK4465" s="1" t="s">
        <v>13513</v>
      </c>
      <c r="AL4465" s="9">
        <f t="shared" si="396"/>
        <v>1</v>
      </c>
    </row>
    <row r="4466" spans="1:38" ht="15" x14ac:dyDescent="0.25">
      <c r="A4466" s="1" t="s">
        <v>13514</v>
      </c>
      <c r="B4466" s="1" t="s">
        <v>13515</v>
      </c>
      <c r="C4466" s="1" t="s">
        <v>57</v>
      </c>
      <c r="D4466" s="1" t="s">
        <v>57</v>
      </c>
      <c r="E4466" s="6">
        <v>200.63</v>
      </c>
      <c r="F4466" s="1" t="s">
        <v>40</v>
      </c>
      <c r="G4466" s="6">
        <f ca="1">IFERROR(__xludf.DUMMYFUNCTION("iferror(GOOGLEFINANCE(TRIM(F4466)&amp;"":"" &amp; TRIM(B4466), ""price""),0
)"),133.85)</f>
        <v>133.85</v>
      </c>
      <c r="H4466" s="6">
        <v>133.63999999999999</v>
      </c>
      <c r="I4466" s="6">
        <f t="shared" ca="1" si="0"/>
        <v>133.85</v>
      </c>
      <c r="J4466" s="6">
        <f ca="1">IFERROR(__xludf.DUMMYFUNCTION("IFERROR(GOOGLEFINANCE(B4466, ""volume""), 0)"),4453)</f>
        <v>4453</v>
      </c>
      <c r="K4466" s="6">
        <v>-0.39</v>
      </c>
      <c r="L4466" s="6">
        <f ca="1">IFERROR(__xludf.DUMMYFUNCTION("IFERROR(GOOGLEFINANCE(B4466,""changepct""),K4466)"),-0.64)</f>
        <v>-0.64</v>
      </c>
      <c r="M4466" s="6">
        <f ca="1">IFERROR(__xludf.DUMMYFUNCTION("IFERROR(GOOGLEFINANCE(B4466,""change""),0)"),-0.86)</f>
        <v>-0.86</v>
      </c>
      <c r="N4466" s="6">
        <v>2</v>
      </c>
      <c r="O4466" s="7">
        <v>45536</v>
      </c>
      <c r="P4466" s="9"/>
      <c r="Q4466" s="6">
        <v>200.63</v>
      </c>
      <c r="R4466" s="7">
        <v>45536</v>
      </c>
      <c r="S4466" s="6">
        <v>4.41</v>
      </c>
      <c r="T4466" s="6">
        <v>-10.54</v>
      </c>
      <c r="U4466" s="7">
        <v>45536</v>
      </c>
      <c r="V4466" s="6">
        <v>0</v>
      </c>
      <c r="W4466" s="6">
        <f ca="1">IFERROR(__xludf.DUMMYFUNCTION("IFERROR(GOOGLEFINANCE(B4466,""pe""),V4466)"),0)</f>
        <v>0</v>
      </c>
      <c r="X4466" s="9"/>
      <c r="Y4466" s="6">
        <v>3.14</v>
      </c>
      <c r="Z4466" s="6">
        <v>2</v>
      </c>
      <c r="AA4466" s="8">
        <v>45352</v>
      </c>
      <c r="AB4466" s="4">
        <v>0</v>
      </c>
      <c r="AC4466" s="6">
        <v>-25.42</v>
      </c>
      <c r="AD4466" s="6">
        <v>-20.62</v>
      </c>
      <c r="AE4466" s="1">
        <v>0</v>
      </c>
      <c r="AF4466" s="1">
        <f ca="1">IFERROR(__xludf.DUMMYFUNCTION("IFERROR(GOOGLEFINANCE(TRIM(F4466)&amp;"":"" &amp; TRIM(B4466),""high52""),AE4466)"),155.5)</f>
        <v>155.5</v>
      </c>
      <c r="AG4466" s="1">
        <v>0</v>
      </c>
      <c r="AH4466" s="1">
        <f ca="1">IFERROR(__xludf.DUMMYFUNCTION("IFERROR(GOOGLEFINANCE(TRIM(F4466)&amp;"":"" &amp; TRIM(B4466),""low52""),AE4466)"),80.21)</f>
        <v>80.209999999999994</v>
      </c>
      <c r="AI4466" s="1">
        <f ca="1">IFERROR(__xludf.DUMMYFUNCTION("IFERROR(GOOGLEFINANCE(B4466,""eps""),0)"),-4.66)</f>
        <v>-4.66</v>
      </c>
      <c r="AJ4466" s="1"/>
      <c r="AK4466" s="1" t="s">
        <v>13516</v>
      </c>
      <c r="AL4466" s="9">
        <f t="shared" si="396"/>
        <v>1</v>
      </c>
    </row>
    <row r="4467" spans="1:38" ht="15" x14ac:dyDescent="0.25">
      <c r="A4467" s="1" t="s">
        <v>13517</v>
      </c>
      <c r="B4467" s="1" t="s">
        <v>13518</v>
      </c>
      <c r="C4467" s="1" t="s">
        <v>1682</v>
      </c>
      <c r="D4467" s="1" t="s">
        <v>1682</v>
      </c>
      <c r="E4467" s="6">
        <v>14.73</v>
      </c>
      <c r="F4467" s="1" t="s">
        <v>53</v>
      </c>
      <c r="G4467" s="6">
        <f ca="1">IFERROR(__xludf.DUMMYFUNCTION("iferror(GOOGLEFINANCE(TRIM(F4467)&amp;"":"" &amp; TRIM(B4467), ""price""),0
)"),0)</f>
        <v>0</v>
      </c>
      <c r="H4467" s="6">
        <v>18.97</v>
      </c>
      <c r="I4467" s="6">
        <f t="shared" ca="1" si="0"/>
        <v>18.97</v>
      </c>
      <c r="J4467" s="6">
        <f ca="1">IFERROR(__xludf.DUMMYFUNCTION("IFERROR(GOOGLEFINANCE(B4467, ""volume""), 0)"),0)</f>
        <v>0</v>
      </c>
      <c r="K4467" s="6">
        <v>4.3499999999999996</v>
      </c>
      <c r="L4467" s="6">
        <f ca="1">IFERROR(__xludf.DUMMYFUNCTION("IFERROR(GOOGLEFINANCE(B4467,""changepct""),K4467)"),4.35)</f>
        <v>4.3499999999999996</v>
      </c>
      <c r="M4467" s="6">
        <f ca="1">IFERROR(__xludf.DUMMYFUNCTION("IFERROR(GOOGLEFINANCE(B4467,""change""),0)"),0)</f>
        <v>0</v>
      </c>
      <c r="N4467" s="6">
        <v>2</v>
      </c>
      <c r="O4467" s="7">
        <v>45536</v>
      </c>
      <c r="P4467" s="9"/>
      <c r="Q4467" s="6">
        <v>14.54</v>
      </c>
      <c r="R4467" s="7">
        <v>45536</v>
      </c>
      <c r="S4467" s="6">
        <v>2.5299999999999998</v>
      </c>
      <c r="T4467" s="6">
        <v>-0.05</v>
      </c>
      <c r="U4467" s="7">
        <v>45536</v>
      </c>
      <c r="V4467" s="6">
        <v>0</v>
      </c>
      <c r="W4467" s="6">
        <f ca="1">IFERROR(__xludf.DUMMYFUNCTION("IFERROR(GOOGLEFINANCE(B4467,""pe""),V4467)"),0)</f>
        <v>0</v>
      </c>
      <c r="X4467" s="9"/>
      <c r="Y4467" s="6">
        <v>9.0500000000000007</v>
      </c>
      <c r="Z4467" s="6">
        <v>2</v>
      </c>
      <c r="AA4467" s="8">
        <v>45352</v>
      </c>
      <c r="AB4467" s="4">
        <v>0</v>
      </c>
      <c r="AC4467" s="6">
        <v>-2.42</v>
      </c>
      <c r="AD4467" s="6">
        <v>-2.2599999999999998</v>
      </c>
      <c r="AE4467" s="1">
        <v>0</v>
      </c>
      <c r="AF4467" s="1">
        <f ca="1">IFERROR(__xludf.DUMMYFUNCTION("IFERROR(GOOGLEFINANCE(TRIM(F4467)&amp;"":"" &amp; TRIM(B4467),""high52""),AE4467)"),0)</f>
        <v>0</v>
      </c>
      <c r="AG4467" s="1">
        <v>0</v>
      </c>
      <c r="AH4467" s="1">
        <f ca="1">IFERROR(__xludf.DUMMYFUNCTION("IFERROR(GOOGLEFINANCE(TRIM(F4467)&amp;"":"" &amp; TRIM(B4467),""low52""),AE4467)"),0)</f>
        <v>0</v>
      </c>
      <c r="AI4467" s="1">
        <f ca="1">IFERROR(__xludf.DUMMYFUNCTION("IFERROR(GOOGLEFINANCE(B4467,""eps""),0)"),0)</f>
        <v>0</v>
      </c>
      <c r="AJ4467" s="1"/>
      <c r="AK4467" s="1" t="s">
        <v>13519</v>
      </c>
      <c r="AL4467" s="9">
        <f t="shared" si="396"/>
        <v>1</v>
      </c>
    </row>
    <row r="4468" spans="1:38" ht="15" x14ac:dyDescent="0.25">
      <c r="A4468" s="1" t="s">
        <v>13520</v>
      </c>
      <c r="B4468" s="1" t="s">
        <v>13521</v>
      </c>
      <c r="C4468" s="1" t="s">
        <v>1682</v>
      </c>
      <c r="D4468" s="1" t="s">
        <v>1682</v>
      </c>
      <c r="E4468" s="6">
        <v>184</v>
      </c>
      <c r="F4468" s="1" t="s">
        <v>53</v>
      </c>
      <c r="G4468" s="6">
        <f ca="1">IFERROR(__xludf.DUMMYFUNCTION("iferror(GOOGLEFINANCE(TRIM(F4468)&amp;"":"" &amp; TRIM(B4468), ""price""),0
)"),0)</f>
        <v>0</v>
      </c>
      <c r="H4468" s="6">
        <v>2.34</v>
      </c>
      <c r="I4468" s="6">
        <f t="shared" ca="1" si="0"/>
        <v>2.34</v>
      </c>
      <c r="J4468" s="6">
        <f ca="1">IFERROR(__xludf.DUMMYFUNCTION("IFERROR(GOOGLEFINANCE(B4468, ""volume""), 0)"),0)</f>
        <v>0</v>
      </c>
      <c r="K4468" s="6">
        <v>1.74</v>
      </c>
      <c r="L4468" s="6">
        <f ca="1">IFERROR(__xludf.DUMMYFUNCTION("IFERROR(GOOGLEFINANCE(B4468,""changepct""),K4468)"),1.74)</f>
        <v>1.74</v>
      </c>
      <c r="M4468" s="6">
        <f ca="1">IFERROR(__xludf.DUMMYFUNCTION("IFERROR(GOOGLEFINANCE(B4468,""change""),0)"),0)</f>
        <v>0</v>
      </c>
      <c r="N4468" s="6">
        <v>1</v>
      </c>
      <c r="O4468" s="7">
        <v>45536</v>
      </c>
      <c r="P4468" s="6">
        <v>12.44</v>
      </c>
      <c r="Q4468" s="6">
        <v>196.44</v>
      </c>
      <c r="R4468" s="7">
        <v>45536</v>
      </c>
      <c r="S4468" s="6">
        <v>0.67</v>
      </c>
      <c r="T4468" s="6">
        <v>-0.6</v>
      </c>
      <c r="U4468" s="7">
        <v>45536</v>
      </c>
      <c r="V4468" s="6">
        <v>0</v>
      </c>
      <c r="W4468" s="6">
        <f ca="1">IFERROR(__xludf.DUMMYFUNCTION("IFERROR(GOOGLEFINANCE(B4468,""pe""),V4468)"),0)</f>
        <v>0</v>
      </c>
      <c r="X4468" s="6">
        <v>0</v>
      </c>
      <c r="Y4468" s="6">
        <v>7.31</v>
      </c>
      <c r="Z4468" s="6">
        <v>1</v>
      </c>
      <c r="AA4468" s="8">
        <v>45352</v>
      </c>
      <c r="AB4468" s="4">
        <v>0.49</v>
      </c>
      <c r="AC4468" s="6">
        <v>-2.92</v>
      </c>
      <c r="AD4468" s="6">
        <v>-1.96</v>
      </c>
      <c r="AE4468" s="1">
        <v>0</v>
      </c>
      <c r="AF4468" s="1">
        <f ca="1">IFERROR(__xludf.DUMMYFUNCTION("IFERROR(GOOGLEFINANCE(TRIM(F4468)&amp;"":"" &amp; TRIM(B4468),""high52""),AE4468)"),0)</f>
        <v>0</v>
      </c>
      <c r="AG4468" s="1">
        <v>0</v>
      </c>
      <c r="AH4468" s="1">
        <f ca="1">IFERROR(__xludf.DUMMYFUNCTION("IFERROR(GOOGLEFINANCE(TRIM(F4468)&amp;"":"" &amp; TRIM(B4468),""low52""),AE4468)"),0)</f>
        <v>0</v>
      </c>
      <c r="AI4468" s="1">
        <f ca="1">IFERROR(__xludf.DUMMYFUNCTION("IFERROR(GOOGLEFINANCE(B4468,""eps""),0)"),0)</f>
        <v>0</v>
      </c>
      <c r="AJ4468" s="1"/>
      <c r="AK4468" s="1" t="s">
        <v>13522</v>
      </c>
      <c r="AL4468" s="9">
        <f t="shared" si="396"/>
        <v>1</v>
      </c>
    </row>
    <row r="4469" spans="1:38" ht="15" x14ac:dyDescent="0.25">
      <c r="A4469" s="1" t="s">
        <v>13523</v>
      </c>
      <c r="B4469" s="1" t="s">
        <v>13524</v>
      </c>
      <c r="C4469" s="1" t="s">
        <v>82</v>
      </c>
      <c r="D4469" s="1" t="s">
        <v>82</v>
      </c>
      <c r="E4469" s="6">
        <v>3397.71</v>
      </c>
      <c r="F4469" s="1" t="s">
        <v>40</v>
      </c>
      <c r="G4469" s="6">
        <f ca="1">IFERROR(__xludf.DUMMYFUNCTION("iferror(GOOGLEFINANCE(TRIM(F4469)&amp;"":"" &amp; TRIM(B4469), ""price""),0
)"),974)</f>
        <v>974</v>
      </c>
      <c r="H4469" s="6">
        <v>1525.95</v>
      </c>
      <c r="I4469" s="6">
        <f t="shared" ca="1" si="0"/>
        <v>974</v>
      </c>
      <c r="J4469" s="6">
        <f ca="1">IFERROR(__xludf.DUMMYFUNCTION("IFERROR(GOOGLEFINANCE(B4469, ""volume""), 0)"),14601)</f>
        <v>14601</v>
      </c>
      <c r="K4469" s="6">
        <v>-0.77</v>
      </c>
      <c r="L4469" s="6">
        <f ca="1">IFERROR(__xludf.DUMMYFUNCTION("IFERROR(GOOGLEFINANCE(B4469,""changepct""),K4469)"),3.1)</f>
        <v>3.1</v>
      </c>
      <c r="M4469" s="6">
        <f ca="1">IFERROR(__xludf.DUMMYFUNCTION("IFERROR(GOOGLEFINANCE(B4469,""change""),0)"),29.3)</f>
        <v>29.3</v>
      </c>
      <c r="N4469" s="6">
        <v>2</v>
      </c>
      <c r="O4469" s="7">
        <v>45536</v>
      </c>
      <c r="P4469" s="6">
        <v>70.150000000000006</v>
      </c>
      <c r="Q4469" s="6">
        <v>3196.59</v>
      </c>
      <c r="R4469" s="7">
        <v>45536</v>
      </c>
      <c r="S4469" s="6">
        <v>497.06</v>
      </c>
      <c r="T4469" s="6">
        <v>47.07</v>
      </c>
      <c r="U4469" s="7">
        <v>45536</v>
      </c>
      <c r="V4469" s="6">
        <v>72.19</v>
      </c>
      <c r="W4469" s="6">
        <f ca="1">IFERROR(__xludf.DUMMYFUNCTION("IFERROR(GOOGLEFINANCE(B4469,""pe""),V4469)"),164.68)</f>
        <v>164.68</v>
      </c>
      <c r="X4469" s="6">
        <v>0.74</v>
      </c>
      <c r="Y4469" s="6">
        <v>5.72</v>
      </c>
      <c r="Z4469" s="6">
        <v>2</v>
      </c>
      <c r="AA4469" s="8">
        <v>45352</v>
      </c>
      <c r="AB4469" s="4">
        <v>7.0000000000000007E-2</v>
      </c>
      <c r="AC4469" s="6">
        <v>12.29</v>
      </c>
      <c r="AD4469" s="6">
        <v>15.04</v>
      </c>
      <c r="AE4469" s="1">
        <v>0</v>
      </c>
      <c r="AF4469" s="1">
        <f ca="1">IFERROR(__xludf.DUMMYFUNCTION("IFERROR(GOOGLEFINANCE(TRIM(F4469)&amp;"":"" &amp; TRIM(B4469),""high52""),AE4469)"),1331.5)</f>
        <v>1331.5</v>
      </c>
      <c r="AG4469" s="1">
        <v>0</v>
      </c>
      <c r="AH4469" s="1">
        <f ca="1">IFERROR(__xludf.DUMMYFUNCTION("IFERROR(GOOGLEFINANCE(TRIM(F4469)&amp;"":"" &amp; TRIM(B4469),""low52""),AE4469)"),851)</f>
        <v>851</v>
      </c>
      <c r="AI4469" s="1">
        <f ca="1">IFERROR(__xludf.DUMMYFUNCTION("IFERROR(GOOGLEFINANCE(B4469,""eps""),0)"),5.91)</f>
        <v>5.91</v>
      </c>
      <c r="AJ4469" s="1"/>
      <c r="AK4469" s="1" t="s">
        <v>13525</v>
      </c>
      <c r="AL4469" s="9">
        <f t="shared" si="396"/>
        <v>1</v>
      </c>
    </row>
    <row r="4470" spans="1:38" ht="15" x14ac:dyDescent="0.25">
      <c r="A4470" s="1" t="s">
        <v>13526</v>
      </c>
      <c r="B4470" s="1" t="s">
        <v>13527</v>
      </c>
      <c r="C4470" s="1" t="s">
        <v>57</v>
      </c>
      <c r="D4470" s="1" t="s">
        <v>57</v>
      </c>
      <c r="E4470" s="6">
        <v>621.1</v>
      </c>
      <c r="F4470" s="1" t="s">
        <v>40</v>
      </c>
      <c r="G4470" s="6">
        <f ca="1">IFERROR(__xludf.DUMMYFUNCTION("iferror(GOOGLEFINANCE(TRIM(F4470)&amp;"":"" &amp; TRIM(B4470), ""price""),0
)"),27.95)</f>
        <v>27.95</v>
      </c>
      <c r="H4470" s="6">
        <v>48.13</v>
      </c>
      <c r="I4470" s="6">
        <f t="shared" ca="1" si="0"/>
        <v>27.95</v>
      </c>
      <c r="J4470" s="6">
        <f ca="1">IFERROR(__xludf.DUMMYFUNCTION("IFERROR(GOOGLEFINANCE(B4470, ""volume""), 0)"),7153)</f>
        <v>7153</v>
      </c>
      <c r="K4470" s="6">
        <v>2.75</v>
      </c>
      <c r="L4470" s="6">
        <f ca="1">IFERROR(__xludf.DUMMYFUNCTION("IFERROR(GOOGLEFINANCE(B4470,""changepct""),K4470)"),-0.07)</f>
        <v>-7.0000000000000007E-2</v>
      </c>
      <c r="M4470" s="6">
        <f ca="1">IFERROR(__xludf.DUMMYFUNCTION("IFERROR(GOOGLEFINANCE(B4470,""change""),0)"),-0.02)</f>
        <v>-0.02</v>
      </c>
      <c r="N4470" s="6">
        <v>2</v>
      </c>
      <c r="O4470" s="7">
        <v>45536</v>
      </c>
      <c r="P4470" s="6">
        <v>31.26</v>
      </c>
      <c r="Q4470" s="6">
        <v>648.67999999999995</v>
      </c>
      <c r="R4470" s="7">
        <v>45536</v>
      </c>
      <c r="S4470" s="6">
        <v>204.04</v>
      </c>
      <c r="T4470" s="6">
        <v>8.18</v>
      </c>
      <c r="U4470" s="7">
        <v>45536</v>
      </c>
      <c r="V4470" s="6">
        <v>59.93</v>
      </c>
      <c r="W4470" s="6">
        <f ca="1">IFERROR(__xludf.DUMMYFUNCTION("IFERROR(GOOGLEFINANCE(B4470,""pe""),V4470)"),32.46)</f>
        <v>32.46</v>
      </c>
      <c r="X4470" s="12"/>
      <c r="Y4470" s="6">
        <v>3.55</v>
      </c>
      <c r="Z4470" s="6">
        <v>2</v>
      </c>
      <c r="AA4470" s="8">
        <v>45352</v>
      </c>
      <c r="AB4470" s="4">
        <v>0.24</v>
      </c>
      <c r="AC4470" s="6">
        <v>7.22</v>
      </c>
      <c r="AD4470" s="6">
        <v>9.06</v>
      </c>
      <c r="AE4470" s="1">
        <v>0</v>
      </c>
      <c r="AF4470" s="1">
        <f ca="1">IFERROR(__xludf.DUMMYFUNCTION("IFERROR(GOOGLEFINANCE(TRIM(F4470)&amp;"":"" &amp; TRIM(B4470),""high52""),AE4470)"),46.25)</f>
        <v>46.25</v>
      </c>
      <c r="AG4470" s="1">
        <v>0</v>
      </c>
      <c r="AH4470" s="1">
        <f ca="1">IFERROR(__xludf.DUMMYFUNCTION("IFERROR(GOOGLEFINANCE(TRIM(F4470)&amp;"":"" &amp; TRIM(B4470),""low52""),AE4470)"),25.2)</f>
        <v>25.2</v>
      </c>
      <c r="AI4470" s="1">
        <f ca="1">IFERROR(__xludf.DUMMYFUNCTION("IFERROR(GOOGLEFINANCE(B4470,""eps""),0)"),0.86)</f>
        <v>0.86</v>
      </c>
      <c r="AJ4470" s="1"/>
      <c r="AK4470" s="1" t="s">
        <v>13528</v>
      </c>
      <c r="AL4470" s="9">
        <f t="shared" si="396"/>
        <v>1</v>
      </c>
    </row>
    <row r="4471" spans="1:38" ht="15" x14ac:dyDescent="0.25">
      <c r="A4471" s="1" t="s">
        <v>13529</v>
      </c>
      <c r="B4471" s="1" t="s">
        <v>13530</v>
      </c>
      <c r="C4471" s="1" t="s">
        <v>1739</v>
      </c>
      <c r="D4471" s="1" t="s">
        <v>1739</v>
      </c>
      <c r="E4471" s="6">
        <v>159.5</v>
      </c>
      <c r="F4471" s="1" t="s">
        <v>40</v>
      </c>
      <c r="G4471" s="6">
        <f ca="1">IFERROR(__xludf.DUMMYFUNCTION("iferror(GOOGLEFINANCE(TRIM(F4471)&amp;"":"" &amp; TRIM(B4471), ""price""),0
)"),0)</f>
        <v>0</v>
      </c>
      <c r="H4471" s="6">
        <v>16</v>
      </c>
      <c r="I4471" s="6">
        <f t="shared" ca="1" si="0"/>
        <v>16</v>
      </c>
      <c r="J4471" s="6">
        <f ca="1">IFERROR(__xludf.DUMMYFUNCTION("IFERROR(GOOGLEFINANCE(B4471, ""volume""), 0)"),0)</f>
        <v>0</v>
      </c>
      <c r="K4471" s="12"/>
      <c r="L4471" s="6" t="str">
        <f ca="1">IFERROR(__xludf.DUMMYFUNCTION("IFERROR(GOOGLEFINANCE(B4471,""changepct""),K4471)"),"")</f>
        <v/>
      </c>
      <c r="M4471" s="6">
        <f ca="1">IFERROR(__xludf.DUMMYFUNCTION("IFERROR(GOOGLEFINANCE(B4471,""change""),0)"),0)</f>
        <v>0</v>
      </c>
      <c r="N4471" s="6">
        <v>2</v>
      </c>
      <c r="O4471" s="7">
        <v>45536</v>
      </c>
      <c r="P4471" s="6">
        <v>255.51</v>
      </c>
      <c r="Q4471" s="6">
        <v>415.01</v>
      </c>
      <c r="R4471" s="7">
        <v>45536</v>
      </c>
      <c r="S4471" s="6">
        <v>-0.22</v>
      </c>
      <c r="T4471" s="6">
        <v>-21.25</v>
      </c>
      <c r="U4471" s="7">
        <v>45536</v>
      </c>
      <c r="V4471" s="6">
        <v>0</v>
      </c>
      <c r="W4471" s="6">
        <f ca="1">IFERROR(__xludf.DUMMYFUNCTION("IFERROR(GOOGLEFINANCE(B4471,""pe""),V4471)"),0)</f>
        <v>0</v>
      </c>
      <c r="X4471" s="12"/>
      <c r="Y4471" s="6">
        <v>-0.65</v>
      </c>
      <c r="Z4471" s="6">
        <v>2</v>
      </c>
      <c r="AA4471" s="8">
        <v>45352</v>
      </c>
      <c r="AB4471" s="4">
        <v>-1.04</v>
      </c>
      <c r="AC4471" s="6">
        <v>0</v>
      </c>
      <c r="AD4471" s="6">
        <v>-401.89</v>
      </c>
      <c r="AE4471" s="1">
        <v>0</v>
      </c>
      <c r="AF4471" s="1">
        <f ca="1">IFERROR(__xludf.DUMMYFUNCTION("IFERROR(GOOGLEFINANCE(TRIM(F4471)&amp;"":"" &amp; TRIM(B4471),""high52""),AE4471)"),0)</f>
        <v>0</v>
      </c>
      <c r="AG4471" s="1">
        <v>0</v>
      </c>
      <c r="AH4471" s="1">
        <f ca="1">IFERROR(__xludf.DUMMYFUNCTION("IFERROR(GOOGLEFINANCE(TRIM(F4471)&amp;"":"" &amp; TRIM(B4471),""low52""),AE4471)"),0)</f>
        <v>0</v>
      </c>
      <c r="AI4471" s="1">
        <f ca="1">IFERROR(__xludf.DUMMYFUNCTION("IFERROR(GOOGLEFINANCE(B4471,""eps""),0)"),0)</f>
        <v>0</v>
      </c>
      <c r="AJ4471" s="1"/>
      <c r="AK4471" s="1" t="s">
        <v>13531</v>
      </c>
      <c r="AL4471" s="9">
        <f t="shared" si="396"/>
        <v>1</v>
      </c>
    </row>
    <row r="4472" spans="1:38" ht="15" x14ac:dyDescent="0.25">
      <c r="A4472" s="1" t="s">
        <v>13532</v>
      </c>
      <c r="B4472" s="1" t="s">
        <v>13533</v>
      </c>
      <c r="C4472" s="1" t="s">
        <v>4423</v>
      </c>
      <c r="D4472" s="1" t="s">
        <v>4423</v>
      </c>
      <c r="E4472" s="6">
        <v>214.97</v>
      </c>
      <c r="F4472" s="1" t="s">
        <v>40</v>
      </c>
      <c r="G4472" s="6">
        <f ca="1">IFERROR(__xludf.DUMMYFUNCTION("iferror(GOOGLEFINANCE(TRIM(F4472)&amp;"":"" &amp; TRIM(B4472), ""price""),0
)"),0)</f>
        <v>0</v>
      </c>
      <c r="H4472" s="6">
        <v>86.55</v>
      </c>
      <c r="I4472" s="6">
        <f t="shared" ca="1" si="0"/>
        <v>86.55</v>
      </c>
      <c r="J4472" s="6">
        <f ca="1">IFERROR(__xludf.DUMMYFUNCTION("IFERROR(GOOGLEFINANCE(B4472, ""volume""), 0)"),0)</f>
        <v>0</v>
      </c>
      <c r="K4472" s="6">
        <v>-0.28999999999999998</v>
      </c>
      <c r="L4472" s="6">
        <f ca="1">IFERROR(__xludf.DUMMYFUNCTION("IFERROR(GOOGLEFINANCE(B4472,""changepct""),K4472)"),-0.29)</f>
        <v>-0.28999999999999998</v>
      </c>
      <c r="M4472" s="6">
        <f ca="1">IFERROR(__xludf.DUMMYFUNCTION("IFERROR(GOOGLEFINANCE(B4472,""change""),0)"),0)</f>
        <v>0</v>
      </c>
      <c r="N4472" s="6">
        <v>1</v>
      </c>
      <c r="O4472" s="7">
        <v>45536</v>
      </c>
      <c r="P4472" s="6">
        <v>16.41</v>
      </c>
      <c r="Q4472" s="6">
        <v>231.38</v>
      </c>
      <c r="R4472" s="7">
        <v>45352</v>
      </c>
      <c r="S4472" s="6">
        <v>41.11</v>
      </c>
      <c r="T4472" s="6">
        <v>9.02</v>
      </c>
      <c r="U4472" s="7">
        <v>45352</v>
      </c>
      <c r="V4472" s="6">
        <v>23.82</v>
      </c>
      <c r="W4472" s="6">
        <f ca="1">IFERROR(__xludf.DUMMYFUNCTION("IFERROR(GOOGLEFINANCE(B4472,""pe""),V4472)"),23.82)</f>
        <v>23.82</v>
      </c>
      <c r="X4472" s="9"/>
      <c r="Y4472" s="6">
        <v>2.59</v>
      </c>
      <c r="Z4472" s="6">
        <v>1</v>
      </c>
      <c r="AA4472" s="8">
        <v>45352</v>
      </c>
      <c r="AB4472" s="4">
        <v>0.85</v>
      </c>
      <c r="AC4472" s="6">
        <v>36.92</v>
      </c>
      <c r="AD4472" s="6">
        <v>32.53</v>
      </c>
      <c r="AE4472" s="1">
        <v>0</v>
      </c>
      <c r="AF4472" s="1">
        <f ca="1">IFERROR(__xludf.DUMMYFUNCTION("IFERROR(GOOGLEFINANCE(TRIM(F4472)&amp;"":"" &amp; TRIM(B4472),""high52""),AE4472)"),0)</f>
        <v>0</v>
      </c>
      <c r="AG4472" s="1">
        <v>0</v>
      </c>
      <c r="AH4472" s="1">
        <f ca="1">IFERROR(__xludf.DUMMYFUNCTION("IFERROR(GOOGLEFINANCE(TRIM(F4472)&amp;"":"" &amp; TRIM(B4472),""low52""),AE4472)"),0)</f>
        <v>0</v>
      </c>
      <c r="AI4472" s="1">
        <f ca="1">IFERROR(__xludf.DUMMYFUNCTION("IFERROR(GOOGLEFINANCE(B4472,""eps""),0)"),0)</f>
        <v>0</v>
      </c>
      <c r="AJ4472" s="1"/>
      <c r="AK4472" s="1" t="s">
        <v>13534</v>
      </c>
      <c r="AL4472" s="9">
        <f t="shared" si="396"/>
        <v>1</v>
      </c>
    </row>
    <row r="4473" spans="1:38" ht="15" x14ac:dyDescent="0.25">
      <c r="A4473" s="1" t="s">
        <v>13535</v>
      </c>
      <c r="B4473" s="1" t="s">
        <v>13536</v>
      </c>
      <c r="C4473" s="1" t="s">
        <v>1682</v>
      </c>
      <c r="D4473" s="1" t="s">
        <v>1682</v>
      </c>
      <c r="E4473" s="6">
        <v>12.89</v>
      </c>
      <c r="F4473" s="1" t="s">
        <v>53</v>
      </c>
      <c r="G4473" s="6">
        <f ca="1">IFERROR(__xludf.DUMMYFUNCTION("iferror(GOOGLEFINANCE(TRIM(F4473)&amp;"":"" &amp; TRIM(B4473), ""price""),0
)"),0)</f>
        <v>0</v>
      </c>
      <c r="H4473" s="6">
        <v>7.43</v>
      </c>
      <c r="I4473" s="6">
        <f t="shared" ca="1" si="0"/>
        <v>7.43</v>
      </c>
      <c r="J4473" s="6">
        <f ca="1">IFERROR(__xludf.DUMMYFUNCTION("IFERROR(GOOGLEFINANCE(B4473, ""volume""), 0)"),0)</f>
        <v>0</v>
      </c>
      <c r="K4473" s="6">
        <v>-1.98</v>
      </c>
      <c r="L4473" s="6">
        <f ca="1">IFERROR(__xludf.DUMMYFUNCTION("IFERROR(GOOGLEFINANCE(B4473,""changepct""),K4473)"),-1.98)</f>
        <v>-1.98</v>
      </c>
      <c r="M4473" s="6">
        <f ca="1">IFERROR(__xludf.DUMMYFUNCTION("IFERROR(GOOGLEFINANCE(B4473,""change""),0)"),0)</f>
        <v>0</v>
      </c>
      <c r="N4473" s="6">
        <v>1</v>
      </c>
      <c r="O4473" s="7">
        <v>45536</v>
      </c>
      <c r="P4473" s="6">
        <v>0.26</v>
      </c>
      <c r="Q4473" s="6">
        <v>13.15</v>
      </c>
      <c r="R4473" s="7">
        <v>45536</v>
      </c>
      <c r="S4473" s="6">
        <v>0.03</v>
      </c>
      <c r="T4473" s="6">
        <v>-0.16</v>
      </c>
      <c r="U4473" s="7">
        <v>45536</v>
      </c>
      <c r="V4473" s="6">
        <v>0</v>
      </c>
      <c r="W4473" s="6">
        <f ca="1">IFERROR(__xludf.DUMMYFUNCTION("IFERROR(GOOGLEFINANCE(B4473,""pe""),V4473)"),0)</f>
        <v>0</v>
      </c>
      <c r="X4473" s="6">
        <v>0</v>
      </c>
      <c r="Y4473" s="6">
        <v>0.79</v>
      </c>
      <c r="Z4473" s="6">
        <v>1</v>
      </c>
      <c r="AA4473" s="8">
        <v>45352</v>
      </c>
      <c r="AB4473" s="4">
        <v>0.02</v>
      </c>
      <c r="AC4473" s="6">
        <v>-1.31</v>
      </c>
      <c r="AD4473" s="6">
        <v>-1.29</v>
      </c>
      <c r="AE4473" s="1">
        <v>0</v>
      </c>
      <c r="AF4473" s="1">
        <f ca="1">IFERROR(__xludf.DUMMYFUNCTION("IFERROR(GOOGLEFINANCE(TRIM(F4473)&amp;"":"" &amp; TRIM(B4473),""high52""),AE4473)"),0)</f>
        <v>0</v>
      </c>
      <c r="AG4473" s="1">
        <v>0</v>
      </c>
      <c r="AH4473" s="1">
        <f ca="1">IFERROR(__xludf.DUMMYFUNCTION("IFERROR(GOOGLEFINANCE(TRIM(F4473)&amp;"":"" &amp; TRIM(B4473),""low52""),AE4473)"),0)</f>
        <v>0</v>
      </c>
      <c r="AI4473" s="1">
        <f ca="1">IFERROR(__xludf.DUMMYFUNCTION("IFERROR(GOOGLEFINANCE(B4473,""eps""),0)"),0)</f>
        <v>0</v>
      </c>
      <c r="AJ4473" s="1"/>
      <c r="AK4473" s="1" t="s">
        <v>13537</v>
      </c>
      <c r="AL4473" s="9">
        <f t="shared" si="396"/>
        <v>1</v>
      </c>
    </row>
    <row r="4474" spans="1:38" ht="15" x14ac:dyDescent="0.25">
      <c r="A4474" s="1" t="s">
        <v>13538</v>
      </c>
      <c r="B4474" s="1" t="s">
        <v>13539</v>
      </c>
      <c r="C4474" s="1" t="s">
        <v>1682</v>
      </c>
      <c r="D4474" s="1" t="s">
        <v>1682</v>
      </c>
      <c r="E4474" s="6">
        <v>14.3</v>
      </c>
      <c r="F4474" s="1" t="s">
        <v>53</v>
      </c>
      <c r="G4474" s="6">
        <f ca="1">IFERROR(__xludf.DUMMYFUNCTION("iferror(GOOGLEFINANCE(TRIM(F4474)&amp;"":"" &amp; TRIM(B4474), ""price""),0
)"),0)</f>
        <v>0</v>
      </c>
      <c r="H4474" s="6">
        <v>4.04</v>
      </c>
      <c r="I4474" s="6">
        <f t="shared" ca="1" si="0"/>
        <v>4.04</v>
      </c>
      <c r="J4474" s="6">
        <f ca="1">IFERROR(__xludf.DUMMYFUNCTION("IFERROR(GOOGLEFINANCE(B4474, ""volume""), 0)"),0)</f>
        <v>0</v>
      </c>
      <c r="K4474" s="6">
        <v>-1.94</v>
      </c>
      <c r="L4474" s="6">
        <f ca="1">IFERROR(__xludf.DUMMYFUNCTION("IFERROR(GOOGLEFINANCE(B4474,""changepct""),K4474)"),-1.94)</f>
        <v>-1.94</v>
      </c>
      <c r="M4474" s="6">
        <f ca="1">IFERROR(__xludf.DUMMYFUNCTION("IFERROR(GOOGLEFINANCE(B4474,""change""),0)"),0)</f>
        <v>0</v>
      </c>
      <c r="N4474" s="6">
        <v>1</v>
      </c>
      <c r="O4474" s="7">
        <v>45536</v>
      </c>
      <c r="P4474" s="6">
        <v>3.4</v>
      </c>
      <c r="Q4474" s="6">
        <v>17.7</v>
      </c>
      <c r="R4474" s="7">
        <v>45536</v>
      </c>
      <c r="S4474" s="6">
        <v>1.53</v>
      </c>
      <c r="T4474" s="6">
        <v>0.2</v>
      </c>
      <c r="U4474" s="7">
        <v>45536</v>
      </c>
      <c r="V4474" s="6">
        <v>72.569999999999993</v>
      </c>
      <c r="W4474" s="6">
        <f ca="1">IFERROR(__xludf.DUMMYFUNCTION("IFERROR(GOOGLEFINANCE(B4474,""pe""),V4474)"),72.57)</f>
        <v>72.569999999999993</v>
      </c>
      <c r="X4474" s="6">
        <v>0.63</v>
      </c>
      <c r="Y4474" s="6">
        <v>1.71</v>
      </c>
      <c r="Z4474" s="6">
        <v>1</v>
      </c>
      <c r="AA4474" s="8">
        <v>45352</v>
      </c>
      <c r="AB4474" s="4">
        <v>0.37</v>
      </c>
      <c r="AC4474" s="6">
        <v>2.67</v>
      </c>
      <c r="AD4474" s="6">
        <v>4.71</v>
      </c>
      <c r="AE4474" s="1">
        <v>0</v>
      </c>
      <c r="AF4474" s="1">
        <f ca="1">IFERROR(__xludf.DUMMYFUNCTION("IFERROR(GOOGLEFINANCE(TRIM(F4474)&amp;"":"" &amp; TRIM(B4474),""high52""),AE4474)"),0)</f>
        <v>0</v>
      </c>
      <c r="AG4474" s="1">
        <v>0</v>
      </c>
      <c r="AH4474" s="1">
        <f ca="1">IFERROR(__xludf.DUMMYFUNCTION("IFERROR(GOOGLEFINANCE(TRIM(F4474)&amp;"":"" &amp; TRIM(B4474),""low52""),AE4474)"),0)</f>
        <v>0</v>
      </c>
      <c r="AI4474" s="1">
        <f ca="1">IFERROR(__xludf.DUMMYFUNCTION("IFERROR(GOOGLEFINANCE(B4474,""eps""),0)"),0)</f>
        <v>0</v>
      </c>
      <c r="AJ4474" s="1"/>
      <c r="AK4474" s="1" t="s">
        <v>13540</v>
      </c>
      <c r="AL4474" s="9">
        <f t="shared" si="396"/>
        <v>1</v>
      </c>
    </row>
    <row r="4475" spans="1:38" ht="15" x14ac:dyDescent="0.25">
      <c r="A4475" s="1" t="s">
        <v>13541</v>
      </c>
      <c r="B4475" s="1" t="s">
        <v>13542</v>
      </c>
      <c r="C4475" s="1" t="s">
        <v>135</v>
      </c>
      <c r="D4475" s="1" t="s">
        <v>135</v>
      </c>
      <c r="E4475" s="6">
        <v>2404.09</v>
      </c>
      <c r="F4475" s="1" t="s">
        <v>40</v>
      </c>
      <c r="G4475" s="6">
        <f ca="1">IFERROR(__xludf.DUMMYFUNCTION("iferror(GOOGLEFINANCE(TRIM(F4475)&amp;"":"" &amp; TRIM(B4475), ""price""),0
)"),1218)</f>
        <v>1218</v>
      </c>
      <c r="H4475" s="6">
        <v>2103.25</v>
      </c>
      <c r="I4475" s="6">
        <f t="shared" ca="1" si="0"/>
        <v>1218</v>
      </c>
      <c r="J4475" s="6">
        <f ca="1">IFERROR(__xludf.DUMMYFUNCTION("IFERROR(GOOGLEFINANCE(B4475, ""volume""), 0)"),49299)</f>
        <v>49299</v>
      </c>
      <c r="K4475" s="6">
        <v>-0.5</v>
      </c>
      <c r="L4475" s="6">
        <f ca="1">IFERROR(__xludf.DUMMYFUNCTION("IFERROR(GOOGLEFINANCE(B4475,""changepct""),K4475)"),1.95)</f>
        <v>1.95</v>
      </c>
      <c r="M4475" s="6">
        <f ca="1">IFERROR(__xludf.DUMMYFUNCTION("IFERROR(GOOGLEFINANCE(B4475,""change""),0)"),23.3)</f>
        <v>23.3</v>
      </c>
      <c r="N4475" s="6">
        <v>2</v>
      </c>
      <c r="O4475" s="7">
        <v>45536</v>
      </c>
      <c r="P4475" s="6">
        <v>607.17999999999995</v>
      </c>
      <c r="Q4475" s="6">
        <v>2993.52</v>
      </c>
      <c r="R4475" s="7">
        <v>45536</v>
      </c>
      <c r="S4475" s="6">
        <v>638.66999999999996</v>
      </c>
      <c r="T4475" s="6">
        <v>33.380000000000003</v>
      </c>
      <c r="U4475" s="7">
        <v>45536</v>
      </c>
      <c r="V4475" s="6">
        <v>72.02</v>
      </c>
      <c r="W4475" s="6">
        <f ca="1">IFERROR(__xludf.DUMMYFUNCTION("IFERROR(GOOGLEFINANCE(B4475,""pe""),V4475)"),114.92)</f>
        <v>114.92</v>
      </c>
      <c r="X4475" s="12"/>
      <c r="Y4475" s="6">
        <v>8.09</v>
      </c>
      <c r="Z4475" s="6">
        <v>2</v>
      </c>
      <c r="AA4475" s="8">
        <v>45352</v>
      </c>
      <c r="AB4475" s="4">
        <v>1.89</v>
      </c>
      <c r="AC4475" s="6">
        <v>21.75</v>
      </c>
      <c r="AD4475" s="6">
        <v>13.01</v>
      </c>
      <c r="AE4475" s="1">
        <v>0</v>
      </c>
      <c r="AF4475" s="1">
        <f ca="1">IFERROR(__xludf.DUMMYFUNCTION("IFERROR(GOOGLEFINANCE(TRIM(F4475)&amp;"":"" &amp; TRIM(B4475),""high52""),AE4475)"),2343.85)</f>
        <v>2343.85</v>
      </c>
      <c r="AG4475" s="1">
        <v>0</v>
      </c>
      <c r="AH4475" s="1">
        <f ca="1">IFERROR(__xludf.DUMMYFUNCTION("IFERROR(GOOGLEFINANCE(TRIM(F4475)&amp;"":"" &amp; TRIM(B4475),""low52""),AE4475)"),1130)</f>
        <v>1130</v>
      </c>
      <c r="AI4475" s="1">
        <f ca="1">IFERROR(__xludf.DUMMYFUNCTION("IFERROR(GOOGLEFINANCE(B4475,""eps""),0)"),10.6)</f>
        <v>10.6</v>
      </c>
      <c r="AJ4475" s="1"/>
      <c r="AK4475" s="1" t="s">
        <v>13543</v>
      </c>
      <c r="AL4475" s="9">
        <f t="shared" si="396"/>
        <v>1</v>
      </c>
    </row>
    <row r="4476" spans="1:38" ht="15" x14ac:dyDescent="0.25">
      <c r="A4476" s="1" t="s">
        <v>13544</v>
      </c>
      <c r="B4476" s="1" t="s">
        <v>13545</v>
      </c>
      <c r="C4476" s="1" t="s">
        <v>1682</v>
      </c>
      <c r="D4476" s="1" t="s">
        <v>1682</v>
      </c>
      <c r="E4476" s="6">
        <v>30.08</v>
      </c>
      <c r="F4476" s="1" t="s">
        <v>53</v>
      </c>
      <c r="G4476" s="6">
        <f ca="1">IFERROR(__xludf.DUMMYFUNCTION("iferror(GOOGLEFINANCE(TRIM(F4476)&amp;"":"" &amp; TRIM(B4476), ""price""),0
)"),0)</f>
        <v>0</v>
      </c>
      <c r="H4476" s="6">
        <v>3.04</v>
      </c>
      <c r="I4476" s="6">
        <f t="shared" ca="1" si="0"/>
        <v>3.04</v>
      </c>
      <c r="J4476" s="6">
        <f ca="1">IFERROR(__xludf.DUMMYFUNCTION("IFERROR(GOOGLEFINANCE(B4476, ""volume""), 0)"),0)</f>
        <v>0</v>
      </c>
      <c r="K4476" s="6">
        <v>1.33</v>
      </c>
      <c r="L4476" s="6">
        <f ca="1">IFERROR(__xludf.DUMMYFUNCTION("IFERROR(GOOGLEFINANCE(B4476,""changepct""),K4476)"),1.33)</f>
        <v>1.33</v>
      </c>
      <c r="M4476" s="6">
        <f ca="1">IFERROR(__xludf.DUMMYFUNCTION("IFERROR(GOOGLEFINANCE(B4476,""change""),0)"),0)</f>
        <v>0</v>
      </c>
      <c r="N4476" s="6">
        <v>1</v>
      </c>
      <c r="O4476" s="7">
        <v>45536</v>
      </c>
      <c r="P4476" s="6">
        <v>4.74</v>
      </c>
      <c r="Q4476" s="6">
        <v>34.82</v>
      </c>
      <c r="R4476" s="7">
        <v>45536</v>
      </c>
      <c r="S4476" s="6">
        <v>12.71</v>
      </c>
      <c r="T4476" s="6">
        <v>0.16</v>
      </c>
      <c r="U4476" s="7">
        <v>45536</v>
      </c>
      <c r="V4476" s="6">
        <v>188</v>
      </c>
      <c r="W4476" s="6">
        <f ca="1">IFERROR(__xludf.DUMMYFUNCTION("IFERROR(GOOGLEFINANCE(B4476,""pe""),V4476)"),188)</f>
        <v>188</v>
      </c>
      <c r="X4476" s="6">
        <v>-8.3000000000000007</v>
      </c>
      <c r="Y4476" s="6">
        <v>1.94</v>
      </c>
      <c r="Z4476" s="6">
        <v>1</v>
      </c>
      <c r="AA4476" s="8">
        <v>45352</v>
      </c>
      <c r="AB4476" s="4">
        <v>0.17</v>
      </c>
      <c r="AC4476" s="6">
        <v>2.2999999999999998</v>
      </c>
      <c r="AD4476" s="6">
        <v>2.84</v>
      </c>
      <c r="AE4476" s="1">
        <v>0</v>
      </c>
      <c r="AF4476" s="1">
        <f ca="1">IFERROR(__xludf.DUMMYFUNCTION("IFERROR(GOOGLEFINANCE(TRIM(F4476)&amp;"":"" &amp; TRIM(B4476),""high52""),AE4476)"),0)</f>
        <v>0</v>
      </c>
      <c r="AG4476" s="1">
        <v>0</v>
      </c>
      <c r="AH4476" s="1">
        <f ca="1">IFERROR(__xludf.DUMMYFUNCTION("IFERROR(GOOGLEFINANCE(TRIM(F4476)&amp;"":"" &amp; TRIM(B4476),""low52""),AE4476)"),0)</f>
        <v>0</v>
      </c>
      <c r="AI4476" s="1">
        <f ca="1">IFERROR(__xludf.DUMMYFUNCTION("IFERROR(GOOGLEFINANCE(B4476,""eps""),0)"),0)</f>
        <v>0</v>
      </c>
      <c r="AJ4476" s="1"/>
      <c r="AK4476" s="1" t="s">
        <v>13546</v>
      </c>
      <c r="AL4476" s="9">
        <f t="shared" si="396"/>
        <v>1</v>
      </c>
    </row>
    <row r="4477" spans="1:38" ht="15" x14ac:dyDescent="0.25">
      <c r="A4477" s="1" t="s">
        <v>13547</v>
      </c>
      <c r="B4477" s="1" t="s">
        <v>13548</v>
      </c>
      <c r="C4477" s="1" t="s">
        <v>1682</v>
      </c>
      <c r="D4477" s="1" t="s">
        <v>1682</v>
      </c>
      <c r="E4477" s="6">
        <v>10.41</v>
      </c>
      <c r="F4477" s="1" t="s">
        <v>53</v>
      </c>
      <c r="G4477" s="6">
        <f ca="1">IFERROR(__xludf.DUMMYFUNCTION("iferror(GOOGLEFINANCE(TRIM(F4477)&amp;"":"" &amp; TRIM(B4477), ""price""),0
)"),0)</f>
        <v>0</v>
      </c>
      <c r="H4477" s="6">
        <v>8.9</v>
      </c>
      <c r="I4477" s="6">
        <f t="shared" ca="1" si="0"/>
        <v>8.9</v>
      </c>
      <c r="J4477" s="6">
        <f ca="1">IFERROR(__xludf.DUMMYFUNCTION("IFERROR(GOOGLEFINANCE(B4477, ""volume""), 0)"),0)</f>
        <v>0</v>
      </c>
      <c r="K4477" s="6">
        <v>2.77</v>
      </c>
      <c r="L4477" s="6">
        <f ca="1">IFERROR(__xludf.DUMMYFUNCTION("IFERROR(GOOGLEFINANCE(B4477,""changepct""),K4477)"),2.77)</f>
        <v>2.77</v>
      </c>
      <c r="M4477" s="6">
        <f ca="1">IFERROR(__xludf.DUMMYFUNCTION("IFERROR(GOOGLEFINANCE(B4477,""change""),0)"),0)</f>
        <v>0</v>
      </c>
      <c r="N4477" s="6">
        <v>2</v>
      </c>
      <c r="O4477" s="7">
        <v>45536</v>
      </c>
      <c r="P4477" s="6">
        <v>27.57</v>
      </c>
      <c r="Q4477" s="6">
        <v>37.979999999999997</v>
      </c>
      <c r="R4477" s="7">
        <v>45536</v>
      </c>
      <c r="S4477" s="6">
        <v>12.63</v>
      </c>
      <c r="T4477" s="6">
        <v>33.58</v>
      </c>
      <c r="U4477" s="7">
        <v>45536</v>
      </c>
      <c r="V4477" s="6">
        <v>0.31</v>
      </c>
      <c r="W4477" s="6">
        <f ca="1">IFERROR(__xludf.DUMMYFUNCTION("IFERROR(GOOGLEFINANCE(B4477,""pe""),V4477)"),0.31)</f>
        <v>0.31</v>
      </c>
      <c r="X4477" s="6">
        <v>0.03</v>
      </c>
      <c r="Y4477" s="6">
        <v>-0.26</v>
      </c>
      <c r="Z4477" s="6">
        <v>2</v>
      </c>
      <c r="AA4477" s="8">
        <v>45352</v>
      </c>
      <c r="AB4477" s="4">
        <v>-0.64</v>
      </c>
      <c r="AC4477" s="6">
        <v>0</v>
      </c>
      <c r="AD4477" s="6">
        <v>0</v>
      </c>
      <c r="AE4477" s="1">
        <v>0</v>
      </c>
      <c r="AF4477" s="1">
        <f ca="1">IFERROR(__xludf.DUMMYFUNCTION("IFERROR(GOOGLEFINANCE(TRIM(F4477)&amp;"":"" &amp; TRIM(B4477),""high52""),AE4477)"),0)</f>
        <v>0</v>
      </c>
      <c r="AG4477" s="1">
        <v>0</v>
      </c>
      <c r="AH4477" s="1">
        <f ca="1">IFERROR(__xludf.DUMMYFUNCTION("IFERROR(GOOGLEFINANCE(TRIM(F4477)&amp;"":"" &amp; TRIM(B4477),""low52""),AE4477)"),0)</f>
        <v>0</v>
      </c>
      <c r="AI4477" s="1">
        <f ca="1">IFERROR(__xludf.DUMMYFUNCTION("IFERROR(GOOGLEFINANCE(B4477,""eps""),0)"),0)</f>
        <v>0</v>
      </c>
      <c r="AJ4477" s="1"/>
      <c r="AK4477" s="6">
        <v>30.9</v>
      </c>
      <c r="AL4477" s="9">
        <f t="shared" si="396"/>
        <v>1</v>
      </c>
    </row>
    <row r="4478" spans="1:38" ht="15" x14ac:dyDescent="0.25">
      <c r="A4478" s="1" t="s">
        <v>13549</v>
      </c>
      <c r="B4478" s="1" t="s">
        <v>13550</v>
      </c>
      <c r="C4478" s="1" t="s">
        <v>1682</v>
      </c>
      <c r="D4478" s="1" t="s">
        <v>1682</v>
      </c>
      <c r="E4478" s="6">
        <v>14.5</v>
      </c>
      <c r="F4478" s="1" t="s">
        <v>53</v>
      </c>
      <c r="G4478" s="6">
        <f ca="1">IFERROR(__xludf.DUMMYFUNCTION("iferror(GOOGLEFINANCE(TRIM(F4478)&amp;"":"" &amp; TRIM(B4478), ""price""),0
)"),0)</f>
        <v>0</v>
      </c>
      <c r="H4478" s="6">
        <v>8.24</v>
      </c>
      <c r="I4478" s="6">
        <f t="shared" ca="1" si="0"/>
        <v>8.24</v>
      </c>
      <c r="J4478" s="6">
        <f ca="1">IFERROR(__xludf.DUMMYFUNCTION("IFERROR(GOOGLEFINANCE(B4478, ""volume""), 0)"),0)</f>
        <v>0</v>
      </c>
      <c r="K4478" s="6">
        <v>-4.63</v>
      </c>
      <c r="L4478" s="6">
        <f ca="1">IFERROR(__xludf.DUMMYFUNCTION("IFERROR(GOOGLEFINANCE(B4478,""changepct""),K4478)"),-4.63)</f>
        <v>-4.63</v>
      </c>
      <c r="M4478" s="6">
        <f ca="1">IFERROR(__xludf.DUMMYFUNCTION("IFERROR(GOOGLEFINANCE(B4478,""change""),0)"),0)</f>
        <v>0</v>
      </c>
      <c r="N4478" s="6">
        <v>1</v>
      </c>
      <c r="O4478" s="7">
        <v>45536</v>
      </c>
      <c r="P4478" s="6">
        <v>12.47</v>
      </c>
      <c r="Q4478" s="6">
        <v>26.96</v>
      </c>
      <c r="R4478" s="7">
        <v>45536</v>
      </c>
      <c r="S4478" s="6">
        <v>30.51</v>
      </c>
      <c r="T4478" s="6">
        <v>-5.01</v>
      </c>
      <c r="U4478" s="7">
        <v>45536</v>
      </c>
      <c r="V4478" s="6">
        <v>0</v>
      </c>
      <c r="W4478" s="6">
        <f ca="1">IFERROR(__xludf.DUMMYFUNCTION("IFERROR(GOOGLEFINANCE(B4478,""pe""),V4478)"),0)</f>
        <v>0</v>
      </c>
      <c r="X4478" s="9"/>
      <c r="Y4478" s="6">
        <v>0.83</v>
      </c>
      <c r="Z4478" s="6">
        <v>1</v>
      </c>
      <c r="AA4478" s="8">
        <v>45352</v>
      </c>
      <c r="AB4478" s="4">
        <v>0.47</v>
      </c>
      <c r="AC4478" s="6">
        <v>8.6300000000000008</v>
      </c>
      <c r="AD4478" s="6">
        <v>7.23</v>
      </c>
      <c r="AE4478" s="1">
        <v>0</v>
      </c>
      <c r="AF4478" s="1">
        <f ca="1">IFERROR(__xludf.DUMMYFUNCTION("IFERROR(GOOGLEFINANCE(TRIM(F4478)&amp;"":"" &amp; TRIM(B4478),""high52""),AE4478)"),0)</f>
        <v>0</v>
      </c>
      <c r="AG4478" s="1">
        <v>0</v>
      </c>
      <c r="AH4478" s="1">
        <f ca="1">IFERROR(__xludf.DUMMYFUNCTION("IFERROR(GOOGLEFINANCE(TRIM(F4478)&amp;"":"" &amp; TRIM(B4478),""low52""),AE4478)"),0)</f>
        <v>0</v>
      </c>
      <c r="AI4478" s="1">
        <f ca="1">IFERROR(__xludf.DUMMYFUNCTION("IFERROR(GOOGLEFINANCE(B4478,""eps""),0)"),0)</f>
        <v>0</v>
      </c>
      <c r="AJ4478" s="1"/>
      <c r="AK4478" s="1" t="s">
        <v>13551</v>
      </c>
      <c r="AL4478" s="9">
        <f t="shared" si="396"/>
        <v>1</v>
      </c>
    </row>
    <row r="4479" spans="1:38" ht="15" x14ac:dyDescent="0.25">
      <c r="A4479" s="1" t="s">
        <v>13552</v>
      </c>
      <c r="B4479" s="1" t="s">
        <v>13553</v>
      </c>
      <c r="C4479" s="1" t="s">
        <v>584</v>
      </c>
      <c r="D4479" s="1" t="s">
        <v>584</v>
      </c>
      <c r="E4479" s="6">
        <v>38.61</v>
      </c>
      <c r="F4479" s="1" t="s">
        <v>40</v>
      </c>
      <c r="G4479" s="6">
        <f ca="1">IFERROR(__xludf.DUMMYFUNCTION("iferror(GOOGLEFINANCE(TRIM(F4479)&amp;"":"" &amp; TRIM(B4479), ""price""),0
)"),0)</f>
        <v>0</v>
      </c>
      <c r="H4479" s="6">
        <v>20</v>
      </c>
      <c r="I4479" s="6">
        <f t="shared" ca="1" si="0"/>
        <v>20</v>
      </c>
      <c r="J4479" s="6">
        <f ca="1">IFERROR(__xludf.DUMMYFUNCTION("IFERROR(GOOGLEFINANCE(B4479, ""volume""), 0)"),0)</f>
        <v>0</v>
      </c>
      <c r="K4479" s="12"/>
      <c r="L4479" s="6" t="str">
        <f ca="1">IFERROR(__xludf.DUMMYFUNCTION("IFERROR(GOOGLEFINANCE(B4479,""changepct""),K4479)"),"")</f>
        <v/>
      </c>
      <c r="M4479" s="6">
        <f ca="1">IFERROR(__xludf.DUMMYFUNCTION("IFERROR(GOOGLEFINANCE(B4479,""change""),0)"),0)</f>
        <v>0</v>
      </c>
      <c r="N4479" s="6">
        <v>1</v>
      </c>
      <c r="O4479" s="7">
        <v>45536</v>
      </c>
      <c r="P4479" s="6">
        <v>8.85</v>
      </c>
      <c r="Q4479" s="6">
        <v>47.46</v>
      </c>
      <c r="R4479" s="7">
        <v>45352</v>
      </c>
      <c r="S4479" s="6">
        <v>47.68</v>
      </c>
      <c r="T4479" s="6">
        <v>1.24</v>
      </c>
      <c r="U4479" s="7">
        <v>45352</v>
      </c>
      <c r="V4479" s="6">
        <v>31.11</v>
      </c>
      <c r="W4479" s="6">
        <f ca="1">IFERROR(__xludf.DUMMYFUNCTION("IFERROR(GOOGLEFINANCE(B4479,""pe""),V4479)"),31.11)</f>
        <v>31.11</v>
      </c>
      <c r="X4479" s="12"/>
      <c r="Y4479" s="6">
        <v>0.99</v>
      </c>
      <c r="Z4479" s="6">
        <v>2</v>
      </c>
      <c r="AA4479" s="8">
        <v>45352</v>
      </c>
      <c r="AB4479" s="4">
        <v>0.22</v>
      </c>
      <c r="AC4479" s="6">
        <v>4.17</v>
      </c>
      <c r="AD4479" s="6">
        <v>8.73</v>
      </c>
      <c r="AE4479" s="1">
        <v>0</v>
      </c>
      <c r="AF4479" s="1">
        <f ca="1">IFERROR(__xludf.DUMMYFUNCTION("IFERROR(GOOGLEFINANCE(TRIM(F4479)&amp;"":"" &amp; TRIM(B4479),""high52""),AE4479)"),0)</f>
        <v>0</v>
      </c>
      <c r="AG4479" s="1">
        <v>0</v>
      </c>
      <c r="AH4479" s="1">
        <f ca="1">IFERROR(__xludf.DUMMYFUNCTION("IFERROR(GOOGLEFINANCE(TRIM(F4479)&amp;"":"" &amp; TRIM(B4479),""low52""),AE4479)"),0)</f>
        <v>0</v>
      </c>
      <c r="AI4479" s="1">
        <f ca="1">IFERROR(__xludf.DUMMYFUNCTION("IFERROR(GOOGLEFINANCE(B4479,""eps""),0)"),0)</f>
        <v>0</v>
      </c>
      <c r="AJ4479" s="1"/>
      <c r="AK4479" s="1" t="s">
        <v>13554</v>
      </c>
      <c r="AL4479" s="9">
        <f t="shared" si="396"/>
        <v>1</v>
      </c>
    </row>
    <row r="4480" spans="1:38" ht="15" x14ac:dyDescent="0.25">
      <c r="A4480" s="1" t="s">
        <v>13555</v>
      </c>
      <c r="B4480" s="1" t="s">
        <v>13556</v>
      </c>
      <c r="C4480" s="1" t="s">
        <v>163</v>
      </c>
      <c r="D4480" s="1" t="s">
        <v>163</v>
      </c>
      <c r="E4480" s="6">
        <v>5570.25</v>
      </c>
      <c r="F4480" s="1" t="s">
        <v>40</v>
      </c>
      <c r="G4480" s="6">
        <f ca="1">IFERROR(__xludf.DUMMYFUNCTION("iferror(GOOGLEFINANCE(TRIM(F4480)&amp;"":"" &amp; TRIM(B4480), ""price""),0
)"),607)</f>
        <v>607</v>
      </c>
      <c r="H4480" s="6">
        <v>572.04999999999995</v>
      </c>
      <c r="I4480" s="6">
        <f t="shared" ca="1" si="0"/>
        <v>607</v>
      </c>
      <c r="J4480" s="6">
        <f ca="1">IFERROR(__xludf.DUMMYFUNCTION("IFERROR(GOOGLEFINANCE(B4480, ""volume""), 0)"),375283)</f>
        <v>375283</v>
      </c>
      <c r="K4480" s="6">
        <v>-1.01</v>
      </c>
      <c r="L4480" s="6">
        <f ca="1">IFERROR(__xludf.DUMMYFUNCTION("IFERROR(GOOGLEFINANCE(B4480,""changepct""),K4480)"),-0.52)</f>
        <v>-0.52</v>
      </c>
      <c r="M4480" s="6">
        <f ca="1">IFERROR(__xludf.DUMMYFUNCTION("IFERROR(GOOGLEFINANCE(B4480,""change""),0)"),-3.15)</f>
        <v>-3.15</v>
      </c>
      <c r="N4480" s="6">
        <v>2</v>
      </c>
      <c r="O4480" s="7">
        <v>45536</v>
      </c>
      <c r="P4480" s="6">
        <v>89.59</v>
      </c>
      <c r="Q4480" s="6">
        <v>5415.66</v>
      </c>
      <c r="R4480" s="7">
        <v>45536</v>
      </c>
      <c r="S4480" s="6">
        <v>774.1</v>
      </c>
      <c r="T4480" s="6">
        <v>129.18</v>
      </c>
      <c r="U4480" s="7">
        <v>45536</v>
      </c>
      <c r="V4480" s="6">
        <v>43.12</v>
      </c>
      <c r="W4480" s="6">
        <f ca="1">IFERROR(__xludf.DUMMYFUNCTION("IFERROR(GOOGLEFINANCE(B4480,""pe""),V4480)"),37.42)</f>
        <v>37.42</v>
      </c>
      <c r="X4480" s="9"/>
      <c r="Y4480" s="6">
        <v>3.58</v>
      </c>
      <c r="Z4480" s="6">
        <v>2</v>
      </c>
      <c r="AA4480" s="8">
        <v>45352</v>
      </c>
      <c r="AB4480" s="4">
        <v>0.1</v>
      </c>
      <c r="AC4480" s="6">
        <v>21.65</v>
      </c>
      <c r="AD4480" s="6">
        <v>23.97</v>
      </c>
      <c r="AE4480" s="1">
        <v>0</v>
      </c>
      <c r="AF4480" s="1">
        <f ca="1">IFERROR(__xludf.DUMMYFUNCTION("IFERROR(GOOGLEFINANCE(TRIM(F4480)&amp;"":"" &amp; TRIM(B4480),""high52""),AE4480)"),843.7)</f>
        <v>843.7</v>
      </c>
      <c r="AG4480" s="1">
        <v>0</v>
      </c>
      <c r="AH4480" s="1">
        <f ca="1">IFERROR(__xludf.DUMMYFUNCTION("IFERROR(GOOGLEFINANCE(TRIM(F4480)&amp;"":"" &amp; TRIM(B4480),""low52""),AE4480)"),345.6)</f>
        <v>345.6</v>
      </c>
      <c r="AI4480" s="1">
        <f ca="1">IFERROR(__xludf.DUMMYFUNCTION("IFERROR(GOOGLEFINANCE(B4480,""eps""),0)"),16.22)</f>
        <v>16.22</v>
      </c>
      <c r="AJ4480" s="1"/>
      <c r="AK4480" s="1" t="s">
        <v>13557</v>
      </c>
      <c r="AL4480" s="9">
        <f t="shared" si="396"/>
        <v>1</v>
      </c>
    </row>
    <row r="4481" spans="1:38" ht="15" x14ac:dyDescent="0.25">
      <c r="A4481" s="1" t="s">
        <v>13558</v>
      </c>
      <c r="B4481" s="1" t="s">
        <v>13559</v>
      </c>
      <c r="C4481" s="1" t="s">
        <v>1644</v>
      </c>
      <c r="D4481" s="1" t="s">
        <v>1644</v>
      </c>
      <c r="E4481" s="6">
        <v>1853.18</v>
      </c>
      <c r="F4481" s="1" t="s">
        <v>40</v>
      </c>
      <c r="G4481" s="6">
        <f ca="1">IFERROR(__xludf.DUMMYFUNCTION("iferror(GOOGLEFINANCE(TRIM(F4481)&amp;"":"" &amp; TRIM(B4481), ""price""),0
)"),147.05)</f>
        <v>147.05000000000001</v>
      </c>
      <c r="H4481" s="6">
        <v>121.97</v>
      </c>
      <c r="I4481" s="6">
        <f t="shared" ca="1" si="0"/>
        <v>147.05000000000001</v>
      </c>
      <c r="J4481" s="6">
        <f ca="1">IFERROR(__xludf.DUMMYFUNCTION("IFERROR(GOOGLEFINANCE(B4481, ""volume""), 0)"),538559)</f>
        <v>538559</v>
      </c>
      <c r="K4481" s="6">
        <v>3.05</v>
      </c>
      <c r="L4481" s="6">
        <f ca="1">IFERROR(__xludf.DUMMYFUNCTION("IFERROR(GOOGLEFINANCE(B4481,""changepct""),K4481)"),1.36)</f>
        <v>1.36</v>
      </c>
      <c r="M4481" s="6">
        <f ca="1">IFERROR(__xludf.DUMMYFUNCTION("IFERROR(GOOGLEFINANCE(B4481,""change""),0)"),1.97)</f>
        <v>1.97</v>
      </c>
      <c r="N4481" s="6">
        <v>2</v>
      </c>
      <c r="O4481" s="7">
        <v>45536</v>
      </c>
      <c r="P4481" s="6">
        <v>27.75</v>
      </c>
      <c r="Q4481" s="6">
        <v>1669.12</v>
      </c>
      <c r="R4481" s="7">
        <v>45536</v>
      </c>
      <c r="S4481" s="6">
        <v>555.23</v>
      </c>
      <c r="T4481" s="6">
        <v>17.98</v>
      </c>
      <c r="U4481" s="7">
        <v>45536</v>
      </c>
      <c r="V4481" s="6">
        <v>103.09</v>
      </c>
      <c r="W4481" s="6">
        <f ca="1">IFERROR(__xludf.DUMMYFUNCTION("IFERROR(GOOGLEFINANCE(B4481,""pe""),V4481)"),41.52)</f>
        <v>41.52</v>
      </c>
      <c r="X4481" s="9"/>
      <c r="Y4481" s="6">
        <v>2.44</v>
      </c>
      <c r="Z4481" s="6">
        <v>2</v>
      </c>
      <c r="AA4481" s="8">
        <v>45352</v>
      </c>
      <c r="AB4481" s="4">
        <v>0.09</v>
      </c>
      <c r="AC4481" s="6">
        <v>-0.98</v>
      </c>
      <c r="AD4481" s="6">
        <v>3.7</v>
      </c>
      <c r="AE4481" s="1">
        <v>0</v>
      </c>
      <c r="AF4481" s="1">
        <f ca="1">IFERROR(__xludf.DUMMYFUNCTION("IFERROR(GOOGLEFINANCE(TRIM(F4481)&amp;"":"" &amp; TRIM(B4481),""high52""),AE4481)"),202)</f>
        <v>202</v>
      </c>
      <c r="AG4481" s="1">
        <v>0</v>
      </c>
      <c r="AH4481" s="1">
        <f ca="1">IFERROR(__xludf.DUMMYFUNCTION("IFERROR(GOOGLEFINANCE(TRIM(F4481)&amp;"":"" &amp; TRIM(B4481),""low52""),AE4481)"),65.51)</f>
        <v>65.510000000000005</v>
      </c>
      <c r="AI4481" s="1">
        <f ca="1">IFERROR(__xludf.DUMMYFUNCTION("IFERROR(GOOGLEFINANCE(B4481,""eps""),0)"),3.54)</f>
        <v>3.54</v>
      </c>
      <c r="AJ4481" s="1"/>
      <c r="AK4481" s="1" t="s">
        <v>13560</v>
      </c>
      <c r="AL4481" s="9">
        <f t="shared" si="396"/>
        <v>1</v>
      </c>
    </row>
    <row r="4482" spans="1:38" ht="15" x14ac:dyDescent="0.25">
      <c r="A4482" s="1" t="s">
        <v>13561</v>
      </c>
      <c r="B4482" s="1" t="s">
        <v>13562</v>
      </c>
      <c r="C4482" s="1" t="s">
        <v>1067</v>
      </c>
      <c r="D4482" s="1" t="s">
        <v>1067</v>
      </c>
      <c r="E4482" s="6">
        <v>61447.68</v>
      </c>
      <c r="F4482" s="1" t="s">
        <v>40</v>
      </c>
      <c r="G4482" s="6">
        <f ca="1">IFERROR(__xludf.DUMMYFUNCTION("iferror(GOOGLEFINANCE(TRIM(F4482)&amp;"":"" &amp; TRIM(B4482), ""price""),0
)"),21.25)</f>
        <v>21.25</v>
      </c>
      <c r="H4482" s="6">
        <v>20.02</v>
      </c>
      <c r="I4482" s="6">
        <f t="shared" ca="1" si="0"/>
        <v>21.25</v>
      </c>
      <c r="J4482" s="6">
        <f ca="1">IFERROR(__xludf.DUMMYFUNCTION("IFERROR(GOOGLEFINANCE(B4482, ""volume""), 0)"),76912343)</f>
        <v>76912343</v>
      </c>
      <c r="K4482" s="6">
        <v>2.19</v>
      </c>
      <c r="L4482" s="6">
        <f ca="1">IFERROR(__xludf.DUMMYFUNCTION("IFERROR(GOOGLEFINANCE(B4482,""changepct""),K4482)"),0.52)</f>
        <v>0.52</v>
      </c>
      <c r="M4482" s="6">
        <f ca="1">IFERROR(__xludf.DUMMYFUNCTION("IFERROR(GOOGLEFINANCE(B4482,""change""),0)"),0.11)</f>
        <v>0.11</v>
      </c>
      <c r="N4482" s="6">
        <v>2</v>
      </c>
      <c r="O4482" s="7">
        <v>45536</v>
      </c>
      <c r="P4482" s="6">
        <v>29909.15</v>
      </c>
      <c r="Q4482" s="6">
        <v>1792.47</v>
      </c>
      <c r="R4482" s="7">
        <v>45536</v>
      </c>
      <c r="S4482" s="6">
        <v>34.28</v>
      </c>
      <c r="T4482" s="6">
        <v>-6.19</v>
      </c>
      <c r="U4482" s="6">
        <v>1.32</v>
      </c>
      <c r="V4482" s="6">
        <v>2</v>
      </c>
      <c r="W4482" s="6">
        <f ca="1">IFERROR(__xludf.DUMMYFUNCTION("IFERROR(GOOGLEFINANCE(B4482,""pe""),V4482)"),21.08)</f>
        <v>21.08</v>
      </c>
      <c r="X4482" s="7">
        <v>45352</v>
      </c>
      <c r="Y4482" s="6">
        <v>3.18</v>
      </c>
      <c r="Z4482" s="6">
        <v>1</v>
      </c>
      <c r="AA4482" s="8">
        <v>45352</v>
      </c>
      <c r="AB4482" s="4">
        <v>0.57999999999999996</v>
      </c>
      <c r="AC4482" s="6">
        <v>2.4</v>
      </c>
      <c r="AD4482" s="6">
        <v>12.11</v>
      </c>
      <c r="AE4482" s="1">
        <v>0</v>
      </c>
      <c r="AF4482" s="1">
        <f ca="1">IFERROR(__xludf.DUMMYFUNCTION("IFERROR(GOOGLEFINANCE(TRIM(F4482)&amp;"":"" &amp; TRIM(B4482),""high52""),AE4482)"),24.3)</f>
        <v>24.3</v>
      </c>
      <c r="AG4482" s="1">
        <v>0</v>
      </c>
      <c r="AH4482" s="1">
        <f ca="1">IFERROR(__xludf.DUMMYFUNCTION("IFERROR(GOOGLEFINANCE(TRIM(F4482)&amp;"":"" &amp; TRIM(B4482),""low52""),AE4482)"),16.02)</f>
        <v>16.02</v>
      </c>
      <c r="AI4482" s="1">
        <f ca="1">IFERROR(__xludf.DUMMYFUNCTION("IFERROR(GOOGLEFINANCE(B4482,""eps""),0)"),1.01)</f>
        <v>1.01</v>
      </c>
      <c r="AJ4482" s="1"/>
      <c r="AK4482" s="1" t="s">
        <v>13563</v>
      </c>
      <c r="AL4482" s="1" t="b">
        <f>ISNUMBER(AA4482)</f>
        <v>1</v>
      </c>
    </row>
    <row r="4483" spans="1:38" ht="15" x14ac:dyDescent="0.25">
      <c r="A4483" s="1" t="s">
        <v>13564</v>
      </c>
      <c r="B4483" s="1" t="s">
        <v>13565</v>
      </c>
      <c r="C4483" s="1" t="s">
        <v>57</v>
      </c>
      <c r="D4483" s="1" t="s">
        <v>57</v>
      </c>
      <c r="E4483" s="6">
        <v>62.9</v>
      </c>
      <c r="F4483" s="1" t="s">
        <v>40</v>
      </c>
      <c r="G4483" s="6">
        <f ca="1">IFERROR(__xludf.DUMMYFUNCTION("iferror(GOOGLEFINANCE(TRIM(F4483)&amp;"":"" &amp; TRIM(B4483), ""price""),0
)"),0)</f>
        <v>0</v>
      </c>
      <c r="H4483" s="6">
        <v>60.95</v>
      </c>
      <c r="I4483" s="6">
        <f t="shared" ca="1" si="0"/>
        <v>60.95</v>
      </c>
      <c r="J4483" s="6">
        <f ca="1">IFERROR(__xludf.DUMMYFUNCTION("IFERROR(GOOGLEFINANCE(B4483, ""volume""), 0)"),0)</f>
        <v>0</v>
      </c>
      <c r="K4483" s="12"/>
      <c r="L4483" s="6" t="str">
        <f ca="1">IFERROR(__xludf.DUMMYFUNCTION("IFERROR(GOOGLEFINANCE(B4483,""changepct""),K4483)"),"")</f>
        <v/>
      </c>
      <c r="M4483" s="6">
        <f ca="1">IFERROR(__xludf.DUMMYFUNCTION("IFERROR(GOOGLEFINANCE(B4483,""change""),0)"),0)</f>
        <v>0</v>
      </c>
      <c r="N4483" s="6">
        <v>1</v>
      </c>
      <c r="O4483" s="7">
        <v>45536</v>
      </c>
      <c r="P4483" s="6">
        <v>0.9</v>
      </c>
      <c r="Q4483" s="6">
        <v>62.12</v>
      </c>
      <c r="R4483" s="7">
        <v>45352</v>
      </c>
      <c r="S4483" s="6">
        <v>26.16</v>
      </c>
      <c r="T4483" s="6">
        <v>-2.87</v>
      </c>
      <c r="U4483" s="7">
        <v>45352</v>
      </c>
      <c r="V4483" s="6">
        <v>0</v>
      </c>
      <c r="W4483" s="6">
        <f ca="1">IFERROR(__xludf.DUMMYFUNCTION("IFERROR(GOOGLEFINANCE(B4483,""pe""),V4483)"),0)</f>
        <v>0</v>
      </c>
      <c r="X4483" s="12"/>
      <c r="Y4483" s="6">
        <v>1.29</v>
      </c>
      <c r="Z4483" s="6">
        <v>1</v>
      </c>
      <c r="AA4483" s="8">
        <v>45352</v>
      </c>
      <c r="AB4483" s="4">
        <v>0.02</v>
      </c>
      <c r="AC4483" s="6">
        <v>-9.66</v>
      </c>
      <c r="AD4483" s="6">
        <v>-10.27</v>
      </c>
      <c r="AE4483" s="1">
        <v>0</v>
      </c>
      <c r="AF4483" s="1">
        <f ca="1">IFERROR(__xludf.DUMMYFUNCTION("IFERROR(GOOGLEFINANCE(TRIM(F4483)&amp;"":"" &amp; TRIM(B4483),""high52""),AE4483)"),0)</f>
        <v>0</v>
      </c>
      <c r="AG4483" s="1">
        <v>0</v>
      </c>
      <c r="AH4483" s="1">
        <f ca="1">IFERROR(__xludf.DUMMYFUNCTION("IFERROR(GOOGLEFINANCE(TRIM(F4483)&amp;"":"" &amp; TRIM(B4483),""low52""),AE4483)"),0)</f>
        <v>0</v>
      </c>
      <c r="AI4483" s="1">
        <f ca="1">IFERROR(__xludf.DUMMYFUNCTION("IFERROR(GOOGLEFINANCE(B4483,""eps""),0)"),0)</f>
        <v>0</v>
      </c>
      <c r="AJ4483" s="1"/>
      <c r="AK4483" s="1" t="s">
        <v>13566</v>
      </c>
      <c r="AL4483" s="9">
        <f t="shared" ref="AL4483:AL4497" si="397">IF(AA4483&lt;&gt;AB4483,1,0)</f>
        <v>1</v>
      </c>
    </row>
    <row r="4484" spans="1:38" ht="15" x14ac:dyDescent="0.25">
      <c r="A4484" s="1" t="s">
        <v>13567</v>
      </c>
      <c r="B4484" s="1" t="s">
        <v>13568</v>
      </c>
      <c r="C4484" s="1" t="s">
        <v>416</v>
      </c>
      <c r="D4484" s="1" t="s">
        <v>416</v>
      </c>
      <c r="E4484" s="6">
        <v>1426.1</v>
      </c>
      <c r="F4484" s="1" t="s">
        <v>40</v>
      </c>
      <c r="G4484" s="6">
        <f ca="1">IFERROR(__xludf.DUMMYFUNCTION("iferror(GOOGLEFINANCE(TRIM(F4484)&amp;"":"" &amp; TRIM(B4484), ""price""),0
)"),790)</f>
        <v>790</v>
      </c>
      <c r="H4484" s="6">
        <v>1096.55</v>
      </c>
      <c r="I4484" s="6">
        <f t="shared" ca="1" si="0"/>
        <v>790</v>
      </c>
      <c r="J4484" s="6">
        <f ca="1">IFERROR(__xludf.DUMMYFUNCTION("IFERROR(GOOGLEFINANCE(B4484, ""volume""), 0)"),1082)</f>
        <v>1082</v>
      </c>
      <c r="K4484" s="6">
        <v>0.08</v>
      </c>
      <c r="L4484" s="6">
        <f ca="1">IFERROR(__xludf.DUMMYFUNCTION("IFERROR(GOOGLEFINANCE(B4484,""changepct""),K4484)"),2.8)</f>
        <v>2.8</v>
      </c>
      <c r="M4484" s="6">
        <f ca="1">IFERROR(__xludf.DUMMYFUNCTION("IFERROR(GOOGLEFINANCE(B4484,""change""),0)"),21.5)</f>
        <v>21.5</v>
      </c>
      <c r="N4484" s="6">
        <v>2</v>
      </c>
      <c r="O4484" s="7">
        <v>45536</v>
      </c>
      <c r="P4484" s="6">
        <v>92.6</v>
      </c>
      <c r="Q4484" s="6">
        <v>1515.03</v>
      </c>
      <c r="R4484" s="7">
        <v>45536</v>
      </c>
      <c r="S4484" s="6">
        <v>452.54</v>
      </c>
      <c r="T4484" s="6">
        <v>25.46</v>
      </c>
      <c r="U4484" s="7">
        <v>45536</v>
      </c>
      <c r="V4484" s="6">
        <v>55.32</v>
      </c>
      <c r="W4484" s="6">
        <f ca="1">IFERROR(__xludf.DUMMYFUNCTION("IFERROR(GOOGLEFINANCE(B4484,""pe""),V4484)"),48.09)</f>
        <v>48.09</v>
      </c>
      <c r="X4484" s="6">
        <v>21.95</v>
      </c>
      <c r="Y4484" s="6">
        <v>4.92</v>
      </c>
      <c r="Z4484" s="6">
        <v>2</v>
      </c>
      <c r="AA4484" s="8">
        <v>45352</v>
      </c>
      <c r="AB4484" s="4">
        <v>0.28000000000000003</v>
      </c>
      <c r="AC4484" s="6">
        <v>7.85</v>
      </c>
      <c r="AD4484" s="6">
        <v>10.52</v>
      </c>
      <c r="AE4484" s="1">
        <v>0</v>
      </c>
      <c r="AF4484" s="1">
        <f ca="1">IFERROR(__xludf.DUMMYFUNCTION("IFERROR(GOOGLEFINANCE(TRIM(F4484)&amp;"":"" &amp; TRIM(B4484),""high52""),AE4484)"),1204.4)</f>
        <v>1204.4000000000001</v>
      </c>
      <c r="AG4484" s="1">
        <v>0</v>
      </c>
      <c r="AH4484" s="1">
        <f ca="1">IFERROR(__xludf.DUMMYFUNCTION("IFERROR(GOOGLEFINANCE(TRIM(F4484)&amp;"":"" &amp; TRIM(B4484),""low52""),AE4484)"),712.7)</f>
        <v>712.7</v>
      </c>
      <c r="AI4484" s="1">
        <f ca="1">IFERROR(__xludf.DUMMYFUNCTION("IFERROR(GOOGLEFINANCE(B4484,""eps""),0)"),16.43)</f>
        <v>16.43</v>
      </c>
      <c r="AJ4484" s="1"/>
      <c r="AK4484" s="1" t="s">
        <v>13569</v>
      </c>
      <c r="AL4484" s="9">
        <f t="shared" si="397"/>
        <v>1</v>
      </c>
    </row>
    <row r="4485" spans="1:38" ht="15" x14ac:dyDescent="0.25">
      <c r="A4485" s="1" t="s">
        <v>13570</v>
      </c>
      <c r="B4485" s="1" t="s">
        <v>13571</v>
      </c>
      <c r="C4485" s="1" t="s">
        <v>86</v>
      </c>
      <c r="D4485" s="1" t="s">
        <v>86</v>
      </c>
      <c r="E4485" s="6">
        <v>757.53</v>
      </c>
      <c r="F4485" s="1" t="s">
        <v>40</v>
      </c>
      <c r="G4485" s="6">
        <f ca="1">IFERROR(__xludf.DUMMYFUNCTION("iferror(GOOGLEFINANCE(TRIM(F4485)&amp;"":"" &amp; TRIM(B4485), ""price""),0
)"),0)</f>
        <v>0</v>
      </c>
      <c r="H4485" s="6">
        <v>603.75</v>
      </c>
      <c r="I4485" s="6">
        <f t="shared" ca="1" si="0"/>
        <v>603.75</v>
      </c>
      <c r="J4485" s="6">
        <f ca="1">IFERROR(__xludf.DUMMYFUNCTION("IFERROR(GOOGLEFINANCE(B4485, ""volume""), 0)"),0)</f>
        <v>0</v>
      </c>
      <c r="K4485" s="6">
        <v>1.99</v>
      </c>
      <c r="L4485" s="6">
        <f ca="1">IFERROR(__xludf.DUMMYFUNCTION("IFERROR(GOOGLEFINANCE(B4485,""changepct""),K4485)"),1.99)</f>
        <v>1.99</v>
      </c>
      <c r="M4485" s="6">
        <f ca="1">IFERROR(__xludf.DUMMYFUNCTION("IFERROR(GOOGLEFINANCE(B4485,""change""),0)"),0)</f>
        <v>0</v>
      </c>
      <c r="N4485" s="6">
        <v>2</v>
      </c>
      <c r="O4485" s="7">
        <v>45536</v>
      </c>
      <c r="P4485" s="6">
        <v>1.79</v>
      </c>
      <c r="Q4485" s="6">
        <v>759.32</v>
      </c>
      <c r="R4485" s="14"/>
      <c r="S4485" s="9"/>
      <c r="T4485" s="9"/>
      <c r="U4485" s="7">
        <v>44986</v>
      </c>
      <c r="V4485" s="6">
        <v>385.1</v>
      </c>
      <c r="W4485" s="6">
        <f ca="1">IFERROR(__xludf.DUMMYFUNCTION("IFERROR(GOOGLEFINANCE(B4485,""pe""),V4485)"),385.1)</f>
        <v>385.1</v>
      </c>
      <c r="X4485" s="9"/>
      <c r="Y4485" s="6">
        <v>59.2</v>
      </c>
      <c r="Z4485" s="6">
        <v>2</v>
      </c>
      <c r="AA4485" s="8">
        <v>44986</v>
      </c>
      <c r="AB4485" s="4">
        <v>7.0000000000000007E-2</v>
      </c>
      <c r="AC4485" s="6">
        <v>21.71</v>
      </c>
      <c r="AD4485" s="6">
        <v>28.79</v>
      </c>
      <c r="AE4485" s="1">
        <v>0</v>
      </c>
      <c r="AF4485" s="1">
        <f ca="1">IFERROR(__xludf.DUMMYFUNCTION("IFERROR(GOOGLEFINANCE(TRIM(F4485)&amp;"":"" &amp; TRIM(B4485),""high52""),AE4485)"),0)</f>
        <v>0</v>
      </c>
      <c r="AG4485" s="1">
        <v>0</v>
      </c>
      <c r="AH4485" s="1">
        <f ca="1">IFERROR(__xludf.DUMMYFUNCTION("IFERROR(GOOGLEFINANCE(TRIM(F4485)&amp;"":"" &amp; TRIM(B4485),""low52""),AE4485)"),0)</f>
        <v>0</v>
      </c>
      <c r="AI4485" s="1">
        <f ca="1">IFERROR(__xludf.DUMMYFUNCTION("IFERROR(GOOGLEFINANCE(B4485,""eps""),0)"),0)</f>
        <v>0</v>
      </c>
      <c r="AJ4485" s="1"/>
      <c r="AK4485" s="1" t="s">
        <v>13572</v>
      </c>
      <c r="AL4485" s="9">
        <f t="shared" si="397"/>
        <v>1</v>
      </c>
    </row>
    <row r="4486" spans="1:38" ht="15" x14ac:dyDescent="0.25">
      <c r="A4486" s="1" t="s">
        <v>13573</v>
      </c>
      <c r="B4486" s="1" t="s">
        <v>13574</v>
      </c>
      <c r="C4486" s="1" t="s">
        <v>4934</v>
      </c>
      <c r="D4486" s="1" t="s">
        <v>4934</v>
      </c>
      <c r="E4486" s="6">
        <v>7633.59</v>
      </c>
      <c r="F4486" s="1" t="s">
        <v>40</v>
      </c>
      <c r="G4486" s="6">
        <f ca="1">IFERROR(__xludf.DUMMYFUNCTION("iferror(GOOGLEFINANCE(TRIM(F4486)&amp;"":"" &amp; TRIM(B4486), ""price""),0
)"),285)</f>
        <v>285</v>
      </c>
      <c r="H4486" s="6">
        <v>569.85</v>
      </c>
      <c r="I4486" s="6">
        <f t="shared" ca="1" si="0"/>
        <v>285</v>
      </c>
      <c r="J4486" s="6">
        <f ca="1">IFERROR(__xludf.DUMMYFUNCTION("IFERROR(GOOGLEFINANCE(B4486, ""volume""), 0)"),464113)</f>
        <v>464113</v>
      </c>
      <c r="K4486" s="6">
        <v>-0.05</v>
      </c>
      <c r="L4486" s="6">
        <f ca="1">IFERROR(__xludf.DUMMYFUNCTION("IFERROR(GOOGLEFINANCE(B4486,""changepct""),K4486)"),3.6)</f>
        <v>3.6</v>
      </c>
      <c r="M4486" s="6">
        <f ca="1">IFERROR(__xludf.DUMMYFUNCTION("IFERROR(GOOGLEFINANCE(B4486,""change""),0)"),9.9)</f>
        <v>9.9</v>
      </c>
      <c r="N4486" s="6">
        <v>2</v>
      </c>
      <c r="O4486" s="7">
        <v>45536</v>
      </c>
      <c r="P4486" s="6">
        <v>58.97</v>
      </c>
      <c r="Q4486" s="6">
        <v>7509.82</v>
      </c>
      <c r="R4486" s="7">
        <v>45536</v>
      </c>
      <c r="S4486" s="6">
        <v>1027.6400000000001</v>
      </c>
      <c r="T4486" s="6">
        <v>71.36</v>
      </c>
      <c r="U4486" s="7">
        <v>45536</v>
      </c>
      <c r="V4486" s="6">
        <v>106.9</v>
      </c>
      <c r="W4486" s="6">
        <f ca="1">IFERROR(__xludf.DUMMYFUNCTION("IFERROR(GOOGLEFINANCE(B4486,""pe""),V4486)"),33.69)</f>
        <v>33.69</v>
      </c>
      <c r="X4486" s="12"/>
      <c r="Y4486" s="6">
        <v>6.29</v>
      </c>
      <c r="Z4486" s="6">
        <v>2</v>
      </c>
      <c r="AA4486" s="8">
        <v>45352</v>
      </c>
      <c r="AB4486" s="4">
        <v>0.13</v>
      </c>
      <c r="AC4486" s="6">
        <v>14.83</v>
      </c>
      <c r="AD4486" s="6">
        <v>17.97</v>
      </c>
      <c r="AE4486" s="1">
        <v>0</v>
      </c>
      <c r="AF4486" s="1">
        <f ca="1">IFERROR(__xludf.DUMMYFUNCTION("IFERROR(GOOGLEFINANCE(TRIM(F4486)&amp;"":"" &amp; TRIM(B4486),""high52""),AE4486)"),499.95)</f>
        <v>499.95</v>
      </c>
      <c r="AG4486" s="1">
        <v>0</v>
      </c>
      <c r="AH4486" s="1">
        <f ca="1">IFERROR(__xludf.DUMMYFUNCTION("IFERROR(GOOGLEFINANCE(TRIM(F4486)&amp;"":"" &amp; TRIM(B4486),""low52""),AE4486)"),265.8)</f>
        <v>265.8</v>
      </c>
      <c r="AI4486" s="1">
        <f ca="1">IFERROR(__xludf.DUMMYFUNCTION("IFERROR(GOOGLEFINANCE(B4486,""eps""),0)"),8.46)</f>
        <v>8.4600000000000009</v>
      </c>
      <c r="AJ4486" s="1"/>
      <c r="AK4486" s="1" t="s">
        <v>13575</v>
      </c>
      <c r="AL4486" s="9">
        <f t="shared" si="397"/>
        <v>1</v>
      </c>
    </row>
    <row r="4487" spans="1:38" ht="15" x14ac:dyDescent="0.25">
      <c r="A4487" s="1" t="s">
        <v>13576</v>
      </c>
      <c r="B4487" s="1" t="s">
        <v>352</v>
      </c>
      <c r="C4487" s="1" t="s">
        <v>259</v>
      </c>
      <c r="D4487" s="1" t="s">
        <v>259</v>
      </c>
      <c r="E4487" s="6">
        <v>238.11</v>
      </c>
      <c r="F4487" s="1" t="s">
        <v>40</v>
      </c>
      <c r="G4487" s="6">
        <f ca="1">IFERROR(__xludf.DUMMYFUNCTION("iferror(GOOGLEFINANCE(TRIM(F4487)&amp;"":"" &amp; TRIM(B4487), ""price""),0
)"),0)</f>
        <v>0</v>
      </c>
      <c r="H4487" s="6">
        <v>178.9</v>
      </c>
      <c r="I4487" s="6">
        <f t="shared" ca="1" si="0"/>
        <v>178.9</v>
      </c>
      <c r="J4487" s="6">
        <f ca="1">IFERROR(__xludf.DUMMYFUNCTION("IFERROR(GOOGLEFINANCE(B4487, ""volume""), 0)"),70733)</f>
        <v>70733</v>
      </c>
      <c r="K4487" s="12"/>
      <c r="L4487" s="6">
        <f ca="1">IFERROR(__xludf.DUMMYFUNCTION("IFERROR(GOOGLEFINANCE(B4487,""changepct""),K4487)"),-1.88)</f>
        <v>-1.88</v>
      </c>
      <c r="M4487" s="6">
        <f ca="1">IFERROR(__xludf.DUMMYFUNCTION("IFERROR(GOOGLEFINANCE(B4487,""change""),0)"),-7.9)</f>
        <v>-7.9</v>
      </c>
      <c r="N4487" s="6">
        <v>1</v>
      </c>
      <c r="O4487" s="7">
        <v>45536</v>
      </c>
      <c r="P4487" s="6">
        <v>12.34</v>
      </c>
      <c r="Q4487" s="6">
        <v>212.55</v>
      </c>
      <c r="R4487" s="7">
        <v>45352</v>
      </c>
      <c r="S4487" s="6">
        <v>193.09</v>
      </c>
      <c r="T4487" s="6">
        <v>11.67</v>
      </c>
      <c r="U4487" s="7">
        <v>45352</v>
      </c>
      <c r="V4487" s="6">
        <v>20.41</v>
      </c>
      <c r="W4487" s="6">
        <f ca="1">IFERROR(__xludf.DUMMYFUNCTION("IFERROR(GOOGLEFINANCE(B4487,""pe""),V4487)"),7.33)</f>
        <v>7.33</v>
      </c>
      <c r="X4487" s="12"/>
      <c r="Y4487" s="6">
        <v>3.72</v>
      </c>
      <c r="Z4487" s="6">
        <v>2</v>
      </c>
      <c r="AA4487" s="8">
        <v>45352</v>
      </c>
      <c r="AB4487" s="4">
        <v>0.15</v>
      </c>
      <c r="AC4487" s="6">
        <v>26.2</v>
      </c>
      <c r="AD4487" s="6">
        <v>30.47</v>
      </c>
      <c r="AE4487" s="1">
        <v>0</v>
      </c>
      <c r="AF4487" s="1">
        <f ca="1">IFERROR(__xludf.DUMMYFUNCTION("IFERROR(GOOGLEFINANCE(TRIM(F4487)&amp;"":"" &amp; TRIM(B4487),""high52""),AE4487)"),0)</f>
        <v>0</v>
      </c>
      <c r="AG4487" s="1">
        <v>0</v>
      </c>
      <c r="AH4487" s="1">
        <f ca="1">IFERROR(__xludf.DUMMYFUNCTION("IFERROR(GOOGLEFINANCE(TRIM(F4487)&amp;"":"" &amp; TRIM(B4487),""low52""),AE4487)"),0)</f>
        <v>0</v>
      </c>
      <c r="AI4487" s="1">
        <f ca="1">IFERROR(__xludf.DUMMYFUNCTION("IFERROR(GOOGLEFINANCE(B4487,""eps""),0)"),19.35)</f>
        <v>19.350000000000001</v>
      </c>
      <c r="AJ4487" s="1"/>
      <c r="AK4487" s="1" t="s">
        <v>13577</v>
      </c>
      <c r="AL4487" s="9">
        <f t="shared" si="397"/>
        <v>1</v>
      </c>
    </row>
    <row r="4488" spans="1:38" ht="15" x14ac:dyDescent="0.25">
      <c r="A4488" s="1" t="s">
        <v>13578</v>
      </c>
      <c r="B4488" s="1" t="s">
        <v>13579</v>
      </c>
      <c r="C4488" s="1" t="s">
        <v>1682</v>
      </c>
      <c r="D4488" s="1" t="s">
        <v>1682</v>
      </c>
      <c r="E4488" s="6">
        <v>11905.64</v>
      </c>
      <c r="F4488" s="1" t="s">
        <v>40</v>
      </c>
      <c r="G4488" s="6">
        <f ca="1">IFERROR(__xludf.DUMMYFUNCTION("iferror(GOOGLEFINANCE(TRIM(F4488)&amp;"":"" &amp; TRIM(B4488), ""price""),0
)"),82.08)</f>
        <v>82.08</v>
      </c>
      <c r="H4488" s="6">
        <v>128.85</v>
      </c>
      <c r="I4488" s="6">
        <f t="shared" ca="1" si="0"/>
        <v>82.08</v>
      </c>
      <c r="J4488" s="6">
        <f ca="1">IFERROR(__xludf.DUMMYFUNCTION("IFERROR(GOOGLEFINANCE(B4488, ""volume""), 0)"),7768187)</f>
        <v>7768187</v>
      </c>
      <c r="K4488" s="6">
        <v>3.94</v>
      </c>
      <c r="L4488" s="6">
        <f ca="1">IFERROR(__xludf.DUMMYFUNCTION("IFERROR(GOOGLEFINANCE(B4488,""changepct""),K4488)"),0.59)</f>
        <v>0.59</v>
      </c>
      <c r="M4488" s="6">
        <f ca="1">IFERROR(__xludf.DUMMYFUNCTION("IFERROR(GOOGLEFINANCE(B4488,""change""),0)"),0.48)</f>
        <v>0.48</v>
      </c>
      <c r="N4488" s="6">
        <v>2</v>
      </c>
      <c r="O4488" s="7">
        <v>45536</v>
      </c>
      <c r="P4488" s="6">
        <v>155.19999999999999</v>
      </c>
      <c r="Q4488" s="6">
        <v>10881.54</v>
      </c>
      <c r="R4488" s="7">
        <v>45536</v>
      </c>
      <c r="S4488" s="6">
        <v>8346.82</v>
      </c>
      <c r="T4488" s="6">
        <v>400.32</v>
      </c>
      <c r="U4488" s="7">
        <v>45536</v>
      </c>
      <c r="V4488" s="6">
        <v>29.81</v>
      </c>
      <c r="W4488" s="6">
        <f ca="1">IFERROR(__xludf.DUMMYFUNCTION("IFERROR(GOOGLEFINANCE(B4488,""pe""),V4488)"),14.12)</f>
        <v>14.12</v>
      </c>
      <c r="X4488" s="6">
        <v>-1.03</v>
      </c>
      <c r="Y4488" s="6">
        <v>1.06</v>
      </c>
      <c r="Z4488" s="6">
        <v>2</v>
      </c>
      <c r="AA4488" s="8">
        <v>45352</v>
      </c>
      <c r="AB4488" s="4">
        <v>0</v>
      </c>
      <c r="AC4488" s="6">
        <v>1.85</v>
      </c>
      <c r="AD4488" s="6">
        <v>4.2</v>
      </c>
      <c r="AE4488" s="1">
        <v>0</v>
      </c>
      <c r="AF4488" s="1">
        <f ca="1">IFERROR(__xludf.DUMMYFUNCTION("IFERROR(GOOGLEFINANCE(TRIM(F4488)&amp;"":"" &amp; TRIM(B4488),""high52""),AE4488)"),151.7)</f>
        <v>151.69999999999999</v>
      </c>
      <c r="AG4488" s="1">
        <v>0</v>
      </c>
      <c r="AH4488" s="1">
        <f ca="1">IFERROR(__xludf.DUMMYFUNCTION("IFERROR(GOOGLEFINANCE(TRIM(F4488)&amp;"":"" &amp; TRIM(B4488),""low52""),AE4488)"),78.4)</f>
        <v>78.400000000000006</v>
      </c>
      <c r="AI4488" s="1">
        <f ca="1">IFERROR(__xludf.DUMMYFUNCTION("IFERROR(GOOGLEFINANCE(B4488,""eps""),0)"),5.81)</f>
        <v>5.81</v>
      </c>
      <c r="AJ4488" s="1"/>
      <c r="AK4488" s="1" t="s">
        <v>13580</v>
      </c>
      <c r="AL4488" s="9">
        <f t="shared" si="397"/>
        <v>1</v>
      </c>
    </row>
    <row r="4489" spans="1:38" ht="15" x14ac:dyDescent="0.25">
      <c r="A4489" s="1" t="s">
        <v>13581</v>
      </c>
      <c r="B4489" s="1" t="s">
        <v>13582</v>
      </c>
      <c r="C4489" s="1" t="s">
        <v>321</v>
      </c>
      <c r="D4489" s="1" t="s">
        <v>321</v>
      </c>
      <c r="E4489" s="6">
        <v>267.20999999999998</v>
      </c>
      <c r="F4489" s="1" t="s">
        <v>40</v>
      </c>
      <c r="G4489" s="6">
        <f ca="1">IFERROR(__xludf.DUMMYFUNCTION("iferror(GOOGLEFINANCE(TRIM(F4489)&amp;"":"" &amp; TRIM(B4489), ""price""),0
)"),6.35)</f>
        <v>6.35</v>
      </c>
      <c r="H4489" s="6">
        <v>8.15</v>
      </c>
      <c r="I4489" s="6">
        <f t="shared" ca="1" si="0"/>
        <v>6.35</v>
      </c>
      <c r="J4489" s="6">
        <f ca="1">IFERROR(__xludf.DUMMYFUNCTION("IFERROR(GOOGLEFINANCE(B4489, ""volume""), 0)"),189221)</f>
        <v>189221</v>
      </c>
      <c r="K4489" s="6">
        <v>0</v>
      </c>
      <c r="L4489" s="6">
        <f ca="1">IFERROR(__xludf.DUMMYFUNCTION("IFERROR(GOOGLEFINANCE(B4489,""changepct""),K4489)"),-2.61)</f>
        <v>-2.61</v>
      </c>
      <c r="M4489" s="6">
        <f ca="1">IFERROR(__xludf.DUMMYFUNCTION("IFERROR(GOOGLEFINANCE(B4489,""change""),0)"),-0.17)</f>
        <v>-0.17</v>
      </c>
      <c r="N4489" s="6">
        <v>2</v>
      </c>
      <c r="O4489" s="7">
        <v>45536</v>
      </c>
      <c r="P4489" s="6">
        <v>341.57</v>
      </c>
      <c r="Q4489" s="6">
        <v>600.61</v>
      </c>
      <c r="R4489" s="7">
        <v>45536</v>
      </c>
      <c r="S4489" s="6">
        <v>322.72000000000003</v>
      </c>
      <c r="T4489" s="6">
        <v>167.04</v>
      </c>
      <c r="U4489" s="7">
        <v>45536</v>
      </c>
      <c r="V4489" s="6">
        <v>1.57</v>
      </c>
      <c r="W4489" s="6">
        <f ca="1">IFERROR(__xludf.DUMMYFUNCTION("IFERROR(GOOGLEFINANCE(B4489,""pe""),V4489)"),27.73)</f>
        <v>27.73</v>
      </c>
      <c r="X4489" s="6">
        <v>-0.23</v>
      </c>
      <c r="Y4489" s="6">
        <v>1.46</v>
      </c>
      <c r="Z4489" s="6">
        <v>2</v>
      </c>
      <c r="AA4489" s="8">
        <v>45352</v>
      </c>
      <c r="AB4489" s="4">
        <v>1.86</v>
      </c>
      <c r="AC4489" s="6">
        <v>163.26</v>
      </c>
      <c r="AD4489" s="6">
        <v>45.82</v>
      </c>
      <c r="AE4489" s="1">
        <v>0</v>
      </c>
      <c r="AF4489" s="1">
        <f ca="1">IFERROR(__xludf.DUMMYFUNCTION("IFERROR(GOOGLEFINANCE(TRIM(F4489)&amp;"":"" &amp; TRIM(B4489),""high52""),AE4489)"),10.89)</f>
        <v>10.89</v>
      </c>
      <c r="AG4489" s="1">
        <v>0</v>
      </c>
      <c r="AH4489" s="1">
        <f ca="1">IFERROR(__xludf.DUMMYFUNCTION("IFERROR(GOOGLEFINANCE(TRIM(F4489)&amp;"":"" &amp; TRIM(B4489),""low52""),AE4489)"),4.57)</f>
        <v>4.57</v>
      </c>
      <c r="AI4489" s="1">
        <f ca="1">IFERROR(__xludf.DUMMYFUNCTION("IFERROR(GOOGLEFINANCE(B4489,""eps""),0)"),0.23)</f>
        <v>0.23</v>
      </c>
      <c r="AJ4489" s="1"/>
      <c r="AK4489" s="1" t="s">
        <v>13583</v>
      </c>
      <c r="AL4489" s="9">
        <f t="shared" si="397"/>
        <v>1</v>
      </c>
    </row>
    <row r="4490" spans="1:38" ht="15" x14ac:dyDescent="0.25">
      <c r="A4490" s="1" t="s">
        <v>13584</v>
      </c>
      <c r="B4490" s="1" t="s">
        <v>13585</v>
      </c>
      <c r="C4490" s="1" t="s">
        <v>828</v>
      </c>
      <c r="D4490" s="1" t="s">
        <v>828</v>
      </c>
      <c r="E4490" s="6">
        <v>2349.21</v>
      </c>
      <c r="F4490" s="1" t="s">
        <v>53</v>
      </c>
      <c r="G4490" s="6">
        <f ca="1">IFERROR(__xludf.DUMMYFUNCTION("iferror(GOOGLEFINANCE(TRIM(F4490)&amp;"":"" &amp; TRIM(B4490), ""price""),0
)"),0)</f>
        <v>0</v>
      </c>
      <c r="H4490" s="6">
        <v>1019</v>
      </c>
      <c r="I4490" s="6">
        <f t="shared" ca="1" si="0"/>
        <v>1019</v>
      </c>
      <c r="J4490" s="6">
        <f ca="1">IFERROR(__xludf.DUMMYFUNCTION("IFERROR(GOOGLEFINANCE(B4490, ""volume""), 0)"),0)</f>
        <v>0</v>
      </c>
      <c r="K4490" s="6">
        <v>0.05</v>
      </c>
      <c r="L4490" s="6">
        <f ca="1">IFERROR(__xludf.DUMMYFUNCTION("IFERROR(GOOGLEFINANCE(B4490,""changepct""),K4490)"),0.05)</f>
        <v>0.05</v>
      </c>
      <c r="M4490" s="6">
        <f ca="1">IFERROR(__xludf.DUMMYFUNCTION("IFERROR(GOOGLEFINANCE(B4490,""change""),0)"),0)</f>
        <v>0</v>
      </c>
      <c r="N4490" s="6">
        <v>1</v>
      </c>
      <c r="O4490" s="7">
        <v>45536</v>
      </c>
      <c r="P4490" s="9"/>
      <c r="Q4490" s="6">
        <v>2151.0500000000002</v>
      </c>
      <c r="R4490" s="7">
        <v>45536</v>
      </c>
      <c r="S4490" s="6">
        <v>2515.56</v>
      </c>
      <c r="T4490" s="6">
        <v>58.42</v>
      </c>
      <c r="U4490" s="7">
        <v>45536</v>
      </c>
      <c r="V4490" s="6">
        <v>40.21</v>
      </c>
      <c r="W4490" s="6">
        <f ca="1">IFERROR(__xludf.DUMMYFUNCTION("IFERROR(GOOGLEFINANCE(B4490,""pe""),V4490)"),40.21)</f>
        <v>40.21</v>
      </c>
      <c r="X4490" s="6">
        <v>-27.54</v>
      </c>
      <c r="Y4490" s="6">
        <v>4.0199999999999996</v>
      </c>
      <c r="Z4490" s="6">
        <v>1</v>
      </c>
      <c r="AA4490" s="8">
        <v>45352</v>
      </c>
      <c r="AB4490" s="4">
        <v>0</v>
      </c>
      <c r="AC4490" s="6">
        <v>16.05</v>
      </c>
      <c r="AD4490" s="6">
        <v>22.38</v>
      </c>
      <c r="AE4490" s="1">
        <v>0</v>
      </c>
      <c r="AF4490" s="1">
        <f ca="1">IFERROR(__xludf.DUMMYFUNCTION("IFERROR(GOOGLEFINANCE(TRIM(F4490)&amp;"":"" &amp; TRIM(B4490),""high52""),AE4490)"),0)</f>
        <v>0</v>
      </c>
      <c r="AG4490" s="1">
        <v>0</v>
      </c>
      <c r="AH4490" s="1">
        <f ca="1">IFERROR(__xludf.DUMMYFUNCTION("IFERROR(GOOGLEFINANCE(TRIM(F4490)&amp;"":"" &amp; TRIM(B4490),""low52""),AE4490)"),0)</f>
        <v>0</v>
      </c>
      <c r="AI4490" s="1">
        <f ca="1">IFERROR(__xludf.DUMMYFUNCTION("IFERROR(GOOGLEFINANCE(B4490,""eps""),0)"),0)</f>
        <v>0</v>
      </c>
      <c r="AJ4490" s="1"/>
      <c r="AK4490" s="1" t="s">
        <v>13586</v>
      </c>
      <c r="AL4490" s="9">
        <f t="shared" si="397"/>
        <v>1</v>
      </c>
    </row>
    <row r="4491" spans="1:38" ht="15" x14ac:dyDescent="0.25">
      <c r="A4491" s="1" t="s">
        <v>13587</v>
      </c>
      <c r="B4491" s="1" t="s">
        <v>13588</v>
      </c>
      <c r="C4491" s="1" t="s">
        <v>1682</v>
      </c>
      <c r="D4491" s="1" t="s">
        <v>1682</v>
      </c>
      <c r="E4491" s="6">
        <v>1247.73</v>
      </c>
      <c r="F4491" s="1" t="s">
        <v>40</v>
      </c>
      <c r="G4491" s="6">
        <f ca="1">IFERROR(__xludf.DUMMYFUNCTION("iferror(GOOGLEFINANCE(TRIM(F4491)&amp;"":"" &amp; TRIM(B4491), ""price""),0
)"),7.89)</f>
        <v>7.89</v>
      </c>
      <c r="H4491" s="6">
        <v>20.13</v>
      </c>
      <c r="I4491" s="6">
        <f t="shared" ca="1" si="0"/>
        <v>7.89</v>
      </c>
      <c r="J4491" s="6">
        <f ca="1">IFERROR(__xludf.DUMMYFUNCTION("IFERROR(GOOGLEFINANCE(B4491, ""volume""), 0)"),1017897)</f>
        <v>1017897</v>
      </c>
      <c r="K4491" s="6">
        <v>1.41</v>
      </c>
      <c r="L4491" s="6">
        <f ca="1">IFERROR(__xludf.DUMMYFUNCTION("IFERROR(GOOGLEFINANCE(B4491,""changepct""),K4491)"),0.64)</f>
        <v>0.64</v>
      </c>
      <c r="M4491" s="6">
        <f ca="1">IFERROR(__xludf.DUMMYFUNCTION("IFERROR(GOOGLEFINANCE(B4491,""change""),0)"),0.05)</f>
        <v>0.05</v>
      </c>
      <c r="N4491" s="6">
        <v>2</v>
      </c>
      <c r="O4491" s="7">
        <v>45536</v>
      </c>
      <c r="P4491" s="6">
        <v>93.7</v>
      </c>
      <c r="Q4491" s="6">
        <v>1323.02</v>
      </c>
      <c r="R4491" s="7">
        <v>45536</v>
      </c>
      <c r="S4491" s="6">
        <v>652.95000000000005</v>
      </c>
      <c r="T4491" s="6">
        <v>-102.54</v>
      </c>
      <c r="U4491" s="7">
        <v>45536</v>
      </c>
      <c r="V4491" s="6">
        <v>0</v>
      </c>
      <c r="W4491" s="6">
        <f ca="1">IFERROR(__xludf.DUMMYFUNCTION("IFERROR(GOOGLEFINANCE(B4491,""pe""),V4491)"),0)</f>
        <v>0</v>
      </c>
      <c r="X4491" s="9"/>
      <c r="Y4491" s="6">
        <v>5.44</v>
      </c>
      <c r="Z4491" s="6">
        <v>2</v>
      </c>
      <c r="AA4491" s="8">
        <v>45352</v>
      </c>
      <c r="AB4491" s="4">
        <v>0.55000000000000004</v>
      </c>
      <c r="AC4491" s="6">
        <v>-33.119999999999997</v>
      </c>
      <c r="AD4491" s="6">
        <v>-20.36</v>
      </c>
      <c r="AE4491" s="1">
        <v>0</v>
      </c>
      <c r="AF4491" s="1">
        <f ca="1">IFERROR(__xludf.DUMMYFUNCTION("IFERROR(GOOGLEFINANCE(TRIM(F4491)&amp;"":"" &amp; TRIM(B4491),""high52""),AE4491)"),17.77)</f>
        <v>17.77</v>
      </c>
      <c r="AG4491" s="1">
        <v>0</v>
      </c>
      <c r="AH4491" s="1">
        <f ca="1">IFERROR(__xludf.DUMMYFUNCTION("IFERROR(GOOGLEFINANCE(TRIM(F4491)&amp;"":"" &amp; TRIM(B4491),""low52""),AE4491)"),7.1)</f>
        <v>7.1</v>
      </c>
      <c r="AI4491" s="1">
        <f ca="1">IFERROR(__xludf.DUMMYFUNCTION("IFERROR(GOOGLEFINANCE(B4491,""eps""),0)"),-1.34)</f>
        <v>-1.34</v>
      </c>
      <c r="AJ4491" s="1"/>
      <c r="AK4491" s="9"/>
      <c r="AL4491" s="9">
        <f t="shared" si="397"/>
        <v>1</v>
      </c>
    </row>
    <row r="4492" spans="1:38" ht="15" x14ac:dyDescent="0.25">
      <c r="A4492" s="1" t="s">
        <v>13589</v>
      </c>
      <c r="B4492" s="1" t="s">
        <v>13590</v>
      </c>
      <c r="C4492" s="1" t="s">
        <v>828</v>
      </c>
      <c r="D4492" s="1" t="s">
        <v>828</v>
      </c>
      <c r="E4492" s="6">
        <v>113.96</v>
      </c>
      <c r="F4492" s="1" t="s">
        <v>53</v>
      </c>
      <c r="G4492" s="6">
        <f ca="1">IFERROR(__xludf.DUMMYFUNCTION("iferror(GOOGLEFINANCE(TRIM(F4492)&amp;"":"" &amp; TRIM(B4492), ""price""),0
)"),0)</f>
        <v>0</v>
      </c>
      <c r="H4492" s="6">
        <v>80.7</v>
      </c>
      <c r="I4492" s="6">
        <f t="shared" ca="1" si="0"/>
        <v>80.7</v>
      </c>
      <c r="J4492" s="6">
        <f ca="1">IFERROR(__xludf.DUMMYFUNCTION("IFERROR(GOOGLEFINANCE(B4492, ""volume""), 0)"),0)</f>
        <v>0</v>
      </c>
      <c r="K4492" s="6">
        <v>4.08</v>
      </c>
      <c r="L4492" s="6">
        <f ca="1">IFERROR(__xludf.DUMMYFUNCTION("IFERROR(GOOGLEFINANCE(B4492,""changepct""),K4492)"),4.08)</f>
        <v>4.08</v>
      </c>
      <c r="M4492" s="6">
        <f ca="1">IFERROR(__xludf.DUMMYFUNCTION("IFERROR(GOOGLEFINANCE(B4492,""change""),0)"),0)</f>
        <v>0</v>
      </c>
      <c r="N4492" s="6">
        <v>2</v>
      </c>
      <c r="O4492" s="7">
        <v>45536</v>
      </c>
      <c r="P4492" s="6">
        <v>19.07</v>
      </c>
      <c r="Q4492" s="6">
        <v>130.74</v>
      </c>
      <c r="R4492" s="7">
        <v>45536</v>
      </c>
      <c r="S4492" s="6">
        <v>48.66</v>
      </c>
      <c r="T4492" s="6">
        <v>1.58</v>
      </c>
      <c r="U4492" s="7">
        <v>45536</v>
      </c>
      <c r="V4492" s="6">
        <v>70.739999999999995</v>
      </c>
      <c r="W4492" s="6">
        <f ca="1">IFERROR(__xludf.DUMMYFUNCTION("IFERROR(GOOGLEFINANCE(B4492,""pe""),V4492)"),70.74)</f>
        <v>70.739999999999995</v>
      </c>
      <c r="X4492" s="9"/>
      <c r="Y4492" s="6">
        <v>3.45</v>
      </c>
      <c r="Z4492" s="6">
        <v>2</v>
      </c>
      <c r="AA4492" s="8">
        <v>45352</v>
      </c>
      <c r="AB4492" s="4">
        <v>0.51</v>
      </c>
      <c r="AC4492" s="6">
        <v>3.6</v>
      </c>
      <c r="AD4492" s="6">
        <v>7.44</v>
      </c>
      <c r="AE4492" s="1">
        <v>0</v>
      </c>
      <c r="AF4492" s="1">
        <f ca="1">IFERROR(__xludf.DUMMYFUNCTION("IFERROR(GOOGLEFINANCE(TRIM(F4492)&amp;"":"" &amp; TRIM(B4492),""high52""),AE4492)"),0)</f>
        <v>0</v>
      </c>
      <c r="AG4492" s="1">
        <v>0</v>
      </c>
      <c r="AH4492" s="1">
        <f ca="1">IFERROR(__xludf.DUMMYFUNCTION("IFERROR(GOOGLEFINANCE(TRIM(F4492)&amp;"":"" &amp; TRIM(B4492),""low52""),AE4492)"),0)</f>
        <v>0</v>
      </c>
      <c r="AI4492" s="1">
        <f ca="1">IFERROR(__xludf.DUMMYFUNCTION("IFERROR(GOOGLEFINANCE(B4492,""eps""),0)"),0)</f>
        <v>0</v>
      </c>
      <c r="AJ4492" s="1"/>
      <c r="AK4492" s="1" t="s">
        <v>13591</v>
      </c>
      <c r="AL4492" s="9">
        <f t="shared" si="397"/>
        <v>1</v>
      </c>
    </row>
    <row r="4493" spans="1:38" ht="15" x14ac:dyDescent="0.25">
      <c r="A4493" s="1" t="s">
        <v>13592</v>
      </c>
      <c r="B4493" s="1" t="s">
        <v>13593</v>
      </c>
      <c r="C4493" s="1" t="s">
        <v>57</v>
      </c>
      <c r="D4493" s="1" t="s">
        <v>57</v>
      </c>
      <c r="E4493" s="6">
        <v>22582.07</v>
      </c>
      <c r="F4493" s="1" t="s">
        <v>40</v>
      </c>
      <c r="G4493" s="6">
        <f ca="1">IFERROR(__xludf.DUMMYFUNCTION("iferror(GOOGLEFINANCE(TRIM(F4493)&amp;"":"" &amp; TRIM(B4493), ""price""),0
)"),1345)</f>
        <v>1345</v>
      </c>
      <c r="H4493" s="6">
        <v>2536.1</v>
      </c>
      <c r="I4493" s="6">
        <f t="shared" ca="1" si="0"/>
        <v>1345</v>
      </c>
      <c r="J4493" s="6">
        <f ca="1">IFERROR(__xludf.DUMMYFUNCTION("IFERROR(GOOGLEFINANCE(B4493, ""volume""), 0)"),405489)</f>
        <v>405489</v>
      </c>
      <c r="K4493" s="6">
        <v>1.4</v>
      </c>
      <c r="L4493" s="6">
        <f ca="1">IFERROR(__xludf.DUMMYFUNCTION("IFERROR(GOOGLEFINANCE(B4493,""changepct""),K4493)"),0.65)</f>
        <v>0.65</v>
      </c>
      <c r="M4493" s="6">
        <f ca="1">IFERROR(__xludf.DUMMYFUNCTION("IFERROR(GOOGLEFINANCE(B4493,""change""),0)"),8.7)</f>
        <v>8.6999999999999993</v>
      </c>
      <c r="N4493" s="6">
        <v>2</v>
      </c>
      <c r="O4493" s="7">
        <v>45536</v>
      </c>
      <c r="P4493" s="6">
        <v>58.81</v>
      </c>
      <c r="Q4493" s="6">
        <v>21535.34</v>
      </c>
      <c r="R4493" s="7">
        <v>45536</v>
      </c>
      <c r="S4493" s="6">
        <v>737.36</v>
      </c>
      <c r="T4493" s="6">
        <v>210.35</v>
      </c>
      <c r="U4493" s="7">
        <v>45536</v>
      </c>
      <c r="V4493" s="6">
        <v>110.16</v>
      </c>
      <c r="W4493" s="6">
        <f ca="1">IFERROR(__xludf.DUMMYFUNCTION("IFERROR(GOOGLEFINANCE(B4493,""pe""),V4493)"),48.76)</f>
        <v>48.76</v>
      </c>
      <c r="X4493" s="6">
        <v>1.94</v>
      </c>
      <c r="Y4493" s="6">
        <v>14.47</v>
      </c>
      <c r="Z4493" s="6">
        <v>2</v>
      </c>
      <c r="AA4493" s="8">
        <v>45352</v>
      </c>
      <c r="AB4493" s="4">
        <v>0</v>
      </c>
      <c r="AC4493" s="6">
        <v>34.130000000000003</v>
      </c>
      <c r="AD4493" s="6">
        <v>48.86</v>
      </c>
      <c r="AE4493" s="1">
        <v>0</v>
      </c>
      <c r="AF4493" s="1">
        <f ca="1">IFERROR(__xludf.DUMMYFUNCTION("IFERROR(GOOGLEFINANCE(TRIM(F4493)&amp;"":"" &amp; TRIM(B4493),""high52""),AE4493)"),2268)</f>
        <v>2268</v>
      </c>
      <c r="AG4493" s="1">
        <v>0</v>
      </c>
      <c r="AH4493" s="1">
        <f ca="1">IFERROR(__xludf.DUMMYFUNCTION("IFERROR(GOOGLEFINANCE(TRIM(F4493)&amp;"":"" &amp; TRIM(B4493),""low52""),AE4493)"),945.35)</f>
        <v>945.35</v>
      </c>
      <c r="AI4493" s="1">
        <f ca="1">IFERROR(__xludf.DUMMYFUNCTION("IFERROR(GOOGLEFINANCE(B4493,""eps""),0)"),27.59)</f>
        <v>27.59</v>
      </c>
      <c r="AJ4493" s="1"/>
      <c r="AK4493" s="9"/>
      <c r="AL4493" s="9">
        <f t="shared" si="397"/>
        <v>1</v>
      </c>
    </row>
    <row r="4494" spans="1:38" ht="15" x14ac:dyDescent="0.25">
      <c r="A4494" s="1" t="s">
        <v>13594</v>
      </c>
      <c r="B4494" s="1" t="s">
        <v>13595</v>
      </c>
      <c r="C4494" s="1" t="s">
        <v>106</v>
      </c>
      <c r="D4494" s="1" t="s">
        <v>106</v>
      </c>
      <c r="E4494" s="6">
        <v>144.47999999999999</v>
      </c>
      <c r="F4494" s="1" t="s">
        <v>40</v>
      </c>
      <c r="G4494" s="6">
        <f ca="1">IFERROR(__xludf.DUMMYFUNCTION("iferror(GOOGLEFINANCE(TRIM(F4494)&amp;"":"" &amp; TRIM(B4494), ""price""),0
)"),0)</f>
        <v>0</v>
      </c>
      <c r="H4494" s="6">
        <v>83.25</v>
      </c>
      <c r="I4494" s="6">
        <f t="shared" ca="1" si="0"/>
        <v>83.25</v>
      </c>
      <c r="J4494" s="6">
        <f ca="1">IFERROR(__xludf.DUMMYFUNCTION("IFERROR(GOOGLEFINANCE(B4494, ""volume""), 0)"),0)</f>
        <v>0</v>
      </c>
      <c r="K4494" s="6">
        <v>-1.19</v>
      </c>
      <c r="L4494" s="6">
        <f ca="1">IFERROR(__xludf.DUMMYFUNCTION("IFERROR(GOOGLEFINANCE(B4494,""changepct""),K4494)"),-1.19)</f>
        <v>-1.19</v>
      </c>
      <c r="M4494" s="6">
        <f ca="1">IFERROR(__xludf.DUMMYFUNCTION("IFERROR(GOOGLEFINANCE(B4494,""change""),0)"),0)</f>
        <v>0</v>
      </c>
      <c r="N4494" s="6">
        <v>1</v>
      </c>
      <c r="O4494" s="7">
        <v>45536</v>
      </c>
      <c r="P4494" s="6">
        <v>39.54</v>
      </c>
      <c r="Q4494" s="6">
        <v>184.02</v>
      </c>
      <c r="R4494" s="7">
        <v>45352</v>
      </c>
      <c r="S4494" s="6">
        <v>131.62</v>
      </c>
      <c r="T4494" s="6">
        <v>9.5399999999999991</v>
      </c>
      <c r="U4494" s="7">
        <v>45352</v>
      </c>
      <c r="V4494" s="6">
        <v>15.15</v>
      </c>
      <c r="W4494" s="6">
        <f ca="1">IFERROR(__xludf.DUMMYFUNCTION("IFERROR(GOOGLEFINANCE(B4494,""pe""),V4494)"),15.15)</f>
        <v>15.15</v>
      </c>
      <c r="X4494" s="12"/>
      <c r="Y4494" s="6">
        <v>2.3199999999999998</v>
      </c>
      <c r="Z4494" s="6">
        <v>2</v>
      </c>
      <c r="AA4494" s="8">
        <v>45352</v>
      </c>
      <c r="AB4494" s="4">
        <v>0.4</v>
      </c>
      <c r="AC4494" s="6">
        <v>24.12</v>
      </c>
      <c r="AD4494" s="6">
        <v>25.15</v>
      </c>
      <c r="AE4494" s="1">
        <v>0</v>
      </c>
      <c r="AF4494" s="1">
        <f ca="1">IFERROR(__xludf.DUMMYFUNCTION("IFERROR(GOOGLEFINANCE(TRIM(F4494)&amp;"":"" &amp; TRIM(B4494),""high52""),AE4494)"),0)</f>
        <v>0</v>
      </c>
      <c r="AG4494" s="1">
        <v>0</v>
      </c>
      <c r="AH4494" s="1">
        <f ca="1">IFERROR(__xludf.DUMMYFUNCTION("IFERROR(GOOGLEFINANCE(TRIM(F4494)&amp;"":"" &amp; TRIM(B4494),""low52""),AE4494)"),0)</f>
        <v>0</v>
      </c>
      <c r="AI4494" s="1">
        <f ca="1">IFERROR(__xludf.DUMMYFUNCTION("IFERROR(GOOGLEFINANCE(B4494,""eps""),0)"),0)</f>
        <v>0</v>
      </c>
      <c r="AJ4494" s="1"/>
      <c r="AK4494" s="1" t="s">
        <v>13596</v>
      </c>
      <c r="AL4494" s="9">
        <f t="shared" si="397"/>
        <v>1</v>
      </c>
    </row>
    <row r="4495" spans="1:38" ht="15" x14ac:dyDescent="0.25">
      <c r="A4495" s="1" t="s">
        <v>13597</v>
      </c>
      <c r="B4495" s="1" t="s">
        <v>13598</v>
      </c>
      <c r="C4495" s="1" t="s">
        <v>186</v>
      </c>
      <c r="D4495" s="1" t="s">
        <v>186</v>
      </c>
      <c r="E4495" s="6">
        <v>154.58000000000001</v>
      </c>
      <c r="F4495" s="1" t="s">
        <v>40</v>
      </c>
      <c r="G4495" s="6">
        <f ca="1">IFERROR(__xludf.DUMMYFUNCTION("iferror(GOOGLEFINANCE(TRIM(F4495)&amp;"":"" &amp; TRIM(B4495), ""price""),0
)"),217.18)</f>
        <v>217.18</v>
      </c>
      <c r="H4495" s="6">
        <v>285.95</v>
      </c>
      <c r="I4495" s="6">
        <f t="shared" ca="1" si="0"/>
        <v>217.18</v>
      </c>
      <c r="J4495" s="6">
        <f ca="1">IFERROR(__xludf.DUMMYFUNCTION("IFERROR(GOOGLEFINANCE(B4495, ""volume""), 0)"),411)</f>
        <v>411</v>
      </c>
      <c r="K4495" s="9"/>
      <c r="L4495" s="6">
        <f ca="1">IFERROR(__xludf.DUMMYFUNCTION("IFERROR(GOOGLEFINANCE(B4495,""changepct""),K4495)"),1.99)</f>
        <v>1.99</v>
      </c>
      <c r="M4495" s="6">
        <f ca="1">IFERROR(__xludf.DUMMYFUNCTION("IFERROR(GOOGLEFINANCE(B4495,""change""),0)"),4.24)</f>
        <v>4.24</v>
      </c>
      <c r="N4495" s="6">
        <v>1</v>
      </c>
      <c r="O4495" s="7">
        <v>45536</v>
      </c>
      <c r="P4495" s="6">
        <v>9.66</v>
      </c>
      <c r="Q4495" s="6">
        <v>136.84</v>
      </c>
      <c r="R4495" s="7">
        <v>45536</v>
      </c>
      <c r="S4495" s="6">
        <v>70.88</v>
      </c>
      <c r="T4495" s="6">
        <v>-2.58</v>
      </c>
      <c r="U4495" s="7">
        <v>45536</v>
      </c>
      <c r="V4495" s="6">
        <v>0</v>
      </c>
      <c r="W4495" s="6">
        <f ca="1">IFERROR(__xludf.DUMMYFUNCTION("IFERROR(GOOGLEFINANCE(B4495,""pe""),V4495)"),55.39)</f>
        <v>55.39</v>
      </c>
      <c r="X4495" s="6">
        <v>0</v>
      </c>
      <c r="Y4495" s="6">
        <v>1.97</v>
      </c>
      <c r="Z4495" s="6">
        <v>1</v>
      </c>
      <c r="AA4495" s="8">
        <v>45352</v>
      </c>
      <c r="AB4495" s="4">
        <v>7.0000000000000007E-2</v>
      </c>
      <c r="AC4495" s="6">
        <v>0.38</v>
      </c>
      <c r="AD4495" s="6">
        <v>2.1800000000000002</v>
      </c>
      <c r="AE4495" s="1">
        <v>0</v>
      </c>
      <c r="AF4495" s="1">
        <f ca="1">IFERROR(__xludf.DUMMYFUNCTION("IFERROR(GOOGLEFINANCE(TRIM(F4495)&amp;"":"" &amp; TRIM(B4495),""high52""),AE4495)"),360.7)</f>
        <v>360.7</v>
      </c>
      <c r="AG4495" s="1">
        <v>0</v>
      </c>
      <c r="AH4495" s="1">
        <f ca="1">IFERROR(__xludf.DUMMYFUNCTION("IFERROR(GOOGLEFINANCE(TRIM(F4495)&amp;"":"" &amp; TRIM(B4495),""low52""),AE4495)"),181.5)</f>
        <v>181.5</v>
      </c>
      <c r="AI4495" s="1">
        <f ca="1">IFERROR(__xludf.DUMMYFUNCTION("IFERROR(GOOGLEFINANCE(B4495,""eps""),0)"),3.92)</f>
        <v>3.92</v>
      </c>
      <c r="AJ4495" s="1"/>
      <c r="AK4495" s="1" t="s">
        <v>13599</v>
      </c>
      <c r="AL4495" s="9">
        <f t="shared" si="397"/>
        <v>1</v>
      </c>
    </row>
    <row r="4496" spans="1:38" ht="15" x14ac:dyDescent="0.25">
      <c r="A4496" s="1" t="s">
        <v>13600</v>
      </c>
      <c r="B4496" s="1" t="s">
        <v>13601</v>
      </c>
      <c r="C4496" s="1" t="s">
        <v>219</v>
      </c>
      <c r="D4496" s="1" t="s">
        <v>219</v>
      </c>
      <c r="E4496" s="6">
        <v>119.94</v>
      </c>
      <c r="F4496" s="1" t="s">
        <v>40</v>
      </c>
      <c r="G4496" s="6">
        <f ca="1">IFERROR(__xludf.DUMMYFUNCTION("iferror(GOOGLEFINANCE(TRIM(F4496)&amp;"":"" &amp; TRIM(B4496), ""price""),0
)"),5.31)</f>
        <v>5.31</v>
      </c>
      <c r="H4496" s="6">
        <v>8.84</v>
      </c>
      <c r="I4496" s="6">
        <f t="shared" ca="1" si="0"/>
        <v>5.31</v>
      </c>
      <c r="J4496" s="6">
        <f ca="1">IFERROR(__xludf.DUMMYFUNCTION("IFERROR(GOOGLEFINANCE(B4496, ""volume""), 0)"),306807)</f>
        <v>306807</v>
      </c>
      <c r="K4496" s="6">
        <v>4.99</v>
      </c>
      <c r="L4496" s="6">
        <f ca="1">IFERROR(__xludf.DUMMYFUNCTION("IFERROR(GOOGLEFINANCE(B4496,""changepct""),K4496)"),1.34)</f>
        <v>1.34</v>
      </c>
      <c r="M4496" s="6">
        <f ca="1">IFERROR(__xludf.DUMMYFUNCTION("IFERROR(GOOGLEFINANCE(B4496,""change""),0)"),0.07)</f>
        <v>7.0000000000000007E-2</v>
      </c>
      <c r="N4496" s="6">
        <v>2</v>
      </c>
      <c r="O4496" s="7">
        <v>45536</v>
      </c>
      <c r="P4496" s="6">
        <v>215.11</v>
      </c>
      <c r="Q4496" s="6">
        <v>333.24</v>
      </c>
      <c r="R4496" s="7">
        <v>45536</v>
      </c>
      <c r="S4496" s="6">
        <v>147.47999999999999</v>
      </c>
      <c r="T4496" s="6">
        <v>7.04</v>
      </c>
      <c r="U4496" s="7">
        <v>45536</v>
      </c>
      <c r="V4496" s="6">
        <v>17.5</v>
      </c>
      <c r="W4496" s="6">
        <f ca="1">IFERROR(__xludf.DUMMYFUNCTION("IFERROR(GOOGLEFINANCE(B4496,""pe""),V4496)"),17.5)</f>
        <v>17.5</v>
      </c>
      <c r="X4496" s="6">
        <v>1.18</v>
      </c>
      <c r="Y4496" s="6">
        <v>-0.46</v>
      </c>
      <c r="Z4496" s="6">
        <v>2</v>
      </c>
      <c r="AA4496" s="8">
        <v>45352</v>
      </c>
      <c r="AB4496" s="4">
        <v>-0.84</v>
      </c>
      <c r="AC4496" s="6">
        <v>0</v>
      </c>
      <c r="AD4496" s="6">
        <v>0</v>
      </c>
      <c r="AE4496" s="1">
        <v>0</v>
      </c>
      <c r="AF4496" s="1">
        <f ca="1">IFERROR(__xludf.DUMMYFUNCTION("IFERROR(GOOGLEFINANCE(TRIM(F4496)&amp;"":"" &amp; TRIM(B4496),""high52""),AE4496)"),10.33)</f>
        <v>10.33</v>
      </c>
      <c r="AG4496" s="1">
        <v>0</v>
      </c>
      <c r="AH4496" s="1">
        <f ca="1">IFERROR(__xludf.DUMMYFUNCTION("IFERROR(GOOGLEFINANCE(TRIM(F4496)&amp;"":"" &amp; TRIM(B4496),""low52""),AE4496)"),4.41)</f>
        <v>4.41</v>
      </c>
      <c r="AI4496" s="1">
        <f ca="1">IFERROR(__xludf.DUMMYFUNCTION("IFERROR(GOOGLEFINANCE(B4496,""eps""),0)"),-2.16)</f>
        <v>-2.16</v>
      </c>
      <c r="AJ4496" s="1"/>
      <c r="AK4496" s="1" t="s">
        <v>13602</v>
      </c>
      <c r="AL4496" s="9">
        <f t="shared" si="397"/>
        <v>1</v>
      </c>
    </row>
    <row r="4497" spans="1:38" ht="15" x14ac:dyDescent="0.25">
      <c r="A4497" s="1" t="s">
        <v>13603</v>
      </c>
      <c r="B4497" s="1" t="s">
        <v>13604</v>
      </c>
      <c r="C4497" s="1" t="s">
        <v>57</v>
      </c>
      <c r="D4497" s="1" t="s">
        <v>57</v>
      </c>
      <c r="E4497" s="6">
        <v>18005.71</v>
      </c>
      <c r="F4497" s="1" t="s">
        <v>40</v>
      </c>
      <c r="G4497" s="6">
        <f ca="1">IFERROR(__xludf.DUMMYFUNCTION("iferror(GOOGLEFINANCE(TRIM(F4497)&amp;"":"" &amp; TRIM(B4497), ""price""),0
)"),672.85)</f>
        <v>672.85</v>
      </c>
      <c r="H4497" s="6">
        <v>781.45</v>
      </c>
      <c r="I4497" s="6">
        <f t="shared" ca="1" si="0"/>
        <v>672.85</v>
      </c>
      <c r="J4497" s="6">
        <f ca="1">IFERROR(__xludf.DUMMYFUNCTION("IFERROR(GOOGLEFINANCE(B4497, ""volume""), 0)"),334574)</f>
        <v>334574</v>
      </c>
      <c r="K4497" s="6">
        <v>-1.47</v>
      </c>
      <c r="L4497" s="6">
        <f ca="1">IFERROR(__xludf.DUMMYFUNCTION("IFERROR(GOOGLEFINANCE(B4497,""changepct""),K4497)"),0.88)</f>
        <v>0.88</v>
      </c>
      <c r="M4497" s="6">
        <f ca="1">IFERROR(__xludf.DUMMYFUNCTION("IFERROR(GOOGLEFINANCE(B4497,""change""),0)"),5.85)</f>
        <v>5.85</v>
      </c>
      <c r="N4497" s="6">
        <v>2</v>
      </c>
      <c r="O4497" s="7">
        <v>45536</v>
      </c>
      <c r="P4497" s="12"/>
      <c r="Q4497" s="6">
        <v>17432.71</v>
      </c>
      <c r="R4497" s="7">
        <v>45536</v>
      </c>
      <c r="S4497" s="6">
        <v>5029.8999999999996</v>
      </c>
      <c r="T4497" s="6">
        <v>648.6</v>
      </c>
      <c r="U4497" s="7">
        <v>45536</v>
      </c>
      <c r="V4497" s="6">
        <v>27.76</v>
      </c>
      <c r="W4497" s="6">
        <f ca="1">IFERROR(__xludf.DUMMYFUNCTION("IFERROR(GOOGLEFINANCE(B4497,""pe""),V4497)"),20.88)</f>
        <v>20.88</v>
      </c>
      <c r="X4497" s="6">
        <v>1.71</v>
      </c>
      <c r="Y4497" s="6">
        <v>4.8600000000000003</v>
      </c>
      <c r="Z4497" s="6">
        <v>2</v>
      </c>
      <c r="AA4497" s="8">
        <v>45352</v>
      </c>
      <c r="AB4497" s="4">
        <v>0</v>
      </c>
      <c r="AC4497" s="6">
        <v>20.52</v>
      </c>
      <c r="AD4497" s="6">
        <v>27.43</v>
      </c>
      <c r="AE4497" s="1">
        <v>0</v>
      </c>
      <c r="AF4497" s="1">
        <f ca="1">IFERROR(__xludf.DUMMYFUNCTION("IFERROR(GOOGLEFINANCE(TRIM(F4497)&amp;"":"" &amp; TRIM(B4497),""high52""),AE4497)"),952.1)</f>
        <v>952.1</v>
      </c>
      <c r="AG4497" s="1">
        <v>0</v>
      </c>
      <c r="AH4497" s="1">
        <f ca="1">IFERROR(__xludf.DUMMYFUNCTION("IFERROR(GOOGLEFINANCE(TRIM(F4497)&amp;"":"" &amp; TRIM(B4497),""low52""),AE4497)"),535.85)</f>
        <v>535.85</v>
      </c>
      <c r="AI4497" s="1">
        <f ca="1">IFERROR(__xludf.DUMMYFUNCTION("IFERROR(GOOGLEFINANCE(B4497,""eps""),0)"),32.22)</f>
        <v>32.22</v>
      </c>
      <c r="AJ4497" s="1"/>
      <c r="AK4497" s="12"/>
      <c r="AL4497" s="9">
        <f t="shared" si="397"/>
        <v>1</v>
      </c>
    </row>
    <row r="4498" spans="1:38" ht="15" x14ac:dyDescent="0.25">
      <c r="A4498" s="1" t="s">
        <v>13605</v>
      </c>
      <c r="B4498" s="1" t="s">
        <v>13606</v>
      </c>
      <c r="C4498" s="1" t="s">
        <v>355</v>
      </c>
      <c r="D4498" s="1" t="s">
        <v>355</v>
      </c>
      <c r="E4498" s="6">
        <v>22496.880000000001</v>
      </c>
      <c r="F4498" s="1" t="s">
        <v>40</v>
      </c>
      <c r="G4498" s="6">
        <f ca="1">IFERROR(__xludf.DUMMYFUNCTION("iferror(GOOGLEFINANCE(TRIM(F4498)&amp;"":"" &amp; TRIM(B4498), ""price""),0
)"),14850)</f>
        <v>14850</v>
      </c>
      <c r="H4498" s="6">
        <v>11789.55</v>
      </c>
      <c r="I4498" s="6">
        <f t="shared" ca="1" si="0"/>
        <v>14850</v>
      </c>
      <c r="J4498" s="6">
        <f ca="1">IFERROR(__xludf.DUMMYFUNCTION("IFERROR(GOOGLEFINANCE(B4498, ""volume""), 0)"),77137)</f>
        <v>77137</v>
      </c>
      <c r="K4498" s="6">
        <v>-0.45</v>
      </c>
      <c r="L4498" s="6">
        <f ca="1">IFERROR(__xludf.DUMMYFUNCTION("IFERROR(GOOGLEFINANCE(B4498,""changepct""),K4498)"),-2.37)</f>
        <v>-2.37</v>
      </c>
      <c r="M4498" s="6">
        <f ca="1">IFERROR(__xludf.DUMMYFUNCTION("IFERROR(GOOGLEFINANCE(B4498,""change""),0)"),-360)</f>
        <v>-360</v>
      </c>
      <c r="N4498" s="6">
        <v>2</v>
      </c>
      <c r="O4498" s="7">
        <v>45536</v>
      </c>
      <c r="P4498" s="12"/>
      <c r="Q4498" s="6">
        <v>21242.98</v>
      </c>
      <c r="R4498" s="7">
        <v>45536</v>
      </c>
      <c r="S4498" s="6">
        <v>3713.82</v>
      </c>
      <c r="T4498" s="6">
        <v>409.59</v>
      </c>
      <c r="U4498" s="7">
        <v>45536</v>
      </c>
      <c r="V4498" s="6">
        <v>54.93</v>
      </c>
      <c r="W4498" s="6">
        <f ca="1">IFERROR(__xludf.DUMMYFUNCTION("IFERROR(GOOGLEFINANCE(B4498,""pe""),V4498)"),58.34)</f>
        <v>58.34</v>
      </c>
      <c r="X4498" s="12"/>
      <c r="Y4498" s="6">
        <v>7.59</v>
      </c>
      <c r="Z4498" s="6">
        <v>2</v>
      </c>
      <c r="AA4498" s="8">
        <v>45352</v>
      </c>
      <c r="AB4498" s="4">
        <v>0</v>
      </c>
      <c r="AC4498" s="6">
        <v>15.63</v>
      </c>
      <c r="AD4498" s="6">
        <v>21.21</v>
      </c>
      <c r="AE4498" s="1">
        <v>0</v>
      </c>
      <c r="AF4498" s="1">
        <f ca="1">IFERROR(__xludf.DUMMYFUNCTION("IFERROR(GOOGLEFINANCE(TRIM(F4498)&amp;"":"" &amp; TRIM(B4498),""high52""),AE4498)"),15848)</f>
        <v>15848</v>
      </c>
      <c r="AG4498" s="1">
        <v>0</v>
      </c>
      <c r="AH4498" s="1">
        <f ca="1">IFERROR(__xludf.DUMMYFUNCTION("IFERROR(GOOGLEFINANCE(TRIM(F4498)&amp;"":"" &amp; TRIM(B4498),""low52""),AE4498)"),9900)</f>
        <v>9900</v>
      </c>
      <c r="AI4498" s="1">
        <f ca="1">IFERROR(__xludf.DUMMYFUNCTION("IFERROR(GOOGLEFINANCE(B4498,""eps""),0)"),254.55)</f>
        <v>254.55</v>
      </c>
      <c r="AJ4498" s="1"/>
      <c r="AK4498" s="1" t="s">
        <v>13607</v>
      </c>
      <c r="AL4498" s="1" t="b">
        <f>ISNUMBER(AA4498)</f>
        <v>1</v>
      </c>
    </row>
    <row r="4499" spans="1:38" ht="15" x14ac:dyDescent="0.25">
      <c r="A4499" s="1" t="s">
        <v>13608</v>
      </c>
      <c r="B4499" s="1" t="s">
        <v>13609</v>
      </c>
      <c r="C4499" s="1" t="s">
        <v>106</v>
      </c>
      <c r="D4499" s="1" t="s">
        <v>106</v>
      </c>
      <c r="E4499" s="6">
        <v>535.5</v>
      </c>
      <c r="F4499" s="1" t="s">
        <v>40</v>
      </c>
      <c r="G4499" s="6">
        <f ca="1">IFERROR(__xludf.DUMMYFUNCTION("iferror(GOOGLEFINANCE(TRIM(F4499)&amp;"":"" &amp; TRIM(B4499), ""price""),0
)"),73.32)</f>
        <v>73.319999999999993</v>
      </c>
      <c r="H4499" s="6">
        <v>110.17</v>
      </c>
      <c r="I4499" s="6">
        <f t="shared" ca="1" si="0"/>
        <v>73.319999999999993</v>
      </c>
      <c r="J4499" s="6">
        <f ca="1">IFERROR(__xludf.DUMMYFUNCTION("IFERROR(GOOGLEFINANCE(B4499, ""volume""), 0)"),111157)</f>
        <v>111157</v>
      </c>
      <c r="K4499" s="6">
        <v>0.16</v>
      </c>
      <c r="L4499" s="6">
        <f ca="1">IFERROR(__xludf.DUMMYFUNCTION("IFERROR(GOOGLEFINANCE(B4499,""changepct""),K4499)"),1.52)</f>
        <v>1.52</v>
      </c>
      <c r="M4499" s="6">
        <f ca="1">IFERROR(__xludf.DUMMYFUNCTION("IFERROR(GOOGLEFINANCE(B4499,""change""),0)"),1.1)</f>
        <v>1.1000000000000001</v>
      </c>
      <c r="N4499" s="6">
        <v>2</v>
      </c>
      <c r="O4499" s="7">
        <v>45536</v>
      </c>
      <c r="P4499" s="6">
        <v>97.35</v>
      </c>
      <c r="Q4499" s="6">
        <v>627.04</v>
      </c>
      <c r="R4499" s="7">
        <v>45536</v>
      </c>
      <c r="S4499" s="6">
        <v>388.12</v>
      </c>
      <c r="T4499" s="6">
        <v>16.149999999999999</v>
      </c>
      <c r="U4499" s="7">
        <v>45536</v>
      </c>
      <c r="V4499" s="6">
        <v>33.159999999999997</v>
      </c>
      <c r="W4499" s="6">
        <f ca="1">IFERROR(__xludf.DUMMYFUNCTION("IFERROR(GOOGLEFINANCE(B4499,""pe""),V4499)"),53.87)</f>
        <v>53.87</v>
      </c>
      <c r="X4499" s="6">
        <v>13.99</v>
      </c>
      <c r="Y4499" s="6">
        <v>2.21</v>
      </c>
      <c r="Z4499" s="6">
        <v>2</v>
      </c>
      <c r="AA4499" s="8">
        <v>45352</v>
      </c>
      <c r="AB4499" s="4">
        <v>0.44</v>
      </c>
      <c r="AC4499" s="6">
        <v>7.86</v>
      </c>
      <c r="AD4499" s="6">
        <v>10.11</v>
      </c>
      <c r="AE4499" s="1">
        <v>0</v>
      </c>
      <c r="AF4499" s="1">
        <f ca="1">IFERROR(__xludf.DUMMYFUNCTION("IFERROR(GOOGLEFINANCE(TRIM(F4499)&amp;"":"" &amp; TRIM(B4499),""high52""),AE4499)"),127)</f>
        <v>127</v>
      </c>
      <c r="AG4499" s="1">
        <v>0</v>
      </c>
      <c r="AH4499" s="1">
        <f ca="1">IFERROR(__xludf.DUMMYFUNCTION("IFERROR(GOOGLEFINANCE(TRIM(F4499)&amp;"":"" &amp; TRIM(B4499),""low52""),AE4499)"),65.52)</f>
        <v>65.52</v>
      </c>
      <c r="AI4499" s="1">
        <f ca="1">IFERROR(__xludf.DUMMYFUNCTION("IFERROR(GOOGLEFINANCE(B4499,""eps""),0)"),1.36)</f>
        <v>1.36</v>
      </c>
      <c r="AJ4499" s="1"/>
      <c r="AK4499" s="1" t="s">
        <v>13610</v>
      </c>
      <c r="AL4499" s="9">
        <f t="shared" ref="AL4499:AL4516" si="398">IF(AA4499&lt;&gt;AB4499,1,0)</f>
        <v>1</v>
      </c>
    </row>
    <row r="4500" spans="1:38" ht="15" x14ac:dyDescent="0.25">
      <c r="A4500" s="1" t="s">
        <v>13611</v>
      </c>
      <c r="B4500" s="1" t="s">
        <v>13612</v>
      </c>
      <c r="C4500" s="1" t="s">
        <v>5080</v>
      </c>
      <c r="D4500" s="1" t="s">
        <v>5080</v>
      </c>
      <c r="E4500" s="6">
        <v>0</v>
      </c>
      <c r="F4500" s="1" t="s">
        <v>53</v>
      </c>
      <c r="G4500" s="6">
        <f ca="1">IFERROR(__xludf.DUMMYFUNCTION("iferror(GOOGLEFINANCE(TRIM(F4500)&amp;"":"" &amp; TRIM(B4500), ""price""),0
)"),0)</f>
        <v>0</v>
      </c>
      <c r="H4500" s="6">
        <v>1033000</v>
      </c>
      <c r="I4500" s="6">
        <f t="shared" ca="1" si="0"/>
        <v>1033000</v>
      </c>
      <c r="J4500" s="6">
        <f ca="1">IFERROR(__xludf.DUMMYFUNCTION("IFERROR(GOOGLEFINANCE(B4500, ""volume""), 0)"),0)</f>
        <v>0</v>
      </c>
      <c r="K4500" s="9"/>
      <c r="L4500" s="6" t="str">
        <f ca="1">IFERROR(__xludf.DUMMYFUNCTION("IFERROR(GOOGLEFINANCE(B4500,""changepct""),K4500)"),"")</f>
        <v/>
      </c>
      <c r="M4500" s="6">
        <f ca="1">IFERROR(__xludf.DUMMYFUNCTION("IFERROR(GOOGLEFINANCE(B4500,""change""),0)"),0)</f>
        <v>0</v>
      </c>
      <c r="N4500" s="6">
        <v>1</v>
      </c>
      <c r="O4500" s="14"/>
      <c r="P4500" s="12"/>
      <c r="Q4500" s="6">
        <v>0</v>
      </c>
      <c r="R4500" s="14"/>
      <c r="S4500" s="9"/>
      <c r="T4500" s="9"/>
      <c r="U4500" s="6">
        <v>0</v>
      </c>
      <c r="V4500" s="9"/>
      <c r="W4500" s="6" t="str">
        <f ca="1">IFERROR(__xludf.DUMMYFUNCTION("IFERROR(GOOGLEFINANCE(B4500,""pe""),V4500)"),"")</f>
        <v/>
      </c>
      <c r="X4500" s="9"/>
      <c r="Y4500" s="9"/>
      <c r="Z4500" s="6">
        <v>1</v>
      </c>
      <c r="AA4500" s="3">
        <v>0</v>
      </c>
      <c r="AB4500" s="11"/>
      <c r="AC4500" s="9"/>
      <c r="AD4500" s="9"/>
      <c r="AE4500" s="1">
        <v>0</v>
      </c>
      <c r="AF4500" s="1">
        <f ca="1">IFERROR(__xludf.DUMMYFUNCTION("IFERROR(GOOGLEFINANCE(TRIM(F4500)&amp;"":"" &amp; TRIM(B4500),""high52""),AE4500)"),0)</f>
        <v>0</v>
      </c>
      <c r="AG4500" s="1">
        <v>0</v>
      </c>
      <c r="AH4500" s="1">
        <f ca="1">IFERROR(__xludf.DUMMYFUNCTION("IFERROR(GOOGLEFINANCE(TRIM(F4500)&amp;"":"" &amp; TRIM(B4500),""low52""),AE4500)"),0)</f>
        <v>0</v>
      </c>
      <c r="AI4500" s="1">
        <f ca="1">IFERROR(__xludf.DUMMYFUNCTION("IFERROR(GOOGLEFINANCE(B4500,""eps""),0)"),0)</f>
        <v>0</v>
      </c>
      <c r="AJ4500" s="1"/>
      <c r="AK4500" s="1" t="s">
        <v>13613</v>
      </c>
      <c r="AL4500" s="9">
        <f t="shared" si="398"/>
        <v>0</v>
      </c>
    </row>
    <row r="4501" spans="1:38" ht="15" x14ac:dyDescent="0.25">
      <c r="A4501" s="1" t="s">
        <v>13614</v>
      </c>
      <c r="B4501" s="1" t="s">
        <v>13615</v>
      </c>
      <c r="C4501" s="1" t="s">
        <v>259</v>
      </c>
      <c r="D4501" s="1" t="s">
        <v>259</v>
      </c>
      <c r="E4501" s="6">
        <v>7973.31</v>
      </c>
      <c r="F4501" s="1" t="s">
        <v>40</v>
      </c>
      <c r="G4501" s="6">
        <f ca="1">IFERROR(__xludf.DUMMYFUNCTION("iferror(GOOGLEFINANCE(TRIM(F4501)&amp;"":"" &amp; TRIM(B4501), ""price""),0
)"),546.6)</f>
        <v>546.6</v>
      </c>
      <c r="H4501" s="6">
        <v>446.2</v>
      </c>
      <c r="I4501" s="6">
        <f t="shared" ca="1" si="0"/>
        <v>546.6</v>
      </c>
      <c r="J4501" s="6">
        <f ca="1">IFERROR(__xludf.DUMMYFUNCTION("IFERROR(GOOGLEFINANCE(B4501, ""volume""), 0)"),490157)</f>
        <v>490157</v>
      </c>
      <c r="K4501" s="6">
        <v>-1.1299999999999999</v>
      </c>
      <c r="L4501" s="6">
        <f ca="1">IFERROR(__xludf.DUMMYFUNCTION("IFERROR(GOOGLEFINANCE(B4501,""changepct""),K4501)"),-0.57)</f>
        <v>-0.56999999999999995</v>
      </c>
      <c r="M4501" s="6">
        <f ca="1">IFERROR(__xludf.DUMMYFUNCTION("IFERROR(GOOGLEFINANCE(B4501,""change""),0)"),-3.15)</f>
        <v>-3.15</v>
      </c>
      <c r="N4501" s="6">
        <v>2</v>
      </c>
      <c r="O4501" s="7">
        <v>45536</v>
      </c>
      <c r="P4501" s="6">
        <v>126.6</v>
      </c>
      <c r="Q4501" s="6">
        <v>7814.62</v>
      </c>
      <c r="R4501" s="14"/>
      <c r="S4501" s="9"/>
      <c r="T4501" s="9"/>
      <c r="U4501" s="7">
        <v>45352</v>
      </c>
      <c r="V4501" s="6">
        <v>0</v>
      </c>
      <c r="W4501" s="6">
        <f ca="1">IFERROR(__xludf.DUMMYFUNCTION("IFERROR(GOOGLEFINANCE(B4501,""pe""),V4501)"),29.71)</f>
        <v>29.71</v>
      </c>
      <c r="X4501" s="12"/>
      <c r="Y4501" s="6">
        <v>5.23</v>
      </c>
      <c r="Z4501" s="6">
        <v>2</v>
      </c>
      <c r="AA4501" s="8">
        <v>45352</v>
      </c>
      <c r="AB4501" s="4">
        <v>1.1299999999999999</v>
      </c>
      <c r="AC4501" s="6">
        <v>-115.39</v>
      </c>
      <c r="AD4501" s="6">
        <v>-32.58</v>
      </c>
      <c r="AE4501" s="1">
        <v>0</v>
      </c>
      <c r="AF4501" s="1">
        <f ca="1">IFERROR(__xludf.DUMMYFUNCTION("IFERROR(GOOGLEFINANCE(TRIM(F4501)&amp;"":"" &amp; TRIM(B4501),""high52""),AE4501)"),748)</f>
        <v>748</v>
      </c>
      <c r="AG4501" s="1">
        <v>0</v>
      </c>
      <c r="AH4501" s="1">
        <f ca="1">IFERROR(__xludf.DUMMYFUNCTION("IFERROR(GOOGLEFINANCE(TRIM(F4501)&amp;"":"" &amp; TRIM(B4501),""low52""),AE4501)"),373.2)</f>
        <v>373.2</v>
      </c>
      <c r="AI4501" s="1">
        <f ca="1">IFERROR(__xludf.DUMMYFUNCTION("IFERROR(GOOGLEFINANCE(B4501,""eps""),0)"),18.4)</f>
        <v>18.399999999999999</v>
      </c>
      <c r="AJ4501" s="1"/>
      <c r="AK4501" s="1" t="s">
        <v>13616</v>
      </c>
      <c r="AL4501" s="9">
        <f t="shared" si="398"/>
        <v>1</v>
      </c>
    </row>
    <row r="4502" spans="1:38" ht="15" x14ac:dyDescent="0.25">
      <c r="A4502" s="1" t="s">
        <v>13617</v>
      </c>
      <c r="B4502" s="1" t="s">
        <v>13618</v>
      </c>
      <c r="C4502" s="1" t="s">
        <v>186</v>
      </c>
      <c r="D4502" s="1" t="s">
        <v>186</v>
      </c>
      <c r="E4502" s="6">
        <v>347.67</v>
      </c>
      <c r="F4502" s="1" t="s">
        <v>40</v>
      </c>
      <c r="G4502" s="6">
        <f ca="1">IFERROR(__xludf.DUMMYFUNCTION("iferror(GOOGLEFINANCE(TRIM(F4502)&amp;"":"" &amp; TRIM(B4502), ""price""),0
)"),80)</f>
        <v>80</v>
      </c>
      <c r="H4502" s="6">
        <v>132.41</v>
      </c>
      <c r="I4502" s="6">
        <f t="shared" ca="1" si="0"/>
        <v>80</v>
      </c>
      <c r="J4502" s="6">
        <f ca="1">IFERROR(__xludf.DUMMYFUNCTION("IFERROR(GOOGLEFINANCE(B4502, ""volume""), 0)"),1042)</f>
        <v>1042</v>
      </c>
      <c r="K4502" s="6">
        <v>-1.42</v>
      </c>
      <c r="L4502" s="6">
        <f ca="1">IFERROR(__xludf.DUMMYFUNCTION("IFERROR(GOOGLEFINANCE(B4502,""changepct""),K4502)"),-1.01)</f>
        <v>-1.01</v>
      </c>
      <c r="M4502" s="6">
        <f ca="1">IFERROR(__xludf.DUMMYFUNCTION("IFERROR(GOOGLEFINANCE(B4502,""change""),0)"),-0.82)</f>
        <v>-0.82</v>
      </c>
      <c r="N4502" s="6">
        <v>2</v>
      </c>
      <c r="O4502" s="7">
        <v>45536</v>
      </c>
      <c r="P4502" s="6">
        <v>41.19</v>
      </c>
      <c r="Q4502" s="6">
        <v>383.65</v>
      </c>
      <c r="R4502" s="7">
        <v>45536</v>
      </c>
      <c r="S4502" s="6">
        <v>161.30000000000001</v>
      </c>
      <c r="T4502" s="6">
        <v>-40.14</v>
      </c>
      <c r="U4502" s="7">
        <v>45536</v>
      </c>
      <c r="V4502" s="6">
        <v>0</v>
      </c>
      <c r="W4502" s="6">
        <f ca="1">IFERROR(__xludf.DUMMYFUNCTION("IFERROR(GOOGLEFINANCE(B4502,""pe""),V4502)"),0)</f>
        <v>0</v>
      </c>
      <c r="X4502" s="6">
        <v>0</v>
      </c>
      <c r="Y4502" s="6">
        <v>1.56</v>
      </c>
      <c r="Z4502" s="6">
        <v>2</v>
      </c>
      <c r="AA4502" s="8">
        <v>45352</v>
      </c>
      <c r="AB4502" s="4">
        <v>0.16</v>
      </c>
      <c r="AC4502" s="6">
        <v>-13.85</v>
      </c>
      <c r="AD4502" s="6">
        <v>-9.39</v>
      </c>
      <c r="AE4502" s="1">
        <v>0</v>
      </c>
      <c r="AF4502" s="1">
        <f ca="1">IFERROR(__xludf.DUMMYFUNCTION("IFERROR(GOOGLEFINANCE(TRIM(F4502)&amp;"":"" &amp; TRIM(B4502),""high52""),AE4502)"),125.41)</f>
        <v>125.41</v>
      </c>
      <c r="AG4502" s="1">
        <v>0</v>
      </c>
      <c r="AH4502" s="1">
        <f ca="1">IFERROR(__xludf.DUMMYFUNCTION("IFERROR(GOOGLEFINANCE(TRIM(F4502)&amp;"":"" &amp; TRIM(B4502),""low52""),AE4502)"),75.43)</f>
        <v>75.430000000000007</v>
      </c>
      <c r="AI4502" s="1">
        <f ca="1">IFERROR(__xludf.DUMMYFUNCTION("IFERROR(GOOGLEFINANCE(B4502,""eps""),0)"),-13.27)</f>
        <v>-13.27</v>
      </c>
      <c r="AJ4502" s="1"/>
      <c r="AK4502" s="1" t="s">
        <v>13619</v>
      </c>
      <c r="AL4502" s="9">
        <f t="shared" si="398"/>
        <v>1</v>
      </c>
    </row>
    <row r="4503" spans="1:38" ht="15" x14ac:dyDescent="0.25">
      <c r="A4503" s="1" t="s">
        <v>13620</v>
      </c>
      <c r="B4503" s="1" t="s">
        <v>13621</v>
      </c>
      <c r="C4503" s="1" t="s">
        <v>3477</v>
      </c>
      <c r="D4503" s="1" t="s">
        <v>3477</v>
      </c>
      <c r="E4503" s="6">
        <v>2104.81</v>
      </c>
      <c r="F4503" s="1" t="s">
        <v>53</v>
      </c>
      <c r="G4503" s="6">
        <f ca="1">IFERROR(__xludf.DUMMYFUNCTION("iferror(GOOGLEFINANCE(TRIM(F4503)&amp;"":"" &amp; TRIM(B4503), ""price""),0
)"),0)</f>
        <v>0</v>
      </c>
      <c r="H4503" s="6">
        <v>207.8</v>
      </c>
      <c r="I4503" s="6">
        <f t="shared" ca="1" si="0"/>
        <v>207.8</v>
      </c>
      <c r="J4503" s="6">
        <f ca="1">IFERROR(__xludf.DUMMYFUNCTION("IFERROR(GOOGLEFINANCE(B4503, ""volume""), 0)"),0)</f>
        <v>0</v>
      </c>
      <c r="K4503" s="6">
        <v>-0.34</v>
      </c>
      <c r="L4503" s="6">
        <f ca="1">IFERROR(__xludf.DUMMYFUNCTION("IFERROR(GOOGLEFINANCE(B4503,""changepct""),K4503)"),-0.34)</f>
        <v>-0.34</v>
      </c>
      <c r="M4503" s="6">
        <f ca="1">IFERROR(__xludf.DUMMYFUNCTION("IFERROR(GOOGLEFINANCE(B4503,""change""),0)"),0)</f>
        <v>0</v>
      </c>
      <c r="N4503" s="6">
        <v>1</v>
      </c>
      <c r="O4503" s="7">
        <v>45536</v>
      </c>
      <c r="P4503" s="6">
        <v>1.9</v>
      </c>
      <c r="Q4503" s="6">
        <v>2097.8000000000002</v>
      </c>
      <c r="R4503" s="7">
        <v>45536</v>
      </c>
      <c r="S4503" s="6">
        <v>469.01</v>
      </c>
      <c r="T4503" s="6">
        <v>25.83</v>
      </c>
      <c r="U4503" s="7">
        <v>45536</v>
      </c>
      <c r="V4503" s="6">
        <v>81.489999999999995</v>
      </c>
      <c r="W4503" s="6">
        <f ca="1">IFERROR(__xludf.DUMMYFUNCTION("IFERROR(GOOGLEFINANCE(B4503,""pe""),V4503)"),81.49)</f>
        <v>81.489999999999995</v>
      </c>
      <c r="X4503" s="6">
        <v>3.57</v>
      </c>
      <c r="Y4503" s="6">
        <v>23.79</v>
      </c>
      <c r="Z4503" s="6">
        <v>1</v>
      </c>
      <c r="AA4503" s="8">
        <v>45352</v>
      </c>
      <c r="AB4503" s="4">
        <v>0.02</v>
      </c>
      <c r="AC4503" s="6">
        <v>0</v>
      </c>
      <c r="AD4503" s="6">
        <v>37.619999999999997</v>
      </c>
      <c r="AE4503" s="1">
        <v>0</v>
      </c>
      <c r="AF4503" s="1">
        <f ca="1">IFERROR(__xludf.DUMMYFUNCTION("IFERROR(GOOGLEFINANCE(TRIM(F4503)&amp;"":"" &amp; TRIM(B4503),""high52""),AE4503)"),0)</f>
        <v>0</v>
      </c>
      <c r="AG4503" s="1">
        <v>0</v>
      </c>
      <c r="AH4503" s="1">
        <f ca="1">IFERROR(__xludf.DUMMYFUNCTION("IFERROR(GOOGLEFINANCE(TRIM(F4503)&amp;"":"" &amp; TRIM(B4503),""low52""),AE4503)"),0)</f>
        <v>0</v>
      </c>
      <c r="AI4503" s="1">
        <f ca="1">IFERROR(__xludf.DUMMYFUNCTION("IFERROR(GOOGLEFINANCE(B4503,""eps""),0)"),0)</f>
        <v>0</v>
      </c>
      <c r="AJ4503" s="1"/>
      <c r="AK4503" s="1" t="s">
        <v>13622</v>
      </c>
      <c r="AL4503" s="9">
        <f t="shared" si="398"/>
        <v>1</v>
      </c>
    </row>
    <row r="4504" spans="1:38" ht="15" x14ac:dyDescent="0.25">
      <c r="A4504" s="1" t="s">
        <v>13623</v>
      </c>
      <c r="B4504" s="1" t="s">
        <v>13624</v>
      </c>
      <c r="C4504" s="1" t="s">
        <v>850</v>
      </c>
      <c r="D4504" s="1" t="s">
        <v>850</v>
      </c>
      <c r="E4504" s="6">
        <v>82.74</v>
      </c>
      <c r="F4504" s="1" t="s">
        <v>53</v>
      </c>
      <c r="G4504" s="6">
        <f ca="1">IFERROR(__xludf.DUMMYFUNCTION("iferror(GOOGLEFINANCE(TRIM(F4504)&amp;"":"" &amp; TRIM(B4504), ""price""),0
)"),0)</f>
        <v>0</v>
      </c>
      <c r="H4504" s="6">
        <v>118</v>
      </c>
      <c r="I4504" s="6">
        <f t="shared" ca="1" si="0"/>
        <v>118</v>
      </c>
      <c r="J4504" s="6">
        <f ca="1">IFERROR(__xludf.DUMMYFUNCTION("IFERROR(GOOGLEFINANCE(B4504, ""volume""), 0)"),0)</f>
        <v>0</v>
      </c>
      <c r="K4504" s="6">
        <v>2.61</v>
      </c>
      <c r="L4504" s="6">
        <f ca="1">IFERROR(__xludf.DUMMYFUNCTION("IFERROR(GOOGLEFINANCE(B4504,""changepct""),K4504)"),2.61)</f>
        <v>2.61</v>
      </c>
      <c r="M4504" s="6">
        <f ca="1">IFERROR(__xludf.DUMMYFUNCTION("IFERROR(GOOGLEFINANCE(B4504,""change""),0)"),0)</f>
        <v>0</v>
      </c>
      <c r="N4504" s="6">
        <v>1</v>
      </c>
      <c r="O4504" s="7">
        <v>45536</v>
      </c>
      <c r="P4504" s="6">
        <v>10.59</v>
      </c>
      <c r="Q4504" s="6">
        <v>93.33</v>
      </c>
      <c r="R4504" s="7">
        <v>45352</v>
      </c>
      <c r="S4504" s="6">
        <v>35.69</v>
      </c>
      <c r="T4504" s="6">
        <v>0.78</v>
      </c>
      <c r="U4504" s="7">
        <v>45352</v>
      </c>
      <c r="V4504" s="6">
        <v>105.54</v>
      </c>
      <c r="W4504" s="6">
        <f ca="1">IFERROR(__xludf.DUMMYFUNCTION("IFERROR(GOOGLEFINANCE(B4504,""pe""),V4504)"),105.54)</f>
        <v>105.54</v>
      </c>
      <c r="X4504" s="9"/>
      <c r="Y4504" s="6">
        <v>2.65</v>
      </c>
      <c r="Z4504" s="6">
        <v>1</v>
      </c>
      <c r="AA4504" s="8">
        <v>45352</v>
      </c>
      <c r="AB4504" s="4">
        <v>0.47</v>
      </c>
      <c r="AC4504" s="6">
        <v>3.79</v>
      </c>
      <c r="AD4504" s="6">
        <v>6.18</v>
      </c>
      <c r="AE4504" s="1">
        <v>0</v>
      </c>
      <c r="AF4504" s="1">
        <f ca="1">IFERROR(__xludf.DUMMYFUNCTION("IFERROR(GOOGLEFINANCE(TRIM(F4504)&amp;"":"" &amp; TRIM(B4504),""high52""),AE4504)"),0)</f>
        <v>0</v>
      </c>
      <c r="AG4504" s="1">
        <v>0</v>
      </c>
      <c r="AH4504" s="1">
        <f ca="1">IFERROR(__xludf.DUMMYFUNCTION("IFERROR(GOOGLEFINANCE(TRIM(F4504)&amp;"":"" &amp; TRIM(B4504),""low52""),AE4504)"),0)</f>
        <v>0</v>
      </c>
      <c r="AI4504" s="1">
        <f ca="1">IFERROR(__xludf.DUMMYFUNCTION("IFERROR(GOOGLEFINANCE(B4504,""eps""),0)"),0)</f>
        <v>0</v>
      </c>
      <c r="AJ4504" s="1"/>
      <c r="AK4504" s="1" t="s">
        <v>13625</v>
      </c>
      <c r="AL4504" s="9">
        <f t="shared" si="398"/>
        <v>1</v>
      </c>
    </row>
    <row r="4505" spans="1:38" ht="15" x14ac:dyDescent="0.25">
      <c r="A4505" s="1" t="s">
        <v>13626</v>
      </c>
      <c r="B4505" s="1" t="s">
        <v>13627</v>
      </c>
      <c r="C4505" s="1" t="s">
        <v>416</v>
      </c>
      <c r="D4505" s="1" t="s">
        <v>416</v>
      </c>
      <c r="E4505" s="6">
        <v>755.26</v>
      </c>
      <c r="F4505" s="1" t="s">
        <v>40</v>
      </c>
      <c r="G4505" s="6">
        <f ca="1">IFERROR(__xludf.DUMMYFUNCTION("iferror(GOOGLEFINANCE(TRIM(F4505)&amp;"":"" &amp; TRIM(B4505), ""price""),0
)"),248.9)</f>
        <v>248.9</v>
      </c>
      <c r="H4505" s="6">
        <v>511.75</v>
      </c>
      <c r="I4505" s="6">
        <f t="shared" ca="1" si="0"/>
        <v>248.9</v>
      </c>
      <c r="J4505" s="6">
        <f ca="1">IFERROR(__xludf.DUMMYFUNCTION("IFERROR(GOOGLEFINANCE(B4505, ""volume""), 0)"),20346)</f>
        <v>20346</v>
      </c>
      <c r="K4505" s="6">
        <v>2.34</v>
      </c>
      <c r="L4505" s="6">
        <f ca="1">IFERROR(__xludf.DUMMYFUNCTION("IFERROR(GOOGLEFINANCE(B4505,""changepct""),K4505)"),0.93)</f>
        <v>0.93</v>
      </c>
      <c r="M4505" s="6">
        <f ca="1">IFERROR(__xludf.DUMMYFUNCTION("IFERROR(GOOGLEFINANCE(B4505,""change""),0)"),2.3)</f>
        <v>2.2999999999999998</v>
      </c>
      <c r="N4505" s="6">
        <v>1</v>
      </c>
      <c r="O4505" s="7">
        <v>45536</v>
      </c>
      <c r="P4505" s="6">
        <v>79.14</v>
      </c>
      <c r="Q4505" s="6">
        <v>820.16</v>
      </c>
      <c r="R4505" s="7">
        <v>45536</v>
      </c>
      <c r="S4505" s="6">
        <v>285.66000000000003</v>
      </c>
      <c r="T4505" s="6">
        <v>13.45</v>
      </c>
      <c r="U4505" s="7">
        <v>45536</v>
      </c>
      <c r="V4505" s="6">
        <v>56.14</v>
      </c>
      <c r="W4505" s="6">
        <f ca="1">IFERROR(__xludf.DUMMYFUNCTION("IFERROR(GOOGLEFINANCE(B4505,""pe""),V4505)"),18.46)</f>
        <v>18.46</v>
      </c>
      <c r="X4505" s="6">
        <v>1.95</v>
      </c>
      <c r="Y4505" s="6">
        <v>9.3000000000000007</v>
      </c>
      <c r="Z4505" s="6">
        <v>1</v>
      </c>
      <c r="AA4505" s="8">
        <v>45352</v>
      </c>
      <c r="AB4505" s="4">
        <v>0.81</v>
      </c>
      <c r="AC4505" s="6">
        <v>26.4</v>
      </c>
      <c r="AD4505" s="6">
        <v>22.96</v>
      </c>
      <c r="AE4505" s="1">
        <v>0</v>
      </c>
      <c r="AF4505" s="1">
        <f ca="1">IFERROR(__xludf.DUMMYFUNCTION("IFERROR(GOOGLEFINANCE(TRIM(F4505)&amp;"":"" &amp; TRIM(B4505),""high52""),AE4505)"),560)</f>
        <v>560</v>
      </c>
      <c r="AG4505" s="1">
        <v>0</v>
      </c>
      <c r="AH4505" s="1">
        <f ca="1">IFERROR(__xludf.DUMMYFUNCTION("IFERROR(GOOGLEFINANCE(TRIM(F4505)&amp;"":"" &amp; TRIM(B4505),""low52""),AE4505)"),240)</f>
        <v>240</v>
      </c>
      <c r="AI4505" s="1">
        <f ca="1">IFERROR(__xludf.DUMMYFUNCTION("IFERROR(GOOGLEFINANCE(B4505,""eps""),0)"),13.48)</f>
        <v>13.48</v>
      </c>
      <c r="AJ4505" s="1"/>
      <c r="AK4505" s="1" t="s">
        <v>13628</v>
      </c>
      <c r="AL4505" s="9">
        <f t="shared" si="398"/>
        <v>1</v>
      </c>
    </row>
    <row r="4506" spans="1:38" ht="15" x14ac:dyDescent="0.25">
      <c r="A4506" s="1" t="s">
        <v>13629</v>
      </c>
      <c r="B4506" s="1" t="s">
        <v>13630</v>
      </c>
      <c r="C4506" s="1" t="s">
        <v>1739</v>
      </c>
      <c r="D4506" s="1" t="s">
        <v>1739</v>
      </c>
      <c r="E4506" s="6">
        <v>274890.2</v>
      </c>
      <c r="F4506" s="1" t="s">
        <v>40</v>
      </c>
      <c r="G4506" s="6">
        <f ca="1">IFERROR(__xludf.DUMMYFUNCTION("iferror(GOOGLEFINANCE(TRIM(F4506)&amp;"":"" &amp; TRIM(B4506), ""price""),0
)"),0)</f>
        <v>0</v>
      </c>
      <c r="H4506" s="6">
        <v>281.55</v>
      </c>
      <c r="I4506" s="6">
        <f t="shared" ca="1" si="0"/>
        <v>281.55</v>
      </c>
      <c r="J4506" s="6">
        <f ca="1">IFERROR(__xludf.DUMMYFUNCTION("IFERROR(GOOGLEFINANCE(B4506, ""volume""), 0)"),0)</f>
        <v>0</v>
      </c>
      <c r="K4506" s="6">
        <v>-1.07</v>
      </c>
      <c r="L4506" s="6">
        <f ca="1">IFERROR(__xludf.DUMMYFUNCTION("IFERROR(GOOGLEFINANCE(B4506,""changepct""),K4506)"),-1.07)</f>
        <v>-1.07</v>
      </c>
      <c r="M4506" s="6">
        <f ca="1">IFERROR(__xludf.DUMMYFUNCTION("IFERROR(GOOGLEFINANCE(B4506,""change""),0)"),0)</f>
        <v>0</v>
      </c>
      <c r="N4506" s="6">
        <v>2</v>
      </c>
      <c r="O4506" s="7">
        <v>45536</v>
      </c>
      <c r="P4506" s="9"/>
      <c r="Q4506" s="6">
        <v>274384.2</v>
      </c>
      <c r="R4506" s="7">
        <v>45536</v>
      </c>
      <c r="S4506" s="6">
        <v>15855</v>
      </c>
      <c r="T4506" s="6">
        <v>742</v>
      </c>
      <c r="U4506" s="7">
        <v>45536</v>
      </c>
      <c r="V4506" s="6">
        <v>370.47</v>
      </c>
      <c r="W4506" s="6">
        <f ca="1">IFERROR(__xludf.DUMMYFUNCTION("IFERROR(GOOGLEFINANCE(B4506,""pe""),V4506)"),370.47)</f>
        <v>370.47</v>
      </c>
      <c r="X4506" s="9"/>
      <c r="Y4506" s="6">
        <v>9.1999999999999993</v>
      </c>
      <c r="Z4506" s="6">
        <v>2</v>
      </c>
      <c r="AA4506" s="8">
        <v>45352</v>
      </c>
      <c r="AB4506" s="4">
        <v>0</v>
      </c>
      <c r="AC4506" s="6">
        <v>1.85</v>
      </c>
      <c r="AD4506" s="6">
        <v>1.82</v>
      </c>
      <c r="AE4506" s="1">
        <v>0</v>
      </c>
      <c r="AF4506" s="1">
        <f ca="1">IFERROR(__xludf.DUMMYFUNCTION("IFERROR(GOOGLEFINANCE(TRIM(F4506)&amp;"":"" &amp; TRIM(B4506),""high52""),AE4506)"),0)</f>
        <v>0</v>
      </c>
      <c r="AG4506" s="1">
        <v>0</v>
      </c>
      <c r="AH4506" s="1">
        <f ca="1">IFERROR(__xludf.DUMMYFUNCTION("IFERROR(GOOGLEFINANCE(TRIM(F4506)&amp;"":"" &amp; TRIM(B4506),""low52""),AE4506)"),0)</f>
        <v>0</v>
      </c>
      <c r="AI4506" s="1">
        <f ca="1">IFERROR(__xludf.DUMMYFUNCTION("IFERROR(GOOGLEFINANCE(B4506,""eps""),0)"),0)</f>
        <v>0</v>
      </c>
      <c r="AJ4506" s="1"/>
      <c r="AK4506" s="1" t="s">
        <v>13631</v>
      </c>
      <c r="AL4506" s="9">
        <f t="shared" si="398"/>
        <v>1</v>
      </c>
    </row>
    <row r="4507" spans="1:38" ht="15" x14ac:dyDescent="0.25">
      <c r="A4507" s="1" t="s">
        <v>13632</v>
      </c>
      <c r="B4507" s="1" t="s">
        <v>13633</v>
      </c>
      <c r="C4507" s="1" t="s">
        <v>106</v>
      </c>
      <c r="D4507" s="1" t="s">
        <v>106</v>
      </c>
      <c r="E4507" s="6">
        <v>2212.44</v>
      </c>
      <c r="F4507" s="1" t="s">
        <v>40</v>
      </c>
      <c r="G4507" s="6">
        <f ca="1">IFERROR(__xludf.DUMMYFUNCTION("iferror(GOOGLEFINANCE(TRIM(F4507)&amp;"":"" &amp; TRIM(B4507), ""price""),0
)"),1287.5)</f>
        <v>1287.5</v>
      </c>
      <c r="H4507" s="6">
        <v>802.4</v>
      </c>
      <c r="I4507" s="6">
        <f t="shared" ca="1" si="0"/>
        <v>1287.5</v>
      </c>
      <c r="J4507" s="6">
        <f ca="1">IFERROR(__xludf.DUMMYFUNCTION("IFERROR(GOOGLEFINANCE(B4507, ""volume""), 0)"),51989)</f>
        <v>51989</v>
      </c>
      <c r="K4507" s="6">
        <v>-0.01</v>
      </c>
      <c r="L4507" s="6">
        <f ca="1">IFERROR(__xludf.DUMMYFUNCTION("IFERROR(GOOGLEFINANCE(B4507,""changepct""),K4507)"),-0.19)</f>
        <v>-0.19</v>
      </c>
      <c r="M4507" s="6">
        <f ca="1">IFERROR(__xludf.DUMMYFUNCTION("IFERROR(GOOGLEFINANCE(B4507,""change""),0)"),-2.5)</f>
        <v>-2.5</v>
      </c>
      <c r="N4507" s="6">
        <v>2</v>
      </c>
      <c r="O4507" s="7">
        <v>45536</v>
      </c>
      <c r="P4507" s="6">
        <v>2.14</v>
      </c>
      <c r="Q4507" s="6">
        <v>2212.27</v>
      </c>
      <c r="R4507" s="7">
        <v>45536</v>
      </c>
      <c r="S4507" s="6">
        <v>220.14</v>
      </c>
      <c r="T4507" s="6">
        <v>-34.76</v>
      </c>
      <c r="U4507" s="7">
        <v>45536</v>
      </c>
      <c r="V4507" s="6">
        <v>0</v>
      </c>
      <c r="W4507" s="6">
        <f ca="1">IFERROR(__xludf.DUMMYFUNCTION("IFERROR(GOOGLEFINANCE(B4507,""pe""),V4507)"),0)</f>
        <v>0</v>
      </c>
      <c r="X4507" s="9"/>
      <c r="Y4507" s="6">
        <v>15.96</v>
      </c>
      <c r="Z4507" s="6">
        <v>2</v>
      </c>
      <c r="AA4507" s="8">
        <v>45352</v>
      </c>
      <c r="AB4507" s="4">
        <v>0.16</v>
      </c>
      <c r="AC4507" s="6">
        <v>-16.850000000000001</v>
      </c>
      <c r="AD4507" s="6">
        <v>-12.3</v>
      </c>
      <c r="AE4507" s="1">
        <v>0</v>
      </c>
      <c r="AF4507" s="1">
        <f ca="1">IFERROR(__xludf.DUMMYFUNCTION("IFERROR(GOOGLEFINANCE(TRIM(F4507)&amp;"":"" &amp; TRIM(B4507),""high52""),AE4507)"),1740)</f>
        <v>1740</v>
      </c>
      <c r="AG4507" s="1">
        <v>0</v>
      </c>
      <c r="AH4507" s="1">
        <f ca="1">IFERROR(__xludf.DUMMYFUNCTION("IFERROR(GOOGLEFINANCE(TRIM(F4507)&amp;"":"" &amp; TRIM(B4507),""low52""),AE4507)"),752)</f>
        <v>752</v>
      </c>
      <c r="AI4507" s="1">
        <f ca="1">IFERROR(__xludf.DUMMYFUNCTION("IFERROR(GOOGLEFINANCE(B4507,""eps""),0)"),-21.34)</f>
        <v>-21.34</v>
      </c>
      <c r="AJ4507" s="1"/>
      <c r="AK4507" s="1" t="s">
        <v>13634</v>
      </c>
      <c r="AL4507" s="9">
        <f t="shared" si="398"/>
        <v>1</v>
      </c>
    </row>
    <row r="4508" spans="1:38" ht="15" x14ac:dyDescent="0.25">
      <c r="A4508" s="1" t="s">
        <v>13635</v>
      </c>
      <c r="B4508" s="1" t="s">
        <v>13636</v>
      </c>
      <c r="C4508" s="1" t="s">
        <v>850</v>
      </c>
      <c r="D4508" s="1" t="s">
        <v>850</v>
      </c>
      <c r="E4508" s="6">
        <v>8.0299999999999994</v>
      </c>
      <c r="F4508" s="1" t="s">
        <v>53</v>
      </c>
      <c r="G4508" s="6">
        <f ca="1">IFERROR(__xludf.DUMMYFUNCTION("iferror(GOOGLEFINANCE(TRIM(F4508)&amp;"":"" &amp; TRIM(B4508), ""price""),0
)"),0)</f>
        <v>0</v>
      </c>
      <c r="H4508" s="6">
        <v>11.72</v>
      </c>
      <c r="I4508" s="6">
        <f t="shared" ca="1" si="0"/>
        <v>11.72</v>
      </c>
      <c r="J4508" s="6">
        <f ca="1">IFERROR(__xludf.DUMMYFUNCTION("IFERROR(GOOGLEFINANCE(B4508, ""volume""), 0)"),0)</f>
        <v>0</v>
      </c>
      <c r="K4508" s="9"/>
      <c r="L4508" s="6" t="str">
        <f ca="1">IFERROR(__xludf.DUMMYFUNCTION("IFERROR(GOOGLEFINANCE(B4508,""changepct""),K4508)"),"")</f>
        <v/>
      </c>
      <c r="M4508" s="6">
        <f ca="1">IFERROR(__xludf.DUMMYFUNCTION("IFERROR(GOOGLEFINANCE(B4508,""change""),0)"),0)</f>
        <v>0</v>
      </c>
      <c r="N4508" s="6">
        <v>1</v>
      </c>
      <c r="O4508" s="7">
        <v>45536</v>
      </c>
      <c r="P4508" s="6">
        <v>12.4</v>
      </c>
      <c r="Q4508" s="6">
        <v>20.43</v>
      </c>
      <c r="R4508" s="7">
        <v>45536</v>
      </c>
      <c r="S4508" s="6">
        <v>4.91</v>
      </c>
      <c r="T4508" s="6">
        <v>-0.74</v>
      </c>
      <c r="U4508" s="7">
        <v>45536</v>
      </c>
      <c r="V4508" s="6">
        <v>0</v>
      </c>
      <c r="W4508" s="6">
        <f ca="1">IFERROR(__xludf.DUMMYFUNCTION("IFERROR(GOOGLEFINANCE(B4508,""pe""),V4508)"),0)</f>
        <v>0</v>
      </c>
      <c r="X4508" s="6">
        <v>0</v>
      </c>
      <c r="Y4508" s="6">
        <v>-1.36</v>
      </c>
      <c r="Z4508" s="6">
        <v>1</v>
      </c>
      <c r="AA4508" s="8">
        <v>45352</v>
      </c>
      <c r="AB4508" s="4">
        <v>-2.2400000000000002</v>
      </c>
      <c r="AC4508" s="6">
        <v>0</v>
      </c>
      <c r="AD4508" s="6">
        <v>-18.670000000000002</v>
      </c>
      <c r="AE4508" s="1">
        <v>0</v>
      </c>
      <c r="AF4508" s="1">
        <f ca="1">IFERROR(__xludf.DUMMYFUNCTION("IFERROR(GOOGLEFINANCE(TRIM(F4508)&amp;"":"" &amp; TRIM(B4508),""high52""),AE4508)"),0)</f>
        <v>0</v>
      </c>
      <c r="AG4508" s="1">
        <v>0</v>
      </c>
      <c r="AH4508" s="1">
        <f ca="1">IFERROR(__xludf.DUMMYFUNCTION("IFERROR(GOOGLEFINANCE(TRIM(F4508)&amp;"":"" &amp; TRIM(B4508),""low52""),AE4508)"),0)</f>
        <v>0</v>
      </c>
      <c r="AI4508" s="1">
        <f ca="1">IFERROR(__xludf.DUMMYFUNCTION("IFERROR(GOOGLEFINANCE(B4508,""eps""),0)"),0)</f>
        <v>0</v>
      </c>
      <c r="AJ4508" s="1"/>
      <c r="AK4508" s="1" t="s">
        <v>13637</v>
      </c>
      <c r="AL4508" s="9">
        <f t="shared" si="398"/>
        <v>1</v>
      </c>
    </row>
    <row r="4509" spans="1:38" ht="15" x14ac:dyDescent="0.25">
      <c r="A4509" s="1" t="s">
        <v>13638</v>
      </c>
      <c r="B4509" s="1" t="s">
        <v>13639</v>
      </c>
      <c r="C4509" s="1" t="s">
        <v>502</v>
      </c>
      <c r="D4509" s="1" t="s">
        <v>502</v>
      </c>
      <c r="E4509" s="6">
        <v>922.33</v>
      </c>
      <c r="F4509" s="1" t="s">
        <v>40</v>
      </c>
      <c r="G4509" s="6">
        <f ca="1">IFERROR(__xludf.DUMMYFUNCTION("iferror(GOOGLEFINANCE(TRIM(F4509)&amp;"":"" &amp; TRIM(B4509), ""price""),0
)"),273)</f>
        <v>273</v>
      </c>
      <c r="H4509" s="6">
        <v>222.06</v>
      </c>
      <c r="I4509" s="6">
        <f t="shared" ca="1" si="0"/>
        <v>273</v>
      </c>
      <c r="J4509" s="6">
        <f ca="1">IFERROR(__xludf.DUMMYFUNCTION("IFERROR(GOOGLEFINANCE(B4509, ""volume""), 0)"),109758)</f>
        <v>109758</v>
      </c>
      <c r="K4509" s="6">
        <v>1.37</v>
      </c>
      <c r="L4509" s="6">
        <f ca="1">IFERROR(__xludf.DUMMYFUNCTION("IFERROR(GOOGLEFINANCE(B4509,""changepct""),K4509)"),-0.09)</f>
        <v>-0.09</v>
      </c>
      <c r="M4509" s="6">
        <f ca="1">IFERROR(__xludf.DUMMYFUNCTION("IFERROR(GOOGLEFINANCE(B4509,""change""),0)"),-0.25)</f>
        <v>-0.25</v>
      </c>
      <c r="N4509" s="6">
        <v>2</v>
      </c>
      <c r="O4509" s="7">
        <v>45536</v>
      </c>
      <c r="P4509" s="6">
        <v>1447.24</v>
      </c>
      <c r="Q4509" s="6">
        <v>1962.23</v>
      </c>
      <c r="R4509" s="7">
        <v>45536</v>
      </c>
      <c r="S4509" s="6">
        <v>3961.08</v>
      </c>
      <c r="T4509" s="6">
        <v>127.46</v>
      </c>
      <c r="U4509" s="7">
        <v>45536</v>
      </c>
      <c r="V4509" s="6">
        <v>5.15</v>
      </c>
      <c r="W4509" s="6">
        <f ca="1">IFERROR(__xludf.DUMMYFUNCTION("IFERROR(GOOGLEFINANCE(B4509,""pe""),V4509)"),1.17)</f>
        <v>1.17</v>
      </c>
      <c r="X4509" s="6">
        <v>0.25</v>
      </c>
      <c r="Y4509" s="6">
        <v>0.52</v>
      </c>
      <c r="Z4509" s="6">
        <v>2</v>
      </c>
      <c r="AA4509" s="8">
        <v>45352</v>
      </c>
      <c r="AB4509" s="4">
        <v>1</v>
      </c>
      <c r="AC4509" s="6">
        <v>10.45</v>
      </c>
      <c r="AD4509" s="6">
        <v>13.24</v>
      </c>
      <c r="AE4509" s="1">
        <v>0</v>
      </c>
      <c r="AF4509" s="1">
        <f ca="1">IFERROR(__xludf.DUMMYFUNCTION("IFERROR(GOOGLEFINANCE(TRIM(F4509)&amp;"":"" &amp; TRIM(B4509),""high52""),AE4509)"),393.55)</f>
        <v>393.55</v>
      </c>
      <c r="AG4509" s="1">
        <v>0</v>
      </c>
      <c r="AH4509" s="1">
        <f ca="1">IFERROR(__xludf.DUMMYFUNCTION("IFERROR(GOOGLEFINANCE(TRIM(F4509)&amp;"":"" &amp; TRIM(B4509),""low52""),AE4509)"),169.2)</f>
        <v>169.2</v>
      </c>
      <c r="AI4509" s="1">
        <f ca="1">IFERROR(__xludf.DUMMYFUNCTION("IFERROR(GOOGLEFINANCE(B4509,""eps""),0)"),232.91)</f>
        <v>232.91</v>
      </c>
      <c r="AJ4509" s="1"/>
      <c r="AK4509" s="1" t="s">
        <v>13640</v>
      </c>
      <c r="AL4509" s="9">
        <f t="shared" si="398"/>
        <v>1</v>
      </c>
    </row>
    <row r="4510" spans="1:38" ht="15" x14ac:dyDescent="0.25">
      <c r="A4510" s="1" t="s">
        <v>13641</v>
      </c>
      <c r="B4510" s="1" t="s">
        <v>13642</v>
      </c>
      <c r="C4510" s="1" t="s">
        <v>850</v>
      </c>
      <c r="D4510" s="1" t="s">
        <v>850</v>
      </c>
      <c r="E4510" s="6">
        <v>236.71</v>
      </c>
      <c r="F4510" s="1" t="s">
        <v>53</v>
      </c>
      <c r="G4510" s="6">
        <f ca="1">IFERROR(__xludf.DUMMYFUNCTION("iferror(GOOGLEFINANCE(TRIM(F4510)&amp;"":"" &amp; TRIM(B4510), ""price""),0
)"),0)</f>
        <v>0</v>
      </c>
      <c r="H4510" s="6">
        <v>243</v>
      </c>
      <c r="I4510" s="6">
        <f t="shared" ca="1" si="0"/>
        <v>243</v>
      </c>
      <c r="J4510" s="6">
        <f ca="1">IFERROR(__xludf.DUMMYFUNCTION("IFERROR(GOOGLEFINANCE(B4510, ""volume""), 0)"),0)</f>
        <v>0</v>
      </c>
      <c r="K4510" s="6">
        <v>1.25</v>
      </c>
      <c r="L4510" s="6">
        <f ca="1">IFERROR(__xludf.DUMMYFUNCTION("IFERROR(GOOGLEFINANCE(B4510,""changepct""),K4510)"),1.25)</f>
        <v>1.25</v>
      </c>
      <c r="M4510" s="6">
        <f ca="1">IFERROR(__xludf.DUMMYFUNCTION("IFERROR(GOOGLEFINANCE(B4510,""change""),0)"),0)</f>
        <v>0</v>
      </c>
      <c r="N4510" s="6">
        <v>1</v>
      </c>
      <c r="O4510" s="7">
        <v>45536</v>
      </c>
      <c r="P4510" s="6">
        <v>53.38</v>
      </c>
      <c r="Q4510" s="6">
        <v>286.74</v>
      </c>
      <c r="R4510" s="7">
        <v>45536</v>
      </c>
      <c r="S4510" s="6">
        <v>339.9</v>
      </c>
      <c r="T4510" s="6">
        <v>2.89</v>
      </c>
      <c r="U4510" s="7">
        <v>45536</v>
      </c>
      <c r="V4510" s="6">
        <v>81.819999999999993</v>
      </c>
      <c r="W4510" s="6">
        <f ca="1">IFERROR(__xludf.DUMMYFUNCTION("IFERROR(GOOGLEFINANCE(B4510,""pe""),V4510)"),81.82)</f>
        <v>81.819999999999993</v>
      </c>
      <c r="X4510" s="6">
        <v>157.35</v>
      </c>
      <c r="Y4510" s="6">
        <v>1.82</v>
      </c>
      <c r="Z4510" s="6">
        <v>1</v>
      </c>
      <c r="AA4510" s="8">
        <v>45352</v>
      </c>
      <c r="AB4510" s="4">
        <v>0.34</v>
      </c>
      <c r="AC4510" s="6">
        <v>0.97</v>
      </c>
      <c r="AD4510" s="6">
        <v>6.16</v>
      </c>
      <c r="AE4510" s="1">
        <v>0</v>
      </c>
      <c r="AF4510" s="1">
        <f ca="1">IFERROR(__xludf.DUMMYFUNCTION("IFERROR(GOOGLEFINANCE(TRIM(F4510)&amp;"":"" &amp; TRIM(B4510),""high52""),AE4510)"),0)</f>
        <v>0</v>
      </c>
      <c r="AG4510" s="1">
        <v>0</v>
      </c>
      <c r="AH4510" s="1">
        <f ca="1">IFERROR(__xludf.DUMMYFUNCTION("IFERROR(GOOGLEFINANCE(TRIM(F4510)&amp;"":"" &amp; TRIM(B4510),""low52""),AE4510)"),0)</f>
        <v>0</v>
      </c>
      <c r="AI4510" s="1">
        <f ca="1">IFERROR(__xludf.DUMMYFUNCTION("IFERROR(GOOGLEFINANCE(B4510,""eps""),0)"),0)</f>
        <v>0</v>
      </c>
      <c r="AJ4510" s="1"/>
      <c r="AK4510" s="1" t="s">
        <v>13643</v>
      </c>
      <c r="AL4510" s="9">
        <f t="shared" si="398"/>
        <v>1</v>
      </c>
    </row>
    <row r="4511" spans="1:38" ht="15" x14ac:dyDescent="0.25">
      <c r="A4511" s="1" t="s">
        <v>13644</v>
      </c>
      <c r="B4511" s="1" t="s">
        <v>13645</v>
      </c>
      <c r="C4511" s="1" t="s">
        <v>227</v>
      </c>
      <c r="D4511" s="1" t="s">
        <v>227</v>
      </c>
      <c r="E4511" s="6">
        <v>993.5</v>
      </c>
      <c r="F4511" s="1" t="s">
        <v>40</v>
      </c>
      <c r="G4511" s="6">
        <f ca="1">IFERROR(__xludf.DUMMYFUNCTION("iferror(GOOGLEFINANCE(TRIM(F4511)&amp;"":"" &amp; TRIM(B4511), ""price""),0
)"),271)</f>
        <v>271</v>
      </c>
      <c r="H4511" s="6">
        <v>333.8</v>
      </c>
      <c r="I4511" s="6">
        <f t="shared" ca="1" si="0"/>
        <v>271</v>
      </c>
      <c r="J4511" s="6">
        <f ca="1">IFERROR(__xludf.DUMMYFUNCTION("IFERROR(GOOGLEFINANCE(B4511, ""volume""), 0)"),73685)</f>
        <v>73685</v>
      </c>
      <c r="K4511" s="6">
        <v>-0.09</v>
      </c>
      <c r="L4511" s="6">
        <f ca="1">IFERROR(__xludf.DUMMYFUNCTION("IFERROR(GOOGLEFINANCE(B4511,""changepct""),K4511)"),2.67)</f>
        <v>2.67</v>
      </c>
      <c r="M4511" s="6">
        <f ca="1">IFERROR(__xludf.DUMMYFUNCTION("IFERROR(GOOGLEFINANCE(B4511,""change""),0)"),7.05)</f>
        <v>7.05</v>
      </c>
      <c r="N4511" s="6">
        <v>2</v>
      </c>
      <c r="O4511" s="7">
        <v>45536</v>
      </c>
      <c r="P4511" s="6">
        <v>2390.65</v>
      </c>
      <c r="Q4511" s="6">
        <v>2523.4</v>
      </c>
      <c r="R4511" s="7">
        <v>45536</v>
      </c>
      <c r="S4511" s="6">
        <v>841.16</v>
      </c>
      <c r="T4511" s="6">
        <v>683.07</v>
      </c>
      <c r="U4511" s="7">
        <v>45536</v>
      </c>
      <c r="V4511" s="6">
        <v>1.34</v>
      </c>
      <c r="W4511" s="6">
        <f ca="1">IFERROR(__xludf.DUMMYFUNCTION("IFERROR(GOOGLEFINANCE(B4511,""pe""),V4511)"),1.34)</f>
        <v>1.34</v>
      </c>
      <c r="X4511" s="6">
        <v>0.09</v>
      </c>
      <c r="Y4511" s="6">
        <v>0.19</v>
      </c>
      <c r="Z4511" s="6">
        <v>2</v>
      </c>
      <c r="AA4511" s="8">
        <v>45352</v>
      </c>
      <c r="AB4511" s="4">
        <v>0.6</v>
      </c>
      <c r="AC4511" s="6">
        <v>22.56</v>
      </c>
      <c r="AD4511" s="6">
        <v>18.899999999999999</v>
      </c>
      <c r="AE4511" s="1">
        <v>0</v>
      </c>
      <c r="AF4511" s="1">
        <f ca="1">IFERROR(__xludf.DUMMYFUNCTION("IFERROR(GOOGLEFINANCE(TRIM(F4511)&amp;"":"" &amp; TRIM(B4511),""high52""),AE4511)"),416)</f>
        <v>416</v>
      </c>
      <c r="AG4511" s="1">
        <v>0</v>
      </c>
      <c r="AH4511" s="1">
        <f ca="1">IFERROR(__xludf.DUMMYFUNCTION("IFERROR(GOOGLEFINANCE(TRIM(F4511)&amp;"":"" &amp; TRIM(B4511),""low52""),AE4511)"),229.99)</f>
        <v>229.99</v>
      </c>
      <c r="AI4511" s="1">
        <f ca="1">IFERROR(__xludf.DUMMYFUNCTION("IFERROR(GOOGLEFINANCE(B4511,""eps""),0)"),0)</f>
        <v>0</v>
      </c>
      <c r="AJ4511" s="1"/>
      <c r="AK4511" s="1" t="s">
        <v>13646</v>
      </c>
      <c r="AL4511" s="9">
        <f t="shared" si="398"/>
        <v>1</v>
      </c>
    </row>
    <row r="4512" spans="1:38" ht="15" x14ac:dyDescent="0.25">
      <c r="A4512" s="1" t="s">
        <v>13647</v>
      </c>
      <c r="B4512" s="1" t="s">
        <v>13648</v>
      </c>
      <c r="C4512" s="1" t="s">
        <v>106</v>
      </c>
      <c r="D4512" s="1" t="s">
        <v>106</v>
      </c>
      <c r="E4512" s="6">
        <v>99672.51</v>
      </c>
      <c r="F4512" s="1" t="s">
        <v>40</v>
      </c>
      <c r="G4512" s="6">
        <f ca="1">IFERROR(__xludf.DUMMYFUNCTION("iferror(GOOGLEFINANCE(TRIM(F4512)&amp;"":"" &amp; TRIM(B4512), ""price""),0
)"),877.5)</f>
        <v>877.5</v>
      </c>
      <c r="H4512" s="6">
        <v>991.2</v>
      </c>
      <c r="I4512" s="6">
        <f t="shared" ca="1" si="0"/>
        <v>877.5</v>
      </c>
      <c r="J4512" s="6">
        <f ca="1">IFERROR(__xludf.DUMMYFUNCTION("IFERROR(GOOGLEFINANCE(B4512, ""volume""), 0)"),405651)</f>
        <v>405651</v>
      </c>
      <c r="K4512" s="6">
        <v>0.05</v>
      </c>
      <c r="L4512" s="6">
        <f ca="1">IFERROR(__xludf.DUMMYFUNCTION("IFERROR(GOOGLEFINANCE(B4512,""changepct""),K4512)"),-0.07)</f>
        <v>-7.0000000000000007E-2</v>
      </c>
      <c r="M4512" s="6">
        <f ca="1">IFERROR(__xludf.DUMMYFUNCTION("IFERROR(GOOGLEFINANCE(B4512,""change""),0)"),-0.6)</f>
        <v>-0.6</v>
      </c>
      <c r="N4512" s="6">
        <v>2</v>
      </c>
      <c r="O4512" s="7">
        <v>45536</v>
      </c>
      <c r="P4512" s="6">
        <v>150</v>
      </c>
      <c r="Q4512" s="6">
        <v>98228.91</v>
      </c>
      <c r="R4512" s="7">
        <v>45536</v>
      </c>
      <c r="S4512" s="6">
        <v>21483.5</v>
      </c>
      <c r="T4512" s="6">
        <v>4298.8999999999996</v>
      </c>
      <c r="U4512" s="7">
        <v>45536</v>
      </c>
      <c r="V4512" s="6">
        <v>23.16</v>
      </c>
      <c r="W4512" s="6">
        <f ca="1">IFERROR(__xludf.DUMMYFUNCTION("IFERROR(GOOGLEFINANCE(B4512,""pe""),V4512)"),17.95)</f>
        <v>17.95</v>
      </c>
      <c r="X4512" s="6">
        <v>1.46</v>
      </c>
      <c r="Y4512" s="6">
        <v>4.57</v>
      </c>
      <c r="Z4512" s="6">
        <v>2</v>
      </c>
      <c r="AA4512" s="8">
        <v>45352</v>
      </c>
      <c r="AB4512" s="4">
        <v>0.04</v>
      </c>
      <c r="AC4512" s="6">
        <v>20.52</v>
      </c>
      <c r="AD4512" s="6">
        <v>24.9</v>
      </c>
      <c r="AE4512" s="1">
        <v>0</v>
      </c>
      <c r="AF4512" s="1">
        <f ca="1">IFERROR(__xludf.DUMMYFUNCTION("IFERROR(GOOGLEFINANCE(TRIM(F4512)&amp;"":"" &amp; TRIM(B4512),""high52""),AE4512)"),1059.05)</f>
        <v>1059.05</v>
      </c>
      <c r="AG4512" s="1">
        <v>0</v>
      </c>
      <c r="AH4512" s="1">
        <f ca="1">IFERROR(__xludf.DUMMYFUNCTION("IFERROR(GOOGLEFINANCE(TRIM(F4512)&amp;"":"" &amp; TRIM(B4512),""low52""),AE4512)"),795)</f>
        <v>795</v>
      </c>
      <c r="AI4512" s="1">
        <f ca="1">IFERROR(__xludf.DUMMYFUNCTION("IFERROR(GOOGLEFINANCE(B4512,""eps""),0)"),48.89)</f>
        <v>48.89</v>
      </c>
      <c r="AJ4512" s="1"/>
      <c r="AK4512" s="1" t="s">
        <v>13649</v>
      </c>
      <c r="AL4512" s="9">
        <f t="shared" si="398"/>
        <v>1</v>
      </c>
    </row>
    <row r="4513" spans="1:38" ht="15" x14ac:dyDescent="0.25">
      <c r="A4513" s="1" t="s">
        <v>13650</v>
      </c>
      <c r="B4513" s="1" t="s">
        <v>13651</v>
      </c>
      <c r="C4513" s="1" t="s">
        <v>850</v>
      </c>
      <c r="D4513" s="1" t="s">
        <v>850</v>
      </c>
      <c r="E4513" s="6">
        <v>2151.11</v>
      </c>
      <c r="F4513" s="1" t="s">
        <v>53</v>
      </c>
      <c r="G4513" s="6">
        <f ca="1">IFERROR(__xludf.DUMMYFUNCTION("iferror(GOOGLEFINANCE(TRIM(F4513)&amp;"":"" &amp; TRIM(B4513), ""price""),0
)"),0)</f>
        <v>0</v>
      </c>
      <c r="H4513" s="6">
        <v>335</v>
      </c>
      <c r="I4513" s="6">
        <f t="shared" ca="1" si="0"/>
        <v>335</v>
      </c>
      <c r="J4513" s="6">
        <f ca="1">IFERROR(__xludf.DUMMYFUNCTION("IFERROR(GOOGLEFINANCE(B4513, ""volume""), 0)"),0)</f>
        <v>0</v>
      </c>
      <c r="K4513" s="6">
        <v>0.54</v>
      </c>
      <c r="L4513" s="6">
        <f ca="1">IFERROR(__xludf.DUMMYFUNCTION("IFERROR(GOOGLEFINANCE(B4513,""changepct""),K4513)"),0.54)</f>
        <v>0.54</v>
      </c>
      <c r="M4513" s="6">
        <f ca="1">IFERROR(__xludf.DUMMYFUNCTION("IFERROR(GOOGLEFINANCE(B4513,""change""),0)"),0)</f>
        <v>0</v>
      </c>
      <c r="N4513" s="6">
        <v>2</v>
      </c>
      <c r="O4513" s="7">
        <v>45536</v>
      </c>
      <c r="P4513" s="6">
        <v>284.61</v>
      </c>
      <c r="Q4513" s="6">
        <v>2435.71</v>
      </c>
      <c r="R4513" s="7">
        <v>45536</v>
      </c>
      <c r="S4513" s="6">
        <v>627.80999999999995</v>
      </c>
      <c r="T4513" s="6">
        <v>33.200000000000003</v>
      </c>
      <c r="U4513" s="7">
        <v>45536</v>
      </c>
      <c r="V4513" s="6">
        <v>64.790000000000006</v>
      </c>
      <c r="W4513" s="6">
        <f ca="1">IFERROR(__xludf.DUMMYFUNCTION("IFERROR(GOOGLEFINANCE(B4513,""pe""),V4513)"),64.79)</f>
        <v>64.790000000000006</v>
      </c>
      <c r="X4513" s="6">
        <v>3.14</v>
      </c>
      <c r="Y4513" s="6">
        <v>7.1</v>
      </c>
      <c r="Z4513" s="6">
        <v>2</v>
      </c>
      <c r="AA4513" s="8">
        <v>45352</v>
      </c>
      <c r="AB4513" s="4">
        <v>1.1100000000000001</v>
      </c>
      <c r="AC4513" s="6">
        <v>16.09</v>
      </c>
      <c r="AD4513" s="6">
        <v>12.26</v>
      </c>
      <c r="AE4513" s="1">
        <v>0</v>
      </c>
      <c r="AF4513" s="1">
        <f ca="1">IFERROR(__xludf.DUMMYFUNCTION("IFERROR(GOOGLEFINANCE(TRIM(F4513)&amp;"":"" &amp; TRIM(B4513),""high52""),AE4513)"),0)</f>
        <v>0</v>
      </c>
      <c r="AG4513" s="1">
        <v>0</v>
      </c>
      <c r="AH4513" s="1">
        <f ca="1">IFERROR(__xludf.DUMMYFUNCTION("IFERROR(GOOGLEFINANCE(TRIM(F4513)&amp;"":"" &amp; TRIM(B4513),""low52""),AE4513)"),0)</f>
        <v>0</v>
      </c>
      <c r="AI4513" s="1">
        <f ca="1">IFERROR(__xludf.DUMMYFUNCTION("IFERROR(GOOGLEFINANCE(B4513,""eps""),0)"),0)</f>
        <v>0</v>
      </c>
      <c r="AJ4513" s="1"/>
      <c r="AK4513" s="1" t="s">
        <v>13652</v>
      </c>
      <c r="AL4513" s="9">
        <f t="shared" si="398"/>
        <v>1</v>
      </c>
    </row>
    <row r="4514" spans="1:38" ht="15" x14ac:dyDescent="0.25">
      <c r="A4514" s="1" t="s">
        <v>13653</v>
      </c>
      <c r="B4514" s="1" t="s">
        <v>13654</v>
      </c>
      <c r="C4514" s="1" t="s">
        <v>850</v>
      </c>
      <c r="D4514" s="1" t="s">
        <v>850</v>
      </c>
      <c r="E4514" s="6">
        <v>44.79</v>
      </c>
      <c r="F4514" s="1" t="s">
        <v>53</v>
      </c>
      <c r="G4514" s="6">
        <f ca="1">IFERROR(__xludf.DUMMYFUNCTION("iferror(GOOGLEFINANCE(TRIM(F4514)&amp;"":"" &amp; TRIM(B4514), ""price""),0
)"),0)</f>
        <v>0</v>
      </c>
      <c r="H4514" s="6">
        <v>7.27</v>
      </c>
      <c r="I4514" s="6">
        <f t="shared" ca="1" si="0"/>
        <v>7.27</v>
      </c>
      <c r="J4514" s="6">
        <f ca="1">IFERROR(__xludf.DUMMYFUNCTION("IFERROR(GOOGLEFINANCE(B4514, ""volume""), 0)"),0)</f>
        <v>0</v>
      </c>
      <c r="K4514" s="6">
        <v>3.71</v>
      </c>
      <c r="L4514" s="6">
        <f ca="1">IFERROR(__xludf.DUMMYFUNCTION("IFERROR(GOOGLEFINANCE(B4514,""changepct""),K4514)"),3.71)</f>
        <v>3.71</v>
      </c>
      <c r="M4514" s="6">
        <f ca="1">IFERROR(__xludf.DUMMYFUNCTION("IFERROR(GOOGLEFINANCE(B4514,""change""),0)"),0)</f>
        <v>0</v>
      </c>
      <c r="N4514" s="6">
        <v>1</v>
      </c>
      <c r="O4514" s="7">
        <v>45536</v>
      </c>
      <c r="P4514" s="9"/>
      <c r="Q4514" s="6">
        <v>44.79</v>
      </c>
      <c r="R4514" s="7">
        <v>45536</v>
      </c>
      <c r="S4514" s="6">
        <v>4.38</v>
      </c>
      <c r="T4514" s="6">
        <v>0.72</v>
      </c>
      <c r="U4514" s="7">
        <v>45536</v>
      </c>
      <c r="V4514" s="6">
        <v>62.21</v>
      </c>
      <c r="W4514" s="6">
        <f ca="1">IFERROR(__xludf.DUMMYFUNCTION("IFERROR(GOOGLEFINANCE(B4514,""pe""),V4514)"),62.21)</f>
        <v>62.21</v>
      </c>
      <c r="X4514" s="6">
        <v>1.21</v>
      </c>
      <c r="Y4514" s="6">
        <v>7.36</v>
      </c>
      <c r="Z4514" s="6">
        <v>1</v>
      </c>
      <c r="AA4514" s="8">
        <v>45352</v>
      </c>
      <c r="AB4514" s="4">
        <v>0</v>
      </c>
      <c r="AC4514" s="6">
        <v>8.16</v>
      </c>
      <c r="AD4514" s="6">
        <v>8.15</v>
      </c>
      <c r="AE4514" s="1">
        <v>0</v>
      </c>
      <c r="AF4514" s="1">
        <f ca="1">IFERROR(__xludf.DUMMYFUNCTION("IFERROR(GOOGLEFINANCE(TRIM(F4514)&amp;"":"" &amp; TRIM(B4514),""high52""),AE4514)"),0)</f>
        <v>0</v>
      </c>
      <c r="AG4514" s="1">
        <v>0</v>
      </c>
      <c r="AH4514" s="1">
        <f ca="1">IFERROR(__xludf.DUMMYFUNCTION("IFERROR(GOOGLEFINANCE(TRIM(F4514)&amp;"":"" &amp; TRIM(B4514),""low52""),AE4514)"),0)</f>
        <v>0</v>
      </c>
      <c r="AI4514" s="1">
        <f ca="1">IFERROR(__xludf.DUMMYFUNCTION("IFERROR(GOOGLEFINANCE(B4514,""eps""),0)"),0)</f>
        <v>0</v>
      </c>
      <c r="AJ4514" s="1"/>
      <c r="AK4514" s="1" t="s">
        <v>13655</v>
      </c>
      <c r="AL4514" s="9">
        <f t="shared" si="398"/>
        <v>1</v>
      </c>
    </row>
    <row r="4515" spans="1:38" ht="15" x14ac:dyDescent="0.25">
      <c r="A4515" s="1" t="s">
        <v>13656</v>
      </c>
      <c r="B4515" s="1" t="s">
        <v>13657</v>
      </c>
      <c r="C4515" s="1" t="s">
        <v>324</v>
      </c>
      <c r="D4515" s="1" t="s">
        <v>324</v>
      </c>
      <c r="E4515" s="6">
        <v>12728.02</v>
      </c>
      <c r="F4515" s="1" t="s">
        <v>40</v>
      </c>
      <c r="G4515" s="6">
        <f ca="1">IFERROR(__xludf.DUMMYFUNCTION("iferror(GOOGLEFINANCE(TRIM(F4515)&amp;"":"" &amp; TRIM(B4515), ""price""),0
)"),430)</f>
        <v>430</v>
      </c>
      <c r="H4515" s="6">
        <v>2008.9</v>
      </c>
      <c r="I4515" s="6">
        <f t="shared" ca="1" si="0"/>
        <v>430</v>
      </c>
      <c r="J4515" s="6">
        <f ca="1">IFERROR(__xludf.DUMMYFUNCTION("IFERROR(GOOGLEFINANCE(B4515, ""volume""), 0)"),106399)</f>
        <v>106399</v>
      </c>
      <c r="K4515" s="6">
        <v>0.06</v>
      </c>
      <c r="L4515" s="6">
        <f ca="1">IFERROR(__xludf.DUMMYFUNCTION("IFERROR(GOOGLEFINANCE(B4515,""changepct""),K4515)"),-2.32)</f>
        <v>-2.3199999999999998</v>
      </c>
      <c r="M4515" s="6">
        <f ca="1">IFERROR(__xludf.DUMMYFUNCTION("IFERROR(GOOGLEFINANCE(B4515,""change""),0)"),-10.2)</f>
        <v>-10.199999999999999</v>
      </c>
      <c r="N4515" s="6">
        <v>2</v>
      </c>
      <c r="O4515" s="7">
        <v>45536</v>
      </c>
      <c r="P4515" s="6">
        <v>150</v>
      </c>
      <c r="Q4515" s="6">
        <v>12856.62</v>
      </c>
      <c r="R4515" s="7">
        <v>45536</v>
      </c>
      <c r="S4515" s="6">
        <v>2519.6999999999998</v>
      </c>
      <c r="T4515" s="6">
        <v>319.2</v>
      </c>
      <c r="U4515" s="7">
        <v>45536</v>
      </c>
      <c r="V4515" s="6">
        <v>39.869999999999997</v>
      </c>
      <c r="W4515" s="6">
        <f ca="1">IFERROR(__xludf.DUMMYFUNCTION("IFERROR(GOOGLEFINANCE(B4515,""pe""),V4515)"),54.22)</f>
        <v>54.22</v>
      </c>
      <c r="X4515" s="6">
        <v>4.3600000000000003</v>
      </c>
      <c r="Y4515" s="6">
        <v>2.3199999999999998</v>
      </c>
      <c r="Z4515" s="6">
        <v>2</v>
      </c>
      <c r="AA4515" s="8">
        <v>45352</v>
      </c>
      <c r="AB4515" s="4">
        <v>0.06</v>
      </c>
      <c r="AC4515" s="6">
        <v>5.09</v>
      </c>
      <c r="AD4515" s="6">
        <v>5.12</v>
      </c>
      <c r="AE4515" s="1">
        <v>0</v>
      </c>
      <c r="AF4515" s="1">
        <f ca="1">IFERROR(__xludf.DUMMYFUNCTION("IFERROR(GOOGLEFINANCE(TRIM(F4515)&amp;"":"" &amp; TRIM(B4515),""high52""),AE4515)"),530.9)</f>
        <v>530.9</v>
      </c>
      <c r="AG4515" s="1">
        <v>0</v>
      </c>
      <c r="AH4515" s="1">
        <f ca="1">IFERROR(__xludf.DUMMYFUNCTION("IFERROR(GOOGLEFINANCE(TRIM(F4515)&amp;"":"" &amp; TRIM(B4515),""low52""),AE4515)"),298.64)</f>
        <v>298.64</v>
      </c>
      <c r="AI4515" s="1">
        <f ca="1">IFERROR(__xludf.DUMMYFUNCTION("IFERROR(GOOGLEFINANCE(B4515,""eps""),0)"),7.93)</f>
        <v>7.93</v>
      </c>
      <c r="AJ4515" s="1"/>
      <c r="AK4515" s="1" t="s">
        <v>13658</v>
      </c>
      <c r="AL4515" s="9">
        <f t="shared" si="398"/>
        <v>1</v>
      </c>
    </row>
    <row r="4516" spans="1:38" ht="15" x14ac:dyDescent="0.25">
      <c r="A4516" s="1" t="s">
        <v>13659</v>
      </c>
      <c r="B4516" s="1" t="s">
        <v>13660</v>
      </c>
      <c r="C4516" s="1" t="s">
        <v>850</v>
      </c>
      <c r="D4516" s="1" t="s">
        <v>850</v>
      </c>
      <c r="E4516" s="6">
        <v>9.49</v>
      </c>
      <c r="F4516" s="1" t="s">
        <v>53</v>
      </c>
      <c r="G4516" s="6">
        <f ca="1">IFERROR(__xludf.DUMMYFUNCTION("iferror(GOOGLEFINANCE(TRIM(F4516)&amp;"":"" &amp; TRIM(B4516), ""price""),0
)"),0)</f>
        <v>0</v>
      </c>
      <c r="H4516" s="6">
        <v>6.37</v>
      </c>
      <c r="I4516" s="6">
        <f t="shared" ca="1" si="0"/>
        <v>6.37</v>
      </c>
      <c r="J4516" s="6">
        <f ca="1">IFERROR(__xludf.DUMMYFUNCTION("IFERROR(GOOGLEFINANCE(B4516, ""volume""), 0)"),0)</f>
        <v>0</v>
      </c>
      <c r="K4516" s="9"/>
      <c r="L4516" s="6" t="str">
        <f ca="1">IFERROR(__xludf.DUMMYFUNCTION("IFERROR(GOOGLEFINANCE(B4516,""changepct""),K4516)"),"")</f>
        <v/>
      </c>
      <c r="M4516" s="6">
        <f ca="1">IFERROR(__xludf.DUMMYFUNCTION("IFERROR(GOOGLEFINANCE(B4516,""change""),0)"),0)</f>
        <v>0</v>
      </c>
      <c r="N4516" s="6">
        <v>1</v>
      </c>
      <c r="O4516" s="7">
        <v>45536</v>
      </c>
      <c r="P4516" s="6">
        <v>2.0499999999999998</v>
      </c>
      <c r="Q4516" s="6">
        <v>11.53</v>
      </c>
      <c r="R4516" s="7">
        <v>45536</v>
      </c>
      <c r="S4516" s="6">
        <v>0</v>
      </c>
      <c r="T4516" s="6">
        <v>-7.0000000000000007E-2</v>
      </c>
      <c r="U4516" s="7">
        <v>45536</v>
      </c>
      <c r="V4516" s="6">
        <v>0</v>
      </c>
      <c r="W4516" s="6">
        <f ca="1">IFERROR(__xludf.DUMMYFUNCTION("IFERROR(GOOGLEFINANCE(B4516,""pe""),V4516)"),0)</f>
        <v>0</v>
      </c>
      <c r="X4516" s="6">
        <v>0</v>
      </c>
      <c r="Y4516" s="6">
        <v>-4.67</v>
      </c>
      <c r="Z4516" s="6">
        <v>1</v>
      </c>
      <c r="AA4516" s="8">
        <v>45352</v>
      </c>
      <c r="AB4516" s="4">
        <v>-1</v>
      </c>
      <c r="AC4516" s="6">
        <v>0</v>
      </c>
      <c r="AD4516" s="6">
        <v>-1818</v>
      </c>
      <c r="AE4516" s="1">
        <v>0</v>
      </c>
      <c r="AF4516" s="1">
        <f ca="1">IFERROR(__xludf.DUMMYFUNCTION("IFERROR(GOOGLEFINANCE(TRIM(F4516)&amp;"":"" &amp; TRIM(B4516),""high52""),AE4516)"),0)</f>
        <v>0</v>
      </c>
      <c r="AG4516" s="1">
        <v>0</v>
      </c>
      <c r="AH4516" s="1">
        <f ca="1">IFERROR(__xludf.DUMMYFUNCTION("IFERROR(GOOGLEFINANCE(TRIM(F4516)&amp;"":"" &amp; TRIM(B4516),""low52""),AE4516)"),0)</f>
        <v>0</v>
      </c>
      <c r="AI4516" s="1">
        <f ca="1">IFERROR(__xludf.DUMMYFUNCTION("IFERROR(GOOGLEFINANCE(B4516,""eps""),0)"),0)</f>
        <v>0</v>
      </c>
      <c r="AJ4516" s="1"/>
      <c r="AK4516" s="1" t="s">
        <v>13661</v>
      </c>
      <c r="AL4516" s="9">
        <f t="shared" si="398"/>
        <v>1</v>
      </c>
    </row>
    <row r="4517" spans="1:38" ht="15.75" customHeight="1" x14ac:dyDescent="0.25">
      <c r="B4517" s="12" t="s">
        <v>13662</v>
      </c>
      <c r="C4517" s="12" t="s">
        <v>1067</v>
      </c>
      <c r="D4517" s="12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35"/>
  <sheetViews>
    <sheetView workbookViewId="0"/>
  </sheetViews>
  <sheetFormatPr defaultColWidth="12.5703125" defaultRowHeight="15.75" customHeight="1" x14ac:dyDescent="0.2"/>
  <cols>
    <col min="1" max="1" width="35.28515625" customWidth="1"/>
  </cols>
  <sheetData>
    <row r="1" spans="1:1" ht="15.75" customHeight="1" x14ac:dyDescent="0.3">
      <c r="A1" s="23" t="s">
        <v>3</v>
      </c>
    </row>
    <row r="2" spans="1:1" ht="15.75" customHeight="1" x14ac:dyDescent="0.25">
      <c r="A2" s="1" t="s">
        <v>39</v>
      </c>
    </row>
    <row r="3" spans="1:1" ht="15.75" customHeight="1" x14ac:dyDescent="0.25">
      <c r="A3" s="1" t="s">
        <v>43</v>
      </c>
    </row>
    <row r="4" spans="1:1" ht="15.75" customHeight="1" x14ac:dyDescent="0.25">
      <c r="A4" s="1" t="s">
        <v>48</v>
      </c>
    </row>
    <row r="5" spans="1:1" ht="15.75" customHeight="1" x14ac:dyDescent="0.25">
      <c r="A5" s="1" t="s">
        <v>697</v>
      </c>
    </row>
    <row r="6" spans="1:1" ht="15.75" customHeight="1" x14ac:dyDescent="0.25">
      <c r="A6" s="1" t="s">
        <v>359</v>
      </c>
    </row>
    <row r="7" spans="1:1" ht="15.75" customHeight="1" x14ac:dyDescent="0.25">
      <c r="A7" s="1" t="s">
        <v>57</v>
      </c>
    </row>
    <row r="8" spans="1:1" ht="15.75" customHeight="1" x14ac:dyDescent="0.25">
      <c r="A8" s="1" t="s">
        <v>64</v>
      </c>
    </row>
    <row r="9" spans="1:1" ht="15.75" customHeight="1" x14ac:dyDescent="0.25">
      <c r="A9" s="1" t="s">
        <v>71</v>
      </c>
    </row>
    <row r="10" spans="1:1" ht="15.75" customHeight="1" x14ac:dyDescent="0.25">
      <c r="A10" s="1" t="s">
        <v>1229</v>
      </c>
    </row>
    <row r="11" spans="1:1" ht="15.75" customHeight="1" x14ac:dyDescent="0.25">
      <c r="A11" s="1" t="s">
        <v>75</v>
      </c>
    </row>
    <row r="12" spans="1:1" ht="15.75" customHeight="1" x14ac:dyDescent="0.25">
      <c r="A12" s="1" t="s">
        <v>227</v>
      </c>
    </row>
    <row r="13" spans="1:1" ht="15.75" customHeight="1" x14ac:dyDescent="0.25">
      <c r="A13" s="1" t="s">
        <v>82</v>
      </c>
    </row>
    <row r="14" spans="1:1" ht="15.75" customHeight="1" x14ac:dyDescent="0.25">
      <c r="A14" s="1" t="s">
        <v>86</v>
      </c>
    </row>
    <row r="15" spans="1:1" ht="15.75" customHeight="1" x14ac:dyDescent="0.25">
      <c r="A15" s="1" t="s">
        <v>90</v>
      </c>
    </row>
    <row r="16" spans="1:1" ht="15.75" customHeight="1" x14ac:dyDescent="0.25">
      <c r="A16" s="1" t="s">
        <v>94</v>
      </c>
    </row>
    <row r="17" spans="1:1" ht="15.75" customHeight="1" x14ac:dyDescent="0.25">
      <c r="A17" s="1" t="s">
        <v>103</v>
      </c>
    </row>
    <row r="18" spans="1:1" ht="15.75" customHeight="1" x14ac:dyDescent="0.25">
      <c r="A18" s="1" t="s">
        <v>706</v>
      </c>
    </row>
    <row r="19" spans="1:1" ht="15.75" customHeight="1" x14ac:dyDescent="0.25">
      <c r="A19" s="1" t="s">
        <v>219</v>
      </c>
    </row>
    <row r="20" spans="1:1" ht="15.75" customHeight="1" x14ac:dyDescent="0.25">
      <c r="A20" s="1" t="s">
        <v>106</v>
      </c>
    </row>
    <row r="21" spans="1:1" ht="15.75" customHeight="1" x14ac:dyDescent="0.25">
      <c r="A21" s="1" t="s">
        <v>112</v>
      </c>
    </row>
    <row r="22" spans="1:1" ht="15.75" customHeight="1" x14ac:dyDescent="0.25">
      <c r="A22" s="1" t="s">
        <v>125</v>
      </c>
    </row>
    <row r="23" spans="1:1" ht="15.75" customHeight="1" x14ac:dyDescent="0.25">
      <c r="A23" s="1" t="s">
        <v>135</v>
      </c>
    </row>
    <row r="24" spans="1:1" ht="15.75" customHeight="1" x14ac:dyDescent="0.25">
      <c r="A24" s="1" t="s">
        <v>151</v>
      </c>
    </row>
    <row r="25" spans="1:1" ht="15.75" customHeight="1" x14ac:dyDescent="0.25">
      <c r="A25" s="1" t="s">
        <v>154</v>
      </c>
    </row>
    <row r="26" spans="1:1" ht="15" x14ac:dyDescent="0.25">
      <c r="A26" s="1" t="s">
        <v>159</v>
      </c>
    </row>
    <row r="27" spans="1:1" ht="15" x14ac:dyDescent="0.25">
      <c r="A27" s="1" t="s">
        <v>208</v>
      </c>
    </row>
    <row r="28" spans="1:1" ht="15" x14ac:dyDescent="0.25">
      <c r="A28" s="1" t="s">
        <v>163</v>
      </c>
    </row>
    <row r="29" spans="1:1" ht="15" x14ac:dyDescent="0.25">
      <c r="A29" s="1" t="s">
        <v>186</v>
      </c>
    </row>
    <row r="30" spans="1:1" ht="15" x14ac:dyDescent="0.25">
      <c r="A30" s="1" t="s">
        <v>259</v>
      </c>
    </row>
    <row r="31" spans="1:1" ht="15" x14ac:dyDescent="0.25">
      <c r="A31" s="1" t="s">
        <v>487</v>
      </c>
    </row>
    <row r="32" spans="1:1" ht="15" x14ac:dyDescent="0.25">
      <c r="A32" s="1" t="s">
        <v>223</v>
      </c>
    </row>
    <row r="33" spans="1:1" ht="15" x14ac:dyDescent="0.25">
      <c r="A33" s="1" t="s">
        <v>231</v>
      </c>
    </row>
    <row r="34" spans="1:1" ht="15" x14ac:dyDescent="0.25">
      <c r="A34" s="1" t="s">
        <v>239</v>
      </c>
    </row>
    <row r="35" spans="1:1" ht="15" x14ac:dyDescent="0.25">
      <c r="A35" s="1" t="s">
        <v>2185</v>
      </c>
    </row>
    <row r="36" spans="1:1" ht="15" x14ac:dyDescent="0.25">
      <c r="A36" s="1" t="s">
        <v>255</v>
      </c>
    </row>
    <row r="37" spans="1:1" ht="15" x14ac:dyDescent="0.25">
      <c r="A37" s="1" t="s">
        <v>268</v>
      </c>
    </row>
    <row r="38" spans="1:1" ht="15" x14ac:dyDescent="0.25">
      <c r="A38" s="1" t="s">
        <v>416</v>
      </c>
    </row>
    <row r="39" spans="1:1" ht="15" x14ac:dyDescent="0.25">
      <c r="A39" s="1" t="s">
        <v>275</v>
      </c>
    </row>
    <row r="40" spans="1:1" ht="15" x14ac:dyDescent="0.25">
      <c r="A40" s="1" t="s">
        <v>288</v>
      </c>
    </row>
    <row r="41" spans="1:1" ht="15" x14ac:dyDescent="0.25">
      <c r="A41" s="1" t="s">
        <v>309</v>
      </c>
    </row>
    <row r="42" spans="1:1" ht="15" x14ac:dyDescent="0.25">
      <c r="A42" s="1" t="s">
        <v>317</v>
      </c>
    </row>
    <row r="43" spans="1:1" ht="15" x14ac:dyDescent="0.25">
      <c r="A43" s="1" t="s">
        <v>1129</v>
      </c>
    </row>
    <row r="44" spans="1:1" ht="15" x14ac:dyDescent="0.25">
      <c r="A44" s="1" t="s">
        <v>321</v>
      </c>
    </row>
    <row r="45" spans="1:1" ht="15" x14ac:dyDescent="0.25">
      <c r="A45" s="1" t="s">
        <v>324</v>
      </c>
    </row>
    <row r="46" spans="1:1" ht="15" x14ac:dyDescent="0.25">
      <c r="A46" s="1" t="s">
        <v>373</v>
      </c>
    </row>
    <row r="47" spans="1:1" ht="15" x14ac:dyDescent="0.25">
      <c r="A47" s="1" t="s">
        <v>386</v>
      </c>
    </row>
    <row r="48" spans="1:1" ht="15" x14ac:dyDescent="0.25">
      <c r="A48" s="1" t="s">
        <v>398</v>
      </c>
    </row>
    <row r="49" spans="1:1" ht="15" x14ac:dyDescent="0.25">
      <c r="A49" s="1" t="s">
        <v>410</v>
      </c>
    </row>
    <row r="50" spans="1:1" ht="15" x14ac:dyDescent="0.25">
      <c r="A50" s="1" t="s">
        <v>470</v>
      </c>
    </row>
    <row r="51" spans="1:1" ht="15" x14ac:dyDescent="0.25">
      <c r="A51" s="1" t="s">
        <v>473</v>
      </c>
    </row>
    <row r="52" spans="1:1" ht="15" x14ac:dyDescent="0.25">
      <c r="A52" s="1" t="s">
        <v>483</v>
      </c>
    </row>
    <row r="53" spans="1:1" ht="15" x14ac:dyDescent="0.25">
      <c r="A53" s="1" t="s">
        <v>99</v>
      </c>
    </row>
    <row r="54" spans="1:1" ht="15" x14ac:dyDescent="0.25">
      <c r="A54" s="1" t="s">
        <v>502</v>
      </c>
    </row>
    <row r="55" spans="1:1" ht="15" x14ac:dyDescent="0.25">
      <c r="A55" s="1" t="s">
        <v>521</v>
      </c>
    </row>
    <row r="56" spans="1:1" ht="15" x14ac:dyDescent="0.25">
      <c r="A56" s="1" t="s">
        <v>525</v>
      </c>
    </row>
    <row r="57" spans="1:1" ht="15" x14ac:dyDescent="0.25">
      <c r="A57" s="1" t="s">
        <v>535</v>
      </c>
    </row>
    <row r="58" spans="1:1" ht="15" x14ac:dyDescent="0.25">
      <c r="A58" s="1" t="s">
        <v>328</v>
      </c>
    </row>
    <row r="59" spans="1:1" ht="15" x14ac:dyDescent="0.25">
      <c r="A59" s="1" t="s">
        <v>1400</v>
      </c>
    </row>
    <row r="60" spans="1:1" ht="15" x14ac:dyDescent="0.25">
      <c r="A60" s="1" t="s">
        <v>355</v>
      </c>
    </row>
    <row r="61" spans="1:1" ht="15" x14ac:dyDescent="0.25">
      <c r="A61" s="1" t="s">
        <v>567</v>
      </c>
    </row>
    <row r="62" spans="1:1" ht="15" x14ac:dyDescent="0.25">
      <c r="A62" s="1" t="s">
        <v>577</v>
      </c>
    </row>
    <row r="63" spans="1:1" ht="15" x14ac:dyDescent="0.25">
      <c r="A63" s="1" t="s">
        <v>584</v>
      </c>
    </row>
    <row r="64" spans="1:1" ht="15" x14ac:dyDescent="0.25">
      <c r="A64" s="1" t="s">
        <v>593</v>
      </c>
    </row>
    <row r="65" spans="1:1" ht="15" x14ac:dyDescent="0.25">
      <c r="A65" s="1" t="s">
        <v>850</v>
      </c>
    </row>
    <row r="66" spans="1:1" ht="15" x14ac:dyDescent="0.25">
      <c r="A66" s="1" t="s">
        <v>643</v>
      </c>
    </row>
    <row r="67" spans="1:1" ht="15" x14ac:dyDescent="0.25">
      <c r="A67" s="1" t="s">
        <v>679</v>
      </c>
    </row>
    <row r="68" spans="1:1" ht="15" x14ac:dyDescent="0.25">
      <c r="A68" s="1" t="s">
        <v>689</v>
      </c>
    </row>
    <row r="69" spans="1:1" ht="15" x14ac:dyDescent="0.25">
      <c r="A69" s="1" t="s">
        <v>1528</v>
      </c>
    </row>
    <row r="70" spans="1:1" ht="15" x14ac:dyDescent="0.25">
      <c r="A70" s="1" t="s">
        <v>4423</v>
      </c>
    </row>
    <row r="71" spans="1:1" ht="15" x14ac:dyDescent="0.25">
      <c r="A71" s="1" t="s">
        <v>1913</v>
      </c>
    </row>
    <row r="72" spans="1:1" ht="15" x14ac:dyDescent="0.25">
      <c r="A72" s="1" t="s">
        <v>778</v>
      </c>
    </row>
    <row r="73" spans="1:1" ht="15" x14ac:dyDescent="0.25">
      <c r="A73" s="1" t="s">
        <v>782</v>
      </c>
    </row>
    <row r="74" spans="1:1" ht="15" x14ac:dyDescent="0.25">
      <c r="A74" s="1" t="s">
        <v>801</v>
      </c>
    </row>
    <row r="75" spans="1:1" ht="15" x14ac:dyDescent="0.25">
      <c r="A75" s="1" t="s">
        <v>338</v>
      </c>
    </row>
    <row r="76" spans="1:1" ht="15" x14ac:dyDescent="0.25">
      <c r="A76" s="1" t="s">
        <v>828</v>
      </c>
    </row>
    <row r="77" spans="1:1" ht="15" x14ac:dyDescent="0.25">
      <c r="A77" s="1" t="s">
        <v>835</v>
      </c>
    </row>
    <row r="78" spans="1:1" ht="15" x14ac:dyDescent="0.25">
      <c r="A78" s="1" t="s">
        <v>843</v>
      </c>
    </row>
    <row r="79" spans="1:1" ht="15" x14ac:dyDescent="0.25">
      <c r="A79" s="1" t="s">
        <v>264</v>
      </c>
    </row>
    <row r="80" spans="1:1" ht="15" x14ac:dyDescent="0.25">
      <c r="A80" s="1" t="s">
        <v>860</v>
      </c>
    </row>
    <row r="81" spans="1:1" ht="15" x14ac:dyDescent="0.25">
      <c r="A81" s="1" t="s">
        <v>889</v>
      </c>
    </row>
    <row r="82" spans="1:1" ht="15" x14ac:dyDescent="0.25">
      <c r="A82" s="1" t="s">
        <v>1663</v>
      </c>
    </row>
    <row r="83" spans="1:1" ht="15" x14ac:dyDescent="0.25">
      <c r="A83" s="1" t="s">
        <v>2432</v>
      </c>
    </row>
    <row r="84" spans="1:1" ht="15" x14ac:dyDescent="0.25">
      <c r="A84" s="1" t="s">
        <v>2018</v>
      </c>
    </row>
    <row r="85" spans="1:1" ht="15" x14ac:dyDescent="0.25">
      <c r="A85" s="1" t="s">
        <v>970</v>
      </c>
    </row>
    <row r="86" spans="1:1" ht="15" x14ac:dyDescent="0.25">
      <c r="A86" s="1" t="s">
        <v>4673</v>
      </c>
    </row>
    <row r="87" spans="1:1" ht="15" x14ac:dyDescent="0.25">
      <c r="A87" s="1" t="s">
        <v>1019</v>
      </c>
    </row>
    <row r="88" spans="1:1" ht="15" x14ac:dyDescent="0.25">
      <c r="A88" s="1" t="s">
        <v>1054</v>
      </c>
    </row>
    <row r="89" spans="1:1" ht="15" x14ac:dyDescent="0.25">
      <c r="A89" s="1" t="s">
        <v>669</v>
      </c>
    </row>
    <row r="90" spans="1:1" ht="15" x14ac:dyDescent="0.25">
      <c r="A90" s="1" t="s">
        <v>1067</v>
      </c>
    </row>
    <row r="91" spans="1:1" ht="15" x14ac:dyDescent="0.25">
      <c r="A91" s="1" t="s">
        <v>907</v>
      </c>
    </row>
    <row r="92" spans="1:1" ht="15" x14ac:dyDescent="0.25">
      <c r="A92" s="1" t="s">
        <v>1118</v>
      </c>
    </row>
    <row r="93" spans="1:1" ht="15" x14ac:dyDescent="0.25">
      <c r="A93" s="1" t="s">
        <v>1497</v>
      </c>
    </row>
    <row r="94" spans="1:1" ht="15" x14ac:dyDescent="0.25">
      <c r="A94" s="1" t="s">
        <v>1265</v>
      </c>
    </row>
    <row r="95" spans="1:1" ht="15" x14ac:dyDescent="0.25">
      <c r="A95" s="1" t="s">
        <v>1379</v>
      </c>
    </row>
    <row r="96" spans="1:1" ht="15" x14ac:dyDescent="0.25">
      <c r="A96" s="1" t="s">
        <v>1410</v>
      </c>
    </row>
    <row r="97" spans="1:1" ht="15" x14ac:dyDescent="0.25">
      <c r="A97" s="1" t="s">
        <v>1425</v>
      </c>
    </row>
    <row r="98" spans="1:1" ht="15" x14ac:dyDescent="0.25">
      <c r="A98" s="1" t="s">
        <v>2222</v>
      </c>
    </row>
    <row r="99" spans="1:1" ht="15" x14ac:dyDescent="0.25">
      <c r="A99" s="1" t="s">
        <v>1546</v>
      </c>
    </row>
    <row r="100" spans="1:1" ht="15" x14ac:dyDescent="0.25">
      <c r="A100" s="1" t="s">
        <v>693</v>
      </c>
    </row>
    <row r="101" spans="1:1" ht="15" x14ac:dyDescent="0.25">
      <c r="A101" s="1" t="s">
        <v>4824</v>
      </c>
    </row>
    <row r="102" spans="1:1" ht="15" x14ac:dyDescent="0.25">
      <c r="A102" s="1" t="s">
        <v>4967</v>
      </c>
    </row>
    <row r="103" spans="1:1" ht="15" x14ac:dyDescent="0.25">
      <c r="A103" s="1" t="s">
        <v>1644</v>
      </c>
    </row>
    <row r="104" spans="1:1" ht="15" x14ac:dyDescent="0.25">
      <c r="A104" s="1" t="s">
        <v>1656</v>
      </c>
    </row>
    <row r="105" spans="1:1" ht="15" x14ac:dyDescent="0.25">
      <c r="A105" s="1" t="s">
        <v>4100</v>
      </c>
    </row>
    <row r="106" spans="1:1" ht="15" x14ac:dyDescent="0.25">
      <c r="A106" s="1" t="s">
        <v>1682</v>
      </c>
    </row>
    <row r="107" spans="1:1" ht="15" x14ac:dyDescent="0.25">
      <c r="A107" s="1" t="s">
        <v>4084</v>
      </c>
    </row>
    <row r="108" spans="1:1" ht="15" x14ac:dyDescent="0.25">
      <c r="A108" s="1" t="s">
        <v>1739</v>
      </c>
    </row>
    <row r="109" spans="1:1" ht="15" x14ac:dyDescent="0.25">
      <c r="A109" s="1" t="s">
        <v>52</v>
      </c>
    </row>
    <row r="110" spans="1:1" ht="15" x14ac:dyDescent="0.25">
      <c r="A110" s="1" t="s">
        <v>1751</v>
      </c>
    </row>
    <row r="111" spans="1:1" ht="15" x14ac:dyDescent="0.25">
      <c r="A111" s="1" t="s">
        <v>1866</v>
      </c>
    </row>
    <row r="112" spans="1:1" ht="15" x14ac:dyDescent="0.25">
      <c r="A112" s="1" t="s">
        <v>1876</v>
      </c>
    </row>
    <row r="113" spans="1:1" ht="15" x14ac:dyDescent="0.25">
      <c r="A113" s="1" t="s">
        <v>1954</v>
      </c>
    </row>
    <row r="114" spans="1:1" ht="15" x14ac:dyDescent="0.25">
      <c r="A114" s="1" t="s">
        <v>9949</v>
      </c>
    </row>
    <row r="115" spans="1:1" ht="15" x14ac:dyDescent="0.25">
      <c r="A115" s="1" t="s">
        <v>2152</v>
      </c>
    </row>
    <row r="116" spans="1:1" ht="15" x14ac:dyDescent="0.25">
      <c r="A116" s="1" t="s">
        <v>2386</v>
      </c>
    </row>
    <row r="117" spans="1:1" ht="15" x14ac:dyDescent="0.25">
      <c r="A117" s="1" t="s">
        <v>2426</v>
      </c>
    </row>
    <row r="118" spans="1:1" ht="15" x14ac:dyDescent="0.25">
      <c r="A118" s="1" t="s">
        <v>313</v>
      </c>
    </row>
    <row r="119" spans="1:1" ht="15" x14ac:dyDescent="0.25">
      <c r="A119" s="1" t="s">
        <v>2874</v>
      </c>
    </row>
    <row r="120" spans="1:1" ht="15" x14ac:dyDescent="0.25">
      <c r="A120" s="1" t="s">
        <v>2893</v>
      </c>
    </row>
    <row r="121" spans="1:1" ht="15" x14ac:dyDescent="0.25">
      <c r="A121" s="1" t="s">
        <v>3273</v>
      </c>
    </row>
    <row r="122" spans="1:1" ht="15" x14ac:dyDescent="0.25">
      <c r="A122" s="1" t="s">
        <v>3477</v>
      </c>
    </row>
    <row r="123" spans="1:1" ht="15" x14ac:dyDescent="0.25">
      <c r="A123" s="1" t="s">
        <v>3720</v>
      </c>
    </row>
    <row r="124" spans="1:1" ht="15" x14ac:dyDescent="0.25">
      <c r="A124" s="1" t="s">
        <v>235</v>
      </c>
    </row>
    <row r="125" spans="1:1" ht="15" x14ac:dyDescent="0.25">
      <c r="A125" s="1" t="s">
        <v>3892</v>
      </c>
    </row>
    <row r="126" spans="1:1" ht="15" x14ac:dyDescent="0.25">
      <c r="A126" s="1" t="s">
        <v>2124</v>
      </c>
    </row>
    <row r="127" spans="1:1" ht="15" x14ac:dyDescent="0.25">
      <c r="A127" s="1" t="s">
        <v>4298</v>
      </c>
    </row>
    <row r="128" spans="1:1" ht="15" x14ac:dyDescent="0.25">
      <c r="A128" s="1" t="s">
        <v>719</v>
      </c>
    </row>
    <row r="129" spans="1:1" ht="15" x14ac:dyDescent="0.25">
      <c r="A129" s="1" t="s">
        <v>3112</v>
      </c>
    </row>
    <row r="130" spans="1:1" ht="15" x14ac:dyDescent="0.25">
      <c r="A130" s="1" t="s">
        <v>7191</v>
      </c>
    </row>
    <row r="131" spans="1:1" ht="15" x14ac:dyDescent="0.25">
      <c r="A131" s="1" t="s">
        <v>4934</v>
      </c>
    </row>
    <row r="132" spans="1:1" ht="15" x14ac:dyDescent="0.25">
      <c r="A132" s="1" t="s">
        <v>5080</v>
      </c>
    </row>
    <row r="133" spans="1:1" ht="15" x14ac:dyDescent="0.25">
      <c r="A133" s="1" t="s">
        <v>5852</v>
      </c>
    </row>
    <row r="134" spans="1:1" ht="15" x14ac:dyDescent="0.25">
      <c r="A134" s="1" t="s">
        <v>5872</v>
      </c>
    </row>
    <row r="135" spans="1:1" ht="15" x14ac:dyDescent="0.25">
      <c r="A135" s="1" t="s">
        <v>4950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4991"/>
  <sheetViews>
    <sheetView workbookViewId="0"/>
  </sheetViews>
  <sheetFormatPr defaultColWidth="12.5703125" defaultRowHeight="15.75" customHeight="1" x14ac:dyDescent="0.2"/>
  <sheetData>
    <row r="1" spans="1:4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 x14ac:dyDescent="0.25">
      <c r="A2" s="1"/>
      <c r="B2" s="1"/>
      <c r="C2" s="1"/>
      <c r="D2" s="1"/>
      <c r="E2" s="6"/>
      <c r="F2" s="1"/>
      <c r="G2" s="6"/>
      <c r="H2" s="6"/>
      <c r="I2" s="12"/>
      <c r="J2" s="6"/>
      <c r="K2" s="6"/>
      <c r="L2" s="6"/>
      <c r="M2" s="6"/>
      <c r="N2" s="6"/>
      <c r="O2" s="7"/>
      <c r="P2" s="6"/>
      <c r="Q2" s="6"/>
      <c r="R2" s="7"/>
      <c r="S2" s="6"/>
      <c r="T2" s="6"/>
      <c r="U2" s="7"/>
      <c r="V2" s="6"/>
      <c r="W2" s="6"/>
      <c r="X2" s="6"/>
      <c r="Y2" s="6"/>
      <c r="Z2" s="6"/>
      <c r="AA2" s="7"/>
      <c r="AB2" s="6"/>
      <c r="AC2" s="6"/>
      <c r="AD2" s="6"/>
      <c r="AE2" s="12"/>
      <c r="AF2" s="6"/>
      <c r="AG2" s="12"/>
      <c r="AH2" s="6"/>
      <c r="AI2" s="6"/>
      <c r="AJ2" s="12"/>
      <c r="AK2" s="24"/>
      <c r="AL2" s="25"/>
      <c r="AM2" s="12"/>
      <c r="AN2" s="1"/>
      <c r="AO2" s="6"/>
    </row>
    <row r="3" spans="1:41" ht="15.75" customHeight="1" x14ac:dyDescent="0.25">
      <c r="A3" s="1"/>
      <c r="B3" s="1"/>
      <c r="C3" s="1"/>
      <c r="D3" s="1"/>
      <c r="E3" s="6"/>
      <c r="F3" s="1"/>
      <c r="G3" s="6"/>
      <c r="H3" s="6"/>
      <c r="I3" s="6"/>
      <c r="J3" s="6"/>
      <c r="K3" s="6"/>
      <c r="L3" s="6"/>
      <c r="M3" s="6"/>
      <c r="N3" s="6"/>
      <c r="O3" s="7"/>
      <c r="P3" s="6"/>
      <c r="Q3" s="7"/>
      <c r="R3" s="6"/>
      <c r="S3" s="6"/>
      <c r="T3" s="6"/>
      <c r="U3" s="6"/>
      <c r="V3" s="7"/>
      <c r="W3" s="6"/>
      <c r="X3" s="6"/>
      <c r="Y3" s="6"/>
      <c r="Z3" s="6"/>
      <c r="AA3" s="24"/>
      <c r="AB3" s="25"/>
      <c r="AC3" s="12"/>
      <c r="AD3" s="12"/>
      <c r="AE3" s="12"/>
      <c r="AF3" s="6"/>
      <c r="AG3" s="12"/>
      <c r="AH3" s="6"/>
      <c r="AI3" s="6"/>
      <c r="AJ3" s="12"/>
      <c r="AK3" s="12"/>
      <c r="AL3" s="12"/>
      <c r="AM3" s="12"/>
      <c r="AN3" s="1"/>
      <c r="AO3" s="6"/>
    </row>
    <row r="4" spans="1:41" ht="15.75" customHeight="1" x14ac:dyDescent="0.25">
      <c r="A4" s="1"/>
      <c r="B4" s="1"/>
      <c r="C4" s="1"/>
      <c r="D4" s="1"/>
      <c r="E4" s="6"/>
      <c r="F4" s="1"/>
      <c r="G4" s="6"/>
      <c r="H4" s="6"/>
      <c r="I4" s="6"/>
      <c r="J4" s="6"/>
      <c r="K4" s="6"/>
      <c r="L4" s="6"/>
      <c r="M4" s="6"/>
      <c r="N4" s="6"/>
      <c r="O4" s="7"/>
      <c r="P4" s="6"/>
      <c r="Q4" s="7"/>
      <c r="R4" s="6"/>
      <c r="S4" s="6"/>
      <c r="T4" s="6"/>
      <c r="U4" s="6"/>
      <c r="V4" s="7"/>
      <c r="W4" s="6"/>
      <c r="X4" s="6"/>
      <c r="Y4" s="6"/>
      <c r="Z4" s="6"/>
      <c r="AA4" s="1"/>
      <c r="AB4" s="12"/>
      <c r="AC4" s="12"/>
      <c r="AD4" s="12"/>
      <c r="AE4" s="12"/>
      <c r="AF4" s="6"/>
      <c r="AG4" s="12"/>
      <c r="AH4" s="6"/>
      <c r="AI4" s="6"/>
      <c r="AJ4" s="12"/>
      <c r="AK4" s="12"/>
      <c r="AL4" s="12"/>
      <c r="AM4" s="12"/>
      <c r="AN4" s="1"/>
      <c r="AO4" s="6"/>
    </row>
    <row r="5" spans="1:41" ht="15.75" customHeight="1" x14ac:dyDescent="0.25">
      <c r="A5" s="1"/>
      <c r="B5" s="1"/>
      <c r="C5" s="1"/>
      <c r="D5" s="1"/>
      <c r="E5" s="6"/>
      <c r="F5" s="1"/>
      <c r="G5" s="6"/>
      <c r="H5" s="6"/>
      <c r="I5" s="6"/>
      <c r="J5" s="6"/>
      <c r="K5" s="6"/>
      <c r="L5" s="6"/>
      <c r="M5" s="6"/>
      <c r="N5" s="6"/>
      <c r="O5" s="7"/>
      <c r="P5" s="6"/>
      <c r="Q5" s="6"/>
      <c r="R5" s="7"/>
      <c r="S5" s="6"/>
      <c r="T5" s="6"/>
      <c r="U5" s="7"/>
      <c r="V5" s="6"/>
      <c r="W5" s="6"/>
      <c r="X5" s="6"/>
      <c r="Y5" s="6"/>
      <c r="Z5" s="6"/>
      <c r="AA5" s="7"/>
      <c r="AB5" s="6"/>
      <c r="AC5" s="6"/>
      <c r="AD5" s="6"/>
      <c r="AE5" s="12"/>
      <c r="AF5" s="12"/>
      <c r="AG5" s="12"/>
      <c r="AH5" s="12"/>
      <c r="AI5" s="6"/>
      <c r="AJ5" s="12"/>
      <c r="AK5" s="1"/>
      <c r="AL5" s="12"/>
      <c r="AM5" s="12"/>
      <c r="AN5" s="1"/>
      <c r="AO5" s="6"/>
    </row>
    <row r="6" spans="1:41" ht="15.75" customHeight="1" x14ac:dyDescent="0.25">
      <c r="A6" s="1"/>
      <c r="B6" s="1"/>
      <c r="C6" s="1"/>
      <c r="D6" s="1"/>
      <c r="E6" s="6"/>
      <c r="F6" s="1"/>
      <c r="G6" s="6"/>
      <c r="H6" s="6"/>
      <c r="I6" s="6"/>
      <c r="J6" s="6"/>
      <c r="K6" s="12"/>
      <c r="L6" s="12"/>
      <c r="M6" s="6"/>
      <c r="N6" s="6"/>
      <c r="O6" s="7"/>
      <c r="P6" s="6"/>
      <c r="Q6" s="6"/>
      <c r="R6" s="7"/>
      <c r="S6" s="6"/>
      <c r="T6" s="6"/>
      <c r="U6" s="7"/>
      <c r="V6" s="6"/>
      <c r="W6" s="6"/>
      <c r="X6" s="12"/>
      <c r="Y6" s="6"/>
      <c r="Z6" s="6"/>
      <c r="AA6" s="7"/>
      <c r="AB6" s="6"/>
      <c r="AC6" s="6"/>
      <c r="AD6" s="6"/>
      <c r="AE6" s="12"/>
      <c r="AF6" s="12"/>
      <c r="AG6" s="12"/>
      <c r="AH6" s="12"/>
      <c r="AI6" s="6"/>
      <c r="AJ6" s="12"/>
      <c r="AK6" s="1"/>
      <c r="AL6" s="12"/>
      <c r="AM6" s="12"/>
      <c r="AN6" s="1"/>
      <c r="AO6" s="6"/>
    </row>
    <row r="7" spans="1:41" ht="15.75" customHeight="1" x14ac:dyDescent="0.25">
      <c r="A7" s="1"/>
      <c r="B7" s="1"/>
      <c r="C7" s="1"/>
      <c r="D7" s="1"/>
      <c r="E7" s="6"/>
      <c r="F7" s="1"/>
      <c r="G7" s="6"/>
      <c r="H7" s="6"/>
      <c r="I7" s="6"/>
      <c r="J7" s="6"/>
      <c r="K7" s="6"/>
      <c r="L7" s="6"/>
      <c r="M7" s="6"/>
      <c r="N7" s="6"/>
      <c r="O7" s="7"/>
      <c r="P7" s="6"/>
      <c r="Q7" s="6"/>
      <c r="R7" s="7"/>
      <c r="S7" s="6"/>
      <c r="T7" s="6"/>
      <c r="U7" s="7"/>
      <c r="V7" s="6"/>
      <c r="W7" s="6"/>
      <c r="X7" s="12"/>
      <c r="Y7" s="6"/>
      <c r="Z7" s="6"/>
      <c r="AA7" s="7"/>
      <c r="AB7" s="6"/>
      <c r="AC7" s="6"/>
      <c r="AD7" s="6"/>
      <c r="AE7" s="12"/>
      <c r="AF7" s="6"/>
      <c r="AG7" s="12"/>
      <c r="AH7" s="6"/>
      <c r="AI7" s="6"/>
      <c r="AJ7" s="12"/>
      <c r="AK7" s="24"/>
      <c r="AL7" s="25"/>
      <c r="AM7" s="12"/>
      <c r="AN7" s="1"/>
      <c r="AO7" s="6"/>
    </row>
    <row r="8" spans="1:41" ht="15.75" customHeight="1" x14ac:dyDescent="0.25">
      <c r="A8" s="1"/>
      <c r="B8" s="1"/>
      <c r="C8" s="1"/>
      <c r="D8" s="1"/>
      <c r="E8" s="6"/>
      <c r="F8" s="1"/>
      <c r="G8" s="6"/>
      <c r="H8" s="6"/>
      <c r="I8" s="6"/>
      <c r="J8" s="6"/>
      <c r="K8" s="6"/>
      <c r="L8" s="6"/>
      <c r="M8" s="6"/>
      <c r="N8" s="6"/>
      <c r="O8" s="7"/>
      <c r="P8" s="12"/>
      <c r="Q8" s="6"/>
      <c r="R8" s="7"/>
      <c r="S8" s="6"/>
      <c r="T8" s="6"/>
      <c r="U8" s="7"/>
      <c r="V8" s="6"/>
      <c r="W8" s="6"/>
      <c r="X8" s="6"/>
      <c r="Y8" s="6"/>
      <c r="Z8" s="6"/>
      <c r="AA8" s="7"/>
      <c r="AB8" s="6"/>
      <c r="AC8" s="6"/>
      <c r="AD8" s="6"/>
      <c r="AE8" s="12"/>
      <c r="AF8" s="6"/>
      <c r="AG8" s="12"/>
      <c r="AH8" s="6"/>
      <c r="AI8" s="6"/>
      <c r="AJ8" s="12"/>
      <c r="AK8" s="1"/>
      <c r="AL8" s="12"/>
      <c r="AM8" s="12"/>
      <c r="AN8" s="1"/>
      <c r="AO8" s="6"/>
    </row>
    <row r="9" spans="1:41" ht="15.75" customHeight="1" x14ac:dyDescent="0.25">
      <c r="A9" s="1"/>
      <c r="B9" s="1"/>
      <c r="C9" s="1"/>
      <c r="D9" s="1"/>
      <c r="E9" s="6"/>
      <c r="F9" s="1"/>
      <c r="G9" s="6"/>
      <c r="H9" s="6"/>
      <c r="I9" s="6"/>
      <c r="J9" s="6"/>
      <c r="K9" s="6"/>
      <c r="L9" s="6"/>
      <c r="M9" s="6"/>
      <c r="N9" s="6"/>
      <c r="O9" s="7"/>
      <c r="P9" s="6"/>
      <c r="Q9" s="7"/>
      <c r="R9" s="6"/>
      <c r="S9" s="6"/>
      <c r="T9" s="6"/>
      <c r="U9" s="6"/>
      <c r="V9" s="7"/>
      <c r="W9" s="6"/>
      <c r="X9" s="6"/>
      <c r="Y9" s="6"/>
      <c r="Z9" s="6"/>
      <c r="AA9" s="1"/>
      <c r="AB9" s="12"/>
      <c r="AC9" s="12"/>
      <c r="AD9" s="12"/>
      <c r="AE9" s="12"/>
      <c r="AF9" s="6"/>
      <c r="AG9" s="12"/>
      <c r="AH9" s="6"/>
      <c r="AI9" s="6"/>
      <c r="AJ9" s="12"/>
      <c r="AK9" s="12"/>
      <c r="AL9" s="12"/>
      <c r="AM9" s="12"/>
      <c r="AN9" s="1"/>
      <c r="AO9" s="6"/>
    </row>
    <row r="10" spans="1:41" ht="15.75" customHeight="1" x14ac:dyDescent="0.25">
      <c r="A10" s="1"/>
      <c r="B10" s="1"/>
      <c r="C10" s="1"/>
      <c r="D10" s="1"/>
      <c r="E10" s="6"/>
      <c r="F10" s="1"/>
      <c r="G10" s="6"/>
      <c r="H10" s="6"/>
      <c r="I10" s="6"/>
      <c r="J10" s="6"/>
      <c r="K10" s="12"/>
      <c r="L10" s="6"/>
      <c r="M10" s="6"/>
      <c r="N10" s="6"/>
      <c r="O10" s="7"/>
      <c r="P10" s="6"/>
      <c r="Q10" s="6"/>
      <c r="R10" s="7"/>
      <c r="S10" s="6"/>
      <c r="T10" s="6"/>
      <c r="U10" s="7"/>
      <c r="V10" s="6"/>
      <c r="W10" s="6"/>
      <c r="X10" s="12"/>
      <c r="Y10" s="6"/>
      <c r="Z10" s="6"/>
      <c r="AA10" s="7"/>
      <c r="AB10" s="6"/>
      <c r="AC10" s="6"/>
      <c r="AD10" s="6"/>
      <c r="AE10" s="12"/>
      <c r="AF10" s="6"/>
      <c r="AG10" s="12"/>
      <c r="AH10" s="6"/>
      <c r="AI10" s="6"/>
      <c r="AJ10" s="12"/>
      <c r="AK10" s="24"/>
      <c r="AL10" s="25"/>
      <c r="AM10" s="12"/>
      <c r="AN10" s="1"/>
      <c r="AO10" s="12"/>
    </row>
    <row r="11" spans="1:41" ht="15.75" customHeight="1" x14ac:dyDescent="0.25">
      <c r="A11" s="1"/>
      <c r="B11" s="1"/>
      <c r="C11" s="1"/>
      <c r="D11" s="1"/>
      <c r="E11" s="6"/>
      <c r="F11" s="1"/>
      <c r="G11" s="6"/>
      <c r="H11" s="6"/>
      <c r="I11" s="6"/>
      <c r="J11" s="6"/>
      <c r="K11" s="6"/>
      <c r="L11" s="6"/>
      <c r="M11" s="6"/>
      <c r="N11" s="6"/>
      <c r="O11" s="7"/>
      <c r="P11" s="6"/>
      <c r="Q11" s="6"/>
      <c r="R11" s="7"/>
      <c r="S11" s="6"/>
      <c r="T11" s="6"/>
      <c r="U11" s="7"/>
      <c r="V11" s="6"/>
      <c r="W11" s="6"/>
      <c r="X11" s="6"/>
      <c r="Y11" s="6"/>
      <c r="Z11" s="6"/>
      <c r="AA11" s="7"/>
      <c r="AB11" s="6"/>
      <c r="AC11" s="6"/>
      <c r="AD11" s="6"/>
      <c r="AE11" s="12"/>
      <c r="AF11" s="12"/>
      <c r="AG11" s="12"/>
      <c r="AH11" s="12"/>
      <c r="AI11" s="6"/>
      <c r="AJ11" s="12"/>
      <c r="AK11" s="1"/>
      <c r="AL11" s="12"/>
      <c r="AM11" s="12"/>
      <c r="AN11" s="1"/>
      <c r="AO11" s="6"/>
    </row>
    <row r="12" spans="1:41" ht="15.75" customHeight="1" x14ac:dyDescent="0.25">
      <c r="A12" s="1"/>
      <c r="B12" s="1"/>
      <c r="C12" s="1"/>
      <c r="D12" s="1"/>
      <c r="E12" s="6"/>
      <c r="F12" s="1"/>
      <c r="G12" s="6"/>
      <c r="H12" s="6"/>
      <c r="I12" s="6"/>
      <c r="J12" s="6"/>
      <c r="K12" s="6"/>
      <c r="L12" s="6"/>
      <c r="M12" s="6"/>
      <c r="N12" s="6"/>
      <c r="O12" s="7"/>
      <c r="P12" s="6"/>
      <c r="Q12" s="7"/>
      <c r="R12" s="6"/>
      <c r="S12" s="6"/>
      <c r="T12" s="6"/>
      <c r="U12" s="6"/>
      <c r="V12" s="7"/>
      <c r="W12" s="6"/>
      <c r="X12" s="6"/>
      <c r="Y12" s="6"/>
      <c r="Z12" s="6"/>
      <c r="AA12" s="1"/>
      <c r="AB12" s="12"/>
      <c r="AC12" s="12"/>
      <c r="AD12" s="12"/>
      <c r="AE12" s="12"/>
      <c r="AF12" s="6"/>
      <c r="AG12" s="12"/>
      <c r="AH12" s="6"/>
      <c r="AI12" s="6"/>
      <c r="AJ12" s="12"/>
      <c r="AK12" s="12"/>
      <c r="AL12" s="12"/>
      <c r="AM12" s="12"/>
      <c r="AN12" s="1"/>
      <c r="AO12" s="6"/>
    </row>
    <row r="13" spans="1:41" ht="15.75" customHeight="1" x14ac:dyDescent="0.25">
      <c r="A13" s="1"/>
      <c r="B13" s="1"/>
      <c r="C13" s="1"/>
      <c r="D13" s="1"/>
      <c r="E13" s="6"/>
      <c r="F13" s="1"/>
      <c r="G13" s="6"/>
      <c r="H13" s="6"/>
      <c r="I13" s="6"/>
      <c r="J13" s="6"/>
      <c r="K13" s="6"/>
      <c r="L13" s="6"/>
      <c r="M13" s="6"/>
      <c r="N13" s="6"/>
      <c r="O13" s="7"/>
      <c r="P13" s="12"/>
      <c r="Q13" s="6"/>
      <c r="R13" s="7"/>
      <c r="S13" s="6"/>
      <c r="T13" s="6"/>
      <c r="U13" s="7"/>
      <c r="V13" s="6"/>
      <c r="W13" s="6"/>
      <c r="X13" s="6"/>
      <c r="Y13" s="6"/>
      <c r="Z13" s="6"/>
      <c r="AA13" s="7"/>
      <c r="AB13" s="6"/>
      <c r="AC13" s="6"/>
      <c r="AD13" s="6"/>
      <c r="AE13" s="12"/>
      <c r="AF13" s="6"/>
      <c r="AG13" s="12"/>
      <c r="AH13" s="6"/>
      <c r="AI13" s="6"/>
      <c r="AJ13" s="12"/>
      <c r="AK13" s="24"/>
      <c r="AL13" s="25"/>
      <c r="AM13" s="12"/>
      <c r="AN13" s="1"/>
      <c r="AO13" s="6"/>
    </row>
    <row r="14" spans="1:41" ht="15.75" customHeight="1" x14ac:dyDescent="0.25">
      <c r="A14" s="1"/>
      <c r="B14" s="1"/>
      <c r="C14" s="1"/>
      <c r="D14" s="1"/>
      <c r="E14" s="6"/>
      <c r="F14" s="1"/>
      <c r="G14" s="6"/>
      <c r="H14" s="6"/>
      <c r="I14" s="6"/>
      <c r="J14" s="6"/>
      <c r="K14" s="6"/>
      <c r="L14" s="6"/>
      <c r="M14" s="6"/>
      <c r="N14" s="6"/>
      <c r="O14" s="7"/>
      <c r="P14" s="6"/>
      <c r="Q14" s="6"/>
      <c r="R14" s="7"/>
      <c r="S14" s="6"/>
      <c r="T14" s="6"/>
      <c r="U14" s="7"/>
      <c r="V14" s="6"/>
      <c r="W14" s="6"/>
      <c r="X14" s="12"/>
      <c r="Y14" s="6"/>
      <c r="Z14" s="6"/>
      <c r="AA14" s="7"/>
      <c r="AB14" s="6"/>
      <c r="AC14" s="6"/>
      <c r="AD14" s="6"/>
      <c r="AE14" s="12"/>
      <c r="AF14" s="12"/>
      <c r="AG14" s="12"/>
      <c r="AH14" s="12"/>
      <c r="AI14" s="6"/>
      <c r="AJ14" s="12"/>
      <c r="AK14" s="1"/>
      <c r="AL14" s="12"/>
      <c r="AM14" s="12"/>
      <c r="AN14" s="1"/>
      <c r="AO14" s="6"/>
    </row>
    <row r="15" spans="1:41" ht="15.75" customHeight="1" x14ac:dyDescent="0.25">
      <c r="A15" s="1"/>
      <c r="B15" s="1"/>
      <c r="C15" s="1"/>
      <c r="D15" s="1"/>
      <c r="E15" s="6"/>
      <c r="F15" s="1"/>
      <c r="G15" s="6"/>
      <c r="H15" s="6"/>
      <c r="I15" s="6"/>
      <c r="J15" s="6"/>
      <c r="K15" s="6"/>
      <c r="L15" s="6"/>
      <c r="M15" s="6"/>
      <c r="N15" s="6"/>
      <c r="O15" s="7"/>
      <c r="P15" s="6"/>
      <c r="Q15" s="6"/>
      <c r="R15" s="7"/>
      <c r="S15" s="6"/>
      <c r="T15" s="6"/>
      <c r="U15" s="7"/>
      <c r="V15" s="6"/>
      <c r="W15" s="6"/>
      <c r="X15" s="6"/>
      <c r="Y15" s="6"/>
      <c r="Z15" s="6"/>
      <c r="AA15" s="7"/>
      <c r="AB15" s="6"/>
      <c r="AC15" s="6"/>
      <c r="AD15" s="6"/>
      <c r="AE15" s="12"/>
      <c r="AF15" s="12"/>
      <c r="AG15" s="12"/>
      <c r="AH15" s="12"/>
      <c r="AI15" s="6"/>
      <c r="AJ15" s="12"/>
      <c r="AK15" s="1"/>
      <c r="AL15" s="12"/>
      <c r="AM15" s="12"/>
      <c r="AN15" s="1"/>
      <c r="AO15" s="6"/>
    </row>
    <row r="16" spans="1:41" ht="15.75" customHeight="1" x14ac:dyDescent="0.25">
      <c r="A16" s="1"/>
      <c r="B16" s="1"/>
      <c r="C16" s="1"/>
      <c r="D16" s="1"/>
      <c r="E16" s="6"/>
      <c r="F16" s="1"/>
      <c r="G16" s="6"/>
      <c r="H16" s="6"/>
      <c r="I16" s="6"/>
      <c r="J16" s="6"/>
      <c r="K16" s="12"/>
      <c r="L16" s="12"/>
      <c r="M16" s="6"/>
      <c r="N16" s="6"/>
      <c r="O16" s="7"/>
      <c r="P16" s="6"/>
      <c r="Q16" s="6"/>
      <c r="R16" s="7"/>
      <c r="S16" s="6"/>
      <c r="T16" s="6"/>
      <c r="U16" s="7"/>
      <c r="V16" s="6"/>
      <c r="W16" s="6"/>
      <c r="X16" s="12"/>
      <c r="Y16" s="6"/>
      <c r="Z16" s="6"/>
      <c r="AA16" s="7"/>
      <c r="AB16" s="6"/>
      <c r="AC16" s="6"/>
      <c r="AD16" s="6"/>
      <c r="AE16" s="12"/>
      <c r="AF16" s="12"/>
      <c r="AG16" s="12"/>
      <c r="AH16" s="12"/>
      <c r="AI16" s="6"/>
      <c r="AJ16" s="12"/>
      <c r="AK16" s="24"/>
      <c r="AL16" s="25"/>
      <c r="AM16" s="12"/>
      <c r="AN16" s="1"/>
      <c r="AO16" s="12"/>
    </row>
    <row r="17" spans="1:41" ht="15.75" customHeight="1" x14ac:dyDescent="0.25">
      <c r="A17" s="1"/>
      <c r="B17" s="1"/>
      <c r="C17" s="1"/>
      <c r="D17" s="1"/>
      <c r="E17" s="6"/>
      <c r="F17" s="1"/>
      <c r="G17" s="6"/>
      <c r="H17" s="6"/>
      <c r="I17" s="6"/>
      <c r="J17" s="6"/>
      <c r="K17" s="6"/>
      <c r="L17" s="6"/>
      <c r="M17" s="6"/>
      <c r="N17" s="6"/>
      <c r="O17" s="7"/>
      <c r="P17" s="6"/>
      <c r="Q17" s="6"/>
      <c r="R17" s="7"/>
      <c r="S17" s="6"/>
      <c r="T17" s="6"/>
      <c r="U17" s="7"/>
      <c r="V17" s="6"/>
      <c r="W17" s="6"/>
      <c r="X17" s="12"/>
      <c r="Y17" s="6"/>
      <c r="Z17" s="6"/>
      <c r="AA17" s="7"/>
      <c r="AB17" s="6"/>
      <c r="AC17" s="6"/>
      <c r="AD17" s="6"/>
      <c r="AE17" s="12"/>
      <c r="AF17" s="12"/>
      <c r="AG17" s="12"/>
      <c r="AH17" s="12"/>
      <c r="AI17" s="6"/>
      <c r="AJ17" s="12"/>
      <c r="AK17" s="1"/>
      <c r="AL17" s="12"/>
      <c r="AM17" s="12"/>
      <c r="AN17" s="1"/>
      <c r="AO17" s="6"/>
    </row>
    <row r="18" spans="1:41" ht="15.75" customHeight="1" x14ac:dyDescent="0.25">
      <c r="A18" s="1"/>
      <c r="B18" s="1"/>
      <c r="C18" s="1"/>
      <c r="D18" s="1"/>
      <c r="E18" s="6"/>
      <c r="F18" s="1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7"/>
      <c r="S18" s="6"/>
      <c r="T18" s="6"/>
      <c r="U18" s="7"/>
      <c r="V18" s="6"/>
      <c r="W18" s="6"/>
      <c r="X18" s="12"/>
      <c r="Y18" s="6"/>
      <c r="Z18" s="6"/>
      <c r="AA18" s="7"/>
      <c r="AB18" s="6"/>
      <c r="AC18" s="6"/>
      <c r="AD18" s="6"/>
      <c r="AE18" s="12"/>
      <c r="AF18" s="6"/>
      <c r="AG18" s="12"/>
      <c r="AH18" s="6"/>
      <c r="AI18" s="6"/>
      <c r="AJ18" s="12"/>
      <c r="AK18" s="24"/>
      <c r="AL18" s="25"/>
      <c r="AM18" s="12"/>
      <c r="AN18" s="1"/>
      <c r="AO18" s="6"/>
    </row>
    <row r="19" spans="1:41" ht="15.75" customHeight="1" x14ac:dyDescent="0.25">
      <c r="A19" s="1"/>
      <c r="B19" s="1"/>
      <c r="C19" s="1"/>
      <c r="D19" s="1"/>
      <c r="E19" s="6"/>
      <c r="F19" s="1"/>
      <c r="G19" s="6"/>
      <c r="H19" s="6"/>
      <c r="I19" s="6"/>
      <c r="J19" s="6"/>
      <c r="K19" s="6"/>
      <c r="L19" s="6"/>
      <c r="M19" s="6"/>
      <c r="N19" s="6"/>
      <c r="O19" s="7"/>
      <c r="P19" s="12"/>
      <c r="Q19" s="6"/>
      <c r="R19" s="7"/>
      <c r="S19" s="6"/>
      <c r="T19" s="6"/>
      <c r="U19" s="7"/>
      <c r="V19" s="6"/>
      <c r="W19" s="6"/>
      <c r="X19" s="12"/>
      <c r="Y19" s="6"/>
      <c r="Z19" s="6"/>
      <c r="AA19" s="7"/>
      <c r="AB19" s="6"/>
      <c r="AC19" s="6"/>
      <c r="AD19" s="6"/>
      <c r="AE19" s="12"/>
      <c r="AF19" s="6"/>
      <c r="AG19" s="12"/>
      <c r="AH19" s="6"/>
      <c r="AI19" s="6"/>
      <c r="AJ19" s="12"/>
      <c r="AK19" s="24"/>
      <c r="AL19" s="25"/>
      <c r="AM19" s="12"/>
      <c r="AN19" s="1"/>
      <c r="AO19" s="6"/>
    </row>
    <row r="20" spans="1:41" ht="15.75" customHeight="1" x14ac:dyDescent="0.25">
      <c r="A20" s="1"/>
      <c r="B20" s="1"/>
      <c r="C20" s="1"/>
      <c r="D20" s="1"/>
      <c r="E20" s="6"/>
      <c r="F20" s="1"/>
      <c r="G20" s="6"/>
      <c r="H20" s="6"/>
      <c r="I20" s="6"/>
      <c r="J20" s="6"/>
      <c r="K20" s="6"/>
      <c r="L20" s="6"/>
      <c r="M20" s="6"/>
      <c r="N20" s="6"/>
      <c r="O20" s="7"/>
      <c r="P20" s="6"/>
      <c r="Q20" s="7"/>
      <c r="R20" s="6"/>
      <c r="S20" s="12"/>
      <c r="T20" s="6"/>
      <c r="U20" s="6"/>
      <c r="V20" s="7"/>
      <c r="W20" s="6"/>
      <c r="X20" s="6"/>
      <c r="Y20" s="6"/>
      <c r="Z20" s="6"/>
      <c r="AA20" s="24"/>
      <c r="AB20" s="25"/>
      <c r="AC20" s="12"/>
      <c r="AD20" s="12"/>
      <c r="AE20" s="12"/>
      <c r="AF20" s="6"/>
      <c r="AG20" s="12"/>
      <c r="AH20" s="6"/>
      <c r="AI20" s="6"/>
      <c r="AJ20" s="12"/>
      <c r="AK20" s="12"/>
      <c r="AL20" s="12"/>
      <c r="AM20" s="12"/>
      <c r="AN20" s="1"/>
      <c r="AO20" s="6"/>
    </row>
    <row r="21" spans="1:41" ht="15.75" customHeight="1" x14ac:dyDescent="0.25">
      <c r="A21" s="1"/>
      <c r="B21" s="1"/>
      <c r="C21" s="1"/>
      <c r="D21" s="1"/>
      <c r="E21" s="6"/>
      <c r="F21" s="1"/>
      <c r="G21" s="6"/>
      <c r="H21" s="6"/>
      <c r="I21" s="6"/>
      <c r="J21" s="6"/>
      <c r="K21" s="6"/>
      <c r="L21" s="6"/>
      <c r="M21" s="6"/>
      <c r="N21" s="6"/>
      <c r="O21" s="7"/>
      <c r="P21" s="6"/>
      <c r="Q21" s="6"/>
      <c r="R21" s="7"/>
      <c r="S21" s="6"/>
      <c r="T21" s="6"/>
      <c r="U21" s="7"/>
      <c r="V21" s="6"/>
      <c r="W21" s="6"/>
      <c r="X21" s="6"/>
      <c r="Y21" s="6"/>
      <c r="Z21" s="6"/>
      <c r="AA21" s="7"/>
      <c r="AB21" s="6"/>
      <c r="AC21" s="6"/>
      <c r="AD21" s="6"/>
      <c r="AE21" s="12"/>
      <c r="AF21" s="12"/>
      <c r="AG21" s="12"/>
      <c r="AH21" s="12"/>
      <c r="AI21" s="6"/>
      <c r="AJ21" s="12"/>
      <c r="AK21" s="1"/>
      <c r="AL21" s="12"/>
      <c r="AM21" s="12"/>
      <c r="AN21" s="1"/>
      <c r="AO21" s="6"/>
    </row>
    <row r="22" spans="1:41" ht="15.75" customHeight="1" x14ac:dyDescent="0.25">
      <c r="A22" s="1"/>
      <c r="B22" s="1"/>
      <c r="C22" s="1"/>
      <c r="D22" s="1"/>
      <c r="E22" s="6"/>
      <c r="F22" s="1"/>
      <c r="G22" s="6"/>
      <c r="H22" s="6"/>
      <c r="I22" s="6"/>
      <c r="J22" s="6"/>
      <c r="K22" s="6"/>
      <c r="L22" s="6"/>
      <c r="M22" s="6"/>
      <c r="N22" s="6"/>
      <c r="O22" s="7"/>
      <c r="P22" s="6"/>
      <c r="Q22" s="6"/>
      <c r="R22" s="7"/>
      <c r="S22" s="6"/>
      <c r="T22" s="6"/>
      <c r="U22" s="7"/>
      <c r="V22" s="6"/>
      <c r="W22" s="6"/>
      <c r="X22" s="12"/>
      <c r="Y22" s="6"/>
      <c r="Z22" s="6"/>
      <c r="AA22" s="7"/>
      <c r="AB22" s="6"/>
      <c r="AC22" s="6"/>
      <c r="AD22" s="6"/>
      <c r="AE22" s="12"/>
      <c r="AF22" s="6"/>
      <c r="AG22" s="12"/>
      <c r="AH22" s="6"/>
      <c r="AI22" s="6"/>
      <c r="AJ22" s="12"/>
      <c r="AK22" s="1"/>
      <c r="AL22" s="12"/>
      <c r="AM22" s="12"/>
      <c r="AN22" s="1"/>
      <c r="AO22" s="6"/>
    </row>
    <row r="23" spans="1:41" ht="15.75" customHeight="1" x14ac:dyDescent="0.25">
      <c r="A23" s="1"/>
      <c r="B23" s="1"/>
      <c r="C23" s="1"/>
      <c r="D23" s="1"/>
      <c r="E23" s="6"/>
      <c r="F23" s="1"/>
      <c r="G23" s="6"/>
      <c r="H23" s="6"/>
      <c r="I23" s="6"/>
      <c r="J23" s="6"/>
      <c r="K23" s="12"/>
      <c r="L23" s="12"/>
      <c r="M23" s="6"/>
      <c r="N23" s="6"/>
      <c r="O23" s="7"/>
      <c r="P23" s="6"/>
      <c r="Q23" s="6"/>
      <c r="R23" s="7"/>
      <c r="S23" s="6"/>
      <c r="T23" s="6"/>
      <c r="U23" s="7"/>
      <c r="V23" s="6"/>
      <c r="W23" s="6"/>
      <c r="X23" s="6"/>
      <c r="Y23" s="6"/>
      <c r="Z23" s="6"/>
      <c r="AA23" s="7"/>
      <c r="AB23" s="6"/>
      <c r="AC23" s="6"/>
      <c r="AD23" s="6"/>
      <c r="AE23" s="12"/>
      <c r="AF23" s="12"/>
      <c r="AG23" s="12"/>
      <c r="AH23" s="12"/>
      <c r="AI23" s="6"/>
      <c r="AJ23" s="12"/>
      <c r="AK23" s="1"/>
      <c r="AL23" s="12"/>
      <c r="AM23" s="12"/>
      <c r="AN23" s="1"/>
      <c r="AO23" s="6"/>
    </row>
    <row r="24" spans="1:41" ht="15.75" customHeight="1" x14ac:dyDescent="0.25">
      <c r="A24" s="1"/>
      <c r="B24" s="1"/>
      <c r="C24" s="1"/>
      <c r="D24" s="1"/>
      <c r="E24" s="6"/>
      <c r="F24" s="1"/>
      <c r="G24" s="6"/>
      <c r="H24" s="6"/>
      <c r="I24" s="6"/>
      <c r="J24" s="6"/>
      <c r="K24" s="6"/>
      <c r="L24" s="6"/>
      <c r="M24" s="6"/>
      <c r="N24" s="6"/>
      <c r="O24" s="7"/>
      <c r="P24" s="6"/>
      <c r="Q24" s="6"/>
      <c r="R24" s="7"/>
      <c r="S24" s="6"/>
      <c r="T24" s="6"/>
      <c r="U24" s="7"/>
      <c r="V24" s="6"/>
      <c r="W24" s="6"/>
      <c r="X24" s="12"/>
      <c r="Y24" s="6"/>
      <c r="Z24" s="6"/>
      <c r="AA24" s="7"/>
      <c r="AB24" s="6"/>
      <c r="AC24" s="6"/>
      <c r="AD24" s="6"/>
      <c r="AE24" s="12"/>
      <c r="AF24" s="12"/>
      <c r="AG24" s="12"/>
      <c r="AH24" s="12"/>
      <c r="AI24" s="6"/>
      <c r="AJ24" s="12"/>
      <c r="AK24" s="1"/>
      <c r="AL24" s="12"/>
      <c r="AM24" s="12"/>
      <c r="AN24" s="1"/>
      <c r="AO24" s="6"/>
    </row>
    <row r="25" spans="1:41" ht="15.75" customHeight="1" x14ac:dyDescent="0.25">
      <c r="A25" s="1"/>
      <c r="B25" s="1"/>
      <c r="C25" s="1"/>
      <c r="D25" s="1"/>
      <c r="E25" s="6"/>
      <c r="F25" s="1"/>
      <c r="G25" s="6"/>
      <c r="H25" s="6"/>
      <c r="I25" s="6"/>
      <c r="J25" s="6"/>
      <c r="K25" s="6"/>
      <c r="L25" s="6"/>
      <c r="M25" s="6"/>
      <c r="N25" s="6"/>
      <c r="O25" s="7"/>
      <c r="P25" s="6"/>
      <c r="Q25" s="6"/>
      <c r="R25" s="7"/>
      <c r="S25" s="6"/>
      <c r="T25" s="6"/>
      <c r="U25" s="7"/>
      <c r="V25" s="6"/>
      <c r="W25" s="6"/>
      <c r="X25" s="6"/>
      <c r="Y25" s="6"/>
      <c r="Z25" s="6"/>
      <c r="AA25" s="7"/>
      <c r="AB25" s="6"/>
      <c r="AC25" s="6"/>
      <c r="AD25" s="6"/>
      <c r="AE25" s="12"/>
      <c r="AF25" s="6"/>
      <c r="AG25" s="12"/>
      <c r="AH25" s="6"/>
      <c r="AI25" s="6"/>
      <c r="AJ25" s="12"/>
      <c r="AK25" s="24"/>
      <c r="AL25" s="25"/>
      <c r="AM25" s="12"/>
      <c r="AN25" s="1"/>
      <c r="AO25" s="6"/>
    </row>
    <row r="26" spans="1:41" ht="15" x14ac:dyDescent="0.25">
      <c r="A26" s="1"/>
      <c r="B26" s="1"/>
      <c r="C26" s="1"/>
      <c r="D26" s="1"/>
      <c r="E26" s="6"/>
      <c r="F26" s="1"/>
      <c r="G26" s="6"/>
      <c r="H26" s="6"/>
      <c r="I26" s="6"/>
      <c r="J26" s="6"/>
      <c r="K26" s="6"/>
      <c r="L26" s="6"/>
      <c r="M26" s="6"/>
      <c r="N26" s="6"/>
      <c r="O26" s="7"/>
      <c r="P26" s="6"/>
      <c r="Q26" s="6"/>
      <c r="R26" s="7"/>
      <c r="S26" s="6"/>
      <c r="T26" s="6"/>
      <c r="U26" s="7"/>
      <c r="V26" s="6"/>
      <c r="W26" s="6"/>
      <c r="X26" s="6"/>
      <c r="Y26" s="6"/>
      <c r="Z26" s="6"/>
      <c r="AA26" s="7"/>
      <c r="AB26" s="6"/>
      <c r="AC26" s="6"/>
      <c r="AD26" s="6"/>
      <c r="AE26" s="12"/>
      <c r="AF26" s="12"/>
      <c r="AG26" s="12"/>
      <c r="AH26" s="12"/>
      <c r="AI26" s="6"/>
      <c r="AJ26" s="12"/>
      <c r="AK26" s="1"/>
      <c r="AL26" s="12"/>
      <c r="AM26" s="12"/>
      <c r="AN26" s="1"/>
      <c r="AO26" s="6"/>
    </row>
    <row r="27" spans="1:41" ht="15" x14ac:dyDescent="0.25">
      <c r="A27" s="1"/>
      <c r="B27" s="1"/>
      <c r="C27" s="1"/>
      <c r="D27" s="1"/>
      <c r="E27" s="6"/>
      <c r="F27" s="1"/>
      <c r="G27" s="6"/>
      <c r="H27" s="6"/>
      <c r="I27" s="6"/>
      <c r="J27" s="6"/>
      <c r="K27" s="6"/>
      <c r="L27" s="6"/>
      <c r="M27" s="6"/>
      <c r="N27" s="6"/>
      <c r="O27" s="7"/>
      <c r="P27" s="6"/>
      <c r="Q27" s="6"/>
      <c r="R27" s="7"/>
      <c r="S27" s="6"/>
      <c r="T27" s="6"/>
      <c r="U27" s="7"/>
      <c r="V27" s="6"/>
      <c r="W27" s="6"/>
      <c r="X27" s="6"/>
      <c r="Y27" s="6"/>
      <c r="Z27" s="6"/>
      <c r="AA27" s="7"/>
      <c r="AB27" s="6"/>
      <c r="AC27" s="6"/>
      <c r="AD27" s="6"/>
      <c r="AE27" s="12"/>
      <c r="AF27" s="6"/>
      <c r="AG27" s="12"/>
      <c r="AH27" s="6"/>
      <c r="AI27" s="6"/>
      <c r="AJ27" s="12"/>
      <c r="AK27" s="1"/>
      <c r="AL27" s="12"/>
      <c r="AM27" s="12"/>
      <c r="AN27" s="1"/>
      <c r="AO27" s="6"/>
    </row>
    <row r="28" spans="1:41" ht="15" x14ac:dyDescent="0.25">
      <c r="A28" s="1"/>
      <c r="B28" s="1"/>
      <c r="C28" s="1"/>
      <c r="D28" s="1"/>
      <c r="E28" s="6"/>
      <c r="F28" s="1"/>
      <c r="G28" s="6"/>
      <c r="H28" s="6"/>
      <c r="I28" s="6"/>
      <c r="J28" s="6"/>
      <c r="K28" s="6"/>
      <c r="L28" s="6"/>
      <c r="M28" s="6"/>
      <c r="N28" s="6"/>
      <c r="O28" s="7"/>
      <c r="P28" s="6"/>
      <c r="Q28" s="6"/>
      <c r="R28" s="7"/>
      <c r="S28" s="6"/>
      <c r="T28" s="6"/>
      <c r="U28" s="7"/>
      <c r="V28" s="6"/>
      <c r="W28" s="6"/>
      <c r="X28" s="6"/>
      <c r="Y28" s="6"/>
      <c r="Z28" s="6"/>
      <c r="AA28" s="7"/>
      <c r="AB28" s="6"/>
      <c r="AC28" s="6"/>
      <c r="AD28" s="6"/>
      <c r="AE28" s="12"/>
      <c r="AF28" s="6"/>
      <c r="AG28" s="12"/>
      <c r="AH28" s="6"/>
      <c r="AI28" s="6"/>
      <c r="AJ28" s="12"/>
      <c r="AK28" s="24"/>
      <c r="AL28" s="25"/>
      <c r="AM28" s="12"/>
      <c r="AN28" s="1"/>
      <c r="AO28" s="6"/>
    </row>
    <row r="29" spans="1:41" ht="15" x14ac:dyDescent="0.25">
      <c r="A29" s="1"/>
      <c r="B29" s="1"/>
      <c r="C29" s="1"/>
      <c r="D29" s="1"/>
      <c r="E29" s="6"/>
      <c r="F29" s="1"/>
      <c r="G29" s="6"/>
      <c r="H29" s="6"/>
      <c r="I29" s="6"/>
      <c r="J29" s="6"/>
      <c r="K29" s="6"/>
      <c r="L29" s="6"/>
      <c r="M29" s="6"/>
      <c r="N29" s="6"/>
      <c r="O29" s="7"/>
      <c r="P29" s="6"/>
      <c r="Q29" s="6"/>
      <c r="R29" s="7"/>
      <c r="S29" s="6"/>
      <c r="T29" s="6"/>
      <c r="U29" s="7"/>
      <c r="V29" s="6"/>
      <c r="W29" s="6"/>
      <c r="X29" s="6"/>
      <c r="Y29" s="6"/>
      <c r="Z29" s="6"/>
      <c r="AA29" s="7"/>
      <c r="AB29" s="6"/>
      <c r="AC29" s="6"/>
      <c r="AD29" s="6"/>
      <c r="AE29" s="12"/>
      <c r="AF29" s="6"/>
      <c r="AG29" s="12"/>
      <c r="AH29" s="6"/>
      <c r="AI29" s="6"/>
      <c r="AJ29" s="12"/>
      <c r="AK29" s="24"/>
      <c r="AL29" s="25"/>
      <c r="AM29" s="12"/>
      <c r="AN29" s="1"/>
      <c r="AO29" s="6"/>
    </row>
    <row r="30" spans="1:41" ht="15" x14ac:dyDescent="0.25">
      <c r="A30" s="1"/>
      <c r="B30" s="1"/>
      <c r="C30" s="1"/>
      <c r="D30" s="1"/>
      <c r="E30" s="6"/>
      <c r="F30" s="1"/>
      <c r="G30" s="6"/>
      <c r="H30" s="6"/>
      <c r="I30" s="6"/>
      <c r="J30" s="6"/>
      <c r="K30" s="6"/>
      <c r="L30" s="6"/>
      <c r="M30" s="6"/>
      <c r="N30" s="6"/>
      <c r="O30" s="7"/>
      <c r="P30" s="6"/>
      <c r="Q30" s="6"/>
      <c r="R30" s="7"/>
      <c r="S30" s="6"/>
      <c r="T30" s="6"/>
      <c r="U30" s="7"/>
      <c r="V30" s="6"/>
      <c r="W30" s="6"/>
      <c r="X30" s="6"/>
      <c r="Y30" s="6"/>
      <c r="Z30" s="6"/>
      <c r="AA30" s="7"/>
      <c r="AB30" s="6"/>
      <c r="AC30" s="6"/>
      <c r="AD30" s="6"/>
      <c r="AE30" s="12"/>
      <c r="AF30" s="6"/>
      <c r="AG30" s="12"/>
      <c r="AH30" s="6"/>
      <c r="AI30" s="6"/>
      <c r="AJ30" s="12"/>
      <c r="AK30" s="24"/>
      <c r="AL30" s="25"/>
      <c r="AM30" s="12"/>
      <c r="AN30" s="1"/>
      <c r="AO30" s="6"/>
    </row>
    <row r="31" spans="1:41" ht="15" x14ac:dyDescent="0.25">
      <c r="A31" s="1"/>
      <c r="B31" s="1"/>
      <c r="C31" s="1"/>
      <c r="D31" s="1"/>
      <c r="E31" s="6"/>
      <c r="F31" s="1"/>
      <c r="G31" s="6"/>
      <c r="H31" s="6"/>
      <c r="I31" s="6"/>
      <c r="J31" s="6"/>
      <c r="K31" s="6"/>
      <c r="L31" s="6"/>
      <c r="M31" s="6"/>
      <c r="N31" s="6"/>
      <c r="O31" s="7"/>
      <c r="P31" s="6"/>
      <c r="Q31" s="6"/>
      <c r="R31" s="7"/>
      <c r="S31" s="6"/>
      <c r="T31" s="6"/>
      <c r="U31" s="7"/>
      <c r="V31" s="6"/>
      <c r="W31" s="6"/>
      <c r="X31" s="12"/>
      <c r="Y31" s="6"/>
      <c r="Z31" s="6"/>
      <c r="AA31" s="7"/>
      <c r="AB31" s="6"/>
      <c r="AC31" s="6"/>
      <c r="AD31" s="6"/>
      <c r="AE31" s="12"/>
      <c r="AF31" s="6"/>
      <c r="AG31" s="12"/>
      <c r="AH31" s="6"/>
      <c r="AI31" s="6"/>
      <c r="AJ31" s="12"/>
      <c r="AK31" s="24"/>
      <c r="AL31" s="25"/>
      <c r="AM31" s="12"/>
      <c r="AN31" s="1"/>
      <c r="AO31" s="6"/>
    </row>
    <row r="32" spans="1:41" ht="15" x14ac:dyDescent="0.25">
      <c r="A32" s="1"/>
      <c r="B32" s="1"/>
      <c r="C32" s="1"/>
      <c r="D32" s="1"/>
      <c r="E32" s="6"/>
      <c r="F32" s="1"/>
      <c r="G32" s="6"/>
      <c r="H32" s="6"/>
      <c r="I32" s="6"/>
      <c r="J32" s="6"/>
      <c r="K32" s="6"/>
      <c r="L32" s="6"/>
      <c r="M32" s="6"/>
      <c r="N32" s="6"/>
      <c r="O32" s="7"/>
      <c r="P32" s="6"/>
      <c r="Q32" s="6"/>
      <c r="R32" s="7"/>
      <c r="S32" s="6"/>
      <c r="T32" s="6"/>
      <c r="U32" s="7"/>
      <c r="V32" s="6"/>
      <c r="W32" s="6"/>
      <c r="X32" s="12"/>
      <c r="Y32" s="6"/>
      <c r="Z32" s="6"/>
      <c r="AA32" s="7"/>
      <c r="AB32" s="6"/>
      <c r="AC32" s="6"/>
      <c r="AD32" s="6"/>
      <c r="AE32" s="12"/>
      <c r="AF32" s="6"/>
      <c r="AG32" s="12"/>
      <c r="AH32" s="6"/>
      <c r="AI32" s="6"/>
      <c r="AJ32" s="12"/>
      <c r="AK32" s="24"/>
      <c r="AL32" s="25"/>
      <c r="AM32" s="12"/>
      <c r="AN32" s="1"/>
      <c r="AO32" s="6"/>
    </row>
    <row r="33" spans="1:41" ht="15" x14ac:dyDescent="0.25">
      <c r="A33" s="1"/>
      <c r="B33" s="1"/>
      <c r="C33" s="1"/>
      <c r="D33" s="1"/>
      <c r="E33" s="6"/>
      <c r="F33" s="1"/>
      <c r="G33" s="6"/>
      <c r="H33" s="6"/>
      <c r="I33" s="6"/>
      <c r="J33" s="6"/>
      <c r="K33" s="6"/>
      <c r="L33" s="6"/>
      <c r="M33" s="6"/>
      <c r="N33" s="6"/>
      <c r="O33" s="7"/>
      <c r="P33" s="6"/>
      <c r="Q33" s="6"/>
      <c r="R33" s="15"/>
      <c r="S33" s="6"/>
      <c r="T33" s="6"/>
      <c r="U33" s="7"/>
      <c r="V33" s="6"/>
      <c r="W33" s="6"/>
      <c r="X33" s="12"/>
      <c r="Y33" s="6"/>
      <c r="Z33" s="6"/>
      <c r="AA33" s="7"/>
      <c r="AB33" s="6"/>
      <c r="AC33" s="6"/>
      <c r="AD33" s="6"/>
      <c r="AE33" s="12"/>
      <c r="AF33" s="6"/>
      <c r="AG33" s="12"/>
      <c r="AH33" s="6"/>
      <c r="AI33" s="6"/>
      <c r="AJ33" s="12"/>
      <c r="AK33" s="24"/>
      <c r="AL33" s="25"/>
      <c r="AM33" s="12"/>
      <c r="AN33" s="1"/>
      <c r="AO33" s="6"/>
    </row>
    <row r="34" spans="1:41" ht="15" x14ac:dyDescent="0.25">
      <c r="A34" s="1"/>
      <c r="B34" s="1"/>
      <c r="C34" s="1"/>
      <c r="D34" s="1"/>
      <c r="E34" s="6"/>
      <c r="F34" s="1"/>
      <c r="G34" s="6"/>
      <c r="H34" s="6"/>
      <c r="I34" s="6"/>
      <c r="J34" s="6"/>
      <c r="K34" s="6"/>
      <c r="L34" s="6"/>
      <c r="M34" s="6"/>
      <c r="N34" s="6"/>
      <c r="O34" s="7"/>
      <c r="P34" s="6"/>
      <c r="Q34" s="6"/>
      <c r="R34" s="7"/>
      <c r="S34" s="6"/>
      <c r="T34" s="6"/>
      <c r="U34" s="7"/>
      <c r="V34" s="6"/>
      <c r="W34" s="6"/>
      <c r="X34" s="6"/>
      <c r="Y34" s="6"/>
      <c r="Z34" s="6"/>
      <c r="AA34" s="7"/>
      <c r="AB34" s="6"/>
      <c r="AC34" s="6"/>
      <c r="AD34" s="6"/>
      <c r="AE34" s="12"/>
      <c r="AF34" s="6"/>
      <c r="AG34" s="12"/>
      <c r="AH34" s="6"/>
      <c r="AI34" s="6"/>
      <c r="AJ34" s="12"/>
      <c r="AK34" s="1"/>
      <c r="AL34" s="12"/>
      <c r="AM34" s="12"/>
      <c r="AN34" s="1"/>
      <c r="AO34" s="6"/>
    </row>
    <row r="35" spans="1:41" ht="15" x14ac:dyDescent="0.25">
      <c r="A35" s="1"/>
      <c r="B35" s="1"/>
      <c r="C35" s="1"/>
      <c r="D35" s="1"/>
      <c r="E35" s="6"/>
      <c r="F35" s="1"/>
      <c r="G35" s="6"/>
      <c r="H35" s="6"/>
      <c r="I35" s="6"/>
      <c r="J35" s="6"/>
      <c r="K35" s="6"/>
      <c r="L35" s="6"/>
      <c r="M35" s="6"/>
      <c r="N35" s="6"/>
      <c r="O35" s="7"/>
      <c r="P35" s="6"/>
      <c r="Q35" s="7"/>
      <c r="R35" s="6"/>
      <c r="S35" s="6"/>
      <c r="T35" s="6"/>
      <c r="U35" s="6"/>
      <c r="V35" s="7"/>
      <c r="W35" s="7"/>
      <c r="X35" s="6"/>
      <c r="Y35" s="6"/>
      <c r="Z35" s="6"/>
      <c r="AA35" s="1"/>
      <c r="AB35" s="12"/>
      <c r="AC35" s="12"/>
      <c r="AD35" s="12"/>
      <c r="AE35" s="12"/>
      <c r="AF35" s="12"/>
      <c r="AG35" s="12"/>
      <c r="AH35" s="12"/>
      <c r="AI35" s="6"/>
      <c r="AJ35" s="12"/>
      <c r="AK35" s="12"/>
      <c r="AL35" s="12"/>
      <c r="AM35" s="12"/>
      <c r="AN35" s="1"/>
      <c r="AO35" s="6"/>
    </row>
    <row r="36" spans="1:41" ht="15" x14ac:dyDescent="0.25">
      <c r="A36" s="1"/>
      <c r="B36" s="1"/>
      <c r="C36" s="1"/>
      <c r="D36" s="1"/>
      <c r="E36" s="6"/>
      <c r="F36" s="1"/>
      <c r="G36" s="6"/>
      <c r="H36" s="6"/>
      <c r="I36" s="6"/>
      <c r="J36" s="6"/>
      <c r="K36" s="6"/>
      <c r="L36" s="6"/>
      <c r="M36" s="6"/>
      <c r="N36" s="6"/>
      <c r="O36" s="7"/>
      <c r="P36" s="6"/>
      <c r="Q36" s="6"/>
      <c r="R36" s="7"/>
      <c r="S36" s="6"/>
      <c r="T36" s="6"/>
      <c r="U36" s="7"/>
      <c r="V36" s="6"/>
      <c r="W36" s="6"/>
      <c r="X36" s="12"/>
      <c r="Y36" s="6"/>
      <c r="Z36" s="6"/>
      <c r="AA36" s="7"/>
      <c r="AB36" s="6"/>
      <c r="AC36" s="6"/>
      <c r="AD36" s="6"/>
      <c r="AE36" s="12"/>
      <c r="AF36" s="12"/>
      <c r="AG36" s="12"/>
      <c r="AH36" s="12"/>
      <c r="AI36" s="6"/>
      <c r="AJ36" s="12"/>
      <c r="AK36" s="1"/>
      <c r="AL36" s="12"/>
      <c r="AM36" s="12"/>
      <c r="AN36" s="1"/>
      <c r="AO36" s="12"/>
    </row>
    <row r="37" spans="1:41" ht="15" x14ac:dyDescent="0.25">
      <c r="A37" s="1"/>
      <c r="B37" s="1"/>
      <c r="C37" s="1"/>
      <c r="D37" s="1"/>
      <c r="E37" s="6"/>
      <c r="F37" s="1"/>
      <c r="G37" s="6"/>
      <c r="H37" s="6"/>
      <c r="I37" s="6"/>
      <c r="J37" s="6"/>
      <c r="K37" s="6"/>
      <c r="L37" s="6"/>
      <c r="M37" s="6"/>
      <c r="N37" s="6"/>
      <c r="O37" s="7"/>
      <c r="P37" s="6"/>
      <c r="Q37" s="7"/>
      <c r="R37" s="6"/>
      <c r="S37" s="6"/>
      <c r="T37" s="6"/>
      <c r="U37" s="6"/>
      <c r="V37" s="7"/>
      <c r="W37" s="6"/>
      <c r="X37" s="6"/>
      <c r="Y37" s="6"/>
      <c r="Z37" s="6"/>
      <c r="AA37" s="1"/>
      <c r="AB37" s="12"/>
      <c r="AC37" s="12"/>
      <c r="AD37" s="12"/>
      <c r="AE37" s="12"/>
      <c r="AF37" s="6"/>
      <c r="AG37" s="12"/>
      <c r="AH37" s="6"/>
      <c r="AI37" s="6"/>
      <c r="AJ37" s="12"/>
      <c r="AK37" s="12"/>
      <c r="AL37" s="12"/>
      <c r="AM37" s="12"/>
      <c r="AN37" s="1"/>
      <c r="AO37" s="6"/>
    </row>
    <row r="38" spans="1:41" ht="15" x14ac:dyDescent="0.25">
      <c r="A38" s="1"/>
      <c r="B38" s="1"/>
      <c r="C38" s="1"/>
      <c r="D38" s="1"/>
      <c r="E38" s="6"/>
      <c r="F38" s="1"/>
      <c r="G38" s="6"/>
      <c r="H38" s="6"/>
      <c r="I38" s="6"/>
      <c r="J38" s="6"/>
      <c r="K38" s="12"/>
      <c r="L38" s="12"/>
      <c r="M38" s="6"/>
      <c r="N38" s="6"/>
      <c r="O38" s="7"/>
      <c r="P38" s="12"/>
      <c r="Q38" s="6"/>
      <c r="R38" s="7"/>
      <c r="S38" s="6"/>
      <c r="T38" s="6"/>
      <c r="U38" s="7"/>
      <c r="V38" s="6"/>
      <c r="W38" s="6"/>
      <c r="X38" s="6"/>
      <c r="Y38" s="6"/>
      <c r="Z38" s="6"/>
      <c r="AA38" s="7"/>
      <c r="AB38" s="6"/>
      <c r="AC38" s="6"/>
      <c r="AD38" s="6"/>
      <c r="AE38" s="12"/>
      <c r="AF38" s="12"/>
      <c r="AG38" s="12"/>
      <c r="AH38" s="12"/>
      <c r="AI38" s="6"/>
      <c r="AJ38" s="12"/>
      <c r="AK38" s="1"/>
      <c r="AL38" s="12"/>
      <c r="AM38" s="12"/>
      <c r="AN38" s="1"/>
      <c r="AO38" s="6"/>
    </row>
    <row r="39" spans="1:41" ht="15" x14ac:dyDescent="0.25">
      <c r="A39" s="1"/>
      <c r="B39" s="1"/>
      <c r="C39" s="1"/>
      <c r="D39" s="1"/>
      <c r="E39" s="6"/>
      <c r="F39" s="1"/>
      <c r="G39" s="6"/>
      <c r="H39" s="6"/>
      <c r="I39" s="6"/>
      <c r="J39" s="6"/>
      <c r="K39" s="6"/>
      <c r="L39" s="6"/>
      <c r="M39" s="6"/>
      <c r="N39" s="6"/>
      <c r="O39" s="7"/>
      <c r="P39" s="12"/>
      <c r="Q39" s="6"/>
      <c r="R39" s="7"/>
      <c r="S39" s="6"/>
      <c r="T39" s="6"/>
      <c r="U39" s="7"/>
      <c r="V39" s="6"/>
      <c r="W39" s="6"/>
      <c r="X39" s="6"/>
      <c r="Y39" s="6"/>
      <c r="Z39" s="6"/>
      <c r="AA39" s="7"/>
      <c r="AB39" s="6"/>
      <c r="AC39" s="6"/>
      <c r="AD39" s="6"/>
      <c r="AE39" s="12"/>
      <c r="AF39" s="12"/>
      <c r="AG39" s="12"/>
      <c r="AH39" s="12"/>
      <c r="AI39" s="6"/>
      <c r="AJ39" s="12"/>
      <c r="AK39" s="1"/>
      <c r="AL39" s="12"/>
      <c r="AM39" s="12"/>
      <c r="AN39" s="1"/>
      <c r="AO39" s="6"/>
    </row>
    <row r="40" spans="1:41" ht="15" x14ac:dyDescent="0.25">
      <c r="A40" s="1"/>
      <c r="B40" s="1"/>
      <c r="C40" s="1"/>
      <c r="D40" s="1"/>
      <c r="E40" s="6"/>
      <c r="F40" s="1"/>
      <c r="G40" s="6"/>
      <c r="H40" s="6"/>
      <c r="I40" s="6"/>
      <c r="J40" s="6"/>
      <c r="K40" s="6"/>
      <c r="L40" s="6"/>
      <c r="M40" s="6"/>
      <c r="N40" s="6"/>
      <c r="O40" s="7"/>
      <c r="P40" s="6"/>
      <c r="Q40" s="6"/>
      <c r="R40" s="7"/>
      <c r="S40" s="6"/>
      <c r="T40" s="6"/>
      <c r="U40" s="7"/>
      <c r="V40" s="6"/>
      <c r="W40" s="6"/>
      <c r="X40" s="12"/>
      <c r="Y40" s="6"/>
      <c r="Z40" s="6"/>
      <c r="AA40" s="7"/>
      <c r="AB40" s="6"/>
      <c r="AC40" s="6"/>
      <c r="AD40" s="6"/>
      <c r="AE40" s="12"/>
      <c r="AF40" s="12"/>
      <c r="AG40" s="12"/>
      <c r="AH40" s="12"/>
      <c r="AI40" s="6"/>
      <c r="AJ40" s="12"/>
      <c r="AK40" s="1"/>
      <c r="AL40" s="12"/>
      <c r="AM40" s="12"/>
      <c r="AN40" s="1"/>
      <c r="AO40" s="6"/>
    </row>
    <row r="41" spans="1:41" ht="15" x14ac:dyDescent="0.25">
      <c r="A41" s="1"/>
      <c r="B41" s="1"/>
      <c r="C41" s="1"/>
      <c r="D41" s="1"/>
      <c r="E41" s="6"/>
      <c r="F41" s="1"/>
      <c r="G41" s="6"/>
      <c r="H41" s="6"/>
      <c r="I41" s="6"/>
      <c r="J41" s="6"/>
      <c r="K41" s="6"/>
      <c r="L41" s="6"/>
      <c r="M41" s="6"/>
      <c r="N41" s="6"/>
      <c r="O41" s="7"/>
      <c r="P41" s="6"/>
      <c r="Q41" s="6"/>
      <c r="R41" s="7"/>
      <c r="S41" s="6"/>
      <c r="T41" s="6"/>
      <c r="U41" s="7"/>
      <c r="V41" s="6"/>
      <c r="W41" s="6"/>
      <c r="X41" s="6"/>
      <c r="Y41" s="6"/>
      <c r="Z41" s="6"/>
      <c r="AA41" s="7"/>
      <c r="AB41" s="6"/>
      <c r="AC41" s="6"/>
      <c r="AD41" s="6"/>
      <c r="AE41" s="12"/>
      <c r="AF41" s="6"/>
      <c r="AG41" s="12"/>
      <c r="AH41" s="6"/>
      <c r="AI41" s="6"/>
      <c r="AJ41" s="12"/>
      <c r="AK41" s="1"/>
      <c r="AL41" s="12"/>
      <c r="AM41" s="12"/>
      <c r="AN41" s="1"/>
      <c r="AO41" s="6"/>
    </row>
    <row r="42" spans="1:41" ht="15" x14ac:dyDescent="0.25">
      <c r="A42" s="1"/>
      <c r="B42" s="1"/>
      <c r="C42" s="1"/>
      <c r="D42" s="1"/>
      <c r="E42" s="6"/>
      <c r="F42" s="1"/>
      <c r="G42" s="6"/>
      <c r="H42" s="6"/>
      <c r="I42" s="6"/>
      <c r="J42" s="6"/>
      <c r="K42" s="6"/>
      <c r="L42" s="6"/>
      <c r="M42" s="6"/>
      <c r="N42" s="6"/>
      <c r="O42" s="7"/>
      <c r="P42" s="6"/>
      <c r="Q42" s="6"/>
      <c r="R42" s="7"/>
      <c r="S42" s="6"/>
      <c r="T42" s="6"/>
      <c r="U42" s="7"/>
      <c r="V42" s="6"/>
      <c r="W42" s="6"/>
      <c r="X42" s="6"/>
      <c r="Y42" s="6"/>
      <c r="Z42" s="6"/>
      <c r="AA42" s="7"/>
      <c r="AB42" s="6"/>
      <c r="AC42" s="6"/>
      <c r="AD42" s="6"/>
      <c r="AE42" s="12"/>
      <c r="AF42" s="6"/>
      <c r="AG42" s="12"/>
      <c r="AH42" s="6"/>
      <c r="AI42" s="6"/>
      <c r="AJ42" s="12"/>
      <c r="AK42" s="1"/>
      <c r="AL42" s="12"/>
      <c r="AM42" s="12"/>
      <c r="AN42" s="1"/>
      <c r="AO42" s="6"/>
    </row>
    <row r="43" spans="1:41" ht="15" x14ac:dyDescent="0.25">
      <c r="A43" s="1"/>
      <c r="B43" s="1"/>
      <c r="C43" s="1"/>
      <c r="D43" s="1"/>
      <c r="E43" s="6"/>
      <c r="F43" s="1"/>
      <c r="G43" s="6"/>
      <c r="H43" s="6"/>
      <c r="I43" s="6"/>
      <c r="J43" s="6"/>
      <c r="K43" s="6"/>
      <c r="L43" s="6"/>
      <c r="M43" s="6"/>
      <c r="N43" s="6"/>
      <c r="O43" s="7"/>
      <c r="P43" s="6"/>
      <c r="Q43" s="6"/>
      <c r="R43" s="7"/>
      <c r="S43" s="6"/>
      <c r="T43" s="6"/>
      <c r="U43" s="7"/>
      <c r="V43" s="6"/>
      <c r="W43" s="6"/>
      <c r="X43" s="12"/>
      <c r="Y43" s="6"/>
      <c r="Z43" s="6"/>
      <c r="AA43" s="7"/>
      <c r="AB43" s="6"/>
      <c r="AC43" s="6"/>
      <c r="AD43" s="6"/>
      <c r="AE43" s="12"/>
      <c r="AF43" s="12"/>
      <c r="AG43" s="12"/>
      <c r="AH43" s="12"/>
      <c r="AI43" s="6"/>
      <c r="AJ43" s="12"/>
      <c r="AK43" s="1"/>
      <c r="AL43" s="12"/>
      <c r="AM43" s="12"/>
      <c r="AN43" s="1"/>
      <c r="AO43" s="6"/>
    </row>
    <row r="44" spans="1:41" ht="15" x14ac:dyDescent="0.25">
      <c r="A44" s="1"/>
      <c r="B44" s="1"/>
      <c r="C44" s="1"/>
      <c r="D44" s="1"/>
      <c r="E44" s="6"/>
      <c r="F44" s="1"/>
      <c r="G44" s="6"/>
      <c r="H44" s="6"/>
      <c r="I44" s="6"/>
      <c r="J44" s="6"/>
      <c r="K44" s="6"/>
      <c r="L44" s="6"/>
      <c r="M44" s="6"/>
      <c r="N44" s="6"/>
      <c r="O44" s="7"/>
      <c r="P44" s="6"/>
      <c r="Q44" s="7"/>
      <c r="R44" s="6"/>
      <c r="S44" s="12"/>
      <c r="T44" s="6"/>
      <c r="U44" s="6"/>
      <c r="V44" s="7"/>
      <c r="W44" s="6"/>
      <c r="X44" s="6"/>
      <c r="Y44" s="6"/>
      <c r="Z44" s="6"/>
      <c r="AA44" s="1"/>
      <c r="AB44" s="12"/>
      <c r="AC44" s="12"/>
      <c r="AD44" s="12"/>
      <c r="AE44" s="12"/>
      <c r="AF44" s="6"/>
      <c r="AG44" s="12"/>
      <c r="AH44" s="6"/>
      <c r="AI44" s="6"/>
      <c r="AJ44" s="12"/>
      <c r="AK44" s="12"/>
      <c r="AL44" s="12"/>
      <c r="AM44" s="12"/>
      <c r="AN44" s="1"/>
      <c r="AO44" s="6"/>
    </row>
    <row r="45" spans="1:41" ht="15" x14ac:dyDescent="0.25">
      <c r="A45" s="1"/>
      <c r="B45" s="1"/>
      <c r="C45" s="1"/>
      <c r="D45" s="1"/>
      <c r="E45" s="6"/>
      <c r="F45" s="1"/>
      <c r="G45" s="6"/>
      <c r="H45" s="6"/>
      <c r="I45" s="6"/>
      <c r="J45" s="6"/>
      <c r="K45" s="6"/>
      <c r="L45" s="6"/>
      <c r="M45" s="6"/>
      <c r="N45" s="6"/>
      <c r="O45" s="7"/>
      <c r="P45" s="12"/>
      <c r="Q45" s="6"/>
      <c r="R45" s="7"/>
      <c r="S45" s="6"/>
      <c r="T45" s="6"/>
      <c r="U45" s="7"/>
      <c r="V45" s="6"/>
      <c r="W45" s="6"/>
      <c r="X45" s="6"/>
      <c r="Y45" s="6"/>
      <c r="Z45" s="6"/>
      <c r="AA45" s="15"/>
      <c r="AB45" s="6"/>
      <c r="AC45" s="6"/>
      <c r="AD45" s="6"/>
      <c r="AE45" s="12"/>
      <c r="AF45" s="6"/>
      <c r="AG45" s="12"/>
      <c r="AH45" s="6"/>
      <c r="AI45" s="6"/>
      <c r="AJ45" s="12"/>
      <c r="AK45" s="1"/>
      <c r="AL45" s="12"/>
      <c r="AM45" s="12"/>
      <c r="AN45" s="1"/>
      <c r="AO45" s="6"/>
    </row>
    <row r="46" spans="1:41" ht="15" x14ac:dyDescent="0.25">
      <c r="A46" s="1"/>
      <c r="B46" s="1"/>
      <c r="C46" s="1"/>
      <c r="D46" s="1"/>
      <c r="E46" s="6"/>
      <c r="F46" s="1"/>
      <c r="G46" s="6"/>
      <c r="H46" s="6"/>
      <c r="I46" s="6"/>
      <c r="J46" s="6"/>
      <c r="K46" s="6"/>
      <c r="L46" s="6"/>
      <c r="M46" s="6"/>
      <c r="N46" s="6"/>
      <c r="O46" s="7"/>
      <c r="P46" s="12"/>
      <c r="Q46" s="6"/>
      <c r="R46" s="7"/>
      <c r="S46" s="6"/>
      <c r="T46" s="6"/>
      <c r="U46" s="7"/>
      <c r="V46" s="6"/>
      <c r="W46" s="6"/>
      <c r="X46" s="6"/>
      <c r="Y46" s="6"/>
      <c r="Z46" s="6"/>
      <c r="AA46" s="7"/>
      <c r="AB46" s="6"/>
      <c r="AC46" s="6"/>
      <c r="AD46" s="6"/>
      <c r="AE46" s="12"/>
      <c r="AF46" s="6"/>
      <c r="AG46" s="12"/>
      <c r="AH46" s="6"/>
      <c r="AI46" s="6"/>
      <c r="AJ46" s="12"/>
      <c r="AK46" s="24"/>
      <c r="AL46" s="25"/>
      <c r="AM46" s="12"/>
      <c r="AN46" s="1"/>
      <c r="AO46" s="6"/>
    </row>
    <row r="47" spans="1:41" ht="15" x14ac:dyDescent="0.25">
      <c r="A47" s="1"/>
      <c r="B47" s="1"/>
      <c r="C47" s="1"/>
      <c r="D47" s="1"/>
      <c r="E47" s="6"/>
      <c r="F47" s="1"/>
      <c r="G47" s="6"/>
      <c r="H47" s="6"/>
      <c r="I47" s="6"/>
      <c r="J47" s="6"/>
      <c r="K47" s="6"/>
      <c r="L47" s="6"/>
      <c r="M47" s="6"/>
      <c r="N47" s="6"/>
      <c r="O47" s="7"/>
      <c r="P47" s="6"/>
      <c r="Q47" s="6"/>
      <c r="R47" s="7"/>
      <c r="S47" s="6"/>
      <c r="T47" s="6"/>
      <c r="U47" s="7"/>
      <c r="V47" s="6"/>
      <c r="W47" s="6"/>
      <c r="X47" s="6"/>
      <c r="Y47" s="6"/>
      <c r="Z47" s="6"/>
      <c r="AA47" s="7"/>
      <c r="AB47" s="6"/>
      <c r="AC47" s="6"/>
      <c r="AD47" s="6"/>
      <c r="AE47" s="12"/>
      <c r="AF47" s="12"/>
      <c r="AG47" s="12"/>
      <c r="AH47" s="12"/>
      <c r="AI47" s="6"/>
      <c r="AJ47" s="12"/>
      <c r="AK47" s="1"/>
      <c r="AL47" s="12"/>
      <c r="AM47" s="12"/>
      <c r="AN47" s="1"/>
      <c r="AO47" s="6"/>
    </row>
    <row r="48" spans="1:41" ht="15" x14ac:dyDescent="0.25">
      <c r="A48" s="1"/>
      <c r="B48" s="1"/>
      <c r="C48" s="1"/>
      <c r="D48" s="1"/>
      <c r="E48" s="6"/>
      <c r="F48" s="1"/>
      <c r="G48" s="6"/>
      <c r="H48" s="6"/>
      <c r="I48" s="6"/>
      <c r="J48" s="6"/>
      <c r="K48" s="6"/>
      <c r="L48" s="6"/>
      <c r="M48" s="6"/>
      <c r="N48" s="6"/>
      <c r="O48" s="7"/>
      <c r="P48" s="6"/>
      <c r="Q48" s="6"/>
      <c r="R48" s="12"/>
      <c r="S48" s="12"/>
      <c r="T48" s="12"/>
      <c r="U48" s="7"/>
      <c r="V48" s="6"/>
      <c r="W48" s="6"/>
      <c r="X48" s="12"/>
      <c r="Y48" s="6"/>
      <c r="Z48" s="6"/>
      <c r="AA48" s="7"/>
      <c r="AB48" s="6"/>
      <c r="AC48" s="6"/>
      <c r="AD48" s="6"/>
      <c r="AE48" s="12"/>
      <c r="AF48" s="12"/>
      <c r="AG48" s="12"/>
      <c r="AH48" s="12"/>
      <c r="AI48" s="6"/>
      <c r="AJ48" s="12"/>
      <c r="AK48" s="24"/>
      <c r="AL48" s="25"/>
      <c r="AM48" s="12"/>
      <c r="AN48" s="1"/>
      <c r="AO48" s="6"/>
    </row>
    <row r="49" spans="1:41" ht="15" x14ac:dyDescent="0.25">
      <c r="A49" s="1"/>
      <c r="B49" s="1"/>
      <c r="C49" s="1"/>
      <c r="D49" s="1"/>
      <c r="E49" s="6"/>
      <c r="F49" s="1"/>
      <c r="G49" s="6"/>
      <c r="H49" s="6"/>
      <c r="I49" s="6"/>
      <c r="J49" s="6"/>
      <c r="K49" s="6"/>
      <c r="L49" s="6"/>
      <c r="M49" s="6"/>
      <c r="N49" s="6"/>
      <c r="O49" s="7"/>
      <c r="P49" s="6"/>
      <c r="Q49" s="7"/>
      <c r="R49" s="6"/>
      <c r="S49" s="6"/>
      <c r="T49" s="6"/>
      <c r="U49" s="6"/>
      <c r="V49" s="7"/>
      <c r="W49" s="7"/>
      <c r="X49" s="6"/>
      <c r="Y49" s="6"/>
      <c r="Z49" s="6"/>
      <c r="AA49" s="1"/>
      <c r="AB49" s="12"/>
      <c r="AC49" s="12"/>
      <c r="AD49" s="12"/>
      <c r="AE49" s="12"/>
      <c r="AF49" s="12"/>
      <c r="AG49" s="12"/>
      <c r="AH49" s="12"/>
      <c r="AI49" s="6"/>
      <c r="AJ49" s="12"/>
      <c r="AK49" s="12"/>
      <c r="AL49" s="12"/>
      <c r="AM49" s="12"/>
      <c r="AN49" s="1"/>
      <c r="AO49" s="6"/>
    </row>
    <row r="50" spans="1:41" ht="15" x14ac:dyDescent="0.25">
      <c r="A50" s="1"/>
      <c r="B50" s="1"/>
      <c r="C50" s="1"/>
      <c r="D50" s="1"/>
      <c r="E50" s="6"/>
      <c r="F50" s="1"/>
      <c r="G50" s="6"/>
      <c r="H50" s="6"/>
      <c r="I50" s="6"/>
      <c r="J50" s="6"/>
      <c r="K50" s="6"/>
      <c r="L50" s="6"/>
      <c r="M50" s="6"/>
      <c r="N50" s="6"/>
      <c r="O50" s="7"/>
      <c r="P50" s="6"/>
      <c r="Q50" s="7"/>
      <c r="R50" s="6"/>
      <c r="S50" s="6"/>
      <c r="T50" s="6"/>
      <c r="U50" s="6"/>
      <c r="V50" s="7"/>
      <c r="W50" s="7"/>
      <c r="X50" s="6"/>
      <c r="Y50" s="6"/>
      <c r="Z50" s="6"/>
      <c r="AA50" s="1"/>
      <c r="AB50" s="12"/>
      <c r="AC50" s="12"/>
      <c r="AD50" s="12"/>
      <c r="AE50" s="12"/>
      <c r="AF50" s="12"/>
      <c r="AG50" s="12"/>
      <c r="AH50" s="12"/>
      <c r="AI50" s="6"/>
      <c r="AJ50" s="12"/>
      <c r="AK50" s="12"/>
      <c r="AL50" s="12"/>
      <c r="AM50" s="12"/>
      <c r="AN50" s="1"/>
      <c r="AO50" s="6"/>
    </row>
    <row r="51" spans="1:41" ht="15" x14ac:dyDescent="0.25">
      <c r="A51" s="1"/>
      <c r="B51" s="1"/>
      <c r="C51" s="1"/>
      <c r="D51" s="1"/>
      <c r="E51" s="6"/>
      <c r="F51" s="1"/>
      <c r="G51" s="6"/>
      <c r="H51" s="6"/>
      <c r="I51" s="6"/>
      <c r="J51" s="6"/>
      <c r="K51" s="12"/>
      <c r="L51" s="12"/>
      <c r="M51" s="6"/>
      <c r="N51" s="6"/>
      <c r="O51" s="7"/>
      <c r="P51" s="6"/>
      <c r="Q51" s="7"/>
      <c r="R51" s="6"/>
      <c r="S51" s="6"/>
      <c r="T51" s="6"/>
      <c r="U51" s="6"/>
      <c r="V51" s="7"/>
      <c r="W51" s="7"/>
      <c r="X51" s="6"/>
      <c r="Y51" s="6"/>
      <c r="Z51" s="6"/>
      <c r="AA51" s="1"/>
      <c r="AB51" s="12"/>
      <c r="AC51" s="12"/>
      <c r="AD51" s="12"/>
      <c r="AE51" s="12"/>
      <c r="AF51" s="12"/>
      <c r="AG51" s="12"/>
      <c r="AH51" s="12"/>
      <c r="AI51" s="6"/>
      <c r="AJ51" s="12"/>
      <c r="AK51" s="12"/>
      <c r="AL51" s="12"/>
      <c r="AM51" s="12"/>
      <c r="AN51" s="1"/>
      <c r="AO51" s="6"/>
    </row>
    <row r="52" spans="1:41" ht="15" x14ac:dyDescent="0.25">
      <c r="A52" s="1"/>
      <c r="B52" s="1"/>
      <c r="C52" s="1"/>
      <c r="D52" s="1"/>
      <c r="E52" s="6"/>
      <c r="F52" s="1"/>
      <c r="G52" s="6"/>
      <c r="H52" s="6"/>
      <c r="I52" s="6"/>
      <c r="J52" s="6"/>
      <c r="K52" s="12"/>
      <c r="L52" s="12"/>
      <c r="M52" s="6"/>
      <c r="N52" s="6"/>
      <c r="O52" s="7"/>
      <c r="P52" s="6"/>
      <c r="Q52" s="6"/>
      <c r="R52" s="7"/>
      <c r="S52" s="6"/>
      <c r="T52" s="6"/>
      <c r="U52" s="7"/>
      <c r="V52" s="6"/>
      <c r="W52" s="6"/>
      <c r="X52" s="12"/>
      <c r="Y52" s="6"/>
      <c r="Z52" s="6"/>
      <c r="AA52" s="7"/>
      <c r="AB52" s="6"/>
      <c r="AC52" s="6"/>
      <c r="AD52" s="6"/>
      <c r="AE52" s="12"/>
      <c r="AF52" s="12"/>
      <c r="AG52" s="12"/>
      <c r="AH52" s="12"/>
      <c r="AI52" s="6"/>
      <c r="AJ52" s="12"/>
      <c r="AK52" s="1"/>
      <c r="AL52" s="12"/>
      <c r="AM52" s="12"/>
      <c r="AN52" s="1"/>
      <c r="AO52" s="6"/>
    </row>
    <row r="53" spans="1:41" ht="15" x14ac:dyDescent="0.25">
      <c r="A53" s="1"/>
      <c r="B53" s="1"/>
      <c r="C53" s="1"/>
      <c r="D53" s="1"/>
      <c r="E53" s="6"/>
      <c r="F53" s="1"/>
      <c r="G53" s="6"/>
      <c r="H53" s="6"/>
      <c r="I53" s="6"/>
      <c r="J53" s="6"/>
      <c r="K53" s="12"/>
      <c r="L53" s="12"/>
      <c r="M53" s="6"/>
      <c r="N53" s="6"/>
      <c r="O53" s="7"/>
      <c r="P53" s="6"/>
      <c r="Q53" s="6"/>
      <c r="R53" s="7"/>
      <c r="S53" s="6"/>
      <c r="T53" s="6"/>
      <c r="U53" s="7"/>
      <c r="V53" s="6"/>
      <c r="W53" s="6"/>
      <c r="X53" s="12"/>
      <c r="Y53" s="6"/>
      <c r="Z53" s="6"/>
      <c r="AA53" s="7"/>
      <c r="AB53" s="6"/>
      <c r="AC53" s="6"/>
      <c r="AD53" s="6"/>
      <c r="AE53" s="12"/>
      <c r="AF53" s="12"/>
      <c r="AG53" s="12"/>
      <c r="AH53" s="12"/>
      <c r="AI53" s="6"/>
      <c r="AJ53" s="12"/>
      <c r="AK53" s="24"/>
      <c r="AL53" s="25"/>
      <c r="AM53" s="12"/>
      <c r="AN53" s="1"/>
      <c r="AO53" s="12"/>
    </row>
    <row r="54" spans="1:41" ht="15" x14ac:dyDescent="0.25">
      <c r="A54" s="1"/>
      <c r="B54" s="1"/>
      <c r="C54" s="1"/>
      <c r="D54" s="1"/>
      <c r="E54" s="6"/>
      <c r="F54" s="1"/>
      <c r="G54" s="6"/>
      <c r="H54" s="6"/>
      <c r="I54" s="6"/>
      <c r="J54" s="6"/>
      <c r="K54" s="6"/>
      <c r="L54" s="6"/>
      <c r="M54" s="6"/>
      <c r="N54" s="6"/>
      <c r="O54" s="7"/>
      <c r="P54" s="6"/>
      <c r="Q54" s="7"/>
      <c r="R54" s="6"/>
      <c r="S54" s="6"/>
      <c r="T54" s="6"/>
      <c r="U54" s="6"/>
      <c r="V54" s="7"/>
      <c r="W54" s="7"/>
      <c r="X54" s="6"/>
      <c r="Y54" s="6"/>
      <c r="Z54" s="6"/>
      <c r="AA54" s="1"/>
      <c r="AB54" s="12"/>
      <c r="AC54" s="12"/>
      <c r="AD54" s="12"/>
      <c r="AE54" s="12"/>
      <c r="AF54" s="12"/>
      <c r="AG54" s="12"/>
      <c r="AH54" s="12"/>
      <c r="AI54" s="6"/>
      <c r="AJ54" s="12"/>
      <c r="AK54" s="12"/>
      <c r="AL54" s="12"/>
      <c r="AM54" s="12"/>
      <c r="AN54" s="1"/>
      <c r="AO54" s="6"/>
    </row>
    <row r="55" spans="1:41" ht="15" x14ac:dyDescent="0.25">
      <c r="A55" s="1"/>
      <c r="B55" s="1"/>
      <c r="C55" s="1"/>
      <c r="D55" s="1"/>
      <c r="E55" s="6"/>
      <c r="F55" s="1"/>
      <c r="G55" s="6"/>
      <c r="H55" s="6"/>
      <c r="I55" s="6"/>
      <c r="J55" s="6"/>
      <c r="K55" s="6"/>
      <c r="L55" s="6"/>
      <c r="M55" s="6"/>
      <c r="N55" s="6"/>
      <c r="O55" s="7"/>
      <c r="P55" s="6"/>
      <c r="Q55" s="6"/>
      <c r="R55" s="7"/>
      <c r="S55" s="6"/>
      <c r="T55" s="6"/>
      <c r="U55" s="7"/>
      <c r="V55" s="6"/>
      <c r="W55" s="6"/>
      <c r="X55" s="6"/>
      <c r="Y55" s="6"/>
      <c r="Z55" s="6"/>
      <c r="AA55" s="7"/>
      <c r="AB55" s="6"/>
      <c r="AC55" s="6"/>
      <c r="AD55" s="6"/>
      <c r="AE55" s="12"/>
      <c r="AF55" s="6"/>
      <c r="AG55" s="12"/>
      <c r="AH55" s="6"/>
      <c r="AI55" s="6"/>
      <c r="AJ55" s="12"/>
      <c r="AK55" s="24"/>
      <c r="AL55" s="25"/>
      <c r="AM55" s="12"/>
      <c r="AN55" s="1"/>
      <c r="AO55" s="6"/>
    </row>
    <row r="56" spans="1:41" ht="15" x14ac:dyDescent="0.25">
      <c r="A56" s="1"/>
      <c r="B56" s="1"/>
      <c r="C56" s="1"/>
      <c r="D56" s="1"/>
      <c r="E56" s="6"/>
      <c r="F56" s="1"/>
      <c r="G56" s="6"/>
      <c r="H56" s="6"/>
      <c r="I56" s="6"/>
      <c r="J56" s="6"/>
      <c r="K56" s="6"/>
      <c r="L56" s="6"/>
      <c r="M56" s="6"/>
      <c r="N56" s="6"/>
      <c r="O56" s="7"/>
      <c r="P56" s="12"/>
      <c r="Q56" s="6"/>
      <c r="R56" s="7"/>
      <c r="S56" s="6"/>
      <c r="T56" s="6"/>
      <c r="U56" s="7"/>
      <c r="V56" s="6"/>
      <c r="W56" s="6"/>
      <c r="X56" s="6"/>
      <c r="Y56" s="6"/>
      <c r="Z56" s="6"/>
      <c r="AA56" s="7"/>
      <c r="AB56" s="6"/>
      <c r="AC56" s="6"/>
      <c r="AD56" s="6"/>
      <c r="AE56" s="12"/>
      <c r="AF56" s="12"/>
      <c r="AG56" s="12"/>
      <c r="AH56" s="12"/>
      <c r="AI56" s="6"/>
      <c r="AJ56" s="12"/>
      <c r="AK56" s="1"/>
      <c r="AL56" s="12"/>
      <c r="AM56" s="12"/>
      <c r="AN56" s="1"/>
      <c r="AO56" s="6"/>
    </row>
    <row r="57" spans="1:41" ht="15" x14ac:dyDescent="0.25">
      <c r="A57" s="1"/>
      <c r="B57" s="1"/>
      <c r="C57" s="1"/>
      <c r="D57" s="1"/>
      <c r="E57" s="6"/>
      <c r="F57" s="1"/>
      <c r="G57" s="6"/>
      <c r="H57" s="6"/>
      <c r="I57" s="6"/>
      <c r="J57" s="6"/>
      <c r="K57" s="6"/>
      <c r="L57" s="6"/>
      <c r="M57" s="6"/>
      <c r="N57" s="6"/>
      <c r="O57" s="7"/>
      <c r="P57" s="6"/>
      <c r="Q57" s="6"/>
      <c r="R57" s="12"/>
      <c r="S57" s="12"/>
      <c r="T57" s="12"/>
      <c r="U57" s="7"/>
      <c r="V57" s="6"/>
      <c r="W57" s="6"/>
      <c r="X57" s="12"/>
      <c r="Y57" s="6"/>
      <c r="Z57" s="6"/>
      <c r="AA57" s="7"/>
      <c r="AB57" s="6"/>
      <c r="AC57" s="6"/>
      <c r="AD57" s="6"/>
      <c r="AE57" s="12"/>
      <c r="AF57" s="12"/>
      <c r="AG57" s="12"/>
      <c r="AH57" s="12"/>
      <c r="AI57" s="6"/>
      <c r="AJ57" s="12"/>
      <c r="AK57" s="24"/>
      <c r="AL57" s="25"/>
      <c r="AM57" s="12"/>
      <c r="AN57" s="1"/>
      <c r="AO57" s="6"/>
    </row>
    <row r="58" spans="1:41" ht="15" x14ac:dyDescent="0.25">
      <c r="A58" s="1"/>
      <c r="B58" s="1"/>
      <c r="C58" s="1"/>
      <c r="D58" s="1"/>
      <c r="E58" s="6"/>
      <c r="F58" s="1"/>
      <c r="G58" s="6"/>
      <c r="H58" s="6"/>
      <c r="I58" s="6"/>
      <c r="J58" s="6"/>
      <c r="K58" s="6"/>
      <c r="L58" s="6"/>
      <c r="M58" s="6"/>
      <c r="N58" s="6"/>
      <c r="O58" s="7"/>
      <c r="P58" s="12"/>
      <c r="Q58" s="6"/>
      <c r="R58" s="7"/>
      <c r="S58" s="6"/>
      <c r="T58" s="6"/>
      <c r="U58" s="7"/>
      <c r="V58" s="6"/>
      <c r="W58" s="6"/>
      <c r="X58" s="6"/>
      <c r="Y58" s="6"/>
      <c r="Z58" s="6"/>
      <c r="AA58" s="7"/>
      <c r="AB58" s="6"/>
      <c r="AC58" s="6"/>
      <c r="AD58" s="6"/>
      <c r="AE58" s="12"/>
      <c r="AF58" s="12"/>
      <c r="AG58" s="12"/>
      <c r="AH58" s="12"/>
      <c r="AI58" s="6"/>
      <c r="AJ58" s="12"/>
      <c r="AK58" s="1"/>
      <c r="AL58" s="12"/>
      <c r="AM58" s="12"/>
      <c r="AN58" s="1"/>
      <c r="AO58" s="6"/>
    </row>
    <row r="59" spans="1:41" ht="15" x14ac:dyDescent="0.25">
      <c r="A59" s="1"/>
      <c r="B59" s="1"/>
      <c r="C59" s="1"/>
      <c r="D59" s="1"/>
      <c r="E59" s="6"/>
      <c r="F59" s="1"/>
      <c r="G59" s="6"/>
      <c r="H59" s="6"/>
      <c r="I59" s="6"/>
      <c r="J59" s="6"/>
      <c r="K59" s="6"/>
      <c r="L59" s="6"/>
      <c r="M59" s="6"/>
      <c r="N59" s="6"/>
      <c r="O59" s="7"/>
      <c r="P59" s="6"/>
      <c r="Q59" s="6"/>
      <c r="R59" s="7"/>
      <c r="S59" s="6"/>
      <c r="T59" s="6"/>
      <c r="U59" s="7"/>
      <c r="V59" s="6"/>
      <c r="W59" s="6"/>
      <c r="X59" s="6"/>
      <c r="Y59" s="6"/>
      <c r="Z59" s="6"/>
      <c r="AA59" s="7"/>
      <c r="AB59" s="6"/>
      <c r="AC59" s="6"/>
      <c r="AD59" s="6"/>
      <c r="AE59" s="12"/>
      <c r="AF59" s="12"/>
      <c r="AG59" s="12"/>
      <c r="AH59" s="12"/>
      <c r="AI59" s="6"/>
      <c r="AJ59" s="12"/>
      <c r="AK59" s="1"/>
      <c r="AL59" s="12"/>
      <c r="AM59" s="12"/>
      <c r="AN59" s="1"/>
      <c r="AO59" s="6"/>
    </row>
    <row r="60" spans="1:41" ht="15" x14ac:dyDescent="0.25">
      <c r="A60" s="1"/>
      <c r="B60" s="1"/>
      <c r="C60" s="1"/>
      <c r="D60" s="1"/>
      <c r="E60" s="6"/>
      <c r="F60" s="1"/>
      <c r="G60" s="6"/>
      <c r="H60" s="6"/>
      <c r="I60" s="6"/>
      <c r="J60" s="6"/>
      <c r="K60" s="6"/>
      <c r="L60" s="6"/>
      <c r="M60" s="6"/>
      <c r="N60" s="6"/>
      <c r="O60" s="7"/>
      <c r="P60" s="6"/>
      <c r="Q60" s="6"/>
      <c r="R60" s="7"/>
      <c r="S60" s="6"/>
      <c r="T60" s="6"/>
      <c r="U60" s="7"/>
      <c r="V60" s="6"/>
      <c r="W60" s="6"/>
      <c r="X60" s="6"/>
      <c r="Y60" s="6"/>
      <c r="Z60" s="6"/>
      <c r="AA60" s="7"/>
      <c r="AB60" s="6"/>
      <c r="AC60" s="6"/>
      <c r="AD60" s="6"/>
      <c r="AE60" s="12"/>
      <c r="AF60" s="6"/>
      <c r="AG60" s="12"/>
      <c r="AH60" s="6"/>
      <c r="AI60" s="6"/>
      <c r="AJ60" s="12"/>
      <c r="AK60" s="1"/>
      <c r="AL60" s="12"/>
      <c r="AM60" s="12"/>
      <c r="AN60" s="1"/>
      <c r="AO60" s="6"/>
    </row>
    <row r="61" spans="1:41" ht="15" x14ac:dyDescent="0.25">
      <c r="A61" s="1"/>
      <c r="B61" s="1"/>
      <c r="C61" s="1"/>
      <c r="D61" s="1"/>
      <c r="E61" s="6"/>
      <c r="F61" s="1"/>
      <c r="G61" s="6"/>
      <c r="H61" s="6"/>
      <c r="I61" s="6"/>
      <c r="J61" s="6"/>
      <c r="K61" s="6"/>
      <c r="L61" s="6"/>
      <c r="M61" s="6"/>
      <c r="N61" s="6"/>
      <c r="O61" s="7"/>
      <c r="P61" s="6"/>
      <c r="Q61" s="6"/>
      <c r="R61" s="7"/>
      <c r="S61" s="6"/>
      <c r="T61" s="6"/>
      <c r="U61" s="7"/>
      <c r="V61" s="6"/>
      <c r="W61" s="6"/>
      <c r="X61" s="12"/>
      <c r="Y61" s="6"/>
      <c r="Z61" s="6"/>
      <c r="AA61" s="7"/>
      <c r="AB61" s="6"/>
      <c r="AC61" s="6"/>
      <c r="AD61" s="6"/>
      <c r="AE61" s="12"/>
      <c r="AF61" s="12"/>
      <c r="AG61" s="12"/>
      <c r="AH61" s="12"/>
      <c r="AI61" s="6"/>
      <c r="AJ61" s="12"/>
      <c r="AK61" s="24"/>
      <c r="AL61" s="25"/>
      <c r="AM61" s="12"/>
      <c r="AN61" s="1"/>
      <c r="AO61" s="6"/>
    </row>
    <row r="62" spans="1:41" ht="15" x14ac:dyDescent="0.25">
      <c r="A62" s="1"/>
      <c r="B62" s="1"/>
      <c r="C62" s="1"/>
      <c r="D62" s="1"/>
      <c r="E62" s="6"/>
      <c r="F62" s="1"/>
      <c r="G62" s="6"/>
      <c r="H62" s="6"/>
      <c r="I62" s="6"/>
      <c r="J62" s="6"/>
      <c r="K62" s="12"/>
      <c r="L62" s="12"/>
      <c r="M62" s="6"/>
      <c r="N62" s="6"/>
      <c r="O62" s="7"/>
      <c r="P62" s="12"/>
      <c r="Q62" s="6"/>
      <c r="R62" s="7"/>
      <c r="S62" s="6"/>
      <c r="T62" s="6"/>
      <c r="U62" s="7"/>
      <c r="V62" s="6"/>
      <c r="W62" s="6"/>
      <c r="X62" s="6"/>
      <c r="Y62" s="6"/>
      <c r="Z62" s="6"/>
      <c r="AA62" s="7"/>
      <c r="AB62" s="6"/>
      <c r="AC62" s="6"/>
      <c r="AD62" s="6"/>
      <c r="AE62" s="12"/>
      <c r="AF62" s="12"/>
      <c r="AG62" s="12"/>
      <c r="AH62" s="12"/>
      <c r="AI62" s="6"/>
      <c r="AJ62" s="12"/>
      <c r="AK62" s="1"/>
      <c r="AL62" s="12"/>
      <c r="AM62" s="12"/>
      <c r="AN62" s="1"/>
      <c r="AO62" s="6"/>
    </row>
    <row r="63" spans="1:41" ht="15" x14ac:dyDescent="0.25">
      <c r="A63" s="1"/>
      <c r="B63" s="1"/>
      <c r="C63" s="1"/>
      <c r="D63" s="1"/>
      <c r="E63" s="6"/>
      <c r="F63" s="1"/>
      <c r="G63" s="6"/>
      <c r="H63" s="6"/>
      <c r="I63" s="6"/>
      <c r="J63" s="6"/>
      <c r="K63" s="6"/>
      <c r="L63" s="6"/>
      <c r="M63" s="6"/>
      <c r="N63" s="6"/>
      <c r="O63" s="7"/>
      <c r="P63" s="6"/>
      <c r="Q63" s="6"/>
      <c r="R63" s="7"/>
      <c r="S63" s="6"/>
      <c r="T63" s="6"/>
      <c r="U63" s="7"/>
      <c r="V63" s="6"/>
      <c r="W63" s="6"/>
      <c r="X63" s="6"/>
      <c r="Y63" s="6"/>
      <c r="Z63" s="6"/>
      <c r="AA63" s="7"/>
      <c r="AB63" s="6"/>
      <c r="AC63" s="6"/>
      <c r="AD63" s="6"/>
      <c r="AE63" s="12"/>
      <c r="AF63" s="6"/>
      <c r="AG63" s="12"/>
      <c r="AH63" s="6"/>
      <c r="AI63" s="6"/>
      <c r="AJ63" s="12"/>
      <c r="AK63" s="24"/>
      <c r="AL63" s="25"/>
      <c r="AM63" s="12"/>
      <c r="AN63" s="1"/>
      <c r="AO63" s="6"/>
    </row>
    <row r="64" spans="1:41" ht="15" x14ac:dyDescent="0.25">
      <c r="A64" s="1"/>
      <c r="B64" s="1"/>
      <c r="C64" s="1"/>
      <c r="D64" s="1"/>
      <c r="E64" s="6"/>
      <c r="F64" s="1"/>
      <c r="G64" s="6"/>
      <c r="H64" s="6"/>
      <c r="I64" s="6"/>
      <c r="J64" s="6"/>
      <c r="K64" s="6"/>
      <c r="L64" s="6"/>
      <c r="M64" s="6"/>
      <c r="N64" s="6"/>
      <c r="O64" s="7"/>
      <c r="P64" s="6"/>
      <c r="Q64" s="7"/>
      <c r="R64" s="6"/>
      <c r="S64" s="6"/>
      <c r="T64" s="6"/>
      <c r="U64" s="6"/>
      <c r="V64" s="7"/>
      <c r="W64" s="7"/>
      <c r="X64" s="6"/>
      <c r="Y64" s="6"/>
      <c r="Z64" s="6"/>
      <c r="AA64" s="1"/>
      <c r="AB64" s="12"/>
      <c r="AC64" s="12"/>
      <c r="AD64" s="12"/>
      <c r="AE64" s="12"/>
      <c r="AF64" s="12"/>
      <c r="AG64" s="12"/>
      <c r="AH64" s="12"/>
      <c r="AI64" s="6"/>
      <c r="AJ64" s="12"/>
      <c r="AK64" s="12"/>
      <c r="AL64" s="12"/>
      <c r="AM64" s="12"/>
      <c r="AN64" s="1"/>
      <c r="AO64" s="6"/>
    </row>
    <row r="65" spans="1:41" ht="15" x14ac:dyDescent="0.25">
      <c r="A65" s="1"/>
      <c r="B65" s="1"/>
      <c r="C65" s="1"/>
      <c r="D65" s="1"/>
      <c r="E65" s="6"/>
      <c r="F65" s="1"/>
      <c r="G65" s="6"/>
      <c r="H65" s="6"/>
      <c r="I65" s="6"/>
      <c r="J65" s="6"/>
      <c r="K65" s="6"/>
      <c r="L65" s="6"/>
      <c r="M65" s="6"/>
      <c r="N65" s="6"/>
      <c r="O65" s="7"/>
      <c r="P65" s="6"/>
      <c r="Q65" s="6"/>
      <c r="R65" s="7"/>
      <c r="S65" s="6"/>
      <c r="T65" s="6"/>
      <c r="U65" s="7"/>
      <c r="V65" s="6"/>
      <c r="W65" s="6"/>
      <c r="X65" s="12"/>
      <c r="Y65" s="6"/>
      <c r="Z65" s="6"/>
      <c r="AA65" s="7"/>
      <c r="AB65" s="6"/>
      <c r="AC65" s="6"/>
      <c r="AD65" s="6"/>
      <c r="AE65" s="12"/>
      <c r="AF65" s="6"/>
      <c r="AG65" s="12"/>
      <c r="AH65" s="6"/>
      <c r="AI65" s="6"/>
      <c r="AJ65" s="12"/>
      <c r="AK65" s="24"/>
      <c r="AL65" s="25"/>
      <c r="AM65" s="12"/>
      <c r="AN65" s="1"/>
      <c r="AO65" s="6"/>
    </row>
    <row r="66" spans="1:41" ht="15" x14ac:dyDescent="0.25">
      <c r="A66" s="1"/>
      <c r="B66" s="1"/>
      <c r="C66" s="1"/>
      <c r="D66" s="1"/>
      <c r="E66" s="6"/>
      <c r="F66" s="1"/>
      <c r="G66" s="6"/>
      <c r="H66" s="6"/>
      <c r="I66" s="6"/>
      <c r="J66" s="6"/>
      <c r="K66" s="6"/>
      <c r="L66" s="6"/>
      <c r="M66" s="6"/>
      <c r="N66" s="6"/>
      <c r="O66" s="7"/>
      <c r="P66" s="12"/>
      <c r="Q66" s="6"/>
      <c r="R66" s="7"/>
      <c r="S66" s="6"/>
      <c r="T66" s="6"/>
      <c r="U66" s="7"/>
      <c r="V66" s="6"/>
      <c r="W66" s="6"/>
      <c r="X66" s="6"/>
      <c r="Y66" s="6"/>
      <c r="Z66" s="6"/>
      <c r="AA66" s="7"/>
      <c r="AB66" s="6"/>
      <c r="AC66" s="6"/>
      <c r="AD66" s="6"/>
      <c r="AE66" s="12"/>
      <c r="AF66" s="12"/>
      <c r="AG66" s="12"/>
      <c r="AH66" s="12"/>
      <c r="AI66" s="6"/>
      <c r="AJ66" s="12"/>
      <c r="AK66" s="1"/>
      <c r="AL66" s="12"/>
      <c r="AM66" s="12"/>
      <c r="AN66" s="1"/>
      <c r="AO66" s="6"/>
    </row>
    <row r="67" spans="1:41" ht="15" x14ac:dyDescent="0.25">
      <c r="A67" s="1"/>
      <c r="B67" s="1"/>
      <c r="C67" s="1"/>
      <c r="D67" s="1"/>
      <c r="E67" s="6"/>
      <c r="F67" s="1"/>
      <c r="G67" s="6"/>
      <c r="H67" s="6"/>
      <c r="I67" s="6"/>
      <c r="J67" s="6"/>
      <c r="K67" s="6"/>
      <c r="L67" s="6"/>
      <c r="M67" s="6"/>
      <c r="N67" s="6"/>
      <c r="O67" s="7"/>
      <c r="P67" s="6"/>
      <c r="Q67" s="6"/>
      <c r="R67" s="7"/>
      <c r="S67" s="6"/>
      <c r="T67" s="6"/>
      <c r="U67" s="7"/>
      <c r="V67" s="6"/>
      <c r="W67" s="6"/>
      <c r="X67" s="6"/>
      <c r="Y67" s="6"/>
      <c r="Z67" s="6"/>
      <c r="AA67" s="7"/>
      <c r="AB67" s="6"/>
      <c r="AC67" s="6"/>
      <c r="AD67" s="6"/>
      <c r="AE67" s="12"/>
      <c r="AF67" s="12"/>
      <c r="AG67" s="12"/>
      <c r="AH67" s="12"/>
      <c r="AI67" s="6"/>
      <c r="AJ67" s="12"/>
      <c r="AK67" s="1"/>
      <c r="AL67" s="12"/>
      <c r="AM67" s="12"/>
      <c r="AN67" s="1"/>
      <c r="AO67" s="6"/>
    </row>
    <row r="68" spans="1:41" ht="15" x14ac:dyDescent="0.25">
      <c r="A68" s="1"/>
      <c r="B68" s="1"/>
      <c r="C68" s="1"/>
      <c r="D68" s="1"/>
      <c r="E68" s="6"/>
      <c r="F68" s="1"/>
      <c r="G68" s="6"/>
      <c r="H68" s="6"/>
      <c r="I68" s="6"/>
      <c r="J68" s="6"/>
      <c r="K68" s="6"/>
      <c r="L68" s="6"/>
      <c r="M68" s="6"/>
      <c r="N68" s="6"/>
      <c r="O68" s="7"/>
      <c r="P68" s="12"/>
      <c r="Q68" s="6"/>
      <c r="R68" s="7"/>
      <c r="S68" s="6"/>
      <c r="T68" s="6"/>
      <c r="U68" s="7"/>
      <c r="V68" s="6"/>
      <c r="W68" s="6"/>
      <c r="X68" s="12"/>
      <c r="Y68" s="6"/>
      <c r="Z68" s="6"/>
      <c r="AA68" s="7"/>
      <c r="AB68" s="6"/>
      <c r="AC68" s="6"/>
      <c r="AD68" s="6"/>
      <c r="AE68" s="12"/>
      <c r="AF68" s="12"/>
      <c r="AG68" s="12"/>
      <c r="AH68" s="12"/>
      <c r="AI68" s="6"/>
      <c r="AJ68" s="12"/>
      <c r="AK68" s="1"/>
      <c r="AL68" s="12"/>
      <c r="AM68" s="12"/>
      <c r="AN68" s="1"/>
      <c r="AO68" s="6"/>
    </row>
    <row r="69" spans="1:41" ht="15" x14ac:dyDescent="0.25">
      <c r="A69" s="1"/>
      <c r="B69" s="1"/>
      <c r="C69" s="1"/>
      <c r="D69" s="1"/>
      <c r="E69" s="6"/>
      <c r="F69" s="1"/>
      <c r="G69" s="6"/>
      <c r="H69" s="6"/>
      <c r="I69" s="6"/>
      <c r="J69" s="6"/>
      <c r="K69" s="6"/>
      <c r="L69" s="6"/>
      <c r="M69" s="6"/>
      <c r="N69" s="6"/>
      <c r="O69" s="7"/>
      <c r="P69" s="6"/>
      <c r="Q69" s="6"/>
      <c r="R69" s="7"/>
      <c r="S69" s="6"/>
      <c r="T69" s="6"/>
      <c r="U69" s="7"/>
      <c r="V69" s="6"/>
      <c r="W69" s="6"/>
      <c r="X69" s="6"/>
      <c r="Y69" s="6"/>
      <c r="Z69" s="6"/>
      <c r="AA69" s="7"/>
      <c r="AB69" s="6"/>
      <c r="AC69" s="6"/>
      <c r="AD69" s="6"/>
      <c r="AE69" s="12"/>
      <c r="AF69" s="12"/>
      <c r="AG69" s="12"/>
      <c r="AH69" s="12"/>
      <c r="AI69" s="6"/>
      <c r="AJ69" s="12"/>
      <c r="AK69" s="1"/>
      <c r="AL69" s="12"/>
      <c r="AM69" s="12"/>
      <c r="AN69" s="1"/>
      <c r="AO69" s="6"/>
    </row>
    <row r="70" spans="1:41" ht="15" x14ac:dyDescent="0.25">
      <c r="A70" s="1"/>
      <c r="B70" s="1"/>
      <c r="C70" s="1"/>
      <c r="D70" s="1"/>
      <c r="E70" s="6"/>
      <c r="F70" s="1"/>
      <c r="G70" s="6"/>
      <c r="H70" s="6"/>
      <c r="I70" s="6"/>
      <c r="J70" s="6"/>
      <c r="K70" s="6"/>
      <c r="L70" s="6"/>
      <c r="M70" s="6"/>
      <c r="N70" s="6"/>
      <c r="O70" s="7"/>
      <c r="P70" s="6"/>
      <c r="Q70" s="6"/>
      <c r="R70" s="7"/>
      <c r="S70" s="6"/>
      <c r="T70" s="6"/>
      <c r="U70" s="7"/>
      <c r="V70" s="6"/>
      <c r="W70" s="6"/>
      <c r="X70" s="6"/>
      <c r="Y70" s="6"/>
      <c r="Z70" s="6"/>
      <c r="AA70" s="7"/>
      <c r="AB70" s="6"/>
      <c r="AC70" s="6"/>
      <c r="AD70" s="6"/>
      <c r="AE70" s="12"/>
      <c r="AF70" s="12"/>
      <c r="AG70" s="12"/>
      <c r="AH70" s="12"/>
      <c r="AI70" s="6"/>
      <c r="AJ70" s="12"/>
      <c r="AK70" s="1"/>
      <c r="AL70" s="12"/>
      <c r="AM70" s="12"/>
      <c r="AN70" s="1"/>
      <c r="AO70" s="6"/>
    </row>
    <row r="71" spans="1:41" ht="15" x14ac:dyDescent="0.25">
      <c r="A71" s="1"/>
      <c r="B71" s="1"/>
      <c r="C71" s="1"/>
      <c r="D71" s="1"/>
      <c r="E71" s="6"/>
      <c r="F71" s="1"/>
      <c r="G71" s="6"/>
      <c r="H71" s="6"/>
      <c r="I71" s="6"/>
      <c r="J71" s="6"/>
      <c r="K71" s="6"/>
      <c r="L71" s="6"/>
      <c r="M71" s="6"/>
      <c r="N71" s="6"/>
      <c r="O71" s="7"/>
      <c r="P71" s="6"/>
      <c r="Q71" s="7"/>
      <c r="R71" s="6"/>
      <c r="S71" s="6"/>
      <c r="T71" s="6"/>
      <c r="U71" s="6"/>
      <c r="V71" s="7"/>
      <c r="W71" s="7"/>
      <c r="X71" s="6"/>
      <c r="Y71" s="6"/>
      <c r="Z71" s="6"/>
      <c r="AA71" s="1"/>
      <c r="AB71" s="12"/>
      <c r="AC71" s="12"/>
      <c r="AD71" s="12"/>
      <c r="AE71" s="12"/>
      <c r="AF71" s="6"/>
      <c r="AG71" s="12"/>
      <c r="AH71" s="6"/>
      <c r="AI71" s="6"/>
      <c r="AJ71" s="12"/>
      <c r="AK71" s="12"/>
      <c r="AL71" s="12"/>
      <c r="AM71" s="12"/>
      <c r="AN71" s="1"/>
      <c r="AO71" s="6"/>
    </row>
    <row r="72" spans="1:41" ht="15" x14ac:dyDescent="0.25">
      <c r="A72" s="1"/>
      <c r="B72" s="1"/>
      <c r="C72" s="1"/>
      <c r="D72" s="1"/>
      <c r="E72" s="6"/>
      <c r="F72" s="1"/>
      <c r="G72" s="6"/>
      <c r="H72" s="6"/>
      <c r="I72" s="6"/>
      <c r="J72" s="6"/>
      <c r="K72" s="6"/>
      <c r="L72" s="6"/>
      <c r="M72" s="6"/>
      <c r="N72" s="6"/>
      <c r="O72" s="7"/>
      <c r="P72" s="6"/>
      <c r="Q72" s="6"/>
      <c r="R72" s="12"/>
      <c r="S72" s="12"/>
      <c r="T72" s="12"/>
      <c r="U72" s="7"/>
      <c r="V72" s="6"/>
      <c r="W72" s="6"/>
      <c r="X72" s="12"/>
      <c r="Y72" s="6"/>
      <c r="Z72" s="6"/>
      <c r="AA72" s="7"/>
      <c r="AB72" s="6"/>
      <c r="AC72" s="6"/>
      <c r="AD72" s="6"/>
      <c r="AE72" s="12"/>
      <c r="AF72" s="6"/>
      <c r="AG72" s="12"/>
      <c r="AH72" s="6"/>
      <c r="AI72" s="6"/>
      <c r="AJ72" s="12"/>
      <c r="AK72" s="24"/>
      <c r="AL72" s="25"/>
      <c r="AM72" s="12"/>
      <c r="AN72" s="1"/>
      <c r="AO72" s="6"/>
    </row>
    <row r="73" spans="1:41" ht="15" x14ac:dyDescent="0.25">
      <c r="A73" s="1"/>
      <c r="B73" s="1"/>
      <c r="C73" s="1"/>
      <c r="D73" s="1"/>
      <c r="E73" s="6"/>
      <c r="F73" s="1"/>
      <c r="G73" s="6"/>
      <c r="H73" s="6"/>
      <c r="I73" s="6"/>
      <c r="J73" s="6"/>
      <c r="K73" s="12"/>
      <c r="L73" s="12"/>
      <c r="M73" s="6"/>
      <c r="N73" s="6"/>
      <c r="O73" s="7"/>
      <c r="P73" s="12"/>
      <c r="Q73" s="6"/>
      <c r="R73" s="7"/>
      <c r="S73" s="6"/>
      <c r="T73" s="6"/>
      <c r="U73" s="7"/>
      <c r="V73" s="6"/>
      <c r="W73" s="6"/>
      <c r="X73" s="6"/>
      <c r="Y73" s="6"/>
      <c r="Z73" s="6"/>
      <c r="AA73" s="7"/>
      <c r="AB73" s="6"/>
      <c r="AC73" s="6"/>
      <c r="AD73" s="6"/>
      <c r="AE73" s="12"/>
      <c r="AF73" s="12"/>
      <c r="AG73" s="12"/>
      <c r="AH73" s="12"/>
      <c r="AI73" s="6"/>
      <c r="AJ73" s="12"/>
      <c r="AK73" s="1"/>
      <c r="AL73" s="12"/>
      <c r="AM73" s="12"/>
      <c r="AN73" s="1"/>
      <c r="AO73" s="6"/>
    </row>
    <row r="74" spans="1:41" ht="15" x14ac:dyDescent="0.25">
      <c r="A74" s="1"/>
      <c r="B74" s="1"/>
      <c r="C74" s="1"/>
      <c r="D74" s="1"/>
      <c r="E74" s="6"/>
      <c r="F74" s="1"/>
      <c r="G74" s="6"/>
      <c r="H74" s="6"/>
      <c r="I74" s="6"/>
      <c r="J74" s="6"/>
      <c r="K74" s="6"/>
      <c r="L74" s="6"/>
      <c r="M74" s="6"/>
      <c r="N74" s="6"/>
      <c r="O74" s="7"/>
      <c r="P74" s="6"/>
      <c r="Q74" s="6"/>
      <c r="R74" s="7"/>
      <c r="S74" s="6"/>
      <c r="T74" s="6"/>
      <c r="U74" s="7"/>
      <c r="V74" s="6"/>
      <c r="W74" s="6"/>
      <c r="X74" s="6"/>
      <c r="Y74" s="6"/>
      <c r="Z74" s="6"/>
      <c r="AA74" s="7"/>
      <c r="AB74" s="6"/>
      <c r="AC74" s="6"/>
      <c r="AD74" s="6"/>
      <c r="AE74" s="12"/>
      <c r="AF74" s="6"/>
      <c r="AG74" s="12"/>
      <c r="AH74" s="6"/>
      <c r="AI74" s="6"/>
      <c r="AJ74" s="12"/>
      <c r="AK74" s="1"/>
      <c r="AL74" s="12"/>
      <c r="AM74" s="12"/>
      <c r="AN74" s="1"/>
      <c r="AO74" s="6"/>
    </row>
    <row r="75" spans="1:41" ht="15" x14ac:dyDescent="0.25">
      <c r="A75" s="1"/>
      <c r="B75" s="1"/>
      <c r="C75" s="1"/>
      <c r="D75" s="1"/>
      <c r="E75" s="6"/>
      <c r="F75" s="1"/>
      <c r="G75" s="6"/>
      <c r="H75" s="6"/>
      <c r="I75" s="6"/>
      <c r="J75" s="6"/>
      <c r="K75" s="6"/>
      <c r="L75" s="6"/>
      <c r="M75" s="6"/>
      <c r="N75" s="6"/>
      <c r="O75" s="7"/>
      <c r="P75" s="6"/>
      <c r="Q75" s="6"/>
      <c r="R75" s="7"/>
      <c r="S75" s="6"/>
      <c r="T75" s="6"/>
      <c r="U75" s="7"/>
      <c r="V75" s="6"/>
      <c r="W75" s="6"/>
      <c r="X75" s="6"/>
      <c r="Y75" s="6"/>
      <c r="Z75" s="6"/>
      <c r="AA75" s="7"/>
      <c r="AB75" s="6"/>
      <c r="AC75" s="6"/>
      <c r="AD75" s="6"/>
      <c r="AE75" s="12"/>
      <c r="AF75" s="12"/>
      <c r="AG75" s="12"/>
      <c r="AH75" s="12"/>
      <c r="AI75" s="6"/>
      <c r="AJ75" s="12"/>
      <c r="AK75" s="1"/>
      <c r="AL75" s="12"/>
      <c r="AM75" s="12"/>
      <c r="AN75" s="1"/>
      <c r="AO75" s="6"/>
    </row>
    <row r="76" spans="1:41" ht="15" x14ac:dyDescent="0.25">
      <c r="A76" s="1"/>
      <c r="B76" s="1"/>
      <c r="C76" s="1"/>
      <c r="D76" s="1"/>
      <c r="E76" s="6"/>
      <c r="F76" s="1"/>
      <c r="G76" s="6"/>
      <c r="H76" s="6"/>
      <c r="I76" s="6"/>
      <c r="J76" s="6"/>
      <c r="K76" s="6"/>
      <c r="L76" s="6"/>
      <c r="M76" s="6"/>
      <c r="N76" s="6"/>
      <c r="O76" s="7"/>
      <c r="P76" s="6"/>
      <c r="Q76" s="7"/>
      <c r="R76" s="6"/>
      <c r="S76" s="6"/>
      <c r="T76" s="6"/>
      <c r="U76" s="6"/>
      <c r="V76" s="7"/>
      <c r="W76" s="7"/>
      <c r="X76" s="6"/>
      <c r="Y76" s="6"/>
      <c r="Z76" s="6"/>
      <c r="AA76" s="1"/>
      <c r="AB76" s="12"/>
      <c r="AC76" s="12"/>
      <c r="AD76" s="12"/>
      <c r="AE76" s="12"/>
      <c r="AF76" s="12"/>
      <c r="AG76" s="12"/>
      <c r="AH76" s="12"/>
      <c r="AI76" s="6"/>
      <c r="AJ76" s="12"/>
      <c r="AK76" s="12"/>
      <c r="AL76" s="12"/>
      <c r="AM76" s="12"/>
      <c r="AN76" s="1"/>
      <c r="AO76" s="6"/>
    </row>
    <row r="77" spans="1:41" ht="15" x14ac:dyDescent="0.25">
      <c r="A77" s="1"/>
      <c r="B77" s="1"/>
      <c r="C77" s="1"/>
      <c r="D77" s="1"/>
      <c r="E77" s="6"/>
      <c r="F77" s="1"/>
      <c r="G77" s="6"/>
      <c r="H77" s="6"/>
      <c r="I77" s="6"/>
      <c r="J77" s="6"/>
      <c r="K77" s="6"/>
      <c r="L77" s="6"/>
      <c r="M77" s="6"/>
      <c r="N77" s="6"/>
      <c r="O77" s="7"/>
      <c r="P77" s="6"/>
      <c r="Q77" s="6"/>
      <c r="R77" s="7"/>
      <c r="S77" s="6"/>
      <c r="T77" s="6"/>
      <c r="U77" s="7"/>
      <c r="V77" s="6"/>
      <c r="W77" s="6"/>
      <c r="X77" s="6"/>
      <c r="Y77" s="6"/>
      <c r="Z77" s="6"/>
      <c r="AA77" s="7"/>
      <c r="AB77" s="6"/>
      <c r="AC77" s="6"/>
      <c r="AD77" s="6"/>
      <c r="AE77" s="12"/>
      <c r="AF77" s="6"/>
      <c r="AG77" s="12"/>
      <c r="AH77" s="6"/>
      <c r="AI77" s="6"/>
      <c r="AJ77" s="12"/>
      <c r="AK77" s="24"/>
      <c r="AL77" s="25"/>
      <c r="AM77" s="12"/>
      <c r="AN77" s="1"/>
      <c r="AO77" s="6"/>
    </row>
    <row r="78" spans="1:41" ht="15" x14ac:dyDescent="0.25">
      <c r="A78" s="1"/>
      <c r="B78" s="1"/>
      <c r="C78" s="1"/>
      <c r="D78" s="1"/>
      <c r="E78" s="6"/>
      <c r="F78" s="1"/>
      <c r="G78" s="6"/>
      <c r="H78" s="6"/>
      <c r="I78" s="6"/>
      <c r="J78" s="6"/>
      <c r="K78" s="6"/>
      <c r="L78" s="6"/>
      <c r="M78" s="6"/>
      <c r="N78" s="6"/>
      <c r="O78" s="7"/>
      <c r="P78" s="6"/>
      <c r="Q78" s="6"/>
      <c r="R78" s="7"/>
      <c r="S78" s="6"/>
      <c r="T78" s="6"/>
      <c r="U78" s="7"/>
      <c r="V78" s="6"/>
      <c r="W78" s="6"/>
      <c r="X78" s="6"/>
      <c r="Y78" s="6"/>
      <c r="Z78" s="6"/>
      <c r="AA78" s="7"/>
      <c r="AB78" s="6"/>
      <c r="AC78" s="6"/>
      <c r="AD78" s="6"/>
      <c r="AE78" s="12"/>
      <c r="AF78" s="6"/>
      <c r="AG78" s="12"/>
      <c r="AH78" s="6"/>
      <c r="AI78" s="6"/>
      <c r="AJ78" s="12"/>
      <c r="AK78" s="24"/>
      <c r="AL78" s="25"/>
      <c r="AM78" s="12"/>
      <c r="AN78" s="1"/>
      <c r="AO78" s="6"/>
    </row>
    <row r="79" spans="1:41" ht="15" x14ac:dyDescent="0.25">
      <c r="A79" s="1"/>
      <c r="B79" s="1"/>
      <c r="C79" s="1"/>
      <c r="D79" s="1"/>
      <c r="E79" s="6"/>
      <c r="F79" s="1"/>
      <c r="G79" s="6"/>
      <c r="H79" s="6"/>
      <c r="I79" s="6"/>
      <c r="J79" s="6"/>
      <c r="K79" s="6"/>
      <c r="L79" s="6"/>
      <c r="M79" s="6"/>
      <c r="N79" s="6"/>
      <c r="O79" s="7"/>
      <c r="P79" s="6"/>
      <c r="Q79" s="6"/>
      <c r="R79" s="7"/>
      <c r="S79" s="6"/>
      <c r="T79" s="6"/>
      <c r="U79" s="7"/>
      <c r="V79" s="6"/>
      <c r="W79" s="6"/>
      <c r="X79" s="6"/>
      <c r="Y79" s="6"/>
      <c r="Z79" s="6"/>
      <c r="AA79" s="7"/>
      <c r="AB79" s="6"/>
      <c r="AC79" s="6"/>
      <c r="AD79" s="6"/>
      <c r="AE79" s="12"/>
      <c r="AF79" s="6"/>
      <c r="AG79" s="12"/>
      <c r="AH79" s="6"/>
      <c r="AI79" s="6"/>
      <c r="AJ79" s="12"/>
      <c r="AK79" s="24"/>
      <c r="AL79" s="25"/>
      <c r="AM79" s="12"/>
      <c r="AN79" s="1"/>
      <c r="AO79" s="6"/>
    </row>
    <row r="80" spans="1:41" ht="15" x14ac:dyDescent="0.25">
      <c r="A80" s="1"/>
      <c r="B80" s="1"/>
      <c r="C80" s="1"/>
      <c r="D80" s="1"/>
      <c r="E80" s="6"/>
      <c r="F80" s="1"/>
      <c r="G80" s="6"/>
      <c r="H80" s="6"/>
      <c r="I80" s="6"/>
      <c r="J80" s="6"/>
      <c r="K80" s="6"/>
      <c r="L80" s="6"/>
      <c r="M80" s="6"/>
      <c r="N80" s="6"/>
      <c r="O80" s="7"/>
      <c r="P80" s="6"/>
      <c r="Q80" s="6"/>
      <c r="R80" s="7"/>
      <c r="S80" s="6"/>
      <c r="T80" s="6"/>
      <c r="U80" s="7"/>
      <c r="V80" s="6"/>
      <c r="W80" s="6"/>
      <c r="X80" s="6"/>
      <c r="Y80" s="6"/>
      <c r="Z80" s="6"/>
      <c r="AA80" s="7"/>
      <c r="AB80" s="6"/>
      <c r="AC80" s="6"/>
      <c r="AD80" s="6"/>
      <c r="AE80" s="12"/>
      <c r="AF80" s="6"/>
      <c r="AG80" s="12"/>
      <c r="AH80" s="6"/>
      <c r="AI80" s="6"/>
      <c r="AJ80" s="12"/>
      <c r="AK80" s="24"/>
      <c r="AL80" s="25"/>
      <c r="AM80" s="12"/>
      <c r="AN80" s="1"/>
      <c r="AO80" s="6"/>
    </row>
    <row r="81" spans="1:41" ht="15" x14ac:dyDescent="0.25">
      <c r="A81" s="1"/>
      <c r="B81" s="1"/>
      <c r="C81" s="1"/>
      <c r="D81" s="1"/>
      <c r="E81" s="6"/>
      <c r="F81" s="1"/>
      <c r="G81" s="6"/>
      <c r="H81" s="6"/>
      <c r="I81" s="6"/>
      <c r="J81" s="6"/>
      <c r="K81" s="6"/>
      <c r="L81" s="6"/>
      <c r="M81" s="6"/>
      <c r="N81" s="6"/>
      <c r="O81" s="7"/>
      <c r="P81" s="6"/>
      <c r="Q81" s="6"/>
      <c r="R81" s="7"/>
      <c r="S81" s="6"/>
      <c r="T81" s="6"/>
      <c r="U81" s="7"/>
      <c r="V81" s="6"/>
      <c r="W81" s="6"/>
      <c r="X81" s="6"/>
      <c r="Y81" s="6"/>
      <c r="Z81" s="6"/>
      <c r="AA81" s="7"/>
      <c r="AB81" s="6"/>
      <c r="AC81" s="6"/>
      <c r="AD81" s="6"/>
      <c r="AE81" s="12"/>
      <c r="AF81" s="6"/>
      <c r="AG81" s="12"/>
      <c r="AH81" s="6"/>
      <c r="AI81" s="6"/>
      <c r="AJ81" s="12"/>
      <c r="AK81" s="24"/>
      <c r="AL81" s="25"/>
      <c r="AM81" s="12"/>
      <c r="AN81" s="1"/>
      <c r="AO81" s="6"/>
    </row>
    <row r="82" spans="1:41" ht="15" x14ac:dyDescent="0.25">
      <c r="A82" s="1"/>
      <c r="B82" s="1"/>
      <c r="C82" s="1"/>
      <c r="D82" s="1"/>
      <c r="E82" s="6"/>
      <c r="F82" s="1"/>
      <c r="G82" s="6"/>
      <c r="H82" s="6"/>
      <c r="I82" s="6"/>
      <c r="J82" s="6"/>
      <c r="K82" s="6"/>
      <c r="L82" s="6"/>
      <c r="M82" s="6"/>
      <c r="N82" s="6"/>
      <c r="O82" s="7"/>
      <c r="P82" s="6"/>
      <c r="Q82" s="6"/>
      <c r="R82" s="7"/>
      <c r="S82" s="6"/>
      <c r="T82" s="6"/>
      <c r="U82" s="7"/>
      <c r="V82" s="6"/>
      <c r="W82" s="6"/>
      <c r="X82" s="6"/>
      <c r="Y82" s="6"/>
      <c r="Z82" s="6"/>
      <c r="AA82" s="7"/>
      <c r="AB82" s="6"/>
      <c r="AC82" s="6"/>
      <c r="AD82" s="6"/>
      <c r="AE82" s="12"/>
      <c r="AF82" s="6"/>
      <c r="AG82" s="12"/>
      <c r="AH82" s="6"/>
      <c r="AI82" s="6"/>
      <c r="AJ82" s="12"/>
      <c r="AK82" s="1"/>
      <c r="AL82" s="12"/>
      <c r="AM82" s="12"/>
      <c r="AN82" s="1"/>
      <c r="AO82" s="6"/>
    </row>
    <row r="83" spans="1:41" ht="15" x14ac:dyDescent="0.25">
      <c r="A83" s="1"/>
      <c r="B83" s="1"/>
      <c r="C83" s="1"/>
      <c r="D83" s="1"/>
      <c r="E83" s="6"/>
      <c r="F83" s="1"/>
      <c r="G83" s="6"/>
      <c r="H83" s="6"/>
      <c r="I83" s="6"/>
      <c r="J83" s="6"/>
      <c r="K83" s="6"/>
      <c r="L83" s="6"/>
      <c r="M83" s="6"/>
      <c r="N83" s="6"/>
      <c r="O83" s="7"/>
      <c r="P83" s="6"/>
      <c r="Q83" s="6"/>
      <c r="R83" s="7"/>
      <c r="S83" s="6"/>
      <c r="T83" s="6"/>
      <c r="U83" s="7"/>
      <c r="V83" s="6"/>
      <c r="W83" s="6"/>
      <c r="X83" s="12"/>
      <c r="Y83" s="6"/>
      <c r="Z83" s="6"/>
      <c r="AA83" s="7"/>
      <c r="AB83" s="6"/>
      <c r="AC83" s="6"/>
      <c r="AD83" s="6"/>
      <c r="AE83" s="12"/>
      <c r="AF83" s="6"/>
      <c r="AG83" s="12"/>
      <c r="AH83" s="6"/>
      <c r="AI83" s="6"/>
      <c r="AJ83" s="12"/>
      <c r="AK83" s="1"/>
      <c r="AL83" s="12"/>
      <c r="AM83" s="12"/>
      <c r="AN83" s="1"/>
      <c r="AO83" s="6"/>
    </row>
    <row r="84" spans="1:41" ht="15" x14ac:dyDescent="0.25">
      <c r="A84" s="1"/>
      <c r="B84" s="1"/>
      <c r="C84" s="1"/>
      <c r="D84" s="1"/>
      <c r="E84" s="6"/>
      <c r="F84" s="1"/>
      <c r="G84" s="6"/>
      <c r="H84" s="6"/>
      <c r="I84" s="6"/>
      <c r="J84" s="6"/>
      <c r="K84" s="12"/>
      <c r="L84" s="12"/>
      <c r="M84" s="6"/>
      <c r="N84" s="6"/>
      <c r="O84" s="7"/>
      <c r="P84" s="6"/>
      <c r="Q84" s="6"/>
      <c r="R84" s="7"/>
      <c r="S84" s="6"/>
      <c r="T84" s="6"/>
      <c r="U84" s="7"/>
      <c r="V84" s="6"/>
      <c r="W84" s="6"/>
      <c r="X84" s="6"/>
      <c r="Y84" s="6"/>
      <c r="Z84" s="6"/>
      <c r="AA84" s="7"/>
      <c r="AB84" s="6"/>
      <c r="AC84" s="6"/>
      <c r="AD84" s="6"/>
      <c r="AE84" s="12"/>
      <c r="AF84" s="12"/>
      <c r="AG84" s="12"/>
      <c r="AH84" s="12"/>
      <c r="AI84" s="6"/>
      <c r="AJ84" s="12"/>
      <c r="AK84" s="1"/>
      <c r="AL84" s="12"/>
      <c r="AM84" s="12"/>
      <c r="AN84" s="1"/>
      <c r="AO84" s="6"/>
    </row>
    <row r="85" spans="1:41" ht="15" x14ac:dyDescent="0.25">
      <c r="A85" s="1"/>
      <c r="B85" s="1"/>
      <c r="C85" s="1"/>
      <c r="D85" s="1"/>
      <c r="E85" s="6"/>
      <c r="F85" s="1"/>
      <c r="G85" s="6"/>
      <c r="H85" s="6"/>
      <c r="I85" s="6"/>
      <c r="J85" s="6"/>
      <c r="K85" s="6"/>
      <c r="L85" s="6"/>
      <c r="M85" s="6"/>
      <c r="N85" s="6"/>
      <c r="O85" s="7"/>
      <c r="P85" s="12"/>
      <c r="Q85" s="6"/>
      <c r="R85" s="7"/>
      <c r="S85" s="6"/>
      <c r="T85" s="6"/>
      <c r="U85" s="7"/>
      <c r="V85" s="6"/>
      <c r="W85" s="6"/>
      <c r="X85" s="6"/>
      <c r="Y85" s="6"/>
      <c r="Z85" s="6"/>
      <c r="AA85" s="7"/>
      <c r="AB85" s="6"/>
      <c r="AC85" s="6"/>
      <c r="AD85" s="6"/>
      <c r="AE85" s="12"/>
      <c r="AF85" s="12"/>
      <c r="AG85" s="12"/>
      <c r="AH85" s="12"/>
      <c r="AI85" s="6"/>
      <c r="AJ85" s="12"/>
      <c r="AK85" s="1"/>
      <c r="AL85" s="12"/>
      <c r="AM85" s="12"/>
      <c r="AN85" s="1"/>
      <c r="AO85" s="6"/>
    </row>
    <row r="86" spans="1:41" ht="15" x14ac:dyDescent="0.25">
      <c r="A86" s="1"/>
      <c r="B86" s="1"/>
      <c r="C86" s="1"/>
      <c r="D86" s="1"/>
      <c r="E86" s="6"/>
      <c r="F86" s="1"/>
      <c r="G86" s="6"/>
      <c r="H86" s="6"/>
      <c r="I86" s="6"/>
      <c r="J86" s="6"/>
      <c r="K86" s="6"/>
      <c r="L86" s="6"/>
      <c r="M86" s="6"/>
      <c r="N86" s="6"/>
      <c r="O86" s="7"/>
      <c r="P86" s="6"/>
      <c r="Q86" s="7"/>
      <c r="R86" s="6"/>
      <c r="S86" s="6"/>
      <c r="T86" s="6"/>
      <c r="U86" s="6"/>
      <c r="V86" s="7"/>
      <c r="W86" s="7"/>
      <c r="X86" s="6"/>
      <c r="Y86" s="6"/>
      <c r="Z86" s="6"/>
      <c r="AA86" s="1"/>
      <c r="AB86" s="12"/>
      <c r="AC86" s="12"/>
      <c r="AD86" s="12"/>
      <c r="AE86" s="12"/>
      <c r="AF86" s="12"/>
      <c r="AG86" s="12"/>
      <c r="AH86" s="12"/>
      <c r="AI86" s="6"/>
      <c r="AJ86" s="12"/>
      <c r="AK86" s="12"/>
      <c r="AL86" s="12"/>
      <c r="AM86" s="12"/>
      <c r="AN86" s="1"/>
      <c r="AO86" s="6"/>
    </row>
    <row r="87" spans="1:41" ht="15" x14ac:dyDescent="0.25">
      <c r="A87" s="1"/>
      <c r="B87" s="1"/>
      <c r="C87" s="1"/>
      <c r="D87" s="1"/>
      <c r="E87" s="6"/>
      <c r="F87" s="1"/>
      <c r="G87" s="6"/>
      <c r="H87" s="6"/>
      <c r="I87" s="6"/>
      <c r="J87" s="6"/>
      <c r="K87" s="6"/>
      <c r="L87" s="6"/>
      <c r="M87" s="6"/>
      <c r="N87" s="6"/>
      <c r="O87" s="7"/>
      <c r="P87" s="6"/>
      <c r="Q87" s="6"/>
      <c r="R87" s="7"/>
      <c r="S87" s="6"/>
      <c r="T87" s="6"/>
      <c r="U87" s="15"/>
      <c r="V87" s="6"/>
      <c r="W87" s="6"/>
      <c r="X87" s="6"/>
      <c r="Y87" s="6"/>
      <c r="Z87" s="6"/>
      <c r="AA87" s="7"/>
      <c r="AB87" s="6"/>
      <c r="AC87" s="6"/>
      <c r="AD87" s="6"/>
      <c r="AE87" s="12"/>
      <c r="AF87" s="12"/>
      <c r="AG87" s="12"/>
      <c r="AH87" s="12"/>
      <c r="AI87" s="6"/>
      <c r="AJ87" s="12"/>
      <c r="AK87" s="1"/>
      <c r="AL87" s="12"/>
      <c r="AM87" s="12"/>
      <c r="AN87" s="1"/>
      <c r="AO87" s="6"/>
    </row>
    <row r="88" spans="1:41" ht="15" x14ac:dyDescent="0.25">
      <c r="A88" s="1"/>
      <c r="B88" s="1"/>
      <c r="C88" s="1"/>
      <c r="D88" s="1"/>
      <c r="E88" s="6"/>
      <c r="F88" s="1"/>
      <c r="G88" s="6"/>
      <c r="H88" s="6"/>
      <c r="I88" s="6"/>
      <c r="J88" s="6"/>
      <c r="K88" s="6"/>
      <c r="L88" s="6"/>
      <c r="M88" s="6"/>
      <c r="N88" s="6"/>
      <c r="O88" s="7"/>
      <c r="P88" s="12"/>
      <c r="Q88" s="6"/>
      <c r="R88" s="7"/>
      <c r="S88" s="6"/>
      <c r="T88" s="6"/>
      <c r="U88" s="7"/>
      <c r="V88" s="6"/>
      <c r="W88" s="6"/>
      <c r="X88" s="6"/>
      <c r="Y88" s="6"/>
      <c r="Z88" s="6"/>
      <c r="AA88" s="7"/>
      <c r="AB88" s="6"/>
      <c r="AC88" s="6"/>
      <c r="AD88" s="6"/>
      <c r="AE88" s="12"/>
      <c r="AF88" s="12"/>
      <c r="AG88" s="12"/>
      <c r="AH88" s="12"/>
      <c r="AI88" s="6"/>
      <c r="AJ88" s="12"/>
      <c r="AK88" s="1"/>
      <c r="AL88" s="12"/>
      <c r="AM88" s="12"/>
      <c r="AN88" s="1"/>
      <c r="AO88" s="6"/>
    </row>
    <row r="89" spans="1:41" ht="15" x14ac:dyDescent="0.25">
      <c r="A89" s="1"/>
      <c r="B89" s="1"/>
      <c r="C89" s="1"/>
      <c r="D89" s="1"/>
      <c r="E89" s="6"/>
      <c r="F89" s="1"/>
      <c r="G89" s="6"/>
      <c r="H89" s="6"/>
      <c r="I89" s="6"/>
      <c r="J89" s="6"/>
      <c r="K89" s="6"/>
      <c r="L89" s="6"/>
      <c r="M89" s="6"/>
      <c r="N89" s="6"/>
      <c r="O89" s="7"/>
      <c r="P89" s="12"/>
      <c r="Q89" s="6"/>
      <c r="R89" s="7"/>
      <c r="S89" s="6"/>
      <c r="T89" s="6"/>
      <c r="U89" s="7"/>
      <c r="V89" s="6"/>
      <c r="W89" s="6"/>
      <c r="X89" s="12"/>
      <c r="Y89" s="6"/>
      <c r="Z89" s="6"/>
      <c r="AA89" s="7"/>
      <c r="AB89" s="6"/>
      <c r="AC89" s="6"/>
      <c r="AD89" s="6"/>
      <c r="AE89" s="12"/>
      <c r="AF89" s="12"/>
      <c r="AG89" s="12"/>
      <c r="AH89" s="12"/>
      <c r="AI89" s="6"/>
      <c r="AJ89" s="12"/>
      <c r="AK89" s="24"/>
      <c r="AL89" s="25"/>
      <c r="AM89" s="12"/>
      <c r="AN89" s="1"/>
      <c r="AO89" s="6"/>
    </row>
    <row r="90" spans="1:41" ht="15" x14ac:dyDescent="0.25">
      <c r="A90" s="1"/>
      <c r="B90" s="1"/>
      <c r="C90" s="1"/>
      <c r="D90" s="1"/>
      <c r="E90" s="6"/>
      <c r="F90" s="1"/>
      <c r="G90" s="6"/>
      <c r="H90" s="6"/>
      <c r="I90" s="6"/>
      <c r="J90" s="6"/>
      <c r="K90" s="6"/>
      <c r="L90" s="6"/>
      <c r="M90" s="6"/>
      <c r="N90" s="6"/>
      <c r="O90" s="7"/>
      <c r="P90" s="12"/>
      <c r="Q90" s="6"/>
      <c r="R90" s="7"/>
      <c r="S90" s="6"/>
      <c r="T90" s="6"/>
      <c r="U90" s="7"/>
      <c r="V90" s="6"/>
      <c r="W90" s="6"/>
      <c r="X90" s="6"/>
      <c r="Y90" s="6"/>
      <c r="Z90" s="6"/>
      <c r="AA90" s="7"/>
      <c r="AB90" s="6"/>
      <c r="AC90" s="6"/>
      <c r="AD90" s="6"/>
      <c r="AE90" s="12"/>
      <c r="AF90" s="6"/>
      <c r="AG90" s="12"/>
      <c r="AH90" s="6"/>
      <c r="AI90" s="6"/>
      <c r="AJ90" s="12"/>
      <c r="AK90" s="24"/>
      <c r="AL90" s="25"/>
      <c r="AM90" s="12"/>
      <c r="AN90" s="1"/>
      <c r="AO90" s="6"/>
    </row>
    <row r="91" spans="1:41" ht="15" x14ac:dyDescent="0.25">
      <c r="A91" s="1"/>
      <c r="B91" s="1"/>
      <c r="C91" s="1"/>
      <c r="D91" s="1"/>
      <c r="E91" s="6"/>
      <c r="F91" s="1"/>
      <c r="G91" s="6"/>
      <c r="H91" s="6"/>
      <c r="I91" s="6"/>
      <c r="J91" s="6"/>
      <c r="K91" s="6"/>
      <c r="L91" s="6"/>
      <c r="M91" s="6"/>
      <c r="N91" s="6"/>
      <c r="O91" s="7"/>
      <c r="P91" s="6"/>
      <c r="Q91" s="6"/>
      <c r="R91" s="7"/>
      <c r="S91" s="6"/>
      <c r="T91" s="6"/>
      <c r="U91" s="7"/>
      <c r="V91" s="6"/>
      <c r="W91" s="6"/>
      <c r="X91" s="12"/>
      <c r="Y91" s="6"/>
      <c r="Z91" s="6"/>
      <c r="AA91" s="7"/>
      <c r="AB91" s="6"/>
      <c r="AC91" s="6"/>
      <c r="AD91" s="6"/>
      <c r="AE91" s="12"/>
      <c r="AF91" s="12"/>
      <c r="AG91" s="12"/>
      <c r="AH91" s="12"/>
      <c r="AI91" s="6"/>
      <c r="AJ91" s="12"/>
      <c r="AK91" s="1"/>
      <c r="AL91" s="12"/>
      <c r="AM91" s="12"/>
      <c r="AN91" s="1"/>
      <c r="AO91" s="6"/>
    </row>
    <row r="92" spans="1:41" ht="15" x14ac:dyDescent="0.25">
      <c r="A92" s="1"/>
      <c r="B92" s="1"/>
      <c r="C92" s="1"/>
      <c r="D92" s="1"/>
      <c r="E92" s="6"/>
      <c r="F92" s="1"/>
      <c r="G92" s="6"/>
      <c r="H92" s="6"/>
      <c r="I92" s="6"/>
      <c r="J92" s="6"/>
      <c r="K92" s="6"/>
      <c r="L92" s="6"/>
      <c r="M92" s="6"/>
      <c r="N92" s="6"/>
      <c r="O92" s="7"/>
      <c r="P92" s="6"/>
      <c r="Q92" s="6"/>
      <c r="R92" s="7"/>
      <c r="S92" s="6"/>
      <c r="T92" s="6"/>
      <c r="U92" s="7"/>
      <c r="V92" s="6"/>
      <c r="W92" s="6"/>
      <c r="X92" s="6"/>
      <c r="Y92" s="6"/>
      <c r="Z92" s="6"/>
      <c r="AA92" s="7"/>
      <c r="AB92" s="6"/>
      <c r="AC92" s="6"/>
      <c r="AD92" s="6"/>
      <c r="AE92" s="12"/>
      <c r="AF92" s="12"/>
      <c r="AG92" s="12"/>
      <c r="AH92" s="12"/>
      <c r="AI92" s="6"/>
      <c r="AJ92" s="12"/>
      <c r="AK92" s="1"/>
      <c r="AL92" s="12"/>
      <c r="AM92" s="12"/>
      <c r="AN92" s="1"/>
      <c r="AO92" s="6"/>
    </row>
    <row r="93" spans="1:41" ht="15" x14ac:dyDescent="0.25">
      <c r="A93" s="1"/>
      <c r="B93" s="1"/>
      <c r="C93" s="1"/>
      <c r="D93" s="1"/>
      <c r="E93" s="6"/>
      <c r="F93" s="1"/>
      <c r="G93" s="6"/>
      <c r="H93" s="6"/>
      <c r="I93" s="6"/>
      <c r="J93" s="6"/>
      <c r="K93" s="6"/>
      <c r="L93" s="6"/>
      <c r="M93" s="6"/>
      <c r="N93" s="6"/>
      <c r="O93" s="7"/>
      <c r="P93" s="6"/>
      <c r="Q93" s="7"/>
      <c r="R93" s="6"/>
      <c r="S93" s="6"/>
      <c r="T93" s="6"/>
      <c r="U93" s="6"/>
      <c r="V93" s="7"/>
      <c r="W93" s="7"/>
      <c r="X93" s="6"/>
      <c r="Y93" s="6"/>
      <c r="Z93" s="6"/>
      <c r="AA93" s="1"/>
      <c r="AB93" s="12"/>
      <c r="AC93" s="12"/>
      <c r="AD93" s="12"/>
      <c r="AE93" s="12"/>
      <c r="AF93" s="12"/>
      <c r="AG93" s="12"/>
      <c r="AH93" s="12"/>
      <c r="AI93" s="6"/>
      <c r="AJ93" s="12"/>
      <c r="AK93" s="12"/>
      <c r="AL93" s="12"/>
      <c r="AM93" s="12"/>
      <c r="AN93" s="1"/>
      <c r="AO93" s="6"/>
    </row>
    <row r="94" spans="1:41" ht="15" x14ac:dyDescent="0.25">
      <c r="A94" s="1"/>
      <c r="B94" s="1"/>
      <c r="C94" s="1"/>
      <c r="D94" s="1"/>
      <c r="E94" s="6"/>
      <c r="F94" s="1"/>
      <c r="G94" s="6"/>
      <c r="H94" s="6"/>
      <c r="I94" s="6"/>
      <c r="J94" s="6"/>
      <c r="K94" s="6"/>
      <c r="L94" s="6"/>
      <c r="M94" s="6"/>
      <c r="N94" s="6"/>
      <c r="O94" s="7"/>
      <c r="P94" s="12"/>
      <c r="Q94" s="6"/>
      <c r="R94" s="7"/>
      <c r="S94" s="6"/>
      <c r="T94" s="6"/>
      <c r="U94" s="7"/>
      <c r="V94" s="6"/>
      <c r="W94" s="6"/>
      <c r="X94" s="6"/>
      <c r="Y94" s="6"/>
      <c r="Z94" s="6"/>
      <c r="AA94" s="7"/>
      <c r="AB94" s="6"/>
      <c r="AC94" s="6"/>
      <c r="AD94" s="6"/>
      <c r="AE94" s="12"/>
      <c r="AF94" s="12"/>
      <c r="AG94" s="12"/>
      <c r="AH94" s="12"/>
      <c r="AI94" s="6"/>
      <c r="AJ94" s="12"/>
      <c r="AK94" s="1"/>
      <c r="AL94" s="12"/>
      <c r="AM94" s="12"/>
      <c r="AN94" s="1"/>
      <c r="AO94" s="6"/>
    </row>
    <row r="95" spans="1:41" ht="15" x14ac:dyDescent="0.25">
      <c r="A95" s="1"/>
      <c r="B95" s="1"/>
      <c r="C95" s="1"/>
      <c r="D95" s="1"/>
      <c r="E95" s="6"/>
      <c r="F95" s="1"/>
      <c r="G95" s="6"/>
      <c r="H95" s="6"/>
      <c r="I95" s="6"/>
      <c r="J95" s="6"/>
      <c r="K95" s="6"/>
      <c r="L95" s="6"/>
      <c r="M95" s="6"/>
      <c r="N95" s="6"/>
      <c r="O95" s="7"/>
      <c r="P95" s="6"/>
      <c r="Q95" s="7"/>
      <c r="R95" s="6"/>
      <c r="S95" s="6"/>
      <c r="T95" s="6"/>
      <c r="U95" s="6"/>
      <c r="V95" s="7"/>
      <c r="W95" s="6"/>
      <c r="X95" s="6"/>
      <c r="Y95" s="6"/>
      <c r="Z95" s="6"/>
      <c r="AA95" s="24"/>
      <c r="AB95" s="25"/>
      <c r="AC95" s="12"/>
      <c r="AD95" s="12"/>
      <c r="AE95" s="12"/>
      <c r="AF95" s="6"/>
      <c r="AG95" s="12"/>
      <c r="AH95" s="6"/>
      <c r="AI95" s="6"/>
      <c r="AJ95" s="12"/>
      <c r="AK95" s="12"/>
      <c r="AL95" s="12"/>
      <c r="AM95" s="12"/>
      <c r="AN95" s="1"/>
      <c r="AO95" s="6"/>
    </row>
    <row r="96" spans="1:41" ht="15" x14ac:dyDescent="0.25">
      <c r="A96" s="1"/>
      <c r="B96" s="1"/>
      <c r="C96" s="1"/>
      <c r="D96" s="1"/>
      <c r="E96" s="6"/>
      <c r="F96" s="1"/>
      <c r="G96" s="6"/>
      <c r="H96" s="6"/>
      <c r="I96" s="6"/>
      <c r="J96" s="6"/>
      <c r="K96" s="6"/>
      <c r="L96" s="6"/>
      <c r="M96" s="6"/>
      <c r="N96" s="6"/>
      <c r="O96" s="7"/>
      <c r="P96" s="6"/>
      <c r="Q96" s="6"/>
      <c r="R96" s="7"/>
      <c r="S96" s="6"/>
      <c r="T96" s="6"/>
      <c r="U96" s="7"/>
      <c r="V96" s="6"/>
      <c r="W96" s="6"/>
      <c r="X96" s="12"/>
      <c r="Y96" s="6"/>
      <c r="Z96" s="6"/>
      <c r="AA96" s="7"/>
      <c r="AB96" s="6"/>
      <c r="AC96" s="6"/>
      <c r="AD96" s="6"/>
      <c r="AE96" s="12"/>
      <c r="AF96" s="6"/>
      <c r="AG96" s="12"/>
      <c r="AH96" s="6"/>
      <c r="AI96" s="6"/>
      <c r="AJ96" s="12"/>
      <c r="AK96" s="1"/>
      <c r="AL96" s="12"/>
      <c r="AM96" s="12"/>
      <c r="AN96" s="1"/>
      <c r="AO96" s="6"/>
    </row>
    <row r="97" spans="1:41" ht="15" x14ac:dyDescent="0.25">
      <c r="A97" s="1"/>
      <c r="B97" s="1"/>
      <c r="C97" s="1"/>
      <c r="D97" s="1"/>
      <c r="E97" s="6"/>
      <c r="F97" s="1"/>
      <c r="G97" s="6"/>
      <c r="H97" s="6"/>
      <c r="I97" s="6"/>
      <c r="J97" s="6"/>
      <c r="K97" s="6"/>
      <c r="L97" s="6"/>
      <c r="M97" s="6"/>
      <c r="N97" s="6"/>
      <c r="O97" s="7"/>
      <c r="P97" s="6"/>
      <c r="Q97" s="7"/>
      <c r="R97" s="6"/>
      <c r="S97" s="6"/>
      <c r="T97" s="6"/>
      <c r="U97" s="6"/>
      <c r="V97" s="7"/>
      <c r="W97" s="6"/>
      <c r="X97" s="6"/>
      <c r="Y97" s="6"/>
      <c r="Z97" s="6"/>
      <c r="AA97" s="24"/>
      <c r="AB97" s="25"/>
      <c r="AC97" s="12"/>
      <c r="AD97" s="12"/>
      <c r="AE97" s="12"/>
      <c r="AF97" s="6"/>
      <c r="AG97" s="12"/>
      <c r="AH97" s="6"/>
      <c r="AI97" s="6"/>
      <c r="AJ97" s="12"/>
      <c r="AK97" s="12"/>
      <c r="AL97" s="12"/>
      <c r="AM97" s="12"/>
      <c r="AN97" s="1"/>
      <c r="AO97" s="6"/>
    </row>
    <row r="98" spans="1:41" ht="15" x14ac:dyDescent="0.25">
      <c r="A98" s="1"/>
      <c r="B98" s="1"/>
      <c r="C98" s="1"/>
      <c r="D98" s="1"/>
      <c r="E98" s="6"/>
      <c r="F98" s="1"/>
      <c r="G98" s="6"/>
      <c r="H98" s="6"/>
      <c r="I98" s="6"/>
      <c r="J98" s="6"/>
      <c r="K98" s="6"/>
      <c r="L98" s="6"/>
      <c r="M98" s="6"/>
      <c r="N98" s="6"/>
      <c r="O98" s="7"/>
      <c r="P98" s="6"/>
      <c r="Q98" s="6"/>
      <c r="R98" s="7"/>
      <c r="S98" s="6"/>
      <c r="T98" s="6"/>
      <c r="U98" s="7"/>
      <c r="V98" s="6"/>
      <c r="W98" s="6"/>
      <c r="X98" s="6"/>
      <c r="Y98" s="6"/>
      <c r="Z98" s="6"/>
      <c r="AA98" s="7"/>
      <c r="AB98" s="6"/>
      <c r="AC98" s="6"/>
      <c r="AD98" s="6"/>
      <c r="AE98" s="12"/>
      <c r="AF98" s="6"/>
      <c r="AG98" s="12"/>
      <c r="AH98" s="6"/>
      <c r="AI98" s="6"/>
      <c r="AJ98" s="12"/>
      <c r="AK98" s="1"/>
      <c r="AL98" s="12"/>
      <c r="AM98" s="12"/>
      <c r="AN98" s="1"/>
      <c r="AO98" s="6"/>
    </row>
    <row r="99" spans="1:41" ht="15" x14ac:dyDescent="0.25">
      <c r="A99" s="1"/>
      <c r="B99" s="1"/>
      <c r="C99" s="1"/>
      <c r="D99" s="1"/>
      <c r="E99" s="6"/>
      <c r="F99" s="1"/>
      <c r="G99" s="6"/>
      <c r="H99" s="6"/>
      <c r="I99" s="6"/>
      <c r="J99" s="6"/>
      <c r="K99" s="6"/>
      <c r="L99" s="6"/>
      <c r="M99" s="6"/>
      <c r="N99" s="6"/>
      <c r="O99" s="7"/>
      <c r="P99" s="6"/>
      <c r="Q99" s="7"/>
      <c r="R99" s="6"/>
      <c r="S99" s="12"/>
      <c r="T99" s="6"/>
      <c r="U99" s="6"/>
      <c r="V99" s="7"/>
      <c r="W99" s="6"/>
      <c r="X99" s="6"/>
      <c r="Y99" s="6"/>
      <c r="Z99" s="6"/>
      <c r="AA99" s="24"/>
      <c r="AB99" s="25"/>
      <c r="AC99" s="12"/>
      <c r="AD99" s="12"/>
      <c r="AE99" s="12"/>
      <c r="AF99" s="6"/>
      <c r="AG99" s="12"/>
      <c r="AH99" s="6"/>
      <c r="AI99" s="6"/>
      <c r="AJ99" s="12"/>
      <c r="AK99" s="12"/>
      <c r="AL99" s="12"/>
      <c r="AM99" s="12"/>
      <c r="AN99" s="1"/>
      <c r="AO99" s="6"/>
    </row>
    <row r="100" spans="1:41" ht="15" x14ac:dyDescent="0.25">
      <c r="A100" s="1"/>
      <c r="B100" s="1"/>
      <c r="C100" s="1"/>
      <c r="D100" s="1"/>
      <c r="E100" s="6"/>
      <c r="F100" s="1"/>
      <c r="G100" s="6"/>
      <c r="H100" s="6"/>
      <c r="I100" s="6"/>
      <c r="J100" s="6"/>
      <c r="K100" s="12"/>
      <c r="L100" s="12"/>
      <c r="M100" s="6"/>
      <c r="N100" s="6"/>
      <c r="O100" s="7"/>
      <c r="P100" s="6"/>
      <c r="Q100" s="6"/>
      <c r="R100" s="7"/>
      <c r="S100" s="6"/>
      <c r="T100" s="6"/>
      <c r="U100" s="7"/>
      <c r="V100" s="6"/>
      <c r="W100" s="6"/>
      <c r="X100" s="12"/>
      <c r="Y100" s="6"/>
      <c r="Z100" s="6"/>
      <c r="AA100" s="7"/>
      <c r="AB100" s="6"/>
      <c r="AC100" s="6"/>
      <c r="AD100" s="6"/>
      <c r="AE100" s="12"/>
      <c r="AF100" s="12"/>
      <c r="AG100" s="12"/>
      <c r="AH100" s="12"/>
      <c r="AI100" s="6"/>
      <c r="AJ100" s="12"/>
      <c r="AK100" s="1"/>
      <c r="AL100" s="12"/>
      <c r="AM100" s="12"/>
      <c r="AN100" s="1"/>
      <c r="AO100" s="6"/>
    </row>
    <row r="101" spans="1:41" ht="15" x14ac:dyDescent="0.25">
      <c r="A101" s="1"/>
      <c r="B101" s="1"/>
      <c r="C101" s="1"/>
      <c r="D101" s="1"/>
      <c r="E101" s="6"/>
      <c r="F101" s="1"/>
      <c r="G101" s="6"/>
      <c r="H101" s="6"/>
      <c r="I101" s="6"/>
      <c r="J101" s="6"/>
      <c r="K101" s="6"/>
      <c r="L101" s="6"/>
      <c r="M101" s="6"/>
      <c r="N101" s="6"/>
      <c r="O101" s="7"/>
      <c r="P101" s="6"/>
      <c r="Q101" s="6"/>
      <c r="R101" s="7"/>
      <c r="S101" s="6"/>
      <c r="T101" s="6"/>
      <c r="U101" s="7"/>
      <c r="V101" s="6"/>
      <c r="W101" s="6"/>
      <c r="X101" s="12"/>
      <c r="Y101" s="6"/>
      <c r="Z101" s="6"/>
      <c r="AA101" s="7"/>
      <c r="AB101" s="6"/>
      <c r="AC101" s="6"/>
      <c r="AD101" s="6"/>
      <c r="AE101" s="12"/>
      <c r="AF101" s="12"/>
      <c r="AG101" s="12"/>
      <c r="AH101" s="12"/>
      <c r="AI101" s="6"/>
      <c r="AJ101" s="12"/>
      <c r="AK101" s="1"/>
      <c r="AL101" s="12"/>
      <c r="AM101" s="12"/>
      <c r="AN101" s="1"/>
      <c r="AO101" s="6"/>
    </row>
    <row r="102" spans="1:41" ht="15" x14ac:dyDescent="0.25">
      <c r="A102" s="1"/>
      <c r="B102" s="1"/>
      <c r="C102" s="1"/>
      <c r="D102" s="1"/>
      <c r="E102" s="6"/>
      <c r="F102" s="1"/>
      <c r="G102" s="6"/>
      <c r="H102" s="6"/>
      <c r="I102" s="6"/>
      <c r="J102" s="6"/>
      <c r="K102" s="6"/>
      <c r="L102" s="6"/>
      <c r="M102" s="6"/>
      <c r="N102" s="6"/>
      <c r="O102" s="7"/>
      <c r="P102" s="6"/>
      <c r="Q102" s="6"/>
      <c r="R102" s="7"/>
      <c r="S102" s="6"/>
      <c r="T102" s="6"/>
      <c r="U102" s="7"/>
      <c r="V102" s="6"/>
      <c r="W102" s="6"/>
      <c r="X102" s="6"/>
      <c r="Y102" s="6"/>
      <c r="Z102" s="6"/>
      <c r="AA102" s="7"/>
      <c r="AB102" s="6"/>
      <c r="AC102" s="6"/>
      <c r="AD102" s="6"/>
      <c r="AE102" s="12"/>
      <c r="AF102" s="12"/>
      <c r="AG102" s="12"/>
      <c r="AH102" s="12"/>
      <c r="AI102" s="6"/>
      <c r="AJ102" s="12"/>
      <c r="AK102" s="1"/>
      <c r="AL102" s="12"/>
      <c r="AM102" s="12"/>
      <c r="AN102" s="1"/>
      <c r="AO102" s="6"/>
    </row>
    <row r="103" spans="1:41" ht="15" x14ac:dyDescent="0.25">
      <c r="A103" s="1"/>
      <c r="B103" s="1"/>
      <c r="C103" s="1"/>
      <c r="D103" s="1"/>
      <c r="E103" s="6"/>
      <c r="F103" s="1"/>
      <c r="G103" s="6"/>
      <c r="H103" s="6"/>
      <c r="I103" s="6"/>
      <c r="J103" s="6"/>
      <c r="K103" s="12"/>
      <c r="L103" s="12"/>
      <c r="M103" s="6"/>
      <c r="N103" s="6"/>
      <c r="O103" s="7"/>
      <c r="P103" s="6"/>
      <c r="Q103" s="6"/>
      <c r="R103" s="12"/>
      <c r="S103" s="12"/>
      <c r="T103" s="12"/>
      <c r="U103" s="7"/>
      <c r="V103" s="6"/>
      <c r="W103" s="6"/>
      <c r="X103" s="12"/>
      <c r="Y103" s="6"/>
      <c r="Z103" s="6"/>
      <c r="AA103" s="7"/>
      <c r="AB103" s="6"/>
      <c r="AC103" s="6"/>
      <c r="AD103" s="6"/>
      <c r="AE103" s="12"/>
      <c r="AF103" s="12"/>
      <c r="AG103" s="12"/>
      <c r="AH103" s="12"/>
      <c r="AI103" s="6"/>
      <c r="AJ103" s="12"/>
      <c r="AK103" s="1"/>
      <c r="AL103" s="12"/>
      <c r="AM103" s="12"/>
      <c r="AN103" s="1"/>
      <c r="AO103" s="6"/>
    </row>
    <row r="104" spans="1:41" ht="15" x14ac:dyDescent="0.25">
      <c r="A104" s="1"/>
      <c r="B104" s="1"/>
      <c r="C104" s="1"/>
      <c r="D104" s="1"/>
      <c r="E104" s="6"/>
      <c r="F104" s="1"/>
      <c r="G104" s="6"/>
      <c r="H104" s="6"/>
      <c r="I104" s="6"/>
      <c r="J104" s="6"/>
      <c r="K104" s="6"/>
      <c r="L104" s="6"/>
      <c r="M104" s="6"/>
      <c r="N104" s="6"/>
      <c r="O104" s="7"/>
      <c r="P104" s="6"/>
      <c r="Q104" s="6"/>
      <c r="R104" s="7"/>
      <c r="S104" s="6"/>
      <c r="T104" s="6"/>
      <c r="U104" s="7"/>
      <c r="V104" s="6"/>
      <c r="W104" s="6"/>
      <c r="X104" s="6"/>
      <c r="Y104" s="6"/>
      <c r="Z104" s="6"/>
      <c r="AA104" s="7"/>
      <c r="AB104" s="6"/>
      <c r="AC104" s="6"/>
      <c r="AD104" s="6"/>
      <c r="AE104" s="12"/>
      <c r="AF104" s="6"/>
      <c r="AG104" s="12"/>
      <c r="AH104" s="6"/>
      <c r="AI104" s="6"/>
      <c r="AJ104" s="12"/>
      <c r="AK104" s="1"/>
      <c r="AL104" s="12"/>
      <c r="AM104" s="12"/>
      <c r="AN104" s="1"/>
      <c r="AO104" s="6"/>
    </row>
    <row r="105" spans="1:41" ht="15" x14ac:dyDescent="0.25">
      <c r="A105" s="1"/>
      <c r="B105" s="1"/>
      <c r="C105" s="1"/>
      <c r="D105" s="1"/>
      <c r="E105" s="6"/>
      <c r="F105" s="1"/>
      <c r="G105" s="6"/>
      <c r="H105" s="6"/>
      <c r="I105" s="6"/>
      <c r="J105" s="6"/>
      <c r="K105" s="6"/>
      <c r="L105" s="6"/>
      <c r="M105" s="6"/>
      <c r="N105" s="6"/>
      <c r="O105" s="7"/>
      <c r="P105" s="12"/>
      <c r="Q105" s="6"/>
      <c r="R105" s="7"/>
      <c r="S105" s="6"/>
      <c r="T105" s="6"/>
      <c r="U105" s="7"/>
      <c r="V105" s="6"/>
      <c r="W105" s="6"/>
      <c r="X105" s="12"/>
      <c r="Y105" s="6"/>
      <c r="Z105" s="6"/>
      <c r="AA105" s="7"/>
      <c r="AB105" s="6"/>
      <c r="AC105" s="6"/>
      <c r="AD105" s="6"/>
      <c r="AE105" s="12"/>
      <c r="AF105" s="12"/>
      <c r="AG105" s="12"/>
      <c r="AH105" s="12"/>
      <c r="AI105" s="6"/>
      <c r="AJ105" s="12"/>
      <c r="AK105" s="1"/>
      <c r="AL105" s="12"/>
      <c r="AM105" s="12"/>
      <c r="AN105" s="1"/>
      <c r="AO105" s="6"/>
    </row>
    <row r="106" spans="1:41" ht="15" x14ac:dyDescent="0.25">
      <c r="A106" s="1"/>
      <c r="B106" s="1"/>
      <c r="C106" s="1"/>
      <c r="D106" s="1"/>
      <c r="E106" s="6"/>
      <c r="F106" s="1"/>
      <c r="G106" s="6"/>
      <c r="H106" s="6"/>
      <c r="I106" s="6"/>
      <c r="J106" s="6"/>
      <c r="K106" s="6"/>
      <c r="L106" s="6"/>
      <c r="M106" s="6"/>
      <c r="N106" s="6"/>
      <c r="O106" s="7"/>
      <c r="P106" s="6"/>
      <c r="Q106" s="6"/>
      <c r="R106" s="15"/>
      <c r="S106" s="6"/>
      <c r="T106" s="6"/>
      <c r="U106" s="15"/>
      <c r="V106" s="6"/>
      <c r="W106" s="6"/>
      <c r="X106" s="6"/>
      <c r="Y106" s="12"/>
      <c r="Z106" s="6"/>
      <c r="AA106" s="7"/>
      <c r="AB106" s="6"/>
      <c r="AC106" s="6"/>
      <c r="AD106" s="6"/>
      <c r="AE106" s="12"/>
      <c r="AF106" s="6"/>
      <c r="AG106" s="12"/>
      <c r="AH106" s="6"/>
      <c r="AI106" s="6"/>
      <c r="AJ106" s="12"/>
      <c r="AK106" s="24"/>
      <c r="AL106" s="25"/>
      <c r="AM106" s="12"/>
      <c r="AN106" s="1"/>
      <c r="AO106" s="6"/>
    </row>
    <row r="107" spans="1:41" ht="15" x14ac:dyDescent="0.25">
      <c r="A107" s="1"/>
      <c r="B107" s="1"/>
      <c r="C107" s="1"/>
      <c r="D107" s="1"/>
      <c r="E107" s="6"/>
      <c r="F107" s="1"/>
      <c r="G107" s="6"/>
      <c r="H107" s="6"/>
      <c r="I107" s="6"/>
      <c r="J107" s="6"/>
      <c r="K107" s="6"/>
      <c r="L107" s="6"/>
      <c r="M107" s="6"/>
      <c r="N107" s="6"/>
      <c r="O107" s="7"/>
      <c r="P107" s="6"/>
      <c r="Q107" s="6"/>
      <c r="R107" s="7"/>
      <c r="S107" s="6"/>
      <c r="T107" s="6"/>
      <c r="U107" s="7"/>
      <c r="V107" s="6"/>
      <c r="W107" s="6"/>
      <c r="X107" s="6"/>
      <c r="Y107" s="6"/>
      <c r="Z107" s="6"/>
      <c r="AA107" s="7"/>
      <c r="AB107" s="6"/>
      <c r="AC107" s="6"/>
      <c r="AD107" s="6"/>
      <c r="AE107" s="12"/>
      <c r="AF107" s="6"/>
      <c r="AG107" s="12"/>
      <c r="AH107" s="6"/>
      <c r="AI107" s="6"/>
      <c r="AJ107" s="12"/>
      <c r="AK107" s="24"/>
      <c r="AL107" s="25"/>
      <c r="AM107" s="12"/>
      <c r="AN107" s="1"/>
      <c r="AO107" s="6"/>
    </row>
    <row r="108" spans="1:41" ht="15" x14ac:dyDescent="0.25">
      <c r="A108" s="1"/>
      <c r="B108" s="1"/>
      <c r="C108" s="1"/>
      <c r="D108" s="1"/>
      <c r="E108" s="6"/>
      <c r="F108" s="1"/>
      <c r="G108" s="6"/>
      <c r="H108" s="6"/>
      <c r="I108" s="6"/>
      <c r="J108" s="6"/>
      <c r="K108" s="6"/>
      <c r="L108" s="6"/>
      <c r="M108" s="6"/>
      <c r="N108" s="6"/>
      <c r="O108" s="7"/>
      <c r="P108" s="6"/>
      <c r="Q108" s="6"/>
      <c r="R108" s="12"/>
      <c r="S108" s="12"/>
      <c r="T108" s="12"/>
      <c r="U108" s="7"/>
      <c r="V108" s="6"/>
      <c r="W108" s="6"/>
      <c r="X108" s="12"/>
      <c r="Y108" s="6"/>
      <c r="Z108" s="6"/>
      <c r="AA108" s="7"/>
      <c r="AB108" s="6"/>
      <c r="AC108" s="6"/>
      <c r="AD108" s="6"/>
      <c r="AE108" s="12"/>
      <c r="AF108" s="12"/>
      <c r="AG108" s="12"/>
      <c r="AH108" s="12"/>
      <c r="AI108" s="6"/>
      <c r="AJ108" s="12"/>
      <c r="AK108" s="1"/>
      <c r="AL108" s="12"/>
      <c r="AM108" s="12"/>
      <c r="AN108" s="1"/>
      <c r="AO108" s="6"/>
    </row>
    <row r="109" spans="1:41" ht="15" x14ac:dyDescent="0.25">
      <c r="A109" s="1"/>
      <c r="B109" s="1"/>
      <c r="C109" s="1"/>
      <c r="D109" s="1"/>
      <c r="E109" s="6"/>
      <c r="F109" s="1"/>
      <c r="G109" s="6"/>
      <c r="H109" s="6"/>
      <c r="I109" s="6"/>
      <c r="J109" s="6"/>
      <c r="K109" s="6"/>
      <c r="L109" s="6"/>
      <c r="M109" s="6"/>
      <c r="N109" s="6"/>
      <c r="O109" s="7"/>
      <c r="P109" s="6"/>
      <c r="Q109" s="6"/>
      <c r="R109" s="7"/>
      <c r="S109" s="6"/>
      <c r="T109" s="6"/>
      <c r="U109" s="7"/>
      <c r="V109" s="6"/>
      <c r="W109" s="6"/>
      <c r="X109" s="12"/>
      <c r="Y109" s="6"/>
      <c r="Z109" s="6"/>
      <c r="AA109" s="7"/>
      <c r="AB109" s="6"/>
      <c r="AC109" s="6"/>
      <c r="AD109" s="6"/>
      <c r="AE109" s="12"/>
      <c r="AF109" s="12"/>
      <c r="AG109" s="12"/>
      <c r="AH109" s="12"/>
      <c r="AI109" s="6"/>
      <c r="AJ109" s="12"/>
      <c r="AK109" s="1"/>
      <c r="AL109" s="12"/>
      <c r="AM109" s="12"/>
      <c r="AN109" s="1"/>
      <c r="AO109" s="6"/>
    </row>
    <row r="110" spans="1:41" ht="15" x14ac:dyDescent="0.25">
      <c r="A110" s="1"/>
      <c r="B110" s="1"/>
      <c r="C110" s="1"/>
      <c r="D110" s="1"/>
      <c r="E110" s="6"/>
      <c r="F110" s="1"/>
      <c r="G110" s="6"/>
      <c r="H110" s="6"/>
      <c r="I110" s="6"/>
      <c r="J110" s="6"/>
      <c r="K110" s="6"/>
      <c r="L110" s="6"/>
      <c r="M110" s="6"/>
      <c r="N110" s="6"/>
      <c r="O110" s="7"/>
      <c r="P110" s="6"/>
      <c r="Q110" s="6"/>
      <c r="R110" s="7"/>
      <c r="S110" s="6"/>
      <c r="T110" s="6"/>
      <c r="U110" s="7"/>
      <c r="V110" s="6"/>
      <c r="W110" s="6"/>
      <c r="X110" s="6"/>
      <c r="Y110" s="6"/>
      <c r="Z110" s="6"/>
      <c r="AA110" s="7"/>
      <c r="AB110" s="6"/>
      <c r="AC110" s="6"/>
      <c r="AD110" s="6"/>
      <c r="AE110" s="12"/>
      <c r="AF110" s="12"/>
      <c r="AG110" s="12"/>
      <c r="AH110" s="12"/>
      <c r="AI110" s="6"/>
      <c r="AJ110" s="12"/>
      <c r="AK110" s="1"/>
      <c r="AL110" s="12"/>
      <c r="AM110" s="12"/>
      <c r="AN110" s="1"/>
      <c r="AO110" s="6"/>
    </row>
    <row r="111" spans="1:41" ht="15" x14ac:dyDescent="0.25">
      <c r="A111" s="1"/>
      <c r="B111" s="1"/>
      <c r="C111" s="1"/>
      <c r="D111" s="1"/>
      <c r="E111" s="6"/>
      <c r="F111" s="1"/>
      <c r="G111" s="6"/>
      <c r="H111" s="6"/>
      <c r="I111" s="6"/>
      <c r="J111" s="6"/>
      <c r="K111" s="6"/>
      <c r="L111" s="6"/>
      <c r="M111" s="6"/>
      <c r="N111" s="6"/>
      <c r="O111" s="7"/>
      <c r="P111" s="6"/>
      <c r="Q111" s="6"/>
      <c r="R111" s="7"/>
      <c r="S111" s="6"/>
      <c r="T111" s="6"/>
      <c r="U111" s="7"/>
      <c r="V111" s="6"/>
      <c r="W111" s="6"/>
      <c r="X111" s="12"/>
      <c r="Y111" s="6"/>
      <c r="Z111" s="6"/>
      <c r="AA111" s="7"/>
      <c r="AB111" s="6"/>
      <c r="AC111" s="6"/>
      <c r="AD111" s="6"/>
      <c r="AE111" s="12"/>
      <c r="AF111" s="12"/>
      <c r="AG111" s="12"/>
      <c r="AH111" s="12"/>
      <c r="AI111" s="6"/>
      <c r="AJ111" s="12"/>
      <c r="AK111" s="1"/>
      <c r="AL111" s="12"/>
      <c r="AM111" s="12"/>
      <c r="AN111" s="1"/>
      <c r="AO111" s="6"/>
    </row>
    <row r="112" spans="1:41" ht="15" x14ac:dyDescent="0.25">
      <c r="A112" s="1"/>
      <c r="B112" s="1"/>
      <c r="C112" s="1"/>
      <c r="D112" s="1"/>
      <c r="E112" s="6"/>
      <c r="F112" s="1"/>
      <c r="G112" s="6"/>
      <c r="H112" s="6"/>
      <c r="I112" s="6"/>
      <c r="J112" s="6"/>
      <c r="K112" s="12"/>
      <c r="L112" s="12"/>
      <c r="M112" s="6"/>
      <c r="N112" s="6"/>
      <c r="O112" s="7"/>
      <c r="P112" s="6"/>
      <c r="Q112" s="6"/>
      <c r="R112" s="7"/>
      <c r="S112" s="6"/>
      <c r="T112" s="6"/>
      <c r="U112" s="7"/>
      <c r="V112" s="6"/>
      <c r="W112" s="6"/>
      <c r="X112" s="6"/>
      <c r="Y112" s="6"/>
      <c r="Z112" s="6"/>
      <c r="AA112" s="7"/>
      <c r="AB112" s="6"/>
      <c r="AC112" s="6"/>
      <c r="AD112" s="6"/>
      <c r="AE112" s="12"/>
      <c r="AF112" s="12"/>
      <c r="AG112" s="12"/>
      <c r="AH112" s="12"/>
      <c r="AI112" s="6"/>
      <c r="AJ112" s="12"/>
      <c r="AK112" s="1"/>
      <c r="AL112" s="12"/>
      <c r="AM112" s="12"/>
      <c r="AN112" s="1"/>
      <c r="AO112" s="12"/>
    </row>
    <row r="113" spans="1:41" ht="15" x14ac:dyDescent="0.25">
      <c r="A113" s="1"/>
      <c r="B113" s="1"/>
      <c r="C113" s="1"/>
      <c r="D113" s="1"/>
      <c r="E113" s="6"/>
      <c r="F113" s="1"/>
      <c r="G113" s="6"/>
      <c r="H113" s="6"/>
      <c r="I113" s="6"/>
      <c r="J113" s="6"/>
      <c r="K113" s="6"/>
      <c r="L113" s="6"/>
      <c r="M113" s="6"/>
      <c r="N113" s="6"/>
      <c r="O113" s="7"/>
      <c r="P113" s="6"/>
      <c r="Q113" s="6"/>
      <c r="R113" s="7"/>
      <c r="S113" s="6"/>
      <c r="T113" s="6"/>
      <c r="U113" s="7"/>
      <c r="V113" s="6"/>
      <c r="W113" s="6"/>
      <c r="X113" s="6"/>
      <c r="Y113" s="6"/>
      <c r="Z113" s="6"/>
      <c r="AA113" s="7"/>
      <c r="AB113" s="6"/>
      <c r="AC113" s="6"/>
      <c r="AD113" s="6"/>
      <c r="AE113" s="12"/>
      <c r="AF113" s="6"/>
      <c r="AG113" s="12"/>
      <c r="AH113" s="6"/>
      <c r="AI113" s="6"/>
      <c r="AJ113" s="12"/>
      <c r="AK113" s="24"/>
      <c r="AL113" s="25"/>
      <c r="AM113" s="12"/>
      <c r="AN113" s="1"/>
      <c r="AO113" s="6"/>
    </row>
    <row r="114" spans="1:41" ht="15" x14ac:dyDescent="0.25">
      <c r="A114" s="1"/>
      <c r="B114" s="1"/>
      <c r="C114" s="1"/>
      <c r="D114" s="1"/>
      <c r="E114" s="6"/>
      <c r="F114" s="1"/>
      <c r="G114" s="6"/>
      <c r="H114" s="6"/>
      <c r="I114" s="6"/>
      <c r="J114" s="6"/>
      <c r="K114" s="6"/>
      <c r="L114" s="6"/>
      <c r="M114" s="6"/>
      <c r="N114" s="6"/>
      <c r="O114" s="7"/>
      <c r="P114" s="6"/>
      <c r="Q114" s="6"/>
      <c r="R114" s="7"/>
      <c r="S114" s="6"/>
      <c r="T114" s="6"/>
      <c r="U114" s="7"/>
      <c r="V114" s="6"/>
      <c r="W114" s="6"/>
      <c r="X114" s="6"/>
      <c r="Y114" s="6"/>
      <c r="Z114" s="6"/>
      <c r="AA114" s="7"/>
      <c r="AB114" s="6"/>
      <c r="AC114" s="6"/>
      <c r="AD114" s="6"/>
      <c r="AE114" s="12"/>
      <c r="AF114" s="6"/>
      <c r="AG114" s="12"/>
      <c r="AH114" s="6"/>
      <c r="AI114" s="6"/>
      <c r="AJ114" s="12"/>
      <c r="AK114" s="24"/>
      <c r="AL114" s="25"/>
      <c r="AM114" s="12"/>
      <c r="AN114" s="1"/>
      <c r="AO114" s="6"/>
    </row>
    <row r="115" spans="1:41" ht="15" x14ac:dyDescent="0.25">
      <c r="A115" s="1"/>
      <c r="B115" s="1"/>
      <c r="C115" s="1"/>
      <c r="D115" s="1"/>
      <c r="E115" s="6"/>
      <c r="F115" s="1"/>
      <c r="G115" s="6"/>
      <c r="H115" s="6"/>
      <c r="I115" s="6"/>
      <c r="J115" s="6"/>
      <c r="K115" s="6"/>
      <c r="L115" s="6"/>
      <c r="M115" s="6"/>
      <c r="N115" s="6"/>
      <c r="O115" s="7"/>
      <c r="P115" s="6"/>
      <c r="Q115" s="7"/>
      <c r="R115" s="6"/>
      <c r="S115" s="6"/>
      <c r="T115" s="6"/>
      <c r="U115" s="6"/>
      <c r="V115" s="7"/>
      <c r="W115" s="7"/>
      <c r="X115" s="6"/>
      <c r="Y115" s="6"/>
      <c r="Z115" s="6"/>
      <c r="AA115" s="1"/>
      <c r="AB115" s="12"/>
      <c r="AC115" s="12"/>
      <c r="AD115" s="12"/>
      <c r="AE115" s="12"/>
      <c r="AF115" s="12"/>
      <c r="AG115" s="12"/>
      <c r="AH115" s="12"/>
      <c r="AI115" s="6"/>
      <c r="AJ115" s="12"/>
      <c r="AK115" s="12"/>
      <c r="AL115" s="12"/>
      <c r="AM115" s="12"/>
      <c r="AN115" s="1"/>
      <c r="AO115" s="6"/>
    </row>
    <row r="116" spans="1:41" ht="15" x14ac:dyDescent="0.25">
      <c r="A116" s="1"/>
      <c r="B116" s="1"/>
      <c r="C116" s="1"/>
      <c r="D116" s="1"/>
      <c r="E116" s="6"/>
      <c r="F116" s="1"/>
      <c r="G116" s="6"/>
      <c r="H116" s="6"/>
      <c r="I116" s="6"/>
      <c r="J116" s="6"/>
      <c r="K116" s="6"/>
      <c r="L116" s="6"/>
      <c r="M116" s="6"/>
      <c r="N116" s="6"/>
      <c r="O116" s="7"/>
      <c r="P116" s="6"/>
      <c r="Q116" s="6"/>
      <c r="R116" s="7"/>
      <c r="S116" s="6"/>
      <c r="T116" s="6"/>
      <c r="U116" s="7"/>
      <c r="V116" s="6"/>
      <c r="W116" s="6"/>
      <c r="X116" s="6"/>
      <c r="Y116" s="6"/>
      <c r="Z116" s="6"/>
      <c r="AA116" s="7"/>
      <c r="AB116" s="6"/>
      <c r="AC116" s="6"/>
      <c r="AD116" s="6"/>
      <c r="AE116" s="12"/>
      <c r="AF116" s="6"/>
      <c r="AG116" s="12"/>
      <c r="AH116" s="6"/>
      <c r="AI116" s="6"/>
      <c r="AJ116" s="12"/>
      <c r="AK116" s="24"/>
      <c r="AL116" s="25"/>
      <c r="AM116" s="12"/>
      <c r="AN116" s="1"/>
      <c r="AO116" s="6"/>
    </row>
    <row r="117" spans="1:41" ht="15" x14ac:dyDescent="0.25">
      <c r="A117" s="1"/>
      <c r="B117" s="1"/>
      <c r="C117" s="1"/>
      <c r="D117" s="1"/>
      <c r="E117" s="6"/>
      <c r="F117" s="1"/>
      <c r="G117" s="6"/>
      <c r="H117" s="6"/>
      <c r="I117" s="6"/>
      <c r="J117" s="6"/>
      <c r="K117" s="6"/>
      <c r="L117" s="6"/>
      <c r="M117" s="6"/>
      <c r="N117" s="6"/>
      <c r="O117" s="7"/>
      <c r="P117" s="6"/>
      <c r="Q117" s="6"/>
      <c r="R117" s="7"/>
      <c r="S117" s="6"/>
      <c r="T117" s="6"/>
      <c r="U117" s="7"/>
      <c r="V117" s="6"/>
      <c r="W117" s="6"/>
      <c r="X117" s="12"/>
      <c r="Y117" s="6"/>
      <c r="Z117" s="6"/>
      <c r="AA117" s="7"/>
      <c r="AB117" s="6"/>
      <c r="AC117" s="6"/>
      <c r="AD117" s="6"/>
      <c r="AE117" s="12"/>
      <c r="AF117" s="12"/>
      <c r="AG117" s="12"/>
      <c r="AH117" s="12"/>
      <c r="AI117" s="6"/>
      <c r="AJ117" s="12"/>
      <c r="AK117" s="1"/>
      <c r="AL117" s="12"/>
      <c r="AM117" s="12"/>
      <c r="AN117" s="1"/>
      <c r="AO117" s="6"/>
    </row>
    <row r="118" spans="1:41" ht="15" x14ac:dyDescent="0.25">
      <c r="A118" s="1"/>
      <c r="B118" s="1"/>
      <c r="C118" s="1"/>
      <c r="D118" s="1"/>
      <c r="E118" s="6"/>
      <c r="F118" s="1"/>
      <c r="G118" s="6"/>
      <c r="H118" s="6"/>
      <c r="I118" s="6"/>
      <c r="J118" s="6"/>
      <c r="K118" s="6"/>
      <c r="L118" s="6"/>
      <c r="M118" s="6"/>
      <c r="N118" s="6"/>
      <c r="O118" s="7"/>
      <c r="P118" s="6"/>
      <c r="Q118" s="6"/>
      <c r="R118" s="7"/>
      <c r="S118" s="6"/>
      <c r="T118" s="6"/>
      <c r="U118" s="7"/>
      <c r="V118" s="6"/>
      <c r="W118" s="6"/>
      <c r="X118" s="6"/>
      <c r="Y118" s="6"/>
      <c r="Z118" s="6"/>
      <c r="AA118" s="7"/>
      <c r="AB118" s="6"/>
      <c r="AC118" s="6"/>
      <c r="AD118" s="6"/>
      <c r="AE118" s="12"/>
      <c r="AF118" s="12"/>
      <c r="AG118" s="12"/>
      <c r="AH118" s="12"/>
      <c r="AI118" s="6"/>
      <c r="AJ118" s="12"/>
      <c r="AK118" s="1"/>
      <c r="AL118" s="12"/>
      <c r="AM118" s="12"/>
      <c r="AN118" s="1"/>
      <c r="AO118" s="6"/>
    </row>
    <row r="119" spans="1:41" ht="15" x14ac:dyDescent="0.25">
      <c r="A119" s="1"/>
      <c r="B119" s="1"/>
      <c r="C119" s="1"/>
      <c r="D119" s="1"/>
      <c r="E119" s="6"/>
      <c r="F119" s="1"/>
      <c r="G119" s="6"/>
      <c r="H119" s="6"/>
      <c r="I119" s="6"/>
      <c r="J119" s="6"/>
      <c r="K119" s="6"/>
      <c r="L119" s="6"/>
      <c r="M119" s="6"/>
      <c r="N119" s="6"/>
      <c r="O119" s="7"/>
      <c r="P119" s="6"/>
      <c r="Q119" s="6"/>
      <c r="R119" s="7"/>
      <c r="S119" s="6"/>
      <c r="T119" s="6"/>
      <c r="U119" s="7"/>
      <c r="V119" s="6"/>
      <c r="W119" s="6"/>
      <c r="X119" s="12"/>
      <c r="Y119" s="6"/>
      <c r="Z119" s="6"/>
      <c r="AA119" s="7"/>
      <c r="AB119" s="6"/>
      <c r="AC119" s="6"/>
      <c r="AD119" s="6"/>
      <c r="AE119" s="12"/>
      <c r="AF119" s="6"/>
      <c r="AG119" s="12"/>
      <c r="AH119" s="6"/>
      <c r="AI119" s="6"/>
      <c r="AJ119" s="12"/>
      <c r="AK119" s="24"/>
      <c r="AL119" s="25"/>
      <c r="AM119" s="12"/>
      <c r="AN119" s="1"/>
      <c r="AO119" s="6"/>
    </row>
    <row r="120" spans="1:41" ht="15" x14ac:dyDescent="0.25">
      <c r="A120" s="1"/>
      <c r="B120" s="1"/>
      <c r="C120" s="1"/>
      <c r="D120" s="1"/>
      <c r="E120" s="6"/>
      <c r="F120" s="1"/>
      <c r="G120" s="6"/>
      <c r="H120" s="6"/>
      <c r="I120" s="6"/>
      <c r="J120" s="6"/>
      <c r="K120" s="6"/>
      <c r="L120" s="6"/>
      <c r="M120" s="6"/>
      <c r="N120" s="6"/>
      <c r="O120" s="7"/>
      <c r="P120" s="6"/>
      <c r="Q120" s="6"/>
      <c r="R120" s="7"/>
      <c r="S120" s="6"/>
      <c r="T120" s="6"/>
      <c r="U120" s="7"/>
      <c r="V120" s="6"/>
      <c r="W120" s="6"/>
      <c r="X120" s="12"/>
      <c r="Y120" s="6"/>
      <c r="Z120" s="6"/>
      <c r="AA120" s="7"/>
      <c r="AB120" s="6"/>
      <c r="AC120" s="6"/>
      <c r="AD120" s="6"/>
      <c r="AE120" s="12"/>
      <c r="AF120" s="12"/>
      <c r="AG120" s="12"/>
      <c r="AH120" s="12"/>
      <c r="AI120" s="6"/>
      <c r="AJ120" s="12"/>
      <c r="AK120" s="1"/>
      <c r="AL120" s="12"/>
      <c r="AM120" s="12"/>
      <c r="AN120" s="1"/>
      <c r="AO120" s="6"/>
    </row>
    <row r="121" spans="1:41" ht="15" x14ac:dyDescent="0.25">
      <c r="A121" s="1"/>
      <c r="B121" s="1"/>
      <c r="C121" s="1"/>
      <c r="D121" s="1"/>
      <c r="E121" s="6"/>
      <c r="F121" s="1"/>
      <c r="G121" s="6"/>
      <c r="H121" s="6"/>
      <c r="I121" s="6"/>
      <c r="J121" s="6"/>
      <c r="K121" s="6"/>
      <c r="L121" s="6"/>
      <c r="M121" s="6"/>
      <c r="N121" s="6"/>
      <c r="O121" s="7"/>
      <c r="P121" s="12"/>
      <c r="Q121" s="6"/>
      <c r="R121" s="7"/>
      <c r="S121" s="6"/>
      <c r="T121" s="6"/>
      <c r="U121" s="7"/>
      <c r="V121" s="6"/>
      <c r="W121" s="6"/>
      <c r="X121" s="12"/>
      <c r="Y121" s="6"/>
      <c r="Z121" s="6"/>
      <c r="AA121" s="7"/>
      <c r="AB121" s="6"/>
      <c r="AC121" s="6"/>
      <c r="AD121" s="6"/>
      <c r="AE121" s="12"/>
      <c r="AF121" s="12"/>
      <c r="AG121" s="12"/>
      <c r="AH121" s="12"/>
      <c r="AI121" s="6"/>
      <c r="AJ121" s="12"/>
      <c r="AK121" s="1"/>
      <c r="AL121" s="12"/>
      <c r="AM121" s="12"/>
      <c r="AN121" s="1"/>
      <c r="AO121" s="6"/>
    </row>
    <row r="122" spans="1:41" ht="15" x14ac:dyDescent="0.25">
      <c r="A122" s="1"/>
      <c r="B122" s="1"/>
      <c r="C122" s="1"/>
      <c r="D122" s="1"/>
      <c r="E122" s="6"/>
      <c r="F122" s="1"/>
      <c r="G122" s="6"/>
      <c r="H122" s="6"/>
      <c r="I122" s="6"/>
      <c r="J122" s="6"/>
      <c r="K122" s="6"/>
      <c r="L122" s="6"/>
      <c r="M122" s="6"/>
      <c r="N122" s="6"/>
      <c r="O122" s="7"/>
      <c r="P122" s="6"/>
      <c r="Q122" s="6"/>
      <c r="R122" s="12"/>
      <c r="S122" s="12"/>
      <c r="T122" s="12"/>
      <c r="U122" s="7"/>
      <c r="V122" s="6"/>
      <c r="W122" s="6"/>
      <c r="X122" s="12"/>
      <c r="Y122" s="6"/>
      <c r="Z122" s="6"/>
      <c r="AA122" s="7"/>
      <c r="AB122" s="6"/>
      <c r="AC122" s="6"/>
      <c r="AD122" s="6"/>
      <c r="AE122" s="12"/>
      <c r="AF122" s="12"/>
      <c r="AG122" s="12"/>
      <c r="AH122" s="12"/>
      <c r="AI122" s="6"/>
      <c r="AJ122" s="12"/>
      <c r="AK122" s="24"/>
      <c r="AL122" s="25"/>
      <c r="AM122" s="12"/>
      <c r="AN122" s="1"/>
      <c r="AO122" s="6"/>
    </row>
    <row r="123" spans="1:41" ht="15" x14ac:dyDescent="0.25">
      <c r="A123" s="1"/>
      <c r="B123" s="1"/>
      <c r="C123" s="1"/>
      <c r="D123" s="1"/>
      <c r="E123" s="6"/>
      <c r="F123" s="1"/>
      <c r="G123" s="6"/>
      <c r="H123" s="6"/>
      <c r="I123" s="6"/>
      <c r="J123" s="6"/>
      <c r="K123" s="6"/>
      <c r="L123" s="6"/>
      <c r="M123" s="6"/>
      <c r="N123" s="6"/>
      <c r="O123" s="7"/>
      <c r="P123" s="6"/>
      <c r="Q123" s="6"/>
      <c r="R123" s="7"/>
      <c r="S123" s="6"/>
      <c r="T123" s="6"/>
      <c r="U123" s="7"/>
      <c r="V123" s="6"/>
      <c r="W123" s="6"/>
      <c r="X123" s="12"/>
      <c r="Y123" s="6"/>
      <c r="Z123" s="6"/>
      <c r="AA123" s="7"/>
      <c r="AB123" s="6"/>
      <c r="AC123" s="6"/>
      <c r="AD123" s="6"/>
      <c r="AE123" s="12"/>
      <c r="AF123" s="6"/>
      <c r="AG123" s="12"/>
      <c r="AH123" s="6"/>
      <c r="AI123" s="6"/>
      <c r="AJ123" s="12"/>
      <c r="AK123" s="1"/>
      <c r="AL123" s="12"/>
      <c r="AM123" s="12"/>
      <c r="AN123" s="1"/>
      <c r="AO123" s="6"/>
    </row>
    <row r="124" spans="1:41" ht="15" x14ac:dyDescent="0.25">
      <c r="A124" s="1"/>
      <c r="B124" s="1"/>
      <c r="C124" s="1"/>
      <c r="D124" s="1"/>
      <c r="E124" s="6"/>
      <c r="F124" s="1"/>
      <c r="G124" s="6"/>
      <c r="H124" s="6"/>
      <c r="I124" s="6"/>
      <c r="J124" s="6"/>
      <c r="K124" s="6"/>
      <c r="L124" s="6"/>
      <c r="M124" s="6"/>
      <c r="N124" s="6"/>
      <c r="O124" s="7"/>
      <c r="P124" s="6"/>
      <c r="Q124" s="6"/>
      <c r="R124" s="12"/>
      <c r="S124" s="12"/>
      <c r="T124" s="12"/>
      <c r="U124" s="7"/>
      <c r="V124" s="6"/>
      <c r="W124" s="6"/>
      <c r="X124" s="12"/>
      <c r="Y124" s="6"/>
      <c r="Z124" s="6"/>
      <c r="AA124" s="7"/>
      <c r="AB124" s="6"/>
      <c r="AC124" s="6"/>
      <c r="AD124" s="6"/>
      <c r="AE124" s="12"/>
      <c r="AF124" s="12"/>
      <c r="AG124" s="12"/>
      <c r="AH124" s="12"/>
      <c r="AI124" s="6"/>
      <c r="AJ124" s="12"/>
      <c r="AK124" s="1"/>
      <c r="AL124" s="12"/>
      <c r="AM124" s="12"/>
      <c r="AN124" s="1"/>
      <c r="AO124" s="6"/>
    </row>
    <row r="125" spans="1:41" ht="15" x14ac:dyDescent="0.25">
      <c r="A125" s="1"/>
      <c r="B125" s="1"/>
      <c r="C125" s="1"/>
      <c r="D125" s="1"/>
      <c r="E125" s="6"/>
      <c r="F125" s="1"/>
      <c r="G125" s="6"/>
      <c r="H125" s="6"/>
      <c r="I125" s="6"/>
      <c r="J125" s="6"/>
      <c r="K125" s="6"/>
      <c r="L125" s="6"/>
      <c r="M125" s="6"/>
      <c r="N125" s="6"/>
      <c r="O125" s="7"/>
      <c r="P125" s="6"/>
      <c r="Q125" s="6"/>
      <c r="R125" s="12"/>
      <c r="S125" s="12"/>
      <c r="T125" s="12"/>
      <c r="U125" s="7"/>
      <c r="V125" s="6"/>
      <c r="W125" s="6"/>
      <c r="X125" s="12"/>
      <c r="Y125" s="6"/>
      <c r="Z125" s="6"/>
      <c r="AA125" s="7"/>
      <c r="AB125" s="6"/>
      <c r="AC125" s="6"/>
      <c r="AD125" s="6"/>
      <c r="AE125" s="12"/>
      <c r="AF125" s="6"/>
      <c r="AG125" s="12"/>
      <c r="AH125" s="6"/>
      <c r="AI125" s="6"/>
      <c r="AJ125" s="12"/>
      <c r="AK125" s="1"/>
      <c r="AL125" s="12"/>
      <c r="AM125" s="12"/>
      <c r="AN125" s="1"/>
      <c r="AO125" s="6"/>
    </row>
    <row r="126" spans="1:41" ht="15" x14ac:dyDescent="0.25">
      <c r="A126" s="1"/>
      <c r="B126" s="1"/>
      <c r="C126" s="1"/>
      <c r="D126" s="1"/>
      <c r="E126" s="6"/>
      <c r="F126" s="1"/>
      <c r="G126" s="6"/>
      <c r="H126" s="6"/>
      <c r="I126" s="6"/>
      <c r="J126" s="6"/>
      <c r="K126" s="6"/>
      <c r="L126" s="6"/>
      <c r="M126" s="6"/>
      <c r="N126" s="6"/>
      <c r="O126" s="7"/>
      <c r="P126" s="6"/>
      <c r="Q126" s="6"/>
      <c r="R126" s="7"/>
      <c r="S126" s="6"/>
      <c r="T126" s="6"/>
      <c r="U126" s="7"/>
      <c r="V126" s="6"/>
      <c r="W126" s="6"/>
      <c r="X126" s="6"/>
      <c r="Y126" s="6"/>
      <c r="Z126" s="6"/>
      <c r="AA126" s="7"/>
      <c r="AB126" s="6"/>
      <c r="AC126" s="6"/>
      <c r="AD126" s="6"/>
      <c r="AE126" s="12"/>
      <c r="AF126" s="6"/>
      <c r="AG126" s="12"/>
      <c r="AH126" s="6"/>
      <c r="AI126" s="6"/>
      <c r="AJ126" s="12"/>
      <c r="AK126" s="1"/>
      <c r="AL126" s="12"/>
      <c r="AM126" s="12"/>
      <c r="AN126" s="1"/>
      <c r="AO126" s="6"/>
    </row>
    <row r="127" spans="1:41" ht="15" x14ac:dyDescent="0.25">
      <c r="A127" s="1"/>
      <c r="B127" s="1"/>
      <c r="C127" s="1"/>
      <c r="D127" s="1"/>
      <c r="E127" s="6"/>
      <c r="F127" s="1"/>
      <c r="G127" s="6"/>
      <c r="H127" s="6"/>
      <c r="I127" s="6"/>
      <c r="J127" s="6"/>
      <c r="K127" s="6"/>
      <c r="L127" s="6"/>
      <c r="M127" s="6"/>
      <c r="N127" s="6"/>
      <c r="O127" s="7"/>
      <c r="P127" s="6"/>
      <c r="Q127" s="6"/>
      <c r="R127" s="7"/>
      <c r="S127" s="6"/>
      <c r="T127" s="6"/>
      <c r="U127" s="7"/>
      <c r="V127" s="6"/>
      <c r="W127" s="6"/>
      <c r="X127" s="12"/>
      <c r="Y127" s="6"/>
      <c r="Z127" s="6"/>
      <c r="AA127" s="7"/>
      <c r="AB127" s="6"/>
      <c r="AC127" s="6"/>
      <c r="AD127" s="6"/>
      <c r="AE127" s="12"/>
      <c r="AF127" s="6"/>
      <c r="AG127" s="12"/>
      <c r="AH127" s="6"/>
      <c r="AI127" s="6"/>
      <c r="AJ127" s="12"/>
      <c r="AK127" s="24"/>
      <c r="AL127" s="25"/>
      <c r="AM127" s="12"/>
      <c r="AN127" s="1"/>
      <c r="AO127" s="6"/>
    </row>
    <row r="128" spans="1:41" ht="15" x14ac:dyDescent="0.25">
      <c r="A128" s="1"/>
      <c r="B128" s="1"/>
      <c r="C128" s="1"/>
      <c r="D128" s="1"/>
      <c r="E128" s="6"/>
      <c r="F128" s="1"/>
      <c r="G128" s="6"/>
      <c r="H128" s="6"/>
      <c r="I128" s="6"/>
      <c r="J128" s="6"/>
      <c r="K128" s="12"/>
      <c r="L128" s="12"/>
      <c r="M128" s="6"/>
      <c r="N128" s="6"/>
      <c r="O128" s="7"/>
      <c r="P128" s="6"/>
      <c r="Q128" s="6"/>
      <c r="R128" s="7"/>
      <c r="S128" s="6"/>
      <c r="T128" s="6"/>
      <c r="U128" s="7"/>
      <c r="V128" s="6"/>
      <c r="W128" s="6"/>
      <c r="X128" s="12"/>
      <c r="Y128" s="6"/>
      <c r="Z128" s="6"/>
      <c r="AA128" s="7"/>
      <c r="AB128" s="6"/>
      <c r="AC128" s="6"/>
      <c r="AD128" s="6"/>
      <c r="AE128" s="12"/>
      <c r="AF128" s="12"/>
      <c r="AG128" s="12"/>
      <c r="AH128" s="12"/>
      <c r="AI128" s="6"/>
      <c r="AJ128" s="12"/>
      <c r="AK128" s="1"/>
      <c r="AL128" s="12"/>
      <c r="AM128" s="12"/>
      <c r="AN128" s="1"/>
      <c r="AO128" s="12"/>
    </row>
    <row r="129" spans="1:41" ht="15" x14ac:dyDescent="0.25">
      <c r="A129" s="1"/>
      <c r="B129" s="1"/>
      <c r="C129" s="1"/>
      <c r="D129" s="1"/>
      <c r="E129" s="6"/>
      <c r="F129" s="1"/>
      <c r="G129" s="6"/>
      <c r="H129" s="6"/>
      <c r="I129" s="6"/>
      <c r="J129" s="6"/>
      <c r="K129" s="12"/>
      <c r="L129" s="12"/>
      <c r="M129" s="6"/>
      <c r="N129" s="6"/>
      <c r="O129" s="7"/>
      <c r="P129" s="6"/>
      <c r="Q129" s="6"/>
      <c r="R129" s="7"/>
      <c r="S129" s="6"/>
      <c r="T129" s="6"/>
      <c r="U129" s="7"/>
      <c r="V129" s="6"/>
      <c r="W129" s="6"/>
      <c r="X129" s="12"/>
      <c r="Y129" s="6"/>
      <c r="Z129" s="6"/>
      <c r="AA129" s="7"/>
      <c r="AB129" s="6"/>
      <c r="AC129" s="6"/>
      <c r="AD129" s="6"/>
      <c r="AE129" s="12"/>
      <c r="AF129" s="12"/>
      <c r="AG129" s="12"/>
      <c r="AH129" s="12"/>
      <c r="AI129" s="6"/>
      <c r="AJ129" s="12"/>
      <c r="AK129" s="24"/>
      <c r="AL129" s="25"/>
      <c r="AM129" s="12"/>
      <c r="AN129" s="1"/>
      <c r="AO129" s="6"/>
    </row>
    <row r="130" spans="1:41" ht="15" x14ac:dyDescent="0.25">
      <c r="A130" s="1"/>
      <c r="B130" s="1"/>
      <c r="C130" s="1"/>
      <c r="D130" s="1"/>
      <c r="E130" s="6"/>
      <c r="F130" s="1"/>
      <c r="G130" s="6"/>
      <c r="H130" s="6"/>
      <c r="I130" s="6"/>
      <c r="J130" s="6"/>
      <c r="K130" s="6"/>
      <c r="L130" s="6"/>
      <c r="M130" s="6"/>
      <c r="N130" s="6"/>
      <c r="O130" s="7"/>
      <c r="P130" s="6"/>
      <c r="Q130" s="7"/>
      <c r="R130" s="6"/>
      <c r="S130" s="6"/>
      <c r="T130" s="6"/>
      <c r="U130" s="6"/>
      <c r="V130" s="7"/>
      <c r="W130" s="7"/>
      <c r="X130" s="6"/>
      <c r="Y130" s="6"/>
      <c r="Z130" s="6"/>
      <c r="AA130" s="1"/>
      <c r="AB130" s="12"/>
      <c r="AC130" s="12"/>
      <c r="AD130" s="12"/>
      <c r="AE130" s="12"/>
      <c r="AF130" s="12"/>
      <c r="AG130" s="12"/>
      <c r="AH130" s="12"/>
      <c r="AI130" s="6"/>
      <c r="AJ130" s="12"/>
      <c r="AK130" s="12"/>
      <c r="AL130" s="12"/>
      <c r="AM130" s="12"/>
      <c r="AN130" s="1"/>
      <c r="AO130" s="6"/>
    </row>
    <row r="131" spans="1:41" ht="15" x14ac:dyDescent="0.25">
      <c r="A131" s="1"/>
      <c r="B131" s="1"/>
      <c r="C131" s="1"/>
      <c r="D131" s="1"/>
      <c r="E131" s="6"/>
      <c r="F131" s="1"/>
      <c r="G131" s="6"/>
      <c r="H131" s="6"/>
      <c r="I131" s="6"/>
      <c r="J131" s="6"/>
      <c r="K131" s="6"/>
      <c r="L131" s="6"/>
      <c r="M131" s="6"/>
      <c r="N131" s="6"/>
      <c r="O131" s="7"/>
      <c r="P131" s="6"/>
      <c r="Q131" s="6"/>
      <c r="R131" s="7"/>
      <c r="S131" s="6"/>
      <c r="T131" s="6"/>
      <c r="U131" s="7"/>
      <c r="V131" s="6"/>
      <c r="W131" s="6"/>
      <c r="X131" s="6"/>
      <c r="Y131" s="6"/>
      <c r="Z131" s="6"/>
      <c r="AA131" s="7"/>
      <c r="AB131" s="6"/>
      <c r="AC131" s="6"/>
      <c r="AD131" s="6"/>
      <c r="AE131" s="12"/>
      <c r="AF131" s="6"/>
      <c r="AG131" s="12"/>
      <c r="AH131" s="6"/>
      <c r="AI131" s="6"/>
      <c r="AJ131" s="12"/>
      <c r="AK131" s="24"/>
      <c r="AL131" s="25"/>
      <c r="AM131" s="12"/>
      <c r="AN131" s="1"/>
      <c r="AO131" s="6"/>
    </row>
    <row r="132" spans="1:41" ht="15" x14ac:dyDescent="0.25">
      <c r="A132" s="1"/>
      <c r="B132" s="1"/>
      <c r="C132" s="1"/>
      <c r="D132" s="1"/>
      <c r="E132" s="6"/>
      <c r="F132" s="1"/>
      <c r="G132" s="6"/>
      <c r="H132" s="6"/>
      <c r="I132" s="6"/>
      <c r="J132" s="6"/>
      <c r="K132" s="6"/>
      <c r="L132" s="6"/>
      <c r="M132" s="6"/>
      <c r="N132" s="6"/>
      <c r="O132" s="7"/>
      <c r="P132" s="6"/>
      <c r="Q132" s="6"/>
      <c r="R132" s="12"/>
      <c r="S132" s="12"/>
      <c r="T132" s="12"/>
      <c r="U132" s="7"/>
      <c r="V132" s="6"/>
      <c r="W132" s="6"/>
      <c r="X132" s="12"/>
      <c r="Y132" s="6"/>
      <c r="Z132" s="6"/>
      <c r="AA132" s="7"/>
      <c r="AB132" s="6"/>
      <c r="AC132" s="6"/>
      <c r="AD132" s="6"/>
      <c r="AE132" s="12"/>
      <c r="AF132" s="12"/>
      <c r="AG132" s="12"/>
      <c r="AH132" s="12"/>
      <c r="AI132" s="6"/>
      <c r="AJ132" s="12"/>
      <c r="AK132" s="24"/>
      <c r="AL132" s="25"/>
      <c r="AM132" s="12"/>
      <c r="AN132" s="1"/>
      <c r="AO132" s="6"/>
    </row>
    <row r="133" spans="1:41" ht="15" x14ac:dyDescent="0.25">
      <c r="A133" s="1"/>
      <c r="B133" s="1"/>
      <c r="C133" s="1"/>
      <c r="D133" s="1"/>
      <c r="E133" s="6"/>
      <c r="F133" s="1"/>
      <c r="G133" s="6"/>
      <c r="H133" s="6"/>
      <c r="I133" s="6"/>
      <c r="J133" s="6"/>
      <c r="K133" s="6"/>
      <c r="L133" s="6"/>
      <c r="M133" s="6"/>
      <c r="N133" s="6"/>
      <c r="O133" s="7"/>
      <c r="P133" s="6"/>
      <c r="Q133" s="6"/>
      <c r="R133" s="7"/>
      <c r="S133" s="6"/>
      <c r="T133" s="6"/>
      <c r="U133" s="7"/>
      <c r="V133" s="6"/>
      <c r="W133" s="6"/>
      <c r="X133" s="6"/>
      <c r="Y133" s="12"/>
      <c r="Z133" s="6"/>
      <c r="AA133" s="7"/>
      <c r="AB133" s="6"/>
      <c r="AC133" s="6"/>
      <c r="AD133" s="6"/>
      <c r="AE133" s="12"/>
      <c r="AF133" s="6"/>
      <c r="AG133" s="12"/>
      <c r="AH133" s="6"/>
      <c r="AI133" s="6"/>
      <c r="AJ133" s="12"/>
      <c r="AK133" s="1"/>
      <c r="AL133" s="12"/>
      <c r="AM133" s="12"/>
      <c r="AN133" s="1"/>
      <c r="AO133" s="6"/>
    </row>
    <row r="134" spans="1:41" ht="15" x14ac:dyDescent="0.25">
      <c r="A134" s="1"/>
      <c r="B134" s="1"/>
      <c r="C134" s="1"/>
      <c r="D134" s="1"/>
      <c r="E134" s="6"/>
      <c r="F134" s="1"/>
      <c r="G134" s="6"/>
      <c r="H134" s="6"/>
      <c r="I134" s="6"/>
      <c r="J134" s="6"/>
      <c r="K134" s="6"/>
      <c r="L134" s="6"/>
      <c r="M134" s="6"/>
      <c r="N134" s="6"/>
      <c r="O134" s="7"/>
      <c r="P134" s="6"/>
      <c r="Q134" s="6"/>
      <c r="R134" s="7"/>
      <c r="S134" s="6"/>
      <c r="T134" s="6"/>
      <c r="U134" s="7"/>
      <c r="V134" s="6"/>
      <c r="W134" s="6"/>
      <c r="X134" s="6"/>
      <c r="Y134" s="6"/>
      <c r="Z134" s="6"/>
      <c r="AA134" s="7"/>
      <c r="AB134" s="6"/>
      <c r="AC134" s="6"/>
      <c r="AD134" s="6"/>
      <c r="AE134" s="12"/>
      <c r="AF134" s="6"/>
      <c r="AG134" s="12"/>
      <c r="AH134" s="6"/>
      <c r="AI134" s="6"/>
      <c r="AJ134" s="12"/>
      <c r="AK134" s="1"/>
      <c r="AL134" s="12"/>
      <c r="AM134" s="12"/>
      <c r="AN134" s="1"/>
      <c r="AO134" s="6"/>
    </row>
    <row r="135" spans="1:41" ht="15" x14ac:dyDescent="0.25">
      <c r="A135" s="1"/>
      <c r="B135" s="1"/>
      <c r="C135" s="1"/>
      <c r="D135" s="1"/>
      <c r="E135" s="6"/>
      <c r="F135" s="1"/>
      <c r="G135" s="6"/>
      <c r="H135" s="6"/>
      <c r="I135" s="6"/>
      <c r="J135" s="6"/>
      <c r="K135" s="12"/>
      <c r="L135" s="12"/>
      <c r="M135" s="6"/>
      <c r="N135" s="6"/>
      <c r="O135" s="7"/>
      <c r="P135" s="6"/>
      <c r="Q135" s="6"/>
      <c r="R135" s="7"/>
      <c r="S135" s="6"/>
      <c r="T135" s="6"/>
      <c r="U135" s="7"/>
      <c r="V135" s="6"/>
      <c r="W135" s="6"/>
      <c r="X135" s="6"/>
      <c r="Y135" s="6"/>
      <c r="Z135" s="6"/>
      <c r="AA135" s="7"/>
      <c r="AB135" s="6"/>
      <c r="AC135" s="6"/>
      <c r="AD135" s="6"/>
      <c r="AE135" s="12"/>
      <c r="AF135" s="12"/>
      <c r="AG135" s="12"/>
      <c r="AH135" s="12"/>
      <c r="AI135" s="6"/>
      <c r="AJ135" s="12"/>
      <c r="AK135" s="1"/>
      <c r="AL135" s="12"/>
      <c r="AM135" s="12"/>
      <c r="AN135" s="1"/>
      <c r="AO135" s="12"/>
    </row>
    <row r="136" spans="1:41" ht="15" x14ac:dyDescent="0.25">
      <c r="A136" s="1"/>
      <c r="B136" s="1"/>
      <c r="C136" s="1"/>
      <c r="D136" s="1"/>
      <c r="E136" s="6"/>
      <c r="F136" s="1"/>
      <c r="G136" s="6"/>
      <c r="H136" s="6"/>
      <c r="I136" s="6"/>
      <c r="J136" s="6"/>
      <c r="K136" s="6"/>
      <c r="L136" s="6"/>
      <c r="M136" s="6"/>
      <c r="N136" s="6"/>
      <c r="O136" s="7"/>
      <c r="P136" s="6"/>
      <c r="Q136" s="6"/>
      <c r="R136" s="7"/>
      <c r="S136" s="6"/>
      <c r="T136" s="6"/>
      <c r="U136" s="7"/>
      <c r="V136" s="6"/>
      <c r="W136" s="6"/>
      <c r="X136" s="12"/>
      <c r="Y136" s="6"/>
      <c r="Z136" s="6"/>
      <c r="AA136" s="7"/>
      <c r="AB136" s="6"/>
      <c r="AC136" s="6"/>
      <c r="AD136" s="6"/>
      <c r="AE136" s="12"/>
      <c r="AF136" s="12"/>
      <c r="AG136" s="12"/>
      <c r="AH136" s="12"/>
      <c r="AI136" s="6"/>
      <c r="AJ136" s="12"/>
      <c r="AK136" s="1"/>
      <c r="AL136" s="12"/>
      <c r="AM136" s="12"/>
      <c r="AN136" s="1"/>
      <c r="AO136" s="6"/>
    </row>
    <row r="137" spans="1:41" ht="15" x14ac:dyDescent="0.25">
      <c r="A137" s="1"/>
      <c r="B137" s="1"/>
      <c r="C137" s="1"/>
      <c r="D137" s="1"/>
      <c r="E137" s="6"/>
      <c r="F137" s="1"/>
      <c r="G137" s="6"/>
      <c r="H137" s="6"/>
      <c r="I137" s="6"/>
      <c r="J137" s="6"/>
      <c r="K137" s="6"/>
      <c r="L137" s="6"/>
      <c r="M137" s="6"/>
      <c r="N137" s="6"/>
      <c r="O137" s="7"/>
      <c r="P137" s="12"/>
      <c r="Q137" s="6"/>
      <c r="R137" s="7"/>
      <c r="S137" s="6"/>
      <c r="T137" s="6"/>
      <c r="U137" s="7"/>
      <c r="V137" s="6"/>
      <c r="W137" s="6"/>
      <c r="X137" s="6"/>
      <c r="Y137" s="6"/>
      <c r="Z137" s="6"/>
      <c r="AA137" s="7"/>
      <c r="AB137" s="6"/>
      <c r="AC137" s="6"/>
      <c r="AD137" s="6"/>
      <c r="AE137" s="12"/>
      <c r="AF137" s="6"/>
      <c r="AG137" s="12"/>
      <c r="AH137" s="6"/>
      <c r="AI137" s="6"/>
      <c r="AJ137" s="12"/>
      <c r="AK137" s="24"/>
      <c r="AL137" s="25"/>
      <c r="AM137" s="12"/>
      <c r="AN137" s="1"/>
      <c r="AO137" s="6"/>
    </row>
    <row r="138" spans="1:41" ht="15" x14ac:dyDescent="0.25">
      <c r="A138" s="1"/>
      <c r="B138" s="1"/>
      <c r="C138" s="1"/>
      <c r="D138" s="1"/>
      <c r="E138" s="6"/>
      <c r="F138" s="1"/>
      <c r="G138" s="6"/>
      <c r="H138" s="6"/>
      <c r="I138" s="6"/>
      <c r="J138" s="6"/>
      <c r="K138" s="6"/>
      <c r="L138" s="6"/>
      <c r="M138" s="6"/>
      <c r="N138" s="6"/>
      <c r="O138" s="7"/>
      <c r="P138" s="6"/>
      <c r="Q138" s="6"/>
      <c r="R138" s="7"/>
      <c r="S138" s="6"/>
      <c r="T138" s="6"/>
      <c r="U138" s="7"/>
      <c r="V138" s="6"/>
      <c r="W138" s="6"/>
      <c r="X138" s="12"/>
      <c r="Y138" s="6"/>
      <c r="Z138" s="6"/>
      <c r="AA138" s="7"/>
      <c r="AB138" s="6"/>
      <c r="AC138" s="6"/>
      <c r="AD138" s="6"/>
      <c r="AE138" s="12"/>
      <c r="AF138" s="12"/>
      <c r="AG138" s="12"/>
      <c r="AH138" s="12"/>
      <c r="AI138" s="6"/>
      <c r="AJ138" s="12"/>
      <c r="AK138" s="1"/>
      <c r="AL138" s="12"/>
      <c r="AM138" s="12"/>
      <c r="AN138" s="1"/>
      <c r="AO138" s="6"/>
    </row>
    <row r="139" spans="1:41" ht="15" x14ac:dyDescent="0.25">
      <c r="A139" s="1"/>
      <c r="B139" s="1"/>
      <c r="C139" s="1"/>
      <c r="D139" s="1"/>
      <c r="E139" s="6"/>
      <c r="F139" s="1"/>
      <c r="G139" s="6"/>
      <c r="H139" s="6"/>
      <c r="I139" s="6"/>
      <c r="J139" s="6"/>
      <c r="K139" s="6"/>
      <c r="L139" s="6"/>
      <c r="M139" s="6"/>
      <c r="N139" s="6"/>
      <c r="O139" s="7"/>
      <c r="P139" s="6"/>
      <c r="Q139" s="6"/>
      <c r="R139" s="7"/>
      <c r="S139" s="6"/>
      <c r="T139" s="6"/>
      <c r="U139" s="7"/>
      <c r="V139" s="6"/>
      <c r="W139" s="6"/>
      <c r="X139" s="12"/>
      <c r="Y139" s="6"/>
      <c r="Z139" s="6"/>
      <c r="AA139" s="7"/>
      <c r="AB139" s="6"/>
      <c r="AC139" s="6"/>
      <c r="AD139" s="6"/>
      <c r="AE139" s="12"/>
      <c r="AF139" s="6"/>
      <c r="AG139" s="12"/>
      <c r="AH139" s="6"/>
      <c r="AI139" s="6"/>
      <c r="AJ139" s="12"/>
      <c r="AK139" s="24"/>
      <c r="AL139" s="25"/>
      <c r="AM139" s="12"/>
      <c r="AN139" s="1"/>
      <c r="AO139" s="6"/>
    </row>
    <row r="140" spans="1:41" ht="15" x14ac:dyDescent="0.25">
      <c r="A140" s="1"/>
      <c r="B140" s="1"/>
      <c r="C140" s="1"/>
      <c r="D140" s="1"/>
      <c r="E140" s="6"/>
      <c r="F140" s="1"/>
      <c r="G140" s="6"/>
      <c r="H140" s="6"/>
      <c r="I140" s="6"/>
      <c r="J140" s="6"/>
      <c r="K140" s="6"/>
      <c r="L140" s="6"/>
      <c r="M140" s="6"/>
      <c r="N140" s="6"/>
      <c r="O140" s="7"/>
      <c r="P140" s="6"/>
      <c r="Q140" s="6"/>
      <c r="R140" s="7"/>
      <c r="S140" s="6"/>
      <c r="T140" s="6"/>
      <c r="U140" s="7"/>
      <c r="V140" s="6"/>
      <c r="W140" s="6"/>
      <c r="X140" s="6"/>
      <c r="Y140" s="6"/>
      <c r="Z140" s="6"/>
      <c r="AA140" s="7"/>
      <c r="AB140" s="6"/>
      <c r="AC140" s="6"/>
      <c r="AD140" s="6"/>
      <c r="AE140" s="12"/>
      <c r="AF140" s="6"/>
      <c r="AG140" s="12"/>
      <c r="AH140" s="6"/>
      <c r="AI140" s="6"/>
      <c r="AJ140" s="12"/>
      <c r="AK140" s="1"/>
      <c r="AL140" s="12"/>
      <c r="AM140" s="12"/>
      <c r="AN140" s="1"/>
      <c r="AO140" s="6"/>
    </row>
    <row r="141" spans="1:41" ht="15" x14ac:dyDescent="0.25">
      <c r="A141" s="1"/>
      <c r="B141" s="1"/>
      <c r="C141" s="1"/>
      <c r="D141" s="1"/>
      <c r="E141" s="6"/>
      <c r="F141" s="1"/>
      <c r="G141" s="6"/>
      <c r="H141" s="6"/>
      <c r="I141" s="6"/>
      <c r="J141" s="6"/>
      <c r="K141" s="6"/>
      <c r="L141" s="6"/>
      <c r="M141" s="6"/>
      <c r="N141" s="6"/>
      <c r="O141" s="7"/>
      <c r="P141" s="6"/>
      <c r="Q141" s="6"/>
      <c r="R141" s="7"/>
      <c r="S141" s="6"/>
      <c r="T141" s="6"/>
      <c r="U141" s="7"/>
      <c r="V141" s="6"/>
      <c r="W141" s="6"/>
      <c r="X141" s="12"/>
      <c r="Y141" s="6"/>
      <c r="Z141" s="6"/>
      <c r="AA141" s="7"/>
      <c r="AB141" s="6"/>
      <c r="AC141" s="6"/>
      <c r="AD141" s="6"/>
      <c r="AE141" s="12"/>
      <c r="AF141" s="6"/>
      <c r="AG141" s="12"/>
      <c r="AH141" s="6"/>
      <c r="AI141" s="6"/>
      <c r="AJ141" s="12"/>
      <c r="AK141" s="1"/>
      <c r="AL141" s="12"/>
      <c r="AM141" s="12"/>
      <c r="AN141" s="1"/>
      <c r="AO141" s="6"/>
    </row>
    <row r="142" spans="1:41" ht="15" x14ac:dyDescent="0.25">
      <c r="A142" s="1"/>
      <c r="B142" s="1"/>
      <c r="C142" s="1"/>
      <c r="D142" s="1"/>
      <c r="E142" s="6"/>
      <c r="F142" s="1"/>
      <c r="G142" s="6"/>
      <c r="H142" s="6"/>
      <c r="I142" s="6"/>
      <c r="J142" s="6"/>
      <c r="K142" s="6"/>
      <c r="L142" s="6"/>
      <c r="M142" s="6"/>
      <c r="N142" s="6"/>
      <c r="O142" s="7"/>
      <c r="P142" s="6"/>
      <c r="Q142" s="6"/>
      <c r="R142" s="7"/>
      <c r="S142" s="6"/>
      <c r="T142" s="6"/>
      <c r="U142" s="7"/>
      <c r="V142" s="6"/>
      <c r="W142" s="6"/>
      <c r="X142" s="12"/>
      <c r="Y142" s="6"/>
      <c r="Z142" s="6"/>
      <c r="AA142" s="7"/>
      <c r="AB142" s="6"/>
      <c r="AC142" s="6"/>
      <c r="AD142" s="6"/>
      <c r="AE142" s="12"/>
      <c r="AF142" s="12"/>
      <c r="AG142" s="12"/>
      <c r="AH142" s="12"/>
      <c r="AI142" s="6"/>
      <c r="AJ142" s="12"/>
      <c r="AK142" s="1"/>
      <c r="AL142" s="12"/>
      <c r="AM142" s="12"/>
      <c r="AN142" s="1"/>
      <c r="AO142" s="6"/>
    </row>
    <row r="143" spans="1:41" ht="15" x14ac:dyDescent="0.25">
      <c r="A143" s="1"/>
      <c r="B143" s="1"/>
      <c r="C143" s="1"/>
      <c r="D143" s="1"/>
      <c r="E143" s="6"/>
      <c r="F143" s="1"/>
      <c r="G143" s="6"/>
      <c r="H143" s="6"/>
      <c r="I143" s="6"/>
      <c r="J143" s="6"/>
      <c r="K143" s="12"/>
      <c r="L143" s="12"/>
      <c r="M143" s="6"/>
      <c r="N143" s="6"/>
      <c r="O143" s="7"/>
      <c r="P143" s="6"/>
      <c r="Q143" s="6"/>
      <c r="R143" s="7"/>
      <c r="S143" s="6"/>
      <c r="T143" s="6"/>
      <c r="U143" s="7"/>
      <c r="V143" s="6"/>
      <c r="W143" s="6"/>
      <c r="X143" s="12"/>
      <c r="Y143" s="6"/>
      <c r="Z143" s="6"/>
      <c r="AA143" s="7"/>
      <c r="AB143" s="6"/>
      <c r="AC143" s="6"/>
      <c r="AD143" s="6"/>
      <c r="AE143" s="12"/>
      <c r="AF143" s="12"/>
      <c r="AG143" s="12"/>
      <c r="AH143" s="12"/>
      <c r="AI143" s="6"/>
      <c r="AJ143" s="12"/>
      <c r="AK143" s="1"/>
      <c r="AL143" s="12"/>
      <c r="AM143" s="12"/>
      <c r="AN143" s="1"/>
      <c r="AO143" s="6"/>
    </row>
    <row r="144" spans="1:41" ht="15" x14ac:dyDescent="0.25">
      <c r="A144" s="1"/>
      <c r="B144" s="1"/>
      <c r="C144" s="1"/>
      <c r="D144" s="1"/>
      <c r="E144" s="6"/>
      <c r="F144" s="1"/>
      <c r="G144" s="6"/>
      <c r="H144" s="6"/>
      <c r="I144" s="6"/>
      <c r="J144" s="6"/>
      <c r="K144" s="6"/>
      <c r="L144" s="6"/>
      <c r="M144" s="6"/>
      <c r="N144" s="6"/>
      <c r="O144" s="7"/>
      <c r="P144" s="6"/>
      <c r="Q144" s="6"/>
      <c r="R144" s="7"/>
      <c r="S144" s="6"/>
      <c r="T144" s="6"/>
      <c r="U144" s="7"/>
      <c r="V144" s="6"/>
      <c r="W144" s="6"/>
      <c r="X144" s="6"/>
      <c r="Y144" s="6"/>
      <c r="Z144" s="6"/>
      <c r="AA144" s="7"/>
      <c r="AB144" s="6"/>
      <c r="AC144" s="6"/>
      <c r="AD144" s="6"/>
      <c r="AE144" s="12"/>
      <c r="AF144" s="6"/>
      <c r="AG144" s="12"/>
      <c r="AH144" s="6"/>
      <c r="AI144" s="6"/>
      <c r="AJ144" s="12"/>
      <c r="AK144" s="1"/>
      <c r="AL144" s="12"/>
      <c r="AM144" s="12"/>
      <c r="AN144" s="1"/>
      <c r="AO144" s="6"/>
    </row>
    <row r="145" spans="1:41" ht="15" x14ac:dyDescent="0.25">
      <c r="A145" s="1"/>
      <c r="B145" s="1"/>
      <c r="C145" s="1"/>
      <c r="D145" s="1"/>
      <c r="E145" s="6"/>
      <c r="F145" s="1"/>
      <c r="G145" s="6"/>
      <c r="H145" s="6"/>
      <c r="I145" s="6"/>
      <c r="J145" s="6"/>
      <c r="K145" s="6"/>
      <c r="L145" s="6"/>
      <c r="M145" s="6"/>
      <c r="N145" s="6"/>
      <c r="O145" s="7"/>
      <c r="P145" s="6"/>
      <c r="Q145" s="6"/>
      <c r="R145" s="7"/>
      <c r="S145" s="6"/>
      <c r="T145" s="6"/>
      <c r="U145" s="7"/>
      <c r="V145" s="6"/>
      <c r="W145" s="6"/>
      <c r="X145" s="6"/>
      <c r="Y145" s="6"/>
      <c r="Z145" s="6"/>
      <c r="AA145" s="7"/>
      <c r="AB145" s="6"/>
      <c r="AC145" s="6"/>
      <c r="AD145" s="6"/>
      <c r="AE145" s="12"/>
      <c r="AF145" s="6"/>
      <c r="AG145" s="12"/>
      <c r="AH145" s="6"/>
      <c r="AI145" s="6"/>
      <c r="AJ145" s="12"/>
      <c r="AK145" s="24"/>
      <c r="AL145" s="25"/>
      <c r="AM145" s="12"/>
      <c r="AN145" s="1"/>
      <c r="AO145" s="6"/>
    </row>
    <row r="146" spans="1:41" ht="15" x14ac:dyDescent="0.25">
      <c r="A146" s="1"/>
      <c r="B146" s="1"/>
      <c r="C146" s="1"/>
      <c r="D146" s="1"/>
      <c r="E146" s="6"/>
      <c r="F146" s="1"/>
      <c r="G146" s="6"/>
      <c r="H146" s="6"/>
      <c r="I146" s="6"/>
      <c r="J146" s="6"/>
      <c r="K146" s="6"/>
      <c r="L146" s="6"/>
      <c r="M146" s="6"/>
      <c r="N146" s="6"/>
      <c r="O146" s="7"/>
      <c r="P146" s="12"/>
      <c r="Q146" s="6"/>
      <c r="R146" s="7"/>
      <c r="S146" s="6"/>
      <c r="T146" s="6"/>
      <c r="U146" s="7"/>
      <c r="V146" s="6"/>
      <c r="W146" s="6"/>
      <c r="X146" s="12"/>
      <c r="Y146" s="6"/>
      <c r="Z146" s="6"/>
      <c r="AA146" s="7"/>
      <c r="AB146" s="6"/>
      <c r="AC146" s="6"/>
      <c r="AD146" s="6"/>
      <c r="AE146" s="12"/>
      <c r="AF146" s="12"/>
      <c r="AG146" s="12"/>
      <c r="AH146" s="12"/>
      <c r="AI146" s="6"/>
      <c r="AJ146" s="12"/>
      <c r="AK146" s="1"/>
      <c r="AL146" s="12"/>
      <c r="AM146" s="12"/>
      <c r="AN146" s="1"/>
      <c r="AO146" s="6"/>
    </row>
    <row r="147" spans="1:41" ht="15" x14ac:dyDescent="0.25">
      <c r="A147" s="1"/>
      <c r="B147" s="1"/>
      <c r="C147" s="1"/>
      <c r="D147" s="1"/>
      <c r="E147" s="6"/>
      <c r="F147" s="1"/>
      <c r="G147" s="6"/>
      <c r="H147" s="6"/>
      <c r="I147" s="6"/>
      <c r="J147" s="6"/>
      <c r="K147" s="6"/>
      <c r="L147" s="6"/>
      <c r="M147" s="6"/>
      <c r="N147" s="6"/>
      <c r="O147" s="7"/>
      <c r="P147" s="6"/>
      <c r="Q147" s="6"/>
      <c r="R147" s="7"/>
      <c r="S147" s="6"/>
      <c r="T147" s="6"/>
      <c r="U147" s="7"/>
      <c r="V147" s="6"/>
      <c r="W147" s="6"/>
      <c r="X147" s="12"/>
      <c r="Y147" s="6"/>
      <c r="Z147" s="6"/>
      <c r="AA147" s="7"/>
      <c r="AB147" s="6"/>
      <c r="AC147" s="6"/>
      <c r="AD147" s="6"/>
      <c r="AE147" s="12"/>
      <c r="AF147" s="12"/>
      <c r="AG147" s="12"/>
      <c r="AH147" s="12"/>
      <c r="AI147" s="6"/>
      <c r="AJ147" s="12"/>
      <c r="AK147" s="1"/>
      <c r="AL147" s="12"/>
      <c r="AM147" s="12"/>
      <c r="AN147" s="1"/>
      <c r="AO147" s="6"/>
    </row>
    <row r="148" spans="1:41" ht="15" x14ac:dyDescent="0.25">
      <c r="A148" s="1"/>
      <c r="B148" s="1"/>
      <c r="C148" s="1"/>
      <c r="D148" s="1"/>
      <c r="E148" s="6"/>
      <c r="F148" s="1"/>
      <c r="G148" s="6"/>
      <c r="H148" s="6"/>
      <c r="I148" s="6"/>
      <c r="J148" s="6"/>
      <c r="K148" s="6"/>
      <c r="L148" s="6"/>
      <c r="M148" s="6"/>
      <c r="N148" s="6"/>
      <c r="O148" s="7"/>
      <c r="P148" s="6"/>
      <c r="Q148" s="6"/>
      <c r="R148" s="7"/>
      <c r="S148" s="6"/>
      <c r="T148" s="6"/>
      <c r="U148" s="7"/>
      <c r="V148" s="6"/>
      <c r="W148" s="6"/>
      <c r="X148" s="6"/>
      <c r="Y148" s="6"/>
      <c r="Z148" s="6"/>
      <c r="AA148" s="7"/>
      <c r="AB148" s="6"/>
      <c r="AC148" s="6"/>
      <c r="AD148" s="6"/>
      <c r="AE148" s="12"/>
      <c r="AF148" s="6"/>
      <c r="AG148" s="12"/>
      <c r="AH148" s="6"/>
      <c r="AI148" s="6"/>
      <c r="AJ148" s="12"/>
      <c r="AK148" s="1"/>
      <c r="AL148" s="12"/>
      <c r="AM148" s="12"/>
      <c r="AN148" s="1"/>
      <c r="AO148" s="6"/>
    </row>
    <row r="149" spans="1:41" ht="15" x14ac:dyDescent="0.25">
      <c r="A149" s="1"/>
      <c r="B149" s="1"/>
      <c r="C149" s="1"/>
      <c r="D149" s="1"/>
      <c r="E149" s="6"/>
      <c r="F149" s="1"/>
      <c r="G149" s="6"/>
      <c r="H149" s="6"/>
      <c r="I149" s="6"/>
      <c r="J149" s="6"/>
      <c r="K149" s="6"/>
      <c r="L149" s="6"/>
      <c r="M149" s="6"/>
      <c r="N149" s="6"/>
      <c r="O149" s="7"/>
      <c r="P149" s="6"/>
      <c r="Q149" s="6"/>
      <c r="R149" s="7"/>
      <c r="S149" s="6"/>
      <c r="T149" s="6"/>
      <c r="U149" s="7"/>
      <c r="V149" s="6"/>
      <c r="W149" s="6"/>
      <c r="X149" s="12"/>
      <c r="Y149" s="6"/>
      <c r="Z149" s="6"/>
      <c r="AA149" s="7"/>
      <c r="AB149" s="6"/>
      <c r="AC149" s="6"/>
      <c r="AD149" s="6"/>
      <c r="AE149" s="12"/>
      <c r="AF149" s="12"/>
      <c r="AG149" s="12"/>
      <c r="AH149" s="12"/>
      <c r="AI149" s="6"/>
      <c r="AJ149" s="12"/>
      <c r="AK149" s="1"/>
      <c r="AL149" s="12"/>
      <c r="AM149" s="12"/>
      <c r="AN149" s="1"/>
      <c r="AO149" s="6"/>
    </row>
    <row r="150" spans="1:41" ht="15" x14ac:dyDescent="0.25">
      <c r="A150" s="1"/>
      <c r="B150" s="1"/>
      <c r="C150" s="1"/>
      <c r="D150" s="1"/>
      <c r="E150" s="6"/>
      <c r="F150" s="1"/>
      <c r="G150" s="6"/>
      <c r="H150" s="6"/>
      <c r="I150" s="6"/>
      <c r="J150" s="6"/>
      <c r="K150" s="6"/>
      <c r="L150" s="6"/>
      <c r="M150" s="6"/>
      <c r="N150" s="6"/>
      <c r="O150" s="7"/>
      <c r="P150" s="6"/>
      <c r="Q150" s="6"/>
      <c r="R150" s="7"/>
      <c r="S150" s="6"/>
      <c r="T150" s="6"/>
      <c r="U150" s="7"/>
      <c r="V150" s="6"/>
      <c r="W150" s="6"/>
      <c r="X150" s="12"/>
      <c r="Y150" s="6"/>
      <c r="Z150" s="6"/>
      <c r="AA150" s="7"/>
      <c r="AB150" s="6"/>
      <c r="AC150" s="6"/>
      <c r="AD150" s="6"/>
      <c r="AE150" s="12"/>
      <c r="AF150" s="12"/>
      <c r="AG150" s="12"/>
      <c r="AH150" s="12"/>
      <c r="AI150" s="6"/>
      <c r="AJ150" s="12"/>
      <c r="AK150" s="1"/>
      <c r="AL150" s="12"/>
      <c r="AM150" s="12"/>
      <c r="AN150" s="1"/>
      <c r="AO150" s="6"/>
    </row>
    <row r="151" spans="1:41" ht="15" x14ac:dyDescent="0.25">
      <c r="A151" s="1"/>
      <c r="B151" s="1"/>
      <c r="C151" s="1"/>
      <c r="D151" s="1"/>
      <c r="E151" s="6"/>
      <c r="F151" s="1"/>
      <c r="G151" s="6"/>
      <c r="H151" s="6"/>
      <c r="I151" s="6"/>
      <c r="J151" s="6"/>
      <c r="K151" s="6"/>
      <c r="L151" s="6"/>
      <c r="M151" s="6"/>
      <c r="N151" s="6"/>
      <c r="O151" s="7"/>
      <c r="P151" s="6"/>
      <c r="Q151" s="6"/>
      <c r="R151" s="7"/>
      <c r="S151" s="6"/>
      <c r="T151" s="6"/>
      <c r="U151" s="7"/>
      <c r="V151" s="6"/>
      <c r="W151" s="6"/>
      <c r="X151" s="12"/>
      <c r="Y151" s="6"/>
      <c r="Z151" s="6"/>
      <c r="AA151" s="7"/>
      <c r="AB151" s="6"/>
      <c r="AC151" s="6"/>
      <c r="AD151" s="6"/>
      <c r="AE151" s="12"/>
      <c r="AF151" s="12"/>
      <c r="AG151" s="12"/>
      <c r="AH151" s="12"/>
      <c r="AI151" s="6"/>
      <c r="AJ151" s="12"/>
      <c r="AK151" s="24"/>
      <c r="AL151" s="25"/>
      <c r="AM151" s="12"/>
      <c r="AN151" s="1"/>
      <c r="AO151" s="6"/>
    </row>
    <row r="152" spans="1:41" ht="15" x14ac:dyDescent="0.25">
      <c r="A152" s="1"/>
      <c r="B152" s="1"/>
      <c r="C152" s="1"/>
      <c r="D152" s="1"/>
      <c r="E152" s="6"/>
      <c r="F152" s="1"/>
      <c r="G152" s="6"/>
      <c r="H152" s="6"/>
      <c r="I152" s="6"/>
      <c r="J152" s="6"/>
      <c r="K152" s="6"/>
      <c r="L152" s="6"/>
      <c r="M152" s="6"/>
      <c r="N152" s="6"/>
      <c r="O152" s="7"/>
      <c r="P152" s="6"/>
      <c r="Q152" s="6"/>
      <c r="R152" s="7"/>
      <c r="S152" s="6"/>
      <c r="T152" s="6"/>
      <c r="U152" s="7"/>
      <c r="V152" s="6"/>
      <c r="W152" s="6"/>
      <c r="X152" s="12"/>
      <c r="Y152" s="6"/>
      <c r="Z152" s="6"/>
      <c r="AA152" s="7"/>
      <c r="AB152" s="6"/>
      <c r="AC152" s="6"/>
      <c r="AD152" s="6"/>
      <c r="AE152" s="12"/>
      <c r="AF152" s="6"/>
      <c r="AG152" s="12"/>
      <c r="AH152" s="6"/>
      <c r="AI152" s="6"/>
      <c r="AJ152" s="12"/>
      <c r="AK152" s="24"/>
      <c r="AL152" s="25"/>
      <c r="AM152" s="12"/>
      <c r="AN152" s="1"/>
      <c r="AO152" s="6"/>
    </row>
    <row r="153" spans="1:41" ht="15" x14ac:dyDescent="0.25">
      <c r="A153" s="1"/>
      <c r="B153" s="1"/>
      <c r="C153" s="1"/>
      <c r="D153" s="1"/>
      <c r="E153" s="6"/>
      <c r="F153" s="1"/>
      <c r="G153" s="6"/>
      <c r="H153" s="6"/>
      <c r="I153" s="6"/>
      <c r="J153" s="6"/>
      <c r="K153" s="6"/>
      <c r="L153" s="6"/>
      <c r="M153" s="6"/>
      <c r="N153" s="6"/>
      <c r="O153" s="7"/>
      <c r="P153" s="6"/>
      <c r="Q153" s="6"/>
      <c r="R153" s="7"/>
      <c r="S153" s="6"/>
      <c r="T153" s="6"/>
      <c r="U153" s="7"/>
      <c r="V153" s="6"/>
      <c r="W153" s="6"/>
      <c r="X153" s="6"/>
      <c r="Y153" s="6"/>
      <c r="Z153" s="6"/>
      <c r="AA153" s="7"/>
      <c r="AB153" s="6"/>
      <c r="AC153" s="6"/>
      <c r="AD153" s="6"/>
      <c r="AE153" s="12"/>
      <c r="AF153" s="6"/>
      <c r="AG153" s="12"/>
      <c r="AH153" s="6"/>
      <c r="AI153" s="6"/>
      <c r="AJ153" s="12"/>
      <c r="AK153" s="1"/>
      <c r="AL153" s="12"/>
      <c r="AM153" s="12"/>
      <c r="AN153" s="1"/>
      <c r="AO153" s="6"/>
    </row>
    <row r="154" spans="1:41" ht="15" x14ac:dyDescent="0.25">
      <c r="A154" s="1"/>
      <c r="B154" s="1"/>
      <c r="C154" s="1"/>
      <c r="D154" s="1"/>
      <c r="E154" s="6"/>
      <c r="F154" s="1"/>
      <c r="G154" s="6"/>
      <c r="H154" s="6"/>
      <c r="I154" s="6"/>
      <c r="J154" s="6"/>
      <c r="K154" s="6"/>
      <c r="L154" s="6"/>
      <c r="M154" s="6"/>
      <c r="N154" s="6"/>
      <c r="O154" s="7"/>
      <c r="P154" s="6"/>
      <c r="Q154" s="6"/>
      <c r="R154" s="7"/>
      <c r="S154" s="6"/>
      <c r="T154" s="6"/>
      <c r="U154" s="7"/>
      <c r="V154" s="6"/>
      <c r="W154" s="6"/>
      <c r="X154" s="12"/>
      <c r="Y154" s="6"/>
      <c r="Z154" s="6"/>
      <c r="AA154" s="7"/>
      <c r="AB154" s="6"/>
      <c r="AC154" s="6"/>
      <c r="AD154" s="6"/>
      <c r="AE154" s="12"/>
      <c r="AF154" s="6"/>
      <c r="AG154" s="12"/>
      <c r="AH154" s="6"/>
      <c r="AI154" s="6"/>
      <c r="AJ154" s="12"/>
      <c r="AK154" s="24"/>
      <c r="AL154" s="25"/>
      <c r="AM154" s="12"/>
      <c r="AN154" s="1"/>
      <c r="AO154" s="6"/>
    </row>
    <row r="155" spans="1:41" ht="15" x14ac:dyDescent="0.25">
      <c r="A155" s="1"/>
      <c r="B155" s="1"/>
      <c r="C155" s="1"/>
      <c r="D155" s="1"/>
      <c r="E155" s="6"/>
      <c r="F155" s="1"/>
      <c r="G155" s="6"/>
      <c r="H155" s="6"/>
      <c r="I155" s="6"/>
      <c r="J155" s="6"/>
      <c r="K155" s="6"/>
      <c r="L155" s="6"/>
      <c r="M155" s="6"/>
      <c r="N155" s="6"/>
      <c r="O155" s="7"/>
      <c r="P155" s="6"/>
      <c r="Q155" s="6"/>
      <c r="R155" s="7"/>
      <c r="S155" s="6"/>
      <c r="T155" s="6"/>
      <c r="U155" s="7"/>
      <c r="V155" s="6"/>
      <c r="W155" s="6"/>
      <c r="X155" s="6"/>
      <c r="Y155" s="6"/>
      <c r="Z155" s="6"/>
      <c r="AA155" s="7"/>
      <c r="AB155" s="6"/>
      <c r="AC155" s="6"/>
      <c r="AD155" s="6"/>
      <c r="AE155" s="12"/>
      <c r="AF155" s="6"/>
      <c r="AG155" s="12"/>
      <c r="AH155" s="6"/>
      <c r="AI155" s="6"/>
      <c r="AJ155" s="12"/>
      <c r="AK155" s="24"/>
      <c r="AL155" s="25"/>
      <c r="AM155" s="12"/>
      <c r="AN155" s="1"/>
      <c r="AO155" s="6"/>
    </row>
    <row r="156" spans="1:41" ht="15" x14ac:dyDescent="0.25">
      <c r="A156" s="1"/>
      <c r="B156" s="1"/>
      <c r="C156" s="1"/>
      <c r="D156" s="1"/>
      <c r="E156" s="6"/>
      <c r="F156" s="1"/>
      <c r="G156" s="6"/>
      <c r="H156" s="6"/>
      <c r="I156" s="6"/>
      <c r="J156" s="6"/>
      <c r="K156" s="6"/>
      <c r="L156" s="6"/>
      <c r="M156" s="6"/>
      <c r="N156" s="6"/>
      <c r="O156" s="7"/>
      <c r="P156" s="6"/>
      <c r="Q156" s="6"/>
      <c r="R156" s="7"/>
      <c r="S156" s="6"/>
      <c r="T156" s="6"/>
      <c r="U156" s="7"/>
      <c r="V156" s="6"/>
      <c r="W156" s="6"/>
      <c r="X156" s="6"/>
      <c r="Y156" s="6"/>
      <c r="Z156" s="6"/>
      <c r="AA156" s="7"/>
      <c r="AB156" s="6"/>
      <c r="AC156" s="6"/>
      <c r="AD156" s="6"/>
      <c r="AE156" s="12"/>
      <c r="AF156" s="12"/>
      <c r="AG156" s="12"/>
      <c r="AH156" s="12"/>
      <c r="AI156" s="6"/>
      <c r="AJ156" s="12"/>
      <c r="AK156" s="1"/>
      <c r="AL156" s="12"/>
      <c r="AM156" s="12"/>
      <c r="AN156" s="1"/>
      <c r="AO156" s="6"/>
    </row>
    <row r="157" spans="1:41" ht="15" x14ac:dyDescent="0.25">
      <c r="A157" s="1"/>
      <c r="B157" s="1"/>
      <c r="C157" s="1"/>
      <c r="D157" s="1"/>
      <c r="E157" s="6"/>
      <c r="F157" s="1"/>
      <c r="G157" s="6"/>
      <c r="H157" s="6"/>
      <c r="I157" s="6"/>
      <c r="J157" s="6"/>
      <c r="K157" s="6"/>
      <c r="L157" s="6"/>
      <c r="M157" s="6"/>
      <c r="N157" s="6"/>
      <c r="O157" s="7"/>
      <c r="P157" s="6"/>
      <c r="Q157" s="7"/>
      <c r="R157" s="6"/>
      <c r="S157" s="6"/>
      <c r="T157" s="6"/>
      <c r="U157" s="6"/>
      <c r="V157" s="7"/>
      <c r="W157" s="7"/>
      <c r="X157" s="6"/>
      <c r="Y157" s="6"/>
      <c r="Z157" s="6"/>
      <c r="AA157" s="1"/>
      <c r="AB157" s="12"/>
      <c r="AC157" s="12"/>
      <c r="AD157" s="12"/>
      <c r="AE157" s="12"/>
      <c r="AF157" s="12"/>
      <c r="AG157" s="12"/>
      <c r="AH157" s="12"/>
      <c r="AI157" s="6"/>
      <c r="AJ157" s="12"/>
      <c r="AK157" s="12"/>
      <c r="AL157" s="12"/>
      <c r="AM157" s="12"/>
      <c r="AN157" s="1"/>
      <c r="AO157" s="6"/>
    </row>
    <row r="158" spans="1:41" ht="15" x14ac:dyDescent="0.25">
      <c r="A158" s="1"/>
      <c r="B158" s="1"/>
      <c r="C158" s="1"/>
      <c r="D158" s="1"/>
      <c r="E158" s="6"/>
      <c r="F158" s="1"/>
      <c r="G158" s="6"/>
      <c r="H158" s="6"/>
      <c r="I158" s="6"/>
      <c r="J158" s="6"/>
      <c r="K158" s="6"/>
      <c r="L158" s="6"/>
      <c r="M158" s="6"/>
      <c r="N158" s="6"/>
      <c r="O158" s="7"/>
      <c r="P158" s="6"/>
      <c r="Q158" s="6"/>
      <c r="R158" s="7"/>
      <c r="S158" s="6"/>
      <c r="T158" s="6"/>
      <c r="U158" s="7"/>
      <c r="V158" s="6"/>
      <c r="W158" s="6"/>
      <c r="X158" s="6"/>
      <c r="Y158" s="6"/>
      <c r="Z158" s="6"/>
      <c r="AA158" s="7"/>
      <c r="AB158" s="6"/>
      <c r="AC158" s="6"/>
      <c r="AD158" s="6"/>
      <c r="AE158" s="12"/>
      <c r="AF158" s="6"/>
      <c r="AG158" s="12"/>
      <c r="AH158" s="6"/>
      <c r="AI158" s="6"/>
      <c r="AJ158" s="12"/>
      <c r="AK158" s="1"/>
      <c r="AL158" s="12"/>
      <c r="AM158" s="12"/>
      <c r="AN158" s="1"/>
      <c r="AO158" s="6"/>
    </row>
    <row r="159" spans="1:41" ht="15" x14ac:dyDescent="0.25">
      <c r="A159" s="1"/>
      <c r="B159" s="1"/>
      <c r="C159" s="1"/>
      <c r="D159" s="1"/>
      <c r="E159" s="6"/>
      <c r="F159" s="1"/>
      <c r="G159" s="6"/>
      <c r="H159" s="6"/>
      <c r="I159" s="6"/>
      <c r="J159" s="6"/>
      <c r="K159" s="6"/>
      <c r="L159" s="6"/>
      <c r="M159" s="6"/>
      <c r="N159" s="6"/>
      <c r="O159" s="7"/>
      <c r="P159" s="6"/>
      <c r="Q159" s="6"/>
      <c r="R159" s="7"/>
      <c r="S159" s="6"/>
      <c r="T159" s="6"/>
      <c r="U159" s="7"/>
      <c r="V159" s="6"/>
      <c r="W159" s="6"/>
      <c r="X159" s="6"/>
      <c r="Y159" s="6"/>
      <c r="Z159" s="6"/>
      <c r="AA159" s="7"/>
      <c r="AB159" s="6"/>
      <c r="AC159" s="6"/>
      <c r="AD159" s="6"/>
      <c r="AE159" s="12"/>
      <c r="AF159" s="6"/>
      <c r="AG159" s="12"/>
      <c r="AH159" s="6"/>
      <c r="AI159" s="6"/>
      <c r="AJ159" s="12"/>
      <c r="AK159" s="1"/>
      <c r="AL159" s="12"/>
      <c r="AM159" s="12"/>
      <c r="AN159" s="1"/>
      <c r="AO159" s="6"/>
    </row>
    <row r="160" spans="1:41" ht="15" x14ac:dyDescent="0.25">
      <c r="A160" s="1"/>
      <c r="B160" s="1"/>
      <c r="C160" s="1"/>
      <c r="D160" s="1"/>
      <c r="E160" s="6"/>
      <c r="F160" s="1"/>
      <c r="G160" s="6"/>
      <c r="H160" s="6"/>
      <c r="I160" s="6"/>
      <c r="J160" s="6"/>
      <c r="K160" s="6"/>
      <c r="L160" s="6"/>
      <c r="M160" s="6"/>
      <c r="N160" s="6"/>
      <c r="O160" s="7"/>
      <c r="P160" s="6"/>
      <c r="Q160" s="7"/>
      <c r="R160" s="6"/>
      <c r="S160" s="6"/>
      <c r="T160" s="6"/>
      <c r="U160" s="6"/>
      <c r="V160" s="7"/>
      <c r="W160" s="7"/>
      <c r="X160" s="6"/>
      <c r="Y160" s="6"/>
      <c r="Z160" s="6"/>
      <c r="AA160" s="1"/>
      <c r="AB160" s="12"/>
      <c r="AC160" s="12"/>
      <c r="AD160" s="12"/>
      <c r="AE160" s="12"/>
      <c r="AF160" s="12"/>
      <c r="AG160" s="12"/>
      <c r="AH160" s="12"/>
      <c r="AI160" s="6"/>
      <c r="AJ160" s="12"/>
      <c r="AK160" s="12"/>
      <c r="AL160" s="12"/>
      <c r="AM160" s="12"/>
      <c r="AN160" s="1"/>
      <c r="AO160" s="6"/>
    </row>
    <row r="161" spans="1:41" ht="15" x14ac:dyDescent="0.25">
      <c r="A161" s="1"/>
      <c r="B161" s="1"/>
      <c r="C161" s="1"/>
      <c r="D161" s="1"/>
      <c r="E161" s="6"/>
      <c r="F161" s="1"/>
      <c r="G161" s="6"/>
      <c r="H161" s="6"/>
      <c r="I161" s="6"/>
      <c r="J161" s="6"/>
      <c r="K161" s="6"/>
      <c r="L161" s="6"/>
      <c r="M161" s="6"/>
      <c r="N161" s="6"/>
      <c r="O161" s="7"/>
      <c r="P161" s="6"/>
      <c r="Q161" s="6"/>
      <c r="R161" s="7"/>
      <c r="S161" s="6"/>
      <c r="T161" s="6"/>
      <c r="U161" s="7"/>
      <c r="V161" s="6"/>
      <c r="W161" s="6"/>
      <c r="X161" s="6"/>
      <c r="Y161" s="6"/>
      <c r="Z161" s="6"/>
      <c r="AA161" s="7"/>
      <c r="AB161" s="6"/>
      <c r="AC161" s="6"/>
      <c r="AD161" s="6"/>
      <c r="AE161" s="12"/>
      <c r="AF161" s="12"/>
      <c r="AG161" s="12"/>
      <c r="AH161" s="12"/>
      <c r="AI161" s="6"/>
      <c r="AJ161" s="12"/>
      <c r="AK161" s="1"/>
      <c r="AL161" s="12"/>
      <c r="AM161" s="12"/>
      <c r="AN161" s="1"/>
      <c r="AO161" s="6"/>
    </row>
    <row r="162" spans="1:41" ht="15" x14ac:dyDescent="0.25">
      <c r="A162" s="1"/>
      <c r="B162" s="1"/>
      <c r="C162" s="1"/>
      <c r="D162" s="1"/>
      <c r="E162" s="6"/>
      <c r="F162" s="1"/>
      <c r="G162" s="6"/>
      <c r="H162" s="6"/>
      <c r="I162" s="6"/>
      <c r="J162" s="6"/>
      <c r="K162" s="6"/>
      <c r="L162" s="6"/>
      <c r="M162" s="6"/>
      <c r="N162" s="6"/>
      <c r="O162" s="7"/>
      <c r="P162" s="6"/>
      <c r="Q162" s="6"/>
      <c r="R162" s="7"/>
      <c r="S162" s="6"/>
      <c r="T162" s="6"/>
      <c r="U162" s="7"/>
      <c r="V162" s="6"/>
      <c r="W162" s="6"/>
      <c r="X162" s="12"/>
      <c r="Y162" s="6"/>
      <c r="Z162" s="6"/>
      <c r="AA162" s="7"/>
      <c r="AB162" s="6"/>
      <c r="AC162" s="6"/>
      <c r="AD162" s="6"/>
      <c r="AE162" s="12"/>
      <c r="AF162" s="12"/>
      <c r="AG162" s="12"/>
      <c r="AH162" s="12"/>
      <c r="AI162" s="6"/>
      <c r="AJ162" s="12"/>
      <c r="AK162" s="24"/>
      <c r="AL162" s="25"/>
      <c r="AM162" s="12"/>
      <c r="AN162" s="1"/>
      <c r="AO162" s="6"/>
    </row>
    <row r="163" spans="1:41" ht="15" x14ac:dyDescent="0.25">
      <c r="A163" s="1"/>
      <c r="B163" s="1"/>
      <c r="C163" s="1"/>
      <c r="D163" s="1"/>
      <c r="E163" s="6"/>
      <c r="F163" s="1"/>
      <c r="G163" s="6"/>
      <c r="H163" s="6"/>
      <c r="I163" s="6"/>
      <c r="J163" s="6"/>
      <c r="K163" s="6"/>
      <c r="L163" s="6"/>
      <c r="M163" s="6"/>
      <c r="N163" s="6"/>
      <c r="O163" s="7"/>
      <c r="P163" s="6"/>
      <c r="Q163" s="6"/>
      <c r="R163" s="7"/>
      <c r="S163" s="6"/>
      <c r="T163" s="6"/>
      <c r="U163" s="7"/>
      <c r="V163" s="6"/>
      <c r="W163" s="6"/>
      <c r="X163" s="6"/>
      <c r="Y163" s="6"/>
      <c r="Z163" s="6"/>
      <c r="AA163" s="7"/>
      <c r="AB163" s="6"/>
      <c r="AC163" s="6"/>
      <c r="AD163" s="6"/>
      <c r="AE163" s="12"/>
      <c r="AF163" s="12"/>
      <c r="AG163" s="12"/>
      <c r="AH163" s="12"/>
      <c r="AI163" s="6"/>
      <c r="AJ163" s="12"/>
      <c r="AK163" s="1"/>
      <c r="AL163" s="12"/>
      <c r="AM163" s="12"/>
      <c r="AN163" s="1"/>
      <c r="AO163" s="6"/>
    </row>
    <row r="164" spans="1:41" ht="15" x14ac:dyDescent="0.25">
      <c r="A164" s="1"/>
      <c r="B164" s="1"/>
      <c r="C164" s="1"/>
      <c r="D164" s="1"/>
      <c r="E164" s="6"/>
      <c r="F164" s="1"/>
      <c r="G164" s="6"/>
      <c r="H164" s="6"/>
      <c r="I164" s="6"/>
      <c r="J164" s="6"/>
      <c r="K164" s="6"/>
      <c r="L164" s="6"/>
      <c r="M164" s="6"/>
      <c r="N164" s="6"/>
      <c r="O164" s="7"/>
      <c r="P164" s="6"/>
      <c r="Q164" s="6"/>
      <c r="R164" s="7"/>
      <c r="S164" s="6"/>
      <c r="T164" s="6"/>
      <c r="U164" s="7"/>
      <c r="V164" s="6"/>
      <c r="W164" s="6"/>
      <c r="X164" s="6"/>
      <c r="Y164" s="6"/>
      <c r="Z164" s="6"/>
      <c r="AA164" s="7"/>
      <c r="AB164" s="6"/>
      <c r="AC164" s="6"/>
      <c r="AD164" s="6"/>
      <c r="AE164" s="12"/>
      <c r="AF164" s="6"/>
      <c r="AG164" s="12"/>
      <c r="AH164" s="6"/>
      <c r="AI164" s="6"/>
      <c r="AJ164" s="12"/>
      <c r="AK164" s="1"/>
      <c r="AL164" s="12"/>
      <c r="AM164" s="12"/>
      <c r="AN164" s="1"/>
      <c r="AO164" s="6"/>
    </row>
    <row r="165" spans="1:41" ht="15" x14ac:dyDescent="0.25">
      <c r="A165" s="1"/>
      <c r="B165" s="1"/>
      <c r="C165" s="1"/>
      <c r="D165" s="1"/>
      <c r="E165" s="6"/>
      <c r="F165" s="1"/>
      <c r="G165" s="6"/>
      <c r="H165" s="6"/>
      <c r="I165" s="6"/>
      <c r="J165" s="6"/>
      <c r="K165" s="6"/>
      <c r="L165" s="6"/>
      <c r="M165" s="6"/>
      <c r="N165" s="6"/>
      <c r="O165" s="7"/>
      <c r="P165" s="6"/>
      <c r="Q165" s="6"/>
      <c r="R165" s="7"/>
      <c r="S165" s="6"/>
      <c r="T165" s="6"/>
      <c r="U165" s="7"/>
      <c r="V165" s="6"/>
      <c r="W165" s="6"/>
      <c r="X165" s="12"/>
      <c r="Y165" s="6"/>
      <c r="Z165" s="6"/>
      <c r="AA165" s="7"/>
      <c r="AB165" s="6"/>
      <c r="AC165" s="6"/>
      <c r="AD165" s="6"/>
      <c r="AE165" s="12"/>
      <c r="AF165" s="6"/>
      <c r="AG165" s="12"/>
      <c r="AH165" s="6"/>
      <c r="AI165" s="6"/>
      <c r="AJ165" s="12"/>
      <c r="AK165" s="1"/>
      <c r="AL165" s="12"/>
      <c r="AM165" s="12"/>
      <c r="AN165" s="1"/>
      <c r="AO165" s="6"/>
    </row>
    <row r="166" spans="1:41" ht="15" x14ac:dyDescent="0.25">
      <c r="A166" s="1"/>
      <c r="B166" s="1"/>
      <c r="C166" s="1"/>
      <c r="D166" s="1"/>
      <c r="E166" s="6"/>
      <c r="F166" s="1"/>
      <c r="G166" s="6"/>
      <c r="H166" s="6"/>
      <c r="I166" s="6"/>
      <c r="J166" s="6"/>
      <c r="K166" s="6"/>
      <c r="L166" s="6"/>
      <c r="M166" s="6"/>
      <c r="N166" s="6"/>
      <c r="O166" s="7"/>
      <c r="P166" s="6"/>
      <c r="Q166" s="6"/>
      <c r="R166" s="7"/>
      <c r="S166" s="6"/>
      <c r="T166" s="6"/>
      <c r="U166" s="7"/>
      <c r="V166" s="6"/>
      <c r="W166" s="6"/>
      <c r="X166" s="12"/>
      <c r="Y166" s="6"/>
      <c r="Z166" s="6"/>
      <c r="AA166" s="7"/>
      <c r="AB166" s="6"/>
      <c r="AC166" s="6"/>
      <c r="AD166" s="6"/>
      <c r="AE166" s="12"/>
      <c r="AF166" s="6"/>
      <c r="AG166" s="12"/>
      <c r="AH166" s="6"/>
      <c r="AI166" s="6"/>
      <c r="AJ166" s="12"/>
      <c r="AK166" s="1"/>
      <c r="AL166" s="12"/>
      <c r="AM166" s="12"/>
      <c r="AN166" s="1"/>
      <c r="AO166" s="6"/>
    </row>
    <row r="167" spans="1:41" ht="15" x14ac:dyDescent="0.25">
      <c r="A167" s="1"/>
      <c r="B167" s="1"/>
      <c r="C167" s="1"/>
      <c r="D167" s="1"/>
      <c r="E167" s="6"/>
      <c r="F167" s="1"/>
      <c r="G167" s="6"/>
      <c r="H167" s="6"/>
      <c r="I167" s="6"/>
      <c r="J167" s="6"/>
      <c r="K167" s="12"/>
      <c r="L167" s="12"/>
      <c r="M167" s="6"/>
      <c r="N167" s="6"/>
      <c r="O167" s="7"/>
      <c r="P167" s="6"/>
      <c r="Q167" s="6"/>
      <c r="R167" s="7"/>
      <c r="S167" s="6"/>
      <c r="T167" s="6"/>
      <c r="U167" s="7"/>
      <c r="V167" s="6"/>
      <c r="W167" s="6"/>
      <c r="X167" s="12"/>
      <c r="Y167" s="6"/>
      <c r="Z167" s="6"/>
      <c r="AA167" s="7"/>
      <c r="AB167" s="6"/>
      <c r="AC167" s="6"/>
      <c r="AD167" s="6"/>
      <c r="AE167" s="12"/>
      <c r="AF167" s="12"/>
      <c r="AG167" s="12"/>
      <c r="AH167" s="12"/>
      <c r="AI167" s="6"/>
      <c r="AJ167" s="12"/>
      <c r="AK167" s="1"/>
      <c r="AL167" s="12"/>
      <c r="AM167" s="12"/>
      <c r="AN167" s="1"/>
      <c r="AO167" s="6"/>
    </row>
    <row r="168" spans="1:41" ht="15" x14ac:dyDescent="0.25">
      <c r="A168" s="1"/>
      <c r="B168" s="1"/>
      <c r="C168" s="1"/>
      <c r="D168" s="1"/>
      <c r="E168" s="6"/>
      <c r="F168" s="1"/>
      <c r="G168" s="6"/>
      <c r="H168" s="6"/>
      <c r="I168" s="6"/>
      <c r="J168" s="6"/>
      <c r="K168" s="6"/>
      <c r="L168" s="6"/>
      <c r="M168" s="6"/>
      <c r="N168" s="6"/>
      <c r="O168" s="7"/>
      <c r="P168" s="6"/>
      <c r="Q168" s="7"/>
      <c r="R168" s="6"/>
      <c r="S168" s="12"/>
      <c r="T168" s="6"/>
      <c r="U168" s="6"/>
      <c r="V168" s="7"/>
      <c r="W168" s="7"/>
      <c r="X168" s="6"/>
      <c r="Y168" s="6"/>
      <c r="Z168" s="6"/>
      <c r="AA168" s="1"/>
      <c r="AB168" s="12"/>
      <c r="AC168" s="12"/>
      <c r="AD168" s="12"/>
      <c r="AE168" s="12"/>
      <c r="AF168" s="6"/>
      <c r="AG168" s="12"/>
      <c r="AH168" s="6"/>
      <c r="AI168" s="6"/>
      <c r="AJ168" s="12"/>
      <c r="AK168" s="12"/>
      <c r="AL168" s="12"/>
      <c r="AM168" s="12"/>
      <c r="AN168" s="1"/>
      <c r="AO168" s="6"/>
    </row>
    <row r="169" spans="1:41" ht="15" x14ac:dyDescent="0.25">
      <c r="A169" s="1"/>
      <c r="B169" s="1"/>
      <c r="C169" s="1"/>
      <c r="D169" s="1"/>
      <c r="E169" s="6"/>
      <c r="F169" s="1"/>
      <c r="G169" s="6"/>
      <c r="H169" s="6"/>
      <c r="I169" s="6"/>
      <c r="J169" s="6"/>
      <c r="K169" s="6"/>
      <c r="L169" s="6"/>
      <c r="M169" s="6"/>
      <c r="N169" s="6"/>
      <c r="O169" s="7"/>
      <c r="P169" s="6"/>
      <c r="Q169" s="6"/>
      <c r="R169" s="7"/>
      <c r="S169" s="6"/>
      <c r="T169" s="6"/>
      <c r="U169" s="7"/>
      <c r="V169" s="6"/>
      <c r="W169" s="6"/>
      <c r="X169" s="12"/>
      <c r="Y169" s="6"/>
      <c r="Z169" s="6"/>
      <c r="AA169" s="7"/>
      <c r="AB169" s="6"/>
      <c r="AC169" s="6"/>
      <c r="AD169" s="6"/>
      <c r="AE169" s="12"/>
      <c r="AF169" s="6"/>
      <c r="AG169" s="12"/>
      <c r="AH169" s="6"/>
      <c r="AI169" s="6"/>
      <c r="AJ169" s="12"/>
      <c r="AK169" s="24"/>
      <c r="AL169" s="25"/>
      <c r="AM169" s="12"/>
      <c r="AN169" s="1"/>
      <c r="AO169" s="6"/>
    </row>
    <row r="170" spans="1:41" ht="15" x14ac:dyDescent="0.25">
      <c r="A170" s="1"/>
      <c r="B170" s="1"/>
      <c r="C170" s="1"/>
      <c r="D170" s="1"/>
      <c r="E170" s="6"/>
      <c r="F170" s="1"/>
      <c r="G170" s="6"/>
      <c r="H170" s="6"/>
      <c r="I170" s="6"/>
      <c r="J170" s="6"/>
      <c r="K170" s="6"/>
      <c r="L170" s="6"/>
      <c r="M170" s="6"/>
      <c r="N170" s="6"/>
      <c r="O170" s="7"/>
      <c r="P170" s="6"/>
      <c r="Q170" s="6"/>
      <c r="R170" s="7"/>
      <c r="S170" s="6"/>
      <c r="T170" s="6"/>
      <c r="U170" s="7"/>
      <c r="V170" s="6"/>
      <c r="W170" s="6"/>
      <c r="X170" s="6"/>
      <c r="Y170" s="6"/>
      <c r="Z170" s="6"/>
      <c r="AA170" s="7"/>
      <c r="AB170" s="6"/>
      <c r="AC170" s="6"/>
      <c r="AD170" s="6"/>
      <c r="AE170" s="12"/>
      <c r="AF170" s="6"/>
      <c r="AG170" s="12"/>
      <c r="AH170" s="6"/>
      <c r="AI170" s="6"/>
      <c r="AJ170" s="12"/>
      <c r="AK170" s="1"/>
      <c r="AL170" s="12"/>
      <c r="AM170" s="12"/>
      <c r="AN170" s="1"/>
      <c r="AO170" s="6"/>
    </row>
    <row r="171" spans="1:41" ht="15" x14ac:dyDescent="0.25">
      <c r="A171" s="1"/>
      <c r="B171" s="1"/>
      <c r="C171" s="1"/>
      <c r="D171" s="1"/>
      <c r="E171" s="6"/>
      <c r="F171" s="1"/>
      <c r="G171" s="6"/>
      <c r="H171" s="6"/>
      <c r="I171" s="6"/>
      <c r="J171" s="6"/>
      <c r="K171" s="6"/>
      <c r="L171" s="6"/>
      <c r="M171" s="6"/>
      <c r="N171" s="6"/>
      <c r="O171" s="7"/>
      <c r="P171" s="6"/>
      <c r="Q171" s="6"/>
      <c r="R171" s="7"/>
      <c r="S171" s="6"/>
      <c r="T171" s="6"/>
      <c r="U171" s="7"/>
      <c r="V171" s="6"/>
      <c r="W171" s="6"/>
      <c r="X171" s="12"/>
      <c r="Y171" s="6"/>
      <c r="Z171" s="6"/>
      <c r="AA171" s="7"/>
      <c r="AB171" s="6"/>
      <c r="AC171" s="6"/>
      <c r="AD171" s="6"/>
      <c r="AE171" s="12"/>
      <c r="AF171" s="6"/>
      <c r="AG171" s="12"/>
      <c r="AH171" s="6"/>
      <c r="AI171" s="6"/>
      <c r="AJ171" s="12"/>
      <c r="AK171" s="24"/>
      <c r="AL171" s="25"/>
      <c r="AM171" s="12"/>
      <c r="AN171" s="1"/>
      <c r="AO171" s="6"/>
    </row>
    <row r="172" spans="1:41" ht="15" x14ac:dyDescent="0.25">
      <c r="A172" s="1"/>
      <c r="B172" s="1"/>
      <c r="C172" s="1"/>
      <c r="D172" s="1"/>
      <c r="E172" s="6"/>
      <c r="F172" s="1"/>
      <c r="G172" s="6"/>
      <c r="H172" s="6"/>
      <c r="I172" s="6"/>
      <c r="J172" s="6"/>
      <c r="K172" s="6"/>
      <c r="L172" s="6"/>
      <c r="M172" s="6"/>
      <c r="N172" s="6"/>
      <c r="O172" s="7"/>
      <c r="P172" s="6"/>
      <c r="Q172" s="6"/>
      <c r="R172" s="12"/>
      <c r="S172" s="12"/>
      <c r="T172" s="12"/>
      <c r="U172" s="7"/>
      <c r="V172" s="6"/>
      <c r="W172" s="6"/>
      <c r="X172" s="12"/>
      <c r="Y172" s="6"/>
      <c r="Z172" s="6"/>
      <c r="AA172" s="7"/>
      <c r="AB172" s="6"/>
      <c r="AC172" s="6"/>
      <c r="AD172" s="6"/>
      <c r="AE172" s="12"/>
      <c r="AF172" s="6"/>
      <c r="AG172" s="12"/>
      <c r="AH172" s="6"/>
      <c r="AI172" s="6"/>
      <c r="AJ172" s="12"/>
      <c r="AK172" s="1"/>
      <c r="AL172" s="12"/>
      <c r="AM172" s="12"/>
      <c r="AN172" s="1"/>
      <c r="AO172" s="6"/>
    </row>
    <row r="173" spans="1:41" ht="15" x14ac:dyDescent="0.25">
      <c r="A173" s="1"/>
      <c r="B173" s="1"/>
      <c r="C173" s="1"/>
      <c r="D173" s="1"/>
      <c r="E173" s="6"/>
      <c r="F173" s="1"/>
      <c r="G173" s="6"/>
      <c r="H173" s="6"/>
      <c r="I173" s="6"/>
      <c r="J173" s="6"/>
      <c r="K173" s="6"/>
      <c r="L173" s="6"/>
      <c r="M173" s="6"/>
      <c r="N173" s="6"/>
      <c r="O173" s="7"/>
      <c r="P173" s="12"/>
      <c r="Q173" s="6"/>
      <c r="R173" s="7"/>
      <c r="S173" s="6"/>
      <c r="T173" s="6"/>
      <c r="U173" s="7"/>
      <c r="V173" s="6"/>
      <c r="W173" s="6"/>
      <c r="X173" s="6"/>
      <c r="Y173" s="6"/>
      <c r="Z173" s="6"/>
      <c r="AA173" s="7"/>
      <c r="AB173" s="6"/>
      <c r="AC173" s="6"/>
      <c r="AD173" s="6"/>
      <c r="AE173" s="12"/>
      <c r="AF173" s="6"/>
      <c r="AG173" s="12"/>
      <c r="AH173" s="6"/>
      <c r="AI173" s="6"/>
      <c r="AJ173" s="12"/>
      <c r="AK173" s="24"/>
      <c r="AL173" s="25"/>
      <c r="AM173" s="12"/>
      <c r="AN173" s="1"/>
      <c r="AO173" s="6"/>
    </row>
    <row r="174" spans="1:41" ht="15" x14ac:dyDescent="0.25">
      <c r="A174" s="1"/>
      <c r="B174" s="1"/>
      <c r="C174" s="1"/>
      <c r="D174" s="1"/>
      <c r="E174" s="6"/>
      <c r="F174" s="1"/>
      <c r="G174" s="6"/>
      <c r="H174" s="6"/>
      <c r="I174" s="6"/>
      <c r="J174" s="6"/>
      <c r="K174" s="6"/>
      <c r="L174" s="6"/>
      <c r="M174" s="6"/>
      <c r="N174" s="6"/>
      <c r="O174" s="7"/>
      <c r="P174" s="6"/>
      <c r="Q174" s="7"/>
      <c r="R174" s="6"/>
      <c r="S174" s="6"/>
      <c r="T174" s="6"/>
      <c r="U174" s="6"/>
      <c r="V174" s="7"/>
      <c r="W174" s="7"/>
      <c r="X174" s="6"/>
      <c r="Y174" s="6"/>
      <c r="Z174" s="6"/>
      <c r="AA174" s="1"/>
      <c r="AB174" s="12"/>
      <c r="AC174" s="12"/>
      <c r="AD174" s="12"/>
      <c r="AE174" s="12"/>
      <c r="AF174" s="12"/>
      <c r="AG174" s="12"/>
      <c r="AH174" s="12"/>
      <c r="AI174" s="6"/>
      <c r="AJ174" s="12"/>
      <c r="AK174" s="12"/>
      <c r="AL174" s="12"/>
      <c r="AM174" s="12"/>
      <c r="AN174" s="1"/>
      <c r="AO174" s="6"/>
    </row>
    <row r="175" spans="1:41" ht="15" x14ac:dyDescent="0.25">
      <c r="A175" s="1"/>
      <c r="B175" s="1"/>
      <c r="C175" s="1"/>
      <c r="D175" s="1"/>
      <c r="E175" s="6"/>
      <c r="F175" s="1"/>
      <c r="G175" s="6"/>
      <c r="H175" s="6"/>
      <c r="I175" s="6"/>
      <c r="J175" s="6"/>
      <c r="K175" s="6"/>
      <c r="L175" s="6"/>
      <c r="M175" s="6"/>
      <c r="N175" s="6"/>
      <c r="O175" s="7"/>
      <c r="P175" s="6"/>
      <c r="Q175" s="6"/>
      <c r="R175" s="7"/>
      <c r="S175" s="6"/>
      <c r="T175" s="6"/>
      <c r="U175" s="7"/>
      <c r="V175" s="6"/>
      <c r="W175" s="6"/>
      <c r="X175" s="12"/>
      <c r="Y175" s="6"/>
      <c r="Z175" s="6"/>
      <c r="AA175" s="7"/>
      <c r="AB175" s="6"/>
      <c r="AC175" s="6"/>
      <c r="AD175" s="6"/>
      <c r="AE175" s="12"/>
      <c r="AF175" s="12"/>
      <c r="AG175" s="12"/>
      <c r="AH175" s="12"/>
      <c r="AI175" s="6"/>
      <c r="AJ175" s="12"/>
      <c r="AK175" s="1"/>
      <c r="AL175" s="12"/>
      <c r="AM175" s="12"/>
      <c r="AN175" s="1"/>
      <c r="AO175" s="6"/>
    </row>
    <row r="176" spans="1:41" ht="15" x14ac:dyDescent="0.25">
      <c r="A176" s="1"/>
      <c r="B176" s="1"/>
      <c r="C176" s="1"/>
      <c r="D176" s="1"/>
      <c r="E176" s="6"/>
      <c r="F176" s="1"/>
      <c r="G176" s="6"/>
      <c r="H176" s="6"/>
      <c r="I176" s="6"/>
      <c r="J176" s="6"/>
      <c r="K176" s="6"/>
      <c r="L176" s="6"/>
      <c r="M176" s="6"/>
      <c r="N176" s="6"/>
      <c r="O176" s="7"/>
      <c r="P176" s="6"/>
      <c r="Q176" s="7"/>
      <c r="R176" s="6"/>
      <c r="S176" s="6"/>
      <c r="T176" s="6"/>
      <c r="U176" s="6"/>
      <c r="V176" s="7"/>
      <c r="W176" s="6"/>
      <c r="X176" s="6"/>
      <c r="Y176" s="6"/>
      <c r="Z176" s="6"/>
      <c r="AA176" s="1"/>
      <c r="AB176" s="12"/>
      <c r="AC176" s="12"/>
      <c r="AD176" s="12"/>
      <c r="AE176" s="12"/>
      <c r="AF176" s="6"/>
      <c r="AG176" s="12"/>
      <c r="AH176" s="6"/>
      <c r="AI176" s="6"/>
      <c r="AJ176" s="12"/>
      <c r="AK176" s="12"/>
      <c r="AL176" s="12"/>
      <c r="AM176" s="12"/>
      <c r="AN176" s="1"/>
      <c r="AO176" s="6"/>
    </row>
    <row r="177" spans="1:41" ht="15" x14ac:dyDescent="0.25">
      <c r="A177" s="1"/>
      <c r="B177" s="1"/>
      <c r="C177" s="1"/>
      <c r="D177" s="1"/>
      <c r="E177" s="6"/>
      <c r="F177" s="1"/>
      <c r="G177" s="6"/>
      <c r="H177" s="6"/>
      <c r="I177" s="6"/>
      <c r="J177" s="6"/>
      <c r="K177" s="6"/>
      <c r="L177" s="6"/>
      <c r="M177" s="6"/>
      <c r="N177" s="6"/>
      <c r="O177" s="7"/>
      <c r="P177" s="6"/>
      <c r="Q177" s="6"/>
      <c r="R177" s="7"/>
      <c r="S177" s="6"/>
      <c r="T177" s="6"/>
      <c r="U177" s="7"/>
      <c r="V177" s="6"/>
      <c r="W177" s="6"/>
      <c r="X177" s="6"/>
      <c r="Y177" s="6"/>
      <c r="Z177" s="6"/>
      <c r="AA177" s="7"/>
      <c r="AB177" s="6"/>
      <c r="AC177" s="6"/>
      <c r="AD177" s="6"/>
      <c r="AE177" s="12"/>
      <c r="AF177" s="6"/>
      <c r="AG177" s="12"/>
      <c r="AH177" s="6"/>
      <c r="AI177" s="6"/>
      <c r="AJ177" s="12"/>
      <c r="AK177" s="24"/>
      <c r="AL177" s="25"/>
      <c r="AM177" s="12"/>
      <c r="AN177" s="1"/>
      <c r="AO177" s="6"/>
    </row>
    <row r="178" spans="1:41" ht="15" x14ac:dyDescent="0.25">
      <c r="A178" s="1"/>
      <c r="B178" s="1"/>
      <c r="C178" s="1"/>
      <c r="D178" s="1"/>
      <c r="E178" s="6"/>
      <c r="F178" s="1"/>
      <c r="G178" s="6"/>
      <c r="H178" s="6"/>
      <c r="I178" s="6"/>
      <c r="J178" s="6"/>
      <c r="K178" s="6"/>
      <c r="L178" s="6"/>
      <c r="M178" s="6"/>
      <c r="N178" s="6"/>
      <c r="O178" s="7"/>
      <c r="P178" s="6"/>
      <c r="Q178" s="6"/>
      <c r="R178" s="7"/>
      <c r="S178" s="6"/>
      <c r="T178" s="6"/>
      <c r="U178" s="7"/>
      <c r="V178" s="6"/>
      <c r="W178" s="6"/>
      <c r="X178" s="6"/>
      <c r="Y178" s="6"/>
      <c r="Z178" s="6"/>
      <c r="AA178" s="7"/>
      <c r="AB178" s="6"/>
      <c r="AC178" s="6"/>
      <c r="AD178" s="6"/>
      <c r="AE178" s="12"/>
      <c r="AF178" s="6"/>
      <c r="AG178" s="12"/>
      <c r="AH178" s="6"/>
      <c r="AI178" s="6"/>
      <c r="AJ178" s="12"/>
      <c r="AK178" s="24"/>
      <c r="AL178" s="25"/>
      <c r="AM178" s="12"/>
      <c r="AN178" s="1"/>
      <c r="AO178" s="6"/>
    </row>
    <row r="179" spans="1:41" ht="15" x14ac:dyDescent="0.25">
      <c r="A179" s="1"/>
      <c r="B179" s="1"/>
      <c r="C179" s="1"/>
      <c r="D179" s="1"/>
      <c r="E179" s="6"/>
      <c r="F179" s="1"/>
      <c r="G179" s="6"/>
      <c r="H179" s="6"/>
      <c r="I179" s="6"/>
      <c r="J179" s="6"/>
      <c r="K179" s="6"/>
      <c r="L179" s="6"/>
      <c r="M179" s="6"/>
      <c r="N179" s="6"/>
      <c r="O179" s="7"/>
      <c r="P179" s="6"/>
      <c r="Q179" s="6"/>
      <c r="R179" s="7"/>
      <c r="S179" s="6"/>
      <c r="T179" s="6"/>
      <c r="U179" s="7"/>
      <c r="V179" s="6"/>
      <c r="W179" s="6"/>
      <c r="X179" s="6"/>
      <c r="Y179" s="6"/>
      <c r="Z179" s="6"/>
      <c r="AA179" s="7"/>
      <c r="AB179" s="6"/>
      <c r="AC179" s="6"/>
      <c r="AD179" s="6"/>
      <c r="AE179" s="12"/>
      <c r="AF179" s="6"/>
      <c r="AG179" s="12"/>
      <c r="AH179" s="6"/>
      <c r="AI179" s="6"/>
      <c r="AJ179" s="12"/>
      <c r="AK179" s="1"/>
      <c r="AL179" s="12"/>
      <c r="AM179" s="12"/>
      <c r="AN179" s="1"/>
      <c r="AO179" s="6"/>
    </row>
    <row r="180" spans="1:41" ht="15" x14ac:dyDescent="0.25">
      <c r="A180" s="1"/>
      <c r="B180" s="1"/>
      <c r="C180" s="1"/>
      <c r="D180" s="1"/>
      <c r="E180" s="6"/>
      <c r="F180" s="1"/>
      <c r="G180" s="6"/>
      <c r="H180" s="6"/>
      <c r="I180" s="6"/>
      <c r="J180" s="6"/>
      <c r="K180" s="6"/>
      <c r="L180" s="6"/>
      <c r="M180" s="6"/>
      <c r="N180" s="6"/>
      <c r="O180" s="7"/>
      <c r="P180" s="6"/>
      <c r="Q180" s="7"/>
      <c r="R180" s="6"/>
      <c r="S180" s="12"/>
      <c r="T180" s="6"/>
      <c r="U180" s="6"/>
      <c r="V180" s="7"/>
      <c r="W180" s="7"/>
      <c r="X180" s="6"/>
      <c r="Y180" s="6"/>
      <c r="Z180" s="6"/>
      <c r="AA180" s="1"/>
      <c r="AB180" s="12"/>
      <c r="AC180" s="12"/>
      <c r="AD180" s="12"/>
      <c r="AE180" s="12"/>
      <c r="AF180" s="12"/>
      <c r="AG180" s="12"/>
      <c r="AH180" s="12"/>
      <c r="AI180" s="6"/>
      <c r="AJ180" s="12"/>
      <c r="AK180" s="12"/>
      <c r="AL180" s="12"/>
      <c r="AM180" s="12"/>
      <c r="AN180" s="1"/>
      <c r="AO180" s="6"/>
    </row>
    <row r="181" spans="1:41" ht="15" x14ac:dyDescent="0.25">
      <c r="A181" s="1"/>
      <c r="B181" s="1"/>
      <c r="C181" s="1"/>
      <c r="D181" s="1"/>
      <c r="E181" s="6"/>
      <c r="F181" s="1"/>
      <c r="G181" s="6"/>
      <c r="H181" s="6"/>
      <c r="I181" s="6"/>
      <c r="J181" s="6"/>
      <c r="K181" s="6"/>
      <c r="L181" s="6"/>
      <c r="M181" s="6"/>
      <c r="N181" s="6"/>
      <c r="O181" s="7"/>
      <c r="P181" s="6"/>
      <c r="Q181" s="6"/>
      <c r="R181" s="7"/>
      <c r="S181" s="6"/>
      <c r="T181" s="6"/>
      <c r="U181" s="7"/>
      <c r="V181" s="6"/>
      <c r="W181" s="6"/>
      <c r="X181" s="6"/>
      <c r="Y181" s="6"/>
      <c r="Z181" s="6"/>
      <c r="AA181" s="7"/>
      <c r="AB181" s="6"/>
      <c r="AC181" s="6"/>
      <c r="AD181" s="6"/>
      <c r="AE181" s="12"/>
      <c r="AF181" s="12"/>
      <c r="AG181" s="12"/>
      <c r="AH181" s="12"/>
      <c r="AI181" s="6"/>
      <c r="AJ181" s="12"/>
      <c r="AK181" s="1"/>
      <c r="AL181" s="12"/>
      <c r="AM181" s="12"/>
      <c r="AN181" s="1"/>
      <c r="AO181" s="6"/>
    </row>
    <row r="182" spans="1:41" ht="15" x14ac:dyDescent="0.25">
      <c r="A182" s="1"/>
      <c r="B182" s="1"/>
      <c r="C182" s="1"/>
      <c r="D182" s="1"/>
      <c r="E182" s="6"/>
      <c r="F182" s="1"/>
      <c r="G182" s="6"/>
      <c r="H182" s="6"/>
      <c r="I182" s="6"/>
      <c r="J182" s="6"/>
      <c r="K182" s="6"/>
      <c r="L182" s="6"/>
      <c r="M182" s="6"/>
      <c r="N182" s="6"/>
      <c r="O182" s="7"/>
      <c r="P182" s="6"/>
      <c r="Q182" s="6"/>
      <c r="R182" s="7"/>
      <c r="S182" s="6"/>
      <c r="T182" s="6"/>
      <c r="U182" s="7"/>
      <c r="V182" s="6"/>
      <c r="W182" s="6"/>
      <c r="X182" s="6"/>
      <c r="Y182" s="6"/>
      <c r="Z182" s="6"/>
      <c r="AA182" s="7"/>
      <c r="AB182" s="6"/>
      <c r="AC182" s="6"/>
      <c r="AD182" s="6"/>
      <c r="AE182" s="12"/>
      <c r="AF182" s="12"/>
      <c r="AG182" s="12"/>
      <c r="AH182" s="12"/>
      <c r="AI182" s="6"/>
      <c r="AJ182" s="12"/>
      <c r="AK182" s="1"/>
      <c r="AL182" s="12"/>
      <c r="AM182" s="12"/>
      <c r="AN182" s="1"/>
      <c r="AO182" s="6"/>
    </row>
    <row r="183" spans="1:41" ht="15" x14ac:dyDescent="0.25">
      <c r="A183" s="1"/>
      <c r="B183" s="1"/>
      <c r="C183" s="1"/>
      <c r="D183" s="1"/>
      <c r="E183" s="6"/>
      <c r="F183" s="1"/>
      <c r="G183" s="6"/>
      <c r="H183" s="6"/>
      <c r="I183" s="6"/>
      <c r="J183" s="6"/>
      <c r="K183" s="6"/>
      <c r="L183" s="6"/>
      <c r="M183" s="6"/>
      <c r="N183" s="6"/>
      <c r="O183" s="7"/>
      <c r="P183" s="6"/>
      <c r="Q183" s="6"/>
      <c r="R183" s="7"/>
      <c r="S183" s="6"/>
      <c r="T183" s="6"/>
      <c r="U183" s="7"/>
      <c r="V183" s="6"/>
      <c r="W183" s="6"/>
      <c r="X183" s="12"/>
      <c r="Y183" s="6"/>
      <c r="Z183" s="6"/>
      <c r="AA183" s="7"/>
      <c r="AB183" s="6"/>
      <c r="AC183" s="6"/>
      <c r="AD183" s="6"/>
      <c r="AE183" s="12"/>
      <c r="AF183" s="12"/>
      <c r="AG183" s="12"/>
      <c r="AH183" s="12"/>
      <c r="AI183" s="6"/>
      <c r="AJ183" s="12"/>
      <c r="AK183" s="1"/>
      <c r="AL183" s="12"/>
      <c r="AM183" s="12"/>
      <c r="AN183" s="1"/>
      <c r="AO183" s="6"/>
    </row>
    <row r="184" spans="1:41" ht="15" x14ac:dyDescent="0.25">
      <c r="A184" s="1"/>
      <c r="B184" s="1"/>
      <c r="C184" s="1"/>
      <c r="D184" s="1"/>
      <c r="E184" s="6"/>
      <c r="F184" s="1"/>
      <c r="G184" s="6"/>
      <c r="H184" s="6"/>
      <c r="I184" s="6"/>
      <c r="J184" s="6"/>
      <c r="K184" s="12"/>
      <c r="L184" s="12"/>
      <c r="M184" s="6"/>
      <c r="N184" s="6"/>
      <c r="O184" s="7"/>
      <c r="P184" s="6"/>
      <c r="Q184" s="7"/>
      <c r="R184" s="6"/>
      <c r="S184" s="6"/>
      <c r="T184" s="6"/>
      <c r="U184" s="6"/>
      <c r="V184" s="7"/>
      <c r="W184" s="7"/>
      <c r="X184" s="6"/>
      <c r="Y184" s="6"/>
      <c r="Z184" s="6"/>
      <c r="AA184" s="1"/>
      <c r="AB184" s="12"/>
      <c r="AC184" s="12"/>
      <c r="AD184" s="12"/>
      <c r="AE184" s="12"/>
      <c r="AF184" s="12"/>
      <c r="AG184" s="12"/>
      <c r="AH184" s="12"/>
      <c r="AI184" s="6"/>
      <c r="AJ184" s="12"/>
      <c r="AK184" s="12"/>
      <c r="AL184" s="12"/>
      <c r="AM184" s="12"/>
      <c r="AN184" s="1"/>
      <c r="AO184" s="6"/>
    </row>
    <row r="185" spans="1:41" ht="15" x14ac:dyDescent="0.25">
      <c r="A185" s="1"/>
      <c r="B185" s="1"/>
      <c r="C185" s="1"/>
      <c r="D185" s="1"/>
      <c r="E185" s="6"/>
      <c r="F185" s="1"/>
      <c r="G185" s="6"/>
      <c r="H185" s="6"/>
      <c r="I185" s="6"/>
      <c r="J185" s="6"/>
      <c r="K185" s="6"/>
      <c r="L185" s="6"/>
      <c r="M185" s="6"/>
      <c r="N185" s="6"/>
      <c r="O185" s="7"/>
      <c r="P185" s="6"/>
      <c r="Q185" s="6"/>
      <c r="R185" s="7"/>
      <c r="S185" s="6"/>
      <c r="T185" s="6"/>
      <c r="U185" s="7"/>
      <c r="V185" s="6"/>
      <c r="W185" s="6"/>
      <c r="X185" s="6"/>
      <c r="Y185" s="6"/>
      <c r="Z185" s="6"/>
      <c r="AA185" s="7"/>
      <c r="AB185" s="6"/>
      <c r="AC185" s="6"/>
      <c r="AD185" s="6"/>
      <c r="AE185" s="12"/>
      <c r="AF185" s="12"/>
      <c r="AG185" s="12"/>
      <c r="AH185" s="12"/>
      <c r="AI185" s="6"/>
      <c r="AJ185" s="12"/>
      <c r="AK185" s="1"/>
      <c r="AL185" s="12"/>
      <c r="AM185" s="12"/>
      <c r="AN185" s="1"/>
      <c r="AO185" s="6"/>
    </row>
    <row r="186" spans="1:41" ht="15" x14ac:dyDescent="0.25">
      <c r="A186" s="1"/>
      <c r="B186" s="1"/>
      <c r="C186" s="1"/>
      <c r="D186" s="1"/>
      <c r="E186" s="6"/>
      <c r="F186" s="1"/>
      <c r="G186" s="6"/>
      <c r="H186" s="6"/>
      <c r="I186" s="6"/>
      <c r="J186" s="6"/>
      <c r="K186" s="6"/>
      <c r="L186" s="6"/>
      <c r="M186" s="6"/>
      <c r="N186" s="6"/>
      <c r="O186" s="7"/>
      <c r="P186" s="6"/>
      <c r="Q186" s="6"/>
      <c r="R186" s="7"/>
      <c r="S186" s="6"/>
      <c r="T186" s="6"/>
      <c r="U186" s="7"/>
      <c r="V186" s="6"/>
      <c r="W186" s="6"/>
      <c r="X186" s="6"/>
      <c r="Y186" s="6"/>
      <c r="Z186" s="6"/>
      <c r="AA186" s="7"/>
      <c r="AB186" s="6"/>
      <c r="AC186" s="6"/>
      <c r="AD186" s="6"/>
      <c r="AE186" s="12"/>
      <c r="AF186" s="6"/>
      <c r="AG186" s="12"/>
      <c r="AH186" s="6"/>
      <c r="AI186" s="6"/>
      <c r="AJ186" s="12"/>
      <c r="AK186" s="1"/>
      <c r="AL186" s="12"/>
      <c r="AM186" s="12"/>
      <c r="AN186" s="1"/>
      <c r="AO186" s="6"/>
    </row>
    <row r="187" spans="1:41" ht="15" x14ac:dyDescent="0.25">
      <c r="A187" s="1"/>
      <c r="B187" s="1"/>
      <c r="C187" s="1"/>
      <c r="D187" s="1"/>
      <c r="E187" s="6"/>
      <c r="F187" s="1"/>
      <c r="G187" s="6"/>
      <c r="H187" s="6"/>
      <c r="I187" s="6"/>
      <c r="J187" s="6"/>
      <c r="K187" s="6"/>
      <c r="L187" s="6"/>
      <c r="M187" s="6"/>
      <c r="N187" s="6"/>
      <c r="O187" s="7"/>
      <c r="P187" s="12"/>
      <c r="Q187" s="6"/>
      <c r="R187" s="15"/>
      <c r="S187" s="6"/>
      <c r="T187" s="6"/>
      <c r="U187" s="15"/>
      <c r="V187" s="6"/>
      <c r="W187" s="6"/>
      <c r="X187" s="12"/>
      <c r="Y187" s="6"/>
      <c r="Z187" s="6"/>
      <c r="AA187" s="7"/>
      <c r="AB187" s="6"/>
      <c r="AC187" s="6"/>
      <c r="AD187" s="6"/>
      <c r="AE187" s="12"/>
      <c r="AF187" s="12"/>
      <c r="AG187" s="12"/>
      <c r="AH187" s="12"/>
      <c r="AI187" s="6"/>
      <c r="AJ187" s="12"/>
      <c r="AK187" s="1"/>
      <c r="AL187" s="12"/>
      <c r="AM187" s="12"/>
      <c r="AN187" s="1"/>
      <c r="AO187" s="6"/>
    </row>
    <row r="188" spans="1:41" ht="15" x14ac:dyDescent="0.25">
      <c r="A188" s="1"/>
      <c r="B188" s="1"/>
      <c r="C188" s="1"/>
      <c r="D188" s="1"/>
      <c r="E188" s="6"/>
      <c r="F188" s="1"/>
      <c r="G188" s="6"/>
      <c r="H188" s="6"/>
      <c r="I188" s="6"/>
      <c r="J188" s="6"/>
      <c r="K188" s="6"/>
      <c r="L188" s="6"/>
      <c r="M188" s="6"/>
      <c r="N188" s="6"/>
      <c r="O188" s="7"/>
      <c r="P188" s="6"/>
      <c r="Q188" s="6"/>
      <c r="R188" s="7"/>
      <c r="S188" s="6"/>
      <c r="T188" s="6"/>
      <c r="U188" s="7"/>
      <c r="V188" s="6"/>
      <c r="W188" s="6"/>
      <c r="X188" s="6"/>
      <c r="Y188" s="6"/>
      <c r="Z188" s="6"/>
      <c r="AA188" s="7"/>
      <c r="AB188" s="6"/>
      <c r="AC188" s="6"/>
      <c r="AD188" s="6"/>
      <c r="AE188" s="12"/>
      <c r="AF188" s="6"/>
      <c r="AG188" s="12"/>
      <c r="AH188" s="6"/>
      <c r="AI188" s="6"/>
      <c r="AJ188" s="12"/>
      <c r="AK188" s="1"/>
      <c r="AL188" s="12"/>
      <c r="AM188" s="12"/>
      <c r="AN188" s="1"/>
      <c r="AO188" s="6"/>
    </row>
    <row r="189" spans="1:41" ht="15" x14ac:dyDescent="0.25">
      <c r="A189" s="1"/>
      <c r="B189" s="1"/>
      <c r="C189" s="1"/>
      <c r="D189" s="1"/>
      <c r="E189" s="6"/>
      <c r="F189" s="1"/>
      <c r="G189" s="6"/>
      <c r="H189" s="6"/>
      <c r="I189" s="6"/>
      <c r="J189" s="6"/>
      <c r="K189" s="6"/>
      <c r="L189" s="6"/>
      <c r="M189" s="6"/>
      <c r="N189" s="6"/>
      <c r="O189" s="7"/>
      <c r="P189" s="6"/>
      <c r="Q189" s="6"/>
      <c r="R189" s="7"/>
      <c r="S189" s="6"/>
      <c r="T189" s="6"/>
      <c r="U189" s="7"/>
      <c r="V189" s="6"/>
      <c r="W189" s="6"/>
      <c r="X189" s="6"/>
      <c r="Y189" s="6"/>
      <c r="Z189" s="6"/>
      <c r="AA189" s="7"/>
      <c r="AB189" s="6"/>
      <c r="AC189" s="6"/>
      <c r="AD189" s="6"/>
      <c r="AE189" s="12"/>
      <c r="AF189" s="6"/>
      <c r="AG189" s="12"/>
      <c r="AH189" s="6"/>
      <c r="AI189" s="6"/>
      <c r="AJ189" s="12"/>
      <c r="AK189" s="1"/>
      <c r="AL189" s="12"/>
      <c r="AM189" s="12"/>
      <c r="AN189" s="1"/>
      <c r="AO189" s="6"/>
    </row>
    <row r="190" spans="1:41" ht="15" x14ac:dyDescent="0.25">
      <c r="A190" s="1"/>
      <c r="B190" s="1"/>
      <c r="C190" s="1"/>
      <c r="D190" s="1"/>
      <c r="E190" s="6"/>
      <c r="F190" s="1"/>
      <c r="G190" s="6"/>
      <c r="H190" s="6"/>
      <c r="I190" s="6"/>
      <c r="J190" s="6"/>
      <c r="K190" s="6"/>
      <c r="L190" s="6"/>
      <c r="M190" s="6"/>
      <c r="N190" s="6"/>
      <c r="O190" s="7"/>
      <c r="P190" s="6"/>
      <c r="Q190" s="6"/>
      <c r="R190" s="7"/>
      <c r="S190" s="6"/>
      <c r="T190" s="6"/>
      <c r="U190" s="7"/>
      <c r="V190" s="6"/>
      <c r="W190" s="6"/>
      <c r="X190" s="12"/>
      <c r="Y190" s="6"/>
      <c r="Z190" s="6"/>
      <c r="AA190" s="7"/>
      <c r="AB190" s="6"/>
      <c r="AC190" s="6"/>
      <c r="AD190" s="6"/>
      <c r="AE190" s="12"/>
      <c r="AF190" s="12"/>
      <c r="AG190" s="12"/>
      <c r="AH190" s="12"/>
      <c r="AI190" s="6"/>
      <c r="AJ190" s="12"/>
      <c r="AK190" s="1"/>
      <c r="AL190" s="12"/>
      <c r="AM190" s="12"/>
      <c r="AN190" s="1"/>
      <c r="AO190" s="12"/>
    </row>
    <row r="191" spans="1:41" ht="15" x14ac:dyDescent="0.25">
      <c r="A191" s="1"/>
      <c r="B191" s="1"/>
      <c r="C191" s="1"/>
      <c r="D191" s="1"/>
      <c r="E191" s="6"/>
      <c r="F191" s="1"/>
      <c r="G191" s="6"/>
      <c r="H191" s="6"/>
      <c r="I191" s="6"/>
      <c r="J191" s="6"/>
      <c r="K191" s="6"/>
      <c r="L191" s="6"/>
      <c r="M191" s="6"/>
      <c r="N191" s="6"/>
      <c r="O191" s="7"/>
      <c r="P191" s="12"/>
      <c r="Q191" s="6"/>
      <c r="R191" s="7"/>
      <c r="S191" s="6"/>
      <c r="T191" s="6"/>
      <c r="U191" s="7"/>
      <c r="V191" s="6"/>
      <c r="W191" s="6"/>
      <c r="X191" s="6"/>
      <c r="Y191" s="6"/>
      <c r="Z191" s="6"/>
      <c r="AA191" s="7"/>
      <c r="AB191" s="6"/>
      <c r="AC191" s="6"/>
      <c r="AD191" s="6"/>
      <c r="AE191" s="12"/>
      <c r="AF191" s="6"/>
      <c r="AG191" s="12"/>
      <c r="AH191" s="6"/>
      <c r="AI191" s="6"/>
      <c r="AJ191" s="12"/>
      <c r="AK191" s="24"/>
      <c r="AL191" s="25"/>
      <c r="AM191" s="12"/>
      <c r="AN191" s="1"/>
      <c r="AO191" s="6"/>
    </row>
    <row r="192" spans="1:41" ht="15" x14ac:dyDescent="0.25">
      <c r="A192" s="1"/>
      <c r="B192" s="1"/>
      <c r="C192" s="1"/>
      <c r="D192" s="1"/>
      <c r="E192" s="6"/>
      <c r="F192" s="1"/>
      <c r="G192" s="6"/>
      <c r="H192" s="6"/>
      <c r="I192" s="6"/>
      <c r="J192" s="6"/>
      <c r="K192" s="6"/>
      <c r="L192" s="6"/>
      <c r="M192" s="6"/>
      <c r="N192" s="6"/>
      <c r="O192" s="7"/>
      <c r="P192" s="12"/>
      <c r="Q192" s="6"/>
      <c r="R192" s="7"/>
      <c r="S192" s="6"/>
      <c r="T192" s="6"/>
      <c r="U192" s="7"/>
      <c r="V192" s="6"/>
      <c r="W192" s="6"/>
      <c r="X192" s="12"/>
      <c r="Y192" s="6"/>
      <c r="Z192" s="6"/>
      <c r="AA192" s="7"/>
      <c r="AB192" s="6"/>
      <c r="AC192" s="6"/>
      <c r="AD192" s="6"/>
      <c r="AE192" s="12"/>
      <c r="AF192" s="12"/>
      <c r="AG192" s="12"/>
      <c r="AH192" s="12"/>
      <c r="AI192" s="6"/>
      <c r="AJ192" s="12"/>
      <c r="AK192" s="1"/>
      <c r="AL192" s="12"/>
      <c r="AM192" s="12"/>
      <c r="AN192" s="1"/>
      <c r="AO192" s="6"/>
    </row>
    <row r="193" spans="1:41" ht="15" x14ac:dyDescent="0.25">
      <c r="A193" s="1"/>
      <c r="B193" s="1"/>
      <c r="C193" s="1"/>
      <c r="D193" s="1"/>
      <c r="E193" s="6"/>
      <c r="F193" s="1"/>
      <c r="G193" s="6"/>
      <c r="H193" s="6"/>
      <c r="I193" s="6"/>
      <c r="J193" s="6"/>
      <c r="K193" s="6"/>
      <c r="L193" s="6"/>
      <c r="M193" s="6"/>
      <c r="N193" s="6"/>
      <c r="O193" s="7"/>
      <c r="P193" s="6"/>
      <c r="Q193" s="6"/>
      <c r="R193" s="7"/>
      <c r="S193" s="6"/>
      <c r="T193" s="6"/>
      <c r="U193" s="7"/>
      <c r="V193" s="6"/>
      <c r="W193" s="6"/>
      <c r="X193" s="6"/>
      <c r="Y193" s="6"/>
      <c r="Z193" s="6"/>
      <c r="AA193" s="7"/>
      <c r="AB193" s="6"/>
      <c r="AC193" s="6"/>
      <c r="AD193" s="6"/>
      <c r="AE193" s="12"/>
      <c r="AF193" s="6"/>
      <c r="AG193" s="12"/>
      <c r="AH193" s="6"/>
      <c r="AI193" s="6"/>
      <c r="AJ193" s="12"/>
      <c r="AK193" s="1"/>
      <c r="AL193" s="12"/>
      <c r="AM193" s="12"/>
      <c r="AN193" s="1"/>
      <c r="AO193" s="6"/>
    </row>
    <row r="194" spans="1:41" ht="15" x14ac:dyDescent="0.25">
      <c r="A194" s="1"/>
      <c r="B194" s="1"/>
      <c r="C194" s="1"/>
      <c r="D194" s="1"/>
      <c r="E194" s="6"/>
      <c r="F194" s="1"/>
      <c r="G194" s="6"/>
      <c r="H194" s="6"/>
      <c r="I194" s="6"/>
      <c r="J194" s="6"/>
      <c r="K194" s="6"/>
      <c r="L194" s="6"/>
      <c r="M194" s="6"/>
      <c r="N194" s="6"/>
      <c r="O194" s="7"/>
      <c r="P194" s="6"/>
      <c r="Q194" s="6"/>
      <c r="R194" s="7"/>
      <c r="S194" s="6"/>
      <c r="T194" s="6"/>
      <c r="U194" s="7"/>
      <c r="V194" s="6"/>
      <c r="W194" s="6"/>
      <c r="X194" s="6"/>
      <c r="Y194" s="6"/>
      <c r="Z194" s="6"/>
      <c r="AA194" s="7"/>
      <c r="AB194" s="6"/>
      <c r="AC194" s="6"/>
      <c r="AD194" s="6"/>
      <c r="AE194" s="12"/>
      <c r="AF194" s="6"/>
      <c r="AG194" s="12"/>
      <c r="AH194" s="6"/>
      <c r="AI194" s="6"/>
      <c r="AJ194" s="12"/>
      <c r="AK194" s="24"/>
      <c r="AL194" s="25"/>
      <c r="AM194" s="12"/>
      <c r="AN194" s="1"/>
      <c r="AO194" s="6"/>
    </row>
    <row r="195" spans="1:41" ht="15" x14ac:dyDescent="0.25">
      <c r="A195" s="1"/>
      <c r="B195" s="1"/>
      <c r="C195" s="1"/>
      <c r="D195" s="1"/>
      <c r="E195" s="6"/>
      <c r="F195" s="1"/>
      <c r="G195" s="6"/>
      <c r="H195" s="6"/>
      <c r="I195" s="6"/>
      <c r="J195" s="6"/>
      <c r="K195" s="6"/>
      <c r="L195" s="6"/>
      <c r="M195" s="6"/>
      <c r="N195" s="6"/>
      <c r="O195" s="7"/>
      <c r="P195" s="6"/>
      <c r="Q195" s="6"/>
      <c r="R195" s="7"/>
      <c r="S195" s="6"/>
      <c r="T195" s="6"/>
      <c r="U195" s="7"/>
      <c r="V195" s="6"/>
      <c r="W195" s="6"/>
      <c r="X195" s="12"/>
      <c r="Y195" s="6"/>
      <c r="Z195" s="6"/>
      <c r="AA195" s="7"/>
      <c r="AB195" s="6"/>
      <c r="AC195" s="6"/>
      <c r="AD195" s="6"/>
      <c r="AE195" s="12"/>
      <c r="AF195" s="6"/>
      <c r="AG195" s="12"/>
      <c r="AH195" s="6"/>
      <c r="AI195" s="6"/>
      <c r="AJ195" s="12"/>
      <c r="AK195" s="1"/>
      <c r="AL195" s="12"/>
      <c r="AM195" s="12"/>
      <c r="AN195" s="1"/>
      <c r="AO195" s="6"/>
    </row>
    <row r="196" spans="1:41" ht="15" x14ac:dyDescent="0.25">
      <c r="A196" s="1"/>
      <c r="B196" s="1"/>
      <c r="C196" s="1"/>
      <c r="D196" s="1"/>
      <c r="E196" s="6"/>
      <c r="F196" s="1"/>
      <c r="G196" s="6"/>
      <c r="H196" s="6"/>
      <c r="I196" s="6"/>
      <c r="J196" s="6"/>
      <c r="K196" s="6"/>
      <c r="L196" s="6"/>
      <c r="M196" s="6"/>
      <c r="N196" s="6"/>
      <c r="O196" s="7"/>
      <c r="P196" s="12"/>
      <c r="Q196" s="6"/>
      <c r="R196" s="7"/>
      <c r="S196" s="6"/>
      <c r="T196" s="6"/>
      <c r="U196" s="7"/>
      <c r="V196" s="6"/>
      <c r="W196" s="6"/>
      <c r="X196" s="6"/>
      <c r="Y196" s="6"/>
      <c r="Z196" s="6"/>
      <c r="AA196" s="7"/>
      <c r="AB196" s="6"/>
      <c r="AC196" s="6"/>
      <c r="AD196" s="6"/>
      <c r="AE196" s="12"/>
      <c r="AF196" s="6"/>
      <c r="AG196" s="12"/>
      <c r="AH196" s="6"/>
      <c r="AI196" s="6"/>
      <c r="AJ196" s="12"/>
      <c r="AK196" s="1"/>
      <c r="AL196" s="12"/>
      <c r="AM196" s="12"/>
      <c r="AN196" s="1"/>
      <c r="AO196" s="6"/>
    </row>
    <row r="197" spans="1:41" ht="15" x14ac:dyDescent="0.25">
      <c r="A197" s="1"/>
      <c r="B197" s="1"/>
      <c r="C197" s="1"/>
      <c r="D197" s="1"/>
      <c r="E197" s="6"/>
      <c r="F197" s="1"/>
      <c r="G197" s="6"/>
      <c r="H197" s="6"/>
      <c r="I197" s="6"/>
      <c r="J197" s="6"/>
      <c r="K197" s="6"/>
      <c r="L197" s="6"/>
      <c r="M197" s="6"/>
      <c r="N197" s="6"/>
      <c r="O197" s="7"/>
      <c r="P197" s="6"/>
      <c r="Q197" s="6"/>
      <c r="R197" s="7"/>
      <c r="S197" s="6"/>
      <c r="T197" s="6"/>
      <c r="U197" s="7"/>
      <c r="V197" s="6"/>
      <c r="W197" s="6"/>
      <c r="X197" s="6"/>
      <c r="Y197" s="6"/>
      <c r="Z197" s="6"/>
      <c r="AA197" s="7"/>
      <c r="AB197" s="6"/>
      <c r="AC197" s="6"/>
      <c r="AD197" s="6"/>
      <c r="AE197" s="12"/>
      <c r="AF197" s="6"/>
      <c r="AG197" s="12"/>
      <c r="AH197" s="6"/>
      <c r="AI197" s="6"/>
      <c r="AJ197" s="12"/>
      <c r="AK197" s="1"/>
      <c r="AL197" s="12"/>
      <c r="AM197" s="12"/>
      <c r="AN197" s="1"/>
      <c r="AO197" s="6"/>
    </row>
    <row r="198" spans="1:41" ht="15" x14ac:dyDescent="0.25">
      <c r="A198" s="1"/>
      <c r="B198" s="1"/>
      <c r="C198" s="1"/>
      <c r="D198" s="1"/>
      <c r="E198" s="6"/>
      <c r="F198" s="1"/>
      <c r="G198" s="6"/>
      <c r="H198" s="6"/>
      <c r="I198" s="6"/>
      <c r="J198" s="6"/>
      <c r="K198" s="6"/>
      <c r="L198" s="6"/>
      <c r="M198" s="6"/>
      <c r="N198" s="6"/>
      <c r="O198" s="7"/>
      <c r="P198" s="6"/>
      <c r="Q198" s="6"/>
      <c r="R198" s="7"/>
      <c r="S198" s="6"/>
      <c r="T198" s="6"/>
      <c r="U198" s="7"/>
      <c r="V198" s="6"/>
      <c r="W198" s="6"/>
      <c r="X198" s="12"/>
      <c r="Y198" s="6"/>
      <c r="Z198" s="6"/>
      <c r="AA198" s="7"/>
      <c r="AB198" s="6"/>
      <c r="AC198" s="6"/>
      <c r="AD198" s="6"/>
      <c r="AE198" s="12"/>
      <c r="AF198" s="6"/>
      <c r="AG198" s="12"/>
      <c r="AH198" s="6"/>
      <c r="AI198" s="6"/>
      <c r="AJ198" s="12"/>
      <c r="AK198" s="1"/>
      <c r="AL198" s="12"/>
      <c r="AM198" s="12"/>
      <c r="AN198" s="1"/>
      <c r="AO198" s="6"/>
    </row>
    <row r="199" spans="1:41" ht="15" x14ac:dyDescent="0.25">
      <c r="A199" s="1"/>
      <c r="B199" s="1"/>
      <c r="C199" s="1"/>
      <c r="D199" s="1"/>
      <c r="E199" s="6"/>
      <c r="F199" s="1"/>
      <c r="G199" s="6"/>
      <c r="H199" s="6"/>
      <c r="I199" s="6"/>
      <c r="J199" s="6"/>
      <c r="K199" s="6"/>
      <c r="L199" s="6"/>
      <c r="M199" s="6"/>
      <c r="N199" s="6"/>
      <c r="O199" s="7"/>
      <c r="P199" s="6"/>
      <c r="Q199" s="6"/>
      <c r="R199" s="7"/>
      <c r="S199" s="6"/>
      <c r="T199" s="6"/>
      <c r="U199" s="7"/>
      <c r="V199" s="6"/>
      <c r="W199" s="6"/>
      <c r="X199" s="6"/>
      <c r="Y199" s="6"/>
      <c r="Z199" s="6"/>
      <c r="AA199" s="7"/>
      <c r="AB199" s="6"/>
      <c r="AC199" s="6"/>
      <c r="AD199" s="6"/>
      <c r="AE199" s="12"/>
      <c r="AF199" s="6"/>
      <c r="AG199" s="12"/>
      <c r="AH199" s="6"/>
      <c r="AI199" s="6"/>
      <c r="AJ199" s="12"/>
      <c r="AK199" s="1"/>
      <c r="AL199" s="12"/>
      <c r="AM199" s="12"/>
      <c r="AN199" s="1"/>
      <c r="AO199" s="6"/>
    </row>
    <row r="200" spans="1:41" ht="15" x14ac:dyDescent="0.25">
      <c r="A200" s="1"/>
      <c r="B200" s="1"/>
      <c r="C200" s="1"/>
      <c r="D200" s="1"/>
      <c r="E200" s="6"/>
      <c r="F200" s="1"/>
      <c r="G200" s="6"/>
      <c r="H200" s="6"/>
      <c r="I200" s="6"/>
      <c r="J200" s="6"/>
      <c r="K200" s="6"/>
      <c r="L200" s="6"/>
      <c r="M200" s="6"/>
      <c r="N200" s="6"/>
      <c r="O200" s="7"/>
      <c r="P200" s="6"/>
      <c r="Q200" s="7"/>
      <c r="R200" s="6"/>
      <c r="S200" s="6"/>
      <c r="T200" s="6"/>
      <c r="U200" s="6"/>
      <c r="V200" s="7"/>
      <c r="W200" s="6"/>
      <c r="X200" s="6"/>
      <c r="Y200" s="6"/>
      <c r="Z200" s="6"/>
      <c r="AA200" s="24"/>
      <c r="AB200" s="25"/>
      <c r="AC200" s="12"/>
      <c r="AD200" s="12"/>
      <c r="AE200" s="12"/>
      <c r="AF200" s="6"/>
      <c r="AG200" s="12"/>
      <c r="AH200" s="6"/>
      <c r="AI200" s="6"/>
      <c r="AJ200" s="12"/>
      <c r="AK200" s="12"/>
      <c r="AL200" s="12"/>
      <c r="AM200" s="12"/>
      <c r="AN200" s="1"/>
      <c r="AO200" s="6"/>
    </row>
    <row r="201" spans="1:41" ht="15" x14ac:dyDescent="0.25">
      <c r="A201" s="1"/>
      <c r="B201" s="1"/>
      <c r="C201" s="1"/>
      <c r="D201" s="1"/>
      <c r="E201" s="6"/>
      <c r="F201" s="1"/>
      <c r="G201" s="6"/>
      <c r="H201" s="6"/>
      <c r="I201" s="6"/>
      <c r="J201" s="6"/>
      <c r="K201" s="6"/>
      <c r="L201" s="6"/>
      <c r="M201" s="6"/>
      <c r="N201" s="6"/>
      <c r="O201" s="7"/>
      <c r="P201" s="6"/>
      <c r="Q201" s="6"/>
      <c r="R201" s="7"/>
      <c r="S201" s="6"/>
      <c r="T201" s="6"/>
      <c r="U201" s="7"/>
      <c r="V201" s="6"/>
      <c r="W201" s="6"/>
      <c r="X201" s="6"/>
      <c r="Y201" s="6"/>
      <c r="Z201" s="6"/>
      <c r="AA201" s="7"/>
      <c r="AB201" s="6"/>
      <c r="AC201" s="6"/>
      <c r="AD201" s="6"/>
      <c r="AE201" s="12"/>
      <c r="AF201" s="6"/>
      <c r="AG201" s="12"/>
      <c r="AH201" s="6"/>
      <c r="AI201" s="6"/>
      <c r="AJ201" s="12"/>
      <c r="AK201" s="24"/>
      <c r="AL201" s="25"/>
      <c r="AM201" s="12"/>
      <c r="AN201" s="1"/>
      <c r="AO201" s="6"/>
    </row>
    <row r="202" spans="1:41" ht="15" x14ac:dyDescent="0.25">
      <c r="A202" s="1"/>
      <c r="B202" s="1"/>
      <c r="C202" s="1"/>
      <c r="D202" s="1"/>
      <c r="E202" s="6"/>
      <c r="F202" s="1"/>
      <c r="G202" s="6"/>
      <c r="H202" s="6"/>
      <c r="I202" s="6"/>
      <c r="J202" s="6"/>
      <c r="K202" s="6"/>
      <c r="L202" s="6"/>
      <c r="M202" s="6"/>
      <c r="N202" s="6"/>
      <c r="O202" s="7"/>
      <c r="P202" s="6"/>
      <c r="Q202" s="6"/>
      <c r="R202" s="7"/>
      <c r="S202" s="6"/>
      <c r="T202" s="6"/>
      <c r="U202" s="7"/>
      <c r="V202" s="6"/>
      <c r="W202" s="6"/>
      <c r="X202" s="6"/>
      <c r="Y202" s="6"/>
      <c r="Z202" s="6"/>
      <c r="AA202" s="7"/>
      <c r="AB202" s="6"/>
      <c r="AC202" s="6"/>
      <c r="AD202" s="6"/>
      <c r="AE202" s="12"/>
      <c r="AF202" s="6"/>
      <c r="AG202" s="12"/>
      <c r="AH202" s="6"/>
      <c r="AI202" s="6"/>
      <c r="AJ202" s="12"/>
      <c r="AK202" s="1"/>
      <c r="AL202" s="12"/>
      <c r="AM202" s="12"/>
      <c r="AN202" s="1"/>
      <c r="AO202" s="6"/>
    </row>
    <row r="203" spans="1:41" ht="15" x14ac:dyDescent="0.25">
      <c r="A203" s="1"/>
      <c r="B203" s="1"/>
      <c r="C203" s="1"/>
      <c r="D203" s="1"/>
      <c r="E203" s="6"/>
      <c r="F203" s="1"/>
      <c r="G203" s="6"/>
      <c r="H203" s="6"/>
      <c r="I203" s="6"/>
      <c r="J203" s="6"/>
      <c r="K203" s="6"/>
      <c r="L203" s="6"/>
      <c r="M203" s="6"/>
      <c r="N203" s="6"/>
      <c r="O203" s="7"/>
      <c r="P203" s="6"/>
      <c r="Q203" s="6"/>
      <c r="R203" s="7"/>
      <c r="S203" s="6"/>
      <c r="T203" s="6"/>
      <c r="U203" s="7"/>
      <c r="V203" s="6"/>
      <c r="W203" s="6"/>
      <c r="X203" s="12"/>
      <c r="Y203" s="6"/>
      <c r="Z203" s="6"/>
      <c r="AA203" s="7"/>
      <c r="AB203" s="6"/>
      <c r="AC203" s="6"/>
      <c r="AD203" s="6"/>
      <c r="AE203" s="12"/>
      <c r="AF203" s="12"/>
      <c r="AG203" s="12"/>
      <c r="AH203" s="12"/>
      <c r="AI203" s="6"/>
      <c r="AJ203" s="12"/>
      <c r="AK203" s="24"/>
      <c r="AL203" s="25"/>
      <c r="AM203" s="12"/>
      <c r="AN203" s="1"/>
      <c r="AO203" s="6"/>
    </row>
    <row r="204" spans="1:41" ht="15" x14ac:dyDescent="0.25">
      <c r="A204" s="1"/>
      <c r="B204" s="1"/>
      <c r="C204" s="1"/>
      <c r="D204" s="1"/>
      <c r="E204" s="6"/>
      <c r="F204" s="1"/>
      <c r="G204" s="6"/>
      <c r="H204" s="6"/>
      <c r="I204" s="6"/>
      <c r="J204" s="6"/>
      <c r="K204" s="6"/>
      <c r="L204" s="6"/>
      <c r="M204" s="6"/>
      <c r="N204" s="6"/>
      <c r="O204" s="7"/>
      <c r="P204" s="12"/>
      <c r="Q204" s="6"/>
      <c r="R204" s="7"/>
      <c r="S204" s="6"/>
      <c r="T204" s="6"/>
      <c r="U204" s="7"/>
      <c r="V204" s="6"/>
      <c r="W204" s="6"/>
      <c r="X204" s="6"/>
      <c r="Y204" s="6"/>
      <c r="Z204" s="6"/>
      <c r="AA204" s="7"/>
      <c r="AB204" s="6"/>
      <c r="AC204" s="6"/>
      <c r="AD204" s="6"/>
      <c r="AE204" s="12"/>
      <c r="AF204" s="6"/>
      <c r="AG204" s="12"/>
      <c r="AH204" s="6"/>
      <c r="AI204" s="6"/>
      <c r="AJ204" s="12"/>
      <c r="AK204" s="24"/>
      <c r="AL204" s="25"/>
      <c r="AM204" s="12"/>
      <c r="AN204" s="1"/>
      <c r="AO204" s="6"/>
    </row>
    <row r="205" spans="1:41" ht="15" x14ac:dyDescent="0.25">
      <c r="A205" s="1"/>
      <c r="B205" s="1"/>
      <c r="C205" s="1"/>
      <c r="D205" s="1"/>
      <c r="E205" s="6"/>
      <c r="F205" s="1"/>
      <c r="G205" s="6"/>
      <c r="H205" s="6"/>
      <c r="I205" s="6"/>
      <c r="J205" s="6"/>
      <c r="K205" s="6"/>
      <c r="L205" s="6"/>
      <c r="M205" s="6"/>
      <c r="N205" s="6"/>
      <c r="O205" s="7"/>
      <c r="P205" s="6"/>
      <c r="Q205" s="6"/>
      <c r="R205" s="7"/>
      <c r="S205" s="6"/>
      <c r="T205" s="6"/>
      <c r="U205" s="7"/>
      <c r="V205" s="6"/>
      <c r="W205" s="6"/>
      <c r="X205" s="12"/>
      <c r="Y205" s="6"/>
      <c r="Z205" s="6"/>
      <c r="AA205" s="7"/>
      <c r="AB205" s="6"/>
      <c r="AC205" s="6"/>
      <c r="AD205" s="6"/>
      <c r="AE205" s="12"/>
      <c r="AF205" s="12"/>
      <c r="AG205" s="12"/>
      <c r="AH205" s="12"/>
      <c r="AI205" s="6"/>
      <c r="AJ205" s="12"/>
      <c r="AK205" s="1"/>
      <c r="AL205" s="12"/>
      <c r="AM205" s="12"/>
      <c r="AN205" s="1"/>
      <c r="AO205" s="6"/>
    </row>
    <row r="206" spans="1:41" ht="15" x14ac:dyDescent="0.25">
      <c r="A206" s="1"/>
      <c r="B206" s="1"/>
      <c r="C206" s="1"/>
      <c r="D206" s="1"/>
      <c r="E206" s="6"/>
      <c r="F206" s="1"/>
      <c r="G206" s="6"/>
      <c r="H206" s="6"/>
      <c r="I206" s="6"/>
      <c r="J206" s="6"/>
      <c r="K206" s="6"/>
      <c r="L206" s="6"/>
      <c r="M206" s="6"/>
      <c r="N206" s="6"/>
      <c r="O206" s="7"/>
      <c r="P206" s="6"/>
      <c r="Q206" s="6"/>
      <c r="R206" s="7"/>
      <c r="S206" s="6"/>
      <c r="T206" s="6"/>
      <c r="U206" s="7"/>
      <c r="V206" s="6"/>
      <c r="W206" s="6"/>
      <c r="X206" s="12"/>
      <c r="Y206" s="6"/>
      <c r="Z206" s="6"/>
      <c r="AA206" s="7"/>
      <c r="AB206" s="6"/>
      <c r="AC206" s="6"/>
      <c r="AD206" s="6"/>
      <c r="AE206" s="12"/>
      <c r="AF206" s="12"/>
      <c r="AG206" s="12"/>
      <c r="AH206" s="12"/>
      <c r="AI206" s="6"/>
      <c r="AJ206" s="12"/>
      <c r="AK206" s="1"/>
      <c r="AL206" s="12"/>
      <c r="AM206" s="12"/>
      <c r="AN206" s="1"/>
      <c r="AO206" s="6"/>
    </row>
    <row r="207" spans="1:41" ht="15" x14ac:dyDescent="0.25">
      <c r="A207" s="1"/>
      <c r="B207" s="1"/>
      <c r="C207" s="1"/>
      <c r="D207" s="1"/>
      <c r="E207" s="6"/>
      <c r="F207" s="1"/>
      <c r="G207" s="6"/>
      <c r="H207" s="6"/>
      <c r="I207" s="6"/>
      <c r="J207" s="6"/>
      <c r="K207" s="6"/>
      <c r="L207" s="6"/>
      <c r="M207" s="6"/>
      <c r="N207" s="6"/>
      <c r="O207" s="7"/>
      <c r="P207" s="6"/>
      <c r="Q207" s="6"/>
      <c r="R207" s="7"/>
      <c r="S207" s="6"/>
      <c r="T207" s="6"/>
      <c r="U207" s="7"/>
      <c r="V207" s="6"/>
      <c r="W207" s="6"/>
      <c r="X207" s="6"/>
      <c r="Y207" s="6"/>
      <c r="Z207" s="6"/>
      <c r="AA207" s="7"/>
      <c r="AB207" s="6"/>
      <c r="AC207" s="6"/>
      <c r="AD207" s="6"/>
      <c r="AE207" s="12"/>
      <c r="AF207" s="12"/>
      <c r="AG207" s="12"/>
      <c r="AH207" s="12"/>
      <c r="AI207" s="6"/>
      <c r="AJ207" s="12"/>
      <c r="AK207" s="1"/>
      <c r="AL207" s="12"/>
      <c r="AM207" s="12"/>
      <c r="AN207" s="1"/>
      <c r="AO207" s="6"/>
    </row>
    <row r="208" spans="1:41" ht="15" x14ac:dyDescent="0.25">
      <c r="A208" s="1"/>
      <c r="B208" s="1"/>
      <c r="C208" s="1"/>
      <c r="D208" s="1"/>
      <c r="E208" s="6"/>
      <c r="F208" s="1"/>
      <c r="G208" s="6"/>
      <c r="H208" s="6"/>
      <c r="I208" s="6"/>
      <c r="J208" s="6"/>
      <c r="K208" s="6"/>
      <c r="L208" s="6"/>
      <c r="M208" s="6"/>
      <c r="N208" s="6"/>
      <c r="O208" s="7"/>
      <c r="P208" s="6"/>
      <c r="Q208" s="6"/>
      <c r="R208" s="7"/>
      <c r="S208" s="6"/>
      <c r="T208" s="6"/>
      <c r="U208" s="7"/>
      <c r="V208" s="6"/>
      <c r="W208" s="6"/>
      <c r="X208" s="6"/>
      <c r="Y208" s="6"/>
      <c r="Z208" s="6"/>
      <c r="AA208" s="7"/>
      <c r="AB208" s="6"/>
      <c r="AC208" s="6"/>
      <c r="AD208" s="6"/>
      <c r="AE208" s="12"/>
      <c r="AF208" s="6"/>
      <c r="AG208" s="12"/>
      <c r="AH208" s="6"/>
      <c r="AI208" s="6"/>
      <c r="AJ208" s="12"/>
      <c r="AK208" s="24"/>
      <c r="AL208" s="25"/>
      <c r="AM208" s="12"/>
      <c r="AN208" s="1"/>
      <c r="AO208" s="6"/>
    </row>
    <row r="209" spans="1:41" ht="15" x14ac:dyDescent="0.25">
      <c r="A209" s="1"/>
      <c r="B209" s="1"/>
      <c r="C209" s="1"/>
      <c r="D209" s="1"/>
      <c r="E209" s="6"/>
      <c r="F209" s="1"/>
      <c r="G209" s="6"/>
      <c r="H209" s="6"/>
      <c r="I209" s="6"/>
      <c r="J209" s="6"/>
      <c r="K209" s="6"/>
      <c r="L209" s="6"/>
      <c r="M209" s="6"/>
      <c r="N209" s="6"/>
      <c r="O209" s="7"/>
      <c r="P209" s="6"/>
      <c r="Q209" s="6"/>
      <c r="R209" s="7"/>
      <c r="S209" s="6"/>
      <c r="T209" s="6"/>
      <c r="U209" s="7"/>
      <c r="V209" s="6"/>
      <c r="W209" s="6"/>
      <c r="X209" s="6"/>
      <c r="Y209" s="6"/>
      <c r="Z209" s="6"/>
      <c r="AA209" s="7"/>
      <c r="AB209" s="6"/>
      <c r="AC209" s="6"/>
      <c r="AD209" s="6"/>
      <c r="AE209" s="12"/>
      <c r="AF209" s="12"/>
      <c r="AG209" s="12"/>
      <c r="AH209" s="12"/>
      <c r="AI209" s="6"/>
      <c r="AJ209" s="12"/>
      <c r="AK209" s="1"/>
      <c r="AL209" s="12"/>
      <c r="AM209" s="12"/>
      <c r="AN209" s="1"/>
      <c r="AO209" s="6"/>
    </row>
    <row r="210" spans="1:41" ht="15" x14ac:dyDescent="0.25">
      <c r="A210" s="1"/>
      <c r="B210" s="1"/>
      <c r="C210" s="1"/>
      <c r="D210" s="1"/>
      <c r="E210" s="6"/>
      <c r="F210" s="1"/>
      <c r="G210" s="6"/>
      <c r="H210" s="6"/>
      <c r="I210" s="6"/>
      <c r="J210" s="6"/>
      <c r="K210" s="6"/>
      <c r="L210" s="6"/>
      <c r="M210" s="6"/>
      <c r="N210" s="6"/>
      <c r="O210" s="7"/>
      <c r="P210" s="6"/>
      <c r="Q210" s="6"/>
      <c r="R210" s="7"/>
      <c r="S210" s="6"/>
      <c r="T210" s="6"/>
      <c r="U210" s="7"/>
      <c r="V210" s="6"/>
      <c r="W210" s="6"/>
      <c r="X210" s="12"/>
      <c r="Y210" s="6"/>
      <c r="Z210" s="6"/>
      <c r="AA210" s="7"/>
      <c r="AB210" s="6"/>
      <c r="AC210" s="6"/>
      <c r="AD210" s="6"/>
      <c r="AE210" s="12"/>
      <c r="AF210" s="12"/>
      <c r="AG210" s="12"/>
      <c r="AH210" s="12"/>
      <c r="AI210" s="6"/>
      <c r="AJ210" s="12"/>
      <c r="AK210" s="1"/>
      <c r="AL210" s="12"/>
      <c r="AM210" s="12"/>
      <c r="AN210" s="1"/>
      <c r="AO210" s="6"/>
    </row>
    <row r="211" spans="1:41" ht="15" x14ac:dyDescent="0.25">
      <c r="A211" s="1"/>
      <c r="B211" s="1"/>
      <c r="C211" s="1"/>
      <c r="D211" s="1"/>
      <c r="E211" s="6"/>
      <c r="F211" s="1"/>
      <c r="G211" s="6"/>
      <c r="H211" s="6"/>
      <c r="I211" s="6"/>
      <c r="J211" s="6"/>
      <c r="K211" s="6"/>
      <c r="L211" s="6"/>
      <c r="M211" s="6"/>
      <c r="N211" s="6"/>
      <c r="O211" s="7"/>
      <c r="P211" s="6"/>
      <c r="Q211" s="6"/>
      <c r="R211" s="7"/>
      <c r="S211" s="6"/>
      <c r="T211" s="6"/>
      <c r="U211" s="7"/>
      <c r="V211" s="6"/>
      <c r="W211" s="6"/>
      <c r="X211" s="12"/>
      <c r="Y211" s="6"/>
      <c r="Z211" s="6"/>
      <c r="AA211" s="7"/>
      <c r="AB211" s="6"/>
      <c r="AC211" s="6"/>
      <c r="AD211" s="6"/>
      <c r="AE211" s="12"/>
      <c r="AF211" s="12"/>
      <c r="AG211" s="12"/>
      <c r="AH211" s="12"/>
      <c r="AI211" s="6"/>
      <c r="AJ211" s="12"/>
      <c r="AK211" s="24"/>
      <c r="AL211" s="25"/>
      <c r="AM211" s="12"/>
      <c r="AN211" s="1"/>
      <c r="AO211" s="6"/>
    </row>
    <row r="212" spans="1:41" ht="15" x14ac:dyDescent="0.25">
      <c r="A212" s="1"/>
      <c r="B212" s="1"/>
      <c r="C212" s="1"/>
      <c r="D212" s="1"/>
      <c r="E212" s="6"/>
      <c r="F212" s="1"/>
      <c r="G212" s="6"/>
      <c r="H212" s="6"/>
      <c r="I212" s="6"/>
      <c r="J212" s="6"/>
      <c r="K212" s="6"/>
      <c r="L212" s="6"/>
      <c r="M212" s="6"/>
      <c r="N212" s="6"/>
      <c r="O212" s="7"/>
      <c r="P212" s="6"/>
      <c r="Q212" s="6"/>
      <c r="R212" s="7"/>
      <c r="S212" s="6"/>
      <c r="T212" s="6"/>
      <c r="U212" s="7"/>
      <c r="V212" s="6"/>
      <c r="W212" s="6"/>
      <c r="X212" s="12"/>
      <c r="Y212" s="6"/>
      <c r="Z212" s="6"/>
      <c r="AA212" s="7"/>
      <c r="AB212" s="6"/>
      <c r="AC212" s="6"/>
      <c r="AD212" s="6"/>
      <c r="AE212" s="12"/>
      <c r="AF212" s="6"/>
      <c r="AG212" s="12"/>
      <c r="AH212" s="6"/>
      <c r="AI212" s="6"/>
      <c r="AJ212" s="12"/>
      <c r="AK212" s="1"/>
      <c r="AL212" s="12"/>
      <c r="AM212" s="12"/>
      <c r="AN212" s="1"/>
      <c r="AO212" s="6"/>
    </row>
    <row r="213" spans="1:41" ht="15" x14ac:dyDescent="0.25">
      <c r="A213" s="1"/>
      <c r="B213" s="1"/>
      <c r="C213" s="1"/>
      <c r="D213" s="1"/>
      <c r="E213" s="6"/>
      <c r="F213" s="1"/>
      <c r="G213" s="6"/>
      <c r="H213" s="6"/>
      <c r="I213" s="6"/>
      <c r="J213" s="6"/>
      <c r="K213" s="6"/>
      <c r="L213" s="6"/>
      <c r="M213" s="6"/>
      <c r="N213" s="6"/>
      <c r="O213" s="7"/>
      <c r="P213" s="12"/>
      <c r="Q213" s="6"/>
      <c r="R213" s="7"/>
      <c r="S213" s="6"/>
      <c r="T213" s="6"/>
      <c r="U213" s="7"/>
      <c r="V213" s="6"/>
      <c r="W213" s="6"/>
      <c r="X213" s="6"/>
      <c r="Y213" s="6"/>
      <c r="Z213" s="6"/>
      <c r="AA213" s="7"/>
      <c r="AB213" s="6"/>
      <c r="AC213" s="6"/>
      <c r="AD213" s="6"/>
      <c r="AE213" s="12"/>
      <c r="AF213" s="12"/>
      <c r="AG213" s="12"/>
      <c r="AH213" s="12"/>
      <c r="AI213" s="6"/>
      <c r="AJ213" s="12"/>
      <c r="AK213" s="1"/>
      <c r="AL213" s="12"/>
      <c r="AM213" s="12"/>
      <c r="AN213" s="1"/>
      <c r="AO213" s="6"/>
    </row>
    <row r="214" spans="1:41" ht="15" x14ac:dyDescent="0.25">
      <c r="A214" s="1"/>
      <c r="B214" s="1"/>
      <c r="C214" s="1"/>
      <c r="D214" s="1"/>
      <c r="E214" s="6"/>
      <c r="F214" s="1"/>
      <c r="G214" s="6"/>
      <c r="H214" s="6"/>
      <c r="I214" s="6"/>
      <c r="J214" s="6"/>
      <c r="K214" s="6"/>
      <c r="L214" s="6"/>
      <c r="M214" s="6"/>
      <c r="N214" s="6"/>
      <c r="O214" s="7"/>
      <c r="P214" s="12"/>
      <c r="Q214" s="6"/>
      <c r="R214" s="7"/>
      <c r="S214" s="6"/>
      <c r="T214" s="6"/>
      <c r="U214" s="7"/>
      <c r="V214" s="6"/>
      <c r="W214" s="6"/>
      <c r="X214" s="12"/>
      <c r="Y214" s="6"/>
      <c r="Z214" s="6"/>
      <c r="AA214" s="7"/>
      <c r="AB214" s="6"/>
      <c r="AC214" s="6"/>
      <c r="AD214" s="6"/>
      <c r="AE214" s="12"/>
      <c r="AF214" s="12"/>
      <c r="AG214" s="12"/>
      <c r="AH214" s="12"/>
      <c r="AI214" s="6"/>
      <c r="AJ214" s="12"/>
      <c r="AK214" s="1"/>
      <c r="AL214" s="12"/>
      <c r="AM214" s="12"/>
      <c r="AN214" s="1"/>
      <c r="AO214" s="12"/>
    </row>
    <row r="215" spans="1:41" ht="15" x14ac:dyDescent="0.25">
      <c r="A215" s="1"/>
      <c r="B215" s="1"/>
      <c r="C215" s="1"/>
      <c r="D215" s="1"/>
      <c r="E215" s="6"/>
      <c r="F215" s="1"/>
      <c r="G215" s="6"/>
      <c r="H215" s="6"/>
      <c r="I215" s="6"/>
      <c r="J215" s="6"/>
      <c r="K215" s="6"/>
      <c r="L215" s="6"/>
      <c r="M215" s="6"/>
      <c r="N215" s="6"/>
      <c r="O215" s="7"/>
      <c r="P215" s="6"/>
      <c r="Q215" s="6"/>
      <c r="R215" s="7"/>
      <c r="S215" s="6"/>
      <c r="T215" s="6"/>
      <c r="U215" s="7"/>
      <c r="V215" s="6"/>
      <c r="W215" s="6"/>
      <c r="X215" s="6"/>
      <c r="Y215" s="6"/>
      <c r="Z215" s="6"/>
      <c r="AA215" s="7"/>
      <c r="AB215" s="6"/>
      <c r="AC215" s="6"/>
      <c r="AD215" s="6"/>
      <c r="AE215" s="12"/>
      <c r="AF215" s="6"/>
      <c r="AG215" s="12"/>
      <c r="AH215" s="6"/>
      <c r="AI215" s="6"/>
      <c r="AJ215" s="12"/>
      <c r="AK215" s="1"/>
      <c r="AL215" s="12"/>
      <c r="AM215" s="12"/>
      <c r="AN215" s="1"/>
      <c r="AO215" s="6"/>
    </row>
    <row r="216" spans="1:41" ht="15" x14ac:dyDescent="0.25">
      <c r="A216" s="1"/>
      <c r="B216" s="1"/>
      <c r="C216" s="1"/>
      <c r="D216" s="1"/>
      <c r="E216" s="6"/>
      <c r="F216" s="1"/>
      <c r="G216" s="6"/>
      <c r="H216" s="6"/>
      <c r="I216" s="6"/>
      <c r="J216" s="6"/>
      <c r="K216" s="6"/>
      <c r="L216" s="6"/>
      <c r="M216" s="6"/>
      <c r="N216" s="6"/>
      <c r="O216" s="7"/>
      <c r="P216" s="6"/>
      <c r="Q216" s="6"/>
      <c r="R216" s="7"/>
      <c r="S216" s="6"/>
      <c r="T216" s="6"/>
      <c r="U216" s="7"/>
      <c r="V216" s="6"/>
      <c r="W216" s="6"/>
      <c r="X216" s="6"/>
      <c r="Y216" s="6"/>
      <c r="Z216" s="6"/>
      <c r="AA216" s="7"/>
      <c r="AB216" s="6"/>
      <c r="AC216" s="6"/>
      <c r="AD216" s="6"/>
      <c r="AE216" s="12"/>
      <c r="AF216" s="12"/>
      <c r="AG216" s="12"/>
      <c r="AH216" s="12"/>
      <c r="AI216" s="6"/>
      <c r="AJ216" s="12"/>
      <c r="AK216" s="1"/>
      <c r="AL216" s="12"/>
      <c r="AM216" s="12"/>
      <c r="AN216" s="1"/>
      <c r="AO216" s="6"/>
    </row>
    <row r="217" spans="1:41" ht="15" x14ac:dyDescent="0.25">
      <c r="A217" s="1"/>
      <c r="B217" s="1"/>
      <c r="C217" s="1"/>
      <c r="D217" s="1"/>
      <c r="E217" s="6"/>
      <c r="F217" s="1"/>
      <c r="G217" s="6"/>
      <c r="H217" s="6"/>
      <c r="I217" s="6"/>
      <c r="J217" s="6"/>
      <c r="K217" s="6"/>
      <c r="L217" s="6"/>
      <c r="M217" s="6"/>
      <c r="N217" s="6"/>
      <c r="O217" s="7"/>
      <c r="P217" s="6"/>
      <c r="Q217" s="7"/>
      <c r="R217" s="6"/>
      <c r="S217" s="6"/>
      <c r="T217" s="6"/>
      <c r="U217" s="6"/>
      <c r="V217" s="7"/>
      <c r="W217" s="7"/>
      <c r="X217" s="6"/>
      <c r="Y217" s="6"/>
      <c r="Z217" s="6"/>
      <c r="AA217" s="1"/>
      <c r="AB217" s="12"/>
      <c r="AC217" s="12"/>
      <c r="AD217" s="12"/>
      <c r="AE217" s="12"/>
      <c r="AF217" s="12"/>
      <c r="AG217" s="12"/>
      <c r="AH217" s="12"/>
      <c r="AI217" s="6"/>
      <c r="AJ217" s="12"/>
      <c r="AK217" s="12"/>
      <c r="AL217" s="12"/>
      <c r="AM217" s="12"/>
      <c r="AN217" s="1"/>
      <c r="AO217" s="6"/>
    </row>
    <row r="218" spans="1:41" ht="15" x14ac:dyDescent="0.25">
      <c r="A218" s="1"/>
      <c r="B218" s="1"/>
      <c r="C218" s="1"/>
      <c r="D218" s="1"/>
      <c r="E218" s="6"/>
      <c r="F218" s="1"/>
      <c r="G218" s="6"/>
      <c r="H218" s="6"/>
      <c r="I218" s="6"/>
      <c r="J218" s="6"/>
      <c r="K218" s="6"/>
      <c r="L218" s="6"/>
      <c r="M218" s="6"/>
      <c r="N218" s="6"/>
      <c r="O218" s="7"/>
      <c r="P218" s="6"/>
      <c r="Q218" s="6"/>
      <c r="R218" s="7"/>
      <c r="S218" s="6"/>
      <c r="T218" s="6"/>
      <c r="U218" s="7"/>
      <c r="V218" s="6"/>
      <c r="W218" s="6"/>
      <c r="X218" s="6"/>
      <c r="Y218" s="6"/>
      <c r="Z218" s="6"/>
      <c r="AA218" s="7"/>
      <c r="AB218" s="6"/>
      <c r="AC218" s="6"/>
      <c r="AD218" s="6"/>
      <c r="AE218" s="12"/>
      <c r="AF218" s="6"/>
      <c r="AG218" s="12"/>
      <c r="AH218" s="6"/>
      <c r="AI218" s="6"/>
      <c r="AJ218" s="12"/>
      <c r="AK218" s="1"/>
      <c r="AL218" s="12"/>
      <c r="AM218" s="12"/>
      <c r="AN218" s="1"/>
      <c r="AO218" s="6"/>
    </row>
    <row r="219" spans="1:41" ht="15" x14ac:dyDescent="0.25">
      <c r="A219" s="1"/>
      <c r="B219" s="1"/>
      <c r="C219" s="1"/>
      <c r="D219" s="1"/>
      <c r="E219" s="6"/>
      <c r="F219" s="1"/>
      <c r="G219" s="6"/>
      <c r="H219" s="6"/>
      <c r="I219" s="6"/>
      <c r="J219" s="6"/>
      <c r="K219" s="6"/>
      <c r="L219" s="6"/>
      <c r="M219" s="6"/>
      <c r="N219" s="6"/>
      <c r="O219" s="7"/>
      <c r="P219" s="6"/>
      <c r="Q219" s="6"/>
      <c r="R219" s="7"/>
      <c r="S219" s="6"/>
      <c r="T219" s="6"/>
      <c r="U219" s="7"/>
      <c r="V219" s="6"/>
      <c r="W219" s="6"/>
      <c r="X219" s="6"/>
      <c r="Y219" s="6"/>
      <c r="Z219" s="6"/>
      <c r="AA219" s="7"/>
      <c r="AB219" s="6"/>
      <c r="AC219" s="6"/>
      <c r="AD219" s="6"/>
      <c r="AE219" s="12"/>
      <c r="AF219" s="12"/>
      <c r="AG219" s="12"/>
      <c r="AH219" s="12"/>
      <c r="AI219" s="6"/>
      <c r="AJ219" s="12"/>
      <c r="AK219" s="1"/>
      <c r="AL219" s="12"/>
      <c r="AM219" s="12"/>
      <c r="AN219" s="1"/>
      <c r="AO219" s="6"/>
    </row>
    <row r="220" spans="1:41" ht="15" x14ac:dyDescent="0.25">
      <c r="A220" s="1"/>
      <c r="B220" s="1"/>
      <c r="C220" s="1"/>
      <c r="D220" s="1"/>
      <c r="E220" s="6"/>
      <c r="F220" s="1"/>
      <c r="G220" s="6"/>
      <c r="H220" s="6"/>
      <c r="I220" s="6"/>
      <c r="J220" s="6"/>
      <c r="K220" s="12"/>
      <c r="L220" s="12"/>
      <c r="M220" s="6"/>
      <c r="N220" s="6"/>
      <c r="O220" s="7"/>
      <c r="P220" s="6"/>
      <c r="Q220" s="6"/>
      <c r="R220" s="7"/>
      <c r="S220" s="6"/>
      <c r="T220" s="6"/>
      <c r="U220" s="7"/>
      <c r="V220" s="6"/>
      <c r="W220" s="6"/>
      <c r="X220" s="12"/>
      <c r="Y220" s="6"/>
      <c r="Z220" s="6"/>
      <c r="AA220" s="7"/>
      <c r="AB220" s="6"/>
      <c r="AC220" s="6"/>
      <c r="AD220" s="6"/>
      <c r="AE220" s="12"/>
      <c r="AF220" s="12"/>
      <c r="AG220" s="12"/>
      <c r="AH220" s="12"/>
      <c r="AI220" s="6"/>
      <c r="AJ220" s="12"/>
      <c r="AK220" s="24"/>
      <c r="AL220" s="25"/>
      <c r="AM220" s="12"/>
      <c r="AN220" s="1"/>
      <c r="AO220" s="6"/>
    </row>
    <row r="221" spans="1:41" ht="15" x14ac:dyDescent="0.25">
      <c r="A221" s="1"/>
      <c r="B221" s="1"/>
      <c r="C221" s="1"/>
      <c r="D221" s="1"/>
      <c r="E221" s="6"/>
      <c r="F221" s="1"/>
      <c r="G221" s="6"/>
      <c r="H221" s="6"/>
      <c r="I221" s="6"/>
      <c r="J221" s="6"/>
      <c r="K221" s="6"/>
      <c r="L221" s="6"/>
      <c r="M221" s="6"/>
      <c r="N221" s="6"/>
      <c r="O221" s="7"/>
      <c r="P221" s="6"/>
      <c r="Q221" s="6"/>
      <c r="R221" s="7"/>
      <c r="S221" s="6"/>
      <c r="T221" s="6"/>
      <c r="U221" s="7"/>
      <c r="V221" s="6"/>
      <c r="W221" s="6"/>
      <c r="X221" s="6"/>
      <c r="Y221" s="6"/>
      <c r="Z221" s="6"/>
      <c r="AA221" s="7"/>
      <c r="AB221" s="6"/>
      <c r="AC221" s="6"/>
      <c r="AD221" s="6"/>
      <c r="AE221" s="12"/>
      <c r="AF221" s="12"/>
      <c r="AG221" s="12"/>
      <c r="AH221" s="12"/>
      <c r="AI221" s="6"/>
      <c r="AJ221" s="12"/>
      <c r="AK221" s="1"/>
      <c r="AL221" s="12"/>
      <c r="AM221" s="12"/>
      <c r="AN221" s="1"/>
      <c r="AO221" s="6"/>
    </row>
    <row r="222" spans="1:41" ht="15" x14ac:dyDescent="0.25">
      <c r="A222" s="1"/>
      <c r="B222" s="1"/>
      <c r="C222" s="1"/>
      <c r="D222" s="1"/>
      <c r="E222" s="6"/>
      <c r="F222" s="1"/>
      <c r="G222" s="6"/>
      <c r="H222" s="6"/>
      <c r="I222" s="6"/>
      <c r="J222" s="6"/>
      <c r="K222" s="6"/>
      <c r="L222" s="6"/>
      <c r="M222" s="6"/>
      <c r="N222" s="6"/>
      <c r="O222" s="7"/>
      <c r="P222" s="6"/>
      <c r="Q222" s="6"/>
      <c r="R222" s="7"/>
      <c r="S222" s="6"/>
      <c r="T222" s="6"/>
      <c r="U222" s="7"/>
      <c r="V222" s="6"/>
      <c r="W222" s="6"/>
      <c r="X222" s="6"/>
      <c r="Y222" s="6"/>
      <c r="Z222" s="6"/>
      <c r="AA222" s="7"/>
      <c r="AB222" s="6"/>
      <c r="AC222" s="6"/>
      <c r="AD222" s="6"/>
      <c r="AE222" s="12"/>
      <c r="AF222" s="6"/>
      <c r="AG222" s="12"/>
      <c r="AH222" s="6"/>
      <c r="AI222" s="6"/>
      <c r="AJ222" s="12"/>
      <c r="AK222" s="1"/>
      <c r="AL222" s="12"/>
      <c r="AM222" s="12"/>
      <c r="AN222" s="1"/>
      <c r="AO222" s="6"/>
    </row>
    <row r="223" spans="1:41" ht="15" x14ac:dyDescent="0.25">
      <c r="A223" s="1"/>
      <c r="B223" s="1"/>
      <c r="C223" s="1"/>
      <c r="D223" s="1"/>
      <c r="E223" s="6"/>
      <c r="F223" s="1"/>
      <c r="G223" s="6"/>
      <c r="H223" s="6"/>
      <c r="I223" s="6"/>
      <c r="J223" s="6"/>
      <c r="K223" s="12"/>
      <c r="L223" s="12"/>
      <c r="M223" s="6"/>
      <c r="N223" s="6"/>
      <c r="O223" s="7"/>
      <c r="P223" s="6"/>
      <c r="Q223" s="6"/>
      <c r="R223" s="7"/>
      <c r="S223" s="6"/>
      <c r="T223" s="6"/>
      <c r="U223" s="7"/>
      <c r="V223" s="6"/>
      <c r="W223" s="6"/>
      <c r="X223" s="12"/>
      <c r="Y223" s="6"/>
      <c r="Z223" s="6"/>
      <c r="AA223" s="7"/>
      <c r="AB223" s="6"/>
      <c r="AC223" s="6"/>
      <c r="AD223" s="6"/>
      <c r="AE223" s="12"/>
      <c r="AF223" s="12"/>
      <c r="AG223" s="12"/>
      <c r="AH223" s="12"/>
      <c r="AI223" s="6"/>
      <c r="AJ223" s="12"/>
      <c r="AK223" s="1"/>
      <c r="AL223" s="12"/>
      <c r="AM223" s="12"/>
      <c r="AN223" s="1"/>
      <c r="AO223" s="6"/>
    </row>
    <row r="224" spans="1:41" ht="15" x14ac:dyDescent="0.25">
      <c r="A224" s="1"/>
      <c r="B224" s="1"/>
      <c r="C224" s="1"/>
      <c r="D224" s="1"/>
      <c r="E224" s="6"/>
      <c r="F224" s="1"/>
      <c r="G224" s="6"/>
      <c r="H224" s="6"/>
      <c r="I224" s="6"/>
      <c r="J224" s="6"/>
      <c r="K224" s="6"/>
      <c r="L224" s="6"/>
      <c r="M224" s="6"/>
      <c r="N224" s="6"/>
      <c r="O224" s="7"/>
      <c r="P224" s="6"/>
      <c r="Q224" s="6"/>
      <c r="R224" s="7"/>
      <c r="S224" s="6"/>
      <c r="T224" s="6"/>
      <c r="U224" s="7"/>
      <c r="V224" s="6"/>
      <c r="W224" s="6"/>
      <c r="X224" s="12"/>
      <c r="Y224" s="6"/>
      <c r="Z224" s="6"/>
      <c r="AA224" s="7"/>
      <c r="AB224" s="6"/>
      <c r="AC224" s="6"/>
      <c r="AD224" s="6"/>
      <c r="AE224" s="12"/>
      <c r="AF224" s="6"/>
      <c r="AG224" s="12"/>
      <c r="AH224" s="6"/>
      <c r="AI224" s="6"/>
      <c r="AJ224" s="12"/>
      <c r="AK224" s="24"/>
      <c r="AL224" s="25"/>
      <c r="AM224" s="12"/>
      <c r="AN224" s="1"/>
      <c r="AO224" s="6"/>
    </row>
    <row r="225" spans="1:41" ht="15" x14ac:dyDescent="0.25">
      <c r="A225" s="1"/>
      <c r="B225" s="1"/>
      <c r="C225" s="1"/>
      <c r="D225" s="1"/>
      <c r="E225" s="6"/>
      <c r="F225" s="1"/>
      <c r="G225" s="6"/>
      <c r="H225" s="6"/>
      <c r="I225" s="6"/>
      <c r="J225" s="6"/>
      <c r="K225" s="6"/>
      <c r="L225" s="6"/>
      <c r="M225" s="6"/>
      <c r="N225" s="6"/>
      <c r="O225" s="7"/>
      <c r="P225" s="12"/>
      <c r="Q225" s="6"/>
      <c r="R225" s="7"/>
      <c r="S225" s="6"/>
      <c r="T225" s="6"/>
      <c r="U225" s="7"/>
      <c r="V225" s="6"/>
      <c r="W225" s="6"/>
      <c r="X225" s="6"/>
      <c r="Y225" s="6"/>
      <c r="Z225" s="6"/>
      <c r="AA225" s="15"/>
      <c r="AB225" s="6"/>
      <c r="AC225" s="6"/>
      <c r="AD225" s="6"/>
      <c r="AE225" s="12"/>
      <c r="AF225" s="6"/>
      <c r="AG225" s="12"/>
      <c r="AH225" s="6"/>
      <c r="AI225" s="6"/>
      <c r="AJ225" s="12"/>
      <c r="AK225" s="24"/>
      <c r="AL225" s="25"/>
      <c r="AM225" s="12"/>
      <c r="AN225" s="1"/>
      <c r="AO225" s="6"/>
    </row>
    <row r="226" spans="1:41" ht="15" x14ac:dyDescent="0.25">
      <c r="A226" s="1"/>
      <c r="B226" s="1"/>
      <c r="C226" s="1"/>
      <c r="D226" s="1"/>
      <c r="E226" s="6"/>
      <c r="F226" s="1"/>
      <c r="G226" s="6"/>
      <c r="H226" s="6"/>
      <c r="I226" s="6"/>
      <c r="J226" s="6"/>
      <c r="K226" s="6"/>
      <c r="L226" s="6"/>
      <c r="M226" s="6"/>
      <c r="N226" s="6"/>
      <c r="O226" s="7"/>
      <c r="P226" s="6"/>
      <c r="Q226" s="6"/>
      <c r="R226" s="7"/>
      <c r="S226" s="6"/>
      <c r="T226" s="6"/>
      <c r="U226" s="7"/>
      <c r="V226" s="6"/>
      <c r="W226" s="6"/>
      <c r="X226" s="6"/>
      <c r="Y226" s="6"/>
      <c r="Z226" s="6"/>
      <c r="AA226" s="7"/>
      <c r="AB226" s="6"/>
      <c r="AC226" s="6"/>
      <c r="AD226" s="6"/>
      <c r="AE226" s="12"/>
      <c r="AF226" s="12"/>
      <c r="AG226" s="12"/>
      <c r="AH226" s="12"/>
      <c r="AI226" s="6"/>
      <c r="AJ226" s="12"/>
      <c r="AK226" s="1"/>
      <c r="AL226" s="12"/>
      <c r="AM226" s="12"/>
      <c r="AN226" s="1"/>
      <c r="AO226" s="6"/>
    </row>
    <row r="227" spans="1:41" ht="15" x14ac:dyDescent="0.25">
      <c r="A227" s="1"/>
      <c r="B227" s="1"/>
      <c r="C227" s="1"/>
      <c r="D227" s="1"/>
      <c r="E227" s="6"/>
      <c r="F227" s="1"/>
      <c r="G227" s="6"/>
      <c r="H227" s="6"/>
      <c r="I227" s="6"/>
      <c r="J227" s="6"/>
      <c r="K227" s="12"/>
      <c r="L227" s="12"/>
      <c r="M227" s="6"/>
      <c r="N227" s="6"/>
      <c r="O227" s="7"/>
      <c r="P227" s="6"/>
      <c r="Q227" s="6"/>
      <c r="R227" s="7"/>
      <c r="S227" s="6"/>
      <c r="T227" s="6"/>
      <c r="U227" s="7"/>
      <c r="V227" s="6"/>
      <c r="W227" s="6"/>
      <c r="X227" s="12"/>
      <c r="Y227" s="6"/>
      <c r="Z227" s="6"/>
      <c r="AA227" s="7"/>
      <c r="AB227" s="6"/>
      <c r="AC227" s="6"/>
      <c r="AD227" s="6"/>
      <c r="AE227" s="12"/>
      <c r="AF227" s="12"/>
      <c r="AG227" s="12"/>
      <c r="AH227" s="12"/>
      <c r="AI227" s="6"/>
      <c r="AJ227" s="12"/>
      <c r="AK227" s="1"/>
      <c r="AL227" s="12"/>
      <c r="AM227" s="12"/>
      <c r="AN227" s="1"/>
      <c r="AO227" s="6"/>
    </row>
    <row r="228" spans="1:41" ht="15" x14ac:dyDescent="0.25">
      <c r="A228" s="1"/>
      <c r="B228" s="1"/>
      <c r="C228" s="1"/>
      <c r="D228" s="1"/>
      <c r="E228" s="6"/>
      <c r="F228" s="1"/>
      <c r="G228" s="6"/>
      <c r="H228" s="6"/>
      <c r="I228" s="6"/>
      <c r="J228" s="6"/>
      <c r="K228" s="6"/>
      <c r="L228" s="6"/>
      <c r="M228" s="6"/>
      <c r="N228" s="6"/>
      <c r="O228" s="7"/>
      <c r="P228" s="6"/>
      <c r="Q228" s="6"/>
      <c r="R228" s="7"/>
      <c r="S228" s="6"/>
      <c r="T228" s="6"/>
      <c r="U228" s="7"/>
      <c r="V228" s="6"/>
      <c r="W228" s="6"/>
      <c r="X228" s="6"/>
      <c r="Y228" s="6"/>
      <c r="Z228" s="6"/>
      <c r="AA228" s="7"/>
      <c r="AB228" s="6"/>
      <c r="AC228" s="6"/>
      <c r="AD228" s="6"/>
      <c r="AE228" s="12"/>
      <c r="AF228" s="6"/>
      <c r="AG228" s="12"/>
      <c r="AH228" s="6"/>
      <c r="AI228" s="6"/>
      <c r="AJ228" s="12"/>
      <c r="AK228" s="24"/>
      <c r="AL228" s="25"/>
      <c r="AM228" s="12"/>
      <c r="AN228" s="1"/>
      <c r="AO228" s="6"/>
    </row>
    <row r="229" spans="1:41" ht="15" x14ac:dyDescent="0.25">
      <c r="A229" s="1"/>
      <c r="B229" s="1"/>
      <c r="C229" s="1"/>
      <c r="D229" s="1"/>
      <c r="E229" s="6"/>
      <c r="F229" s="1"/>
      <c r="G229" s="6"/>
      <c r="H229" s="6"/>
      <c r="I229" s="6"/>
      <c r="J229" s="6"/>
      <c r="K229" s="6"/>
      <c r="L229" s="6"/>
      <c r="M229" s="6"/>
      <c r="N229" s="6"/>
      <c r="O229" s="7"/>
      <c r="P229" s="6"/>
      <c r="Q229" s="6"/>
      <c r="R229" s="7"/>
      <c r="S229" s="6"/>
      <c r="T229" s="6"/>
      <c r="U229" s="7"/>
      <c r="V229" s="6"/>
      <c r="W229" s="6"/>
      <c r="X229" s="6"/>
      <c r="Y229" s="6"/>
      <c r="Z229" s="6"/>
      <c r="AA229" s="7"/>
      <c r="AB229" s="6"/>
      <c r="AC229" s="6"/>
      <c r="AD229" s="6"/>
      <c r="AE229" s="12"/>
      <c r="AF229" s="12"/>
      <c r="AG229" s="12"/>
      <c r="AH229" s="12"/>
      <c r="AI229" s="6"/>
      <c r="AJ229" s="12"/>
      <c r="AK229" s="1"/>
      <c r="AL229" s="12"/>
      <c r="AM229" s="12"/>
      <c r="AN229" s="1"/>
      <c r="AO229" s="6"/>
    </row>
    <row r="230" spans="1:41" ht="15" x14ac:dyDescent="0.25">
      <c r="A230" s="1"/>
      <c r="B230" s="1"/>
      <c r="C230" s="1"/>
      <c r="D230" s="1"/>
      <c r="E230" s="6"/>
      <c r="F230" s="1"/>
      <c r="G230" s="6"/>
      <c r="H230" s="6"/>
      <c r="I230" s="6"/>
      <c r="J230" s="6"/>
      <c r="K230" s="6"/>
      <c r="L230" s="6"/>
      <c r="M230" s="6"/>
      <c r="N230" s="6"/>
      <c r="O230" s="7"/>
      <c r="P230" s="6"/>
      <c r="Q230" s="6"/>
      <c r="R230" s="7"/>
      <c r="S230" s="6"/>
      <c r="T230" s="6"/>
      <c r="U230" s="7"/>
      <c r="V230" s="6"/>
      <c r="W230" s="6"/>
      <c r="X230" s="12"/>
      <c r="Y230" s="6"/>
      <c r="Z230" s="6"/>
      <c r="AA230" s="7"/>
      <c r="AB230" s="6"/>
      <c r="AC230" s="6"/>
      <c r="AD230" s="6"/>
      <c r="AE230" s="12"/>
      <c r="AF230" s="6"/>
      <c r="AG230" s="12"/>
      <c r="AH230" s="6"/>
      <c r="AI230" s="6"/>
      <c r="AJ230" s="12"/>
      <c r="AK230" s="1"/>
      <c r="AL230" s="12"/>
      <c r="AM230" s="12"/>
      <c r="AN230" s="1"/>
      <c r="AO230" s="6"/>
    </row>
    <row r="231" spans="1:41" ht="15" x14ac:dyDescent="0.25">
      <c r="A231" s="1"/>
      <c r="B231" s="1"/>
      <c r="C231" s="1"/>
      <c r="D231" s="1"/>
      <c r="E231" s="6"/>
      <c r="F231" s="1"/>
      <c r="G231" s="6"/>
      <c r="H231" s="6"/>
      <c r="I231" s="6"/>
      <c r="J231" s="6"/>
      <c r="K231" s="6"/>
      <c r="L231" s="6"/>
      <c r="M231" s="6"/>
      <c r="N231" s="6"/>
      <c r="O231" s="7"/>
      <c r="P231" s="6"/>
      <c r="Q231" s="7"/>
      <c r="R231" s="6"/>
      <c r="S231" s="12"/>
      <c r="T231" s="6"/>
      <c r="U231" s="6"/>
      <c r="V231" s="7"/>
      <c r="W231" s="7"/>
      <c r="X231" s="6"/>
      <c r="Y231" s="6"/>
      <c r="Z231" s="6"/>
      <c r="AA231" s="1"/>
      <c r="AB231" s="12"/>
      <c r="AC231" s="12"/>
      <c r="AD231" s="12"/>
      <c r="AE231" s="12"/>
      <c r="AF231" s="12"/>
      <c r="AG231" s="12"/>
      <c r="AH231" s="12"/>
      <c r="AI231" s="6"/>
      <c r="AJ231" s="12"/>
      <c r="AK231" s="12"/>
      <c r="AL231" s="12"/>
      <c r="AM231" s="12"/>
      <c r="AN231" s="1"/>
      <c r="AO231" s="6"/>
    </row>
    <row r="232" spans="1:41" ht="15" x14ac:dyDescent="0.25">
      <c r="A232" s="1"/>
      <c r="B232" s="1"/>
      <c r="C232" s="1"/>
      <c r="D232" s="1"/>
      <c r="E232" s="6"/>
      <c r="F232" s="1"/>
      <c r="G232" s="6"/>
      <c r="H232" s="6"/>
      <c r="I232" s="6"/>
      <c r="J232" s="6"/>
      <c r="K232" s="6"/>
      <c r="L232" s="6"/>
      <c r="M232" s="6"/>
      <c r="N232" s="6"/>
      <c r="O232" s="7"/>
      <c r="P232" s="6"/>
      <c r="Q232" s="6"/>
      <c r="R232" s="7"/>
      <c r="S232" s="6"/>
      <c r="T232" s="6"/>
      <c r="U232" s="7"/>
      <c r="V232" s="6"/>
      <c r="W232" s="6"/>
      <c r="X232" s="12"/>
      <c r="Y232" s="6"/>
      <c r="Z232" s="6"/>
      <c r="AA232" s="7"/>
      <c r="AB232" s="6"/>
      <c r="AC232" s="6"/>
      <c r="AD232" s="6"/>
      <c r="AE232" s="12"/>
      <c r="AF232" s="12"/>
      <c r="AG232" s="12"/>
      <c r="AH232" s="12"/>
      <c r="AI232" s="6"/>
      <c r="AJ232" s="12"/>
      <c r="AK232" s="1"/>
      <c r="AL232" s="12"/>
      <c r="AM232" s="12"/>
      <c r="AN232" s="1"/>
      <c r="AO232" s="6"/>
    </row>
    <row r="233" spans="1:41" ht="15" x14ac:dyDescent="0.25">
      <c r="A233" s="1"/>
      <c r="B233" s="1"/>
      <c r="C233" s="1"/>
      <c r="D233" s="1"/>
      <c r="E233" s="6"/>
      <c r="F233" s="1"/>
      <c r="G233" s="6"/>
      <c r="H233" s="6"/>
      <c r="I233" s="6"/>
      <c r="J233" s="6"/>
      <c r="K233" s="6"/>
      <c r="L233" s="6"/>
      <c r="M233" s="6"/>
      <c r="N233" s="6"/>
      <c r="O233" s="7"/>
      <c r="P233" s="6"/>
      <c r="Q233" s="6"/>
      <c r="R233" s="7"/>
      <c r="S233" s="6"/>
      <c r="T233" s="6"/>
      <c r="U233" s="7"/>
      <c r="V233" s="6"/>
      <c r="W233" s="6"/>
      <c r="X233" s="6"/>
      <c r="Y233" s="6"/>
      <c r="Z233" s="6"/>
      <c r="AA233" s="7"/>
      <c r="AB233" s="6"/>
      <c r="AC233" s="6"/>
      <c r="AD233" s="6"/>
      <c r="AE233" s="12"/>
      <c r="AF233" s="12"/>
      <c r="AG233" s="12"/>
      <c r="AH233" s="12"/>
      <c r="AI233" s="6"/>
      <c r="AJ233" s="12"/>
      <c r="AK233" s="1"/>
      <c r="AL233" s="12"/>
      <c r="AM233" s="12"/>
      <c r="AN233" s="1"/>
      <c r="AO233" s="6"/>
    </row>
    <row r="234" spans="1:41" ht="15" x14ac:dyDescent="0.25">
      <c r="A234" s="1"/>
      <c r="B234" s="1"/>
      <c r="C234" s="1"/>
      <c r="D234" s="1"/>
      <c r="E234" s="6"/>
      <c r="F234" s="1"/>
      <c r="G234" s="6"/>
      <c r="H234" s="6"/>
      <c r="I234" s="6"/>
      <c r="J234" s="6"/>
      <c r="K234" s="6"/>
      <c r="L234" s="6"/>
      <c r="M234" s="6"/>
      <c r="N234" s="6"/>
      <c r="O234" s="7"/>
      <c r="P234" s="6"/>
      <c r="Q234" s="6"/>
      <c r="R234" s="7"/>
      <c r="S234" s="6"/>
      <c r="T234" s="6"/>
      <c r="U234" s="7"/>
      <c r="V234" s="6"/>
      <c r="W234" s="6"/>
      <c r="X234" s="12"/>
      <c r="Y234" s="6"/>
      <c r="Z234" s="6"/>
      <c r="AA234" s="7"/>
      <c r="AB234" s="6"/>
      <c r="AC234" s="6"/>
      <c r="AD234" s="6"/>
      <c r="AE234" s="12"/>
      <c r="AF234" s="6"/>
      <c r="AG234" s="12"/>
      <c r="AH234" s="6"/>
      <c r="AI234" s="6"/>
      <c r="AJ234" s="12"/>
      <c r="AK234" s="1"/>
      <c r="AL234" s="12"/>
      <c r="AM234" s="12"/>
      <c r="AN234" s="1"/>
      <c r="AO234" s="6"/>
    </row>
    <row r="235" spans="1:41" ht="15" x14ac:dyDescent="0.25">
      <c r="A235" s="1"/>
      <c r="B235" s="1"/>
      <c r="C235" s="1"/>
      <c r="D235" s="1"/>
      <c r="E235" s="6"/>
      <c r="F235" s="1"/>
      <c r="G235" s="6"/>
      <c r="H235" s="6"/>
      <c r="I235" s="6"/>
      <c r="J235" s="6"/>
      <c r="K235" s="12"/>
      <c r="L235" s="12"/>
      <c r="M235" s="6"/>
      <c r="N235" s="6"/>
      <c r="O235" s="7"/>
      <c r="P235" s="6"/>
      <c r="Q235" s="6"/>
      <c r="R235" s="7"/>
      <c r="S235" s="6"/>
      <c r="T235" s="6"/>
      <c r="U235" s="7"/>
      <c r="V235" s="6"/>
      <c r="W235" s="6"/>
      <c r="X235" s="12"/>
      <c r="Y235" s="6"/>
      <c r="Z235" s="6"/>
      <c r="AA235" s="7"/>
      <c r="AB235" s="6"/>
      <c r="AC235" s="6"/>
      <c r="AD235" s="6"/>
      <c r="AE235" s="12"/>
      <c r="AF235" s="12"/>
      <c r="AG235" s="12"/>
      <c r="AH235" s="12"/>
      <c r="AI235" s="6"/>
      <c r="AJ235" s="12"/>
      <c r="AK235" s="1"/>
      <c r="AL235" s="12"/>
      <c r="AM235" s="12"/>
      <c r="AN235" s="1"/>
      <c r="AO235" s="6"/>
    </row>
    <row r="236" spans="1:41" ht="15" x14ac:dyDescent="0.25">
      <c r="A236" s="1"/>
      <c r="B236" s="1"/>
      <c r="C236" s="1"/>
      <c r="D236" s="1"/>
      <c r="E236" s="6"/>
      <c r="F236" s="1"/>
      <c r="G236" s="6"/>
      <c r="H236" s="6"/>
      <c r="I236" s="6"/>
      <c r="J236" s="6"/>
      <c r="K236" s="6"/>
      <c r="L236" s="6"/>
      <c r="M236" s="6"/>
      <c r="N236" s="6"/>
      <c r="O236" s="7"/>
      <c r="P236" s="6"/>
      <c r="Q236" s="6"/>
      <c r="R236" s="7"/>
      <c r="S236" s="6"/>
      <c r="T236" s="6"/>
      <c r="U236" s="7"/>
      <c r="V236" s="6"/>
      <c r="W236" s="6"/>
      <c r="X236" s="12"/>
      <c r="Y236" s="6"/>
      <c r="Z236" s="6"/>
      <c r="AA236" s="7"/>
      <c r="AB236" s="6"/>
      <c r="AC236" s="6"/>
      <c r="AD236" s="6"/>
      <c r="AE236" s="12"/>
      <c r="AF236" s="12"/>
      <c r="AG236" s="12"/>
      <c r="AH236" s="12"/>
      <c r="AI236" s="6"/>
      <c r="AJ236" s="12"/>
      <c r="AK236" s="1"/>
      <c r="AL236" s="12"/>
      <c r="AM236" s="12"/>
      <c r="AN236" s="1"/>
      <c r="AO236" s="6"/>
    </row>
    <row r="237" spans="1:41" ht="15" x14ac:dyDescent="0.25">
      <c r="A237" s="1"/>
      <c r="B237" s="1"/>
      <c r="C237" s="1"/>
      <c r="D237" s="1"/>
      <c r="E237" s="6"/>
      <c r="F237" s="1"/>
      <c r="G237" s="6"/>
      <c r="H237" s="6"/>
      <c r="I237" s="6"/>
      <c r="J237" s="6"/>
      <c r="K237" s="6"/>
      <c r="L237" s="6"/>
      <c r="M237" s="6"/>
      <c r="N237" s="6"/>
      <c r="O237" s="7"/>
      <c r="P237" s="6"/>
      <c r="Q237" s="6"/>
      <c r="R237" s="7"/>
      <c r="S237" s="6"/>
      <c r="T237" s="6"/>
      <c r="U237" s="7"/>
      <c r="V237" s="6"/>
      <c r="W237" s="6"/>
      <c r="X237" s="6"/>
      <c r="Y237" s="6"/>
      <c r="Z237" s="6"/>
      <c r="AA237" s="7"/>
      <c r="AB237" s="6"/>
      <c r="AC237" s="6"/>
      <c r="AD237" s="6"/>
      <c r="AE237" s="12"/>
      <c r="AF237" s="12"/>
      <c r="AG237" s="12"/>
      <c r="AH237" s="12"/>
      <c r="AI237" s="6"/>
      <c r="AJ237" s="12"/>
      <c r="AK237" s="1"/>
      <c r="AL237" s="12"/>
      <c r="AM237" s="12"/>
      <c r="AN237" s="1"/>
      <c r="AO237" s="6"/>
    </row>
    <row r="238" spans="1:41" ht="15" x14ac:dyDescent="0.25">
      <c r="A238" s="1"/>
      <c r="B238" s="1"/>
      <c r="C238" s="1"/>
      <c r="D238" s="1"/>
      <c r="E238" s="6"/>
      <c r="F238" s="1"/>
      <c r="G238" s="6"/>
      <c r="H238" s="6"/>
      <c r="I238" s="6"/>
      <c r="J238" s="6"/>
      <c r="K238" s="6"/>
      <c r="L238" s="6"/>
      <c r="M238" s="6"/>
      <c r="N238" s="6"/>
      <c r="O238" s="7"/>
      <c r="P238" s="6"/>
      <c r="Q238" s="6"/>
      <c r="R238" s="7"/>
      <c r="S238" s="6"/>
      <c r="T238" s="6"/>
      <c r="U238" s="7"/>
      <c r="V238" s="6"/>
      <c r="W238" s="6"/>
      <c r="X238" s="6"/>
      <c r="Y238" s="6"/>
      <c r="Z238" s="6"/>
      <c r="AA238" s="7"/>
      <c r="AB238" s="6"/>
      <c r="AC238" s="6"/>
      <c r="AD238" s="6"/>
      <c r="AE238" s="12"/>
      <c r="AF238" s="6"/>
      <c r="AG238" s="12"/>
      <c r="AH238" s="6"/>
      <c r="AI238" s="6"/>
      <c r="AJ238" s="12"/>
      <c r="AK238" s="24"/>
      <c r="AL238" s="25"/>
      <c r="AM238" s="12"/>
      <c r="AN238" s="1"/>
      <c r="AO238" s="6"/>
    </row>
    <row r="239" spans="1:41" ht="15" x14ac:dyDescent="0.25">
      <c r="A239" s="1"/>
      <c r="B239" s="1"/>
      <c r="C239" s="1"/>
      <c r="D239" s="1"/>
      <c r="E239" s="6"/>
      <c r="F239" s="1"/>
      <c r="G239" s="6"/>
      <c r="H239" s="6"/>
      <c r="I239" s="6"/>
      <c r="J239" s="6"/>
      <c r="K239" s="6"/>
      <c r="L239" s="6"/>
      <c r="M239" s="6"/>
      <c r="N239" s="6"/>
      <c r="O239" s="7"/>
      <c r="P239" s="6"/>
      <c r="Q239" s="6"/>
      <c r="R239" s="7"/>
      <c r="S239" s="6"/>
      <c r="T239" s="6"/>
      <c r="U239" s="7"/>
      <c r="V239" s="6"/>
      <c r="W239" s="6"/>
      <c r="X239" s="6"/>
      <c r="Y239" s="6"/>
      <c r="Z239" s="6"/>
      <c r="AA239" s="7"/>
      <c r="AB239" s="6"/>
      <c r="AC239" s="6"/>
      <c r="AD239" s="6"/>
      <c r="AE239" s="12"/>
      <c r="AF239" s="6"/>
      <c r="AG239" s="12"/>
      <c r="AH239" s="6"/>
      <c r="AI239" s="6"/>
      <c r="AJ239" s="12"/>
      <c r="AK239" s="24"/>
      <c r="AL239" s="25"/>
      <c r="AM239" s="12"/>
      <c r="AN239" s="1"/>
      <c r="AO239" s="6"/>
    </row>
    <row r="240" spans="1:41" ht="15" x14ac:dyDescent="0.25">
      <c r="A240" s="1"/>
      <c r="B240" s="1"/>
      <c r="C240" s="1"/>
      <c r="D240" s="1"/>
      <c r="E240" s="6"/>
      <c r="F240" s="1"/>
      <c r="G240" s="6"/>
      <c r="H240" s="6"/>
      <c r="I240" s="6"/>
      <c r="J240" s="6"/>
      <c r="K240" s="12"/>
      <c r="L240" s="12"/>
      <c r="M240" s="6"/>
      <c r="N240" s="6"/>
      <c r="O240" s="7"/>
      <c r="P240" s="6"/>
      <c r="Q240" s="6"/>
      <c r="R240" s="7"/>
      <c r="S240" s="6"/>
      <c r="T240" s="6"/>
      <c r="U240" s="7"/>
      <c r="V240" s="6"/>
      <c r="W240" s="6"/>
      <c r="X240" s="12"/>
      <c r="Y240" s="6"/>
      <c r="Z240" s="6"/>
      <c r="AA240" s="7"/>
      <c r="AB240" s="6"/>
      <c r="AC240" s="6"/>
      <c r="AD240" s="6"/>
      <c r="AE240" s="12"/>
      <c r="AF240" s="12"/>
      <c r="AG240" s="12"/>
      <c r="AH240" s="12"/>
      <c r="AI240" s="6"/>
      <c r="AJ240" s="12"/>
      <c r="AK240" s="1"/>
      <c r="AL240" s="12"/>
      <c r="AM240" s="12"/>
      <c r="AN240" s="1"/>
      <c r="AO240" s="6"/>
    </row>
    <row r="241" spans="1:41" ht="15" x14ac:dyDescent="0.25">
      <c r="A241" s="1"/>
      <c r="B241" s="1"/>
      <c r="C241" s="1"/>
      <c r="D241" s="1"/>
      <c r="E241" s="6"/>
      <c r="F241" s="1"/>
      <c r="G241" s="6"/>
      <c r="H241" s="6"/>
      <c r="I241" s="6"/>
      <c r="J241" s="6"/>
      <c r="K241" s="6"/>
      <c r="L241" s="6"/>
      <c r="M241" s="6"/>
      <c r="N241" s="6"/>
      <c r="O241" s="7"/>
      <c r="P241" s="6"/>
      <c r="Q241" s="6"/>
      <c r="R241" s="7"/>
      <c r="S241" s="6"/>
      <c r="T241" s="6"/>
      <c r="U241" s="7"/>
      <c r="V241" s="6"/>
      <c r="W241" s="6"/>
      <c r="X241" s="12"/>
      <c r="Y241" s="6"/>
      <c r="Z241" s="6"/>
      <c r="AA241" s="7"/>
      <c r="AB241" s="6"/>
      <c r="AC241" s="6"/>
      <c r="AD241" s="6"/>
      <c r="AE241" s="12"/>
      <c r="AF241" s="12"/>
      <c r="AG241" s="12"/>
      <c r="AH241" s="12"/>
      <c r="AI241" s="6"/>
      <c r="AJ241" s="12"/>
      <c r="AK241" s="1"/>
      <c r="AL241" s="12"/>
      <c r="AM241" s="12"/>
      <c r="AN241" s="1"/>
      <c r="AO241" s="6"/>
    </row>
    <row r="242" spans="1:41" ht="15" x14ac:dyDescent="0.25">
      <c r="A242" s="1"/>
      <c r="B242" s="1"/>
      <c r="C242" s="1"/>
      <c r="D242" s="1"/>
      <c r="E242" s="6"/>
      <c r="F242" s="1"/>
      <c r="G242" s="6"/>
      <c r="H242" s="6"/>
      <c r="I242" s="6"/>
      <c r="J242" s="6"/>
      <c r="K242" s="6"/>
      <c r="L242" s="6"/>
      <c r="M242" s="6"/>
      <c r="N242" s="6"/>
      <c r="O242" s="7"/>
      <c r="P242" s="6"/>
      <c r="Q242" s="6"/>
      <c r="R242" s="7"/>
      <c r="S242" s="6"/>
      <c r="T242" s="6"/>
      <c r="U242" s="7"/>
      <c r="V242" s="6"/>
      <c r="W242" s="6"/>
      <c r="X242" s="6"/>
      <c r="Y242" s="6"/>
      <c r="Z242" s="6"/>
      <c r="AA242" s="7"/>
      <c r="AB242" s="6"/>
      <c r="AC242" s="6"/>
      <c r="AD242" s="6"/>
      <c r="AE242" s="12"/>
      <c r="AF242" s="12"/>
      <c r="AG242" s="12"/>
      <c r="AH242" s="12"/>
      <c r="AI242" s="6"/>
      <c r="AJ242" s="12"/>
      <c r="AK242" s="1"/>
      <c r="AL242" s="12"/>
      <c r="AM242" s="12"/>
      <c r="AN242" s="1"/>
      <c r="AO242" s="6"/>
    </row>
    <row r="243" spans="1:41" ht="15" x14ac:dyDescent="0.25">
      <c r="A243" s="1"/>
      <c r="B243" s="1"/>
      <c r="C243" s="1"/>
      <c r="D243" s="1"/>
      <c r="E243" s="6"/>
      <c r="F243" s="1"/>
      <c r="G243" s="6"/>
      <c r="H243" s="6"/>
      <c r="I243" s="6"/>
      <c r="J243" s="6"/>
      <c r="K243" s="6"/>
      <c r="L243" s="6"/>
      <c r="M243" s="6"/>
      <c r="N243" s="6"/>
      <c r="O243" s="7"/>
      <c r="P243" s="12"/>
      <c r="Q243" s="6"/>
      <c r="R243" s="7"/>
      <c r="S243" s="6"/>
      <c r="T243" s="6"/>
      <c r="U243" s="7"/>
      <c r="V243" s="6"/>
      <c r="W243" s="6"/>
      <c r="X243" s="6"/>
      <c r="Y243" s="6"/>
      <c r="Z243" s="6"/>
      <c r="AA243" s="7"/>
      <c r="AB243" s="6"/>
      <c r="AC243" s="6"/>
      <c r="AD243" s="6"/>
      <c r="AE243" s="12"/>
      <c r="AF243" s="12"/>
      <c r="AG243" s="12"/>
      <c r="AH243" s="12"/>
      <c r="AI243" s="6"/>
      <c r="AJ243" s="12"/>
      <c r="AK243" s="1"/>
      <c r="AL243" s="12"/>
      <c r="AM243" s="12"/>
      <c r="AN243" s="1"/>
      <c r="AO243" s="6"/>
    </row>
    <row r="244" spans="1:41" ht="15" x14ac:dyDescent="0.25">
      <c r="A244" s="1"/>
      <c r="B244" s="1"/>
      <c r="C244" s="1"/>
      <c r="D244" s="1"/>
      <c r="E244" s="6"/>
      <c r="F244" s="1"/>
      <c r="G244" s="6"/>
      <c r="H244" s="6"/>
      <c r="I244" s="6"/>
      <c r="J244" s="6"/>
      <c r="K244" s="6"/>
      <c r="L244" s="6"/>
      <c r="M244" s="6"/>
      <c r="N244" s="6"/>
      <c r="O244" s="7"/>
      <c r="P244" s="12"/>
      <c r="Q244" s="6"/>
      <c r="R244" s="7"/>
      <c r="S244" s="6"/>
      <c r="T244" s="6"/>
      <c r="U244" s="7"/>
      <c r="V244" s="6"/>
      <c r="W244" s="6"/>
      <c r="X244" s="6"/>
      <c r="Y244" s="6"/>
      <c r="Z244" s="6"/>
      <c r="AA244" s="7"/>
      <c r="AB244" s="6"/>
      <c r="AC244" s="6"/>
      <c r="AD244" s="6"/>
      <c r="AE244" s="12"/>
      <c r="AF244" s="6"/>
      <c r="AG244" s="12"/>
      <c r="AH244" s="6"/>
      <c r="AI244" s="6"/>
      <c r="AJ244" s="12"/>
      <c r="AK244" s="24"/>
      <c r="AL244" s="25"/>
      <c r="AM244" s="12"/>
      <c r="AN244" s="1"/>
      <c r="AO244" s="6"/>
    </row>
    <row r="245" spans="1:41" ht="15" x14ac:dyDescent="0.25">
      <c r="A245" s="1"/>
      <c r="B245" s="1"/>
      <c r="C245" s="1"/>
      <c r="D245" s="1"/>
      <c r="E245" s="6"/>
      <c r="F245" s="1"/>
      <c r="G245" s="6"/>
      <c r="H245" s="6"/>
      <c r="I245" s="6"/>
      <c r="J245" s="6"/>
      <c r="K245" s="6"/>
      <c r="L245" s="6"/>
      <c r="M245" s="6"/>
      <c r="N245" s="6"/>
      <c r="O245" s="7"/>
      <c r="P245" s="6"/>
      <c r="Q245" s="7"/>
      <c r="R245" s="6"/>
      <c r="S245" s="12"/>
      <c r="T245" s="6"/>
      <c r="U245" s="6"/>
      <c r="V245" s="7"/>
      <c r="W245" s="6"/>
      <c r="X245" s="6"/>
      <c r="Y245" s="6"/>
      <c r="Z245" s="6"/>
      <c r="AA245" s="24"/>
      <c r="AB245" s="25"/>
      <c r="AC245" s="12"/>
      <c r="AD245" s="12"/>
      <c r="AE245" s="12"/>
      <c r="AF245" s="6"/>
      <c r="AG245" s="12"/>
      <c r="AH245" s="6"/>
      <c r="AI245" s="6"/>
      <c r="AJ245" s="12"/>
      <c r="AK245" s="12"/>
      <c r="AL245" s="12"/>
      <c r="AM245" s="12"/>
      <c r="AN245" s="1"/>
      <c r="AO245" s="6"/>
    </row>
    <row r="246" spans="1:41" ht="15" x14ac:dyDescent="0.25">
      <c r="A246" s="1"/>
      <c r="B246" s="1"/>
      <c r="C246" s="1"/>
      <c r="D246" s="1"/>
      <c r="E246" s="6"/>
      <c r="F246" s="1"/>
      <c r="G246" s="6"/>
      <c r="H246" s="6"/>
      <c r="I246" s="6"/>
      <c r="J246" s="6"/>
      <c r="K246" s="6"/>
      <c r="L246" s="6"/>
      <c r="M246" s="6"/>
      <c r="N246" s="6"/>
      <c r="O246" s="7"/>
      <c r="P246" s="6"/>
      <c r="Q246" s="6"/>
      <c r="R246" s="7"/>
      <c r="S246" s="6"/>
      <c r="T246" s="6"/>
      <c r="U246" s="7"/>
      <c r="V246" s="6"/>
      <c r="W246" s="6"/>
      <c r="X246" s="6"/>
      <c r="Y246" s="6"/>
      <c r="Z246" s="6"/>
      <c r="AA246" s="7"/>
      <c r="AB246" s="6"/>
      <c r="AC246" s="6"/>
      <c r="AD246" s="6"/>
      <c r="AE246" s="12"/>
      <c r="AF246" s="6"/>
      <c r="AG246" s="12"/>
      <c r="AH246" s="6"/>
      <c r="AI246" s="6"/>
      <c r="AJ246" s="12"/>
      <c r="AK246" s="1"/>
      <c r="AL246" s="12"/>
      <c r="AM246" s="12"/>
      <c r="AN246" s="1"/>
      <c r="AO246" s="6"/>
    </row>
    <row r="247" spans="1:41" ht="15" x14ac:dyDescent="0.25">
      <c r="A247" s="1"/>
      <c r="B247" s="1"/>
      <c r="C247" s="1"/>
      <c r="D247" s="1"/>
      <c r="E247" s="6"/>
      <c r="F247" s="1"/>
      <c r="G247" s="6"/>
      <c r="H247" s="6"/>
      <c r="I247" s="6"/>
      <c r="J247" s="6"/>
      <c r="K247" s="6"/>
      <c r="L247" s="6"/>
      <c r="M247" s="6"/>
      <c r="N247" s="6"/>
      <c r="O247" s="7"/>
      <c r="P247" s="6"/>
      <c r="Q247" s="6"/>
      <c r="R247" s="7"/>
      <c r="S247" s="6"/>
      <c r="T247" s="6"/>
      <c r="U247" s="7"/>
      <c r="V247" s="6"/>
      <c r="W247" s="6"/>
      <c r="X247" s="6"/>
      <c r="Y247" s="6"/>
      <c r="Z247" s="6"/>
      <c r="AA247" s="7"/>
      <c r="AB247" s="6"/>
      <c r="AC247" s="6"/>
      <c r="AD247" s="6"/>
      <c r="AE247" s="12"/>
      <c r="AF247" s="6"/>
      <c r="AG247" s="12"/>
      <c r="AH247" s="6"/>
      <c r="AI247" s="6"/>
      <c r="AJ247" s="12"/>
      <c r="AK247" s="24"/>
      <c r="AL247" s="25"/>
      <c r="AM247" s="12"/>
      <c r="AN247" s="1"/>
      <c r="AO247" s="6"/>
    </row>
    <row r="248" spans="1:41" ht="15" x14ac:dyDescent="0.25">
      <c r="A248" s="1"/>
      <c r="B248" s="1"/>
      <c r="C248" s="1"/>
      <c r="D248" s="1"/>
      <c r="E248" s="6"/>
      <c r="F248" s="1"/>
      <c r="G248" s="6"/>
      <c r="H248" s="6"/>
      <c r="I248" s="6"/>
      <c r="J248" s="6"/>
      <c r="K248" s="6"/>
      <c r="L248" s="6"/>
      <c r="M248" s="6"/>
      <c r="N248" s="6"/>
      <c r="O248" s="7"/>
      <c r="P248" s="6"/>
      <c r="Q248" s="6"/>
      <c r="R248" s="7"/>
      <c r="S248" s="6"/>
      <c r="T248" s="6"/>
      <c r="U248" s="7"/>
      <c r="V248" s="6"/>
      <c r="W248" s="6"/>
      <c r="X248" s="6"/>
      <c r="Y248" s="6"/>
      <c r="Z248" s="6"/>
      <c r="AA248" s="7"/>
      <c r="AB248" s="6"/>
      <c r="AC248" s="6"/>
      <c r="AD248" s="6"/>
      <c r="AE248" s="12"/>
      <c r="AF248" s="6"/>
      <c r="AG248" s="12"/>
      <c r="AH248" s="6"/>
      <c r="AI248" s="6"/>
      <c r="AJ248" s="12"/>
      <c r="AK248" s="1"/>
      <c r="AL248" s="12"/>
      <c r="AM248" s="12"/>
      <c r="AN248" s="1"/>
      <c r="AO248" s="6"/>
    </row>
    <row r="249" spans="1:41" ht="15" x14ac:dyDescent="0.25">
      <c r="A249" s="1"/>
      <c r="B249" s="1"/>
      <c r="C249" s="1"/>
      <c r="D249" s="1"/>
      <c r="E249" s="6"/>
      <c r="F249" s="1"/>
      <c r="G249" s="6"/>
      <c r="H249" s="6"/>
      <c r="I249" s="6"/>
      <c r="J249" s="6"/>
      <c r="K249" s="6"/>
      <c r="L249" s="6"/>
      <c r="M249" s="6"/>
      <c r="N249" s="6"/>
      <c r="O249" s="7"/>
      <c r="P249" s="6"/>
      <c r="Q249" s="6"/>
      <c r="R249" s="7"/>
      <c r="S249" s="6"/>
      <c r="T249" s="6"/>
      <c r="U249" s="7"/>
      <c r="V249" s="6"/>
      <c r="W249" s="6"/>
      <c r="X249" s="6"/>
      <c r="Y249" s="6"/>
      <c r="Z249" s="6"/>
      <c r="AA249" s="7"/>
      <c r="AB249" s="6"/>
      <c r="AC249" s="6"/>
      <c r="AD249" s="6"/>
      <c r="AE249" s="12"/>
      <c r="AF249" s="6"/>
      <c r="AG249" s="12"/>
      <c r="AH249" s="6"/>
      <c r="AI249" s="6"/>
      <c r="AJ249" s="12"/>
      <c r="AK249" s="24"/>
      <c r="AL249" s="25"/>
      <c r="AM249" s="12"/>
      <c r="AN249" s="1"/>
      <c r="AO249" s="6"/>
    </row>
    <row r="250" spans="1:41" ht="15" x14ac:dyDescent="0.25">
      <c r="A250" s="1"/>
      <c r="B250" s="1"/>
      <c r="C250" s="1"/>
      <c r="D250" s="1"/>
      <c r="E250" s="6"/>
      <c r="F250" s="1"/>
      <c r="G250" s="6"/>
      <c r="H250" s="6"/>
      <c r="I250" s="6"/>
      <c r="J250" s="6"/>
      <c r="K250" s="6"/>
      <c r="L250" s="6"/>
      <c r="M250" s="6"/>
      <c r="N250" s="6"/>
      <c r="O250" s="7"/>
      <c r="P250" s="12"/>
      <c r="Q250" s="6"/>
      <c r="R250" s="7"/>
      <c r="S250" s="6"/>
      <c r="T250" s="6"/>
      <c r="U250" s="7"/>
      <c r="V250" s="6"/>
      <c r="W250" s="6"/>
      <c r="X250" s="6"/>
      <c r="Y250" s="6"/>
      <c r="Z250" s="6"/>
      <c r="AA250" s="7"/>
      <c r="AB250" s="6"/>
      <c r="AC250" s="6"/>
      <c r="AD250" s="6"/>
      <c r="AE250" s="12"/>
      <c r="AF250" s="12"/>
      <c r="AG250" s="12"/>
      <c r="AH250" s="12"/>
      <c r="AI250" s="6"/>
      <c r="AJ250" s="12"/>
      <c r="AK250" s="1"/>
      <c r="AL250" s="12"/>
      <c r="AM250" s="12"/>
      <c r="AN250" s="1"/>
      <c r="AO250" s="6"/>
    </row>
    <row r="251" spans="1:41" ht="15" x14ac:dyDescent="0.25">
      <c r="A251" s="1"/>
      <c r="B251" s="1"/>
      <c r="C251" s="1"/>
      <c r="D251" s="1"/>
      <c r="E251" s="6"/>
      <c r="F251" s="1"/>
      <c r="G251" s="6"/>
      <c r="H251" s="6"/>
      <c r="I251" s="6"/>
      <c r="J251" s="6"/>
      <c r="K251" s="6"/>
      <c r="L251" s="6"/>
      <c r="M251" s="6"/>
      <c r="N251" s="6"/>
      <c r="O251" s="7"/>
      <c r="P251" s="6"/>
      <c r="Q251" s="6"/>
      <c r="R251" s="7"/>
      <c r="S251" s="6"/>
      <c r="T251" s="6"/>
      <c r="U251" s="7"/>
      <c r="V251" s="6"/>
      <c r="W251" s="6"/>
      <c r="X251" s="12"/>
      <c r="Y251" s="6"/>
      <c r="Z251" s="6"/>
      <c r="AA251" s="7"/>
      <c r="AB251" s="6"/>
      <c r="AC251" s="6"/>
      <c r="AD251" s="6"/>
      <c r="AE251" s="12"/>
      <c r="AF251" s="12"/>
      <c r="AG251" s="12"/>
      <c r="AH251" s="12"/>
      <c r="AI251" s="6"/>
      <c r="AJ251" s="12"/>
      <c r="AK251" s="1"/>
      <c r="AL251" s="12"/>
      <c r="AM251" s="12"/>
      <c r="AN251" s="1"/>
      <c r="AO251" s="6"/>
    </row>
    <row r="252" spans="1:41" ht="15" x14ac:dyDescent="0.25">
      <c r="A252" s="1"/>
      <c r="B252" s="1"/>
      <c r="C252" s="1"/>
      <c r="D252" s="1"/>
      <c r="E252" s="6"/>
      <c r="F252" s="1"/>
      <c r="G252" s="6"/>
      <c r="H252" s="6"/>
      <c r="I252" s="6"/>
      <c r="J252" s="6"/>
      <c r="K252" s="6"/>
      <c r="L252" s="6"/>
      <c r="M252" s="6"/>
      <c r="N252" s="6"/>
      <c r="O252" s="7"/>
      <c r="P252" s="6"/>
      <c r="Q252" s="6"/>
      <c r="R252" s="7"/>
      <c r="S252" s="6"/>
      <c r="T252" s="6"/>
      <c r="U252" s="7"/>
      <c r="V252" s="6"/>
      <c r="W252" s="6"/>
      <c r="X252" s="12"/>
      <c r="Y252" s="6"/>
      <c r="Z252" s="6"/>
      <c r="AA252" s="7"/>
      <c r="AB252" s="6"/>
      <c r="AC252" s="6"/>
      <c r="AD252" s="6"/>
      <c r="AE252" s="12"/>
      <c r="AF252" s="6"/>
      <c r="AG252" s="12"/>
      <c r="AH252" s="6"/>
      <c r="AI252" s="6"/>
      <c r="AJ252" s="12"/>
      <c r="AK252" s="1"/>
      <c r="AL252" s="12"/>
      <c r="AM252" s="12"/>
      <c r="AN252" s="1"/>
      <c r="AO252" s="6"/>
    </row>
    <row r="253" spans="1:41" ht="15" x14ac:dyDescent="0.25">
      <c r="A253" s="1"/>
      <c r="B253" s="1"/>
      <c r="C253" s="1"/>
      <c r="D253" s="1"/>
      <c r="E253" s="6"/>
      <c r="F253" s="1"/>
      <c r="G253" s="6"/>
      <c r="H253" s="6"/>
      <c r="I253" s="6"/>
      <c r="J253" s="6"/>
      <c r="K253" s="6"/>
      <c r="L253" s="6"/>
      <c r="M253" s="6"/>
      <c r="N253" s="6"/>
      <c r="O253" s="7"/>
      <c r="P253" s="6"/>
      <c r="Q253" s="7"/>
      <c r="R253" s="6"/>
      <c r="S253" s="12"/>
      <c r="T253" s="6"/>
      <c r="U253" s="6"/>
      <c r="V253" s="7"/>
      <c r="W253" s="6"/>
      <c r="X253" s="6"/>
      <c r="Y253" s="6"/>
      <c r="Z253" s="6"/>
      <c r="AA253" s="24"/>
      <c r="AB253" s="25"/>
      <c r="AC253" s="12"/>
      <c r="AD253" s="12"/>
      <c r="AE253" s="12"/>
      <c r="AF253" s="6"/>
      <c r="AG253" s="12"/>
      <c r="AH253" s="6"/>
      <c r="AI253" s="6"/>
      <c r="AJ253" s="12"/>
      <c r="AK253" s="12"/>
      <c r="AL253" s="12"/>
      <c r="AM253" s="12"/>
      <c r="AN253" s="1"/>
      <c r="AO253" s="6"/>
    </row>
    <row r="254" spans="1:41" ht="15" x14ac:dyDescent="0.25">
      <c r="A254" s="1"/>
      <c r="B254" s="1"/>
      <c r="C254" s="1"/>
      <c r="D254" s="1"/>
      <c r="E254" s="6"/>
      <c r="F254" s="1"/>
      <c r="G254" s="6"/>
      <c r="H254" s="6"/>
      <c r="I254" s="6"/>
      <c r="J254" s="6"/>
      <c r="K254" s="12"/>
      <c r="L254" s="12"/>
      <c r="M254" s="6"/>
      <c r="N254" s="6"/>
      <c r="O254" s="7"/>
      <c r="P254" s="6"/>
      <c r="Q254" s="6"/>
      <c r="R254" s="7"/>
      <c r="S254" s="6"/>
      <c r="T254" s="6"/>
      <c r="U254" s="7"/>
      <c r="V254" s="6"/>
      <c r="W254" s="6"/>
      <c r="X254" s="12"/>
      <c r="Y254" s="6"/>
      <c r="Z254" s="6"/>
      <c r="AA254" s="7"/>
      <c r="AB254" s="6"/>
      <c r="AC254" s="6"/>
      <c r="AD254" s="6"/>
      <c r="AE254" s="12"/>
      <c r="AF254" s="12"/>
      <c r="AG254" s="12"/>
      <c r="AH254" s="12"/>
      <c r="AI254" s="6"/>
      <c r="AJ254" s="12"/>
      <c r="AK254" s="1"/>
      <c r="AL254" s="12"/>
      <c r="AM254" s="12"/>
      <c r="AN254" s="1"/>
      <c r="AO254" s="12"/>
    </row>
    <row r="255" spans="1:41" ht="15" x14ac:dyDescent="0.25">
      <c r="A255" s="1"/>
      <c r="B255" s="1"/>
      <c r="C255" s="1"/>
      <c r="D255" s="1"/>
      <c r="E255" s="6"/>
      <c r="F255" s="1"/>
      <c r="G255" s="6"/>
      <c r="H255" s="6"/>
      <c r="I255" s="6"/>
      <c r="J255" s="6"/>
      <c r="K255" s="6"/>
      <c r="L255" s="6"/>
      <c r="M255" s="6"/>
      <c r="N255" s="6"/>
      <c r="O255" s="7"/>
      <c r="P255" s="6"/>
      <c r="Q255" s="6"/>
      <c r="R255" s="7"/>
      <c r="S255" s="6"/>
      <c r="T255" s="6"/>
      <c r="U255" s="7"/>
      <c r="V255" s="6"/>
      <c r="W255" s="6"/>
      <c r="X255" s="6"/>
      <c r="Y255" s="6"/>
      <c r="Z255" s="6"/>
      <c r="AA255" s="7"/>
      <c r="AB255" s="6"/>
      <c r="AC255" s="6"/>
      <c r="AD255" s="6"/>
      <c r="AE255" s="12"/>
      <c r="AF255" s="6"/>
      <c r="AG255" s="12"/>
      <c r="AH255" s="6"/>
      <c r="AI255" s="6"/>
      <c r="AJ255" s="12"/>
      <c r="AK255" s="24"/>
      <c r="AL255" s="25"/>
      <c r="AM255" s="12"/>
      <c r="AN255" s="1"/>
      <c r="AO255" s="6"/>
    </row>
    <row r="256" spans="1:41" ht="15" x14ac:dyDescent="0.25">
      <c r="A256" s="1"/>
      <c r="B256" s="1"/>
      <c r="C256" s="1"/>
      <c r="D256" s="1"/>
      <c r="E256" s="6"/>
      <c r="F256" s="1"/>
      <c r="G256" s="6"/>
      <c r="H256" s="6"/>
      <c r="I256" s="6"/>
      <c r="J256" s="6"/>
      <c r="K256" s="6"/>
      <c r="L256" s="6"/>
      <c r="M256" s="6"/>
      <c r="N256" s="6"/>
      <c r="O256" s="7"/>
      <c r="P256" s="6"/>
      <c r="Q256" s="7"/>
      <c r="R256" s="6"/>
      <c r="S256" s="6"/>
      <c r="T256" s="6"/>
      <c r="U256" s="6"/>
      <c r="V256" s="7"/>
      <c r="W256" s="7"/>
      <c r="X256" s="6"/>
      <c r="Y256" s="6"/>
      <c r="Z256" s="6"/>
      <c r="AA256" s="1"/>
      <c r="AB256" s="12"/>
      <c r="AC256" s="12"/>
      <c r="AD256" s="12"/>
      <c r="AE256" s="12"/>
      <c r="AF256" s="12"/>
      <c r="AG256" s="12"/>
      <c r="AH256" s="12"/>
      <c r="AI256" s="6"/>
      <c r="AJ256" s="12"/>
      <c r="AK256" s="12"/>
      <c r="AL256" s="12"/>
      <c r="AM256" s="12"/>
      <c r="AN256" s="1"/>
      <c r="AO256" s="6"/>
    </row>
    <row r="257" spans="1:41" ht="15" x14ac:dyDescent="0.25">
      <c r="A257" s="1"/>
      <c r="B257" s="1"/>
      <c r="C257" s="1"/>
      <c r="D257" s="1"/>
      <c r="E257" s="6"/>
      <c r="F257" s="1"/>
      <c r="G257" s="6"/>
      <c r="H257" s="6"/>
      <c r="I257" s="6"/>
      <c r="J257" s="6"/>
      <c r="K257" s="6"/>
      <c r="L257" s="6"/>
      <c r="M257" s="6"/>
      <c r="N257" s="6"/>
      <c r="O257" s="7"/>
      <c r="P257" s="6"/>
      <c r="Q257" s="6"/>
      <c r="R257" s="7"/>
      <c r="S257" s="6"/>
      <c r="T257" s="6"/>
      <c r="U257" s="7"/>
      <c r="V257" s="6"/>
      <c r="W257" s="6"/>
      <c r="X257" s="12"/>
      <c r="Y257" s="6"/>
      <c r="Z257" s="6"/>
      <c r="AA257" s="7"/>
      <c r="AB257" s="6"/>
      <c r="AC257" s="6"/>
      <c r="AD257" s="6"/>
      <c r="AE257" s="12"/>
      <c r="AF257" s="12"/>
      <c r="AG257" s="12"/>
      <c r="AH257" s="12"/>
      <c r="AI257" s="6"/>
      <c r="AJ257" s="12"/>
      <c r="AK257" s="1"/>
      <c r="AL257" s="12"/>
      <c r="AM257" s="12"/>
      <c r="AN257" s="1"/>
      <c r="AO257" s="6"/>
    </row>
    <row r="258" spans="1:41" ht="15" x14ac:dyDescent="0.25">
      <c r="A258" s="1"/>
      <c r="B258" s="1"/>
      <c r="C258" s="1"/>
      <c r="D258" s="1"/>
      <c r="E258" s="6"/>
      <c r="F258" s="1"/>
      <c r="G258" s="6"/>
      <c r="H258" s="6"/>
      <c r="I258" s="6"/>
      <c r="J258" s="6"/>
      <c r="K258" s="6"/>
      <c r="L258" s="6"/>
      <c r="M258" s="6"/>
      <c r="N258" s="6"/>
      <c r="O258" s="7"/>
      <c r="P258" s="6"/>
      <c r="Q258" s="6"/>
      <c r="R258" s="7"/>
      <c r="S258" s="6"/>
      <c r="T258" s="6"/>
      <c r="U258" s="7"/>
      <c r="V258" s="6"/>
      <c r="W258" s="6"/>
      <c r="X258" s="12"/>
      <c r="Y258" s="6"/>
      <c r="Z258" s="6"/>
      <c r="AA258" s="7"/>
      <c r="AB258" s="6"/>
      <c r="AC258" s="6"/>
      <c r="AD258" s="6"/>
      <c r="AE258" s="12"/>
      <c r="AF258" s="6"/>
      <c r="AG258" s="12"/>
      <c r="AH258" s="6"/>
      <c r="AI258" s="6"/>
      <c r="AJ258" s="12"/>
      <c r="AK258" s="1"/>
      <c r="AL258" s="12"/>
      <c r="AM258" s="12"/>
      <c r="AN258" s="1"/>
      <c r="AO258" s="6"/>
    </row>
    <row r="259" spans="1:41" ht="15" x14ac:dyDescent="0.25">
      <c r="A259" s="1"/>
      <c r="B259" s="1"/>
      <c r="C259" s="1"/>
      <c r="D259" s="1"/>
      <c r="E259" s="6"/>
      <c r="F259" s="1"/>
      <c r="G259" s="6"/>
      <c r="H259" s="6"/>
      <c r="I259" s="6"/>
      <c r="J259" s="6"/>
      <c r="K259" s="6"/>
      <c r="L259" s="6"/>
      <c r="M259" s="6"/>
      <c r="N259" s="6"/>
      <c r="O259" s="7"/>
      <c r="P259" s="6"/>
      <c r="Q259" s="6"/>
      <c r="R259" s="7"/>
      <c r="S259" s="6"/>
      <c r="T259" s="6"/>
      <c r="U259" s="7"/>
      <c r="V259" s="6"/>
      <c r="W259" s="6"/>
      <c r="X259" s="6"/>
      <c r="Y259" s="6"/>
      <c r="Z259" s="6"/>
      <c r="AA259" s="7"/>
      <c r="AB259" s="6"/>
      <c r="AC259" s="6"/>
      <c r="AD259" s="6"/>
      <c r="AE259" s="12"/>
      <c r="AF259" s="12"/>
      <c r="AG259" s="12"/>
      <c r="AH259" s="12"/>
      <c r="AI259" s="6"/>
      <c r="AJ259" s="12"/>
      <c r="AK259" s="1"/>
      <c r="AL259" s="12"/>
      <c r="AM259" s="12"/>
      <c r="AN259" s="1"/>
      <c r="AO259" s="6"/>
    </row>
    <row r="260" spans="1:41" ht="15" x14ac:dyDescent="0.25">
      <c r="A260" s="1"/>
      <c r="B260" s="1"/>
      <c r="C260" s="1"/>
      <c r="D260" s="1"/>
      <c r="E260" s="6"/>
      <c r="F260" s="1"/>
      <c r="G260" s="6"/>
      <c r="H260" s="6"/>
      <c r="I260" s="6"/>
      <c r="J260" s="6"/>
      <c r="K260" s="6"/>
      <c r="L260" s="6"/>
      <c r="M260" s="6"/>
      <c r="N260" s="6"/>
      <c r="O260" s="7"/>
      <c r="P260" s="6"/>
      <c r="Q260" s="6"/>
      <c r="R260" s="7"/>
      <c r="S260" s="6"/>
      <c r="T260" s="6"/>
      <c r="U260" s="7"/>
      <c r="V260" s="6"/>
      <c r="W260" s="6"/>
      <c r="X260" s="12"/>
      <c r="Y260" s="6"/>
      <c r="Z260" s="6"/>
      <c r="AA260" s="7"/>
      <c r="AB260" s="6"/>
      <c r="AC260" s="6"/>
      <c r="AD260" s="6"/>
      <c r="AE260" s="12"/>
      <c r="AF260" s="12"/>
      <c r="AG260" s="12"/>
      <c r="AH260" s="12"/>
      <c r="AI260" s="6"/>
      <c r="AJ260" s="12"/>
      <c r="AK260" s="1"/>
      <c r="AL260" s="12"/>
      <c r="AM260" s="12"/>
      <c r="AN260" s="1"/>
      <c r="AO260" s="6"/>
    </row>
    <row r="261" spans="1:41" ht="15" x14ac:dyDescent="0.25">
      <c r="A261" s="1"/>
      <c r="B261" s="1"/>
      <c r="C261" s="1"/>
      <c r="D261" s="1"/>
      <c r="E261" s="6"/>
      <c r="F261" s="1"/>
      <c r="G261" s="6"/>
      <c r="H261" s="6"/>
      <c r="I261" s="6"/>
      <c r="J261" s="6"/>
      <c r="K261" s="12"/>
      <c r="L261" s="6"/>
      <c r="M261" s="6"/>
      <c r="N261" s="6"/>
      <c r="O261" s="7"/>
      <c r="P261" s="6"/>
      <c r="Q261" s="6"/>
      <c r="R261" s="15"/>
      <c r="S261" s="6"/>
      <c r="T261" s="6"/>
      <c r="U261" s="15"/>
      <c r="V261" s="6"/>
      <c r="W261" s="6"/>
      <c r="X261" s="6"/>
      <c r="Y261" s="6"/>
      <c r="Z261" s="6"/>
      <c r="AA261" s="7"/>
      <c r="AB261" s="6"/>
      <c r="AC261" s="6"/>
      <c r="AD261" s="6"/>
      <c r="AE261" s="12"/>
      <c r="AF261" s="6"/>
      <c r="AG261" s="12"/>
      <c r="AH261" s="6"/>
      <c r="AI261" s="6"/>
      <c r="AJ261" s="12"/>
      <c r="AK261" s="24"/>
      <c r="AL261" s="25"/>
      <c r="AM261" s="12"/>
      <c r="AN261" s="1"/>
      <c r="AO261" s="12"/>
    </row>
    <row r="262" spans="1:41" ht="15" x14ac:dyDescent="0.25">
      <c r="A262" s="1"/>
      <c r="B262" s="1"/>
      <c r="C262" s="1"/>
      <c r="D262" s="1"/>
      <c r="E262" s="6"/>
      <c r="F262" s="1"/>
      <c r="G262" s="6"/>
      <c r="H262" s="6"/>
      <c r="I262" s="6"/>
      <c r="J262" s="6"/>
      <c r="K262" s="6"/>
      <c r="L262" s="6"/>
      <c r="M262" s="6"/>
      <c r="N262" s="6"/>
      <c r="O262" s="7"/>
      <c r="P262" s="6"/>
      <c r="Q262" s="6"/>
      <c r="R262" s="7"/>
      <c r="S262" s="6"/>
      <c r="T262" s="6"/>
      <c r="U262" s="7"/>
      <c r="V262" s="6"/>
      <c r="W262" s="6"/>
      <c r="X262" s="12"/>
      <c r="Y262" s="6"/>
      <c r="Z262" s="6"/>
      <c r="AA262" s="7"/>
      <c r="AB262" s="6"/>
      <c r="AC262" s="6"/>
      <c r="AD262" s="6"/>
      <c r="AE262" s="12"/>
      <c r="AF262" s="12"/>
      <c r="AG262" s="12"/>
      <c r="AH262" s="12"/>
      <c r="AI262" s="6"/>
      <c r="AJ262" s="12"/>
      <c r="AK262" s="1"/>
      <c r="AL262" s="12"/>
      <c r="AM262" s="12"/>
      <c r="AN262" s="1"/>
      <c r="AO262" s="6"/>
    </row>
    <row r="263" spans="1:41" ht="15" x14ac:dyDescent="0.25">
      <c r="A263" s="1"/>
      <c r="B263" s="1"/>
      <c r="C263" s="1"/>
      <c r="D263" s="1"/>
      <c r="E263" s="6"/>
      <c r="F263" s="1"/>
      <c r="G263" s="6"/>
      <c r="H263" s="6"/>
      <c r="I263" s="6"/>
      <c r="J263" s="6"/>
      <c r="K263" s="6"/>
      <c r="L263" s="6"/>
      <c r="M263" s="6"/>
      <c r="N263" s="6"/>
      <c r="O263" s="7"/>
      <c r="P263" s="6"/>
      <c r="Q263" s="6"/>
      <c r="R263" s="7"/>
      <c r="S263" s="6"/>
      <c r="T263" s="6"/>
      <c r="U263" s="7"/>
      <c r="V263" s="6"/>
      <c r="W263" s="6"/>
      <c r="X263" s="6"/>
      <c r="Y263" s="6"/>
      <c r="Z263" s="6"/>
      <c r="AA263" s="7"/>
      <c r="AB263" s="6"/>
      <c r="AC263" s="6"/>
      <c r="AD263" s="6"/>
      <c r="AE263" s="12"/>
      <c r="AF263" s="6"/>
      <c r="AG263" s="12"/>
      <c r="AH263" s="6"/>
      <c r="AI263" s="6"/>
      <c r="AJ263" s="12"/>
      <c r="AK263" s="1"/>
      <c r="AL263" s="12"/>
      <c r="AM263" s="12"/>
      <c r="AN263" s="1"/>
      <c r="AO263" s="6"/>
    </row>
    <row r="264" spans="1:41" ht="15" x14ac:dyDescent="0.25">
      <c r="A264" s="1"/>
      <c r="B264" s="1"/>
      <c r="C264" s="1"/>
      <c r="D264" s="1"/>
      <c r="E264" s="6"/>
      <c r="F264" s="1"/>
      <c r="G264" s="6"/>
      <c r="H264" s="6"/>
      <c r="I264" s="6"/>
      <c r="J264" s="6"/>
      <c r="K264" s="6"/>
      <c r="L264" s="6"/>
      <c r="M264" s="6"/>
      <c r="N264" s="6"/>
      <c r="O264" s="7"/>
      <c r="P264" s="12"/>
      <c r="Q264" s="6"/>
      <c r="R264" s="7"/>
      <c r="S264" s="6"/>
      <c r="T264" s="6"/>
      <c r="U264" s="7"/>
      <c r="V264" s="6"/>
      <c r="W264" s="6"/>
      <c r="X264" s="6"/>
      <c r="Y264" s="6"/>
      <c r="Z264" s="6"/>
      <c r="AA264" s="7"/>
      <c r="AB264" s="6"/>
      <c r="AC264" s="6"/>
      <c r="AD264" s="6"/>
      <c r="AE264" s="12"/>
      <c r="AF264" s="12"/>
      <c r="AG264" s="12"/>
      <c r="AH264" s="12"/>
      <c r="AI264" s="6"/>
      <c r="AJ264" s="12"/>
      <c r="AK264" s="1"/>
      <c r="AL264" s="12"/>
      <c r="AM264" s="12"/>
      <c r="AN264" s="1"/>
      <c r="AO264" s="12"/>
    </row>
    <row r="265" spans="1:41" ht="15" x14ac:dyDescent="0.25">
      <c r="A265" s="1"/>
      <c r="B265" s="1"/>
      <c r="C265" s="1"/>
      <c r="D265" s="1"/>
      <c r="E265" s="6"/>
      <c r="F265" s="1"/>
      <c r="G265" s="6"/>
      <c r="H265" s="6"/>
      <c r="I265" s="6"/>
      <c r="J265" s="6"/>
      <c r="K265" s="6"/>
      <c r="L265" s="6"/>
      <c r="M265" s="6"/>
      <c r="N265" s="6"/>
      <c r="O265" s="7"/>
      <c r="P265" s="6"/>
      <c r="Q265" s="6"/>
      <c r="R265" s="7"/>
      <c r="S265" s="6"/>
      <c r="T265" s="6"/>
      <c r="U265" s="7"/>
      <c r="V265" s="6"/>
      <c r="W265" s="6"/>
      <c r="X265" s="12"/>
      <c r="Y265" s="6"/>
      <c r="Z265" s="6"/>
      <c r="AA265" s="7"/>
      <c r="AB265" s="6"/>
      <c r="AC265" s="6"/>
      <c r="AD265" s="6"/>
      <c r="AE265" s="12"/>
      <c r="AF265" s="12"/>
      <c r="AG265" s="12"/>
      <c r="AH265" s="12"/>
      <c r="AI265" s="6"/>
      <c r="AJ265" s="12"/>
      <c r="AK265" s="24"/>
      <c r="AL265" s="25"/>
      <c r="AM265" s="12"/>
      <c r="AN265" s="1"/>
      <c r="AO265" s="6"/>
    </row>
    <row r="266" spans="1:41" ht="15" x14ac:dyDescent="0.25">
      <c r="A266" s="1"/>
      <c r="B266" s="1"/>
      <c r="C266" s="1"/>
      <c r="D266" s="1"/>
      <c r="E266" s="6"/>
      <c r="F266" s="1"/>
      <c r="G266" s="6"/>
      <c r="H266" s="6"/>
      <c r="I266" s="6"/>
      <c r="J266" s="6"/>
      <c r="K266" s="6"/>
      <c r="L266" s="6"/>
      <c r="M266" s="6"/>
      <c r="N266" s="6"/>
      <c r="O266" s="7"/>
      <c r="P266" s="6"/>
      <c r="Q266" s="7"/>
      <c r="R266" s="6"/>
      <c r="S266" s="6"/>
      <c r="T266" s="6"/>
      <c r="U266" s="6"/>
      <c r="V266" s="7"/>
      <c r="W266" s="7"/>
      <c r="X266" s="6"/>
      <c r="Y266" s="6"/>
      <c r="Z266" s="6"/>
      <c r="AA266" s="1"/>
      <c r="AB266" s="12"/>
      <c r="AC266" s="12"/>
      <c r="AD266" s="12"/>
      <c r="AE266" s="12"/>
      <c r="AF266" s="12"/>
      <c r="AG266" s="12"/>
      <c r="AH266" s="12"/>
      <c r="AI266" s="6"/>
      <c r="AJ266" s="12"/>
      <c r="AK266" s="12"/>
      <c r="AL266" s="12"/>
      <c r="AM266" s="12"/>
      <c r="AN266" s="1"/>
      <c r="AO266" s="6"/>
    </row>
    <row r="267" spans="1:41" ht="15" x14ac:dyDescent="0.25">
      <c r="A267" s="1"/>
      <c r="B267" s="1"/>
      <c r="C267" s="1"/>
      <c r="D267" s="1"/>
      <c r="E267" s="6"/>
      <c r="F267" s="1"/>
      <c r="G267" s="6"/>
      <c r="H267" s="6"/>
      <c r="I267" s="6"/>
      <c r="J267" s="6"/>
      <c r="K267" s="6"/>
      <c r="L267" s="6"/>
      <c r="M267" s="6"/>
      <c r="N267" s="6"/>
      <c r="O267" s="7"/>
      <c r="P267" s="6"/>
      <c r="Q267" s="6"/>
      <c r="R267" s="7"/>
      <c r="S267" s="6"/>
      <c r="T267" s="6"/>
      <c r="U267" s="7"/>
      <c r="V267" s="6"/>
      <c r="W267" s="6"/>
      <c r="X267" s="6"/>
      <c r="Y267" s="6"/>
      <c r="Z267" s="6"/>
      <c r="AA267" s="7"/>
      <c r="AB267" s="6"/>
      <c r="AC267" s="6"/>
      <c r="AD267" s="6"/>
      <c r="AE267" s="12"/>
      <c r="AF267" s="12"/>
      <c r="AG267" s="12"/>
      <c r="AH267" s="12"/>
      <c r="AI267" s="6"/>
      <c r="AJ267" s="12"/>
      <c r="AK267" s="1"/>
      <c r="AL267" s="12"/>
      <c r="AM267" s="12"/>
      <c r="AN267" s="1"/>
      <c r="AO267" s="12"/>
    </row>
    <row r="268" spans="1:41" ht="15" x14ac:dyDescent="0.25">
      <c r="A268" s="1"/>
      <c r="B268" s="1"/>
      <c r="C268" s="1"/>
      <c r="D268" s="1"/>
      <c r="E268" s="6"/>
      <c r="F268" s="1"/>
      <c r="G268" s="6"/>
      <c r="H268" s="6"/>
      <c r="I268" s="6"/>
      <c r="J268" s="6"/>
      <c r="K268" s="6"/>
      <c r="L268" s="6"/>
      <c r="M268" s="6"/>
      <c r="N268" s="6"/>
      <c r="O268" s="7"/>
      <c r="P268" s="6"/>
      <c r="Q268" s="6"/>
      <c r="R268" s="7"/>
      <c r="S268" s="6"/>
      <c r="T268" s="6"/>
      <c r="U268" s="7"/>
      <c r="V268" s="6"/>
      <c r="W268" s="6"/>
      <c r="X268" s="6"/>
      <c r="Y268" s="6"/>
      <c r="Z268" s="6"/>
      <c r="AA268" s="7"/>
      <c r="AB268" s="6"/>
      <c r="AC268" s="6"/>
      <c r="AD268" s="6"/>
      <c r="AE268" s="12"/>
      <c r="AF268" s="12"/>
      <c r="AG268" s="12"/>
      <c r="AH268" s="12"/>
      <c r="AI268" s="6"/>
      <c r="AJ268" s="12"/>
      <c r="AK268" s="1"/>
      <c r="AL268" s="12"/>
      <c r="AM268" s="12"/>
      <c r="AN268" s="1"/>
      <c r="AO268" s="6"/>
    </row>
    <row r="269" spans="1:41" ht="15" x14ac:dyDescent="0.25">
      <c r="A269" s="1"/>
      <c r="B269" s="1"/>
      <c r="C269" s="1"/>
      <c r="D269" s="1"/>
      <c r="E269" s="6"/>
      <c r="F269" s="1"/>
      <c r="G269" s="6"/>
      <c r="H269" s="6"/>
      <c r="I269" s="6"/>
      <c r="J269" s="6"/>
      <c r="K269" s="6"/>
      <c r="L269" s="6"/>
      <c r="M269" s="6"/>
      <c r="N269" s="6"/>
      <c r="O269" s="7"/>
      <c r="P269" s="6"/>
      <c r="Q269" s="6"/>
      <c r="R269" s="7"/>
      <c r="S269" s="6"/>
      <c r="T269" s="6"/>
      <c r="U269" s="7"/>
      <c r="V269" s="6"/>
      <c r="W269" s="6"/>
      <c r="X269" s="6"/>
      <c r="Y269" s="6"/>
      <c r="Z269" s="6"/>
      <c r="AA269" s="7"/>
      <c r="AB269" s="6"/>
      <c r="AC269" s="6"/>
      <c r="AD269" s="6"/>
      <c r="AE269" s="12"/>
      <c r="AF269" s="12"/>
      <c r="AG269" s="12"/>
      <c r="AH269" s="12"/>
      <c r="AI269" s="6"/>
      <c r="AJ269" s="12"/>
      <c r="AK269" s="1"/>
      <c r="AL269" s="12"/>
      <c r="AM269" s="12"/>
      <c r="AN269" s="1"/>
      <c r="AO269" s="6"/>
    </row>
    <row r="270" spans="1:41" ht="15" x14ac:dyDescent="0.25">
      <c r="A270" s="1"/>
      <c r="B270" s="1"/>
      <c r="C270" s="1"/>
      <c r="D270" s="1"/>
      <c r="E270" s="6"/>
      <c r="F270" s="1"/>
      <c r="G270" s="6"/>
      <c r="H270" s="6"/>
      <c r="I270" s="6"/>
      <c r="J270" s="6"/>
      <c r="K270" s="12"/>
      <c r="L270" s="6"/>
      <c r="M270" s="6"/>
      <c r="N270" s="6"/>
      <c r="O270" s="7"/>
      <c r="P270" s="6"/>
      <c r="Q270" s="6"/>
      <c r="R270" s="7"/>
      <c r="S270" s="6"/>
      <c r="T270" s="6"/>
      <c r="U270" s="7"/>
      <c r="V270" s="6"/>
      <c r="W270" s="6"/>
      <c r="X270" s="6"/>
      <c r="Y270" s="6"/>
      <c r="Z270" s="6"/>
      <c r="AA270" s="7"/>
      <c r="AB270" s="6"/>
      <c r="AC270" s="6"/>
      <c r="AD270" s="6"/>
      <c r="AE270" s="12"/>
      <c r="AF270" s="6"/>
      <c r="AG270" s="12"/>
      <c r="AH270" s="6"/>
      <c r="AI270" s="6"/>
      <c r="AJ270" s="12"/>
      <c r="AK270" s="24"/>
      <c r="AL270" s="25"/>
      <c r="AM270" s="12"/>
      <c r="AN270" s="1"/>
      <c r="AO270" s="12"/>
    </row>
    <row r="271" spans="1:41" ht="15" x14ac:dyDescent="0.25">
      <c r="A271" s="1"/>
      <c r="B271" s="1"/>
      <c r="C271" s="1"/>
      <c r="D271" s="1"/>
      <c r="E271" s="6"/>
      <c r="F271" s="1"/>
      <c r="G271" s="6"/>
      <c r="H271" s="6"/>
      <c r="I271" s="6"/>
      <c r="J271" s="6"/>
      <c r="K271" s="6"/>
      <c r="L271" s="6"/>
      <c r="M271" s="6"/>
      <c r="N271" s="6"/>
      <c r="O271" s="7"/>
      <c r="P271" s="6"/>
      <c r="Q271" s="6"/>
      <c r="R271" s="7"/>
      <c r="S271" s="6"/>
      <c r="T271" s="6"/>
      <c r="U271" s="7"/>
      <c r="V271" s="6"/>
      <c r="W271" s="6"/>
      <c r="X271" s="12"/>
      <c r="Y271" s="6"/>
      <c r="Z271" s="6"/>
      <c r="AA271" s="7"/>
      <c r="AB271" s="6"/>
      <c r="AC271" s="6"/>
      <c r="AD271" s="6"/>
      <c r="AE271" s="12"/>
      <c r="AF271" s="6"/>
      <c r="AG271" s="12"/>
      <c r="AH271" s="6"/>
      <c r="AI271" s="6"/>
      <c r="AJ271" s="12"/>
      <c r="AK271" s="24"/>
      <c r="AL271" s="25"/>
      <c r="AM271" s="12"/>
      <c r="AN271" s="1"/>
      <c r="AO271" s="6"/>
    </row>
    <row r="272" spans="1:41" ht="15" x14ac:dyDescent="0.25">
      <c r="A272" s="1"/>
      <c r="B272" s="1"/>
      <c r="C272" s="1"/>
      <c r="D272" s="1"/>
      <c r="E272" s="6"/>
      <c r="F272" s="1"/>
      <c r="G272" s="6"/>
      <c r="H272" s="6"/>
      <c r="I272" s="6"/>
      <c r="J272" s="6"/>
      <c r="K272" s="6"/>
      <c r="L272" s="6"/>
      <c r="M272" s="6"/>
      <c r="N272" s="6"/>
      <c r="O272" s="7"/>
      <c r="P272" s="6"/>
      <c r="Q272" s="6"/>
      <c r="R272" s="7"/>
      <c r="S272" s="6"/>
      <c r="T272" s="6"/>
      <c r="U272" s="7"/>
      <c r="V272" s="6"/>
      <c r="W272" s="6"/>
      <c r="X272" s="12"/>
      <c r="Y272" s="6"/>
      <c r="Z272" s="6"/>
      <c r="AA272" s="7"/>
      <c r="AB272" s="6"/>
      <c r="AC272" s="6"/>
      <c r="AD272" s="6"/>
      <c r="AE272" s="12"/>
      <c r="AF272" s="6"/>
      <c r="AG272" s="12"/>
      <c r="AH272" s="6"/>
      <c r="AI272" s="6"/>
      <c r="AJ272" s="12"/>
      <c r="AK272" s="1"/>
      <c r="AL272" s="12"/>
      <c r="AM272" s="12"/>
      <c r="AN272" s="1"/>
      <c r="AO272" s="6"/>
    </row>
    <row r="273" spans="1:41" ht="15" x14ac:dyDescent="0.25">
      <c r="A273" s="1"/>
      <c r="B273" s="1"/>
      <c r="C273" s="1"/>
      <c r="D273" s="1"/>
      <c r="E273" s="6"/>
      <c r="F273" s="1"/>
      <c r="G273" s="6"/>
      <c r="H273" s="6"/>
      <c r="I273" s="6"/>
      <c r="J273" s="6"/>
      <c r="K273" s="6"/>
      <c r="L273" s="6"/>
      <c r="M273" s="6"/>
      <c r="N273" s="6"/>
      <c r="O273" s="7"/>
      <c r="P273" s="6"/>
      <c r="Q273" s="6"/>
      <c r="R273" s="7"/>
      <c r="S273" s="6"/>
      <c r="T273" s="6"/>
      <c r="U273" s="7"/>
      <c r="V273" s="6"/>
      <c r="W273" s="6"/>
      <c r="X273" s="6"/>
      <c r="Y273" s="6"/>
      <c r="Z273" s="6"/>
      <c r="AA273" s="7"/>
      <c r="AB273" s="6"/>
      <c r="AC273" s="6"/>
      <c r="AD273" s="6"/>
      <c r="AE273" s="12"/>
      <c r="AF273" s="6"/>
      <c r="AG273" s="12"/>
      <c r="AH273" s="6"/>
      <c r="AI273" s="6"/>
      <c r="AJ273" s="12"/>
      <c r="AK273" s="24"/>
      <c r="AL273" s="25"/>
      <c r="AM273" s="12"/>
      <c r="AN273" s="1"/>
      <c r="AO273" s="6"/>
    </row>
    <row r="274" spans="1:41" ht="15" x14ac:dyDescent="0.25">
      <c r="A274" s="1"/>
      <c r="B274" s="1"/>
      <c r="C274" s="1"/>
      <c r="D274" s="1"/>
      <c r="E274" s="6"/>
      <c r="F274" s="1"/>
      <c r="G274" s="6"/>
      <c r="H274" s="6"/>
      <c r="I274" s="6"/>
      <c r="J274" s="6"/>
      <c r="K274" s="6"/>
      <c r="L274" s="6"/>
      <c r="M274" s="6"/>
      <c r="N274" s="6"/>
      <c r="O274" s="7"/>
      <c r="P274" s="6"/>
      <c r="Q274" s="7"/>
      <c r="R274" s="6"/>
      <c r="S274" s="6"/>
      <c r="T274" s="6"/>
      <c r="U274" s="6"/>
      <c r="V274" s="7"/>
      <c r="W274" s="7"/>
      <c r="X274" s="6"/>
      <c r="Y274" s="6"/>
      <c r="Z274" s="6"/>
      <c r="AA274" s="1"/>
      <c r="AB274" s="12"/>
      <c r="AC274" s="12"/>
      <c r="AD274" s="12"/>
      <c r="AE274" s="12"/>
      <c r="AF274" s="12"/>
      <c r="AG274" s="12"/>
      <c r="AH274" s="12"/>
      <c r="AI274" s="6"/>
      <c r="AJ274" s="12"/>
      <c r="AK274" s="12"/>
      <c r="AL274" s="12"/>
      <c r="AM274" s="12"/>
      <c r="AN274" s="1"/>
      <c r="AO274" s="6"/>
    </row>
    <row r="275" spans="1:41" ht="15" x14ac:dyDescent="0.25">
      <c r="A275" s="1"/>
      <c r="B275" s="1"/>
      <c r="C275" s="1"/>
      <c r="D275" s="1"/>
      <c r="E275" s="6"/>
      <c r="F275" s="1"/>
      <c r="G275" s="6"/>
      <c r="H275" s="6"/>
      <c r="I275" s="6"/>
      <c r="J275" s="6"/>
      <c r="K275" s="6"/>
      <c r="L275" s="6"/>
      <c r="M275" s="6"/>
      <c r="N275" s="6"/>
      <c r="O275" s="7"/>
      <c r="P275" s="6"/>
      <c r="Q275" s="6"/>
      <c r="R275" s="7"/>
      <c r="S275" s="6"/>
      <c r="T275" s="6"/>
      <c r="U275" s="7"/>
      <c r="V275" s="6"/>
      <c r="W275" s="6"/>
      <c r="X275" s="12"/>
      <c r="Y275" s="6"/>
      <c r="Z275" s="6"/>
      <c r="AA275" s="7"/>
      <c r="AB275" s="6"/>
      <c r="AC275" s="6"/>
      <c r="AD275" s="6"/>
      <c r="AE275" s="12"/>
      <c r="AF275" s="6"/>
      <c r="AG275" s="12"/>
      <c r="AH275" s="6"/>
      <c r="AI275" s="6"/>
      <c r="AJ275" s="12"/>
      <c r="AK275" s="1"/>
      <c r="AL275" s="12"/>
      <c r="AM275" s="12"/>
      <c r="AN275" s="1"/>
      <c r="AO275" s="6"/>
    </row>
    <row r="276" spans="1:41" ht="15" x14ac:dyDescent="0.25">
      <c r="A276" s="1"/>
      <c r="B276" s="1"/>
      <c r="C276" s="1"/>
      <c r="D276" s="1"/>
      <c r="E276" s="6"/>
      <c r="F276" s="1"/>
      <c r="G276" s="6"/>
      <c r="H276" s="6"/>
      <c r="I276" s="6"/>
      <c r="J276" s="6"/>
      <c r="K276" s="6"/>
      <c r="L276" s="6"/>
      <c r="M276" s="6"/>
      <c r="N276" s="6"/>
      <c r="O276" s="7"/>
      <c r="P276" s="6"/>
      <c r="Q276" s="6"/>
      <c r="R276" s="7"/>
      <c r="S276" s="6"/>
      <c r="T276" s="6"/>
      <c r="U276" s="7"/>
      <c r="V276" s="6"/>
      <c r="W276" s="6"/>
      <c r="X276" s="6"/>
      <c r="Y276" s="6"/>
      <c r="Z276" s="6"/>
      <c r="AA276" s="7"/>
      <c r="AB276" s="6"/>
      <c r="AC276" s="6"/>
      <c r="AD276" s="6"/>
      <c r="AE276" s="12"/>
      <c r="AF276" s="12"/>
      <c r="AG276" s="12"/>
      <c r="AH276" s="12"/>
      <c r="AI276" s="6"/>
      <c r="AJ276" s="12"/>
      <c r="AK276" s="1"/>
      <c r="AL276" s="12"/>
      <c r="AM276" s="12"/>
      <c r="AN276" s="1"/>
      <c r="AO276" s="6"/>
    </row>
    <row r="277" spans="1:41" ht="15" x14ac:dyDescent="0.25">
      <c r="A277" s="1"/>
      <c r="B277" s="1"/>
      <c r="C277" s="1"/>
      <c r="D277" s="1"/>
      <c r="E277" s="6"/>
      <c r="F277" s="1"/>
      <c r="G277" s="6"/>
      <c r="H277" s="6"/>
      <c r="I277" s="6"/>
      <c r="J277" s="6"/>
      <c r="K277" s="6"/>
      <c r="L277" s="6"/>
      <c r="M277" s="6"/>
      <c r="N277" s="6"/>
      <c r="O277" s="7"/>
      <c r="P277" s="6"/>
      <c r="Q277" s="6"/>
      <c r="R277" s="12"/>
      <c r="S277" s="12"/>
      <c r="T277" s="12"/>
      <c r="U277" s="7"/>
      <c r="V277" s="6"/>
      <c r="W277" s="6"/>
      <c r="X277" s="12"/>
      <c r="Y277" s="6"/>
      <c r="Z277" s="6"/>
      <c r="AA277" s="7"/>
      <c r="AB277" s="6"/>
      <c r="AC277" s="6"/>
      <c r="AD277" s="6"/>
      <c r="AE277" s="12"/>
      <c r="AF277" s="12"/>
      <c r="AG277" s="12"/>
      <c r="AH277" s="12"/>
      <c r="AI277" s="6"/>
      <c r="AJ277" s="12"/>
      <c r="AK277" s="1"/>
      <c r="AL277" s="12"/>
      <c r="AM277" s="12"/>
      <c r="AN277" s="1"/>
      <c r="AO277" s="6"/>
    </row>
    <row r="278" spans="1:41" ht="15" x14ac:dyDescent="0.25">
      <c r="A278" s="1"/>
      <c r="B278" s="1"/>
      <c r="C278" s="1"/>
      <c r="D278" s="1"/>
      <c r="E278" s="6"/>
      <c r="F278" s="1"/>
      <c r="G278" s="6"/>
      <c r="H278" s="6"/>
      <c r="I278" s="6"/>
      <c r="J278" s="6"/>
      <c r="K278" s="12"/>
      <c r="L278" s="12"/>
      <c r="M278" s="6"/>
      <c r="N278" s="6"/>
      <c r="O278" s="12"/>
      <c r="P278" s="12"/>
      <c r="Q278" s="7"/>
      <c r="R278" s="12"/>
      <c r="S278" s="12"/>
      <c r="T278" s="12"/>
      <c r="U278" s="6"/>
      <c r="V278" s="7"/>
      <c r="W278" s="7"/>
      <c r="X278" s="6"/>
      <c r="Y278" s="6"/>
      <c r="Z278" s="6"/>
      <c r="AA278" s="1"/>
      <c r="AB278" s="12"/>
      <c r="AC278" s="12"/>
      <c r="AD278" s="12"/>
      <c r="AE278" s="12"/>
      <c r="AF278" s="12"/>
      <c r="AG278" s="12"/>
      <c r="AH278" s="12"/>
      <c r="AI278" s="6"/>
      <c r="AJ278" s="12"/>
      <c r="AK278" s="12"/>
      <c r="AL278" s="12"/>
      <c r="AM278" s="12"/>
      <c r="AN278" s="1"/>
      <c r="AO278" s="12"/>
    </row>
    <row r="279" spans="1:41" ht="15" x14ac:dyDescent="0.25">
      <c r="A279" s="1"/>
      <c r="B279" s="1"/>
      <c r="C279" s="1"/>
      <c r="D279" s="1"/>
      <c r="E279" s="6"/>
      <c r="F279" s="1"/>
      <c r="G279" s="6"/>
      <c r="H279" s="6"/>
      <c r="I279" s="6"/>
      <c r="J279" s="6"/>
      <c r="K279" s="6"/>
      <c r="L279" s="6"/>
      <c r="M279" s="6"/>
      <c r="N279" s="6"/>
      <c r="O279" s="7"/>
      <c r="P279" s="6"/>
      <c r="Q279" s="6"/>
      <c r="R279" s="7"/>
      <c r="S279" s="6"/>
      <c r="T279" s="6"/>
      <c r="U279" s="7"/>
      <c r="V279" s="6"/>
      <c r="W279" s="6"/>
      <c r="X279" s="6"/>
      <c r="Y279" s="6"/>
      <c r="Z279" s="6"/>
      <c r="AA279" s="7"/>
      <c r="AB279" s="6"/>
      <c r="AC279" s="6"/>
      <c r="AD279" s="6"/>
      <c r="AE279" s="12"/>
      <c r="AF279" s="6"/>
      <c r="AG279" s="12"/>
      <c r="AH279" s="6"/>
      <c r="AI279" s="6"/>
      <c r="AJ279" s="12"/>
      <c r="AK279" s="24"/>
      <c r="AL279" s="25"/>
      <c r="AM279" s="12"/>
      <c r="AN279" s="1"/>
      <c r="AO279" s="6"/>
    </row>
    <row r="280" spans="1:41" ht="15" x14ac:dyDescent="0.25">
      <c r="A280" s="1"/>
      <c r="B280" s="1"/>
      <c r="C280" s="1"/>
      <c r="D280" s="1"/>
      <c r="E280" s="6"/>
      <c r="F280" s="1"/>
      <c r="G280" s="6"/>
      <c r="H280" s="6"/>
      <c r="I280" s="6"/>
      <c r="J280" s="6"/>
      <c r="K280" s="6"/>
      <c r="L280" s="6"/>
      <c r="M280" s="6"/>
      <c r="N280" s="6"/>
      <c r="O280" s="7"/>
      <c r="P280" s="6"/>
      <c r="Q280" s="6"/>
      <c r="R280" s="7"/>
      <c r="S280" s="6"/>
      <c r="T280" s="6"/>
      <c r="U280" s="7"/>
      <c r="V280" s="6"/>
      <c r="W280" s="6"/>
      <c r="X280" s="6"/>
      <c r="Y280" s="6"/>
      <c r="Z280" s="6"/>
      <c r="AA280" s="7"/>
      <c r="AB280" s="6"/>
      <c r="AC280" s="6"/>
      <c r="AD280" s="6"/>
      <c r="AE280" s="12"/>
      <c r="AF280" s="6"/>
      <c r="AG280" s="12"/>
      <c r="AH280" s="6"/>
      <c r="AI280" s="6"/>
      <c r="AJ280" s="12"/>
      <c r="AK280" s="24"/>
      <c r="AL280" s="25"/>
      <c r="AM280" s="12"/>
      <c r="AN280" s="1"/>
      <c r="AO280" s="6"/>
    </row>
    <row r="281" spans="1:41" ht="15" x14ac:dyDescent="0.25">
      <c r="A281" s="1"/>
      <c r="B281" s="1"/>
      <c r="C281" s="1"/>
      <c r="D281" s="1"/>
      <c r="E281" s="6"/>
      <c r="F281" s="1"/>
      <c r="G281" s="6"/>
      <c r="H281" s="6"/>
      <c r="I281" s="6"/>
      <c r="J281" s="6"/>
      <c r="K281" s="6"/>
      <c r="L281" s="6"/>
      <c r="M281" s="6"/>
      <c r="N281" s="6"/>
      <c r="O281" s="7"/>
      <c r="P281" s="6"/>
      <c r="Q281" s="6"/>
      <c r="R281" s="7"/>
      <c r="S281" s="6"/>
      <c r="T281" s="6"/>
      <c r="U281" s="7"/>
      <c r="V281" s="6"/>
      <c r="W281" s="6"/>
      <c r="X281" s="12"/>
      <c r="Y281" s="6"/>
      <c r="Z281" s="6"/>
      <c r="AA281" s="7"/>
      <c r="AB281" s="6"/>
      <c r="AC281" s="6"/>
      <c r="AD281" s="6"/>
      <c r="AE281" s="12"/>
      <c r="AF281" s="6"/>
      <c r="AG281" s="12"/>
      <c r="AH281" s="6"/>
      <c r="AI281" s="6"/>
      <c r="AJ281" s="12"/>
      <c r="AK281" s="24"/>
      <c r="AL281" s="25"/>
      <c r="AM281" s="12"/>
      <c r="AN281" s="1"/>
      <c r="AO281" s="6"/>
    </row>
    <row r="282" spans="1:41" ht="15" x14ac:dyDescent="0.25">
      <c r="A282" s="1"/>
      <c r="B282" s="1"/>
      <c r="C282" s="1"/>
      <c r="D282" s="1"/>
      <c r="E282" s="6"/>
      <c r="F282" s="1"/>
      <c r="G282" s="6"/>
      <c r="H282" s="6"/>
      <c r="I282" s="6"/>
      <c r="J282" s="6"/>
      <c r="K282" s="6"/>
      <c r="L282" s="6"/>
      <c r="M282" s="6"/>
      <c r="N282" s="6"/>
      <c r="O282" s="7"/>
      <c r="P282" s="6"/>
      <c r="Q282" s="6"/>
      <c r="R282" s="12"/>
      <c r="S282" s="12"/>
      <c r="T282" s="12"/>
      <c r="U282" s="7"/>
      <c r="V282" s="6"/>
      <c r="W282" s="6"/>
      <c r="X282" s="12"/>
      <c r="Y282" s="6"/>
      <c r="Z282" s="6"/>
      <c r="AA282" s="7"/>
      <c r="AB282" s="6"/>
      <c r="AC282" s="6"/>
      <c r="AD282" s="6"/>
      <c r="AE282" s="12"/>
      <c r="AF282" s="12"/>
      <c r="AG282" s="12"/>
      <c r="AH282" s="12"/>
      <c r="AI282" s="6"/>
      <c r="AJ282" s="12"/>
      <c r="AK282" s="24"/>
      <c r="AL282" s="25"/>
      <c r="AM282" s="12"/>
      <c r="AN282" s="1"/>
      <c r="AO282" s="6"/>
    </row>
    <row r="283" spans="1:41" ht="15" x14ac:dyDescent="0.25">
      <c r="A283" s="1"/>
      <c r="B283" s="1"/>
      <c r="C283" s="1"/>
      <c r="D283" s="1"/>
      <c r="E283" s="6"/>
      <c r="F283" s="1"/>
      <c r="G283" s="6"/>
      <c r="H283" s="6"/>
      <c r="I283" s="6"/>
      <c r="J283" s="6"/>
      <c r="K283" s="6"/>
      <c r="L283" s="6"/>
      <c r="M283" s="6"/>
      <c r="N283" s="6"/>
      <c r="O283" s="7"/>
      <c r="P283" s="6"/>
      <c r="Q283" s="6"/>
      <c r="R283" s="7"/>
      <c r="S283" s="6"/>
      <c r="T283" s="6"/>
      <c r="U283" s="7"/>
      <c r="V283" s="6"/>
      <c r="W283" s="6"/>
      <c r="X283" s="6"/>
      <c r="Y283" s="6"/>
      <c r="Z283" s="6"/>
      <c r="AA283" s="7"/>
      <c r="AB283" s="6"/>
      <c r="AC283" s="6"/>
      <c r="AD283" s="6"/>
      <c r="AE283" s="12"/>
      <c r="AF283" s="6"/>
      <c r="AG283" s="12"/>
      <c r="AH283" s="6"/>
      <c r="AI283" s="6"/>
      <c r="AJ283" s="12"/>
      <c r="AK283" s="1"/>
      <c r="AL283" s="12"/>
      <c r="AM283" s="12"/>
      <c r="AN283" s="1"/>
      <c r="AO283" s="6"/>
    </row>
    <row r="284" spans="1:41" ht="15" x14ac:dyDescent="0.25">
      <c r="A284" s="1"/>
      <c r="B284" s="1"/>
      <c r="C284" s="1"/>
      <c r="D284" s="1"/>
      <c r="E284" s="6"/>
      <c r="F284" s="1"/>
      <c r="G284" s="6"/>
      <c r="H284" s="6"/>
      <c r="I284" s="6"/>
      <c r="J284" s="6"/>
      <c r="K284" s="6"/>
      <c r="L284" s="6"/>
      <c r="M284" s="6"/>
      <c r="N284" s="6"/>
      <c r="O284" s="7"/>
      <c r="P284" s="6"/>
      <c r="Q284" s="6"/>
      <c r="R284" s="7"/>
      <c r="S284" s="6"/>
      <c r="T284" s="6"/>
      <c r="U284" s="7"/>
      <c r="V284" s="6"/>
      <c r="W284" s="6"/>
      <c r="X284" s="6"/>
      <c r="Y284" s="6"/>
      <c r="Z284" s="6"/>
      <c r="AA284" s="7"/>
      <c r="AB284" s="6"/>
      <c r="AC284" s="6"/>
      <c r="AD284" s="6"/>
      <c r="AE284" s="12"/>
      <c r="AF284" s="6"/>
      <c r="AG284" s="12"/>
      <c r="AH284" s="6"/>
      <c r="AI284" s="6"/>
      <c r="AJ284" s="12"/>
      <c r="AK284" s="24"/>
      <c r="AL284" s="25"/>
      <c r="AM284" s="12"/>
      <c r="AN284" s="1"/>
      <c r="AO284" s="6"/>
    </row>
    <row r="285" spans="1:41" ht="15" x14ac:dyDescent="0.25">
      <c r="A285" s="1"/>
      <c r="B285" s="1"/>
      <c r="C285" s="1"/>
      <c r="D285" s="1"/>
      <c r="E285" s="6"/>
      <c r="F285" s="1"/>
      <c r="G285" s="6"/>
      <c r="H285" s="6"/>
      <c r="I285" s="6"/>
      <c r="J285" s="6"/>
      <c r="K285" s="6"/>
      <c r="L285" s="6"/>
      <c r="M285" s="6"/>
      <c r="N285" s="6"/>
      <c r="O285" s="7"/>
      <c r="P285" s="6"/>
      <c r="Q285" s="6"/>
      <c r="R285" s="7"/>
      <c r="S285" s="6"/>
      <c r="T285" s="6"/>
      <c r="U285" s="7"/>
      <c r="V285" s="6"/>
      <c r="W285" s="6"/>
      <c r="X285" s="6"/>
      <c r="Y285" s="6"/>
      <c r="Z285" s="6"/>
      <c r="AA285" s="7"/>
      <c r="AB285" s="6"/>
      <c r="AC285" s="6"/>
      <c r="AD285" s="6"/>
      <c r="AE285" s="12"/>
      <c r="AF285" s="12"/>
      <c r="AG285" s="12"/>
      <c r="AH285" s="12"/>
      <c r="AI285" s="6"/>
      <c r="AJ285" s="12"/>
      <c r="AK285" s="1"/>
      <c r="AL285" s="12"/>
      <c r="AM285" s="12"/>
      <c r="AN285" s="1"/>
      <c r="AO285" s="6"/>
    </row>
    <row r="286" spans="1:41" ht="15" x14ac:dyDescent="0.25">
      <c r="A286" s="1"/>
      <c r="B286" s="1"/>
      <c r="C286" s="1"/>
      <c r="D286" s="1"/>
      <c r="E286" s="6"/>
      <c r="F286" s="1"/>
      <c r="G286" s="6"/>
      <c r="H286" s="6"/>
      <c r="I286" s="6"/>
      <c r="J286" s="6"/>
      <c r="K286" s="6"/>
      <c r="L286" s="6"/>
      <c r="M286" s="6"/>
      <c r="N286" s="6"/>
      <c r="O286" s="7"/>
      <c r="P286" s="6"/>
      <c r="Q286" s="6"/>
      <c r="R286" s="7"/>
      <c r="S286" s="6"/>
      <c r="T286" s="6"/>
      <c r="U286" s="7"/>
      <c r="V286" s="6"/>
      <c r="W286" s="6"/>
      <c r="X286" s="6"/>
      <c r="Y286" s="6"/>
      <c r="Z286" s="6"/>
      <c r="AA286" s="7"/>
      <c r="AB286" s="6"/>
      <c r="AC286" s="6"/>
      <c r="AD286" s="6"/>
      <c r="AE286" s="12"/>
      <c r="AF286" s="12"/>
      <c r="AG286" s="12"/>
      <c r="AH286" s="12"/>
      <c r="AI286" s="6"/>
      <c r="AJ286" s="12"/>
      <c r="AK286" s="1"/>
      <c r="AL286" s="12"/>
      <c r="AM286" s="12"/>
      <c r="AN286" s="1"/>
      <c r="AO286" s="6"/>
    </row>
    <row r="287" spans="1:41" ht="15" x14ac:dyDescent="0.25">
      <c r="A287" s="1"/>
      <c r="B287" s="1"/>
      <c r="C287" s="1"/>
      <c r="D287" s="1"/>
      <c r="E287" s="6"/>
      <c r="F287" s="1"/>
      <c r="G287" s="6"/>
      <c r="H287" s="6"/>
      <c r="I287" s="6"/>
      <c r="J287" s="6"/>
      <c r="K287" s="6"/>
      <c r="L287" s="6"/>
      <c r="M287" s="6"/>
      <c r="N287" s="6"/>
      <c r="O287" s="7"/>
      <c r="P287" s="6"/>
      <c r="Q287" s="7"/>
      <c r="R287" s="6"/>
      <c r="S287" s="6"/>
      <c r="T287" s="6"/>
      <c r="U287" s="6"/>
      <c r="V287" s="7"/>
      <c r="W287" s="7"/>
      <c r="X287" s="6"/>
      <c r="Y287" s="6"/>
      <c r="Z287" s="6"/>
      <c r="AA287" s="1"/>
      <c r="AB287" s="12"/>
      <c r="AC287" s="12"/>
      <c r="AD287" s="12"/>
      <c r="AE287" s="12"/>
      <c r="AF287" s="12"/>
      <c r="AG287" s="12"/>
      <c r="AH287" s="12"/>
      <c r="AI287" s="6"/>
      <c r="AJ287" s="12"/>
      <c r="AK287" s="12"/>
      <c r="AL287" s="12"/>
      <c r="AM287" s="12"/>
      <c r="AN287" s="1"/>
      <c r="AO287" s="6"/>
    </row>
    <row r="288" spans="1:41" ht="15" x14ac:dyDescent="0.25">
      <c r="A288" s="1"/>
      <c r="B288" s="1"/>
      <c r="C288" s="1"/>
      <c r="D288" s="1"/>
      <c r="E288" s="6"/>
      <c r="F288" s="1"/>
      <c r="G288" s="6"/>
      <c r="H288" s="6"/>
      <c r="I288" s="6"/>
      <c r="J288" s="6"/>
      <c r="K288" s="6"/>
      <c r="L288" s="6"/>
      <c r="M288" s="6"/>
      <c r="N288" s="6"/>
      <c r="O288" s="7"/>
      <c r="P288" s="6"/>
      <c r="Q288" s="6"/>
      <c r="R288" s="7"/>
      <c r="S288" s="6"/>
      <c r="T288" s="6"/>
      <c r="U288" s="7"/>
      <c r="V288" s="6"/>
      <c r="W288" s="6"/>
      <c r="X288" s="6"/>
      <c r="Y288" s="6"/>
      <c r="Z288" s="6"/>
      <c r="AA288" s="7"/>
      <c r="AB288" s="6"/>
      <c r="AC288" s="6"/>
      <c r="AD288" s="6"/>
      <c r="AE288" s="12"/>
      <c r="AF288" s="6"/>
      <c r="AG288" s="12"/>
      <c r="AH288" s="6"/>
      <c r="AI288" s="6"/>
      <c r="AJ288" s="12"/>
      <c r="AK288" s="24"/>
      <c r="AL288" s="25"/>
      <c r="AM288" s="12"/>
      <c r="AN288" s="1"/>
      <c r="AO288" s="6"/>
    </row>
    <row r="289" spans="1:41" ht="15" x14ac:dyDescent="0.25">
      <c r="A289" s="1"/>
      <c r="B289" s="1"/>
      <c r="C289" s="1"/>
      <c r="D289" s="1"/>
      <c r="E289" s="6"/>
      <c r="F289" s="1"/>
      <c r="G289" s="6"/>
      <c r="H289" s="6"/>
      <c r="I289" s="6"/>
      <c r="J289" s="6"/>
      <c r="K289" s="6"/>
      <c r="L289" s="6"/>
      <c r="M289" s="6"/>
      <c r="N289" s="6"/>
      <c r="O289" s="7"/>
      <c r="P289" s="6"/>
      <c r="Q289" s="6"/>
      <c r="R289" s="7"/>
      <c r="S289" s="6"/>
      <c r="T289" s="6"/>
      <c r="U289" s="7"/>
      <c r="V289" s="6"/>
      <c r="W289" s="6"/>
      <c r="X289" s="12"/>
      <c r="Y289" s="6"/>
      <c r="Z289" s="6"/>
      <c r="AA289" s="7"/>
      <c r="AB289" s="6"/>
      <c r="AC289" s="6"/>
      <c r="AD289" s="6"/>
      <c r="AE289" s="12"/>
      <c r="AF289" s="12"/>
      <c r="AG289" s="12"/>
      <c r="AH289" s="12"/>
      <c r="AI289" s="6"/>
      <c r="AJ289" s="12"/>
      <c r="AK289" s="1"/>
      <c r="AL289" s="12"/>
      <c r="AM289" s="12"/>
      <c r="AN289" s="1"/>
      <c r="AO289" s="6"/>
    </row>
    <row r="290" spans="1:41" ht="15" x14ac:dyDescent="0.25">
      <c r="A290" s="1"/>
      <c r="B290" s="1"/>
      <c r="C290" s="1"/>
      <c r="D290" s="1"/>
      <c r="E290" s="6"/>
      <c r="F290" s="1"/>
      <c r="G290" s="6"/>
      <c r="H290" s="6"/>
      <c r="I290" s="6"/>
      <c r="J290" s="6"/>
      <c r="K290" s="6"/>
      <c r="L290" s="6"/>
      <c r="M290" s="6"/>
      <c r="N290" s="6"/>
      <c r="O290" s="7"/>
      <c r="P290" s="6"/>
      <c r="Q290" s="6"/>
      <c r="R290" s="7"/>
      <c r="S290" s="6"/>
      <c r="T290" s="6"/>
      <c r="U290" s="7"/>
      <c r="V290" s="6"/>
      <c r="W290" s="6"/>
      <c r="X290" s="12"/>
      <c r="Y290" s="6"/>
      <c r="Z290" s="6"/>
      <c r="AA290" s="7"/>
      <c r="AB290" s="6"/>
      <c r="AC290" s="6"/>
      <c r="AD290" s="6"/>
      <c r="AE290" s="12"/>
      <c r="AF290" s="6"/>
      <c r="AG290" s="12"/>
      <c r="AH290" s="6"/>
      <c r="AI290" s="6"/>
      <c r="AJ290" s="12"/>
      <c r="AK290" s="24"/>
      <c r="AL290" s="25"/>
      <c r="AM290" s="12"/>
      <c r="AN290" s="1"/>
      <c r="AO290" s="6"/>
    </row>
    <row r="291" spans="1:41" ht="15" x14ac:dyDescent="0.25">
      <c r="A291" s="1"/>
      <c r="B291" s="1"/>
      <c r="C291" s="1"/>
      <c r="D291" s="1"/>
      <c r="E291" s="6"/>
      <c r="F291" s="1"/>
      <c r="G291" s="6"/>
      <c r="H291" s="6"/>
      <c r="I291" s="6"/>
      <c r="J291" s="6"/>
      <c r="K291" s="6"/>
      <c r="L291" s="6"/>
      <c r="M291" s="6"/>
      <c r="N291" s="6"/>
      <c r="O291" s="7"/>
      <c r="P291" s="6"/>
      <c r="Q291" s="6"/>
      <c r="R291" s="7"/>
      <c r="S291" s="6"/>
      <c r="T291" s="6"/>
      <c r="U291" s="7"/>
      <c r="V291" s="6"/>
      <c r="W291" s="6"/>
      <c r="X291" s="6"/>
      <c r="Y291" s="6"/>
      <c r="Z291" s="6"/>
      <c r="AA291" s="7"/>
      <c r="AB291" s="6"/>
      <c r="AC291" s="6"/>
      <c r="AD291" s="6"/>
      <c r="AE291" s="12"/>
      <c r="AF291" s="6"/>
      <c r="AG291" s="12"/>
      <c r="AH291" s="6"/>
      <c r="AI291" s="6"/>
      <c r="AJ291" s="12"/>
      <c r="AK291" s="24"/>
      <c r="AL291" s="25"/>
      <c r="AM291" s="12"/>
      <c r="AN291" s="1"/>
      <c r="AO291" s="6"/>
    </row>
    <row r="292" spans="1:41" ht="15" x14ac:dyDescent="0.25">
      <c r="A292" s="1"/>
      <c r="B292" s="1"/>
      <c r="C292" s="1"/>
      <c r="D292" s="1"/>
      <c r="E292" s="6"/>
      <c r="F292" s="1"/>
      <c r="G292" s="6"/>
      <c r="H292" s="6"/>
      <c r="I292" s="6"/>
      <c r="J292" s="6"/>
      <c r="K292" s="6"/>
      <c r="L292" s="6"/>
      <c r="M292" s="6"/>
      <c r="N292" s="6"/>
      <c r="O292" s="7"/>
      <c r="P292" s="6"/>
      <c r="Q292" s="6"/>
      <c r="R292" s="7"/>
      <c r="S292" s="6"/>
      <c r="T292" s="6"/>
      <c r="U292" s="7"/>
      <c r="V292" s="6"/>
      <c r="W292" s="6"/>
      <c r="X292" s="6"/>
      <c r="Y292" s="6"/>
      <c r="Z292" s="6"/>
      <c r="AA292" s="7"/>
      <c r="AB292" s="6"/>
      <c r="AC292" s="6"/>
      <c r="AD292" s="6"/>
      <c r="AE292" s="12"/>
      <c r="AF292" s="6"/>
      <c r="AG292" s="12"/>
      <c r="AH292" s="6"/>
      <c r="AI292" s="6"/>
      <c r="AJ292" s="12"/>
      <c r="AK292" s="24"/>
      <c r="AL292" s="25"/>
      <c r="AM292" s="12"/>
      <c r="AN292" s="1"/>
      <c r="AO292" s="6"/>
    </row>
    <row r="293" spans="1:41" ht="15" x14ac:dyDescent="0.25">
      <c r="A293" s="1"/>
      <c r="B293" s="1"/>
      <c r="C293" s="1"/>
      <c r="D293" s="1"/>
      <c r="E293" s="6"/>
      <c r="F293" s="1"/>
      <c r="G293" s="6"/>
      <c r="H293" s="6"/>
      <c r="I293" s="6"/>
      <c r="J293" s="6"/>
      <c r="K293" s="6"/>
      <c r="L293" s="6"/>
      <c r="M293" s="6"/>
      <c r="N293" s="6"/>
      <c r="O293" s="7"/>
      <c r="P293" s="6"/>
      <c r="Q293" s="7"/>
      <c r="R293" s="6"/>
      <c r="S293" s="6"/>
      <c r="T293" s="6"/>
      <c r="U293" s="6"/>
      <c r="V293" s="7"/>
      <c r="W293" s="7"/>
      <c r="X293" s="6"/>
      <c r="Y293" s="6"/>
      <c r="Z293" s="6"/>
      <c r="AA293" s="1"/>
      <c r="AB293" s="12"/>
      <c r="AC293" s="12"/>
      <c r="AD293" s="12"/>
      <c r="AE293" s="12"/>
      <c r="AF293" s="12"/>
      <c r="AG293" s="12"/>
      <c r="AH293" s="12"/>
      <c r="AI293" s="6"/>
      <c r="AJ293" s="12"/>
      <c r="AK293" s="12"/>
      <c r="AL293" s="12"/>
      <c r="AM293" s="12"/>
      <c r="AN293" s="1"/>
      <c r="AO293" s="6"/>
    </row>
    <row r="294" spans="1:41" ht="15" x14ac:dyDescent="0.25">
      <c r="A294" s="1"/>
      <c r="B294" s="1"/>
      <c r="C294" s="1"/>
      <c r="D294" s="1"/>
      <c r="E294" s="6"/>
      <c r="F294" s="1"/>
      <c r="G294" s="6"/>
      <c r="H294" s="6"/>
      <c r="I294" s="6"/>
      <c r="J294" s="6"/>
      <c r="K294" s="6"/>
      <c r="L294" s="6"/>
      <c r="M294" s="6"/>
      <c r="N294" s="6"/>
      <c r="O294" s="7"/>
      <c r="P294" s="6"/>
      <c r="Q294" s="6"/>
      <c r="R294" s="12"/>
      <c r="S294" s="12"/>
      <c r="T294" s="12"/>
      <c r="U294" s="7"/>
      <c r="V294" s="6"/>
      <c r="W294" s="6"/>
      <c r="X294" s="12"/>
      <c r="Y294" s="6"/>
      <c r="Z294" s="6"/>
      <c r="AA294" s="7"/>
      <c r="AB294" s="6"/>
      <c r="AC294" s="6"/>
      <c r="AD294" s="6"/>
      <c r="AE294" s="12"/>
      <c r="AF294" s="12"/>
      <c r="AG294" s="12"/>
      <c r="AH294" s="12"/>
      <c r="AI294" s="6"/>
      <c r="AJ294" s="12"/>
      <c r="AK294" s="24"/>
      <c r="AL294" s="25"/>
      <c r="AM294" s="12"/>
      <c r="AN294" s="1"/>
      <c r="AO294" s="12"/>
    </row>
    <row r="295" spans="1:41" ht="15" x14ac:dyDescent="0.25">
      <c r="A295" s="1"/>
      <c r="B295" s="1"/>
      <c r="C295" s="1"/>
      <c r="D295" s="1"/>
      <c r="E295" s="6"/>
      <c r="F295" s="1"/>
      <c r="G295" s="6"/>
      <c r="H295" s="6"/>
      <c r="I295" s="6"/>
      <c r="J295" s="6"/>
      <c r="K295" s="6"/>
      <c r="L295" s="6"/>
      <c r="M295" s="6"/>
      <c r="N295" s="6"/>
      <c r="O295" s="7"/>
      <c r="P295" s="12"/>
      <c r="Q295" s="6"/>
      <c r="R295" s="7"/>
      <c r="S295" s="6"/>
      <c r="T295" s="6"/>
      <c r="U295" s="7"/>
      <c r="V295" s="6"/>
      <c r="W295" s="6"/>
      <c r="X295" s="6"/>
      <c r="Y295" s="6"/>
      <c r="Z295" s="6"/>
      <c r="AA295" s="7"/>
      <c r="AB295" s="6"/>
      <c r="AC295" s="6"/>
      <c r="AD295" s="6"/>
      <c r="AE295" s="12"/>
      <c r="AF295" s="6"/>
      <c r="AG295" s="12"/>
      <c r="AH295" s="6"/>
      <c r="AI295" s="6"/>
      <c r="AJ295" s="12"/>
      <c r="AK295" s="1"/>
      <c r="AL295" s="12"/>
      <c r="AM295" s="12"/>
      <c r="AN295" s="1"/>
      <c r="AO295" s="6"/>
    </row>
    <row r="296" spans="1:41" ht="15" x14ac:dyDescent="0.25">
      <c r="A296" s="1"/>
      <c r="B296" s="1"/>
      <c r="C296" s="1"/>
      <c r="D296" s="1"/>
      <c r="E296" s="6"/>
      <c r="F296" s="1"/>
      <c r="G296" s="6"/>
      <c r="H296" s="6"/>
      <c r="I296" s="6"/>
      <c r="J296" s="6"/>
      <c r="K296" s="6"/>
      <c r="L296" s="6"/>
      <c r="M296" s="6"/>
      <c r="N296" s="6"/>
      <c r="O296" s="7"/>
      <c r="P296" s="6"/>
      <c r="Q296" s="7"/>
      <c r="R296" s="6"/>
      <c r="S296" s="12"/>
      <c r="T296" s="6"/>
      <c r="U296" s="6"/>
      <c r="V296" s="7"/>
      <c r="W296" s="6"/>
      <c r="X296" s="6"/>
      <c r="Y296" s="6"/>
      <c r="Z296" s="6"/>
      <c r="AA296" s="1"/>
      <c r="AB296" s="12"/>
      <c r="AC296" s="12"/>
      <c r="AD296" s="12"/>
      <c r="AE296" s="12"/>
      <c r="AF296" s="6"/>
      <c r="AG296" s="12"/>
      <c r="AH296" s="6"/>
      <c r="AI296" s="6"/>
      <c r="AJ296" s="12"/>
      <c r="AK296" s="12"/>
      <c r="AL296" s="12"/>
      <c r="AM296" s="12"/>
      <c r="AN296" s="1"/>
      <c r="AO296" s="6"/>
    </row>
    <row r="297" spans="1:41" ht="15" x14ac:dyDescent="0.25">
      <c r="A297" s="1"/>
      <c r="B297" s="1"/>
      <c r="C297" s="1"/>
      <c r="D297" s="1"/>
      <c r="E297" s="6"/>
      <c r="F297" s="1"/>
      <c r="G297" s="6"/>
      <c r="H297" s="6"/>
      <c r="I297" s="6"/>
      <c r="J297" s="6"/>
      <c r="K297" s="12"/>
      <c r="L297" s="12"/>
      <c r="M297" s="6"/>
      <c r="N297" s="6"/>
      <c r="O297" s="7"/>
      <c r="P297" s="6"/>
      <c r="Q297" s="6"/>
      <c r="R297" s="7"/>
      <c r="S297" s="6"/>
      <c r="T297" s="6"/>
      <c r="U297" s="7"/>
      <c r="V297" s="6"/>
      <c r="W297" s="6"/>
      <c r="X297" s="12"/>
      <c r="Y297" s="6"/>
      <c r="Z297" s="6"/>
      <c r="AA297" s="7"/>
      <c r="AB297" s="6"/>
      <c r="AC297" s="6"/>
      <c r="AD297" s="6"/>
      <c r="AE297" s="12"/>
      <c r="AF297" s="12"/>
      <c r="AG297" s="12"/>
      <c r="AH297" s="12"/>
      <c r="AI297" s="6"/>
      <c r="AJ297" s="12"/>
      <c r="AK297" s="24"/>
      <c r="AL297" s="25"/>
      <c r="AM297" s="12"/>
      <c r="AN297" s="1"/>
      <c r="AO297" s="6"/>
    </row>
    <row r="298" spans="1:41" ht="15" x14ac:dyDescent="0.25">
      <c r="A298" s="1"/>
      <c r="B298" s="1"/>
      <c r="C298" s="1"/>
      <c r="D298" s="1"/>
      <c r="E298" s="6"/>
      <c r="F298" s="1"/>
      <c r="G298" s="6"/>
      <c r="H298" s="6"/>
      <c r="I298" s="6"/>
      <c r="J298" s="6"/>
      <c r="K298" s="6"/>
      <c r="L298" s="6"/>
      <c r="M298" s="6"/>
      <c r="N298" s="6"/>
      <c r="O298" s="7"/>
      <c r="P298" s="6"/>
      <c r="Q298" s="7"/>
      <c r="R298" s="6"/>
      <c r="S298" s="6"/>
      <c r="T298" s="6"/>
      <c r="U298" s="6"/>
      <c r="V298" s="7"/>
      <c r="W298" s="7"/>
      <c r="X298" s="6"/>
      <c r="Y298" s="6"/>
      <c r="Z298" s="6"/>
      <c r="AA298" s="1"/>
      <c r="AB298" s="12"/>
      <c r="AC298" s="12"/>
      <c r="AD298" s="12"/>
      <c r="AE298" s="12"/>
      <c r="AF298" s="12"/>
      <c r="AG298" s="12"/>
      <c r="AH298" s="12"/>
      <c r="AI298" s="6"/>
      <c r="AJ298" s="12"/>
      <c r="AK298" s="12"/>
      <c r="AL298" s="12"/>
      <c r="AM298" s="12"/>
      <c r="AN298" s="1"/>
      <c r="AO298" s="6"/>
    </row>
    <row r="299" spans="1:41" ht="15" x14ac:dyDescent="0.25">
      <c r="A299" s="1"/>
      <c r="B299" s="1"/>
      <c r="C299" s="1"/>
      <c r="D299" s="1"/>
      <c r="E299" s="6"/>
      <c r="F299" s="1"/>
      <c r="G299" s="6"/>
      <c r="H299" s="6"/>
      <c r="I299" s="6"/>
      <c r="J299" s="6"/>
      <c r="K299" s="6"/>
      <c r="L299" s="6"/>
      <c r="M299" s="6"/>
      <c r="N299" s="6"/>
      <c r="O299" s="7"/>
      <c r="P299" s="6"/>
      <c r="Q299" s="7"/>
      <c r="R299" s="6"/>
      <c r="S299" s="6"/>
      <c r="T299" s="6"/>
      <c r="U299" s="6"/>
      <c r="V299" s="7"/>
      <c r="W299" s="7"/>
      <c r="X299" s="6"/>
      <c r="Y299" s="6"/>
      <c r="Z299" s="6"/>
      <c r="AA299" s="1"/>
      <c r="AB299" s="12"/>
      <c r="AC299" s="12"/>
      <c r="AD299" s="12"/>
      <c r="AE299" s="12"/>
      <c r="AF299" s="12"/>
      <c r="AG299" s="12"/>
      <c r="AH299" s="12"/>
      <c r="AI299" s="6"/>
      <c r="AJ299" s="12"/>
      <c r="AK299" s="12"/>
      <c r="AL299" s="12"/>
      <c r="AM299" s="12"/>
      <c r="AN299" s="1"/>
      <c r="AO299" s="6"/>
    </row>
    <row r="300" spans="1:41" ht="15" x14ac:dyDescent="0.25">
      <c r="A300" s="1"/>
      <c r="B300" s="1"/>
      <c r="C300" s="1"/>
      <c r="D300" s="1"/>
      <c r="E300" s="6"/>
      <c r="F300" s="1"/>
      <c r="G300" s="6"/>
      <c r="H300" s="6"/>
      <c r="I300" s="6"/>
      <c r="J300" s="6"/>
      <c r="K300" s="6"/>
      <c r="L300" s="6"/>
      <c r="M300" s="6"/>
      <c r="N300" s="6"/>
      <c r="O300" s="7"/>
      <c r="P300" s="6"/>
      <c r="Q300" s="6"/>
      <c r="R300" s="7"/>
      <c r="S300" s="6"/>
      <c r="T300" s="6"/>
      <c r="U300" s="7"/>
      <c r="V300" s="6"/>
      <c r="W300" s="6"/>
      <c r="X300" s="12"/>
      <c r="Y300" s="6"/>
      <c r="Z300" s="6"/>
      <c r="AA300" s="7"/>
      <c r="AB300" s="6"/>
      <c r="AC300" s="6"/>
      <c r="AD300" s="6"/>
      <c r="AE300" s="12"/>
      <c r="AF300" s="12"/>
      <c r="AG300" s="12"/>
      <c r="AH300" s="12"/>
      <c r="AI300" s="6"/>
      <c r="AJ300" s="12"/>
      <c r="AK300" s="1"/>
      <c r="AL300" s="12"/>
      <c r="AM300" s="12"/>
      <c r="AN300" s="1"/>
      <c r="AO300" s="6"/>
    </row>
    <row r="301" spans="1:41" ht="15" x14ac:dyDescent="0.25">
      <c r="A301" s="1"/>
      <c r="B301" s="1"/>
      <c r="C301" s="1"/>
      <c r="D301" s="1"/>
      <c r="E301" s="6"/>
      <c r="F301" s="1"/>
      <c r="G301" s="6"/>
      <c r="H301" s="6"/>
      <c r="I301" s="6"/>
      <c r="J301" s="6"/>
      <c r="K301" s="6"/>
      <c r="L301" s="6"/>
      <c r="M301" s="6"/>
      <c r="N301" s="6"/>
      <c r="O301" s="7"/>
      <c r="P301" s="6"/>
      <c r="Q301" s="6"/>
      <c r="R301" s="7"/>
      <c r="S301" s="6"/>
      <c r="T301" s="6"/>
      <c r="U301" s="7"/>
      <c r="V301" s="6"/>
      <c r="W301" s="6"/>
      <c r="X301" s="12"/>
      <c r="Y301" s="6"/>
      <c r="Z301" s="6"/>
      <c r="AA301" s="7"/>
      <c r="AB301" s="6"/>
      <c r="AC301" s="6"/>
      <c r="AD301" s="6"/>
      <c r="AE301" s="12"/>
      <c r="AF301" s="6"/>
      <c r="AG301" s="12"/>
      <c r="AH301" s="6"/>
      <c r="AI301" s="6"/>
      <c r="AJ301" s="12"/>
      <c r="AK301" s="1"/>
      <c r="AL301" s="12"/>
      <c r="AM301" s="12"/>
      <c r="AN301" s="1"/>
      <c r="AO301" s="6"/>
    </row>
    <row r="302" spans="1:41" ht="15" x14ac:dyDescent="0.25">
      <c r="A302" s="1"/>
      <c r="B302" s="1"/>
      <c r="C302" s="1"/>
      <c r="D302" s="1"/>
      <c r="E302" s="6"/>
      <c r="F302" s="1"/>
      <c r="G302" s="6"/>
      <c r="H302" s="6"/>
      <c r="I302" s="6"/>
      <c r="J302" s="6"/>
      <c r="K302" s="6"/>
      <c r="L302" s="6"/>
      <c r="M302" s="6"/>
      <c r="N302" s="6"/>
      <c r="O302" s="7"/>
      <c r="P302" s="6"/>
      <c r="Q302" s="6"/>
      <c r="R302" s="7"/>
      <c r="S302" s="6"/>
      <c r="T302" s="6"/>
      <c r="U302" s="7"/>
      <c r="V302" s="6"/>
      <c r="W302" s="6"/>
      <c r="X302" s="12"/>
      <c r="Y302" s="6"/>
      <c r="Z302" s="6"/>
      <c r="AA302" s="7"/>
      <c r="AB302" s="6"/>
      <c r="AC302" s="6"/>
      <c r="AD302" s="6"/>
      <c r="AE302" s="12"/>
      <c r="AF302" s="6"/>
      <c r="AG302" s="12"/>
      <c r="AH302" s="6"/>
      <c r="AI302" s="6"/>
      <c r="AJ302" s="12"/>
      <c r="AK302" s="1"/>
      <c r="AL302" s="12"/>
      <c r="AM302" s="12"/>
      <c r="AN302" s="1"/>
      <c r="AO302" s="6"/>
    </row>
    <row r="303" spans="1:41" ht="15" x14ac:dyDescent="0.25">
      <c r="A303" s="1"/>
      <c r="B303" s="1"/>
      <c r="C303" s="1"/>
      <c r="D303" s="1"/>
      <c r="E303" s="6"/>
      <c r="F303" s="1"/>
      <c r="G303" s="6"/>
      <c r="H303" s="6"/>
      <c r="I303" s="6"/>
      <c r="J303" s="6"/>
      <c r="K303" s="6"/>
      <c r="L303" s="6"/>
      <c r="M303" s="6"/>
      <c r="N303" s="6"/>
      <c r="O303" s="7"/>
      <c r="P303" s="6"/>
      <c r="Q303" s="6"/>
      <c r="R303" s="7"/>
      <c r="S303" s="6"/>
      <c r="T303" s="6"/>
      <c r="U303" s="7"/>
      <c r="V303" s="6"/>
      <c r="W303" s="6"/>
      <c r="X303" s="12"/>
      <c r="Y303" s="6"/>
      <c r="Z303" s="6"/>
      <c r="AA303" s="7"/>
      <c r="AB303" s="6"/>
      <c r="AC303" s="6"/>
      <c r="AD303" s="6"/>
      <c r="AE303" s="12"/>
      <c r="AF303" s="6"/>
      <c r="AG303" s="12"/>
      <c r="AH303" s="6"/>
      <c r="AI303" s="6"/>
      <c r="AJ303" s="12"/>
      <c r="AK303" s="24"/>
      <c r="AL303" s="25"/>
      <c r="AM303" s="12"/>
      <c r="AN303" s="1"/>
      <c r="AO303" s="6"/>
    </row>
    <row r="304" spans="1:41" ht="15" x14ac:dyDescent="0.25">
      <c r="A304" s="1"/>
      <c r="B304" s="1"/>
      <c r="C304" s="1"/>
      <c r="D304" s="1"/>
      <c r="E304" s="6"/>
      <c r="F304" s="1"/>
      <c r="G304" s="6"/>
      <c r="H304" s="6"/>
      <c r="I304" s="6"/>
      <c r="J304" s="6"/>
      <c r="K304" s="6"/>
      <c r="L304" s="6"/>
      <c r="M304" s="6"/>
      <c r="N304" s="6"/>
      <c r="O304" s="7"/>
      <c r="P304" s="6"/>
      <c r="Q304" s="6"/>
      <c r="R304" s="7"/>
      <c r="S304" s="6"/>
      <c r="T304" s="6"/>
      <c r="U304" s="7"/>
      <c r="V304" s="6"/>
      <c r="W304" s="6"/>
      <c r="X304" s="12"/>
      <c r="Y304" s="6"/>
      <c r="Z304" s="6"/>
      <c r="AA304" s="7"/>
      <c r="AB304" s="6"/>
      <c r="AC304" s="6"/>
      <c r="AD304" s="6"/>
      <c r="AE304" s="12"/>
      <c r="AF304" s="6"/>
      <c r="AG304" s="12"/>
      <c r="AH304" s="6"/>
      <c r="AI304" s="6"/>
      <c r="AJ304" s="12"/>
      <c r="AK304" s="1"/>
      <c r="AL304" s="12"/>
      <c r="AM304" s="12"/>
      <c r="AN304" s="1"/>
      <c r="AO304" s="6"/>
    </row>
    <row r="305" spans="1:41" ht="15" x14ac:dyDescent="0.25">
      <c r="A305" s="1"/>
      <c r="B305" s="1"/>
      <c r="C305" s="1"/>
      <c r="D305" s="1"/>
      <c r="E305" s="6"/>
      <c r="F305" s="1"/>
      <c r="G305" s="6"/>
      <c r="H305" s="6"/>
      <c r="I305" s="6"/>
      <c r="J305" s="6"/>
      <c r="K305" s="6"/>
      <c r="L305" s="6"/>
      <c r="M305" s="6"/>
      <c r="N305" s="6"/>
      <c r="O305" s="7"/>
      <c r="P305" s="6"/>
      <c r="Q305" s="6"/>
      <c r="R305" s="7"/>
      <c r="S305" s="6"/>
      <c r="T305" s="6"/>
      <c r="U305" s="7"/>
      <c r="V305" s="6"/>
      <c r="W305" s="6"/>
      <c r="X305" s="12"/>
      <c r="Y305" s="6"/>
      <c r="Z305" s="6"/>
      <c r="AA305" s="7"/>
      <c r="AB305" s="6"/>
      <c r="AC305" s="6"/>
      <c r="AD305" s="6"/>
      <c r="AE305" s="12"/>
      <c r="AF305" s="12"/>
      <c r="AG305" s="12"/>
      <c r="AH305" s="12"/>
      <c r="AI305" s="6"/>
      <c r="AJ305" s="12"/>
      <c r="AK305" s="1"/>
      <c r="AL305" s="12"/>
      <c r="AM305" s="12"/>
      <c r="AN305" s="1"/>
      <c r="AO305" s="6"/>
    </row>
    <row r="306" spans="1:41" ht="15" x14ac:dyDescent="0.25">
      <c r="A306" s="1"/>
      <c r="B306" s="1"/>
      <c r="C306" s="1"/>
      <c r="D306" s="1"/>
      <c r="E306" s="6"/>
      <c r="F306" s="1"/>
      <c r="G306" s="6"/>
      <c r="H306" s="6"/>
      <c r="I306" s="6"/>
      <c r="J306" s="6"/>
      <c r="K306" s="6"/>
      <c r="L306" s="6"/>
      <c r="M306" s="6"/>
      <c r="N306" s="6"/>
      <c r="O306" s="7"/>
      <c r="P306" s="6"/>
      <c r="Q306" s="6"/>
      <c r="R306" s="7"/>
      <c r="S306" s="6"/>
      <c r="T306" s="6"/>
      <c r="U306" s="7"/>
      <c r="V306" s="6"/>
      <c r="W306" s="6"/>
      <c r="X306" s="12"/>
      <c r="Y306" s="6"/>
      <c r="Z306" s="6"/>
      <c r="AA306" s="7"/>
      <c r="AB306" s="6"/>
      <c r="AC306" s="6"/>
      <c r="AD306" s="6"/>
      <c r="AE306" s="12"/>
      <c r="AF306" s="12"/>
      <c r="AG306" s="12"/>
      <c r="AH306" s="12"/>
      <c r="AI306" s="6"/>
      <c r="AJ306" s="12"/>
      <c r="AK306" s="1"/>
      <c r="AL306" s="12"/>
      <c r="AM306" s="12"/>
      <c r="AN306" s="1"/>
      <c r="AO306" s="6"/>
    </row>
    <row r="307" spans="1:41" ht="15" x14ac:dyDescent="0.25">
      <c r="A307" s="1"/>
      <c r="B307" s="1"/>
      <c r="C307" s="1"/>
      <c r="D307" s="1"/>
      <c r="E307" s="6"/>
      <c r="F307" s="1"/>
      <c r="G307" s="6"/>
      <c r="H307" s="6"/>
      <c r="I307" s="6"/>
      <c r="J307" s="6"/>
      <c r="K307" s="12"/>
      <c r="L307" s="12"/>
      <c r="M307" s="6"/>
      <c r="N307" s="6"/>
      <c r="O307" s="7"/>
      <c r="P307" s="6"/>
      <c r="Q307" s="6"/>
      <c r="R307" s="7"/>
      <c r="S307" s="6"/>
      <c r="T307" s="6"/>
      <c r="U307" s="7"/>
      <c r="V307" s="6"/>
      <c r="W307" s="6"/>
      <c r="X307" s="6"/>
      <c r="Y307" s="6"/>
      <c r="Z307" s="6"/>
      <c r="AA307" s="7"/>
      <c r="AB307" s="6"/>
      <c r="AC307" s="6"/>
      <c r="AD307" s="6"/>
      <c r="AE307" s="12"/>
      <c r="AF307" s="12"/>
      <c r="AG307" s="12"/>
      <c r="AH307" s="12"/>
      <c r="AI307" s="6"/>
      <c r="AJ307" s="12"/>
      <c r="AK307" s="1"/>
      <c r="AL307" s="12"/>
      <c r="AM307" s="12"/>
      <c r="AN307" s="1"/>
      <c r="AO307" s="12"/>
    </row>
    <row r="308" spans="1:41" ht="15" x14ac:dyDescent="0.25">
      <c r="A308" s="1"/>
      <c r="B308" s="1"/>
      <c r="C308" s="1"/>
      <c r="D308" s="1"/>
      <c r="E308" s="6"/>
      <c r="F308" s="1"/>
      <c r="G308" s="6"/>
      <c r="H308" s="6"/>
      <c r="I308" s="6"/>
      <c r="J308" s="6"/>
      <c r="K308" s="6"/>
      <c r="L308" s="6"/>
      <c r="M308" s="6"/>
      <c r="N308" s="6"/>
      <c r="O308" s="7"/>
      <c r="P308" s="6"/>
      <c r="Q308" s="6"/>
      <c r="R308" s="7"/>
      <c r="S308" s="6"/>
      <c r="T308" s="6"/>
      <c r="U308" s="7"/>
      <c r="V308" s="6"/>
      <c r="W308" s="6"/>
      <c r="X308" s="6"/>
      <c r="Y308" s="6"/>
      <c r="Z308" s="6"/>
      <c r="AA308" s="7"/>
      <c r="AB308" s="6"/>
      <c r="AC308" s="6"/>
      <c r="AD308" s="6"/>
      <c r="AE308" s="12"/>
      <c r="AF308" s="12"/>
      <c r="AG308" s="12"/>
      <c r="AH308" s="12"/>
      <c r="AI308" s="6"/>
      <c r="AJ308" s="12"/>
      <c r="AK308" s="1"/>
      <c r="AL308" s="12"/>
      <c r="AM308" s="12"/>
      <c r="AN308" s="1"/>
      <c r="AO308" s="6"/>
    </row>
    <row r="309" spans="1:41" ht="15" x14ac:dyDescent="0.25">
      <c r="A309" s="1"/>
      <c r="B309" s="1"/>
      <c r="C309" s="1"/>
      <c r="D309" s="1"/>
      <c r="E309" s="6"/>
      <c r="F309" s="1"/>
      <c r="G309" s="6"/>
      <c r="H309" s="6"/>
      <c r="I309" s="6"/>
      <c r="J309" s="6"/>
      <c r="K309" s="6"/>
      <c r="L309" s="6"/>
      <c r="M309" s="6"/>
      <c r="N309" s="6"/>
      <c r="O309" s="7"/>
      <c r="P309" s="6"/>
      <c r="Q309" s="6"/>
      <c r="R309" s="7"/>
      <c r="S309" s="6"/>
      <c r="T309" s="6"/>
      <c r="U309" s="7"/>
      <c r="V309" s="6"/>
      <c r="W309" s="6"/>
      <c r="X309" s="12"/>
      <c r="Y309" s="6"/>
      <c r="Z309" s="6"/>
      <c r="AA309" s="7"/>
      <c r="AB309" s="6"/>
      <c r="AC309" s="6"/>
      <c r="AD309" s="6"/>
      <c r="AE309" s="12"/>
      <c r="AF309" s="12"/>
      <c r="AG309" s="12"/>
      <c r="AH309" s="12"/>
      <c r="AI309" s="6"/>
      <c r="AJ309" s="12"/>
      <c r="AK309" s="1"/>
      <c r="AL309" s="12"/>
      <c r="AM309" s="12"/>
      <c r="AN309" s="1"/>
      <c r="AO309" s="6"/>
    </row>
    <row r="310" spans="1:41" ht="15" x14ac:dyDescent="0.25">
      <c r="A310" s="1"/>
      <c r="B310" s="1"/>
      <c r="C310" s="1"/>
      <c r="D310" s="1"/>
      <c r="E310" s="6"/>
      <c r="F310" s="1"/>
      <c r="G310" s="6"/>
      <c r="H310" s="6"/>
      <c r="I310" s="6"/>
      <c r="J310" s="6"/>
      <c r="K310" s="6"/>
      <c r="L310" s="6"/>
      <c r="M310" s="6"/>
      <c r="N310" s="6"/>
      <c r="O310" s="7"/>
      <c r="P310" s="6"/>
      <c r="Q310" s="6"/>
      <c r="R310" s="7"/>
      <c r="S310" s="6"/>
      <c r="T310" s="6"/>
      <c r="U310" s="7"/>
      <c r="V310" s="6"/>
      <c r="W310" s="6"/>
      <c r="X310" s="6"/>
      <c r="Y310" s="6"/>
      <c r="Z310" s="6"/>
      <c r="AA310" s="7"/>
      <c r="AB310" s="6"/>
      <c r="AC310" s="6"/>
      <c r="AD310" s="6"/>
      <c r="AE310" s="12"/>
      <c r="AF310" s="6"/>
      <c r="AG310" s="12"/>
      <c r="AH310" s="6"/>
      <c r="AI310" s="6"/>
      <c r="AJ310" s="12"/>
      <c r="AK310" s="1"/>
      <c r="AL310" s="12"/>
      <c r="AM310" s="12"/>
      <c r="AN310" s="1"/>
      <c r="AO310" s="6"/>
    </row>
    <row r="311" spans="1:41" ht="15" x14ac:dyDescent="0.25">
      <c r="A311" s="1"/>
      <c r="B311" s="1"/>
      <c r="C311" s="1"/>
      <c r="D311" s="1"/>
      <c r="E311" s="6"/>
      <c r="F311" s="1"/>
      <c r="G311" s="6"/>
      <c r="H311" s="6"/>
      <c r="I311" s="6"/>
      <c r="J311" s="6"/>
      <c r="K311" s="12"/>
      <c r="L311" s="12"/>
      <c r="M311" s="6"/>
      <c r="N311" s="6"/>
      <c r="O311" s="7"/>
      <c r="P311" s="12"/>
      <c r="Q311" s="6"/>
      <c r="R311" s="7"/>
      <c r="S311" s="6"/>
      <c r="T311" s="6"/>
      <c r="U311" s="7"/>
      <c r="V311" s="6"/>
      <c r="W311" s="6"/>
      <c r="X311" s="6"/>
      <c r="Y311" s="6"/>
      <c r="Z311" s="6"/>
      <c r="AA311" s="7"/>
      <c r="AB311" s="6"/>
      <c r="AC311" s="6"/>
      <c r="AD311" s="6"/>
      <c r="AE311" s="12"/>
      <c r="AF311" s="12"/>
      <c r="AG311" s="12"/>
      <c r="AH311" s="12"/>
      <c r="AI311" s="6"/>
      <c r="AJ311" s="12"/>
      <c r="AK311" s="1"/>
      <c r="AL311" s="12"/>
      <c r="AM311" s="12"/>
      <c r="AN311" s="1"/>
      <c r="AO311" s="6"/>
    </row>
    <row r="312" spans="1:41" ht="15" x14ac:dyDescent="0.25">
      <c r="A312" s="1"/>
      <c r="B312" s="1"/>
      <c r="C312" s="1"/>
      <c r="D312" s="1"/>
      <c r="E312" s="6"/>
      <c r="F312" s="1"/>
      <c r="G312" s="6"/>
      <c r="H312" s="6"/>
      <c r="I312" s="6"/>
      <c r="J312" s="6"/>
      <c r="K312" s="6"/>
      <c r="L312" s="6"/>
      <c r="M312" s="6"/>
      <c r="N312" s="6"/>
      <c r="O312" s="7"/>
      <c r="P312" s="12"/>
      <c r="Q312" s="6"/>
      <c r="R312" s="7"/>
      <c r="S312" s="6"/>
      <c r="T312" s="6"/>
      <c r="U312" s="7"/>
      <c r="V312" s="6"/>
      <c r="W312" s="6"/>
      <c r="X312" s="12"/>
      <c r="Y312" s="6"/>
      <c r="Z312" s="6"/>
      <c r="AA312" s="7"/>
      <c r="AB312" s="6"/>
      <c r="AC312" s="6"/>
      <c r="AD312" s="6"/>
      <c r="AE312" s="12"/>
      <c r="AF312" s="12"/>
      <c r="AG312" s="12"/>
      <c r="AH312" s="12"/>
      <c r="AI312" s="6"/>
      <c r="AJ312" s="12"/>
      <c r="AK312" s="24"/>
      <c r="AL312" s="25"/>
      <c r="AM312" s="12"/>
      <c r="AN312" s="1"/>
      <c r="AO312" s="6"/>
    </row>
    <row r="313" spans="1:41" ht="15" x14ac:dyDescent="0.25">
      <c r="A313" s="1"/>
      <c r="B313" s="1"/>
      <c r="C313" s="1"/>
      <c r="D313" s="1"/>
      <c r="E313" s="6"/>
      <c r="F313" s="1"/>
      <c r="G313" s="6"/>
      <c r="H313" s="6"/>
      <c r="I313" s="6"/>
      <c r="J313" s="6"/>
      <c r="K313" s="6"/>
      <c r="L313" s="6"/>
      <c r="M313" s="6"/>
      <c r="N313" s="6"/>
      <c r="O313" s="7"/>
      <c r="P313" s="6"/>
      <c r="Q313" s="7"/>
      <c r="R313" s="6"/>
      <c r="S313" s="6"/>
      <c r="T313" s="6"/>
      <c r="U313" s="6"/>
      <c r="V313" s="7"/>
      <c r="W313" s="6"/>
      <c r="X313" s="6"/>
      <c r="Y313" s="6"/>
      <c r="Z313" s="6"/>
      <c r="AA313" s="24"/>
      <c r="AB313" s="25"/>
      <c r="AC313" s="12"/>
      <c r="AD313" s="12"/>
      <c r="AE313" s="12"/>
      <c r="AF313" s="6"/>
      <c r="AG313" s="12"/>
      <c r="AH313" s="6"/>
      <c r="AI313" s="6"/>
      <c r="AJ313" s="12"/>
      <c r="AK313" s="12"/>
      <c r="AL313" s="12"/>
      <c r="AM313" s="12"/>
      <c r="AN313" s="1"/>
      <c r="AO313" s="6"/>
    </row>
    <row r="314" spans="1:41" ht="15" x14ac:dyDescent="0.25">
      <c r="A314" s="1"/>
      <c r="B314" s="1"/>
      <c r="C314" s="1"/>
      <c r="D314" s="1"/>
      <c r="E314" s="6"/>
      <c r="F314" s="1"/>
      <c r="G314" s="6"/>
      <c r="H314" s="6"/>
      <c r="I314" s="6"/>
      <c r="J314" s="6"/>
      <c r="K314" s="6"/>
      <c r="L314" s="6"/>
      <c r="M314" s="6"/>
      <c r="N314" s="6"/>
      <c r="O314" s="7"/>
      <c r="P314" s="6"/>
      <c r="Q314" s="6"/>
      <c r="R314" s="7"/>
      <c r="S314" s="6"/>
      <c r="T314" s="6"/>
      <c r="U314" s="7"/>
      <c r="V314" s="6"/>
      <c r="W314" s="6"/>
      <c r="X314" s="6"/>
      <c r="Y314" s="6"/>
      <c r="Z314" s="6"/>
      <c r="AA314" s="7"/>
      <c r="AB314" s="6"/>
      <c r="AC314" s="6"/>
      <c r="AD314" s="6"/>
      <c r="AE314" s="12"/>
      <c r="AF314" s="12"/>
      <c r="AG314" s="12"/>
      <c r="AH314" s="12"/>
      <c r="AI314" s="6"/>
      <c r="AJ314" s="12"/>
      <c r="AK314" s="1"/>
      <c r="AL314" s="12"/>
      <c r="AM314" s="12"/>
      <c r="AN314" s="1"/>
      <c r="AO314" s="6"/>
    </row>
    <row r="315" spans="1:41" ht="15" x14ac:dyDescent="0.25">
      <c r="A315" s="1"/>
      <c r="B315" s="1"/>
      <c r="C315" s="1"/>
      <c r="D315" s="1"/>
      <c r="E315" s="6"/>
      <c r="F315" s="1"/>
      <c r="G315" s="6"/>
      <c r="H315" s="6"/>
      <c r="I315" s="6"/>
      <c r="J315" s="6"/>
      <c r="K315" s="6"/>
      <c r="L315" s="6"/>
      <c r="M315" s="6"/>
      <c r="N315" s="6"/>
      <c r="O315" s="7"/>
      <c r="P315" s="6"/>
      <c r="Q315" s="6"/>
      <c r="R315" s="7"/>
      <c r="S315" s="6"/>
      <c r="T315" s="6"/>
      <c r="U315" s="7"/>
      <c r="V315" s="6"/>
      <c r="W315" s="6"/>
      <c r="X315" s="6"/>
      <c r="Y315" s="6"/>
      <c r="Z315" s="6"/>
      <c r="AA315" s="7"/>
      <c r="AB315" s="6"/>
      <c r="AC315" s="6"/>
      <c r="AD315" s="6"/>
      <c r="AE315" s="12"/>
      <c r="AF315" s="6"/>
      <c r="AG315" s="12"/>
      <c r="AH315" s="6"/>
      <c r="AI315" s="6"/>
      <c r="AJ315" s="12"/>
      <c r="AK315" s="24"/>
      <c r="AL315" s="25"/>
      <c r="AM315" s="12"/>
      <c r="AN315" s="1"/>
      <c r="AO315" s="6"/>
    </row>
    <row r="316" spans="1:41" ht="15" x14ac:dyDescent="0.25">
      <c r="A316" s="1"/>
      <c r="B316" s="1"/>
      <c r="C316" s="1"/>
      <c r="D316" s="1"/>
      <c r="E316" s="6"/>
      <c r="F316" s="1"/>
      <c r="G316" s="6"/>
      <c r="H316" s="6"/>
      <c r="I316" s="6"/>
      <c r="J316" s="6"/>
      <c r="K316" s="6"/>
      <c r="L316" s="6"/>
      <c r="M316" s="6"/>
      <c r="N316" s="6"/>
      <c r="O316" s="7"/>
      <c r="P316" s="6"/>
      <c r="Q316" s="7"/>
      <c r="R316" s="6"/>
      <c r="S316" s="6"/>
      <c r="T316" s="6"/>
      <c r="U316" s="6"/>
      <c r="V316" s="7"/>
      <c r="W316" s="7"/>
      <c r="X316" s="6"/>
      <c r="Y316" s="6"/>
      <c r="Z316" s="6"/>
      <c r="AA316" s="1"/>
      <c r="AB316" s="12"/>
      <c r="AC316" s="12"/>
      <c r="AD316" s="12"/>
      <c r="AE316" s="12"/>
      <c r="AF316" s="6"/>
      <c r="AG316" s="12"/>
      <c r="AH316" s="6"/>
      <c r="AI316" s="6"/>
      <c r="AJ316" s="12"/>
      <c r="AK316" s="12"/>
      <c r="AL316" s="12"/>
      <c r="AM316" s="12"/>
      <c r="AN316" s="1"/>
      <c r="AO316" s="6"/>
    </row>
    <row r="317" spans="1:41" ht="15" x14ac:dyDescent="0.25">
      <c r="A317" s="1"/>
      <c r="B317" s="1"/>
      <c r="C317" s="1"/>
      <c r="D317" s="1"/>
      <c r="E317" s="6"/>
      <c r="F317" s="1"/>
      <c r="G317" s="6"/>
      <c r="H317" s="6"/>
      <c r="I317" s="6"/>
      <c r="J317" s="6"/>
      <c r="K317" s="12"/>
      <c r="L317" s="12"/>
      <c r="M317" s="6"/>
      <c r="N317" s="6"/>
      <c r="O317" s="7"/>
      <c r="P317" s="6"/>
      <c r="Q317" s="6"/>
      <c r="R317" s="7"/>
      <c r="S317" s="6"/>
      <c r="T317" s="6"/>
      <c r="U317" s="7"/>
      <c r="V317" s="6"/>
      <c r="W317" s="6"/>
      <c r="X317" s="6"/>
      <c r="Y317" s="6"/>
      <c r="Z317" s="6"/>
      <c r="AA317" s="7"/>
      <c r="AB317" s="6"/>
      <c r="AC317" s="6"/>
      <c r="AD317" s="6"/>
      <c r="AE317" s="12"/>
      <c r="AF317" s="12"/>
      <c r="AG317" s="12"/>
      <c r="AH317" s="12"/>
      <c r="AI317" s="6"/>
      <c r="AJ317" s="12"/>
      <c r="AK317" s="1"/>
      <c r="AL317" s="12"/>
      <c r="AM317" s="12"/>
      <c r="AN317" s="1"/>
      <c r="AO317" s="6"/>
    </row>
    <row r="318" spans="1:41" ht="15" x14ac:dyDescent="0.25">
      <c r="A318" s="1"/>
      <c r="B318" s="1"/>
      <c r="C318" s="1"/>
      <c r="D318" s="1"/>
      <c r="E318" s="6"/>
      <c r="F318" s="1"/>
      <c r="G318" s="6"/>
      <c r="H318" s="6"/>
      <c r="I318" s="6"/>
      <c r="J318" s="6"/>
      <c r="K318" s="12"/>
      <c r="L318" s="12"/>
      <c r="M318" s="6"/>
      <c r="N318" s="6"/>
      <c r="O318" s="7"/>
      <c r="P318" s="6"/>
      <c r="Q318" s="6"/>
      <c r="R318" s="7"/>
      <c r="S318" s="6"/>
      <c r="T318" s="6"/>
      <c r="U318" s="7"/>
      <c r="V318" s="6"/>
      <c r="W318" s="6"/>
      <c r="X318" s="12"/>
      <c r="Y318" s="6"/>
      <c r="Z318" s="6"/>
      <c r="AA318" s="7"/>
      <c r="AB318" s="6"/>
      <c r="AC318" s="6"/>
      <c r="AD318" s="6"/>
      <c r="AE318" s="12"/>
      <c r="AF318" s="12"/>
      <c r="AG318" s="12"/>
      <c r="AH318" s="12"/>
      <c r="AI318" s="6"/>
      <c r="AJ318" s="12"/>
      <c r="AK318" s="1"/>
      <c r="AL318" s="12"/>
      <c r="AM318" s="12"/>
      <c r="AN318" s="1"/>
      <c r="AO318" s="12"/>
    </row>
    <row r="319" spans="1:41" ht="15" x14ac:dyDescent="0.25">
      <c r="A319" s="1"/>
      <c r="B319" s="1"/>
      <c r="C319" s="1"/>
      <c r="D319" s="1"/>
      <c r="E319" s="6"/>
      <c r="F319" s="1"/>
      <c r="G319" s="6"/>
      <c r="H319" s="6"/>
      <c r="I319" s="6"/>
      <c r="J319" s="6"/>
      <c r="K319" s="6"/>
      <c r="L319" s="6"/>
      <c r="M319" s="6"/>
      <c r="N319" s="6"/>
      <c r="O319" s="7"/>
      <c r="P319" s="6"/>
      <c r="Q319" s="6"/>
      <c r="R319" s="12"/>
      <c r="S319" s="12"/>
      <c r="T319" s="12"/>
      <c r="U319" s="7"/>
      <c r="V319" s="6"/>
      <c r="W319" s="6"/>
      <c r="X319" s="12"/>
      <c r="Y319" s="6"/>
      <c r="Z319" s="6"/>
      <c r="AA319" s="7"/>
      <c r="AB319" s="6"/>
      <c r="AC319" s="6"/>
      <c r="AD319" s="6"/>
      <c r="AE319" s="12"/>
      <c r="AF319" s="6"/>
      <c r="AG319" s="12"/>
      <c r="AH319" s="6"/>
      <c r="AI319" s="6"/>
      <c r="AJ319" s="12"/>
      <c r="AK319" s="1"/>
      <c r="AL319" s="12"/>
      <c r="AM319" s="12"/>
      <c r="AN319" s="1"/>
      <c r="AO319" s="6"/>
    </row>
    <row r="320" spans="1:41" ht="15" x14ac:dyDescent="0.25">
      <c r="A320" s="1"/>
      <c r="B320" s="1"/>
      <c r="C320" s="1"/>
      <c r="D320" s="1"/>
      <c r="E320" s="6"/>
      <c r="F320" s="1"/>
      <c r="G320" s="6"/>
      <c r="H320" s="6"/>
      <c r="I320" s="6"/>
      <c r="J320" s="6"/>
      <c r="K320" s="6"/>
      <c r="L320" s="6"/>
      <c r="M320" s="6"/>
      <c r="N320" s="6"/>
      <c r="O320" s="7"/>
      <c r="P320" s="6"/>
      <c r="Q320" s="7"/>
      <c r="R320" s="6"/>
      <c r="S320" s="6"/>
      <c r="T320" s="6"/>
      <c r="U320" s="6"/>
      <c r="V320" s="7"/>
      <c r="W320" s="6"/>
      <c r="X320" s="6"/>
      <c r="Y320" s="6"/>
      <c r="Z320" s="6"/>
      <c r="AA320" s="24"/>
      <c r="AB320" s="25"/>
      <c r="AC320" s="12"/>
      <c r="AD320" s="12"/>
      <c r="AE320" s="12"/>
      <c r="AF320" s="6"/>
      <c r="AG320" s="12"/>
      <c r="AH320" s="6"/>
      <c r="AI320" s="6"/>
      <c r="AJ320" s="12"/>
      <c r="AK320" s="12"/>
      <c r="AL320" s="12"/>
      <c r="AM320" s="12"/>
      <c r="AN320" s="1"/>
      <c r="AO320" s="6"/>
    </row>
    <row r="321" spans="1:41" ht="15" x14ac:dyDescent="0.25">
      <c r="A321" s="1"/>
      <c r="B321" s="1"/>
      <c r="C321" s="1"/>
      <c r="D321" s="1"/>
      <c r="E321" s="6"/>
      <c r="F321" s="1"/>
      <c r="G321" s="6"/>
      <c r="H321" s="6"/>
      <c r="I321" s="6"/>
      <c r="J321" s="6"/>
      <c r="K321" s="6"/>
      <c r="L321" s="6"/>
      <c r="M321" s="6"/>
      <c r="N321" s="6"/>
      <c r="O321" s="7"/>
      <c r="P321" s="6"/>
      <c r="Q321" s="7"/>
      <c r="R321" s="6"/>
      <c r="S321" s="6"/>
      <c r="T321" s="6"/>
      <c r="U321" s="6"/>
      <c r="V321" s="7"/>
      <c r="W321" s="7"/>
      <c r="X321" s="6"/>
      <c r="Y321" s="6"/>
      <c r="Z321" s="6"/>
      <c r="AA321" s="1"/>
      <c r="AB321" s="12"/>
      <c r="AC321" s="12"/>
      <c r="AD321" s="12"/>
      <c r="AE321" s="12"/>
      <c r="AF321" s="12"/>
      <c r="AG321" s="12"/>
      <c r="AH321" s="12"/>
      <c r="AI321" s="6"/>
      <c r="AJ321" s="12"/>
      <c r="AK321" s="12"/>
      <c r="AL321" s="12"/>
      <c r="AM321" s="12"/>
      <c r="AN321" s="1"/>
      <c r="AO321" s="6"/>
    </row>
    <row r="322" spans="1:41" ht="15" x14ac:dyDescent="0.25">
      <c r="A322" s="1"/>
      <c r="B322" s="1"/>
      <c r="C322" s="1"/>
      <c r="D322" s="1"/>
      <c r="E322" s="6"/>
      <c r="F322" s="1"/>
      <c r="G322" s="6"/>
      <c r="H322" s="6"/>
      <c r="I322" s="6"/>
      <c r="J322" s="6"/>
      <c r="K322" s="6"/>
      <c r="L322" s="6"/>
      <c r="M322" s="6"/>
      <c r="N322" s="6"/>
      <c r="O322" s="7"/>
      <c r="P322" s="6"/>
      <c r="Q322" s="6"/>
      <c r="R322" s="7"/>
      <c r="S322" s="6"/>
      <c r="T322" s="6"/>
      <c r="U322" s="7"/>
      <c r="V322" s="6"/>
      <c r="W322" s="6"/>
      <c r="X322" s="6"/>
      <c r="Y322" s="6"/>
      <c r="Z322" s="6"/>
      <c r="AA322" s="7"/>
      <c r="AB322" s="6"/>
      <c r="AC322" s="6"/>
      <c r="AD322" s="6"/>
      <c r="AE322" s="12"/>
      <c r="AF322" s="6"/>
      <c r="AG322" s="12"/>
      <c r="AH322" s="6"/>
      <c r="AI322" s="6"/>
      <c r="AJ322" s="12"/>
      <c r="AK322" s="24"/>
      <c r="AL322" s="25"/>
      <c r="AM322" s="12"/>
      <c r="AN322" s="1"/>
      <c r="AO322" s="6"/>
    </row>
    <row r="323" spans="1:41" ht="15" x14ac:dyDescent="0.25">
      <c r="A323" s="1"/>
      <c r="B323" s="1"/>
      <c r="C323" s="1"/>
      <c r="D323" s="1"/>
      <c r="E323" s="6"/>
      <c r="F323" s="1"/>
      <c r="G323" s="6"/>
      <c r="H323" s="6"/>
      <c r="I323" s="6"/>
      <c r="J323" s="6"/>
      <c r="K323" s="6"/>
      <c r="L323" s="6"/>
      <c r="M323" s="6"/>
      <c r="N323" s="6"/>
      <c r="O323" s="7"/>
      <c r="P323" s="6"/>
      <c r="Q323" s="6"/>
      <c r="R323" s="7"/>
      <c r="S323" s="6"/>
      <c r="T323" s="6"/>
      <c r="U323" s="7"/>
      <c r="V323" s="6"/>
      <c r="W323" s="6"/>
      <c r="X323" s="6"/>
      <c r="Y323" s="6"/>
      <c r="Z323" s="6"/>
      <c r="AA323" s="7"/>
      <c r="AB323" s="6"/>
      <c r="AC323" s="6"/>
      <c r="AD323" s="6"/>
      <c r="AE323" s="12"/>
      <c r="AF323" s="6"/>
      <c r="AG323" s="12"/>
      <c r="AH323" s="6"/>
      <c r="AI323" s="6"/>
      <c r="AJ323" s="12"/>
      <c r="AK323" s="24"/>
      <c r="AL323" s="25"/>
      <c r="AM323" s="12"/>
      <c r="AN323" s="1"/>
      <c r="AO323" s="6"/>
    </row>
    <row r="324" spans="1:41" ht="15" x14ac:dyDescent="0.25">
      <c r="A324" s="1"/>
      <c r="B324" s="1"/>
      <c r="C324" s="1"/>
      <c r="D324" s="1"/>
      <c r="E324" s="6"/>
      <c r="F324" s="1"/>
      <c r="G324" s="6"/>
      <c r="H324" s="6"/>
      <c r="I324" s="6"/>
      <c r="J324" s="6"/>
      <c r="K324" s="6"/>
      <c r="L324" s="6"/>
      <c r="M324" s="6"/>
      <c r="N324" s="6"/>
      <c r="O324" s="7"/>
      <c r="P324" s="6"/>
      <c r="Q324" s="6"/>
      <c r="R324" s="7"/>
      <c r="S324" s="6"/>
      <c r="T324" s="6"/>
      <c r="U324" s="7"/>
      <c r="V324" s="6"/>
      <c r="W324" s="6"/>
      <c r="X324" s="6"/>
      <c r="Y324" s="6"/>
      <c r="Z324" s="6"/>
      <c r="AA324" s="7"/>
      <c r="AB324" s="6"/>
      <c r="AC324" s="6"/>
      <c r="AD324" s="6"/>
      <c r="AE324" s="12"/>
      <c r="AF324" s="6"/>
      <c r="AG324" s="12"/>
      <c r="AH324" s="6"/>
      <c r="AI324" s="6"/>
      <c r="AJ324" s="12"/>
      <c r="AK324" s="1"/>
      <c r="AL324" s="12"/>
      <c r="AM324" s="12"/>
      <c r="AN324" s="1"/>
      <c r="AO324" s="6"/>
    </row>
    <row r="325" spans="1:41" ht="15" x14ac:dyDescent="0.25">
      <c r="A325" s="1"/>
      <c r="B325" s="1"/>
      <c r="C325" s="1"/>
      <c r="D325" s="1"/>
      <c r="E325" s="6"/>
      <c r="F325" s="1"/>
      <c r="G325" s="6"/>
      <c r="H325" s="6"/>
      <c r="I325" s="6"/>
      <c r="J325" s="6"/>
      <c r="K325" s="6"/>
      <c r="L325" s="6"/>
      <c r="M325" s="6"/>
      <c r="N325" s="6"/>
      <c r="O325" s="7"/>
      <c r="P325" s="6"/>
      <c r="Q325" s="6"/>
      <c r="R325" s="7"/>
      <c r="S325" s="6"/>
      <c r="T325" s="6"/>
      <c r="U325" s="7"/>
      <c r="V325" s="6"/>
      <c r="W325" s="6"/>
      <c r="X325" s="12"/>
      <c r="Y325" s="6"/>
      <c r="Z325" s="6"/>
      <c r="AA325" s="7"/>
      <c r="AB325" s="6"/>
      <c r="AC325" s="6"/>
      <c r="AD325" s="6"/>
      <c r="AE325" s="12"/>
      <c r="AF325" s="6"/>
      <c r="AG325" s="12"/>
      <c r="AH325" s="6"/>
      <c r="AI325" s="6"/>
      <c r="AJ325" s="12"/>
      <c r="AK325" s="24"/>
      <c r="AL325" s="25"/>
      <c r="AM325" s="12"/>
      <c r="AN325" s="1"/>
      <c r="AO325" s="12"/>
    </row>
    <row r="326" spans="1:41" ht="15" x14ac:dyDescent="0.25">
      <c r="A326" s="1"/>
      <c r="B326" s="1"/>
      <c r="C326" s="1"/>
      <c r="D326" s="1"/>
      <c r="E326" s="6"/>
      <c r="F326" s="1"/>
      <c r="G326" s="6"/>
      <c r="H326" s="6"/>
      <c r="I326" s="6"/>
      <c r="J326" s="6"/>
      <c r="K326" s="6"/>
      <c r="L326" s="6"/>
      <c r="M326" s="6"/>
      <c r="N326" s="6"/>
      <c r="O326" s="7"/>
      <c r="P326" s="6"/>
      <c r="Q326" s="6"/>
      <c r="R326" s="7"/>
      <c r="S326" s="6"/>
      <c r="T326" s="6"/>
      <c r="U326" s="7"/>
      <c r="V326" s="6"/>
      <c r="W326" s="6"/>
      <c r="X326" s="6"/>
      <c r="Y326" s="6"/>
      <c r="Z326" s="6"/>
      <c r="AA326" s="7"/>
      <c r="AB326" s="6"/>
      <c r="AC326" s="6"/>
      <c r="AD326" s="6"/>
      <c r="AE326" s="12"/>
      <c r="AF326" s="6"/>
      <c r="AG326" s="12"/>
      <c r="AH326" s="6"/>
      <c r="AI326" s="6"/>
      <c r="AJ326" s="12"/>
      <c r="AK326" s="24"/>
      <c r="AL326" s="25"/>
      <c r="AM326" s="12"/>
      <c r="AN326" s="1"/>
      <c r="AO326" s="6"/>
    </row>
    <row r="327" spans="1:41" ht="15" x14ac:dyDescent="0.25">
      <c r="A327" s="1"/>
      <c r="B327" s="1"/>
      <c r="C327" s="1"/>
      <c r="D327" s="1"/>
      <c r="E327" s="6"/>
      <c r="F327" s="1"/>
      <c r="G327" s="6"/>
      <c r="H327" s="6"/>
      <c r="I327" s="6"/>
      <c r="J327" s="6"/>
      <c r="K327" s="6"/>
      <c r="L327" s="6"/>
      <c r="M327" s="6"/>
      <c r="N327" s="6"/>
      <c r="O327" s="7"/>
      <c r="P327" s="6"/>
      <c r="Q327" s="6"/>
      <c r="R327" s="7"/>
      <c r="S327" s="6"/>
      <c r="T327" s="6"/>
      <c r="U327" s="7"/>
      <c r="V327" s="6"/>
      <c r="W327" s="6"/>
      <c r="X327" s="6"/>
      <c r="Y327" s="6"/>
      <c r="Z327" s="6"/>
      <c r="AA327" s="7"/>
      <c r="AB327" s="6"/>
      <c r="AC327" s="6"/>
      <c r="AD327" s="6"/>
      <c r="AE327" s="12"/>
      <c r="AF327" s="12"/>
      <c r="AG327" s="12"/>
      <c r="AH327" s="12"/>
      <c r="AI327" s="6"/>
      <c r="AJ327" s="12"/>
      <c r="AK327" s="1"/>
      <c r="AL327" s="12"/>
      <c r="AM327" s="12"/>
      <c r="AN327" s="1"/>
      <c r="AO327" s="6"/>
    </row>
    <row r="328" spans="1:41" ht="15" x14ac:dyDescent="0.25">
      <c r="A328" s="1"/>
      <c r="B328" s="1"/>
      <c r="C328" s="1"/>
      <c r="D328" s="1"/>
      <c r="E328" s="6"/>
      <c r="F328" s="1"/>
      <c r="G328" s="6"/>
      <c r="H328" s="6"/>
      <c r="I328" s="6"/>
      <c r="J328" s="6"/>
      <c r="K328" s="6"/>
      <c r="L328" s="6"/>
      <c r="M328" s="6"/>
      <c r="N328" s="6"/>
      <c r="O328" s="7"/>
      <c r="P328" s="6"/>
      <c r="Q328" s="6"/>
      <c r="R328" s="7"/>
      <c r="S328" s="6"/>
      <c r="T328" s="6"/>
      <c r="U328" s="7"/>
      <c r="V328" s="6"/>
      <c r="W328" s="6"/>
      <c r="X328" s="12"/>
      <c r="Y328" s="6"/>
      <c r="Z328" s="6"/>
      <c r="AA328" s="7"/>
      <c r="AB328" s="6"/>
      <c r="AC328" s="6"/>
      <c r="AD328" s="6"/>
      <c r="AE328" s="12"/>
      <c r="AF328" s="12"/>
      <c r="AG328" s="12"/>
      <c r="AH328" s="12"/>
      <c r="AI328" s="6"/>
      <c r="AJ328" s="12"/>
      <c r="AK328" s="1"/>
      <c r="AL328" s="12"/>
      <c r="AM328" s="12"/>
      <c r="AN328" s="1"/>
      <c r="AO328" s="6"/>
    </row>
    <row r="329" spans="1:41" ht="15" x14ac:dyDescent="0.25">
      <c r="A329" s="1"/>
      <c r="B329" s="1"/>
      <c r="C329" s="1"/>
      <c r="D329" s="1"/>
      <c r="E329" s="6"/>
      <c r="F329" s="1"/>
      <c r="G329" s="6"/>
      <c r="H329" s="6"/>
      <c r="I329" s="6"/>
      <c r="J329" s="6"/>
      <c r="K329" s="6"/>
      <c r="L329" s="6"/>
      <c r="M329" s="6"/>
      <c r="N329" s="6"/>
      <c r="O329" s="7"/>
      <c r="P329" s="6"/>
      <c r="Q329" s="6"/>
      <c r="R329" s="7"/>
      <c r="S329" s="6"/>
      <c r="T329" s="6"/>
      <c r="U329" s="7"/>
      <c r="V329" s="6"/>
      <c r="W329" s="6"/>
      <c r="X329" s="6"/>
      <c r="Y329" s="6"/>
      <c r="Z329" s="6"/>
      <c r="AA329" s="7"/>
      <c r="AB329" s="6"/>
      <c r="AC329" s="6"/>
      <c r="AD329" s="6"/>
      <c r="AE329" s="12"/>
      <c r="AF329" s="6"/>
      <c r="AG329" s="12"/>
      <c r="AH329" s="6"/>
      <c r="AI329" s="6"/>
      <c r="AJ329" s="12"/>
      <c r="AK329" s="24"/>
      <c r="AL329" s="25"/>
      <c r="AM329" s="12"/>
      <c r="AN329" s="1"/>
      <c r="AO329" s="6"/>
    </row>
    <row r="330" spans="1:41" ht="15" x14ac:dyDescent="0.25">
      <c r="A330" s="1"/>
      <c r="B330" s="1"/>
      <c r="C330" s="1"/>
      <c r="D330" s="1"/>
      <c r="E330" s="6"/>
      <c r="F330" s="1"/>
      <c r="G330" s="6"/>
      <c r="H330" s="6"/>
      <c r="I330" s="6"/>
      <c r="J330" s="6"/>
      <c r="K330" s="6"/>
      <c r="L330" s="6"/>
      <c r="M330" s="6"/>
      <c r="N330" s="6"/>
      <c r="O330" s="7"/>
      <c r="P330" s="6"/>
      <c r="Q330" s="6"/>
      <c r="R330" s="7"/>
      <c r="S330" s="6"/>
      <c r="T330" s="6"/>
      <c r="U330" s="7"/>
      <c r="V330" s="6"/>
      <c r="W330" s="6"/>
      <c r="X330" s="6"/>
      <c r="Y330" s="6"/>
      <c r="Z330" s="6"/>
      <c r="AA330" s="7"/>
      <c r="AB330" s="6"/>
      <c r="AC330" s="6"/>
      <c r="AD330" s="6"/>
      <c r="AE330" s="12"/>
      <c r="AF330" s="12"/>
      <c r="AG330" s="12"/>
      <c r="AH330" s="12"/>
      <c r="AI330" s="6"/>
      <c r="AJ330" s="12"/>
      <c r="AK330" s="1"/>
      <c r="AL330" s="12"/>
      <c r="AM330" s="12"/>
      <c r="AN330" s="1"/>
      <c r="AO330" s="6"/>
    </row>
    <row r="331" spans="1:41" ht="15" x14ac:dyDescent="0.25">
      <c r="A331" s="1"/>
      <c r="B331" s="1"/>
      <c r="C331" s="1"/>
      <c r="D331" s="1"/>
      <c r="E331" s="6"/>
      <c r="F331" s="1"/>
      <c r="G331" s="6"/>
      <c r="H331" s="6"/>
      <c r="I331" s="6"/>
      <c r="J331" s="6"/>
      <c r="K331" s="6"/>
      <c r="L331" s="6"/>
      <c r="M331" s="6"/>
      <c r="N331" s="6"/>
      <c r="O331" s="7"/>
      <c r="P331" s="6"/>
      <c r="Q331" s="6"/>
      <c r="R331" s="7"/>
      <c r="S331" s="6"/>
      <c r="T331" s="6"/>
      <c r="U331" s="7"/>
      <c r="V331" s="6"/>
      <c r="W331" s="6"/>
      <c r="X331" s="6"/>
      <c r="Y331" s="6"/>
      <c r="Z331" s="6"/>
      <c r="AA331" s="7"/>
      <c r="AB331" s="6"/>
      <c r="AC331" s="6"/>
      <c r="AD331" s="6"/>
      <c r="AE331" s="12"/>
      <c r="AF331" s="12"/>
      <c r="AG331" s="12"/>
      <c r="AH331" s="12"/>
      <c r="AI331" s="6"/>
      <c r="AJ331" s="12"/>
      <c r="AK331" s="1"/>
      <c r="AL331" s="12"/>
      <c r="AM331" s="12"/>
      <c r="AN331" s="1"/>
      <c r="AO331" s="12"/>
    </row>
    <row r="332" spans="1:41" ht="15" x14ac:dyDescent="0.25">
      <c r="A332" s="1"/>
      <c r="B332" s="1"/>
      <c r="C332" s="1"/>
      <c r="D332" s="1"/>
      <c r="E332" s="6"/>
      <c r="F332" s="1"/>
      <c r="G332" s="6"/>
      <c r="H332" s="6"/>
      <c r="I332" s="6"/>
      <c r="J332" s="6"/>
      <c r="K332" s="6"/>
      <c r="L332" s="6"/>
      <c r="M332" s="6"/>
      <c r="N332" s="6"/>
      <c r="O332" s="7"/>
      <c r="P332" s="6"/>
      <c r="Q332" s="6"/>
      <c r="R332" s="7"/>
      <c r="S332" s="6"/>
      <c r="T332" s="6"/>
      <c r="U332" s="7"/>
      <c r="V332" s="6"/>
      <c r="W332" s="6"/>
      <c r="X332" s="6"/>
      <c r="Y332" s="6"/>
      <c r="Z332" s="6"/>
      <c r="AA332" s="7"/>
      <c r="AB332" s="6"/>
      <c r="AC332" s="6"/>
      <c r="AD332" s="6"/>
      <c r="AE332" s="12"/>
      <c r="AF332" s="12"/>
      <c r="AG332" s="12"/>
      <c r="AH332" s="12"/>
      <c r="AI332" s="6"/>
      <c r="AJ332" s="12"/>
      <c r="AK332" s="1"/>
      <c r="AL332" s="12"/>
      <c r="AM332" s="12"/>
      <c r="AN332" s="1"/>
      <c r="AO332" s="6"/>
    </row>
    <row r="333" spans="1:41" ht="15" x14ac:dyDescent="0.25">
      <c r="A333" s="1"/>
      <c r="B333" s="1"/>
      <c r="C333" s="1"/>
      <c r="D333" s="1"/>
      <c r="E333" s="6"/>
      <c r="F333" s="1"/>
      <c r="G333" s="6"/>
      <c r="H333" s="6"/>
      <c r="I333" s="6"/>
      <c r="J333" s="6"/>
      <c r="K333" s="6"/>
      <c r="L333" s="6"/>
      <c r="M333" s="6"/>
      <c r="N333" s="6"/>
      <c r="O333" s="7"/>
      <c r="P333" s="6"/>
      <c r="Q333" s="7"/>
      <c r="R333" s="6"/>
      <c r="S333" s="12"/>
      <c r="T333" s="6"/>
      <c r="U333" s="6"/>
      <c r="V333" s="7"/>
      <c r="W333" s="7"/>
      <c r="X333" s="6"/>
      <c r="Y333" s="6"/>
      <c r="Z333" s="6"/>
      <c r="AA333" s="1"/>
      <c r="AB333" s="12"/>
      <c r="AC333" s="12"/>
      <c r="AD333" s="12"/>
      <c r="AE333" s="12"/>
      <c r="AF333" s="12"/>
      <c r="AG333" s="12"/>
      <c r="AH333" s="12"/>
      <c r="AI333" s="6"/>
      <c r="AJ333" s="12"/>
      <c r="AK333" s="12"/>
      <c r="AL333" s="12"/>
      <c r="AM333" s="12"/>
      <c r="AN333" s="1"/>
      <c r="AO333" s="6"/>
    </row>
    <row r="334" spans="1:41" ht="15" x14ac:dyDescent="0.25">
      <c r="A334" s="1"/>
      <c r="B334" s="1"/>
      <c r="C334" s="1"/>
      <c r="D334" s="1"/>
      <c r="E334" s="6"/>
      <c r="F334" s="1"/>
      <c r="G334" s="6"/>
      <c r="H334" s="6"/>
      <c r="I334" s="6"/>
      <c r="J334" s="6"/>
      <c r="K334" s="6"/>
      <c r="L334" s="6"/>
      <c r="M334" s="6"/>
      <c r="N334" s="6"/>
      <c r="O334" s="7"/>
      <c r="P334" s="6"/>
      <c r="Q334" s="7"/>
      <c r="R334" s="6"/>
      <c r="S334" s="12"/>
      <c r="T334" s="6"/>
      <c r="U334" s="6"/>
      <c r="V334" s="7"/>
      <c r="W334" s="7"/>
      <c r="X334" s="6"/>
      <c r="Y334" s="6"/>
      <c r="Z334" s="6"/>
      <c r="AA334" s="1"/>
      <c r="AB334" s="12"/>
      <c r="AC334" s="12"/>
      <c r="AD334" s="12"/>
      <c r="AE334" s="12"/>
      <c r="AF334" s="12"/>
      <c r="AG334" s="12"/>
      <c r="AH334" s="12"/>
      <c r="AI334" s="6"/>
      <c r="AJ334" s="12"/>
      <c r="AK334" s="12"/>
      <c r="AL334" s="12"/>
      <c r="AM334" s="12"/>
      <c r="AN334" s="1"/>
      <c r="AO334" s="6"/>
    </row>
    <row r="335" spans="1:41" ht="15" x14ac:dyDescent="0.25">
      <c r="A335" s="1"/>
      <c r="B335" s="1"/>
      <c r="C335" s="1"/>
      <c r="D335" s="1"/>
      <c r="E335" s="6"/>
      <c r="F335" s="1"/>
      <c r="G335" s="6"/>
      <c r="H335" s="6"/>
      <c r="I335" s="6"/>
      <c r="J335" s="6"/>
      <c r="K335" s="6"/>
      <c r="L335" s="6"/>
      <c r="M335" s="6"/>
      <c r="N335" s="6"/>
      <c r="O335" s="7"/>
      <c r="P335" s="6"/>
      <c r="Q335" s="6"/>
      <c r="R335" s="7"/>
      <c r="S335" s="6"/>
      <c r="T335" s="6"/>
      <c r="U335" s="7"/>
      <c r="V335" s="6"/>
      <c r="W335" s="6"/>
      <c r="X335" s="6"/>
      <c r="Y335" s="6"/>
      <c r="Z335" s="6"/>
      <c r="AA335" s="7"/>
      <c r="AB335" s="6"/>
      <c r="AC335" s="6"/>
      <c r="AD335" s="6"/>
      <c r="AE335" s="12"/>
      <c r="AF335" s="6"/>
      <c r="AG335" s="12"/>
      <c r="AH335" s="6"/>
      <c r="AI335" s="6"/>
      <c r="AJ335" s="12"/>
      <c r="AK335" s="1"/>
      <c r="AL335" s="12"/>
      <c r="AM335" s="12"/>
      <c r="AN335" s="1"/>
      <c r="AO335" s="6"/>
    </row>
    <row r="336" spans="1:41" ht="15" x14ac:dyDescent="0.25">
      <c r="A336" s="1"/>
      <c r="B336" s="1"/>
      <c r="C336" s="1"/>
      <c r="D336" s="1"/>
      <c r="E336" s="6"/>
      <c r="F336" s="1"/>
      <c r="G336" s="6"/>
      <c r="H336" s="6"/>
      <c r="I336" s="6"/>
      <c r="J336" s="6"/>
      <c r="K336" s="6"/>
      <c r="L336" s="6"/>
      <c r="M336" s="6"/>
      <c r="N336" s="6"/>
      <c r="O336" s="7"/>
      <c r="P336" s="6"/>
      <c r="Q336" s="6"/>
      <c r="R336" s="7"/>
      <c r="S336" s="6"/>
      <c r="T336" s="6"/>
      <c r="U336" s="7"/>
      <c r="V336" s="6"/>
      <c r="W336" s="6"/>
      <c r="X336" s="6"/>
      <c r="Y336" s="6"/>
      <c r="Z336" s="6"/>
      <c r="AA336" s="7"/>
      <c r="AB336" s="6"/>
      <c r="AC336" s="6"/>
      <c r="AD336" s="6"/>
      <c r="AE336" s="12"/>
      <c r="AF336" s="6"/>
      <c r="AG336" s="12"/>
      <c r="AH336" s="6"/>
      <c r="AI336" s="6"/>
      <c r="AJ336" s="12"/>
      <c r="AK336" s="24"/>
      <c r="AL336" s="25"/>
      <c r="AM336" s="12"/>
      <c r="AN336" s="1"/>
      <c r="AO336" s="6"/>
    </row>
    <row r="337" spans="1:41" ht="15" x14ac:dyDescent="0.25">
      <c r="A337" s="1"/>
      <c r="B337" s="1"/>
      <c r="C337" s="1"/>
      <c r="D337" s="1"/>
      <c r="E337" s="6"/>
      <c r="F337" s="1"/>
      <c r="G337" s="6"/>
      <c r="H337" s="6"/>
      <c r="I337" s="6"/>
      <c r="J337" s="6"/>
      <c r="K337" s="6"/>
      <c r="L337" s="6"/>
      <c r="M337" s="6"/>
      <c r="N337" s="6"/>
      <c r="O337" s="7"/>
      <c r="P337" s="6"/>
      <c r="Q337" s="6"/>
      <c r="R337" s="7"/>
      <c r="S337" s="6"/>
      <c r="T337" s="6"/>
      <c r="U337" s="7"/>
      <c r="V337" s="6"/>
      <c r="W337" s="6"/>
      <c r="X337" s="6"/>
      <c r="Y337" s="6"/>
      <c r="Z337" s="6"/>
      <c r="AA337" s="7"/>
      <c r="AB337" s="6"/>
      <c r="AC337" s="6"/>
      <c r="AD337" s="6"/>
      <c r="AE337" s="12"/>
      <c r="AF337" s="6"/>
      <c r="AG337" s="12"/>
      <c r="AH337" s="6"/>
      <c r="AI337" s="6"/>
      <c r="AJ337" s="12"/>
      <c r="AK337" s="1"/>
      <c r="AL337" s="12"/>
      <c r="AM337" s="12"/>
      <c r="AN337" s="1"/>
      <c r="AO337" s="6"/>
    </row>
    <row r="338" spans="1:41" ht="15" x14ac:dyDescent="0.25">
      <c r="A338" s="1"/>
      <c r="B338" s="1"/>
      <c r="C338" s="1"/>
      <c r="D338" s="1"/>
      <c r="E338" s="6"/>
      <c r="F338" s="1"/>
      <c r="G338" s="6"/>
      <c r="H338" s="6"/>
      <c r="I338" s="6"/>
      <c r="J338" s="6"/>
      <c r="K338" s="6"/>
      <c r="L338" s="6"/>
      <c r="M338" s="6"/>
      <c r="N338" s="6"/>
      <c r="O338" s="7"/>
      <c r="P338" s="6"/>
      <c r="Q338" s="6"/>
      <c r="R338" s="7"/>
      <c r="S338" s="6"/>
      <c r="T338" s="6"/>
      <c r="U338" s="7"/>
      <c r="V338" s="6"/>
      <c r="W338" s="6"/>
      <c r="X338" s="12"/>
      <c r="Y338" s="6"/>
      <c r="Z338" s="6"/>
      <c r="AA338" s="7"/>
      <c r="AB338" s="6"/>
      <c r="AC338" s="6"/>
      <c r="AD338" s="6"/>
      <c r="AE338" s="12"/>
      <c r="AF338" s="12"/>
      <c r="AG338" s="12"/>
      <c r="AH338" s="12"/>
      <c r="AI338" s="6"/>
      <c r="AJ338" s="12"/>
      <c r="AK338" s="24"/>
      <c r="AL338" s="25"/>
      <c r="AM338" s="12"/>
      <c r="AN338" s="1"/>
      <c r="AO338" s="6"/>
    </row>
    <row r="339" spans="1:41" ht="15" x14ac:dyDescent="0.25">
      <c r="A339" s="1"/>
      <c r="B339" s="1"/>
      <c r="C339" s="1"/>
      <c r="D339" s="1"/>
      <c r="E339" s="6"/>
      <c r="F339" s="1"/>
      <c r="G339" s="6"/>
      <c r="H339" s="6"/>
      <c r="I339" s="6"/>
      <c r="J339" s="6"/>
      <c r="K339" s="6"/>
      <c r="L339" s="6"/>
      <c r="M339" s="6"/>
      <c r="N339" s="6"/>
      <c r="O339" s="7"/>
      <c r="P339" s="6"/>
      <c r="Q339" s="6"/>
      <c r="R339" s="7"/>
      <c r="S339" s="6"/>
      <c r="T339" s="6"/>
      <c r="U339" s="7"/>
      <c r="V339" s="6"/>
      <c r="W339" s="6"/>
      <c r="X339" s="6"/>
      <c r="Y339" s="6"/>
      <c r="Z339" s="6"/>
      <c r="AA339" s="7"/>
      <c r="AB339" s="6"/>
      <c r="AC339" s="6"/>
      <c r="AD339" s="6"/>
      <c r="AE339" s="12"/>
      <c r="AF339" s="6"/>
      <c r="AG339" s="12"/>
      <c r="AH339" s="6"/>
      <c r="AI339" s="6"/>
      <c r="AJ339" s="12"/>
      <c r="AK339" s="24"/>
      <c r="AL339" s="25"/>
      <c r="AM339" s="12"/>
      <c r="AN339" s="1"/>
      <c r="AO339" s="6"/>
    </row>
    <row r="340" spans="1:41" ht="15" x14ac:dyDescent="0.25">
      <c r="A340" s="1"/>
      <c r="B340" s="1"/>
      <c r="C340" s="1"/>
      <c r="D340" s="1"/>
      <c r="E340" s="6"/>
      <c r="F340" s="1"/>
      <c r="G340" s="6"/>
      <c r="H340" s="6"/>
      <c r="I340" s="6"/>
      <c r="J340" s="6"/>
      <c r="K340" s="12"/>
      <c r="L340" s="12"/>
      <c r="M340" s="6"/>
      <c r="N340" s="6"/>
      <c r="O340" s="7"/>
      <c r="P340" s="6"/>
      <c r="Q340" s="7"/>
      <c r="R340" s="6"/>
      <c r="S340" s="6"/>
      <c r="T340" s="6"/>
      <c r="U340" s="6"/>
      <c r="V340" s="7"/>
      <c r="W340" s="7"/>
      <c r="X340" s="6"/>
      <c r="Y340" s="6"/>
      <c r="Z340" s="6"/>
      <c r="AA340" s="1"/>
      <c r="AB340" s="12"/>
      <c r="AC340" s="12"/>
      <c r="AD340" s="12"/>
      <c r="AE340" s="12"/>
      <c r="AF340" s="12"/>
      <c r="AG340" s="12"/>
      <c r="AH340" s="12"/>
      <c r="AI340" s="6"/>
      <c r="AJ340" s="12"/>
      <c r="AK340" s="12"/>
      <c r="AL340" s="12"/>
      <c r="AM340" s="12"/>
      <c r="AN340" s="1"/>
      <c r="AO340" s="6"/>
    </row>
    <row r="341" spans="1:41" ht="15" x14ac:dyDescent="0.25">
      <c r="A341" s="1"/>
      <c r="B341" s="1"/>
      <c r="C341" s="1"/>
      <c r="D341" s="1"/>
      <c r="E341" s="6"/>
      <c r="F341" s="1"/>
      <c r="G341" s="6"/>
      <c r="H341" s="6"/>
      <c r="I341" s="6"/>
      <c r="J341" s="6"/>
      <c r="K341" s="6"/>
      <c r="L341" s="6"/>
      <c r="M341" s="6"/>
      <c r="N341" s="6"/>
      <c r="O341" s="7"/>
      <c r="P341" s="6"/>
      <c r="Q341" s="7"/>
      <c r="R341" s="6"/>
      <c r="S341" s="6"/>
      <c r="T341" s="6"/>
      <c r="U341" s="6"/>
      <c r="V341" s="7"/>
      <c r="W341" s="7"/>
      <c r="X341" s="6"/>
      <c r="Y341" s="6"/>
      <c r="Z341" s="6"/>
      <c r="AA341" s="1"/>
      <c r="AB341" s="12"/>
      <c r="AC341" s="12"/>
      <c r="AD341" s="12"/>
      <c r="AE341" s="12"/>
      <c r="AF341" s="12"/>
      <c r="AG341" s="12"/>
      <c r="AH341" s="12"/>
      <c r="AI341" s="6"/>
      <c r="AJ341" s="12"/>
      <c r="AK341" s="12"/>
      <c r="AL341" s="12"/>
      <c r="AM341" s="12"/>
      <c r="AN341" s="1"/>
      <c r="AO341" s="6"/>
    </row>
    <row r="342" spans="1:41" ht="15" x14ac:dyDescent="0.25">
      <c r="A342" s="1"/>
      <c r="B342" s="1"/>
      <c r="C342" s="1"/>
      <c r="D342" s="1"/>
      <c r="E342" s="6"/>
      <c r="F342" s="1"/>
      <c r="G342" s="6"/>
      <c r="H342" s="6"/>
      <c r="I342" s="6"/>
      <c r="J342" s="6"/>
      <c r="K342" s="6"/>
      <c r="L342" s="6"/>
      <c r="M342" s="6"/>
      <c r="N342" s="6"/>
      <c r="O342" s="7"/>
      <c r="P342" s="6"/>
      <c r="Q342" s="6"/>
      <c r="R342" s="7"/>
      <c r="S342" s="6"/>
      <c r="T342" s="6"/>
      <c r="U342" s="7"/>
      <c r="V342" s="6"/>
      <c r="W342" s="6"/>
      <c r="X342" s="6"/>
      <c r="Y342" s="6"/>
      <c r="Z342" s="6"/>
      <c r="AA342" s="7"/>
      <c r="AB342" s="6"/>
      <c r="AC342" s="6"/>
      <c r="AD342" s="6"/>
      <c r="AE342" s="12"/>
      <c r="AF342" s="6"/>
      <c r="AG342" s="12"/>
      <c r="AH342" s="6"/>
      <c r="AI342" s="6"/>
      <c r="AJ342" s="12"/>
      <c r="AK342" s="24"/>
      <c r="AL342" s="25"/>
      <c r="AM342" s="12"/>
      <c r="AN342" s="1"/>
      <c r="AO342" s="6"/>
    </row>
    <row r="343" spans="1:41" ht="15" x14ac:dyDescent="0.25">
      <c r="A343" s="1"/>
      <c r="B343" s="1"/>
      <c r="C343" s="1"/>
      <c r="D343" s="1"/>
      <c r="E343" s="6"/>
      <c r="F343" s="1"/>
      <c r="G343" s="6"/>
      <c r="H343" s="6"/>
      <c r="I343" s="6"/>
      <c r="J343" s="6"/>
      <c r="K343" s="6"/>
      <c r="L343" s="6"/>
      <c r="M343" s="6"/>
      <c r="N343" s="6"/>
      <c r="O343" s="7"/>
      <c r="P343" s="6"/>
      <c r="Q343" s="6"/>
      <c r="R343" s="7"/>
      <c r="S343" s="6"/>
      <c r="T343" s="6"/>
      <c r="U343" s="7"/>
      <c r="V343" s="6"/>
      <c r="W343" s="6"/>
      <c r="X343" s="12"/>
      <c r="Y343" s="6"/>
      <c r="Z343" s="6"/>
      <c r="AA343" s="7"/>
      <c r="AB343" s="6"/>
      <c r="AC343" s="6"/>
      <c r="AD343" s="6"/>
      <c r="AE343" s="12"/>
      <c r="AF343" s="6"/>
      <c r="AG343" s="12"/>
      <c r="AH343" s="6"/>
      <c r="AI343" s="6"/>
      <c r="AJ343" s="12"/>
      <c r="AK343" s="24"/>
      <c r="AL343" s="25"/>
      <c r="AM343" s="12"/>
      <c r="AN343" s="1"/>
      <c r="AO343" s="6"/>
    </row>
    <row r="344" spans="1:41" ht="15" x14ac:dyDescent="0.25">
      <c r="A344" s="1"/>
      <c r="B344" s="1"/>
      <c r="C344" s="1"/>
      <c r="D344" s="1"/>
      <c r="E344" s="6"/>
      <c r="F344" s="1"/>
      <c r="G344" s="6"/>
      <c r="H344" s="6"/>
      <c r="I344" s="6"/>
      <c r="J344" s="6"/>
      <c r="K344" s="12"/>
      <c r="L344" s="12"/>
      <c r="M344" s="6"/>
      <c r="N344" s="6"/>
      <c r="O344" s="7"/>
      <c r="P344" s="6"/>
      <c r="Q344" s="6"/>
      <c r="R344" s="7"/>
      <c r="S344" s="6"/>
      <c r="T344" s="6"/>
      <c r="U344" s="7"/>
      <c r="V344" s="6"/>
      <c r="W344" s="6"/>
      <c r="X344" s="12"/>
      <c r="Y344" s="6"/>
      <c r="Z344" s="6"/>
      <c r="AA344" s="7"/>
      <c r="AB344" s="6"/>
      <c r="AC344" s="6"/>
      <c r="AD344" s="6"/>
      <c r="AE344" s="12"/>
      <c r="AF344" s="12"/>
      <c r="AG344" s="12"/>
      <c r="AH344" s="12"/>
      <c r="AI344" s="6"/>
      <c r="AJ344" s="12"/>
      <c r="AK344" s="1"/>
      <c r="AL344" s="12"/>
      <c r="AM344" s="12"/>
      <c r="AN344" s="1"/>
      <c r="AO344" s="6"/>
    </row>
    <row r="345" spans="1:41" ht="15" x14ac:dyDescent="0.25">
      <c r="A345" s="1"/>
      <c r="B345" s="1"/>
      <c r="C345" s="1"/>
      <c r="D345" s="1"/>
      <c r="E345" s="6"/>
      <c r="F345" s="1"/>
      <c r="G345" s="6"/>
      <c r="H345" s="6"/>
      <c r="I345" s="6"/>
      <c r="J345" s="6"/>
      <c r="K345" s="12"/>
      <c r="L345" s="12"/>
      <c r="M345" s="6"/>
      <c r="N345" s="6"/>
      <c r="O345" s="7"/>
      <c r="P345" s="6"/>
      <c r="Q345" s="6"/>
      <c r="R345" s="7"/>
      <c r="S345" s="6"/>
      <c r="T345" s="6"/>
      <c r="U345" s="7"/>
      <c r="V345" s="6"/>
      <c r="W345" s="6"/>
      <c r="X345" s="12"/>
      <c r="Y345" s="6"/>
      <c r="Z345" s="6"/>
      <c r="AA345" s="7"/>
      <c r="AB345" s="6"/>
      <c r="AC345" s="6"/>
      <c r="AD345" s="6"/>
      <c r="AE345" s="12"/>
      <c r="AF345" s="12"/>
      <c r="AG345" s="12"/>
      <c r="AH345" s="12"/>
      <c r="AI345" s="6"/>
      <c r="AJ345" s="12"/>
      <c r="AK345" s="1"/>
      <c r="AL345" s="12"/>
      <c r="AM345" s="12"/>
      <c r="AN345" s="1"/>
      <c r="AO345" s="6"/>
    </row>
    <row r="346" spans="1:41" ht="15" x14ac:dyDescent="0.25">
      <c r="A346" s="1"/>
      <c r="B346" s="1"/>
      <c r="C346" s="1"/>
      <c r="D346" s="1"/>
      <c r="E346" s="6"/>
      <c r="F346" s="1"/>
      <c r="G346" s="6"/>
      <c r="H346" s="6"/>
      <c r="I346" s="6"/>
      <c r="J346" s="6"/>
      <c r="K346" s="12"/>
      <c r="L346" s="12"/>
      <c r="M346" s="6"/>
      <c r="N346" s="6"/>
      <c r="O346" s="7"/>
      <c r="P346" s="6"/>
      <c r="Q346" s="7"/>
      <c r="R346" s="6"/>
      <c r="S346" s="12"/>
      <c r="T346" s="6"/>
      <c r="U346" s="6"/>
      <c r="V346" s="7"/>
      <c r="W346" s="7"/>
      <c r="X346" s="6"/>
      <c r="Y346" s="6"/>
      <c r="Z346" s="6"/>
      <c r="AA346" s="1"/>
      <c r="AB346" s="12"/>
      <c r="AC346" s="12"/>
      <c r="AD346" s="12"/>
      <c r="AE346" s="12"/>
      <c r="AF346" s="12"/>
      <c r="AG346" s="12"/>
      <c r="AH346" s="12"/>
      <c r="AI346" s="6"/>
      <c r="AJ346" s="12"/>
      <c r="AK346" s="12"/>
      <c r="AL346" s="12"/>
      <c r="AM346" s="12"/>
      <c r="AN346" s="1"/>
      <c r="AO346" s="12"/>
    </row>
    <row r="347" spans="1:41" ht="15" x14ac:dyDescent="0.25">
      <c r="A347" s="1"/>
      <c r="B347" s="1"/>
      <c r="C347" s="1"/>
      <c r="D347" s="1"/>
      <c r="E347" s="6"/>
      <c r="F347" s="1"/>
      <c r="G347" s="6"/>
      <c r="H347" s="6"/>
      <c r="I347" s="6"/>
      <c r="J347" s="6"/>
      <c r="K347" s="6"/>
      <c r="L347" s="6"/>
      <c r="M347" s="6"/>
      <c r="N347" s="6"/>
      <c r="O347" s="7"/>
      <c r="P347" s="6"/>
      <c r="Q347" s="6"/>
      <c r="R347" s="12"/>
      <c r="S347" s="12"/>
      <c r="T347" s="12"/>
      <c r="U347" s="7"/>
      <c r="V347" s="6"/>
      <c r="W347" s="6"/>
      <c r="X347" s="12"/>
      <c r="Y347" s="6"/>
      <c r="Z347" s="6"/>
      <c r="AA347" s="7"/>
      <c r="AB347" s="6"/>
      <c r="AC347" s="6"/>
      <c r="AD347" s="6"/>
      <c r="AE347" s="12"/>
      <c r="AF347" s="12"/>
      <c r="AG347" s="12"/>
      <c r="AH347" s="12"/>
      <c r="AI347" s="6"/>
      <c r="AJ347" s="12"/>
      <c r="AK347" s="24"/>
      <c r="AL347" s="25"/>
      <c r="AM347" s="12"/>
      <c r="AN347" s="1"/>
      <c r="AO347" s="6"/>
    </row>
    <row r="348" spans="1:41" ht="15" x14ac:dyDescent="0.25">
      <c r="A348" s="1"/>
      <c r="B348" s="1"/>
      <c r="C348" s="1"/>
      <c r="D348" s="1"/>
      <c r="E348" s="6"/>
      <c r="F348" s="1"/>
      <c r="G348" s="6"/>
      <c r="H348" s="6"/>
      <c r="I348" s="6"/>
      <c r="J348" s="6"/>
      <c r="K348" s="6"/>
      <c r="L348" s="6"/>
      <c r="M348" s="6"/>
      <c r="N348" s="6"/>
      <c r="O348" s="7"/>
      <c r="P348" s="6"/>
      <c r="Q348" s="6"/>
      <c r="R348" s="7"/>
      <c r="S348" s="6"/>
      <c r="T348" s="6"/>
      <c r="U348" s="7"/>
      <c r="V348" s="6"/>
      <c r="W348" s="6"/>
      <c r="X348" s="6"/>
      <c r="Y348" s="6"/>
      <c r="Z348" s="6"/>
      <c r="AA348" s="7"/>
      <c r="AB348" s="6"/>
      <c r="AC348" s="6"/>
      <c r="AD348" s="6"/>
      <c r="AE348" s="12"/>
      <c r="AF348" s="6"/>
      <c r="AG348" s="12"/>
      <c r="AH348" s="6"/>
      <c r="AI348" s="6"/>
      <c r="AJ348" s="12"/>
      <c r="AK348" s="24"/>
      <c r="AL348" s="25"/>
      <c r="AM348" s="12"/>
      <c r="AN348" s="1"/>
      <c r="AO348" s="6"/>
    </row>
    <row r="349" spans="1:41" ht="15" x14ac:dyDescent="0.25">
      <c r="A349" s="1"/>
      <c r="B349" s="1"/>
      <c r="C349" s="1"/>
      <c r="D349" s="1"/>
      <c r="E349" s="6"/>
      <c r="F349" s="1"/>
      <c r="G349" s="6"/>
      <c r="H349" s="6"/>
      <c r="I349" s="6"/>
      <c r="J349" s="6"/>
      <c r="K349" s="6"/>
      <c r="L349" s="6"/>
      <c r="M349" s="6"/>
      <c r="N349" s="6"/>
      <c r="O349" s="7"/>
      <c r="P349" s="6"/>
      <c r="Q349" s="6"/>
      <c r="R349" s="15"/>
      <c r="S349" s="6"/>
      <c r="T349" s="6"/>
      <c r="U349" s="15"/>
      <c r="V349" s="6"/>
      <c r="W349" s="6"/>
      <c r="X349" s="6"/>
      <c r="Y349" s="6"/>
      <c r="Z349" s="6"/>
      <c r="AA349" s="7"/>
      <c r="AB349" s="6"/>
      <c r="AC349" s="6"/>
      <c r="AD349" s="6"/>
      <c r="AE349" s="12"/>
      <c r="AF349" s="12"/>
      <c r="AG349" s="12"/>
      <c r="AH349" s="12"/>
      <c r="AI349" s="6"/>
      <c r="AJ349" s="12"/>
      <c r="AK349" s="1"/>
      <c r="AL349" s="12"/>
      <c r="AM349" s="12"/>
      <c r="AN349" s="1"/>
      <c r="AO349" s="6"/>
    </row>
    <row r="350" spans="1:41" ht="15" x14ac:dyDescent="0.25">
      <c r="A350" s="1"/>
      <c r="B350" s="1"/>
      <c r="C350" s="1"/>
      <c r="D350" s="1"/>
      <c r="E350" s="6"/>
      <c r="F350" s="1"/>
      <c r="G350" s="6"/>
      <c r="H350" s="6"/>
      <c r="I350" s="6"/>
      <c r="J350" s="6"/>
      <c r="K350" s="6"/>
      <c r="L350" s="6"/>
      <c r="M350" s="6"/>
      <c r="N350" s="6"/>
      <c r="O350" s="7"/>
      <c r="P350" s="12"/>
      <c r="Q350" s="6"/>
      <c r="R350" s="7"/>
      <c r="S350" s="6"/>
      <c r="T350" s="6"/>
      <c r="U350" s="7"/>
      <c r="V350" s="6"/>
      <c r="W350" s="6"/>
      <c r="X350" s="6"/>
      <c r="Y350" s="6"/>
      <c r="Z350" s="6"/>
      <c r="AA350" s="7"/>
      <c r="AB350" s="6"/>
      <c r="AC350" s="6"/>
      <c r="AD350" s="6"/>
      <c r="AE350" s="12"/>
      <c r="AF350" s="12"/>
      <c r="AG350" s="12"/>
      <c r="AH350" s="12"/>
      <c r="AI350" s="6"/>
      <c r="AJ350" s="12"/>
      <c r="AK350" s="1"/>
      <c r="AL350" s="12"/>
      <c r="AM350" s="12"/>
      <c r="AN350" s="1"/>
      <c r="AO350" s="12"/>
    </row>
    <row r="351" spans="1:41" ht="15" x14ac:dyDescent="0.25">
      <c r="A351" s="1"/>
      <c r="B351" s="1"/>
      <c r="C351" s="1"/>
      <c r="D351" s="1"/>
      <c r="E351" s="6"/>
      <c r="F351" s="1"/>
      <c r="G351" s="6"/>
      <c r="H351" s="6"/>
      <c r="I351" s="6"/>
      <c r="J351" s="6"/>
      <c r="K351" s="6"/>
      <c r="L351" s="6"/>
      <c r="M351" s="6"/>
      <c r="N351" s="6"/>
      <c r="O351" s="7"/>
      <c r="P351" s="6"/>
      <c r="Q351" s="6"/>
      <c r="R351" s="7"/>
      <c r="S351" s="6"/>
      <c r="T351" s="6"/>
      <c r="U351" s="7"/>
      <c r="V351" s="6"/>
      <c r="W351" s="6"/>
      <c r="X351" s="6"/>
      <c r="Y351" s="6"/>
      <c r="Z351" s="6"/>
      <c r="AA351" s="7"/>
      <c r="AB351" s="6"/>
      <c r="AC351" s="6"/>
      <c r="AD351" s="6"/>
      <c r="AE351" s="12"/>
      <c r="AF351" s="6"/>
      <c r="AG351" s="12"/>
      <c r="AH351" s="6"/>
      <c r="AI351" s="6"/>
      <c r="AJ351" s="12"/>
      <c r="AK351" s="24"/>
      <c r="AL351" s="25"/>
      <c r="AM351" s="12"/>
      <c r="AN351" s="1"/>
      <c r="AO351" s="6"/>
    </row>
    <row r="352" spans="1:41" ht="15" x14ac:dyDescent="0.25">
      <c r="A352" s="1"/>
      <c r="B352" s="1"/>
      <c r="C352" s="1"/>
      <c r="D352" s="1"/>
      <c r="E352" s="6"/>
      <c r="F352" s="1"/>
      <c r="G352" s="6"/>
      <c r="H352" s="6"/>
      <c r="I352" s="6"/>
      <c r="J352" s="6"/>
      <c r="K352" s="6"/>
      <c r="L352" s="6"/>
      <c r="M352" s="6"/>
      <c r="N352" s="6"/>
      <c r="O352" s="7"/>
      <c r="P352" s="6"/>
      <c r="Q352" s="6"/>
      <c r="R352" s="7"/>
      <c r="S352" s="6"/>
      <c r="T352" s="6"/>
      <c r="U352" s="15"/>
      <c r="V352" s="6"/>
      <c r="W352" s="6"/>
      <c r="X352" s="6"/>
      <c r="Y352" s="6"/>
      <c r="Z352" s="6"/>
      <c r="AA352" s="7"/>
      <c r="AB352" s="6"/>
      <c r="AC352" s="6"/>
      <c r="AD352" s="6"/>
      <c r="AE352" s="12"/>
      <c r="AF352" s="12"/>
      <c r="AG352" s="12"/>
      <c r="AH352" s="12"/>
      <c r="AI352" s="6"/>
      <c r="AJ352" s="12"/>
      <c r="AK352" s="1"/>
      <c r="AL352" s="12"/>
      <c r="AM352" s="12"/>
      <c r="AN352" s="1"/>
      <c r="AO352" s="6"/>
    </row>
    <row r="353" spans="1:41" ht="15" x14ac:dyDescent="0.25">
      <c r="A353" s="1"/>
      <c r="B353" s="1"/>
      <c r="C353" s="1"/>
      <c r="D353" s="1"/>
      <c r="E353" s="6"/>
      <c r="F353" s="1"/>
      <c r="G353" s="6"/>
      <c r="H353" s="6"/>
      <c r="I353" s="6"/>
      <c r="J353" s="6"/>
      <c r="K353" s="6"/>
      <c r="L353" s="6"/>
      <c r="M353" s="6"/>
      <c r="N353" s="6"/>
      <c r="O353" s="7"/>
      <c r="P353" s="6"/>
      <c r="Q353" s="7"/>
      <c r="R353" s="6"/>
      <c r="S353" s="6"/>
      <c r="T353" s="6"/>
      <c r="U353" s="6"/>
      <c r="V353" s="7"/>
      <c r="W353" s="7"/>
      <c r="X353" s="6"/>
      <c r="Y353" s="6"/>
      <c r="Z353" s="6"/>
      <c r="AA353" s="1"/>
      <c r="AB353" s="12"/>
      <c r="AC353" s="12"/>
      <c r="AD353" s="12"/>
      <c r="AE353" s="12"/>
      <c r="AF353" s="12"/>
      <c r="AG353" s="12"/>
      <c r="AH353" s="12"/>
      <c r="AI353" s="6"/>
      <c r="AJ353" s="12"/>
      <c r="AK353" s="12"/>
      <c r="AL353" s="12"/>
      <c r="AM353" s="12"/>
      <c r="AN353" s="1"/>
      <c r="AO353" s="6"/>
    </row>
    <row r="354" spans="1:41" ht="15" x14ac:dyDescent="0.25">
      <c r="A354" s="1"/>
      <c r="B354" s="1"/>
      <c r="C354" s="1"/>
      <c r="D354" s="1"/>
      <c r="E354" s="6"/>
      <c r="F354" s="1"/>
      <c r="G354" s="6"/>
      <c r="H354" s="6"/>
      <c r="I354" s="6"/>
      <c r="J354" s="6"/>
      <c r="K354" s="6"/>
      <c r="L354" s="6"/>
      <c r="M354" s="6"/>
      <c r="N354" s="6"/>
      <c r="O354" s="7"/>
      <c r="P354" s="6"/>
      <c r="Q354" s="6"/>
      <c r="R354" s="7"/>
      <c r="S354" s="6"/>
      <c r="T354" s="6"/>
      <c r="U354" s="7"/>
      <c r="V354" s="6"/>
      <c r="W354" s="6"/>
      <c r="X354" s="6"/>
      <c r="Y354" s="12"/>
      <c r="Z354" s="6"/>
      <c r="AA354" s="7"/>
      <c r="AB354" s="6"/>
      <c r="AC354" s="6"/>
      <c r="AD354" s="6"/>
      <c r="AE354" s="12"/>
      <c r="AF354" s="6"/>
      <c r="AG354" s="12"/>
      <c r="AH354" s="6"/>
      <c r="AI354" s="6"/>
      <c r="AJ354" s="12"/>
      <c r="AK354" s="24"/>
      <c r="AL354" s="25"/>
      <c r="AM354" s="12"/>
      <c r="AN354" s="1"/>
      <c r="AO354" s="6"/>
    </row>
    <row r="355" spans="1:41" ht="15" x14ac:dyDescent="0.25">
      <c r="A355" s="1"/>
      <c r="B355" s="1"/>
      <c r="C355" s="1"/>
      <c r="D355" s="1"/>
      <c r="E355" s="6"/>
      <c r="F355" s="1"/>
      <c r="G355" s="6"/>
      <c r="H355" s="6"/>
      <c r="I355" s="6"/>
      <c r="J355" s="6"/>
      <c r="K355" s="6"/>
      <c r="L355" s="6"/>
      <c r="M355" s="6"/>
      <c r="N355" s="6"/>
      <c r="O355" s="7"/>
      <c r="P355" s="6"/>
      <c r="Q355" s="7"/>
      <c r="R355" s="6"/>
      <c r="S355" s="6"/>
      <c r="T355" s="6"/>
      <c r="U355" s="6"/>
      <c r="V355" s="7"/>
      <c r="W355" s="7"/>
      <c r="X355" s="6"/>
      <c r="Y355" s="6"/>
      <c r="Z355" s="6"/>
      <c r="AA355" s="1"/>
      <c r="AB355" s="12"/>
      <c r="AC355" s="12"/>
      <c r="AD355" s="12"/>
      <c r="AE355" s="12"/>
      <c r="AF355" s="12"/>
      <c r="AG355" s="12"/>
      <c r="AH355" s="12"/>
      <c r="AI355" s="6"/>
      <c r="AJ355" s="12"/>
      <c r="AK355" s="12"/>
      <c r="AL355" s="12"/>
      <c r="AM355" s="12"/>
      <c r="AN355" s="1"/>
      <c r="AO355" s="6"/>
    </row>
    <row r="356" spans="1:41" ht="15" x14ac:dyDescent="0.25">
      <c r="A356" s="1"/>
      <c r="B356" s="1"/>
      <c r="C356" s="1"/>
      <c r="D356" s="1"/>
      <c r="E356" s="6"/>
      <c r="F356" s="1"/>
      <c r="G356" s="6"/>
      <c r="H356" s="6"/>
      <c r="I356" s="6"/>
      <c r="J356" s="6"/>
      <c r="K356" s="6"/>
      <c r="L356" s="6"/>
      <c r="M356" s="6"/>
      <c r="N356" s="6"/>
      <c r="O356" s="7"/>
      <c r="P356" s="12"/>
      <c r="Q356" s="6"/>
      <c r="R356" s="7"/>
      <c r="S356" s="6"/>
      <c r="T356" s="6"/>
      <c r="U356" s="7"/>
      <c r="V356" s="6"/>
      <c r="W356" s="6"/>
      <c r="X356" s="6"/>
      <c r="Y356" s="6"/>
      <c r="Z356" s="6"/>
      <c r="AA356" s="7"/>
      <c r="AB356" s="6"/>
      <c r="AC356" s="6"/>
      <c r="AD356" s="6"/>
      <c r="AE356" s="12"/>
      <c r="AF356" s="12"/>
      <c r="AG356" s="12"/>
      <c r="AH356" s="12"/>
      <c r="AI356" s="6"/>
      <c r="AJ356" s="12"/>
      <c r="AK356" s="1"/>
      <c r="AL356" s="12"/>
      <c r="AM356" s="12"/>
      <c r="AN356" s="1"/>
      <c r="AO356" s="6"/>
    </row>
    <row r="357" spans="1:41" ht="15" x14ac:dyDescent="0.25">
      <c r="A357" s="1"/>
      <c r="B357" s="1"/>
      <c r="C357" s="1"/>
      <c r="D357" s="1"/>
      <c r="E357" s="6"/>
      <c r="F357" s="1"/>
      <c r="G357" s="6"/>
      <c r="H357" s="6"/>
      <c r="I357" s="6"/>
      <c r="J357" s="6"/>
      <c r="K357" s="6"/>
      <c r="L357" s="6"/>
      <c r="M357" s="6"/>
      <c r="N357" s="6"/>
      <c r="O357" s="7"/>
      <c r="P357" s="6"/>
      <c r="Q357" s="6"/>
      <c r="R357" s="7"/>
      <c r="S357" s="6"/>
      <c r="T357" s="6"/>
      <c r="U357" s="7"/>
      <c r="V357" s="6"/>
      <c r="W357" s="6"/>
      <c r="X357" s="6"/>
      <c r="Y357" s="6"/>
      <c r="Z357" s="6"/>
      <c r="AA357" s="7"/>
      <c r="AB357" s="6"/>
      <c r="AC357" s="6"/>
      <c r="AD357" s="6"/>
      <c r="AE357" s="12"/>
      <c r="AF357" s="12"/>
      <c r="AG357" s="12"/>
      <c r="AH357" s="12"/>
      <c r="AI357" s="6"/>
      <c r="AJ357" s="12"/>
      <c r="AK357" s="1"/>
      <c r="AL357" s="12"/>
      <c r="AM357" s="12"/>
      <c r="AN357" s="1"/>
      <c r="AO357" s="6"/>
    </row>
    <row r="358" spans="1:41" ht="15" x14ac:dyDescent="0.25">
      <c r="A358" s="1"/>
      <c r="B358" s="1"/>
      <c r="C358" s="1"/>
      <c r="D358" s="1"/>
      <c r="E358" s="6"/>
      <c r="F358" s="1"/>
      <c r="G358" s="6"/>
      <c r="H358" s="6"/>
      <c r="I358" s="6"/>
      <c r="J358" s="6"/>
      <c r="K358" s="6"/>
      <c r="L358" s="6"/>
      <c r="M358" s="6"/>
      <c r="N358" s="6"/>
      <c r="O358" s="7"/>
      <c r="P358" s="6"/>
      <c r="Q358" s="6"/>
      <c r="R358" s="7"/>
      <c r="S358" s="6"/>
      <c r="T358" s="6"/>
      <c r="U358" s="7"/>
      <c r="V358" s="6"/>
      <c r="W358" s="6"/>
      <c r="X358" s="6"/>
      <c r="Y358" s="6"/>
      <c r="Z358" s="6"/>
      <c r="AA358" s="7"/>
      <c r="AB358" s="6"/>
      <c r="AC358" s="6"/>
      <c r="AD358" s="6"/>
      <c r="AE358" s="12"/>
      <c r="AF358" s="12"/>
      <c r="AG358" s="12"/>
      <c r="AH358" s="12"/>
      <c r="AI358" s="6"/>
      <c r="AJ358" s="12"/>
      <c r="AK358" s="1"/>
      <c r="AL358" s="12"/>
      <c r="AM358" s="12"/>
      <c r="AN358" s="1"/>
      <c r="AO358" s="6"/>
    </row>
    <row r="359" spans="1:41" ht="15" x14ac:dyDescent="0.25">
      <c r="A359" s="1"/>
      <c r="B359" s="1"/>
      <c r="C359" s="1"/>
      <c r="D359" s="1"/>
      <c r="E359" s="6"/>
      <c r="F359" s="1"/>
      <c r="G359" s="6"/>
      <c r="H359" s="6"/>
      <c r="I359" s="6"/>
      <c r="J359" s="6"/>
      <c r="K359" s="6"/>
      <c r="L359" s="6"/>
      <c r="M359" s="6"/>
      <c r="N359" s="6"/>
      <c r="O359" s="7"/>
      <c r="P359" s="6"/>
      <c r="Q359" s="6"/>
      <c r="R359" s="7"/>
      <c r="S359" s="6"/>
      <c r="T359" s="6"/>
      <c r="U359" s="7"/>
      <c r="V359" s="6"/>
      <c r="W359" s="6"/>
      <c r="X359" s="6"/>
      <c r="Y359" s="6"/>
      <c r="Z359" s="6"/>
      <c r="AA359" s="7"/>
      <c r="AB359" s="6"/>
      <c r="AC359" s="6"/>
      <c r="AD359" s="6"/>
      <c r="AE359" s="12"/>
      <c r="AF359" s="12"/>
      <c r="AG359" s="12"/>
      <c r="AH359" s="12"/>
      <c r="AI359" s="6"/>
      <c r="AJ359" s="12"/>
      <c r="AK359" s="1"/>
      <c r="AL359" s="12"/>
      <c r="AM359" s="12"/>
      <c r="AN359" s="1"/>
      <c r="AO359" s="6"/>
    </row>
    <row r="360" spans="1:41" ht="15" x14ac:dyDescent="0.25">
      <c r="A360" s="1"/>
      <c r="B360" s="1"/>
      <c r="C360" s="1"/>
      <c r="D360" s="1"/>
      <c r="E360" s="6"/>
      <c r="F360" s="1"/>
      <c r="G360" s="6"/>
      <c r="H360" s="6"/>
      <c r="I360" s="6"/>
      <c r="J360" s="6"/>
      <c r="K360" s="6"/>
      <c r="L360" s="6"/>
      <c r="M360" s="6"/>
      <c r="N360" s="6"/>
      <c r="O360" s="7"/>
      <c r="P360" s="6"/>
      <c r="Q360" s="6"/>
      <c r="R360" s="7"/>
      <c r="S360" s="6"/>
      <c r="T360" s="6"/>
      <c r="U360" s="7"/>
      <c r="V360" s="6"/>
      <c r="W360" s="6"/>
      <c r="X360" s="6"/>
      <c r="Y360" s="6"/>
      <c r="Z360" s="6"/>
      <c r="AA360" s="7"/>
      <c r="AB360" s="6"/>
      <c r="AC360" s="6"/>
      <c r="AD360" s="6"/>
      <c r="AE360" s="12"/>
      <c r="AF360" s="6"/>
      <c r="AG360" s="12"/>
      <c r="AH360" s="6"/>
      <c r="AI360" s="6"/>
      <c r="AJ360" s="12"/>
      <c r="AK360" s="24"/>
      <c r="AL360" s="25"/>
      <c r="AM360" s="12"/>
      <c r="AN360" s="1"/>
      <c r="AO360" s="6"/>
    </row>
    <row r="361" spans="1:41" ht="15" x14ac:dyDescent="0.25">
      <c r="A361" s="1"/>
      <c r="B361" s="1"/>
      <c r="C361" s="1"/>
      <c r="D361" s="1"/>
      <c r="E361" s="6"/>
      <c r="F361" s="1"/>
      <c r="G361" s="6"/>
      <c r="H361" s="6"/>
      <c r="I361" s="6"/>
      <c r="J361" s="6"/>
      <c r="K361" s="6"/>
      <c r="L361" s="6"/>
      <c r="M361" s="6"/>
      <c r="N361" s="6"/>
      <c r="O361" s="7"/>
      <c r="P361" s="6"/>
      <c r="Q361" s="6"/>
      <c r="R361" s="7"/>
      <c r="S361" s="6"/>
      <c r="T361" s="6"/>
      <c r="U361" s="7"/>
      <c r="V361" s="6"/>
      <c r="W361" s="6"/>
      <c r="X361" s="6"/>
      <c r="Y361" s="6"/>
      <c r="Z361" s="6"/>
      <c r="AA361" s="7"/>
      <c r="AB361" s="6"/>
      <c r="AC361" s="6"/>
      <c r="AD361" s="6"/>
      <c r="AE361" s="12"/>
      <c r="AF361" s="6"/>
      <c r="AG361" s="12"/>
      <c r="AH361" s="6"/>
      <c r="AI361" s="6"/>
      <c r="AJ361" s="12"/>
      <c r="AK361" s="1"/>
      <c r="AL361" s="12"/>
      <c r="AM361" s="12"/>
      <c r="AN361" s="1"/>
      <c r="AO361" s="6"/>
    </row>
    <row r="362" spans="1:41" ht="15" x14ac:dyDescent="0.25">
      <c r="A362" s="1"/>
      <c r="B362" s="1"/>
      <c r="C362" s="1"/>
      <c r="D362" s="1"/>
      <c r="E362" s="6"/>
      <c r="F362" s="1"/>
      <c r="G362" s="6"/>
      <c r="H362" s="6"/>
      <c r="I362" s="6"/>
      <c r="J362" s="6"/>
      <c r="K362" s="6"/>
      <c r="L362" s="6"/>
      <c r="M362" s="6"/>
      <c r="N362" s="6"/>
      <c r="O362" s="7"/>
      <c r="P362" s="6"/>
      <c r="Q362" s="6"/>
      <c r="R362" s="7"/>
      <c r="S362" s="6"/>
      <c r="T362" s="6"/>
      <c r="U362" s="7"/>
      <c r="V362" s="6"/>
      <c r="W362" s="6"/>
      <c r="X362" s="6"/>
      <c r="Y362" s="6"/>
      <c r="Z362" s="6"/>
      <c r="AA362" s="7"/>
      <c r="AB362" s="6"/>
      <c r="AC362" s="6"/>
      <c r="AD362" s="6"/>
      <c r="AE362" s="12"/>
      <c r="AF362" s="6"/>
      <c r="AG362" s="12"/>
      <c r="AH362" s="6"/>
      <c r="AI362" s="6"/>
      <c r="AJ362" s="12"/>
      <c r="AK362" s="24"/>
      <c r="AL362" s="25"/>
      <c r="AM362" s="12"/>
      <c r="AN362" s="1"/>
      <c r="AO362" s="6"/>
    </row>
    <row r="363" spans="1:41" ht="15" x14ac:dyDescent="0.25">
      <c r="A363" s="1"/>
      <c r="B363" s="1"/>
      <c r="C363" s="1"/>
      <c r="D363" s="1"/>
      <c r="E363" s="6"/>
      <c r="F363" s="1"/>
      <c r="G363" s="6"/>
      <c r="H363" s="6"/>
      <c r="I363" s="6"/>
      <c r="J363" s="6"/>
      <c r="K363" s="6"/>
      <c r="L363" s="6"/>
      <c r="M363" s="6"/>
      <c r="N363" s="6"/>
      <c r="O363" s="7"/>
      <c r="P363" s="6"/>
      <c r="Q363" s="6"/>
      <c r="R363" s="7"/>
      <c r="S363" s="6"/>
      <c r="T363" s="6"/>
      <c r="U363" s="7"/>
      <c r="V363" s="6"/>
      <c r="W363" s="6"/>
      <c r="X363" s="12"/>
      <c r="Y363" s="6"/>
      <c r="Z363" s="6"/>
      <c r="AA363" s="7"/>
      <c r="AB363" s="6"/>
      <c r="AC363" s="6"/>
      <c r="AD363" s="6"/>
      <c r="AE363" s="12"/>
      <c r="AF363" s="12"/>
      <c r="AG363" s="12"/>
      <c r="AH363" s="12"/>
      <c r="AI363" s="6"/>
      <c r="AJ363" s="12"/>
      <c r="AK363" s="1"/>
      <c r="AL363" s="12"/>
      <c r="AM363" s="12"/>
      <c r="AN363" s="1"/>
      <c r="AO363" s="6"/>
    </row>
    <row r="364" spans="1:41" ht="15" x14ac:dyDescent="0.25">
      <c r="A364" s="1"/>
      <c r="B364" s="1"/>
      <c r="C364" s="1"/>
      <c r="D364" s="1"/>
      <c r="E364" s="6"/>
      <c r="F364" s="1"/>
      <c r="G364" s="6"/>
      <c r="H364" s="6"/>
      <c r="I364" s="6"/>
      <c r="J364" s="6"/>
      <c r="K364" s="6"/>
      <c r="L364" s="6"/>
      <c r="M364" s="6"/>
      <c r="N364" s="6"/>
      <c r="O364" s="7"/>
      <c r="P364" s="6"/>
      <c r="Q364" s="7"/>
      <c r="R364" s="6"/>
      <c r="S364" s="12"/>
      <c r="T364" s="6"/>
      <c r="U364" s="6"/>
      <c r="V364" s="7"/>
      <c r="W364" s="7"/>
      <c r="X364" s="6"/>
      <c r="Y364" s="6"/>
      <c r="Z364" s="6"/>
      <c r="AA364" s="1"/>
      <c r="AB364" s="12"/>
      <c r="AC364" s="12"/>
      <c r="AD364" s="12"/>
      <c r="AE364" s="12"/>
      <c r="AF364" s="12"/>
      <c r="AG364" s="12"/>
      <c r="AH364" s="12"/>
      <c r="AI364" s="6"/>
      <c r="AJ364" s="12"/>
      <c r="AK364" s="12"/>
      <c r="AL364" s="12"/>
      <c r="AM364" s="12"/>
      <c r="AN364" s="1"/>
      <c r="AO364" s="6"/>
    </row>
    <row r="365" spans="1:41" ht="15" x14ac:dyDescent="0.25">
      <c r="A365" s="1"/>
      <c r="B365" s="1"/>
      <c r="C365" s="1"/>
      <c r="D365" s="1"/>
      <c r="E365" s="6"/>
      <c r="F365" s="1"/>
      <c r="G365" s="6"/>
      <c r="H365" s="6"/>
      <c r="I365" s="6"/>
      <c r="J365" s="6"/>
      <c r="K365" s="6"/>
      <c r="L365" s="6"/>
      <c r="M365" s="6"/>
      <c r="N365" s="6"/>
      <c r="O365" s="7"/>
      <c r="P365" s="6"/>
      <c r="Q365" s="6"/>
      <c r="R365" s="7"/>
      <c r="S365" s="6"/>
      <c r="T365" s="6"/>
      <c r="U365" s="7"/>
      <c r="V365" s="6"/>
      <c r="W365" s="6"/>
      <c r="X365" s="6"/>
      <c r="Y365" s="6"/>
      <c r="Z365" s="6"/>
      <c r="AA365" s="7"/>
      <c r="AB365" s="6"/>
      <c r="AC365" s="6"/>
      <c r="AD365" s="6"/>
      <c r="AE365" s="12"/>
      <c r="AF365" s="12"/>
      <c r="AG365" s="12"/>
      <c r="AH365" s="12"/>
      <c r="AI365" s="6"/>
      <c r="AJ365" s="12"/>
      <c r="AK365" s="1"/>
      <c r="AL365" s="12"/>
      <c r="AM365" s="12"/>
      <c r="AN365" s="1"/>
      <c r="AO365" s="6"/>
    </row>
    <row r="366" spans="1:41" ht="15" x14ac:dyDescent="0.25">
      <c r="A366" s="1"/>
      <c r="B366" s="1"/>
      <c r="C366" s="1"/>
      <c r="D366" s="1"/>
      <c r="E366" s="6"/>
      <c r="F366" s="1"/>
      <c r="G366" s="6"/>
      <c r="H366" s="6"/>
      <c r="I366" s="6"/>
      <c r="J366" s="6"/>
      <c r="K366" s="12"/>
      <c r="L366" s="12"/>
      <c r="M366" s="6"/>
      <c r="N366" s="6"/>
      <c r="O366" s="7"/>
      <c r="P366" s="12"/>
      <c r="Q366" s="6"/>
      <c r="R366" s="7"/>
      <c r="S366" s="6"/>
      <c r="T366" s="6"/>
      <c r="U366" s="7"/>
      <c r="V366" s="6"/>
      <c r="W366" s="6"/>
      <c r="X366" s="6"/>
      <c r="Y366" s="6"/>
      <c r="Z366" s="6"/>
      <c r="AA366" s="7"/>
      <c r="AB366" s="6"/>
      <c r="AC366" s="6"/>
      <c r="AD366" s="6"/>
      <c r="AE366" s="12"/>
      <c r="AF366" s="12"/>
      <c r="AG366" s="12"/>
      <c r="AH366" s="12"/>
      <c r="AI366" s="6"/>
      <c r="AJ366" s="12"/>
      <c r="AK366" s="1"/>
      <c r="AL366" s="12"/>
      <c r="AM366" s="12"/>
      <c r="AN366" s="1"/>
      <c r="AO366" s="6"/>
    </row>
    <row r="367" spans="1:41" ht="15" x14ac:dyDescent="0.25">
      <c r="A367" s="1"/>
      <c r="B367" s="1"/>
      <c r="C367" s="1"/>
      <c r="D367" s="1"/>
      <c r="E367" s="6"/>
      <c r="F367" s="1"/>
      <c r="G367" s="6"/>
      <c r="H367" s="6"/>
      <c r="I367" s="6"/>
      <c r="J367" s="6"/>
      <c r="K367" s="6"/>
      <c r="L367" s="6"/>
      <c r="M367" s="6"/>
      <c r="N367" s="6"/>
      <c r="O367" s="7"/>
      <c r="P367" s="6"/>
      <c r="Q367" s="6"/>
      <c r="R367" s="7"/>
      <c r="S367" s="6"/>
      <c r="T367" s="6"/>
      <c r="U367" s="7"/>
      <c r="V367" s="6"/>
      <c r="W367" s="6"/>
      <c r="X367" s="6"/>
      <c r="Y367" s="6"/>
      <c r="Z367" s="6"/>
      <c r="AA367" s="7"/>
      <c r="AB367" s="6"/>
      <c r="AC367" s="6"/>
      <c r="AD367" s="6"/>
      <c r="AE367" s="12"/>
      <c r="AF367" s="6"/>
      <c r="AG367" s="12"/>
      <c r="AH367" s="6"/>
      <c r="AI367" s="6"/>
      <c r="AJ367" s="12"/>
      <c r="AK367" s="24"/>
      <c r="AL367" s="25"/>
      <c r="AM367" s="12"/>
      <c r="AN367" s="1"/>
      <c r="AO367" s="6"/>
    </row>
    <row r="368" spans="1:41" ht="15" x14ac:dyDescent="0.25">
      <c r="A368" s="1"/>
      <c r="B368" s="1"/>
      <c r="C368" s="1"/>
      <c r="D368" s="1"/>
      <c r="E368" s="6"/>
      <c r="F368" s="1"/>
      <c r="G368" s="6"/>
      <c r="H368" s="6"/>
      <c r="I368" s="6"/>
      <c r="J368" s="6"/>
      <c r="K368" s="6"/>
      <c r="L368" s="6"/>
      <c r="M368" s="6"/>
      <c r="N368" s="6"/>
      <c r="O368" s="7"/>
      <c r="P368" s="6"/>
      <c r="Q368" s="6"/>
      <c r="R368" s="7"/>
      <c r="S368" s="6"/>
      <c r="T368" s="6"/>
      <c r="U368" s="7"/>
      <c r="V368" s="6"/>
      <c r="W368" s="6"/>
      <c r="X368" s="12"/>
      <c r="Y368" s="6"/>
      <c r="Z368" s="6"/>
      <c r="AA368" s="7"/>
      <c r="AB368" s="6"/>
      <c r="AC368" s="6"/>
      <c r="AD368" s="6"/>
      <c r="AE368" s="12"/>
      <c r="AF368" s="6"/>
      <c r="AG368" s="12"/>
      <c r="AH368" s="6"/>
      <c r="AI368" s="6"/>
      <c r="AJ368" s="12"/>
      <c r="AK368" s="24"/>
      <c r="AL368" s="25"/>
      <c r="AM368" s="12"/>
      <c r="AN368" s="1"/>
      <c r="AO368" s="6"/>
    </row>
    <row r="369" spans="1:41" ht="15" x14ac:dyDescent="0.25">
      <c r="A369" s="1"/>
      <c r="B369" s="1"/>
      <c r="C369" s="1"/>
      <c r="D369" s="1"/>
      <c r="E369" s="6"/>
      <c r="F369" s="1"/>
      <c r="G369" s="6"/>
      <c r="H369" s="6"/>
      <c r="I369" s="6"/>
      <c r="J369" s="6"/>
      <c r="K369" s="6"/>
      <c r="L369" s="6"/>
      <c r="M369" s="6"/>
      <c r="N369" s="6"/>
      <c r="O369" s="7"/>
      <c r="P369" s="6"/>
      <c r="Q369" s="6"/>
      <c r="R369" s="7"/>
      <c r="S369" s="6"/>
      <c r="T369" s="6"/>
      <c r="U369" s="7"/>
      <c r="V369" s="6"/>
      <c r="W369" s="6"/>
      <c r="X369" s="6"/>
      <c r="Y369" s="6"/>
      <c r="Z369" s="6"/>
      <c r="AA369" s="7"/>
      <c r="AB369" s="6"/>
      <c r="AC369" s="6"/>
      <c r="AD369" s="6"/>
      <c r="AE369" s="12"/>
      <c r="AF369" s="6"/>
      <c r="AG369" s="12"/>
      <c r="AH369" s="6"/>
      <c r="AI369" s="6"/>
      <c r="AJ369" s="12"/>
      <c r="AK369" s="1"/>
      <c r="AL369" s="12"/>
      <c r="AM369" s="12"/>
      <c r="AN369" s="1"/>
      <c r="AO369" s="6"/>
    </row>
    <row r="370" spans="1:41" ht="15" x14ac:dyDescent="0.25">
      <c r="A370" s="1"/>
      <c r="B370" s="1"/>
      <c r="C370" s="1"/>
      <c r="D370" s="1"/>
      <c r="E370" s="6"/>
      <c r="F370" s="1"/>
      <c r="G370" s="6"/>
      <c r="H370" s="6"/>
      <c r="I370" s="6"/>
      <c r="J370" s="6"/>
      <c r="K370" s="6"/>
      <c r="L370" s="6"/>
      <c r="M370" s="6"/>
      <c r="N370" s="6"/>
      <c r="O370" s="7"/>
      <c r="P370" s="6"/>
      <c r="Q370" s="6"/>
      <c r="R370" s="7"/>
      <c r="S370" s="6"/>
      <c r="T370" s="6"/>
      <c r="U370" s="7"/>
      <c r="V370" s="6"/>
      <c r="W370" s="6"/>
      <c r="X370" s="12"/>
      <c r="Y370" s="6"/>
      <c r="Z370" s="6"/>
      <c r="AA370" s="7"/>
      <c r="AB370" s="6"/>
      <c r="AC370" s="6"/>
      <c r="AD370" s="6"/>
      <c r="AE370" s="12"/>
      <c r="AF370" s="6"/>
      <c r="AG370" s="12"/>
      <c r="AH370" s="6"/>
      <c r="AI370" s="6"/>
      <c r="AJ370" s="12"/>
      <c r="AK370" s="24"/>
      <c r="AL370" s="25"/>
      <c r="AM370" s="12"/>
      <c r="AN370" s="1"/>
      <c r="AO370" s="6"/>
    </row>
    <row r="371" spans="1:41" ht="15" x14ac:dyDescent="0.25">
      <c r="A371" s="1"/>
      <c r="B371" s="1"/>
      <c r="C371" s="1"/>
      <c r="D371" s="1"/>
      <c r="E371" s="6"/>
      <c r="F371" s="1"/>
      <c r="G371" s="6"/>
      <c r="H371" s="6"/>
      <c r="I371" s="6"/>
      <c r="J371" s="6"/>
      <c r="K371" s="6"/>
      <c r="L371" s="6"/>
      <c r="M371" s="6"/>
      <c r="N371" s="6"/>
      <c r="O371" s="7"/>
      <c r="P371" s="6"/>
      <c r="Q371" s="6"/>
      <c r="R371" s="7"/>
      <c r="S371" s="6"/>
      <c r="T371" s="6"/>
      <c r="U371" s="7"/>
      <c r="V371" s="6"/>
      <c r="W371" s="6"/>
      <c r="X371" s="6"/>
      <c r="Y371" s="6"/>
      <c r="Z371" s="6"/>
      <c r="AA371" s="7"/>
      <c r="AB371" s="6"/>
      <c r="AC371" s="6"/>
      <c r="AD371" s="6"/>
      <c r="AE371" s="12"/>
      <c r="AF371" s="6"/>
      <c r="AG371" s="12"/>
      <c r="AH371" s="6"/>
      <c r="AI371" s="6"/>
      <c r="AJ371" s="12"/>
      <c r="AK371" s="24"/>
      <c r="AL371" s="25"/>
      <c r="AM371" s="12"/>
      <c r="AN371" s="1"/>
      <c r="AO371" s="6"/>
    </row>
    <row r="372" spans="1:41" ht="15" x14ac:dyDescent="0.25">
      <c r="A372" s="1"/>
      <c r="B372" s="1"/>
      <c r="C372" s="1"/>
      <c r="D372" s="1"/>
      <c r="E372" s="6"/>
      <c r="F372" s="1"/>
      <c r="G372" s="6"/>
      <c r="H372" s="6"/>
      <c r="I372" s="6"/>
      <c r="J372" s="6"/>
      <c r="K372" s="6"/>
      <c r="L372" s="6"/>
      <c r="M372" s="6"/>
      <c r="N372" s="6"/>
      <c r="O372" s="7"/>
      <c r="P372" s="6"/>
      <c r="Q372" s="6"/>
      <c r="R372" s="7"/>
      <c r="S372" s="6"/>
      <c r="T372" s="6"/>
      <c r="U372" s="7"/>
      <c r="V372" s="6"/>
      <c r="W372" s="6"/>
      <c r="X372" s="12"/>
      <c r="Y372" s="6"/>
      <c r="Z372" s="6"/>
      <c r="AA372" s="7"/>
      <c r="AB372" s="6"/>
      <c r="AC372" s="6"/>
      <c r="AD372" s="6"/>
      <c r="AE372" s="12"/>
      <c r="AF372" s="12"/>
      <c r="AG372" s="12"/>
      <c r="AH372" s="12"/>
      <c r="AI372" s="6"/>
      <c r="AJ372" s="12"/>
      <c r="AK372" s="1"/>
      <c r="AL372" s="12"/>
      <c r="AM372" s="12"/>
      <c r="AN372" s="1"/>
      <c r="AO372" s="6"/>
    </row>
    <row r="373" spans="1:41" ht="15" x14ac:dyDescent="0.25">
      <c r="A373" s="1"/>
      <c r="B373" s="1"/>
      <c r="C373" s="1"/>
      <c r="D373" s="1"/>
      <c r="E373" s="6"/>
      <c r="F373" s="1"/>
      <c r="G373" s="6"/>
      <c r="H373" s="6"/>
      <c r="I373" s="6"/>
      <c r="J373" s="6"/>
      <c r="K373" s="6"/>
      <c r="L373" s="6"/>
      <c r="M373" s="6"/>
      <c r="N373" s="6"/>
      <c r="O373" s="7"/>
      <c r="P373" s="6"/>
      <c r="Q373" s="6"/>
      <c r="R373" s="7"/>
      <c r="S373" s="6"/>
      <c r="T373" s="6"/>
      <c r="U373" s="7"/>
      <c r="V373" s="6"/>
      <c r="W373" s="6"/>
      <c r="X373" s="6"/>
      <c r="Y373" s="6"/>
      <c r="Z373" s="6"/>
      <c r="AA373" s="7"/>
      <c r="AB373" s="6"/>
      <c r="AC373" s="6"/>
      <c r="AD373" s="6"/>
      <c r="AE373" s="12"/>
      <c r="AF373" s="12"/>
      <c r="AG373" s="12"/>
      <c r="AH373" s="12"/>
      <c r="AI373" s="6"/>
      <c r="AJ373" s="12"/>
      <c r="AK373" s="1"/>
      <c r="AL373" s="12"/>
      <c r="AM373" s="12"/>
      <c r="AN373" s="1"/>
      <c r="AO373" s="6"/>
    </row>
    <row r="374" spans="1:41" ht="15" x14ac:dyDescent="0.25">
      <c r="A374" s="1"/>
      <c r="B374" s="1"/>
      <c r="C374" s="1"/>
      <c r="D374" s="1"/>
      <c r="E374" s="6"/>
      <c r="F374" s="1"/>
      <c r="G374" s="6"/>
      <c r="H374" s="6"/>
      <c r="I374" s="6"/>
      <c r="J374" s="6"/>
      <c r="K374" s="6"/>
      <c r="L374" s="6"/>
      <c r="M374" s="6"/>
      <c r="N374" s="6"/>
      <c r="O374" s="7"/>
      <c r="P374" s="6"/>
      <c r="Q374" s="6"/>
      <c r="R374" s="7"/>
      <c r="S374" s="6"/>
      <c r="T374" s="6"/>
      <c r="U374" s="7"/>
      <c r="V374" s="6"/>
      <c r="W374" s="6"/>
      <c r="X374" s="6"/>
      <c r="Y374" s="6"/>
      <c r="Z374" s="6"/>
      <c r="AA374" s="7"/>
      <c r="AB374" s="6"/>
      <c r="AC374" s="6"/>
      <c r="AD374" s="6"/>
      <c r="AE374" s="12"/>
      <c r="AF374" s="12"/>
      <c r="AG374" s="12"/>
      <c r="AH374" s="12"/>
      <c r="AI374" s="6"/>
      <c r="AJ374" s="12"/>
      <c r="AK374" s="1"/>
      <c r="AL374" s="12"/>
      <c r="AM374" s="12"/>
      <c r="AN374" s="1"/>
      <c r="AO374" s="6"/>
    </row>
    <row r="375" spans="1:41" ht="15" x14ac:dyDescent="0.25">
      <c r="A375" s="1"/>
      <c r="B375" s="1"/>
      <c r="C375" s="1"/>
      <c r="D375" s="1"/>
      <c r="E375" s="6"/>
      <c r="F375" s="1"/>
      <c r="G375" s="6"/>
      <c r="H375" s="6"/>
      <c r="I375" s="6"/>
      <c r="J375" s="6"/>
      <c r="K375" s="6"/>
      <c r="L375" s="6"/>
      <c r="M375" s="6"/>
      <c r="N375" s="6"/>
      <c r="O375" s="7"/>
      <c r="P375" s="6"/>
      <c r="Q375" s="6"/>
      <c r="R375" s="7"/>
      <c r="S375" s="6"/>
      <c r="T375" s="6"/>
      <c r="U375" s="7"/>
      <c r="V375" s="6"/>
      <c r="W375" s="6"/>
      <c r="X375" s="12"/>
      <c r="Y375" s="6"/>
      <c r="Z375" s="6"/>
      <c r="AA375" s="7"/>
      <c r="AB375" s="6"/>
      <c r="AC375" s="6"/>
      <c r="AD375" s="6"/>
      <c r="AE375" s="12"/>
      <c r="AF375" s="12"/>
      <c r="AG375" s="12"/>
      <c r="AH375" s="12"/>
      <c r="AI375" s="6"/>
      <c r="AJ375" s="12"/>
      <c r="AK375" s="1"/>
      <c r="AL375" s="12"/>
      <c r="AM375" s="12"/>
      <c r="AN375" s="1"/>
      <c r="AO375" s="6"/>
    </row>
    <row r="376" spans="1:41" ht="15" x14ac:dyDescent="0.25">
      <c r="A376" s="1"/>
      <c r="B376" s="1"/>
      <c r="C376" s="1"/>
      <c r="D376" s="1"/>
      <c r="E376" s="6"/>
      <c r="F376" s="1"/>
      <c r="G376" s="6"/>
      <c r="H376" s="6"/>
      <c r="I376" s="6"/>
      <c r="J376" s="6"/>
      <c r="K376" s="12"/>
      <c r="L376" s="12"/>
      <c r="M376" s="6"/>
      <c r="N376" s="6"/>
      <c r="O376" s="7"/>
      <c r="P376" s="6"/>
      <c r="Q376" s="6"/>
      <c r="R376" s="7"/>
      <c r="S376" s="6"/>
      <c r="T376" s="6"/>
      <c r="U376" s="7"/>
      <c r="V376" s="6"/>
      <c r="W376" s="6"/>
      <c r="X376" s="12"/>
      <c r="Y376" s="6"/>
      <c r="Z376" s="6"/>
      <c r="AA376" s="7"/>
      <c r="AB376" s="6"/>
      <c r="AC376" s="6"/>
      <c r="AD376" s="6"/>
      <c r="AE376" s="12"/>
      <c r="AF376" s="12"/>
      <c r="AG376" s="12"/>
      <c r="AH376" s="12"/>
      <c r="AI376" s="6"/>
      <c r="AJ376" s="12"/>
      <c r="AK376" s="1"/>
      <c r="AL376" s="12"/>
      <c r="AM376" s="12"/>
      <c r="AN376" s="1"/>
      <c r="AO376" s="6"/>
    </row>
    <row r="377" spans="1:41" ht="15" x14ac:dyDescent="0.25">
      <c r="A377" s="1"/>
      <c r="B377" s="1"/>
      <c r="C377" s="1"/>
      <c r="D377" s="1"/>
      <c r="E377" s="6"/>
      <c r="F377" s="1"/>
      <c r="G377" s="6"/>
      <c r="H377" s="6"/>
      <c r="I377" s="6"/>
      <c r="J377" s="6"/>
      <c r="K377" s="6"/>
      <c r="L377" s="6"/>
      <c r="M377" s="6"/>
      <c r="N377" s="6"/>
      <c r="O377" s="7"/>
      <c r="P377" s="6"/>
      <c r="Q377" s="6"/>
      <c r="R377" s="7"/>
      <c r="S377" s="6"/>
      <c r="T377" s="6"/>
      <c r="U377" s="7"/>
      <c r="V377" s="6"/>
      <c r="W377" s="6"/>
      <c r="X377" s="12"/>
      <c r="Y377" s="6"/>
      <c r="Z377" s="6"/>
      <c r="AA377" s="7"/>
      <c r="AB377" s="6"/>
      <c r="AC377" s="6"/>
      <c r="AD377" s="6"/>
      <c r="AE377" s="12"/>
      <c r="AF377" s="6"/>
      <c r="AG377" s="12"/>
      <c r="AH377" s="6"/>
      <c r="AI377" s="6"/>
      <c r="AJ377" s="12"/>
      <c r="AK377" s="24"/>
      <c r="AL377" s="25"/>
      <c r="AM377" s="12"/>
      <c r="AN377" s="1"/>
      <c r="AO377" s="6"/>
    </row>
    <row r="378" spans="1:41" ht="15" x14ac:dyDescent="0.25">
      <c r="A378" s="1"/>
      <c r="B378" s="1"/>
      <c r="C378" s="1"/>
      <c r="D378" s="1"/>
      <c r="E378" s="6"/>
      <c r="F378" s="1"/>
      <c r="G378" s="6"/>
      <c r="H378" s="6"/>
      <c r="I378" s="6"/>
      <c r="J378" s="6"/>
      <c r="K378" s="12"/>
      <c r="L378" s="12"/>
      <c r="M378" s="6"/>
      <c r="N378" s="6"/>
      <c r="O378" s="7"/>
      <c r="P378" s="12"/>
      <c r="Q378" s="6"/>
      <c r="R378" s="7"/>
      <c r="S378" s="6"/>
      <c r="T378" s="6"/>
      <c r="U378" s="7"/>
      <c r="V378" s="6"/>
      <c r="W378" s="6"/>
      <c r="X378" s="6"/>
      <c r="Y378" s="6"/>
      <c r="Z378" s="6"/>
      <c r="AA378" s="7"/>
      <c r="AB378" s="6"/>
      <c r="AC378" s="6"/>
      <c r="AD378" s="6"/>
      <c r="AE378" s="12"/>
      <c r="AF378" s="12"/>
      <c r="AG378" s="12"/>
      <c r="AH378" s="12"/>
      <c r="AI378" s="6"/>
      <c r="AJ378" s="12"/>
      <c r="AK378" s="1"/>
      <c r="AL378" s="12"/>
      <c r="AM378" s="12"/>
      <c r="AN378" s="1"/>
      <c r="AO378" s="6"/>
    </row>
    <row r="379" spans="1:41" ht="15" x14ac:dyDescent="0.25">
      <c r="A379" s="1"/>
      <c r="B379" s="1"/>
      <c r="C379" s="1"/>
      <c r="D379" s="1"/>
      <c r="E379" s="6"/>
      <c r="F379" s="1"/>
      <c r="G379" s="6"/>
      <c r="H379" s="6"/>
      <c r="I379" s="6"/>
      <c r="J379" s="6"/>
      <c r="K379" s="6"/>
      <c r="L379" s="6"/>
      <c r="M379" s="6"/>
      <c r="N379" s="6"/>
      <c r="O379" s="7"/>
      <c r="P379" s="6"/>
      <c r="Q379" s="6"/>
      <c r="R379" s="7"/>
      <c r="S379" s="6"/>
      <c r="T379" s="6"/>
      <c r="U379" s="7"/>
      <c r="V379" s="6"/>
      <c r="W379" s="6"/>
      <c r="X379" s="12"/>
      <c r="Y379" s="6"/>
      <c r="Z379" s="6"/>
      <c r="AA379" s="7"/>
      <c r="AB379" s="6"/>
      <c r="AC379" s="6"/>
      <c r="AD379" s="6"/>
      <c r="AE379" s="12"/>
      <c r="AF379" s="12"/>
      <c r="AG379" s="12"/>
      <c r="AH379" s="12"/>
      <c r="AI379" s="6"/>
      <c r="AJ379" s="12"/>
      <c r="AK379" s="1"/>
      <c r="AL379" s="12"/>
      <c r="AM379" s="12"/>
      <c r="AN379" s="1"/>
      <c r="AO379" s="6"/>
    </row>
    <row r="380" spans="1:41" ht="15" x14ac:dyDescent="0.25">
      <c r="A380" s="1"/>
      <c r="B380" s="1"/>
      <c r="C380" s="1"/>
      <c r="D380" s="1"/>
      <c r="E380" s="6"/>
      <c r="F380" s="1"/>
      <c r="G380" s="6"/>
      <c r="H380" s="6"/>
      <c r="I380" s="6"/>
      <c r="J380" s="6"/>
      <c r="K380" s="6"/>
      <c r="L380" s="6"/>
      <c r="M380" s="6"/>
      <c r="N380" s="6"/>
      <c r="O380" s="7"/>
      <c r="P380" s="6"/>
      <c r="Q380" s="6"/>
      <c r="R380" s="7"/>
      <c r="S380" s="6"/>
      <c r="T380" s="6"/>
      <c r="U380" s="7"/>
      <c r="V380" s="6"/>
      <c r="W380" s="6"/>
      <c r="X380" s="6"/>
      <c r="Y380" s="6"/>
      <c r="Z380" s="6"/>
      <c r="AA380" s="7"/>
      <c r="AB380" s="6"/>
      <c r="AC380" s="6"/>
      <c r="AD380" s="6"/>
      <c r="AE380" s="12"/>
      <c r="AF380" s="6"/>
      <c r="AG380" s="12"/>
      <c r="AH380" s="6"/>
      <c r="AI380" s="6"/>
      <c r="AJ380" s="12"/>
      <c r="AK380" s="24"/>
      <c r="AL380" s="25"/>
      <c r="AM380" s="12"/>
      <c r="AN380" s="1"/>
      <c r="AO380" s="6"/>
    </row>
    <row r="381" spans="1:41" ht="15" x14ac:dyDescent="0.25">
      <c r="A381" s="1"/>
      <c r="B381" s="1"/>
      <c r="C381" s="1"/>
      <c r="D381" s="1"/>
      <c r="E381" s="6"/>
      <c r="F381" s="1"/>
      <c r="G381" s="6"/>
      <c r="H381" s="6"/>
      <c r="I381" s="6"/>
      <c r="J381" s="6"/>
      <c r="K381" s="6"/>
      <c r="L381" s="6"/>
      <c r="M381" s="6"/>
      <c r="N381" s="6"/>
      <c r="O381" s="7"/>
      <c r="P381" s="6"/>
      <c r="Q381" s="6"/>
      <c r="R381" s="7"/>
      <c r="S381" s="6"/>
      <c r="T381" s="6"/>
      <c r="U381" s="7"/>
      <c r="V381" s="6"/>
      <c r="W381" s="6"/>
      <c r="X381" s="6"/>
      <c r="Y381" s="6"/>
      <c r="Z381" s="6"/>
      <c r="AA381" s="7"/>
      <c r="AB381" s="6"/>
      <c r="AC381" s="6"/>
      <c r="AD381" s="6"/>
      <c r="AE381" s="12"/>
      <c r="AF381" s="12"/>
      <c r="AG381" s="12"/>
      <c r="AH381" s="12"/>
      <c r="AI381" s="6"/>
      <c r="AJ381" s="12"/>
      <c r="AK381" s="1"/>
      <c r="AL381" s="12"/>
      <c r="AM381" s="12"/>
      <c r="AN381" s="1"/>
      <c r="AO381" s="6"/>
    </row>
    <row r="382" spans="1:41" ht="15" x14ac:dyDescent="0.25">
      <c r="A382" s="1"/>
      <c r="B382" s="1"/>
      <c r="C382" s="1"/>
      <c r="D382" s="1"/>
      <c r="E382" s="6"/>
      <c r="F382" s="1"/>
      <c r="G382" s="6"/>
      <c r="H382" s="6"/>
      <c r="I382" s="6"/>
      <c r="J382" s="6"/>
      <c r="K382" s="12"/>
      <c r="L382" s="12"/>
      <c r="M382" s="6"/>
      <c r="N382" s="6"/>
      <c r="O382" s="7"/>
      <c r="P382" s="6"/>
      <c r="Q382" s="6"/>
      <c r="R382" s="7"/>
      <c r="S382" s="6"/>
      <c r="T382" s="6"/>
      <c r="U382" s="7"/>
      <c r="V382" s="6"/>
      <c r="W382" s="6"/>
      <c r="X382" s="12"/>
      <c r="Y382" s="6"/>
      <c r="Z382" s="6"/>
      <c r="AA382" s="7"/>
      <c r="AB382" s="6"/>
      <c r="AC382" s="6"/>
      <c r="AD382" s="6"/>
      <c r="AE382" s="12"/>
      <c r="AF382" s="12"/>
      <c r="AG382" s="12"/>
      <c r="AH382" s="12"/>
      <c r="AI382" s="6"/>
      <c r="AJ382" s="12"/>
      <c r="AK382" s="1"/>
      <c r="AL382" s="12"/>
      <c r="AM382" s="12"/>
      <c r="AN382" s="1"/>
      <c r="AO382" s="6"/>
    </row>
    <row r="383" spans="1:41" ht="15" x14ac:dyDescent="0.25">
      <c r="A383" s="1"/>
      <c r="B383" s="1"/>
      <c r="C383" s="1"/>
      <c r="D383" s="1"/>
      <c r="E383" s="6"/>
      <c r="F383" s="1"/>
      <c r="G383" s="6"/>
      <c r="H383" s="6"/>
      <c r="I383" s="6"/>
      <c r="J383" s="6"/>
      <c r="K383" s="6"/>
      <c r="L383" s="6"/>
      <c r="M383" s="6"/>
      <c r="N383" s="6"/>
      <c r="O383" s="7"/>
      <c r="P383" s="6"/>
      <c r="Q383" s="7"/>
      <c r="R383" s="6"/>
      <c r="S383" s="6"/>
      <c r="T383" s="6"/>
      <c r="U383" s="6"/>
      <c r="V383" s="7"/>
      <c r="W383" s="7"/>
      <c r="X383" s="6"/>
      <c r="Y383" s="6"/>
      <c r="Z383" s="6"/>
      <c r="AA383" s="1"/>
      <c r="AB383" s="12"/>
      <c r="AC383" s="12"/>
      <c r="AD383" s="12"/>
      <c r="AE383" s="12"/>
      <c r="AF383" s="12"/>
      <c r="AG383" s="12"/>
      <c r="AH383" s="12"/>
      <c r="AI383" s="6"/>
      <c r="AJ383" s="12"/>
      <c r="AK383" s="12"/>
      <c r="AL383" s="12"/>
      <c r="AM383" s="12"/>
      <c r="AN383" s="1"/>
      <c r="AO383" s="6"/>
    </row>
    <row r="384" spans="1:41" ht="15" x14ac:dyDescent="0.25">
      <c r="A384" s="1"/>
      <c r="B384" s="1"/>
      <c r="C384" s="1"/>
      <c r="D384" s="1"/>
      <c r="E384" s="6"/>
      <c r="F384" s="1"/>
      <c r="G384" s="6"/>
      <c r="H384" s="6"/>
      <c r="I384" s="6"/>
      <c r="J384" s="6"/>
      <c r="K384" s="6"/>
      <c r="L384" s="6"/>
      <c r="M384" s="6"/>
      <c r="N384" s="6"/>
      <c r="O384" s="7"/>
      <c r="P384" s="6"/>
      <c r="Q384" s="6"/>
      <c r="R384" s="7"/>
      <c r="S384" s="6"/>
      <c r="T384" s="6"/>
      <c r="U384" s="7"/>
      <c r="V384" s="6"/>
      <c r="W384" s="6"/>
      <c r="X384" s="6"/>
      <c r="Y384" s="12"/>
      <c r="Z384" s="6"/>
      <c r="AA384" s="7"/>
      <c r="AB384" s="6"/>
      <c r="AC384" s="6"/>
      <c r="AD384" s="6"/>
      <c r="AE384" s="12"/>
      <c r="AF384" s="6"/>
      <c r="AG384" s="12"/>
      <c r="AH384" s="6"/>
      <c r="AI384" s="6"/>
      <c r="AJ384" s="12"/>
      <c r="AK384" s="1"/>
      <c r="AL384" s="12"/>
      <c r="AM384" s="12"/>
      <c r="AN384" s="1"/>
      <c r="AO384" s="6"/>
    </row>
    <row r="385" spans="1:41" ht="15" x14ac:dyDescent="0.25">
      <c r="A385" s="1"/>
      <c r="B385" s="1"/>
      <c r="C385" s="1"/>
      <c r="D385" s="1"/>
      <c r="E385" s="6"/>
      <c r="F385" s="1"/>
      <c r="G385" s="6"/>
      <c r="H385" s="6"/>
      <c r="I385" s="6"/>
      <c r="J385" s="6"/>
      <c r="K385" s="6"/>
      <c r="L385" s="6"/>
      <c r="M385" s="6"/>
      <c r="N385" s="6"/>
      <c r="O385" s="7"/>
      <c r="P385" s="6"/>
      <c r="Q385" s="6"/>
      <c r="R385" s="7"/>
      <c r="S385" s="6"/>
      <c r="T385" s="6"/>
      <c r="U385" s="7"/>
      <c r="V385" s="6"/>
      <c r="W385" s="6"/>
      <c r="X385" s="6"/>
      <c r="Y385" s="6"/>
      <c r="Z385" s="6"/>
      <c r="AA385" s="7"/>
      <c r="AB385" s="6"/>
      <c r="AC385" s="6"/>
      <c r="AD385" s="6"/>
      <c r="AE385" s="12"/>
      <c r="AF385" s="12"/>
      <c r="AG385" s="12"/>
      <c r="AH385" s="12"/>
      <c r="AI385" s="6"/>
      <c r="AJ385" s="12"/>
      <c r="AK385" s="1"/>
      <c r="AL385" s="12"/>
      <c r="AM385" s="12"/>
      <c r="AN385" s="1"/>
      <c r="AO385" s="6"/>
    </row>
    <row r="386" spans="1:41" ht="15" x14ac:dyDescent="0.25">
      <c r="A386" s="1"/>
      <c r="B386" s="1"/>
      <c r="C386" s="1"/>
      <c r="D386" s="1"/>
      <c r="E386" s="6"/>
      <c r="F386" s="1"/>
      <c r="G386" s="6"/>
      <c r="H386" s="6"/>
      <c r="I386" s="6"/>
      <c r="J386" s="6"/>
      <c r="K386" s="6"/>
      <c r="L386" s="6"/>
      <c r="M386" s="6"/>
      <c r="N386" s="6"/>
      <c r="O386" s="7"/>
      <c r="P386" s="6"/>
      <c r="Q386" s="6"/>
      <c r="R386" s="7"/>
      <c r="S386" s="6"/>
      <c r="T386" s="6"/>
      <c r="U386" s="7"/>
      <c r="V386" s="6"/>
      <c r="W386" s="6"/>
      <c r="X386" s="12"/>
      <c r="Y386" s="6"/>
      <c r="Z386" s="6"/>
      <c r="AA386" s="7"/>
      <c r="AB386" s="6"/>
      <c r="AC386" s="6"/>
      <c r="AD386" s="6"/>
      <c r="AE386" s="12"/>
      <c r="AF386" s="12"/>
      <c r="AG386" s="12"/>
      <c r="AH386" s="12"/>
      <c r="AI386" s="6"/>
      <c r="AJ386" s="12"/>
      <c r="AK386" s="1"/>
      <c r="AL386" s="12"/>
      <c r="AM386" s="12"/>
      <c r="AN386" s="1"/>
      <c r="AO386" s="12"/>
    </row>
    <row r="387" spans="1:41" ht="15" x14ac:dyDescent="0.25">
      <c r="A387" s="1"/>
      <c r="B387" s="1"/>
      <c r="C387" s="1"/>
      <c r="D387" s="1"/>
      <c r="E387" s="6"/>
      <c r="F387" s="1"/>
      <c r="G387" s="6"/>
      <c r="H387" s="6"/>
      <c r="I387" s="6"/>
      <c r="J387" s="6"/>
      <c r="K387" s="6"/>
      <c r="L387" s="6"/>
      <c r="M387" s="6"/>
      <c r="N387" s="6"/>
      <c r="O387" s="7"/>
      <c r="P387" s="6"/>
      <c r="Q387" s="6"/>
      <c r="R387" s="7"/>
      <c r="S387" s="6"/>
      <c r="T387" s="6"/>
      <c r="U387" s="7"/>
      <c r="V387" s="6"/>
      <c r="W387" s="6"/>
      <c r="X387" s="6"/>
      <c r="Y387" s="6"/>
      <c r="Z387" s="6"/>
      <c r="AA387" s="7"/>
      <c r="AB387" s="6"/>
      <c r="AC387" s="6"/>
      <c r="AD387" s="6"/>
      <c r="AE387" s="12"/>
      <c r="AF387" s="12"/>
      <c r="AG387" s="12"/>
      <c r="AH387" s="12"/>
      <c r="AI387" s="6"/>
      <c r="AJ387" s="12"/>
      <c r="AK387" s="1"/>
      <c r="AL387" s="12"/>
      <c r="AM387" s="12"/>
      <c r="AN387" s="1"/>
      <c r="AO387" s="6"/>
    </row>
    <row r="388" spans="1:41" ht="15" x14ac:dyDescent="0.25">
      <c r="A388" s="1"/>
      <c r="B388" s="1"/>
      <c r="C388" s="1"/>
      <c r="D388" s="1"/>
      <c r="E388" s="6"/>
      <c r="F388" s="1"/>
      <c r="G388" s="6"/>
      <c r="H388" s="6"/>
      <c r="I388" s="6"/>
      <c r="J388" s="6"/>
      <c r="K388" s="6"/>
      <c r="L388" s="6"/>
      <c r="M388" s="6"/>
      <c r="N388" s="6"/>
      <c r="O388" s="7"/>
      <c r="P388" s="6"/>
      <c r="Q388" s="6"/>
      <c r="R388" s="7"/>
      <c r="S388" s="6"/>
      <c r="T388" s="6"/>
      <c r="U388" s="7"/>
      <c r="V388" s="6"/>
      <c r="W388" s="6"/>
      <c r="X388" s="12"/>
      <c r="Y388" s="6"/>
      <c r="Z388" s="6"/>
      <c r="AA388" s="7"/>
      <c r="AB388" s="6"/>
      <c r="AC388" s="6"/>
      <c r="AD388" s="6"/>
      <c r="AE388" s="12"/>
      <c r="AF388" s="6"/>
      <c r="AG388" s="12"/>
      <c r="AH388" s="6"/>
      <c r="AI388" s="6"/>
      <c r="AJ388" s="12"/>
      <c r="AK388" s="1"/>
      <c r="AL388" s="12"/>
      <c r="AM388" s="12"/>
      <c r="AN388" s="1"/>
      <c r="AO388" s="6"/>
    </row>
    <row r="389" spans="1:41" ht="15" x14ac:dyDescent="0.25">
      <c r="A389" s="1"/>
      <c r="B389" s="1"/>
      <c r="C389" s="1"/>
      <c r="D389" s="1"/>
      <c r="E389" s="6"/>
      <c r="F389" s="1"/>
      <c r="G389" s="6"/>
      <c r="H389" s="6"/>
      <c r="I389" s="6"/>
      <c r="J389" s="6"/>
      <c r="K389" s="6"/>
      <c r="L389" s="6"/>
      <c r="M389" s="6"/>
      <c r="N389" s="6"/>
      <c r="O389" s="7"/>
      <c r="P389" s="6"/>
      <c r="Q389" s="6"/>
      <c r="R389" s="7"/>
      <c r="S389" s="6"/>
      <c r="T389" s="6"/>
      <c r="U389" s="7"/>
      <c r="V389" s="6"/>
      <c r="W389" s="6"/>
      <c r="X389" s="6"/>
      <c r="Y389" s="6"/>
      <c r="Z389" s="6"/>
      <c r="AA389" s="7"/>
      <c r="AB389" s="6"/>
      <c r="AC389" s="6"/>
      <c r="AD389" s="6"/>
      <c r="AE389" s="12"/>
      <c r="AF389" s="6"/>
      <c r="AG389" s="12"/>
      <c r="AH389" s="6"/>
      <c r="AI389" s="6"/>
      <c r="AJ389" s="12"/>
      <c r="AK389" s="24"/>
      <c r="AL389" s="25"/>
      <c r="AM389" s="12"/>
      <c r="AN389" s="1"/>
      <c r="AO389" s="6"/>
    </row>
    <row r="390" spans="1:41" ht="15" x14ac:dyDescent="0.25">
      <c r="A390" s="1"/>
      <c r="B390" s="1"/>
      <c r="C390" s="1"/>
      <c r="D390" s="1"/>
      <c r="E390" s="6"/>
      <c r="F390" s="1"/>
      <c r="G390" s="6"/>
      <c r="H390" s="6"/>
      <c r="I390" s="6"/>
      <c r="J390" s="6"/>
      <c r="K390" s="6"/>
      <c r="L390" s="6"/>
      <c r="M390" s="6"/>
      <c r="N390" s="6"/>
      <c r="O390" s="7"/>
      <c r="P390" s="6"/>
      <c r="Q390" s="6"/>
      <c r="R390" s="7"/>
      <c r="S390" s="6"/>
      <c r="T390" s="6"/>
      <c r="U390" s="7"/>
      <c r="V390" s="6"/>
      <c r="W390" s="6"/>
      <c r="X390" s="6"/>
      <c r="Y390" s="6"/>
      <c r="Z390" s="6"/>
      <c r="AA390" s="7"/>
      <c r="AB390" s="6"/>
      <c r="AC390" s="6"/>
      <c r="AD390" s="6"/>
      <c r="AE390" s="12"/>
      <c r="AF390" s="6"/>
      <c r="AG390" s="12"/>
      <c r="AH390" s="6"/>
      <c r="AI390" s="6"/>
      <c r="AJ390" s="12"/>
      <c r="AK390" s="24"/>
      <c r="AL390" s="25"/>
      <c r="AM390" s="12"/>
      <c r="AN390" s="1"/>
      <c r="AO390" s="6"/>
    </row>
    <row r="391" spans="1:41" ht="15" x14ac:dyDescent="0.25">
      <c r="A391" s="1"/>
      <c r="B391" s="1"/>
      <c r="C391" s="1"/>
      <c r="D391" s="1"/>
      <c r="E391" s="6"/>
      <c r="F391" s="1"/>
      <c r="G391" s="6"/>
      <c r="H391" s="6"/>
      <c r="I391" s="6"/>
      <c r="J391" s="6"/>
      <c r="K391" s="6"/>
      <c r="L391" s="6"/>
      <c r="M391" s="6"/>
      <c r="N391" s="6"/>
      <c r="O391" s="7"/>
      <c r="P391" s="6"/>
      <c r="Q391" s="6"/>
      <c r="R391" s="7"/>
      <c r="S391" s="6"/>
      <c r="T391" s="6"/>
      <c r="U391" s="7"/>
      <c r="V391" s="6"/>
      <c r="W391" s="6"/>
      <c r="X391" s="6"/>
      <c r="Y391" s="6"/>
      <c r="Z391" s="6"/>
      <c r="AA391" s="7"/>
      <c r="AB391" s="6"/>
      <c r="AC391" s="6"/>
      <c r="AD391" s="6"/>
      <c r="AE391" s="12"/>
      <c r="AF391" s="6"/>
      <c r="AG391" s="12"/>
      <c r="AH391" s="6"/>
      <c r="AI391" s="6"/>
      <c r="AJ391" s="12"/>
      <c r="AK391" s="1"/>
      <c r="AL391" s="12"/>
      <c r="AM391" s="12"/>
      <c r="AN391" s="1"/>
      <c r="AO391" s="6"/>
    </row>
    <row r="392" spans="1:41" ht="15" x14ac:dyDescent="0.25">
      <c r="A392" s="1"/>
      <c r="B392" s="1"/>
      <c r="C392" s="1"/>
      <c r="D392" s="1"/>
      <c r="E392" s="6"/>
      <c r="F392" s="1"/>
      <c r="G392" s="6"/>
      <c r="H392" s="6"/>
      <c r="I392" s="6"/>
      <c r="J392" s="6"/>
      <c r="K392" s="6"/>
      <c r="L392" s="6"/>
      <c r="M392" s="6"/>
      <c r="N392" s="6"/>
      <c r="O392" s="7"/>
      <c r="P392" s="12"/>
      <c r="Q392" s="6"/>
      <c r="R392" s="7"/>
      <c r="S392" s="6"/>
      <c r="T392" s="6"/>
      <c r="U392" s="7"/>
      <c r="V392" s="6"/>
      <c r="W392" s="6"/>
      <c r="X392" s="6"/>
      <c r="Y392" s="6"/>
      <c r="Z392" s="6"/>
      <c r="AA392" s="7"/>
      <c r="AB392" s="6"/>
      <c r="AC392" s="6"/>
      <c r="AD392" s="6"/>
      <c r="AE392" s="12"/>
      <c r="AF392" s="6"/>
      <c r="AG392" s="12"/>
      <c r="AH392" s="6"/>
      <c r="AI392" s="6"/>
      <c r="AJ392" s="12"/>
      <c r="AK392" s="24"/>
      <c r="AL392" s="25"/>
      <c r="AM392" s="12"/>
      <c r="AN392" s="1"/>
      <c r="AO392" s="6"/>
    </row>
    <row r="393" spans="1:41" ht="15" x14ac:dyDescent="0.25">
      <c r="A393" s="1"/>
      <c r="B393" s="1"/>
      <c r="C393" s="1"/>
      <c r="D393" s="1"/>
      <c r="E393" s="6"/>
      <c r="F393" s="1"/>
      <c r="G393" s="6"/>
      <c r="H393" s="6"/>
      <c r="I393" s="6"/>
      <c r="J393" s="6"/>
      <c r="K393" s="6"/>
      <c r="L393" s="6"/>
      <c r="M393" s="6"/>
      <c r="N393" s="6"/>
      <c r="O393" s="7"/>
      <c r="P393" s="6"/>
      <c r="Q393" s="6"/>
      <c r="R393" s="7"/>
      <c r="S393" s="6"/>
      <c r="T393" s="6"/>
      <c r="U393" s="7"/>
      <c r="V393" s="6"/>
      <c r="W393" s="6"/>
      <c r="X393" s="12"/>
      <c r="Y393" s="6"/>
      <c r="Z393" s="6"/>
      <c r="AA393" s="7"/>
      <c r="AB393" s="6"/>
      <c r="AC393" s="6"/>
      <c r="AD393" s="6"/>
      <c r="AE393" s="12"/>
      <c r="AF393" s="6"/>
      <c r="AG393" s="12"/>
      <c r="AH393" s="6"/>
      <c r="AI393" s="6"/>
      <c r="AJ393" s="12"/>
      <c r="AK393" s="1"/>
      <c r="AL393" s="12"/>
      <c r="AM393" s="12"/>
      <c r="AN393" s="1"/>
      <c r="AO393" s="6"/>
    </row>
    <row r="394" spans="1:41" ht="15" x14ac:dyDescent="0.25">
      <c r="A394" s="1"/>
      <c r="B394" s="1"/>
      <c r="C394" s="1"/>
      <c r="D394" s="1"/>
      <c r="E394" s="6"/>
      <c r="F394" s="1"/>
      <c r="G394" s="6"/>
      <c r="H394" s="6"/>
      <c r="I394" s="6"/>
      <c r="J394" s="6"/>
      <c r="K394" s="6"/>
      <c r="L394" s="6"/>
      <c r="M394" s="6"/>
      <c r="N394" s="6"/>
      <c r="O394" s="7"/>
      <c r="P394" s="6"/>
      <c r="Q394" s="6"/>
      <c r="R394" s="7"/>
      <c r="S394" s="6"/>
      <c r="T394" s="6"/>
      <c r="U394" s="7"/>
      <c r="V394" s="6"/>
      <c r="W394" s="6"/>
      <c r="X394" s="12"/>
      <c r="Y394" s="6"/>
      <c r="Z394" s="6"/>
      <c r="AA394" s="7"/>
      <c r="AB394" s="6"/>
      <c r="AC394" s="6"/>
      <c r="AD394" s="6"/>
      <c r="AE394" s="12"/>
      <c r="AF394" s="6"/>
      <c r="AG394" s="12"/>
      <c r="AH394" s="6"/>
      <c r="AI394" s="6"/>
      <c r="AJ394" s="12"/>
      <c r="AK394" s="24"/>
      <c r="AL394" s="25"/>
      <c r="AM394" s="12"/>
      <c r="AN394" s="1"/>
      <c r="AO394" s="6"/>
    </row>
    <row r="395" spans="1:41" ht="15" x14ac:dyDescent="0.25">
      <c r="A395" s="1"/>
      <c r="B395" s="1"/>
      <c r="C395" s="1"/>
      <c r="D395" s="1"/>
      <c r="E395" s="6"/>
      <c r="F395" s="1"/>
      <c r="G395" s="6"/>
      <c r="H395" s="6"/>
      <c r="I395" s="6"/>
      <c r="J395" s="6"/>
      <c r="K395" s="6"/>
      <c r="L395" s="6"/>
      <c r="M395" s="6"/>
      <c r="N395" s="6"/>
      <c r="O395" s="7"/>
      <c r="P395" s="6"/>
      <c r="Q395" s="6"/>
      <c r="R395" s="7"/>
      <c r="S395" s="6"/>
      <c r="T395" s="6"/>
      <c r="U395" s="7"/>
      <c r="V395" s="6"/>
      <c r="W395" s="6"/>
      <c r="X395" s="12"/>
      <c r="Y395" s="6"/>
      <c r="Z395" s="6"/>
      <c r="AA395" s="7"/>
      <c r="AB395" s="6"/>
      <c r="AC395" s="6"/>
      <c r="AD395" s="6"/>
      <c r="AE395" s="12"/>
      <c r="AF395" s="6"/>
      <c r="AG395" s="12"/>
      <c r="AH395" s="6"/>
      <c r="AI395" s="6"/>
      <c r="AJ395" s="12"/>
      <c r="AK395" s="1"/>
      <c r="AL395" s="12"/>
      <c r="AM395" s="12"/>
      <c r="AN395" s="1"/>
      <c r="AO395" s="6"/>
    </row>
    <row r="396" spans="1:41" ht="15" x14ac:dyDescent="0.25">
      <c r="A396" s="1"/>
      <c r="B396" s="1"/>
      <c r="C396" s="1"/>
      <c r="D396" s="1"/>
      <c r="E396" s="6"/>
      <c r="F396" s="1"/>
      <c r="G396" s="6"/>
      <c r="H396" s="6"/>
      <c r="I396" s="6"/>
      <c r="J396" s="6"/>
      <c r="K396" s="6"/>
      <c r="L396" s="6"/>
      <c r="M396" s="6"/>
      <c r="N396" s="6"/>
      <c r="O396" s="7"/>
      <c r="P396" s="6"/>
      <c r="Q396" s="7"/>
      <c r="R396" s="6"/>
      <c r="S396" s="6"/>
      <c r="T396" s="6"/>
      <c r="U396" s="6"/>
      <c r="V396" s="7"/>
      <c r="W396" s="7"/>
      <c r="X396" s="6"/>
      <c r="Y396" s="6"/>
      <c r="Z396" s="6"/>
      <c r="AA396" s="1"/>
      <c r="AB396" s="12"/>
      <c r="AC396" s="12"/>
      <c r="AD396" s="12"/>
      <c r="AE396" s="12"/>
      <c r="AF396" s="12"/>
      <c r="AG396" s="12"/>
      <c r="AH396" s="12"/>
      <c r="AI396" s="6"/>
      <c r="AJ396" s="12"/>
      <c r="AK396" s="12"/>
      <c r="AL396" s="12"/>
      <c r="AM396" s="12"/>
      <c r="AN396" s="1"/>
      <c r="AO396" s="6"/>
    </row>
    <row r="397" spans="1:41" ht="15" x14ac:dyDescent="0.25">
      <c r="A397" s="1"/>
      <c r="B397" s="1"/>
      <c r="C397" s="1"/>
      <c r="D397" s="1"/>
      <c r="E397" s="6"/>
      <c r="F397" s="1"/>
      <c r="G397" s="6"/>
      <c r="H397" s="6"/>
      <c r="I397" s="6"/>
      <c r="J397" s="6"/>
      <c r="K397" s="12"/>
      <c r="L397" s="12"/>
      <c r="M397" s="6"/>
      <c r="N397" s="6"/>
      <c r="O397" s="7"/>
      <c r="P397" s="6"/>
      <c r="Q397" s="6"/>
      <c r="R397" s="7"/>
      <c r="S397" s="6"/>
      <c r="T397" s="6"/>
      <c r="U397" s="7"/>
      <c r="V397" s="6"/>
      <c r="W397" s="6"/>
      <c r="X397" s="6"/>
      <c r="Y397" s="6"/>
      <c r="Z397" s="6"/>
      <c r="AA397" s="7"/>
      <c r="AB397" s="6"/>
      <c r="AC397" s="6"/>
      <c r="AD397" s="6"/>
      <c r="AE397" s="12"/>
      <c r="AF397" s="12"/>
      <c r="AG397" s="12"/>
      <c r="AH397" s="12"/>
      <c r="AI397" s="6"/>
      <c r="AJ397" s="12"/>
      <c r="AK397" s="1"/>
      <c r="AL397" s="12"/>
      <c r="AM397" s="12"/>
      <c r="AN397" s="1"/>
      <c r="AO397" s="12"/>
    </row>
    <row r="398" spans="1:41" ht="15" x14ac:dyDescent="0.25">
      <c r="A398" s="1"/>
      <c r="B398" s="1"/>
      <c r="C398" s="1"/>
      <c r="D398" s="1"/>
      <c r="E398" s="6"/>
      <c r="F398" s="1"/>
      <c r="G398" s="6"/>
      <c r="H398" s="6"/>
      <c r="I398" s="6"/>
      <c r="J398" s="6"/>
      <c r="K398" s="6"/>
      <c r="L398" s="6"/>
      <c r="M398" s="6"/>
      <c r="N398" s="6"/>
      <c r="O398" s="7"/>
      <c r="P398" s="6"/>
      <c r="Q398" s="6"/>
      <c r="R398" s="7"/>
      <c r="S398" s="6"/>
      <c r="T398" s="6"/>
      <c r="U398" s="7"/>
      <c r="V398" s="6"/>
      <c r="W398" s="6"/>
      <c r="X398" s="6"/>
      <c r="Y398" s="6"/>
      <c r="Z398" s="6"/>
      <c r="AA398" s="7"/>
      <c r="AB398" s="6"/>
      <c r="AC398" s="6"/>
      <c r="AD398" s="6"/>
      <c r="AE398" s="12"/>
      <c r="AF398" s="12"/>
      <c r="AG398" s="12"/>
      <c r="AH398" s="12"/>
      <c r="AI398" s="6"/>
      <c r="AJ398" s="12"/>
      <c r="AK398" s="1"/>
      <c r="AL398" s="12"/>
      <c r="AM398" s="12"/>
      <c r="AN398" s="1"/>
      <c r="AO398" s="6"/>
    </row>
    <row r="399" spans="1:41" ht="15" x14ac:dyDescent="0.25">
      <c r="A399" s="1"/>
      <c r="B399" s="1"/>
      <c r="C399" s="1"/>
      <c r="D399" s="1"/>
      <c r="E399" s="6"/>
      <c r="F399" s="1"/>
      <c r="G399" s="6"/>
      <c r="H399" s="6"/>
      <c r="I399" s="6"/>
      <c r="J399" s="6"/>
      <c r="K399" s="6"/>
      <c r="L399" s="6"/>
      <c r="M399" s="6"/>
      <c r="N399" s="6"/>
      <c r="O399" s="7"/>
      <c r="P399" s="6"/>
      <c r="Q399" s="6"/>
      <c r="R399" s="7"/>
      <c r="S399" s="6"/>
      <c r="T399" s="6"/>
      <c r="U399" s="7"/>
      <c r="V399" s="6"/>
      <c r="W399" s="6"/>
      <c r="X399" s="6"/>
      <c r="Y399" s="6"/>
      <c r="Z399" s="6"/>
      <c r="AA399" s="7"/>
      <c r="AB399" s="6"/>
      <c r="AC399" s="6"/>
      <c r="AD399" s="6"/>
      <c r="AE399" s="12"/>
      <c r="AF399" s="12"/>
      <c r="AG399" s="12"/>
      <c r="AH399" s="12"/>
      <c r="AI399" s="6"/>
      <c r="AJ399" s="12"/>
      <c r="AK399" s="1"/>
      <c r="AL399" s="12"/>
      <c r="AM399" s="12"/>
      <c r="AN399" s="1"/>
      <c r="AO399" s="6"/>
    </row>
    <row r="400" spans="1:41" ht="15" x14ac:dyDescent="0.25">
      <c r="A400" s="1"/>
      <c r="B400" s="1"/>
      <c r="C400" s="1"/>
      <c r="D400" s="1"/>
      <c r="E400" s="6"/>
      <c r="F400" s="1"/>
      <c r="G400" s="6"/>
      <c r="H400" s="6"/>
      <c r="I400" s="6"/>
      <c r="J400" s="6"/>
      <c r="K400" s="6"/>
      <c r="L400" s="6"/>
      <c r="M400" s="6"/>
      <c r="N400" s="6"/>
      <c r="O400" s="7"/>
      <c r="P400" s="6"/>
      <c r="Q400" s="6"/>
      <c r="R400" s="7"/>
      <c r="S400" s="6"/>
      <c r="T400" s="6"/>
      <c r="U400" s="7"/>
      <c r="V400" s="6"/>
      <c r="W400" s="6"/>
      <c r="X400" s="6"/>
      <c r="Y400" s="6"/>
      <c r="Z400" s="6"/>
      <c r="AA400" s="7"/>
      <c r="AB400" s="6"/>
      <c r="AC400" s="6"/>
      <c r="AD400" s="6"/>
      <c r="AE400" s="12"/>
      <c r="AF400" s="6"/>
      <c r="AG400" s="12"/>
      <c r="AH400" s="6"/>
      <c r="AI400" s="6"/>
      <c r="AJ400" s="12"/>
      <c r="AK400" s="24"/>
      <c r="AL400" s="25"/>
      <c r="AM400" s="12"/>
      <c r="AN400" s="1"/>
      <c r="AO400" s="6"/>
    </row>
    <row r="401" spans="1:41" ht="15" x14ac:dyDescent="0.25">
      <c r="A401" s="1"/>
      <c r="B401" s="1"/>
      <c r="C401" s="1"/>
      <c r="D401" s="1"/>
      <c r="E401" s="6"/>
      <c r="F401" s="1"/>
      <c r="G401" s="6"/>
      <c r="H401" s="6"/>
      <c r="I401" s="6"/>
      <c r="J401" s="6"/>
      <c r="K401" s="6"/>
      <c r="L401" s="6"/>
      <c r="M401" s="6"/>
      <c r="N401" s="6"/>
      <c r="O401" s="7"/>
      <c r="P401" s="12"/>
      <c r="Q401" s="6"/>
      <c r="R401" s="7"/>
      <c r="S401" s="6"/>
      <c r="T401" s="6"/>
      <c r="U401" s="7"/>
      <c r="V401" s="6"/>
      <c r="W401" s="6"/>
      <c r="X401" s="6"/>
      <c r="Y401" s="6"/>
      <c r="Z401" s="6"/>
      <c r="AA401" s="7"/>
      <c r="AB401" s="6"/>
      <c r="AC401" s="6"/>
      <c r="AD401" s="6"/>
      <c r="AE401" s="12"/>
      <c r="AF401" s="6"/>
      <c r="AG401" s="12"/>
      <c r="AH401" s="6"/>
      <c r="AI401" s="6"/>
      <c r="AJ401" s="12"/>
      <c r="AK401" s="24"/>
      <c r="AL401" s="25"/>
      <c r="AM401" s="12"/>
      <c r="AN401" s="1"/>
      <c r="AO401" s="6"/>
    </row>
    <row r="402" spans="1:41" ht="15" x14ac:dyDescent="0.25">
      <c r="A402" s="1"/>
      <c r="B402" s="1"/>
      <c r="C402" s="1"/>
      <c r="D402" s="1"/>
      <c r="E402" s="6"/>
      <c r="F402" s="1"/>
      <c r="G402" s="6"/>
      <c r="H402" s="6"/>
      <c r="I402" s="6"/>
      <c r="J402" s="6"/>
      <c r="K402" s="6"/>
      <c r="L402" s="6"/>
      <c r="M402" s="6"/>
      <c r="N402" s="6"/>
      <c r="O402" s="7"/>
      <c r="P402" s="6"/>
      <c r="Q402" s="6"/>
      <c r="R402" s="7"/>
      <c r="S402" s="6"/>
      <c r="T402" s="6"/>
      <c r="U402" s="7"/>
      <c r="V402" s="6"/>
      <c r="W402" s="6"/>
      <c r="X402" s="12"/>
      <c r="Y402" s="6"/>
      <c r="Z402" s="6"/>
      <c r="AA402" s="7"/>
      <c r="AB402" s="6"/>
      <c r="AC402" s="6"/>
      <c r="AD402" s="6"/>
      <c r="AE402" s="12"/>
      <c r="AF402" s="12"/>
      <c r="AG402" s="12"/>
      <c r="AH402" s="12"/>
      <c r="AI402" s="6"/>
      <c r="AJ402" s="12"/>
      <c r="AK402" s="24"/>
      <c r="AL402" s="25"/>
      <c r="AM402" s="12"/>
      <c r="AN402" s="1"/>
      <c r="AO402" s="6"/>
    </row>
    <row r="403" spans="1:41" ht="15" x14ac:dyDescent="0.25">
      <c r="A403" s="1"/>
      <c r="B403" s="1"/>
      <c r="C403" s="1"/>
      <c r="D403" s="1"/>
      <c r="E403" s="6"/>
      <c r="F403" s="1"/>
      <c r="G403" s="6"/>
      <c r="H403" s="6"/>
      <c r="I403" s="6"/>
      <c r="J403" s="6"/>
      <c r="K403" s="6"/>
      <c r="L403" s="6"/>
      <c r="M403" s="6"/>
      <c r="N403" s="6"/>
      <c r="O403" s="7"/>
      <c r="P403" s="6"/>
      <c r="Q403" s="6"/>
      <c r="R403" s="7"/>
      <c r="S403" s="6"/>
      <c r="T403" s="6"/>
      <c r="U403" s="7"/>
      <c r="V403" s="6"/>
      <c r="W403" s="6"/>
      <c r="X403" s="6"/>
      <c r="Y403" s="6"/>
      <c r="Z403" s="6"/>
      <c r="AA403" s="7"/>
      <c r="AB403" s="6"/>
      <c r="AC403" s="6"/>
      <c r="AD403" s="6"/>
      <c r="AE403" s="12"/>
      <c r="AF403" s="6"/>
      <c r="AG403" s="12"/>
      <c r="AH403" s="6"/>
      <c r="AI403" s="6"/>
      <c r="AJ403" s="12"/>
      <c r="AK403" s="24"/>
      <c r="AL403" s="25"/>
      <c r="AM403" s="12"/>
      <c r="AN403" s="1"/>
      <c r="AO403" s="6"/>
    </row>
    <row r="404" spans="1:41" ht="15" x14ac:dyDescent="0.25">
      <c r="A404" s="1"/>
      <c r="B404" s="1"/>
      <c r="C404" s="1"/>
      <c r="D404" s="1"/>
      <c r="E404" s="6"/>
      <c r="F404" s="1"/>
      <c r="G404" s="6"/>
      <c r="H404" s="6"/>
      <c r="I404" s="6"/>
      <c r="J404" s="6"/>
      <c r="K404" s="6"/>
      <c r="L404" s="6"/>
      <c r="M404" s="6"/>
      <c r="N404" s="6"/>
      <c r="O404" s="7"/>
      <c r="P404" s="6"/>
      <c r="Q404" s="6"/>
      <c r="R404" s="7"/>
      <c r="S404" s="6"/>
      <c r="T404" s="6"/>
      <c r="U404" s="7"/>
      <c r="V404" s="6"/>
      <c r="W404" s="6"/>
      <c r="X404" s="6"/>
      <c r="Y404" s="6"/>
      <c r="Z404" s="6"/>
      <c r="AA404" s="7"/>
      <c r="AB404" s="6"/>
      <c r="AC404" s="6"/>
      <c r="AD404" s="6"/>
      <c r="AE404" s="12"/>
      <c r="AF404" s="6"/>
      <c r="AG404" s="12"/>
      <c r="AH404" s="6"/>
      <c r="AI404" s="6"/>
      <c r="AJ404" s="12"/>
      <c r="AK404" s="1"/>
      <c r="AL404" s="12"/>
      <c r="AM404" s="12"/>
      <c r="AN404" s="1"/>
      <c r="AO404" s="6"/>
    </row>
    <row r="405" spans="1:41" ht="15" x14ac:dyDescent="0.25">
      <c r="A405" s="1"/>
      <c r="B405" s="1"/>
      <c r="C405" s="1"/>
      <c r="D405" s="1"/>
      <c r="E405" s="6"/>
      <c r="F405" s="1"/>
      <c r="G405" s="6"/>
      <c r="H405" s="6"/>
      <c r="I405" s="6"/>
      <c r="J405" s="6"/>
      <c r="K405" s="6"/>
      <c r="L405" s="6"/>
      <c r="M405" s="6"/>
      <c r="N405" s="6"/>
      <c r="O405" s="7"/>
      <c r="P405" s="6"/>
      <c r="Q405" s="6"/>
      <c r="R405" s="7"/>
      <c r="S405" s="6"/>
      <c r="T405" s="6"/>
      <c r="U405" s="7"/>
      <c r="V405" s="6"/>
      <c r="W405" s="6"/>
      <c r="X405" s="6"/>
      <c r="Y405" s="6"/>
      <c r="Z405" s="6"/>
      <c r="AA405" s="7"/>
      <c r="AB405" s="6"/>
      <c r="AC405" s="6"/>
      <c r="AD405" s="6"/>
      <c r="AE405" s="12"/>
      <c r="AF405" s="12"/>
      <c r="AG405" s="12"/>
      <c r="AH405" s="12"/>
      <c r="AI405" s="6"/>
      <c r="AJ405" s="12"/>
      <c r="AK405" s="1"/>
      <c r="AL405" s="12"/>
      <c r="AM405" s="12"/>
      <c r="AN405" s="1"/>
      <c r="AO405" s="6"/>
    </row>
    <row r="406" spans="1:41" ht="15" x14ac:dyDescent="0.25">
      <c r="A406" s="1"/>
      <c r="B406" s="1"/>
      <c r="C406" s="1"/>
      <c r="D406" s="1"/>
      <c r="E406" s="6"/>
      <c r="F406" s="1"/>
      <c r="G406" s="6"/>
      <c r="H406" s="6"/>
      <c r="I406" s="6"/>
      <c r="J406" s="6"/>
      <c r="K406" s="6"/>
      <c r="L406" s="6"/>
      <c r="M406" s="6"/>
      <c r="N406" s="6"/>
      <c r="O406" s="7"/>
      <c r="P406" s="6"/>
      <c r="Q406" s="6"/>
      <c r="R406" s="7"/>
      <c r="S406" s="6"/>
      <c r="T406" s="6"/>
      <c r="U406" s="6"/>
      <c r="V406" s="6"/>
      <c r="W406" s="6"/>
      <c r="X406" s="7"/>
      <c r="Y406" s="6"/>
      <c r="Z406" s="6"/>
      <c r="AA406" s="7"/>
      <c r="AB406" s="6"/>
      <c r="AC406" s="6"/>
      <c r="AD406" s="6"/>
      <c r="AE406" s="12"/>
      <c r="AF406" s="6"/>
      <c r="AG406" s="12"/>
      <c r="AH406" s="6"/>
      <c r="AI406" s="6"/>
      <c r="AJ406" s="12"/>
      <c r="AK406" s="6"/>
      <c r="AL406" s="12"/>
      <c r="AM406" s="12"/>
      <c r="AN406" s="1"/>
      <c r="AO406" s="6"/>
    </row>
    <row r="407" spans="1:41" ht="15" x14ac:dyDescent="0.25">
      <c r="A407" s="1"/>
      <c r="B407" s="1"/>
      <c r="C407" s="1"/>
      <c r="D407" s="1"/>
      <c r="E407" s="6"/>
      <c r="F407" s="1"/>
      <c r="G407" s="6"/>
      <c r="H407" s="6"/>
      <c r="I407" s="6"/>
      <c r="J407" s="6"/>
      <c r="K407" s="12"/>
      <c r="L407" s="12"/>
      <c r="M407" s="6"/>
      <c r="N407" s="6"/>
      <c r="O407" s="7"/>
      <c r="P407" s="6"/>
      <c r="Q407" s="6"/>
      <c r="R407" s="7"/>
      <c r="S407" s="6"/>
      <c r="T407" s="6"/>
      <c r="U407" s="7"/>
      <c r="V407" s="6"/>
      <c r="W407" s="6"/>
      <c r="X407" s="6"/>
      <c r="Y407" s="6"/>
      <c r="Z407" s="6"/>
      <c r="AA407" s="7"/>
      <c r="AB407" s="6"/>
      <c r="AC407" s="6"/>
      <c r="AD407" s="6"/>
      <c r="AE407" s="12"/>
      <c r="AF407" s="12"/>
      <c r="AG407" s="12"/>
      <c r="AH407" s="12"/>
      <c r="AI407" s="6"/>
      <c r="AJ407" s="12"/>
      <c r="AK407" s="1"/>
      <c r="AL407" s="12"/>
      <c r="AM407" s="12"/>
      <c r="AN407" s="1"/>
      <c r="AO407" s="6"/>
    </row>
    <row r="408" spans="1:41" ht="15" x14ac:dyDescent="0.25">
      <c r="A408" s="1"/>
      <c r="B408" s="1"/>
      <c r="C408" s="1"/>
      <c r="D408" s="1"/>
      <c r="E408" s="6"/>
      <c r="F408" s="1"/>
      <c r="G408" s="6"/>
      <c r="H408" s="6"/>
      <c r="I408" s="6"/>
      <c r="J408" s="6"/>
      <c r="K408" s="6"/>
      <c r="L408" s="6"/>
      <c r="M408" s="6"/>
      <c r="N408" s="6"/>
      <c r="O408" s="7"/>
      <c r="P408" s="6"/>
      <c r="Q408" s="6"/>
      <c r="R408" s="7"/>
      <c r="S408" s="6"/>
      <c r="T408" s="6"/>
      <c r="U408" s="7"/>
      <c r="V408" s="6"/>
      <c r="W408" s="6"/>
      <c r="X408" s="6"/>
      <c r="Y408" s="6"/>
      <c r="Z408" s="6"/>
      <c r="AA408" s="7"/>
      <c r="AB408" s="6"/>
      <c r="AC408" s="6"/>
      <c r="AD408" s="6"/>
      <c r="AE408" s="12"/>
      <c r="AF408" s="6"/>
      <c r="AG408" s="12"/>
      <c r="AH408" s="6"/>
      <c r="AI408" s="6"/>
      <c r="AJ408" s="12"/>
      <c r="AK408" s="24"/>
      <c r="AL408" s="25"/>
      <c r="AM408" s="12"/>
      <c r="AN408" s="1"/>
      <c r="AO408" s="6"/>
    </row>
    <row r="409" spans="1:41" ht="15" x14ac:dyDescent="0.25">
      <c r="A409" s="1"/>
      <c r="B409" s="1"/>
      <c r="C409" s="1"/>
      <c r="D409" s="1"/>
      <c r="E409" s="6"/>
      <c r="F409" s="1"/>
      <c r="G409" s="6"/>
      <c r="H409" s="6"/>
      <c r="I409" s="6"/>
      <c r="J409" s="6"/>
      <c r="K409" s="6"/>
      <c r="L409" s="6"/>
      <c r="M409" s="6"/>
      <c r="N409" s="6"/>
      <c r="O409" s="7"/>
      <c r="P409" s="6"/>
      <c r="Q409" s="6"/>
      <c r="R409" s="7"/>
      <c r="S409" s="6"/>
      <c r="T409" s="6"/>
      <c r="U409" s="7"/>
      <c r="V409" s="6"/>
      <c r="W409" s="6"/>
      <c r="X409" s="12"/>
      <c r="Y409" s="6"/>
      <c r="Z409" s="6"/>
      <c r="AA409" s="7"/>
      <c r="AB409" s="6"/>
      <c r="AC409" s="6"/>
      <c r="AD409" s="6"/>
      <c r="AE409" s="12"/>
      <c r="AF409" s="12"/>
      <c r="AG409" s="12"/>
      <c r="AH409" s="12"/>
      <c r="AI409" s="6"/>
      <c r="AJ409" s="12"/>
      <c r="AK409" s="24"/>
      <c r="AL409" s="25"/>
      <c r="AM409" s="12"/>
      <c r="AN409" s="1"/>
      <c r="AO409" s="6"/>
    </row>
    <row r="410" spans="1:41" ht="15" x14ac:dyDescent="0.25">
      <c r="A410" s="1"/>
      <c r="B410" s="1"/>
      <c r="C410" s="1"/>
      <c r="D410" s="1"/>
      <c r="E410" s="6"/>
      <c r="F410" s="1"/>
      <c r="G410" s="6"/>
      <c r="H410" s="6"/>
      <c r="I410" s="6"/>
      <c r="J410" s="6"/>
      <c r="K410" s="6"/>
      <c r="L410" s="6"/>
      <c r="M410" s="6"/>
      <c r="N410" s="6"/>
      <c r="O410" s="7"/>
      <c r="P410" s="6"/>
      <c r="Q410" s="6"/>
      <c r="R410" s="7"/>
      <c r="S410" s="6"/>
      <c r="T410" s="6"/>
      <c r="U410" s="7"/>
      <c r="V410" s="6"/>
      <c r="W410" s="6"/>
      <c r="X410" s="6"/>
      <c r="Y410" s="6"/>
      <c r="Z410" s="6"/>
      <c r="AA410" s="7"/>
      <c r="AB410" s="6"/>
      <c r="AC410" s="6"/>
      <c r="AD410" s="6"/>
      <c r="AE410" s="12"/>
      <c r="AF410" s="12"/>
      <c r="AG410" s="12"/>
      <c r="AH410" s="12"/>
      <c r="AI410" s="6"/>
      <c r="AJ410" s="12"/>
      <c r="AK410" s="1"/>
      <c r="AL410" s="12"/>
      <c r="AM410" s="12"/>
      <c r="AN410" s="1"/>
      <c r="AO410" s="6"/>
    </row>
    <row r="411" spans="1:41" ht="15" x14ac:dyDescent="0.25">
      <c r="A411" s="1"/>
      <c r="B411" s="1"/>
      <c r="C411" s="1"/>
      <c r="D411" s="1"/>
      <c r="E411" s="6"/>
      <c r="F411" s="1"/>
      <c r="G411" s="6"/>
      <c r="H411" s="6"/>
      <c r="I411" s="6"/>
      <c r="J411" s="6"/>
      <c r="K411" s="6"/>
      <c r="L411" s="6"/>
      <c r="M411" s="6"/>
      <c r="N411" s="6"/>
      <c r="O411" s="7"/>
      <c r="P411" s="6"/>
      <c r="Q411" s="6"/>
      <c r="R411" s="7"/>
      <c r="S411" s="6"/>
      <c r="T411" s="6"/>
      <c r="U411" s="7"/>
      <c r="V411" s="6"/>
      <c r="W411" s="6"/>
      <c r="X411" s="6"/>
      <c r="Y411" s="6"/>
      <c r="Z411" s="6"/>
      <c r="AA411" s="7"/>
      <c r="AB411" s="6"/>
      <c r="AC411" s="6"/>
      <c r="AD411" s="6"/>
      <c r="AE411" s="12"/>
      <c r="AF411" s="6"/>
      <c r="AG411" s="12"/>
      <c r="AH411" s="6"/>
      <c r="AI411" s="6"/>
      <c r="AJ411" s="12"/>
      <c r="AK411" s="24"/>
      <c r="AL411" s="25"/>
      <c r="AM411" s="12"/>
      <c r="AN411" s="1"/>
      <c r="AO411" s="6"/>
    </row>
    <row r="412" spans="1:41" ht="15" x14ac:dyDescent="0.25">
      <c r="A412" s="1"/>
      <c r="B412" s="1"/>
      <c r="C412" s="1"/>
      <c r="D412" s="1"/>
      <c r="E412" s="6"/>
      <c r="F412" s="1"/>
      <c r="G412" s="6"/>
      <c r="H412" s="6"/>
      <c r="I412" s="6"/>
      <c r="J412" s="6"/>
      <c r="K412" s="6"/>
      <c r="L412" s="6"/>
      <c r="M412" s="6"/>
      <c r="N412" s="6"/>
      <c r="O412" s="7"/>
      <c r="P412" s="6"/>
      <c r="Q412" s="6"/>
      <c r="R412" s="7"/>
      <c r="S412" s="6"/>
      <c r="T412" s="6"/>
      <c r="U412" s="7"/>
      <c r="V412" s="6"/>
      <c r="W412" s="6"/>
      <c r="X412" s="12"/>
      <c r="Y412" s="6"/>
      <c r="Z412" s="6"/>
      <c r="AA412" s="7"/>
      <c r="AB412" s="6"/>
      <c r="AC412" s="6"/>
      <c r="AD412" s="6"/>
      <c r="AE412" s="12"/>
      <c r="AF412" s="6"/>
      <c r="AG412" s="12"/>
      <c r="AH412" s="6"/>
      <c r="AI412" s="6"/>
      <c r="AJ412" s="12"/>
      <c r="AK412" s="1"/>
      <c r="AL412" s="12"/>
      <c r="AM412" s="12"/>
      <c r="AN412" s="1"/>
      <c r="AO412" s="6"/>
    </row>
    <row r="413" spans="1:41" ht="15" x14ac:dyDescent="0.25">
      <c r="A413" s="1"/>
      <c r="B413" s="1"/>
      <c r="C413" s="1"/>
      <c r="D413" s="1"/>
      <c r="E413" s="6"/>
      <c r="F413" s="1"/>
      <c r="G413" s="6"/>
      <c r="H413" s="6"/>
      <c r="I413" s="6"/>
      <c r="J413" s="6"/>
      <c r="K413" s="6"/>
      <c r="L413" s="6"/>
      <c r="M413" s="6"/>
      <c r="N413" s="6"/>
      <c r="O413" s="7"/>
      <c r="P413" s="6"/>
      <c r="Q413" s="6"/>
      <c r="R413" s="7"/>
      <c r="S413" s="6"/>
      <c r="T413" s="6"/>
      <c r="U413" s="7"/>
      <c r="V413" s="6"/>
      <c r="W413" s="6"/>
      <c r="X413" s="6"/>
      <c r="Y413" s="6"/>
      <c r="Z413" s="6"/>
      <c r="AA413" s="7"/>
      <c r="AB413" s="6"/>
      <c r="AC413" s="6"/>
      <c r="AD413" s="6"/>
      <c r="AE413" s="12"/>
      <c r="AF413" s="6"/>
      <c r="AG413" s="12"/>
      <c r="AH413" s="6"/>
      <c r="AI413" s="6"/>
      <c r="AJ413" s="12"/>
      <c r="AK413" s="24"/>
      <c r="AL413" s="25"/>
      <c r="AM413" s="12"/>
      <c r="AN413" s="1"/>
      <c r="AO413" s="6"/>
    </row>
    <row r="414" spans="1:41" ht="15" x14ac:dyDescent="0.25">
      <c r="A414" s="1"/>
      <c r="B414" s="1"/>
      <c r="C414" s="1"/>
      <c r="D414" s="1"/>
      <c r="E414" s="6"/>
      <c r="F414" s="1"/>
      <c r="G414" s="6"/>
      <c r="H414" s="6"/>
      <c r="I414" s="6"/>
      <c r="J414" s="6"/>
      <c r="K414" s="6"/>
      <c r="L414" s="6"/>
      <c r="M414" s="6"/>
      <c r="N414" s="6"/>
      <c r="O414" s="7"/>
      <c r="P414" s="12"/>
      <c r="Q414" s="6"/>
      <c r="R414" s="7"/>
      <c r="S414" s="6"/>
      <c r="T414" s="6"/>
      <c r="U414" s="7"/>
      <c r="V414" s="6"/>
      <c r="W414" s="6"/>
      <c r="X414" s="6"/>
      <c r="Y414" s="6"/>
      <c r="Z414" s="6"/>
      <c r="AA414" s="7"/>
      <c r="AB414" s="6"/>
      <c r="AC414" s="6"/>
      <c r="AD414" s="6"/>
      <c r="AE414" s="12"/>
      <c r="AF414" s="12"/>
      <c r="AG414" s="12"/>
      <c r="AH414" s="12"/>
      <c r="AI414" s="6"/>
      <c r="AJ414" s="12"/>
      <c r="AK414" s="1"/>
      <c r="AL414" s="12"/>
      <c r="AM414" s="12"/>
      <c r="AN414" s="1"/>
      <c r="AO414" s="6"/>
    </row>
    <row r="415" spans="1:41" ht="15" x14ac:dyDescent="0.25">
      <c r="A415" s="1"/>
      <c r="B415" s="1"/>
      <c r="C415" s="1"/>
      <c r="D415" s="1"/>
      <c r="E415" s="6"/>
      <c r="F415" s="1"/>
      <c r="G415" s="6"/>
      <c r="H415" s="6"/>
      <c r="I415" s="6"/>
      <c r="J415" s="6"/>
      <c r="K415" s="6"/>
      <c r="L415" s="6"/>
      <c r="M415" s="6"/>
      <c r="N415" s="6"/>
      <c r="O415" s="7"/>
      <c r="P415" s="6"/>
      <c r="Q415" s="6"/>
      <c r="R415" s="7"/>
      <c r="S415" s="6"/>
      <c r="T415" s="6"/>
      <c r="U415" s="7"/>
      <c r="V415" s="6"/>
      <c r="W415" s="6"/>
      <c r="X415" s="12"/>
      <c r="Y415" s="6"/>
      <c r="Z415" s="6"/>
      <c r="AA415" s="7"/>
      <c r="AB415" s="6"/>
      <c r="AC415" s="6"/>
      <c r="AD415" s="6"/>
      <c r="AE415" s="12"/>
      <c r="AF415" s="6"/>
      <c r="AG415" s="12"/>
      <c r="AH415" s="6"/>
      <c r="AI415" s="6"/>
      <c r="AJ415" s="12"/>
      <c r="AK415" s="1"/>
      <c r="AL415" s="12"/>
      <c r="AM415" s="12"/>
      <c r="AN415" s="1"/>
      <c r="AO415" s="6"/>
    </row>
    <row r="416" spans="1:41" ht="15" x14ac:dyDescent="0.25">
      <c r="A416" s="1"/>
      <c r="B416" s="1"/>
      <c r="C416" s="1"/>
      <c r="D416" s="1"/>
      <c r="E416" s="6"/>
      <c r="F416" s="1"/>
      <c r="G416" s="6"/>
      <c r="H416" s="6"/>
      <c r="I416" s="6"/>
      <c r="J416" s="6"/>
      <c r="K416" s="6"/>
      <c r="L416" s="6"/>
      <c r="M416" s="6"/>
      <c r="N416" s="6"/>
      <c r="O416" s="7"/>
      <c r="P416" s="6"/>
      <c r="Q416" s="7"/>
      <c r="R416" s="6"/>
      <c r="S416" s="12"/>
      <c r="T416" s="6"/>
      <c r="U416" s="6"/>
      <c r="V416" s="7"/>
      <c r="W416" s="6"/>
      <c r="X416" s="6"/>
      <c r="Y416" s="6"/>
      <c r="Z416" s="6"/>
      <c r="AA416" s="1"/>
      <c r="AB416" s="12"/>
      <c r="AC416" s="12"/>
      <c r="AD416" s="12"/>
      <c r="AE416" s="12"/>
      <c r="AF416" s="6"/>
      <c r="AG416" s="12"/>
      <c r="AH416" s="6"/>
      <c r="AI416" s="6"/>
      <c r="AJ416" s="12"/>
      <c r="AK416" s="12"/>
      <c r="AL416" s="12"/>
      <c r="AM416" s="12"/>
      <c r="AN416" s="1"/>
      <c r="AO416" s="6"/>
    </row>
    <row r="417" spans="1:41" ht="15" x14ac:dyDescent="0.25">
      <c r="A417" s="1"/>
      <c r="B417" s="1"/>
      <c r="C417" s="1"/>
      <c r="D417" s="1"/>
      <c r="E417" s="6"/>
      <c r="F417" s="1"/>
      <c r="G417" s="6"/>
      <c r="H417" s="6"/>
      <c r="I417" s="6"/>
      <c r="J417" s="6"/>
      <c r="K417" s="6"/>
      <c r="L417" s="6"/>
      <c r="M417" s="6"/>
      <c r="N417" s="6"/>
      <c r="O417" s="7"/>
      <c r="P417" s="6"/>
      <c r="Q417" s="6"/>
      <c r="R417" s="7"/>
      <c r="S417" s="6"/>
      <c r="T417" s="6"/>
      <c r="U417" s="7"/>
      <c r="V417" s="6"/>
      <c r="W417" s="6"/>
      <c r="X417" s="6"/>
      <c r="Y417" s="6"/>
      <c r="Z417" s="6"/>
      <c r="AA417" s="7"/>
      <c r="AB417" s="6"/>
      <c r="AC417" s="6"/>
      <c r="AD417" s="6"/>
      <c r="AE417" s="12"/>
      <c r="AF417" s="6"/>
      <c r="AG417" s="12"/>
      <c r="AH417" s="6"/>
      <c r="AI417" s="6"/>
      <c r="AJ417" s="12"/>
      <c r="AK417" s="24"/>
      <c r="AL417" s="25"/>
      <c r="AM417" s="12"/>
      <c r="AN417" s="1"/>
      <c r="AO417" s="6"/>
    </row>
    <row r="418" spans="1:41" ht="15" x14ac:dyDescent="0.25">
      <c r="A418" s="1"/>
      <c r="B418" s="1"/>
      <c r="C418" s="1"/>
      <c r="D418" s="1"/>
      <c r="E418" s="6"/>
      <c r="F418" s="1"/>
      <c r="G418" s="6"/>
      <c r="H418" s="6"/>
      <c r="I418" s="6"/>
      <c r="J418" s="6"/>
      <c r="K418" s="6"/>
      <c r="L418" s="6"/>
      <c r="M418" s="6"/>
      <c r="N418" s="6"/>
      <c r="O418" s="7"/>
      <c r="P418" s="6"/>
      <c r="Q418" s="6"/>
      <c r="R418" s="7"/>
      <c r="S418" s="6"/>
      <c r="T418" s="6"/>
      <c r="U418" s="7"/>
      <c r="V418" s="6"/>
      <c r="W418" s="6"/>
      <c r="X418" s="6"/>
      <c r="Y418" s="6"/>
      <c r="Z418" s="6"/>
      <c r="AA418" s="7"/>
      <c r="AB418" s="6"/>
      <c r="AC418" s="6"/>
      <c r="AD418" s="6"/>
      <c r="AE418" s="12"/>
      <c r="AF418" s="6"/>
      <c r="AG418" s="12"/>
      <c r="AH418" s="6"/>
      <c r="AI418" s="6"/>
      <c r="AJ418" s="12"/>
      <c r="AK418" s="1"/>
      <c r="AL418" s="12"/>
      <c r="AM418" s="12"/>
      <c r="AN418" s="1"/>
      <c r="AO418" s="6"/>
    </row>
    <row r="419" spans="1:41" ht="15" x14ac:dyDescent="0.25">
      <c r="A419" s="1"/>
      <c r="B419" s="1"/>
      <c r="C419" s="1"/>
      <c r="D419" s="1"/>
      <c r="E419" s="6"/>
      <c r="F419" s="1"/>
      <c r="G419" s="6"/>
      <c r="H419" s="6"/>
      <c r="I419" s="6"/>
      <c r="J419" s="6"/>
      <c r="K419" s="6"/>
      <c r="L419" s="6"/>
      <c r="M419" s="6"/>
      <c r="N419" s="6"/>
      <c r="O419" s="7"/>
      <c r="P419" s="12"/>
      <c r="Q419" s="6"/>
      <c r="R419" s="7"/>
      <c r="S419" s="6"/>
      <c r="T419" s="6"/>
      <c r="U419" s="7"/>
      <c r="V419" s="6"/>
      <c r="W419" s="6"/>
      <c r="X419" s="6"/>
      <c r="Y419" s="6"/>
      <c r="Z419" s="6"/>
      <c r="AA419" s="7"/>
      <c r="AB419" s="6"/>
      <c r="AC419" s="6"/>
      <c r="AD419" s="6"/>
      <c r="AE419" s="12"/>
      <c r="AF419" s="6"/>
      <c r="AG419" s="12"/>
      <c r="AH419" s="6"/>
      <c r="AI419" s="6"/>
      <c r="AJ419" s="12"/>
      <c r="AK419" s="24"/>
      <c r="AL419" s="25"/>
      <c r="AM419" s="12"/>
      <c r="AN419" s="1"/>
      <c r="AO419" s="6"/>
    </row>
    <row r="420" spans="1:41" ht="15" x14ac:dyDescent="0.25">
      <c r="A420" s="1"/>
      <c r="B420" s="1"/>
      <c r="C420" s="1"/>
      <c r="D420" s="1"/>
      <c r="E420" s="6"/>
      <c r="F420" s="1"/>
      <c r="G420" s="6"/>
      <c r="H420" s="6"/>
      <c r="I420" s="6"/>
      <c r="J420" s="6"/>
      <c r="K420" s="6"/>
      <c r="L420" s="6"/>
      <c r="M420" s="6"/>
      <c r="N420" s="6"/>
      <c r="O420" s="7"/>
      <c r="P420" s="6"/>
      <c r="Q420" s="6"/>
      <c r="R420" s="7"/>
      <c r="S420" s="6"/>
      <c r="T420" s="6"/>
      <c r="U420" s="7"/>
      <c r="V420" s="6"/>
      <c r="W420" s="6"/>
      <c r="X420" s="6"/>
      <c r="Y420" s="6"/>
      <c r="Z420" s="6"/>
      <c r="AA420" s="7"/>
      <c r="AB420" s="6"/>
      <c r="AC420" s="6"/>
      <c r="AD420" s="6"/>
      <c r="AE420" s="12"/>
      <c r="AF420" s="6"/>
      <c r="AG420" s="12"/>
      <c r="AH420" s="6"/>
      <c r="AI420" s="6"/>
      <c r="AJ420" s="12"/>
      <c r="AK420" s="1"/>
      <c r="AL420" s="12"/>
      <c r="AM420" s="12"/>
      <c r="AN420" s="1"/>
      <c r="AO420" s="6"/>
    </row>
    <row r="421" spans="1:41" ht="15" x14ac:dyDescent="0.25">
      <c r="A421" s="1"/>
      <c r="B421" s="1"/>
      <c r="C421" s="1"/>
      <c r="D421" s="1"/>
      <c r="E421" s="6"/>
      <c r="F421" s="1"/>
      <c r="G421" s="6"/>
      <c r="H421" s="6"/>
      <c r="I421" s="6"/>
      <c r="J421" s="6"/>
      <c r="K421" s="6"/>
      <c r="L421" s="6"/>
      <c r="M421" s="6"/>
      <c r="N421" s="6"/>
      <c r="O421" s="7"/>
      <c r="P421" s="6"/>
      <c r="Q421" s="6"/>
      <c r="R421" s="7"/>
      <c r="S421" s="6"/>
      <c r="T421" s="6"/>
      <c r="U421" s="7"/>
      <c r="V421" s="6"/>
      <c r="W421" s="6"/>
      <c r="X421" s="6"/>
      <c r="Y421" s="6"/>
      <c r="Z421" s="6"/>
      <c r="AA421" s="7"/>
      <c r="AB421" s="6"/>
      <c r="AC421" s="6"/>
      <c r="AD421" s="6"/>
      <c r="AE421" s="12"/>
      <c r="AF421" s="6"/>
      <c r="AG421" s="12"/>
      <c r="AH421" s="6"/>
      <c r="AI421" s="6"/>
      <c r="AJ421" s="12"/>
      <c r="AK421" s="24"/>
      <c r="AL421" s="25"/>
      <c r="AM421" s="12"/>
      <c r="AN421" s="1"/>
      <c r="AO421" s="6"/>
    </row>
    <row r="422" spans="1:41" ht="15" x14ac:dyDescent="0.25">
      <c r="A422" s="1"/>
      <c r="B422" s="1"/>
      <c r="C422" s="1"/>
      <c r="D422" s="1"/>
      <c r="E422" s="6"/>
      <c r="F422" s="1"/>
      <c r="G422" s="6"/>
      <c r="H422" s="6"/>
      <c r="I422" s="6"/>
      <c r="J422" s="6"/>
      <c r="K422" s="6"/>
      <c r="L422" s="6"/>
      <c r="M422" s="6"/>
      <c r="N422" s="6"/>
      <c r="O422" s="7"/>
      <c r="P422" s="6"/>
      <c r="Q422" s="7"/>
      <c r="R422" s="6"/>
      <c r="S422" s="6"/>
      <c r="T422" s="6"/>
      <c r="U422" s="6"/>
      <c r="V422" s="7"/>
      <c r="W422" s="7"/>
      <c r="X422" s="6"/>
      <c r="Y422" s="6"/>
      <c r="Z422" s="6"/>
      <c r="AA422" s="1"/>
      <c r="AB422" s="12"/>
      <c r="AC422" s="12"/>
      <c r="AD422" s="12"/>
      <c r="AE422" s="12"/>
      <c r="AF422" s="12"/>
      <c r="AG422" s="12"/>
      <c r="AH422" s="12"/>
      <c r="AI422" s="6"/>
      <c r="AJ422" s="12"/>
      <c r="AK422" s="12"/>
      <c r="AL422" s="12"/>
      <c r="AM422" s="12"/>
      <c r="AN422" s="1"/>
      <c r="AO422" s="6"/>
    </row>
    <row r="423" spans="1:41" ht="15" x14ac:dyDescent="0.25">
      <c r="A423" s="1"/>
      <c r="B423" s="1"/>
      <c r="C423" s="1"/>
      <c r="D423" s="1"/>
      <c r="E423" s="6"/>
      <c r="F423" s="1"/>
      <c r="G423" s="6"/>
      <c r="H423" s="6"/>
      <c r="I423" s="6"/>
      <c r="J423" s="6"/>
      <c r="K423" s="6"/>
      <c r="L423" s="6"/>
      <c r="M423" s="6"/>
      <c r="N423" s="6"/>
      <c r="O423" s="7"/>
      <c r="P423" s="6"/>
      <c r="Q423" s="6"/>
      <c r="R423" s="7"/>
      <c r="S423" s="6"/>
      <c r="T423" s="6"/>
      <c r="U423" s="7"/>
      <c r="V423" s="6"/>
      <c r="W423" s="6"/>
      <c r="X423" s="12"/>
      <c r="Y423" s="6"/>
      <c r="Z423" s="6"/>
      <c r="AA423" s="7"/>
      <c r="AB423" s="6"/>
      <c r="AC423" s="6"/>
      <c r="AD423" s="6"/>
      <c r="AE423" s="12"/>
      <c r="AF423" s="6"/>
      <c r="AG423" s="12"/>
      <c r="AH423" s="6"/>
      <c r="AI423" s="6"/>
      <c r="AJ423" s="12"/>
      <c r="AK423" s="1"/>
      <c r="AL423" s="12"/>
      <c r="AM423" s="12"/>
      <c r="AN423" s="1"/>
      <c r="AO423" s="6"/>
    </row>
    <row r="424" spans="1:41" ht="15" x14ac:dyDescent="0.25">
      <c r="A424" s="1"/>
      <c r="B424" s="1"/>
      <c r="C424" s="1"/>
      <c r="D424" s="1"/>
      <c r="E424" s="6"/>
      <c r="F424" s="1"/>
      <c r="G424" s="6"/>
      <c r="H424" s="6"/>
      <c r="I424" s="6"/>
      <c r="J424" s="6"/>
      <c r="K424" s="6"/>
      <c r="L424" s="6"/>
      <c r="M424" s="6"/>
      <c r="N424" s="6"/>
      <c r="O424" s="7"/>
      <c r="P424" s="6"/>
      <c r="Q424" s="6"/>
      <c r="R424" s="7"/>
      <c r="S424" s="6"/>
      <c r="T424" s="6"/>
      <c r="U424" s="7"/>
      <c r="V424" s="6"/>
      <c r="W424" s="6"/>
      <c r="X424" s="12"/>
      <c r="Y424" s="6"/>
      <c r="Z424" s="6"/>
      <c r="AA424" s="7"/>
      <c r="AB424" s="6"/>
      <c r="AC424" s="6"/>
      <c r="AD424" s="6"/>
      <c r="AE424" s="12"/>
      <c r="AF424" s="12"/>
      <c r="AG424" s="12"/>
      <c r="AH424" s="12"/>
      <c r="AI424" s="6"/>
      <c r="AJ424" s="12"/>
      <c r="AK424" s="1"/>
      <c r="AL424" s="12"/>
      <c r="AM424" s="12"/>
      <c r="AN424" s="1"/>
      <c r="AO424" s="6"/>
    </row>
    <row r="425" spans="1:41" ht="15" x14ac:dyDescent="0.25">
      <c r="A425" s="1"/>
      <c r="B425" s="1"/>
      <c r="C425" s="1"/>
      <c r="D425" s="1"/>
      <c r="E425" s="6"/>
      <c r="F425" s="1"/>
      <c r="G425" s="6"/>
      <c r="H425" s="6"/>
      <c r="I425" s="6"/>
      <c r="J425" s="6"/>
      <c r="K425" s="6"/>
      <c r="L425" s="6"/>
      <c r="M425" s="6"/>
      <c r="N425" s="6"/>
      <c r="O425" s="7"/>
      <c r="P425" s="6"/>
      <c r="Q425" s="6"/>
      <c r="R425" s="7"/>
      <c r="S425" s="6"/>
      <c r="T425" s="6"/>
      <c r="U425" s="7"/>
      <c r="V425" s="6"/>
      <c r="W425" s="6"/>
      <c r="X425" s="12"/>
      <c r="Y425" s="6"/>
      <c r="Z425" s="6"/>
      <c r="AA425" s="7"/>
      <c r="AB425" s="6"/>
      <c r="AC425" s="6"/>
      <c r="AD425" s="6"/>
      <c r="AE425" s="12"/>
      <c r="AF425" s="6"/>
      <c r="AG425" s="12"/>
      <c r="AH425" s="6"/>
      <c r="AI425" s="6"/>
      <c r="AJ425" s="12"/>
      <c r="AK425" s="24"/>
      <c r="AL425" s="25"/>
      <c r="AM425" s="12"/>
      <c r="AN425" s="1"/>
      <c r="AO425" s="6"/>
    </row>
    <row r="426" spans="1:41" ht="15" x14ac:dyDescent="0.25">
      <c r="A426" s="1"/>
      <c r="B426" s="1"/>
      <c r="C426" s="1"/>
      <c r="D426" s="1"/>
      <c r="E426" s="6"/>
      <c r="F426" s="1"/>
      <c r="G426" s="6"/>
      <c r="H426" s="6"/>
      <c r="I426" s="6"/>
      <c r="J426" s="6"/>
      <c r="K426" s="6"/>
      <c r="L426" s="6"/>
      <c r="M426" s="6"/>
      <c r="N426" s="6"/>
      <c r="O426" s="7"/>
      <c r="P426" s="6"/>
      <c r="Q426" s="6"/>
      <c r="R426" s="7"/>
      <c r="S426" s="6"/>
      <c r="T426" s="6"/>
      <c r="U426" s="7"/>
      <c r="V426" s="6"/>
      <c r="W426" s="6"/>
      <c r="X426" s="6"/>
      <c r="Y426" s="6"/>
      <c r="Z426" s="6"/>
      <c r="AA426" s="7"/>
      <c r="AB426" s="6"/>
      <c r="AC426" s="6"/>
      <c r="AD426" s="6"/>
      <c r="AE426" s="12"/>
      <c r="AF426" s="6"/>
      <c r="AG426" s="12"/>
      <c r="AH426" s="6"/>
      <c r="AI426" s="6"/>
      <c r="AJ426" s="12"/>
      <c r="AK426" s="24"/>
      <c r="AL426" s="25"/>
      <c r="AM426" s="12"/>
      <c r="AN426" s="1"/>
      <c r="AO426" s="6"/>
    </row>
    <row r="427" spans="1:41" ht="15" x14ac:dyDescent="0.25">
      <c r="A427" s="1"/>
      <c r="B427" s="1"/>
      <c r="C427" s="1"/>
      <c r="D427" s="1"/>
      <c r="E427" s="6"/>
      <c r="F427" s="1"/>
      <c r="G427" s="6"/>
      <c r="H427" s="6"/>
      <c r="I427" s="6"/>
      <c r="J427" s="6"/>
      <c r="K427" s="6"/>
      <c r="L427" s="6"/>
      <c r="M427" s="6"/>
      <c r="N427" s="6"/>
      <c r="O427" s="7"/>
      <c r="P427" s="12"/>
      <c r="Q427" s="6"/>
      <c r="R427" s="7"/>
      <c r="S427" s="6"/>
      <c r="T427" s="6"/>
      <c r="U427" s="7"/>
      <c r="V427" s="6"/>
      <c r="W427" s="6"/>
      <c r="X427" s="12"/>
      <c r="Y427" s="6"/>
      <c r="Z427" s="6"/>
      <c r="AA427" s="7"/>
      <c r="AB427" s="6"/>
      <c r="AC427" s="6"/>
      <c r="AD427" s="6"/>
      <c r="AE427" s="12"/>
      <c r="AF427" s="12"/>
      <c r="AG427" s="12"/>
      <c r="AH427" s="12"/>
      <c r="AI427" s="6"/>
      <c r="AJ427" s="12"/>
      <c r="AK427" s="1"/>
      <c r="AL427" s="12"/>
      <c r="AM427" s="12"/>
      <c r="AN427" s="1"/>
      <c r="AO427" s="6"/>
    </row>
    <row r="428" spans="1:41" ht="15" x14ac:dyDescent="0.25">
      <c r="A428" s="1"/>
      <c r="B428" s="1"/>
      <c r="C428" s="1"/>
      <c r="D428" s="1"/>
      <c r="E428" s="6"/>
      <c r="F428" s="1"/>
      <c r="G428" s="6"/>
      <c r="H428" s="6"/>
      <c r="I428" s="6"/>
      <c r="J428" s="6"/>
      <c r="K428" s="6"/>
      <c r="L428" s="6"/>
      <c r="M428" s="6"/>
      <c r="N428" s="6"/>
      <c r="O428" s="7"/>
      <c r="P428" s="12"/>
      <c r="Q428" s="6"/>
      <c r="R428" s="7"/>
      <c r="S428" s="6"/>
      <c r="T428" s="6"/>
      <c r="U428" s="7"/>
      <c r="V428" s="6"/>
      <c r="W428" s="6"/>
      <c r="X428" s="6"/>
      <c r="Y428" s="6"/>
      <c r="Z428" s="6"/>
      <c r="AA428" s="7"/>
      <c r="AB428" s="6"/>
      <c r="AC428" s="6"/>
      <c r="AD428" s="6"/>
      <c r="AE428" s="12"/>
      <c r="AF428" s="6"/>
      <c r="AG428" s="12"/>
      <c r="AH428" s="6"/>
      <c r="AI428" s="6"/>
      <c r="AJ428" s="12"/>
      <c r="AK428" s="1"/>
      <c r="AL428" s="12"/>
      <c r="AM428" s="12"/>
      <c r="AN428" s="1"/>
      <c r="AO428" s="6"/>
    </row>
    <row r="429" spans="1:41" ht="15" x14ac:dyDescent="0.25">
      <c r="A429" s="1"/>
      <c r="B429" s="1"/>
      <c r="C429" s="1"/>
      <c r="D429" s="1"/>
      <c r="E429" s="6"/>
      <c r="F429" s="1"/>
      <c r="G429" s="6"/>
      <c r="H429" s="6"/>
      <c r="I429" s="6"/>
      <c r="J429" s="6"/>
      <c r="K429" s="6"/>
      <c r="L429" s="6"/>
      <c r="M429" s="6"/>
      <c r="N429" s="6"/>
      <c r="O429" s="7"/>
      <c r="P429" s="6"/>
      <c r="Q429" s="6"/>
      <c r="R429" s="7"/>
      <c r="S429" s="6"/>
      <c r="T429" s="6"/>
      <c r="U429" s="7"/>
      <c r="V429" s="6"/>
      <c r="W429" s="6"/>
      <c r="X429" s="6"/>
      <c r="Y429" s="6"/>
      <c r="Z429" s="6"/>
      <c r="AA429" s="7"/>
      <c r="AB429" s="6"/>
      <c r="AC429" s="6"/>
      <c r="AD429" s="6"/>
      <c r="AE429" s="12"/>
      <c r="AF429" s="6"/>
      <c r="AG429" s="12"/>
      <c r="AH429" s="6"/>
      <c r="AI429" s="6"/>
      <c r="AJ429" s="12"/>
      <c r="AK429" s="1"/>
      <c r="AL429" s="12"/>
      <c r="AM429" s="12"/>
      <c r="AN429" s="1"/>
      <c r="AO429" s="6"/>
    </row>
    <row r="430" spans="1:41" ht="15" x14ac:dyDescent="0.25">
      <c r="A430" s="1"/>
      <c r="B430" s="1"/>
      <c r="C430" s="1"/>
      <c r="D430" s="1"/>
      <c r="E430" s="6"/>
      <c r="F430" s="1"/>
      <c r="G430" s="6"/>
      <c r="H430" s="6"/>
      <c r="I430" s="6"/>
      <c r="J430" s="6"/>
      <c r="K430" s="6"/>
      <c r="L430" s="6"/>
      <c r="M430" s="6"/>
      <c r="N430" s="6"/>
      <c r="O430" s="7"/>
      <c r="P430" s="6"/>
      <c r="Q430" s="6"/>
      <c r="R430" s="12"/>
      <c r="S430" s="12"/>
      <c r="T430" s="12"/>
      <c r="U430" s="7"/>
      <c r="V430" s="6"/>
      <c r="W430" s="6"/>
      <c r="X430" s="12"/>
      <c r="Y430" s="6"/>
      <c r="Z430" s="6"/>
      <c r="AA430" s="7"/>
      <c r="AB430" s="6"/>
      <c r="AC430" s="6"/>
      <c r="AD430" s="6"/>
      <c r="AE430" s="12"/>
      <c r="AF430" s="12"/>
      <c r="AG430" s="12"/>
      <c r="AH430" s="12"/>
      <c r="AI430" s="6"/>
      <c r="AJ430" s="12"/>
      <c r="AK430" s="24"/>
      <c r="AL430" s="25"/>
      <c r="AM430" s="12"/>
      <c r="AN430" s="1"/>
      <c r="AO430" s="6"/>
    </row>
    <row r="431" spans="1:41" ht="15" x14ac:dyDescent="0.25">
      <c r="A431" s="1"/>
      <c r="B431" s="1"/>
      <c r="C431" s="1"/>
      <c r="D431" s="1"/>
      <c r="E431" s="6"/>
      <c r="F431" s="1"/>
      <c r="G431" s="6"/>
      <c r="H431" s="6"/>
      <c r="I431" s="6"/>
      <c r="J431" s="6"/>
      <c r="K431" s="6"/>
      <c r="L431" s="6"/>
      <c r="M431" s="6"/>
      <c r="N431" s="6"/>
      <c r="O431" s="7"/>
      <c r="P431" s="12"/>
      <c r="Q431" s="6"/>
      <c r="R431" s="7"/>
      <c r="S431" s="6"/>
      <c r="T431" s="6"/>
      <c r="U431" s="7"/>
      <c r="V431" s="6"/>
      <c r="W431" s="6"/>
      <c r="X431" s="6"/>
      <c r="Y431" s="6"/>
      <c r="Z431" s="6"/>
      <c r="AA431" s="7"/>
      <c r="AB431" s="6"/>
      <c r="AC431" s="6"/>
      <c r="AD431" s="6"/>
      <c r="AE431" s="12"/>
      <c r="AF431" s="6"/>
      <c r="AG431" s="12"/>
      <c r="AH431" s="6"/>
      <c r="AI431" s="6"/>
      <c r="AJ431" s="12"/>
      <c r="AK431" s="1"/>
      <c r="AL431" s="12"/>
      <c r="AM431" s="12"/>
      <c r="AN431" s="1"/>
      <c r="AO431" s="6"/>
    </row>
    <row r="432" spans="1:41" ht="15" x14ac:dyDescent="0.25">
      <c r="A432" s="1"/>
      <c r="B432" s="1"/>
      <c r="C432" s="1"/>
      <c r="D432" s="1"/>
      <c r="E432" s="6"/>
      <c r="F432" s="1"/>
      <c r="G432" s="6"/>
      <c r="H432" s="6"/>
      <c r="I432" s="6"/>
      <c r="J432" s="6"/>
      <c r="K432" s="6"/>
      <c r="L432" s="6"/>
      <c r="M432" s="6"/>
      <c r="N432" s="6"/>
      <c r="O432" s="7"/>
      <c r="P432" s="6"/>
      <c r="Q432" s="6"/>
      <c r="R432" s="7"/>
      <c r="S432" s="6"/>
      <c r="T432" s="6"/>
      <c r="U432" s="7"/>
      <c r="V432" s="6"/>
      <c r="W432" s="6"/>
      <c r="X432" s="6"/>
      <c r="Y432" s="6"/>
      <c r="Z432" s="6"/>
      <c r="AA432" s="7"/>
      <c r="AB432" s="6"/>
      <c r="AC432" s="6"/>
      <c r="AD432" s="6"/>
      <c r="AE432" s="12"/>
      <c r="AF432" s="12"/>
      <c r="AG432" s="12"/>
      <c r="AH432" s="12"/>
      <c r="AI432" s="6"/>
      <c r="AJ432" s="12"/>
      <c r="AK432" s="1"/>
      <c r="AL432" s="12"/>
      <c r="AM432" s="12"/>
      <c r="AN432" s="1"/>
      <c r="AO432" s="6"/>
    </row>
    <row r="433" spans="1:41" ht="15" x14ac:dyDescent="0.25">
      <c r="A433" s="1"/>
      <c r="B433" s="1"/>
      <c r="C433" s="1"/>
      <c r="D433" s="1"/>
      <c r="E433" s="6"/>
      <c r="F433" s="1"/>
      <c r="G433" s="6"/>
      <c r="H433" s="6"/>
      <c r="I433" s="6"/>
      <c r="J433" s="6"/>
      <c r="K433" s="6"/>
      <c r="L433" s="6"/>
      <c r="M433" s="6"/>
      <c r="N433" s="6"/>
      <c r="O433" s="7"/>
      <c r="P433" s="6"/>
      <c r="Q433" s="7"/>
      <c r="R433" s="6"/>
      <c r="S433" s="12"/>
      <c r="T433" s="6"/>
      <c r="U433" s="6"/>
      <c r="V433" s="7"/>
      <c r="W433" s="6"/>
      <c r="X433" s="6"/>
      <c r="Y433" s="6"/>
      <c r="Z433" s="6"/>
      <c r="AA433" s="24"/>
      <c r="AB433" s="25"/>
      <c r="AC433" s="12"/>
      <c r="AD433" s="12"/>
      <c r="AE433" s="12"/>
      <c r="AF433" s="6"/>
      <c r="AG433" s="12"/>
      <c r="AH433" s="6"/>
      <c r="AI433" s="6"/>
      <c r="AJ433" s="12"/>
      <c r="AK433" s="12"/>
      <c r="AL433" s="12"/>
      <c r="AM433" s="12"/>
      <c r="AN433" s="1"/>
      <c r="AO433" s="6"/>
    </row>
    <row r="434" spans="1:41" ht="15" x14ac:dyDescent="0.25">
      <c r="A434" s="1"/>
      <c r="B434" s="1"/>
      <c r="C434" s="1"/>
      <c r="D434" s="1"/>
      <c r="E434" s="6"/>
      <c r="F434" s="1"/>
      <c r="G434" s="6"/>
      <c r="H434" s="6"/>
      <c r="I434" s="6"/>
      <c r="J434" s="6"/>
      <c r="K434" s="6"/>
      <c r="L434" s="6"/>
      <c r="M434" s="6"/>
      <c r="N434" s="6"/>
      <c r="O434" s="7"/>
      <c r="P434" s="6"/>
      <c r="Q434" s="6"/>
      <c r="R434" s="7"/>
      <c r="S434" s="6"/>
      <c r="T434" s="6"/>
      <c r="U434" s="7"/>
      <c r="V434" s="6"/>
      <c r="W434" s="6"/>
      <c r="X434" s="12"/>
      <c r="Y434" s="6"/>
      <c r="Z434" s="6"/>
      <c r="AA434" s="7"/>
      <c r="AB434" s="6"/>
      <c r="AC434" s="6"/>
      <c r="AD434" s="6"/>
      <c r="AE434" s="12"/>
      <c r="AF434" s="12"/>
      <c r="AG434" s="12"/>
      <c r="AH434" s="12"/>
      <c r="AI434" s="6"/>
      <c r="AJ434" s="12"/>
      <c r="AK434" s="24"/>
      <c r="AL434" s="25"/>
      <c r="AM434" s="12"/>
      <c r="AN434" s="1"/>
      <c r="AO434" s="6"/>
    </row>
    <row r="435" spans="1:41" ht="15" x14ac:dyDescent="0.25">
      <c r="A435" s="1"/>
      <c r="B435" s="1"/>
      <c r="C435" s="1"/>
      <c r="D435" s="1"/>
      <c r="E435" s="6"/>
      <c r="F435" s="1"/>
      <c r="G435" s="6"/>
      <c r="H435" s="6"/>
      <c r="I435" s="6"/>
      <c r="J435" s="6"/>
      <c r="K435" s="6"/>
      <c r="L435" s="6"/>
      <c r="M435" s="6"/>
      <c r="N435" s="6"/>
      <c r="O435" s="7"/>
      <c r="P435" s="6"/>
      <c r="Q435" s="6"/>
      <c r="R435" s="7"/>
      <c r="S435" s="6"/>
      <c r="T435" s="6"/>
      <c r="U435" s="7"/>
      <c r="V435" s="6"/>
      <c r="W435" s="6"/>
      <c r="X435" s="6"/>
      <c r="Y435" s="6"/>
      <c r="Z435" s="6"/>
      <c r="AA435" s="7"/>
      <c r="AB435" s="6"/>
      <c r="AC435" s="6"/>
      <c r="AD435" s="6"/>
      <c r="AE435" s="12"/>
      <c r="AF435" s="6"/>
      <c r="AG435" s="12"/>
      <c r="AH435" s="6"/>
      <c r="AI435" s="6"/>
      <c r="AJ435" s="12"/>
      <c r="AK435" s="24"/>
      <c r="AL435" s="25"/>
      <c r="AM435" s="12"/>
      <c r="AN435" s="1"/>
      <c r="AO435" s="6"/>
    </row>
    <row r="436" spans="1:41" ht="15" x14ac:dyDescent="0.25">
      <c r="A436" s="1"/>
      <c r="B436" s="1"/>
      <c r="C436" s="1"/>
      <c r="D436" s="1"/>
      <c r="E436" s="6"/>
      <c r="F436" s="1"/>
      <c r="G436" s="6"/>
      <c r="H436" s="6"/>
      <c r="I436" s="6"/>
      <c r="J436" s="6"/>
      <c r="K436" s="12"/>
      <c r="L436" s="12"/>
      <c r="M436" s="6"/>
      <c r="N436" s="6"/>
      <c r="O436" s="7"/>
      <c r="P436" s="6"/>
      <c r="Q436" s="6"/>
      <c r="R436" s="7"/>
      <c r="S436" s="6"/>
      <c r="T436" s="6"/>
      <c r="U436" s="7"/>
      <c r="V436" s="6"/>
      <c r="W436" s="6"/>
      <c r="X436" s="6"/>
      <c r="Y436" s="6"/>
      <c r="Z436" s="6"/>
      <c r="AA436" s="7"/>
      <c r="AB436" s="6"/>
      <c r="AC436" s="6"/>
      <c r="AD436" s="6"/>
      <c r="AE436" s="12"/>
      <c r="AF436" s="12"/>
      <c r="AG436" s="12"/>
      <c r="AH436" s="12"/>
      <c r="AI436" s="6"/>
      <c r="AJ436" s="12"/>
      <c r="AK436" s="1"/>
      <c r="AL436" s="12"/>
      <c r="AM436" s="12"/>
      <c r="AN436" s="1"/>
      <c r="AO436" s="12"/>
    </row>
    <row r="437" spans="1:41" ht="15" x14ac:dyDescent="0.25">
      <c r="A437" s="1"/>
      <c r="B437" s="1"/>
      <c r="C437" s="1"/>
      <c r="D437" s="1"/>
      <c r="E437" s="6"/>
      <c r="F437" s="1"/>
      <c r="G437" s="6"/>
      <c r="H437" s="6"/>
      <c r="I437" s="6"/>
      <c r="J437" s="6"/>
      <c r="K437" s="6"/>
      <c r="L437" s="6"/>
      <c r="M437" s="6"/>
      <c r="N437" s="6"/>
      <c r="O437" s="7"/>
      <c r="P437" s="6"/>
      <c r="Q437" s="6"/>
      <c r="R437" s="7"/>
      <c r="S437" s="6"/>
      <c r="T437" s="6"/>
      <c r="U437" s="7"/>
      <c r="V437" s="6"/>
      <c r="W437" s="6"/>
      <c r="X437" s="6"/>
      <c r="Y437" s="6"/>
      <c r="Z437" s="6"/>
      <c r="AA437" s="7"/>
      <c r="AB437" s="6"/>
      <c r="AC437" s="6"/>
      <c r="AD437" s="6"/>
      <c r="AE437" s="12"/>
      <c r="AF437" s="6"/>
      <c r="AG437" s="12"/>
      <c r="AH437" s="6"/>
      <c r="AI437" s="6"/>
      <c r="AJ437" s="12"/>
      <c r="AK437" s="1"/>
      <c r="AL437" s="12"/>
      <c r="AM437" s="12"/>
      <c r="AN437" s="1"/>
      <c r="AO437" s="6"/>
    </row>
    <row r="438" spans="1:41" ht="15" x14ac:dyDescent="0.25">
      <c r="A438" s="1"/>
      <c r="B438" s="1"/>
      <c r="C438" s="1"/>
      <c r="D438" s="1"/>
      <c r="E438" s="6"/>
      <c r="F438" s="1"/>
      <c r="G438" s="6"/>
      <c r="H438" s="6"/>
      <c r="I438" s="6"/>
      <c r="J438" s="6"/>
      <c r="K438" s="6"/>
      <c r="L438" s="6"/>
      <c r="M438" s="6"/>
      <c r="N438" s="6"/>
      <c r="O438" s="7"/>
      <c r="P438" s="6"/>
      <c r="Q438" s="6"/>
      <c r="R438" s="7"/>
      <c r="S438" s="6"/>
      <c r="T438" s="6"/>
      <c r="U438" s="7"/>
      <c r="V438" s="6"/>
      <c r="W438" s="6"/>
      <c r="X438" s="12"/>
      <c r="Y438" s="6"/>
      <c r="Z438" s="6"/>
      <c r="AA438" s="7"/>
      <c r="AB438" s="6"/>
      <c r="AC438" s="6"/>
      <c r="AD438" s="6"/>
      <c r="AE438" s="12"/>
      <c r="AF438" s="6"/>
      <c r="AG438" s="12"/>
      <c r="AH438" s="6"/>
      <c r="AI438" s="6"/>
      <c r="AJ438" s="12"/>
      <c r="AK438" s="1"/>
      <c r="AL438" s="12"/>
      <c r="AM438" s="12"/>
      <c r="AN438" s="1"/>
      <c r="AO438" s="6"/>
    </row>
    <row r="439" spans="1:41" ht="15" x14ac:dyDescent="0.25">
      <c r="A439" s="1"/>
      <c r="B439" s="1"/>
      <c r="C439" s="1"/>
      <c r="D439" s="1"/>
      <c r="E439" s="6"/>
      <c r="F439" s="1"/>
      <c r="G439" s="6"/>
      <c r="H439" s="6"/>
      <c r="I439" s="6"/>
      <c r="J439" s="6"/>
      <c r="K439" s="12"/>
      <c r="L439" s="12"/>
      <c r="M439" s="6"/>
      <c r="N439" s="6"/>
      <c r="O439" s="7"/>
      <c r="P439" s="6"/>
      <c r="Q439" s="6"/>
      <c r="R439" s="7"/>
      <c r="S439" s="6"/>
      <c r="T439" s="6"/>
      <c r="U439" s="7"/>
      <c r="V439" s="6"/>
      <c r="W439" s="6"/>
      <c r="X439" s="6"/>
      <c r="Y439" s="6"/>
      <c r="Z439" s="6"/>
      <c r="AA439" s="7"/>
      <c r="AB439" s="6"/>
      <c r="AC439" s="6"/>
      <c r="AD439" s="6"/>
      <c r="AE439" s="12"/>
      <c r="AF439" s="12"/>
      <c r="AG439" s="12"/>
      <c r="AH439" s="12"/>
      <c r="AI439" s="6"/>
      <c r="AJ439" s="12"/>
      <c r="AK439" s="1"/>
      <c r="AL439" s="12"/>
      <c r="AM439" s="12"/>
      <c r="AN439" s="1"/>
      <c r="AO439" s="6"/>
    </row>
    <row r="440" spans="1:41" ht="15" x14ac:dyDescent="0.25">
      <c r="A440" s="1"/>
      <c r="B440" s="1"/>
      <c r="C440" s="1"/>
      <c r="D440" s="1"/>
      <c r="E440" s="6"/>
      <c r="F440" s="1"/>
      <c r="G440" s="6"/>
      <c r="H440" s="6"/>
      <c r="I440" s="6"/>
      <c r="J440" s="6"/>
      <c r="K440" s="6"/>
      <c r="L440" s="6"/>
      <c r="M440" s="6"/>
      <c r="N440" s="6"/>
      <c r="O440" s="7"/>
      <c r="P440" s="6"/>
      <c r="Q440" s="6"/>
      <c r="R440" s="7"/>
      <c r="S440" s="6"/>
      <c r="T440" s="6"/>
      <c r="U440" s="6"/>
      <c r="V440" s="6"/>
      <c r="W440" s="6"/>
      <c r="X440" s="7"/>
      <c r="Y440" s="6"/>
      <c r="Z440" s="6"/>
      <c r="AA440" s="7"/>
      <c r="AB440" s="6"/>
      <c r="AC440" s="6"/>
      <c r="AD440" s="6"/>
      <c r="AE440" s="12"/>
      <c r="AF440" s="6"/>
      <c r="AG440" s="12"/>
      <c r="AH440" s="6"/>
      <c r="AI440" s="6"/>
      <c r="AJ440" s="12"/>
      <c r="AK440" s="6"/>
      <c r="AL440" s="12"/>
      <c r="AM440" s="12"/>
      <c r="AN440" s="1"/>
      <c r="AO440" s="6"/>
    </row>
    <row r="441" spans="1:41" ht="15" x14ac:dyDescent="0.25">
      <c r="A441" s="1"/>
      <c r="B441" s="1"/>
      <c r="C441" s="1"/>
      <c r="D441" s="1"/>
      <c r="E441" s="6"/>
      <c r="F441" s="1"/>
      <c r="G441" s="6"/>
      <c r="H441" s="6"/>
      <c r="I441" s="6"/>
      <c r="J441" s="6"/>
      <c r="K441" s="6"/>
      <c r="L441" s="6"/>
      <c r="M441" s="6"/>
      <c r="N441" s="6"/>
      <c r="O441" s="7"/>
      <c r="P441" s="6"/>
      <c r="Q441" s="6"/>
      <c r="R441" s="7"/>
      <c r="S441" s="6"/>
      <c r="T441" s="6"/>
      <c r="U441" s="7"/>
      <c r="V441" s="6"/>
      <c r="W441" s="6"/>
      <c r="X441" s="6"/>
      <c r="Y441" s="6"/>
      <c r="Z441" s="6"/>
      <c r="AA441" s="7"/>
      <c r="AB441" s="6"/>
      <c r="AC441" s="6"/>
      <c r="AD441" s="6"/>
      <c r="AE441" s="12"/>
      <c r="AF441" s="6"/>
      <c r="AG441" s="12"/>
      <c r="AH441" s="6"/>
      <c r="AI441" s="6"/>
      <c r="AJ441" s="12"/>
      <c r="AK441" s="24"/>
      <c r="AL441" s="25"/>
      <c r="AM441" s="12"/>
      <c r="AN441" s="1"/>
      <c r="AO441" s="6"/>
    </row>
    <row r="442" spans="1:41" ht="15" x14ac:dyDescent="0.25">
      <c r="A442" s="1"/>
      <c r="B442" s="1"/>
      <c r="C442" s="1"/>
      <c r="D442" s="1"/>
      <c r="E442" s="6"/>
      <c r="F442" s="1"/>
      <c r="G442" s="6"/>
      <c r="H442" s="6"/>
      <c r="I442" s="6"/>
      <c r="J442" s="6"/>
      <c r="K442" s="6"/>
      <c r="L442" s="6"/>
      <c r="M442" s="6"/>
      <c r="N442" s="6"/>
      <c r="O442" s="7"/>
      <c r="P442" s="12"/>
      <c r="Q442" s="6"/>
      <c r="R442" s="7"/>
      <c r="S442" s="6"/>
      <c r="T442" s="6"/>
      <c r="U442" s="7"/>
      <c r="V442" s="6"/>
      <c r="W442" s="6"/>
      <c r="X442" s="6"/>
      <c r="Y442" s="6"/>
      <c r="Z442" s="6"/>
      <c r="AA442" s="7"/>
      <c r="AB442" s="6"/>
      <c r="AC442" s="6"/>
      <c r="AD442" s="6"/>
      <c r="AE442" s="12"/>
      <c r="AF442" s="6"/>
      <c r="AG442" s="12"/>
      <c r="AH442" s="6"/>
      <c r="AI442" s="6"/>
      <c r="AJ442" s="12"/>
      <c r="AK442" s="1"/>
      <c r="AL442" s="12"/>
      <c r="AM442" s="12"/>
      <c r="AN442" s="1"/>
      <c r="AO442" s="6"/>
    </row>
    <row r="443" spans="1:41" ht="15" x14ac:dyDescent="0.25">
      <c r="A443" s="1"/>
      <c r="B443" s="1"/>
      <c r="C443" s="1"/>
      <c r="D443" s="1"/>
      <c r="E443" s="6"/>
      <c r="F443" s="1"/>
      <c r="G443" s="6"/>
      <c r="H443" s="6"/>
      <c r="I443" s="6"/>
      <c r="J443" s="6"/>
      <c r="K443" s="6"/>
      <c r="L443" s="6"/>
      <c r="M443" s="6"/>
      <c r="N443" s="6"/>
      <c r="O443" s="7"/>
      <c r="P443" s="12"/>
      <c r="Q443" s="6"/>
      <c r="R443" s="7"/>
      <c r="S443" s="6"/>
      <c r="T443" s="6"/>
      <c r="U443" s="7"/>
      <c r="V443" s="6"/>
      <c r="W443" s="6"/>
      <c r="X443" s="6"/>
      <c r="Y443" s="6"/>
      <c r="Z443" s="6"/>
      <c r="AA443" s="7"/>
      <c r="AB443" s="6"/>
      <c r="AC443" s="6"/>
      <c r="AD443" s="6"/>
      <c r="AE443" s="12"/>
      <c r="AF443" s="12"/>
      <c r="AG443" s="12"/>
      <c r="AH443" s="12"/>
      <c r="AI443" s="6"/>
      <c r="AJ443" s="12"/>
      <c r="AK443" s="1"/>
      <c r="AL443" s="12"/>
      <c r="AM443" s="12"/>
      <c r="AN443" s="1"/>
      <c r="AO443" s="6"/>
    </row>
    <row r="444" spans="1:41" ht="15" x14ac:dyDescent="0.25">
      <c r="A444" s="1"/>
      <c r="B444" s="1"/>
      <c r="C444" s="1"/>
      <c r="D444" s="1"/>
      <c r="E444" s="6"/>
      <c r="F444" s="1"/>
      <c r="G444" s="6"/>
      <c r="H444" s="6"/>
      <c r="I444" s="6"/>
      <c r="J444" s="6"/>
      <c r="K444" s="6"/>
      <c r="L444" s="6"/>
      <c r="M444" s="6"/>
      <c r="N444" s="6"/>
      <c r="O444" s="7"/>
      <c r="P444" s="6"/>
      <c r="Q444" s="6"/>
      <c r="R444" s="7"/>
      <c r="S444" s="6"/>
      <c r="T444" s="6"/>
      <c r="U444" s="7"/>
      <c r="V444" s="6"/>
      <c r="W444" s="6"/>
      <c r="X444" s="12"/>
      <c r="Y444" s="6"/>
      <c r="Z444" s="6"/>
      <c r="AA444" s="7"/>
      <c r="AB444" s="6"/>
      <c r="AC444" s="6"/>
      <c r="AD444" s="6"/>
      <c r="AE444" s="12"/>
      <c r="AF444" s="6"/>
      <c r="AG444" s="12"/>
      <c r="AH444" s="6"/>
      <c r="AI444" s="6"/>
      <c r="AJ444" s="12"/>
      <c r="AK444" s="24"/>
      <c r="AL444" s="25"/>
      <c r="AM444" s="12"/>
      <c r="AN444" s="1"/>
      <c r="AO444" s="6"/>
    </row>
    <row r="445" spans="1:41" ht="15" x14ac:dyDescent="0.25">
      <c r="A445" s="1"/>
      <c r="B445" s="1"/>
      <c r="C445" s="1"/>
      <c r="D445" s="1"/>
      <c r="E445" s="6"/>
      <c r="F445" s="1"/>
      <c r="G445" s="6"/>
      <c r="H445" s="6"/>
      <c r="I445" s="6"/>
      <c r="J445" s="6"/>
      <c r="K445" s="6"/>
      <c r="L445" s="6"/>
      <c r="M445" s="6"/>
      <c r="N445" s="6"/>
      <c r="O445" s="7"/>
      <c r="P445" s="6"/>
      <c r="Q445" s="6"/>
      <c r="R445" s="7"/>
      <c r="S445" s="6"/>
      <c r="T445" s="6"/>
      <c r="U445" s="7"/>
      <c r="V445" s="6"/>
      <c r="W445" s="6"/>
      <c r="X445" s="12"/>
      <c r="Y445" s="6"/>
      <c r="Z445" s="6"/>
      <c r="AA445" s="7"/>
      <c r="AB445" s="6"/>
      <c r="AC445" s="6"/>
      <c r="AD445" s="6"/>
      <c r="AE445" s="12"/>
      <c r="AF445" s="6"/>
      <c r="AG445" s="12"/>
      <c r="AH445" s="6"/>
      <c r="AI445" s="6"/>
      <c r="AJ445" s="12"/>
      <c r="AK445" s="1"/>
      <c r="AL445" s="12"/>
      <c r="AM445" s="12"/>
      <c r="AN445" s="1"/>
      <c r="AO445" s="6"/>
    </row>
    <row r="446" spans="1:41" ht="15" x14ac:dyDescent="0.25">
      <c r="A446" s="1"/>
      <c r="B446" s="1"/>
      <c r="C446" s="1"/>
      <c r="D446" s="1"/>
      <c r="E446" s="6"/>
      <c r="F446" s="1"/>
      <c r="G446" s="6"/>
      <c r="H446" s="6"/>
      <c r="I446" s="6"/>
      <c r="J446" s="6"/>
      <c r="K446" s="6"/>
      <c r="L446" s="6"/>
      <c r="M446" s="6"/>
      <c r="N446" s="6"/>
      <c r="O446" s="7"/>
      <c r="P446" s="6"/>
      <c r="Q446" s="6"/>
      <c r="R446" s="7"/>
      <c r="S446" s="6"/>
      <c r="T446" s="6"/>
      <c r="U446" s="7"/>
      <c r="V446" s="6"/>
      <c r="W446" s="6"/>
      <c r="X446" s="12"/>
      <c r="Y446" s="6"/>
      <c r="Z446" s="6"/>
      <c r="AA446" s="7"/>
      <c r="AB446" s="6"/>
      <c r="AC446" s="6"/>
      <c r="AD446" s="6"/>
      <c r="AE446" s="12"/>
      <c r="AF446" s="12"/>
      <c r="AG446" s="12"/>
      <c r="AH446" s="12"/>
      <c r="AI446" s="6"/>
      <c r="AJ446" s="12"/>
      <c r="AK446" s="1"/>
      <c r="AL446" s="12"/>
      <c r="AM446" s="12"/>
      <c r="AN446" s="1"/>
      <c r="AO446" s="6"/>
    </row>
    <row r="447" spans="1:41" ht="15" x14ac:dyDescent="0.25">
      <c r="A447" s="1"/>
      <c r="B447" s="1"/>
      <c r="C447" s="1"/>
      <c r="D447" s="1"/>
      <c r="E447" s="6"/>
      <c r="F447" s="1"/>
      <c r="G447" s="6"/>
      <c r="H447" s="6"/>
      <c r="I447" s="6"/>
      <c r="J447" s="6"/>
      <c r="K447" s="6"/>
      <c r="L447" s="6"/>
      <c r="M447" s="6"/>
      <c r="N447" s="6"/>
      <c r="O447" s="7"/>
      <c r="P447" s="6"/>
      <c r="Q447" s="6"/>
      <c r="R447" s="7"/>
      <c r="S447" s="6"/>
      <c r="T447" s="6"/>
      <c r="U447" s="7"/>
      <c r="V447" s="6"/>
      <c r="W447" s="6"/>
      <c r="X447" s="12"/>
      <c r="Y447" s="6"/>
      <c r="Z447" s="6"/>
      <c r="AA447" s="7"/>
      <c r="AB447" s="6"/>
      <c r="AC447" s="6"/>
      <c r="AD447" s="6"/>
      <c r="AE447" s="12"/>
      <c r="AF447" s="12"/>
      <c r="AG447" s="12"/>
      <c r="AH447" s="12"/>
      <c r="AI447" s="6"/>
      <c r="AJ447" s="12"/>
      <c r="AK447" s="1"/>
      <c r="AL447" s="12"/>
      <c r="AM447" s="12"/>
      <c r="AN447" s="1"/>
      <c r="AO447" s="6"/>
    </row>
    <row r="448" spans="1:41" ht="15" x14ac:dyDescent="0.25">
      <c r="A448" s="1"/>
      <c r="B448" s="1"/>
      <c r="C448" s="1"/>
      <c r="D448" s="1"/>
      <c r="E448" s="6"/>
      <c r="F448" s="1"/>
      <c r="G448" s="6"/>
      <c r="H448" s="6"/>
      <c r="I448" s="6"/>
      <c r="J448" s="6"/>
      <c r="K448" s="12"/>
      <c r="L448" s="12"/>
      <c r="M448" s="6"/>
      <c r="N448" s="6"/>
      <c r="O448" s="7"/>
      <c r="P448" s="6"/>
      <c r="Q448" s="6"/>
      <c r="R448" s="7"/>
      <c r="S448" s="6"/>
      <c r="T448" s="6"/>
      <c r="U448" s="7"/>
      <c r="V448" s="6"/>
      <c r="W448" s="6"/>
      <c r="X448" s="12"/>
      <c r="Y448" s="6"/>
      <c r="Z448" s="6"/>
      <c r="AA448" s="7"/>
      <c r="AB448" s="6"/>
      <c r="AC448" s="6"/>
      <c r="AD448" s="6"/>
      <c r="AE448" s="12"/>
      <c r="AF448" s="12"/>
      <c r="AG448" s="12"/>
      <c r="AH448" s="12"/>
      <c r="AI448" s="6"/>
      <c r="AJ448" s="12"/>
      <c r="AK448" s="1"/>
      <c r="AL448" s="12"/>
      <c r="AM448" s="12"/>
      <c r="AN448" s="1"/>
      <c r="AO448" s="6"/>
    </row>
    <row r="449" spans="1:41" ht="15" x14ac:dyDescent="0.25">
      <c r="A449" s="1"/>
      <c r="B449" s="1"/>
      <c r="C449" s="1"/>
      <c r="D449" s="1"/>
      <c r="E449" s="6"/>
      <c r="F449" s="1"/>
      <c r="G449" s="6"/>
      <c r="H449" s="6"/>
      <c r="I449" s="6"/>
      <c r="J449" s="6"/>
      <c r="K449" s="6"/>
      <c r="L449" s="6"/>
      <c r="M449" s="6"/>
      <c r="N449" s="6"/>
      <c r="O449" s="7"/>
      <c r="P449" s="12"/>
      <c r="Q449" s="6"/>
      <c r="R449" s="7"/>
      <c r="S449" s="6"/>
      <c r="T449" s="6"/>
      <c r="U449" s="7"/>
      <c r="V449" s="6"/>
      <c r="W449" s="6"/>
      <c r="X449" s="6"/>
      <c r="Y449" s="6"/>
      <c r="Z449" s="6"/>
      <c r="AA449" s="7"/>
      <c r="AB449" s="6"/>
      <c r="AC449" s="6"/>
      <c r="AD449" s="6"/>
      <c r="AE449" s="12"/>
      <c r="AF449" s="6"/>
      <c r="AG449" s="12"/>
      <c r="AH449" s="6"/>
      <c r="AI449" s="6"/>
      <c r="AJ449" s="12"/>
      <c r="AK449" s="24"/>
      <c r="AL449" s="25"/>
      <c r="AM449" s="12"/>
      <c r="AN449" s="1"/>
      <c r="AO449" s="6"/>
    </row>
    <row r="450" spans="1:41" ht="15" x14ac:dyDescent="0.25">
      <c r="A450" s="1"/>
      <c r="B450" s="1"/>
      <c r="C450" s="1"/>
      <c r="D450" s="1"/>
      <c r="E450" s="6"/>
      <c r="F450" s="1"/>
      <c r="G450" s="6"/>
      <c r="H450" s="6"/>
      <c r="I450" s="6"/>
      <c r="J450" s="6"/>
      <c r="K450" s="6"/>
      <c r="L450" s="6"/>
      <c r="M450" s="6"/>
      <c r="N450" s="6"/>
      <c r="O450" s="7"/>
      <c r="P450" s="6"/>
      <c r="Q450" s="6"/>
      <c r="R450" s="7"/>
      <c r="S450" s="6"/>
      <c r="T450" s="6"/>
      <c r="U450" s="7"/>
      <c r="V450" s="6"/>
      <c r="W450" s="6"/>
      <c r="X450" s="6"/>
      <c r="Y450" s="6"/>
      <c r="Z450" s="6"/>
      <c r="AA450" s="7"/>
      <c r="AB450" s="6"/>
      <c r="AC450" s="6"/>
      <c r="AD450" s="6"/>
      <c r="AE450" s="12"/>
      <c r="AF450" s="12"/>
      <c r="AG450" s="12"/>
      <c r="AH450" s="12"/>
      <c r="AI450" s="6"/>
      <c r="AJ450" s="12"/>
      <c r="AK450" s="1"/>
      <c r="AL450" s="12"/>
      <c r="AM450" s="12"/>
      <c r="AN450" s="1"/>
      <c r="AO450" s="6"/>
    </row>
    <row r="451" spans="1:41" ht="15" x14ac:dyDescent="0.25">
      <c r="A451" s="1"/>
      <c r="B451" s="1"/>
      <c r="C451" s="1"/>
      <c r="D451" s="1"/>
      <c r="E451" s="6"/>
      <c r="F451" s="1"/>
      <c r="G451" s="6"/>
      <c r="H451" s="6"/>
      <c r="I451" s="6"/>
      <c r="J451" s="6"/>
      <c r="K451" s="6"/>
      <c r="L451" s="6"/>
      <c r="M451" s="6"/>
      <c r="N451" s="6"/>
      <c r="O451" s="7"/>
      <c r="P451" s="6"/>
      <c r="Q451" s="6"/>
      <c r="R451" s="7"/>
      <c r="S451" s="6"/>
      <c r="T451" s="6"/>
      <c r="U451" s="7"/>
      <c r="V451" s="6"/>
      <c r="W451" s="6"/>
      <c r="X451" s="6"/>
      <c r="Y451" s="6"/>
      <c r="Z451" s="6"/>
      <c r="AA451" s="7"/>
      <c r="AB451" s="6"/>
      <c r="AC451" s="6"/>
      <c r="AD451" s="6"/>
      <c r="AE451" s="12"/>
      <c r="AF451" s="6"/>
      <c r="AG451" s="12"/>
      <c r="AH451" s="6"/>
      <c r="AI451" s="6"/>
      <c r="AJ451" s="12"/>
      <c r="AK451" s="24"/>
      <c r="AL451" s="25"/>
      <c r="AM451" s="12"/>
      <c r="AN451" s="1"/>
      <c r="AO451" s="6"/>
    </row>
    <row r="452" spans="1:41" ht="15" x14ac:dyDescent="0.25">
      <c r="A452" s="1"/>
      <c r="B452" s="1"/>
      <c r="C452" s="1"/>
      <c r="D452" s="1"/>
      <c r="E452" s="6"/>
      <c r="F452" s="1"/>
      <c r="G452" s="6"/>
      <c r="H452" s="6"/>
      <c r="I452" s="6"/>
      <c r="J452" s="6"/>
      <c r="K452" s="6"/>
      <c r="L452" s="6"/>
      <c r="M452" s="6"/>
      <c r="N452" s="6"/>
      <c r="O452" s="7"/>
      <c r="P452" s="6"/>
      <c r="Q452" s="6"/>
      <c r="R452" s="7"/>
      <c r="S452" s="6"/>
      <c r="T452" s="6"/>
      <c r="U452" s="7"/>
      <c r="V452" s="6"/>
      <c r="W452" s="6"/>
      <c r="X452" s="6"/>
      <c r="Y452" s="6"/>
      <c r="Z452" s="6"/>
      <c r="AA452" s="7"/>
      <c r="AB452" s="6"/>
      <c r="AC452" s="6"/>
      <c r="AD452" s="6"/>
      <c r="AE452" s="12"/>
      <c r="AF452" s="12"/>
      <c r="AG452" s="12"/>
      <c r="AH452" s="12"/>
      <c r="AI452" s="6"/>
      <c r="AJ452" s="12"/>
      <c r="AK452" s="1"/>
      <c r="AL452" s="12"/>
      <c r="AM452" s="12"/>
      <c r="AN452" s="1"/>
      <c r="AO452" s="6"/>
    </row>
    <row r="453" spans="1:41" ht="15" x14ac:dyDescent="0.25">
      <c r="A453" s="1"/>
      <c r="B453" s="1"/>
      <c r="C453" s="1"/>
      <c r="D453" s="1"/>
      <c r="E453" s="6"/>
      <c r="F453" s="1"/>
      <c r="G453" s="6"/>
      <c r="H453" s="6"/>
      <c r="I453" s="6"/>
      <c r="J453" s="6"/>
      <c r="K453" s="6"/>
      <c r="L453" s="6"/>
      <c r="M453" s="6"/>
      <c r="N453" s="6"/>
      <c r="O453" s="7"/>
      <c r="P453" s="6"/>
      <c r="Q453" s="6"/>
      <c r="R453" s="7"/>
      <c r="S453" s="6"/>
      <c r="T453" s="6"/>
      <c r="U453" s="7"/>
      <c r="V453" s="6"/>
      <c r="W453" s="6"/>
      <c r="X453" s="6"/>
      <c r="Y453" s="6"/>
      <c r="Z453" s="6"/>
      <c r="AA453" s="7"/>
      <c r="AB453" s="6"/>
      <c r="AC453" s="6"/>
      <c r="AD453" s="6"/>
      <c r="AE453" s="12"/>
      <c r="AF453" s="12"/>
      <c r="AG453" s="12"/>
      <c r="AH453" s="12"/>
      <c r="AI453" s="6"/>
      <c r="AJ453" s="12"/>
      <c r="AK453" s="1"/>
      <c r="AL453" s="12"/>
      <c r="AM453" s="12"/>
      <c r="AN453" s="1"/>
      <c r="AO453" s="6"/>
    </row>
    <row r="454" spans="1:41" ht="15" x14ac:dyDescent="0.25">
      <c r="A454" s="1"/>
      <c r="B454" s="1"/>
      <c r="C454" s="1"/>
      <c r="D454" s="1"/>
      <c r="E454" s="6"/>
      <c r="F454" s="1"/>
      <c r="G454" s="6"/>
      <c r="H454" s="6"/>
      <c r="I454" s="6"/>
      <c r="J454" s="6"/>
      <c r="K454" s="6"/>
      <c r="L454" s="6"/>
      <c r="M454" s="6"/>
      <c r="N454" s="6"/>
      <c r="O454" s="7"/>
      <c r="P454" s="6"/>
      <c r="Q454" s="6"/>
      <c r="R454" s="7"/>
      <c r="S454" s="6"/>
      <c r="T454" s="6"/>
      <c r="U454" s="7"/>
      <c r="V454" s="6"/>
      <c r="W454" s="6"/>
      <c r="X454" s="12"/>
      <c r="Y454" s="6"/>
      <c r="Z454" s="6"/>
      <c r="AA454" s="7"/>
      <c r="AB454" s="6"/>
      <c r="AC454" s="6"/>
      <c r="AD454" s="6"/>
      <c r="AE454" s="12"/>
      <c r="AF454" s="6"/>
      <c r="AG454" s="12"/>
      <c r="AH454" s="6"/>
      <c r="AI454" s="6"/>
      <c r="AJ454" s="12"/>
      <c r="AK454" s="1"/>
      <c r="AL454" s="12"/>
      <c r="AM454" s="12"/>
      <c r="AN454" s="1"/>
      <c r="AO454" s="6"/>
    </row>
    <row r="455" spans="1:41" ht="15" x14ac:dyDescent="0.25">
      <c r="A455" s="1"/>
      <c r="B455" s="1"/>
      <c r="C455" s="1"/>
      <c r="D455" s="1"/>
      <c r="E455" s="6"/>
      <c r="F455" s="1"/>
      <c r="G455" s="6"/>
      <c r="H455" s="6"/>
      <c r="I455" s="6"/>
      <c r="J455" s="6"/>
      <c r="K455" s="6"/>
      <c r="L455" s="6"/>
      <c r="M455" s="6"/>
      <c r="N455" s="6"/>
      <c r="O455" s="7"/>
      <c r="P455" s="12"/>
      <c r="Q455" s="6"/>
      <c r="R455" s="15"/>
      <c r="S455" s="6"/>
      <c r="T455" s="6"/>
      <c r="U455" s="15"/>
      <c r="V455" s="6"/>
      <c r="W455" s="6"/>
      <c r="X455" s="6"/>
      <c r="Y455" s="6"/>
      <c r="Z455" s="6"/>
      <c r="AA455" s="7"/>
      <c r="AB455" s="6"/>
      <c r="AC455" s="6"/>
      <c r="AD455" s="6"/>
      <c r="AE455" s="12"/>
      <c r="AF455" s="12"/>
      <c r="AG455" s="12"/>
      <c r="AH455" s="12"/>
      <c r="AI455" s="6"/>
      <c r="AJ455" s="12"/>
      <c r="AK455" s="1"/>
      <c r="AL455" s="12"/>
      <c r="AM455" s="12"/>
      <c r="AN455" s="1"/>
      <c r="AO455" s="6"/>
    </row>
    <row r="456" spans="1:41" ht="15" x14ac:dyDescent="0.25">
      <c r="A456" s="1"/>
      <c r="B456" s="1"/>
      <c r="C456" s="1"/>
      <c r="D456" s="1"/>
      <c r="E456" s="6"/>
      <c r="F456" s="1"/>
      <c r="G456" s="6"/>
      <c r="H456" s="6"/>
      <c r="I456" s="6"/>
      <c r="J456" s="6"/>
      <c r="K456" s="6"/>
      <c r="L456" s="6"/>
      <c r="M456" s="6"/>
      <c r="N456" s="6"/>
      <c r="O456" s="7"/>
      <c r="P456" s="6"/>
      <c r="Q456" s="6"/>
      <c r="R456" s="12"/>
      <c r="S456" s="12"/>
      <c r="T456" s="12"/>
      <c r="U456" s="7"/>
      <c r="V456" s="6"/>
      <c r="W456" s="6"/>
      <c r="X456" s="12"/>
      <c r="Y456" s="6"/>
      <c r="Z456" s="6"/>
      <c r="AA456" s="7"/>
      <c r="AB456" s="6"/>
      <c r="AC456" s="6"/>
      <c r="AD456" s="6"/>
      <c r="AE456" s="12"/>
      <c r="AF456" s="6"/>
      <c r="AG456" s="12"/>
      <c r="AH456" s="6"/>
      <c r="AI456" s="6"/>
      <c r="AJ456" s="12"/>
      <c r="AK456" s="24"/>
      <c r="AL456" s="25"/>
      <c r="AM456" s="12"/>
      <c r="AN456" s="1"/>
      <c r="AO456" s="6"/>
    </row>
    <row r="457" spans="1:41" ht="15" x14ac:dyDescent="0.25">
      <c r="A457" s="1"/>
      <c r="B457" s="1"/>
      <c r="C457" s="1"/>
      <c r="D457" s="1"/>
      <c r="E457" s="6"/>
      <c r="F457" s="1"/>
      <c r="G457" s="6"/>
      <c r="H457" s="6"/>
      <c r="I457" s="6"/>
      <c r="J457" s="6"/>
      <c r="K457" s="6"/>
      <c r="L457" s="6"/>
      <c r="M457" s="6"/>
      <c r="N457" s="6"/>
      <c r="O457" s="7"/>
      <c r="P457" s="6"/>
      <c r="Q457" s="6"/>
      <c r="R457" s="12"/>
      <c r="S457" s="12"/>
      <c r="T457" s="12"/>
      <c r="U457" s="7"/>
      <c r="V457" s="6"/>
      <c r="W457" s="6"/>
      <c r="X457" s="12"/>
      <c r="Y457" s="6"/>
      <c r="Z457" s="6"/>
      <c r="AA457" s="7"/>
      <c r="AB457" s="6"/>
      <c r="AC457" s="6"/>
      <c r="AD457" s="6"/>
      <c r="AE457" s="12"/>
      <c r="AF457" s="6"/>
      <c r="AG457" s="12"/>
      <c r="AH457" s="6"/>
      <c r="AI457" s="6"/>
      <c r="AJ457" s="12"/>
      <c r="AK457" s="24"/>
      <c r="AL457" s="25"/>
      <c r="AM457" s="12"/>
      <c r="AN457" s="1"/>
      <c r="AO457" s="6"/>
    </row>
    <row r="458" spans="1:41" ht="15" x14ac:dyDescent="0.25">
      <c r="A458" s="1"/>
      <c r="B458" s="1"/>
      <c r="C458" s="1"/>
      <c r="D458" s="1"/>
      <c r="E458" s="6"/>
      <c r="F458" s="1"/>
      <c r="G458" s="6"/>
      <c r="H458" s="6"/>
      <c r="I458" s="6"/>
      <c r="J458" s="6"/>
      <c r="K458" s="6"/>
      <c r="L458" s="6"/>
      <c r="M458" s="6"/>
      <c r="N458" s="6"/>
      <c r="O458" s="7"/>
      <c r="P458" s="12"/>
      <c r="Q458" s="6"/>
      <c r="R458" s="7"/>
      <c r="S458" s="6"/>
      <c r="T458" s="6"/>
      <c r="U458" s="7"/>
      <c r="V458" s="6"/>
      <c r="W458" s="6"/>
      <c r="X458" s="6"/>
      <c r="Y458" s="6"/>
      <c r="Z458" s="6"/>
      <c r="AA458" s="7"/>
      <c r="AB458" s="6"/>
      <c r="AC458" s="6"/>
      <c r="AD458" s="6"/>
      <c r="AE458" s="12"/>
      <c r="AF458" s="6"/>
      <c r="AG458" s="12"/>
      <c r="AH458" s="6"/>
      <c r="AI458" s="6"/>
      <c r="AJ458" s="12"/>
      <c r="AK458" s="1"/>
      <c r="AL458" s="12"/>
      <c r="AM458" s="12"/>
      <c r="AN458" s="1"/>
      <c r="AO458" s="6"/>
    </row>
    <row r="459" spans="1:41" ht="15" x14ac:dyDescent="0.25">
      <c r="A459" s="1"/>
      <c r="B459" s="1"/>
      <c r="C459" s="1"/>
      <c r="D459" s="1"/>
      <c r="E459" s="6"/>
      <c r="F459" s="1"/>
      <c r="G459" s="6"/>
      <c r="H459" s="6"/>
      <c r="I459" s="6"/>
      <c r="J459" s="6"/>
      <c r="K459" s="6"/>
      <c r="L459" s="6"/>
      <c r="M459" s="6"/>
      <c r="N459" s="6"/>
      <c r="O459" s="7"/>
      <c r="P459" s="6"/>
      <c r="Q459" s="6"/>
      <c r="R459" s="7"/>
      <c r="S459" s="6"/>
      <c r="T459" s="6"/>
      <c r="U459" s="7"/>
      <c r="V459" s="6"/>
      <c r="W459" s="6"/>
      <c r="X459" s="12"/>
      <c r="Y459" s="6"/>
      <c r="Z459" s="6"/>
      <c r="AA459" s="7"/>
      <c r="AB459" s="6"/>
      <c r="AC459" s="6"/>
      <c r="AD459" s="6"/>
      <c r="AE459" s="12"/>
      <c r="AF459" s="12"/>
      <c r="AG459" s="12"/>
      <c r="AH459" s="12"/>
      <c r="AI459" s="6"/>
      <c r="AJ459" s="12"/>
      <c r="AK459" s="1"/>
      <c r="AL459" s="12"/>
      <c r="AM459" s="12"/>
      <c r="AN459" s="1"/>
      <c r="AO459" s="6"/>
    </row>
    <row r="460" spans="1:41" ht="15" x14ac:dyDescent="0.25">
      <c r="A460" s="1"/>
      <c r="B460" s="1"/>
      <c r="C460" s="1"/>
      <c r="D460" s="1"/>
      <c r="E460" s="6"/>
      <c r="F460" s="1"/>
      <c r="G460" s="6"/>
      <c r="H460" s="6"/>
      <c r="I460" s="6"/>
      <c r="J460" s="6"/>
      <c r="K460" s="6"/>
      <c r="L460" s="6"/>
      <c r="M460" s="6"/>
      <c r="N460" s="6"/>
      <c r="O460" s="7"/>
      <c r="P460" s="6"/>
      <c r="Q460" s="6"/>
      <c r="R460" s="7"/>
      <c r="S460" s="6"/>
      <c r="T460" s="6"/>
      <c r="U460" s="7"/>
      <c r="V460" s="6"/>
      <c r="W460" s="6"/>
      <c r="X460" s="6"/>
      <c r="Y460" s="6"/>
      <c r="Z460" s="6"/>
      <c r="AA460" s="7"/>
      <c r="AB460" s="6"/>
      <c r="AC460" s="6"/>
      <c r="AD460" s="6"/>
      <c r="AE460" s="12"/>
      <c r="AF460" s="12"/>
      <c r="AG460" s="12"/>
      <c r="AH460" s="12"/>
      <c r="AI460" s="6"/>
      <c r="AJ460" s="12"/>
      <c r="AK460" s="1"/>
      <c r="AL460" s="12"/>
      <c r="AM460" s="12"/>
      <c r="AN460" s="1"/>
      <c r="AO460" s="6"/>
    </row>
    <row r="461" spans="1:41" ht="15" x14ac:dyDescent="0.25">
      <c r="A461" s="1"/>
      <c r="B461" s="1"/>
      <c r="C461" s="1"/>
      <c r="D461" s="1"/>
      <c r="E461" s="6"/>
      <c r="F461" s="1"/>
      <c r="G461" s="6"/>
      <c r="H461" s="6"/>
      <c r="I461" s="6"/>
      <c r="J461" s="6"/>
      <c r="K461" s="6"/>
      <c r="L461" s="6"/>
      <c r="M461" s="6"/>
      <c r="N461" s="6"/>
      <c r="O461" s="7"/>
      <c r="P461" s="6"/>
      <c r="Q461" s="6"/>
      <c r="R461" s="7"/>
      <c r="S461" s="6"/>
      <c r="T461" s="6"/>
      <c r="U461" s="7"/>
      <c r="V461" s="6"/>
      <c r="W461" s="6"/>
      <c r="X461" s="6"/>
      <c r="Y461" s="6"/>
      <c r="Z461" s="6"/>
      <c r="AA461" s="7"/>
      <c r="AB461" s="6"/>
      <c r="AC461" s="6"/>
      <c r="AD461" s="6"/>
      <c r="AE461" s="12"/>
      <c r="AF461" s="6"/>
      <c r="AG461" s="12"/>
      <c r="AH461" s="6"/>
      <c r="AI461" s="6"/>
      <c r="AJ461" s="12"/>
      <c r="AK461" s="24"/>
      <c r="AL461" s="25"/>
      <c r="AM461" s="12"/>
      <c r="AN461" s="1"/>
      <c r="AO461" s="6"/>
    </row>
    <row r="462" spans="1:41" ht="15" x14ac:dyDescent="0.25">
      <c r="A462" s="1"/>
      <c r="B462" s="1"/>
      <c r="C462" s="1"/>
      <c r="D462" s="1"/>
      <c r="E462" s="6"/>
      <c r="F462" s="1"/>
      <c r="G462" s="6"/>
      <c r="H462" s="6"/>
      <c r="I462" s="6"/>
      <c r="J462" s="6"/>
      <c r="K462" s="6"/>
      <c r="L462" s="6"/>
      <c r="M462" s="6"/>
      <c r="N462" s="6"/>
      <c r="O462" s="7"/>
      <c r="P462" s="6"/>
      <c r="Q462" s="6"/>
      <c r="R462" s="7"/>
      <c r="S462" s="6"/>
      <c r="T462" s="6"/>
      <c r="U462" s="7"/>
      <c r="V462" s="6"/>
      <c r="W462" s="6"/>
      <c r="X462" s="12"/>
      <c r="Y462" s="6"/>
      <c r="Z462" s="6"/>
      <c r="AA462" s="7"/>
      <c r="AB462" s="6"/>
      <c r="AC462" s="6"/>
      <c r="AD462" s="6"/>
      <c r="AE462" s="12"/>
      <c r="AF462" s="12"/>
      <c r="AG462" s="12"/>
      <c r="AH462" s="12"/>
      <c r="AI462" s="6"/>
      <c r="AJ462" s="12"/>
      <c r="AK462" s="1"/>
      <c r="AL462" s="12"/>
      <c r="AM462" s="12"/>
      <c r="AN462" s="1"/>
      <c r="AO462" s="6"/>
    </row>
    <row r="463" spans="1:41" ht="15" x14ac:dyDescent="0.25">
      <c r="A463" s="1"/>
      <c r="B463" s="1"/>
      <c r="C463" s="1"/>
      <c r="D463" s="1"/>
      <c r="E463" s="6"/>
      <c r="F463" s="1"/>
      <c r="G463" s="6"/>
      <c r="H463" s="6"/>
      <c r="I463" s="6"/>
      <c r="J463" s="6"/>
      <c r="K463" s="6"/>
      <c r="L463" s="6"/>
      <c r="M463" s="6"/>
      <c r="N463" s="6"/>
      <c r="O463" s="7"/>
      <c r="P463" s="6"/>
      <c r="Q463" s="7"/>
      <c r="R463" s="6"/>
      <c r="S463" s="6"/>
      <c r="T463" s="6"/>
      <c r="U463" s="6"/>
      <c r="V463" s="7"/>
      <c r="W463" s="6"/>
      <c r="X463" s="6"/>
      <c r="Y463" s="6"/>
      <c r="Z463" s="6"/>
      <c r="AA463" s="1"/>
      <c r="AB463" s="12"/>
      <c r="AC463" s="12"/>
      <c r="AD463" s="12"/>
      <c r="AE463" s="12"/>
      <c r="AF463" s="6"/>
      <c r="AG463" s="12"/>
      <c r="AH463" s="6"/>
      <c r="AI463" s="6"/>
      <c r="AJ463" s="12"/>
      <c r="AK463" s="12"/>
      <c r="AL463" s="12"/>
      <c r="AM463" s="12"/>
      <c r="AN463" s="1"/>
      <c r="AO463" s="6"/>
    </row>
    <row r="464" spans="1:41" ht="15" x14ac:dyDescent="0.25">
      <c r="A464" s="1"/>
      <c r="B464" s="1"/>
      <c r="C464" s="1"/>
      <c r="D464" s="1"/>
      <c r="E464" s="6"/>
      <c r="F464" s="1"/>
      <c r="G464" s="6"/>
      <c r="H464" s="6"/>
      <c r="I464" s="6"/>
      <c r="J464" s="6"/>
      <c r="K464" s="6"/>
      <c r="L464" s="6"/>
      <c r="M464" s="6"/>
      <c r="N464" s="6"/>
      <c r="O464" s="7"/>
      <c r="P464" s="6"/>
      <c r="Q464" s="6"/>
      <c r="R464" s="7"/>
      <c r="S464" s="6"/>
      <c r="T464" s="6"/>
      <c r="U464" s="7"/>
      <c r="V464" s="6"/>
      <c r="W464" s="6"/>
      <c r="X464" s="6"/>
      <c r="Y464" s="6"/>
      <c r="Z464" s="6"/>
      <c r="AA464" s="7"/>
      <c r="AB464" s="6"/>
      <c r="AC464" s="6"/>
      <c r="AD464" s="6"/>
      <c r="AE464" s="12"/>
      <c r="AF464" s="6"/>
      <c r="AG464" s="12"/>
      <c r="AH464" s="6"/>
      <c r="AI464" s="6"/>
      <c r="AJ464" s="12"/>
      <c r="AK464" s="24"/>
      <c r="AL464" s="25"/>
      <c r="AM464" s="12"/>
      <c r="AN464" s="1"/>
      <c r="AO464" s="6"/>
    </row>
    <row r="465" spans="1:41" ht="15" x14ac:dyDescent="0.25">
      <c r="A465" s="1"/>
      <c r="B465" s="1"/>
      <c r="C465" s="1"/>
      <c r="D465" s="1"/>
      <c r="E465" s="6"/>
      <c r="F465" s="1"/>
      <c r="G465" s="6"/>
      <c r="H465" s="6"/>
      <c r="I465" s="6"/>
      <c r="J465" s="6"/>
      <c r="K465" s="6"/>
      <c r="L465" s="6"/>
      <c r="M465" s="6"/>
      <c r="N465" s="6"/>
      <c r="O465" s="7"/>
      <c r="P465" s="12"/>
      <c r="Q465" s="6"/>
      <c r="R465" s="7"/>
      <c r="S465" s="6"/>
      <c r="T465" s="6"/>
      <c r="U465" s="7"/>
      <c r="V465" s="6"/>
      <c r="W465" s="6"/>
      <c r="X465" s="6"/>
      <c r="Y465" s="6"/>
      <c r="Z465" s="6"/>
      <c r="AA465" s="7"/>
      <c r="AB465" s="6"/>
      <c r="AC465" s="6"/>
      <c r="AD465" s="6"/>
      <c r="AE465" s="12"/>
      <c r="AF465" s="6"/>
      <c r="AG465" s="12"/>
      <c r="AH465" s="6"/>
      <c r="AI465" s="6"/>
      <c r="AJ465" s="12"/>
      <c r="AK465" s="24"/>
      <c r="AL465" s="25"/>
      <c r="AM465" s="12"/>
      <c r="AN465" s="1"/>
      <c r="AO465" s="6"/>
    </row>
    <row r="466" spans="1:41" ht="15" x14ac:dyDescent="0.25">
      <c r="A466" s="1"/>
      <c r="B466" s="1"/>
      <c r="C466" s="1"/>
      <c r="D466" s="1"/>
      <c r="E466" s="6"/>
      <c r="F466" s="1"/>
      <c r="G466" s="6"/>
      <c r="H466" s="6"/>
      <c r="I466" s="6"/>
      <c r="J466" s="6"/>
      <c r="K466" s="6"/>
      <c r="L466" s="6"/>
      <c r="M466" s="6"/>
      <c r="N466" s="6"/>
      <c r="O466" s="7"/>
      <c r="P466" s="12"/>
      <c r="Q466" s="6"/>
      <c r="R466" s="7"/>
      <c r="S466" s="6"/>
      <c r="T466" s="6"/>
      <c r="U466" s="7"/>
      <c r="V466" s="6"/>
      <c r="W466" s="6"/>
      <c r="X466" s="6"/>
      <c r="Y466" s="6"/>
      <c r="Z466" s="6"/>
      <c r="AA466" s="7"/>
      <c r="AB466" s="6"/>
      <c r="AC466" s="6"/>
      <c r="AD466" s="6"/>
      <c r="AE466" s="12"/>
      <c r="AF466" s="6"/>
      <c r="AG466" s="12"/>
      <c r="AH466" s="6"/>
      <c r="AI466" s="6"/>
      <c r="AJ466" s="12"/>
      <c r="AK466" s="24"/>
      <c r="AL466" s="25"/>
      <c r="AM466" s="12"/>
      <c r="AN466" s="1"/>
      <c r="AO466" s="6"/>
    </row>
    <row r="467" spans="1:41" ht="15" x14ac:dyDescent="0.25">
      <c r="A467" s="1"/>
      <c r="B467" s="1"/>
      <c r="C467" s="1"/>
      <c r="D467" s="1"/>
      <c r="E467" s="6"/>
      <c r="F467" s="1"/>
      <c r="G467" s="6"/>
      <c r="H467" s="6"/>
      <c r="I467" s="6"/>
      <c r="J467" s="6"/>
      <c r="K467" s="6"/>
      <c r="L467" s="6"/>
      <c r="M467" s="6"/>
      <c r="N467" s="6"/>
      <c r="O467" s="7"/>
      <c r="P467" s="6"/>
      <c r="Q467" s="7"/>
      <c r="R467" s="6"/>
      <c r="S467" s="6"/>
      <c r="T467" s="6"/>
      <c r="U467" s="6"/>
      <c r="V467" s="7"/>
      <c r="W467" s="6"/>
      <c r="X467" s="6"/>
      <c r="Y467" s="6"/>
      <c r="Z467" s="6"/>
      <c r="AA467" s="24"/>
      <c r="AB467" s="25"/>
      <c r="AC467" s="12"/>
      <c r="AD467" s="12"/>
      <c r="AE467" s="12"/>
      <c r="AF467" s="6"/>
      <c r="AG467" s="12"/>
      <c r="AH467" s="6"/>
      <c r="AI467" s="6"/>
      <c r="AJ467" s="12"/>
      <c r="AK467" s="12"/>
      <c r="AL467" s="12"/>
      <c r="AM467" s="12"/>
      <c r="AN467" s="1"/>
      <c r="AO467" s="6"/>
    </row>
    <row r="468" spans="1:41" ht="15" x14ac:dyDescent="0.25">
      <c r="A468" s="1"/>
      <c r="B468" s="1"/>
      <c r="C468" s="1"/>
      <c r="D468" s="1"/>
      <c r="E468" s="6"/>
      <c r="F468" s="1"/>
      <c r="G468" s="6"/>
      <c r="H468" s="6"/>
      <c r="I468" s="6"/>
      <c r="J468" s="6"/>
      <c r="K468" s="6"/>
      <c r="L468" s="6"/>
      <c r="M468" s="6"/>
      <c r="N468" s="6"/>
      <c r="O468" s="7"/>
      <c r="P468" s="6"/>
      <c r="Q468" s="7"/>
      <c r="R468" s="6"/>
      <c r="S468" s="6"/>
      <c r="T468" s="6"/>
      <c r="U468" s="6"/>
      <c r="V468" s="7"/>
      <c r="W468" s="6"/>
      <c r="X468" s="6"/>
      <c r="Y468" s="6"/>
      <c r="Z468" s="6"/>
      <c r="AA468" s="24"/>
      <c r="AB468" s="25"/>
      <c r="AC468" s="12"/>
      <c r="AD468" s="12"/>
      <c r="AE468" s="12"/>
      <c r="AF468" s="6"/>
      <c r="AG468" s="12"/>
      <c r="AH468" s="6"/>
      <c r="AI468" s="6"/>
      <c r="AJ468" s="12"/>
      <c r="AK468" s="12"/>
      <c r="AL468" s="12"/>
      <c r="AM468" s="12"/>
      <c r="AN468" s="1"/>
      <c r="AO468" s="6"/>
    </row>
    <row r="469" spans="1:41" ht="15" x14ac:dyDescent="0.25">
      <c r="A469" s="1"/>
      <c r="B469" s="1"/>
      <c r="C469" s="1"/>
      <c r="D469" s="1"/>
      <c r="E469" s="6"/>
      <c r="F469" s="1"/>
      <c r="G469" s="6"/>
      <c r="H469" s="6"/>
      <c r="I469" s="6"/>
      <c r="J469" s="6"/>
      <c r="K469" s="6"/>
      <c r="L469" s="6"/>
      <c r="M469" s="6"/>
      <c r="N469" s="6"/>
      <c r="O469" s="7"/>
      <c r="P469" s="6"/>
      <c r="Q469" s="6"/>
      <c r="R469" s="7"/>
      <c r="S469" s="6"/>
      <c r="T469" s="6"/>
      <c r="U469" s="7"/>
      <c r="V469" s="6"/>
      <c r="W469" s="6"/>
      <c r="X469" s="12"/>
      <c r="Y469" s="6"/>
      <c r="Z469" s="6"/>
      <c r="AA469" s="7"/>
      <c r="AB469" s="6"/>
      <c r="AC469" s="6"/>
      <c r="AD469" s="6"/>
      <c r="AE469" s="12"/>
      <c r="AF469" s="6"/>
      <c r="AG469" s="12"/>
      <c r="AH469" s="6"/>
      <c r="AI469" s="6"/>
      <c r="AJ469" s="12"/>
      <c r="AK469" s="24"/>
      <c r="AL469" s="25"/>
      <c r="AM469" s="12"/>
      <c r="AN469" s="1"/>
      <c r="AO469" s="6"/>
    </row>
    <row r="470" spans="1:41" ht="15" x14ac:dyDescent="0.25">
      <c r="A470" s="1"/>
      <c r="B470" s="1"/>
      <c r="C470" s="1"/>
      <c r="D470" s="1"/>
      <c r="E470" s="6"/>
      <c r="F470" s="1"/>
      <c r="G470" s="6"/>
      <c r="H470" s="6"/>
      <c r="I470" s="6"/>
      <c r="J470" s="6"/>
      <c r="K470" s="6"/>
      <c r="L470" s="6"/>
      <c r="M470" s="6"/>
      <c r="N470" s="6"/>
      <c r="O470" s="7"/>
      <c r="P470" s="6"/>
      <c r="Q470" s="6"/>
      <c r="R470" s="7"/>
      <c r="S470" s="6"/>
      <c r="T470" s="6"/>
      <c r="U470" s="7"/>
      <c r="V470" s="6"/>
      <c r="W470" s="6"/>
      <c r="X470" s="6"/>
      <c r="Y470" s="6"/>
      <c r="Z470" s="6"/>
      <c r="AA470" s="7"/>
      <c r="AB470" s="6"/>
      <c r="AC470" s="6"/>
      <c r="AD470" s="6"/>
      <c r="AE470" s="12"/>
      <c r="AF470" s="6"/>
      <c r="AG470" s="12"/>
      <c r="AH470" s="6"/>
      <c r="AI470" s="6"/>
      <c r="AJ470" s="12"/>
      <c r="AK470" s="24"/>
      <c r="AL470" s="25"/>
      <c r="AM470" s="12"/>
      <c r="AN470" s="1"/>
      <c r="AO470" s="6"/>
    </row>
    <row r="471" spans="1:41" ht="15" x14ac:dyDescent="0.25">
      <c r="A471" s="1"/>
      <c r="B471" s="1"/>
      <c r="C471" s="1"/>
      <c r="D471" s="1"/>
      <c r="E471" s="6"/>
      <c r="F471" s="1"/>
      <c r="G471" s="6"/>
      <c r="H471" s="6"/>
      <c r="I471" s="6"/>
      <c r="J471" s="6"/>
      <c r="K471" s="6"/>
      <c r="L471" s="6"/>
      <c r="M471" s="6"/>
      <c r="N471" s="6"/>
      <c r="O471" s="7"/>
      <c r="P471" s="6"/>
      <c r="Q471" s="7"/>
      <c r="R471" s="6"/>
      <c r="S471" s="6"/>
      <c r="T471" s="6"/>
      <c r="U471" s="6"/>
      <c r="V471" s="7"/>
      <c r="W471" s="6"/>
      <c r="X471" s="6"/>
      <c r="Y471" s="6"/>
      <c r="Z471" s="6"/>
      <c r="AA471" s="24"/>
      <c r="AB471" s="25"/>
      <c r="AC471" s="12"/>
      <c r="AD471" s="12"/>
      <c r="AE471" s="12"/>
      <c r="AF471" s="6"/>
      <c r="AG471" s="12"/>
      <c r="AH471" s="6"/>
      <c r="AI471" s="6"/>
      <c r="AJ471" s="12"/>
      <c r="AK471" s="12"/>
      <c r="AL471" s="12"/>
      <c r="AM471" s="12"/>
      <c r="AN471" s="1"/>
      <c r="AO471" s="6"/>
    </row>
    <row r="472" spans="1:41" ht="15" x14ac:dyDescent="0.25">
      <c r="A472" s="1"/>
      <c r="B472" s="1"/>
      <c r="C472" s="1"/>
      <c r="D472" s="1"/>
      <c r="E472" s="6"/>
      <c r="F472" s="1"/>
      <c r="G472" s="6"/>
      <c r="H472" s="6"/>
      <c r="I472" s="6"/>
      <c r="J472" s="6"/>
      <c r="K472" s="6"/>
      <c r="L472" s="6"/>
      <c r="M472" s="6"/>
      <c r="N472" s="6"/>
      <c r="O472" s="12"/>
      <c r="P472" s="12"/>
      <c r="Q472" s="7"/>
      <c r="R472" s="6"/>
      <c r="S472" s="12"/>
      <c r="T472" s="6"/>
      <c r="U472" s="6"/>
      <c r="V472" s="7"/>
      <c r="W472" s="6"/>
      <c r="X472" s="6"/>
      <c r="Y472" s="6"/>
      <c r="Z472" s="6"/>
      <c r="AA472" s="24"/>
      <c r="AB472" s="25"/>
      <c r="AC472" s="12"/>
      <c r="AD472" s="12"/>
      <c r="AE472" s="12"/>
      <c r="AF472" s="6"/>
      <c r="AG472" s="12"/>
      <c r="AH472" s="6"/>
      <c r="AI472" s="6"/>
      <c r="AJ472" s="12"/>
      <c r="AK472" s="12"/>
      <c r="AL472" s="12"/>
      <c r="AM472" s="12"/>
      <c r="AN472" s="1"/>
      <c r="AO472" s="6"/>
    </row>
    <row r="473" spans="1:41" ht="15" x14ac:dyDescent="0.25">
      <c r="A473" s="1"/>
      <c r="B473" s="1"/>
      <c r="C473" s="1"/>
      <c r="D473" s="1"/>
      <c r="E473" s="6"/>
      <c r="F473" s="1"/>
      <c r="G473" s="6"/>
      <c r="H473" s="6"/>
      <c r="I473" s="6"/>
      <c r="J473" s="6"/>
      <c r="K473" s="6"/>
      <c r="L473" s="6"/>
      <c r="M473" s="6"/>
      <c r="N473" s="6"/>
      <c r="O473" s="7"/>
      <c r="P473" s="6"/>
      <c r="Q473" s="6"/>
      <c r="R473" s="7"/>
      <c r="S473" s="6"/>
      <c r="T473" s="6"/>
      <c r="U473" s="7"/>
      <c r="V473" s="6"/>
      <c r="W473" s="6"/>
      <c r="X473" s="6"/>
      <c r="Y473" s="6"/>
      <c r="Z473" s="6"/>
      <c r="AA473" s="7"/>
      <c r="AB473" s="6"/>
      <c r="AC473" s="6"/>
      <c r="AD473" s="6"/>
      <c r="AE473" s="12"/>
      <c r="AF473" s="12"/>
      <c r="AG473" s="12"/>
      <c r="AH473" s="12"/>
      <c r="AI473" s="6"/>
      <c r="AJ473" s="12"/>
      <c r="AK473" s="1"/>
      <c r="AL473" s="12"/>
      <c r="AM473" s="12"/>
      <c r="AN473" s="1"/>
      <c r="AO473" s="6"/>
    </row>
    <row r="474" spans="1:41" ht="15" x14ac:dyDescent="0.25">
      <c r="A474" s="1"/>
      <c r="B474" s="1"/>
      <c r="C474" s="1"/>
      <c r="D474" s="1"/>
      <c r="E474" s="6"/>
      <c r="F474" s="1"/>
      <c r="G474" s="6"/>
      <c r="H474" s="6"/>
      <c r="I474" s="6"/>
      <c r="J474" s="6"/>
      <c r="K474" s="6"/>
      <c r="L474" s="6"/>
      <c r="M474" s="6"/>
      <c r="N474" s="6"/>
      <c r="O474" s="7"/>
      <c r="P474" s="6"/>
      <c r="Q474" s="6"/>
      <c r="R474" s="7"/>
      <c r="S474" s="6"/>
      <c r="T474" s="6"/>
      <c r="U474" s="7"/>
      <c r="V474" s="6"/>
      <c r="W474" s="6"/>
      <c r="X474" s="12"/>
      <c r="Y474" s="6"/>
      <c r="Z474" s="6"/>
      <c r="AA474" s="7"/>
      <c r="AB474" s="6"/>
      <c r="AC474" s="6"/>
      <c r="AD474" s="6"/>
      <c r="AE474" s="12"/>
      <c r="AF474" s="6"/>
      <c r="AG474" s="12"/>
      <c r="AH474" s="6"/>
      <c r="AI474" s="6"/>
      <c r="AJ474" s="12"/>
      <c r="AK474" s="1"/>
      <c r="AL474" s="12"/>
      <c r="AM474" s="12"/>
      <c r="AN474" s="1"/>
      <c r="AO474" s="6"/>
    </row>
    <row r="475" spans="1:41" ht="15" x14ac:dyDescent="0.25">
      <c r="A475" s="1"/>
      <c r="B475" s="1"/>
      <c r="C475" s="1"/>
      <c r="D475" s="1"/>
      <c r="E475" s="6"/>
      <c r="F475" s="1"/>
      <c r="G475" s="6"/>
      <c r="H475" s="6"/>
      <c r="I475" s="6"/>
      <c r="J475" s="6"/>
      <c r="K475" s="6"/>
      <c r="L475" s="6"/>
      <c r="M475" s="6"/>
      <c r="N475" s="6"/>
      <c r="O475" s="7"/>
      <c r="P475" s="6"/>
      <c r="Q475" s="6"/>
      <c r="R475" s="7"/>
      <c r="S475" s="6"/>
      <c r="T475" s="6"/>
      <c r="U475" s="7"/>
      <c r="V475" s="6"/>
      <c r="W475" s="6"/>
      <c r="X475" s="6"/>
      <c r="Y475" s="6"/>
      <c r="Z475" s="6"/>
      <c r="AA475" s="7"/>
      <c r="AB475" s="6"/>
      <c r="AC475" s="6"/>
      <c r="AD475" s="6"/>
      <c r="AE475" s="12"/>
      <c r="AF475" s="6"/>
      <c r="AG475" s="12"/>
      <c r="AH475" s="6"/>
      <c r="AI475" s="6"/>
      <c r="AJ475" s="12"/>
      <c r="AK475" s="24"/>
      <c r="AL475" s="25"/>
      <c r="AM475" s="12"/>
      <c r="AN475" s="1"/>
      <c r="AO475" s="6"/>
    </row>
    <row r="476" spans="1:41" ht="15" x14ac:dyDescent="0.25">
      <c r="A476" s="1"/>
      <c r="B476" s="1"/>
      <c r="C476" s="1"/>
      <c r="D476" s="1"/>
      <c r="E476" s="6"/>
      <c r="F476" s="1"/>
      <c r="G476" s="6"/>
      <c r="H476" s="6"/>
      <c r="I476" s="6"/>
      <c r="J476" s="6"/>
      <c r="K476" s="6"/>
      <c r="L476" s="6"/>
      <c r="M476" s="6"/>
      <c r="N476" s="6"/>
      <c r="O476" s="7"/>
      <c r="P476" s="6"/>
      <c r="Q476" s="6"/>
      <c r="R476" s="7"/>
      <c r="S476" s="6"/>
      <c r="T476" s="6"/>
      <c r="U476" s="7"/>
      <c r="V476" s="6"/>
      <c r="W476" s="6"/>
      <c r="X476" s="6"/>
      <c r="Y476" s="6"/>
      <c r="Z476" s="6"/>
      <c r="AA476" s="7"/>
      <c r="AB476" s="6"/>
      <c r="AC476" s="6"/>
      <c r="AD476" s="6"/>
      <c r="AE476" s="12"/>
      <c r="AF476" s="6"/>
      <c r="AG476" s="12"/>
      <c r="AH476" s="6"/>
      <c r="AI476" s="6"/>
      <c r="AJ476" s="12"/>
      <c r="AK476" s="24"/>
      <c r="AL476" s="25"/>
      <c r="AM476" s="12"/>
      <c r="AN476" s="1"/>
      <c r="AO476" s="6"/>
    </row>
    <row r="477" spans="1:41" ht="15" x14ac:dyDescent="0.25">
      <c r="A477" s="1"/>
      <c r="B477" s="1"/>
      <c r="C477" s="1"/>
      <c r="D477" s="1"/>
      <c r="E477" s="6"/>
      <c r="F477" s="1"/>
      <c r="G477" s="6"/>
      <c r="H477" s="6"/>
      <c r="I477" s="6"/>
      <c r="J477" s="6"/>
      <c r="K477" s="6"/>
      <c r="L477" s="6"/>
      <c r="M477" s="6"/>
      <c r="N477" s="6"/>
      <c r="O477" s="7"/>
      <c r="P477" s="6"/>
      <c r="Q477" s="6"/>
      <c r="R477" s="7"/>
      <c r="S477" s="6"/>
      <c r="T477" s="6"/>
      <c r="U477" s="7"/>
      <c r="V477" s="6"/>
      <c r="W477" s="6"/>
      <c r="X477" s="6"/>
      <c r="Y477" s="6"/>
      <c r="Z477" s="6"/>
      <c r="AA477" s="7"/>
      <c r="AB477" s="6"/>
      <c r="AC477" s="6"/>
      <c r="AD477" s="6"/>
      <c r="AE477" s="12"/>
      <c r="AF477" s="6"/>
      <c r="AG477" s="12"/>
      <c r="AH477" s="6"/>
      <c r="AI477" s="6"/>
      <c r="AJ477" s="12"/>
      <c r="AK477" s="24"/>
      <c r="AL477" s="25"/>
      <c r="AM477" s="12"/>
      <c r="AN477" s="1"/>
      <c r="AO477" s="6"/>
    </row>
    <row r="478" spans="1:41" ht="15" x14ac:dyDescent="0.25">
      <c r="A478" s="1"/>
      <c r="B478" s="1"/>
      <c r="C478" s="1"/>
      <c r="D478" s="1"/>
      <c r="E478" s="6"/>
      <c r="F478" s="1"/>
      <c r="G478" s="6"/>
      <c r="H478" s="6"/>
      <c r="I478" s="6"/>
      <c r="J478" s="6"/>
      <c r="K478" s="6"/>
      <c r="L478" s="6"/>
      <c r="M478" s="6"/>
      <c r="N478" s="6"/>
      <c r="O478" s="7"/>
      <c r="P478" s="6"/>
      <c r="Q478" s="6"/>
      <c r="R478" s="7"/>
      <c r="S478" s="6"/>
      <c r="T478" s="6"/>
      <c r="U478" s="7"/>
      <c r="V478" s="6"/>
      <c r="W478" s="6"/>
      <c r="X478" s="12"/>
      <c r="Y478" s="6"/>
      <c r="Z478" s="6"/>
      <c r="AA478" s="7"/>
      <c r="AB478" s="6"/>
      <c r="AC478" s="6"/>
      <c r="AD478" s="6"/>
      <c r="AE478" s="12"/>
      <c r="AF478" s="6"/>
      <c r="AG478" s="12"/>
      <c r="AH478" s="6"/>
      <c r="AI478" s="6"/>
      <c r="AJ478" s="12"/>
      <c r="AK478" s="1"/>
      <c r="AL478" s="12"/>
      <c r="AM478" s="12"/>
      <c r="AN478" s="1"/>
      <c r="AO478" s="6"/>
    </row>
    <row r="479" spans="1:41" ht="15" x14ac:dyDescent="0.25">
      <c r="A479" s="1"/>
      <c r="B479" s="1"/>
      <c r="C479" s="1"/>
      <c r="D479" s="1"/>
      <c r="E479" s="6"/>
      <c r="F479" s="1"/>
      <c r="G479" s="6"/>
      <c r="H479" s="6"/>
      <c r="I479" s="6"/>
      <c r="J479" s="6"/>
      <c r="K479" s="6"/>
      <c r="L479" s="6"/>
      <c r="M479" s="6"/>
      <c r="N479" s="6"/>
      <c r="O479" s="7"/>
      <c r="P479" s="6"/>
      <c r="Q479" s="6"/>
      <c r="R479" s="12"/>
      <c r="S479" s="12"/>
      <c r="T479" s="12"/>
      <c r="U479" s="7"/>
      <c r="V479" s="6"/>
      <c r="W479" s="6"/>
      <c r="X479" s="6"/>
      <c r="Y479" s="12"/>
      <c r="Z479" s="6"/>
      <c r="AA479" s="7"/>
      <c r="AB479" s="6"/>
      <c r="AC479" s="6"/>
      <c r="AD479" s="6"/>
      <c r="AE479" s="12"/>
      <c r="AF479" s="12"/>
      <c r="AG479" s="12"/>
      <c r="AH479" s="12"/>
      <c r="AI479" s="6"/>
      <c r="AJ479" s="12"/>
      <c r="AK479" s="1"/>
      <c r="AL479" s="12"/>
      <c r="AM479" s="12"/>
      <c r="AN479" s="1"/>
      <c r="AO479" s="6"/>
    </row>
    <row r="480" spans="1:41" ht="15" x14ac:dyDescent="0.25">
      <c r="A480" s="1"/>
      <c r="B480" s="1"/>
      <c r="C480" s="1"/>
      <c r="D480" s="1"/>
      <c r="E480" s="6"/>
      <c r="F480" s="1"/>
      <c r="G480" s="6"/>
      <c r="H480" s="6"/>
      <c r="I480" s="6"/>
      <c r="J480" s="6"/>
      <c r="K480" s="6"/>
      <c r="L480" s="6"/>
      <c r="M480" s="6"/>
      <c r="N480" s="6"/>
      <c r="O480" s="7"/>
      <c r="P480" s="6"/>
      <c r="Q480" s="6"/>
      <c r="R480" s="7"/>
      <c r="S480" s="6"/>
      <c r="T480" s="6"/>
      <c r="U480" s="7"/>
      <c r="V480" s="6"/>
      <c r="W480" s="6"/>
      <c r="X480" s="6"/>
      <c r="Y480" s="6"/>
      <c r="Z480" s="6"/>
      <c r="AA480" s="7"/>
      <c r="AB480" s="6"/>
      <c r="AC480" s="6"/>
      <c r="AD480" s="6"/>
      <c r="AE480" s="12"/>
      <c r="AF480" s="6"/>
      <c r="AG480" s="12"/>
      <c r="AH480" s="6"/>
      <c r="AI480" s="6"/>
      <c r="AJ480" s="12"/>
      <c r="AK480" s="24"/>
      <c r="AL480" s="25"/>
      <c r="AM480" s="12"/>
      <c r="AN480" s="1"/>
      <c r="AO480" s="6"/>
    </row>
    <row r="481" spans="1:41" ht="15" x14ac:dyDescent="0.25">
      <c r="A481" s="1"/>
      <c r="B481" s="1"/>
      <c r="C481" s="1"/>
      <c r="D481" s="1"/>
      <c r="E481" s="6"/>
      <c r="F481" s="1"/>
      <c r="G481" s="6"/>
      <c r="H481" s="6"/>
      <c r="I481" s="6"/>
      <c r="J481" s="6"/>
      <c r="K481" s="6"/>
      <c r="L481" s="6"/>
      <c r="M481" s="6"/>
      <c r="N481" s="6"/>
      <c r="O481" s="7"/>
      <c r="P481" s="6"/>
      <c r="Q481" s="6"/>
      <c r="R481" s="7"/>
      <c r="S481" s="6"/>
      <c r="T481" s="6"/>
      <c r="U481" s="7"/>
      <c r="V481" s="6"/>
      <c r="W481" s="6"/>
      <c r="X481" s="6"/>
      <c r="Y481" s="6"/>
      <c r="Z481" s="6"/>
      <c r="AA481" s="7"/>
      <c r="AB481" s="6"/>
      <c r="AC481" s="6"/>
      <c r="AD481" s="6"/>
      <c r="AE481" s="12"/>
      <c r="AF481" s="6"/>
      <c r="AG481" s="12"/>
      <c r="AH481" s="6"/>
      <c r="AI481" s="6"/>
      <c r="AJ481" s="12"/>
      <c r="AK481" s="24"/>
      <c r="AL481" s="25"/>
      <c r="AM481" s="12"/>
      <c r="AN481" s="1"/>
      <c r="AO481" s="6"/>
    </row>
    <row r="482" spans="1:41" ht="15" x14ac:dyDescent="0.25">
      <c r="A482" s="1"/>
      <c r="B482" s="1"/>
      <c r="C482" s="1"/>
      <c r="D482" s="1"/>
      <c r="E482" s="6"/>
      <c r="F482" s="1"/>
      <c r="G482" s="6"/>
      <c r="H482" s="6"/>
      <c r="I482" s="6"/>
      <c r="J482" s="6"/>
      <c r="K482" s="6"/>
      <c r="L482" s="6"/>
      <c r="M482" s="6"/>
      <c r="N482" s="6"/>
      <c r="O482" s="7"/>
      <c r="P482" s="6"/>
      <c r="Q482" s="6"/>
      <c r="R482" s="7"/>
      <c r="S482" s="6"/>
      <c r="T482" s="6"/>
      <c r="U482" s="7"/>
      <c r="V482" s="6"/>
      <c r="W482" s="6"/>
      <c r="X482" s="6"/>
      <c r="Y482" s="6"/>
      <c r="Z482" s="6"/>
      <c r="AA482" s="7"/>
      <c r="AB482" s="6"/>
      <c r="AC482" s="6"/>
      <c r="AD482" s="6"/>
      <c r="AE482" s="12"/>
      <c r="AF482" s="6"/>
      <c r="AG482" s="12"/>
      <c r="AH482" s="6"/>
      <c r="AI482" s="6"/>
      <c r="AJ482" s="12"/>
      <c r="AK482" s="24"/>
      <c r="AL482" s="25"/>
      <c r="AM482" s="12"/>
      <c r="AN482" s="1"/>
      <c r="AO482" s="6"/>
    </row>
    <row r="483" spans="1:41" ht="15" x14ac:dyDescent="0.25">
      <c r="A483" s="1"/>
      <c r="B483" s="1"/>
      <c r="C483" s="1"/>
      <c r="D483" s="1"/>
      <c r="E483" s="6"/>
      <c r="F483" s="1"/>
      <c r="G483" s="6"/>
      <c r="H483" s="6"/>
      <c r="I483" s="6"/>
      <c r="J483" s="6"/>
      <c r="K483" s="6"/>
      <c r="L483" s="6"/>
      <c r="M483" s="6"/>
      <c r="N483" s="6"/>
      <c r="O483" s="7"/>
      <c r="P483" s="6"/>
      <c r="Q483" s="7"/>
      <c r="R483" s="6"/>
      <c r="S483" s="12"/>
      <c r="T483" s="6"/>
      <c r="U483" s="6"/>
      <c r="V483" s="7"/>
      <c r="W483" s="7"/>
      <c r="X483" s="6"/>
      <c r="Y483" s="6"/>
      <c r="Z483" s="6"/>
      <c r="AA483" s="1"/>
      <c r="AB483" s="12"/>
      <c r="AC483" s="12"/>
      <c r="AD483" s="12"/>
      <c r="AE483" s="12"/>
      <c r="AF483" s="12"/>
      <c r="AG483" s="12"/>
      <c r="AH483" s="12"/>
      <c r="AI483" s="6"/>
      <c r="AJ483" s="12"/>
      <c r="AK483" s="12"/>
      <c r="AL483" s="12"/>
      <c r="AM483" s="12"/>
      <c r="AN483" s="1"/>
      <c r="AO483" s="6"/>
    </row>
    <row r="484" spans="1:41" ht="15" x14ac:dyDescent="0.25">
      <c r="A484" s="1"/>
      <c r="B484" s="1"/>
      <c r="C484" s="1"/>
      <c r="D484" s="1"/>
      <c r="E484" s="6"/>
      <c r="F484" s="1"/>
      <c r="G484" s="6"/>
      <c r="H484" s="6"/>
      <c r="I484" s="6"/>
      <c r="J484" s="6"/>
      <c r="K484" s="6"/>
      <c r="L484" s="6"/>
      <c r="M484" s="6"/>
      <c r="N484" s="6"/>
      <c r="O484" s="7"/>
      <c r="P484" s="6"/>
      <c r="Q484" s="6"/>
      <c r="R484" s="7"/>
      <c r="S484" s="6"/>
      <c r="T484" s="6"/>
      <c r="U484" s="7"/>
      <c r="V484" s="6"/>
      <c r="W484" s="6"/>
      <c r="X484" s="6"/>
      <c r="Y484" s="6"/>
      <c r="Z484" s="6"/>
      <c r="AA484" s="7"/>
      <c r="AB484" s="6"/>
      <c r="AC484" s="6"/>
      <c r="AD484" s="6"/>
      <c r="AE484" s="12"/>
      <c r="AF484" s="6"/>
      <c r="AG484" s="12"/>
      <c r="AH484" s="6"/>
      <c r="AI484" s="6"/>
      <c r="AJ484" s="12"/>
      <c r="AK484" s="24"/>
      <c r="AL484" s="25"/>
      <c r="AM484" s="12"/>
      <c r="AN484" s="1"/>
      <c r="AO484" s="6"/>
    </row>
    <row r="485" spans="1:41" ht="15" x14ac:dyDescent="0.25">
      <c r="A485" s="1"/>
      <c r="B485" s="1"/>
      <c r="C485" s="1"/>
      <c r="D485" s="1"/>
      <c r="E485" s="6"/>
      <c r="F485" s="1"/>
      <c r="G485" s="6"/>
      <c r="H485" s="6"/>
      <c r="I485" s="6"/>
      <c r="J485" s="6"/>
      <c r="K485" s="6"/>
      <c r="L485" s="6"/>
      <c r="M485" s="6"/>
      <c r="N485" s="6"/>
      <c r="O485" s="7"/>
      <c r="P485" s="6"/>
      <c r="Q485" s="6"/>
      <c r="R485" s="7"/>
      <c r="S485" s="6"/>
      <c r="T485" s="6"/>
      <c r="U485" s="7"/>
      <c r="V485" s="6"/>
      <c r="W485" s="6"/>
      <c r="X485" s="12"/>
      <c r="Y485" s="6"/>
      <c r="Z485" s="6"/>
      <c r="AA485" s="7"/>
      <c r="AB485" s="6"/>
      <c r="AC485" s="6"/>
      <c r="AD485" s="6"/>
      <c r="AE485" s="12"/>
      <c r="AF485" s="6"/>
      <c r="AG485" s="12"/>
      <c r="AH485" s="6"/>
      <c r="AI485" s="6"/>
      <c r="AJ485" s="12"/>
      <c r="AK485" s="24"/>
      <c r="AL485" s="25"/>
      <c r="AM485" s="12"/>
      <c r="AN485" s="1"/>
      <c r="AO485" s="6"/>
    </row>
    <row r="486" spans="1:41" ht="15" x14ac:dyDescent="0.25">
      <c r="A486" s="1"/>
      <c r="B486" s="1"/>
      <c r="C486" s="1"/>
      <c r="D486" s="1"/>
      <c r="E486" s="6"/>
      <c r="F486" s="1"/>
      <c r="G486" s="6"/>
      <c r="H486" s="6"/>
      <c r="I486" s="6"/>
      <c r="J486" s="6"/>
      <c r="K486" s="6"/>
      <c r="L486" s="6"/>
      <c r="M486" s="6"/>
      <c r="N486" s="6"/>
      <c r="O486" s="7"/>
      <c r="P486" s="6"/>
      <c r="Q486" s="6"/>
      <c r="R486" s="7"/>
      <c r="S486" s="6"/>
      <c r="T486" s="6"/>
      <c r="U486" s="7"/>
      <c r="V486" s="6"/>
      <c r="W486" s="6"/>
      <c r="X486" s="6"/>
      <c r="Y486" s="6"/>
      <c r="Z486" s="6"/>
      <c r="AA486" s="7"/>
      <c r="AB486" s="6"/>
      <c r="AC486" s="6"/>
      <c r="AD486" s="6"/>
      <c r="AE486" s="12"/>
      <c r="AF486" s="12"/>
      <c r="AG486" s="12"/>
      <c r="AH486" s="12"/>
      <c r="AI486" s="6"/>
      <c r="AJ486" s="12"/>
      <c r="AK486" s="1"/>
      <c r="AL486" s="12"/>
      <c r="AM486" s="12"/>
      <c r="AN486" s="1"/>
      <c r="AO486" s="6"/>
    </row>
    <row r="487" spans="1:41" ht="15" x14ac:dyDescent="0.25">
      <c r="A487" s="1"/>
      <c r="B487" s="1"/>
      <c r="C487" s="1"/>
      <c r="D487" s="1"/>
      <c r="E487" s="6"/>
      <c r="F487" s="1"/>
      <c r="G487" s="6"/>
      <c r="H487" s="6"/>
      <c r="I487" s="6"/>
      <c r="J487" s="6"/>
      <c r="K487" s="6"/>
      <c r="L487" s="6"/>
      <c r="M487" s="6"/>
      <c r="N487" s="6"/>
      <c r="O487" s="7"/>
      <c r="P487" s="6"/>
      <c r="Q487" s="6"/>
      <c r="R487" s="7"/>
      <c r="S487" s="6"/>
      <c r="T487" s="6"/>
      <c r="U487" s="7"/>
      <c r="V487" s="6"/>
      <c r="W487" s="6"/>
      <c r="X487" s="6"/>
      <c r="Y487" s="6"/>
      <c r="Z487" s="6"/>
      <c r="AA487" s="7"/>
      <c r="AB487" s="6"/>
      <c r="AC487" s="6"/>
      <c r="AD487" s="6"/>
      <c r="AE487" s="12"/>
      <c r="AF487" s="12"/>
      <c r="AG487" s="12"/>
      <c r="AH487" s="12"/>
      <c r="AI487" s="6"/>
      <c r="AJ487" s="12"/>
      <c r="AK487" s="1"/>
      <c r="AL487" s="12"/>
      <c r="AM487" s="12"/>
      <c r="AN487" s="1"/>
      <c r="AO487" s="6"/>
    </row>
    <row r="488" spans="1:41" ht="15" x14ac:dyDescent="0.25">
      <c r="A488" s="1"/>
      <c r="B488" s="1"/>
      <c r="C488" s="1"/>
      <c r="D488" s="1"/>
      <c r="E488" s="6"/>
      <c r="F488" s="1"/>
      <c r="G488" s="6"/>
      <c r="H488" s="6"/>
      <c r="I488" s="6"/>
      <c r="J488" s="6"/>
      <c r="K488" s="6"/>
      <c r="L488" s="6"/>
      <c r="M488" s="6"/>
      <c r="N488" s="6"/>
      <c r="O488" s="7"/>
      <c r="P488" s="6"/>
      <c r="Q488" s="7"/>
      <c r="R488" s="6"/>
      <c r="S488" s="6"/>
      <c r="T488" s="6"/>
      <c r="U488" s="6"/>
      <c r="V488" s="7"/>
      <c r="W488" s="7"/>
      <c r="X488" s="6"/>
      <c r="Y488" s="6"/>
      <c r="Z488" s="6"/>
      <c r="AA488" s="1"/>
      <c r="AB488" s="12"/>
      <c r="AC488" s="12"/>
      <c r="AD488" s="12"/>
      <c r="AE488" s="12"/>
      <c r="AF488" s="12"/>
      <c r="AG488" s="12"/>
      <c r="AH488" s="12"/>
      <c r="AI488" s="6"/>
      <c r="AJ488" s="12"/>
      <c r="AK488" s="12"/>
      <c r="AL488" s="12"/>
      <c r="AM488" s="12"/>
      <c r="AN488" s="1"/>
      <c r="AO488" s="6"/>
    </row>
    <row r="489" spans="1:41" ht="15" x14ac:dyDescent="0.25">
      <c r="A489" s="1"/>
      <c r="B489" s="1"/>
      <c r="C489" s="1"/>
      <c r="D489" s="1"/>
      <c r="E489" s="6"/>
      <c r="F489" s="1"/>
      <c r="G489" s="6"/>
      <c r="H489" s="6"/>
      <c r="I489" s="6"/>
      <c r="J489" s="6"/>
      <c r="K489" s="6"/>
      <c r="L489" s="6"/>
      <c r="M489" s="6"/>
      <c r="N489" s="6"/>
      <c r="O489" s="7"/>
      <c r="P489" s="6"/>
      <c r="Q489" s="6"/>
      <c r="R489" s="7"/>
      <c r="S489" s="6"/>
      <c r="T489" s="6"/>
      <c r="U489" s="7"/>
      <c r="V489" s="6"/>
      <c r="W489" s="6"/>
      <c r="X489" s="6"/>
      <c r="Y489" s="6"/>
      <c r="Z489" s="6"/>
      <c r="AA489" s="7"/>
      <c r="AB489" s="6"/>
      <c r="AC489" s="6"/>
      <c r="AD489" s="6"/>
      <c r="AE489" s="12"/>
      <c r="AF489" s="6"/>
      <c r="AG489" s="12"/>
      <c r="AH489" s="6"/>
      <c r="AI489" s="6"/>
      <c r="AJ489" s="12"/>
      <c r="AK489" s="24"/>
      <c r="AL489" s="25"/>
      <c r="AM489" s="12"/>
      <c r="AN489" s="1"/>
      <c r="AO489" s="6"/>
    </row>
    <row r="490" spans="1:41" ht="15" x14ac:dyDescent="0.25">
      <c r="A490" s="1"/>
      <c r="B490" s="1"/>
      <c r="C490" s="1"/>
      <c r="D490" s="1"/>
      <c r="E490" s="6"/>
      <c r="F490" s="1"/>
      <c r="G490" s="6"/>
      <c r="H490" s="6"/>
      <c r="I490" s="6"/>
      <c r="J490" s="6"/>
      <c r="K490" s="6"/>
      <c r="L490" s="6"/>
      <c r="M490" s="6"/>
      <c r="N490" s="6"/>
      <c r="O490" s="7"/>
      <c r="P490" s="6"/>
      <c r="Q490" s="7"/>
      <c r="R490" s="6"/>
      <c r="S490" s="12"/>
      <c r="T490" s="6"/>
      <c r="U490" s="6"/>
      <c r="V490" s="7"/>
      <c r="W490" s="7"/>
      <c r="X490" s="6"/>
      <c r="Y490" s="6"/>
      <c r="Z490" s="6"/>
      <c r="AA490" s="1"/>
      <c r="AB490" s="12"/>
      <c r="AC490" s="12"/>
      <c r="AD490" s="12"/>
      <c r="AE490" s="12"/>
      <c r="AF490" s="12"/>
      <c r="AG490" s="12"/>
      <c r="AH490" s="12"/>
      <c r="AI490" s="6"/>
      <c r="AJ490" s="12"/>
      <c r="AK490" s="12"/>
      <c r="AL490" s="12"/>
      <c r="AM490" s="12"/>
      <c r="AN490" s="1"/>
      <c r="AO490" s="6"/>
    </row>
    <row r="491" spans="1:41" ht="15" x14ac:dyDescent="0.25">
      <c r="A491" s="1"/>
      <c r="B491" s="1"/>
      <c r="C491" s="1"/>
      <c r="D491" s="1"/>
      <c r="E491" s="6"/>
      <c r="F491" s="1"/>
      <c r="G491" s="6"/>
      <c r="H491" s="6"/>
      <c r="I491" s="6"/>
      <c r="J491" s="6"/>
      <c r="K491" s="6"/>
      <c r="L491" s="6"/>
      <c r="M491" s="6"/>
      <c r="N491" s="6"/>
      <c r="O491" s="7"/>
      <c r="P491" s="6"/>
      <c r="Q491" s="6"/>
      <c r="R491" s="7"/>
      <c r="S491" s="6"/>
      <c r="T491" s="6"/>
      <c r="U491" s="7"/>
      <c r="V491" s="6"/>
      <c r="W491" s="6"/>
      <c r="X491" s="6"/>
      <c r="Y491" s="6"/>
      <c r="Z491" s="6"/>
      <c r="AA491" s="7"/>
      <c r="AB491" s="6"/>
      <c r="AC491" s="6"/>
      <c r="AD491" s="6"/>
      <c r="AE491" s="12"/>
      <c r="AF491" s="6"/>
      <c r="AG491" s="12"/>
      <c r="AH491" s="6"/>
      <c r="AI491" s="6"/>
      <c r="AJ491" s="12"/>
      <c r="AK491" s="24"/>
      <c r="AL491" s="25"/>
      <c r="AM491" s="12"/>
      <c r="AN491" s="1"/>
      <c r="AO491" s="6"/>
    </row>
    <row r="492" spans="1:41" ht="15" x14ac:dyDescent="0.25">
      <c r="A492" s="1"/>
      <c r="B492" s="1"/>
      <c r="C492" s="1"/>
      <c r="D492" s="1"/>
      <c r="E492" s="6"/>
      <c r="F492" s="1"/>
      <c r="G492" s="6"/>
      <c r="H492" s="6"/>
      <c r="I492" s="6"/>
      <c r="J492" s="6"/>
      <c r="K492" s="6"/>
      <c r="L492" s="6"/>
      <c r="M492" s="6"/>
      <c r="N492" s="6"/>
      <c r="O492" s="7"/>
      <c r="P492" s="6"/>
      <c r="Q492" s="6"/>
      <c r="R492" s="7"/>
      <c r="S492" s="6"/>
      <c r="T492" s="6"/>
      <c r="U492" s="7"/>
      <c r="V492" s="6"/>
      <c r="W492" s="6"/>
      <c r="X492" s="12"/>
      <c r="Y492" s="6"/>
      <c r="Z492" s="6"/>
      <c r="AA492" s="7"/>
      <c r="AB492" s="6"/>
      <c r="AC492" s="6"/>
      <c r="AD492" s="6"/>
      <c r="AE492" s="12"/>
      <c r="AF492" s="12"/>
      <c r="AG492" s="12"/>
      <c r="AH492" s="12"/>
      <c r="AI492" s="6"/>
      <c r="AJ492" s="12"/>
      <c r="AK492" s="1"/>
      <c r="AL492" s="12"/>
      <c r="AM492" s="12"/>
      <c r="AN492" s="1"/>
      <c r="AO492" s="6"/>
    </row>
    <row r="493" spans="1:41" ht="15" x14ac:dyDescent="0.25">
      <c r="A493" s="1"/>
      <c r="B493" s="1"/>
      <c r="C493" s="1"/>
      <c r="D493" s="1"/>
      <c r="E493" s="6"/>
      <c r="F493" s="1"/>
      <c r="G493" s="6"/>
      <c r="H493" s="6"/>
      <c r="I493" s="6"/>
      <c r="J493" s="6"/>
      <c r="K493" s="6"/>
      <c r="L493" s="6"/>
      <c r="M493" s="6"/>
      <c r="N493" s="6"/>
      <c r="O493" s="7"/>
      <c r="P493" s="6"/>
      <c r="Q493" s="6"/>
      <c r="R493" s="7"/>
      <c r="S493" s="6"/>
      <c r="T493" s="6"/>
      <c r="U493" s="6"/>
      <c r="V493" s="6"/>
      <c r="W493" s="6"/>
      <c r="X493" s="7"/>
      <c r="Y493" s="6"/>
      <c r="Z493" s="6"/>
      <c r="AA493" s="7"/>
      <c r="AB493" s="6"/>
      <c r="AC493" s="6"/>
      <c r="AD493" s="6"/>
      <c r="AE493" s="12"/>
      <c r="AF493" s="6"/>
      <c r="AG493" s="12"/>
      <c r="AH493" s="6"/>
      <c r="AI493" s="6"/>
      <c r="AJ493" s="12"/>
      <c r="AK493" s="6"/>
      <c r="AL493" s="12"/>
      <c r="AM493" s="12"/>
      <c r="AN493" s="1"/>
      <c r="AO493" s="6"/>
    </row>
    <row r="494" spans="1:41" ht="15" x14ac:dyDescent="0.25">
      <c r="A494" s="1"/>
      <c r="B494" s="1"/>
      <c r="C494" s="1"/>
      <c r="D494" s="1"/>
      <c r="E494" s="6"/>
      <c r="F494" s="1"/>
      <c r="G494" s="6"/>
      <c r="H494" s="6"/>
      <c r="I494" s="6"/>
      <c r="J494" s="6"/>
      <c r="K494" s="6"/>
      <c r="L494" s="6"/>
      <c r="M494" s="6"/>
      <c r="N494" s="6"/>
      <c r="O494" s="7"/>
      <c r="P494" s="6"/>
      <c r="Q494" s="6"/>
      <c r="R494" s="7"/>
      <c r="S494" s="6"/>
      <c r="T494" s="6"/>
      <c r="U494" s="7"/>
      <c r="V494" s="6"/>
      <c r="W494" s="6"/>
      <c r="X494" s="12"/>
      <c r="Y494" s="6"/>
      <c r="Z494" s="6"/>
      <c r="AA494" s="7"/>
      <c r="AB494" s="6"/>
      <c r="AC494" s="6"/>
      <c r="AD494" s="6"/>
      <c r="AE494" s="12"/>
      <c r="AF494" s="6"/>
      <c r="AG494" s="12"/>
      <c r="AH494" s="6"/>
      <c r="AI494" s="6"/>
      <c r="AJ494" s="12"/>
      <c r="AK494" s="1"/>
      <c r="AL494" s="12"/>
      <c r="AM494" s="12"/>
      <c r="AN494" s="1"/>
      <c r="AO494" s="6"/>
    </row>
    <row r="495" spans="1:41" ht="15" x14ac:dyDescent="0.25">
      <c r="A495" s="1"/>
      <c r="B495" s="1"/>
      <c r="C495" s="1"/>
      <c r="D495" s="1"/>
      <c r="E495" s="6"/>
      <c r="F495" s="1"/>
      <c r="G495" s="6"/>
      <c r="H495" s="6"/>
      <c r="I495" s="6"/>
      <c r="J495" s="6"/>
      <c r="K495" s="12"/>
      <c r="L495" s="12"/>
      <c r="M495" s="6"/>
      <c r="N495" s="6"/>
      <c r="O495" s="7"/>
      <c r="P495" s="12"/>
      <c r="Q495" s="6"/>
      <c r="R495" s="7"/>
      <c r="S495" s="6"/>
      <c r="T495" s="6"/>
      <c r="U495" s="7"/>
      <c r="V495" s="6"/>
      <c r="W495" s="6"/>
      <c r="X495" s="12"/>
      <c r="Y495" s="6"/>
      <c r="Z495" s="6"/>
      <c r="AA495" s="7"/>
      <c r="AB495" s="6"/>
      <c r="AC495" s="6"/>
      <c r="AD495" s="6"/>
      <c r="AE495" s="12"/>
      <c r="AF495" s="12"/>
      <c r="AG495" s="12"/>
      <c r="AH495" s="12"/>
      <c r="AI495" s="6"/>
      <c r="AJ495" s="12"/>
      <c r="AK495" s="1"/>
      <c r="AL495" s="12"/>
      <c r="AM495" s="12"/>
      <c r="AN495" s="1"/>
      <c r="AO495" s="6"/>
    </row>
    <row r="496" spans="1:41" ht="15" x14ac:dyDescent="0.25">
      <c r="A496" s="1"/>
      <c r="B496" s="1"/>
      <c r="C496" s="1"/>
      <c r="D496" s="1"/>
      <c r="E496" s="6"/>
      <c r="F496" s="1"/>
      <c r="G496" s="6"/>
      <c r="H496" s="6"/>
      <c r="I496" s="6"/>
      <c r="J496" s="6"/>
      <c r="K496" s="6"/>
      <c r="L496" s="6"/>
      <c r="M496" s="6"/>
      <c r="N496" s="6"/>
      <c r="O496" s="7"/>
      <c r="P496" s="6"/>
      <c r="Q496" s="6"/>
      <c r="R496" s="7"/>
      <c r="S496" s="6"/>
      <c r="T496" s="6"/>
      <c r="U496" s="6"/>
      <c r="V496" s="6"/>
      <c r="W496" s="6"/>
      <c r="X496" s="7"/>
      <c r="Y496" s="6"/>
      <c r="Z496" s="6"/>
      <c r="AA496" s="7"/>
      <c r="AB496" s="6"/>
      <c r="AC496" s="6"/>
      <c r="AD496" s="6"/>
      <c r="AE496" s="12"/>
      <c r="AF496" s="6"/>
      <c r="AG496" s="12"/>
      <c r="AH496" s="6"/>
      <c r="AI496" s="6"/>
      <c r="AJ496" s="12"/>
      <c r="AK496" s="6"/>
      <c r="AL496" s="12"/>
      <c r="AM496" s="12"/>
      <c r="AN496" s="1"/>
      <c r="AO496" s="6"/>
    </row>
    <row r="497" spans="1:41" ht="15" x14ac:dyDescent="0.25">
      <c r="A497" s="1"/>
      <c r="B497" s="1"/>
      <c r="C497" s="1"/>
      <c r="D497" s="1"/>
      <c r="E497" s="6"/>
      <c r="F497" s="1"/>
      <c r="G497" s="6"/>
      <c r="H497" s="6"/>
      <c r="I497" s="6"/>
      <c r="J497" s="6"/>
      <c r="K497" s="6"/>
      <c r="L497" s="6"/>
      <c r="M497" s="6"/>
      <c r="N497" s="6"/>
      <c r="O497" s="7"/>
      <c r="P497" s="6"/>
      <c r="Q497" s="6"/>
      <c r="R497" s="7"/>
      <c r="S497" s="6"/>
      <c r="T497" s="6"/>
      <c r="U497" s="6"/>
      <c r="V497" s="6"/>
      <c r="W497" s="6"/>
      <c r="X497" s="7"/>
      <c r="Y497" s="6"/>
      <c r="Z497" s="6"/>
      <c r="AA497" s="7"/>
      <c r="AB497" s="6"/>
      <c r="AC497" s="6"/>
      <c r="AD497" s="6"/>
      <c r="AE497" s="12"/>
      <c r="AF497" s="6"/>
      <c r="AG497" s="12"/>
      <c r="AH497" s="6"/>
      <c r="AI497" s="6"/>
      <c r="AJ497" s="12"/>
      <c r="AK497" s="6"/>
      <c r="AL497" s="12"/>
      <c r="AM497" s="12"/>
      <c r="AN497" s="1"/>
      <c r="AO497" s="6"/>
    </row>
    <row r="498" spans="1:41" ht="15" x14ac:dyDescent="0.25">
      <c r="A498" s="1"/>
      <c r="B498" s="1"/>
      <c r="C498" s="1"/>
      <c r="D498" s="1"/>
      <c r="E498" s="6"/>
      <c r="F498" s="1"/>
      <c r="G498" s="6"/>
      <c r="H498" s="6"/>
      <c r="I498" s="6"/>
      <c r="J498" s="6"/>
      <c r="K498" s="6"/>
      <c r="L498" s="6"/>
      <c r="M498" s="6"/>
      <c r="N498" s="6"/>
      <c r="O498" s="7"/>
      <c r="P498" s="6"/>
      <c r="Q498" s="6"/>
      <c r="R498" s="7"/>
      <c r="S498" s="6"/>
      <c r="T498" s="6"/>
      <c r="U498" s="6"/>
      <c r="V498" s="6"/>
      <c r="W498" s="6"/>
      <c r="X498" s="7"/>
      <c r="Y498" s="6"/>
      <c r="Z498" s="6"/>
      <c r="AA498" s="7"/>
      <c r="AB498" s="6"/>
      <c r="AC498" s="6"/>
      <c r="AD498" s="6"/>
      <c r="AE498" s="12"/>
      <c r="AF498" s="6"/>
      <c r="AG498" s="12"/>
      <c r="AH498" s="6"/>
      <c r="AI498" s="6"/>
      <c r="AJ498" s="12"/>
      <c r="AK498" s="6"/>
      <c r="AL498" s="12"/>
      <c r="AM498" s="12"/>
      <c r="AN498" s="1"/>
      <c r="AO498" s="6"/>
    </row>
    <row r="499" spans="1:41" ht="15" x14ac:dyDescent="0.25">
      <c r="A499" s="1"/>
      <c r="B499" s="1"/>
      <c r="C499" s="1"/>
      <c r="D499" s="1"/>
      <c r="E499" s="6"/>
      <c r="F499" s="1"/>
      <c r="G499" s="6"/>
      <c r="H499" s="6"/>
      <c r="I499" s="6"/>
      <c r="J499" s="6"/>
      <c r="K499" s="6"/>
      <c r="L499" s="6"/>
      <c r="M499" s="6"/>
      <c r="N499" s="6"/>
      <c r="O499" s="7"/>
      <c r="P499" s="6"/>
      <c r="Q499" s="6"/>
      <c r="R499" s="7"/>
      <c r="S499" s="6"/>
      <c r="T499" s="6"/>
      <c r="U499" s="7"/>
      <c r="V499" s="6"/>
      <c r="W499" s="6"/>
      <c r="X499" s="12"/>
      <c r="Y499" s="6"/>
      <c r="Z499" s="6"/>
      <c r="AA499" s="7"/>
      <c r="AB499" s="6"/>
      <c r="AC499" s="6"/>
      <c r="AD499" s="6"/>
      <c r="AE499" s="12"/>
      <c r="AF499" s="6"/>
      <c r="AG499" s="12"/>
      <c r="AH499" s="6"/>
      <c r="AI499" s="6"/>
      <c r="AJ499" s="12"/>
      <c r="AK499" s="1"/>
      <c r="AL499" s="12"/>
      <c r="AM499" s="12"/>
      <c r="AN499" s="1"/>
      <c r="AO499" s="6"/>
    </row>
    <row r="500" spans="1:41" ht="15" x14ac:dyDescent="0.25">
      <c r="A500" s="1"/>
      <c r="B500" s="1"/>
      <c r="C500" s="1"/>
      <c r="D500" s="1"/>
      <c r="E500" s="6"/>
      <c r="F500" s="1"/>
      <c r="G500" s="6"/>
      <c r="H500" s="6"/>
      <c r="I500" s="6"/>
      <c r="J500" s="6"/>
      <c r="K500" s="6"/>
      <c r="L500" s="6"/>
      <c r="M500" s="6"/>
      <c r="N500" s="6"/>
      <c r="O500" s="7"/>
      <c r="P500" s="6"/>
      <c r="Q500" s="6"/>
      <c r="R500" s="7"/>
      <c r="S500" s="6"/>
      <c r="T500" s="6"/>
      <c r="U500" s="7"/>
      <c r="V500" s="6"/>
      <c r="W500" s="6"/>
      <c r="X500" s="12"/>
      <c r="Y500" s="6"/>
      <c r="Z500" s="6"/>
      <c r="AA500" s="7"/>
      <c r="AB500" s="6"/>
      <c r="AC500" s="6"/>
      <c r="AD500" s="6"/>
      <c r="AE500" s="12"/>
      <c r="AF500" s="6"/>
      <c r="AG500" s="12"/>
      <c r="AH500" s="6"/>
      <c r="AI500" s="6"/>
      <c r="AJ500" s="12"/>
      <c r="AK500" s="1"/>
      <c r="AL500" s="12"/>
      <c r="AM500" s="12"/>
      <c r="AN500" s="1"/>
      <c r="AO500" s="6"/>
    </row>
    <row r="501" spans="1:41" ht="15" x14ac:dyDescent="0.25">
      <c r="A501" s="1"/>
      <c r="B501" s="1"/>
      <c r="C501" s="1"/>
      <c r="D501" s="1"/>
      <c r="E501" s="6"/>
      <c r="F501" s="1"/>
      <c r="G501" s="6"/>
      <c r="H501" s="6"/>
      <c r="I501" s="6"/>
      <c r="J501" s="6"/>
      <c r="K501" s="6"/>
      <c r="L501" s="6"/>
      <c r="M501" s="6"/>
      <c r="N501" s="6"/>
      <c r="O501" s="7"/>
      <c r="P501" s="6"/>
      <c r="Q501" s="6"/>
      <c r="R501" s="7"/>
      <c r="S501" s="6"/>
      <c r="T501" s="6"/>
      <c r="U501" s="7"/>
      <c r="V501" s="6"/>
      <c r="W501" s="6"/>
      <c r="X501" s="6"/>
      <c r="Y501" s="6"/>
      <c r="Z501" s="6"/>
      <c r="AA501" s="7"/>
      <c r="AB501" s="6"/>
      <c r="AC501" s="6"/>
      <c r="AD501" s="6"/>
      <c r="AE501" s="12"/>
      <c r="AF501" s="6"/>
      <c r="AG501" s="12"/>
      <c r="AH501" s="6"/>
      <c r="AI501" s="6"/>
      <c r="AJ501" s="12"/>
      <c r="AK501" s="24"/>
      <c r="AL501" s="25"/>
      <c r="AM501" s="12"/>
      <c r="AN501" s="1"/>
      <c r="AO501" s="6"/>
    </row>
    <row r="502" spans="1:41" ht="15" x14ac:dyDescent="0.25">
      <c r="A502" s="1"/>
      <c r="B502" s="1"/>
      <c r="C502" s="1"/>
      <c r="D502" s="1"/>
      <c r="E502" s="6"/>
      <c r="F502" s="1"/>
      <c r="G502" s="6"/>
      <c r="H502" s="6"/>
      <c r="I502" s="6"/>
      <c r="J502" s="6"/>
      <c r="K502" s="6"/>
      <c r="L502" s="6"/>
      <c r="M502" s="6"/>
      <c r="N502" s="6"/>
      <c r="O502" s="7"/>
      <c r="P502" s="6"/>
      <c r="Q502" s="6"/>
      <c r="R502" s="7"/>
      <c r="S502" s="6"/>
      <c r="T502" s="6"/>
      <c r="U502" s="7"/>
      <c r="V502" s="6"/>
      <c r="W502" s="6"/>
      <c r="X502" s="6"/>
      <c r="Y502" s="6"/>
      <c r="Z502" s="6"/>
      <c r="AA502" s="7"/>
      <c r="AB502" s="6"/>
      <c r="AC502" s="6"/>
      <c r="AD502" s="6"/>
      <c r="AE502" s="12"/>
      <c r="AF502" s="12"/>
      <c r="AG502" s="12"/>
      <c r="AH502" s="12"/>
      <c r="AI502" s="6"/>
      <c r="AJ502" s="12"/>
      <c r="AK502" s="1"/>
      <c r="AL502" s="12"/>
      <c r="AM502" s="12"/>
      <c r="AN502" s="1"/>
      <c r="AO502" s="6"/>
    </row>
    <row r="503" spans="1:41" ht="15" x14ac:dyDescent="0.25">
      <c r="A503" s="1"/>
      <c r="B503" s="1"/>
      <c r="C503" s="1"/>
      <c r="D503" s="1"/>
      <c r="E503" s="6"/>
      <c r="F503" s="1"/>
      <c r="G503" s="6"/>
      <c r="H503" s="6"/>
      <c r="I503" s="6"/>
      <c r="J503" s="6"/>
      <c r="K503" s="6"/>
      <c r="L503" s="6"/>
      <c r="M503" s="6"/>
      <c r="N503" s="6"/>
      <c r="O503" s="7"/>
      <c r="P503" s="6"/>
      <c r="Q503" s="6"/>
      <c r="R503" s="12"/>
      <c r="S503" s="12"/>
      <c r="T503" s="12"/>
      <c r="U503" s="7"/>
      <c r="V503" s="6"/>
      <c r="W503" s="6"/>
      <c r="X503" s="12"/>
      <c r="Y503" s="6"/>
      <c r="Z503" s="6"/>
      <c r="AA503" s="7"/>
      <c r="AB503" s="6"/>
      <c r="AC503" s="6"/>
      <c r="AD503" s="6"/>
      <c r="AE503" s="12"/>
      <c r="AF503" s="6"/>
      <c r="AG503" s="12"/>
      <c r="AH503" s="6"/>
      <c r="AI503" s="6"/>
      <c r="AJ503" s="12"/>
      <c r="AK503" s="24"/>
      <c r="AL503" s="25"/>
      <c r="AM503" s="12"/>
      <c r="AN503" s="1"/>
      <c r="AO503" s="6"/>
    </row>
    <row r="504" spans="1:41" ht="15" x14ac:dyDescent="0.25">
      <c r="A504" s="1"/>
      <c r="B504" s="1"/>
      <c r="C504" s="1"/>
      <c r="D504" s="1"/>
      <c r="E504" s="6"/>
      <c r="F504" s="1"/>
      <c r="G504" s="6"/>
      <c r="H504" s="6"/>
      <c r="I504" s="6"/>
      <c r="J504" s="6"/>
      <c r="K504" s="6"/>
      <c r="L504" s="6"/>
      <c r="M504" s="6"/>
      <c r="N504" s="6"/>
      <c r="O504" s="7"/>
      <c r="P504" s="6"/>
      <c r="Q504" s="6"/>
      <c r="R504" s="7"/>
      <c r="S504" s="6"/>
      <c r="T504" s="6"/>
      <c r="U504" s="7"/>
      <c r="V504" s="6"/>
      <c r="W504" s="6"/>
      <c r="X504" s="6"/>
      <c r="Y504" s="6"/>
      <c r="Z504" s="6"/>
      <c r="AA504" s="7"/>
      <c r="AB504" s="6"/>
      <c r="AC504" s="6"/>
      <c r="AD504" s="6"/>
      <c r="AE504" s="12"/>
      <c r="AF504" s="6"/>
      <c r="AG504" s="12"/>
      <c r="AH504" s="6"/>
      <c r="AI504" s="6"/>
      <c r="AJ504" s="12"/>
      <c r="AK504" s="24"/>
      <c r="AL504" s="25"/>
      <c r="AM504" s="12"/>
      <c r="AN504" s="1"/>
      <c r="AO504" s="6"/>
    </row>
    <row r="505" spans="1:41" ht="15" x14ac:dyDescent="0.25">
      <c r="A505" s="1"/>
      <c r="B505" s="1"/>
      <c r="C505" s="1"/>
      <c r="D505" s="1"/>
      <c r="E505" s="6"/>
      <c r="F505" s="1"/>
      <c r="G505" s="6"/>
      <c r="H505" s="6"/>
      <c r="I505" s="6"/>
      <c r="J505" s="6"/>
      <c r="K505" s="6"/>
      <c r="L505" s="6"/>
      <c r="M505" s="6"/>
      <c r="N505" s="6"/>
      <c r="O505" s="7"/>
      <c r="P505" s="6"/>
      <c r="Q505" s="6"/>
      <c r="R505" s="7"/>
      <c r="S505" s="6"/>
      <c r="T505" s="6"/>
      <c r="U505" s="7"/>
      <c r="V505" s="6"/>
      <c r="W505" s="6"/>
      <c r="X505" s="6"/>
      <c r="Y505" s="6"/>
      <c r="Z505" s="6"/>
      <c r="AA505" s="7"/>
      <c r="AB505" s="6"/>
      <c r="AC505" s="6"/>
      <c r="AD505" s="6"/>
      <c r="AE505" s="12"/>
      <c r="AF505" s="6"/>
      <c r="AG505" s="12"/>
      <c r="AH505" s="6"/>
      <c r="AI505" s="6"/>
      <c r="AJ505" s="12"/>
      <c r="AK505" s="1"/>
      <c r="AL505" s="12"/>
      <c r="AM505" s="12"/>
      <c r="AN505" s="1"/>
      <c r="AO505" s="6"/>
    </row>
    <row r="506" spans="1:41" ht="15" x14ac:dyDescent="0.25">
      <c r="A506" s="1"/>
      <c r="B506" s="1"/>
      <c r="C506" s="1"/>
      <c r="D506" s="1"/>
      <c r="E506" s="6"/>
      <c r="F506" s="1"/>
      <c r="G506" s="6"/>
      <c r="H506" s="6"/>
      <c r="I506" s="6"/>
      <c r="J506" s="6"/>
      <c r="K506" s="6"/>
      <c r="L506" s="6"/>
      <c r="M506" s="6"/>
      <c r="N506" s="6"/>
      <c r="O506" s="7"/>
      <c r="P506" s="6"/>
      <c r="Q506" s="6"/>
      <c r="R506" s="7"/>
      <c r="S506" s="6"/>
      <c r="T506" s="6"/>
      <c r="U506" s="7"/>
      <c r="V506" s="6"/>
      <c r="W506" s="6"/>
      <c r="X506" s="12"/>
      <c r="Y506" s="6"/>
      <c r="Z506" s="6"/>
      <c r="AA506" s="7"/>
      <c r="AB506" s="6"/>
      <c r="AC506" s="6"/>
      <c r="AD506" s="6"/>
      <c r="AE506" s="12"/>
      <c r="AF506" s="6"/>
      <c r="AG506" s="12"/>
      <c r="AH506" s="6"/>
      <c r="AI506" s="6"/>
      <c r="AJ506" s="12"/>
      <c r="AK506" s="24"/>
      <c r="AL506" s="25"/>
      <c r="AM506" s="12"/>
      <c r="AN506" s="1"/>
      <c r="AO506" s="6"/>
    </row>
    <row r="507" spans="1:41" ht="15" x14ac:dyDescent="0.25">
      <c r="A507" s="1"/>
      <c r="B507" s="1"/>
      <c r="C507" s="1"/>
      <c r="D507" s="1"/>
      <c r="E507" s="6"/>
      <c r="F507" s="1"/>
      <c r="G507" s="6"/>
      <c r="H507" s="6"/>
      <c r="I507" s="6"/>
      <c r="J507" s="6"/>
      <c r="K507" s="6"/>
      <c r="L507" s="6"/>
      <c r="M507" s="6"/>
      <c r="N507" s="6"/>
      <c r="O507" s="7"/>
      <c r="P507" s="6"/>
      <c r="Q507" s="6"/>
      <c r="R507" s="7"/>
      <c r="S507" s="6"/>
      <c r="T507" s="6"/>
      <c r="U507" s="7"/>
      <c r="V507" s="6"/>
      <c r="W507" s="6"/>
      <c r="X507" s="6"/>
      <c r="Y507" s="6"/>
      <c r="Z507" s="6"/>
      <c r="AA507" s="7"/>
      <c r="AB507" s="6"/>
      <c r="AC507" s="6"/>
      <c r="AD507" s="6"/>
      <c r="AE507" s="12"/>
      <c r="AF507" s="12"/>
      <c r="AG507" s="12"/>
      <c r="AH507" s="12"/>
      <c r="AI507" s="6"/>
      <c r="AJ507" s="12"/>
      <c r="AK507" s="1"/>
      <c r="AL507" s="12"/>
      <c r="AM507" s="12"/>
      <c r="AN507" s="1"/>
      <c r="AO507" s="6"/>
    </row>
    <row r="508" spans="1:41" ht="15" x14ac:dyDescent="0.25">
      <c r="A508" s="1"/>
      <c r="B508" s="1"/>
      <c r="C508" s="1"/>
      <c r="D508" s="1"/>
      <c r="E508" s="6"/>
      <c r="F508" s="1"/>
      <c r="G508" s="6"/>
      <c r="H508" s="6"/>
      <c r="I508" s="6"/>
      <c r="J508" s="6"/>
      <c r="K508" s="6"/>
      <c r="L508" s="6"/>
      <c r="M508" s="6"/>
      <c r="N508" s="6"/>
      <c r="O508" s="7"/>
      <c r="P508" s="6"/>
      <c r="Q508" s="6"/>
      <c r="R508" s="7"/>
      <c r="S508" s="6"/>
      <c r="T508" s="6"/>
      <c r="U508" s="7"/>
      <c r="V508" s="6"/>
      <c r="W508" s="6"/>
      <c r="X508" s="6"/>
      <c r="Y508" s="6"/>
      <c r="Z508" s="6"/>
      <c r="AA508" s="7"/>
      <c r="AB508" s="6"/>
      <c r="AC508" s="6"/>
      <c r="AD508" s="6"/>
      <c r="AE508" s="12"/>
      <c r="AF508" s="12"/>
      <c r="AG508" s="12"/>
      <c r="AH508" s="12"/>
      <c r="AI508" s="6"/>
      <c r="AJ508" s="12"/>
      <c r="AK508" s="1"/>
      <c r="AL508" s="12"/>
      <c r="AM508" s="12"/>
      <c r="AN508" s="1"/>
      <c r="AO508" s="6"/>
    </row>
    <row r="509" spans="1:41" ht="15" x14ac:dyDescent="0.25">
      <c r="A509" s="1"/>
      <c r="B509" s="1"/>
      <c r="C509" s="1"/>
      <c r="D509" s="1"/>
      <c r="E509" s="6"/>
      <c r="F509" s="1"/>
      <c r="G509" s="6"/>
      <c r="H509" s="6"/>
      <c r="I509" s="6"/>
      <c r="J509" s="6"/>
      <c r="K509" s="6"/>
      <c r="L509" s="6"/>
      <c r="M509" s="6"/>
      <c r="N509" s="6"/>
      <c r="O509" s="7"/>
      <c r="P509" s="6"/>
      <c r="Q509" s="6"/>
      <c r="R509" s="7"/>
      <c r="S509" s="6"/>
      <c r="T509" s="6"/>
      <c r="U509" s="7"/>
      <c r="V509" s="6"/>
      <c r="W509" s="6"/>
      <c r="X509" s="6"/>
      <c r="Y509" s="6"/>
      <c r="Z509" s="6"/>
      <c r="AA509" s="7"/>
      <c r="AB509" s="6"/>
      <c r="AC509" s="6"/>
      <c r="AD509" s="6"/>
      <c r="AE509" s="12"/>
      <c r="AF509" s="6"/>
      <c r="AG509" s="12"/>
      <c r="AH509" s="6"/>
      <c r="AI509" s="6"/>
      <c r="AJ509" s="12"/>
      <c r="AK509" s="1"/>
      <c r="AL509" s="12"/>
      <c r="AM509" s="12"/>
      <c r="AN509" s="1"/>
      <c r="AO509" s="6"/>
    </row>
    <row r="510" spans="1:41" ht="15" x14ac:dyDescent="0.25">
      <c r="A510" s="1"/>
      <c r="B510" s="1"/>
      <c r="C510" s="1"/>
      <c r="D510" s="1"/>
      <c r="E510" s="6"/>
      <c r="F510" s="1"/>
      <c r="G510" s="6"/>
      <c r="H510" s="6"/>
      <c r="I510" s="6"/>
      <c r="J510" s="6"/>
      <c r="K510" s="6"/>
      <c r="L510" s="6"/>
      <c r="M510" s="6"/>
      <c r="N510" s="6"/>
      <c r="O510" s="7"/>
      <c r="P510" s="6"/>
      <c r="Q510" s="6"/>
      <c r="R510" s="7"/>
      <c r="S510" s="6"/>
      <c r="T510" s="6"/>
      <c r="U510" s="7"/>
      <c r="V510" s="6"/>
      <c r="W510" s="6"/>
      <c r="X510" s="6"/>
      <c r="Y510" s="6"/>
      <c r="Z510" s="6"/>
      <c r="AA510" s="7"/>
      <c r="AB510" s="6"/>
      <c r="AC510" s="6"/>
      <c r="AD510" s="6"/>
      <c r="AE510" s="12"/>
      <c r="AF510" s="12"/>
      <c r="AG510" s="12"/>
      <c r="AH510" s="12"/>
      <c r="AI510" s="6"/>
      <c r="AJ510" s="12"/>
      <c r="AK510" s="1"/>
      <c r="AL510" s="12"/>
      <c r="AM510" s="12"/>
      <c r="AN510" s="1"/>
      <c r="AO510" s="6"/>
    </row>
    <row r="511" spans="1:41" ht="15" x14ac:dyDescent="0.25">
      <c r="A511" s="1"/>
      <c r="B511" s="1"/>
      <c r="C511" s="1"/>
      <c r="D511" s="1"/>
      <c r="E511" s="6"/>
      <c r="F511" s="1"/>
      <c r="G511" s="6"/>
      <c r="H511" s="6"/>
      <c r="I511" s="6"/>
      <c r="J511" s="6"/>
      <c r="K511" s="6"/>
      <c r="L511" s="6"/>
      <c r="M511" s="6"/>
      <c r="N511" s="6"/>
      <c r="O511" s="7"/>
      <c r="P511" s="12"/>
      <c r="Q511" s="6"/>
      <c r="R511" s="7"/>
      <c r="S511" s="6"/>
      <c r="T511" s="6"/>
      <c r="U511" s="7"/>
      <c r="V511" s="6"/>
      <c r="W511" s="6"/>
      <c r="X511" s="12"/>
      <c r="Y511" s="6"/>
      <c r="Z511" s="6"/>
      <c r="AA511" s="7"/>
      <c r="AB511" s="6"/>
      <c r="AC511" s="6"/>
      <c r="AD511" s="6"/>
      <c r="AE511" s="12"/>
      <c r="AF511" s="6"/>
      <c r="AG511" s="12"/>
      <c r="AH511" s="6"/>
      <c r="AI511" s="6"/>
      <c r="AJ511" s="12"/>
      <c r="AK511" s="1"/>
      <c r="AL511" s="12"/>
      <c r="AM511" s="12"/>
      <c r="AN511" s="1"/>
      <c r="AO511" s="6"/>
    </row>
    <row r="512" spans="1:41" ht="15" x14ac:dyDescent="0.25">
      <c r="A512" s="1"/>
      <c r="B512" s="1"/>
      <c r="C512" s="1"/>
      <c r="D512" s="1"/>
      <c r="E512" s="6"/>
      <c r="F512" s="1"/>
      <c r="G512" s="6"/>
      <c r="H512" s="6"/>
      <c r="I512" s="6"/>
      <c r="J512" s="6"/>
      <c r="K512" s="6"/>
      <c r="L512" s="6"/>
      <c r="M512" s="6"/>
      <c r="N512" s="6"/>
      <c r="O512" s="7"/>
      <c r="P512" s="6"/>
      <c r="Q512" s="6"/>
      <c r="R512" s="7"/>
      <c r="S512" s="6"/>
      <c r="T512" s="6"/>
      <c r="U512" s="7"/>
      <c r="V512" s="6"/>
      <c r="W512" s="6"/>
      <c r="X512" s="12"/>
      <c r="Y512" s="6"/>
      <c r="Z512" s="6"/>
      <c r="AA512" s="7"/>
      <c r="AB512" s="6"/>
      <c r="AC512" s="6"/>
      <c r="AD512" s="6"/>
      <c r="AE512" s="12"/>
      <c r="AF512" s="12"/>
      <c r="AG512" s="12"/>
      <c r="AH512" s="12"/>
      <c r="AI512" s="6"/>
      <c r="AJ512" s="12"/>
      <c r="AK512" s="1"/>
      <c r="AL512" s="12"/>
      <c r="AM512" s="12"/>
      <c r="AN512" s="1"/>
      <c r="AO512" s="6"/>
    </row>
    <row r="513" spans="1:41" ht="15" x14ac:dyDescent="0.25">
      <c r="A513" s="1"/>
      <c r="B513" s="1"/>
      <c r="C513" s="1"/>
      <c r="D513" s="1"/>
      <c r="E513" s="6"/>
      <c r="F513" s="1"/>
      <c r="G513" s="6"/>
      <c r="H513" s="6"/>
      <c r="I513" s="6"/>
      <c r="J513" s="6"/>
      <c r="K513" s="6"/>
      <c r="L513" s="6"/>
      <c r="M513" s="6"/>
      <c r="N513" s="6"/>
      <c r="O513" s="7"/>
      <c r="P513" s="12"/>
      <c r="Q513" s="6"/>
      <c r="R513" s="7"/>
      <c r="S513" s="6"/>
      <c r="T513" s="6"/>
      <c r="U513" s="7"/>
      <c r="V513" s="6"/>
      <c r="W513" s="6"/>
      <c r="X513" s="6"/>
      <c r="Y513" s="6"/>
      <c r="Z513" s="6"/>
      <c r="AA513" s="7"/>
      <c r="AB513" s="6"/>
      <c r="AC513" s="6"/>
      <c r="AD513" s="6"/>
      <c r="AE513" s="12"/>
      <c r="AF513" s="6"/>
      <c r="AG513" s="12"/>
      <c r="AH513" s="6"/>
      <c r="AI513" s="6"/>
      <c r="AJ513" s="12"/>
      <c r="AK513" s="24"/>
      <c r="AL513" s="25"/>
      <c r="AM513" s="12"/>
      <c r="AN513" s="1"/>
      <c r="AO513" s="6"/>
    </row>
    <row r="514" spans="1:41" ht="15" x14ac:dyDescent="0.25">
      <c r="A514" s="1"/>
      <c r="B514" s="1"/>
      <c r="C514" s="1"/>
      <c r="D514" s="1"/>
      <c r="E514" s="6"/>
      <c r="F514" s="1"/>
      <c r="G514" s="6"/>
      <c r="H514" s="6"/>
      <c r="I514" s="6"/>
      <c r="J514" s="6"/>
      <c r="K514" s="6"/>
      <c r="L514" s="6"/>
      <c r="M514" s="6"/>
      <c r="N514" s="6"/>
      <c r="O514" s="7"/>
      <c r="P514" s="6"/>
      <c r="Q514" s="6"/>
      <c r="R514" s="7"/>
      <c r="S514" s="6"/>
      <c r="T514" s="6"/>
      <c r="U514" s="7"/>
      <c r="V514" s="6"/>
      <c r="W514" s="6"/>
      <c r="X514" s="6"/>
      <c r="Y514" s="6"/>
      <c r="Z514" s="6"/>
      <c r="AA514" s="7"/>
      <c r="AB514" s="6"/>
      <c r="AC514" s="6"/>
      <c r="AD514" s="6"/>
      <c r="AE514" s="12"/>
      <c r="AF514" s="12"/>
      <c r="AG514" s="12"/>
      <c r="AH514" s="12"/>
      <c r="AI514" s="6"/>
      <c r="AJ514" s="12"/>
      <c r="AK514" s="1"/>
      <c r="AL514" s="12"/>
      <c r="AM514" s="12"/>
      <c r="AN514" s="1"/>
      <c r="AO514" s="6"/>
    </row>
    <row r="515" spans="1:41" ht="15" x14ac:dyDescent="0.25">
      <c r="A515" s="1"/>
      <c r="B515" s="1"/>
      <c r="C515" s="1"/>
      <c r="D515" s="1"/>
      <c r="E515" s="6"/>
      <c r="F515" s="1"/>
      <c r="G515" s="6"/>
      <c r="H515" s="6"/>
      <c r="I515" s="6"/>
      <c r="J515" s="6"/>
      <c r="K515" s="6"/>
      <c r="L515" s="6"/>
      <c r="M515" s="6"/>
      <c r="N515" s="6"/>
      <c r="O515" s="7"/>
      <c r="P515" s="6"/>
      <c r="Q515" s="6"/>
      <c r="R515" s="7"/>
      <c r="S515" s="6"/>
      <c r="T515" s="6"/>
      <c r="U515" s="7"/>
      <c r="V515" s="6"/>
      <c r="W515" s="6"/>
      <c r="X515" s="12"/>
      <c r="Y515" s="6"/>
      <c r="Z515" s="6"/>
      <c r="AA515" s="7"/>
      <c r="AB515" s="6"/>
      <c r="AC515" s="6"/>
      <c r="AD515" s="6"/>
      <c r="AE515" s="12"/>
      <c r="AF515" s="12"/>
      <c r="AG515" s="12"/>
      <c r="AH515" s="12"/>
      <c r="AI515" s="6"/>
      <c r="AJ515" s="12"/>
      <c r="AK515" s="1"/>
      <c r="AL515" s="12"/>
      <c r="AM515" s="12"/>
      <c r="AN515" s="1"/>
      <c r="AO515" s="6"/>
    </row>
    <row r="516" spans="1:41" ht="15" x14ac:dyDescent="0.25">
      <c r="A516" s="1"/>
      <c r="B516" s="1"/>
      <c r="C516" s="1"/>
      <c r="D516" s="1"/>
      <c r="E516" s="6"/>
      <c r="F516" s="1"/>
      <c r="G516" s="6"/>
      <c r="H516" s="6"/>
      <c r="I516" s="6"/>
      <c r="J516" s="6"/>
      <c r="K516" s="6"/>
      <c r="L516" s="6"/>
      <c r="M516" s="6"/>
      <c r="N516" s="6"/>
      <c r="O516" s="7"/>
      <c r="P516" s="12"/>
      <c r="Q516" s="6"/>
      <c r="R516" s="7"/>
      <c r="S516" s="6"/>
      <c r="T516" s="6"/>
      <c r="U516" s="7"/>
      <c r="V516" s="6"/>
      <c r="W516" s="6"/>
      <c r="X516" s="6"/>
      <c r="Y516" s="6"/>
      <c r="Z516" s="6"/>
      <c r="AA516" s="7"/>
      <c r="AB516" s="6"/>
      <c r="AC516" s="6"/>
      <c r="AD516" s="6"/>
      <c r="AE516" s="12"/>
      <c r="AF516" s="6"/>
      <c r="AG516" s="12"/>
      <c r="AH516" s="6"/>
      <c r="AI516" s="6"/>
      <c r="AJ516" s="12"/>
      <c r="AK516" s="24"/>
      <c r="AL516" s="25"/>
      <c r="AM516" s="12"/>
      <c r="AN516" s="1"/>
      <c r="AO516" s="6"/>
    </row>
    <row r="517" spans="1:41" ht="15" x14ac:dyDescent="0.25">
      <c r="A517" s="1"/>
      <c r="B517" s="1"/>
      <c r="C517" s="1"/>
      <c r="D517" s="1"/>
      <c r="E517" s="6"/>
      <c r="F517" s="1"/>
      <c r="G517" s="6"/>
      <c r="H517" s="6"/>
      <c r="I517" s="6"/>
      <c r="J517" s="6"/>
      <c r="K517" s="6"/>
      <c r="L517" s="6"/>
      <c r="M517" s="6"/>
      <c r="N517" s="6"/>
      <c r="O517" s="7"/>
      <c r="P517" s="6"/>
      <c r="Q517" s="7"/>
      <c r="R517" s="6"/>
      <c r="S517" s="6"/>
      <c r="T517" s="6"/>
      <c r="U517" s="6"/>
      <c r="V517" s="7"/>
      <c r="W517" s="7"/>
      <c r="X517" s="6"/>
      <c r="Y517" s="6"/>
      <c r="Z517" s="6"/>
      <c r="AA517" s="1"/>
      <c r="AB517" s="12"/>
      <c r="AC517" s="12"/>
      <c r="AD517" s="12"/>
      <c r="AE517" s="12"/>
      <c r="AF517" s="12"/>
      <c r="AG517" s="12"/>
      <c r="AH517" s="12"/>
      <c r="AI517" s="6"/>
      <c r="AJ517" s="12"/>
      <c r="AK517" s="12"/>
      <c r="AL517" s="12"/>
      <c r="AM517" s="12"/>
      <c r="AN517" s="1"/>
      <c r="AO517" s="6"/>
    </row>
    <row r="518" spans="1:41" ht="15" x14ac:dyDescent="0.25">
      <c r="A518" s="1"/>
      <c r="B518" s="1"/>
      <c r="C518" s="1"/>
      <c r="D518" s="1"/>
      <c r="E518" s="6"/>
      <c r="F518" s="1"/>
      <c r="G518" s="6"/>
      <c r="H518" s="6"/>
      <c r="I518" s="6"/>
      <c r="J518" s="6"/>
      <c r="K518" s="6"/>
      <c r="L518" s="6"/>
      <c r="M518" s="6"/>
      <c r="N518" s="6"/>
      <c r="O518" s="7"/>
      <c r="P518" s="6"/>
      <c r="Q518" s="6"/>
      <c r="R518" s="7"/>
      <c r="S518" s="6"/>
      <c r="T518" s="6"/>
      <c r="U518" s="7"/>
      <c r="V518" s="6"/>
      <c r="W518" s="6"/>
      <c r="X518" s="6"/>
      <c r="Y518" s="6"/>
      <c r="Z518" s="6"/>
      <c r="AA518" s="7"/>
      <c r="AB518" s="6"/>
      <c r="AC518" s="6"/>
      <c r="AD518" s="6"/>
      <c r="AE518" s="12"/>
      <c r="AF518" s="12"/>
      <c r="AG518" s="12"/>
      <c r="AH518" s="12"/>
      <c r="AI518" s="6"/>
      <c r="AJ518" s="12"/>
      <c r="AK518" s="1"/>
      <c r="AL518" s="12"/>
      <c r="AM518" s="12"/>
      <c r="AN518" s="1"/>
      <c r="AO518" s="6"/>
    </row>
    <row r="519" spans="1:41" ht="15" x14ac:dyDescent="0.25">
      <c r="A519" s="1"/>
      <c r="B519" s="1"/>
      <c r="C519" s="1"/>
      <c r="D519" s="1"/>
      <c r="E519" s="6"/>
      <c r="F519" s="1"/>
      <c r="G519" s="6"/>
      <c r="H519" s="6"/>
      <c r="I519" s="6"/>
      <c r="J519" s="6"/>
      <c r="K519" s="6"/>
      <c r="L519" s="6"/>
      <c r="M519" s="6"/>
      <c r="N519" s="6"/>
      <c r="O519" s="7"/>
      <c r="P519" s="6"/>
      <c r="Q519" s="7"/>
      <c r="R519" s="6"/>
      <c r="S519" s="12"/>
      <c r="T519" s="6"/>
      <c r="U519" s="6"/>
      <c r="V519" s="7"/>
      <c r="W519" s="7"/>
      <c r="X519" s="6"/>
      <c r="Y519" s="6"/>
      <c r="Z519" s="6"/>
      <c r="AA519" s="1"/>
      <c r="AB519" s="12"/>
      <c r="AC519" s="12"/>
      <c r="AD519" s="12"/>
      <c r="AE519" s="12"/>
      <c r="AF519" s="12"/>
      <c r="AG519" s="12"/>
      <c r="AH519" s="12"/>
      <c r="AI519" s="6"/>
      <c r="AJ519" s="12"/>
      <c r="AK519" s="12"/>
      <c r="AL519" s="12"/>
      <c r="AM519" s="12"/>
      <c r="AN519" s="1"/>
      <c r="AO519" s="6"/>
    </row>
    <row r="520" spans="1:41" ht="15" x14ac:dyDescent="0.25">
      <c r="A520" s="1"/>
      <c r="B520" s="1"/>
      <c r="C520" s="1"/>
      <c r="D520" s="1"/>
      <c r="E520" s="6"/>
      <c r="F520" s="1"/>
      <c r="G520" s="6"/>
      <c r="H520" s="6"/>
      <c r="I520" s="6"/>
      <c r="J520" s="6"/>
      <c r="K520" s="6"/>
      <c r="L520" s="6"/>
      <c r="M520" s="6"/>
      <c r="N520" s="6"/>
      <c r="O520" s="7"/>
      <c r="P520" s="6"/>
      <c r="Q520" s="6"/>
      <c r="R520" s="7"/>
      <c r="S520" s="6"/>
      <c r="T520" s="6"/>
      <c r="U520" s="7"/>
      <c r="V520" s="6"/>
      <c r="W520" s="6"/>
      <c r="X520" s="6"/>
      <c r="Y520" s="6"/>
      <c r="Z520" s="6"/>
      <c r="AA520" s="7"/>
      <c r="AB520" s="6"/>
      <c r="AC520" s="6"/>
      <c r="AD520" s="6"/>
      <c r="AE520" s="12"/>
      <c r="AF520" s="6"/>
      <c r="AG520" s="12"/>
      <c r="AH520" s="6"/>
      <c r="AI520" s="6"/>
      <c r="AJ520" s="12"/>
      <c r="AK520" s="1"/>
      <c r="AL520" s="12"/>
      <c r="AM520" s="12"/>
      <c r="AN520" s="1"/>
      <c r="AO520" s="6"/>
    </row>
    <row r="521" spans="1:41" ht="15" x14ac:dyDescent="0.25">
      <c r="A521" s="1"/>
      <c r="B521" s="1"/>
      <c r="C521" s="1"/>
      <c r="D521" s="1"/>
      <c r="E521" s="6"/>
      <c r="F521" s="1"/>
      <c r="G521" s="6"/>
      <c r="H521" s="6"/>
      <c r="I521" s="6"/>
      <c r="J521" s="6"/>
      <c r="K521" s="6"/>
      <c r="L521" s="6"/>
      <c r="M521" s="6"/>
      <c r="N521" s="6"/>
      <c r="O521" s="7"/>
      <c r="P521" s="6"/>
      <c r="Q521" s="6"/>
      <c r="R521" s="7"/>
      <c r="S521" s="6"/>
      <c r="T521" s="6"/>
      <c r="U521" s="7"/>
      <c r="V521" s="6"/>
      <c r="W521" s="6"/>
      <c r="X521" s="12"/>
      <c r="Y521" s="6"/>
      <c r="Z521" s="6"/>
      <c r="AA521" s="7"/>
      <c r="AB521" s="6"/>
      <c r="AC521" s="6"/>
      <c r="AD521" s="6"/>
      <c r="AE521" s="12"/>
      <c r="AF521" s="12"/>
      <c r="AG521" s="12"/>
      <c r="AH521" s="12"/>
      <c r="AI521" s="6"/>
      <c r="AJ521" s="12"/>
      <c r="AK521" s="1"/>
      <c r="AL521" s="12"/>
      <c r="AM521" s="12"/>
      <c r="AN521" s="1"/>
      <c r="AO521" s="6"/>
    </row>
    <row r="522" spans="1:41" ht="15" x14ac:dyDescent="0.25">
      <c r="A522" s="1"/>
      <c r="B522" s="1"/>
      <c r="C522" s="1"/>
      <c r="D522" s="1"/>
      <c r="E522" s="6"/>
      <c r="F522" s="1"/>
      <c r="G522" s="6"/>
      <c r="H522" s="6"/>
      <c r="I522" s="6"/>
      <c r="J522" s="6"/>
      <c r="K522" s="6"/>
      <c r="L522" s="6"/>
      <c r="M522" s="6"/>
      <c r="N522" s="6"/>
      <c r="O522" s="7"/>
      <c r="P522" s="6"/>
      <c r="Q522" s="6"/>
      <c r="R522" s="7"/>
      <c r="S522" s="6"/>
      <c r="T522" s="6"/>
      <c r="U522" s="7"/>
      <c r="V522" s="6"/>
      <c r="W522" s="6"/>
      <c r="X522" s="6"/>
      <c r="Y522" s="6"/>
      <c r="Z522" s="6"/>
      <c r="AA522" s="7"/>
      <c r="AB522" s="6"/>
      <c r="AC522" s="6"/>
      <c r="AD522" s="6"/>
      <c r="AE522" s="12"/>
      <c r="AF522" s="12"/>
      <c r="AG522" s="12"/>
      <c r="AH522" s="12"/>
      <c r="AI522" s="6"/>
      <c r="AJ522" s="12"/>
      <c r="AK522" s="1"/>
      <c r="AL522" s="12"/>
      <c r="AM522" s="12"/>
      <c r="AN522" s="1"/>
      <c r="AO522" s="6"/>
    </row>
    <row r="523" spans="1:41" ht="15" x14ac:dyDescent="0.25">
      <c r="A523" s="1"/>
      <c r="B523" s="1"/>
      <c r="C523" s="1"/>
      <c r="D523" s="1"/>
      <c r="E523" s="6"/>
      <c r="F523" s="1"/>
      <c r="G523" s="6"/>
      <c r="H523" s="6"/>
      <c r="I523" s="6"/>
      <c r="J523" s="6"/>
      <c r="K523" s="6"/>
      <c r="L523" s="6"/>
      <c r="M523" s="6"/>
      <c r="N523" s="6"/>
      <c r="O523" s="12"/>
      <c r="P523" s="12"/>
      <c r="Q523" s="7"/>
      <c r="R523" s="6"/>
      <c r="S523" s="12"/>
      <c r="T523" s="6"/>
      <c r="U523" s="6"/>
      <c r="V523" s="7"/>
      <c r="W523" s="7"/>
      <c r="X523" s="6"/>
      <c r="Y523" s="6"/>
      <c r="Z523" s="6"/>
      <c r="AA523" s="1"/>
      <c r="AB523" s="12"/>
      <c r="AC523" s="12"/>
      <c r="AD523" s="12"/>
      <c r="AE523" s="12"/>
      <c r="AF523" s="12"/>
      <c r="AG523" s="12"/>
      <c r="AH523" s="12"/>
      <c r="AI523" s="6"/>
      <c r="AJ523" s="12"/>
      <c r="AK523" s="12"/>
      <c r="AL523" s="12"/>
      <c r="AM523" s="12"/>
      <c r="AN523" s="1"/>
      <c r="AO523" s="6"/>
    </row>
    <row r="524" spans="1:41" ht="15" x14ac:dyDescent="0.25">
      <c r="A524" s="1"/>
      <c r="B524" s="1"/>
      <c r="C524" s="1"/>
      <c r="D524" s="1"/>
      <c r="E524" s="6"/>
      <c r="F524" s="1"/>
      <c r="G524" s="6"/>
      <c r="H524" s="6"/>
      <c r="I524" s="6"/>
      <c r="J524" s="6"/>
      <c r="K524" s="6"/>
      <c r="L524" s="6"/>
      <c r="M524" s="6"/>
      <c r="N524" s="6"/>
      <c r="O524" s="7"/>
      <c r="P524" s="6"/>
      <c r="Q524" s="6"/>
      <c r="R524" s="7"/>
      <c r="S524" s="6"/>
      <c r="T524" s="6"/>
      <c r="U524" s="7"/>
      <c r="V524" s="6"/>
      <c r="W524" s="6"/>
      <c r="X524" s="6"/>
      <c r="Y524" s="6"/>
      <c r="Z524" s="6"/>
      <c r="AA524" s="7"/>
      <c r="AB524" s="6"/>
      <c r="AC524" s="6"/>
      <c r="AD524" s="6"/>
      <c r="AE524" s="12"/>
      <c r="AF524" s="6"/>
      <c r="AG524" s="12"/>
      <c r="AH524" s="6"/>
      <c r="AI524" s="6"/>
      <c r="AJ524" s="12"/>
      <c r="AK524" s="24"/>
      <c r="AL524" s="25"/>
      <c r="AM524" s="12"/>
      <c r="AN524" s="1"/>
      <c r="AO524" s="6"/>
    </row>
    <row r="525" spans="1:41" ht="15" x14ac:dyDescent="0.25">
      <c r="A525" s="1"/>
      <c r="B525" s="1"/>
      <c r="C525" s="1"/>
      <c r="D525" s="1"/>
      <c r="E525" s="6"/>
      <c r="F525" s="1"/>
      <c r="G525" s="6"/>
      <c r="H525" s="6"/>
      <c r="I525" s="6"/>
      <c r="J525" s="6"/>
      <c r="K525" s="6"/>
      <c r="L525" s="6"/>
      <c r="M525" s="6"/>
      <c r="N525" s="6"/>
      <c r="O525" s="7"/>
      <c r="P525" s="6"/>
      <c r="Q525" s="6"/>
      <c r="R525" s="7"/>
      <c r="S525" s="6"/>
      <c r="T525" s="6"/>
      <c r="U525" s="7"/>
      <c r="V525" s="6"/>
      <c r="W525" s="6"/>
      <c r="X525" s="6"/>
      <c r="Y525" s="6"/>
      <c r="Z525" s="6"/>
      <c r="AA525" s="7"/>
      <c r="AB525" s="6"/>
      <c r="AC525" s="6"/>
      <c r="AD525" s="6"/>
      <c r="AE525" s="12"/>
      <c r="AF525" s="6"/>
      <c r="AG525" s="12"/>
      <c r="AH525" s="6"/>
      <c r="AI525" s="6"/>
      <c r="AJ525" s="12"/>
      <c r="AK525" s="24"/>
      <c r="AL525" s="25"/>
      <c r="AM525" s="12"/>
      <c r="AN525" s="1"/>
      <c r="AO525" s="6"/>
    </row>
    <row r="526" spans="1:41" ht="15" x14ac:dyDescent="0.25">
      <c r="A526" s="1"/>
      <c r="B526" s="1"/>
      <c r="C526" s="1"/>
      <c r="D526" s="1"/>
      <c r="E526" s="6"/>
      <c r="F526" s="1"/>
      <c r="G526" s="6"/>
      <c r="H526" s="6"/>
      <c r="I526" s="6"/>
      <c r="J526" s="6"/>
      <c r="K526" s="6"/>
      <c r="L526" s="6"/>
      <c r="M526" s="6"/>
      <c r="N526" s="6"/>
      <c r="O526" s="7"/>
      <c r="P526" s="6"/>
      <c r="Q526" s="6"/>
      <c r="R526" s="7"/>
      <c r="S526" s="6"/>
      <c r="T526" s="6"/>
      <c r="U526" s="7"/>
      <c r="V526" s="6"/>
      <c r="W526" s="6"/>
      <c r="X526" s="6"/>
      <c r="Y526" s="6"/>
      <c r="Z526" s="6"/>
      <c r="AA526" s="7"/>
      <c r="AB526" s="6"/>
      <c r="AC526" s="6"/>
      <c r="AD526" s="6"/>
      <c r="AE526" s="12"/>
      <c r="AF526" s="12"/>
      <c r="AG526" s="12"/>
      <c r="AH526" s="12"/>
      <c r="AI526" s="6"/>
      <c r="AJ526" s="12"/>
      <c r="AK526" s="1"/>
      <c r="AL526" s="12"/>
      <c r="AM526" s="12"/>
      <c r="AN526" s="1"/>
      <c r="AO526" s="6"/>
    </row>
    <row r="527" spans="1:41" ht="15" x14ac:dyDescent="0.25">
      <c r="A527" s="1"/>
      <c r="B527" s="1"/>
      <c r="C527" s="1"/>
      <c r="D527" s="1"/>
      <c r="E527" s="6"/>
      <c r="F527" s="1"/>
      <c r="G527" s="6"/>
      <c r="H527" s="6"/>
      <c r="I527" s="6"/>
      <c r="J527" s="6"/>
      <c r="K527" s="6"/>
      <c r="L527" s="6"/>
      <c r="M527" s="6"/>
      <c r="N527" s="6"/>
      <c r="O527" s="7"/>
      <c r="P527" s="12"/>
      <c r="Q527" s="6"/>
      <c r="R527" s="7"/>
      <c r="S527" s="6"/>
      <c r="T527" s="6"/>
      <c r="U527" s="7"/>
      <c r="V527" s="6"/>
      <c r="W527" s="6"/>
      <c r="X527" s="6"/>
      <c r="Y527" s="6"/>
      <c r="Z527" s="6"/>
      <c r="AA527" s="7"/>
      <c r="AB527" s="6"/>
      <c r="AC527" s="6"/>
      <c r="AD527" s="6"/>
      <c r="AE527" s="12"/>
      <c r="AF527" s="12"/>
      <c r="AG527" s="12"/>
      <c r="AH527" s="12"/>
      <c r="AI527" s="6"/>
      <c r="AJ527" s="12"/>
      <c r="AK527" s="1"/>
      <c r="AL527" s="12"/>
      <c r="AM527" s="12"/>
      <c r="AN527" s="1"/>
      <c r="AO527" s="6"/>
    </row>
    <row r="528" spans="1:41" ht="15" x14ac:dyDescent="0.25">
      <c r="A528" s="1"/>
      <c r="B528" s="1"/>
      <c r="C528" s="1"/>
      <c r="D528" s="1"/>
      <c r="E528" s="6"/>
      <c r="F528" s="1"/>
      <c r="G528" s="6"/>
      <c r="H528" s="6"/>
      <c r="I528" s="6"/>
      <c r="J528" s="6"/>
      <c r="K528" s="12"/>
      <c r="L528" s="12"/>
      <c r="M528" s="6"/>
      <c r="N528" s="6"/>
      <c r="O528" s="7"/>
      <c r="P528" s="6"/>
      <c r="Q528" s="7"/>
      <c r="R528" s="6"/>
      <c r="S528" s="6"/>
      <c r="T528" s="6"/>
      <c r="U528" s="6"/>
      <c r="V528" s="7"/>
      <c r="W528" s="7"/>
      <c r="X528" s="6"/>
      <c r="Y528" s="6"/>
      <c r="Z528" s="6"/>
      <c r="AA528" s="1"/>
      <c r="AB528" s="12"/>
      <c r="AC528" s="12"/>
      <c r="AD528" s="12"/>
      <c r="AE528" s="12"/>
      <c r="AF528" s="12"/>
      <c r="AG528" s="12"/>
      <c r="AH528" s="12"/>
      <c r="AI528" s="6"/>
      <c r="AJ528" s="12"/>
      <c r="AK528" s="12"/>
      <c r="AL528" s="12"/>
      <c r="AM528" s="12"/>
      <c r="AN528" s="1"/>
      <c r="AO528" s="6"/>
    </row>
    <row r="529" spans="1:41" ht="15" x14ac:dyDescent="0.25">
      <c r="A529" s="1"/>
      <c r="B529" s="1"/>
      <c r="C529" s="1"/>
      <c r="D529" s="1"/>
      <c r="E529" s="6"/>
      <c r="F529" s="1"/>
      <c r="G529" s="6"/>
      <c r="H529" s="6"/>
      <c r="I529" s="6"/>
      <c r="J529" s="6"/>
      <c r="K529" s="6"/>
      <c r="L529" s="6"/>
      <c r="M529" s="6"/>
      <c r="N529" s="6"/>
      <c r="O529" s="7"/>
      <c r="P529" s="6"/>
      <c r="Q529" s="6"/>
      <c r="R529" s="7"/>
      <c r="S529" s="6"/>
      <c r="T529" s="6"/>
      <c r="U529" s="7"/>
      <c r="V529" s="6"/>
      <c r="W529" s="6"/>
      <c r="X529" s="6"/>
      <c r="Y529" s="6"/>
      <c r="Z529" s="6"/>
      <c r="AA529" s="7"/>
      <c r="AB529" s="6"/>
      <c r="AC529" s="6"/>
      <c r="AD529" s="6"/>
      <c r="AE529" s="12"/>
      <c r="AF529" s="12"/>
      <c r="AG529" s="12"/>
      <c r="AH529" s="12"/>
      <c r="AI529" s="6"/>
      <c r="AJ529" s="12"/>
      <c r="AK529" s="1"/>
      <c r="AL529" s="12"/>
      <c r="AM529" s="12"/>
      <c r="AN529" s="1"/>
      <c r="AO529" s="6"/>
    </row>
    <row r="530" spans="1:41" ht="15" x14ac:dyDescent="0.25">
      <c r="A530" s="1"/>
      <c r="B530" s="1"/>
      <c r="C530" s="1"/>
      <c r="D530" s="1"/>
      <c r="E530" s="6"/>
      <c r="F530" s="1"/>
      <c r="G530" s="6"/>
      <c r="H530" s="6"/>
      <c r="I530" s="6"/>
      <c r="J530" s="6"/>
      <c r="K530" s="6"/>
      <c r="L530" s="6"/>
      <c r="M530" s="6"/>
      <c r="N530" s="6"/>
      <c r="O530" s="7"/>
      <c r="P530" s="6"/>
      <c r="Q530" s="6"/>
      <c r="R530" s="7"/>
      <c r="S530" s="6"/>
      <c r="T530" s="6"/>
      <c r="U530" s="7"/>
      <c r="V530" s="6"/>
      <c r="W530" s="6"/>
      <c r="X530" s="6"/>
      <c r="Y530" s="6"/>
      <c r="Z530" s="6"/>
      <c r="AA530" s="7"/>
      <c r="AB530" s="6"/>
      <c r="AC530" s="6"/>
      <c r="AD530" s="6"/>
      <c r="AE530" s="12"/>
      <c r="AF530" s="12"/>
      <c r="AG530" s="12"/>
      <c r="AH530" s="12"/>
      <c r="AI530" s="6"/>
      <c r="AJ530" s="12"/>
      <c r="AK530" s="1"/>
      <c r="AL530" s="12"/>
      <c r="AM530" s="12"/>
      <c r="AN530" s="1"/>
      <c r="AO530" s="6"/>
    </row>
    <row r="531" spans="1:41" ht="15" x14ac:dyDescent="0.25">
      <c r="A531" s="1"/>
      <c r="B531" s="1"/>
      <c r="C531" s="1"/>
      <c r="D531" s="1"/>
      <c r="E531" s="6"/>
      <c r="F531" s="1"/>
      <c r="G531" s="6"/>
      <c r="H531" s="6"/>
      <c r="I531" s="6"/>
      <c r="J531" s="6"/>
      <c r="K531" s="6"/>
      <c r="L531" s="6"/>
      <c r="M531" s="6"/>
      <c r="N531" s="6"/>
      <c r="O531" s="7"/>
      <c r="P531" s="12"/>
      <c r="Q531" s="6"/>
      <c r="R531" s="7"/>
      <c r="S531" s="6"/>
      <c r="T531" s="6"/>
      <c r="U531" s="7"/>
      <c r="V531" s="6"/>
      <c r="W531" s="6"/>
      <c r="X531" s="12"/>
      <c r="Y531" s="6"/>
      <c r="Z531" s="6"/>
      <c r="AA531" s="7"/>
      <c r="AB531" s="6"/>
      <c r="AC531" s="6"/>
      <c r="AD531" s="6"/>
      <c r="AE531" s="12"/>
      <c r="AF531" s="6"/>
      <c r="AG531" s="12"/>
      <c r="AH531" s="6"/>
      <c r="AI531" s="6"/>
      <c r="AJ531" s="12"/>
      <c r="AK531" s="1"/>
      <c r="AL531" s="12"/>
      <c r="AM531" s="12"/>
      <c r="AN531" s="1"/>
      <c r="AO531" s="6"/>
    </row>
    <row r="532" spans="1:41" ht="15" x14ac:dyDescent="0.25">
      <c r="A532" s="1"/>
      <c r="B532" s="1"/>
      <c r="C532" s="1"/>
      <c r="D532" s="1"/>
      <c r="E532" s="6"/>
      <c r="F532" s="1"/>
      <c r="G532" s="6"/>
      <c r="H532" s="6"/>
      <c r="I532" s="6"/>
      <c r="J532" s="6"/>
      <c r="K532" s="6"/>
      <c r="L532" s="6"/>
      <c r="M532" s="6"/>
      <c r="N532" s="6"/>
      <c r="O532" s="7"/>
      <c r="P532" s="6"/>
      <c r="Q532" s="6"/>
      <c r="R532" s="7"/>
      <c r="S532" s="6"/>
      <c r="T532" s="6"/>
      <c r="U532" s="7"/>
      <c r="V532" s="6"/>
      <c r="W532" s="6"/>
      <c r="X532" s="6"/>
      <c r="Y532" s="6"/>
      <c r="Z532" s="6"/>
      <c r="AA532" s="7"/>
      <c r="AB532" s="6"/>
      <c r="AC532" s="6"/>
      <c r="AD532" s="6"/>
      <c r="AE532" s="12"/>
      <c r="AF532" s="6"/>
      <c r="AG532" s="12"/>
      <c r="AH532" s="6"/>
      <c r="AI532" s="6"/>
      <c r="AJ532" s="12"/>
      <c r="AK532" s="1"/>
      <c r="AL532" s="12"/>
      <c r="AM532" s="12"/>
      <c r="AN532" s="1"/>
      <c r="AO532" s="6"/>
    </row>
    <row r="533" spans="1:41" ht="15" x14ac:dyDescent="0.25">
      <c r="A533" s="1"/>
      <c r="B533" s="1"/>
      <c r="C533" s="1"/>
      <c r="D533" s="1"/>
      <c r="E533" s="6"/>
      <c r="F533" s="1"/>
      <c r="G533" s="6"/>
      <c r="H533" s="6"/>
      <c r="I533" s="6"/>
      <c r="J533" s="6"/>
      <c r="K533" s="6"/>
      <c r="L533" s="6"/>
      <c r="M533" s="6"/>
      <c r="N533" s="6"/>
      <c r="O533" s="7"/>
      <c r="P533" s="6"/>
      <c r="Q533" s="6"/>
      <c r="R533" s="7"/>
      <c r="S533" s="6"/>
      <c r="T533" s="6"/>
      <c r="U533" s="7"/>
      <c r="V533" s="6"/>
      <c r="W533" s="6"/>
      <c r="X533" s="12"/>
      <c r="Y533" s="6"/>
      <c r="Z533" s="6"/>
      <c r="AA533" s="7"/>
      <c r="AB533" s="6"/>
      <c r="AC533" s="6"/>
      <c r="AD533" s="6"/>
      <c r="AE533" s="12"/>
      <c r="AF533" s="12"/>
      <c r="AG533" s="12"/>
      <c r="AH533" s="12"/>
      <c r="AI533" s="6"/>
      <c r="AJ533" s="12"/>
      <c r="AK533" s="1"/>
      <c r="AL533" s="12"/>
      <c r="AM533" s="12"/>
      <c r="AN533" s="1"/>
      <c r="AO533" s="6"/>
    </row>
    <row r="534" spans="1:41" ht="15" x14ac:dyDescent="0.25">
      <c r="A534" s="1"/>
      <c r="B534" s="1"/>
      <c r="C534" s="1"/>
      <c r="D534" s="1"/>
      <c r="E534" s="6"/>
      <c r="F534" s="1"/>
      <c r="G534" s="6"/>
      <c r="H534" s="6"/>
      <c r="I534" s="6"/>
      <c r="J534" s="6"/>
      <c r="K534" s="6"/>
      <c r="L534" s="6"/>
      <c r="M534" s="6"/>
      <c r="N534" s="6"/>
      <c r="O534" s="7"/>
      <c r="P534" s="12"/>
      <c r="Q534" s="6"/>
      <c r="R534" s="7"/>
      <c r="S534" s="6"/>
      <c r="T534" s="6"/>
      <c r="U534" s="7"/>
      <c r="V534" s="6"/>
      <c r="W534" s="6"/>
      <c r="X534" s="6"/>
      <c r="Y534" s="6"/>
      <c r="Z534" s="6"/>
      <c r="AA534" s="7"/>
      <c r="AB534" s="6"/>
      <c r="AC534" s="6"/>
      <c r="AD534" s="6"/>
      <c r="AE534" s="12"/>
      <c r="AF534" s="12"/>
      <c r="AG534" s="12"/>
      <c r="AH534" s="12"/>
      <c r="AI534" s="6"/>
      <c r="AJ534" s="12"/>
      <c r="AK534" s="1"/>
      <c r="AL534" s="12"/>
      <c r="AM534" s="12"/>
      <c r="AN534" s="1"/>
      <c r="AO534" s="6"/>
    </row>
    <row r="535" spans="1:41" ht="15" x14ac:dyDescent="0.25">
      <c r="A535" s="1"/>
      <c r="B535" s="1"/>
      <c r="C535" s="1"/>
      <c r="D535" s="1"/>
      <c r="E535" s="6"/>
      <c r="F535" s="1"/>
      <c r="G535" s="6"/>
      <c r="H535" s="6"/>
      <c r="I535" s="6"/>
      <c r="J535" s="6"/>
      <c r="K535" s="6"/>
      <c r="L535" s="6"/>
      <c r="M535" s="6"/>
      <c r="N535" s="6"/>
      <c r="O535" s="7"/>
      <c r="P535" s="6"/>
      <c r="Q535" s="7"/>
      <c r="R535" s="6"/>
      <c r="S535" s="6"/>
      <c r="T535" s="6"/>
      <c r="U535" s="6"/>
      <c r="V535" s="7"/>
      <c r="W535" s="7"/>
      <c r="X535" s="6"/>
      <c r="Y535" s="6"/>
      <c r="Z535" s="6"/>
      <c r="AA535" s="1"/>
      <c r="AB535" s="12"/>
      <c r="AC535" s="12"/>
      <c r="AD535" s="12"/>
      <c r="AE535" s="12"/>
      <c r="AF535" s="12"/>
      <c r="AG535" s="12"/>
      <c r="AH535" s="12"/>
      <c r="AI535" s="6"/>
      <c r="AJ535" s="12"/>
      <c r="AK535" s="12"/>
      <c r="AL535" s="12"/>
      <c r="AM535" s="12"/>
      <c r="AN535" s="1"/>
      <c r="AO535" s="6"/>
    </row>
    <row r="536" spans="1:41" ht="15" x14ac:dyDescent="0.25">
      <c r="A536" s="1"/>
      <c r="B536" s="1"/>
      <c r="C536" s="1"/>
      <c r="D536" s="1"/>
      <c r="E536" s="6"/>
      <c r="F536" s="1"/>
      <c r="G536" s="6"/>
      <c r="H536" s="6"/>
      <c r="I536" s="6"/>
      <c r="J536" s="6"/>
      <c r="K536" s="6"/>
      <c r="L536" s="6"/>
      <c r="M536" s="6"/>
      <c r="N536" s="6"/>
      <c r="O536" s="7"/>
      <c r="P536" s="6"/>
      <c r="Q536" s="6"/>
      <c r="R536" s="7"/>
      <c r="S536" s="6"/>
      <c r="T536" s="6"/>
      <c r="U536" s="7"/>
      <c r="V536" s="6"/>
      <c r="W536" s="6"/>
      <c r="X536" s="12"/>
      <c r="Y536" s="6"/>
      <c r="Z536" s="6"/>
      <c r="AA536" s="7"/>
      <c r="AB536" s="6"/>
      <c r="AC536" s="6"/>
      <c r="AD536" s="6"/>
      <c r="AE536" s="12"/>
      <c r="AF536" s="12"/>
      <c r="AG536" s="12"/>
      <c r="AH536" s="12"/>
      <c r="AI536" s="6"/>
      <c r="AJ536" s="12"/>
      <c r="AK536" s="1"/>
      <c r="AL536" s="12"/>
      <c r="AM536" s="12"/>
      <c r="AN536" s="1"/>
      <c r="AO536" s="6"/>
    </row>
    <row r="537" spans="1:41" ht="15" x14ac:dyDescent="0.25">
      <c r="A537" s="1"/>
      <c r="B537" s="1"/>
      <c r="C537" s="1"/>
      <c r="D537" s="1"/>
      <c r="E537" s="6"/>
      <c r="F537" s="1"/>
      <c r="G537" s="6"/>
      <c r="H537" s="6"/>
      <c r="I537" s="6"/>
      <c r="J537" s="6"/>
      <c r="K537" s="6"/>
      <c r="L537" s="6"/>
      <c r="M537" s="6"/>
      <c r="N537" s="6"/>
      <c r="O537" s="7"/>
      <c r="P537" s="6"/>
      <c r="Q537" s="6"/>
      <c r="R537" s="7"/>
      <c r="S537" s="6"/>
      <c r="T537" s="6"/>
      <c r="U537" s="7"/>
      <c r="V537" s="6"/>
      <c r="W537" s="6"/>
      <c r="X537" s="6"/>
      <c r="Y537" s="6"/>
      <c r="Z537" s="6"/>
      <c r="AA537" s="7"/>
      <c r="AB537" s="6"/>
      <c r="AC537" s="6"/>
      <c r="AD537" s="6"/>
      <c r="AE537" s="12"/>
      <c r="AF537" s="6"/>
      <c r="AG537" s="12"/>
      <c r="AH537" s="6"/>
      <c r="AI537" s="6"/>
      <c r="AJ537" s="12"/>
      <c r="AK537" s="24"/>
      <c r="AL537" s="25"/>
      <c r="AM537" s="12"/>
      <c r="AN537" s="1"/>
      <c r="AO537" s="6"/>
    </row>
    <row r="538" spans="1:41" ht="15" x14ac:dyDescent="0.25">
      <c r="A538" s="1"/>
      <c r="B538" s="1"/>
      <c r="C538" s="1"/>
      <c r="D538" s="1"/>
      <c r="E538" s="6"/>
      <c r="F538" s="1"/>
      <c r="G538" s="6"/>
      <c r="H538" s="6"/>
      <c r="I538" s="6"/>
      <c r="J538" s="6"/>
      <c r="K538" s="6"/>
      <c r="L538" s="6"/>
      <c r="M538" s="6"/>
      <c r="N538" s="6"/>
      <c r="O538" s="7"/>
      <c r="P538" s="6"/>
      <c r="Q538" s="7"/>
      <c r="R538" s="6"/>
      <c r="S538" s="6"/>
      <c r="T538" s="6"/>
      <c r="U538" s="6"/>
      <c r="V538" s="7"/>
      <c r="W538" s="7"/>
      <c r="X538" s="6"/>
      <c r="Y538" s="6"/>
      <c r="Z538" s="6"/>
      <c r="AA538" s="1"/>
      <c r="AB538" s="12"/>
      <c r="AC538" s="12"/>
      <c r="AD538" s="12"/>
      <c r="AE538" s="12"/>
      <c r="AF538" s="12"/>
      <c r="AG538" s="12"/>
      <c r="AH538" s="12"/>
      <c r="AI538" s="6"/>
      <c r="AJ538" s="12"/>
      <c r="AK538" s="12"/>
      <c r="AL538" s="12"/>
      <c r="AM538" s="12"/>
      <c r="AN538" s="1"/>
      <c r="AO538" s="6"/>
    </row>
    <row r="539" spans="1:41" ht="15" x14ac:dyDescent="0.25">
      <c r="A539" s="1"/>
      <c r="B539" s="1"/>
      <c r="C539" s="1"/>
      <c r="D539" s="1"/>
      <c r="E539" s="6"/>
      <c r="F539" s="1"/>
      <c r="G539" s="6"/>
      <c r="H539" s="6"/>
      <c r="I539" s="6"/>
      <c r="J539" s="6"/>
      <c r="K539" s="6"/>
      <c r="L539" s="6"/>
      <c r="M539" s="6"/>
      <c r="N539" s="6"/>
      <c r="O539" s="7"/>
      <c r="P539" s="6"/>
      <c r="Q539" s="6"/>
      <c r="R539" s="7"/>
      <c r="S539" s="6"/>
      <c r="T539" s="6"/>
      <c r="U539" s="7"/>
      <c r="V539" s="6"/>
      <c r="W539" s="6"/>
      <c r="X539" s="6"/>
      <c r="Y539" s="6"/>
      <c r="Z539" s="6"/>
      <c r="AA539" s="7"/>
      <c r="AB539" s="6"/>
      <c r="AC539" s="6"/>
      <c r="AD539" s="6"/>
      <c r="AE539" s="12"/>
      <c r="AF539" s="12"/>
      <c r="AG539" s="12"/>
      <c r="AH539" s="12"/>
      <c r="AI539" s="6"/>
      <c r="AJ539" s="12"/>
      <c r="AK539" s="1"/>
      <c r="AL539" s="12"/>
      <c r="AM539" s="12"/>
      <c r="AN539" s="1"/>
      <c r="AO539" s="6"/>
    </row>
    <row r="540" spans="1:41" ht="15" x14ac:dyDescent="0.25">
      <c r="A540" s="1"/>
      <c r="B540" s="1"/>
      <c r="C540" s="1"/>
      <c r="D540" s="1"/>
      <c r="E540" s="6"/>
      <c r="F540" s="1"/>
      <c r="G540" s="6"/>
      <c r="H540" s="6"/>
      <c r="I540" s="6"/>
      <c r="J540" s="6"/>
      <c r="K540" s="12"/>
      <c r="L540" s="12"/>
      <c r="M540" s="6"/>
      <c r="N540" s="6"/>
      <c r="O540" s="7"/>
      <c r="P540" s="6"/>
      <c r="Q540" s="7"/>
      <c r="R540" s="6"/>
      <c r="S540" s="6"/>
      <c r="T540" s="6"/>
      <c r="U540" s="6"/>
      <c r="V540" s="7"/>
      <c r="W540" s="7"/>
      <c r="X540" s="6"/>
      <c r="Y540" s="6"/>
      <c r="Z540" s="6"/>
      <c r="AA540" s="1"/>
      <c r="AB540" s="12"/>
      <c r="AC540" s="12"/>
      <c r="AD540" s="12"/>
      <c r="AE540" s="12"/>
      <c r="AF540" s="12"/>
      <c r="AG540" s="12"/>
      <c r="AH540" s="12"/>
      <c r="AI540" s="6"/>
      <c r="AJ540" s="12"/>
      <c r="AK540" s="12"/>
      <c r="AL540" s="12"/>
      <c r="AM540" s="12"/>
      <c r="AN540" s="1"/>
      <c r="AO540" s="12"/>
    </row>
    <row r="541" spans="1:41" ht="15" x14ac:dyDescent="0.25">
      <c r="A541" s="1"/>
      <c r="B541" s="1"/>
      <c r="C541" s="1"/>
      <c r="D541" s="1"/>
      <c r="E541" s="6"/>
      <c r="F541" s="1"/>
      <c r="G541" s="6"/>
      <c r="H541" s="6"/>
      <c r="I541" s="6"/>
      <c r="J541" s="6"/>
      <c r="K541" s="6"/>
      <c r="L541" s="6"/>
      <c r="M541" s="6"/>
      <c r="N541" s="6"/>
      <c r="O541" s="7"/>
      <c r="P541" s="6"/>
      <c r="Q541" s="6"/>
      <c r="R541" s="7"/>
      <c r="S541" s="6"/>
      <c r="T541" s="6"/>
      <c r="U541" s="7"/>
      <c r="V541" s="6"/>
      <c r="W541" s="6"/>
      <c r="X541" s="12"/>
      <c r="Y541" s="6"/>
      <c r="Z541" s="6"/>
      <c r="AA541" s="7"/>
      <c r="AB541" s="6"/>
      <c r="AC541" s="6"/>
      <c r="AD541" s="6"/>
      <c r="AE541" s="12"/>
      <c r="AF541" s="6"/>
      <c r="AG541" s="12"/>
      <c r="AH541" s="6"/>
      <c r="AI541" s="6"/>
      <c r="AJ541" s="12"/>
      <c r="AK541" s="24"/>
      <c r="AL541" s="25"/>
      <c r="AM541" s="12"/>
      <c r="AN541" s="1"/>
      <c r="AO541" s="6"/>
    </row>
    <row r="542" spans="1:41" ht="15" x14ac:dyDescent="0.25">
      <c r="A542" s="1"/>
      <c r="B542" s="1"/>
      <c r="C542" s="1"/>
      <c r="D542" s="1"/>
      <c r="E542" s="6"/>
      <c r="F542" s="1"/>
      <c r="G542" s="6"/>
      <c r="H542" s="6"/>
      <c r="I542" s="6"/>
      <c r="J542" s="6"/>
      <c r="K542" s="6"/>
      <c r="L542" s="6"/>
      <c r="M542" s="6"/>
      <c r="N542" s="6"/>
      <c r="O542" s="7"/>
      <c r="P542" s="6"/>
      <c r="Q542" s="6"/>
      <c r="R542" s="7"/>
      <c r="S542" s="6"/>
      <c r="T542" s="6"/>
      <c r="U542" s="7"/>
      <c r="V542" s="6"/>
      <c r="W542" s="6"/>
      <c r="X542" s="6"/>
      <c r="Y542" s="6"/>
      <c r="Z542" s="6"/>
      <c r="AA542" s="7"/>
      <c r="AB542" s="6"/>
      <c r="AC542" s="6"/>
      <c r="AD542" s="6"/>
      <c r="AE542" s="12"/>
      <c r="AF542" s="12"/>
      <c r="AG542" s="12"/>
      <c r="AH542" s="12"/>
      <c r="AI542" s="6"/>
      <c r="AJ542" s="12"/>
      <c r="AK542" s="1"/>
      <c r="AL542" s="12"/>
      <c r="AM542" s="12"/>
      <c r="AN542" s="1"/>
      <c r="AO542" s="6"/>
    </row>
    <row r="543" spans="1:41" ht="15" x14ac:dyDescent="0.25">
      <c r="A543" s="1"/>
      <c r="B543" s="1"/>
      <c r="C543" s="1"/>
      <c r="D543" s="1"/>
      <c r="E543" s="6"/>
      <c r="F543" s="1"/>
      <c r="G543" s="6"/>
      <c r="H543" s="6"/>
      <c r="I543" s="6"/>
      <c r="J543" s="6"/>
      <c r="K543" s="6"/>
      <c r="L543" s="6"/>
      <c r="M543" s="6"/>
      <c r="N543" s="6"/>
      <c r="O543" s="7"/>
      <c r="P543" s="6"/>
      <c r="Q543" s="6"/>
      <c r="R543" s="7"/>
      <c r="S543" s="6"/>
      <c r="T543" s="6"/>
      <c r="U543" s="7"/>
      <c r="V543" s="6"/>
      <c r="W543" s="6"/>
      <c r="X543" s="6"/>
      <c r="Y543" s="6"/>
      <c r="Z543" s="6"/>
      <c r="AA543" s="7"/>
      <c r="AB543" s="6"/>
      <c r="AC543" s="6"/>
      <c r="AD543" s="6"/>
      <c r="AE543" s="12"/>
      <c r="AF543" s="12"/>
      <c r="AG543" s="12"/>
      <c r="AH543" s="12"/>
      <c r="AI543" s="6"/>
      <c r="AJ543" s="12"/>
      <c r="AK543" s="1"/>
      <c r="AL543" s="12"/>
      <c r="AM543" s="12"/>
      <c r="AN543" s="1"/>
      <c r="AO543" s="6"/>
    </row>
    <row r="544" spans="1:41" ht="15" x14ac:dyDescent="0.25">
      <c r="A544" s="1"/>
      <c r="B544" s="1"/>
      <c r="C544" s="1"/>
      <c r="D544" s="1"/>
      <c r="E544" s="6"/>
      <c r="F544" s="1"/>
      <c r="G544" s="6"/>
      <c r="H544" s="6"/>
      <c r="I544" s="6"/>
      <c r="J544" s="6"/>
      <c r="K544" s="6"/>
      <c r="L544" s="6"/>
      <c r="M544" s="6"/>
      <c r="N544" s="6"/>
      <c r="O544" s="7"/>
      <c r="P544" s="6"/>
      <c r="Q544" s="6"/>
      <c r="R544" s="7"/>
      <c r="S544" s="6"/>
      <c r="T544" s="6"/>
      <c r="U544" s="7"/>
      <c r="V544" s="6"/>
      <c r="W544" s="6"/>
      <c r="X544" s="6"/>
      <c r="Y544" s="6"/>
      <c r="Z544" s="6"/>
      <c r="AA544" s="7"/>
      <c r="AB544" s="6"/>
      <c r="AC544" s="6"/>
      <c r="AD544" s="6"/>
      <c r="AE544" s="12"/>
      <c r="AF544" s="12"/>
      <c r="AG544" s="12"/>
      <c r="AH544" s="12"/>
      <c r="AI544" s="6"/>
      <c r="AJ544" s="12"/>
      <c r="AK544" s="1"/>
      <c r="AL544" s="12"/>
      <c r="AM544" s="12"/>
      <c r="AN544" s="1"/>
      <c r="AO544" s="6"/>
    </row>
    <row r="545" spans="1:41" ht="15" x14ac:dyDescent="0.25">
      <c r="A545" s="1"/>
      <c r="B545" s="1"/>
      <c r="C545" s="1"/>
      <c r="D545" s="1"/>
      <c r="E545" s="6"/>
      <c r="F545" s="1"/>
      <c r="G545" s="6"/>
      <c r="H545" s="6"/>
      <c r="I545" s="6"/>
      <c r="J545" s="6"/>
      <c r="K545" s="6"/>
      <c r="L545" s="6"/>
      <c r="M545" s="6"/>
      <c r="N545" s="6"/>
      <c r="O545" s="7"/>
      <c r="P545" s="6"/>
      <c r="Q545" s="6"/>
      <c r="R545" s="7"/>
      <c r="S545" s="6"/>
      <c r="T545" s="6"/>
      <c r="U545" s="7"/>
      <c r="V545" s="6"/>
      <c r="W545" s="6"/>
      <c r="X545" s="12"/>
      <c r="Y545" s="6"/>
      <c r="Z545" s="6"/>
      <c r="AA545" s="7"/>
      <c r="AB545" s="6"/>
      <c r="AC545" s="6"/>
      <c r="AD545" s="6"/>
      <c r="AE545" s="12"/>
      <c r="AF545" s="12"/>
      <c r="AG545" s="12"/>
      <c r="AH545" s="12"/>
      <c r="AI545" s="6"/>
      <c r="AJ545" s="12"/>
      <c r="AK545" s="1"/>
      <c r="AL545" s="12"/>
      <c r="AM545" s="12"/>
      <c r="AN545" s="1"/>
      <c r="AO545" s="6"/>
    </row>
    <row r="546" spans="1:41" ht="15" x14ac:dyDescent="0.25">
      <c r="A546" s="1"/>
      <c r="B546" s="1"/>
      <c r="C546" s="1"/>
      <c r="D546" s="1"/>
      <c r="E546" s="6"/>
      <c r="F546" s="1"/>
      <c r="G546" s="6"/>
      <c r="H546" s="6"/>
      <c r="I546" s="6"/>
      <c r="J546" s="6"/>
      <c r="K546" s="6"/>
      <c r="L546" s="6"/>
      <c r="M546" s="6"/>
      <c r="N546" s="6"/>
      <c r="O546" s="7"/>
      <c r="P546" s="6"/>
      <c r="Q546" s="7"/>
      <c r="R546" s="6"/>
      <c r="S546" s="6"/>
      <c r="T546" s="6"/>
      <c r="U546" s="6"/>
      <c r="V546" s="7"/>
      <c r="W546" s="6"/>
      <c r="X546" s="6"/>
      <c r="Y546" s="6"/>
      <c r="Z546" s="6"/>
      <c r="AA546" s="24"/>
      <c r="AB546" s="25"/>
      <c r="AC546" s="12"/>
      <c r="AD546" s="12"/>
      <c r="AE546" s="12"/>
      <c r="AF546" s="6"/>
      <c r="AG546" s="12"/>
      <c r="AH546" s="6"/>
      <c r="AI546" s="6"/>
      <c r="AJ546" s="12"/>
      <c r="AK546" s="12"/>
      <c r="AL546" s="12"/>
      <c r="AM546" s="12"/>
      <c r="AN546" s="1"/>
      <c r="AO546" s="6"/>
    </row>
    <row r="547" spans="1:41" ht="15" x14ac:dyDescent="0.25">
      <c r="A547" s="1"/>
      <c r="B547" s="1"/>
      <c r="C547" s="1"/>
      <c r="D547" s="1"/>
      <c r="E547" s="6"/>
      <c r="F547" s="1"/>
      <c r="G547" s="6"/>
      <c r="H547" s="6"/>
      <c r="I547" s="6"/>
      <c r="J547" s="6"/>
      <c r="K547" s="6"/>
      <c r="L547" s="6"/>
      <c r="M547" s="6"/>
      <c r="N547" s="6"/>
      <c r="O547" s="7"/>
      <c r="P547" s="6"/>
      <c r="Q547" s="6"/>
      <c r="R547" s="7"/>
      <c r="S547" s="6"/>
      <c r="T547" s="6"/>
      <c r="U547" s="7"/>
      <c r="V547" s="6"/>
      <c r="W547" s="6"/>
      <c r="X547" s="6"/>
      <c r="Y547" s="6"/>
      <c r="Z547" s="6"/>
      <c r="AA547" s="7"/>
      <c r="AB547" s="6"/>
      <c r="AC547" s="6"/>
      <c r="AD547" s="6"/>
      <c r="AE547" s="12"/>
      <c r="AF547" s="6"/>
      <c r="AG547" s="12"/>
      <c r="AH547" s="6"/>
      <c r="AI547" s="6"/>
      <c r="AJ547" s="12"/>
      <c r="AK547" s="24"/>
      <c r="AL547" s="25"/>
      <c r="AM547" s="12"/>
      <c r="AN547" s="1"/>
      <c r="AO547" s="6"/>
    </row>
    <row r="548" spans="1:41" ht="15" x14ac:dyDescent="0.25">
      <c r="A548" s="1"/>
      <c r="B548" s="1"/>
      <c r="C548" s="1"/>
      <c r="D548" s="1"/>
      <c r="E548" s="6"/>
      <c r="F548" s="1"/>
      <c r="G548" s="6"/>
      <c r="H548" s="6"/>
      <c r="I548" s="6"/>
      <c r="J548" s="6"/>
      <c r="K548" s="6"/>
      <c r="L548" s="6"/>
      <c r="M548" s="6"/>
      <c r="N548" s="6"/>
      <c r="O548" s="7"/>
      <c r="P548" s="6"/>
      <c r="Q548" s="7"/>
      <c r="R548" s="6"/>
      <c r="S548" s="6"/>
      <c r="T548" s="6"/>
      <c r="U548" s="6"/>
      <c r="V548" s="7"/>
      <c r="W548" s="7"/>
      <c r="X548" s="6"/>
      <c r="Y548" s="6"/>
      <c r="Z548" s="6"/>
      <c r="AA548" s="1"/>
      <c r="AB548" s="12"/>
      <c r="AC548" s="12"/>
      <c r="AD548" s="12"/>
      <c r="AE548" s="12"/>
      <c r="AF548" s="12"/>
      <c r="AG548" s="12"/>
      <c r="AH548" s="12"/>
      <c r="AI548" s="6"/>
      <c r="AJ548" s="12"/>
      <c r="AK548" s="12"/>
      <c r="AL548" s="12"/>
      <c r="AM548" s="12"/>
      <c r="AN548" s="1"/>
      <c r="AO548" s="6"/>
    </row>
    <row r="549" spans="1:41" ht="15" x14ac:dyDescent="0.25">
      <c r="A549" s="1"/>
      <c r="B549" s="1"/>
      <c r="C549" s="1"/>
      <c r="D549" s="1"/>
      <c r="E549" s="6"/>
      <c r="F549" s="1"/>
      <c r="G549" s="6"/>
      <c r="H549" s="6"/>
      <c r="I549" s="6"/>
      <c r="J549" s="6"/>
      <c r="K549" s="6"/>
      <c r="L549" s="6"/>
      <c r="M549" s="6"/>
      <c r="N549" s="6"/>
      <c r="O549" s="7"/>
      <c r="P549" s="6"/>
      <c r="Q549" s="6"/>
      <c r="R549" s="7"/>
      <c r="S549" s="6"/>
      <c r="T549" s="6"/>
      <c r="U549" s="7"/>
      <c r="V549" s="6"/>
      <c r="W549" s="6"/>
      <c r="X549" s="12"/>
      <c r="Y549" s="6"/>
      <c r="Z549" s="6"/>
      <c r="AA549" s="7"/>
      <c r="AB549" s="6"/>
      <c r="AC549" s="6"/>
      <c r="AD549" s="6"/>
      <c r="AE549" s="12"/>
      <c r="AF549" s="12"/>
      <c r="AG549" s="12"/>
      <c r="AH549" s="12"/>
      <c r="AI549" s="6"/>
      <c r="AJ549" s="12"/>
      <c r="AK549" s="1"/>
      <c r="AL549" s="12"/>
      <c r="AM549" s="12"/>
      <c r="AN549" s="1"/>
      <c r="AO549" s="6"/>
    </row>
    <row r="550" spans="1:41" ht="15" x14ac:dyDescent="0.25">
      <c r="A550" s="1"/>
      <c r="B550" s="1"/>
      <c r="C550" s="1"/>
      <c r="D550" s="1"/>
      <c r="E550" s="6"/>
      <c r="F550" s="1"/>
      <c r="G550" s="6"/>
      <c r="H550" s="6"/>
      <c r="I550" s="6"/>
      <c r="J550" s="6"/>
      <c r="K550" s="6"/>
      <c r="L550" s="6"/>
      <c r="M550" s="6"/>
      <c r="N550" s="6"/>
      <c r="O550" s="7"/>
      <c r="P550" s="6"/>
      <c r="Q550" s="6"/>
      <c r="R550" s="7"/>
      <c r="S550" s="6"/>
      <c r="T550" s="6"/>
      <c r="U550" s="7"/>
      <c r="V550" s="6"/>
      <c r="W550" s="6"/>
      <c r="X550" s="12"/>
      <c r="Y550" s="6"/>
      <c r="Z550" s="6"/>
      <c r="AA550" s="7"/>
      <c r="AB550" s="6"/>
      <c r="AC550" s="6"/>
      <c r="AD550" s="6"/>
      <c r="AE550" s="12"/>
      <c r="AF550" s="6"/>
      <c r="AG550" s="12"/>
      <c r="AH550" s="6"/>
      <c r="AI550" s="6"/>
      <c r="AJ550" s="12"/>
      <c r="AK550" s="24"/>
      <c r="AL550" s="25"/>
      <c r="AM550" s="12"/>
      <c r="AN550" s="1"/>
      <c r="AO550" s="6"/>
    </row>
    <row r="551" spans="1:41" ht="15" x14ac:dyDescent="0.25">
      <c r="A551" s="1"/>
      <c r="B551" s="1"/>
      <c r="C551" s="1"/>
      <c r="D551" s="1"/>
      <c r="E551" s="6"/>
      <c r="F551" s="1"/>
      <c r="G551" s="6"/>
      <c r="H551" s="6"/>
      <c r="I551" s="6"/>
      <c r="J551" s="6"/>
      <c r="K551" s="12"/>
      <c r="L551" s="12"/>
      <c r="M551" s="6"/>
      <c r="N551" s="6"/>
      <c r="O551" s="7"/>
      <c r="P551" s="6"/>
      <c r="Q551" s="6"/>
      <c r="R551" s="7"/>
      <c r="S551" s="6"/>
      <c r="T551" s="6"/>
      <c r="U551" s="7"/>
      <c r="V551" s="6"/>
      <c r="W551" s="6"/>
      <c r="X551" s="6"/>
      <c r="Y551" s="6"/>
      <c r="Z551" s="6"/>
      <c r="AA551" s="7"/>
      <c r="AB551" s="6"/>
      <c r="AC551" s="6"/>
      <c r="AD551" s="6"/>
      <c r="AE551" s="12"/>
      <c r="AF551" s="12"/>
      <c r="AG551" s="12"/>
      <c r="AH551" s="12"/>
      <c r="AI551" s="6"/>
      <c r="AJ551" s="12"/>
      <c r="AK551" s="1"/>
      <c r="AL551" s="12"/>
      <c r="AM551" s="12"/>
      <c r="AN551" s="1"/>
      <c r="AO551" s="6"/>
    </row>
    <row r="552" spans="1:41" ht="15" x14ac:dyDescent="0.25">
      <c r="A552" s="1"/>
      <c r="B552" s="1"/>
      <c r="C552" s="1"/>
      <c r="D552" s="1"/>
      <c r="E552" s="6"/>
      <c r="F552" s="1"/>
      <c r="G552" s="6"/>
      <c r="H552" s="6"/>
      <c r="I552" s="6"/>
      <c r="J552" s="6"/>
      <c r="K552" s="6"/>
      <c r="L552" s="6"/>
      <c r="M552" s="6"/>
      <c r="N552" s="6"/>
      <c r="O552" s="7"/>
      <c r="P552" s="6"/>
      <c r="Q552" s="6"/>
      <c r="R552" s="7"/>
      <c r="S552" s="6"/>
      <c r="T552" s="6"/>
      <c r="U552" s="7"/>
      <c r="V552" s="6"/>
      <c r="W552" s="6"/>
      <c r="X552" s="12"/>
      <c r="Y552" s="6"/>
      <c r="Z552" s="6"/>
      <c r="AA552" s="7"/>
      <c r="AB552" s="6"/>
      <c r="AC552" s="6"/>
      <c r="AD552" s="6"/>
      <c r="AE552" s="12"/>
      <c r="AF552" s="6"/>
      <c r="AG552" s="12"/>
      <c r="AH552" s="6"/>
      <c r="AI552" s="6"/>
      <c r="AJ552" s="12"/>
      <c r="AK552" s="24"/>
      <c r="AL552" s="25"/>
      <c r="AM552" s="12"/>
      <c r="AN552" s="1"/>
      <c r="AO552" s="6"/>
    </row>
    <row r="553" spans="1:41" ht="15" x14ac:dyDescent="0.25">
      <c r="A553" s="1"/>
      <c r="B553" s="1"/>
      <c r="C553" s="1"/>
      <c r="D553" s="1"/>
      <c r="E553" s="6"/>
      <c r="F553" s="1"/>
      <c r="G553" s="6"/>
      <c r="H553" s="6"/>
      <c r="I553" s="6"/>
      <c r="J553" s="6"/>
      <c r="K553" s="6"/>
      <c r="L553" s="6"/>
      <c r="M553" s="6"/>
      <c r="N553" s="6"/>
      <c r="O553" s="7"/>
      <c r="P553" s="6"/>
      <c r="Q553" s="6"/>
      <c r="R553" s="7"/>
      <c r="S553" s="6"/>
      <c r="T553" s="6"/>
      <c r="U553" s="7"/>
      <c r="V553" s="6"/>
      <c r="W553" s="6"/>
      <c r="X553" s="12"/>
      <c r="Y553" s="6"/>
      <c r="Z553" s="6"/>
      <c r="AA553" s="7"/>
      <c r="AB553" s="6"/>
      <c r="AC553" s="6"/>
      <c r="AD553" s="6"/>
      <c r="AE553" s="12"/>
      <c r="AF553" s="6"/>
      <c r="AG553" s="12"/>
      <c r="AH553" s="6"/>
      <c r="AI553" s="6"/>
      <c r="AJ553" s="12"/>
      <c r="AK553" s="24"/>
      <c r="AL553" s="25"/>
      <c r="AM553" s="12"/>
      <c r="AN553" s="1"/>
      <c r="AO553" s="6"/>
    </row>
    <row r="554" spans="1:41" ht="15" x14ac:dyDescent="0.25">
      <c r="A554" s="1"/>
      <c r="B554" s="1"/>
      <c r="C554" s="1"/>
      <c r="D554" s="1"/>
      <c r="E554" s="6"/>
      <c r="F554" s="1"/>
      <c r="G554" s="6"/>
      <c r="H554" s="6"/>
      <c r="I554" s="6"/>
      <c r="J554" s="6"/>
      <c r="K554" s="6"/>
      <c r="L554" s="6"/>
      <c r="M554" s="6"/>
      <c r="N554" s="6"/>
      <c r="O554" s="7"/>
      <c r="P554" s="6"/>
      <c r="Q554" s="6"/>
      <c r="R554" s="7"/>
      <c r="S554" s="6"/>
      <c r="T554" s="6"/>
      <c r="U554" s="7"/>
      <c r="V554" s="6"/>
      <c r="W554" s="6"/>
      <c r="X554" s="6"/>
      <c r="Y554" s="6"/>
      <c r="Z554" s="6"/>
      <c r="AA554" s="7"/>
      <c r="AB554" s="6"/>
      <c r="AC554" s="6"/>
      <c r="AD554" s="6"/>
      <c r="AE554" s="12"/>
      <c r="AF554" s="12"/>
      <c r="AG554" s="12"/>
      <c r="AH554" s="12"/>
      <c r="AI554" s="6"/>
      <c r="AJ554" s="12"/>
      <c r="AK554" s="1"/>
      <c r="AL554" s="12"/>
      <c r="AM554" s="12"/>
      <c r="AN554" s="1"/>
      <c r="AO554" s="6"/>
    </row>
    <row r="555" spans="1:41" ht="15" x14ac:dyDescent="0.25">
      <c r="A555" s="1"/>
      <c r="B555" s="1"/>
      <c r="C555" s="1"/>
      <c r="D555" s="1"/>
      <c r="E555" s="6"/>
      <c r="F555" s="1"/>
      <c r="G555" s="6"/>
      <c r="H555" s="6"/>
      <c r="I555" s="6"/>
      <c r="J555" s="6"/>
      <c r="K555" s="6"/>
      <c r="L555" s="6"/>
      <c r="M555" s="6"/>
      <c r="N555" s="6"/>
      <c r="O555" s="7"/>
      <c r="P555" s="6"/>
      <c r="Q555" s="6"/>
      <c r="R555" s="7"/>
      <c r="S555" s="6"/>
      <c r="T555" s="6"/>
      <c r="U555" s="7"/>
      <c r="V555" s="6"/>
      <c r="W555" s="6"/>
      <c r="X555" s="6"/>
      <c r="Y555" s="6"/>
      <c r="Z555" s="6"/>
      <c r="AA555" s="7"/>
      <c r="AB555" s="6"/>
      <c r="AC555" s="6"/>
      <c r="AD555" s="6"/>
      <c r="AE555" s="12"/>
      <c r="AF555" s="6"/>
      <c r="AG555" s="12"/>
      <c r="AH555" s="6"/>
      <c r="AI555" s="6"/>
      <c r="AJ555" s="12"/>
      <c r="AK555" s="24"/>
      <c r="AL555" s="25"/>
      <c r="AM555" s="12"/>
      <c r="AN555" s="1"/>
      <c r="AO555" s="6"/>
    </row>
    <row r="556" spans="1:41" ht="15" x14ac:dyDescent="0.25">
      <c r="A556" s="1"/>
      <c r="B556" s="1"/>
      <c r="C556" s="1"/>
      <c r="D556" s="1"/>
      <c r="E556" s="6"/>
      <c r="F556" s="1"/>
      <c r="G556" s="6"/>
      <c r="H556" s="6"/>
      <c r="I556" s="6"/>
      <c r="J556" s="6"/>
      <c r="K556" s="6"/>
      <c r="L556" s="6"/>
      <c r="M556" s="6"/>
      <c r="N556" s="6"/>
      <c r="O556" s="7"/>
      <c r="P556" s="6"/>
      <c r="Q556" s="6"/>
      <c r="R556" s="7"/>
      <c r="S556" s="6"/>
      <c r="T556" s="6"/>
      <c r="U556" s="7"/>
      <c r="V556" s="6"/>
      <c r="W556" s="6"/>
      <c r="X556" s="6"/>
      <c r="Y556" s="6"/>
      <c r="Z556" s="6"/>
      <c r="AA556" s="7"/>
      <c r="AB556" s="6"/>
      <c r="AC556" s="6"/>
      <c r="AD556" s="6"/>
      <c r="AE556" s="12"/>
      <c r="AF556" s="12"/>
      <c r="AG556" s="12"/>
      <c r="AH556" s="12"/>
      <c r="AI556" s="6"/>
      <c r="AJ556" s="12"/>
      <c r="AK556" s="1"/>
      <c r="AL556" s="12"/>
      <c r="AM556" s="12"/>
      <c r="AN556" s="1"/>
      <c r="AO556" s="6"/>
    </row>
    <row r="557" spans="1:41" ht="15" x14ac:dyDescent="0.25">
      <c r="A557" s="1"/>
      <c r="B557" s="1"/>
      <c r="C557" s="1"/>
      <c r="D557" s="1"/>
      <c r="E557" s="6"/>
      <c r="F557" s="1"/>
      <c r="G557" s="6"/>
      <c r="H557" s="6"/>
      <c r="I557" s="6"/>
      <c r="J557" s="6"/>
      <c r="K557" s="6"/>
      <c r="L557" s="6"/>
      <c r="M557" s="6"/>
      <c r="N557" s="6"/>
      <c r="O557" s="7"/>
      <c r="P557" s="6"/>
      <c r="Q557" s="6"/>
      <c r="R557" s="7"/>
      <c r="S557" s="6"/>
      <c r="T557" s="6"/>
      <c r="U557" s="7"/>
      <c r="V557" s="6"/>
      <c r="W557" s="6"/>
      <c r="X557" s="6"/>
      <c r="Y557" s="6"/>
      <c r="Z557" s="6"/>
      <c r="AA557" s="7"/>
      <c r="AB557" s="6"/>
      <c r="AC557" s="6"/>
      <c r="AD557" s="6"/>
      <c r="AE557" s="12"/>
      <c r="AF557" s="6"/>
      <c r="AG557" s="12"/>
      <c r="AH557" s="6"/>
      <c r="AI557" s="6"/>
      <c r="AJ557" s="12"/>
      <c r="AK557" s="24"/>
      <c r="AL557" s="25"/>
      <c r="AM557" s="12"/>
      <c r="AN557" s="1"/>
      <c r="AO557" s="6"/>
    </row>
    <row r="558" spans="1:41" ht="15" x14ac:dyDescent="0.25">
      <c r="A558" s="1"/>
      <c r="B558" s="1"/>
      <c r="C558" s="1"/>
      <c r="D558" s="1"/>
      <c r="E558" s="6"/>
      <c r="F558" s="1"/>
      <c r="G558" s="6"/>
      <c r="H558" s="6"/>
      <c r="I558" s="6"/>
      <c r="J558" s="6"/>
      <c r="K558" s="6"/>
      <c r="L558" s="6"/>
      <c r="M558" s="6"/>
      <c r="N558" s="6"/>
      <c r="O558" s="7"/>
      <c r="P558" s="12"/>
      <c r="Q558" s="6"/>
      <c r="R558" s="7"/>
      <c r="S558" s="6"/>
      <c r="T558" s="6"/>
      <c r="U558" s="7"/>
      <c r="V558" s="6"/>
      <c r="W558" s="6"/>
      <c r="X558" s="6"/>
      <c r="Y558" s="6"/>
      <c r="Z558" s="6"/>
      <c r="AA558" s="7"/>
      <c r="AB558" s="6"/>
      <c r="AC558" s="6"/>
      <c r="AD558" s="6"/>
      <c r="AE558" s="12"/>
      <c r="AF558" s="6"/>
      <c r="AG558" s="12"/>
      <c r="AH558" s="6"/>
      <c r="AI558" s="6"/>
      <c r="AJ558" s="12"/>
      <c r="AK558" s="1"/>
      <c r="AL558" s="12"/>
      <c r="AM558" s="12"/>
      <c r="AN558" s="1"/>
      <c r="AO558" s="6"/>
    </row>
    <row r="559" spans="1:41" ht="15" x14ac:dyDescent="0.25">
      <c r="A559" s="1"/>
      <c r="B559" s="1"/>
      <c r="C559" s="1"/>
      <c r="D559" s="1"/>
      <c r="E559" s="6"/>
      <c r="F559" s="1"/>
      <c r="G559" s="6"/>
      <c r="H559" s="6"/>
      <c r="I559" s="6"/>
      <c r="J559" s="6"/>
      <c r="K559" s="6"/>
      <c r="L559" s="6"/>
      <c r="M559" s="6"/>
      <c r="N559" s="6"/>
      <c r="O559" s="7"/>
      <c r="P559" s="6"/>
      <c r="Q559" s="6"/>
      <c r="R559" s="7"/>
      <c r="S559" s="6"/>
      <c r="T559" s="6"/>
      <c r="U559" s="7"/>
      <c r="V559" s="6"/>
      <c r="W559" s="6"/>
      <c r="X559" s="12"/>
      <c r="Y559" s="6"/>
      <c r="Z559" s="6"/>
      <c r="AA559" s="7"/>
      <c r="AB559" s="6"/>
      <c r="AC559" s="6"/>
      <c r="AD559" s="6"/>
      <c r="AE559" s="12"/>
      <c r="AF559" s="12"/>
      <c r="AG559" s="12"/>
      <c r="AH559" s="12"/>
      <c r="AI559" s="6"/>
      <c r="AJ559" s="12"/>
      <c r="AK559" s="1"/>
      <c r="AL559" s="12"/>
      <c r="AM559" s="12"/>
      <c r="AN559" s="1"/>
      <c r="AO559" s="6"/>
    </row>
    <row r="560" spans="1:41" ht="15" x14ac:dyDescent="0.25">
      <c r="A560" s="1"/>
      <c r="B560" s="1"/>
      <c r="C560" s="1"/>
      <c r="D560" s="1"/>
      <c r="E560" s="6"/>
      <c r="F560" s="1"/>
      <c r="G560" s="6"/>
      <c r="H560" s="6"/>
      <c r="I560" s="6"/>
      <c r="J560" s="6"/>
      <c r="K560" s="6"/>
      <c r="L560" s="6"/>
      <c r="M560" s="6"/>
      <c r="N560" s="6"/>
      <c r="O560" s="7"/>
      <c r="P560" s="6"/>
      <c r="Q560" s="7"/>
      <c r="R560" s="6"/>
      <c r="S560" s="6"/>
      <c r="T560" s="6"/>
      <c r="U560" s="6"/>
      <c r="V560" s="7"/>
      <c r="W560" s="7"/>
      <c r="X560" s="6"/>
      <c r="Y560" s="6"/>
      <c r="Z560" s="6"/>
      <c r="AA560" s="1"/>
      <c r="AB560" s="12"/>
      <c r="AC560" s="12"/>
      <c r="AD560" s="12"/>
      <c r="AE560" s="12"/>
      <c r="AF560" s="12"/>
      <c r="AG560" s="12"/>
      <c r="AH560" s="12"/>
      <c r="AI560" s="6"/>
      <c r="AJ560" s="12"/>
      <c r="AK560" s="12"/>
      <c r="AL560" s="12"/>
      <c r="AM560" s="12"/>
      <c r="AN560" s="1"/>
      <c r="AO560" s="6"/>
    </row>
    <row r="561" spans="1:41" ht="15" x14ac:dyDescent="0.25">
      <c r="A561" s="1"/>
      <c r="B561" s="1"/>
      <c r="C561" s="1"/>
      <c r="D561" s="1"/>
      <c r="E561" s="6"/>
      <c r="F561" s="1"/>
      <c r="G561" s="6"/>
      <c r="H561" s="6"/>
      <c r="I561" s="6"/>
      <c r="J561" s="6"/>
      <c r="K561" s="6"/>
      <c r="L561" s="6"/>
      <c r="M561" s="6"/>
      <c r="N561" s="6"/>
      <c r="O561" s="7"/>
      <c r="P561" s="6"/>
      <c r="Q561" s="6"/>
      <c r="R561" s="7"/>
      <c r="S561" s="6"/>
      <c r="T561" s="6"/>
      <c r="U561" s="7"/>
      <c r="V561" s="6"/>
      <c r="W561" s="6"/>
      <c r="X561" s="6"/>
      <c r="Y561" s="6"/>
      <c r="Z561" s="6"/>
      <c r="AA561" s="7"/>
      <c r="AB561" s="6"/>
      <c r="AC561" s="6"/>
      <c r="AD561" s="6"/>
      <c r="AE561" s="12"/>
      <c r="AF561" s="6"/>
      <c r="AG561" s="12"/>
      <c r="AH561" s="6"/>
      <c r="AI561" s="6"/>
      <c r="AJ561" s="12"/>
      <c r="AK561" s="1"/>
      <c r="AL561" s="12"/>
      <c r="AM561" s="12"/>
      <c r="AN561" s="1"/>
      <c r="AO561" s="6"/>
    </row>
    <row r="562" spans="1:41" ht="15" x14ac:dyDescent="0.25">
      <c r="A562" s="1"/>
      <c r="B562" s="1"/>
      <c r="C562" s="1"/>
      <c r="D562" s="1"/>
      <c r="E562" s="6"/>
      <c r="F562" s="1"/>
      <c r="G562" s="6"/>
      <c r="H562" s="6"/>
      <c r="I562" s="6"/>
      <c r="J562" s="6"/>
      <c r="K562" s="6"/>
      <c r="L562" s="6"/>
      <c r="M562" s="6"/>
      <c r="N562" s="6"/>
      <c r="O562" s="7"/>
      <c r="P562" s="12"/>
      <c r="Q562" s="6"/>
      <c r="R562" s="7"/>
      <c r="S562" s="6"/>
      <c r="T562" s="6"/>
      <c r="U562" s="7"/>
      <c r="V562" s="6"/>
      <c r="W562" s="6"/>
      <c r="X562" s="6"/>
      <c r="Y562" s="6"/>
      <c r="Z562" s="6"/>
      <c r="AA562" s="7"/>
      <c r="AB562" s="6"/>
      <c r="AC562" s="6"/>
      <c r="AD562" s="6"/>
      <c r="AE562" s="12"/>
      <c r="AF562" s="6"/>
      <c r="AG562" s="12"/>
      <c r="AH562" s="6"/>
      <c r="AI562" s="6"/>
      <c r="AJ562" s="12"/>
      <c r="AK562" s="1"/>
      <c r="AL562" s="12"/>
      <c r="AM562" s="12"/>
      <c r="AN562" s="1"/>
      <c r="AO562" s="6"/>
    </row>
    <row r="563" spans="1:41" ht="15" x14ac:dyDescent="0.25">
      <c r="A563" s="1"/>
      <c r="B563" s="1"/>
      <c r="C563" s="1"/>
      <c r="D563" s="1"/>
      <c r="E563" s="6"/>
      <c r="F563" s="1"/>
      <c r="G563" s="6"/>
      <c r="H563" s="6"/>
      <c r="I563" s="6"/>
      <c r="J563" s="6"/>
      <c r="K563" s="6"/>
      <c r="L563" s="6"/>
      <c r="M563" s="6"/>
      <c r="N563" s="6"/>
      <c r="O563" s="7"/>
      <c r="P563" s="12"/>
      <c r="Q563" s="6"/>
      <c r="R563" s="7"/>
      <c r="S563" s="6"/>
      <c r="T563" s="6"/>
      <c r="U563" s="7"/>
      <c r="V563" s="6"/>
      <c r="W563" s="6"/>
      <c r="X563" s="6"/>
      <c r="Y563" s="6"/>
      <c r="Z563" s="6"/>
      <c r="AA563" s="7"/>
      <c r="AB563" s="6"/>
      <c r="AC563" s="6"/>
      <c r="AD563" s="6"/>
      <c r="AE563" s="12"/>
      <c r="AF563" s="6"/>
      <c r="AG563" s="12"/>
      <c r="AH563" s="6"/>
      <c r="AI563" s="6"/>
      <c r="AJ563" s="12"/>
      <c r="AK563" s="1"/>
      <c r="AL563" s="12"/>
      <c r="AM563" s="12"/>
      <c r="AN563" s="1"/>
      <c r="AO563" s="6"/>
    </row>
    <row r="564" spans="1:41" ht="15" x14ac:dyDescent="0.25">
      <c r="A564" s="1"/>
      <c r="B564" s="1"/>
      <c r="C564" s="1"/>
      <c r="D564" s="1"/>
      <c r="E564" s="6"/>
      <c r="F564" s="1"/>
      <c r="G564" s="6"/>
      <c r="H564" s="6"/>
      <c r="I564" s="6"/>
      <c r="J564" s="6"/>
      <c r="K564" s="6"/>
      <c r="L564" s="6"/>
      <c r="M564" s="6"/>
      <c r="N564" s="6"/>
      <c r="O564" s="7"/>
      <c r="P564" s="6"/>
      <c r="Q564" s="6"/>
      <c r="R564" s="7"/>
      <c r="S564" s="6"/>
      <c r="T564" s="6"/>
      <c r="U564" s="7"/>
      <c r="V564" s="6"/>
      <c r="W564" s="6"/>
      <c r="X564" s="6"/>
      <c r="Y564" s="6"/>
      <c r="Z564" s="6"/>
      <c r="AA564" s="7"/>
      <c r="AB564" s="6"/>
      <c r="AC564" s="6"/>
      <c r="AD564" s="6"/>
      <c r="AE564" s="12"/>
      <c r="AF564" s="6"/>
      <c r="AG564" s="12"/>
      <c r="AH564" s="6"/>
      <c r="AI564" s="6"/>
      <c r="AJ564" s="12"/>
      <c r="AK564" s="24"/>
      <c r="AL564" s="25"/>
      <c r="AM564" s="12"/>
      <c r="AN564" s="1"/>
      <c r="AO564" s="6"/>
    </row>
    <row r="565" spans="1:41" ht="15" x14ac:dyDescent="0.25">
      <c r="A565" s="1"/>
      <c r="B565" s="1"/>
      <c r="C565" s="1"/>
      <c r="D565" s="1"/>
      <c r="E565" s="6"/>
      <c r="F565" s="1"/>
      <c r="G565" s="6"/>
      <c r="H565" s="6"/>
      <c r="I565" s="6"/>
      <c r="J565" s="6"/>
      <c r="K565" s="6"/>
      <c r="L565" s="6"/>
      <c r="M565" s="6"/>
      <c r="N565" s="6"/>
      <c r="O565" s="7"/>
      <c r="P565" s="6"/>
      <c r="Q565" s="6"/>
      <c r="R565" s="7"/>
      <c r="S565" s="6"/>
      <c r="T565" s="6"/>
      <c r="U565" s="7"/>
      <c r="V565" s="6"/>
      <c r="W565" s="6"/>
      <c r="X565" s="12"/>
      <c r="Y565" s="6"/>
      <c r="Z565" s="6"/>
      <c r="AA565" s="7"/>
      <c r="AB565" s="6"/>
      <c r="AC565" s="6"/>
      <c r="AD565" s="6"/>
      <c r="AE565" s="12"/>
      <c r="AF565" s="6"/>
      <c r="AG565" s="12"/>
      <c r="AH565" s="6"/>
      <c r="AI565" s="6"/>
      <c r="AJ565" s="12"/>
      <c r="AK565" s="24"/>
      <c r="AL565" s="25"/>
      <c r="AM565" s="12"/>
      <c r="AN565" s="1"/>
      <c r="AO565" s="6"/>
    </row>
    <row r="566" spans="1:41" ht="15" x14ac:dyDescent="0.25">
      <c r="A566" s="1"/>
      <c r="B566" s="1"/>
      <c r="C566" s="1"/>
      <c r="D566" s="1"/>
      <c r="E566" s="6"/>
      <c r="F566" s="1"/>
      <c r="G566" s="6"/>
      <c r="H566" s="6"/>
      <c r="I566" s="6"/>
      <c r="J566" s="6"/>
      <c r="K566" s="6"/>
      <c r="L566" s="6"/>
      <c r="M566" s="6"/>
      <c r="N566" s="6"/>
      <c r="O566" s="7"/>
      <c r="P566" s="6"/>
      <c r="Q566" s="6"/>
      <c r="R566" s="7"/>
      <c r="S566" s="6"/>
      <c r="T566" s="6"/>
      <c r="U566" s="7"/>
      <c r="V566" s="6"/>
      <c r="W566" s="6"/>
      <c r="X566" s="6"/>
      <c r="Y566" s="6"/>
      <c r="Z566" s="6"/>
      <c r="AA566" s="7"/>
      <c r="AB566" s="6"/>
      <c r="AC566" s="6"/>
      <c r="AD566" s="6"/>
      <c r="AE566" s="12"/>
      <c r="AF566" s="6"/>
      <c r="AG566" s="12"/>
      <c r="AH566" s="6"/>
      <c r="AI566" s="6"/>
      <c r="AJ566" s="12"/>
      <c r="AK566" s="1"/>
      <c r="AL566" s="12"/>
      <c r="AM566" s="12"/>
      <c r="AN566" s="1"/>
      <c r="AO566" s="6"/>
    </row>
    <row r="567" spans="1:41" ht="15" x14ac:dyDescent="0.25">
      <c r="A567" s="1"/>
      <c r="B567" s="1"/>
      <c r="C567" s="1"/>
      <c r="D567" s="1"/>
      <c r="E567" s="6"/>
      <c r="F567" s="1"/>
      <c r="G567" s="6"/>
      <c r="H567" s="6"/>
      <c r="I567" s="6"/>
      <c r="J567" s="6"/>
      <c r="K567" s="6"/>
      <c r="L567" s="6"/>
      <c r="M567" s="6"/>
      <c r="N567" s="6"/>
      <c r="O567" s="12"/>
      <c r="P567" s="12"/>
      <c r="Q567" s="6"/>
      <c r="R567" s="12"/>
      <c r="S567" s="12"/>
      <c r="T567" s="12"/>
      <c r="U567" s="6"/>
      <c r="V567" s="6"/>
      <c r="W567" s="6"/>
      <c r="X567" s="12"/>
      <c r="Y567" s="12"/>
      <c r="Z567" s="12"/>
      <c r="AA567" s="1"/>
      <c r="AB567" s="12"/>
      <c r="AC567" s="12"/>
      <c r="AD567" s="12"/>
      <c r="AE567" s="12"/>
      <c r="AF567" s="12"/>
      <c r="AG567" s="12"/>
      <c r="AH567" s="12"/>
      <c r="AI567" s="6"/>
      <c r="AJ567" s="12"/>
      <c r="AK567" s="12"/>
      <c r="AL567" s="12"/>
      <c r="AM567" s="12"/>
      <c r="AN567" s="1"/>
      <c r="AO567" s="6"/>
    </row>
    <row r="568" spans="1:41" ht="15" x14ac:dyDescent="0.25">
      <c r="A568" s="1"/>
      <c r="B568" s="1"/>
      <c r="C568" s="1"/>
      <c r="D568" s="1"/>
      <c r="E568" s="6"/>
      <c r="F568" s="1"/>
      <c r="G568" s="6"/>
      <c r="H568" s="6"/>
      <c r="I568" s="6"/>
      <c r="J568" s="6"/>
      <c r="K568" s="6"/>
      <c r="L568" s="6"/>
      <c r="M568" s="6"/>
      <c r="N568" s="6"/>
      <c r="O568" s="7"/>
      <c r="P568" s="6"/>
      <c r="Q568" s="6"/>
      <c r="R568" s="7"/>
      <c r="S568" s="6"/>
      <c r="T568" s="6"/>
      <c r="U568" s="7"/>
      <c r="V568" s="6"/>
      <c r="W568" s="6"/>
      <c r="X568" s="12"/>
      <c r="Y568" s="12"/>
      <c r="Z568" s="6"/>
      <c r="AA568" s="7"/>
      <c r="AB568" s="6"/>
      <c r="AC568" s="6"/>
      <c r="AD568" s="6"/>
      <c r="AE568" s="12"/>
      <c r="AF568" s="12"/>
      <c r="AG568" s="12"/>
      <c r="AH568" s="12"/>
      <c r="AI568" s="6"/>
      <c r="AJ568" s="12"/>
      <c r="AK568" s="1"/>
      <c r="AL568" s="12"/>
      <c r="AM568" s="12"/>
      <c r="AN568" s="1"/>
      <c r="AO568" s="6"/>
    </row>
    <row r="569" spans="1:41" ht="15" x14ac:dyDescent="0.25">
      <c r="A569" s="1"/>
      <c r="B569" s="1"/>
      <c r="C569" s="1"/>
      <c r="D569" s="1"/>
      <c r="E569" s="6"/>
      <c r="F569" s="1"/>
      <c r="G569" s="6"/>
      <c r="H569" s="6"/>
      <c r="I569" s="6"/>
      <c r="J569" s="6"/>
      <c r="K569" s="6"/>
      <c r="L569" s="6"/>
      <c r="M569" s="6"/>
      <c r="N569" s="6"/>
      <c r="O569" s="7"/>
      <c r="P569" s="6"/>
      <c r="Q569" s="6"/>
      <c r="R569" s="7"/>
      <c r="S569" s="6"/>
      <c r="T569" s="6"/>
      <c r="U569" s="7"/>
      <c r="V569" s="6"/>
      <c r="W569" s="6"/>
      <c r="X569" s="6"/>
      <c r="Y569" s="6"/>
      <c r="Z569" s="6"/>
      <c r="AA569" s="7"/>
      <c r="AB569" s="6"/>
      <c r="AC569" s="6"/>
      <c r="AD569" s="6"/>
      <c r="AE569" s="12"/>
      <c r="AF569" s="12"/>
      <c r="AG569" s="12"/>
      <c r="AH569" s="12"/>
      <c r="AI569" s="6"/>
      <c r="AJ569" s="12"/>
      <c r="AK569" s="1"/>
      <c r="AL569" s="12"/>
      <c r="AM569" s="12"/>
      <c r="AN569" s="1"/>
      <c r="AO569" s="6"/>
    </row>
    <row r="570" spans="1:41" ht="15" x14ac:dyDescent="0.25">
      <c r="A570" s="1"/>
      <c r="B570" s="1"/>
      <c r="C570" s="1"/>
      <c r="D570" s="1"/>
      <c r="E570" s="6"/>
      <c r="F570" s="1"/>
      <c r="G570" s="6"/>
      <c r="H570" s="6"/>
      <c r="I570" s="6"/>
      <c r="J570" s="6"/>
      <c r="K570" s="6"/>
      <c r="L570" s="6"/>
      <c r="M570" s="6"/>
      <c r="N570" s="6"/>
      <c r="O570" s="7"/>
      <c r="P570" s="6"/>
      <c r="Q570" s="6"/>
      <c r="R570" s="7"/>
      <c r="S570" s="6"/>
      <c r="T570" s="6"/>
      <c r="U570" s="7"/>
      <c r="V570" s="6"/>
      <c r="W570" s="6"/>
      <c r="X570" s="6"/>
      <c r="Y570" s="6"/>
      <c r="Z570" s="6"/>
      <c r="AA570" s="7"/>
      <c r="AB570" s="6"/>
      <c r="AC570" s="6"/>
      <c r="AD570" s="6"/>
      <c r="AE570" s="12"/>
      <c r="AF570" s="6"/>
      <c r="AG570" s="12"/>
      <c r="AH570" s="6"/>
      <c r="AI570" s="6"/>
      <c r="AJ570" s="12"/>
      <c r="AK570" s="1"/>
      <c r="AL570" s="12"/>
      <c r="AM570" s="12"/>
      <c r="AN570" s="1"/>
      <c r="AO570" s="6"/>
    </row>
    <row r="571" spans="1:41" ht="15" x14ac:dyDescent="0.25">
      <c r="A571" s="1"/>
      <c r="B571" s="1"/>
      <c r="C571" s="1"/>
      <c r="D571" s="1"/>
      <c r="E571" s="6"/>
      <c r="F571" s="1"/>
      <c r="G571" s="6"/>
      <c r="H571" s="6"/>
      <c r="I571" s="6"/>
      <c r="J571" s="6"/>
      <c r="K571" s="6"/>
      <c r="L571" s="6"/>
      <c r="M571" s="6"/>
      <c r="N571" s="6"/>
      <c r="O571" s="7"/>
      <c r="P571" s="6"/>
      <c r="Q571" s="6"/>
      <c r="R571" s="7"/>
      <c r="S571" s="6"/>
      <c r="T571" s="6"/>
      <c r="U571" s="7"/>
      <c r="V571" s="6"/>
      <c r="W571" s="6"/>
      <c r="X571" s="6"/>
      <c r="Y571" s="6"/>
      <c r="Z571" s="6"/>
      <c r="AA571" s="7"/>
      <c r="AB571" s="6"/>
      <c r="AC571" s="6"/>
      <c r="AD571" s="6"/>
      <c r="AE571" s="12"/>
      <c r="AF571" s="6"/>
      <c r="AG571" s="12"/>
      <c r="AH571" s="6"/>
      <c r="AI571" s="6"/>
      <c r="AJ571" s="12"/>
      <c r="AK571" s="24"/>
      <c r="AL571" s="25"/>
      <c r="AM571" s="12"/>
      <c r="AN571" s="1"/>
      <c r="AO571" s="6"/>
    </row>
    <row r="572" spans="1:41" ht="15" x14ac:dyDescent="0.25">
      <c r="A572" s="1"/>
      <c r="B572" s="1"/>
      <c r="C572" s="1"/>
      <c r="D572" s="1"/>
      <c r="E572" s="6"/>
      <c r="F572" s="1"/>
      <c r="G572" s="6"/>
      <c r="H572" s="6"/>
      <c r="I572" s="6"/>
      <c r="J572" s="6"/>
      <c r="K572" s="6"/>
      <c r="L572" s="6"/>
      <c r="M572" s="6"/>
      <c r="N572" s="6"/>
      <c r="O572" s="7"/>
      <c r="P572" s="6"/>
      <c r="Q572" s="6"/>
      <c r="R572" s="7"/>
      <c r="S572" s="6"/>
      <c r="T572" s="6"/>
      <c r="U572" s="7"/>
      <c r="V572" s="6"/>
      <c r="W572" s="6"/>
      <c r="X572" s="12"/>
      <c r="Y572" s="6"/>
      <c r="Z572" s="6"/>
      <c r="AA572" s="7"/>
      <c r="AB572" s="6"/>
      <c r="AC572" s="6"/>
      <c r="AD572" s="6"/>
      <c r="AE572" s="12"/>
      <c r="AF572" s="6"/>
      <c r="AG572" s="12"/>
      <c r="AH572" s="6"/>
      <c r="AI572" s="6"/>
      <c r="AJ572" s="12"/>
      <c r="AK572" s="1"/>
      <c r="AL572" s="12"/>
      <c r="AM572" s="12"/>
      <c r="AN572" s="1"/>
      <c r="AO572" s="6"/>
    </row>
    <row r="573" spans="1:41" ht="15" x14ac:dyDescent="0.25">
      <c r="A573" s="1"/>
      <c r="B573" s="1"/>
      <c r="C573" s="1"/>
      <c r="D573" s="1"/>
      <c r="E573" s="6"/>
      <c r="F573" s="1"/>
      <c r="G573" s="6"/>
      <c r="H573" s="6"/>
      <c r="I573" s="6"/>
      <c r="J573" s="6"/>
      <c r="K573" s="6"/>
      <c r="L573" s="6"/>
      <c r="M573" s="6"/>
      <c r="N573" s="6"/>
      <c r="O573" s="7"/>
      <c r="P573" s="6"/>
      <c r="Q573" s="6"/>
      <c r="R573" s="7"/>
      <c r="S573" s="6"/>
      <c r="T573" s="6"/>
      <c r="U573" s="7"/>
      <c r="V573" s="6"/>
      <c r="W573" s="6"/>
      <c r="X573" s="6"/>
      <c r="Y573" s="6"/>
      <c r="Z573" s="6"/>
      <c r="AA573" s="7"/>
      <c r="AB573" s="6"/>
      <c r="AC573" s="6"/>
      <c r="AD573" s="6"/>
      <c r="AE573" s="12"/>
      <c r="AF573" s="12"/>
      <c r="AG573" s="12"/>
      <c r="AH573" s="12"/>
      <c r="AI573" s="6"/>
      <c r="AJ573" s="12"/>
      <c r="AK573" s="1"/>
      <c r="AL573" s="12"/>
      <c r="AM573" s="12"/>
      <c r="AN573" s="1"/>
      <c r="AO573" s="6"/>
    </row>
    <row r="574" spans="1:41" ht="15" x14ac:dyDescent="0.25">
      <c r="A574" s="1"/>
      <c r="B574" s="1"/>
      <c r="C574" s="1"/>
      <c r="D574" s="1"/>
      <c r="E574" s="6"/>
      <c r="F574" s="1"/>
      <c r="G574" s="6"/>
      <c r="H574" s="6"/>
      <c r="I574" s="6"/>
      <c r="J574" s="6"/>
      <c r="K574" s="6"/>
      <c r="L574" s="6"/>
      <c r="M574" s="6"/>
      <c r="N574" s="6"/>
      <c r="O574" s="7"/>
      <c r="P574" s="6"/>
      <c r="Q574" s="6"/>
      <c r="R574" s="7"/>
      <c r="S574" s="6"/>
      <c r="T574" s="6"/>
      <c r="U574" s="7"/>
      <c r="V574" s="6"/>
      <c r="W574" s="6"/>
      <c r="X574" s="12"/>
      <c r="Y574" s="6"/>
      <c r="Z574" s="6"/>
      <c r="AA574" s="7"/>
      <c r="AB574" s="6"/>
      <c r="AC574" s="6"/>
      <c r="AD574" s="6"/>
      <c r="AE574" s="12"/>
      <c r="AF574" s="6"/>
      <c r="AG574" s="12"/>
      <c r="AH574" s="6"/>
      <c r="AI574" s="6"/>
      <c r="AJ574" s="12"/>
      <c r="AK574" s="24"/>
      <c r="AL574" s="25"/>
      <c r="AM574" s="12"/>
      <c r="AN574" s="1"/>
      <c r="AO574" s="6"/>
    </row>
    <row r="575" spans="1:41" ht="15" x14ac:dyDescent="0.25">
      <c r="A575" s="1"/>
      <c r="B575" s="1"/>
      <c r="C575" s="1"/>
      <c r="D575" s="1"/>
      <c r="E575" s="6"/>
      <c r="F575" s="1"/>
      <c r="G575" s="6"/>
      <c r="H575" s="6"/>
      <c r="I575" s="6"/>
      <c r="J575" s="6"/>
      <c r="K575" s="12"/>
      <c r="L575" s="6"/>
      <c r="M575" s="6"/>
      <c r="N575" s="6"/>
      <c r="O575" s="7"/>
      <c r="P575" s="6"/>
      <c r="Q575" s="6"/>
      <c r="R575" s="7"/>
      <c r="S575" s="6"/>
      <c r="T575" s="6"/>
      <c r="U575" s="7"/>
      <c r="V575" s="6"/>
      <c r="W575" s="6"/>
      <c r="X575" s="12"/>
      <c r="Y575" s="6"/>
      <c r="Z575" s="6"/>
      <c r="AA575" s="7"/>
      <c r="AB575" s="6"/>
      <c r="AC575" s="6"/>
      <c r="AD575" s="6"/>
      <c r="AE575" s="12"/>
      <c r="AF575" s="6"/>
      <c r="AG575" s="12"/>
      <c r="AH575" s="6"/>
      <c r="AI575" s="6"/>
      <c r="AJ575" s="12"/>
      <c r="AK575" s="24"/>
      <c r="AL575" s="25"/>
      <c r="AM575" s="12"/>
      <c r="AN575" s="1"/>
      <c r="AO575" s="12"/>
    </row>
    <row r="576" spans="1:41" ht="15" x14ac:dyDescent="0.25">
      <c r="A576" s="1"/>
      <c r="B576" s="1"/>
      <c r="C576" s="1"/>
      <c r="D576" s="1"/>
      <c r="E576" s="6"/>
      <c r="F576" s="1"/>
      <c r="G576" s="6"/>
      <c r="H576" s="6"/>
      <c r="I576" s="6"/>
      <c r="J576" s="6"/>
      <c r="K576" s="6"/>
      <c r="L576" s="6"/>
      <c r="M576" s="6"/>
      <c r="N576" s="6"/>
      <c r="O576" s="7"/>
      <c r="P576" s="6"/>
      <c r="Q576" s="6"/>
      <c r="R576" s="7"/>
      <c r="S576" s="6"/>
      <c r="T576" s="6"/>
      <c r="U576" s="7"/>
      <c r="V576" s="6"/>
      <c r="W576" s="6"/>
      <c r="X576" s="6"/>
      <c r="Y576" s="6"/>
      <c r="Z576" s="6"/>
      <c r="AA576" s="7"/>
      <c r="AB576" s="6"/>
      <c r="AC576" s="6"/>
      <c r="AD576" s="6"/>
      <c r="AE576" s="12"/>
      <c r="AF576" s="6"/>
      <c r="AG576" s="12"/>
      <c r="AH576" s="6"/>
      <c r="AI576" s="6"/>
      <c r="AJ576" s="12"/>
      <c r="AK576" s="24"/>
      <c r="AL576" s="25"/>
      <c r="AM576" s="12"/>
      <c r="AN576" s="1"/>
      <c r="AO576" s="6"/>
    </row>
    <row r="577" spans="1:41" ht="15" x14ac:dyDescent="0.25">
      <c r="A577" s="1"/>
      <c r="B577" s="1"/>
      <c r="C577" s="1"/>
      <c r="D577" s="1"/>
      <c r="E577" s="6"/>
      <c r="F577" s="1"/>
      <c r="G577" s="6"/>
      <c r="H577" s="6"/>
      <c r="I577" s="6"/>
      <c r="J577" s="6"/>
      <c r="K577" s="6"/>
      <c r="L577" s="6"/>
      <c r="M577" s="6"/>
      <c r="N577" s="6"/>
      <c r="O577" s="7"/>
      <c r="P577" s="6"/>
      <c r="Q577" s="6"/>
      <c r="R577" s="7"/>
      <c r="S577" s="6"/>
      <c r="T577" s="6"/>
      <c r="U577" s="7"/>
      <c r="V577" s="6"/>
      <c r="W577" s="6"/>
      <c r="X577" s="12"/>
      <c r="Y577" s="6"/>
      <c r="Z577" s="6"/>
      <c r="AA577" s="7"/>
      <c r="AB577" s="6"/>
      <c r="AC577" s="6"/>
      <c r="AD577" s="6"/>
      <c r="AE577" s="12"/>
      <c r="AF577" s="6"/>
      <c r="AG577" s="12"/>
      <c r="AH577" s="6"/>
      <c r="AI577" s="6"/>
      <c r="AJ577" s="12"/>
      <c r="AK577" s="24"/>
      <c r="AL577" s="25"/>
      <c r="AM577" s="12"/>
      <c r="AN577" s="1"/>
      <c r="AO577" s="6"/>
    </row>
    <row r="578" spans="1:41" ht="15" x14ac:dyDescent="0.25">
      <c r="A578" s="1"/>
      <c r="B578" s="1"/>
      <c r="C578" s="1"/>
      <c r="D578" s="1"/>
      <c r="E578" s="6"/>
      <c r="F578" s="1"/>
      <c r="G578" s="6"/>
      <c r="H578" s="6"/>
      <c r="I578" s="6"/>
      <c r="J578" s="6"/>
      <c r="K578" s="6"/>
      <c r="L578" s="6"/>
      <c r="M578" s="6"/>
      <c r="N578" s="6"/>
      <c r="O578" s="7"/>
      <c r="P578" s="6"/>
      <c r="Q578" s="6"/>
      <c r="R578" s="7"/>
      <c r="S578" s="6"/>
      <c r="T578" s="6"/>
      <c r="U578" s="7"/>
      <c r="V578" s="6"/>
      <c r="W578" s="6"/>
      <c r="X578" s="6"/>
      <c r="Y578" s="6"/>
      <c r="Z578" s="6"/>
      <c r="AA578" s="7"/>
      <c r="AB578" s="6"/>
      <c r="AC578" s="6"/>
      <c r="AD578" s="6"/>
      <c r="AE578" s="12"/>
      <c r="AF578" s="6"/>
      <c r="AG578" s="12"/>
      <c r="AH578" s="6"/>
      <c r="AI578" s="6"/>
      <c r="AJ578" s="12"/>
      <c r="AK578" s="1"/>
      <c r="AL578" s="12"/>
      <c r="AM578" s="12"/>
      <c r="AN578" s="1"/>
      <c r="AO578" s="6"/>
    </row>
    <row r="579" spans="1:41" ht="15" x14ac:dyDescent="0.25">
      <c r="A579" s="1"/>
      <c r="B579" s="1"/>
      <c r="C579" s="1"/>
      <c r="D579" s="1"/>
      <c r="E579" s="6"/>
      <c r="F579" s="1"/>
      <c r="G579" s="6"/>
      <c r="H579" s="6"/>
      <c r="I579" s="6"/>
      <c r="J579" s="6"/>
      <c r="K579" s="6"/>
      <c r="L579" s="6"/>
      <c r="M579" s="6"/>
      <c r="N579" s="6"/>
      <c r="O579" s="7"/>
      <c r="P579" s="6"/>
      <c r="Q579" s="6"/>
      <c r="R579" s="7"/>
      <c r="S579" s="6"/>
      <c r="T579" s="6"/>
      <c r="U579" s="7"/>
      <c r="V579" s="6"/>
      <c r="W579" s="6"/>
      <c r="X579" s="6"/>
      <c r="Y579" s="6"/>
      <c r="Z579" s="6"/>
      <c r="AA579" s="7"/>
      <c r="AB579" s="6"/>
      <c r="AC579" s="6"/>
      <c r="AD579" s="6"/>
      <c r="AE579" s="12"/>
      <c r="AF579" s="12"/>
      <c r="AG579" s="12"/>
      <c r="AH579" s="12"/>
      <c r="AI579" s="6"/>
      <c r="AJ579" s="12"/>
      <c r="AK579" s="1"/>
      <c r="AL579" s="12"/>
      <c r="AM579" s="12"/>
      <c r="AN579" s="1"/>
      <c r="AO579" s="6"/>
    </row>
    <row r="580" spans="1:41" ht="15" x14ac:dyDescent="0.25">
      <c r="A580" s="1"/>
      <c r="B580" s="1"/>
      <c r="C580" s="1"/>
      <c r="D580" s="1"/>
      <c r="E580" s="6"/>
      <c r="F580" s="1"/>
      <c r="G580" s="6"/>
      <c r="H580" s="6"/>
      <c r="I580" s="6"/>
      <c r="J580" s="6"/>
      <c r="K580" s="6"/>
      <c r="L580" s="6"/>
      <c r="M580" s="6"/>
      <c r="N580" s="6"/>
      <c r="O580" s="7"/>
      <c r="P580" s="6"/>
      <c r="Q580" s="6"/>
      <c r="R580" s="7"/>
      <c r="S580" s="6"/>
      <c r="T580" s="6"/>
      <c r="U580" s="7"/>
      <c r="V580" s="6"/>
      <c r="W580" s="6"/>
      <c r="X580" s="12"/>
      <c r="Y580" s="6"/>
      <c r="Z580" s="6"/>
      <c r="AA580" s="7"/>
      <c r="AB580" s="6"/>
      <c r="AC580" s="6"/>
      <c r="AD580" s="6"/>
      <c r="AE580" s="12"/>
      <c r="AF580" s="12"/>
      <c r="AG580" s="12"/>
      <c r="AH580" s="12"/>
      <c r="AI580" s="6"/>
      <c r="AJ580" s="12"/>
      <c r="AK580" s="1"/>
      <c r="AL580" s="12"/>
      <c r="AM580" s="12"/>
      <c r="AN580" s="1"/>
      <c r="AO580" s="6"/>
    </row>
    <row r="581" spans="1:41" ht="15" x14ac:dyDescent="0.25">
      <c r="A581" s="1"/>
      <c r="B581" s="1"/>
      <c r="C581" s="1"/>
      <c r="D581" s="1"/>
      <c r="E581" s="6"/>
      <c r="F581" s="1"/>
      <c r="G581" s="6"/>
      <c r="H581" s="6"/>
      <c r="I581" s="6"/>
      <c r="J581" s="6"/>
      <c r="K581" s="6"/>
      <c r="L581" s="6"/>
      <c r="M581" s="6"/>
      <c r="N581" s="6"/>
      <c r="O581" s="7"/>
      <c r="P581" s="6"/>
      <c r="Q581" s="6"/>
      <c r="R581" s="7"/>
      <c r="S581" s="6"/>
      <c r="T581" s="6"/>
      <c r="U581" s="7"/>
      <c r="V581" s="6"/>
      <c r="W581" s="6"/>
      <c r="X581" s="6"/>
      <c r="Y581" s="6"/>
      <c r="Z581" s="6"/>
      <c r="AA581" s="7"/>
      <c r="AB581" s="6"/>
      <c r="AC581" s="6"/>
      <c r="AD581" s="6"/>
      <c r="AE581" s="12"/>
      <c r="AF581" s="12"/>
      <c r="AG581" s="12"/>
      <c r="AH581" s="12"/>
      <c r="AI581" s="6"/>
      <c r="AJ581" s="12"/>
      <c r="AK581" s="1"/>
      <c r="AL581" s="12"/>
      <c r="AM581" s="12"/>
      <c r="AN581" s="1"/>
      <c r="AO581" s="6"/>
    </row>
    <row r="582" spans="1:41" ht="15" x14ac:dyDescent="0.25">
      <c r="A582" s="1"/>
      <c r="B582" s="1"/>
      <c r="C582" s="1"/>
      <c r="D582" s="1"/>
      <c r="E582" s="6"/>
      <c r="F582" s="1"/>
      <c r="G582" s="6"/>
      <c r="H582" s="6"/>
      <c r="I582" s="6"/>
      <c r="J582" s="6"/>
      <c r="K582" s="6"/>
      <c r="L582" s="6"/>
      <c r="M582" s="6"/>
      <c r="N582" s="6"/>
      <c r="O582" s="7"/>
      <c r="P582" s="6"/>
      <c r="Q582" s="6"/>
      <c r="R582" s="7"/>
      <c r="S582" s="6"/>
      <c r="T582" s="6"/>
      <c r="U582" s="7"/>
      <c r="V582" s="6"/>
      <c r="W582" s="6"/>
      <c r="X582" s="6"/>
      <c r="Y582" s="6"/>
      <c r="Z582" s="6"/>
      <c r="AA582" s="7"/>
      <c r="AB582" s="6"/>
      <c r="AC582" s="6"/>
      <c r="AD582" s="6"/>
      <c r="AE582" s="12"/>
      <c r="AF582" s="12"/>
      <c r="AG582" s="12"/>
      <c r="AH582" s="12"/>
      <c r="AI582" s="6"/>
      <c r="AJ582" s="12"/>
      <c r="AK582" s="1"/>
      <c r="AL582" s="12"/>
      <c r="AM582" s="12"/>
      <c r="AN582" s="1"/>
      <c r="AO582" s="6"/>
    </row>
    <row r="583" spans="1:41" ht="15" x14ac:dyDescent="0.25">
      <c r="A583" s="1"/>
      <c r="B583" s="1"/>
      <c r="C583" s="1"/>
      <c r="D583" s="1"/>
      <c r="E583" s="6"/>
      <c r="F583" s="1"/>
      <c r="G583" s="6"/>
      <c r="H583" s="6"/>
      <c r="I583" s="6"/>
      <c r="J583" s="6"/>
      <c r="K583" s="6"/>
      <c r="L583" s="6"/>
      <c r="M583" s="6"/>
      <c r="N583" s="6"/>
      <c r="O583" s="7"/>
      <c r="P583" s="12"/>
      <c r="Q583" s="6"/>
      <c r="R583" s="7"/>
      <c r="S583" s="6"/>
      <c r="T583" s="6"/>
      <c r="U583" s="7"/>
      <c r="V583" s="6"/>
      <c r="W583" s="6"/>
      <c r="X583" s="6"/>
      <c r="Y583" s="6"/>
      <c r="Z583" s="6"/>
      <c r="AA583" s="7"/>
      <c r="AB583" s="6"/>
      <c r="AC583" s="6"/>
      <c r="AD583" s="6"/>
      <c r="AE583" s="12"/>
      <c r="AF583" s="12"/>
      <c r="AG583" s="12"/>
      <c r="AH583" s="12"/>
      <c r="AI583" s="6"/>
      <c r="AJ583" s="12"/>
      <c r="AK583" s="1"/>
      <c r="AL583" s="12"/>
      <c r="AM583" s="12"/>
      <c r="AN583" s="1"/>
      <c r="AO583" s="6"/>
    </row>
    <row r="584" spans="1:41" ht="15" x14ac:dyDescent="0.25">
      <c r="A584" s="1"/>
      <c r="B584" s="1"/>
      <c r="C584" s="1"/>
      <c r="D584" s="1"/>
      <c r="E584" s="6"/>
      <c r="F584" s="1"/>
      <c r="G584" s="6"/>
      <c r="H584" s="6"/>
      <c r="I584" s="6"/>
      <c r="J584" s="6"/>
      <c r="K584" s="12"/>
      <c r="L584" s="12"/>
      <c r="M584" s="6"/>
      <c r="N584" s="6"/>
      <c r="O584" s="7"/>
      <c r="P584" s="6"/>
      <c r="Q584" s="6"/>
      <c r="R584" s="7"/>
      <c r="S584" s="6"/>
      <c r="T584" s="6"/>
      <c r="U584" s="7"/>
      <c r="V584" s="6"/>
      <c r="W584" s="6"/>
      <c r="X584" s="6"/>
      <c r="Y584" s="6"/>
      <c r="Z584" s="6"/>
      <c r="AA584" s="7"/>
      <c r="AB584" s="6"/>
      <c r="AC584" s="6"/>
      <c r="AD584" s="6"/>
      <c r="AE584" s="12"/>
      <c r="AF584" s="12"/>
      <c r="AG584" s="12"/>
      <c r="AH584" s="12"/>
      <c r="AI584" s="6"/>
      <c r="AJ584" s="12"/>
      <c r="AK584" s="1"/>
      <c r="AL584" s="12"/>
      <c r="AM584" s="12"/>
      <c r="AN584" s="1"/>
      <c r="AO584" s="12"/>
    </row>
    <row r="585" spans="1:41" ht="15" x14ac:dyDescent="0.25">
      <c r="A585" s="1"/>
      <c r="B585" s="1"/>
      <c r="C585" s="1"/>
      <c r="D585" s="1"/>
      <c r="E585" s="6"/>
      <c r="F585" s="1"/>
      <c r="G585" s="6"/>
      <c r="H585" s="6"/>
      <c r="I585" s="6"/>
      <c r="J585" s="6"/>
      <c r="K585" s="6"/>
      <c r="L585" s="6"/>
      <c r="M585" s="6"/>
      <c r="N585" s="6"/>
      <c r="O585" s="7"/>
      <c r="P585" s="6"/>
      <c r="Q585" s="6"/>
      <c r="R585" s="7"/>
      <c r="S585" s="6"/>
      <c r="T585" s="6"/>
      <c r="U585" s="7"/>
      <c r="V585" s="6"/>
      <c r="W585" s="6"/>
      <c r="X585" s="6"/>
      <c r="Y585" s="6"/>
      <c r="Z585" s="6"/>
      <c r="AA585" s="7"/>
      <c r="AB585" s="6"/>
      <c r="AC585" s="6"/>
      <c r="AD585" s="6"/>
      <c r="AE585" s="12"/>
      <c r="AF585" s="6"/>
      <c r="AG585" s="12"/>
      <c r="AH585" s="6"/>
      <c r="AI585" s="6"/>
      <c r="AJ585" s="12"/>
      <c r="AK585" s="1"/>
      <c r="AL585" s="12"/>
      <c r="AM585" s="12"/>
      <c r="AN585" s="1"/>
      <c r="AO585" s="6"/>
    </row>
    <row r="586" spans="1:41" ht="15" x14ac:dyDescent="0.25">
      <c r="A586" s="1"/>
      <c r="B586" s="1"/>
      <c r="C586" s="1"/>
      <c r="D586" s="1"/>
      <c r="E586" s="6"/>
      <c r="F586" s="1"/>
      <c r="G586" s="6"/>
      <c r="H586" s="6"/>
      <c r="I586" s="6"/>
      <c r="J586" s="6"/>
      <c r="K586" s="6"/>
      <c r="L586" s="6"/>
      <c r="M586" s="6"/>
      <c r="N586" s="6"/>
      <c r="O586" s="7"/>
      <c r="P586" s="6"/>
      <c r="Q586" s="6"/>
      <c r="R586" s="7"/>
      <c r="S586" s="6"/>
      <c r="T586" s="6"/>
      <c r="U586" s="7"/>
      <c r="V586" s="6"/>
      <c r="W586" s="6"/>
      <c r="X586" s="6"/>
      <c r="Y586" s="6"/>
      <c r="Z586" s="6"/>
      <c r="AA586" s="7"/>
      <c r="AB586" s="6"/>
      <c r="AC586" s="6"/>
      <c r="AD586" s="6"/>
      <c r="AE586" s="12"/>
      <c r="AF586" s="12"/>
      <c r="AG586" s="12"/>
      <c r="AH586" s="12"/>
      <c r="AI586" s="6"/>
      <c r="AJ586" s="12"/>
      <c r="AK586" s="1"/>
      <c r="AL586" s="12"/>
      <c r="AM586" s="12"/>
      <c r="AN586" s="1"/>
      <c r="AO586" s="6"/>
    </row>
    <row r="587" spans="1:41" ht="15" x14ac:dyDescent="0.25">
      <c r="A587" s="1"/>
      <c r="B587" s="1"/>
      <c r="C587" s="1"/>
      <c r="D587" s="1"/>
      <c r="E587" s="6"/>
      <c r="F587" s="1"/>
      <c r="G587" s="6"/>
      <c r="H587" s="6"/>
      <c r="I587" s="6"/>
      <c r="J587" s="6"/>
      <c r="K587" s="6"/>
      <c r="L587" s="6"/>
      <c r="M587" s="6"/>
      <c r="N587" s="6"/>
      <c r="O587" s="7"/>
      <c r="P587" s="6"/>
      <c r="Q587" s="6"/>
      <c r="R587" s="7"/>
      <c r="S587" s="6"/>
      <c r="T587" s="6"/>
      <c r="U587" s="7"/>
      <c r="V587" s="6"/>
      <c r="W587" s="6"/>
      <c r="X587" s="12"/>
      <c r="Y587" s="6"/>
      <c r="Z587" s="6"/>
      <c r="AA587" s="7"/>
      <c r="AB587" s="6"/>
      <c r="AC587" s="6"/>
      <c r="AD587" s="6"/>
      <c r="AE587" s="12"/>
      <c r="AF587" s="6"/>
      <c r="AG587" s="12"/>
      <c r="AH587" s="6"/>
      <c r="AI587" s="6"/>
      <c r="AJ587" s="12"/>
      <c r="AK587" s="1"/>
      <c r="AL587" s="12"/>
      <c r="AM587" s="12"/>
      <c r="AN587" s="1"/>
      <c r="AO587" s="6"/>
    </row>
    <row r="588" spans="1:41" ht="15" x14ac:dyDescent="0.25">
      <c r="A588" s="1"/>
      <c r="B588" s="1"/>
      <c r="C588" s="1"/>
      <c r="D588" s="1"/>
      <c r="E588" s="6"/>
      <c r="F588" s="1"/>
      <c r="G588" s="6"/>
      <c r="H588" s="6"/>
      <c r="I588" s="6"/>
      <c r="J588" s="6"/>
      <c r="K588" s="6"/>
      <c r="L588" s="6"/>
      <c r="M588" s="6"/>
      <c r="N588" s="6"/>
      <c r="O588" s="7"/>
      <c r="P588" s="6"/>
      <c r="Q588" s="6"/>
      <c r="R588" s="12"/>
      <c r="S588" s="12"/>
      <c r="T588" s="12"/>
      <c r="U588" s="7"/>
      <c r="V588" s="6"/>
      <c r="W588" s="6"/>
      <c r="X588" s="12"/>
      <c r="Y588" s="6"/>
      <c r="Z588" s="6"/>
      <c r="AA588" s="7"/>
      <c r="AB588" s="6"/>
      <c r="AC588" s="6"/>
      <c r="AD588" s="6"/>
      <c r="AE588" s="12"/>
      <c r="AF588" s="12"/>
      <c r="AG588" s="12"/>
      <c r="AH588" s="12"/>
      <c r="AI588" s="6"/>
      <c r="AJ588" s="12"/>
      <c r="AK588" s="1"/>
      <c r="AL588" s="12"/>
      <c r="AM588" s="12"/>
      <c r="AN588" s="1"/>
      <c r="AO588" s="6"/>
    </row>
    <row r="589" spans="1:41" ht="15" x14ac:dyDescent="0.25">
      <c r="A589" s="1"/>
      <c r="B589" s="1"/>
      <c r="C589" s="1"/>
      <c r="D589" s="1"/>
      <c r="E589" s="6"/>
      <c r="F589" s="1"/>
      <c r="G589" s="6"/>
      <c r="H589" s="6"/>
      <c r="I589" s="6"/>
      <c r="J589" s="6"/>
      <c r="K589" s="6"/>
      <c r="L589" s="6"/>
      <c r="M589" s="6"/>
      <c r="N589" s="6"/>
      <c r="O589" s="7"/>
      <c r="P589" s="6"/>
      <c r="Q589" s="6"/>
      <c r="R589" s="7"/>
      <c r="S589" s="6"/>
      <c r="T589" s="6"/>
      <c r="U589" s="7"/>
      <c r="V589" s="6"/>
      <c r="W589" s="6"/>
      <c r="X589" s="6"/>
      <c r="Y589" s="6"/>
      <c r="Z589" s="6"/>
      <c r="AA589" s="7"/>
      <c r="AB589" s="6"/>
      <c r="AC589" s="6"/>
      <c r="AD589" s="6"/>
      <c r="AE589" s="12"/>
      <c r="AF589" s="12"/>
      <c r="AG589" s="12"/>
      <c r="AH589" s="12"/>
      <c r="AI589" s="6"/>
      <c r="AJ589" s="12"/>
      <c r="AK589" s="1"/>
      <c r="AL589" s="12"/>
      <c r="AM589" s="12"/>
      <c r="AN589" s="1"/>
      <c r="AO589" s="6"/>
    </row>
    <row r="590" spans="1:41" ht="15" x14ac:dyDescent="0.25">
      <c r="A590" s="1"/>
      <c r="B590" s="1"/>
      <c r="C590" s="1"/>
      <c r="D590" s="1"/>
      <c r="E590" s="6"/>
      <c r="F590" s="1"/>
      <c r="G590" s="6"/>
      <c r="H590" s="6"/>
      <c r="I590" s="6"/>
      <c r="J590" s="6"/>
      <c r="K590" s="6"/>
      <c r="L590" s="6"/>
      <c r="M590" s="6"/>
      <c r="N590" s="6"/>
      <c r="O590" s="7"/>
      <c r="P590" s="6"/>
      <c r="Q590" s="6"/>
      <c r="R590" s="7"/>
      <c r="S590" s="6"/>
      <c r="T590" s="6"/>
      <c r="U590" s="7"/>
      <c r="V590" s="6"/>
      <c r="W590" s="6"/>
      <c r="X590" s="12"/>
      <c r="Y590" s="6"/>
      <c r="Z590" s="6"/>
      <c r="AA590" s="7"/>
      <c r="AB590" s="6"/>
      <c r="AC590" s="6"/>
      <c r="AD590" s="6"/>
      <c r="AE590" s="12"/>
      <c r="AF590" s="12"/>
      <c r="AG590" s="12"/>
      <c r="AH590" s="12"/>
      <c r="AI590" s="6"/>
      <c r="AJ590" s="12"/>
      <c r="AK590" s="1"/>
      <c r="AL590" s="12"/>
      <c r="AM590" s="12"/>
      <c r="AN590" s="1"/>
      <c r="AO590" s="6"/>
    </row>
    <row r="591" spans="1:41" ht="15" x14ac:dyDescent="0.25">
      <c r="A591" s="1"/>
      <c r="B591" s="1"/>
      <c r="C591" s="1"/>
      <c r="D591" s="1"/>
      <c r="E591" s="6"/>
      <c r="F591" s="1"/>
      <c r="G591" s="6"/>
      <c r="H591" s="6"/>
      <c r="I591" s="6"/>
      <c r="J591" s="6"/>
      <c r="K591" s="6"/>
      <c r="L591" s="6"/>
      <c r="M591" s="6"/>
      <c r="N591" s="6"/>
      <c r="O591" s="7"/>
      <c r="P591" s="6"/>
      <c r="Q591" s="6"/>
      <c r="R591" s="7"/>
      <c r="S591" s="6"/>
      <c r="T591" s="6"/>
      <c r="U591" s="7"/>
      <c r="V591" s="6"/>
      <c r="W591" s="6"/>
      <c r="X591" s="6"/>
      <c r="Y591" s="6"/>
      <c r="Z591" s="6"/>
      <c r="AA591" s="7"/>
      <c r="AB591" s="6"/>
      <c r="AC591" s="6"/>
      <c r="AD591" s="6"/>
      <c r="AE591" s="12"/>
      <c r="AF591" s="12"/>
      <c r="AG591" s="12"/>
      <c r="AH591" s="12"/>
      <c r="AI591" s="6"/>
      <c r="AJ591" s="12"/>
      <c r="AK591" s="1"/>
      <c r="AL591" s="12"/>
      <c r="AM591" s="12"/>
      <c r="AN591" s="1"/>
      <c r="AO591" s="6"/>
    </row>
    <row r="592" spans="1:41" ht="15" x14ac:dyDescent="0.25">
      <c r="A592" s="1"/>
      <c r="B592" s="1"/>
      <c r="C592" s="1"/>
      <c r="D592" s="1"/>
      <c r="E592" s="6"/>
      <c r="F592" s="1"/>
      <c r="G592" s="6"/>
      <c r="H592" s="6"/>
      <c r="I592" s="6"/>
      <c r="J592" s="6"/>
      <c r="K592" s="6"/>
      <c r="L592" s="6"/>
      <c r="M592" s="6"/>
      <c r="N592" s="6"/>
      <c r="O592" s="7"/>
      <c r="P592" s="6"/>
      <c r="Q592" s="6"/>
      <c r="R592" s="7"/>
      <c r="S592" s="6"/>
      <c r="T592" s="6"/>
      <c r="U592" s="7"/>
      <c r="V592" s="6"/>
      <c r="W592" s="6"/>
      <c r="X592" s="6"/>
      <c r="Y592" s="6"/>
      <c r="Z592" s="6"/>
      <c r="AA592" s="7"/>
      <c r="AB592" s="6"/>
      <c r="AC592" s="6"/>
      <c r="AD592" s="6"/>
      <c r="AE592" s="12"/>
      <c r="AF592" s="6"/>
      <c r="AG592" s="12"/>
      <c r="AH592" s="6"/>
      <c r="AI592" s="6"/>
      <c r="AJ592" s="12"/>
      <c r="AK592" s="24"/>
      <c r="AL592" s="25"/>
      <c r="AM592" s="12"/>
      <c r="AN592" s="1"/>
      <c r="AO592" s="6"/>
    </row>
    <row r="593" spans="1:41" ht="15" x14ac:dyDescent="0.25">
      <c r="A593" s="1"/>
      <c r="B593" s="1"/>
      <c r="C593" s="1"/>
      <c r="D593" s="1"/>
      <c r="E593" s="6"/>
      <c r="F593" s="1"/>
      <c r="G593" s="6"/>
      <c r="H593" s="6"/>
      <c r="I593" s="6"/>
      <c r="J593" s="6"/>
      <c r="K593" s="12"/>
      <c r="L593" s="12"/>
      <c r="M593" s="6"/>
      <c r="N593" s="6"/>
      <c r="O593" s="7"/>
      <c r="P593" s="6"/>
      <c r="Q593" s="6"/>
      <c r="R593" s="7"/>
      <c r="S593" s="6"/>
      <c r="T593" s="6"/>
      <c r="U593" s="7"/>
      <c r="V593" s="6"/>
      <c r="W593" s="6"/>
      <c r="X593" s="6"/>
      <c r="Y593" s="6"/>
      <c r="Z593" s="6"/>
      <c r="AA593" s="7"/>
      <c r="AB593" s="6"/>
      <c r="AC593" s="6"/>
      <c r="AD593" s="6"/>
      <c r="AE593" s="12"/>
      <c r="AF593" s="12"/>
      <c r="AG593" s="12"/>
      <c r="AH593" s="12"/>
      <c r="AI593" s="6"/>
      <c r="AJ593" s="12"/>
      <c r="AK593" s="1"/>
      <c r="AL593" s="12"/>
      <c r="AM593" s="12"/>
      <c r="AN593" s="1"/>
      <c r="AO593" s="12"/>
    </row>
    <row r="594" spans="1:41" ht="15" x14ac:dyDescent="0.25">
      <c r="A594" s="1"/>
      <c r="B594" s="1"/>
      <c r="C594" s="1"/>
      <c r="D594" s="1"/>
      <c r="E594" s="6"/>
      <c r="F594" s="1"/>
      <c r="G594" s="6"/>
      <c r="H594" s="6"/>
      <c r="I594" s="6"/>
      <c r="J594" s="6"/>
      <c r="K594" s="6"/>
      <c r="L594" s="6"/>
      <c r="M594" s="6"/>
      <c r="N594" s="6"/>
      <c r="O594" s="7"/>
      <c r="P594" s="6"/>
      <c r="Q594" s="6"/>
      <c r="R594" s="7"/>
      <c r="S594" s="6"/>
      <c r="T594" s="6"/>
      <c r="U594" s="7"/>
      <c r="V594" s="6"/>
      <c r="W594" s="6"/>
      <c r="X594" s="6"/>
      <c r="Y594" s="6"/>
      <c r="Z594" s="6"/>
      <c r="AA594" s="7"/>
      <c r="AB594" s="6"/>
      <c r="AC594" s="6"/>
      <c r="AD594" s="6"/>
      <c r="AE594" s="12"/>
      <c r="AF594" s="6"/>
      <c r="AG594" s="12"/>
      <c r="AH594" s="6"/>
      <c r="AI594" s="6"/>
      <c r="AJ594" s="12"/>
      <c r="AK594" s="1"/>
      <c r="AL594" s="12"/>
      <c r="AM594" s="12"/>
      <c r="AN594" s="1"/>
      <c r="AO594" s="6"/>
    </row>
    <row r="595" spans="1:41" ht="15" x14ac:dyDescent="0.25">
      <c r="A595" s="1"/>
      <c r="B595" s="1"/>
      <c r="C595" s="1"/>
      <c r="D595" s="1"/>
      <c r="E595" s="6"/>
      <c r="F595" s="1"/>
      <c r="G595" s="6"/>
      <c r="H595" s="6"/>
      <c r="I595" s="6"/>
      <c r="J595" s="6"/>
      <c r="K595" s="6"/>
      <c r="L595" s="6"/>
      <c r="M595" s="6"/>
      <c r="N595" s="6"/>
      <c r="O595" s="7"/>
      <c r="P595" s="6"/>
      <c r="Q595" s="6"/>
      <c r="R595" s="7"/>
      <c r="S595" s="6"/>
      <c r="T595" s="6"/>
      <c r="U595" s="7"/>
      <c r="V595" s="6"/>
      <c r="W595" s="6"/>
      <c r="X595" s="6"/>
      <c r="Y595" s="6"/>
      <c r="Z595" s="6"/>
      <c r="AA595" s="7"/>
      <c r="AB595" s="6"/>
      <c r="AC595" s="6"/>
      <c r="AD595" s="6"/>
      <c r="AE595" s="12"/>
      <c r="AF595" s="6"/>
      <c r="AG595" s="12"/>
      <c r="AH595" s="6"/>
      <c r="AI595" s="6"/>
      <c r="AJ595" s="12"/>
      <c r="AK595" s="24"/>
      <c r="AL595" s="25"/>
      <c r="AM595" s="12"/>
      <c r="AN595" s="1"/>
      <c r="AO595" s="6"/>
    </row>
    <row r="596" spans="1:41" ht="15" x14ac:dyDescent="0.25">
      <c r="A596" s="1"/>
      <c r="B596" s="1"/>
      <c r="C596" s="1"/>
      <c r="D596" s="1"/>
      <c r="E596" s="6"/>
      <c r="F596" s="1"/>
      <c r="G596" s="6"/>
      <c r="H596" s="6"/>
      <c r="I596" s="6"/>
      <c r="J596" s="6"/>
      <c r="K596" s="6"/>
      <c r="L596" s="6"/>
      <c r="M596" s="6"/>
      <c r="N596" s="6"/>
      <c r="O596" s="7"/>
      <c r="P596" s="6"/>
      <c r="Q596" s="7"/>
      <c r="R596" s="6"/>
      <c r="S596" s="6"/>
      <c r="T596" s="6"/>
      <c r="U596" s="6"/>
      <c r="V596" s="7"/>
      <c r="W596" s="7"/>
      <c r="X596" s="6"/>
      <c r="Y596" s="6"/>
      <c r="Z596" s="6"/>
      <c r="AA596" s="1"/>
      <c r="AB596" s="12"/>
      <c r="AC596" s="12"/>
      <c r="AD596" s="12"/>
      <c r="AE596" s="12"/>
      <c r="AF596" s="12"/>
      <c r="AG596" s="12"/>
      <c r="AH596" s="12"/>
      <c r="AI596" s="6"/>
      <c r="AJ596" s="12"/>
      <c r="AK596" s="12"/>
      <c r="AL596" s="12"/>
      <c r="AM596" s="12"/>
      <c r="AN596" s="1"/>
      <c r="AO596" s="6"/>
    </row>
    <row r="597" spans="1:41" ht="15" x14ac:dyDescent="0.25">
      <c r="A597" s="1"/>
      <c r="B597" s="1"/>
      <c r="C597" s="1"/>
      <c r="D597" s="1"/>
      <c r="E597" s="6"/>
      <c r="F597" s="1"/>
      <c r="G597" s="6"/>
      <c r="H597" s="6"/>
      <c r="I597" s="6"/>
      <c r="J597" s="6"/>
      <c r="K597" s="6"/>
      <c r="L597" s="6"/>
      <c r="M597" s="6"/>
      <c r="N597" s="6"/>
      <c r="O597" s="7"/>
      <c r="P597" s="6"/>
      <c r="Q597" s="6"/>
      <c r="R597" s="7"/>
      <c r="S597" s="6"/>
      <c r="T597" s="6"/>
      <c r="U597" s="7"/>
      <c r="V597" s="6"/>
      <c r="W597" s="6"/>
      <c r="X597" s="12"/>
      <c r="Y597" s="6"/>
      <c r="Z597" s="6"/>
      <c r="AA597" s="7"/>
      <c r="AB597" s="6"/>
      <c r="AC597" s="6"/>
      <c r="AD597" s="6"/>
      <c r="AE597" s="12"/>
      <c r="AF597" s="6"/>
      <c r="AG597" s="12"/>
      <c r="AH597" s="6"/>
      <c r="AI597" s="6"/>
      <c r="AJ597" s="12"/>
      <c r="AK597" s="24"/>
      <c r="AL597" s="25"/>
      <c r="AM597" s="12"/>
      <c r="AN597" s="1"/>
      <c r="AO597" s="6"/>
    </row>
    <row r="598" spans="1:41" ht="15" x14ac:dyDescent="0.25">
      <c r="A598" s="1"/>
      <c r="B598" s="1"/>
      <c r="C598" s="1"/>
      <c r="D598" s="1"/>
      <c r="E598" s="6"/>
      <c r="F598" s="1"/>
      <c r="G598" s="6"/>
      <c r="H598" s="6"/>
      <c r="I598" s="6"/>
      <c r="J598" s="6"/>
      <c r="K598" s="6"/>
      <c r="L598" s="6"/>
      <c r="M598" s="6"/>
      <c r="N598" s="6"/>
      <c r="O598" s="7"/>
      <c r="P598" s="6"/>
      <c r="Q598" s="6"/>
      <c r="R598" s="7"/>
      <c r="S598" s="6"/>
      <c r="T598" s="6"/>
      <c r="U598" s="7"/>
      <c r="V598" s="6"/>
      <c r="W598" s="6"/>
      <c r="X598" s="6"/>
      <c r="Y598" s="6"/>
      <c r="Z598" s="6"/>
      <c r="AA598" s="7"/>
      <c r="AB598" s="6"/>
      <c r="AC598" s="6"/>
      <c r="AD598" s="6"/>
      <c r="AE598" s="12"/>
      <c r="AF598" s="6"/>
      <c r="AG598" s="12"/>
      <c r="AH598" s="6"/>
      <c r="AI598" s="6"/>
      <c r="AJ598" s="12"/>
      <c r="AK598" s="24"/>
      <c r="AL598" s="25"/>
      <c r="AM598" s="12"/>
      <c r="AN598" s="1"/>
      <c r="AO598" s="6"/>
    </row>
    <row r="599" spans="1:41" ht="15" x14ac:dyDescent="0.25">
      <c r="A599" s="1"/>
      <c r="B599" s="1"/>
      <c r="C599" s="1"/>
      <c r="D599" s="1"/>
      <c r="E599" s="6"/>
      <c r="F599" s="1"/>
      <c r="G599" s="6"/>
      <c r="H599" s="6"/>
      <c r="I599" s="6"/>
      <c r="J599" s="6"/>
      <c r="K599" s="6"/>
      <c r="L599" s="6"/>
      <c r="M599" s="6"/>
      <c r="N599" s="6"/>
      <c r="O599" s="7"/>
      <c r="P599" s="6"/>
      <c r="Q599" s="6"/>
      <c r="R599" s="7"/>
      <c r="S599" s="6"/>
      <c r="T599" s="6"/>
      <c r="U599" s="7"/>
      <c r="V599" s="6"/>
      <c r="W599" s="6"/>
      <c r="X599" s="12"/>
      <c r="Y599" s="6"/>
      <c r="Z599" s="6"/>
      <c r="AA599" s="7"/>
      <c r="AB599" s="6"/>
      <c r="AC599" s="6"/>
      <c r="AD599" s="6"/>
      <c r="AE599" s="12"/>
      <c r="AF599" s="12"/>
      <c r="AG599" s="12"/>
      <c r="AH599" s="12"/>
      <c r="AI599" s="6"/>
      <c r="AJ599" s="12"/>
      <c r="AK599" s="1"/>
      <c r="AL599" s="12"/>
      <c r="AM599" s="12"/>
      <c r="AN599" s="1"/>
      <c r="AO599" s="6"/>
    </row>
    <row r="600" spans="1:41" ht="15" x14ac:dyDescent="0.25">
      <c r="A600" s="1"/>
      <c r="B600" s="1"/>
      <c r="C600" s="1"/>
      <c r="D600" s="1"/>
      <c r="E600" s="6"/>
      <c r="F600" s="1"/>
      <c r="G600" s="6"/>
      <c r="H600" s="6"/>
      <c r="I600" s="6"/>
      <c r="J600" s="6"/>
      <c r="K600" s="6"/>
      <c r="L600" s="6"/>
      <c r="M600" s="6"/>
      <c r="N600" s="6"/>
      <c r="O600" s="7"/>
      <c r="P600" s="6"/>
      <c r="Q600" s="6"/>
      <c r="R600" s="7"/>
      <c r="S600" s="6"/>
      <c r="T600" s="6"/>
      <c r="U600" s="7"/>
      <c r="V600" s="6"/>
      <c r="W600" s="6"/>
      <c r="X600" s="6"/>
      <c r="Y600" s="6"/>
      <c r="Z600" s="6"/>
      <c r="AA600" s="7"/>
      <c r="AB600" s="6"/>
      <c r="AC600" s="6"/>
      <c r="AD600" s="6"/>
      <c r="AE600" s="12"/>
      <c r="AF600" s="6"/>
      <c r="AG600" s="12"/>
      <c r="AH600" s="6"/>
      <c r="AI600" s="6"/>
      <c r="AJ600" s="12"/>
      <c r="AK600" s="1"/>
      <c r="AL600" s="12"/>
      <c r="AM600" s="12"/>
      <c r="AN600" s="1"/>
      <c r="AO600" s="6"/>
    </row>
    <row r="601" spans="1:41" ht="15" x14ac:dyDescent="0.25">
      <c r="A601" s="1"/>
      <c r="B601" s="1"/>
      <c r="C601" s="1"/>
      <c r="D601" s="1"/>
      <c r="E601" s="6"/>
      <c r="F601" s="1"/>
      <c r="G601" s="6"/>
      <c r="H601" s="6"/>
      <c r="I601" s="6"/>
      <c r="J601" s="6"/>
      <c r="K601" s="6"/>
      <c r="L601" s="6"/>
      <c r="M601" s="6"/>
      <c r="N601" s="6"/>
      <c r="O601" s="7"/>
      <c r="P601" s="12"/>
      <c r="Q601" s="6"/>
      <c r="R601" s="7"/>
      <c r="S601" s="6"/>
      <c r="T601" s="6"/>
      <c r="U601" s="7"/>
      <c r="V601" s="6"/>
      <c r="W601" s="6"/>
      <c r="X601" s="6"/>
      <c r="Y601" s="6"/>
      <c r="Z601" s="6"/>
      <c r="AA601" s="7"/>
      <c r="AB601" s="6"/>
      <c r="AC601" s="6"/>
      <c r="AD601" s="6"/>
      <c r="AE601" s="12"/>
      <c r="AF601" s="12"/>
      <c r="AG601" s="12"/>
      <c r="AH601" s="12"/>
      <c r="AI601" s="6"/>
      <c r="AJ601" s="12"/>
      <c r="AK601" s="1"/>
      <c r="AL601" s="12"/>
      <c r="AM601" s="12"/>
      <c r="AN601" s="1"/>
      <c r="AO601" s="6"/>
    </row>
    <row r="602" spans="1:41" ht="15" x14ac:dyDescent="0.25">
      <c r="A602" s="1"/>
      <c r="B602" s="1"/>
      <c r="C602" s="1"/>
      <c r="D602" s="1"/>
      <c r="E602" s="6"/>
      <c r="F602" s="1"/>
      <c r="G602" s="6"/>
      <c r="H602" s="6"/>
      <c r="I602" s="6"/>
      <c r="J602" s="6"/>
      <c r="K602" s="6"/>
      <c r="L602" s="6"/>
      <c r="M602" s="6"/>
      <c r="N602" s="6"/>
      <c r="O602" s="7"/>
      <c r="P602" s="12"/>
      <c r="Q602" s="6"/>
      <c r="R602" s="7"/>
      <c r="S602" s="6"/>
      <c r="T602" s="6"/>
      <c r="U602" s="7"/>
      <c r="V602" s="6"/>
      <c r="W602" s="6"/>
      <c r="X602" s="6"/>
      <c r="Y602" s="6"/>
      <c r="Z602" s="6"/>
      <c r="AA602" s="7"/>
      <c r="AB602" s="6"/>
      <c r="AC602" s="6"/>
      <c r="AD602" s="6"/>
      <c r="AE602" s="12"/>
      <c r="AF602" s="6"/>
      <c r="AG602" s="12"/>
      <c r="AH602" s="6"/>
      <c r="AI602" s="6"/>
      <c r="AJ602" s="12"/>
      <c r="AK602" s="1"/>
      <c r="AL602" s="12"/>
      <c r="AM602" s="12"/>
      <c r="AN602" s="1"/>
      <c r="AO602" s="6"/>
    </row>
    <row r="603" spans="1:41" ht="15" x14ac:dyDescent="0.25">
      <c r="A603" s="1"/>
      <c r="B603" s="1"/>
      <c r="C603" s="1"/>
      <c r="D603" s="1"/>
      <c r="E603" s="6"/>
      <c r="F603" s="1"/>
      <c r="G603" s="6"/>
      <c r="H603" s="6"/>
      <c r="I603" s="6"/>
      <c r="J603" s="6"/>
      <c r="K603" s="12"/>
      <c r="L603" s="12"/>
      <c r="M603" s="6"/>
      <c r="N603" s="6"/>
      <c r="O603" s="7"/>
      <c r="P603" s="12"/>
      <c r="Q603" s="6"/>
      <c r="R603" s="7"/>
      <c r="S603" s="6"/>
      <c r="T603" s="6"/>
      <c r="U603" s="7"/>
      <c r="V603" s="6"/>
      <c r="W603" s="6"/>
      <c r="X603" s="6"/>
      <c r="Y603" s="6"/>
      <c r="Z603" s="6"/>
      <c r="AA603" s="7"/>
      <c r="AB603" s="6"/>
      <c r="AC603" s="6"/>
      <c r="AD603" s="6"/>
      <c r="AE603" s="12"/>
      <c r="AF603" s="12"/>
      <c r="AG603" s="12"/>
      <c r="AH603" s="12"/>
      <c r="AI603" s="6"/>
      <c r="AJ603" s="12"/>
      <c r="AK603" s="24"/>
      <c r="AL603" s="25"/>
      <c r="AM603" s="12"/>
      <c r="AN603" s="1"/>
      <c r="AO603" s="12"/>
    </row>
    <row r="604" spans="1:41" ht="15" x14ac:dyDescent="0.25">
      <c r="A604" s="1"/>
      <c r="B604" s="1"/>
      <c r="C604" s="1"/>
      <c r="D604" s="1"/>
      <c r="E604" s="6"/>
      <c r="F604" s="1"/>
      <c r="G604" s="6"/>
      <c r="H604" s="6"/>
      <c r="I604" s="6"/>
      <c r="J604" s="6"/>
      <c r="K604" s="6"/>
      <c r="L604" s="6"/>
      <c r="M604" s="6"/>
      <c r="N604" s="6"/>
      <c r="O604" s="7"/>
      <c r="P604" s="12"/>
      <c r="Q604" s="6"/>
      <c r="R604" s="7"/>
      <c r="S604" s="6"/>
      <c r="T604" s="6"/>
      <c r="U604" s="7"/>
      <c r="V604" s="6"/>
      <c r="W604" s="6"/>
      <c r="X604" s="6"/>
      <c r="Y604" s="6"/>
      <c r="Z604" s="6"/>
      <c r="AA604" s="7"/>
      <c r="AB604" s="6"/>
      <c r="AC604" s="6"/>
      <c r="AD604" s="6"/>
      <c r="AE604" s="12"/>
      <c r="AF604" s="6"/>
      <c r="AG604" s="12"/>
      <c r="AH604" s="6"/>
      <c r="AI604" s="6"/>
      <c r="AJ604" s="12"/>
      <c r="AK604" s="1"/>
      <c r="AL604" s="12"/>
      <c r="AM604" s="12"/>
      <c r="AN604" s="1"/>
      <c r="AO604" s="6"/>
    </row>
    <row r="605" spans="1:41" ht="15" x14ac:dyDescent="0.25">
      <c r="A605" s="1"/>
      <c r="B605" s="1"/>
      <c r="C605" s="1"/>
      <c r="D605" s="1"/>
      <c r="E605" s="6"/>
      <c r="F605" s="1"/>
      <c r="G605" s="6"/>
      <c r="H605" s="6"/>
      <c r="I605" s="6"/>
      <c r="J605" s="6"/>
      <c r="K605" s="6"/>
      <c r="L605" s="6"/>
      <c r="M605" s="6"/>
      <c r="N605" s="6"/>
      <c r="O605" s="7"/>
      <c r="P605" s="6"/>
      <c r="Q605" s="6"/>
      <c r="R605" s="7"/>
      <c r="S605" s="6"/>
      <c r="T605" s="6"/>
      <c r="U605" s="7"/>
      <c r="V605" s="6"/>
      <c r="W605" s="6"/>
      <c r="X605" s="6"/>
      <c r="Y605" s="6"/>
      <c r="Z605" s="6"/>
      <c r="AA605" s="7"/>
      <c r="AB605" s="6"/>
      <c r="AC605" s="6"/>
      <c r="AD605" s="6"/>
      <c r="AE605" s="12"/>
      <c r="AF605" s="6"/>
      <c r="AG605" s="12"/>
      <c r="AH605" s="6"/>
      <c r="AI605" s="6"/>
      <c r="AJ605" s="12"/>
      <c r="AK605" s="1"/>
      <c r="AL605" s="12"/>
      <c r="AM605" s="12"/>
      <c r="AN605" s="1"/>
      <c r="AO605" s="6"/>
    </row>
    <row r="606" spans="1:41" ht="15" x14ac:dyDescent="0.25">
      <c r="A606" s="1"/>
      <c r="B606" s="1"/>
      <c r="C606" s="1"/>
      <c r="D606" s="1"/>
      <c r="E606" s="6"/>
      <c r="F606" s="1"/>
      <c r="G606" s="6"/>
      <c r="H606" s="6"/>
      <c r="I606" s="6"/>
      <c r="J606" s="6"/>
      <c r="K606" s="6"/>
      <c r="L606" s="6"/>
      <c r="M606" s="6"/>
      <c r="N606" s="6"/>
      <c r="O606" s="7"/>
      <c r="P606" s="6"/>
      <c r="Q606" s="6"/>
      <c r="R606" s="15"/>
      <c r="S606" s="6"/>
      <c r="T606" s="6"/>
      <c r="U606" s="7"/>
      <c r="V606" s="6"/>
      <c r="W606" s="6"/>
      <c r="X606" s="6"/>
      <c r="Y606" s="6"/>
      <c r="Z606" s="6"/>
      <c r="AA606" s="7"/>
      <c r="AB606" s="6"/>
      <c r="AC606" s="6"/>
      <c r="AD606" s="6"/>
      <c r="AE606" s="12"/>
      <c r="AF606" s="12"/>
      <c r="AG606" s="12"/>
      <c r="AH606" s="12"/>
      <c r="AI606" s="6"/>
      <c r="AJ606" s="12"/>
      <c r="AK606" s="1"/>
      <c r="AL606" s="12"/>
      <c r="AM606" s="12"/>
      <c r="AN606" s="1"/>
      <c r="AO606" s="6"/>
    </row>
    <row r="607" spans="1:41" ht="15" x14ac:dyDescent="0.25">
      <c r="A607" s="1"/>
      <c r="B607" s="1"/>
      <c r="C607" s="1"/>
      <c r="D607" s="1"/>
      <c r="E607" s="6"/>
      <c r="F607" s="1"/>
      <c r="G607" s="6"/>
      <c r="H607" s="6"/>
      <c r="I607" s="6"/>
      <c r="J607" s="6"/>
      <c r="K607" s="6"/>
      <c r="L607" s="6"/>
      <c r="M607" s="6"/>
      <c r="N607" s="6"/>
      <c r="O607" s="7"/>
      <c r="P607" s="6"/>
      <c r="Q607" s="7"/>
      <c r="R607" s="6"/>
      <c r="S607" s="6"/>
      <c r="T607" s="6"/>
      <c r="U607" s="6"/>
      <c r="V607" s="7"/>
      <c r="W607" s="6"/>
      <c r="X607" s="6"/>
      <c r="Y607" s="6"/>
      <c r="Z607" s="6"/>
      <c r="AA607" s="24"/>
      <c r="AB607" s="25"/>
      <c r="AC607" s="12"/>
      <c r="AD607" s="12"/>
      <c r="AE607" s="12"/>
      <c r="AF607" s="6"/>
      <c r="AG607" s="12"/>
      <c r="AH607" s="6"/>
      <c r="AI607" s="6"/>
      <c r="AJ607" s="12"/>
      <c r="AK607" s="12"/>
      <c r="AL607" s="12"/>
      <c r="AM607" s="12"/>
      <c r="AN607" s="1"/>
      <c r="AO607" s="6"/>
    </row>
    <row r="608" spans="1:41" ht="15" x14ac:dyDescent="0.25">
      <c r="A608" s="1"/>
      <c r="B608" s="1"/>
      <c r="C608" s="1"/>
      <c r="D608" s="1"/>
      <c r="E608" s="6"/>
      <c r="F608" s="1"/>
      <c r="G608" s="6"/>
      <c r="H608" s="6"/>
      <c r="I608" s="6"/>
      <c r="J608" s="6"/>
      <c r="K608" s="6"/>
      <c r="L608" s="6"/>
      <c r="M608" s="6"/>
      <c r="N608" s="6"/>
      <c r="O608" s="7"/>
      <c r="P608" s="6"/>
      <c r="Q608" s="6"/>
      <c r="R608" s="7"/>
      <c r="S608" s="6"/>
      <c r="T608" s="6"/>
      <c r="U608" s="7"/>
      <c r="V608" s="6"/>
      <c r="W608" s="6"/>
      <c r="X608" s="6"/>
      <c r="Y608" s="6"/>
      <c r="Z608" s="6"/>
      <c r="AA608" s="7"/>
      <c r="AB608" s="6"/>
      <c r="AC608" s="6"/>
      <c r="AD608" s="6"/>
      <c r="AE608" s="12"/>
      <c r="AF608" s="6"/>
      <c r="AG608" s="12"/>
      <c r="AH608" s="6"/>
      <c r="AI608" s="6"/>
      <c r="AJ608" s="12"/>
      <c r="AK608" s="24"/>
      <c r="AL608" s="25"/>
      <c r="AM608" s="12"/>
      <c r="AN608" s="1"/>
      <c r="AO608" s="6"/>
    </row>
    <row r="609" spans="1:41" ht="15" x14ac:dyDescent="0.25">
      <c r="A609" s="1"/>
      <c r="B609" s="1"/>
      <c r="C609" s="1"/>
      <c r="D609" s="1"/>
      <c r="E609" s="6"/>
      <c r="F609" s="1"/>
      <c r="G609" s="6"/>
      <c r="H609" s="6"/>
      <c r="I609" s="6"/>
      <c r="J609" s="6"/>
      <c r="K609" s="12"/>
      <c r="L609" s="12"/>
      <c r="M609" s="6"/>
      <c r="N609" s="6"/>
      <c r="O609" s="7"/>
      <c r="P609" s="6"/>
      <c r="Q609" s="6"/>
      <c r="R609" s="7"/>
      <c r="S609" s="6"/>
      <c r="T609" s="6"/>
      <c r="U609" s="7"/>
      <c r="V609" s="6"/>
      <c r="W609" s="6"/>
      <c r="X609" s="6"/>
      <c r="Y609" s="6"/>
      <c r="Z609" s="6"/>
      <c r="AA609" s="7"/>
      <c r="AB609" s="6"/>
      <c r="AC609" s="6"/>
      <c r="AD609" s="6"/>
      <c r="AE609" s="12"/>
      <c r="AF609" s="12"/>
      <c r="AG609" s="12"/>
      <c r="AH609" s="12"/>
      <c r="AI609" s="6"/>
      <c r="AJ609" s="12"/>
      <c r="AK609" s="1"/>
      <c r="AL609" s="12"/>
      <c r="AM609" s="12"/>
      <c r="AN609" s="1"/>
      <c r="AO609" s="12"/>
    </row>
    <row r="610" spans="1:41" ht="15" x14ac:dyDescent="0.25">
      <c r="A610" s="1"/>
      <c r="B610" s="1"/>
      <c r="C610" s="1"/>
      <c r="D610" s="1"/>
      <c r="E610" s="6"/>
      <c r="F610" s="1"/>
      <c r="G610" s="6"/>
      <c r="H610" s="6"/>
      <c r="I610" s="6"/>
      <c r="J610" s="6"/>
      <c r="K610" s="6"/>
      <c r="L610" s="6"/>
      <c r="M610" s="6"/>
      <c r="N610" s="6"/>
      <c r="O610" s="7"/>
      <c r="P610" s="6"/>
      <c r="Q610" s="6"/>
      <c r="R610" s="7"/>
      <c r="S610" s="6"/>
      <c r="T610" s="6"/>
      <c r="U610" s="7"/>
      <c r="V610" s="6"/>
      <c r="W610" s="6"/>
      <c r="X610" s="6"/>
      <c r="Y610" s="6"/>
      <c r="Z610" s="6"/>
      <c r="AA610" s="7"/>
      <c r="AB610" s="6"/>
      <c r="AC610" s="6"/>
      <c r="AD610" s="6"/>
      <c r="AE610" s="12"/>
      <c r="AF610" s="12"/>
      <c r="AG610" s="12"/>
      <c r="AH610" s="12"/>
      <c r="AI610" s="6"/>
      <c r="AJ610" s="12"/>
      <c r="AK610" s="1"/>
      <c r="AL610" s="12"/>
      <c r="AM610" s="12"/>
      <c r="AN610" s="1"/>
      <c r="AO610" s="6"/>
    </row>
    <row r="611" spans="1:41" ht="15" x14ac:dyDescent="0.25">
      <c r="A611" s="1"/>
      <c r="B611" s="1"/>
      <c r="C611" s="1"/>
      <c r="D611" s="1"/>
      <c r="E611" s="6"/>
      <c r="F611" s="1"/>
      <c r="G611" s="6"/>
      <c r="H611" s="6"/>
      <c r="I611" s="6"/>
      <c r="J611" s="6"/>
      <c r="K611" s="6"/>
      <c r="L611" s="6"/>
      <c r="M611" s="6"/>
      <c r="N611" s="6"/>
      <c r="O611" s="7"/>
      <c r="P611" s="12"/>
      <c r="Q611" s="6"/>
      <c r="R611" s="7"/>
      <c r="S611" s="6"/>
      <c r="T611" s="6"/>
      <c r="U611" s="7"/>
      <c r="V611" s="6"/>
      <c r="W611" s="6"/>
      <c r="X611" s="12"/>
      <c r="Y611" s="6"/>
      <c r="Z611" s="6"/>
      <c r="AA611" s="7"/>
      <c r="AB611" s="6"/>
      <c r="AC611" s="6"/>
      <c r="AD611" s="6"/>
      <c r="AE611" s="12"/>
      <c r="AF611" s="6"/>
      <c r="AG611" s="12"/>
      <c r="AH611" s="6"/>
      <c r="AI611" s="6"/>
      <c r="AJ611" s="12"/>
      <c r="AK611" s="1"/>
      <c r="AL611" s="12"/>
      <c r="AM611" s="12"/>
      <c r="AN611" s="1"/>
      <c r="AO611" s="6"/>
    </row>
    <row r="612" spans="1:41" ht="15" x14ac:dyDescent="0.25">
      <c r="A612" s="1"/>
      <c r="B612" s="1"/>
      <c r="C612" s="1"/>
      <c r="D612" s="1"/>
      <c r="E612" s="6"/>
      <c r="F612" s="1"/>
      <c r="G612" s="6"/>
      <c r="H612" s="6"/>
      <c r="I612" s="6"/>
      <c r="J612" s="6"/>
      <c r="K612" s="6"/>
      <c r="L612" s="6"/>
      <c r="M612" s="6"/>
      <c r="N612" s="6"/>
      <c r="O612" s="7"/>
      <c r="P612" s="6"/>
      <c r="Q612" s="6"/>
      <c r="R612" s="7"/>
      <c r="S612" s="6"/>
      <c r="T612" s="6"/>
      <c r="U612" s="7"/>
      <c r="V612" s="6"/>
      <c r="W612" s="6"/>
      <c r="X612" s="6"/>
      <c r="Y612" s="6"/>
      <c r="Z612" s="6"/>
      <c r="AA612" s="7"/>
      <c r="AB612" s="6"/>
      <c r="AC612" s="6"/>
      <c r="AD612" s="6"/>
      <c r="AE612" s="12"/>
      <c r="AF612" s="6"/>
      <c r="AG612" s="12"/>
      <c r="AH612" s="6"/>
      <c r="AI612" s="6"/>
      <c r="AJ612" s="12"/>
      <c r="AK612" s="1"/>
      <c r="AL612" s="12"/>
      <c r="AM612" s="12"/>
      <c r="AN612" s="1"/>
      <c r="AO612" s="6"/>
    </row>
    <row r="613" spans="1:41" ht="15" x14ac:dyDescent="0.25">
      <c r="A613" s="1"/>
      <c r="B613" s="1"/>
      <c r="C613" s="1"/>
      <c r="D613" s="1"/>
      <c r="E613" s="6"/>
      <c r="F613" s="1"/>
      <c r="G613" s="6"/>
      <c r="H613" s="6"/>
      <c r="I613" s="6"/>
      <c r="J613" s="6"/>
      <c r="K613" s="6"/>
      <c r="L613" s="6"/>
      <c r="M613" s="6"/>
      <c r="N613" s="6"/>
      <c r="O613" s="7"/>
      <c r="P613" s="6"/>
      <c r="Q613" s="7"/>
      <c r="R613" s="6"/>
      <c r="S613" s="6"/>
      <c r="T613" s="6"/>
      <c r="U613" s="6"/>
      <c r="V613" s="7"/>
      <c r="W613" s="7"/>
      <c r="X613" s="6"/>
      <c r="Y613" s="6"/>
      <c r="Z613" s="6"/>
      <c r="AA613" s="24"/>
      <c r="AB613" s="25"/>
      <c r="AC613" s="12"/>
      <c r="AD613" s="12"/>
      <c r="AE613" s="12"/>
      <c r="AF613" s="6"/>
      <c r="AG613" s="12"/>
      <c r="AH613" s="6"/>
      <c r="AI613" s="6"/>
      <c r="AJ613" s="12"/>
      <c r="AK613" s="12"/>
      <c r="AL613" s="12"/>
      <c r="AM613" s="12"/>
      <c r="AN613" s="1"/>
      <c r="AO613" s="6"/>
    </row>
    <row r="614" spans="1:41" ht="15" x14ac:dyDescent="0.25">
      <c r="A614" s="1"/>
      <c r="B614" s="1"/>
      <c r="C614" s="1"/>
      <c r="D614" s="1"/>
      <c r="E614" s="6"/>
      <c r="F614" s="1"/>
      <c r="G614" s="6"/>
      <c r="H614" s="6"/>
      <c r="I614" s="6"/>
      <c r="J614" s="6"/>
      <c r="K614" s="6"/>
      <c r="L614" s="6"/>
      <c r="M614" s="6"/>
      <c r="N614" s="6"/>
      <c r="O614" s="7"/>
      <c r="P614" s="6"/>
      <c r="Q614" s="6"/>
      <c r="R614" s="7"/>
      <c r="S614" s="6"/>
      <c r="T614" s="6"/>
      <c r="U614" s="7"/>
      <c r="V614" s="6"/>
      <c r="W614" s="6"/>
      <c r="X614" s="6"/>
      <c r="Y614" s="6"/>
      <c r="Z614" s="6"/>
      <c r="AA614" s="7"/>
      <c r="AB614" s="6"/>
      <c r="AC614" s="6"/>
      <c r="AD614" s="6"/>
      <c r="AE614" s="12"/>
      <c r="AF614" s="12"/>
      <c r="AG614" s="12"/>
      <c r="AH614" s="12"/>
      <c r="AI614" s="6"/>
      <c r="AJ614" s="12"/>
      <c r="AK614" s="1"/>
      <c r="AL614" s="12"/>
      <c r="AM614" s="12"/>
      <c r="AN614" s="1"/>
      <c r="AO614" s="6"/>
    </row>
    <row r="615" spans="1:41" ht="15" x14ac:dyDescent="0.25">
      <c r="A615" s="1"/>
      <c r="B615" s="1"/>
      <c r="C615" s="1"/>
      <c r="D615" s="1"/>
      <c r="E615" s="6"/>
      <c r="F615" s="1"/>
      <c r="G615" s="6"/>
      <c r="H615" s="6"/>
      <c r="I615" s="6"/>
      <c r="J615" s="6"/>
      <c r="K615" s="6"/>
      <c r="L615" s="6"/>
      <c r="M615" s="6"/>
      <c r="N615" s="6"/>
      <c r="O615" s="7"/>
      <c r="P615" s="6"/>
      <c r="Q615" s="6"/>
      <c r="R615" s="7"/>
      <c r="S615" s="6"/>
      <c r="T615" s="6"/>
      <c r="U615" s="7"/>
      <c r="V615" s="6"/>
      <c r="W615" s="6"/>
      <c r="X615" s="12"/>
      <c r="Y615" s="6"/>
      <c r="Z615" s="6"/>
      <c r="AA615" s="7"/>
      <c r="AB615" s="6"/>
      <c r="AC615" s="6"/>
      <c r="AD615" s="6"/>
      <c r="AE615" s="12"/>
      <c r="AF615" s="12"/>
      <c r="AG615" s="12"/>
      <c r="AH615" s="12"/>
      <c r="AI615" s="6"/>
      <c r="AJ615" s="12"/>
      <c r="AK615" s="1"/>
      <c r="AL615" s="12"/>
      <c r="AM615" s="12"/>
      <c r="AN615" s="1"/>
      <c r="AO615" s="6"/>
    </row>
    <row r="616" spans="1:41" ht="15" x14ac:dyDescent="0.25">
      <c r="A616" s="1"/>
      <c r="B616" s="1"/>
      <c r="C616" s="1"/>
      <c r="D616" s="1"/>
      <c r="E616" s="6"/>
      <c r="F616" s="1"/>
      <c r="G616" s="6"/>
      <c r="H616" s="6"/>
      <c r="I616" s="6"/>
      <c r="J616" s="6"/>
      <c r="K616" s="6"/>
      <c r="L616" s="6"/>
      <c r="M616" s="6"/>
      <c r="N616" s="6"/>
      <c r="O616" s="7"/>
      <c r="P616" s="6"/>
      <c r="Q616" s="6"/>
      <c r="R616" s="7"/>
      <c r="S616" s="6"/>
      <c r="T616" s="6"/>
      <c r="U616" s="7"/>
      <c r="V616" s="6"/>
      <c r="W616" s="6"/>
      <c r="X616" s="6"/>
      <c r="Y616" s="6"/>
      <c r="Z616" s="6"/>
      <c r="AA616" s="7"/>
      <c r="AB616" s="6"/>
      <c r="AC616" s="6"/>
      <c r="AD616" s="6"/>
      <c r="AE616" s="12"/>
      <c r="AF616" s="6"/>
      <c r="AG616" s="12"/>
      <c r="AH616" s="6"/>
      <c r="AI616" s="6"/>
      <c r="AJ616" s="12"/>
      <c r="AK616" s="24"/>
      <c r="AL616" s="25"/>
      <c r="AM616" s="12"/>
      <c r="AN616" s="1"/>
      <c r="AO616" s="6"/>
    </row>
    <row r="617" spans="1:41" ht="15" x14ac:dyDescent="0.25">
      <c r="A617" s="1"/>
      <c r="B617" s="1"/>
      <c r="C617" s="1"/>
      <c r="D617" s="1"/>
      <c r="E617" s="6"/>
      <c r="F617" s="1"/>
      <c r="G617" s="6"/>
      <c r="H617" s="6"/>
      <c r="I617" s="6"/>
      <c r="J617" s="6"/>
      <c r="K617" s="6"/>
      <c r="L617" s="6"/>
      <c r="M617" s="6"/>
      <c r="N617" s="6"/>
      <c r="O617" s="7"/>
      <c r="P617" s="6"/>
      <c r="Q617" s="6"/>
      <c r="R617" s="7"/>
      <c r="S617" s="6"/>
      <c r="T617" s="6"/>
      <c r="U617" s="7"/>
      <c r="V617" s="6"/>
      <c r="W617" s="6"/>
      <c r="X617" s="6"/>
      <c r="Y617" s="6"/>
      <c r="Z617" s="6"/>
      <c r="AA617" s="7"/>
      <c r="AB617" s="6"/>
      <c r="AC617" s="6"/>
      <c r="AD617" s="6"/>
      <c r="AE617" s="12"/>
      <c r="AF617" s="6"/>
      <c r="AG617" s="12"/>
      <c r="AH617" s="6"/>
      <c r="AI617" s="6"/>
      <c r="AJ617" s="12"/>
      <c r="AK617" s="24"/>
      <c r="AL617" s="25"/>
      <c r="AM617" s="12"/>
      <c r="AN617" s="1"/>
      <c r="AO617" s="6"/>
    </row>
    <row r="618" spans="1:41" ht="15" x14ac:dyDescent="0.25">
      <c r="A618" s="1"/>
      <c r="B618" s="1"/>
      <c r="C618" s="1"/>
      <c r="D618" s="1"/>
      <c r="E618" s="6"/>
      <c r="F618" s="1"/>
      <c r="G618" s="6"/>
      <c r="H618" s="6"/>
      <c r="I618" s="6"/>
      <c r="J618" s="6"/>
      <c r="K618" s="6"/>
      <c r="L618" s="6"/>
      <c r="M618" s="6"/>
      <c r="N618" s="6"/>
      <c r="O618" s="7"/>
      <c r="P618" s="12"/>
      <c r="Q618" s="6"/>
      <c r="R618" s="7"/>
      <c r="S618" s="6"/>
      <c r="T618" s="6"/>
      <c r="U618" s="7"/>
      <c r="V618" s="6"/>
      <c r="W618" s="6"/>
      <c r="X618" s="12"/>
      <c r="Y618" s="6"/>
      <c r="Z618" s="6"/>
      <c r="AA618" s="7"/>
      <c r="AB618" s="6"/>
      <c r="AC618" s="6"/>
      <c r="AD618" s="6"/>
      <c r="AE618" s="12"/>
      <c r="AF618" s="6"/>
      <c r="AG618" s="12"/>
      <c r="AH618" s="6"/>
      <c r="AI618" s="6"/>
      <c r="AJ618" s="12"/>
      <c r="AK618" s="1"/>
      <c r="AL618" s="12"/>
      <c r="AM618" s="12"/>
      <c r="AN618" s="1"/>
      <c r="AO618" s="6"/>
    </row>
    <row r="619" spans="1:41" ht="15" x14ac:dyDescent="0.25">
      <c r="A619" s="1"/>
      <c r="B619" s="1"/>
      <c r="C619" s="1"/>
      <c r="D619" s="1"/>
      <c r="E619" s="6"/>
      <c r="F619" s="1"/>
      <c r="G619" s="6"/>
      <c r="H619" s="6"/>
      <c r="I619" s="6"/>
      <c r="J619" s="6"/>
      <c r="K619" s="6"/>
      <c r="L619" s="6"/>
      <c r="M619" s="6"/>
      <c r="N619" s="6"/>
      <c r="O619" s="7"/>
      <c r="P619" s="12"/>
      <c r="Q619" s="6"/>
      <c r="R619" s="7"/>
      <c r="S619" s="6"/>
      <c r="T619" s="6"/>
      <c r="U619" s="7"/>
      <c r="V619" s="6"/>
      <c r="W619" s="6"/>
      <c r="X619" s="12"/>
      <c r="Y619" s="6"/>
      <c r="Z619" s="6"/>
      <c r="AA619" s="7"/>
      <c r="AB619" s="6"/>
      <c r="AC619" s="6"/>
      <c r="AD619" s="6"/>
      <c r="AE619" s="12"/>
      <c r="AF619" s="12"/>
      <c r="AG619" s="12"/>
      <c r="AH619" s="12"/>
      <c r="AI619" s="6"/>
      <c r="AJ619" s="12"/>
      <c r="AK619" s="24"/>
      <c r="AL619" s="25"/>
      <c r="AM619" s="12"/>
      <c r="AN619" s="1"/>
      <c r="AO619" s="6"/>
    </row>
    <row r="620" spans="1:41" ht="15" x14ac:dyDescent="0.25">
      <c r="A620" s="1"/>
      <c r="B620" s="1"/>
      <c r="C620" s="1"/>
      <c r="D620" s="1"/>
      <c r="E620" s="6"/>
      <c r="F620" s="1"/>
      <c r="G620" s="6"/>
      <c r="H620" s="6"/>
      <c r="I620" s="6"/>
      <c r="J620" s="6"/>
      <c r="K620" s="6"/>
      <c r="L620" s="6"/>
      <c r="M620" s="6"/>
      <c r="N620" s="6"/>
      <c r="O620" s="7"/>
      <c r="P620" s="6"/>
      <c r="Q620" s="6"/>
      <c r="R620" s="7"/>
      <c r="S620" s="6"/>
      <c r="T620" s="6"/>
      <c r="U620" s="7"/>
      <c r="V620" s="6"/>
      <c r="W620" s="6"/>
      <c r="X620" s="6"/>
      <c r="Y620" s="6"/>
      <c r="Z620" s="6"/>
      <c r="AA620" s="7"/>
      <c r="AB620" s="6"/>
      <c r="AC620" s="6"/>
      <c r="AD620" s="6"/>
      <c r="AE620" s="12"/>
      <c r="AF620" s="6"/>
      <c r="AG620" s="12"/>
      <c r="AH620" s="6"/>
      <c r="AI620" s="6"/>
      <c r="AJ620" s="12"/>
      <c r="AK620" s="24"/>
      <c r="AL620" s="25"/>
      <c r="AM620" s="12"/>
      <c r="AN620" s="1"/>
      <c r="AO620" s="6"/>
    </row>
    <row r="621" spans="1:41" ht="15" x14ac:dyDescent="0.25">
      <c r="A621" s="1"/>
      <c r="B621" s="1"/>
      <c r="C621" s="1"/>
      <c r="D621" s="1"/>
      <c r="E621" s="6"/>
      <c r="F621" s="1"/>
      <c r="G621" s="6"/>
      <c r="H621" s="6"/>
      <c r="I621" s="6"/>
      <c r="J621" s="6"/>
      <c r="K621" s="6"/>
      <c r="L621" s="6"/>
      <c r="M621" s="6"/>
      <c r="N621" s="6"/>
      <c r="O621" s="7"/>
      <c r="P621" s="6"/>
      <c r="Q621" s="6"/>
      <c r="R621" s="7"/>
      <c r="S621" s="6"/>
      <c r="T621" s="6"/>
      <c r="U621" s="7"/>
      <c r="V621" s="6"/>
      <c r="W621" s="6"/>
      <c r="X621" s="6"/>
      <c r="Y621" s="6"/>
      <c r="Z621" s="6"/>
      <c r="AA621" s="7"/>
      <c r="AB621" s="6"/>
      <c r="AC621" s="6"/>
      <c r="AD621" s="6"/>
      <c r="AE621" s="12"/>
      <c r="AF621" s="6"/>
      <c r="AG621" s="12"/>
      <c r="AH621" s="6"/>
      <c r="AI621" s="6"/>
      <c r="AJ621" s="12"/>
      <c r="AK621" s="1"/>
      <c r="AL621" s="12"/>
      <c r="AM621" s="12"/>
      <c r="AN621" s="1"/>
      <c r="AO621" s="6"/>
    </row>
    <row r="622" spans="1:41" ht="15" x14ac:dyDescent="0.25">
      <c r="A622" s="1"/>
      <c r="B622" s="1"/>
      <c r="C622" s="1"/>
      <c r="D622" s="1"/>
      <c r="E622" s="6"/>
      <c r="F622" s="1"/>
      <c r="G622" s="6"/>
      <c r="H622" s="6"/>
      <c r="I622" s="6"/>
      <c r="J622" s="6"/>
      <c r="K622" s="6"/>
      <c r="L622" s="6"/>
      <c r="M622" s="6"/>
      <c r="N622" s="6"/>
      <c r="O622" s="7"/>
      <c r="P622" s="6"/>
      <c r="Q622" s="6"/>
      <c r="R622" s="12"/>
      <c r="S622" s="12"/>
      <c r="T622" s="12"/>
      <c r="U622" s="7"/>
      <c r="V622" s="6"/>
      <c r="W622" s="6"/>
      <c r="X622" s="12"/>
      <c r="Y622" s="6"/>
      <c r="Z622" s="6"/>
      <c r="AA622" s="7"/>
      <c r="AB622" s="6"/>
      <c r="AC622" s="6"/>
      <c r="AD622" s="6"/>
      <c r="AE622" s="12"/>
      <c r="AF622" s="12"/>
      <c r="AG622" s="12"/>
      <c r="AH622" s="12"/>
      <c r="AI622" s="6"/>
      <c r="AJ622" s="12"/>
      <c r="AK622" s="1"/>
      <c r="AL622" s="12"/>
      <c r="AM622" s="12"/>
      <c r="AN622" s="1"/>
      <c r="AO622" s="6"/>
    </row>
    <row r="623" spans="1:41" ht="15" x14ac:dyDescent="0.25">
      <c r="A623" s="1"/>
      <c r="B623" s="1"/>
      <c r="C623" s="1"/>
      <c r="D623" s="1"/>
      <c r="E623" s="6"/>
      <c r="F623" s="1"/>
      <c r="G623" s="6"/>
      <c r="H623" s="6"/>
      <c r="I623" s="6"/>
      <c r="J623" s="6"/>
      <c r="K623" s="6"/>
      <c r="L623" s="6"/>
      <c r="M623" s="6"/>
      <c r="N623" s="6"/>
      <c r="O623" s="7"/>
      <c r="P623" s="6"/>
      <c r="Q623" s="7"/>
      <c r="R623" s="6"/>
      <c r="S623" s="6"/>
      <c r="T623" s="6"/>
      <c r="U623" s="6"/>
      <c r="V623" s="7"/>
      <c r="W623" s="7"/>
      <c r="X623" s="6"/>
      <c r="Y623" s="6"/>
      <c r="Z623" s="6"/>
      <c r="AA623" s="1"/>
      <c r="AB623" s="12"/>
      <c r="AC623" s="12"/>
      <c r="AD623" s="12"/>
      <c r="AE623" s="12"/>
      <c r="AF623" s="12"/>
      <c r="AG623" s="12"/>
      <c r="AH623" s="12"/>
      <c r="AI623" s="6"/>
      <c r="AJ623" s="12"/>
      <c r="AK623" s="12"/>
      <c r="AL623" s="12"/>
      <c r="AM623" s="12"/>
      <c r="AN623" s="1"/>
      <c r="AO623" s="6"/>
    </row>
    <row r="624" spans="1:41" ht="15" x14ac:dyDescent="0.25">
      <c r="A624" s="1"/>
      <c r="B624" s="1"/>
      <c r="C624" s="1"/>
      <c r="D624" s="1"/>
      <c r="E624" s="6"/>
      <c r="F624" s="1"/>
      <c r="G624" s="6"/>
      <c r="H624" s="6"/>
      <c r="I624" s="6"/>
      <c r="J624" s="6"/>
      <c r="K624" s="6"/>
      <c r="L624" s="6"/>
      <c r="M624" s="6"/>
      <c r="N624" s="6"/>
      <c r="O624" s="7"/>
      <c r="P624" s="12"/>
      <c r="Q624" s="6"/>
      <c r="R624" s="7"/>
      <c r="S624" s="6"/>
      <c r="T624" s="6"/>
      <c r="U624" s="7"/>
      <c r="V624" s="6"/>
      <c r="W624" s="6"/>
      <c r="X624" s="6"/>
      <c r="Y624" s="6"/>
      <c r="Z624" s="6"/>
      <c r="AA624" s="7"/>
      <c r="AB624" s="6"/>
      <c r="AC624" s="6"/>
      <c r="AD624" s="6"/>
      <c r="AE624" s="12"/>
      <c r="AF624" s="12"/>
      <c r="AG624" s="12"/>
      <c r="AH624" s="12"/>
      <c r="AI624" s="6"/>
      <c r="AJ624" s="12"/>
      <c r="AK624" s="1"/>
      <c r="AL624" s="12"/>
      <c r="AM624" s="12"/>
      <c r="AN624" s="1"/>
      <c r="AO624" s="6"/>
    </row>
    <row r="625" spans="1:41" ht="15" x14ac:dyDescent="0.25">
      <c r="A625" s="1"/>
      <c r="B625" s="1"/>
      <c r="C625" s="1"/>
      <c r="D625" s="1"/>
      <c r="E625" s="6"/>
      <c r="F625" s="1"/>
      <c r="G625" s="6"/>
      <c r="H625" s="6"/>
      <c r="I625" s="6"/>
      <c r="J625" s="6"/>
      <c r="K625" s="6"/>
      <c r="L625" s="6"/>
      <c r="M625" s="6"/>
      <c r="N625" s="6"/>
      <c r="O625" s="7"/>
      <c r="P625" s="6"/>
      <c r="Q625" s="6"/>
      <c r="R625" s="7"/>
      <c r="S625" s="6"/>
      <c r="T625" s="6"/>
      <c r="U625" s="7"/>
      <c r="V625" s="6"/>
      <c r="W625" s="6"/>
      <c r="X625" s="6"/>
      <c r="Y625" s="6"/>
      <c r="Z625" s="6"/>
      <c r="AA625" s="7"/>
      <c r="AB625" s="6"/>
      <c r="AC625" s="6"/>
      <c r="AD625" s="6"/>
      <c r="AE625" s="12"/>
      <c r="AF625" s="6"/>
      <c r="AG625" s="12"/>
      <c r="AH625" s="6"/>
      <c r="AI625" s="6"/>
      <c r="AJ625" s="12"/>
      <c r="AK625" s="24"/>
      <c r="AL625" s="25"/>
      <c r="AM625" s="12"/>
      <c r="AN625" s="1"/>
      <c r="AO625" s="6"/>
    </row>
    <row r="626" spans="1:41" ht="15" x14ac:dyDescent="0.25">
      <c r="A626" s="1"/>
      <c r="B626" s="1"/>
      <c r="C626" s="1"/>
      <c r="D626" s="1"/>
      <c r="E626" s="6"/>
      <c r="F626" s="1"/>
      <c r="G626" s="6"/>
      <c r="H626" s="6"/>
      <c r="I626" s="6"/>
      <c r="J626" s="6"/>
      <c r="K626" s="6"/>
      <c r="L626" s="6"/>
      <c r="M626" s="6"/>
      <c r="N626" s="6"/>
      <c r="O626" s="7"/>
      <c r="P626" s="6"/>
      <c r="Q626" s="6"/>
      <c r="R626" s="7"/>
      <c r="S626" s="6"/>
      <c r="T626" s="6"/>
      <c r="U626" s="7"/>
      <c r="V626" s="6"/>
      <c r="W626" s="6"/>
      <c r="X626" s="12"/>
      <c r="Y626" s="6"/>
      <c r="Z626" s="6"/>
      <c r="AA626" s="7"/>
      <c r="AB626" s="6"/>
      <c r="AC626" s="6"/>
      <c r="AD626" s="6"/>
      <c r="AE626" s="12"/>
      <c r="AF626" s="6"/>
      <c r="AG626" s="12"/>
      <c r="AH626" s="6"/>
      <c r="AI626" s="6"/>
      <c r="AJ626" s="12"/>
      <c r="AK626" s="1"/>
      <c r="AL626" s="12"/>
      <c r="AM626" s="12"/>
      <c r="AN626" s="1"/>
      <c r="AO626" s="6"/>
    </row>
    <row r="627" spans="1:41" ht="15" x14ac:dyDescent="0.25">
      <c r="A627" s="1"/>
      <c r="B627" s="1"/>
      <c r="C627" s="1"/>
      <c r="D627" s="1"/>
      <c r="E627" s="6"/>
      <c r="F627" s="1"/>
      <c r="G627" s="6"/>
      <c r="H627" s="6"/>
      <c r="I627" s="6"/>
      <c r="J627" s="6"/>
      <c r="K627" s="12"/>
      <c r="L627" s="6"/>
      <c r="M627" s="6"/>
      <c r="N627" s="6"/>
      <c r="O627" s="7"/>
      <c r="P627" s="6"/>
      <c r="Q627" s="6"/>
      <c r="R627" s="7"/>
      <c r="S627" s="6"/>
      <c r="T627" s="6"/>
      <c r="U627" s="7"/>
      <c r="V627" s="6"/>
      <c r="W627" s="6"/>
      <c r="X627" s="6"/>
      <c r="Y627" s="6"/>
      <c r="Z627" s="6"/>
      <c r="AA627" s="7"/>
      <c r="AB627" s="6"/>
      <c r="AC627" s="6"/>
      <c r="AD627" s="6"/>
      <c r="AE627" s="12"/>
      <c r="AF627" s="6"/>
      <c r="AG627" s="12"/>
      <c r="AH627" s="6"/>
      <c r="AI627" s="6"/>
      <c r="AJ627" s="12"/>
      <c r="AK627" s="24"/>
      <c r="AL627" s="25"/>
      <c r="AM627" s="12"/>
      <c r="AN627" s="1"/>
      <c r="AO627" s="12"/>
    </row>
    <row r="628" spans="1:41" ht="15" x14ac:dyDescent="0.25">
      <c r="A628" s="1"/>
      <c r="B628" s="1"/>
      <c r="C628" s="1"/>
      <c r="D628" s="1"/>
      <c r="E628" s="6"/>
      <c r="F628" s="1"/>
      <c r="G628" s="6"/>
      <c r="H628" s="6"/>
      <c r="I628" s="6"/>
      <c r="J628" s="6"/>
      <c r="K628" s="6"/>
      <c r="L628" s="6"/>
      <c r="M628" s="6"/>
      <c r="N628" s="6"/>
      <c r="O628" s="7"/>
      <c r="P628" s="6"/>
      <c r="Q628" s="6"/>
      <c r="R628" s="7"/>
      <c r="S628" s="6"/>
      <c r="T628" s="6"/>
      <c r="U628" s="7"/>
      <c r="V628" s="6"/>
      <c r="W628" s="6"/>
      <c r="X628" s="6"/>
      <c r="Y628" s="6"/>
      <c r="Z628" s="6"/>
      <c r="AA628" s="7"/>
      <c r="AB628" s="6"/>
      <c r="AC628" s="6"/>
      <c r="AD628" s="6"/>
      <c r="AE628" s="12"/>
      <c r="AF628" s="6"/>
      <c r="AG628" s="12"/>
      <c r="AH628" s="6"/>
      <c r="AI628" s="6"/>
      <c r="AJ628" s="12"/>
      <c r="AK628" s="1"/>
      <c r="AL628" s="12"/>
      <c r="AM628" s="12"/>
      <c r="AN628" s="1"/>
      <c r="AO628" s="6"/>
    </row>
    <row r="629" spans="1:41" ht="15" x14ac:dyDescent="0.25">
      <c r="A629" s="1"/>
      <c r="B629" s="1"/>
      <c r="C629" s="1"/>
      <c r="D629" s="1"/>
      <c r="E629" s="6"/>
      <c r="F629" s="1"/>
      <c r="G629" s="6"/>
      <c r="H629" s="6"/>
      <c r="I629" s="6"/>
      <c r="J629" s="6"/>
      <c r="K629" s="12"/>
      <c r="L629" s="12"/>
      <c r="M629" s="6"/>
      <c r="N629" s="6"/>
      <c r="O629" s="7"/>
      <c r="P629" s="6"/>
      <c r="Q629" s="6"/>
      <c r="R629" s="7"/>
      <c r="S629" s="6"/>
      <c r="T629" s="6"/>
      <c r="U629" s="7"/>
      <c r="V629" s="6"/>
      <c r="W629" s="6"/>
      <c r="X629" s="12"/>
      <c r="Y629" s="6"/>
      <c r="Z629" s="6"/>
      <c r="AA629" s="7"/>
      <c r="AB629" s="6"/>
      <c r="AC629" s="6"/>
      <c r="AD629" s="6"/>
      <c r="AE629" s="12"/>
      <c r="AF629" s="12"/>
      <c r="AG629" s="12"/>
      <c r="AH629" s="12"/>
      <c r="AI629" s="6"/>
      <c r="AJ629" s="12"/>
      <c r="AK629" s="1"/>
      <c r="AL629" s="12"/>
      <c r="AM629" s="12"/>
      <c r="AN629" s="1"/>
      <c r="AO629" s="6"/>
    </row>
    <row r="630" spans="1:41" ht="15" x14ac:dyDescent="0.25">
      <c r="A630" s="1"/>
      <c r="B630" s="1"/>
      <c r="C630" s="1"/>
      <c r="D630" s="1"/>
      <c r="E630" s="6"/>
      <c r="F630" s="1"/>
      <c r="G630" s="6"/>
      <c r="H630" s="6"/>
      <c r="I630" s="6"/>
      <c r="J630" s="6"/>
      <c r="K630" s="6"/>
      <c r="L630" s="6"/>
      <c r="M630" s="6"/>
      <c r="N630" s="6"/>
      <c r="O630" s="7"/>
      <c r="P630" s="6"/>
      <c r="Q630" s="6"/>
      <c r="R630" s="7"/>
      <c r="S630" s="6"/>
      <c r="T630" s="6"/>
      <c r="U630" s="7"/>
      <c r="V630" s="6"/>
      <c r="W630" s="6"/>
      <c r="X630" s="12"/>
      <c r="Y630" s="6"/>
      <c r="Z630" s="6"/>
      <c r="AA630" s="7"/>
      <c r="AB630" s="6"/>
      <c r="AC630" s="6"/>
      <c r="AD630" s="6"/>
      <c r="AE630" s="12"/>
      <c r="AF630" s="6"/>
      <c r="AG630" s="12"/>
      <c r="AH630" s="6"/>
      <c r="AI630" s="6"/>
      <c r="AJ630" s="12"/>
      <c r="AK630" s="24"/>
      <c r="AL630" s="25"/>
      <c r="AM630" s="12"/>
      <c r="AN630" s="1"/>
      <c r="AO630" s="6"/>
    </row>
    <row r="631" spans="1:41" ht="15" x14ac:dyDescent="0.25">
      <c r="A631" s="1"/>
      <c r="B631" s="1"/>
      <c r="C631" s="1"/>
      <c r="D631" s="1"/>
      <c r="E631" s="6"/>
      <c r="F631" s="1"/>
      <c r="G631" s="6"/>
      <c r="H631" s="6"/>
      <c r="I631" s="6"/>
      <c r="J631" s="6"/>
      <c r="K631" s="6"/>
      <c r="L631" s="6"/>
      <c r="M631" s="6"/>
      <c r="N631" s="6"/>
      <c r="O631" s="7"/>
      <c r="P631" s="6"/>
      <c r="Q631" s="6"/>
      <c r="R631" s="7"/>
      <c r="S631" s="6"/>
      <c r="T631" s="6"/>
      <c r="U631" s="7"/>
      <c r="V631" s="6"/>
      <c r="W631" s="6"/>
      <c r="X631" s="12"/>
      <c r="Y631" s="6"/>
      <c r="Z631" s="6"/>
      <c r="AA631" s="7"/>
      <c r="AB631" s="6"/>
      <c r="AC631" s="6"/>
      <c r="AD631" s="6"/>
      <c r="AE631" s="12"/>
      <c r="AF631" s="12"/>
      <c r="AG631" s="12"/>
      <c r="AH631" s="12"/>
      <c r="AI631" s="6"/>
      <c r="AJ631" s="12"/>
      <c r="AK631" s="24"/>
      <c r="AL631" s="25"/>
      <c r="AM631" s="12"/>
      <c r="AN631" s="1"/>
      <c r="AO631" s="6"/>
    </row>
    <row r="632" spans="1:41" ht="15" x14ac:dyDescent="0.25">
      <c r="A632" s="1"/>
      <c r="B632" s="1"/>
      <c r="C632" s="1"/>
      <c r="D632" s="1"/>
      <c r="E632" s="6"/>
      <c r="F632" s="1"/>
      <c r="G632" s="6"/>
      <c r="H632" s="6"/>
      <c r="I632" s="6"/>
      <c r="J632" s="6"/>
      <c r="K632" s="6"/>
      <c r="L632" s="6"/>
      <c r="M632" s="6"/>
      <c r="N632" s="6"/>
      <c r="O632" s="7"/>
      <c r="P632" s="6"/>
      <c r="Q632" s="7"/>
      <c r="R632" s="6"/>
      <c r="S632" s="6"/>
      <c r="T632" s="6"/>
      <c r="U632" s="6"/>
      <c r="V632" s="7"/>
      <c r="W632" s="7"/>
      <c r="X632" s="6"/>
      <c r="Y632" s="6"/>
      <c r="Z632" s="6"/>
      <c r="AA632" s="1"/>
      <c r="AB632" s="12"/>
      <c r="AC632" s="12"/>
      <c r="AD632" s="12"/>
      <c r="AE632" s="12"/>
      <c r="AF632" s="12"/>
      <c r="AG632" s="12"/>
      <c r="AH632" s="12"/>
      <c r="AI632" s="6"/>
      <c r="AJ632" s="12"/>
      <c r="AK632" s="12"/>
      <c r="AL632" s="12"/>
      <c r="AM632" s="12"/>
      <c r="AN632" s="1"/>
      <c r="AO632" s="6"/>
    </row>
    <row r="633" spans="1:41" ht="15" x14ac:dyDescent="0.25">
      <c r="A633" s="1"/>
      <c r="B633" s="1"/>
      <c r="C633" s="1"/>
      <c r="D633" s="1"/>
      <c r="E633" s="6"/>
      <c r="F633" s="1"/>
      <c r="G633" s="6"/>
      <c r="H633" s="6"/>
      <c r="I633" s="6"/>
      <c r="J633" s="6"/>
      <c r="K633" s="6"/>
      <c r="L633" s="6"/>
      <c r="M633" s="6"/>
      <c r="N633" s="6"/>
      <c r="O633" s="7"/>
      <c r="P633" s="6"/>
      <c r="Q633" s="6"/>
      <c r="R633" s="7"/>
      <c r="S633" s="6"/>
      <c r="T633" s="6"/>
      <c r="U633" s="7"/>
      <c r="V633" s="6"/>
      <c r="W633" s="6"/>
      <c r="X633" s="6"/>
      <c r="Y633" s="6"/>
      <c r="Z633" s="6"/>
      <c r="AA633" s="7"/>
      <c r="AB633" s="6"/>
      <c r="AC633" s="6"/>
      <c r="AD633" s="6"/>
      <c r="AE633" s="12"/>
      <c r="AF633" s="6"/>
      <c r="AG633" s="12"/>
      <c r="AH633" s="6"/>
      <c r="AI633" s="6"/>
      <c r="AJ633" s="12"/>
      <c r="AK633" s="1"/>
      <c r="AL633" s="12"/>
      <c r="AM633" s="12"/>
      <c r="AN633" s="1"/>
      <c r="AO633" s="6"/>
    </row>
    <row r="634" spans="1:41" ht="15" x14ac:dyDescent="0.25">
      <c r="A634" s="1"/>
      <c r="B634" s="1"/>
      <c r="C634" s="1"/>
      <c r="D634" s="1"/>
      <c r="E634" s="6"/>
      <c r="F634" s="1"/>
      <c r="G634" s="6"/>
      <c r="H634" s="6"/>
      <c r="I634" s="6"/>
      <c r="J634" s="6"/>
      <c r="K634" s="6"/>
      <c r="L634" s="6"/>
      <c r="M634" s="6"/>
      <c r="N634" s="6"/>
      <c r="O634" s="7"/>
      <c r="P634" s="12"/>
      <c r="Q634" s="6"/>
      <c r="R634" s="7"/>
      <c r="S634" s="6"/>
      <c r="T634" s="6"/>
      <c r="U634" s="7"/>
      <c r="V634" s="6"/>
      <c r="W634" s="6"/>
      <c r="X634" s="12"/>
      <c r="Y634" s="6"/>
      <c r="Z634" s="6"/>
      <c r="AA634" s="7"/>
      <c r="AB634" s="6"/>
      <c r="AC634" s="6"/>
      <c r="AD634" s="6"/>
      <c r="AE634" s="12"/>
      <c r="AF634" s="12"/>
      <c r="AG634" s="12"/>
      <c r="AH634" s="12"/>
      <c r="AI634" s="6"/>
      <c r="AJ634" s="12"/>
      <c r="AK634" s="1"/>
      <c r="AL634" s="12"/>
      <c r="AM634" s="12"/>
      <c r="AN634" s="1"/>
      <c r="AO634" s="6"/>
    </row>
    <row r="635" spans="1:41" ht="15" x14ac:dyDescent="0.25">
      <c r="A635" s="1"/>
      <c r="B635" s="1"/>
      <c r="C635" s="1"/>
      <c r="D635" s="1"/>
      <c r="E635" s="6"/>
      <c r="F635" s="1"/>
      <c r="G635" s="6"/>
      <c r="H635" s="6"/>
      <c r="I635" s="6"/>
      <c r="J635" s="6"/>
      <c r="K635" s="6"/>
      <c r="L635" s="6"/>
      <c r="M635" s="6"/>
      <c r="N635" s="6"/>
      <c r="O635" s="7"/>
      <c r="P635" s="6"/>
      <c r="Q635" s="6"/>
      <c r="R635" s="7"/>
      <c r="S635" s="6"/>
      <c r="T635" s="6"/>
      <c r="U635" s="7"/>
      <c r="V635" s="6"/>
      <c r="W635" s="6"/>
      <c r="X635" s="12"/>
      <c r="Y635" s="6"/>
      <c r="Z635" s="6"/>
      <c r="AA635" s="7"/>
      <c r="AB635" s="6"/>
      <c r="AC635" s="6"/>
      <c r="AD635" s="6"/>
      <c r="AE635" s="12"/>
      <c r="AF635" s="12"/>
      <c r="AG635" s="12"/>
      <c r="AH635" s="12"/>
      <c r="AI635" s="6"/>
      <c r="AJ635" s="12"/>
      <c r="AK635" s="1"/>
      <c r="AL635" s="12"/>
      <c r="AM635" s="12"/>
      <c r="AN635" s="1"/>
      <c r="AO635" s="6"/>
    </row>
    <row r="636" spans="1:41" ht="15" x14ac:dyDescent="0.25">
      <c r="A636" s="1"/>
      <c r="B636" s="1"/>
      <c r="C636" s="1"/>
      <c r="D636" s="1"/>
      <c r="E636" s="6"/>
      <c r="F636" s="1"/>
      <c r="G636" s="6"/>
      <c r="H636" s="6"/>
      <c r="I636" s="6"/>
      <c r="J636" s="6"/>
      <c r="K636" s="6"/>
      <c r="L636" s="6"/>
      <c r="M636" s="6"/>
      <c r="N636" s="6"/>
      <c r="O636" s="7"/>
      <c r="P636" s="6"/>
      <c r="Q636" s="6"/>
      <c r="R636" s="7"/>
      <c r="S636" s="6"/>
      <c r="T636" s="6"/>
      <c r="U636" s="7"/>
      <c r="V636" s="6"/>
      <c r="W636" s="6"/>
      <c r="X636" s="6"/>
      <c r="Y636" s="6"/>
      <c r="Z636" s="6"/>
      <c r="AA636" s="7"/>
      <c r="AB636" s="6"/>
      <c r="AC636" s="6"/>
      <c r="AD636" s="6"/>
      <c r="AE636" s="12"/>
      <c r="AF636" s="12"/>
      <c r="AG636" s="12"/>
      <c r="AH636" s="12"/>
      <c r="AI636" s="6"/>
      <c r="AJ636" s="12"/>
      <c r="AK636" s="1"/>
      <c r="AL636" s="12"/>
      <c r="AM636" s="12"/>
      <c r="AN636" s="1"/>
      <c r="AO636" s="6"/>
    </row>
    <row r="637" spans="1:41" ht="15" x14ac:dyDescent="0.25">
      <c r="A637" s="1"/>
      <c r="B637" s="1"/>
      <c r="C637" s="1"/>
      <c r="D637" s="1"/>
      <c r="E637" s="6"/>
      <c r="F637" s="1"/>
      <c r="G637" s="6"/>
      <c r="H637" s="6"/>
      <c r="I637" s="6"/>
      <c r="J637" s="6"/>
      <c r="K637" s="6"/>
      <c r="L637" s="6"/>
      <c r="M637" s="6"/>
      <c r="N637" s="6"/>
      <c r="O637" s="7"/>
      <c r="P637" s="6"/>
      <c r="Q637" s="6"/>
      <c r="R637" s="7"/>
      <c r="S637" s="6"/>
      <c r="T637" s="6"/>
      <c r="U637" s="7"/>
      <c r="V637" s="6"/>
      <c r="W637" s="6"/>
      <c r="X637" s="12"/>
      <c r="Y637" s="6"/>
      <c r="Z637" s="6"/>
      <c r="AA637" s="7"/>
      <c r="AB637" s="6"/>
      <c r="AC637" s="6"/>
      <c r="AD637" s="6"/>
      <c r="AE637" s="12"/>
      <c r="AF637" s="6"/>
      <c r="AG637" s="12"/>
      <c r="AH637" s="6"/>
      <c r="AI637" s="6"/>
      <c r="AJ637" s="12"/>
      <c r="AK637" s="24"/>
      <c r="AL637" s="25"/>
      <c r="AM637" s="12"/>
      <c r="AN637" s="1"/>
      <c r="AO637" s="6"/>
    </row>
    <row r="638" spans="1:41" ht="15" x14ac:dyDescent="0.25">
      <c r="A638" s="1"/>
      <c r="B638" s="1"/>
      <c r="C638" s="1"/>
      <c r="D638" s="1"/>
      <c r="E638" s="6"/>
      <c r="F638" s="1"/>
      <c r="G638" s="6"/>
      <c r="H638" s="6"/>
      <c r="I638" s="6"/>
      <c r="J638" s="6"/>
      <c r="K638" s="6"/>
      <c r="L638" s="6"/>
      <c r="M638" s="6"/>
      <c r="N638" s="6"/>
      <c r="O638" s="7"/>
      <c r="P638" s="6"/>
      <c r="Q638" s="6"/>
      <c r="R638" s="7"/>
      <c r="S638" s="6"/>
      <c r="T638" s="6"/>
      <c r="U638" s="7"/>
      <c r="V638" s="6"/>
      <c r="W638" s="6"/>
      <c r="X638" s="12"/>
      <c r="Y638" s="6"/>
      <c r="Z638" s="6"/>
      <c r="AA638" s="7"/>
      <c r="AB638" s="6"/>
      <c r="AC638" s="6"/>
      <c r="AD638" s="6"/>
      <c r="AE638" s="12"/>
      <c r="AF638" s="6"/>
      <c r="AG638" s="12"/>
      <c r="AH638" s="6"/>
      <c r="AI638" s="6"/>
      <c r="AJ638" s="12"/>
      <c r="AK638" s="24"/>
      <c r="AL638" s="25"/>
      <c r="AM638" s="12"/>
      <c r="AN638" s="1"/>
      <c r="AO638" s="6"/>
    </row>
    <row r="639" spans="1:41" ht="15" x14ac:dyDescent="0.25">
      <c r="A639" s="1"/>
      <c r="B639" s="1"/>
      <c r="C639" s="1"/>
      <c r="D639" s="1"/>
      <c r="E639" s="6"/>
      <c r="F639" s="1"/>
      <c r="G639" s="6"/>
      <c r="H639" s="6"/>
      <c r="I639" s="6"/>
      <c r="J639" s="6"/>
      <c r="K639" s="6"/>
      <c r="L639" s="6"/>
      <c r="M639" s="6"/>
      <c r="N639" s="6"/>
      <c r="O639" s="7"/>
      <c r="P639" s="6"/>
      <c r="Q639" s="6"/>
      <c r="R639" s="7"/>
      <c r="S639" s="6"/>
      <c r="T639" s="6"/>
      <c r="U639" s="7"/>
      <c r="V639" s="6"/>
      <c r="W639" s="6"/>
      <c r="X639" s="12"/>
      <c r="Y639" s="6"/>
      <c r="Z639" s="6"/>
      <c r="AA639" s="7"/>
      <c r="AB639" s="6"/>
      <c r="AC639" s="6"/>
      <c r="AD639" s="6"/>
      <c r="AE639" s="12"/>
      <c r="AF639" s="6"/>
      <c r="AG639" s="12"/>
      <c r="AH639" s="6"/>
      <c r="AI639" s="6"/>
      <c r="AJ639" s="12"/>
      <c r="AK639" s="1"/>
      <c r="AL639" s="12"/>
      <c r="AM639" s="12"/>
      <c r="AN639" s="1"/>
      <c r="AO639" s="6"/>
    </row>
    <row r="640" spans="1:41" ht="15" x14ac:dyDescent="0.25">
      <c r="A640" s="1"/>
      <c r="B640" s="1"/>
      <c r="C640" s="1"/>
      <c r="D640" s="1"/>
      <c r="E640" s="6"/>
      <c r="F640" s="1"/>
      <c r="G640" s="6"/>
      <c r="H640" s="6"/>
      <c r="I640" s="6"/>
      <c r="J640" s="6"/>
      <c r="K640" s="6"/>
      <c r="L640" s="6"/>
      <c r="M640" s="6"/>
      <c r="N640" s="6"/>
      <c r="O640" s="7"/>
      <c r="P640" s="12"/>
      <c r="Q640" s="6"/>
      <c r="R640" s="7"/>
      <c r="S640" s="6"/>
      <c r="T640" s="6"/>
      <c r="U640" s="7"/>
      <c r="V640" s="6"/>
      <c r="W640" s="6"/>
      <c r="X640" s="6"/>
      <c r="Y640" s="6"/>
      <c r="Z640" s="6"/>
      <c r="AA640" s="7"/>
      <c r="AB640" s="6"/>
      <c r="AC640" s="6"/>
      <c r="AD640" s="6"/>
      <c r="AE640" s="12"/>
      <c r="AF640" s="6"/>
      <c r="AG640" s="12"/>
      <c r="AH640" s="6"/>
      <c r="AI640" s="6"/>
      <c r="AJ640" s="12"/>
      <c r="AK640" s="24"/>
      <c r="AL640" s="25"/>
      <c r="AM640" s="12"/>
      <c r="AN640" s="1"/>
      <c r="AO640" s="6"/>
    </row>
    <row r="641" spans="1:41" ht="15" x14ac:dyDescent="0.25">
      <c r="A641" s="1"/>
      <c r="B641" s="1"/>
      <c r="C641" s="1"/>
      <c r="D641" s="1"/>
      <c r="E641" s="6"/>
      <c r="F641" s="1"/>
      <c r="G641" s="6"/>
      <c r="H641" s="6"/>
      <c r="I641" s="6"/>
      <c r="J641" s="6"/>
      <c r="K641" s="12"/>
      <c r="L641" s="6"/>
      <c r="M641" s="6"/>
      <c r="N641" s="6"/>
      <c r="O641" s="7"/>
      <c r="P641" s="6"/>
      <c r="Q641" s="6"/>
      <c r="R641" s="12"/>
      <c r="S641" s="12"/>
      <c r="T641" s="12"/>
      <c r="U641" s="7"/>
      <c r="V641" s="6"/>
      <c r="W641" s="6"/>
      <c r="X641" s="12"/>
      <c r="Y641" s="6"/>
      <c r="Z641" s="6"/>
      <c r="AA641" s="7"/>
      <c r="AB641" s="6"/>
      <c r="AC641" s="6"/>
      <c r="AD641" s="6"/>
      <c r="AE641" s="12"/>
      <c r="AF641" s="6"/>
      <c r="AG641" s="12"/>
      <c r="AH641" s="6"/>
      <c r="AI641" s="6"/>
      <c r="AJ641" s="12"/>
      <c r="AK641" s="1"/>
      <c r="AL641" s="12"/>
      <c r="AM641" s="12"/>
      <c r="AN641" s="1"/>
      <c r="AO641" s="6"/>
    </row>
    <row r="642" spans="1:41" ht="15" x14ac:dyDescent="0.25">
      <c r="A642" s="1"/>
      <c r="B642" s="1"/>
      <c r="C642" s="1"/>
      <c r="D642" s="1"/>
      <c r="E642" s="6"/>
      <c r="F642" s="1"/>
      <c r="G642" s="6"/>
      <c r="H642" s="6"/>
      <c r="I642" s="6"/>
      <c r="J642" s="6"/>
      <c r="K642" s="6"/>
      <c r="L642" s="6"/>
      <c r="M642" s="6"/>
      <c r="N642" s="6"/>
      <c r="O642" s="7"/>
      <c r="P642" s="6"/>
      <c r="Q642" s="6"/>
      <c r="R642" s="7"/>
      <c r="S642" s="6"/>
      <c r="T642" s="6"/>
      <c r="U642" s="7"/>
      <c r="V642" s="6"/>
      <c r="W642" s="6"/>
      <c r="X642" s="12"/>
      <c r="Y642" s="6"/>
      <c r="Z642" s="6"/>
      <c r="AA642" s="7"/>
      <c r="AB642" s="6"/>
      <c r="AC642" s="6"/>
      <c r="AD642" s="6"/>
      <c r="AE642" s="12"/>
      <c r="AF642" s="6"/>
      <c r="AG642" s="12"/>
      <c r="AH642" s="6"/>
      <c r="AI642" s="6"/>
      <c r="AJ642" s="12"/>
      <c r="AK642" s="1"/>
      <c r="AL642" s="12"/>
      <c r="AM642" s="12"/>
      <c r="AN642" s="1"/>
      <c r="AO642" s="6"/>
    </row>
    <row r="643" spans="1:41" ht="15" x14ac:dyDescent="0.25">
      <c r="A643" s="1"/>
      <c r="B643" s="1"/>
      <c r="C643" s="1"/>
      <c r="D643" s="1"/>
      <c r="E643" s="6"/>
      <c r="F643" s="1"/>
      <c r="G643" s="6"/>
      <c r="H643" s="6"/>
      <c r="I643" s="6"/>
      <c r="J643" s="6"/>
      <c r="K643" s="6"/>
      <c r="L643" s="6"/>
      <c r="M643" s="6"/>
      <c r="N643" s="6"/>
      <c r="O643" s="7"/>
      <c r="P643" s="6"/>
      <c r="Q643" s="6"/>
      <c r="R643" s="12"/>
      <c r="S643" s="12"/>
      <c r="T643" s="12"/>
      <c r="U643" s="7"/>
      <c r="V643" s="6"/>
      <c r="W643" s="6"/>
      <c r="X643" s="12"/>
      <c r="Y643" s="6"/>
      <c r="Z643" s="6"/>
      <c r="AA643" s="7"/>
      <c r="AB643" s="6"/>
      <c r="AC643" s="6"/>
      <c r="AD643" s="6"/>
      <c r="AE643" s="12"/>
      <c r="AF643" s="12"/>
      <c r="AG643" s="12"/>
      <c r="AH643" s="12"/>
      <c r="AI643" s="6"/>
      <c r="AJ643" s="12"/>
      <c r="AK643" s="24"/>
      <c r="AL643" s="25"/>
      <c r="AM643" s="12"/>
      <c r="AN643" s="1"/>
      <c r="AO643" s="6"/>
    </row>
    <row r="644" spans="1:41" ht="15" x14ac:dyDescent="0.25">
      <c r="A644" s="1"/>
      <c r="B644" s="1"/>
      <c r="C644" s="1"/>
      <c r="D644" s="1"/>
      <c r="E644" s="6"/>
      <c r="F644" s="1"/>
      <c r="G644" s="6"/>
      <c r="H644" s="6"/>
      <c r="I644" s="6"/>
      <c r="J644" s="6"/>
      <c r="K644" s="6"/>
      <c r="L644" s="6"/>
      <c r="M644" s="6"/>
      <c r="N644" s="6"/>
      <c r="O644" s="7"/>
      <c r="P644" s="6"/>
      <c r="Q644" s="6"/>
      <c r="R644" s="7"/>
      <c r="S644" s="6"/>
      <c r="T644" s="6"/>
      <c r="U644" s="7"/>
      <c r="V644" s="6"/>
      <c r="W644" s="6"/>
      <c r="X644" s="6"/>
      <c r="Y644" s="6"/>
      <c r="Z644" s="6"/>
      <c r="AA644" s="7"/>
      <c r="AB644" s="6"/>
      <c r="AC644" s="6"/>
      <c r="AD644" s="6"/>
      <c r="AE644" s="12"/>
      <c r="AF644" s="12"/>
      <c r="AG644" s="12"/>
      <c r="AH644" s="12"/>
      <c r="AI644" s="6"/>
      <c r="AJ644" s="12"/>
      <c r="AK644" s="1"/>
      <c r="AL644" s="12"/>
      <c r="AM644" s="12"/>
      <c r="AN644" s="1"/>
      <c r="AO644" s="6"/>
    </row>
    <row r="645" spans="1:41" ht="15" x14ac:dyDescent="0.25">
      <c r="A645" s="1"/>
      <c r="B645" s="1"/>
      <c r="C645" s="1"/>
      <c r="D645" s="1"/>
      <c r="E645" s="6"/>
      <c r="F645" s="1"/>
      <c r="G645" s="6"/>
      <c r="H645" s="6"/>
      <c r="I645" s="6"/>
      <c r="J645" s="6"/>
      <c r="K645" s="6"/>
      <c r="L645" s="6"/>
      <c r="M645" s="6"/>
      <c r="N645" s="6"/>
      <c r="O645" s="7"/>
      <c r="P645" s="6"/>
      <c r="Q645" s="6"/>
      <c r="R645" s="7"/>
      <c r="S645" s="6"/>
      <c r="T645" s="6"/>
      <c r="U645" s="7"/>
      <c r="V645" s="6"/>
      <c r="W645" s="6"/>
      <c r="X645" s="6"/>
      <c r="Y645" s="6"/>
      <c r="Z645" s="6"/>
      <c r="AA645" s="7"/>
      <c r="AB645" s="6"/>
      <c r="AC645" s="6"/>
      <c r="AD645" s="6"/>
      <c r="AE645" s="12"/>
      <c r="AF645" s="12"/>
      <c r="AG645" s="12"/>
      <c r="AH645" s="12"/>
      <c r="AI645" s="6"/>
      <c r="AJ645" s="12"/>
      <c r="AK645" s="1"/>
      <c r="AL645" s="12"/>
      <c r="AM645" s="12"/>
      <c r="AN645" s="1"/>
      <c r="AO645" s="6"/>
    </row>
    <row r="646" spans="1:41" ht="15" x14ac:dyDescent="0.25">
      <c r="A646" s="1"/>
      <c r="B646" s="1"/>
      <c r="C646" s="1"/>
      <c r="D646" s="1"/>
      <c r="E646" s="6"/>
      <c r="F646" s="1"/>
      <c r="G646" s="6"/>
      <c r="H646" s="6"/>
      <c r="I646" s="6"/>
      <c r="J646" s="6"/>
      <c r="K646" s="6"/>
      <c r="L646" s="6"/>
      <c r="M646" s="6"/>
      <c r="N646" s="6"/>
      <c r="O646" s="7"/>
      <c r="P646" s="6"/>
      <c r="Q646" s="6"/>
      <c r="R646" s="12"/>
      <c r="S646" s="12"/>
      <c r="T646" s="12"/>
      <c r="U646" s="7"/>
      <c r="V646" s="6"/>
      <c r="W646" s="6"/>
      <c r="X646" s="12"/>
      <c r="Y646" s="6"/>
      <c r="Z646" s="6"/>
      <c r="AA646" s="7"/>
      <c r="AB646" s="6"/>
      <c r="AC646" s="6"/>
      <c r="AD646" s="6"/>
      <c r="AE646" s="12"/>
      <c r="AF646" s="6"/>
      <c r="AG646" s="12"/>
      <c r="AH646" s="6"/>
      <c r="AI646" s="6"/>
      <c r="AJ646" s="12"/>
      <c r="AK646" s="24"/>
      <c r="AL646" s="25"/>
      <c r="AM646" s="12"/>
      <c r="AN646" s="1"/>
      <c r="AO646" s="6"/>
    </row>
    <row r="647" spans="1:41" ht="15" x14ac:dyDescent="0.25">
      <c r="A647" s="1"/>
      <c r="B647" s="1"/>
      <c r="C647" s="1"/>
      <c r="D647" s="1"/>
      <c r="E647" s="6"/>
      <c r="F647" s="1"/>
      <c r="G647" s="6"/>
      <c r="H647" s="6"/>
      <c r="I647" s="6"/>
      <c r="J647" s="6"/>
      <c r="K647" s="6"/>
      <c r="L647" s="6"/>
      <c r="M647" s="6"/>
      <c r="N647" s="6"/>
      <c r="O647" s="7"/>
      <c r="P647" s="6"/>
      <c r="Q647" s="6"/>
      <c r="R647" s="7"/>
      <c r="S647" s="6"/>
      <c r="T647" s="6"/>
      <c r="U647" s="7"/>
      <c r="V647" s="6"/>
      <c r="W647" s="6"/>
      <c r="X647" s="12"/>
      <c r="Y647" s="6"/>
      <c r="Z647" s="6"/>
      <c r="AA647" s="7"/>
      <c r="AB647" s="6"/>
      <c r="AC647" s="6"/>
      <c r="AD647" s="6"/>
      <c r="AE647" s="12"/>
      <c r="AF647" s="6"/>
      <c r="AG647" s="12"/>
      <c r="AH647" s="6"/>
      <c r="AI647" s="6"/>
      <c r="AJ647" s="12"/>
      <c r="AK647" s="24"/>
      <c r="AL647" s="25"/>
      <c r="AM647" s="12"/>
      <c r="AN647" s="1"/>
      <c r="AO647" s="6"/>
    </row>
    <row r="648" spans="1:41" ht="15" x14ac:dyDescent="0.25">
      <c r="A648" s="1"/>
      <c r="B648" s="1"/>
      <c r="C648" s="1"/>
      <c r="D648" s="1"/>
      <c r="E648" s="6"/>
      <c r="F648" s="1"/>
      <c r="G648" s="6"/>
      <c r="H648" s="6"/>
      <c r="I648" s="6"/>
      <c r="J648" s="6"/>
      <c r="K648" s="6"/>
      <c r="L648" s="6"/>
      <c r="M648" s="6"/>
      <c r="N648" s="6"/>
      <c r="O648" s="7"/>
      <c r="P648" s="12"/>
      <c r="Q648" s="6"/>
      <c r="R648" s="7"/>
      <c r="S648" s="6"/>
      <c r="T648" s="6"/>
      <c r="U648" s="7"/>
      <c r="V648" s="6"/>
      <c r="W648" s="6"/>
      <c r="X648" s="12"/>
      <c r="Y648" s="6"/>
      <c r="Z648" s="6"/>
      <c r="AA648" s="7"/>
      <c r="AB648" s="6"/>
      <c r="AC648" s="6"/>
      <c r="AD648" s="6"/>
      <c r="AE648" s="12"/>
      <c r="AF648" s="12"/>
      <c r="AG648" s="12"/>
      <c r="AH648" s="12"/>
      <c r="AI648" s="6"/>
      <c r="AJ648" s="12"/>
      <c r="AK648" s="1"/>
      <c r="AL648" s="12"/>
      <c r="AM648" s="12"/>
      <c r="AN648" s="1"/>
      <c r="AO648" s="6"/>
    </row>
    <row r="649" spans="1:41" ht="15" x14ac:dyDescent="0.25">
      <c r="A649" s="1"/>
      <c r="B649" s="1"/>
      <c r="C649" s="1"/>
      <c r="D649" s="1"/>
      <c r="E649" s="6"/>
      <c r="F649" s="1"/>
      <c r="G649" s="6"/>
      <c r="H649" s="6"/>
      <c r="I649" s="6"/>
      <c r="J649" s="6"/>
      <c r="K649" s="12"/>
      <c r="L649" s="12"/>
      <c r="M649" s="6"/>
      <c r="N649" s="6"/>
      <c r="O649" s="7"/>
      <c r="P649" s="12"/>
      <c r="Q649" s="6"/>
      <c r="R649" s="7"/>
      <c r="S649" s="6"/>
      <c r="T649" s="6"/>
      <c r="U649" s="7"/>
      <c r="V649" s="6"/>
      <c r="W649" s="6"/>
      <c r="X649" s="12"/>
      <c r="Y649" s="6"/>
      <c r="Z649" s="6"/>
      <c r="AA649" s="7"/>
      <c r="AB649" s="6"/>
      <c r="AC649" s="6"/>
      <c r="AD649" s="6"/>
      <c r="AE649" s="12"/>
      <c r="AF649" s="12"/>
      <c r="AG649" s="12"/>
      <c r="AH649" s="12"/>
      <c r="AI649" s="6"/>
      <c r="AJ649" s="12"/>
      <c r="AK649" s="1"/>
      <c r="AL649" s="12"/>
      <c r="AM649" s="12"/>
      <c r="AN649" s="1"/>
      <c r="AO649" s="6"/>
    </row>
    <row r="650" spans="1:41" ht="15" x14ac:dyDescent="0.25">
      <c r="A650" s="1"/>
      <c r="B650" s="1"/>
      <c r="C650" s="1"/>
      <c r="D650" s="1"/>
      <c r="E650" s="6"/>
      <c r="F650" s="1"/>
      <c r="G650" s="6"/>
      <c r="H650" s="6"/>
      <c r="I650" s="6"/>
      <c r="J650" s="6"/>
      <c r="K650" s="6"/>
      <c r="L650" s="6"/>
      <c r="M650" s="6"/>
      <c r="N650" s="6"/>
      <c r="O650" s="7"/>
      <c r="P650" s="6"/>
      <c r="Q650" s="7"/>
      <c r="R650" s="6"/>
      <c r="S650" s="6"/>
      <c r="T650" s="6"/>
      <c r="U650" s="6"/>
      <c r="V650" s="7"/>
      <c r="W650" s="7"/>
      <c r="X650" s="6"/>
      <c r="Y650" s="6"/>
      <c r="Z650" s="6"/>
      <c r="AA650" s="1"/>
      <c r="AB650" s="12"/>
      <c r="AC650" s="12"/>
      <c r="AD650" s="12"/>
      <c r="AE650" s="12"/>
      <c r="AF650" s="12"/>
      <c r="AG650" s="12"/>
      <c r="AH650" s="12"/>
      <c r="AI650" s="6"/>
      <c r="AJ650" s="12"/>
      <c r="AK650" s="12"/>
      <c r="AL650" s="12"/>
      <c r="AM650" s="12"/>
      <c r="AN650" s="1"/>
      <c r="AO650" s="6"/>
    </row>
    <row r="651" spans="1:41" ht="15" x14ac:dyDescent="0.25">
      <c r="A651" s="1"/>
      <c r="B651" s="1"/>
      <c r="C651" s="1"/>
      <c r="D651" s="1"/>
      <c r="E651" s="6"/>
      <c r="F651" s="1"/>
      <c r="G651" s="6"/>
      <c r="H651" s="6"/>
      <c r="I651" s="6"/>
      <c r="J651" s="6"/>
      <c r="K651" s="6"/>
      <c r="L651" s="6"/>
      <c r="M651" s="6"/>
      <c r="N651" s="6"/>
      <c r="O651" s="7"/>
      <c r="P651" s="6"/>
      <c r="Q651" s="6"/>
      <c r="R651" s="7"/>
      <c r="S651" s="6"/>
      <c r="T651" s="6"/>
      <c r="U651" s="7"/>
      <c r="V651" s="6"/>
      <c r="W651" s="6"/>
      <c r="X651" s="6"/>
      <c r="Y651" s="6"/>
      <c r="Z651" s="6"/>
      <c r="AA651" s="7"/>
      <c r="AB651" s="6"/>
      <c r="AC651" s="6"/>
      <c r="AD651" s="6"/>
      <c r="AE651" s="12"/>
      <c r="AF651" s="6"/>
      <c r="AG651" s="12"/>
      <c r="AH651" s="6"/>
      <c r="AI651" s="6"/>
      <c r="AJ651" s="12"/>
      <c r="AK651" s="1"/>
      <c r="AL651" s="12"/>
      <c r="AM651" s="12"/>
      <c r="AN651" s="1"/>
      <c r="AO651" s="6"/>
    </row>
    <row r="652" spans="1:41" ht="15" x14ac:dyDescent="0.25">
      <c r="A652" s="1"/>
      <c r="B652" s="1"/>
      <c r="C652" s="1"/>
      <c r="D652" s="1"/>
      <c r="E652" s="6"/>
      <c r="F652" s="1"/>
      <c r="G652" s="6"/>
      <c r="H652" s="6"/>
      <c r="I652" s="6"/>
      <c r="J652" s="6"/>
      <c r="K652" s="6"/>
      <c r="L652" s="6"/>
      <c r="M652" s="6"/>
      <c r="N652" s="6"/>
      <c r="O652" s="7"/>
      <c r="P652" s="6"/>
      <c r="Q652" s="6"/>
      <c r="R652" s="7"/>
      <c r="S652" s="6"/>
      <c r="T652" s="6"/>
      <c r="U652" s="7"/>
      <c r="V652" s="6"/>
      <c r="W652" s="6"/>
      <c r="X652" s="12"/>
      <c r="Y652" s="6"/>
      <c r="Z652" s="6"/>
      <c r="AA652" s="7"/>
      <c r="AB652" s="6"/>
      <c r="AC652" s="6"/>
      <c r="AD652" s="6"/>
      <c r="AE652" s="12"/>
      <c r="AF652" s="12"/>
      <c r="AG652" s="12"/>
      <c r="AH652" s="12"/>
      <c r="AI652" s="6"/>
      <c r="AJ652" s="12"/>
      <c r="AK652" s="1"/>
      <c r="AL652" s="12"/>
      <c r="AM652" s="12"/>
      <c r="AN652" s="1"/>
      <c r="AO652" s="6"/>
    </row>
    <row r="653" spans="1:41" ht="15" x14ac:dyDescent="0.25">
      <c r="A653" s="1"/>
      <c r="B653" s="1"/>
      <c r="C653" s="1"/>
      <c r="D653" s="1"/>
      <c r="E653" s="6"/>
      <c r="F653" s="1"/>
      <c r="G653" s="6"/>
      <c r="H653" s="6"/>
      <c r="I653" s="6"/>
      <c r="J653" s="6"/>
      <c r="K653" s="12"/>
      <c r="L653" s="12"/>
      <c r="M653" s="6"/>
      <c r="N653" s="6"/>
      <c r="O653" s="7"/>
      <c r="P653" s="6"/>
      <c r="Q653" s="6"/>
      <c r="R653" s="7"/>
      <c r="S653" s="6"/>
      <c r="T653" s="6"/>
      <c r="U653" s="7"/>
      <c r="V653" s="6"/>
      <c r="W653" s="6"/>
      <c r="X653" s="12"/>
      <c r="Y653" s="6"/>
      <c r="Z653" s="6"/>
      <c r="AA653" s="7"/>
      <c r="AB653" s="6"/>
      <c r="AC653" s="6"/>
      <c r="AD653" s="6"/>
      <c r="AE653" s="12"/>
      <c r="AF653" s="12"/>
      <c r="AG653" s="12"/>
      <c r="AH653" s="12"/>
      <c r="AI653" s="6"/>
      <c r="AJ653" s="12"/>
      <c r="AK653" s="1"/>
      <c r="AL653" s="12"/>
      <c r="AM653" s="12"/>
      <c r="AN653" s="1"/>
      <c r="AO653" s="6"/>
    </row>
    <row r="654" spans="1:41" ht="15" x14ac:dyDescent="0.25">
      <c r="A654" s="1"/>
      <c r="B654" s="1"/>
      <c r="C654" s="1"/>
      <c r="D654" s="1"/>
      <c r="E654" s="6"/>
      <c r="F654" s="1"/>
      <c r="G654" s="6"/>
      <c r="H654" s="6"/>
      <c r="I654" s="6"/>
      <c r="J654" s="6"/>
      <c r="K654" s="12"/>
      <c r="L654" s="12"/>
      <c r="M654" s="6"/>
      <c r="N654" s="6"/>
      <c r="O654" s="7"/>
      <c r="P654" s="6"/>
      <c r="Q654" s="6"/>
      <c r="R654" s="7"/>
      <c r="S654" s="6"/>
      <c r="T654" s="6"/>
      <c r="U654" s="7"/>
      <c r="V654" s="6"/>
      <c r="W654" s="6"/>
      <c r="X654" s="12"/>
      <c r="Y654" s="6"/>
      <c r="Z654" s="6"/>
      <c r="AA654" s="7"/>
      <c r="AB654" s="6"/>
      <c r="AC654" s="6"/>
      <c r="AD654" s="6"/>
      <c r="AE654" s="12"/>
      <c r="AF654" s="12"/>
      <c r="AG654" s="12"/>
      <c r="AH654" s="12"/>
      <c r="AI654" s="6"/>
      <c r="AJ654" s="12"/>
      <c r="AK654" s="1"/>
      <c r="AL654" s="12"/>
      <c r="AM654" s="12"/>
      <c r="AN654" s="1"/>
      <c r="AO654" s="12"/>
    </row>
    <row r="655" spans="1:41" ht="15" x14ac:dyDescent="0.25">
      <c r="A655" s="1"/>
      <c r="B655" s="1"/>
      <c r="C655" s="1"/>
      <c r="D655" s="1"/>
      <c r="E655" s="6"/>
      <c r="F655" s="1"/>
      <c r="G655" s="6"/>
      <c r="H655" s="6"/>
      <c r="I655" s="6"/>
      <c r="J655" s="6"/>
      <c r="K655" s="12"/>
      <c r="L655" s="6"/>
      <c r="M655" s="6"/>
      <c r="N655" s="6"/>
      <c r="O655" s="7"/>
      <c r="P655" s="12"/>
      <c r="Q655" s="6"/>
      <c r="R655" s="7"/>
      <c r="S655" s="6"/>
      <c r="T655" s="6"/>
      <c r="U655" s="7"/>
      <c r="V655" s="6"/>
      <c r="W655" s="6"/>
      <c r="X655" s="6"/>
      <c r="Y655" s="6"/>
      <c r="Z655" s="6"/>
      <c r="AA655" s="7"/>
      <c r="AB655" s="6"/>
      <c r="AC655" s="6"/>
      <c r="AD655" s="6"/>
      <c r="AE655" s="12"/>
      <c r="AF655" s="6"/>
      <c r="AG655" s="12"/>
      <c r="AH655" s="6"/>
      <c r="AI655" s="6"/>
      <c r="AJ655" s="12"/>
      <c r="AK655" s="1"/>
      <c r="AL655" s="12"/>
      <c r="AM655" s="12"/>
      <c r="AN655" s="1"/>
      <c r="AO655" s="12"/>
    </row>
    <row r="656" spans="1:41" ht="15" x14ac:dyDescent="0.25">
      <c r="A656" s="1"/>
      <c r="B656" s="1"/>
      <c r="C656" s="1"/>
      <c r="D656" s="1"/>
      <c r="E656" s="6"/>
      <c r="F656" s="1"/>
      <c r="G656" s="6"/>
      <c r="H656" s="6"/>
      <c r="I656" s="6"/>
      <c r="J656" s="6"/>
      <c r="K656" s="6"/>
      <c r="L656" s="6"/>
      <c r="M656" s="6"/>
      <c r="N656" s="6"/>
      <c r="O656" s="7"/>
      <c r="P656" s="6"/>
      <c r="Q656" s="7"/>
      <c r="R656" s="6"/>
      <c r="S656" s="6"/>
      <c r="T656" s="6"/>
      <c r="U656" s="6"/>
      <c r="V656" s="7"/>
      <c r="W656" s="7"/>
      <c r="X656" s="6"/>
      <c r="Y656" s="6"/>
      <c r="Z656" s="6"/>
      <c r="AA656" s="1"/>
      <c r="AB656" s="12"/>
      <c r="AC656" s="12"/>
      <c r="AD656" s="12"/>
      <c r="AE656" s="12"/>
      <c r="AF656" s="12"/>
      <c r="AG656" s="12"/>
      <c r="AH656" s="12"/>
      <c r="AI656" s="6"/>
      <c r="AJ656" s="12"/>
      <c r="AK656" s="12"/>
      <c r="AL656" s="12"/>
      <c r="AM656" s="12"/>
      <c r="AN656" s="1"/>
      <c r="AO656" s="6"/>
    </row>
    <row r="657" spans="1:41" ht="15" x14ac:dyDescent="0.25">
      <c r="A657" s="1"/>
      <c r="B657" s="1"/>
      <c r="C657" s="1"/>
      <c r="D657" s="1"/>
      <c r="E657" s="6"/>
      <c r="F657" s="1"/>
      <c r="G657" s="6"/>
      <c r="H657" s="6"/>
      <c r="I657" s="6"/>
      <c r="J657" s="6"/>
      <c r="K657" s="12"/>
      <c r="L657" s="12"/>
      <c r="M657" s="6"/>
      <c r="N657" s="6"/>
      <c r="O657" s="7"/>
      <c r="P657" s="6"/>
      <c r="Q657" s="6"/>
      <c r="R657" s="7"/>
      <c r="S657" s="6"/>
      <c r="T657" s="6"/>
      <c r="U657" s="7"/>
      <c r="V657" s="6"/>
      <c r="W657" s="6"/>
      <c r="X657" s="12"/>
      <c r="Y657" s="6"/>
      <c r="Z657" s="6"/>
      <c r="AA657" s="7"/>
      <c r="AB657" s="6"/>
      <c r="AC657" s="6"/>
      <c r="AD657" s="6"/>
      <c r="AE657" s="12"/>
      <c r="AF657" s="12"/>
      <c r="AG657" s="12"/>
      <c r="AH657" s="12"/>
      <c r="AI657" s="6"/>
      <c r="AJ657" s="12"/>
      <c r="AK657" s="1"/>
      <c r="AL657" s="12"/>
      <c r="AM657" s="12"/>
      <c r="AN657" s="1"/>
      <c r="AO657" s="6"/>
    </row>
    <row r="658" spans="1:41" ht="15" x14ac:dyDescent="0.25">
      <c r="A658" s="1"/>
      <c r="B658" s="1"/>
      <c r="C658" s="1"/>
      <c r="D658" s="1"/>
      <c r="E658" s="6"/>
      <c r="F658" s="1"/>
      <c r="G658" s="6"/>
      <c r="H658" s="6"/>
      <c r="I658" s="6"/>
      <c r="J658" s="6"/>
      <c r="K658" s="6"/>
      <c r="L658" s="6"/>
      <c r="M658" s="6"/>
      <c r="N658" s="6"/>
      <c r="O658" s="7"/>
      <c r="P658" s="6"/>
      <c r="Q658" s="6"/>
      <c r="R658" s="7"/>
      <c r="S658" s="6"/>
      <c r="T658" s="6"/>
      <c r="U658" s="7"/>
      <c r="V658" s="6"/>
      <c r="W658" s="6"/>
      <c r="X658" s="6"/>
      <c r="Y658" s="6"/>
      <c r="Z658" s="6"/>
      <c r="AA658" s="7"/>
      <c r="AB658" s="6"/>
      <c r="AC658" s="6"/>
      <c r="AD658" s="6"/>
      <c r="AE658" s="12"/>
      <c r="AF658" s="6"/>
      <c r="AG658" s="12"/>
      <c r="AH658" s="6"/>
      <c r="AI658" s="6"/>
      <c r="AJ658" s="12"/>
      <c r="AK658" s="24"/>
      <c r="AL658" s="25"/>
      <c r="AM658" s="12"/>
      <c r="AN658" s="1"/>
      <c r="AO658" s="6"/>
    </row>
    <row r="659" spans="1:41" ht="15" x14ac:dyDescent="0.25">
      <c r="A659" s="1"/>
      <c r="B659" s="1"/>
      <c r="C659" s="1"/>
      <c r="D659" s="1"/>
      <c r="E659" s="6"/>
      <c r="F659" s="1"/>
      <c r="G659" s="6"/>
      <c r="H659" s="6"/>
      <c r="I659" s="6"/>
      <c r="J659" s="6"/>
      <c r="K659" s="6"/>
      <c r="L659" s="6"/>
      <c r="M659" s="6"/>
      <c r="N659" s="6"/>
      <c r="O659" s="7"/>
      <c r="P659" s="12"/>
      <c r="Q659" s="6"/>
      <c r="R659" s="12"/>
      <c r="S659" s="12"/>
      <c r="T659" s="12"/>
      <c r="U659" s="7"/>
      <c r="V659" s="6"/>
      <c r="W659" s="6"/>
      <c r="X659" s="12"/>
      <c r="Y659" s="6"/>
      <c r="Z659" s="6"/>
      <c r="AA659" s="7"/>
      <c r="AB659" s="6"/>
      <c r="AC659" s="6"/>
      <c r="AD659" s="6"/>
      <c r="AE659" s="12"/>
      <c r="AF659" s="12"/>
      <c r="AG659" s="12"/>
      <c r="AH659" s="12"/>
      <c r="AI659" s="6"/>
      <c r="AJ659" s="12"/>
      <c r="AK659" s="1"/>
      <c r="AL659" s="12"/>
      <c r="AM659" s="12"/>
      <c r="AN659" s="1"/>
      <c r="AO659" s="6"/>
    </row>
    <row r="660" spans="1:41" ht="15" x14ac:dyDescent="0.25">
      <c r="A660" s="1"/>
      <c r="B660" s="1"/>
      <c r="C660" s="1"/>
      <c r="D660" s="1"/>
      <c r="E660" s="6"/>
      <c r="F660" s="1"/>
      <c r="G660" s="6"/>
      <c r="H660" s="6"/>
      <c r="I660" s="6"/>
      <c r="J660" s="6"/>
      <c r="K660" s="6"/>
      <c r="L660" s="6"/>
      <c r="M660" s="6"/>
      <c r="N660" s="6"/>
      <c r="O660" s="12"/>
      <c r="P660" s="12"/>
      <c r="Q660" s="7"/>
      <c r="R660" s="12"/>
      <c r="S660" s="12"/>
      <c r="T660" s="12"/>
      <c r="U660" s="6"/>
      <c r="V660" s="7"/>
      <c r="W660" s="7"/>
      <c r="X660" s="6"/>
      <c r="Y660" s="6"/>
      <c r="Z660" s="6"/>
      <c r="AA660" s="1"/>
      <c r="AB660" s="12"/>
      <c r="AC660" s="12"/>
      <c r="AD660" s="12"/>
      <c r="AE660" s="12"/>
      <c r="AF660" s="12"/>
      <c r="AG660" s="12"/>
      <c r="AH660" s="12"/>
      <c r="AI660" s="6"/>
      <c r="AJ660" s="12"/>
      <c r="AK660" s="12"/>
      <c r="AL660" s="12"/>
      <c r="AM660" s="12"/>
      <c r="AN660" s="1"/>
      <c r="AO660" s="6"/>
    </row>
    <row r="661" spans="1:41" ht="15" x14ac:dyDescent="0.25">
      <c r="A661" s="1"/>
      <c r="B661" s="1"/>
      <c r="C661" s="1"/>
      <c r="D661" s="1"/>
      <c r="E661" s="6"/>
      <c r="F661" s="1"/>
      <c r="G661" s="6"/>
      <c r="H661" s="6"/>
      <c r="I661" s="6"/>
      <c r="J661" s="6"/>
      <c r="K661" s="6"/>
      <c r="L661" s="6"/>
      <c r="M661" s="6"/>
      <c r="N661" s="6"/>
      <c r="O661" s="7"/>
      <c r="P661" s="6"/>
      <c r="Q661" s="6"/>
      <c r="R661" s="7"/>
      <c r="S661" s="6"/>
      <c r="T661" s="6"/>
      <c r="U661" s="7"/>
      <c r="V661" s="6"/>
      <c r="W661" s="6"/>
      <c r="X661" s="12"/>
      <c r="Y661" s="6"/>
      <c r="Z661" s="6"/>
      <c r="AA661" s="7"/>
      <c r="AB661" s="6"/>
      <c r="AC661" s="6"/>
      <c r="AD661" s="6"/>
      <c r="AE661" s="12"/>
      <c r="AF661" s="6"/>
      <c r="AG661" s="12"/>
      <c r="AH661" s="6"/>
      <c r="AI661" s="6"/>
      <c r="AJ661" s="12"/>
      <c r="AK661" s="1"/>
      <c r="AL661" s="12"/>
      <c r="AM661" s="12"/>
      <c r="AN661" s="1"/>
      <c r="AO661" s="6"/>
    </row>
    <row r="662" spans="1:41" ht="15" x14ac:dyDescent="0.25">
      <c r="A662" s="1"/>
      <c r="B662" s="1"/>
      <c r="C662" s="1"/>
      <c r="D662" s="1"/>
      <c r="E662" s="6"/>
      <c r="F662" s="1"/>
      <c r="G662" s="6"/>
      <c r="H662" s="6"/>
      <c r="I662" s="6"/>
      <c r="J662" s="6"/>
      <c r="K662" s="6"/>
      <c r="L662" s="6"/>
      <c r="M662" s="6"/>
      <c r="N662" s="6"/>
      <c r="O662" s="7"/>
      <c r="P662" s="6"/>
      <c r="Q662" s="7"/>
      <c r="R662" s="6"/>
      <c r="S662" s="6"/>
      <c r="T662" s="6"/>
      <c r="U662" s="6"/>
      <c r="V662" s="7"/>
      <c r="W662" s="6"/>
      <c r="X662" s="6"/>
      <c r="Y662" s="6"/>
      <c r="Z662" s="6"/>
      <c r="AA662" s="1"/>
      <c r="AB662" s="12"/>
      <c r="AC662" s="12"/>
      <c r="AD662" s="12"/>
      <c r="AE662" s="12"/>
      <c r="AF662" s="6"/>
      <c r="AG662" s="12"/>
      <c r="AH662" s="6"/>
      <c r="AI662" s="6"/>
      <c r="AJ662" s="12"/>
      <c r="AK662" s="12"/>
      <c r="AL662" s="12"/>
      <c r="AM662" s="12"/>
      <c r="AN662" s="1"/>
      <c r="AO662" s="6"/>
    </row>
    <row r="663" spans="1:41" ht="15" x14ac:dyDescent="0.25">
      <c r="A663" s="1"/>
      <c r="B663" s="1"/>
      <c r="C663" s="1"/>
      <c r="D663" s="1"/>
      <c r="E663" s="6"/>
      <c r="F663" s="1"/>
      <c r="G663" s="6"/>
      <c r="H663" s="6"/>
      <c r="I663" s="6"/>
      <c r="J663" s="6"/>
      <c r="K663" s="6"/>
      <c r="L663" s="6"/>
      <c r="M663" s="6"/>
      <c r="N663" s="6"/>
      <c r="O663" s="7"/>
      <c r="P663" s="12"/>
      <c r="Q663" s="6"/>
      <c r="R663" s="7"/>
      <c r="S663" s="6"/>
      <c r="T663" s="6"/>
      <c r="U663" s="7"/>
      <c r="V663" s="6"/>
      <c r="W663" s="6"/>
      <c r="X663" s="6"/>
      <c r="Y663" s="6"/>
      <c r="Z663" s="6"/>
      <c r="AA663" s="7"/>
      <c r="AB663" s="6"/>
      <c r="AC663" s="6"/>
      <c r="AD663" s="6"/>
      <c r="AE663" s="12"/>
      <c r="AF663" s="12"/>
      <c r="AG663" s="12"/>
      <c r="AH663" s="12"/>
      <c r="AI663" s="6"/>
      <c r="AJ663" s="12"/>
      <c r="AK663" s="1"/>
      <c r="AL663" s="12"/>
      <c r="AM663" s="12"/>
      <c r="AN663" s="1"/>
      <c r="AO663" s="6"/>
    </row>
    <row r="664" spans="1:41" ht="15" x14ac:dyDescent="0.25">
      <c r="A664" s="1"/>
      <c r="B664" s="1"/>
      <c r="C664" s="1"/>
      <c r="D664" s="1"/>
      <c r="E664" s="6"/>
      <c r="F664" s="1"/>
      <c r="G664" s="6"/>
      <c r="H664" s="6"/>
      <c r="I664" s="6"/>
      <c r="J664" s="6"/>
      <c r="K664" s="6"/>
      <c r="L664" s="6"/>
      <c r="M664" s="6"/>
      <c r="N664" s="6"/>
      <c r="O664" s="7"/>
      <c r="P664" s="6"/>
      <c r="Q664" s="6"/>
      <c r="R664" s="7"/>
      <c r="S664" s="6"/>
      <c r="T664" s="6"/>
      <c r="U664" s="7"/>
      <c r="V664" s="6"/>
      <c r="W664" s="6"/>
      <c r="X664" s="6"/>
      <c r="Y664" s="6"/>
      <c r="Z664" s="6"/>
      <c r="AA664" s="7"/>
      <c r="AB664" s="6"/>
      <c r="AC664" s="6"/>
      <c r="AD664" s="6"/>
      <c r="AE664" s="12"/>
      <c r="AF664" s="6"/>
      <c r="AG664" s="12"/>
      <c r="AH664" s="6"/>
      <c r="AI664" s="6"/>
      <c r="AJ664" s="12"/>
      <c r="AK664" s="1"/>
      <c r="AL664" s="12"/>
      <c r="AM664" s="12"/>
      <c r="AN664" s="1"/>
      <c r="AO664" s="6"/>
    </row>
    <row r="665" spans="1:41" ht="15" x14ac:dyDescent="0.25">
      <c r="A665" s="1"/>
      <c r="B665" s="1"/>
      <c r="C665" s="1"/>
      <c r="D665" s="1"/>
      <c r="E665" s="6"/>
      <c r="F665" s="1"/>
      <c r="G665" s="6"/>
      <c r="H665" s="6"/>
      <c r="I665" s="6"/>
      <c r="J665" s="6"/>
      <c r="K665" s="6"/>
      <c r="L665" s="6"/>
      <c r="M665" s="6"/>
      <c r="N665" s="6"/>
      <c r="O665" s="7"/>
      <c r="P665" s="6"/>
      <c r="Q665" s="6"/>
      <c r="R665" s="12"/>
      <c r="S665" s="12"/>
      <c r="T665" s="12"/>
      <c r="U665" s="7"/>
      <c r="V665" s="6"/>
      <c r="W665" s="6"/>
      <c r="X665" s="12"/>
      <c r="Y665" s="6"/>
      <c r="Z665" s="6"/>
      <c r="AA665" s="7"/>
      <c r="AB665" s="6"/>
      <c r="AC665" s="6"/>
      <c r="AD665" s="6"/>
      <c r="AE665" s="12"/>
      <c r="AF665" s="12"/>
      <c r="AG665" s="12"/>
      <c r="AH665" s="12"/>
      <c r="AI665" s="6"/>
      <c r="AJ665" s="12"/>
      <c r="AK665" s="24"/>
      <c r="AL665" s="25"/>
      <c r="AM665" s="12"/>
      <c r="AN665" s="1"/>
      <c r="AO665" s="6"/>
    </row>
    <row r="666" spans="1:41" ht="15" x14ac:dyDescent="0.25">
      <c r="A666" s="1"/>
      <c r="B666" s="1"/>
      <c r="C666" s="1"/>
      <c r="D666" s="1"/>
      <c r="E666" s="6"/>
      <c r="F666" s="1"/>
      <c r="G666" s="6"/>
      <c r="H666" s="6"/>
      <c r="I666" s="6"/>
      <c r="J666" s="6"/>
      <c r="K666" s="6"/>
      <c r="L666" s="6"/>
      <c r="M666" s="6"/>
      <c r="N666" s="6"/>
      <c r="O666" s="7"/>
      <c r="P666" s="6"/>
      <c r="Q666" s="6"/>
      <c r="R666" s="7"/>
      <c r="S666" s="6"/>
      <c r="T666" s="6"/>
      <c r="U666" s="7"/>
      <c r="V666" s="6"/>
      <c r="W666" s="6"/>
      <c r="X666" s="12"/>
      <c r="Y666" s="6"/>
      <c r="Z666" s="6"/>
      <c r="AA666" s="7"/>
      <c r="AB666" s="6"/>
      <c r="AC666" s="6"/>
      <c r="AD666" s="6"/>
      <c r="AE666" s="12"/>
      <c r="AF666" s="6"/>
      <c r="AG666" s="12"/>
      <c r="AH666" s="6"/>
      <c r="AI666" s="6"/>
      <c r="AJ666" s="12"/>
      <c r="AK666" s="24"/>
      <c r="AL666" s="25"/>
      <c r="AM666" s="12"/>
      <c r="AN666" s="1"/>
      <c r="AO666" s="6"/>
    </row>
    <row r="667" spans="1:41" ht="15" x14ac:dyDescent="0.25">
      <c r="A667" s="1"/>
      <c r="B667" s="1"/>
      <c r="C667" s="1"/>
      <c r="D667" s="1"/>
      <c r="E667" s="6"/>
      <c r="F667" s="1"/>
      <c r="G667" s="6"/>
      <c r="H667" s="6"/>
      <c r="I667" s="6"/>
      <c r="J667" s="6"/>
      <c r="K667" s="6"/>
      <c r="L667" s="6"/>
      <c r="M667" s="6"/>
      <c r="N667" s="6"/>
      <c r="O667" s="7"/>
      <c r="P667" s="12"/>
      <c r="Q667" s="6"/>
      <c r="R667" s="7"/>
      <c r="S667" s="6"/>
      <c r="T667" s="6"/>
      <c r="U667" s="7"/>
      <c r="V667" s="6"/>
      <c r="W667" s="6"/>
      <c r="X667" s="6"/>
      <c r="Y667" s="6"/>
      <c r="Z667" s="6"/>
      <c r="AA667" s="7"/>
      <c r="AB667" s="6"/>
      <c r="AC667" s="6"/>
      <c r="AD667" s="6"/>
      <c r="AE667" s="12"/>
      <c r="AF667" s="6"/>
      <c r="AG667" s="12"/>
      <c r="AH667" s="6"/>
      <c r="AI667" s="6"/>
      <c r="AJ667" s="12"/>
      <c r="AK667" s="24"/>
      <c r="AL667" s="25"/>
      <c r="AM667" s="12"/>
      <c r="AN667" s="1"/>
      <c r="AO667" s="6"/>
    </row>
    <row r="668" spans="1:41" ht="15" x14ac:dyDescent="0.25">
      <c r="A668" s="1"/>
      <c r="B668" s="1"/>
      <c r="C668" s="1"/>
      <c r="D668" s="1"/>
      <c r="E668" s="6"/>
      <c r="F668" s="1"/>
      <c r="G668" s="6"/>
      <c r="H668" s="6"/>
      <c r="I668" s="6"/>
      <c r="J668" s="6"/>
      <c r="K668" s="6"/>
      <c r="L668" s="6"/>
      <c r="M668" s="6"/>
      <c r="N668" s="6"/>
      <c r="O668" s="7"/>
      <c r="P668" s="6"/>
      <c r="Q668" s="6"/>
      <c r="R668" s="12"/>
      <c r="S668" s="12"/>
      <c r="T668" s="12"/>
      <c r="U668" s="7"/>
      <c r="V668" s="6"/>
      <c r="W668" s="6"/>
      <c r="X668" s="12"/>
      <c r="Y668" s="6"/>
      <c r="Z668" s="6"/>
      <c r="AA668" s="7"/>
      <c r="AB668" s="6"/>
      <c r="AC668" s="6"/>
      <c r="AD668" s="6"/>
      <c r="AE668" s="12"/>
      <c r="AF668" s="6"/>
      <c r="AG668" s="12"/>
      <c r="AH668" s="6"/>
      <c r="AI668" s="6"/>
      <c r="AJ668" s="12"/>
      <c r="AK668" s="1"/>
      <c r="AL668" s="12"/>
      <c r="AM668" s="12"/>
      <c r="AN668" s="1"/>
      <c r="AO668" s="6"/>
    </row>
    <row r="669" spans="1:41" ht="15" x14ac:dyDescent="0.25">
      <c r="A669" s="1"/>
      <c r="B669" s="1"/>
      <c r="C669" s="1"/>
      <c r="D669" s="1"/>
      <c r="E669" s="6"/>
      <c r="F669" s="1"/>
      <c r="G669" s="6"/>
      <c r="H669" s="6"/>
      <c r="I669" s="6"/>
      <c r="J669" s="6"/>
      <c r="K669" s="6"/>
      <c r="L669" s="6"/>
      <c r="M669" s="6"/>
      <c r="N669" s="6"/>
      <c r="O669" s="7"/>
      <c r="P669" s="6"/>
      <c r="Q669" s="6"/>
      <c r="R669" s="7"/>
      <c r="S669" s="6"/>
      <c r="T669" s="6"/>
      <c r="U669" s="7"/>
      <c r="V669" s="6"/>
      <c r="W669" s="6"/>
      <c r="X669" s="6"/>
      <c r="Y669" s="6"/>
      <c r="Z669" s="6"/>
      <c r="AA669" s="7"/>
      <c r="AB669" s="6"/>
      <c r="AC669" s="6"/>
      <c r="AD669" s="6"/>
      <c r="AE669" s="12"/>
      <c r="AF669" s="12"/>
      <c r="AG669" s="12"/>
      <c r="AH669" s="12"/>
      <c r="AI669" s="6"/>
      <c r="AJ669" s="12"/>
      <c r="AK669" s="1"/>
      <c r="AL669" s="12"/>
      <c r="AM669" s="12"/>
      <c r="AN669" s="1"/>
      <c r="AO669" s="6"/>
    </row>
    <row r="670" spans="1:41" ht="15" x14ac:dyDescent="0.25">
      <c r="A670" s="1"/>
      <c r="B670" s="1"/>
      <c r="C670" s="1"/>
      <c r="D670" s="1"/>
      <c r="E670" s="6"/>
      <c r="F670" s="1"/>
      <c r="G670" s="6"/>
      <c r="H670" s="6"/>
      <c r="I670" s="6"/>
      <c r="J670" s="6"/>
      <c r="K670" s="6"/>
      <c r="L670" s="6"/>
      <c r="M670" s="6"/>
      <c r="N670" s="6"/>
      <c r="O670" s="7"/>
      <c r="P670" s="6"/>
      <c r="Q670" s="6"/>
      <c r="R670" s="7"/>
      <c r="S670" s="6"/>
      <c r="T670" s="6"/>
      <c r="U670" s="7"/>
      <c r="V670" s="6"/>
      <c r="W670" s="6"/>
      <c r="X670" s="12"/>
      <c r="Y670" s="6"/>
      <c r="Z670" s="6"/>
      <c r="AA670" s="7"/>
      <c r="AB670" s="6"/>
      <c r="AC670" s="6"/>
      <c r="AD670" s="6"/>
      <c r="AE670" s="12"/>
      <c r="AF670" s="12"/>
      <c r="AG670" s="12"/>
      <c r="AH670" s="12"/>
      <c r="AI670" s="6"/>
      <c r="AJ670" s="12"/>
      <c r="AK670" s="1"/>
      <c r="AL670" s="12"/>
      <c r="AM670" s="12"/>
      <c r="AN670" s="1"/>
      <c r="AO670" s="6"/>
    </row>
    <row r="671" spans="1:41" ht="15" x14ac:dyDescent="0.25">
      <c r="A671" s="1"/>
      <c r="B671" s="1"/>
      <c r="C671" s="1"/>
      <c r="D671" s="1"/>
      <c r="E671" s="6"/>
      <c r="F671" s="1"/>
      <c r="G671" s="6"/>
      <c r="H671" s="6"/>
      <c r="I671" s="6"/>
      <c r="J671" s="6"/>
      <c r="K671" s="6"/>
      <c r="L671" s="6"/>
      <c r="M671" s="6"/>
      <c r="N671" s="6"/>
      <c r="O671" s="7"/>
      <c r="P671" s="6"/>
      <c r="Q671" s="6"/>
      <c r="R671" s="7"/>
      <c r="S671" s="6"/>
      <c r="T671" s="6"/>
      <c r="U671" s="7"/>
      <c r="V671" s="6"/>
      <c r="W671" s="6"/>
      <c r="X671" s="6"/>
      <c r="Y671" s="6"/>
      <c r="Z671" s="6"/>
      <c r="AA671" s="7"/>
      <c r="AB671" s="6"/>
      <c r="AC671" s="6"/>
      <c r="AD671" s="6"/>
      <c r="AE671" s="12"/>
      <c r="AF671" s="6"/>
      <c r="AG671" s="12"/>
      <c r="AH671" s="6"/>
      <c r="AI671" s="6"/>
      <c r="AJ671" s="12"/>
      <c r="AK671" s="1"/>
      <c r="AL671" s="12"/>
      <c r="AM671" s="12"/>
      <c r="AN671" s="1"/>
      <c r="AO671" s="6"/>
    </row>
    <row r="672" spans="1:41" ht="15" x14ac:dyDescent="0.25">
      <c r="A672" s="1"/>
      <c r="B672" s="1"/>
      <c r="C672" s="1"/>
      <c r="D672" s="1"/>
      <c r="E672" s="6"/>
      <c r="F672" s="1"/>
      <c r="G672" s="6"/>
      <c r="H672" s="6"/>
      <c r="I672" s="6"/>
      <c r="J672" s="6"/>
      <c r="K672" s="6"/>
      <c r="L672" s="6"/>
      <c r="M672" s="6"/>
      <c r="N672" s="6"/>
      <c r="O672" s="7"/>
      <c r="P672" s="6"/>
      <c r="Q672" s="6"/>
      <c r="R672" s="7"/>
      <c r="S672" s="6"/>
      <c r="T672" s="6"/>
      <c r="U672" s="7"/>
      <c r="V672" s="6"/>
      <c r="W672" s="6"/>
      <c r="X672" s="6"/>
      <c r="Y672" s="6"/>
      <c r="Z672" s="6"/>
      <c r="AA672" s="7"/>
      <c r="AB672" s="6"/>
      <c r="AC672" s="6"/>
      <c r="AD672" s="6"/>
      <c r="AE672" s="12"/>
      <c r="AF672" s="6"/>
      <c r="AG672" s="12"/>
      <c r="AH672" s="6"/>
      <c r="AI672" s="6"/>
      <c r="AJ672" s="12"/>
      <c r="AK672" s="1"/>
      <c r="AL672" s="12"/>
      <c r="AM672" s="12"/>
      <c r="AN672" s="1"/>
      <c r="AO672" s="6"/>
    </row>
    <row r="673" spans="1:41" ht="15" x14ac:dyDescent="0.25">
      <c r="A673" s="1"/>
      <c r="B673" s="1"/>
      <c r="C673" s="1"/>
      <c r="D673" s="1"/>
      <c r="E673" s="6"/>
      <c r="F673" s="1"/>
      <c r="G673" s="6"/>
      <c r="H673" s="6"/>
      <c r="I673" s="6"/>
      <c r="J673" s="6"/>
      <c r="K673" s="6"/>
      <c r="L673" s="6"/>
      <c r="M673" s="6"/>
      <c r="N673" s="6"/>
      <c r="O673" s="7"/>
      <c r="P673" s="6"/>
      <c r="Q673" s="6"/>
      <c r="R673" s="7"/>
      <c r="S673" s="6"/>
      <c r="T673" s="6"/>
      <c r="U673" s="7"/>
      <c r="V673" s="6"/>
      <c r="W673" s="6"/>
      <c r="X673" s="6"/>
      <c r="Y673" s="6"/>
      <c r="Z673" s="6"/>
      <c r="AA673" s="7"/>
      <c r="AB673" s="6"/>
      <c r="AC673" s="6"/>
      <c r="AD673" s="6"/>
      <c r="AE673" s="12"/>
      <c r="AF673" s="12"/>
      <c r="AG673" s="12"/>
      <c r="AH673" s="12"/>
      <c r="AI673" s="6"/>
      <c r="AJ673" s="12"/>
      <c r="AK673" s="1"/>
      <c r="AL673" s="12"/>
      <c r="AM673" s="12"/>
      <c r="AN673" s="1"/>
      <c r="AO673" s="6"/>
    </row>
    <row r="674" spans="1:41" ht="15" x14ac:dyDescent="0.25">
      <c r="A674" s="1"/>
      <c r="B674" s="1"/>
      <c r="C674" s="1"/>
      <c r="D674" s="1"/>
      <c r="E674" s="6"/>
      <c r="F674" s="1"/>
      <c r="G674" s="6"/>
      <c r="H674" s="6"/>
      <c r="I674" s="6"/>
      <c r="J674" s="6"/>
      <c r="K674" s="6"/>
      <c r="L674" s="6"/>
      <c r="M674" s="6"/>
      <c r="N674" s="6"/>
      <c r="O674" s="7"/>
      <c r="P674" s="6"/>
      <c r="Q674" s="6"/>
      <c r="R674" s="7"/>
      <c r="S674" s="6"/>
      <c r="T674" s="6"/>
      <c r="U674" s="7"/>
      <c r="V674" s="6"/>
      <c r="W674" s="6"/>
      <c r="X674" s="12"/>
      <c r="Y674" s="6"/>
      <c r="Z674" s="6"/>
      <c r="AA674" s="7"/>
      <c r="AB674" s="6"/>
      <c r="AC674" s="6"/>
      <c r="AD674" s="6"/>
      <c r="AE674" s="12"/>
      <c r="AF674" s="6"/>
      <c r="AG674" s="12"/>
      <c r="AH674" s="6"/>
      <c r="AI674" s="6"/>
      <c r="AJ674" s="12"/>
      <c r="AK674" s="24"/>
      <c r="AL674" s="25"/>
      <c r="AM674" s="12"/>
      <c r="AN674" s="1"/>
      <c r="AO674" s="6"/>
    </row>
    <row r="675" spans="1:41" ht="15" x14ac:dyDescent="0.25">
      <c r="A675" s="1"/>
      <c r="B675" s="1"/>
      <c r="C675" s="1"/>
      <c r="D675" s="1"/>
      <c r="E675" s="6"/>
      <c r="F675" s="1"/>
      <c r="G675" s="6"/>
      <c r="H675" s="6"/>
      <c r="I675" s="6"/>
      <c r="J675" s="6"/>
      <c r="K675" s="6"/>
      <c r="L675" s="6"/>
      <c r="M675" s="6"/>
      <c r="N675" s="6"/>
      <c r="O675" s="7"/>
      <c r="P675" s="6"/>
      <c r="Q675" s="6"/>
      <c r="R675" s="7"/>
      <c r="S675" s="6"/>
      <c r="T675" s="6"/>
      <c r="U675" s="7"/>
      <c r="V675" s="6"/>
      <c r="W675" s="6"/>
      <c r="X675" s="12"/>
      <c r="Y675" s="6"/>
      <c r="Z675" s="6"/>
      <c r="AA675" s="7"/>
      <c r="AB675" s="6"/>
      <c r="AC675" s="6"/>
      <c r="AD675" s="6"/>
      <c r="AE675" s="12"/>
      <c r="AF675" s="6"/>
      <c r="AG675" s="12"/>
      <c r="AH675" s="6"/>
      <c r="AI675" s="6"/>
      <c r="AJ675" s="12"/>
      <c r="AK675" s="1"/>
      <c r="AL675" s="12"/>
      <c r="AM675" s="12"/>
      <c r="AN675" s="1"/>
      <c r="AO675" s="6"/>
    </row>
    <row r="676" spans="1:41" ht="15" x14ac:dyDescent="0.25">
      <c r="A676" s="1"/>
      <c r="B676" s="1"/>
      <c r="C676" s="1"/>
      <c r="D676" s="1"/>
      <c r="E676" s="6"/>
      <c r="F676" s="1"/>
      <c r="G676" s="6"/>
      <c r="H676" s="6"/>
      <c r="I676" s="6"/>
      <c r="J676" s="6"/>
      <c r="K676" s="6"/>
      <c r="L676" s="6"/>
      <c r="M676" s="6"/>
      <c r="N676" s="6"/>
      <c r="O676" s="7"/>
      <c r="P676" s="6"/>
      <c r="Q676" s="7"/>
      <c r="R676" s="6"/>
      <c r="S676" s="6"/>
      <c r="T676" s="6"/>
      <c r="U676" s="6"/>
      <c r="V676" s="7"/>
      <c r="W676" s="6"/>
      <c r="X676" s="6"/>
      <c r="Y676" s="6"/>
      <c r="Z676" s="6"/>
      <c r="AA676" s="24"/>
      <c r="AB676" s="25"/>
      <c r="AC676" s="12"/>
      <c r="AD676" s="12"/>
      <c r="AE676" s="12"/>
      <c r="AF676" s="6"/>
      <c r="AG676" s="12"/>
      <c r="AH676" s="6"/>
      <c r="AI676" s="6"/>
      <c r="AJ676" s="12"/>
      <c r="AK676" s="12"/>
      <c r="AL676" s="12"/>
      <c r="AM676" s="12"/>
      <c r="AN676" s="1"/>
      <c r="AO676" s="6"/>
    </row>
    <row r="677" spans="1:41" ht="15" x14ac:dyDescent="0.25">
      <c r="A677" s="1"/>
      <c r="B677" s="1"/>
      <c r="C677" s="1"/>
      <c r="D677" s="1"/>
      <c r="E677" s="6"/>
      <c r="F677" s="1"/>
      <c r="G677" s="6"/>
      <c r="H677" s="6"/>
      <c r="I677" s="6"/>
      <c r="J677" s="6"/>
      <c r="K677" s="6"/>
      <c r="L677" s="6"/>
      <c r="M677" s="6"/>
      <c r="N677" s="6"/>
      <c r="O677" s="7"/>
      <c r="P677" s="6"/>
      <c r="Q677" s="6"/>
      <c r="R677" s="7"/>
      <c r="S677" s="6"/>
      <c r="T677" s="6"/>
      <c r="U677" s="6"/>
      <c r="V677" s="6"/>
      <c r="W677" s="6"/>
      <c r="X677" s="7"/>
      <c r="Y677" s="6"/>
      <c r="Z677" s="6"/>
      <c r="AA677" s="7"/>
      <c r="AB677" s="6"/>
      <c r="AC677" s="6"/>
      <c r="AD677" s="6"/>
      <c r="AE677" s="12"/>
      <c r="AF677" s="6"/>
      <c r="AG677" s="12"/>
      <c r="AH677" s="6"/>
      <c r="AI677" s="6"/>
      <c r="AJ677" s="12"/>
      <c r="AK677" s="6"/>
      <c r="AL677" s="12"/>
      <c r="AM677" s="12"/>
      <c r="AN677" s="1"/>
      <c r="AO677" s="6"/>
    </row>
    <row r="678" spans="1:41" ht="15" x14ac:dyDescent="0.25">
      <c r="A678" s="1"/>
      <c r="B678" s="1"/>
      <c r="C678" s="1"/>
      <c r="D678" s="1"/>
      <c r="E678" s="6"/>
      <c r="F678" s="1"/>
      <c r="G678" s="6"/>
      <c r="H678" s="6"/>
      <c r="I678" s="6"/>
      <c r="J678" s="6"/>
      <c r="K678" s="12"/>
      <c r="L678" s="12"/>
      <c r="M678" s="6"/>
      <c r="N678" s="6"/>
      <c r="O678" s="7"/>
      <c r="P678" s="6"/>
      <c r="Q678" s="6"/>
      <c r="R678" s="7"/>
      <c r="S678" s="6"/>
      <c r="T678" s="6"/>
      <c r="U678" s="7"/>
      <c r="V678" s="6"/>
      <c r="W678" s="6"/>
      <c r="X678" s="12"/>
      <c r="Y678" s="6"/>
      <c r="Z678" s="6"/>
      <c r="AA678" s="7"/>
      <c r="AB678" s="6"/>
      <c r="AC678" s="6"/>
      <c r="AD678" s="6"/>
      <c r="AE678" s="12"/>
      <c r="AF678" s="12"/>
      <c r="AG678" s="12"/>
      <c r="AH678" s="12"/>
      <c r="AI678" s="6"/>
      <c r="AJ678" s="12"/>
      <c r="AK678" s="24"/>
      <c r="AL678" s="25"/>
      <c r="AM678" s="12"/>
      <c r="AN678" s="1"/>
      <c r="AO678" s="6"/>
    </row>
    <row r="679" spans="1:41" ht="15" x14ac:dyDescent="0.25">
      <c r="A679" s="1"/>
      <c r="B679" s="1"/>
      <c r="C679" s="1"/>
      <c r="D679" s="1"/>
      <c r="E679" s="6"/>
      <c r="F679" s="1"/>
      <c r="G679" s="6"/>
      <c r="H679" s="6"/>
      <c r="I679" s="6"/>
      <c r="J679" s="6"/>
      <c r="K679" s="6"/>
      <c r="L679" s="6"/>
      <c r="M679" s="6"/>
      <c r="N679" s="6"/>
      <c r="O679" s="7"/>
      <c r="P679" s="6"/>
      <c r="Q679" s="6"/>
      <c r="R679" s="7"/>
      <c r="S679" s="6"/>
      <c r="T679" s="6"/>
      <c r="U679" s="7"/>
      <c r="V679" s="6"/>
      <c r="W679" s="6"/>
      <c r="X679" s="12"/>
      <c r="Y679" s="6"/>
      <c r="Z679" s="6"/>
      <c r="AA679" s="7"/>
      <c r="AB679" s="6"/>
      <c r="AC679" s="6"/>
      <c r="AD679" s="6"/>
      <c r="AE679" s="12"/>
      <c r="AF679" s="12"/>
      <c r="AG679" s="12"/>
      <c r="AH679" s="12"/>
      <c r="AI679" s="6"/>
      <c r="AJ679" s="12"/>
      <c r="AK679" s="1"/>
      <c r="AL679" s="12"/>
      <c r="AM679" s="12"/>
      <c r="AN679" s="1"/>
      <c r="AO679" s="6"/>
    </row>
    <row r="680" spans="1:41" ht="15" x14ac:dyDescent="0.25">
      <c r="A680" s="1"/>
      <c r="B680" s="1"/>
      <c r="C680" s="1"/>
      <c r="D680" s="1"/>
      <c r="E680" s="6"/>
      <c r="F680" s="1"/>
      <c r="G680" s="6"/>
      <c r="H680" s="6"/>
      <c r="I680" s="6"/>
      <c r="J680" s="6"/>
      <c r="K680" s="6"/>
      <c r="L680" s="6"/>
      <c r="M680" s="6"/>
      <c r="N680" s="6"/>
      <c r="O680" s="7"/>
      <c r="P680" s="6"/>
      <c r="Q680" s="6"/>
      <c r="R680" s="7"/>
      <c r="S680" s="6"/>
      <c r="T680" s="6"/>
      <c r="U680" s="7"/>
      <c r="V680" s="6"/>
      <c r="W680" s="6"/>
      <c r="X680" s="6"/>
      <c r="Y680" s="6"/>
      <c r="Z680" s="6"/>
      <c r="AA680" s="7"/>
      <c r="AB680" s="6"/>
      <c r="AC680" s="6"/>
      <c r="AD680" s="6"/>
      <c r="AE680" s="12"/>
      <c r="AF680" s="6"/>
      <c r="AG680" s="12"/>
      <c r="AH680" s="6"/>
      <c r="AI680" s="6"/>
      <c r="AJ680" s="12"/>
      <c r="AK680" s="24"/>
      <c r="AL680" s="25"/>
      <c r="AM680" s="12"/>
      <c r="AN680" s="1"/>
      <c r="AO680" s="6"/>
    </row>
    <row r="681" spans="1:41" ht="15" x14ac:dyDescent="0.25">
      <c r="A681" s="1"/>
      <c r="B681" s="1"/>
      <c r="C681" s="1"/>
      <c r="D681" s="1"/>
      <c r="E681" s="6"/>
      <c r="F681" s="1"/>
      <c r="G681" s="6"/>
      <c r="H681" s="6"/>
      <c r="I681" s="6"/>
      <c r="J681" s="6"/>
      <c r="K681" s="6"/>
      <c r="L681" s="6"/>
      <c r="M681" s="6"/>
      <c r="N681" s="6"/>
      <c r="O681" s="7"/>
      <c r="P681" s="6"/>
      <c r="Q681" s="6"/>
      <c r="R681" s="7"/>
      <c r="S681" s="6"/>
      <c r="T681" s="6"/>
      <c r="U681" s="7"/>
      <c r="V681" s="6"/>
      <c r="W681" s="6"/>
      <c r="X681" s="6"/>
      <c r="Y681" s="6"/>
      <c r="Z681" s="6"/>
      <c r="AA681" s="7"/>
      <c r="AB681" s="6"/>
      <c r="AC681" s="6"/>
      <c r="AD681" s="6"/>
      <c r="AE681" s="12"/>
      <c r="AF681" s="6"/>
      <c r="AG681" s="12"/>
      <c r="AH681" s="6"/>
      <c r="AI681" s="6"/>
      <c r="AJ681" s="12"/>
      <c r="AK681" s="24"/>
      <c r="AL681" s="25"/>
      <c r="AM681" s="12"/>
      <c r="AN681" s="1"/>
      <c r="AO681" s="6"/>
    </row>
    <row r="682" spans="1:41" ht="15" x14ac:dyDescent="0.25">
      <c r="A682" s="1"/>
      <c r="B682" s="1"/>
      <c r="C682" s="1"/>
      <c r="D682" s="1"/>
      <c r="E682" s="6"/>
      <c r="F682" s="1"/>
      <c r="G682" s="6"/>
      <c r="H682" s="6"/>
      <c r="I682" s="6"/>
      <c r="J682" s="6"/>
      <c r="K682" s="6"/>
      <c r="L682" s="6"/>
      <c r="M682" s="6"/>
      <c r="N682" s="6"/>
      <c r="O682" s="7"/>
      <c r="P682" s="6"/>
      <c r="Q682" s="7"/>
      <c r="R682" s="6"/>
      <c r="S682" s="6"/>
      <c r="T682" s="6"/>
      <c r="U682" s="6"/>
      <c r="V682" s="7"/>
      <c r="W682" s="7"/>
      <c r="X682" s="6"/>
      <c r="Y682" s="6"/>
      <c r="Z682" s="6"/>
      <c r="AA682" s="1"/>
      <c r="AB682" s="12"/>
      <c r="AC682" s="12"/>
      <c r="AD682" s="12"/>
      <c r="AE682" s="12"/>
      <c r="AF682" s="12"/>
      <c r="AG682" s="12"/>
      <c r="AH682" s="12"/>
      <c r="AI682" s="6"/>
      <c r="AJ682" s="12"/>
      <c r="AK682" s="12"/>
      <c r="AL682" s="12"/>
      <c r="AM682" s="12"/>
      <c r="AN682" s="1"/>
      <c r="AO682" s="6"/>
    </row>
    <row r="683" spans="1:41" ht="15" x14ac:dyDescent="0.25">
      <c r="A683" s="1"/>
      <c r="B683" s="1"/>
      <c r="C683" s="1"/>
      <c r="D683" s="1"/>
      <c r="E683" s="6"/>
      <c r="F683" s="1"/>
      <c r="G683" s="6"/>
      <c r="H683" s="6"/>
      <c r="I683" s="6"/>
      <c r="J683" s="6"/>
      <c r="K683" s="6"/>
      <c r="L683" s="6"/>
      <c r="M683" s="6"/>
      <c r="N683" s="6"/>
      <c r="O683" s="7"/>
      <c r="P683" s="6"/>
      <c r="Q683" s="6"/>
      <c r="R683" s="7"/>
      <c r="S683" s="6"/>
      <c r="T683" s="12"/>
      <c r="U683" s="6"/>
      <c r="V683" s="6"/>
      <c r="W683" s="6"/>
      <c r="X683" s="7"/>
      <c r="Y683" s="6"/>
      <c r="Z683" s="6"/>
      <c r="AA683" s="7"/>
      <c r="AB683" s="6"/>
      <c r="AC683" s="6"/>
      <c r="AD683" s="6"/>
      <c r="AE683" s="12"/>
      <c r="AF683" s="6"/>
      <c r="AG683" s="12"/>
      <c r="AH683" s="6"/>
      <c r="AI683" s="6"/>
      <c r="AJ683" s="12"/>
      <c r="AK683" s="6"/>
      <c r="AL683" s="12"/>
      <c r="AM683" s="12"/>
      <c r="AN683" s="1"/>
      <c r="AO683" s="6"/>
    </row>
    <row r="684" spans="1:41" ht="15" x14ac:dyDescent="0.25">
      <c r="A684" s="1"/>
      <c r="B684" s="1"/>
      <c r="C684" s="1"/>
      <c r="D684" s="1"/>
      <c r="E684" s="6"/>
      <c r="F684" s="1"/>
      <c r="G684" s="6"/>
      <c r="H684" s="6"/>
      <c r="I684" s="6"/>
      <c r="J684" s="6"/>
      <c r="K684" s="6"/>
      <c r="L684" s="6"/>
      <c r="M684" s="6"/>
      <c r="N684" s="6"/>
      <c r="O684" s="7"/>
      <c r="P684" s="6"/>
      <c r="Q684" s="7"/>
      <c r="R684" s="6"/>
      <c r="S684" s="6"/>
      <c r="T684" s="6"/>
      <c r="U684" s="6"/>
      <c r="V684" s="7"/>
      <c r="W684" s="7"/>
      <c r="X684" s="6"/>
      <c r="Y684" s="6"/>
      <c r="Z684" s="6"/>
      <c r="AA684" s="1"/>
      <c r="AB684" s="12"/>
      <c r="AC684" s="12"/>
      <c r="AD684" s="12"/>
      <c r="AE684" s="12"/>
      <c r="AF684" s="6"/>
      <c r="AG684" s="12"/>
      <c r="AH684" s="6"/>
      <c r="AI684" s="6"/>
      <c r="AJ684" s="12"/>
      <c r="AK684" s="12"/>
      <c r="AL684" s="12"/>
      <c r="AM684" s="12"/>
      <c r="AN684" s="1"/>
      <c r="AO684" s="6"/>
    </row>
    <row r="685" spans="1:41" ht="15" x14ac:dyDescent="0.25">
      <c r="A685" s="1"/>
      <c r="B685" s="1"/>
      <c r="C685" s="1"/>
      <c r="D685" s="1"/>
      <c r="E685" s="6"/>
      <c r="F685" s="1"/>
      <c r="G685" s="6"/>
      <c r="H685" s="6"/>
      <c r="I685" s="6"/>
      <c r="J685" s="6"/>
      <c r="K685" s="6"/>
      <c r="L685" s="6"/>
      <c r="M685" s="6"/>
      <c r="N685" s="6"/>
      <c r="O685" s="7"/>
      <c r="P685" s="6"/>
      <c r="Q685" s="7"/>
      <c r="R685" s="6"/>
      <c r="S685" s="6"/>
      <c r="T685" s="6"/>
      <c r="U685" s="6"/>
      <c r="V685" s="7"/>
      <c r="W685" s="6"/>
      <c r="X685" s="6"/>
      <c r="Y685" s="6"/>
      <c r="Z685" s="6"/>
      <c r="AA685" s="24"/>
      <c r="AB685" s="25"/>
      <c r="AC685" s="12"/>
      <c r="AD685" s="12"/>
      <c r="AE685" s="12"/>
      <c r="AF685" s="6"/>
      <c r="AG685" s="12"/>
      <c r="AH685" s="6"/>
      <c r="AI685" s="6"/>
      <c r="AJ685" s="12"/>
      <c r="AK685" s="12"/>
      <c r="AL685" s="12"/>
      <c r="AM685" s="12"/>
      <c r="AN685" s="1"/>
      <c r="AO685" s="6"/>
    </row>
    <row r="686" spans="1:41" ht="15" x14ac:dyDescent="0.25">
      <c r="A686" s="1"/>
      <c r="B686" s="1"/>
      <c r="C686" s="1"/>
      <c r="D686" s="1"/>
      <c r="E686" s="6"/>
      <c r="F686" s="1"/>
      <c r="G686" s="6"/>
      <c r="H686" s="6"/>
      <c r="I686" s="6"/>
      <c r="J686" s="6"/>
      <c r="K686" s="6"/>
      <c r="L686" s="6"/>
      <c r="M686" s="6"/>
      <c r="N686" s="6"/>
      <c r="O686" s="7"/>
      <c r="P686" s="6"/>
      <c r="Q686" s="6"/>
      <c r="R686" s="7"/>
      <c r="S686" s="6"/>
      <c r="T686" s="6"/>
      <c r="U686" s="7"/>
      <c r="V686" s="6"/>
      <c r="W686" s="6"/>
      <c r="X686" s="6"/>
      <c r="Y686" s="6"/>
      <c r="Z686" s="6"/>
      <c r="AA686" s="7"/>
      <c r="AB686" s="6"/>
      <c r="AC686" s="6"/>
      <c r="AD686" s="6"/>
      <c r="AE686" s="12"/>
      <c r="AF686" s="6"/>
      <c r="AG686" s="12"/>
      <c r="AH686" s="6"/>
      <c r="AI686" s="6"/>
      <c r="AJ686" s="12"/>
      <c r="AK686" s="24"/>
      <c r="AL686" s="25"/>
      <c r="AM686" s="12"/>
      <c r="AN686" s="1"/>
      <c r="AO686" s="6"/>
    </row>
    <row r="687" spans="1:41" ht="15" x14ac:dyDescent="0.25">
      <c r="A687" s="1"/>
      <c r="B687" s="1"/>
      <c r="C687" s="1"/>
      <c r="D687" s="1"/>
      <c r="E687" s="6"/>
      <c r="F687" s="1"/>
      <c r="G687" s="6"/>
      <c r="H687" s="6"/>
      <c r="I687" s="6"/>
      <c r="J687" s="6"/>
      <c r="K687" s="6"/>
      <c r="L687" s="6"/>
      <c r="M687" s="6"/>
      <c r="N687" s="6"/>
      <c r="O687" s="7"/>
      <c r="P687" s="6"/>
      <c r="Q687" s="7"/>
      <c r="R687" s="6"/>
      <c r="S687" s="6"/>
      <c r="T687" s="6"/>
      <c r="U687" s="6"/>
      <c r="V687" s="7"/>
      <c r="W687" s="6"/>
      <c r="X687" s="6"/>
      <c r="Y687" s="6"/>
      <c r="Z687" s="6"/>
      <c r="AA687" s="1"/>
      <c r="AB687" s="12"/>
      <c r="AC687" s="12"/>
      <c r="AD687" s="12"/>
      <c r="AE687" s="12"/>
      <c r="AF687" s="6"/>
      <c r="AG687" s="12"/>
      <c r="AH687" s="6"/>
      <c r="AI687" s="6"/>
      <c r="AJ687" s="12"/>
      <c r="AK687" s="12"/>
      <c r="AL687" s="12"/>
      <c r="AM687" s="12"/>
      <c r="AN687" s="1"/>
      <c r="AO687" s="6"/>
    </row>
    <row r="688" spans="1:41" ht="15" x14ac:dyDescent="0.25">
      <c r="A688" s="1"/>
      <c r="B688" s="1"/>
      <c r="C688" s="1"/>
      <c r="D688" s="1"/>
      <c r="E688" s="6"/>
      <c r="F688" s="1"/>
      <c r="G688" s="6"/>
      <c r="H688" s="6"/>
      <c r="I688" s="6"/>
      <c r="J688" s="6"/>
      <c r="K688" s="6"/>
      <c r="L688" s="6"/>
      <c r="M688" s="6"/>
      <c r="N688" s="6"/>
      <c r="O688" s="7"/>
      <c r="P688" s="6"/>
      <c r="Q688" s="6"/>
      <c r="R688" s="7"/>
      <c r="S688" s="6"/>
      <c r="T688" s="6"/>
      <c r="U688" s="7"/>
      <c r="V688" s="6"/>
      <c r="W688" s="6"/>
      <c r="X688" s="12"/>
      <c r="Y688" s="6"/>
      <c r="Z688" s="6"/>
      <c r="AA688" s="7"/>
      <c r="AB688" s="6"/>
      <c r="AC688" s="6"/>
      <c r="AD688" s="6"/>
      <c r="AE688" s="12"/>
      <c r="AF688" s="12"/>
      <c r="AG688" s="12"/>
      <c r="AH688" s="12"/>
      <c r="AI688" s="6"/>
      <c r="AJ688" s="12"/>
      <c r="AK688" s="1"/>
      <c r="AL688" s="12"/>
      <c r="AM688" s="12"/>
      <c r="AN688" s="1"/>
      <c r="AO688" s="6"/>
    </row>
    <row r="689" spans="1:41" ht="15" x14ac:dyDescent="0.25">
      <c r="A689" s="1"/>
      <c r="B689" s="1"/>
      <c r="C689" s="1"/>
      <c r="D689" s="1"/>
      <c r="E689" s="6"/>
      <c r="F689" s="1"/>
      <c r="G689" s="6"/>
      <c r="H689" s="6"/>
      <c r="I689" s="6"/>
      <c r="J689" s="6"/>
      <c r="K689" s="6"/>
      <c r="L689" s="6"/>
      <c r="M689" s="6"/>
      <c r="N689" s="6"/>
      <c r="O689" s="7"/>
      <c r="P689" s="6"/>
      <c r="Q689" s="6"/>
      <c r="R689" s="7"/>
      <c r="S689" s="6"/>
      <c r="T689" s="6"/>
      <c r="U689" s="7"/>
      <c r="V689" s="6"/>
      <c r="W689" s="6"/>
      <c r="X689" s="6"/>
      <c r="Y689" s="6"/>
      <c r="Z689" s="6"/>
      <c r="AA689" s="7"/>
      <c r="AB689" s="6"/>
      <c r="AC689" s="6"/>
      <c r="AD689" s="6"/>
      <c r="AE689" s="12"/>
      <c r="AF689" s="12"/>
      <c r="AG689" s="12"/>
      <c r="AH689" s="12"/>
      <c r="AI689" s="6"/>
      <c r="AJ689" s="12"/>
      <c r="AK689" s="1"/>
      <c r="AL689" s="12"/>
      <c r="AM689" s="12"/>
      <c r="AN689" s="1"/>
      <c r="AO689" s="6"/>
    </row>
    <row r="690" spans="1:41" ht="15" x14ac:dyDescent="0.25">
      <c r="A690" s="1"/>
      <c r="B690" s="1"/>
      <c r="C690" s="1"/>
      <c r="D690" s="1"/>
      <c r="E690" s="6"/>
      <c r="F690" s="1"/>
      <c r="G690" s="6"/>
      <c r="H690" s="6"/>
      <c r="I690" s="6"/>
      <c r="J690" s="6"/>
      <c r="K690" s="6"/>
      <c r="L690" s="6"/>
      <c r="M690" s="6"/>
      <c r="N690" s="6"/>
      <c r="O690" s="7"/>
      <c r="P690" s="6"/>
      <c r="Q690" s="6"/>
      <c r="R690" s="7"/>
      <c r="S690" s="6"/>
      <c r="T690" s="6"/>
      <c r="U690" s="7"/>
      <c r="V690" s="6"/>
      <c r="W690" s="6"/>
      <c r="X690" s="6"/>
      <c r="Y690" s="6"/>
      <c r="Z690" s="6"/>
      <c r="AA690" s="7"/>
      <c r="AB690" s="6"/>
      <c r="AC690" s="6"/>
      <c r="AD690" s="6"/>
      <c r="AE690" s="12"/>
      <c r="AF690" s="12"/>
      <c r="AG690" s="12"/>
      <c r="AH690" s="12"/>
      <c r="AI690" s="6"/>
      <c r="AJ690" s="12"/>
      <c r="AK690" s="1"/>
      <c r="AL690" s="12"/>
      <c r="AM690" s="12"/>
      <c r="AN690" s="1"/>
      <c r="AO690" s="6"/>
    </row>
    <row r="691" spans="1:41" ht="15" x14ac:dyDescent="0.25">
      <c r="A691" s="1"/>
      <c r="B691" s="1"/>
      <c r="C691" s="1"/>
      <c r="D691" s="1"/>
      <c r="E691" s="6"/>
      <c r="F691" s="1"/>
      <c r="G691" s="6"/>
      <c r="H691" s="6"/>
      <c r="I691" s="6"/>
      <c r="J691" s="6"/>
      <c r="K691" s="6"/>
      <c r="L691" s="6"/>
      <c r="M691" s="6"/>
      <c r="N691" s="6"/>
      <c r="O691" s="7"/>
      <c r="P691" s="6"/>
      <c r="Q691" s="6"/>
      <c r="R691" s="7"/>
      <c r="S691" s="6"/>
      <c r="T691" s="6"/>
      <c r="U691" s="7"/>
      <c r="V691" s="6"/>
      <c r="W691" s="6"/>
      <c r="X691" s="6"/>
      <c r="Y691" s="6"/>
      <c r="Z691" s="6"/>
      <c r="AA691" s="7"/>
      <c r="AB691" s="6"/>
      <c r="AC691" s="6"/>
      <c r="AD691" s="6"/>
      <c r="AE691" s="12"/>
      <c r="AF691" s="6"/>
      <c r="AG691" s="12"/>
      <c r="AH691" s="6"/>
      <c r="AI691" s="6"/>
      <c r="AJ691" s="12"/>
      <c r="AK691" s="1"/>
      <c r="AL691" s="12"/>
      <c r="AM691" s="12"/>
      <c r="AN691" s="1"/>
      <c r="AO691" s="6"/>
    </row>
    <row r="692" spans="1:41" ht="15" x14ac:dyDescent="0.25">
      <c r="A692" s="1"/>
      <c r="B692" s="1"/>
      <c r="C692" s="1"/>
      <c r="D692" s="1"/>
      <c r="E692" s="6"/>
      <c r="F692" s="1"/>
      <c r="G692" s="6"/>
      <c r="H692" s="6"/>
      <c r="I692" s="6"/>
      <c r="J692" s="6"/>
      <c r="K692" s="12"/>
      <c r="L692" s="12"/>
      <c r="M692" s="6"/>
      <c r="N692" s="6"/>
      <c r="O692" s="7"/>
      <c r="P692" s="6"/>
      <c r="Q692" s="6"/>
      <c r="R692" s="7"/>
      <c r="S692" s="6"/>
      <c r="T692" s="6"/>
      <c r="U692" s="7"/>
      <c r="V692" s="6"/>
      <c r="W692" s="6"/>
      <c r="X692" s="12"/>
      <c r="Y692" s="6"/>
      <c r="Z692" s="6"/>
      <c r="AA692" s="7"/>
      <c r="AB692" s="6"/>
      <c r="AC692" s="6"/>
      <c r="AD692" s="6"/>
      <c r="AE692" s="12"/>
      <c r="AF692" s="12"/>
      <c r="AG692" s="12"/>
      <c r="AH692" s="12"/>
      <c r="AI692" s="6"/>
      <c r="AJ692" s="12"/>
      <c r="AK692" s="1"/>
      <c r="AL692" s="12"/>
      <c r="AM692" s="12"/>
      <c r="AN692" s="1"/>
      <c r="AO692" s="6"/>
    </row>
    <row r="693" spans="1:41" ht="15" x14ac:dyDescent="0.25">
      <c r="A693" s="1"/>
      <c r="B693" s="1"/>
      <c r="C693" s="1"/>
      <c r="D693" s="1"/>
      <c r="E693" s="6"/>
      <c r="F693" s="1"/>
      <c r="G693" s="6"/>
      <c r="H693" s="6"/>
      <c r="I693" s="6"/>
      <c r="J693" s="6"/>
      <c r="K693" s="6"/>
      <c r="L693" s="6"/>
      <c r="M693" s="6"/>
      <c r="N693" s="6"/>
      <c r="O693" s="7"/>
      <c r="P693" s="6"/>
      <c r="Q693" s="6"/>
      <c r="R693" s="7"/>
      <c r="S693" s="6"/>
      <c r="T693" s="6"/>
      <c r="U693" s="7"/>
      <c r="V693" s="6"/>
      <c r="W693" s="6"/>
      <c r="X693" s="6"/>
      <c r="Y693" s="6"/>
      <c r="Z693" s="6"/>
      <c r="AA693" s="7"/>
      <c r="AB693" s="6"/>
      <c r="AC693" s="6"/>
      <c r="AD693" s="6"/>
      <c r="AE693" s="12"/>
      <c r="AF693" s="6"/>
      <c r="AG693" s="12"/>
      <c r="AH693" s="6"/>
      <c r="AI693" s="6"/>
      <c r="AJ693" s="12"/>
      <c r="AK693" s="24"/>
      <c r="AL693" s="25"/>
      <c r="AM693" s="12"/>
      <c r="AN693" s="1"/>
      <c r="AO693" s="6"/>
    </row>
    <row r="694" spans="1:41" ht="15" x14ac:dyDescent="0.25">
      <c r="A694" s="1"/>
      <c r="B694" s="1"/>
      <c r="C694" s="1"/>
      <c r="D694" s="1"/>
      <c r="E694" s="6"/>
      <c r="F694" s="1"/>
      <c r="G694" s="6"/>
      <c r="H694" s="6"/>
      <c r="I694" s="6"/>
      <c r="J694" s="6"/>
      <c r="K694" s="6"/>
      <c r="L694" s="6"/>
      <c r="M694" s="6"/>
      <c r="N694" s="6"/>
      <c r="O694" s="7"/>
      <c r="P694" s="12"/>
      <c r="Q694" s="6"/>
      <c r="R694" s="7"/>
      <c r="S694" s="6"/>
      <c r="T694" s="6"/>
      <c r="U694" s="7"/>
      <c r="V694" s="6"/>
      <c r="W694" s="6"/>
      <c r="X694" s="6"/>
      <c r="Y694" s="6"/>
      <c r="Z694" s="6"/>
      <c r="AA694" s="7"/>
      <c r="AB694" s="6"/>
      <c r="AC694" s="6"/>
      <c r="AD694" s="6"/>
      <c r="AE694" s="12"/>
      <c r="AF694" s="6"/>
      <c r="AG694" s="12"/>
      <c r="AH694" s="6"/>
      <c r="AI694" s="6"/>
      <c r="AJ694" s="12"/>
      <c r="AK694" s="24"/>
      <c r="AL694" s="25"/>
      <c r="AM694" s="12"/>
      <c r="AN694" s="1"/>
      <c r="AO694" s="6"/>
    </row>
    <row r="695" spans="1:41" ht="15" x14ac:dyDescent="0.25">
      <c r="A695" s="1"/>
      <c r="B695" s="1"/>
      <c r="C695" s="1"/>
      <c r="D695" s="1"/>
      <c r="E695" s="6"/>
      <c r="F695" s="1"/>
      <c r="G695" s="6"/>
      <c r="H695" s="6"/>
      <c r="I695" s="6"/>
      <c r="J695" s="6"/>
      <c r="K695" s="6"/>
      <c r="L695" s="6"/>
      <c r="M695" s="6"/>
      <c r="N695" s="6"/>
      <c r="O695" s="7"/>
      <c r="P695" s="6"/>
      <c r="Q695" s="6"/>
      <c r="R695" s="7"/>
      <c r="S695" s="6"/>
      <c r="T695" s="6"/>
      <c r="U695" s="7"/>
      <c r="V695" s="6"/>
      <c r="W695" s="6"/>
      <c r="X695" s="6"/>
      <c r="Y695" s="6"/>
      <c r="Z695" s="6"/>
      <c r="AA695" s="7"/>
      <c r="AB695" s="6"/>
      <c r="AC695" s="6"/>
      <c r="AD695" s="6"/>
      <c r="AE695" s="12"/>
      <c r="AF695" s="6"/>
      <c r="AG695" s="12"/>
      <c r="AH695" s="6"/>
      <c r="AI695" s="6"/>
      <c r="AJ695" s="12"/>
      <c r="AK695" s="1"/>
      <c r="AL695" s="12"/>
      <c r="AM695" s="12"/>
      <c r="AN695" s="1"/>
      <c r="AO695" s="6"/>
    </row>
    <row r="696" spans="1:41" ht="15" x14ac:dyDescent="0.25">
      <c r="A696" s="1"/>
      <c r="B696" s="1"/>
      <c r="C696" s="1"/>
      <c r="D696" s="1"/>
      <c r="E696" s="6"/>
      <c r="F696" s="1"/>
      <c r="G696" s="6"/>
      <c r="H696" s="6"/>
      <c r="I696" s="6"/>
      <c r="J696" s="6"/>
      <c r="K696" s="12"/>
      <c r="L696" s="12"/>
      <c r="M696" s="6"/>
      <c r="N696" s="6"/>
      <c r="O696" s="7"/>
      <c r="P696" s="6"/>
      <c r="Q696" s="6"/>
      <c r="R696" s="7"/>
      <c r="S696" s="6"/>
      <c r="T696" s="6"/>
      <c r="U696" s="7"/>
      <c r="V696" s="6"/>
      <c r="W696" s="6"/>
      <c r="X696" s="12"/>
      <c r="Y696" s="6"/>
      <c r="Z696" s="6"/>
      <c r="AA696" s="7"/>
      <c r="AB696" s="6"/>
      <c r="AC696" s="6"/>
      <c r="AD696" s="6"/>
      <c r="AE696" s="12"/>
      <c r="AF696" s="12"/>
      <c r="AG696" s="12"/>
      <c r="AH696" s="12"/>
      <c r="AI696" s="6"/>
      <c r="AJ696" s="12"/>
      <c r="AK696" s="1"/>
      <c r="AL696" s="12"/>
      <c r="AM696" s="12"/>
      <c r="AN696" s="1"/>
      <c r="AO696" s="12"/>
    </row>
    <row r="697" spans="1:41" ht="15" x14ac:dyDescent="0.25">
      <c r="A697" s="1"/>
      <c r="B697" s="1"/>
      <c r="C697" s="1"/>
      <c r="D697" s="1"/>
      <c r="E697" s="6"/>
      <c r="F697" s="1"/>
      <c r="G697" s="6"/>
      <c r="H697" s="6"/>
      <c r="I697" s="6"/>
      <c r="J697" s="6"/>
      <c r="K697" s="6"/>
      <c r="L697" s="6"/>
      <c r="M697" s="6"/>
      <c r="N697" s="6"/>
      <c r="O697" s="7"/>
      <c r="P697" s="6"/>
      <c r="Q697" s="6"/>
      <c r="R697" s="12"/>
      <c r="S697" s="12"/>
      <c r="T697" s="12"/>
      <c r="U697" s="7"/>
      <c r="V697" s="6"/>
      <c r="W697" s="6"/>
      <c r="X697" s="12"/>
      <c r="Y697" s="6"/>
      <c r="Z697" s="6"/>
      <c r="AA697" s="7"/>
      <c r="AB697" s="6"/>
      <c r="AC697" s="6"/>
      <c r="AD697" s="6"/>
      <c r="AE697" s="12"/>
      <c r="AF697" s="6"/>
      <c r="AG697" s="12"/>
      <c r="AH697" s="6"/>
      <c r="AI697" s="6"/>
      <c r="AJ697" s="12"/>
      <c r="AK697" s="24"/>
      <c r="AL697" s="25"/>
      <c r="AM697" s="12"/>
      <c r="AN697" s="1"/>
      <c r="AO697" s="6"/>
    </row>
    <row r="698" spans="1:41" ht="15" x14ac:dyDescent="0.25">
      <c r="A698" s="1"/>
      <c r="B698" s="1"/>
      <c r="C698" s="1"/>
      <c r="D698" s="1"/>
      <c r="E698" s="6"/>
      <c r="F698" s="1"/>
      <c r="G698" s="6"/>
      <c r="H698" s="6"/>
      <c r="I698" s="6"/>
      <c r="J698" s="6"/>
      <c r="K698" s="6"/>
      <c r="L698" s="6"/>
      <c r="M698" s="6"/>
      <c r="N698" s="6"/>
      <c r="O698" s="7"/>
      <c r="P698" s="12"/>
      <c r="Q698" s="6"/>
      <c r="R698" s="7"/>
      <c r="S698" s="6"/>
      <c r="T698" s="6"/>
      <c r="U698" s="7"/>
      <c r="V698" s="6"/>
      <c r="W698" s="6"/>
      <c r="X698" s="12"/>
      <c r="Y698" s="6"/>
      <c r="Z698" s="6"/>
      <c r="AA698" s="7"/>
      <c r="AB698" s="6"/>
      <c r="AC698" s="6"/>
      <c r="AD698" s="6"/>
      <c r="AE698" s="12"/>
      <c r="AF698" s="6"/>
      <c r="AG698" s="12"/>
      <c r="AH698" s="6"/>
      <c r="AI698" s="6"/>
      <c r="AJ698" s="12"/>
      <c r="AK698" s="24"/>
      <c r="AL698" s="25"/>
      <c r="AM698" s="12"/>
      <c r="AN698" s="1"/>
      <c r="AO698" s="6"/>
    </row>
    <row r="699" spans="1:41" ht="15" x14ac:dyDescent="0.25">
      <c r="A699" s="1"/>
      <c r="B699" s="1"/>
      <c r="C699" s="1"/>
      <c r="D699" s="1"/>
      <c r="E699" s="6"/>
      <c r="F699" s="1"/>
      <c r="G699" s="6"/>
      <c r="H699" s="6"/>
      <c r="I699" s="6"/>
      <c r="J699" s="6"/>
      <c r="K699" s="6"/>
      <c r="L699" s="6"/>
      <c r="M699" s="6"/>
      <c r="N699" s="6"/>
      <c r="O699" s="7"/>
      <c r="P699" s="6"/>
      <c r="Q699" s="6"/>
      <c r="R699" s="7"/>
      <c r="S699" s="6"/>
      <c r="T699" s="6"/>
      <c r="U699" s="7"/>
      <c r="V699" s="6"/>
      <c r="W699" s="6"/>
      <c r="X699" s="6"/>
      <c r="Y699" s="6"/>
      <c r="Z699" s="6"/>
      <c r="AA699" s="7"/>
      <c r="AB699" s="6"/>
      <c r="AC699" s="6"/>
      <c r="AD699" s="6"/>
      <c r="AE699" s="12"/>
      <c r="AF699" s="6"/>
      <c r="AG699" s="12"/>
      <c r="AH699" s="6"/>
      <c r="AI699" s="6"/>
      <c r="AJ699" s="12"/>
      <c r="AK699" s="1"/>
      <c r="AL699" s="12"/>
      <c r="AM699" s="12"/>
      <c r="AN699" s="1"/>
      <c r="AO699" s="6"/>
    </row>
    <row r="700" spans="1:41" ht="15" x14ac:dyDescent="0.25">
      <c r="A700" s="1"/>
      <c r="B700" s="1"/>
      <c r="C700" s="1"/>
      <c r="D700" s="1"/>
      <c r="E700" s="6"/>
      <c r="F700" s="1"/>
      <c r="G700" s="6"/>
      <c r="H700" s="6"/>
      <c r="I700" s="6"/>
      <c r="J700" s="6"/>
      <c r="K700" s="6"/>
      <c r="L700" s="6"/>
      <c r="M700" s="6"/>
      <c r="N700" s="6"/>
      <c r="O700" s="7"/>
      <c r="P700" s="6"/>
      <c r="Q700" s="7"/>
      <c r="R700" s="6"/>
      <c r="S700" s="12"/>
      <c r="T700" s="6"/>
      <c r="U700" s="6"/>
      <c r="V700" s="7"/>
      <c r="W700" s="7"/>
      <c r="X700" s="6"/>
      <c r="Y700" s="6"/>
      <c r="Z700" s="6"/>
      <c r="AA700" s="1"/>
      <c r="AB700" s="12"/>
      <c r="AC700" s="12"/>
      <c r="AD700" s="12"/>
      <c r="AE700" s="12"/>
      <c r="AF700" s="12"/>
      <c r="AG700" s="12"/>
      <c r="AH700" s="12"/>
      <c r="AI700" s="6"/>
      <c r="AJ700" s="12"/>
      <c r="AK700" s="12"/>
      <c r="AL700" s="12"/>
      <c r="AM700" s="12"/>
      <c r="AN700" s="1"/>
      <c r="AO700" s="6"/>
    </row>
    <row r="701" spans="1:41" ht="15" x14ac:dyDescent="0.25">
      <c r="A701" s="1"/>
      <c r="B701" s="1"/>
      <c r="C701" s="1"/>
      <c r="D701" s="1"/>
      <c r="E701" s="6"/>
      <c r="F701" s="1"/>
      <c r="G701" s="6"/>
      <c r="H701" s="6"/>
      <c r="I701" s="6"/>
      <c r="J701" s="6"/>
      <c r="K701" s="6"/>
      <c r="L701" s="6"/>
      <c r="M701" s="6"/>
      <c r="N701" s="6"/>
      <c r="O701" s="7"/>
      <c r="P701" s="12"/>
      <c r="Q701" s="6"/>
      <c r="R701" s="7"/>
      <c r="S701" s="6"/>
      <c r="T701" s="6"/>
      <c r="U701" s="7"/>
      <c r="V701" s="6"/>
      <c r="W701" s="6"/>
      <c r="X701" s="6"/>
      <c r="Y701" s="6"/>
      <c r="Z701" s="6"/>
      <c r="AA701" s="15"/>
      <c r="AB701" s="6"/>
      <c r="AC701" s="6"/>
      <c r="AD701" s="6"/>
      <c r="AE701" s="12"/>
      <c r="AF701" s="6"/>
      <c r="AG701" s="12"/>
      <c r="AH701" s="6"/>
      <c r="AI701" s="6"/>
      <c r="AJ701" s="12"/>
      <c r="AK701" s="24"/>
      <c r="AL701" s="25"/>
      <c r="AM701" s="12"/>
      <c r="AN701" s="1"/>
      <c r="AO701" s="6"/>
    </row>
    <row r="702" spans="1:41" ht="15" x14ac:dyDescent="0.25">
      <c r="A702" s="1"/>
      <c r="B702" s="1"/>
      <c r="C702" s="1"/>
      <c r="D702" s="1"/>
      <c r="E702" s="6"/>
      <c r="F702" s="1"/>
      <c r="G702" s="6"/>
      <c r="H702" s="6"/>
      <c r="I702" s="6"/>
      <c r="J702" s="6"/>
      <c r="K702" s="6"/>
      <c r="L702" s="6"/>
      <c r="M702" s="6"/>
      <c r="N702" s="6"/>
      <c r="O702" s="7"/>
      <c r="P702" s="12"/>
      <c r="Q702" s="6"/>
      <c r="R702" s="7"/>
      <c r="S702" s="6"/>
      <c r="T702" s="6"/>
      <c r="U702" s="7"/>
      <c r="V702" s="6"/>
      <c r="W702" s="6"/>
      <c r="X702" s="6"/>
      <c r="Y702" s="6"/>
      <c r="Z702" s="6"/>
      <c r="AA702" s="7"/>
      <c r="AB702" s="6"/>
      <c r="AC702" s="6"/>
      <c r="AD702" s="6"/>
      <c r="AE702" s="12"/>
      <c r="AF702" s="12"/>
      <c r="AG702" s="12"/>
      <c r="AH702" s="12"/>
      <c r="AI702" s="6"/>
      <c r="AJ702" s="12"/>
      <c r="AK702" s="1"/>
      <c r="AL702" s="12"/>
      <c r="AM702" s="12"/>
      <c r="AN702" s="1"/>
      <c r="AO702" s="6"/>
    </row>
    <row r="703" spans="1:41" ht="15" x14ac:dyDescent="0.25">
      <c r="A703" s="1"/>
      <c r="B703" s="1"/>
      <c r="C703" s="1"/>
      <c r="D703" s="1"/>
      <c r="E703" s="6"/>
      <c r="F703" s="1"/>
      <c r="G703" s="6"/>
      <c r="H703" s="6"/>
      <c r="I703" s="6"/>
      <c r="J703" s="6"/>
      <c r="K703" s="6"/>
      <c r="L703" s="6"/>
      <c r="M703" s="6"/>
      <c r="N703" s="6"/>
      <c r="O703" s="7"/>
      <c r="P703" s="6"/>
      <c r="Q703" s="6"/>
      <c r="R703" s="7"/>
      <c r="S703" s="6"/>
      <c r="T703" s="6"/>
      <c r="U703" s="7"/>
      <c r="V703" s="6"/>
      <c r="W703" s="6"/>
      <c r="X703" s="6"/>
      <c r="Y703" s="6"/>
      <c r="Z703" s="6"/>
      <c r="AA703" s="7"/>
      <c r="AB703" s="6"/>
      <c r="AC703" s="6"/>
      <c r="AD703" s="6"/>
      <c r="AE703" s="12"/>
      <c r="AF703" s="12"/>
      <c r="AG703" s="12"/>
      <c r="AH703" s="12"/>
      <c r="AI703" s="6"/>
      <c r="AJ703" s="12"/>
      <c r="AK703" s="1"/>
      <c r="AL703" s="12"/>
      <c r="AM703" s="12"/>
      <c r="AN703" s="1"/>
      <c r="AO703" s="6"/>
    </row>
    <row r="704" spans="1:41" ht="15" x14ac:dyDescent="0.25">
      <c r="A704" s="1"/>
      <c r="B704" s="1"/>
      <c r="C704" s="1"/>
      <c r="D704" s="1"/>
      <c r="E704" s="6"/>
      <c r="F704" s="1"/>
      <c r="G704" s="6"/>
      <c r="H704" s="6"/>
      <c r="I704" s="6"/>
      <c r="J704" s="6"/>
      <c r="K704" s="6"/>
      <c r="L704" s="6"/>
      <c r="M704" s="6"/>
      <c r="N704" s="6"/>
      <c r="O704" s="7"/>
      <c r="P704" s="6"/>
      <c r="Q704" s="6"/>
      <c r="R704" s="7"/>
      <c r="S704" s="6"/>
      <c r="T704" s="6"/>
      <c r="U704" s="7"/>
      <c r="V704" s="6"/>
      <c r="W704" s="6"/>
      <c r="X704" s="6"/>
      <c r="Y704" s="6"/>
      <c r="Z704" s="6"/>
      <c r="AA704" s="7"/>
      <c r="AB704" s="6"/>
      <c r="AC704" s="6"/>
      <c r="AD704" s="6"/>
      <c r="AE704" s="12"/>
      <c r="AF704" s="6"/>
      <c r="AG704" s="12"/>
      <c r="AH704" s="6"/>
      <c r="AI704" s="6"/>
      <c r="AJ704" s="12"/>
      <c r="AK704" s="1"/>
      <c r="AL704" s="12"/>
      <c r="AM704" s="12"/>
      <c r="AN704" s="1"/>
      <c r="AO704" s="6"/>
    </row>
    <row r="705" spans="1:41" ht="15" x14ac:dyDescent="0.25">
      <c r="A705" s="1"/>
      <c r="B705" s="1"/>
      <c r="C705" s="1"/>
      <c r="D705" s="1"/>
      <c r="E705" s="6"/>
      <c r="F705" s="1"/>
      <c r="G705" s="6"/>
      <c r="H705" s="6"/>
      <c r="I705" s="6"/>
      <c r="J705" s="6"/>
      <c r="K705" s="6"/>
      <c r="L705" s="6"/>
      <c r="M705" s="6"/>
      <c r="N705" s="6"/>
      <c r="O705" s="7"/>
      <c r="P705" s="6"/>
      <c r="Q705" s="6"/>
      <c r="R705" s="7"/>
      <c r="S705" s="6"/>
      <c r="T705" s="6"/>
      <c r="U705" s="7"/>
      <c r="V705" s="6"/>
      <c r="W705" s="6"/>
      <c r="X705" s="12"/>
      <c r="Y705" s="6"/>
      <c r="Z705" s="6"/>
      <c r="AA705" s="7"/>
      <c r="AB705" s="6"/>
      <c r="AC705" s="6"/>
      <c r="AD705" s="6"/>
      <c r="AE705" s="12"/>
      <c r="AF705" s="6"/>
      <c r="AG705" s="12"/>
      <c r="AH705" s="6"/>
      <c r="AI705" s="6"/>
      <c r="AJ705" s="12"/>
      <c r="AK705" s="1"/>
      <c r="AL705" s="12"/>
      <c r="AM705" s="12"/>
      <c r="AN705" s="1"/>
      <c r="AO705" s="6"/>
    </row>
    <row r="706" spans="1:41" ht="15" x14ac:dyDescent="0.25">
      <c r="A706" s="1"/>
      <c r="B706" s="1"/>
      <c r="C706" s="1"/>
      <c r="D706" s="1"/>
      <c r="E706" s="6"/>
      <c r="F706" s="1"/>
      <c r="G706" s="6"/>
      <c r="H706" s="6"/>
      <c r="I706" s="6"/>
      <c r="J706" s="6"/>
      <c r="K706" s="6"/>
      <c r="L706" s="6"/>
      <c r="M706" s="6"/>
      <c r="N706" s="6"/>
      <c r="O706" s="7"/>
      <c r="P706" s="6"/>
      <c r="Q706" s="6"/>
      <c r="R706" s="7"/>
      <c r="S706" s="6"/>
      <c r="T706" s="6"/>
      <c r="U706" s="7"/>
      <c r="V706" s="6"/>
      <c r="W706" s="6"/>
      <c r="X706" s="12"/>
      <c r="Y706" s="6"/>
      <c r="Z706" s="6"/>
      <c r="AA706" s="7"/>
      <c r="AB706" s="6"/>
      <c r="AC706" s="6"/>
      <c r="AD706" s="6"/>
      <c r="AE706" s="12"/>
      <c r="AF706" s="6"/>
      <c r="AG706" s="12"/>
      <c r="AH706" s="6"/>
      <c r="AI706" s="6"/>
      <c r="AJ706" s="12"/>
      <c r="AK706" s="24"/>
      <c r="AL706" s="25"/>
      <c r="AM706" s="12"/>
      <c r="AN706" s="1"/>
      <c r="AO706" s="6"/>
    </row>
    <row r="707" spans="1:41" ht="15" x14ac:dyDescent="0.25">
      <c r="A707" s="1"/>
      <c r="B707" s="1"/>
      <c r="C707" s="1"/>
      <c r="D707" s="1"/>
      <c r="E707" s="6"/>
      <c r="F707" s="1"/>
      <c r="G707" s="6"/>
      <c r="H707" s="6"/>
      <c r="I707" s="6"/>
      <c r="J707" s="6"/>
      <c r="K707" s="6"/>
      <c r="L707" s="6"/>
      <c r="M707" s="6"/>
      <c r="N707" s="6"/>
      <c r="O707" s="7"/>
      <c r="P707" s="6"/>
      <c r="Q707" s="6"/>
      <c r="R707" s="7"/>
      <c r="S707" s="6"/>
      <c r="T707" s="6"/>
      <c r="U707" s="7"/>
      <c r="V707" s="6"/>
      <c r="W707" s="6"/>
      <c r="X707" s="6"/>
      <c r="Y707" s="6"/>
      <c r="Z707" s="6"/>
      <c r="AA707" s="7"/>
      <c r="AB707" s="6"/>
      <c r="AC707" s="6"/>
      <c r="AD707" s="6"/>
      <c r="AE707" s="12"/>
      <c r="AF707" s="6"/>
      <c r="AG707" s="12"/>
      <c r="AH707" s="6"/>
      <c r="AI707" s="6"/>
      <c r="AJ707" s="12"/>
      <c r="AK707" s="1"/>
      <c r="AL707" s="12"/>
      <c r="AM707" s="12"/>
      <c r="AN707" s="1"/>
      <c r="AO707" s="6"/>
    </row>
    <row r="708" spans="1:41" ht="15" x14ac:dyDescent="0.25">
      <c r="A708" s="1"/>
      <c r="B708" s="1"/>
      <c r="C708" s="1"/>
      <c r="D708" s="1"/>
      <c r="E708" s="6"/>
      <c r="F708" s="1"/>
      <c r="G708" s="6"/>
      <c r="H708" s="6"/>
      <c r="I708" s="6"/>
      <c r="J708" s="6"/>
      <c r="K708" s="6"/>
      <c r="L708" s="6"/>
      <c r="M708" s="6"/>
      <c r="N708" s="6"/>
      <c r="O708" s="7"/>
      <c r="P708" s="6"/>
      <c r="Q708" s="7"/>
      <c r="R708" s="6"/>
      <c r="S708" s="6"/>
      <c r="T708" s="6"/>
      <c r="U708" s="6"/>
      <c r="V708" s="7"/>
      <c r="W708" s="7"/>
      <c r="X708" s="6"/>
      <c r="Y708" s="6"/>
      <c r="Z708" s="6"/>
      <c r="AA708" s="1"/>
      <c r="AB708" s="12"/>
      <c r="AC708" s="12"/>
      <c r="AD708" s="12"/>
      <c r="AE708" s="12"/>
      <c r="AF708" s="12"/>
      <c r="AG708" s="12"/>
      <c r="AH708" s="12"/>
      <c r="AI708" s="6"/>
      <c r="AJ708" s="12"/>
      <c r="AK708" s="12"/>
      <c r="AL708" s="12"/>
      <c r="AM708" s="12"/>
      <c r="AN708" s="1"/>
      <c r="AO708" s="12"/>
    </row>
    <row r="709" spans="1:41" ht="15" x14ac:dyDescent="0.25">
      <c r="A709" s="1"/>
      <c r="B709" s="1"/>
      <c r="C709" s="1"/>
      <c r="D709" s="1"/>
      <c r="E709" s="6"/>
      <c r="F709" s="1"/>
      <c r="G709" s="6"/>
      <c r="H709" s="6"/>
      <c r="I709" s="6"/>
      <c r="J709" s="6"/>
      <c r="K709" s="6"/>
      <c r="L709" s="6"/>
      <c r="M709" s="6"/>
      <c r="N709" s="6"/>
      <c r="O709" s="7"/>
      <c r="P709" s="6"/>
      <c r="Q709" s="6"/>
      <c r="R709" s="7"/>
      <c r="S709" s="6"/>
      <c r="T709" s="6"/>
      <c r="U709" s="7"/>
      <c r="V709" s="6"/>
      <c r="W709" s="6"/>
      <c r="X709" s="6"/>
      <c r="Y709" s="6"/>
      <c r="Z709" s="6"/>
      <c r="AA709" s="7"/>
      <c r="AB709" s="6"/>
      <c r="AC709" s="6"/>
      <c r="AD709" s="6"/>
      <c r="AE709" s="12"/>
      <c r="AF709" s="12"/>
      <c r="AG709" s="12"/>
      <c r="AH709" s="12"/>
      <c r="AI709" s="6"/>
      <c r="AJ709" s="12"/>
      <c r="AK709" s="1"/>
      <c r="AL709" s="12"/>
      <c r="AM709" s="12"/>
      <c r="AN709" s="1"/>
      <c r="AO709" s="6"/>
    </row>
    <row r="710" spans="1:41" ht="15" x14ac:dyDescent="0.25">
      <c r="A710" s="1"/>
      <c r="B710" s="1"/>
      <c r="C710" s="1"/>
      <c r="D710" s="1"/>
      <c r="E710" s="6"/>
      <c r="F710" s="1"/>
      <c r="G710" s="6"/>
      <c r="H710" s="6"/>
      <c r="I710" s="6"/>
      <c r="J710" s="6"/>
      <c r="K710" s="12"/>
      <c r="L710" s="12"/>
      <c r="M710" s="6"/>
      <c r="N710" s="6"/>
      <c r="O710" s="7"/>
      <c r="P710" s="6"/>
      <c r="Q710" s="6"/>
      <c r="R710" s="7"/>
      <c r="S710" s="6"/>
      <c r="T710" s="6"/>
      <c r="U710" s="7"/>
      <c r="V710" s="6"/>
      <c r="W710" s="6"/>
      <c r="X710" s="12"/>
      <c r="Y710" s="6"/>
      <c r="Z710" s="6"/>
      <c r="AA710" s="7"/>
      <c r="AB710" s="6"/>
      <c r="AC710" s="6"/>
      <c r="AD710" s="6"/>
      <c r="AE710" s="12"/>
      <c r="AF710" s="12"/>
      <c r="AG710" s="12"/>
      <c r="AH710" s="12"/>
      <c r="AI710" s="6"/>
      <c r="AJ710" s="12"/>
      <c r="AK710" s="1"/>
      <c r="AL710" s="12"/>
      <c r="AM710" s="12"/>
      <c r="AN710" s="1"/>
      <c r="AO710" s="6"/>
    </row>
    <row r="711" spans="1:41" ht="15" x14ac:dyDescent="0.25">
      <c r="A711" s="1"/>
      <c r="B711" s="1"/>
      <c r="C711" s="1"/>
      <c r="D711" s="1"/>
      <c r="E711" s="6"/>
      <c r="F711" s="1"/>
      <c r="G711" s="6"/>
      <c r="H711" s="6"/>
      <c r="I711" s="6"/>
      <c r="J711" s="6"/>
      <c r="K711" s="6"/>
      <c r="L711" s="6"/>
      <c r="M711" s="6"/>
      <c r="N711" s="6"/>
      <c r="O711" s="7"/>
      <c r="P711" s="6"/>
      <c r="Q711" s="6"/>
      <c r="R711" s="12"/>
      <c r="S711" s="12"/>
      <c r="T711" s="12"/>
      <c r="U711" s="7"/>
      <c r="V711" s="6"/>
      <c r="W711" s="6"/>
      <c r="X711" s="12"/>
      <c r="Y711" s="6"/>
      <c r="Z711" s="6"/>
      <c r="AA711" s="7"/>
      <c r="AB711" s="6"/>
      <c r="AC711" s="6"/>
      <c r="AD711" s="6"/>
      <c r="AE711" s="12"/>
      <c r="AF711" s="6"/>
      <c r="AG711" s="12"/>
      <c r="AH711" s="6"/>
      <c r="AI711" s="6"/>
      <c r="AJ711" s="12"/>
      <c r="AK711" s="1"/>
      <c r="AL711" s="12"/>
      <c r="AM711" s="12"/>
      <c r="AN711" s="1"/>
      <c r="AO711" s="6"/>
    </row>
    <row r="712" spans="1:41" ht="15" x14ac:dyDescent="0.25">
      <c r="A712" s="1"/>
      <c r="B712" s="1"/>
      <c r="C712" s="1"/>
      <c r="D712" s="1"/>
      <c r="E712" s="6"/>
      <c r="F712" s="1"/>
      <c r="G712" s="6"/>
      <c r="H712" s="6"/>
      <c r="I712" s="6"/>
      <c r="J712" s="6"/>
      <c r="K712" s="6"/>
      <c r="L712" s="6"/>
      <c r="M712" s="6"/>
      <c r="N712" s="6"/>
      <c r="O712" s="7"/>
      <c r="P712" s="6"/>
      <c r="Q712" s="6"/>
      <c r="R712" s="7"/>
      <c r="S712" s="6"/>
      <c r="T712" s="6"/>
      <c r="U712" s="7"/>
      <c r="V712" s="6"/>
      <c r="W712" s="6"/>
      <c r="X712" s="6"/>
      <c r="Y712" s="6"/>
      <c r="Z712" s="6"/>
      <c r="AA712" s="7"/>
      <c r="AB712" s="6"/>
      <c r="AC712" s="6"/>
      <c r="AD712" s="6"/>
      <c r="AE712" s="12"/>
      <c r="AF712" s="12"/>
      <c r="AG712" s="12"/>
      <c r="AH712" s="12"/>
      <c r="AI712" s="6"/>
      <c r="AJ712" s="12"/>
      <c r="AK712" s="1"/>
      <c r="AL712" s="12"/>
      <c r="AM712" s="12"/>
      <c r="AN712" s="1"/>
      <c r="AO712" s="6"/>
    </row>
    <row r="713" spans="1:41" ht="15" x14ac:dyDescent="0.25">
      <c r="A713" s="1"/>
      <c r="B713" s="1"/>
      <c r="C713" s="1"/>
      <c r="D713" s="1"/>
      <c r="E713" s="6"/>
      <c r="F713" s="1"/>
      <c r="G713" s="6"/>
      <c r="H713" s="6"/>
      <c r="I713" s="6"/>
      <c r="J713" s="6"/>
      <c r="K713" s="6"/>
      <c r="L713" s="6"/>
      <c r="M713" s="6"/>
      <c r="N713" s="6"/>
      <c r="O713" s="7"/>
      <c r="P713" s="6"/>
      <c r="Q713" s="6"/>
      <c r="R713" s="7"/>
      <c r="S713" s="6"/>
      <c r="T713" s="6"/>
      <c r="U713" s="7"/>
      <c r="V713" s="6"/>
      <c r="W713" s="6"/>
      <c r="X713" s="6"/>
      <c r="Y713" s="6"/>
      <c r="Z713" s="6"/>
      <c r="AA713" s="7"/>
      <c r="AB713" s="6"/>
      <c r="AC713" s="6"/>
      <c r="AD713" s="6"/>
      <c r="AE713" s="12"/>
      <c r="AF713" s="6"/>
      <c r="AG713" s="12"/>
      <c r="AH713" s="6"/>
      <c r="AI713" s="6"/>
      <c r="AJ713" s="12"/>
      <c r="AK713" s="24"/>
      <c r="AL713" s="25"/>
      <c r="AM713" s="12"/>
      <c r="AN713" s="1"/>
      <c r="AO713" s="6"/>
    </row>
    <row r="714" spans="1:41" ht="15" x14ac:dyDescent="0.25">
      <c r="A714" s="1"/>
      <c r="B714" s="1"/>
      <c r="C714" s="1"/>
      <c r="D714" s="1"/>
      <c r="E714" s="6"/>
      <c r="F714" s="1"/>
      <c r="G714" s="6"/>
      <c r="H714" s="6"/>
      <c r="I714" s="6"/>
      <c r="J714" s="6"/>
      <c r="K714" s="12"/>
      <c r="L714" s="12"/>
      <c r="M714" s="6"/>
      <c r="N714" s="6"/>
      <c r="O714" s="7"/>
      <c r="P714" s="6"/>
      <c r="Q714" s="6"/>
      <c r="R714" s="7"/>
      <c r="S714" s="6"/>
      <c r="T714" s="6"/>
      <c r="U714" s="7"/>
      <c r="V714" s="6"/>
      <c r="W714" s="6"/>
      <c r="X714" s="12"/>
      <c r="Y714" s="6"/>
      <c r="Z714" s="6"/>
      <c r="AA714" s="7"/>
      <c r="AB714" s="6"/>
      <c r="AC714" s="6"/>
      <c r="AD714" s="6"/>
      <c r="AE714" s="12"/>
      <c r="AF714" s="12"/>
      <c r="AG714" s="12"/>
      <c r="AH714" s="12"/>
      <c r="AI714" s="6"/>
      <c r="AJ714" s="12"/>
      <c r="AK714" s="24"/>
      <c r="AL714" s="25"/>
      <c r="AM714" s="12"/>
      <c r="AN714" s="1"/>
      <c r="AO714" s="6"/>
    </row>
    <row r="715" spans="1:41" ht="15" x14ac:dyDescent="0.25">
      <c r="A715" s="1"/>
      <c r="B715" s="1"/>
      <c r="C715" s="1"/>
      <c r="D715" s="1"/>
      <c r="E715" s="6"/>
      <c r="F715" s="1"/>
      <c r="G715" s="6"/>
      <c r="H715" s="6"/>
      <c r="I715" s="6"/>
      <c r="J715" s="6"/>
      <c r="K715" s="6"/>
      <c r="L715" s="6"/>
      <c r="M715" s="6"/>
      <c r="N715" s="6"/>
      <c r="O715" s="7"/>
      <c r="P715" s="6"/>
      <c r="Q715" s="6"/>
      <c r="R715" s="7"/>
      <c r="S715" s="6"/>
      <c r="T715" s="6"/>
      <c r="U715" s="7"/>
      <c r="V715" s="6"/>
      <c r="W715" s="6"/>
      <c r="X715" s="6"/>
      <c r="Y715" s="6"/>
      <c r="Z715" s="6"/>
      <c r="AA715" s="7"/>
      <c r="AB715" s="6"/>
      <c r="AC715" s="6"/>
      <c r="AD715" s="6"/>
      <c r="AE715" s="12"/>
      <c r="AF715" s="12"/>
      <c r="AG715" s="12"/>
      <c r="AH715" s="12"/>
      <c r="AI715" s="6"/>
      <c r="AJ715" s="12"/>
      <c r="AK715" s="1"/>
      <c r="AL715" s="12"/>
      <c r="AM715" s="12"/>
      <c r="AN715" s="1"/>
      <c r="AO715" s="6"/>
    </row>
    <row r="716" spans="1:41" ht="15" x14ac:dyDescent="0.25">
      <c r="A716" s="1"/>
      <c r="B716" s="1"/>
      <c r="C716" s="1"/>
      <c r="D716" s="1"/>
      <c r="E716" s="6"/>
      <c r="F716" s="1"/>
      <c r="G716" s="6"/>
      <c r="H716" s="6"/>
      <c r="I716" s="6"/>
      <c r="J716" s="6"/>
      <c r="K716" s="6"/>
      <c r="L716" s="6"/>
      <c r="M716" s="6"/>
      <c r="N716" s="6"/>
      <c r="O716" s="7"/>
      <c r="P716" s="6"/>
      <c r="Q716" s="6"/>
      <c r="R716" s="7"/>
      <c r="S716" s="6"/>
      <c r="T716" s="6"/>
      <c r="U716" s="7"/>
      <c r="V716" s="6"/>
      <c r="W716" s="6"/>
      <c r="X716" s="12"/>
      <c r="Y716" s="6"/>
      <c r="Z716" s="6"/>
      <c r="AA716" s="7"/>
      <c r="AB716" s="6"/>
      <c r="AC716" s="6"/>
      <c r="AD716" s="6"/>
      <c r="AE716" s="12"/>
      <c r="AF716" s="12"/>
      <c r="AG716" s="12"/>
      <c r="AH716" s="12"/>
      <c r="AI716" s="6"/>
      <c r="AJ716" s="12"/>
      <c r="AK716" s="24"/>
      <c r="AL716" s="25"/>
      <c r="AM716" s="12"/>
      <c r="AN716" s="1"/>
      <c r="AO716" s="6"/>
    </row>
    <row r="717" spans="1:41" ht="15" x14ac:dyDescent="0.25">
      <c r="A717" s="1"/>
      <c r="B717" s="1"/>
      <c r="C717" s="1"/>
      <c r="D717" s="1"/>
      <c r="E717" s="6"/>
      <c r="F717" s="1"/>
      <c r="G717" s="6"/>
      <c r="H717" s="6"/>
      <c r="I717" s="6"/>
      <c r="J717" s="6"/>
      <c r="K717" s="6"/>
      <c r="L717" s="6"/>
      <c r="M717" s="6"/>
      <c r="N717" s="6"/>
      <c r="O717" s="7"/>
      <c r="P717" s="6"/>
      <c r="Q717" s="6"/>
      <c r="R717" s="7"/>
      <c r="S717" s="6"/>
      <c r="T717" s="6"/>
      <c r="U717" s="7"/>
      <c r="V717" s="6"/>
      <c r="W717" s="6"/>
      <c r="X717" s="12"/>
      <c r="Y717" s="6"/>
      <c r="Z717" s="6"/>
      <c r="AA717" s="7"/>
      <c r="AB717" s="6"/>
      <c r="AC717" s="6"/>
      <c r="AD717" s="6"/>
      <c r="AE717" s="12"/>
      <c r="AF717" s="6"/>
      <c r="AG717" s="12"/>
      <c r="AH717" s="6"/>
      <c r="AI717" s="6"/>
      <c r="AJ717" s="12"/>
      <c r="AK717" s="1"/>
      <c r="AL717" s="12"/>
      <c r="AM717" s="12"/>
      <c r="AN717" s="1"/>
      <c r="AO717" s="6"/>
    </row>
    <row r="718" spans="1:41" ht="15" x14ac:dyDescent="0.25">
      <c r="A718" s="1"/>
      <c r="B718" s="1"/>
      <c r="C718" s="1"/>
      <c r="D718" s="1"/>
      <c r="E718" s="6"/>
      <c r="F718" s="1"/>
      <c r="G718" s="6"/>
      <c r="H718" s="6"/>
      <c r="I718" s="6"/>
      <c r="J718" s="6"/>
      <c r="K718" s="6"/>
      <c r="L718" s="6"/>
      <c r="M718" s="6"/>
      <c r="N718" s="6"/>
      <c r="O718" s="7"/>
      <c r="P718" s="6"/>
      <c r="Q718" s="6"/>
      <c r="R718" s="7"/>
      <c r="S718" s="6"/>
      <c r="T718" s="6"/>
      <c r="U718" s="7"/>
      <c r="V718" s="6"/>
      <c r="W718" s="6"/>
      <c r="X718" s="6"/>
      <c r="Y718" s="6"/>
      <c r="Z718" s="6"/>
      <c r="AA718" s="7"/>
      <c r="AB718" s="6"/>
      <c r="AC718" s="6"/>
      <c r="AD718" s="6"/>
      <c r="AE718" s="12"/>
      <c r="AF718" s="12"/>
      <c r="AG718" s="12"/>
      <c r="AH718" s="12"/>
      <c r="AI718" s="6"/>
      <c r="AJ718" s="12"/>
      <c r="AK718" s="1"/>
      <c r="AL718" s="12"/>
      <c r="AM718" s="12"/>
      <c r="AN718" s="1"/>
      <c r="AO718" s="6"/>
    </row>
    <row r="719" spans="1:41" ht="15" x14ac:dyDescent="0.25">
      <c r="A719" s="1"/>
      <c r="B719" s="1"/>
      <c r="C719" s="1"/>
      <c r="D719" s="1"/>
      <c r="E719" s="6"/>
      <c r="F719" s="1"/>
      <c r="G719" s="6"/>
      <c r="H719" s="6"/>
      <c r="I719" s="6"/>
      <c r="J719" s="6"/>
      <c r="K719" s="6"/>
      <c r="L719" s="6"/>
      <c r="M719" s="6"/>
      <c r="N719" s="6"/>
      <c r="O719" s="7"/>
      <c r="P719" s="6"/>
      <c r="Q719" s="6"/>
      <c r="R719" s="7"/>
      <c r="S719" s="6"/>
      <c r="T719" s="6"/>
      <c r="U719" s="6"/>
      <c r="V719" s="6"/>
      <c r="W719" s="6"/>
      <c r="X719" s="7"/>
      <c r="Y719" s="6"/>
      <c r="Z719" s="6"/>
      <c r="AA719" s="7"/>
      <c r="AB719" s="6"/>
      <c r="AC719" s="6"/>
      <c r="AD719" s="6"/>
      <c r="AE719" s="12"/>
      <c r="AF719" s="6"/>
      <c r="AG719" s="12"/>
      <c r="AH719" s="6"/>
      <c r="AI719" s="6"/>
      <c r="AJ719" s="12"/>
      <c r="AK719" s="6"/>
      <c r="AL719" s="12"/>
      <c r="AM719" s="12"/>
      <c r="AN719" s="1"/>
      <c r="AO719" s="6"/>
    </row>
    <row r="720" spans="1:41" ht="15" x14ac:dyDescent="0.25">
      <c r="A720" s="1"/>
      <c r="B720" s="1"/>
      <c r="C720" s="1"/>
      <c r="D720" s="1"/>
      <c r="E720" s="6"/>
      <c r="F720" s="1"/>
      <c r="G720" s="6"/>
      <c r="H720" s="6"/>
      <c r="I720" s="6"/>
      <c r="J720" s="6"/>
      <c r="K720" s="6"/>
      <c r="L720" s="6"/>
      <c r="M720" s="6"/>
      <c r="N720" s="6"/>
      <c r="O720" s="7"/>
      <c r="P720" s="6"/>
      <c r="Q720" s="7"/>
      <c r="R720" s="6"/>
      <c r="S720" s="6"/>
      <c r="T720" s="6"/>
      <c r="U720" s="6"/>
      <c r="V720" s="7"/>
      <c r="W720" s="6"/>
      <c r="X720" s="6"/>
      <c r="Y720" s="6"/>
      <c r="Z720" s="6"/>
      <c r="AA720" s="1"/>
      <c r="AB720" s="12"/>
      <c r="AC720" s="12"/>
      <c r="AD720" s="12"/>
      <c r="AE720" s="12"/>
      <c r="AF720" s="6"/>
      <c r="AG720" s="12"/>
      <c r="AH720" s="6"/>
      <c r="AI720" s="6"/>
      <c r="AJ720" s="12"/>
      <c r="AK720" s="12"/>
      <c r="AL720" s="12"/>
      <c r="AM720" s="12"/>
      <c r="AN720" s="1"/>
      <c r="AO720" s="6"/>
    </row>
    <row r="721" spans="1:41" ht="15" x14ac:dyDescent="0.25">
      <c r="A721" s="1"/>
      <c r="B721" s="1"/>
      <c r="C721" s="1"/>
      <c r="D721" s="1"/>
      <c r="E721" s="6"/>
      <c r="F721" s="1"/>
      <c r="G721" s="6"/>
      <c r="H721" s="6"/>
      <c r="I721" s="6"/>
      <c r="J721" s="6"/>
      <c r="K721" s="6"/>
      <c r="L721" s="6"/>
      <c r="M721" s="6"/>
      <c r="N721" s="6"/>
      <c r="O721" s="7"/>
      <c r="P721" s="6"/>
      <c r="Q721" s="7"/>
      <c r="R721" s="6"/>
      <c r="S721" s="6"/>
      <c r="T721" s="6"/>
      <c r="U721" s="6"/>
      <c r="V721" s="7"/>
      <c r="W721" s="7"/>
      <c r="X721" s="6"/>
      <c r="Y721" s="6"/>
      <c r="Z721" s="6"/>
      <c r="AA721" s="24"/>
      <c r="AB721" s="25"/>
      <c r="AC721" s="12"/>
      <c r="AD721" s="12"/>
      <c r="AE721" s="12"/>
      <c r="AF721" s="6"/>
      <c r="AG721" s="12"/>
      <c r="AH721" s="6"/>
      <c r="AI721" s="6"/>
      <c r="AJ721" s="12"/>
      <c r="AK721" s="12"/>
      <c r="AL721" s="12"/>
      <c r="AM721" s="12"/>
      <c r="AN721" s="1"/>
      <c r="AO721" s="6"/>
    </row>
    <row r="722" spans="1:41" ht="15" x14ac:dyDescent="0.25">
      <c r="A722" s="1"/>
      <c r="B722" s="1"/>
      <c r="C722" s="1"/>
      <c r="D722" s="1"/>
      <c r="E722" s="6"/>
      <c r="F722" s="1"/>
      <c r="G722" s="6"/>
      <c r="H722" s="6"/>
      <c r="I722" s="6"/>
      <c r="J722" s="6"/>
      <c r="K722" s="6"/>
      <c r="L722" s="6"/>
      <c r="M722" s="6"/>
      <c r="N722" s="6"/>
      <c r="O722" s="7"/>
      <c r="P722" s="6"/>
      <c r="Q722" s="6"/>
      <c r="R722" s="7"/>
      <c r="S722" s="6"/>
      <c r="T722" s="6"/>
      <c r="U722" s="7"/>
      <c r="V722" s="6"/>
      <c r="W722" s="6"/>
      <c r="X722" s="12"/>
      <c r="Y722" s="6"/>
      <c r="Z722" s="6"/>
      <c r="AA722" s="7"/>
      <c r="AB722" s="6"/>
      <c r="AC722" s="6"/>
      <c r="AD722" s="6"/>
      <c r="AE722" s="12"/>
      <c r="AF722" s="6"/>
      <c r="AG722" s="12"/>
      <c r="AH722" s="6"/>
      <c r="AI722" s="6"/>
      <c r="AJ722" s="12"/>
      <c r="AK722" s="1"/>
      <c r="AL722" s="12"/>
      <c r="AM722" s="12"/>
      <c r="AN722" s="1"/>
      <c r="AO722" s="6"/>
    </row>
    <row r="723" spans="1:41" ht="15" x14ac:dyDescent="0.25">
      <c r="A723" s="1"/>
      <c r="B723" s="1"/>
      <c r="C723" s="1"/>
      <c r="D723" s="1"/>
      <c r="E723" s="6"/>
      <c r="F723" s="1"/>
      <c r="G723" s="6"/>
      <c r="H723" s="6"/>
      <c r="I723" s="6"/>
      <c r="J723" s="6"/>
      <c r="K723" s="6"/>
      <c r="L723" s="6"/>
      <c r="M723" s="6"/>
      <c r="N723" s="6"/>
      <c r="O723" s="7"/>
      <c r="P723" s="6"/>
      <c r="Q723" s="6"/>
      <c r="R723" s="7"/>
      <c r="S723" s="6"/>
      <c r="T723" s="6"/>
      <c r="U723" s="7"/>
      <c r="V723" s="6"/>
      <c r="W723" s="6"/>
      <c r="X723" s="12"/>
      <c r="Y723" s="6"/>
      <c r="Z723" s="6"/>
      <c r="AA723" s="7"/>
      <c r="AB723" s="6"/>
      <c r="AC723" s="6"/>
      <c r="AD723" s="6"/>
      <c r="AE723" s="12"/>
      <c r="AF723" s="6"/>
      <c r="AG723" s="12"/>
      <c r="AH723" s="6"/>
      <c r="AI723" s="6"/>
      <c r="AJ723" s="12"/>
      <c r="AK723" s="24"/>
      <c r="AL723" s="25"/>
      <c r="AM723" s="12"/>
      <c r="AN723" s="1"/>
      <c r="AO723" s="6"/>
    </row>
    <row r="724" spans="1:41" ht="15" x14ac:dyDescent="0.25">
      <c r="A724" s="1"/>
      <c r="B724" s="1"/>
      <c r="C724" s="1"/>
      <c r="D724" s="1"/>
      <c r="E724" s="6"/>
      <c r="F724" s="1"/>
      <c r="G724" s="6"/>
      <c r="H724" s="6"/>
      <c r="I724" s="6"/>
      <c r="J724" s="6"/>
      <c r="K724" s="6"/>
      <c r="L724" s="6"/>
      <c r="M724" s="6"/>
      <c r="N724" s="6"/>
      <c r="O724" s="7"/>
      <c r="P724" s="6"/>
      <c r="Q724" s="6"/>
      <c r="R724" s="7"/>
      <c r="S724" s="6"/>
      <c r="T724" s="6"/>
      <c r="U724" s="7"/>
      <c r="V724" s="6"/>
      <c r="W724" s="6"/>
      <c r="X724" s="6"/>
      <c r="Y724" s="6"/>
      <c r="Z724" s="6"/>
      <c r="AA724" s="7"/>
      <c r="AB724" s="6"/>
      <c r="AC724" s="6"/>
      <c r="AD724" s="6"/>
      <c r="AE724" s="12"/>
      <c r="AF724" s="6"/>
      <c r="AG724" s="12"/>
      <c r="AH724" s="6"/>
      <c r="AI724" s="6"/>
      <c r="AJ724" s="12"/>
      <c r="AK724" s="1"/>
      <c r="AL724" s="12"/>
      <c r="AM724" s="12"/>
      <c r="AN724" s="1"/>
      <c r="AO724" s="6"/>
    </row>
    <row r="725" spans="1:41" ht="15" x14ac:dyDescent="0.25">
      <c r="A725" s="1"/>
      <c r="B725" s="1"/>
      <c r="C725" s="1"/>
      <c r="D725" s="1"/>
      <c r="E725" s="6"/>
      <c r="F725" s="1"/>
      <c r="G725" s="6"/>
      <c r="H725" s="6"/>
      <c r="I725" s="6"/>
      <c r="J725" s="6"/>
      <c r="K725" s="6"/>
      <c r="L725" s="6"/>
      <c r="M725" s="6"/>
      <c r="N725" s="6"/>
      <c r="O725" s="7"/>
      <c r="P725" s="6"/>
      <c r="Q725" s="6"/>
      <c r="R725" s="7"/>
      <c r="S725" s="6"/>
      <c r="T725" s="6"/>
      <c r="U725" s="7"/>
      <c r="V725" s="6"/>
      <c r="W725" s="6"/>
      <c r="X725" s="6"/>
      <c r="Y725" s="6"/>
      <c r="Z725" s="6"/>
      <c r="AA725" s="7"/>
      <c r="AB725" s="6"/>
      <c r="AC725" s="6"/>
      <c r="AD725" s="6"/>
      <c r="AE725" s="12"/>
      <c r="AF725" s="6"/>
      <c r="AG725" s="12"/>
      <c r="AH725" s="6"/>
      <c r="AI725" s="6"/>
      <c r="AJ725" s="12"/>
      <c r="AK725" s="24"/>
      <c r="AL725" s="25"/>
      <c r="AM725" s="12"/>
      <c r="AN725" s="1"/>
      <c r="AO725" s="6"/>
    </row>
    <row r="726" spans="1:41" ht="15" x14ac:dyDescent="0.25">
      <c r="A726" s="1"/>
      <c r="B726" s="1"/>
      <c r="C726" s="1"/>
      <c r="D726" s="1"/>
      <c r="E726" s="6"/>
      <c r="F726" s="1"/>
      <c r="G726" s="6"/>
      <c r="H726" s="6"/>
      <c r="I726" s="6"/>
      <c r="J726" s="6"/>
      <c r="K726" s="6"/>
      <c r="L726" s="6"/>
      <c r="M726" s="6"/>
      <c r="N726" s="6"/>
      <c r="O726" s="7"/>
      <c r="P726" s="6"/>
      <c r="Q726" s="6"/>
      <c r="R726" s="7"/>
      <c r="S726" s="6"/>
      <c r="T726" s="6"/>
      <c r="U726" s="7"/>
      <c r="V726" s="6"/>
      <c r="W726" s="6"/>
      <c r="X726" s="6"/>
      <c r="Y726" s="6"/>
      <c r="Z726" s="6"/>
      <c r="AA726" s="7"/>
      <c r="AB726" s="6"/>
      <c r="AC726" s="6"/>
      <c r="AD726" s="6"/>
      <c r="AE726" s="12"/>
      <c r="AF726" s="6"/>
      <c r="AG726" s="12"/>
      <c r="AH726" s="6"/>
      <c r="AI726" s="6"/>
      <c r="AJ726" s="12"/>
      <c r="AK726" s="1"/>
      <c r="AL726" s="12"/>
      <c r="AM726" s="12"/>
      <c r="AN726" s="1"/>
      <c r="AO726" s="6"/>
    </row>
    <row r="727" spans="1:41" ht="15" x14ac:dyDescent="0.25">
      <c r="A727" s="1"/>
      <c r="B727" s="1"/>
      <c r="C727" s="1"/>
      <c r="D727" s="1"/>
      <c r="E727" s="6"/>
      <c r="F727" s="1"/>
      <c r="G727" s="6"/>
      <c r="H727" s="6"/>
      <c r="I727" s="6"/>
      <c r="J727" s="6"/>
      <c r="K727" s="6"/>
      <c r="L727" s="6"/>
      <c r="M727" s="6"/>
      <c r="N727" s="6"/>
      <c r="O727" s="7"/>
      <c r="P727" s="6"/>
      <c r="Q727" s="6"/>
      <c r="R727" s="7"/>
      <c r="S727" s="6"/>
      <c r="T727" s="6"/>
      <c r="U727" s="7"/>
      <c r="V727" s="6"/>
      <c r="W727" s="6"/>
      <c r="X727" s="12"/>
      <c r="Y727" s="6"/>
      <c r="Z727" s="6"/>
      <c r="AA727" s="7"/>
      <c r="AB727" s="6"/>
      <c r="AC727" s="6"/>
      <c r="AD727" s="6"/>
      <c r="AE727" s="12"/>
      <c r="AF727" s="6"/>
      <c r="AG727" s="12"/>
      <c r="AH727" s="6"/>
      <c r="AI727" s="6"/>
      <c r="AJ727" s="12"/>
      <c r="AK727" s="24"/>
      <c r="AL727" s="25"/>
      <c r="AM727" s="12"/>
      <c r="AN727" s="1"/>
      <c r="AO727" s="6"/>
    </row>
    <row r="728" spans="1:41" ht="15" x14ac:dyDescent="0.25">
      <c r="A728" s="1"/>
      <c r="B728" s="1"/>
      <c r="C728" s="1"/>
      <c r="D728" s="1"/>
      <c r="E728" s="6"/>
      <c r="F728" s="1"/>
      <c r="G728" s="6"/>
      <c r="H728" s="6"/>
      <c r="I728" s="6"/>
      <c r="J728" s="6"/>
      <c r="K728" s="6"/>
      <c r="L728" s="6"/>
      <c r="M728" s="6"/>
      <c r="N728" s="6"/>
      <c r="O728" s="7"/>
      <c r="P728" s="6"/>
      <c r="Q728" s="6"/>
      <c r="R728" s="7"/>
      <c r="S728" s="6"/>
      <c r="T728" s="6"/>
      <c r="U728" s="7"/>
      <c r="V728" s="6"/>
      <c r="W728" s="6"/>
      <c r="X728" s="6"/>
      <c r="Y728" s="6"/>
      <c r="Z728" s="6"/>
      <c r="AA728" s="7"/>
      <c r="AB728" s="6"/>
      <c r="AC728" s="6"/>
      <c r="AD728" s="6"/>
      <c r="AE728" s="12"/>
      <c r="AF728" s="6"/>
      <c r="AG728" s="12"/>
      <c r="AH728" s="6"/>
      <c r="AI728" s="6"/>
      <c r="AJ728" s="12"/>
      <c r="AK728" s="1"/>
      <c r="AL728" s="12"/>
      <c r="AM728" s="12"/>
      <c r="AN728" s="1"/>
      <c r="AO728" s="6"/>
    </row>
    <row r="729" spans="1:41" ht="15" x14ac:dyDescent="0.25">
      <c r="A729" s="1"/>
      <c r="B729" s="1"/>
      <c r="C729" s="1"/>
      <c r="D729" s="1"/>
      <c r="E729" s="6"/>
      <c r="F729" s="1"/>
      <c r="G729" s="6"/>
      <c r="H729" s="6"/>
      <c r="I729" s="6"/>
      <c r="J729" s="6"/>
      <c r="K729" s="6"/>
      <c r="L729" s="6"/>
      <c r="M729" s="6"/>
      <c r="N729" s="6"/>
      <c r="O729" s="7"/>
      <c r="P729" s="6"/>
      <c r="Q729" s="6"/>
      <c r="R729" s="7"/>
      <c r="S729" s="6"/>
      <c r="T729" s="6"/>
      <c r="U729" s="7"/>
      <c r="V729" s="6"/>
      <c r="W729" s="6"/>
      <c r="X729" s="12"/>
      <c r="Y729" s="6"/>
      <c r="Z729" s="6"/>
      <c r="AA729" s="7"/>
      <c r="AB729" s="6"/>
      <c r="AC729" s="6"/>
      <c r="AD729" s="6"/>
      <c r="AE729" s="12"/>
      <c r="AF729" s="6"/>
      <c r="AG729" s="12"/>
      <c r="AH729" s="6"/>
      <c r="AI729" s="6"/>
      <c r="AJ729" s="12"/>
      <c r="AK729" s="1"/>
      <c r="AL729" s="12"/>
      <c r="AM729" s="12"/>
      <c r="AN729" s="1"/>
      <c r="AO729" s="6"/>
    </row>
    <row r="730" spans="1:41" ht="15" x14ac:dyDescent="0.25">
      <c r="A730" s="1"/>
      <c r="B730" s="1"/>
      <c r="C730" s="1"/>
      <c r="D730" s="1"/>
      <c r="E730" s="6"/>
      <c r="F730" s="1"/>
      <c r="G730" s="6"/>
      <c r="H730" s="6"/>
      <c r="I730" s="6"/>
      <c r="J730" s="6"/>
      <c r="K730" s="6"/>
      <c r="L730" s="6"/>
      <c r="M730" s="6"/>
      <c r="N730" s="6"/>
      <c r="O730" s="7"/>
      <c r="P730" s="6"/>
      <c r="Q730" s="7"/>
      <c r="R730" s="6"/>
      <c r="S730" s="6"/>
      <c r="T730" s="6"/>
      <c r="U730" s="6"/>
      <c r="V730" s="7"/>
      <c r="W730" s="7"/>
      <c r="X730" s="6"/>
      <c r="Y730" s="6"/>
      <c r="Z730" s="6"/>
      <c r="AA730" s="1"/>
      <c r="AB730" s="12"/>
      <c r="AC730" s="12"/>
      <c r="AD730" s="12"/>
      <c r="AE730" s="12"/>
      <c r="AF730" s="12"/>
      <c r="AG730" s="12"/>
      <c r="AH730" s="12"/>
      <c r="AI730" s="6"/>
      <c r="AJ730" s="12"/>
      <c r="AK730" s="12"/>
      <c r="AL730" s="12"/>
      <c r="AM730" s="12"/>
      <c r="AN730" s="1"/>
      <c r="AO730" s="6"/>
    </row>
    <row r="731" spans="1:41" ht="15" x14ac:dyDescent="0.25">
      <c r="A731" s="1"/>
      <c r="B731" s="1"/>
      <c r="C731" s="1"/>
      <c r="D731" s="1"/>
      <c r="E731" s="6"/>
      <c r="F731" s="1"/>
      <c r="G731" s="6"/>
      <c r="H731" s="6"/>
      <c r="I731" s="6"/>
      <c r="J731" s="6"/>
      <c r="K731" s="6"/>
      <c r="L731" s="6"/>
      <c r="M731" s="6"/>
      <c r="N731" s="6"/>
      <c r="O731" s="7"/>
      <c r="P731" s="6"/>
      <c r="Q731" s="6"/>
      <c r="R731" s="7"/>
      <c r="S731" s="6"/>
      <c r="T731" s="6"/>
      <c r="U731" s="7"/>
      <c r="V731" s="6"/>
      <c r="W731" s="6"/>
      <c r="X731" s="6"/>
      <c r="Y731" s="6"/>
      <c r="Z731" s="6"/>
      <c r="AA731" s="7"/>
      <c r="AB731" s="6"/>
      <c r="AC731" s="6"/>
      <c r="AD731" s="6"/>
      <c r="AE731" s="12"/>
      <c r="AF731" s="6"/>
      <c r="AG731" s="12"/>
      <c r="AH731" s="6"/>
      <c r="AI731" s="6"/>
      <c r="AJ731" s="12"/>
      <c r="AK731" s="24"/>
      <c r="AL731" s="25"/>
      <c r="AM731" s="12"/>
      <c r="AN731" s="1"/>
      <c r="AO731" s="6"/>
    </row>
    <row r="732" spans="1:41" ht="15" x14ac:dyDescent="0.25">
      <c r="A732" s="1"/>
      <c r="B732" s="1"/>
      <c r="C732" s="1"/>
      <c r="D732" s="1"/>
      <c r="E732" s="6"/>
      <c r="F732" s="1"/>
      <c r="G732" s="6"/>
      <c r="H732" s="6"/>
      <c r="I732" s="6"/>
      <c r="J732" s="6"/>
      <c r="K732" s="6"/>
      <c r="L732" s="6"/>
      <c r="M732" s="6"/>
      <c r="N732" s="6"/>
      <c r="O732" s="7"/>
      <c r="P732" s="12"/>
      <c r="Q732" s="6"/>
      <c r="R732" s="7"/>
      <c r="S732" s="6"/>
      <c r="T732" s="6"/>
      <c r="U732" s="7"/>
      <c r="V732" s="6"/>
      <c r="W732" s="6"/>
      <c r="X732" s="6"/>
      <c r="Y732" s="6"/>
      <c r="Z732" s="6"/>
      <c r="AA732" s="7"/>
      <c r="AB732" s="6"/>
      <c r="AC732" s="6"/>
      <c r="AD732" s="6"/>
      <c r="AE732" s="12"/>
      <c r="AF732" s="12"/>
      <c r="AG732" s="12"/>
      <c r="AH732" s="12"/>
      <c r="AI732" s="6"/>
      <c r="AJ732" s="12"/>
      <c r="AK732" s="1"/>
      <c r="AL732" s="12"/>
      <c r="AM732" s="12"/>
      <c r="AN732" s="1"/>
      <c r="AO732" s="6"/>
    </row>
    <row r="733" spans="1:41" ht="15" x14ac:dyDescent="0.25">
      <c r="A733" s="1"/>
      <c r="B733" s="1"/>
      <c r="C733" s="1"/>
      <c r="D733" s="1"/>
      <c r="E733" s="6"/>
      <c r="F733" s="1"/>
      <c r="G733" s="6"/>
      <c r="H733" s="6"/>
      <c r="I733" s="6"/>
      <c r="J733" s="6"/>
      <c r="K733" s="6"/>
      <c r="L733" s="6"/>
      <c r="M733" s="6"/>
      <c r="N733" s="6"/>
      <c r="O733" s="7"/>
      <c r="P733" s="6"/>
      <c r="Q733" s="6"/>
      <c r="R733" s="7"/>
      <c r="S733" s="6"/>
      <c r="T733" s="6"/>
      <c r="U733" s="7"/>
      <c r="V733" s="6"/>
      <c r="W733" s="6"/>
      <c r="X733" s="6"/>
      <c r="Y733" s="6"/>
      <c r="Z733" s="6"/>
      <c r="AA733" s="7"/>
      <c r="AB733" s="6"/>
      <c r="AC733" s="6"/>
      <c r="AD733" s="6"/>
      <c r="AE733" s="12"/>
      <c r="AF733" s="6"/>
      <c r="AG733" s="12"/>
      <c r="AH733" s="6"/>
      <c r="AI733" s="6"/>
      <c r="AJ733" s="12"/>
      <c r="AK733" s="1"/>
      <c r="AL733" s="12"/>
      <c r="AM733" s="12"/>
      <c r="AN733" s="1"/>
      <c r="AO733" s="6"/>
    </row>
    <row r="734" spans="1:41" ht="15" x14ac:dyDescent="0.25">
      <c r="A734" s="1"/>
      <c r="B734" s="1"/>
      <c r="C734" s="1"/>
      <c r="D734" s="1"/>
      <c r="E734" s="6"/>
      <c r="F734" s="1"/>
      <c r="G734" s="6"/>
      <c r="H734" s="6"/>
      <c r="I734" s="6"/>
      <c r="J734" s="6"/>
      <c r="K734" s="6"/>
      <c r="L734" s="6"/>
      <c r="M734" s="6"/>
      <c r="N734" s="6"/>
      <c r="O734" s="7"/>
      <c r="P734" s="6"/>
      <c r="Q734" s="7"/>
      <c r="R734" s="6"/>
      <c r="S734" s="6"/>
      <c r="T734" s="6"/>
      <c r="U734" s="6"/>
      <c r="V734" s="7"/>
      <c r="W734" s="7"/>
      <c r="X734" s="6"/>
      <c r="Y734" s="6"/>
      <c r="Z734" s="6"/>
      <c r="AA734" s="1"/>
      <c r="AB734" s="12"/>
      <c r="AC734" s="12"/>
      <c r="AD734" s="12"/>
      <c r="AE734" s="12"/>
      <c r="AF734" s="12"/>
      <c r="AG734" s="12"/>
      <c r="AH734" s="12"/>
      <c r="AI734" s="6"/>
      <c r="AJ734" s="12"/>
      <c r="AK734" s="12"/>
      <c r="AL734" s="12"/>
      <c r="AM734" s="12"/>
      <c r="AN734" s="1"/>
      <c r="AO734" s="6"/>
    </row>
    <row r="735" spans="1:41" ht="15" x14ac:dyDescent="0.25">
      <c r="A735" s="1"/>
      <c r="B735" s="1"/>
      <c r="C735" s="1"/>
      <c r="D735" s="1"/>
      <c r="E735" s="6"/>
      <c r="F735" s="1"/>
      <c r="G735" s="6"/>
      <c r="H735" s="6"/>
      <c r="I735" s="6"/>
      <c r="J735" s="6"/>
      <c r="K735" s="6"/>
      <c r="L735" s="6"/>
      <c r="M735" s="6"/>
      <c r="N735" s="6"/>
      <c r="O735" s="7"/>
      <c r="P735" s="6"/>
      <c r="Q735" s="6"/>
      <c r="R735" s="7"/>
      <c r="S735" s="6"/>
      <c r="T735" s="6"/>
      <c r="U735" s="7"/>
      <c r="V735" s="6"/>
      <c r="W735" s="6"/>
      <c r="X735" s="6"/>
      <c r="Y735" s="6"/>
      <c r="Z735" s="6"/>
      <c r="AA735" s="7"/>
      <c r="AB735" s="6"/>
      <c r="AC735" s="6"/>
      <c r="AD735" s="6"/>
      <c r="AE735" s="12"/>
      <c r="AF735" s="6"/>
      <c r="AG735" s="12"/>
      <c r="AH735" s="6"/>
      <c r="AI735" s="6"/>
      <c r="AJ735" s="12"/>
      <c r="AK735" s="1"/>
      <c r="AL735" s="12"/>
      <c r="AM735" s="12"/>
      <c r="AN735" s="1"/>
      <c r="AO735" s="6"/>
    </row>
    <row r="736" spans="1:41" ht="15" x14ac:dyDescent="0.25">
      <c r="A736" s="1"/>
      <c r="B736" s="1"/>
      <c r="C736" s="1"/>
      <c r="D736" s="1"/>
      <c r="E736" s="6"/>
      <c r="F736" s="1"/>
      <c r="G736" s="6"/>
      <c r="H736" s="6"/>
      <c r="I736" s="6"/>
      <c r="J736" s="6"/>
      <c r="K736" s="6"/>
      <c r="L736" s="6"/>
      <c r="M736" s="6"/>
      <c r="N736" s="6"/>
      <c r="O736" s="7"/>
      <c r="P736" s="6"/>
      <c r="Q736" s="6"/>
      <c r="R736" s="7"/>
      <c r="S736" s="6"/>
      <c r="T736" s="6"/>
      <c r="U736" s="7"/>
      <c r="V736" s="6"/>
      <c r="W736" s="6"/>
      <c r="X736" s="12"/>
      <c r="Y736" s="6"/>
      <c r="Z736" s="6"/>
      <c r="AA736" s="7"/>
      <c r="AB736" s="6"/>
      <c r="AC736" s="6"/>
      <c r="AD736" s="6"/>
      <c r="AE736" s="12"/>
      <c r="AF736" s="12"/>
      <c r="AG736" s="12"/>
      <c r="AH736" s="12"/>
      <c r="AI736" s="6"/>
      <c r="AJ736" s="12"/>
      <c r="AK736" s="1"/>
      <c r="AL736" s="12"/>
      <c r="AM736" s="12"/>
      <c r="AN736" s="1"/>
      <c r="AO736" s="6"/>
    </row>
    <row r="737" spans="1:41" ht="15" x14ac:dyDescent="0.25">
      <c r="A737" s="1"/>
      <c r="B737" s="1"/>
      <c r="C737" s="1"/>
      <c r="D737" s="1"/>
      <c r="E737" s="6"/>
      <c r="F737" s="1"/>
      <c r="G737" s="6"/>
      <c r="H737" s="6"/>
      <c r="I737" s="6"/>
      <c r="J737" s="6"/>
      <c r="K737" s="6"/>
      <c r="L737" s="6"/>
      <c r="M737" s="6"/>
      <c r="N737" s="6"/>
      <c r="O737" s="7"/>
      <c r="P737" s="6"/>
      <c r="Q737" s="6"/>
      <c r="R737" s="7"/>
      <c r="S737" s="6"/>
      <c r="T737" s="6"/>
      <c r="U737" s="7"/>
      <c r="V737" s="6"/>
      <c r="W737" s="6"/>
      <c r="X737" s="6"/>
      <c r="Y737" s="6"/>
      <c r="Z737" s="6"/>
      <c r="AA737" s="7"/>
      <c r="AB737" s="6"/>
      <c r="AC737" s="6"/>
      <c r="AD737" s="6"/>
      <c r="AE737" s="12"/>
      <c r="AF737" s="6"/>
      <c r="AG737" s="12"/>
      <c r="AH737" s="6"/>
      <c r="AI737" s="6"/>
      <c r="AJ737" s="12"/>
      <c r="AK737" s="24"/>
      <c r="AL737" s="25"/>
      <c r="AM737" s="12"/>
      <c r="AN737" s="1"/>
      <c r="AO737" s="6"/>
    </row>
    <row r="738" spans="1:41" ht="15" x14ac:dyDescent="0.25">
      <c r="A738" s="1"/>
      <c r="B738" s="1"/>
      <c r="C738" s="1"/>
      <c r="D738" s="1"/>
      <c r="E738" s="6"/>
      <c r="F738" s="1"/>
      <c r="G738" s="6"/>
      <c r="H738" s="6"/>
      <c r="I738" s="6"/>
      <c r="J738" s="6"/>
      <c r="K738" s="6"/>
      <c r="L738" s="6"/>
      <c r="M738" s="6"/>
      <c r="N738" s="6"/>
      <c r="O738" s="7"/>
      <c r="P738" s="12"/>
      <c r="Q738" s="6"/>
      <c r="R738" s="7"/>
      <c r="S738" s="6"/>
      <c r="T738" s="6"/>
      <c r="U738" s="7"/>
      <c r="V738" s="6"/>
      <c r="W738" s="6"/>
      <c r="X738" s="6"/>
      <c r="Y738" s="6"/>
      <c r="Z738" s="6"/>
      <c r="AA738" s="7"/>
      <c r="AB738" s="6"/>
      <c r="AC738" s="6"/>
      <c r="AD738" s="6"/>
      <c r="AE738" s="12"/>
      <c r="AF738" s="12"/>
      <c r="AG738" s="12"/>
      <c r="AH738" s="12"/>
      <c r="AI738" s="6"/>
      <c r="AJ738" s="12"/>
      <c r="AK738" s="1"/>
      <c r="AL738" s="12"/>
      <c r="AM738" s="12"/>
      <c r="AN738" s="1"/>
      <c r="AO738" s="6"/>
    </row>
    <row r="739" spans="1:41" ht="15" x14ac:dyDescent="0.25">
      <c r="A739" s="1"/>
      <c r="B739" s="1"/>
      <c r="C739" s="1"/>
      <c r="D739" s="1"/>
      <c r="E739" s="6"/>
      <c r="F739" s="1"/>
      <c r="G739" s="6"/>
      <c r="H739" s="6"/>
      <c r="I739" s="6"/>
      <c r="J739" s="6"/>
      <c r="K739" s="6"/>
      <c r="L739" s="6"/>
      <c r="M739" s="6"/>
      <c r="N739" s="6"/>
      <c r="O739" s="7"/>
      <c r="P739" s="6"/>
      <c r="Q739" s="6"/>
      <c r="R739" s="7"/>
      <c r="S739" s="6"/>
      <c r="T739" s="6"/>
      <c r="U739" s="7"/>
      <c r="V739" s="6"/>
      <c r="W739" s="6"/>
      <c r="X739" s="6"/>
      <c r="Y739" s="6"/>
      <c r="Z739" s="6"/>
      <c r="AA739" s="7"/>
      <c r="AB739" s="6"/>
      <c r="AC739" s="6"/>
      <c r="AD739" s="6"/>
      <c r="AE739" s="12"/>
      <c r="AF739" s="12"/>
      <c r="AG739" s="12"/>
      <c r="AH739" s="12"/>
      <c r="AI739" s="6"/>
      <c r="AJ739" s="12"/>
      <c r="AK739" s="1"/>
      <c r="AL739" s="12"/>
      <c r="AM739" s="12"/>
      <c r="AN739" s="1"/>
      <c r="AO739" s="6"/>
    </row>
    <row r="740" spans="1:41" ht="15" x14ac:dyDescent="0.25">
      <c r="A740" s="1"/>
      <c r="B740" s="1"/>
      <c r="C740" s="1"/>
      <c r="D740" s="1"/>
      <c r="E740" s="6"/>
      <c r="F740" s="1"/>
      <c r="G740" s="6"/>
      <c r="H740" s="6"/>
      <c r="I740" s="6"/>
      <c r="J740" s="6"/>
      <c r="K740" s="6"/>
      <c r="L740" s="6"/>
      <c r="M740" s="6"/>
      <c r="N740" s="6"/>
      <c r="O740" s="7"/>
      <c r="P740" s="6"/>
      <c r="Q740" s="6"/>
      <c r="R740" s="7"/>
      <c r="S740" s="6"/>
      <c r="T740" s="6"/>
      <c r="U740" s="7"/>
      <c r="V740" s="6"/>
      <c r="W740" s="6"/>
      <c r="X740" s="6"/>
      <c r="Y740" s="6"/>
      <c r="Z740" s="6"/>
      <c r="AA740" s="7"/>
      <c r="AB740" s="6"/>
      <c r="AC740" s="6"/>
      <c r="AD740" s="6"/>
      <c r="AE740" s="12"/>
      <c r="AF740" s="12"/>
      <c r="AG740" s="12"/>
      <c r="AH740" s="12"/>
      <c r="AI740" s="6"/>
      <c r="AJ740" s="12"/>
      <c r="AK740" s="1"/>
      <c r="AL740" s="12"/>
      <c r="AM740" s="12"/>
      <c r="AN740" s="1"/>
      <c r="AO740" s="6"/>
    </row>
    <row r="741" spans="1:41" ht="15" x14ac:dyDescent="0.25">
      <c r="A741" s="1"/>
      <c r="B741" s="1"/>
      <c r="C741" s="1"/>
      <c r="D741" s="1"/>
      <c r="E741" s="6"/>
      <c r="F741" s="1"/>
      <c r="G741" s="6"/>
      <c r="H741" s="6"/>
      <c r="I741" s="6"/>
      <c r="J741" s="6"/>
      <c r="K741" s="6"/>
      <c r="L741" s="6"/>
      <c r="M741" s="6"/>
      <c r="N741" s="6"/>
      <c r="O741" s="7"/>
      <c r="P741" s="6"/>
      <c r="Q741" s="7"/>
      <c r="R741" s="6"/>
      <c r="S741" s="6"/>
      <c r="T741" s="6"/>
      <c r="U741" s="6"/>
      <c r="V741" s="7"/>
      <c r="W741" s="7"/>
      <c r="X741" s="6"/>
      <c r="Y741" s="6"/>
      <c r="Z741" s="6"/>
      <c r="AA741" s="1"/>
      <c r="AB741" s="12"/>
      <c r="AC741" s="12"/>
      <c r="AD741" s="12"/>
      <c r="AE741" s="12"/>
      <c r="AF741" s="12"/>
      <c r="AG741" s="12"/>
      <c r="AH741" s="12"/>
      <c r="AI741" s="6"/>
      <c r="AJ741" s="12"/>
      <c r="AK741" s="12"/>
      <c r="AL741" s="12"/>
      <c r="AM741" s="12"/>
      <c r="AN741" s="1"/>
      <c r="AO741" s="6"/>
    </row>
    <row r="742" spans="1:41" ht="15" x14ac:dyDescent="0.25">
      <c r="A742" s="1"/>
      <c r="B742" s="1"/>
      <c r="C742" s="1"/>
      <c r="D742" s="1"/>
      <c r="E742" s="6"/>
      <c r="F742" s="1"/>
      <c r="G742" s="6"/>
      <c r="H742" s="6"/>
      <c r="I742" s="6"/>
      <c r="J742" s="6"/>
      <c r="K742" s="6"/>
      <c r="L742" s="6"/>
      <c r="M742" s="6"/>
      <c r="N742" s="6"/>
      <c r="O742" s="7"/>
      <c r="P742" s="6"/>
      <c r="Q742" s="6"/>
      <c r="R742" s="7"/>
      <c r="S742" s="6"/>
      <c r="T742" s="6"/>
      <c r="U742" s="7"/>
      <c r="V742" s="6"/>
      <c r="W742" s="6"/>
      <c r="X742" s="6"/>
      <c r="Y742" s="6"/>
      <c r="Z742" s="6"/>
      <c r="AA742" s="7"/>
      <c r="AB742" s="6"/>
      <c r="AC742" s="6"/>
      <c r="AD742" s="6"/>
      <c r="AE742" s="12"/>
      <c r="AF742" s="12"/>
      <c r="AG742" s="12"/>
      <c r="AH742" s="12"/>
      <c r="AI742" s="6"/>
      <c r="AJ742" s="12"/>
      <c r="AK742" s="1"/>
      <c r="AL742" s="12"/>
      <c r="AM742" s="12"/>
      <c r="AN742" s="1"/>
      <c r="AO742" s="6"/>
    </row>
    <row r="743" spans="1:41" ht="15" x14ac:dyDescent="0.25">
      <c r="A743" s="1"/>
      <c r="B743" s="1"/>
      <c r="C743" s="1"/>
      <c r="D743" s="1"/>
      <c r="E743" s="6"/>
      <c r="F743" s="1"/>
      <c r="G743" s="6"/>
      <c r="H743" s="6"/>
      <c r="I743" s="6"/>
      <c r="J743" s="6"/>
      <c r="K743" s="6"/>
      <c r="L743" s="6"/>
      <c r="M743" s="6"/>
      <c r="N743" s="6"/>
      <c r="O743" s="7"/>
      <c r="P743" s="6"/>
      <c r="Q743" s="6"/>
      <c r="R743" s="7"/>
      <c r="S743" s="6"/>
      <c r="T743" s="6"/>
      <c r="U743" s="7"/>
      <c r="V743" s="6"/>
      <c r="W743" s="6"/>
      <c r="X743" s="12"/>
      <c r="Y743" s="6"/>
      <c r="Z743" s="6"/>
      <c r="AA743" s="7"/>
      <c r="AB743" s="6"/>
      <c r="AC743" s="6"/>
      <c r="AD743" s="6"/>
      <c r="AE743" s="12"/>
      <c r="AF743" s="12"/>
      <c r="AG743" s="12"/>
      <c r="AH743" s="12"/>
      <c r="AI743" s="6"/>
      <c r="AJ743" s="12"/>
      <c r="AK743" s="1"/>
      <c r="AL743" s="12"/>
      <c r="AM743" s="12"/>
      <c r="AN743" s="1"/>
      <c r="AO743" s="6"/>
    </row>
    <row r="744" spans="1:41" ht="15" x14ac:dyDescent="0.25">
      <c r="A744" s="1"/>
      <c r="B744" s="1"/>
      <c r="C744" s="1"/>
      <c r="D744" s="1"/>
      <c r="E744" s="6"/>
      <c r="F744" s="1"/>
      <c r="G744" s="6"/>
      <c r="H744" s="6"/>
      <c r="I744" s="6"/>
      <c r="J744" s="6"/>
      <c r="K744" s="6"/>
      <c r="L744" s="6"/>
      <c r="M744" s="6"/>
      <c r="N744" s="6"/>
      <c r="O744" s="7"/>
      <c r="P744" s="6"/>
      <c r="Q744" s="6"/>
      <c r="R744" s="7"/>
      <c r="S744" s="6"/>
      <c r="T744" s="6"/>
      <c r="U744" s="7"/>
      <c r="V744" s="6"/>
      <c r="W744" s="6"/>
      <c r="X744" s="12"/>
      <c r="Y744" s="6"/>
      <c r="Z744" s="6"/>
      <c r="AA744" s="7"/>
      <c r="AB744" s="6"/>
      <c r="AC744" s="6"/>
      <c r="AD744" s="6"/>
      <c r="AE744" s="12"/>
      <c r="AF744" s="12"/>
      <c r="AG744" s="12"/>
      <c r="AH744" s="12"/>
      <c r="AI744" s="6"/>
      <c r="AJ744" s="12"/>
      <c r="AK744" s="1"/>
      <c r="AL744" s="12"/>
      <c r="AM744" s="12"/>
      <c r="AN744" s="1"/>
      <c r="AO744" s="6"/>
    </row>
    <row r="745" spans="1:41" ht="15" x14ac:dyDescent="0.25">
      <c r="A745" s="1"/>
      <c r="B745" s="1"/>
      <c r="C745" s="1"/>
      <c r="D745" s="1"/>
      <c r="E745" s="6"/>
      <c r="F745" s="1"/>
      <c r="G745" s="6"/>
      <c r="H745" s="6"/>
      <c r="I745" s="6"/>
      <c r="J745" s="6"/>
      <c r="K745" s="6"/>
      <c r="L745" s="6"/>
      <c r="M745" s="6"/>
      <c r="N745" s="6"/>
      <c r="O745" s="7"/>
      <c r="P745" s="6"/>
      <c r="Q745" s="6"/>
      <c r="R745" s="7"/>
      <c r="S745" s="6"/>
      <c r="T745" s="6"/>
      <c r="U745" s="7"/>
      <c r="V745" s="6"/>
      <c r="W745" s="6"/>
      <c r="X745" s="6"/>
      <c r="Y745" s="6"/>
      <c r="Z745" s="6"/>
      <c r="AA745" s="7"/>
      <c r="AB745" s="6"/>
      <c r="AC745" s="6"/>
      <c r="AD745" s="6"/>
      <c r="AE745" s="12"/>
      <c r="AF745" s="12"/>
      <c r="AG745" s="12"/>
      <c r="AH745" s="12"/>
      <c r="AI745" s="6"/>
      <c r="AJ745" s="12"/>
      <c r="AK745" s="1"/>
      <c r="AL745" s="12"/>
      <c r="AM745" s="12"/>
      <c r="AN745" s="1"/>
      <c r="AO745" s="6"/>
    </row>
    <row r="746" spans="1:41" ht="15" x14ac:dyDescent="0.25">
      <c r="A746" s="1"/>
      <c r="B746" s="1"/>
      <c r="C746" s="1"/>
      <c r="D746" s="1"/>
      <c r="E746" s="6"/>
      <c r="F746" s="1"/>
      <c r="G746" s="6"/>
      <c r="H746" s="6"/>
      <c r="I746" s="6"/>
      <c r="J746" s="6"/>
      <c r="K746" s="6"/>
      <c r="L746" s="6"/>
      <c r="M746" s="6"/>
      <c r="N746" s="6"/>
      <c r="O746" s="7"/>
      <c r="P746" s="12"/>
      <c r="Q746" s="6"/>
      <c r="R746" s="7"/>
      <c r="S746" s="6"/>
      <c r="T746" s="6"/>
      <c r="U746" s="7"/>
      <c r="V746" s="6"/>
      <c r="W746" s="6"/>
      <c r="X746" s="6"/>
      <c r="Y746" s="6"/>
      <c r="Z746" s="6"/>
      <c r="AA746" s="7"/>
      <c r="AB746" s="6"/>
      <c r="AC746" s="6"/>
      <c r="AD746" s="6"/>
      <c r="AE746" s="12"/>
      <c r="AF746" s="12"/>
      <c r="AG746" s="12"/>
      <c r="AH746" s="12"/>
      <c r="AI746" s="6"/>
      <c r="AJ746" s="12"/>
      <c r="AK746" s="1"/>
      <c r="AL746" s="12"/>
      <c r="AM746" s="12"/>
      <c r="AN746" s="1"/>
      <c r="AO746" s="6"/>
    </row>
    <row r="747" spans="1:41" ht="15" x14ac:dyDescent="0.25">
      <c r="A747" s="1"/>
      <c r="B747" s="1"/>
      <c r="C747" s="1"/>
      <c r="D747" s="1"/>
      <c r="E747" s="6"/>
      <c r="F747" s="1"/>
      <c r="G747" s="6"/>
      <c r="H747" s="6"/>
      <c r="I747" s="6"/>
      <c r="J747" s="6"/>
      <c r="K747" s="6"/>
      <c r="L747" s="6"/>
      <c r="M747" s="6"/>
      <c r="N747" s="6"/>
      <c r="O747" s="7"/>
      <c r="P747" s="6"/>
      <c r="Q747" s="6"/>
      <c r="R747" s="7"/>
      <c r="S747" s="6"/>
      <c r="T747" s="6"/>
      <c r="U747" s="7"/>
      <c r="V747" s="6"/>
      <c r="W747" s="6"/>
      <c r="X747" s="6"/>
      <c r="Y747" s="6"/>
      <c r="Z747" s="6"/>
      <c r="AA747" s="7"/>
      <c r="AB747" s="6"/>
      <c r="AC747" s="6"/>
      <c r="AD747" s="6"/>
      <c r="AE747" s="12"/>
      <c r="AF747" s="6"/>
      <c r="AG747" s="12"/>
      <c r="AH747" s="6"/>
      <c r="AI747" s="6"/>
      <c r="AJ747" s="12"/>
      <c r="AK747" s="24"/>
      <c r="AL747" s="25"/>
      <c r="AM747" s="12"/>
      <c r="AN747" s="1"/>
      <c r="AO747" s="6"/>
    </row>
    <row r="748" spans="1:41" ht="15" x14ac:dyDescent="0.25">
      <c r="A748" s="1"/>
      <c r="B748" s="1"/>
      <c r="C748" s="1"/>
      <c r="D748" s="1"/>
      <c r="E748" s="6"/>
      <c r="F748" s="1"/>
      <c r="G748" s="6"/>
      <c r="H748" s="6"/>
      <c r="I748" s="6"/>
      <c r="J748" s="6"/>
      <c r="K748" s="6"/>
      <c r="L748" s="6"/>
      <c r="M748" s="6"/>
      <c r="N748" s="6"/>
      <c r="O748" s="7"/>
      <c r="P748" s="6"/>
      <c r="Q748" s="6"/>
      <c r="R748" s="7"/>
      <c r="S748" s="6"/>
      <c r="T748" s="6"/>
      <c r="U748" s="7"/>
      <c r="V748" s="6"/>
      <c r="W748" s="6"/>
      <c r="X748" s="12"/>
      <c r="Y748" s="6"/>
      <c r="Z748" s="6"/>
      <c r="AA748" s="7"/>
      <c r="AB748" s="6"/>
      <c r="AC748" s="6"/>
      <c r="AD748" s="6"/>
      <c r="AE748" s="12"/>
      <c r="AF748" s="6"/>
      <c r="AG748" s="12"/>
      <c r="AH748" s="6"/>
      <c r="AI748" s="6"/>
      <c r="AJ748" s="12"/>
      <c r="AK748" s="24"/>
      <c r="AL748" s="25"/>
      <c r="AM748" s="12"/>
      <c r="AN748" s="1"/>
      <c r="AO748" s="6"/>
    </row>
    <row r="749" spans="1:41" ht="15" x14ac:dyDescent="0.25">
      <c r="A749" s="1"/>
      <c r="B749" s="1"/>
      <c r="C749" s="1"/>
      <c r="D749" s="1"/>
      <c r="E749" s="6"/>
      <c r="F749" s="1"/>
      <c r="G749" s="6"/>
      <c r="H749" s="6"/>
      <c r="I749" s="6"/>
      <c r="J749" s="6"/>
      <c r="K749" s="6"/>
      <c r="L749" s="6"/>
      <c r="M749" s="6"/>
      <c r="N749" s="6"/>
      <c r="O749" s="7"/>
      <c r="P749" s="6"/>
      <c r="Q749" s="6"/>
      <c r="R749" s="7"/>
      <c r="S749" s="6"/>
      <c r="T749" s="6"/>
      <c r="U749" s="7"/>
      <c r="V749" s="6"/>
      <c r="W749" s="6"/>
      <c r="X749" s="12"/>
      <c r="Y749" s="6"/>
      <c r="Z749" s="6"/>
      <c r="AA749" s="7"/>
      <c r="AB749" s="6"/>
      <c r="AC749" s="6"/>
      <c r="AD749" s="6"/>
      <c r="AE749" s="12"/>
      <c r="AF749" s="12"/>
      <c r="AG749" s="12"/>
      <c r="AH749" s="12"/>
      <c r="AI749" s="6"/>
      <c r="AJ749" s="12"/>
      <c r="AK749" s="1"/>
      <c r="AL749" s="12"/>
      <c r="AM749" s="12"/>
      <c r="AN749" s="1"/>
      <c r="AO749" s="6"/>
    </row>
    <row r="750" spans="1:41" ht="15" x14ac:dyDescent="0.25">
      <c r="A750" s="1"/>
      <c r="B750" s="1"/>
      <c r="C750" s="1"/>
      <c r="D750" s="1"/>
      <c r="E750" s="6"/>
      <c r="F750" s="1"/>
      <c r="G750" s="6"/>
      <c r="H750" s="6"/>
      <c r="I750" s="6"/>
      <c r="J750" s="6"/>
      <c r="K750" s="6"/>
      <c r="L750" s="6"/>
      <c r="M750" s="6"/>
      <c r="N750" s="6"/>
      <c r="O750" s="7"/>
      <c r="P750" s="6"/>
      <c r="Q750" s="6"/>
      <c r="R750" s="7"/>
      <c r="S750" s="6"/>
      <c r="T750" s="6"/>
      <c r="U750" s="7"/>
      <c r="V750" s="6"/>
      <c r="W750" s="6"/>
      <c r="X750" s="12"/>
      <c r="Y750" s="6"/>
      <c r="Z750" s="6"/>
      <c r="AA750" s="7"/>
      <c r="AB750" s="6"/>
      <c r="AC750" s="6"/>
      <c r="AD750" s="6"/>
      <c r="AE750" s="12"/>
      <c r="AF750" s="6"/>
      <c r="AG750" s="12"/>
      <c r="AH750" s="6"/>
      <c r="AI750" s="6"/>
      <c r="AJ750" s="12"/>
      <c r="AK750" s="24"/>
      <c r="AL750" s="25"/>
      <c r="AM750" s="12"/>
      <c r="AN750" s="1"/>
      <c r="AO750" s="6"/>
    </row>
    <row r="751" spans="1:41" ht="15" x14ac:dyDescent="0.25">
      <c r="A751" s="1"/>
      <c r="B751" s="1"/>
      <c r="C751" s="1"/>
      <c r="D751" s="1"/>
      <c r="E751" s="6"/>
      <c r="F751" s="1"/>
      <c r="G751" s="6"/>
      <c r="H751" s="6"/>
      <c r="I751" s="6"/>
      <c r="J751" s="6"/>
      <c r="K751" s="6"/>
      <c r="L751" s="6"/>
      <c r="M751" s="6"/>
      <c r="N751" s="6"/>
      <c r="O751" s="7"/>
      <c r="P751" s="12"/>
      <c r="Q751" s="6"/>
      <c r="R751" s="7"/>
      <c r="S751" s="6"/>
      <c r="T751" s="6"/>
      <c r="U751" s="7"/>
      <c r="V751" s="6"/>
      <c r="W751" s="6"/>
      <c r="X751" s="6"/>
      <c r="Y751" s="6"/>
      <c r="Z751" s="6"/>
      <c r="AA751" s="7"/>
      <c r="AB751" s="6"/>
      <c r="AC751" s="6"/>
      <c r="AD751" s="6"/>
      <c r="AE751" s="12"/>
      <c r="AF751" s="12"/>
      <c r="AG751" s="12"/>
      <c r="AH751" s="12"/>
      <c r="AI751" s="6"/>
      <c r="AJ751" s="12"/>
      <c r="AK751" s="1"/>
      <c r="AL751" s="12"/>
      <c r="AM751" s="12"/>
      <c r="AN751" s="1"/>
      <c r="AO751" s="6"/>
    </row>
    <row r="752" spans="1:41" ht="15" x14ac:dyDescent="0.25">
      <c r="A752" s="1"/>
      <c r="B752" s="1"/>
      <c r="C752" s="1"/>
      <c r="D752" s="1"/>
      <c r="E752" s="6"/>
      <c r="F752" s="1"/>
      <c r="G752" s="6"/>
      <c r="H752" s="6"/>
      <c r="I752" s="6"/>
      <c r="J752" s="6"/>
      <c r="K752" s="6"/>
      <c r="L752" s="6"/>
      <c r="M752" s="6"/>
      <c r="N752" s="6"/>
      <c r="O752" s="7"/>
      <c r="P752" s="6"/>
      <c r="Q752" s="6"/>
      <c r="R752" s="7"/>
      <c r="S752" s="6"/>
      <c r="T752" s="6"/>
      <c r="U752" s="7"/>
      <c r="V752" s="6"/>
      <c r="W752" s="6"/>
      <c r="X752" s="12"/>
      <c r="Y752" s="6"/>
      <c r="Z752" s="6"/>
      <c r="AA752" s="7"/>
      <c r="AB752" s="6"/>
      <c r="AC752" s="6"/>
      <c r="AD752" s="6"/>
      <c r="AE752" s="12"/>
      <c r="AF752" s="6"/>
      <c r="AG752" s="12"/>
      <c r="AH752" s="6"/>
      <c r="AI752" s="6"/>
      <c r="AJ752" s="12"/>
      <c r="AK752" s="24"/>
      <c r="AL752" s="25"/>
      <c r="AM752" s="12"/>
      <c r="AN752" s="1"/>
      <c r="AO752" s="6"/>
    </row>
    <row r="753" spans="1:41" ht="15" x14ac:dyDescent="0.25">
      <c r="A753" s="1"/>
      <c r="B753" s="1"/>
      <c r="C753" s="1"/>
      <c r="D753" s="1"/>
      <c r="E753" s="6"/>
      <c r="F753" s="1"/>
      <c r="G753" s="6"/>
      <c r="H753" s="6"/>
      <c r="I753" s="6"/>
      <c r="J753" s="6"/>
      <c r="K753" s="6"/>
      <c r="L753" s="6"/>
      <c r="M753" s="6"/>
      <c r="N753" s="6"/>
      <c r="O753" s="7"/>
      <c r="P753" s="6"/>
      <c r="Q753" s="6"/>
      <c r="R753" s="7"/>
      <c r="S753" s="6"/>
      <c r="T753" s="6"/>
      <c r="U753" s="7"/>
      <c r="V753" s="6"/>
      <c r="W753" s="6"/>
      <c r="X753" s="6"/>
      <c r="Y753" s="6"/>
      <c r="Z753" s="6"/>
      <c r="AA753" s="7"/>
      <c r="AB753" s="6"/>
      <c r="AC753" s="6"/>
      <c r="AD753" s="6"/>
      <c r="AE753" s="12"/>
      <c r="AF753" s="12"/>
      <c r="AG753" s="12"/>
      <c r="AH753" s="12"/>
      <c r="AI753" s="6"/>
      <c r="AJ753" s="12"/>
      <c r="AK753" s="1"/>
      <c r="AL753" s="12"/>
      <c r="AM753" s="12"/>
      <c r="AN753" s="1"/>
      <c r="AO753" s="6"/>
    </row>
    <row r="754" spans="1:41" ht="15" x14ac:dyDescent="0.25">
      <c r="A754" s="1"/>
      <c r="B754" s="1"/>
      <c r="C754" s="1"/>
      <c r="D754" s="1"/>
      <c r="E754" s="6"/>
      <c r="F754" s="1"/>
      <c r="G754" s="6"/>
      <c r="H754" s="6"/>
      <c r="I754" s="6"/>
      <c r="J754" s="6"/>
      <c r="K754" s="6"/>
      <c r="L754" s="6"/>
      <c r="M754" s="6"/>
      <c r="N754" s="6"/>
      <c r="O754" s="7"/>
      <c r="P754" s="12"/>
      <c r="Q754" s="6"/>
      <c r="R754" s="7"/>
      <c r="S754" s="6"/>
      <c r="T754" s="6"/>
      <c r="U754" s="7"/>
      <c r="V754" s="6"/>
      <c r="W754" s="6"/>
      <c r="X754" s="6"/>
      <c r="Y754" s="6"/>
      <c r="Z754" s="6"/>
      <c r="AA754" s="7"/>
      <c r="AB754" s="6"/>
      <c r="AC754" s="6"/>
      <c r="AD754" s="6"/>
      <c r="AE754" s="12"/>
      <c r="AF754" s="12"/>
      <c r="AG754" s="12"/>
      <c r="AH754" s="12"/>
      <c r="AI754" s="6"/>
      <c r="AJ754" s="12"/>
      <c r="AK754" s="1"/>
      <c r="AL754" s="12"/>
      <c r="AM754" s="12"/>
      <c r="AN754" s="1"/>
      <c r="AO754" s="6"/>
    </row>
    <row r="755" spans="1:41" ht="15" x14ac:dyDescent="0.25">
      <c r="A755" s="1"/>
      <c r="B755" s="1"/>
      <c r="C755" s="1"/>
      <c r="D755" s="1"/>
      <c r="E755" s="6"/>
      <c r="F755" s="1"/>
      <c r="G755" s="6"/>
      <c r="H755" s="6"/>
      <c r="I755" s="6"/>
      <c r="J755" s="6"/>
      <c r="K755" s="6"/>
      <c r="L755" s="6"/>
      <c r="M755" s="6"/>
      <c r="N755" s="6"/>
      <c r="O755" s="7"/>
      <c r="P755" s="6"/>
      <c r="Q755" s="6"/>
      <c r="R755" s="7"/>
      <c r="S755" s="6"/>
      <c r="T755" s="6"/>
      <c r="U755" s="7"/>
      <c r="V755" s="6"/>
      <c r="W755" s="6"/>
      <c r="X755" s="6"/>
      <c r="Y755" s="6"/>
      <c r="Z755" s="6"/>
      <c r="AA755" s="7"/>
      <c r="AB755" s="6"/>
      <c r="AC755" s="6"/>
      <c r="AD755" s="6"/>
      <c r="AE755" s="12"/>
      <c r="AF755" s="6"/>
      <c r="AG755" s="12"/>
      <c r="AH755" s="6"/>
      <c r="AI755" s="6"/>
      <c r="AJ755" s="12"/>
      <c r="AK755" s="24"/>
      <c r="AL755" s="25"/>
      <c r="AM755" s="12"/>
      <c r="AN755" s="1"/>
      <c r="AO755" s="6"/>
    </row>
    <row r="756" spans="1:41" ht="15" x14ac:dyDescent="0.25">
      <c r="A756" s="1"/>
      <c r="B756" s="1"/>
      <c r="C756" s="1"/>
      <c r="D756" s="1"/>
      <c r="E756" s="6"/>
      <c r="F756" s="1"/>
      <c r="G756" s="6"/>
      <c r="H756" s="6"/>
      <c r="I756" s="6"/>
      <c r="J756" s="6"/>
      <c r="K756" s="6"/>
      <c r="L756" s="6"/>
      <c r="M756" s="6"/>
      <c r="N756" s="6"/>
      <c r="O756" s="7"/>
      <c r="P756" s="6"/>
      <c r="Q756" s="6"/>
      <c r="R756" s="12"/>
      <c r="S756" s="12"/>
      <c r="T756" s="12"/>
      <c r="U756" s="6"/>
      <c r="V756" s="12"/>
      <c r="W756" s="12"/>
      <c r="X756" s="12"/>
      <c r="Y756" s="6"/>
      <c r="Z756" s="6"/>
      <c r="AA756" s="7"/>
      <c r="AB756" s="6"/>
      <c r="AC756" s="6"/>
      <c r="AD756" s="6"/>
      <c r="AE756" s="12"/>
      <c r="AF756" s="12"/>
      <c r="AG756" s="12"/>
      <c r="AH756" s="12"/>
      <c r="AI756" s="6"/>
      <c r="AJ756" s="12"/>
      <c r="AK756" s="24"/>
      <c r="AL756" s="25"/>
      <c r="AM756" s="12"/>
      <c r="AN756" s="1"/>
      <c r="AO756" s="6"/>
    </row>
    <row r="757" spans="1:41" ht="15" x14ac:dyDescent="0.25">
      <c r="A757" s="1"/>
      <c r="B757" s="1"/>
      <c r="C757" s="1"/>
      <c r="D757" s="1"/>
      <c r="E757" s="6"/>
      <c r="F757" s="1"/>
      <c r="G757" s="6"/>
      <c r="H757" s="6"/>
      <c r="I757" s="6"/>
      <c r="J757" s="6"/>
      <c r="K757" s="6"/>
      <c r="L757" s="6"/>
      <c r="M757" s="6"/>
      <c r="N757" s="6"/>
      <c r="O757" s="7"/>
      <c r="P757" s="6"/>
      <c r="Q757" s="6"/>
      <c r="R757" s="7"/>
      <c r="S757" s="6"/>
      <c r="T757" s="6"/>
      <c r="U757" s="7"/>
      <c r="V757" s="6"/>
      <c r="W757" s="6"/>
      <c r="X757" s="6"/>
      <c r="Y757" s="6"/>
      <c r="Z757" s="6"/>
      <c r="AA757" s="7"/>
      <c r="AB757" s="6"/>
      <c r="AC757" s="6"/>
      <c r="AD757" s="6"/>
      <c r="AE757" s="12"/>
      <c r="AF757" s="6"/>
      <c r="AG757" s="12"/>
      <c r="AH757" s="6"/>
      <c r="AI757" s="6"/>
      <c r="AJ757" s="12"/>
      <c r="AK757" s="1"/>
      <c r="AL757" s="12"/>
      <c r="AM757" s="12"/>
      <c r="AN757" s="1"/>
      <c r="AO757" s="6"/>
    </row>
    <row r="758" spans="1:41" ht="15" x14ac:dyDescent="0.25">
      <c r="A758" s="1"/>
      <c r="B758" s="1"/>
      <c r="C758" s="1"/>
      <c r="D758" s="1"/>
      <c r="E758" s="6"/>
      <c r="F758" s="1"/>
      <c r="G758" s="6"/>
      <c r="H758" s="6"/>
      <c r="I758" s="6"/>
      <c r="J758" s="6"/>
      <c r="K758" s="6"/>
      <c r="L758" s="6"/>
      <c r="M758" s="6"/>
      <c r="N758" s="6"/>
      <c r="O758" s="7"/>
      <c r="P758" s="6"/>
      <c r="Q758" s="6"/>
      <c r="R758" s="7"/>
      <c r="S758" s="6"/>
      <c r="T758" s="6"/>
      <c r="U758" s="7"/>
      <c r="V758" s="6"/>
      <c r="W758" s="6"/>
      <c r="X758" s="6"/>
      <c r="Y758" s="6"/>
      <c r="Z758" s="6"/>
      <c r="AA758" s="7"/>
      <c r="AB758" s="6"/>
      <c r="AC758" s="6"/>
      <c r="AD758" s="6"/>
      <c r="AE758" s="12"/>
      <c r="AF758" s="12"/>
      <c r="AG758" s="12"/>
      <c r="AH758" s="12"/>
      <c r="AI758" s="6"/>
      <c r="AJ758" s="12"/>
      <c r="AK758" s="1"/>
      <c r="AL758" s="12"/>
      <c r="AM758" s="12"/>
      <c r="AN758" s="1"/>
      <c r="AO758" s="6"/>
    </row>
    <row r="759" spans="1:41" ht="15" x14ac:dyDescent="0.25">
      <c r="A759" s="1"/>
      <c r="B759" s="1"/>
      <c r="C759" s="1"/>
      <c r="D759" s="1"/>
      <c r="E759" s="6"/>
      <c r="F759" s="1"/>
      <c r="G759" s="6"/>
      <c r="H759" s="6"/>
      <c r="I759" s="6"/>
      <c r="J759" s="6"/>
      <c r="K759" s="6"/>
      <c r="L759" s="6"/>
      <c r="M759" s="6"/>
      <c r="N759" s="6"/>
      <c r="O759" s="7"/>
      <c r="P759" s="6"/>
      <c r="Q759" s="7"/>
      <c r="R759" s="6"/>
      <c r="S759" s="6"/>
      <c r="T759" s="6"/>
      <c r="U759" s="6"/>
      <c r="V759" s="7"/>
      <c r="W759" s="6"/>
      <c r="X759" s="6"/>
      <c r="Y759" s="6"/>
      <c r="Z759" s="6"/>
      <c r="AA759" s="24"/>
      <c r="AB759" s="25"/>
      <c r="AC759" s="12"/>
      <c r="AD759" s="12"/>
      <c r="AE759" s="12"/>
      <c r="AF759" s="6"/>
      <c r="AG759" s="12"/>
      <c r="AH759" s="6"/>
      <c r="AI759" s="6"/>
      <c r="AJ759" s="12"/>
      <c r="AK759" s="12"/>
      <c r="AL759" s="12"/>
      <c r="AM759" s="12"/>
      <c r="AN759" s="1"/>
      <c r="AO759" s="6"/>
    </row>
    <row r="760" spans="1:41" ht="15" x14ac:dyDescent="0.25">
      <c r="A760" s="1"/>
      <c r="B760" s="1"/>
      <c r="C760" s="1"/>
      <c r="D760" s="1"/>
      <c r="E760" s="6"/>
      <c r="F760" s="1"/>
      <c r="G760" s="6"/>
      <c r="H760" s="6"/>
      <c r="I760" s="6"/>
      <c r="J760" s="6"/>
      <c r="K760" s="6"/>
      <c r="L760" s="6"/>
      <c r="M760" s="6"/>
      <c r="N760" s="6"/>
      <c r="O760" s="7"/>
      <c r="P760" s="6"/>
      <c r="Q760" s="6"/>
      <c r="R760" s="7"/>
      <c r="S760" s="6"/>
      <c r="T760" s="6"/>
      <c r="U760" s="7"/>
      <c r="V760" s="6"/>
      <c r="W760" s="6"/>
      <c r="X760" s="12"/>
      <c r="Y760" s="6"/>
      <c r="Z760" s="6"/>
      <c r="AA760" s="7"/>
      <c r="AB760" s="6"/>
      <c r="AC760" s="6"/>
      <c r="AD760" s="6"/>
      <c r="AE760" s="12"/>
      <c r="AF760" s="12"/>
      <c r="AG760" s="12"/>
      <c r="AH760" s="12"/>
      <c r="AI760" s="6"/>
      <c r="AJ760" s="12"/>
      <c r="AK760" s="1"/>
      <c r="AL760" s="12"/>
      <c r="AM760" s="12"/>
      <c r="AN760" s="1"/>
      <c r="AO760" s="6"/>
    </row>
    <row r="761" spans="1:41" ht="15" x14ac:dyDescent="0.25">
      <c r="A761" s="1"/>
      <c r="B761" s="1"/>
      <c r="C761" s="1"/>
      <c r="D761" s="1"/>
      <c r="E761" s="6"/>
      <c r="F761" s="1"/>
      <c r="G761" s="6"/>
      <c r="H761" s="6"/>
      <c r="I761" s="6"/>
      <c r="J761" s="6"/>
      <c r="K761" s="6"/>
      <c r="L761" s="6"/>
      <c r="M761" s="6"/>
      <c r="N761" s="6"/>
      <c r="O761" s="7"/>
      <c r="P761" s="6"/>
      <c r="Q761" s="6"/>
      <c r="R761" s="7"/>
      <c r="S761" s="6"/>
      <c r="T761" s="6"/>
      <c r="U761" s="7"/>
      <c r="V761" s="6"/>
      <c r="W761" s="6"/>
      <c r="X761" s="6"/>
      <c r="Y761" s="6"/>
      <c r="Z761" s="6"/>
      <c r="AA761" s="7"/>
      <c r="AB761" s="6"/>
      <c r="AC761" s="6"/>
      <c r="AD761" s="6"/>
      <c r="AE761" s="12"/>
      <c r="AF761" s="12"/>
      <c r="AG761" s="12"/>
      <c r="AH761" s="12"/>
      <c r="AI761" s="6"/>
      <c r="AJ761" s="12"/>
      <c r="AK761" s="1"/>
      <c r="AL761" s="12"/>
      <c r="AM761" s="12"/>
      <c r="AN761" s="1"/>
      <c r="AO761" s="6"/>
    </row>
    <row r="762" spans="1:41" ht="15" x14ac:dyDescent="0.25">
      <c r="A762" s="1"/>
      <c r="B762" s="1"/>
      <c r="C762" s="1"/>
      <c r="D762" s="1"/>
      <c r="E762" s="6"/>
      <c r="F762" s="1"/>
      <c r="G762" s="6"/>
      <c r="H762" s="6"/>
      <c r="I762" s="6"/>
      <c r="J762" s="6"/>
      <c r="K762" s="6"/>
      <c r="L762" s="6"/>
      <c r="M762" s="6"/>
      <c r="N762" s="6"/>
      <c r="O762" s="7"/>
      <c r="P762" s="6"/>
      <c r="Q762" s="7"/>
      <c r="R762" s="6"/>
      <c r="S762" s="6"/>
      <c r="T762" s="6"/>
      <c r="U762" s="6"/>
      <c r="V762" s="7"/>
      <c r="W762" s="6"/>
      <c r="X762" s="6"/>
      <c r="Y762" s="6"/>
      <c r="Z762" s="6"/>
      <c r="AA762" s="24"/>
      <c r="AB762" s="25"/>
      <c r="AC762" s="12"/>
      <c r="AD762" s="12"/>
      <c r="AE762" s="12"/>
      <c r="AF762" s="6"/>
      <c r="AG762" s="12"/>
      <c r="AH762" s="6"/>
      <c r="AI762" s="6"/>
      <c r="AJ762" s="12"/>
      <c r="AK762" s="12"/>
      <c r="AL762" s="12"/>
      <c r="AM762" s="12"/>
      <c r="AN762" s="1"/>
      <c r="AO762" s="6"/>
    </row>
    <row r="763" spans="1:41" ht="15" x14ac:dyDescent="0.25">
      <c r="A763" s="1"/>
      <c r="B763" s="1"/>
      <c r="C763" s="1"/>
      <c r="D763" s="1"/>
      <c r="E763" s="6"/>
      <c r="F763" s="1"/>
      <c r="G763" s="6"/>
      <c r="H763" s="6"/>
      <c r="I763" s="6"/>
      <c r="J763" s="6"/>
      <c r="K763" s="6"/>
      <c r="L763" s="6"/>
      <c r="M763" s="6"/>
      <c r="N763" s="6"/>
      <c r="O763" s="7"/>
      <c r="P763" s="6"/>
      <c r="Q763" s="7"/>
      <c r="R763" s="6"/>
      <c r="S763" s="6"/>
      <c r="T763" s="6"/>
      <c r="U763" s="6"/>
      <c r="V763" s="7"/>
      <c r="W763" s="6"/>
      <c r="X763" s="6"/>
      <c r="Y763" s="6"/>
      <c r="Z763" s="6"/>
      <c r="AA763" s="24"/>
      <c r="AB763" s="25"/>
      <c r="AC763" s="12"/>
      <c r="AD763" s="12"/>
      <c r="AE763" s="12"/>
      <c r="AF763" s="6"/>
      <c r="AG763" s="12"/>
      <c r="AH763" s="6"/>
      <c r="AI763" s="6"/>
      <c r="AJ763" s="12"/>
      <c r="AK763" s="12"/>
      <c r="AL763" s="12"/>
      <c r="AM763" s="12"/>
      <c r="AN763" s="1"/>
      <c r="AO763" s="6"/>
    </row>
    <row r="764" spans="1:41" ht="15" x14ac:dyDescent="0.25">
      <c r="A764" s="1"/>
      <c r="B764" s="1"/>
      <c r="C764" s="1"/>
      <c r="D764" s="1"/>
      <c r="E764" s="6"/>
      <c r="F764" s="1"/>
      <c r="G764" s="6"/>
      <c r="H764" s="6"/>
      <c r="I764" s="6"/>
      <c r="J764" s="6"/>
      <c r="K764" s="6"/>
      <c r="L764" s="6"/>
      <c r="M764" s="6"/>
      <c r="N764" s="6"/>
      <c r="O764" s="7"/>
      <c r="P764" s="12"/>
      <c r="Q764" s="6"/>
      <c r="R764" s="7"/>
      <c r="S764" s="6"/>
      <c r="T764" s="6"/>
      <c r="U764" s="7"/>
      <c r="V764" s="6"/>
      <c r="W764" s="6"/>
      <c r="X764" s="6"/>
      <c r="Y764" s="6"/>
      <c r="Z764" s="6"/>
      <c r="AA764" s="7"/>
      <c r="AB764" s="6"/>
      <c r="AC764" s="6"/>
      <c r="AD764" s="6"/>
      <c r="AE764" s="12"/>
      <c r="AF764" s="12"/>
      <c r="AG764" s="12"/>
      <c r="AH764" s="12"/>
      <c r="AI764" s="6"/>
      <c r="AJ764" s="12"/>
      <c r="AK764" s="1"/>
      <c r="AL764" s="12"/>
      <c r="AM764" s="12"/>
      <c r="AN764" s="1"/>
      <c r="AO764" s="12"/>
    </row>
    <row r="765" spans="1:41" ht="15" x14ac:dyDescent="0.25">
      <c r="A765" s="1"/>
      <c r="B765" s="1"/>
      <c r="C765" s="1"/>
      <c r="D765" s="1"/>
      <c r="E765" s="6"/>
      <c r="F765" s="1"/>
      <c r="G765" s="6"/>
      <c r="H765" s="6"/>
      <c r="I765" s="6"/>
      <c r="J765" s="6"/>
      <c r="K765" s="6"/>
      <c r="L765" s="6"/>
      <c r="M765" s="6"/>
      <c r="N765" s="6"/>
      <c r="O765" s="7"/>
      <c r="P765" s="12"/>
      <c r="Q765" s="6"/>
      <c r="R765" s="7"/>
      <c r="S765" s="6"/>
      <c r="T765" s="6"/>
      <c r="U765" s="7"/>
      <c r="V765" s="6"/>
      <c r="W765" s="6"/>
      <c r="X765" s="12"/>
      <c r="Y765" s="6"/>
      <c r="Z765" s="6"/>
      <c r="AA765" s="7"/>
      <c r="AB765" s="6"/>
      <c r="AC765" s="6"/>
      <c r="AD765" s="6"/>
      <c r="AE765" s="12"/>
      <c r="AF765" s="12"/>
      <c r="AG765" s="12"/>
      <c r="AH765" s="12"/>
      <c r="AI765" s="6"/>
      <c r="AJ765" s="12"/>
      <c r="AK765" s="1"/>
      <c r="AL765" s="12"/>
      <c r="AM765" s="12"/>
      <c r="AN765" s="1"/>
      <c r="AO765" s="6"/>
    </row>
    <row r="766" spans="1:41" ht="15" x14ac:dyDescent="0.25">
      <c r="A766" s="1"/>
      <c r="B766" s="1"/>
      <c r="C766" s="1"/>
      <c r="D766" s="1"/>
      <c r="E766" s="6"/>
      <c r="F766" s="1"/>
      <c r="G766" s="6"/>
      <c r="H766" s="6"/>
      <c r="I766" s="6"/>
      <c r="J766" s="6"/>
      <c r="K766" s="6"/>
      <c r="L766" s="6"/>
      <c r="M766" s="6"/>
      <c r="N766" s="6"/>
      <c r="O766" s="7"/>
      <c r="P766" s="6"/>
      <c r="Q766" s="6"/>
      <c r="R766" s="7"/>
      <c r="S766" s="6"/>
      <c r="T766" s="6"/>
      <c r="U766" s="7"/>
      <c r="V766" s="6"/>
      <c r="W766" s="6"/>
      <c r="X766" s="6"/>
      <c r="Y766" s="6"/>
      <c r="Z766" s="6"/>
      <c r="AA766" s="7"/>
      <c r="AB766" s="6"/>
      <c r="AC766" s="6"/>
      <c r="AD766" s="6"/>
      <c r="AE766" s="12"/>
      <c r="AF766" s="12"/>
      <c r="AG766" s="12"/>
      <c r="AH766" s="12"/>
      <c r="AI766" s="6"/>
      <c r="AJ766" s="12"/>
      <c r="AK766" s="1"/>
      <c r="AL766" s="12"/>
      <c r="AM766" s="12"/>
      <c r="AN766" s="1"/>
      <c r="AO766" s="6"/>
    </row>
    <row r="767" spans="1:41" ht="15" x14ac:dyDescent="0.25">
      <c r="A767" s="1"/>
      <c r="B767" s="1"/>
      <c r="C767" s="1"/>
      <c r="D767" s="1"/>
      <c r="E767" s="6"/>
      <c r="F767" s="1"/>
      <c r="G767" s="6"/>
      <c r="H767" s="6"/>
      <c r="I767" s="6"/>
      <c r="J767" s="6"/>
      <c r="K767" s="6"/>
      <c r="L767" s="6"/>
      <c r="M767" s="6"/>
      <c r="N767" s="6"/>
      <c r="O767" s="7"/>
      <c r="P767" s="6"/>
      <c r="Q767" s="6"/>
      <c r="R767" s="7"/>
      <c r="S767" s="6"/>
      <c r="T767" s="6"/>
      <c r="U767" s="7"/>
      <c r="V767" s="6"/>
      <c r="W767" s="6"/>
      <c r="X767" s="12"/>
      <c r="Y767" s="6"/>
      <c r="Z767" s="6"/>
      <c r="AA767" s="7"/>
      <c r="AB767" s="6"/>
      <c r="AC767" s="6"/>
      <c r="AD767" s="6"/>
      <c r="AE767" s="12"/>
      <c r="AF767" s="12"/>
      <c r="AG767" s="12"/>
      <c r="AH767" s="12"/>
      <c r="AI767" s="6"/>
      <c r="AJ767" s="12"/>
      <c r="AK767" s="1"/>
      <c r="AL767" s="12"/>
      <c r="AM767" s="12"/>
      <c r="AN767" s="1"/>
      <c r="AO767" s="6"/>
    </row>
    <row r="768" spans="1:41" ht="15" x14ac:dyDescent="0.25">
      <c r="A768" s="1"/>
      <c r="B768" s="1"/>
      <c r="C768" s="1"/>
      <c r="D768" s="1"/>
      <c r="E768" s="6"/>
      <c r="F768" s="1"/>
      <c r="G768" s="6"/>
      <c r="H768" s="6"/>
      <c r="I768" s="6"/>
      <c r="J768" s="6"/>
      <c r="K768" s="6"/>
      <c r="L768" s="6"/>
      <c r="M768" s="6"/>
      <c r="N768" s="6"/>
      <c r="O768" s="7"/>
      <c r="P768" s="6"/>
      <c r="Q768" s="6"/>
      <c r="R768" s="7"/>
      <c r="S768" s="6"/>
      <c r="T768" s="6"/>
      <c r="U768" s="7"/>
      <c r="V768" s="6"/>
      <c r="W768" s="6"/>
      <c r="X768" s="6"/>
      <c r="Y768" s="6"/>
      <c r="Z768" s="6"/>
      <c r="AA768" s="15"/>
      <c r="AB768" s="6"/>
      <c r="AC768" s="6"/>
      <c r="AD768" s="6"/>
      <c r="AE768" s="12"/>
      <c r="AF768" s="6"/>
      <c r="AG768" s="12"/>
      <c r="AH768" s="6"/>
      <c r="AI768" s="6"/>
      <c r="AJ768" s="12"/>
      <c r="AK768" s="1"/>
      <c r="AL768" s="12"/>
      <c r="AM768" s="12"/>
      <c r="AN768" s="1"/>
      <c r="AO768" s="6"/>
    </row>
    <row r="769" spans="1:41" ht="15" x14ac:dyDescent="0.25">
      <c r="A769" s="1"/>
      <c r="B769" s="1"/>
      <c r="C769" s="1"/>
      <c r="D769" s="1"/>
      <c r="E769" s="6"/>
      <c r="F769" s="1"/>
      <c r="G769" s="6"/>
      <c r="H769" s="6"/>
      <c r="I769" s="6"/>
      <c r="J769" s="6"/>
      <c r="K769" s="6"/>
      <c r="L769" s="6"/>
      <c r="M769" s="6"/>
      <c r="N769" s="6"/>
      <c r="O769" s="7"/>
      <c r="P769" s="12"/>
      <c r="Q769" s="6"/>
      <c r="R769" s="7"/>
      <c r="S769" s="6"/>
      <c r="T769" s="6"/>
      <c r="U769" s="7"/>
      <c r="V769" s="6"/>
      <c r="W769" s="6"/>
      <c r="X769" s="6"/>
      <c r="Y769" s="6"/>
      <c r="Z769" s="6"/>
      <c r="AA769" s="7"/>
      <c r="AB769" s="6"/>
      <c r="AC769" s="6"/>
      <c r="AD769" s="6"/>
      <c r="AE769" s="12"/>
      <c r="AF769" s="6"/>
      <c r="AG769" s="12"/>
      <c r="AH769" s="6"/>
      <c r="AI769" s="6"/>
      <c r="AJ769" s="12"/>
      <c r="AK769" s="24"/>
      <c r="AL769" s="25"/>
      <c r="AM769" s="12"/>
      <c r="AN769" s="1"/>
      <c r="AO769" s="6"/>
    </row>
    <row r="770" spans="1:41" ht="15" x14ac:dyDescent="0.25">
      <c r="A770" s="1"/>
      <c r="B770" s="1"/>
      <c r="C770" s="1"/>
      <c r="D770" s="1"/>
      <c r="E770" s="6"/>
      <c r="F770" s="1"/>
      <c r="G770" s="6"/>
      <c r="H770" s="6"/>
      <c r="I770" s="6"/>
      <c r="J770" s="6"/>
      <c r="K770" s="6"/>
      <c r="L770" s="6"/>
      <c r="M770" s="6"/>
      <c r="N770" s="6"/>
      <c r="O770" s="7"/>
      <c r="P770" s="6"/>
      <c r="Q770" s="7"/>
      <c r="R770" s="6"/>
      <c r="S770" s="6"/>
      <c r="T770" s="6"/>
      <c r="U770" s="6"/>
      <c r="V770" s="7"/>
      <c r="W770" s="7"/>
      <c r="X770" s="6"/>
      <c r="Y770" s="6"/>
      <c r="Z770" s="6"/>
      <c r="AA770" s="1"/>
      <c r="AB770" s="12"/>
      <c r="AC770" s="12"/>
      <c r="AD770" s="12"/>
      <c r="AE770" s="12"/>
      <c r="AF770" s="12"/>
      <c r="AG770" s="12"/>
      <c r="AH770" s="12"/>
      <c r="AI770" s="6"/>
      <c r="AJ770" s="12"/>
      <c r="AK770" s="12"/>
      <c r="AL770" s="12"/>
      <c r="AM770" s="12"/>
      <c r="AN770" s="1"/>
      <c r="AO770" s="6"/>
    </row>
    <row r="771" spans="1:41" ht="15" x14ac:dyDescent="0.25">
      <c r="A771" s="1"/>
      <c r="B771" s="1"/>
      <c r="C771" s="1"/>
      <c r="D771" s="1"/>
      <c r="E771" s="6"/>
      <c r="F771" s="1"/>
      <c r="G771" s="6"/>
      <c r="H771" s="6"/>
      <c r="I771" s="6"/>
      <c r="J771" s="6"/>
      <c r="K771" s="6"/>
      <c r="L771" s="6"/>
      <c r="M771" s="6"/>
      <c r="N771" s="6"/>
      <c r="O771" s="7"/>
      <c r="P771" s="6"/>
      <c r="Q771" s="6"/>
      <c r="R771" s="7"/>
      <c r="S771" s="6"/>
      <c r="T771" s="6"/>
      <c r="U771" s="7"/>
      <c r="V771" s="6"/>
      <c r="W771" s="6"/>
      <c r="X771" s="6"/>
      <c r="Y771" s="6"/>
      <c r="Z771" s="6"/>
      <c r="AA771" s="7"/>
      <c r="AB771" s="6"/>
      <c r="AC771" s="6"/>
      <c r="AD771" s="6"/>
      <c r="AE771" s="12"/>
      <c r="AF771" s="12"/>
      <c r="AG771" s="12"/>
      <c r="AH771" s="12"/>
      <c r="AI771" s="6"/>
      <c r="AJ771" s="12"/>
      <c r="AK771" s="1"/>
      <c r="AL771" s="12"/>
      <c r="AM771" s="12"/>
      <c r="AN771" s="1"/>
      <c r="AO771" s="6"/>
    </row>
    <row r="772" spans="1:41" ht="15" x14ac:dyDescent="0.25">
      <c r="A772" s="1"/>
      <c r="B772" s="1"/>
      <c r="C772" s="1"/>
      <c r="D772" s="1"/>
      <c r="E772" s="6"/>
      <c r="F772" s="1"/>
      <c r="G772" s="6"/>
      <c r="H772" s="6"/>
      <c r="I772" s="6"/>
      <c r="J772" s="6"/>
      <c r="K772" s="6"/>
      <c r="L772" s="6"/>
      <c r="M772" s="6"/>
      <c r="N772" s="6"/>
      <c r="O772" s="7"/>
      <c r="P772" s="6"/>
      <c r="Q772" s="6"/>
      <c r="R772" s="7"/>
      <c r="S772" s="6"/>
      <c r="T772" s="6"/>
      <c r="U772" s="7"/>
      <c r="V772" s="6"/>
      <c r="W772" s="6"/>
      <c r="X772" s="12"/>
      <c r="Y772" s="6"/>
      <c r="Z772" s="6"/>
      <c r="AA772" s="7"/>
      <c r="AB772" s="6"/>
      <c r="AC772" s="6"/>
      <c r="AD772" s="6"/>
      <c r="AE772" s="12"/>
      <c r="AF772" s="6"/>
      <c r="AG772" s="12"/>
      <c r="AH772" s="6"/>
      <c r="AI772" s="6"/>
      <c r="AJ772" s="12"/>
      <c r="AK772" s="24"/>
      <c r="AL772" s="25"/>
      <c r="AM772" s="12"/>
      <c r="AN772" s="1"/>
      <c r="AO772" s="6"/>
    </row>
    <row r="773" spans="1:41" ht="15" x14ac:dyDescent="0.25">
      <c r="A773" s="1"/>
      <c r="B773" s="1"/>
      <c r="C773" s="1"/>
      <c r="D773" s="1"/>
      <c r="E773" s="6"/>
      <c r="F773" s="1"/>
      <c r="G773" s="6"/>
      <c r="H773" s="6"/>
      <c r="I773" s="6"/>
      <c r="J773" s="6"/>
      <c r="K773" s="6"/>
      <c r="L773" s="6"/>
      <c r="M773" s="6"/>
      <c r="N773" s="6"/>
      <c r="O773" s="7"/>
      <c r="P773" s="6"/>
      <c r="Q773" s="6"/>
      <c r="R773" s="7"/>
      <c r="S773" s="6"/>
      <c r="T773" s="6"/>
      <c r="U773" s="7"/>
      <c r="V773" s="6"/>
      <c r="W773" s="6"/>
      <c r="X773" s="12"/>
      <c r="Y773" s="6"/>
      <c r="Z773" s="6"/>
      <c r="AA773" s="7"/>
      <c r="AB773" s="6"/>
      <c r="AC773" s="6"/>
      <c r="AD773" s="6"/>
      <c r="AE773" s="12"/>
      <c r="AF773" s="6"/>
      <c r="AG773" s="12"/>
      <c r="AH773" s="6"/>
      <c r="AI773" s="6"/>
      <c r="AJ773" s="12"/>
      <c r="AK773" s="24"/>
      <c r="AL773" s="25"/>
      <c r="AM773" s="12"/>
      <c r="AN773" s="1"/>
      <c r="AO773" s="6"/>
    </row>
    <row r="774" spans="1:41" ht="15" x14ac:dyDescent="0.25">
      <c r="A774" s="1"/>
      <c r="B774" s="1"/>
      <c r="C774" s="1"/>
      <c r="D774" s="1"/>
      <c r="E774" s="6"/>
      <c r="F774" s="1"/>
      <c r="G774" s="6"/>
      <c r="H774" s="6"/>
      <c r="I774" s="6"/>
      <c r="J774" s="6"/>
      <c r="K774" s="6"/>
      <c r="L774" s="6"/>
      <c r="M774" s="6"/>
      <c r="N774" s="6"/>
      <c r="O774" s="7"/>
      <c r="P774" s="6"/>
      <c r="Q774" s="6"/>
      <c r="R774" s="7"/>
      <c r="S774" s="6"/>
      <c r="T774" s="6"/>
      <c r="U774" s="7"/>
      <c r="V774" s="6"/>
      <c r="W774" s="6"/>
      <c r="X774" s="6"/>
      <c r="Y774" s="6"/>
      <c r="Z774" s="6"/>
      <c r="AA774" s="7"/>
      <c r="AB774" s="6"/>
      <c r="AC774" s="6"/>
      <c r="AD774" s="6"/>
      <c r="AE774" s="12"/>
      <c r="AF774" s="6"/>
      <c r="AG774" s="12"/>
      <c r="AH774" s="6"/>
      <c r="AI774" s="6"/>
      <c r="AJ774" s="12"/>
      <c r="AK774" s="1"/>
      <c r="AL774" s="12"/>
      <c r="AM774" s="12"/>
      <c r="AN774" s="1"/>
      <c r="AO774" s="6"/>
    </row>
    <row r="775" spans="1:41" ht="15" x14ac:dyDescent="0.25">
      <c r="A775" s="1"/>
      <c r="B775" s="1"/>
      <c r="C775" s="1"/>
      <c r="D775" s="1"/>
      <c r="E775" s="6"/>
      <c r="F775" s="1"/>
      <c r="G775" s="6"/>
      <c r="H775" s="6"/>
      <c r="I775" s="6"/>
      <c r="J775" s="6"/>
      <c r="K775" s="6"/>
      <c r="L775" s="6"/>
      <c r="M775" s="6"/>
      <c r="N775" s="6"/>
      <c r="O775" s="7"/>
      <c r="P775" s="6"/>
      <c r="Q775" s="6"/>
      <c r="R775" s="7"/>
      <c r="S775" s="6"/>
      <c r="T775" s="6"/>
      <c r="U775" s="7"/>
      <c r="V775" s="6"/>
      <c r="W775" s="6"/>
      <c r="X775" s="6"/>
      <c r="Y775" s="6"/>
      <c r="Z775" s="6"/>
      <c r="AA775" s="7"/>
      <c r="AB775" s="6"/>
      <c r="AC775" s="6"/>
      <c r="AD775" s="6"/>
      <c r="AE775" s="12"/>
      <c r="AF775" s="12"/>
      <c r="AG775" s="12"/>
      <c r="AH775" s="12"/>
      <c r="AI775" s="6"/>
      <c r="AJ775" s="12"/>
      <c r="AK775" s="1"/>
      <c r="AL775" s="12"/>
      <c r="AM775" s="12"/>
      <c r="AN775" s="1"/>
      <c r="AO775" s="6"/>
    </row>
    <row r="776" spans="1:41" ht="15" x14ac:dyDescent="0.25">
      <c r="A776" s="1"/>
      <c r="B776" s="1"/>
      <c r="C776" s="1"/>
      <c r="D776" s="1"/>
      <c r="E776" s="6"/>
      <c r="F776" s="1"/>
      <c r="G776" s="6"/>
      <c r="H776" s="6"/>
      <c r="I776" s="6"/>
      <c r="J776" s="6"/>
      <c r="K776" s="6"/>
      <c r="L776" s="6"/>
      <c r="M776" s="6"/>
      <c r="N776" s="6"/>
      <c r="O776" s="7"/>
      <c r="P776" s="6"/>
      <c r="Q776" s="7"/>
      <c r="R776" s="6"/>
      <c r="S776" s="6"/>
      <c r="T776" s="6"/>
      <c r="U776" s="6"/>
      <c r="V776" s="7"/>
      <c r="W776" s="7"/>
      <c r="X776" s="6"/>
      <c r="Y776" s="6"/>
      <c r="Z776" s="6"/>
      <c r="AA776" s="1"/>
      <c r="AB776" s="12"/>
      <c r="AC776" s="12"/>
      <c r="AD776" s="12"/>
      <c r="AE776" s="12"/>
      <c r="AF776" s="12"/>
      <c r="AG776" s="12"/>
      <c r="AH776" s="12"/>
      <c r="AI776" s="6"/>
      <c r="AJ776" s="12"/>
      <c r="AK776" s="12"/>
      <c r="AL776" s="12"/>
      <c r="AM776" s="12"/>
      <c r="AN776" s="1"/>
      <c r="AO776" s="6"/>
    </row>
    <row r="777" spans="1:41" ht="15" x14ac:dyDescent="0.25">
      <c r="A777" s="1"/>
      <c r="B777" s="1"/>
      <c r="C777" s="1"/>
      <c r="D777" s="1"/>
      <c r="E777" s="6"/>
      <c r="F777" s="1"/>
      <c r="G777" s="6"/>
      <c r="H777" s="6"/>
      <c r="I777" s="6"/>
      <c r="J777" s="6"/>
      <c r="K777" s="12"/>
      <c r="L777" s="6"/>
      <c r="M777" s="6"/>
      <c r="N777" s="6"/>
      <c r="O777" s="7"/>
      <c r="P777" s="12"/>
      <c r="Q777" s="6"/>
      <c r="R777" s="7"/>
      <c r="S777" s="6"/>
      <c r="T777" s="6"/>
      <c r="U777" s="7"/>
      <c r="V777" s="6"/>
      <c r="W777" s="6"/>
      <c r="X777" s="6"/>
      <c r="Y777" s="6"/>
      <c r="Z777" s="6"/>
      <c r="AA777" s="7"/>
      <c r="AB777" s="6"/>
      <c r="AC777" s="6"/>
      <c r="AD777" s="6"/>
      <c r="AE777" s="12"/>
      <c r="AF777" s="6"/>
      <c r="AG777" s="12"/>
      <c r="AH777" s="6"/>
      <c r="AI777" s="6"/>
      <c r="AJ777" s="12"/>
      <c r="AK777" s="1"/>
      <c r="AL777" s="12"/>
      <c r="AM777" s="12"/>
      <c r="AN777" s="1"/>
      <c r="AO777" s="6"/>
    </row>
    <row r="778" spans="1:41" ht="15" x14ac:dyDescent="0.25">
      <c r="A778" s="1"/>
      <c r="B778" s="1"/>
      <c r="C778" s="1"/>
      <c r="D778" s="1"/>
      <c r="E778" s="6"/>
      <c r="F778" s="1"/>
      <c r="G778" s="6"/>
      <c r="H778" s="6"/>
      <c r="I778" s="6"/>
      <c r="J778" s="6"/>
      <c r="K778" s="6"/>
      <c r="L778" s="6"/>
      <c r="M778" s="6"/>
      <c r="N778" s="6"/>
      <c r="O778" s="7"/>
      <c r="P778" s="6"/>
      <c r="Q778" s="6"/>
      <c r="R778" s="7"/>
      <c r="S778" s="6"/>
      <c r="T778" s="6"/>
      <c r="U778" s="7"/>
      <c r="V778" s="6"/>
      <c r="W778" s="6"/>
      <c r="X778" s="6"/>
      <c r="Y778" s="6"/>
      <c r="Z778" s="6"/>
      <c r="AA778" s="7"/>
      <c r="AB778" s="6"/>
      <c r="AC778" s="6"/>
      <c r="AD778" s="6"/>
      <c r="AE778" s="12"/>
      <c r="AF778" s="12"/>
      <c r="AG778" s="12"/>
      <c r="AH778" s="12"/>
      <c r="AI778" s="6"/>
      <c r="AJ778" s="12"/>
      <c r="AK778" s="1"/>
      <c r="AL778" s="12"/>
      <c r="AM778" s="12"/>
      <c r="AN778" s="1"/>
      <c r="AO778" s="6"/>
    </row>
    <row r="779" spans="1:41" ht="15" x14ac:dyDescent="0.25">
      <c r="A779" s="1"/>
      <c r="B779" s="1"/>
      <c r="C779" s="1"/>
      <c r="D779" s="1"/>
      <c r="E779" s="6"/>
      <c r="F779" s="1"/>
      <c r="G779" s="6"/>
      <c r="H779" s="6"/>
      <c r="I779" s="6"/>
      <c r="J779" s="6"/>
      <c r="K779" s="6"/>
      <c r="L779" s="6"/>
      <c r="M779" s="6"/>
      <c r="N779" s="6"/>
      <c r="O779" s="7"/>
      <c r="P779" s="6"/>
      <c r="Q779" s="6"/>
      <c r="R779" s="7"/>
      <c r="S779" s="6"/>
      <c r="T779" s="6"/>
      <c r="U779" s="6"/>
      <c r="V779" s="6"/>
      <c r="W779" s="6"/>
      <c r="X779" s="7"/>
      <c r="Y779" s="6"/>
      <c r="Z779" s="6"/>
      <c r="AA779" s="7"/>
      <c r="AB779" s="6"/>
      <c r="AC779" s="6"/>
      <c r="AD779" s="6"/>
      <c r="AE779" s="12"/>
      <c r="AF779" s="6"/>
      <c r="AG779" s="12"/>
      <c r="AH779" s="6"/>
      <c r="AI779" s="6"/>
      <c r="AJ779" s="12"/>
      <c r="AK779" s="6"/>
      <c r="AL779" s="12"/>
      <c r="AM779" s="12"/>
      <c r="AN779" s="1"/>
      <c r="AO779" s="6"/>
    </row>
    <row r="780" spans="1:41" ht="15" x14ac:dyDescent="0.25">
      <c r="A780" s="1"/>
      <c r="B780" s="1"/>
      <c r="C780" s="1"/>
      <c r="D780" s="1"/>
      <c r="E780" s="6"/>
      <c r="F780" s="1"/>
      <c r="G780" s="6"/>
      <c r="H780" s="6"/>
      <c r="I780" s="6"/>
      <c r="J780" s="6"/>
      <c r="K780" s="6"/>
      <c r="L780" s="6"/>
      <c r="M780" s="6"/>
      <c r="N780" s="6"/>
      <c r="O780" s="7"/>
      <c r="P780" s="6"/>
      <c r="Q780" s="6"/>
      <c r="R780" s="7"/>
      <c r="S780" s="6"/>
      <c r="T780" s="6"/>
      <c r="U780" s="7"/>
      <c r="V780" s="6"/>
      <c r="W780" s="6"/>
      <c r="X780" s="6"/>
      <c r="Y780" s="6"/>
      <c r="Z780" s="6"/>
      <c r="AA780" s="7"/>
      <c r="AB780" s="6"/>
      <c r="AC780" s="6"/>
      <c r="AD780" s="6"/>
      <c r="AE780" s="12"/>
      <c r="AF780" s="12"/>
      <c r="AG780" s="12"/>
      <c r="AH780" s="12"/>
      <c r="AI780" s="6"/>
      <c r="AJ780" s="12"/>
      <c r="AK780" s="1"/>
      <c r="AL780" s="12"/>
      <c r="AM780" s="12"/>
      <c r="AN780" s="1"/>
      <c r="AO780" s="6"/>
    </row>
    <row r="781" spans="1:41" ht="15" x14ac:dyDescent="0.25">
      <c r="A781" s="1"/>
      <c r="B781" s="1"/>
      <c r="C781" s="1"/>
      <c r="D781" s="1"/>
      <c r="E781" s="6"/>
      <c r="F781" s="1"/>
      <c r="G781" s="6"/>
      <c r="H781" s="6"/>
      <c r="I781" s="6"/>
      <c r="J781" s="6"/>
      <c r="K781" s="6"/>
      <c r="L781" s="6"/>
      <c r="M781" s="6"/>
      <c r="N781" s="6"/>
      <c r="O781" s="7"/>
      <c r="P781" s="6"/>
      <c r="Q781" s="6"/>
      <c r="R781" s="7"/>
      <c r="S781" s="6"/>
      <c r="T781" s="6"/>
      <c r="U781" s="7"/>
      <c r="V781" s="6"/>
      <c r="W781" s="6"/>
      <c r="X781" s="6"/>
      <c r="Y781" s="6"/>
      <c r="Z781" s="6"/>
      <c r="AA781" s="7"/>
      <c r="AB781" s="6"/>
      <c r="AC781" s="6"/>
      <c r="AD781" s="6"/>
      <c r="AE781" s="12"/>
      <c r="AF781" s="6"/>
      <c r="AG781" s="12"/>
      <c r="AH781" s="6"/>
      <c r="AI781" s="6"/>
      <c r="AJ781" s="12"/>
      <c r="AK781" s="24"/>
      <c r="AL781" s="25"/>
      <c r="AM781" s="12"/>
      <c r="AN781" s="1"/>
      <c r="AO781" s="6"/>
    </row>
    <row r="782" spans="1:41" ht="15" x14ac:dyDescent="0.25">
      <c r="A782" s="1"/>
      <c r="B782" s="1"/>
      <c r="C782" s="1"/>
      <c r="D782" s="1"/>
      <c r="E782" s="6"/>
      <c r="F782" s="1"/>
      <c r="G782" s="6"/>
      <c r="H782" s="6"/>
      <c r="I782" s="6"/>
      <c r="J782" s="6"/>
      <c r="K782" s="6"/>
      <c r="L782" s="6"/>
      <c r="M782" s="6"/>
      <c r="N782" s="6"/>
      <c r="O782" s="7"/>
      <c r="P782" s="6"/>
      <c r="Q782" s="6"/>
      <c r="R782" s="7"/>
      <c r="S782" s="6"/>
      <c r="T782" s="6"/>
      <c r="U782" s="7"/>
      <c r="V782" s="6"/>
      <c r="W782" s="6"/>
      <c r="X782" s="12"/>
      <c r="Y782" s="6"/>
      <c r="Z782" s="6"/>
      <c r="AA782" s="7"/>
      <c r="AB782" s="6"/>
      <c r="AC782" s="6"/>
      <c r="AD782" s="6"/>
      <c r="AE782" s="12"/>
      <c r="AF782" s="12"/>
      <c r="AG782" s="12"/>
      <c r="AH782" s="12"/>
      <c r="AI782" s="6"/>
      <c r="AJ782" s="12"/>
      <c r="AK782" s="1"/>
      <c r="AL782" s="12"/>
      <c r="AM782" s="12"/>
      <c r="AN782" s="1"/>
      <c r="AO782" s="12"/>
    </row>
    <row r="783" spans="1:41" ht="15" x14ac:dyDescent="0.25">
      <c r="A783" s="1"/>
      <c r="B783" s="1"/>
      <c r="C783" s="1"/>
      <c r="D783" s="1"/>
      <c r="E783" s="6"/>
      <c r="F783" s="1"/>
      <c r="G783" s="6"/>
      <c r="H783" s="6"/>
      <c r="I783" s="6"/>
      <c r="J783" s="6"/>
      <c r="K783" s="6"/>
      <c r="L783" s="6"/>
      <c r="M783" s="6"/>
      <c r="N783" s="6"/>
      <c r="O783" s="7"/>
      <c r="P783" s="6"/>
      <c r="Q783" s="6"/>
      <c r="R783" s="7"/>
      <c r="S783" s="6"/>
      <c r="T783" s="6"/>
      <c r="U783" s="7"/>
      <c r="V783" s="6"/>
      <c r="W783" s="6"/>
      <c r="X783" s="6"/>
      <c r="Y783" s="6"/>
      <c r="Z783" s="6"/>
      <c r="AA783" s="7"/>
      <c r="AB783" s="6"/>
      <c r="AC783" s="6"/>
      <c r="AD783" s="6"/>
      <c r="AE783" s="12"/>
      <c r="AF783" s="6"/>
      <c r="AG783" s="12"/>
      <c r="AH783" s="6"/>
      <c r="AI783" s="6"/>
      <c r="AJ783" s="12"/>
      <c r="AK783" s="1"/>
      <c r="AL783" s="12"/>
      <c r="AM783" s="12"/>
      <c r="AN783" s="1"/>
      <c r="AO783" s="6"/>
    </row>
    <row r="784" spans="1:41" ht="15" x14ac:dyDescent="0.25">
      <c r="A784" s="1"/>
      <c r="B784" s="1"/>
      <c r="C784" s="1"/>
      <c r="D784" s="1"/>
      <c r="E784" s="6"/>
      <c r="F784" s="1"/>
      <c r="G784" s="6"/>
      <c r="H784" s="6"/>
      <c r="I784" s="6"/>
      <c r="J784" s="6"/>
      <c r="K784" s="6"/>
      <c r="L784" s="6"/>
      <c r="M784" s="6"/>
      <c r="N784" s="6"/>
      <c r="O784" s="7"/>
      <c r="P784" s="6"/>
      <c r="Q784" s="7"/>
      <c r="R784" s="6"/>
      <c r="S784" s="6"/>
      <c r="T784" s="6"/>
      <c r="U784" s="6"/>
      <c r="V784" s="7"/>
      <c r="W784" s="7"/>
      <c r="X784" s="6"/>
      <c r="Y784" s="6"/>
      <c r="Z784" s="6"/>
      <c r="AA784" s="1"/>
      <c r="AB784" s="12"/>
      <c r="AC784" s="12"/>
      <c r="AD784" s="12"/>
      <c r="AE784" s="12"/>
      <c r="AF784" s="12"/>
      <c r="AG784" s="12"/>
      <c r="AH784" s="12"/>
      <c r="AI784" s="6"/>
      <c r="AJ784" s="12"/>
      <c r="AK784" s="12"/>
      <c r="AL784" s="12"/>
      <c r="AM784" s="12"/>
      <c r="AN784" s="1"/>
      <c r="AO784" s="6"/>
    </row>
    <row r="785" spans="1:41" ht="15" x14ac:dyDescent="0.25">
      <c r="A785" s="1"/>
      <c r="B785" s="1"/>
      <c r="C785" s="1"/>
      <c r="D785" s="1"/>
      <c r="E785" s="6"/>
      <c r="F785" s="1"/>
      <c r="G785" s="6"/>
      <c r="H785" s="6"/>
      <c r="I785" s="6"/>
      <c r="J785" s="6"/>
      <c r="K785" s="6"/>
      <c r="L785" s="6"/>
      <c r="M785" s="6"/>
      <c r="N785" s="6"/>
      <c r="O785" s="7"/>
      <c r="P785" s="12"/>
      <c r="Q785" s="6"/>
      <c r="R785" s="7"/>
      <c r="S785" s="6"/>
      <c r="T785" s="6"/>
      <c r="U785" s="7"/>
      <c r="V785" s="6"/>
      <c r="W785" s="6"/>
      <c r="X785" s="12"/>
      <c r="Y785" s="6"/>
      <c r="Z785" s="6"/>
      <c r="AA785" s="7"/>
      <c r="AB785" s="6"/>
      <c r="AC785" s="6"/>
      <c r="AD785" s="6"/>
      <c r="AE785" s="12"/>
      <c r="AF785" s="6"/>
      <c r="AG785" s="12"/>
      <c r="AH785" s="6"/>
      <c r="AI785" s="6"/>
      <c r="AJ785" s="12"/>
      <c r="AK785" s="1"/>
      <c r="AL785" s="12"/>
      <c r="AM785" s="12"/>
      <c r="AN785" s="1"/>
      <c r="AO785" s="6"/>
    </row>
    <row r="786" spans="1:41" ht="15" x14ac:dyDescent="0.25">
      <c r="A786" s="1"/>
      <c r="B786" s="1"/>
      <c r="C786" s="1"/>
      <c r="D786" s="1"/>
      <c r="E786" s="6"/>
      <c r="F786" s="1"/>
      <c r="G786" s="6"/>
      <c r="H786" s="6"/>
      <c r="I786" s="6"/>
      <c r="J786" s="6"/>
      <c r="K786" s="12"/>
      <c r="L786" s="12"/>
      <c r="M786" s="6"/>
      <c r="N786" s="6"/>
      <c r="O786" s="7"/>
      <c r="P786" s="6"/>
      <c r="Q786" s="6"/>
      <c r="R786" s="12"/>
      <c r="S786" s="12"/>
      <c r="T786" s="12"/>
      <c r="U786" s="7"/>
      <c r="V786" s="6"/>
      <c r="W786" s="6"/>
      <c r="X786" s="12"/>
      <c r="Y786" s="6"/>
      <c r="Z786" s="6"/>
      <c r="AA786" s="7"/>
      <c r="AB786" s="6"/>
      <c r="AC786" s="6"/>
      <c r="AD786" s="6"/>
      <c r="AE786" s="12"/>
      <c r="AF786" s="12"/>
      <c r="AG786" s="12"/>
      <c r="AH786" s="12"/>
      <c r="AI786" s="6"/>
      <c r="AJ786" s="12"/>
      <c r="AK786" s="1"/>
      <c r="AL786" s="12"/>
      <c r="AM786" s="12"/>
      <c r="AN786" s="1"/>
      <c r="AO786" s="12"/>
    </row>
    <row r="787" spans="1:41" ht="15" x14ac:dyDescent="0.25">
      <c r="A787" s="1"/>
      <c r="B787" s="1"/>
      <c r="C787" s="1"/>
      <c r="D787" s="1"/>
      <c r="E787" s="6"/>
      <c r="F787" s="1"/>
      <c r="G787" s="6"/>
      <c r="H787" s="6"/>
      <c r="I787" s="6"/>
      <c r="J787" s="6"/>
      <c r="K787" s="6"/>
      <c r="L787" s="6"/>
      <c r="M787" s="6"/>
      <c r="N787" s="6"/>
      <c r="O787" s="7"/>
      <c r="P787" s="6"/>
      <c r="Q787" s="7"/>
      <c r="R787" s="6"/>
      <c r="S787" s="6"/>
      <c r="T787" s="6"/>
      <c r="U787" s="6"/>
      <c r="V787" s="7"/>
      <c r="W787" s="7"/>
      <c r="X787" s="6"/>
      <c r="Y787" s="6"/>
      <c r="Z787" s="6"/>
      <c r="AA787" s="1"/>
      <c r="AB787" s="12"/>
      <c r="AC787" s="12"/>
      <c r="AD787" s="12"/>
      <c r="AE787" s="12"/>
      <c r="AF787" s="12"/>
      <c r="AG787" s="12"/>
      <c r="AH787" s="12"/>
      <c r="AI787" s="6"/>
      <c r="AJ787" s="12"/>
      <c r="AK787" s="12"/>
      <c r="AL787" s="12"/>
      <c r="AM787" s="12"/>
      <c r="AN787" s="1"/>
      <c r="AO787" s="6"/>
    </row>
    <row r="788" spans="1:41" ht="15" x14ac:dyDescent="0.25">
      <c r="A788" s="1"/>
      <c r="B788" s="1"/>
      <c r="C788" s="1"/>
      <c r="D788" s="1"/>
      <c r="E788" s="6"/>
      <c r="F788" s="1"/>
      <c r="G788" s="6"/>
      <c r="H788" s="6"/>
      <c r="I788" s="6"/>
      <c r="J788" s="6"/>
      <c r="K788" s="12"/>
      <c r="L788" s="6"/>
      <c r="M788" s="6"/>
      <c r="N788" s="6"/>
      <c r="O788" s="7"/>
      <c r="P788" s="6"/>
      <c r="Q788" s="6"/>
      <c r="R788" s="7"/>
      <c r="S788" s="6"/>
      <c r="T788" s="6"/>
      <c r="U788" s="7"/>
      <c r="V788" s="6"/>
      <c r="W788" s="6"/>
      <c r="X788" s="12"/>
      <c r="Y788" s="6"/>
      <c r="Z788" s="6"/>
      <c r="AA788" s="7"/>
      <c r="AB788" s="6"/>
      <c r="AC788" s="6"/>
      <c r="AD788" s="6"/>
      <c r="AE788" s="12"/>
      <c r="AF788" s="6"/>
      <c r="AG788" s="12"/>
      <c r="AH788" s="6"/>
      <c r="AI788" s="6"/>
      <c r="AJ788" s="12"/>
      <c r="AK788" s="24"/>
      <c r="AL788" s="25"/>
      <c r="AM788" s="12"/>
      <c r="AN788" s="1"/>
      <c r="AO788" s="12"/>
    </row>
    <row r="789" spans="1:41" ht="15" x14ac:dyDescent="0.25">
      <c r="A789" s="1"/>
      <c r="B789" s="1"/>
      <c r="C789" s="1"/>
      <c r="D789" s="1"/>
      <c r="E789" s="6"/>
      <c r="F789" s="1"/>
      <c r="G789" s="6"/>
      <c r="H789" s="6"/>
      <c r="I789" s="6"/>
      <c r="J789" s="6"/>
      <c r="K789" s="6"/>
      <c r="L789" s="6"/>
      <c r="M789" s="6"/>
      <c r="N789" s="6"/>
      <c r="O789" s="7"/>
      <c r="P789" s="6"/>
      <c r="Q789" s="6"/>
      <c r="R789" s="7"/>
      <c r="S789" s="6"/>
      <c r="T789" s="6"/>
      <c r="U789" s="7"/>
      <c r="V789" s="6"/>
      <c r="W789" s="6"/>
      <c r="X789" s="6"/>
      <c r="Y789" s="6"/>
      <c r="Z789" s="6"/>
      <c r="AA789" s="7"/>
      <c r="AB789" s="6"/>
      <c r="AC789" s="6"/>
      <c r="AD789" s="6"/>
      <c r="AE789" s="12"/>
      <c r="AF789" s="12"/>
      <c r="AG789" s="12"/>
      <c r="AH789" s="12"/>
      <c r="AI789" s="6"/>
      <c r="AJ789" s="12"/>
      <c r="AK789" s="1"/>
      <c r="AL789" s="12"/>
      <c r="AM789" s="12"/>
      <c r="AN789" s="1"/>
      <c r="AO789" s="6"/>
    </row>
    <row r="790" spans="1:41" ht="15" x14ac:dyDescent="0.25">
      <c r="A790" s="1"/>
      <c r="B790" s="1"/>
      <c r="C790" s="1"/>
      <c r="D790" s="1"/>
      <c r="E790" s="6"/>
      <c r="F790" s="1"/>
      <c r="G790" s="6"/>
      <c r="H790" s="6"/>
      <c r="I790" s="6"/>
      <c r="J790" s="6"/>
      <c r="K790" s="6"/>
      <c r="L790" s="6"/>
      <c r="M790" s="6"/>
      <c r="N790" s="6"/>
      <c r="O790" s="7"/>
      <c r="P790" s="12"/>
      <c r="Q790" s="6"/>
      <c r="R790" s="7"/>
      <c r="S790" s="6"/>
      <c r="T790" s="6"/>
      <c r="U790" s="7"/>
      <c r="V790" s="6"/>
      <c r="W790" s="6"/>
      <c r="X790" s="12"/>
      <c r="Y790" s="6"/>
      <c r="Z790" s="6"/>
      <c r="AA790" s="7"/>
      <c r="AB790" s="6"/>
      <c r="AC790" s="6"/>
      <c r="AD790" s="6"/>
      <c r="AE790" s="12"/>
      <c r="AF790" s="6"/>
      <c r="AG790" s="12"/>
      <c r="AH790" s="6"/>
      <c r="AI790" s="6"/>
      <c r="AJ790" s="12"/>
      <c r="AK790" s="24"/>
      <c r="AL790" s="25"/>
      <c r="AM790" s="12"/>
      <c r="AN790" s="1"/>
      <c r="AO790" s="6"/>
    </row>
    <row r="791" spans="1:41" ht="15" x14ac:dyDescent="0.25">
      <c r="A791" s="1"/>
      <c r="B791" s="1"/>
      <c r="C791" s="1"/>
      <c r="D791" s="1"/>
      <c r="E791" s="6"/>
      <c r="F791" s="1"/>
      <c r="G791" s="6"/>
      <c r="H791" s="6"/>
      <c r="I791" s="6"/>
      <c r="J791" s="6"/>
      <c r="K791" s="6"/>
      <c r="L791" s="6"/>
      <c r="M791" s="6"/>
      <c r="N791" s="6"/>
      <c r="O791" s="7"/>
      <c r="P791" s="6"/>
      <c r="Q791" s="7"/>
      <c r="R791" s="6"/>
      <c r="S791" s="12"/>
      <c r="T791" s="6"/>
      <c r="U791" s="6"/>
      <c r="V791" s="7"/>
      <c r="W791" s="7"/>
      <c r="X791" s="6"/>
      <c r="Y791" s="6"/>
      <c r="Z791" s="6"/>
      <c r="AA791" s="1"/>
      <c r="AB791" s="12"/>
      <c r="AC791" s="12"/>
      <c r="AD791" s="12"/>
      <c r="AE791" s="12"/>
      <c r="AF791" s="12"/>
      <c r="AG791" s="12"/>
      <c r="AH791" s="12"/>
      <c r="AI791" s="6"/>
      <c r="AJ791" s="12"/>
      <c r="AK791" s="12"/>
      <c r="AL791" s="12"/>
      <c r="AM791" s="12"/>
      <c r="AN791" s="1"/>
      <c r="AO791" s="6"/>
    </row>
    <row r="792" spans="1:41" ht="15" x14ac:dyDescent="0.25">
      <c r="A792" s="1"/>
      <c r="B792" s="1"/>
      <c r="C792" s="1"/>
      <c r="D792" s="1"/>
      <c r="E792" s="6"/>
      <c r="F792" s="1"/>
      <c r="G792" s="6"/>
      <c r="H792" s="6"/>
      <c r="I792" s="6"/>
      <c r="J792" s="6"/>
      <c r="K792" s="6"/>
      <c r="L792" s="6"/>
      <c r="M792" s="6"/>
      <c r="N792" s="6"/>
      <c r="O792" s="7"/>
      <c r="P792" s="6"/>
      <c r="Q792" s="6"/>
      <c r="R792" s="7"/>
      <c r="S792" s="6"/>
      <c r="T792" s="6"/>
      <c r="U792" s="7"/>
      <c r="V792" s="6"/>
      <c r="W792" s="6"/>
      <c r="X792" s="6"/>
      <c r="Y792" s="6"/>
      <c r="Z792" s="6"/>
      <c r="AA792" s="7"/>
      <c r="AB792" s="6"/>
      <c r="AC792" s="6"/>
      <c r="AD792" s="6"/>
      <c r="AE792" s="12"/>
      <c r="AF792" s="6"/>
      <c r="AG792" s="12"/>
      <c r="AH792" s="6"/>
      <c r="AI792" s="6"/>
      <c r="AJ792" s="12"/>
      <c r="AK792" s="24"/>
      <c r="AL792" s="25"/>
      <c r="AM792" s="12"/>
      <c r="AN792" s="1"/>
      <c r="AO792" s="6"/>
    </row>
    <row r="793" spans="1:41" ht="15" x14ac:dyDescent="0.25">
      <c r="A793" s="1"/>
      <c r="B793" s="1"/>
      <c r="C793" s="1"/>
      <c r="D793" s="1"/>
      <c r="E793" s="6"/>
      <c r="F793" s="1"/>
      <c r="G793" s="6"/>
      <c r="H793" s="6"/>
      <c r="I793" s="6"/>
      <c r="J793" s="6"/>
      <c r="K793" s="6"/>
      <c r="L793" s="6"/>
      <c r="M793" s="6"/>
      <c r="N793" s="6"/>
      <c r="O793" s="7"/>
      <c r="P793" s="6"/>
      <c r="Q793" s="6"/>
      <c r="R793" s="7"/>
      <c r="S793" s="6"/>
      <c r="T793" s="6"/>
      <c r="U793" s="7"/>
      <c r="V793" s="6"/>
      <c r="W793" s="6"/>
      <c r="X793" s="6"/>
      <c r="Y793" s="6"/>
      <c r="Z793" s="6"/>
      <c r="AA793" s="7"/>
      <c r="AB793" s="6"/>
      <c r="AC793" s="6"/>
      <c r="AD793" s="6"/>
      <c r="AE793" s="12"/>
      <c r="AF793" s="6"/>
      <c r="AG793" s="12"/>
      <c r="AH793" s="6"/>
      <c r="AI793" s="6"/>
      <c r="AJ793" s="12"/>
      <c r="AK793" s="24"/>
      <c r="AL793" s="25"/>
      <c r="AM793" s="12"/>
      <c r="AN793" s="1"/>
      <c r="AO793" s="6"/>
    </row>
    <row r="794" spans="1:41" ht="15" x14ac:dyDescent="0.25">
      <c r="A794" s="1"/>
      <c r="B794" s="1"/>
      <c r="C794" s="1"/>
      <c r="D794" s="1"/>
      <c r="E794" s="6"/>
      <c r="F794" s="1"/>
      <c r="G794" s="6"/>
      <c r="H794" s="6"/>
      <c r="I794" s="6"/>
      <c r="J794" s="6"/>
      <c r="K794" s="12"/>
      <c r="L794" s="12"/>
      <c r="M794" s="6"/>
      <c r="N794" s="6"/>
      <c r="O794" s="7"/>
      <c r="P794" s="6"/>
      <c r="Q794" s="6"/>
      <c r="R794" s="7"/>
      <c r="S794" s="6"/>
      <c r="T794" s="6"/>
      <c r="U794" s="7"/>
      <c r="V794" s="6"/>
      <c r="W794" s="6"/>
      <c r="X794" s="6"/>
      <c r="Y794" s="6"/>
      <c r="Z794" s="6"/>
      <c r="AA794" s="7"/>
      <c r="AB794" s="6"/>
      <c r="AC794" s="6"/>
      <c r="AD794" s="6"/>
      <c r="AE794" s="12"/>
      <c r="AF794" s="12"/>
      <c r="AG794" s="12"/>
      <c r="AH794" s="12"/>
      <c r="AI794" s="6"/>
      <c r="AJ794" s="12"/>
      <c r="AK794" s="1"/>
      <c r="AL794" s="12"/>
      <c r="AM794" s="12"/>
      <c r="AN794" s="1"/>
      <c r="AO794" s="12"/>
    </row>
    <row r="795" spans="1:41" ht="15" x14ac:dyDescent="0.25">
      <c r="A795" s="1"/>
      <c r="B795" s="1"/>
      <c r="C795" s="1"/>
      <c r="D795" s="1"/>
      <c r="E795" s="6"/>
      <c r="F795" s="1"/>
      <c r="G795" s="6"/>
      <c r="H795" s="6"/>
      <c r="I795" s="6"/>
      <c r="J795" s="6"/>
      <c r="K795" s="6"/>
      <c r="L795" s="6"/>
      <c r="M795" s="6"/>
      <c r="N795" s="6"/>
      <c r="O795" s="7"/>
      <c r="P795" s="6"/>
      <c r="Q795" s="6"/>
      <c r="R795" s="7"/>
      <c r="S795" s="6"/>
      <c r="T795" s="6"/>
      <c r="U795" s="7"/>
      <c r="V795" s="6"/>
      <c r="W795" s="6"/>
      <c r="X795" s="6"/>
      <c r="Y795" s="6"/>
      <c r="Z795" s="6"/>
      <c r="AA795" s="7"/>
      <c r="AB795" s="6"/>
      <c r="AC795" s="6"/>
      <c r="AD795" s="6"/>
      <c r="AE795" s="12"/>
      <c r="AF795" s="12"/>
      <c r="AG795" s="12"/>
      <c r="AH795" s="12"/>
      <c r="AI795" s="6"/>
      <c r="AJ795" s="12"/>
      <c r="AK795" s="1"/>
      <c r="AL795" s="12"/>
      <c r="AM795" s="12"/>
      <c r="AN795" s="1"/>
      <c r="AO795" s="6"/>
    </row>
    <row r="796" spans="1:41" ht="15" x14ac:dyDescent="0.25">
      <c r="A796" s="1"/>
      <c r="B796" s="1"/>
      <c r="C796" s="1"/>
      <c r="D796" s="1"/>
      <c r="E796" s="6"/>
      <c r="F796" s="1"/>
      <c r="G796" s="6"/>
      <c r="H796" s="6"/>
      <c r="I796" s="6"/>
      <c r="J796" s="6"/>
      <c r="K796" s="6"/>
      <c r="L796" s="6"/>
      <c r="M796" s="6"/>
      <c r="N796" s="6"/>
      <c r="O796" s="7"/>
      <c r="P796" s="6"/>
      <c r="Q796" s="6"/>
      <c r="R796" s="7"/>
      <c r="S796" s="6"/>
      <c r="T796" s="6"/>
      <c r="U796" s="7"/>
      <c r="V796" s="6"/>
      <c r="W796" s="6"/>
      <c r="X796" s="6"/>
      <c r="Y796" s="6"/>
      <c r="Z796" s="6"/>
      <c r="AA796" s="7"/>
      <c r="AB796" s="6"/>
      <c r="AC796" s="6"/>
      <c r="AD796" s="6"/>
      <c r="AE796" s="12"/>
      <c r="AF796" s="12"/>
      <c r="AG796" s="12"/>
      <c r="AH796" s="12"/>
      <c r="AI796" s="6"/>
      <c r="AJ796" s="12"/>
      <c r="AK796" s="1"/>
      <c r="AL796" s="12"/>
      <c r="AM796" s="12"/>
      <c r="AN796" s="1"/>
      <c r="AO796" s="6"/>
    </row>
    <row r="797" spans="1:41" ht="15" x14ac:dyDescent="0.25">
      <c r="A797" s="1"/>
      <c r="B797" s="1"/>
      <c r="C797" s="1"/>
      <c r="D797" s="1"/>
      <c r="E797" s="6"/>
      <c r="F797" s="1"/>
      <c r="G797" s="6"/>
      <c r="H797" s="6"/>
      <c r="I797" s="6"/>
      <c r="J797" s="6"/>
      <c r="K797" s="6"/>
      <c r="L797" s="6"/>
      <c r="M797" s="6"/>
      <c r="N797" s="6"/>
      <c r="O797" s="7"/>
      <c r="P797" s="6"/>
      <c r="Q797" s="6"/>
      <c r="R797" s="7"/>
      <c r="S797" s="6"/>
      <c r="T797" s="6"/>
      <c r="U797" s="7"/>
      <c r="V797" s="6"/>
      <c r="W797" s="6"/>
      <c r="X797" s="6"/>
      <c r="Y797" s="6"/>
      <c r="Z797" s="6"/>
      <c r="AA797" s="7"/>
      <c r="AB797" s="6"/>
      <c r="AC797" s="6"/>
      <c r="AD797" s="6"/>
      <c r="AE797" s="12"/>
      <c r="AF797" s="6"/>
      <c r="AG797" s="12"/>
      <c r="AH797" s="6"/>
      <c r="AI797" s="6"/>
      <c r="AJ797" s="12"/>
      <c r="AK797" s="24"/>
      <c r="AL797" s="25"/>
      <c r="AM797" s="12"/>
      <c r="AN797" s="1"/>
      <c r="AO797" s="6"/>
    </row>
    <row r="798" spans="1:41" ht="15" x14ac:dyDescent="0.25">
      <c r="A798" s="1"/>
      <c r="B798" s="1"/>
      <c r="C798" s="1"/>
      <c r="D798" s="1"/>
      <c r="E798" s="6"/>
      <c r="F798" s="1"/>
      <c r="G798" s="6"/>
      <c r="H798" s="6"/>
      <c r="I798" s="6"/>
      <c r="J798" s="6"/>
      <c r="K798" s="6"/>
      <c r="L798" s="6"/>
      <c r="M798" s="6"/>
      <c r="N798" s="6"/>
      <c r="O798" s="7"/>
      <c r="P798" s="6"/>
      <c r="Q798" s="6"/>
      <c r="R798" s="7"/>
      <c r="S798" s="6"/>
      <c r="T798" s="6"/>
      <c r="U798" s="7"/>
      <c r="V798" s="6"/>
      <c r="W798" s="6"/>
      <c r="X798" s="6"/>
      <c r="Y798" s="6"/>
      <c r="Z798" s="6"/>
      <c r="AA798" s="7"/>
      <c r="AB798" s="6"/>
      <c r="AC798" s="6"/>
      <c r="AD798" s="6"/>
      <c r="AE798" s="12"/>
      <c r="AF798" s="6"/>
      <c r="AG798" s="12"/>
      <c r="AH798" s="6"/>
      <c r="AI798" s="6"/>
      <c r="AJ798" s="12"/>
      <c r="AK798" s="24"/>
      <c r="AL798" s="25"/>
      <c r="AM798" s="12"/>
      <c r="AN798" s="1"/>
      <c r="AO798" s="12"/>
    </row>
    <row r="799" spans="1:41" ht="15" x14ac:dyDescent="0.25">
      <c r="A799" s="1"/>
      <c r="B799" s="1"/>
      <c r="C799" s="1"/>
      <c r="D799" s="1"/>
      <c r="E799" s="6"/>
      <c r="F799" s="1"/>
      <c r="G799" s="6"/>
      <c r="H799" s="6"/>
      <c r="I799" s="6"/>
      <c r="J799" s="6"/>
      <c r="K799" s="6"/>
      <c r="L799" s="6"/>
      <c r="M799" s="6"/>
      <c r="N799" s="6"/>
      <c r="O799" s="7"/>
      <c r="P799" s="6"/>
      <c r="Q799" s="6"/>
      <c r="R799" s="7"/>
      <c r="S799" s="6"/>
      <c r="T799" s="6"/>
      <c r="U799" s="7"/>
      <c r="V799" s="6"/>
      <c r="W799" s="6"/>
      <c r="X799" s="6"/>
      <c r="Y799" s="6"/>
      <c r="Z799" s="6"/>
      <c r="AA799" s="7"/>
      <c r="AB799" s="6"/>
      <c r="AC799" s="6"/>
      <c r="AD799" s="6"/>
      <c r="AE799" s="12"/>
      <c r="AF799" s="6"/>
      <c r="AG799" s="12"/>
      <c r="AH799" s="6"/>
      <c r="AI799" s="6"/>
      <c r="AJ799" s="12"/>
      <c r="AK799" s="24"/>
      <c r="AL799" s="25"/>
      <c r="AM799" s="12"/>
      <c r="AN799" s="1"/>
      <c r="AO799" s="6"/>
    </row>
    <row r="800" spans="1:41" ht="15" x14ac:dyDescent="0.25">
      <c r="A800" s="1"/>
      <c r="B800" s="1"/>
      <c r="C800" s="1"/>
      <c r="D800" s="1"/>
      <c r="E800" s="6"/>
      <c r="F800" s="1"/>
      <c r="G800" s="6"/>
      <c r="H800" s="6"/>
      <c r="I800" s="6"/>
      <c r="J800" s="6"/>
      <c r="K800" s="6"/>
      <c r="L800" s="6"/>
      <c r="M800" s="6"/>
      <c r="N800" s="6"/>
      <c r="O800" s="7"/>
      <c r="P800" s="6"/>
      <c r="Q800" s="7"/>
      <c r="R800" s="6"/>
      <c r="S800" s="6"/>
      <c r="T800" s="6"/>
      <c r="U800" s="6"/>
      <c r="V800" s="7"/>
      <c r="W800" s="7"/>
      <c r="X800" s="6"/>
      <c r="Y800" s="6"/>
      <c r="Z800" s="6"/>
      <c r="AA800" s="1"/>
      <c r="AB800" s="12"/>
      <c r="AC800" s="12"/>
      <c r="AD800" s="12"/>
      <c r="AE800" s="12"/>
      <c r="AF800" s="12"/>
      <c r="AG800" s="12"/>
      <c r="AH800" s="12"/>
      <c r="AI800" s="6"/>
      <c r="AJ800" s="12"/>
      <c r="AK800" s="12"/>
      <c r="AL800" s="12"/>
      <c r="AM800" s="12"/>
      <c r="AN800" s="1"/>
      <c r="AO800" s="6"/>
    </row>
    <row r="801" spans="1:41" ht="15" x14ac:dyDescent="0.25">
      <c r="A801" s="1"/>
      <c r="B801" s="1"/>
      <c r="C801" s="1"/>
      <c r="D801" s="1"/>
      <c r="E801" s="6"/>
      <c r="F801" s="1"/>
      <c r="G801" s="6"/>
      <c r="H801" s="6"/>
      <c r="I801" s="6"/>
      <c r="J801" s="6"/>
      <c r="K801" s="6"/>
      <c r="L801" s="6"/>
      <c r="M801" s="6"/>
      <c r="N801" s="6"/>
      <c r="O801" s="7"/>
      <c r="P801" s="12"/>
      <c r="Q801" s="6"/>
      <c r="R801" s="7"/>
      <c r="S801" s="6"/>
      <c r="T801" s="6"/>
      <c r="U801" s="7"/>
      <c r="V801" s="6"/>
      <c r="W801" s="6"/>
      <c r="X801" s="6"/>
      <c r="Y801" s="6"/>
      <c r="Z801" s="6"/>
      <c r="AA801" s="7"/>
      <c r="AB801" s="6"/>
      <c r="AC801" s="6"/>
      <c r="AD801" s="6"/>
      <c r="AE801" s="12"/>
      <c r="AF801" s="6"/>
      <c r="AG801" s="12"/>
      <c r="AH801" s="6"/>
      <c r="AI801" s="6"/>
      <c r="AJ801" s="12"/>
      <c r="AK801" s="1"/>
      <c r="AL801" s="12"/>
      <c r="AM801" s="12"/>
      <c r="AN801" s="1"/>
      <c r="AO801" s="6"/>
    </row>
    <row r="802" spans="1:41" ht="15" x14ac:dyDescent="0.25">
      <c r="A802" s="1"/>
      <c r="B802" s="1"/>
      <c r="C802" s="1"/>
      <c r="D802" s="1"/>
      <c r="E802" s="6"/>
      <c r="F802" s="1"/>
      <c r="G802" s="6"/>
      <c r="H802" s="6"/>
      <c r="I802" s="6"/>
      <c r="J802" s="6"/>
      <c r="K802" s="6"/>
      <c r="L802" s="6"/>
      <c r="M802" s="6"/>
      <c r="N802" s="6"/>
      <c r="O802" s="7"/>
      <c r="P802" s="6"/>
      <c r="Q802" s="6"/>
      <c r="R802" s="7"/>
      <c r="S802" s="6"/>
      <c r="T802" s="6"/>
      <c r="U802" s="7"/>
      <c r="V802" s="6"/>
      <c r="W802" s="6"/>
      <c r="X802" s="6"/>
      <c r="Y802" s="6"/>
      <c r="Z802" s="6"/>
      <c r="AA802" s="7"/>
      <c r="AB802" s="6"/>
      <c r="AC802" s="6"/>
      <c r="AD802" s="6"/>
      <c r="AE802" s="12"/>
      <c r="AF802" s="12"/>
      <c r="AG802" s="12"/>
      <c r="AH802" s="12"/>
      <c r="AI802" s="6"/>
      <c r="AJ802" s="12"/>
      <c r="AK802" s="1"/>
      <c r="AL802" s="12"/>
      <c r="AM802" s="12"/>
      <c r="AN802" s="1"/>
      <c r="AO802" s="6"/>
    </row>
    <row r="803" spans="1:41" ht="15" x14ac:dyDescent="0.25">
      <c r="A803" s="1"/>
      <c r="B803" s="1"/>
      <c r="C803" s="1"/>
      <c r="D803" s="1"/>
      <c r="E803" s="6"/>
      <c r="F803" s="1"/>
      <c r="G803" s="6"/>
      <c r="H803" s="6"/>
      <c r="I803" s="6"/>
      <c r="J803" s="6"/>
      <c r="K803" s="6"/>
      <c r="L803" s="6"/>
      <c r="M803" s="6"/>
      <c r="N803" s="6"/>
      <c r="O803" s="7"/>
      <c r="P803" s="12"/>
      <c r="Q803" s="6"/>
      <c r="R803" s="7"/>
      <c r="S803" s="6"/>
      <c r="T803" s="6"/>
      <c r="U803" s="7"/>
      <c r="V803" s="6"/>
      <c r="W803" s="6"/>
      <c r="X803" s="12"/>
      <c r="Y803" s="6"/>
      <c r="Z803" s="6"/>
      <c r="AA803" s="7"/>
      <c r="AB803" s="6"/>
      <c r="AC803" s="6"/>
      <c r="AD803" s="6"/>
      <c r="AE803" s="12"/>
      <c r="AF803" s="12"/>
      <c r="AG803" s="12"/>
      <c r="AH803" s="12"/>
      <c r="AI803" s="6"/>
      <c r="AJ803" s="12"/>
      <c r="AK803" s="1"/>
      <c r="AL803" s="12"/>
      <c r="AM803" s="12"/>
      <c r="AN803" s="1"/>
      <c r="AO803" s="6"/>
    </row>
    <row r="804" spans="1:41" ht="15" x14ac:dyDescent="0.25">
      <c r="A804" s="1"/>
      <c r="B804" s="1"/>
      <c r="C804" s="1"/>
      <c r="D804" s="1"/>
      <c r="E804" s="6"/>
      <c r="F804" s="1"/>
      <c r="G804" s="6"/>
      <c r="H804" s="6"/>
      <c r="I804" s="6"/>
      <c r="J804" s="6"/>
      <c r="K804" s="6"/>
      <c r="L804" s="6"/>
      <c r="M804" s="6"/>
      <c r="N804" s="6"/>
      <c r="O804" s="7"/>
      <c r="P804" s="6"/>
      <c r="Q804" s="7"/>
      <c r="R804" s="6"/>
      <c r="S804" s="6"/>
      <c r="T804" s="6"/>
      <c r="U804" s="6"/>
      <c r="V804" s="7"/>
      <c r="W804" s="7"/>
      <c r="X804" s="6"/>
      <c r="Y804" s="6"/>
      <c r="Z804" s="6"/>
      <c r="AA804" s="1"/>
      <c r="AB804" s="12"/>
      <c r="AC804" s="12"/>
      <c r="AD804" s="12"/>
      <c r="AE804" s="12"/>
      <c r="AF804" s="12"/>
      <c r="AG804" s="12"/>
      <c r="AH804" s="12"/>
      <c r="AI804" s="6"/>
      <c r="AJ804" s="12"/>
      <c r="AK804" s="12"/>
      <c r="AL804" s="12"/>
      <c r="AM804" s="12"/>
      <c r="AN804" s="1"/>
      <c r="AO804" s="6"/>
    </row>
    <row r="805" spans="1:41" ht="15" x14ac:dyDescent="0.25">
      <c r="A805" s="1"/>
      <c r="B805" s="1"/>
      <c r="C805" s="1"/>
      <c r="D805" s="1"/>
      <c r="E805" s="6"/>
      <c r="F805" s="1"/>
      <c r="G805" s="6"/>
      <c r="H805" s="6"/>
      <c r="I805" s="6"/>
      <c r="J805" s="6"/>
      <c r="K805" s="6"/>
      <c r="L805" s="6"/>
      <c r="M805" s="6"/>
      <c r="N805" s="6"/>
      <c r="O805" s="7"/>
      <c r="P805" s="6"/>
      <c r="Q805" s="7"/>
      <c r="R805" s="6"/>
      <c r="S805" s="6"/>
      <c r="T805" s="6"/>
      <c r="U805" s="6"/>
      <c r="V805" s="7"/>
      <c r="W805" s="7"/>
      <c r="X805" s="6"/>
      <c r="Y805" s="6"/>
      <c r="Z805" s="6"/>
      <c r="AA805" s="1"/>
      <c r="AB805" s="12"/>
      <c r="AC805" s="12"/>
      <c r="AD805" s="12"/>
      <c r="AE805" s="12"/>
      <c r="AF805" s="12"/>
      <c r="AG805" s="12"/>
      <c r="AH805" s="12"/>
      <c r="AI805" s="6"/>
      <c r="AJ805" s="12"/>
      <c r="AK805" s="12"/>
      <c r="AL805" s="12"/>
      <c r="AM805" s="12"/>
      <c r="AN805" s="1"/>
      <c r="AO805" s="6"/>
    </row>
    <row r="806" spans="1:41" ht="15" x14ac:dyDescent="0.25">
      <c r="A806" s="1"/>
      <c r="B806" s="1"/>
      <c r="C806" s="1"/>
      <c r="D806" s="1"/>
      <c r="E806" s="6"/>
      <c r="F806" s="1"/>
      <c r="G806" s="6"/>
      <c r="H806" s="6"/>
      <c r="I806" s="6"/>
      <c r="J806" s="6"/>
      <c r="K806" s="6"/>
      <c r="L806" s="6"/>
      <c r="M806" s="6"/>
      <c r="N806" s="6"/>
      <c r="O806" s="7"/>
      <c r="P806" s="6"/>
      <c r="Q806" s="7"/>
      <c r="R806" s="6"/>
      <c r="S806" s="6"/>
      <c r="T806" s="6"/>
      <c r="U806" s="6"/>
      <c r="V806" s="7"/>
      <c r="W806" s="7"/>
      <c r="X806" s="6"/>
      <c r="Y806" s="6"/>
      <c r="Z806" s="6"/>
      <c r="AA806" s="1"/>
      <c r="AB806" s="12"/>
      <c r="AC806" s="12"/>
      <c r="AD806" s="12"/>
      <c r="AE806" s="12"/>
      <c r="AF806" s="12"/>
      <c r="AG806" s="12"/>
      <c r="AH806" s="12"/>
      <c r="AI806" s="6"/>
      <c r="AJ806" s="12"/>
      <c r="AK806" s="12"/>
      <c r="AL806" s="12"/>
      <c r="AM806" s="12"/>
      <c r="AN806" s="1"/>
      <c r="AO806" s="6"/>
    </row>
    <row r="807" spans="1:41" ht="15" x14ac:dyDescent="0.25">
      <c r="A807" s="1"/>
      <c r="B807" s="1"/>
      <c r="C807" s="1"/>
      <c r="D807" s="1"/>
      <c r="E807" s="6"/>
      <c r="F807" s="1"/>
      <c r="G807" s="6"/>
      <c r="H807" s="6"/>
      <c r="I807" s="6"/>
      <c r="J807" s="6"/>
      <c r="K807" s="6"/>
      <c r="L807" s="6"/>
      <c r="M807" s="6"/>
      <c r="N807" s="6"/>
      <c r="O807" s="7"/>
      <c r="P807" s="6"/>
      <c r="Q807" s="6"/>
      <c r="R807" s="7"/>
      <c r="S807" s="6"/>
      <c r="T807" s="6"/>
      <c r="U807" s="7"/>
      <c r="V807" s="6"/>
      <c r="W807" s="6"/>
      <c r="X807" s="12"/>
      <c r="Y807" s="6"/>
      <c r="Z807" s="6"/>
      <c r="AA807" s="7"/>
      <c r="AB807" s="6"/>
      <c r="AC807" s="6"/>
      <c r="AD807" s="6"/>
      <c r="AE807" s="12"/>
      <c r="AF807" s="6"/>
      <c r="AG807" s="12"/>
      <c r="AH807" s="6"/>
      <c r="AI807" s="6"/>
      <c r="AJ807" s="12"/>
      <c r="AK807" s="1"/>
      <c r="AL807" s="12"/>
      <c r="AM807" s="12"/>
      <c r="AN807" s="1"/>
      <c r="AO807" s="6"/>
    </row>
    <row r="808" spans="1:41" ht="15" x14ac:dyDescent="0.25">
      <c r="A808" s="1"/>
      <c r="B808" s="1"/>
      <c r="C808" s="1"/>
      <c r="D808" s="1"/>
      <c r="E808" s="6"/>
      <c r="F808" s="1"/>
      <c r="G808" s="6"/>
      <c r="H808" s="6"/>
      <c r="I808" s="6"/>
      <c r="J808" s="6"/>
      <c r="K808" s="6"/>
      <c r="L808" s="6"/>
      <c r="M808" s="6"/>
      <c r="N808" s="6"/>
      <c r="O808" s="7"/>
      <c r="P808" s="6"/>
      <c r="Q808" s="6"/>
      <c r="R808" s="7"/>
      <c r="S808" s="6"/>
      <c r="T808" s="6"/>
      <c r="U808" s="7"/>
      <c r="V808" s="6"/>
      <c r="W808" s="6"/>
      <c r="X808" s="12"/>
      <c r="Y808" s="6"/>
      <c r="Z808" s="6"/>
      <c r="AA808" s="7"/>
      <c r="AB808" s="6"/>
      <c r="AC808" s="6"/>
      <c r="AD808" s="6"/>
      <c r="AE808" s="12"/>
      <c r="AF808" s="12"/>
      <c r="AG808" s="12"/>
      <c r="AH808" s="12"/>
      <c r="AI808" s="6"/>
      <c r="AJ808" s="12"/>
      <c r="AK808" s="24"/>
      <c r="AL808" s="25"/>
      <c r="AM808" s="12"/>
      <c r="AN808" s="1"/>
      <c r="AO808" s="6"/>
    </row>
    <row r="809" spans="1:41" ht="15" x14ac:dyDescent="0.25">
      <c r="A809" s="1"/>
      <c r="B809" s="1"/>
      <c r="C809" s="1"/>
      <c r="D809" s="1"/>
      <c r="E809" s="6"/>
      <c r="F809" s="1"/>
      <c r="G809" s="6"/>
      <c r="H809" s="6"/>
      <c r="I809" s="6"/>
      <c r="J809" s="6"/>
      <c r="K809" s="6"/>
      <c r="L809" s="6"/>
      <c r="M809" s="6"/>
      <c r="N809" s="6"/>
      <c r="O809" s="7"/>
      <c r="P809" s="6"/>
      <c r="Q809" s="6"/>
      <c r="R809" s="7"/>
      <c r="S809" s="6"/>
      <c r="T809" s="6"/>
      <c r="U809" s="7"/>
      <c r="V809" s="6"/>
      <c r="W809" s="6"/>
      <c r="X809" s="12"/>
      <c r="Y809" s="6"/>
      <c r="Z809" s="6"/>
      <c r="AA809" s="7"/>
      <c r="AB809" s="6"/>
      <c r="AC809" s="6"/>
      <c r="AD809" s="6"/>
      <c r="AE809" s="12"/>
      <c r="AF809" s="12"/>
      <c r="AG809" s="12"/>
      <c r="AH809" s="12"/>
      <c r="AI809" s="6"/>
      <c r="AJ809" s="12"/>
      <c r="AK809" s="1"/>
      <c r="AL809" s="12"/>
      <c r="AM809" s="12"/>
      <c r="AN809" s="1"/>
      <c r="AO809" s="6"/>
    </row>
    <row r="810" spans="1:41" ht="15" x14ac:dyDescent="0.25">
      <c r="A810" s="1"/>
      <c r="B810" s="1"/>
      <c r="C810" s="1"/>
      <c r="D810" s="1"/>
      <c r="E810" s="6"/>
      <c r="F810" s="1"/>
      <c r="G810" s="6"/>
      <c r="H810" s="6"/>
      <c r="I810" s="6"/>
      <c r="J810" s="6"/>
      <c r="K810" s="12"/>
      <c r="L810" s="6"/>
      <c r="M810" s="6"/>
      <c r="N810" s="6"/>
      <c r="O810" s="7"/>
      <c r="P810" s="6"/>
      <c r="Q810" s="6"/>
      <c r="R810" s="7"/>
      <c r="S810" s="6"/>
      <c r="T810" s="6"/>
      <c r="U810" s="7"/>
      <c r="V810" s="6"/>
      <c r="W810" s="6"/>
      <c r="X810" s="12"/>
      <c r="Y810" s="12"/>
      <c r="Z810" s="6"/>
      <c r="AA810" s="7"/>
      <c r="AB810" s="6"/>
      <c r="AC810" s="6"/>
      <c r="AD810" s="6"/>
      <c r="AE810" s="12"/>
      <c r="AF810" s="6"/>
      <c r="AG810" s="12"/>
      <c r="AH810" s="6"/>
      <c r="AI810" s="6"/>
      <c r="AJ810" s="12"/>
      <c r="AK810" s="24"/>
      <c r="AL810" s="25"/>
      <c r="AM810" s="12"/>
      <c r="AN810" s="1"/>
      <c r="AO810" s="12"/>
    </row>
    <row r="811" spans="1:41" ht="15" x14ac:dyDescent="0.25">
      <c r="A811" s="1"/>
      <c r="B811" s="1"/>
      <c r="C811" s="1"/>
      <c r="D811" s="1"/>
      <c r="E811" s="6"/>
      <c r="F811" s="1"/>
      <c r="G811" s="6"/>
      <c r="H811" s="6"/>
      <c r="I811" s="6"/>
      <c r="J811" s="6"/>
      <c r="K811" s="6"/>
      <c r="L811" s="6"/>
      <c r="M811" s="6"/>
      <c r="N811" s="6"/>
      <c r="O811" s="7"/>
      <c r="P811" s="6"/>
      <c r="Q811" s="6"/>
      <c r="R811" s="7"/>
      <c r="S811" s="6"/>
      <c r="T811" s="6"/>
      <c r="U811" s="7"/>
      <c r="V811" s="6"/>
      <c r="W811" s="6"/>
      <c r="X811" s="6"/>
      <c r="Y811" s="6"/>
      <c r="Z811" s="6"/>
      <c r="AA811" s="7"/>
      <c r="AB811" s="6"/>
      <c r="AC811" s="6"/>
      <c r="AD811" s="6"/>
      <c r="AE811" s="12"/>
      <c r="AF811" s="6"/>
      <c r="AG811" s="12"/>
      <c r="AH811" s="6"/>
      <c r="AI811" s="6"/>
      <c r="AJ811" s="12"/>
      <c r="AK811" s="24"/>
      <c r="AL811" s="25"/>
      <c r="AM811" s="12"/>
      <c r="AN811" s="1"/>
      <c r="AO811" s="6"/>
    </row>
    <row r="812" spans="1:41" ht="15" x14ac:dyDescent="0.25">
      <c r="A812" s="1"/>
      <c r="B812" s="1"/>
      <c r="C812" s="1"/>
      <c r="D812" s="1"/>
      <c r="E812" s="6"/>
      <c r="F812" s="1"/>
      <c r="G812" s="6"/>
      <c r="H812" s="6"/>
      <c r="I812" s="6"/>
      <c r="J812" s="6"/>
      <c r="K812" s="6"/>
      <c r="L812" s="6"/>
      <c r="M812" s="6"/>
      <c r="N812" s="6"/>
      <c r="O812" s="7"/>
      <c r="P812" s="6"/>
      <c r="Q812" s="7"/>
      <c r="R812" s="6"/>
      <c r="S812" s="12"/>
      <c r="T812" s="6"/>
      <c r="U812" s="6"/>
      <c r="V812" s="7"/>
      <c r="W812" s="6"/>
      <c r="X812" s="6"/>
      <c r="Y812" s="6"/>
      <c r="Z812" s="6"/>
      <c r="AA812" s="1"/>
      <c r="AB812" s="12"/>
      <c r="AC812" s="12"/>
      <c r="AD812" s="12"/>
      <c r="AE812" s="12"/>
      <c r="AF812" s="6"/>
      <c r="AG812" s="12"/>
      <c r="AH812" s="6"/>
      <c r="AI812" s="6"/>
      <c r="AJ812" s="12"/>
      <c r="AK812" s="12"/>
      <c r="AL812" s="12"/>
      <c r="AM812" s="12"/>
      <c r="AN812" s="1"/>
      <c r="AO812" s="6"/>
    </row>
    <row r="813" spans="1:41" ht="15" x14ac:dyDescent="0.25">
      <c r="A813" s="1"/>
      <c r="B813" s="1"/>
      <c r="C813" s="1"/>
      <c r="D813" s="1"/>
      <c r="E813" s="6"/>
      <c r="F813" s="1"/>
      <c r="G813" s="6"/>
      <c r="H813" s="6"/>
      <c r="I813" s="6"/>
      <c r="J813" s="6"/>
      <c r="K813" s="6"/>
      <c r="L813" s="6"/>
      <c r="M813" s="6"/>
      <c r="N813" s="6"/>
      <c r="O813" s="7"/>
      <c r="P813" s="12"/>
      <c r="Q813" s="6"/>
      <c r="R813" s="7"/>
      <c r="S813" s="6"/>
      <c r="T813" s="6"/>
      <c r="U813" s="7"/>
      <c r="V813" s="6"/>
      <c r="W813" s="6"/>
      <c r="X813" s="6"/>
      <c r="Y813" s="6"/>
      <c r="Z813" s="6"/>
      <c r="AA813" s="7"/>
      <c r="AB813" s="6"/>
      <c r="AC813" s="6"/>
      <c r="AD813" s="6"/>
      <c r="AE813" s="12"/>
      <c r="AF813" s="12"/>
      <c r="AG813" s="12"/>
      <c r="AH813" s="12"/>
      <c r="AI813" s="6"/>
      <c r="AJ813" s="12"/>
      <c r="AK813" s="1"/>
      <c r="AL813" s="12"/>
      <c r="AM813" s="12"/>
      <c r="AN813" s="1"/>
      <c r="AO813" s="6"/>
    </row>
    <row r="814" spans="1:41" ht="15" x14ac:dyDescent="0.25">
      <c r="A814" s="1"/>
      <c r="B814" s="1"/>
      <c r="C814" s="1"/>
      <c r="D814" s="1"/>
      <c r="E814" s="6"/>
      <c r="F814" s="1"/>
      <c r="G814" s="6"/>
      <c r="H814" s="6"/>
      <c r="I814" s="6"/>
      <c r="J814" s="6"/>
      <c r="K814" s="6"/>
      <c r="L814" s="6"/>
      <c r="M814" s="6"/>
      <c r="N814" s="6"/>
      <c r="O814" s="7"/>
      <c r="P814" s="6"/>
      <c r="Q814" s="6"/>
      <c r="R814" s="7"/>
      <c r="S814" s="6"/>
      <c r="T814" s="6"/>
      <c r="U814" s="7"/>
      <c r="V814" s="6"/>
      <c r="W814" s="6"/>
      <c r="X814" s="12"/>
      <c r="Y814" s="6"/>
      <c r="Z814" s="6"/>
      <c r="AA814" s="7"/>
      <c r="AB814" s="6"/>
      <c r="AC814" s="6"/>
      <c r="AD814" s="6"/>
      <c r="AE814" s="12"/>
      <c r="AF814" s="12"/>
      <c r="AG814" s="12"/>
      <c r="AH814" s="12"/>
      <c r="AI814" s="6"/>
      <c r="AJ814" s="12"/>
      <c r="AK814" s="1"/>
      <c r="AL814" s="12"/>
      <c r="AM814" s="12"/>
      <c r="AN814" s="1"/>
      <c r="AO814" s="6"/>
    </row>
    <row r="815" spans="1:41" ht="15" x14ac:dyDescent="0.25">
      <c r="A815" s="1"/>
      <c r="B815" s="1"/>
      <c r="C815" s="1"/>
      <c r="D815" s="1"/>
      <c r="E815" s="6"/>
      <c r="F815" s="1"/>
      <c r="G815" s="6"/>
      <c r="H815" s="6"/>
      <c r="I815" s="6"/>
      <c r="J815" s="6"/>
      <c r="K815" s="6"/>
      <c r="L815" s="6"/>
      <c r="M815" s="6"/>
      <c r="N815" s="6"/>
      <c r="O815" s="7"/>
      <c r="P815" s="6"/>
      <c r="Q815" s="6"/>
      <c r="R815" s="7"/>
      <c r="S815" s="6"/>
      <c r="T815" s="6"/>
      <c r="U815" s="7"/>
      <c r="V815" s="6"/>
      <c r="W815" s="6"/>
      <c r="X815" s="6"/>
      <c r="Y815" s="6"/>
      <c r="Z815" s="6"/>
      <c r="AA815" s="7"/>
      <c r="AB815" s="6"/>
      <c r="AC815" s="6"/>
      <c r="AD815" s="6"/>
      <c r="AE815" s="12"/>
      <c r="AF815" s="12"/>
      <c r="AG815" s="12"/>
      <c r="AH815" s="12"/>
      <c r="AI815" s="6"/>
      <c r="AJ815" s="12"/>
      <c r="AK815" s="1"/>
      <c r="AL815" s="12"/>
      <c r="AM815" s="12"/>
      <c r="AN815" s="1"/>
      <c r="AO815" s="6"/>
    </row>
    <row r="816" spans="1:41" ht="15" x14ac:dyDescent="0.25">
      <c r="A816" s="1"/>
      <c r="B816" s="1"/>
      <c r="C816" s="1"/>
      <c r="D816" s="1"/>
      <c r="E816" s="6"/>
      <c r="F816" s="1"/>
      <c r="G816" s="6"/>
      <c r="H816" s="6"/>
      <c r="I816" s="6"/>
      <c r="J816" s="6"/>
      <c r="K816" s="6"/>
      <c r="L816" s="6"/>
      <c r="M816" s="6"/>
      <c r="N816" s="6"/>
      <c r="O816" s="7"/>
      <c r="P816" s="12"/>
      <c r="Q816" s="6"/>
      <c r="R816" s="7"/>
      <c r="S816" s="6"/>
      <c r="T816" s="6"/>
      <c r="U816" s="7"/>
      <c r="V816" s="6"/>
      <c r="W816" s="6"/>
      <c r="X816" s="12"/>
      <c r="Y816" s="6"/>
      <c r="Z816" s="6"/>
      <c r="AA816" s="7"/>
      <c r="AB816" s="6"/>
      <c r="AC816" s="6"/>
      <c r="AD816" s="6"/>
      <c r="AE816" s="12"/>
      <c r="AF816" s="6"/>
      <c r="AG816" s="12"/>
      <c r="AH816" s="6"/>
      <c r="AI816" s="6"/>
      <c r="AJ816" s="12"/>
      <c r="AK816" s="24"/>
      <c r="AL816" s="25"/>
      <c r="AM816" s="12"/>
      <c r="AN816" s="1"/>
      <c r="AO816" s="6"/>
    </row>
    <row r="817" spans="1:41" ht="15" x14ac:dyDescent="0.25">
      <c r="A817" s="1"/>
      <c r="B817" s="1"/>
      <c r="C817" s="1"/>
      <c r="D817" s="1"/>
      <c r="E817" s="6"/>
      <c r="F817" s="1"/>
      <c r="G817" s="6"/>
      <c r="H817" s="6"/>
      <c r="I817" s="6"/>
      <c r="J817" s="6"/>
      <c r="K817" s="6"/>
      <c r="L817" s="6"/>
      <c r="M817" s="6"/>
      <c r="N817" s="6"/>
      <c r="O817" s="7"/>
      <c r="P817" s="6"/>
      <c r="Q817" s="6"/>
      <c r="R817" s="7"/>
      <c r="S817" s="6"/>
      <c r="T817" s="6"/>
      <c r="U817" s="7"/>
      <c r="V817" s="6"/>
      <c r="W817" s="6"/>
      <c r="X817" s="12"/>
      <c r="Y817" s="6"/>
      <c r="Z817" s="6"/>
      <c r="AA817" s="7"/>
      <c r="AB817" s="6"/>
      <c r="AC817" s="6"/>
      <c r="AD817" s="6"/>
      <c r="AE817" s="12"/>
      <c r="AF817" s="12"/>
      <c r="AG817" s="12"/>
      <c r="AH817" s="12"/>
      <c r="AI817" s="6"/>
      <c r="AJ817" s="12"/>
      <c r="AK817" s="1"/>
      <c r="AL817" s="12"/>
      <c r="AM817" s="12"/>
      <c r="AN817" s="1"/>
      <c r="AO817" s="6"/>
    </row>
    <row r="818" spans="1:41" ht="15" x14ac:dyDescent="0.25">
      <c r="A818" s="1"/>
      <c r="B818" s="1"/>
      <c r="C818" s="1"/>
      <c r="D818" s="1"/>
      <c r="E818" s="6"/>
      <c r="F818" s="1"/>
      <c r="G818" s="6"/>
      <c r="H818" s="6"/>
      <c r="I818" s="6"/>
      <c r="J818" s="6"/>
      <c r="K818" s="6"/>
      <c r="L818" s="6"/>
      <c r="M818" s="6"/>
      <c r="N818" s="6"/>
      <c r="O818" s="7"/>
      <c r="P818" s="6"/>
      <c r="Q818" s="6"/>
      <c r="R818" s="7"/>
      <c r="S818" s="6"/>
      <c r="T818" s="6"/>
      <c r="U818" s="7"/>
      <c r="V818" s="6"/>
      <c r="W818" s="6"/>
      <c r="X818" s="12"/>
      <c r="Y818" s="6"/>
      <c r="Z818" s="6"/>
      <c r="AA818" s="7"/>
      <c r="AB818" s="6"/>
      <c r="AC818" s="6"/>
      <c r="AD818" s="6"/>
      <c r="AE818" s="12"/>
      <c r="AF818" s="12"/>
      <c r="AG818" s="12"/>
      <c r="AH818" s="12"/>
      <c r="AI818" s="6"/>
      <c r="AJ818" s="12"/>
      <c r="AK818" s="1"/>
      <c r="AL818" s="12"/>
      <c r="AM818" s="12"/>
      <c r="AN818" s="1"/>
      <c r="AO818" s="6"/>
    </row>
    <row r="819" spans="1:41" ht="15" x14ac:dyDescent="0.25">
      <c r="A819" s="1"/>
      <c r="B819" s="1"/>
      <c r="C819" s="1"/>
      <c r="D819" s="1"/>
      <c r="E819" s="6"/>
      <c r="F819" s="1"/>
      <c r="G819" s="6"/>
      <c r="H819" s="6"/>
      <c r="I819" s="6"/>
      <c r="J819" s="6"/>
      <c r="K819" s="6"/>
      <c r="L819" s="6"/>
      <c r="M819" s="6"/>
      <c r="N819" s="6"/>
      <c r="O819" s="7"/>
      <c r="P819" s="6"/>
      <c r="Q819" s="6"/>
      <c r="R819" s="12"/>
      <c r="S819" s="12"/>
      <c r="T819" s="12"/>
      <c r="U819" s="7"/>
      <c r="V819" s="6"/>
      <c r="W819" s="6"/>
      <c r="X819" s="12"/>
      <c r="Y819" s="12"/>
      <c r="Z819" s="6"/>
      <c r="AA819" s="7"/>
      <c r="AB819" s="6"/>
      <c r="AC819" s="6"/>
      <c r="AD819" s="6"/>
      <c r="AE819" s="12"/>
      <c r="AF819" s="6"/>
      <c r="AG819" s="12"/>
      <c r="AH819" s="6"/>
      <c r="AI819" s="6"/>
      <c r="AJ819" s="12"/>
      <c r="AK819" s="24"/>
      <c r="AL819" s="25"/>
      <c r="AM819" s="12"/>
      <c r="AN819" s="1"/>
      <c r="AO819" s="6"/>
    </row>
    <row r="820" spans="1:41" ht="15" x14ac:dyDescent="0.25">
      <c r="A820" s="1"/>
      <c r="B820" s="1"/>
      <c r="C820" s="1"/>
      <c r="D820" s="1"/>
      <c r="E820" s="6"/>
      <c r="F820" s="1"/>
      <c r="G820" s="6"/>
      <c r="H820" s="6"/>
      <c r="I820" s="6"/>
      <c r="J820" s="6"/>
      <c r="K820" s="6"/>
      <c r="L820" s="6"/>
      <c r="M820" s="6"/>
      <c r="N820" s="6"/>
      <c r="O820" s="7"/>
      <c r="P820" s="6"/>
      <c r="Q820" s="6"/>
      <c r="R820" s="7"/>
      <c r="S820" s="6"/>
      <c r="T820" s="6"/>
      <c r="U820" s="7"/>
      <c r="V820" s="6"/>
      <c r="W820" s="6"/>
      <c r="X820" s="12"/>
      <c r="Y820" s="6"/>
      <c r="Z820" s="6"/>
      <c r="AA820" s="7"/>
      <c r="AB820" s="6"/>
      <c r="AC820" s="6"/>
      <c r="AD820" s="6"/>
      <c r="AE820" s="12"/>
      <c r="AF820" s="12"/>
      <c r="AG820" s="12"/>
      <c r="AH820" s="12"/>
      <c r="AI820" s="6"/>
      <c r="AJ820" s="12"/>
      <c r="AK820" s="1"/>
      <c r="AL820" s="12"/>
      <c r="AM820" s="12"/>
      <c r="AN820" s="1"/>
      <c r="AO820" s="6"/>
    </row>
    <row r="821" spans="1:41" ht="15" x14ac:dyDescent="0.25">
      <c r="A821" s="1"/>
      <c r="B821" s="1"/>
      <c r="C821" s="1"/>
      <c r="D821" s="1"/>
      <c r="E821" s="6"/>
      <c r="F821" s="1"/>
      <c r="G821" s="6"/>
      <c r="H821" s="6"/>
      <c r="I821" s="6"/>
      <c r="J821" s="6"/>
      <c r="K821" s="6"/>
      <c r="L821" s="6"/>
      <c r="M821" s="6"/>
      <c r="N821" s="6"/>
      <c r="O821" s="7"/>
      <c r="P821" s="6"/>
      <c r="Q821" s="6"/>
      <c r="R821" s="7"/>
      <c r="S821" s="6"/>
      <c r="T821" s="6"/>
      <c r="U821" s="7"/>
      <c r="V821" s="6"/>
      <c r="W821" s="6"/>
      <c r="X821" s="6"/>
      <c r="Y821" s="6"/>
      <c r="Z821" s="6"/>
      <c r="AA821" s="7"/>
      <c r="AB821" s="6"/>
      <c r="AC821" s="6"/>
      <c r="AD821" s="6"/>
      <c r="AE821" s="12"/>
      <c r="AF821" s="6"/>
      <c r="AG821" s="12"/>
      <c r="AH821" s="6"/>
      <c r="AI821" s="6"/>
      <c r="AJ821" s="12"/>
      <c r="AK821" s="24"/>
      <c r="AL821" s="25"/>
      <c r="AM821" s="12"/>
      <c r="AN821" s="1"/>
      <c r="AO821" s="6"/>
    </row>
    <row r="822" spans="1:41" ht="15" x14ac:dyDescent="0.25">
      <c r="A822" s="1"/>
      <c r="B822" s="1"/>
      <c r="C822" s="1"/>
      <c r="D822" s="1"/>
      <c r="E822" s="6"/>
      <c r="F822" s="1"/>
      <c r="G822" s="6"/>
      <c r="H822" s="6"/>
      <c r="I822" s="6"/>
      <c r="J822" s="6"/>
      <c r="K822" s="6"/>
      <c r="L822" s="6"/>
      <c r="M822" s="6"/>
      <c r="N822" s="6"/>
      <c r="O822" s="7"/>
      <c r="P822" s="6"/>
      <c r="Q822" s="7"/>
      <c r="R822" s="6"/>
      <c r="S822" s="6"/>
      <c r="T822" s="6"/>
      <c r="U822" s="6"/>
      <c r="V822" s="7"/>
      <c r="W822" s="7"/>
      <c r="X822" s="6"/>
      <c r="Y822" s="6"/>
      <c r="Z822" s="6"/>
      <c r="AA822" s="1"/>
      <c r="AB822" s="12"/>
      <c r="AC822" s="12"/>
      <c r="AD822" s="12"/>
      <c r="AE822" s="12"/>
      <c r="AF822" s="12"/>
      <c r="AG822" s="12"/>
      <c r="AH822" s="12"/>
      <c r="AI822" s="6"/>
      <c r="AJ822" s="12"/>
      <c r="AK822" s="12"/>
      <c r="AL822" s="12"/>
      <c r="AM822" s="12"/>
      <c r="AN822" s="1"/>
      <c r="AO822" s="6"/>
    </row>
    <row r="823" spans="1:41" ht="15" x14ac:dyDescent="0.25">
      <c r="A823" s="1"/>
      <c r="B823" s="1"/>
      <c r="C823" s="1"/>
      <c r="D823" s="1"/>
      <c r="E823" s="6"/>
      <c r="F823" s="1"/>
      <c r="G823" s="6"/>
      <c r="H823" s="6"/>
      <c r="I823" s="6"/>
      <c r="J823" s="6"/>
      <c r="K823" s="6"/>
      <c r="L823" s="6"/>
      <c r="M823" s="6"/>
      <c r="N823" s="6"/>
      <c r="O823" s="7"/>
      <c r="P823" s="6"/>
      <c r="Q823" s="6"/>
      <c r="R823" s="7"/>
      <c r="S823" s="6"/>
      <c r="T823" s="6"/>
      <c r="U823" s="7"/>
      <c r="V823" s="6"/>
      <c r="W823" s="6"/>
      <c r="X823" s="12"/>
      <c r="Y823" s="6"/>
      <c r="Z823" s="6"/>
      <c r="AA823" s="7"/>
      <c r="AB823" s="6"/>
      <c r="AC823" s="6"/>
      <c r="AD823" s="6"/>
      <c r="AE823" s="12"/>
      <c r="AF823" s="6"/>
      <c r="AG823" s="12"/>
      <c r="AH823" s="6"/>
      <c r="AI823" s="6"/>
      <c r="AJ823" s="12"/>
      <c r="AK823" s="1"/>
      <c r="AL823" s="12"/>
      <c r="AM823" s="12"/>
      <c r="AN823" s="1"/>
      <c r="AO823" s="6"/>
    </row>
    <row r="824" spans="1:41" ht="15" x14ac:dyDescent="0.25">
      <c r="A824" s="1"/>
      <c r="B824" s="1"/>
      <c r="C824" s="1"/>
      <c r="D824" s="1"/>
      <c r="E824" s="6"/>
      <c r="F824" s="1"/>
      <c r="G824" s="6"/>
      <c r="H824" s="6"/>
      <c r="I824" s="6"/>
      <c r="J824" s="6"/>
      <c r="K824" s="6"/>
      <c r="L824" s="6"/>
      <c r="M824" s="6"/>
      <c r="N824" s="6"/>
      <c r="O824" s="7"/>
      <c r="P824" s="6"/>
      <c r="Q824" s="7"/>
      <c r="R824" s="6"/>
      <c r="S824" s="6"/>
      <c r="T824" s="6"/>
      <c r="U824" s="6"/>
      <c r="V824" s="7"/>
      <c r="W824" s="6"/>
      <c r="X824" s="6"/>
      <c r="Y824" s="6"/>
      <c r="Z824" s="6"/>
      <c r="AA824" s="24"/>
      <c r="AB824" s="25"/>
      <c r="AC824" s="12"/>
      <c r="AD824" s="12"/>
      <c r="AE824" s="12"/>
      <c r="AF824" s="6"/>
      <c r="AG824" s="12"/>
      <c r="AH824" s="6"/>
      <c r="AI824" s="6"/>
      <c r="AJ824" s="12"/>
      <c r="AK824" s="12"/>
      <c r="AL824" s="12"/>
      <c r="AM824" s="12"/>
      <c r="AN824" s="1"/>
      <c r="AO824" s="6"/>
    </row>
    <row r="825" spans="1:41" ht="15" x14ac:dyDescent="0.25">
      <c r="A825" s="1"/>
      <c r="B825" s="1"/>
      <c r="C825" s="1"/>
      <c r="D825" s="1"/>
      <c r="E825" s="6"/>
      <c r="F825" s="1"/>
      <c r="G825" s="6"/>
      <c r="H825" s="6"/>
      <c r="I825" s="6"/>
      <c r="J825" s="6"/>
      <c r="K825" s="12"/>
      <c r="L825" s="12"/>
      <c r="M825" s="6"/>
      <c r="N825" s="6"/>
      <c r="O825" s="7"/>
      <c r="P825" s="12"/>
      <c r="Q825" s="6"/>
      <c r="R825" s="7"/>
      <c r="S825" s="6"/>
      <c r="T825" s="6"/>
      <c r="U825" s="7"/>
      <c r="V825" s="6"/>
      <c r="W825" s="6"/>
      <c r="X825" s="6"/>
      <c r="Y825" s="6"/>
      <c r="Z825" s="6"/>
      <c r="AA825" s="7"/>
      <c r="AB825" s="6"/>
      <c r="AC825" s="6"/>
      <c r="AD825" s="6"/>
      <c r="AE825" s="12"/>
      <c r="AF825" s="12"/>
      <c r="AG825" s="12"/>
      <c r="AH825" s="12"/>
      <c r="AI825" s="6"/>
      <c r="AJ825" s="12"/>
      <c r="AK825" s="1"/>
      <c r="AL825" s="12"/>
      <c r="AM825" s="12"/>
      <c r="AN825" s="1"/>
      <c r="AO825" s="6"/>
    </row>
    <row r="826" spans="1:41" ht="15" x14ac:dyDescent="0.25">
      <c r="A826" s="1"/>
      <c r="B826" s="1"/>
      <c r="C826" s="1"/>
      <c r="D826" s="1"/>
      <c r="E826" s="6"/>
      <c r="F826" s="1"/>
      <c r="G826" s="6"/>
      <c r="H826" s="6"/>
      <c r="I826" s="6"/>
      <c r="J826" s="6"/>
      <c r="K826" s="6"/>
      <c r="L826" s="6"/>
      <c r="M826" s="6"/>
      <c r="N826" s="6"/>
      <c r="O826" s="7"/>
      <c r="P826" s="6"/>
      <c r="Q826" s="6"/>
      <c r="R826" s="7"/>
      <c r="S826" s="6"/>
      <c r="T826" s="6"/>
      <c r="U826" s="7"/>
      <c r="V826" s="6"/>
      <c r="W826" s="6"/>
      <c r="X826" s="6"/>
      <c r="Y826" s="6"/>
      <c r="Z826" s="6"/>
      <c r="AA826" s="7"/>
      <c r="AB826" s="6"/>
      <c r="AC826" s="6"/>
      <c r="AD826" s="6"/>
      <c r="AE826" s="12"/>
      <c r="AF826" s="6"/>
      <c r="AG826" s="12"/>
      <c r="AH826" s="6"/>
      <c r="AI826" s="6"/>
      <c r="AJ826" s="12"/>
      <c r="AK826" s="1"/>
      <c r="AL826" s="12"/>
      <c r="AM826" s="12"/>
      <c r="AN826" s="1"/>
      <c r="AO826" s="6"/>
    </row>
    <row r="827" spans="1:41" ht="15" x14ac:dyDescent="0.25">
      <c r="A827" s="1"/>
      <c r="B827" s="1"/>
      <c r="C827" s="1"/>
      <c r="D827" s="1"/>
      <c r="E827" s="6"/>
      <c r="F827" s="1"/>
      <c r="G827" s="6"/>
      <c r="H827" s="6"/>
      <c r="I827" s="6"/>
      <c r="J827" s="6"/>
      <c r="K827" s="6"/>
      <c r="L827" s="6"/>
      <c r="M827" s="6"/>
      <c r="N827" s="6"/>
      <c r="O827" s="7"/>
      <c r="P827" s="6"/>
      <c r="Q827" s="6"/>
      <c r="R827" s="7"/>
      <c r="S827" s="6"/>
      <c r="T827" s="6"/>
      <c r="U827" s="7"/>
      <c r="V827" s="6"/>
      <c r="W827" s="6"/>
      <c r="X827" s="6"/>
      <c r="Y827" s="6"/>
      <c r="Z827" s="6"/>
      <c r="AA827" s="7"/>
      <c r="AB827" s="6"/>
      <c r="AC827" s="6"/>
      <c r="AD827" s="6"/>
      <c r="AE827" s="12"/>
      <c r="AF827" s="12"/>
      <c r="AG827" s="12"/>
      <c r="AH827" s="12"/>
      <c r="AI827" s="6"/>
      <c r="AJ827" s="12"/>
      <c r="AK827" s="1"/>
      <c r="AL827" s="12"/>
      <c r="AM827" s="12"/>
      <c r="AN827" s="1"/>
      <c r="AO827" s="6"/>
    </row>
    <row r="828" spans="1:41" ht="15" x14ac:dyDescent="0.25">
      <c r="A828" s="1"/>
      <c r="B828" s="1"/>
      <c r="C828" s="1"/>
      <c r="D828" s="1"/>
      <c r="E828" s="6"/>
      <c r="F828" s="1"/>
      <c r="G828" s="6"/>
      <c r="H828" s="6"/>
      <c r="I828" s="6"/>
      <c r="J828" s="6"/>
      <c r="K828" s="6"/>
      <c r="L828" s="6"/>
      <c r="M828" s="6"/>
      <c r="N828" s="6"/>
      <c r="O828" s="7"/>
      <c r="P828" s="12"/>
      <c r="Q828" s="6"/>
      <c r="R828" s="7"/>
      <c r="S828" s="6"/>
      <c r="T828" s="6"/>
      <c r="U828" s="7"/>
      <c r="V828" s="6"/>
      <c r="W828" s="6"/>
      <c r="X828" s="6"/>
      <c r="Y828" s="6"/>
      <c r="Z828" s="6"/>
      <c r="AA828" s="7"/>
      <c r="AB828" s="6"/>
      <c r="AC828" s="6"/>
      <c r="AD828" s="6"/>
      <c r="AE828" s="12"/>
      <c r="AF828" s="12"/>
      <c r="AG828" s="12"/>
      <c r="AH828" s="12"/>
      <c r="AI828" s="6"/>
      <c r="AJ828" s="12"/>
      <c r="AK828" s="1"/>
      <c r="AL828" s="12"/>
      <c r="AM828" s="12"/>
      <c r="AN828" s="1"/>
      <c r="AO828" s="6"/>
    </row>
    <row r="829" spans="1:41" ht="15" x14ac:dyDescent="0.25">
      <c r="A829" s="1"/>
      <c r="B829" s="1"/>
      <c r="C829" s="1"/>
      <c r="D829" s="1"/>
      <c r="E829" s="6"/>
      <c r="F829" s="1"/>
      <c r="G829" s="6"/>
      <c r="H829" s="6"/>
      <c r="I829" s="6"/>
      <c r="J829" s="6"/>
      <c r="K829" s="12"/>
      <c r="L829" s="12"/>
      <c r="M829" s="6"/>
      <c r="N829" s="6"/>
      <c r="O829" s="7"/>
      <c r="P829" s="6"/>
      <c r="Q829" s="6"/>
      <c r="R829" s="7"/>
      <c r="S829" s="6"/>
      <c r="T829" s="6"/>
      <c r="U829" s="7"/>
      <c r="V829" s="6"/>
      <c r="W829" s="6"/>
      <c r="X829" s="6"/>
      <c r="Y829" s="6"/>
      <c r="Z829" s="6"/>
      <c r="AA829" s="7"/>
      <c r="AB829" s="6"/>
      <c r="AC829" s="6"/>
      <c r="AD829" s="6"/>
      <c r="AE829" s="12"/>
      <c r="AF829" s="12"/>
      <c r="AG829" s="12"/>
      <c r="AH829" s="12"/>
      <c r="AI829" s="6"/>
      <c r="AJ829" s="12"/>
      <c r="AK829" s="1"/>
      <c r="AL829" s="12"/>
      <c r="AM829" s="12"/>
      <c r="AN829" s="1"/>
      <c r="AO829" s="12"/>
    </row>
    <row r="830" spans="1:41" ht="15" x14ac:dyDescent="0.25">
      <c r="A830" s="1"/>
      <c r="B830" s="1"/>
      <c r="C830" s="1"/>
      <c r="D830" s="1"/>
      <c r="E830" s="6"/>
      <c r="F830" s="1"/>
      <c r="G830" s="6"/>
      <c r="H830" s="6"/>
      <c r="I830" s="6"/>
      <c r="J830" s="6"/>
      <c r="K830" s="6"/>
      <c r="L830" s="6"/>
      <c r="M830" s="6"/>
      <c r="N830" s="6"/>
      <c r="O830" s="7"/>
      <c r="P830" s="12"/>
      <c r="Q830" s="6"/>
      <c r="R830" s="7"/>
      <c r="S830" s="6"/>
      <c r="T830" s="6"/>
      <c r="U830" s="7"/>
      <c r="V830" s="6"/>
      <c r="W830" s="6"/>
      <c r="X830" s="6"/>
      <c r="Y830" s="6"/>
      <c r="Z830" s="6"/>
      <c r="AA830" s="7"/>
      <c r="AB830" s="6"/>
      <c r="AC830" s="6"/>
      <c r="AD830" s="6"/>
      <c r="AE830" s="12"/>
      <c r="AF830" s="12"/>
      <c r="AG830" s="12"/>
      <c r="AH830" s="12"/>
      <c r="AI830" s="6"/>
      <c r="AJ830" s="12"/>
      <c r="AK830" s="1"/>
      <c r="AL830" s="12"/>
      <c r="AM830" s="12"/>
      <c r="AN830" s="1"/>
      <c r="AO830" s="6"/>
    </row>
    <row r="831" spans="1:41" ht="15" x14ac:dyDescent="0.25">
      <c r="A831" s="1"/>
      <c r="B831" s="1"/>
      <c r="C831" s="1"/>
      <c r="D831" s="1"/>
      <c r="E831" s="6"/>
      <c r="F831" s="1"/>
      <c r="G831" s="6"/>
      <c r="H831" s="6"/>
      <c r="I831" s="6"/>
      <c r="J831" s="6"/>
      <c r="K831" s="6"/>
      <c r="L831" s="6"/>
      <c r="M831" s="6"/>
      <c r="N831" s="6"/>
      <c r="O831" s="7"/>
      <c r="P831" s="6"/>
      <c r="Q831" s="6"/>
      <c r="R831" s="7"/>
      <c r="S831" s="6"/>
      <c r="T831" s="6"/>
      <c r="U831" s="7"/>
      <c r="V831" s="6"/>
      <c r="W831" s="6"/>
      <c r="X831" s="6"/>
      <c r="Y831" s="6"/>
      <c r="Z831" s="6"/>
      <c r="AA831" s="7"/>
      <c r="AB831" s="6"/>
      <c r="AC831" s="6"/>
      <c r="AD831" s="6"/>
      <c r="AE831" s="12"/>
      <c r="AF831" s="12"/>
      <c r="AG831" s="12"/>
      <c r="AH831" s="12"/>
      <c r="AI831" s="6"/>
      <c r="AJ831" s="12"/>
      <c r="AK831" s="1"/>
      <c r="AL831" s="12"/>
      <c r="AM831" s="12"/>
      <c r="AN831" s="1"/>
      <c r="AO831" s="6"/>
    </row>
    <row r="832" spans="1:41" ht="15" x14ac:dyDescent="0.25">
      <c r="A832" s="1"/>
      <c r="B832" s="1"/>
      <c r="C832" s="1"/>
      <c r="D832" s="1"/>
      <c r="E832" s="6"/>
      <c r="F832" s="1"/>
      <c r="G832" s="6"/>
      <c r="H832" s="6"/>
      <c r="I832" s="6"/>
      <c r="J832" s="6"/>
      <c r="K832" s="6"/>
      <c r="L832" s="6"/>
      <c r="M832" s="6"/>
      <c r="N832" s="6"/>
      <c r="O832" s="7"/>
      <c r="P832" s="6"/>
      <c r="Q832" s="7"/>
      <c r="R832" s="6"/>
      <c r="S832" s="6"/>
      <c r="T832" s="6"/>
      <c r="U832" s="6"/>
      <c r="V832" s="7"/>
      <c r="W832" s="6"/>
      <c r="X832" s="6"/>
      <c r="Y832" s="6"/>
      <c r="Z832" s="6"/>
      <c r="AA832" s="1"/>
      <c r="AB832" s="12"/>
      <c r="AC832" s="12"/>
      <c r="AD832" s="12"/>
      <c r="AE832" s="12"/>
      <c r="AF832" s="6"/>
      <c r="AG832" s="12"/>
      <c r="AH832" s="6"/>
      <c r="AI832" s="6"/>
      <c r="AJ832" s="12"/>
      <c r="AK832" s="12"/>
      <c r="AL832" s="12"/>
      <c r="AM832" s="12"/>
      <c r="AN832" s="1"/>
      <c r="AO832" s="6"/>
    </row>
    <row r="833" spans="1:41" ht="15" x14ac:dyDescent="0.25">
      <c r="A833" s="1"/>
      <c r="B833" s="1"/>
      <c r="C833" s="1"/>
      <c r="D833" s="1"/>
      <c r="E833" s="6"/>
      <c r="F833" s="1"/>
      <c r="G833" s="6"/>
      <c r="H833" s="6"/>
      <c r="I833" s="6"/>
      <c r="J833" s="6"/>
      <c r="K833" s="6"/>
      <c r="L833" s="6"/>
      <c r="M833" s="6"/>
      <c r="N833" s="6"/>
      <c r="O833" s="7"/>
      <c r="P833" s="6"/>
      <c r="Q833" s="6"/>
      <c r="R833" s="7"/>
      <c r="S833" s="6"/>
      <c r="T833" s="6"/>
      <c r="U833" s="7"/>
      <c r="V833" s="6"/>
      <c r="W833" s="6"/>
      <c r="X833" s="12"/>
      <c r="Y833" s="6"/>
      <c r="Z833" s="6"/>
      <c r="AA833" s="7"/>
      <c r="AB833" s="6"/>
      <c r="AC833" s="6"/>
      <c r="AD833" s="6"/>
      <c r="AE833" s="12"/>
      <c r="AF833" s="12"/>
      <c r="AG833" s="12"/>
      <c r="AH833" s="12"/>
      <c r="AI833" s="6"/>
      <c r="AJ833" s="12"/>
      <c r="AK833" s="1"/>
      <c r="AL833" s="12"/>
      <c r="AM833" s="12"/>
      <c r="AN833" s="1"/>
      <c r="AO833" s="6"/>
    </row>
    <row r="834" spans="1:41" ht="15" x14ac:dyDescent="0.25">
      <c r="A834" s="1"/>
      <c r="B834" s="1"/>
      <c r="C834" s="1"/>
      <c r="D834" s="1"/>
      <c r="E834" s="6"/>
      <c r="F834" s="1"/>
      <c r="G834" s="6"/>
      <c r="H834" s="6"/>
      <c r="I834" s="6"/>
      <c r="J834" s="6"/>
      <c r="K834" s="6"/>
      <c r="L834" s="6"/>
      <c r="M834" s="6"/>
      <c r="N834" s="6"/>
      <c r="O834" s="7"/>
      <c r="P834" s="6"/>
      <c r="Q834" s="6"/>
      <c r="R834" s="7"/>
      <c r="S834" s="6"/>
      <c r="T834" s="6"/>
      <c r="U834" s="7"/>
      <c r="V834" s="6"/>
      <c r="W834" s="6"/>
      <c r="X834" s="6"/>
      <c r="Y834" s="6"/>
      <c r="Z834" s="6"/>
      <c r="AA834" s="7"/>
      <c r="AB834" s="6"/>
      <c r="AC834" s="6"/>
      <c r="AD834" s="6"/>
      <c r="AE834" s="12"/>
      <c r="AF834" s="6"/>
      <c r="AG834" s="12"/>
      <c r="AH834" s="6"/>
      <c r="AI834" s="6"/>
      <c r="AJ834" s="12"/>
      <c r="AK834" s="24"/>
      <c r="AL834" s="25"/>
      <c r="AM834" s="12"/>
      <c r="AN834" s="1"/>
      <c r="AO834" s="6"/>
    </row>
    <row r="835" spans="1:41" ht="15" x14ac:dyDescent="0.25">
      <c r="A835" s="1"/>
      <c r="B835" s="1"/>
      <c r="C835" s="1"/>
      <c r="D835" s="1"/>
      <c r="E835" s="6"/>
      <c r="F835" s="1"/>
      <c r="G835" s="6"/>
      <c r="H835" s="6"/>
      <c r="I835" s="6"/>
      <c r="J835" s="6"/>
      <c r="K835" s="6"/>
      <c r="L835" s="6"/>
      <c r="M835" s="6"/>
      <c r="N835" s="6"/>
      <c r="O835" s="7"/>
      <c r="P835" s="6"/>
      <c r="Q835" s="6"/>
      <c r="R835" s="7"/>
      <c r="S835" s="6"/>
      <c r="T835" s="6"/>
      <c r="U835" s="7"/>
      <c r="V835" s="6"/>
      <c r="W835" s="6"/>
      <c r="X835" s="12"/>
      <c r="Y835" s="6"/>
      <c r="Z835" s="6"/>
      <c r="AA835" s="7"/>
      <c r="AB835" s="6"/>
      <c r="AC835" s="6"/>
      <c r="AD835" s="6"/>
      <c r="AE835" s="12"/>
      <c r="AF835" s="12"/>
      <c r="AG835" s="12"/>
      <c r="AH835" s="12"/>
      <c r="AI835" s="6"/>
      <c r="AJ835" s="12"/>
      <c r="AK835" s="24"/>
      <c r="AL835" s="25"/>
      <c r="AM835" s="12"/>
      <c r="AN835" s="1"/>
      <c r="AO835" s="6"/>
    </row>
    <row r="836" spans="1:41" ht="15" x14ac:dyDescent="0.25">
      <c r="A836" s="1"/>
      <c r="B836" s="1"/>
      <c r="C836" s="1"/>
      <c r="D836" s="1"/>
      <c r="E836" s="6"/>
      <c r="F836" s="1"/>
      <c r="G836" s="6"/>
      <c r="H836" s="6"/>
      <c r="I836" s="6"/>
      <c r="J836" s="6"/>
      <c r="K836" s="6"/>
      <c r="L836" s="6"/>
      <c r="M836" s="6"/>
      <c r="N836" s="6"/>
      <c r="O836" s="7"/>
      <c r="P836" s="6"/>
      <c r="Q836" s="7"/>
      <c r="R836" s="6"/>
      <c r="S836" s="6"/>
      <c r="T836" s="6"/>
      <c r="U836" s="6"/>
      <c r="V836" s="7"/>
      <c r="W836" s="6"/>
      <c r="X836" s="6"/>
      <c r="Y836" s="6"/>
      <c r="Z836" s="6"/>
      <c r="AA836" s="24"/>
      <c r="AB836" s="25"/>
      <c r="AC836" s="12"/>
      <c r="AD836" s="12"/>
      <c r="AE836" s="12"/>
      <c r="AF836" s="6"/>
      <c r="AG836" s="12"/>
      <c r="AH836" s="6"/>
      <c r="AI836" s="6"/>
      <c r="AJ836" s="12"/>
      <c r="AK836" s="12"/>
      <c r="AL836" s="12"/>
      <c r="AM836" s="12"/>
      <c r="AN836" s="1"/>
      <c r="AO836" s="6"/>
    </row>
    <row r="837" spans="1:41" ht="15" x14ac:dyDescent="0.25">
      <c r="A837" s="1"/>
      <c r="B837" s="1"/>
      <c r="C837" s="1"/>
      <c r="D837" s="1"/>
      <c r="E837" s="6"/>
      <c r="F837" s="1"/>
      <c r="G837" s="6"/>
      <c r="H837" s="6"/>
      <c r="I837" s="6"/>
      <c r="J837" s="6"/>
      <c r="K837" s="6"/>
      <c r="L837" s="6"/>
      <c r="M837" s="6"/>
      <c r="N837" s="6"/>
      <c r="O837" s="7"/>
      <c r="P837" s="12"/>
      <c r="Q837" s="6"/>
      <c r="R837" s="7"/>
      <c r="S837" s="6"/>
      <c r="T837" s="6"/>
      <c r="U837" s="7"/>
      <c r="V837" s="6"/>
      <c r="W837" s="6"/>
      <c r="X837" s="6"/>
      <c r="Y837" s="6"/>
      <c r="Z837" s="6"/>
      <c r="AA837" s="7"/>
      <c r="AB837" s="6"/>
      <c r="AC837" s="6"/>
      <c r="AD837" s="6"/>
      <c r="AE837" s="12"/>
      <c r="AF837" s="12"/>
      <c r="AG837" s="12"/>
      <c r="AH837" s="12"/>
      <c r="AI837" s="6"/>
      <c r="AJ837" s="12"/>
      <c r="AK837" s="1"/>
      <c r="AL837" s="12"/>
      <c r="AM837" s="12"/>
      <c r="AN837" s="1"/>
      <c r="AO837" s="6"/>
    </row>
    <row r="838" spans="1:41" ht="15" x14ac:dyDescent="0.25">
      <c r="A838" s="1"/>
      <c r="B838" s="1"/>
      <c r="C838" s="1"/>
      <c r="D838" s="1"/>
      <c r="E838" s="6"/>
      <c r="F838" s="1"/>
      <c r="G838" s="6"/>
      <c r="H838" s="6"/>
      <c r="I838" s="6"/>
      <c r="J838" s="6"/>
      <c r="K838" s="12"/>
      <c r="L838" s="12"/>
      <c r="M838" s="6"/>
      <c r="N838" s="6"/>
      <c r="O838" s="7"/>
      <c r="P838" s="6"/>
      <c r="Q838" s="6"/>
      <c r="R838" s="7"/>
      <c r="S838" s="6"/>
      <c r="T838" s="6"/>
      <c r="U838" s="7"/>
      <c r="V838" s="6"/>
      <c r="W838" s="6"/>
      <c r="X838" s="6"/>
      <c r="Y838" s="6"/>
      <c r="Z838" s="6"/>
      <c r="AA838" s="7"/>
      <c r="AB838" s="6"/>
      <c r="AC838" s="6"/>
      <c r="AD838" s="6"/>
      <c r="AE838" s="12"/>
      <c r="AF838" s="12"/>
      <c r="AG838" s="12"/>
      <c r="AH838" s="12"/>
      <c r="AI838" s="6"/>
      <c r="AJ838" s="12"/>
      <c r="AK838" s="1"/>
      <c r="AL838" s="12"/>
      <c r="AM838" s="12"/>
      <c r="AN838" s="1"/>
      <c r="AO838" s="6"/>
    </row>
    <row r="839" spans="1:41" ht="15" x14ac:dyDescent="0.25">
      <c r="A839" s="1"/>
      <c r="B839" s="1"/>
      <c r="C839" s="1"/>
      <c r="D839" s="1"/>
      <c r="E839" s="6"/>
      <c r="F839" s="1"/>
      <c r="G839" s="6"/>
      <c r="H839" s="6"/>
      <c r="I839" s="6"/>
      <c r="J839" s="6"/>
      <c r="K839" s="6"/>
      <c r="L839" s="6"/>
      <c r="M839" s="6"/>
      <c r="N839" s="6"/>
      <c r="O839" s="7"/>
      <c r="P839" s="6"/>
      <c r="Q839" s="6"/>
      <c r="R839" s="7"/>
      <c r="S839" s="6"/>
      <c r="T839" s="6"/>
      <c r="U839" s="7"/>
      <c r="V839" s="6"/>
      <c r="W839" s="6"/>
      <c r="X839" s="6"/>
      <c r="Y839" s="6"/>
      <c r="Z839" s="6"/>
      <c r="AA839" s="7"/>
      <c r="AB839" s="6"/>
      <c r="AC839" s="6"/>
      <c r="AD839" s="6"/>
      <c r="AE839" s="12"/>
      <c r="AF839" s="6"/>
      <c r="AG839" s="12"/>
      <c r="AH839" s="6"/>
      <c r="AI839" s="6"/>
      <c r="AJ839" s="12"/>
      <c r="AK839" s="24"/>
      <c r="AL839" s="25"/>
      <c r="AM839" s="12"/>
      <c r="AN839" s="1"/>
      <c r="AO839" s="6"/>
    </row>
    <row r="840" spans="1:41" ht="15" x14ac:dyDescent="0.25">
      <c r="A840" s="1"/>
      <c r="B840" s="1"/>
      <c r="C840" s="1"/>
      <c r="D840" s="1"/>
      <c r="E840" s="6"/>
      <c r="F840" s="1"/>
      <c r="G840" s="6"/>
      <c r="H840" s="6"/>
      <c r="I840" s="6"/>
      <c r="J840" s="6"/>
      <c r="K840" s="6"/>
      <c r="L840" s="6"/>
      <c r="M840" s="6"/>
      <c r="N840" s="6"/>
      <c r="O840" s="7"/>
      <c r="P840" s="6"/>
      <c r="Q840" s="6"/>
      <c r="R840" s="7"/>
      <c r="S840" s="6"/>
      <c r="T840" s="6"/>
      <c r="U840" s="7"/>
      <c r="V840" s="6"/>
      <c r="W840" s="6"/>
      <c r="X840" s="6"/>
      <c r="Y840" s="6"/>
      <c r="Z840" s="6"/>
      <c r="AA840" s="7"/>
      <c r="AB840" s="6"/>
      <c r="AC840" s="6"/>
      <c r="AD840" s="6"/>
      <c r="AE840" s="12"/>
      <c r="AF840" s="6"/>
      <c r="AG840" s="12"/>
      <c r="AH840" s="6"/>
      <c r="AI840" s="6"/>
      <c r="AJ840" s="12"/>
      <c r="AK840" s="24"/>
      <c r="AL840" s="25"/>
      <c r="AM840" s="12"/>
      <c r="AN840" s="1"/>
      <c r="AO840" s="6"/>
    </row>
    <row r="841" spans="1:41" ht="15" x14ac:dyDescent="0.25">
      <c r="A841" s="1"/>
      <c r="B841" s="1"/>
      <c r="C841" s="1"/>
      <c r="D841" s="1"/>
      <c r="E841" s="6"/>
      <c r="F841" s="1"/>
      <c r="G841" s="6"/>
      <c r="H841" s="6"/>
      <c r="I841" s="6"/>
      <c r="J841" s="6"/>
      <c r="K841" s="6"/>
      <c r="L841" s="6"/>
      <c r="M841" s="6"/>
      <c r="N841" s="6"/>
      <c r="O841" s="7"/>
      <c r="P841" s="6"/>
      <c r="Q841" s="6"/>
      <c r="R841" s="7"/>
      <c r="S841" s="6"/>
      <c r="T841" s="6"/>
      <c r="U841" s="7"/>
      <c r="V841" s="6"/>
      <c r="W841" s="6"/>
      <c r="X841" s="6"/>
      <c r="Y841" s="6"/>
      <c r="Z841" s="6"/>
      <c r="AA841" s="7"/>
      <c r="AB841" s="6"/>
      <c r="AC841" s="6"/>
      <c r="AD841" s="6"/>
      <c r="AE841" s="12"/>
      <c r="AF841" s="12"/>
      <c r="AG841" s="12"/>
      <c r="AH841" s="12"/>
      <c r="AI841" s="6"/>
      <c r="AJ841" s="12"/>
      <c r="AK841" s="1"/>
      <c r="AL841" s="12"/>
      <c r="AM841" s="12"/>
      <c r="AN841" s="1"/>
      <c r="AO841" s="6"/>
    </row>
    <row r="842" spans="1:41" ht="15" x14ac:dyDescent="0.25">
      <c r="A842" s="1"/>
      <c r="B842" s="1"/>
      <c r="C842" s="1"/>
      <c r="D842" s="1"/>
      <c r="E842" s="6"/>
      <c r="F842" s="1"/>
      <c r="G842" s="6"/>
      <c r="H842" s="6"/>
      <c r="I842" s="6"/>
      <c r="J842" s="6"/>
      <c r="K842" s="6"/>
      <c r="L842" s="6"/>
      <c r="M842" s="6"/>
      <c r="N842" s="6"/>
      <c r="O842" s="7"/>
      <c r="P842" s="6"/>
      <c r="Q842" s="6"/>
      <c r="R842" s="7"/>
      <c r="S842" s="6"/>
      <c r="T842" s="6"/>
      <c r="U842" s="7"/>
      <c r="V842" s="6"/>
      <c r="W842" s="6"/>
      <c r="X842" s="12"/>
      <c r="Y842" s="6"/>
      <c r="Z842" s="6"/>
      <c r="AA842" s="7"/>
      <c r="AB842" s="6"/>
      <c r="AC842" s="6"/>
      <c r="AD842" s="6"/>
      <c r="AE842" s="12"/>
      <c r="AF842" s="12"/>
      <c r="AG842" s="12"/>
      <c r="AH842" s="12"/>
      <c r="AI842" s="6"/>
      <c r="AJ842" s="12"/>
      <c r="AK842" s="1"/>
      <c r="AL842" s="12"/>
      <c r="AM842" s="12"/>
      <c r="AN842" s="1"/>
      <c r="AO842" s="6"/>
    </row>
    <row r="843" spans="1:41" ht="15" x14ac:dyDescent="0.25">
      <c r="A843" s="1"/>
      <c r="B843" s="1"/>
      <c r="C843" s="1"/>
      <c r="D843" s="1"/>
      <c r="E843" s="6"/>
      <c r="F843" s="1"/>
      <c r="G843" s="6"/>
      <c r="H843" s="6"/>
      <c r="I843" s="6"/>
      <c r="J843" s="6"/>
      <c r="K843" s="6"/>
      <c r="L843" s="6"/>
      <c r="M843" s="6"/>
      <c r="N843" s="6"/>
      <c r="O843" s="7"/>
      <c r="P843" s="6"/>
      <c r="Q843" s="6"/>
      <c r="R843" s="7"/>
      <c r="S843" s="6"/>
      <c r="T843" s="6"/>
      <c r="U843" s="7"/>
      <c r="V843" s="6"/>
      <c r="W843" s="6"/>
      <c r="X843" s="6"/>
      <c r="Y843" s="6"/>
      <c r="Z843" s="6"/>
      <c r="AA843" s="7"/>
      <c r="AB843" s="6"/>
      <c r="AC843" s="6"/>
      <c r="AD843" s="6"/>
      <c r="AE843" s="12"/>
      <c r="AF843" s="12"/>
      <c r="AG843" s="12"/>
      <c r="AH843" s="12"/>
      <c r="AI843" s="6"/>
      <c r="AJ843" s="12"/>
      <c r="AK843" s="1"/>
      <c r="AL843" s="12"/>
      <c r="AM843" s="12"/>
      <c r="AN843" s="1"/>
      <c r="AO843" s="6"/>
    </row>
    <row r="844" spans="1:41" ht="15" x14ac:dyDescent="0.25">
      <c r="A844" s="1"/>
      <c r="B844" s="1"/>
      <c r="C844" s="1"/>
      <c r="D844" s="1"/>
      <c r="E844" s="6"/>
      <c r="F844" s="1"/>
      <c r="G844" s="6"/>
      <c r="H844" s="6"/>
      <c r="I844" s="6"/>
      <c r="J844" s="6"/>
      <c r="K844" s="6"/>
      <c r="L844" s="6"/>
      <c r="M844" s="6"/>
      <c r="N844" s="6"/>
      <c r="O844" s="7"/>
      <c r="P844" s="6"/>
      <c r="Q844" s="6"/>
      <c r="R844" s="7"/>
      <c r="S844" s="6"/>
      <c r="T844" s="6"/>
      <c r="U844" s="7"/>
      <c r="V844" s="6"/>
      <c r="W844" s="6"/>
      <c r="X844" s="6"/>
      <c r="Y844" s="6"/>
      <c r="Z844" s="6"/>
      <c r="AA844" s="7"/>
      <c r="AB844" s="6"/>
      <c r="AC844" s="6"/>
      <c r="AD844" s="6"/>
      <c r="AE844" s="12"/>
      <c r="AF844" s="6"/>
      <c r="AG844" s="12"/>
      <c r="AH844" s="6"/>
      <c r="AI844" s="6"/>
      <c r="AJ844" s="12"/>
      <c r="AK844" s="24"/>
      <c r="AL844" s="25"/>
      <c r="AM844" s="12"/>
      <c r="AN844" s="1"/>
      <c r="AO844" s="6"/>
    </row>
    <row r="845" spans="1:41" ht="15" x14ac:dyDescent="0.25">
      <c r="A845" s="1"/>
      <c r="B845" s="1"/>
      <c r="C845" s="1"/>
      <c r="D845" s="1"/>
      <c r="E845" s="6"/>
      <c r="F845" s="1"/>
      <c r="G845" s="6"/>
      <c r="H845" s="6"/>
      <c r="I845" s="6"/>
      <c r="J845" s="6"/>
      <c r="K845" s="12"/>
      <c r="L845" s="12"/>
      <c r="M845" s="6"/>
      <c r="N845" s="6"/>
      <c r="O845" s="7"/>
      <c r="P845" s="6"/>
      <c r="Q845" s="6"/>
      <c r="R845" s="7"/>
      <c r="S845" s="6"/>
      <c r="T845" s="6"/>
      <c r="U845" s="7"/>
      <c r="V845" s="6"/>
      <c r="W845" s="6"/>
      <c r="X845" s="12"/>
      <c r="Y845" s="6"/>
      <c r="Z845" s="6"/>
      <c r="AA845" s="7"/>
      <c r="AB845" s="6"/>
      <c r="AC845" s="6"/>
      <c r="AD845" s="6"/>
      <c r="AE845" s="12"/>
      <c r="AF845" s="12"/>
      <c r="AG845" s="12"/>
      <c r="AH845" s="12"/>
      <c r="AI845" s="6"/>
      <c r="AJ845" s="12"/>
      <c r="AK845" s="1"/>
      <c r="AL845" s="12"/>
      <c r="AM845" s="12"/>
      <c r="AN845" s="1"/>
      <c r="AO845" s="12"/>
    </row>
    <row r="846" spans="1:41" ht="15" x14ac:dyDescent="0.25">
      <c r="A846" s="1"/>
      <c r="B846" s="1"/>
      <c r="C846" s="1"/>
      <c r="D846" s="1"/>
      <c r="E846" s="6"/>
      <c r="F846" s="1"/>
      <c r="G846" s="6"/>
      <c r="H846" s="6"/>
      <c r="I846" s="6"/>
      <c r="J846" s="6"/>
      <c r="K846" s="6"/>
      <c r="L846" s="6"/>
      <c r="M846" s="6"/>
      <c r="N846" s="6"/>
      <c r="O846" s="7"/>
      <c r="P846" s="6"/>
      <c r="Q846" s="6"/>
      <c r="R846" s="7"/>
      <c r="S846" s="6"/>
      <c r="T846" s="6"/>
      <c r="U846" s="7"/>
      <c r="V846" s="6"/>
      <c r="W846" s="6"/>
      <c r="X846" s="6"/>
      <c r="Y846" s="6"/>
      <c r="Z846" s="6"/>
      <c r="AA846" s="7"/>
      <c r="AB846" s="6"/>
      <c r="AC846" s="6"/>
      <c r="AD846" s="6"/>
      <c r="AE846" s="12"/>
      <c r="AF846" s="12"/>
      <c r="AG846" s="12"/>
      <c r="AH846" s="12"/>
      <c r="AI846" s="6"/>
      <c r="AJ846" s="12"/>
      <c r="AK846" s="1"/>
      <c r="AL846" s="12"/>
      <c r="AM846" s="12"/>
      <c r="AN846" s="1"/>
      <c r="AO846" s="6"/>
    </row>
    <row r="847" spans="1:41" ht="15" x14ac:dyDescent="0.25">
      <c r="A847" s="1"/>
      <c r="B847" s="1"/>
      <c r="C847" s="1"/>
      <c r="D847" s="1"/>
      <c r="E847" s="6"/>
      <c r="F847" s="1"/>
      <c r="G847" s="6"/>
      <c r="H847" s="6"/>
      <c r="I847" s="6"/>
      <c r="J847" s="6"/>
      <c r="K847" s="6"/>
      <c r="L847" s="6"/>
      <c r="M847" s="6"/>
      <c r="N847" s="6"/>
      <c r="O847" s="7"/>
      <c r="P847" s="6"/>
      <c r="Q847" s="6"/>
      <c r="R847" s="7"/>
      <c r="S847" s="6"/>
      <c r="T847" s="6"/>
      <c r="U847" s="7"/>
      <c r="V847" s="6"/>
      <c r="W847" s="6"/>
      <c r="X847" s="6"/>
      <c r="Y847" s="6"/>
      <c r="Z847" s="6"/>
      <c r="AA847" s="7"/>
      <c r="AB847" s="6"/>
      <c r="AC847" s="6"/>
      <c r="AD847" s="6"/>
      <c r="AE847" s="12"/>
      <c r="AF847" s="6"/>
      <c r="AG847" s="12"/>
      <c r="AH847" s="6"/>
      <c r="AI847" s="6"/>
      <c r="AJ847" s="12"/>
      <c r="AK847" s="1"/>
      <c r="AL847" s="12"/>
      <c r="AM847" s="12"/>
      <c r="AN847" s="1"/>
      <c r="AO847" s="6"/>
    </row>
    <row r="848" spans="1:41" ht="15" x14ac:dyDescent="0.25">
      <c r="A848" s="1"/>
      <c r="B848" s="1"/>
      <c r="C848" s="1"/>
      <c r="D848" s="1"/>
      <c r="E848" s="6"/>
      <c r="F848" s="1"/>
      <c r="G848" s="6"/>
      <c r="H848" s="6"/>
      <c r="I848" s="6"/>
      <c r="J848" s="6"/>
      <c r="K848" s="6"/>
      <c r="L848" s="6"/>
      <c r="M848" s="6"/>
      <c r="N848" s="6"/>
      <c r="O848" s="7"/>
      <c r="P848" s="6"/>
      <c r="Q848" s="6"/>
      <c r="R848" s="7"/>
      <c r="S848" s="6"/>
      <c r="T848" s="6"/>
      <c r="U848" s="7"/>
      <c r="V848" s="6"/>
      <c r="W848" s="6"/>
      <c r="X848" s="6"/>
      <c r="Y848" s="6"/>
      <c r="Z848" s="6"/>
      <c r="AA848" s="7"/>
      <c r="AB848" s="6"/>
      <c r="AC848" s="6"/>
      <c r="AD848" s="6"/>
      <c r="AE848" s="12"/>
      <c r="AF848" s="6"/>
      <c r="AG848" s="12"/>
      <c r="AH848" s="6"/>
      <c r="AI848" s="6"/>
      <c r="AJ848" s="12"/>
      <c r="AK848" s="24"/>
      <c r="AL848" s="25"/>
      <c r="AM848" s="12"/>
      <c r="AN848" s="1"/>
      <c r="AO848" s="6"/>
    </row>
    <row r="849" spans="1:41" ht="15" x14ac:dyDescent="0.25">
      <c r="A849" s="1"/>
      <c r="B849" s="1"/>
      <c r="C849" s="1"/>
      <c r="D849" s="1"/>
      <c r="E849" s="6"/>
      <c r="F849" s="1"/>
      <c r="G849" s="6"/>
      <c r="H849" s="6"/>
      <c r="I849" s="6"/>
      <c r="J849" s="6"/>
      <c r="K849" s="12"/>
      <c r="L849" s="6"/>
      <c r="M849" s="6"/>
      <c r="N849" s="6"/>
      <c r="O849" s="7"/>
      <c r="P849" s="6"/>
      <c r="Q849" s="6"/>
      <c r="R849" s="7"/>
      <c r="S849" s="6"/>
      <c r="T849" s="6"/>
      <c r="U849" s="7"/>
      <c r="V849" s="6"/>
      <c r="W849" s="6"/>
      <c r="X849" s="12"/>
      <c r="Y849" s="6"/>
      <c r="Z849" s="6"/>
      <c r="AA849" s="7"/>
      <c r="AB849" s="6"/>
      <c r="AC849" s="6"/>
      <c r="AD849" s="6"/>
      <c r="AE849" s="12"/>
      <c r="AF849" s="6"/>
      <c r="AG849" s="12"/>
      <c r="AH849" s="6"/>
      <c r="AI849" s="6"/>
      <c r="AJ849" s="12"/>
      <c r="AK849" s="1"/>
      <c r="AL849" s="12"/>
      <c r="AM849" s="12"/>
      <c r="AN849" s="1"/>
      <c r="AO849" s="6"/>
    </row>
    <row r="850" spans="1:41" ht="15" x14ac:dyDescent="0.25">
      <c r="A850" s="1"/>
      <c r="B850" s="1"/>
      <c r="C850" s="1"/>
      <c r="D850" s="1"/>
      <c r="E850" s="6"/>
      <c r="F850" s="1"/>
      <c r="G850" s="6"/>
      <c r="H850" s="6"/>
      <c r="I850" s="6"/>
      <c r="J850" s="6"/>
      <c r="K850" s="6"/>
      <c r="L850" s="6"/>
      <c r="M850" s="6"/>
      <c r="N850" s="6"/>
      <c r="O850" s="7"/>
      <c r="P850" s="6"/>
      <c r="Q850" s="6"/>
      <c r="R850" s="7"/>
      <c r="S850" s="6"/>
      <c r="T850" s="6"/>
      <c r="U850" s="7"/>
      <c r="V850" s="6"/>
      <c r="W850" s="6"/>
      <c r="X850" s="12"/>
      <c r="Y850" s="6"/>
      <c r="Z850" s="6"/>
      <c r="AA850" s="7"/>
      <c r="AB850" s="6"/>
      <c r="AC850" s="6"/>
      <c r="AD850" s="6"/>
      <c r="AE850" s="12"/>
      <c r="AF850" s="6"/>
      <c r="AG850" s="12"/>
      <c r="AH850" s="6"/>
      <c r="AI850" s="6"/>
      <c r="AJ850" s="12"/>
      <c r="AK850" s="24"/>
      <c r="AL850" s="25"/>
      <c r="AM850" s="12"/>
      <c r="AN850" s="1"/>
      <c r="AO850" s="6"/>
    </row>
    <row r="851" spans="1:41" ht="15" x14ac:dyDescent="0.25">
      <c r="A851" s="1"/>
      <c r="B851" s="1"/>
      <c r="C851" s="1"/>
      <c r="D851" s="1"/>
      <c r="E851" s="6"/>
      <c r="F851" s="1"/>
      <c r="G851" s="6"/>
      <c r="H851" s="6"/>
      <c r="I851" s="6"/>
      <c r="J851" s="6"/>
      <c r="K851" s="6"/>
      <c r="L851" s="6"/>
      <c r="M851" s="6"/>
      <c r="N851" s="6"/>
      <c r="O851" s="7"/>
      <c r="P851" s="6"/>
      <c r="Q851" s="6"/>
      <c r="R851" s="7"/>
      <c r="S851" s="6"/>
      <c r="T851" s="6"/>
      <c r="U851" s="7"/>
      <c r="V851" s="6"/>
      <c r="W851" s="6"/>
      <c r="X851" s="6"/>
      <c r="Y851" s="6"/>
      <c r="Z851" s="6"/>
      <c r="AA851" s="7"/>
      <c r="AB851" s="6"/>
      <c r="AC851" s="6"/>
      <c r="AD851" s="6"/>
      <c r="AE851" s="12"/>
      <c r="AF851" s="12"/>
      <c r="AG851" s="12"/>
      <c r="AH851" s="12"/>
      <c r="AI851" s="6"/>
      <c r="AJ851" s="12"/>
      <c r="AK851" s="1"/>
      <c r="AL851" s="12"/>
      <c r="AM851" s="12"/>
      <c r="AN851" s="1"/>
      <c r="AO851" s="6"/>
    </row>
    <row r="852" spans="1:41" ht="15" x14ac:dyDescent="0.25">
      <c r="A852" s="1"/>
      <c r="B852" s="1"/>
      <c r="C852" s="1"/>
      <c r="D852" s="1"/>
      <c r="E852" s="6"/>
      <c r="F852" s="1"/>
      <c r="G852" s="6"/>
      <c r="H852" s="6"/>
      <c r="I852" s="6"/>
      <c r="J852" s="6"/>
      <c r="K852" s="6"/>
      <c r="L852" s="6"/>
      <c r="M852" s="6"/>
      <c r="N852" s="6"/>
      <c r="O852" s="7"/>
      <c r="P852" s="6"/>
      <c r="Q852" s="6"/>
      <c r="R852" s="15"/>
      <c r="S852" s="6"/>
      <c r="T852" s="6"/>
      <c r="U852" s="7"/>
      <c r="V852" s="6"/>
      <c r="W852" s="6"/>
      <c r="X852" s="6"/>
      <c r="Y852" s="6"/>
      <c r="Z852" s="6"/>
      <c r="AA852" s="7"/>
      <c r="AB852" s="6"/>
      <c r="AC852" s="6"/>
      <c r="AD852" s="6"/>
      <c r="AE852" s="12"/>
      <c r="AF852" s="12"/>
      <c r="AG852" s="12"/>
      <c r="AH852" s="12"/>
      <c r="AI852" s="6"/>
      <c r="AJ852" s="12"/>
      <c r="AK852" s="1"/>
      <c r="AL852" s="12"/>
      <c r="AM852" s="12"/>
      <c r="AN852" s="1"/>
      <c r="AO852" s="6"/>
    </row>
    <row r="853" spans="1:41" ht="15" x14ac:dyDescent="0.25">
      <c r="A853" s="1"/>
      <c r="B853" s="1"/>
      <c r="C853" s="1"/>
      <c r="D853" s="1"/>
      <c r="E853" s="6"/>
      <c r="F853" s="1"/>
      <c r="G853" s="6"/>
      <c r="H853" s="6"/>
      <c r="I853" s="6"/>
      <c r="J853" s="6"/>
      <c r="K853" s="6"/>
      <c r="L853" s="6"/>
      <c r="M853" s="6"/>
      <c r="N853" s="6"/>
      <c r="O853" s="7"/>
      <c r="P853" s="6"/>
      <c r="Q853" s="6"/>
      <c r="R853" s="7"/>
      <c r="S853" s="6"/>
      <c r="T853" s="6"/>
      <c r="U853" s="7"/>
      <c r="V853" s="6"/>
      <c r="W853" s="6"/>
      <c r="X853" s="6"/>
      <c r="Y853" s="6"/>
      <c r="Z853" s="6"/>
      <c r="AA853" s="7"/>
      <c r="AB853" s="6"/>
      <c r="AC853" s="6"/>
      <c r="AD853" s="6"/>
      <c r="AE853" s="12"/>
      <c r="AF853" s="12"/>
      <c r="AG853" s="12"/>
      <c r="AH853" s="12"/>
      <c r="AI853" s="6"/>
      <c r="AJ853" s="12"/>
      <c r="AK853" s="1"/>
      <c r="AL853" s="12"/>
      <c r="AM853" s="12"/>
      <c r="AN853" s="1"/>
      <c r="AO853" s="6"/>
    </row>
    <row r="854" spans="1:41" ht="15" x14ac:dyDescent="0.25">
      <c r="A854" s="1"/>
      <c r="B854" s="1"/>
      <c r="C854" s="1"/>
      <c r="D854" s="1"/>
      <c r="E854" s="6"/>
      <c r="F854" s="1"/>
      <c r="G854" s="6"/>
      <c r="H854" s="6"/>
      <c r="I854" s="6"/>
      <c r="J854" s="6"/>
      <c r="K854" s="12"/>
      <c r="L854" s="12"/>
      <c r="M854" s="6"/>
      <c r="N854" s="6"/>
      <c r="O854" s="7"/>
      <c r="P854" s="12"/>
      <c r="Q854" s="6"/>
      <c r="R854" s="7"/>
      <c r="S854" s="6"/>
      <c r="T854" s="6"/>
      <c r="U854" s="7"/>
      <c r="V854" s="6"/>
      <c r="W854" s="6"/>
      <c r="X854" s="6"/>
      <c r="Y854" s="6"/>
      <c r="Z854" s="6"/>
      <c r="AA854" s="7"/>
      <c r="AB854" s="6"/>
      <c r="AC854" s="6"/>
      <c r="AD854" s="6"/>
      <c r="AE854" s="12"/>
      <c r="AF854" s="12"/>
      <c r="AG854" s="12"/>
      <c r="AH854" s="12"/>
      <c r="AI854" s="6"/>
      <c r="AJ854" s="12"/>
      <c r="AK854" s="1"/>
      <c r="AL854" s="12"/>
      <c r="AM854" s="12"/>
      <c r="AN854" s="1"/>
      <c r="AO854" s="6"/>
    </row>
    <row r="855" spans="1:41" ht="15" x14ac:dyDescent="0.25">
      <c r="A855" s="1"/>
      <c r="B855" s="1"/>
      <c r="C855" s="1"/>
      <c r="D855" s="1"/>
      <c r="E855" s="6"/>
      <c r="F855" s="1"/>
      <c r="G855" s="6"/>
      <c r="H855" s="6"/>
      <c r="I855" s="6"/>
      <c r="J855" s="6"/>
      <c r="K855" s="6"/>
      <c r="L855" s="6"/>
      <c r="M855" s="6"/>
      <c r="N855" s="6"/>
      <c r="O855" s="7"/>
      <c r="P855" s="6"/>
      <c r="Q855" s="6"/>
      <c r="R855" s="7"/>
      <c r="S855" s="6"/>
      <c r="T855" s="6"/>
      <c r="U855" s="7"/>
      <c r="V855" s="6"/>
      <c r="W855" s="6"/>
      <c r="X855" s="12"/>
      <c r="Y855" s="6"/>
      <c r="Z855" s="6"/>
      <c r="AA855" s="7"/>
      <c r="AB855" s="6"/>
      <c r="AC855" s="6"/>
      <c r="AD855" s="6"/>
      <c r="AE855" s="12"/>
      <c r="AF855" s="12"/>
      <c r="AG855" s="12"/>
      <c r="AH855" s="12"/>
      <c r="AI855" s="6"/>
      <c r="AJ855" s="12"/>
      <c r="AK855" s="24"/>
      <c r="AL855" s="25"/>
      <c r="AM855" s="12"/>
      <c r="AN855" s="1"/>
      <c r="AO855" s="6"/>
    </row>
    <row r="856" spans="1:41" ht="15" x14ac:dyDescent="0.25">
      <c r="A856" s="1"/>
      <c r="B856" s="1"/>
      <c r="C856" s="1"/>
      <c r="D856" s="1"/>
      <c r="E856" s="6"/>
      <c r="F856" s="1"/>
      <c r="G856" s="6"/>
      <c r="H856" s="6"/>
      <c r="I856" s="6"/>
      <c r="J856" s="6"/>
      <c r="K856" s="6"/>
      <c r="L856" s="6"/>
      <c r="M856" s="6"/>
      <c r="N856" s="6"/>
      <c r="O856" s="7"/>
      <c r="P856" s="6"/>
      <c r="Q856" s="6"/>
      <c r="R856" s="7"/>
      <c r="S856" s="6"/>
      <c r="T856" s="6"/>
      <c r="U856" s="7"/>
      <c r="V856" s="6"/>
      <c r="W856" s="6"/>
      <c r="X856" s="6"/>
      <c r="Y856" s="6"/>
      <c r="Z856" s="6"/>
      <c r="AA856" s="7"/>
      <c r="AB856" s="6"/>
      <c r="AC856" s="6"/>
      <c r="AD856" s="6"/>
      <c r="AE856" s="12"/>
      <c r="AF856" s="6"/>
      <c r="AG856" s="12"/>
      <c r="AH856" s="6"/>
      <c r="AI856" s="6"/>
      <c r="AJ856" s="12"/>
      <c r="AK856" s="1"/>
      <c r="AL856" s="12"/>
      <c r="AM856" s="12"/>
      <c r="AN856" s="1"/>
      <c r="AO856" s="6"/>
    </row>
    <row r="857" spans="1:41" ht="15" x14ac:dyDescent="0.25">
      <c r="A857" s="1"/>
      <c r="B857" s="1"/>
      <c r="C857" s="1"/>
      <c r="D857" s="1"/>
      <c r="E857" s="6"/>
      <c r="F857" s="1"/>
      <c r="G857" s="6"/>
      <c r="H857" s="6"/>
      <c r="I857" s="6"/>
      <c r="J857" s="6"/>
      <c r="K857" s="6"/>
      <c r="L857" s="6"/>
      <c r="M857" s="6"/>
      <c r="N857" s="6"/>
      <c r="O857" s="7"/>
      <c r="P857" s="6"/>
      <c r="Q857" s="6"/>
      <c r="R857" s="7"/>
      <c r="S857" s="6"/>
      <c r="T857" s="6"/>
      <c r="U857" s="7"/>
      <c r="V857" s="6"/>
      <c r="W857" s="6"/>
      <c r="X857" s="6"/>
      <c r="Y857" s="6"/>
      <c r="Z857" s="6"/>
      <c r="AA857" s="7"/>
      <c r="AB857" s="6"/>
      <c r="AC857" s="6"/>
      <c r="AD857" s="6"/>
      <c r="AE857" s="12"/>
      <c r="AF857" s="6"/>
      <c r="AG857" s="12"/>
      <c r="AH857" s="6"/>
      <c r="AI857" s="6"/>
      <c r="AJ857" s="12"/>
      <c r="AK857" s="24"/>
      <c r="AL857" s="25"/>
      <c r="AM857" s="12"/>
      <c r="AN857" s="1"/>
      <c r="AO857" s="6"/>
    </row>
    <row r="858" spans="1:41" ht="15" x14ac:dyDescent="0.25">
      <c r="A858" s="1"/>
      <c r="B858" s="1"/>
      <c r="C858" s="1"/>
      <c r="D858" s="1"/>
      <c r="E858" s="6"/>
      <c r="F858" s="1"/>
      <c r="G858" s="6"/>
      <c r="H858" s="6"/>
      <c r="I858" s="6"/>
      <c r="J858" s="6"/>
      <c r="K858" s="6"/>
      <c r="L858" s="6"/>
      <c r="M858" s="6"/>
      <c r="N858" s="6"/>
      <c r="O858" s="7"/>
      <c r="P858" s="6"/>
      <c r="Q858" s="6"/>
      <c r="R858" s="7"/>
      <c r="S858" s="6"/>
      <c r="T858" s="6"/>
      <c r="U858" s="7"/>
      <c r="V858" s="6"/>
      <c r="W858" s="6"/>
      <c r="X858" s="12"/>
      <c r="Y858" s="6"/>
      <c r="Z858" s="6"/>
      <c r="AA858" s="7"/>
      <c r="AB858" s="6"/>
      <c r="AC858" s="6"/>
      <c r="AD858" s="6"/>
      <c r="AE858" s="12"/>
      <c r="AF858" s="12"/>
      <c r="AG858" s="12"/>
      <c r="AH858" s="12"/>
      <c r="AI858" s="6"/>
      <c r="AJ858" s="12"/>
      <c r="AK858" s="24"/>
      <c r="AL858" s="25"/>
      <c r="AM858" s="12"/>
      <c r="AN858" s="1"/>
      <c r="AO858" s="6"/>
    </row>
    <row r="859" spans="1:41" ht="15" x14ac:dyDescent="0.25">
      <c r="A859" s="1"/>
      <c r="B859" s="1"/>
      <c r="C859" s="1"/>
      <c r="D859" s="1"/>
      <c r="E859" s="6"/>
      <c r="F859" s="1"/>
      <c r="G859" s="6"/>
      <c r="H859" s="6"/>
      <c r="I859" s="6"/>
      <c r="J859" s="6"/>
      <c r="K859" s="6"/>
      <c r="L859" s="6"/>
      <c r="M859" s="6"/>
      <c r="N859" s="6"/>
      <c r="O859" s="7"/>
      <c r="P859" s="6"/>
      <c r="Q859" s="6"/>
      <c r="R859" s="7"/>
      <c r="S859" s="6"/>
      <c r="T859" s="6"/>
      <c r="U859" s="7"/>
      <c r="V859" s="6"/>
      <c r="W859" s="6"/>
      <c r="X859" s="6"/>
      <c r="Y859" s="6"/>
      <c r="Z859" s="6"/>
      <c r="AA859" s="7"/>
      <c r="AB859" s="6"/>
      <c r="AC859" s="6"/>
      <c r="AD859" s="6"/>
      <c r="AE859" s="12"/>
      <c r="AF859" s="6"/>
      <c r="AG859" s="12"/>
      <c r="AH859" s="6"/>
      <c r="AI859" s="6"/>
      <c r="AJ859" s="12"/>
      <c r="AK859" s="24"/>
      <c r="AL859" s="25"/>
      <c r="AM859" s="12"/>
      <c r="AN859" s="1"/>
      <c r="AO859" s="6"/>
    </row>
    <row r="860" spans="1:41" ht="15" x14ac:dyDescent="0.25">
      <c r="A860" s="1"/>
      <c r="B860" s="1"/>
      <c r="C860" s="1"/>
      <c r="D860" s="1"/>
      <c r="E860" s="6"/>
      <c r="F860" s="1"/>
      <c r="G860" s="6"/>
      <c r="H860" s="6"/>
      <c r="I860" s="6"/>
      <c r="J860" s="6"/>
      <c r="K860" s="6"/>
      <c r="L860" s="6"/>
      <c r="M860" s="6"/>
      <c r="N860" s="6"/>
      <c r="O860" s="7"/>
      <c r="P860" s="6"/>
      <c r="Q860" s="7"/>
      <c r="R860" s="6"/>
      <c r="S860" s="12"/>
      <c r="T860" s="6"/>
      <c r="U860" s="6"/>
      <c r="V860" s="7"/>
      <c r="W860" s="7"/>
      <c r="X860" s="6"/>
      <c r="Y860" s="6"/>
      <c r="Z860" s="6"/>
      <c r="AA860" s="1"/>
      <c r="AB860" s="12"/>
      <c r="AC860" s="12"/>
      <c r="AD860" s="12"/>
      <c r="AE860" s="12"/>
      <c r="AF860" s="12"/>
      <c r="AG860" s="12"/>
      <c r="AH860" s="12"/>
      <c r="AI860" s="6"/>
      <c r="AJ860" s="12"/>
      <c r="AK860" s="12"/>
      <c r="AL860" s="12"/>
      <c r="AM860" s="12"/>
      <c r="AN860" s="1"/>
      <c r="AO860" s="6"/>
    </row>
    <row r="861" spans="1:41" ht="15" x14ac:dyDescent="0.25">
      <c r="A861" s="1"/>
      <c r="B861" s="1"/>
      <c r="C861" s="1"/>
      <c r="D861" s="1"/>
      <c r="E861" s="6"/>
      <c r="F861" s="1"/>
      <c r="G861" s="6"/>
      <c r="H861" s="6"/>
      <c r="I861" s="6"/>
      <c r="J861" s="6"/>
      <c r="K861" s="6"/>
      <c r="L861" s="6"/>
      <c r="M861" s="6"/>
      <c r="N861" s="6"/>
      <c r="O861" s="7"/>
      <c r="P861" s="6"/>
      <c r="Q861" s="7"/>
      <c r="R861" s="6"/>
      <c r="S861" s="6"/>
      <c r="T861" s="6"/>
      <c r="U861" s="6"/>
      <c r="V861" s="7"/>
      <c r="W861" s="6"/>
      <c r="X861" s="6"/>
      <c r="Y861" s="6"/>
      <c r="Z861" s="6"/>
      <c r="AA861" s="24"/>
      <c r="AB861" s="25"/>
      <c r="AC861" s="12"/>
      <c r="AD861" s="12"/>
      <c r="AE861" s="12"/>
      <c r="AF861" s="6"/>
      <c r="AG861" s="12"/>
      <c r="AH861" s="6"/>
      <c r="AI861" s="6"/>
      <c r="AJ861" s="12"/>
      <c r="AK861" s="12"/>
      <c r="AL861" s="12"/>
      <c r="AM861" s="12"/>
      <c r="AN861" s="1"/>
      <c r="AO861" s="6"/>
    </row>
    <row r="862" spans="1:41" ht="15" x14ac:dyDescent="0.25">
      <c r="A862" s="1"/>
      <c r="B862" s="1"/>
      <c r="C862" s="1"/>
      <c r="D862" s="1"/>
      <c r="E862" s="6"/>
      <c r="F862" s="1"/>
      <c r="G862" s="6"/>
      <c r="H862" s="6"/>
      <c r="I862" s="6"/>
      <c r="J862" s="6"/>
      <c r="K862" s="6"/>
      <c r="L862" s="6"/>
      <c r="M862" s="6"/>
      <c r="N862" s="6"/>
      <c r="O862" s="7"/>
      <c r="P862" s="6"/>
      <c r="Q862" s="6"/>
      <c r="R862" s="7"/>
      <c r="S862" s="6"/>
      <c r="T862" s="6"/>
      <c r="U862" s="7"/>
      <c r="V862" s="6"/>
      <c r="W862" s="6"/>
      <c r="X862" s="12"/>
      <c r="Y862" s="6"/>
      <c r="Z862" s="6"/>
      <c r="AA862" s="7"/>
      <c r="AB862" s="6"/>
      <c r="AC862" s="6"/>
      <c r="AD862" s="6"/>
      <c r="AE862" s="12"/>
      <c r="AF862" s="6"/>
      <c r="AG862" s="12"/>
      <c r="AH862" s="6"/>
      <c r="AI862" s="6"/>
      <c r="AJ862" s="12"/>
      <c r="AK862" s="1"/>
      <c r="AL862" s="12"/>
      <c r="AM862" s="12"/>
      <c r="AN862" s="1"/>
      <c r="AO862" s="6"/>
    </row>
    <row r="863" spans="1:41" ht="15" x14ac:dyDescent="0.25">
      <c r="A863" s="1"/>
      <c r="B863" s="1"/>
      <c r="C863" s="1"/>
      <c r="D863" s="1"/>
      <c r="E863" s="6"/>
      <c r="F863" s="1"/>
      <c r="G863" s="6"/>
      <c r="H863" s="6"/>
      <c r="I863" s="6"/>
      <c r="J863" s="6"/>
      <c r="K863" s="6"/>
      <c r="L863" s="6"/>
      <c r="M863" s="6"/>
      <c r="N863" s="6"/>
      <c r="O863" s="7"/>
      <c r="P863" s="12"/>
      <c r="Q863" s="6"/>
      <c r="R863" s="7"/>
      <c r="S863" s="6"/>
      <c r="T863" s="6"/>
      <c r="U863" s="7"/>
      <c r="V863" s="6"/>
      <c r="W863" s="6"/>
      <c r="X863" s="12"/>
      <c r="Y863" s="6"/>
      <c r="Z863" s="6"/>
      <c r="AA863" s="7"/>
      <c r="AB863" s="6"/>
      <c r="AC863" s="6"/>
      <c r="AD863" s="6"/>
      <c r="AE863" s="12"/>
      <c r="AF863" s="12"/>
      <c r="AG863" s="12"/>
      <c r="AH863" s="12"/>
      <c r="AI863" s="6"/>
      <c r="AJ863" s="12"/>
      <c r="AK863" s="1"/>
      <c r="AL863" s="12"/>
      <c r="AM863" s="12"/>
      <c r="AN863" s="1"/>
      <c r="AO863" s="6"/>
    </row>
    <row r="864" spans="1:41" ht="15" x14ac:dyDescent="0.25">
      <c r="A864" s="1"/>
      <c r="B864" s="1"/>
      <c r="C864" s="1"/>
      <c r="D864" s="1"/>
      <c r="E864" s="6"/>
      <c r="F864" s="1"/>
      <c r="G864" s="6"/>
      <c r="H864" s="6"/>
      <c r="I864" s="6"/>
      <c r="J864" s="6"/>
      <c r="K864" s="6"/>
      <c r="L864" s="6"/>
      <c r="M864" s="6"/>
      <c r="N864" s="6"/>
      <c r="O864" s="7"/>
      <c r="P864" s="6"/>
      <c r="Q864" s="7"/>
      <c r="R864" s="6"/>
      <c r="S864" s="6"/>
      <c r="T864" s="6"/>
      <c r="U864" s="6"/>
      <c r="V864" s="7"/>
      <c r="W864" s="7"/>
      <c r="X864" s="6"/>
      <c r="Y864" s="6"/>
      <c r="Z864" s="6"/>
      <c r="AA864" s="1"/>
      <c r="AB864" s="12"/>
      <c r="AC864" s="12"/>
      <c r="AD864" s="12"/>
      <c r="AE864" s="12"/>
      <c r="AF864" s="12"/>
      <c r="AG864" s="12"/>
      <c r="AH864" s="12"/>
      <c r="AI864" s="6"/>
      <c r="AJ864" s="12"/>
      <c r="AK864" s="12"/>
      <c r="AL864" s="12"/>
      <c r="AM864" s="12"/>
      <c r="AN864" s="1"/>
      <c r="AO864" s="6"/>
    </row>
    <row r="865" spans="1:41" ht="15" x14ac:dyDescent="0.25">
      <c r="A865" s="1"/>
      <c r="B865" s="1"/>
      <c r="C865" s="1"/>
      <c r="D865" s="1"/>
      <c r="E865" s="6"/>
      <c r="F865" s="1"/>
      <c r="G865" s="6"/>
      <c r="H865" s="6"/>
      <c r="I865" s="6"/>
      <c r="J865" s="6"/>
      <c r="K865" s="6"/>
      <c r="L865" s="6"/>
      <c r="M865" s="6"/>
      <c r="N865" s="6"/>
      <c r="O865" s="7"/>
      <c r="P865" s="6"/>
      <c r="Q865" s="6"/>
      <c r="R865" s="7"/>
      <c r="S865" s="6"/>
      <c r="T865" s="6"/>
      <c r="U865" s="7"/>
      <c r="V865" s="6"/>
      <c r="W865" s="6"/>
      <c r="X865" s="6"/>
      <c r="Y865" s="6"/>
      <c r="Z865" s="6"/>
      <c r="AA865" s="7"/>
      <c r="AB865" s="6"/>
      <c r="AC865" s="6"/>
      <c r="AD865" s="6"/>
      <c r="AE865" s="12"/>
      <c r="AF865" s="12"/>
      <c r="AG865" s="12"/>
      <c r="AH865" s="12"/>
      <c r="AI865" s="6"/>
      <c r="AJ865" s="12"/>
      <c r="AK865" s="1"/>
      <c r="AL865" s="12"/>
      <c r="AM865" s="12"/>
      <c r="AN865" s="1"/>
      <c r="AO865" s="6"/>
    </row>
    <row r="866" spans="1:41" ht="15" x14ac:dyDescent="0.25">
      <c r="A866" s="1"/>
      <c r="B866" s="1"/>
      <c r="C866" s="1"/>
      <c r="D866" s="1"/>
      <c r="E866" s="6"/>
      <c r="F866" s="1"/>
      <c r="G866" s="6"/>
      <c r="H866" s="6"/>
      <c r="I866" s="6"/>
      <c r="J866" s="6"/>
      <c r="K866" s="6"/>
      <c r="L866" s="6"/>
      <c r="M866" s="6"/>
      <c r="N866" s="6"/>
      <c r="O866" s="7"/>
      <c r="P866" s="12"/>
      <c r="Q866" s="6"/>
      <c r="R866" s="7"/>
      <c r="S866" s="6"/>
      <c r="T866" s="6"/>
      <c r="U866" s="7"/>
      <c r="V866" s="6"/>
      <c r="W866" s="6"/>
      <c r="X866" s="6"/>
      <c r="Y866" s="6"/>
      <c r="Z866" s="6"/>
      <c r="AA866" s="15"/>
      <c r="AB866" s="6"/>
      <c r="AC866" s="6"/>
      <c r="AD866" s="6"/>
      <c r="AE866" s="12"/>
      <c r="AF866" s="6"/>
      <c r="AG866" s="12"/>
      <c r="AH866" s="6"/>
      <c r="AI866" s="6"/>
      <c r="AJ866" s="12"/>
      <c r="AK866" s="1"/>
      <c r="AL866" s="12"/>
      <c r="AM866" s="12"/>
      <c r="AN866" s="1"/>
      <c r="AO866" s="6"/>
    </row>
    <row r="867" spans="1:41" ht="15" x14ac:dyDescent="0.25">
      <c r="A867" s="1"/>
      <c r="B867" s="1"/>
      <c r="C867" s="1"/>
      <c r="D867" s="1"/>
      <c r="E867" s="6"/>
      <c r="F867" s="1"/>
      <c r="G867" s="6"/>
      <c r="H867" s="6"/>
      <c r="I867" s="6"/>
      <c r="J867" s="6"/>
      <c r="K867" s="6"/>
      <c r="L867" s="6"/>
      <c r="M867" s="6"/>
      <c r="N867" s="6"/>
      <c r="O867" s="7"/>
      <c r="P867" s="6"/>
      <c r="Q867" s="6"/>
      <c r="R867" s="7"/>
      <c r="S867" s="6"/>
      <c r="T867" s="6"/>
      <c r="U867" s="7"/>
      <c r="V867" s="6"/>
      <c r="W867" s="6"/>
      <c r="X867" s="12"/>
      <c r="Y867" s="6"/>
      <c r="Z867" s="6"/>
      <c r="AA867" s="7"/>
      <c r="AB867" s="6"/>
      <c r="AC867" s="6"/>
      <c r="AD867" s="6"/>
      <c r="AE867" s="12"/>
      <c r="AF867" s="12"/>
      <c r="AG867" s="12"/>
      <c r="AH867" s="12"/>
      <c r="AI867" s="6"/>
      <c r="AJ867" s="12"/>
      <c r="AK867" s="1"/>
      <c r="AL867" s="12"/>
      <c r="AM867" s="12"/>
      <c r="AN867" s="1"/>
      <c r="AO867" s="6"/>
    </row>
    <row r="868" spans="1:41" ht="15" x14ac:dyDescent="0.25">
      <c r="A868" s="1"/>
      <c r="B868" s="1"/>
      <c r="C868" s="1"/>
      <c r="D868" s="1"/>
      <c r="E868" s="6"/>
      <c r="F868" s="1"/>
      <c r="G868" s="6"/>
      <c r="H868" s="6"/>
      <c r="I868" s="6"/>
      <c r="J868" s="6"/>
      <c r="K868" s="6"/>
      <c r="L868" s="6"/>
      <c r="M868" s="6"/>
      <c r="N868" s="6"/>
      <c r="O868" s="7"/>
      <c r="P868" s="6"/>
      <c r="Q868" s="6"/>
      <c r="R868" s="7"/>
      <c r="S868" s="6"/>
      <c r="T868" s="6"/>
      <c r="U868" s="7"/>
      <c r="V868" s="6"/>
      <c r="W868" s="6"/>
      <c r="X868" s="6"/>
      <c r="Y868" s="6"/>
      <c r="Z868" s="6"/>
      <c r="AA868" s="7"/>
      <c r="AB868" s="6"/>
      <c r="AC868" s="6"/>
      <c r="AD868" s="6"/>
      <c r="AE868" s="12"/>
      <c r="AF868" s="6"/>
      <c r="AG868" s="12"/>
      <c r="AH868" s="6"/>
      <c r="AI868" s="6"/>
      <c r="AJ868" s="12"/>
      <c r="AK868" s="24"/>
      <c r="AL868" s="25"/>
      <c r="AM868" s="12"/>
      <c r="AN868" s="1"/>
      <c r="AO868" s="6"/>
    </row>
    <row r="869" spans="1:41" ht="15" x14ac:dyDescent="0.25">
      <c r="A869" s="1"/>
      <c r="B869" s="1"/>
      <c r="C869" s="1"/>
      <c r="D869" s="1"/>
      <c r="E869" s="6"/>
      <c r="F869" s="1"/>
      <c r="G869" s="6"/>
      <c r="H869" s="6"/>
      <c r="I869" s="6"/>
      <c r="J869" s="6"/>
      <c r="K869" s="12"/>
      <c r="L869" s="12"/>
      <c r="M869" s="6"/>
      <c r="N869" s="6"/>
      <c r="O869" s="7"/>
      <c r="P869" s="6"/>
      <c r="Q869" s="6"/>
      <c r="R869" s="7"/>
      <c r="S869" s="6"/>
      <c r="T869" s="6"/>
      <c r="U869" s="7"/>
      <c r="V869" s="6"/>
      <c r="W869" s="6"/>
      <c r="X869" s="12"/>
      <c r="Y869" s="6"/>
      <c r="Z869" s="6"/>
      <c r="AA869" s="7"/>
      <c r="AB869" s="6"/>
      <c r="AC869" s="6"/>
      <c r="AD869" s="6"/>
      <c r="AE869" s="12"/>
      <c r="AF869" s="12"/>
      <c r="AG869" s="12"/>
      <c r="AH869" s="12"/>
      <c r="AI869" s="6"/>
      <c r="AJ869" s="12"/>
      <c r="AK869" s="1"/>
      <c r="AL869" s="12"/>
      <c r="AM869" s="12"/>
      <c r="AN869" s="1"/>
      <c r="AO869" s="6"/>
    </row>
    <row r="870" spans="1:41" ht="15" x14ac:dyDescent="0.25">
      <c r="A870" s="1"/>
      <c r="B870" s="1"/>
      <c r="C870" s="1"/>
      <c r="D870" s="1"/>
      <c r="E870" s="6"/>
      <c r="F870" s="1"/>
      <c r="G870" s="6"/>
      <c r="H870" s="6"/>
      <c r="I870" s="6"/>
      <c r="J870" s="6"/>
      <c r="K870" s="6"/>
      <c r="L870" s="6"/>
      <c r="M870" s="6"/>
      <c r="N870" s="6"/>
      <c r="O870" s="7"/>
      <c r="P870" s="12"/>
      <c r="Q870" s="6"/>
      <c r="R870" s="7"/>
      <c r="S870" s="6"/>
      <c r="T870" s="6"/>
      <c r="U870" s="7"/>
      <c r="V870" s="6"/>
      <c r="W870" s="6"/>
      <c r="X870" s="6"/>
      <c r="Y870" s="6"/>
      <c r="Z870" s="6"/>
      <c r="AA870" s="7"/>
      <c r="AB870" s="6"/>
      <c r="AC870" s="6"/>
      <c r="AD870" s="6"/>
      <c r="AE870" s="12"/>
      <c r="AF870" s="12"/>
      <c r="AG870" s="12"/>
      <c r="AH870" s="12"/>
      <c r="AI870" s="6"/>
      <c r="AJ870" s="12"/>
      <c r="AK870" s="1"/>
      <c r="AL870" s="12"/>
      <c r="AM870" s="12"/>
      <c r="AN870" s="1"/>
      <c r="AO870" s="6"/>
    </row>
    <row r="871" spans="1:41" ht="15" x14ac:dyDescent="0.25">
      <c r="A871" s="1"/>
      <c r="B871" s="1"/>
      <c r="C871" s="1"/>
      <c r="D871" s="1"/>
      <c r="E871" s="6"/>
      <c r="F871" s="1"/>
      <c r="G871" s="6"/>
      <c r="H871" s="6"/>
      <c r="I871" s="6"/>
      <c r="J871" s="6"/>
      <c r="K871" s="6"/>
      <c r="L871" s="6"/>
      <c r="M871" s="6"/>
      <c r="N871" s="6"/>
      <c r="O871" s="7"/>
      <c r="P871" s="6"/>
      <c r="Q871" s="6"/>
      <c r="R871" s="7"/>
      <c r="S871" s="6"/>
      <c r="T871" s="6"/>
      <c r="U871" s="7"/>
      <c r="V871" s="6"/>
      <c r="W871" s="6"/>
      <c r="X871" s="6"/>
      <c r="Y871" s="6"/>
      <c r="Z871" s="6"/>
      <c r="AA871" s="7"/>
      <c r="AB871" s="6"/>
      <c r="AC871" s="6"/>
      <c r="AD871" s="6"/>
      <c r="AE871" s="12"/>
      <c r="AF871" s="6"/>
      <c r="AG871" s="12"/>
      <c r="AH871" s="6"/>
      <c r="AI871" s="6"/>
      <c r="AJ871" s="12"/>
      <c r="AK871" s="1"/>
      <c r="AL871" s="12"/>
      <c r="AM871" s="12"/>
      <c r="AN871" s="1"/>
      <c r="AO871" s="6"/>
    </row>
    <row r="872" spans="1:41" ht="15" x14ac:dyDescent="0.25">
      <c r="A872" s="1"/>
      <c r="B872" s="1"/>
      <c r="C872" s="1"/>
      <c r="D872" s="1"/>
      <c r="E872" s="6"/>
      <c r="F872" s="1"/>
      <c r="G872" s="6"/>
      <c r="H872" s="6"/>
      <c r="I872" s="6"/>
      <c r="J872" s="6"/>
      <c r="K872" s="6"/>
      <c r="L872" s="6"/>
      <c r="M872" s="6"/>
      <c r="N872" s="6"/>
      <c r="O872" s="7"/>
      <c r="P872" s="6"/>
      <c r="Q872" s="6"/>
      <c r="R872" s="7"/>
      <c r="S872" s="6"/>
      <c r="T872" s="6"/>
      <c r="U872" s="6"/>
      <c r="V872" s="6"/>
      <c r="W872" s="6"/>
      <c r="X872" s="7"/>
      <c r="Y872" s="6"/>
      <c r="Z872" s="6"/>
      <c r="AA872" s="7"/>
      <c r="AB872" s="6"/>
      <c r="AC872" s="6"/>
      <c r="AD872" s="6"/>
      <c r="AE872" s="12"/>
      <c r="AF872" s="6"/>
      <c r="AG872" s="12"/>
      <c r="AH872" s="6"/>
      <c r="AI872" s="6"/>
      <c r="AJ872" s="12"/>
      <c r="AK872" s="6"/>
      <c r="AL872" s="12"/>
      <c r="AM872" s="12"/>
      <c r="AN872" s="1"/>
      <c r="AO872" s="6"/>
    </row>
    <row r="873" spans="1:41" ht="15" x14ac:dyDescent="0.25">
      <c r="A873" s="1"/>
      <c r="B873" s="1"/>
      <c r="C873" s="1"/>
      <c r="D873" s="1"/>
      <c r="E873" s="6"/>
      <c r="F873" s="1"/>
      <c r="G873" s="6"/>
      <c r="H873" s="6"/>
      <c r="I873" s="6"/>
      <c r="J873" s="6"/>
      <c r="K873" s="6"/>
      <c r="L873" s="6"/>
      <c r="M873" s="6"/>
      <c r="N873" s="6"/>
      <c r="O873" s="7"/>
      <c r="P873" s="6"/>
      <c r="Q873" s="7"/>
      <c r="R873" s="6"/>
      <c r="S873" s="6"/>
      <c r="T873" s="6"/>
      <c r="U873" s="6"/>
      <c r="V873" s="7"/>
      <c r="W873" s="6"/>
      <c r="X873" s="6"/>
      <c r="Y873" s="6"/>
      <c r="Z873" s="6"/>
      <c r="AA873" s="24"/>
      <c r="AB873" s="25"/>
      <c r="AC873" s="12"/>
      <c r="AD873" s="12"/>
      <c r="AE873" s="12"/>
      <c r="AF873" s="6"/>
      <c r="AG873" s="12"/>
      <c r="AH873" s="6"/>
      <c r="AI873" s="6"/>
      <c r="AJ873" s="12"/>
      <c r="AK873" s="12"/>
      <c r="AL873" s="12"/>
      <c r="AM873" s="12"/>
      <c r="AN873" s="1"/>
      <c r="AO873" s="6"/>
    </row>
    <row r="874" spans="1:41" ht="15" x14ac:dyDescent="0.25">
      <c r="A874" s="1"/>
      <c r="B874" s="1"/>
      <c r="C874" s="1"/>
      <c r="D874" s="1"/>
      <c r="E874" s="6"/>
      <c r="F874" s="1"/>
      <c r="G874" s="6"/>
      <c r="H874" s="6"/>
      <c r="I874" s="6"/>
      <c r="J874" s="6"/>
      <c r="K874" s="6"/>
      <c r="L874" s="6"/>
      <c r="M874" s="6"/>
      <c r="N874" s="6"/>
      <c r="O874" s="7"/>
      <c r="P874" s="6"/>
      <c r="Q874" s="6"/>
      <c r="R874" s="7"/>
      <c r="S874" s="6"/>
      <c r="T874" s="6"/>
      <c r="U874" s="7"/>
      <c r="V874" s="6"/>
      <c r="W874" s="6"/>
      <c r="X874" s="6"/>
      <c r="Y874" s="6"/>
      <c r="Z874" s="6"/>
      <c r="AA874" s="7"/>
      <c r="AB874" s="6"/>
      <c r="AC874" s="6"/>
      <c r="AD874" s="6"/>
      <c r="AE874" s="12"/>
      <c r="AF874" s="6"/>
      <c r="AG874" s="12"/>
      <c r="AH874" s="6"/>
      <c r="AI874" s="6"/>
      <c r="AJ874" s="12"/>
      <c r="AK874" s="24"/>
      <c r="AL874" s="25"/>
      <c r="AM874" s="12"/>
      <c r="AN874" s="1"/>
      <c r="AO874" s="6"/>
    </row>
    <row r="875" spans="1:41" ht="15" x14ac:dyDescent="0.25">
      <c r="A875" s="1"/>
      <c r="B875" s="1"/>
      <c r="C875" s="1"/>
      <c r="D875" s="1"/>
      <c r="E875" s="6"/>
      <c r="F875" s="1"/>
      <c r="G875" s="6"/>
      <c r="H875" s="6"/>
      <c r="I875" s="6"/>
      <c r="J875" s="6"/>
      <c r="K875" s="6"/>
      <c r="L875" s="6"/>
      <c r="M875" s="6"/>
      <c r="N875" s="6"/>
      <c r="O875" s="7"/>
      <c r="P875" s="6"/>
      <c r="Q875" s="6"/>
      <c r="R875" s="7"/>
      <c r="S875" s="6"/>
      <c r="T875" s="6"/>
      <c r="U875" s="7"/>
      <c r="V875" s="6"/>
      <c r="W875" s="6"/>
      <c r="X875" s="6"/>
      <c r="Y875" s="6"/>
      <c r="Z875" s="6"/>
      <c r="AA875" s="7"/>
      <c r="AB875" s="6"/>
      <c r="AC875" s="6"/>
      <c r="AD875" s="6"/>
      <c r="AE875" s="12"/>
      <c r="AF875" s="6"/>
      <c r="AG875" s="12"/>
      <c r="AH875" s="6"/>
      <c r="AI875" s="6"/>
      <c r="AJ875" s="12"/>
      <c r="AK875" s="24"/>
      <c r="AL875" s="25"/>
      <c r="AM875" s="12"/>
      <c r="AN875" s="1"/>
      <c r="AO875" s="6"/>
    </row>
    <row r="876" spans="1:41" ht="15" x14ac:dyDescent="0.25">
      <c r="A876" s="1"/>
      <c r="B876" s="1"/>
      <c r="C876" s="1"/>
      <c r="D876" s="1"/>
      <c r="E876" s="6"/>
      <c r="F876" s="1"/>
      <c r="G876" s="6"/>
      <c r="H876" s="6"/>
      <c r="I876" s="6"/>
      <c r="J876" s="6"/>
      <c r="K876" s="6"/>
      <c r="L876" s="6"/>
      <c r="M876" s="6"/>
      <c r="N876" s="6"/>
      <c r="O876" s="7"/>
      <c r="P876" s="6"/>
      <c r="Q876" s="7"/>
      <c r="R876" s="6"/>
      <c r="S876" s="6"/>
      <c r="T876" s="6"/>
      <c r="U876" s="6"/>
      <c r="V876" s="7"/>
      <c r="W876" s="7"/>
      <c r="X876" s="6"/>
      <c r="Y876" s="6"/>
      <c r="Z876" s="6"/>
      <c r="AA876" s="1"/>
      <c r="AB876" s="12"/>
      <c r="AC876" s="12"/>
      <c r="AD876" s="12"/>
      <c r="AE876" s="12"/>
      <c r="AF876" s="12"/>
      <c r="AG876" s="12"/>
      <c r="AH876" s="12"/>
      <c r="AI876" s="6"/>
      <c r="AJ876" s="12"/>
      <c r="AK876" s="12"/>
      <c r="AL876" s="12"/>
      <c r="AM876" s="12"/>
      <c r="AN876" s="1"/>
      <c r="AO876" s="6"/>
    </row>
    <row r="877" spans="1:41" ht="15" x14ac:dyDescent="0.25">
      <c r="A877" s="1"/>
      <c r="B877" s="1"/>
      <c r="C877" s="1"/>
      <c r="D877" s="1"/>
      <c r="E877" s="6"/>
      <c r="F877" s="1"/>
      <c r="G877" s="6"/>
      <c r="H877" s="6"/>
      <c r="I877" s="6"/>
      <c r="J877" s="6"/>
      <c r="K877" s="6"/>
      <c r="L877" s="6"/>
      <c r="M877" s="6"/>
      <c r="N877" s="6"/>
      <c r="O877" s="7"/>
      <c r="P877" s="6"/>
      <c r="Q877" s="6"/>
      <c r="R877" s="7"/>
      <c r="S877" s="6"/>
      <c r="T877" s="6"/>
      <c r="U877" s="7"/>
      <c r="V877" s="6"/>
      <c r="W877" s="6"/>
      <c r="X877" s="6"/>
      <c r="Y877" s="6"/>
      <c r="Z877" s="6"/>
      <c r="AA877" s="7"/>
      <c r="AB877" s="6"/>
      <c r="AC877" s="6"/>
      <c r="AD877" s="6"/>
      <c r="AE877" s="12"/>
      <c r="AF877" s="6"/>
      <c r="AG877" s="12"/>
      <c r="AH877" s="6"/>
      <c r="AI877" s="6"/>
      <c r="AJ877" s="12"/>
      <c r="AK877" s="1"/>
      <c r="AL877" s="12"/>
      <c r="AM877" s="12"/>
      <c r="AN877" s="1"/>
      <c r="AO877" s="6"/>
    </row>
    <row r="878" spans="1:41" ht="15" x14ac:dyDescent="0.25">
      <c r="A878" s="1"/>
      <c r="B878" s="1"/>
      <c r="C878" s="1"/>
      <c r="D878" s="1"/>
      <c r="E878" s="6"/>
      <c r="F878" s="1"/>
      <c r="G878" s="6"/>
      <c r="H878" s="6"/>
      <c r="I878" s="6"/>
      <c r="J878" s="6"/>
      <c r="K878" s="6"/>
      <c r="L878" s="6"/>
      <c r="M878" s="6"/>
      <c r="N878" s="6"/>
      <c r="O878" s="7"/>
      <c r="P878" s="6"/>
      <c r="Q878" s="6"/>
      <c r="R878" s="7"/>
      <c r="S878" s="6"/>
      <c r="T878" s="6"/>
      <c r="U878" s="7"/>
      <c r="V878" s="6"/>
      <c r="W878" s="6"/>
      <c r="X878" s="12"/>
      <c r="Y878" s="6"/>
      <c r="Z878" s="6"/>
      <c r="AA878" s="7"/>
      <c r="AB878" s="6"/>
      <c r="AC878" s="6"/>
      <c r="AD878" s="6"/>
      <c r="AE878" s="12"/>
      <c r="AF878" s="6"/>
      <c r="AG878" s="12"/>
      <c r="AH878" s="6"/>
      <c r="AI878" s="6"/>
      <c r="AJ878" s="12"/>
      <c r="AK878" s="1"/>
      <c r="AL878" s="12"/>
      <c r="AM878" s="12"/>
      <c r="AN878" s="1"/>
      <c r="AO878" s="6"/>
    </row>
    <row r="879" spans="1:41" ht="15" x14ac:dyDescent="0.25">
      <c r="A879" s="1"/>
      <c r="B879" s="1"/>
      <c r="C879" s="1"/>
      <c r="D879" s="1"/>
      <c r="E879" s="6"/>
      <c r="F879" s="1"/>
      <c r="G879" s="6"/>
      <c r="H879" s="6"/>
      <c r="I879" s="6"/>
      <c r="J879" s="6"/>
      <c r="K879" s="6"/>
      <c r="L879" s="6"/>
      <c r="M879" s="6"/>
      <c r="N879" s="6"/>
      <c r="O879" s="7"/>
      <c r="P879" s="6"/>
      <c r="Q879" s="6"/>
      <c r="R879" s="7"/>
      <c r="S879" s="6"/>
      <c r="T879" s="6"/>
      <c r="U879" s="7"/>
      <c r="V879" s="6"/>
      <c r="W879" s="6"/>
      <c r="X879" s="12"/>
      <c r="Y879" s="6"/>
      <c r="Z879" s="6"/>
      <c r="AA879" s="7"/>
      <c r="AB879" s="6"/>
      <c r="AC879" s="6"/>
      <c r="AD879" s="6"/>
      <c r="AE879" s="12"/>
      <c r="AF879" s="12"/>
      <c r="AG879" s="12"/>
      <c r="AH879" s="12"/>
      <c r="AI879" s="6"/>
      <c r="AJ879" s="12"/>
      <c r="AK879" s="1"/>
      <c r="AL879" s="12"/>
      <c r="AM879" s="12"/>
      <c r="AN879" s="1"/>
      <c r="AO879" s="6"/>
    </row>
    <row r="880" spans="1:41" ht="15" x14ac:dyDescent="0.25">
      <c r="A880" s="1"/>
      <c r="B880" s="1"/>
      <c r="C880" s="1"/>
      <c r="D880" s="1"/>
      <c r="E880" s="6"/>
      <c r="F880" s="1"/>
      <c r="G880" s="6"/>
      <c r="H880" s="6"/>
      <c r="I880" s="6"/>
      <c r="J880" s="6"/>
      <c r="K880" s="6"/>
      <c r="L880" s="6"/>
      <c r="M880" s="6"/>
      <c r="N880" s="6"/>
      <c r="O880" s="7"/>
      <c r="P880" s="6"/>
      <c r="Q880" s="6"/>
      <c r="R880" s="7"/>
      <c r="S880" s="6"/>
      <c r="T880" s="6"/>
      <c r="U880" s="7"/>
      <c r="V880" s="6"/>
      <c r="W880" s="6"/>
      <c r="X880" s="6"/>
      <c r="Y880" s="6"/>
      <c r="Z880" s="6"/>
      <c r="AA880" s="7"/>
      <c r="AB880" s="6"/>
      <c r="AC880" s="6"/>
      <c r="AD880" s="6"/>
      <c r="AE880" s="12"/>
      <c r="AF880" s="6"/>
      <c r="AG880" s="12"/>
      <c r="AH880" s="6"/>
      <c r="AI880" s="6"/>
      <c r="AJ880" s="12"/>
      <c r="AK880" s="24"/>
      <c r="AL880" s="25"/>
      <c r="AM880" s="12"/>
      <c r="AN880" s="1"/>
      <c r="AO880" s="6"/>
    </row>
    <row r="881" spans="1:41" ht="15" x14ac:dyDescent="0.25">
      <c r="A881" s="1"/>
      <c r="B881" s="1"/>
      <c r="C881" s="1"/>
      <c r="D881" s="1"/>
      <c r="E881" s="6"/>
      <c r="F881" s="1"/>
      <c r="G881" s="6"/>
      <c r="H881" s="6"/>
      <c r="I881" s="6"/>
      <c r="J881" s="6"/>
      <c r="K881" s="12"/>
      <c r="L881" s="12"/>
      <c r="M881" s="6"/>
      <c r="N881" s="6"/>
      <c r="O881" s="7"/>
      <c r="P881" s="6"/>
      <c r="Q881" s="6"/>
      <c r="R881" s="7"/>
      <c r="S881" s="6"/>
      <c r="T881" s="6"/>
      <c r="U881" s="7"/>
      <c r="V881" s="6"/>
      <c r="W881" s="6"/>
      <c r="X881" s="12"/>
      <c r="Y881" s="6"/>
      <c r="Z881" s="6"/>
      <c r="AA881" s="7"/>
      <c r="AB881" s="6"/>
      <c r="AC881" s="6"/>
      <c r="AD881" s="6"/>
      <c r="AE881" s="12"/>
      <c r="AF881" s="12"/>
      <c r="AG881" s="12"/>
      <c r="AH881" s="12"/>
      <c r="AI881" s="6"/>
      <c r="AJ881" s="12"/>
      <c r="AK881" s="1"/>
      <c r="AL881" s="12"/>
      <c r="AM881" s="12"/>
      <c r="AN881" s="1"/>
      <c r="AO881" s="6"/>
    </row>
    <row r="882" spans="1:41" ht="15" x14ac:dyDescent="0.25">
      <c r="A882" s="1"/>
      <c r="B882" s="1"/>
      <c r="C882" s="1"/>
      <c r="D882" s="1"/>
      <c r="E882" s="6"/>
      <c r="F882" s="1"/>
      <c r="G882" s="6"/>
      <c r="H882" s="6"/>
      <c r="I882" s="6"/>
      <c r="J882" s="6"/>
      <c r="K882" s="6"/>
      <c r="L882" s="6"/>
      <c r="M882" s="6"/>
      <c r="N882" s="6"/>
      <c r="O882" s="7"/>
      <c r="P882" s="6"/>
      <c r="Q882" s="6"/>
      <c r="R882" s="7"/>
      <c r="S882" s="6"/>
      <c r="T882" s="6"/>
      <c r="U882" s="7"/>
      <c r="V882" s="6"/>
      <c r="W882" s="6"/>
      <c r="X882" s="6"/>
      <c r="Y882" s="6"/>
      <c r="Z882" s="6"/>
      <c r="AA882" s="7"/>
      <c r="AB882" s="6"/>
      <c r="AC882" s="6"/>
      <c r="AD882" s="6"/>
      <c r="AE882" s="12"/>
      <c r="AF882" s="6"/>
      <c r="AG882" s="12"/>
      <c r="AH882" s="6"/>
      <c r="AI882" s="6"/>
      <c r="AJ882" s="12"/>
      <c r="AK882" s="24"/>
      <c r="AL882" s="25"/>
      <c r="AM882" s="12"/>
      <c r="AN882" s="1"/>
      <c r="AO882" s="6"/>
    </row>
    <row r="883" spans="1:41" ht="15" x14ac:dyDescent="0.25">
      <c r="A883" s="1"/>
      <c r="B883" s="1"/>
      <c r="C883" s="1"/>
      <c r="D883" s="1"/>
      <c r="E883" s="6"/>
      <c r="F883" s="1"/>
      <c r="G883" s="6"/>
      <c r="H883" s="6"/>
      <c r="I883" s="6"/>
      <c r="J883" s="6"/>
      <c r="K883" s="6"/>
      <c r="L883" s="6"/>
      <c r="M883" s="6"/>
      <c r="N883" s="6"/>
      <c r="O883" s="7"/>
      <c r="P883" s="6"/>
      <c r="Q883" s="6"/>
      <c r="R883" s="7"/>
      <c r="S883" s="6"/>
      <c r="T883" s="6"/>
      <c r="U883" s="7"/>
      <c r="V883" s="6"/>
      <c r="W883" s="6"/>
      <c r="X883" s="12"/>
      <c r="Y883" s="6"/>
      <c r="Z883" s="6"/>
      <c r="AA883" s="7"/>
      <c r="AB883" s="6"/>
      <c r="AC883" s="6"/>
      <c r="AD883" s="6"/>
      <c r="AE883" s="12"/>
      <c r="AF883" s="6"/>
      <c r="AG883" s="12"/>
      <c r="AH883" s="6"/>
      <c r="AI883" s="6"/>
      <c r="AJ883" s="12"/>
      <c r="AK883" s="24"/>
      <c r="AL883" s="25"/>
      <c r="AM883" s="12"/>
      <c r="AN883" s="1"/>
      <c r="AO883" s="6"/>
    </row>
    <row r="884" spans="1:41" ht="15" x14ac:dyDescent="0.25">
      <c r="A884" s="1"/>
      <c r="B884" s="1"/>
      <c r="C884" s="1"/>
      <c r="D884" s="1"/>
      <c r="E884" s="6"/>
      <c r="F884" s="1"/>
      <c r="G884" s="6"/>
      <c r="H884" s="6"/>
      <c r="I884" s="6"/>
      <c r="J884" s="6"/>
      <c r="K884" s="6"/>
      <c r="L884" s="6"/>
      <c r="M884" s="6"/>
      <c r="N884" s="6"/>
      <c r="O884" s="7"/>
      <c r="P884" s="6"/>
      <c r="Q884" s="6"/>
      <c r="R884" s="7"/>
      <c r="S884" s="6"/>
      <c r="T884" s="6"/>
      <c r="U884" s="7"/>
      <c r="V884" s="6"/>
      <c r="W884" s="6"/>
      <c r="X884" s="6"/>
      <c r="Y884" s="6"/>
      <c r="Z884" s="6"/>
      <c r="AA884" s="7"/>
      <c r="AB884" s="6"/>
      <c r="AC884" s="6"/>
      <c r="AD884" s="6"/>
      <c r="AE884" s="12"/>
      <c r="AF884" s="6"/>
      <c r="AG884" s="12"/>
      <c r="AH884" s="6"/>
      <c r="AI884" s="6"/>
      <c r="AJ884" s="12"/>
      <c r="AK884" s="1"/>
      <c r="AL884" s="12"/>
      <c r="AM884" s="12"/>
      <c r="AN884" s="1"/>
      <c r="AO884" s="6"/>
    </row>
    <row r="885" spans="1:41" ht="15" x14ac:dyDescent="0.25">
      <c r="A885" s="1"/>
      <c r="B885" s="1"/>
      <c r="C885" s="1"/>
      <c r="D885" s="1"/>
      <c r="E885" s="6"/>
      <c r="F885" s="1"/>
      <c r="G885" s="6"/>
      <c r="H885" s="6"/>
      <c r="I885" s="6"/>
      <c r="J885" s="6"/>
      <c r="K885" s="6"/>
      <c r="L885" s="6"/>
      <c r="M885" s="6"/>
      <c r="N885" s="6"/>
      <c r="O885" s="7"/>
      <c r="P885" s="12"/>
      <c r="Q885" s="6"/>
      <c r="R885" s="7"/>
      <c r="S885" s="6"/>
      <c r="T885" s="6"/>
      <c r="U885" s="7"/>
      <c r="V885" s="6"/>
      <c r="W885" s="6"/>
      <c r="X885" s="6"/>
      <c r="Y885" s="6"/>
      <c r="Z885" s="6"/>
      <c r="AA885" s="7"/>
      <c r="AB885" s="6"/>
      <c r="AC885" s="6"/>
      <c r="AD885" s="6"/>
      <c r="AE885" s="12"/>
      <c r="AF885" s="6"/>
      <c r="AG885" s="12"/>
      <c r="AH885" s="6"/>
      <c r="AI885" s="6"/>
      <c r="AJ885" s="12"/>
      <c r="AK885" s="24"/>
      <c r="AL885" s="25"/>
      <c r="AM885" s="12"/>
      <c r="AN885" s="1"/>
      <c r="AO885" s="6"/>
    </row>
    <row r="886" spans="1:41" ht="15" x14ac:dyDescent="0.25">
      <c r="A886" s="1"/>
      <c r="B886" s="1"/>
      <c r="C886" s="1"/>
      <c r="D886" s="1"/>
      <c r="E886" s="6"/>
      <c r="F886" s="1"/>
      <c r="G886" s="6"/>
      <c r="H886" s="6"/>
      <c r="I886" s="6"/>
      <c r="J886" s="6"/>
      <c r="K886" s="6"/>
      <c r="L886" s="6"/>
      <c r="M886" s="6"/>
      <c r="N886" s="6"/>
      <c r="O886" s="7"/>
      <c r="P886" s="6"/>
      <c r="Q886" s="6"/>
      <c r="R886" s="7"/>
      <c r="S886" s="6"/>
      <c r="T886" s="6"/>
      <c r="U886" s="7"/>
      <c r="V886" s="6"/>
      <c r="W886" s="6"/>
      <c r="X886" s="6"/>
      <c r="Y886" s="6"/>
      <c r="Z886" s="6"/>
      <c r="AA886" s="7"/>
      <c r="AB886" s="6"/>
      <c r="AC886" s="6"/>
      <c r="AD886" s="6"/>
      <c r="AE886" s="12"/>
      <c r="AF886" s="6"/>
      <c r="AG886" s="12"/>
      <c r="AH886" s="6"/>
      <c r="AI886" s="6"/>
      <c r="AJ886" s="12"/>
      <c r="AK886" s="1"/>
      <c r="AL886" s="12"/>
      <c r="AM886" s="12"/>
      <c r="AN886" s="1"/>
      <c r="AO886" s="6"/>
    </row>
    <row r="887" spans="1:41" ht="15" x14ac:dyDescent="0.25">
      <c r="A887" s="1"/>
      <c r="B887" s="1"/>
      <c r="C887" s="1"/>
      <c r="D887" s="1"/>
      <c r="E887" s="6"/>
      <c r="F887" s="1"/>
      <c r="G887" s="6"/>
      <c r="H887" s="6"/>
      <c r="I887" s="6"/>
      <c r="J887" s="6"/>
      <c r="K887" s="6"/>
      <c r="L887" s="6"/>
      <c r="M887" s="6"/>
      <c r="N887" s="6"/>
      <c r="O887" s="7"/>
      <c r="P887" s="6"/>
      <c r="Q887" s="6"/>
      <c r="R887" s="7"/>
      <c r="S887" s="6"/>
      <c r="T887" s="6"/>
      <c r="U887" s="7"/>
      <c r="V887" s="6"/>
      <c r="W887" s="6"/>
      <c r="X887" s="6"/>
      <c r="Y887" s="6"/>
      <c r="Z887" s="6"/>
      <c r="AA887" s="7"/>
      <c r="AB887" s="6"/>
      <c r="AC887" s="6"/>
      <c r="AD887" s="6"/>
      <c r="AE887" s="12"/>
      <c r="AF887" s="6"/>
      <c r="AG887" s="12"/>
      <c r="AH887" s="6"/>
      <c r="AI887" s="6"/>
      <c r="AJ887" s="12"/>
      <c r="AK887" s="24"/>
      <c r="AL887" s="25"/>
      <c r="AM887" s="12"/>
      <c r="AN887" s="1"/>
      <c r="AO887" s="6"/>
    </row>
    <row r="888" spans="1:41" ht="15" x14ac:dyDescent="0.25">
      <c r="A888" s="1"/>
      <c r="B888" s="1"/>
      <c r="C888" s="1"/>
      <c r="D888" s="1"/>
      <c r="E888" s="6"/>
      <c r="F888" s="1"/>
      <c r="G888" s="6"/>
      <c r="H888" s="6"/>
      <c r="I888" s="6"/>
      <c r="J888" s="6"/>
      <c r="K888" s="6"/>
      <c r="L888" s="6"/>
      <c r="M888" s="6"/>
      <c r="N888" s="6"/>
      <c r="O888" s="7"/>
      <c r="P888" s="6"/>
      <c r="Q888" s="6"/>
      <c r="R888" s="7"/>
      <c r="S888" s="6"/>
      <c r="T888" s="6"/>
      <c r="U888" s="7"/>
      <c r="V888" s="6"/>
      <c r="W888" s="6"/>
      <c r="X888" s="6"/>
      <c r="Y888" s="6"/>
      <c r="Z888" s="6"/>
      <c r="AA888" s="7"/>
      <c r="AB888" s="6"/>
      <c r="AC888" s="6"/>
      <c r="AD888" s="6"/>
      <c r="AE888" s="12"/>
      <c r="AF888" s="6"/>
      <c r="AG888" s="12"/>
      <c r="AH888" s="6"/>
      <c r="AI888" s="6"/>
      <c r="AJ888" s="12"/>
      <c r="AK888" s="24"/>
      <c r="AL888" s="25"/>
      <c r="AM888" s="12"/>
      <c r="AN888" s="1"/>
      <c r="AO888" s="6"/>
    </row>
    <row r="889" spans="1:41" ht="15" x14ac:dyDescent="0.25">
      <c r="A889" s="1"/>
      <c r="B889" s="1"/>
      <c r="C889" s="1"/>
      <c r="D889" s="1"/>
      <c r="E889" s="6"/>
      <c r="F889" s="1"/>
      <c r="G889" s="6"/>
      <c r="H889" s="6"/>
      <c r="I889" s="6"/>
      <c r="J889" s="6"/>
      <c r="K889" s="6"/>
      <c r="L889" s="6"/>
      <c r="M889" s="6"/>
      <c r="N889" s="6"/>
      <c r="O889" s="7"/>
      <c r="P889" s="6"/>
      <c r="Q889" s="6"/>
      <c r="R889" s="7"/>
      <c r="S889" s="6"/>
      <c r="T889" s="6"/>
      <c r="U889" s="7"/>
      <c r="V889" s="6"/>
      <c r="W889" s="6"/>
      <c r="X889" s="6"/>
      <c r="Y889" s="6"/>
      <c r="Z889" s="6"/>
      <c r="AA889" s="7"/>
      <c r="AB889" s="6"/>
      <c r="AC889" s="6"/>
      <c r="AD889" s="6"/>
      <c r="AE889" s="12"/>
      <c r="AF889" s="12"/>
      <c r="AG889" s="12"/>
      <c r="AH889" s="12"/>
      <c r="AI889" s="6"/>
      <c r="AJ889" s="12"/>
      <c r="AK889" s="1"/>
      <c r="AL889" s="12"/>
      <c r="AM889" s="12"/>
      <c r="AN889" s="1"/>
      <c r="AO889" s="6"/>
    </row>
    <row r="890" spans="1:41" ht="15" x14ac:dyDescent="0.25">
      <c r="A890" s="1"/>
      <c r="B890" s="1"/>
      <c r="C890" s="1"/>
      <c r="D890" s="1"/>
      <c r="E890" s="6"/>
      <c r="F890" s="1"/>
      <c r="G890" s="6"/>
      <c r="H890" s="6"/>
      <c r="I890" s="6"/>
      <c r="J890" s="6"/>
      <c r="K890" s="6"/>
      <c r="L890" s="6"/>
      <c r="M890" s="6"/>
      <c r="N890" s="6"/>
      <c r="O890" s="7"/>
      <c r="P890" s="6"/>
      <c r="Q890" s="6"/>
      <c r="R890" s="7"/>
      <c r="S890" s="6"/>
      <c r="T890" s="6"/>
      <c r="U890" s="7"/>
      <c r="V890" s="6"/>
      <c r="W890" s="6"/>
      <c r="X890" s="6"/>
      <c r="Y890" s="6"/>
      <c r="Z890" s="6"/>
      <c r="AA890" s="7"/>
      <c r="AB890" s="6"/>
      <c r="AC890" s="6"/>
      <c r="AD890" s="6"/>
      <c r="AE890" s="12"/>
      <c r="AF890" s="6"/>
      <c r="AG890" s="12"/>
      <c r="AH890" s="6"/>
      <c r="AI890" s="6"/>
      <c r="AJ890" s="12"/>
      <c r="AK890" s="1"/>
      <c r="AL890" s="12"/>
      <c r="AM890" s="12"/>
      <c r="AN890" s="1"/>
      <c r="AO890" s="6"/>
    </row>
    <row r="891" spans="1:41" ht="15" x14ac:dyDescent="0.25">
      <c r="A891" s="1"/>
      <c r="B891" s="1"/>
      <c r="C891" s="1"/>
      <c r="D891" s="1"/>
      <c r="E891" s="6"/>
      <c r="F891" s="1"/>
      <c r="G891" s="6"/>
      <c r="H891" s="6"/>
      <c r="I891" s="6"/>
      <c r="J891" s="6"/>
      <c r="K891" s="6"/>
      <c r="L891" s="6"/>
      <c r="M891" s="6"/>
      <c r="N891" s="6"/>
      <c r="O891" s="7"/>
      <c r="P891" s="6"/>
      <c r="Q891" s="6"/>
      <c r="R891" s="7"/>
      <c r="S891" s="6"/>
      <c r="T891" s="6"/>
      <c r="U891" s="7"/>
      <c r="V891" s="6"/>
      <c r="W891" s="6"/>
      <c r="X891" s="6"/>
      <c r="Y891" s="6"/>
      <c r="Z891" s="6"/>
      <c r="AA891" s="7"/>
      <c r="AB891" s="6"/>
      <c r="AC891" s="6"/>
      <c r="AD891" s="6"/>
      <c r="AE891" s="12"/>
      <c r="AF891" s="12"/>
      <c r="AG891" s="12"/>
      <c r="AH891" s="12"/>
      <c r="AI891" s="6"/>
      <c r="AJ891" s="12"/>
      <c r="AK891" s="1"/>
      <c r="AL891" s="12"/>
      <c r="AM891" s="12"/>
      <c r="AN891" s="1"/>
      <c r="AO891" s="6"/>
    </row>
    <row r="892" spans="1:41" ht="15" x14ac:dyDescent="0.25">
      <c r="A892" s="1"/>
      <c r="B892" s="1"/>
      <c r="C892" s="1"/>
      <c r="D892" s="1"/>
      <c r="E892" s="6"/>
      <c r="F892" s="1"/>
      <c r="G892" s="6"/>
      <c r="H892" s="6"/>
      <c r="I892" s="6"/>
      <c r="J892" s="6"/>
      <c r="K892" s="6"/>
      <c r="L892" s="6"/>
      <c r="M892" s="6"/>
      <c r="N892" s="6"/>
      <c r="O892" s="7"/>
      <c r="P892" s="12"/>
      <c r="Q892" s="6"/>
      <c r="R892" s="7"/>
      <c r="S892" s="6"/>
      <c r="T892" s="6"/>
      <c r="U892" s="7"/>
      <c r="V892" s="6"/>
      <c r="W892" s="6"/>
      <c r="X892" s="12"/>
      <c r="Y892" s="6"/>
      <c r="Z892" s="6"/>
      <c r="AA892" s="7"/>
      <c r="AB892" s="6"/>
      <c r="AC892" s="6"/>
      <c r="AD892" s="6"/>
      <c r="AE892" s="12"/>
      <c r="AF892" s="12"/>
      <c r="AG892" s="12"/>
      <c r="AH892" s="12"/>
      <c r="AI892" s="6"/>
      <c r="AJ892" s="12"/>
      <c r="AK892" s="1"/>
      <c r="AL892" s="12"/>
      <c r="AM892" s="12"/>
      <c r="AN892" s="1"/>
      <c r="AO892" s="6"/>
    </row>
    <row r="893" spans="1:41" ht="15" x14ac:dyDescent="0.25">
      <c r="A893" s="1"/>
      <c r="B893" s="1"/>
      <c r="C893" s="1"/>
      <c r="D893" s="1"/>
      <c r="E893" s="6"/>
      <c r="F893" s="1"/>
      <c r="G893" s="6"/>
      <c r="H893" s="6"/>
      <c r="I893" s="6"/>
      <c r="J893" s="6"/>
      <c r="K893" s="6"/>
      <c r="L893" s="6"/>
      <c r="M893" s="6"/>
      <c r="N893" s="6"/>
      <c r="O893" s="7"/>
      <c r="P893" s="6"/>
      <c r="Q893" s="6"/>
      <c r="R893" s="7"/>
      <c r="S893" s="6"/>
      <c r="T893" s="6"/>
      <c r="U893" s="7"/>
      <c r="V893" s="6"/>
      <c r="W893" s="6"/>
      <c r="X893" s="6"/>
      <c r="Y893" s="6"/>
      <c r="Z893" s="6"/>
      <c r="AA893" s="7"/>
      <c r="AB893" s="6"/>
      <c r="AC893" s="6"/>
      <c r="AD893" s="6"/>
      <c r="AE893" s="12"/>
      <c r="AF893" s="6"/>
      <c r="AG893" s="12"/>
      <c r="AH893" s="6"/>
      <c r="AI893" s="6"/>
      <c r="AJ893" s="12"/>
      <c r="AK893" s="24"/>
      <c r="AL893" s="25"/>
      <c r="AM893" s="12"/>
      <c r="AN893" s="1"/>
      <c r="AO893" s="6"/>
    </row>
    <row r="894" spans="1:41" ht="15" x14ac:dyDescent="0.25">
      <c r="A894" s="1"/>
      <c r="B894" s="1"/>
      <c r="C894" s="1"/>
      <c r="D894" s="1"/>
      <c r="E894" s="6"/>
      <c r="F894" s="1"/>
      <c r="G894" s="6"/>
      <c r="H894" s="6"/>
      <c r="I894" s="6"/>
      <c r="J894" s="6"/>
      <c r="K894" s="6"/>
      <c r="L894" s="6"/>
      <c r="M894" s="6"/>
      <c r="N894" s="6"/>
      <c r="O894" s="7"/>
      <c r="P894" s="6"/>
      <c r="Q894" s="6"/>
      <c r="R894" s="7"/>
      <c r="S894" s="6"/>
      <c r="T894" s="6"/>
      <c r="U894" s="7"/>
      <c r="V894" s="6"/>
      <c r="W894" s="6"/>
      <c r="X894" s="6"/>
      <c r="Y894" s="6"/>
      <c r="Z894" s="6"/>
      <c r="AA894" s="7"/>
      <c r="AB894" s="6"/>
      <c r="AC894" s="6"/>
      <c r="AD894" s="6"/>
      <c r="AE894" s="12"/>
      <c r="AF894" s="6"/>
      <c r="AG894" s="12"/>
      <c r="AH894" s="6"/>
      <c r="AI894" s="6"/>
      <c r="AJ894" s="12"/>
      <c r="AK894" s="24"/>
      <c r="AL894" s="25"/>
      <c r="AM894" s="12"/>
      <c r="AN894" s="1"/>
      <c r="AO894" s="6"/>
    </row>
    <row r="895" spans="1:41" ht="15" x14ac:dyDescent="0.25">
      <c r="A895" s="1"/>
      <c r="B895" s="1"/>
      <c r="C895" s="1"/>
      <c r="D895" s="1"/>
      <c r="E895" s="6"/>
      <c r="F895" s="1"/>
      <c r="G895" s="6"/>
      <c r="H895" s="6"/>
      <c r="I895" s="6"/>
      <c r="J895" s="6"/>
      <c r="K895" s="6"/>
      <c r="L895" s="6"/>
      <c r="M895" s="6"/>
      <c r="N895" s="6"/>
      <c r="O895" s="12"/>
      <c r="P895" s="12"/>
      <c r="Q895" s="7"/>
      <c r="R895" s="6"/>
      <c r="S895" s="12"/>
      <c r="T895" s="12"/>
      <c r="U895" s="6"/>
      <c r="V895" s="7"/>
      <c r="W895" s="6"/>
      <c r="X895" s="6"/>
      <c r="Y895" s="6"/>
      <c r="Z895" s="6"/>
      <c r="AA895" s="24"/>
      <c r="AB895" s="25"/>
      <c r="AC895" s="12"/>
      <c r="AD895" s="12"/>
      <c r="AE895" s="12"/>
      <c r="AF895" s="6"/>
      <c r="AG895" s="12"/>
      <c r="AH895" s="6"/>
      <c r="AI895" s="6"/>
      <c r="AJ895" s="12"/>
      <c r="AK895" s="12"/>
      <c r="AL895" s="12"/>
      <c r="AM895" s="12"/>
      <c r="AN895" s="1"/>
      <c r="AO895" s="6"/>
    </row>
    <row r="896" spans="1:41" ht="15" x14ac:dyDescent="0.25">
      <c r="A896" s="1"/>
      <c r="B896" s="1"/>
      <c r="C896" s="1"/>
      <c r="D896" s="1"/>
      <c r="E896" s="6"/>
      <c r="F896" s="1"/>
      <c r="G896" s="6"/>
      <c r="H896" s="6"/>
      <c r="I896" s="6"/>
      <c r="J896" s="6"/>
      <c r="K896" s="6"/>
      <c r="L896" s="6"/>
      <c r="M896" s="6"/>
      <c r="N896" s="6"/>
      <c r="O896" s="7"/>
      <c r="P896" s="6"/>
      <c r="Q896" s="6"/>
      <c r="R896" s="7"/>
      <c r="S896" s="6"/>
      <c r="T896" s="6"/>
      <c r="U896" s="7"/>
      <c r="V896" s="6"/>
      <c r="W896" s="6"/>
      <c r="X896" s="6"/>
      <c r="Y896" s="6"/>
      <c r="Z896" s="6"/>
      <c r="AA896" s="7"/>
      <c r="AB896" s="6"/>
      <c r="AC896" s="6"/>
      <c r="AD896" s="6"/>
      <c r="AE896" s="12"/>
      <c r="AF896" s="6"/>
      <c r="AG896" s="12"/>
      <c r="AH896" s="6"/>
      <c r="AI896" s="6"/>
      <c r="AJ896" s="12"/>
      <c r="AK896" s="24"/>
      <c r="AL896" s="25"/>
      <c r="AM896" s="12"/>
      <c r="AN896" s="1"/>
      <c r="AO896" s="6"/>
    </row>
    <row r="897" spans="1:41" ht="15" x14ac:dyDescent="0.25">
      <c r="A897" s="1"/>
      <c r="B897" s="1"/>
      <c r="C897" s="1"/>
      <c r="D897" s="1"/>
      <c r="E897" s="6"/>
      <c r="F897" s="1"/>
      <c r="G897" s="6"/>
      <c r="H897" s="6"/>
      <c r="I897" s="6"/>
      <c r="J897" s="6"/>
      <c r="K897" s="6"/>
      <c r="L897" s="6"/>
      <c r="M897" s="6"/>
      <c r="N897" s="6"/>
      <c r="O897" s="7"/>
      <c r="P897" s="6"/>
      <c r="Q897" s="6"/>
      <c r="R897" s="7"/>
      <c r="S897" s="6"/>
      <c r="T897" s="6"/>
      <c r="U897" s="7"/>
      <c r="V897" s="6"/>
      <c r="W897" s="6"/>
      <c r="X897" s="12"/>
      <c r="Y897" s="6"/>
      <c r="Z897" s="6"/>
      <c r="AA897" s="7"/>
      <c r="AB897" s="6"/>
      <c r="AC897" s="6"/>
      <c r="AD897" s="6"/>
      <c r="AE897" s="12"/>
      <c r="AF897" s="6"/>
      <c r="AG897" s="12"/>
      <c r="AH897" s="6"/>
      <c r="AI897" s="6"/>
      <c r="AJ897" s="12"/>
      <c r="AK897" s="1"/>
      <c r="AL897" s="12"/>
      <c r="AM897" s="12"/>
      <c r="AN897" s="1"/>
      <c r="AO897" s="6"/>
    </row>
    <row r="898" spans="1:41" ht="15" x14ac:dyDescent="0.25">
      <c r="A898" s="1"/>
      <c r="B898" s="1"/>
      <c r="C898" s="1"/>
      <c r="D898" s="1"/>
      <c r="E898" s="6"/>
      <c r="F898" s="1"/>
      <c r="G898" s="6"/>
      <c r="H898" s="6"/>
      <c r="I898" s="6"/>
      <c r="J898" s="6"/>
      <c r="K898" s="6"/>
      <c r="L898" s="6"/>
      <c r="M898" s="6"/>
      <c r="N898" s="6"/>
      <c r="O898" s="7"/>
      <c r="P898" s="6"/>
      <c r="Q898" s="6"/>
      <c r="R898" s="12"/>
      <c r="S898" s="12"/>
      <c r="T898" s="12"/>
      <c r="U898" s="7"/>
      <c r="V898" s="6"/>
      <c r="W898" s="6"/>
      <c r="X898" s="12"/>
      <c r="Y898" s="6"/>
      <c r="Z898" s="6"/>
      <c r="AA898" s="7"/>
      <c r="AB898" s="6"/>
      <c r="AC898" s="6"/>
      <c r="AD898" s="6"/>
      <c r="AE898" s="12"/>
      <c r="AF898" s="12"/>
      <c r="AG898" s="12"/>
      <c r="AH898" s="12"/>
      <c r="AI898" s="6"/>
      <c r="AJ898" s="12"/>
      <c r="AK898" s="1"/>
      <c r="AL898" s="12"/>
      <c r="AM898" s="12"/>
      <c r="AN898" s="1"/>
      <c r="AO898" s="6"/>
    </row>
    <row r="899" spans="1:41" ht="15" x14ac:dyDescent="0.25">
      <c r="A899" s="1"/>
      <c r="B899" s="1"/>
      <c r="C899" s="1"/>
      <c r="D899" s="1"/>
      <c r="E899" s="6"/>
      <c r="F899" s="1"/>
      <c r="G899" s="6"/>
      <c r="H899" s="6"/>
      <c r="I899" s="6"/>
      <c r="J899" s="6"/>
      <c r="K899" s="6"/>
      <c r="L899" s="6"/>
      <c r="M899" s="6"/>
      <c r="N899" s="6"/>
      <c r="O899" s="7"/>
      <c r="P899" s="6"/>
      <c r="Q899" s="6"/>
      <c r="R899" s="7"/>
      <c r="S899" s="6"/>
      <c r="T899" s="6"/>
      <c r="U899" s="7"/>
      <c r="V899" s="6"/>
      <c r="W899" s="6"/>
      <c r="X899" s="6"/>
      <c r="Y899" s="6"/>
      <c r="Z899" s="6"/>
      <c r="AA899" s="7"/>
      <c r="AB899" s="6"/>
      <c r="AC899" s="6"/>
      <c r="AD899" s="6"/>
      <c r="AE899" s="12"/>
      <c r="AF899" s="12"/>
      <c r="AG899" s="12"/>
      <c r="AH899" s="12"/>
      <c r="AI899" s="6"/>
      <c r="AJ899" s="12"/>
      <c r="AK899" s="1"/>
      <c r="AL899" s="12"/>
      <c r="AM899" s="12"/>
      <c r="AN899" s="1"/>
      <c r="AO899" s="6"/>
    </row>
    <row r="900" spans="1:41" ht="15" x14ac:dyDescent="0.25">
      <c r="A900" s="1"/>
      <c r="B900" s="1"/>
      <c r="C900" s="1"/>
      <c r="D900" s="1"/>
      <c r="E900" s="6"/>
      <c r="F900" s="1"/>
      <c r="G900" s="6"/>
      <c r="H900" s="6"/>
      <c r="I900" s="6"/>
      <c r="J900" s="6"/>
      <c r="K900" s="6"/>
      <c r="L900" s="6"/>
      <c r="M900" s="6"/>
      <c r="N900" s="6"/>
      <c r="O900" s="7"/>
      <c r="P900" s="6"/>
      <c r="Q900" s="6"/>
      <c r="R900" s="7"/>
      <c r="S900" s="6"/>
      <c r="T900" s="6"/>
      <c r="U900" s="7"/>
      <c r="V900" s="6"/>
      <c r="W900" s="6"/>
      <c r="X900" s="6"/>
      <c r="Y900" s="6"/>
      <c r="Z900" s="6"/>
      <c r="AA900" s="7"/>
      <c r="AB900" s="6"/>
      <c r="AC900" s="6"/>
      <c r="AD900" s="6"/>
      <c r="AE900" s="12"/>
      <c r="AF900" s="12"/>
      <c r="AG900" s="12"/>
      <c r="AH900" s="12"/>
      <c r="AI900" s="6"/>
      <c r="AJ900" s="12"/>
      <c r="AK900" s="1"/>
      <c r="AL900" s="12"/>
      <c r="AM900" s="12"/>
      <c r="AN900" s="1"/>
      <c r="AO900" s="6"/>
    </row>
    <row r="901" spans="1:41" ht="15" x14ac:dyDescent="0.25">
      <c r="A901" s="1"/>
      <c r="B901" s="1"/>
      <c r="C901" s="1"/>
      <c r="D901" s="1"/>
      <c r="E901" s="6"/>
      <c r="F901" s="1"/>
      <c r="G901" s="6"/>
      <c r="H901" s="6"/>
      <c r="I901" s="6"/>
      <c r="J901" s="6"/>
      <c r="K901" s="6"/>
      <c r="L901" s="6"/>
      <c r="M901" s="6"/>
      <c r="N901" s="6"/>
      <c r="O901" s="7"/>
      <c r="P901" s="6"/>
      <c r="Q901" s="7"/>
      <c r="R901" s="6"/>
      <c r="S901" s="12"/>
      <c r="T901" s="6"/>
      <c r="U901" s="6"/>
      <c r="V901" s="7"/>
      <c r="W901" s="7"/>
      <c r="X901" s="6"/>
      <c r="Y901" s="6"/>
      <c r="Z901" s="6"/>
      <c r="AA901" s="1"/>
      <c r="AB901" s="12"/>
      <c r="AC901" s="12"/>
      <c r="AD901" s="12"/>
      <c r="AE901" s="12"/>
      <c r="AF901" s="12"/>
      <c r="AG901" s="12"/>
      <c r="AH901" s="12"/>
      <c r="AI901" s="6"/>
      <c r="AJ901" s="12"/>
      <c r="AK901" s="12"/>
      <c r="AL901" s="12"/>
      <c r="AM901" s="12"/>
      <c r="AN901" s="1"/>
      <c r="AO901" s="6"/>
    </row>
    <row r="902" spans="1:41" ht="15" x14ac:dyDescent="0.25">
      <c r="A902" s="1"/>
      <c r="B902" s="1"/>
      <c r="C902" s="1"/>
      <c r="D902" s="1"/>
      <c r="E902" s="6"/>
      <c r="F902" s="1"/>
      <c r="G902" s="6"/>
      <c r="H902" s="6"/>
      <c r="I902" s="6"/>
      <c r="J902" s="6"/>
      <c r="K902" s="6"/>
      <c r="L902" s="6"/>
      <c r="M902" s="6"/>
      <c r="N902" s="6"/>
      <c r="O902" s="7"/>
      <c r="P902" s="6"/>
      <c r="Q902" s="6"/>
      <c r="R902" s="7"/>
      <c r="S902" s="6"/>
      <c r="T902" s="6"/>
      <c r="U902" s="7"/>
      <c r="V902" s="6"/>
      <c r="W902" s="6"/>
      <c r="X902" s="6"/>
      <c r="Y902" s="6"/>
      <c r="Z902" s="6"/>
      <c r="AA902" s="7"/>
      <c r="AB902" s="6"/>
      <c r="AC902" s="6"/>
      <c r="AD902" s="6"/>
      <c r="AE902" s="12"/>
      <c r="AF902" s="12"/>
      <c r="AG902" s="12"/>
      <c r="AH902" s="12"/>
      <c r="AI902" s="6"/>
      <c r="AJ902" s="12"/>
      <c r="AK902" s="1"/>
      <c r="AL902" s="12"/>
      <c r="AM902" s="12"/>
      <c r="AN902" s="1"/>
      <c r="AO902" s="6"/>
    </row>
    <row r="903" spans="1:41" ht="15" x14ac:dyDescent="0.25">
      <c r="A903" s="1"/>
      <c r="B903" s="1"/>
      <c r="C903" s="1"/>
      <c r="D903" s="1"/>
      <c r="E903" s="6"/>
      <c r="F903" s="1"/>
      <c r="G903" s="6"/>
      <c r="H903" s="6"/>
      <c r="I903" s="6"/>
      <c r="J903" s="6"/>
      <c r="K903" s="6"/>
      <c r="L903" s="6"/>
      <c r="M903" s="6"/>
      <c r="N903" s="6"/>
      <c r="O903" s="7"/>
      <c r="P903" s="12"/>
      <c r="Q903" s="6"/>
      <c r="R903" s="7"/>
      <c r="S903" s="6"/>
      <c r="T903" s="6"/>
      <c r="U903" s="7"/>
      <c r="V903" s="6"/>
      <c r="W903" s="6"/>
      <c r="X903" s="12"/>
      <c r="Y903" s="6"/>
      <c r="Z903" s="6"/>
      <c r="AA903" s="7"/>
      <c r="AB903" s="6"/>
      <c r="AC903" s="6"/>
      <c r="AD903" s="6"/>
      <c r="AE903" s="12"/>
      <c r="AF903" s="6"/>
      <c r="AG903" s="12"/>
      <c r="AH903" s="6"/>
      <c r="AI903" s="6"/>
      <c r="AJ903" s="12"/>
      <c r="AK903" s="24"/>
      <c r="AL903" s="25"/>
      <c r="AM903" s="12"/>
      <c r="AN903" s="1"/>
      <c r="AO903" s="6"/>
    </row>
    <row r="904" spans="1:41" ht="15" x14ac:dyDescent="0.25">
      <c r="A904" s="1"/>
      <c r="B904" s="1"/>
      <c r="C904" s="1"/>
      <c r="D904" s="1"/>
      <c r="E904" s="6"/>
      <c r="F904" s="1"/>
      <c r="G904" s="6"/>
      <c r="H904" s="6"/>
      <c r="I904" s="6"/>
      <c r="J904" s="6"/>
      <c r="K904" s="6"/>
      <c r="L904" s="6"/>
      <c r="M904" s="6"/>
      <c r="N904" s="6"/>
      <c r="O904" s="7"/>
      <c r="P904" s="6"/>
      <c r="Q904" s="6"/>
      <c r="R904" s="7"/>
      <c r="S904" s="6"/>
      <c r="T904" s="6"/>
      <c r="U904" s="7"/>
      <c r="V904" s="6"/>
      <c r="W904" s="6"/>
      <c r="X904" s="6"/>
      <c r="Y904" s="6"/>
      <c r="Z904" s="6"/>
      <c r="AA904" s="7"/>
      <c r="AB904" s="6"/>
      <c r="AC904" s="6"/>
      <c r="AD904" s="6"/>
      <c r="AE904" s="12"/>
      <c r="AF904" s="6"/>
      <c r="AG904" s="12"/>
      <c r="AH904" s="6"/>
      <c r="AI904" s="6"/>
      <c r="AJ904" s="12"/>
      <c r="AK904" s="24"/>
      <c r="AL904" s="25"/>
      <c r="AM904" s="12"/>
      <c r="AN904" s="1"/>
      <c r="AO904" s="6"/>
    </row>
    <row r="905" spans="1:41" ht="15" x14ac:dyDescent="0.25">
      <c r="A905" s="1"/>
      <c r="B905" s="1"/>
      <c r="C905" s="1"/>
      <c r="D905" s="1"/>
      <c r="E905" s="6"/>
      <c r="F905" s="1"/>
      <c r="G905" s="6"/>
      <c r="H905" s="6"/>
      <c r="I905" s="6"/>
      <c r="J905" s="6"/>
      <c r="K905" s="6"/>
      <c r="L905" s="6"/>
      <c r="M905" s="6"/>
      <c r="N905" s="6"/>
      <c r="O905" s="7"/>
      <c r="P905" s="6"/>
      <c r="Q905" s="7"/>
      <c r="R905" s="6"/>
      <c r="S905" s="6"/>
      <c r="T905" s="6"/>
      <c r="U905" s="6"/>
      <c r="V905" s="7"/>
      <c r="W905" s="7"/>
      <c r="X905" s="6"/>
      <c r="Y905" s="6"/>
      <c r="Z905" s="6"/>
      <c r="AA905" s="1"/>
      <c r="AB905" s="12"/>
      <c r="AC905" s="12"/>
      <c r="AD905" s="12"/>
      <c r="AE905" s="12"/>
      <c r="AF905" s="12"/>
      <c r="AG905" s="12"/>
      <c r="AH905" s="12"/>
      <c r="AI905" s="6"/>
      <c r="AJ905" s="12"/>
      <c r="AK905" s="12"/>
      <c r="AL905" s="12"/>
      <c r="AM905" s="12"/>
      <c r="AN905" s="1"/>
      <c r="AO905" s="6"/>
    </row>
    <row r="906" spans="1:41" ht="15" x14ac:dyDescent="0.25">
      <c r="A906" s="1"/>
      <c r="B906" s="1"/>
      <c r="C906" s="1"/>
      <c r="D906" s="1"/>
      <c r="E906" s="6"/>
      <c r="F906" s="1"/>
      <c r="G906" s="6"/>
      <c r="H906" s="6"/>
      <c r="I906" s="6"/>
      <c r="J906" s="6"/>
      <c r="K906" s="6"/>
      <c r="L906" s="6"/>
      <c r="M906" s="6"/>
      <c r="N906" s="6"/>
      <c r="O906" s="7"/>
      <c r="P906" s="6"/>
      <c r="Q906" s="6"/>
      <c r="R906" s="7"/>
      <c r="S906" s="6"/>
      <c r="T906" s="6"/>
      <c r="U906" s="7"/>
      <c r="V906" s="6"/>
      <c r="W906" s="6"/>
      <c r="X906" s="12"/>
      <c r="Y906" s="6"/>
      <c r="Z906" s="6"/>
      <c r="AA906" s="7"/>
      <c r="AB906" s="6"/>
      <c r="AC906" s="6"/>
      <c r="AD906" s="6"/>
      <c r="AE906" s="12"/>
      <c r="AF906" s="6"/>
      <c r="AG906" s="12"/>
      <c r="AH906" s="6"/>
      <c r="AI906" s="6"/>
      <c r="AJ906" s="12"/>
      <c r="AK906" s="24"/>
      <c r="AL906" s="25"/>
      <c r="AM906" s="12"/>
      <c r="AN906" s="1"/>
      <c r="AO906" s="6"/>
    </row>
    <row r="907" spans="1:41" ht="15" x14ac:dyDescent="0.25">
      <c r="A907" s="1"/>
      <c r="B907" s="1"/>
      <c r="C907" s="1"/>
      <c r="D907" s="1"/>
      <c r="E907" s="6"/>
      <c r="F907" s="1"/>
      <c r="G907" s="6"/>
      <c r="H907" s="6"/>
      <c r="I907" s="6"/>
      <c r="J907" s="6"/>
      <c r="K907" s="6"/>
      <c r="L907" s="6"/>
      <c r="M907" s="6"/>
      <c r="N907" s="6"/>
      <c r="O907" s="7"/>
      <c r="P907" s="6"/>
      <c r="Q907" s="7"/>
      <c r="R907" s="6"/>
      <c r="S907" s="6"/>
      <c r="T907" s="6"/>
      <c r="U907" s="6"/>
      <c r="V907" s="7"/>
      <c r="W907" s="6"/>
      <c r="X907" s="6"/>
      <c r="Y907" s="6"/>
      <c r="Z907" s="6"/>
      <c r="AA907" s="24"/>
      <c r="AB907" s="25"/>
      <c r="AC907" s="12"/>
      <c r="AD907" s="12"/>
      <c r="AE907" s="12"/>
      <c r="AF907" s="6"/>
      <c r="AG907" s="12"/>
      <c r="AH907" s="6"/>
      <c r="AI907" s="6"/>
      <c r="AJ907" s="12"/>
      <c r="AK907" s="12"/>
      <c r="AL907" s="12"/>
      <c r="AM907" s="12"/>
      <c r="AN907" s="1"/>
      <c r="AO907" s="6"/>
    </row>
    <row r="908" spans="1:41" ht="15" x14ac:dyDescent="0.25">
      <c r="A908" s="1"/>
      <c r="B908" s="1"/>
      <c r="C908" s="1"/>
      <c r="D908" s="1"/>
      <c r="E908" s="6"/>
      <c r="F908" s="1"/>
      <c r="G908" s="6"/>
      <c r="H908" s="6"/>
      <c r="I908" s="6"/>
      <c r="J908" s="6"/>
      <c r="K908" s="6"/>
      <c r="L908" s="6"/>
      <c r="M908" s="6"/>
      <c r="N908" s="6"/>
      <c r="O908" s="7"/>
      <c r="P908" s="6"/>
      <c r="Q908" s="6"/>
      <c r="R908" s="7"/>
      <c r="S908" s="6"/>
      <c r="T908" s="6"/>
      <c r="U908" s="7"/>
      <c r="V908" s="6"/>
      <c r="W908" s="6"/>
      <c r="X908" s="12"/>
      <c r="Y908" s="6"/>
      <c r="Z908" s="6"/>
      <c r="AA908" s="7"/>
      <c r="AB908" s="6"/>
      <c r="AC908" s="6"/>
      <c r="AD908" s="6"/>
      <c r="AE908" s="12"/>
      <c r="AF908" s="6"/>
      <c r="AG908" s="12"/>
      <c r="AH908" s="6"/>
      <c r="AI908" s="6"/>
      <c r="AJ908" s="12"/>
      <c r="AK908" s="1"/>
      <c r="AL908" s="12"/>
      <c r="AM908" s="12"/>
      <c r="AN908" s="1"/>
      <c r="AO908" s="6"/>
    </row>
    <row r="909" spans="1:41" ht="15" x14ac:dyDescent="0.25">
      <c r="A909" s="1"/>
      <c r="B909" s="1"/>
      <c r="C909" s="1"/>
      <c r="D909" s="1"/>
      <c r="E909" s="6"/>
      <c r="F909" s="1"/>
      <c r="G909" s="6"/>
      <c r="H909" s="6"/>
      <c r="I909" s="6"/>
      <c r="J909" s="6"/>
      <c r="K909" s="6"/>
      <c r="L909" s="6"/>
      <c r="M909" s="6"/>
      <c r="N909" s="6"/>
      <c r="O909" s="7"/>
      <c r="P909" s="6"/>
      <c r="Q909" s="6"/>
      <c r="R909" s="7"/>
      <c r="S909" s="6"/>
      <c r="T909" s="6"/>
      <c r="U909" s="6"/>
      <c r="V909" s="6"/>
      <c r="W909" s="6"/>
      <c r="X909" s="7"/>
      <c r="Y909" s="6"/>
      <c r="Z909" s="6"/>
      <c r="AA909" s="7"/>
      <c r="AB909" s="6"/>
      <c r="AC909" s="6"/>
      <c r="AD909" s="6"/>
      <c r="AE909" s="12"/>
      <c r="AF909" s="6"/>
      <c r="AG909" s="12"/>
      <c r="AH909" s="6"/>
      <c r="AI909" s="6"/>
      <c r="AJ909" s="12"/>
      <c r="AK909" s="6"/>
      <c r="AL909" s="12"/>
      <c r="AM909" s="12"/>
      <c r="AN909" s="1"/>
      <c r="AO909" s="6"/>
    </row>
    <row r="910" spans="1:41" ht="15" x14ac:dyDescent="0.25">
      <c r="A910" s="1"/>
      <c r="B910" s="1"/>
      <c r="C910" s="1"/>
      <c r="D910" s="1"/>
      <c r="E910" s="6"/>
      <c r="F910" s="1"/>
      <c r="G910" s="6"/>
      <c r="H910" s="6"/>
      <c r="I910" s="6"/>
      <c r="J910" s="6"/>
      <c r="K910" s="6"/>
      <c r="L910" s="6"/>
      <c r="M910" s="6"/>
      <c r="N910" s="6"/>
      <c r="O910" s="7"/>
      <c r="P910" s="6"/>
      <c r="Q910" s="6"/>
      <c r="R910" s="7"/>
      <c r="S910" s="6"/>
      <c r="T910" s="6"/>
      <c r="U910" s="7"/>
      <c r="V910" s="6"/>
      <c r="W910" s="6"/>
      <c r="X910" s="12"/>
      <c r="Y910" s="6"/>
      <c r="Z910" s="6"/>
      <c r="AA910" s="7"/>
      <c r="AB910" s="6"/>
      <c r="AC910" s="6"/>
      <c r="AD910" s="6"/>
      <c r="AE910" s="12"/>
      <c r="AF910" s="6"/>
      <c r="AG910" s="12"/>
      <c r="AH910" s="6"/>
      <c r="AI910" s="6"/>
      <c r="AJ910" s="12"/>
      <c r="AK910" s="1"/>
      <c r="AL910" s="12"/>
      <c r="AM910" s="12"/>
      <c r="AN910" s="1"/>
      <c r="AO910" s="6"/>
    </row>
    <row r="911" spans="1:41" ht="15" x14ac:dyDescent="0.25">
      <c r="A911" s="1"/>
      <c r="B911" s="1"/>
      <c r="C911" s="1"/>
      <c r="D911" s="1"/>
      <c r="E911" s="6"/>
      <c r="F911" s="1"/>
      <c r="G911" s="6"/>
      <c r="H911" s="6"/>
      <c r="I911" s="6"/>
      <c r="J911" s="6"/>
      <c r="K911" s="6"/>
      <c r="L911" s="6"/>
      <c r="M911" s="6"/>
      <c r="N911" s="6"/>
      <c r="O911" s="7"/>
      <c r="P911" s="6"/>
      <c r="Q911" s="7"/>
      <c r="R911" s="6"/>
      <c r="S911" s="6"/>
      <c r="T911" s="6"/>
      <c r="U911" s="6"/>
      <c r="V911" s="7"/>
      <c r="W911" s="7"/>
      <c r="X911" s="6"/>
      <c r="Y911" s="6"/>
      <c r="Z911" s="6"/>
      <c r="AA911" s="24"/>
      <c r="AB911" s="25"/>
      <c r="AC911" s="12"/>
      <c r="AD911" s="12"/>
      <c r="AE911" s="12"/>
      <c r="AF911" s="6"/>
      <c r="AG911" s="12"/>
      <c r="AH911" s="6"/>
      <c r="AI911" s="6"/>
      <c r="AJ911" s="12"/>
      <c r="AK911" s="12"/>
      <c r="AL911" s="12"/>
      <c r="AM911" s="12"/>
      <c r="AN911" s="1"/>
      <c r="AO911" s="6"/>
    </row>
    <row r="912" spans="1:41" ht="15" x14ac:dyDescent="0.25">
      <c r="A912" s="1"/>
      <c r="B912" s="1"/>
      <c r="C912" s="1"/>
      <c r="D912" s="1"/>
      <c r="E912" s="6"/>
      <c r="F912" s="1"/>
      <c r="G912" s="6"/>
      <c r="H912" s="6"/>
      <c r="I912" s="6"/>
      <c r="J912" s="6"/>
      <c r="K912" s="6"/>
      <c r="L912" s="6"/>
      <c r="M912" s="6"/>
      <c r="N912" s="6"/>
      <c r="O912" s="7"/>
      <c r="P912" s="12"/>
      <c r="Q912" s="6"/>
      <c r="R912" s="7"/>
      <c r="S912" s="6"/>
      <c r="T912" s="6"/>
      <c r="U912" s="7"/>
      <c r="V912" s="6"/>
      <c r="W912" s="6"/>
      <c r="X912" s="6"/>
      <c r="Y912" s="6"/>
      <c r="Z912" s="6"/>
      <c r="AA912" s="7"/>
      <c r="AB912" s="6"/>
      <c r="AC912" s="6"/>
      <c r="AD912" s="6"/>
      <c r="AE912" s="12"/>
      <c r="AF912" s="6"/>
      <c r="AG912" s="12"/>
      <c r="AH912" s="6"/>
      <c r="AI912" s="6"/>
      <c r="AJ912" s="12"/>
      <c r="AK912" s="1"/>
      <c r="AL912" s="12"/>
      <c r="AM912" s="12"/>
      <c r="AN912" s="1"/>
      <c r="AO912" s="6"/>
    </row>
    <row r="913" spans="1:41" ht="15" x14ac:dyDescent="0.25">
      <c r="A913" s="1"/>
      <c r="B913" s="1"/>
      <c r="C913" s="1"/>
      <c r="D913" s="1"/>
      <c r="E913" s="6"/>
      <c r="F913" s="1"/>
      <c r="G913" s="6"/>
      <c r="H913" s="6"/>
      <c r="I913" s="6"/>
      <c r="J913" s="6"/>
      <c r="K913" s="6"/>
      <c r="L913" s="6"/>
      <c r="M913" s="6"/>
      <c r="N913" s="6"/>
      <c r="O913" s="7"/>
      <c r="P913" s="6"/>
      <c r="Q913" s="6"/>
      <c r="R913" s="7"/>
      <c r="S913" s="6"/>
      <c r="T913" s="6"/>
      <c r="U913" s="7"/>
      <c r="V913" s="6"/>
      <c r="W913" s="6"/>
      <c r="X913" s="12"/>
      <c r="Y913" s="6"/>
      <c r="Z913" s="6"/>
      <c r="AA913" s="7"/>
      <c r="AB913" s="6"/>
      <c r="AC913" s="6"/>
      <c r="AD913" s="6"/>
      <c r="AE913" s="12"/>
      <c r="AF913" s="6"/>
      <c r="AG913" s="12"/>
      <c r="AH913" s="6"/>
      <c r="AI913" s="6"/>
      <c r="AJ913" s="12"/>
      <c r="AK913" s="1"/>
      <c r="AL913" s="12"/>
      <c r="AM913" s="12"/>
      <c r="AN913" s="1"/>
      <c r="AO913" s="6"/>
    </row>
    <row r="914" spans="1:41" ht="15" x14ac:dyDescent="0.25">
      <c r="A914" s="1"/>
      <c r="B914" s="1"/>
      <c r="C914" s="1"/>
      <c r="D914" s="1"/>
      <c r="E914" s="6"/>
      <c r="F914" s="1"/>
      <c r="G914" s="6"/>
      <c r="H914" s="6"/>
      <c r="I914" s="6"/>
      <c r="J914" s="6"/>
      <c r="K914" s="6"/>
      <c r="L914" s="6"/>
      <c r="M914" s="6"/>
      <c r="N914" s="6"/>
      <c r="O914" s="7"/>
      <c r="P914" s="6"/>
      <c r="Q914" s="6"/>
      <c r="R914" s="7"/>
      <c r="S914" s="6"/>
      <c r="T914" s="6"/>
      <c r="U914" s="7"/>
      <c r="V914" s="6"/>
      <c r="W914" s="6"/>
      <c r="X914" s="6"/>
      <c r="Y914" s="6"/>
      <c r="Z914" s="6"/>
      <c r="AA914" s="7"/>
      <c r="AB914" s="6"/>
      <c r="AC914" s="6"/>
      <c r="AD914" s="6"/>
      <c r="AE914" s="12"/>
      <c r="AF914" s="6"/>
      <c r="AG914" s="12"/>
      <c r="AH914" s="6"/>
      <c r="AI914" s="6"/>
      <c r="AJ914" s="12"/>
      <c r="AK914" s="24"/>
      <c r="AL914" s="25"/>
      <c r="AM914" s="12"/>
      <c r="AN914" s="1"/>
      <c r="AO914" s="6"/>
    </row>
    <row r="915" spans="1:41" ht="15" x14ac:dyDescent="0.25">
      <c r="A915" s="1"/>
      <c r="B915" s="1"/>
      <c r="C915" s="1"/>
      <c r="D915" s="1"/>
      <c r="E915" s="6"/>
      <c r="F915" s="1"/>
      <c r="G915" s="6"/>
      <c r="H915" s="6"/>
      <c r="I915" s="6"/>
      <c r="J915" s="6"/>
      <c r="K915" s="6"/>
      <c r="L915" s="6"/>
      <c r="M915" s="6"/>
      <c r="N915" s="6"/>
      <c r="O915" s="7"/>
      <c r="P915" s="6"/>
      <c r="Q915" s="6"/>
      <c r="R915" s="7"/>
      <c r="S915" s="6"/>
      <c r="T915" s="6"/>
      <c r="U915" s="7"/>
      <c r="V915" s="6"/>
      <c r="W915" s="6"/>
      <c r="X915" s="6"/>
      <c r="Y915" s="6"/>
      <c r="Z915" s="6"/>
      <c r="AA915" s="7"/>
      <c r="AB915" s="6"/>
      <c r="AC915" s="6"/>
      <c r="AD915" s="6"/>
      <c r="AE915" s="12"/>
      <c r="AF915" s="6"/>
      <c r="AG915" s="12"/>
      <c r="AH915" s="6"/>
      <c r="AI915" s="6"/>
      <c r="AJ915" s="12"/>
      <c r="AK915" s="24"/>
      <c r="AL915" s="25"/>
      <c r="AM915" s="12"/>
      <c r="AN915" s="1"/>
      <c r="AO915" s="6"/>
    </row>
    <row r="916" spans="1:41" ht="15" x14ac:dyDescent="0.25">
      <c r="A916" s="1"/>
      <c r="B916" s="1"/>
      <c r="C916" s="1"/>
      <c r="D916" s="1"/>
      <c r="E916" s="6"/>
      <c r="F916" s="1"/>
      <c r="G916" s="6"/>
      <c r="H916" s="6"/>
      <c r="I916" s="6"/>
      <c r="J916" s="6"/>
      <c r="K916" s="6"/>
      <c r="L916" s="6"/>
      <c r="M916" s="6"/>
      <c r="N916" s="6"/>
      <c r="O916" s="7"/>
      <c r="P916" s="6"/>
      <c r="Q916" s="6"/>
      <c r="R916" s="7"/>
      <c r="S916" s="6"/>
      <c r="T916" s="6"/>
      <c r="U916" s="7"/>
      <c r="V916" s="6"/>
      <c r="W916" s="6"/>
      <c r="X916" s="6"/>
      <c r="Y916" s="6"/>
      <c r="Z916" s="6"/>
      <c r="AA916" s="7"/>
      <c r="AB916" s="6"/>
      <c r="AC916" s="6"/>
      <c r="AD916" s="6"/>
      <c r="AE916" s="12"/>
      <c r="AF916" s="6"/>
      <c r="AG916" s="12"/>
      <c r="AH916" s="6"/>
      <c r="AI916" s="6"/>
      <c r="AJ916" s="12"/>
      <c r="AK916" s="1"/>
      <c r="AL916" s="12"/>
      <c r="AM916" s="12"/>
      <c r="AN916" s="1"/>
      <c r="AO916" s="6"/>
    </row>
    <row r="917" spans="1:41" ht="15" x14ac:dyDescent="0.25">
      <c r="A917" s="1"/>
      <c r="B917" s="1"/>
      <c r="C917" s="1"/>
      <c r="D917" s="1"/>
      <c r="E917" s="6"/>
      <c r="F917" s="1"/>
      <c r="G917" s="6"/>
      <c r="H917" s="6"/>
      <c r="I917" s="6"/>
      <c r="J917" s="6"/>
      <c r="K917" s="6"/>
      <c r="L917" s="6"/>
      <c r="M917" s="6"/>
      <c r="N917" s="6"/>
      <c r="O917" s="7"/>
      <c r="P917" s="6"/>
      <c r="Q917" s="6"/>
      <c r="R917" s="7"/>
      <c r="S917" s="6"/>
      <c r="T917" s="6"/>
      <c r="U917" s="7"/>
      <c r="V917" s="6"/>
      <c r="W917" s="6"/>
      <c r="X917" s="12"/>
      <c r="Y917" s="6"/>
      <c r="Z917" s="6"/>
      <c r="AA917" s="7"/>
      <c r="AB917" s="6"/>
      <c r="AC917" s="6"/>
      <c r="AD917" s="6"/>
      <c r="AE917" s="12"/>
      <c r="AF917" s="6"/>
      <c r="AG917" s="12"/>
      <c r="AH917" s="6"/>
      <c r="AI917" s="6"/>
      <c r="AJ917" s="12"/>
      <c r="AK917" s="24"/>
      <c r="AL917" s="25"/>
      <c r="AM917" s="12"/>
      <c r="AN917" s="1"/>
      <c r="AO917" s="6"/>
    </row>
    <row r="918" spans="1:41" ht="15" x14ac:dyDescent="0.25">
      <c r="A918" s="1"/>
      <c r="B918" s="1"/>
      <c r="C918" s="1"/>
      <c r="D918" s="1"/>
      <c r="E918" s="6"/>
      <c r="F918" s="1"/>
      <c r="G918" s="6"/>
      <c r="H918" s="6"/>
      <c r="I918" s="6"/>
      <c r="J918" s="6"/>
      <c r="K918" s="6"/>
      <c r="L918" s="6"/>
      <c r="M918" s="6"/>
      <c r="N918" s="6"/>
      <c r="O918" s="7"/>
      <c r="P918" s="6"/>
      <c r="Q918" s="6"/>
      <c r="R918" s="7"/>
      <c r="S918" s="6"/>
      <c r="T918" s="6"/>
      <c r="U918" s="7"/>
      <c r="V918" s="6"/>
      <c r="W918" s="6"/>
      <c r="X918" s="12"/>
      <c r="Y918" s="6"/>
      <c r="Z918" s="6"/>
      <c r="AA918" s="7"/>
      <c r="AB918" s="6"/>
      <c r="AC918" s="6"/>
      <c r="AD918" s="6"/>
      <c r="AE918" s="12"/>
      <c r="AF918" s="12"/>
      <c r="AG918" s="12"/>
      <c r="AH918" s="12"/>
      <c r="AI918" s="6"/>
      <c r="AJ918" s="12"/>
      <c r="AK918" s="1"/>
      <c r="AL918" s="12"/>
      <c r="AM918" s="12"/>
      <c r="AN918" s="1"/>
      <c r="AO918" s="12"/>
    </row>
    <row r="919" spans="1:41" ht="15" x14ac:dyDescent="0.25">
      <c r="A919" s="1"/>
      <c r="B919" s="1"/>
      <c r="C919" s="1"/>
      <c r="D919" s="1"/>
      <c r="E919" s="6"/>
      <c r="F919" s="1"/>
      <c r="G919" s="6"/>
      <c r="H919" s="6"/>
      <c r="I919" s="6"/>
      <c r="J919" s="6"/>
      <c r="K919" s="12"/>
      <c r="L919" s="12"/>
      <c r="M919" s="6"/>
      <c r="N919" s="6"/>
      <c r="O919" s="7"/>
      <c r="P919" s="6"/>
      <c r="Q919" s="6"/>
      <c r="R919" s="7"/>
      <c r="S919" s="6"/>
      <c r="T919" s="6"/>
      <c r="U919" s="7"/>
      <c r="V919" s="6"/>
      <c r="W919" s="6"/>
      <c r="X919" s="12"/>
      <c r="Y919" s="6"/>
      <c r="Z919" s="6"/>
      <c r="AA919" s="7"/>
      <c r="AB919" s="6"/>
      <c r="AC919" s="6"/>
      <c r="AD919" s="6"/>
      <c r="AE919" s="12"/>
      <c r="AF919" s="12"/>
      <c r="AG919" s="12"/>
      <c r="AH919" s="12"/>
      <c r="AI919" s="6"/>
      <c r="AJ919" s="12"/>
      <c r="AK919" s="1"/>
      <c r="AL919" s="12"/>
      <c r="AM919" s="12"/>
      <c r="AN919" s="1"/>
      <c r="AO919" s="6"/>
    </row>
    <row r="920" spans="1:41" ht="15" x14ac:dyDescent="0.25">
      <c r="A920" s="1"/>
      <c r="B920" s="1"/>
      <c r="C920" s="1"/>
      <c r="D920" s="1"/>
      <c r="E920" s="6"/>
      <c r="F920" s="1"/>
      <c r="G920" s="6"/>
      <c r="H920" s="6"/>
      <c r="I920" s="6"/>
      <c r="J920" s="6"/>
      <c r="K920" s="6"/>
      <c r="L920" s="6"/>
      <c r="M920" s="6"/>
      <c r="N920" s="6"/>
      <c r="O920" s="7"/>
      <c r="P920" s="12"/>
      <c r="Q920" s="6"/>
      <c r="R920" s="7"/>
      <c r="S920" s="6"/>
      <c r="T920" s="6"/>
      <c r="U920" s="7"/>
      <c r="V920" s="6"/>
      <c r="W920" s="6"/>
      <c r="X920" s="6"/>
      <c r="Y920" s="6"/>
      <c r="Z920" s="6"/>
      <c r="AA920" s="7"/>
      <c r="AB920" s="6"/>
      <c r="AC920" s="6"/>
      <c r="AD920" s="6"/>
      <c r="AE920" s="12"/>
      <c r="AF920" s="6"/>
      <c r="AG920" s="12"/>
      <c r="AH920" s="6"/>
      <c r="AI920" s="6"/>
      <c r="AJ920" s="12"/>
      <c r="AK920" s="1"/>
      <c r="AL920" s="12"/>
      <c r="AM920" s="12"/>
      <c r="AN920" s="1"/>
      <c r="AO920" s="6"/>
    </row>
    <row r="921" spans="1:41" ht="15" x14ac:dyDescent="0.25">
      <c r="A921" s="1"/>
      <c r="B921" s="1"/>
      <c r="C921" s="1"/>
      <c r="D921" s="1"/>
      <c r="E921" s="6"/>
      <c r="F921" s="1"/>
      <c r="G921" s="6"/>
      <c r="H921" s="6"/>
      <c r="I921" s="6"/>
      <c r="J921" s="6"/>
      <c r="K921" s="6"/>
      <c r="L921" s="6"/>
      <c r="M921" s="6"/>
      <c r="N921" s="6"/>
      <c r="O921" s="7"/>
      <c r="P921" s="12"/>
      <c r="Q921" s="6"/>
      <c r="R921" s="7"/>
      <c r="S921" s="6"/>
      <c r="T921" s="6"/>
      <c r="U921" s="7"/>
      <c r="V921" s="6"/>
      <c r="W921" s="6"/>
      <c r="X921" s="6"/>
      <c r="Y921" s="6"/>
      <c r="Z921" s="6"/>
      <c r="AA921" s="7"/>
      <c r="AB921" s="6"/>
      <c r="AC921" s="6"/>
      <c r="AD921" s="6"/>
      <c r="AE921" s="12"/>
      <c r="AF921" s="6"/>
      <c r="AG921" s="12"/>
      <c r="AH921" s="6"/>
      <c r="AI921" s="6"/>
      <c r="AJ921" s="12"/>
      <c r="AK921" s="1"/>
      <c r="AL921" s="12"/>
      <c r="AM921" s="12"/>
      <c r="AN921" s="1"/>
      <c r="AO921" s="6"/>
    </row>
    <row r="922" spans="1:41" ht="15" x14ac:dyDescent="0.25">
      <c r="A922" s="1"/>
      <c r="B922" s="1"/>
      <c r="C922" s="1"/>
      <c r="D922" s="1"/>
      <c r="E922" s="6"/>
      <c r="F922" s="1"/>
      <c r="G922" s="6"/>
      <c r="H922" s="6"/>
      <c r="I922" s="6"/>
      <c r="J922" s="6"/>
      <c r="K922" s="6"/>
      <c r="L922" s="6"/>
      <c r="M922" s="6"/>
      <c r="N922" s="6"/>
      <c r="O922" s="7"/>
      <c r="P922" s="6"/>
      <c r="Q922" s="6"/>
      <c r="R922" s="7"/>
      <c r="S922" s="6"/>
      <c r="T922" s="6"/>
      <c r="U922" s="7"/>
      <c r="V922" s="6"/>
      <c r="W922" s="6"/>
      <c r="X922" s="6"/>
      <c r="Y922" s="6"/>
      <c r="Z922" s="6"/>
      <c r="AA922" s="7"/>
      <c r="AB922" s="6"/>
      <c r="AC922" s="6"/>
      <c r="AD922" s="6"/>
      <c r="AE922" s="12"/>
      <c r="AF922" s="6"/>
      <c r="AG922" s="12"/>
      <c r="AH922" s="6"/>
      <c r="AI922" s="6"/>
      <c r="AJ922" s="12"/>
      <c r="AK922" s="24"/>
      <c r="AL922" s="25"/>
      <c r="AM922" s="12"/>
      <c r="AN922" s="1"/>
      <c r="AO922" s="6"/>
    </row>
    <row r="923" spans="1:41" ht="15" x14ac:dyDescent="0.25">
      <c r="A923" s="1"/>
      <c r="B923" s="1"/>
      <c r="C923" s="1"/>
      <c r="D923" s="1"/>
      <c r="E923" s="6"/>
      <c r="F923" s="1"/>
      <c r="G923" s="6"/>
      <c r="H923" s="6"/>
      <c r="I923" s="6"/>
      <c r="J923" s="6"/>
      <c r="K923" s="6"/>
      <c r="L923" s="6"/>
      <c r="M923" s="6"/>
      <c r="N923" s="6"/>
      <c r="O923" s="7"/>
      <c r="P923" s="6"/>
      <c r="Q923" s="6"/>
      <c r="R923" s="7"/>
      <c r="S923" s="6"/>
      <c r="T923" s="6"/>
      <c r="U923" s="7"/>
      <c r="V923" s="6"/>
      <c r="W923" s="6"/>
      <c r="X923" s="12"/>
      <c r="Y923" s="6"/>
      <c r="Z923" s="6"/>
      <c r="AA923" s="7"/>
      <c r="AB923" s="6"/>
      <c r="AC923" s="6"/>
      <c r="AD923" s="6"/>
      <c r="AE923" s="12"/>
      <c r="AF923" s="12"/>
      <c r="AG923" s="12"/>
      <c r="AH923" s="12"/>
      <c r="AI923" s="6"/>
      <c r="AJ923" s="12"/>
      <c r="AK923" s="1"/>
      <c r="AL923" s="12"/>
      <c r="AM923" s="12"/>
      <c r="AN923" s="1"/>
      <c r="AO923" s="6"/>
    </row>
    <row r="924" spans="1:41" ht="15" x14ac:dyDescent="0.25">
      <c r="A924" s="1"/>
      <c r="B924" s="1"/>
      <c r="C924" s="1"/>
      <c r="D924" s="1"/>
      <c r="E924" s="6"/>
      <c r="F924" s="1"/>
      <c r="G924" s="6"/>
      <c r="H924" s="6"/>
      <c r="I924" s="6"/>
      <c r="J924" s="6"/>
      <c r="K924" s="6"/>
      <c r="L924" s="6"/>
      <c r="M924" s="6"/>
      <c r="N924" s="6"/>
      <c r="O924" s="7"/>
      <c r="P924" s="6"/>
      <c r="Q924" s="6"/>
      <c r="R924" s="7"/>
      <c r="S924" s="6"/>
      <c r="T924" s="6"/>
      <c r="U924" s="7"/>
      <c r="V924" s="6"/>
      <c r="W924" s="6"/>
      <c r="X924" s="12"/>
      <c r="Y924" s="6"/>
      <c r="Z924" s="6"/>
      <c r="AA924" s="7"/>
      <c r="AB924" s="6"/>
      <c r="AC924" s="6"/>
      <c r="AD924" s="6"/>
      <c r="AE924" s="12"/>
      <c r="AF924" s="12"/>
      <c r="AG924" s="12"/>
      <c r="AH924" s="12"/>
      <c r="AI924" s="6"/>
      <c r="AJ924" s="12"/>
      <c r="AK924" s="1"/>
      <c r="AL924" s="12"/>
      <c r="AM924" s="12"/>
      <c r="AN924" s="1"/>
      <c r="AO924" s="6"/>
    </row>
    <row r="925" spans="1:41" ht="15" x14ac:dyDescent="0.25">
      <c r="A925" s="1"/>
      <c r="B925" s="1"/>
      <c r="C925" s="1"/>
      <c r="D925" s="1"/>
      <c r="E925" s="6"/>
      <c r="F925" s="1"/>
      <c r="G925" s="6"/>
      <c r="H925" s="6"/>
      <c r="I925" s="6"/>
      <c r="J925" s="6"/>
      <c r="K925" s="6"/>
      <c r="L925" s="6"/>
      <c r="M925" s="6"/>
      <c r="N925" s="6"/>
      <c r="O925" s="7"/>
      <c r="P925" s="6"/>
      <c r="Q925" s="6"/>
      <c r="R925" s="12"/>
      <c r="S925" s="12"/>
      <c r="T925" s="12"/>
      <c r="U925" s="7"/>
      <c r="V925" s="6"/>
      <c r="W925" s="6"/>
      <c r="X925" s="12"/>
      <c r="Y925" s="6"/>
      <c r="Z925" s="6"/>
      <c r="AA925" s="7"/>
      <c r="AB925" s="6"/>
      <c r="AC925" s="6"/>
      <c r="AD925" s="6"/>
      <c r="AE925" s="12"/>
      <c r="AF925" s="12"/>
      <c r="AG925" s="12"/>
      <c r="AH925" s="12"/>
      <c r="AI925" s="6"/>
      <c r="AJ925" s="12"/>
      <c r="AK925" s="24"/>
      <c r="AL925" s="25"/>
      <c r="AM925" s="12"/>
      <c r="AN925" s="1"/>
      <c r="AO925" s="6"/>
    </row>
    <row r="926" spans="1:41" ht="15" x14ac:dyDescent="0.25">
      <c r="A926" s="1"/>
      <c r="B926" s="1"/>
      <c r="C926" s="1"/>
      <c r="D926" s="1"/>
      <c r="E926" s="6"/>
      <c r="F926" s="1"/>
      <c r="G926" s="6"/>
      <c r="H926" s="6"/>
      <c r="I926" s="6"/>
      <c r="J926" s="6"/>
      <c r="K926" s="6"/>
      <c r="L926" s="6"/>
      <c r="M926" s="6"/>
      <c r="N926" s="6"/>
      <c r="O926" s="7"/>
      <c r="P926" s="6"/>
      <c r="Q926" s="7"/>
      <c r="R926" s="6"/>
      <c r="S926" s="6"/>
      <c r="T926" s="6"/>
      <c r="U926" s="6"/>
      <c r="V926" s="7"/>
      <c r="W926" s="7"/>
      <c r="X926" s="6"/>
      <c r="Y926" s="6"/>
      <c r="Z926" s="6"/>
      <c r="AA926" s="1"/>
      <c r="AB926" s="12"/>
      <c r="AC926" s="12"/>
      <c r="AD926" s="12"/>
      <c r="AE926" s="12"/>
      <c r="AF926" s="12"/>
      <c r="AG926" s="12"/>
      <c r="AH926" s="12"/>
      <c r="AI926" s="6"/>
      <c r="AJ926" s="12"/>
      <c r="AK926" s="12"/>
      <c r="AL926" s="12"/>
      <c r="AM926" s="12"/>
      <c r="AN926" s="1"/>
      <c r="AO926" s="6"/>
    </row>
    <row r="927" spans="1:41" ht="15" x14ac:dyDescent="0.25">
      <c r="A927" s="1"/>
      <c r="B927" s="1"/>
      <c r="C927" s="1"/>
      <c r="D927" s="1"/>
      <c r="E927" s="6"/>
      <c r="F927" s="1"/>
      <c r="G927" s="6"/>
      <c r="H927" s="6"/>
      <c r="I927" s="6"/>
      <c r="J927" s="6"/>
      <c r="K927" s="6"/>
      <c r="L927" s="6"/>
      <c r="M927" s="6"/>
      <c r="N927" s="6"/>
      <c r="O927" s="7"/>
      <c r="P927" s="6"/>
      <c r="Q927" s="6"/>
      <c r="R927" s="7"/>
      <c r="S927" s="6"/>
      <c r="T927" s="6"/>
      <c r="U927" s="7"/>
      <c r="V927" s="6"/>
      <c r="W927" s="6"/>
      <c r="X927" s="12"/>
      <c r="Y927" s="6"/>
      <c r="Z927" s="6"/>
      <c r="AA927" s="7"/>
      <c r="AB927" s="6"/>
      <c r="AC927" s="6"/>
      <c r="AD927" s="6"/>
      <c r="AE927" s="12"/>
      <c r="AF927" s="12"/>
      <c r="AG927" s="12"/>
      <c r="AH927" s="12"/>
      <c r="AI927" s="6"/>
      <c r="AJ927" s="12"/>
      <c r="AK927" s="1"/>
      <c r="AL927" s="12"/>
      <c r="AM927" s="12"/>
      <c r="AN927" s="1"/>
      <c r="AO927" s="6"/>
    </row>
    <row r="928" spans="1:41" ht="15" x14ac:dyDescent="0.25">
      <c r="A928" s="1"/>
      <c r="B928" s="1"/>
      <c r="C928" s="1"/>
      <c r="D928" s="1"/>
      <c r="E928" s="6"/>
      <c r="F928" s="1"/>
      <c r="G928" s="6"/>
      <c r="H928" s="6"/>
      <c r="I928" s="6"/>
      <c r="J928" s="6"/>
      <c r="K928" s="6"/>
      <c r="L928" s="6"/>
      <c r="M928" s="6"/>
      <c r="N928" s="6"/>
      <c r="O928" s="7"/>
      <c r="P928" s="6"/>
      <c r="Q928" s="6"/>
      <c r="R928" s="7"/>
      <c r="S928" s="6"/>
      <c r="T928" s="6"/>
      <c r="U928" s="7"/>
      <c r="V928" s="6"/>
      <c r="W928" s="6"/>
      <c r="X928" s="6"/>
      <c r="Y928" s="6"/>
      <c r="Z928" s="6"/>
      <c r="AA928" s="7"/>
      <c r="AB928" s="6"/>
      <c r="AC928" s="6"/>
      <c r="AD928" s="6"/>
      <c r="AE928" s="12"/>
      <c r="AF928" s="12"/>
      <c r="AG928" s="12"/>
      <c r="AH928" s="12"/>
      <c r="AI928" s="6"/>
      <c r="AJ928" s="12"/>
      <c r="AK928" s="1"/>
      <c r="AL928" s="12"/>
      <c r="AM928" s="12"/>
      <c r="AN928" s="1"/>
      <c r="AO928" s="6"/>
    </row>
    <row r="929" spans="1:41" ht="15" x14ac:dyDescent="0.25">
      <c r="A929" s="1"/>
      <c r="B929" s="1"/>
      <c r="C929" s="1"/>
      <c r="D929" s="1"/>
      <c r="E929" s="6"/>
      <c r="F929" s="1"/>
      <c r="G929" s="6"/>
      <c r="H929" s="6"/>
      <c r="I929" s="6"/>
      <c r="J929" s="6"/>
      <c r="K929" s="6"/>
      <c r="L929" s="6"/>
      <c r="M929" s="6"/>
      <c r="N929" s="6"/>
      <c r="O929" s="7"/>
      <c r="P929" s="12"/>
      <c r="Q929" s="6"/>
      <c r="R929" s="7"/>
      <c r="S929" s="6"/>
      <c r="T929" s="6"/>
      <c r="U929" s="7"/>
      <c r="V929" s="6"/>
      <c r="W929" s="6"/>
      <c r="X929" s="6"/>
      <c r="Y929" s="6"/>
      <c r="Z929" s="6"/>
      <c r="AA929" s="7"/>
      <c r="AB929" s="6"/>
      <c r="AC929" s="6"/>
      <c r="AD929" s="6"/>
      <c r="AE929" s="12"/>
      <c r="AF929" s="12"/>
      <c r="AG929" s="12"/>
      <c r="AH929" s="12"/>
      <c r="AI929" s="6"/>
      <c r="AJ929" s="12"/>
      <c r="AK929" s="1"/>
      <c r="AL929" s="12"/>
      <c r="AM929" s="12"/>
      <c r="AN929" s="1"/>
      <c r="AO929" s="6"/>
    </row>
    <row r="930" spans="1:41" ht="15" x14ac:dyDescent="0.25">
      <c r="A930" s="1"/>
      <c r="B930" s="1"/>
      <c r="C930" s="1"/>
      <c r="D930" s="1"/>
      <c r="E930" s="6"/>
      <c r="F930" s="1"/>
      <c r="G930" s="6"/>
      <c r="H930" s="6"/>
      <c r="I930" s="6"/>
      <c r="J930" s="6"/>
      <c r="K930" s="6"/>
      <c r="L930" s="6"/>
      <c r="M930" s="6"/>
      <c r="N930" s="6"/>
      <c r="O930" s="7"/>
      <c r="P930" s="6"/>
      <c r="Q930" s="6"/>
      <c r="R930" s="7"/>
      <c r="S930" s="6"/>
      <c r="T930" s="6"/>
      <c r="U930" s="7"/>
      <c r="V930" s="6"/>
      <c r="W930" s="6"/>
      <c r="X930" s="12"/>
      <c r="Y930" s="6"/>
      <c r="Z930" s="6"/>
      <c r="AA930" s="7"/>
      <c r="AB930" s="6"/>
      <c r="AC930" s="6"/>
      <c r="AD930" s="6"/>
      <c r="AE930" s="12"/>
      <c r="AF930" s="6"/>
      <c r="AG930" s="12"/>
      <c r="AH930" s="6"/>
      <c r="AI930" s="6"/>
      <c r="AJ930" s="12"/>
      <c r="AK930" s="1"/>
      <c r="AL930" s="12"/>
      <c r="AM930" s="12"/>
      <c r="AN930" s="1"/>
      <c r="AO930" s="6"/>
    </row>
    <row r="931" spans="1:41" ht="15" x14ac:dyDescent="0.25">
      <c r="A931" s="1"/>
      <c r="B931" s="1"/>
      <c r="C931" s="1"/>
      <c r="D931" s="1"/>
      <c r="E931" s="6"/>
      <c r="F931" s="1"/>
      <c r="G931" s="6"/>
      <c r="H931" s="6"/>
      <c r="I931" s="6"/>
      <c r="J931" s="6"/>
      <c r="K931" s="6"/>
      <c r="L931" s="6"/>
      <c r="M931" s="6"/>
      <c r="N931" s="6"/>
      <c r="O931" s="7"/>
      <c r="P931" s="6"/>
      <c r="Q931" s="6"/>
      <c r="R931" s="7"/>
      <c r="S931" s="6"/>
      <c r="T931" s="6"/>
      <c r="U931" s="7"/>
      <c r="V931" s="6"/>
      <c r="W931" s="6"/>
      <c r="X931" s="12"/>
      <c r="Y931" s="6"/>
      <c r="Z931" s="6"/>
      <c r="AA931" s="7"/>
      <c r="AB931" s="6"/>
      <c r="AC931" s="6"/>
      <c r="AD931" s="6"/>
      <c r="AE931" s="12"/>
      <c r="AF931" s="12"/>
      <c r="AG931" s="12"/>
      <c r="AH931" s="12"/>
      <c r="AI931" s="6"/>
      <c r="AJ931" s="12"/>
      <c r="AK931" s="1"/>
      <c r="AL931" s="12"/>
      <c r="AM931" s="12"/>
      <c r="AN931" s="1"/>
      <c r="AO931" s="6"/>
    </row>
    <row r="932" spans="1:41" ht="15" x14ac:dyDescent="0.25">
      <c r="A932" s="1"/>
      <c r="B932" s="1"/>
      <c r="C932" s="1"/>
      <c r="D932" s="1"/>
      <c r="E932" s="6"/>
      <c r="F932" s="1"/>
      <c r="G932" s="6"/>
      <c r="H932" s="6"/>
      <c r="I932" s="6"/>
      <c r="J932" s="6"/>
      <c r="K932" s="6"/>
      <c r="L932" s="6"/>
      <c r="M932" s="6"/>
      <c r="N932" s="6"/>
      <c r="O932" s="7"/>
      <c r="P932" s="6"/>
      <c r="Q932" s="6"/>
      <c r="R932" s="7"/>
      <c r="S932" s="6"/>
      <c r="T932" s="6"/>
      <c r="U932" s="7"/>
      <c r="V932" s="6"/>
      <c r="W932" s="6"/>
      <c r="X932" s="12"/>
      <c r="Y932" s="6"/>
      <c r="Z932" s="6"/>
      <c r="AA932" s="7"/>
      <c r="AB932" s="6"/>
      <c r="AC932" s="6"/>
      <c r="AD932" s="6"/>
      <c r="AE932" s="12"/>
      <c r="AF932" s="12"/>
      <c r="AG932" s="12"/>
      <c r="AH932" s="12"/>
      <c r="AI932" s="6"/>
      <c r="AJ932" s="12"/>
      <c r="AK932" s="1"/>
      <c r="AL932" s="12"/>
      <c r="AM932" s="12"/>
      <c r="AN932" s="1"/>
      <c r="AO932" s="6"/>
    </row>
    <row r="933" spans="1:41" ht="15" x14ac:dyDescent="0.25">
      <c r="A933" s="1"/>
      <c r="B933" s="1"/>
      <c r="C933" s="1"/>
      <c r="D933" s="1"/>
      <c r="E933" s="6"/>
      <c r="F933" s="1"/>
      <c r="G933" s="6"/>
      <c r="H933" s="6"/>
      <c r="I933" s="6"/>
      <c r="J933" s="6"/>
      <c r="K933" s="6"/>
      <c r="L933" s="6"/>
      <c r="M933" s="6"/>
      <c r="N933" s="6"/>
      <c r="O933" s="7"/>
      <c r="P933" s="6"/>
      <c r="Q933" s="6"/>
      <c r="R933" s="7"/>
      <c r="S933" s="6"/>
      <c r="T933" s="6"/>
      <c r="U933" s="7"/>
      <c r="V933" s="6"/>
      <c r="W933" s="6"/>
      <c r="X933" s="12"/>
      <c r="Y933" s="6"/>
      <c r="Z933" s="6"/>
      <c r="AA933" s="7"/>
      <c r="AB933" s="6"/>
      <c r="AC933" s="6"/>
      <c r="AD933" s="6"/>
      <c r="AE933" s="12"/>
      <c r="AF933" s="6"/>
      <c r="AG933" s="12"/>
      <c r="AH933" s="6"/>
      <c r="AI933" s="6"/>
      <c r="AJ933" s="12"/>
      <c r="AK933" s="24"/>
      <c r="AL933" s="25"/>
      <c r="AM933" s="12"/>
      <c r="AN933" s="1"/>
      <c r="AO933" s="6"/>
    </row>
    <row r="934" spans="1:41" ht="15" x14ac:dyDescent="0.25">
      <c r="A934" s="1"/>
      <c r="B934" s="1"/>
      <c r="C934" s="1"/>
      <c r="D934" s="1"/>
      <c r="E934" s="6"/>
      <c r="F934" s="1"/>
      <c r="G934" s="6"/>
      <c r="H934" s="6"/>
      <c r="I934" s="6"/>
      <c r="J934" s="6"/>
      <c r="K934" s="6"/>
      <c r="L934" s="6"/>
      <c r="M934" s="6"/>
      <c r="N934" s="6"/>
      <c r="O934" s="7"/>
      <c r="P934" s="6"/>
      <c r="Q934" s="6"/>
      <c r="R934" s="7"/>
      <c r="S934" s="6"/>
      <c r="T934" s="6"/>
      <c r="U934" s="7"/>
      <c r="V934" s="6"/>
      <c r="W934" s="6"/>
      <c r="X934" s="6"/>
      <c r="Y934" s="6"/>
      <c r="Z934" s="6"/>
      <c r="AA934" s="7"/>
      <c r="AB934" s="6"/>
      <c r="AC934" s="6"/>
      <c r="AD934" s="6"/>
      <c r="AE934" s="12"/>
      <c r="AF934" s="6"/>
      <c r="AG934" s="12"/>
      <c r="AH934" s="6"/>
      <c r="AI934" s="6"/>
      <c r="AJ934" s="12"/>
      <c r="AK934" s="1"/>
      <c r="AL934" s="12"/>
      <c r="AM934" s="12"/>
      <c r="AN934" s="1"/>
      <c r="AO934" s="6"/>
    </row>
    <row r="935" spans="1:41" ht="15" x14ac:dyDescent="0.25">
      <c r="A935" s="1"/>
      <c r="B935" s="1"/>
      <c r="C935" s="1"/>
      <c r="D935" s="1"/>
      <c r="E935" s="6"/>
      <c r="F935" s="1"/>
      <c r="G935" s="6"/>
      <c r="H935" s="6"/>
      <c r="I935" s="6"/>
      <c r="J935" s="6"/>
      <c r="K935" s="6"/>
      <c r="L935" s="6"/>
      <c r="M935" s="6"/>
      <c r="N935" s="6"/>
      <c r="O935" s="7"/>
      <c r="P935" s="6"/>
      <c r="Q935" s="6"/>
      <c r="R935" s="12"/>
      <c r="S935" s="12"/>
      <c r="T935" s="12"/>
      <c r="U935" s="7"/>
      <c r="V935" s="6"/>
      <c r="W935" s="6"/>
      <c r="X935" s="12"/>
      <c r="Y935" s="6"/>
      <c r="Z935" s="6"/>
      <c r="AA935" s="7"/>
      <c r="AB935" s="6"/>
      <c r="AC935" s="6"/>
      <c r="AD935" s="6"/>
      <c r="AE935" s="12"/>
      <c r="AF935" s="6"/>
      <c r="AG935" s="12"/>
      <c r="AH935" s="6"/>
      <c r="AI935" s="6"/>
      <c r="AJ935" s="12"/>
      <c r="AK935" s="1"/>
      <c r="AL935" s="12"/>
      <c r="AM935" s="12"/>
      <c r="AN935" s="1"/>
      <c r="AO935" s="6"/>
    </row>
    <row r="936" spans="1:41" ht="15" x14ac:dyDescent="0.25">
      <c r="A936" s="1"/>
      <c r="B936" s="1"/>
      <c r="C936" s="1"/>
      <c r="D936" s="1"/>
      <c r="E936" s="6"/>
      <c r="F936" s="1"/>
      <c r="G936" s="6"/>
      <c r="H936" s="6"/>
      <c r="I936" s="6"/>
      <c r="J936" s="6"/>
      <c r="K936" s="6"/>
      <c r="L936" s="6"/>
      <c r="M936" s="6"/>
      <c r="N936" s="6"/>
      <c r="O936" s="7"/>
      <c r="P936" s="6"/>
      <c r="Q936" s="6"/>
      <c r="R936" s="7"/>
      <c r="S936" s="6"/>
      <c r="T936" s="6"/>
      <c r="U936" s="7"/>
      <c r="V936" s="6"/>
      <c r="W936" s="6"/>
      <c r="X936" s="12"/>
      <c r="Y936" s="6"/>
      <c r="Z936" s="6"/>
      <c r="AA936" s="7"/>
      <c r="AB936" s="6"/>
      <c r="AC936" s="6"/>
      <c r="AD936" s="6"/>
      <c r="AE936" s="12"/>
      <c r="AF936" s="12"/>
      <c r="AG936" s="12"/>
      <c r="AH936" s="12"/>
      <c r="AI936" s="6"/>
      <c r="AJ936" s="12"/>
      <c r="AK936" s="1"/>
      <c r="AL936" s="12"/>
      <c r="AM936" s="12"/>
      <c r="AN936" s="1"/>
      <c r="AO936" s="6"/>
    </row>
    <row r="937" spans="1:41" ht="15" x14ac:dyDescent="0.25">
      <c r="A937" s="1"/>
      <c r="B937" s="1"/>
      <c r="C937" s="1"/>
      <c r="D937" s="1"/>
      <c r="E937" s="6"/>
      <c r="F937" s="1"/>
      <c r="G937" s="6"/>
      <c r="H937" s="6"/>
      <c r="I937" s="6"/>
      <c r="J937" s="6"/>
      <c r="K937" s="6"/>
      <c r="L937" s="6"/>
      <c r="M937" s="6"/>
      <c r="N937" s="6"/>
      <c r="O937" s="7"/>
      <c r="P937" s="6"/>
      <c r="Q937" s="6"/>
      <c r="R937" s="7"/>
      <c r="S937" s="6"/>
      <c r="T937" s="6"/>
      <c r="U937" s="7"/>
      <c r="V937" s="6"/>
      <c r="W937" s="6"/>
      <c r="X937" s="6"/>
      <c r="Y937" s="6"/>
      <c r="Z937" s="6"/>
      <c r="AA937" s="7"/>
      <c r="AB937" s="6"/>
      <c r="AC937" s="6"/>
      <c r="AD937" s="6"/>
      <c r="AE937" s="12"/>
      <c r="AF937" s="6"/>
      <c r="AG937" s="12"/>
      <c r="AH937" s="6"/>
      <c r="AI937" s="6"/>
      <c r="AJ937" s="12"/>
      <c r="AK937" s="24"/>
      <c r="AL937" s="25"/>
      <c r="AM937" s="12"/>
      <c r="AN937" s="1"/>
      <c r="AO937" s="6"/>
    </row>
    <row r="938" spans="1:41" ht="15" x14ac:dyDescent="0.25">
      <c r="A938" s="1"/>
      <c r="B938" s="1"/>
      <c r="C938" s="1"/>
      <c r="D938" s="1"/>
      <c r="E938" s="6"/>
      <c r="F938" s="1"/>
      <c r="G938" s="6"/>
      <c r="H938" s="6"/>
      <c r="I938" s="6"/>
      <c r="J938" s="6"/>
      <c r="K938" s="6"/>
      <c r="L938" s="6"/>
      <c r="M938" s="6"/>
      <c r="N938" s="6"/>
      <c r="O938" s="7"/>
      <c r="P938" s="6"/>
      <c r="Q938" s="6"/>
      <c r="R938" s="7"/>
      <c r="S938" s="6"/>
      <c r="T938" s="6"/>
      <c r="U938" s="7"/>
      <c r="V938" s="6"/>
      <c r="W938" s="6"/>
      <c r="X938" s="6"/>
      <c r="Y938" s="6"/>
      <c r="Z938" s="6"/>
      <c r="AA938" s="7"/>
      <c r="AB938" s="6"/>
      <c r="AC938" s="6"/>
      <c r="AD938" s="6"/>
      <c r="AE938" s="12"/>
      <c r="AF938" s="6"/>
      <c r="AG938" s="12"/>
      <c r="AH938" s="6"/>
      <c r="AI938" s="6"/>
      <c r="AJ938" s="12"/>
      <c r="AK938" s="24"/>
      <c r="AL938" s="25"/>
      <c r="AM938" s="12"/>
      <c r="AN938" s="1"/>
      <c r="AO938" s="6"/>
    </row>
    <row r="939" spans="1:41" ht="15" x14ac:dyDescent="0.25">
      <c r="A939" s="1"/>
      <c r="B939" s="1"/>
      <c r="C939" s="1"/>
      <c r="D939" s="1"/>
      <c r="E939" s="6"/>
      <c r="F939" s="1"/>
      <c r="G939" s="6"/>
      <c r="H939" s="6"/>
      <c r="I939" s="6"/>
      <c r="J939" s="6"/>
      <c r="K939" s="6"/>
      <c r="L939" s="6"/>
      <c r="M939" s="6"/>
      <c r="N939" s="6"/>
      <c r="O939" s="7"/>
      <c r="P939" s="6"/>
      <c r="Q939" s="6"/>
      <c r="R939" s="7"/>
      <c r="S939" s="6"/>
      <c r="T939" s="6"/>
      <c r="U939" s="7"/>
      <c r="V939" s="6"/>
      <c r="W939" s="6"/>
      <c r="X939" s="6"/>
      <c r="Y939" s="6"/>
      <c r="Z939" s="6"/>
      <c r="AA939" s="7"/>
      <c r="AB939" s="6"/>
      <c r="AC939" s="6"/>
      <c r="AD939" s="6"/>
      <c r="AE939" s="12"/>
      <c r="AF939" s="12"/>
      <c r="AG939" s="12"/>
      <c r="AH939" s="12"/>
      <c r="AI939" s="6"/>
      <c r="AJ939" s="12"/>
      <c r="AK939" s="1"/>
      <c r="AL939" s="12"/>
      <c r="AM939" s="12"/>
      <c r="AN939" s="1"/>
      <c r="AO939" s="6"/>
    </row>
    <row r="940" spans="1:41" ht="15" x14ac:dyDescent="0.25">
      <c r="A940" s="1"/>
      <c r="B940" s="1"/>
      <c r="C940" s="1"/>
      <c r="D940" s="1"/>
      <c r="E940" s="6"/>
      <c r="F940" s="1"/>
      <c r="G940" s="6"/>
      <c r="H940" s="6"/>
      <c r="I940" s="6"/>
      <c r="J940" s="6"/>
      <c r="K940" s="6"/>
      <c r="L940" s="6"/>
      <c r="M940" s="6"/>
      <c r="N940" s="6"/>
      <c r="O940" s="7"/>
      <c r="P940" s="12"/>
      <c r="Q940" s="6"/>
      <c r="R940" s="7"/>
      <c r="S940" s="6"/>
      <c r="T940" s="6"/>
      <c r="U940" s="7"/>
      <c r="V940" s="6"/>
      <c r="W940" s="6"/>
      <c r="X940" s="12"/>
      <c r="Y940" s="6"/>
      <c r="Z940" s="6"/>
      <c r="AA940" s="7"/>
      <c r="AB940" s="6"/>
      <c r="AC940" s="6"/>
      <c r="AD940" s="6"/>
      <c r="AE940" s="12"/>
      <c r="AF940" s="12"/>
      <c r="AG940" s="12"/>
      <c r="AH940" s="12"/>
      <c r="AI940" s="6"/>
      <c r="AJ940" s="12"/>
      <c r="AK940" s="24"/>
      <c r="AL940" s="25"/>
      <c r="AM940" s="12"/>
      <c r="AN940" s="1"/>
      <c r="AO940" s="6"/>
    </row>
    <row r="941" spans="1:41" ht="15" x14ac:dyDescent="0.25">
      <c r="A941" s="1"/>
      <c r="B941" s="1"/>
      <c r="C941" s="1"/>
      <c r="D941" s="1"/>
      <c r="E941" s="6"/>
      <c r="F941" s="1"/>
      <c r="G941" s="6"/>
      <c r="H941" s="6"/>
      <c r="I941" s="6"/>
      <c r="J941" s="6"/>
      <c r="K941" s="6"/>
      <c r="L941" s="6"/>
      <c r="M941" s="6"/>
      <c r="N941" s="6"/>
      <c r="O941" s="7"/>
      <c r="P941" s="6"/>
      <c r="Q941" s="6"/>
      <c r="R941" s="7"/>
      <c r="S941" s="6"/>
      <c r="T941" s="6"/>
      <c r="U941" s="7"/>
      <c r="V941" s="6"/>
      <c r="W941" s="6"/>
      <c r="X941" s="12"/>
      <c r="Y941" s="6"/>
      <c r="Z941" s="6"/>
      <c r="AA941" s="7"/>
      <c r="AB941" s="6"/>
      <c r="AC941" s="6"/>
      <c r="AD941" s="6"/>
      <c r="AE941" s="12"/>
      <c r="AF941" s="6"/>
      <c r="AG941" s="12"/>
      <c r="AH941" s="6"/>
      <c r="AI941" s="6"/>
      <c r="AJ941" s="12"/>
      <c r="AK941" s="24"/>
      <c r="AL941" s="25"/>
      <c r="AM941" s="12"/>
      <c r="AN941" s="1"/>
      <c r="AO941" s="6"/>
    </row>
    <row r="942" spans="1:41" ht="15" x14ac:dyDescent="0.25">
      <c r="A942" s="1"/>
      <c r="B942" s="1"/>
      <c r="C942" s="1"/>
      <c r="D942" s="1"/>
      <c r="E942" s="6"/>
      <c r="F942" s="1"/>
      <c r="G942" s="6"/>
      <c r="H942" s="6"/>
      <c r="I942" s="6"/>
      <c r="J942" s="6"/>
      <c r="K942" s="6"/>
      <c r="L942" s="6"/>
      <c r="M942" s="6"/>
      <c r="N942" s="6"/>
      <c r="O942" s="7"/>
      <c r="P942" s="6"/>
      <c r="Q942" s="7"/>
      <c r="R942" s="6"/>
      <c r="S942" s="6"/>
      <c r="T942" s="6"/>
      <c r="U942" s="6"/>
      <c r="V942" s="7"/>
      <c r="W942" s="6"/>
      <c r="X942" s="6"/>
      <c r="Y942" s="6"/>
      <c r="Z942" s="6"/>
      <c r="AA942" s="24"/>
      <c r="AB942" s="25"/>
      <c r="AC942" s="12"/>
      <c r="AD942" s="12"/>
      <c r="AE942" s="12"/>
      <c r="AF942" s="6"/>
      <c r="AG942" s="12"/>
      <c r="AH942" s="6"/>
      <c r="AI942" s="6"/>
      <c r="AJ942" s="12"/>
      <c r="AK942" s="12"/>
      <c r="AL942" s="12"/>
      <c r="AM942" s="12"/>
      <c r="AN942" s="1"/>
      <c r="AO942" s="6"/>
    </row>
    <row r="943" spans="1:41" ht="15" x14ac:dyDescent="0.25">
      <c r="A943" s="1"/>
      <c r="B943" s="1"/>
      <c r="C943" s="1"/>
      <c r="D943" s="1"/>
      <c r="E943" s="6"/>
      <c r="F943" s="1"/>
      <c r="G943" s="6"/>
      <c r="H943" s="6"/>
      <c r="I943" s="6"/>
      <c r="J943" s="6"/>
      <c r="K943" s="6"/>
      <c r="L943" s="6"/>
      <c r="M943" s="6"/>
      <c r="N943" s="6"/>
      <c r="O943" s="7"/>
      <c r="P943" s="12"/>
      <c r="Q943" s="6"/>
      <c r="R943" s="7"/>
      <c r="S943" s="6"/>
      <c r="T943" s="6"/>
      <c r="U943" s="7"/>
      <c r="V943" s="6"/>
      <c r="W943" s="6"/>
      <c r="X943" s="6"/>
      <c r="Y943" s="6"/>
      <c r="Z943" s="6"/>
      <c r="AA943" s="7"/>
      <c r="AB943" s="6"/>
      <c r="AC943" s="6"/>
      <c r="AD943" s="6"/>
      <c r="AE943" s="12"/>
      <c r="AF943" s="6"/>
      <c r="AG943" s="12"/>
      <c r="AH943" s="6"/>
      <c r="AI943" s="6"/>
      <c r="AJ943" s="12"/>
      <c r="AK943" s="24"/>
      <c r="AL943" s="25"/>
      <c r="AM943" s="12"/>
      <c r="AN943" s="1"/>
      <c r="AO943" s="6"/>
    </row>
    <row r="944" spans="1:41" ht="15" x14ac:dyDescent="0.25">
      <c r="A944" s="1"/>
      <c r="B944" s="1"/>
      <c r="C944" s="1"/>
      <c r="D944" s="1"/>
      <c r="E944" s="6"/>
      <c r="F944" s="1"/>
      <c r="G944" s="6"/>
      <c r="H944" s="6"/>
      <c r="I944" s="6"/>
      <c r="J944" s="6"/>
      <c r="K944" s="6"/>
      <c r="L944" s="6"/>
      <c r="M944" s="6"/>
      <c r="N944" s="6"/>
      <c r="O944" s="7"/>
      <c r="P944" s="12"/>
      <c r="Q944" s="6"/>
      <c r="R944" s="7"/>
      <c r="S944" s="6"/>
      <c r="T944" s="6"/>
      <c r="U944" s="7"/>
      <c r="V944" s="6"/>
      <c r="W944" s="6"/>
      <c r="X944" s="6"/>
      <c r="Y944" s="6"/>
      <c r="Z944" s="6"/>
      <c r="AA944" s="7"/>
      <c r="AB944" s="6"/>
      <c r="AC944" s="6"/>
      <c r="AD944" s="6"/>
      <c r="AE944" s="12"/>
      <c r="AF944" s="12"/>
      <c r="AG944" s="12"/>
      <c r="AH944" s="12"/>
      <c r="AI944" s="6"/>
      <c r="AJ944" s="12"/>
      <c r="AK944" s="1"/>
      <c r="AL944" s="12"/>
      <c r="AM944" s="12"/>
      <c r="AN944" s="1"/>
      <c r="AO944" s="6"/>
    </row>
    <row r="945" spans="1:41" ht="15" x14ac:dyDescent="0.25">
      <c r="A945" s="1"/>
      <c r="B945" s="1"/>
      <c r="C945" s="1"/>
      <c r="D945" s="1"/>
      <c r="E945" s="6"/>
      <c r="F945" s="1"/>
      <c r="G945" s="6"/>
      <c r="H945" s="6"/>
      <c r="I945" s="6"/>
      <c r="J945" s="6"/>
      <c r="K945" s="6"/>
      <c r="L945" s="6"/>
      <c r="M945" s="6"/>
      <c r="N945" s="6"/>
      <c r="O945" s="7"/>
      <c r="P945" s="6"/>
      <c r="Q945" s="6"/>
      <c r="R945" s="7"/>
      <c r="S945" s="6"/>
      <c r="T945" s="6"/>
      <c r="U945" s="7"/>
      <c r="V945" s="6"/>
      <c r="W945" s="6"/>
      <c r="X945" s="12"/>
      <c r="Y945" s="6"/>
      <c r="Z945" s="6"/>
      <c r="AA945" s="7"/>
      <c r="AB945" s="6"/>
      <c r="AC945" s="6"/>
      <c r="AD945" s="6"/>
      <c r="AE945" s="12"/>
      <c r="AF945" s="6"/>
      <c r="AG945" s="12"/>
      <c r="AH945" s="6"/>
      <c r="AI945" s="6"/>
      <c r="AJ945" s="12"/>
      <c r="AK945" s="24"/>
      <c r="AL945" s="25"/>
      <c r="AM945" s="12"/>
      <c r="AN945" s="1"/>
      <c r="AO945" s="6"/>
    </row>
    <row r="946" spans="1:41" ht="15" x14ac:dyDescent="0.25">
      <c r="A946" s="1"/>
      <c r="B946" s="1"/>
      <c r="C946" s="1"/>
      <c r="D946" s="1"/>
      <c r="E946" s="6"/>
      <c r="F946" s="1"/>
      <c r="G946" s="6"/>
      <c r="H946" s="6"/>
      <c r="I946" s="6"/>
      <c r="J946" s="6"/>
      <c r="K946" s="6"/>
      <c r="L946" s="6"/>
      <c r="M946" s="6"/>
      <c r="N946" s="6"/>
      <c r="O946" s="7"/>
      <c r="P946" s="6"/>
      <c r="Q946" s="6"/>
      <c r="R946" s="7"/>
      <c r="S946" s="6"/>
      <c r="T946" s="6"/>
      <c r="U946" s="7"/>
      <c r="V946" s="6"/>
      <c r="W946" s="6"/>
      <c r="X946" s="6"/>
      <c r="Y946" s="6"/>
      <c r="Z946" s="6"/>
      <c r="AA946" s="7"/>
      <c r="AB946" s="6"/>
      <c r="AC946" s="6"/>
      <c r="AD946" s="6"/>
      <c r="AE946" s="12"/>
      <c r="AF946" s="12"/>
      <c r="AG946" s="12"/>
      <c r="AH946" s="12"/>
      <c r="AI946" s="6"/>
      <c r="AJ946" s="12"/>
      <c r="AK946" s="1"/>
      <c r="AL946" s="12"/>
      <c r="AM946" s="12"/>
      <c r="AN946" s="1"/>
      <c r="AO946" s="6"/>
    </row>
    <row r="947" spans="1:41" ht="15" x14ac:dyDescent="0.25">
      <c r="A947" s="1"/>
      <c r="B947" s="1"/>
      <c r="C947" s="1"/>
      <c r="D947" s="1"/>
      <c r="E947" s="6"/>
      <c r="F947" s="1"/>
      <c r="G947" s="6"/>
      <c r="H947" s="6"/>
      <c r="I947" s="6"/>
      <c r="J947" s="6"/>
      <c r="K947" s="6"/>
      <c r="L947" s="6"/>
      <c r="M947" s="6"/>
      <c r="N947" s="6"/>
      <c r="O947" s="7"/>
      <c r="P947" s="12"/>
      <c r="Q947" s="6"/>
      <c r="R947" s="7"/>
      <c r="S947" s="6"/>
      <c r="T947" s="6"/>
      <c r="U947" s="7"/>
      <c r="V947" s="6"/>
      <c r="W947" s="6"/>
      <c r="X947" s="6"/>
      <c r="Y947" s="6"/>
      <c r="Z947" s="6"/>
      <c r="AA947" s="7"/>
      <c r="AB947" s="6"/>
      <c r="AC947" s="6"/>
      <c r="AD947" s="6"/>
      <c r="AE947" s="12"/>
      <c r="AF947" s="6"/>
      <c r="AG947" s="12"/>
      <c r="AH947" s="6"/>
      <c r="AI947" s="6"/>
      <c r="AJ947" s="12"/>
      <c r="AK947" s="1"/>
      <c r="AL947" s="12"/>
      <c r="AM947" s="12"/>
      <c r="AN947" s="1"/>
      <c r="AO947" s="6"/>
    </row>
    <row r="948" spans="1:41" ht="15" x14ac:dyDescent="0.25">
      <c r="A948" s="1"/>
      <c r="B948" s="1"/>
      <c r="C948" s="1"/>
      <c r="D948" s="1"/>
      <c r="E948" s="6"/>
      <c r="F948" s="1"/>
      <c r="G948" s="6"/>
      <c r="H948" s="6"/>
      <c r="I948" s="6"/>
      <c r="J948" s="6"/>
      <c r="K948" s="6"/>
      <c r="L948" s="6"/>
      <c r="M948" s="6"/>
      <c r="N948" s="6"/>
      <c r="O948" s="7"/>
      <c r="P948" s="6"/>
      <c r="Q948" s="6"/>
      <c r="R948" s="7"/>
      <c r="S948" s="6"/>
      <c r="T948" s="6"/>
      <c r="U948" s="7"/>
      <c r="V948" s="6"/>
      <c r="W948" s="6"/>
      <c r="X948" s="6"/>
      <c r="Y948" s="6"/>
      <c r="Z948" s="6"/>
      <c r="AA948" s="7"/>
      <c r="AB948" s="6"/>
      <c r="AC948" s="6"/>
      <c r="AD948" s="6"/>
      <c r="AE948" s="12"/>
      <c r="AF948" s="12"/>
      <c r="AG948" s="12"/>
      <c r="AH948" s="12"/>
      <c r="AI948" s="6"/>
      <c r="AJ948" s="12"/>
      <c r="AK948" s="1"/>
      <c r="AL948" s="12"/>
      <c r="AM948" s="12"/>
      <c r="AN948" s="1"/>
      <c r="AO948" s="6"/>
    </row>
    <row r="949" spans="1:41" ht="15" x14ac:dyDescent="0.25">
      <c r="A949" s="1"/>
      <c r="B949" s="1"/>
      <c r="C949" s="1"/>
      <c r="D949" s="1"/>
      <c r="E949" s="6"/>
      <c r="F949" s="1"/>
      <c r="G949" s="6"/>
      <c r="H949" s="6"/>
      <c r="I949" s="6"/>
      <c r="J949" s="6"/>
      <c r="K949" s="6"/>
      <c r="L949" s="6"/>
      <c r="M949" s="6"/>
      <c r="N949" s="6"/>
      <c r="O949" s="7"/>
      <c r="P949" s="6"/>
      <c r="Q949" s="6"/>
      <c r="R949" s="7"/>
      <c r="S949" s="6"/>
      <c r="T949" s="6"/>
      <c r="U949" s="7"/>
      <c r="V949" s="6"/>
      <c r="W949" s="6"/>
      <c r="X949" s="12"/>
      <c r="Y949" s="6"/>
      <c r="Z949" s="6"/>
      <c r="AA949" s="7"/>
      <c r="AB949" s="6"/>
      <c r="AC949" s="6"/>
      <c r="AD949" s="6"/>
      <c r="AE949" s="12"/>
      <c r="AF949" s="12"/>
      <c r="AG949" s="12"/>
      <c r="AH949" s="12"/>
      <c r="AI949" s="6"/>
      <c r="AJ949" s="12"/>
      <c r="AK949" s="1"/>
      <c r="AL949" s="12"/>
      <c r="AM949" s="12"/>
      <c r="AN949" s="1"/>
      <c r="AO949" s="12"/>
    </row>
    <row r="950" spans="1:41" ht="15" x14ac:dyDescent="0.25">
      <c r="A950" s="1"/>
      <c r="B950" s="1"/>
      <c r="C950" s="1"/>
      <c r="D950" s="1"/>
      <c r="E950" s="6"/>
      <c r="F950" s="1"/>
      <c r="G950" s="6"/>
      <c r="H950" s="6"/>
      <c r="I950" s="6"/>
      <c r="J950" s="6"/>
      <c r="K950" s="6"/>
      <c r="L950" s="6"/>
      <c r="M950" s="6"/>
      <c r="N950" s="6"/>
      <c r="O950" s="7"/>
      <c r="P950" s="6"/>
      <c r="Q950" s="6"/>
      <c r="R950" s="7"/>
      <c r="S950" s="6"/>
      <c r="T950" s="6"/>
      <c r="U950" s="7"/>
      <c r="V950" s="6"/>
      <c r="W950" s="6"/>
      <c r="X950" s="6"/>
      <c r="Y950" s="6"/>
      <c r="Z950" s="6"/>
      <c r="AA950" s="7"/>
      <c r="AB950" s="6"/>
      <c r="AC950" s="6"/>
      <c r="AD950" s="6"/>
      <c r="AE950" s="12"/>
      <c r="AF950" s="6"/>
      <c r="AG950" s="12"/>
      <c r="AH950" s="6"/>
      <c r="AI950" s="6"/>
      <c r="AJ950" s="12"/>
      <c r="AK950" s="1"/>
      <c r="AL950" s="12"/>
      <c r="AM950" s="12"/>
      <c r="AN950" s="1"/>
      <c r="AO950" s="6"/>
    </row>
    <row r="951" spans="1:41" ht="15" x14ac:dyDescent="0.25">
      <c r="A951" s="1"/>
      <c r="B951" s="1"/>
      <c r="C951" s="1"/>
      <c r="D951" s="1"/>
      <c r="E951" s="6"/>
      <c r="F951" s="1"/>
      <c r="G951" s="6"/>
      <c r="H951" s="6"/>
      <c r="I951" s="6"/>
      <c r="J951" s="6"/>
      <c r="K951" s="12"/>
      <c r="L951" s="12"/>
      <c r="M951" s="6"/>
      <c r="N951" s="6"/>
      <c r="O951" s="7"/>
      <c r="P951" s="6"/>
      <c r="Q951" s="6"/>
      <c r="R951" s="7"/>
      <c r="S951" s="6"/>
      <c r="T951" s="6"/>
      <c r="U951" s="7"/>
      <c r="V951" s="6"/>
      <c r="W951" s="6"/>
      <c r="X951" s="12"/>
      <c r="Y951" s="6"/>
      <c r="Z951" s="6"/>
      <c r="AA951" s="7"/>
      <c r="AB951" s="6"/>
      <c r="AC951" s="6"/>
      <c r="AD951" s="6"/>
      <c r="AE951" s="12"/>
      <c r="AF951" s="12"/>
      <c r="AG951" s="12"/>
      <c r="AH951" s="12"/>
      <c r="AI951" s="6"/>
      <c r="AJ951" s="12"/>
      <c r="AK951" s="1"/>
      <c r="AL951" s="12"/>
      <c r="AM951" s="12"/>
      <c r="AN951" s="1"/>
      <c r="AO951" s="6"/>
    </row>
    <row r="952" spans="1:41" ht="15" x14ac:dyDescent="0.25">
      <c r="A952" s="1"/>
      <c r="B952" s="1"/>
      <c r="C952" s="1"/>
      <c r="D952" s="1"/>
      <c r="E952" s="6"/>
      <c r="F952" s="1"/>
      <c r="G952" s="6"/>
      <c r="H952" s="6"/>
      <c r="I952" s="6"/>
      <c r="J952" s="6"/>
      <c r="K952" s="6"/>
      <c r="L952" s="6"/>
      <c r="M952" s="6"/>
      <c r="N952" s="6"/>
      <c r="O952" s="7"/>
      <c r="P952" s="12"/>
      <c r="Q952" s="6"/>
      <c r="R952" s="7"/>
      <c r="S952" s="6"/>
      <c r="T952" s="6"/>
      <c r="U952" s="7"/>
      <c r="V952" s="6"/>
      <c r="W952" s="6"/>
      <c r="X952" s="6"/>
      <c r="Y952" s="6"/>
      <c r="Z952" s="6"/>
      <c r="AA952" s="7"/>
      <c r="AB952" s="6"/>
      <c r="AC952" s="6"/>
      <c r="AD952" s="6"/>
      <c r="AE952" s="12"/>
      <c r="AF952" s="12"/>
      <c r="AG952" s="12"/>
      <c r="AH952" s="12"/>
      <c r="AI952" s="6"/>
      <c r="AJ952" s="12"/>
      <c r="AK952" s="1"/>
      <c r="AL952" s="12"/>
      <c r="AM952" s="12"/>
      <c r="AN952" s="1"/>
      <c r="AO952" s="6"/>
    </row>
    <row r="953" spans="1:41" ht="15" x14ac:dyDescent="0.25">
      <c r="A953" s="1"/>
      <c r="B953" s="1"/>
      <c r="C953" s="1"/>
      <c r="D953" s="1"/>
      <c r="E953" s="6"/>
      <c r="F953" s="1"/>
      <c r="G953" s="6"/>
      <c r="H953" s="6"/>
      <c r="I953" s="6"/>
      <c r="J953" s="6"/>
      <c r="K953" s="6"/>
      <c r="L953" s="6"/>
      <c r="M953" s="6"/>
      <c r="N953" s="6"/>
      <c r="O953" s="7"/>
      <c r="P953" s="6"/>
      <c r="Q953" s="6"/>
      <c r="R953" s="7"/>
      <c r="S953" s="6"/>
      <c r="T953" s="6"/>
      <c r="U953" s="7"/>
      <c r="V953" s="6"/>
      <c r="W953" s="6"/>
      <c r="X953" s="12"/>
      <c r="Y953" s="6"/>
      <c r="Z953" s="6"/>
      <c r="AA953" s="7"/>
      <c r="AB953" s="6"/>
      <c r="AC953" s="6"/>
      <c r="AD953" s="6"/>
      <c r="AE953" s="12"/>
      <c r="AF953" s="6"/>
      <c r="AG953" s="12"/>
      <c r="AH953" s="6"/>
      <c r="AI953" s="6"/>
      <c r="AJ953" s="12"/>
      <c r="AK953" s="1"/>
      <c r="AL953" s="12"/>
      <c r="AM953" s="12"/>
      <c r="AN953" s="1"/>
      <c r="AO953" s="6"/>
    </row>
    <row r="954" spans="1:41" ht="15" x14ac:dyDescent="0.25">
      <c r="A954" s="1"/>
      <c r="B954" s="1"/>
      <c r="C954" s="1"/>
      <c r="D954" s="1"/>
      <c r="E954" s="6"/>
      <c r="F954" s="1"/>
      <c r="G954" s="6"/>
      <c r="H954" s="6"/>
      <c r="I954" s="6"/>
      <c r="J954" s="6"/>
      <c r="K954" s="6"/>
      <c r="L954" s="6"/>
      <c r="M954" s="6"/>
      <c r="N954" s="6"/>
      <c r="O954" s="7"/>
      <c r="P954" s="6"/>
      <c r="Q954" s="6"/>
      <c r="R954" s="15"/>
      <c r="S954" s="6"/>
      <c r="T954" s="6"/>
      <c r="U954" s="7"/>
      <c r="V954" s="6"/>
      <c r="W954" s="6"/>
      <c r="X954" s="6"/>
      <c r="Y954" s="6"/>
      <c r="Z954" s="6"/>
      <c r="AA954" s="7"/>
      <c r="AB954" s="6"/>
      <c r="AC954" s="6"/>
      <c r="AD954" s="6"/>
      <c r="AE954" s="12"/>
      <c r="AF954" s="12"/>
      <c r="AG954" s="12"/>
      <c r="AH954" s="12"/>
      <c r="AI954" s="6"/>
      <c r="AJ954" s="12"/>
      <c r="AK954" s="1"/>
      <c r="AL954" s="12"/>
      <c r="AM954" s="12"/>
      <c r="AN954" s="1"/>
      <c r="AO954" s="6"/>
    </row>
    <row r="955" spans="1:41" ht="15" x14ac:dyDescent="0.25">
      <c r="A955" s="1"/>
      <c r="B955" s="1"/>
      <c r="C955" s="1"/>
      <c r="D955" s="1"/>
      <c r="E955" s="6"/>
      <c r="F955" s="1"/>
      <c r="G955" s="6"/>
      <c r="H955" s="6"/>
      <c r="I955" s="6"/>
      <c r="J955" s="6"/>
      <c r="K955" s="6"/>
      <c r="L955" s="6"/>
      <c r="M955" s="6"/>
      <c r="N955" s="6"/>
      <c r="O955" s="7"/>
      <c r="P955" s="6"/>
      <c r="Q955" s="6"/>
      <c r="R955" s="7"/>
      <c r="S955" s="6"/>
      <c r="T955" s="6"/>
      <c r="U955" s="7"/>
      <c r="V955" s="6"/>
      <c r="W955" s="6"/>
      <c r="X955" s="12"/>
      <c r="Y955" s="6"/>
      <c r="Z955" s="6"/>
      <c r="AA955" s="7"/>
      <c r="AB955" s="6"/>
      <c r="AC955" s="6"/>
      <c r="AD955" s="6"/>
      <c r="AE955" s="12"/>
      <c r="AF955" s="6"/>
      <c r="AG955" s="12"/>
      <c r="AH955" s="6"/>
      <c r="AI955" s="6"/>
      <c r="AJ955" s="12"/>
      <c r="AK955" s="1"/>
      <c r="AL955" s="12"/>
      <c r="AM955" s="12"/>
      <c r="AN955" s="1"/>
      <c r="AO955" s="6"/>
    </row>
    <row r="956" spans="1:41" ht="15" x14ac:dyDescent="0.25">
      <c r="A956" s="1"/>
      <c r="B956" s="1"/>
      <c r="C956" s="1"/>
      <c r="D956" s="1"/>
      <c r="E956" s="6"/>
      <c r="F956" s="1"/>
      <c r="G956" s="6"/>
      <c r="H956" s="6"/>
      <c r="I956" s="6"/>
      <c r="J956" s="6"/>
      <c r="K956" s="6"/>
      <c r="L956" s="6"/>
      <c r="M956" s="6"/>
      <c r="N956" s="6"/>
      <c r="O956" s="7"/>
      <c r="P956" s="6"/>
      <c r="Q956" s="6"/>
      <c r="R956" s="7"/>
      <c r="S956" s="6"/>
      <c r="T956" s="6"/>
      <c r="U956" s="7"/>
      <c r="V956" s="6"/>
      <c r="W956" s="6"/>
      <c r="X956" s="6"/>
      <c r="Y956" s="6"/>
      <c r="Z956" s="6"/>
      <c r="AA956" s="7"/>
      <c r="AB956" s="6"/>
      <c r="AC956" s="6"/>
      <c r="AD956" s="6"/>
      <c r="AE956" s="12"/>
      <c r="AF956" s="6"/>
      <c r="AG956" s="12"/>
      <c r="AH956" s="6"/>
      <c r="AI956" s="6"/>
      <c r="AJ956" s="12"/>
      <c r="AK956" s="24"/>
      <c r="AL956" s="25"/>
      <c r="AM956" s="12"/>
      <c r="AN956" s="1"/>
      <c r="AO956" s="6"/>
    </row>
    <row r="957" spans="1:41" ht="15" x14ac:dyDescent="0.25">
      <c r="A957" s="1"/>
      <c r="B957" s="1"/>
      <c r="C957" s="1"/>
      <c r="D957" s="1"/>
      <c r="E957" s="6"/>
      <c r="F957" s="1"/>
      <c r="G957" s="6"/>
      <c r="H957" s="6"/>
      <c r="I957" s="6"/>
      <c r="J957" s="6"/>
      <c r="K957" s="6"/>
      <c r="L957" s="6"/>
      <c r="M957" s="6"/>
      <c r="N957" s="6"/>
      <c r="O957" s="7"/>
      <c r="P957" s="12"/>
      <c r="Q957" s="6"/>
      <c r="R957" s="7"/>
      <c r="S957" s="6"/>
      <c r="T957" s="6"/>
      <c r="U957" s="7"/>
      <c r="V957" s="6"/>
      <c r="W957" s="6"/>
      <c r="X957" s="6"/>
      <c r="Y957" s="6"/>
      <c r="Z957" s="6"/>
      <c r="AA957" s="7"/>
      <c r="AB957" s="6"/>
      <c r="AC957" s="6"/>
      <c r="AD957" s="6"/>
      <c r="AE957" s="12"/>
      <c r="AF957" s="12"/>
      <c r="AG957" s="12"/>
      <c r="AH957" s="12"/>
      <c r="AI957" s="6"/>
      <c r="AJ957" s="12"/>
      <c r="AK957" s="1"/>
      <c r="AL957" s="12"/>
      <c r="AM957" s="12"/>
      <c r="AN957" s="1"/>
      <c r="AO957" s="6"/>
    </row>
    <row r="958" spans="1:41" ht="15" x14ac:dyDescent="0.25">
      <c r="A958" s="1"/>
      <c r="B958" s="1"/>
      <c r="C958" s="1"/>
      <c r="D958" s="1"/>
      <c r="E958" s="6"/>
      <c r="F958" s="1"/>
      <c r="G958" s="6"/>
      <c r="H958" s="6"/>
      <c r="I958" s="6"/>
      <c r="J958" s="6"/>
      <c r="K958" s="6"/>
      <c r="L958" s="6"/>
      <c r="M958" s="6"/>
      <c r="N958" s="6"/>
      <c r="O958" s="7"/>
      <c r="P958" s="6"/>
      <c r="Q958" s="6"/>
      <c r="R958" s="7"/>
      <c r="S958" s="6"/>
      <c r="T958" s="6"/>
      <c r="U958" s="7"/>
      <c r="V958" s="6"/>
      <c r="W958" s="6"/>
      <c r="X958" s="6"/>
      <c r="Y958" s="6"/>
      <c r="Z958" s="6"/>
      <c r="AA958" s="7"/>
      <c r="AB958" s="6"/>
      <c r="AC958" s="6"/>
      <c r="AD958" s="6"/>
      <c r="AE958" s="12"/>
      <c r="AF958" s="12"/>
      <c r="AG958" s="12"/>
      <c r="AH958" s="12"/>
      <c r="AI958" s="6"/>
      <c r="AJ958" s="12"/>
      <c r="AK958" s="1"/>
      <c r="AL958" s="12"/>
      <c r="AM958" s="12"/>
      <c r="AN958" s="1"/>
      <c r="AO958" s="6"/>
    </row>
    <row r="959" spans="1:41" ht="15" x14ac:dyDescent="0.25">
      <c r="A959" s="1"/>
      <c r="B959" s="1"/>
      <c r="C959" s="1"/>
      <c r="D959" s="1"/>
      <c r="E959" s="6"/>
      <c r="F959" s="1"/>
      <c r="G959" s="6"/>
      <c r="H959" s="6"/>
      <c r="I959" s="6"/>
      <c r="J959" s="6"/>
      <c r="K959" s="6"/>
      <c r="L959" s="6"/>
      <c r="M959" s="6"/>
      <c r="N959" s="6"/>
      <c r="O959" s="7"/>
      <c r="P959" s="6"/>
      <c r="Q959" s="6"/>
      <c r="R959" s="7"/>
      <c r="S959" s="6"/>
      <c r="T959" s="6"/>
      <c r="U959" s="7"/>
      <c r="V959" s="6"/>
      <c r="W959" s="6"/>
      <c r="X959" s="6"/>
      <c r="Y959" s="6"/>
      <c r="Z959" s="6"/>
      <c r="AA959" s="7"/>
      <c r="AB959" s="6"/>
      <c r="AC959" s="6"/>
      <c r="AD959" s="6"/>
      <c r="AE959" s="12"/>
      <c r="AF959" s="6"/>
      <c r="AG959" s="12"/>
      <c r="AH959" s="6"/>
      <c r="AI959" s="6"/>
      <c r="AJ959" s="12"/>
      <c r="AK959" s="1"/>
      <c r="AL959" s="12"/>
      <c r="AM959" s="12"/>
      <c r="AN959" s="1"/>
      <c r="AO959" s="6"/>
    </row>
    <row r="960" spans="1:41" ht="15" x14ac:dyDescent="0.25">
      <c r="A960" s="1"/>
      <c r="B960" s="1"/>
      <c r="C960" s="1"/>
      <c r="D960" s="1"/>
      <c r="E960" s="6"/>
      <c r="F960" s="1"/>
      <c r="G960" s="6"/>
      <c r="H960" s="6"/>
      <c r="I960" s="6"/>
      <c r="J960" s="6"/>
      <c r="K960" s="6"/>
      <c r="L960" s="6"/>
      <c r="M960" s="6"/>
      <c r="N960" s="6"/>
      <c r="O960" s="7"/>
      <c r="P960" s="6"/>
      <c r="Q960" s="7"/>
      <c r="R960" s="6"/>
      <c r="S960" s="12"/>
      <c r="T960" s="6"/>
      <c r="U960" s="6"/>
      <c r="V960" s="7"/>
      <c r="W960" s="7"/>
      <c r="X960" s="6"/>
      <c r="Y960" s="6"/>
      <c r="Z960" s="6"/>
      <c r="AA960" s="1"/>
      <c r="AB960" s="12"/>
      <c r="AC960" s="12"/>
      <c r="AD960" s="12"/>
      <c r="AE960" s="12"/>
      <c r="AF960" s="6"/>
      <c r="AG960" s="12"/>
      <c r="AH960" s="6"/>
      <c r="AI960" s="6"/>
      <c r="AJ960" s="12"/>
      <c r="AK960" s="12"/>
      <c r="AL960" s="12"/>
      <c r="AM960" s="12"/>
      <c r="AN960" s="1"/>
      <c r="AO960" s="6"/>
    </row>
    <row r="961" spans="1:41" ht="15" x14ac:dyDescent="0.25">
      <c r="A961" s="1"/>
      <c r="B961" s="1"/>
      <c r="C961" s="1"/>
      <c r="D961" s="1"/>
      <c r="E961" s="6"/>
      <c r="F961" s="1"/>
      <c r="G961" s="6"/>
      <c r="H961" s="6"/>
      <c r="I961" s="6"/>
      <c r="J961" s="6"/>
      <c r="K961" s="6"/>
      <c r="L961" s="6"/>
      <c r="M961" s="6"/>
      <c r="N961" s="6"/>
      <c r="O961" s="7"/>
      <c r="P961" s="6"/>
      <c r="Q961" s="6"/>
      <c r="R961" s="7"/>
      <c r="S961" s="6"/>
      <c r="T961" s="6"/>
      <c r="U961" s="6"/>
      <c r="V961" s="6"/>
      <c r="W961" s="6"/>
      <c r="X961" s="7"/>
      <c r="Y961" s="6"/>
      <c r="Z961" s="6"/>
      <c r="AA961" s="7"/>
      <c r="AB961" s="6"/>
      <c r="AC961" s="6"/>
      <c r="AD961" s="6"/>
      <c r="AE961" s="12"/>
      <c r="AF961" s="6"/>
      <c r="AG961" s="12"/>
      <c r="AH961" s="6"/>
      <c r="AI961" s="6"/>
      <c r="AJ961" s="12"/>
      <c r="AK961" s="6"/>
      <c r="AL961" s="12"/>
      <c r="AM961" s="12"/>
      <c r="AN961" s="1"/>
      <c r="AO961" s="6"/>
    </row>
    <row r="962" spans="1:41" ht="15" x14ac:dyDescent="0.25">
      <c r="A962" s="1"/>
      <c r="B962" s="1"/>
      <c r="C962" s="1"/>
      <c r="D962" s="1"/>
      <c r="E962" s="6"/>
      <c r="F962" s="1"/>
      <c r="G962" s="6"/>
      <c r="H962" s="6"/>
      <c r="I962" s="6"/>
      <c r="J962" s="6"/>
      <c r="K962" s="12"/>
      <c r="L962" s="12"/>
      <c r="M962" s="6"/>
      <c r="N962" s="6"/>
      <c r="O962" s="7"/>
      <c r="P962" s="6"/>
      <c r="Q962" s="7"/>
      <c r="R962" s="6"/>
      <c r="S962" s="6"/>
      <c r="T962" s="6"/>
      <c r="U962" s="6"/>
      <c r="V962" s="7"/>
      <c r="W962" s="7"/>
      <c r="X962" s="6"/>
      <c r="Y962" s="6"/>
      <c r="Z962" s="6"/>
      <c r="AA962" s="1"/>
      <c r="AB962" s="12"/>
      <c r="AC962" s="12"/>
      <c r="AD962" s="12"/>
      <c r="AE962" s="12"/>
      <c r="AF962" s="12"/>
      <c r="AG962" s="12"/>
      <c r="AH962" s="12"/>
      <c r="AI962" s="6"/>
      <c r="AJ962" s="12"/>
      <c r="AK962" s="12"/>
      <c r="AL962" s="12"/>
      <c r="AM962" s="12"/>
      <c r="AN962" s="1"/>
      <c r="AO962" s="6"/>
    </row>
    <row r="963" spans="1:41" ht="15" x14ac:dyDescent="0.25">
      <c r="A963" s="1"/>
      <c r="B963" s="1"/>
      <c r="C963" s="1"/>
      <c r="D963" s="1"/>
      <c r="E963" s="6"/>
      <c r="F963" s="1"/>
      <c r="G963" s="6"/>
      <c r="H963" s="6"/>
      <c r="I963" s="6"/>
      <c r="J963" s="6"/>
      <c r="K963" s="6"/>
      <c r="L963" s="6"/>
      <c r="M963" s="6"/>
      <c r="N963" s="6"/>
      <c r="O963" s="7"/>
      <c r="P963" s="6"/>
      <c r="Q963" s="6"/>
      <c r="R963" s="12"/>
      <c r="S963" s="12"/>
      <c r="T963" s="12"/>
      <c r="U963" s="7"/>
      <c r="V963" s="6"/>
      <c r="W963" s="6"/>
      <c r="X963" s="12"/>
      <c r="Y963" s="6"/>
      <c r="Z963" s="6"/>
      <c r="AA963" s="7"/>
      <c r="AB963" s="6"/>
      <c r="AC963" s="6"/>
      <c r="AD963" s="6"/>
      <c r="AE963" s="12"/>
      <c r="AF963" s="12"/>
      <c r="AG963" s="12"/>
      <c r="AH963" s="12"/>
      <c r="AI963" s="6"/>
      <c r="AJ963" s="12"/>
      <c r="AK963" s="24"/>
      <c r="AL963" s="25"/>
      <c r="AM963" s="12"/>
      <c r="AN963" s="1"/>
      <c r="AO963" s="6"/>
    </row>
    <row r="964" spans="1:41" ht="15" x14ac:dyDescent="0.25">
      <c r="A964" s="1"/>
      <c r="B964" s="1"/>
      <c r="C964" s="1"/>
      <c r="D964" s="1"/>
      <c r="E964" s="6"/>
      <c r="F964" s="1"/>
      <c r="G964" s="6"/>
      <c r="H964" s="6"/>
      <c r="I964" s="6"/>
      <c r="J964" s="6"/>
      <c r="K964" s="12"/>
      <c r="L964" s="12"/>
      <c r="M964" s="6"/>
      <c r="N964" s="6"/>
      <c r="O964" s="7"/>
      <c r="P964" s="6"/>
      <c r="Q964" s="6"/>
      <c r="R964" s="7"/>
      <c r="S964" s="6"/>
      <c r="T964" s="6"/>
      <c r="U964" s="7"/>
      <c r="V964" s="6"/>
      <c r="W964" s="6"/>
      <c r="X964" s="12"/>
      <c r="Y964" s="6"/>
      <c r="Z964" s="6"/>
      <c r="AA964" s="7"/>
      <c r="AB964" s="6"/>
      <c r="AC964" s="6"/>
      <c r="AD964" s="6"/>
      <c r="AE964" s="12"/>
      <c r="AF964" s="12"/>
      <c r="AG964" s="12"/>
      <c r="AH964" s="12"/>
      <c r="AI964" s="6"/>
      <c r="AJ964" s="12"/>
      <c r="AK964" s="1"/>
      <c r="AL964" s="12"/>
      <c r="AM964" s="12"/>
      <c r="AN964" s="1"/>
      <c r="AO964" s="6"/>
    </row>
    <row r="965" spans="1:41" ht="15" x14ac:dyDescent="0.25">
      <c r="A965" s="1"/>
      <c r="B965" s="1"/>
      <c r="C965" s="1"/>
      <c r="D965" s="1"/>
      <c r="E965" s="6"/>
      <c r="F965" s="1"/>
      <c r="G965" s="6"/>
      <c r="H965" s="6"/>
      <c r="I965" s="6"/>
      <c r="J965" s="6"/>
      <c r="K965" s="6"/>
      <c r="L965" s="6"/>
      <c r="M965" s="6"/>
      <c r="N965" s="6"/>
      <c r="O965" s="7"/>
      <c r="P965" s="6"/>
      <c r="Q965" s="6"/>
      <c r="R965" s="7"/>
      <c r="S965" s="6"/>
      <c r="T965" s="6"/>
      <c r="U965" s="7"/>
      <c r="V965" s="6"/>
      <c r="W965" s="6"/>
      <c r="X965" s="6"/>
      <c r="Y965" s="6"/>
      <c r="Z965" s="6"/>
      <c r="AA965" s="7"/>
      <c r="AB965" s="6"/>
      <c r="AC965" s="6"/>
      <c r="AD965" s="6"/>
      <c r="AE965" s="12"/>
      <c r="AF965" s="6"/>
      <c r="AG965" s="12"/>
      <c r="AH965" s="6"/>
      <c r="AI965" s="6"/>
      <c r="AJ965" s="12"/>
      <c r="AK965" s="24"/>
      <c r="AL965" s="25"/>
      <c r="AM965" s="12"/>
      <c r="AN965" s="1"/>
      <c r="AO965" s="6"/>
    </row>
    <row r="966" spans="1:41" ht="15" x14ac:dyDescent="0.25">
      <c r="A966" s="1"/>
      <c r="B966" s="1"/>
      <c r="C966" s="1"/>
      <c r="D966" s="1"/>
      <c r="E966" s="6"/>
      <c r="F966" s="1"/>
      <c r="G966" s="6"/>
      <c r="H966" s="6"/>
      <c r="I966" s="6"/>
      <c r="J966" s="6"/>
      <c r="K966" s="12"/>
      <c r="L966" s="12"/>
      <c r="M966" s="6"/>
      <c r="N966" s="6"/>
      <c r="O966" s="7"/>
      <c r="P966" s="6"/>
      <c r="Q966" s="6"/>
      <c r="R966" s="7"/>
      <c r="S966" s="6"/>
      <c r="T966" s="6"/>
      <c r="U966" s="7"/>
      <c r="V966" s="6"/>
      <c r="W966" s="6"/>
      <c r="X966" s="6"/>
      <c r="Y966" s="6"/>
      <c r="Z966" s="6"/>
      <c r="AA966" s="7"/>
      <c r="AB966" s="6"/>
      <c r="AC966" s="6"/>
      <c r="AD966" s="6"/>
      <c r="AE966" s="12"/>
      <c r="AF966" s="12"/>
      <c r="AG966" s="12"/>
      <c r="AH966" s="12"/>
      <c r="AI966" s="6"/>
      <c r="AJ966" s="12"/>
      <c r="AK966" s="1"/>
      <c r="AL966" s="12"/>
      <c r="AM966" s="12"/>
      <c r="AN966" s="1"/>
      <c r="AO966" s="12"/>
    </row>
    <row r="967" spans="1:41" ht="15" x14ac:dyDescent="0.25">
      <c r="A967" s="1"/>
      <c r="B967" s="1"/>
      <c r="C967" s="1"/>
      <c r="D967" s="1"/>
      <c r="E967" s="6"/>
      <c r="F967" s="1"/>
      <c r="G967" s="6"/>
      <c r="H967" s="6"/>
      <c r="I967" s="6"/>
      <c r="J967" s="6"/>
      <c r="K967" s="12"/>
      <c r="L967" s="12"/>
      <c r="M967" s="6"/>
      <c r="N967" s="6"/>
      <c r="O967" s="7"/>
      <c r="P967" s="12"/>
      <c r="Q967" s="6"/>
      <c r="R967" s="7"/>
      <c r="S967" s="6"/>
      <c r="T967" s="6"/>
      <c r="U967" s="7"/>
      <c r="V967" s="6"/>
      <c r="W967" s="6"/>
      <c r="X967" s="6"/>
      <c r="Y967" s="6"/>
      <c r="Z967" s="6"/>
      <c r="AA967" s="7"/>
      <c r="AB967" s="6"/>
      <c r="AC967" s="6"/>
      <c r="AD967" s="6"/>
      <c r="AE967" s="12"/>
      <c r="AF967" s="12"/>
      <c r="AG967" s="12"/>
      <c r="AH967" s="12"/>
      <c r="AI967" s="6"/>
      <c r="AJ967" s="12"/>
      <c r="AK967" s="1"/>
      <c r="AL967" s="12"/>
      <c r="AM967" s="12"/>
      <c r="AN967" s="1"/>
      <c r="AO967" s="6"/>
    </row>
    <row r="968" spans="1:41" ht="15" x14ac:dyDescent="0.25">
      <c r="A968" s="1"/>
      <c r="B968" s="1"/>
      <c r="C968" s="1"/>
      <c r="D968" s="1"/>
      <c r="E968" s="6"/>
      <c r="F968" s="1"/>
      <c r="G968" s="6"/>
      <c r="H968" s="6"/>
      <c r="I968" s="6"/>
      <c r="J968" s="6"/>
      <c r="K968" s="6"/>
      <c r="L968" s="6"/>
      <c r="M968" s="6"/>
      <c r="N968" s="6"/>
      <c r="O968" s="7"/>
      <c r="P968" s="6"/>
      <c r="Q968" s="7"/>
      <c r="R968" s="6"/>
      <c r="S968" s="12"/>
      <c r="T968" s="6"/>
      <c r="U968" s="6"/>
      <c r="V968" s="7"/>
      <c r="W968" s="7"/>
      <c r="X968" s="6"/>
      <c r="Y968" s="6"/>
      <c r="Z968" s="6"/>
      <c r="AA968" s="1"/>
      <c r="AB968" s="12"/>
      <c r="AC968" s="12"/>
      <c r="AD968" s="12"/>
      <c r="AE968" s="12"/>
      <c r="AF968" s="12"/>
      <c r="AG968" s="12"/>
      <c r="AH968" s="12"/>
      <c r="AI968" s="6"/>
      <c r="AJ968" s="12"/>
      <c r="AK968" s="12"/>
      <c r="AL968" s="12"/>
      <c r="AM968" s="12"/>
      <c r="AN968" s="1"/>
      <c r="AO968" s="6"/>
    </row>
    <row r="969" spans="1:41" ht="15" x14ac:dyDescent="0.25">
      <c r="A969" s="1"/>
      <c r="B969" s="1"/>
      <c r="C969" s="1"/>
      <c r="D969" s="1"/>
      <c r="E969" s="6"/>
      <c r="F969" s="1"/>
      <c r="G969" s="6"/>
      <c r="H969" s="6"/>
      <c r="I969" s="6"/>
      <c r="J969" s="6"/>
      <c r="K969" s="12"/>
      <c r="L969" s="12"/>
      <c r="M969" s="6"/>
      <c r="N969" s="6"/>
      <c r="O969" s="7"/>
      <c r="P969" s="6"/>
      <c r="Q969" s="6"/>
      <c r="R969" s="12"/>
      <c r="S969" s="12"/>
      <c r="T969" s="12"/>
      <c r="U969" s="7"/>
      <c r="V969" s="6"/>
      <c r="W969" s="6"/>
      <c r="X969" s="12"/>
      <c r="Y969" s="6"/>
      <c r="Z969" s="6"/>
      <c r="AA969" s="7"/>
      <c r="AB969" s="6"/>
      <c r="AC969" s="6"/>
      <c r="AD969" s="6"/>
      <c r="AE969" s="12"/>
      <c r="AF969" s="12"/>
      <c r="AG969" s="12"/>
      <c r="AH969" s="12"/>
      <c r="AI969" s="6"/>
      <c r="AJ969" s="12"/>
      <c r="AK969" s="24"/>
      <c r="AL969" s="25"/>
      <c r="AM969" s="12"/>
      <c r="AN969" s="1"/>
      <c r="AO969" s="6"/>
    </row>
    <row r="970" spans="1:41" ht="15" x14ac:dyDescent="0.25">
      <c r="A970" s="1"/>
      <c r="B970" s="1"/>
      <c r="C970" s="1"/>
      <c r="D970" s="1"/>
      <c r="E970" s="6"/>
      <c r="F970" s="1"/>
      <c r="G970" s="6"/>
      <c r="H970" s="6"/>
      <c r="I970" s="6"/>
      <c r="J970" s="6"/>
      <c r="K970" s="6"/>
      <c r="L970" s="6"/>
      <c r="M970" s="6"/>
      <c r="N970" s="6"/>
      <c r="O970" s="7"/>
      <c r="P970" s="6"/>
      <c r="Q970" s="6"/>
      <c r="R970" s="7"/>
      <c r="S970" s="6"/>
      <c r="T970" s="6"/>
      <c r="U970" s="7"/>
      <c r="V970" s="6"/>
      <c r="W970" s="6"/>
      <c r="X970" s="12"/>
      <c r="Y970" s="6"/>
      <c r="Z970" s="6"/>
      <c r="AA970" s="7"/>
      <c r="AB970" s="6"/>
      <c r="AC970" s="6"/>
      <c r="AD970" s="6"/>
      <c r="AE970" s="12"/>
      <c r="AF970" s="6"/>
      <c r="AG970" s="12"/>
      <c r="AH970" s="6"/>
      <c r="AI970" s="6"/>
      <c r="AJ970" s="12"/>
      <c r="AK970" s="24"/>
      <c r="AL970" s="25"/>
      <c r="AM970" s="12"/>
      <c r="AN970" s="1"/>
      <c r="AO970" s="6"/>
    </row>
    <row r="971" spans="1:41" ht="15" x14ac:dyDescent="0.25">
      <c r="A971" s="1"/>
      <c r="B971" s="1"/>
      <c r="C971" s="1"/>
      <c r="D971" s="1"/>
      <c r="E971" s="6"/>
      <c r="F971" s="1"/>
      <c r="G971" s="6"/>
      <c r="H971" s="6"/>
      <c r="I971" s="6"/>
      <c r="J971" s="6"/>
      <c r="K971" s="6"/>
      <c r="L971" s="6"/>
      <c r="M971" s="6"/>
      <c r="N971" s="6"/>
      <c r="O971" s="7"/>
      <c r="P971" s="12"/>
      <c r="Q971" s="6"/>
      <c r="R971" s="7"/>
      <c r="S971" s="6"/>
      <c r="T971" s="6"/>
      <c r="U971" s="7"/>
      <c r="V971" s="6"/>
      <c r="W971" s="6"/>
      <c r="X971" s="6"/>
      <c r="Y971" s="6"/>
      <c r="Z971" s="6"/>
      <c r="AA971" s="7"/>
      <c r="AB971" s="6"/>
      <c r="AC971" s="6"/>
      <c r="AD971" s="6"/>
      <c r="AE971" s="12"/>
      <c r="AF971" s="12"/>
      <c r="AG971" s="12"/>
      <c r="AH971" s="12"/>
      <c r="AI971" s="6"/>
      <c r="AJ971" s="12"/>
      <c r="AK971" s="1"/>
      <c r="AL971" s="12"/>
      <c r="AM971" s="12"/>
      <c r="AN971" s="1"/>
      <c r="AO971" s="6"/>
    </row>
    <row r="972" spans="1:41" ht="15" x14ac:dyDescent="0.25">
      <c r="A972" s="1"/>
      <c r="B972" s="1"/>
      <c r="C972" s="1"/>
      <c r="D972" s="1"/>
      <c r="E972" s="6"/>
      <c r="F972" s="1"/>
      <c r="G972" s="6"/>
      <c r="H972" s="6"/>
      <c r="I972" s="6"/>
      <c r="J972" s="6"/>
      <c r="K972" s="6"/>
      <c r="L972" s="6"/>
      <c r="M972" s="6"/>
      <c r="N972" s="6"/>
      <c r="O972" s="7"/>
      <c r="P972" s="6"/>
      <c r="Q972" s="7"/>
      <c r="R972" s="6"/>
      <c r="S972" s="6"/>
      <c r="T972" s="6"/>
      <c r="U972" s="6"/>
      <c r="V972" s="7"/>
      <c r="W972" s="7"/>
      <c r="X972" s="6"/>
      <c r="Y972" s="6"/>
      <c r="Z972" s="6"/>
      <c r="AA972" s="1"/>
      <c r="AB972" s="12"/>
      <c r="AC972" s="12"/>
      <c r="AD972" s="12"/>
      <c r="AE972" s="12"/>
      <c r="AF972" s="12"/>
      <c r="AG972" s="12"/>
      <c r="AH972" s="12"/>
      <c r="AI972" s="6"/>
      <c r="AJ972" s="12"/>
      <c r="AK972" s="12"/>
      <c r="AL972" s="12"/>
      <c r="AM972" s="12"/>
      <c r="AN972" s="1"/>
      <c r="AO972" s="6"/>
    </row>
    <row r="973" spans="1:41" ht="15" x14ac:dyDescent="0.25">
      <c r="A973" s="1"/>
      <c r="B973" s="1"/>
      <c r="C973" s="1"/>
      <c r="D973" s="1"/>
      <c r="E973" s="6"/>
      <c r="F973" s="1"/>
      <c r="G973" s="6"/>
      <c r="H973" s="6"/>
      <c r="I973" s="6"/>
      <c r="J973" s="6"/>
      <c r="K973" s="6"/>
      <c r="L973" s="6"/>
      <c r="M973" s="6"/>
      <c r="N973" s="6"/>
      <c r="O973" s="7"/>
      <c r="P973" s="6"/>
      <c r="Q973" s="6"/>
      <c r="R973" s="7"/>
      <c r="S973" s="6"/>
      <c r="T973" s="6"/>
      <c r="U973" s="7"/>
      <c r="V973" s="6"/>
      <c r="W973" s="6"/>
      <c r="X973" s="6"/>
      <c r="Y973" s="6"/>
      <c r="Z973" s="6"/>
      <c r="AA973" s="7"/>
      <c r="AB973" s="6"/>
      <c r="AC973" s="6"/>
      <c r="AD973" s="6"/>
      <c r="AE973" s="12"/>
      <c r="AF973" s="12"/>
      <c r="AG973" s="12"/>
      <c r="AH973" s="12"/>
      <c r="AI973" s="6"/>
      <c r="AJ973" s="12"/>
      <c r="AK973" s="1"/>
      <c r="AL973" s="12"/>
      <c r="AM973" s="12"/>
      <c r="AN973" s="1"/>
      <c r="AO973" s="6"/>
    </row>
    <row r="974" spans="1:41" ht="15" x14ac:dyDescent="0.25">
      <c r="A974" s="1"/>
      <c r="B974" s="1"/>
      <c r="C974" s="1"/>
      <c r="D974" s="1"/>
      <c r="E974" s="6"/>
      <c r="F974" s="1"/>
      <c r="G974" s="6"/>
      <c r="H974" s="6"/>
      <c r="I974" s="6"/>
      <c r="J974" s="6"/>
      <c r="K974" s="6"/>
      <c r="L974" s="6"/>
      <c r="M974" s="6"/>
      <c r="N974" s="6"/>
      <c r="O974" s="7"/>
      <c r="P974" s="12"/>
      <c r="Q974" s="6"/>
      <c r="R974" s="7"/>
      <c r="S974" s="6"/>
      <c r="T974" s="6"/>
      <c r="U974" s="7"/>
      <c r="V974" s="6"/>
      <c r="W974" s="6"/>
      <c r="X974" s="6"/>
      <c r="Y974" s="6"/>
      <c r="Z974" s="6"/>
      <c r="AA974" s="7"/>
      <c r="AB974" s="6"/>
      <c r="AC974" s="6"/>
      <c r="AD974" s="6"/>
      <c r="AE974" s="12"/>
      <c r="AF974" s="12"/>
      <c r="AG974" s="12"/>
      <c r="AH974" s="12"/>
      <c r="AI974" s="6"/>
      <c r="AJ974" s="12"/>
      <c r="AK974" s="1"/>
      <c r="AL974" s="12"/>
      <c r="AM974" s="12"/>
      <c r="AN974" s="1"/>
      <c r="AO974" s="6"/>
    </row>
    <row r="975" spans="1:41" ht="15" x14ac:dyDescent="0.25">
      <c r="A975" s="1"/>
      <c r="B975" s="1"/>
      <c r="C975" s="1"/>
      <c r="D975" s="1"/>
      <c r="E975" s="6"/>
      <c r="F975" s="1"/>
      <c r="G975" s="6"/>
      <c r="H975" s="6"/>
      <c r="I975" s="6"/>
      <c r="J975" s="6"/>
      <c r="K975" s="6"/>
      <c r="L975" s="6"/>
      <c r="M975" s="6"/>
      <c r="N975" s="6"/>
      <c r="O975" s="7"/>
      <c r="P975" s="6"/>
      <c r="Q975" s="6"/>
      <c r="R975" s="7"/>
      <c r="S975" s="6"/>
      <c r="T975" s="6"/>
      <c r="U975" s="7"/>
      <c r="V975" s="6"/>
      <c r="W975" s="6"/>
      <c r="X975" s="12"/>
      <c r="Y975" s="6"/>
      <c r="Z975" s="6"/>
      <c r="AA975" s="7"/>
      <c r="AB975" s="6"/>
      <c r="AC975" s="6"/>
      <c r="AD975" s="6"/>
      <c r="AE975" s="12"/>
      <c r="AF975" s="6"/>
      <c r="AG975" s="12"/>
      <c r="AH975" s="6"/>
      <c r="AI975" s="6"/>
      <c r="AJ975" s="12"/>
      <c r="AK975" s="1"/>
      <c r="AL975" s="12"/>
      <c r="AM975" s="12"/>
      <c r="AN975" s="1"/>
      <c r="AO975" s="6"/>
    </row>
    <row r="976" spans="1:41" ht="15" x14ac:dyDescent="0.25">
      <c r="A976" s="1"/>
      <c r="B976" s="1"/>
      <c r="C976" s="1"/>
      <c r="D976" s="1"/>
      <c r="E976" s="6"/>
      <c r="F976" s="1"/>
      <c r="G976" s="6"/>
      <c r="H976" s="6"/>
      <c r="I976" s="6"/>
      <c r="J976" s="6"/>
      <c r="K976" s="6"/>
      <c r="L976" s="6"/>
      <c r="M976" s="6"/>
      <c r="N976" s="6"/>
      <c r="O976" s="7"/>
      <c r="P976" s="6"/>
      <c r="Q976" s="7"/>
      <c r="R976" s="6"/>
      <c r="S976" s="6"/>
      <c r="T976" s="6"/>
      <c r="U976" s="6"/>
      <c r="V976" s="7"/>
      <c r="W976" s="7"/>
      <c r="X976" s="6"/>
      <c r="Y976" s="6"/>
      <c r="Z976" s="6"/>
      <c r="AA976" s="1"/>
      <c r="AB976" s="12"/>
      <c r="AC976" s="12"/>
      <c r="AD976" s="12"/>
      <c r="AE976" s="12"/>
      <c r="AF976" s="12"/>
      <c r="AG976" s="12"/>
      <c r="AH976" s="12"/>
      <c r="AI976" s="6"/>
      <c r="AJ976" s="12"/>
      <c r="AK976" s="12"/>
      <c r="AL976" s="12"/>
      <c r="AM976" s="12"/>
      <c r="AN976" s="1"/>
      <c r="AO976" s="6"/>
    </row>
    <row r="977" spans="1:41" ht="15" x14ac:dyDescent="0.25">
      <c r="A977" s="1"/>
      <c r="B977" s="1"/>
      <c r="C977" s="1"/>
      <c r="D977" s="1"/>
      <c r="E977" s="6"/>
      <c r="F977" s="1"/>
      <c r="G977" s="6"/>
      <c r="H977" s="6"/>
      <c r="I977" s="6"/>
      <c r="J977" s="6"/>
      <c r="K977" s="6"/>
      <c r="L977" s="6"/>
      <c r="M977" s="6"/>
      <c r="N977" s="6"/>
      <c r="O977" s="7"/>
      <c r="P977" s="6"/>
      <c r="Q977" s="7"/>
      <c r="R977" s="6"/>
      <c r="S977" s="6"/>
      <c r="T977" s="6"/>
      <c r="U977" s="6"/>
      <c r="V977" s="7"/>
      <c r="W977" s="6"/>
      <c r="X977" s="6"/>
      <c r="Y977" s="6"/>
      <c r="Z977" s="6"/>
      <c r="AA977" s="24"/>
      <c r="AB977" s="25"/>
      <c r="AC977" s="12"/>
      <c r="AD977" s="12"/>
      <c r="AE977" s="12"/>
      <c r="AF977" s="6"/>
      <c r="AG977" s="12"/>
      <c r="AH977" s="6"/>
      <c r="AI977" s="6"/>
      <c r="AJ977" s="12"/>
      <c r="AK977" s="12"/>
      <c r="AL977" s="12"/>
      <c r="AM977" s="12"/>
      <c r="AN977" s="1"/>
      <c r="AO977" s="6"/>
    </row>
    <row r="978" spans="1:41" ht="15" x14ac:dyDescent="0.25">
      <c r="A978" s="1"/>
      <c r="B978" s="1"/>
      <c r="C978" s="1"/>
      <c r="D978" s="1"/>
      <c r="E978" s="6"/>
      <c r="F978" s="1"/>
      <c r="G978" s="6"/>
      <c r="H978" s="6"/>
      <c r="I978" s="6"/>
      <c r="J978" s="6"/>
      <c r="K978" s="6"/>
      <c r="L978" s="6"/>
      <c r="M978" s="6"/>
      <c r="N978" s="6"/>
      <c r="O978" s="7"/>
      <c r="P978" s="6"/>
      <c r="Q978" s="6"/>
      <c r="R978" s="7"/>
      <c r="S978" s="6"/>
      <c r="T978" s="6"/>
      <c r="U978" s="7"/>
      <c r="V978" s="6"/>
      <c r="W978" s="6"/>
      <c r="X978" s="12"/>
      <c r="Y978" s="6"/>
      <c r="Z978" s="6"/>
      <c r="AA978" s="7"/>
      <c r="AB978" s="6"/>
      <c r="AC978" s="6"/>
      <c r="AD978" s="6"/>
      <c r="AE978" s="12"/>
      <c r="AF978" s="6"/>
      <c r="AG978" s="12"/>
      <c r="AH978" s="6"/>
      <c r="AI978" s="6"/>
      <c r="AJ978" s="12"/>
      <c r="AK978" s="1"/>
      <c r="AL978" s="12"/>
      <c r="AM978" s="12"/>
      <c r="AN978" s="1"/>
      <c r="AO978" s="6"/>
    </row>
    <row r="979" spans="1:41" ht="15" x14ac:dyDescent="0.25">
      <c r="A979" s="1"/>
      <c r="B979" s="1"/>
      <c r="C979" s="1"/>
      <c r="D979" s="1"/>
      <c r="E979" s="6"/>
      <c r="F979" s="1"/>
      <c r="G979" s="6"/>
      <c r="H979" s="6"/>
      <c r="I979" s="6"/>
      <c r="J979" s="6"/>
      <c r="K979" s="6"/>
      <c r="L979" s="6"/>
      <c r="M979" s="6"/>
      <c r="N979" s="6"/>
      <c r="O979" s="7"/>
      <c r="P979" s="6"/>
      <c r="Q979" s="6"/>
      <c r="R979" s="7"/>
      <c r="S979" s="6"/>
      <c r="T979" s="6"/>
      <c r="U979" s="7"/>
      <c r="V979" s="6"/>
      <c r="W979" s="6"/>
      <c r="X979" s="6"/>
      <c r="Y979" s="6"/>
      <c r="Z979" s="6"/>
      <c r="AA979" s="7"/>
      <c r="AB979" s="6"/>
      <c r="AC979" s="6"/>
      <c r="AD979" s="6"/>
      <c r="AE979" s="12"/>
      <c r="AF979" s="6"/>
      <c r="AG979" s="12"/>
      <c r="AH979" s="6"/>
      <c r="AI979" s="6"/>
      <c r="AJ979" s="12"/>
      <c r="AK979" s="1"/>
      <c r="AL979" s="12"/>
      <c r="AM979" s="12"/>
      <c r="AN979" s="1"/>
      <c r="AO979" s="6"/>
    </row>
    <row r="980" spans="1:41" ht="15" x14ac:dyDescent="0.25">
      <c r="A980" s="1"/>
      <c r="B980" s="1"/>
      <c r="C980" s="1"/>
      <c r="D980" s="1"/>
      <c r="E980" s="6"/>
      <c r="F980" s="1"/>
      <c r="G980" s="6"/>
      <c r="H980" s="6"/>
      <c r="I980" s="6"/>
      <c r="J980" s="6"/>
      <c r="K980" s="6"/>
      <c r="L980" s="6"/>
      <c r="M980" s="6"/>
      <c r="N980" s="6"/>
      <c r="O980" s="7"/>
      <c r="P980" s="6"/>
      <c r="Q980" s="6"/>
      <c r="R980" s="7"/>
      <c r="S980" s="6"/>
      <c r="T980" s="6"/>
      <c r="U980" s="7"/>
      <c r="V980" s="6"/>
      <c r="W980" s="6"/>
      <c r="X980" s="12"/>
      <c r="Y980" s="6"/>
      <c r="Z980" s="6"/>
      <c r="AA980" s="7"/>
      <c r="AB980" s="6"/>
      <c r="AC980" s="6"/>
      <c r="AD980" s="6"/>
      <c r="AE980" s="12"/>
      <c r="AF980" s="12"/>
      <c r="AG980" s="12"/>
      <c r="AH980" s="12"/>
      <c r="AI980" s="6"/>
      <c r="AJ980" s="12"/>
      <c r="AK980" s="1"/>
      <c r="AL980" s="12"/>
      <c r="AM980" s="12"/>
      <c r="AN980" s="1"/>
      <c r="AO980" s="6"/>
    </row>
    <row r="981" spans="1:41" ht="15" x14ac:dyDescent="0.25">
      <c r="A981" s="1"/>
      <c r="B981" s="1"/>
      <c r="C981" s="1"/>
      <c r="D981" s="1"/>
      <c r="E981" s="6"/>
      <c r="F981" s="1"/>
      <c r="G981" s="6"/>
      <c r="H981" s="6"/>
      <c r="I981" s="6"/>
      <c r="J981" s="6"/>
      <c r="K981" s="6"/>
      <c r="L981" s="6"/>
      <c r="M981" s="6"/>
      <c r="N981" s="6"/>
      <c r="O981" s="7"/>
      <c r="P981" s="6"/>
      <c r="Q981" s="6"/>
      <c r="R981" s="7"/>
      <c r="S981" s="6"/>
      <c r="T981" s="6"/>
      <c r="U981" s="7"/>
      <c r="V981" s="6"/>
      <c r="W981" s="6"/>
      <c r="X981" s="12"/>
      <c r="Y981" s="6"/>
      <c r="Z981" s="6"/>
      <c r="AA981" s="7"/>
      <c r="AB981" s="6"/>
      <c r="AC981" s="6"/>
      <c r="AD981" s="6"/>
      <c r="AE981" s="12"/>
      <c r="AF981" s="6"/>
      <c r="AG981" s="12"/>
      <c r="AH981" s="6"/>
      <c r="AI981" s="6"/>
      <c r="AJ981" s="12"/>
      <c r="AK981" s="24"/>
      <c r="AL981" s="25"/>
      <c r="AM981" s="12"/>
      <c r="AN981" s="1"/>
      <c r="AO981" s="6"/>
    </row>
    <row r="982" spans="1:41" ht="15" x14ac:dyDescent="0.25">
      <c r="A982" s="1"/>
      <c r="B982" s="1"/>
      <c r="C982" s="1"/>
      <c r="D982" s="1"/>
      <c r="E982" s="6"/>
      <c r="F982" s="1"/>
      <c r="G982" s="6"/>
      <c r="H982" s="6"/>
      <c r="I982" s="6"/>
      <c r="J982" s="6"/>
      <c r="K982" s="6"/>
      <c r="L982" s="6"/>
      <c r="M982" s="6"/>
      <c r="N982" s="6"/>
      <c r="O982" s="7"/>
      <c r="P982" s="6"/>
      <c r="Q982" s="6"/>
      <c r="R982" s="15"/>
      <c r="S982" s="6"/>
      <c r="T982" s="6"/>
      <c r="U982" s="15"/>
      <c r="V982" s="6"/>
      <c r="W982" s="6"/>
      <c r="X982" s="12"/>
      <c r="Y982" s="12"/>
      <c r="Z982" s="6"/>
      <c r="AA982" s="7"/>
      <c r="AB982" s="6"/>
      <c r="AC982" s="6"/>
      <c r="AD982" s="6"/>
      <c r="AE982" s="12"/>
      <c r="AF982" s="6"/>
      <c r="AG982" s="12"/>
      <c r="AH982" s="6"/>
      <c r="AI982" s="6"/>
      <c r="AJ982" s="12"/>
      <c r="AK982" s="1"/>
      <c r="AL982" s="12"/>
      <c r="AM982" s="12"/>
      <c r="AN982" s="1"/>
      <c r="AO982" s="6"/>
    </row>
    <row r="983" spans="1:41" ht="15" x14ac:dyDescent="0.25">
      <c r="A983" s="1"/>
      <c r="B983" s="1"/>
      <c r="C983" s="1"/>
      <c r="D983" s="1"/>
      <c r="E983" s="6"/>
      <c r="F983" s="1"/>
      <c r="G983" s="6"/>
      <c r="H983" s="6"/>
      <c r="I983" s="6"/>
      <c r="J983" s="6"/>
      <c r="K983" s="6"/>
      <c r="L983" s="6"/>
      <c r="M983" s="6"/>
      <c r="N983" s="6"/>
      <c r="O983" s="7"/>
      <c r="P983" s="6"/>
      <c r="Q983" s="6"/>
      <c r="R983" s="7"/>
      <c r="S983" s="6"/>
      <c r="T983" s="6"/>
      <c r="U983" s="7"/>
      <c r="V983" s="6"/>
      <c r="W983" s="6"/>
      <c r="X983" s="6"/>
      <c r="Y983" s="6"/>
      <c r="Z983" s="6"/>
      <c r="AA983" s="7"/>
      <c r="AB983" s="6"/>
      <c r="AC983" s="6"/>
      <c r="AD983" s="6"/>
      <c r="AE983" s="12"/>
      <c r="AF983" s="12"/>
      <c r="AG983" s="12"/>
      <c r="AH983" s="12"/>
      <c r="AI983" s="6"/>
      <c r="AJ983" s="12"/>
      <c r="AK983" s="1"/>
      <c r="AL983" s="12"/>
      <c r="AM983" s="12"/>
      <c r="AN983" s="1"/>
      <c r="AO983" s="6"/>
    </row>
    <row r="984" spans="1:41" ht="15" x14ac:dyDescent="0.25">
      <c r="A984" s="1"/>
      <c r="B984" s="1"/>
      <c r="C984" s="1"/>
      <c r="D984" s="1"/>
      <c r="E984" s="6"/>
      <c r="F984" s="1"/>
      <c r="G984" s="6"/>
      <c r="H984" s="6"/>
      <c r="I984" s="6"/>
      <c r="J984" s="6"/>
      <c r="K984" s="6"/>
      <c r="L984" s="6"/>
      <c r="M984" s="6"/>
      <c r="N984" s="6"/>
      <c r="O984" s="7"/>
      <c r="P984" s="12"/>
      <c r="Q984" s="6"/>
      <c r="R984" s="7"/>
      <c r="S984" s="6"/>
      <c r="T984" s="6"/>
      <c r="U984" s="7"/>
      <c r="V984" s="6"/>
      <c r="W984" s="6"/>
      <c r="X984" s="6"/>
      <c r="Y984" s="6"/>
      <c r="Z984" s="6"/>
      <c r="AA984" s="15"/>
      <c r="AB984" s="6"/>
      <c r="AC984" s="6"/>
      <c r="AD984" s="6"/>
      <c r="AE984" s="12"/>
      <c r="AF984" s="6"/>
      <c r="AG984" s="12"/>
      <c r="AH984" s="6"/>
      <c r="AI984" s="6"/>
      <c r="AJ984" s="12"/>
      <c r="AK984" s="1"/>
      <c r="AL984" s="12"/>
      <c r="AM984" s="12"/>
      <c r="AN984" s="1"/>
      <c r="AO984" s="6"/>
    </row>
    <row r="985" spans="1:41" ht="15" x14ac:dyDescent="0.25">
      <c r="A985" s="1"/>
      <c r="B985" s="1"/>
      <c r="C985" s="1"/>
      <c r="D985" s="1"/>
      <c r="E985" s="6"/>
      <c r="F985" s="1"/>
      <c r="G985" s="6"/>
      <c r="H985" s="6"/>
      <c r="I985" s="6"/>
      <c r="J985" s="6"/>
      <c r="K985" s="6"/>
      <c r="L985" s="6"/>
      <c r="M985" s="6"/>
      <c r="N985" s="6"/>
      <c r="O985" s="7"/>
      <c r="P985" s="6"/>
      <c r="Q985" s="6"/>
      <c r="R985" s="12"/>
      <c r="S985" s="12"/>
      <c r="T985" s="12"/>
      <c r="U985" s="7"/>
      <c r="V985" s="6"/>
      <c r="W985" s="6"/>
      <c r="X985" s="12"/>
      <c r="Y985" s="6"/>
      <c r="Z985" s="6"/>
      <c r="AA985" s="7"/>
      <c r="AB985" s="6"/>
      <c r="AC985" s="6"/>
      <c r="AD985" s="6"/>
      <c r="AE985" s="12"/>
      <c r="AF985" s="6"/>
      <c r="AG985" s="12"/>
      <c r="AH985" s="6"/>
      <c r="AI985" s="6"/>
      <c r="AJ985" s="12"/>
      <c r="AK985" s="1"/>
      <c r="AL985" s="12"/>
      <c r="AM985" s="12"/>
      <c r="AN985" s="1"/>
      <c r="AO985" s="6"/>
    </row>
    <row r="986" spans="1:41" ht="15" x14ac:dyDescent="0.25">
      <c r="A986" s="1"/>
      <c r="B986" s="1"/>
      <c r="C986" s="1"/>
      <c r="D986" s="1"/>
      <c r="E986" s="6"/>
      <c r="F986" s="1"/>
      <c r="G986" s="6"/>
      <c r="H986" s="6"/>
      <c r="I986" s="6"/>
      <c r="J986" s="6"/>
      <c r="K986" s="6"/>
      <c r="L986" s="6"/>
      <c r="M986" s="6"/>
      <c r="N986" s="6"/>
      <c r="O986" s="7"/>
      <c r="P986" s="6"/>
      <c r="Q986" s="6"/>
      <c r="R986" s="12"/>
      <c r="S986" s="12"/>
      <c r="T986" s="12"/>
      <c r="U986" s="7"/>
      <c r="V986" s="6"/>
      <c r="W986" s="6"/>
      <c r="X986" s="12"/>
      <c r="Y986" s="6"/>
      <c r="Z986" s="6"/>
      <c r="AA986" s="7"/>
      <c r="AB986" s="6"/>
      <c r="AC986" s="6"/>
      <c r="AD986" s="6"/>
      <c r="AE986" s="12"/>
      <c r="AF986" s="6"/>
      <c r="AG986" s="12"/>
      <c r="AH986" s="6"/>
      <c r="AI986" s="6"/>
      <c r="AJ986" s="12"/>
      <c r="AK986" s="1"/>
      <c r="AL986" s="12"/>
      <c r="AM986" s="12"/>
      <c r="AN986" s="1"/>
      <c r="AO986" s="6"/>
    </row>
    <row r="987" spans="1:41" ht="15" x14ac:dyDescent="0.25">
      <c r="A987" s="1"/>
      <c r="B987" s="1"/>
      <c r="C987" s="1"/>
      <c r="D987" s="1"/>
      <c r="E987" s="6"/>
      <c r="F987" s="1"/>
      <c r="G987" s="6"/>
      <c r="H987" s="6"/>
      <c r="I987" s="6"/>
      <c r="J987" s="6"/>
      <c r="K987" s="12"/>
      <c r="L987" s="6"/>
      <c r="M987" s="6"/>
      <c r="N987" s="6"/>
      <c r="O987" s="7"/>
      <c r="P987" s="12"/>
      <c r="Q987" s="6"/>
      <c r="R987" s="7"/>
      <c r="S987" s="6"/>
      <c r="T987" s="6"/>
      <c r="U987" s="7"/>
      <c r="V987" s="6"/>
      <c r="W987" s="6"/>
      <c r="X987" s="12"/>
      <c r="Y987" s="6"/>
      <c r="Z987" s="6"/>
      <c r="AA987" s="7"/>
      <c r="AB987" s="6"/>
      <c r="AC987" s="6"/>
      <c r="AD987" s="6"/>
      <c r="AE987" s="12"/>
      <c r="AF987" s="6"/>
      <c r="AG987" s="12"/>
      <c r="AH987" s="6"/>
      <c r="AI987" s="6"/>
      <c r="AJ987" s="12"/>
      <c r="AK987" s="1"/>
      <c r="AL987" s="12"/>
      <c r="AM987" s="12"/>
      <c r="AN987" s="1"/>
      <c r="AO987" s="12"/>
    </row>
    <row r="988" spans="1:41" ht="15" x14ac:dyDescent="0.25">
      <c r="A988" s="1"/>
      <c r="B988" s="1"/>
      <c r="C988" s="1"/>
      <c r="D988" s="1"/>
      <c r="E988" s="6"/>
      <c r="F988" s="1"/>
      <c r="G988" s="6"/>
      <c r="H988" s="6"/>
      <c r="I988" s="6"/>
      <c r="J988" s="6"/>
      <c r="K988" s="6"/>
      <c r="L988" s="6"/>
      <c r="M988" s="6"/>
      <c r="N988" s="6"/>
      <c r="O988" s="7"/>
      <c r="P988" s="6"/>
      <c r="Q988" s="6"/>
      <c r="R988" s="7"/>
      <c r="S988" s="6"/>
      <c r="T988" s="6"/>
      <c r="U988" s="7"/>
      <c r="V988" s="6"/>
      <c r="W988" s="6"/>
      <c r="X988" s="6"/>
      <c r="Y988" s="6"/>
      <c r="Z988" s="6"/>
      <c r="AA988" s="7"/>
      <c r="AB988" s="6"/>
      <c r="AC988" s="6"/>
      <c r="AD988" s="6"/>
      <c r="AE988" s="12"/>
      <c r="AF988" s="6"/>
      <c r="AG988" s="12"/>
      <c r="AH988" s="6"/>
      <c r="AI988" s="6"/>
      <c r="AJ988" s="12"/>
      <c r="AK988" s="24"/>
      <c r="AL988" s="25"/>
      <c r="AM988" s="12"/>
      <c r="AN988" s="1"/>
      <c r="AO988" s="6"/>
    </row>
    <row r="989" spans="1:41" ht="15" x14ac:dyDescent="0.25">
      <c r="A989" s="1"/>
      <c r="B989" s="1"/>
      <c r="C989" s="1"/>
      <c r="D989" s="1"/>
      <c r="E989" s="6"/>
      <c r="F989" s="1"/>
      <c r="G989" s="6"/>
      <c r="H989" s="6"/>
      <c r="I989" s="6"/>
      <c r="J989" s="6"/>
      <c r="K989" s="6"/>
      <c r="L989" s="6"/>
      <c r="M989" s="6"/>
      <c r="N989" s="6"/>
      <c r="O989" s="7"/>
      <c r="P989" s="12"/>
      <c r="Q989" s="6"/>
      <c r="R989" s="7"/>
      <c r="S989" s="6"/>
      <c r="T989" s="6"/>
      <c r="U989" s="7"/>
      <c r="V989" s="6"/>
      <c r="W989" s="6"/>
      <c r="X989" s="12"/>
      <c r="Y989" s="6"/>
      <c r="Z989" s="6"/>
      <c r="AA989" s="7"/>
      <c r="AB989" s="6"/>
      <c r="AC989" s="6"/>
      <c r="AD989" s="6"/>
      <c r="AE989" s="12"/>
      <c r="AF989" s="6"/>
      <c r="AG989" s="12"/>
      <c r="AH989" s="6"/>
      <c r="AI989" s="6"/>
      <c r="AJ989" s="12"/>
      <c r="AK989" s="24"/>
      <c r="AL989" s="25"/>
      <c r="AM989" s="12"/>
      <c r="AN989" s="1"/>
      <c r="AO989" s="6"/>
    </row>
    <row r="990" spans="1:41" ht="15" x14ac:dyDescent="0.25">
      <c r="A990" s="1"/>
      <c r="B990" s="1"/>
      <c r="C990" s="1"/>
      <c r="D990" s="1"/>
      <c r="E990" s="6"/>
      <c r="F990" s="1"/>
      <c r="G990" s="6"/>
      <c r="H990" s="6"/>
      <c r="I990" s="6"/>
      <c r="J990" s="6"/>
      <c r="K990" s="6"/>
      <c r="L990" s="6"/>
      <c r="M990" s="6"/>
      <c r="N990" s="6"/>
      <c r="O990" s="7"/>
      <c r="P990" s="6"/>
      <c r="Q990" s="6"/>
      <c r="R990" s="7"/>
      <c r="S990" s="6"/>
      <c r="T990" s="6"/>
      <c r="U990" s="7"/>
      <c r="V990" s="6"/>
      <c r="W990" s="6"/>
      <c r="X990" s="12"/>
      <c r="Y990" s="6"/>
      <c r="Z990" s="6"/>
      <c r="AA990" s="7"/>
      <c r="AB990" s="6"/>
      <c r="AC990" s="6"/>
      <c r="AD990" s="6"/>
      <c r="AE990" s="12"/>
      <c r="AF990" s="12"/>
      <c r="AG990" s="12"/>
      <c r="AH990" s="12"/>
      <c r="AI990" s="6"/>
      <c r="AJ990" s="12"/>
      <c r="AK990" s="24"/>
      <c r="AL990" s="25"/>
      <c r="AM990" s="12"/>
      <c r="AN990" s="1"/>
      <c r="AO990" s="6"/>
    </row>
    <row r="991" spans="1:41" ht="15" x14ac:dyDescent="0.25">
      <c r="A991" s="1"/>
      <c r="B991" s="1"/>
      <c r="C991" s="1"/>
      <c r="D991" s="1"/>
      <c r="E991" s="6"/>
      <c r="F991" s="1"/>
      <c r="G991" s="6"/>
      <c r="H991" s="6"/>
      <c r="I991" s="6"/>
      <c r="J991" s="6"/>
      <c r="K991" s="6"/>
      <c r="L991" s="6"/>
      <c r="M991" s="6"/>
      <c r="N991" s="6"/>
      <c r="O991" s="7"/>
      <c r="P991" s="6"/>
      <c r="Q991" s="6"/>
      <c r="R991" s="7"/>
      <c r="S991" s="6"/>
      <c r="T991" s="6"/>
      <c r="U991" s="7"/>
      <c r="V991" s="6"/>
      <c r="W991" s="6"/>
      <c r="X991" s="12"/>
      <c r="Y991" s="6"/>
      <c r="Z991" s="6"/>
      <c r="AA991" s="7"/>
      <c r="AB991" s="6"/>
      <c r="AC991" s="6"/>
      <c r="AD991" s="6"/>
      <c r="AE991" s="12"/>
      <c r="AF991" s="6"/>
      <c r="AG991" s="12"/>
      <c r="AH991" s="6"/>
      <c r="AI991" s="6"/>
      <c r="AJ991" s="12"/>
      <c r="AK991" s="24"/>
      <c r="AL991" s="25"/>
      <c r="AM991" s="12"/>
      <c r="AN991" s="1"/>
      <c r="AO991" s="6"/>
    </row>
    <row r="992" spans="1:41" ht="15" x14ac:dyDescent="0.25">
      <c r="A992" s="1"/>
      <c r="B992" s="1"/>
      <c r="C992" s="1"/>
      <c r="D992" s="1"/>
      <c r="E992" s="6"/>
      <c r="F992" s="1"/>
      <c r="G992" s="6"/>
      <c r="H992" s="6"/>
      <c r="I992" s="6"/>
      <c r="J992" s="6"/>
      <c r="K992" s="6"/>
      <c r="L992" s="6"/>
      <c r="M992" s="6"/>
      <c r="N992" s="6"/>
      <c r="O992" s="7"/>
      <c r="P992" s="6"/>
      <c r="Q992" s="6"/>
      <c r="R992" s="7"/>
      <c r="S992" s="6"/>
      <c r="T992" s="6"/>
      <c r="U992" s="7"/>
      <c r="V992" s="6"/>
      <c r="W992" s="6"/>
      <c r="X992" s="6"/>
      <c r="Y992" s="6"/>
      <c r="Z992" s="6"/>
      <c r="AA992" s="7"/>
      <c r="AB992" s="6"/>
      <c r="AC992" s="6"/>
      <c r="AD992" s="6"/>
      <c r="AE992" s="12"/>
      <c r="AF992" s="6"/>
      <c r="AG992" s="12"/>
      <c r="AH992" s="6"/>
      <c r="AI992" s="6"/>
      <c r="AJ992" s="12"/>
      <c r="AK992" s="24"/>
      <c r="AL992" s="25"/>
      <c r="AM992" s="12"/>
      <c r="AN992" s="1"/>
      <c r="AO992" s="6"/>
    </row>
    <row r="993" spans="1:41" ht="15" x14ac:dyDescent="0.25">
      <c r="A993" s="1"/>
      <c r="B993" s="1"/>
      <c r="C993" s="1"/>
      <c r="D993" s="1"/>
      <c r="E993" s="6"/>
      <c r="F993" s="1"/>
      <c r="G993" s="6"/>
      <c r="H993" s="6"/>
      <c r="I993" s="6"/>
      <c r="J993" s="6"/>
      <c r="K993" s="6"/>
      <c r="L993" s="6"/>
      <c r="M993" s="6"/>
      <c r="N993" s="6"/>
      <c r="O993" s="7"/>
      <c r="P993" s="6"/>
      <c r="Q993" s="6"/>
      <c r="R993" s="7"/>
      <c r="S993" s="6"/>
      <c r="T993" s="6"/>
      <c r="U993" s="7"/>
      <c r="V993" s="6"/>
      <c r="W993" s="6"/>
      <c r="X993" s="6"/>
      <c r="Y993" s="6"/>
      <c r="Z993" s="6"/>
      <c r="AA993" s="7"/>
      <c r="AB993" s="6"/>
      <c r="AC993" s="6"/>
      <c r="AD993" s="6"/>
      <c r="AE993" s="12"/>
      <c r="AF993" s="12"/>
      <c r="AG993" s="12"/>
      <c r="AH993" s="12"/>
      <c r="AI993" s="6"/>
      <c r="AJ993" s="12"/>
      <c r="AK993" s="1"/>
      <c r="AL993" s="12"/>
      <c r="AM993" s="12"/>
      <c r="AN993" s="1"/>
      <c r="AO993" s="6"/>
    </row>
    <row r="994" spans="1:41" ht="15" x14ac:dyDescent="0.25">
      <c r="A994" s="1"/>
      <c r="B994" s="1"/>
      <c r="C994" s="1"/>
      <c r="D994" s="1"/>
      <c r="E994" s="6"/>
      <c r="F994" s="1"/>
      <c r="G994" s="6"/>
      <c r="H994" s="6"/>
      <c r="I994" s="6"/>
      <c r="J994" s="6"/>
      <c r="K994" s="6"/>
      <c r="L994" s="6"/>
      <c r="M994" s="6"/>
      <c r="N994" s="6"/>
      <c r="O994" s="7"/>
      <c r="P994" s="6"/>
      <c r="Q994" s="6"/>
      <c r="R994" s="7"/>
      <c r="S994" s="6"/>
      <c r="T994" s="6"/>
      <c r="U994" s="7"/>
      <c r="V994" s="6"/>
      <c r="W994" s="6"/>
      <c r="X994" s="6"/>
      <c r="Y994" s="6"/>
      <c r="Z994" s="6"/>
      <c r="AA994" s="7"/>
      <c r="AB994" s="6"/>
      <c r="AC994" s="6"/>
      <c r="AD994" s="6"/>
      <c r="AE994" s="12"/>
      <c r="AF994" s="6"/>
      <c r="AG994" s="12"/>
      <c r="AH994" s="6"/>
      <c r="AI994" s="6"/>
      <c r="AJ994" s="12"/>
      <c r="AK994" s="24"/>
      <c r="AL994" s="25"/>
      <c r="AM994" s="12"/>
      <c r="AN994" s="1"/>
      <c r="AO994" s="6"/>
    </row>
    <row r="995" spans="1:41" ht="15" x14ac:dyDescent="0.25">
      <c r="A995" s="1"/>
      <c r="B995" s="1"/>
      <c r="C995" s="1"/>
      <c r="D995" s="1"/>
      <c r="E995" s="6"/>
      <c r="F995" s="1"/>
      <c r="G995" s="6"/>
      <c r="H995" s="6"/>
      <c r="I995" s="6"/>
      <c r="J995" s="6"/>
      <c r="K995" s="6"/>
      <c r="L995" s="6"/>
      <c r="M995" s="6"/>
      <c r="N995" s="6"/>
      <c r="O995" s="7"/>
      <c r="P995" s="6"/>
      <c r="Q995" s="6"/>
      <c r="R995" s="7"/>
      <c r="S995" s="6"/>
      <c r="T995" s="6"/>
      <c r="U995" s="7"/>
      <c r="V995" s="6"/>
      <c r="W995" s="6"/>
      <c r="X995" s="6"/>
      <c r="Y995" s="6"/>
      <c r="Z995" s="6"/>
      <c r="AA995" s="7"/>
      <c r="AB995" s="6"/>
      <c r="AC995" s="6"/>
      <c r="AD995" s="6"/>
      <c r="AE995" s="12"/>
      <c r="AF995" s="6"/>
      <c r="AG995" s="12"/>
      <c r="AH995" s="6"/>
      <c r="AI995" s="6"/>
      <c r="AJ995" s="12"/>
      <c r="AK995" s="1"/>
      <c r="AL995" s="12"/>
      <c r="AM995" s="12"/>
      <c r="AN995" s="1"/>
      <c r="AO995" s="6"/>
    </row>
    <row r="996" spans="1:41" ht="15" x14ac:dyDescent="0.25">
      <c r="A996" s="1"/>
      <c r="B996" s="1"/>
      <c r="C996" s="1"/>
      <c r="D996" s="1"/>
      <c r="E996" s="6"/>
      <c r="F996" s="1"/>
      <c r="G996" s="6"/>
      <c r="H996" s="6"/>
      <c r="I996" s="6"/>
      <c r="J996" s="6"/>
      <c r="K996" s="6"/>
      <c r="L996" s="6"/>
      <c r="M996" s="6"/>
      <c r="N996" s="6"/>
      <c r="O996" s="7"/>
      <c r="P996" s="6"/>
      <c r="Q996" s="6"/>
      <c r="R996" s="7"/>
      <c r="S996" s="6"/>
      <c r="T996" s="6"/>
      <c r="U996" s="7"/>
      <c r="V996" s="6"/>
      <c r="W996" s="6"/>
      <c r="X996" s="12"/>
      <c r="Y996" s="6"/>
      <c r="Z996" s="6"/>
      <c r="AA996" s="7"/>
      <c r="AB996" s="6"/>
      <c r="AC996" s="6"/>
      <c r="AD996" s="6"/>
      <c r="AE996" s="12"/>
      <c r="AF996" s="12"/>
      <c r="AG996" s="12"/>
      <c r="AH996" s="12"/>
      <c r="AI996" s="6"/>
      <c r="AJ996" s="12"/>
      <c r="AK996" s="1"/>
      <c r="AL996" s="12"/>
      <c r="AM996" s="12"/>
      <c r="AN996" s="1"/>
      <c r="AO996" s="6"/>
    </row>
    <row r="997" spans="1:41" ht="15" x14ac:dyDescent="0.25">
      <c r="A997" s="1"/>
      <c r="B997" s="1"/>
      <c r="C997" s="1"/>
      <c r="D997" s="1"/>
      <c r="E997" s="6"/>
      <c r="F997" s="1"/>
      <c r="G997" s="6"/>
      <c r="H997" s="6"/>
      <c r="I997" s="6"/>
      <c r="J997" s="6"/>
      <c r="K997" s="6"/>
      <c r="L997" s="6"/>
      <c r="M997" s="6"/>
      <c r="N997" s="6"/>
      <c r="O997" s="7"/>
      <c r="P997" s="6"/>
      <c r="Q997" s="6"/>
      <c r="R997" s="7"/>
      <c r="S997" s="6"/>
      <c r="T997" s="6"/>
      <c r="U997" s="7"/>
      <c r="V997" s="6"/>
      <c r="W997" s="6"/>
      <c r="X997" s="12"/>
      <c r="Y997" s="6"/>
      <c r="Z997" s="6"/>
      <c r="AA997" s="7"/>
      <c r="AB997" s="6"/>
      <c r="AC997" s="6"/>
      <c r="AD997" s="6"/>
      <c r="AE997" s="12"/>
      <c r="AF997" s="6"/>
      <c r="AG997" s="12"/>
      <c r="AH997" s="6"/>
      <c r="AI997" s="6"/>
      <c r="AJ997" s="12"/>
      <c r="AK997" s="1"/>
      <c r="AL997" s="12"/>
      <c r="AM997" s="12"/>
      <c r="AN997" s="1"/>
      <c r="AO997" s="6"/>
    </row>
    <row r="998" spans="1:41" ht="15" x14ac:dyDescent="0.25">
      <c r="A998" s="1"/>
      <c r="B998" s="1"/>
      <c r="C998" s="1"/>
      <c r="D998" s="1"/>
      <c r="E998" s="6"/>
      <c r="F998" s="1"/>
      <c r="G998" s="6"/>
      <c r="H998" s="6"/>
      <c r="I998" s="6"/>
      <c r="J998" s="6"/>
      <c r="K998" s="6"/>
      <c r="L998" s="6"/>
      <c r="M998" s="6"/>
      <c r="N998" s="6"/>
      <c r="O998" s="7"/>
      <c r="P998" s="12"/>
      <c r="Q998" s="6"/>
      <c r="R998" s="7"/>
      <c r="S998" s="6"/>
      <c r="T998" s="6"/>
      <c r="U998" s="7"/>
      <c r="V998" s="6"/>
      <c r="W998" s="6"/>
      <c r="X998" s="6"/>
      <c r="Y998" s="6"/>
      <c r="Z998" s="6"/>
      <c r="AA998" s="7"/>
      <c r="AB998" s="6"/>
      <c r="AC998" s="6"/>
      <c r="AD998" s="6"/>
      <c r="AE998" s="12"/>
      <c r="AF998" s="12"/>
      <c r="AG998" s="12"/>
      <c r="AH998" s="12"/>
      <c r="AI998" s="6"/>
      <c r="AJ998" s="12"/>
      <c r="AK998" s="1"/>
      <c r="AL998" s="12"/>
      <c r="AM998" s="12"/>
      <c r="AN998" s="1"/>
      <c r="AO998" s="6"/>
    </row>
    <row r="999" spans="1:41" ht="15" x14ac:dyDescent="0.25">
      <c r="A999" s="1"/>
      <c r="B999" s="1"/>
      <c r="C999" s="1"/>
      <c r="D999" s="1"/>
      <c r="E999" s="6"/>
      <c r="F999" s="1"/>
      <c r="G999" s="6"/>
      <c r="H999" s="6"/>
      <c r="I999" s="6"/>
      <c r="J999" s="6"/>
      <c r="K999" s="6"/>
      <c r="L999" s="6"/>
      <c r="M999" s="6"/>
      <c r="N999" s="6"/>
      <c r="O999" s="7"/>
      <c r="P999" s="12"/>
      <c r="Q999" s="6"/>
      <c r="R999" s="7"/>
      <c r="S999" s="6"/>
      <c r="T999" s="6"/>
      <c r="U999" s="7"/>
      <c r="V999" s="6"/>
      <c r="W999" s="6"/>
      <c r="X999" s="6"/>
      <c r="Y999" s="6"/>
      <c r="Z999" s="6"/>
      <c r="AA999" s="7"/>
      <c r="AB999" s="6"/>
      <c r="AC999" s="6"/>
      <c r="AD999" s="6"/>
      <c r="AE999" s="12"/>
      <c r="AF999" s="6"/>
      <c r="AG999" s="12"/>
      <c r="AH999" s="6"/>
      <c r="AI999" s="6"/>
      <c r="AJ999" s="12"/>
      <c r="AK999" s="1"/>
      <c r="AL999" s="12"/>
      <c r="AM999" s="12"/>
      <c r="AN999" s="1"/>
      <c r="AO999" s="6"/>
    </row>
    <row r="1000" spans="1:41" ht="15" x14ac:dyDescent="0.25">
      <c r="A1000" s="1"/>
      <c r="B1000" s="1"/>
      <c r="C1000" s="1"/>
      <c r="D1000" s="1"/>
      <c r="E1000" s="6"/>
      <c r="F1000" s="1"/>
      <c r="G1000" s="6"/>
      <c r="H1000" s="6"/>
      <c r="I1000" s="6"/>
      <c r="J1000" s="6"/>
      <c r="K1000" s="6"/>
      <c r="L1000" s="6"/>
      <c r="M1000" s="6"/>
      <c r="N1000" s="6"/>
      <c r="O1000" s="7"/>
      <c r="P1000" s="6"/>
      <c r="Q1000" s="6"/>
      <c r="R1000" s="7"/>
      <c r="S1000" s="6"/>
      <c r="T1000" s="6"/>
      <c r="U1000" s="7"/>
      <c r="V1000" s="6"/>
      <c r="W1000" s="6"/>
      <c r="X1000" s="6"/>
      <c r="Y1000" s="6"/>
      <c r="Z1000" s="6"/>
      <c r="AA1000" s="7"/>
      <c r="AB1000" s="6"/>
      <c r="AC1000" s="6"/>
      <c r="AD1000" s="6"/>
      <c r="AE1000" s="12"/>
      <c r="AF1000" s="12"/>
      <c r="AG1000" s="12"/>
      <c r="AH1000" s="12"/>
      <c r="AI1000" s="6"/>
      <c r="AJ1000" s="12"/>
      <c r="AK1000" s="1"/>
      <c r="AL1000" s="12"/>
      <c r="AM1000" s="12"/>
      <c r="AN1000" s="1"/>
      <c r="AO1000" s="6"/>
    </row>
    <row r="1001" spans="1:41" ht="15" x14ac:dyDescent="0.25">
      <c r="A1001" s="1"/>
      <c r="B1001" s="1"/>
      <c r="C1001" s="1"/>
      <c r="D1001" s="1"/>
      <c r="E1001" s="6"/>
      <c r="F1001" s="1"/>
      <c r="G1001" s="6"/>
      <c r="H1001" s="6"/>
      <c r="I1001" s="6"/>
      <c r="J1001" s="6"/>
      <c r="K1001" s="6"/>
      <c r="L1001" s="6"/>
      <c r="M1001" s="6"/>
      <c r="N1001" s="6"/>
      <c r="O1001" s="7"/>
      <c r="P1001" s="6"/>
      <c r="Q1001" s="6"/>
      <c r="R1001" s="7"/>
      <c r="S1001" s="6"/>
      <c r="T1001" s="6"/>
      <c r="U1001" s="7"/>
      <c r="V1001" s="6"/>
      <c r="W1001" s="6"/>
      <c r="X1001" s="12"/>
      <c r="Y1001" s="6"/>
      <c r="Z1001" s="6"/>
      <c r="AA1001" s="7"/>
      <c r="AB1001" s="6"/>
      <c r="AC1001" s="6"/>
      <c r="AD1001" s="6"/>
      <c r="AE1001" s="12"/>
      <c r="AF1001" s="6"/>
      <c r="AG1001" s="12"/>
      <c r="AH1001" s="6"/>
      <c r="AI1001" s="6"/>
      <c r="AJ1001" s="12"/>
      <c r="AK1001" s="1"/>
      <c r="AL1001" s="12"/>
      <c r="AM1001" s="12"/>
      <c r="AN1001" s="1"/>
      <c r="AO1001" s="6"/>
    </row>
    <row r="1002" spans="1:41" ht="15" x14ac:dyDescent="0.25">
      <c r="A1002" s="1"/>
      <c r="B1002" s="1"/>
      <c r="C1002" s="1"/>
      <c r="D1002" s="1"/>
      <c r="E1002" s="6"/>
      <c r="F1002" s="1"/>
      <c r="G1002" s="6"/>
      <c r="H1002" s="6"/>
      <c r="I1002" s="6"/>
      <c r="J1002" s="6"/>
      <c r="K1002" s="6"/>
      <c r="L1002" s="6"/>
      <c r="M1002" s="6"/>
      <c r="N1002" s="6"/>
      <c r="O1002" s="7"/>
      <c r="P1002" s="6"/>
      <c r="Q1002" s="6"/>
      <c r="R1002" s="7"/>
      <c r="S1002" s="6"/>
      <c r="T1002" s="6"/>
      <c r="U1002" s="7"/>
      <c r="V1002" s="6"/>
      <c r="W1002" s="6"/>
      <c r="X1002" s="12"/>
      <c r="Y1002" s="6"/>
      <c r="Z1002" s="6"/>
      <c r="AA1002" s="7"/>
      <c r="AB1002" s="6"/>
      <c r="AC1002" s="6"/>
      <c r="AD1002" s="6"/>
      <c r="AE1002" s="12"/>
      <c r="AF1002" s="6"/>
      <c r="AG1002" s="12"/>
      <c r="AH1002" s="6"/>
      <c r="AI1002" s="6"/>
      <c r="AJ1002" s="12"/>
      <c r="AK1002" s="24"/>
      <c r="AL1002" s="25"/>
      <c r="AM1002" s="12"/>
      <c r="AN1002" s="1"/>
      <c r="AO1002" s="6"/>
    </row>
    <row r="1003" spans="1:41" ht="15" x14ac:dyDescent="0.25">
      <c r="A1003" s="1"/>
      <c r="B1003" s="1"/>
      <c r="C1003" s="1"/>
      <c r="D1003" s="1"/>
      <c r="E1003" s="6"/>
      <c r="F1003" s="1"/>
      <c r="G1003" s="6"/>
      <c r="H1003" s="6"/>
      <c r="I1003" s="6"/>
      <c r="J1003" s="6"/>
      <c r="K1003" s="6"/>
      <c r="L1003" s="6"/>
      <c r="M1003" s="6"/>
      <c r="N1003" s="6"/>
      <c r="O1003" s="7"/>
      <c r="P1003" s="6"/>
      <c r="Q1003" s="6"/>
      <c r="R1003" s="7"/>
      <c r="S1003" s="6"/>
      <c r="T1003" s="6"/>
      <c r="U1003" s="7"/>
      <c r="V1003" s="6"/>
      <c r="W1003" s="6"/>
      <c r="X1003" s="6"/>
      <c r="Y1003" s="6"/>
      <c r="Z1003" s="6"/>
      <c r="AA1003" s="7"/>
      <c r="AB1003" s="6"/>
      <c r="AC1003" s="6"/>
      <c r="AD1003" s="6"/>
      <c r="AE1003" s="12"/>
      <c r="AF1003" s="6"/>
      <c r="AG1003" s="12"/>
      <c r="AH1003" s="6"/>
      <c r="AI1003" s="6"/>
      <c r="AJ1003" s="12"/>
      <c r="AK1003" s="24"/>
      <c r="AL1003" s="25"/>
      <c r="AM1003" s="12"/>
      <c r="AN1003" s="1"/>
      <c r="AO1003" s="6"/>
    </row>
    <row r="1004" spans="1:41" ht="15" x14ac:dyDescent="0.25">
      <c r="A1004" s="1"/>
      <c r="B1004" s="1"/>
      <c r="C1004" s="1"/>
      <c r="D1004" s="1"/>
      <c r="E1004" s="6"/>
      <c r="F1004" s="1"/>
      <c r="G1004" s="6"/>
      <c r="H1004" s="6"/>
      <c r="I1004" s="6"/>
      <c r="J1004" s="6"/>
      <c r="K1004" s="6"/>
      <c r="L1004" s="6"/>
      <c r="M1004" s="6"/>
      <c r="N1004" s="6"/>
      <c r="O1004" s="7"/>
      <c r="P1004" s="6"/>
      <c r="Q1004" s="6"/>
      <c r="R1004" s="12"/>
      <c r="S1004" s="12"/>
      <c r="T1004" s="12"/>
      <c r="U1004" s="7"/>
      <c r="V1004" s="6"/>
      <c r="W1004" s="6"/>
      <c r="X1004" s="12"/>
      <c r="Y1004" s="6"/>
      <c r="Z1004" s="6"/>
      <c r="AA1004" s="7"/>
      <c r="AB1004" s="6"/>
      <c r="AC1004" s="6"/>
      <c r="AD1004" s="6"/>
      <c r="AE1004" s="12"/>
      <c r="AF1004" s="12"/>
      <c r="AG1004" s="12"/>
      <c r="AH1004" s="12"/>
      <c r="AI1004" s="6"/>
      <c r="AJ1004" s="12"/>
      <c r="AK1004" s="1"/>
      <c r="AL1004" s="12"/>
      <c r="AM1004" s="12"/>
      <c r="AN1004" s="1"/>
      <c r="AO1004" s="6"/>
    </row>
    <row r="1005" spans="1:41" ht="15" x14ac:dyDescent="0.25">
      <c r="A1005" s="1"/>
      <c r="B1005" s="1"/>
      <c r="C1005" s="1"/>
      <c r="D1005" s="1"/>
      <c r="E1005" s="6"/>
      <c r="F1005" s="1"/>
      <c r="G1005" s="6"/>
      <c r="H1005" s="6"/>
      <c r="I1005" s="6"/>
      <c r="J1005" s="6"/>
      <c r="K1005" s="6"/>
      <c r="L1005" s="6"/>
      <c r="M1005" s="6"/>
      <c r="N1005" s="6"/>
      <c r="O1005" s="7"/>
      <c r="P1005" s="6"/>
      <c r="Q1005" s="6"/>
      <c r="R1005" s="12"/>
      <c r="S1005" s="12"/>
      <c r="T1005" s="12"/>
      <c r="U1005" s="7"/>
      <c r="V1005" s="6"/>
      <c r="W1005" s="6"/>
      <c r="X1005" s="12"/>
      <c r="Y1005" s="6"/>
      <c r="Z1005" s="6"/>
      <c r="AA1005" s="7"/>
      <c r="AB1005" s="6"/>
      <c r="AC1005" s="6"/>
      <c r="AD1005" s="6"/>
      <c r="AE1005" s="12"/>
      <c r="AF1005" s="12"/>
      <c r="AG1005" s="12"/>
      <c r="AH1005" s="12"/>
      <c r="AI1005" s="6"/>
      <c r="AJ1005" s="12"/>
      <c r="AK1005" s="24"/>
      <c r="AL1005" s="25"/>
      <c r="AM1005" s="12"/>
      <c r="AN1005" s="1"/>
      <c r="AO1005" s="6"/>
    </row>
    <row r="1006" spans="1:41" ht="15" x14ac:dyDescent="0.25">
      <c r="A1006" s="1"/>
      <c r="B1006" s="1"/>
      <c r="C1006" s="1"/>
      <c r="D1006" s="1"/>
      <c r="E1006" s="6"/>
      <c r="F1006" s="1"/>
      <c r="G1006" s="6"/>
      <c r="H1006" s="6"/>
      <c r="I1006" s="6"/>
      <c r="J1006" s="6"/>
      <c r="K1006" s="6"/>
      <c r="L1006" s="6"/>
      <c r="M1006" s="6"/>
      <c r="N1006" s="6"/>
      <c r="O1006" s="7"/>
      <c r="P1006" s="6"/>
      <c r="Q1006" s="6"/>
      <c r="R1006" s="7"/>
      <c r="S1006" s="6"/>
      <c r="T1006" s="6"/>
      <c r="U1006" s="7"/>
      <c r="V1006" s="6"/>
      <c r="W1006" s="6"/>
      <c r="X1006" s="6"/>
      <c r="Y1006" s="6"/>
      <c r="Z1006" s="6"/>
      <c r="AA1006" s="7"/>
      <c r="AB1006" s="6"/>
      <c r="AC1006" s="6"/>
      <c r="AD1006" s="6"/>
      <c r="AE1006" s="12"/>
      <c r="AF1006" s="12"/>
      <c r="AG1006" s="12"/>
      <c r="AH1006" s="12"/>
      <c r="AI1006" s="6"/>
      <c r="AJ1006" s="12"/>
      <c r="AK1006" s="1"/>
      <c r="AL1006" s="12"/>
      <c r="AM1006" s="12"/>
      <c r="AN1006" s="1"/>
      <c r="AO1006" s="6"/>
    </row>
    <row r="1007" spans="1:41" ht="15" x14ac:dyDescent="0.25">
      <c r="A1007" s="1"/>
      <c r="B1007" s="1"/>
      <c r="C1007" s="1"/>
      <c r="D1007" s="1"/>
      <c r="E1007" s="6"/>
      <c r="F1007" s="1"/>
      <c r="G1007" s="6"/>
      <c r="H1007" s="6"/>
      <c r="I1007" s="6"/>
      <c r="J1007" s="6"/>
      <c r="K1007" s="6"/>
      <c r="L1007" s="6"/>
      <c r="M1007" s="6"/>
      <c r="N1007" s="6"/>
      <c r="O1007" s="7"/>
      <c r="P1007" s="6"/>
      <c r="Q1007" s="6"/>
      <c r="R1007" s="7"/>
      <c r="S1007" s="6"/>
      <c r="T1007" s="6"/>
      <c r="U1007" s="7"/>
      <c r="V1007" s="6"/>
      <c r="W1007" s="6"/>
      <c r="X1007" s="6"/>
      <c r="Y1007" s="6"/>
      <c r="Z1007" s="6"/>
      <c r="AA1007" s="7"/>
      <c r="AB1007" s="6"/>
      <c r="AC1007" s="6"/>
      <c r="AD1007" s="6"/>
      <c r="AE1007" s="12"/>
      <c r="AF1007" s="6"/>
      <c r="AG1007" s="12"/>
      <c r="AH1007" s="6"/>
      <c r="AI1007" s="6"/>
      <c r="AJ1007" s="12"/>
      <c r="AK1007" s="1"/>
      <c r="AL1007" s="12"/>
      <c r="AM1007" s="12"/>
      <c r="AN1007" s="1"/>
      <c r="AO1007" s="6"/>
    </row>
    <row r="1008" spans="1:41" ht="15" x14ac:dyDescent="0.25">
      <c r="A1008" s="1"/>
      <c r="B1008" s="1"/>
      <c r="C1008" s="1"/>
      <c r="D1008" s="1"/>
      <c r="E1008" s="6"/>
      <c r="F1008" s="1"/>
      <c r="G1008" s="6"/>
      <c r="H1008" s="6"/>
      <c r="I1008" s="6"/>
      <c r="J1008" s="6"/>
      <c r="K1008" s="6"/>
      <c r="L1008" s="6"/>
      <c r="M1008" s="6"/>
      <c r="N1008" s="6"/>
      <c r="O1008" s="7"/>
      <c r="P1008" s="6"/>
      <c r="Q1008" s="6"/>
      <c r="R1008" s="7"/>
      <c r="S1008" s="6"/>
      <c r="T1008" s="6"/>
      <c r="U1008" s="7"/>
      <c r="V1008" s="6"/>
      <c r="W1008" s="6"/>
      <c r="X1008" s="6"/>
      <c r="Y1008" s="6"/>
      <c r="Z1008" s="6"/>
      <c r="AA1008" s="7"/>
      <c r="AB1008" s="6"/>
      <c r="AC1008" s="6"/>
      <c r="AD1008" s="6"/>
      <c r="AE1008" s="12"/>
      <c r="AF1008" s="6"/>
      <c r="AG1008" s="12"/>
      <c r="AH1008" s="6"/>
      <c r="AI1008" s="6"/>
      <c r="AJ1008" s="12"/>
      <c r="AK1008" s="1"/>
      <c r="AL1008" s="12"/>
      <c r="AM1008" s="12"/>
      <c r="AN1008" s="1"/>
      <c r="AO1008" s="6"/>
    </row>
    <row r="1009" spans="1:41" ht="15" x14ac:dyDescent="0.25">
      <c r="A1009" s="1"/>
      <c r="B1009" s="1"/>
      <c r="C1009" s="1"/>
      <c r="D1009" s="1"/>
      <c r="E1009" s="6"/>
      <c r="F1009" s="1"/>
      <c r="G1009" s="6"/>
      <c r="H1009" s="6"/>
      <c r="I1009" s="6"/>
      <c r="J1009" s="6"/>
      <c r="K1009" s="6"/>
      <c r="L1009" s="6"/>
      <c r="M1009" s="6"/>
      <c r="N1009" s="6"/>
      <c r="O1009" s="7"/>
      <c r="P1009" s="6"/>
      <c r="Q1009" s="7"/>
      <c r="R1009" s="6"/>
      <c r="S1009" s="12"/>
      <c r="T1009" s="6"/>
      <c r="U1009" s="6"/>
      <c r="V1009" s="7"/>
      <c r="W1009" s="7"/>
      <c r="X1009" s="6"/>
      <c r="Y1009" s="6"/>
      <c r="Z1009" s="6"/>
      <c r="AA1009" s="1"/>
      <c r="AB1009" s="12"/>
      <c r="AC1009" s="12"/>
      <c r="AD1009" s="12"/>
      <c r="AE1009" s="12"/>
      <c r="AF1009" s="12"/>
      <c r="AG1009" s="12"/>
      <c r="AH1009" s="12"/>
      <c r="AI1009" s="6"/>
      <c r="AJ1009" s="12"/>
      <c r="AK1009" s="12"/>
      <c r="AL1009" s="12"/>
      <c r="AM1009" s="12"/>
      <c r="AN1009" s="1"/>
      <c r="AO1009" s="6"/>
    </row>
    <row r="1010" spans="1:41" ht="15" x14ac:dyDescent="0.25">
      <c r="A1010" s="1"/>
      <c r="B1010" s="1"/>
      <c r="C1010" s="1"/>
      <c r="D1010" s="1"/>
      <c r="E1010" s="6"/>
      <c r="F1010" s="1"/>
      <c r="G1010" s="6"/>
      <c r="H1010" s="6"/>
      <c r="I1010" s="6"/>
      <c r="J1010" s="6"/>
      <c r="K1010" s="12"/>
      <c r="L1010" s="12"/>
      <c r="M1010" s="6"/>
      <c r="N1010" s="6"/>
      <c r="O1010" s="7"/>
      <c r="P1010" s="6"/>
      <c r="Q1010" s="6"/>
      <c r="R1010" s="7"/>
      <c r="S1010" s="6"/>
      <c r="T1010" s="6"/>
      <c r="U1010" s="7"/>
      <c r="V1010" s="6"/>
      <c r="W1010" s="6"/>
      <c r="X1010" s="12"/>
      <c r="Y1010" s="6"/>
      <c r="Z1010" s="6"/>
      <c r="AA1010" s="7"/>
      <c r="AB1010" s="6"/>
      <c r="AC1010" s="6"/>
      <c r="AD1010" s="6"/>
      <c r="AE1010" s="12"/>
      <c r="AF1010" s="12"/>
      <c r="AG1010" s="12"/>
      <c r="AH1010" s="12"/>
      <c r="AI1010" s="6"/>
      <c r="AJ1010" s="12"/>
      <c r="AK1010" s="1"/>
      <c r="AL1010" s="12"/>
      <c r="AM1010" s="12"/>
      <c r="AN1010" s="1"/>
      <c r="AO1010" s="12"/>
    </row>
    <row r="1011" spans="1:41" ht="15" x14ac:dyDescent="0.25">
      <c r="A1011" s="1"/>
      <c r="B1011" s="1"/>
      <c r="C1011" s="1"/>
      <c r="D1011" s="1"/>
      <c r="E1011" s="6"/>
      <c r="F1011" s="1"/>
      <c r="G1011" s="6"/>
      <c r="H1011" s="6"/>
      <c r="I1011" s="6"/>
      <c r="J1011" s="6"/>
      <c r="K1011" s="6"/>
      <c r="L1011" s="6"/>
      <c r="M1011" s="6"/>
      <c r="N1011" s="6"/>
      <c r="O1011" s="7"/>
      <c r="P1011" s="6"/>
      <c r="Q1011" s="6"/>
      <c r="R1011" s="7"/>
      <c r="S1011" s="6"/>
      <c r="T1011" s="6"/>
      <c r="U1011" s="7"/>
      <c r="V1011" s="6"/>
      <c r="W1011" s="6"/>
      <c r="X1011" s="6"/>
      <c r="Y1011" s="6"/>
      <c r="Z1011" s="6"/>
      <c r="AA1011" s="7"/>
      <c r="AB1011" s="6"/>
      <c r="AC1011" s="6"/>
      <c r="AD1011" s="6"/>
      <c r="AE1011" s="12"/>
      <c r="AF1011" s="6"/>
      <c r="AG1011" s="12"/>
      <c r="AH1011" s="6"/>
      <c r="AI1011" s="6"/>
      <c r="AJ1011" s="12"/>
      <c r="AK1011" s="1"/>
      <c r="AL1011" s="12"/>
      <c r="AM1011" s="12"/>
      <c r="AN1011" s="1"/>
      <c r="AO1011" s="6"/>
    </row>
    <row r="1012" spans="1:41" ht="15" x14ac:dyDescent="0.25">
      <c r="A1012" s="1"/>
      <c r="B1012" s="1"/>
      <c r="C1012" s="1"/>
      <c r="D1012" s="1"/>
      <c r="E1012" s="6"/>
      <c r="F1012" s="1"/>
      <c r="G1012" s="6"/>
      <c r="H1012" s="6"/>
      <c r="I1012" s="6"/>
      <c r="J1012" s="6"/>
      <c r="K1012" s="6"/>
      <c r="L1012" s="6"/>
      <c r="M1012" s="6"/>
      <c r="N1012" s="6"/>
      <c r="O1012" s="7"/>
      <c r="P1012" s="6"/>
      <c r="Q1012" s="6"/>
      <c r="R1012" s="7"/>
      <c r="S1012" s="6"/>
      <c r="T1012" s="6"/>
      <c r="U1012" s="7"/>
      <c r="V1012" s="6"/>
      <c r="W1012" s="6"/>
      <c r="X1012" s="6"/>
      <c r="Y1012" s="6"/>
      <c r="Z1012" s="6"/>
      <c r="AA1012" s="7"/>
      <c r="AB1012" s="6"/>
      <c r="AC1012" s="6"/>
      <c r="AD1012" s="6"/>
      <c r="AE1012" s="12"/>
      <c r="AF1012" s="6"/>
      <c r="AG1012" s="12"/>
      <c r="AH1012" s="6"/>
      <c r="AI1012" s="6"/>
      <c r="AJ1012" s="12"/>
      <c r="AK1012" s="1"/>
      <c r="AL1012" s="12"/>
      <c r="AM1012" s="12"/>
      <c r="AN1012" s="1"/>
      <c r="AO1012" s="6"/>
    </row>
    <row r="1013" spans="1:41" ht="15" x14ac:dyDescent="0.25">
      <c r="A1013" s="1"/>
      <c r="B1013" s="1"/>
      <c r="C1013" s="1"/>
      <c r="D1013" s="1"/>
      <c r="E1013" s="6"/>
      <c r="F1013" s="1"/>
      <c r="G1013" s="6"/>
      <c r="H1013" s="6"/>
      <c r="I1013" s="6"/>
      <c r="J1013" s="6"/>
      <c r="K1013" s="12"/>
      <c r="L1013" s="12"/>
      <c r="M1013" s="6"/>
      <c r="N1013" s="6"/>
      <c r="O1013" s="7"/>
      <c r="P1013" s="6"/>
      <c r="Q1013" s="6"/>
      <c r="R1013" s="7"/>
      <c r="S1013" s="6"/>
      <c r="T1013" s="6"/>
      <c r="U1013" s="7"/>
      <c r="V1013" s="6"/>
      <c r="W1013" s="6"/>
      <c r="X1013" s="12"/>
      <c r="Y1013" s="6"/>
      <c r="Z1013" s="6"/>
      <c r="AA1013" s="7"/>
      <c r="AB1013" s="6"/>
      <c r="AC1013" s="6"/>
      <c r="AD1013" s="6"/>
      <c r="AE1013" s="12"/>
      <c r="AF1013" s="12"/>
      <c r="AG1013" s="12"/>
      <c r="AH1013" s="12"/>
      <c r="AI1013" s="6"/>
      <c r="AJ1013" s="12"/>
      <c r="AK1013" s="1"/>
      <c r="AL1013" s="12"/>
      <c r="AM1013" s="12"/>
      <c r="AN1013" s="1"/>
      <c r="AO1013" s="6"/>
    </row>
    <row r="1014" spans="1:41" ht="15" x14ac:dyDescent="0.25">
      <c r="A1014" s="1"/>
      <c r="B1014" s="1"/>
      <c r="C1014" s="1"/>
      <c r="D1014" s="1"/>
      <c r="E1014" s="6"/>
      <c r="F1014" s="1"/>
      <c r="G1014" s="6"/>
      <c r="H1014" s="6"/>
      <c r="I1014" s="6"/>
      <c r="J1014" s="6"/>
      <c r="K1014" s="12"/>
      <c r="L1014" s="12"/>
      <c r="M1014" s="6"/>
      <c r="N1014" s="6"/>
      <c r="O1014" s="7"/>
      <c r="P1014" s="6"/>
      <c r="Q1014" s="6"/>
      <c r="R1014" s="7"/>
      <c r="S1014" s="6"/>
      <c r="T1014" s="6"/>
      <c r="U1014" s="7"/>
      <c r="V1014" s="6"/>
      <c r="W1014" s="6"/>
      <c r="X1014" s="12"/>
      <c r="Y1014" s="6"/>
      <c r="Z1014" s="6"/>
      <c r="AA1014" s="7"/>
      <c r="AB1014" s="6"/>
      <c r="AC1014" s="6"/>
      <c r="AD1014" s="6"/>
      <c r="AE1014" s="12"/>
      <c r="AF1014" s="12"/>
      <c r="AG1014" s="12"/>
      <c r="AH1014" s="12"/>
      <c r="AI1014" s="6"/>
      <c r="AJ1014" s="12"/>
      <c r="AK1014" s="1"/>
      <c r="AL1014" s="12"/>
      <c r="AM1014" s="12"/>
      <c r="AN1014" s="1"/>
      <c r="AO1014" s="12"/>
    </row>
    <row r="1015" spans="1:41" ht="15" x14ac:dyDescent="0.25">
      <c r="A1015" s="1"/>
      <c r="B1015" s="1"/>
      <c r="C1015" s="1"/>
      <c r="D1015" s="1"/>
      <c r="E1015" s="6"/>
      <c r="F1015" s="1"/>
      <c r="G1015" s="6"/>
      <c r="H1015" s="6"/>
      <c r="I1015" s="6"/>
      <c r="J1015" s="6"/>
      <c r="K1015" s="6"/>
      <c r="L1015" s="6"/>
      <c r="M1015" s="6"/>
      <c r="N1015" s="6"/>
      <c r="O1015" s="7"/>
      <c r="P1015" s="6"/>
      <c r="Q1015" s="6"/>
      <c r="R1015" s="7"/>
      <c r="S1015" s="6"/>
      <c r="T1015" s="6"/>
      <c r="U1015" s="7"/>
      <c r="V1015" s="6"/>
      <c r="W1015" s="6"/>
      <c r="X1015" s="12"/>
      <c r="Y1015" s="6"/>
      <c r="Z1015" s="6"/>
      <c r="AA1015" s="7"/>
      <c r="AB1015" s="6"/>
      <c r="AC1015" s="6"/>
      <c r="AD1015" s="6"/>
      <c r="AE1015" s="12"/>
      <c r="AF1015" s="6"/>
      <c r="AG1015" s="12"/>
      <c r="AH1015" s="6"/>
      <c r="AI1015" s="6"/>
      <c r="AJ1015" s="12"/>
      <c r="AK1015" s="1"/>
      <c r="AL1015" s="12"/>
      <c r="AM1015" s="12"/>
      <c r="AN1015" s="1"/>
      <c r="AO1015" s="6"/>
    </row>
    <row r="1016" spans="1:41" ht="15" x14ac:dyDescent="0.25">
      <c r="A1016" s="1"/>
      <c r="B1016" s="1"/>
      <c r="C1016" s="1"/>
      <c r="D1016" s="1"/>
      <c r="E1016" s="6"/>
      <c r="F1016" s="1"/>
      <c r="G1016" s="6"/>
      <c r="H1016" s="6"/>
      <c r="I1016" s="6"/>
      <c r="J1016" s="6"/>
      <c r="K1016" s="6"/>
      <c r="L1016" s="6"/>
      <c r="M1016" s="6"/>
      <c r="N1016" s="6"/>
      <c r="O1016" s="7"/>
      <c r="P1016" s="6"/>
      <c r="Q1016" s="7"/>
      <c r="R1016" s="6"/>
      <c r="S1016" s="6"/>
      <c r="T1016" s="6"/>
      <c r="U1016" s="6"/>
      <c r="V1016" s="7"/>
      <c r="W1016" s="6"/>
      <c r="X1016" s="6"/>
      <c r="Y1016" s="6"/>
      <c r="Z1016" s="6"/>
      <c r="AA1016" s="24"/>
      <c r="AB1016" s="25"/>
      <c r="AC1016" s="12"/>
      <c r="AD1016" s="12"/>
      <c r="AE1016" s="12"/>
      <c r="AF1016" s="6"/>
      <c r="AG1016" s="12"/>
      <c r="AH1016" s="6"/>
      <c r="AI1016" s="6"/>
      <c r="AJ1016" s="12"/>
      <c r="AK1016" s="12"/>
      <c r="AL1016" s="12"/>
      <c r="AM1016" s="12"/>
      <c r="AN1016" s="1"/>
      <c r="AO1016" s="6"/>
    </row>
    <row r="1017" spans="1:41" ht="15" x14ac:dyDescent="0.25">
      <c r="A1017" s="1"/>
      <c r="B1017" s="1"/>
      <c r="C1017" s="1"/>
      <c r="D1017" s="1"/>
      <c r="E1017" s="6"/>
      <c r="F1017" s="1"/>
      <c r="G1017" s="6"/>
      <c r="H1017" s="6"/>
      <c r="I1017" s="6"/>
      <c r="J1017" s="6"/>
      <c r="K1017" s="6"/>
      <c r="L1017" s="6"/>
      <c r="M1017" s="6"/>
      <c r="N1017" s="6"/>
      <c r="O1017" s="7"/>
      <c r="P1017" s="6"/>
      <c r="Q1017" s="6"/>
      <c r="R1017" s="7"/>
      <c r="S1017" s="6"/>
      <c r="T1017" s="6"/>
      <c r="U1017" s="7"/>
      <c r="V1017" s="6"/>
      <c r="W1017" s="6"/>
      <c r="X1017" s="6"/>
      <c r="Y1017" s="6"/>
      <c r="Z1017" s="6"/>
      <c r="AA1017" s="7"/>
      <c r="AB1017" s="6"/>
      <c r="AC1017" s="6"/>
      <c r="AD1017" s="6"/>
      <c r="AE1017" s="12"/>
      <c r="AF1017" s="12"/>
      <c r="AG1017" s="12"/>
      <c r="AH1017" s="12"/>
      <c r="AI1017" s="6"/>
      <c r="AJ1017" s="12"/>
      <c r="AK1017" s="1"/>
      <c r="AL1017" s="12"/>
      <c r="AM1017" s="12"/>
      <c r="AN1017" s="1"/>
      <c r="AO1017" s="6"/>
    </row>
    <row r="1018" spans="1:41" ht="15" x14ac:dyDescent="0.25">
      <c r="A1018" s="1"/>
      <c r="B1018" s="1"/>
      <c r="C1018" s="1"/>
      <c r="D1018" s="1"/>
      <c r="E1018" s="6"/>
      <c r="F1018" s="1"/>
      <c r="G1018" s="6"/>
      <c r="H1018" s="6"/>
      <c r="I1018" s="6"/>
      <c r="J1018" s="6"/>
      <c r="K1018" s="6"/>
      <c r="L1018" s="6"/>
      <c r="M1018" s="6"/>
      <c r="N1018" s="6"/>
      <c r="O1018" s="7"/>
      <c r="P1018" s="6"/>
      <c r="Q1018" s="6"/>
      <c r="R1018" s="7"/>
      <c r="S1018" s="6"/>
      <c r="T1018" s="6"/>
      <c r="U1018" s="7"/>
      <c r="V1018" s="6"/>
      <c r="W1018" s="6"/>
      <c r="X1018" s="6"/>
      <c r="Y1018" s="6"/>
      <c r="Z1018" s="6"/>
      <c r="AA1018" s="7"/>
      <c r="AB1018" s="6"/>
      <c r="AC1018" s="6"/>
      <c r="AD1018" s="6"/>
      <c r="AE1018" s="12"/>
      <c r="AF1018" s="6"/>
      <c r="AG1018" s="12"/>
      <c r="AH1018" s="6"/>
      <c r="AI1018" s="6"/>
      <c r="AJ1018" s="12"/>
      <c r="AK1018" s="1"/>
      <c r="AL1018" s="12"/>
      <c r="AM1018" s="12"/>
      <c r="AN1018" s="1"/>
      <c r="AO1018" s="6"/>
    </row>
    <row r="1019" spans="1:41" ht="15" x14ac:dyDescent="0.25">
      <c r="A1019" s="1"/>
      <c r="B1019" s="1"/>
      <c r="C1019" s="1"/>
      <c r="D1019" s="1"/>
      <c r="E1019" s="6"/>
      <c r="F1019" s="1"/>
      <c r="G1019" s="6"/>
      <c r="H1019" s="6"/>
      <c r="I1019" s="6"/>
      <c r="J1019" s="6"/>
      <c r="K1019" s="12"/>
      <c r="L1019" s="12"/>
      <c r="M1019" s="6"/>
      <c r="N1019" s="6"/>
      <c r="O1019" s="7"/>
      <c r="P1019" s="6"/>
      <c r="Q1019" s="6"/>
      <c r="R1019" s="7"/>
      <c r="S1019" s="6"/>
      <c r="T1019" s="6"/>
      <c r="U1019" s="7"/>
      <c r="V1019" s="6"/>
      <c r="W1019" s="6"/>
      <c r="X1019" s="12"/>
      <c r="Y1019" s="6"/>
      <c r="Z1019" s="6"/>
      <c r="AA1019" s="7"/>
      <c r="AB1019" s="6"/>
      <c r="AC1019" s="6"/>
      <c r="AD1019" s="6"/>
      <c r="AE1019" s="12"/>
      <c r="AF1019" s="12"/>
      <c r="AG1019" s="12"/>
      <c r="AH1019" s="12"/>
      <c r="AI1019" s="6"/>
      <c r="AJ1019" s="12"/>
      <c r="AK1019" s="1"/>
      <c r="AL1019" s="12"/>
      <c r="AM1019" s="12"/>
      <c r="AN1019" s="1"/>
      <c r="AO1019" s="6"/>
    </row>
    <row r="1020" spans="1:41" ht="15" x14ac:dyDescent="0.25">
      <c r="A1020" s="1"/>
      <c r="B1020" s="1"/>
      <c r="C1020" s="1"/>
      <c r="D1020" s="1"/>
      <c r="E1020" s="6"/>
      <c r="F1020" s="1"/>
      <c r="G1020" s="6"/>
      <c r="H1020" s="6"/>
      <c r="I1020" s="6"/>
      <c r="J1020" s="6"/>
      <c r="K1020" s="6"/>
      <c r="L1020" s="6"/>
      <c r="M1020" s="6"/>
      <c r="N1020" s="6"/>
      <c r="O1020" s="7"/>
      <c r="P1020" s="12"/>
      <c r="Q1020" s="6"/>
      <c r="R1020" s="7"/>
      <c r="S1020" s="6"/>
      <c r="T1020" s="6"/>
      <c r="U1020" s="7"/>
      <c r="V1020" s="6"/>
      <c r="W1020" s="6"/>
      <c r="X1020" s="12"/>
      <c r="Y1020" s="6"/>
      <c r="Z1020" s="6"/>
      <c r="AA1020" s="7"/>
      <c r="AB1020" s="6"/>
      <c r="AC1020" s="6"/>
      <c r="AD1020" s="6"/>
      <c r="AE1020" s="12"/>
      <c r="AF1020" s="6"/>
      <c r="AG1020" s="12"/>
      <c r="AH1020" s="6"/>
      <c r="AI1020" s="6"/>
      <c r="AJ1020" s="12"/>
      <c r="AK1020" s="24"/>
      <c r="AL1020" s="25"/>
      <c r="AM1020" s="12"/>
      <c r="AN1020" s="1"/>
      <c r="AO1020" s="6"/>
    </row>
    <row r="1021" spans="1:41" ht="15" x14ac:dyDescent="0.25">
      <c r="A1021" s="1"/>
      <c r="B1021" s="1"/>
      <c r="C1021" s="1"/>
      <c r="D1021" s="1"/>
      <c r="E1021" s="6"/>
      <c r="F1021" s="1"/>
      <c r="G1021" s="6"/>
      <c r="H1021" s="6"/>
      <c r="I1021" s="6"/>
      <c r="J1021" s="6"/>
      <c r="K1021" s="6"/>
      <c r="L1021" s="6"/>
      <c r="M1021" s="6"/>
      <c r="N1021" s="6"/>
      <c r="O1021" s="7"/>
      <c r="P1021" s="6"/>
      <c r="Q1021" s="6"/>
      <c r="R1021" s="7"/>
      <c r="S1021" s="6"/>
      <c r="T1021" s="6"/>
      <c r="U1021" s="7"/>
      <c r="V1021" s="6"/>
      <c r="W1021" s="6"/>
      <c r="X1021" s="12"/>
      <c r="Y1021" s="6"/>
      <c r="Z1021" s="6"/>
      <c r="AA1021" s="7"/>
      <c r="AB1021" s="6"/>
      <c r="AC1021" s="6"/>
      <c r="AD1021" s="6"/>
      <c r="AE1021" s="12"/>
      <c r="AF1021" s="6"/>
      <c r="AG1021" s="12"/>
      <c r="AH1021" s="6"/>
      <c r="AI1021" s="6"/>
      <c r="AJ1021" s="12"/>
      <c r="AK1021" s="1"/>
      <c r="AL1021" s="12"/>
      <c r="AM1021" s="12"/>
      <c r="AN1021" s="1"/>
      <c r="AO1021" s="6"/>
    </row>
    <row r="1022" spans="1:41" ht="15" x14ac:dyDescent="0.25">
      <c r="A1022" s="1"/>
      <c r="B1022" s="1"/>
      <c r="C1022" s="1"/>
      <c r="D1022" s="1"/>
      <c r="E1022" s="6"/>
      <c r="F1022" s="1"/>
      <c r="G1022" s="6"/>
      <c r="H1022" s="6"/>
      <c r="I1022" s="6"/>
      <c r="J1022" s="6"/>
      <c r="K1022" s="6"/>
      <c r="L1022" s="6"/>
      <c r="M1022" s="6"/>
      <c r="N1022" s="6"/>
      <c r="O1022" s="7"/>
      <c r="P1022" s="6"/>
      <c r="Q1022" s="6"/>
      <c r="R1022" s="7"/>
      <c r="S1022" s="6"/>
      <c r="T1022" s="6"/>
      <c r="U1022" s="7"/>
      <c r="V1022" s="6"/>
      <c r="W1022" s="6"/>
      <c r="X1022" s="12"/>
      <c r="Y1022" s="6"/>
      <c r="Z1022" s="6"/>
      <c r="AA1022" s="7"/>
      <c r="AB1022" s="6"/>
      <c r="AC1022" s="6"/>
      <c r="AD1022" s="6"/>
      <c r="AE1022" s="12"/>
      <c r="AF1022" s="6"/>
      <c r="AG1022" s="12"/>
      <c r="AH1022" s="6"/>
      <c r="AI1022" s="6"/>
      <c r="AJ1022" s="12"/>
      <c r="AK1022" s="1"/>
      <c r="AL1022" s="12"/>
      <c r="AM1022" s="12"/>
      <c r="AN1022" s="1"/>
      <c r="AO1022" s="6"/>
    </row>
    <row r="1023" spans="1:41" ht="15" x14ac:dyDescent="0.25">
      <c r="A1023" s="1"/>
      <c r="B1023" s="1"/>
      <c r="C1023" s="1"/>
      <c r="D1023" s="1"/>
      <c r="E1023" s="6"/>
      <c r="F1023" s="1"/>
      <c r="G1023" s="6"/>
      <c r="H1023" s="6"/>
      <c r="I1023" s="6"/>
      <c r="J1023" s="6"/>
      <c r="K1023" s="6"/>
      <c r="L1023" s="6"/>
      <c r="M1023" s="6"/>
      <c r="N1023" s="6"/>
      <c r="O1023" s="7"/>
      <c r="P1023" s="6"/>
      <c r="Q1023" s="6"/>
      <c r="R1023" s="7"/>
      <c r="S1023" s="6"/>
      <c r="T1023" s="6"/>
      <c r="U1023" s="7"/>
      <c r="V1023" s="6"/>
      <c r="W1023" s="6"/>
      <c r="X1023" s="6"/>
      <c r="Y1023" s="6"/>
      <c r="Z1023" s="6"/>
      <c r="AA1023" s="7"/>
      <c r="AB1023" s="6"/>
      <c r="AC1023" s="6"/>
      <c r="AD1023" s="6"/>
      <c r="AE1023" s="12"/>
      <c r="AF1023" s="12"/>
      <c r="AG1023" s="12"/>
      <c r="AH1023" s="12"/>
      <c r="AI1023" s="6"/>
      <c r="AJ1023" s="12"/>
      <c r="AK1023" s="1"/>
      <c r="AL1023" s="12"/>
      <c r="AM1023" s="12"/>
      <c r="AN1023" s="1"/>
      <c r="AO1023" s="6"/>
    </row>
    <row r="1024" spans="1:41" ht="15" x14ac:dyDescent="0.25">
      <c r="A1024" s="1"/>
      <c r="B1024" s="1"/>
      <c r="C1024" s="1"/>
      <c r="D1024" s="1"/>
      <c r="E1024" s="6"/>
      <c r="F1024" s="1"/>
      <c r="G1024" s="6"/>
      <c r="H1024" s="6"/>
      <c r="I1024" s="6"/>
      <c r="J1024" s="6"/>
      <c r="K1024" s="6"/>
      <c r="L1024" s="6"/>
      <c r="M1024" s="6"/>
      <c r="N1024" s="6"/>
      <c r="O1024" s="7"/>
      <c r="P1024" s="6"/>
      <c r="Q1024" s="6"/>
      <c r="R1024" s="7"/>
      <c r="S1024" s="6"/>
      <c r="T1024" s="6"/>
      <c r="U1024" s="7"/>
      <c r="V1024" s="6"/>
      <c r="W1024" s="6"/>
      <c r="X1024" s="6"/>
      <c r="Y1024" s="6"/>
      <c r="Z1024" s="6"/>
      <c r="AA1024" s="7"/>
      <c r="AB1024" s="6"/>
      <c r="AC1024" s="6"/>
      <c r="AD1024" s="6"/>
      <c r="AE1024" s="12"/>
      <c r="AF1024" s="6"/>
      <c r="AG1024" s="12"/>
      <c r="AH1024" s="6"/>
      <c r="AI1024" s="6"/>
      <c r="AJ1024" s="12"/>
      <c r="AK1024" s="24"/>
      <c r="AL1024" s="25"/>
      <c r="AM1024" s="12"/>
      <c r="AN1024" s="1"/>
      <c r="AO1024" s="6"/>
    </row>
    <row r="1025" spans="1:41" ht="15" x14ac:dyDescent="0.25">
      <c r="A1025" s="1"/>
      <c r="B1025" s="1"/>
      <c r="C1025" s="1"/>
      <c r="D1025" s="1"/>
      <c r="E1025" s="6"/>
      <c r="F1025" s="1"/>
      <c r="G1025" s="6"/>
      <c r="H1025" s="6"/>
      <c r="I1025" s="6"/>
      <c r="J1025" s="6"/>
      <c r="K1025" s="6"/>
      <c r="L1025" s="6"/>
      <c r="M1025" s="6"/>
      <c r="N1025" s="6"/>
      <c r="O1025" s="7"/>
      <c r="P1025" s="6"/>
      <c r="Q1025" s="6"/>
      <c r="R1025" s="7"/>
      <c r="S1025" s="6"/>
      <c r="T1025" s="6"/>
      <c r="U1025" s="7"/>
      <c r="V1025" s="6"/>
      <c r="W1025" s="6"/>
      <c r="X1025" s="6"/>
      <c r="Y1025" s="6"/>
      <c r="Z1025" s="6"/>
      <c r="AA1025" s="7"/>
      <c r="AB1025" s="6"/>
      <c r="AC1025" s="6"/>
      <c r="AD1025" s="6"/>
      <c r="AE1025" s="12"/>
      <c r="AF1025" s="6"/>
      <c r="AG1025" s="12"/>
      <c r="AH1025" s="6"/>
      <c r="AI1025" s="6"/>
      <c r="AJ1025" s="12"/>
      <c r="AK1025" s="24"/>
      <c r="AL1025" s="25"/>
      <c r="AM1025" s="12"/>
      <c r="AN1025" s="1"/>
      <c r="AO1025" s="6"/>
    </row>
    <row r="1026" spans="1:41" ht="15" x14ac:dyDescent="0.25">
      <c r="A1026" s="1"/>
      <c r="B1026" s="1"/>
      <c r="C1026" s="1"/>
      <c r="D1026" s="1"/>
      <c r="E1026" s="6"/>
      <c r="F1026" s="1"/>
      <c r="G1026" s="6"/>
      <c r="H1026" s="6"/>
      <c r="I1026" s="6"/>
      <c r="J1026" s="6"/>
      <c r="K1026" s="12"/>
      <c r="L1026" s="12"/>
      <c r="M1026" s="6"/>
      <c r="N1026" s="6"/>
      <c r="O1026" s="7"/>
      <c r="P1026" s="12"/>
      <c r="Q1026" s="6"/>
      <c r="R1026" s="7"/>
      <c r="S1026" s="6"/>
      <c r="T1026" s="6"/>
      <c r="U1026" s="7"/>
      <c r="V1026" s="6"/>
      <c r="W1026" s="6"/>
      <c r="X1026" s="6"/>
      <c r="Y1026" s="6"/>
      <c r="Z1026" s="6"/>
      <c r="AA1026" s="7"/>
      <c r="AB1026" s="6"/>
      <c r="AC1026" s="6"/>
      <c r="AD1026" s="6"/>
      <c r="AE1026" s="12"/>
      <c r="AF1026" s="12"/>
      <c r="AG1026" s="12"/>
      <c r="AH1026" s="12"/>
      <c r="AI1026" s="6"/>
      <c r="AJ1026" s="12"/>
      <c r="AK1026" s="1"/>
      <c r="AL1026" s="12"/>
      <c r="AM1026" s="12"/>
      <c r="AN1026" s="1"/>
      <c r="AO1026" s="6"/>
    </row>
    <row r="1027" spans="1:41" ht="15" x14ac:dyDescent="0.25">
      <c r="A1027" s="1"/>
      <c r="B1027" s="1"/>
      <c r="C1027" s="1"/>
      <c r="D1027" s="1"/>
      <c r="E1027" s="6"/>
      <c r="F1027" s="1"/>
      <c r="G1027" s="6"/>
      <c r="H1027" s="6"/>
      <c r="I1027" s="6"/>
      <c r="J1027" s="6"/>
      <c r="K1027" s="6"/>
      <c r="L1027" s="6"/>
      <c r="M1027" s="6"/>
      <c r="N1027" s="6"/>
      <c r="O1027" s="7"/>
      <c r="P1027" s="12"/>
      <c r="Q1027" s="6"/>
      <c r="R1027" s="7"/>
      <c r="S1027" s="6"/>
      <c r="T1027" s="6"/>
      <c r="U1027" s="7"/>
      <c r="V1027" s="6"/>
      <c r="W1027" s="6"/>
      <c r="X1027" s="12"/>
      <c r="Y1027" s="6"/>
      <c r="Z1027" s="6"/>
      <c r="AA1027" s="7"/>
      <c r="AB1027" s="6"/>
      <c r="AC1027" s="6"/>
      <c r="AD1027" s="6"/>
      <c r="AE1027" s="12"/>
      <c r="AF1027" s="6"/>
      <c r="AG1027" s="12"/>
      <c r="AH1027" s="6"/>
      <c r="AI1027" s="6"/>
      <c r="AJ1027" s="12"/>
      <c r="AK1027" s="24"/>
      <c r="AL1027" s="25"/>
      <c r="AM1027" s="12"/>
      <c r="AN1027" s="1"/>
      <c r="AO1027" s="6"/>
    </row>
    <row r="1028" spans="1:41" ht="15" x14ac:dyDescent="0.25">
      <c r="A1028" s="1"/>
      <c r="B1028" s="1"/>
      <c r="C1028" s="1"/>
      <c r="D1028" s="1"/>
      <c r="E1028" s="6"/>
      <c r="F1028" s="1"/>
      <c r="G1028" s="6"/>
      <c r="H1028" s="6"/>
      <c r="I1028" s="6"/>
      <c r="J1028" s="6"/>
      <c r="K1028" s="6"/>
      <c r="L1028" s="6"/>
      <c r="M1028" s="6"/>
      <c r="N1028" s="6"/>
      <c r="O1028" s="7"/>
      <c r="P1028" s="6"/>
      <c r="Q1028" s="6"/>
      <c r="R1028" s="7"/>
      <c r="S1028" s="6"/>
      <c r="T1028" s="6"/>
      <c r="U1028" s="7"/>
      <c r="V1028" s="6"/>
      <c r="W1028" s="6"/>
      <c r="X1028" s="12"/>
      <c r="Y1028" s="6"/>
      <c r="Z1028" s="6"/>
      <c r="AA1028" s="7"/>
      <c r="AB1028" s="6"/>
      <c r="AC1028" s="6"/>
      <c r="AD1028" s="6"/>
      <c r="AE1028" s="12"/>
      <c r="AF1028" s="6"/>
      <c r="AG1028" s="12"/>
      <c r="AH1028" s="6"/>
      <c r="AI1028" s="6"/>
      <c r="AJ1028" s="12"/>
      <c r="AK1028" s="24"/>
      <c r="AL1028" s="25"/>
      <c r="AM1028" s="12"/>
      <c r="AN1028" s="1"/>
      <c r="AO1028" s="6"/>
    </row>
    <row r="1029" spans="1:41" ht="15" x14ac:dyDescent="0.25">
      <c r="A1029" s="1"/>
      <c r="B1029" s="1"/>
      <c r="C1029" s="1"/>
      <c r="D1029" s="1"/>
      <c r="E1029" s="6"/>
      <c r="F1029" s="1"/>
      <c r="G1029" s="6"/>
      <c r="H1029" s="6"/>
      <c r="I1029" s="6"/>
      <c r="J1029" s="6"/>
      <c r="K1029" s="6"/>
      <c r="L1029" s="6"/>
      <c r="M1029" s="6"/>
      <c r="N1029" s="6"/>
      <c r="O1029" s="7"/>
      <c r="P1029" s="6"/>
      <c r="Q1029" s="6"/>
      <c r="R1029" s="7"/>
      <c r="S1029" s="6"/>
      <c r="T1029" s="6"/>
      <c r="U1029" s="7"/>
      <c r="V1029" s="6"/>
      <c r="W1029" s="6"/>
      <c r="X1029" s="6"/>
      <c r="Y1029" s="6"/>
      <c r="Z1029" s="6"/>
      <c r="AA1029" s="7"/>
      <c r="AB1029" s="6"/>
      <c r="AC1029" s="6"/>
      <c r="AD1029" s="6"/>
      <c r="AE1029" s="12"/>
      <c r="AF1029" s="6"/>
      <c r="AG1029" s="12"/>
      <c r="AH1029" s="6"/>
      <c r="AI1029" s="6"/>
      <c r="AJ1029" s="12"/>
      <c r="AK1029" s="24"/>
      <c r="AL1029" s="25"/>
      <c r="AM1029" s="12"/>
      <c r="AN1029" s="1"/>
      <c r="AO1029" s="6"/>
    </row>
    <row r="1030" spans="1:41" ht="15" x14ac:dyDescent="0.25">
      <c r="A1030" s="1"/>
      <c r="B1030" s="1"/>
      <c r="C1030" s="1"/>
      <c r="D1030" s="1"/>
      <c r="E1030" s="6"/>
      <c r="F1030" s="1"/>
      <c r="G1030" s="6"/>
      <c r="H1030" s="6"/>
      <c r="I1030" s="6"/>
      <c r="J1030" s="6"/>
      <c r="K1030" s="6"/>
      <c r="L1030" s="6"/>
      <c r="M1030" s="6"/>
      <c r="N1030" s="6"/>
      <c r="O1030" s="7"/>
      <c r="P1030" s="6"/>
      <c r="Q1030" s="6"/>
      <c r="R1030" s="7"/>
      <c r="S1030" s="6"/>
      <c r="T1030" s="6"/>
      <c r="U1030" s="7"/>
      <c r="V1030" s="6"/>
      <c r="W1030" s="6"/>
      <c r="X1030" s="12"/>
      <c r="Y1030" s="6"/>
      <c r="Z1030" s="6"/>
      <c r="AA1030" s="7"/>
      <c r="AB1030" s="6"/>
      <c r="AC1030" s="6"/>
      <c r="AD1030" s="6"/>
      <c r="AE1030" s="12"/>
      <c r="AF1030" s="12"/>
      <c r="AG1030" s="12"/>
      <c r="AH1030" s="12"/>
      <c r="AI1030" s="6"/>
      <c r="AJ1030" s="12"/>
      <c r="AK1030" s="1"/>
      <c r="AL1030" s="12"/>
      <c r="AM1030" s="12"/>
      <c r="AN1030" s="1"/>
      <c r="AO1030" s="6"/>
    </row>
    <row r="1031" spans="1:41" ht="15" x14ac:dyDescent="0.25">
      <c r="A1031" s="1"/>
      <c r="B1031" s="1"/>
      <c r="C1031" s="1"/>
      <c r="D1031" s="1"/>
      <c r="E1031" s="6"/>
      <c r="F1031" s="1"/>
      <c r="G1031" s="6"/>
      <c r="H1031" s="6"/>
      <c r="I1031" s="6"/>
      <c r="J1031" s="6"/>
      <c r="K1031" s="6"/>
      <c r="L1031" s="6"/>
      <c r="M1031" s="6"/>
      <c r="N1031" s="6"/>
      <c r="O1031" s="7"/>
      <c r="P1031" s="12"/>
      <c r="Q1031" s="6"/>
      <c r="R1031" s="7"/>
      <c r="S1031" s="6"/>
      <c r="T1031" s="6"/>
      <c r="U1031" s="7"/>
      <c r="V1031" s="6"/>
      <c r="W1031" s="6"/>
      <c r="X1031" s="12"/>
      <c r="Y1031" s="6"/>
      <c r="Z1031" s="6"/>
      <c r="AA1031" s="7"/>
      <c r="AB1031" s="6"/>
      <c r="AC1031" s="6"/>
      <c r="AD1031" s="6"/>
      <c r="AE1031" s="12"/>
      <c r="AF1031" s="12"/>
      <c r="AG1031" s="12"/>
      <c r="AH1031" s="12"/>
      <c r="AI1031" s="6"/>
      <c r="AJ1031" s="12"/>
      <c r="AK1031" s="1"/>
      <c r="AL1031" s="12"/>
      <c r="AM1031" s="12"/>
      <c r="AN1031" s="1"/>
      <c r="AO1031" s="6"/>
    </row>
    <row r="1032" spans="1:41" ht="15" x14ac:dyDescent="0.25">
      <c r="A1032" s="1"/>
      <c r="B1032" s="1"/>
      <c r="C1032" s="1"/>
      <c r="D1032" s="1"/>
      <c r="E1032" s="6"/>
      <c r="F1032" s="1"/>
      <c r="G1032" s="6"/>
      <c r="H1032" s="6"/>
      <c r="I1032" s="6"/>
      <c r="J1032" s="6"/>
      <c r="K1032" s="6"/>
      <c r="L1032" s="6"/>
      <c r="M1032" s="6"/>
      <c r="N1032" s="6"/>
      <c r="O1032" s="7"/>
      <c r="P1032" s="6"/>
      <c r="Q1032" s="6"/>
      <c r="R1032" s="7"/>
      <c r="S1032" s="6"/>
      <c r="T1032" s="6"/>
      <c r="U1032" s="7"/>
      <c r="V1032" s="6"/>
      <c r="W1032" s="6"/>
      <c r="X1032" s="12"/>
      <c r="Y1032" s="6"/>
      <c r="Z1032" s="6"/>
      <c r="AA1032" s="7"/>
      <c r="AB1032" s="6"/>
      <c r="AC1032" s="6"/>
      <c r="AD1032" s="6"/>
      <c r="AE1032" s="12"/>
      <c r="AF1032" s="12"/>
      <c r="AG1032" s="12"/>
      <c r="AH1032" s="12"/>
      <c r="AI1032" s="6"/>
      <c r="AJ1032" s="12"/>
      <c r="AK1032" s="1"/>
      <c r="AL1032" s="12"/>
      <c r="AM1032" s="12"/>
      <c r="AN1032" s="1"/>
      <c r="AO1032" s="12"/>
    </row>
    <row r="1033" spans="1:41" ht="15" x14ac:dyDescent="0.25">
      <c r="A1033" s="1"/>
      <c r="B1033" s="1"/>
      <c r="C1033" s="1"/>
      <c r="D1033" s="1"/>
      <c r="E1033" s="6"/>
      <c r="F1033" s="1"/>
      <c r="G1033" s="6"/>
      <c r="H1033" s="6"/>
      <c r="I1033" s="6"/>
      <c r="J1033" s="6"/>
      <c r="K1033" s="6"/>
      <c r="L1033" s="6"/>
      <c r="M1033" s="6"/>
      <c r="N1033" s="6"/>
      <c r="O1033" s="7"/>
      <c r="P1033" s="6"/>
      <c r="Q1033" s="6"/>
      <c r="R1033" s="7"/>
      <c r="S1033" s="6"/>
      <c r="T1033" s="6"/>
      <c r="U1033" s="7"/>
      <c r="V1033" s="6"/>
      <c r="W1033" s="6"/>
      <c r="X1033" s="6"/>
      <c r="Y1033" s="6"/>
      <c r="Z1033" s="6"/>
      <c r="AA1033" s="7"/>
      <c r="AB1033" s="6"/>
      <c r="AC1033" s="6"/>
      <c r="AD1033" s="6"/>
      <c r="AE1033" s="12"/>
      <c r="AF1033" s="6"/>
      <c r="AG1033" s="12"/>
      <c r="AH1033" s="6"/>
      <c r="AI1033" s="6"/>
      <c r="AJ1033" s="12"/>
      <c r="AK1033" s="24"/>
      <c r="AL1033" s="25"/>
      <c r="AM1033" s="12"/>
      <c r="AN1033" s="1"/>
      <c r="AO1033" s="6"/>
    </row>
    <row r="1034" spans="1:41" ht="15" x14ac:dyDescent="0.25">
      <c r="A1034" s="1"/>
      <c r="B1034" s="1"/>
      <c r="C1034" s="1"/>
      <c r="D1034" s="1"/>
      <c r="E1034" s="6"/>
      <c r="F1034" s="1"/>
      <c r="G1034" s="6"/>
      <c r="H1034" s="6"/>
      <c r="I1034" s="6"/>
      <c r="J1034" s="6"/>
      <c r="K1034" s="12"/>
      <c r="L1034" s="12"/>
      <c r="M1034" s="6"/>
      <c r="N1034" s="6"/>
      <c r="O1034" s="7"/>
      <c r="P1034" s="6"/>
      <c r="Q1034" s="6"/>
      <c r="R1034" s="7"/>
      <c r="S1034" s="6"/>
      <c r="T1034" s="6"/>
      <c r="U1034" s="7"/>
      <c r="V1034" s="6"/>
      <c r="W1034" s="6"/>
      <c r="X1034" s="12"/>
      <c r="Y1034" s="6"/>
      <c r="Z1034" s="6"/>
      <c r="AA1034" s="7"/>
      <c r="AB1034" s="6"/>
      <c r="AC1034" s="6"/>
      <c r="AD1034" s="6"/>
      <c r="AE1034" s="12"/>
      <c r="AF1034" s="12"/>
      <c r="AG1034" s="12"/>
      <c r="AH1034" s="12"/>
      <c r="AI1034" s="6"/>
      <c r="AJ1034" s="12"/>
      <c r="AK1034" s="24"/>
      <c r="AL1034" s="25"/>
      <c r="AM1034" s="12"/>
      <c r="AN1034" s="1"/>
      <c r="AO1034" s="6"/>
    </row>
    <row r="1035" spans="1:41" ht="15" x14ac:dyDescent="0.25">
      <c r="A1035" s="1"/>
      <c r="B1035" s="1"/>
      <c r="C1035" s="1"/>
      <c r="D1035" s="1"/>
      <c r="E1035" s="6"/>
      <c r="F1035" s="1"/>
      <c r="G1035" s="6"/>
      <c r="H1035" s="6"/>
      <c r="I1035" s="6"/>
      <c r="J1035" s="6"/>
      <c r="K1035" s="12"/>
      <c r="L1035" s="12"/>
      <c r="M1035" s="6"/>
      <c r="N1035" s="6"/>
      <c r="O1035" s="7"/>
      <c r="P1035" s="6"/>
      <c r="Q1035" s="6"/>
      <c r="R1035" s="7"/>
      <c r="S1035" s="6"/>
      <c r="T1035" s="6"/>
      <c r="U1035" s="7"/>
      <c r="V1035" s="6"/>
      <c r="W1035" s="6"/>
      <c r="X1035" s="12"/>
      <c r="Y1035" s="6"/>
      <c r="Z1035" s="6"/>
      <c r="AA1035" s="7"/>
      <c r="AB1035" s="6"/>
      <c r="AC1035" s="6"/>
      <c r="AD1035" s="6"/>
      <c r="AE1035" s="12"/>
      <c r="AF1035" s="12"/>
      <c r="AG1035" s="12"/>
      <c r="AH1035" s="12"/>
      <c r="AI1035" s="6"/>
      <c r="AJ1035" s="12"/>
      <c r="AK1035" s="1"/>
      <c r="AL1035" s="12"/>
      <c r="AM1035" s="12"/>
      <c r="AN1035" s="1"/>
      <c r="AO1035" s="6"/>
    </row>
    <row r="1036" spans="1:41" ht="15" x14ac:dyDescent="0.25">
      <c r="A1036" s="1"/>
      <c r="B1036" s="1"/>
      <c r="C1036" s="1"/>
      <c r="D1036" s="1"/>
      <c r="E1036" s="6"/>
      <c r="F1036" s="1"/>
      <c r="G1036" s="6"/>
      <c r="H1036" s="6"/>
      <c r="I1036" s="6"/>
      <c r="J1036" s="6"/>
      <c r="K1036" s="6"/>
      <c r="L1036" s="6"/>
      <c r="M1036" s="6"/>
      <c r="N1036" s="6"/>
      <c r="O1036" s="7"/>
      <c r="P1036" s="6"/>
      <c r="Q1036" s="6"/>
      <c r="R1036" s="7"/>
      <c r="S1036" s="6"/>
      <c r="T1036" s="6"/>
      <c r="U1036" s="7"/>
      <c r="V1036" s="6"/>
      <c r="W1036" s="6"/>
      <c r="X1036" s="12"/>
      <c r="Y1036" s="6"/>
      <c r="Z1036" s="6"/>
      <c r="AA1036" s="7"/>
      <c r="AB1036" s="6"/>
      <c r="AC1036" s="6"/>
      <c r="AD1036" s="6"/>
      <c r="AE1036" s="12"/>
      <c r="AF1036" s="6"/>
      <c r="AG1036" s="12"/>
      <c r="AH1036" s="6"/>
      <c r="AI1036" s="6"/>
      <c r="AJ1036" s="12"/>
      <c r="AK1036" s="1"/>
      <c r="AL1036" s="12"/>
      <c r="AM1036" s="12"/>
      <c r="AN1036" s="1"/>
      <c r="AO1036" s="6"/>
    </row>
    <row r="1037" spans="1:41" ht="15" x14ac:dyDescent="0.25">
      <c r="A1037" s="1"/>
      <c r="B1037" s="1"/>
      <c r="C1037" s="1"/>
      <c r="D1037" s="1"/>
      <c r="E1037" s="6"/>
      <c r="F1037" s="1"/>
      <c r="G1037" s="6"/>
      <c r="H1037" s="6"/>
      <c r="I1037" s="6"/>
      <c r="J1037" s="6"/>
      <c r="K1037" s="6"/>
      <c r="L1037" s="6"/>
      <c r="M1037" s="6"/>
      <c r="N1037" s="6"/>
      <c r="O1037" s="7"/>
      <c r="P1037" s="6"/>
      <c r="Q1037" s="6"/>
      <c r="R1037" s="7"/>
      <c r="S1037" s="6"/>
      <c r="T1037" s="6"/>
      <c r="U1037" s="7"/>
      <c r="V1037" s="6"/>
      <c r="W1037" s="6"/>
      <c r="X1037" s="6"/>
      <c r="Y1037" s="6"/>
      <c r="Z1037" s="6"/>
      <c r="AA1037" s="7"/>
      <c r="AB1037" s="6"/>
      <c r="AC1037" s="6"/>
      <c r="AD1037" s="6"/>
      <c r="AE1037" s="12"/>
      <c r="AF1037" s="12"/>
      <c r="AG1037" s="12"/>
      <c r="AH1037" s="12"/>
      <c r="AI1037" s="6"/>
      <c r="AJ1037" s="12"/>
      <c r="AK1037" s="1"/>
      <c r="AL1037" s="12"/>
      <c r="AM1037" s="12"/>
      <c r="AN1037" s="1"/>
      <c r="AO1037" s="6"/>
    </row>
    <row r="1038" spans="1:41" ht="15" x14ac:dyDescent="0.25">
      <c r="A1038" s="1"/>
      <c r="B1038" s="1"/>
      <c r="C1038" s="1"/>
      <c r="D1038" s="1"/>
      <c r="E1038" s="6"/>
      <c r="F1038" s="1"/>
      <c r="G1038" s="6"/>
      <c r="H1038" s="6"/>
      <c r="I1038" s="6"/>
      <c r="J1038" s="6"/>
      <c r="K1038" s="6"/>
      <c r="L1038" s="6"/>
      <c r="M1038" s="6"/>
      <c r="N1038" s="6"/>
      <c r="O1038" s="7"/>
      <c r="P1038" s="6"/>
      <c r="Q1038" s="6"/>
      <c r="R1038" s="7"/>
      <c r="S1038" s="6"/>
      <c r="T1038" s="6"/>
      <c r="U1038" s="7"/>
      <c r="V1038" s="6"/>
      <c r="W1038" s="6"/>
      <c r="X1038" s="6"/>
      <c r="Y1038" s="6"/>
      <c r="Z1038" s="6"/>
      <c r="AA1038" s="7"/>
      <c r="AB1038" s="6"/>
      <c r="AC1038" s="6"/>
      <c r="AD1038" s="6"/>
      <c r="AE1038" s="12"/>
      <c r="AF1038" s="12"/>
      <c r="AG1038" s="12"/>
      <c r="AH1038" s="12"/>
      <c r="AI1038" s="6"/>
      <c r="AJ1038" s="12"/>
      <c r="AK1038" s="1"/>
      <c r="AL1038" s="12"/>
      <c r="AM1038" s="12"/>
      <c r="AN1038" s="1"/>
      <c r="AO1038" s="6"/>
    </row>
    <row r="1039" spans="1:41" ht="15" x14ac:dyDescent="0.25">
      <c r="A1039" s="1"/>
      <c r="B1039" s="1"/>
      <c r="C1039" s="1"/>
      <c r="D1039" s="1"/>
      <c r="E1039" s="6"/>
      <c r="F1039" s="1"/>
      <c r="G1039" s="6"/>
      <c r="H1039" s="6"/>
      <c r="I1039" s="6"/>
      <c r="J1039" s="6"/>
      <c r="K1039" s="6"/>
      <c r="L1039" s="6"/>
      <c r="M1039" s="6"/>
      <c r="N1039" s="6"/>
      <c r="O1039" s="7"/>
      <c r="P1039" s="6"/>
      <c r="Q1039" s="6"/>
      <c r="R1039" s="12"/>
      <c r="S1039" s="12"/>
      <c r="T1039" s="12"/>
      <c r="U1039" s="7"/>
      <c r="V1039" s="6"/>
      <c r="W1039" s="6"/>
      <c r="X1039" s="12"/>
      <c r="Y1039" s="6"/>
      <c r="Z1039" s="6"/>
      <c r="AA1039" s="7"/>
      <c r="AB1039" s="6"/>
      <c r="AC1039" s="6"/>
      <c r="AD1039" s="6"/>
      <c r="AE1039" s="12"/>
      <c r="AF1039" s="12"/>
      <c r="AG1039" s="12"/>
      <c r="AH1039" s="12"/>
      <c r="AI1039" s="6"/>
      <c r="AJ1039" s="12"/>
      <c r="AK1039" s="1"/>
      <c r="AL1039" s="12"/>
      <c r="AM1039" s="12"/>
      <c r="AN1039" s="1"/>
      <c r="AO1039" s="6"/>
    </row>
    <row r="1040" spans="1:41" ht="15" x14ac:dyDescent="0.25">
      <c r="A1040" s="1"/>
      <c r="B1040" s="1"/>
      <c r="C1040" s="1"/>
      <c r="D1040" s="1"/>
      <c r="E1040" s="6"/>
      <c r="F1040" s="1"/>
      <c r="G1040" s="6"/>
      <c r="H1040" s="6"/>
      <c r="I1040" s="6"/>
      <c r="J1040" s="6"/>
      <c r="K1040" s="6"/>
      <c r="L1040" s="6"/>
      <c r="M1040" s="6"/>
      <c r="N1040" s="6"/>
      <c r="O1040" s="7"/>
      <c r="P1040" s="12"/>
      <c r="Q1040" s="6"/>
      <c r="R1040" s="7"/>
      <c r="S1040" s="6"/>
      <c r="T1040" s="6"/>
      <c r="U1040" s="7"/>
      <c r="V1040" s="6"/>
      <c r="W1040" s="6"/>
      <c r="X1040" s="6"/>
      <c r="Y1040" s="6"/>
      <c r="Z1040" s="6"/>
      <c r="AA1040" s="7"/>
      <c r="AB1040" s="6"/>
      <c r="AC1040" s="6"/>
      <c r="AD1040" s="6"/>
      <c r="AE1040" s="12"/>
      <c r="AF1040" s="12"/>
      <c r="AG1040" s="12"/>
      <c r="AH1040" s="12"/>
      <c r="AI1040" s="6"/>
      <c r="AJ1040" s="12"/>
      <c r="AK1040" s="1"/>
      <c r="AL1040" s="12"/>
      <c r="AM1040" s="12"/>
      <c r="AN1040" s="1"/>
      <c r="AO1040" s="6"/>
    </row>
    <row r="1041" spans="1:41" ht="15" x14ac:dyDescent="0.25">
      <c r="A1041" s="1"/>
      <c r="B1041" s="1"/>
      <c r="C1041" s="1"/>
      <c r="D1041" s="1"/>
      <c r="E1041" s="6"/>
      <c r="F1041" s="1"/>
      <c r="G1041" s="6"/>
      <c r="H1041" s="6"/>
      <c r="I1041" s="6"/>
      <c r="J1041" s="6"/>
      <c r="K1041" s="6"/>
      <c r="L1041" s="6"/>
      <c r="M1041" s="6"/>
      <c r="N1041" s="6"/>
      <c r="O1041" s="7"/>
      <c r="P1041" s="6"/>
      <c r="Q1041" s="6"/>
      <c r="R1041" s="7"/>
      <c r="S1041" s="6"/>
      <c r="T1041" s="6"/>
      <c r="U1041" s="7"/>
      <c r="V1041" s="6"/>
      <c r="W1041" s="6"/>
      <c r="X1041" s="6"/>
      <c r="Y1041" s="6"/>
      <c r="Z1041" s="6"/>
      <c r="AA1041" s="7"/>
      <c r="AB1041" s="6"/>
      <c r="AC1041" s="6"/>
      <c r="AD1041" s="6"/>
      <c r="AE1041" s="12"/>
      <c r="AF1041" s="12"/>
      <c r="AG1041" s="12"/>
      <c r="AH1041" s="12"/>
      <c r="AI1041" s="6"/>
      <c r="AJ1041" s="12"/>
      <c r="AK1041" s="1"/>
      <c r="AL1041" s="12"/>
      <c r="AM1041" s="12"/>
      <c r="AN1041" s="1"/>
      <c r="AO1041" s="6"/>
    </row>
    <row r="1042" spans="1:41" ht="15" x14ac:dyDescent="0.25">
      <c r="A1042" s="1"/>
      <c r="B1042" s="1"/>
      <c r="C1042" s="1"/>
      <c r="D1042" s="1"/>
      <c r="E1042" s="6"/>
      <c r="F1042" s="1"/>
      <c r="G1042" s="6"/>
      <c r="H1042" s="6"/>
      <c r="I1042" s="6"/>
      <c r="J1042" s="6"/>
      <c r="K1042" s="12"/>
      <c r="L1042" s="12"/>
      <c r="M1042" s="6"/>
      <c r="N1042" s="6"/>
      <c r="O1042" s="7"/>
      <c r="P1042" s="6"/>
      <c r="Q1042" s="6"/>
      <c r="R1042" s="7"/>
      <c r="S1042" s="6"/>
      <c r="T1042" s="6"/>
      <c r="U1042" s="7"/>
      <c r="V1042" s="6"/>
      <c r="W1042" s="6"/>
      <c r="X1042" s="6"/>
      <c r="Y1042" s="6"/>
      <c r="Z1042" s="6"/>
      <c r="AA1042" s="7"/>
      <c r="AB1042" s="6"/>
      <c r="AC1042" s="6"/>
      <c r="AD1042" s="6"/>
      <c r="AE1042" s="12"/>
      <c r="AF1042" s="12"/>
      <c r="AG1042" s="12"/>
      <c r="AH1042" s="12"/>
      <c r="AI1042" s="6"/>
      <c r="AJ1042" s="12"/>
      <c r="AK1042" s="1"/>
      <c r="AL1042" s="12"/>
      <c r="AM1042" s="12"/>
      <c r="AN1042" s="1"/>
      <c r="AO1042" s="6"/>
    </row>
    <row r="1043" spans="1:41" ht="15" x14ac:dyDescent="0.25">
      <c r="A1043" s="1"/>
      <c r="B1043" s="1"/>
      <c r="C1043" s="1"/>
      <c r="D1043" s="1"/>
      <c r="E1043" s="6"/>
      <c r="F1043" s="1"/>
      <c r="G1043" s="6"/>
      <c r="H1043" s="6"/>
      <c r="I1043" s="6"/>
      <c r="J1043" s="6"/>
      <c r="K1043" s="6"/>
      <c r="L1043" s="6"/>
      <c r="M1043" s="6"/>
      <c r="N1043" s="6"/>
      <c r="O1043" s="7"/>
      <c r="P1043" s="6"/>
      <c r="Q1043" s="6"/>
      <c r="R1043" s="7"/>
      <c r="S1043" s="6"/>
      <c r="T1043" s="6"/>
      <c r="U1043" s="7"/>
      <c r="V1043" s="6"/>
      <c r="W1043" s="6"/>
      <c r="X1043" s="6"/>
      <c r="Y1043" s="6"/>
      <c r="Z1043" s="6"/>
      <c r="AA1043" s="7"/>
      <c r="AB1043" s="6"/>
      <c r="AC1043" s="6"/>
      <c r="AD1043" s="6"/>
      <c r="AE1043" s="12"/>
      <c r="AF1043" s="6"/>
      <c r="AG1043" s="12"/>
      <c r="AH1043" s="6"/>
      <c r="AI1043" s="6"/>
      <c r="AJ1043" s="12"/>
      <c r="AK1043" s="24"/>
      <c r="AL1043" s="25"/>
      <c r="AM1043" s="12"/>
      <c r="AN1043" s="1"/>
      <c r="AO1043" s="6"/>
    </row>
    <row r="1044" spans="1:41" ht="15" x14ac:dyDescent="0.25">
      <c r="A1044" s="1"/>
      <c r="B1044" s="1"/>
      <c r="C1044" s="1"/>
      <c r="D1044" s="1"/>
      <c r="E1044" s="6"/>
      <c r="F1044" s="1"/>
      <c r="G1044" s="6"/>
      <c r="H1044" s="6"/>
      <c r="I1044" s="6"/>
      <c r="J1044" s="6"/>
      <c r="K1044" s="6"/>
      <c r="L1044" s="6"/>
      <c r="M1044" s="6"/>
      <c r="N1044" s="6"/>
      <c r="O1044" s="7"/>
      <c r="P1044" s="6"/>
      <c r="Q1044" s="6"/>
      <c r="R1044" s="7"/>
      <c r="S1044" s="6"/>
      <c r="T1044" s="6"/>
      <c r="U1044" s="7"/>
      <c r="V1044" s="6"/>
      <c r="W1044" s="6"/>
      <c r="X1044" s="6"/>
      <c r="Y1044" s="6"/>
      <c r="Z1044" s="6"/>
      <c r="AA1044" s="7"/>
      <c r="AB1044" s="6"/>
      <c r="AC1044" s="6"/>
      <c r="AD1044" s="6"/>
      <c r="AE1044" s="12"/>
      <c r="AF1044" s="6"/>
      <c r="AG1044" s="12"/>
      <c r="AH1044" s="6"/>
      <c r="AI1044" s="6"/>
      <c r="AJ1044" s="12"/>
      <c r="AK1044" s="1"/>
      <c r="AL1044" s="12"/>
      <c r="AM1044" s="12"/>
      <c r="AN1044" s="1"/>
      <c r="AO1044" s="6"/>
    </row>
    <row r="1045" spans="1:41" ht="15" x14ac:dyDescent="0.25">
      <c r="A1045" s="1"/>
      <c r="B1045" s="1"/>
      <c r="C1045" s="1"/>
      <c r="D1045" s="1"/>
      <c r="E1045" s="6"/>
      <c r="F1045" s="1"/>
      <c r="G1045" s="6"/>
      <c r="H1045" s="6"/>
      <c r="I1045" s="6"/>
      <c r="J1045" s="6"/>
      <c r="K1045" s="6"/>
      <c r="L1045" s="6"/>
      <c r="M1045" s="6"/>
      <c r="N1045" s="6"/>
      <c r="O1045" s="7"/>
      <c r="P1045" s="6"/>
      <c r="Q1045" s="6"/>
      <c r="R1045" s="7"/>
      <c r="S1045" s="6"/>
      <c r="T1045" s="6"/>
      <c r="U1045" s="7"/>
      <c r="V1045" s="6"/>
      <c r="W1045" s="6"/>
      <c r="X1045" s="6"/>
      <c r="Y1045" s="6"/>
      <c r="Z1045" s="6"/>
      <c r="AA1045" s="7"/>
      <c r="AB1045" s="6"/>
      <c r="AC1045" s="6"/>
      <c r="AD1045" s="6"/>
      <c r="AE1045" s="12"/>
      <c r="AF1045" s="6"/>
      <c r="AG1045" s="12"/>
      <c r="AH1045" s="6"/>
      <c r="AI1045" s="6"/>
      <c r="AJ1045" s="12"/>
      <c r="AK1045" s="24"/>
      <c r="AL1045" s="25"/>
      <c r="AM1045" s="12"/>
      <c r="AN1045" s="1"/>
      <c r="AO1045" s="6"/>
    </row>
    <row r="1046" spans="1:41" ht="15" x14ac:dyDescent="0.25">
      <c r="A1046" s="1"/>
      <c r="B1046" s="1"/>
      <c r="C1046" s="1"/>
      <c r="D1046" s="1"/>
      <c r="E1046" s="6"/>
      <c r="F1046" s="1"/>
      <c r="G1046" s="6"/>
      <c r="H1046" s="6"/>
      <c r="I1046" s="6"/>
      <c r="J1046" s="6"/>
      <c r="K1046" s="6"/>
      <c r="L1046" s="6"/>
      <c r="M1046" s="6"/>
      <c r="N1046" s="6"/>
      <c r="O1046" s="7"/>
      <c r="P1046" s="6"/>
      <c r="Q1046" s="6"/>
      <c r="R1046" s="7"/>
      <c r="S1046" s="6"/>
      <c r="T1046" s="6"/>
      <c r="U1046" s="7"/>
      <c r="V1046" s="6"/>
      <c r="W1046" s="6"/>
      <c r="X1046" s="6"/>
      <c r="Y1046" s="6"/>
      <c r="Z1046" s="6"/>
      <c r="AA1046" s="7"/>
      <c r="AB1046" s="6"/>
      <c r="AC1046" s="6"/>
      <c r="AD1046" s="6"/>
      <c r="AE1046" s="12"/>
      <c r="AF1046" s="6"/>
      <c r="AG1046" s="12"/>
      <c r="AH1046" s="6"/>
      <c r="AI1046" s="6"/>
      <c r="AJ1046" s="12"/>
      <c r="AK1046" s="1"/>
      <c r="AL1046" s="12"/>
      <c r="AM1046" s="12"/>
      <c r="AN1046" s="1"/>
      <c r="AO1046" s="6"/>
    </row>
    <row r="1047" spans="1:41" ht="15" x14ac:dyDescent="0.25">
      <c r="A1047" s="1"/>
      <c r="B1047" s="1"/>
      <c r="C1047" s="1"/>
      <c r="D1047" s="1"/>
      <c r="E1047" s="6"/>
      <c r="F1047" s="1"/>
      <c r="G1047" s="6"/>
      <c r="H1047" s="6"/>
      <c r="I1047" s="6"/>
      <c r="J1047" s="6"/>
      <c r="K1047" s="12"/>
      <c r="L1047" s="12"/>
      <c r="M1047" s="6"/>
      <c r="N1047" s="6"/>
      <c r="O1047" s="7"/>
      <c r="P1047" s="6"/>
      <c r="Q1047" s="6"/>
      <c r="R1047" s="7"/>
      <c r="S1047" s="6"/>
      <c r="T1047" s="6"/>
      <c r="U1047" s="7"/>
      <c r="V1047" s="6"/>
      <c r="W1047" s="6"/>
      <c r="X1047" s="12"/>
      <c r="Y1047" s="6"/>
      <c r="Z1047" s="6"/>
      <c r="AA1047" s="7"/>
      <c r="AB1047" s="6"/>
      <c r="AC1047" s="6"/>
      <c r="AD1047" s="6"/>
      <c r="AE1047" s="12"/>
      <c r="AF1047" s="12"/>
      <c r="AG1047" s="12"/>
      <c r="AH1047" s="12"/>
      <c r="AI1047" s="6"/>
      <c r="AJ1047" s="12"/>
      <c r="AK1047" s="1"/>
      <c r="AL1047" s="12"/>
      <c r="AM1047" s="12"/>
      <c r="AN1047" s="1"/>
      <c r="AO1047" s="6"/>
    </row>
    <row r="1048" spans="1:41" ht="15" x14ac:dyDescent="0.25">
      <c r="A1048" s="1"/>
      <c r="B1048" s="1"/>
      <c r="C1048" s="1"/>
      <c r="D1048" s="1"/>
      <c r="E1048" s="6"/>
      <c r="F1048" s="1"/>
      <c r="G1048" s="6"/>
      <c r="H1048" s="6"/>
      <c r="I1048" s="6"/>
      <c r="J1048" s="6"/>
      <c r="K1048" s="6"/>
      <c r="L1048" s="6"/>
      <c r="M1048" s="6"/>
      <c r="N1048" s="6"/>
      <c r="O1048" s="7"/>
      <c r="P1048" s="6"/>
      <c r="Q1048" s="7"/>
      <c r="R1048" s="6"/>
      <c r="S1048" s="6"/>
      <c r="T1048" s="6"/>
      <c r="U1048" s="6"/>
      <c r="V1048" s="7"/>
      <c r="W1048" s="7"/>
      <c r="X1048" s="6"/>
      <c r="Y1048" s="6"/>
      <c r="Z1048" s="6"/>
      <c r="AA1048" s="1"/>
      <c r="AB1048" s="12"/>
      <c r="AC1048" s="12"/>
      <c r="AD1048" s="12"/>
      <c r="AE1048" s="12"/>
      <c r="AF1048" s="12"/>
      <c r="AG1048" s="12"/>
      <c r="AH1048" s="12"/>
      <c r="AI1048" s="6"/>
      <c r="AJ1048" s="12"/>
      <c r="AK1048" s="12"/>
      <c r="AL1048" s="12"/>
      <c r="AM1048" s="12"/>
      <c r="AN1048" s="1"/>
      <c r="AO1048" s="6"/>
    </row>
    <row r="1049" spans="1:41" ht="15" x14ac:dyDescent="0.25">
      <c r="A1049" s="1"/>
      <c r="B1049" s="1"/>
      <c r="C1049" s="1"/>
      <c r="D1049" s="1"/>
      <c r="E1049" s="6"/>
      <c r="F1049" s="1"/>
      <c r="G1049" s="6"/>
      <c r="H1049" s="6"/>
      <c r="I1049" s="6"/>
      <c r="J1049" s="6"/>
      <c r="K1049" s="6"/>
      <c r="L1049" s="6"/>
      <c r="M1049" s="6"/>
      <c r="N1049" s="6"/>
      <c r="O1049" s="7"/>
      <c r="P1049" s="6"/>
      <c r="Q1049" s="6"/>
      <c r="R1049" s="7"/>
      <c r="S1049" s="6"/>
      <c r="T1049" s="6"/>
      <c r="U1049" s="7"/>
      <c r="V1049" s="6"/>
      <c r="W1049" s="6"/>
      <c r="X1049" s="12"/>
      <c r="Y1049" s="6"/>
      <c r="Z1049" s="6"/>
      <c r="AA1049" s="7"/>
      <c r="AB1049" s="6"/>
      <c r="AC1049" s="6"/>
      <c r="AD1049" s="6"/>
      <c r="AE1049" s="12"/>
      <c r="AF1049" s="12"/>
      <c r="AG1049" s="12"/>
      <c r="AH1049" s="12"/>
      <c r="AI1049" s="6"/>
      <c r="AJ1049" s="12"/>
      <c r="AK1049" s="24"/>
      <c r="AL1049" s="25"/>
      <c r="AM1049" s="12"/>
      <c r="AN1049" s="1"/>
      <c r="AO1049" s="6"/>
    </row>
    <row r="1050" spans="1:41" ht="15" x14ac:dyDescent="0.25">
      <c r="A1050" s="1"/>
      <c r="B1050" s="1"/>
      <c r="C1050" s="1"/>
      <c r="D1050" s="1"/>
      <c r="E1050" s="6"/>
      <c r="F1050" s="1"/>
      <c r="G1050" s="6"/>
      <c r="H1050" s="6"/>
      <c r="I1050" s="6"/>
      <c r="J1050" s="6"/>
      <c r="K1050" s="12"/>
      <c r="L1050" s="12"/>
      <c r="M1050" s="6"/>
      <c r="N1050" s="6"/>
      <c r="O1050" s="7"/>
      <c r="P1050" s="6"/>
      <c r="Q1050" s="6"/>
      <c r="R1050" s="7"/>
      <c r="S1050" s="6"/>
      <c r="T1050" s="6"/>
      <c r="U1050" s="7"/>
      <c r="V1050" s="6"/>
      <c r="W1050" s="6"/>
      <c r="X1050" s="12"/>
      <c r="Y1050" s="6"/>
      <c r="Z1050" s="6"/>
      <c r="AA1050" s="7"/>
      <c r="AB1050" s="6"/>
      <c r="AC1050" s="6"/>
      <c r="AD1050" s="6"/>
      <c r="AE1050" s="12"/>
      <c r="AF1050" s="12"/>
      <c r="AG1050" s="12"/>
      <c r="AH1050" s="12"/>
      <c r="AI1050" s="6"/>
      <c r="AJ1050" s="12"/>
      <c r="AK1050" s="1"/>
      <c r="AL1050" s="12"/>
      <c r="AM1050" s="12"/>
      <c r="AN1050" s="1"/>
      <c r="AO1050" s="6"/>
    </row>
    <row r="1051" spans="1:41" ht="15" x14ac:dyDescent="0.25">
      <c r="A1051" s="1"/>
      <c r="B1051" s="1"/>
      <c r="C1051" s="1"/>
      <c r="D1051" s="1"/>
      <c r="E1051" s="6"/>
      <c r="F1051" s="1"/>
      <c r="G1051" s="6"/>
      <c r="H1051" s="6"/>
      <c r="I1051" s="6"/>
      <c r="J1051" s="6"/>
      <c r="K1051" s="6"/>
      <c r="L1051" s="6"/>
      <c r="M1051" s="6"/>
      <c r="N1051" s="6"/>
      <c r="O1051" s="7"/>
      <c r="P1051" s="6"/>
      <c r="Q1051" s="6"/>
      <c r="R1051" s="7"/>
      <c r="S1051" s="6"/>
      <c r="T1051" s="6"/>
      <c r="U1051" s="7"/>
      <c r="V1051" s="6"/>
      <c r="W1051" s="6"/>
      <c r="X1051" s="6"/>
      <c r="Y1051" s="6"/>
      <c r="Z1051" s="6"/>
      <c r="AA1051" s="7"/>
      <c r="AB1051" s="6"/>
      <c r="AC1051" s="6"/>
      <c r="AD1051" s="6"/>
      <c r="AE1051" s="12"/>
      <c r="AF1051" s="6"/>
      <c r="AG1051" s="12"/>
      <c r="AH1051" s="6"/>
      <c r="AI1051" s="6"/>
      <c r="AJ1051" s="12"/>
      <c r="AK1051" s="1"/>
      <c r="AL1051" s="12"/>
      <c r="AM1051" s="12"/>
      <c r="AN1051" s="1"/>
      <c r="AO1051" s="6"/>
    </row>
    <row r="1052" spans="1:41" ht="15" x14ac:dyDescent="0.25">
      <c r="A1052" s="1"/>
      <c r="B1052" s="1"/>
      <c r="C1052" s="1"/>
      <c r="D1052" s="1"/>
      <c r="E1052" s="6"/>
      <c r="F1052" s="1"/>
      <c r="G1052" s="6"/>
      <c r="H1052" s="6"/>
      <c r="I1052" s="6"/>
      <c r="J1052" s="6"/>
      <c r="K1052" s="6"/>
      <c r="L1052" s="6"/>
      <c r="M1052" s="6"/>
      <c r="N1052" s="6"/>
      <c r="O1052" s="7"/>
      <c r="P1052" s="6"/>
      <c r="Q1052" s="6"/>
      <c r="R1052" s="7"/>
      <c r="S1052" s="6"/>
      <c r="T1052" s="6"/>
      <c r="U1052" s="7"/>
      <c r="V1052" s="6"/>
      <c r="W1052" s="6"/>
      <c r="X1052" s="12"/>
      <c r="Y1052" s="6"/>
      <c r="Z1052" s="6"/>
      <c r="AA1052" s="7"/>
      <c r="AB1052" s="6"/>
      <c r="AC1052" s="6"/>
      <c r="AD1052" s="6"/>
      <c r="AE1052" s="12"/>
      <c r="AF1052" s="12"/>
      <c r="AG1052" s="12"/>
      <c r="AH1052" s="12"/>
      <c r="AI1052" s="6"/>
      <c r="AJ1052" s="12"/>
      <c r="AK1052" s="24"/>
      <c r="AL1052" s="25"/>
      <c r="AM1052" s="12"/>
      <c r="AN1052" s="1"/>
      <c r="AO1052" s="6"/>
    </row>
    <row r="1053" spans="1:41" ht="15" x14ac:dyDescent="0.25">
      <c r="A1053" s="1"/>
      <c r="B1053" s="1"/>
      <c r="C1053" s="1"/>
      <c r="D1053" s="1"/>
      <c r="E1053" s="6"/>
      <c r="F1053" s="1"/>
      <c r="G1053" s="6"/>
      <c r="H1053" s="6"/>
      <c r="I1053" s="6"/>
      <c r="J1053" s="6"/>
      <c r="K1053" s="6"/>
      <c r="L1053" s="6"/>
      <c r="M1053" s="6"/>
      <c r="N1053" s="6"/>
      <c r="O1053" s="7"/>
      <c r="P1053" s="6"/>
      <c r="Q1053" s="6"/>
      <c r="R1053" s="7"/>
      <c r="S1053" s="6"/>
      <c r="T1053" s="6"/>
      <c r="U1053" s="7"/>
      <c r="V1053" s="6"/>
      <c r="W1053" s="6"/>
      <c r="X1053" s="6"/>
      <c r="Y1053" s="6"/>
      <c r="Z1053" s="6"/>
      <c r="AA1053" s="7"/>
      <c r="AB1053" s="6"/>
      <c r="AC1053" s="6"/>
      <c r="AD1053" s="6"/>
      <c r="AE1053" s="12"/>
      <c r="AF1053" s="12"/>
      <c r="AG1053" s="12"/>
      <c r="AH1053" s="12"/>
      <c r="AI1053" s="6"/>
      <c r="AJ1053" s="12"/>
      <c r="AK1053" s="1"/>
      <c r="AL1053" s="12"/>
      <c r="AM1053" s="12"/>
      <c r="AN1053" s="1"/>
      <c r="AO1053" s="6"/>
    </row>
    <row r="1054" spans="1:41" ht="15" x14ac:dyDescent="0.25">
      <c r="A1054" s="1"/>
      <c r="B1054" s="1"/>
      <c r="C1054" s="1"/>
      <c r="D1054" s="1"/>
      <c r="E1054" s="6"/>
      <c r="F1054" s="1"/>
      <c r="G1054" s="6"/>
      <c r="H1054" s="6"/>
      <c r="I1054" s="6"/>
      <c r="J1054" s="6"/>
      <c r="K1054" s="6"/>
      <c r="L1054" s="6"/>
      <c r="M1054" s="6"/>
      <c r="N1054" s="6"/>
      <c r="O1054" s="7"/>
      <c r="P1054" s="6"/>
      <c r="Q1054" s="6"/>
      <c r="R1054" s="7"/>
      <c r="S1054" s="6"/>
      <c r="T1054" s="6"/>
      <c r="U1054" s="7"/>
      <c r="V1054" s="6"/>
      <c r="W1054" s="6"/>
      <c r="X1054" s="6"/>
      <c r="Y1054" s="6"/>
      <c r="Z1054" s="6"/>
      <c r="AA1054" s="7"/>
      <c r="AB1054" s="6"/>
      <c r="AC1054" s="6"/>
      <c r="AD1054" s="6"/>
      <c r="AE1054" s="12"/>
      <c r="AF1054" s="6"/>
      <c r="AG1054" s="12"/>
      <c r="AH1054" s="6"/>
      <c r="AI1054" s="6"/>
      <c r="AJ1054" s="12"/>
      <c r="AK1054" s="24"/>
      <c r="AL1054" s="25"/>
      <c r="AM1054" s="12"/>
      <c r="AN1054" s="1"/>
      <c r="AO1054" s="6"/>
    </row>
    <row r="1055" spans="1:41" ht="15" x14ac:dyDescent="0.25">
      <c r="A1055" s="1"/>
      <c r="B1055" s="1"/>
      <c r="C1055" s="1"/>
      <c r="D1055" s="1"/>
      <c r="E1055" s="6"/>
      <c r="F1055" s="1"/>
      <c r="G1055" s="6"/>
      <c r="H1055" s="6"/>
      <c r="I1055" s="6"/>
      <c r="J1055" s="6"/>
      <c r="K1055" s="6"/>
      <c r="L1055" s="6"/>
      <c r="M1055" s="6"/>
      <c r="N1055" s="6"/>
      <c r="O1055" s="7"/>
      <c r="P1055" s="6"/>
      <c r="Q1055" s="6"/>
      <c r="R1055" s="7"/>
      <c r="S1055" s="6"/>
      <c r="T1055" s="6"/>
      <c r="U1055" s="7"/>
      <c r="V1055" s="6"/>
      <c r="W1055" s="6"/>
      <c r="X1055" s="6"/>
      <c r="Y1055" s="6"/>
      <c r="Z1055" s="6"/>
      <c r="AA1055" s="7"/>
      <c r="AB1055" s="6"/>
      <c r="AC1055" s="6"/>
      <c r="AD1055" s="6"/>
      <c r="AE1055" s="12"/>
      <c r="AF1055" s="6"/>
      <c r="AG1055" s="12"/>
      <c r="AH1055" s="6"/>
      <c r="AI1055" s="6"/>
      <c r="AJ1055" s="12"/>
      <c r="AK1055" s="1"/>
      <c r="AL1055" s="12"/>
      <c r="AM1055" s="12"/>
      <c r="AN1055" s="1"/>
      <c r="AO1055" s="6"/>
    </row>
    <row r="1056" spans="1:41" ht="15" x14ac:dyDescent="0.25">
      <c r="A1056" s="1"/>
      <c r="B1056" s="1"/>
      <c r="C1056" s="1"/>
      <c r="D1056" s="1"/>
      <c r="E1056" s="6"/>
      <c r="F1056" s="1"/>
      <c r="G1056" s="6"/>
      <c r="H1056" s="6"/>
      <c r="I1056" s="6"/>
      <c r="J1056" s="6"/>
      <c r="K1056" s="6"/>
      <c r="L1056" s="6"/>
      <c r="M1056" s="6"/>
      <c r="N1056" s="6"/>
      <c r="O1056" s="7"/>
      <c r="P1056" s="12"/>
      <c r="Q1056" s="6"/>
      <c r="R1056" s="7"/>
      <c r="S1056" s="6"/>
      <c r="T1056" s="6"/>
      <c r="U1056" s="7"/>
      <c r="V1056" s="6"/>
      <c r="W1056" s="6"/>
      <c r="X1056" s="6"/>
      <c r="Y1056" s="6"/>
      <c r="Z1056" s="6"/>
      <c r="AA1056" s="7"/>
      <c r="AB1056" s="6"/>
      <c r="AC1056" s="6"/>
      <c r="AD1056" s="6"/>
      <c r="AE1056" s="12"/>
      <c r="AF1056" s="12"/>
      <c r="AG1056" s="12"/>
      <c r="AH1056" s="12"/>
      <c r="AI1056" s="6"/>
      <c r="AJ1056" s="12"/>
      <c r="AK1056" s="1"/>
      <c r="AL1056" s="12"/>
      <c r="AM1056" s="12"/>
      <c r="AN1056" s="1"/>
      <c r="AO1056" s="6"/>
    </row>
    <row r="1057" spans="1:41" ht="15" x14ac:dyDescent="0.25">
      <c r="A1057" s="1"/>
      <c r="B1057" s="1"/>
      <c r="C1057" s="1"/>
      <c r="D1057" s="1"/>
      <c r="E1057" s="6"/>
      <c r="F1057" s="1"/>
      <c r="G1057" s="6"/>
      <c r="H1057" s="6"/>
      <c r="I1057" s="6"/>
      <c r="J1057" s="6"/>
      <c r="K1057" s="6"/>
      <c r="L1057" s="6"/>
      <c r="M1057" s="6"/>
      <c r="N1057" s="6"/>
      <c r="O1057" s="7"/>
      <c r="P1057" s="6"/>
      <c r="Q1057" s="7"/>
      <c r="R1057" s="6"/>
      <c r="S1057" s="6"/>
      <c r="T1057" s="6"/>
      <c r="U1057" s="6"/>
      <c r="V1057" s="7"/>
      <c r="W1057" s="7"/>
      <c r="X1057" s="6"/>
      <c r="Y1057" s="6"/>
      <c r="Z1057" s="6"/>
      <c r="AA1057" s="1"/>
      <c r="AB1057" s="12"/>
      <c r="AC1057" s="12"/>
      <c r="AD1057" s="12"/>
      <c r="AE1057" s="12"/>
      <c r="AF1057" s="12"/>
      <c r="AG1057" s="12"/>
      <c r="AH1057" s="12"/>
      <c r="AI1057" s="6"/>
      <c r="AJ1057" s="12"/>
      <c r="AK1057" s="12"/>
      <c r="AL1057" s="12"/>
      <c r="AM1057" s="12"/>
      <c r="AN1057" s="1"/>
      <c r="AO1057" s="6"/>
    </row>
    <row r="1058" spans="1:41" ht="15" x14ac:dyDescent="0.25">
      <c r="A1058" s="1"/>
      <c r="B1058" s="1"/>
      <c r="C1058" s="1"/>
      <c r="D1058" s="1"/>
      <c r="E1058" s="6"/>
      <c r="F1058" s="1"/>
      <c r="G1058" s="6"/>
      <c r="H1058" s="6"/>
      <c r="I1058" s="6"/>
      <c r="J1058" s="6"/>
      <c r="K1058" s="12"/>
      <c r="L1058" s="12"/>
      <c r="M1058" s="6"/>
      <c r="N1058" s="6"/>
      <c r="O1058" s="7"/>
      <c r="P1058" s="6"/>
      <c r="Q1058" s="6"/>
      <c r="R1058" s="7"/>
      <c r="S1058" s="6"/>
      <c r="T1058" s="6"/>
      <c r="U1058" s="15"/>
      <c r="V1058" s="6"/>
      <c r="W1058" s="6"/>
      <c r="X1058" s="6"/>
      <c r="Y1058" s="6"/>
      <c r="Z1058" s="6"/>
      <c r="AA1058" s="7"/>
      <c r="AB1058" s="6"/>
      <c r="AC1058" s="6"/>
      <c r="AD1058" s="6"/>
      <c r="AE1058" s="12"/>
      <c r="AF1058" s="12"/>
      <c r="AG1058" s="12"/>
      <c r="AH1058" s="12"/>
      <c r="AI1058" s="6"/>
      <c r="AJ1058" s="12"/>
      <c r="AK1058" s="1"/>
      <c r="AL1058" s="12"/>
      <c r="AM1058" s="12"/>
      <c r="AN1058" s="1"/>
      <c r="AO1058" s="12"/>
    </row>
    <row r="1059" spans="1:41" ht="15" x14ac:dyDescent="0.25">
      <c r="A1059" s="1"/>
      <c r="B1059" s="1"/>
      <c r="C1059" s="1"/>
      <c r="D1059" s="1"/>
      <c r="E1059" s="6"/>
      <c r="F1059" s="1"/>
      <c r="G1059" s="6"/>
      <c r="H1059" s="6"/>
      <c r="I1059" s="6"/>
      <c r="J1059" s="6"/>
      <c r="K1059" s="6"/>
      <c r="L1059" s="6"/>
      <c r="M1059" s="6"/>
      <c r="N1059" s="6"/>
      <c r="O1059" s="7"/>
      <c r="P1059" s="6"/>
      <c r="Q1059" s="6"/>
      <c r="R1059" s="7"/>
      <c r="S1059" s="6"/>
      <c r="T1059" s="6"/>
      <c r="U1059" s="7"/>
      <c r="V1059" s="6"/>
      <c r="W1059" s="6"/>
      <c r="X1059" s="6"/>
      <c r="Y1059" s="6"/>
      <c r="Z1059" s="6"/>
      <c r="AA1059" s="7"/>
      <c r="AB1059" s="6"/>
      <c r="AC1059" s="6"/>
      <c r="AD1059" s="6"/>
      <c r="AE1059" s="12"/>
      <c r="AF1059" s="12"/>
      <c r="AG1059" s="12"/>
      <c r="AH1059" s="12"/>
      <c r="AI1059" s="6"/>
      <c r="AJ1059" s="12"/>
      <c r="AK1059" s="1"/>
      <c r="AL1059" s="12"/>
      <c r="AM1059" s="12"/>
      <c r="AN1059" s="1"/>
      <c r="AO1059" s="6"/>
    </row>
    <row r="1060" spans="1:41" ht="15" x14ac:dyDescent="0.25">
      <c r="A1060" s="1"/>
      <c r="B1060" s="1"/>
      <c r="C1060" s="1"/>
      <c r="D1060" s="1"/>
      <c r="E1060" s="6"/>
      <c r="F1060" s="1"/>
      <c r="G1060" s="6"/>
      <c r="H1060" s="6"/>
      <c r="I1060" s="6"/>
      <c r="J1060" s="6"/>
      <c r="K1060" s="12"/>
      <c r="L1060" s="12"/>
      <c r="M1060" s="6"/>
      <c r="N1060" s="6"/>
      <c r="O1060" s="7"/>
      <c r="P1060" s="6"/>
      <c r="Q1060" s="7"/>
      <c r="R1060" s="6"/>
      <c r="S1060" s="6"/>
      <c r="T1060" s="6"/>
      <c r="U1060" s="6"/>
      <c r="V1060" s="7"/>
      <c r="W1060" s="7"/>
      <c r="X1060" s="6"/>
      <c r="Y1060" s="6"/>
      <c r="Z1060" s="6"/>
      <c r="AA1060" s="1"/>
      <c r="AB1060" s="12"/>
      <c r="AC1060" s="12"/>
      <c r="AD1060" s="12"/>
      <c r="AE1060" s="12"/>
      <c r="AF1060" s="12"/>
      <c r="AG1060" s="12"/>
      <c r="AH1060" s="12"/>
      <c r="AI1060" s="6"/>
      <c r="AJ1060" s="12"/>
      <c r="AK1060" s="12"/>
      <c r="AL1060" s="12"/>
      <c r="AM1060" s="12"/>
      <c r="AN1060" s="1"/>
      <c r="AO1060" s="12"/>
    </row>
    <row r="1061" spans="1:41" ht="15" x14ac:dyDescent="0.25">
      <c r="A1061" s="1"/>
      <c r="B1061" s="1"/>
      <c r="C1061" s="1"/>
      <c r="D1061" s="1"/>
      <c r="E1061" s="6"/>
      <c r="F1061" s="1"/>
      <c r="G1061" s="6"/>
      <c r="H1061" s="6"/>
      <c r="I1061" s="6"/>
      <c r="J1061" s="6"/>
      <c r="K1061" s="6"/>
      <c r="L1061" s="6"/>
      <c r="M1061" s="6"/>
      <c r="N1061" s="6"/>
      <c r="O1061" s="7"/>
      <c r="P1061" s="6"/>
      <c r="Q1061" s="6"/>
      <c r="R1061" s="7"/>
      <c r="S1061" s="6"/>
      <c r="T1061" s="6"/>
      <c r="U1061" s="7"/>
      <c r="V1061" s="6"/>
      <c r="W1061" s="6"/>
      <c r="X1061" s="12"/>
      <c r="Y1061" s="6"/>
      <c r="Z1061" s="6"/>
      <c r="AA1061" s="7"/>
      <c r="AB1061" s="6"/>
      <c r="AC1061" s="6"/>
      <c r="AD1061" s="6"/>
      <c r="AE1061" s="12"/>
      <c r="AF1061" s="6"/>
      <c r="AG1061" s="12"/>
      <c r="AH1061" s="6"/>
      <c r="AI1061" s="6"/>
      <c r="AJ1061" s="12"/>
      <c r="AK1061" s="24"/>
      <c r="AL1061" s="25"/>
      <c r="AM1061" s="12"/>
      <c r="AN1061" s="1"/>
      <c r="AO1061" s="6"/>
    </row>
    <row r="1062" spans="1:41" ht="15" x14ac:dyDescent="0.25">
      <c r="A1062" s="1"/>
      <c r="B1062" s="1"/>
      <c r="C1062" s="1"/>
      <c r="D1062" s="1"/>
      <c r="E1062" s="6"/>
      <c r="F1062" s="1"/>
      <c r="G1062" s="6"/>
      <c r="H1062" s="6"/>
      <c r="I1062" s="6"/>
      <c r="J1062" s="6"/>
      <c r="K1062" s="6"/>
      <c r="L1062" s="6"/>
      <c r="M1062" s="6"/>
      <c r="N1062" s="6"/>
      <c r="O1062" s="7"/>
      <c r="P1062" s="12"/>
      <c r="Q1062" s="6"/>
      <c r="R1062" s="7"/>
      <c r="S1062" s="6"/>
      <c r="T1062" s="6"/>
      <c r="U1062" s="7"/>
      <c r="V1062" s="6"/>
      <c r="W1062" s="6"/>
      <c r="X1062" s="6"/>
      <c r="Y1062" s="6"/>
      <c r="Z1062" s="6"/>
      <c r="AA1062" s="7"/>
      <c r="AB1062" s="6"/>
      <c r="AC1062" s="6"/>
      <c r="AD1062" s="6"/>
      <c r="AE1062" s="12"/>
      <c r="AF1062" s="6"/>
      <c r="AG1062" s="12"/>
      <c r="AH1062" s="6"/>
      <c r="AI1062" s="6"/>
      <c r="AJ1062" s="12"/>
      <c r="AK1062" s="1"/>
      <c r="AL1062" s="12"/>
      <c r="AM1062" s="12"/>
      <c r="AN1062" s="1"/>
      <c r="AO1062" s="6"/>
    </row>
    <row r="1063" spans="1:41" ht="15" x14ac:dyDescent="0.25">
      <c r="A1063" s="1"/>
      <c r="B1063" s="1"/>
      <c r="C1063" s="1"/>
      <c r="D1063" s="1"/>
      <c r="E1063" s="6"/>
      <c r="F1063" s="1"/>
      <c r="G1063" s="6"/>
      <c r="H1063" s="6"/>
      <c r="I1063" s="6"/>
      <c r="J1063" s="6"/>
      <c r="K1063" s="6"/>
      <c r="L1063" s="6"/>
      <c r="M1063" s="6"/>
      <c r="N1063" s="6"/>
      <c r="O1063" s="7"/>
      <c r="P1063" s="6"/>
      <c r="Q1063" s="6"/>
      <c r="R1063" s="7"/>
      <c r="S1063" s="6"/>
      <c r="T1063" s="6"/>
      <c r="U1063" s="7"/>
      <c r="V1063" s="6"/>
      <c r="W1063" s="6"/>
      <c r="X1063" s="12"/>
      <c r="Y1063" s="6"/>
      <c r="Z1063" s="6"/>
      <c r="AA1063" s="7"/>
      <c r="AB1063" s="6"/>
      <c r="AC1063" s="6"/>
      <c r="AD1063" s="6"/>
      <c r="AE1063" s="12"/>
      <c r="AF1063" s="12"/>
      <c r="AG1063" s="12"/>
      <c r="AH1063" s="12"/>
      <c r="AI1063" s="6"/>
      <c r="AJ1063" s="12"/>
      <c r="AK1063" s="1"/>
      <c r="AL1063" s="12"/>
      <c r="AM1063" s="12"/>
      <c r="AN1063" s="1"/>
      <c r="AO1063" s="6"/>
    </row>
    <row r="1064" spans="1:41" ht="15" x14ac:dyDescent="0.25">
      <c r="A1064" s="1"/>
      <c r="B1064" s="1"/>
      <c r="C1064" s="1"/>
      <c r="D1064" s="1"/>
      <c r="E1064" s="6"/>
      <c r="F1064" s="1"/>
      <c r="G1064" s="6"/>
      <c r="H1064" s="6"/>
      <c r="I1064" s="6"/>
      <c r="J1064" s="6"/>
      <c r="K1064" s="6"/>
      <c r="L1064" s="6"/>
      <c r="M1064" s="6"/>
      <c r="N1064" s="6"/>
      <c r="O1064" s="7"/>
      <c r="P1064" s="6"/>
      <c r="Q1064" s="6"/>
      <c r="R1064" s="7"/>
      <c r="S1064" s="6"/>
      <c r="T1064" s="6"/>
      <c r="U1064" s="7"/>
      <c r="V1064" s="6"/>
      <c r="W1064" s="6"/>
      <c r="X1064" s="6"/>
      <c r="Y1064" s="6"/>
      <c r="Z1064" s="6"/>
      <c r="AA1064" s="7"/>
      <c r="AB1064" s="6"/>
      <c r="AC1064" s="6"/>
      <c r="AD1064" s="6"/>
      <c r="AE1064" s="12"/>
      <c r="AF1064" s="12"/>
      <c r="AG1064" s="12"/>
      <c r="AH1064" s="12"/>
      <c r="AI1064" s="6"/>
      <c r="AJ1064" s="12"/>
      <c r="AK1064" s="1"/>
      <c r="AL1064" s="12"/>
      <c r="AM1064" s="12"/>
      <c r="AN1064" s="1"/>
      <c r="AO1064" s="6"/>
    </row>
    <row r="1065" spans="1:41" ht="15" x14ac:dyDescent="0.25">
      <c r="A1065" s="1"/>
      <c r="B1065" s="1"/>
      <c r="C1065" s="1"/>
      <c r="D1065" s="1"/>
      <c r="E1065" s="6"/>
      <c r="F1065" s="1"/>
      <c r="G1065" s="6"/>
      <c r="H1065" s="6"/>
      <c r="I1065" s="6"/>
      <c r="J1065" s="6"/>
      <c r="K1065" s="6"/>
      <c r="L1065" s="6"/>
      <c r="M1065" s="6"/>
      <c r="N1065" s="6"/>
      <c r="O1065" s="7"/>
      <c r="P1065" s="12"/>
      <c r="Q1065" s="6"/>
      <c r="R1065" s="7"/>
      <c r="S1065" s="6"/>
      <c r="T1065" s="6"/>
      <c r="U1065" s="7"/>
      <c r="V1065" s="6"/>
      <c r="W1065" s="6"/>
      <c r="X1065" s="6"/>
      <c r="Y1065" s="6"/>
      <c r="Z1065" s="6"/>
      <c r="AA1065" s="7"/>
      <c r="AB1065" s="6"/>
      <c r="AC1065" s="6"/>
      <c r="AD1065" s="6"/>
      <c r="AE1065" s="12"/>
      <c r="AF1065" s="12"/>
      <c r="AG1065" s="12"/>
      <c r="AH1065" s="12"/>
      <c r="AI1065" s="6"/>
      <c r="AJ1065" s="12"/>
      <c r="AK1065" s="1"/>
      <c r="AL1065" s="12"/>
      <c r="AM1065" s="12"/>
      <c r="AN1065" s="1"/>
      <c r="AO1065" s="6"/>
    </row>
    <row r="1066" spans="1:41" ht="15" x14ac:dyDescent="0.25">
      <c r="A1066" s="1"/>
      <c r="B1066" s="1"/>
      <c r="C1066" s="1"/>
      <c r="D1066" s="1"/>
      <c r="E1066" s="6"/>
      <c r="F1066" s="1"/>
      <c r="G1066" s="6"/>
      <c r="H1066" s="6"/>
      <c r="I1066" s="6"/>
      <c r="J1066" s="6"/>
      <c r="K1066" s="6"/>
      <c r="L1066" s="6"/>
      <c r="M1066" s="6"/>
      <c r="N1066" s="6"/>
      <c r="O1066" s="7"/>
      <c r="P1066" s="6"/>
      <c r="Q1066" s="7"/>
      <c r="R1066" s="6"/>
      <c r="S1066" s="6"/>
      <c r="T1066" s="6"/>
      <c r="U1066" s="6"/>
      <c r="V1066" s="7"/>
      <c r="W1066" s="7"/>
      <c r="X1066" s="6"/>
      <c r="Y1066" s="6"/>
      <c r="Z1066" s="6"/>
      <c r="AA1066" s="1"/>
      <c r="AB1066" s="12"/>
      <c r="AC1066" s="12"/>
      <c r="AD1066" s="12"/>
      <c r="AE1066" s="12"/>
      <c r="AF1066" s="12"/>
      <c r="AG1066" s="12"/>
      <c r="AH1066" s="12"/>
      <c r="AI1066" s="6"/>
      <c r="AJ1066" s="12"/>
      <c r="AK1066" s="12"/>
      <c r="AL1066" s="12"/>
      <c r="AM1066" s="12"/>
      <c r="AN1066" s="1"/>
      <c r="AO1066" s="6"/>
    </row>
    <row r="1067" spans="1:41" ht="15" x14ac:dyDescent="0.25">
      <c r="A1067" s="1"/>
      <c r="B1067" s="1"/>
      <c r="C1067" s="1"/>
      <c r="D1067" s="1"/>
      <c r="E1067" s="6"/>
      <c r="F1067" s="1"/>
      <c r="G1067" s="6"/>
      <c r="H1067" s="6"/>
      <c r="I1067" s="6"/>
      <c r="J1067" s="6"/>
      <c r="K1067" s="6"/>
      <c r="L1067" s="6"/>
      <c r="M1067" s="6"/>
      <c r="N1067" s="6"/>
      <c r="O1067" s="7"/>
      <c r="P1067" s="6"/>
      <c r="Q1067" s="6"/>
      <c r="R1067" s="7"/>
      <c r="S1067" s="6"/>
      <c r="T1067" s="6"/>
      <c r="U1067" s="7"/>
      <c r="V1067" s="6"/>
      <c r="W1067" s="6"/>
      <c r="X1067" s="6"/>
      <c r="Y1067" s="6"/>
      <c r="Z1067" s="6"/>
      <c r="AA1067" s="7"/>
      <c r="AB1067" s="6"/>
      <c r="AC1067" s="6"/>
      <c r="AD1067" s="6"/>
      <c r="AE1067" s="12"/>
      <c r="AF1067" s="12"/>
      <c r="AG1067" s="12"/>
      <c r="AH1067" s="12"/>
      <c r="AI1067" s="6"/>
      <c r="AJ1067" s="12"/>
      <c r="AK1067" s="1"/>
      <c r="AL1067" s="12"/>
      <c r="AM1067" s="12"/>
      <c r="AN1067" s="1"/>
      <c r="AO1067" s="6"/>
    </row>
    <row r="1068" spans="1:41" ht="15" x14ac:dyDescent="0.25">
      <c r="A1068" s="1"/>
      <c r="B1068" s="1"/>
      <c r="C1068" s="1"/>
      <c r="D1068" s="1"/>
      <c r="E1068" s="6"/>
      <c r="F1068" s="1"/>
      <c r="G1068" s="6"/>
      <c r="H1068" s="6"/>
      <c r="I1068" s="6"/>
      <c r="J1068" s="6"/>
      <c r="K1068" s="6"/>
      <c r="L1068" s="6"/>
      <c r="M1068" s="6"/>
      <c r="N1068" s="6"/>
      <c r="O1068" s="7"/>
      <c r="P1068" s="6"/>
      <c r="Q1068" s="6"/>
      <c r="R1068" s="12"/>
      <c r="S1068" s="12"/>
      <c r="T1068" s="12"/>
      <c r="U1068" s="7"/>
      <c r="V1068" s="6"/>
      <c r="W1068" s="6"/>
      <c r="X1068" s="12"/>
      <c r="Y1068" s="6"/>
      <c r="Z1068" s="6"/>
      <c r="AA1068" s="7"/>
      <c r="AB1068" s="6"/>
      <c r="AC1068" s="6"/>
      <c r="AD1068" s="6"/>
      <c r="AE1068" s="12"/>
      <c r="AF1068" s="6"/>
      <c r="AG1068" s="12"/>
      <c r="AH1068" s="6"/>
      <c r="AI1068" s="6"/>
      <c r="AJ1068" s="12"/>
      <c r="AK1068" s="24"/>
      <c r="AL1068" s="25"/>
      <c r="AM1068" s="12"/>
      <c r="AN1068" s="1"/>
      <c r="AO1068" s="6"/>
    </row>
    <row r="1069" spans="1:41" ht="15" x14ac:dyDescent="0.25">
      <c r="A1069" s="1"/>
      <c r="B1069" s="1"/>
      <c r="C1069" s="1"/>
      <c r="D1069" s="1"/>
      <c r="E1069" s="6"/>
      <c r="F1069" s="1"/>
      <c r="G1069" s="6"/>
      <c r="H1069" s="6"/>
      <c r="I1069" s="6"/>
      <c r="J1069" s="6"/>
      <c r="K1069" s="6"/>
      <c r="L1069" s="6"/>
      <c r="M1069" s="6"/>
      <c r="N1069" s="6"/>
      <c r="O1069" s="7"/>
      <c r="P1069" s="6"/>
      <c r="Q1069" s="6"/>
      <c r="R1069" s="7"/>
      <c r="S1069" s="6"/>
      <c r="T1069" s="6"/>
      <c r="U1069" s="7"/>
      <c r="V1069" s="6"/>
      <c r="W1069" s="6"/>
      <c r="X1069" s="6"/>
      <c r="Y1069" s="6"/>
      <c r="Z1069" s="6"/>
      <c r="AA1069" s="7"/>
      <c r="AB1069" s="6"/>
      <c r="AC1069" s="6"/>
      <c r="AD1069" s="6"/>
      <c r="AE1069" s="12"/>
      <c r="AF1069" s="6"/>
      <c r="AG1069" s="12"/>
      <c r="AH1069" s="6"/>
      <c r="AI1069" s="6"/>
      <c r="AJ1069" s="12"/>
      <c r="AK1069" s="1"/>
      <c r="AL1069" s="12"/>
      <c r="AM1069" s="12"/>
      <c r="AN1069" s="1"/>
      <c r="AO1069" s="6"/>
    </row>
    <row r="1070" spans="1:41" ht="15" x14ac:dyDescent="0.25">
      <c r="A1070" s="1"/>
      <c r="B1070" s="1"/>
      <c r="C1070" s="1"/>
      <c r="D1070" s="1"/>
      <c r="E1070" s="6"/>
      <c r="F1070" s="1"/>
      <c r="G1070" s="6"/>
      <c r="H1070" s="6"/>
      <c r="I1070" s="6"/>
      <c r="J1070" s="6"/>
      <c r="K1070" s="6"/>
      <c r="L1070" s="6"/>
      <c r="M1070" s="6"/>
      <c r="N1070" s="6"/>
      <c r="O1070" s="7"/>
      <c r="P1070" s="6"/>
      <c r="Q1070" s="7"/>
      <c r="R1070" s="6"/>
      <c r="S1070" s="6"/>
      <c r="T1070" s="6"/>
      <c r="U1070" s="6"/>
      <c r="V1070" s="7"/>
      <c r="W1070" s="6"/>
      <c r="X1070" s="6"/>
      <c r="Y1070" s="6"/>
      <c r="Z1070" s="6"/>
      <c r="AA1070" s="24"/>
      <c r="AB1070" s="25"/>
      <c r="AC1070" s="12"/>
      <c r="AD1070" s="12"/>
      <c r="AE1070" s="12"/>
      <c r="AF1070" s="6"/>
      <c r="AG1070" s="12"/>
      <c r="AH1070" s="6"/>
      <c r="AI1070" s="6"/>
      <c r="AJ1070" s="12"/>
      <c r="AK1070" s="12"/>
      <c r="AL1070" s="12"/>
      <c r="AM1070" s="12"/>
      <c r="AN1070" s="1"/>
      <c r="AO1070" s="6"/>
    </row>
    <row r="1071" spans="1:41" ht="15" x14ac:dyDescent="0.25">
      <c r="A1071" s="1"/>
      <c r="B1071" s="1"/>
      <c r="C1071" s="1"/>
      <c r="D1071" s="1"/>
      <c r="E1071" s="6"/>
      <c r="F1071" s="1"/>
      <c r="G1071" s="6"/>
      <c r="H1071" s="6"/>
      <c r="I1071" s="6"/>
      <c r="J1071" s="6"/>
      <c r="K1071" s="12"/>
      <c r="L1071" s="6"/>
      <c r="M1071" s="6"/>
      <c r="N1071" s="6"/>
      <c r="O1071" s="7"/>
      <c r="P1071" s="6"/>
      <c r="Q1071" s="6"/>
      <c r="R1071" s="7"/>
      <c r="S1071" s="6"/>
      <c r="T1071" s="6"/>
      <c r="U1071" s="7"/>
      <c r="V1071" s="6"/>
      <c r="W1071" s="6"/>
      <c r="X1071" s="6"/>
      <c r="Y1071" s="6"/>
      <c r="Z1071" s="6"/>
      <c r="AA1071" s="7"/>
      <c r="AB1071" s="6"/>
      <c r="AC1071" s="6"/>
      <c r="AD1071" s="6"/>
      <c r="AE1071" s="12"/>
      <c r="AF1071" s="6"/>
      <c r="AG1071" s="12"/>
      <c r="AH1071" s="6"/>
      <c r="AI1071" s="6"/>
      <c r="AJ1071" s="12"/>
      <c r="AK1071" s="24"/>
      <c r="AL1071" s="25"/>
      <c r="AM1071" s="12"/>
      <c r="AN1071" s="1"/>
      <c r="AO1071" s="12"/>
    </row>
    <row r="1072" spans="1:41" ht="15" x14ac:dyDescent="0.25">
      <c r="A1072" s="1"/>
      <c r="B1072" s="1"/>
      <c r="C1072" s="1"/>
      <c r="D1072" s="1"/>
      <c r="E1072" s="6"/>
      <c r="F1072" s="1"/>
      <c r="G1072" s="6"/>
      <c r="H1072" s="6"/>
      <c r="I1072" s="6"/>
      <c r="J1072" s="6"/>
      <c r="K1072" s="6"/>
      <c r="L1072" s="6"/>
      <c r="M1072" s="6"/>
      <c r="N1072" s="6"/>
      <c r="O1072" s="7"/>
      <c r="P1072" s="12"/>
      <c r="Q1072" s="6"/>
      <c r="R1072" s="7"/>
      <c r="S1072" s="6"/>
      <c r="T1072" s="6"/>
      <c r="U1072" s="7"/>
      <c r="V1072" s="6"/>
      <c r="W1072" s="6"/>
      <c r="X1072" s="12"/>
      <c r="Y1072" s="6"/>
      <c r="Z1072" s="6"/>
      <c r="AA1072" s="7"/>
      <c r="AB1072" s="6"/>
      <c r="AC1072" s="6"/>
      <c r="AD1072" s="6"/>
      <c r="AE1072" s="12"/>
      <c r="AF1072" s="12"/>
      <c r="AG1072" s="12"/>
      <c r="AH1072" s="12"/>
      <c r="AI1072" s="6"/>
      <c r="AJ1072" s="12"/>
      <c r="AK1072" s="1"/>
      <c r="AL1072" s="12"/>
      <c r="AM1072" s="12"/>
      <c r="AN1072" s="1"/>
      <c r="AO1072" s="6"/>
    </row>
    <row r="1073" spans="1:41" ht="15" x14ac:dyDescent="0.25">
      <c r="A1073" s="1"/>
      <c r="B1073" s="1"/>
      <c r="C1073" s="1"/>
      <c r="D1073" s="1"/>
      <c r="E1073" s="6"/>
      <c r="F1073" s="1"/>
      <c r="G1073" s="6"/>
      <c r="H1073" s="6"/>
      <c r="I1073" s="6"/>
      <c r="J1073" s="6"/>
      <c r="K1073" s="6"/>
      <c r="L1073" s="6"/>
      <c r="M1073" s="6"/>
      <c r="N1073" s="6"/>
      <c r="O1073" s="7"/>
      <c r="P1073" s="6"/>
      <c r="Q1073" s="6"/>
      <c r="R1073" s="7"/>
      <c r="S1073" s="6"/>
      <c r="T1073" s="6"/>
      <c r="U1073" s="7"/>
      <c r="V1073" s="6"/>
      <c r="W1073" s="6"/>
      <c r="X1073" s="12"/>
      <c r="Y1073" s="6"/>
      <c r="Z1073" s="6"/>
      <c r="AA1073" s="7"/>
      <c r="AB1073" s="6"/>
      <c r="AC1073" s="6"/>
      <c r="AD1073" s="6"/>
      <c r="AE1073" s="12"/>
      <c r="AF1073" s="12"/>
      <c r="AG1073" s="12"/>
      <c r="AH1073" s="12"/>
      <c r="AI1073" s="6"/>
      <c r="AJ1073" s="12"/>
      <c r="AK1073" s="1"/>
      <c r="AL1073" s="12"/>
      <c r="AM1073" s="12"/>
      <c r="AN1073" s="1"/>
      <c r="AO1073" s="6"/>
    </row>
    <row r="1074" spans="1:41" ht="15" x14ac:dyDescent="0.25">
      <c r="A1074" s="1"/>
      <c r="B1074" s="1"/>
      <c r="C1074" s="1"/>
      <c r="D1074" s="1"/>
      <c r="E1074" s="6"/>
      <c r="F1074" s="1"/>
      <c r="G1074" s="6"/>
      <c r="H1074" s="6"/>
      <c r="I1074" s="6"/>
      <c r="J1074" s="6"/>
      <c r="K1074" s="6"/>
      <c r="L1074" s="6"/>
      <c r="M1074" s="6"/>
      <c r="N1074" s="6"/>
      <c r="O1074" s="7"/>
      <c r="P1074" s="6"/>
      <c r="Q1074" s="6"/>
      <c r="R1074" s="12"/>
      <c r="S1074" s="12"/>
      <c r="T1074" s="12"/>
      <c r="U1074" s="7"/>
      <c r="V1074" s="6"/>
      <c r="W1074" s="6"/>
      <c r="X1074" s="12"/>
      <c r="Y1074" s="6"/>
      <c r="Z1074" s="6"/>
      <c r="AA1074" s="7"/>
      <c r="AB1074" s="6"/>
      <c r="AC1074" s="6"/>
      <c r="AD1074" s="6"/>
      <c r="AE1074" s="12"/>
      <c r="AF1074" s="12"/>
      <c r="AG1074" s="12"/>
      <c r="AH1074" s="12"/>
      <c r="AI1074" s="6"/>
      <c r="AJ1074" s="12"/>
      <c r="AK1074" s="1"/>
      <c r="AL1074" s="12"/>
      <c r="AM1074" s="12"/>
      <c r="AN1074" s="1"/>
      <c r="AO1074" s="6"/>
    </row>
    <row r="1075" spans="1:41" ht="15" x14ac:dyDescent="0.25">
      <c r="A1075" s="1"/>
      <c r="B1075" s="1"/>
      <c r="C1075" s="1"/>
      <c r="D1075" s="1"/>
      <c r="E1075" s="6"/>
      <c r="F1075" s="1"/>
      <c r="G1075" s="6"/>
      <c r="H1075" s="6"/>
      <c r="I1075" s="6"/>
      <c r="J1075" s="6"/>
      <c r="K1075" s="6"/>
      <c r="L1075" s="6"/>
      <c r="M1075" s="6"/>
      <c r="N1075" s="6"/>
      <c r="O1075" s="7"/>
      <c r="P1075" s="6"/>
      <c r="Q1075" s="6"/>
      <c r="R1075" s="7"/>
      <c r="S1075" s="6"/>
      <c r="T1075" s="6"/>
      <c r="U1075" s="7"/>
      <c r="V1075" s="6"/>
      <c r="W1075" s="6"/>
      <c r="X1075" s="6"/>
      <c r="Y1075" s="6"/>
      <c r="Z1075" s="6"/>
      <c r="AA1075" s="7"/>
      <c r="AB1075" s="6"/>
      <c r="AC1075" s="6"/>
      <c r="AD1075" s="6"/>
      <c r="AE1075" s="12"/>
      <c r="AF1075" s="6"/>
      <c r="AG1075" s="12"/>
      <c r="AH1075" s="6"/>
      <c r="AI1075" s="6"/>
      <c r="AJ1075" s="12"/>
      <c r="AK1075" s="24"/>
      <c r="AL1075" s="25"/>
      <c r="AM1075" s="12"/>
      <c r="AN1075" s="1"/>
      <c r="AO1075" s="6"/>
    </row>
    <row r="1076" spans="1:41" ht="15" x14ac:dyDescent="0.25">
      <c r="A1076" s="1"/>
      <c r="B1076" s="1"/>
      <c r="C1076" s="1"/>
      <c r="D1076" s="1"/>
      <c r="E1076" s="6"/>
      <c r="F1076" s="1"/>
      <c r="G1076" s="6"/>
      <c r="H1076" s="6"/>
      <c r="I1076" s="6"/>
      <c r="J1076" s="6"/>
      <c r="K1076" s="6"/>
      <c r="L1076" s="6"/>
      <c r="M1076" s="6"/>
      <c r="N1076" s="6"/>
      <c r="O1076" s="7"/>
      <c r="P1076" s="12"/>
      <c r="Q1076" s="6"/>
      <c r="R1076" s="7"/>
      <c r="S1076" s="6"/>
      <c r="T1076" s="6"/>
      <c r="U1076" s="7"/>
      <c r="V1076" s="6"/>
      <c r="W1076" s="6"/>
      <c r="X1076" s="6"/>
      <c r="Y1076" s="6"/>
      <c r="Z1076" s="6"/>
      <c r="AA1076" s="7"/>
      <c r="AB1076" s="6"/>
      <c r="AC1076" s="6"/>
      <c r="AD1076" s="6"/>
      <c r="AE1076" s="12"/>
      <c r="AF1076" s="6"/>
      <c r="AG1076" s="12"/>
      <c r="AH1076" s="6"/>
      <c r="AI1076" s="6"/>
      <c r="AJ1076" s="12"/>
      <c r="AK1076" s="24"/>
      <c r="AL1076" s="25"/>
      <c r="AM1076" s="12"/>
      <c r="AN1076" s="1"/>
      <c r="AO1076" s="6"/>
    </row>
    <row r="1077" spans="1:41" ht="15" x14ac:dyDescent="0.25">
      <c r="A1077" s="1"/>
      <c r="B1077" s="1"/>
      <c r="C1077" s="1"/>
      <c r="D1077" s="1"/>
      <c r="E1077" s="6"/>
      <c r="F1077" s="1"/>
      <c r="G1077" s="6"/>
      <c r="H1077" s="6"/>
      <c r="I1077" s="6"/>
      <c r="J1077" s="6"/>
      <c r="K1077" s="6"/>
      <c r="L1077" s="6"/>
      <c r="M1077" s="6"/>
      <c r="N1077" s="6"/>
      <c r="O1077" s="7"/>
      <c r="P1077" s="12"/>
      <c r="Q1077" s="6"/>
      <c r="R1077" s="7"/>
      <c r="S1077" s="6"/>
      <c r="T1077" s="6"/>
      <c r="U1077" s="7"/>
      <c r="V1077" s="6"/>
      <c r="W1077" s="6"/>
      <c r="X1077" s="6"/>
      <c r="Y1077" s="6"/>
      <c r="Z1077" s="6"/>
      <c r="AA1077" s="7"/>
      <c r="AB1077" s="6"/>
      <c r="AC1077" s="6"/>
      <c r="AD1077" s="6"/>
      <c r="AE1077" s="12"/>
      <c r="AF1077" s="6"/>
      <c r="AG1077" s="12"/>
      <c r="AH1077" s="6"/>
      <c r="AI1077" s="6"/>
      <c r="AJ1077" s="12"/>
      <c r="AK1077" s="1"/>
      <c r="AL1077" s="12"/>
      <c r="AM1077" s="12"/>
      <c r="AN1077" s="1"/>
      <c r="AO1077" s="6"/>
    </row>
    <row r="1078" spans="1:41" ht="15" x14ac:dyDescent="0.25">
      <c r="A1078" s="1"/>
      <c r="B1078" s="1"/>
      <c r="C1078" s="1"/>
      <c r="D1078" s="1"/>
      <c r="E1078" s="6"/>
      <c r="F1078" s="1"/>
      <c r="G1078" s="6"/>
      <c r="H1078" s="6"/>
      <c r="I1078" s="6"/>
      <c r="J1078" s="6"/>
      <c r="K1078" s="6"/>
      <c r="L1078" s="6"/>
      <c r="M1078" s="6"/>
      <c r="N1078" s="6"/>
      <c r="O1078" s="7"/>
      <c r="P1078" s="6"/>
      <c r="Q1078" s="6"/>
      <c r="R1078" s="7"/>
      <c r="S1078" s="6"/>
      <c r="T1078" s="6"/>
      <c r="U1078" s="7"/>
      <c r="V1078" s="6"/>
      <c r="W1078" s="6"/>
      <c r="X1078" s="6"/>
      <c r="Y1078" s="12"/>
      <c r="Z1078" s="6"/>
      <c r="AA1078" s="7"/>
      <c r="AB1078" s="6"/>
      <c r="AC1078" s="6"/>
      <c r="AD1078" s="6"/>
      <c r="AE1078" s="12"/>
      <c r="AF1078" s="12"/>
      <c r="AG1078" s="12"/>
      <c r="AH1078" s="12"/>
      <c r="AI1078" s="6"/>
      <c r="AJ1078" s="12"/>
      <c r="AK1078" s="1"/>
      <c r="AL1078" s="12"/>
      <c r="AM1078" s="12"/>
      <c r="AN1078" s="1"/>
      <c r="AO1078" s="6"/>
    </row>
    <row r="1079" spans="1:41" ht="15" x14ac:dyDescent="0.25">
      <c r="A1079" s="1"/>
      <c r="B1079" s="1"/>
      <c r="C1079" s="1"/>
      <c r="D1079" s="1"/>
      <c r="E1079" s="6"/>
      <c r="F1079" s="1"/>
      <c r="G1079" s="6"/>
      <c r="H1079" s="6"/>
      <c r="I1079" s="6"/>
      <c r="J1079" s="6"/>
      <c r="K1079" s="6"/>
      <c r="L1079" s="6"/>
      <c r="M1079" s="6"/>
      <c r="N1079" s="6"/>
      <c r="O1079" s="7"/>
      <c r="P1079" s="6"/>
      <c r="Q1079" s="6"/>
      <c r="R1079" s="7"/>
      <c r="S1079" s="6"/>
      <c r="T1079" s="6"/>
      <c r="U1079" s="7"/>
      <c r="V1079" s="6"/>
      <c r="W1079" s="6"/>
      <c r="X1079" s="6"/>
      <c r="Y1079" s="6"/>
      <c r="Z1079" s="6"/>
      <c r="AA1079" s="7"/>
      <c r="AB1079" s="6"/>
      <c r="AC1079" s="6"/>
      <c r="AD1079" s="6"/>
      <c r="AE1079" s="12"/>
      <c r="AF1079" s="6"/>
      <c r="AG1079" s="12"/>
      <c r="AH1079" s="6"/>
      <c r="AI1079" s="6"/>
      <c r="AJ1079" s="12"/>
      <c r="AK1079" s="24"/>
      <c r="AL1079" s="25"/>
      <c r="AM1079" s="12"/>
      <c r="AN1079" s="1"/>
      <c r="AO1079" s="6"/>
    </row>
    <row r="1080" spans="1:41" ht="15" x14ac:dyDescent="0.25">
      <c r="A1080" s="1"/>
      <c r="B1080" s="1"/>
      <c r="C1080" s="1"/>
      <c r="D1080" s="1"/>
      <c r="E1080" s="6"/>
      <c r="F1080" s="1"/>
      <c r="G1080" s="6"/>
      <c r="H1080" s="6"/>
      <c r="I1080" s="6"/>
      <c r="J1080" s="6"/>
      <c r="K1080" s="6"/>
      <c r="L1080" s="6"/>
      <c r="M1080" s="6"/>
      <c r="N1080" s="6"/>
      <c r="O1080" s="7"/>
      <c r="P1080" s="6"/>
      <c r="Q1080" s="7"/>
      <c r="R1080" s="6"/>
      <c r="S1080" s="6"/>
      <c r="T1080" s="6"/>
      <c r="U1080" s="6"/>
      <c r="V1080" s="7"/>
      <c r="W1080" s="7"/>
      <c r="X1080" s="6"/>
      <c r="Y1080" s="6"/>
      <c r="Z1080" s="6"/>
      <c r="AA1080" s="1"/>
      <c r="AB1080" s="12"/>
      <c r="AC1080" s="12"/>
      <c r="AD1080" s="12"/>
      <c r="AE1080" s="12"/>
      <c r="AF1080" s="12"/>
      <c r="AG1080" s="12"/>
      <c r="AH1080" s="12"/>
      <c r="AI1080" s="6"/>
      <c r="AJ1080" s="12"/>
      <c r="AK1080" s="12"/>
      <c r="AL1080" s="12"/>
      <c r="AM1080" s="12"/>
      <c r="AN1080" s="1"/>
      <c r="AO1080" s="6"/>
    </row>
    <row r="1081" spans="1:41" ht="15" x14ac:dyDescent="0.25">
      <c r="A1081" s="1"/>
      <c r="B1081" s="1"/>
      <c r="C1081" s="1"/>
      <c r="D1081" s="1"/>
      <c r="E1081" s="6"/>
      <c r="F1081" s="1"/>
      <c r="G1081" s="6"/>
      <c r="H1081" s="6"/>
      <c r="I1081" s="6"/>
      <c r="J1081" s="6"/>
      <c r="K1081" s="6"/>
      <c r="L1081" s="6"/>
      <c r="M1081" s="6"/>
      <c r="N1081" s="6"/>
      <c r="O1081" s="7"/>
      <c r="P1081" s="6"/>
      <c r="Q1081" s="6"/>
      <c r="R1081" s="7"/>
      <c r="S1081" s="6"/>
      <c r="T1081" s="6"/>
      <c r="U1081" s="7"/>
      <c r="V1081" s="6"/>
      <c r="W1081" s="6"/>
      <c r="X1081" s="6"/>
      <c r="Y1081" s="6"/>
      <c r="Z1081" s="6"/>
      <c r="AA1081" s="7"/>
      <c r="AB1081" s="6"/>
      <c r="AC1081" s="6"/>
      <c r="AD1081" s="6"/>
      <c r="AE1081" s="12"/>
      <c r="AF1081" s="12"/>
      <c r="AG1081" s="12"/>
      <c r="AH1081" s="12"/>
      <c r="AI1081" s="6"/>
      <c r="AJ1081" s="12"/>
      <c r="AK1081" s="1"/>
      <c r="AL1081" s="12"/>
      <c r="AM1081" s="12"/>
      <c r="AN1081" s="1"/>
      <c r="AO1081" s="6"/>
    </row>
    <row r="1082" spans="1:41" ht="15" x14ac:dyDescent="0.25">
      <c r="A1082" s="1"/>
      <c r="B1082" s="1"/>
      <c r="C1082" s="1"/>
      <c r="D1082" s="1"/>
      <c r="E1082" s="6"/>
      <c r="F1082" s="1"/>
      <c r="G1082" s="6"/>
      <c r="H1082" s="6"/>
      <c r="I1082" s="6"/>
      <c r="J1082" s="6"/>
      <c r="K1082" s="6"/>
      <c r="L1082" s="6"/>
      <c r="M1082" s="6"/>
      <c r="N1082" s="6"/>
      <c r="O1082" s="7"/>
      <c r="P1082" s="6"/>
      <c r="Q1082" s="6"/>
      <c r="R1082" s="7"/>
      <c r="S1082" s="6"/>
      <c r="T1082" s="6"/>
      <c r="U1082" s="7"/>
      <c r="V1082" s="6"/>
      <c r="W1082" s="6"/>
      <c r="X1082" s="12"/>
      <c r="Y1082" s="6"/>
      <c r="Z1082" s="6"/>
      <c r="AA1082" s="7"/>
      <c r="AB1082" s="6"/>
      <c r="AC1082" s="6"/>
      <c r="AD1082" s="6"/>
      <c r="AE1082" s="12"/>
      <c r="AF1082" s="12"/>
      <c r="AG1082" s="12"/>
      <c r="AH1082" s="12"/>
      <c r="AI1082" s="6"/>
      <c r="AJ1082" s="12"/>
      <c r="AK1082" s="1"/>
      <c r="AL1082" s="12"/>
      <c r="AM1082" s="12"/>
      <c r="AN1082" s="1"/>
      <c r="AO1082" s="6"/>
    </row>
    <row r="1083" spans="1:41" ht="15" x14ac:dyDescent="0.25">
      <c r="A1083" s="1"/>
      <c r="B1083" s="1"/>
      <c r="C1083" s="1"/>
      <c r="D1083" s="1"/>
      <c r="E1083" s="6"/>
      <c r="F1083" s="1"/>
      <c r="G1083" s="6"/>
      <c r="H1083" s="6"/>
      <c r="I1083" s="6"/>
      <c r="J1083" s="6"/>
      <c r="K1083" s="6"/>
      <c r="L1083" s="6"/>
      <c r="M1083" s="6"/>
      <c r="N1083" s="6"/>
      <c r="O1083" s="7"/>
      <c r="P1083" s="6"/>
      <c r="Q1083" s="6"/>
      <c r="R1083" s="7"/>
      <c r="S1083" s="6"/>
      <c r="T1083" s="6"/>
      <c r="U1083" s="7"/>
      <c r="V1083" s="6"/>
      <c r="W1083" s="6"/>
      <c r="X1083" s="12"/>
      <c r="Y1083" s="6"/>
      <c r="Z1083" s="6"/>
      <c r="AA1083" s="7"/>
      <c r="AB1083" s="6"/>
      <c r="AC1083" s="6"/>
      <c r="AD1083" s="6"/>
      <c r="AE1083" s="12"/>
      <c r="AF1083" s="6"/>
      <c r="AG1083" s="12"/>
      <c r="AH1083" s="6"/>
      <c r="AI1083" s="6"/>
      <c r="AJ1083" s="12"/>
      <c r="AK1083" s="1"/>
      <c r="AL1083" s="12"/>
      <c r="AM1083" s="12"/>
      <c r="AN1083" s="1"/>
      <c r="AO1083" s="6"/>
    </row>
    <row r="1084" spans="1:41" ht="15" x14ac:dyDescent="0.25">
      <c r="A1084" s="1"/>
      <c r="B1084" s="1"/>
      <c r="C1084" s="1"/>
      <c r="D1084" s="1"/>
      <c r="E1084" s="6"/>
      <c r="F1084" s="1"/>
      <c r="G1084" s="6"/>
      <c r="H1084" s="6"/>
      <c r="I1084" s="6"/>
      <c r="J1084" s="6"/>
      <c r="K1084" s="6"/>
      <c r="L1084" s="6"/>
      <c r="M1084" s="6"/>
      <c r="N1084" s="6"/>
      <c r="O1084" s="7"/>
      <c r="P1084" s="12"/>
      <c r="Q1084" s="6"/>
      <c r="R1084" s="7"/>
      <c r="S1084" s="6"/>
      <c r="T1084" s="6"/>
      <c r="U1084" s="7"/>
      <c r="V1084" s="6"/>
      <c r="W1084" s="6"/>
      <c r="X1084" s="6"/>
      <c r="Y1084" s="6"/>
      <c r="Z1084" s="6"/>
      <c r="AA1084" s="7"/>
      <c r="AB1084" s="6"/>
      <c r="AC1084" s="6"/>
      <c r="AD1084" s="6"/>
      <c r="AE1084" s="12"/>
      <c r="AF1084" s="12"/>
      <c r="AG1084" s="12"/>
      <c r="AH1084" s="12"/>
      <c r="AI1084" s="6"/>
      <c r="AJ1084" s="12"/>
      <c r="AK1084" s="1"/>
      <c r="AL1084" s="12"/>
      <c r="AM1084" s="12"/>
      <c r="AN1084" s="1"/>
      <c r="AO1084" s="6"/>
    </row>
    <row r="1085" spans="1:41" ht="15" x14ac:dyDescent="0.25">
      <c r="A1085" s="1"/>
      <c r="B1085" s="1"/>
      <c r="C1085" s="1"/>
      <c r="D1085" s="1"/>
      <c r="E1085" s="6"/>
      <c r="F1085" s="1"/>
      <c r="G1085" s="6"/>
      <c r="H1085" s="6"/>
      <c r="I1085" s="6"/>
      <c r="J1085" s="6"/>
      <c r="K1085" s="12"/>
      <c r="L1085" s="12"/>
      <c r="M1085" s="6"/>
      <c r="N1085" s="6"/>
      <c r="O1085" s="7"/>
      <c r="P1085" s="12"/>
      <c r="Q1085" s="6"/>
      <c r="R1085" s="7"/>
      <c r="S1085" s="6"/>
      <c r="T1085" s="6"/>
      <c r="U1085" s="7"/>
      <c r="V1085" s="6"/>
      <c r="W1085" s="6"/>
      <c r="X1085" s="6"/>
      <c r="Y1085" s="6"/>
      <c r="Z1085" s="6"/>
      <c r="AA1085" s="7"/>
      <c r="AB1085" s="6"/>
      <c r="AC1085" s="6"/>
      <c r="AD1085" s="6"/>
      <c r="AE1085" s="12"/>
      <c r="AF1085" s="12"/>
      <c r="AG1085" s="12"/>
      <c r="AH1085" s="12"/>
      <c r="AI1085" s="6"/>
      <c r="AJ1085" s="12"/>
      <c r="AK1085" s="1"/>
      <c r="AL1085" s="12"/>
      <c r="AM1085" s="12"/>
      <c r="AN1085" s="1"/>
      <c r="AO1085" s="6"/>
    </row>
    <row r="1086" spans="1:41" ht="15" x14ac:dyDescent="0.25">
      <c r="A1086" s="1"/>
      <c r="B1086" s="1"/>
      <c r="C1086" s="1"/>
      <c r="D1086" s="1"/>
      <c r="E1086" s="6"/>
      <c r="F1086" s="1"/>
      <c r="G1086" s="6"/>
      <c r="H1086" s="6"/>
      <c r="I1086" s="6"/>
      <c r="J1086" s="6"/>
      <c r="K1086" s="6"/>
      <c r="L1086" s="6"/>
      <c r="M1086" s="6"/>
      <c r="N1086" s="6"/>
      <c r="O1086" s="7"/>
      <c r="P1086" s="12"/>
      <c r="Q1086" s="6"/>
      <c r="R1086" s="7"/>
      <c r="S1086" s="6"/>
      <c r="T1086" s="6"/>
      <c r="U1086" s="7"/>
      <c r="V1086" s="6"/>
      <c r="W1086" s="6"/>
      <c r="X1086" s="6"/>
      <c r="Y1086" s="6"/>
      <c r="Z1086" s="6"/>
      <c r="AA1086" s="15"/>
      <c r="AB1086" s="6"/>
      <c r="AC1086" s="6"/>
      <c r="AD1086" s="6"/>
      <c r="AE1086" s="12"/>
      <c r="AF1086" s="12"/>
      <c r="AG1086" s="12"/>
      <c r="AH1086" s="12"/>
      <c r="AI1086" s="6"/>
      <c r="AJ1086" s="12"/>
      <c r="AK1086" s="1"/>
      <c r="AL1086" s="12"/>
      <c r="AM1086" s="12"/>
      <c r="AN1086" s="1"/>
      <c r="AO1086" s="6"/>
    </row>
    <row r="1087" spans="1:41" ht="15" x14ac:dyDescent="0.25">
      <c r="A1087" s="1"/>
      <c r="B1087" s="1"/>
      <c r="C1087" s="1"/>
      <c r="D1087" s="1"/>
      <c r="E1087" s="6"/>
      <c r="F1087" s="1"/>
      <c r="G1087" s="6"/>
      <c r="H1087" s="6"/>
      <c r="I1087" s="6"/>
      <c r="J1087" s="6"/>
      <c r="K1087" s="6"/>
      <c r="L1087" s="6"/>
      <c r="M1087" s="6"/>
      <c r="N1087" s="6"/>
      <c r="O1087" s="7"/>
      <c r="P1087" s="6"/>
      <c r="Q1087" s="7"/>
      <c r="R1087" s="6"/>
      <c r="S1087" s="6"/>
      <c r="T1087" s="6"/>
      <c r="U1087" s="6"/>
      <c r="V1087" s="7"/>
      <c r="W1087" s="7"/>
      <c r="X1087" s="6"/>
      <c r="Y1087" s="6"/>
      <c r="Z1087" s="6"/>
      <c r="AA1087" s="1"/>
      <c r="AB1087" s="12"/>
      <c r="AC1087" s="12"/>
      <c r="AD1087" s="12"/>
      <c r="AE1087" s="12"/>
      <c r="AF1087" s="12"/>
      <c r="AG1087" s="12"/>
      <c r="AH1087" s="12"/>
      <c r="AI1087" s="6"/>
      <c r="AJ1087" s="12"/>
      <c r="AK1087" s="12"/>
      <c r="AL1087" s="12"/>
      <c r="AM1087" s="12"/>
      <c r="AN1087" s="1"/>
      <c r="AO1087" s="6"/>
    </row>
    <row r="1088" spans="1:41" ht="15" x14ac:dyDescent="0.25">
      <c r="A1088" s="1"/>
      <c r="B1088" s="1"/>
      <c r="C1088" s="1"/>
      <c r="D1088" s="1"/>
      <c r="E1088" s="6"/>
      <c r="F1088" s="1"/>
      <c r="G1088" s="6"/>
      <c r="H1088" s="6"/>
      <c r="I1088" s="6"/>
      <c r="J1088" s="6"/>
      <c r="K1088" s="6"/>
      <c r="L1088" s="6"/>
      <c r="M1088" s="6"/>
      <c r="N1088" s="6"/>
      <c r="O1088" s="7"/>
      <c r="P1088" s="6"/>
      <c r="Q1088" s="6"/>
      <c r="R1088" s="7"/>
      <c r="S1088" s="6"/>
      <c r="T1088" s="6"/>
      <c r="U1088" s="7"/>
      <c r="V1088" s="6"/>
      <c r="W1088" s="6"/>
      <c r="X1088" s="6"/>
      <c r="Y1088" s="6"/>
      <c r="Z1088" s="6"/>
      <c r="AA1088" s="7"/>
      <c r="AB1088" s="6"/>
      <c r="AC1088" s="6"/>
      <c r="AD1088" s="6"/>
      <c r="AE1088" s="12"/>
      <c r="AF1088" s="6"/>
      <c r="AG1088" s="12"/>
      <c r="AH1088" s="6"/>
      <c r="AI1088" s="6"/>
      <c r="AJ1088" s="12"/>
      <c r="AK1088" s="1"/>
      <c r="AL1088" s="12"/>
      <c r="AM1088" s="12"/>
      <c r="AN1088" s="1"/>
      <c r="AO1088" s="6"/>
    </row>
    <row r="1089" spans="1:41" ht="15" x14ac:dyDescent="0.25">
      <c r="A1089" s="1"/>
      <c r="B1089" s="1"/>
      <c r="C1089" s="1"/>
      <c r="D1089" s="1"/>
      <c r="E1089" s="6"/>
      <c r="F1089" s="1"/>
      <c r="G1089" s="6"/>
      <c r="H1089" s="6"/>
      <c r="I1089" s="6"/>
      <c r="J1089" s="6"/>
      <c r="K1089" s="6"/>
      <c r="L1089" s="6"/>
      <c r="M1089" s="6"/>
      <c r="N1089" s="6"/>
      <c r="O1089" s="7"/>
      <c r="P1089" s="12"/>
      <c r="Q1089" s="6"/>
      <c r="R1089" s="7"/>
      <c r="S1089" s="6"/>
      <c r="T1089" s="6"/>
      <c r="U1089" s="7"/>
      <c r="V1089" s="6"/>
      <c r="W1089" s="6"/>
      <c r="X1089" s="6"/>
      <c r="Y1089" s="6"/>
      <c r="Z1089" s="6"/>
      <c r="AA1089" s="7"/>
      <c r="AB1089" s="6"/>
      <c r="AC1089" s="6"/>
      <c r="AD1089" s="6"/>
      <c r="AE1089" s="12"/>
      <c r="AF1089" s="6"/>
      <c r="AG1089" s="12"/>
      <c r="AH1089" s="6"/>
      <c r="AI1089" s="6"/>
      <c r="AJ1089" s="12"/>
      <c r="AK1089" s="1"/>
      <c r="AL1089" s="12"/>
      <c r="AM1089" s="12"/>
      <c r="AN1089" s="1"/>
      <c r="AO1089" s="6"/>
    </row>
    <row r="1090" spans="1:41" ht="15" x14ac:dyDescent="0.25">
      <c r="A1090" s="1"/>
      <c r="B1090" s="1"/>
      <c r="C1090" s="1"/>
      <c r="D1090" s="1"/>
      <c r="E1090" s="6"/>
      <c r="F1090" s="1"/>
      <c r="G1090" s="6"/>
      <c r="H1090" s="6"/>
      <c r="I1090" s="6"/>
      <c r="J1090" s="6"/>
      <c r="K1090" s="6"/>
      <c r="L1090" s="6"/>
      <c r="M1090" s="6"/>
      <c r="N1090" s="6"/>
      <c r="O1090" s="7"/>
      <c r="P1090" s="12"/>
      <c r="Q1090" s="6"/>
      <c r="R1090" s="7"/>
      <c r="S1090" s="6"/>
      <c r="T1090" s="6"/>
      <c r="U1090" s="7"/>
      <c r="V1090" s="6"/>
      <c r="W1090" s="6"/>
      <c r="X1090" s="12"/>
      <c r="Y1090" s="6"/>
      <c r="Z1090" s="6"/>
      <c r="AA1090" s="7"/>
      <c r="AB1090" s="6"/>
      <c r="AC1090" s="6"/>
      <c r="AD1090" s="6"/>
      <c r="AE1090" s="12"/>
      <c r="AF1090" s="12"/>
      <c r="AG1090" s="12"/>
      <c r="AH1090" s="12"/>
      <c r="AI1090" s="6"/>
      <c r="AJ1090" s="12"/>
      <c r="AK1090" s="1"/>
      <c r="AL1090" s="12"/>
      <c r="AM1090" s="12"/>
      <c r="AN1090" s="1"/>
      <c r="AO1090" s="6"/>
    </row>
    <row r="1091" spans="1:41" ht="15" x14ac:dyDescent="0.25">
      <c r="A1091" s="1"/>
      <c r="B1091" s="1"/>
      <c r="C1091" s="1"/>
      <c r="D1091" s="1"/>
      <c r="E1091" s="6"/>
      <c r="F1091" s="1"/>
      <c r="G1091" s="6"/>
      <c r="H1091" s="6"/>
      <c r="I1091" s="6"/>
      <c r="J1091" s="6"/>
      <c r="K1091" s="6"/>
      <c r="L1091" s="6"/>
      <c r="M1091" s="6"/>
      <c r="N1091" s="6"/>
      <c r="O1091" s="7"/>
      <c r="P1091" s="6"/>
      <c r="Q1091" s="6"/>
      <c r="R1091" s="7"/>
      <c r="S1091" s="6"/>
      <c r="T1091" s="6"/>
      <c r="U1091" s="7"/>
      <c r="V1091" s="6"/>
      <c r="W1091" s="6"/>
      <c r="X1091" s="12"/>
      <c r="Y1091" s="6"/>
      <c r="Z1091" s="6"/>
      <c r="AA1091" s="7"/>
      <c r="AB1091" s="6"/>
      <c r="AC1091" s="6"/>
      <c r="AD1091" s="6"/>
      <c r="AE1091" s="12"/>
      <c r="AF1091" s="6"/>
      <c r="AG1091" s="12"/>
      <c r="AH1091" s="6"/>
      <c r="AI1091" s="6"/>
      <c r="AJ1091" s="12"/>
      <c r="AK1091" s="1"/>
      <c r="AL1091" s="12"/>
      <c r="AM1091" s="12"/>
      <c r="AN1091" s="1"/>
      <c r="AO1091" s="6"/>
    </row>
    <row r="1092" spans="1:41" ht="15" x14ac:dyDescent="0.25">
      <c r="A1092" s="1"/>
      <c r="B1092" s="1"/>
      <c r="C1092" s="1"/>
      <c r="D1092" s="1"/>
      <c r="E1092" s="6"/>
      <c r="F1092" s="1"/>
      <c r="G1092" s="6"/>
      <c r="H1092" s="6"/>
      <c r="I1092" s="6"/>
      <c r="J1092" s="6"/>
      <c r="K1092" s="6"/>
      <c r="L1092" s="6"/>
      <c r="M1092" s="6"/>
      <c r="N1092" s="6"/>
      <c r="O1092" s="7"/>
      <c r="P1092" s="6"/>
      <c r="Q1092" s="6"/>
      <c r="R1092" s="7"/>
      <c r="S1092" s="6"/>
      <c r="T1092" s="6"/>
      <c r="U1092" s="7"/>
      <c r="V1092" s="6"/>
      <c r="W1092" s="6"/>
      <c r="X1092" s="6"/>
      <c r="Y1092" s="6"/>
      <c r="Z1092" s="6"/>
      <c r="AA1092" s="7"/>
      <c r="AB1092" s="6"/>
      <c r="AC1092" s="6"/>
      <c r="AD1092" s="6"/>
      <c r="AE1092" s="12"/>
      <c r="AF1092" s="6"/>
      <c r="AG1092" s="12"/>
      <c r="AH1092" s="6"/>
      <c r="AI1092" s="6"/>
      <c r="AJ1092" s="12"/>
      <c r="AK1092" s="24"/>
      <c r="AL1092" s="25"/>
      <c r="AM1092" s="12"/>
      <c r="AN1092" s="1"/>
      <c r="AO1092" s="6"/>
    </row>
    <row r="1093" spans="1:41" ht="15" x14ac:dyDescent="0.25">
      <c r="A1093" s="1"/>
      <c r="B1093" s="1"/>
      <c r="C1093" s="1"/>
      <c r="D1093" s="1"/>
      <c r="E1093" s="6"/>
      <c r="F1093" s="1"/>
      <c r="G1093" s="6"/>
      <c r="H1093" s="6"/>
      <c r="I1093" s="6"/>
      <c r="J1093" s="6"/>
      <c r="K1093" s="6"/>
      <c r="L1093" s="6"/>
      <c r="M1093" s="6"/>
      <c r="N1093" s="6"/>
      <c r="O1093" s="7"/>
      <c r="P1093" s="6"/>
      <c r="Q1093" s="6"/>
      <c r="R1093" s="7"/>
      <c r="S1093" s="6"/>
      <c r="T1093" s="6"/>
      <c r="U1093" s="7"/>
      <c r="V1093" s="6"/>
      <c r="W1093" s="6"/>
      <c r="X1093" s="6"/>
      <c r="Y1093" s="6"/>
      <c r="Z1093" s="6"/>
      <c r="AA1093" s="7"/>
      <c r="AB1093" s="6"/>
      <c r="AC1093" s="6"/>
      <c r="AD1093" s="6"/>
      <c r="AE1093" s="12"/>
      <c r="AF1093" s="6"/>
      <c r="AG1093" s="12"/>
      <c r="AH1093" s="6"/>
      <c r="AI1093" s="6"/>
      <c r="AJ1093" s="12"/>
      <c r="AK1093" s="24"/>
      <c r="AL1093" s="25"/>
      <c r="AM1093" s="12"/>
      <c r="AN1093" s="1"/>
      <c r="AO1093" s="6"/>
    </row>
    <row r="1094" spans="1:41" ht="15" x14ac:dyDescent="0.25">
      <c r="A1094" s="1"/>
      <c r="B1094" s="1"/>
      <c r="C1094" s="1"/>
      <c r="D1094" s="1"/>
      <c r="E1094" s="6"/>
      <c r="F1094" s="1"/>
      <c r="G1094" s="6"/>
      <c r="H1094" s="6"/>
      <c r="I1094" s="6"/>
      <c r="J1094" s="6"/>
      <c r="K1094" s="6"/>
      <c r="L1094" s="6"/>
      <c r="M1094" s="6"/>
      <c r="N1094" s="6"/>
      <c r="O1094" s="7"/>
      <c r="P1094" s="12"/>
      <c r="Q1094" s="6"/>
      <c r="R1094" s="7"/>
      <c r="S1094" s="6"/>
      <c r="T1094" s="6"/>
      <c r="U1094" s="7"/>
      <c r="V1094" s="6"/>
      <c r="W1094" s="6"/>
      <c r="X1094" s="6"/>
      <c r="Y1094" s="6"/>
      <c r="Z1094" s="6"/>
      <c r="AA1094" s="7"/>
      <c r="AB1094" s="6"/>
      <c r="AC1094" s="6"/>
      <c r="AD1094" s="6"/>
      <c r="AE1094" s="12"/>
      <c r="AF1094" s="12"/>
      <c r="AG1094" s="12"/>
      <c r="AH1094" s="12"/>
      <c r="AI1094" s="6"/>
      <c r="AJ1094" s="12"/>
      <c r="AK1094" s="1"/>
      <c r="AL1094" s="12"/>
      <c r="AM1094" s="12"/>
      <c r="AN1094" s="1"/>
      <c r="AO1094" s="6"/>
    </row>
    <row r="1095" spans="1:41" ht="15" x14ac:dyDescent="0.25">
      <c r="A1095" s="1"/>
      <c r="B1095" s="1"/>
      <c r="C1095" s="1"/>
      <c r="D1095" s="1"/>
      <c r="E1095" s="6"/>
      <c r="F1095" s="1"/>
      <c r="G1095" s="6"/>
      <c r="H1095" s="6"/>
      <c r="I1095" s="6"/>
      <c r="J1095" s="6"/>
      <c r="K1095" s="6"/>
      <c r="L1095" s="6"/>
      <c r="M1095" s="6"/>
      <c r="N1095" s="6"/>
      <c r="O1095" s="7"/>
      <c r="P1095" s="12"/>
      <c r="Q1095" s="6"/>
      <c r="R1095" s="7"/>
      <c r="S1095" s="6"/>
      <c r="T1095" s="6"/>
      <c r="U1095" s="7"/>
      <c r="V1095" s="6"/>
      <c r="W1095" s="6"/>
      <c r="X1095" s="6"/>
      <c r="Y1095" s="6"/>
      <c r="Z1095" s="6"/>
      <c r="AA1095" s="7"/>
      <c r="AB1095" s="6"/>
      <c r="AC1095" s="6"/>
      <c r="AD1095" s="6"/>
      <c r="AE1095" s="12"/>
      <c r="AF1095" s="12"/>
      <c r="AG1095" s="12"/>
      <c r="AH1095" s="12"/>
      <c r="AI1095" s="6"/>
      <c r="AJ1095" s="12"/>
      <c r="AK1095" s="1"/>
      <c r="AL1095" s="12"/>
      <c r="AM1095" s="12"/>
      <c r="AN1095" s="1"/>
      <c r="AO1095" s="6"/>
    </row>
    <row r="1096" spans="1:41" ht="15" x14ac:dyDescent="0.25">
      <c r="A1096" s="1"/>
      <c r="B1096" s="1"/>
      <c r="C1096" s="1"/>
      <c r="D1096" s="1"/>
      <c r="E1096" s="6"/>
      <c r="F1096" s="1"/>
      <c r="G1096" s="6"/>
      <c r="H1096" s="6"/>
      <c r="I1096" s="6"/>
      <c r="J1096" s="6"/>
      <c r="K1096" s="6"/>
      <c r="L1096" s="6"/>
      <c r="M1096" s="6"/>
      <c r="N1096" s="6"/>
      <c r="O1096" s="7"/>
      <c r="P1096" s="6"/>
      <c r="Q1096" s="6"/>
      <c r="R1096" s="7"/>
      <c r="S1096" s="6"/>
      <c r="T1096" s="6"/>
      <c r="U1096" s="7"/>
      <c r="V1096" s="6"/>
      <c r="W1096" s="6"/>
      <c r="X1096" s="6"/>
      <c r="Y1096" s="6"/>
      <c r="Z1096" s="6"/>
      <c r="AA1096" s="7"/>
      <c r="AB1096" s="6"/>
      <c r="AC1096" s="6"/>
      <c r="AD1096" s="6"/>
      <c r="AE1096" s="12"/>
      <c r="AF1096" s="6"/>
      <c r="AG1096" s="12"/>
      <c r="AH1096" s="6"/>
      <c r="AI1096" s="6"/>
      <c r="AJ1096" s="12"/>
      <c r="AK1096" s="24"/>
      <c r="AL1096" s="25"/>
      <c r="AM1096" s="12"/>
      <c r="AN1096" s="1"/>
      <c r="AO1096" s="6"/>
    </row>
    <row r="1097" spans="1:41" ht="15" x14ac:dyDescent="0.25">
      <c r="A1097" s="1"/>
      <c r="B1097" s="1"/>
      <c r="C1097" s="1"/>
      <c r="D1097" s="1"/>
      <c r="E1097" s="6"/>
      <c r="F1097" s="1"/>
      <c r="G1097" s="6"/>
      <c r="H1097" s="6"/>
      <c r="I1097" s="6"/>
      <c r="J1097" s="6"/>
      <c r="K1097" s="6"/>
      <c r="L1097" s="6"/>
      <c r="M1097" s="6"/>
      <c r="N1097" s="6"/>
      <c r="O1097" s="7"/>
      <c r="P1097" s="6"/>
      <c r="Q1097" s="6"/>
      <c r="R1097" s="7"/>
      <c r="S1097" s="6"/>
      <c r="T1097" s="6"/>
      <c r="U1097" s="7"/>
      <c r="V1097" s="6"/>
      <c r="W1097" s="6"/>
      <c r="X1097" s="6"/>
      <c r="Y1097" s="6"/>
      <c r="Z1097" s="6"/>
      <c r="AA1097" s="7"/>
      <c r="AB1097" s="6"/>
      <c r="AC1097" s="6"/>
      <c r="AD1097" s="6"/>
      <c r="AE1097" s="12"/>
      <c r="AF1097" s="6"/>
      <c r="AG1097" s="12"/>
      <c r="AH1097" s="6"/>
      <c r="AI1097" s="6"/>
      <c r="AJ1097" s="12"/>
      <c r="AK1097" s="24"/>
      <c r="AL1097" s="25"/>
      <c r="AM1097" s="12"/>
      <c r="AN1097" s="1"/>
      <c r="AO1097" s="6"/>
    </row>
    <row r="1098" spans="1:41" ht="15" x14ac:dyDescent="0.25">
      <c r="A1098" s="1"/>
      <c r="B1098" s="1"/>
      <c r="C1098" s="1"/>
      <c r="D1098" s="1"/>
      <c r="E1098" s="6"/>
      <c r="F1098" s="1"/>
      <c r="G1098" s="6"/>
      <c r="H1098" s="6"/>
      <c r="I1098" s="6"/>
      <c r="J1098" s="6"/>
      <c r="K1098" s="6"/>
      <c r="L1098" s="6"/>
      <c r="M1098" s="6"/>
      <c r="N1098" s="6"/>
      <c r="O1098" s="7"/>
      <c r="P1098" s="6"/>
      <c r="Q1098" s="6"/>
      <c r="R1098" s="7"/>
      <c r="S1098" s="6"/>
      <c r="T1098" s="6"/>
      <c r="U1098" s="7"/>
      <c r="V1098" s="6"/>
      <c r="W1098" s="6"/>
      <c r="X1098" s="12"/>
      <c r="Y1098" s="6"/>
      <c r="Z1098" s="6"/>
      <c r="AA1098" s="7"/>
      <c r="AB1098" s="6"/>
      <c r="AC1098" s="6"/>
      <c r="AD1098" s="6"/>
      <c r="AE1098" s="12"/>
      <c r="AF1098" s="6"/>
      <c r="AG1098" s="12"/>
      <c r="AH1098" s="6"/>
      <c r="AI1098" s="6"/>
      <c r="AJ1098" s="12"/>
      <c r="AK1098" s="1"/>
      <c r="AL1098" s="12"/>
      <c r="AM1098" s="12"/>
      <c r="AN1098" s="1"/>
      <c r="AO1098" s="6"/>
    </row>
    <row r="1099" spans="1:41" ht="15" x14ac:dyDescent="0.25">
      <c r="A1099" s="1"/>
      <c r="B1099" s="1"/>
      <c r="C1099" s="1"/>
      <c r="D1099" s="1"/>
      <c r="E1099" s="6"/>
      <c r="F1099" s="1"/>
      <c r="G1099" s="6"/>
      <c r="H1099" s="6"/>
      <c r="I1099" s="6"/>
      <c r="J1099" s="6"/>
      <c r="K1099" s="6"/>
      <c r="L1099" s="6"/>
      <c r="M1099" s="6"/>
      <c r="N1099" s="6"/>
      <c r="O1099" s="7"/>
      <c r="P1099" s="6"/>
      <c r="Q1099" s="6"/>
      <c r="R1099" s="7"/>
      <c r="S1099" s="6"/>
      <c r="T1099" s="6"/>
      <c r="U1099" s="7"/>
      <c r="V1099" s="6"/>
      <c r="W1099" s="6"/>
      <c r="X1099" s="6"/>
      <c r="Y1099" s="6"/>
      <c r="Z1099" s="6"/>
      <c r="AA1099" s="7"/>
      <c r="AB1099" s="6"/>
      <c r="AC1099" s="6"/>
      <c r="AD1099" s="6"/>
      <c r="AE1099" s="12"/>
      <c r="AF1099" s="12"/>
      <c r="AG1099" s="12"/>
      <c r="AH1099" s="12"/>
      <c r="AI1099" s="6"/>
      <c r="AJ1099" s="12"/>
      <c r="AK1099" s="1"/>
      <c r="AL1099" s="12"/>
      <c r="AM1099" s="12"/>
      <c r="AN1099" s="1"/>
      <c r="AO1099" s="6"/>
    </row>
    <row r="1100" spans="1:41" ht="15" x14ac:dyDescent="0.25">
      <c r="A1100" s="1"/>
      <c r="B1100" s="1"/>
      <c r="C1100" s="1"/>
      <c r="D1100" s="1"/>
      <c r="E1100" s="6"/>
      <c r="F1100" s="1"/>
      <c r="G1100" s="6"/>
      <c r="H1100" s="6"/>
      <c r="I1100" s="6"/>
      <c r="J1100" s="6"/>
      <c r="K1100" s="6"/>
      <c r="L1100" s="6"/>
      <c r="M1100" s="6"/>
      <c r="N1100" s="6"/>
      <c r="O1100" s="7"/>
      <c r="P1100" s="6"/>
      <c r="Q1100" s="7"/>
      <c r="R1100" s="6"/>
      <c r="S1100" s="6"/>
      <c r="T1100" s="6"/>
      <c r="U1100" s="6"/>
      <c r="V1100" s="7"/>
      <c r="W1100" s="7"/>
      <c r="X1100" s="6"/>
      <c r="Y1100" s="6"/>
      <c r="Z1100" s="6"/>
      <c r="AA1100" s="1"/>
      <c r="AB1100" s="12"/>
      <c r="AC1100" s="12"/>
      <c r="AD1100" s="12"/>
      <c r="AE1100" s="12"/>
      <c r="AF1100" s="12"/>
      <c r="AG1100" s="12"/>
      <c r="AH1100" s="12"/>
      <c r="AI1100" s="6"/>
      <c r="AJ1100" s="12"/>
      <c r="AK1100" s="12"/>
      <c r="AL1100" s="12"/>
      <c r="AM1100" s="12"/>
      <c r="AN1100" s="1"/>
      <c r="AO1100" s="6"/>
    </row>
    <row r="1101" spans="1:41" ht="15" x14ac:dyDescent="0.25">
      <c r="A1101" s="1"/>
      <c r="B1101" s="1"/>
      <c r="C1101" s="1"/>
      <c r="D1101" s="1"/>
      <c r="E1101" s="6"/>
      <c r="F1101" s="1"/>
      <c r="G1101" s="6"/>
      <c r="H1101" s="6"/>
      <c r="I1101" s="6"/>
      <c r="J1101" s="6"/>
      <c r="K1101" s="6"/>
      <c r="L1101" s="6"/>
      <c r="M1101" s="6"/>
      <c r="N1101" s="6"/>
      <c r="O1101" s="7"/>
      <c r="P1101" s="6"/>
      <c r="Q1101" s="6"/>
      <c r="R1101" s="7"/>
      <c r="S1101" s="6"/>
      <c r="T1101" s="6"/>
      <c r="U1101" s="7"/>
      <c r="V1101" s="6"/>
      <c r="W1101" s="6"/>
      <c r="X1101" s="6"/>
      <c r="Y1101" s="6"/>
      <c r="Z1101" s="6"/>
      <c r="AA1101" s="7"/>
      <c r="AB1101" s="6"/>
      <c r="AC1101" s="6"/>
      <c r="AD1101" s="6"/>
      <c r="AE1101" s="12"/>
      <c r="AF1101" s="12"/>
      <c r="AG1101" s="12"/>
      <c r="AH1101" s="12"/>
      <c r="AI1101" s="6"/>
      <c r="AJ1101" s="12"/>
      <c r="AK1101" s="1"/>
      <c r="AL1101" s="12"/>
      <c r="AM1101" s="12"/>
      <c r="AN1101" s="1"/>
      <c r="AO1101" s="6"/>
    </row>
    <row r="1102" spans="1:41" ht="15" x14ac:dyDescent="0.25">
      <c r="A1102" s="1"/>
      <c r="B1102" s="1"/>
      <c r="C1102" s="1"/>
      <c r="D1102" s="1"/>
      <c r="E1102" s="6"/>
      <c r="F1102" s="1"/>
      <c r="G1102" s="6"/>
      <c r="H1102" s="6"/>
      <c r="I1102" s="6"/>
      <c r="J1102" s="6"/>
      <c r="K1102" s="6"/>
      <c r="L1102" s="6"/>
      <c r="M1102" s="6"/>
      <c r="N1102" s="6"/>
      <c r="O1102" s="7"/>
      <c r="P1102" s="6"/>
      <c r="Q1102" s="6"/>
      <c r="R1102" s="7"/>
      <c r="S1102" s="6"/>
      <c r="T1102" s="6"/>
      <c r="U1102" s="7"/>
      <c r="V1102" s="6"/>
      <c r="W1102" s="6"/>
      <c r="X1102" s="6"/>
      <c r="Y1102" s="6"/>
      <c r="Z1102" s="6"/>
      <c r="AA1102" s="7"/>
      <c r="AB1102" s="6"/>
      <c r="AC1102" s="6"/>
      <c r="AD1102" s="6"/>
      <c r="AE1102" s="12"/>
      <c r="AF1102" s="12"/>
      <c r="AG1102" s="12"/>
      <c r="AH1102" s="12"/>
      <c r="AI1102" s="6"/>
      <c r="AJ1102" s="12"/>
      <c r="AK1102" s="1"/>
      <c r="AL1102" s="12"/>
      <c r="AM1102" s="12"/>
      <c r="AN1102" s="1"/>
      <c r="AO1102" s="6"/>
    </row>
    <row r="1103" spans="1:41" ht="15" x14ac:dyDescent="0.25">
      <c r="A1103" s="1"/>
      <c r="B1103" s="1"/>
      <c r="C1103" s="1"/>
      <c r="D1103" s="1"/>
      <c r="E1103" s="6"/>
      <c r="F1103" s="1"/>
      <c r="G1103" s="6"/>
      <c r="H1103" s="6"/>
      <c r="I1103" s="6"/>
      <c r="J1103" s="6"/>
      <c r="K1103" s="12"/>
      <c r="L1103" s="12"/>
      <c r="M1103" s="6"/>
      <c r="N1103" s="6"/>
      <c r="O1103" s="7"/>
      <c r="P1103" s="6"/>
      <c r="Q1103" s="6"/>
      <c r="R1103" s="7"/>
      <c r="S1103" s="6"/>
      <c r="T1103" s="6"/>
      <c r="U1103" s="7"/>
      <c r="V1103" s="6"/>
      <c r="W1103" s="6"/>
      <c r="X1103" s="12"/>
      <c r="Y1103" s="6"/>
      <c r="Z1103" s="6"/>
      <c r="AA1103" s="7"/>
      <c r="AB1103" s="6"/>
      <c r="AC1103" s="6"/>
      <c r="AD1103" s="6"/>
      <c r="AE1103" s="12"/>
      <c r="AF1103" s="12"/>
      <c r="AG1103" s="12"/>
      <c r="AH1103" s="12"/>
      <c r="AI1103" s="6"/>
      <c r="AJ1103" s="12"/>
      <c r="AK1103" s="1"/>
      <c r="AL1103" s="12"/>
      <c r="AM1103" s="12"/>
      <c r="AN1103" s="1"/>
      <c r="AO1103" s="6"/>
    </row>
    <row r="1104" spans="1:41" ht="15" x14ac:dyDescent="0.25">
      <c r="A1104" s="1"/>
      <c r="B1104" s="1"/>
      <c r="C1104" s="1"/>
      <c r="D1104" s="1"/>
      <c r="E1104" s="6"/>
      <c r="F1104" s="1"/>
      <c r="G1104" s="6"/>
      <c r="H1104" s="6"/>
      <c r="I1104" s="6"/>
      <c r="J1104" s="6"/>
      <c r="K1104" s="6"/>
      <c r="L1104" s="6"/>
      <c r="M1104" s="6"/>
      <c r="N1104" s="6"/>
      <c r="O1104" s="7"/>
      <c r="P1104" s="6"/>
      <c r="Q1104" s="6"/>
      <c r="R1104" s="7"/>
      <c r="S1104" s="6"/>
      <c r="T1104" s="6"/>
      <c r="U1104" s="7"/>
      <c r="V1104" s="6"/>
      <c r="W1104" s="6"/>
      <c r="X1104" s="6"/>
      <c r="Y1104" s="6"/>
      <c r="Z1104" s="6"/>
      <c r="AA1104" s="7"/>
      <c r="AB1104" s="6"/>
      <c r="AC1104" s="6"/>
      <c r="AD1104" s="6"/>
      <c r="AE1104" s="12"/>
      <c r="AF1104" s="6"/>
      <c r="AG1104" s="12"/>
      <c r="AH1104" s="6"/>
      <c r="AI1104" s="6"/>
      <c r="AJ1104" s="12"/>
      <c r="AK1104" s="24"/>
      <c r="AL1104" s="25"/>
      <c r="AM1104" s="12"/>
      <c r="AN1104" s="1"/>
      <c r="AO1104" s="6"/>
    </row>
    <row r="1105" spans="1:41" ht="15" x14ac:dyDescent="0.25">
      <c r="A1105" s="1"/>
      <c r="B1105" s="1"/>
      <c r="C1105" s="1"/>
      <c r="D1105" s="1"/>
      <c r="E1105" s="6"/>
      <c r="F1105" s="1"/>
      <c r="G1105" s="6"/>
      <c r="H1105" s="6"/>
      <c r="I1105" s="6"/>
      <c r="J1105" s="6"/>
      <c r="K1105" s="6"/>
      <c r="L1105" s="6"/>
      <c r="M1105" s="6"/>
      <c r="N1105" s="6"/>
      <c r="O1105" s="7"/>
      <c r="P1105" s="6"/>
      <c r="Q1105" s="6"/>
      <c r="R1105" s="7"/>
      <c r="S1105" s="6"/>
      <c r="T1105" s="6"/>
      <c r="U1105" s="7"/>
      <c r="V1105" s="6"/>
      <c r="W1105" s="6"/>
      <c r="X1105" s="6"/>
      <c r="Y1105" s="6"/>
      <c r="Z1105" s="6"/>
      <c r="AA1105" s="7"/>
      <c r="AB1105" s="6"/>
      <c r="AC1105" s="6"/>
      <c r="AD1105" s="6"/>
      <c r="AE1105" s="12"/>
      <c r="AF1105" s="6"/>
      <c r="AG1105" s="12"/>
      <c r="AH1105" s="6"/>
      <c r="AI1105" s="6"/>
      <c r="AJ1105" s="12"/>
      <c r="AK1105" s="24"/>
      <c r="AL1105" s="25"/>
      <c r="AM1105" s="12"/>
      <c r="AN1105" s="1"/>
      <c r="AO1105" s="6"/>
    </row>
    <row r="1106" spans="1:41" ht="15" x14ac:dyDescent="0.25">
      <c r="A1106" s="1"/>
      <c r="B1106" s="1"/>
      <c r="C1106" s="1"/>
      <c r="D1106" s="1"/>
      <c r="E1106" s="6"/>
      <c r="F1106" s="1"/>
      <c r="G1106" s="6"/>
      <c r="H1106" s="6"/>
      <c r="I1106" s="6"/>
      <c r="J1106" s="6"/>
      <c r="K1106" s="12"/>
      <c r="L1106" s="6"/>
      <c r="M1106" s="6"/>
      <c r="N1106" s="6"/>
      <c r="O1106" s="7"/>
      <c r="P1106" s="6"/>
      <c r="Q1106" s="6"/>
      <c r="R1106" s="7"/>
      <c r="S1106" s="6"/>
      <c r="T1106" s="6"/>
      <c r="U1106" s="7"/>
      <c r="V1106" s="6"/>
      <c r="W1106" s="6"/>
      <c r="X1106" s="12"/>
      <c r="Y1106" s="6"/>
      <c r="Z1106" s="6"/>
      <c r="AA1106" s="7"/>
      <c r="AB1106" s="6"/>
      <c r="AC1106" s="6"/>
      <c r="AD1106" s="6"/>
      <c r="AE1106" s="12"/>
      <c r="AF1106" s="6"/>
      <c r="AG1106" s="12"/>
      <c r="AH1106" s="6"/>
      <c r="AI1106" s="6"/>
      <c r="AJ1106" s="12"/>
      <c r="AK1106" s="24"/>
      <c r="AL1106" s="25"/>
      <c r="AM1106" s="12"/>
      <c r="AN1106" s="1"/>
      <c r="AO1106" s="12"/>
    </row>
    <row r="1107" spans="1:41" ht="15" x14ac:dyDescent="0.25">
      <c r="A1107" s="1"/>
      <c r="B1107" s="1"/>
      <c r="C1107" s="1"/>
      <c r="D1107" s="1"/>
      <c r="E1107" s="6"/>
      <c r="F1107" s="1"/>
      <c r="G1107" s="6"/>
      <c r="H1107" s="6"/>
      <c r="I1107" s="6"/>
      <c r="J1107" s="6"/>
      <c r="K1107" s="6"/>
      <c r="L1107" s="6"/>
      <c r="M1107" s="6"/>
      <c r="N1107" s="6"/>
      <c r="O1107" s="7"/>
      <c r="P1107" s="6"/>
      <c r="Q1107" s="7"/>
      <c r="R1107" s="12"/>
      <c r="S1107" s="12"/>
      <c r="T1107" s="12"/>
      <c r="U1107" s="6"/>
      <c r="V1107" s="7"/>
      <c r="W1107" s="7"/>
      <c r="X1107" s="6"/>
      <c r="Y1107" s="6"/>
      <c r="Z1107" s="6"/>
      <c r="AA1107" s="24"/>
      <c r="AB1107" s="25"/>
      <c r="AC1107" s="12"/>
      <c r="AD1107" s="12"/>
      <c r="AE1107" s="12"/>
      <c r="AF1107" s="12"/>
      <c r="AG1107" s="12"/>
      <c r="AH1107" s="12"/>
      <c r="AI1107" s="6"/>
      <c r="AJ1107" s="12"/>
      <c r="AK1107" s="12"/>
      <c r="AL1107" s="12"/>
      <c r="AM1107" s="12"/>
      <c r="AN1107" s="1"/>
      <c r="AO1107" s="6"/>
    </row>
    <row r="1108" spans="1:41" ht="15" x14ac:dyDescent="0.25">
      <c r="A1108" s="1"/>
      <c r="B1108" s="1"/>
      <c r="C1108" s="1"/>
      <c r="D1108" s="1"/>
      <c r="E1108" s="6"/>
      <c r="F1108" s="1"/>
      <c r="G1108" s="6"/>
      <c r="H1108" s="6"/>
      <c r="I1108" s="6"/>
      <c r="J1108" s="6"/>
      <c r="K1108" s="6"/>
      <c r="L1108" s="6"/>
      <c r="M1108" s="6"/>
      <c r="N1108" s="6"/>
      <c r="O1108" s="7"/>
      <c r="P1108" s="6"/>
      <c r="Q1108" s="6"/>
      <c r="R1108" s="12"/>
      <c r="S1108" s="12"/>
      <c r="T1108" s="12"/>
      <c r="U1108" s="7"/>
      <c r="V1108" s="6"/>
      <c r="W1108" s="6"/>
      <c r="X1108" s="12"/>
      <c r="Y1108" s="6"/>
      <c r="Z1108" s="6"/>
      <c r="AA1108" s="7"/>
      <c r="AB1108" s="6"/>
      <c r="AC1108" s="6"/>
      <c r="AD1108" s="6"/>
      <c r="AE1108" s="12"/>
      <c r="AF1108" s="6"/>
      <c r="AG1108" s="12"/>
      <c r="AH1108" s="6"/>
      <c r="AI1108" s="6"/>
      <c r="AJ1108" s="12"/>
      <c r="AK1108" s="1"/>
      <c r="AL1108" s="12"/>
      <c r="AM1108" s="12"/>
      <c r="AN1108" s="1"/>
      <c r="AO1108" s="6"/>
    </row>
    <row r="1109" spans="1:41" ht="15" x14ac:dyDescent="0.25">
      <c r="A1109" s="1"/>
      <c r="B1109" s="1"/>
      <c r="C1109" s="1"/>
      <c r="D1109" s="1"/>
      <c r="E1109" s="6"/>
      <c r="F1109" s="1"/>
      <c r="G1109" s="6"/>
      <c r="H1109" s="6"/>
      <c r="I1109" s="6"/>
      <c r="J1109" s="6"/>
      <c r="K1109" s="6"/>
      <c r="L1109" s="6"/>
      <c r="M1109" s="6"/>
      <c r="N1109" s="6"/>
      <c r="O1109" s="7"/>
      <c r="P1109" s="6"/>
      <c r="Q1109" s="7"/>
      <c r="R1109" s="6"/>
      <c r="S1109" s="6"/>
      <c r="T1109" s="6"/>
      <c r="U1109" s="6"/>
      <c r="V1109" s="7"/>
      <c r="W1109" s="7"/>
      <c r="X1109" s="6"/>
      <c r="Y1109" s="6"/>
      <c r="Z1109" s="6"/>
      <c r="AA1109" s="1"/>
      <c r="AB1109" s="12"/>
      <c r="AC1109" s="12"/>
      <c r="AD1109" s="12"/>
      <c r="AE1109" s="12"/>
      <c r="AF1109" s="12"/>
      <c r="AG1109" s="12"/>
      <c r="AH1109" s="12"/>
      <c r="AI1109" s="6"/>
      <c r="AJ1109" s="12"/>
      <c r="AK1109" s="12"/>
      <c r="AL1109" s="12"/>
      <c r="AM1109" s="12"/>
      <c r="AN1109" s="1"/>
      <c r="AO1109" s="6"/>
    </row>
    <row r="1110" spans="1:41" ht="15" x14ac:dyDescent="0.25">
      <c r="A1110" s="1"/>
      <c r="B1110" s="1"/>
      <c r="C1110" s="1"/>
      <c r="D1110" s="1"/>
      <c r="E1110" s="6"/>
      <c r="F1110" s="1"/>
      <c r="G1110" s="6"/>
      <c r="H1110" s="6"/>
      <c r="I1110" s="6"/>
      <c r="J1110" s="6"/>
      <c r="K1110" s="6"/>
      <c r="L1110" s="6"/>
      <c r="M1110" s="6"/>
      <c r="N1110" s="6"/>
      <c r="O1110" s="7"/>
      <c r="P1110" s="6"/>
      <c r="Q1110" s="6"/>
      <c r="R1110" s="7"/>
      <c r="S1110" s="6"/>
      <c r="T1110" s="6"/>
      <c r="U1110" s="7"/>
      <c r="V1110" s="6"/>
      <c r="W1110" s="6"/>
      <c r="X1110" s="6"/>
      <c r="Y1110" s="6"/>
      <c r="Z1110" s="6"/>
      <c r="AA1110" s="7"/>
      <c r="AB1110" s="6"/>
      <c r="AC1110" s="6"/>
      <c r="AD1110" s="6"/>
      <c r="AE1110" s="12"/>
      <c r="AF1110" s="12"/>
      <c r="AG1110" s="12"/>
      <c r="AH1110" s="12"/>
      <c r="AI1110" s="6"/>
      <c r="AJ1110" s="12"/>
      <c r="AK1110" s="1"/>
      <c r="AL1110" s="12"/>
      <c r="AM1110" s="12"/>
      <c r="AN1110" s="1"/>
      <c r="AO1110" s="6"/>
    </row>
    <row r="1111" spans="1:41" ht="15" x14ac:dyDescent="0.25">
      <c r="A1111" s="1"/>
      <c r="B1111" s="1"/>
      <c r="C1111" s="1"/>
      <c r="D1111" s="1"/>
      <c r="E1111" s="6"/>
      <c r="F1111" s="1"/>
      <c r="G1111" s="6"/>
      <c r="H1111" s="6"/>
      <c r="I1111" s="6"/>
      <c r="J1111" s="6"/>
      <c r="K1111" s="6"/>
      <c r="L1111" s="6"/>
      <c r="M1111" s="6"/>
      <c r="N1111" s="6"/>
      <c r="O1111" s="7"/>
      <c r="P1111" s="6"/>
      <c r="Q1111" s="6"/>
      <c r="R1111" s="12"/>
      <c r="S1111" s="12"/>
      <c r="T1111" s="12"/>
      <c r="U1111" s="7"/>
      <c r="V1111" s="6"/>
      <c r="W1111" s="6"/>
      <c r="X1111" s="12"/>
      <c r="Y1111" s="6"/>
      <c r="Z1111" s="6"/>
      <c r="AA1111" s="7"/>
      <c r="AB1111" s="6"/>
      <c r="AC1111" s="6"/>
      <c r="AD1111" s="6"/>
      <c r="AE1111" s="12"/>
      <c r="AF1111" s="12"/>
      <c r="AG1111" s="12"/>
      <c r="AH1111" s="12"/>
      <c r="AI1111" s="6"/>
      <c r="AJ1111" s="12"/>
      <c r="AK1111" s="1"/>
      <c r="AL1111" s="12"/>
      <c r="AM1111" s="12"/>
      <c r="AN1111" s="1"/>
      <c r="AO1111" s="6"/>
    </row>
    <row r="1112" spans="1:41" ht="15" x14ac:dyDescent="0.25">
      <c r="A1112" s="1"/>
      <c r="B1112" s="1"/>
      <c r="C1112" s="1"/>
      <c r="D1112" s="1"/>
      <c r="E1112" s="6"/>
      <c r="F1112" s="1"/>
      <c r="G1112" s="6"/>
      <c r="H1112" s="6"/>
      <c r="I1112" s="6"/>
      <c r="J1112" s="6"/>
      <c r="K1112" s="12"/>
      <c r="L1112" s="12"/>
      <c r="M1112" s="6"/>
      <c r="N1112" s="6"/>
      <c r="O1112" s="7"/>
      <c r="P1112" s="12"/>
      <c r="Q1112" s="6"/>
      <c r="R1112" s="7"/>
      <c r="S1112" s="6"/>
      <c r="T1112" s="6"/>
      <c r="U1112" s="7"/>
      <c r="V1112" s="6"/>
      <c r="W1112" s="6"/>
      <c r="X1112" s="6"/>
      <c r="Y1112" s="6"/>
      <c r="Z1112" s="6"/>
      <c r="AA1112" s="7"/>
      <c r="AB1112" s="6"/>
      <c r="AC1112" s="6"/>
      <c r="AD1112" s="6"/>
      <c r="AE1112" s="12"/>
      <c r="AF1112" s="12"/>
      <c r="AG1112" s="12"/>
      <c r="AH1112" s="12"/>
      <c r="AI1112" s="6"/>
      <c r="AJ1112" s="12"/>
      <c r="AK1112" s="1"/>
      <c r="AL1112" s="12"/>
      <c r="AM1112" s="12"/>
      <c r="AN1112" s="1"/>
      <c r="AO1112" s="6"/>
    </row>
    <row r="1113" spans="1:41" ht="15" x14ac:dyDescent="0.25">
      <c r="A1113" s="1"/>
      <c r="B1113" s="1"/>
      <c r="C1113" s="1"/>
      <c r="D1113" s="1"/>
      <c r="E1113" s="6"/>
      <c r="F1113" s="1"/>
      <c r="G1113" s="6"/>
      <c r="H1113" s="6"/>
      <c r="I1113" s="6"/>
      <c r="J1113" s="6"/>
      <c r="K1113" s="6"/>
      <c r="L1113" s="6"/>
      <c r="M1113" s="6"/>
      <c r="N1113" s="6"/>
      <c r="O1113" s="7"/>
      <c r="P1113" s="6"/>
      <c r="Q1113" s="7"/>
      <c r="R1113" s="6"/>
      <c r="S1113" s="6"/>
      <c r="T1113" s="6"/>
      <c r="U1113" s="6"/>
      <c r="V1113" s="7"/>
      <c r="W1113" s="6"/>
      <c r="X1113" s="6"/>
      <c r="Y1113" s="6"/>
      <c r="Z1113" s="6"/>
      <c r="AA1113" s="1"/>
      <c r="AB1113" s="12"/>
      <c r="AC1113" s="12"/>
      <c r="AD1113" s="12"/>
      <c r="AE1113" s="12"/>
      <c r="AF1113" s="6"/>
      <c r="AG1113" s="12"/>
      <c r="AH1113" s="6"/>
      <c r="AI1113" s="6"/>
      <c r="AJ1113" s="12"/>
      <c r="AK1113" s="12"/>
      <c r="AL1113" s="12"/>
      <c r="AM1113" s="12"/>
      <c r="AN1113" s="1"/>
      <c r="AO1113" s="6"/>
    </row>
    <row r="1114" spans="1:41" ht="15" x14ac:dyDescent="0.25">
      <c r="A1114" s="1"/>
      <c r="B1114" s="1"/>
      <c r="C1114" s="1"/>
      <c r="D1114" s="1"/>
      <c r="E1114" s="6"/>
      <c r="F1114" s="1"/>
      <c r="G1114" s="6"/>
      <c r="H1114" s="6"/>
      <c r="I1114" s="6"/>
      <c r="J1114" s="6"/>
      <c r="K1114" s="6"/>
      <c r="L1114" s="6"/>
      <c r="M1114" s="6"/>
      <c r="N1114" s="6"/>
      <c r="O1114" s="7"/>
      <c r="P1114" s="6"/>
      <c r="Q1114" s="6"/>
      <c r="R1114" s="7"/>
      <c r="S1114" s="6"/>
      <c r="T1114" s="6"/>
      <c r="U1114" s="7"/>
      <c r="V1114" s="6"/>
      <c r="W1114" s="6"/>
      <c r="X1114" s="12"/>
      <c r="Y1114" s="6"/>
      <c r="Z1114" s="6"/>
      <c r="AA1114" s="7"/>
      <c r="AB1114" s="6"/>
      <c r="AC1114" s="6"/>
      <c r="AD1114" s="6"/>
      <c r="AE1114" s="12"/>
      <c r="AF1114" s="12"/>
      <c r="AG1114" s="12"/>
      <c r="AH1114" s="12"/>
      <c r="AI1114" s="6"/>
      <c r="AJ1114" s="12"/>
      <c r="AK1114" s="24"/>
      <c r="AL1114" s="25"/>
      <c r="AM1114" s="12"/>
      <c r="AN1114" s="1"/>
      <c r="AO1114" s="6"/>
    </row>
    <row r="1115" spans="1:41" ht="15" x14ac:dyDescent="0.25">
      <c r="A1115" s="1"/>
      <c r="B1115" s="1"/>
      <c r="C1115" s="1"/>
      <c r="D1115" s="1"/>
      <c r="E1115" s="6"/>
      <c r="F1115" s="1"/>
      <c r="G1115" s="6"/>
      <c r="H1115" s="6"/>
      <c r="I1115" s="6"/>
      <c r="J1115" s="6"/>
      <c r="K1115" s="6"/>
      <c r="L1115" s="6"/>
      <c r="M1115" s="6"/>
      <c r="N1115" s="6"/>
      <c r="O1115" s="7"/>
      <c r="P1115" s="6"/>
      <c r="Q1115" s="6"/>
      <c r="R1115" s="7"/>
      <c r="S1115" s="6"/>
      <c r="T1115" s="6"/>
      <c r="U1115" s="7"/>
      <c r="V1115" s="6"/>
      <c r="W1115" s="6"/>
      <c r="X1115" s="6"/>
      <c r="Y1115" s="6"/>
      <c r="Z1115" s="6"/>
      <c r="AA1115" s="7"/>
      <c r="AB1115" s="6"/>
      <c r="AC1115" s="6"/>
      <c r="AD1115" s="6"/>
      <c r="AE1115" s="12"/>
      <c r="AF1115" s="6"/>
      <c r="AG1115" s="12"/>
      <c r="AH1115" s="6"/>
      <c r="AI1115" s="6"/>
      <c r="AJ1115" s="12"/>
      <c r="AK1115" s="1"/>
      <c r="AL1115" s="12"/>
      <c r="AM1115" s="12"/>
      <c r="AN1115" s="1"/>
      <c r="AO1115" s="6"/>
    </row>
    <row r="1116" spans="1:41" ht="15" x14ac:dyDescent="0.25">
      <c r="A1116" s="1"/>
      <c r="B1116" s="1"/>
      <c r="C1116" s="1"/>
      <c r="D1116" s="1"/>
      <c r="E1116" s="6"/>
      <c r="F1116" s="1"/>
      <c r="G1116" s="6"/>
      <c r="H1116" s="6"/>
      <c r="I1116" s="6"/>
      <c r="J1116" s="6"/>
      <c r="K1116" s="6"/>
      <c r="L1116" s="6"/>
      <c r="M1116" s="6"/>
      <c r="N1116" s="6"/>
      <c r="O1116" s="7"/>
      <c r="P1116" s="12"/>
      <c r="Q1116" s="6"/>
      <c r="R1116" s="7"/>
      <c r="S1116" s="6"/>
      <c r="T1116" s="6"/>
      <c r="U1116" s="7"/>
      <c r="V1116" s="6"/>
      <c r="W1116" s="6"/>
      <c r="X1116" s="6"/>
      <c r="Y1116" s="6"/>
      <c r="Z1116" s="6"/>
      <c r="AA1116" s="7"/>
      <c r="AB1116" s="6"/>
      <c r="AC1116" s="6"/>
      <c r="AD1116" s="6"/>
      <c r="AE1116" s="12"/>
      <c r="AF1116" s="12"/>
      <c r="AG1116" s="12"/>
      <c r="AH1116" s="12"/>
      <c r="AI1116" s="6"/>
      <c r="AJ1116" s="12"/>
      <c r="AK1116" s="1"/>
      <c r="AL1116" s="12"/>
      <c r="AM1116" s="12"/>
      <c r="AN1116" s="1"/>
      <c r="AO1116" s="6"/>
    </row>
    <row r="1117" spans="1:41" ht="15" x14ac:dyDescent="0.25">
      <c r="A1117" s="1"/>
      <c r="B1117" s="1"/>
      <c r="C1117" s="1"/>
      <c r="D1117" s="1"/>
      <c r="E1117" s="6"/>
      <c r="F1117" s="1"/>
      <c r="G1117" s="6"/>
      <c r="H1117" s="6"/>
      <c r="I1117" s="6"/>
      <c r="J1117" s="6"/>
      <c r="K1117" s="6"/>
      <c r="L1117" s="6"/>
      <c r="M1117" s="6"/>
      <c r="N1117" s="6"/>
      <c r="O1117" s="7"/>
      <c r="P1117" s="6"/>
      <c r="Q1117" s="6"/>
      <c r="R1117" s="7"/>
      <c r="S1117" s="6"/>
      <c r="T1117" s="6"/>
      <c r="U1117" s="7"/>
      <c r="V1117" s="6"/>
      <c r="W1117" s="6"/>
      <c r="X1117" s="12"/>
      <c r="Y1117" s="6"/>
      <c r="Z1117" s="6"/>
      <c r="AA1117" s="7"/>
      <c r="AB1117" s="6"/>
      <c r="AC1117" s="6"/>
      <c r="AD1117" s="6"/>
      <c r="AE1117" s="12"/>
      <c r="AF1117" s="12"/>
      <c r="AG1117" s="12"/>
      <c r="AH1117" s="12"/>
      <c r="AI1117" s="6"/>
      <c r="AJ1117" s="12"/>
      <c r="AK1117" s="1"/>
      <c r="AL1117" s="12"/>
      <c r="AM1117" s="12"/>
      <c r="AN1117" s="1"/>
      <c r="AO1117" s="6"/>
    </row>
    <row r="1118" spans="1:41" ht="15" x14ac:dyDescent="0.25">
      <c r="A1118" s="1"/>
      <c r="B1118" s="1"/>
      <c r="C1118" s="1"/>
      <c r="D1118" s="1"/>
      <c r="E1118" s="6"/>
      <c r="F1118" s="1"/>
      <c r="G1118" s="6"/>
      <c r="H1118" s="6"/>
      <c r="I1118" s="6"/>
      <c r="J1118" s="6"/>
      <c r="K1118" s="6"/>
      <c r="L1118" s="6"/>
      <c r="M1118" s="6"/>
      <c r="N1118" s="6"/>
      <c r="O1118" s="7"/>
      <c r="P1118" s="6"/>
      <c r="Q1118" s="6"/>
      <c r="R1118" s="7"/>
      <c r="S1118" s="6"/>
      <c r="T1118" s="6"/>
      <c r="U1118" s="7"/>
      <c r="V1118" s="6"/>
      <c r="W1118" s="6"/>
      <c r="X1118" s="6"/>
      <c r="Y1118" s="6"/>
      <c r="Z1118" s="6"/>
      <c r="AA1118" s="7"/>
      <c r="AB1118" s="6"/>
      <c r="AC1118" s="6"/>
      <c r="AD1118" s="6"/>
      <c r="AE1118" s="12"/>
      <c r="AF1118" s="12"/>
      <c r="AG1118" s="12"/>
      <c r="AH1118" s="12"/>
      <c r="AI1118" s="6"/>
      <c r="AJ1118" s="12"/>
      <c r="AK1118" s="1"/>
      <c r="AL1118" s="12"/>
      <c r="AM1118" s="12"/>
      <c r="AN1118" s="1"/>
      <c r="AO1118" s="6"/>
    </row>
    <row r="1119" spans="1:41" ht="15" x14ac:dyDescent="0.25">
      <c r="A1119" s="1"/>
      <c r="B1119" s="1"/>
      <c r="C1119" s="1"/>
      <c r="D1119" s="1"/>
      <c r="E1119" s="6"/>
      <c r="F1119" s="1"/>
      <c r="G1119" s="6"/>
      <c r="H1119" s="6"/>
      <c r="I1119" s="6"/>
      <c r="J1119" s="6"/>
      <c r="K1119" s="6"/>
      <c r="L1119" s="6"/>
      <c r="M1119" s="6"/>
      <c r="N1119" s="6"/>
      <c r="O1119" s="7"/>
      <c r="P1119" s="6"/>
      <c r="Q1119" s="6"/>
      <c r="R1119" s="7"/>
      <c r="S1119" s="6"/>
      <c r="T1119" s="6"/>
      <c r="U1119" s="15"/>
      <c r="V1119" s="6"/>
      <c r="W1119" s="6"/>
      <c r="X1119" s="6"/>
      <c r="Y1119" s="6"/>
      <c r="Z1119" s="6"/>
      <c r="AA1119" s="7"/>
      <c r="AB1119" s="6"/>
      <c r="AC1119" s="6"/>
      <c r="AD1119" s="6"/>
      <c r="AE1119" s="12"/>
      <c r="AF1119" s="12"/>
      <c r="AG1119" s="12"/>
      <c r="AH1119" s="12"/>
      <c r="AI1119" s="6"/>
      <c r="AJ1119" s="12"/>
      <c r="AK1119" s="1"/>
      <c r="AL1119" s="12"/>
      <c r="AM1119" s="12"/>
      <c r="AN1119" s="1"/>
      <c r="AO1119" s="6"/>
    </row>
    <row r="1120" spans="1:41" ht="15" x14ac:dyDescent="0.25">
      <c r="A1120" s="1"/>
      <c r="B1120" s="1"/>
      <c r="C1120" s="1"/>
      <c r="D1120" s="1"/>
      <c r="E1120" s="6"/>
      <c r="F1120" s="1"/>
      <c r="G1120" s="6"/>
      <c r="H1120" s="6"/>
      <c r="I1120" s="6"/>
      <c r="J1120" s="6"/>
      <c r="K1120" s="6"/>
      <c r="L1120" s="6"/>
      <c r="M1120" s="6"/>
      <c r="N1120" s="6"/>
      <c r="O1120" s="7"/>
      <c r="P1120" s="6"/>
      <c r="Q1120" s="6"/>
      <c r="R1120" s="7"/>
      <c r="S1120" s="6"/>
      <c r="T1120" s="6"/>
      <c r="U1120" s="7"/>
      <c r="V1120" s="6"/>
      <c r="W1120" s="6"/>
      <c r="X1120" s="12"/>
      <c r="Y1120" s="6"/>
      <c r="Z1120" s="6"/>
      <c r="AA1120" s="7"/>
      <c r="AB1120" s="6"/>
      <c r="AC1120" s="6"/>
      <c r="AD1120" s="6"/>
      <c r="AE1120" s="12"/>
      <c r="AF1120" s="6"/>
      <c r="AG1120" s="12"/>
      <c r="AH1120" s="6"/>
      <c r="AI1120" s="6"/>
      <c r="AJ1120" s="12"/>
      <c r="AK1120" s="24"/>
      <c r="AL1120" s="25"/>
      <c r="AM1120" s="12"/>
      <c r="AN1120" s="1"/>
      <c r="AO1120" s="6"/>
    </row>
    <row r="1121" spans="1:41" ht="15" x14ac:dyDescent="0.25">
      <c r="A1121" s="1"/>
      <c r="B1121" s="1"/>
      <c r="C1121" s="1"/>
      <c r="D1121" s="1"/>
      <c r="E1121" s="6"/>
      <c r="F1121" s="1"/>
      <c r="G1121" s="6"/>
      <c r="H1121" s="6"/>
      <c r="I1121" s="6"/>
      <c r="J1121" s="6"/>
      <c r="K1121" s="6"/>
      <c r="L1121" s="6"/>
      <c r="M1121" s="6"/>
      <c r="N1121" s="6"/>
      <c r="O1121" s="7"/>
      <c r="P1121" s="12"/>
      <c r="Q1121" s="6"/>
      <c r="R1121" s="7"/>
      <c r="S1121" s="6"/>
      <c r="T1121" s="6"/>
      <c r="U1121" s="7"/>
      <c r="V1121" s="6"/>
      <c r="W1121" s="6"/>
      <c r="X1121" s="12"/>
      <c r="Y1121" s="6"/>
      <c r="Z1121" s="6"/>
      <c r="AA1121" s="7"/>
      <c r="AB1121" s="6"/>
      <c r="AC1121" s="6"/>
      <c r="AD1121" s="6"/>
      <c r="AE1121" s="12"/>
      <c r="AF1121" s="6"/>
      <c r="AG1121" s="12"/>
      <c r="AH1121" s="6"/>
      <c r="AI1121" s="6"/>
      <c r="AJ1121" s="12"/>
      <c r="AK1121" s="24"/>
      <c r="AL1121" s="25"/>
      <c r="AM1121" s="12"/>
      <c r="AN1121" s="1"/>
      <c r="AO1121" s="6"/>
    </row>
    <row r="1122" spans="1:41" ht="15" x14ac:dyDescent="0.25">
      <c r="A1122" s="1"/>
      <c r="B1122" s="1"/>
      <c r="C1122" s="1"/>
      <c r="D1122" s="1"/>
      <c r="E1122" s="6"/>
      <c r="F1122" s="1"/>
      <c r="G1122" s="6"/>
      <c r="H1122" s="6"/>
      <c r="I1122" s="6"/>
      <c r="J1122" s="6"/>
      <c r="K1122" s="6"/>
      <c r="L1122" s="6"/>
      <c r="M1122" s="6"/>
      <c r="N1122" s="6"/>
      <c r="O1122" s="7"/>
      <c r="P1122" s="6"/>
      <c r="Q1122" s="7"/>
      <c r="R1122" s="6"/>
      <c r="S1122" s="6"/>
      <c r="T1122" s="6"/>
      <c r="U1122" s="6"/>
      <c r="V1122" s="7"/>
      <c r="W1122" s="7"/>
      <c r="X1122" s="6"/>
      <c r="Y1122" s="6"/>
      <c r="Z1122" s="6"/>
      <c r="AA1122" s="1"/>
      <c r="AB1122" s="12"/>
      <c r="AC1122" s="12"/>
      <c r="AD1122" s="12"/>
      <c r="AE1122" s="12"/>
      <c r="AF1122" s="12"/>
      <c r="AG1122" s="12"/>
      <c r="AH1122" s="12"/>
      <c r="AI1122" s="6"/>
      <c r="AJ1122" s="12"/>
      <c r="AK1122" s="12"/>
      <c r="AL1122" s="12"/>
      <c r="AM1122" s="12"/>
      <c r="AN1122" s="1"/>
      <c r="AO1122" s="6"/>
    </row>
    <row r="1123" spans="1:41" ht="15" x14ac:dyDescent="0.25">
      <c r="A1123" s="1"/>
      <c r="B1123" s="1"/>
      <c r="C1123" s="1"/>
      <c r="D1123" s="1"/>
      <c r="E1123" s="6"/>
      <c r="F1123" s="1"/>
      <c r="G1123" s="6"/>
      <c r="H1123" s="6"/>
      <c r="I1123" s="6"/>
      <c r="J1123" s="6"/>
      <c r="K1123" s="6"/>
      <c r="L1123" s="6"/>
      <c r="M1123" s="6"/>
      <c r="N1123" s="6"/>
      <c r="O1123" s="7"/>
      <c r="P1123" s="6"/>
      <c r="Q1123" s="6"/>
      <c r="R1123" s="7"/>
      <c r="S1123" s="6"/>
      <c r="T1123" s="6"/>
      <c r="U1123" s="7"/>
      <c r="V1123" s="6"/>
      <c r="W1123" s="6"/>
      <c r="X1123" s="6"/>
      <c r="Y1123" s="6"/>
      <c r="Z1123" s="6"/>
      <c r="AA1123" s="7"/>
      <c r="AB1123" s="6"/>
      <c r="AC1123" s="6"/>
      <c r="AD1123" s="6"/>
      <c r="AE1123" s="12"/>
      <c r="AF1123" s="12"/>
      <c r="AG1123" s="12"/>
      <c r="AH1123" s="12"/>
      <c r="AI1123" s="6"/>
      <c r="AJ1123" s="12"/>
      <c r="AK1123" s="1"/>
      <c r="AL1123" s="12"/>
      <c r="AM1123" s="12"/>
      <c r="AN1123" s="1"/>
      <c r="AO1123" s="6"/>
    </row>
    <row r="1124" spans="1:41" ht="15" x14ac:dyDescent="0.25">
      <c r="A1124" s="1"/>
      <c r="B1124" s="1"/>
      <c r="C1124" s="1"/>
      <c r="D1124" s="1"/>
      <c r="E1124" s="6"/>
      <c r="F1124" s="1"/>
      <c r="G1124" s="6"/>
      <c r="H1124" s="6"/>
      <c r="I1124" s="6"/>
      <c r="J1124" s="6"/>
      <c r="K1124" s="6"/>
      <c r="L1124" s="6"/>
      <c r="M1124" s="6"/>
      <c r="N1124" s="6"/>
      <c r="O1124" s="7"/>
      <c r="P1124" s="6"/>
      <c r="Q1124" s="6"/>
      <c r="R1124" s="7"/>
      <c r="S1124" s="6"/>
      <c r="T1124" s="6"/>
      <c r="U1124" s="7"/>
      <c r="V1124" s="6"/>
      <c r="W1124" s="6"/>
      <c r="X1124" s="6"/>
      <c r="Y1124" s="6"/>
      <c r="Z1124" s="6"/>
      <c r="AA1124" s="7"/>
      <c r="AB1124" s="6"/>
      <c r="AC1124" s="6"/>
      <c r="AD1124" s="6"/>
      <c r="AE1124" s="12"/>
      <c r="AF1124" s="6"/>
      <c r="AG1124" s="12"/>
      <c r="AH1124" s="6"/>
      <c r="AI1124" s="6"/>
      <c r="AJ1124" s="12"/>
      <c r="AK1124" s="24"/>
      <c r="AL1124" s="25"/>
      <c r="AM1124" s="12"/>
      <c r="AN1124" s="1"/>
      <c r="AO1124" s="6"/>
    </row>
    <row r="1125" spans="1:41" ht="15" x14ac:dyDescent="0.25">
      <c r="A1125" s="1"/>
      <c r="B1125" s="1"/>
      <c r="C1125" s="1"/>
      <c r="D1125" s="1"/>
      <c r="E1125" s="6"/>
      <c r="F1125" s="1"/>
      <c r="G1125" s="6"/>
      <c r="H1125" s="6"/>
      <c r="I1125" s="6"/>
      <c r="J1125" s="6"/>
      <c r="K1125" s="6"/>
      <c r="L1125" s="6"/>
      <c r="M1125" s="6"/>
      <c r="N1125" s="6"/>
      <c r="O1125" s="7"/>
      <c r="P1125" s="6"/>
      <c r="Q1125" s="6"/>
      <c r="R1125" s="7"/>
      <c r="S1125" s="6"/>
      <c r="T1125" s="6"/>
      <c r="U1125" s="7"/>
      <c r="V1125" s="6"/>
      <c r="W1125" s="6"/>
      <c r="X1125" s="6"/>
      <c r="Y1125" s="6"/>
      <c r="Z1125" s="6"/>
      <c r="AA1125" s="7"/>
      <c r="AB1125" s="6"/>
      <c r="AC1125" s="6"/>
      <c r="AD1125" s="6"/>
      <c r="AE1125" s="12"/>
      <c r="AF1125" s="6"/>
      <c r="AG1125" s="12"/>
      <c r="AH1125" s="6"/>
      <c r="AI1125" s="6"/>
      <c r="AJ1125" s="12"/>
      <c r="AK1125" s="24"/>
      <c r="AL1125" s="25"/>
      <c r="AM1125" s="12"/>
      <c r="AN1125" s="1"/>
      <c r="AO1125" s="6"/>
    </row>
    <row r="1126" spans="1:41" ht="15" x14ac:dyDescent="0.25">
      <c r="A1126" s="1"/>
      <c r="B1126" s="1"/>
      <c r="C1126" s="1"/>
      <c r="D1126" s="1"/>
      <c r="E1126" s="6"/>
      <c r="F1126" s="1"/>
      <c r="G1126" s="6"/>
      <c r="H1126" s="6"/>
      <c r="I1126" s="6"/>
      <c r="J1126" s="6"/>
      <c r="K1126" s="6"/>
      <c r="L1126" s="6"/>
      <c r="M1126" s="6"/>
      <c r="N1126" s="6"/>
      <c r="O1126" s="7"/>
      <c r="P1126" s="6"/>
      <c r="Q1126" s="6"/>
      <c r="R1126" s="7"/>
      <c r="S1126" s="6"/>
      <c r="T1126" s="6"/>
      <c r="U1126" s="7"/>
      <c r="V1126" s="6"/>
      <c r="W1126" s="6"/>
      <c r="X1126" s="12"/>
      <c r="Y1126" s="6"/>
      <c r="Z1126" s="6"/>
      <c r="AA1126" s="7"/>
      <c r="AB1126" s="6"/>
      <c r="AC1126" s="6"/>
      <c r="AD1126" s="6"/>
      <c r="AE1126" s="12"/>
      <c r="AF1126" s="12"/>
      <c r="AG1126" s="12"/>
      <c r="AH1126" s="12"/>
      <c r="AI1126" s="6"/>
      <c r="AJ1126" s="12"/>
      <c r="AK1126" s="1"/>
      <c r="AL1126" s="12"/>
      <c r="AM1126" s="12"/>
      <c r="AN1126" s="1"/>
      <c r="AO1126" s="6"/>
    </row>
    <row r="1127" spans="1:41" ht="15" x14ac:dyDescent="0.25">
      <c r="A1127" s="1"/>
      <c r="B1127" s="1"/>
      <c r="C1127" s="1"/>
      <c r="D1127" s="1"/>
      <c r="E1127" s="6"/>
      <c r="F1127" s="1"/>
      <c r="G1127" s="6"/>
      <c r="H1127" s="6"/>
      <c r="I1127" s="6"/>
      <c r="J1127" s="6"/>
      <c r="K1127" s="12"/>
      <c r="L1127" s="12"/>
      <c r="M1127" s="6"/>
      <c r="N1127" s="6"/>
      <c r="O1127" s="7"/>
      <c r="P1127" s="6"/>
      <c r="Q1127" s="6"/>
      <c r="R1127" s="7"/>
      <c r="S1127" s="6"/>
      <c r="T1127" s="6"/>
      <c r="U1127" s="7"/>
      <c r="V1127" s="6"/>
      <c r="W1127" s="6"/>
      <c r="X1127" s="12"/>
      <c r="Y1127" s="6"/>
      <c r="Z1127" s="6"/>
      <c r="AA1127" s="7"/>
      <c r="AB1127" s="6"/>
      <c r="AC1127" s="6"/>
      <c r="AD1127" s="6"/>
      <c r="AE1127" s="12"/>
      <c r="AF1127" s="12"/>
      <c r="AG1127" s="12"/>
      <c r="AH1127" s="12"/>
      <c r="AI1127" s="6"/>
      <c r="AJ1127" s="12"/>
      <c r="AK1127" s="1"/>
      <c r="AL1127" s="12"/>
      <c r="AM1127" s="12"/>
      <c r="AN1127" s="1"/>
      <c r="AO1127" s="6"/>
    </row>
    <row r="1128" spans="1:41" ht="15" x14ac:dyDescent="0.25">
      <c r="A1128" s="1"/>
      <c r="B1128" s="1"/>
      <c r="C1128" s="1"/>
      <c r="D1128" s="1"/>
      <c r="E1128" s="6"/>
      <c r="F1128" s="1"/>
      <c r="G1128" s="6"/>
      <c r="H1128" s="6"/>
      <c r="I1128" s="6"/>
      <c r="J1128" s="6"/>
      <c r="K1128" s="6"/>
      <c r="L1128" s="6"/>
      <c r="M1128" s="6"/>
      <c r="N1128" s="6"/>
      <c r="O1128" s="7"/>
      <c r="P1128" s="12"/>
      <c r="Q1128" s="6"/>
      <c r="R1128" s="7"/>
      <c r="S1128" s="6"/>
      <c r="T1128" s="6"/>
      <c r="U1128" s="7"/>
      <c r="V1128" s="6"/>
      <c r="W1128" s="6"/>
      <c r="X1128" s="6"/>
      <c r="Y1128" s="6"/>
      <c r="Z1128" s="6"/>
      <c r="AA1128" s="7"/>
      <c r="AB1128" s="6"/>
      <c r="AC1128" s="6"/>
      <c r="AD1128" s="6"/>
      <c r="AE1128" s="12"/>
      <c r="AF1128" s="6"/>
      <c r="AG1128" s="12"/>
      <c r="AH1128" s="6"/>
      <c r="AI1128" s="6"/>
      <c r="AJ1128" s="12"/>
      <c r="AK1128" s="24"/>
      <c r="AL1128" s="25"/>
      <c r="AM1128" s="12"/>
      <c r="AN1128" s="1"/>
      <c r="AO1128" s="6"/>
    </row>
    <row r="1129" spans="1:41" ht="15" x14ac:dyDescent="0.25">
      <c r="A1129" s="1"/>
      <c r="B1129" s="1"/>
      <c r="C1129" s="1"/>
      <c r="D1129" s="1"/>
      <c r="E1129" s="6"/>
      <c r="F1129" s="1"/>
      <c r="G1129" s="6"/>
      <c r="H1129" s="6"/>
      <c r="I1129" s="6"/>
      <c r="J1129" s="6"/>
      <c r="K1129" s="12"/>
      <c r="L1129" s="12"/>
      <c r="M1129" s="6"/>
      <c r="N1129" s="6"/>
      <c r="O1129" s="7"/>
      <c r="P1129" s="6"/>
      <c r="Q1129" s="6"/>
      <c r="R1129" s="7"/>
      <c r="S1129" s="6"/>
      <c r="T1129" s="6"/>
      <c r="U1129" s="7"/>
      <c r="V1129" s="6"/>
      <c r="W1129" s="6"/>
      <c r="X1129" s="6"/>
      <c r="Y1129" s="6"/>
      <c r="Z1129" s="6"/>
      <c r="AA1129" s="15"/>
      <c r="AB1129" s="6"/>
      <c r="AC1129" s="6"/>
      <c r="AD1129" s="6"/>
      <c r="AE1129" s="12"/>
      <c r="AF1129" s="12"/>
      <c r="AG1129" s="12"/>
      <c r="AH1129" s="12"/>
      <c r="AI1129" s="6"/>
      <c r="AJ1129" s="12"/>
      <c r="AK1129" s="1"/>
      <c r="AL1129" s="12"/>
      <c r="AM1129" s="12"/>
      <c r="AN1129" s="1"/>
      <c r="AO1129" s="6"/>
    </row>
    <row r="1130" spans="1:41" ht="15" x14ac:dyDescent="0.25">
      <c r="A1130" s="1"/>
      <c r="B1130" s="1"/>
      <c r="C1130" s="1"/>
      <c r="D1130" s="1"/>
      <c r="E1130" s="6"/>
      <c r="F1130" s="1"/>
      <c r="G1130" s="6"/>
      <c r="H1130" s="6"/>
      <c r="I1130" s="6"/>
      <c r="J1130" s="6"/>
      <c r="K1130" s="6"/>
      <c r="L1130" s="6"/>
      <c r="M1130" s="6"/>
      <c r="N1130" s="6"/>
      <c r="O1130" s="7"/>
      <c r="P1130" s="6"/>
      <c r="Q1130" s="6"/>
      <c r="R1130" s="7"/>
      <c r="S1130" s="6"/>
      <c r="T1130" s="6"/>
      <c r="U1130" s="7"/>
      <c r="V1130" s="6"/>
      <c r="W1130" s="6"/>
      <c r="X1130" s="12"/>
      <c r="Y1130" s="6"/>
      <c r="Z1130" s="6"/>
      <c r="AA1130" s="7"/>
      <c r="AB1130" s="6"/>
      <c r="AC1130" s="6"/>
      <c r="AD1130" s="6"/>
      <c r="AE1130" s="12"/>
      <c r="AF1130" s="12"/>
      <c r="AG1130" s="12"/>
      <c r="AH1130" s="12"/>
      <c r="AI1130" s="6"/>
      <c r="AJ1130" s="12"/>
      <c r="AK1130" s="1"/>
      <c r="AL1130" s="12"/>
      <c r="AM1130" s="12"/>
      <c r="AN1130" s="1"/>
      <c r="AO1130" s="6"/>
    </row>
    <row r="1131" spans="1:41" ht="15" x14ac:dyDescent="0.25">
      <c r="A1131" s="1"/>
      <c r="B1131" s="1"/>
      <c r="C1131" s="1"/>
      <c r="D1131" s="1"/>
      <c r="E1131" s="6"/>
      <c r="F1131" s="1"/>
      <c r="G1131" s="6"/>
      <c r="H1131" s="6"/>
      <c r="I1131" s="6"/>
      <c r="J1131" s="6"/>
      <c r="K1131" s="6"/>
      <c r="L1131" s="6"/>
      <c r="M1131" s="6"/>
      <c r="N1131" s="6"/>
      <c r="O1131" s="7"/>
      <c r="P1131" s="6"/>
      <c r="Q1131" s="6"/>
      <c r="R1131" s="7"/>
      <c r="S1131" s="6"/>
      <c r="T1131" s="6"/>
      <c r="U1131" s="7"/>
      <c r="V1131" s="6"/>
      <c r="W1131" s="6"/>
      <c r="X1131" s="12"/>
      <c r="Y1131" s="6"/>
      <c r="Z1131" s="6"/>
      <c r="AA1131" s="7"/>
      <c r="AB1131" s="6"/>
      <c r="AC1131" s="6"/>
      <c r="AD1131" s="6"/>
      <c r="AE1131" s="12"/>
      <c r="AF1131" s="6"/>
      <c r="AG1131" s="12"/>
      <c r="AH1131" s="6"/>
      <c r="AI1131" s="6"/>
      <c r="AJ1131" s="12"/>
      <c r="AK1131" s="1"/>
      <c r="AL1131" s="12"/>
      <c r="AM1131" s="12"/>
      <c r="AN1131" s="1"/>
      <c r="AO1131" s="6"/>
    </row>
    <row r="1132" spans="1:41" ht="15" x14ac:dyDescent="0.25">
      <c r="A1132" s="1"/>
      <c r="B1132" s="1"/>
      <c r="C1132" s="1"/>
      <c r="D1132" s="1"/>
      <c r="E1132" s="6"/>
      <c r="F1132" s="1"/>
      <c r="G1132" s="6"/>
      <c r="H1132" s="6"/>
      <c r="I1132" s="6"/>
      <c r="J1132" s="6"/>
      <c r="K1132" s="12"/>
      <c r="L1132" s="12"/>
      <c r="M1132" s="6"/>
      <c r="N1132" s="6"/>
      <c r="O1132" s="7"/>
      <c r="P1132" s="6"/>
      <c r="Q1132" s="6"/>
      <c r="R1132" s="7"/>
      <c r="S1132" s="6"/>
      <c r="T1132" s="6"/>
      <c r="U1132" s="7"/>
      <c r="V1132" s="6"/>
      <c r="W1132" s="6"/>
      <c r="X1132" s="6"/>
      <c r="Y1132" s="6"/>
      <c r="Z1132" s="6"/>
      <c r="AA1132" s="7"/>
      <c r="AB1132" s="6"/>
      <c r="AC1132" s="6"/>
      <c r="AD1132" s="6"/>
      <c r="AE1132" s="12"/>
      <c r="AF1132" s="12"/>
      <c r="AG1132" s="12"/>
      <c r="AH1132" s="12"/>
      <c r="AI1132" s="6"/>
      <c r="AJ1132" s="12"/>
      <c r="AK1132" s="1"/>
      <c r="AL1132" s="12"/>
      <c r="AM1132" s="12"/>
      <c r="AN1132" s="1"/>
      <c r="AO1132" s="6"/>
    </row>
    <row r="1133" spans="1:41" ht="15" x14ac:dyDescent="0.25">
      <c r="A1133" s="1"/>
      <c r="B1133" s="1"/>
      <c r="C1133" s="1"/>
      <c r="D1133" s="1"/>
      <c r="E1133" s="6"/>
      <c r="F1133" s="1"/>
      <c r="G1133" s="6"/>
      <c r="H1133" s="6"/>
      <c r="I1133" s="6"/>
      <c r="J1133" s="6"/>
      <c r="K1133" s="6"/>
      <c r="L1133" s="6"/>
      <c r="M1133" s="6"/>
      <c r="N1133" s="6"/>
      <c r="O1133" s="7"/>
      <c r="P1133" s="12"/>
      <c r="Q1133" s="6"/>
      <c r="R1133" s="7"/>
      <c r="S1133" s="6"/>
      <c r="T1133" s="6"/>
      <c r="U1133" s="7"/>
      <c r="V1133" s="6"/>
      <c r="W1133" s="6"/>
      <c r="X1133" s="6"/>
      <c r="Y1133" s="6"/>
      <c r="Z1133" s="6"/>
      <c r="AA1133" s="7"/>
      <c r="AB1133" s="6"/>
      <c r="AC1133" s="6"/>
      <c r="AD1133" s="6"/>
      <c r="AE1133" s="12"/>
      <c r="AF1133" s="6"/>
      <c r="AG1133" s="12"/>
      <c r="AH1133" s="6"/>
      <c r="AI1133" s="6"/>
      <c r="AJ1133" s="12"/>
      <c r="AK1133" s="1"/>
      <c r="AL1133" s="12"/>
      <c r="AM1133" s="12"/>
      <c r="AN1133" s="1"/>
      <c r="AO1133" s="6"/>
    </row>
    <row r="1134" spans="1:41" ht="15" x14ac:dyDescent="0.25">
      <c r="A1134" s="1"/>
      <c r="B1134" s="1"/>
      <c r="C1134" s="1"/>
      <c r="D1134" s="1"/>
      <c r="E1134" s="6"/>
      <c r="F1134" s="1"/>
      <c r="G1134" s="6"/>
      <c r="H1134" s="6"/>
      <c r="I1134" s="6"/>
      <c r="J1134" s="6"/>
      <c r="K1134" s="6"/>
      <c r="L1134" s="6"/>
      <c r="M1134" s="6"/>
      <c r="N1134" s="6"/>
      <c r="O1134" s="7"/>
      <c r="P1134" s="12"/>
      <c r="Q1134" s="6"/>
      <c r="R1134" s="7"/>
      <c r="S1134" s="6"/>
      <c r="T1134" s="6"/>
      <c r="U1134" s="7"/>
      <c r="V1134" s="6"/>
      <c r="W1134" s="6"/>
      <c r="X1134" s="6"/>
      <c r="Y1134" s="6"/>
      <c r="Z1134" s="6"/>
      <c r="AA1134" s="7"/>
      <c r="AB1134" s="6"/>
      <c r="AC1134" s="6"/>
      <c r="AD1134" s="6"/>
      <c r="AE1134" s="12"/>
      <c r="AF1134" s="12"/>
      <c r="AG1134" s="12"/>
      <c r="AH1134" s="12"/>
      <c r="AI1134" s="6"/>
      <c r="AJ1134" s="12"/>
      <c r="AK1134" s="1"/>
      <c r="AL1134" s="12"/>
      <c r="AM1134" s="12"/>
      <c r="AN1134" s="1"/>
      <c r="AO1134" s="6"/>
    </row>
    <row r="1135" spans="1:41" ht="15" x14ac:dyDescent="0.25">
      <c r="A1135" s="1"/>
      <c r="B1135" s="1"/>
      <c r="C1135" s="1"/>
      <c r="D1135" s="1"/>
      <c r="E1135" s="6"/>
      <c r="F1135" s="1"/>
      <c r="G1135" s="6"/>
      <c r="H1135" s="6"/>
      <c r="I1135" s="6"/>
      <c r="J1135" s="6"/>
      <c r="K1135" s="6"/>
      <c r="L1135" s="6"/>
      <c r="M1135" s="6"/>
      <c r="N1135" s="6"/>
      <c r="O1135" s="7"/>
      <c r="P1135" s="6"/>
      <c r="Q1135" s="6"/>
      <c r="R1135" s="12"/>
      <c r="S1135" s="12"/>
      <c r="T1135" s="12"/>
      <c r="U1135" s="7"/>
      <c r="V1135" s="6"/>
      <c r="W1135" s="6"/>
      <c r="X1135" s="12"/>
      <c r="Y1135" s="6"/>
      <c r="Z1135" s="6"/>
      <c r="AA1135" s="7"/>
      <c r="AB1135" s="6"/>
      <c r="AC1135" s="6"/>
      <c r="AD1135" s="6"/>
      <c r="AE1135" s="12"/>
      <c r="AF1135" s="6"/>
      <c r="AG1135" s="12"/>
      <c r="AH1135" s="6"/>
      <c r="AI1135" s="6"/>
      <c r="AJ1135" s="12"/>
      <c r="AK1135" s="1"/>
      <c r="AL1135" s="12"/>
      <c r="AM1135" s="12"/>
      <c r="AN1135" s="1"/>
      <c r="AO1135" s="6"/>
    </row>
    <row r="1136" spans="1:41" ht="15" x14ac:dyDescent="0.25">
      <c r="A1136" s="1"/>
      <c r="B1136" s="1"/>
      <c r="C1136" s="1"/>
      <c r="D1136" s="1"/>
      <c r="E1136" s="6"/>
      <c r="F1136" s="1"/>
      <c r="G1136" s="6"/>
      <c r="H1136" s="6"/>
      <c r="I1136" s="6"/>
      <c r="J1136" s="6"/>
      <c r="K1136" s="6"/>
      <c r="L1136" s="6"/>
      <c r="M1136" s="6"/>
      <c r="N1136" s="6"/>
      <c r="O1136" s="7"/>
      <c r="P1136" s="6"/>
      <c r="Q1136" s="6"/>
      <c r="R1136" s="12"/>
      <c r="S1136" s="12"/>
      <c r="T1136" s="12"/>
      <c r="U1136" s="7"/>
      <c r="V1136" s="6"/>
      <c r="W1136" s="6"/>
      <c r="X1136" s="12"/>
      <c r="Y1136" s="6"/>
      <c r="Z1136" s="6"/>
      <c r="AA1136" s="7"/>
      <c r="AB1136" s="6"/>
      <c r="AC1136" s="6"/>
      <c r="AD1136" s="6"/>
      <c r="AE1136" s="12"/>
      <c r="AF1136" s="12"/>
      <c r="AG1136" s="12"/>
      <c r="AH1136" s="12"/>
      <c r="AI1136" s="6"/>
      <c r="AJ1136" s="12"/>
      <c r="AK1136" s="1"/>
      <c r="AL1136" s="12"/>
      <c r="AM1136" s="12"/>
      <c r="AN1136" s="1"/>
      <c r="AO1136" s="6"/>
    </row>
    <row r="1137" spans="1:41" ht="15" x14ac:dyDescent="0.25">
      <c r="A1137" s="1"/>
      <c r="B1137" s="1"/>
      <c r="C1137" s="1"/>
      <c r="D1137" s="1"/>
      <c r="E1137" s="6"/>
      <c r="F1137" s="1"/>
      <c r="G1137" s="6"/>
      <c r="H1137" s="6"/>
      <c r="I1137" s="6"/>
      <c r="J1137" s="6"/>
      <c r="K1137" s="6"/>
      <c r="L1137" s="6"/>
      <c r="M1137" s="6"/>
      <c r="N1137" s="6"/>
      <c r="O1137" s="7"/>
      <c r="P1137" s="6"/>
      <c r="Q1137" s="6"/>
      <c r="R1137" s="7"/>
      <c r="S1137" s="6"/>
      <c r="T1137" s="6"/>
      <c r="U1137" s="7"/>
      <c r="V1137" s="6"/>
      <c r="W1137" s="6"/>
      <c r="X1137" s="12"/>
      <c r="Y1137" s="6"/>
      <c r="Z1137" s="6"/>
      <c r="AA1137" s="7"/>
      <c r="AB1137" s="6"/>
      <c r="AC1137" s="6"/>
      <c r="AD1137" s="6"/>
      <c r="AE1137" s="12"/>
      <c r="AF1137" s="12"/>
      <c r="AG1137" s="12"/>
      <c r="AH1137" s="12"/>
      <c r="AI1137" s="6"/>
      <c r="AJ1137" s="12"/>
      <c r="AK1137" s="1"/>
      <c r="AL1137" s="12"/>
      <c r="AM1137" s="12"/>
      <c r="AN1137" s="1"/>
      <c r="AO1137" s="6"/>
    </row>
    <row r="1138" spans="1:41" ht="15" x14ac:dyDescent="0.25">
      <c r="A1138" s="1"/>
      <c r="B1138" s="1"/>
      <c r="C1138" s="1"/>
      <c r="D1138" s="1"/>
      <c r="E1138" s="6"/>
      <c r="F1138" s="1"/>
      <c r="G1138" s="6"/>
      <c r="H1138" s="6"/>
      <c r="I1138" s="6"/>
      <c r="J1138" s="6"/>
      <c r="K1138" s="6"/>
      <c r="L1138" s="6"/>
      <c r="M1138" s="6"/>
      <c r="N1138" s="6"/>
      <c r="O1138" s="7"/>
      <c r="P1138" s="6"/>
      <c r="Q1138" s="6"/>
      <c r="R1138" s="7"/>
      <c r="S1138" s="6"/>
      <c r="T1138" s="6"/>
      <c r="U1138" s="7"/>
      <c r="V1138" s="6"/>
      <c r="W1138" s="6"/>
      <c r="X1138" s="12"/>
      <c r="Y1138" s="6"/>
      <c r="Z1138" s="6"/>
      <c r="AA1138" s="7"/>
      <c r="AB1138" s="6"/>
      <c r="AC1138" s="6"/>
      <c r="AD1138" s="6"/>
      <c r="AE1138" s="12"/>
      <c r="AF1138" s="6"/>
      <c r="AG1138" s="12"/>
      <c r="AH1138" s="6"/>
      <c r="AI1138" s="6"/>
      <c r="AJ1138" s="12"/>
      <c r="AK1138" s="1"/>
      <c r="AL1138" s="12"/>
      <c r="AM1138" s="12"/>
      <c r="AN1138" s="1"/>
      <c r="AO1138" s="6"/>
    </row>
    <row r="1139" spans="1:41" ht="15" x14ac:dyDescent="0.25">
      <c r="A1139" s="1"/>
      <c r="B1139" s="1"/>
      <c r="C1139" s="1"/>
      <c r="D1139" s="1"/>
      <c r="E1139" s="6"/>
      <c r="F1139" s="1"/>
      <c r="G1139" s="6"/>
      <c r="H1139" s="6"/>
      <c r="I1139" s="6"/>
      <c r="J1139" s="6"/>
      <c r="K1139" s="6"/>
      <c r="L1139" s="6"/>
      <c r="M1139" s="6"/>
      <c r="N1139" s="6"/>
      <c r="O1139" s="7"/>
      <c r="P1139" s="12"/>
      <c r="Q1139" s="6"/>
      <c r="R1139" s="7"/>
      <c r="S1139" s="6"/>
      <c r="T1139" s="6"/>
      <c r="U1139" s="7"/>
      <c r="V1139" s="6"/>
      <c r="W1139" s="6"/>
      <c r="X1139" s="6"/>
      <c r="Y1139" s="6"/>
      <c r="Z1139" s="6"/>
      <c r="AA1139" s="7"/>
      <c r="AB1139" s="6"/>
      <c r="AC1139" s="6"/>
      <c r="AD1139" s="6"/>
      <c r="AE1139" s="12"/>
      <c r="AF1139" s="6"/>
      <c r="AG1139" s="12"/>
      <c r="AH1139" s="6"/>
      <c r="AI1139" s="6"/>
      <c r="AJ1139" s="12"/>
      <c r="AK1139" s="1"/>
      <c r="AL1139" s="12"/>
      <c r="AM1139" s="12"/>
      <c r="AN1139" s="1"/>
      <c r="AO1139" s="6"/>
    </row>
    <row r="1140" spans="1:41" ht="15" x14ac:dyDescent="0.25">
      <c r="A1140" s="1"/>
      <c r="B1140" s="1"/>
      <c r="C1140" s="1"/>
      <c r="D1140" s="1"/>
      <c r="E1140" s="6"/>
      <c r="F1140" s="1"/>
      <c r="G1140" s="6"/>
      <c r="H1140" s="6"/>
      <c r="I1140" s="6"/>
      <c r="J1140" s="6"/>
      <c r="K1140" s="6"/>
      <c r="L1140" s="6"/>
      <c r="M1140" s="6"/>
      <c r="N1140" s="6"/>
      <c r="O1140" s="7"/>
      <c r="P1140" s="6"/>
      <c r="Q1140" s="6"/>
      <c r="R1140" s="7"/>
      <c r="S1140" s="6"/>
      <c r="T1140" s="6"/>
      <c r="U1140" s="7"/>
      <c r="V1140" s="6"/>
      <c r="W1140" s="6"/>
      <c r="X1140" s="12"/>
      <c r="Y1140" s="6"/>
      <c r="Z1140" s="6"/>
      <c r="AA1140" s="7"/>
      <c r="AB1140" s="6"/>
      <c r="AC1140" s="6"/>
      <c r="AD1140" s="6"/>
      <c r="AE1140" s="12"/>
      <c r="AF1140" s="6"/>
      <c r="AG1140" s="12"/>
      <c r="AH1140" s="6"/>
      <c r="AI1140" s="6"/>
      <c r="AJ1140" s="12"/>
      <c r="AK1140" s="1"/>
      <c r="AL1140" s="12"/>
      <c r="AM1140" s="12"/>
      <c r="AN1140" s="1"/>
      <c r="AO1140" s="6"/>
    </row>
    <row r="1141" spans="1:41" ht="15" x14ac:dyDescent="0.25">
      <c r="A1141" s="1"/>
      <c r="B1141" s="1"/>
      <c r="C1141" s="1"/>
      <c r="D1141" s="1"/>
      <c r="E1141" s="6"/>
      <c r="F1141" s="1"/>
      <c r="G1141" s="6"/>
      <c r="H1141" s="6"/>
      <c r="I1141" s="6"/>
      <c r="J1141" s="6"/>
      <c r="K1141" s="6"/>
      <c r="L1141" s="6"/>
      <c r="M1141" s="6"/>
      <c r="N1141" s="6"/>
      <c r="O1141" s="7"/>
      <c r="P1141" s="6"/>
      <c r="Q1141" s="6"/>
      <c r="R1141" s="7"/>
      <c r="S1141" s="6"/>
      <c r="T1141" s="6"/>
      <c r="U1141" s="7"/>
      <c r="V1141" s="6"/>
      <c r="W1141" s="6"/>
      <c r="X1141" s="6"/>
      <c r="Y1141" s="6"/>
      <c r="Z1141" s="6"/>
      <c r="AA1141" s="7"/>
      <c r="AB1141" s="6"/>
      <c r="AC1141" s="6"/>
      <c r="AD1141" s="6"/>
      <c r="AE1141" s="12"/>
      <c r="AF1141" s="6"/>
      <c r="AG1141" s="12"/>
      <c r="AH1141" s="6"/>
      <c r="AI1141" s="6"/>
      <c r="AJ1141" s="12"/>
      <c r="AK1141" s="1"/>
      <c r="AL1141" s="12"/>
      <c r="AM1141" s="12"/>
      <c r="AN1141" s="1"/>
      <c r="AO1141" s="6"/>
    </row>
    <row r="1142" spans="1:41" ht="15" x14ac:dyDescent="0.25">
      <c r="A1142" s="1"/>
      <c r="B1142" s="1"/>
      <c r="C1142" s="1"/>
      <c r="D1142" s="1"/>
      <c r="E1142" s="6"/>
      <c r="F1142" s="1"/>
      <c r="G1142" s="6"/>
      <c r="H1142" s="6"/>
      <c r="I1142" s="6"/>
      <c r="J1142" s="6"/>
      <c r="K1142" s="6"/>
      <c r="L1142" s="6"/>
      <c r="M1142" s="6"/>
      <c r="N1142" s="6"/>
      <c r="O1142" s="7"/>
      <c r="P1142" s="6"/>
      <c r="Q1142" s="6"/>
      <c r="R1142" s="7"/>
      <c r="S1142" s="6"/>
      <c r="T1142" s="6"/>
      <c r="U1142" s="7"/>
      <c r="V1142" s="6"/>
      <c r="W1142" s="6"/>
      <c r="X1142" s="12"/>
      <c r="Y1142" s="6"/>
      <c r="Z1142" s="6"/>
      <c r="AA1142" s="7"/>
      <c r="AB1142" s="6"/>
      <c r="AC1142" s="6"/>
      <c r="AD1142" s="6"/>
      <c r="AE1142" s="12"/>
      <c r="AF1142" s="12"/>
      <c r="AG1142" s="12"/>
      <c r="AH1142" s="12"/>
      <c r="AI1142" s="6"/>
      <c r="AJ1142" s="12"/>
      <c r="AK1142" s="1"/>
      <c r="AL1142" s="12"/>
      <c r="AM1142" s="12"/>
      <c r="AN1142" s="1"/>
      <c r="AO1142" s="6"/>
    </row>
    <row r="1143" spans="1:41" ht="15" x14ac:dyDescent="0.25">
      <c r="A1143" s="1"/>
      <c r="B1143" s="1"/>
      <c r="C1143" s="1"/>
      <c r="D1143" s="1"/>
      <c r="E1143" s="6"/>
      <c r="F1143" s="1"/>
      <c r="G1143" s="6"/>
      <c r="H1143" s="6"/>
      <c r="I1143" s="6"/>
      <c r="J1143" s="6"/>
      <c r="K1143" s="6"/>
      <c r="L1143" s="6"/>
      <c r="M1143" s="6"/>
      <c r="N1143" s="6"/>
      <c r="O1143" s="7"/>
      <c r="P1143" s="6"/>
      <c r="Q1143" s="7"/>
      <c r="R1143" s="6"/>
      <c r="S1143" s="12"/>
      <c r="T1143" s="6"/>
      <c r="U1143" s="6"/>
      <c r="V1143" s="7"/>
      <c r="W1143" s="7"/>
      <c r="X1143" s="6"/>
      <c r="Y1143" s="6"/>
      <c r="Z1143" s="6"/>
      <c r="AA1143" s="1"/>
      <c r="AB1143" s="12"/>
      <c r="AC1143" s="12"/>
      <c r="AD1143" s="12"/>
      <c r="AE1143" s="12"/>
      <c r="AF1143" s="12"/>
      <c r="AG1143" s="12"/>
      <c r="AH1143" s="12"/>
      <c r="AI1143" s="6"/>
      <c r="AJ1143" s="12"/>
      <c r="AK1143" s="12"/>
      <c r="AL1143" s="12"/>
      <c r="AM1143" s="12"/>
      <c r="AN1143" s="1"/>
      <c r="AO1143" s="6"/>
    </row>
    <row r="1144" spans="1:41" ht="15" x14ac:dyDescent="0.25">
      <c r="A1144" s="1"/>
      <c r="B1144" s="1"/>
      <c r="C1144" s="1"/>
      <c r="D1144" s="1"/>
      <c r="E1144" s="6"/>
      <c r="F1144" s="1"/>
      <c r="G1144" s="6"/>
      <c r="H1144" s="6"/>
      <c r="I1144" s="6"/>
      <c r="J1144" s="6"/>
      <c r="K1144" s="6"/>
      <c r="L1144" s="6"/>
      <c r="M1144" s="6"/>
      <c r="N1144" s="6"/>
      <c r="O1144" s="7"/>
      <c r="P1144" s="6"/>
      <c r="Q1144" s="6"/>
      <c r="R1144" s="7"/>
      <c r="S1144" s="6"/>
      <c r="T1144" s="6"/>
      <c r="U1144" s="7"/>
      <c r="V1144" s="6"/>
      <c r="W1144" s="6"/>
      <c r="X1144" s="12"/>
      <c r="Y1144" s="6"/>
      <c r="Z1144" s="6"/>
      <c r="AA1144" s="7"/>
      <c r="AB1144" s="6"/>
      <c r="AC1144" s="6"/>
      <c r="AD1144" s="6"/>
      <c r="AE1144" s="12"/>
      <c r="AF1144" s="6"/>
      <c r="AG1144" s="12"/>
      <c r="AH1144" s="6"/>
      <c r="AI1144" s="6"/>
      <c r="AJ1144" s="12"/>
      <c r="AK1144" s="1"/>
      <c r="AL1144" s="12"/>
      <c r="AM1144" s="12"/>
      <c r="AN1144" s="1"/>
      <c r="AO1144" s="6"/>
    </row>
    <row r="1145" spans="1:41" ht="15" x14ac:dyDescent="0.25">
      <c r="A1145" s="1"/>
      <c r="B1145" s="1"/>
      <c r="C1145" s="1"/>
      <c r="D1145" s="1"/>
      <c r="E1145" s="6"/>
      <c r="F1145" s="1"/>
      <c r="G1145" s="6"/>
      <c r="H1145" s="6"/>
      <c r="I1145" s="6"/>
      <c r="J1145" s="6"/>
      <c r="K1145" s="6"/>
      <c r="L1145" s="6"/>
      <c r="M1145" s="6"/>
      <c r="N1145" s="6"/>
      <c r="O1145" s="7"/>
      <c r="P1145" s="6"/>
      <c r="Q1145" s="6"/>
      <c r="R1145" s="7"/>
      <c r="S1145" s="6"/>
      <c r="T1145" s="6"/>
      <c r="U1145" s="7"/>
      <c r="V1145" s="6"/>
      <c r="W1145" s="6"/>
      <c r="X1145" s="12"/>
      <c r="Y1145" s="6"/>
      <c r="Z1145" s="6"/>
      <c r="AA1145" s="7"/>
      <c r="AB1145" s="6"/>
      <c r="AC1145" s="6"/>
      <c r="AD1145" s="6"/>
      <c r="AE1145" s="12"/>
      <c r="AF1145" s="6"/>
      <c r="AG1145" s="12"/>
      <c r="AH1145" s="6"/>
      <c r="AI1145" s="6"/>
      <c r="AJ1145" s="12"/>
      <c r="AK1145" s="1"/>
      <c r="AL1145" s="12"/>
      <c r="AM1145" s="12"/>
      <c r="AN1145" s="1"/>
      <c r="AO1145" s="6"/>
    </row>
    <row r="1146" spans="1:41" ht="15" x14ac:dyDescent="0.25">
      <c r="A1146" s="1"/>
      <c r="B1146" s="1"/>
      <c r="C1146" s="1"/>
      <c r="D1146" s="1"/>
      <c r="E1146" s="6"/>
      <c r="F1146" s="1"/>
      <c r="G1146" s="6"/>
      <c r="H1146" s="6"/>
      <c r="I1146" s="6"/>
      <c r="J1146" s="6"/>
      <c r="K1146" s="6"/>
      <c r="L1146" s="6"/>
      <c r="M1146" s="6"/>
      <c r="N1146" s="6"/>
      <c r="O1146" s="7"/>
      <c r="P1146" s="6"/>
      <c r="Q1146" s="6"/>
      <c r="R1146" s="7"/>
      <c r="S1146" s="6"/>
      <c r="T1146" s="12"/>
      <c r="U1146" s="6"/>
      <c r="V1146" s="6"/>
      <c r="W1146" s="6"/>
      <c r="X1146" s="7"/>
      <c r="Y1146" s="6"/>
      <c r="Z1146" s="6"/>
      <c r="AA1146" s="7"/>
      <c r="AB1146" s="6"/>
      <c r="AC1146" s="6"/>
      <c r="AD1146" s="6"/>
      <c r="AE1146" s="12"/>
      <c r="AF1146" s="6"/>
      <c r="AG1146" s="12"/>
      <c r="AH1146" s="6"/>
      <c r="AI1146" s="6"/>
      <c r="AJ1146" s="12"/>
      <c r="AK1146" s="6"/>
      <c r="AL1146" s="12"/>
      <c r="AM1146" s="12"/>
      <c r="AN1146" s="1"/>
      <c r="AO1146" s="6"/>
    </row>
    <row r="1147" spans="1:41" ht="15" x14ac:dyDescent="0.25">
      <c r="A1147" s="1"/>
      <c r="B1147" s="1"/>
      <c r="C1147" s="1"/>
      <c r="D1147" s="1"/>
      <c r="E1147" s="6"/>
      <c r="F1147" s="1"/>
      <c r="G1147" s="6"/>
      <c r="H1147" s="6"/>
      <c r="I1147" s="6"/>
      <c r="J1147" s="6"/>
      <c r="K1147" s="6"/>
      <c r="L1147" s="6"/>
      <c r="M1147" s="6"/>
      <c r="N1147" s="6"/>
      <c r="O1147" s="7"/>
      <c r="P1147" s="6"/>
      <c r="Q1147" s="6"/>
      <c r="R1147" s="7"/>
      <c r="S1147" s="6"/>
      <c r="T1147" s="6"/>
      <c r="U1147" s="7"/>
      <c r="V1147" s="6"/>
      <c r="W1147" s="6"/>
      <c r="X1147" s="6"/>
      <c r="Y1147" s="6"/>
      <c r="Z1147" s="6"/>
      <c r="AA1147" s="7"/>
      <c r="AB1147" s="6"/>
      <c r="AC1147" s="6"/>
      <c r="AD1147" s="6"/>
      <c r="AE1147" s="12"/>
      <c r="AF1147" s="12"/>
      <c r="AG1147" s="12"/>
      <c r="AH1147" s="12"/>
      <c r="AI1147" s="6"/>
      <c r="AJ1147" s="12"/>
      <c r="AK1147" s="1"/>
      <c r="AL1147" s="12"/>
      <c r="AM1147" s="12"/>
      <c r="AN1147" s="1"/>
      <c r="AO1147" s="6"/>
    </row>
    <row r="1148" spans="1:41" ht="15" x14ac:dyDescent="0.25">
      <c r="A1148" s="1"/>
      <c r="B1148" s="1"/>
      <c r="C1148" s="1"/>
      <c r="D1148" s="1"/>
      <c r="E1148" s="6"/>
      <c r="F1148" s="1"/>
      <c r="G1148" s="6"/>
      <c r="H1148" s="6"/>
      <c r="I1148" s="6"/>
      <c r="J1148" s="6"/>
      <c r="K1148" s="6"/>
      <c r="L1148" s="6"/>
      <c r="M1148" s="6"/>
      <c r="N1148" s="6"/>
      <c r="O1148" s="7"/>
      <c r="P1148" s="6"/>
      <c r="Q1148" s="6"/>
      <c r="R1148" s="7"/>
      <c r="S1148" s="6"/>
      <c r="T1148" s="6"/>
      <c r="U1148" s="7"/>
      <c r="V1148" s="6"/>
      <c r="W1148" s="6"/>
      <c r="X1148" s="6"/>
      <c r="Y1148" s="6"/>
      <c r="Z1148" s="6"/>
      <c r="AA1148" s="7"/>
      <c r="AB1148" s="6"/>
      <c r="AC1148" s="6"/>
      <c r="AD1148" s="6"/>
      <c r="AE1148" s="12"/>
      <c r="AF1148" s="6"/>
      <c r="AG1148" s="12"/>
      <c r="AH1148" s="6"/>
      <c r="AI1148" s="6"/>
      <c r="AJ1148" s="12"/>
      <c r="AK1148" s="1"/>
      <c r="AL1148" s="12"/>
      <c r="AM1148" s="12"/>
      <c r="AN1148" s="1"/>
      <c r="AO1148" s="6"/>
    </row>
    <row r="1149" spans="1:41" ht="15" x14ac:dyDescent="0.25">
      <c r="A1149" s="1"/>
      <c r="B1149" s="1"/>
      <c r="C1149" s="1"/>
      <c r="D1149" s="1"/>
      <c r="E1149" s="6"/>
      <c r="F1149" s="1"/>
      <c r="G1149" s="6"/>
      <c r="H1149" s="6"/>
      <c r="I1149" s="6"/>
      <c r="J1149" s="6"/>
      <c r="K1149" s="12"/>
      <c r="L1149" s="6"/>
      <c r="M1149" s="6"/>
      <c r="N1149" s="6"/>
      <c r="O1149" s="7"/>
      <c r="P1149" s="6"/>
      <c r="Q1149" s="6"/>
      <c r="R1149" s="7"/>
      <c r="S1149" s="6"/>
      <c r="T1149" s="6"/>
      <c r="U1149" s="7"/>
      <c r="V1149" s="6"/>
      <c r="W1149" s="6"/>
      <c r="X1149" s="12"/>
      <c r="Y1149" s="6"/>
      <c r="Z1149" s="6"/>
      <c r="AA1149" s="7"/>
      <c r="AB1149" s="6"/>
      <c r="AC1149" s="6"/>
      <c r="AD1149" s="6"/>
      <c r="AE1149" s="12"/>
      <c r="AF1149" s="6"/>
      <c r="AG1149" s="12"/>
      <c r="AH1149" s="6"/>
      <c r="AI1149" s="6"/>
      <c r="AJ1149" s="12"/>
      <c r="AK1149" s="24"/>
      <c r="AL1149" s="25"/>
      <c r="AM1149" s="12"/>
      <c r="AN1149" s="1"/>
      <c r="AO1149" s="12"/>
    </row>
    <row r="1150" spans="1:41" ht="15" x14ac:dyDescent="0.25">
      <c r="A1150" s="1"/>
      <c r="B1150" s="1"/>
      <c r="C1150" s="1"/>
      <c r="D1150" s="1"/>
      <c r="E1150" s="6"/>
      <c r="F1150" s="1"/>
      <c r="G1150" s="6"/>
      <c r="H1150" s="6"/>
      <c r="I1150" s="6"/>
      <c r="J1150" s="6"/>
      <c r="K1150" s="6"/>
      <c r="L1150" s="6"/>
      <c r="M1150" s="6"/>
      <c r="N1150" s="6"/>
      <c r="O1150" s="7"/>
      <c r="P1150" s="6"/>
      <c r="Q1150" s="7"/>
      <c r="R1150" s="6"/>
      <c r="S1150" s="12"/>
      <c r="T1150" s="6"/>
      <c r="U1150" s="6"/>
      <c r="V1150" s="7"/>
      <c r="W1150" s="7"/>
      <c r="X1150" s="6"/>
      <c r="Y1150" s="6"/>
      <c r="Z1150" s="6"/>
      <c r="AA1150" s="1"/>
      <c r="AB1150" s="12"/>
      <c r="AC1150" s="12"/>
      <c r="AD1150" s="12"/>
      <c r="AE1150" s="12"/>
      <c r="AF1150" s="12"/>
      <c r="AG1150" s="12"/>
      <c r="AH1150" s="12"/>
      <c r="AI1150" s="6"/>
      <c r="AJ1150" s="12"/>
      <c r="AK1150" s="12"/>
      <c r="AL1150" s="12"/>
      <c r="AM1150" s="12"/>
      <c r="AN1150" s="1"/>
      <c r="AO1150" s="6"/>
    </row>
    <row r="1151" spans="1:41" ht="15" x14ac:dyDescent="0.25">
      <c r="A1151" s="1"/>
      <c r="B1151" s="1"/>
      <c r="C1151" s="1"/>
      <c r="D1151" s="1"/>
      <c r="E1151" s="6"/>
      <c r="F1151" s="1"/>
      <c r="G1151" s="6"/>
      <c r="H1151" s="6"/>
      <c r="I1151" s="6"/>
      <c r="J1151" s="6"/>
      <c r="K1151" s="6"/>
      <c r="L1151" s="6"/>
      <c r="M1151" s="6"/>
      <c r="N1151" s="6"/>
      <c r="O1151" s="7"/>
      <c r="P1151" s="12"/>
      <c r="Q1151" s="6"/>
      <c r="R1151" s="7"/>
      <c r="S1151" s="6"/>
      <c r="T1151" s="6"/>
      <c r="U1151" s="7"/>
      <c r="V1151" s="6"/>
      <c r="W1151" s="6"/>
      <c r="X1151" s="6"/>
      <c r="Y1151" s="6"/>
      <c r="Z1151" s="6"/>
      <c r="AA1151" s="7"/>
      <c r="AB1151" s="6"/>
      <c r="AC1151" s="6"/>
      <c r="AD1151" s="6"/>
      <c r="AE1151" s="12"/>
      <c r="AF1151" s="6"/>
      <c r="AG1151" s="12"/>
      <c r="AH1151" s="6"/>
      <c r="AI1151" s="6"/>
      <c r="AJ1151" s="12"/>
      <c r="AK1151" s="24"/>
      <c r="AL1151" s="25"/>
      <c r="AM1151" s="12"/>
      <c r="AN1151" s="1"/>
      <c r="AO1151" s="6"/>
    </row>
    <row r="1152" spans="1:41" ht="15" x14ac:dyDescent="0.25">
      <c r="A1152" s="1"/>
      <c r="B1152" s="1"/>
      <c r="C1152" s="1"/>
      <c r="D1152" s="1"/>
      <c r="E1152" s="6"/>
      <c r="F1152" s="1"/>
      <c r="G1152" s="6"/>
      <c r="H1152" s="6"/>
      <c r="I1152" s="6"/>
      <c r="J1152" s="6"/>
      <c r="K1152" s="6"/>
      <c r="L1152" s="6"/>
      <c r="M1152" s="6"/>
      <c r="N1152" s="6"/>
      <c r="O1152" s="7"/>
      <c r="P1152" s="6"/>
      <c r="Q1152" s="6"/>
      <c r="R1152" s="7"/>
      <c r="S1152" s="6"/>
      <c r="T1152" s="12"/>
      <c r="U1152" s="6"/>
      <c r="V1152" s="6"/>
      <c r="W1152" s="6"/>
      <c r="X1152" s="7"/>
      <c r="Y1152" s="6"/>
      <c r="Z1152" s="6"/>
      <c r="AA1152" s="7"/>
      <c r="AB1152" s="6"/>
      <c r="AC1152" s="6"/>
      <c r="AD1152" s="6"/>
      <c r="AE1152" s="12"/>
      <c r="AF1152" s="6"/>
      <c r="AG1152" s="12"/>
      <c r="AH1152" s="6"/>
      <c r="AI1152" s="6"/>
      <c r="AJ1152" s="12"/>
      <c r="AK1152" s="6"/>
      <c r="AL1152" s="12"/>
      <c r="AM1152" s="12"/>
      <c r="AN1152" s="1"/>
      <c r="AO1152" s="6"/>
    </row>
    <row r="1153" spans="1:41" ht="15" x14ac:dyDescent="0.25">
      <c r="A1153" s="1"/>
      <c r="B1153" s="1"/>
      <c r="C1153" s="1"/>
      <c r="D1153" s="1"/>
      <c r="E1153" s="6"/>
      <c r="F1153" s="1"/>
      <c r="G1153" s="6"/>
      <c r="H1153" s="6"/>
      <c r="I1153" s="6"/>
      <c r="J1153" s="6"/>
      <c r="K1153" s="6"/>
      <c r="L1153" s="6"/>
      <c r="M1153" s="6"/>
      <c r="N1153" s="6"/>
      <c r="O1153" s="7"/>
      <c r="P1153" s="6"/>
      <c r="Q1153" s="6"/>
      <c r="R1153" s="7"/>
      <c r="S1153" s="6"/>
      <c r="T1153" s="6"/>
      <c r="U1153" s="7"/>
      <c r="V1153" s="6"/>
      <c r="W1153" s="6"/>
      <c r="X1153" s="12"/>
      <c r="Y1153" s="6"/>
      <c r="Z1153" s="6"/>
      <c r="AA1153" s="7"/>
      <c r="AB1153" s="6"/>
      <c r="AC1153" s="6"/>
      <c r="AD1153" s="6"/>
      <c r="AE1153" s="12"/>
      <c r="AF1153" s="12"/>
      <c r="AG1153" s="12"/>
      <c r="AH1153" s="12"/>
      <c r="AI1153" s="6"/>
      <c r="AJ1153" s="12"/>
      <c r="AK1153" s="24"/>
      <c r="AL1153" s="25"/>
      <c r="AM1153" s="12"/>
      <c r="AN1153" s="1"/>
      <c r="AO1153" s="6"/>
    </row>
    <row r="1154" spans="1:41" ht="15" x14ac:dyDescent="0.25">
      <c r="A1154" s="1"/>
      <c r="B1154" s="1"/>
      <c r="C1154" s="1"/>
      <c r="D1154" s="1"/>
      <c r="E1154" s="6"/>
      <c r="F1154" s="1"/>
      <c r="G1154" s="6"/>
      <c r="H1154" s="6"/>
      <c r="I1154" s="6"/>
      <c r="J1154" s="6"/>
      <c r="K1154" s="6"/>
      <c r="L1154" s="6"/>
      <c r="M1154" s="6"/>
      <c r="N1154" s="6"/>
      <c r="O1154" s="7"/>
      <c r="P1154" s="6"/>
      <c r="Q1154" s="6"/>
      <c r="R1154" s="7"/>
      <c r="S1154" s="6"/>
      <c r="T1154" s="6"/>
      <c r="U1154" s="7"/>
      <c r="V1154" s="6"/>
      <c r="W1154" s="6"/>
      <c r="X1154" s="6"/>
      <c r="Y1154" s="6"/>
      <c r="Z1154" s="6"/>
      <c r="AA1154" s="7"/>
      <c r="AB1154" s="6"/>
      <c r="AC1154" s="6"/>
      <c r="AD1154" s="6"/>
      <c r="AE1154" s="12"/>
      <c r="AF1154" s="6"/>
      <c r="AG1154" s="12"/>
      <c r="AH1154" s="6"/>
      <c r="AI1154" s="6"/>
      <c r="AJ1154" s="12"/>
      <c r="AK1154" s="1"/>
      <c r="AL1154" s="12"/>
      <c r="AM1154" s="12"/>
      <c r="AN1154" s="1"/>
      <c r="AO1154" s="6"/>
    </row>
    <row r="1155" spans="1:41" ht="15" x14ac:dyDescent="0.25">
      <c r="A1155" s="1"/>
      <c r="B1155" s="1"/>
      <c r="C1155" s="1"/>
      <c r="D1155" s="1"/>
      <c r="E1155" s="6"/>
      <c r="F1155" s="1"/>
      <c r="G1155" s="6"/>
      <c r="H1155" s="6"/>
      <c r="I1155" s="6"/>
      <c r="J1155" s="6"/>
      <c r="K1155" s="6"/>
      <c r="L1155" s="6"/>
      <c r="M1155" s="6"/>
      <c r="N1155" s="6"/>
      <c r="O1155" s="7"/>
      <c r="P1155" s="6"/>
      <c r="Q1155" s="6"/>
      <c r="R1155" s="7"/>
      <c r="S1155" s="6"/>
      <c r="T1155" s="6"/>
      <c r="U1155" s="7"/>
      <c r="V1155" s="6"/>
      <c r="W1155" s="6"/>
      <c r="X1155" s="6"/>
      <c r="Y1155" s="6"/>
      <c r="Z1155" s="6"/>
      <c r="AA1155" s="7"/>
      <c r="AB1155" s="6"/>
      <c r="AC1155" s="6"/>
      <c r="AD1155" s="6"/>
      <c r="AE1155" s="12"/>
      <c r="AF1155" s="12"/>
      <c r="AG1155" s="12"/>
      <c r="AH1155" s="12"/>
      <c r="AI1155" s="6"/>
      <c r="AJ1155" s="12"/>
      <c r="AK1155" s="1"/>
      <c r="AL1155" s="12"/>
      <c r="AM1155" s="12"/>
      <c r="AN1155" s="1"/>
      <c r="AO1155" s="6"/>
    </row>
    <row r="1156" spans="1:41" ht="15" x14ac:dyDescent="0.25">
      <c r="A1156" s="1"/>
      <c r="B1156" s="1"/>
      <c r="C1156" s="1"/>
      <c r="D1156" s="1"/>
      <c r="E1156" s="6"/>
      <c r="F1156" s="1"/>
      <c r="G1156" s="6"/>
      <c r="H1156" s="6"/>
      <c r="I1156" s="6"/>
      <c r="J1156" s="6"/>
      <c r="K1156" s="12"/>
      <c r="L1156" s="12"/>
      <c r="M1156" s="6"/>
      <c r="N1156" s="6"/>
      <c r="O1156" s="7"/>
      <c r="P1156" s="6"/>
      <c r="Q1156" s="6"/>
      <c r="R1156" s="7"/>
      <c r="S1156" s="6"/>
      <c r="T1156" s="6"/>
      <c r="U1156" s="7"/>
      <c r="V1156" s="6"/>
      <c r="W1156" s="6"/>
      <c r="X1156" s="6"/>
      <c r="Y1156" s="6"/>
      <c r="Z1156" s="6"/>
      <c r="AA1156" s="7"/>
      <c r="AB1156" s="6"/>
      <c r="AC1156" s="6"/>
      <c r="AD1156" s="6"/>
      <c r="AE1156" s="12"/>
      <c r="AF1156" s="12"/>
      <c r="AG1156" s="12"/>
      <c r="AH1156" s="12"/>
      <c r="AI1156" s="6"/>
      <c r="AJ1156" s="12"/>
      <c r="AK1156" s="1"/>
      <c r="AL1156" s="12"/>
      <c r="AM1156" s="12"/>
      <c r="AN1156" s="1"/>
      <c r="AO1156" s="6"/>
    </row>
    <row r="1157" spans="1:41" ht="15" x14ac:dyDescent="0.25">
      <c r="A1157" s="1"/>
      <c r="B1157" s="1"/>
      <c r="C1157" s="1"/>
      <c r="D1157" s="1"/>
      <c r="E1157" s="6"/>
      <c r="F1157" s="1"/>
      <c r="G1157" s="6"/>
      <c r="H1157" s="6"/>
      <c r="I1157" s="6"/>
      <c r="J1157" s="6"/>
      <c r="K1157" s="6"/>
      <c r="L1157" s="6"/>
      <c r="M1157" s="6"/>
      <c r="N1157" s="6"/>
      <c r="O1157" s="7"/>
      <c r="P1157" s="6"/>
      <c r="Q1157" s="6"/>
      <c r="R1157" s="12"/>
      <c r="S1157" s="12"/>
      <c r="T1157" s="12"/>
      <c r="U1157" s="7"/>
      <c r="V1157" s="6"/>
      <c r="W1157" s="6"/>
      <c r="X1157" s="12"/>
      <c r="Y1157" s="6"/>
      <c r="Z1157" s="6"/>
      <c r="AA1157" s="7"/>
      <c r="AB1157" s="6"/>
      <c r="AC1157" s="6"/>
      <c r="AD1157" s="6"/>
      <c r="AE1157" s="12"/>
      <c r="AF1157" s="12"/>
      <c r="AG1157" s="12"/>
      <c r="AH1157" s="12"/>
      <c r="AI1157" s="6"/>
      <c r="AJ1157" s="12"/>
      <c r="AK1157" s="1"/>
      <c r="AL1157" s="12"/>
      <c r="AM1157" s="12"/>
      <c r="AN1157" s="1"/>
      <c r="AO1157" s="6"/>
    </row>
    <row r="1158" spans="1:41" ht="15" x14ac:dyDescent="0.25">
      <c r="A1158" s="1"/>
      <c r="B1158" s="1"/>
      <c r="C1158" s="1"/>
      <c r="D1158" s="1"/>
      <c r="E1158" s="6"/>
      <c r="F1158" s="1"/>
      <c r="G1158" s="6"/>
      <c r="H1158" s="6"/>
      <c r="I1158" s="6"/>
      <c r="J1158" s="6"/>
      <c r="K1158" s="6"/>
      <c r="L1158" s="6"/>
      <c r="M1158" s="6"/>
      <c r="N1158" s="6"/>
      <c r="O1158" s="7"/>
      <c r="P1158" s="6"/>
      <c r="Q1158" s="6"/>
      <c r="R1158" s="7"/>
      <c r="S1158" s="6"/>
      <c r="T1158" s="6"/>
      <c r="U1158" s="7"/>
      <c r="V1158" s="6"/>
      <c r="W1158" s="6"/>
      <c r="X1158" s="6"/>
      <c r="Y1158" s="6"/>
      <c r="Z1158" s="6"/>
      <c r="AA1158" s="7"/>
      <c r="AB1158" s="6"/>
      <c r="AC1158" s="6"/>
      <c r="AD1158" s="6"/>
      <c r="AE1158" s="12"/>
      <c r="AF1158" s="6"/>
      <c r="AG1158" s="12"/>
      <c r="AH1158" s="6"/>
      <c r="AI1158" s="6"/>
      <c r="AJ1158" s="12"/>
      <c r="AK1158" s="24"/>
      <c r="AL1158" s="25"/>
      <c r="AM1158" s="12"/>
      <c r="AN1158" s="1"/>
      <c r="AO1158" s="6"/>
    </row>
    <row r="1159" spans="1:41" ht="15" x14ac:dyDescent="0.25">
      <c r="A1159" s="1"/>
      <c r="B1159" s="1"/>
      <c r="C1159" s="1"/>
      <c r="D1159" s="1"/>
      <c r="E1159" s="6"/>
      <c r="F1159" s="1"/>
      <c r="G1159" s="6"/>
      <c r="H1159" s="6"/>
      <c r="I1159" s="6"/>
      <c r="J1159" s="6"/>
      <c r="K1159" s="6"/>
      <c r="L1159" s="6"/>
      <c r="M1159" s="6"/>
      <c r="N1159" s="6"/>
      <c r="O1159" s="7"/>
      <c r="P1159" s="6"/>
      <c r="Q1159" s="6"/>
      <c r="R1159" s="7"/>
      <c r="S1159" s="6"/>
      <c r="T1159" s="6"/>
      <c r="U1159" s="7"/>
      <c r="V1159" s="6"/>
      <c r="W1159" s="6"/>
      <c r="X1159" s="12"/>
      <c r="Y1159" s="6"/>
      <c r="Z1159" s="6"/>
      <c r="AA1159" s="7"/>
      <c r="AB1159" s="6"/>
      <c r="AC1159" s="6"/>
      <c r="AD1159" s="6"/>
      <c r="AE1159" s="12"/>
      <c r="AF1159" s="12"/>
      <c r="AG1159" s="12"/>
      <c r="AH1159" s="12"/>
      <c r="AI1159" s="6"/>
      <c r="AJ1159" s="12"/>
      <c r="AK1159" s="1"/>
      <c r="AL1159" s="12"/>
      <c r="AM1159" s="12"/>
      <c r="AN1159" s="1"/>
      <c r="AO1159" s="6"/>
    </row>
    <row r="1160" spans="1:41" ht="15" x14ac:dyDescent="0.25">
      <c r="A1160" s="1"/>
      <c r="B1160" s="1"/>
      <c r="C1160" s="1"/>
      <c r="D1160" s="1"/>
      <c r="E1160" s="6"/>
      <c r="F1160" s="1"/>
      <c r="G1160" s="6"/>
      <c r="H1160" s="6"/>
      <c r="I1160" s="6"/>
      <c r="J1160" s="6"/>
      <c r="K1160" s="6"/>
      <c r="L1160" s="6"/>
      <c r="M1160" s="6"/>
      <c r="N1160" s="6"/>
      <c r="O1160" s="7"/>
      <c r="P1160" s="6"/>
      <c r="Q1160" s="6"/>
      <c r="R1160" s="7"/>
      <c r="S1160" s="6"/>
      <c r="T1160" s="6"/>
      <c r="U1160" s="7"/>
      <c r="V1160" s="6"/>
      <c r="W1160" s="6"/>
      <c r="X1160" s="12"/>
      <c r="Y1160" s="6"/>
      <c r="Z1160" s="6"/>
      <c r="AA1160" s="7"/>
      <c r="AB1160" s="6"/>
      <c r="AC1160" s="6"/>
      <c r="AD1160" s="6"/>
      <c r="AE1160" s="12"/>
      <c r="AF1160" s="6"/>
      <c r="AG1160" s="12"/>
      <c r="AH1160" s="6"/>
      <c r="AI1160" s="6"/>
      <c r="AJ1160" s="12"/>
      <c r="AK1160" s="1"/>
      <c r="AL1160" s="12"/>
      <c r="AM1160" s="12"/>
      <c r="AN1160" s="1"/>
      <c r="AO1160" s="6"/>
    </row>
    <row r="1161" spans="1:41" ht="15" x14ac:dyDescent="0.25">
      <c r="A1161" s="1"/>
      <c r="B1161" s="1"/>
      <c r="C1161" s="1"/>
      <c r="D1161" s="1"/>
      <c r="E1161" s="6"/>
      <c r="F1161" s="1"/>
      <c r="G1161" s="6"/>
      <c r="H1161" s="6"/>
      <c r="I1161" s="6"/>
      <c r="J1161" s="6"/>
      <c r="K1161" s="6"/>
      <c r="L1161" s="6"/>
      <c r="M1161" s="6"/>
      <c r="N1161" s="6"/>
      <c r="O1161" s="7"/>
      <c r="P1161" s="6"/>
      <c r="Q1161" s="6"/>
      <c r="R1161" s="7"/>
      <c r="S1161" s="6"/>
      <c r="T1161" s="6"/>
      <c r="U1161" s="7"/>
      <c r="V1161" s="6"/>
      <c r="W1161" s="6"/>
      <c r="X1161" s="12"/>
      <c r="Y1161" s="6"/>
      <c r="Z1161" s="6"/>
      <c r="AA1161" s="7"/>
      <c r="AB1161" s="6"/>
      <c r="AC1161" s="6"/>
      <c r="AD1161" s="6"/>
      <c r="AE1161" s="12"/>
      <c r="AF1161" s="6"/>
      <c r="AG1161" s="12"/>
      <c r="AH1161" s="6"/>
      <c r="AI1161" s="6"/>
      <c r="AJ1161" s="12"/>
      <c r="AK1161" s="24"/>
      <c r="AL1161" s="25"/>
      <c r="AM1161" s="12"/>
      <c r="AN1161" s="1"/>
      <c r="AO1161" s="6"/>
    </row>
    <row r="1162" spans="1:41" ht="15" x14ac:dyDescent="0.25">
      <c r="A1162" s="1"/>
      <c r="B1162" s="1"/>
      <c r="C1162" s="1"/>
      <c r="D1162" s="1"/>
      <c r="E1162" s="6"/>
      <c r="F1162" s="1"/>
      <c r="G1162" s="6"/>
      <c r="H1162" s="6"/>
      <c r="I1162" s="6"/>
      <c r="J1162" s="6"/>
      <c r="K1162" s="6"/>
      <c r="L1162" s="6"/>
      <c r="M1162" s="6"/>
      <c r="N1162" s="6"/>
      <c r="O1162" s="7"/>
      <c r="P1162" s="12"/>
      <c r="Q1162" s="6"/>
      <c r="R1162" s="7"/>
      <c r="S1162" s="6"/>
      <c r="T1162" s="6"/>
      <c r="U1162" s="7"/>
      <c r="V1162" s="6"/>
      <c r="W1162" s="6"/>
      <c r="X1162" s="6"/>
      <c r="Y1162" s="6"/>
      <c r="Z1162" s="6"/>
      <c r="AA1162" s="7"/>
      <c r="AB1162" s="6"/>
      <c r="AC1162" s="6"/>
      <c r="AD1162" s="6"/>
      <c r="AE1162" s="12"/>
      <c r="AF1162" s="12"/>
      <c r="AG1162" s="12"/>
      <c r="AH1162" s="12"/>
      <c r="AI1162" s="6"/>
      <c r="AJ1162" s="12"/>
      <c r="AK1162" s="1"/>
      <c r="AL1162" s="12"/>
      <c r="AM1162" s="12"/>
      <c r="AN1162" s="1"/>
      <c r="AO1162" s="6"/>
    </row>
    <row r="1163" spans="1:41" ht="15" x14ac:dyDescent="0.25">
      <c r="A1163" s="1"/>
      <c r="B1163" s="1"/>
      <c r="C1163" s="1"/>
      <c r="D1163" s="1"/>
      <c r="E1163" s="6"/>
      <c r="F1163" s="1"/>
      <c r="G1163" s="6"/>
      <c r="H1163" s="6"/>
      <c r="I1163" s="6"/>
      <c r="J1163" s="6"/>
      <c r="K1163" s="6"/>
      <c r="L1163" s="6"/>
      <c r="M1163" s="6"/>
      <c r="N1163" s="6"/>
      <c r="O1163" s="7"/>
      <c r="P1163" s="6"/>
      <c r="Q1163" s="6"/>
      <c r="R1163" s="7"/>
      <c r="S1163" s="6"/>
      <c r="T1163" s="6"/>
      <c r="U1163" s="7"/>
      <c r="V1163" s="6"/>
      <c r="W1163" s="6"/>
      <c r="X1163" s="12"/>
      <c r="Y1163" s="6"/>
      <c r="Z1163" s="6"/>
      <c r="AA1163" s="7"/>
      <c r="AB1163" s="6"/>
      <c r="AC1163" s="6"/>
      <c r="AD1163" s="6"/>
      <c r="AE1163" s="12"/>
      <c r="AF1163" s="6"/>
      <c r="AG1163" s="12"/>
      <c r="AH1163" s="6"/>
      <c r="AI1163" s="6"/>
      <c r="AJ1163" s="12"/>
      <c r="AK1163" s="24"/>
      <c r="AL1163" s="25"/>
      <c r="AM1163" s="12"/>
      <c r="AN1163" s="1"/>
      <c r="AO1163" s="6"/>
    </row>
    <row r="1164" spans="1:41" ht="15" x14ac:dyDescent="0.25">
      <c r="A1164" s="1"/>
      <c r="B1164" s="1"/>
      <c r="C1164" s="1"/>
      <c r="D1164" s="1"/>
      <c r="E1164" s="6"/>
      <c r="F1164" s="1"/>
      <c r="G1164" s="6"/>
      <c r="H1164" s="6"/>
      <c r="I1164" s="6"/>
      <c r="J1164" s="6"/>
      <c r="K1164" s="6"/>
      <c r="L1164" s="6"/>
      <c r="M1164" s="6"/>
      <c r="N1164" s="6"/>
      <c r="O1164" s="7"/>
      <c r="P1164" s="6"/>
      <c r="Q1164" s="6"/>
      <c r="R1164" s="7"/>
      <c r="S1164" s="6"/>
      <c r="T1164" s="6"/>
      <c r="U1164" s="7"/>
      <c r="V1164" s="6"/>
      <c r="W1164" s="6"/>
      <c r="X1164" s="12"/>
      <c r="Y1164" s="6"/>
      <c r="Z1164" s="6"/>
      <c r="AA1164" s="7"/>
      <c r="AB1164" s="6"/>
      <c r="AC1164" s="6"/>
      <c r="AD1164" s="6"/>
      <c r="AE1164" s="12"/>
      <c r="AF1164" s="12"/>
      <c r="AG1164" s="12"/>
      <c r="AH1164" s="12"/>
      <c r="AI1164" s="6"/>
      <c r="AJ1164" s="12"/>
      <c r="AK1164" s="1"/>
      <c r="AL1164" s="12"/>
      <c r="AM1164" s="12"/>
      <c r="AN1164" s="1"/>
      <c r="AO1164" s="6"/>
    </row>
    <row r="1165" spans="1:41" ht="15" x14ac:dyDescent="0.25">
      <c r="A1165" s="1"/>
      <c r="B1165" s="1"/>
      <c r="C1165" s="1"/>
      <c r="D1165" s="1"/>
      <c r="E1165" s="6"/>
      <c r="F1165" s="1"/>
      <c r="G1165" s="6"/>
      <c r="H1165" s="6"/>
      <c r="I1165" s="6"/>
      <c r="J1165" s="6"/>
      <c r="K1165" s="6"/>
      <c r="L1165" s="6"/>
      <c r="M1165" s="6"/>
      <c r="N1165" s="6"/>
      <c r="O1165" s="7"/>
      <c r="P1165" s="6"/>
      <c r="Q1165" s="6"/>
      <c r="R1165" s="7"/>
      <c r="S1165" s="6"/>
      <c r="T1165" s="6"/>
      <c r="U1165" s="7"/>
      <c r="V1165" s="6"/>
      <c r="W1165" s="6"/>
      <c r="X1165" s="6"/>
      <c r="Y1165" s="6"/>
      <c r="Z1165" s="6"/>
      <c r="AA1165" s="7"/>
      <c r="AB1165" s="6"/>
      <c r="AC1165" s="6"/>
      <c r="AD1165" s="6"/>
      <c r="AE1165" s="12"/>
      <c r="AF1165" s="6"/>
      <c r="AG1165" s="12"/>
      <c r="AH1165" s="6"/>
      <c r="AI1165" s="6"/>
      <c r="AJ1165" s="12"/>
      <c r="AK1165" s="1"/>
      <c r="AL1165" s="12"/>
      <c r="AM1165" s="12"/>
      <c r="AN1165" s="1"/>
      <c r="AO1165" s="6"/>
    </row>
    <row r="1166" spans="1:41" ht="15" x14ac:dyDescent="0.25">
      <c r="A1166" s="1"/>
      <c r="B1166" s="1"/>
      <c r="C1166" s="1"/>
      <c r="D1166" s="1"/>
      <c r="E1166" s="6"/>
      <c r="F1166" s="1"/>
      <c r="G1166" s="6"/>
      <c r="H1166" s="6"/>
      <c r="I1166" s="6"/>
      <c r="J1166" s="6"/>
      <c r="K1166" s="6"/>
      <c r="L1166" s="6"/>
      <c r="M1166" s="6"/>
      <c r="N1166" s="6"/>
      <c r="O1166" s="7"/>
      <c r="P1166" s="6"/>
      <c r="Q1166" s="6"/>
      <c r="R1166" s="7"/>
      <c r="S1166" s="6"/>
      <c r="T1166" s="6"/>
      <c r="U1166" s="7"/>
      <c r="V1166" s="6"/>
      <c r="W1166" s="6"/>
      <c r="X1166" s="6"/>
      <c r="Y1166" s="6"/>
      <c r="Z1166" s="6"/>
      <c r="AA1166" s="7"/>
      <c r="AB1166" s="6"/>
      <c r="AC1166" s="6"/>
      <c r="AD1166" s="6"/>
      <c r="AE1166" s="12"/>
      <c r="AF1166" s="12"/>
      <c r="AG1166" s="12"/>
      <c r="AH1166" s="12"/>
      <c r="AI1166" s="6"/>
      <c r="AJ1166" s="12"/>
      <c r="AK1166" s="1"/>
      <c r="AL1166" s="12"/>
      <c r="AM1166" s="12"/>
      <c r="AN1166" s="1"/>
      <c r="AO1166" s="6"/>
    </row>
    <row r="1167" spans="1:41" ht="15" x14ac:dyDescent="0.25">
      <c r="A1167" s="1"/>
      <c r="B1167" s="1"/>
      <c r="C1167" s="1"/>
      <c r="D1167" s="1"/>
      <c r="E1167" s="6"/>
      <c r="F1167" s="1"/>
      <c r="G1167" s="6"/>
      <c r="H1167" s="6"/>
      <c r="I1167" s="6"/>
      <c r="J1167" s="6"/>
      <c r="K1167" s="12"/>
      <c r="L1167" s="12"/>
      <c r="M1167" s="6"/>
      <c r="N1167" s="6"/>
      <c r="O1167" s="7"/>
      <c r="P1167" s="6"/>
      <c r="Q1167" s="6"/>
      <c r="R1167" s="7"/>
      <c r="S1167" s="6"/>
      <c r="T1167" s="6"/>
      <c r="U1167" s="7"/>
      <c r="V1167" s="6"/>
      <c r="W1167" s="6"/>
      <c r="X1167" s="12"/>
      <c r="Y1167" s="6"/>
      <c r="Z1167" s="6"/>
      <c r="AA1167" s="7"/>
      <c r="AB1167" s="6"/>
      <c r="AC1167" s="6"/>
      <c r="AD1167" s="6"/>
      <c r="AE1167" s="12"/>
      <c r="AF1167" s="12"/>
      <c r="AG1167" s="12"/>
      <c r="AH1167" s="12"/>
      <c r="AI1167" s="6"/>
      <c r="AJ1167" s="12"/>
      <c r="AK1167" s="24"/>
      <c r="AL1167" s="25"/>
      <c r="AM1167" s="12"/>
      <c r="AN1167" s="1"/>
      <c r="AO1167" s="6"/>
    </row>
    <row r="1168" spans="1:41" ht="15" x14ac:dyDescent="0.25">
      <c r="A1168" s="1"/>
      <c r="B1168" s="1"/>
      <c r="C1168" s="1"/>
      <c r="D1168" s="1"/>
      <c r="E1168" s="6"/>
      <c r="F1168" s="1"/>
      <c r="G1168" s="6"/>
      <c r="H1168" s="6"/>
      <c r="I1168" s="6"/>
      <c r="J1168" s="6"/>
      <c r="K1168" s="6"/>
      <c r="L1168" s="6"/>
      <c r="M1168" s="6"/>
      <c r="N1168" s="6"/>
      <c r="O1168" s="7"/>
      <c r="P1168" s="6"/>
      <c r="Q1168" s="6"/>
      <c r="R1168" s="7"/>
      <c r="S1168" s="6"/>
      <c r="T1168" s="6"/>
      <c r="U1168" s="7"/>
      <c r="V1168" s="6"/>
      <c r="W1168" s="6"/>
      <c r="X1168" s="6"/>
      <c r="Y1168" s="6"/>
      <c r="Z1168" s="6"/>
      <c r="AA1168" s="7"/>
      <c r="AB1168" s="6"/>
      <c r="AC1168" s="6"/>
      <c r="AD1168" s="6"/>
      <c r="AE1168" s="12"/>
      <c r="AF1168" s="6"/>
      <c r="AG1168" s="12"/>
      <c r="AH1168" s="6"/>
      <c r="AI1168" s="6"/>
      <c r="AJ1168" s="12"/>
      <c r="AK1168" s="24"/>
      <c r="AL1168" s="25"/>
      <c r="AM1168" s="12"/>
      <c r="AN1168" s="1"/>
      <c r="AO1168" s="6"/>
    </row>
    <row r="1169" spans="1:41" ht="15" x14ac:dyDescent="0.25">
      <c r="A1169" s="1"/>
      <c r="B1169" s="1"/>
      <c r="C1169" s="1"/>
      <c r="D1169" s="1"/>
      <c r="E1169" s="6"/>
      <c r="F1169" s="1"/>
      <c r="G1169" s="6"/>
      <c r="H1169" s="6"/>
      <c r="I1169" s="6"/>
      <c r="J1169" s="6"/>
      <c r="K1169" s="6"/>
      <c r="L1169" s="6"/>
      <c r="M1169" s="6"/>
      <c r="N1169" s="6"/>
      <c r="O1169" s="7"/>
      <c r="P1169" s="12"/>
      <c r="Q1169" s="6"/>
      <c r="R1169" s="7"/>
      <c r="S1169" s="6"/>
      <c r="T1169" s="6"/>
      <c r="U1169" s="7"/>
      <c r="V1169" s="6"/>
      <c r="W1169" s="6"/>
      <c r="X1169" s="6"/>
      <c r="Y1169" s="6"/>
      <c r="Z1169" s="6"/>
      <c r="AA1169" s="7"/>
      <c r="AB1169" s="6"/>
      <c r="AC1169" s="6"/>
      <c r="AD1169" s="6"/>
      <c r="AE1169" s="12"/>
      <c r="AF1169" s="12"/>
      <c r="AG1169" s="12"/>
      <c r="AH1169" s="12"/>
      <c r="AI1169" s="6"/>
      <c r="AJ1169" s="12"/>
      <c r="AK1169" s="1"/>
      <c r="AL1169" s="12"/>
      <c r="AM1169" s="12"/>
      <c r="AN1169" s="1"/>
      <c r="AO1169" s="12"/>
    </row>
    <row r="1170" spans="1:41" ht="15" x14ac:dyDescent="0.25">
      <c r="A1170" s="1"/>
      <c r="B1170" s="1"/>
      <c r="C1170" s="1"/>
      <c r="D1170" s="1"/>
      <c r="E1170" s="6"/>
      <c r="F1170" s="1"/>
      <c r="G1170" s="6"/>
      <c r="H1170" s="6"/>
      <c r="I1170" s="6"/>
      <c r="J1170" s="6"/>
      <c r="K1170" s="6"/>
      <c r="L1170" s="6"/>
      <c r="M1170" s="6"/>
      <c r="N1170" s="6"/>
      <c r="O1170" s="7"/>
      <c r="P1170" s="6"/>
      <c r="Q1170" s="6"/>
      <c r="R1170" s="7"/>
      <c r="S1170" s="6"/>
      <c r="T1170" s="6"/>
      <c r="U1170" s="7"/>
      <c r="V1170" s="6"/>
      <c r="W1170" s="6"/>
      <c r="X1170" s="6"/>
      <c r="Y1170" s="6"/>
      <c r="Z1170" s="6"/>
      <c r="AA1170" s="7"/>
      <c r="AB1170" s="6"/>
      <c r="AC1170" s="6"/>
      <c r="AD1170" s="6"/>
      <c r="AE1170" s="12"/>
      <c r="AF1170" s="6"/>
      <c r="AG1170" s="12"/>
      <c r="AH1170" s="6"/>
      <c r="AI1170" s="6"/>
      <c r="AJ1170" s="12"/>
      <c r="AK1170" s="24"/>
      <c r="AL1170" s="25"/>
      <c r="AM1170" s="12"/>
      <c r="AN1170" s="1"/>
      <c r="AO1170" s="6"/>
    </row>
    <row r="1171" spans="1:41" ht="15" x14ac:dyDescent="0.25">
      <c r="A1171" s="1"/>
      <c r="B1171" s="1"/>
      <c r="C1171" s="1"/>
      <c r="D1171" s="1"/>
      <c r="E1171" s="6"/>
      <c r="F1171" s="1"/>
      <c r="G1171" s="6"/>
      <c r="H1171" s="6"/>
      <c r="I1171" s="6"/>
      <c r="J1171" s="6"/>
      <c r="K1171" s="6"/>
      <c r="L1171" s="6"/>
      <c r="M1171" s="6"/>
      <c r="N1171" s="6"/>
      <c r="O1171" s="7"/>
      <c r="P1171" s="6"/>
      <c r="Q1171" s="6"/>
      <c r="R1171" s="7"/>
      <c r="S1171" s="6"/>
      <c r="T1171" s="6"/>
      <c r="U1171" s="7"/>
      <c r="V1171" s="6"/>
      <c r="W1171" s="6"/>
      <c r="X1171" s="6"/>
      <c r="Y1171" s="6"/>
      <c r="Z1171" s="6"/>
      <c r="AA1171" s="7"/>
      <c r="AB1171" s="6"/>
      <c r="AC1171" s="6"/>
      <c r="AD1171" s="6"/>
      <c r="AE1171" s="12"/>
      <c r="AF1171" s="6"/>
      <c r="AG1171" s="12"/>
      <c r="AH1171" s="6"/>
      <c r="AI1171" s="6"/>
      <c r="AJ1171" s="12"/>
      <c r="AK1171" s="24"/>
      <c r="AL1171" s="25"/>
      <c r="AM1171" s="12"/>
      <c r="AN1171" s="1"/>
      <c r="AO1171" s="6"/>
    </row>
    <row r="1172" spans="1:41" ht="15" x14ac:dyDescent="0.25">
      <c r="A1172" s="1"/>
      <c r="B1172" s="1"/>
      <c r="C1172" s="1"/>
      <c r="D1172" s="1"/>
      <c r="E1172" s="6"/>
      <c r="F1172" s="1"/>
      <c r="G1172" s="6"/>
      <c r="H1172" s="6"/>
      <c r="I1172" s="6"/>
      <c r="J1172" s="6"/>
      <c r="K1172" s="6"/>
      <c r="L1172" s="6"/>
      <c r="M1172" s="6"/>
      <c r="N1172" s="6"/>
      <c r="O1172" s="7"/>
      <c r="P1172" s="6"/>
      <c r="Q1172" s="6"/>
      <c r="R1172" s="7"/>
      <c r="S1172" s="6"/>
      <c r="T1172" s="6"/>
      <c r="U1172" s="7"/>
      <c r="V1172" s="6"/>
      <c r="W1172" s="6"/>
      <c r="X1172" s="6"/>
      <c r="Y1172" s="6"/>
      <c r="Z1172" s="6"/>
      <c r="AA1172" s="7"/>
      <c r="AB1172" s="6"/>
      <c r="AC1172" s="6"/>
      <c r="AD1172" s="6"/>
      <c r="AE1172" s="12"/>
      <c r="AF1172" s="6"/>
      <c r="AG1172" s="12"/>
      <c r="AH1172" s="6"/>
      <c r="AI1172" s="6"/>
      <c r="AJ1172" s="12"/>
      <c r="AK1172" s="1"/>
      <c r="AL1172" s="12"/>
      <c r="AM1172" s="12"/>
      <c r="AN1172" s="1"/>
      <c r="AO1172" s="6"/>
    </row>
    <row r="1173" spans="1:41" ht="15" x14ac:dyDescent="0.25">
      <c r="A1173" s="1"/>
      <c r="B1173" s="1"/>
      <c r="C1173" s="1"/>
      <c r="D1173" s="1"/>
      <c r="E1173" s="6"/>
      <c r="F1173" s="1"/>
      <c r="G1173" s="6"/>
      <c r="H1173" s="6"/>
      <c r="I1173" s="6"/>
      <c r="J1173" s="6"/>
      <c r="K1173" s="6"/>
      <c r="L1173" s="6"/>
      <c r="M1173" s="6"/>
      <c r="N1173" s="6"/>
      <c r="O1173" s="7"/>
      <c r="P1173" s="6"/>
      <c r="Q1173" s="6"/>
      <c r="R1173" s="7"/>
      <c r="S1173" s="6"/>
      <c r="T1173" s="6"/>
      <c r="U1173" s="7"/>
      <c r="V1173" s="6"/>
      <c r="W1173" s="6"/>
      <c r="X1173" s="6"/>
      <c r="Y1173" s="6"/>
      <c r="Z1173" s="6"/>
      <c r="AA1173" s="7"/>
      <c r="AB1173" s="6"/>
      <c r="AC1173" s="6"/>
      <c r="AD1173" s="6"/>
      <c r="AE1173" s="12"/>
      <c r="AF1173" s="12"/>
      <c r="AG1173" s="12"/>
      <c r="AH1173" s="12"/>
      <c r="AI1173" s="6"/>
      <c r="AJ1173" s="12"/>
      <c r="AK1173" s="1"/>
      <c r="AL1173" s="12"/>
      <c r="AM1173" s="12"/>
      <c r="AN1173" s="1"/>
      <c r="AO1173" s="6"/>
    </row>
    <row r="1174" spans="1:41" ht="15" x14ac:dyDescent="0.25">
      <c r="A1174" s="1"/>
      <c r="B1174" s="1"/>
      <c r="C1174" s="1"/>
      <c r="D1174" s="1"/>
      <c r="E1174" s="6"/>
      <c r="F1174" s="1"/>
      <c r="G1174" s="6"/>
      <c r="H1174" s="6"/>
      <c r="I1174" s="6"/>
      <c r="J1174" s="6"/>
      <c r="K1174" s="6"/>
      <c r="L1174" s="6"/>
      <c r="M1174" s="6"/>
      <c r="N1174" s="6"/>
      <c r="O1174" s="7"/>
      <c r="P1174" s="6"/>
      <c r="Q1174" s="6"/>
      <c r="R1174" s="7"/>
      <c r="S1174" s="6"/>
      <c r="T1174" s="6"/>
      <c r="U1174" s="7"/>
      <c r="V1174" s="6"/>
      <c r="W1174" s="6"/>
      <c r="X1174" s="6"/>
      <c r="Y1174" s="6"/>
      <c r="Z1174" s="6"/>
      <c r="AA1174" s="7"/>
      <c r="AB1174" s="6"/>
      <c r="AC1174" s="6"/>
      <c r="AD1174" s="6"/>
      <c r="AE1174" s="12"/>
      <c r="AF1174" s="12"/>
      <c r="AG1174" s="12"/>
      <c r="AH1174" s="12"/>
      <c r="AI1174" s="6"/>
      <c r="AJ1174" s="12"/>
      <c r="AK1174" s="1"/>
      <c r="AL1174" s="12"/>
      <c r="AM1174" s="12"/>
      <c r="AN1174" s="1"/>
      <c r="AO1174" s="6"/>
    </row>
    <row r="1175" spans="1:41" ht="15" x14ac:dyDescent="0.25">
      <c r="A1175" s="1"/>
      <c r="B1175" s="1"/>
      <c r="C1175" s="1"/>
      <c r="D1175" s="1"/>
      <c r="E1175" s="6"/>
      <c r="F1175" s="1"/>
      <c r="G1175" s="6"/>
      <c r="H1175" s="6"/>
      <c r="I1175" s="6"/>
      <c r="J1175" s="6"/>
      <c r="K1175" s="6"/>
      <c r="L1175" s="6"/>
      <c r="M1175" s="6"/>
      <c r="N1175" s="6"/>
      <c r="O1175" s="7"/>
      <c r="P1175" s="6"/>
      <c r="Q1175" s="6"/>
      <c r="R1175" s="15"/>
      <c r="S1175" s="6"/>
      <c r="T1175" s="6"/>
      <c r="U1175" s="15"/>
      <c r="V1175" s="6"/>
      <c r="W1175" s="6"/>
      <c r="X1175" s="6"/>
      <c r="Y1175" s="6"/>
      <c r="Z1175" s="6"/>
      <c r="AA1175" s="7"/>
      <c r="AB1175" s="6"/>
      <c r="AC1175" s="6"/>
      <c r="AD1175" s="6"/>
      <c r="AE1175" s="12"/>
      <c r="AF1175" s="12"/>
      <c r="AG1175" s="12"/>
      <c r="AH1175" s="12"/>
      <c r="AI1175" s="6"/>
      <c r="AJ1175" s="12"/>
      <c r="AK1175" s="1"/>
      <c r="AL1175" s="12"/>
      <c r="AM1175" s="12"/>
      <c r="AN1175" s="1"/>
      <c r="AO1175" s="6"/>
    </row>
    <row r="1176" spans="1:41" ht="15" x14ac:dyDescent="0.25">
      <c r="A1176" s="1"/>
      <c r="B1176" s="1"/>
      <c r="C1176" s="1"/>
      <c r="D1176" s="1"/>
      <c r="E1176" s="6"/>
      <c r="F1176" s="1"/>
      <c r="G1176" s="6"/>
      <c r="H1176" s="6"/>
      <c r="I1176" s="6"/>
      <c r="J1176" s="6"/>
      <c r="K1176" s="6"/>
      <c r="L1176" s="6"/>
      <c r="M1176" s="6"/>
      <c r="N1176" s="6"/>
      <c r="O1176" s="7"/>
      <c r="P1176" s="6"/>
      <c r="Q1176" s="6"/>
      <c r="R1176" s="7"/>
      <c r="S1176" s="6"/>
      <c r="T1176" s="6"/>
      <c r="U1176" s="7"/>
      <c r="V1176" s="6"/>
      <c r="W1176" s="6"/>
      <c r="X1176" s="12"/>
      <c r="Y1176" s="6"/>
      <c r="Z1176" s="6"/>
      <c r="AA1176" s="7"/>
      <c r="AB1176" s="6"/>
      <c r="AC1176" s="6"/>
      <c r="AD1176" s="6"/>
      <c r="AE1176" s="12"/>
      <c r="AF1176" s="12"/>
      <c r="AG1176" s="12"/>
      <c r="AH1176" s="12"/>
      <c r="AI1176" s="6"/>
      <c r="AJ1176" s="12"/>
      <c r="AK1176" s="1"/>
      <c r="AL1176" s="12"/>
      <c r="AM1176" s="12"/>
      <c r="AN1176" s="1"/>
      <c r="AO1176" s="6"/>
    </row>
    <row r="1177" spans="1:41" ht="15" x14ac:dyDescent="0.25">
      <c r="A1177" s="1"/>
      <c r="B1177" s="1"/>
      <c r="C1177" s="1"/>
      <c r="D1177" s="1"/>
      <c r="E1177" s="6"/>
      <c r="F1177" s="1"/>
      <c r="G1177" s="6"/>
      <c r="H1177" s="6"/>
      <c r="I1177" s="6"/>
      <c r="J1177" s="6"/>
      <c r="K1177" s="6"/>
      <c r="L1177" s="6"/>
      <c r="M1177" s="6"/>
      <c r="N1177" s="6"/>
      <c r="O1177" s="7"/>
      <c r="P1177" s="6"/>
      <c r="Q1177" s="6"/>
      <c r="R1177" s="7"/>
      <c r="S1177" s="6"/>
      <c r="T1177" s="6"/>
      <c r="U1177" s="7"/>
      <c r="V1177" s="6"/>
      <c r="W1177" s="6"/>
      <c r="X1177" s="6"/>
      <c r="Y1177" s="6"/>
      <c r="Z1177" s="6"/>
      <c r="AA1177" s="7"/>
      <c r="AB1177" s="6"/>
      <c r="AC1177" s="6"/>
      <c r="AD1177" s="6"/>
      <c r="AE1177" s="12"/>
      <c r="AF1177" s="6"/>
      <c r="AG1177" s="12"/>
      <c r="AH1177" s="6"/>
      <c r="AI1177" s="6"/>
      <c r="AJ1177" s="12"/>
      <c r="AK1177" s="24"/>
      <c r="AL1177" s="25"/>
      <c r="AM1177" s="12"/>
      <c r="AN1177" s="1"/>
      <c r="AO1177" s="6"/>
    </row>
    <row r="1178" spans="1:41" ht="15" x14ac:dyDescent="0.25">
      <c r="A1178" s="1"/>
      <c r="B1178" s="1"/>
      <c r="C1178" s="1"/>
      <c r="D1178" s="1"/>
      <c r="E1178" s="6"/>
      <c r="F1178" s="1"/>
      <c r="G1178" s="6"/>
      <c r="H1178" s="6"/>
      <c r="I1178" s="6"/>
      <c r="J1178" s="6"/>
      <c r="K1178" s="6"/>
      <c r="L1178" s="6"/>
      <c r="M1178" s="6"/>
      <c r="N1178" s="6"/>
      <c r="O1178" s="7"/>
      <c r="P1178" s="6"/>
      <c r="Q1178" s="6"/>
      <c r="R1178" s="7"/>
      <c r="S1178" s="6"/>
      <c r="T1178" s="6"/>
      <c r="U1178" s="7"/>
      <c r="V1178" s="6"/>
      <c r="W1178" s="6"/>
      <c r="X1178" s="6"/>
      <c r="Y1178" s="6"/>
      <c r="Z1178" s="6"/>
      <c r="AA1178" s="7"/>
      <c r="AB1178" s="6"/>
      <c r="AC1178" s="6"/>
      <c r="AD1178" s="6"/>
      <c r="AE1178" s="12"/>
      <c r="AF1178" s="6"/>
      <c r="AG1178" s="12"/>
      <c r="AH1178" s="6"/>
      <c r="AI1178" s="6"/>
      <c r="AJ1178" s="12"/>
      <c r="AK1178" s="1"/>
      <c r="AL1178" s="12"/>
      <c r="AM1178" s="12"/>
      <c r="AN1178" s="1"/>
      <c r="AO1178" s="6"/>
    </row>
    <row r="1179" spans="1:41" ht="15" x14ac:dyDescent="0.25">
      <c r="A1179" s="1"/>
      <c r="B1179" s="1"/>
      <c r="C1179" s="1"/>
      <c r="D1179" s="1"/>
      <c r="E1179" s="6"/>
      <c r="F1179" s="1"/>
      <c r="G1179" s="6"/>
      <c r="H1179" s="6"/>
      <c r="I1179" s="6"/>
      <c r="J1179" s="6"/>
      <c r="K1179" s="6"/>
      <c r="L1179" s="6"/>
      <c r="M1179" s="6"/>
      <c r="N1179" s="6"/>
      <c r="O1179" s="7"/>
      <c r="P1179" s="6"/>
      <c r="Q1179" s="6"/>
      <c r="R1179" s="12"/>
      <c r="S1179" s="12"/>
      <c r="T1179" s="12"/>
      <c r="U1179" s="7"/>
      <c r="V1179" s="6"/>
      <c r="W1179" s="6"/>
      <c r="X1179" s="12"/>
      <c r="Y1179" s="6"/>
      <c r="Z1179" s="6"/>
      <c r="AA1179" s="7"/>
      <c r="AB1179" s="6"/>
      <c r="AC1179" s="6"/>
      <c r="AD1179" s="6"/>
      <c r="AE1179" s="12"/>
      <c r="AF1179" s="12"/>
      <c r="AG1179" s="12"/>
      <c r="AH1179" s="12"/>
      <c r="AI1179" s="6"/>
      <c r="AJ1179" s="12"/>
      <c r="AK1179" s="24"/>
      <c r="AL1179" s="25"/>
      <c r="AM1179" s="12"/>
      <c r="AN1179" s="1"/>
      <c r="AO1179" s="6"/>
    </row>
    <row r="1180" spans="1:41" ht="15" x14ac:dyDescent="0.25">
      <c r="A1180" s="1"/>
      <c r="B1180" s="1"/>
      <c r="C1180" s="1"/>
      <c r="D1180" s="1"/>
      <c r="E1180" s="6"/>
      <c r="F1180" s="1"/>
      <c r="G1180" s="6"/>
      <c r="H1180" s="6"/>
      <c r="I1180" s="6"/>
      <c r="J1180" s="6"/>
      <c r="K1180" s="6"/>
      <c r="L1180" s="6"/>
      <c r="M1180" s="6"/>
      <c r="N1180" s="6"/>
      <c r="O1180" s="7"/>
      <c r="P1180" s="6"/>
      <c r="Q1180" s="6"/>
      <c r="R1180" s="7"/>
      <c r="S1180" s="6"/>
      <c r="T1180" s="6"/>
      <c r="U1180" s="7"/>
      <c r="V1180" s="6"/>
      <c r="W1180" s="6"/>
      <c r="X1180" s="12"/>
      <c r="Y1180" s="6"/>
      <c r="Z1180" s="6"/>
      <c r="AA1180" s="7"/>
      <c r="AB1180" s="6"/>
      <c r="AC1180" s="6"/>
      <c r="AD1180" s="6"/>
      <c r="AE1180" s="12"/>
      <c r="AF1180" s="12"/>
      <c r="AG1180" s="12"/>
      <c r="AH1180" s="12"/>
      <c r="AI1180" s="6"/>
      <c r="AJ1180" s="12"/>
      <c r="AK1180" s="1"/>
      <c r="AL1180" s="12"/>
      <c r="AM1180" s="12"/>
      <c r="AN1180" s="1"/>
      <c r="AO1180" s="6"/>
    </row>
    <row r="1181" spans="1:41" ht="15" x14ac:dyDescent="0.25">
      <c r="A1181" s="1"/>
      <c r="B1181" s="1"/>
      <c r="C1181" s="1"/>
      <c r="D1181" s="1"/>
      <c r="E1181" s="6"/>
      <c r="F1181" s="1"/>
      <c r="G1181" s="6"/>
      <c r="H1181" s="6"/>
      <c r="I1181" s="6"/>
      <c r="J1181" s="6"/>
      <c r="K1181" s="6"/>
      <c r="L1181" s="6"/>
      <c r="M1181" s="6"/>
      <c r="N1181" s="6"/>
      <c r="O1181" s="7"/>
      <c r="P1181" s="6"/>
      <c r="Q1181" s="6"/>
      <c r="R1181" s="7"/>
      <c r="S1181" s="6"/>
      <c r="T1181" s="6"/>
      <c r="U1181" s="7"/>
      <c r="V1181" s="6"/>
      <c r="W1181" s="6"/>
      <c r="X1181" s="12"/>
      <c r="Y1181" s="6"/>
      <c r="Z1181" s="6"/>
      <c r="AA1181" s="7"/>
      <c r="AB1181" s="6"/>
      <c r="AC1181" s="6"/>
      <c r="AD1181" s="6"/>
      <c r="AE1181" s="12"/>
      <c r="AF1181" s="6"/>
      <c r="AG1181" s="12"/>
      <c r="AH1181" s="6"/>
      <c r="AI1181" s="6"/>
      <c r="AJ1181" s="12"/>
      <c r="AK1181" s="1"/>
      <c r="AL1181" s="12"/>
      <c r="AM1181" s="12"/>
      <c r="AN1181" s="1"/>
      <c r="AO1181" s="6"/>
    </row>
    <row r="1182" spans="1:41" ht="15" x14ac:dyDescent="0.25">
      <c r="A1182" s="1"/>
      <c r="B1182" s="1"/>
      <c r="C1182" s="1"/>
      <c r="D1182" s="1"/>
      <c r="E1182" s="6"/>
      <c r="F1182" s="1"/>
      <c r="G1182" s="6"/>
      <c r="H1182" s="6"/>
      <c r="I1182" s="6"/>
      <c r="J1182" s="6"/>
      <c r="K1182" s="6"/>
      <c r="L1182" s="6"/>
      <c r="M1182" s="6"/>
      <c r="N1182" s="6"/>
      <c r="O1182" s="7"/>
      <c r="P1182" s="6"/>
      <c r="Q1182" s="6"/>
      <c r="R1182" s="7"/>
      <c r="S1182" s="6"/>
      <c r="T1182" s="6"/>
      <c r="U1182" s="7"/>
      <c r="V1182" s="6"/>
      <c r="W1182" s="6"/>
      <c r="X1182" s="6"/>
      <c r="Y1182" s="6"/>
      <c r="Z1182" s="6"/>
      <c r="AA1182" s="7"/>
      <c r="AB1182" s="6"/>
      <c r="AC1182" s="6"/>
      <c r="AD1182" s="6"/>
      <c r="AE1182" s="12"/>
      <c r="AF1182" s="6"/>
      <c r="AG1182" s="12"/>
      <c r="AH1182" s="6"/>
      <c r="AI1182" s="6"/>
      <c r="AJ1182" s="12"/>
      <c r="AK1182" s="24"/>
      <c r="AL1182" s="25"/>
      <c r="AM1182" s="12"/>
      <c r="AN1182" s="1"/>
      <c r="AO1182" s="6"/>
    </row>
    <row r="1183" spans="1:41" ht="15" x14ac:dyDescent="0.25">
      <c r="A1183" s="1"/>
      <c r="B1183" s="1"/>
      <c r="C1183" s="1"/>
      <c r="D1183" s="1"/>
      <c r="E1183" s="6"/>
      <c r="F1183" s="1"/>
      <c r="G1183" s="6"/>
      <c r="H1183" s="6"/>
      <c r="I1183" s="6"/>
      <c r="J1183" s="6"/>
      <c r="K1183" s="6"/>
      <c r="L1183" s="6"/>
      <c r="M1183" s="6"/>
      <c r="N1183" s="6"/>
      <c r="O1183" s="7"/>
      <c r="P1183" s="12"/>
      <c r="Q1183" s="6"/>
      <c r="R1183" s="7"/>
      <c r="S1183" s="6"/>
      <c r="T1183" s="6"/>
      <c r="U1183" s="7"/>
      <c r="V1183" s="6"/>
      <c r="W1183" s="6"/>
      <c r="X1183" s="6"/>
      <c r="Y1183" s="6"/>
      <c r="Z1183" s="6"/>
      <c r="AA1183" s="7"/>
      <c r="AB1183" s="6"/>
      <c r="AC1183" s="6"/>
      <c r="AD1183" s="6"/>
      <c r="AE1183" s="12"/>
      <c r="AF1183" s="6"/>
      <c r="AG1183" s="12"/>
      <c r="AH1183" s="6"/>
      <c r="AI1183" s="6"/>
      <c r="AJ1183" s="12"/>
      <c r="AK1183" s="24"/>
      <c r="AL1183" s="25"/>
      <c r="AM1183" s="12"/>
      <c r="AN1183" s="1"/>
      <c r="AO1183" s="6"/>
    </row>
    <row r="1184" spans="1:41" ht="15" x14ac:dyDescent="0.25">
      <c r="A1184" s="1"/>
      <c r="B1184" s="1"/>
      <c r="C1184" s="1"/>
      <c r="D1184" s="1"/>
      <c r="E1184" s="6"/>
      <c r="F1184" s="1"/>
      <c r="G1184" s="6"/>
      <c r="H1184" s="6"/>
      <c r="I1184" s="6"/>
      <c r="J1184" s="6"/>
      <c r="K1184" s="6"/>
      <c r="L1184" s="6"/>
      <c r="M1184" s="6"/>
      <c r="N1184" s="6"/>
      <c r="O1184" s="7"/>
      <c r="P1184" s="6"/>
      <c r="Q1184" s="6"/>
      <c r="R1184" s="7"/>
      <c r="S1184" s="6"/>
      <c r="T1184" s="6"/>
      <c r="U1184" s="7"/>
      <c r="V1184" s="6"/>
      <c r="W1184" s="6"/>
      <c r="X1184" s="6"/>
      <c r="Y1184" s="6"/>
      <c r="Z1184" s="6"/>
      <c r="AA1184" s="7"/>
      <c r="AB1184" s="6"/>
      <c r="AC1184" s="6"/>
      <c r="AD1184" s="6"/>
      <c r="AE1184" s="12"/>
      <c r="AF1184" s="12"/>
      <c r="AG1184" s="12"/>
      <c r="AH1184" s="12"/>
      <c r="AI1184" s="6"/>
      <c r="AJ1184" s="12"/>
      <c r="AK1184" s="1"/>
      <c r="AL1184" s="12"/>
      <c r="AM1184" s="12"/>
      <c r="AN1184" s="1"/>
      <c r="AO1184" s="6"/>
    </row>
    <row r="1185" spans="1:41" ht="15" x14ac:dyDescent="0.25">
      <c r="A1185" s="1"/>
      <c r="B1185" s="1"/>
      <c r="C1185" s="1"/>
      <c r="D1185" s="1"/>
      <c r="E1185" s="6"/>
      <c r="F1185" s="1"/>
      <c r="G1185" s="6"/>
      <c r="H1185" s="6"/>
      <c r="I1185" s="6"/>
      <c r="J1185" s="6"/>
      <c r="K1185" s="6"/>
      <c r="L1185" s="6"/>
      <c r="M1185" s="6"/>
      <c r="N1185" s="6"/>
      <c r="O1185" s="7"/>
      <c r="P1185" s="6"/>
      <c r="Q1185" s="6"/>
      <c r="R1185" s="7"/>
      <c r="S1185" s="6"/>
      <c r="T1185" s="6"/>
      <c r="U1185" s="7"/>
      <c r="V1185" s="6"/>
      <c r="W1185" s="6"/>
      <c r="X1185" s="12"/>
      <c r="Y1185" s="6"/>
      <c r="Z1185" s="6"/>
      <c r="AA1185" s="7"/>
      <c r="AB1185" s="6"/>
      <c r="AC1185" s="6"/>
      <c r="AD1185" s="6"/>
      <c r="AE1185" s="12"/>
      <c r="AF1185" s="6"/>
      <c r="AG1185" s="12"/>
      <c r="AH1185" s="6"/>
      <c r="AI1185" s="6"/>
      <c r="AJ1185" s="12"/>
      <c r="AK1185" s="1"/>
      <c r="AL1185" s="12"/>
      <c r="AM1185" s="12"/>
      <c r="AN1185" s="1"/>
      <c r="AO1185" s="6"/>
    </row>
    <row r="1186" spans="1:41" ht="15" x14ac:dyDescent="0.25">
      <c r="A1186" s="1"/>
      <c r="B1186" s="1"/>
      <c r="C1186" s="1"/>
      <c r="D1186" s="1"/>
      <c r="E1186" s="6"/>
      <c r="F1186" s="1"/>
      <c r="G1186" s="6"/>
      <c r="H1186" s="6"/>
      <c r="I1186" s="6"/>
      <c r="J1186" s="6"/>
      <c r="K1186" s="6"/>
      <c r="L1186" s="6"/>
      <c r="M1186" s="6"/>
      <c r="N1186" s="6"/>
      <c r="O1186" s="7"/>
      <c r="P1186" s="6"/>
      <c r="Q1186" s="7"/>
      <c r="R1186" s="6"/>
      <c r="S1186" s="6"/>
      <c r="T1186" s="6"/>
      <c r="U1186" s="6"/>
      <c r="V1186" s="7"/>
      <c r="W1186" s="7"/>
      <c r="X1186" s="6"/>
      <c r="Y1186" s="6"/>
      <c r="Z1186" s="6"/>
      <c r="AA1186" s="1"/>
      <c r="AB1186" s="12"/>
      <c r="AC1186" s="12"/>
      <c r="AD1186" s="12"/>
      <c r="AE1186" s="12"/>
      <c r="AF1186" s="12"/>
      <c r="AG1186" s="12"/>
      <c r="AH1186" s="12"/>
      <c r="AI1186" s="6"/>
      <c r="AJ1186" s="12"/>
      <c r="AK1186" s="12"/>
      <c r="AL1186" s="12"/>
      <c r="AM1186" s="12"/>
      <c r="AN1186" s="1"/>
      <c r="AO1186" s="6"/>
    </row>
    <row r="1187" spans="1:41" ht="15" x14ac:dyDescent="0.25">
      <c r="A1187" s="1"/>
      <c r="B1187" s="1"/>
      <c r="C1187" s="1"/>
      <c r="D1187" s="1"/>
      <c r="E1187" s="6"/>
      <c r="F1187" s="1"/>
      <c r="G1187" s="6"/>
      <c r="H1187" s="6"/>
      <c r="I1187" s="6"/>
      <c r="J1187" s="6"/>
      <c r="K1187" s="6"/>
      <c r="L1187" s="6"/>
      <c r="M1187" s="6"/>
      <c r="N1187" s="6"/>
      <c r="O1187" s="7"/>
      <c r="P1187" s="6"/>
      <c r="Q1187" s="6"/>
      <c r="R1187" s="7"/>
      <c r="S1187" s="6"/>
      <c r="T1187" s="6"/>
      <c r="U1187" s="7"/>
      <c r="V1187" s="6"/>
      <c r="W1187" s="6"/>
      <c r="X1187" s="12"/>
      <c r="Y1187" s="6"/>
      <c r="Z1187" s="6"/>
      <c r="AA1187" s="7"/>
      <c r="AB1187" s="6"/>
      <c r="AC1187" s="6"/>
      <c r="AD1187" s="6"/>
      <c r="AE1187" s="12"/>
      <c r="AF1187" s="12"/>
      <c r="AG1187" s="12"/>
      <c r="AH1187" s="12"/>
      <c r="AI1187" s="6"/>
      <c r="AJ1187" s="12"/>
      <c r="AK1187" s="1"/>
      <c r="AL1187" s="12"/>
      <c r="AM1187" s="12"/>
      <c r="AN1187" s="1"/>
      <c r="AO1187" s="12"/>
    </row>
    <row r="1188" spans="1:41" ht="15" x14ac:dyDescent="0.25">
      <c r="A1188" s="1"/>
      <c r="B1188" s="1"/>
      <c r="C1188" s="1"/>
      <c r="D1188" s="1"/>
      <c r="E1188" s="6"/>
      <c r="F1188" s="1"/>
      <c r="G1188" s="6"/>
      <c r="H1188" s="6"/>
      <c r="I1188" s="6"/>
      <c r="J1188" s="6"/>
      <c r="K1188" s="12"/>
      <c r="L1188" s="12"/>
      <c r="M1188" s="6"/>
      <c r="N1188" s="6"/>
      <c r="O1188" s="7"/>
      <c r="P1188" s="6"/>
      <c r="Q1188" s="6"/>
      <c r="R1188" s="7"/>
      <c r="S1188" s="6"/>
      <c r="T1188" s="6"/>
      <c r="U1188" s="7"/>
      <c r="V1188" s="6"/>
      <c r="W1188" s="6"/>
      <c r="X1188" s="12"/>
      <c r="Y1188" s="6"/>
      <c r="Z1188" s="6"/>
      <c r="AA1188" s="7"/>
      <c r="AB1188" s="6"/>
      <c r="AC1188" s="6"/>
      <c r="AD1188" s="6"/>
      <c r="AE1188" s="12"/>
      <c r="AF1188" s="12"/>
      <c r="AG1188" s="12"/>
      <c r="AH1188" s="12"/>
      <c r="AI1188" s="6"/>
      <c r="AJ1188" s="12"/>
      <c r="AK1188" s="1"/>
      <c r="AL1188" s="12"/>
      <c r="AM1188" s="12"/>
      <c r="AN1188" s="1"/>
      <c r="AO1188" s="12"/>
    </row>
    <row r="1189" spans="1:41" ht="15" x14ac:dyDescent="0.25">
      <c r="A1189" s="1"/>
      <c r="B1189" s="1"/>
      <c r="C1189" s="1"/>
      <c r="D1189" s="1"/>
      <c r="E1189" s="6"/>
      <c r="F1189" s="1"/>
      <c r="G1189" s="6"/>
      <c r="H1189" s="6"/>
      <c r="I1189" s="6"/>
      <c r="J1189" s="6"/>
      <c r="K1189" s="6"/>
      <c r="L1189" s="6"/>
      <c r="M1189" s="6"/>
      <c r="N1189" s="6"/>
      <c r="O1189" s="7"/>
      <c r="P1189" s="6"/>
      <c r="Q1189" s="6"/>
      <c r="R1189" s="7"/>
      <c r="S1189" s="6"/>
      <c r="T1189" s="6"/>
      <c r="U1189" s="7"/>
      <c r="V1189" s="6"/>
      <c r="W1189" s="6"/>
      <c r="X1189" s="12"/>
      <c r="Y1189" s="6"/>
      <c r="Z1189" s="6"/>
      <c r="AA1189" s="7"/>
      <c r="AB1189" s="6"/>
      <c r="AC1189" s="6"/>
      <c r="AD1189" s="6"/>
      <c r="AE1189" s="12"/>
      <c r="AF1189" s="6"/>
      <c r="AG1189" s="12"/>
      <c r="AH1189" s="6"/>
      <c r="AI1189" s="6"/>
      <c r="AJ1189" s="12"/>
      <c r="AK1189" s="24"/>
      <c r="AL1189" s="25"/>
      <c r="AM1189" s="12"/>
      <c r="AN1189" s="1"/>
      <c r="AO1189" s="6"/>
    </row>
    <row r="1190" spans="1:41" ht="15" x14ac:dyDescent="0.25">
      <c r="A1190" s="1"/>
      <c r="B1190" s="1"/>
      <c r="C1190" s="1"/>
      <c r="D1190" s="1"/>
      <c r="E1190" s="6"/>
      <c r="F1190" s="1"/>
      <c r="G1190" s="6"/>
      <c r="H1190" s="6"/>
      <c r="I1190" s="6"/>
      <c r="J1190" s="6"/>
      <c r="K1190" s="6"/>
      <c r="L1190" s="6"/>
      <c r="M1190" s="6"/>
      <c r="N1190" s="6"/>
      <c r="O1190" s="7"/>
      <c r="P1190" s="6"/>
      <c r="Q1190" s="6"/>
      <c r="R1190" s="7"/>
      <c r="S1190" s="6"/>
      <c r="T1190" s="6"/>
      <c r="U1190" s="7"/>
      <c r="V1190" s="6"/>
      <c r="W1190" s="6"/>
      <c r="X1190" s="12"/>
      <c r="Y1190" s="6"/>
      <c r="Z1190" s="6"/>
      <c r="AA1190" s="7"/>
      <c r="AB1190" s="6"/>
      <c r="AC1190" s="6"/>
      <c r="AD1190" s="6"/>
      <c r="AE1190" s="12"/>
      <c r="AF1190" s="12"/>
      <c r="AG1190" s="12"/>
      <c r="AH1190" s="12"/>
      <c r="AI1190" s="6"/>
      <c r="AJ1190" s="12"/>
      <c r="AK1190" s="24"/>
      <c r="AL1190" s="25"/>
      <c r="AM1190" s="12"/>
      <c r="AN1190" s="1"/>
      <c r="AO1190" s="6"/>
    </row>
    <row r="1191" spans="1:41" ht="15" x14ac:dyDescent="0.25">
      <c r="A1191" s="1"/>
      <c r="B1191" s="1"/>
      <c r="C1191" s="1"/>
      <c r="D1191" s="1"/>
      <c r="E1191" s="6"/>
      <c r="F1191" s="1"/>
      <c r="G1191" s="6"/>
      <c r="H1191" s="6"/>
      <c r="I1191" s="6"/>
      <c r="J1191" s="6"/>
      <c r="K1191" s="6"/>
      <c r="L1191" s="6"/>
      <c r="M1191" s="6"/>
      <c r="N1191" s="6"/>
      <c r="O1191" s="7"/>
      <c r="P1191" s="6"/>
      <c r="Q1191" s="6"/>
      <c r="R1191" s="7"/>
      <c r="S1191" s="6"/>
      <c r="T1191" s="6"/>
      <c r="U1191" s="7"/>
      <c r="V1191" s="6"/>
      <c r="W1191" s="6"/>
      <c r="X1191" s="6"/>
      <c r="Y1191" s="6"/>
      <c r="Z1191" s="6"/>
      <c r="AA1191" s="7"/>
      <c r="AB1191" s="6"/>
      <c r="AC1191" s="6"/>
      <c r="AD1191" s="6"/>
      <c r="AE1191" s="12"/>
      <c r="AF1191" s="12"/>
      <c r="AG1191" s="12"/>
      <c r="AH1191" s="12"/>
      <c r="AI1191" s="6"/>
      <c r="AJ1191" s="12"/>
      <c r="AK1191" s="1"/>
      <c r="AL1191" s="12"/>
      <c r="AM1191" s="12"/>
      <c r="AN1191" s="1"/>
      <c r="AO1191" s="6"/>
    </row>
    <row r="1192" spans="1:41" ht="15" x14ac:dyDescent="0.25">
      <c r="A1192" s="1"/>
      <c r="B1192" s="1"/>
      <c r="C1192" s="1"/>
      <c r="D1192" s="1"/>
      <c r="E1192" s="6"/>
      <c r="F1192" s="1"/>
      <c r="G1192" s="6"/>
      <c r="H1192" s="6"/>
      <c r="I1192" s="6"/>
      <c r="J1192" s="6"/>
      <c r="K1192" s="6"/>
      <c r="L1192" s="6"/>
      <c r="M1192" s="6"/>
      <c r="N1192" s="6"/>
      <c r="O1192" s="7"/>
      <c r="P1192" s="6"/>
      <c r="Q1192" s="6"/>
      <c r="R1192" s="7"/>
      <c r="S1192" s="6"/>
      <c r="T1192" s="6"/>
      <c r="U1192" s="7"/>
      <c r="V1192" s="6"/>
      <c r="W1192" s="6"/>
      <c r="X1192" s="6"/>
      <c r="Y1192" s="6"/>
      <c r="Z1192" s="6"/>
      <c r="AA1192" s="7"/>
      <c r="AB1192" s="6"/>
      <c r="AC1192" s="6"/>
      <c r="AD1192" s="6"/>
      <c r="AE1192" s="12"/>
      <c r="AF1192" s="6"/>
      <c r="AG1192" s="12"/>
      <c r="AH1192" s="6"/>
      <c r="AI1192" s="6"/>
      <c r="AJ1192" s="12"/>
      <c r="AK1192" s="1"/>
      <c r="AL1192" s="12"/>
      <c r="AM1192" s="12"/>
      <c r="AN1192" s="1"/>
      <c r="AO1192" s="6"/>
    </row>
    <row r="1193" spans="1:41" ht="15" x14ac:dyDescent="0.25">
      <c r="A1193" s="1"/>
      <c r="B1193" s="1"/>
      <c r="C1193" s="1"/>
      <c r="D1193" s="1"/>
      <c r="E1193" s="6"/>
      <c r="F1193" s="1"/>
      <c r="G1193" s="6"/>
      <c r="H1193" s="6"/>
      <c r="I1193" s="6"/>
      <c r="J1193" s="6"/>
      <c r="K1193" s="6"/>
      <c r="L1193" s="6"/>
      <c r="M1193" s="6"/>
      <c r="N1193" s="6"/>
      <c r="O1193" s="7"/>
      <c r="P1193" s="12"/>
      <c r="Q1193" s="6"/>
      <c r="R1193" s="7"/>
      <c r="S1193" s="6"/>
      <c r="T1193" s="6"/>
      <c r="U1193" s="7"/>
      <c r="V1193" s="6"/>
      <c r="W1193" s="6"/>
      <c r="X1193" s="6"/>
      <c r="Y1193" s="6"/>
      <c r="Z1193" s="6"/>
      <c r="AA1193" s="7"/>
      <c r="AB1193" s="6"/>
      <c r="AC1193" s="6"/>
      <c r="AD1193" s="6"/>
      <c r="AE1193" s="12"/>
      <c r="AF1193" s="6"/>
      <c r="AG1193" s="12"/>
      <c r="AH1193" s="6"/>
      <c r="AI1193" s="6"/>
      <c r="AJ1193" s="12"/>
      <c r="AK1193" s="1"/>
      <c r="AL1193" s="12"/>
      <c r="AM1193" s="12"/>
      <c r="AN1193" s="1"/>
      <c r="AO1193" s="6"/>
    </row>
    <row r="1194" spans="1:41" ht="15" x14ac:dyDescent="0.25">
      <c r="A1194" s="1"/>
      <c r="B1194" s="1"/>
      <c r="C1194" s="1"/>
      <c r="D1194" s="1"/>
      <c r="E1194" s="6"/>
      <c r="F1194" s="1"/>
      <c r="G1194" s="6"/>
      <c r="H1194" s="6"/>
      <c r="I1194" s="6"/>
      <c r="J1194" s="6"/>
      <c r="K1194" s="6"/>
      <c r="L1194" s="6"/>
      <c r="M1194" s="6"/>
      <c r="N1194" s="6"/>
      <c r="O1194" s="7"/>
      <c r="P1194" s="12"/>
      <c r="Q1194" s="6"/>
      <c r="R1194" s="7"/>
      <c r="S1194" s="6"/>
      <c r="T1194" s="6"/>
      <c r="U1194" s="7"/>
      <c r="V1194" s="6"/>
      <c r="W1194" s="6"/>
      <c r="X1194" s="6"/>
      <c r="Y1194" s="6"/>
      <c r="Z1194" s="6"/>
      <c r="AA1194" s="7"/>
      <c r="AB1194" s="6"/>
      <c r="AC1194" s="6"/>
      <c r="AD1194" s="6"/>
      <c r="AE1194" s="12"/>
      <c r="AF1194" s="6"/>
      <c r="AG1194" s="12"/>
      <c r="AH1194" s="6"/>
      <c r="AI1194" s="6"/>
      <c r="AJ1194" s="12"/>
      <c r="AK1194" s="1"/>
      <c r="AL1194" s="12"/>
      <c r="AM1194" s="12"/>
      <c r="AN1194" s="1"/>
      <c r="AO1194" s="6"/>
    </row>
    <row r="1195" spans="1:41" ht="15" x14ac:dyDescent="0.25">
      <c r="A1195" s="1"/>
      <c r="B1195" s="1"/>
      <c r="C1195" s="1"/>
      <c r="D1195" s="1"/>
      <c r="E1195" s="6"/>
      <c r="F1195" s="1"/>
      <c r="G1195" s="6"/>
      <c r="H1195" s="6"/>
      <c r="I1195" s="6"/>
      <c r="J1195" s="6"/>
      <c r="K1195" s="6"/>
      <c r="L1195" s="6"/>
      <c r="M1195" s="6"/>
      <c r="N1195" s="6"/>
      <c r="O1195" s="7"/>
      <c r="P1195" s="6"/>
      <c r="Q1195" s="7"/>
      <c r="R1195" s="6"/>
      <c r="S1195" s="12"/>
      <c r="T1195" s="6"/>
      <c r="U1195" s="6"/>
      <c r="V1195" s="7"/>
      <c r="W1195" s="6"/>
      <c r="X1195" s="6"/>
      <c r="Y1195" s="6"/>
      <c r="Z1195" s="6"/>
      <c r="AA1195" s="1"/>
      <c r="AB1195" s="12"/>
      <c r="AC1195" s="12"/>
      <c r="AD1195" s="12"/>
      <c r="AE1195" s="12"/>
      <c r="AF1195" s="6"/>
      <c r="AG1195" s="12"/>
      <c r="AH1195" s="6"/>
      <c r="AI1195" s="6"/>
      <c r="AJ1195" s="12"/>
      <c r="AK1195" s="12"/>
      <c r="AL1195" s="12"/>
      <c r="AM1195" s="12"/>
      <c r="AN1195" s="1"/>
      <c r="AO1195" s="6"/>
    </row>
    <row r="1196" spans="1:41" ht="15" x14ac:dyDescent="0.25">
      <c r="A1196" s="1"/>
      <c r="B1196" s="1"/>
      <c r="C1196" s="1"/>
      <c r="D1196" s="1"/>
      <c r="E1196" s="6"/>
      <c r="F1196" s="1"/>
      <c r="G1196" s="6"/>
      <c r="H1196" s="6"/>
      <c r="I1196" s="6"/>
      <c r="J1196" s="6"/>
      <c r="K1196" s="6"/>
      <c r="L1196" s="6"/>
      <c r="M1196" s="6"/>
      <c r="N1196" s="6"/>
      <c r="O1196" s="7"/>
      <c r="P1196" s="6"/>
      <c r="Q1196" s="7"/>
      <c r="R1196" s="6"/>
      <c r="S1196" s="6"/>
      <c r="T1196" s="6"/>
      <c r="U1196" s="6"/>
      <c r="V1196" s="7"/>
      <c r="W1196" s="7"/>
      <c r="X1196" s="6"/>
      <c r="Y1196" s="6"/>
      <c r="Z1196" s="6"/>
      <c r="AA1196" s="1"/>
      <c r="AB1196" s="12"/>
      <c r="AC1196" s="12"/>
      <c r="AD1196" s="12"/>
      <c r="AE1196" s="12"/>
      <c r="AF1196" s="12"/>
      <c r="AG1196" s="12"/>
      <c r="AH1196" s="12"/>
      <c r="AI1196" s="6"/>
      <c r="AJ1196" s="12"/>
      <c r="AK1196" s="12"/>
      <c r="AL1196" s="12"/>
      <c r="AM1196" s="12"/>
      <c r="AN1196" s="1"/>
      <c r="AO1196" s="6"/>
    </row>
    <row r="1197" spans="1:41" ht="15" x14ac:dyDescent="0.25">
      <c r="A1197" s="1"/>
      <c r="B1197" s="1"/>
      <c r="C1197" s="1"/>
      <c r="D1197" s="1"/>
      <c r="E1197" s="6"/>
      <c r="F1197" s="1"/>
      <c r="G1197" s="6"/>
      <c r="H1197" s="6"/>
      <c r="I1197" s="6"/>
      <c r="J1197" s="6"/>
      <c r="K1197" s="6"/>
      <c r="L1197" s="6"/>
      <c r="M1197" s="6"/>
      <c r="N1197" s="6"/>
      <c r="O1197" s="7"/>
      <c r="P1197" s="12"/>
      <c r="Q1197" s="6"/>
      <c r="R1197" s="7"/>
      <c r="S1197" s="6"/>
      <c r="T1197" s="6"/>
      <c r="U1197" s="7"/>
      <c r="V1197" s="6"/>
      <c r="W1197" s="6"/>
      <c r="X1197" s="6"/>
      <c r="Y1197" s="6"/>
      <c r="Z1197" s="6"/>
      <c r="AA1197" s="7"/>
      <c r="AB1197" s="6"/>
      <c r="AC1197" s="6"/>
      <c r="AD1197" s="6"/>
      <c r="AE1197" s="12"/>
      <c r="AF1197" s="6"/>
      <c r="AG1197" s="12"/>
      <c r="AH1197" s="6"/>
      <c r="AI1197" s="6"/>
      <c r="AJ1197" s="12"/>
      <c r="AK1197" s="24"/>
      <c r="AL1197" s="25"/>
      <c r="AM1197" s="12"/>
      <c r="AN1197" s="1"/>
      <c r="AO1197" s="6"/>
    </row>
    <row r="1198" spans="1:41" ht="15" x14ac:dyDescent="0.25">
      <c r="A1198" s="1"/>
      <c r="B1198" s="1"/>
      <c r="C1198" s="1"/>
      <c r="D1198" s="1"/>
      <c r="E1198" s="6"/>
      <c r="F1198" s="1"/>
      <c r="G1198" s="6"/>
      <c r="H1198" s="6"/>
      <c r="I1198" s="6"/>
      <c r="J1198" s="6"/>
      <c r="K1198" s="6"/>
      <c r="L1198" s="6"/>
      <c r="M1198" s="6"/>
      <c r="N1198" s="6"/>
      <c r="O1198" s="7"/>
      <c r="P1198" s="6"/>
      <c r="Q1198" s="6"/>
      <c r="R1198" s="7"/>
      <c r="S1198" s="6"/>
      <c r="T1198" s="6"/>
      <c r="U1198" s="7"/>
      <c r="V1198" s="6"/>
      <c r="W1198" s="6"/>
      <c r="X1198" s="6"/>
      <c r="Y1198" s="6"/>
      <c r="Z1198" s="6"/>
      <c r="AA1198" s="7"/>
      <c r="AB1198" s="6"/>
      <c r="AC1198" s="6"/>
      <c r="AD1198" s="6"/>
      <c r="AE1198" s="12"/>
      <c r="AF1198" s="12"/>
      <c r="AG1198" s="12"/>
      <c r="AH1198" s="12"/>
      <c r="AI1198" s="6"/>
      <c r="AJ1198" s="12"/>
      <c r="AK1198" s="1"/>
      <c r="AL1198" s="12"/>
      <c r="AM1198" s="12"/>
      <c r="AN1198" s="1"/>
      <c r="AO1198" s="6"/>
    </row>
    <row r="1199" spans="1:41" ht="15" x14ac:dyDescent="0.25">
      <c r="A1199" s="1"/>
      <c r="B1199" s="1"/>
      <c r="C1199" s="1"/>
      <c r="D1199" s="1"/>
      <c r="E1199" s="6"/>
      <c r="F1199" s="1"/>
      <c r="G1199" s="6"/>
      <c r="H1199" s="6"/>
      <c r="I1199" s="6"/>
      <c r="J1199" s="6"/>
      <c r="K1199" s="6"/>
      <c r="L1199" s="6"/>
      <c r="M1199" s="6"/>
      <c r="N1199" s="6"/>
      <c r="O1199" s="7"/>
      <c r="P1199" s="6"/>
      <c r="Q1199" s="6"/>
      <c r="R1199" s="7"/>
      <c r="S1199" s="6"/>
      <c r="T1199" s="6"/>
      <c r="U1199" s="7"/>
      <c r="V1199" s="6"/>
      <c r="W1199" s="6"/>
      <c r="X1199" s="12"/>
      <c r="Y1199" s="6"/>
      <c r="Z1199" s="6"/>
      <c r="AA1199" s="7"/>
      <c r="AB1199" s="6"/>
      <c r="AC1199" s="6"/>
      <c r="AD1199" s="6"/>
      <c r="AE1199" s="12"/>
      <c r="AF1199" s="12"/>
      <c r="AG1199" s="12"/>
      <c r="AH1199" s="12"/>
      <c r="AI1199" s="6"/>
      <c r="AJ1199" s="12"/>
      <c r="AK1199" s="1"/>
      <c r="AL1199" s="12"/>
      <c r="AM1199" s="12"/>
      <c r="AN1199" s="1"/>
      <c r="AO1199" s="6"/>
    </row>
    <row r="1200" spans="1:41" ht="15" x14ac:dyDescent="0.25">
      <c r="A1200" s="1"/>
      <c r="B1200" s="1"/>
      <c r="C1200" s="1"/>
      <c r="D1200" s="1"/>
      <c r="E1200" s="6"/>
      <c r="F1200" s="1"/>
      <c r="G1200" s="6"/>
      <c r="H1200" s="6"/>
      <c r="I1200" s="6"/>
      <c r="J1200" s="6"/>
      <c r="K1200" s="6"/>
      <c r="L1200" s="6"/>
      <c r="M1200" s="6"/>
      <c r="N1200" s="6"/>
      <c r="O1200" s="7"/>
      <c r="P1200" s="6"/>
      <c r="Q1200" s="6"/>
      <c r="R1200" s="7"/>
      <c r="S1200" s="6"/>
      <c r="T1200" s="6"/>
      <c r="U1200" s="7"/>
      <c r="V1200" s="6"/>
      <c r="W1200" s="6"/>
      <c r="X1200" s="12"/>
      <c r="Y1200" s="6"/>
      <c r="Z1200" s="6"/>
      <c r="AA1200" s="7"/>
      <c r="AB1200" s="6"/>
      <c r="AC1200" s="6"/>
      <c r="AD1200" s="6"/>
      <c r="AE1200" s="12"/>
      <c r="AF1200" s="12"/>
      <c r="AG1200" s="12"/>
      <c r="AH1200" s="12"/>
      <c r="AI1200" s="6"/>
      <c r="AJ1200" s="12"/>
      <c r="AK1200" s="1"/>
      <c r="AL1200" s="12"/>
      <c r="AM1200" s="12"/>
      <c r="AN1200" s="1"/>
      <c r="AO1200" s="6"/>
    </row>
    <row r="1201" spans="1:41" ht="15" x14ac:dyDescent="0.25">
      <c r="A1201" s="1"/>
      <c r="B1201" s="1"/>
      <c r="C1201" s="1"/>
      <c r="D1201" s="1"/>
      <c r="E1201" s="6"/>
      <c r="F1201" s="1"/>
      <c r="G1201" s="6"/>
      <c r="H1201" s="6"/>
      <c r="I1201" s="6"/>
      <c r="J1201" s="6"/>
      <c r="K1201" s="6"/>
      <c r="L1201" s="6"/>
      <c r="M1201" s="6"/>
      <c r="N1201" s="6"/>
      <c r="O1201" s="7"/>
      <c r="P1201" s="12"/>
      <c r="Q1201" s="6"/>
      <c r="R1201" s="7"/>
      <c r="S1201" s="6"/>
      <c r="T1201" s="6"/>
      <c r="U1201" s="7"/>
      <c r="V1201" s="6"/>
      <c r="W1201" s="6"/>
      <c r="X1201" s="12"/>
      <c r="Y1201" s="6"/>
      <c r="Z1201" s="6"/>
      <c r="AA1201" s="7"/>
      <c r="AB1201" s="6"/>
      <c r="AC1201" s="6"/>
      <c r="AD1201" s="6"/>
      <c r="AE1201" s="12"/>
      <c r="AF1201" s="12"/>
      <c r="AG1201" s="12"/>
      <c r="AH1201" s="12"/>
      <c r="AI1201" s="6"/>
      <c r="AJ1201" s="12"/>
      <c r="AK1201" s="1"/>
      <c r="AL1201" s="12"/>
      <c r="AM1201" s="12"/>
      <c r="AN1201" s="1"/>
      <c r="AO1201" s="6"/>
    </row>
    <row r="1202" spans="1:41" ht="15" x14ac:dyDescent="0.25">
      <c r="A1202" s="1"/>
      <c r="B1202" s="1"/>
      <c r="C1202" s="1"/>
      <c r="D1202" s="1"/>
      <c r="E1202" s="6"/>
      <c r="F1202" s="1"/>
      <c r="G1202" s="6"/>
      <c r="H1202" s="6"/>
      <c r="I1202" s="6"/>
      <c r="J1202" s="6"/>
      <c r="K1202" s="6"/>
      <c r="L1202" s="6"/>
      <c r="M1202" s="6"/>
      <c r="N1202" s="6"/>
      <c r="O1202" s="7"/>
      <c r="P1202" s="6"/>
      <c r="Q1202" s="7"/>
      <c r="R1202" s="6"/>
      <c r="S1202" s="6"/>
      <c r="T1202" s="6"/>
      <c r="U1202" s="6"/>
      <c r="V1202" s="7"/>
      <c r="W1202" s="6"/>
      <c r="X1202" s="6"/>
      <c r="Y1202" s="6"/>
      <c r="Z1202" s="6"/>
      <c r="AA1202" s="1"/>
      <c r="AB1202" s="12"/>
      <c r="AC1202" s="12"/>
      <c r="AD1202" s="12"/>
      <c r="AE1202" s="12"/>
      <c r="AF1202" s="6"/>
      <c r="AG1202" s="12"/>
      <c r="AH1202" s="6"/>
      <c r="AI1202" s="6"/>
      <c r="AJ1202" s="12"/>
      <c r="AK1202" s="12"/>
      <c r="AL1202" s="12"/>
      <c r="AM1202" s="12"/>
      <c r="AN1202" s="1"/>
      <c r="AO1202" s="6"/>
    </row>
    <row r="1203" spans="1:41" ht="15" x14ac:dyDescent="0.25">
      <c r="A1203" s="1"/>
      <c r="B1203" s="1"/>
      <c r="C1203" s="1"/>
      <c r="D1203" s="1"/>
      <c r="E1203" s="6"/>
      <c r="F1203" s="1"/>
      <c r="G1203" s="6"/>
      <c r="H1203" s="6"/>
      <c r="I1203" s="6"/>
      <c r="J1203" s="6"/>
      <c r="K1203" s="6"/>
      <c r="L1203" s="6"/>
      <c r="M1203" s="6"/>
      <c r="N1203" s="6"/>
      <c r="O1203" s="7"/>
      <c r="P1203" s="6"/>
      <c r="Q1203" s="6"/>
      <c r="R1203" s="7"/>
      <c r="S1203" s="6"/>
      <c r="T1203" s="6"/>
      <c r="U1203" s="7"/>
      <c r="V1203" s="6"/>
      <c r="W1203" s="6"/>
      <c r="X1203" s="6"/>
      <c r="Y1203" s="6"/>
      <c r="Z1203" s="6"/>
      <c r="AA1203" s="7"/>
      <c r="AB1203" s="6"/>
      <c r="AC1203" s="6"/>
      <c r="AD1203" s="6"/>
      <c r="AE1203" s="12"/>
      <c r="AF1203" s="6"/>
      <c r="AG1203" s="12"/>
      <c r="AH1203" s="6"/>
      <c r="AI1203" s="6"/>
      <c r="AJ1203" s="12"/>
      <c r="AK1203" s="24"/>
      <c r="AL1203" s="25"/>
      <c r="AM1203" s="12"/>
      <c r="AN1203" s="1"/>
      <c r="AO1203" s="6"/>
    </row>
    <row r="1204" spans="1:41" ht="15" x14ac:dyDescent="0.25">
      <c r="A1204" s="1"/>
      <c r="B1204" s="1"/>
      <c r="C1204" s="1"/>
      <c r="D1204" s="1"/>
      <c r="E1204" s="6"/>
      <c r="F1204" s="1"/>
      <c r="G1204" s="6"/>
      <c r="H1204" s="6"/>
      <c r="I1204" s="6"/>
      <c r="J1204" s="6"/>
      <c r="K1204" s="6"/>
      <c r="L1204" s="6"/>
      <c r="M1204" s="6"/>
      <c r="N1204" s="6"/>
      <c r="O1204" s="7"/>
      <c r="P1204" s="12"/>
      <c r="Q1204" s="6"/>
      <c r="R1204" s="7"/>
      <c r="S1204" s="6"/>
      <c r="T1204" s="6"/>
      <c r="U1204" s="7"/>
      <c r="V1204" s="6"/>
      <c r="W1204" s="6"/>
      <c r="X1204" s="12"/>
      <c r="Y1204" s="6"/>
      <c r="Z1204" s="6"/>
      <c r="AA1204" s="7"/>
      <c r="AB1204" s="6"/>
      <c r="AC1204" s="6"/>
      <c r="AD1204" s="6"/>
      <c r="AE1204" s="12"/>
      <c r="AF1204" s="12"/>
      <c r="AG1204" s="12"/>
      <c r="AH1204" s="12"/>
      <c r="AI1204" s="6"/>
      <c r="AJ1204" s="12"/>
      <c r="AK1204" s="1"/>
      <c r="AL1204" s="12"/>
      <c r="AM1204" s="12"/>
      <c r="AN1204" s="1"/>
      <c r="AO1204" s="6"/>
    </row>
    <row r="1205" spans="1:41" ht="15" x14ac:dyDescent="0.25">
      <c r="A1205" s="1"/>
      <c r="B1205" s="1"/>
      <c r="C1205" s="1"/>
      <c r="D1205" s="1"/>
      <c r="E1205" s="6"/>
      <c r="F1205" s="1"/>
      <c r="G1205" s="6"/>
      <c r="H1205" s="6"/>
      <c r="I1205" s="6"/>
      <c r="J1205" s="6"/>
      <c r="K1205" s="6"/>
      <c r="L1205" s="6"/>
      <c r="M1205" s="6"/>
      <c r="N1205" s="6"/>
      <c r="O1205" s="7"/>
      <c r="P1205" s="12"/>
      <c r="Q1205" s="6"/>
      <c r="R1205" s="7"/>
      <c r="S1205" s="6"/>
      <c r="T1205" s="6"/>
      <c r="U1205" s="7"/>
      <c r="V1205" s="6"/>
      <c r="W1205" s="6"/>
      <c r="X1205" s="6"/>
      <c r="Y1205" s="6"/>
      <c r="Z1205" s="6"/>
      <c r="AA1205" s="7"/>
      <c r="AB1205" s="6"/>
      <c r="AC1205" s="6"/>
      <c r="AD1205" s="6"/>
      <c r="AE1205" s="12"/>
      <c r="AF1205" s="6"/>
      <c r="AG1205" s="12"/>
      <c r="AH1205" s="6"/>
      <c r="AI1205" s="6"/>
      <c r="AJ1205" s="12"/>
      <c r="AK1205" s="1"/>
      <c r="AL1205" s="12"/>
      <c r="AM1205" s="12"/>
      <c r="AN1205" s="1"/>
      <c r="AO1205" s="6"/>
    </row>
    <row r="1206" spans="1:41" ht="15" x14ac:dyDescent="0.25">
      <c r="A1206" s="1"/>
      <c r="B1206" s="1"/>
      <c r="C1206" s="1"/>
      <c r="D1206" s="1"/>
      <c r="E1206" s="6"/>
      <c r="F1206" s="1"/>
      <c r="G1206" s="6"/>
      <c r="H1206" s="6"/>
      <c r="I1206" s="6"/>
      <c r="J1206" s="6"/>
      <c r="K1206" s="6"/>
      <c r="L1206" s="6"/>
      <c r="M1206" s="6"/>
      <c r="N1206" s="6"/>
      <c r="O1206" s="7"/>
      <c r="P1206" s="6"/>
      <c r="Q1206" s="6"/>
      <c r="R1206" s="7"/>
      <c r="S1206" s="6"/>
      <c r="T1206" s="6"/>
      <c r="U1206" s="7"/>
      <c r="V1206" s="6"/>
      <c r="W1206" s="6"/>
      <c r="X1206" s="12"/>
      <c r="Y1206" s="6"/>
      <c r="Z1206" s="6"/>
      <c r="AA1206" s="7"/>
      <c r="AB1206" s="6"/>
      <c r="AC1206" s="6"/>
      <c r="AD1206" s="6"/>
      <c r="AE1206" s="12"/>
      <c r="AF1206" s="6"/>
      <c r="AG1206" s="12"/>
      <c r="AH1206" s="6"/>
      <c r="AI1206" s="6"/>
      <c r="AJ1206" s="12"/>
      <c r="AK1206" s="24"/>
      <c r="AL1206" s="25"/>
      <c r="AM1206" s="12"/>
      <c r="AN1206" s="1"/>
      <c r="AO1206" s="6"/>
    </row>
    <row r="1207" spans="1:41" ht="15" x14ac:dyDescent="0.25">
      <c r="A1207" s="1"/>
      <c r="B1207" s="1"/>
      <c r="C1207" s="1"/>
      <c r="D1207" s="1"/>
      <c r="E1207" s="6"/>
      <c r="F1207" s="1"/>
      <c r="G1207" s="6"/>
      <c r="H1207" s="6"/>
      <c r="I1207" s="6"/>
      <c r="J1207" s="6"/>
      <c r="K1207" s="6"/>
      <c r="L1207" s="6"/>
      <c r="M1207" s="6"/>
      <c r="N1207" s="6"/>
      <c r="O1207" s="7"/>
      <c r="P1207" s="6"/>
      <c r="Q1207" s="6"/>
      <c r="R1207" s="7"/>
      <c r="S1207" s="6"/>
      <c r="T1207" s="6"/>
      <c r="U1207" s="7"/>
      <c r="V1207" s="6"/>
      <c r="W1207" s="6"/>
      <c r="X1207" s="6"/>
      <c r="Y1207" s="12"/>
      <c r="Z1207" s="6"/>
      <c r="AA1207" s="7"/>
      <c r="AB1207" s="6"/>
      <c r="AC1207" s="6"/>
      <c r="AD1207" s="6"/>
      <c r="AE1207" s="12"/>
      <c r="AF1207" s="6"/>
      <c r="AG1207" s="12"/>
      <c r="AH1207" s="6"/>
      <c r="AI1207" s="6"/>
      <c r="AJ1207" s="12"/>
      <c r="AK1207" s="1"/>
      <c r="AL1207" s="12"/>
      <c r="AM1207" s="12"/>
      <c r="AN1207" s="1"/>
      <c r="AO1207" s="6"/>
    </row>
    <row r="1208" spans="1:41" ht="15" x14ac:dyDescent="0.25">
      <c r="A1208" s="1"/>
      <c r="B1208" s="1"/>
      <c r="C1208" s="1"/>
      <c r="D1208" s="1"/>
      <c r="E1208" s="6"/>
      <c r="F1208" s="1"/>
      <c r="G1208" s="6"/>
      <c r="H1208" s="6"/>
      <c r="I1208" s="6"/>
      <c r="J1208" s="6"/>
      <c r="K1208" s="6"/>
      <c r="L1208" s="6"/>
      <c r="M1208" s="6"/>
      <c r="N1208" s="6"/>
      <c r="O1208" s="7"/>
      <c r="P1208" s="6"/>
      <c r="Q1208" s="6"/>
      <c r="R1208" s="7"/>
      <c r="S1208" s="6"/>
      <c r="T1208" s="6"/>
      <c r="U1208" s="7"/>
      <c r="V1208" s="6"/>
      <c r="W1208" s="6"/>
      <c r="X1208" s="6"/>
      <c r="Y1208" s="6"/>
      <c r="Z1208" s="6"/>
      <c r="AA1208" s="7"/>
      <c r="AB1208" s="6"/>
      <c r="AC1208" s="6"/>
      <c r="AD1208" s="6"/>
      <c r="AE1208" s="12"/>
      <c r="AF1208" s="12"/>
      <c r="AG1208" s="12"/>
      <c r="AH1208" s="12"/>
      <c r="AI1208" s="6"/>
      <c r="AJ1208" s="12"/>
      <c r="AK1208" s="1"/>
      <c r="AL1208" s="12"/>
      <c r="AM1208" s="12"/>
      <c r="AN1208" s="1"/>
      <c r="AO1208" s="6"/>
    </row>
    <row r="1209" spans="1:41" ht="15" x14ac:dyDescent="0.25">
      <c r="A1209" s="1"/>
      <c r="B1209" s="1"/>
      <c r="C1209" s="1"/>
      <c r="D1209" s="1"/>
      <c r="E1209" s="6"/>
      <c r="F1209" s="1"/>
      <c r="G1209" s="6"/>
      <c r="H1209" s="6"/>
      <c r="I1209" s="6"/>
      <c r="J1209" s="6"/>
      <c r="K1209" s="6"/>
      <c r="L1209" s="6"/>
      <c r="M1209" s="6"/>
      <c r="N1209" s="6"/>
      <c r="O1209" s="7"/>
      <c r="P1209" s="12"/>
      <c r="Q1209" s="6"/>
      <c r="R1209" s="7"/>
      <c r="S1209" s="6"/>
      <c r="T1209" s="6"/>
      <c r="U1209" s="7"/>
      <c r="V1209" s="6"/>
      <c r="W1209" s="6"/>
      <c r="X1209" s="6"/>
      <c r="Y1209" s="6"/>
      <c r="Z1209" s="6"/>
      <c r="AA1209" s="7"/>
      <c r="AB1209" s="6"/>
      <c r="AC1209" s="6"/>
      <c r="AD1209" s="6"/>
      <c r="AE1209" s="12"/>
      <c r="AF1209" s="6"/>
      <c r="AG1209" s="12"/>
      <c r="AH1209" s="6"/>
      <c r="AI1209" s="6"/>
      <c r="AJ1209" s="12"/>
      <c r="AK1209" s="1"/>
      <c r="AL1209" s="12"/>
      <c r="AM1209" s="12"/>
      <c r="AN1209" s="1"/>
      <c r="AO1209" s="6"/>
    </row>
    <row r="1210" spans="1:41" ht="15" x14ac:dyDescent="0.25">
      <c r="A1210" s="1"/>
      <c r="B1210" s="1"/>
      <c r="C1210" s="1"/>
      <c r="D1210" s="1"/>
      <c r="E1210" s="6"/>
      <c r="F1210" s="1"/>
      <c r="G1210" s="6"/>
      <c r="H1210" s="6"/>
      <c r="I1210" s="6"/>
      <c r="J1210" s="6"/>
      <c r="K1210" s="12"/>
      <c r="L1210" s="6"/>
      <c r="M1210" s="6"/>
      <c r="N1210" s="6"/>
      <c r="O1210" s="7"/>
      <c r="P1210" s="6"/>
      <c r="Q1210" s="6"/>
      <c r="R1210" s="7"/>
      <c r="S1210" s="6"/>
      <c r="T1210" s="6"/>
      <c r="U1210" s="7"/>
      <c r="V1210" s="6"/>
      <c r="W1210" s="6"/>
      <c r="X1210" s="12"/>
      <c r="Y1210" s="6"/>
      <c r="Z1210" s="6"/>
      <c r="AA1210" s="7"/>
      <c r="AB1210" s="6"/>
      <c r="AC1210" s="6"/>
      <c r="AD1210" s="6"/>
      <c r="AE1210" s="12"/>
      <c r="AF1210" s="6"/>
      <c r="AG1210" s="12"/>
      <c r="AH1210" s="6"/>
      <c r="AI1210" s="6"/>
      <c r="AJ1210" s="12"/>
      <c r="AK1210" s="1"/>
      <c r="AL1210" s="12"/>
      <c r="AM1210" s="12"/>
      <c r="AN1210" s="1"/>
      <c r="AO1210" s="12"/>
    </row>
    <row r="1211" spans="1:41" ht="15" x14ac:dyDescent="0.25">
      <c r="A1211" s="1"/>
      <c r="B1211" s="1"/>
      <c r="C1211" s="1"/>
      <c r="D1211" s="1"/>
      <c r="E1211" s="6"/>
      <c r="F1211" s="1"/>
      <c r="G1211" s="6"/>
      <c r="H1211" s="6"/>
      <c r="I1211" s="6"/>
      <c r="J1211" s="6"/>
      <c r="K1211" s="6"/>
      <c r="L1211" s="6"/>
      <c r="M1211" s="6"/>
      <c r="N1211" s="6"/>
      <c r="O1211" s="7"/>
      <c r="P1211" s="6"/>
      <c r="Q1211" s="6"/>
      <c r="R1211" s="7"/>
      <c r="S1211" s="6"/>
      <c r="T1211" s="6"/>
      <c r="U1211" s="7"/>
      <c r="V1211" s="6"/>
      <c r="W1211" s="6"/>
      <c r="X1211" s="6"/>
      <c r="Y1211" s="6"/>
      <c r="Z1211" s="6"/>
      <c r="AA1211" s="7"/>
      <c r="AB1211" s="6"/>
      <c r="AC1211" s="6"/>
      <c r="AD1211" s="6"/>
      <c r="AE1211" s="12"/>
      <c r="AF1211" s="6"/>
      <c r="AG1211" s="12"/>
      <c r="AH1211" s="6"/>
      <c r="AI1211" s="6"/>
      <c r="AJ1211" s="12"/>
      <c r="AK1211" s="1"/>
      <c r="AL1211" s="12"/>
      <c r="AM1211" s="12"/>
      <c r="AN1211" s="1"/>
      <c r="AO1211" s="6"/>
    </row>
    <row r="1212" spans="1:41" ht="15" x14ac:dyDescent="0.25">
      <c r="A1212" s="1"/>
      <c r="B1212" s="1"/>
      <c r="C1212" s="1"/>
      <c r="D1212" s="1"/>
      <c r="E1212" s="6"/>
      <c r="F1212" s="1"/>
      <c r="G1212" s="6"/>
      <c r="H1212" s="6"/>
      <c r="I1212" s="6"/>
      <c r="J1212" s="6"/>
      <c r="K1212" s="6"/>
      <c r="L1212" s="6"/>
      <c r="M1212" s="6"/>
      <c r="N1212" s="6"/>
      <c r="O1212" s="7"/>
      <c r="P1212" s="6"/>
      <c r="Q1212" s="7"/>
      <c r="R1212" s="6"/>
      <c r="S1212" s="6"/>
      <c r="T1212" s="6"/>
      <c r="U1212" s="6"/>
      <c r="V1212" s="7"/>
      <c r="W1212" s="7"/>
      <c r="X1212" s="6"/>
      <c r="Y1212" s="6"/>
      <c r="Z1212" s="6"/>
      <c r="AA1212" s="1"/>
      <c r="AB1212" s="12"/>
      <c r="AC1212" s="12"/>
      <c r="AD1212" s="12"/>
      <c r="AE1212" s="12"/>
      <c r="AF1212" s="12"/>
      <c r="AG1212" s="12"/>
      <c r="AH1212" s="12"/>
      <c r="AI1212" s="6"/>
      <c r="AJ1212" s="12"/>
      <c r="AK1212" s="12"/>
      <c r="AL1212" s="12"/>
      <c r="AM1212" s="12"/>
      <c r="AN1212" s="1"/>
      <c r="AO1212" s="6"/>
    </row>
    <row r="1213" spans="1:41" ht="15" x14ac:dyDescent="0.25">
      <c r="A1213" s="1"/>
      <c r="B1213" s="1"/>
      <c r="C1213" s="1"/>
      <c r="D1213" s="1"/>
      <c r="E1213" s="6"/>
      <c r="F1213" s="1"/>
      <c r="G1213" s="6"/>
      <c r="H1213" s="6"/>
      <c r="I1213" s="6"/>
      <c r="J1213" s="6"/>
      <c r="K1213" s="6"/>
      <c r="L1213" s="6"/>
      <c r="M1213" s="6"/>
      <c r="N1213" s="6"/>
      <c r="O1213" s="7"/>
      <c r="P1213" s="6"/>
      <c r="Q1213" s="6"/>
      <c r="R1213" s="7"/>
      <c r="S1213" s="6"/>
      <c r="T1213" s="12"/>
      <c r="U1213" s="6"/>
      <c r="V1213" s="6"/>
      <c r="W1213" s="6"/>
      <c r="X1213" s="7"/>
      <c r="Y1213" s="6"/>
      <c r="Z1213" s="6"/>
      <c r="AA1213" s="7"/>
      <c r="AB1213" s="12"/>
      <c r="AC1213" s="6"/>
      <c r="AD1213" s="6"/>
      <c r="AE1213" s="12"/>
      <c r="AF1213" s="6"/>
      <c r="AG1213" s="12"/>
      <c r="AH1213" s="6"/>
      <c r="AI1213" s="6"/>
      <c r="AJ1213" s="12"/>
      <c r="AK1213" s="6"/>
      <c r="AL1213" s="12"/>
      <c r="AM1213" s="12"/>
      <c r="AN1213" s="1"/>
      <c r="AO1213" s="6"/>
    </row>
    <row r="1214" spans="1:41" ht="15" x14ac:dyDescent="0.25">
      <c r="A1214" s="1"/>
      <c r="B1214" s="1"/>
      <c r="C1214" s="1"/>
      <c r="D1214" s="1"/>
      <c r="E1214" s="6"/>
      <c r="F1214" s="1"/>
      <c r="G1214" s="6"/>
      <c r="H1214" s="6"/>
      <c r="I1214" s="6"/>
      <c r="J1214" s="6"/>
      <c r="K1214" s="6"/>
      <c r="L1214" s="6"/>
      <c r="M1214" s="6"/>
      <c r="N1214" s="6"/>
      <c r="O1214" s="7"/>
      <c r="P1214" s="6"/>
      <c r="Q1214" s="6"/>
      <c r="R1214" s="7"/>
      <c r="S1214" s="6"/>
      <c r="T1214" s="6"/>
      <c r="U1214" s="7"/>
      <c r="V1214" s="6"/>
      <c r="W1214" s="6"/>
      <c r="X1214" s="6"/>
      <c r="Y1214" s="6"/>
      <c r="Z1214" s="6"/>
      <c r="AA1214" s="7"/>
      <c r="AB1214" s="6"/>
      <c r="AC1214" s="6"/>
      <c r="AD1214" s="6"/>
      <c r="AE1214" s="12"/>
      <c r="AF1214" s="6"/>
      <c r="AG1214" s="12"/>
      <c r="AH1214" s="6"/>
      <c r="AI1214" s="6"/>
      <c r="AJ1214" s="12"/>
      <c r="AK1214" s="24"/>
      <c r="AL1214" s="25"/>
      <c r="AM1214" s="12"/>
      <c r="AN1214" s="1"/>
      <c r="AO1214" s="6"/>
    </row>
    <row r="1215" spans="1:41" ht="15" x14ac:dyDescent="0.25">
      <c r="A1215" s="1"/>
      <c r="B1215" s="1"/>
      <c r="C1215" s="1"/>
      <c r="D1215" s="1"/>
      <c r="E1215" s="6"/>
      <c r="F1215" s="1"/>
      <c r="G1215" s="6"/>
      <c r="H1215" s="6"/>
      <c r="I1215" s="6"/>
      <c r="J1215" s="6"/>
      <c r="K1215" s="6"/>
      <c r="L1215" s="6"/>
      <c r="M1215" s="6"/>
      <c r="N1215" s="6"/>
      <c r="O1215" s="7"/>
      <c r="P1215" s="6"/>
      <c r="Q1215" s="6"/>
      <c r="R1215" s="7"/>
      <c r="S1215" s="6"/>
      <c r="T1215" s="6"/>
      <c r="U1215" s="7"/>
      <c r="V1215" s="6"/>
      <c r="W1215" s="6"/>
      <c r="X1215" s="6"/>
      <c r="Y1215" s="6"/>
      <c r="Z1215" s="6"/>
      <c r="AA1215" s="7"/>
      <c r="AB1215" s="6"/>
      <c r="AC1215" s="6"/>
      <c r="AD1215" s="6"/>
      <c r="AE1215" s="12"/>
      <c r="AF1215" s="6"/>
      <c r="AG1215" s="12"/>
      <c r="AH1215" s="6"/>
      <c r="AI1215" s="6"/>
      <c r="AJ1215" s="12"/>
      <c r="AK1215" s="1"/>
      <c r="AL1215" s="12"/>
      <c r="AM1215" s="12"/>
      <c r="AN1215" s="1"/>
      <c r="AO1215" s="6"/>
    </row>
    <row r="1216" spans="1:41" ht="15" x14ac:dyDescent="0.25">
      <c r="A1216" s="1"/>
      <c r="B1216" s="1"/>
      <c r="C1216" s="1"/>
      <c r="D1216" s="1"/>
      <c r="E1216" s="6"/>
      <c r="F1216" s="1"/>
      <c r="G1216" s="6"/>
      <c r="H1216" s="6"/>
      <c r="I1216" s="6"/>
      <c r="J1216" s="6"/>
      <c r="K1216" s="6"/>
      <c r="L1216" s="6"/>
      <c r="M1216" s="6"/>
      <c r="N1216" s="6"/>
      <c r="O1216" s="7"/>
      <c r="P1216" s="6"/>
      <c r="Q1216" s="7"/>
      <c r="R1216" s="6"/>
      <c r="S1216" s="6"/>
      <c r="T1216" s="6"/>
      <c r="U1216" s="6"/>
      <c r="V1216" s="7"/>
      <c r="W1216" s="7"/>
      <c r="X1216" s="6"/>
      <c r="Y1216" s="6"/>
      <c r="Z1216" s="6"/>
      <c r="AA1216" s="1"/>
      <c r="AB1216" s="12"/>
      <c r="AC1216" s="12"/>
      <c r="AD1216" s="12"/>
      <c r="AE1216" s="12"/>
      <c r="AF1216" s="12"/>
      <c r="AG1216" s="12"/>
      <c r="AH1216" s="12"/>
      <c r="AI1216" s="6"/>
      <c r="AJ1216" s="12"/>
      <c r="AK1216" s="12"/>
      <c r="AL1216" s="12"/>
      <c r="AM1216" s="12"/>
      <c r="AN1216" s="1"/>
      <c r="AO1216" s="6"/>
    </row>
    <row r="1217" spans="1:41" ht="15" x14ac:dyDescent="0.25">
      <c r="A1217" s="1"/>
      <c r="B1217" s="1"/>
      <c r="C1217" s="1"/>
      <c r="D1217" s="1"/>
      <c r="E1217" s="6"/>
      <c r="F1217" s="1"/>
      <c r="G1217" s="6"/>
      <c r="H1217" s="6"/>
      <c r="I1217" s="6"/>
      <c r="J1217" s="6"/>
      <c r="K1217" s="12"/>
      <c r="L1217" s="12"/>
      <c r="M1217" s="6"/>
      <c r="N1217" s="6"/>
      <c r="O1217" s="7"/>
      <c r="P1217" s="6"/>
      <c r="Q1217" s="6"/>
      <c r="R1217" s="7"/>
      <c r="S1217" s="6"/>
      <c r="T1217" s="6"/>
      <c r="U1217" s="7"/>
      <c r="V1217" s="6"/>
      <c r="W1217" s="6"/>
      <c r="X1217" s="6"/>
      <c r="Y1217" s="6"/>
      <c r="Z1217" s="6"/>
      <c r="AA1217" s="7"/>
      <c r="AB1217" s="6"/>
      <c r="AC1217" s="6"/>
      <c r="AD1217" s="6"/>
      <c r="AE1217" s="12"/>
      <c r="AF1217" s="12"/>
      <c r="AG1217" s="12"/>
      <c r="AH1217" s="12"/>
      <c r="AI1217" s="6"/>
      <c r="AJ1217" s="12"/>
      <c r="AK1217" s="1"/>
      <c r="AL1217" s="12"/>
      <c r="AM1217" s="12"/>
      <c r="AN1217" s="1"/>
      <c r="AO1217" s="6"/>
    </row>
    <row r="1218" spans="1:41" ht="15" x14ac:dyDescent="0.25">
      <c r="A1218" s="1"/>
      <c r="B1218" s="1"/>
      <c r="C1218" s="1"/>
      <c r="D1218" s="1"/>
      <c r="E1218" s="6"/>
      <c r="F1218" s="1"/>
      <c r="G1218" s="6"/>
      <c r="H1218" s="6"/>
      <c r="I1218" s="6"/>
      <c r="J1218" s="6"/>
      <c r="K1218" s="6"/>
      <c r="L1218" s="6"/>
      <c r="M1218" s="6"/>
      <c r="N1218" s="6"/>
      <c r="O1218" s="7"/>
      <c r="P1218" s="6"/>
      <c r="Q1218" s="6"/>
      <c r="R1218" s="7"/>
      <c r="S1218" s="6"/>
      <c r="T1218" s="6"/>
      <c r="U1218" s="7"/>
      <c r="V1218" s="6"/>
      <c r="W1218" s="6"/>
      <c r="X1218" s="6"/>
      <c r="Y1218" s="6"/>
      <c r="Z1218" s="6"/>
      <c r="AA1218" s="7"/>
      <c r="AB1218" s="6"/>
      <c r="AC1218" s="6"/>
      <c r="AD1218" s="6"/>
      <c r="AE1218" s="12"/>
      <c r="AF1218" s="6"/>
      <c r="AG1218" s="12"/>
      <c r="AH1218" s="6"/>
      <c r="AI1218" s="6"/>
      <c r="AJ1218" s="12"/>
      <c r="AK1218" s="1"/>
      <c r="AL1218" s="12"/>
      <c r="AM1218" s="12"/>
      <c r="AN1218" s="1"/>
      <c r="AO1218" s="6"/>
    </row>
    <row r="1219" spans="1:41" ht="15" x14ac:dyDescent="0.25">
      <c r="A1219" s="1"/>
      <c r="B1219" s="1"/>
      <c r="C1219" s="1"/>
      <c r="D1219" s="1"/>
      <c r="E1219" s="6"/>
      <c r="F1219" s="1"/>
      <c r="G1219" s="6"/>
      <c r="H1219" s="6"/>
      <c r="I1219" s="6"/>
      <c r="J1219" s="6"/>
      <c r="K1219" s="6"/>
      <c r="L1219" s="6"/>
      <c r="M1219" s="6"/>
      <c r="N1219" s="6"/>
      <c r="O1219" s="7"/>
      <c r="P1219" s="12"/>
      <c r="Q1219" s="6"/>
      <c r="R1219" s="7"/>
      <c r="S1219" s="6"/>
      <c r="T1219" s="6"/>
      <c r="U1219" s="7"/>
      <c r="V1219" s="6"/>
      <c r="W1219" s="6"/>
      <c r="X1219" s="12"/>
      <c r="Y1219" s="6"/>
      <c r="Z1219" s="6"/>
      <c r="AA1219" s="7"/>
      <c r="AB1219" s="6"/>
      <c r="AC1219" s="6"/>
      <c r="AD1219" s="6"/>
      <c r="AE1219" s="12"/>
      <c r="AF1219" s="12"/>
      <c r="AG1219" s="12"/>
      <c r="AH1219" s="12"/>
      <c r="AI1219" s="6"/>
      <c r="AJ1219" s="12"/>
      <c r="AK1219" s="1"/>
      <c r="AL1219" s="12"/>
      <c r="AM1219" s="12"/>
      <c r="AN1219" s="1"/>
      <c r="AO1219" s="6"/>
    </row>
    <row r="1220" spans="1:41" ht="15" x14ac:dyDescent="0.25">
      <c r="A1220" s="1"/>
      <c r="B1220" s="1"/>
      <c r="C1220" s="1"/>
      <c r="D1220" s="1"/>
      <c r="E1220" s="6"/>
      <c r="F1220" s="1"/>
      <c r="G1220" s="6"/>
      <c r="H1220" s="6"/>
      <c r="I1220" s="6"/>
      <c r="J1220" s="6"/>
      <c r="K1220" s="6"/>
      <c r="L1220" s="6"/>
      <c r="M1220" s="6"/>
      <c r="N1220" s="6"/>
      <c r="O1220" s="7"/>
      <c r="P1220" s="6"/>
      <c r="Q1220" s="7"/>
      <c r="R1220" s="6"/>
      <c r="S1220" s="12"/>
      <c r="T1220" s="6"/>
      <c r="U1220" s="6"/>
      <c r="V1220" s="7"/>
      <c r="W1220" s="6"/>
      <c r="X1220" s="6"/>
      <c r="Y1220" s="6"/>
      <c r="Z1220" s="6"/>
      <c r="AA1220" s="24"/>
      <c r="AB1220" s="25"/>
      <c r="AC1220" s="12"/>
      <c r="AD1220" s="12"/>
      <c r="AE1220" s="12"/>
      <c r="AF1220" s="6"/>
      <c r="AG1220" s="12"/>
      <c r="AH1220" s="6"/>
      <c r="AI1220" s="6"/>
      <c r="AJ1220" s="12"/>
      <c r="AK1220" s="12"/>
      <c r="AL1220" s="12"/>
      <c r="AM1220" s="12"/>
      <c r="AN1220" s="1"/>
      <c r="AO1220" s="6"/>
    </row>
    <row r="1221" spans="1:41" ht="15" x14ac:dyDescent="0.25">
      <c r="A1221" s="1"/>
      <c r="B1221" s="1"/>
      <c r="C1221" s="1"/>
      <c r="D1221" s="1"/>
      <c r="E1221" s="6"/>
      <c r="F1221" s="1"/>
      <c r="G1221" s="6"/>
      <c r="H1221" s="6"/>
      <c r="I1221" s="6"/>
      <c r="J1221" s="6"/>
      <c r="K1221" s="6"/>
      <c r="L1221" s="6"/>
      <c r="M1221" s="6"/>
      <c r="N1221" s="6"/>
      <c r="O1221" s="7"/>
      <c r="P1221" s="6"/>
      <c r="Q1221" s="6"/>
      <c r="R1221" s="7"/>
      <c r="S1221" s="6"/>
      <c r="T1221" s="6"/>
      <c r="U1221" s="7"/>
      <c r="V1221" s="6"/>
      <c r="W1221" s="6"/>
      <c r="X1221" s="12"/>
      <c r="Y1221" s="6"/>
      <c r="Z1221" s="6"/>
      <c r="AA1221" s="7"/>
      <c r="AB1221" s="6"/>
      <c r="AC1221" s="6"/>
      <c r="AD1221" s="6"/>
      <c r="AE1221" s="12"/>
      <c r="AF1221" s="6"/>
      <c r="AG1221" s="12"/>
      <c r="AH1221" s="6"/>
      <c r="AI1221" s="6"/>
      <c r="AJ1221" s="12"/>
      <c r="AK1221" s="1"/>
      <c r="AL1221" s="12"/>
      <c r="AM1221" s="12"/>
      <c r="AN1221" s="1"/>
      <c r="AO1221" s="6"/>
    </row>
    <row r="1222" spans="1:41" ht="15" x14ac:dyDescent="0.25">
      <c r="A1222" s="1"/>
      <c r="B1222" s="1"/>
      <c r="C1222" s="1"/>
      <c r="D1222" s="1"/>
      <c r="E1222" s="6"/>
      <c r="F1222" s="1"/>
      <c r="G1222" s="6"/>
      <c r="H1222" s="6"/>
      <c r="I1222" s="6"/>
      <c r="J1222" s="6"/>
      <c r="K1222" s="6"/>
      <c r="L1222" s="6"/>
      <c r="M1222" s="6"/>
      <c r="N1222" s="6"/>
      <c r="O1222" s="15"/>
      <c r="P1222" s="6"/>
      <c r="Q1222" s="6"/>
      <c r="R1222" s="15"/>
      <c r="S1222" s="6"/>
      <c r="T1222" s="6"/>
      <c r="U1222" s="15"/>
      <c r="V1222" s="6"/>
      <c r="W1222" s="6"/>
      <c r="X1222" s="12"/>
      <c r="Y1222" s="6"/>
      <c r="Z1222" s="6"/>
      <c r="AA1222" s="7"/>
      <c r="AB1222" s="6"/>
      <c r="AC1222" s="6"/>
      <c r="AD1222" s="6"/>
      <c r="AE1222" s="12"/>
      <c r="AF1222" s="12"/>
      <c r="AG1222" s="12"/>
      <c r="AH1222" s="12"/>
      <c r="AI1222" s="6"/>
      <c r="AJ1222" s="12"/>
      <c r="AK1222" s="1"/>
      <c r="AL1222" s="12"/>
      <c r="AM1222" s="12"/>
      <c r="AN1222" s="1"/>
      <c r="AO1222" s="6"/>
    </row>
    <row r="1223" spans="1:41" ht="15" x14ac:dyDescent="0.25">
      <c r="A1223" s="1"/>
      <c r="B1223" s="1"/>
      <c r="C1223" s="1"/>
      <c r="D1223" s="1"/>
      <c r="E1223" s="6"/>
      <c r="F1223" s="1"/>
      <c r="G1223" s="6"/>
      <c r="H1223" s="6"/>
      <c r="I1223" s="6"/>
      <c r="J1223" s="6"/>
      <c r="K1223" s="6"/>
      <c r="L1223" s="6"/>
      <c r="M1223" s="6"/>
      <c r="N1223" s="6"/>
      <c r="O1223" s="7"/>
      <c r="P1223" s="6"/>
      <c r="Q1223" s="6"/>
      <c r="R1223" s="7"/>
      <c r="S1223" s="6"/>
      <c r="T1223" s="6"/>
      <c r="U1223" s="7"/>
      <c r="V1223" s="6"/>
      <c r="W1223" s="6"/>
      <c r="X1223" s="12"/>
      <c r="Y1223" s="6"/>
      <c r="Z1223" s="6"/>
      <c r="AA1223" s="7"/>
      <c r="AB1223" s="6"/>
      <c r="AC1223" s="6"/>
      <c r="AD1223" s="6"/>
      <c r="AE1223" s="12"/>
      <c r="AF1223" s="6"/>
      <c r="AG1223" s="12"/>
      <c r="AH1223" s="6"/>
      <c r="AI1223" s="6"/>
      <c r="AJ1223" s="12"/>
      <c r="AK1223" s="24"/>
      <c r="AL1223" s="25"/>
      <c r="AM1223" s="12"/>
      <c r="AN1223" s="1"/>
      <c r="AO1223" s="6"/>
    </row>
    <row r="1224" spans="1:41" ht="15" x14ac:dyDescent="0.25">
      <c r="A1224" s="1"/>
      <c r="B1224" s="1"/>
      <c r="C1224" s="1"/>
      <c r="D1224" s="1"/>
      <c r="E1224" s="6"/>
      <c r="F1224" s="1"/>
      <c r="G1224" s="6"/>
      <c r="H1224" s="6"/>
      <c r="I1224" s="6"/>
      <c r="J1224" s="6"/>
      <c r="K1224" s="6"/>
      <c r="L1224" s="6"/>
      <c r="M1224" s="6"/>
      <c r="N1224" s="6"/>
      <c r="O1224" s="7"/>
      <c r="P1224" s="6"/>
      <c r="Q1224" s="6"/>
      <c r="R1224" s="7"/>
      <c r="S1224" s="6"/>
      <c r="T1224" s="6"/>
      <c r="U1224" s="7"/>
      <c r="V1224" s="6"/>
      <c r="W1224" s="6"/>
      <c r="X1224" s="6"/>
      <c r="Y1224" s="6"/>
      <c r="Z1224" s="6"/>
      <c r="AA1224" s="7"/>
      <c r="AB1224" s="6"/>
      <c r="AC1224" s="6"/>
      <c r="AD1224" s="6"/>
      <c r="AE1224" s="12"/>
      <c r="AF1224" s="12"/>
      <c r="AG1224" s="12"/>
      <c r="AH1224" s="12"/>
      <c r="AI1224" s="6"/>
      <c r="AJ1224" s="12"/>
      <c r="AK1224" s="1"/>
      <c r="AL1224" s="12"/>
      <c r="AM1224" s="12"/>
      <c r="AN1224" s="1"/>
      <c r="AO1224" s="6"/>
    </row>
    <row r="1225" spans="1:41" ht="15" x14ac:dyDescent="0.25">
      <c r="A1225" s="1"/>
      <c r="B1225" s="1"/>
      <c r="C1225" s="1"/>
      <c r="D1225" s="1"/>
      <c r="E1225" s="6"/>
      <c r="F1225" s="1"/>
      <c r="G1225" s="6"/>
      <c r="H1225" s="6"/>
      <c r="I1225" s="6"/>
      <c r="J1225" s="6"/>
      <c r="K1225" s="6"/>
      <c r="L1225" s="6"/>
      <c r="M1225" s="6"/>
      <c r="N1225" s="6"/>
      <c r="O1225" s="7"/>
      <c r="P1225" s="6"/>
      <c r="Q1225" s="6"/>
      <c r="R1225" s="7"/>
      <c r="S1225" s="6"/>
      <c r="T1225" s="6"/>
      <c r="U1225" s="7"/>
      <c r="V1225" s="6"/>
      <c r="W1225" s="6"/>
      <c r="X1225" s="6"/>
      <c r="Y1225" s="6"/>
      <c r="Z1225" s="6"/>
      <c r="AA1225" s="7"/>
      <c r="AB1225" s="6"/>
      <c r="AC1225" s="6"/>
      <c r="AD1225" s="6"/>
      <c r="AE1225" s="12"/>
      <c r="AF1225" s="12"/>
      <c r="AG1225" s="12"/>
      <c r="AH1225" s="12"/>
      <c r="AI1225" s="6"/>
      <c r="AJ1225" s="12"/>
      <c r="AK1225" s="1"/>
      <c r="AL1225" s="12"/>
      <c r="AM1225" s="12"/>
      <c r="AN1225" s="1"/>
      <c r="AO1225" s="6"/>
    </row>
    <row r="1226" spans="1:41" ht="15" x14ac:dyDescent="0.25">
      <c r="A1226" s="1"/>
      <c r="B1226" s="1"/>
      <c r="C1226" s="1"/>
      <c r="D1226" s="1"/>
      <c r="E1226" s="6"/>
      <c r="F1226" s="1"/>
      <c r="G1226" s="6"/>
      <c r="H1226" s="6"/>
      <c r="I1226" s="6"/>
      <c r="J1226" s="6"/>
      <c r="K1226" s="6"/>
      <c r="L1226" s="6"/>
      <c r="M1226" s="6"/>
      <c r="N1226" s="6"/>
      <c r="O1226" s="7"/>
      <c r="P1226" s="6"/>
      <c r="Q1226" s="6"/>
      <c r="R1226" s="7"/>
      <c r="S1226" s="6"/>
      <c r="T1226" s="6"/>
      <c r="U1226" s="7"/>
      <c r="V1226" s="6"/>
      <c r="W1226" s="6"/>
      <c r="X1226" s="6"/>
      <c r="Y1226" s="6"/>
      <c r="Z1226" s="6"/>
      <c r="AA1226" s="7"/>
      <c r="AB1226" s="6"/>
      <c r="AC1226" s="6"/>
      <c r="AD1226" s="6"/>
      <c r="AE1226" s="12"/>
      <c r="AF1226" s="12"/>
      <c r="AG1226" s="12"/>
      <c r="AH1226" s="12"/>
      <c r="AI1226" s="6"/>
      <c r="AJ1226" s="12"/>
      <c r="AK1226" s="1"/>
      <c r="AL1226" s="12"/>
      <c r="AM1226" s="12"/>
      <c r="AN1226" s="1"/>
      <c r="AO1226" s="6"/>
    </row>
    <row r="1227" spans="1:41" ht="15" x14ac:dyDescent="0.25">
      <c r="A1227" s="1"/>
      <c r="B1227" s="1"/>
      <c r="C1227" s="1"/>
      <c r="D1227" s="1"/>
      <c r="E1227" s="6"/>
      <c r="F1227" s="1"/>
      <c r="G1227" s="6"/>
      <c r="H1227" s="6"/>
      <c r="I1227" s="6"/>
      <c r="J1227" s="6"/>
      <c r="K1227" s="6"/>
      <c r="L1227" s="6"/>
      <c r="M1227" s="6"/>
      <c r="N1227" s="6"/>
      <c r="O1227" s="7"/>
      <c r="P1227" s="12"/>
      <c r="Q1227" s="6"/>
      <c r="R1227" s="7"/>
      <c r="S1227" s="6"/>
      <c r="T1227" s="6"/>
      <c r="U1227" s="7"/>
      <c r="V1227" s="6"/>
      <c r="W1227" s="6"/>
      <c r="X1227" s="12"/>
      <c r="Y1227" s="6"/>
      <c r="Z1227" s="6"/>
      <c r="AA1227" s="7"/>
      <c r="AB1227" s="6"/>
      <c r="AC1227" s="6"/>
      <c r="AD1227" s="6"/>
      <c r="AE1227" s="12"/>
      <c r="AF1227" s="12"/>
      <c r="AG1227" s="12"/>
      <c r="AH1227" s="12"/>
      <c r="AI1227" s="6"/>
      <c r="AJ1227" s="12"/>
      <c r="AK1227" s="1"/>
      <c r="AL1227" s="12"/>
      <c r="AM1227" s="12"/>
      <c r="AN1227" s="1"/>
      <c r="AO1227" s="6"/>
    </row>
    <row r="1228" spans="1:41" ht="15" x14ac:dyDescent="0.25">
      <c r="A1228" s="1"/>
      <c r="B1228" s="1"/>
      <c r="C1228" s="1"/>
      <c r="D1228" s="1"/>
      <c r="E1228" s="6"/>
      <c r="F1228" s="1"/>
      <c r="G1228" s="6"/>
      <c r="H1228" s="6"/>
      <c r="I1228" s="6"/>
      <c r="J1228" s="6"/>
      <c r="K1228" s="12"/>
      <c r="L1228" s="12"/>
      <c r="M1228" s="6"/>
      <c r="N1228" s="6"/>
      <c r="O1228" s="7"/>
      <c r="P1228" s="6"/>
      <c r="Q1228" s="6"/>
      <c r="R1228" s="7"/>
      <c r="S1228" s="6"/>
      <c r="T1228" s="6"/>
      <c r="U1228" s="7"/>
      <c r="V1228" s="6"/>
      <c r="W1228" s="6"/>
      <c r="X1228" s="12"/>
      <c r="Y1228" s="6"/>
      <c r="Z1228" s="6"/>
      <c r="AA1228" s="7"/>
      <c r="AB1228" s="6"/>
      <c r="AC1228" s="6"/>
      <c r="AD1228" s="6"/>
      <c r="AE1228" s="12"/>
      <c r="AF1228" s="12"/>
      <c r="AG1228" s="12"/>
      <c r="AH1228" s="12"/>
      <c r="AI1228" s="6"/>
      <c r="AJ1228" s="12"/>
      <c r="AK1228" s="1"/>
      <c r="AL1228" s="12"/>
      <c r="AM1228" s="12"/>
      <c r="AN1228" s="1"/>
      <c r="AO1228" s="6"/>
    </row>
    <row r="1229" spans="1:41" ht="15" x14ac:dyDescent="0.25">
      <c r="A1229" s="1"/>
      <c r="B1229" s="1"/>
      <c r="C1229" s="1"/>
      <c r="D1229" s="1"/>
      <c r="E1229" s="6"/>
      <c r="F1229" s="1"/>
      <c r="G1229" s="6"/>
      <c r="H1229" s="6"/>
      <c r="I1229" s="6"/>
      <c r="J1229" s="6"/>
      <c r="K1229" s="6"/>
      <c r="L1229" s="6"/>
      <c r="M1229" s="6"/>
      <c r="N1229" s="6"/>
      <c r="O1229" s="7"/>
      <c r="P1229" s="6"/>
      <c r="Q1229" s="6"/>
      <c r="R1229" s="7"/>
      <c r="S1229" s="6"/>
      <c r="T1229" s="6"/>
      <c r="U1229" s="7"/>
      <c r="V1229" s="6"/>
      <c r="W1229" s="6"/>
      <c r="X1229" s="6"/>
      <c r="Y1229" s="6"/>
      <c r="Z1229" s="6"/>
      <c r="AA1229" s="7"/>
      <c r="AB1229" s="6"/>
      <c r="AC1229" s="6"/>
      <c r="AD1229" s="6"/>
      <c r="AE1229" s="12"/>
      <c r="AF1229" s="12"/>
      <c r="AG1229" s="12"/>
      <c r="AH1229" s="12"/>
      <c r="AI1229" s="6"/>
      <c r="AJ1229" s="12"/>
      <c r="AK1229" s="1"/>
      <c r="AL1229" s="12"/>
      <c r="AM1229" s="12"/>
      <c r="AN1229" s="1"/>
      <c r="AO1229" s="6"/>
    </row>
    <row r="1230" spans="1:41" ht="15" x14ac:dyDescent="0.25">
      <c r="A1230" s="1"/>
      <c r="B1230" s="1"/>
      <c r="C1230" s="1"/>
      <c r="D1230" s="1"/>
      <c r="E1230" s="6"/>
      <c r="F1230" s="1"/>
      <c r="G1230" s="6"/>
      <c r="H1230" s="6"/>
      <c r="I1230" s="6"/>
      <c r="J1230" s="6"/>
      <c r="K1230" s="6"/>
      <c r="L1230" s="6"/>
      <c r="M1230" s="6"/>
      <c r="N1230" s="6"/>
      <c r="O1230" s="7"/>
      <c r="P1230" s="6"/>
      <c r="Q1230" s="6"/>
      <c r="R1230" s="7"/>
      <c r="S1230" s="6"/>
      <c r="T1230" s="6"/>
      <c r="U1230" s="7"/>
      <c r="V1230" s="6"/>
      <c r="W1230" s="6"/>
      <c r="X1230" s="12"/>
      <c r="Y1230" s="6"/>
      <c r="Z1230" s="6"/>
      <c r="AA1230" s="7"/>
      <c r="AB1230" s="6"/>
      <c r="AC1230" s="6"/>
      <c r="AD1230" s="6"/>
      <c r="AE1230" s="12"/>
      <c r="AF1230" s="12"/>
      <c r="AG1230" s="12"/>
      <c r="AH1230" s="12"/>
      <c r="AI1230" s="6"/>
      <c r="AJ1230" s="12"/>
      <c r="AK1230" s="1"/>
      <c r="AL1230" s="12"/>
      <c r="AM1230" s="12"/>
      <c r="AN1230" s="1"/>
      <c r="AO1230" s="6"/>
    </row>
    <row r="1231" spans="1:41" ht="15" x14ac:dyDescent="0.25">
      <c r="A1231" s="1"/>
      <c r="B1231" s="1"/>
      <c r="C1231" s="1"/>
      <c r="D1231" s="1"/>
      <c r="E1231" s="6"/>
      <c r="F1231" s="1"/>
      <c r="G1231" s="6"/>
      <c r="H1231" s="6"/>
      <c r="I1231" s="6"/>
      <c r="J1231" s="6"/>
      <c r="K1231" s="6"/>
      <c r="L1231" s="6"/>
      <c r="M1231" s="6"/>
      <c r="N1231" s="6"/>
      <c r="O1231" s="7"/>
      <c r="P1231" s="6"/>
      <c r="Q1231" s="6"/>
      <c r="R1231" s="7"/>
      <c r="S1231" s="6"/>
      <c r="T1231" s="6"/>
      <c r="U1231" s="7"/>
      <c r="V1231" s="6"/>
      <c r="W1231" s="6"/>
      <c r="X1231" s="12"/>
      <c r="Y1231" s="6"/>
      <c r="Z1231" s="6"/>
      <c r="AA1231" s="7"/>
      <c r="AB1231" s="6"/>
      <c r="AC1231" s="6"/>
      <c r="AD1231" s="6"/>
      <c r="AE1231" s="12"/>
      <c r="AF1231" s="12"/>
      <c r="AG1231" s="12"/>
      <c r="AH1231" s="12"/>
      <c r="AI1231" s="6"/>
      <c r="AJ1231" s="12"/>
      <c r="AK1231" s="24"/>
      <c r="AL1231" s="25"/>
      <c r="AM1231" s="12"/>
      <c r="AN1231" s="1"/>
      <c r="AO1231" s="6"/>
    </row>
    <row r="1232" spans="1:41" ht="15" x14ac:dyDescent="0.25">
      <c r="A1232" s="1"/>
      <c r="B1232" s="1"/>
      <c r="C1232" s="1"/>
      <c r="D1232" s="1"/>
      <c r="E1232" s="6"/>
      <c r="F1232" s="1"/>
      <c r="G1232" s="6"/>
      <c r="H1232" s="6"/>
      <c r="I1232" s="6"/>
      <c r="J1232" s="6"/>
      <c r="K1232" s="6"/>
      <c r="L1232" s="6"/>
      <c r="M1232" s="6"/>
      <c r="N1232" s="6"/>
      <c r="O1232" s="7"/>
      <c r="P1232" s="6"/>
      <c r="Q1232" s="6"/>
      <c r="R1232" s="7"/>
      <c r="S1232" s="6"/>
      <c r="T1232" s="6"/>
      <c r="U1232" s="7"/>
      <c r="V1232" s="6"/>
      <c r="W1232" s="6"/>
      <c r="X1232" s="6"/>
      <c r="Y1232" s="6"/>
      <c r="Z1232" s="6"/>
      <c r="AA1232" s="7"/>
      <c r="AB1232" s="6"/>
      <c r="AC1232" s="6"/>
      <c r="AD1232" s="6"/>
      <c r="AE1232" s="12"/>
      <c r="AF1232" s="6"/>
      <c r="AG1232" s="12"/>
      <c r="AH1232" s="6"/>
      <c r="AI1232" s="6"/>
      <c r="AJ1232" s="12"/>
      <c r="AK1232" s="24"/>
      <c r="AL1232" s="25"/>
      <c r="AM1232" s="12"/>
      <c r="AN1232" s="1"/>
      <c r="AO1232" s="6"/>
    </row>
    <row r="1233" spans="1:41" ht="15" x14ac:dyDescent="0.25">
      <c r="A1233" s="1"/>
      <c r="B1233" s="1"/>
      <c r="C1233" s="1"/>
      <c r="D1233" s="1"/>
      <c r="E1233" s="6"/>
      <c r="F1233" s="1"/>
      <c r="G1233" s="6"/>
      <c r="H1233" s="6"/>
      <c r="I1233" s="6"/>
      <c r="J1233" s="6"/>
      <c r="K1233" s="6"/>
      <c r="L1233" s="6"/>
      <c r="M1233" s="6"/>
      <c r="N1233" s="6"/>
      <c r="O1233" s="7"/>
      <c r="P1233" s="6"/>
      <c r="Q1233" s="6"/>
      <c r="R1233" s="7"/>
      <c r="S1233" s="6"/>
      <c r="T1233" s="6"/>
      <c r="U1233" s="7"/>
      <c r="V1233" s="6"/>
      <c r="W1233" s="6"/>
      <c r="X1233" s="6"/>
      <c r="Y1233" s="6"/>
      <c r="Z1233" s="6"/>
      <c r="AA1233" s="7"/>
      <c r="AB1233" s="6"/>
      <c r="AC1233" s="6"/>
      <c r="AD1233" s="6"/>
      <c r="AE1233" s="12"/>
      <c r="AF1233" s="12"/>
      <c r="AG1233" s="12"/>
      <c r="AH1233" s="12"/>
      <c r="AI1233" s="6"/>
      <c r="AJ1233" s="12"/>
      <c r="AK1233" s="1"/>
      <c r="AL1233" s="12"/>
      <c r="AM1233" s="12"/>
      <c r="AN1233" s="1"/>
      <c r="AO1233" s="6"/>
    </row>
    <row r="1234" spans="1:41" ht="15" x14ac:dyDescent="0.25">
      <c r="A1234" s="1"/>
      <c r="B1234" s="1"/>
      <c r="C1234" s="1"/>
      <c r="D1234" s="1"/>
      <c r="E1234" s="6"/>
      <c r="F1234" s="1"/>
      <c r="G1234" s="6"/>
      <c r="H1234" s="6"/>
      <c r="I1234" s="6"/>
      <c r="J1234" s="6"/>
      <c r="K1234" s="6"/>
      <c r="L1234" s="6"/>
      <c r="M1234" s="6"/>
      <c r="N1234" s="6"/>
      <c r="O1234" s="7"/>
      <c r="P1234" s="6"/>
      <c r="Q1234" s="6"/>
      <c r="R1234" s="7"/>
      <c r="S1234" s="6"/>
      <c r="T1234" s="6"/>
      <c r="U1234" s="7"/>
      <c r="V1234" s="6"/>
      <c r="W1234" s="6"/>
      <c r="X1234" s="12"/>
      <c r="Y1234" s="6"/>
      <c r="Z1234" s="6"/>
      <c r="AA1234" s="7"/>
      <c r="AB1234" s="6"/>
      <c r="AC1234" s="6"/>
      <c r="AD1234" s="6"/>
      <c r="AE1234" s="12"/>
      <c r="AF1234" s="12"/>
      <c r="AG1234" s="12"/>
      <c r="AH1234" s="12"/>
      <c r="AI1234" s="6"/>
      <c r="AJ1234" s="12"/>
      <c r="AK1234" s="1"/>
      <c r="AL1234" s="12"/>
      <c r="AM1234" s="12"/>
      <c r="AN1234" s="1"/>
      <c r="AO1234" s="6"/>
    </row>
    <row r="1235" spans="1:41" ht="15" x14ac:dyDescent="0.25">
      <c r="A1235" s="1"/>
      <c r="B1235" s="1"/>
      <c r="C1235" s="1"/>
      <c r="D1235" s="1"/>
      <c r="E1235" s="6"/>
      <c r="F1235" s="1"/>
      <c r="G1235" s="6"/>
      <c r="H1235" s="6"/>
      <c r="I1235" s="6"/>
      <c r="J1235" s="6"/>
      <c r="K1235" s="6"/>
      <c r="L1235" s="6"/>
      <c r="M1235" s="6"/>
      <c r="N1235" s="6"/>
      <c r="O1235" s="12"/>
      <c r="P1235" s="12"/>
      <c r="Q1235" s="6"/>
      <c r="R1235" s="12"/>
      <c r="S1235" s="12"/>
      <c r="T1235" s="12"/>
      <c r="U1235" s="6"/>
      <c r="V1235" s="12"/>
      <c r="W1235" s="12"/>
      <c r="X1235" s="12"/>
      <c r="Y1235" s="6"/>
      <c r="Z1235" s="6"/>
      <c r="AA1235" s="6"/>
      <c r="AB1235" s="12"/>
      <c r="AC1235" s="12"/>
      <c r="AD1235" s="12"/>
      <c r="AE1235" s="12"/>
      <c r="AF1235" s="12"/>
      <c r="AG1235" s="12"/>
      <c r="AH1235" s="12"/>
      <c r="AI1235" s="6"/>
      <c r="AJ1235" s="12"/>
      <c r="AK1235" s="1"/>
      <c r="AL1235" s="12"/>
      <c r="AM1235" s="12"/>
      <c r="AN1235" s="1"/>
      <c r="AO1235" s="6"/>
    </row>
    <row r="1236" spans="1:41" ht="15" x14ac:dyDescent="0.25">
      <c r="A1236" s="1"/>
      <c r="B1236" s="1"/>
      <c r="C1236" s="1"/>
      <c r="D1236" s="1"/>
      <c r="E1236" s="6"/>
      <c r="F1236" s="1"/>
      <c r="G1236" s="6"/>
      <c r="H1236" s="6"/>
      <c r="I1236" s="6"/>
      <c r="J1236" s="6"/>
      <c r="K1236" s="6"/>
      <c r="L1236" s="6"/>
      <c r="M1236" s="6"/>
      <c r="N1236" s="6"/>
      <c r="O1236" s="7"/>
      <c r="P1236" s="6"/>
      <c r="Q1236" s="6"/>
      <c r="R1236" s="7"/>
      <c r="S1236" s="6"/>
      <c r="T1236" s="6"/>
      <c r="U1236" s="7"/>
      <c r="V1236" s="6"/>
      <c r="W1236" s="6"/>
      <c r="X1236" s="6"/>
      <c r="Y1236" s="6"/>
      <c r="Z1236" s="6"/>
      <c r="AA1236" s="7"/>
      <c r="AB1236" s="6"/>
      <c r="AC1236" s="6"/>
      <c r="AD1236" s="6"/>
      <c r="AE1236" s="12"/>
      <c r="AF1236" s="6"/>
      <c r="AG1236" s="12"/>
      <c r="AH1236" s="6"/>
      <c r="AI1236" s="6"/>
      <c r="AJ1236" s="12"/>
      <c r="AK1236" s="24"/>
      <c r="AL1236" s="25"/>
      <c r="AM1236" s="12"/>
      <c r="AN1236" s="1"/>
      <c r="AO1236" s="6"/>
    </row>
    <row r="1237" spans="1:41" ht="15" x14ac:dyDescent="0.25">
      <c r="A1237" s="1"/>
      <c r="B1237" s="1"/>
      <c r="C1237" s="1"/>
      <c r="D1237" s="1"/>
      <c r="E1237" s="6"/>
      <c r="F1237" s="1"/>
      <c r="G1237" s="6"/>
      <c r="H1237" s="6"/>
      <c r="I1237" s="6"/>
      <c r="J1237" s="6"/>
      <c r="K1237" s="6"/>
      <c r="L1237" s="6"/>
      <c r="M1237" s="6"/>
      <c r="N1237" s="6"/>
      <c r="O1237" s="7"/>
      <c r="P1237" s="6"/>
      <c r="Q1237" s="6"/>
      <c r="R1237" s="12"/>
      <c r="S1237" s="12"/>
      <c r="T1237" s="12"/>
      <c r="U1237" s="7"/>
      <c r="V1237" s="6"/>
      <c r="W1237" s="6"/>
      <c r="X1237" s="12"/>
      <c r="Y1237" s="6"/>
      <c r="Z1237" s="6"/>
      <c r="AA1237" s="7"/>
      <c r="AB1237" s="6"/>
      <c r="AC1237" s="6"/>
      <c r="AD1237" s="6"/>
      <c r="AE1237" s="12"/>
      <c r="AF1237" s="12"/>
      <c r="AG1237" s="12"/>
      <c r="AH1237" s="12"/>
      <c r="AI1237" s="6"/>
      <c r="AJ1237" s="12"/>
      <c r="AK1237" s="24"/>
      <c r="AL1237" s="25"/>
      <c r="AM1237" s="12"/>
      <c r="AN1237" s="1"/>
      <c r="AO1237" s="6"/>
    </row>
    <row r="1238" spans="1:41" ht="15" x14ac:dyDescent="0.25">
      <c r="A1238" s="1"/>
      <c r="B1238" s="1"/>
      <c r="C1238" s="1"/>
      <c r="D1238" s="1"/>
      <c r="E1238" s="6"/>
      <c r="F1238" s="1"/>
      <c r="G1238" s="6"/>
      <c r="H1238" s="6"/>
      <c r="I1238" s="6"/>
      <c r="J1238" s="6"/>
      <c r="K1238" s="6"/>
      <c r="L1238" s="6"/>
      <c r="M1238" s="6"/>
      <c r="N1238" s="6"/>
      <c r="O1238" s="7"/>
      <c r="P1238" s="6"/>
      <c r="Q1238" s="6"/>
      <c r="R1238" s="7"/>
      <c r="S1238" s="6"/>
      <c r="T1238" s="6"/>
      <c r="U1238" s="7"/>
      <c r="V1238" s="6"/>
      <c r="W1238" s="6"/>
      <c r="X1238" s="6"/>
      <c r="Y1238" s="6"/>
      <c r="Z1238" s="6"/>
      <c r="AA1238" s="7"/>
      <c r="AB1238" s="6"/>
      <c r="AC1238" s="6"/>
      <c r="AD1238" s="6"/>
      <c r="AE1238" s="12"/>
      <c r="AF1238" s="6"/>
      <c r="AG1238" s="12"/>
      <c r="AH1238" s="6"/>
      <c r="AI1238" s="6"/>
      <c r="AJ1238" s="12"/>
      <c r="AK1238" s="1"/>
      <c r="AL1238" s="12"/>
      <c r="AM1238" s="12"/>
      <c r="AN1238" s="1"/>
      <c r="AO1238" s="6"/>
    </row>
    <row r="1239" spans="1:41" ht="15" x14ac:dyDescent="0.25">
      <c r="A1239" s="1"/>
      <c r="B1239" s="1"/>
      <c r="C1239" s="1"/>
      <c r="D1239" s="1"/>
      <c r="E1239" s="6"/>
      <c r="F1239" s="1"/>
      <c r="G1239" s="6"/>
      <c r="H1239" s="6"/>
      <c r="I1239" s="6"/>
      <c r="J1239" s="6"/>
      <c r="K1239" s="6"/>
      <c r="L1239" s="6"/>
      <c r="M1239" s="6"/>
      <c r="N1239" s="6"/>
      <c r="O1239" s="7"/>
      <c r="P1239" s="12"/>
      <c r="Q1239" s="6"/>
      <c r="R1239" s="7"/>
      <c r="S1239" s="6"/>
      <c r="T1239" s="6"/>
      <c r="U1239" s="7"/>
      <c r="V1239" s="6"/>
      <c r="W1239" s="6"/>
      <c r="X1239" s="12"/>
      <c r="Y1239" s="6"/>
      <c r="Z1239" s="6"/>
      <c r="AA1239" s="7"/>
      <c r="AB1239" s="6"/>
      <c r="AC1239" s="6"/>
      <c r="AD1239" s="6"/>
      <c r="AE1239" s="12"/>
      <c r="AF1239" s="12"/>
      <c r="AG1239" s="12"/>
      <c r="AH1239" s="12"/>
      <c r="AI1239" s="6"/>
      <c r="AJ1239" s="12"/>
      <c r="AK1239" s="1"/>
      <c r="AL1239" s="12"/>
      <c r="AM1239" s="12"/>
      <c r="AN1239" s="1"/>
      <c r="AO1239" s="6"/>
    </row>
    <row r="1240" spans="1:41" ht="15" x14ac:dyDescent="0.25">
      <c r="A1240" s="1"/>
      <c r="B1240" s="1"/>
      <c r="C1240" s="1"/>
      <c r="D1240" s="1"/>
      <c r="E1240" s="6"/>
      <c r="F1240" s="1"/>
      <c r="G1240" s="6"/>
      <c r="H1240" s="6"/>
      <c r="I1240" s="6"/>
      <c r="J1240" s="6"/>
      <c r="K1240" s="6"/>
      <c r="L1240" s="6"/>
      <c r="M1240" s="6"/>
      <c r="N1240" s="6"/>
      <c r="O1240" s="7"/>
      <c r="P1240" s="6"/>
      <c r="Q1240" s="6"/>
      <c r="R1240" s="7"/>
      <c r="S1240" s="6"/>
      <c r="T1240" s="6"/>
      <c r="U1240" s="7"/>
      <c r="V1240" s="6"/>
      <c r="W1240" s="6"/>
      <c r="X1240" s="6"/>
      <c r="Y1240" s="6"/>
      <c r="Z1240" s="6"/>
      <c r="AA1240" s="7"/>
      <c r="AB1240" s="6"/>
      <c r="AC1240" s="6"/>
      <c r="AD1240" s="6"/>
      <c r="AE1240" s="12"/>
      <c r="AF1240" s="12"/>
      <c r="AG1240" s="12"/>
      <c r="AH1240" s="12"/>
      <c r="AI1240" s="6"/>
      <c r="AJ1240" s="12"/>
      <c r="AK1240" s="1"/>
      <c r="AL1240" s="12"/>
      <c r="AM1240" s="12"/>
      <c r="AN1240" s="1"/>
      <c r="AO1240" s="6"/>
    </row>
    <row r="1241" spans="1:41" ht="15" x14ac:dyDescent="0.25">
      <c r="A1241" s="1"/>
      <c r="B1241" s="1"/>
      <c r="C1241" s="1"/>
      <c r="D1241" s="1"/>
      <c r="E1241" s="6"/>
      <c r="F1241" s="1"/>
      <c r="G1241" s="6"/>
      <c r="H1241" s="6"/>
      <c r="I1241" s="6"/>
      <c r="J1241" s="6"/>
      <c r="K1241" s="6"/>
      <c r="L1241" s="6"/>
      <c r="M1241" s="6"/>
      <c r="N1241" s="6"/>
      <c r="O1241" s="7"/>
      <c r="P1241" s="12"/>
      <c r="Q1241" s="6"/>
      <c r="R1241" s="7"/>
      <c r="S1241" s="6"/>
      <c r="T1241" s="6"/>
      <c r="U1241" s="7"/>
      <c r="V1241" s="6"/>
      <c r="W1241" s="6"/>
      <c r="X1241" s="6"/>
      <c r="Y1241" s="6"/>
      <c r="Z1241" s="6"/>
      <c r="AA1241" s="15"/>
      <c r="AB1241" s="6"/>
      <c r="AC1241" s="6"/>
      <c r="AD1241" s="6"/>
      <c r="AE1241" s="12"/>
      <c r="AF1241" s="6"/>
      <c r="AG1241" s="12"/>
      <c r="AH1241" s="6"/>
      <c r="AI1241" s="6"/>
      <c r="AJ1241" s="12"/>
      <c r="AK1241" s="24"/>
      <c r="AL1241" s="25"/>
      <c r="AM1241" s="12"/>
      <c r="AN1241" s="1"/>
      <c r="AO1241" s="6"/>
    </row>
    <row r="1242" spans="1:41" ht="15" x14ac:dyDescent="0.25">
      <c r="A1242" s="1"/>
      <c r="B1242" s="1"/>
      <c r="C1242" s="1"/>
      <c r="D1242" s="1"/>
      <c r="E1242" s="6"/>
      <c r="F1242" s="1"/>
      <c r="G1242" s="6"/>
      <c r="H1242" s="6"/>
      <c r="I1242" s="6"/>
      <c r="J1242" s="6"/>
      <c r="K1242" s="6"/>
      <c r="L1242" s="6"/>
      <c r="M1242" s="6"/>
      <c r="N1242" s="6"/>
      <c r="O1242" s="7"/>
      <c r="P1242" s="6"/>
      <c r="Q1242" s="6"/>
      <c r="R1242" s="7"/>
      <c r="S1242" s="6"/>
      <c r="T1242" s="6"/>
      <c r="U1242" s="7"/>
      <c r="V1242" s="6"/>
      <c r="W1242" s="6"/>
      <c r="X1242" s="6"/>
      <c r="Y1242" s="6"/>
      <c r="Z1242" s="6"/>
      <c r="AA1242" s="7"/>
      <c r="AB1242" s="6"/>
      <c r="AC1242" s="6"/>
      <c r="AD1242" s="6"/>
      <c r="AE1242" s="12"/>
      <c r="AF1242" s="12"/>
      <c r="AG1242" s="12"/>
      <c r="AH1242" s="12"/>
      <c r="AI1242" s="6"/>
      <c r="AJ1242" s="12"/>
      <c r="AK1242" s="1"/>
      <c r="AL1242" s="12"/>
      <c r="AM1242" s="12"/>
      <c r="AN1242" s="1"/>
      <c r="AO1242" s="6"/>
    </row>
    <row r="1243" spans="1:41" ht="15" x14ac:dyDescent="0.25">
      <c r="A1243" s="1"/>
      <c r="B1243" s="1"/>
      <c r="C1243" s="1"/>
      <c r="D1243" s="1"/>
      <c r="E1243" s="6"/>
      <c r="F1243" s="1"/>
      <c r="G1243" s="6"/>
      <c r="H1243" s="6"/>
      <c r="I1243" s="6"/>
      <c r="J1243" s="6"/>
      <c r="K1243" s="12"/>
      <c r="L1243" s="12"/>
      <c r="M1243" s="6"/>
      <c r="N1243" s="6"/>
      <c r="O1243" s="7"/>
      <c r="P1243" s="6"/>
      <c r="Q1243" s="7"/>
      <c r="R1243" s="6"/>
      <c r="S1243" s="6"/>
      <c r="T1243" s="6"/>
      <c r="U1243" s="6"/>
      <c r="V1243" s="7"/>
      <c r="W1243" s="7"/>
      <c r="X1243" s="6"/>
      <c r="Y1243" s="6"/>
      <c r="Z1243" s="6"/>
      <c r="AA1243" s="1"/>
      <c r="AB1243" s="12"/>
      <c r="AC1243" s="12"/>
      <c r="AD1243" s="12"/>
      <c r="AE1243" s="12"/>
      <c r="AF1243" s="12"/>
      <c r="AG1243" s="12"/>
      <c r="AH1243" s="12"/>
      <c r="AI1243" s="6"/>
      <c r="AJ1243" s="12"/>
      <c r="AK1243" s="12"/>
      <c r="AL1243" s="12"/>
      <c r="AM1243" s="12"/>
      <c r="AN1243" s="1"/>
      <c r="AO1243" s="12"/>
    </row>
    <row r="1244" spans="1:41" ht="15" x14ac:dyDescent="0.25">
      <c r="A1244" s="1"/>
      <c r="B1244" s="1"/>
      <c r="C1244" s="1"/>
      <c r="D1244" s="1"/>
      <c r="E1244" s="6"/>
      <c r="F1244" s="1"/>
      <c r="G1244" s="6"/>
      <c r="H1244" s="6"/>
      <c r="I1244" s="6"/>
      <c r="J1244" s="6"/>
      <c r="K1244" s="6"/>
      <c r="L1244" s="6"/>
      <c r="M1244" s="6"/>
      <c r="N1244" s="6"/>
      <c r="O1244" s="7"/>
      <c r="P1244" s="6"/>
      <c r="Q1244" s="6"/>
      <c r="R1244" s="7"/>
      <c r="S1244" s="6"/>
      <c r="T1244" s="6"/>
      <c r="U1244" s="7"/>
      <c r="V1244" s="6"/>
      <c r="W1244" s="6"/>
      <c r="X1244" s="12"/>
      <c r="Y1244" s="6"/>
      <c r="Z1244" s="6"/>
      <c r="AA1244" s="7"/>
      <c r="AB1244" s="6"/>
      <c r="AC1244" s="6"/>
      <c r="AD1244" s="6"/>
      <c r="AE1244" s="12"/>
      <c r="AF1244" s="12"/>
      <c r="AG1244" s="12"/>
      <c r="AH1244" s="12"/>
      <c r="AI1244" s="6"/>
      <c r="AJ1244" s="12"/>
      <c r="AK1244" s="1"/>
      <c r="AL1244" s="12"/>
      <c r="AM1244" s="12"/>
      <c r="AN1244" s="1"/>
      <c r="AO1244" s="6"/>
    </row>
    <row r="1245" spans="1:41" ht="15" x14ac:dyDescent="0.25">
      <c r="A1245" s="1"/>
      <c r="B1245" s="1"/>
      <c r="C1245" s="1"/>
      <c r="D1245" s="1"/>
      <c r="E1245" s="6"/>
      <c r="F1245" s="1"/>
      <c r="G1245" s="6"/>
      <c r="H1245" s="6"/>
      <c r="I1245" s="6"/>
      <c r="J1245" s="6"/>
      <c r="K1245" s="6"/>
      <c r="L1245" s="6"/>
      <c r="M1245" s="6"/>
      <c r="N1245" s="6"/>
      <c r="O1245" s="7"/>
      <c r="P1245" s="6"/>
      <c r="Q1245" s="6"/>
      <c r="R1245" s="7"/>
      <c r="S1245" s="6"/>
      <c r="T1245" s="6"/>
      <c r="U1245" s="7"/>
      <c r="V1245" s="6"/>
      <c r="W1245" s="6"/>
      <c r="X1245" s="6"/>
      <c r="Y1245" s="12"/>
      <c r="Z1245" s="6"/>
      <c r="AA1245" s="7"/>
      <c r="AB1245" s="6"/>
      <c r="AC1245" s="6"/>
      <c r="AD1245" s="6"/>
      <c r="AE1245" s="12"/>
      <c r="AF1245" s="12"/>
      <c r="AG1245" s="12"/>
      <c r="AH1245" s="12"/>
      <c r="AI1245" s="6"/>
      <c r="AJ1245" s="12"/>
      <c r="AK1245" s="1"/>
      <c r="AL1245" s="12"/>
      <c r="AM1245" s="12"/>
      <c r="AN1245" s="1"/>
      <c r="AO1245" s="6"/>
    </row>
    <row r="1246" spans="1:41" ht="15" x14ac:dyDescent="0.25">
      <c r="A1246" s="1"/>
      <c r="B1246" s="1"/>
      <c r="C1246" s="1"/>
      <c r="D1246" s="1"/>
      <c r="E1246" s="6"/>
      <c r="F1246" s="1"/>
      <c r="G1246" s="6"/>
      <c r="H1246" s="6"/>
      <c r="I1246" s="6"/>
      <c r="J1246" s="6"/>
      <c r="K1246" s="6"/>
      <c r="L1246" s="6"/>
      <c r="M1246" s="6"/>
      <c r="N1246" s="6"/>
      <c r="O1246" s="7"/>
      <c r="P1246" s="6"/>
      <c r="Q1246" s="6"/>
      <c r="R1246" s="7"/>
      <c r="S1246" s="6"/>
      <c r="T1246" s="6"/>
      <c r="U1246" s="7"/>
      <c r="V1246" s="6"/>
      <c r="W1246" s="6"/>
      <c r="X1246" s="6"/>
      <c r="Y1246" s="6"/>
      <c r="Z1246" s="6"/>
      <c r="AA1246" s="7"/>
      <c r="AB1246" s="6"/>
      <c r="AC1246" s="6"/>
      <c r="AD1246" s="6"/>
      <c r="AE1246" s="12"/>
      <c r="AF1246" s="12"/>
      <c r="AG1246" s="12"/>
      <c r="AH1246" s="12"/>
      <c r="AI1246" s="6"/>
      <c r="AJ1246" s="12"/>
      <c r="AK1246" s="1"/>
      <c r="AL1246" s="12"/>
      <c r="AM1246" s="12"/>
      <c r="AN1246" s="1"/>
      <c r="AO1246" s="6"/>
    </row>
    <row r="1247" spans="1:41" ht="15" x14ac:dyDescent="0.25">
      <c r="A1247" s="1"/>
      <c r="B1247" s="1"/>
      <c r="C1247" s="1"/>
      <c r="D1247" s="1"/>
      <c r="E1247" s="6"/>
      <c r="F1247" s="1"/>
      <c r="G1247" s="6"/>
      <c r="H1247" s="6"/>
      <c r="I1247" s="6"/>
      <c r="J1247" s="6"/>
      <c r="K1247" s="6"/>
      <c r="L1247" s="6"/>
      <c r="M1247" s="6"/>
      <c r="N1247" s="6"/>
      <c r="O1247" s="7"/>
      <c r="P1247" s="6"/>
      <c r="Q1247" s="6"/>
      <c r="R1247" s="12"/>
      <c r="S1247" s="12"/>
      <c r="T1247" s="12"/>
      <c r="U1247" s="6"/>
      <c r="V1247" s="12"/>
      <c r="W1247" s="12"/>
      <c r="X1247" s="12"/>
      <c r="Y1247" s="6"/>
      <c r="Z1247" s="6"/>
      <c r="AA1247" s="7"/>
      <c r="AB1247" s="6"/>
      <c r="AC1247" s="6"/>
      <c r="AD1247" s="6"/>
      <c r="AE1247" s="12"/>
      <c r="AF1247" s="12"/>
      <c r="AG1247" s="12"/>
      <c r="AH1247" s="12"/>
      <c r="AI1247" s="6"/>
      <c r="AJ1247" s="12"/>
      <c r="AK1247" s="24"/>
      <c r="AL1247" s="25"/>
      <c r="AM1247" s="12"/>
      <c r="AN1247" s="1"/>
      <c r="AO1247" s="6"/>
    </row>
    <row r="1248" spans="1:41" ht="15" x14ac:dyDescent="0.25">
      <c r="A1248" s="1"/>
      <c r="B1248" s="1"/>
      <c r="C1248" s="1"/>
      <c r="D1248" s="1"/>
      <c r="E1248" s="6"/>
      <c r="F1248" s="1"/>
      <c r="G1248" s="6"/>
      <c r="H1248" s="6"/>
      <c r="I1248" s="6"/>
      <c r="J1248" s="6"/>
      <c r="K1248" s="6"/>
      <c r="L1248" s="6"/>
      <c r="M1248" s="6"/>
      <c r="N1248" s="6"/>
      <c r="O1248" s="7"/>
      <c r="P1248" s="6"/>
      <c r="Q1248" s="6"/>
      <c r="R1248" s="7"/>
      <c r="S1248" s="6"/>
      <c r="T1248" s="6"/>
      <c r="U1248" s="7"/>
      <c r="V1248" s="6"/>
      <c r="W1248" s="6"/>
      <c r="X1248" s="12"/>
      <c r="Y1248" s="6"/>
      <c r="Z1248" s="6"/>
      <c r="AA1248" s="7"/>
      <c r="AB1248" s="6"/>
      <c r="AC1248" s="6"/>
      <c r="AD1248" s="6"/>
      <c r="AE1248" s="12"/>
      <c r="AF1248" s="6"/>
      <c r="AG1248" s="12"/>
      <c r="AH1248" s="6"/>
      <c r="AI1248" s="6"/>
      <c r="AJ1248" s="12"/>
      <c r="AK1248" s="1"/>
      <c r="AL1248" s="12"/>
      <c r="AM1248" s="12"/>
      <c r="AN1248" s="1"/>
      <c r="AO1248" s="6"/>
    </row>
    <row r="1249" spans="1:41" ht="15" x14ac:dyDescent="0.25">
      <c r="A1249" s="1"/>
      <c r="B1249" s="1"/>
      <c r="C1249" s="1"/>
      <c r="D1249" s="1"/>
      <c r="E1249" s="6"/>
      <c r="F1249" s="1"/>
      <c r="G1249" s="6"/>
      <c r="H1249" s="6"/>
      <c r="I1249" s="6"/>
      <c r="J1249" s="6"/>
      <c r="K1249" s="6"/>
      <c r="L1249" s="6"/>
      <c r="M1249" s="6"/>
      <c r="N1249" s="6"/>
      <c r="O1249" s="7"/>
      <c r="P1249" s="6"/>
      <c r="Q1249" s="7"/>
      <c r="R1249" s="6"/>
      <c r="S1249" s="6"/>
      <c r="T1249" s="6"/>
      <c r="U1249" s="6"/>
      <c r="V1249" s="7"/>
      <c r="W1249" s="7"/>
      <c r="X1249" s="6"/>
      <c r="Y1249" s="6"/>
      <c r="Z1249" s="6"/>
      <c r="AA1249" s="1"/>
      <c r="AB1249" s="12"/>
      <c r="AC1249" s="12"/>
      <c r="AD1249" s="12"/>
      <c r="AE1249" s="12"/>
      <c r="AF1249" s="12"/>
      <c r="AG1249" s="12"/>
      <c r="AH1249" s="12"/>
      <c r="AI1249" s="6"/>
      <c r="AJ1249" s="12"/>
      <c r="AK1249" s="12"/>
      <c r="AL1249" s="12"/>
      <c r="AM1249" s="12"/>
      <c r="AN1249" s="1"/>
      <c r="AO1249" s="6"/>
    </row>
    <row r="1250" spans="1:41" ht="15" x14ac:dyDescent="0.25">
      <c r="A1250" s="1"/>
      <c r="B1250" s="1"/>
      <c r="C1250" s="1"/>
      <c r="D1250" s="1"/>
      <c r="E1250" s="6"/>
      <c r="F1250" s="1"/>
      <c r="G1250" s="6"/>
      <c r="H1250" s="6"/>
      <c r="I1250" s="6"/>
      <c r="J1250" s="6"/>
      <c r="K1250" s="6"/>
      <c r="L1250" s="6"/>
      <c r="M1250" s="6"/>
      <c r="N1250" s="6"/>
      <c r="O1250" s="7"/>
      <c r="P1250" s="6"/>
      <c r="Q1250" s="6"/>
      <c r="R1250" s="7"/>
      <c r="S1250" s="6"/>
      <c r="T1250" s="6"/>
      <c r="U1250" s="7"/>
      <c r="V1250" s="6"/>
      <c r="W1250" s="6"/>
      <c r="X1250" s="6"/>
      <c r="Y1250" s="6"/>
      <c r="Z1250" s="6"/>
      <c r="AA1250" s="7"/>
      <c r="AB1250" s="6"/>
      <c r="AC1250" s="6"/>
      <c r="AD1250" s="6"/>
      <c r="AE1250" s="12"/>
      <c r="AF1250" s="12"/>
      <c r="AG1250" s="12"/>
      <c r="AH1250" s="12"/>
      <c r="AI1250" s="6"/>
      <c r="AJ1250" s="12"/>
      <c r="AK1250" s="1"/>
      <c r="AL1250" s="12"/>
      <c r="AM1250" s="12"/>
      <c r="AN1250" s="1"/>
      <c r="AO1250" s="6"/>
    </row>
    <row r="1251" spans="1:41" ht="15" x14ac:dyDescent="0.25">
      <c r="A1251" s="1"/>
      <c r="B1251" s="1"/>
      <c r="C1251" s="1"/>
      <c r="D1251" s="1"/>
      <c r="E1251" s="6"/>
      <c r="F1251" s="1"/>
      <c r="G1251" s="6"/>
      <c r="H1251" s="6"/>
      <c r="I1251" s="6"/>
      <c r="J1251" s="6"/>
      <c r="K1251" s="6"/>
      <c r="L1251" s="6"/>
      <c r="M1251" s="6"/>
      <c r="N1251" s="6"/>
      <c r="O1251" s="7"/>
      <c r="P1251" s="6"/>
      <c r="Q1251" s="6"/>
      <c r="R1251" s="7"/>
      <c r="S1251" s="6"/>
      <c r="T1251" s="6"/>
      <c r="U1251" s="7"/>
      <c r="V1251" s="6"/>
      <c r="W1251" s="6"/>
      <c r="X1251" s="6"/>
      <c r="Y1251" s="6"/>
      <c r="Z1251" s="6"/>
      <c r="AA1251" s="7"/>
      <c r="AB1251" s="6"/>
      <c r="AC1251" s="6"/>
      <c r="AD1251" s="6"/>
      <c r="AE1251" s="12"/>
      <c r="AF1251" s="12"/>
      <c r="AG1251" s="12"/>
      <c r="AH1251" s="12"/>
      <c r="AI1251" s="6"/>
      <c r="AJ1251" s="12"/>
      <c r="AK1251" s="1"/>
      <c r="AL1251" s="12"/>
      <c r="AM1251" s="12"/>
      <c r="AN1251" s="1"/>
      <c r="AO1251" s="6"/>
    </row>
    <row r="1252" spans="1:41" ht="15" x14ac:dyDescent="0.25">
      <c r="A1252" s="1"/>
      <c r="B1252" s="1"/>
      <c r="C1252" s="1"/>
      <c r="D1252" s="1"/>
      <c r="E1252" s="6"/>
      <c r="F1252" s="1"/>
      <c r="G1252" s="6"/>
      <c r="H1252" s="6"/>
      <c r="I1252" s="6"/>
      <c r="J1252" s="6"/>
      <c r="K1252" s="12"/>
      <c r="L1252" s="12"/>
      <c r="M1252" s="6"/>
      <c r="N1252" s="6"/>
      <c r="O1252" s="15"/>
      <c r="P1252" s="6"/>
      <c r="Q1252" s="7"/>
      <c r="R1252" s="6"/>
      <c r="S1252" s="6"/>
      <c r="T1252" s="6"/>
      <c r="U1252" s="6"/>
      <c r="V1252" s="7"/>
      <c r="W1252" s="7"/>
      <c r="X1252" s="6"/>
      <c r="Y1252" s="6"/>
      <c r="Z1252" s="6"/>
      <c r="AA1252" s="1"/>
      <c r="AB1252" s="12"/>
      <c r="AC1252" s="12"/>
      <c r="AD1252" s="12"/>
      <c r="AE1252" s="12"/>
      <c r="AF1252" s="12"/>
      <c r="AG1252" s="12"/>
      <c r="AH1252" s="12"/>
      <c r="AI1252" s="6"/>
      <c r="AJ1252" s="12"/>
      <c r="AK1252" s="12"/>
      <c r="AL1252" s="12"/>
      <c r="AM1252" s="12"/>
      <c r="AN1252" s="1"/>
      <c r="AO1252" s="6"/>
    </row>
    <row r="1253" spans="1:41" ht="15" x14ac:dyDescent="0.25">
      <c r="A1253" s="1"/>
      <c r="B1253" s="1"/>
      <c r="C1253" s="1"/>
      <c r="D1253" s="1"/>
      <c r="E1253" s="6"/>
      <c r="F1253" s="1"/>
      <c r="G1253" s="6"/>
      <c r="H1253" s="6"/>
      <c r="I1253" s="6"/>
      <c r="J1253" s="6"/>
      <c r="K1253" s="6"/>
      <c r="L1253" s="6"/>
      <c r="M1253" s="6"/>
      <c r="N1253" s="6"/>
      <c r="O1253" s="7"/>
      <c r="P1253" s="6"/>
      <c r="Q1253" s="6"/>
      <c r="R1253" s="7"/>
      <c r="S1253" s="6"/>
      <c r="T1253" s="6"/>
      <c r="U1253" s="7"/>
      <c r="V1253" s="6"/>
      <c r="W1253" s="6"/>
      <c r="X1253" s="12"/>
      <c r="Y1253" s="6"/>
      <c r="Z1253" s="6"/>
      <c r="AA1253" s="7"/>
      <c r="AB1253" s="6"/>
      <c r="AC1253" s="6"/>
      <c r="AD1253" s="6"/>
      <c r="AE1253" s="12"/>
      <c r="AF1253" s="6"/>
      <c r="AG1253" s="12"/>
      <c r="AH1253" s="6"/>
      <c r="AI1253" s="6"/>
      <c r="AJ1253" s="12"/>
      <c r="AK1253" s="1"/>
      <c r="AL1253" s="12"/>
      <c r="AM1253" s="12"/>
      <c r="AN1253" s="1"/>
      <c r="AO1253" s="6"/>
    </row>
    <row r="1254" spans="1:41" ht="15" x14ac:dyDescent="0.25">
      <c r="A1254" s="1"/>
      <c r="B1254" s="1"/>
      <c r="C1254" s="1"/>
      <c r="D1254" s="1"/>
      <c r="E1254" s="6"/>
      <c r="F1254" s="1"/>
      <c r="G1254" s="6"/>
      <c r="H1254" s="6"/>
      <c r="I1254" s="6"/>
      <c r="J1254" s="6"/>
      <c r="K1254" s="12"/>
      <c r="L1254" s="12"/>
      <c r="M1254" s="6"/>
      <c r="N1254" s="6"/>
      <c r="O1254" s="7"/>
      <c r="P1254" s="12"/>
      <c r="Q1254" s="6"/>
      <c r="R1254" s="7"/>
      <c r="S1254" s="6"/>
      <c r="T1254" s="6"/>
      <c r="U1254" s="7"/>
      <c r="V1254" s="6"/>
      <c r="W1254" s="6"/>
      <c r="X1254" s="6"/>
      <c r="Y1254" s="6"/>
      <c r="Z1254" s="6"/>
      <c r="AA1254" s="7"/>
      <c r="AB1254" s="6"/>
      <c r="AC1254" s="6"/>
      <c r="AD1254" s="6"/>
      <c r="AE1254" s="12"/>
      <c r="AF1254" s="12"/>
      <c r="AG1254" s="12"/>
      <c r="AH1254" s="12"/>
      <c r="AI1254" s="6"/>
      <c r="AJ1254" s="12"/>
      <c r="AK1254" s="1"/>
      <c r="AL1254" s="12"/>
      <c r="AM1254" s="12"/>
      <c r="AN1254" s="1"/>
      <c r="AO1254" s="6"/>
    </row>
    <row r="1255" spans="1:41" ht="15" x14ac:dyDescent="0.25">
      <c r="A1255" s="1"/>
      <c r="B1255" s="1"/>
      <c r="C1255" s="1"/>
      <c r="D1255" s="1"/>
      <c r="E1255" s="6"/>
      <c r="F1255" s="1"/>
      <c r="G1255" s="6"/>
      <c r="H1255" s="6"/>
      <c r="I1255" s="6"/>
      <c r="J1255" s="6"/>
      <c r="K1255" s="6"/>
      <c r="L1255" s="6"/>
      <c r="M1255" s="6"/>
      <c r="N1255" s="6"/>
      <c r="O1255" s="7"/>
      <c r="P1255" s="6"/>
      <c r="Q1255" s="7"/>
      <c r="R1255" s="6"/>
      <c r="S1255" s="12"/>
      <c r="T1255" s="6"/>
      <c r="U1255" s="6"/>
      <c r="V1255" s="7"/>
      <c r="W1255" s="7"/>
      <c r="X1255" s="6"/>
      <c r="Y1255" s="6"/>
      <c r="Z1255" s="6"/>
      <c r="AA1255" s="1"/>
      <c r="AB1255" s="12"/>
      <c r="AC1255" s="12"/>
      <c r="AD1255" s="12"/>
      <c r="AE1255" s="12"/>
      <c r="AF1255" s="6"/>
      <c r="AG1255" s="12"/>
      <c r="AH1255" s="6"/>
      <c r="AI1255" s="6"/>
      <c r="AJ1255" s="12"/>
      <c r="AK1255" s="12"/>
      <c r="AL1255" s="12"/>
      <c r="AM1255" s="12"/>
      <c r="AN1255" s="1"/>
      <c r="AO1255" s="6"/>
    </row>
    <row r="1256" spans="1:41" ht="15" x14ac:dyDescent="0.25">
      <c r="A1256" s="1"/>
      <c r="B1256" s="1"/>
      <c r="C1256" s="1"/>
      <c r="D1256" s="1"/>
      <c r="E1256" s="6"/>
      <c r="F1256" s="1"/>
      <c r="G1256" s="6"/>
      <c r="H1256" s="6"/>
      <c r="I1256" s="6"/>
      <c r="J1256" s="6"/>
      <c r="K1256" s="12"/>
      <c r="L1256" s="6"/>
      <c r="M1256" s="6"/>
      <c r="N1256" s="6"/>
      <c r="O1256" s="7"/>
      <c r="P1256" s="6"/>
      <c r="Q1256" s="6"/>
      <c r="R1256" s="7"/>
      <c r="S1256" s="6"/>
      <c r="T1256" s="6"/>
      <c r="U1256" s="7"/>
      <c r="V1256" s="6"/>
      <c r="W1256" s="6"/>
      <c r="X1256" s="12"/>
      <c r="Y1256" s="6"/>
      <c r="Z1256" s="6"/>
      <c r="AA1256" s="7"/>
      <c r="AB1256" s="6"/>
      <c r="AC1256" s="6"/>
      <c r="AD1256" s="6"/>
      <c r="AE1256" s="12"/>
      <c r="AF1256" s="6"/>
      <c r="AG1256" s="12"/>
      <c r="AH1256" s="6"/>
      <c r="AI1256" s="6"/>
      <c r="AJ1256" s="12"/>
      <c r="AK1256" s="24"/>
      <c r="AL1256" s="25"/>
      <c r="AM1256" s="12"/>
      <c r="AN1256" s="1"/>
      <c r="AO1256" s="12"/>
    </row>
    <row r="1257" spans="1:41" ht="15" x14ac:dyDescent="0.25">
      <c r="A1257" s="1"/>
      <c r="B1257" s="1"/>
      <c r="C1257" s="1"/>
      <c r="D1257" s="1"/>
      <c r="E1257" s="6"/>
      <c r="F1257" s="1"/>
      <c r="G1257" s="6"/>
      <c r="H1257" s="6"/>
      <c r="I1257" s="6"/>
      <c r="J1257" s="6"/>
      <c r="K1257" s="6"/>
      <c r="L1257" s="6"/>
      <c r="M1257" s="6"/>
      <c r="N1257" s="6"/>
      <c r="O1257" s="7"/>
      <c r="P1257" s="6"/>
      <c r="Q1257" s="6"/>
      <c r="R1257" s="7"/>
      <c r="S1257" s="6"/>
      <c r="T1257" s="6"/>
      <c r="U1257" s="7"/>
      <c r="V1257" s="6"/>
      <c r="W1257" s="6"/>
      <c r="X1257" s="12"/>
      <c r="Y1257" s="12"/>
      <c r="Z1257" s="6"/>
      <c r="AA1257" s="7"/>
      <c r="AB1257" s="6"/>
      <c r="AC1257" s="6"/>
      <c r="AD1257" s="6"/>
      <c r="AE1257" s="12"/>
      <c r="AF1257" s="6"/>
      <c r="AG1257" s="12"/>
      <c r="AH1257" s="6"/>
      <c r="AI1257" s="6"/>
      <c r="AJ1257" s="12"/>
      <c r="AK1257" s="1"/>
      <c r="AL1257" s="12"/>
      <c r="AM1257" s="12"/>
      <c r="AN1257" s="1"/>
      <c r="AO1257" s="6"/>
    </row>
    <row r="1258" spans="1:41" ht="15" x14ac:dyDescent="0.25">
      <c r="A1258" s="1"/>
      <c r="B1258" s="1"/>
      <c r="C1258" s="1"/>
      <c r="D1258" s="1"/>
      <c r="E1258" s="6"/>
      <c r="F1258" s="1"/>
      <c r="G1258" s="6"/>
      <c r="H1258" s="6"/>
      <c r="I1258" s="6"/>
      <c r="J1258" s="6"/>
      <c r="K1258" s="6"/>
      <c r="L1258" s="6"/>
      <c r="M1258" s="6"/>
      <c r="N1258" s="6"/>
      <c r="O1258" s="12"/>
      <c r="P1258" s="12"/>
      <c r="Q1258" s="6"/>
      <c r="R1258" s="7"/>
      <c r="S1258" s="6"/>
      <c r="T1258" s="6"/>
      <c r="U1258" s="7"/>
      <c r="V1258" s="6"/>
      <c r="W1258" s="6"/>
      <c r="X1258" s="12"/>
      <c r="Y1258" s="12"/>
      <c r="Z1258" s="6"/>
      <c r="AA1258" s="6"/>
      <c r="AB1258" s="12"/>
      <c r="AC1258" s="12"/>
      <c r="AD1258" s="12"/>
      <c r="AE1258" s="12"/>
      <c r="AF1258" s="6"/>
      <c r="AG1258" s="12"/>
      <c r="AH1258" s="6"/>
      <c r="AI1258" s="6"/>
      <c r="AJ1258" s="12"/>
      <c r="AK1258" s="1"/>
      <c r="AL1258" s="12"/>
      <c r="AM1258" s="12"/>
      <c r="AN1258" s="1"/>
      <c r="AO1258" s="6"/>
    </row>
    <row r="1259" spans="1:41" ht="15" x14ac:dyDescent="0.25">
      <c r="A1259" s="1"/>
      <c r="B1259" s="1"/>
      <c r="C1259" s="1"/>
      <c r="D1259" s="1"/>
      <c r="E1259" s="6"/>
      <c r="F1259" s="1"/>
      <c r="G1259" s="6"/>
      <c r="H1259" s="6"/>
      <c r="I1259" s="6"/>
      <c r="J1259" s="6"/>
      <c r="K1259" s="6"/>
      <c r="L1259" s="6"/>
      <c r="M1259" s="6"/>
      <c r="N1259" s="6"/>
      <c r="O1259" s="7"/>
      <c r="P1259" s="6"/>
      <c r="Q1259" s="6"/>
      <c r="R1259" s="7"/>
      <c r="S1259" s="6"/>
      <c r="T1259" s="6"/>
      <c r="U1259" s="7"/>
      <c r="V1259" s="6"/>
      <c r="W1259" s="6"/>
      <c r="X1259" s="12"/>
      <c r="Y1259" s="12"/>
      <c r="Z1259" s="6"/>
      <c r="AA1259" s="7"/>
      <c r="AB1259" s="6"/>
      <c r="AC1259" s="6"/>
      <c r="AD1259" s="6"/>
      <c r="AE1259" s="12"/>
      <c r="AF1259" s="6"/>
      <c r="AG1259" s="12"/>
      <c r="AH1259" s="6"/>
      <c r="AI1259" s="6"/>
      <c r="AJ1259" s="12"/>
      <c r="AK1259" s="1"/>
      <c r="AL1259" s="12"/>
      <c r="AM1259" s="12"/>
      <c r="AN1259" s="1"/>
      <c r="AO1259" s="6"/>
    </row>
    <row r="1260" spans="1:41" ht="15" x14ac:dyDescent="0.25">
      <c r="A1260" s="1"/>
      <c r="B1260" s="1"/>
      <c r="C1260" s="1"/>
      <c r="D1260" s="1"/>
      <c r="E1260" s="6"/>
      <c r="F1260" s="1"/>
      <c r="G1260" s="6"/>
      <c r="H1260" s="6"/>
      <c r="I1260" s="6"/>
      <c r="J1260" s="6"/>
      <c r="K1260" s="6"/>
      <c r="L1260" s="6"/>
      <c r="M1260" s="6"/>
      <c r="N1260" s="6"/>
      <c r="O1260" s="7"/>
      <c r="P1260" s="6"/>
      <c r="Q1260" s="6"/>
      <c r="R1260" s="7"/>
      <c r="S1260" s="6"/>
      <c r="T1260" s="6"/>
      <c r="U1260" s="7"/>
      <c r="V1260" s="6"/>
      <c r="W1260" s="6"/>
      <c r="X1260" s="12"/>
      <c r="Y1260" s="6"/>
      <c r="Z1260" s="6"/>
      <c r="AA1260" s="7"/>
      <c r="AB1260" s="6"/>
      <c r="AC1260" s="6"/>
      <c r="AD1260" s="6"/>
      <c r="AE1260" s="12"/>
      <c r="AF1260" s="6"/>
      <c r="AG1260" s="12"/>
      <c r="AH1260" s="6"/>
      <c r="AI1260" s="6"/>
      <c r="AJ1260" s="12"/>
      <c r="AK1260" s="1"/>
      <c r="AL1260" s="12"/>
      <c r="AM1260" s="12"/>
      <c r="AN1260" s="1"/>
      <c r="AO1260" s="6"/>
    </row>
    <row r="1261" spans="1:41" ht="15" x14ac:dyDescent="0.25">
      <c r="A1261" s="1"/>
      <c r="B1261" s="1"/>
      <c r="C1261" s="1"/>
      <c r="D1261" s="1"/>
      <c r="E1261" s="6"/>
      <c r="F1261" s="1"/>
      <c r="G1261" s="6"/>
      <c r="H1261" s="6"/>
      <c r="I1261" s="6"/>
      <c r="J1261" s="6"/>
      <c r="K1261" s="12"/>
      <c r="L1261" s="12"/>
      <c r="M1261" s="6"/>
      <c r="N1261" s="6"/>
      <c r="O1261" s="7"/>
      <c r="P1261" s="6"/>
      <c r="Q1261" s="6"/>
      <c r="R1261" s="15"/>
      <c r="S1261" s="6"/>
      <c r="T1261" s="6"/>
      <c r="U1261" s="15"/>
      <c r="V1261" s="6"/>
      <c r="W1261" s="6"/>
      <c r="X1261" s="12"/>
      <c r="Y1261" s="12"/>
      <c r="Z1261" s="6"/>
      <c r="AA1261" s="7"/>
      <c r="AB1261" s="6"/>
      <c r="AC1261" s="6"/>
      <c r="AD1261" s="6"/>
      <c r="AE1261" s="12"/>
      <c r="AF1261" s="12"/>
      <c r="AG1261" s="12"/>
      <c r="AH1261" s="12"/>
      <c r="AI1261" s="6"/>
      <c r="AJ1261" s="12"/>
      <c r="AK1261" s="1"/>
      <c r="AL1261" s="12"/>
      <c r="AM1261" s="12"/>
      <c r="AN1261" s="1"/>
      <c r="AO1261" s="12"/>
    </row>
    <row r="1262" spans="1:41" ht="15" x14ac:dyDescent="0.25">
      <c r="A1262" s="1"/>
      <c r="B1262" s="1"/>
      <c r="C1262" s="1"/>
      <c r="D1262" s="1"/>
      <c r="E1262" s="6"/>
      <c r="F1262" s="1"/>
      <c r="G1262" s="6"/>
      <c r="H1262" s="6"/>
      <c r="I1262" s="6"/>
      <c r="J1262" s="6"/>
      <c r="K1262" s="6"/>
      <c r="L1262" s="6"/>
      <c r="M1262" s="6"/>
      <c r="N1262" s="6"/>
      <c r="O1262" s="7"/>
      <c r="P1262" s="6"/>
      <c r="Q1262" s="6"/>
      <c r="R1262" s="7"/>
      <c r="S1262" s="6"/>
      <c r="T1262" s="6"/>
      <c r="U1262" s="7"/>
      <c r="V1262" s="6"/>
      <c r="W1262" s="6"/>
      <c r="X1262" s="12"/>
      <c r="Y1262" s="12"/>
      <c r="Z1262" s="6"/>
      <c r="AA1262" s="7"/>
      <c r="AB1262" s="6"/>
      <c r="AC1262" s="6"/>
      <c r="AD1262" s="6"/>
      <c r="AE1262" s="12"/>
      <c r="AF1262" s="6"/>
      <c r="AG1262" s="12"/>
      <c r="AH1262" s="6"/>
      <c r="AI1262" s="6"/>
      <c r="AJ1262" s="12"/>
      <c r="AK1262" s="1"/>
      <c r="AL1262" s="12"/>
      <c r="AM1262" s="12"/>
      <c r="AN1262" s="1"/>
      <c r="AO1262" s="12"/>
    </row>
    <row r="1263" spans="1:41" ht="15" x14ac:dyDescent="0.25">
      <c r="A1263" s="1"/>
      <c r="B1263" s="1"/>
      <c r="C1263" s="1"/>
      <c r="D1263" s="1"/>
      <c r="E1263" s="6"/>
      <c r="F1263" s="1"/>
      <c r="G1263" s="6"/>
      <c r="H1263" s="6"/>
      <c r="I1263" s="6"/>
      <c r="J1263" s="6"/>
      <c r="K1263" s="6"/>
      <c r="L1263" s="6"/>
      <c r="M1263" s="6"/>
      <c r="N1263" s="6"/>
      <c r="O1263" s="7"/>
      <c r="P1263" s="6"/>
      <c r="Q1263" s="7"/>
      <c r="R1263" s="6"/>
      <c r="S1263" s="6"/>
      <c r="T1263" s="6"/>
      <c r="U1263" s="6"/>
      <c r="V1263" s="7"/>
      <c r="W1263" s="7"/>
      <c r="X1263" s="6"/>
      <c r="Y1263" s="6"/>
      <c r="Z1263" s="6"/>
      <c r="AA1263" s="1"/>
      <c r="AB1263" s="12"/>
      <c r="AC1263" s="12"/>
      <c r="AD1263" s="12"/>
      <c r="AE1263" s="12"/>
      <c r="AF1263" s="12"/>
      <c r="AG1263" s="12"/>
      <c r="AH1263" s="12"/>
      <c r="AI1263" s="6"/>
      <c r="AJ1263" s="12"/>
      <c r="AK1263" s="12"/>
      <c r="AL1263" s="12"/>
      <c r="AM1263" s="12"/>
      <c r="AN1263" s="1"/>
      <c r="AO1263" s="6"/>
    </row>
    <row r="1264" spans="1:41" ht="15" x14ac:dyDescent="0.25">
      <c r="A1264" s="1"/>
      <c r="B1264" s="1"/>
      <c r="C1264" s="1"/>
      <c r="D1264" s="1"/>
      <c r="E1264" s="6"/>
      <c r="F1264" s="1"/>
      <c r="G1264" s="6"/>
      <c r="H1264" s="6"/>
      <c r="I1264" s="6"/>
      <c r="J1264" s="6"/>
      <c r="K1264" s="6"/>
      <c r="L1264" s="6"/>
      <c r="M1264" s="6"/>
      <c r="N1264" s="6"/>
      <c r="O1264" s="7"/>
      <c r="P1264" s="6"/>
      <c r="Q1264" s="6"/>
      <c r="R1264" s="7"/>
      <c r="S1264" s="6"/>
      <c r="T1264" s="6"/>
      <c r="U1264" s="7"/>
      <c r="V1264" s="6"/>
      <c r="W1264" s="6"/>
      <c r="X1264" s="12"/>
      <c r="Y1264" s="6"/>
      <c r="Z1264" s="6"/>
      <c r="AA1264" s="7"/>
      <c r="AB1264" s="6"/>
      <c r="AC1264" s="6"/>
      <c r="AD1264" s="6"/>
      <c r="AE1264" s="12"/>
      <c r="AF1264" s="6"/>
      <c r="AG1264" s="12"/>
      <c r="AH1264" s="6"/>
      <c r="AI1264" s="6"/>
      <c r="AJ1264" s="12"/>
      <c r="AK1264" s="24"/>
      <c r="AL1264" s="25"/>
      <c r="AM1264" s="12"/>
      <c r="AN1264" s="1"/>
      <c r="AO1264" s="6"/>
    </row>
    <row r="1265" spans="1:41" ht="15" x14ac:dyDescent="0.25">
      <c r="A1265" s="1"/>
      <c r="B1265" s="1"/>
      <c r="C1265" s="1"/>
      <c r="D1265" s="1"/>
      <c r="E1265" s="6"/>
      <c r="F1265" s="1"/>
      <c r="G1265" s="6"/>
      <c r="H1265" s="6"/>
      <c r="I1265" s="6"/>
      <c r="J1265" s="6"/>
      <c r="K1265" s="12"/>
      <c r="L1265" s="12"/>
      <c r="M1265" s="6"/>
      <c r="N1265" s="6"/>
      <c r="O1265" s="7"/>
      <c r="P1265" s="6"/>
      <c r="Q1265" s="6"/>
      <c r="R1265" s="7"/>
      <c r="S1265" s="6"/>
      <c r="T1265" s="6"/>
      <c r="U1265" s="7"/>
      <c r="V1265" s="6"/>
      <c r="W1265" s="6"/>
      <c r="X1265" s="6"/>
      <c r="Y1265" s="6"/>
      <c r="Z1265" s="6"/>
      <c r="AA1265" s="7"/>
      <c r="AB1265" s="6"/>
      <c r="AC1265" s="6"/>
      <c r="AD1265" s="6"/>
      <c r="AE1265" s="12"/>
      <c r="AF1265" s="12"/>
      <c r="AG1265" s="12"/>
      <c r="AH1265" s="12"/>
      <c r="AI1265" s="6"/>
      <c r="AJ1265" s="12"/>
      <c r="AK1265" s="1"/>
      <c r="AL1265" s="12"/>
      <c r="AM1265" s="12"/>
      <c r="AN1265" s="1"/>
      <c r="AO1265" s="6"/>
    </row>
    <row r="1266" spans="1:41" ht="15" x14ac:dyDescent="0.25">
      <c r="A1266" s="1"/>
      <c r="B1266" s="1"/>
      <c r="C1266" s="1"/>
      <c r="D1266" s="1"/>
      <c r="E1266" s="6"/>
      <c r="F1266" s="1"/>
      <c r="G1266" s="6"/>
      <c r="H1266" s="6"/>
      <c r="I1266" s="6"/>
      <c r="J1266" s="6"/>
      <c r="K1266" s="6"/>
      <c r="L1266" s="6"/>
      <c r="M1266" s="6"/>
      <c r="N1266" s="6"/>
      <c r="O1266" s="7"/>
      <c r="P1266" s="6"/>
      <c r="Q1266" s="6"/>
      <c r="R1266" s="7"/>
      <c r="S1266" s="6"/>
      <c r="T1266" s="6"/>
      <c r="U1266" s="7"/>
      <c r="V1266" s="6"/>
      <c r="W1266" s="6"/>
      <c r="X1266" s="12"/>
      <c r="Y1266" s="6"/>
      <c r="Z1266" s="6"/>
      <c r="AA1266" s="7"/>
      <c r="AB1266" s="6"/>
      <c r="AC1266" s="6"/>
      <c r="AD1266" s="6"/>
      <c r="AE1266" s="12"/>
      <c r="AF1266" s="6"/>
      <c r="AG1266" s="12"/>
      <c r="AH1266" s="6"/>
      <c r="AI1266" s="6"/>
      <c r="AJ1266" s="12"/>
      <c r="AK1266" s="1"/>
      <c r="AL1266" s="12"/>
      <c r="AM1266" s="12"/>
      <c r="AN1266" s="1"/>
      <c r="AO1266" s="6"/>
    </row>
    <row r="1267" spans="1:41" ht="15" x14ac:dyDescent="0.25">
      <c r="A1267" s="1"/>
      <c r="B1267" s="1"/>
      <c r="C1267" s="1"/>
      <c r="D1267" s="1"/>
      <c r="E1267" s="6"/>
      <c r="F1267" s="1"/>
      <c r="G1267" s="6"/>
      <c r="H1267" s="6"/>
      <c r="I1267" s="6"/>
      <c r="J1267" s="6"/>
      <c r="K1267" s="6"/>
      <c r="L1267" s="6"/>
      <c r="M1267" s="6"/>
      <c r="N1267" s="6"/>
      <c r="O1267" s="7"/>
      <c r="P1267" s="6"/>
      <c r="Q1267" s="6"/>
      <c r="R1267" s="7"/>
      <c r="S1267" s="6"/>
      <c r="T1267" s="6"/>
      <c r="U1267" s="7"/>
      <c r="V1267" s="6"/>
      <c r="W1267" s="6"/>
      <c r="X1267" s="12"/>
      <c r="Y1267" s="6"/>
      <c r="Z1267" s="6"/>
      <c r="AA1267" s="7"/>
      <c r="AB1267" s="6"/>
      <c r="AC1267" s="6"/>
      <c r="AD1267" s="6"/>
      <c r="AE1267" s="12"/>
      <c r="AF1267" s="12"/>
      <c r="AG1267" s="12"/>
      <c r="AH1267" s="12"/>
      <c r="AI1267" s="6"/>
      <c r="AJ1267" s="12"/>
      <c r="AK1267" s="1"/>
      <c r="AL1267" s="12"/>
      <c r="AM1267" s="12"/>
      <c r="AN1267" s="1"/>
      <c r="AO1267" s="6"/>
    </row>
    <row r="1268" spans="1:41" ht="15" x14ac:dyDescent="0.25">
      <c r="A1268" s="1"/>
      <c r="B1268" s="1"/>
      <c r="C1268" s="1"/>
      <c r="D1268" s="1"/>
      <c r="E1268" s="6"/>
      <c r="F1268" s="1"/>
      <c r="G1268" s="6"/>
      <c r="H1268" s="6"/>
      <c r="I1268" s="6"/>
      <c r="J1268" s="6"/>
      <c r="K1268" s="6"/>
      <c r="L1268" s="6"/>
      <c r="M1268" s="6"/>
      <c r="N1268" s="6"/>
      <c r="O1268" s="7"/>
      <c r="P1268" s="6"/>
      <c r="Q1268" s="7"/>
      <c r="R1268" s="6"/>
      <c r="S1268" s="6"/>
      <c r="T1268" s="6"/>
      <c r="U1268" s="6"/>
      <c r="V1268" s="7"/>
      <c r="W1268" s="6"/>
      <c r="X1268" s="6"/>
      <c r="Y1268" s="6"/>
      <c r="Z1268" s="6"/>
      <c r="AA1268" s="1"/>
      <c r="AB1268" s="12"/>
      <c r="AC1268" s="12"/>
      <c r="AD1268" s="12"/>
      <c r="AE1268" s="12"/>
      <c r="AF1268" s="6"/>
      <c r="AG1268" s="12"/>
      <c r="AH1268" s="6"/>
      <c r="AI1268" s="6"/>
      <c r="AJ1268" s="12"/>
      <c r="AK1268" s="12"/>
      <c r="AL1268" s="12"/>
      <c r="AM1268" s="12"/>
      <c r="AN1268" s="1"/>
      <c r="AO1268" s="6"/>
    </row>
    <row r="1269" spans="1:41" ht="15" x14ac:dyDescent="0.25">
      <c r="A1269" s="1"/>
      <c r="B1269" s="1"/>
      <c r="C1269" s="1"/>
      <c r="D1269" s="1"/>
      <c r="E1269" s="6"/>
      <c r="F1269" s="1"/>
      <c r="G1269" s="6"/>
      <c r="H1269" s="6"/>
      <c r="I1269" s="6"/>
      <c r="J1269" s="6"/>
      <c r="K1269" s="6"/>
      <c r="L1269" s="6"/>
      <c r="M1269" s="6"/>
      <c r="N1269" s="6"/>
      <c r="O1269" s="7"/>
      <c r="P1269" s="6"/>
      <c r="Q1269" s="7"/>
      <c r="R1269" s="6"/>
      <c r="S1269" s="12"/>
      <c r="T1269" s="12"/>
      <c r="U1269" s="6"/>
      <c r="V1269" s="6"/>
      <c r="W1269" s="6"/>
      <c r="X1269" s="12"/>
      <c r="Y1269" s="12"/>
      <c r="Z1269" s="12"/>
      <c r="AA1269" s="24"/>
      <c r="AB1269" s="25"/>
      <c r="AC1269" s="12"/>
      <c r="AD1269" s="12"/>
      <c r="AE1269" s="12"/>
      <c r="AF1269" s="6"/>
      <c r="AG1269" s="12"/>
      <c r="AH1269" s="6"/>
      <c r="AI1269" s="6"/>
      <c r="AJ1269" s="12"/>
      <c r="AK1269" s="12"/>
      <c r="AL1269" s="12"/>
      <c r="AM1269" s="12"/>
      <c r="AN1269" s="1"/>
      <c r="AO1269" s="6"/>
    </row>
    <row r="1270" spans="1:41" ht="15" x14ac:dyDescent="0.25">
      <c r="A1270" s="1"/>
      <c r="B1270" s="1"/>
      <c r="C1270" s="1"/>
      <c r="D1270" s="1"/>
      <c r="E1270" s="6"/>
      <c r="F1270" s="1"/>
      <c r="G1270" s="6"/>
      <c r="H1270" s="6"/>
      <c r="I1270" s="6"/>
      <c r="J1270" s="6"/>
      <c r="K1270" s="6"/>
      <c r="L1270" s="6"/>
      <c r="M1270" s="6"/>
      <c r="N1270" s="6"/>
      <c r="O1270" s="7"/>
      <c r="P1270" s="6"/>
      <c r="Q1270" s="6"/>
      <c r="R1270" s="7"/>
      <c r="S1270" s="6"/>
      <c r="T1270" s="6"/>
      <c r="U1270" s="7"/>
      <c r="V1270" s="6"/>
      <c r="W1270" s="6"/>
      <c r="X1270" s="6"/>
      <c r="Y1270" s="6"/>
      <c r="Z1270" s="6"/>
      <c r="AA1270" s="7"/>
      <c r="AB1270" s="6"/>
      <c r="AC1270" s="6"/>
      <c r="AD1270" s="6"/>
      <c r="AE1270" s="12"/>
      <c r="AF1270" s="12"/>
      <c r="AG1270" s="12"/>
      <c r="AH1270" s="12"/>
      <c r="AI1270" s="6"/>
      <c r="AJ1270" s="12"/>
      <c r="AK1270" s="1"/>
      <c r="AL1270" s="12"/>
      <c r="AM1270" s="12"/>
      <c r="AN1270" s="1"/>
      <c r="AO1270" s="6"/>
    </row>
    <row r="1271" spans="1:41" ht="15" x14ac:dyDescent="0.25">
      <c r="A1271" s="1"/>
      <c r="B1271" s="1"/>
      <c r="C1271" s="1"/>
      <c r="D1271" s="1"/>
      <c r="E1271" s="6"/>
      <c r="F1271" s="1"/>
      <c r="G1271" s="6"/>
      <c r="H1271" s="6"/>
      <c r="I1271" s="6"/>
      <c r="J1271" s="6"/>
      <c r="K1271" s="6"/>
      <c r="L1271" s="6"/>
      <c r="M1271" s="6"/>
      <c r="N1271" s="6"/>
      <c r="O1271" s="7"/>
      <c r="P1271" s="6"/>
      <c r="Q1271" s="6"/>
      <c r="R1271" s="7"/>
      <c r="S1271" s="6"/>
      <c r="T1271" s="6"/>
      <c r="U1271" s="7"/>
      <c r="V1271" s="6"/>
      <c r="W1271" s="6"/>
      <c r="X1271" s="6"/>
      <c r="Y1271" s="6"/>
      <c r="Z1271" s="6"/>
      <c r="AA1271" s="7"/>
      <c r="AB1271" s="6"/>
      <c r="AC1271" s="6"/>
      <c r="AD1271" s="6"/>
      <c r="AE1271" s="12"/>
      <c r="AF1271" s="6"/>
      <c r="AG1271" s="12"/>
      <c r="AH1271" s="6"/>
      <c r="AI1271" s="6"/>
      <c r="AJ1271" s="12"/>
      <c r="AK1271" s="1"/>
      <c r="AL1271" s="12"/>
      <c r="AM1271" s="12"/>
      <c r="AN1271" s="1"/>
      <c r="AO1271" s="6"/>
    </row>
    <row r="1272" spans="1:41" ht="15" x14ac:dyDescent="0.25">
      <c r="A1272" s="1"/>
      <c r="B1272" s="1"/>
      <c r="C1272" s="1"/>
      <c r="D1272" s="1"/>
      <c r="E1272" s="6"/>
      <c r="F1272" s="1"/>
      <c r="G1272" s="6"/>
      <c r="H1272" s="6"/>
      <c r="I1272" s="6"/>
      <c r="J1272" s="6"/>
      <c r="K1272" s="6"/>
      <c r="L1272" s="6"/>
      <c r="M1272" s="6"/>
      <c r="N1272" s="6"/>
      <c r="O1272" s="7"/>
      <c r="P1272" s="6"/>
      <c r="Q1272" s="7"/>
      <c r="R1272" s="6"/>
      <c r="S1272" s="6"/>
      <c r="T1272" s="6"/>
      <c r="U1272" s="6"/>
      <c r="V1272" s="7"/>
      <c r="W1272" s="7"/>
      <c r="X1272" s="6"/>
      <c r="Y1272" s="6"/>
      <c r="Z1272" s="6"/>
      <c r="AA1272" s="1"/>
      <c r="AB1272" s="12"/>
      <c r="AC1272" s="12"/>
      <c r="AD1272" s="12"/>
      <c r="AE1272" s="12"/>
      <c r="AF1272" s="12"/>
      <c r="AG1272" s="12"/>
      <c r="AH1272" s="12"/>
      <c r="AI1272" s="6"/>
      <c r="AJ1272" s="12"/>
      <c r="AK1272" s="12"/>
      <c r="AL1272" s="12"/>
      <c r="AM1272" s="12"/>
      <c r="AN1272" s="1"/>
      <c r="AO1272" s="6"/>
    </row>
    <row r="1273" spans="1:41" ht="15" x14ac:dyDescent="0.25">
      <c r="A1273" s="1"/>
      <c r="B1273" s="1"/>
      <c r="C1273" s="1"/>
      <c r="D1273" s="1"/>
      <c r="E1273" s="6"/>
      <c r="F1273" s="1"/>
      <c r="G1273" s="6"/>
      <c r="H1273" s="6"/>
      <c r="I1273" s="6"/>
      <c r="J1273" s="6"/>
      <c r="K1273" s="12"/>
      <c r="L1273" s="12"/>
      <c r="M1273" s="6"/>
      <c r="N1273" s="6"/>
      <c r="O1273" s="7"/>
      <c r="P1273" s="6"/>
      <c r="Q1273" s="6"/>
      <c r="R1273" s="12"/>
      <c r="S1273" s="12"/>
      <c r="T1273" s="12"/>
      <c r="U1273" s="7"/>
      <c r="V1273" s="6"/>
      <c r="W1273" s="6"/>
      <c r="X1273" s="12"/>
      <c r="Y1273" s="6"/>
      <c r="Z1273" s="6"/>
      <c r="AA1273" s="7"/>
      <c r="AB1273" s="6"/>
      <c r="AC1273" s="6"/>
      <c r="AD1273" s="6"/>
      <c r="AE1273" s="12"/>
      <c r="AF1273" s="12"/>
      <c r="AG1273" s="12"/>
      <c r="AH1273" s="12"/>
      <c r="AI1273" s="6"/>
      <c r="AJ1273" s="12"/>
      <c r="AK1273" s="24"/>
      <c r="AL1273" s="25"/>
      <c r="AM1273" s="12"/>
      <c r="AN1273" s="1"/>
      <c r="AO1273" s="6"/>
    </row>
    <row r="1274" spans="1:41" ht="15" x14ac:dyDescent="0.25">
      <c r="A1274" s="1"/>
      <c r="B1274" s="1"/>
      <c r="C1274" s="1"/>
      <c r="D1274" s="1"/>
      <c r="E1274" s="6"/>
      <c r="F1274" s="1"/>
      <c r="G1274" s="6"/>
      <c r="H1274" s="6"/>
      <c r="I1274" s="6"/>
      <c r="J1274" s="6"/>
      <c r="K1274" s="6"/>
      <c r="L1274" s="6"/>
      <c r="M1274" s="6"/>
      <c r="N1274" s="6"/>
      <c r="O1274" s="7"/>
      <c r="P1274" s="6"/>
      <c r="Q1274" s="6"/>
      <c r="R1274" s="7"/>
      <c r="S1274" s="6"/>
      <c r="T1274" s="6"/>
      <c r="U1274" s="7"/>
      <c r="V1274" s="6"/>
      <c r="W1274" s="6"/>
      <c r="X1274" s="12"/>
      <c r="Y1274" s="6"/>
      <c r="Z1274" s="6"/>
      <c r="AA1274" s="7"/>
      <c r="AB1274" s="6"/>
      <c r="AC1274" s="6"/>
      <c r="AD1274" s="6"/>
      <c r="AE1274" s="12"/>
      <c r="AF1274" s="12"/>
      <c r="AG1274" s="12"/>
      <c r="AH1274" s="12"/>
      <c r="AI1274" s="6"/>
      <c r="AJ1274" s="12"/>
      <c r="AK1274" s="1"/>
      <c r="AL1274" s="12"/>
      <c r="AM1274" s="12"/>
      <c r="AN1274" s="1"/>
      <c r="AO1274" s="6"/>
    </row>
    <row r="1275" spans="1:41" ht="15" x14ac:dyDescent="0.25">
      <c r="A1275" s="1"/>
      <c r="B1275" s="1"/>
      <c r="C1275" s="1"/>
      <c r="D1275" s="1"/>
      <c r="E1275" s="6"/>
      <c r="F1275" s="1"/>
      <c r="G1275" s="6"/>
      <c r="H1275" s="6"/>
      <c r="I1275" s="6"/>
      <c r="J1275" s="6"/>
      <c r="K1275" s="6"/>
      <c r="L1275" s="6"/>
      <c r="M1275" s="6"/>
      <c r="N1275" s="6"/>
      <c r="O1275" s="7"/>
      <c r="P1275" s="6"/>
      <c r="Q1275" s="6"/>
      <c r="R1275" s="12"/>
      <c r="S1275" s="12"/>
      <c r="T1275" s="12"/>
      <c r="U1275" s="7"/>
      <c r="V1275" s="6"/>
      <c r="W1275" s="6"/>
      <c r="X1275" s="12"/>
      <c r="Y1275" s="6"/>
      <c r="Z1275" s="6"/>
      <c r="AA1275" s="7"/>
      <c r="AB1275" s="6"/>
      <c r="AC1275" s="6"/>
      <c r="AD1275" s="6"/>
      <c r="AE1275" s="12"/>
      <c r="AF1275" s="6"/>
      <c r="AG1275" s="12"/>
      <c r="AH1275" s="6"/>
      <c r="AI1275" s="6"/>
      <c r="AJ1275" s="12"/>
      <c r="AK1275" s="24"/>
      <c r="AL1275" s="25"/>
      <c r="AM1275" s="12"/>
      <c r="AN1275" s="1"/>
      <c r="AO1275" s="6"/>
    </row>
    <row r="1276" spans="1:41" ht="15" x14ac:dyDescent="0.25">
      <c r="A1276" s="1"/>
      <c r="B1276" s="1"/>
      <c r="C1276" s="1"/>
      <c r="D1276" s="1"/>
      <c r="E1276" s="6"/>
      <c r="F1276" s="1"/>
      <c r="G1276" s="6"/>
      <c r="H1276" s="6"/>
      <c r="I1276" s="6"/>
      <c r="J1276" s="6"/>
      <c r="K1276" s="6"/>
      <c r="L1276" s="6"/>
      <c r="M1276" s="6"/>
      <c r="N1276" s="6"/>
      <c r="O1276" s="7"/>
      <c r="P1276" s="6"/>
      <c r="Q1276" s="7"/>
      <c r="R1276" s="6"/>
      <c r="S1276" s="6"/>
      <c r="T1276" s="6"/>
      <c r="U1276" s="6"/>
      <c r="V1276" s="7"/>
      <c r="W1276" s="7"/>
      <c r="X1276" s="6"/>
      <c r="Y1276" s="6"/>
      <c r="Z1276" s="6"/>
      <c r="AA1276" s="1"/>
      <c r="AB1276" s="12"/>
      <c r="AC1276" s="12"/>
      <c r="AD1276" s="12"/>
      <c r="AE1276" s="12"/>
      <c r="AF1276" s="12"/>
      <c r="AG1276" s="12"/>
      <c r="AH1276" s="12"/>
      <c r="AI1276" s="6"/>
      <c r="AJ1276" s="12"/>
      <c r="AK1276" s="12"/>
      <c r="AL1276" s="12"/>
      <c r="AM1276" s="12"/>
      <c r="AN1276" s="1"/>
      <c r="AO1276" s="6"/>
    </row>
    <row r="1277" spans="1:41" ht="15" x14ac:dyDescent="0.25">
      <c r="A1277" s="1"/>
      <c r="B1277" s="1"/>
      <c r="C1277" s="1"/>
      <c r="D1277" s="1"/>
      <c r="E1277" s="6"/>
      <c r="F1277" s="1"/>
      <c r="G1277" s="6"/>
      <c r="H1277" s="6"/>
      <c r="I1277" s="6"/>
      <c r="J1277" s="6"/>
      <c r="K1277" s="6"/>
      <c r="L1277" s="6"/>
      <c r="M1277" s="6"/>
      <c r="N1277" s="6"/>
      <c r="O1277" s="7"/>
      <c r="P1277" s="6"/>
      <c r="Q1277" s="7"/>
      <c r="R1277" s="6"/>
      <c r="S1277" s="6"/>
      <c r="T1277" s="6"/>
      <c r="U1277" s="6"/>
      <c r="V1277" s="7"/>
      <c r="W1277" s="7"/>
      <c r="X1277" s="6"/>
      <c r="Y1277" s="6"/>
      <c r="Z1277" s="6"/>
      <c r="AA1277" s="1"/>
      <c r="AB1277" s="12"/>
      <c r="AC1277" s="12"/>
      <c r="AD1277" s="12"/>
      <c r="AE1277" s="12"/>
      <c r="AF1277" s="12"/>
      <c r="AG1277" s="12"/>
      <c r="AH1277" s="12"/>
      <c r="AI1277" s="6"/>
      <c r="AJ1277" s="12"/>
      <c r="AK1277" s="12"/>
      <c r="AL1277" s="12"/>
      <c r="AM1277" s="12"/>
      <c r="AN1277" s="1"/>
      <c r="AO1277" s="6"/>
    </row>
    <row r="1278" spans="1:41" ht="15" x14ac:dyDescent="0.25">
      <c r="A1278" s="1"/>
      <c r="B1278" s="1"/>
      <c r="C1278" s="1"/>
      <c r="D1278" s="1"/>
      <c r="E1278" s="6"/>
      <c r="F1278" s="1"/>
      <c r="G1278" s="6"/>
      <c r="H1278" s="6"/>
      <c r="I1278" s="6"/>
      <c r="J1278" s="6"/>
      <c r="K1278" s="6"/>
      <c r="L1278" s="6"/>
      <c r="M1278" s="6"/>
      <c r="N1278" s="6"/>
      <c r="O1278" s="7"/>
      <c r="P1278" s="6"/>
      <c r="Q1278" s="6"/>
      <c r="R1278" s="7"/>
      <c r="S1278" s="6"/>
      <c r="T1278" s="6"/>
      <c r="U1278" s="7"/>
      <c r="V1278" s="6"/>
      <c r="W1278" s="6"/>
      <c r="X1278" s="6"/>
      <c r="Y1278" s="6"/>
      <c r="Z1278" s="6"/>
      <c r="AA1278" s="7"/>
      <c r="AB1278" s="6"/>
      <c r="AC1278" s="6"/>
      <c r="AD1278" s="6"/>
      <c r="AE1278" s="12"/>
      <c r="AF1278" s="12"/>
      <c r="AG1278" s="12"/>
      <c r="AH1278" s="12"/>
      <c r="AI1278" s="6"/>
      <c r="AJ1278" s="12"/>
      <c r="AK1278" s="1"/>
      <c r="AL1278" s="12"/>
      <c r="AM1278" s="12"/>
      <c r="AN1278" s="1"/>
      <c r="AO1278" s="6"/>
    </row>
    <row r="1279" spans="1:41" ht="15" x14ac:dyDescent="0.25">
      <c r="A1279" s="1"/>
      <c r="B1279" s="1"/>
      <c r="C1279" s="1"/>
      <c r="D1279" s="1"/>
      <c r="E1279" s="6"/>
      <c r="F1279" s="1"/>
      <c r="G1279" s="6"/>
      <c r="H1279" s="6"/>
      <c r="I1279" s="6"/>
      <c r="J1279" s="6"/>
      <c r="K1279" s="6"/>
      <c r="L1279" s="6"/>
      <c r="M1279" s="6"/>
      <c r="N1279" s="6"/>
      <c r="O1279" s="7"/>
      <c r="P1279" s="6"/>
      <c r="Q1279" s="6"/>
      <c r="R1279" s="7"/>
      <c r="S1279" s="6"/>
      <c r="T1279" s="6"/>
      <c r="U1279" s="7"/>
      <c r="V1279" s="6"/>
      <c r="W1279" s="6"/>
      <c r="X1279" s="6"/>
      <c r="Y1279" s="6"/>
      <c r="Z1279" s="6"/>
      <c r="AA1279" s="7"/>
      <c r="AB1279" s="6"/>
      <c r="AC1279" s="6"/>
      <c r="AD1279" s="6"/>
      <c r="AE1279" s="12"/>
      <c r="AF1279" s="12"/>
      <c r="AG1279" s="12"/>
      <c r="AH1279" s="12"/>
      <c r="AI1279" s="6"/>
      <c r="AJ1279" s="12"/>
      <c r="AK1279" s="1"/>
      <c r="AL1279" s="12"/>
      <c r="AM1279" s="12"/>
      <c r="AN1279" s="1"/>
      <c r="AO1279" s="6"/>
    </row>
    <row r="1280" spans="1:41" ht="15" x14ac:dyDescent="0.25">
      <c r="A1280" s="1"/>
      <c r="B1280" s="1"/>
      <c r="C1280" s="1"/>
      <c r="D1280" s="1"/>
      <c r="E1280" s="6"/>
      <c r="F1280" s="1"/>
      <c r="G1280" s="6"/>
      <c r="H1280" s="6"/>
      <c r="I1280" s="6"/>
      <c r="J1280" s="6"/>
      <c r="K1280" s="6"/>
      <c r="L1280" s="6"/>
      <c r="M1280" s="6"/>
      <c r="N1280" s="6"/>
      <c r="O1280" s="7"/>
      <c r="P1280" s="6"/>
      <c r="Q1280" s="6"/>
      <c r="R1280" s="7"/>
      <c r="S1280" s="6"/>
      <c r="T1280" s="6"/>
      <c r="U1280" s="7"/>
      <c r="V1280" s="6"/>
      <c r="W1280" s="6"/>
      <c r="X1280" s="6"/>
      <c r="Y1280" s="6"/>
      <c r="Z1280" s="6"/>
      <c r="AA1280" s="7"/>
      <c r="AB1280" s="6"/>
      <c r="AC1280" s="6"/>
      <c r="AD1280" s="6"/>
      <c r="AE1280" s="12"/>
      <c r="AF1280" s="6"/>
      <c r="AG1280" s="12"/>
      <c r="AH1280" s="6"/>
      <c r="AI1280" s="6"/>
      <c r="AJ1280" s="12"/>
      <c r="AK1280" s="24"/>
      <c r="AL1280" s="25"/>
      <c r="AM1280" s="12"/>
      <c r="AN1280" s="1"/>
      <c r="AO1280" s="6"/>
    </row>
    <row r="1281" spans="1:41" ht="15" x14ac:dyDescent="0.25">
      <c r="A1281" s="1"/>
      <c r="B1281" s="1"/>
      <c r="C1281" s="1"/>
      <c r="D1281" s="1"/>
      <c r="E1281" s="6"/>
      <c r="F1281" s="1"/>
      <c r="G1281" s="6"/>
      <c r="H1281" s="6"/>
      <c r="I1281" s="6"/>
      <c r="J1281" s="6"/>
      <c r="K1281" s="6"/>
      <c r="L1281" s="6"/>
      <c r="M1281" s="6"/>
      <c r="N1281" s="6"/>
      <c r="O1281" s="7"/>
      <c r="P1281" s="6"/>
      <c r="Q1281" s="6"/>
      <c r="R1281" s="7"/>
      <c r="S1281" s="6"/>
      <c r="T1281" s="6"/>
      <c r="U1281" s="7"/>
      <c r="V1281" s="6"/>
      <c r="W1281" s="6"/>
      <c r="X1281" s="6"/>
      <c r="Y1281" s="6"/>
      <c r="Z1281" s="6"/>
      <c r="AA1281" s="7"/>
      <c r="AB1281" s="6"/>
      <c r="AC1281" s="6"/>
      <c r="AD1281" s="6"/>
      <c r="AE1281" s="12"/>
      <c r="AF1281" s="6"/>
      <c r="AG1281" s="12"/>
      <c r="AH1281" s="6"/>
      <c r="AI1281" s="6"/>
      <c r="AJ1281" s="12"/>
      <c r="AK1281" s="24"/>
      <c r="AL1281" s="25"/>
      <c r="AM1281" s="12"/>
      <c r="AN1281" s="1"/>
      <c r="AO1281" s="6"/>
    </row>
    <row r="1282" spans="1:41" ht="15" x14ac:dyDescent="0.25">
      <c r="A1282" s="1"/>
      <c r="B1282" s="1"/>
      <c r="C1282" s="1"/>
      <c r="D1282" s="1"/>
      <c r="E1282" s="6"/>
      <c r="F1282" s="1"/>
      <c r="G1282" s="6"/>
      <c r="H1282" s="6"/>
      <c r="I1282" s="6"/>
      <c r="J1282" s="6"/>
      <c r="K1282" s="6"/>
      <c r="L1282" s="6"/>
      <c r="M1282" s="6"/>
      <c r="N1282" s="6"/>
      <c r="O1282" s="7"/>
      <c r="P1282" s="6"/>
      <c r="Q1282" s="7"/>
      <c r="R1282" s="6"/>
      <c r="S1282" s="6"/>
      <c r="T1282" s="6"/>
      <c r="U1282" s="6"/>
      <c r="V1282" s="7"/>
      <c r="W1282" s="7"/>
      <c r="X1282" s="6"/>
      <c r="Y1282" s="6"/>
      <c r="Z1282" s="6"/>
      <c r="AA1282" s="1"/>
      <c r="AB1282" s="12"/>
      <c r="AC1282" s="12"/>
      <c r="AD1282" s="12"/>
      <c r="AE1282" s="12"/>
      <c r="AF1282" s="12"/>
      <c r="AG1282" s="12"/>
      <c r="AH1282" s="12"/>
      <c r="AI1282" s="6"/>
      <c r="AJ1282" s="12"/>
      <c r="AK1282" s="12"/>
      <c r="AL1282" s="12"/>
      <c r="AM1282" s="12"/>
      <c r="AN1282" s="1"/>
      <c r="AO1282" s="6"/>
    </row>
    <row r="1283" spans="1:41" ht="15" x14ac:dyDescent="0.25">
      <c r="A1283" s="1"/>
      <c r="B1283" s="1"/>
      <c r="C1283" s="1"/>
      <c r="D1283" s="1"/>
      <c r="E1283" s="6"/>
      <c r="F1283" s="1"/>
      <c r="G1283" s="6"/>
      <c r="H1283" s="6"/>
      <c r="I1283" s="6"/>
      <c r="J1283" s="6"/>
      <c r="K1283" s="6"/>
      <c r="L1283" s="6"/>
      <c r="M1283" s="6"/>
      <c r="N1283" s="6"/>
      <c r="O1283" s="7"/>
      <c r="P1283" s="6"/>
      <c r="Q1283" s="6"/>
      <c r="R1283" s="7"/>
      <c r="S1283" s="6"/>
      <c r="T1283" s="6"/>
      <c r="U1283" s="7"/>
      <c r="V1283" s="6"/>
      <c r="W1283" s="6"/>
      <c r="X1283" s="12"/>
      <c r="Y1283" s="6"/>
      <c r="Z1283" s="6"/>
      <c r="AA1283" s="7"/>
      <c r="AB1283" s="6"/>
      <c r="AC1283" s="6"/>
      <c r="AD1283" s="6"/>
      <c r="AE1283" s="12"/>
      <c r="AF1283" s="6"/>
      <c r="AG1283" s="12"/>
      <c r="AH1283" s="6"/>
      <c r="AI1283" s="6"/>
      <c r="AJ1283" s="12"/>
      <c r="AK1283" s="24"/>
      <c r="AL1283" s="25"/>
      <c r="AM1283" s="12"/>
      <c r="AN1283" s="1"/>
      <c r="AO1283" s="6"/>
    </row>
    <row r="1284" spans="1:41" ht="15" x14ac:dyDescent="0.25">
      <c r="A1284" s="1"/>
      <c r="B1284" s="1"/>
      <c r="C1284" s="1"/>
      <c r="D1284" s="1"/>
      <c r="E1284" s="6"/>
      <c r="F1284" s="1"/>
      <c r="G1284" s="6"/>
      <c r="H1284" s="6"/>
      <c r="I1284" s="6"/>
      <c r="J1284" s="6"/>
      <c r="K1284" s="6"/>
      <c r="L1284" s="6"/>
      <c r="M1284" s="6"/>
      <c r="N1284" s="6"/>
      <c r="O1284" s="7"/>
      <c r="P1284" s="12"/>
      <c r="Q1284" s="6"/>
      <c r="R1284" s="7"/>
      <c r="S1284" s="6"/>
      <c r="T1284" s="6"/>
      <c r="U1284" s="7"/>
      <c r="V1284" s="6"/>
      <c r="W1284" s="6"/>
      <c r="X1284" s="6"/>
      <c r="Y1284" s="6"/>
      <c r="Z1284" s="6"/>
      <c r="AA1284" s="7"/>
      <c r="AB1284" s="6"/>
      <c r="AC1284" s="6"/>
      <c r="AD1284" s="6"/>
      <c r="AE1284" s="12"/>
      <c r="AF1284" s="6"/>
      <c r="AG1284" s="12"/>
      <c r="AH1284" s="6"/>
      <c r="AI1284" s="6"/>
      <c r="AJ1284" s="12"/>
      <c r="AK1284" s="24"/>
      <c r="AL1284" s="25"/>
      <c r="AM1284" s="12"/>
      <c r="AN1284" s="1"/>
      <c r="AO1284" s="6"/>
    </row>
    <row r="1285" spans="1:41" ht="15" x14ac:dyDescent="0.25">
      <c r="A1285" s="1"/>
      <c r="B1285" s="1"/>
      <c r="C1285" s="1"/>
      <c r="D1285" s="1"/>
      <c r="E1285" s="6"/>
      <c r="F1285" s="1"/>
      <c r="G1285" s="6"/>
      <c r="H1285" s="6"/>
      <c r="I1285" s="6"/>
      <c r="J1285" s="6"/>
      <c r="K1285" s="6"/>
      <c r="L1285" s="6"/>
      <c r="M1285" s="6"/>
      <c r="N1285" s="6"/>
      <c r="O1285" s="7"/>
      <c r="P1285" s="6"/>
      <c r="Q1285" s="6"/>
      <c r="R1285" s="7"/>
      <c r="S1285" s="6"/>
      <c r="T1285" s="6"/>
      <c r="U1285" s="7"/>
      <c r="V1285" s="6"/>
      <c r="W1285" s="6"/>
      <c r="X1285" s="6"/>
      <c r="Y1285" s="6"/>
      <c r="Z1285" s="6"/>
      <c r="AA1285" s="7"/>
      <c r="AB1285" s="6"/>
      <c r="AC1285" s="6"/>
      <c r="AD1285" s="6"/>
      <c r="AE1285" s="12"/>
      <c r="AF1285" s="6"/>
      <c r="AG1285" s="12"/>
      <c r="AH1285" s="6"/>
      <c r="AI1285" s="6"/>
      <c r="AJ1285" s="12"/>
      <c r="AK1285" s="24"/>
      <c r="AL1285" s="25"/>
      <c r="AM1285" s="12"/>
      <c r="AN1285" s="1"/>
      <c r="AO1285" s="6"/>
    </row>
    <row r="1286" spans="1:41" ht="15" x14ac:dyDescent="0.25">
      <c r="A1286" s="1"/>
      <c r="B1286" s="1"/>
      <c r="C1286" s="1"/>
      <c r="D1286" s="1"/>
      <c r="E1286" s="6"/>
      <c r="F1286" s="1"/>
      <c r="G1286" s="6"/>
      <c r="H1286" s="6"/>
      <c r="I1286" s="6"/>
      <c r="J1286" s="6"/>
      <c r="K1286" s="6"/>
      <c r="L1286" s="6"/>
      <c r="M1286" s="6"/>
      <c r="N1286" s="6"/>
      <c r="O1286" s="7"/>
      <c r="P1286" s="6"/>
      <c r="Q1286" s="6"/>
      <c r="R1286" s="12"/>
      <c r="S1286" s="12"/>
      <c r="T1286" s="12"/>
      <c r="U1286" s="7"/>
      <c r="V1286" s="6"/>
      <c r="W1286" s="6"/>
      <c r="X1286" s="12"/>
      <c r="Y1286" s="6"/>
      <c r="Z1286" s="6"/>
      <c r="AA1286" s="7"/>
      <c r="AB1286" s="6"/>
      <c r="AC1286" s="6"/>
      <c r="AD1286" s="6"/>
      <c r="AE1286" s="12"/>
      <c r="AF1286" s="6"/>
      <c r="AG1286" s="12"/>
      <c r="AH1286" s="6"/>
      <c r="AI1286" s="6"/>
      <c r="AJ1286" s="12"/>
      <c r="AK1286" s="1"/>
      <c r="AL1286" s="12"/>
      <c r="AM1286" s="12"/>
      <c r="AN1286" s="1"/>
      <c r="AO1286" s="6"/>
    </row>
    <row r="1287" spans="1:41" ht="15" x14ac:dyDescent="0.25">
      <c r="A1287" s="1"/>
      <c r="B1287" s="1"/>
      <c r="C1287" s="1"/>
      <c r="D1287" s="1"/>
      <c r="E1287" s="6"/>
      <c r="F1287" s="1"/>
      <c r="G1287" s="6"/>
      <c r="H1287" s="6"/>
      <c r="I1287" s="6"/>
      <c r="J1287" s="6"/>
      <c r="K1287" s="6"/>
      <c r="L1287" s="6"/>
      <c r="M1287" s="6"/>
      <c r="N1287" s="6"/>
      <c r="O1287" s="7"/>
      <c r="P1287" s="6"/>
      <c r="Q1287" s="6"/>
      <c r="R1287" s="7"/>
      <c r="S1287" s="6"/>
      <c r="T1287" s="6"/>
      <c r="U1287" s="7"/>
      <c r="V1287" s="6"/>
      <c r="W1287" s="6"/>
      <c r="X1287" s="6"/>
      <c r="Y1287" s="6"/>
      <c r="Z1287" s="6"/>
      <c r="AA1287" s="7"/>
      <c r="AB1287" s="6"/>
      <c r="AC1287" s="6"/>
      <c r="AD1287" s="6"/>
      <c r="AE1287" s="12"/>
      <c r="AF1287" s="6"/>
      <c r="AG1287" s="12"/>
      <c r="AH1287" s="6"/>
      <c r="AI1287" s="6"/>
      <c r="AJ1287" s="12"/>
      <c r="AK1287" s="24"/>
      <c r="AL1287" s="25"/>
      <c r="AM1287" s="12"/>
      <c r="AN1287" s="1"/>
      <c r="AO1287" s="6"/>
    </row>
    <row r="1288" spans="1:41" ht="15" x14ac:dyDescent="0.25">
      <c r="A1288" s="1"/>
      <c r="B1288" s="1"/>
      <c r="C1288" s="1"/>
      <c r="D1288" s="1"/>
      <c r="E1288" s="6"/>
      <c r="F1288" s="1"/>
      <c r="G1288" s="6"/>
      <c r="H1288" s="6"/>
      <c r="I1288" s="6"/>
      <c r="J1288" s="6"/>
      <c r="K1288" s="6"/>
      <c r="L1288" s="6"/>
      <c r="M1288" s="6"/>
      <c r="N1288" s="6"/>
      <c r="O1288" s="7"/>
      <c r="P1288" s="6"/>
      <c r="Q1288" s="6"/>
      <c r="R1288" s="12"/>
      <c r="S1288" s="12"/>
      <c r="T1288" s="12"/>
      <c r="U1288" s="6"/>
      <c r="V1288" s="12"/>
      <c r="W1288" s="12"/>
      <c r="X1288" s="12"/>
      <c r="Y1288" s="6"/>
      <c r="Z1288" s="6"/>
      <c r="AA1288" s="7"/>
      <c r="AB1288" s="6"/>
      <c r="AC1288" s="6"/>
      <c r="AD1288" s="6"/>
      <c r="AE1288" s="12"/>
      <c r="AF1288" s="12"/>
      <c r="AG1288" s="12"/>
      <c r="AH1288" s="12"/>
      <c r="AI1288" s="6"/>
      <c r="AJ1288" s="12"/>
      <c r="AK1288" s="24"/>
      <c r="AL1288" s="25"/>
      <c r="AM1288" s="12"/>
      <c r="AN1288" s="1"/>
      <c r="AO1288" s="6"/>
    </row>
    <row r="1289" spans="1:41" ht="15" x14ac:dyDescent="0.25">
      <c r="A1289" s="1"/>
      <c r="B1289" s="1"/>
      <c r="C1289" s="1"/>
      <c r="D1289" s="1"/>
      <c r="E1289" s="6"/>
      <c r="F1289" s="1"/>
      <c r="G1289" s="6"/>
      <c r="H1289" s="6"/>
      <c r="I1289" s="6"/>
      <c r="J1289" s="6"/>
      <c r="K1289" s="6"/>
      <c r="L1289" s="6"/>
      <c r="M1289" s="6"/>
      <c r="N1289" s="6"/>
      <c r="O1289" s="7"/>
      <c r="P1289" s="6"/>
      <c r="Q1289" s="6"/>
      <c r="R1289" s="7"/>
      <c r="S1289" s="6"/>
      <c r="T1289" s="6"/>
      <c r="U1289" s="7"/>
      <c r="V1289" s="6"/>
      <c r="W1289" s="6"/>
      <c r="X1289" s="12"/>
      <c r="Y1289" s="6"/>
      <c r="Z1289" s="6"/>
      <c r="AA1289" s="7"/>
      <c r="AB1289" s="6"/>
      <c r="AC1289" s="6"/>
      <c r="AD1289" s="6"/>
      <c r="AE1289" s="12"/>
      <c r="AF1289" s="6"/>
      <c r="AG1289" s="12"/>
      <c r="AH1289" s="6"/>
      <c r="AI1289" s="6"/>
      <c r="AJ1289" s="12"/>
      <c r="AK1289" s="24"/>
      <c r="AL1289" s="25"/>
      <c r="AM1289" s="12"/>
      <c r="AN1289" s="1"/>
      <c r="AO1289" s="6"/>
    </row>
    <row r="1290" spans="1:41" ht="15" x14ac:dyDescent="0.25">
      <c r="A1290" s="1"/>
      <c r="B1290" s="1"/>
      <c r="C1290" s="1"/>
      <c r="D1290" s="1"/>
      <c r="E1290" s="6"/>
      <c r="F1290" s="1"/>
      <c r="G1290" s="6"/>
      <c r="H1290" s="6"/>
      <c r="I1290" s="6"/>
      <c r="J1290" s="6"/>
      <c r="K1290" s="12"/>
      <c r="L1290" s="12"/>
      <c r="M1290" s="6"/>
      <c r="N1290" s="6"/>
      <c r="O1290" s="7"/>
      <c r="P1290" s="6"/>
      <c r="Q1290" s="6"/>
      <c r="R1290" s="7"/>
      <c r="S1290" s="6"/>
      <c r="T1290" s="6"/>
      <c r="U1290" s="7"/>
      <c r="V1290" s="6"/>
      <c r="W1290" s="6"/>
      <c r="X1290" s="6"/>
      <c r="Y1290" s="6"/>
      <c r="Z1290" s="6"/>
      <c r="AA1290" s="7"/>
      <c r="AB1290" s="6"/>
      <c r="AC1290" s="6"/>
      <c r="AD1290" s="6"/>
      <c r="AE1290" s="12"/>
      <c r="AF1290" s="12"/>
      <c r="AG1290" s="12"/>
      <c r="AH1290" s="12"/>
      <c r="AI1290" s="6"/>
      <c r="AJ1290" s="12"/>
      <c r="AK1290" s="1"/>
      <c r="AL1290" s="12"/>
      <c r="AM1290" s="12"/>
      <c r="AN1290" s="1"/>
      <c r="AO1290" s="6"/>
    </row>
    <row r="1291" spans="1:41" ht="15" x14ac:dyDescent="0.25">
      <c r="A1291" s="1"/>
      <c r="B1291" s="1"/>
      <c r="C1291" s="1"/>
      <c r="D1291" s="1"/>
      <c r="E1291" s="6"/>
      <c r="F1291" s="1"/>
      <c r="G1291" s="6"/>
      <c r="H1291" s="6"/>
      <c r="I1291" s="6"/>
      <c r="J1291" s="6"/>
      <c r="K1291" s="6"/>
      <c r="L1291" s="6"/>
      <c r="M1291" s="6"/>
      <c r="N1291" s="6"/>
      <c r="O1291" s="7"/>
      <c r="P1291" s="6"/>
      <c r="Q1291" s="6"/>
      <c r="R1291" s="7"/>
      <c r="S1291" s="6"/>
      <c r="T1291" s="6"/>
      <c r="U1291" s="7"/>
      <c r="V1291" s="6"/>
      <c r="W1291" s="6"/>
      <c r="X1291" s="6"/>
      <c r="Y1291" s="6"/>
      <c r="Z1291" s="6"/>
      <c r="AA1291" s="7"/>
      <c r="AB1291" s="6"/>
      <c r="AC1291" s="6"/>
      <c r="AD1291" s="6"/>
      <c r="AE1291" s="12"/>
      <c r="AF1291" s="6"/>
      <c r="AG1291" s="12"/>
      <c r="AH1291" s="6"/>
      <c r="AI1291" s="6"/>
      <c r="AJ1291" s="12"/>
      <c r="AK1291" s="24"/>
      <c r="AL1291" s="25"/>
      <c r="AM1291" s="12"/>
      <c r="AN1291" s="1"/>
      <c r="AO1291" s="6"/>
    </row>
    <row r="1292" spans="1:41" ht="15" x14ac:dyDescent="0.25">
      <c r="A1292" s="1"/>
      <c r="B1292" s="1"/>
      <c r="C1292" s="1"/>
      <c r="D1292" s="1"/>
      <c r="E1292" s="6"/>
      <c r="F1292" s="1"/>
      <c r="G1292" s="6"/>
      <c r="H1292" s="6"/>
      <c r="I1292" s="6"/>
      <c r="J1292" s="6"/>
      <c r="K1292" s="6"/>
      <c r="L1292" s="6"/>
      <c r="M1292" s="6"/>
      <c r="N1292" s="6"/>
      <c r="O1292" s="7"/>
      <c r="P1292" s="6"/>
      <c r="Q1292" s="6"/>
      <c r="R1292" s="7"/>
      <c r="S1292" s="6"/>
      <c r="T1292" s="6"/>
      <c r="U1292" s="7"/>
      <c r="V1292" s="6"/>
      <c r="W1292" s="6"/>
      <c r="X1292" s="6"/>
      <c r="Y1292" s="6"/>
      <c r="Z1292" s="6"/>
      <c r="AA1292" s="7"/>
      <c r="AB1292" s="6"/>
      <c r="AC1292" s="6"/>
      <c r="AD1292" s="6"/>
      <c r="AE1292" s="12"/>
      <c r="AF1292" s="12"/>
      <c r="AG1292" s="12"/>
      <c r="AH1292" s="12"/>
      <c r="AI1292" s="6"/>
      <c r="AJ1292" s="12"/>
      <c r="AK1292" s="1"/>
      <c r="AL1292" s="12"/>
      <c r="AM1292" s="12"/>
      <c r="AN1292" s="1"/>
      <c r="AO1292" s="6"/>
    </row>
    <row r="1293" spans="1:41" ht="15" x14ac:dyDescent="0.25">
      <c r="A1293" s="1"/>
      <c r="B1293" s="1"/>
      <c r="C1293" s="1"/>
      <c r="D1293" s="1"/>
      <c r="E1293" s="6"/>
      <c r="F1293" s="1"/>
      <c r="G1293" s="6"/>
      <c r="H1293" s="6"/>
      <c r="I1293" s="6"/>
      <c r="J1293" s="6"/>
      <c r="K1293" s="6"/>
      <c r="L1293" s="6"/>
      <c r="M1293" s="6"/>
      <c r="N1293" s="6"/>
      <c r="O1293" s="7"/>
      <c r="P1293" s="6"/>
      <c r="Q1293" s="7"/>
      <c r="R1293" s="6"/>
      <c r="S1293" s="6"/>
      <c r="T1293" s="6"/>
      <c r="U1293" s="6"/>
      <c r="V1293" s="7"/>
      <c r="W1293" s="6"/>
      <c r="X1293" s="6"/>
      <c r="Y1293" s="6"/>
      <c r="Z1293" s="6"/>
      <c r="AA1293" s="24"/>
      <c r="AB1293" s="25"/>
      <c r="AC1293" s="12"/>
      <c r="AD1293" s="12"/>
      <c r="AE1293" s="12"/>
      <c r="AF1293" s="6"/>
      <c r="AG1293" s="12"/>
      <c r="AH1293" s="6"/>
      <c r="AI1293" s="6"/>
      <c r="AJ1293" s="12"/>
      <c r="AK1293" s="12"/>
      <c r="AL1293" s="12"/>
      <c r="AM1293" s="12"/>
      <c r="AN1293" s="1"/>
      <c r="AO1293" s="6"/>
    </row>
    <row r="1294" spans="1:41" ht="15" x14ac:dyDescent="0.25">
      <c r="A1294" s="1"/>
      <c r="B1294" s="1"/>
      <c r="C1294" s="1"/>
      <c r="D1294" s="1"/>
      <c r="E1294" s="6"/>
      <c r="F1294" s="1"/>
      <c r="G1294" s="6"/>
      <c r="H1294" s="6"/>
      <c r="I1294" s="6"/>
      <c r="J1294" s="6"/>
      <c r="K1294" s="12"/>
      <c r="L1294" s="6"/>
      <c r="M1294" s="6"/>
      <c r="N1294" s="6"/>
      <c r="O1294" s="7"/>
      <c r="P1294" s="6"/>
      <c r="Q1294" s="6"/>
      <c r="R1294" s="7"/>
      <c r="S1294" s="6"/>
      <c r="T1294" s="6"/>
      <c r="U1294" s="7"/>
      <c r="V1294" s="6"/>
      <c r="W1294" s="6"/>
      <c r="X1294" s="6"/>
      <c r="Y1294" s="6"/>
      <c r="Z1294" s="6"/>
      <c r="AA1294" s="7"/>
      <c r="AB1294" s="6"/>
      <c r="AC1294" s="6"/>
      <c r="AD1294" s="6"/>
      <c r="AE1294" s="12"/>
      <c r="AF1294" s="6"/>
      <c r="AG1294" s="12"/>
      <c r="AH1294" s="6"/>
      <c r="AI1294" s="6"/>
      <c r="AJ1294" s="12"/>
      <c r="AK1294" s="24"/>
      <c r="AL1294" s="25"/>
      <c r="AM1294" s="12"/>
      <c r="AN1294" s="1"/>
      <c r="AO1294" s="12"/>
    </row>
    <row r="1295" spans="1:41" ht="15" x14ac:dyDescent="0.25">
      <c r="A1295" s="1"/>
      <c r="B1295" s="1"/>
      <c r="C1295" s="1"/>
      <c r="D1295" s="1"/>
      <c r="E1295" s="6"/>
      <c r="F1295" s="1"/>
      <c r="G1295" s="6"/>
      <c r="H1295" s="6"/>
      <c r="I1295" s="6"/>
      <c r="J1295" s="6"/>
      <c r="K1295" s="6"/>
      <c r="L1295" s="6"/>
      <c r="M1295" s="6"/>
      <c r="N1295" s="6"/>
      <c r="O1295" s="7"/>
      <c r="P1295" s="12"/>
      <c r="Q1295" s="6"/>
      <c r="R1295" s="7"/>
      <c r="S1295" s="6"/>
      <c r="T1295" s="6"/>
      <c r="U1295" s="7"/>
      <c r="V1295" s="6"/>
      <c r="W1295" s="6"/>
      <c r="X1295" s="6"/>
      <c r="Y1295" s="6"/>
      <c r="Z1295" s="6"/>
      <c r="AA1295" s="7"/>
      <c r="AB1295" s="6"/>
      <c r="AC1295" s="6"/>
      <c r="AD1295" s="6"/>
      <c r="AE1295" s="12"/>
      <c r="AF1295" s="12"/>
      <c r="AG1295" s="12"/>
      <c r="AH1295" s="12"/>
      <c r="AI1295" s="6"/>
      <c r="AJ1295" s="12"/>
      <c r="AK1295" s="1"/>
      <c r="AL1295" s="12"/>
      <c r="AM1295" s="12"/>
      <c r="AN1295" s="1"/>
      <c r="AO1295" s="6"/>
    </row>
    <row r="1296" spans="1:41" ht="15" x14ac:dyDescent="0.25">
      <c r="A1296" s="1"/>
      <c r="B1296" s="1"/>
      <c r="C1296" s="1"/>
      <c r="D1296" s="1"/>
      <c r="E1296" s="6"/>
      <c r="F1296" s="1"/>
      <c r="G1296" s="6"/>
      <c r="H1296" s="6"/>
      <c r="I1296" s="6"/>
      <c r="J1296" s="6"/>
      <c r="K1296" s="6"/>
      <c r="L1296" s="6"/>
      <c r="M1296" s="6"/>
      <c r="N1296" s="6"/>
      <c r="O1296" s="7"/>
      <c r="P1296" s="6"/>
      <c r="Q1296" s="7"/>
      <c r="R1296" s="6"/>
      <c r="S1296" s="12"/>
      <c r="T1296" s="6"/>
      <c r="U1296" s="6"/>
      <c r="V1296" s="7"/>
      <c r="W1296" s="7"/>
      <c r="X1296" s="6"/>
      <c r="Y1296" s="6"/>
      <c r="Z1296" s="6"/>
      <c r="AA1296" s="1"/>
      <c r="AB1296" s="12"/>
      <c r="AC1296" s="12"/>
      <c r="AD1296" s="12"/>
      <c r="AE1296" s="12"/>
      <c r="AF1296" s="12"/>
      <c r="AG1296" s="12"/>
      <c r="AH1296" s="12"/>
      <c r="AI1296" s="6"/>
      <c r="AJ1296" s="12"/>
      <c r="AK1296" s="12"/>
      <c r="AL1296" s="12"/>
      <c r="AM1296" s="12"/>
      <c r="AN1296" s="1"/>
      <c r="AO1296" s="6"/>
    </row>
    <row r="1297" spans="1:41" ht="15" x14ac:dyDescent="0.25">
      <c r="A1297" s="1"/>
      <c r="B1297" s="1"/>
      <c r="C1297" s="1"/>
      <c r="D1297" s="1"/>
      <c r="E1297" s="6"/>
      <c r="F1297" s="1"/>
      <c r="G1297" s="6"/>
      <c r="H1297" s="6"/>
      <c r="I1297" s="6"/>
      <c r="J1297" s="6"/>
      <c r="K1297" s="6"/>
      <c r="L1297" s="6"/>
      <c r="M1297" s="6"/>
      <c r="N1297" s="6"/>
      <c r="O1297" s="7"/>
      <c r="P1297" s="12"/>
      <c r="Q1297" s="6"/>
      <c r="R1297" s="7"/>
      <c r="S1297" s="6"/>
      <c r="T1297" s="6"/>
      <c r="U1297" s="7"/>
      <c r="V1297" s="6"/>
      <c r="W1297" s="6"/>
      <c r="X1297" s="6"/>
      <c r="Y1297" s="6"/>
      <c r="Z1297" s="6"/>
      <c r="AA1297" s="7"/>
      <c r="AB1297" s="6"/>
      <c r="AC1297" s="6"/>
      <c r="AD1297" s="6"/>
      <c r="AE1297" s="12"/>
      <c r="AF1297" s="6"/>
      <c r="AG1297" s="12"/>
      <c r="AH1297" s="6"/>
      <c r="AI1297" s="6"/>
      <c r="AJ1297" s="12"/>
      <c r="AK1297" s="1"/>
      <c r="AL1297" s="12"/>
      <c r="AM1297" s="12"/>
      <c r="AN1297" s="1"/>
      <c r="AO1297" s="6"/>
    </row>
    <row r="1298" spans="1:41" ht="15" x14ac:dyDescent="0.25">
      <c r="A1298" s="1"/>
      <c r="B1298" s="1"/>
      <c r="C1298" s="1"/>
      <c r="D1298" s="1"/>
      <c r="E1298" s="6"/>
      <c r="F1298" s="1"/>
      <c r="G1298" s="6"/>
      <c r="H1298" s="6"/>
      <c r="I1298" s="6"/>
      <c r="J1298" s="6"/>
      <c r="K1298" s="6"/>
      <c r="L1298" s="6"/>
      <c r="M1298" s="6"/>
      <c r="N1298" s="6"/>
      <c r="O1298" s="7"/>
      <c r="P1298" s="6"/>
      <c r="Q1298" s="6"/>
      <c r="R1298" s="7"/>
      <c r="S1298" s="6"/>
      <c r="T1298" s="6"/>
      <c r="U1298" s="7"/>
      <c r="V1298" s="6"/>
      <c r="W1298" s="6"/>
      <c r="X1298" s="6"/>
      <c r="Y1298" s="6"/>
      <c r="Z1298" s="6"/>
      <c r="AA1298" s="7"/>
      <c r="AB1298" s="6"/>
      <c r="AC1298" s="6"/>
      <c r="AD1298" s="6"/>
      <c r="AE1298" s="12"/>
      <c r="AF1298" s="12"/>
      <c r="AG1298" s="12"/>
      <c r="AH1298" s="12"/>
      <c r="AI1298" s="6"/>
      <c r="AJ1298" s="12"/>
      <c r="AK1298" s="1"/>
      <c r="AL1298" s="12"/>
      <c r="AM1298" s="12"/>
      <c r="AN1298" s="1"/>
      <c r="AO1298" s="6"/>
    </row>
    <row r="1299" spans="1:41" ht="15" x14ac:dyDescent="0.25">
      <c r="A1299" s="1"/>
      <c r="B1299" s="1"/>
      <c r="C1299" s="1"/>
      <c r="D1299" s="1"/>
      <c r="E1299" s="6"/>
      <c r="F1299" s="1"/>
      <c r="G1299" s="6"/>
      <c r="H1299" s="6"/>
      <c r="I1299" s="6"/>
      <c r="J1299" s="6"/>
      <c r="K1299" s="6"/>
      <c r="L1299" s="6"/>
      <c r="M1299" s="6"/>
      <c r="N1299" s="6"/>
      <c r="O1299" s="7"/>
      <c r="P1299" s="6"/>
      <c r="Q1299" s="6"/>
      <c r="R1299" s="7"/>
      <c r="S1299" s="6"/>
      <c r="T1299" s="6"/>
      <c r="U1299" s="7"/>
      <c r="V1299" s="6"/>
      <c r="W1299" s="6"/>
      <c r="X1299" s="12"/>
      <c r="Y1299" s="6"/>
      <c r="Z1299" s="6"/>
      <c r="AA1299" s="7"/>
      <c r="AB1299" s="6"/>
      <c r="AC1299" s="6"/>
      <c r="AD1299" s="6"/>
      <c r="AE1299" s="12"/>
      <c r="AF1299" s="12"/>
      <c r="AG1299" s="12"/>
      <c r="AH1299" s="12"/>
      <c r="AI1299" s="6"/>
      <c r="AJ1299" s="12"/>
      <c r="AK1299" s="1"/>
      <c r="AL1299" s="12"/>
      <c r="AM1299" s="12"/>
      <c r="AN1299" s="1"/>
      <c r="AO1299" s="6"/>
    </row>
    <row r="1300" spans="1:41" ht="15" x14ac:dyDescent="0.25">
      <c r="A1300" s="1"/>
      <c r="B1300" s="1"/>
      <c r="C1300" s="1"/>
      <c r="D1300" s="1"/>
      <c r="E1300" s="6"/>
      <c r="F1300" s="1"/>
      <c r="G1300" s="6"/>
      <c r="H1300" s="6"/>
      <c r="I1300" s="6"/>
      <c r="J1300" s="6"/>
      <c r="K1300" s="6"/>
      <c r="L1300" s="6"/>
      <c r="M1300" s="6"/>
      <c r="N1300" s="6"/>
      <c r="O1300" s="7"/>
      <c r="P1300" s="6"/>
      <c r="Q1300" s="6"/>
      <c r="R1300" s="7"/>
      <c r="S1300" s="6"/>
      <c r="T1300" s="6"/>
      <c r="U1300" s="7"/>
      <c r="V1300" s="6"/>
      <c r="W1300" s="6"/>
      <c r="X1300" s="6"/>
      <c r="Y1300" s="6"/>
      <c r="Z1300" s="6"/>
      <c r="AA1300" s="7"/>
      <c r="AB1300" s="6"/>
      <c r="AC1300" s="6"/>
      <c r="AD1300" s="6"/>
      <c r="AE1300" s="12"/>
      <c r="AF1300" s="12"/>
      <c r="AG1300" s="12"/>
      <c r="AH1300" s="12"/>
      <c r="AI1300" s="6"/>
      <c r="AJ1300" s="12"/>
      <c r="AK1300" s="1"/>
      <c r="AL1300" s="12"/>
      <c r="AM1300" s="12"/>
      <c r="AN1300" s="1"/>
      <c r="AO1300" s="6"/>
    </row>
    <row r="1301" spans="1:41" ht="15" x14ac:dyDescent="0.25">
      <c r="A1301" s="1"/>
      <c r="B1301" s="1"/>
      <c r="C1301" s="1"/>
      <c r="D1301" s="1"/>
      <c r="E1301" s="6"/>
      <c r="F1301" s="1"/>
      <c r="G1301" s="6"/>
      <c r="H1301" s="6"/>
      <c r="I1301" s="6"/>
      <c r="J1301" s="6"/>
      <c r="K1301" s="6"/>
      <c r="L1301" s="6"/>
      <c r="M1301" s="6"/>
      <c r="N1301" s="6"/>
      <c r="O1301" s="7"/>
      <c r="P1301" s="6"/>
      <c r="Q1301" s="7"/>
      <c r="R1301" s="6"/>
      <c r="S1301" s="6"/>
      <c r="T1301" s="6"/>
      <c r="U1301" s="6"/>
      <c r="V1301" s="7"/>
      <c r="W1301" s="7"/>
      <c r="X1301" s="6"/>
      <c r="Y1301" s="6"/>
      <c r="Z1301" s="6"/>
      <c r="AA1301" s="1"/>
      <c r="AB1301" s="12"/>
      <c r="AC1301" s="12"/>
      <c r="AD1301" s="12"/>
      <c r="AE1301" s="12"/>
      <c r="AF1301" s="12"/>
      <c r="AG1301" s="12"/>
      <c r="AH1301" s="12"/>
      <c r="AI1301" s="6"/>
      <c r="AJ1301" s="12"/>
      <c r="AK1301" s="12"/>
      <c r="AL1301" s="12"/>
      <c r="AM1301" s="12"/>
      <c r="AN1301" s="1"/>
      <c r="AO1301" s="6"/>
    </row>
    <row r="1302" spans="1:41" ht="15" x14ac:dyDescent="0.25">
      <c r="A1302" s="1"/>
      <c r="B1302" s="1"/>
      <c r="C1302" s="1"/>
      <c r="D1302" s="1"/>
      <c r="E1302" s="6"/>
      <c r="F1302" s="1"/>
      <c r="G1302" s="6"/>
      <c r="H1302" s="6"/>
      <c r="I1302" s="6"/>
      <c r="J1302" s="6"/>
      <c r="K1302" s="12"/>
      <c r="L1302" s="12"/>
      <c r="M1302" s="6"/>
      <c r="N1302" s="6"/>
      <c r="O1302" s="7"/>
      <c r="P1302" s="6"/>
      <c r="Q1302" s="6"/>
      <c r="R1302" s="7"/>
      <c r="S1302" s="6"/>
      <c r="T1302" s="6"/>
      <c r="U1302" s="7"/>
      <c r="V1302" s="6"/>
      <c r="W1302" s="6"/>
      <c r="X1302" s="6"/>
      <c r="Y1302" s="6"/>
      <c r="Z1302" s="6"/>
      <c r="AA1302" s="7"/>
      <c r="AB1302" s="6"/>
      <c r="AC1302" s="6"/>
      <c r="AD1302" s="6"/>
      <c r="AE1302" s="12"/>
      <c r="AF1302" s="12"/>
      <c r="AG1302" s="12"/>
      <c r="AH1302" s="12"/>
      <c r="AI1302" s="6"/>
      <c r="AJ1302" s="12"/>
      <c r="AK1302" s="1"/>
      <c r="AL1302" s="12"/>
      <c r="AM1302" s="12"/>
      <c r="AN1302" s="1"/>
      <c r="AO1302" s="12"/>
    </row>
    <row r="1303" spans="1:41" ht="15" x14ac:dyDescent="0.25">
      <c r="A1303" s="1"/>
      <c r="B1303" s="1"/>
      <c r="C1303" s="1"/>
      <c r="D1303" s="1"/>
      <c r="E1303" s="6"/>
      <c r="F1303" s="1"/>
      <c r="G1303" s="6"/>
      <c r="H1303" s="6"/>
      <c r="I1303" s="6"/>
      <c r="J1303" s="6"/>
      <c r="K1303" s="6"/>
      <c r="L1303" s="6"/>
      <c r="M1303" s="6"/>
      <c r="N1303" s="6"/>
      <c r="O1303" s="7"/>
      <c r="P1303" s="6"/>
      <c r="Q1303" s="6"/>
      <c r="R1303" s="12"/>
      <c r="S1303" s="12"/>
      <c r="T1303" s="12"/>
      <c r="U1303" s="7"/>
      <c r="V1303" s="6"/>
      <c r="W1303" s="6"/>
      <c r="X1303" s="12"/>
      <c r="Y1303" s="12"/>
      <c r="Z1303" s="6"/>
      <c r="AA1303" s="7"/>
      <c r="AB1303" s="6"/>
      <c r="AC1303" s="6"/>
      <c r="AD1303" s="6"/>
      <c r="AE1303" s="12"/>
      <c r="AF1303" s="6"/>
      <c r="AG1303" s="12"/>
      <c r="AH1303" s="6"/>
      <c r="AI1303" s="6"/>
      <c r="AJ1303" s="12"/>
      <c r="AK1303" s="1"/>
      <c r="AL1303" s="12"/>
      <c r="AM1303" s="12"/>
      <c r="AN1303" s="1"/>
      <c r="AO1303" s="6"/>
    </row>
    <row r="1304" spans="1:41" ht="15" x14ac:dyDescent="0.25">
      <c r="A1304" s="1"/>
      <c r="B1304" s="1"/>
      <c r="C1304" s="1"/>
      <c r="D1304" s="1"/>
      <c r="E1304" s="6"/>
      <c r="F1304" s="1"/>
      <c r="G1304" s="6"/>
      <c r="H1304" s="6"/>
      <c r="I1304" s="6"/>
      <c r="J1304" s="6"/>
      <c r="K1304" s="6"/>
      <c r="L1304" s="6"/>
      <c r="M1304" s="6"/>
      <c r="N1304" s="6"/>
      <c r="O1304" s="7"/>
      <c r="P1304" s="12"/>
      <c r="Q1304" s="6"/>
      <c r="R1304" s="7"/>
      <c r="S1304" s="6"/>
      <c r="T1304" s="6"/>
      <c r="U1304" s="7"/>
      <c r="V1304" s="6"/>
      <c r="W1304" s="6"/>
      <c r="X1304" s="6"/>
      <c r="Y1304" s="6"/>
      <c r="Z1304" s="6"/>
      <c r="AA1304" s="7"/>
      <c r="AB1304" s="6"/>
      <c r="AC1304" s="6"/>
      <c r="AD1304" s="6"/>
      <c r="AE1304" s="12"/>
      <c r="AF1304" s="6"/>
      <c r="AG1304" s="12"/>
      <c r="AH1304" s="6"/>
      <c r="AI1304" s="6"/>
      <c r="AJ1304" s="12"/>
      <c r="AK1304" s="24"/>
      <c r="AL1304" s="25"/>
      <c r="AM1304" s="12"/>
      <c r="AN1304" s="1"/>
      <c r="AO1304" s="6"/>
    </row>
    <row r="1305" spans="1:41" ht="15" x14ac:dyDescent="0.25">
      <c r="A1305" s="1"/>
      <c r="B1305" s="1"/>
      <c r="C1305" s="1"/>
      <c r="D1305" s="1"/>
      <c r="E1305" s="6"/>
      <c r="F1305" s="1"/>
      <c r="G1305" s="6"/>
      <c r="H1305" s="6"/>
      <c r="I1305" s="6"/>
      <c r="J1305" s="6"/>
      <c r="K1305" s="6"/>
      <c r="L1305" s="6"/>
      <c r="M1305" s="6"/>
      <c r="N1305" s="6"/>
      <c r="O1305" s="7"/>
      <c r="P1305" s="12"/>
      <c r="Q1305" s="6"/>
      <c r="R1305" s="7"/>
      <c r="S1305" s="6"/>
      <c r="T1305" s="6"/>
      <c r="U1305" s="7"/>
      <c r="V1305" s="6"/>
      <c r="W1305" s="6"/>
      <c r="X1305" s="12"/>
      <c r="Y1305" s="6"/>
      <c r="Z1305" s="6"/>
      <c r="AA1305" s="7"/>
      <c r="AB1305" s="6"/>
      <c r="AC1305" s="6"/>
      <c r="AD1305" s="6"/>
      <c r="AE1305" s="12"/>
      <c r="AF1305" s="12"/>
      <c r="AG1305" s="12"/>
      <c r="AH1305" s="12"/>
      <c r="AI1305" s="6"/>
      <c r="AJ1305" s="12"/>
      <c r="AK1305" s="1"/>
      <c r="AL1305" s="12"/>
      <c r="AM1305" s="12"/>
      <c r="AN1305" s="1"/>
      <c r="AO1305" s="6"/>
    </row>
    <row r="1306" spans="1:41" ht="15" x14ac:dyDescent="0.25">
      <c r="A1306" s="1"/>
      <c r="B1306" s="1"/>
      <c r="C1306" s="1"/>
      <c r="D1306" s="1"/>
      <c r="E1306" s="6"/>
      <c r="F1306" s="1"/>
      <c r="G1306" s="6"/>
      <c r="H1306" s="6"/>
      <c r="I1306" s="6"/>
      <c r="J1306" s="6"/>
      <c r="K1306" s="6"/>
      <c r="L1306" s="6"/>
      <c r="M1306" s="6"/>
      <c r="N1306" s="6"/>
      <c r="O1306" s="7"/>
      <c r="P1306" s="6"/>
      <c r="Q1306" s="6"/>
      <c r="R1306" s="7"/>
      <c r="S1306" s="6"/>
      <c r="T1306" s="6"/>
      <c r="U1306" s="7"/>
      <c r="V1306" s="6"/>
      <c r="W1306" s="6"/>
      <c r="X1306" s="12"/>
      <c r="Y1306" s="6"/>
      <c r="Z1306" s="6"/>
      <c r="AA1306" s="7"/>
      <c r="AB1306" s="6"/>
      <c r="AC1306" s="6"/>
      <c r="AD1306" s="6"/>
      <c r="AE1306" s="12"/>
      <c r="AF1306" s="12"/>
      <c r="AG1306" s="12"/>
      <c r="AH1306" s="12"/>
      <c r="AI1306" s="6"/>
      <c r="AJ1306" s="12"/>
      <c r="AK1306" s="1"/>
      <c r="AL1306" s="12"/>
      <c r="AM1306" s="12"/>
      <c r="AN1306" s="1"/>
      <c r="AO1306" s="6"/>
    </row>
    <row r="1307" spans="1:41" ht="15" x14ac:dyDescent="0.25">
      <c r="A1307" s="1"/>
      <c r="B1307" s="1"/>
      <c r="C1307" s="1"/>
      <c r="D1307" s="1"/>
      <c r="E1307" s="6"/>
      <c r="F1307" s="1"/>
      <c r="G1307" s="6"/>
      <c r="H1307" s="6"/>
      <c r="I1307" s="6"/>
      <c r="J1307" s="6"/>
      <c r="K1307" s="6"/>
      <c r="L1307" s="6"/>
      <c r="M1307" s="6"/>
      <c r="N1307" s="6"/>
      <c r="O1307" s="7"/>
      <c r="P1307" s="6"/>
      <c r="Q1307" s="6"/>
      <c r="R1307" s="7"/>
      <c r="S1307" s="6"/>
      <c r="T1307" s="6"/>
      <c r="U1307" s="7"/>
      <c r="V1307" s="6"/>
      <c r="W1307" s="6"/>
      <c r="X1307" s="6"/>
      <c r="Y1307" s="6"/>
      <c r="Z1307" s="6"/>
      <c r="AA1307" s="7"/>
      <c r="AB1307" s="6"/>
      <c r="AC1307" s="6"/>
      <c r="AD1307" s="6"/>
      <c r="AE1307" s="12"/>
      <c r="AF1307" s="6"/>
      <c r="AG1307" s="12"/>
      <c r="AH1307" s="6"/>
      <c r="AI1307" s="6"/>
      <c r="AJ1307" s="12"/>
      <c r="AK1307" s="24"/>
      <c r="AL1307" s="25"/>
      <c r="AM1307" s="12"/>
      <c r="AN1307" s="1"/>
      <c r="AO1307" s="6"/>
    </row>
    <row r="1308" spans="1:41" ht="15" x14ac:dyDescent="0.25">
      <c r="A1308" s="1"/>
      <c r="B1308" s="1"/>
      <c r="C1308" s="1"/>
      <c r="D1308" s="1"/>
      <c r="E1308" s="6"/>
      <c r="F1308" s="1"/>
      <c r="G1308" s="6"/>
      <c r="H1308" s="6"/>
      <c r="I1308" s="6"/>
      <c r="J1308" s="6"/>
      <c r="K1308" s="6"/>
      <c r="L1308" s="6"/>
      <c r="M1308" s="6"/>
      <c r="N1308" s="6"/>
      <c r="O1308" s="7"/>
      <c r="P1308" s="6"/>
      <c r="Q1308" s="6"/>
      <c r="R1308" s="7"/>
      <c r="S1308" s="6"/>
      <c r="T1308" s="6"/>
      <c r="U1308" s="7"/>
      <c r="V1308" s="6"/>
      <c r="W1308" s="6"/>
      <c r="X1308" s="12"/>
      <c r="Y1308" s="6"/>
      <c r="Z1308" s="6"/>
      <c r="AA1308" s="7"/>
      <c r="AB1308" s="6"/>
      <c r="AC1308" s="6"/>
      <c r="AD1308" s="6"/>
      <c r="AE1308" s="12"/>
      <c r="AF1308" s="6"/>
      <c r="AG1308" s="12"/>
      <c r="AH1308" s="6"/>
      <c r="AI1308" s="6"/>
      <c r="AJ1308" s="12"/>
      <c r="AK1308" s="24"/>
      <c r="AL1308" s="25"/>
      <c r="AM1308" s="12"/>
      <c r="AN1308" s="1"/>
      <c r="AO1308" s="6"/>
    </row>
    <row r="1309" spans="1:41" ht="15" x14ac:dyDescent="0.25">
      <c r="A1309" s="1"/>
      <c r="B1309" s="1"/>
      <c r="C1309" s="1"/>
      <c r="D1309" s="1"/>
      <c r="E1309" s="6"/>
      <c r="F1309" s="1"/>
      <c r="G1309" s="6"/>
      <c r="H1309" s="6"/>
      <c r="I1309" s="6"/>
      <c r="J1309" s="6"/>
      <c r="K1309" s="6"/>
      <c r="L1309" s="6"/>
      <c r="M1309" s="6"/>
      <c r="N1309" s="6"/>
      <c r="O1309" s="7"/>
      <c r="P1309" s="6"/>
      <c r="Q1309" s="6"/>
      <c r="R1309" s="7"/>
      <c r="S1309" s="6"/>
      <c r="T1309" s="6"/>
      <c r="U1309" s="7"/>
      <c r="V1309" s="6"/>
      <c r="W1309" s="6"/>
      <c r="X1309" s="6"/>
      <c r="Y1309" s="6"/>
      <c r="Z1309" s="6"/>
      <c r="AA1309" s="7"/>
      <c r="AB1309" s="6"/>
      <c r="AC1309" s="6"/>
      <c r="AD1309" s="6"/>
      <c r="AE1309" s="12"/>
      <c r="AF1309" s="6"/>
      <c r="AG1309" s="12"/>
      <c r="AH1309" s="6"/>
      <c r="AI1309" s="6"/>
      <c r="AJ1309" s="12"/>
      <c r="AK1309" s="1"/>
      <c r="AL1309" s="12"/>
      <c r="AM1309" s="12"/>
      <c r="AN1309" s="1"/>
      <c r="AO1309" s="6"/>
    </row>
    <row r="1310" spans="1:41" ht="15" x14ac:dyDescent="0.25">
      <c r="A1310" s="1"/>
      <c r="B1310" s="1"/>
      <c r="C1310" s="1"/>
      <c r="D1310" s="1"/>
      <c r="E1310" s="6"/>
      <c r="F1310" s="1"/>
      <c r="G1310" s="6"/>
      <c r="H1310" s="6"/>
      <c r="I1310" s="6"/>
      <c r="J1310" s="6"/>
      <c r="K1310" s="6"/>
      <c r="L1310" s="6"/>
      <c r="M1310" s="6"/>
      <c r="N1310" s="6"/>
      <c r="O1310" s="7"/>
      <c r="P1310" s="6"/>
      <c r="Q1310" s="6"/>
      <c r="R1310" s="7"/>
      <c r="S1310" s="6"/>
      <c r="T1310" s="6"/>
      <c r="U1310" s="7"/>
      <c r="V1310" s="6"/>
      <c r="W1310" s="6"/>
      <c r="X1310" s="6"/>
      <c r="Y1310" s="6"/>
      <c r="Z1310" s="6"/>
      <c r="AA1310" s="7"/>
      <c r="AB1310" s="6"/>
      <c r="AC1310" s="6"/>
      <c r="AD1310" s="6"/>
      <c r="AE1310" s="12"/>
      <c r="AF1310" s="12"/>
      <c r="AG1310" s="12"/>
      <c r="AH1310" s="12"/>
      <c r="AI1310" s="6"/>
      <c r="AJ1310" s="12"/>
      <c r="AK1310" s="1"/>
      <c r="AL1310" s="12"/>
      <c r="AM1310" s="12"/>
      <c r="AN1310" s="1"/>
      <c r="AO1310" s="6"/>
    </row>
    <row r="1311" spans="1:41" ht="15" x14ac:dyDescent="0.25">
      <c r="A1311" s="1"/>
      <c r="B1311" s="1"/>
      <c r="C1311" s="1"/>
      <c r="D1311" s="1"/>
      <c r="E1311" s="6"/>
      <c r="F1311" s="1"/>
      <c r="G1311" s="6"/>
      <c r="H1311" s="6"/>
      <c r="I1311" s="6"/>
      <c r="J1311" s="6"/>
      <c r="K1311" s="12"/>
      <c r="L1311" s="6"/>
      <c r="M1311" s="6"/>
      <c r="N1311" s="6"/>
      <c r="O1311" s="7"/>
      <c r="P1311" s="6"/>
      <c r="Q1311" s="6"/>
      <c r="R1311" s="7"/>
      <c r="S1311" s="6"/>
      <c r="T1311" s="6"/>
      <c r="U1311" s="7"/>
      <c r="V1311" s="6"/>
      <c r="W1311" s="6"/>
      <c r="X1311" s="6"/>
      <c r="Y1311" s="6"/>
      <c r="Z1311" s="6"/>
      <c r="AA1311" s="7"/>
      <c r="AB1311" s="6"/>
      <c r="AC1311" s="6"/>
      <c r="AD1311" s="6"/>
      <c r="AE1311" s="12"/>
      <c r="AF1311" s="6"/>
      <c r="AG1311" s="12"/>
      <c r="AH1311" s="6"/>
      <c r="AI1311" s="6"/>
      <c r="AJ1311" s="12"/>
      <c r="AK1311" s="24"/>
      <c r="AL1311" s="25"/>
      <c r="AM1311" s="12"/>
      <c r="AN1311" s="1"/>
      <c r="AO1311" s="12"/>
    </row>
    <row r="1312" spans="1:41" ht="15" x14ac:dyDescent="0.25">
      <c r="A1312" s="1"/>
      <c r="B1312" s="1"/>
      <c r="C1312" s="1"/>
      <c r="D1312" s="1"/>
      <c r="E1312" s="6"/>
      <c r="F1312" s="1"/>
      <c r="G1312" s="6"/>
      <c r="H1312" s="6"/>
      <c r="I1312" s="6"/>
      <c r="J1312" s="6"/>
      <c r="K1312" s="6"/>
      <c r="L1312" s="6"/>
      <c r="M1312" s="6"/>
      <c r="N1312" s="6"/>
      <c r="O1312" s="7"/>
      <c r="P1312" s="6"/>
      <c r="Q1312" s="6"/>
      <c r="R1312" s="15"/>
      <c r="S1312" s="6"/>
      <c r="T1312" s="6"/>
      <c r="U1312" s="15"/>
      <c r="V1312" s="6"/>
      <c r="W1312" s="6"/>
      <c r="X1312" s="12"/>
      <c r="Y1312" s="12"/>
      <c r="Z1312" s="6"/>
      <c r="AA1312" s="7"/>
      <c r="AB1312" s="6"/>
      <c r="AC1312" s="6"/>
      <c r="AD1312" s="6"/>
      <c r="AE1312" s="12"/>
      <c r="AF1312" s="6"/>
      <c r="AG1312" s="12"/>
      <c r="AH1312" s="6"/>
      <c r="AI1312" s="6"/>
      <c r="AJ1312" s="12"/>
      <c r="AK1312" s="24"/>
      <c r="AL1312" s="25"/>
      <c r="AM1312" s="12"/>
      <c r="AN1312" s="1"/>
      <c r="AO1312" s="6"/>
    </row>
    <row r="1313" spans="1:41" ht="15" x14ac:dyDescent="0.25">
      <c r="A1313" s="1"/>
      <c r="B1313" s="1"/>
      <c r="C1313" s="1"/>
      <c r="D1313" s="1"/>
      <c r="E1313" s="6"/>
      <c r="F1313" s="1"/>
      <c r="G1313" s="6"/>
      <c r="H1313" s="6"/>
      <c r="I1313" s="6"/>
      <c r="J1313" s="6"/>
      <c r="K1313" s="6"/>
      <c r="L1313" s="6"/>
      <c r="M1313" s="6"/>
      <c r="N1313" s="6"/>
      <c r="O1313" s="7"/>
      <c r="P1313" s="6"/>
      <c r="Q1313" s="6"/>
      <c r="R1313" s="7"/>
      <c r="S1313" s="6"/>
      <c r="T1313" s="6"/>
      <c r="U1313" s="7"/>
      <c r="V1313" s="6"/>
      <c r="W1313" s="6"/>
      <c r="X1313" s="12"/>
      <c r="Y1313" s="6"/>
      <c r="Z1313" s="6"/>
      <c r="AA1313" s="7"/>
      <c r="AB1313" s="6"/>
      <c r="AC1313" s="6"/>
      <c r="AD1313" s="6"/>
      <c r="AE1313" s="12"/>
      <c r="AF1313" s="12"/>
      <c r="AG1313" s="12"/>
      <c r="AH1313" s="12"/>
      <c r="AI1313" s="6"/>
      <c r="AJ1313" s="12"/>
      <c r="AK1313" s="1"/>
      <c r="AL1313" s="12"/>
      <c r="AM1313" s="12"/>
      <c r="AN1313" s="1"/>
      <c r="AO1313" s="12"/>
    </row>
    <row r="1314" spans="1:41" ht="15" x14ac:dyDescent="0.25">
      <c r="A1314" s="1"/>
      <c r="B1314" s="1"/>
      <c r="C1314" s="1"/>
      <c r="D1314" s="1"/>
      <c r="E1314" s="6"/>
      <c r="F1314" s="1"/>
      <c r="G1314" s="6"/>
      <c r="H1314" s="6"/>
      <c r="I1314" s="6"/>
      <c r="J1314" s="6"/>
      <c r="K1314" s="6"/>
      <c r="L1314" s="6"/>
      <c r="M1314" s="6"/>
      <c r="N1314" s="6"/>
      <c r="O1314" s="7"/>
      <c r="P1314" s="6"/>
      <c r="Q1314" s="6"/>
      <c r="R1314" s="7"/>
      <c r="S1314" s="6"/>
      <c r="T1314" s="6"/>
      <c r="U1314" s="7"/>
      <c r="V1314" s="6"/>
      <c r="W1314" s="6"/>
      <c r="X1314" s="6"/>
      <c r="Y1314" s="6"/>
      <c r="Z1314" s="6"/>
      <c r="AA1314" s="7"/>
      <c r="AB1314" s="6"/>
      <c r="AC1314" s="6"/>
      <c r="AD1314" s="6"/>
      <c r="AE1314" s="12"/>
      <c r="AF1314" s="12"/>
      <c r="AG1314" s="12"/>
      <c r="AH1314" s="12"/>
      <c r="AI1314" s="6"/>
      <c r="AJ1314" s="12"/>
      <c r="AK1314" s="1"/>
      <c r="AL1314" s="12"/>
      <c r="AM1314" s="12"/>
      <c r="AN1314" s="1"/>
      <c r="AO1314" s="6"/>
    </row>
    <row r="1315" spans="1:41" ht="15" x14ac:dyDescent="0.25">
      <c r="A1315" s="1"/>
      <c r="B1315" s="1"/>
      <c r="C1315" s="1"/>
      <c r="D1315" s="1"/>
      <c r="E1315" s="6"/>
      <c r="F1315" s="1"/>
      <c r="G1315" s="6"/>
      <c r="H1315" s="6"/>
      <c r="I1315" s="6"/>
      <c r="J1315" s="6"/>
      <c r="K1315" s="6"/>
      <c r="L1315" s="6"/>
      <c r="M1315" s="6"/>
      <c r="N1315" s="6"/>
      <c r="O1315" s="7"/>
      <c r="P1315" s="6"/>
      <c r="Q1315" s="7"/>
      <c r="R1315" s="6"/>
      <c r="S1315" s="6"/>
      <c r="T1315" s="6"/>
      <c r="U1315" s="6"/>
      <c r="V1315" s="7"/>
      <c r="W1315" s="7"/>
      <c r="X1315" s="6"/>
      <c r="Y1315" s="6"/>
      <c r="Z1315" s="6"/>
      <c r="AA1315" s="1"/>
      <c r="AB1315" s="12"/>
      <c r="AC1315" s="12"/>
      <c r="AD1315" s="12"/>
      <c r="AE1315" s="12"/>
      <c r="AF1315" s="12"/>
      <c r="AG1315" s="12"/>
      <c r="AH1315" s="12"/>
      <c r="AI1315" s="6"/>
      <c r="AJ1315" s="12"/>
      <c r="AK1315" s="12"/>
      <c r="AL1315" s="12"/>
      <c r="AM1315" s="12"/>
      <c r="AN1315" s="1"/>
      <c r="AO1315" s="6"/>
    </row>
    <row r="1316" spans="1:41" ht="15" x14ac:dyDescent="0.25">
      <c r="A1316" s="1"/>
      <c r="B1316" s="1"/>
      <c r="C1316" s="1"/>
      <c r="D1316" s="1"/>
      <c r="E1316" s="6"/>
      <c r="F1316" s="1"/>
      <c r="G1316" s="6"/>
      <c r="H1316" s="6"/>
      <c r="I1316" s="6"/>
      <c r="J1316" s="6"/>
      <c r="K1316" s="6"/>
      <c r="L1316" s="6"/>
      <c r="M1316" s="6"/>
      <c r="N1316" s="6"/>
      <c r="O1316" s="7"/>
      <c r="P1316" s="6"/>
      <c r="Q1316" s="7"/>
      <c r="R1316" s="6"/>
      <c r="S1316" s="6"/>
      <c r="T1316" s="6"/>
      <c r="U1316" s="6"/>
      <c r="V1316" s="7"/>
      <c r="W1316" s="7"/>
      <c r="X1316" s="6"/>
      <c r="Y1316" s="6"/>
      <c r="Z1316" s="6"/>
      <c r="AA1316" s="1"/>
      <c r="AB1316" s="12"/>
      <c r="AC1316" s="12"/>
      <c r="AD1316" s="12"/>
      <c r="AE1316" s="12"/>
      <c r="AF1316" s="12"/>
      <c r="AG1316" s="12"/>
      <c r="AH1316" s="12"/>
      <c r="AI1316" s="6"/>
      <c r="AJ1316" s="12"/>
      <c r="AK1316" s="12"/>
      <c r="AL1316" s="12"/>
      <c r="AM1316" s="12"/>
      <c r="AN1316" s="1"/>
      <c r="AO1316" s="6"/>
    </row>
    <row r="1317" spans="1:41" ht="15" x14ac:dyDescent="0.25">
      <c r="A1317" s="1"/>
      <c r="B1317" s="1"/>
      <c r="C1317" s="1"/>
      <c r="D1317" s="1"/>
      <c r="E1317" s="6"/>
      <c r="F1317" s="1"/>
      <c r="G1317" s="6"/>
      <c r="H1317" s="6"/>
      <c r="I1317" s="6"/>
      <c r="J1317" s="6"/>
      <c r="K1317" s="6"/>
      <c r="L1317" s="6"/>
      <c r="M1317" s="6"/>
      <c r="N1317" s="6"/>
      <c r="O1317" s="7"/>
      <c r="P1317" s="12"/>
      <c r="Q1317" s="6"/>
      <c r="R1317" s="7"/>
      <c r="S1317" s="6"/>
      <c r="T1317" s="6"/>
      <c r="U1317" s="7"/>
      <c r="V1317" s="6"/>
      <c r="W1317" s="6"/>
      <c r="X1317" s="12"/>
      <c r="Y1317" s="6"/>
      <c r="Z1317" s="6"/>
      <c r="AA1317" s="7"/>
      <c r="AB1317" s="6"/>
      <c r="AC1317" s="6"/>
      <c r="AD1317" s="6"/>
      <c r="AE1317" s="12"/>
      <c r="AF1317" s="6"/>
      <c r="AG1317" s="12"/>
      <c r="AH1317" s="6"/>
      <c r="AI1317" s="6"/>
      <c r="AJ1317" s="12"/>
      <c r="AK1317" s="1"/>
      <c r="AL1317" s="12"/>
      <c r="AM1317" s="12"/>
      <c r="AN1317" s="1"/>
      <c r="AO1317" s="6"/>
    </row>
    <row r="1318" spans="1:41" ht="15" x14ac:dyDescent="0.25">
      <c r="A1318" s="1"/>
      <c r="B1318" s="1"/>
      <c r="C1318" s="1"/>
      <c r="D1318" s="1"/>
      <c r="E1318" s="6"/>
      <c r="F1318" s="1"/>
      <c r="G1318" s="6"/>
      <c r="H1318" s="6"/>
      <c r="I1318" s="6"/>
      <c r="J1318" s="6"/>
      <c r="K1318" s="6"/>
      <c r="L1318" s="6"/>
      <c r="M1318" s="6"/>
      <c r="N1318" s="6"/>
      <c r="O1318" s="7"/>
      <c r="P1318" s="12"/>
      <c r="Q1318" s="6"/>
      <c r="R1318" s="7"/>
      <c r="S1318" s="6"/>
      <c r="T1318" s="6"/>
      <c r="U1318" s="7"/>
      <c r="V1318" s="6"/>
      <c r="W1318" s="6"/>
      <c r="X1318" s="6"/>
      <c r="Y1318" s="6"/>
      <c r="Z1318" s="6"/>
      <c r="AA1318" s="7"/>
      <c r="AB1318" s="6"/>
      <c r="AC1318" s="6"/>
      <c r="AD1318" s="6"/>
      <c r="AE1318" s="12"/>
      <c r="AF1318" s="6"/>
      <c r="AG1318" s="12"/>
      <c r="AH1318" s="6"/>
      <c r="AI1318" s="6"/>
      <c r="AJ1318" s="12"/>
      <c r="AK1318" s="1"/>
      <c r="AL1318" s="12"/>
      <c r="AM1318" s="12"/>
      <c r="AN1318" s="1"/>
      <c r="AO1318" s="6"/>
    </row>
    <row r="1319" spans="1:41" ht="15" x14ac:dyDescent="0.25">
      <c r="A1319" s="1"/>
      <c r="B1319" s="1"/>
      <c r="C1319" s="1"/>
      <c r="D1319" s="1"/>
      <c r="E1319" s="6"/>
      <c r="F1319" s="1"/>
      <c r="G1319" s="6"/>
      <c r="H1319" s="6"/>
      <c r="I1319" s="6"/>
      <c r="J1319" s="6"/>
      <c r="K1319" s="6"/>
      <c r="L1319" s="6"/>
      <c r="M1319" s="6"/>
      <c r="N1319" s="6"/>
      <c r="O1319" s="7"/>
      <c r="P1319" s="6"/>
      <c r="Q1319" s="6"/>
      <c r="R1319" s="7"/>
      <c r="S1319" s="6"/>
      <c r="T1319" s="6"/>
      <c r="U1319" s="7"/>
      <c r="V1319" s="6"/>
      <c r="W1319" s="6"/>
      <c r="X1319" s="6"/>
      <c r="Y1319" s="6"/>
      <c r="Z1319" s="6"/>
      <c r="AA1319" s="7"/>
      <c r="AB1319" s="6"/>
      <c r="AC1319" s="6"/>
      <c r="AD1319" s="6"/>
      <c r="AE1319" s="12"/>
      <c r="AF1319" s="12"/>
      <c r="AG1319" s="12"/>
      <c r="AH1319" s="12"/>
      <c r="AI1319" s="6"/>
      <c r="AJ1319" s="12"/>
      <c r="AK1319" s="1"/>
      <c r="AL1319" s="12"/>
      <c r="AM1319" s="12"/>
      <c r="AN1319" s="1"/>
      <c r="AO1319" s="6"/>
    </row>
    <row r="1320" spans="1:41" ht="15" x14ac:dyDescent="0.25">
      <c r="A1320" s="1"/>
      <c r="B1320" s="1"/>
      <c r="C1320" s="1"/>
      <c r="D1320" s="1"/>
      <c r="E1320" s="6"/>
      <c r="F1320" s="1"/>
      <c r="G1320" s="6"/>
      <c r="H1320" s="6"/>
      <c r="I1320" s="6"/>
      <c r="J1320" s="6"/>
      <c r="K1320" s="6"/>
      <c r="L1320" s="6"/>
      <c r="M1320" s="6"/>
      <c r="N1320" s="6"/>
      <c r="O1320" s="7"/>
      <c r="P1320" s="12"/>
      <c r="Q1320" s="6"/>
      <c r="R1320" s="7"/>
      <c r="S1320" s="6"/>
      <c r="T1320" s="6"/>
      <c r="U1320" s="7"/>
      <c r="V1320" s="6"/>
      <c r="W1320" s="6"/>
      <c r="X1320" s="6"/>
      <c r="Y1320" s="6"/>
      <c r="Z1320" s="6"/>
      <c r="AA1320" s="7"/>
      <c r="AB1320" s="6"/>
      <c r="AC1320" s="6"/>
      <c r="AD1320" s="6"/>
      <c r="AE1320" s="12"/>
      <c r="AF1320" s="6"/>
      <c r="AG1320" s="12"/>
      <c r="AH1320" s="6"/>
      <c r="AI1320" s="6"/>
      <c r="AJ1320" s="12"/>
      <c r="AK1320" s="1"/>
      <c r="AL1320" s="12"/>
      <c r="AM1320" s="12"/>
      <c r="AN1320" s="1"/>
      <c r="AO1320" s="6"/>
    </row>
    <row r="1321" spans="1:41" ht="15" x14ac:dyDescent="0.25">
      <c r="A1321" s="1"/>
      <c r="B1321" s="1"/>
      <c r="C1321" s="1"/>
      <c r="D1321" s="1"/>
      <c r="E1321" s="6"/>
      <c r="F1321" s="1"/>
      <c r="G1321" s="6"/>
      <c r="H1321" s="6"/>
      <c r="I1321" s="6"/>
      <c r="J1321" s="6"/>
      <c r="K1321" s="6"/>
      <c r="L1321" s="6"/>
      <c r="M1321" s="6"/>
      <c r="N1321" s="6"/>
      <c r="O1321" s="7"/>
      <c r="P1321" s="12"/>
      <c r="Q1321" s="6"/>
      <c r="R1321" s="7"/>
      <c r="S1321" s="6"/>
      <c r="T1321" s="6"/>
      <c r="U1321" s="7"/>
      <c r="V1321" s="6"/>
      <c r="W1321" s="6"/>
      <c r="X1321" s="6"/>
      <c r="Y1321" s="6"/>
      <c r="Z1321" s="6"/>
      <c r="AA1321" s="7"/>
      <c r="AB1321" s="6"/>
      <c r="AC1321" s="6"/>
      <c r="AD1321" s="6"/>
      <c r="AE1321" s="12"/>
      <c r="AF1321" s="6"/>
      <c r="AG1321" s="12"/>
      <c r="AH1321" s="6"/>
      <c r="AI1321" s="6"/>
      <c r="AJ1321" s="12"/>
      <c r="AK1321" s="24"/>
      <c r="AL1321" s="25"/>
      <c r="AM1321" s="12"/>
      <c r="AN1321" s="1"/>
      <c r="AO1321" s="6"/>
    </row>
    <row r="1322" spans="1:41" ht="15" x14ac:dyDescent="0.25">
      <c r="A1322" s="1"/>
      <c r="B1322" s="1"/>
      <c r="C1322" s="1"/>
      <c r="D1322" s="1"/>
      <c r="E1322" s="6"/>
      <c r="F1322" s="1"/>
      <c r="G1322" s="6"/>
      <c r="H1322" s="6"/>
      <c r="I1322" s="6"/>
      <c r="J1322" s="6"/>
      <c r="K1322" s="6"/>
      <c r="L1322" s="6"/>
      <c r="M1322" s="6"/>
      <c r="N1322" s="6"/>
      <c r="O1322" s="7"/>
      <c r="P1322" s="12"/>
      <c r="Q1322" s="6"/>
      <c r="R1322" s="7"/>
      <c r="S1322" s="6"/>
      <c r="T1322" s="6"/>
      <c r="U1322" s="7"/>
      <c r="V1322" s="6"/>
      <c r="W1322" s="6"/>
      <c r="X1322" s="12"/>
      <c r="Y1322" s="6"/>
      <c r="Z1322" s="6"/>
      <c r="AA1322" s="7"/>
      <c r="AB1322" s="6"/>
      <c r="AC1322" s="6"/>
      <c r="AD1322" s="6"/>
      <c r="AE1322" s="12"/>
      <c r="AF1322" s="12"/>
      <c r="AG1322" s="12"/>
      <c r="AH1322" s="12"/>
      <c r="AI1322" s="6"/>
      <c r="AJ1322" s="12"/>
      <c r="AK1322" s="1"/>
      <c r="AL1322" s="12"/>
      <c r="AM1322" s="12"/>
      <c r="AN1322" s="1"/>
      <c r="AO1322" s="6"/>
    </row>
    <row r="1323" spans="1:41" ht="15" x14ac:dyDescent="0.25">
      <c r="A1323" s="1"/>
      <c r="B1323" s="1"/>
      <c r="C1323" s="1"/>
      <c r="D1323" s="1"/>
      <c r="E1323" s="6"/>
      <c r="F1323" s="1"/>
      <c r="G1323" s="6"/>
      <c r="H1323" s="6"/>
      <c r="I1323" s="6"/>
      <c r="J1323" s="6"/>
      <c r="K1323" s="6"/>
      <c r="L1323" s="6"/>
      <c r="M1323" s="6"/>
      <c r="N1323" s="6"/>
      <c r="O1323" s="7"/>
      <c r="P1323" s="6"/>
      <c r="Q1323" s="7"/>
      <c r="R1323" s="6"/>
      <c r="S1323" s="6"/>
      <c r="T1323" s="6"/>
      <c r="U1323" s="6"/>
      <c r="V1323" s="7"/>
      <c r="W1323" s="7"/>
      <c r="X1323" s="6"/>
      <c r="Y1323" s="6"/>
      <c r="Z1323" s="6"/>
      <c r="AA1323" s="1"/>
      <c r="AB1323" s="12"/>
      <c r="AC1323" s="12"/>
      <c r="AD1323" s="12"/>
      <c r="AE1323" s="12"/>
      <c r="AF1323" s="12"/>
      <c r="AG1323" s="12"/>
      <c r="AH1323" s="12"/>
      <c r="AI1323" s="6"/>
      <c r="AJ1323" s="12"/>
      <c r="AK1323" s="12"/>
      <c r="AL1323" s="12"/>
      <c r="AM1323" s="12"/>
      <c r="AN1323" s="1"/>
      <c r="AO1323" s="6"/>
    </row>
    <row r="1324" spans="1:41" ht="15" x14ac:dyDescent="0.25">
      <c r="A1324" s="1"/>
      <c r="B1324" s="1"/>
      <c r="C1324" s="1"/>
      <c r="D1324" s="1"/>
      <c r="E1324" s="6"/>
      <c r="F1324" s="1"/>
      <c r="G1324" s="6"/>
      <c r="H1324" s="6"/>
      <c r="I1324" s="6"/>
      <c r="J1324" s="6"/>
      <c r="K1324" s="6"/>
      <c r="L1324" s="6"/>
      <c r="M1324" s="6"/>
      <c r="N1324" s="6"/>
      <c r="O1324" s="7"/>
      <c r="P1324" s="6"/>
      <c r="Q1324" s="7"/>
      <c r="R1324" s="6"/>
      <c r="S1324" s="6"/>
      <c r="T1324" s="6"/>
      <c r="U1324" s="6"/>
      <c r="V1324" s="7"/>
      <c r="W1324" s="6"/>
      <c r="X1324" s="6"/>
      <c r="Y1324" s="6"/>
      <c r="Z1324" s="6"/>
      <c r="AA1324" s="1"/>
      <c r="AB1324" s="12"/>
      <c r="AC1324" s="12"/>
      <c r="AD1324" s="12"/>
      <c r="AE1324" s="12"/>
      <c r="AF1324" s="6"/>
      <c r="AG1324" s="12"/>
      <c r="AH1324" s="6"/>
      <c r="AI1324" s="6"/>
      <c r="AJ1324" s="12"/>
      <c r="AK1324" s="12"/>
      <c r="AL1324" s="12"/>
      <c r="AM1324" s="12"/>
      <c r="AN1324" s="1"/>
      <c r="AO1324" s="6"/>
    </row>
    <row r="1325" spans="1:41" ht="15" x14ac:dyDescent="0.25">
      <c r="A1325" s="1"/>
      <c r="B1325" s="1"/>
      <c r="C1325" s="1"/>
      <c r="D1325" s="1"/>
      <c r="E1325" s="6"/>
      <c r="F1325" s="1"/>
      <c r="G1325" s="6"/>
      <c r="H1325" s="6"/>
      <c r="I1325" s="6"/>
      <c r="J1325" s="6"/>
      <c r="K1325" s="6"/>
      <c r="L1325" s="6"/>
      <c r="M1325" s="6"/>
      <c r="N1325" s="6"/>
      <c r="O1325" s="7"/>
      <c r="P1325" s="6"/>
      <c r="Q1325" s="6"/>
      <c r="R1325" s="7"/>
      <c r="S1325" s="6"/>
      <c r="T1325" s="6"/>
      <c r="U1325" s="7"/>
      <c r="V1325" s="6"/>
      <c r="W1325" s="6"/>
      <c r="X1325" s="6"/>
      <c r="Y1325" s="6"/>
      <c r="Z1325" s="6"/>
      <c r="AA1325" s="7"/>
      <c r="AB1325" s="6"/>
      <c r="AC1325" s="6"/>
      <c r="AD1325" s="6"/>
      <c r="AE1325" s="12"/>
      <c r="AF1325" s="6"/>
      <c r="AG1325" s="12"/>
      <c r="AH1325" s="6"/>
      <c r="AI1325" s="6"/>
      <c r="AJ1325" s="12"/>
      <c r="AK1325" s="1"/>
      <c r="AL1325" s="12"/>
      <c r="AM1325" s="12"/>
      <c r="AN1325" s="1"/>
      <c r="AO1325" s="6"/>
    </row>
    <row r="1326" spans="1:41" ht="15" x14ac:dyDescent="0.25">
      <c r="A1326" s="1"/>
      <c r="B1326" s="1"/>
      <c r="C1326" s="1"/>
      <c r="D1326" s="1"/>
      <c r="E1326" s="6"/>
      <c r="F1326" s="1"/>
      <c r="G1326" s="6"/>
      <c r="H1326" s="6"/>
      <c r="I1326" s="6"/>
      <c r="J1326" s="6"/>
      <c r="K1326" s="6"/>
      <c r="L1326" s="6"/>
      <c r="M1326" s="6"/>
      <c r="N1326" s="6"/>
      <c r="O1326" s="15"/>
      <c r="P1326" s="6"/>
      <c r="Q1326" s="6"/>
      <c r="R1326" s="7"/>
      <c r="S1326" s="6"/>
      <c r="T1326" s="6"/>
      <c r="U1326" s="15"/>
      <c r="V1326" s="6"/>
      <c r="W1326" s="6"/>
      <c r="X1326" s="6"/>
      <c r="Y1326" s="6"/>
      <c r="Z1326" s="6"/>
      <c r="AA1326" s="15"/>
      <c r="AB1326" s="6"/>
      <c r="AC1326" s="6"/>
      <c r="AD1326" s="6"/>
      <c r="AE1326" s="12"/>
      <c r="AF1326" s="6"/>
      <c r="AG1326" s="12"/>
      <c r="AH1326" s="6"/>
      <c r="AI1326" s="6"/>
      <c r="AJ1326" s="12"/>
      <c r="AK1326" s="1"/>
      <c r="AL1326" s="12"/>
      <c r="AM1326" s="12"/>
      <c r="AN1326" s="1"/>
      <c r="AO1326" s="6"/>
    </row>
    <row r="1327" spans="1:41" ht="15" x14ac:dyDescent="0.25">
      <c r="A1327" s="1"/>
      <c r="B1327" s="1"/>
      <c r="C1327" s="1"/>
      <c r="D1327" s="1"/>
      <c r="E1327" s="6"/>
      <c r="F1327" s="1"/>
      <c r="G1327" s="6"/>
      <c r="H1327" s="6"/>
      <c r="I1327" s="6"/>
      <c r="J1327" s="6"/>
      <c r="K1327" s="6"/>
      <c r="L1327" s="6"/>
      <c r="M1327" s="6"/>
      <c r="N1327" s="6"/>
      <c r="O1327" s="7"/>
      <c r="P1327" s="6"/>
      <c r="Q1327" s="6"/>
      <c r="R1327" s="7"/>
      <c r="S1327" s="6"/>
      <c r="T1327" s="6"/>
      <c r="U1327" s="7"/>
      <c r="V1327" s="6"/>
      <c r="W1327" s="6"/>
      <c r="X1327" s="6"/>
      <c r="Y1327" s="6"/>
      <c r="Z1327" s="6"/>
      <c r="AA1327" s="7"/>
      <c r="AB1327" s="6"/>
      <c r="AC1327" s="6"/>
      <c r="AD1327" s="6"/>
      <c r="AE1327" s="12"/>
      <c r="AF1327" s="12"/>
      <c r="AG1327" s="12"/>
      <c r="AH1327" s="12"/>
      <c r="AI1327" s="6"/>
      <c r="AJ1327" s="12"/>
      <c r="AK1327" s="1"/>
      <c r="AL1327" s="12"/>
      <c r="AM1327" s="12"/>
      <c r="AN1327" s="1"/>
      <c r="AO1327" s="6"/>
    </row>
    <row r="1328" spans="1:41" ht="15" x14ac:dyDescent="0.25">
      <c r="A1328" s="1"/>
      <c r="B1328" s="1"/>
      <c r="C1328" s="1"/>
      <c r="D1328" s="1"/>
      <c r="E1328" s="6"/>
      <c r="F1328" s="1"/>
      <c r="G1328" s="6"/>
      <c r="H1328" s="6"/>
      <c r="I1328" s="6"/>
      <c r="J1328" s="6"/>
      <c r="K1328" s="6"/>
      <c r="L1328" s="6"/>
      <c r="M1328" s="6"/>
      <c r="N1328" s="6"/>
      <c r="O1328" s="7"/>
      <c r="P1328" s="12"/>
      <c r="Q1328" s="6"/>
      <c r="R1328" s="7"/>
      <c r="S1328" s="6"/>
      <c r="T1328" s="6"/>
      <c r="U1328" s="7"/>
      <c r="V1328" s="6"/>
      <c r="W1328" s="6"/>
      <c r="X1328" s="6"/>
      <c r="Y1328" s="6"/>
      <c r="Z1328" s="6"/>
      <c r="AA1328" s="7"/>
      <c r="AB1328" s="6"/>
      <c r="AC1328" s="6"/>
      <c r="AD1328" s="6"/>
      <c r="AE1328" s="12"/>
      <c r="AF1328" s="12"/>
      <c r="AG1328" s="12"/>
      <c r="AH1328" s="12"/>
      <c r="AI1328" s="6"/>
      <c r="AJ1328" s="12"/>
      <c r="AK1328" s="1"/>
      <c r="AL1328" s="12"/>
      <c r="AM1328" s="12"/>
      <c r="AN1328" s="1"/>
      <c r="AO1328" s="6"/>
    </row>
    <row r="1329" spans="1:41" ht="15" x14ac:dyDescent="0.25">
      <c r="A1329" s="1"/>
      <c r="B1329" s="1"/>
      <c r="C1329" s="1"/>
      <c r="D1329" s="1"/>
      <c r="E1329" s="6"/>
      <c r="F1329" s="1"/>
      <c r="G1329" s="6"/>
      <c r="H1329" s="6"/>
      <c r="I1329" s="6"/>
      <c r="J1329" s="6"/>
      <c r="K1329" s="6"/>
      <c r="L1329" s="6"/>
      <c r="M1329" s="6"/>
      <c r="N1329" s="6"/>
      <c r="O1329" s="7"/>
      <c r="P1329" s="6"/>
      <c r="Q1329" s="6"/>
      <c r="R1329" s="7"/>
      <c r="S1329" s="6"/>
      <c r="T1329" s="6"/>
      <c r="U1329" s="7"/>
      <c r="V1329" s="6"/>
      <c r="W1329" s="6"/>
      <c r="X1329" s="12"/>
      <c r="Y1329" s="6"/>
      <c r="Z1329" s="6"/>
      <c r="AA1329" s="7"/>
      <c r="AB1329" s="6"/>
      <c r="AC1329" s="6"/>
      <c r="AD1329" s="6"/>
      <c r="AE1329" s="12"/>
      <c r="AF1329" s="12"/>
      <c r="AG1329" s="12"/>
      <c r="AH1329" s="12"/>
      <c r="AI1329" s="6"/>
      <c r="AJ1329" s="12"/>
      <c r="AK1329" s="1"/>
      <c r="AL1329" s="12"/>
      <c r="AM1329" s="12"/>
      <c r="AN1329" s="1"/>
      <c r="AO1329" s="6"/>
    </row>
    <row r="1330" spans="1:41" ht="15" x14ac:dyDescent="0.25">
      <c r="A1330" s="1"/>
      <c r="B1330" s="1"/>
      <c r="C1330" s="1"/>
      <c r="D1330" s="1"/>
      <c r="E1330" s="6"/>
      <c r="F1330" s="1"/>
      <c r="G1330" s="6"/>
      <c r="H1330" s="6"/>
      <c r="I1330" s="6"/>
      <c r="J1330" s="6"/>
      <c r="K1330" s="6"/>
      <c r="L1330" s="6"/>
      <c r="M1330" s="6"/>
      <c r="N1330" s="6"/>
      <c r="O1330" s="7"/>
      <c r="P1330" s="6"/>
      <c r="Q1330" s="6"/>
      <c r="R1330" s="7"/>
      <c r="S1330" s="6"/>
      <c r="T1330" s="6"/>
      <c r="U1330" s="7"/>
      <c r="V1330" s="6"/>
      <c r="W1330" s="6"/>
      <c r="X1330" s="6"/>
      <c r="Y1330" s="6"/>
      <c r="Z1330" s="6"/>
      <c r="AA1330" s="7"/>
      <c r="AB1330" s="6"/>
      <c r="AC1330" s="6"/>
      <c r="AD1330" s="6"/>
      <c r="AE1330" s="12"/>
      <c r="AF1330" s="6"/>
      <c r="AG1330" s="12"/>
      <c r="AH1330" s="6"/>
      <c r="AI1330" s="6"/>
      <c r="AJ1330" s="12"/>
      <c r="AK1330" s="1"/>
      <c r="AL1330" s="12"/>
      <c r="AM1330" s="12"/>
      <c r="AN1330" s="1"/>
      <c r="AO1330" s="6"/>
    </row>
    <row r="1331" spans="1:41" ht="15" x14ac:dyDescent="0.25">
      <c r="A1331" s="1"/>
      <c r="B1331" s="1"/>
      <c r="C1331" s="1"/>
      <c r="D1331" s="1"/>
      <c r="E1331" s="6"/>
      <c r="F1331" s="1"/>
      <c r="G1331" s="6"/>
      <c r="H1331" s="6"/>
      <c r="I1331" s="6"/>
      <c r="J1331" s="6"/>
      <c r="K1331" s="6"/>
      <c r="L1331" s="6"/>
      <c r="M1331" s="6"/>
      <c r="N1331" s="6"/>
      <c r="O1331" s="7"/>
      <c r="P1331" s="6"/>
      <c r="Q1331" s="6"/>
      <c r="R1331" s="7"/>
      <c r="S1331" s="6"/>
      <c r="T1331" s="6"/>
      <c r="U1331" s="7"/>
      <c r="V1331" s="6"/>
      <c r="W1331" s="6"/>
      <c r="X1331" s="12"/>
      <c r="Y1331" s="6"/>
      <c r="Z1331" s="6"/>
      <c r="AA1331" s="7"/>
      <c r="AB1331" s="6"/>
      <c r="AC1331" s="6"/>
      <c r="AD1331" s="6"/>
      <c r="AE1331" s="12"/>
      <c r="AF1331" s="6"/>
      <c r="AG1331" s="12"/>
      <c r="AH1331" s="6"/>
      <c r="AI1331" s="6"/>
      <c r="AJ1331" s="12"/>
      <c r="AK1331" s="24"/>
      <c r="AL1331" s="25"/>
      <c r="AM1331" s="12"/>
      <c r="AN1331" s="1"/>
      <c r="AO1331" s="6"/>
    </row>
    <row r="1332" spans="1:41" ht="15" x14ac:dyDescent="0.25">
      <c r="A1332" s="1"/>
      <c r="B1332" s="1"/>
      <c r="C1332" s="1"/>
      <c r="D1332" s="1"/>
      <c r="E1332" s="6"/>
      <c r="F1332" s="1"/>
      <c r="G1332" s="6"/>
      <c r="H1332" s="6"/>
      <c r="I1332" s="6"/>
      <c r="J1332" s="6"/>
      <c r="K1332" s="6"/>
      <c r="L1332" s="6"/>
      <c r="M1332" s="6"/>
      <c r="N1332" s="6"/>
      <c r="O1332" s="7"/>
      <c r="P1332" s="6"/>
      <c r="Q1332" s="6"/>
      <c r="R1332" s="7"/>
      <c r="S1332" s="6"/>
      <c r="T1332" s="6"/>
      <c r="U1332" s="7"/>
      <c r="V1332" s="6"/>
      <c r="W1332" s="6"/>
      <c r="X1332" s="6"/>
      <c r="Y1332" s="6"/>
      <c r="Z1332" s="6"/>
      <c r="AA1332" s="7"/>
      <c r="AB1332" s="6"/>
      <c r="AC1332" s="6"/>
      <c r="AD1332" s="6"/>
      <c r="AE1332" s="12"/>
      <c r="AF1332" s="6"/>
      <c r="AG1332" s="12"/>
      <c r="AH1332" s="6"/>
      <c r="AI1332" s="6"/>
      <c r="AJ1332" s="12"/>
      <c r="AK1332" s="24"/>
      <c r="AL1332" s="25"/>
      <c r="AM1332" s="12"/>
      <c r="AN1332" s="1"/>
      <c r="AO1332" s="6"/>
    </row>
    <row r="1333" spans="1:41" ht="15" x14ac:dyDescent="0.25">
      <c r="A1333" s="1"/>
      <c r="B1333" s="1"/>
      <c r="C1333" s="1"/>
      <c r="D1333" s="1"/>
      <c r="E1333" s="6"/>
      <c r="F1333" s="1"/>
      <c r="G1333" s="6"/>
      <c r="H1333" s="6"/>
      <c r="I1333" s="6"/>
      <c r="J1333" s="6"/>
      <c r="K1333" s="6"/>
      <c r="L1333" s="6"/>
      <c r="M1333" s="6"/>
      <c r="N1333" s="6"/>
      <c r="O1333" s="7"/>
      <c r="P1333" s="6"/>
      <c r="Q1333" s="6"/>
      <c r="R1333" s="7"/>
      <c r="S1333" s="6"/>
      <c r="T1333" s="6"/>
      <c r="U1333" s="7"/>
      <c r="V1333" s="6"/>
      <c r="W1333" s="6"/>
      <c r="X1333" s="12"/>
      <c r="Y1333" s="6"/>
      <c r="Z1333" s="6"/>
      <c r="AA1333" s="7"/>
      <c r="AB1333" s="6"/>
      <c r="AC1333" s="6"/>
      <c r="AD1333" s="6"/>
      <c r="AE1333" s="12"/>
      <c r="AF1333" s="12"/>
      <c r="AG1333" s="12"/>
      <c r="AH1333" s="12"/>
      <c r="AI1333" s="6"/>
      <c r="AJ1333" s="12"/>
      <c r="AK1333" s="1"/>
      <c r="AL1333" s="12"/>
      <c r="AM1333" s="12"/>
      <c r="AN1333" s="1"/>
      <c r="AO1333" s="6"/>
    </row>
    <row r="1334" spans="1:41" ht="15" x14ac:dyDescent="0.25">
      <c r="A1334" s="1"/>
      <c r="B1334" s="1"/>
      <c r="C1334" s="1"/>
      <c r="D1334" s="1"/>
      <c r="E1334" s="6"/>
      <c r="F1334" s="1"/>
      <c r="G1334" s="6"/>
      <c r="H1334" s="6"/>
      <c r="I1334" s="6"/>
      <c r="J1334" s="6"/>
      <c r="K1334" s="6"/>
      <c r="L1334" s="6"/>
      <c r="M1334" s="6"/>
      <c r="N1334" s="6"/>
      <c r="O1334" s="7"/>
      <c r="P1334" s="6"/>
      <c r="Q1334" s="7"/>
      <c r="R1334" s="6"/>
      <c r="S1334" s="6"/>
      <c r="T1334" s="6"/>
      <c r="U1334" s="6"/>
      <c r="V1334" s="7"/>
      <c r="W1334" s="6"/>
      <c r="X1334" s="6"/>
      <c r="Y1334" s="6"/>
      <c r="Z1334" s="6"/>
      <c r="AA1334" s="24"/>
      <c r="AB1334" s="25"/>
      <c r="AC1334" s="12"/>
      <c r="AD1334" s="12"/>
      <c r="AE1334" s="12"/>
      <c r="AF1334" s="6"/>
      <c r="AG1334" s="12"/>
      <c r="AH1334" s="6"/>
      <c r="AI1334" s="6"/>
      <c r="AJ1334" s="12"/>
      <c r="AK1334" s="12"/>
      <c r="AL1334" s="12"/>
      <c r="AM1334" s="12"/>
      <c r="AN1334" s="1"/>
      <c r="AO1334" s="6"/>
    </row>
    <row r="1335" spans="1:41" ht="15" x14ac:dyDescent="0.25">
      <c r="A1335" s="1"/>
      <c r="B1335" s="1"/>
      <c r="C1335" s="1"/>
      <c r="D1335" s="1"/>
      <c r="E1335" s="6"/>
      <c r="F1335" s="1"/>
      <c r="G1335" s="6"/>
      <c r="H1335" s="6"/>
      <c r="I1335" s="6"/>
      <c r="J1335" s="6"/>
      <c r="K1335" s="6"/>
      <c r="L1335" s="6"/>
      <c r="M1335" s="6"/>
      <c r="N1335" s="6"/>
      <c r="O1335" s="7"/>
      <c r="P1335" s="6"/>
      <c r="Q1335" s="7"/>
      <c r="R1335" s="6"/>
      <c r="S1335" s="12"/>
      <c r="T1335" s="6"/>
      <c r="U1335" s="6"/>
      <c r="V1335" s="7"/>
      <c r="W1335" s="6"/>
      <c r="X1335" s="6"/>
      <c r="Y1335" s="6"/>
      <c r="Z1335" s="6"/>
      <c r="AA1335" s="24"/>
      <c r="AB1335" s="25"/>
      <c r="AC1335" s="12"/>
      <c r="AD1335" s="12"/>
      <c r="AE1335" s="12"/>
      <c r="AF1335" s="6"/>
      <c r="AG1335" s="12"/>
      <c r="AH1335" s="6"/>
      <c r="AI1335" s="6"/>
      <c r="AJ1335" s="12"/>
      <c r="AK1335" s="12"/>
      <c r="AL1335" s="12"/>
      <c r="AM1335" s="12"/>
      <c r="AN1335" s="1"/>
      <c r="AO1335" s="6"/>
    </row>
    <row r="1336" spans="1:41" ht="15" x14ac:dyDescent="0.25">
      <c r="A1336" s="1"/>
      <c r="B1336" s="1"/>
      <c r="C1336" s="1"/>
      <c r="D1336" s="1"/>
      <c r="E1336" s="6"/>
      <c r="F1336" s="1"/>
      <c r="G1336" s="6"/>
      <c r="H1336" s="6"/>
      <c r="I1336" s="6"/>
      <c r="J1336" s="6"/>
      <c r="K1336" s="6"/>
      <c r="L1336" s="6"/>
      <c r="M1336" s="6"/>
      <c r="N1336" s="6"/>
      <c r="O1336" s="7"/>
      <c r="P1336" s="6"/>
      <c r="Q1336" s="6"/>
      <c r="R1336" s="7"/>
      <c r="S1336" s="6"/>
      <c r="T1336" s="6"/>
      <c r="U1336" s="7"/>
      <c r="V1336" s="6"/>
      <c r="W1336" s="6"/>
      <c r="X1336" s="6"/>
      <c r="Y1336" s="6"/>
      <c r="Z1336" s="6"/>
      <c r="AA1336" s="7"/>
      <c r="AB1336" s="6"/>
      <c r="AC1336" s="6"/>
      <c r="AD1336" s="6"/>
      <c r="AE1336" s="12"/>
      <c r="AF1336" s="12"/>
      <c r="AG1336" s="12"/>
      <c r="AH1336" s="12"/>
      <c r="AI1336" s="6"/>
      <c r="AJ1336" s="12"/>
      <c r="AK1336" s="1"/>
      <c r="AL1336" s="12"/>
      <c r="AM1336" s="12"/>
      <c r="AN1336" s="1"/>
      <c r="AO1336" s="6"/>
    </row>
    <row r="1337" spans="1:41" ht="15" x14ac:dyDescent="0.25">
      <c r="A1337" s="1"/>
      <c r="B1337" s="1"/>
      <c r="C1337" s="1"/>
      <c r="D1337" s="1"/>
      <c r="E1337" s="6"/>
      <c r="F1337" s="1"/>
      <c r="G1337" s="6"/>
      <c r="H1337" s="6"/>
      <c r="I1337" s="6"/>
      <c r="J1337" s="6"/>
      <c r="K1337" s="6"/>
      <c r="L1337" s="6"/>
      <c r="M1337" s="6"/>
      <c r="N1337" s="6"/>
      <c r="O1337" s="7"/>
      <c r="P1337" s="6"/>
      <c r="Q1337" s="6"/>
      <c r="R1337" s="7"/>
      <c r="S1337" s="6"/>
      <c r="T1337" s="6"/>
      <c r="U1337" s="7"/>
      <c r="V1337" s="6"/>
      <c r="W1337" s="6"/>
      <c r="X1337" s="12"/>
      <c r="Y1337" s="6"/>
      <c r="Z1337" s="6"/>
      <c r="AA1337" s="7"/>
      <c r="AB1337" s="6"/>
      <c r="AC1337" s="6"/>
      <c r="AD1337" s="6"/>
      <c r="AE1337" s="12"/>
      <c r="AF1337" s="12"/>
      <c r="AG1337" s="12"/>
      <c r="AH1337" s="12"/>
      <c r="AI1337" s="6"/>
      <c r="AJ1337" s="12"/>
      <c r="AK1337" s="1"/>
      <c r="AL1337" s="12"/>
      <c r="AM1337" s="12"/>
      <c r="AN1337" s="1"/>
      <c r="AO1337" s="6"/>
    </row>
    <row r="1338" spans="1:41" ht="15" x14ac:dyDescent="0.25">
      <c r="A1338" s="1"/>
      <c r="B1338" s="1"/>
      <c r="C1338" s="1"/>
      <c r="D1338" s="1"/>
      <c r="E1338" s="6"/>
      <c r="F1338" s="1"/>
      <c r="G1338" s="6"/>
      <c r="H1338" s="6"/>
      <c r="I1338" s="6"/>
      <c r="J1338" s="6"/>
      <c r="K1338" s="6"/>
      <c r="L1338" s="6"/>
      <c r="M1338" s="6"/>
      <c r="N1338" s="6"/>
      <c r="O1338" s="7"/>
      <c r="P1338" s="6"/>
      <c r="Q1338" s="6"/>
      <c r="R1338" s="7"/>
      <c r="S1338" s="6"/>
      <c r="T1338" s="6"/>
      <c r="U1338" s="7"/>
      <c r="V1338" s="6"/>
      <c r="W1338" s="6"/>
      <c r="X1338" s="6"/>
      <c r="Y1338" s="6"/>
      <c r="Z1338" s="6"/>
      <c r="AA1338" s="7"/>
      <c r="AB1338" s="6"/>
      <c r="AC1338" s="6"/>
      <c r="AD1338" s="6"/>
      <c r="AE1338" s="12"/>
      <c r="AF1338" s="6"/>
      <c r="AG1338" s="12"/>
      <c r="AH1338" s="6"/>
      <c r="AI1338" s="6"/>
      <c r="AJ1338" s="12"/>
      <c r="AK1338" s="1"/>
      <c r="AL1338" s="12"/>
      <c r="AM1338" s="12"/>
      <c r="AN1338" s="1"/>
      <c r="AO1338" s="6"/>
    </row>
    <row r="1339" spans="1:41" ht="15" x14ac:dyDescent="0.25">
      <c r="A1339" s="1"/>
      <c r="B1339" s="1"/>
      <c r="C1339" s="1"/>
      <c r="D1339" s="1"/>
      <c r="E1339" s="6"/>
      <c r="F1339" s="1"/>
      <c r="G1339" s="6"/>
      <c r="H1339" s="6"/>
      <c r="I1339" s="6"/>
      <c r="J1339" s="6"/>
      <c r="K1339" s="6"/>
      <c r="L1339" s="6"/>
      <c r="M1339" s="6"/>
      <c r="N1339" s="6"/>
      <c r="O1339" s="7"/>
      <c r="P1339" s="6"/>
      <c r="Q1339" s="6"/>
      <c r="R1339" s="7"/>
      <c r="S1339" s="6"/>
      <c r="T1339" s="6"/>
      <c r="U1339" s="7"/>
      <c r="V1339" s="6"/>
      <c r="W1339" s="6"/>
      <c r="X1339" s="12"/>
      <c r="Y1339" s="6"/>
      <c r="Z1339" s="6"/>
      <c r="AA1339" s="7"/>
      <c r="AB1339" s="6"/>
      <c r="AC1339" s="6"/>
      <c r="AD1339" s="6"/>
      <c r="AE1339" s="12"/>
      <c r="AF1339" s="6"/>
      <c r="AG1339" s="12"/>
      <c r="AH1339" s="6"/>
      <c r="AI1339" s="6"/>
      <c r="AJ1339" s="12"/>
      <c r="AK1339" s="24"/>
      <c r="AL1339" s="25"/>
      <c r="AM1339" s="12"/>
      <c r="AN1339" s="1"/>
      <c r="AO1339" s="6"/>
    </row>
    <row r="1340" spans="1:41" ht="15" x14ac:dyDescent="0.25">
      <c r="A1340" s="1"/>
      <c r="B1340" s="1"/>
      <c r="C1340" s="1"/>
      <c r="D1340" s="1"/>
      <c r="E1340" s="6"/>
      <c r="F1340" s="1"/>
      <c r="G1340" s="6"/>
      <c r="H1340" s="6"/>
      <c r="I1340" s="6"/>
      <c r="J1340" s="6"/>
      <c r="K1340" s="12"/>
      <c r="L1340" s="12"/>
      <c r="M1340" s="6"/>
      <c r="N1340" s="6"/>
      <c r="O1340" s="7"/>
      <c r="P1340" s="6"/>
      <c r="Q1340" s="6"/>
      <c r="R1340" s="7"/>
      <c r="S1340" s="6"/>
      <c r="T1340" s="6"/>
      <c r="U1340" s="7"/>
      <c r="V1340" s="6"/>
      <c r="W1340" s="6"/>
      <c r="X1340" s="12"/>
      <c r="Y1340" s="6"/>
      <c r="Z1340" s="6"/>
      <c r="AA1340" s="7"/>
      <c r="AB1340" s="6"/>
      <c r="AC1340" s="6"/>
      <c r="AD1340" s="6"/>
      <c r="AE1340" s="12"/>
      <c r="AF1340" s="12"/>
      <c r="AG1340" s="12"/>
      <c r="AH1340" s="12"/>
      <c r="AI1340" s="6"/>
      <c r="AJ1340" s="12"/>
      <c r="AK1340" s="1"/>
      <c r="AL1340" s="12"/>
      <c r="AM1340" s="12"/>
      <c r="AN1340" s="1"/>
      <c r="AO1340" s="6"/>
    </row>
    <row r="1341" spans="1:41" ht="15" x14ac:dyDescent="0.25">
      <c r="A1341" s="1"/>
      <c r="B1341" s="1"/>
      <c r="C1341" s="1"/>
      <c r="D1341" s="1"/>
      <c r="E1341" s="6"/>
      <c r="F1341" s="1"/>
      <c r="G1341" s="6"/>
      <c r="H1341" s="6"/>
      <c r="I1341" s="6"/>
      <c r="J1341" s="6"/>
      <c r="K1341" s="6"/>
      <c r="L1341" s="6"/>
      <c r="M1341" s="6"/>
      <c r="N1341" s="6"/>
      <c r="O1341" s="7"/>
      <c r="P1341" s="6"/>
      <c r="Q1341" s="6"/>
      <c r="R1341" s="7"/>
      <c r="S1341" s="6"/>
      <c r="T1341" s="6"/>
      <c r="U1341" s="7"/>
      <c r="V1341" s="6"/>
      <c r="W1341" s="6"/>
      <c r="X1341" s="12"/>
      <c r="Y1341" s="6"/>
      <c r="Z1341" s="6"/>
      <c r="AA1341" s="7"/>
      <c r="AB1341" s="6"/>
      <c r="AC1341" s="6"/>
      <c r="AD1341" s="6"/>
      <c r="AE1341" s="12"/>
      <c r="AF1341" s="12"/>
      <c r="AG1341" s="12"/>
      <c r="AH1341" s="12"/>
      <c r="AI1341" s="6"/>
      <c r="AJ1341" s="12"/>
      <c r="AK1341" s="1"/>
      <c r="AL1341" s="12"/>
      <c r="AM1341" s="12"/>
      <c r="AN1341" s="1"/>
      <c r="AO1341" s="6"/>
    </row>
    <row r="1342" spans="1:41" ht="15" x14ac:dyDescent="0.25">
      <c r="A1342" s="1"/>
      <c r="B1342" s="1"/>
      <c r="C1342" s="1"/>
      <c r="D1342" s="1"/>
      <c r="E1342" s="6"/>
      <c r="F1342" s="1"/>
      <c r="G1342" s="6"/>
      <c r="H1342" s="6"/>
      <c r="I1342" s="6"/>
      <c r="J1342" s="6"/>
      <c r="K1342" s="6"/>
      <c r="L1342" s="6"/>
      <c r="M1342" s="6"/>
      <c r="N1342" s="6"/>
      <c r="O1342" s="7"/>
      <c r="P1342" s="6"/>
      <c r="Q1342" s="7"/>
      <c r="R1342" s="6"/>
      <c r="S1342" s="12"/>
      <c r="T1342" s="6"/>
      <c r="U1342" s="6"/>
      <c r="V1342" s="7"/>
      <c r="W1342" s="6"/>
      <c r="X1342" s="6"/>
      <c r="Y1342" s="6"/>
      <c r="Z1342" s="6"/>
      <c r="AA1342" s="24"/>
      <c r="AB1342" s="25"/>
      <c r="AC1342" s="12"/>
      <c r="AD1342" s="12"/>
      <c r="AE1342" s="12"/>
      <c r="AF1342" s="6"/>
      <c r="AG1342" s="12"/>
      <c r="AH1342" s="6"/>
      <c r="AI1342" s="6"/>
      <c r="AJ1342" s="12"/>
      <c r="AK1342" s="12"/>
      <c r="AL1342" s="12"/>
      <c r="AM1342" s="12"/>
      <c r="AN1342" s="1"/>
      <c r="AO1342" s="6"/>
    </row>
    <row r="1343" spans="1:41" ht="15" x14ac:dyDescent="0.25">
      <c r="A1343" s="1"/>
      <c r="B1343" s="1"/>
      <c r="C1343" s="1"/>
      <c r="D1343" s="1"/>
      <c r="E1343" s="6"/>
      <c r="F1343" s="1"/>
      <c r="G1343" s="6"/>
      <c r="H1343" s="6"/>
      <c r="I1343" s="6"/>
      <c r="J1343" s="6"/>
      <c r="K1343" s="6"/>
      <c r="L1343" s="6"/>
      <c r="M1343" s="6"/>
      <c r="N1343" s="6"/>
      <c r="O1343" s="7"/>
      <c r="P1343" s="6"/>
      <c r="Q1343" s="7"/>
      <c r="R1343" s="6"/>
      <c r="S1343" s="6"/>
      <c r="T1343" s="6"/>
      <c r="U1343" s="6"/>
      <c r="V1343" s="7"/>
      <c r="W1343" s="7"/>
      <c r="X1343" s="6"/>
      <c r="Y1343" s="6"/>
      <c r="Z1343" s="6"/>
      <c r="AA1343" s="1"/>
      <c r="AB1343" s="12"/>
      <c r="AC1343" s="12"/>
      <c r="AD1343" s="12"/>
      <c r="AE1343" s="12"/>
      <c r="AF1343" s="12"/>
      <c r="AG1343" s="12"/>
      <c r="AH1343" s="12"/>
      <c r="AI1343" s="6"/>
      <c r="AJ1343" s="12"/>
      <c r="AK1343" s="12"/>
      <c r="AL1343" s="12"/>
      <c r="AM1343" s="12"/>
      <c r="AN1343" s="1"/>
      <c r="AO1343" s="6"/>
    </row>
    <row r="1344" spans="1:41" ht="15" x14ac:dyDescent="0.25">
      <c r="A1344" s="1"/>
      <c r="B1344" s="1"/>
      <c r="C1344" s="1"/>
      <c r="D1344" s="1"/>
      <c r="E1344" s="6"/>
      <c r="F1344" s="1"/>
      <c r="G1344" s="6"/>
      <c r="H1344" s="6"/>
      <c r="I1344" s="6"/>
      <c r="J1344" s="6"/>
      <c r="K1344" s="6"/>
      <c r="L1344" s="6"/>
      <c r="M1344" s="6"/>
      <c r="N1344" s="6"/>
      <c r="O1344" s="7"/>
      <c r="P1344" s="6"/>
      <c r="Q1344" s="6"/>
      <c r="R1344" s="7"/>
      <c r="S1344" s="6"/>
      <c r="T1344" s="6"/>
      <c r="U1344" s="7"/>
      <c r="V1344" s="6"/>
      <c r="W1344" s="6"/>
      <c r="X1344" s="12"/>
      <c r="Y1344" s="6"/>
      <c r="Z1344" s="6"/>
      <c r="AA1344" s="7"/>
      <c r="AB1344" s="6"/>
      <c r="AC1344" s="6"/>
      <c r="AD1344" s="6"/>
      <c r="AE1344" s="12"/>
      <c r="AF1344" s="6"/>
      <c r="AG1344" s="12"/>
      <c r="AH1344" s="6"/>
      <c r="AI1344" s="6"/>
      <c r="AJ1344" s="12"/>
      <c r="AK1344" s="24"/>
      <c r="AL1344" s="25"/>
      <c r="AM1344" s="12"/>
      <c r="AN1344" s="1"/>
      <c r="AO1344" s="6"/>
    </row>
    <row r="1345" spans="1:41" ht="15" x14ac:dyDescent="0.25">
      <c r="A1345" s="1"/>
      <c r="B1345" s="1"/>
      <c r="C1345" s="1"/>
      <c r="D1345" s="1"/>
      <c r="E1345" s="6"/>
      <c r="F1345" s="1"/>
      <c r="G1345" s="6"/>
      <c r="H1345" s="6"/>
      <c r="I1345" s="6"/>
      <c r="J1345" s="6"/>
      <c r="K1345" s="6"/>
      <c r="L1345" s="6"/>
      <c r="M1345" s="6"/>
      <c r="N1345" s="6"/>
      <c r="O1345" s="7"/>
      <c r="P1345" s="6"/>
      <c r="Q1345" s="6"/>
      <c r="R1345" s="7"/>
      <c r="S1345" s="6"/>
      <c r="T1345" s="6"/>
      <c r="U1345" s="7"/>
      <c r="V1345" s="6"/>
      <c r="W1345" s="6"/>
      <c r="X1345" s="6"/>
      <c r="Y1345" s="6"/>
      <c r="Z1345" s="6"/>
      <c r="AA1345" s="7"/>
      <c r="AB1345" s="6"/>
      <c r="AC1345" s="6"/>
      <c r="AD1345" s="6"/>
      <c r="AE1345" s="12"/>
      <c r="AF1345" s="6"/>
      <c r="AG1345" s="12"/>
      <c r="AH1345" s="6"/>
      <c r="AI1345" s="6"/>
      <c r="AJ1345" s="12"/>
      <c r="AK1345" s="1"/>
      <c r="AL1345" s="12"/>
      <c r="AM1345" s="12"/>
      <c r="AN1345" s="1"/>
      <c r="AO1345" s="6"/>
    </row>
    <row r="1346" spans="1:41" ht="15" x14ac:dyDescent="0.25">
      <c r="A1346" s="1"/>
      <c r="B1346" s="1"/>
      <c r="C1346" s="1"/>
      <c r="D1346" s="1"/>
      <c r="E1346" s="6"/>
      <c r="F1346" s="1"/>
      <c r="G1346" s="6"/>
      <c r="H1346" s="6"/>
      <c r="I1346" s="6"/>
      <c r="J1346" s="6"/>
      <c r="K1346" s="6"/>
      <c r="L1346" s="6"/>
      <c r="M1346" s="6"/>
      <c r="N1346" s="6"/>
      <c r="O1346" s="7"/>
      <c r="P1346" s="6"/>
      <c r="Q1346" s="6"/>
      <c r="R1346" s="7"/>
      <c r="S1346" s="6"/>
      <c r="T1346" s="6"/>
      <c r="U1346" s="7"/>
      <c r="V1346" s="6"/>
      <c r="W1346" s="6"/>
      <c r="X1346" s="6"/>
      <c r="Y1346" s="6"/>
      <c r="Z1346" s="6"/>
      <c r="AA1346" s="7"/>
      <c r="AB1346" s="6"/>
      <c r="AC1346" s="6"/>
      <c r="AD1346" s="6"/>
      <c r="AE1346" s="12"/>
      <c r="AF1346" s="12"/>
      <c r="AG1346" s="12"/>
      <c r="AH1346" s="12"/>
      <c r="AI1346" s="6"/>
      <c r="AJ1346" s="12"/>
      <c r="AK1346" s="1"/>
      <c r="AL1346" s="12"/>
      <c r="AM1346" s="12"/>
      <c r="AN1346" s="1"/>
      <c r="AO1346" s="6"/>
    </row>
    <row r="1347" spans="1:41" ht="15" x14ac:dyDescent="0.25">
      <c r="A1347" s="1"/>
      <c r="B1347" s="1"/>
      <c r="C1347" s="1"/>
      <c r="D1347" s="1"/>
      <c r="E1347" s="6"/>
      <c r="F1347" s="1"/>
      <c r="G1347" s="6"/>
      <c r="H1347" s="6"/>
      <c r="I1347" s="6"/>
      <c r="J1347" s="6"/>
      <c r="K1347" s="6"/>
      <c r="L1347" s="6"/>
      <c r="M1347" s="6"/>
      <c r="N1347" s="6"/>
      <c r="O1347" s="7"/>
      <c r="P1347" s="6"/>
      <c r="Q1347" s="6"/>
      <c r="R1347" s="7"/>
      <c r="S1347" s="6"/>
      <c r="T1347" s="6"/>
      <c r="U1347" s="7"/>
      <c r="V1347" s="6"/>
      <c r="W1347" s="6"/>
      <c r="X1347" s="12"/>
      <c r="Y1347" s="6"/>
      <c r="Z1347" s="6"/>
      <c r="AA1347" s="7"/>
      <c r="AB1347" s="6"/>
      <c r="AC1347" s="6"/>
      <c r="AD1347" s="6"/>
      <c r="AE1347" s="12"/>
      <c r="AF1347" s="6"/>
      <c r="AG1347" s="12"/>
      <c r="AH1347" s="6"/>
      <c r="AI1347" s="6"/>
      <c r="AJ1347" s="12"/>
      <c r="AK1347" s="24"/>
      <c r="AL1347" s="25"/>
      <c r="AM1347" s="12"/>
      <c r="AN1347" s="1"/>
      <c r="AO1347" s="6"/>
    </row>
    <row r="1348" spans="1:41" ht="15" x14ac:dyDescent="0.25">
      <c r="A1348" s="1"/>
      <c r="B1348" s="1"/>
      <c r="C1348" s="1"/>
      <c r="D1348" s="1"/>
      <c r="E1348" s="6"/>
      <c r="F1348" s="1"/>
      <c r="G1348" s="6"/>
      <c r="H1348" s="6"/>
      <c r="I1348" s="6"/>
      <c r="J1348" s="6"/>
      <c r="K1348" s="12"/>
      <c r="L1348" s="6"/>
      <c r="M1348" s="6"/>
      <c r="N1348" s="6"/>
      <c r="O1348" s="7"/>
      <c r="P1348" s="6"/>
      <c r="Q1348" s="6"/>
      <c r="R1348" s="7"/>
      <c r="S1348" s="6"/>
      <c r="T1348" s="6"/>
      <c r="U1348" s="7"/>
      <c r="V1348" s="6"/>
      <c r="W1348" s="6"/>
      <c r="X1348" s="6"/>
      <c r="Y1348" s="6"/>
      <c r="Z1348" s="6"/>
      <c r="AA1348" s="7"/>
      <c r="AB1348" s="6"/>
      <c r="AC1348" s="6"/>
      <c r="AD1348" s="6"/>
      <c r="AE1348" s="12"/>
      <c r="AF1348" s="6"/>
      <c r="AG1348" s="12"/>
      <c r="AH1348" s="6"/>
      <c r="AI1348" s="6"/>
      <c r="AJ1348" s="12"/>
      <c r="AK1348" s="24"/>
      <c r="AL1348" s="25"/>
      <c r="AM1348" s="12"/>
      <c r="AN1348" s="1"/>
      <c r="AO1348" s="12"/>
    </row>
    <row r="1349" spans="1:41" ht="15" x14ac:dyDescent="0.25">
      <c r="A1349" s="1"/>
      <c r="B1349" s="1"/>
      <c r="C1349" s="1"/>
      <c r="D1349" s="1"/>
      <c r="E1349" s="6"/>
      <c r="F1349" s="1"/>
      <c r="G1349" s="6"/>
      <c r="H1349" s="6"/>
      <c r="I1349" s="6"/>
      <c r="J1349" s="6"/>
      <c r="K1349" s="12"/>
      <c r="L1349" s="12"/>
      <c r="M1349" s="6"/>
      <c r="N1349" s="6"/>
      <c r="O1349" s="7"/>
      <c r="P1349" s="6"/>
      <c r="Q1349" s="6"/>
      <c r="R1349" s="7"/>
      <c r="S1349" s="6"/>
      <c r="T1349" s="6"/>
      <c r="U1349" s="7"/>
      <c r="V1349" s="6"/>
      <c r="W1349" s="6"/>
      <c r="X1349" s="6"/>
      <c r="Y1349" s="6"/>
      <c r="Z1349" s="6"/>
      <c r="AA1349" s="7"/>
      <c r="AB1349" s="6"/>
      <c r="AC1349" s="6"/>
      <c r="AD1349" s="6"/>
      <c r="AE1349" s="12"/>
      <c r="AF1349" s="12"/>
      <c r="AG1349" s="12"/>
      <c r="AH1349" s="12"/>
      <c r="AI1349" s="6"/>
      <c r="AJ1349" s="12"/>
      <c r="AK1349" s="1"/>
      <c r="AL1349" s="12"/>
      <c r="AM1349" s="12"/>
      <c r="AN1349" s="1"/>
      <c r="AO1349" s="6"/>
    </row>
    <row r="1350" spans="1:41" ht="15" x14ac:dyDescent="0.25">
      <c r="A1350" s="1"/>
      <c r="B1350" s="1"/>
      <c r="C1350" s="1"/>
      <c r="D1350" s="1"/>
      <c r="E1350" s="6"/>
      <c r="F1350" s="1"/>
      <c r="G1350" s="6"/>
      <c r="H1350" s="6"/>
      <c r="I1350" s="6"/>
      <c r="J1350" s="6"/>
      <c r="K1350" s="6"/>
      <c r="L1350" s="6"/>
      <c r="M1350" s="6"/>
      <c r="N1350" s="6"/>
      <c r="O1350" s="7"/>
      <c r="P1350" s="12"/>
      <c r="Q1350" s="6"/>
      <c r="R1350" s="7"/>
      <c r="S1350" s="6"/>
      <c r="T1350" s="6"/>
      <c r="U1350" s="7"/>
      <c r="V1350" s="6"/>
      <c r="W1350" s="6"/>
      <c r="X1350" s="6"/>
      <c r="Y1350" s="6"/>
      <c r="Z1350" s="6"/>
      <c r="AA1350" s="7"/>
      <c r="AB1350" s="6"/>
      <c r="AC1350" s="6"/>
      <c r="AD1350" s="6"/>
      <c r="AE1350" s="12"/>
      <c r="AF1350" s="12"/>
      <c r="AG1350" s="12"/>
      <c r="AH1350" s="12"/>
      <c r="AI1350" s="6"/>
      <c r="AJ1350" s="12"/>
      <c r="AK1350" s="1"/>
      <c r="AL1350" s="12"/>
      <c r="AM1350" s="12"/>
      <c r="AN1350" s="1"/>
      <c r="AO1350" s="6"/>
    </row>
    <row r="1351" spans="1:41" ht="15" x14ac:dyDescent="0.25">
      <c r="A1351" s="1"/>
      <c r="B1351" s="1"/>
      <c r="C1351" s="1"/>
      <c r="D1351" s="1"/>
      <c r="E1351" s="6"/>
      <c r="F1351" s="1"/>
      <c r="G1351" s="6"/>
      <c r="H1351" s="6"/>
      <c r="I1351" s="6"/>
      <c r="J1351" s="6"/>
      <c r="K1351" s="12"/>
      <c r="L1351" s="12"/>
      <c r="M1351" s="6"/>
      <c r="N1351" s="6"/>
      <c r="O1351" s="7"/>
      <c r="P1351" s="6"/>
      <c r="Q1351" s="7"/>
      <c r="R1351" s="6"/>
      <c r="S1351" s="6"/>
      <c r="T1351" s="6"/>
      <c r="U1351" s="6"/>
      <c r="V1351" s="7"/>
      <c r="W1351" s="7"/>
      <c r="X1351" s="6"/>
      <c r="Y1351" s="6"/>
      <c r="Z1351" s="6"/>
      <c r="AA1351" s="1"/>
      <c r="AB1351" s="12"/>
      <c r="AC1351" s="12"/>
      <c r="AD1351" s="12"/>
      <c r="AE1351" s="12"/>
      <c r="AF1351" s="12"/>
      <c r="AG1351" s="12"/>
      <c r="AH1351" s="12"/>
      <c r="AI1351" s="6"/>
      <c r="AJ1351" s="12"/>
      <c r="AK1351" s="12"/>
      <c r="AL1351" s="12"/>
      <c r="AM1351" s="12"/>
      <c r="AN1351" s="1"/>
      <c r="AO1351" s="6"/>
    </row>
    <row r="1352" spans="1:41" ht="15" x14ac:dyDescent="0.25">
      <c r="A1352" s="1"/>
      <c r="B1352" s="1"/>
      <c r="C1352" s="1"/>
      <c r="D1352" s="1"/>
      <c r="E1352" s="6"/>
      <c r="F1352" s="1"/>
      <c r="G1352" s="6"/>
      <c r="H1352" s="6"/>
      <c r="I1352" s="6"/>
      <c r="J1352" s="6"/>
      <c r="K1352" s="6"/>
      <c r="L1352" s="6"/>
      <c r="M1352" s="6"/>
      <c r="N1352" s="6"/>
      <c r="O1352" s="7"/>
      <c r="P1352" s="6"/>
      <c r="Q1352" s="6"/>
      <c r="R1352" s="7"/>
      <c r="S1352" s="6"/>
      <c r="T1352" s="6"/>
      <c r="U1352" s="7"/>
      <c r="V1352" s="6"/>
      <c r="W1352" s="6"/>
      <c r="X1352" s="12"/>
      <c r="Y1352" s="6"/>
      <c r="Z1352" s="6"/>
      <c r="AA1352" s="7"/>
      <c r="AB1352" s="6"/>
      <c r="AC1352" s="6"/>
      <c r="AD1352" s="6"/>
      <c r="AE1352" s="12"/>
      <c r="AF1352" s="12"/>
      <c r="AG1352" s="12"/>
      <c r="AH1352" s="12"/>
      <c r="AI1352" s="6"/>
      <c r="AJ1352" s="12"/>
      <c r="AK1352" s="1"/>
      <c r="AL1352" s="12"/>
      <c r="AM1352" s="12"/>
      <c r="AN1352" s="1"/>
      <c r="AO1352" s="6"/>
    </row>
    <row r="1353" spans="1:41" ht="15" x14ac:dyDescent="0.25">
      <c r="A1353" s="1"/>
      <c r="B1353" s="1"/>
      <c r="C1353" s="1"/>
      <c r="D1353" s="1"/>
      <c r="E1353" s="6"/>
      <c r="F1353" s="1"/>
      <c r="G1353" s="6"/>
      <c r="H1353" s="6"/>
      <c r="I1353" s="6"/>
      <c r="J1353" s="6"/>
      <c r="K1353" s="6"/>
      <c r="L1353" s="6"/>
      <c r="M1353" s="6"/>
      <c r="N1353" s="6"/>
      <c r="O1353" s="7"/>
      <c r="P1353" s="6"/>
      <c r="Q1353" s="6"/>
      <c r="R1353" s="7"/>
      <c r="S1353" s="6"/>
      <c r="T1353" s="6"/>
      <c r="U1353" s="7"/>
      <c r="V1353" s="6"/>
      <c r="W1353" s="6"/>
      <c r="X1353" s="12"/>
      <c r="Y1353" s="6"/>
      <c r="Z1353" s="6"/>
      <c r="AA1353" s="7"/>
      <c r="AB1353" s="6"/>
      <c r="AC1353" s="6"/>
      <c r="AD1353" s="6"/>
      <c r="AE1353" s="12"/>
      <c r="AF1353" s="6"/>
      <c r="AG1353" s="12"/>
      <c r="AH1353" s="6"/>
      <c r="AI1353" s="6"/>
      <c r="AJ1353" s="12"/>
      <c r="AK1353" s="1"/>
      <c r="AL1353" s="12"/>
      <c r="AM1353" s="12"/>
      <c r="AN1353" s="1"/>
      <c r="AO1353" s="6"/>
    </row>
    <row r="1354" spans="1:41" ht="15" x14ac:dyDescent="0.25">
      <c r="A1354" s="1"/>
      <c r="B1354" s="1"/>
      <c r="C1354" s="1"/>
      <c r="D1354" s="1"/>
      <c r="E1354" s="6"/>
      <c r="F1354" s="1"/>
      <c r="G1354" s="6"/>
      <c r="H1354" s="6"/>
      <c r="I1354" s="6"/>
      <c r="J1354" s="6"/>
      <c r="K1354" s="6"/>
      <c r="L1354" s="6"/>
      <c r="M1354" s="6"/>
      <c r="N1354" s="6"/>
      <c r="O1354" s="7"/>
      <c r="P1354" s="6"/>
      <c r="Q1354" s="7"/>
      <c r="R1354" s="6"/>
      <c r="S1354" s="6"/>
      <c r="T1354" s="6"/>
      <c r="U1354" s="6"/>
      <c r="V1354" s="7"/>
      <c r="W1354" s="6"/>
      <c r="X1354" s="6"/>
      <c r="Y1354" s="6"/>
      <c r="Z1354" s="6"/>
      <c r="AA1354" s="24"/>
      <c r="AB1354" s="25"/>
      <c r="AC1354" s="12"/>
      <c r="AD1354" s="12"/>
      <c r="AE1354" s="12"/>
      <c r="AF1354" s="6"/>
      <c r="AG1354" s="12"/>
      <c r="AH1354" s="6"/>
      <c r="AI1354" s="6"/>
      <c r="AJ1354" s="12"/>
      <c r="AK1354" s="12"/>
      <c r="AL1354" s="12"/>
      <c r="AM1354" s="12"/>
      <c r="AN1354" s="1"/>
      <c r="AO1354" s="6"/>
    </row>
    <row r="1355" spans="1:41" ht="15" x14ac:dyDescent="0.25">
      <c r="A1355" s="1"/>
      <c r="B1355" s="1"/>
      <c r="C1355" s="1"/>
      <c r="D1355" s="1"/>
      <c r="E1355" s="6"/>
      <c r="F1355" s="1"/>
      <c r="G1355" s="6"/>
      <c r="H1355" s="6"/>
      <c r="I1355" s="6"/>
      <c r="J1355" s="6"/>
      <c r="K1355" s="6"/>
      <c r="L1355" s="6"/>
      <c r="M1355" s="6"/>
      <c r="N1355" s="6"/>
      <c r="O1355" s="7"/>
      <c r="P1355" s="6"/>
      <c r="Q1355" s="7"/>
      <c r="R1355" s="6"/>
      <c r="S1355" s="6"/>
      <c r="T1355" s="6"/>
      <c r="U1355" s="6"/>
      <c r="V1355" s="7"/>
      <c r="W1355" s="7"/>
      <c r="X1355" s="6"/>
      <c r="Y1355" s="6"/>
      <c r="Z1355" s="6"/>
      <c r="AA1355" s="1"/>
      <c r="AB1355" s="12"/>
      <c r="AC1355" s="12"/>
      <c r="AD1355" s="12"/>
      <c r="AE1355" s="12"/>
      <c r="AF1355" s="12"/>
      <c r="AG1355" s="12"/>
      <c r="AH1355" s="12"/>
      <c r="AI1355" s="6"/>
      <c r="AJ1355" s="12"/>
      <c r="AK1355" s="12"/>
      <c r="AL1355" s="12"/>
      <c r="AM1355" s="12"/>
      <c r="AN1355" s="1"/>
      <c r="AO1355" s="6"/>
    </row>
    <row r="1356" spans="1:41" ht="15" x14ac:dyDescent="0.25">
      <c r="A1356" s="1"/>
      <c r="B1356" s="1"/>
      <c r="C1356" s="1"/>
      <c r="D1356" s="1"/>
      <c r="E1356" s="6"/>
      <c r="F1356" s="1"/>
      <c r="G1356" s="6"/>
      <c r="H1356" s="6"/>
      <c r="I1356" s="6"/>
      <c r="J1356" s="6"/>
      <c r="K1356" s="6"/>
      <c r="L1356" s="6"/>
      <c r="M1356" s="6"/>
      <c r="N1356" s="6"/>
      <c r="O1356" s="7"/>
      <c r="P1356" s="6"/>
      <c r="Q1356" s="6"/>
      <c r="R1356" s="7"/>
      <c r="S1356" s="6"/>
      <c r="T1356" s="6"/>
      <c r="U1356" s="7"/>
      <c r="V1356" s="6"/>
      <c r="W1356" s="6"/>
      <c r="X1356" s="12"/>
      <c r="Y1356" s="6"/>
      <c r="Z1356" s="6"/>
      <c r="AA1356" s="7"/>
      <c r="AB1356" s="6"/>
      <c r="AC1356" s="6"/>
      <c r="AD1356" s="6"/>
      <c r="AE1356" s="12"/>
      <c r="AF1356" s="12"/>
      <c r="AG1356" s="12"/>
      <c r="AH1356" s="12"/>
      <c r="AI1356" s="6"/>
      <c r="AJ1356" s="12"/>
      <c r="AK1356" s="1"/>
      <c r="AL1356" s="12"/>
      <c r="AM1356" s="12"/>
      <c r="AN1356" s="1"/>
      <c r="AO1356" s="6"/>
    </row>
    <row r="1357" spans="1:41" ht="15" x14ac:dyDescent="0.25">
      <c r="A1357" s="1"/>
      <c r="B1357" s="1"/>
      <c r="C1357" s="1"/>
      <c r="D1357" s="1"/>
      <c r="E1357" s="6"/>
      <c r="F1357" s="1"/>
      <c r="G1357" s="6"/>
      <c r="H1357" s="6"/>
      <c r="I1357" s="6"/>
      <c r="J1357" s="6"/>
      <c r="K1357" s="6"/>
      <c r="L1357" s="6"/>
      <c r="M1357" s="6"/>
      <c r="N1357" s="6"/>
      <c r="O1357" s="7"/>
      <c r="P1357" s="12"/>
      <c r="Q1357" s="6"/>
      <c r="R1357" s="7"/>
      <c r="S1357" s="6"/>
      <c r="T1357" s="6"/>
      <c r="U1357" s="7"/>
      <c r="V1357" s="6"/>
      <c r="W1357" s="6"/>
      <c r="X1357" s="6"/>
      <c r="Y1357" s="6"/>
      <c r="Z1357" s="6"/>
      <c r="AA1357" s="7"/>
      <c r="AB1357" s="6"/>
      <c r="AC1357" s="6"/>
      <c r="AD1357" s="6"/>
      <c r="AE1357" s="12"/>
      <c r="AF1357" s="6"/>
      <c r="AG1357" s="12"/>
      <c r="AH1357" s="6"/>
      <c r="AI1357" s="6"/>
      <c r="AJ1357" s="12"/>
      <c r="AK1357" s="1"/>
      <c r="AL1357" s="12"/>
      <c r="AM1357" s="12"/>
      <c r="AN1357" s="1"/>
      <c r="AO1357" s="6"/>
    </row>
    <row r="1358" spans="1:41" ht="15" x14ac:dyDescent="0.25">
      <c r="A1358" s="1"/>
      <c r="B1358" s="1"/>
      <c r="C1358" s="1"/>
      <c r="D1358" s="1"/>
      <c r="E1358" s="6"/>
      <c r="F1358" s="1"/>
      <c r="G1358" s="6"/>
      <c r="H1358" s="6"/>
      <c r="I1358" s="6"/>
      <c r="J1358" s="6"/>
      <c r="K1358" s="6"/>
      <c r="L1358" s="6"/>
      <c r="M1358" s="6"/>
      <c r="N1358" s="6"/>
      <c r="O1358" s="7"/>
      <c r="P1358" s="6"/>
      <c r="Q1358" s="6"/>
      <c r="R1358" s="7"/>
      <c r="S1358" s="6"/>
      <c r="T1358" s="6"/>
      <c r="U1358" s="7"/>
      <c r="V1358" s="6"/>
      <c r="W1358" s="6"/>
      <c r="X1358" s="12"/>
      <c r="Y1358" s="6"/>
      <c r="Z1358" s="6"/>
      <c r="AA1358" s="7"/>
      <c r="AB1358" s="6"/>
      <c r="AC1358" s="6"/>
      <c r="AD1358" s="6"/>
      <c r="AE1358" s="12"/>
      <c r="AF1358" s="6"/>
      <c r="AG1358" s="12"/>
      <c r="AH1358" s="6"/>
      <c r="AI1358" s="6"/>
      <c r="AJ1358" s="12"/>
      <c r="AK1358" s="24"/>
      <c r="AL1358" s="25"/>
      <c r="AM1358" s="12"/>
      <c r="AN1358" s="1"/>
      <c r="AO1358" s="6"/>
    </row>
    <row r="1359" spans="1:41" ht="15" x14ac:dyDescent="0.25">
      <c r="A1359" s="1"/>
      <c r="B1359" s="1"/>
      <c r="C1359" s="1"/>
      <c r="D1359" s="1"/>
      <c r="E1359" s="6"/>
      <c r="F1359" s="1"/>
      <c r="G1359" s="6"/>
      <c r="H1359" s="6"/>
      <c r="I1359" s="6"/>
      <c r="J1359" s="6"/>
      <c r="K1359" s="6"/>
      <c r="L1359" s="6"/>
      <c r="M1359" s="6"/>
      <c r="N1359" s="6"/>
      <c r="O1359" s="7"/>
      <c r="P1359" s="6"/>
      <c r="Q1359" s="6"/>
      <c r="R1359" s="7"/>
      <c r="S1359" s="6"/>
      <c r="T1359" s="6"/>
      <c r="U1359" s="7"/>
      <c r="V1359" s="6"/>
      <c r="W1359" s="6"/>
      <c r="X1359" s="12"/>
      <c r="Y1359" s="6"/>
      <c r="Z1359" s="6"/>
      <c r="AA1359" s="7"/>
      <c r="AB1359" s="6"/>
      <c r="AC1359" s="6"/>
      <c r="AD1359" s="6"/>
      <c r="AE1359" s="12"/>
      <c r="AF1359" s="12"/>
      <c r="AG1359" s="12"/>
      <c r="AH1359" s="12"/>
      <c r="AI1359" s="6"/>
      <c r="AJ1359" s="12"/>
      <c r="AK1359" s="1"/>
      <c r="AL1359" s="12"/>
      <c r="AM1359" s="12"/>
      <c r="AN1359" s="1"/>
      <c r="AO1359" s="6"/>
    </row>
    <row r="1360" spans="1:41" ht="15" x14ac:dyDescent="0.25">
      <c r="A1360" s="1"/>
      <c r="B1360" s="1"/>
      <c r="C1360" s="1"/>
      <c r="D1360" s="1"/>
      <c r="E1360" s="6"/>
      <c r="F1360" s="1"/>
      <c r="G1360" s="6"/>
      <c r="H1360" s="6"/>
      <c r="I1360" s="6"/>
      <c r="J1360" s="6"/>
      <c r="K1360" s="6"/>
      <c r="L1360" s="6"/>
      <c r="M1360" s="6"/>
      <c r="N1360" s="6"/>
      <c r="O1360" s="7"/>
      <c r="P1360" s="6"/>
      <c r="Q1360" s="7"/>
      <c r="R1360" s="6"/>
      <c r="S1360" s="6"/>
      <c r="T1360" s="6"/>
      <c r="U1360" s="6"/>
      <c r="V1360" s="7"/>
      <c r="W1360" s="7"/>
      <c r="X1360" s="6"/>
      <c r="Y1360" s="6"/>
      <c r="Z1360" s="6"/>
      <c r="AA1360" s="1"/>
      <c r="AB1360" s="12"/>
      <c r="AC1360" s="12"/>
      <c r="AD1360" s="12"/>
      <c r="AE1360" s="12"/>
      <c r="AF1360" s="12"/>
      <c r="AG1360" s="12"/>
      <c r="AH1360" s="12"/>
      <c r="AI1360" s="6"/>
      <c r="AJ1360" s="12"/>
      <c r="AK1360" s="12"/>
      <c r="AL1360" s="12"/>
      <c r="AM1360" s="12"/>
      <c r="AN1360" s="1"/>
      <c r="AO1360" s="6"/>
    </row>
    <row r="1361" spans="1:41" ht="15" x14ac:dyDescent="0.25">
      <c r="A1361" s="1"/>
      <c r="B1361" s="1"/>
      <c r="C1361" s="1"/>
      <c r="D1361" s="1"/>
      <c r="E1361" s="6"/>
      <c r="F1361" s="1"/>
      <c r="G1361" s="6"/>
      <c r="H1361" s="6"/>
      <c r="I1361" s="6"/>
      <c r="J1361" s="6"/>
      <c r="K1361" s="6"/>
      <c r="L1361" s="6"/>
      <c r="M1361" s="6"/>
      <c r="N1361" s="6"/>
      <c r="O1361" s="7"/>
      <c r="P1361" s="12"/>
      <c r="Q1361" s="6"/>
      <c r="R1361" s="7"/>
      <c r="S1361" s="6"/>
      <c r="T1361" s="6"/>
      <c r="U1361" s="7"/>
      <c r="V1361" s="6"/>
      <c r="W1361" s="6"/>
      <c r="X1361" s="6"/>
      <c r="Y1361" s="6"/>
      <c r="Z1361" s="6"/>
      <c r="AA1361" s="7"/>
      <c r="AB1361" s="6"/>
      <c r="AC1361" s="6"/>
      <c r="AD1361" s="6"/>
      <c r="AE1361" s="12"/>
      <c r="AF1361" s="12"/>
      <c r="AG1361" s="12"/>
      <c r="AH1361" s="12"/>
      <c r="AI1361" s="6"/>
      <c r="AJ1361" s="12"/>
      <c r="AK1361" s="1"/>
      <c r="AL1361" s="12"/>
      <c r="AM1361" s="12"/>
      <c r="AN1361" s="1"/>
      <c r="AO1361" s="6"/>
    </row>
    <row r="1362" spans="1:41" ht="15" x14ac:dyDescent="0.25">
      <c r="A1362" s="1"/>
      <c r="B1362" s="1"/>
      <c r="C1362" s="1"/>
      <c r="D1362" s="1"/>
      <c r="E1362" s="6"/>
      <c r="F1362" s="1"/>
      <c r="G1362" s="6"/>
      <c r="H1362" s="6"/>
      <c r="I1362" s="6"/>
      <c r="J1362" s="6"/>
      <c r="K1362" s="6"/>
      <c r="L1362" s="6"/>
      <c r="M1362" s="6"/>
      <c r="N1362" s="6"/>
      <c r="O1362" s="7"/>
      <c r="P1362" s="6"/>
      <c r="Q1362" s="6"/>
      <c r="R1362" s="7"/>
      <c r="S1362" s="6"/>
      <c r="T1362" s="6"/>
      <c r="U1362" s="7"/>
      <c r="V1362" s="6"/>
      <c r="W1362" s="6"/>
      <c r="X1362" s="12"/>
      <c r="Y1362" s="6"/>
      <c r="Z1362" s="6"/>
      <c r="AA1362" s="7"/>
      <c r="AB1362" s="6"/>
      <c r="AC1362" s="6"/>
      <c r="AD1362" s="6"/>
      <c r="AE1362" s="12"/>
      <c r="AF1362" s="6"/>
      <c r="AG1362" s="12"/>
      <c r="AH1362" s="6"/>
      <c r="AI1362" s="6"/>
      <c r="AJ1362" s="12"/>
      <c r="AK1362" s="24"/>
      <c r="AL1362" s="25"/>
      <c r="AM1362" s="12"/>
      <c r="AN1362" s="1"/>
      <c r="AO1362" s="6"/>
    </row>
    <row r="1363" spans="1:41" ht="15" x14ac:dyDescent="0.25">
      <c r="A1363" s="1"/>
      <c r="B1363" s="1"/>
      <c r="C1363" s="1"/>
      <c r="D1363" s="1"/>
      <c r="E1363" s="6"/>
      <c r="F1363" s="1"/>
      <c r="G1363" s="6"/>
      <c r="H1363" s="6"/>
      <c r="I1363" s="6"/>
      <c r="J1363" s="6"/>
      <c r="K1363" s="6"/>
      <c r="L1363" s="6"/>
      <c r="M1363" s="6"/>
      <c r="N1363" s="6"/>
      <c r="O1363" s="7"/>
      <c r="P1363" s="12"/>
      <c r="Q1363" s="6"/>
      <c r="R1363" s="7"/>
      <c r="S1363" s="6"/>
      <c r="T1363" s="6"/>
      <c r="U1363" s="7"/>
      <c r="V1363" s="6"/>
      <c r="W1363" s="6"/>
      <c r="X1363" s="12"/>
      <c r="Y1363" s="6"/>
      <c r="Z1363" s="6"/>
      <c r="AA1363" s="7"/>
      <c r="AB1363" s="6"/>
      <c r="AC1363" s="6"/>
      <c r="AD1363" s="6"/>
      <c r="AE1363" s="12"/>
      <c r="AF1363" s="12"/>
      <c r="AG1363" s="12"/>
      <c r="AH1363" s="12"/>
      <c r="AI1363" s="6"/>
      <c r="AJ1363" s="12"/>
      <c r="AK1363" s="1"/>
      <c r="AL1363" s="12"/>
      <c r="AM1363" s="12"/>
      <c r="AN1363" s="1"/>
      <c r="AO1363" s="6"/>
    </row>
    <row r="1364" spans="1:41" ht="15" x14ac:dyDescent="0.25">
      <c r="A1364" s="1"/>
      <c r="B1364" s="1"/>
      <c r="C1364" s="1"/>
      <c r="D1364" s="1"/>
      <c r="E1364" s="6"/>
      <c r="F1364" s="1"/>
      <c r="G1364" s="6"/>
      <c r="H1364" s="6"/>
      <c r="I1364" s="6"/>
      <c r="J1364" s="6"/>
      <c r="K1364" s="6"/>
      <c r="L1364" s="6"/>
      <c r="M1364" s="6"/>
      <c r="N1364" s="6"/>
      <c r="O1364" s="7"/>
      <c r="P1364" s="6"/>
      <c r="Q1364" s="6"/>
      <c r="R1364" s="7"/>
      <c r="S1364" s="6"/>
      <c r="T1364" s="6"/>
      <c r="U1364" s="7"/>
      <c r="V1364" s="6"/>
      <c r="W1364" s="6"/>
      <c r="X1364" s="12"/>
      <c r="Y1364" s="6"/>
      <c r="Z1364" s="6"/>
      <c r="AA1364" s="7"/>
      <c r="AB1364" s="6"/>
      <c r="AC1364" s="6"/>
      <c r="AD1364" s="6"/>
      <c r="AE1364" s="12"/>
      <c r="AF1364" s="12"/>
      <c r="AG1364" s="12"/>
      <c r="AH1364" s="12"/>
      <c r="AI1364" s="6"/>
      <c r="AJ1364" s="12"/>
      <c r="AK1364" s="1"/>
      <c r="AL1364" s="12"/>
      <c r="AM1364" s="12"/>
      <c r="AN1364" s="1"/>
      <c r="AO1364" s="6"/>
    </row>
    <row r="1365" spans="1:41" ht="15" x14ac:dyDescent="0.25">
      <c r="A1365" s="1"/>
      <c r="B1365" s="1"/>
      <c r="C1365" s="1"/>
      <c r="D1365" s="1"/>
      <c r="E1365" s="6"/>
      <c r="F1365" s="1"/>
      <c r="G1365" s="6"/>
      <c r="H1365" s="6"/>
      <c r="I1365" s="6"/>
      <c r="J1365" s="6"/>
      <c r="K1365" s="12"/>
      <c r="L1365" s="12"/>
      <c r="M1365" s="6"/>
      <c r="N1365" s="6"/>
      <c r="O1365" s="7"/>
      <c r="P1365" s="12"/>
      <c r="Q1365" s="6"/>
      <c r="R1365" s="7"/>
      <c r="S1365" s="6"/>
      <c r="T1365" s="6"/>
      <c r="U1365" s="7"/>
      <c r="V1365" s="6"/>
      <c r="W1365" s="6"/>
      <c r="X1365" s="12"/>
      <c r="Y1365" s="6"/>
      <c r="Z1365" s="6"/>
      <c r="AA1365" s="7"/>
      <c r="AB1365" s="6"/>
      <c r="AC1365" s="6"/>
      <c r="AD1365" s="6"/>
      <c r="AE1365" s="12"/>
      <c r="AF1365" s="12"/>
      <c r="AG1365" s="12"/>
      <c r="AH1365" s="12"/>
      <c r="AI1365" s="6"/>
      <c r="AJ1365" s="12"/>
      <c r="AK1365" s="24"/>
      <c r="AL1365" s="25"/>
      <c r="AM1365" s="12"/>
      <c r="AN1365" s="1"/>
      <c r="AO1365" s="12"/>
    </row>
    <row r="1366" spans="1:41" ht="15" x14ac:dyDescent="0.25">
      <c r="A1366" s="1"/>
      <c r="B1366" s="1"/>
      <c r="C1366" s="1"/>
      <c r="D1366" s="1"/>
      <c r="E1366" s="6"/>
      <c r="F1366" s="1"/>
      <c r="G1366" s="6"/>
      <c r="H1366" s="6"/>
      <c r="I1366" s="6"/>
      <c r="J1366" s="6"/>
      <c r="K1366" s="6"/>
      <c r="L1366" s="6"/>
      <c r="M1366" s="6"/>
      <c r="N1366" s="6"/>
      <c r="O1366" s="7"/>
      <c r="P1366" s="6"/>
      <c r="Q1366" s="6"/>
      <c r="R1366" s="7"/>
      <c r="S1366" s="6"/>
      <c r="T1366" s="6"/>
      <c r="U1366" s="7"/>
      <c r="V1366" s="6"/>
      <c r="W1366" s="6"/>
      <c r="X1366" s="12"/>
      <c r="Y1366" s="6"/>
      <c r="Z1366" s="6"/>
      <c r="AA1366" s="7"/>
      <c r="AB1366" s="6"/>
      <c r="AC1366" s="6"/>
      <c r="AD1366" s="6"/>
      <c r="AE1366" s="12"/>
      <c r="AF1366" s="6"/>
      <c r="AG1366" s="12"/>
      <c r="AH1366" s="6"/>
      <c r="AI1366" s="6"/>
      <c r="AJ1366" s="12"/>
      <c r="AK1366" s="1"/>
      <c r="AL1366" s="12"/>
      <c r="AM1366" s="12"/>
      <c r="AN1366" s="1"/>
      <c r="AO1366" s="6"/>
    </row>
    <row r="1367" spans="1:41" ht="15" x14ac:dyDescent="0.25">
      <c r="A1367" s="1"/>
      <c r="B1367" s="1"/>
      <c r="C1367" s="1"/>
      <c r="D1367" s="1"/>
      <c r="E1367" s="6"/>
      <c r="F1367" s="1"/>
      <c r="G1367" s="6"/>
      <c r="H1367" s="6"/>
      <c r="I1367" s="6"/>
      <c r="J1367" s="6"/>
      <c r="K1367" s="6"/>
      <c r="L1367" s="6"/>
      <c r="M1367" s="6"/>
      <c r="N1367" s="6"/>
      <c r="O1367" s="7"/>
      <c r="P1367" s="6"/>
      <c r="Q1367" s="6"/>
      <c r="R1367" s="7"/>
      <c r="S1367" s="6"/>
      <c r="T1367" s="6"/>
      <c r="U1367" s="7"/>
      <c r="V1367" s="6"/>
      <c r="W1367" s="6"/>
      <c r="X1367" s="6"/>
      <c r="Y1367" s="6"/>
      <c r="Z1367" s="6"/>
      <c r="AA1367" s="7"/>
      <c r="AB1367" s="6"/>
      <c r="AC1367" s="6"/>
      <c r="AD1367" s="6"/>
      <c r="AE1367" s="12"/>
      <c r="AF1367" s="6"/>
      <c r="AG1367" s="12"/>
      <c r="AH1367" s="6"/>
      <c r="AI1367" s="6"/>
      <c r="AJ1367" s="12"/>
      <c r="AK1367" s="24"/>
      <c r="AL1367" s="25"/>
      <c r="AM1367" s="12"/>
      <c r="AN1367" s="1"/>
      <c r="AO1367" s="6"/>
    </row>
    <row r="1368" spans="1:41" ht="15" x14ac:dyDescent="0.25">
      <c r="A1368" s="1"/>
      <c r="B1368" s="1"/>
      <c r="C1368" s="1"/>
      <c r="D1368" s="1"/>
      <c r="E1368" s="6"/>
      <c r="F1368" s="1"/>
      <c r="G1368" s="6"/>
      <c r="H1368" s="6"/>
      <c r="I1368" s="6"/>
      <c r="J1368" s="6"/>
      <c r="K1368" s="6"/>
      <c r="L1368" s="6"/>
      <c r="M1368" s="6"/>
      <c r="N1368" s="6"/>
      <c r="O1368" s="7"/>
      <c r="P1368" s="6"/>
      <c r="Q1368" s="6"/>
      <c r="R1368" s="12"/>
      <c r="S1368" s="12"/>
      <c r="T1368" s="12"/>
      <c r="U1368" s="7"/>
      <c r="V1368" s="6"/>
      <c r="W1368" s="6"/>
      <c r="X1368" s="12"/>
      <c r="Y1368" s="6"/>
      <c r="Z1368" s="6"/>
      <c r="AA1368" s="7"/>
      <c r="AB1368" s="6"/>
      <c r="AC1368" s="6"/>
      <c r="AD1368" s="6"/>
      <c r="AE1368" s="12"/>
      <c r="AF1368" s="6"/>
      <c r="AG1368" s="12"/>
      <c r="AH1368" s="6"/>
      <c r="AI1368" s="6"/>
      <c r="AJ1368" s="12"/>
      <c r="AK1368" s="1"/>
      <c r="AL1368" s="12"/>
      <c r="AM1368" s="12"/>
      <c r="AN1368" s="1"/>
      <c r="AO1368" s="6"/>
    </row>
    <row r="1369" spans="1:41" ht="15" x14ac:dyDescent="0.25">
      <c r="A1369" s="1"/>
      <c r="B1369" s="1"/>
      <c r="C1369" s="1"/>
      <c r="D1369" s="1"/>
      <c r="E1369" s="6"/>
      <c r="F1369" s="1"/>
      <c r="G1369" s="6"/>
      <c r="H1369" s="6"/>
      <c r="I1369" s="6"/>
      <c r="J1369" s="6"/>
      <c r="K1369" s="6"/>
      <c r="L1369" s="6"/>
      <c r="M1369" s="6"/>
      <c r="N1369" s="6"/>
      <c r="O1369" s="7"/>
      <c r="P1369" s="6"/>
      <c r="Q1369" s="6"/>
      <c r="R1369" s="7"/>
      <c r="S1369" s="6"/>
      <c r="T1369" s="6"/>
      <c r="U1369" s="7"/>
      <c r="V1369" s="6"/>
      <c r="W1369" s="6"/>
      <c r="X1369" s="6"/>
      <c r="Y1369" s="12"/>
      <c r="Z1369" s="6"/>
      <c r="AA1369" s="7"/>
      <c r="AB1369" s="6"/>
      <c r="AC1369" s="6"/>
      <c r="AD1369" s="6"/>
      <c r="AE1369" s="12"/>
      <c r="AF1369" s="12"/>
      <c r="AG1369" s="12"/>
      <c r="AH1369" s="12"/>
      <c r="AI1369" s="6"/>
      <c r="AJ1369" s="12"/>
      <c r="AK1369" s="1"/>
      <c r="AL1369" s="12"/>
      <c r="AM1369" s="12"/>
      <c r="AN1369" s="1"/>
      <c r="AO1369" s="6"/>
    </row>
    <row r="1370" spans="1:41" ht="15" x14ac:dyDescent="0.25">
      <c r="A1370" s="1"/>
      <c r="B1370" s="1"/>
      <c r="C1370" s="1"/>
      <c r="D1370" s="1"/>
      <c r="E1370" s="6"/>
      <c r="F1370" s="1"/>
      <c r="G1370" s="6"/>
      <c r="H1370" s="6"/>
      <c r="I1370" s="6"/>
      <c r="J1370" s="6"/>
      <c r="K1370" s="6"/>
      <c r="L1370" s="6"/>
      <c r="M1370" s="6"/>
      <c r="N1370" s="6"/>
      <c r="O1370" s="7"/>
      <c r="P1370" s="6"/>
      <c r="Q1370" s="6"/>
      <c r="R1370" s="7"/>
      <c r="S1370" s="6"/>
      <c r="T1370" s="6"/>
      <c r="U1370" s="7"/>
      <c r="V1370" s="6"/>
      <c r="W1370" s="6"/>
      <c r="X1370" s="6"/>
      <c r="Y1370" s="6"/>
      <c r="Z1370" s="6"/>
      <c r="AA1370" s="7"/>
      <c r="AB1370" s="6"/>
      <c r="AC1370" s="6"/>
      <c r="AD1370" s="6"/>
      <c r="AE1370" s="12"/>
      <c r="AF1370" s="12"/>
      <c r="AG1370" s="12"/>
      <c r="AH1370" s="12"/>
      <c r="AI1370" s="6"/>
      <c r="AJ1370" s="12"/>
      <c r="AK1370" s="1"/>
      <c r="AL1370" s="12"/>
      <c r="AM1370" s="12"/>
      <c r="AN1370" s="1"/>
      <c r="AO1370" s="6"/>
    </row>
    <row r="1371" spans="1:41" ht="15" x14ac:dyDescent="0.25">
      <c r="A1371" s="1"/>
      <c r="B1371" s="1"/>
      <c r="C1371" s="1"/>
      <c r="D1371" s="1"/>
      <c r="E1371" s="6"/>
      <c r="F1371" s="1"/>
      <c r="G1371" s="6"/>
      <c r="H1371" s="6"/>
      <c r="I1371" s="6"/>
      <c r="J1371" s="6"/>
      <c r="K1371" s="6"/>
      <c r="L1371" s="6"/>
      <c r="M1371" s="6"/>
      <c r="N1371" s="6"/>
      <c r="O1371" s="7"/>
      <c r="P1371" s="6"/>
      <c r="Q1371" s="6"/>
      <c r="R1371" s="7"/>
      <c r="S1371" s="6"/>
      <c r="T1371" s="6"/>
      <c r="U1371" s="7"/>
      <c r="V1371" s="6"/>
      <c r="W1371" s="6"/>
      <c r="X1371" s="6"/>
      <c r="Y1371" s="6"/>
      <c r="Z1371" s="6"/>
      <c r="AA1371" s="7"/>
      <c r="AB1371" s="6"/>
      <c r="AC1371" s="6"/>
      <c r="AD1371" s="6"/>
      <c r="AE1371" s="12"/>
      <c r="AF1371" s="12"/>
      <c r="AG1371" s="12"/>
      <c r="AH1371" s="12"/>
      <c r="AI1371" s="6"/>
      <c r="AJ1371" s="12"/>
      <c r="AK1371" s="1"/>
      <c r="AL1371" s="12"/>
      <c r="AM1371" s="12"/>
      <c r="AN1371" s="1"/>
      <c r="AO1371" s="6"/>
    </row>
    <row r="1372" spans="1:41" ht="15" x14ac:dyDescent="0.25">
      <c r="A1372" s="1"/>
      <c r="B1372" s="1"/>
      <c r="C1372" s="1"/>
      <c r="D1372" s="1"/>
      <c r="E1372" s="6"/>
      <c r="F1372" s="1"/>
      <c r="G1372" s="6"/>
      <c r="H1372" s="6"/>
      <c r="I1372" s="6"/>
      <c r="J1372" s="6"/>
      <c r="K1372" s="6"/>
      <c r="L1372" s="6"/>
      <c r="M1372" s="6"/>
      <c r="N1372" s="6"/>
      <c r="O1372" s="7"/>
      <c r="P1372" s="6"/>
      <c r="Q1372" s="6"/>
      <c r="R1372" s="15"/>
      <c r="S1372" s="6"/>
      <c r="T1372" s="6"/>
      <c r="U1372" s="15"/>
      <c r="V1372" s="6"/>
      <c r="W1372" s="6"/>
      <c r="X1372" s="6"/>
      <c r="Y1372" s="6"/>
      <c r="Z1372" s="6"/>
      <c r="AA1372" s="7"/>
      <c r="AB1372" s="6"/>
      <c r="AC1372" s="6"/>
      <c r="AD1372" s="6"/>
      <c r="AE1372" s="12"/>
      <c r="AF1372" s="6"/>
      <c r="AG1372" s="12"/>
      <c r="AH1372" s="6"/>
      <c r="AI1372" s="6"/>
      <c r="AJ1372" s="12"/>
      <c r="AK1372" s="1"/>
      <c r="AL1372" s="12"/>
      <c r="AM1372" s="12"/>
      <c r="AN1372" s="1"/>
      <c r="AO1372" s="6"/>
    </row>
    <row r="1373" spans="1:41" ht="15" x14ac:dyDescent="0.25">
      <c r="A1373" s="1"/>
      <c r="B1373" s="1"/>
      <c r="C1373" s="1"/>
      <c r="D1373" s="1"/>
      <c r="E1373" s="6"/>
      <c r="F1373" s="1"/>
      <c r="G1373" s="6"/>
      <c r="H1373" s="6"/>
      <c r="I1373" s="6"/>
      <c r="J1373" s="6"/>
      <c r="K1373" s="6"/>
      <c r="L1373" s="6"/>
      <c r="M1373" s="6"/>
      <c r="N1373" s="6"/>
      <c r="O1373" s="7"/>
      <c r="P1373" s="6"/>
      <c r="Q1373" s="6"/>
      <c r="R1373" s="7"/>
      <c r="S1373" s="6"/>
      <c r="T1373" s="6"/>
      <c r="U1373" s="7"/>
      <c r="V1373" s="6"/>
      <c r="W1373" s="6"/>
      <c r="X1373" s="12"/>
      <c r="Y1373" s="6"/>
      <c r="Z1373" s="6"/>
      <c r="AA1373" s="7"/>
      <c r="AB1373" s="6"/>
      <c r="AC1373" s="6"/>
      <c r="AD1373" s="6"/>
      <c r="AE1373" s="12"/>
      <c r="AF1373" s="12"/>
      <c r="AG1373" s="12"/>
      <c r="AH1373" s="12"/>
      <c r="AI1373" s="6"/>
      <c r="AJ1373" s="12"/>
      <c r="AK1373" s="1"/>
      <c r="AL1373" s="12"/>
      <c r="AM1373" s="12"/>
      <c r="AN1373" s="1"/>
      <c r="AO1373" s="6"/>
    </row>
    <row r="1374" spans="1:41" ht="15" x14ac:dyDescent="0.25">
      <c r="A1374" s="1"/>
      <c r="B1374" s="1"/>
      <c r="C1374" s="1"/>
      <c r="D1374" s="1"/>
      <c r="E1374" s="6"/>
      <c r="F1374" s="1"/>
      <c r="G1374" s="6"/>
      <c r="H1374" s="6"/>
      <c r="I1374" s="6"/>
      <c r="J1374" s="6"/>
      <c r="K1374" s="6"/>
      <c r="L1374" s="6"/>
      <c r="M1374" s="6"/>
      <c r="N1374" s="6"/>
      <c r="O1374" s="7"/>
      <c r="P1374" s="12"/>
      <c r="Q1374" s="6"/>
      <c r="R1374" s="7"/>
      <c r="S1374" s="6"/>
      <c r="T1374" s="6"/>
      <c r="U1374" s="7"/>
      <c r="V1374" s="6"/>
      <c r="W1374" s="6"/>
      <c r="X1374" s="6"/>
      <c r="Y1374" s="6"/>
      <c r="Z1374" s="6"/>
      <c r="AA1374" s="7"/>
      <c r="AB1374" s="6"/>
      <c r="AC1374" s="6"/>
      <c r="AD1374" s="6"/>
      <c r="AE1374" s="12"/>
      <c r="AF1374" s="12"/>
      <c r="AG1374" s="12"/>
      <c r="AH1374" s="12"/>
      <c r="AI1374" s="6"/>
      <c r="AJ1374" s="12"/>
      <c r="AK1374" s="1"/>
      <c r="AL1374" s="12"/>
      <c r="AM1374" s="12"/>
      <c r="AN1374" s="1"/>
      <c r="AO1374" s="6"/>
    </row>
    <row r="1375" spans="1:41" ht="15" x14ac:dyDescent="0.25">
      <c r="A1375" s="1"/>
      <c r="B1375" s="1"/>
      <c r="C1375" s="1"/>
      <c r="D1375" s="1"/>
      <c r="E1375" s="6"/>
      <c r="F1375" s="1"/>
      <c r="G1375" s="6"/>
      <c r="H1375" s="6"/>
      <c r="I1375" s="6"/>
      <c r="J1375" s="6"/>
      <c r="K1375" s="6"/>
      <c r="L1375" s="6"/>
      <c r="M1375" s="6"/>
      <c r="N1375" s="6"/>
      <c r="O1375" s="7"/>
      <c r="P1375" s="6"/>
      <c r="Q1375" s="6"/>
      <c r="R1375" s="7"/>
      <c r="S1375" s="6"/>
      <c r="T1375" s="6"/>
      <c r="U1375" s="7"/>
      <c r="V1375" s="6"/>
      <c r="W1375" s="6"/>
      <c r="X1375" s="6"/>
      <c r="Y1375" s="6"/>
      <c r="Z1375" s="6"/>
      <c r="AA1375" s="7"/>
      <c r="AB1375" s="6"/>
      <c r="AC1375" s="6"/>
      <c r="AD1375" s="6"/>
      <c r="AE1375" s="12"/>
      <c r="AF1375" s="6"/>
      <c r="AG1375" s="12"/>
      <c r="AH1375" s="6"/>
      <c r="AI1375" s="6"/>
      <c r="AJ1375" s="12"/>
      <c r="AK1375" s="24"/>
      <c r="AL1375" s="25"/>
      <c r="AM1375" s="12"/>
      <c r="AN1375" s="1"/>
      <c r="AO1375" s="6"/>
    </row>
    <row r="1376" spans="1:41" ht="15" x14ac:dyDescent="0.25">
      <c r="A1376" s="1"/>
      <c r="B1376" s="1"/>
      <c r="C1376" s="1"/>
      <c r="D1376" s="1"/>
      <c r="E1376" s="6"/>
      <c r="F1376" s="1"/>
      <c r="G1376" s="6"/>
      <c r="H1376" s="6"/>
      <c r="I1376" s="6"/>
      <c r="J1376" s="6"/>
      <c r="K1376" s="6"/>
      <c r="L1376" s="6"/>
      <c r="M1376" s="6"/>
      <c r="N1376" s="6"/>
      <c r="O1376" s="7"/>
      <c r="P1376" s="6"/>
      <c r="Q1376" s="6"/>
      <c r="R1376" s="7"/>
      <c r="S1376" s="6"/>
      <c r="T1376" s="6"/>
      <c r="U1376" s="7"/>
      <c r="V1376" s="6"/>
      <c r="W1376" s="6"/>
      <c r="X1376" s="6"/>
      <c r="Y1376" s="6"/>
      <c r="Z1376" s="6"/>
      <c r="AA1376" s="7"/>
      <c r="AB1376" s="6"/>
      <c r="AC1376" s="6"/>
      <c r="AD1376" s="6"/>
      <c r="AE1376" s="12"/>
      <c r="AF1376" s="6"/>
      <c r="AG1376" s="12"/>
      <c r="AH1376" s="6"/>
      <c r="AI1376" s="6"/>
      <c r="AJ1376" s="12"/>
      <c r="AK1376" s="24"/>
      <c r="AL1376" s="25"/>
      <c r="AM1376" s="12"/>
      <c r="AN1376" s="1"/>
      <c r="AO1376" s="6"/>
    </row>
    <row r="1377" spans="1:41" ht="15" x14ac:dyDescent="0.25">
      <c r="A1377" s="1"/>
      <c r="B1377" s="1"/>
      <c r="C1377" s="1"/>
      <c r="D1377" s="1"/>
      <c r="E1377" s="6"/>
      <c r="F1377" s="1"/>
      <c r="G1377" s="6"/>
      <c r="H1377" s="6"/>
      <c r="I1377" s="6"/>
      <c r="J1377" s="6"/>
      <c r="K1377" s="6"/>
      <c r="L1377" s="6"/>
      <c r="M1377" s="6"/>
      <c r="N1377" s="6"/>
      <c r="O1377" s="7"/>
      <c r="P1377" s="12"/>
      <c r="Q1377" s="6"/>
      <c r="R1377" s="7"/>
      <c r="S1377" s="6"/>
      <c r="T1377" s="6"/>
      <c r="U1377" s="7"/>
      <c r="V1377" s="6"/>
      <c r="W1377" s="6"/>
      <c r="X1377" s="6"/>
      <c r="Y1377" s="6"/>
      <c r="Z1377" s="6"/>
      <c r="AA1377" s="7"/>
      <c r="AB1377" s="6"/>
      <c r="AC1377" s="6"/>
      <c r="AD1377" s="6"/>
      <c r="AE1377" s="12"/>
      <c r="AF1377" s="6"/>
      <c r="AG1377" s="12"/>
      <c r="AH1377" s="6"/>
      <c r="AI1377" s="6"/>
      <c r="AJ1377" s="12"/>
      <c r="AK1377" s="24"/>
      <c r="AL1377" s="25"/>
      <c r="AM1377" s="12"/>
      <c r="AN1377" s="1"/>
      <c r="AO1377" s="6"/>
    </row>
    <row r="1378" spans="1:41" ht="15" x14ac:dyDescent="0.25">
      <c r="A1378" s="1"/>
      <c r="B1378" s="1"/>
      <c r="C1378" s="1"/>
      <c r="D1378" s="1"/>
      <c r="E1378" s="6"/>
      <c r="F1378" s="1"/>
      <c r="G1378" s="6"/>
      <c r="H1378" s="6"/>
      <c r="I1378" s="6"/>
      <c r="J1378" s="6"/>
      <c r="K1378" s="6"/>
      <c r="L1378" s="6"/>
      <c r="M1378" s="6"/>
      <c r="N1378" s="6"/>
      <c r="O1378" s="7"/>
      <c r="P1378" s="6"/>
      <c r="Q1378" s="6"/>
      <c r="R1378" s="7"/>
      <c r="S1378" s="6"/>
      <c r="T1378" s="6"/>
      <c r="U1378" s="7"/>
      <c r="V1378" s="6"/>
      <c r="W1378" s="6"/>
      <c r="X1378" s="12"/>
      <c r="Y1378" s="6"/>
      <c r="Z1378" s="6"/>
      <c r="AA1378" s="7"/>
      <c r="AB1378" s="6"/>
      <c r="AC1378" s="6"/>
      <c r="AD1378" s="6"/>
      <c r="AE1378" s="12"/>
      <c r="AF1378" s="12"/>
      <c r="AG1378" s="12"/>
      <c r="AH1378" s="12"/>
      <c r="AI1378" s="6"/>
      <c r="AJ1378" s="12"/>
      <c r="AK1378" s="1"/>
      <c r="AL1378" s="12"/>
      <c r="AM1378" s="12"/>
      <c r="AN1378" s="1"/>
      <c r="AO1378" s="6"/>
    </row>
    <row r="1379" spans="1:41" ht="15" x14ac:dyDescent="0.25">
      <c r="A1379" s="1"/>
      <c r="B1379" s="1"/>
      <c r="C1379" s="1"/>
      <c r="D1379" s="1"/>
      <c r="E1379" s="6"/>
      <c r="F1379" s="1"/>
      <c r="G1379" s="6"/>
      <c r="H1379" s="6"/>
      <c r="I1379" s="6"/>
      <c r="J1379" s="6"/>
      <c r="K1379" s="6"/>
      <c r="L1379" s="6"/>
      <c r="M1379" s="6"/>
      <c r="N1379" s="6"/>
      <c r="O1379" s="7"/>
      <c r="P1379" s="6"/>
      <c r="Q1379" s="6"/>
      <c r="R1379" s="7"/>
      <c r="S1379" s="6"/>
      <c r="T1379" s="6"/>
      <c r="U1379" s="7"/>
      <c r="V1379" s="6"/>
      <c r="W1379" s="6"/>
      <c r="X1379" s="6"/>
      <c r="Y1379" s="6"/>
      <c r="Z1379" s="6"/>
      <c r="AA1379" s="7"/>
      <c r="AB1379" s="6"/>
      <c r="AC1379" s="6"/>
      <c r="AD1379" s="6"/>
      <c r="AE1379" s="12"/>
      <c r="AF1379" s="6"/>
      <c r="AG1379" s="12"/>
      <c r="AH1379" s="6"/>
      <c r="AI1379" s="6"/>
      <c r="AJ1379" s="12"/>
      <c r="AK1379" s="24"/>
      <c r="AL1379" s="25"/>
      <c r="AM1379" s="12"/>
      <c r="AN1379" s="1"/>
      <c r="AO1379" s="6"/>
    </row>
    <row r="1380" spans="1:41" ht="15" x14ac:dyDescent="0.25">
      <c r="A1380" s="1"/>
      <c r="B1380" s="1"/>
      <c r="C1380" s="1"/>
      <c r="D1380" s="1"/>
      <c r="E1380" s="6"/>
      <c r="F1380" s="1"/>
      <c r="G1380" s="6"/>
      <c r="H1380" s="6"/>
      <c r="I1380" s="6"/>
      <c r="J1380" s="6"/>
      <c r="K1380" s="6"/>
      <c r="L1380" s="6"/>
      <c r="M1380" s="6"/>
      <c r="N1380" s="6"/>
      <c r="O1380" s="7"/>
      <c r="P1380" s="6"/>
      <c r="Q1380" s="6"/>
      <c r="R1380" s="7"/>
      <c r="S1380" s="6"/>
      <c r="T1380" s="6"/>
      <c r="U1380" s="7"/>
      <c r="V1380" s="6"/>
      <c r="W1380" s="6"/>
      <c r="X1380" s="6"/>
      <c r="Y1380" s="6"/>
      <c r="Z1380" s="6"/>
      <c r="AA1380" s="7"/>
      <c r="AB1380" s="6"/>
      <c r="AC1380" s="6"/>
      <c r="AD1380" s="6"/>
      <c r="AE1380" s="12"/>
      <c r="AF1380" s="6"/>
      <c r="AG1380" s="12"/>
      <c r="AH1380" s="6"/>
      <c r="AI1380" s="6"/>
      <c r="AJ1380" s="12"/>
      <c r="AK1380" s="24"/>
      <c r="AL1380" s="25"/>
      <c r="AM1380" s="12"/>
      <c r="AN1380" s="1"/>
      <c r="AO1380" s="6"/>
    </row>
    <row r="1381" spans="1:41" ht="15" x14ac:dyDescent="0.25">
      <c r="A1381" s="1"/>
      <c r="B1381" s="1"/>
      <c r="C1381" s="1"/>
      <c r="D1381" s="1"/>
      <c r="E1381" s="6"/>
      <c r="F1381" s="1"/>
      <c r="G1381" s="6"/>
      <c r="H1381" s="6"/>
      <c r="I1381" s="6"/>
      <c r="J1381" s="6"/>
      <c r="K1381" s="6"/>
      <c r="L1381" s="6"/>
      <c r="M1381" s="6"/>
      <c r="N1381" s="6"/>
      <c r="O1381" s="7"/>
      <c r="P1381" s="6"/>
      <c r="Q1381" s="6"/>
      <c r="R1381" s="7"/>
      <c r="S1381" s="6"/>
      <c r="T1381" s="6"/>
      <c r="U1381" s="7"/>
      <c r="V1381" s="6"/>
      <c r="W1381" s="6"/>
      <c r="X1381" s="12"/>
      <c r="Y1381" s="6"/>
      <c r="Z1381" s="6"/>
      <c r="AA1381" s="7"/>
      <c r="AB1381" s="6"/>
      <c r="AC1381" s="6"/>
      <c r="AD1381" s="6"/>
      <c r="AE1381" s="12"/>
      <c r="AF1381" s="6"/>
      <c r="AG1381" s="12"/>
      <c r="AH1381" s="6"/>
      <c r="AI1381" s="6"/>
      <c r="AJ1381" s="12"/>
      <c r="AK1381" s="24"/>
      <c r="AL1381" s="25"/>
      <c r="AM1381" s="12"/>
      <c r="AN1381" s="1"/>
      <c r="AO1381" s="6"/>
    </row>
    <row r="1382" spans="1:41" ht="15" x14ac:dyDescent="0.25">
      <c r="A1382" s="1"/>
      <c r="B1382" s="1"/>
      <c r="C1382" s="1"/>
      <c r="D1382" s="1"/>
      <c r="E1382" s="6"/>
      <c r="F1382" s="1"/>
      <c r="G1382" s="6"/>
      <c r="H1382" s="6"/>
      <c r="I1382" s="6"/>
      <c r="J1382" s="6"/>
      <c r="K1382" s="6"/>
      <c r="L1382" s="6"/>
      <c r="M1382" s="6"/>
      <c r="N1382" s="6"/>
      <c r="O1382" s="7"/>
      <c r="P1382" s="6"/>
      <c r="Q1382" s="6"/>
      <c r="R1382" s="7"/>
      <c r="S1382" s="6"/>
      <c r="T1382" s="6"/>
      <c r="U1382" s="7"/>
      <c r="V1382" s="6"/>
      <c r="W1382" s="6"/>
      <c r="X1382" s="6"/>
      <c r="Y1382" s="6"/>
      <c r="Z1382" s="6"/>
      <c r="AA1382" s="7"/>
      <c r="AB1382" s="6"/>
      <c r="AC1382" s="6"/>
      <c r="AD1382" s="6"/>
      <c r="AE1382" s="12"/>
      <c r="AF1382" s="6"/>
      <c r="AG1382" s="12"/>
      <c r="AH1382" s="6"/>
      <c r="AI1382" s="6"/>
      <c r="AJ1382" s="12"/>
      <c r="AK1382" s="1"/>
      <c r="AL1382" s="12"/>
      <c r="AM1382" s="12"/>
      <c r="AN1382" s="1"/>
      <c r="AO1382" s="6"/>
    </row>
    <row r="1383" spans="1:41" ht="15" x14ac:dyDescent="0.25">
      <c r="A1383" s="1"/>
      <c r="B1383" s="1"/>
      <c r="C1383" s="1"/>
      <c r="D1383" s="1"/>
      <c r="E1383" s="6"/>
      <c r="F1383" s="1"/>
      <c r="G1383" s="6"/>
      <c r="H1383" s="6"/>
      <c r="I1383" s="6"/>
      <c r="J1383" s="6"/>
      <c r="K1383" s="6"/>
      <c r="L1383" s="6"/>
      <c r="M1383" s="6"/>
      <c r="N1383" s="6"/>
      <c r="O1383" s="7"/>
      <c r="P1383" s="6"/>
      <c r="Q1383" s="7"/>
      <c r="R1383" s="6"/>
      <c r="S1383" s="12"/>
      <c r="T1383" s="6"/>
      <c r="U1383" s="6"/>
      <c r="V1383" s="7"/>
      <c r="W1383" s="6"/>
      <c r="X1383" s="6"/>
      <c r="Y1383" s="6"/>
      <c r="Z1383" s="6"/>
      <c r="AA1383" s="1"/>
      <c r="AB1383" s="12"/>
      <c r="AC1383" s="12"/>
      <c r="AD1383" s="12"/>
      <c r="AE1383" s="12"/>
      <c r="AF1383" s="6"/>
      <c r="AG1383" s="12"/>
      <c r="AH1383" s="6"/>
      <c r="AI1383" s="6"/>
      <c r="AJ1383" s="12"/>
      <c r="AK1383" s="12"/>
      <c r="AL1383" s="12"/>
      <c r="AM1383" s="12"/>
      <c r="AN1383" s="1"/>
      <c r="AO1383" s="6"/>
    </row>
    <row r="1384" spans="1:41" ht="15" x14ac:dyDescent="0.25">
      <c r="A1384" s="1"/>
      <c r="B1384" s="1"/>
      <c r="C1384" s="1"/>
      <c r="D1384" s="1"/>
      <c r="E1384" s="6"/>
      <c r="F1384" s="1"/>
      <c r="G1384" s="6"/>
      <c r="H1384" s="6"/>
      <c r="I1384" s="6"/>
      <c r="J1384" s="6"/>
      <c r="K1384" s="6"/>
      <c r="L1384" s="6"/>
      <c r="M1384" s="6"/>
      <c r="N1384" s="6"/>
      <c r="O1384" s="7"/>
      <c r="P1384" s="12"/>
      <c r="Q1384" s="6"/>
      <c r="R1384" s="7"/>
      <c r="S1384" s="6"/>
      <c r="T1384" s="6"/>
      <c r="U1384" s="7"/>
      <c r="V1384" s="6"/>
      <c r="W1384" s="6"/>
      <c r="X1384" s="12"/>
      <c r="Y1384" s="6"/>
      <c r="Z1384" s="6"/>
      <c r="AA1384" s="7"/>
      <c r="AB1384" s="6"/>
      <c r="AC1384" s="6"/>
      <c r="AD1384" s="6"/>
      <c r="AE1384" s="12"/>
      <c r="AF1384" s="6"/>
      <c r="AG1384" s="12"/>
      <c r="AH1384" s="6"/>
      <c r="AI1384" s="6"/>
      <c r="AJ1384" s="12"/>
      <c r="AK1384" s="24"/>
      <c r="AL1384" s="25"/>
      <c r="AM1384" s="12"/>
      <c r="AN1384" s="1"/>
      <c r="AO1384" s="6"/>
    </row>
    <row r="1385" spans="1:41" ht="15" x14ac:dyDescent="0.25">
      <c r="A1385" s="1"/>
      <c r="B1385" s="1"/>
      <c r="C1385" s="1"/>
      <c r="D1385" s="1"/>
      <c r="E1385" s="6"/>
      <c r="F1385" s="1"/>
      <c r="G1385" s="6"/>
      <c r="H1385" s="6"/>
      <c r="I1385" s="6"/>
      <c r="J1385" s="6"/>
      <c r="K1385" s="6"/>
      <c r="L1385" s="6"/>
      <c r="M1385" s="6"/>
      <c r="N1385" s="6"/>
      <c r="O1385" s="7"/>
      <c r="P1385" s="6"/>
      <c r="Q1385" s="6"/>
      <c r="R1385" s="7"/>
      <c r="S1385" s="6"/>
      <c r="T1385" s="6"/>
      <c r="U1385" s="7"/>
      <c r="V1385" s="6"/>
      <c r="W1385" s="6"/>
      <c r="X1385" s="6"/>
      <c r="Y1385" s="6"/>
      <c r="Z1385" s="6"/>
      <c r="AA1385" s="7"/>
      <c r="AB1385" s="6"/>
      <c r="AC1385" s="6"/>
      <c r="AD1385" s="6"/>
      <c r="AE1385" s="12"/>
      <c r="AF1385" s="6"/>
      <c r="AG1385" s="12"/>
      <c r="AH1385" s="6"/>
      <c r="AI1385" s="6"/>
      <c r="AJ1385" s="12"/>
      <c r="AK1385" s="24"/>
      <c r="AL1385" s="25"/>
      <c r="AM1385" s="12"/>
      <c r="AN1385" s="1"/>
      <c r="AO1385" s="6"/>
    </row>
    <row r="1386" spans="1:41" ht="15" x14ac:dyDescent="0.25">
      <c r="A1386" s="1"/>
      <c r="B1386" s="1"/>
      <c r="C1386" s="1"/>
      <c r="D1386" s="1"/>
      <c r="E1386" s="6"/>
      <c r="F1386" s="1"/>
      <c r="G1386" s="6"/>
      <c r="H1386" s="6"/>
      <c r="I1386" s="6"/>
      <c r="J1386" s="6"/>
      <c r="K1386" s="6"/>
      <c r="L1386" s="6"/>
      <c r="M1386" s="6"/>
      <c r="N1386" s="6"/>
      <c r="O1386" s="7"/>
      <c r="P1386" s="6"/>
      <c r="Q1386" s="6"/>
      <c r="R1386" s="7"/>
      <c r="S1386" s="6"/>
      <c r="T1386" s="6"/>
      <c r="U1386" s="7"/>
      <c r="V1386" s="6"/>
      <c r="W1386" s="6"/>
      <c r="X1386" s="12"/>
      <c r="Y1386" s="6"/>
      <c r="Z1386" s="6"/>
      <c r="AA1386" s="7"/>
      <c r="AB1386" s="6"/>
      <c r="AC1386" s="6"/>
      <c r="AD1386" s="6"/>
      <c r="AE1386" s="12"/>
      <c r="AF1386" s="12"/>
      <c r="AG1386" s="12"/>
      <c r="AH1386" s="12"/>
      <c r="AI1386" s="6"/>
      <c r="AJ1386" s="12"/>
      <c r="AK1386" s="1"/>
      <c r="AL1386" s="12"/>
      <c r="AM1386" s="12"/>
      <c r="AN1386" s="1"/>
      <c r="AO1386" s="6"/>
    </row>
    <row r="1387" spans="1:41" ht="15" x14ac:dyDescent="0.25">
      <c r="A1387" s="1"/>
      <c r="B1387" s="1"/>
      <c r="C1387" s="1"/>
      <c r="D1387" s="1"/>
      <c r="E1387" s="6"/>
      <c r="F1387" s="1"/>
      <c r="G1387" s="6"/>
      <c r="H1387" s="6"/>
      <c r="I1387" s="6"/>
      <c r="J1387" s="6"/>
      <c r="K1387" s="6"/>
      <c r="L1387" s="6"/>
      <c r="M1387" s="6"/>
      <c r="N1387" s="6"/>
      <c r="O1387" s="7"/>
      <c r="P1387" s="6"/>
      <c r="Q1387" s="6"/>
      <c r="R1387" s="7"/>
      <c r="S1387" s="6"/>
      <c r="T1387" s="6"/>
      <c r="U1387" s="7"/>
      <c r="V1387" s="6"/>
      <c r="W1387" s="6"/>
      <c r="X1387" s="6"/>
      <c r="Y1387" s="6"/>
      <c r="Z1387" s="6"/>
      <c r="AA1387" s="7"/>
      <c r="AB1387" s="6"/>
      <c r="AC1387" s="6"/>
      <c r="AD1387" s="6"/>
      <c r="AE1387" s="12"/>
      <c r="AF1387" s="6"/>
      <c r="AG1387" s="12"/>
      <c r="AH1387" s="6"/>
      <c r="AI1387" s="6"/>
      <c r="AJ1387" s="12"/>
      <c r="AK1387" s="24"/>
      <c r="AL1387" s="25"/>
      <c r="AM1387" s="12"/>
      <c r="AN1387" s="1"/>
      <c r="AO1387" s="6"/>
    </row>
    <row r="1388" spans="1:41" ht="15" x14ac:dyDescent="0.25">
      <c r="A1388" s="1"/>
      <c r="B1388" s="1"/>
      <c r="C1388" s="1"/>
      <c r="D1388" s="1"/>
      <c r="E1388" s="6"/>
      <c r="F1388" s="1"/>
      <c r="G1388" s="6"/>
      <c r="H1388" s="6"/>
      <c r="I1388" s="6"/>
      <c r="J1388" s="6"/>
      <c r="K1388" s="6"/>
      <c r="L1388" s="6"/>
      <c r="M1388" s="6"/>
      <c r="N1388" s="6"/>
      <c r="O1388" s="7"/>
      <c r="P1388" s="6"/>
      <c r="Q1388" s="6"/>
      <c r="R1388" s="12"/>
      <c r="S1388" s="12"/>
      <c r="T1388" s="12"/>
      <c r="U1388" s="7"/>
      <c r="V1388" s="6"/>
      <c r="W1388" s="6"/>
      <c r="X1388" s="12"/>
      <c r="Y1388" s="6"/>
      <c r="Z1388" s="6"/>
      <c r="AA1388" s="7"/>
      <c r="AB1388" s="6"/>
      <c r="AC1388" s="6"/>
      <c r="AD1388" s="6"/>
      <c r="AE1388" s="12"/>
      <c r="AF1388" s="6"/>
      <c r="AG1388" s="12"/>
      <c r="AH1388" s="6"/>
      <c r="AI1388" s="6"/>
      <c r="AJ1388" s="12"/>
      <c r="AK1388" s="24"/>
      <c r="AL1388" s="25"/>
      <c r="AM1388" s="12"/>
      <c r="AN1388" s="1"/>
      <c r="AO1388" s="6"/>
    </row>
    <row r="1389" spans="1:41" ht="15" x14ac:dyDescent="0.25">
      <c r="A1389" s="1"/>
      <c r="B1389" s="1"/>
      <c r="C1389" s="1"/>
      <c r="D1389" s="1"/>
      <c r="E1389" s="6"/>
      <c r="F1389" s="1"/>
      <c r="G1389" s="6"/>
      <c r="H1389" s="6"/>
      <c r="I1389" s="6"/>
      <c r="J1389" s="6"/>
      <c r="K1389" s="6"/>
      <c r="L1389" s="6"/>
      <c r="M1389" s="6"/>
      <c r="N1389" s="6"/>
      <c r="O1389" s="7"/>
      <c r="P1389" s="6"/>
      <c r="Q1389" s="6"/>
      <c r="R1389" s="7"/>
      <c r="S1389" s="6"/>
      <c r="T1389" s="6"/>
      <c r="U1389" s="7"/>
      <c r="V1389" s="6"/>
      <c r="W1389" s="6"/>
      <c r="X1389" s="6"/>
      <c r="Y1389" s="6"/>
      <c r="Z1389" s="6"/>
      <c r="AA1389" s="7"/>
      <c r="AB1389" s="6"/>
      <c r="AC1389" s="6"/>
      <c r="AD1389" s="6"/>
      <c r="AE1389" s="12"/>
      <c r="AF1389" s="12"/>
      <c r="AG1389" s="12"/>
      <c r="AH1389" s="12"/>
      <c r="AI1389" s="6"/>
      <c r="AJ1389" s="12"/>
      <c r="AK1389" s="1"/>
      <c r="AL1389" s="12"/>
      <c r="AM1389" s="12"/>
      <c r="AN1389" s="1"/>
      <c r="AO1389" s="6"/>
    </row>
    <row r="1390" spans="1:41" ht="15" x14ac:dyDescent="0.25">
      <c r="A1390" s="1"/>
      <c r="B1390" s="1"/>
      <c r="C1390" s="1"/>
      <c r="D1390" s="1"/>
      <c r="E1390" s="6"/>
      <c r="F1390" s="1"/>
      <c r="G1390" s="6"/>
      <c r="H1390" s="6"/>
      <c r="I1390" s="6"/>
      <c r="J1390" s="6"/>
      <c r="K1390" s="6"/>
      <c r="L1390" s="6"/>
      <c r="M1390" s="6"/>
      <c r="N1390" s="6"/>
      <c r="O1390" s="7"/>
      <c r="P1390" s="6"/>
      <c r="Q1390" s="6"/>
      <c r="R1390" s="7"/>
      <c r="S1390" s="6"/>
      <c r="T1390" s="6"/>
      <c r="U1390" s="7"/>
      <c r="V1390" s="6"/>
      <c r="W1390" s="6"/>
      <c r="X1390" s="6"/>
      <c r="Y1390" s="6"/>
      <c r="Z1390" s="6"/>
      <c r="AA1390" s="7"/>
      <c r="AB1390" s="6"/>
      <c r="AC1390" s="6"/>
      <c r="AD1390" s="6"/>
      <c r="AE1390" s="12"/>
      <c r="AF1390" s="6"/>
      <c r="AG1390" s="12"/>
      <c r="AH1390" s="6"/>
      <c r="AI1390" s="6"/>
      <c r="AJ1390" s="12"/>
      <c r="AK1390" s="1"/>
      <c r="AL1390" s="12"/>
      <c r="AM1390" s="12"/>
      <c r="AN1390" s="1"/>
      <c r="AO1390" s="6"/>
    </row>
    <row r="1391" spans="1:41" ht="15" x14ac:dyDescent="0.25">
      <c r="A1391" s="1"/>
      <c r="B1391" s="1"/>
      <c r="C1391" s="1"/>
      <c r="D1391" s="1"/>
      <c r="E1391" s="6"/>
      <c r="F1391" s="1"/>
      <c r="G1391" s="6"/>
      <c r="H1391" s="6"/>
      <c r="I1391" s="6"/>
      <c r="J1391" s="6"/>
      <c r="K1391" s="6"/>
      <c r="L1391" s="6"/>
      <c r="M1391" s="6"/>
      <c r="N1391" s="6"/>
      <c r="O1391" s="7"/>
      <c r="P1391" s="6"/>
      <c r="Q1391" s="6"/>
      <c r="R1391" s="7"/>
      <c r="S1391" s="6"/>
      <c r="T1391" s="6"/>
      <c r="U1391" s="7"/>
      <c r="V1391" s="6"/>
      <c r="W1391" s="6"/>
      <c r="X1391" s="6"/>
      <c r="Y1391" s="6"/>
      <c r="Z1391" s="6"/>
      <c r="AA1391" s="7"/>
      <c r="AB1391" s="6"/>
      <c r="AC1391" s="6"/>
      <c r="AD1391" s="6"/>
      <c r="AE1391" s="12"/>
      <c r="AF1391" s="6"/>
      <c r="AG1391" s="12"/>
      <c r="AH1391" s="6"/>
      <c r="AI1391" s="6"/>
      <c r="AJ1391" s="12"/>
      <c r="AK1391" s="24"/>
      <c r="AL1391" s="25"/>
      <c r="AM1391" s="12"/>
      <c r="AN1391" s="1"/>
      <c r="AO1391" s="6"/>
    </row>
    <row r="1392" spans="1:41" ht="15" x14ac:dyDescent="0.25">
      <c r="A1392" s="1"/>
      <c r="B1392" s="1"/>
      <c r="C1392" s="1"/>
      <c r="D1392" s="1"/>
      <c r="E1392" s="6"/>
      <c r="F1392" s="1"/>
      <c r="G1392" s="6"/>
      <c r="H1392" s="6"/>
      <c r="I1392" s="6"/>
      <c r="J1392" s="6"/>
      <c r="K1392" s="6"/>
      <c r="L1392" s="6"/>
      <c r="M1392" s="6"/>
      <c r="N1392" s="6"/>
      <c r="O1392" s="7"/>
      <c r="P1392" s="6"/>
      <c r="Q1392" s="6"/>
      <c r="R1392" s="7"/>
      <c r="S1392" s="6"/>
      <c r="T1392" s="6"/>
      <c r="U1392" s="7"/>
      <c r="V1392" s="6"/>
      <c r="W1392" s="6"/>
      <c r="X1392" s="6"/>
      <c r="Y1392" s="6"/>
      <c r="Z1392" s="6"/>
      <c r="AA1392" s="7"/>
      <c r="AB1392" s="6"/>
      <c r="AC1392" s="6"/>
      <c r="AD1392" s="6"/>
      <c r="AE1392" s="12"/>
      <c r="AF1392" s="6"/>
      <c r="AG1392" s="12"/>
      <c r="AH1392" s="6"/>
      <c r="AI1392" s="6"/>
      <c r="AJ1392" s="12"/>
      <c r="AK1392" s="1"/>
      <c r="AL1392" s="12"/>
      <c r="AM1392" s="12"/>
      <c r="AN1392" s="1"/>
      <c r="AO1392" s="6"/>
    </row>
    <row r="1393" spans="1:41" ht="15" x14ac:dyDescent="0.25">
      <c r="A1393" s="1"/>
      <c r="B1393" s="1"/>
      <c r="C1393" s="1"/>
      <c r="D1393" s="1"/>
      <c r="E1393" s="6"/>
      <c r="F1393" s="1"/>
      <c r="G1393" s="6"/>
      <c r="H1393" s="6"/>
      <c r="I1393" s="6"/>
      <c r="J1393" s="6"/>
      <c r="K1393" s="6"/>
      <c r="L1393" s="6"/>
      <c r="M1393" s="6"/>
      <c r="N1393" s="6"/>
      <c r="O1393" s="7"/>
      <c r="P1393" s="6"/>
      <c r="Q1393" s="6"/>
      <c r="R1393" s="7"/>
      <c r="S1393" s="6"/>
      <c r="T1393" s="6"/>
      <c r="U1393" s="7"/>
      <c r="V1393" s="6"/>
      <c r="W1393" s="6"/>
      <c r="X1393" s="6"/>
      <c r="Y1393" s="6"/>
      <c r="Z1393" s="6"/>
      <c r="AA1393" s="7"/>
      <c r="AB1393" s="6"/>
      <c r="AC1393" s="6"/>
      <c r="AD1393" s="6"/>
      <c r="AE1393" s="12"/>
      <c r="AF1393" s="6"/>
      <c r="AG1393" s="12"/>
      <c r="AH1393" s="6"/>
      <c r="AI1393" s="6"/>
      <c r="AJ1393" s="12"/>
      <c r="AK1393" s="24"/>
      <c r="AL1393" s="25"/>
      <c r="AM1393" s="12"/>
      <c r="AN1393" s="1"/>
      <c r="AO1393" s="6"/>
    </row>
    <row r="1394" spans="1:41" ht="15" x14ac:dyDescent="0.25">
      <c r="A1394" s="1"/>
      <c r="B1394" s="1"/>
      <c r="C1394" s="1"/>
      <c r="D1394" s="1"/>
      <c r="E1394" s="6"/>
      <c r="F1394" s="1"/>
      <c r="G1394" s="6"/>
      <c r="H1394" s="6"/>
      <c r="I1394" s="6"/>
      <c r="J1394" s="6"/>
      <c r="K1394" s="6"/>
      <c r="L1394" s="6"/>
      <c r="M1394" s="6"/>
      <c r="N1394" s="6"/>
      <c r="O1394" s="7"/>
      <c r="P1394" s="6"/>
      <c r="Q1394" s="6"/>
      <c r="R1394" s="7"/>
      <c r="S1394" s="6"/>
      <c r="T1394" s="6"/>
      <c r="U1394" s="7"/>
      <c r="V1394" s="6"/>
      <c r="W1394" s="6"/>
      <c r="X1394" s="12"/>
      <c r="Y1394" s="6"/>
      <c r="Z1394" s="6"/>
      <c r="AA1394" s="7"/>
      <c r="AB1394" s="6"/>
      <c r="AC1394" s="6"/>
      <c r="AD1394" s="6"/>
      <c r="AE1394" s="12"/>
      <c r="AF1394" s="6"/>
      <c r="AG1394" s="12"/>
      <c r="AH1394" s="6"/>
      <c r="AI1394" s="6"/>
      <c r="AJ1394" s="12"/>
      <c r="AK1394" s="24"/>
      <c r="AL1394" s="25"/>
      <c r="AM1394" s="12"/>
      <c r="AN1394" s="1"/>
      <c r="AO1394" s="6"/>
    </row>
    <row r="1395" spans="1:41" ht="15" x14ac:dyDescent="0.25">
      <c r="A1395" s="1"/>
      <c r="B1395" s="1"/>
      <c r="C1395" s="1"/>
      <c r="D1395" s="1"/>
      <c r="E1395" s="6"/>
      <c r="F1395" s="1"/>
      <c r="G1395" s="6"/>
      <c r="H1395" s="6"/>
      <c r="I1395" s="6"/>
      <c r="J1395" s="6"/>
      <c r="K1395" s="6"/>
      <c r="L1395" s="6"/>
      <c r="M1395" s="6"/>
      <c r="N1395" s="6"/>
      <c r="O1395" s="7"/>
      <c r="P1395" s="6"/>
      <c r="Q1395" s="6"/>
      <c r="R1395" s="7"/>
      <c r="S1395" s="6"/>
      <c r="T1395" s="6"/>
      <c r="U1395" s="7"/>
      <c r="V1395" s="6"/>
      <c r="W1395" s="6"/>
      <c r="X1395" s="6"/>
      <c r="Y1395" s="6"/>
      <c r="Z1395" s="6"/>
      <c r="AA1395" s="7"/>
      <c r="AB1395" s="6"/>
      <c r="AC1395" s="6"/>
      <c r="AD1395" s="6"/>
      <c r="AE1395" s="12"/>
      <c r="AF1395" s="6"/>
      <c r="AG1395" s="12"/>
      <c r="AH1395" s="6"/>
      <c r="AI1395" s="6"/>
      <c r="AJ1395" s="12"/>
      <c r="AK1395" s="24"/>
      <c r="AL1395" s="25"/>
      <c r="AM1395" s="12"/>
      <c r="AN1395" s="1"/>
      <c r="AO1395" s="6"/>
    </row>
    <row r="1396" spans="1:41" ht="15" x14ac:dyDescent="0.25">
      <c r="A1396" s="1"/>
      <c r="B1396" s="1"/>
      <c r="C1396" s="1"/>
      <c r="D1396" s="1"/>
      <c r="E1396" s="6"/>
      <c r="F1396" s="1"/>
      <c r="G1396" s="6"/>
      <c r="H1396" s="6"/>
      <c r="I1396" s="6"/>
      <c r="J1396" s="6"/>
      <c r="K1396" s="6"/>
      <c r="L1396" s="6"/>
      <c r="M1396" s="6"/>
      <c r="N1396" s="6"/>
      <c r="O1396" s="7"/>
      <c r="P1396" s="6"/>
      <c r="Q1396" s="6"/>
      <c r="R1396" s="7"/>
      <c r="S1396" s="6"/>
      <c r="T1396" s="6"/>
      <c r="U1396" s="7"/>
      <c r="V1396" s="6"/>
      <c r="W1396" s="6"/>
      <c r="X1396" s="6"/>
      <c r="Y1396" s="6"/>
      <c r="Z1396" s="6"/>
      <c r="AA1396" s="7"/>
      <c r="AB1396" s="6"/>
      <c r="AC1396" s="6"/>
      <c r="AD1396" s="6"/>
      <c r="AE1396" s="12"/>
      <c r="AF1396" s="6"/>
      <c r="AG1396" s="12"/>
      <c r="AH1396" s="6"/>
      <c r="AI1396" s="6"/>
      <c r="AJ1396" s="12"/>
      <c r="AK1396" s="24"/>
      <c r="AL1396" s="25"/>
      <c r="AM1396" s="12"/>
      <c r="AN1396" s="1"/>
      <c r="AO1396" s="6"/>
    </row>
    <row r="1397" spans="1:41" ht="15" x14ac:dyDescent="0.25">
      <c r="A1397" s="1"/>
      <c r="B1397" s="1"/>
      <c r="C1397" s="1"/>
      <c r="D1397" s="1"/>
      <c r="E1397" s="6"/>
      <c r="F1397" s="1"/>
      <c r="G1397" s="6"/>
      <c r="H1397" s="6"/>
      <c r="I1397" s="6"/>
      <c r="J1397" s="6"/>
      <c r="K1397" s="6"/>
      <c r="L1397" s="6"/>
      <c r="M1397" s="6"/>
      <c r="N1397" s="6"/>
      <c r="O1397" s="7"/>
      <c r="P1397" s="6"/>
      <c r="Q1397" s="6"/>
      <c r="R1397" s="7"/>
      <c r="S1397" s="6"/>
      <c r="T1397" s="6"/>
      <c r="U1397" s="7"/>
      <c r="V1397" s="6"/>
      <c r="W1397" s="6"/>
      <c r="X1397" s="12"/>
      <c r="Y1397" s="6"/>
      <c r="Z1397" s="6"/>
      <c r="AA1397" s="7"/>
      <c r="AB1397" s="6"/>
      <c r="AC1397" s="6"/>
      <c r="AD1397" s="6"/>
      <c r="AE1397" s="12"/>
      <c r="AF1397" s="12"/>
      <c r="AG1397" s="12"/>
      <c r="AH1397" s="12"/>
      <c r="AI1397" s="6"/>
      <c r="AJ1397" s="12"/>
      <c r="AK1397" s="1"/>
      <c r="AL1397" s="12"/>
      <c r="AM1397" s="12"/>
      <c r="AN1397" s="1"/>
      <c r="AO1397" s="6"/>
    </row>
    <row r="1398" spans="1:41" ht="15" x14ac:dyDescent="0.25">
      <c r="A1398" s="1"/>
      <c r="B1398" s="1"/>
      <c r="C1398" s="1"/>
      <c r="D1398" s="1"/>
      <c r="E1398" s="6"/>
      <c r="F1398" s="1"/>
      <c r="G1398" s="6"/>
      <c r="H1398" s="6"/>
      <c r="I1398" s="6"/>
      <c r="J1398" s="6"/>
      <c r="K1398" s="6"/>
      <c r="L1398" s="6"/>
      <c r="M1398" s="6"/>
      <c r="N1398" s="6"/>
      <c r="O1398" s="7"/>
      <c r="P1398" s="6"/>
      <c r="Q1398" s="7"/>
      <c r="R1398" s="6"/>
      <c r="S1398" s="6"/>
      <c r="T1398" s="6"/>
      <c r="U1398" s="6"/>
      <c r="V1398" s="7"/>
      <c r="W1398" s="7"/>
      <c r="X1398" s="6"/>
      <c r="Y1398" s="6"/>
      <c r="Z1398" s="6"/>
      <c r="AA1398" s="1"/>
      <c r="AB1398" s="12"/>
      <c r="AC1398" s="12"/>
      <c r="AD1398" s="12"/>
      <c r="AE1398" s="12"/>
      <c r="AF1398" s="12"/>
      <c r="AG1398" s="12"/>
      <c r="AH1398" s="12"/>
      <c r="AI1398" s="6"/>
      <c r="AJ1398" s="12"/>
      <c r="AK1398" s="12"/>
      <c r="AL1398" s="12"/>
      <c r="AM1398" s="12"/>
      <c r="AN1398" s="1"/>
      <c r="AO1398" s="6"/>
    </row>
    <row r="1399" spans="1:41" ht="15" x14ac:dyDescent="0.25">
      <c r="A1399" s="1"/>
      <c r="B1399" s="1"/>
      <c r="C1399" s="1"/>
      <c r="D1399" s="1"/>
      <c r="E1399" s="6"/>
      <c r="F1399" s="1"/>
      <c r="G1399" s="6"/>
      <c r="H1399" s="6"/>
      <c r="I1399" s="6"/>
      <c r="J1399" s="6"/>
      <c r="K1399" s="12"/>
      <c r="L1399" s="6"/>
      <c r="M1399" s="6"/>
      <c r="N1399" s="6"/>
      <c r="O1399" s="7"/>
      <c r="P1399" s="6"/>
      <c r="Q1399" s="6"/>
      <c r="R1399" s="15"/>
      <c r="S1399" s="6"/>
      <c r="T1399" s="6"/>
      <c r="U1399" s="7"/>
      <c r="V1399" s="6"/>
      <c r="W1399" s="6"/>
      <c r="X1399" s="6"/>
      <c r="Y1399" s="6"/>
      <c r="Z1399" s="6"/>
      <c r="AA1399" s="7"/>
      <c r="AB1399" s="6"/>
      <c r="AC1399" s="6"/>
      <c r="AD1399" s="6"/>
      <c r="AE1399" s="12"/>
      <c r="AF1399" s="6"/>
      <c r="AG1399" s="12"/>
      <c r="AH1399" s="6"/>
      <c r="AI1399" s="6"/>
      <c r="AJ1399" s="12"/>
      <c r="AK1399" s="1"/>
      <c r="AL1399" s="12"/>
      <c r="AM1399" s="12"/>
      <c r="AN1399" s="1"/>
      <c r="AO1399" s="12"/>
    </row>
    <row r="1400" spans="1:41" ht="15" x14ac:dyDescent="0.25">
      <c r="A1400" s="1"/>
      <c r="B1400" s="1"/>
      <c r="C1400" s="1"/>
      <c r="D1400" s="1"/>
      <c r="E1400" s="6"/>
      <c r="F1400" s="1"/>
      <c r="G1400" s="6"/>
      <c r="H1400" s="6"/>
      <c r="I1400" s="6"/>
      <c r="J1400" s="6"/>
      <c r="K1400" s="6"/>
      <c r="L1400" s="6"/>
      <c r="M1400" s="6"/>
      <c r="N1400" s="6"/>
      <c r="O1400" s="7"/>
      <c r="P1400" s="6"/>
      <c r="Q1400" s="6"/>
      <c r="R1400" s="7"/>
      <c r="S1400" s="6"/>
      <c r="T1400" s="6"/>
      <c r="U1400" s="7"/>
      <c r="V1400" s="6"/>
      <c r="W1400" s="6"/>
      <c r="X1400" s="6"/>
      <c r="Y1400" s="6"/>
      <c r="Z1400" s="6"/>
      <c r="AA1400" s="7"/>
      <c r="AB1400" s="6"/>
      <c r="AC1400" s="6"/>
      <c r="AD1400" s="6"/>
      <c r="AE1400" s="12"/>
      <c r="AF1400" s="12"/>
      <c r="AG1400" s="12"/>
      <c r="AH1400" s="12"/>
      <c r="AI1400" s="6"/>
      <c r="AJ1400" s="12"/>
      <c r="AK1400" s="1"/>
      <c r="AL1400" s="12"/>
      <c r="AM1400" s="12"/>
      <c r="AN1400" s="1"/>
      <c r="AO1400" s="6"/>
    </row>
    <row r="1401" spans="1:41" ht="15" x14ac:dyDescent="0.25">
      <c r="A1401" s="1"/>
      <c r="B1401" s="1"/>
      <c r="C1401" s="1"/>
      <c r="D1401" s="1"/>
      <c r="E1401" s="6"/>
      <c r="F1401" s="1"/>
      <c r="G1401" s="6"/>
      <c r="H1401" s="6"/>
      <c r="I1401" s="6"/>
      <c r="J1401" s="6"/>
      <c r="K1401" s="6"/>
      <c r="L1401" s="6"/>
      <c r="M1401" s="6"/>
      <c r="N1401" s="6"/>
      <c r="O1401" s="7"/>
      <c r="P1401" s="6"/>
      <c r="Q1401" s="6"/>
      <c r="R1401" s="7"/>
      <c r="S1401" s="6"/>
      <c r="T1401" s="6"/>
      <c r="U1401" s="7"/>
      <c r="V1401" s="6"/>
      <c r="W1401" s="6"/>
      <c r="X1401" s="6"/>
      <c r="Y1401" s="6"/>
      <c r="Z1401" s="6"/>
      <c r="AA1401" s="7"/>
      <c r="AB1401" s="6"/>
      <c r="AC1401" s="6"/>
      <c r="AD1401" s="6"/>
      <c r="AE1401" s="12"/>
      <c r="AF1401" s="6"/>
      <c r="AG1401" s="12"/>
      <c r="AH1401" s="6"/>
      <c r="AI1401" s="6"/>
      <c r="AJ1401" s="12"/>
      <c r="AK1401" s="1"/>
      <c r="AL1401" s="12"/>
      <c r="AM1401" s="12"/>
      <c r="AN1401" s="1"/>
      <c r="AO1401" s="6"/>
    </row>
    <row r="1402" spans="1:41" ht="15" x14ac:dyDescent="0.25">
      <c r="A1402" s="1"/>
      <c r="B1402" s="1"/>
      <c r="C1402" s="1"/>
      <c r="D1402" s="1"/>
      <c r="E1402" s="6"/>
      <c r="F1402" s="1"/>
      <c r="G1402" s="6"/>
      <c r="H1402" s="6"/>
      <c r="I1402" s="6"/>
      <c r="J1402" s="6"/>
      <c r="K1402" s="6"/>
      <c r="L1402" s="6"/>
      <c r="M1402" s="6"/>
      <c r="N1402" s="6"/>
      <c r="O1402" s="7"/>
      <c r="P1402" s="6"/>
      <c r="Q1402" s="6"/>
      <c r="R1402" s="7"/>
      <c r="S1402" s="6"/>
      <c r="T1402" s="6"/>
      <c r="U1402" s="7"/>
      <c r="V1402" s="6"/>
      <c r="W1402" s="6"/>
      <c r="X1402" s="6"/>
      <c r="Y1402" s="6"/>
      <c r="Z1402" s="6"/>
      <c r="AA1402" s="7"/>
      <c r="AB1402" s="6"/>
      <c r="AC1402" s="6"/>
      <c r="AD1402" s="6"/>
      <c r="AE1402" s="12"/>
      <c r="AF1402" s="6"/>
      <c r="AG1402" s="12"/>
      <c r="AH1402" s="6"/>
      <c r="AI1402" s="6"/>
      <c r="AJ1402" s="12"/>
      <c r="AK1402" s="24"/>
      <c r="AL1402" s="25"/>
      <c r="AM1402" s="12"/>
      <c r="AN1402" s="1"/>
      <c r="AO1402" s="6"/>
    </row>
    <row r="1403" spans="1:41" ht="15" x14ac:dyDescent="0.25">
      <c r="A1403" s="1"/>
      <c r="B1403" s="1"/>
      <c r="C1403" s="1"/>
      <c r="D1403" s="1"/>
      <c r="E1403" s="6"/>
      <c r="F1403" s="1"/>
      <c r="G1403" s="6"/>
      <c r="H1403" s="6"/>
      <c r="I1403" s="6"/>
      <c r="J1403" s="6"/>
      <c r="K1403" s="6"/>
      <c r="L1403" s="6"/>
      <c r="M1403" s="6"/>
      <c r="N1403" s="6"/>
      <c r="O1403" s="7"/>
      <c r="P1403" s="6"/>
      <c r="Q1403" s="6"/>
      <c r="R1403" s="7"/>
      <c r="S1403" s="6"/>
      <c r="T1403" s="6"/>
      <c r="U1403" s="7"/>
      <c r="V1403" s="6"/>
      <c r="W1403" s="6"/>
      <c r="X1403" s="6"/>
      <c r="Y1403" s="6"/>
      <c r="Z1403" s="6"/>
      <c r="AA1403" s="7"/>
      <c r="AB1403" s="6"/>
      <c r="AC1403" s="6"/>
      <c r="AD1403" s="6"/>
      <c r="AE1403" s="12"/>
      <c r="AF1403" s="6"/>
      <c r="AG1403" s="12"/>
      <c r="AH1403" s="6"/>
      <c r="AI1403" s="6"/>
      <c r="AJ1403" s="12"/>
      <c r="AK1403" s="1"/>
      <c r="AL1403" s="12"/>
      <c r="AM1403" s="12"/>
      <c r="AN1403" s="1"/>
      <c r="AO1403" s="6"/>
    </row>
    <row r="1404" spans="1:41" ht="15" x14ac:dyDescent="0.25">
      <c r="A1404" s="1"/>
      <c r="B1404" s="1"/>
      <c r="C1404" s="1"/>
      <c r="D1404" s="1"/>
      <c r="E1404" s="6"/>
      <c r="F1404" s="1"/>
      <c r="G1404" s="6"/>
      <c r="H1404" s="6"/>
      <c r="I1404" s="6"/>
      <c r="J1404" s="6"/>
      <c r="K1404" s="6"/>
      <c r="L1404" s="6"/>
      <c r="M1404" s="6"/>
      <c r="N1404" s="6"/>
      <c r="O1404" s="7"/>
      <c r="P1404" s="6"/>
      <c r="Q1404" s="6"/>
      <c r="R1404" s="7"/>
      <c r="S1404" s="6"/>
      <c r="T1404" s="6"/>
      <c r="U1404" s="7"/>
      <c r="V1404" s="6"/>
      <c r="W1404" s="6"/>
      <c r="X1404" s="12"/>
      <c r="Y1404" s="6"/>
      <c r="Z1404" s="6"/>
      <c r="AA1404" s="7"/>
      <c r="AB1404" s="6"/>
      <c r="AC1404" s="6"/>
      <c r="AD1404" s="6"/>
      <c r="AE1404" s="12"/>
      <c r="AF1404" s="12"/>
      <c r="AG1404" s="12"/>
      <c r="AH1404" s="12"/>
      <c r="AI1404" s="6"/>
      <c r="AJ1404" s="12"/>
      <c r="AK1404" s="1"/>
      <c r="AL1404" s="12"/>
      <c r="AM1404" s="12"/>
      <c r="AN1404" s="1"/>
      <c r="AO1404" s="6"/>
    </row>
    <row r="1405" spans="1:41" ht="15" x14ac:dyDescent="0.25">
      <c r="A1405" s="1"/>
      <c r="B1405" s="1"/>
      <c r="C1405" s="1"/>
      <c r="D1405" s="1"/>
      <c r="E1405" s="6"/>
      <c r="F1405" s="1"/>
      <c r="G1405" s="6"/>
      <c r="H1405" s="6"/>
      <c r="I1405" s="6"/>
      <c r="J1405" s="6"/>
      <c r="K1405" s="12"/>
      <c r="L1405" s="12"/>
      <c r="M1405" s="6"/>
      <c r="N1405" s="6"/>
      <c r="O1405" s="15"/>
      <c r="P1405" s="12"/>
      <c r="Q1405" s="6"/>
      <c r="R1405" s="7"/>
      <c r="S1405" s="6"/>
      <c r="T1405" s="6"/>
      <c r="U1405" s="7"/>
      <c r="V1405" s="6"/>
      <c r="W1405" s="6"/>
      <c r="X1405" s="6"/>
      <c r="Y1405" s="6"/>
      <c r="Z1405" s="6"/>
      <c r="AA1405" s="7"/>
      <c r="AB1405" s="6"/>
      <c r="AC1405" s="6"/>
      <c r="AD1405" s="6"/>
      <c r="AE1405" s="12"/>
      <c r="AF1405" s="12"/>
      <c r="AG1405" s="12"/>
      <c r="AH1405" s="12"/>
      <c r="AI1405" s="6"/>
      <c r="AJ1405" s="12"/>
      <c r="AK1405" s="1"/>
      <c r="AL1405" s="12"/>
      <c r="AM1405" s="12"/>
      <c r="AN1405" s="1"/>
      <c r="AO1405" s="6"/>
    </row>
    <row r="1406" spans="1:41" ht="15" x14ac:dyDescent="0.25">
      <c r="A1406" s="1"/>
      <c r="B1406" s="1"/>
      <c r="C1406" s="1"/>
      <c r="D1406" s="1"/>
      <c r="E1406" s="6"/>
      <c r="F1406" s="1"/>
      <c r="G1406" s="6"/>
      <c r="H1406" s="6"/>
      <c r="I1406" s="6"/>
      <c r="J1406" s="6"/>
      <c r="K1406" s="6"/>
      <c r="L1406" s="6"/>
      <c r="M1406" s="6"/>
      <c r="N1406" s="6"/>
      <c r="O1406" s="7"/>
      <c r="P1406" s="6"/>
      <c r="Q1406" s="6"/>
      <c r="R1406" s="15"/>
      <c r="S1406" s="6"/>
      <c r="T1406" s="6"/>
      <c r="U1406" s="15"/>
      <c r="V1406" s="6"/>
      <c r="W1406" s="6"/>
      <c r="X1406" s="6"/>
      <c r="Y1406" s="12"/>
      <c r="Z1406" s="6"/>
      <c r="AA1406" s="7"/>
      <c r="AB1406" s="6"/>
      <c r="AC1406" s="6"/>
      <c r="AD1406" s="6"/>
      <c r="AE1406" s="12"/>
      <c r="AF1406" s="6"/>
      <c r="AG1406" s="12"/>
      <c r="AH1406" s="6"/>
      <c r="AI1406" s="6"/>
      <c r="AJ1406" s="12"/>
      <c r="AK1406" s="24"/>
      <c r="AL1406" s="25"/>
      <c r="AM1406" s="12"/>
      <c r="AN1406" s="1"/>
      <c r="AO1406" s="6"/>
    </row>
    <row r="1407" spans="1:41" ht="15" x14ac:dyDescent="0.25">
      <c r="A1407" s="1"/>
      <c r="B1407" s="1"/>
      <c r="C1407" s="1"/>
      <c r="D1407" s="1"/>
      <c r="E1407" s="6"/>
      <c r="F1407" s="1"/>
      <c r="G1407" s="6"/>
      <c r="H1407" s="6"/>
      <c r="I1407" s="6"/>
      <c r="J1407" s="6"/>
      <c r="K1407" s="6"/>
      <c r="L1407" s="6"/>
      <c r="M1407" s="6"/>
      <c r="N1407" s="6"/>
      <c r="O1407" s="7"/>
      <c r="P1407" s="12"/>
      <c r="Q1407" s="6"/>
      <c r="R1407" s="7"/>
      <c r="S1407" s="6"/>
      <c r="T1407" s="6"/>
      <c r="U1407" s="7"/>
      <c r="V1407" s="6"/>
      <c r="W1407" s="6"/>
      <c r="X1407" s="6"/>
      <c r="Y1407" s="6"/>
      <c r="Z1407" s="6"/>
      <c r="AA1407" s="7"/>
      <c r="AB1407" s="6"/>
      <c r="AC1407" s="6"/>
      <c r="AD1407" s="6"/>
      <c r="AE1407" s="12"/>
      <c r="AF1407" s="6"/>
      <c r="AG1407" s="12"/>
      <c r="AH1407" s="6"/>
      <c r="AI1407" s="6"/>
      <c r="AJ1407" s="12"/>
      <c r="AK1407" s="24"/>
      <c r="AL1407" s="25"/>
      <c r="AM1407" s="12"/>
      <c r="AN1407" s="1"/>
      <c r="AO1407" s="6"/>
    </row>
    <row r="1408" spans="1:41" ht="15" x14ac:dyDescent="0.25">
      <c r="A1408" s="1"/>
      <c r="B1408" s="1"/>
      <c r="C1408" s="1"/>
      <c r="D1408" s="1"/>
      <c r="E1408" s="6"/>
      <c r="F1408" s="1"/>
      <c r="G1408" s="6"/>
      <c r="H1408" s="6"/>
      <c r="I1408" s="6"/>
      <c r="J1408" s="6"/>
      <c r="K1408" s="12"/>
      <c r="L1408" s="12"/>
      <c r="M1408" s="6"/>
      <c r="N1408" s="6"/>
      <c r="O1408" s="7"/>
      <c r="P1408" s="6"/>
      <c r="Q1408" s="6"/>
      <c r="R1408" s="7"/>
      <c r="S1408" s="6"/>
      <c r="T1408" s="6"/>
      <c r="U1408" s="7"/>
      <c r="V1408" s="6"/>
      <c r="W1408" s="6"/>
      <c r="X1408" s="6"/>
      <c r="Y1408" s="6"/>
      <c r="Z1408" s="6"/>
      <c r="AA1408" s="7"/>
      <c r="AB1408" s="6"/>
      <c r="AC1408" s="6"/>
      <c r="AD1408" s="6"/>
      <c r="AE1408" s="12"/>
      <c r="AF1408" s="12"/>
      <c r="AG1408" s="12"/>
      <c r="AH1408" s="12"/>
      <c r="AI1408" s="6"/>
      <c r="AJ1408" s="12"/>
      <c r="AK1408" s="24"/>
      <c r="AL1408" s="25"/>
      <c r="AM1408" s="12"/>
      <c r="AN1408" s="1"/>
      <c r="AO1408" s="12"/>
    </row>
    <row r="1409" spans="1:41" ht="15" x14ac:dyDescent="0.25">
      <c r="A1409" s="1"/>
      <c r="B1409" s="1"/>
      <c r="C1409" s="1"/>
      <c r="D1409" s="1"/>
      <c r="E1409" s="6"/>
      <c r="F1409" s="1"/>
      <c r="G1409" s="6"/>
      <c r="H1409" s="6"/>
      <c r="I1409" s="6"/>
      <c r="J1409" s="6"/>
      <c r="K1409" s="6"/>
      <c r="L1409" s="6"/>
      <c r="M1409" s="6"/>
      <c r="N1409" s="6"/>
      <c r="O1409" s="7"/>
      <c r="P1409" s="6"/>
      <c r="Q1409" s="6"/>
      <c r="R1409" s="7"/>
      <c r="S1409" s="6"/>
      <c r="T1409" s="6"/>
      <c r="U1409" s="7"/>
      <c r="V1409" s="6"/>
      <c r="W1409" s="6"/>
      <c r="X1409" s="6"/>
      <c r="Y1409" s="6"/>
      <c r="Z1409" s="6"/>
      <c r="AA1409" s="7"/>
      <c r="AB1409" s="6"/>
      <c r="AC1409" s="6"/>
      <c r="AD1409" s="6"/>
      <c r="AE1409" s="12"/>
      <c r="AF1409" s="12"/>
      <c r="AG1409" s="12"/>
      <c r="AH1409" s="12"/>
      <c r="AI1409" s="6"/>
      <c r="AJ1409" s="12"/>
      <c r="AK1409" s="24"/>
      <c r="AL1409" s="25"/>
      <c r="AM1409" s="12"/>
      <c r="AN1409" s="1"/>
      <c r="AO1409" s="6"/>
    </row>
    <row r="1410" spans="1:41" ht="15" x14ac:dyDescent="0.25">
      <c r="A1410" s="1"/>
      <c r="B1410" s="1"/>
      <c r="C1410" s="1"/>
      <c r="D1410" s="1"/>
      <c r="E1410" s="6"/>
      <c r="F1410" s="1"/>
      <c r="G1410" s="6"/>
      <c r="H1410" s="6"/>
      <c r="I1410" s="6"/>
      <c r="J1410" s="6"/>
      <c r="K1410" s="6"/>
      <c r="L1410" s="6"/>
      <c r="M1410" s="6"/>
      <c r="N1410" s="6"/>
      <c r="O1410" s="7"/>
      <c r="P1410" s="6"/>
      <c r="Q1410" s="7"/>
      <c r="R1410" s="6"/>
      <c r="S1410" s="6"/>
      <c r="T1410" s="6"/>
      <c r="U1410" s="6"/>
      <c r="V1410" s="7"/>
      <c r="W1410" s="7"/>
      <c r="X1410" s="6"/>
      <c r="Y1410" s="6"/>
      <c r="Z1410" s="6"/>
      <c r="AA1410" s="1"/>
      <c r="AB1410" s="12"/>
      <c r="AC1410" s="12"/>
      <c r="AD1410" s="12"/>
      <c r="AE1410" s="12"/>
      <c r="AF1410" s="12"/>
      <c r="AG1410" s="12"/>
      <c r="AH1410" s="12"/>
      <c r="AI1410" s="6"/>
      <c r="AJ1410" s="12"/>
      <c r="AK1410" s="12"/>
      <c r="AL1410" s="12"/>
      <c r="AM1410" s="12"/>
      <c r="AN1410" s="1"/>
      <c r="AO1410" s="6"/>
    </row>
    <row r="1411" spans="1:41" ht="15" x14ac:dyDescent="0.25">
      <c r="A1411" s="1"/>
      <c r="B1411" s="1"/>
      <c r="C1411" s="1"/>
      <c r="D1411" s="1"/>
      <c r="E1411" s="6"/>
      <c r="F1411" s="1"/>
      <c r="G1411" s="6"/>
      <c r="H1411" s="6"/>
      <c r="I1411" s="6"/>
      <c r="J1411" s="6"/>
      <c r="K1411" s="6"/>
      <c r="L1411" s="6"/>
      <c r="M1411" s="6"/>
      <c r="N1411" s="6"/>
      <c r="O1411" s="7"/>
      <c r="P1411" s="12"/>
      <c r="Q1411" s="6"/>
      <c r="R1411" s="7"/>
      <c r="S1411" s="6"/>
      <c r="T1411" s="6"/>
      <c r="U1411" s="7"/>
      <c r="V1411" s="6"/>
      <c r="W1411" s="6"/>
      <c r="X1411" s="6"/>
      <c r="Y1411" s="6"/>
      <c r="Z1411" s="6"/>
      <c r="AA1411" s="7"/>
      <c r="AB1411" s="6"/>
      <c r="AC1411" s="6"/>
      <c r="AD1411" s="6"/>
      <c r="AE1411" s="12"/>
      <c r="AF1411" s="12"/>
      <c r="AG1411" s="12"/>
      <c r="AH1411" s="12"/>
      <c r="AI1411" s="6"/>
      <c r="AJ1411" s="12"/>
      <c r="AK1411" s="1"/>
      <c r="AL1411" s="12"/>
      <c r="AM1411" s="12"/>
      <c r="AN1411" s="1"/>
      <c r="AO1411" s="6"/>
    </row>
    <row r="1412" spans="1:41" ht="15" x14ac:dyDescent="0.25">
      <c r="A1412" s="1"/>
      <c r="B1412" s="1"/>
      <c r="C1412" s="1"/>
      <c r="D1412" s="1"/>
      <c r="E1412" s="6"/>
      <c r="F1412" s="1"/>
      <c r="G1412" s="6"/>
      <c r="H1412" s="6"/>
      <c r="I1412" s="6"/>
      <c r="J1412" s="6"/>
      <c r="K1412" s="6"/>
      <c r="L1412" s="6"/>
      <c r="M1412" s="6"/>
      <c r="N1412" s="6"/>
      <c r="O1412" s="7"/>
      <c r="P1412" s="6"/>
      <c r="Q1412" s="6"/>
      <c r="R1412" s="7"/>
      <c r="S1412" s="6"/>
      <c r="T1412" s="6"/>
      <c r="U1412" s="7"/>
      <c r="V1412" s="6"/>
      <c r="W1412" s="6"/>
      <c r="X1412" s="6"/>
      <c r="Y1412" s="6"/>
      <c r="Z1412" s="6"/>
      <c r="AA1412" s="7"/>
      <c r="AB1412" s="6"/>
      <c r="AC1412" s="6"/>
      <c r="AD1412" s="6"/>
      <c r="AE1412" s="12"/>
      <c r="AF1412" s="12"/>
      <c r="AG1412" s="12"/>
      <c r="AH1412" s="12"/>
      <c r="AI1412" s="6"/>
      <c r="AJ1412" s="12"/>
      <c r="AK1412" s="1"/>
      <c r="AL1412" s="12"/>
      <c r="AM1412" s="12"/>
      <c r="AN1412" s="1"/>
      <c r="AO1412" s="6"/>
    </row>
    <row r="1413" spans="1:41" ht="15" x14ac:dyDescent="0.25">
      <c r="A1413" s="1"/>
      <c r="B1413" s="1"/>
      <c r="C1413" s="1"/>
      <c r="D1413" s="1"/>
      <c r="E1413" s="6"/>
      <c r="F1413" s="1"/>
      <c r="G1413" s="6"/>
      <c r="H1413" s="6"/>
      <c r="I1413" s="6"/>
      <c r="J1413" s="6"/>
      <c r="K1413" s="6"/>
      <c r="L1413" s="6"/>
      <c r="M1413" s="6"/>
      <c r="N1413" s="6"/>
      <c r="O1413" s="7"/>
      <c r="P1413" s="6"/>
      <c r="Q1413" s="6"/>
      <c r="R1413" s="7"/>
      <c r="S1413" s="6"/>
      <c r="T1413" s="6"/>
      <c r="U1413" s="7"/>
      <c r="V1413" s="6"/>
      <c r="W1413" s="6"/>
      <c r="X1413" s="6"/>
      <c r="Y1413" s="6"/>
      <c r="Z1413" s="6"/>
      <c r="AA1413" s="7"/>
      <c r="AB1413" s="6"/>
      <c r="AC1413" s="6"/>
      <c r="AD1413" s="6"/>
      <c r="AE1413" s="12"/>
      <c r="AF1413" s="6"/>
      <c r="AG1413" s="12"/>
      <c r="AH1413" s="6"/>
      <c r="AI1413" s="6"/>
      <c r="AJ1413" s="12"/>
      <c r="AK1413" s="24"/>
      <c r="AL1413" s="25"/>
      <c r="AM1413" s="12"/>
      <c r="AN1413" s="1"/>
      <c r="AO1413" s="6"/>
    </row>
    <row r="1414" spans="1:41" ht="15" x14ac:dyDescent="0.25">
      <c r="A1414" s="1"/>
      <c r="B1414" s="1"/>
      <c r="C1414" s="1"/>
      <c r="D1414" s="1"/>
      <c r="E1414" s="6"/>
      <c r="F1414" s="1"/>
      <c r="G1414" s="6"/>
      <c r="H1414" s="6"/>
      <c r="I1414" s="6"/>
      <c r="J1414" s="6"/>
      <c r="K1414" s="6"/>
      <c r="L1414" s="6"/>
      <c r="M1414" s="6"/>
      <c r="N1414" s="6"/>
      <c r="O1414" s="7"/>
      <c r="P1414" s="6"/>
      <c r="Q1414" s="6"/>
      <c r="R1414" s="7"/>
      <c r="S1414" s="6"/>
      <c r="T1414" s="6"/>
      <c r="U1414" s="7"/>
      <c r="V1414" s="6"/>
      <c r="W1414" s="6"/>
      <c r="X1414" s="12"/>
      <c r="Y1414" s="6"/>
      <c r="Z1414" s="6"/>
      <c r="AA1414" s="7"/>
      <c r="AB1414" s="6"/>
      <c r="AC1414" s="6"/>
      <c r="AD1414" s="6"/>
      <c r="AE1414" s="12"/>
      <c r="AF1414" s="12"/>
      <c r="AG1414" s="12"/>
      <c r="AH1414" s="12"/>
      <c r="AI1414" s="6"/>
      <c r="AJ1414" s="12"/>
      <c r="AK1414" s="1"/>
      <c r="AL1414" s="12"/>
      <c r="AM1414" s="12"/>
      <c r="AN1414" s="1"/>
      <c r="AO1414" s="6"/>
    </row>
    <row r="1415" spans="1:41" ht="15" x14ac:dyDescent="0.25">
      <c r="A1415" s="1"/>
      <c r="B1415" s="1"/>
      <c r="C1415" s="1"/>
      <c r="D1415" s="1"/>
      <c r="E1415" s="6"/>
      <c r="F1415" s="1"/>
      <c r="G1415" s="6"/>
      <c r="H1415" s="6"/>
      <c r="I1415" s="6"/>
      <c r="J1415" s="6"/>
      <c r="K1415" s="6"/>
      <c r="L1415" s="6"/>
      <c r="M1415" s="6"/>
      <c r="N1415" s="6"/>
      <c r="O1415" s="7"/>
      <c r="P1415" s="12"/>
      <c r="Q1415" s="6"/>
      <c r="R1415" s="7"/>
      <c r="S1415" s="6"/>
      <c r="T1415" s="6"/>
      <c r="U1415" s="7"/>
      <c r="V1415" s="6"/>
      <c r="W1415" s="6"/>
      <c r="X1415" s="6"/>
      <c r="Y1415" s="6"/>
      <c r="Z1415" s="6"/>
      <c r="AA1415" s="7"/>
      <c r="AB1415" s="6"/>
      <c r="AC1415" s="6"/>
      <c r="AD1415" s="6"/>
      <c r="AE1415" s="12"/>
      <c r="AF1415" s="12"/>
      <c r="AG1415" s="12"/>
      <c r="AH1415" s="12"/>
      <c r="AI1415" s="6"/>
      <c r="AJ1415" s="12"/>
      <c r="AK1415" s="1"/>
      <c r="AL1415" s="12"/>
      <c r="AM1415" s="12"/>
      <c r="AN1415" s="1"/>
      <c r="AO1415" s="6"/>
    </row>
    <row r="1416" spans="1:41" ht="15" x14ac:dyDescent="0.25">
      <c r="A1416" s="1"/>
      <c r="B1416" s="1"/>
      <c r="C1416" s="1"/>
      <c r="D1416" s="1"/>
      <c r="E1416" s="6"/>
      <c r="F1416" s="1"/>
      <c r="G1416" s="6"/>
      <c r="H1416" s="6"/>
      <c r="I1416" s="6"/>
      <c r="J1416" s="6"/>
      <c r="K1416" s="6"/>
      <c r="L1416" s="6"/>
      <c r="M1416" s="6"/>
      <c r="N1416" s="6"/>
      <c r="O1416" s="7"/>
      <c r="P1416" s="6"/>
      <c r="Q1416" s="6"/>
      <c r="R1416" s="7"/>
      <c r="S1416" s="6"/>
      <c r="T1416" s="6"/>
      <c r="U1416" s="7"/>
      <c r="V1416" s="6"/>
      <c r="W1416" s="6"/>
      <c r="X1416" s="6"/>
      <c r="Y1416" s="6"/>
      <c r="Z1416" s="6"/>
      <c r="AA1416" s="7"/>
      <c r="AB1416" s="6"/>
      <c r="AC1416" s="6"/>
      <c r="AD1416" s="6"/>
      <c r="AE1416" s="12"/>
      <c r="AF1416" s="12"/>
      <c r="AG1416" s="12"/>
      <c r="AH1416" s="12"/>
      <c r="AI1416" s="6"/>
      <c r="AJ1416" s="12"/>
      <c r="AK1416" s="1"/>
      <c r="AL1416" s="12"/>
      <c r="AM1416" s="12"/>
      <c r="AN1416" s="1"/>
      <c r="AO1416" s="6"/>
    </row>
    <row r="1417" spans="1:41" ht="15" x14ac:dyDescent="0.25">
      <c r="A1417" s="1"/>
      <c r="B1417" s="1"/>
      <c r="C1417" s="1"/>
      <c r="D1417" s="1"/>
      <c r="E1417" s="6"/>
      <c r="F1417" s="1"/>
      <c r="G1417" s="6"/>
      <c r="H1417" s="6"/>
      <c r="I1417" s="6"/>
      <c r="J1417" s="6"/>
      <c r="K1417" s="6"/>
      <c r="L1417" s="6"/>
      <c r="M1417" s="6"/>
      <c r="N1417" s="6"/>
      <c r="O1417" s="7"/>
      <c r="P1417" s="6"/>
      <c r="Q1417" s="6"/>
      <c r="R1417" s="7"/>
      <c r="S1417" s="6"/>
      <c r="T1417" s="6"/>
      <c r="U1417" s="7"/>
      <c r="V1417" s="6"/>
      <c r="W1417" s="6"/>
      <c r="X1417" s="12"/>
      <c r="Y1417" s="6"/>
      <c r="Z1417" s="6"/>
      <c r="AA1417" s="7"/>
      <c r="AB1417" s="6"/>
      <c r="AC1417" s="6"/>
      <c r="AD1417" s="6"/>
      <c r="AE1417" s="12"/>
      <c r="AF1417" s="6"/>
      <c r="AG1417" s="12"/>
      <c r="AH1417" s="6"/>
      <c r="AI1417" s="6"/>
      <c r="AJ1417" s="12"/>
      <c r="AK1417" s="1"/>
      <c r="AL1417" s="12"/>
      <c r="AM1417" s="12"/>
      <c r="AN1417" s="1"/>
      <c r="AO1417" s="6"/>
    </row>
    <row r="1418" spans="1:41" ht="15" x14ac:dyDescent="0.25">
      <c r="A1418" s="1"/>
      <c r="B1418" s="1"/>
      <c r="C1418" s="1"/>
      <c r="D1418" s="1"/>
      <c r="E1418" s="6"/>
      <c r="F1418" s="1"/>
      <c r="G1418" s="6"/>
      <c r="H1418" s="6"/>
      <c r="I1418" s="6"/>
      <c r="J1418" s="6"/>
      <c r="K1418" s="6"/>
      <c r="L1418" s="6"/>
      <c r="M1418" s="6"/>
      <c r="N1418" s="6"/>
      <c r="O1418" s="7"/>
      <c r="P1418" s="6"/>
      <c r="Q1418" s="6"/>
      <c r="R1418" s="7"/>
      <c r="S1418" s="6"/>
      <c r="T1418" s="6"/>
      <c r="U1418" s="7"/>
      <c r="V1418" s="6"/>
      <c r="W1418" s="6"/>
      <c r="X1418" s="6"/>
      <c r="Y1418" s="6"/>
      <c r="Z1418" s="6"/>
      <c r="AA1418" s="7"/>
      <c r="AB1418" s="6"/>
      <c r="AC1418" s="6"/>
      <c r="AD1418" s="6"/>
      <c r="AE1418" s="12"/>
      <c r="AF1418" s="12"/>
      <c r="AG1418" s="12"/>
      <c r="AH1418" s="12"/>
      <c r="AI1418" s="6"/>
      <c r="AJ1418" s="12"/>
      <c r="AK1418" s="1"/>
      <c r="AL1418" s="12"/>
      <c r="AM1418" s="12"/>
      <c r="AN1418" s="1"/>
      <c r="AO1418" s="6"/>
    </row>
    <row r="1419" spans="1:41" ht="15" x14ac:dyDescent="0.25">
      <c r="A1419" s="1"/>
      <c r="B1419" s="1"/>
      <c r="C1419" s="1"/>
      <c r="D1419" s="1"/>
      <c r="E1419" s="6"/>
      <c r="F1419" s="1"/>
      <c r="G1419" s="6"/>
      <c r="H1419" s="6"/>
      <c r="I1419" s="6"/>
      <c r="J1419" s="6"/>
      <c r="K1419" s="6"/>
      <c r="L1419" s="6"/>
      <c r="M1419" s="6"/>
      <c r="N1419" s="6"/>
      <c r="O1419" s="7"/>
      <c r="P1419" s="6"/>
      <c r="Q1419" s="6"/>
      <c r="R1419" s="7"/>
      <c r="S1419" s="6"/>
      <c r="T1419" s="6"/>
      <c r="U1419" s="7"/>
      <c r="V1419" s="6"/>
      <c r="W1419" s="6"/>
      <c r="X1419" s="6"/>
      <c r="Y1419" s="6"/>
      <c r="Z1419" s="6"/>
      <c r="AA1419" s="7"/>
      <c r="AB1419" s="6"/>
      <c r="AC1419" s="6"/>
      <c r="AD1419" s="6"/>
      <c r="AE1419" s="12"/>
      <c r="AF1419" s="12"/>
      <c r="AG1419" s="12"/>
      <c r="AH1419" s="12"/>
      <c r="AI1419" s="6"/>
      <c r="AJ1419" s="12"/>
      <c r="AK1419" s="1"/>
      <c r="AL1419" s="12"/>
      <c r="AM1419" s="12"/>
      <c r="AN1419" s="1"/>
      <c r="AO1419" s="6"/>
    </row>
    <row r="1420" spans="1:41" ht="15" x14ac:dyDescent="0.25">
      <c r="A1420" s="1"/>
      <c r="B1420" s="1"/>
      <c r="C1420" s="1"/>
      <c r="D1420" s="1"/>
      <c r="E1420" s="6"/>
      <c r="F1420" s="1"/>
      <c r="G1420" s="6"/>
      <c r="H1420" s="6"/>
      <c r="I1420" s="6"/>
      <c r="J1420" s="6"/>
      <c r="K1420" s="6"/>
      <c r="L1420" s="6"/>
      <c r="M1420" s="6"/>
      <c r="N1420" s="6"/>
      <c r="O1420" s="7"/>
      <c r="P1420" s="6"/>
      <c r="Q1420" s="7"/>
      <c r="R1420" s="6"/>
      <c r="S1420" s="12"/>
      <c r="T1420" s="6"/>
      <c r="U1420" s="6"/>
      <c r="V1420" s="7"/>
      <c r="W1420" s="7"/>
      <c r="X1420" s="6"/>
      <c r="Y1420" s="6"/>
      <c r="Z1420" s="6"/>
      <c r="AA1420" s="1"/>
      <c r="AB1420" s="12"/>
      <c r="AC1420" s="12"/>
      <c r="AD1420" s="12"/>
      <c r="AE1420" s="12"/>
      <c r="AF1420" s="12"/>
      <c r="AG1420" s="12"/>
      <c r="AH1420" s="12"/>
      <c r="AI1420" s="6"/>
      <c r="AJ1420" s="12"/>
      <c r="AK1420" s="12"/>
      <c r="AL1420" s="12"/>
      <c r="AM1420" s="12"/>
      <c r="AN1420" s="1"/>
      <c r="AO1420" s="6"/>
    </row>
    <row r="1421" spans="1:41" ht="15" x14ac:dyDescent="0.25">
      <c r="A1421" s="1"/>
      <c r="B1421" s="1"/>
      <c r="C1421" s="1"/>
      <c r="D1421" s="1"/>
      <c r="E1421" s="6"/>
      <c r="F1421" s="1"/>
      <c r="G1421" s="6"/>
      <c r="H1421" s="6"/>
      <c r="I1421" s="6"/>
      <c r="J1421" s="6"/>
      <c r="K1421" s="6"/>
      <c r="L1421" s="6"/>
      <c r="M1421" s="6"/>
      <c r="N1421" s="6"/>
      <c r="O1421" s="7"/>
      <c r="P1421" s="6"/>
      <c r="Q1421" s="7"/>
      <c r="R1421" s="6"/>
      <c r="S1421" s="6"/>
      <c r="T1421" s="6"/>
      <c r="U1421" s="6"/>
      <c r="V1421" s="7"/>
      <c r="W1421" s="7"/>
      <c r="X1421" s="6"/>
      <c r="Y1421" s="6"/>
      <c r="Z1421" s="6"/>
      <c r="AA1421" s="1"/>
      <c r="AB1421" s="12"/>
      <c r="AC1421" s="12"/>
      <c r="AD1421" s="12"/>
      <c r="AE1421" s="12"/>
      <c r="AF1421" s="12"/>
      <c r="AG1421" s="12"/>
      <c r="AH1421" s="12"/>
      <c r="AI1421" s="6"/>
      <c r="AJ1421" s="12"/>
      <c r="AK1421" s="12"/>
      <c r="AL1421" s="12"/>
      <c r="AM1421" s="12"/>
      <c r="AN1421" s="1"/>
      <c r="AO1421" s="6"/>
    </row>
    <row r="1422" spans="1:41" ht="15" x14ac:dyDescent="0.25">
      <c r="A1422" s="1"/>
      <c r="B1422" s="1"/>
      <c r="C1422" s="1"/>
      <c r="D1422" s="1"/>
      <c r="E1422" s="6"/>
      <c r="F1422" s="1"/>
      <c r="G1422" s="6"/>
      <c r="H1422" s="6"/>
      <c r="I1422" s="6"/>
      <c r="J1422" s="6"/>
      <c r="K1422" s="6"/>
      <c r="L1422" s="6"/>
      <c r="M1422" s="6"/>
      <c r="N1422" s="6"/>
      <c r="O1422" s="7"/>
      <c r="P1422" s="6"/>
      <c r="Q1422" s="6"/>
      <c r="R1422" s="7"/>
      <c r="S1422" s="6"/>
      <c r="T1422" s="6"/>
      <c r="U1422" s="7"/>
      <c r="V1422" s="6"/>
      <c r="W1422" s="6"/>
      <c r="X1422" s="12"/>
      <c r="Y1422" s="6"/>
      <c r="Z1422" s="6"/>
      <c r="AA1422" s="7"/>
      <c r="AB1422" s="6"/>
      <c r="AC1422" s="6"/>
      <c r="AD1422" s="6"/>
      <c r="AE1422" s="12"/>
      <c r="AF1422" s="6"/>
      <c r="AG1422" s="12"/>
      <c r="AH1422" s="6"/>
      <c r="AI1422" s="6"/>
      <c r="AJ1422" s="12"/>
      <c r="AK1422" s="24"/>
      <c r="AL1422" s="25"/>
      <c r="AM1422" s="12"/>
      <c r="AN1422" s="1"/>
      <c r="AO1422" s="6"/>
    </row>
    <row r="1423" spans="1:41" ht="15" x14ac:dyDescent="0.25">
      <c r="A1423" s="1"/>
      <c r="B1423" s="1"/>
      <c r="C1423" s="1"/>
      <c r="D1423" s="1"/>
      <c r="E1423" s="6"/>
      <c r="F1423" s="1"/>
      <c r="G1423" s="6"/>
      <c r="H1423" s="6"/>
      <c r="I1423" s="6"/>
      <c r="J1423" s="6"/>
      <c r="K1423" s="6"/>
      <c r="L1423" s="6"/>
      <c r="M1423" s="6"/>
      <c r="N1423" s="6"/>
      <c r="O1423" s="7"/>
      <c r="P1423" s="6"/>
      <c r="Q1423" s="7"/>
      <c r="R1423" s="6"/>
      <c r="S1423" s="6"/>
      <c r="T1423" s="6"/>
      <c r="U1423" s="6"/>
      <c r="V1423" s="7"/>
      <c r="W1423" s="7"/>
      <c r="X1423" s="6"/>
      <c r="Y1423" s="6"/>
      <c r="Z1423" s="6"/>
      <c r="AA1423" s="1"/>
      <c r="AB1423" s="12"/>
      <c r="AC1423" s="12"/>
      <c r="AD1423" s="12"/>
      <c r="AE1423" s="12"/>
      <c r="AF1423" s="12"/>
      <c r="AG1423" s="12"/>
      <c r="AH1423" s="12"/>
      <c r="AI1423" s="6"/>
      <c r="AJ1423" s="12"/>
      <c r="AK1423" s="12"/>
      <c r="AL1423" s="12"/>
      <c r="AM1423" s="12"/>
      <c r="AN1423" s="1"/>
      <c r="AO1423" s="6"/>
    </row>
    <row r="1424" spans="1:41" ht="15" x14ac:dyDescent="0.25">
      <c r="A1424" s="1"/>
      <c r="B1424" s="1"/>
      <c r="C1424" s="1"/>
      <c r="D1424" s="1"/>
      <c r="E1424" s="6"/>
      <c r="F1424" s="1"/>
      <c r="G1424" s="6"/>
      <c r="H1424" s="6"/>
      <c r="I1424" s="6"/>
      <c r="J1424" s="6"/>
      <c r="K1424" s="6"/>
      <c r="L1424" s="6"/>
      <c r="M1424" s="6"/>
      <c r="N1424" s="6"/>
      <c r="O1424" s="7"/>
      <c r="P1424" s="6"/>
      <c r="Q1424" s="6"/>
      <c r="R1424" s="7"/>
      <c r="S1424" s="6"/>
      <c r="T1424" s="6"/>
      <c r="U1424" s="7"/>
      <c r="V1424" s="6"/>
      <c r="W1424" s="6"/>
      <c r="X1424" s="12"/>
      <c r="Y1424" s="6"/>
      <c r="Z1424" s="6"/>
      <c r="AA1424" s="7"/>
      <c r="AB1424" s="6"/>
      <c r="AC1424" s="6"/>
      <c r="AD1424" s="6"/>
      <c r="AE1424" s="12"/>
      <c r="AF1424" s="12"/>
      <c r="AG1424" s="12"/>
      <c r="AH1424" s="12"/>
      <c r="AI1424" s="6"/>
      <c r="AJ1424" s="12"/>
      <c r="AK1424" s="24"/>
      <c r="AL1424" s="25"/>
      <c r="AM1424" s="12"/>
      <c r="AN1424" s="1"/>
      <c r="AO1424" s="6"/>
    </row>
    <row r="1425" spans="1:41" ht="15" x14ac:dyDescent="0.25">
      <c r="A1425" s="1"/>
      <c r="B1425" s="1"/>
      <c r="C1425" s="1"/>
      <c r="D1425" s="1"/>
      <c r="E1425" s="6"/>
      <c r="F1425" s="1"/>
      <c r="G1425" s="6"/>
      <c r="H1425" s="6"/>
      <c r="I1425" s="6"/>
      <c r="J1425" s="6"/>
      <c r="K1425" s="6"/>
      <c r="L1425" s="6"/>
      <c r="M1425" s="6"/>
      <c r="N1425" s="6"/>
      <c r="O1425" s="7"/>
      <c r="P1425" s="6"/>
      <c r="Q1425" s="6"/>
      <c r="R1425" s="7"/>
      <c r="S1425" s="6"/>
      <c r="T1425" s="6"/>
      <c r="U1425" s="7"/>
      <c r="V1425" s="6"/>
      <c r="W1425" s="6"/>
      <c r="X1425" s="12"/>
      <c r="Y1425" s="6"/>
      <c r="Z1425" s="6"/>
      <c r="AA1425" s="7"/>
      <c r="AB1425" s="6"/>
      <c r="AC1425" s="6"/>
      <c r="AD1425" s="6"/>
      <c r="AE1425" s="12"/>
      <c r="AF1425" s="12"/>
      <c r="AG1425" s="12"/>
      <c r="AH1425" s="12"/>
      <c r="AI1425" s="6"/>
      <c r="AJ1425" s="12"/>
      <c r="AK1425" s="1"/>
      <c r="AL1425" s="12"/>
      <c r="AM1425" s="12"/>
      <c r="AN1425" s="1"/>
      <c r="AO1425" s="6"/>
    </row>
    <row r="1426" spans="1:41" ht="15" x14ac:dyDescent="0.25">
      <c r="A1426" s="1"/>
      <c r="B1426" s="1"/>
      <c r="C1426" s="1"/>
      <c r="D1426" s="1"/>
      <c r="E1426" s="6"/>
      <c r="F1426" s="1"/>
      <c r="G1426" s="6"/>
      <c r="H1426" s="6"/>
      <c r="I1426" s="6"/>
      <c r="J1426" s="6"/>
      <c r="K1426" s="6"/>
      <c r="L1426" s="6"/>
      <c r="M1426" s="6"/>
      <c r="N1426" s="6"/>
      <c r="O1426" s="7"/>
      <c r="P1426" s="6"/>
      <c r="Q1426" s="6"/>
      <c r="R1426" s="7"/>
      <c r="S1426" s="6"/>
      <c r="T1426" s="6"/>
      <c r="U1426" s="7"/>
      <c r="V1426" s="6"/>
      <c r="W1426" s="6"/>
      <c r="X1426" s="6"/>
      <c r="Y1426" s="6"/>
      <c r="Z1426" s="6"/>
      <c r="AA1426" s="7"/>
      <c r="AB1426" s="6"/>
      <c r="AC1426" s="6"/>
      <c r="AD1426" s="6"/>
      <c r="AE1426" s="12"/>
      <c r="AF1426" s="6"/>
      <c r="AG1426" s="12"/>
      <c r="AH1426" s="6"/>
      <c r="AI1426" s="6"/>
      <c r="AJ1426" s="12"/>
      <c r="AK1426" s="24"/>
      <c r="AL1426" s="25"/>
      <c r="AM1426" s="12"/>
      <c r="AN1426" s="1"/>
      <c r="AO1426" s="6"/>
    </row>
    <row r="1427" spans="1:41" ht="15" x14ac:dyDescent="0.25">
      <c r="A1427" s="1"/>
      <c r="B1427" s="1"/>
      <c r="C1427" s="1"/>
      <c r="D1427" s="1"/>
      <c r="E1427" s="6"/>
      <c r="F1427" s="1"/>
      <c r="G1427" s="6"/>
      <c r="H1427" s="6"/>
      <c r="I1427" s="6"/>
      <c r="J1427" s="6"/>
      <c r="K1427" s="6"/>
      <c r="L1427" s="6"/>
      <c r="M1427" s="6"/>
      <c r="N1427" s="6"/>
      <c r="O1427" s="7"/>
      <c r="P1427" s="6"/>
      <c r="Q1427" s="6"/>
      <c r="R1427" s="7"/>
      <c r="S1427" s="6"/>
      <c r="T1427" s="6"/>
      <c r="U1427" s="7"/>
      <c r="V1427" s="6"/>
      <c r="W1427" s="6"/>
      <c r="X1427" s="12"/>
      <c r="Y1427" s="6"/>
      <c r="Z1427" s="6"/>
      <c r="AA1427" s="7"/>
      <c r="AB1427" s="6"/>
      <c r="AC1427" s="6"/>
      <c r="AD1427" s="6"/>
      <c r="AE1427" s="12"/>
      <c r="AF1427" s="6"/>
      <c r="AG1427" s="12"/>
      <c r="AH1427" s="6"/>
      <c r="AI1427" s="6"/>
      <c r="AJ1427" s="12"/>
      <c r="AK1427" s="24"/>
      <c r="AL1427" s="25"/>
      <c r="AM1427" s="12"/>
      <c r="AN1427" s="1"/>
      <c r="AO1427" s="6"/>
    </row>
    <row r="1428" spans="1:41" ht="15" x14ac:dyDescent="0.25">
      <c r="A1428" s="1"/>
      <c r="B1428" s="1"/>
      <c r="C1428" s="1"/>
      <c r="D1428" s="1"/>
      <c r="E1428" s="6"/>
      <c r="F1428" s="1"/>
      <c r="G1428" s="6"/>
      <c r="H1428" s="6"/>
      <c r="I1428" s="6"/>
      <c r="J1428" s="6"/>
      <c r="K1428" s="6"/>
      <c r="L1428" s="6"/>
      <c r="M1428" s="6"/>
      <c r="N1428" s="6"/>
      <c r="O1428" s="7"/>
      <c r="P1428" s="6"/>
      <c r="Q1428" s="6"/>
      <c r="R1428" s="7"/>
      <c r="S1428" s="6"/>
      <c r="T1428" s="6"/>
      <c r="U1428" s="7"/>
      <c r="V1428" s="6"/>
      <c r="W1428" s="6"/>
      <c r="X1428" s="6"/>
      <c r="Y1428" s="6"/>
      <c r="Z1428" s="6"/>
      <c r="AA1428" s="7"/>
      <c r="AB1428" s="6"/>
      <c r="AC1428" s="6"/>
      <c r="AD1428" s="6"/>
      <c r="AE1428" s="12"/>
      <c r="AF1428" s="6"/>
      <c r="AG1428" s="12"/>
      <c r="AH1428" s="6"/>
      <c r="AI1428" s="6"/>
      <c r="AJ1428" s="12"/>
      <c r="AK1428" s="24"/>
      <c r="AL1428" s="25"/>
      <c r="AM1428" s="12"/>
      <c r="AN1428" s="1"/>
      <c r="AO1428" s="6"/>
    </row>
    <row r="1429" spans="1:41" ht="15" x14ac:dyDescent="0.25">
      <c r="A1429" s="1"/>
      <c r="B1429" s="1"/>
      <c r="C1429" s="1"/>
      <c r="D1429" s="1"/>
      <c r="E1429" s="6"/>
      <c r="F1429" s="1"/>
      <c r="G1429" s="6"/>
      <c r="H1429" s="6"/>
      <c r="I1429" s="6"/>
      <c r="J1429" s="6"/>
      <c r="K1429" s="6"/>
      <c r="L1429" s="6"/>
      <c r="M1429" s="6"/>
      <c r="N1429" s="6"/>
      <c r="O1429" s="7"/>
      <c r="P1429" s="6"/>
      <c r="Q1429" s="6"/>
      <c r="R1429" s="7"/>
      <c r="S1429" s="6"/>
      <c r="T1429" s="6"/>
      <c r="U1429" s="7"/>
      <c r="V1429" s="6"/>
      <c r="W1429" s="6"/>
      <c r="X1429" s="12"/>
      <c r="Y1429" s="6"/>
      <c r="Z1429" s="6"/>
      <c r="AA1429" s="7"/>
      <c r="AB1429" s="6"/>
      <c r="AC1429" s="6"/>
      <c r="AD1429" s="6"/>
      <c r="AE1429" s="12"/>
      <c r="AF1429" s="6"/>
      <c r="AG1429" s="12"/>
      <c r="AH1429" s="6"/>
      <c r="AI1429" s="6"/>
      <c r="AJ1429" s="12"/>
      <c r="AK1429" s="1"/>
      <c r="AL1429" s="12"/>
      <c r="AM1429" s="12"/>
      <c r="AN1429" s="1"/>
      <c r="AO1429" s="6"/>
    </row>
    <row r="1430" spans="1:41" ht="15" x14ac:dyDescent="0.25">
      <c r="A1430" s="1"/>
      <c r="B1430" s="1"/>
      <c r="C1430" s="1"/>
      <c r="D1430" s="1"/>
      <c r="E1430" s="6"/>
      <c r="F1430" s="1"/>
      <c r="G1430" s="6"/>
      <c r="H1430" s="6"/>
      <c r="I1430" s="6"/>
      <c r="J1430" s="6"/>
      <c r="K1430" s="12"/>
      <c r="L1430" s="6"/>
      <c r="M1430" s="6"/>
      <c r="N1430" s="6"/>
      <c r="O1430" s="7"/>
      <c r="P1430" s="6"/>
      <c r="Q1430" s="6"/>
      <c r="R1430" s="7"/>
      <c r="S1430" s="6"/>
      <c r="T1430" s="6"/>
      <c r="U1430" s="7"/>
      <c r="V1430" s="6"/>
      <c r="W1430" s="6"/>
      <c r="X1430" s="6"/>
      <c r="Y1430" s="6"/>
      <c r="Z1430" s="6"/>
      <c r="AA1430" s="7"/>
      <c r="AB1430" s="6"/>
      <c r="AC1430" s="6"/>
      <c r="AD1430" s="6"/>
      <c r="AE1430" s="12"/>
      <c r="AF1430" s="6"/>
      <c r="AG1430" s="12"/>
      <c r="AH1430" s="6"/>
      <c r="AI1430" s="6"/>
      <c r="AJ1430" s="12"/>
      <c r="AK1430" s="24"/>
      <c r="AL1430" s="25"/>
      <c r="AM1430" s="12"/>
      <c r="AN1430" s="1"/>
      <c r="AO1430" s="12"/>
    </row>
    <row r="1431" spans="1:41" ht="15" x14ac:dyDescent="0.25">
      <c r="A1431" s="1"/>
      <c r="B1431" s="1"/>
      <c r="C1431" s="1"/>
      <c r="D1431" s="1"/>
      <c r="E1431" s="6"/>
      <c r="F1431" s="1"/>
      <c r="G1431" s="6"/>
      <c r="H1431" s="6"/>
      <c r="I1431" s="6"/>
      <c r="J1431" s="6"/>
      <c r="K1431" s="6"/>
      <c r="L1431" s="6"/>
      <c r="M1431" s="6"/>
      <c r="N1431" s="6"/>
      <c r="O1431" s="7"/>
      <c r="P1431" s="6"/>
      <c r="Q1431" s="6"/>
      <c r="R1431" s="7"/>
      <c r="S1431" s="6"/>
      <c r="T1431" s="6"/>
      <c r="U1431" s="7"/>
      <c r="V1431" s="6"/>
      <c r="W1431" s="6"/>
      <c r="X1431" s="12"/>
      <c r="Y1431" s="6"/>
      <c r="Z1431" s="6"/>
      <c r="AA1431" s="7"/>
      <c r="AB1431" s="6"/>
      <c r="AC1431" s="6"/>
      <c r="AD1431" s="6"/>
      <c r="AE1431" s="12"/>
      <c r="AF1431" s="12"/>
      <c r="AG1431" s="12"/>
      <c r="AH1431" s="12"/>
      <c r="AI1431" s="6"/>
      <c r="AJ1431" s="12"/>
      <c r="AK1431" s="1"/>
      <c r="AL1431" s="12"/>
      <c r="AM1431" s="12"/>
      <c r="AN1431" s="1"/>
      <c r="AO1431" s="6"/>
    </row>
    <row r="1432" spans="1:41" ht="15" x14ac:dyDescent="0.25">
      <c r="A1432" s="1"/>
      <c r="B1432" s="1"/>
      <c r="C1432" s="1"/>
      <c r="D1432" s="1"/>
      <c r="E1432" s="6"/>
      <c r="F1432" s="1"/>
      <c r="G1432" s="6"/>
      <c r="H1432" s="6"/>
      <c r="I1432" s="6"/>
      <c r="J1432" s="6"/>
      <c r="K1432" s="6"/>
      <c r="L1432" s="6"/>
      <c r="M1432" s="6"/>
      <c r="N1432" s="6"/>
      <c r="O1432" s="7"/>
      <c r="P1432" s="6"/>
      <c r="Q1432" s="6"/>
      <c r="R1432" s="7"/>
      <c r="S1432" s="6"/>
      <c r="T1432" s="6"/>
      <c r="U1432" s="7"/>
      <c r="V1432" s="6"/>
      <c r="W1432" s="6"/>
      <c r="X1432" s="6"/>
      <c r="Y1432" s="6"/>
      <c r="Z1432" s="6"/>
      <c r="AA1432" s="7"/>
      <c r="AB1432" s="6"/>
      <c r="AC1432" s="6"/>
      <c r="AD1432" s="6"/>
      <c r="AE1432" s="12"/>
      <c r="AF1432" s="6"/>
      <c r="AG1432" s="12"/>
      <c r="AH1432" s="6"/>
      <c r="AI1432" s="6"/>
      <c r="AJ1432" s="12"/>
      <c r="AK1432" s="24"/>
      <c r="AL1432" s="25"/>
      <c r="AM1432" s="12"/>
      <c r="AN1432" s="1"/>
      <c r="AO1432" s="6"/>
    </row>
    <row r="1433" spans="1:41" ht="15" x14ac:dyDescent="0.25">
      <c r="A1433" s="1"/>
      <c r="B1433" s="1"/>
      <c r="C1433" s="1"/>
      <c r="D1433" s="1"/>
      <c r="E1433" s="6"/>
      <c r="F1433" s="1"/>
      <c r="G1433" s="6"/>
      <c r="H1433" s="6"/>
      <c r="I1433" s="6"/>
      <c r="J1433" s="6"/>
      <c r="K1433" s="12"/>
      <c r="L1433" s="12"/>
      <c r="M1433" s="6"/>
      <c r="N1433" s="6"/>
      <c r="O1433" s="7"/>
      <c r="P1433" s="6"/>
      <c r="Q1433" s="6"/>
      <c r="R1433" s="7"/>
      <c r="S1433" s="6"/>
      <c r="T1433" s="6"/>
      <c r="U1433" s="7"/>
      <c r="V1433" s="6"/>
      <c r="W1433" s="6"/>
      <c r="X1433" s="12"/>
      <c r="Y1433" s="6"/>
      <c r="Z1433" s="6"/>
      <c r="AA1433" s="7"/>
      <c r="AB1433" s="6"/>
      <c r="AC1433" s="6"/>
      <c r="AD1433" s="6"/>
      <c r="AE1433" s="12"/>
      <c r="AF1433" s="12"/>
      <c r="AG1433" s="12"/>
      <c r="AH1433" s="12"/>
      <c r="AI1433" s="6"/>
      <c r="AJ1433" s="12"/>
      <c r="AK1433" s="24"/>
      <c r="AL1433" s="25"/>
      <c r="AM1433" s="12"/>
      <c r="AN1433" s="1"/>
      <c r="AO1433" s="6"/>
    </row>
    <row r="1434" spans="1:41" ht="15" x14ac:dyDescent="0.25">
      <c r="A1434" s="1"/>
      <c r="B1434" s="1"/>
      <c r="C1434" s="1"/>
      <c r="D1434" s="1"/>
      <c r="E1434" s="6"/>
      <c r="F1434" s="1"/>
      <c r="G1434" s="6"/>
      <c r="H1434" s="6"/>
      <c r="I1434" s="6"/>
      <c r="J1434" s="6"/>
      <c r="K1434" s="6"/>
      <c r="L1434" s="6"/>
      <c r="M1434" s="6"/>
      <c r="N1434" s="6"/>
      <c r="O1434" s="7"/>
      <c r="P1434" s="6"/>
      <c r="Q1434" s="6"/>
      <c r="R1434" s="7"/>
      <c r="S1434" s="6"/>
      <c r="T1434" s="6"/>
      <c r="U1434" s="7"/>
      <c r="V1434" s="6"/>
      <c r="W1434" s="6"/>
      <c r="X1434" s="6"/>
      <c r="Y1434" s="6"/>
      <c r="Z1434" s="6"/>
      <c r="AA1434" s="7"/>
      <c r="AB1434" s="6"/>
      <c r="AC1434" s="6"/>
      <c r="AD1434" s="6"/>
      <c r="AE1434" s="12"/>
      <c r="AF1434" s="6"/>
      <c r="AG1434" s="12"/>
      <c r="AH1434" s="6"/>
      <c r="AI1434" s="6"/>
      <c r="AJ1434" s="12"/>
      <c r="AK1434" s="24"/>
      <c r="AL1434" s="25"/>
      <c r="AM1434" s="12"/>
      <c r="AN1434" s="1"/>
      <c r="AO1434" s="6"/>
    </row>
    <row r="1435" spans="1:41" ht="15" x14ac:dyDescent="0.25">
      <c r="A1435" s="1"/>
      <c r="B1435" s="1"/>
      <c r="C1435" s="1"/>
      <c r="D1435" s="1"/>
      <c r="E1435" s="6"/>
      <c r="F1435" s="1"/>
      <c r="G1435" s="6"/>
      <c r="H1435" s="6"/>
      <c r="I1435" s="6"/>
      <c r="J1435" s="6"/>
      <c r="K1435" s="6"/>
      <c r="L1435" s="6"/>
      <c r="M1435" s="6"/>
      <c r="N1435" s="6"/>
      <c r="O1435" s="7"/>
      <c r="P1435" s="6"/>
      <c r="Q1435" s="6"/>
      <c r="R1435" s="7"/>
      <c r="S1435" s="6"/>
      <c r="T1435" s="6"/>
      <c r="U1435" s="7"/>
      <c r="V1435" s="6"/>
      <c r="W1435" s="6"/>
      <c r="X1435" s="6"/>
      <c r="Y1435" s="6"/>
      <c r="Z1435" s="6"/>
      <c r="AA1435" s="7"/>
      <c r="AB1435" s="6"/>
      <c r="AC1435" s="6"/>
      <c r="AD1435" s="6"/>
      <c r="AE1435" s="12"/>
      <c r="AF1435" s="6"/>
      <c r="AG1435" s="12"/>
      <c r="AH1435" s="6"/>
      <c r="AI1435" s="6"/>
      <c r="AJ1435" s="12"/>
      <c r="AK1435" s="1"/>
      <c r="AL1435" s="12"/>
      <c r="AM1435" s="12"/>
      <c r="AN1435" s="1"/>
      <c r="AO1435" s="6"/>
    </row>
    <row r="1436" spans="1:41" ht="15" x14ac:dyDescent="0.25">
      <c r="A1436" s="1"/>
      <c r="B1436" s="1"/>
      <c r="C1436" s="1"/>
      <c r="D1436" s="1"/>
      <c r="E1436" s="6"/>
      <c r="F1436" s="1"/>
      <c r="G1436" s="6"/>
      <c r="H1436" s="6"/>
      <c r="I1436" s="6"/>
      <c r="J1436" s="6"/>
      <c r="K1436" s="6"/>
      <c r="L1436" s="6"/>
      <c r="M1436" s="6"/>
      <c r="N1436" s="6"/>
      <c r="O1436" s="7"/>
      <c r="P1436" s="6"/>
      <c r="Q1436" s="6"/>
      <c r="R1436" s="7"/>
      <c r="S1436" s="6"/>
      <c r="T1436" s="6"/>
      <c r="U1436" s="7"/>
      <c r="V1436" s="6"/>
      <c r="W1436" s="6"/>
      <c r="X1436" s="6"/>
      <c r="Y1436" s="6"/>
      <c r="Z1436" s="6"/>
      <c r="AA1436" s="7"/>
      <c r="AB1436" s="6"/>
      <c r="AC1436" s="6"/>
      <c r="AD1436" s="6"/>
      <c r="AE1436" s="12"/>
      <c r="AF1436" s="12"/>
      <c r="AG1436" s="12"/>
      <c r="AH1436" s="12"/>
      <c r="AI1436" s="6"/>
      <c r="AJ1436" s="12"/>
      <c r="AK1436" s="1"/>
      <c r="AL1436" s="12"/>
      <c r="AM1436" s="12"/>
      <c r="AN1436" s="1"/>
      <c r="AO1436" s="6"/>
    </row>
    <row r="1437" spans="1:41" ht="15" x14ac:dyDescent="0.25">
      <c r="A1437" s="1"/>
      <c r="B1437" s="1"/>
      <c r="C1437" s="1"/>
      <c r="D1437" s="1"/>
      <c r="E1437" s="6"/>
      <c r="F1437" s="1"/>
      <c r="G1437" s="6"/>
      <c r="H1437" s="6"/>
      <c r="I1437" s="6"/>
      <c r="J1437" s="6"/>
      <c r="K1437" s="6"/>
      <c r="L1437" s="6"/>
      <c r="M1437" s="6"/>
      <c r="N1437" s="6"/>
      <c r="O1437" s="7"/>
      <c r="P1437" s="6"/>
      <c r="Q1437" s="6"/>
      <c r="R1437" s="7"/>
      <c r="S1437" s="6"/>
      <c r="T1437" s="6"/>
      <c r="U1437" s="7"/>
      <c r="V1437" s="6"/>
      <c r="W1437" s="6"/>
      <c r="X1437" s="6"/>
      <c r="Y1437" s="6"/>
      <c r="Z1437" s="6"/>
      <c r="AA1437" s="7"/>
      <c r="AB1437" s="6"/>
      <c r="AC1437" s="6"/>
      <c r="AD1437" s="6"/>
      <c r="AE1437" s="12"/>
      <c r="AF1437" s="12"/>
      <c r="AG1437" s="12"/>
      <c r="AH1437" s="12"/>
      <c r="AI1437" s="6"/>
      <c r="AJ1437" s="12"/>
      <c r="AK1437" s="1"/>
      <c r="AL1437" s="12"/>
      <c r="AM1437" s="12"/>
      <c r="AN1437" s="1"/>
      <c r="AO1437" s="6"/>
    </row>
    <row r="1438" spans="1:41" ht="15" x14ac:dyDescent="0.25">
      <c r="A1438" s="1"/>
      <c r="B1438" s="1"/>
      <c r="C1438" s="1"/>
      <c r="D1438" s="1"/>
      <c r="E1438" s="6"/>
      <c r="F1438" s="1"/>
      <c r="G1438" s="6"/>
      <c r="H1438" s="6"/>
      <c r="I1438" s="6"/>
      <c r="J1438" s="6"/>
      <c r="K1438" s="6"/>
      <c r="L1438" s="6"/>
      <c r="M1438" s="6"/>
      <c r="N1438" s="6"/>
      <c r="O1438" s="7"/>
      <c r="P1438" s="6"/>
      <c r="Q1438" s="6"/>
      <c r="R1438" s="7"/>
      <c r="S1438" s="6"/>
      <c r="T1438" s="6"/>
      <c r="U1438" s="7"/>
      <c r="V1438" s="6"/>
      <c r="W1438" s="6"/>
      <c r="X1438" s="6"/>
      <c r="Y1438" s="6"/>
      <c r="Z1438" s="6"/>
      <c r="AA1438" s="7"/>
      <c r="AB1438" s="6"/>
      <c r="AC1438" s="6"/>
      <c r="AD1438" s="6"/>
      <c r="AE1438" s="12"/>
      <c r="AF1438" s="6"/>
      <c r="AG1438" s="12"/>
      <c r="AH1438" s="6"/>
      <c r="AI1438" s="6"/>
      <c r="AJ1438" s="12"/>
      <c r="AK1438" s="1"/>
      <c r="AL1438" s="12"/>
      <c r="AM1438" s="12"/>
      <c r="AN1438" s="1"/>
      <c r="AO1438" s="6"/>
    </row>
    <row r="1439" spans="1:41" ht="15" x14ac:dyDescent="0.25">
      <c r="A1439" s="1"/>
      <c r="B1439" s="1"/>
      <c r="C1439" s="1"/>
      <c r="D1439" s="1"/>
      <c r="E1439" s="6"/>
      <c r="F1439" s="1"/>
      <c r="G1439" s="6"/>
      <c r="H1439" s="6"/>
      <c r="I1439" s="6"/>
      <c r="J1439" s="6"/>
      <c r="K1439" s="6"/>
      <c r="L1439" s="6"/>
      <c r="M1439" s="6"/>
      <c r="N1439" s="6"/>
      <c r="O1439" s="7"/>
      <c r="P1439" s="6"/>
      <c r="Q1439" s="6"/>
      <c r="R1439" s="7"/>
      <c r="S1439" s="6"/>
      <c r="T1439" s="6"/>
      <c r="U1439" s="7"/>
      <c r="V1439" s="6"/>
      <c r="W1439" s="6"/>
      <c r="X1439" s="6"/>
      <c r="Y1439" s="6"/>
      <c r="Z1439" s="6"/>
      <c r="AA1439" s="7"/>
      <c r="AB1439" s="6"/>
      <c r="AC1439" s="6"/>
      <c r="AD1439" s="6"/>
      <c r="AE1439" s="12"/>
      <c r="AF1439" s="6"/>
      <c r="AG1439" s="12"/>
      <c r="AH1439" s="6"/>
      <c r="AI1439" s="6"/>
      <c r="AJ1439" s="12"/>
      <c r="AK1439" s="24"/>
      <c r="AL1439" s="25"/>
      <c r="AM1439" s="12"/>
      <c r="AN1439" s="1"/>
      <c r="AO1439" s="6"/>
    </row>
    <row r="1440" spans="1:41" ht="15" x14ac:dyDescent="0.25">
      <c r="A1440" s="1"/>
      <c r="B1440" s="1"/>
      <c r="C1440" s="1"/>
      <c r="D1440" s="1"/>
      <c r="E1440" s="6"/>
      <c r="F1440" s="1"/>
      <c r="G1440" s="6"/>
      <c r="H1440" s="6"/>
      <c r="I1440" s="6"/>
      <c r="J1440" s="6"/>
      <c r="K1440" s="6"/>
      <c r="L1440" s="6"/>
      <c r="M1440" s="6"/>
      <c r="N1440" s="6"/>
      <c r="O1440" s="7"/>
      <c r="P1440" s="6"/>
      <c r="Q1440" s="6"/>
      <c r="R1440" s="7"/>
      <c r="S1440" s="6"/>
      <c r="T1440" s="6"/>
      <c r="U1440" s="7"/>
      <c r="V1440" s="6"/>
      <c r="W1440" s="6"/>
      <c r="X1440" s="12"/>
      <c r="Y1440" s="6"/>
      <c r="Z1440" s="6"/>
      <c r="AA1440" s="7"/>
      <c r="AB1440" s="6"/>
      <c r="AC1440" s="6"/>
      <c r="AD1440" s="6"/>
      <c r="AE1440" s="12"/>
      <c r="AF1440" s="12"/>
      <c r="AG1440" s="12"/>
      <c r="AH1440" s="12"/>
      <c r="AI1440" s="6"/>
      <c r="AJ1440" s="12"/>
      <c r="AK1440" s="24"/>
      <c r="AL1440" s="25"/>
      <c r="AM1440" s="12"/>
      <c r="AN1440" s="1"/>
      <c r="AO1440" s="6"/>
    </row>
    <row r="1441" spans="1:41" ht="15" x14ac:dyDescent="0.25">
      <c r="A1441" s="1"/>
      <c r="B1441" s="1"/>
      <c r="C1441" s="1"/>
      <c r="D1441" s="1"/>
      <c r="E1441" s="6"/>
      <c r="F1441" s="1"/>
      <c r="G1441" s="6"/>
      <c r="H1441" s="6"/>
      <c r="I1441" s="6"/>
      <c r="J1441" s="6"/>
      <c r="K1441" s="6"/>
      <c r="L1441" s="6"/>
      <c r="M1441" s="6"/>
      <c r="N1441" s="6"/>
      <c r="O1441" s="7"/>
      <c r="P1441" s="6"/>
      <c r="Q1441" s="7"/>
      <c r="R1441" s="6"/>
      <c r="S1441" s="6"/>
      <c r="T1441" s="6"/>
      <c r="U1441" s="6"/>
      <c r="V1441" s="7"/>
      <c r="W1441" s="7"/>
      <c r="X1441" s="6"/>
      <c r="Y1441" s="6"/>
      <c r="Z1441" s="6"/>
      <c r="AA1441" s="1"/>
      <c r="AB1441" s="12"/>
      <c r="AC1441" s="12"/>
      <c r="AD1441" s="12"/>
      <c r="AE1441" s="12"/>
      <c r="AF1441" s="12"/>
      <c r="AG1441" s="12"/>
      <c r="AH1441" s="12"/>
      <c r="AI1441" s="6"/>
      <c r="AJ1441" s="12"/>
      <c r="AK1441" s="12"/>
      <c r="AL1441" s="12"/>
      <c r="AM1441" s="12"/>
      <c r="AN1441" s="1"/>
      <c r="AO1441" s="6"/>
    </row>
    <row r="1442" spans="1:41" ht="15" x14ac:dyDescent="0.25">
      <c r="A1442" s="1"/>
      <c r="B1442" s="1"/>
      <c r="C1442" s="1"/>
      <c r="D1442" s="1"/>
      <c r="E1442" s="6"/>
      <c r="F1442" s="1"/>
      <c r="G1442" s="6"/>
      <c r="H1442" s="6"/>
      <c r="I1442" s="6"/>
      <c r="J1442" s="6"/>
      <c r="K1442" s="6"/>
      <c r="L1442" s="6"/>
      <c r="M1442" s="6"/>
      <c r="N1442" s="6"/>
      <c r="O1442" s="7"/>
      <c r="P1442" s="6"/>
      <c r="Q1442" s="6"/>
      <c r="R1442" s="7"/>
      <c r="S1442" s="6"/>
      <c r="T1442" s="6"/>
      <c r="U1442" s="7"/>
      <c r="V1442" s="6"/>
      <c r="W1442" s="6"/>
      <c r="X1442" s="12"/>
      <c r="Y1442" s="6"/>
      <c r="Z1442" s="6"/>
      <c r="AA1442" s="7"/>
      <c r="AB1442" s="6"/>
      <c r="AC1442" s="6"/>
      <c r="AD1442" s="6"/>
      <c r="AE1442" s="12"/>
      <c r="AF1442" s="12"/>
      <c r="AG1442" s="12"/>
      <c r="AH1442" s="12"/>
      <c r="AI1442" s="6"/>
      <c r="AJ1442" s="12"/>
      <c r="AK1442" s="1"/>
      <c r="AL1442" s="12"/>
      <c r="AM1442" s="12"/>
      <c r="AN1442" s="1"/>
      <c r="AO1442" s="6"/>
    </row>
    <row r="1443" spans="1:41" ht="15" x14ac:dyDescent="0.25">
      <c r="A1443" s="1"/>
      <c r="B1443" s="1"/>
      <c r="C1443" s="1"/>
      <c r="D1443" s="1"/>
      <c r="E1443" s="6"/>
      <c r="F1443" s="1"/>
      <c r="G1443" s="6"/>
      <c r="H1443" s="6"/>
      <c r="I1443" s="6"/>
      <c r="J1443" s="6"/>
      <c r="K1443" s="6"/>
      <c r="L1443" s="6"/>
      <c r="M1443" s="6"/>
      <c r="N1443" s="6"/>
      <c r="O1443" s="7"/>
      <c r="P1443" s="6"/>
      <c r="Q1443" s="6"/>
      <c r="R1443" s="7"/>
      <c r="S1443" s="6"/>
      <c r="T1443" s="6"/>
      <c r="U1443" s="7"/>
      <c r="V1443" s="6"/>
      <c r="W1443" s="6"/>
      <c r="X1443" s="6"/>
      <c r="Y1443" s="6"/>
      <c r="Z1443" s="6"/>
      <c r="AA1443" s="7"/>
      <c r="AB1443" s="6"/>
      <c r="AC1443" s="6"/>
      <c r="AD1443" s="6"/>
      <c r="AE1443" s="12"/>
      <c r="AF1443" s="6"/>
      <c r="AG1443" s="12"/>
      <c r="AH1443" s="6"/>
      <c r="AI1443" s="6"/>
      <c r="AJ1443" s="12"/>
      <c r="AK1443" s="24"/>
      <c r="AL1443" s="25"/>
      <c r="AM1443" s="12"/>
      <c r="AN1443" s="1"/>
      <c r="AO1443" s="6"/>
    </row>
    <row r="1444" spans="1:41" ht="15" x14ac:dyDescent="0.25">
      <c r="A1444" s="1"/>
      <c r="B1444" s="1"/>
      <c r="C1444" s="1"/>
      <c r="D1444" s="1"/>
      <c r="E1444" s="6"/>
      <c r="F1444" s="1"/>
      <c r="G1444" s="6"/>
      <c r="H1444" s="6"/>
      <c r="I1444" s="6"/>
      <c r="J1444" s="6"/>
      <c r="K1444" s="6"/>
      <c r="L1444" s="6"/>
      <c r="M1444" s="6"/>
      <c r="N1444" s="6"/>
      <c r="O1444" s="7"/>
      <c r="P1444" s="6"/>
      <c r="Q1444" s="6"/>
      <c r="R1444" s="7"/>
      <c r="S1444" s="6"/>
      <c r="T1444" s="6"/>
      <c r="U1444" s="7"/>
      <c r="V1444" s="6"/>
      <c r="W1444" s="6"/>
      <c r="X1444" s="6"/>
      <c r="Y1444" s="6"/>
      <c r="Z1444" s="6"/>
      <c r="AA1444" s="7"/>
      <c r="AB1444" s="6"/>
      <c r="AC1444" s="6"/>
      <c r="AD1444" s="6"/>
      <c r="AE1444" s="12"/>
      <c r="AF1444" s="6"/>
      <c r="AG1444" s="12"/>
      <c r="AH1444" s="6"/>
      <c r="AI1444" s="6"/>
      <c r="AJ1444" s="12"/>
      <c r="AK1444" s="24"/>
      <c r="AL1444" s="25"/>
      <c r="AM1444" s="12"/>
      <c r="AN1444" s="1"/>
      <c r="AO1444" s="6"/>
    </row>
    <row r="1445" spans="1:41" ht="15" x14ac:dyDescent="0.25">
      <c r="A1445" s="1"/>
      <c r="B1445" s="1"/>
      <c r="C1445" s="1"/>
      <c r="D1445" s="1"/>
      <c r="E1445" s="6"/>
      <c r="F1445" s="1"/>
      <c r="G1445" s="6"/>
      <c r="H1445" s="6"/>
      <c r="I1445" s="6"/>
      <c r="J1445" s="6"/>
      <c r="K1445" s="6"/>
      <c r="L1445" s="6"/>
      <c r="M1445" s="6"/>
      <c r="N1445" s="6"/>
      <c r="O1445" s="7"/>
      <c r="P1445" s="6"/>
      <c r="Q1445" s="6"/>
      <c r="R1445" s="7"/>
      <c r="S1445" s="6"/>
      <c r="T1445" s="6"/>
      <c r="U1445" s="7"/>
      <c r="V1445" s="6"/>
      <c r="W1445" s="6"/>
      <c r="X1445" s="6"/>
      <c r="Y1445" s="6"/>
      <c r="Z1445" s="6"/>
      <c r="AA1445" s="7"/>
      <c r="AB1445" s="6"/>
      <c r="AC1445" s="6"/>
      <c r="AD1445" s="6"/>
      <c r="AE1445" s="12"/>
      <c r="AF1445" s="6"/>
      <c r="AG1445" s="12"/>
      <c r="AH1445" s="6"/>
      <c r="AI1445" s="6"/>
      <c r="AJ1445" s="12"/>
      <c r="AK1445" s="24"/>
      <c r="AL1445" s="25"/>
      <c r="AM1445" s="12"/>
      <c r="AN1445" s="1"/>
      <c r="AO1445" s="6"/>
    </row>
    <row r="1446" spans="1:41" ht="15" x14ac:dyDescent="0.25">
      <c r="A1446" s="1"/>
      <c r="B1446" s="1"/>
      <c r="C1446" s="1"/>
      <c r="D1446" s="1"/>
      <c r="E1446" s="6"/>
      <c r="F1446" s="1"/>
      <c r="G1446" s="6"/>
      <c r="H1446" s="6"/>
      <c r="I1446" s="6"/>
      <c r="J1446" s="6"/>
      <c r="K1446" s="12"/>
      <c r="L1446" s="12"/>
      <c r="M1446" s="6"/>
      <c r="N1446" s="6"/>
      <c r="O1446" s="7"/>
      <c r="P1446" s="12"/>
      <c r="Q1446" s="6"/>
      <c r="R1446" s="7"/>
      <c r="S1446" s="6"/>
      <c r="T1446" s="6"/>
      <c r="U1446" s="7"/>
      <c r="V1446" s="6"/>
      <c r="W1446" s="6"/>
      <c r="X1446" s="12"/>
      <c r="Y1446" s="6"/>
      <c r="Z1446" s="6"/>
      <c r="AA1446" s="7"/>
      <c r="AB1446" s="6"/>
      <c r="AC1446" s="6"/>
      <c r="AD1446" s="6"/>
      <c r="AE1446" s="12"/>
      <c r="AF1446" s="12"/>
      <c r="AG1446" s="12"/>
      <c r="AH1446" s="12"/>
      <c r="AI1446" s="6"/>
      <c r="AJ1446" s="12"/>
      <c r="AK1446" s="1"/>
      <c r="AL1446" s="12"/>
      <c r="AM1446" s="12"/>
      <c r="AN1446" s="1"/>
      <c r="AO1446" s="6"/>
    </row>
    <row r="1447" spans="1:41" ht="15" x14ac:dyDescent="0.25">
      <c r="A1447" s="1"/>
      <c r="B1447" s="1"/>
      <c r="C1447" s="1"/>
      <c r="D1447" s="1"/>
      <c r="E1447" s="6"/>
      <c r="F1447" s="1"/>
      <c r="G1447" s="6"/>
      <c r="H1447" s="6"/>
      <c r="I1447" s="6"/>
      <c r="J1447" s="6"/>
      <c r="K1447" s="12"/>
      <c r="L1447" s="12"/>
      <c r="M1447" s="6"/>
      <c r="N1447" s="6"/>
      <c r="O1447" s="7"/>
      <c r="P1447" s="6"/>
      <c r="Q1447" s="6"/>
      <c r="R1447" s="7"/>
      <c r="S1447" s="6"/>
      <c r="T1447" s="6"/>
      <c r="U1447" s="7"/>
      <c r="V1447" s="6"/>
      <c r="W1447" s="6"/>
      <c r="X1447" s="12"/>
      <c r="Y1447" s="6"/>
      <c r="Z1447" s="6"/>
      <c r="AA1447" s="7"/>
      <c r="AB1447" s="6"/>
      <c r="AC1447" s="6"/>
      <c r="AD1447" s="6"/>
      <c r="AE1447" s="12"/>
      <c r="AF1447" s="12"/>
      <c r="AG1447" s="12"/>
      <c r="AH1447" s="12"/>
      <c r="AI1447" s="6"/>
      <c r="AJ1447" s="12"/>
      <c r="AK1447" s="1"/>
      <c r="AL1447" s="12"/>
      <c r="AM1447" s="12"/>
      <c r="AN1447" s="1"/>
      <c r="AO1447" s="6"/>
    </row>
    <row r="1448" spans="1:41" ht="15" x14ac:dyDescent="0.25">
      <c r="A1448" s="1"/>
      <c r="B1448" s="1"/>
      <c r="C1448" s="1"/>
      <c r="D1448" s="1"/>
      <c r="E1448" s="6"/>
      <c r="F1448" s="1"/>
      <c r="G1448" s="6"/>
      <c r="H1448" s="6"/>
      <c r="I1448" s="6"/>
      <c r="J1448" s="6"/>
      <c r="K1448" s="12"/>
      <c r="L1448" s="12"/>
      <c r="M1448" s="6"/>
      <c r="N1448" s="6"/>
      <c r="O1448" s="7"/>
      <c r="P1448" s="6"/>
      <c r="Q1448" s="6"/>
      <c r="R1448" s="7"/>
      <c r="S1448" s="6"/>
      <c r="T1448" s="6"/>
      <c r="U1448" s="7"/>
      <c r="V1448" s="6"/>
      <c r="W1448" s="6"/>
      <c r="X1448" s="12"/>
      <c r="Y1448" s="6"/>
      <c r="Z1448" s="6"/>
      <c r="AA1448" s="7"/>
      <c r="AB1448" s="6"/>
      <c r="AC1448" s="6"/>
      <c r="AD1448" s="6"/>
      <c r="AE1448" s="12"/>
      <c r="AF1448" s="12"/>
      <c r="AG1448" s="12"/>
      <c r="AH1448" s="12"/>
      <c r="AI1448" s="6"/>
      <c r="AJ1448" s="12"/>
      <c r="AK1448" s="1"/>
      <c r="AL1448" s="12"/>
      <c r="AM1448" s="12"/>
      <c r="AN1448" s="1"/>
      <c r="AO1448" s="12"/>
    </row>
    <row r="1449" spans="1:41" ht="15" x14ac:dyDescent="0.25">
      <c r="A1449" s="1"/>
      <c r="B1449" s="1"/>
      <c r="C1449" s="1"/>
      <c r="D1449" s="1"/>
      <c r="E1449" s="6"/>
      <c r="F1449" s="1"/>
      <c r="G1449" s="6"/>
      <c r="H1449" s="6"/>
      <c r="I1449" s="6"/>
      <c r="J1449" s="6"/>
      <c r="K1449" s="6"/>
      <c r="L1449" s="6"/>
      <c r="M1449" s="6"/>
      <c r="N1449" s="6"/>
      <c r="O1449" s="7"/>
      <c r="P1449" s="6"/>
      <c r="Q1449" s="6"/>
      <c r="R1449" s="7"/>
      <c r="S1449" s="6"/>
      <c r="T1449" s="6"/>
      <c r="U1449" s="7"/>
      <c r="V1449" s="6"/>
      <c r="W1449" s="6"/>
      <c r="X1449" s="6"/>
      <c r="Y1449" s="6"/>
      <c r="Z1449" s="6"/>
      <c r="AA1449" s="7"/>
      <c r="AB1449" s="6"/>
      <c r="AC1449" s="6"/>
      <c r="AD1449" s="6"/>
      <c r="AE1449" s="12"/>
      <c r="AF1449" s="6"/>
      <c r="AG1449" s="12"/>
      <c r="AH1449" s="6"/>
      <c r="AI1449" s="6"/>
      <c r="AJ1449" s="12"/>
      <c r="AK1449" s="24"/>
      <c r="AL1449" s="25"/>
      <c r="AM1449" s="12"/>
      <c r="AN1449" s="1"/>
      <c r="AO1449" s="6"/>
    </row>
    <row r="1450" spans="1:41" ht="15" x14ac:dyDescent="0.25">
      <c r="A1450" s="1"/>
      <c r="B1450" s="1"/>
      <c r="C1450" s="1"/>
      <c r="D1450" s="1"/>
      <c r="E1450" s="6"/>
      <c r="F1450" s="1"/>
      <c r="G1450" s="6"/>
      <c r="H1450" s="6"/>
      <c r="I1450" s="6"/>
      <c r="J1450" s="6"/>
      <c r="K1450" s="6"/>
      <c r="L1450" s="6"/>
      <c r="M1450" s="6"/>
      <c r="N1450" s="6"/>
      <c r="O1450" s="7"/>
      <c r="P1450" s="6"/>
      <c r="Q1450" s="6"/>
      <c r="R1450" s="7"/>
      <c r="S1450" s="6"/>
      <c r="T1450" s="6"/>
      <c r="U1450" s="7"/>
      <c r="V1450" s="6"/>
      <c r="W1450" s="6"/>
      <c r="X1450" s="6"/>
      <c r="Y1450" s="6"/>
      <c r="Z1450" s="6"/>
      <c r="AA1450" s="7"/>
      <c r="AB1450" s="6"/>
      <c r="AC1450" s="6"/>
      <c r="AD1450" s="6"/>
      <c r="AE1450" s="12"/>
      <c r="AF1450" s="6"/>
      <c r="AG1450" s="12"/>
      <c r="AH1450" s="6"/>
      <c r="AI1450" s="6"/>
      <c r="AJ1450" s="12"/>
      <c r="AK1450" s="24"/>
      <c r="AL1450" s="25"/>
      <c r="AM1450" s="12"/>
      <c r="AN1450" s="1"/>
      <c r="AO1450" s="6"/>
    </row>
    <row r="1451" spans="1:41" ht="15" x14ac:dyDescent="0.25">
      <c r="A1451" s="1"/>
      <c r="B1451" s="1"/>
      <c r="C1451" s="1"/>
      <c r="D1451" s="1"/>
      <c r="E1451" s="6"/>
      <c r="F1451" s="1"/>
      <c r="G1451" s="6"/>
      <c r="H1451" s="6"/>
      <c r="I1451" s="6"/>
      <c r="J1451" s="6"/>
      <c r="K1451" s="12"/>
      <c r="L1451" s="12"/>
      <c r="M1451" s="6"/>
      <c r="N1451" s="6"/>
      <c r="O1451" s="7"/>
      <c r="P1451" s="12"/>
      <c r="Q1451" s="6"/>
      <c r="R1451" s="7"/>
      <c r="S1451" s="6"/>
      <c r="T1451" s="6"/>
      <c r="U1451" s="7"/>
      <c r="V1451" s="6"/>
      <c r="W1451" s="6"/>
      <c r="X1451" s="6"/>
      <c r="Y1451" s="6"/>
      <c r="Z1451" s="6"/>
      <c r="AA1451" s="7"/>
      <c r="AB1451" s="6"/>
      <c r="AC1451" s="6"/>
      <c r="AD1451" s="6"/>
      <c r="AE1451" s="12"/>
      <c r="AF1451" s="12"/>
      <c r="AG1451" s="12"/>
      <c r="AH1451" s="12"/>
      <c r="AI1451" s="6"/>
      <c r="AJ1451" s="12"/>
      <c r="AK1451" s="1"/>
      <c r="AL1451" s="12"/>
      <c r="AM1451" s="12"/>
      <c r="AN1451" s="1"/>
      <c r="AO1451" s="6"/>
    </row>
    <row r="1452" spans="1:41" ht="15" x14ac:dyDescent="0.25">
      <c r="A1452" s="1"/>
      <c r="B1452" s="1"/>
      <c r="C1452" s="1"/>
      <c r="D1452" s="1"/>
      <c r="E1452" s="6"/>
      <c r="F1452" s="1"/>
      <c r="G1452" s="6"/>
      <c r="H1452" s="6"/>
      <c r="I1452" s="6"/>
      <c r="J1452" s="6"/>
      <c r="K1452" s="6"/>
      <c r="L1452" s="6"/>
      <c r="M1452" s="6"/>
      <c r="N1452" s="6"/>
      <c r="O1452" s="7"/>
      <c r="P1452" s="6"/>
      <c r="Q1452" s="6"/>
      <c r="R1452" s="7"/>
      <c r="S1452" s="6"/>
      <c r="T1452" s="6"/>
      <c r="U1452" s="7"/>
      <c r="V1452" s="6"/>
      <c r="W1452" s="6"/>
      <c r="X1452" s="6"/>
      <c r="Y1452" s="6"/>
      <c r="Z1452" s="6"/>
      <c r="AA1452" s="7"/>
      <c r="AB1452" s="6"/>
      <c r="AC1452" s="6"/>
      <c r="AD1452" s="6"/>
      <c r="AE1452" s="12"/>
      <c r="AF1452" s="12"/>
      <c r="AG1452" s="12"/>
      <c r="AH1452" s="12"/>
      <c r="AI1452" s="6"/>
      <c r="AJ1452" s="12"/>
      <c r="AK1452" s="1"/>
      <c r="AL1452" s="12"/>
      <c r="AM1452" s="12"/>
      <c r="AN1452" s="1"/>
      <c r="AO1452" s="6"/>
    </row>
    <row r="1453" spans="1:41" ht="15" x14ac:dyDescent="0.25">
      <c r="A1453" s="1"/>
      <c r="B1453" s="1"/>
      <c r="C1453" s="1"/>
      <c r="D1453" s="1"/>
      <c r="E1453" s="6"/>
      <c r="F1453" s="1"/>
      <c r="G1453" s="6"/>
      <c r="H1453" s="6"/>
      <c r="I1453" s="6"/>
      <c r="J1453" s="6"/>
      <c r="K1453" s="6"/>
      <c r="L1453" s="6"/>
      <c r="M1453" s="6"/>
      <c r="N1453" s="6"/>
      <c r="O1453" s="7"/>
      <c r="P1453" s="6"/>
      <c r="Q1453" s="6"/>
      <c r="R1453" s="7"/>
      <c r="S1453" s="6"/>
      <c r="T1453" s="6"/>
      <c r="U1453" s="7"/>
      <c r="V1453" s="6"/>
      <c r="W1453" s="6"/>
      <c r="X1453" s="12"/>
      <c r="Y1453" s="6"/>
      <c r="Z1453" s="6"/>
      <c r="AA1453" s="7"/>
      <c r="AB1453" s="6"/>
      <c r="AC1453" s="6"/>
      <c r="AD1453" s="6"/>
      <c r="AE1453" s="12"/>
      <c r="AF1453" s="12"/>
      <c r="AG1453" s="12"/>
      <c r="AH1453" s="12"/>
      <c r="AI1453" s="6"/>
      <c r="AJ1453" s="12"/>
      <c r="AK1453" s="1"/>
      <c r="AL1453" s="12"/>
      <c r="AM1453" s="12"/>
      <c r="AN1453" s="1"/>
      <c r="AO1453" s="6"/>
    </row>
    <row r="1454" spans="1:41" ht="15" x14ac:dyDescent="0.25">
      <c r="A1454" s="1"/>
      <c r="B1454" s="1"/>
      <c r="C1454" s="1"/>
      <c r="D1454" s="1"/>
      <c r="E1454" s="6"/>
      <c r="F1454" s="1"/>
      <c r="G1454" s="6"/>
      <c r="H1454" s="6"/>
      <c r="I1454" s="6"/>
      <c r="J1454" s="6"/>
      <c r="K1454" s="6"/>
      <c r="L1454" s="6"/>
      <c r="M1454" s="6"/>
      <c r="N1454" s="6"/>
      <c r="O1454" s="7"/>
      <c r="P1454" s="6"/>
      <c r="Q1454" s="6"/>
      <c r="R1454" s="7"/>
      <c r="S1454" s="6"/>
      <c r="T1454" s="6"/>
      <c r="U1454" s="7"/>
      <c r="V1454" s="6"/>
      <c r="W1454" s="6"/>
      <c r="X1454" s="6"/>
      <c r="Y1454" s="6"/>
      <c r="Z1454" s="6"/>
      <c r="AA1454" s="7"/>
      <c r="AB1454" s="6"/>
      <c r="AC1454" s="6"/>
      <c r="AD1454" s="6"/>
      <c r="AE1454" s="12"/>
      <c r="AF1454" s="6"/>
      <c r="AG1454" s="12"/>
      <c r="AH1454" s="6"/>
      <c r="AI1454" s="6"/>
      <c r="AJ1454" s="12"/>
      <c r="AK1454" s="1"/>
      <c r="AL1454" s="12"/>
      <c r="AM1454" s="12"/>
      <c r="AN1454" s="1"/>
      <c r="AO1454" s="6"/>
    </row>
    <row r="1455" spans="1:41" ht="15" x14ac:dyDescent="0.25">
      <c r="A1455" s="1"/>
      <c r="B1455" s="1"/>
      <c r="C1455" s="1"/>
      <c r="D1455" s="1"/>
      <c r="E1455" s="6"/>
      <c r="F1455" s="1"/>
      <c r="G1455" s="6"/>
      <c r="H1455" s="6"/>
      <c r="I1455" s="6"/>
      <c r="J1455" s="6"/>
      <c r="K1455" s="6"/>
      <c r="L1455" s="6"/>
      <c r="M1455" s="6"/>
      <c r="N1455" s="6"/>
      <c r="O1455" s="7"/>
      <c r="P1455" s="6"/>
      <c r="Q1455" s="6"/>
      <c r="R1455" s="7"/>
      <c r="S1455" s="6"/>
      <c r="T1455" s="6"/>
      <c r="U1455" s="15"/>
      <c r="V1455" s="6"/>
      <c r="W1455" s="6"/>
      <c r="X1455" s="6"/>
      <c r="Y1455" s="6"/>
      <c r="Z1455" s="6"/>
      <c r="AA1455" s="7"/>
      <c r="AB1455" s="6"/>
      <c r="AC1455" s="6"/>
      <c r="AD1455" s="6"/>
      <c r="AE1455" s="12"/>
      <c r="AF1455" s="12"/>
      <c r="AG1455" s="12"/>
      <c r="AH1455" s="12"/>
      <c r="AI1455" s="6"/>
      <c r="AJ1455" s="12"/>
      <c r="AK1455" s="1"/>
      <c r="AL1455" s="12"/>
      <c r="AM1455" s="12"/>
      <c r="AN1455" s="1"/>
      <c r="AO1455" s="6"/>
    </row>
    <row r="1456" spans="1:41" ht="15" x14ac:dyDescent="0.25">
      <c r="A1456" s="1"/>
      <c r="B1456" s="1"/>
      <c r="C1456" s="1"/>
      <c r="D1456" s="1"/>
      <c r="E1456" s="6"/>
      <c r="F1456" s="1"/>
      <c r="G1456" s="6"/>
      <c r="H1456" s="6"/>
      <c r="I1456" s="6"/>
      <c r="J1456" s="6"/>
      <c r="K1456" s="6"/>
      <c r="L1456" s="6"/>
      <c r="M1456" s="6"/>
      <c r="N1456" s="6"/>
      <c r="O1456" s="7"/>
      <c r="P1456" s="6"/>
      <c r="Q1456" s="7"/>
      <c r="R1456" s="6"/>
      <c r="S1456" s="6"/>
      <c r="T1456" s="6"/>
      <c r="U1456" s="6"/>
      <c r="V1456" s="7"/>
      <c r="W1456" s="7"/>
      <c r="X1456" s="6"/>
      <c r="Y1456" s="6"/>
      <c r="Z1456" s="6"/>
      <c r="AA1456" s="1"/>
      <c r="AB1456" s="12"/>
      <c r="AC1456" s="12"/>
      <c r="AD1456" s="12"/>
      <c r="AE1456" s="12"/>
      <c r="AF1456" s="12"/>
      <c r="AG1456" s="12"/>
      <c r="AH1456" s="12"/>
      <c r="AI1456" s="6"/>
      <c r="AJ1456" s="12"/>
      <c r="AK1456" s="12"/>
      <c r="AL1456" s="12"/>
      <c r="AM1456" s="12"/>
      <c r="AN1456" s="1"/>
      <c r="AO1456" s="6"/>
    </row>
    <row r="1457" spans="1:41" ht="15" x14ac:dyDescent="0.25">
      <c r="A1457" s="1"/>
      <c r="B1457" s="1"/>
      <c r="C1457" s="1"/>
      <c r="D1457" s="1"/>
      <c r="E1457" s="6"/>
      <c r="F1457" s="1"/>
      <c r="G1457" s="6"/>
      <c r="H1457" s="6"/>
      <c r="I1457" s="6"/>
      <c r="J1457" s="6"/>
      <c r="K1457" s="6"/>
      <c r="L1457" s="6"/>
      <c r="M1457" s="6"/>
      <c r="N1457" s="6"/>
      <c r="O1457" s="7"/>
      <c r="P1457" s="6"/>
      <c r="Q1457" s="7"/>
      <c r="R1457" s="6"/>
      <c r="S1457" s="6"/>
      <c r="T1457" s="6"/>
      <c r="U1457" s="6"/>
      <c r="V1457" s="7"/>
      <c r="W1457" s="7"/>
      <c r="X1457" s="6"/>
      <c r="Y1457" s="6"/>
      <c r="Z1457" s="6"/>
      <c r="AA1457" s="1"/>
      <c r="AB1457" s="12"/>
      <c r="AC1457" s="12"/>
      <c r="AD1457" s="12"/>
      <c r="AE1457" s="12"/>
      <c r="AF1457" s="12"/>
      <c r="AG1457" s="12"/>
      <c r="AH1457" s="12"/>
      <c r="AI1457" s="6"/>
      <c r="AJ1457" s="12"/>
      <c r="AK1457" s="12"/>
      <c r="AL1457" s="12"/>
      <c r="AM1457" s="12"/>
      <c r="AN1457" s="1"/>
      <c r="AO1457" s="6"/>
    </row>
    <row r="1458" spans="1:41" ht="15" x14ac:dyDescent="0.25">
      <c r="A1458" s="1"/>
      <c r="B1458" s="1"/>
      <c r="C1458" s="1"/>
      <c r="D1458" s="1"/>
      <c r="E1458" s="6"/>
      <c r="F1458" s="1"/>
      <c r="G1458" s="6"/>
      <c r="H1458" s="6"/>
      <c r="I1458" s="6"/>
      <c r="J1458" s="6"/>
      <c r="K1458" s="12"/>
      <c r="L1458" s="12"/>
      <c r="M1458" s="6"/>
      <c r="N1458" s="6"/>
      <c r="O1458" s="7"/>
      <c r="P1458" s="6"/>
      <c r="Q1458" s="6"/>
      <c r="R1458" s="12"/>
      <c r="S1458" s="12"/>
      <c r="T1458" s="12"/>
      <c r="U1458" s="7"/>
      <c r="V1458" s="6"/>
      <c r="W1458" s="6"/>
      <c r="X1458" s="12"/>
      <c r="Y1458" s="6"/>
      <c r="Z1458" s="6"/>
      <c r="AA1458" s="7"/>
      <c r="AB1458" s="6"/>
      <c r="AC1458" s="6"/>
      <c r="AD1458" s="6"/>
      <c r="AE1458" s="12"/>
      <c r="AF1458" s="12"/>
      <c r="AG1458" s="12"/>
      <c r="AH1458" s="12"/>
      <c r="AI1458" s="6"/>
      <c r="AJ1458" s="12"/>
      <c r="AK1458" s="24"/>
      <c r="AL1458" s="25"/>
      <c r="AM1458" s="12"/>
      <c r="AN1458" s="1"/>
      <c r="AO1458" s="6"/>
    </row>
    <row r="1459" spans="1:41" ht="15" x14ac:dyDescent="0.25">
      <c r="A1459" s="1"/>
      <c r="B1459" s="1"/>
      <c r="C1459" s="1"/>
      <c r="D1459" s="1"/>
      <c r="E1459" s="6"/>
      <c r="F1459" s="1"/>
      <c r="G1459" s="6"/>
      <c r="H1459" s="6"/>
      <c r="I1459" s="6"/>
      <c r="J1459" s="6"/>
      <c r="K1459" s="6"/>
      <c r="L1459" s="6"/>
      <c r="M1459" s="6"/>
      <c r="N1459" s="6"/>
      <c r="O1459" s="7"/>
      <c r="P1459" s="6"/>
      <c r="Q1459" s="6"/>
      <c r="R1459" s="7"/>
      <c r="S1459" s="6"/>
      <c r="T1459" s="6"/>
      <c r="U1459" s="7"/>
      <c r="V1459" s="6"/>
      <c r="W1459" s="6"/>
      <c r="X1459" s="6"/>
      <c r="Y1459" s="6"/>
      <c r="Z1459" s="6"/>
      <c r="AA1459" s="7"/>
      <c r="AB1459" s="6"/>
      <c r="AC1459" s="6"/>
      <c r="AD1459" s="6"/>
      <c r="AE1459" s="12"/>
      <c r="AF1459" s="6"/>
      <c r="AG1459" s="12"/>
      <c r="AH1459" s="6"/>
      <c r="AI1459" s="6"/>
      <c r="AJ1459" s="12"/>
      <c r="AK1459" s="1"/>
      <c r="AL1459" s="12"/>
      <c r="AM1459" s="12"/>
      <c r="AN1459" s="1"/>
      <c r="AO1459" s="6"/>
    </row>
    <row r="1460" spans="1:41" ht="15" x14ac:dyDescent="0.25">
      <c r="A1460" s="1"/>
      <c r="B1460" s="1"/>
      <c r="C1460" s="1"/>
      <c r="D1460" s="1"/>
      <c r="E1460" s="6"/>
      <c r="F1460" s="1"/>
      <c r="G1460" s="6"/>
      <c r="H1460" s="6"/>
      <c r="I1460" s="6"/>
      <c r="J1460" s="6"/>
      <c r="K1460" s="6"/>
      <c r="L1460" s="6"/>
      <c r="M1460" s="6"/>
      <c r="N1460" s="6"/>
      <c r="O1460" s="7"/>
      <c r="P1460" s="6"/>
      <c r="Q1460" s="6"/>
      <c r="R1460" s="7"/>
      <c r="S1460" s="6"/>
      <c r="T1460" s="6"/>
      <c r="U1460" s="7"/>
      <c r="V1460" s="6"/>
      <c r="W1460" s="6"/>
      <c r="X1460" s="6"/>
      <c r="Y1460" s="6"/>
      <c r="Z1460" s="6"/>
      <c r="AA1460" s="7"/>
      <c r="AB1460" s="6"/>
      <c r="AC1460" s="6"/>
      <c r="AD1460" s="6"/>
      <c r="AE1460" s="12"/>
      <c r="AF1460" s="6"/>
      <c r="AG1460" s="12"/>
      <c r="AH1460" s="6"/>
      <c r="AI1460" s="6"/>
      <c r="AJ1460" s="12"/>
      <c r="AK1460" s="24"/>
      <c r="AL1460" s="25"/>
      <c r="AM1460" s="12"/>
      <c r="AN1460" s="1"/>
      <c r="AO1460" s="6"/>
    </row>
    <row r="1461" spans="1:41" ht="15" x14ac:dyDescent="0.25">
      <c r="A1461" s="1"/>
      <c r="B1461" s="1"/>
      <c r="C1461" s="1"/>
      <c r="D1461" s="1"/>
      <c r="E1461" s="6"/>
      <c r="F1461" s="1"/>
      <c r="G1461" s="6"/>
      <c r="H1461" s="6"/>
      <c r="I1461" s="6"/>
      <c r="J1461" s="6"/>
      <c r="K1461" s="6"/>
      <c r="L1461" s="6"/>
      <c r="M1461" s="6"/>
      <c r="N1461" s="6"/>
      <c r="O1461" s="7"/>
      <c r="P1461" s="6"/>
      <c r="Q1461" s="6"/>
      <c r="R1461" s="7"/>
      <c r="S1461" s="6"/>
      <c r="T1461" s="6"/>
      <c r="U1461" s="7"/>
      <c r="V1461" s="6"/>
      <c r="W1461" s="6"/>
      <c r="X1461" s="6"/>
      <c r="Y1461" s="6"/>
      <c r="Z1461" s="6"/>
      <c r="AA1461" s="7"/>
      <c r="AB1461" s="6"/>
      <c r="AC1461" s="6"/>
      <c r="AD1461" s="6"/>
      <c r="AE1461" s="12"/>
      <c r="AF1461" s="6"/>
      <c r="AG1461" s="12"/>
      <c r="AH1461" s="6"/>
      <c r="AI1461" s="6"/>
      <c r="AJ1461" s="12"/>
      <c r="AK1461" s="1"/>
      <c r="AL1461" s="12"/>
      <c r="AM1461" s="12"/>
      <c r="AN1461" s="1"/>
      <c r="AO1461" s="6"/>
    </row>
    <row r="1462" spans="1:41" ht="15" x14ac:dyDescent="0.25">
      <c r="A1462" s="1"/>
      <c r="B1462" s="1"/>
      <c r="C1462" s="1"/>
      <c r="D1462" s="1"/>
      <c r="E1462" s="6"/>
      <c r="F1462" s="1"/>
      <c r="G1462" s="6"/>
      <c r="H1462" s="6"/>
      <c r="I1462" s="6"/>
      <c r="J1462" s="6"/>
      <c r="K1462" s="6"/>
      <c r="L1462" s="6"/>
      <c r="M1462" s="6"/>
      <c r="N1462" s="6"/>
      <c r="O1462" s="7"/>
      <c r="P1462" s="6"/>
      <c r="Q1462" s="6"/>
      <c r="R1462" s="7"/>
      <c r="S1462" s="6"/>
      <c r="T1462" s="6"/>
      <c r="U1462" s="7"/>
      <c r="V1462" s="6"/>
      <c r="W1462" s="6"/>
      <c r="X1462" s="6"/>
      <c r="Y1462" s="6"/>
      <c r="Z1462" s="6"/>
      <c r="AA1462" s="7"/>
      <c r="AB1462" s="6"/>
      <c r="AC1462" s="6"/>
      <c r="AD1462" s="6"/>
      <c r="AE1462" s="12"/>
      <c r="AF1462" s="12"/>
      <c r="AG1462" s="12"/>
      <c r="AH1462" s="12"/>
      <c r="AI1462" s="6"/>
      <c r="AJ1462" s="12"/>
      <c r="AK1462" s="1"/>
      <c r="AL1462" s="12"/>
      <c r="AM1462" s="12"/>
      <c r="AN1462" s="1"/>
      <c r="AO1462" s="6"/>
    </row>
    <row r="1463" spans="1:41" ht="15" x14ac:dyDescent="0.25">
      <c r="A1463" s="1"/>
      <c r="B1463" s="1"/>
      <c r="C1463" s="1"/>
      <c r="D1463" s="1"/>
      <c r="E1463" s="6"/>
      <c r="F1463" s="1"/>
      <c r="G1463" s="6"/>
      <c r="H1463" s="6"/>
      <c r="I1463" s="6"/>
      <c r="J1463" s="6"/>
      <c r="K1463" s="6"/>
      <c r="L1463" s="6"/>
      <c r="M1463" s="6"/>
      <c r="N1463" s="6"/>
      <c r="O1463" s="7"/>
      <c r="P1463" s="6"/>
      <c r="Q1463" s="6"/>
      <c r="R1463" s="7"/>
      <c r="S1463" s="6"/>
      <c r="T1463" s="6"/>
      <c r="U1463" s="7"/>
      <c r="V1463" s="6"/>
      <c r="W1463" s="6"/>
      <c r="X1463" s="6"/>
      <c r="Y1463" s="6"/>
      <c r="Z1463" s="6"/>
      <c r="AA1463" s="7"/>
      <c r="AB1463" s="6"/>
      <c r="AC1463" s="6"/>
      <c r="AD1463" s="6"/>
      <c r="AE1463" s="12"/>
      <c r="AF1463" s="12"/>
      <c r="AG1463" s="12"/>
      <c r="AH1463" s="12"/>
      <c r="AI1463" s="6"/>
      <c r="AJ1463" s="12"/>
      <c r="AK1463" s="1"/>
      <c r="AL1463" s="12"/>
      <c r="AM1463" s="12"/>
      <c r="AN1463" s="1"/>
      <c r="AO1463" s="6"/>
    </row>
    <row r="1464" spans="1:41" ht="15" x14ac:dyDescent="0.25">
      <c r="A1464" s="1"/>
      <c r="B1464" s="1"/>
      <c r="C1464" s="1"/>
      <c r="D1464" s="1"/>
      <c r="E1464" s="6"/>
      <c r="F1464" s="1"/>
      <c r="G1464" s="6"/>
      <c r="H1464" s="6"/>
      <c r="I1464" s="6"/>
      <c r="J1464" s="6"/>
      <c r="K1464" s="6"/>
      <c r="L1464" s="6"/>
      <c r="M1464" s="6"/>
      <c r="N1464" s="6"/>
      <c r="O1464" s="7"/>
      <c r="P1464" s="6"/>
      <c r="Q1464" s="6"/>
      <c r="R1464" s="7"/>
      <c r="S1464" s="6"/>
      <c r="T1464" s="6"/>
      <c r="U1464" s="7"/>
      <c r="V1464" s="6"/>
      <c r="W1464" s="6"/>
      <c r="X1464" s="6"/>
      <c r="Y1464" s="6"/>
      <c r="Z1464" s="6"/>
      <c r="AA1464" s="7"/>
      <c r="AB1464" s="6"/>
      <c r="AC1464" s="6"/>
      <c r="AD1464" s="6"/>
      <c r="AE1464" s="12"/>
      <c r="AF1464" s="6"/>
      <c r="AG1464" s="12"/>
      <c r="AH1464" s="6"/>
      <c r="AI1464" s="6"/>
      <c r="AJ1464" s="12"/>
      <c r="AK1464" s="1"/>
      <c r="AL1464" s="12"/>
      <c r="AM1464" s="12"/>
      <c r="AN1464" s="1"/>
      <c r="AO1464" s="6"/>
    </row>
    <row r="1465" spans="1:41" ht="15" x14ac:dyDescent="0.25">
      <c r="A1465" s="1"/>
      <c r="B1465" s="1"/>
      <c r="C1465" s="1"/>
      <c r="D1465" s="1"/>
      <c r="E1465" s="6"/>
      <c r="F1465" s="1"/>
      <c r="G1465" s="6"/>
      <c r="H1465" s="6"/>
      <c r="I1465" s="6"/>
      <c r="J1465" s="6"/>
      <c r="K1465" s="6"/>
      <c r="L1465" s="6"/>
      <c r="M1465" s="6"/>
      <c r="N1465" s="6"/>
      <c r="O1465" s="7"/>
      <c r="P1465" s="6"/>
      <c r="Q1465" s="6"/>
      <c r="R1465" s="7"/>
      <c r="S1465" s="6"/>
      <c r="T1465" s="6"/>
      <c r="U1465" s="7"/>
      <c r="V1465" s="6"/>
      <c r="W1465" s="6"/>
      <c r="X1465" s="12"/>
      <c r="Y1465" s="6"/>
      <c r="Z1465" s="6"/>
      <c r="AA1465" s="7"/>
      <c r="AB1465" s="6"/>
      <c r="AC1465" s="6"/>
      <c r="AD1465" s="6"/>
      <c r="AE1465" s="12"/>
      <c r="AF1465" s="12"/>
      <c r="AG1465" s="12"/>
      <c r="AH1465" s="12"/>
      <c r="AI1465" s="6"/>
      <c r="AJ1465" s="12"/>
      <c r="AK1465" s="1"/>
      <c r="AL1465" s="12"/>
      <c r="AM1465" s="12"/>
      <c r="AN1465" s="1"/>
      <c r="AO1465" s="6"/>
    </row>
    <row r="1466" spans="1:41" ht="15" x14ac:dyDescent="0.25">
      <c r="A1466" s="1"/>
      <c r="B1466" s="1"/>
      <c r="C1466" s="1"/>
      <c r="D1466" s="1"/>
      <c r="E1466" s="6"/>
      <c r="F1466" s="1"/>
      <c r="G1466" s="6"/>
      <c r="H1466" s="6"/>
      <c r="I1466" s="6"/>
      <c r="J1466" s="6"/>
      <c r="K1466" s="6"/>
      <c r="L1466" s="6"/>
      <c r="M1466" s="6"/>
      <c r="N1466" s="6"/>
      <c r="O1466" s="7"/>
      <c r="P1466" s="6"/>
      <c r="Q1466" s="6"/>
      <c r="R1466" s="7"/>
      <c r="S1466" s="6"/>
      <c r="T1466" s="6"/>
      <c r="U1466" s="7"/>
      <c r="V1466" s="6"/>
      <c r="W1466" s="6"/>
      <c r="X1466" s="6"/>
      <c r="Y1466" s="6"/>
      <c r="Z1466" s="6"/>
      <c r="AA1466" s="7"/>
      <c r="AB1466" s="6"/>
      <c r="AC1466" s="6"/>
      <c r="AD1466" s="6"/>
      <c r="AE1466" s="12"/>
      <c r="AF1466" s="12"/>
      <c r="AG1466" s="12"/>
      <c r="AH1466" s="12"/>
      <c r="AI1466" s="6"/>
      <c r="AJ1466" s="12"/>
      <c r="AK1466" s="1"/>
      <c r="AL1466" s="12"/>
      <c r="AM1466" s="12"/>
      <c r="AN1466" s="1"/>
      <c r="AO1466" s="6"/>
    </row>
    <row r="1467" spans="1:41" ht="15" x14ac:dyDescent="0.25">
      <c r="A1467" s="1"/>
      <c r="B1467" s="1"/>
      <c r="C1467" s="1"/>
      <c r="D1467" s="1"/>
      <c r="E1467" s="6"/>
      <c r="F1467" s="1"/>
      <c r="G1467" s="6"/>
      <c r="H1467" s="6"/>
      <c r="I1467" s="6"/>
      <c r="J1467" s="6"/>
      <c r="K1467" s="6"/>
      <c r="L1467" s="6"/>
      <c r="M1467" s="6"/>
      <c r="N1467" s="6"/>
      <c r="O1467" s="7"/>
      <c r="P1467" s="6"/>
      <c r="Q1467" s="6"/>
      <c r="R1467" s="7"/>
      <c r="S1467" s="6"/>
      <c r="T1467" s="6"/>
      <c r="U1467" s="7"/>
      <c r="V1467" s="6"/>
      <c r="W1467" s="6"/>
      <c r="X1467" s="12"/>
      <c r="Y1467" s="6"/>
      <c r="Z1467" s="6"/>
      <c r="AA1467" s="7"/>
      <c r="AB1467" s="6"/>
      <c r="AC1467" s="6"/>
      <c r="AD1467" s="6"/>
      <c r="AE1467" s="12"/>
      <c r="AF1467" s="6"/>
      <c r="AG1467" s="12"/>
      <c r="AH1467" s="6"/>
      <c r="AI1467" s="6"/>
      <c r="AJ1467" s="12"/>
      <c r="AK1467" s="24"/>
      <c r="AL1467" s="25"/>
      <c r="AM1467" s="12"/>
      <c r="AN1467" s="1"/>
      <c r="AO1467" s="6"/>
    </row>
    <row r="1468" spans="1:41" ht="15" x14ac:dyDescent="0.25">
      <c r="A1468" s="1"/>
      <c r="B1468" s="1"/>
      <c r="C1468" s="1"/>
      <c r="D1468" s="1"/>
      <c r="E1468" s="6"/>
      <c r="F1468" s="1"/>
      <c r="G1468" s="6"/>
      <c r="H1468" s="6"/>
      <c r="I1468" s="6"/>
      <c r="J1468" s="6"/>
      <c r="K1468" s="6"/>
      <c r="L1468" s="6"/>
      <c r="M1468" s="6"/>
      <c r="N1468" s="6"/>
      <c r="O1468" s="7"/>
      <c r="P1468" s="6"/>
      <c r="Q1468" s="6"/>
      <c r="R1468" s="7"/>
      <c r="S1468" s="6"/>
      <c r="T1468" s="6"/>
      <c r="U1468" s="7"/>
      <c r="V1468" s="6"/>
      <c r="W1468" s="6"/>
      <c r="X1468" s="12"/>
      <c r="Y1468" s="6"/>
      <c r="Z1468" s="6"/>
      <c r="AA1468" s="7"/>
      <c r="AB1468" s="6"/>
      <c r="AC1468" s="6"/>
      <c r="AD1468" s="6"/>
      <c r="AE1468" s="12"/>
      <c r="AF1468" s="6"/>
      <c r="AG1468" s="12"/>
      <c r="AH1468" s="6"/>
      <c r="AI1468" s="6"/>
      <c r="AJ1468" s="12"/>
      <c r="AK1468" s="24"/>
      <c r="AL1468" s="25"/>
      <c r="AM1468" s="12"/>
      <c r="AN1468" s="1"/>
      <c r="AO1468" s="6"/>
    </row>
    <row r="1469" spans="1:41" ht="15" x14ac:dyDescent="0.25">
      <c r="A1469" s="1"/>
      <c r="B1469" s="1"/>
      <c r="C1469" s="1"/>
      <c r="D1469" s="1"/>
      <c r="E1469" s="6"/>
      <c r="F1469" s="1"/>
      <c r="G1469" s="6"/>
      <c r="H1469" s="6"/>
      <c r="I1469" s="6"/>
      <c r="J1469" s="6"/>
      <c r="K1469" s="6"/>
      <c r="L1469" s="6"/>
      <c r="M1469" s="6"/>
      <c r="N1469" s="6"/>
      <c r="O1469" s="7"/>
      <c r="P1469" s="6"/>
      <c r="Q1469" s="6"/>
      <c r="R1469" s="7"/>
      <c r="S1469" s="6"/>
      <c r="T1469" s="6"/>
      <c r="U1469" s="7"/>
      <c r="V1469" s="6"/>
      <c r="W1469" s="6"/>
      <c r="X1469" s="12"/>
      <c r="Y1469" s="6"/>
      <c r="Z1469" s="6"/>
      <c r="AA1469" s="7"/>
      <c r="AB1469" s="6"/>
      <c r="AC1469" s="6"/>
      <c r="AD1469" s="6"/>
      <c r="AE1469" s="12"/>
      <c r="AF1469" s="6"/>
      <c r="AG1469" s="12"/>
      <c r="AH1469" s="6"/>
      <c r="AI1469" s="6"/>
      <c r="AJ1469" s="12"/>
      <c r="AK1469" s="1"/>
      <c r="AL1469" s="12"/>
      <c r="AM1469" s="12"/>
      <c r="AN1469" s="1"/>
      <c r="AO1469" s="6"/>
    </row>
    <row r="1470" spans="1:41" ht="15" x14ac:dyDescent="0.25">
      <c r="A1470" s="1"/>
      <c r="B1470" s="1"/>
      <c r="C1470" s="1"/>
      <c r="D1470" s="1"/>
      <c r="E1470" s="6"/>
      <c r="F1470" s="1"/>
      <c r="G1470" s="6"/>
      <c r="H1470" s="6"/>
      <c r="I1470" s="6"/>
      <c r="J1470" s="6"/>
      <c r="K1470" s="6"/>
      <c r="L1470" s="6"/>
      <c r="M1470" s="6"/>
      <c r="N1470" s="6"/>
      <c r="O1470" s="7"/>
      <c r="P1470" s="6"/>
      <c r="Q1470" s="6"/>
      <c r="R1470" s="7"/>
      <c r="S1470" s="6"/>
      <c r="T1470" s="6"/>
      <c r="U1470" s="7"/>
      <c r="V1470" s="6"/>
      <c r="W1470" s="6"/>
      <c r="X1470" s="6"/>
      <c r="Y1470" s="6"/>
      <c r="Z1470" s="6"/>
      <c r="AA1470" s="7"/>
      <c r="AB1470" s="6"/>
      <c r="AC1470" s="6"/>
      <c r="AD1470" s="6"/>
      <c r="AE1470" s="12"/>
      <c r="AF1470" s="6"/>
      <c r="AG1470" s="12"/>
      <c r="AH1470" s="6"/>
      <c r="AI1470" s="6"/>
      <c r="AJ1470" s="12"/>
      <c r="AK1470" s="24"/>
      <c r="AL1470" s="25"/>
      <c r="AM1470" s="12"/>
      <c r="AN1470" s="1"/>
      <c r="AO1470" s="6"/>
    </row>
    <row r="1471" spans="1:41" ht="15" x14ac:dyDescent="0.25">
      <c r="A1471" s="1"/>
      <c r="B1471" s="1"/>
      <c r="C1471" s="1"/>
      <c r="D1471" s="1"/>
      <c r="E1471" s="6"/>
      <c r="F1471" s="1"/>
      <c r="G1471" s="6"/>
      <c r="H1471" s="6"/>
      <c r="I1471" s="6"/>
      <c r="J1471" s="6"/>
      <c r="K1471" s="12"/>
      <c r="L1471" s="12"/>
      <c r="M1471" s="6"/>
      <c r="N1471" s="6"/>
      <c r="O1471" s="7"/>
      <c r="P1471" s="6"/>
      <c r="Q1471" s="6"/>
      <c r="R1471" s="7"/>
      <c r="S1471" s="6"/>
      <c r="T1471" s="6"/>
      <c r="U1471" s="7"/>
      <c r="V1471" s="6"/>
      <c r="W1471" s="6"/>
      <c r="X1471" s="6"/>
      <c r="Y1471" s="6"/>
      <c r="Z1471" s="6"/>
      <c r="AA1471" s="7"/>
      <c r="AB1471" s="6"/>
      <c r="AC1471" s="6"/>
      <c r="AD1471" s="6"/>
      <c r="AE1471" s="12"/>
      <c r="AF1471" s="12"/>
      <c r="AG1471" s="12"/>
      <c r="AH1471" s="12"/>
      <c r="AI1471" s="6"/>
      <c r="AJ1471" s="12"/>
      <c r="AK1471" s="1"/>
      <c r="AL1471" s="12"/>
      <c r="AM1471" s="12"/>
      <c r="AN1471" s="1"/>
      <c r="AO1471" s="6"/>
    </row>
    <row r="1472" spans="1:41" ht="15" x14ac:dyDescent="0.25">
      <c r="A1472" s="1"/>
      <c r="B1472" s="1"/>
      <c r="C1472" s="1"/>
      <c r="D1472" s="1"/>
      <c r="E1472" s="6"/>
      <c r="F1472" s="1"/>
      <c r="G1472" s="6"/>
      <c r="H1472" s="6"/>
      <c r="I1472" s="6"/>
      <c r="J1472" s="6"/>
      <c r="K1472" s="6"/>
      <c r="L1472" s="6"/>
      <c r="M1472" s="6"/>
      <c r="N1472" s="6"/>
      <c r="O1472" s="7"/>
      <c r="P1472" s="6"/>
      <c r="Q1472" s="6"/>
      <c r="R1472" s="7"/>
      <c r="S1472" s="6"/>
      <c r="T1472" s="6"/>
      <c r="U1472" s="7"/>
      <c r="V1472" s="6"/>
      <c r="W1472" s="6"/>
      <c r="X1472" s="6"/>
      <c r="Y1472" s="6"/>
      <c r="Z1472" s="6"/>
      <c r="AA1472" s="7"/>
      <c r="AB1472" s="6"/>
      <c r="AC1472" s="6"/>
      <c r="AD1472" s="6"/>
      <c r="AE1472" s="12"/>
      <c r="AF1472" s="12"/>
      <c r="AG1472" s="12"/>
      <c r="AH1472" s="12"/>
      <c r="AI1472" s="6"/>
      <c r="AJ1472" s="12"/>
      <c r="AK1472" s="1"/>
      <c r="AL1472" s="12"/>
      <c r="AM1472" s="12"/>
      <c r="AN1472" s="1"/>
      <c r="AO1472" s="6"/>
    </row>
    <row r="1473" spans="1:41" ht="15" x14ac:dyDescent="0.25">
      <c r="A1473" s="1"/>
      <c r="B1473" s="1"/>
      <c r="C1473" s="1"/>
      <c r="D1473" s="1"/>
      <c r="E1473" s="6"/>
      <c r="F1473" s="1"/>
      <c r="G1473" s="6"/>
      <c r="H1473" s="6"/>
      <c r="I1473" s="6"/>
      <c r="J1473" s="6"/>
      <c r="K1473" s="6"/>
      <c r="L1473" s="6"/>
      <c r="M1473" s="6"/>
      <c r="N1473" s="6"/>
      <c r="O1473" s="7"/>
      <c r="P1473" s="6"/>
      <c r="Q1473" s="6"/>
      <c r="R1473" s="7"/>
      <c r="S1473" s="6"/>
      <c r="T1473" s="6"/>
      <c r="U1473" s="7"/>
      <c r="V1473" s="6"/>
      <c r="W1473" s="6"/>
      <c r="X1473" s="6"/>
      <c r="Y1473" s="6"/>
      <c r="Z1473" s="6"/>
      <c r="AA1473" s="7"/>
      <c r="AB1473" s="6"/>
      <c r="AC1473" s="6"/>
      <c r="AD1473" s="6"/>
      <c r="AE1473" s="12"/>
      <c r="AF1473" s="12"/>
      <c r="AG1473" s="12"/>
      <c r="AH1473" s="12"/>
      <c r="AI1473" s="6"/>
      <c r="AJ1473" s="12"/>
      <c r="AK1473" s="1"/>
      <c r="AL1473" s="12"/>
      <c r="AM1473" s="12"/>
      <c r="AN1473" s="1"/>
      <c r="AO1473" s="6"/>
    </row>
    <row r="1474" spans="1:41" ht="15" x14ac:dyDescent="0.25">
      <c r="A1474" s="1"/>
      <c r="B1474" s="1"/>
      <c r="C1474" s="1"/>
      <c r="D1474" s="1"/>
      <c r="E1474" s="6"/>
      <c r="F1474" s="1"/>
      <c r="G1474" s="6"/>
      <c r="H1474" s="6"/>
      <c r="I1474" s="6"/>
      <c r="J1474" s="6"/>
      <c r="K1474" s="6"/>
      <c r="L1474" s="6"/>
      <c r="M1474" s="6"/>
      <c r="N1474" s="6"/>
      <c r="O1474" s="7"/>
      <c r="P1474" s="6"/>
      <c r="Q1474" s="6"/>
      <c r="R1474" s="7"/>
      <c r="S1474" s="6"/>
      <c r="T1474" s="6"/>
      <c r="U1474" s="7"/>
      <c r="V1474" s="6"/>
      <c r="W1474" s="6"/>
      <c r="X1474" s="6"/>
      <c r="Y1474" s="6"/>
      <c r="Z1474" s="6"/>
      <c r="AA1474" s="7"/>
      <c r="AB1474" s="6"/>
      <c r="AC1474" s="6"/>
      <c r="AD1474" s="6"/>
      <c r="AE1474" s="12"/>
      <c r="AF1474" s="6"/>
      <c r="AG1474" s="12"/>
      <c r="AH1474" s="6"/>
      <c r="AI1474" s="6"/>
      <c r="AJ1474" s="12"/>
      <c r="AK1474" s="24"/>
      <c r="AL1474" s="25"/>
      <c r="AM1474" s="12"/>
      <c r="AN1474" s="1"/>
      <c r="AO1474" s="6"/>
    </row>
    <row r="1475" spans="1:41" ht="15" x14ac:dyDescent="0.25">
      <c r="A1475" s="1"/>
      <c r="B1475" s="1"/>
      <c r="C1475" s="1"/>
      <c r="D1475" s="1"/>
      <c r="E1475" s="6"/>
      <c r="F1475" s="1"/>
      <c r="G1475" s="6"/>
      <c r="H1475" s="6"/>
      <c r="I1475" s="6"/>
      <c r="J1475" s="6"/>
      <c r="K1475" s="6"/>
      <c r="L1475" s="6"/>
      <c r="M1475" s="6"/>
      <c r="N1475" s="6"/>
      <c r="O1475" s="7"/>
      <c r="P1475" s="12"/>
      <c r="Q1475" s="6"/>
      <c r="R1475" s="7"/>
      <c r="S1475" s="6"/>
      <c r="T1475" s="6"/>
      <c r="U1475" s="7"/>
      <c r="V1475" s="6"/>
      <c r="W1475" s="6"/>
      <c r="X1475" s="6"/>
      <c r="Y1475" s="6"/>
      <c r="Z1475" s="6"/>
      <c r="AA1475" s="7"/>
      <c r="AB1475" s="6"/>
      <c r="AC1475" s="6"/>
      <c r="AD1475" s="6"/>
      <c r="AE1475" s="12"/>
      <c r="AF1475" s="6"/>
      <c r="AG1475" s="12"/>
      <c r="AH1475" s="6"/>
      <c r="AI1475" s="6"/>
      <c r="AJ1475" s="12"/>
      <c r="AK1475" s="24"/>
      <c r="AL1475" s="25"/>
      <c r="AM1475" s="12"/>
      <c r="AN1475" s="1"/>
      <c r="AO1475" s="6"/>
    </row>
    <row r="1476" spans="1:41" ht="15" x14ac:dyDescent="0.25">
      <c r="A1476" s="1"/>
      <c r="B1476" s="1"/>
      <c r="C1476" s="1"/>
      <c r="D1476" s="1"/>
      <c r="E1476" s="6"/>
      <c r="F1476" s="1"/>
      <c r="G1476" s="6"/>
      <c r="H1476" s="6"/>
      <c r="I1476" s="6"/>
      <c r="J1476" s="6"/>
      <c r="K1476" s="6"/>
      <c r="L1476" s="6"/>
      <c r="M1476" s="6"/>
      <c r="N1476" s="6"/>
      <c r="O1476" s="7"/>
      <c r="P1476" s="12"/>
      <c r="Q1476" s="6"/>
      <c r="R1476" s="7"/>
      <c r="S1476" s="6"/>
      <c r="T1476" s="6"/>
      <c r="U1476" s="7"/>
      <c r="V1476" s="6"/>
      <c r="W1476" s="6"/>
      <c r="X1476" s="6"/>
      <c r="Y1476" s="6"/>
      <c r="Z1476" s="6"/>
      <c r="AA1476" s="7"/>
      <c r="AB1476" s="6"/>
      <c r="AC1476" s="6"/>
      <c r="AD1476" s="6"/>
      <c r="AE1476" s="12"/>
      <c r="AF1476" s="12"/>
      <c r="AG1476" s="12"/>
      <c r="AH1476" s="12"/>
      <c r="AI1476" s="6"/>
      <c r="AJ1476" s="12"/>
      <c r="AK1476" s="1"/>
      <c r="AL1476" s="12"/>
      <c r="AM1476" s="12"/>
      <c r="AN1476" s="1"/>
      <c r="AO1476" s="6"/>
    </row>
    <row r="1477" spans="1:41" ht="15" x14ac:dyDescent="0.25">
      <c r="A1477" s="1"/>
      <c r="B1477" s="1"/>
      <c r="C1477" s="1"/>
      <c r="D1477" s="1"/>
      <c r="E1477" s="6"/>
      <c r="F1477" s="1"/>
      <c r="G1477" s="6"/>
      <c r="H1477" s="6"/>
      <c r="I1477" s="6"/>
      <c r="J1477" s="6"/>
      <c r="K1477" s="12"/>
      <c r="L1477" s="12"/>
      <c r="M1477" s="6"/>
      <c r="N1477" s="6"/>
      <c r="O1477" s="7"/>
      <c r="P1477" s="6"/>
      <c r="Q1477" s="6"/>
      <c r="R1477" s="7"/>
      <c r="S1477" s="6"/>
      <c r="T1477" s="6"/>
      <c r="U1477" s="7"/>
      <c r="V1477" s="6"/>
      <c r="W1477" s="6"/>
      <c r="X1477" s="6"/>
      <c r="Y1477" s="6"/>
      <c r="Z1477" s="6"/>
      <c r="AA1477" s="7"/>
      <c r="AB1477" s="6"/>
      <c r="AC1477" s="6"/>
      <c r="AD1477" s="6"/>
      <c r="AE1477" s="12"/>
      <c r="AF1477" s="12"/>
      <c r="AG1477" s="12"/>
      <c r="AH1477" s="12"/>
      <c r="AI1477" s="6"/>
      <c r="AJ1477" s="12"/>
      <c r="AK1477" s="1"/>
      <c r="AL1477" s="12"/>
      <c r="AM1477" s="12"/>
      <c r="AN1477" s="1"/>
      <c r="AO1477" s="6"/>
    </row>
    <row r="1478" spans="1:41" ht="15" x14ac:dyDescent="0.25">
      <c r="A1478" s="1"/>
      <c r="B1478" s="1"/>
      <c r="C1478" s="1"/>
      <c r="D1478" s="1"/>
      <c r="E1478" s="6"/>
      <c r="F1478" s="1"/>
      <c r="G1478" s="6"/>
      <c r="H1478" s="6"/>
      <c r="I1478" s="6"/>
      <c r="J1478" s="6"/>
      <c r="K1478" s="6"/>
      <c r="L1478" s="6"/>
      <c r="M1478" s="6"/>
      <c r="N1478" s="6"/>
      <c r="O1478" s="7"/>
      <c r="P1478" s="6"/>
      <c r="Q1478" s="6"/>
      <c r="R1478" s="7"/>
      <c r="S1478" s="6"/>
      <c r="T1478" s="6"/>
      <c r="U1478" s="7"/>
      <c r="V1478" s="6"/>
      <c r="W1478" s="6"/>
      <c r="X1478" s="6"/>
      <c r="Y1478" s="6"/>
      <c r="Z1478" s="6"/>
      <c r="AA1478" s="7"/>
      <c r="AB1478" s="6"/>
      <c r="AC1478" s="6"/>
      <c r="AD1478" s="6"/>
      <c r="AE1478" s="12"/>
      <c r="AF1478" s="6"/>
      <c r="AG1478" s="12"/>
      <c r="AH1478" s="6"/>
      <c r="AI1478" s="6"/>
      <c r="AJ1478" s="12"/>
      <c r="AK1478" s="1"/>
      <c r="AL1478" s="12"/>
      <c r="AM1478" s="12"/>
      <c r="AN1478" s="1"/>
      <c r="AO1478" s="6"/>
    </row>
    <row r="1479" spans="1:41" ht="15" x14ac:dyDescent="0.25">
      <c r="A1479" s="1"/>
      <c r="B1479" s="1"/>
      <c r="C1479" s="1"/>
      <c r="D1479" s="1"/>
      <c r="E1479" s="6"/>
      <c r="F1479" s="1"/>
      <c r="G1479" s="6"/>
      <c r="H1479" s="6"/>
      <c r="I1479" s="6"/>
      <c r="J1479" s="6"/>
      <c r="K1479" s="6"/>
      <c r="L1479" s="6"/>
      <c r="M1479" s="6"/>
      <c r="N1479" s="6"/>
      <c r="O1479" s="7"/>
      <c r="P1479" s="12"/>
      <c r="Q1479" s="6"/>
      <c r="R1479" s="7"/>
      <c r="S1479" s="6"/>
      <c r="T1479" s="6"/>
      <c r="U1479" s="7"/>
      <c r="V1479" s="6"/>
      <c r="W1479" s="6"/>
      <c r="X1479" s="6"/>
      <c r="Y1479" s="6"/>
      <c r="Z1479" s="6"/>
      <c r="AA1479" s="7"/>
      <c r="AB1479" s="6"/>
      <c r="AC1479" s="6"/>
      <c r="AD1479" s="6"/>
      <c r="AE1479" s="12"/>
      <c r="AF1479" s="12"/>
      <c r="AG1479" s="12"/>
      <c r="AH1479" s="12"/>
      <c r="AI1479" s="6"/>
      <c r="AJ1479" s="12"/>
      <c r="AK1479" s="1"/>
      <c r="AL1479" s="12"/>
      <c r="AM1479" s="12"/>
      <c r="AN1479" s="1"/>
      <c r="AO1479" s="6"/>
    </row>
    <row r="1480" spans="1:41" ht="15" x14ac:dyDescent="0.25">
      <c r="A1480" s="1"/>
      <c r="B1480" s="1"/>
      <c r="C1480" s="1"/>
      <c r="D1480" s="1"/>
      <c r="E1480" s="6"/>
      <c r="F1480" s="1"/>
      <c r="G1480" s="6"/>
      <c r="H1480" s="6"/>
      <c r="I1480" s="6"/>
      <c r="J1480" s="6"/>
      <c r="K1480" s="6"/>
      <c r="L1480" s="6"/>
      <c r="M1480" s="6"/>
      <c r="N1480" s="6"/>
      <c r="O1480" s="7"/>
      <c r="P1480" s="12"/>
      <c r="Q1480" s="6"/>
      <c r="R1480" s="7"/>
      <c r="S1480" s="6"/>
      <c r="T1480" s="6"/>
      <c r="U1480" s="7"/>
      <c r="V1480" s="6"/>
      <c r="W1480" s="6"/>
      <c r="X1480" s="6"/>
      <c r="Y1480" s="6"/>
      <c r="Z1480" s="6"/>
      <c r="AA1480" s="7"/>
      <c r="AB1480" s="6"/>
      <c r="AC1480" s="6"/>
      <c r="AD1480" s="6"/>
      <c r="AE1480" s="12"/>
      <c r="AF1480" s="12"/>
      <c r="AG1480" s="12"/>
      <c r="AH1480" s="12"/>
      <c r="AI1480" s="6"/>
      <c r="AJ1480" s="12"/>
      <c r="AK1480" s="1"/>
      <c r="AL1480" s="12"/>
      <c r="AM1480" s="12"/>
      <c r="AN1480" s="1"/>
      <c r="AO1480" s="6"/>
    </row>
    <row r="1481" spans="1:41" ht="15" x14ac:dyDescent="0.25">
      <c r="A1481" s="1"/>
      <c r="B1481" s="1"/>
      <c r="C1481" s="1"/>
      <c r="D1481" s="1"/>
      <c r="E1481" s="6"/>
      <c r="F1481" s="1"/>
      <c r="G1481" s="6"/>
      <c r="H1481" s="6"/>
      <c r="I1481" s="6"/>
      <c r="J1481" s="6"/>
      <c r="K1481" s="6"/>
      <c r="L1481" s="6"/>
      <c r="M1481" s="6"/>
      <c r="N1481" s="6"/>
      <c r="O1481" s="7"/>
      <c r="P1481" s="6"/>
      <c r="Q1481" s="7"/>
      <c r="R1481" s="6"/>
      <c r="S1481" s="6"/>
      <c r="T1481" s="6"/>
      <c r="U1481" s="6"/>
      <c r="V1481" s="7"/>
      <c r="W1481" s="6"/>
      <c r="X1481" s="6"/>
      <c r="Y1481" s="6"/>
      <c r="Z1481" s="6"/>
      <c r="AA1481" s="1"/>
      <c r="AB1481" s="12"/>
      <c r="AC1481" s="12"/>
      <c r="AD1481" s="12"/>
      <c r="AE1481" s="12"/>
      <c r="AF1481" s="6"/>
      <c r="AG1481" s="12"/>
      <c r="AH1481" s="6"/>
      <c r="AI1481" s="6"/>
      <c r="AJ1481" s="12"/>
      <c r="AK1481" s="12"/>
      <c r="AL1481" s="12"/>
      <c r="AM1481" s="12"/>
      <c r="AN1481" s="1"/>
      <c r="AO1481" s="6"/>
    </row>
    <row r="1482" spans="1:41" ht="15" x14ac:dyDescent="0.25">
      <c r="A1482" s="1"/>
      <c r="B1482" s="1"/>
      <c r="C1482" s="1"/>
      <c r="D1482" s="1"/>
      <c r="E1482" s="6"/>
      <c r="F1482" s="1"/>
      <c r="G1482" s="6"/>
      <c r="H1482" s="6"/>
      <c r="I1482" s="6"/>
      <c r="J1482" s="6"/>
      <c r="K1482" s="6"/>
      <c r="L1482" s="6"/>
      <c r="M1482" s="6"/>
      <c r="N1482" s="6"/>
      <c r="O1482" s="7"/>
      <c r="P1482" s="12"/>
      <c r="Q1482" s="6"/>
      <c r="R1482" s="7"/>
      <c r="S1482" s="6"/>
      <c r="T1482" s="6"/>
      <c r="U1482" s="7"/>
      <c r="V1482" s="6"/>
      <c r="W1482" s="6"/>
      <c r="X1482" s="6"/>
      <c r="Y1482" s="6"/>
      <c r="Z1482" s="6"/>
      <c r="AA1482" s="7"/>
      <c r="AB1482" s="6"/>
      <c r="AC1482" s="6"/>
      <c r="AD1482" s="6"/>
      <c r="AE1482" s="12"/>
      <c r="AF1482" s="6"/>
      <c r="AG1482" s="12"/>
      <c r="AH1482" s="6"/>
      <c r="AI1482" s="6"/>
      <c r="AJ1482" s="12"/>
      <c r="AK1482" s="24"/>
      <c r="AL1482" s="25"/>
      <c r="AM1482" s="12"/>
      <c r="AN1482" s="1"/>
      <c r="AO1482" s="6"/>
    </row>
    <row r="1483" spans="1:41" ht="15" x14ac:dyDescent="0.25">
      <c r="A1483" s="1"/>
      <c r="B1483" s="1"/>
      <c r="C1483" s="1"/>
      <c r="D1483" s="1"/>
      <c r="E1483" s="6"/>
      <c r="F1483" s="1"/>
      <c r="G1483" s="6"/>
      <c r="H1483" s="6"/>
      <c r="I1483" s="6"/>
      <c r="J1483" s="6"/>
      <c r="K1483" s="6"/>
      <c r="L1483" s="6"/>
      <c r="M1483" s="6"/>
      <c r="N1483" s="6"/>
      <c r="O1483" s="7"/>
      <c r="P1483" s="6"/>
      <c r="Q1483" s="6"/>
      <c r="R1483" s="7"/>
      <c r="S1483" s="6"/>
      <c r="T1483" s="6"/>
      <c r="U1483" s="7"/>
      <c r="V1483" s="6"/>
      <c r="W1483" s="6"/>
      <c r="X1483" s="6"/>
      <c r="Y1483" s="6"/>
      <c r="Z1483" s="6"/>
      <c r="AA1483" s="7"/>
      <c r="AB1483" s="6"/>
      <c r="AC1483" s="6"/>
      <c r="AD1483" s="6"/>
      <c r="AE1483" s="12"/>
      <c r="AF1483" s="6"/>
      <c r="AG1483" s="12"/>
      <c r="AH1483" s="6"/>
      <c r="AI1483" s="6"/>
      <c r="AJ1483" s="12"/>
      <c r="AK1483" s="1"/>
      <c r="AL1483" s="12"/>
      <c r="AM1483" s="12"/>
      <c r="AN1483" s="1"/>
      <c r="AO1483" s="6"/>
    </row>
    <row r="1484" spans="1:41" ht="15" x14ac:dyDescent="0.25">
      <c r="A1484" s="1"/>
      <c r="B1484" s="1"/>
      <c r="C1484" s="1"/>
      <c r="D1484" s="1"/>
      <c r="E1484" s="6"/>
      <c r="F1484" s="1"/>
      <c r="G1484" s="6"/>
      <c r="H1484" s="6"/>
      <c r="I1484" s="6"/>
      <c r="J1484" s="6"/>
      <c r="K1484" s="6"/>
      <c r="L1484" s="6"/>
      <c r="M1484" s="6"/>
      <c r="N1484" s="6"/>
      <c r="O1484" s="7"/>
      <c r="P1484" s="6"/>
      <c r="Q1484" s="6"/>
      <c r="R1484" s="7"/>
      <c r="S1484" s="6"/>
      <c r="T1484" s="6"/>
      <c r="U1484" s="7"/>
      <c r="V1484" s="6"/>
      <c r="W1484" s="6"/>
      <c r="X1484" s="6"/>
      <c r="Y1484" s="6"/>
      <c r="Z1484" s="6"/>
      <c r="AA1484" s="7"/>
      <c r="AB1484" s="6"/>
      <c r="AC1484" s="6"/>
      <c r="AD1484" s="6"/>
      <c r="AE1484" s="12"/>
      <c r="AF1484" s="12"/>
      <c r="AG1484" s="12"/>
      <c r="AH1484" s="12"/>
      <c r="AI1484" s="6"/>
      <c r="AJ1484" s="12"/>
      <c r="AK1484" s="1"/>
      <c r="AL1484" s="12"/>
      <c r="AM1484" s="12"/>
      <c r="AN1484" s="1"/>
      <c r="AO1484" s="6"/>
    </row>
    <row r="1485" spans="1:41" ht="15" x14ac:dyDescent="0.25">
      <c r="A1485" s="1"/>
      <c r="B1485" s="1"/>
      <c r="C1485" s="1"/>
      <c r="D1485" s="1"/>
      <c r="E1485" s="6"/>
      <c r="F1485" s="1"/>
      <c r="G1485" s="6"/>
      <c r="H1485" s="6"/>
      <c r="I1485" s="6"/>
      <c r="J1485" s="6"/>
      <c r="K1485" s="6"/>
      <c r="L1485" s="6"/>
      <c r="M1485" s="6"/>
      <c r="N1485" s="6"/>
      <c r="O1485" s="7"/>
      <c r="P1485" s="12"/>
      <c r="Q1485" s="6"/>
      <c r="R1485" s="15"/>
      <c r="S1485" s="6"/>
      <c r="T1485" s="6"/>
      <c r="U1485" s="15"/>
      <c r="V1485" s="6"/>
      <c r="W1485" s="6"/>
      <c r="X1485" s="6"/>
      <c r="Y1485" s="6"/>
      <c r="Z1485" s="6"/>
      <c r="AA1485" s="7"/>
      <c r="AB1485" s="6"/>
      <c r="AC1485" s="6"/>
      <c r="AD1485" s="6"/>
      <c r="AE1485" s="12"/>
      <c r="AF1485" s="12"/>
      <c r="AG1485" s="12"/>
      <c r="AH1485" s="12"/>
      <c r="AI1485" s="6"/>
      <c r="AJ1485" s="12"/>
      <c r="AK1485" s="1"/>
      <c r="AL1485" s="12"/>
      <c r="AM1485" s="12"/>
      <c r="AN1485" s="1"/>
      <c r="AO1485" s="6"/>
    </row>
    <row r="1486" spans="1:41" ht="15" x14ac:dyDescent="0.25">
      <c r="A1486" s="1"/>
      <c r="B1486" s="1"/>
      <c r="C1486" s="1"/>
      <c r="D1486" s="1"/>
      <c r="E1486" s="6"/>
      <c r="F1486" s="1"/>
      <c r="G1486" s="6"/>
      <c r="H1486" s="6"/>
      <c r="I1486" s="6"/>
      <c r="J1486" s="6"/>
      <c r="K1486" s="6"/>
      <c r="L1486" s="6"/>
      <c r="M1486" s="6"/>
      <c r="N1486" s="6"/>
      <c r="O1486" s="7"/>
      <c r="P1486" s="12"/>
      <c r="Q1486" s="6"/>
      <c r="R1486" s="7"/>
      <c r="S1486" s="6"/>
      <c r="T1486" s="6"/>
      <c r="U1486" s="7"/>
      <c r="V1486" s="6"/>
      <c r="W1486" s="6"/>
      <c r="X1486" s="6"/>
      <c r="Y1486" s="6"/>
      <c r="Z1486" s="6"/>
      <c r="AA1486" s="7"/>
      <c r="AB1486" s="6"/>
      <c r="AC1486" s="6"/>
      <c r="AD1486" s="6"/>
      <c r="AE1486" s="12"/>
      <c r="AF1486" s="6"/>
      <c r="AG1486" s="12"/>
      <c r="AH1486" s="6"/>
      <c r="AI1486" s="6"/>
      <c r="AJ1486" s="12"/>
      <c r="AK1486" s="1"/>
      <c r="AL1486" s="12"/>
      <c r="AM1486" s="12"/>
      <c r="AN1486" s="1"/>
      <c r="AO1486" s="6"/>
    </row>
    <row r="1487" spans="1:41" ht="15" x14ac:dyDescent="0.25">
      <c r="A1487" s="1"/>
      <c r="B1487" s="1"/>
      <c r="C1487" s="1"/>
      <c r="D1487" s="1"/>
      <c r="E1487" s="6"/>
      <c r="F1487" s="1"/>
      <c r="G1487" s="6"/>
      <c r="H1487" s="6"/>
      <c r="I1487" s="6"/>
      <c r="J1487" s="6"/>
      <c r="K1487" s="6"/>
      <c r="L1487" s="6"/>
      <c r="M1487" s="6"/>
      <c r="N1487" s="6"/>
      <c r="O1487" s="7"/>
      <c r="P1487" s="6"/>
      <c r="Q1487" s="6"/>
      <c r="R1487" s="7"/>
      <c r="S1487" s="6"/>
      <c r="T1487" s="6"/>
      <c r="U1487" s="7"/>
      <c r="V1487" s="6"/>
      <c r="W1487" s="6"/>
      <c r="X1487" s="6"/>
      <c r="Y1487" s="6"/>
      <c r="Z1487" s="6"/>
      <c r="AA1487" s="7"/>
      <c r="AB1487" s="6"/>
      <c r="AC1487" s="6"/>
      <c r="AD1487" s="6"/>
      <c r="AE1487" s="12"/>
      <c r="AF1487" s="12"/>
      <c r="AG1487" s="12"/>
      <c r="AH1487" s="12"/>
      <c r="AI1487" s="6"/>
      <c r="AJ1487" s="12"/>
      <c r="AK1487" s="1"/>
      <c r="AL1487" s="12"/>
      <c r="AM1487" s="12"/>
      <c r="AN1487" s="1"/>
      <c r="AO1487" s="6"/>
    </row>
    <row r="1488" spans="1:41" ht="15" x14ac:dyDescent="0.25">
      <c r="A1488" s="1"/>
      <c r="B1488" s="1"/>
      <c r="C1488" s="1"/>
      <c r="D1488" s="1"/>
      <c r="E1488" s="6"/>
      <c r="F1488" s="1"/>
      <c r="G1488" s="6"/>
      <c r="H1488" s="6"/>
      <c r="I1488" s="6"/>
      <c r="J1488" s="6"/>
      <c r="K1488" s="6"/>
      <c r="L1488" s="6"/>
      <c r="M1488" s="6"/>
      <c r="N1488" s="6"/>
      <c r="O1488" s="7"/>
      <c r="P1488" s="6"/>
      <c r="Q1488" s="6"/>
      <c r="R1488" s="7"/>
      <c r="S1488" s="6"/>
      <c r="T1488" s="6"/>
      <c r="U1488" s="7"/>
      <c r="V1488" s="6"/>
      <c r="W1488" s="6"/>
      <c r="X1488" s="6"/>
      <c r="Y1488" s="6"/>
      <c r="Z1488" s="6"/>
      <c r="AA1488" s="7"/>
      <c r="AB1488" s="6"/>
      <c r="AC1488" s="6"/>
      <c r="AD1488" s="6"/>
      <c r="AE1488" s="12"/>
      <c r="AF1488" s="6"/>
      <c r="AG1488" s="12"/>
      <c r="AH1488" s="6"/>
      <c r="AI1488" s="6"/>
      <c r="AJ1488" s="12"/>
      <c r="AK1488" s="24"/>
      <c r="AL1488" s="25"/>
      <c r="AM1488" s="12"/>
      <c r="AN1488" s="1"/>
      <c r="AO1488" s="6"/>
    </row>
    <row r="1489" spans="1:41" ht="15" x14ac:dyDescent="0.25">
      <c r="A1489" s="1"/>
      <c r="B1489" s="1"/>
      <c r="C1489" s="1"/>
      <c r="D1489" s="1"/>
      <c r="E1489" s="6"/>
      <c r="F1489" s="1"/>
      <c r="G1489" s="6"/>
      <c r="H1489" s="6"/>
      <c r="I1489" s="6"/>
      <c r="J1489" s="6"/>
      <c r="K1489" s="6"/>
      <c r="L1489" s="6"/>
      <c r="M1489" s="6"/>
      <c r="N1489" s="6"/>
      <c r="O1489" s="7"/>
      <c r="P1489" s="6"/>
      <c r="Q1489" s="6"/>
      <c r="R1489" s="7"/>
      <c r="S1489" s="6"/>
      <c r="T1489" s="6"/>
      <c r="U1489" s="7"/>
      <c r="V1489" s="6"/>
      <c r="W1489" s="6"/>
      <c r="X1489" s="6"/>
      <c r="Y1489" s="6"/>
      <c r="Z1489" s="6"/>
      <c r="AA1489" s="7"/>
      <c r="AB1489" s="6"/>
      <c r="AC1489" s="6"/>
      <c r="AD1489" s="6"/>
      <c r="AE1489" s="12"/>
      <c r="AF1489" s="6"/>
      <c r="AG1489" s="12"/>
      <c r="AH1489" s="6"/>
      <c r="AI1489" s="6"/>
      <c r="AJ1489" s="12"/>
      <c r="AK1489" s="1"/>
      <c r="AL1489" s="12"/>
      <c r="AM1489" s="12"/>
      <c r="AN1489" s="1"/>
      <c r="AO1489" s="6"/>
    </row>
    <row r="1490" spans="1:41" ht="15" x14ac:dyDescent="0.25">
      <c r="A1490" s="1"/>
      <c r="B1490" s="1"/>
      <c r="C1490" s="1"/>
      <c r="D1490" s="1"/>
      <c r="E1490" s="6"/>
      <c r="F1490" s="1"/>
      <c r="G1490" s="6"/>
      <c r="H1490" s="6"/>
      <c r="I1490" s="6"/>
      <c r="J1490" s="6"/>
      <c r="K1490" s="6"/>
      <c r="L1490" s="6"/>
      <c r="M1490" s="6"/>
      <c r="N1490" s="6"/>
      <c r="O1490" s="7"/>
      <c r="P1490" s="6"/>
      <c r="Q1490" s="7"/>
      <c r="R1490" s="6"/>
      <c r="S1490" s="6"/>
      <c r="T1490" s="6"/>
      <c r="U1490" s="6"/>
      <c r="V1490" s="7"/>
      <c r="W1490" s="7"/>
      <c r="X1490" s="6"/>
      <c r="Y1490" s="6"/>
      <c r="Z1490" s="6"/>
      <c r="AA1490" s="1"/>
      <c r="AB1490" s="12"/>
      <c r="AC1490" s="12"/>
      <c r="AD1490" s="12"/>
      <c r="AE1490" s="12"/>
      <c r="AF1490" s="12"/>
      <c r="AG1490" s="12"/>
      <c r="AH1490" s="12"/>
      <c r="AI1490" s="6"/>
      <c r="AJ1490" s="12"/>
      <c r="AK1490" s="12"/>
      <c r="AL1490" s="12"/>
      <c r="AM1490" s="12"/>
      <c r="AN1490" s="1"/>
      <c r="AO1490" s="6"/>
    </row>
    <row r="1491" spans="1:41" ht="15" x14ac:dyDescent="0.25">
      <c r="A1491" s="1"/>
      <c r="B1491" s="1"/>
      <c r="C1491" s="1"/>
      <c r="D1491" s="1"/>
      <c r="E1491" s="6"/>
      <c r="F1491" s="1"/>
      <c r="G1491" s="6"/>
      <c r="H1491" s="6"/>
      <c r="I1491" s="6"/>
      <c r="J1491" s="6"/>
      <c r="K1491" s="6"/>
      <c r="L1491" s="6"/>
      <c r="M1491" s="6"/>
      <c r="N1491" s="6"/>
      <c r="O1491" s="7"/>
      <c r="P1491" s="12"/>
      <c r="Q1491" s="6"/>
      <c r="R1491" s="7"/>
      <c r="S1491" s="6"/>
      <c r="T1491" s="6"/>
      <c r="U1491" s="7"/>
      <c r="V1491" s="6"/>
      <c r="W1491" s="6"/>
      <c r="X1491" s="6"/>
      <c r="Y1491" s="6"/>
      <c r="Z1491" s="6"/>
      <c r="AA1491" s="7"/>
      <c r="AB1491" s="6"/>
      <c r="AC1491" s="6"/>
      <c r="AD1491" s="6"/>
      <c r="AE1491" s="12"/>
      <c r="AF1491" s="6"/>
      <c r="AG1491" s="12"/>
      <c r="AH1491" s="6"/>
      <c r="AI1491" s="6"/>
      <c r="AJ1491" s="12"/>
      <c r="AK1491" s="1"/>
      <c r="AL1491" s="12"/>
      <c r="AM1491" s="12"/>
      <c r="AN1491" s="1"/>
      <c r="AO1491" s="6"/>
    </row>
    <row r="1492" spans="1:41" ht="15" x14ac:dyDescent="0.25">
      <c r="A1492" s="1"/>
      <c r="B1492" s="1"/>
      <c r="C1492" s="1"/>
      <c r="D1492" s="1"/>
      <c r="E1492" s="6"/>
      <c r="F1492" s="1"/>
      <c r="G1492" s="6"/>
      <c r="H1492" s="6"/>
      <c r="I1492" s="6"/>
      <c r="J1492" s="6"/>
      <c r="K1492" s="6"/>
      <c r="L1492" s="6"/>
      <c r="M1492" s="6"/>
      <c r="N1492" s="6"/>
      <c r="O1492" s="15"/>
      <c r="P1492" s="6"/>
      <c r="Q1492" s="6"/>
      <c r="R1492" s="15"/>
      <c r="S1492" s="6"/>
      <c r="T1492" s="6"/>
      <c r="U1492" s="15"/>
      <c r="V1492" s="6"/>
      <c r="W1492" s="6"/>
      <c r="X1492" s="6"/>
      <c r="Y1492" s="6"/>
      <c r="Z1492" s="6"/>
      <c r="AA1492" s="7"/>
      <c r="AB1492" s="6"/>
      <c r="AC1492" s="6"/>
      <c r="AD1492" s="6"/>
      <c r="AE1492" s="12"/>
      <c r="AF1492" s="12"/>
      <c r="AG1492" s="12"/>
      <c r="AH1492" s="12"/>
      <c r="AI1492" s="6"/>
      <c r="AJ1492" s="12"/>
      <c r="AK1492" s="1"/>
      <c r="AL1492" s="12"/>
      <c r="AM1492" s="12"/>
      <c r="AN1492" s="1"/>
      <c r="AO1492" s="6"/>
    </row>
    <row r="1493" spans="1:41" ht="15" x14ac:dyDescent="0.25">
      <c r="A1493" s="1"/>
      <c r="B1493" s="1"/>
      <c r="C1493" s="1"/>
      <c r="D1493" s="1"/>
      <c r="E1493" s="6"/>
      <c r="F1493" s="1"/>
      <c r="G1493" s="6"/>
      <c r="H1493" s="6"/>
      <c r="I1493" s="6"/>
      <c r="J1493" s="6"/>
      <c r="K1493" s="6"/>
      <c r="L1493" s="6"/>
      <c r="M1493" s="6"/>
      <c r="N1493" s="6"/>
      <c r="O1493" s="7"/>
      <c r="P1493" s="6"/>
      <c r="Q1493" s="6"/>
      <c r="R1493" s="7"/>
      <c r="S1493" s="6"/>
      <c r="T1493" s="6"/>
      <c r="U1493" s="7"/>
      <c r="V1493" s="6"/>
      <c r="W1493" s="6"/>
      <c r="X1493" s="6"/>
      <c r="Y1493" s="6"/>
      <c r="Z1493" s="6"/>
      <c r="AA1493" s="7"/>
      <c r="AB1493" s="6"/>
      <c r="AC1493" s="6"/>
      <c r="AD1493" s="6"/>
      <c r="AE1493" s="12"/>
      <c r="AF1493" s="12"/>
      <c r="AG1493" s="12"/>
      <c r="AH1493" s="12"/>
      <c r="AI1493" s="6"/>
      <c r="AJ1493" s="12"/>
      <c r="AK1493" s="1"/>
      <c r="AL1493" s="12"/>
      <c r="AM1493" s="12"/>
      <c r="AN1493" s="1"/>
      <c r="AO1493" s="6"/>
    </row>
    <row r="1494" spans="1:41" ht="15" x14ac:dyDescent="0.25">
      <c r="A1494" s="1"/>
      <c r="B1494" s="1"/>
      <c r="C1494" s="1"/>
      <c r="D1494" s="1"/>
      <c r="E1494" s="6"/>
      <c r="F1494" s="1"/>
      <c r="G1494" s="6"/>
      <c r="H1494" s="6"/>
      <c r="I1494" s="6"/>
      <c r="J1494" s="6"/>
      <c r="K1494" s="6"/>
      <c r="L1494" s="6"/>
      <c r="M1494" s="6"/>
      <c r="N1494" s="6"/>
      <c r="O1494" s="7"/>
      <c r="P1494" s="6"/>
      <c r="Q1494" s="6"/>
      <c r="R1494" s="7"/>
      <c r="S1494" s="6"/>
      <c r="T1494" s="6"/>
      <c r="U1494" s="7"/>
      <c r="V1494" s="6"/>
      <c r="W1494" s="6"/>
      <c r="X1494" s="12"/>
      <c r="Y1494" s="6"/>
      <c r="Z1494" s="6"/>
      <c r="AA1494" s="7"/>
      <c r="AB1494" s="6"/>
      <c r="AC1494" s="6"/>
      <c r="AD1494" s="6"/>
      <c r="AE1494" s="12"/>
      <c r="AF1494" s="12"/>
      <c r="AG1494" s="12"/>
      <c r="AH1494" s="12"/>
      <c r="AI1494" s="6"/>
      <c r="AJ1494" s="12"/>
      <c r="AK1494" s="1"/>
      <c r="AL1494" s="12"/>
      <c r="AM1494" s="12"/>
      <c r="AN1494" s="1"/>
      <c r="AO1494" s="6"/>
    </row>
    <row r="1495" spans="1:41" ht="15" x14ac:dyDescent="0.25">
      <c r="A1495" s="1"/>
      <c r="B1495" s="1"/>
      <c r="C1495" s="1"/>
      <c r="D1495" s="1"/>
      <c r="E1495" s="6"/>
      <c r="F1495" s="1"/>
      <c r="G1495" s="6"/>
      <c r="H1495" s="6"/>
      <c r="I1495" s="6"/>
      <c r="J1495" s="6"/>
      <c r="K1495" s="6"/>
      <c r="L1495" s="6"/>
      <c r="M1495" s="6"/>
      <c r="N1495" s="6"/>
      <c r="O1495" s="7"/>
      <c r="P1495" s="6"/>
      <c r="Q1495" s="6"/>
      <c r="R1495" s="7"/>
      <c r="S1495" s="6"/>
      <c r="T1495" s="6"/>
      <c r="U1495" s="7"/>
      <c r="V1495" s="6"/>
      <c r="W1495" s="6"/>
      <c r="X1495" s="6"/>
      <c r="Y1495" s="6"/>
      <c r="Z1495" s="6"/>
      <c r="AA1495" s="7"/>
      <c r="AB1495" s="6"/>
      <c r="AC1495" s="6"/>
      <c r="AD1495" s="6"/>
      <c r="AE1495" s="12"/>
      <c r="AF1495" s="12"/>
      <c r="AG1495" s="12"/>
      <c r="AH1495" s="12"/>
      <c r="AI1495" s="6"/>
      <c r="AJ1495" s="12"/>
      <c r="AK1495" s="1"/>
      <c r="AL1495" s="12"/>
      <c r="AM1495" s="12"/>
      <c r="AN1495" s="1"/>
      <c r="AO1495" s="6"/>
    </row>
    <row r="1496" spans="1:41" ht="15" x14ac:dyDescent="0.25">
      <c r="A1496" s="1"/>
      <c r="B1496" s="1"/>
      <c r="C1496" s="1"/>
      <c r="D1496" s="1"/>
      <c r="E1496" s="6"/>
      <c r="F1496" s="1"/>
      <c r="G1496" s="6"/>
      <c r="H1496" s="6"/>
      <c r="I1496" s="6"/>
      <c r="J1496" s="6"/>
      <c r="K1496" s="6"/>
      <c r="L1496" s="6"/>
      <c r="M1496" s="6"/>
      <c r="N1496" s="6"/>
      <c r="O1496" s="7"/>
      <c r="P1496" s="6"/>
      <c r="Q1496" s="6"/>
      <c r="R1496" s="7"/>
      <c r="S1496" s="6"/>
      <c r="T1496" s="6"/>
      <c r="U1496" s="7"/>
      <c r="V1496" s="6"/>
      <c r="W1496" s="6"/>
      <c r="X1496" s="12"/>
      <c r="Y1496" s="6"/>
      <c r="Z1496" s="6"/>
      <c r="AA1496" s="7"/>
      <c r="AB1496" s="6"/>
      <c r="AC1496" s="6"/>
      <c r="AD1496" s="6"/>
      <c r="AE1496" s="12"/>
      <c r="AF1496" s="6"/>
      <c r="AG1496" s="12"/>
      <c r="AH1496" s="6"/>
      <c r="AI1496" s="6"/>
      <c r="AJ1496" s="12"/>
      <c r="AK1496" s="24"/>
      <c r="AL1496" s="25"/>
      <c r="AM1496" s="12"/>
      <c r="AN1496" s="1"/>
      <c r="AO1496" s="6"/>
    </row>
    <row r="1497" spans="1:41" ht="15" x14ac:dyDescent="0.25">
      <c r="A1497" s="1"/>
      <c r="B1497" s="1"/>
      <c r="C1497" s="1"/>
      <c r="D1497" s="1"/>
      <c r="E1497" s="6"/>
      <c r="F1497" s="1"/>
      <c r="G1497" s="6"/>
      <c r="H1497" s="6"/>
      <c r="I1497" s="6"/>
      <c r="J1497" s="6"/>
      <c r="K1497" s="6"/>
      <c r="L1497" s="6"/>
      <c r="M1497" s="6"/>
      <c r="N1497" s="6"/>
      <c r="O1497" s="7"/>
      <c r="P1497" s="6"/>
      <c r="Q1497" s="6"/>
      <c r="R1497" s="7"/>
      <c r="S1497" s="6"/>
      <c r="T1497" s="6"/>
      <c r="U1497" s="7"/>
      <c r="V1497" s="6"/>
      <c r="W1497" s="6"/>
      <c r="X1497" s="12"/>
      <c r="Y1497" s="6"/>
      <c r="Z1497" s="6"/>
      <c r="AA1497" s="7"/>
      <c r="AB1497" s="6"/>
      <c r="AC1497" s="6"/>
      <c r="AD1497" s="6"/>
      <c r="AE1497" s="12"/>
      <c r="AF1497" s="6"/>
      <c r="AG1497" s="12"/>
      <c r="AH1497" s="6"/>
      <c r="AI1497" s="6"/>
      <c r="AJ1497" s="12"/>
      <c r="AK1497" s="1"/>
      <c r="AL1497" s="12"/>
      <c r="AM1497" s="12"/>
      <c r="AN1497" s="1"/>
      <c r="AO1497" s="6"/>
    </row>
    <row r="1498" spans="1:41" ht="15" x14ac:dyDescent="0.25">
      <c r="A1498" s="1"/>
      <c r="B1498" s="1"/>
      <c r="C1498" s="1"/>
      <c r="D1498" s="1"/>
      <c r="E1498" s="6"/>
      <c r="F1498" s="1"/>
      <c r="G1498" s="6"/>
      <c r="H1498" s="6"/>
      <c r="I1498" s="6"/>
      <c r="J1498" s="6"/>
      <c r="K1498" s="6"/>
      <c r="L1498" s="6"/>
      <c r="M1498" s="6"/>
      <c r="N1498" s="6"/>
      <c r="O1498" s="7"/>
      <c r="P1498" s="6"/>
      <c r="Q1498" s="6"/>
      <c r="R1498" s="7"/>
      <c r="S1498" s="6"/>
      <c r="T1498" s="6"/>
      <c r="U1498" s="7"/>
      <c r="V1498" s="6"/>
      <c r="W1498" s="6"/>
      <c r="X1498" s="6"/>
      <c r="Y1498" s="6"/>
      <c r="Z1498" s="6"/>
      <c r="AA1498" s="7"/>
      <c r="AB1498" s="6"/>
      <c r="AC1498" s="6"/>
      <c r="AD1498" s="6"/>
      <c r="AE1498" s="12"/>
      <c r="AF1498" s="12"/>
      <c r="AG1498" s="12"/>
      <c r="AH1498" s="12"/>
      <c r="AI1498" s="6"/>
      <c r="AJ1498" s="12"/>
      <c r="AK1498" s="1"/>
      <c r="AL1498" s="12"/>
      <c r="AM1498" s="12"/>
      <c r="AN1498" s="1"/>
      <c r="AO1498" s="6"/>
    </row>
    <row r="1499" spans="1:41" ht="15" x14ac:dyDescent="0.25">
      <c r="A1499" s="1"/>
      <c r="B1499" s="1"/>
      <c r="C1499" s="1"/>
      <c r="D1499" s="1"/>
      <c r="E1499" s="6"/>
      <c r="F1499" s="1"/>
      <c r="G1499" s="6"/>
      <c r="H1499" s="6"/>
      <c r="I1499" s="6"/>
      <c r="J1499" s="6"/>
      <c r="K1499" s="6"/>
      <c r="L1499" s="6"/>
      <c r="M1499" s="6"/>
      <c r="N1499" s="6"/>
      <c r="O1499" s="7"/>
      <c r="P1499" s="6"/>
      <c r="Q1499" s="6"/>
      <c r="R1499" s="7"/>
      <c r="S1499" s="6"/>
      <c r="T1499" s="6"/>
      <c r="U1499" s="7"/>
      <c r="V1499" s="6"/>
      <c r="W1499" s="6"/>
      <c r="X1499" s="6"/>
      <c r="Y1499" s="6"/>
      <c r="Z1499" s="6"/>
      <c r="AA1499" s="7"/>
      <c r="AB1499" s="6"/>
      <c r="AC1499" s="6"/>
      <c r="AD1499" s="6"/>
      <c r="AE1499" s="12"/>
      <c r="AF1499" s="6"/>
      <c r="AG1499" s="12"/>
      <c r="AH1499" s="6"/>
      <c r="AI1499" s="6"/>
      <c r="AJ1499" s="12"/>
      <c r="AK1499" s="1"/>
      <c r="AL1499" s="12"/>
      <c r="AM1499" s="12"/>
      <c r="AN1499" s="1"/>
      <c r="AO1499" s="6"/>
    </row>
    <row r="1500" spans="1:41" ht="15" x14ac:dyDescent="0.25">
      <c r="A1500" s="1"/>
      <c r="B1500" s="1"/>
      <c r="C1500" s="1"/>
      <c r="D1500" s="1"/>
      <c r="E1500" s="6"/>
      <c r="F1500" s="1"/>
      <c r="G1500" s="6"/>
      <c r="H1500" s="6"/>
      <c r="I1500" s="6"/>
      <c r="J1500" s="6"/>
      <c r="K1500" s="6"/>
      <c r="L1500" s="6"/>
      <c r="M1500" s="6"/>
      <c r="N1500" s="6"/>
      <c r="O1500" s="7"/>
      <c r="P1500" s="12"/>
      <c r="Q1500" s="6"/>
      <c r="R1500" s="7"/>
      <c r="S1500" s="6"/>
      <c r="T1500" s="6"/>
      <c r="U1500" s="7"/>
      <c r="V1500" s="6"/>
      <c r="W1500" s="6"/>
      <c r="X1500" s="6"/>
      <c r="Y1500" s="6"/>
      <c r="Z1500" s="6"/>
      <c r="AA1500" s="7"/>
      <c r="AB1500" s="6"/>
      <c r="AC1500" s="6"/>
      <c r="AD1500" s="6"/>
      <c r="AE1500" s="12"/>
      <c r="AF1500" s="6"/>
      <c r="AG1500" s="12"/>
      <c r="AH1500" s="6"/>
      <c r="AI1500" s="6"/>
      <c r="AJ1500" s="12"/>
      <c r="AK1500" s="24"/>
      <c r="AL1500" s="25"/>
      <c r="AM1500" s="12"/>
      <c r="AN1500" s="1"/>
      <c r="AO1500" s="6"/>
    </row>
    <row r="1501" spans="1:41" ht="15" x14ac:dyDescent="0.25">
      <c r="A1501" s="1"/>
      <c r="B1501" s="1"/>
      <c r="C1501" s="1"/>
      <c r="D1501" s="1"/>
      <c r="E1501" s="6"/>
      <c r="F1501" s="1"/>
      <c r="G1501" s="6"/>
      <c r="H1501" s="6"/>
      <c r="I1501" s="6"/>
      <c r="J1501" s="6"/>
      <c r="K1501" s="12"/>
      <c r="L1501" s="12"/>
      <c r="M1501" s="6"/>
      <c r="N1501" s="6"/>
      <c r="O1501" s="7"/>
      <c r="P1501" s="12"/>
      <c r="Q1501" s="6"/>
      <c r="R1501" s="7"/>
      <c r="S1501" s="6"/>
      <c r="T1501" s="6"/>
      <c r="U1501" s="7"/>
      <c r="V1501" s="6"/>
      <c r="W1501" s="6"/>
      <c r="X1501" s="6"/>
      <c r="Y1501" s="6"/>
      <c r="Z1501" s="6"/>
      <c r="AA1501" s="7"/>
      <c r="AB1501" s="6"/>
      <c r="AC1501" s="6"/>
      <c r="AD1501" s="6"/>
      <c r="AE1501" s="12"/>
      <c r="AF1501" s="12"/>
      <c r="AG1501" s="12"/>
      <c r="AH1501" s="12"/>
      <c r="AI1501" s="6"/>
      <c r="AJ1501" s="12"/>
      <c r="AK1501" s="1"/>
      <c r="AL1501" s="12"/>
      <c r="AM1501" s="12"/>
      <c r="AN1501" s="1"/>
      <c r="AO1501" s="6"/>
    </row>
    <row r="1502" spans="1:41" ht="15" x14ac:dyDescent="0.25">
      <c r="A1502" s="1"/>
      <c r="B1502" s="1"/>
      <c r="C1502" s="1"/>
      <c r="D1502" s="1"/>
      <c r="E1502" s="6"/>
      <c r="F1502" s="1"/>
      <c r="G1502" s="6"/>
      <c r="H1502" s="6"/>
      <c r="I1502" s="6"/>
      <c r="J1502" s="6"/>
      <c r="K1502" s="6"/>
      <c r="L1502" s="6"/>
      <c r="M1502" s="6"/>
      <c r="N1502" s="6"/>
      <c r="O1502" s="7"/>
      <c r="P1502" s="6"/>
      <c r="Q1502" s="6"/>
      <c r="R1502" s="7"/>
      <c r="S1502" s="6"/>
      <c r="T1502" s="6"/>
      <c r="U1502" s="7"/>
      <c r="V1502" s="6"/>
      <c r="W1502" s="6"/>
      <c r="X1502" s="6"/>
      <c r="Y1502" s="6"/>
      <c r="Z1502" s="6"/>
      <c r="AA1502" s="7"/>
      <c r="AB1502" s="6"/>
      <c r="AC1502" s="6"/>
      <c r="AD1502" s="6"/>
      <c r="AE1502" s="12"/>
      <c r="AF1502" s="6"/>
      <c r="AG1502" s="12"/>
      <c r="AH1502" s="6"/>
      <c r="AI1502" s="6"/>
      <c r="AJ1502" s="12"/>
      <c r="AK1502" s="24"/>
      <c r="AL1502" s="25"/>
      <c r="AM1502" s="12"/>
      <c r="AN1502" s="1"/>
      <c r="AO1502" s="6"/>
    </row>
    <row r="1503" spans="1:41" ht="15" x14ac:dyDescent="0.25">
      <c r="A1503" s="1"/>
      <c r="B1503" s="1"/>
      <c r="C1503" s="1"/>
      <c r="D1503" s="1"/>
      <c r="E1503" s="6"/>
      <c r="F1503" s="1"/>
      <c r="G1503" s="6"/>
      <c r="H1503" s="6"/>
      <c r="I1503" s="6"/>
      <c r="J1503" s="6"/>
      <c r="K1503" s="6"/>
      <c r="L1503" s="6"/>
      <c r="M1503" s="6"/>
      <c r="N1503" s="6"/>
      <c r="O1503" s="7"/>
      <c r="P1503" s="6"/>
      <c r="Q1503" s="6"/>
      <c r="R1503" s="7"/>
      <c r="S1503" s="6"/>
      <c r="T1503" s="6"/>
      <c r="U1503" s="7"/>
      <c r="V1503" s="6"/>
      <c r="W1503" s="6"/>
      <c r="X1503" s="6"/>
      <c r="Y1503" s="6"/>
      <c r="Z1503" s="6"/>
      <c r="AA1503" s="7"/>
      <c r="AB1503" s="6"/>
      <c r="AC1503" s="6"/>
      <c r="AD1503" s="6"/>
      <c r="AE1503" s="12"/>
      <c r="AF1503" s="12"/>
      <c r="AG1503" s="12"/>
      <c r="AH1503" s="12"/>
      <c r="AI1503" s="6"/>
      <c r="AJ1503" s="12"/>
      <c r="AK1503" s="1"/>
      <c r="AL1503" s="12"/>
      <c r="AM1503" s="12"/>
      <c r="AN1503" s="1"/>
      <c r="AO1503" s="6"/>
    </row>
    <row r="1504" spans="1:41" ht="15" x14ac:dyDescent="0.25">
      <c r="A1504" s="1"/>
      <c r="B1504" s="1"/>
      <c r="C1504" s="1"/>
      <c r="D1504" s="1"/>
      <c r="E1504" s="6"/>
      <c r="F1504" s="1"/>
      <c r="G1504" s="6"/>
      <c r="H1504" s="6"/>
      <c r="I1504" s="6"/>
      <c r="J1504" s="6"/>
      <c r="K1504" s="6"/>
      <c r="L1504" s="6"/>
      <c r="M1504" s="6"/>
      <c r="N1504" s="6"/>
      <c r="O1504" s="7"/>
      <c r="P1504" s="6"/>
      <c r="Q1504" s="6"/>
      <c r="R1504" s="7"/>
      <c r="S1504" s="6"/>
      <c r="T1504" s="6"/>
      <c r="U1504" s="7"/>
      <c r="V1504" s="6"/>
      <c r="W1504" s="6"/>
      <c r="X1504" s="6"/>
      <c r="Y1504" s="6"/>
      <c r="Z1504" s="6"/>
      <c r="AA1504" s="7"/>
      <c r="AB1504" s="6"/>
      <c r="AC1504" s="6"/>
      <c r="AD1504" s="6"/>
      <c r="AE1504" s="12"/>
      <c r="AF1504" s="12"/>
      <c r="AG1504" s="12"/>
      <c r="AH1504" s="12"/>
      <c r="AI1504" s="6"/>
      <c r="AJ1504" s="12"/>
      <c r="AK1504" s="1"/>
      <c r="AL1504" s="12"/>
      <c r="AM1504" s="12"/>
      <c r="AN1504" s="1"/>
      <c r="AO1504" s="6"/>
    </row>
    <row r="1505" spans="1:41" ht="15" x14ac:dyDescent="0.25">
      <c r="A1505" s="1"/>
      <c r="B1505" s="1"/>
      <c r="C1505" s="1"/>
      <c r="D1505" s="1"/>
      <c r="E1505" s="6"/>
      <c r="F1505" s="1"/>
      <c r="G1505" s="6"/>
      <c r="H1505" s="6"/>
      <c r="I1505" s="6"/>
      <c r="J1505" s="6"/>
      <c r="K1505" s="6"/>
      <c r="L1505" s="6"/>
      <c r="M1505" s="6"/>
      <c r="N1505" s="6"/>
      <c r="O1505" s="7"/>
      <c r="P1505" s="6"/>
      <c r="Q1505" s="6"/>
      <c r="R1505" s="12"/>
      <c r="S1505" s="12"/>
      <c r="T1505" s="12"/>
      <c r="U1505" s="7"/>
      <c r="V1505" s="6"/>
      <c r="W1505" s="6"/>
      <c r="X1505" s="12"/>
      <c r="Y1505" s="6"/>
      <c r="Z1505" s="6"/>
      <c r="AA1505" s="7"/>
      <c r="AB1505" s="6"/>
      <c r="AC1505" s="6"/>
      <c r="AD1505" s="6"/>
      <c r="AE1505" s="12"/>
      <c r="AF1505" s="12"/>
      <c r="AG1505" s="12"/>
      <c r="AH1505" s="12"/>
      <c r="AI1505" s="6"/>
      <c r="AJ1505" s="12"/>
      <c r="AK1505" s="1"/>
      <c r="AL1505" s="12"/>
      <c r="AM1505" s="12"/>
      <c r="AN1505" s="1"/>
      <c r="AO1505" s="6"/>
    </row>
    <row r="1506" spans="1:41" ht="15" x14ac:dyDescent="0.25">
      <c r="A1506" s="1"/>
      <c r="B1506" s="1"/>
      <c r="C1506" s="1"/>
      <c r="D1506" s="1"/>
      <c r="E1506" s="6"/>
      <c r="F1506" s="1"/>
      <c r="G1506" s="6"/>
      <c r="H1506" s="6"/>
      <c r="I1506" s="6"/>
      <c r="J1506" s="6"/>
      <c r="K1506" s="6"/>
      <c r="L1506" s="6"/>
      <c r="M1506" s="6"/>
      <c r="N1506" s="6"/>
      <c r="O1506" s="7"/>
      <c r="P1506" s="6"/>
      <c r="Q1506" s="6"/>
      <c r="R1506" s="7"/>
      <c r="S1506" s="6"/>
      <c r="T1506" s="6"/>
      <c r="U1506" s="7"/>
      <c r="V1506" s="6"/>
      <c r="W1506" s="6"/>
      <c r="X1506" s="12"/>
      <c r="Y1506" s="6"/>
      <c r="Z1506" s="6"/>
      <c r="AA1506" s="7"/>
      <c r="AB1506" s="6"/>
      <c r="AC1506" s="6"/>
      <c r="AD1506" s="6"/>
      <c r="AE1506" s="12"/>
      <c r="AF1506" s="12"/>
      <c r="AG1506" s="12"/>
      <c r="AH1506" s="12"/>
      <c r="AI1506" s="6"/>
      <c r="AJ1506" s="12"/>
      <c r="AK1506" s="1"/>
      <c r="AL1506" s="12"/>
      <c r="AM1506" s="12"/>
      <c r="AN1506" s="1"/>
      <c r="AO1506" s="6"/>
    </row>
    <row r="1507" spans="1:41" ht="15" x14ac:dyDescent="0.25">
      <c r="A1507" s="1"/>
      <c r="B1507" s="1"/>
      <c r="C1507" s="1"/>
      <c r="D1507" s="1"/>
      <c r="E1507" s="6"/>
      <c r="F1507" s="1"/>
      <c r="G1507" s="6"/>
      <c r="H1507" s="6"/>
      <c r="I1507" s="6"/>
      <c r="J1507" s="6"/>
      <c r="K1507" s="6"/>
      <c r="L1507" s="6"/>
      <c r="M1507" s="6"/>
      <c r="N1507" s="6"/>
      <c r="O1507" s="7"/>
      <c r="P1507" s="6"/>
      <c r="Q1507" s="6"/>
      <c r="R1507" s="7"/>
      <c r="S1507" s="6"/>
      <c r="T1507" s="6"/>
      <c r="U1507" s="7"/>
      <c r="V1507" s="6"/>
      <c r="W1507" s="6"/>
      <c r="X1507" s="12"/>
      <c r="Y1507" s="6"/>
      <c r="Z1507" s="6"/>
      <c r="AA1507" s="7"/>
      <c r="AB1507" s="6"/>
      <c r="AC1507" s="6"/>
      <c r="AD1507" s="6"/>
      <c r="AE1507" s="12"/>
      <c r="AF1507" s="6"/>
      <c r="AG1507" s="12"/>
      <c r="AH1507" s="6"/>
      <c r="AI1507" s="6"/>
      <c r="AJ1507" s="12"/>
      <c r="AK1507" s="24"/>
      <c r="AL1507" s="25"/>
      <c r="AM1507" s="12"/>
      <c r="AN1507" s="1"/>
      <c r="AO1507" s="6"/>
    </row>
    <row r="1508" spans="1:41" ht="15" x14ac:dyDescent="0.25">
      <c r="A1508" s="1"/>
      <c r="B1508" s="1"/>
      <c r="C1508" s="1"/>
      <c r="D1508" s="1"/>
      <c r="E1508" s="6"/>
      <c r="F1508" s="1"/>
      <c r="G1508" s="6"/>
      <c r="H1508" s="6"/>
      <c r="I1508" s="6"/>
      <c r="J1508" s="6"/>
      <c r="K1508" s="6"/>
      <c r="L1508" s="6"/>
      <c r="M1508" s="6"/>
      <c r="N1508" s="6"/>
      <c r="O1508" s="7"/>
      <c r="P1508" s="6"/>
      <c r="Q1508" s="6"/>
      <c r="R1508" s="7"/>
      <c r="S1508" s="6"/>
      <c r="T1508" s="6"/>
      <c r="U1508" s="7"/>
      <c r="V1508" s="6"/>
      <c r="W1508" s="6"/>
      <c r="X1508" s="12"/>
      <c r="Y1508" s="6"/>
      <c r="Z1508" s="6"/>
      <c r="AA1508" s="7"/>
      <c r="AB1508" s="6"/>
      <c r="AC1508" s="6"/>
      <c r="AD1508" s="6"/>
      <c r="AE1508" s="12"/>
      <c r="AF1508" s="6"/>
      <c r="AG1508" s="12"/>
      <c r="AH1508" s="6"/>
      <c r="AI1508" s="6"/>
      <c r="AJ1508" s="12"/>
      <c r="AK1508" s="24"/>
      <c r="AL1508" s="25"/>
      <c r="AM1508" s="12"/>
      <c r="AN1508" s="1"/>
      <c r="AO1508" s="6"/>
    </row>
    <row r="1509" spans="1:41" ht="15" x14ac:dyDescent="0.25">
      <c r="A1509" s="1"/>
      <c r="B1509" s="1"/>
      <c r="C1509" s="1"/>
      <c r="D1509" s="1"/>
      <c r="E1509" s="6"/>
      <c r="F1509" s="1"/>
      <c r="G1509" s="6"/>
      <c r="H1509" s="6"/>
      <c r="I1509" s="6"/>
      <c r="J1509" s="6"/>
      <c r="K1509" s="6"/>
      <c r="L1509" s="6"/>
      <c r="M1509" s="6"/>
      <c r="N1509" s="6"/>
      <c r="O1509" s="7"/>
      <c r="P1509" s="12"/>
      <c r="Q1509" s="6"/>
      <c r="R1509" s="7"/>
      <c r="S1509" s="6"/>
      <c r="T1509" s="6"/>
      <c r="U1509" s="7"/>
      <c r="V1509" s="6"/>
      <c r="W1509" s="6"/>
      <c r="X1509" s="6"/>
      <c r="Y1509" s="6"/>
      <c r="Z1509" s="6"/>
      <c r="AA1509" s="7"/>
      <c r="AB1509" s="6"/>
      <c r="AC1509" s="6"/>
      <c r="AD1509" s="6"/>
      <c r="AE1509" s="12"/>
      <c r="AF1509" s="12"/>
      <c r="AG1509" s="12"/>
      <c r="AH1509" s="12"/>
      <c r="AI1509" s="6"/>
      <c r="AJ1509" s="12"/>
      <c r="AK1509" s="1"/>
      <c r="AL1509" s="12"/>
      <c r="AM1509" s="12"/>
      <c r="AN1509" s="1"/>
      <c r="AO1509" s="6"/>
    </row>
    <row r="1510" spans="1:41" ht="15" x14ac:dyDescent="0.25">
      <c r="A1510" s="1"/>
      <c r="B1510" s="1"/>
      <c r="C1510" s="1"/>
      <c r="D1510" s="1"/>
      <c r="E1510" s="6"/>
      <c r="F1510" s="1"/>
      <c r="G1510" s="6"/>
      <c r="H1510" s="6"/>
      <c r="I1510" s="6"/>
      <c r="J1510" s="6"/>
      <c r="K1510" s="6"/>
      <c r="L1510" s="6"/>
      <c r="M1510" s="6"/>
      <c r="N1510" s="6"/>
      <c r="O1510" s="7"/>
      <c r="P1510" s="6"/>
      <c r="Q1510" s="6"/>
      <c r="R1510" s="7"/>
      <c r="S1510" s="6"/>
      <c r="T1510" s="6"/>
      <c r="U1510" s="7"/>
      <c r="V1510" s="6"/>
      <c r="W1510" s="6"/>
      <c r="X1510" s="12"/>
      <c r="Y1510" s="6"/>
      <c r="Z1510" s="6"/>
      <c r="AA1510" s="7"/>
      <c r="AB1510" s="6"/>
      <c r="AC1510" s="6"/>
      <c r="AD1510" s="6"/>
      <c r="AE1510" s="12"/>
      <c r="AF1510" s="6"/>
      <c r="AG1510" s="12"/>
      <c r="AH1510" s="6"/>
      <c r="AI1510" s="6"/>
      <c r="AJ1510" s="12"/>
      <c r="AK1510" s="24"/>
      <c r="AL1510" s="25"/>
      <c r="AM1510" s="12"/>
      <c r="AN1510" s="1"/>
      <c r="AO1510" s="6"/>
    </row>
    <row r="1511" spans="1:41" ht="15" x14ac:dyDescent="0.25">
      <c r="A1511" s="1"/>
      <c r="B1511" s="1"/>
      <c r="C1511" s="1"/>
      <c r="D1511" s="1"/>
      <c r="E1511" s="6"/>
      <c r="F1511" s="1"/>
      <c r="G1511" s="6"/>
      <c r="H1511" s="6"/>
      <c r="I1511" s="6"/>
      <c r="J1511" s="6"/>
      <c r="K1511" s="6"/>
      <c r="L1511" s="6"/>
      <c r="M1511" s="6"/>
      <c r="N1511" s="6"/>
      <c r="O1511" s="7"/>
      <c r="P1511" s="6"/>
      <c r="Q1511" s="6"/>
      <c r="R1511" s="7"/>
      <c r="S1511" s="6"/>
      <c r="T1511" s="6"/>
      <c r="U1511" s="7"/>
      <c r="V1511" s="6"/>
      <c r="W1511" s="6"/>
      <c r="X1511" s="6"/>
      <c r="Y1511" s="6"/>
      <c r="Z1511" s="6"/>
      <c r="AA1511" s="7"/>
      <c r="AB1511" s="6"/>
      <c r="AC1511" s="6"/>
      <c r="AD1511" s="6"/>
      <c r="AE1511" s="12"/>
      <c r="AF1511" s="12"/>
      <c r="AG1511" s="12"/>
      <c r="AH1511" s="12"/>
      <c r="AI1511" s="6"/>
      <c r="AJ1511" s="12"/>
      <c r="AK1511" s="1"/>
      <c r="AL1511" s="12"/>
      <c r="AM1511" s="12"/>
      <c r="AN1511" s="1"/>
      <c r="AO1511" s="6"/>
    </row>
    <row r="1512" spans="1:41" ht="15" x14ac:dyDescent="0.25">
      <c r="A1512" s="1"/>
      <c r="B1512" s="1"/>
      <c r="C1512" s="1"/>
      <c r="D1512" s="1"/>
      <c r="E1512" s="6"/>
      <c r="F1512" s="1"/>
      <c r="G1512" s="6"/>
      <c r="H1512" s="6"/>
      <c r="I1512" s="6"/>
      <c r="J1512" s="6"/>
      <c r="K1512" s="6"/>
      <c r="L1512" s="6"/>
      <c r="M1512" s="6"/>
      <c r="N1512" s="6"/>
      <c r="O1512" s="7"/>
      <c r="P1512" s="12"/>
      <c r="Q1512" s="6"/>
      <c r="R1512" s="7"/>
      <c r="S1512" s="6"/>
      <c r="T1512" s="6"/>
      <c r="U1512" s="7"/>
      <c r="V1512" s="6"/>
      <c r="W1512" s="6"/>
      <c r="X1512" s="6"/>
      <c r="Y1512" s="6"/>
      <c r="Z1512" s="6"/>
      <c r="AA1512" s="7"/>
      <c r="AB1512" s="6"/>
      <c r="AC1512" s="6"/>
      <c r="AD1512" s="6"/>
      <c r="AE1512" s="12"/>
      <c r="AF1512" s="12"/>
      <c r="AG1512" s="12"/>
      <c r="AH1512" s="12"/>
      <c r="AI1512" s="6"/>
      <c r="AJ1512" s="12"/>
      <c r="AK1512" s="1"/>
      <c r="AL1512" s="12"/>
      <c r="AM1512" s="12"/>
      <c r="AN1512" s="1"/>
      <c r="AO1512" s="6"/>
    </row>
    <row r="1513" spans="1:41" ht="15" x14ac:dyDescent="0.25">
      <c r="A1513" s="1"/>
      <c r="B1513" s="1"/>
      <c r="C1513" s="1"/>
      <c r="D1513" s="1"/>
      <c r="E1513" s="6"/>
      <c r="F1513" s="1"/>
      <c r="G1513" s="6"/>
      <c r="H1513" s="6"/>
      <c r="I1513" s="6"/>
      <c r="J1513" s="6"/>
      <c r="K1513" s="6"/>
      <c r="L1513" s="6"/>
      <c r="M1513" s="6"/>
      <c r="N1513" s="6"/>
      <c r="O1513" s="7"/>
      <c r="P1513" s="6"/>
      <c r="Q1513" s="6"/>
      <c r="R1513" s="7"/>
      <c r="S1513" s="6"/>
      <c r="T1513" s="6"/>
      <c r="U1513" s="7"/>
      <c r="V1513" s="6"/>
      <c r="W1513" s="6"/>
      <c r="X1513" s="12"/>
      <c r="Y1513" s="6"/>
      <c r="Z1513" s="6"/>
      <c r="AA1513" s="7"/>
      <c r="AB1513" s="6"/>
      <c r="AC1513" s="6"/>
      <c r="AD1513" s="6"/>
      <c r="AE1513" s="12"/>
      <c r="AF1513" s="6"/>
      <c r="AG1513" s="12"/>
      <c r="AH1513" s="6"/>
      <c r="AI1513" s="6"/>
      <c r="AJ1513" s="12"/>
      <c r="AK1513" s="24"/>
      <c r="AL1513" s="25"/>
      <c r="AM1513" s="12"/>
      <c r="AN1513" s="1"/>
      <c r="AO1513" s="6"/>
    </row>
    <row r="1514" spans="1:41" ht="15" x14ac:dyDescent="0.25">
      <c r="A1514" s="1"/>
      <c r="B1514" s="1"/>
      <c r="C1514" s="1"/>
      <c r="D1514" s="1"/>
      <c r="E1514" s="6"/>
      <c r="F1514" s="1"/>
      <c r="G1514" s="6"/>
      <c r="H1514" s="6"/>
      <c r="I1514" s="6"/>
      <c r="J1514" s="6"/>
      <c r="K1514" s="6"/>
      <c r="L1514" s="6"/>
      <c r="M1514" s="6"/>
      <c r="N1514" s="6"/>
      <c r="O1514" s="7"/>
      <c r="P1514" s="6"/>
      <c r="Q1514" s="6"/>
      <c r="R1514" s="7"/>
      <c r="S1514" s="6"/>
      <c r="T1514" s="6"/>
      <c r="U1514" s="7"/>
      <c r="V1514" s="6"/>
      <c r="W1514" s="6"/>
      <c r="X1514" s="12"/>
      <c r="Y1514" s="6"/>
      <c r="Z1514" s="6"/>
      <c r="AA1514" s="7"/>
      <c r="AB1514" s="6"/>
      <c r="AC1514" s="6"/>
      <c r="AD1514" s="6"/>
      <c r="AE1514" s="12"/>
      <c r="AF1514" s="12"/>
      <c r="AG1514" s="12"/>
      <c r="AH1514" s="12"/>
      <c r="AI1514" s="6"/>
      <c r="AJ1514" s="12"/>
      <c r="AK1514" s="1"/>
      <c r="AL1514" s="12"/>
      <c r="AM1514" s="12"/>
      <c r="AN1514" s="1"/>
      <c r="AO1514" s="6"/>
    </row>
    <row r="1515" spans="1:41" ht="15" x14ac:dyDescent="0.25">
      <c r="A1515" s="1"/>
      <c r="B1515" s="1"/>
      <c r="C1515" s="1"/>
      <c r="D1515" s="1"/>
      <c r="E1515" s="6"/>
      <c r="F1515" s="1"/>
      <c r="G1515" s="6"/>
      <c r="H1515" s="6"/>
      <c r="I1515" s="6"/>
      <c r="J1515" s="6"/>
      <c r="K1515" s="6"/>
      <c r="L1515" s="6"/>
      <c r="M1515" s="6"/>
      <c r="N1515" s="6"/>
      <c r="O1515" s="7"/>
      <c r="P1515" s="6"/>
      <c r="Q1515" s="6"/>
      <c r="R1515" s="7"/>
      <c r="S1515" s="6"/>
      <c r="T1515" s="6"/>
      <c r="U1515" s="7"/>
      <c r="V1515" s="6"/>
      <c r="W1515" s="6"/>
      <c r="X1515" s="6"/>
      <c r="Y1515" s="6"/>
      <c r="Z1515" s="6"/>
      <c r="AA1515" s="7"/>
      <c r="AB1515" s="6"/>
      <c r="AC1515" s="6"/>
      <c r="AD1515" s="6"/>
      <c r="AE1515" s="12"/>
      <c r="AF1515" s="12"/>
      <c r="AG1515" s="12"/>
      <c r="AH1515" s="12"/>
      <c r="AI1515" s="6"/>
      <c r="AJ1515" s="12"/>
      <c r="AK1515" s="1"/>
      <c r="AL1515" s="12"/>
      <c r="AM1515" s="12"/>
      <c r="AN1515" s="1"/>
      <c r="AO1515" s="6"/>
    </row>
    <row r="1516" spans="1:41" ht="15" x14ac:dyDescent="0.25">
      <c r="A1516" s="1"/>
      <c r="B1516" s="1"/>
      <c r="C1516" s="1"/>
      <c r="D1516" s="1"/>
      <c r="E1516" s="6"/>
      <c r="F1516" s="1"/>
      <c r="G1516" s="6"/>
      <c r="H1516" s="6"/>
      <c r="I1516" s="6"/>
      <c r="J1516" s="6"/>
      <c r="K1516" s="6"/>
      <c r="L1516" s="6"/>
      <c r="M1516" s="6"/>
      <c r="N1516" s="6"/>
      <c r="O1516" s="7"/>
      <c r="P1516" s="6"/>
      <c r="Q1516" s="6"/>
      <c r="R1516" s="7"/>
      <c r="S1516" s="6"/>
      <c r="T1516" s="6"/>
      <c r="U1516" s="7"/>
      <c r="V1516" s="6"/>
      <c r="W1516" s="6"/>
      <c r="X1516" s="6"/>
      <c r="Y1516" s="6"/>
      <c r="Z1516" s="6"/>
      <c r="AA1516" s="7"/>
      <c r="AB1516" s="6"/>
      <c r="AC1516" s="6"/>
      <c r="AD1516" s="6"/>
      <c r="AE1516" s="12"/>
      <c r="AF1516" s="6"/>
      <c r="AG1516" s="12"/>
      <c r="AH1516" s="6"/>
      <c r="AI1516" s="6"/>
      <c r="AJ1516" s="12"/>
      <c r="AK1516" s="24"/>
      <c r="AL1516" s="25"/>
      <c r="AM1516" s="12"/>
      <c r="AN1516" s="1"/>
      <c r="AO1516" s="6"/>
    </row>
    <row r="1517" spans="1:41" ht="15" x14ac:dyDescent="0.25">
      <c r="A1517" s="1"/>
      <c r="B1517" s="1"/>
      <c r="C1517" s="1"/>
      <c r="D1517" s="1"/>
      <c r="E1517" s="6"/>
      <c r="F1517" s="1"/>
      <c r="G1517" s="6"/>
      <c r="H1517" s="6"/>
      <c r="I1517" s="6"/>
      <c r="J1517" s="6"/>
      <c r="K1517" s="6"/>
      <c r="L1517" s="6"/>
      <c r="M1517" s="6"/>
      <c r="N1517" s="6"/>
      <c r="O1517" s="7"/>
      <c r="P1517" s="6"/>
      <c r="Q1517" s="6"/>
      <c r="R1517" s="7"/>
      <c r="S1517" s="6"/>
      <c r="T1517" s="6"/>
      <c r="U1517" s="7"/>
      <c r="V1517" s="6"/>
      <c r="W1517" s="6"/>
      <c r="X1517" s="12"/>
      <c r="Y1517" s="6"/>
      <c r="Z1517" s="6"/>
      <c r="AA1517" s="7"/>
      <c r="AB1517" s="6"/>
      <c r="AC1517" s="6"/>
      <c r="AD1517" s="6"/>
      <c r="AE1517" s="12"/>
      <c r="AF1517" s="6"/>
      <c r="AG1517" s="12"/>
      <c r="AH1517" s="6"/>
      <c r="AI1517" s="6"/>
      <c r="AJ1517" s="12"/>
      <c r="AK1517" s="1"/>
      <c r="AL1517" s="12"/>
      <c r="AM1517" s="12"/>
      <c r="AN1517" s="1"/>
      <c r="AO1517" s="6"/>
    </row>
    <row r="1518" spans="1:41" ht="15" x14ac:dyDescent="0.25">
      <c r="A1518" s="1"/>
      <c r="B1518" s="1"/>
      <c r="C1518" s="1"/>
      <c r="D1518" s="1"/>
      <c r="E1518" s="6"/>
      <c r="F1518" s="1"/>
      <c r="G1518" s="6"/>
      <c r="H1518" s="6"/>
      <c r="I1518" s="6"/>
      <c r="J1518" s="6"/>
      <c r="K1518" s="6"/>
      <c r="L1518" s="6"/>
      <c r="M1518" s="6"/>
      <c r="N1518" s="6"/>
      <c r="O1518" s="7"/>
      <c r="P1518" s="12"/>
      <c r="Q1518" s="6"/>
      <c r="R1518" s="7"/>
      <c r="S1518" s="6"/>
      <c r="T1518" s="6"/>
      <c r="U1518" s="7"/>
      <c r="V1518" s="6"/>
      <c r="W1518" s="6"/>
      <c r="X1518" s="12"/>
      <c r="Y1518" s="6"/>
      <c r="Z1518" s="6"/>
      <c r="AA1518" s="7"/>
      <c r="AB1518" s="6"/>
      <c r="AC1518" s="6"/>
      <c r="AD1518" s="6"/>
      <c r="AE1518" s="12"/>
      <c r="AF1518" s="12"/>
      <c r="AG1518" s="12"/>
      <c r="AH1518" s="12"/>
      <c r="AI1518" s="6"/>
      <c r="AJ1518" s="12"/>
      <c r="AK1518" s="1"/>
      <c r="AL1518" s="12"/>
      <c r="AM1518" s="12"/>
      <c r="AN1518" s="1"/>
      <c r="AO1518" s="6"/>
    </row>
    <row r="1519" spans="1:41" ht="15" x14ac:dyDescent="0.25">
      <c r="A1519" s="1"/>
      <c r="B1519" s="1"/>
      <c r="C1519" s="1"/>
      <c r="D1519" s="1"/>
      <c r="E1519" s="6"/>
      <c r="F1519" s="1"/>
      <c r="G1519" s="6"/>
      <c r="H1519" s="6"/>
      <c r="I1519" s="6"/>
      <c r="J1519" s="6"/>
      <c r="K1519" s="6"/>
      <c r="L1519" s="6"/>
      <c r="M1519" s="6"/>
      <c r="N1519" s="6"/>
      <c r="O1519" s="7"/>
      <c r="P1519" s="6"/>
      <c r="Q1519" s="6"/>
      <c r="R1519" s="7"/>
      <c r="S1519" s="6"/>
      <c r="T1519" s="6"/>
      <c r="U1519" s="7"/>
      <c r="V1519" s="6"/>
      <c r="W1519" s="6"/>
      <c r="X1519" s="6"/>
      <c r="Y1519" s="6"/>
      <c r="Z1519" s="6"/>
      <c r="AA1519" s="7"/>
      <c r="AB1519" s="6"/>
      <c r="AC1519" s="6"/>
      <c r="AD1519" s="6"/>
      <c r="AE1519" s="12"/>
      <c r="AF1519" s="12"/>
      <c r="AG1519" s="12"/>
      <c r="AH1519" s="12"/>
      <c r="AI1519" s="6"/>
      <c r="AJ1519" s="12"/>
      <c r="AK1519" s="1"/>
      <c r="AL1519" s="12"/>
      <c r="AM1519" s="12"/>
      <c r="AN1519" s="1"/>
      <c r="AO1519" s="6"/>
    </row>
    <row r="1520" spans="1:41" ht="15" x14ac:dyDescent="0.25">
      <c r="A1520" s="1"/>
      <c r="B1520" s="1"/>
      <c r="C1520" s="1"/>
      <c r="D1520" s="1"/>
      <c r="E1520" s="6"/>
      <c r="F1520" s="1"/>
      <c r="G1520" s="6"/>
      <c r="H1520" s="6"/>
      <c r="I1520" s="6"/>
      <c r="J1520" s="6"/>
      <c r="K1520" s="6"/>
      <c r="L1520" s="6"/>
      <c r="M1520" s="6"/>
      <c r="N1520" s="6"/>
      <c r="O1520" s="7"/>
      <c r="P1520" s="6"/>
      <c r="Q1520" s="7"/>
      <c r="R1520" s="6"/>
      <c r="S1520" s="6"/>
      <c r="T1520" s="6"/>
      <c r="U1520" s="6"/>
      <c r="V1520" s="7"/>
      <c r="W1520" s="7"/>
      <c r="X1520" s="6"/>
      <c r="Y1520" s="6"/>
      <c r="Z1520" s="6"/>
      <c r="AA1520" s="1"/>
      <c r="AB1520" s="12"/>
      <c r="AC1520" s="12"/>
      <c r="AD1520" s="12"/>
      <c r="AE1520" s="12"/>
      <c r="AF1520" s="12"/>
      <c r="AG1520" s="12"/>
      <c r="AH1520" s="12"/>
      <c r="AI1520" s="6"/>
      <c r="AJ1520" s="12"/>
      <c r="AK1520" s="12"/>
      <c r="AL1520" s="12"/>
      <c r="AM1520" s="12"/>
      <c r="AN1520" s="1"/>
      <c r="AO1520" s="6"/>
    </row>
    <row r="1521" spans="1:41" ht="15" x14ac:dyDescent="0.25">
      <c r="A1521" s="1"/>
      <c r="B1521" s="1"/>
      <c r="C1521" s="1"/>
      <c r="D1521" s="1"/>
      <c r="E1521" s="6"/>
      <c r="F1521" s="1"/>
      <c r="G1521" s="6"/>
      <c r="H1521" s="6"/>
      <c r="I1521" s="6"/>
      <c r="J1521" s="6"/>
      <c r="K1521" s="6"/>
      <c r="L1521" s="6"/>
      <c r="M1521" s="6"/>
      <c r="N1521" s="6"/>
      <c r="O1521" s="7"/>
      <c r="P1521" s="6"/>
      <c r="Q1521" s="6"/>
      <c r="R1521" s="7"/>
      <c r="S1521" s="6"/>
      <c r="T1521" s="6"/>
      <c r="U1521" s="7"/>
      <c r="V1521" s="6"/>
      <c r="W1521" s="6"/>
      <c r="X1521" s="6"/>
      <c r="Y1521" s="6"/>
      <c r="Z1521" s="6"/>
      <c r="AA1521" s="7"/>
      <c r="AB1521" s="6"/>
      <c r="AC1521" s="6"/>
      <c r="AD1521" s="6"/>
      <c r="AE1521" s="12"/>
      <c r="AF1521" s="12"/>
      <c r="AG1521" s="12"/>
      <c r="AH1521" s="12"/>
      <c r="AI1521" s="6"/>
      <c r="AJ1521" s="12"/>
      <c r="AK1521" s="1"/>
      <c r="AL1521" s="12"/>
      <c r="AM1521" s="12"/>
      <c r="AN1521" s="1"/>
      <c r="AO1521" s="6"/>
    </row>
    <row r="1522" spans="1:41" ht="15" x14ac:dyDescent="0.25">
      <c r="A1522" s="1"/>
      <c r="B1522" s="1"/>
      <c r="C1522" s="1"/>
      <c r="D1522" s="1"/>
      <c r="E1522" s="6"/>
      <c r="F1522" s="1"/>
      <c r="G1522" s="6"/>
      <c r="H1522" s="6"/>
      <c r="I1522" s="6"/>
      <c r="J1522" s="6"/>
      <c r="K1522" s="12"/>
      <c r="L1522" s="12"/>
      <c r="M1522" s="6"/>
      <c r="N1522" s="6"/>
      <c r="O1522" s="7"/>
      <c r="P1522" s="6"/>
      <c r="Q1522" s="7"/>
      <c r="R1522" s="6"/>
      <c r="S1522" s="12"/>
      <c r="T1522" s="6"/>
      <c r="U1522" s="6"/>
      <c r="V1522" s="7"/>
      <c r="W1522" s="7"/>
      <c r="X1522" s="6"/>
      <c r="Y1522" s="6"/>
      <c r="Z1522" s="6"/>
      <c r="AA1522" s="1"/>
      <c r="AB1522" s="12"/>
      <c r="AC1522" s="12"/>
      <c r="AD1522" s="12"/>
      <c r="AE1522" s="12"/>
      <c r="AF1522" s="12"/>
      <c r="AG1522" s="12"/>
      <c r="AH1522" s="12"/>
      <c r="AI1522" s="6"/>
      <c r="AJ1522" s="12"/>
      <c r="AK1522" s="12"/>
      <c r="AL1522" s="12"/>
      <c r="AM1522" s="12"/>
      <c r="AN1522" s="1"/>
      <c r="AO1522" s="12"/>
    </row>
    <row r="1523" spans="1:41" ht="15" x14ac:dyDescent="0.25">
      <c r="A1523" s="1"/>
      <c r="B1523" s="1"/>
      <c r="C1523" s="1"/>
      <c r="D1523" s="1"/>
      <c r="E1523" s="6"/>
      <c r="F1523" s="1"/>
      <c r="G1523" s="6"/>
      <c r="H1523" s="6"/>
      <c r="I1523" s="6"/>
      <c r="J1523" s="6"/>
      <c r="K1523" s="6"/>
      <c r="L1523" s="6"/>
      <c r="M1523" s="6"/>
      <c r="N1523" s="6"/>
      <c r="O1523" s="7"/>
      <c r="P1523" s="12"/>
      <c r="Q1523" s="6"/>
      <c r="R1523" s="7"/>
      <c r="S1523" s="6"/>
      <c r="T1523" s="6"/>
      <c r="U1523" s="7"/>
      <c r="V1523" s="6"/>
      <c r="W1523" s="6"/>
      <c r="X1523" s="12"/>
      <c r="Y1523" s="6"/>
      <c r="Z1523" s="6"/>
      <c r="AA1523" s="7"/>
      <c r="AB1523" s="6"/>
      <c r="AC1523" s="6"/>
      <c r="AD1523" s="6"/>
      <c r="AE1523" s="12"/>
      <c r="AF1523" s="12"/>
      <c r="AG1523" s="12"/>
      <c r="AH1523" s="12"/>
      <c r="AI1523" s="6"/>
      <c r="AJ1523" s="12"/>
      <c r="AK1523" s="1"/>
      <c r="AL1523" s="12"/>
      <c r="AM1523" s="12"/>
      <c r="AN1523" s="1"/>
      <c r="AO1523" s="6"/>
    </row>
    <row r="1524" spans="1:41" ht="15" x14ac:dyDescent="0.25">
      <c r="A1524" s="1"/>
      <c r="B1524" s="1"/>
      <c r="C1524" s="1"/>
      <c r="D1524" s="1"/>
      <c r="E1524" s="6"/>
      <c r="F1524" s="1"/>
      <c r="G1524" s="6"/>
      <c r="H1524" s="6"/>
      <c r="I1524" s="6"/>
      <c r="J1524" s="6"/>
      <c r="K1524" s="6"/>
      <c r="L1524" s="6"/>
      <c r="M1524" s="6"/>
      <c r="N1524" s="6"/>
      <c r="O1524" s="7"/>
      <c r="P1524" s="6"/>
      <c r="Q1524" s="6"/>
      <c r="R1524" s="7"/>
      <c r="S1524" s="6"/>
      <c r="T1524" s="6"/>
      <c r="U1524" s="7"/>
      <c r="V1524" s="6"/>
      <c r="W1524" s="6"/>
      <c r="X1524" s="6"/>
      <c r="Y1524" s="6"/>
      <c r="Z1524" s="6"/>
      <c r="AA1524" s="7"/>
      <c r="AB1524" s="6"/>
      <c r="AC1524" s="6"/>
      <c r="AD1524" s="6"/>
      <c r="AE1524" s="12"/>
      <c r="AF1524" s="6"/>
      <c r="AG1524" s="12"/>
      <c r="AH1524" s="6"/>
      <c r="AI1524" s="6"/>
      <c r="AJ1524" s="12"/>
      <c r="AK1524" s="24"/>
      <c r="AL1524" s="25"/>
      <c r="AM1524" s="12"/>
      <c r="AN1524" s="1"/>
      <c r="AO1524" s="6"/>
    </row>
    <row r="1525" spans="1:41" ht="15" x14ac:dyDescent="0.25">
      <c r="A1525" s="1"/>
      <c r="B1525" s="1"/>
      <c r="C1525" s="1"/>
      <c r="D1525" s="1"/>
      <c r="E1525" s="6"/>
      <c r="F1525" s="1"/>
      <c r="G1525" s="6"/>
      <c r="H1525" s="6"/>
      <c r="I1525" s="6"/>
      <c r="J1525" s="6"/>
      <c r="K1525" s="6"/>
      <c r="L1525" s="6"/>
      <c r="M1525" s="6"/>
      <c r="N1525" s="6"/>
      <c r="O1525" s="7"/>
      <c r="P1525" s="6"/>
      <c r="Q1525" s="6"/>
      <c r="R1525" s="7"/>
      <c r="S1525" s="6"/>
      <c r="T1525" s="6"/>
      <c r="U1525" s="7"/>
      <c r="V1525" s="6"/>
      <c r="W1525" s="6"/>
      <c r="X1525" s="6"/>
      <c r="Y1525" s="6"/>
      <c r="Z1525" s="6"/>
      <c r="AA1525" s="7"/>
      <c r="AB1525" s="6"/>
      <c r="AC1525" s="6"/>
      <c r="AD1525" s="6"/>
      <c r="AE1525" s="12"/>
      <c r="AF1525" s="6"/>
      <c r="AG1525" s="12"/>
      <c r="AH1525" s="6"/>
      <c r="AI1525" s="6"/>
      <c r="AJ1525" s="12"/>
      <c r="AK1525" s="1"/>
      <c r="AL1525" s="12"/>
      <c r="AM1525" s="12"/>
      <c r="AN1525" s="1"/>
      <c r="AO1525" s="6"/>
    </row>
    <row r="1526" spans="1:41" ht="15" x14ac:dyDescent="0.25">
      <c r="A1526" s="1"/>
      <c r="B1526" s="1"/>
      <c r="C1526" s="1"/>
      <c r="D1526" s="1"/>
      <c r="E1526" s="6"/>
      <c r="F1526" s="1"/>
      <c r="G1526" s="6"/>
      <c r="H1526" s="6"/>
      <c r="I1526" s="6"/>
      <c r="J1526" s="6"/>
      <c r="K1526" s="6"/>
      <c r="L1526" s="6"/>
      <c r="M1526" s="6"/>
      <c r="N1526" s="6"/>
      <c r="O1526" s="7"/>
      <c r="P1526" s="12"/>
      <c r="Q1526" s="6"/>
      <c r="R1526" s="7"/>
      <c r="S1526" s="6"/>
      <c r="T1526" s="6"/>
      <c r="U1526" s="7"/>
      <c r="V1526" s="6"/>
      <c r="W1526" s="6"/>
      <c r="X1526" s="6"/>
      <c r="Y1526" s="6"/>
      <c r="Z1526" s="6"/>
      <c r="AA1526" s="7"/>
      <c r="AB1526" s="6"/>
      <c r="AC1526" s="6"/>
      <c r="AD1526" s="6"/>
      <c r="AE1526" s="12"/>
      <c r="AF1526" s="6"/>
      <c r="AG1526" s="12"/>
      <c r="AH1526" s="6"/>
      <c r="AI1526" s="6"/>
      <c r="AJ1526" s="12"/>
      <c r="AK1526" s="1"/>
      <c r="AL1526" s="12"/>
      <c r="AM1526" s="12"/>
      <c r="AN1526" s="1"/>
      <c r="AO1526" s="6"/>
    </row>
    <row r="1527" spans="1:41" ht="15" x14ac:dyDescent="0.25">
      <c r="A1527" s="1"/>
      <c r="B1527" s="1"/>
      <c r="C1527" s="1"/>
      <c r="D1527" s="1"/>
      <c r="E1527" s="6"/>
      <c r="F1527" s="1"/>
      <c r="G1527" s="6"/>
      <c r="H1527" s="6"/>
      <c r="I1527" s="6"/>
      <c r="J1527" s="6"/>
      <c r="K1527" s="6"/>
      <c r="L1527" s="6"/>
      <c r="M1527" s="6"/>
      <c r="N1527" s="6"/>
      <c r="O1527" s="7"/>
      <c r="P1527" s="6"/>
      <c r="Q1527" s="6"/>
      <c r="R1527" s="7"/>
      <c r="S1527" s="6"/>
      <c r="T1527" s="6"/>
      <c r="U1527" s="7"/>
      <c r="V1527" s="6"/>
      <c r="W1527" s="6"/>
      <c r="X1527" s="6"/>
      <c r="Y1527" s="6"/>
      <c r="Z1527" s="6"/>
      <c r="AA1527" s="7"/>
      <c r="AB1527" s="6"/>
      <c r="AC1527" s="6"/>
      <c r="AD1527" s="6"/>
      <c r="AE1527" s="12"/>
      <c r="AF1527" s="12"/>
      <c r="AG1527" s="12"/>
      <c r="AH1527" s="12"/>
      <c r="AI1527" s="6"/>
      <c r="AJ1527" s="12"/>
      <c r="AK1527" s="1"/>
      <c r="AL1527" s="12"/>
      <c r="AM1527" s="12"/>
      <c r="AN1527" s="1"/>
      <c r="AO1527" s="6"/>
    </row>
    <row r="1528" spans="1:41" ht="15" x14ac:dyDescent="0.25">
      <c r="A1528" s="1"/>
      <c r="B1528" s="1"/>
      <c r="C1528" s="1"/>
      <c r="D1528" s="1"/>
      <c r="E1528" s="6"/>
      <c r="F1528" s="1"/>
      <c r="G1528" s="6"/>
      <c r="H1528" s="6"/>
      <c r="I1528" s="6"/>
      <c r="J1528" s="6"/>
      <c r="K1528" s="6"/>
      <c r="L1528" s="6"/>
      <c r="M1528" s="6"/>
      <c r="N1528" s="6"/>
      <c r="O1528" s="7"/>
      <c r="P1528" s="6"/>
      <c r="Q1528" s="6"/>
      <c r="R1528" s="7"/>
      <c r="S1528" s="6"/>
      <c r="T1528" s="6"/>
      <c r="U1528" s="7"/>
      <c r="V1528" s="6"/>
      <c r="W1528" s="6"/>
      <c r="X1528" s="6"/>
      <c r="Y1528" s="6"/>
      <c r="Z1528" s="6"/>
      <c r="AA1528" s="7"/>
      <c r="AB1528" s="6"/>
      <c r="AC1528" s="6"/>
      <c r="AD1528" s="6"/>
      <c r="AE1528" s="12"/>
      <c r="AF1528" s="12"/>
      <c r="AG1528" s="12"/>
      <c r="AH1528" s="12"/>
      <c r="AI1528" s="6"/>
      <c r="AJ1528" s="12"/>
      <c r="AK1528" s="1"/>
      <c r="AL1528" s="12"/>
      <c r="AM1528" s="12"/>
      <c r="AN1528" s="1"/>
      <c r="AO1528" s="6"/>
    </row>
    <row r="1529" spans="1:41" ht="15" x14ac:dyDescent="0.25">
      <c r="A1529" s="1"/>
      <c r="B1529" s="1"/>
      <c r="C1529" s="1"/>
      <c r="D1529" s="1"/>
      <c r="E1529" s="6"/>
      <c r="F1529" s="1"/>
      <c r="G1529" s="6"/>
      <c r="H1529" s="6"/>
      <c r="I1529" s="6"/>
      <c r="J1529" s="6"/>
      <c r="K1529" s="6"/>
      <c r="L1529" s="6"/>
      <c r="M1529" s="6"/>
      <c r="N1529" s="6"/>
      <c r="O1529" s="7"/>
      <c r="P1529" s="6"/>
      <c r="Q1529" s="6"/>
      <c r="R1529" s="7"/>
      <c r="S1529" s="6"/>
      <c r="T1529" s="6"/>
      <c r="U1529" s="7"/>
      <c r="V1529" s="6"/>
      <c r="W1529" s="6"/>
      <c r="X1529" s="12"/>
      <c r="Y1529" s="6"/>
      <c r="Z1529" s="6"/>
      <c r="AA1529" s="7"/>
      <c r="AB1529" s="6"/>
      <c r="AC1529" s="6"/>
      <c r="AD1529" s="6"/>
      <c r="AE1529" s="12"/>
      <c r="AF1529" s="12"/>
      <c r="AG1529" s="12"/>
      <c r="AH1529" s="12"/>
      <c r="AI1529" s="6"/>
      <c r="AJ1529" s="12"/>
      <c r="AK1529" s="1"/>
      <c r="AL1529" s="12"/>
      <c r="AM1529" s="12"/>
      <c r="AN1529" s="1"/>
      <c r="AO1529" s="6"/>
    </row>
    <row r="1530" spans="1:41" ht="15" x14ac:dyDescent="0.25">
      <c r="A1530" s="1"/>
      <c r="B1530" s="1"/>
      <c r="C1530" s="1"/>
      <c r="D1530" s="1"/>
      <c r="E1530" s="6"/>
      <c r="F1530" s="1"/>
      <c r="G1530" s="6"/>
      <c r="H1530" s="6"/>
      <c r="I1530" s="6"/>
      <c r="J1530" s="6"/>
      <c r="K1530" s="6"/>
      <c r="L1530" s="6"/>
      <c r="M1530" s="6"/>
      <c r="N1530" s="6"/>
      <c r="O1530" s="7"/>
      <c r="P1530" s="6"/>
      <c r="Q1530" s="6"/>
      <c r="R1530" s="7"/>
      <c r="S1530" s="6"/>
      <c r="T1530" s="6"/>
      <c r="U1530" s="7"/>
      <c r="V1530" s="6"/>
      <c r="W1530" s="6"/>
      <c r="X1530" s="6"/>
      <c r="Y1530" s="6"/>
      <c r="Z1530" s="6"/>
      <c r="AA1530" s="7"/>
      <c r="AB1530" s="6"/>
      <c r="AC1530" s="6"/>
      <c r="AD1530" s="6"/>
      <c r="AE1530" s="12"/>
      <c r="AF1530" s="12"/>
      <c r="AG1530" s="12"/>
      <c r="AH1530" s="12"/>
      <c r="AI1530" s="6"/>
      <c r="AJ1530" s="12"/>
      <c r="AK1530" s="1"/>
      <c r="AL1530" s="12"/>
      <c r="AM1530" s="12"/>
      <c r="AN1530" s="1"/>
      <c r="AO1530" s="6"/>
    </row>
    <row r="1531" spans="1:41" ht="15" x14ac:dyDescent="0.25">
      <c r="A1531" s="1"/>
      <c r="B1531" s="1"/>
      <c r="C1531" s="1"/>
      <c r="D1531" s="1"/>
      <c r="E1531" s="6"/>
      <c r="F1531" s="1"/>
      <c r="G1531" s="6"/>
      <c r="H1531" s="6"/>
      <c r="I1531" s="6"/>
      <c r="J1531" s="6"/>
      <c r="K1531" s="6"/>
      <c r="L1531" s="6"/>
      <c r="M1531" s="6"/>
      <c r="N1531" s="6"/>
      <c r="O1531" s="7"/>
      <c r="P1531" s="6"/>
      <c r="Q1531" s="7"/>
      <c r="R1531" s="6"/>
      <c r="S1531" s="6"/>
      <c r="T1531" s="6"/>
      <c r="U1531" s="6"/>
      <c r="V1531" s="7"/>
      <c r="W1531" s="7"/>
      <c r="X1531" s="6"/>
      <c r="Y1531" s="6"/>
      <c r="Z1531" s="6"/>
      <c r="AA1531" s="1"/>
      <c r="AB1531" s="12"/>
      <c r="AC1531" s="12"/>
      <c r="AD1531" s="12"/>
      <c r="AE1531" s="12"/>
      <c r="AF1531" s="12"/>
      <c r="AG1531" s="12"/>
      <c r="AH1531" s="12"/>
      <c r="AI1531" s="6"/>
      <c r="AJ1531" s="12"/>
      <c r="AK1531" s="12"/>
      <c r="AL1531" s="12"/>
      <c r="AM1531" s="12"/>
      <c r="AN1531" s="1"/>
      <c r="AO1531" s="6"/>
    </row>
    <row r="1532" spans="1:41" ht="15" x14ac:dyDescent="0.25">
      <c r="A1532" s="1"/>
      <c r="B1532" s="1"/>
      <c r="C1532" s="1"/>
      <c r="D1532" s="1"/>
      <c r="E1532" s="6"/>
      <c r="F1532" s="1"/>
      <c r="G1532" s="6"/>
      <c r="H1532" s="6"/>
      <c r="I1532" s="6"/>
      <c r="J1532" s="6"/>
      <c r="K1532" s="6"/>
      <c r="L1532" s="6"/>
      <c r="M1532" s="6"/>
      <c r="N1532" s="6"/>
      <c r="O1532" s="7"/>
      <c r="P1532" s="6"/>
      <c r="Q1532" s="7"/>
      <c r="R1532" s="6"/>
      <c r="S1532" s="6"/>
      <c r="T1532" s="6"/>
      <c r="U1532" s="6"/>
      <c r="V1532" s="7"/>
      <c r="W1532" s="7"/>
      <c r="X1532" s="6"/>
      <c r="Y1532" s="6"/>
      <c r="Z1532" s="6"/>
      <c r="AA1532" s="1"/>
      <c r="AB1532" s="12"/>
      <c r="AC1532" s="12"/>
      <c r="AD1532" s="12"/>
      <c r="AE1532" s="12"/>
      <c r="AF1532" s="12"/>
      <c r="AG1532" s="12"/>
      <c r="AH1532" s="12"/>
      <c r="AI1532" s="6"/>
      <c r="AJ1532" s="12"/>
      <c r="AK1532" s="12"/>
      <c r="AL1532" s="12"/>
      <c r="AM1532" s="12"/>
      <c r="AN1532" s="1"/>
      <c r="AO1532" s="6"/>
    </row>
    <row r="1533" spans="1:41" ht="15" x14ac:dyDescent="0.25">
      <c r="A1533" s="1"/>
      <c r="B1533" s="1"/>
      <c r="C1533" s="1"/>
      <c r="D1533" s="1"/>
      <c r="E1533" s="6"/>
      <c r="F1533" s="1"/>
      <c r="G1533" s="6"/>
      <c r="H1533" s="6"/>
      <c r="I1533" s="6"/>
      <c r="J1533" s="6"/>
      <c r="K1533" s="6"/>
      <c r="L1533" s="6"/>
      <c r="M1533" s="6"/>
      <c r="N1533" s="6"/>
      <c r="O1533" s="7"/>
      <c r="P1533" s="6"/>
      <c r="Q1533" s="7"/>
      <c r="R1533" s="6"/>
      <c r="S1533" s="6"/>
      <c r="T1533" s="6"/>
      <c r="U1533" s="6"/>
      <c r="V1533" s="7"/>
      <c r="W1533" s="6"/>
      <c r="X1533" s="6"/>
      <c r="Y1533" s="6"/>
      <c r="Z1533" s="6"/>
      <c r="AA1533" s="1"/>
      <c r="AB1533" s="12"/>
      <c r="AC1533" s="12"/>
      <c r="AD1533" s="12"/>
      <c r="AE1533" s="12"/>
      <c r="AF1533" s="6"/>
      <c r="AG1533" s="12"/>
      <c r="AH1533" s="6"/>
      <c r="AI1533" s="6"/>
      <c r="AJ1533" s="12"/>
      <c r="AK1533" s="12"/>
      <c r="AL1533" s="12"/>
      <c r="AM1533" s="12"/>
      <c r="AN1533" s="1"/>
      <c r="AO1533" s="6"/>
    </row>
    <row r="1534" spans="1:41" ht="15" x14ac:dyDescent="0.25">
      <c r="A1534" s="1"/>
      <c r="B1534" s="1"/>
      <c r="C1534" s="1"/>
      <c r="D1534" s="1"/>
      <c r="E1534" s="6"/>
      <c r="F1534" s="1"/>
      <c r="G1534" s="6"/>
      <c r="H1534" s="6"/>
      <c r="I1534" s="6"/>
      <c r="J1534" s="6"/>
      <c r="K1534" s="6"/>
      <c r="L1534" s="6"/>
      <c r="M1534" s="6"/>
      <c r="N1534" s="6"/>
      <c r="O1534" s="7"/>
      <c r="P1534" s="6"/>
      <c r="Q1534" s="6"/>
      <c r="R1534" s="7"/>
      <c r="S1534" s="6"/>
      <c r="T1534" s="6"/>
      <c r="U1534" s="7"/>
      <c r="V1534" s="6"/>
      <c r="W1534" s="6"/>
      <c r="X1534" s="6"/>
      <c r="Y1534" s="6"/>
      <c r="Z1534" s="6"/>
      <c r="AA1534" s="7"/>
      <c r="AB1534" s="6"/>
      <c r="AC1534" s="6"/>
      <c r="AD1534" s="6"/>
      <c r="AE1534" s="12"/>
      <c r="AF1534" s="6"/>
      <c r="AG1534" s="12"/>
      <c r="AH1534" s="6"/>
      <c r="AI1534" s="6"/>
      <c r="AJ1534" s="12"/>
      <c r="AK1534" s="24"/>
      <c r="AL1534" s="25"/>
      <c r="AM1534" s="12"/>
      <c r="AN1534" s="1"/>
      <c r="AO1534" s="6"/>
    </row>
    <row r="1535" spans="1:41" ht="15" x14ac:dyDescent="0.25">
      <c r="A1535" s="1"/>
      <c r="B1535" s="1"/>
      <c r="C1535" s="1"/>
      <c r="D1535" s="1"/>
      <c r="E1535" s="6"/>
      <c r="F1535" s="1"/>
      <c r="G1535" s="6"/>
      <c r="H1535" s="6"/>
      <c r="I1535" s="6"/>
      <c r="J1535" s="6"/>
      <c r="K1535" s="6"/>
      <c r="L1535" s="6"/>
      <c r="M1535" s="6"/>
      <c r="N1535" s="6"/>
      <c r="O1535" s="7"/>
      <c r="P1535" s="6"/>
      <c r="Q1535" s="6"/>
      <c r="R1535" s="7"/>
      <c r="S1535" s="6"/>
      <c r="T1535" s="6"/>
      <c r="U1535" s="7"/>
      <c r="V1535" s="6"/>
      <c r="W1535" s="6"/>
      <c r="X1535" s="6"/>
      <c r="Y1535" s="6"/>
      <c r="Z1535" s="6"/>
      <c r="AA1535" s="7"/>
      <c r="AB1535" s="6"/>
      <c r="AC1535" s="6"/>
      <c r="AD1535" s="6"/>
      <c r="AE1535" s="12"/>
      <c r="AF1535" s="6"/>
      <c r="AG1535" s="12"/>
      <c r="AH1535" s="6"/>
      <c r="AI1535" s="6"/>
      <c r="AJ1535" s="12"/>
      <c r="AK1535" s="24"/>
      <c r="AL1535" s="25"/>
      <c r="AM1535" s="12"/>
      <c r="AN1535" s="1"/>
      <c r="AO1535" s="6"/>
    </row>
    <row r="1536" spans="1:41" ht="15" x14ac:dyDescent="0.25">
      <c r="A1536" s="1"/>
      <c r="B1536" s="1"/>
      <c r="C1536" s="1"/>
      <c r="D1536" s="1"/>
      <c r="E1536" s="6"/>
      <c r="F1536" s="1"/>
      <c r="G1536" s="6"/>
      <c r="H1536" s="6"/>
      <c r="I1536" s="6"/>
      <c r="J1536" s="6"/>
      <c r="K1536" s="6"/>
      <c r="L1536" s="6"/>
      <c r="M1536" s="6"/>
      <c r="N1536" s="6"/>
      <c r="O1536" s="7"/>
      <c r="P1536" s="6"/>
      <c r="Q1536" s="6"/>
      <c r="R1536" s="7"/>
      <c r="S1536" s="6"/>
      <c r="T1536" s="6"/>
      <c r="U1536" s="7"/>
      <c r="V1536" s="6"/>
      <c r="W1536" s="6"/>
      <c r="X1536" s="6"/>
      <c r="Y1536" s="6"/>
      <c r="Z1536" s="6"/>
      <c r="AA1536" s="7"/>
      <c r="AB1536" s="6"/>
      <c r="AC1536" s="6"/>
      <c r="AD1536" s="6"/>
      <c r="AE1536" s="12"/>
      <c r="AF1536" s="6"/>
      <c r="AG1536" s="12"/>
      <c r="AH1536" s="6"/>
      <c r="AI1536" s="6"/>
      <c r="AJ1536" s="12"/>
      <c r="AK1536" s="1"/>
      <c r="AL1536" s="12"/>
      <c r="AM1536" s="12"/>
      <c r="AN1536" s="1"/>
      <c r="AO1536" s="6"/>
    </row>
    <row r="1537" spans="1:41" ht="15" x14ac:dyDescent="0.25">
      <c r="A1537" s="1"/>
      <c r="B1537" s="1"/>
      <c r="C1537" s="1"/>
      <c r="D1537" s="1"/>
      <c r="E1537" s="6"/>
      <c r="F1537" s="1"/>
      <c r="G1537" s="6"/>
      <c r="H1537" s="6"/>
      <c r="I1537" s="6"/>
      <c r="J1537" s="6"/>
      <c r="K1537" s="12"/>
      <c r="L1537" s="12"/>
      <c r="M1537" s="6"/>
      <c r="N1537" s="6"/>
      <c r="O1537" s="7"/>
      <c r="P1537" s="6"/>
      <c r="Q1537" s="6"/>
      <c r="R1537" s="7"/>
      <c r="S1537" s="6"/>
      <c r="T1537" s="6"/>
      <c r="U1537" s="7"/>
      <c r="V1537" s="6"/>
      <c r="W1537" s="6"/>
      <c r="X1537" s="12"/>
      <c r="Y1537" s="6"/>
      <c r="Z1537" s="6"/>
      <c r="AA1537" s="7"/>
      <c r="AB1537" s="6"/>
      <c r="AC1537" s="6"/>
      <c r="AD1537" s="6"/>
      <c r="AE1537" s="12"/>
      <c r="AF1537" s="12"/>
      <c r="AG1537" s="12"/>
      <c r="AH1537" s="12"/>
      <c r="AI1537" s="6"/>
      <c r="AJ1537" s="12"/>
      <c r="AK1537" s="1"/>
      <c r="AL1537" s="12"/>
      <c r="AM1537" s="12"/>
      <c r="AN1537" s="1"/>
      <c r="AO1537" s="6"/>
    </row>
    <row r="1538" spans="1:41" ht="15" x14ac:dyDescent="0.25">
      <c r="A1538" s="1"/>
      <c r="B1538" s="1"/>
      <c r="C1538" s="1"/>
      <c r="D1538" s="1"/>
      <c r="E1538" s="6"/>
      <c r="F1538" s="1"/>
      <c r="G1538" s="6"/>
      <c r="H1538" s="6"/>
      <c r="I1538" s="6"/>
      <c r="J1538" s="6"/>
      <c r="K1538" s="6"/>
      <c r="L1538" s="6"/>
      <c r="M1538" s="6"/>
      <c r="N1538" s="6"/>
      <c r="O1538" s="7"/>
      <c r="P1538" s="6"/>
      <c r="Q1538" s="7"/>
      <c r="R1538" s="6"/>
      <c r="S1538" s="12"/>
      <c r="T1538" s="6"/>
      <c r="U1538" s="6"/>
      <c r="V1538" s="7"/>
      <c r="W1538" s="6"/>
      <c r="X1538" s="6"/>
      <c r="Y1538" s="6"/>
      <c r="Z1538" s="6"/>
      <c r="AA1538" s="24"/>
      <c r="AB1538" s="25"/>
      <c r="AC1538" s="12"/>
      <c r="AD1538" s="12"/>
      <c r="AE1538" s="12"/>
      <c r="AF1538" s="6"/>
      <c r="AG1538" s="12"/>
      <c r="AH1538" s="6"/>
      <c r="AI1538" s="6"/>
      <c r="AJ1538" s="12"/>
      <c r="AK1538" s="12"/>
      <c r="AL1538" s="12"/>
      <c r="AM1538" s="12"/>
      <c r="AN1538" s="1"/>
      <c r="AO1538" s="6"/>
    </row>
    <row r="1539" spans="1:41" ht="15" x14ac:dyDescent="0.25">
      <c r="A1539" s="1"/>
      <c r="B1539" s="1"/>
      <c r="C1539" s="1"/>
      <c r="D1539" s="1"/>
      <c r="E1539" s="6"/>
      <c r="F1539" s="1"/>
      <c r="G1539" s="6"/>
      <c r="H1539" s="6"/>
      <c r="I1539" s="6"/>
      <c r="J1539" s="6"/>
      <c r="K1539" s="6"/>
      <c r="L1539" s="6"/>
      <c r="M1539" s="6"/>
      <c r="N1539" s="6"/>
      <c r="O1539" s="7"/>
      <c r="P1539" s="6"/>
      <c r="Q1539" s="6"/>
      <c r="R1539" s="7"/>
      <c r="S1539" s="6"/>
      <c r="T1539" s="6"/>
      <c r="U1539" s="6"/>
      <c r="V1539" s="6"/>
      <c r="W1539" s="6"/>
      <c r="X1539" s="7"/>
      <c r="Y1539" s="6"/>
      <c r="Z1539" s="6"/>
      <c r="AA1539" s="7"/>
      <c r="AB1539" s="6"/>
      <c r="AC1539" s="6"/>
      <c r="AD1539" s="6"/>
      <c r="AE1539" s="12"/>
      <c r="AF1539" s="6"/>
      <c r="AG1539" s="12"/>
      <c r="AH1539" s="6"/>
      <c r="AI1539" s="6"/>
      <c r="AJ1539" s="12"/>
      <c r="AK1539" s="6"/>
      <c r="AL1539" s="12"/>
      <c r="AM1539" s="12"/>
      <c r="AN1539" s="1"/>
      <c r="AO1539" s="6"/>
    </row>
    <row r="1540" spans="1:41" ht="15" x14ac:dyDescent="0.25">
      <c r="A1540" s="1"/>
      <c r="B1540" s="1"/>
      <c r="C1540" s="1"/>
      <c r="D1540" s="1"/>
      <c r="E1540" s="6"/>
      <c r="F1540" s="1"/>
      <c r="G1540" s="6"/>
      <c r="H1540" s="6"/>
      <c r="I1540" s="6"/>
      <c r="J1540" s="6"/>
      <c r="K1540" s="6"/>
      <c r="L1540" s="6"/>
      <c r="M1540" s="6"/>
      <c r="N1540" s="6"/>
      <c r="O1540" s="7"/>
      <c r="P1540" s="6"/>
      <c r="Q1540" s="7"/>
      <c r="R1540" s="6"/>
      <c r="S1540" s="6"/>
      <c r="T1540" s="6"/>
      <c r="U1540" s="6"/>
      <c r="V1540" s="7"/>
      <c r="W1540" s="6"/>
      <c r="X1540" s="6"/>
      <c r="Y1540" s="6"/>
      <c r="Z1540" s="6"/>
      <c r="AA1540" s="24"/>
      <c r="AB1540" s="25"/>
      <c r="AC1540" s="12"/>
      <c r="AD1540" s="12"/>
      <c r="AE1540" s="12"/>
      <c r="AF1540" s="6"/>
      <c r="AG1540" s="12"/>
      <c r="AH1540" s="6"/>
      <c r="AI1540" s="6"/>
      <c r="AJ1540" s="12"/>
      <c r="AK1540" s="12"/>
      <c r="AL1540" s="12"/>
      <c r="AM1540" s="12"/>
      <c r="AN1540" s="1"/>
      <c r="AO1540" s="6"/>
    </row>
    <row r="1541" spans="1:41" ht="15" x14ac:dyDescent="0.25">
      <c r="A1541" s="1"/>
      <c r="B1541" s="1"/>
      <c r="C1541" s="1"/>
      <c r="D1541" s="1"/>
      <c r="E1541" s="6"/>
      <c r="F1541" s="1"/>
      <c r="G1541" s="6"/>
      <c r="H1541" s="6"/>
      <c r="I1541" s="6"/>
      <c r="J1541" s="6"/>
      <c r="K1541" s="6"/>
      <c r="L1541" s="6"/>
      <c r="M1541" s="6"/>
      <c r="N1541" s="6"/>
      <c r="O1541" s="7"/>
      <c r="P1541" s="12"/>
      <c r="Q1541" s="6"/>
      <c r="R1541" s="7"/>
      <c r="S1541" s="6"/>
      <c r="T1541" s="6"/>
      <c r="U1541" s="7"/>
      <c r="V1541" s="6"/>
      <c r="W1541" s="6"/>
      <c r="X1541" s="12"/>
      <c r="Y1541" s="6"/>
      <c r="Z1541" s="6"/>
      <c r="AA1541" s="7"/>
      <c r="AB1541" s="6"/>
      <c r="AC1541" s="6"/>
      <c r="AD1541" s="6"/>
      <c r="AE1541" s="12"/>
      <c r="AF1541" s="6"/>
      <c r="AG1541" s="12"/>
      <c r="AH1541" s="6"/>
      <c r="AI1541" s="6"/>
      <c r="AJ1541" s="12"/>
      <c r="AK1541" s="24"/>
      <c r="AL1541" s="25"/>
      <c r="AM1541" s="12"/>
      <c r="AN1541" s="1"/>
      <c r="AO1541" s="6"/>
    </row>
    <row r="1542" spans="1:41" ht="15" x14ac:dyDescent="0.25">
      <c r="A1542" s="1"/>
      <c r="B1542" s="1"/>
      <c r="C1542" s="1"/>
      <c r="D1542" s="1"/>
      <c r="E1542" s="6"/>
      <c r="F1542" s="1"/>
      <c r="G1542" s="6"/>
      <c r="H1542" s="6"/>
      <c r="I1542" s="6"/>
      <c r="J1542" s="6"/>
      <c r="K1542" s="6"/>
      <c r="L1542" s="6"/>
      <c r="M1542" s="6"/>
      <c r="N1542" s="6"/>
      <c r="O1542" s="7"/>
      <c r="P1542" s="6"/>
      <c r="Q1542" s="6"/>
      <c r="R1542" s="7"/>
      <c r="S1542" s="6"/>
      <c r="T1542" s="6"/>
      <c r="U1542" s="7"/>
      <c r="V1542" s="6"/>
      <c r="W1542" s="6"/>
      <c r="X1542" s="6"/>
      <c r="Y1542" s="6"/>
      <c r="Z1542" s="6"/>
      <c r="AA1542" s="7"/>
      <c r="AB1542" s="6"/>
      <c r="AC1542" s="6"/>
      <c r="AD1542" s="6"/>
      <c r="AE1542" s="12"/>
      <c r="AF1542" s="6"/>
      <c r="AG1542" s="12"/>
      <c r="AH1542" s="6"/>
      <c r="AI1542" s="6"/>
      <c r="AJ1542" s="12"/>
      <c r="AK1542" s="1"/>
      <c r="AL1542" s="12"/>
      <c r="AM1542" s="12"/>
      <c r="AN1542" s="1"/>
      <c r="AO1542" s="6"/>
    </row>
    <row r="1543" spans="1:41" ht="15" x14ac:dyDescent="0.25">
      <c r="A1543" s="1"/>
      <c r="B1543" s="1"/>
      <c r="C1543" s="1"/>
      <c r="D1543" s="1"/>
      <c r="E1543" s="6"/>
      <c r="F1543" s="1"/>
      <c r="G1543" s="6"/>
      <c r="H1543" s="6"/>
      <c r="I1543" s="6"/>
      <c r="J1543" s="6"/>
      <c r="K1543" s="6"/>
      <c r="L1543" s="6"/>
      <c r="M1543" s="6"/>
      <c r="N1543" s="6"/>
      <c r="O1543" s="7"/>
      <c r="P1543" s="6"/>
      <c r="Q1543" s="6"/>
      <c r="R1543" s="7"/>
      <c r="S1543" s="6"/>
      <c r="T1543" s="6"/>
      <c r="U1543" s="7"/>
      <c r="V1543" s="6"/>
      <c r="W1543" s="6"/>
      <c r="X1543" s="12"/>
      <c r="Y1543" s="6"/>
      <c r="Z1543" s="6"/>
      <c r="AA1543" s="7"/>
      <c r="AB1543" s="6"/>
      <c r="AC1543" s="6"/>
      <c r="AD1543" s="6"/>
      <c r="AE1543" s="12"/>
      <c r="AF1543" s="12"/>
      <c r="AG1543" s="12"/>
      <c r="AH1543" s="12"/>
      <c r="AI1543" s="6"/>
      <c r="AJ1543" s="12"/>
      <c r="AK1543" s="1"/>
      <c r="AL1543" s="12"/>
      <c r="AM1543" s="12"/>
      <c r="AN1543" s="1"/>
      <c r="AO1543" s="6"/>
    </row>
    <row r="1544" spans="1:41" ht="15" x14ac:dyDescent="0.25">
      <c r="A1544" s="1"/>
      <c r="B1544" s="1"/>
      <c r="C1544" s="1"/>
      <c r="D1544" s="1"/>
      <c r="E1544" s="6"/>
      <c r="F1544" s="1"/>
      <c r="G1544" s="6"/>
      <c r="H1544" s="6"/>
      <c r="I1544" s="6"/>
      <c r="J1544" s="6"/>
      <c r="K1544" s="6"/>
      <c r="L1544" s="6"/>
      <c r="M1544" s="6"/>
      <c r="N1544" s="6"/>
      <c r="O1544" s="7"/>
      <c r="P1544" s="6"/>
      <c r="Q1544" s="6"/>
      <c r="R1544" s="7"/>
      <c r="S1544" s="6"/>
      <c r="T1544" s="6"/>
      <c r="U1544" s="7"/>
      <c r="V1544" s="6"/>
      <c r="W1544" s="6"/>
      <c r="X1544" s="6"/>
      <c r="Y1544" s="6"/>
      <c r="Z1544" s="6"/>
      <c r="AA1544" s="7"/>
      <c r="AB1544" s="6"/>
      <c r="AC1544" s="6"/>
      <c r="AD1544" s="6"/>
      <c r="AE1544" s="12"/>
      <c r="AF1544" s="6"/>
      <c r="AG1544" s="12"/>
      <c r="AH1544" s="6"/>
      <c r="AI1544" s="6"/>
      <c r="AJ1544" s="12"/>
      <c r="AK1544" s="24"/>
      <c r="AL1544" s="25"/>
      <c r="AM1544" s="12"/>
      <c r="AN1544" s="1"/>
      <c r="AO1544" s="6"/>
    </row>
    <row r="1545" spans="1:41" ht="15" x14ac:dyDescent="0.25">
      <c r="A1545" s="1"/>
      <c r="B1545" s="1"/>
      <c r="C1545" s="1"/>
      <c r="D1545" s="1"/>
      <c r="E1545" s="6"/>
      <c r="F1545" s="1"/>
      <c r="G1545" s="6"/>
      <c r="H1545" s="6"/>
      <c r="I1545" s="6"/>
      <c r="J1545" s="6"/>
      <c r="K1545" s="6"/>
      <c r="L1545" s="6"/>
      <c r="M1545" s="6"/>
      <c r="N1545" s="6"/>
      <c r="O1545" s="7"/>
      <c r="P1545" s="12"/>
      <c r="Q1545" s="6"/>
      <c r="R1545" s="7"/>
      <c r="S1545" s="6"/>
      <c r="T1545" s="6"/>
      <c r="U1545" s="7"/>
      <c r="V1545" s="6"/>
      <c r="W1545" s="6"/>
      <c r="X1545" s="12"/>
      <c r="Y1545" s="6"/>
      <c r="Z1545" s="6"/>
      <c r="AA1545" s="7"/>
      <c r="AB1545" s="6"/>
      <c r="AC1545" s="6"/>
      <c r="AD1545" s="6"/>
      <c r="AE1545" s="12"/>
      <c r="AF1545" s="12"/>
      <c r="AG1545" s="12"/>
      <c r="AH1545" s="12"/>
      <c r="AI1545" s="6"/>
      <c r="AJ1545" s="12"/>
      <c r="AK1545" s="1"/>
      <c r="AL1545" s="12"/>
      <c r="AM1545" s="12"/>
      <c r="AN1545" s="1"/>
      <c r="AO1545" s="6"/>
    </row>
    <row r="1546" spans="1:41" ht="15" x14ac:dyDescent="0.25">
      <c r="A1546" s="1"/>
      <c r="B1546" s="1"/>
      <c r="C1546" s="1"/>
      <c r="D1546" s="1"/>
      <c r="E1546" s="6"/>
      <c r="F1546" s="1"/>
      <c r="G1546" s="6"/>
      <c r="H1546" s="6"/>
      <c r="I1546" s="6"/>
      <c r="J1546" s="6"/>
      <c r="K1546" s="6"/>
      <c r="L1546" s="6"/>
      <c r="M1546" s="6"/>
      <c r="N1546" s="6"/>
      <c r="O1546" s="7"/>
      <c r="P1546" s="6"/>
      <c r="Q1546" s="6"/>
      <c r="R1546" s="7"/>
      <c r="S1546" s="6"/>
      <c r="T1546" s="6"/>
      <c r="U1546" s="7"/>
      <c r="V1546" s="6"/>
      <c r="W1546" s="6"/>
      <c r="X1546" s="6"/>
      <c r="Y1546" s="6"/>
      <c r="Z1546" s="6"/>
      <c r="AA1546" s="7"/>
      <c r="AB1546" s="6"/>
      <c r="AC1546" s="6"/>
      <c r="AD1546" s="6"/>
      <c r="AE1546" s="12"/>
      <c r="AF1546" s="6"/>
      <c r="AG1546" s="12"/>
      <c r="AH1546" s="6"/>
      <c r="AI1546" s="6"/>
      <c r="AJ1546" s="12"/>
      <c r="AK1546" s="1"/>
      <c r="AL1546" s="12"/>
      <c r="AM1546" s="12"/>
      <c r="AN1546" s="1"/>
      <c r="AO1546" s="6"/>
    </row>
    <row r="1547" spans="1:41" ht="15" x14ac:dyDescent="0.25">
      <c r="A1547" s="1"/>
      <c r="B1547" s="1"/>
      <c r="C1547" s="1"/>
      <c r="D1547" s="1"/>
      <c r="E1547" s="6"/>
      <c r="F1547" s="1"/>
      <c r="G1547" s="6"/>
      <c r="H1547" s="6"/>
      <c r="I1547" s="6"/>
      <c r="J1547" s="6"/>
      <c r="K1547" s="6"/>
      <c r="L1547" s="6"/>
      <c r="M1547" s="6"/>
      <c r="N1547" s="6"/>
      <c r="O1547" s="7"/>
      <c r="P1547" s="6"/>
      <c r="Q1547" s="6"/>
      <c r="R1547" s="7"/>
      <c r="S1547" s="6"/>
      <c r="T1547" s="6"/>
      <c r="U1547" s="7"/>
      <c r="V1547" s="6"/>
      <c r="W1547" s="6"/>
      <c r="X1547" s="6"/>
      <c r="Y1547" s="6"/>
      <c r="Z1547" s="6"/>
      <c r="AA1547" s="7"/>
      <c r="AB1547" s="6"/>
      <c r="AC1547" s="6"/>
      <c r="AD1547" s="6"/>
      <c r="AE1547" s="12"/>
      <c r="AF1547" s="6"/>
      <c r="AG1547" s="12"/>
      <c r="AH1547" s="6"/>
      <c r="AI1547" s="6"/>
      <c r="AJ1547" s="12"/>
      <c r="AK1547" s="24"/>
      <c r="AL1547" s="25"/>
      <c r="AM1547" s="12"/>
      <c r="AN1547" s="1"/>
      <c r="AO1547" s="6"/>
    </row>
    <row r="1548" spans="1:41" ht="15" x14ac:dyDescent="0.25">
      <c r="A1548" s="1"/>
      <c r="B1548" s="1"/>
      <c r="C1548" s="1"/>
      <c r="D1548" s="1"/>
      <c r="E1548" s="6"/>
      <c r="F1548" s="1"/>
      <c r="G1548" s="6"/>
      <c r="H1548" s="6"/>
      <c r="I1548" s="6"/>
      <c r="J1548" s="6"/>
      <c r="K1548" s="6"/>
      <c r="L1548" s="6"/>
      <c r="M1548" s="6"/>
      <c r="N1548" s="6"/>
      <c r="O1548" s="7"/>
      <c r="P1548" s="6"/>
      <c r="Q1548" s="7"/>
      <c r="R1548" s="6"/>
      <c r="S1548" s="6"/>
      <c r="T1548" s="6"/>
      <c r="U1548" s="6"/>
      <c r="V1548" s="7"/>
      <c r="W1548" s="7"/>
      <c r="X1548" s="6"/>
      <c r="Y1548" s="6"/>
      <c r="Z1548" s="6"/>
      <c r="AA1548" s="1"/>
      <c r="AB1548" s="12"/>
      <c r="AC1548" s="12"/>
      <c r="AD1548" s="12"/>
      <c r="AE1548" s="12"/>
      <c r="AF1548" s="12"/>
      <c r="AG1548" s="12"/>
      <c r="AH1548" s="12"/>
      <c r="AI1548" s="6"/>
      <c r="AJ1548" s="12"/>
      <c r="AK1548" s="12"/>
      <c r="AL1548" s="12"/>
      <c r="AM1548" s="12"/>
      <c r="AN1548" s="1"/>
      <c r="AO1548" s="6"/>
    </row>
    <row r="1549" spans="1:41" ht="15" x14ac:dyDescent="0.25">
      <c r="A1549" s="1"/>
      <c r="B1549" s="1"/>
      <c r="C1549" s="1"/>
      <c r="D1549" s="1"/>
      <c r="E1549" s="6"/>
      <c r="F1549" s="1"/>
      <c r="G1549" s="6"/>
      <c r="H1549" s="6"/>
      <c r="I1549" s="6"/>
      <c r="J1549" s="6"/>
      <c r="K1549" s="12"/>
      <c r="L1549" s="12"/>
      <c r="M1549" s="6"/>
      <c r="N1549" s="6"/>
      <c r="O1549" s="7"/>
      <c r="P1549" s="6"/>
      <c r="Q1549" s="7"/>
      <c r="R1549" s="6"/>
      <c r="S1549" s="6"/>
      <c r="T1549" s="6"/>
      <c r="U1549" s="6"/>
      <c r="V1549" s="7"/>
      <c r="W1549" s="7"/>
      <c r="X1549" s="6"/>
      <c r="Y1549" s="6"/>
      <c r="Z1549" s="6"/>
      <c r="AA1549" s="1"/>
      <c r="AB1549" s="12"/>
      <c r="AC1549" s="12"/>
      <c r="AD1549" s="12"/>
      <c r="AE1549" s="12"/>
      <c r="AF1549" s="12"/>
      <c r="AG1549" s="12"/>
      <c r="AH1549" s="12"/>
      <c r="AI1549" s="6"/>
      <c r="AJ1549" s="12"/>
      <c r="AK1549" s="12"/>
      <c r="AL1549" s="12"/>
      <c r="AM1549" s="12"/>
      <c r="AN1549" s="1"/>
      <c r="AO1549" s="6"/>
    </row>
    <row r="1550" spans="1:41" ht="15" x14ac:dyDescent="0.25">
      <c r="A1550" s="1"/>
      <c r="B1550" s="1"/>
      <c r="C1550" s="1"/>
      <c r="D1550" s="1"/>
      <c r="E1550" s="6"/>
      <c r="F1550" s="1"/>
      <c r="G1550" s="6"/>
      <c r="H1550" s="6"/>
      <c r="I1550" s="6"/>
      <c r="J1550" s="6"/>
      <c r="K1550" s="6"/>
      <c r="L1550" s="6"/>
      <c r="M1550" s="6"/>
      <c r="N1550" s="6"/>
      <c r="O1550" s="7"/>
      <c r="P1550" s="6"/>
      <c r="Q1550" s="6"/>
      <c r="R1550" s="7"/>
      <c r="S1550" s="6"/>
      <c r="T1550" s="6"/>
      <c r="U1550" s="7"/>
      <c r="V1550" s="6"/>
      <c r="W1550" s="6"/>
      <c r="X1550" s="12"/>
      <c r="Y1550" s="6"/>
      <c r="Z1550" s="6"/>
      <c r="AA1550" s="7"/>
      <c r="AB1550" s="6"/>
      <c r="AC1550" s="6"/>
      <c r="AD1550" s="6"/>
      <c r="AE1550" s="12"/>
      <c r="AF1550" s="12"/>
      <c r="AG1550" s="12"/>
      <c r="AH1550" s="12"/>
      <c r="AI1550" s="6"/>
      <c r="AJ1550" s="12"/>
      <c r="AK1550" s="1"/>
      <c r="AL1550" s="12"/>
      <c r="AM1550" s="12"/>
      <c r="AN1550" s="1"/>
      <c r="AO1550" s="6"/>
    </row>
    <row r="1551" spans="1:41" ht="15" x14ac:dyDescent="0.25">
      <c r="A1551" s="1"/>
      <c r="B1551" s="1"/>
      <c r="C1551" s="1"/>
      <c r="D1551" s="1"/>
      <c r="E1551" s="6"/>
      <c r="F1551" s="1"/>
      <c r="G1551" s="6"/>
      <c r="H1551" s="6"/>
      <c r="I1551" s="6"/>
      <c r="J1551" s="6"/>
      <c r="K1551" s="6"/>
      <c r="L1551" s="6"/>
      <c r="M1551" s="6"/>
      <c r="N1551" s="6"/>
      <c r="O1551" s="7"/>
      <c r="P1551" s="6"/>
      <c r="Q1551" s="6"/>
      <c r="R1551" s="7"/>
      <c r="S1551" s="6"/>
      <c r="T1551" s="6"/>
      <c r="U1551" s="7"/>
      <c r="V1551" s="6"/>
      <c r="W1551" s="6"/>
      <c r="X1551" s="6"/>
      <c r="Y1551" s="6"/>
      <c r="Z1551" s="6"/>
      <c r="AA1551" s="7"/>
      <c r="AB1551" s="6"/>
      <c r="AC1551" s="6"/>
      <c r="AD1551" s="6"/>
      <c r="AE1551" s="12"/>
      <c r="AF1551" s="12"/>
      <c r="AG1551" s="12"/>
      <c r="AH1551" s="12"/>
      <c r="AI1551" s="6"/>
      <c r="AJ1551" s="12"/>
      <c r="AK1551" s="1"/>
      <c r="AL1551" s="12"/>
      <c r="AM1551" s="12"/>
      <c r="AN1551" s="1"/>
      <c r="AO1551" s="6"/>
    </row>
    <row r="1552" spans="1:41" ht="15" x14ac:dyDescent="0.25">
      <c r="A1552" s="1"/>
      <c r="B1552" s="1"/>
      <c r="C1552" s="1"/>
      <c r="D1552" s="1"/>
      <c r="E1552" s="6"/>
      <c r="F1552" s="1"/>
      <c r="G1552" s="6"/>
      <c r="H1552" s="6"/>
      <c r="I1552" s="6"/>
      <c r="J1552" s="6"/>
      <c r="K1552" s="6"/>
      <c r="L1552" s="6"/>
      <c r="M1552" s="6"/>
      <c r="N1552" s="6"/>
      <c r="O1552" s="7"/>
      <c r="P1552" s="6"/>
      <c r="Q1552" s="6"/>
      <c r="R1552" s="7"/>
      <c r="S1552" s="6"/>
      <c r="T1552" s="6"/>
      <c r="U1552" s="7"/>
      <c r="V1552" s="6"/>
      <c r="W1552" s="6"/>
      <c r="X1552" s="12"/>
      <c r="Y1552" s="6"/>
      <c r="Z1552" s="6"/>
      <c r="AA1552" s="7"/>
      <c r="AB1552" s="6"/>
      <c r="AC1552" s="6"/>
      <c r="AD1552" s="6"/>
      <c r="AE1552" s="12"/>
      <c r="AF1552" s="12"/>
      <c r="AG1552" s="12"/>
      <c r="AH1552" s="12"/>
      <c r="AI1552" s="6"/>
      <c r="AJ1552" s="12"/>
      <c r="AK1552" s="1"/>
      <c r="AL1552" s="12"/>
      <c r="AM1552" s="12"/>
      <c r="AN1552" s="1"/>
      <c r="AO1552" s="6"/>
    </row>
    <row r="1553" spans="1:41" ht="15" x14ac:dyDescent="0.25">
      <c r="A1553" s="1"/>
      <c r="B1553" s="1"/>
      <c r="C1553" s="1"/>
      <c r="D1553" s="1"/>
      <c r="E1553" s="6"/>
      <c r="F1553" s="1"/>
      <c r="G1553" s="6"/>
      <c r="H1553" s="6"/>
      <c r="I1553" s="6"/>
      <c r="J1553" s="6"/>
      <c r="K1553" s="6"/>
      <c r="L1553" s="6"/>
      <c r="M1553" s="6"/>
      <c r="N1553" s="6"/>
      <c r="O1553" s="7"/>
      <c r="P1553" s="6"/>
      <c r="Q1553" s="6"/>
      <c r="R1553" s="7"/>
      <c r="S1553" s="6"/>
      <c r="T1553" s="6"/>
      <c r="U1553" s="7"/>
      <c r="V1553" s="6"/>
      <c r="W1553" s="6"/>
      <c r="X1553" s="12"/>
      <c r="Y1553" s="6"/>
      <c r="Z1553" s="6"/>
      <c r="AA1553" s="7"/>
      <c r="AB1553" s="6"/>
      <c r="AC1553" s="6"/>
      <c r="AD1553" s="6"/>
      <c r="AE1553" s="12"/>
      <c r="AF1553" s="6"/>
      <c r="AG1553" s="12"/>
      <c r="AH1553" s="6"/>
      <c r="AI1553" s="6"/>
      <c r="AJ1553" s="12"/>
      <c r="AK1553" s="24"/>
      <c r="AL1553" s="25"/>
      <c r="AM1553" s="12"/>
      <c r="AN1553" s="1"/>
      <c r="AO1553" s="6"/>
    </row>
    <row r="1554" spans="1:41" ht="15" x14ac:dyDescent="0.25">
      <c r="A1554" s="1"/>
      <c r="B1554" s="1"/>
      <c r="C1554" s="1"/>
      <c r="D1554" s="1"/>
      <c r="E1554" s="6"/>
      <c r="F1554" s="1"/>
      <c r="G1554" s="6"/>
      <c r="H1554" s="6"/>
      <c r="I1554" s="6"/>
      <c r="J1554" s="6"/>
      <c r="K1554" s="6"/>
      <c r="L1554" s="6"/>
      <c r="M1554" s="6"/>
      <c r="N1554" s="6"/>
      <c r="O1554" s="7"/>
      <c r="P1554" s="6"/>
      <c r="Q1554" s="6"/>
      <c r="R1554" s="7"/>
      <c r="S1554" s="6"/>
      <c r="T1554" s="6"/>
      <c r="U1554" s="7"/>
      <c r="V1554" s="6"/>
      <c r="W1554" s="6"/>
      <c r="X1554" s="12"/>
      <c r="Y1554" s="6"/>
      <c r="Z1554" s="6"/>
      <c r="AA1554" s="7"/>
      <c r="AB1554" s="6"/>
      <c r="AC1554" s="6"/>
      <c r="AD1554" s="6"/>
      <c r="AE1554" s="12"/>
      <c r="AF1554" s="12"/>
      <c r="AG1554" s="12"/>
      <c r="AH1554" s="12"/>
      <c r="AI1554" s="6"/>
      <c r="AJ1554" s="12"/>
      <c r="AK1554" s="1"/>
      <c r="AL1554" s="12"/>
      <c r="AM1554" s="12"/>
      <c r="AN1554" s="1"/>
      <c r="AO1554" s="6"/>
    </row>
    <row r="1555" spans="1:41" ht="15" x14ac:dyDescent="0.25">
      <c r="A1555" s="1"/>
      <c r="B1555" s="1"/>
      <c r="C1555" s="1"/>
      <c r="D1555" s="1"/>
      <c r="E1555" s="6"/>
      <c r="F1555" s="1"/>
      <c r="G1555" s="6"/>
      <c r="H1555" s="6"/>
      <c r="I1555" s="6"/>
      <c r="J1555" s="6"/>
      <c r="K1555" s="6"/>
      <c r="L1555" s="6"/>
      <c r="M1555" s="6"/>
      <c r="N1555" s="6"/>
      <c r="O1555" s="7"/>
      <c r="P1555" s="6"/>
      <c r="Q1555" s="6"/>
      <c r="R1555" s="7"/>
      <c r="S1555" s="6"/>
      <c r="T1555" s="6"/>
      <c r="U1555" s="7"/>
      <c r="V1555" s="6"/>
      <c r="W1555" s="6"/>
      <c r="X1555" s="12"/>
      <c r="Y1555" s="6"/>
      <c r="Z1555" s="6"/>
      <c r="AA1555" s="7"/>
      <c r="AB1555" s="6"/>
      <c r="AC1555" s="6"/>
      <c r="AD1555" s="6"/>
      <c r="AE1555" s="12"/>
      <c r="AF1555" s="6"/>
      <c r="AG1555" s="12"/>
      <c r="AH1555" s="6"/>
      <c r="AI1555" s="6"/>
      <c r="AJ1555" s="12"/>
      <c r="AK1555" s="24"/>
      <c r="AL1555" s="25"/>
      <c r="AM1555" s="12"/>
      <c r="AN1555" s="1"/>
      <c r="AO1555" s="6"/>
    </row>
    <row r="1556" spans="1:41" ht="15" x14ac:dyDescent="0.25">
      <c r="A1556" s="1"/>
      <c r="B1556" s="1"/>
      <c r="C1556" s="1"/>
      <c r="D1556" s="1"/>
      <c r="E1556" s="6"/>
      <c r="F1556" s="1"/>
      <c r="G1556" s="6"/>
      <c r="H1556" s="6"/>
      <c r="I1556" s="6"/>
      <c r="J1556" s="6"/>
      <c r="K1556" s="6"/>
      <c r="L1556" s="6"/>
      <c r="M1556" s="6"/>
      <c r="N1556" s="6"/>
      <c r="O1556" s="7"/>
      <c r="P1556" s="12"/>
      <c r="Q1556" s="6"/>
      <c r="R1556" s="7"/>
      <c r="S1556" s="6"/>
      <c r="T1556" s="6"/>
      <c r="U1556" s="7"/>
      <c r="V1556" s="6"/>
      <c r="W1556" s="6"/>
      <c r="X1556" s="12"/>
      <c r="Y1556" s="6"/>
      <c r="Z1556" s="6"/>
      <c r="AA1556" s="7"/>
      <c r="AB1556" s="6"/>
      <c r="AC1556" s="6"/>
      <c r="AD1556" s="6"/>
      <c r="AE1556" s="12"/>
      <c r="AF1556" s="6"/>
      <c r="AG1556" s="12"/>
      <c r="AH1556" s="6"/>
      <c r="AI1556" s="6"/>
      <c r="AJ1556" s="12"/>
      <c r="AK1556" s="24"/>
      <c r="AL1556" s="25"/>
      <c r="AM1556" s="12"/>
      <c r="AN1556" s="1"/>
      <c r="AO1556" s="6"/>
    </row>
    <row r="1557" spans="1:41" ht="15" x14ac:dyDescent="0.25">
      <c r="A1557" s="1"/>
      <c r="B1557" s="1"/>
      <c r="C1557" s="1"/>
      <c r="D1557" s="1"/>
      <c r="E1557" s="6"/>
      <c r="F1557" s="1"/>
      <c r="G1557" s="6"/>
      <c r="H1557" s="6"/>
      <c r="I1557" s="6"/>
      <c r="J1557" s="6"/>
      <c r="K1557" s="6"/>
      <c r="L1557" s="6"/>
      <c r="M1557" s="6"/>
      <c r="N1557" s="6"/>
      <c r="O1557" s="7"/>
      <c r="P1557" s="6"/>
      <c r="Q1557" s="6"/>
      <c r="R1557" s="7"/>
      <c r="S1557" s="6"/>
      <c r="T1557" s="6"/>
      <c r="U1557" s="7"/>
      <c r="V1557" s="6"/>
      <c r="W1557" s="6"/>
      <c r="X1557" s="6"/>
      <c r="Y1557" s="6"/>
      <c r="Z1557" s="6"/>
      <c r="AA1557" s="7"/>
      <c r="AB1557" s="6"/>
      <c r="AC1557" s="6"/>
      <c r="AD1557" s="6"/>
      <c r="AE1557" s="12"/>
      <c r="AF1557" s="6"/>
      <c r="AG1557" s="12"/>
      <c r="AH1557" s="6"/>
      <c r="AI1557" s="6"/>
      <c r="AJ1557" s="12"/>
      <c r="AK1557" s="24"/>
      <c r="AL1557" s="25"/>
      <c r="AM1557" s="12"/>
      <c r="AN1557" s="1"/>
      <c r="AO1557" s="6"/>
    </row>
    <row r="1558" spans="1:41" ht="15" x14ac:dyDescent="0.25">
      <c r="A1558" s="1"/>
      <c r="B1558" s="1"/>
      <c r="C1558" s="1"/>
      <c r="D1558" s="1"/>
      <c r="E1558" s="6"/>
      <c r="F1558" s="1"/>
      <c r="G1558" s="6"/>
      <c r="H1558" s="6"/>
      <c r="I1558" s="6"/>
      <c r="J1558" s="6"/>
      <c r="K1558" s="6"/>
      <c r="L1558" s="6"/>
      <c r="M1558" s="6"/>
      <c r="N1558" s="6"/>
      <c r="O1558" s="7"/>
      <c r="P1558" s="6"/>
      <c r="Q1558" s="6"/>
      <c r="R1558" s="7"/>
      <c r="S1558" s="6"/>
      <c r="T1558" s="6"/>
      <c r="U1558" s="7"/>
      <c r="V1558" s="6"/>
      <c r="W1558" s="6"/>
      <c r="X1558" s="6"/>
      <c r="Y1558" s="6"/>
      <c r="Z1558" s="6"/>
      <c r="AA1558" s="7"/>
      <c r="AB1558" s="6"/>
      <c r="AC1558" s="6"/>
      <c r="AD1558" s="6"/>
      <c r="AE1558" s="12"/>
      <c r="AF1558" s="6"/>
      <c r="AG1558" s="12"/>
      <c r="AH1558" s="6"/>
      <c r="AI1558" s="6"/>
      <c r="AJ1558" s="12"/>
      <c r="AK1558" s="24"/>
      <c r="AL1558" s="25"/>
      <c r="AM1558" s="12"/>
      <c r="AN1558" s="1"/>
      <c r="AO1558" s="6"/>
    </row>
    <row r="1559" spans="1:41" ht="15" x14ac:dyDescent="0.25">
      <c r="A1559" s="1"/>
      <c r="B1559" s="1"/>
      <c r="C1559" s="1"/>
      <c r="D1559" s="1"/>
      <c r="E1559" s="6"/>
      <c r="F1559" s="1"/>
      <c r="G1559" s="6"/>
      <c r="H1559" s="6"/>
      <c r="I1559" s="6"/>
      <c r="J1559" s="6"/>
      <c r="K1559" s="6"/>
      <c r="L1559" s="6"/>
      <c r="M1559" s="6"/>
      <c r="N1559" s="6"/>
      <c r="O1559" s="7"/>
      <c r="P1559" s="6"/>
      <c r="Q1559" s="6"/>
      <c r="R1559" s="7"/>
      <c r="S1559" s="6"/>
      <c r="T1559" s="6"/>
      <c r="U1559" s="7"/>
      <c r="V1559" s="6"/>
      <c r="W1559" s="6"/>
      <c r="X1559" s="6"/>
      <c r="Y1559" s="6"/>
      <c r="Z1559" s="6"/>
      <c r="AA1559" s="7"/>
      <c r="AB1559" s="6"/>
      <c r="AC1559" s="6"/>
      <c r="AD1559" s="6"/>
      <c r="AE1559" s="12"/>
      <c r="AF1559" s="6"/>
      <c r="AG1559" s="12"/>
      <c r="AH1559" s="6"/>
      <c r="AI1559" s="6"/>
      <c r="AJ1559" s="12"/>
      <c r="AK1559" s="24"/>
      <c r="AL1559" s="25"/>
      <c r="AM1559" s="12"/>
      <c r="AN1559" s="1"/>
      <c r="AO1559" s="6"/>
    </row>
    <row r="1560" spans="1:41" ht="15" x14ac:dyDescent="0.25">
      <c r="A1560" s="1"/>
      <c r="B1560" s="1"/>
      <c r="C1560" s="1"/>
      <c r="D1560" s="1"/>
      <c r="E1560" s="6"/>
      <c r="F1560" s="1"/>
      <c r="G1560" s="6"/>
      <c r="H1560" s="6"/>
      <c r="I1560" s="6"/>
      <c r="J1560" s="6"/>
      <c r="K1560" s="6"/>
      <c r="L1560" s="6"/>
      <c r="M1560" s="6"/>
      <c r="N1560" s="6"/>
      <c r="O1560" s="7"/>
      <c r="P1560" s="12"/>
      <c r="Q1560" s="6"/>
      <c r="R1560" s="7"/>
      <c r="S1560" s="6"/>
      <c r="T1560" s="6"/>
      <c r="U1560" s="7"/>
      <c r="V1560" s="6"/>
      <c r="W1560" s="6"/>
      <c r="X1560" s="6"/>
      <c r="Y1560" s="6"/>
      <c r="Z1560" s="6"/>
      <c r="AA1560" s="7"/>
      <c r="AB1560" s="6"/>
      <c r="AC1560" s="6"/>
      <c r="AD1560" s="6"/>
      <c r="AE1560" s="12"/>
      <c r="AF1560" s="6"/>
      <c r="AG1560" s="12"/>
      <c r="AH1560" s="6"/>
      <c r="AI1560" s="6"/>
      <c r="AJ1560" s="12"/>
      <c r="AK1560" s="24"/>
      <c r="AL1560" s="25"/>
      <c r="AM1560" s="12"/>
      <c r="AN1560" s="1"/>
      <c r="AO1560" s="6"/>
    </row>
    <row r="1561" spans="1:41" ht="15" x14ac:dyDescent="0.25">
      <c r="A1561" s="1"/>
      <c r="B1561" s="1"/>
      <c r="C1561" s="1"/>
      <c r="D1561" s="1"/>
      <c r="E1561" s="6"/>
      <c r="F1561" s="1"/>
      <c r="G1561" s="6"/>
      <c r="H1561" s="6"/>
      <c r="I1561" s="6"/>
      <c r="J1561" s="6"/>
      <c r="K1561" s="6"/>
      <c r="L1561" s="6"/>
      <c r="M1561" s="6"/>
      <c r="N1561" s="6"/>
      <c r="O1561" s="7"/>
      <c r="P1561" s="6"/>
      <c r="Q1561" s="6"/>
      <c r="R1561" s="7"/>
      <c r="S1561" s="6"/>
      <c r="T1561" s="6"/>
      <c r="U1561" s="7"/>
      <c r="V1561" s="6"/>
      <c r="W1561" s="6"/>
      <c r="X1561" s="6"/>
      <c r="Y1561" s="6"/>
      <c r="Z1561" s="6"/>
      <c r="AA1561" s="7"/>
      <c r="AB1561" s="6"/>
      <c r="AC1561" s="6"/>
      <c r="AD1561" s="6"/>
      <c r="AE1561" s="12"/>
      <c r="AF1561" s="6"/>
      <c r="AG1561" s="12"/>
      <c r="AH1561" s="6"/>
      <c r="AI1561" s="6"/>
      <c r="AJ1561" s="12"/>
      <c r="AK1561" s="24"/>
      <c r="AL1561" s="25"/>
      <c r="AM1561" s="12"/>
      <c r="AN1561" s="1"/>
      <c r="AO1561" s="6"/>
    </row>
    <row r="1562" spans="1:41" ht="15" x14ac:dyDescent="0.25">
      <c r="A1562" s="1"/>
      <c r="B1562" s="1"/>
      <c r="C1562" s="1"/>
      <c r="D1562" s="1"/>
      <c r="E1562" s="6"/>
      <c r="F1562" s="1"/>
      <c r="G1562" s="6"/>
      <c r="H1562" s="6"/>
      <c r="I1562" s="6"/>
      <c r="J1562" s="6"/>
      <c r="K1562" s="6"/>
      <c r="L1562" s="6"/>
      <c r="M1562" s="6"/>
      <c r="N1562" s="6"/>
      <c r="O1562" s="7"/>
      <c r="P1562" s="6"/>
      <c r="Q1562" s="6"/>
      <c r="R1562" s="7"/>
      <c r="S1562" s="6"/>
      <c r="T1562" s="6"/>
      <c r="U1562" s="7"/>
      <c r="V1562" s="6"/>
      <c r="W1562" s="6"/>
      <c r="X1562" s="6"/>
      <c r="Y1562" s="6"/>
      <c r="Z1562" s="6"/>
      <c r="AA1562" s="7"/>
      <c r="AB1562" s="6"/>
      <c r="AC1562" s="6"/>
      <c r="AD1562" s="6"/>
      <c r="AE1562" s="12"/>
      <c r="AF1562" s="6"/>
      <c r="AG1562" s="12"/>
      <c r="AH1562" s="6"/>
      <c r="AI1562" s="6"/>
      <c r="AJ1562" s="12"/>
      <c r="AK1562" s="1"/>
      <c r="AL1562" s="12"/>
      <c r="AM1562" s="12"/>
      <c r="AN1562" s="1"/>
      <c r="AO1562" s="6"/>
    </row>
    <row r="1563" spans="1:41" ht="15" x14ac:dyDescent="0.25">
      <c r="A1563" s="1"/>
      <c r="B1563" s="1"/>
      <c r="C1563" s="1"/>
      <c r="D1563" s="1"/>
      <c r="E1563" s="6"/>
      <c r="F1563" s="1"/>
      <c r="G1563" s="6"/>
      <c r="H1563" s="6"/>
      <c r="I1563" s="6"/>
      <c r="J1563" s="6"/>
      <c r="K1563" s="6"/>
      <c r="L1563" s="6"/>
      <c r="M1563" s="6"/>
      <c r="N1563" s="6"/>
      <c r="O1563" s="7"/>
      <c r="P1563" s="6"/>
      <c r="Q1563" s="6"/>
      <c r="R1563" s="7"/>
      <c r="S1563" s="6"/>
      <c r="T1563" s="6"/>
      <c r="U1563" s="7"/>
      <c r="V1563" s="6"/>
      <c r="W1563" s="6"/>
      <c r="X1563" s="12"/>
      <c r="Y1563" s="6"/>
      <c r="Z1563" s="6"/>
      <c r="AA1563" s="7"/>
      <c r="AB1563" s="6"/>
      <c r="AC1563" s="6"/>
      <c r="AD1563" s="6"/>
      <c r="AE1563" s="12"/>
      <c r="AF1563" s="12"/>
      <c r="AG1563" s="12"/>
      <c r="AH1563" s="12"/>
      <c r="AI1563" s="6"/>
      <c r="AJ1563" s="12"/>
      <c r="AK1563" s="1"/>
      <c r="AL1563" s="12"/>
      <c r="AM1563" s="12"/>
      <c r="AN1563" s="1"/>
      <c r="AO1563" s="6"/>
    </row>
    <row r="1564" spans="1:41" ht="15" x14ac:dyDescent="0.25">
      <c r="A1564" s="1"/>
      <c r="B1564" s="1"/>
      <c r="C1564" s="1"/>
      <c r="D1564" s="1"/>
      <c r="E1564" s="6"/>
      <c r="F1564" s="1"/>
      <c r="G1564" s="6"/>
      <c r="H1564" s="6"/>
      <c r="I1564" s="6"/>
      <c r="J1564" s="6"/>
      <c r="K1564" s="6"/>
      <c r="L1564" s="6"/>
      <c r="M1564" s="6"/>
      <c r="N1564" s="6"/>
      <c r="O1564" s="7"/>
      <c r="P1564" s="6"/>
      <c r="Q1564" s="6"/>
      <c r="R1564" s="7"/>
      <c r="S1564" s="6"/>
      <c r="T1564" s="6"/>
      <c r="U1564" s="7"/>
      <c r="V1564" s="6"/>
      <c r="W1564" s="6"/>
      <c r="X1564" s="6"/>
      <c r="Y1564" s="6"/>
      <c r="Z1564" s="6"/>
      <c r="AA1564" s="7"/>
      <c r="AB1564" s="6"/>
      <c r="AC1564" s="6"/>
      <c r="AD1564" s="6"/>
      <c r="AE1564" s="12"/>
      <c r="AF1564" s="6"/>
      <c r="AG1564" s="12"/>
      <c r="AH1564" s="6"/>
      <c r="AI1564" s="6"/>
      <c r="AJ1564" s="12"/>
      <c r="AK1564" s="1"/>
      <c r="AL1564" s="12"/>
      <c r="AM1564" s="12"/>
      <c r="AN1564" s="1"/>
      <c r="AO1564" s="6"/>
    </row>
    <row r="1565" spans="1:41" ht="15" x14ac:dyDescent="0.25">
      <c r="A1565" s="1"/>
      <c r="B1565" s="1"/>
      <c r="C1565" s="1"/>
      <c r="D1565" s="1"/>
      <c r="E1565" s="6"/>
      <c r="F1565" s="1"/>
      <c r="G1565" s="6"/>
      <c r="H1565" s="6"/>
      <c r="I1565" s="6"/>
      <c r="J1565" s="6"/>
      <c r="K1565" s="6"/>
      <c r="L1565" s="6"/>
      <c r="M1565" s="6"/>
      <c r="N1565" s="6"/>
      <c r="O1565" s="7"/>
      <c r="P1565" s="12"/>
      <c r="Q1565" s="6"/>
      <c r="R1565" s="7"/>
      <c r="S1565" s="6"/>
      <c r="T1565" s="6"/>
      <c r="U1565" s="7"/>
      <c r="V1565" s="6"/>
      <c r="W1565" s="6"/>
      <c r="X1565" s="6"/>
      <c r="Y1565" s="6"/>
      <c r="Z1565" s="6"/>
      <c r="AA1565" s="7"/>
      <c r="AB1565" s="6"/>
      <c r="AC1565" s="6"/>
      <c r="AD1565" s="6"/>
      <c r="AE1565" s="12"/>
      <c r="AF1565" s="12"/>
      <c r="AG1565" s="12"/>
      <c r="AH1565" s="12"/>
      <c r="AI1565" s="6"/>
      <c r="AJ1565" s="12"/>
      <c r="AK1565" s="1"/>
      <c r="AL1565" s="12"/>
      <c r="AM1565" s="12"/>
      <c r="AN1565" s="1"/>
      <c r="AO1565" s="6"/>
    </row>
    <row r="1566" spans="1:41" ht="15" x14ac:dyDescent="0.25">
      <c r="A1566" s="1"/>
      <c r="B1566" s="1"/>
      <c r="C1566" s="1"/>
      <c r="D1566" s="1"/>
      <c r="E1566" s="6"/>
      <c r="F1566" s="1"/>
      <c r="G1566" s="6"/>
      <c r="H1566" s="6"/>
      <c r="I1566" s="6"/>
      <c r="J1566" s="6"/>
      <c r="K1566" s="6"/>
      <c r="L1566" s="6"/>
      <c r="M1566" s="6"/>
      <c r="N1566" s="6"/>
      <c r="O1566" s="7"/>
      <c r="P1566" s="6"/>
      <c r="Q1566" s="6"/>
      <c r="R1566" s="7"/>
      <c r="S1566" s="6"/>
      <c r="T1566" s="6"/>
      <c r="U1566" s="7"/>
      <c r="V1566" s="6"/>
      <c r="W1566" s="6"/>
      <c r="X1566" s="6"/>
      <c r="Y1566" s="6"/>
      <c r="Z1566" s="6"/>
      <c r="AA1566" s="7"/>
      <c r="AB1566" s="6"/>
      <c r="AC1566" s="6"/>
      <c r="AD1566" s="6"/>
      <c r="AE1566" s="12"/>
      <c r="AF1566" s="12"/>
      <c r="AG1566" s="12"/>
      <c r="AH1566" s="12"/>
      <c r="AI1566" s="6"/>
      <c r="AJ1566" s="12"/>
      <c r="AK1566" s="1"/>
      <c r="AL1566" s="12"/>
      <c r="AM1566" s="12"/>
      <c r="AN1566" s="1"/>
      <c r="AO1566" s="6"/>
    </row>
    <row r="1567" spans="1:41" ht="15" x14ac:dyDescent="0.25">
      <c r="A1567" s="1"/>
      <c r="B1567" s="1"/>
      <c r="C1567" s="1"/>
      <c r="D1567" s="1"/>
      <c r="E1567" s="6"/>
      <c r="F1567" s="1"/>
      <c r="G1567" s="6"/>
      <c r="H1567" s="6"/>
      <c r="I1567" s="6"/>
      <c r="J1567" s="6"/>
      <c r="K1567" s="6"/>
      <c r="L1567" s="6"/>
      <c r="M1567" s="6"/>
      <c r="N1567" s="6"/>
      <c r="O1567" s="7"/>
      <c r="P1567" s="6"/>
      <c r="Q1567" s="6"/>
      <c r="R1567" s="7"/>
      <c r="S1567" s="6"/>
      <c r="T1567" s="6"/>
      <c r="U1567" s="7"/>
      <c r="V1567" s="6"/>
      <c r="W1567" s="6"/>
      <c r="X1567" s="6"/>
      <c r="Y1567" s="6"/>
      <c r="Z1567" s="6"/>
      <c r="AA1567" s="7"/>
      <c r="AB1567" s="6"/>
      <c r="AC1567" s="6"/>
      <c r="AD1567" s="6"/>
      <c r="AE1567" s="12"/>
      <c r="AF1567" s="12"/>
      <c r="AG1567" s="12"/>
      <c r="AH1567" s="12"/>
      <c r="AI1567" s="6"/>
      <c r="AJ1567" s="12"/>
      <c r="AK1567" s="1"/>
      <c r="AL1567" s="12"/>
      <c r="AM1567" s="12"/>
      <c r="AN1567" s="1"/>
      <c r="AO1567" s="6"/>
    </row>
    <row r="1568" spans="1:41" ht="15" x14ac:dyDescent="0.25">
      <c r="A1568" s="1"/>
      <c r="B1568" s="1"/>
      <c r="C1568" s="1"/>
      <c r="D1568" s="1"/>
      <c r="E1568" s="6"/>
      <c r="F1568" s="1"/>
      <c r="G1568" s="6"/>
      <c r="H1568" s="12"/>
      <c r="I1568" s="12"/>
      <c r="J1568" s="6"/>
      <c r="K1568" s="12"/>
      <c r="L1568" s="12"/>
      <c r="M1568" s="6"/>
      <c r="N1568" s="6"/>
      <c r="O1568" s="12"/>
      <c r="P1568" s="12"/>
      <c r="Q1568" s="7"/>
      <c r="R1568" s="12"/>
      <c r="S1568" s="12"/>
      <c r="T1568" s="12"/>
      <c r="U1568" s="6"/>
      <c r="V1568" s="7"/>
      <c r="W1568" s="7"/>
      <c r="X1568" s="6"/>
      <c r="Y1568" s="6"/>
      <c r="Z1568" s="6"/>
      <c r="AA1568" s="24"/>
      <c r="AB1568" s="25"/>
      <c r="AC1568" s="12"/>
      <c r="AD1568" s="12"/>
      <c r="AE1568" s="12"/>
      <c r="AF1568" s="12"/>
      <c r="AG1568" s="12"/>
      <c r="AH1568" s="12"/>
      <c r="AI1568" s="6"/>
      <c r="AJ1568" s="12"/>
      <c r="AK1568" s="12"/>
      <c r="AL1568" s="12"/>
      <c r="AM1568" s="12"/>
      <c r="AN1568" s="1"/>
      <c r="AO1568" s="12"/>
    </row>
    <row r="1569" spans="1:41" ht="15" x14ac:dyDescent="0.25">
      <c r="A1569" s="1"/>
      <c r="B1569" s="1"/>
      <c r="C1569" s="1"/>
      <c r="D1569" s="1"/>
      <c r="E1569" s="6"/>
      <c r="F1569" s="1"/>
      <c r="G1569" s="6"/>
      <c r="H1569" s="6"/>
      <c r="I1569" s="6"/>
      <c r="J1569" s="6"/>
      <c r="K1569" s="6"/>
      <c r="L1569" s="6"/>
      <c r="M1569" s="6"/>
      <c r="N1569" s="6"/>
      <c r="O1569" s="7"/>
      <c r="P1569" s="6"/>
      <c r="Q1569" s="6"/>
      <c r="R1569" s="7"/>
      <c r="S1569" s="6"/>
      <c r="T1569" s="6"/>
      <c r="U1569" s="7"/>
      <c r="V1569" s="6"/>
      <c r="W1569" s="6"/>
      <c r="X1569" s="6"/>
      <c r="Y1569" s="6"/>
      <c r="Z1569" s="6"/>
      <c r="AA1569" s="7"/>
      <c r="AB1569" s="6"/>
      <c r="AC1569" s="6"/>
      <c r="AD1569" s="6"/>
      <c r="AE1569" s="12"/>
      <c r="AF1569" s="6"/>
      <c r="AG1569" s="12"/>
      <c r="AH1569" s="6"/>
      <c r="AI1569" s="6"/>
      <c r="AJ1569" s="12"/>
      <c r="AK1569" s="1"/>
      <c r="AL1569" s="12"/>
      <c r="AM1569" s="12"/>
      <c r="AN1569" s="1"/>
      <c r="AO1569" s="6"/>
    </row>
    <row r="1570" spans="1:41" ht="15" x14ac:dyDescent="0.25">
      <c r="A1570" s="1"/>
      <c r="B1570" s="1"/>
      <c r="C1570" s="1"/>
      <c r="D1570" s="1"/>
      <c r="E1570" s="6"/>
      <c r="F1570" s="1"/>
      <c r="G1570" s="6"/>
      <c r="H1570" s="6"/>
      <c r="I1570" s="6"/>
      <c r="J1570" s="6"/>
      <c r="K1570" s="6"/>
      <c r="L1570" s="6"/>
      <c r="M1570" s="6"/>
      <c r="N1570" s="6"/>
      <c r="O1570" s="7"/>
      <c r="P1570" s="6"/>
      <c r="Q1570" s="6"/>
      <c r="R1570" s="7"/>
      <c r="S1570" s="6"/>
      <c r="T1570" s="6"/>
      <c r="U1570" s="7"/>
      <c r="V1570" s="6"/>
      <c r="W1570" s="6"/>
      <c r="X1570" s="12"/>
      <c r="Y1570" s="6"/>
      <c r="Z1570" s="6"/>
      <c r="AA1570" s="7"/>
      <c r="AB1570" s="6"/>
      <c r="AC1570" s="6"/>
      <c r="AD1570" s="6"/>
      <c r="AE1570" s="12"/>
      <c r="AF1570" s="6"/>
      <c r="AG1570" s="12"/>
      <c r="AH1570" s="6"/>
      <c r="AI1570" s="6"/>
      <c r="AJ1570" s="12"/>
      <c r="AK1570" s="1"/>
      <c r="AL1570" s="12"/>
      <c r="AM1570" s="12"/>
      <c r="AN1570" s="1"/>
      <c r="AO1570" s="6"/>
    </row>
    <row r="1571" spans="1:41" ht="15" x14ac:dyDescent="0.25">
      <c r="A1571" s="1"/>
      <c r="B1571" s="1"/>
      <c r="C1571" s="1"/>
      <c r="D1571" s="1"/>
      <c r="E1571" s="6"/>
      <c r="F1571" s="1"/>
      <c r="G1571" s="6"/>
      <c r="H1571" s="6"/>
      <c r="I1571" s="6"/>
      <c r="J1571" s="6"/>
      <c r="K1571" s="6"/>
      <c r="L1571" s="6"/>
      <c r="M1571" s="6"/>
      <c r="N1571" s="6"/>
      <c r="O1571" s="7"/>
      <c r="P1571" s="6"/>
      <c r="Q1571" s="6"/>
      <c r="R1571" s="7"/>
      <c r="S1571" s="6"/>
      <c r="T1571" s="6"/>
      <c r="U1571" s="7"/>
      <c r="V1571" s="6"/>
      <c r="W1571" s="6"/>
      <c r="X1571" s="6"/>
      <c r="Y1571" s="6"/>
      <c r="Z1571" s="6"/>
      <c r="AA1571" s="7"/>
      <c r="AB1571" s="6"/>
      <c r="AC1571" s="6"/>
      <c r="AD1571" s="6"/>
      <c r="AE1571" s="12"/>
      <c r="AF1571" s="12"/>
      <c r="AG1571" s="12"/>
      <c r="AH1571" s="12"/>
      <c r="AI1571" s="6"/>
      <c r="AJ1571" s="12"/>
      <c r="AK1571" s="1"/>
      <c r="AL1571" s="12"/>
      <c r="AM1571" s="12"/>
      <c r="AN1571" s="1"/>
      <c r="AO1571" s="6"/>
    </row>
    <row r="1572" spans="1:41" ht="15" x14ac:dyDescent="0.25">
      <c r="A1572" s="1"/>
      <c r="B1572" s="1"/>
      <c r="C1572" s="1"/>
      <c r="D1572" s="1"/>
      <c r="E1572" s="6"/>
      <c r="F1572" s="1"/>
      <c r="G1572" s="6"/>
      <c r="H1572" s="6"/>
      <c r="I1572" s="6"/>
      <c r="J1572" s="6"/>
      <c r="K1572" s="6"/>
      <c r="L1572" s="6"/>
      <c r="M1572" s="6"/>
      <c r="N1572" s="6"/>
      <c r="O1572" s="7"/>
      <c r="P1572" s="6"/>
      <c r="Q1572" s="6"/>
      <c r="R1572" s="12"/>
      <c r="S1572" s="12"/>
      <c r="T1572" s="12"/>
      <c r="U1572" s="7"/>
      <c r="V1572" s="12"/>
      <c r="W1572" s="12"/>
      <c r="X1572" s="12"/>
      <c r="Y1572" s="12"/>
      <c r="Z1572" s="6"/>
      <c r="AA1572" s="7"/>
      <c r="AB1572" s="6"/>
      <c r="AC1572" s="6"/>
      <c r="AD1572" s="6"/>
      <c r="AE1572" s="12"/>
      <c r="AF1572" s="12"/>
      <c r="AG1572" s="12"/>
      <c r="AH1572" s="12"/>
      <c r="AI1572" s="6"/>
      <c r="AJ1572" s="12"/>
      <c r="AK1572" s="1"/>
      <c r="AL1572" s="12"/>
      <c r="AM1572" s="12"/>
      <c r="AN1572" s="1"/>
      <c r="AO1572" s="6"/>
    </row>
    <row r="1573" spans="1:41" ht="15" x14ac:dyDescent="0.25">
      <c r="A1573" s="1"/>
      <c r="B1573" s="1"/>
      <c r="C1573" s="1"/>
      <c r="D1573" s="1"/>
      <c r="E1573" s="6"/>
      <c r="F1573" s="1"/>
      <c r="G1573" s="6"/>
      <c r="H1573" s="6"/>
      <c r="I1573" s="6"/>
      <c r="J1573" s="6"/>
      <c r="K1573" s="6"/>
      <c r="L1573" s="6"/>
      <c r="M1573" s="6"/>
      <c r="N1573" s="6"/>
      <c r="O1573" s="7"/>
      <c r="P1573" s="6"/>
      <c r="Q1573" s="6"/>
      <c r="R1573" s="7"/>
      <c r="S1573" s="6"/>
      <c r="T1573" s="6"/>
      <c r="U1573" s="7"/>
      <c r="V1573" s="6"/>
      <c r="W1573" s="6"/>
      <c r="X1573" s="6"/>
      <c r="Y1573" s="6"/>
      <c r="Z1573" s="6"/>
      <c r="AA1573" s="7"/>
      <c r="AB1573" s="6"/>
      <c r="AC1573" s="6"/>
      <c r="AD1573" s="6"/>
      <c r="AE1573" s="12"/>
      <c r="AF1573" s="6"/>
      <c r="AG1573" s="12"/>
      <c r="AH1573" s="6"/>
      <c r="AI1573" s="6"/>
      <c r="AJ1573" s="12"/>
      <c r="AK1573" s="1"/>
      <c r="AL1573" s="12"/>
      <c r="AM1573" s="12"/>
      <c r="AN1573" s="1"/>
      <c r="AO1573" s="6"/>
    </row>
    <row r="1574" spans="1:41" ht="15" x14ac:dyDescent="0.25">
      <c r="A1574" s="1"/>
      <c r="B1574" s="1"/>
      <c r="C1574" s="1"/>
      <c r="D1574" s="1"/>
      <c r="E1574" s="6"/>
      <c r="F1574" s="1"/>
      <c r="G1574" s="6"/>
      <c r="H1574" s="6"/>
      <c r="I1574" s="6"/>
      <c r="J1574" s="6"/>
      <c r="K1574" s="6"/>
      <c r="L1574" s="6"/>
      <c r="M1574" s="6"/>
      <c r="N1574" s="6"/>
      <c r="O1574" s="7"/>
      <c r="P1574" s="6"/>
      <c r="Q1574" s="6"/>
      <c r="R1574" s="7"/>
      <c r="S1574" s="6"/>
      <c r="T1574" s="6"/>
      <c r="U1574" s="7"/>
      <c r="V1574" s="6"/>
      <c r="W1574" s="6"/>
      <c r="X1574" s="6"/>
      <c r="Y1574" s="6"/>
      <c r="Z1574" s="6"/>
      <c r="AA1574" s="7"/>
      <c r="AB1574" s="6"/>
      <c r="AC1574" s="6"/>
      <c r="AD1574" s="6"/>
      <c r="AE1574" s="12"/>
      <c r="AF1574" s="12"/>
      <c r="AG1574" s="12"/>
      <c r="AH1574" s="12"/>
      <c r="AI1574" s="6"/>
      <c r="AJ1574" s="12"/>
      <c r="AK1574" s="1"/>
      <c r="AL1574" s="12"/>
      <c r="AM1574" s="12"/>
      <c r="AN1574" s="1"/>
      <c r="AO1574" s="6"/>
    </row>
    <row r="1575" spans="1:41" ht="15" x14ac:dyDescent="0.25">
      <c r="A1575" s="1"/>
      <c r="B1575" s="1"/>
      <c r="C1575" s="1"/>
      <c r="D1575" s="1"/>
      <c r="E1575" s="6"/>
      <c r="F1575" s="1"/>
      <c r="G1575" s="6"/>
      <c r="H1575" s="6"/>
      <c r="I1575" s="6"/>
      <c r="J1575" s="6"/>
      <c r="K1575" s="6"/>
      <c r="L1575" s="6"/>
      <c r="M1575" s="6"/>
      <c r="N1575" s="6"/>
      <c r="O1575" s="7"/>
      <c r="P1575" s="6"/>
      <c r="Q1575" s="6"/>
      <c r="R1575" s="7"/>
      <c r="S1575" s="6"/>
      <c r="T1575" s="6"/>
      <c r="U1575" s="7"/>
      <c r="V1575" s="6"/>
      <c r="W1575" s="6"/>
      <c r="X1575" s="6"/>
      <c r="Y1575" s="6"/>
      <c r="Z1575" s="6"/>
      <c r="AA1575" s="7"/>
      <c r="AB1575" s="6"/>
      <c r="AC1575" s="6"/>
      <c r="AD1575" s="6"/>
      <c r="AE1575" s="12"/>
      <c r="AF1575" s="6"/>
      <c r="AG1575" s="12"/>
      <c r="AH1575" s="6"/>
      <c r="AI1575" s="6"/>
      <c r="AJ1575" s="12"/>
      <c r="AK1575" s="1"/>
      <c r="AL1575" s="12"/>
      <c r="AM1575" s="12"/>
      <c r="AN1575" s="1"/>
      <c r="AO1575" s="6"/>
    </row>
    <row r="1576" spans="1:41" ht="15" x14ac:dyDescent="0.25">
      <c r="A1576" s="1"/>
      <c r="B1576" s="1"/>
      <c r="C1576" s="1"/>
      <c r="D1576" s="1"/>
      <c r="E1576" s="6"/>
      <c r="F1576" s="1"/>
      <c r="G1576" s="6"/>
      <c r="H1576" s="6"/>
      <c r="I1576" s="6"/>
      <c r="J1576" s="6"/>
      <c r="K1576" s="6"/>
      <c r="L1576" s="6"/>
      <c r="M1576" s="6"/>
      <c r="N1576" s="6"/>
      <c r="O1576" s="7"/>
      <c r="P1576" s="12"/>
      <c r="Q1576" s="6"/>
      <c r="R1576" s="7"/>
      <c r="S1576" s="6"/>
      <c r="T1576" s="6"/>
      <c r="U1576" s="7"/>
      <c r="V1576" s="6"/>
      <c r="W1576" s="6"/>
      <c r="X1576" s="12"/>
      <c r="Y1576" s="6"/>
      <c r="Z1576" s="6"/>
      <c r="AA1576" s="7"/>
      <c r="AB1576" s="6"/>
      <c r="AC1576" s="6"/>
      <c r="AD1576" s="6"/>
      <c r="AE1576" s="12"/>
      <c r="AF1576" s="12"/>
      <c r="AG1576" s="12"/>
      <c r="AH1576" s="12"/>
      <c r="AI1576" s="6"/>
      <c r="AJ1576" s="12"/>
      <c r="AK1576" s="1"/>
      <c r="AL1576" s="12"/>
      <c r="AM1576" s="12"/>
      <c r="AN1576" s="1"/>
      <c r="AO1576" s="6"/>
    </row>
    <row r="1577" spans="1:41" ht="15" x14ac:dyDescent="0.25">
      <c r="A1577" s="1"/>
      <c r="B1577" s="1"/>
      <c r="C1577" s="1"/>
      <c r="D1577" s="1"/>
      <c r="E1577" s="6"/>
      <c r="F1577" s="1"/>
      <c r="G1577" s="6"/>
      <c r="H1577" s="6"/>
      <c r="I1577" s="6"/>
      <c r="J1577" s="6"/>
      <c r="K1577" s="6"/>
      <c r="L1577" s="6"/>
      <c r="M1577" s="6"/>
      <c r="N1577" s="6"/>
      <c r="O1577" s="7"/>
      <c r="P1577" s="6"/>
      <c r="Q1577" s="6"/>
      <c r="R1577" s="7"/>
      <c r="S1577" s="6"/>
      <c r="T1577" s="6"/>
      <c r="U1577" s="7"/>
      <c r="V1577" s="6"/>
      <c r="W1577" s="6"/>
      <c r="X1577" s="6"/>
      <c r="Y1577" s="6"/>
      <c r="Z1577" s="6"/>
      <c r="AA1577" s="7"/>
      <c r="AB1577" s="6"/>
      <c r="AC1577" s="6"/>
      <c r="AD1577" s="6"/>
      <c r="AE1577" s="12"/>
      <c r="AF1577" s="6"/>
      <c r="AG1577" s="12"/>
      <c r="AH1577" s="6"/>
      <c r="AI1577" s="6"/>
      <c r="AJ1577" s="12"/>
      <c r="AK1577" s="24"/>
      <c r="AL1577" s="25"/>
      <c r="AM1577" s="12"/>
      <c r="AN1577" s="1"/>
      <c r="AO1577" s="6"/>
    </row>
    <row r="1578" spans="1:41" ht="15" x14ac:dyDescent="0.25">
      <c r="A1578" s="1"/>
      <c r="B1578" s="1"/>
      <c r="C1578" s="1"/>
      <c r="D1578" s="1"/>
      <c r="E1578" s="6"/>
      <c r="F1578" s="1"/>
      <c r="G1578" s="6"/>
      <c r="H1578" s="6"/>
      <c r="I1578" s="6"/>
      <c r="J1578" s="6"/>
      <c r="K1578" s="6"/>
      <c r="L1578" s="6"/>
      <c r="M1578" s="6"/>
      <c r="N1578" s="6"/>
      <c r="O1578" s="7"/>
      <c r="P1578" s="6"/>
      <c r="Q1578" s="6"/>
      <c r="R1578" s="7"/>
      <c r="S1578" s="6"/>
      <c r="T1578" s="6"/>
      <c r="U1578" s="7"/>
      <c r="V1578" s="6"/>
      <c r="W1578" s="6"/>
      <c r="X1578" s="6"/>
      <c r="Y1578" s="6"/>
      <c r="Z1578" s="6"/>
      <c r="AA1578" s="7"/>
      <c r="AB1578" s="6"/>
      <c r="AC1578" s="6"/>
      <c r="AD1578" s="6"/>
      <c r="AE1578" s="12"/>
      <c r="AF1578" s="12"/>
      <c r="AG1578" s="12"/>
      <c r="AH1578" s="12"/>
      <c r="AI1578" s="6"/>
      <c r="AJ1578" s="12"/>
      <c r="AK1578" s="1"/>
      <c r="AL1578" s="12"/>
      <c r="AM1578" s="12"/>
      <c r="AN1578" s="1"/>
      <c r="AO1578" s="6"/>
    </row>
    <row r="1579" spans="1:41" ht="15" x14ac:dyDescent="0.25">
      <c r="A1579" s="1"/>
      <c r="B1579" s="1"/>
      <c r="C1579" s="1"/>
      <c r="D1579" s="1"/>
      <c r="E1579" s="6"/>
      <c r="F1579" s="1"/>
      <c r="G1579" s="6"/>
      <c r="H1579" s="6"/>
      <c r="I1579" s="6"/>
      <c r="J1579" s="6"/>
      <c r="K1579" s="6"/>
      <c r="L1579" s="6"/>
      <c r="M1579" s="6"/>
      <c r="N1579" s="6"/>
      <c r="O1579" s="7"/>
      <c r="P1579" s="6"/>
      <c r="Q1579" s="6"/>
      <c r="R1579" s="7"/>
      <c r="S1579" s="6"/>
      <c r="T1579" s="6"/>
      <c r="U1579" s="7"/>
      <c r="V1579" s="6"/>
      <c r="W1579" s="6"/>
      <c r="X1579" s="6"/>
      <c r="Y1579" s="6"/>
      <c r="Z1579" s="6"/>
      <c r="AA1579" s="7"/>
      <c r="AB1579" s="6"/>
      <c r="AC1579" s="6"/>
      <c r="AD1579" s="6"/>
      <c r="AE1579" s="12"/>
      <c r="AF1579" s="6"/>
      <c r="AG1579" s="12"/>
      <c r="AH1579" s="6"/>
      <c r="AI1579" s="6"/>
      <c r="AJ1579" s="12"/>
      <c r="AK1579" s="1"/>
      <c r="AL1579" s="12"/>
      <c r="AM1579" s="12"/>
      <c r="AN1579" s="1"/>
      <c r="AO1579" s="6"/>
    </row>
    <row r="1580" spans="1:41" ht="15" x14ac:dyDescent="0.25">
      <c r="A1580" s="1"/>
      <c r="B1580" s="1"/>
      <c r="C1580" s="1"/>
      <c r="D1580" s="1"/>
      <c r="E1580" s="6"/>
      <c r="F1580" s="1"/>
      <c r="G1580" s="6"/>
      <c r="H1580" s="6"/>
      <c r="I1580" s="6"/>
      <c r="J1580" s="6"/>
      <c r="K1580" s="6"/>
      <c r="L1580" s="6"/>
      <c r="M1580" s="6"/>
      <c r="N1580" s="6"/>
      <c r="O1580" s="7"/>
      <c r="P1580" s="6"/>
      <c r="Q1580" s="6"/>
      <c r="R1580" s="7"/>
      <c r="S1580" s="6"/>
      <c r="T1580" s="6"/>
      <c r="U1580" s="7"/>
      <c r="V1580" s="6"/>
      <c r="W1580" s="6"/>
      <c r="X1580" s="6"/>
      <c r="Y1580" s="6"/>
      <c r="Z1580" s="6"/>
      <c r="AA1580" s="7"/>
      <c r="AB1580" s="6"/>
      <c r="AC1580" s="6"/>
      <c r="AD1580" s="6"/>
      <c r="AE1580" s="12"/>
      <c r="AF1580" s="6"/>
      <c r="AG1580" s="12"/>
      <c r="AH1580" s="6"/>
      <c r="AI1580" s="6"/>
      <c r="AJ1580" s="12"/>
      <c r="AK1580" s="24"/>
      <c r="AL1580" s="25"/>
      <c r="AM1580" s="12"/>
      <c r="AN1580" s="1"/>
      <c r="AO1580" s="6"/>
    </row>
    <row r="1581" spans="1:41" ht="15" x14ac:dyDescent="0.25">
      <c r="A1581" s="1"/>
      <c r="B1581" s="1"/>
      <c r="C1581" s="1"/>
      <c r="D1581" s="1"/>
      <c r="E1581" s="6"/>
      <c r="F1581" s="1"/>
      <c r="G1581" s="6"/>
      <c r="H1581" s="6"/>
      <c r="I1581" s="6"/>
      <c r="J1581" s="6"/>
      <c r="K1581" s="6"/>
      <c r="L1581" s="6"/>
      <c r="M1581" s="6"/>
      <c r="N1581" s="6"/>
      <c r="O1581" s="7"/>
      <c r="P1581" s="6"/>
      <c r="Q1581" s="6"/>
      <c r="R1581" s="7"/>
      <c r="S1581" s="6"/>
      <c r="T1581" s="6"/>
      <c r="U1581" s="7"/>
      <c r="V1581" s="6"/>
      <c r="W1581" s="6"/>
      <c r="X1581" s="6"/>
      <c r="Y1581" s="6"/>
      <c r="Z1581" s="6"/>
      <c r="AA1581" s="7"/>
      <c r="AB1581" s="6"/>
      <c r="AC1581" s="6"/>
      <c r="AD1581" s="6"/>
      <c r="AE1581" s="12"/>
      <c r="AF1581" s="6"/>
      <c r="AG1581" s="12"/>
      <c r="AH1581" s="6"/>
      <c r="AI1581" s="6"/>
      <c r="AJ1581" s="12"/>
      <c r="AK1581" s="24"/>
      <c r="AL1581" s="25"/>
      <c r="AM1581" s="12"/>
      <c r="AN1581" s="1"/>
      <c r="AO1581" s="6"/>
    </row>
    <row r="1582" spans="1:41" ht="15" x14ac:dyDescent="0.25">
      <c r="A1582" s="1"/>
      <c r="B1582" s="1"/>
      <c r="C1582" s="1"/>
      <c r="D1582" s="1"/>
      <c r="E1582" s="6"/>
      <c r="F1582" s="1"/>
      <c r="G1582" s="6"/>
      <c r="H1582" s="6"/>
      <c r="I1582" s="6"/>
      <c r="J1582" s="6"/>
      <c r="K1582" s="6"/>
      <c r="L1582" s="6"/>
      <c r="M1582" s="6"/>
      <c r="N1582" s="6"/>
      <c r="O1582" s="7"/>
      <c r="P1582" s="12"/>
      <c r="Q1582" s="6"/>
      <c r="R1582" s="7"/>
      <c r="S1582" s="6"/>
      <c r="T1582" s="6"/>
      <c r="U1582" s="7"/>
      <c r="V1582" s="6"/>
      <c r="W1582" s="6"/>
      <c r="X1582" s="6"/>
      <c r="Y1582" s="6"/>
      <c r="Z1582" s="6"/>
      <c r="AA1582" s="7"/>
      <c r="AB1582" s="6"/>
      <c r="AC1582" s="6"/>
      <c r="AD1582" s="6"/>
      <c r="AE1582" s="12"/>
      <c r="AF1582" s="12"/>
      <c r="AG1582" s="12"/>
      <c r="AH1582" s="12"/>
      <c r="AI1582" s="6"/>
      <c r="AJ1582" s="12"/>
      <c r="AK1582" s="1"/>
      <c r="AL1582" s="12"/>
      <c r="AM1582" s="12"/>
      <c r="AN1582" s="1"/>
      <c r="AO1582" s="6"/>
    </row>
    <row r="1583" spans="1:41" ht="15" x14ac:dyDescent="0.25">
      <c r="A1583" s="1"/>
      <c r="B1583" s="1"/>
      <c r="C1583" s="1"/>
      <c r="D1583" s="1"/>
      <c r="E1583" s="6"/>
      <c r="F1583" s="1"/>
      <c r="G1583" s="6"/>
      <c r="H1583" s="6"/>
      <c r="I1583" s="6"/>
      <c r="J1583" s="6"/>
      <c r="K1583" s="6"/>
      <c r="L1583" s="6"/>
      <c r="M1583" s="6"/>
      <c r="N1583" s="6"/>
      <c r="O1583" s="7"/>
      <c r="P1583" s="6"/>
      <c r="Q1583" s="6"/>
      <c r="R1583" s="7"/>
      <c r="S1583" s="6"/>
      <c r="T1583" s="6"/>
      <c r="U1583" s="7"/>
      <c r="V1583" s="6"/>
      <c r="W1583" s="6"/>
      <c r="X1583" s="12"/>
      <c r="Y1583" s="6"/>
      <c r="Z1583" s="6"/>
      <c r="AA1583" s="7"/>
      <c r="AB1583" s="6"/>
      <c r="AC1583" s="6"/>
      <c r="AD1583" s="6"/>
      <c r="AE1583" s="12"/>
      <c r="AF1583" s="6"/>
      <c r="AG1583" s="12"/>
      <c r="AH1583" s="6"/>
      <c r="AI1583" s="6"/>
      <c r="AJ1583" s="12"/>
      <c r="AK1583" s="1"/>
      <c r="AL1583" s="12"/>
      <c r="AM1583" s="12"/>
      <c r="AN1583" s="1"/>
      <c r="AO1583" s="6"/>
    </row>
    <row r="1584" spans="1:41" ht="15" x14ac:dyDescent="0.25">
      <c r="A1584" s="1"/>
      <c r="B1584" s="1"/>
      <c r="C1584" s="1"/>
      <c r="D1584" s="1"/>
      <c r="E1584" s="6"/>
      <c r="F1584" s="1"/>
      <c r="G1584" s="6"/>
      <c r="H1584" s="6"/>
      <c r="I1584" s="6"/>
      <c r="J1584" s="6"/>
      <c r="K1584" s="6"/>
      <c r="L1584" s="6"/>
      <c r="M1584" s="6"/>
      <c r="N1584" s="6"/>
      <c r="O1584" s="7"/>
      <c r="P1584" s="6"/>
      <c r="Q1584" s="6"/>
      <c r="R1584" s="7"/>
      <c r="S1584" s="6"/>
      <c r="T1584" s="6"/>
      <c r="U1584" s="7"/>
      <c r="V1584" s="6"/>
      <c r="W1584" s="6"/>
      <c r="X1584" s="6"/>
      <c r="Y1584" s="6"/>
      <c r="Z1584" s="6"/>
      <c r="AA1584" s="7"/>
      <c r="AB1584" s="6"/>
      <c r="AC1584" s="6"/>
      <c r="AD1584" s="6"/>
      <c r="AE1584" s="12"/>
      <c r="AF1584" s="6"/>
      <c r="AG1584" s="12"/>
      <c r="AH1584" s="6"/>
      <c r="AI1584" s="6"/>
      <c r="AJ1584" s="12"/>
      <c r="AK1584" s="1"/>
      <c r="AL1584" s="12"/>
      <c r="AM1584" s="12"/>
      <c r="AN1584" s="1"/>
      <c r="AO1584" s="6"/>
    </row>
    <row r="1585" spans="1:41" ht="15" x14ac:dyDescent="0.25">
      <c r="A1585" s="1"/>
      <c r="B1585" s="1"/>
      <c r="C1585" s="1"/>
      <c r="D1585" s="1"/>
      <c r="E1585" s="6"/>
      <c r="F1585" s="1"/>
      <c r="G1585" s="6"/>
      <c r="H1585" s="6"/>
      <c r="I1585" s="6"/>
      <c r="J1585" s="6"/>
      <c r="K1585" s="6"/>
      <c r="L1585" s="6"/>
      <c r="M1585" s="6"/>
      <c r="N1585" s="6"/>
      <c r="O1585" s="7"/>
      <c r="P1585" s="6"/>
      <c r="Q1585" s="6"/>
      <c r="R1585" s="7"/>
      <c r="S1585" s="6"/>
      <c r="T1585" s="6"/>
      <c r="U1585" s="7"/>
      <c r="V1585" s="6"/>
      <c r="W1585" s="6"/>
      <c r="X1585" s="12"/>
      <c r="Y1585" s="6"/>
      <c r="Z1585" s="6"/>
      <c r="AA1585" s="7"/>
      <c r="AB1585" s="6"/>
      <c r="AC1585" s="6"/>
      <c r="AD1585" s="6"/>
      <c r="AE1585" s="12"/>
      <c r="AF1585" s="12"/>
      <c r="AG1585" s="12"/>
      <c r="AH1585" s="12"/>
      <c r="AI1585" s="6"/>
      <c r="AJ1585" s="12"/>
      <c r="AK1585" s="1"/>
      <c r="AL1585" s="12"/>
      <c r="AM1585" s="12"/>
      <c r="AN1585" s="1"/>
      <c r="AO1585" s="6"/>
    </row>
    <row r="1586" spans="1:41" ht="15" x14ac:dyDescent="0.25">
      <c r="A1586" s="1"/>
      <c r="B1586" s="1"/>
      <c r="C1586" s="1"/>
      <c r="D1586" s="1"/>
      <c r="E1586" s="6"/>
      <c r="F1586" s="1"/>
      <c r="G1586" s="6"/>
      <c r="H1586" s="6"/>
      <c r="I1586" s="6"/>
      <c r="J1586" s="6"/>
      <c r="K1586" s="6"/>
      <c r="L1586" s="6"/>
      <c r="M1586" s="6"/>
      <c r="N1586" s="6"/>
      <c r="O1586" s="7"/>
      <c r="P1586" s="12"/>
      <c r="Q1586" s="6"/>
      <c r="R1586" s="7"/>
      <c r="S1586" s="6"/>
      <c r="T1586" s="6"/>
      <c r="U1586" s="7"/>
      <c r="V1586" s="6"/>
      <c r="W1586" s="6"/>
      <c r="X1586" s="6"/>
      <c r="Y1586" s="6"/>
      <c r="Z1586" s="6"/>
      <c r="AA1586" s="7"/>
      <c r="AB1586" s="6"/>
      <c r="AC1586" s="6"/>
      <c r="AD1586" s="6"/>
      <c r="AE1586" s="12"/>
      <c r="AF1586" s="6"/>
      <c r="AG1586" s="12"/>
      <c r="AH1586" s="6"/>
      <c r="AI1586" s="6"/>
      <c r="AJ1586" s="12"/>
      <c r="AK1586" s="1"/>
      <c r="AL1586" s="12"/>
      <c r="AM1586" s="12"/>
      <c r="AN1586" s="1"/>
      <c r="AO1586" s="6"/>
    </row>
    <row r="1587" spans="1:41" ht="15" x14ac:dyDescent="0.25">
      <c r="A1587" s="1"/>
      <c r="B1587" s="1"/>
      <c r="C1587" s="1"/>
      <c r="D1587" s="1"/>
      <c r="E1587" s="6"/>
      <c r="F1587" s="1"/>
      <c r="G1587" s="6"/>
      <c r="H1587" s="6"/>
      <c r="I1587" s="6"/>
      <c r="J1587" s="6"/>
      <c r="K1587" s="6"/>
      <c r="L1587" s="6"/>
      <c r="M1587" s="6"/>
      <c r="N1587" s="6"/>
      <c r="O1587" s="7"/>
      <c r="P1587" s="12"/>
      <c r="Q1587" s="6"/>
      <c r="R1587" s="7"/>
      <c r="S1587" s="6"/>
      <c r="T1587" s="6"/>
      <c r="U1587" s="7"/>
      <c r="V1587" s="6"/>
      <c r="W1587" s="6"/>
      <c r="X1587" s="6"/>
      <c r="Y1587" s="6"/>
      <c r="Z1587" s="6"/>
      <c r="AA1587" s="7"/>
      <c r="AB1587" s="6"/>
      <c r="AC1587" s="6"/>
      <c r="AD1587" s="6"/>
      <c r="AE1587" s="12"/>
      <c r="AF1587" s="12"/>
      <c r="AG1587" s="12"/>
      <c r="AH1587" s="12"/>
      <c r="AI1587" s="6"/>
      <c r="AJ1587" s="12"/>
      <c r="AK1587" s="1"/>
      <c r="AL1587" s="12"/>
      <c r="AM1587" s="12"/>
      <c r="AN1587" s="1"/>
      <c r="AO1587" s="6"/>
    </row>
    <row r="1588" spans="1:41" ht="15" x14ac:dyDescent="0.25">
      <c r="A1588" s="1"/>
      <c r="B1588" s="1"/>
      <c r="C1588" s="1"/>
      <c r="D1588" s="1"/>
      <c r="E1588" s="6"/>
      <c r="F1588" s="1"/>
      <c r="G1588" s="6"/>
      <c r="H1588" s="6"/>
      <c r="I1588" s="6"/>
      <c r="J1588" s="6"/>
      <c r="K1588" s="6"/>
      <c r="L1588" s="6"/>
      <c r="M1588" s="6"/>
      <c r="N1588" s="6"/>
      <c r="O1588" s="7"/>
      <c r="P1588" s="6"/>
      <c r="Q1588" s="6"/>
      <c r="R1588" s="7"/>
      <c r="S1588" s="6"/>
      <c r="T1588" s="6"/>
      <c r="U1588" s="7"/>
      <c r="V1588" s="6"/>
      <c r="W1588" s="6"/>
      <c r="X1588" s="6"/>
      <c r="Y1588" s="6"/>
      <c r="Z1588" s="6"/>
      <c r="AA1588" s="7"/>
      <c r="AB1588" s="6"/>
      <c r="AC1588" s="6"/>
      <c r="AD1588" s="6"/>
      <c r="AE1588" s="12"/>
      <c r="AF1588" s="12"/>
      <c r="AG1588" s="12"/>
      <c r="AH1588" s="12"/>
      <c r="AI1588" s="6"/>
      <c r="AJ1588" s="12"/>
      <c r="AK1588" s="1"/>
      <c r="AL1588" s="12"/>
      <c r="AM1588" s="12"/>
      <c r="AN1588" s="1"/>
      <c r="AO1588" s="6"/>
    </row>
    <row r="1589" spans="1:41" ht="15" x14ac:dyDescent="0.25">
      <c r="A1589" s="1"/>
      <c r="B1589" s="1"/>
      <c r="C1589" s="1"/>
      <c r="D1589" s="1"/>
      <c r="E1589" s="6"/>
      <c r="F1589" s="1"/>
      <c r="G1589" s="6"/>
      <c r="H1589" s="6"/>
      <c r="I1589" s="6"/>
      <c r="J1589" s="6"/>
      <c r="K1589" s="6"/>
      <c r="L1589" s="6"/>
      <c r="M1589" s="6"/>
      <c r="N1589" s="6"/>
      <c r="O1589" s="7"/>
      <c r="P1589" s="6"/>
      <c r="Q1589" s="6"/>
      <c r="R1589" s="7"/>
      <c r="S1589" s="6"/>
      <c r="T1589" s="6"/>
      <c r="U1589" s="7"/>
      <c r="V1589" s="6"/>
      <c r="W1589" s="6"/>
      <c r="X1589" s="6"/>
      <c r="Y1589" s="6"/>
      <c r="Z1589" s="6"/>
      <c r="AA1589" s="7"/>
      <c r="AB1589" s="6"/>
      <c r="AC1589" s="6"/>
      <c r="AD1589" s="6"/>
      <c r="AE1589" s="12"/>
      <c r="AF1589" s="12"/>
      <c r="AG1589" s="12"/>
      <c r="AH1589" s="12"/>
      <c r="AI1589" s="6"/>
      <c r="AJ1589" s="12"/>
      <c r="AK1589" s="1"/>
      <c r="AL1589" s="12"/>
      <c r="AM1589" s="12"/>
      <c r="AN1589" s="1"/>
      <c r="AO1589" s="6"/>
    </row>
    <row r="1590" spans="1:41" ht="15" x14ac:dyDescent="0.25">
      <c r="A1590" s="1"/>
      <c r="B1590" s="1"/>
      <c r="C1590" s="1"/>
      <c r="D1590" s="1"/>
      <c r="E1590" s="6"/>
      <c r="F1590" s="1"/>
      <c r="G1590" s="6"/>
      <c r="H1590" s="6"/>
      <c r="I1590" s="6"/>
      <c r="J1590" s="6"/>
      <c r="K1590" s="6"/>
      <c r="L1590" s="6"/>
      <c r="M1590" s="6"/>
      <c r="N1590" s="6"/>
      <c r="O1590" s="7"/>
      <c r="P1590" s="6"/>
      <c r="Q1590" s="6"/>
      <c r="R1590" s="7"/>
      <c r="S1590" s="6"/>
      <c r="T1590" s="6"/>
      <c r="U1590" s="7"/>
      <c r="V1590" s="6"/>
      <c r="W1590" s="6"/>
      <c r="X1590" s="6"/>
      <c r="Y1590" s="6"/>
      <c r="Z1590" s="6"/>
      <c r="AA1590" s="7"/>
      <c r="AB1590" s="6"/>
      <c r="AC1590" s="6"/>
      <c r="AD1590" s="6"/>
      <c r="AE1590" s="12"/>
      <c r="AF1590" s="6"/>
      <c r="AG1590" s="12"/>
      <c r="AH1590" s="6"/>
      <c r="AI1590" s="6"/>
      <c r="AJ1590" s="12"/>
      <c r="AK1590" s="24"/>
      <c r="AL1590" s="25"/>
      <c r="AM1590" s="12"/>
      <c r="AN1590" s="1"/>
      <c r="AO1590" s="6"/>
    </row>
    <row r="1591" spans="1:41" ht="15" x14ac:dyDescent="0.25">
      <c r="A1591" s="1"/>
      <c r="B1591" s="1"/>
      <c r="C1591" s="1"/>
      <c r="D1591" s="1"/>
      <c r="E1591" s="6"/>
      <c r="F1591" s="1"/>
      <c r="G1591" s="6"/>
      <c r="H1591" s="6"/>
      <c r="I1591" s="6"/>
      <c r="J1591" s="6"/>
      <c r="K1591" s="6"/>
      <c r="L1591" s="6"/>
      <c r="M1591" s="6"/>
      <c r="N1591" s="6"/>
      <c r="O1591" s="7"/>
      <c r="P1591" s="6"/>
      <c r="Q1591" s="6"/>
      <c r="R1591" s="7"/>
      <c r="S1591" s="6"/>
      <c r="T1591" s="6"/>
      <c r="U1591" s="7"/>
      <c r="V1591" s="6"/>
      <c r="W1591" s="6"/>
      <c r="X1591" s="6"/>
      <c r="Y1591" s="6"/>
      <c r="Z1591" s="6"/>
      <c r="AA1591" s="7"/>
      <c r="AB1591" s="6"/>
      <c r="AC1591" s="6"/>
      <c r="AD1591" s="6"/>
      <c r="AE1591" s="12"/>
      <c r="AF1591" s="6"/>
      <c r="AG1591" s="12"/>
      <c r="AH1591" s="6"/>
      <c r="AI1591" s="6"/>
      <c r="AJ1591" s="12"/>
      <c r="AK1591" s="1"/>
      <c r="AL1591" s="12"/>
      <c r="AM1591" s="12"/>
      <c r="AN1591" s="1"/>
      <c r="AO1591" s="6"/>
    </row>
    <row r="1592" spans="1:41" ht="15" x14ac:dyDescent="0.25">
      <c r="A1592" s="1"/>
      <c r="B1592" s="1"/>
      <c r="C1592" s="1"/>
      <c r="D1592" s="1"/>
      <c r="E1592" s="6"/>
      <c r="F1592" s="1"/>
      <c r="G1592" s="6"/>
      <c r="H1592" s="6"/>
      <c r="I1592" s="6"/>
      <c r="J1592" s="6"/>
      <c r="K1592" s="6"/>
      <c r="L1592" s="6"/>
      <c r="M1592" s="6"/>
      <c r="N1592" s="6"/>
      <c r="O1592" s="7"/>
      <c r="P1592" s="6"/>
      <c r="Q1592" s="6"/>
      <c r="R1592" s="7"/>
      <c r="S1592" s="6"/>
      <c r="T1592" s="6"/>
      <c r="U1592" s="7"/>
      <c r="V1592" s="6"/>
      <c r="W1592" s="6"/>
      <c r="X1592" s="6"/>
      <c r="Y1592" s="6"/>
      <c r="Z1592" s="6"/>
      <c r="AA1592" s="7"/>
      <c r="AB1592" s="6"/>
      <c r="AC1592" s="6"/>
      <c r="AD1592" s="6"/>
      <c r="AE1592" s="12"/>
      <c r="AF1592" s="6"/>
      <c r="AG1592" s="12"/>
      <c r="AH1592" s="6"/>
      <c r="AI1592" s="6"/>
      <c r="AJ1592" s="12"/>
      <c r="AK1592" s="24"/>
      <c r="AL1592" s="25"/>
      <c r="AM1592" s="12"/>
      <c r="AN1592" s="1"/>
      <c r="AO1592" s="6"/>
    </row>
    <row r="1593" spans="1:41" ht="15" x14ac:dyDescent="0.25">
      <c r="A1593" s="1"/>
      <c r="B1593" s="1"/>
      <c r="C1593" s="1"/>
      <c r="D1593" s="1"/>
      <c r="E1593" s="6"/>
      <c r="F1593" s="1"/>
      <c r="G1593" s="6"/>
      <c r="H1593" s="6"/>
      <c r="I1593" s="6"/>
      <c r="J1593" s="6"/>
      <c r="K1593" s="6"/>
      <c r="L1593" s="6"/>
      <c r="M1593" s="6"/>
      <c r="N1593" s="6"/>
      <c r="O1593" s="7"/>
      <c r="P1593" s="6"/>
      <c r="Q1593" s="6"/>
      <c r="R1593" s="7"/>
      <c r="S1593" s="6"/>
      <c r="T1593" s="6"/>
      <c r="U1593" s="7"/>
      <c r="V1593" s="6"/>
      <c r="W1593" s="6"/>
      <c r="X1593" s="6"/>
      <c r="Y1593" s="6"/>
      <c r="Z1593" s="6"/>
      <c r="AA1593" s="7"/>
      <c r="AB1593" s="6"/>
      <c r="AC1593" s="6"/>
      <c r="AD1593" s="6"/>
      <c r="AE1593" s="12"/>
      <c r="AF1593" s="12"/>
      <c r="AG1593" s="12"/>
      <c r="AH1593" s="12"/>
      <c r="AI1593" s="6"/>
      <c r="AJ1593" s="12"/>
      <c r="AK1593" s="1"/>
      <c r="AL1593" s="12"/>
      <c r="AM1593" s="12"/>
      <c r="AN1593" s="1"/>
      <c r="AO1593" s="6"/>
    </row>
    <row r="1594" spans="1:41" ht="15" x14ac:dyDescent="0.25">
      <c r="A1594" s="1"/>
      <c r="B1594" s="1"/>
      <c r="C1594" s="1"/>
      <c r="D1594" s="1"/>
      <c r="E1594" s="6"/>
      <c r="F1594" s="1"/>
      <c r="G1594" s="6"/>
      <c r="H1594" s="6"/>
      <c r="I1594" s="6"/>
      <c r="J1594" s="6"/>
      <c r="K1594" s="6"/>
      <c r="L1594" s="6"/>
      <c r="M1594" s="6"/>
      <c r="N1594" s="6"/>
      <c r="O1594" s="7"/>
      <c r="P1594" s="6"/>
      <c r="Q1594" s="6"/>
      <c r="R1594" s="7"/>
      <c r="S1594" s="6"/>
      <c r="T1594" s="6"/>
      <c r="U1594" s="7"/>
      <c r="V1594" s="6"/>
      <c r="W1594" s="6"/>
      <c r="X1594" s="6"/>
      <c r="Y1594" s="6"/>
      <c r="Z1594" s="6"/>
      <c r="AA1594" s="7"/>
      <c r="AB1594" s="6"/>
      <c r="AC1594" s="6"/>
      <c r="AD1594" s="6"/>
      <c r="AE1594" s="12"/>
      <c r="AF1594" s="6"/>
      <c r="AG1594" s="12"/>
      <c r="AH1594" s="6"/>
      <c r="AI1594" s="6"/>
      <c r="AJ1594" s="12"/>
      <c r="AK1594" s="1"/>
      <c r="AL1594" s="12"/>
      <c r="AM1594" s="12"/>
      <c r="AN1594" s="1"/>
      <c r="AO1594" s="6"/>
    </row>
    <row r="1595" spans="1:41" ht="15" x14ac:dyDescent="0.25">
      <c r="A1595" s="1"/>
      <c r="B1595" s="1"/>
      <c r="C1595" s="1"/>
      <c r="D1595" s="1"/>
      <c r="E1595" s="6"/>
      <c r="F1595" s="1"/>
      <c r="G1595" s="6"/>
      <c r="H1595" s="6"/>
      <c r="I1595" s="6"/>
      <c r="J1595" s="6"/>
      <c r="K1595" s="12"/>
      <c r="L1595" s="12"/>
      <c r="M1595" s="6"/>
      <c r="N1595" s="6"/>
      <c r="O1595" s="7"/>
      <c r="P1595" s="6"/>
      <c r="Q1595" s="6"/>
      <c r="R1595" s="7"/>
      <c r="S1595" s="6"/>
      <c r="T1595" s="6"/>
      <c r="U1595" s="7"/>
      <c r="V1595" s="6"/>
      <c r="W1595" s="6"/>
      <c r="X1595" s="6"/>
      <c r="Y1595" s="6"/>
      <c r="Z1595" s="6"/>
      <c r="AA1595" s="7"/>
      <c r="AB1595" s="6"/>
      <c r="AC1595" s="6"/>
      <c r="AD1595" s="6"/>
      <c r="AE1595" s="12"/>
      <c r="AF1595" s="12"/>
      <c r="AG1595" s="12"/>
      <c r="AH1595" s="12"/>
      <c r="AI1595" s="6"/>
      <c r="AJ1595" s="12"/>
      <c r="AK1595" s="1"/>
      <c r="AL1595" s="12"/>
      <c r="AM1595" s="12"/>
      <c r="AN1595" s="1"/>
      <c r="AO1595" s="6"/>
    </row>
    <row r="1596" spans="1:41" ht="15" x14ac:dyDescent="0.25">
      <c r="A1596" s="1"/>
      <c r="B1596" s="1"/>
      <c r="C1596" s="1"/>
      <c r="D1596" s="1"/>
      <c r="E1596" s="6"/>
      <c r="F1596" s="1"/>
      <c r="G1596" s="6"/>
      <c r="H1596" s="6"/>
      <c r="I1596" s="6"/>
      <c r="J1596" s="6"/>
      <c r="K1596" s="6"/>
      <c r="L1596" s="6"/>
      <c r="M1596" s="6"/>
      <c r="N1596" s="6"/>
      <c r="O1596" s="7"/>
      <c r="P1596" s="6"/>
      <c r="Q1596" s="6"/>
      <c r="R1596" s="7"/>
      <c r="S1596" s="6"/>
      <c r="T1596" s="6"/>
      <c r="U1596" s="7"/>
      <c r="V1596" s="6"/>
      <c r="W1596" s="6"/>
      <c r="X1596" s="6"/>
      <c r="Y1596" s="6"/>
      <c r="Z1596" s="6"/>
      <c r="AA1596" s="7"/>
      <c r="AB1596" s="6"/>
      <c r="AC1596" s="6"/>
      <c r="AD1596" s="6"/>
      <c r="AE1596" s="12"/>
      <c r="AF1596" s="6"/>
      <c r="AG1596" s="12"/>
      <c r="AH1596" s="6"/>
      <c r="AI1596" s="6"/>
      <c r="AJ1596" s="12"/>
      <c r="AK1596" s="1"/>
      <c r="AL1596" s="12"/>
      <c r="AM1596" s="12"/>
      <c r="AN1596" s="1"/>
      <c r="AO1596" s="6"/>
    </row>
    <row r="1597" spans="1:41" ht="15" x14ac:dyDescent="0.25">
      <c r="A1597" s="1"/>
      <c r="B1597" s="1"/>
      <c r="C1597" s="1"/>
      <c r="D1597" s="1"/>
      <c r="E1597" s="6"/>
      <c r="F1597" s="1"/>
      <c r="G1597" s="6"/>
      <c r="H1597" s="6"/>
      <c r="I1597" s="6"/>
      <c r="J1597" s="6"/>
      <c r="K1597" s="6"/>
      <c r="L1597" s="6"/>
      <c r="M1597" s="6"/>
      <c r="N1597" s="6"/>
      <c r="O1597" s="7"/>
      <c r="P1597" s="12"/>
      <c r="Q1597" s="6"/>
      <c r="R1597" s="7"/>
      <c r="S1597" s="6"/>
      <c r="T1597" s="6"/>
      <c r="U1597" s="7"/>
      <c r="V1597" s="6"/>
      <c r="W1597" s="6"/>
      <c r="X1597" s="6"/>
      <c r="Y1597" s="6"/>
      <c r="Z1597" s="6"/>
      <c r="AA1597" s="7"/>
      <c r="AB1597" s="6"/>
      <c r="AC1597" s="6"/>
      <c r="AD1597" s="6"/>
      <c r="AE1597" s="12"/>
      <c r="AF1597" s="6"/>
      <c r="AG1597" s="12"/>
      <c r="AH1597" s="6"/>
      <c r="AI1597" s="6"/>
      <c r="AJ1597" s="12"/>
      <c r="AK1597" s="24"/>
      <c r="AL1597" s="25"/>
      <c r="AM1597" s="12"/>
      <c r="AN1597" s="1"/>
      <c r="AO1597" s="6"/>
    </row>
    <row r="1598" spans="1:41" ht="15" x14ac:dyDescent="0.25">
      <c r="A1598" s="1"/>
      <c r="B1598" s="1"/>
      <c r="C1598" s="1"/>
      <c r="D1598" s="1"/>
      <c r="E1598" s="6"/>
      <c r="F1598" s="1"/>
      <c r="G1598" s="6"/>
      <c r="H1598" s="6"/>
      <c r="I1598" s="6"/>
      <c r="J1598" s="6"/>
      <c r="K1598" s="6"/>
      <c r="L1598" s="6"/>
      <c r="M1598" s="6"/>
      <c r="N1598" s="6"/>
      <c r="O1598" s="7"/>
      <c r="P1598" s="6"/>
      <c r="Q1598" s="6"/>
      <c r="R1598" s="7"/>
      <c r="S1598" s="6"/>
      <c r="T1598" s="6"/>
      <c r="U1598" s="7"/>
      <c r="V1598" s="6"/>
      <c r="W1598" s="6"/>
      <c r="X1598" s="6"/>
      <c r="Y1598" s="6"/>
      <c r="Z1598" s="6"/>
      <c r="AA1598" s="7"/>
      <c r="AB1598" s="6"/>
      <c r="AC1598" s="6"/>
      <c r="AD1598" s="6"/>
      <c r="AE1598" s="12"/>
      <c r="AF1598" s="6"/>
      <c r="AG1598" s="12"/>
      <c r="AH1598" s="6"/>
      <c r="AI1598" s="6"/>
      <c r="AJ1598" s="12"/>
      <c r="AK1598" s="24"/>
      <c r="AL1598" s="25"/>
      <c r="AM1598" s="12"/>
      <c r="AN1598" s="1"/>
      <c r="AO1598" s="6"/>
    </row>
    <row r="1599" spans="1:41" ht="15" x14ac:dyDescent="0.25">
      <c r="A1599" s="1"/>
      <c r="B1599" s="1"/>
      <c r="C1599" s="1"/>
      <c r="D1599" s="1"/>
      <c r="E1599" s="6"/>
      <c r="F1599" s="1"/>
      <c r="G1599" s="6"/>
      <c r="H1599" s="6"/>
      <c r="I1599" s="6"/>
      <c r="J1599" s="6"/>
      <c r="K1599" s="6"/>
      <c r="L1599" s="6"/>
      <c r="M1599" s="6"/>
      <c r="N1599" s="6"/>
      <c r="O1599" s="7"/>
      <c r="P1599" s="6"/>
      <c r="Q1599" s="6"/>
      <c r="R1599" s="7"/>
      <c r="S1599" s="6"/>
      <c r="T1599" s="6"/>
      <c r="U1599" s="7"/>
      <c r="V1599" s="6"/>
      <c r="W1599" s="6"/>
      <c r="X1599" s="12"/>
      <c r="Y1599" s="6"/>
      <c r="Z1599" s="6"/>
      <c r="AA1599" s="7"/>
      <c r="AB1599" s="6"/>
      <c r="AC1599" s="6"/>
      <c r="AD1599" s="6"/>
      <c r="AE1599" s="12"/>
      <c r="AF1599" s="12"/>
      <c r="AG1599" s="12"/>
      <c r="AH1599" s="12"/>
      <c r="AI1599" s="6"/>
      <c r="AJ1599" s="12"/>
      <c r="AK1599" s="1"/>
      <c r="AL1599" s="12"/>
      <c r="AM1599" s="12"/>
      <c r="AN1599" s="1"/>
      <c r="AO1599" s="6"/>
    </row>
    <row r="1600" spans="1:41" ht="15" x14ac:dyDescent="0.25">
      <c r="A1600" s="1"/>
      <c r="B1600" s="1"/>
      <c r="C1600" s="1"/>
      <c r="D1600" s="1"/>
      <c r="E1600" s="6"/>
      <c r="F1600" s="1"/>
      <c r="G1600" s="6"/>
      <c r="H1600" s="6"/>
      <c r="I1600" s="6"/>
      <c r="J1600" s="6"/>
      <c r="K1600" s="6"/>
      <c r="L1600" s="6"/>
      <c r="M1600" s="6"/>
      <c r="N1600" s="6"/>
      <c r="O1600" s="7"/>
      <c r="P1600" s="6"/>
      <c r="Q1600" s="6"/>
      <c r="R1600" s="7"/>
      <c r="S1600" s="6"/>
      <c r="T1600" s="6"/>
      <c r="U1600" s="7"/>
      <c r="V1600" s="6"/>
      <c r="W1600" s="6"/>
      <c r="X1600" s="6"/>
      <c r="Y1600" s="6"/>
      <c r="Z1600" s="6"/>
      <c r="AA1600" s="7"/>
      <c r="AB1600" s="6"/>
      <c r="AC1600" s="6"/>
      <c r="AD1600" s="6"/>
      <c r="AE1600" s="12"/>
      <c r="AF1600" s="6"/>
      <c r="AG1600" s="12"/>
      <c r="AH1600" s="6"/>
      <c r="AI1600" s="6"/>
      <c r="AJ1600" s="12"/>
      <c r="AK1600" s="24"/>
      <c r="AL1600" s="25"/>
      <c r="AM1600" s="12"/>
      <c r="AN1600" s="1"/>
      <c r="AO1600" s="6"/>
    </row>
    <row r="1601" spans="1:41" ht="15" x14ac:dyDescent="0.25">
      <c r="A1601" s="1"/>
      <c r="B1601" s="1"/>
      <c r="C1601" s="1"/>
      <c r="D1601" s="1"/>
      <c r="E1601" s="6"/>
      <c r="F1601" s="1"/>
      <c r="G1601" s="6"/>
      <c r="H1601" s="6"/>
      <c r="I1601" s="6"/>
      <c r="J1601" s="6"/>
      <c r="K1601" s="6"/>
      <c r="L1601" s="6"/>
      <c r="M1601" s="6"/>
      <c r="N1601" s="6"/>
      <c r="O1601" s="7"/>
      <c r="P1601" s="6"/>
      <c r="Q1601" s="6"/>
      <c r="R1601" s="7"/>
      <c r="S1601" s="6"/>
      <c r="T1601" s="6"/>
      <c r="U1601" s="7"/>
      <c r="V1601" s="6"/>
      <c r="W1601" s="6"/>
      <c r="X1601" s="6"/>
      <c r="Y1601" s="6"/>
      <c r="Z1601" s="6"/>
      <c r="AA1601" s="7"/>
      <c r="AB1601" s="6"/>
      <c r="AC1601" s="6"/>
      <c r="AD1601" s="6"/>
      <c r="AE1601" s="12"/>
      <c r="AF1601" s="12"/>
      <c r="AG1601" s="12"/>
      <c r="AH1601" s="12"/>
      <c r="AI1601" s="6"/>
      <c r="AJ1601" s="12"/>
      <c r="AK1601" s="1"/>
      <c r="AL1601" s="12"/>
      <c r="AM1601" s="12"/>
      <c r="AN1601" s="1"/>
      <c r="AO1601" s="6"/>
    </row>
    <row r="1602" spans="1:41" ht="15" x14ac:dyDescent="0.25">
      <c r="A1602" s="1"/>
      <c r="B1602" s="1"/>
      <c r="C1602" s="1"/>
      <c r="D1602" s="1"/>
      <c r="E1602" s="6"/>
      <c r="F1602" s="1"/>
      <c r="G1602" s="6"/>
      <c r="H1602" s="6"/>
      <c r="I1602" s="6"/>
      <c r="J1602" s="6"/>
      <c r="K1602" s="6"/>
      <c r="L1602" s="6"/>
      <c r="M1602" s="6"/>
      <c r="N1602" s="6"/>
      <c r="O1602" s="7"/>
      <c r="P1602" s="6"/>
      <c r="Q1602" s="6"/>
      <c r="R1602" s="7"/>
      <c r="S1602" s="6"/>
      <c r="T1602" s="6"/>
      <c r="U1602" s="7"/>
      <c r="V1602" s="6"/>
      <c r="W1602" s="6"/>
      <c r="X1602" s="6"/>
      <c r="Y1602" s="6"/>
      <c r="Z1602" s="6"/>
      <c r="AA1602" s="7"/>
      <c r="AB1602" s="6"/>
      <c r="AC1602" s="6"/>
      <c r="AD1602" s="6"/>
      <c r="AE1602" s="12"/>
      <c r="AF1602" s="6"/>
      <c r="AG1602" s="12"/>
      <c r="AH1602" s="6"/>
      <c r="AI1602" s="6"/>
      <c r="AJ1602" s="12"/>
      <c r="AK1602" s="24"/>
      <c r="AL1602" s="25"/>
      <c r="AM1602" s="12"/>
      <c r="AN1602" s="1"/>
      <c r="AO1602" s="6"/>
    </row>
    <row r="1603" spans="1:41" ht="15" x14ac:dyDescent="0.25">
      <c r="A1603" s="1"/>
      <c r="B1603" s="1"/>
      <c r="C1603" s="1"/>
      <c r="D1603" s="1"/>
      <c r="E1603" s="6"/>
      <c r="F1603" s="1"/>
      <c r="G1603" s="6"/>
      <c r="H1603" s="6"/>
      <c r="I1603" s="6"/>
      <c r="J1603" s="6"/>
      <c r="K1603" s="6"/>
      <c r="L1603" s="6"/>
      <c r="M1603" s="6"/>
      <c r="N1603" s="6"/>
      <c r="O1603" s="7"/>
      <c r="P1603" s="6"/>
      <c r="Q1603" s="6"/>
      <c r="R1603" s="7"/>
      <c r="S1603" s="6"/>
      <c r="T1603" s="6"/>
      <c r="U1603" s="7"/>
      <c r="V1603" s="6"/>
      <c r="W1603" s="6"/>
      <c r="X1603" s="12"/>
      <c r="Y1603" s="6"/>
      <c r="Z1603" s="6"/>
      <c r="AA1603" s="7"/>
      <c r="AB1603" s="6"/>
      <c r="AC1603" s="6"/>
      <c r="AD1603" s="6"/>
      <c r="AE1603" s="12"/>
      <c r="AF1603" s="6"/>
      <c r="AG1603" s="12"/>
      <c r="AH1603" s="6"/>
      <c r="AI1603" s="6"/>
      <c r="AJ1603" s="12"/>
      <c r="AK1603" s="24"/>
      <c r="AL1603" s="25"/>
      <c r="AM1603" s="12"/>
      <c r="AN1603" s="1"/>
      <c r="AO1603" s="6"/>
    </row>
    <row r="1604" spans="1:41" ht="15" x14ac:dyDescent="0.25">
      <c r="A1604" s="1"/>
      <c r="B1604" s="1"/>
      <c r="C1604" s="1"/>
      <c r="D1604" s="1"/>
      <c r="E1604" s="6"/>
      <c r="F1604" s="1"/>
      <c r="G1604" s="6"/>
      <c r="H1604" s="6"/>
      <c r="I1604" s="6"/>
      <c r="J1604" s="6"/>
      <c r="K1604" s="6"/>
      <c r="L1604" s="6"/>
      <c r="M1604" s="6"/>
      <c r="N1604" s="6"/>
      <c r="O1604" s="7"/>
      <c r="P1604" s="6"/>
      <c r="Q1604" s="6"/>
      <c r="R1604" s="7"/>
      <c r="S1604" s="6"/>
      <c r="T1604" s="6"/>
      <c r="U1604" s="7"/>
      <c r="V1604" s="6"/>
      <c r="W1604" s="6"/>
      <c r="X1604" s="6"/>
      <c r="Y1604" s="6"/>
      <c r="Z1604" s="6"/>
      <c r="AA1604" s="7"/>
      <c r="AB1604" s="6"/>
      <c r="AC1604" s="6"/>
      <c r="AD1604" s="6"/>
      <c r="AE1604" s="12"/>
      <c r="AF1604" s="6"/>
      <c r="AG1604" s="12"/>
      <c r="AH1604" s="6"/>
      <c r="AI1604" s="6"/>
      <c r="AJ1604" s="12"/>
      <c r="AK1604" s="24"/>
      <c r="AL1604" s="25"/>
      <c r="AM1604" s="12"/>
      <c r="AN1604" s="1"/>
      <c r="AO1604" s="6"/>
    </row>
    <row r="1605" spans="1:41" ht="15" x14ac:dyDescent="0.25">
      <c r="A1605" s="1"/>
      <c r="B1605" s="1"/>
      <c r="C1605" s="1"/>
      <c r="D1605" s="1"/>
      <c r="E1605" s="6"/>
      <c r="F1605" s="1"/>
      <c r="G1605" s="6"/>
      <c r="H1605" s="6"/>
      <c r="I1605" s="6"/>
      <c r="J1605" s="6"/>
      <c r="K1605" s="6"/>
      <c r="L1605" s="6"/>
      <c r="M1605" s="6"/>
      <c r="N1605" s="6"/>
      <c r="O1605" s="7"/>
      <c r="P1605" s="6"/>
      <c r="Q1605" s="6"/>
      <c r="R1605" s="7"/>
      <c r="S1605" s="6"/>
      <c r="T1605" s="6"/>
      <c r="U1605" s="7"/>
      <c r="V1605" s="6"/>
      <c r="W1605" s="6"/>
      <c r="X1605" s="12"/>
      <c r="Y1605" s="6"/>
      <c r="Z1605" s="6"/>
      <c r="AA1605" s="7"/>
      <c r="AB1605" s="6"/>
      <c r="AC1605" s="6"/>
      <c r="AD1605" s="6"/>
      <c r="AE1605" s="12"/>
      <c r="AF1605" s="12"/>
      <c r="AG1605" s="12"/>
      <c r="AH1605" s="12"/>
      <c r="AI1605" s="6"/>
      <c r="AJ1605" s="12"/>
      <c r="AK1605" s="1"/>
      <c r="AL1605" s="12"/>
      <c r="AM1605" s="12"/>
      <c r="AN1605" s="1"/>
      <c r="AO1605" s="6"/>
    </row>
    <row r="1606" spans="1:41" ht="15" x14ac:dyDescent="0.25">
      <c r="A1606" s="1"/>
      <c r="B1606" s="1"/>
      <c r="C1606" s="1"/>
      <c r="D1606" s="1"/>
      <c r="E1606" s="6"/>
      <c r="F1606" s="1"/>
      <c r="G1606" s="6"/>
      <c r="H1606" s="6"/>
      <c r="I1606" s="6"/>
      <c r="J1606" s="6"/>
      <c r="K1606" s="6"/>
      <c r="L1606" s="6"/>
      <c r="M1606" s="6"/>
      <c r="N1606" s="6"/>
      <c r="O1606" s="7"/>
      <c r="P1606" s="6"/>
      <c r="Q1606" s="6"/>
      <c r="R1606" s="7"/>
      <c r="S1606" s="6"/>
      <c r="T1606" s="6"/>
      <c r="U1606" s="7"/>
      <c r="V1606" s="6"/>
      <c r="W1606" s="6"/>
      <c r="X1606" s="6"/>
      <c r="Y1606" s="6"/>
      <c r="Z1606" s="6"/>
      <c r="AA1606" s="7"/>
      <c r="AB1606" s="6"/>
      <c r="AC1606" s="6"/>
      <c r="AD1606" s="6"/>
      <c r="AE1606" s="12"/>
      <c r="AF1606" s="6"/>
      <c r="AG1606" s="12"/>
      <c r="AH1606" s="6"/>
      <c r="AI1606" s="6"/>
      <c r="AJ1606" s="12"/>
      <c r="AK1606" s="24"/>
      <c r="AL1606" s="25"/>
      <c r="AM1606" s="12"/>
      <c r="AN1606" s="1"/>
      <c r="AO1606" s="6"/>
    </row>
    <row r="1607" spans="1:41" ht="15" x14ac:dyDescent="0.25">
      <c r="A1607" s="1"/>
      <c r="B1607" s="1"/>
      <c r="C1607" s="1"/>
      <c r="D1607" s="1"/>
      <c r="E1607" s="6"/>
      <c r="F1607" s="1"/>
      <c r="G1607" s="6"/>
      <c r="H1607" s="6"/>
      <c r="I1607" s="6"/>
      <c r="J1607" s="6"/>
      <c r="K1607" s="6"/>
      <c r="L1607" s="6"/>
      <c r="M1607" s="6"/>
      <c r="N1607" s="6"/>
      <c r="O1607" s="7"/>
      <c r="P1607" s="6"/>
      <c r="Q1607" s="6"/>
      <c r="R1607" s="7"/>
      <c r="S1607" s="6"/>
      <c r="T1607" s="6"/>
      <c r="U1607" s="7"/>
      <c r="V1607" s="6"/>
      <c r="W1607" s="6"/>
      <c r="X1607" s="12"/>
      <c r="Y1607" s="6"/>
      <c r="Z1607" s="6"/>
      <c r="AA1607" s="7"/>
      <c r="AB1607" s="6"/>
      <c r="AC1607" s="6"/>
      <c r="AD1607" s="6"/>
      <c r="AE1607" s="12"/>
      <c r="AF1607" s="12"/>
      <c r="AG1607" s="12"/>
      <c r="AH1607" s="12"/>
      <c r="AI1607" s="6"/>
      <c r="AJ1607" s="12"/>
      <c r="AK1607" s="1"/>
      <c r="AL1607" s="12"/>
      <c r="AM1607" s="12"/>
      <c r="AN1607" s="1"/>
      <c r="AO1607" s="6"/>
    </row>
    <row r="1608" spans="1:41" ht="15" x14ac:dyDescent="0.25">
      <c r="A1608" s="1"/>
      <c r="B1608" s="1"/>
      <c r="C1608" s="1"/>
      <c r="D1608" s="1"/>
      <c r="E1608" s="6"/>
      <c r="F1608" s="1"/>
      <c r="G1608" s="6"/>
      <c r="H1608" s="6"/>
      <c r="I1608" s="6"/>
      <c r="J1608" s="6"/>
      <c r="K1608" s="6"/>
      <c r="L1608" s="6"/>
      <c r="M1608" s="6"/>
      <c r="N1608" s="6"/>
      <c r="O1608" s="7"/>
      <c r="P1608" s="6"/>
      <c r="Q1608" s="6"/>
      <c r="R1608" s="7"/>
      <c r="S1608" s="6"/>
      <c r="T1608" s="6"/>
      <c r="U1608" s="7"/>
      <c r="V1608" s="6"/>
      <c r="W1608" s="6"/>
      <c r="X1608" s="6"/>
      <c r="Y1608" s="6"/>
      <c r="Z1608" s="6"/>
      <c r="AA1608" s="7"/>
      <c r="AB1608" s="6"/>
      <c r="AC1608" s="6"/>
      <c r="AD1608" s="6"/>
      <c r="AE1608" s="12"/>
      <c r="AF1608" s="6"/>
      <c r="AG1608" s="12"/>
      <c r="AH1608" s="6"/>
      <c r="AI1608" s="6"/>
      <c r="AJ1608" s="12"/>
      <c r="AK1608" s="24"/>
      <c r="AL1608" s="25"/>
      <c r="AM1608" s="12"/>
      <c r="AN1608" s="1"/>
      <c r="AO1608" s="6"/>
    </row>
    <row r="1609" spans="1:41" ht="15" x14ac:dyDescent="0.25">
      <c r="A1609" s="1"/>
      <c r="B1609" s="1"/>
      <c r="C1609" s="1"/>
      <c r="D1609" s="1"/>
      <c r="E1609" s="6"/>
      <c r="F1609" s="1"/>
      <c r="G1609" s="6"/>
      <c r="H1609" s="6"/>
      <c r="I1609" s="6"/>
      <c r="J1609" s="6"/>
      <c r="K1609" s="6"/>
      <c r="L1609" s="6"/>
      <c r="M1609" s="6"/>
      <c r="N1609" s="6"/>
      <c r="O1609" s="7"/>
      <c r="P1609" s="6"/>
      <c r="Q1609" s="6"/>
      <c r="R1609" s="7"/>
      <c r="S1609" s="6"/>
      <c r="T1609" s="6"/>
      <c r="U1609" s="7"/>
      <c r="V1609" s="6"/>
      <c r="W1609" s="6"/>
      <c r="X1609" s="12"/>
      <c r="Y1609" s="6"/>
      <c r="Z1609" s="6"/>
      <c r="AA1609" s="7"/>
      <c r="AB1609" s="6"/>
      <c r="AC1609" s="6"/>
      <c r="AD1609" s="6"/>
      <c r="AE1609" s="12"/>
      <c r="AF1609" s="6"/>
      <c r="AG1609" s="12"/>
      <c r="AH1609" s="6"/>
      <c r="AI1609" s="6"/>
      <c r="AJ1609" s="12"/>
      <c r="AK1609" s="24"/>
      <c r="AL1609" s="25"/>
      <c r="AM1609" s="12"/>
      <c r="AN1609" s="1"/>
      <c r="AO1609" s="6"/>
    </row>
    <row r="1610" spans="1:41" ht="15" x14ac:dyDescent="0.25">
      <c r="A1610" s="1"/>
      <c r="B1610" s="1"/>
      <c r="C1610" s="1"/>
      <c r="D1610" s="1"/>
      <c r="E1610" s="6"/>
      <c r="F1610" s="1"/>
      <c r="G1610" s="6"/>
      <c r="H1610" s="6"/>
      <c r="I1610" s="6"/>
      <c r="J1610" s="6"/>
      <c r="K1610" s="6"/>
      <c r="L1610" s="6"/>
      <c r="M1610" s="6"/>
      <c r="N1610" s="6"/>
      <c r="O1610" s="7"/>
      <c r="P1610" s="6"/>
      <c r="Q1610" s="6"/>
      <c r="R1610" s="7"/>
      <c r="S1610" s="6"/>
      <c r="T1610" s="6"/>
      <c r="U1610" s="7"/>
      <c r="V1610" s="6"/>
      <c r="W1610" s="6"/>
      <c r="X1610" s="6"/>
      <c r="Y1610" s="12"/>
      <c r="Z1610" s="6"/>
      <c r="AA1610" s="7"/>
      <c r="AB1610" s="6"/>
      <c r="AC1610" s="6"/>
      <c r="AD1610" s="6"/>
      <c r="AE1610" s="12"/>
      <c r="AF1610" s="6"/>
      <c r="AG1610" s="12"/>
      <c r="AH1610" s="6"/>
      <c r="AI1610" s="6"/>
      <c r="AJ1610" s="12"/>
      <c r="AK1610" s="24"/>
      <c r="AL1610" s="25"/>
      <c r="AM1610" s="12"/>
      <c r="AN1610" s="1"/>
      <c r="AO1610" s="6"/>
    </row>
    <row r="1611" spans="1:41" ht="15" x14ac:dyDescent="0.25">
      <c r="A1611" s="1"/>
      <c r="B1611" s="1"/>
      <c r="C1611" s="1"/>
      <c r="D1611" s="1"/>
      <c r="E1611" s="6"/>
      <c r="F1611" s="1"/>
      <c r="G1611" s="6"/>
      <c r="H1611" s="6"/>
      <c r="I1611" s="6"/>
      <c r="J1611" s="6"/>
      <c r="K1611" s="6"/>
      <c r="L1611" s="6"/>
      <c r="M1611" s="6"/>
      <c r="N1611" s="6"/>
      <c r="O1611" s="7"/>
      <c r="P1611" s="6"/>
      <c r="Q1611" s="6"/>
      <c r="R1611" s="7"/>
      <c r="S1611" s="6"/>
      <c r="T1611" s="6"/>
      <c r="U1611" s="7"/>
      <c r="V1611" s="6"/>
      <c r="W1611" s="6"/>
      <c r="X1611" s="6"/>
      <c r="Y1611" s="6"/>
      <c r="Z1611" s="6"/>
      <c r="AA1611" s="7"/>
      <c r="AB1611" s="6"/>
      <c r="AC1611" s="6"/>
      <c r="AD1611" s="6"/>
      <c r="AE1611" s="12"/>
      <c r="AF1611" s="12"/>
      <c r="AG1611" s="12"/>
      <c r="AH1611" s="12"/>
      <c r="AI1611" s="6"/>
      <c r="AJ1611" s="12"/>
      <c r="AK1611" s="1"/>
      <c r="AL1611" s="12"/>
      <c r="AM1611" s="12"/>
      <c r="AN1611" s="1"/>
      <c r="AO1611" s="6"/>
    </row>
    <row r="1612" spans="1:41" ht="15" x14ac:dyDescent="0.25">
      <c r="A1612" s="1"/>
      <c r="B1612" s="1"/>
      <c r="C1612" s="1"/>
      <c r="D1612" s="1"/>
      <c r="E1612" s="6"/>
      <c r="F1612" s="1"/>
      <c r="G1612" s="6"/>
      <c r="H1612" s="6"/>
      <c r="I1612" s="6"/>
      <c r="J1612" s="6"/>
      <c r="K1612" s="6"/>
      <c r="L1612" s="6"/>
      <c r="M1612" s="6"/>
      <c r="N1612" s="6"/>
      <c r="O1612" s="7"/>
      <c r="P1612" s="6"/>
      <c r="Q1612" s="6"/>
      <c r="R1612" s="7"/>
      <c r="S1612" s="6"/>
      <c r="T1612" s="6"/>
      <c r="U1612" s="7"/>
      <c r="V1612" s="6"/>
      <c r="W1612" s="6"/>
      <c r="X1612" s="6"/>
      <c r="Y1612" s="6"/>
      <c r="Z1612" s="6"/>
      <c r="AA1612" s="7"/>
      <c r="AB1612" s="6"/>
      <c r="AC1612" s="6"/>
      <c r="AD1612" s="6"/>
      <c r="AE1612" s="12"/>
      <c r="AF1612" s="6"/>
      <c r="AG1612" s="12"/>
      <c r="AH1612" s="6"/>
      <c r="AI1612" s="6"/>
      <c r="AJ1612" s="12"/>
      <c r="AK1612" s="1"/>
      <c r="AL1612" s="12"/>
      <c r="AM1612" s="12"/>
      <c r="AN1612" s="1"/>
      <c r="AO1612" s="6"/>
    </row>
    <row r="1613" spans="1:41" ht="15" x14ac:dyDescent="0.25">
      <c r="A1613" s="1"/>
      <c r="B1613" s="1"/>
      <c r="C1613" s="1"/>
      <c r="D1613" s="1"/>
      <c r="E1613" s="6"/>
      <c r="F1613" s="1"/>
      <c r="G1613" s="6"/>
      <c r="H1613" s="6"/>
      <c r="I1613" s="6"/>
      <c r="J1613" s="6"/>
      <c r="K1613" s="6"/>
      <c r="L1613" s="6"/>
      <c r="M1613" s="6"/>
      <c r="N1613" s="6"/>
      <c r="O1613" s="7"/>
      <c r="P1613" s="6"/>
      <c r="Q1613" s="6"/>
      <c r="R1613" s="7"/>
      <c r="S1613" s="6"/>
      <c r="T1613" s="6"/>
      <c r="U1613" s="7"/>
      <c r="V1613" s="6"/>
      <c r="W1613" s="6"/>
      <c r="X1613" s="6"/>
      <c r="Y1613" s="6"/>
      <c r="Z1613" s="6"/>
      <c r="AA1613" s="7"/>
      <c r="AB1613" s="6"/>
      <c r="AC1613" s="6"/>
      <c r="AD1613" s="6"/>
      <c r="AE1613" s="12"/>
      <c r="AF1613" s="6"/>
      <c r="AG1613" s="12"/>
      <c r="AH1613" s="6"/>
      <c r="AI1613" s="6"/>
      <c r="AJ1613" s="12"/>
      <c r="AK1613" s="1"/>
      <c r="AL1613" s="12"/>
      <c r="AM1613" s="12"/>
      <c r="AN1613" s="1"/>
      <c r="AO1613" s="6"/>
    </row>
    <row r="1614" spans="1:41" ht="15" x14ac:dyDescent="0.25">
      <c r="A1614" s="1"/>
      <c r="B1614" s="1"/>
      <c r="C1614" s="1"/>
      <c r="D1614" s="1"/>
      <c r="E1614" s="6"/>
      <c r="F1614" s="1"/>
      <c r="G1614" s="6"/>
      <c r="H1614" s="6"/>
      <c r="I1614" s="6"/>
      <c r="J1614" s="6"/>
      <c r="K1614" s="6"/>
      <c r="L1614" s="6"/>
      <c r="M1614" s="6"/>
      <c r="N1614" s="6"/>
      <c r="O1614" s="7"/>
      <c r="P1614" s="6"/>
      <c r="Q1614" s="6"/>
      <c r="R1614" s="7"/>
      <c r="S1614" s="6"/>
      <c r="T1614" s="6"/>
      <c r="U1614" s="7"/>
      <c r="V1614" s="6"/>
      <c r="W1614" s="6"/>
      <c r="X1614" s="12"/>
      <c r="Y1614" s="6"/>
      <c r="Z1614" s="6"/>
      <c r="AA1614" s="7"/>
      <c r="AB1614" s="6"/>
      <c r="AC1614" s="6"/>
      <c r="AD1614" s="6"/>
      <c r="AE1614" s="12"/>
      <c r="AF1614" s="6"/>
      <c r="AG1614" s="12"/>
      <c r="AH1614" s="6"/>
      <c r="AI1614" s="6"/>
      <c r="AJ1614" s="12"/>
      <c r="AK1614" s="24"/>
      <c r="AL1614" s="25"/>
      <c r="AM1614" s="12"/>
      <c r="AN1614" s="1"/>
      <c r="AO1614" s="6"/>
    </row>
    <row r="1615" spans="1:41" ht="15" x14ac:dyDescent="0.25">
      <c r="A1615" s="1"/>
      <c r="B1615" s="1"/>
      <c r="C1615" s="1"/>
      <c r="D1615" s="1"/>
      <c r="E1615" s="6"/>
      <c r="F1615" s="1"/>
      <c r="G1615" s="6"/>
      <c r="H1615" s="6"/>
      <c r="I1615" s="6"/>
      <c r="J1615" s="6"/>
      <c r="K1615" s="6"/>
      <c r="L1615" s="6"/>
      <c r="M1615" s="6"/>
      <c r="N1615" s="6"/>
      <c r="O1615" s="7"/>
      <c r="P1615" s="6"/>
      <c r="Q1615" s="6"/>
      <c r="R1615" s="7"/>
      <c r="S1615" s="6"/>
      <c r="T1615" s="6"/>
      <c r="U1615" s="7"/>
      <c r="V1615" s="6"/>
      <c r="W1615" s="6"/>
      <c r="X1615" s="6"/>
      <c r="Y1615" s="6"/>
      <c r="Z1615" s="6"/>
      <c r="AA1615" s="7"/>
      <c r="AB1615" s="6"/>
      <c r="AC1615" s="6"/>
      <c r="AD1615" s="6"/>
      <c r="AE1615" s="12"/>
      <c r="AF1615" s="6"/>
      <c r="AG1615" s="12"/>
      <c r="AH1615" s="6"/>
      <c r="AI1615" s="6"/>
      <c r="AJ1615" s="12"/>
      <c r="AK1615" s="1"/>
      <c r="AL1615" s="12"/>
      <c r="AM1615" s="12"/>
      <c r="AN1615" s="1"/>
      <c r="AO1615" s="6"/>
    </row>
    <row r="1616" spans="1:41" ht="15" x14ac:dyDescent="0.25">
      <c r="A1616" s="1"/>
      <c r="B1616" s="1"/>
      <c r="C1616" s="1"/>
      <c r="D1616" s="1"/>
      <c r="E1616" s="6"/>
      <c r="F1616" s="1"/>
      <c r="G1616" s="6"/>
      <c r="H1616" s="6"/>
      <c r="I1616" s="6"/>
      <c r="J1616" s="6"/>
      <c r="K1616" s="12"/>
      <c r="L1616" s="12"/>
      <c r="M1616" s="6"/>
      <c r="N1616" s="6"/>
      <c r="O1616" s="7"/>
      <c r="P1616" s="6"/>
      <c r="Q1616" s="6"/>
      <c r="R1616" s="7"/>
      <c r="S1616" s="6"/>
      <c r="T1616" s="6"/>
      <c r="U1616" s="7"/>
      <c r="V1616" s="6"/>
      <c r="W1616" s="6"/>
      <c r="X1616" s="12"/>
      <c r="Y1616" s="6"/>
      <c r="Z1616" s="6"/>
      <c r="AA1616" s="7"/>
      <c r="AB1616" s="6"/>
      <c r="AC1616" s="6"/>
      <c r="AD1616" s="6"/>
      <c r="AE1616" s="12"/>
      <c r="AF1616" s="12"/>
      <c r="AG1616" s="12"/>
      <c r="AH1616" s="12"/>
      <c r="AI1616" s="6"/>
      <c r="AJ1616" s="12"/>
      <c r="AK1616" s="24"/>
      <c r="AL1616" s="25"/>
      <c r="AM1616" s="12"/>
      <c r="AN1616" s="1"/>
      <c r="AO1616" s="6"/>
    </row>
    <row r="1617" spans="1:41" ht="15" x14ac:dyDescent="0.25">
      <c r="A1617" s="1"/>
      <c r="B1617" s="1"/>
      <c r="C1617" s="1"/>
      <c r="D1617" s="1"/>
      <c r="E1617" s="6"/>
      <c r="F1617" s="1"/>
      <c r="G1617" s="6"/>
      <c r="H1617" s="6"/>
      <c r="I1617" s="6"/>
      <c r="J1617" s="6"/>
      <c r="K1617" s="6"/>
      <c r="L1617" s="6"/>
      <c r="M1617" s="6"/>
      <c r="N1617" s="6"/>
      <c r="O1617" s="7"/>
      <c r="P1617" s="6"/>
      <c r="Q1617" s="6"/>
      <c r="R1617" s="7"/>
      <c r="S1617" s="6"/>
      <c r="T1617" s="6"/>
      <c r="U1617" s="7"/>
      <c r="V1617" s="6"/>
      <c r="W1617" s="6"/>
      <c r="X1617" s="12"/>
      <c r="Y1617" s="6"/>
      <c r="Z1617" s="6"/>
      <c r="AA1617" s="7"/>
      <c r="AB1617" s="6"/>
      <c r="AC1617" s="6"/>
      <c r="AD1617" s="6"/>
      <c r="AE1617" s="12"/>
      <c r="AF1617" s="12"/>
      <c r="AG1617" s="12"/>
      <c r="AH1617" s="12"/>
      <c r="AI1617" s="6"/>
      <c r="AJ1617" s="12"/>
      <c r="AK1617" s="24"/>
      <c r="AL1617" s="25"/>
      <c r="AM1617" s="12"/>
      <c r="AN1617" s="1"/>
      <c r="AO1617" s="6"/>
    </row>
    <row r="1618" spans="1:41" ht="15" x14ac:dyDescent="0.25">
      <c r="A1618" s="1"/>
      <c r="B1618" s="1"/>
      <c r="C1618" s="1"/>
      <c r="D1618" s="1"/>
      <c r="E1618" s="6"/>
      <c r="F1618" s="1"/>
      <c r="G1618" s="6"/>
      <c r="H1618" s="6"/>
      <c r="I1618" s="6"/>
      <c r="J1618" s="6"/>
      <c r="K1618" s="6"/>
      <c r="L1618" s="6"/>
      <c r="M1618" s="6"/>
      <c r="N1618" s="6"/>
      <c r="O1618" s="7"/>
      <c r="P1618" s="6"/>
      <c r="Q1618" s="7"/>
      <c r="R1618" s="6"/>
      <c r="S1618" s="12"/>
      <c r="T1618" s="6"/>
      <c r="U1618" s="6"/>
      <c r="V1618" s="7"/>
      <c r="W1618" s="6"/>
      <c r="X1618" s="6"/>
      <c r="Y1618" s="6"/>
      <c r="Z1618" s="6"/>
      <c r="AA1618" s="24"/>
      <c r="AB1618" s="25"/>
      <c r="AC1618" s="12"/>
      <c r="AD1618" s="12"/>
      <c r="AE1618" s="12"/>
      <c r="AF1618" s="6"/>
      <c r="AG1618" s="12"/>
      <c r="AH1618" s="6"/>
      <c r="AI1618" s="6"/>
      <c r="AJ1618" s="12"/>
      <c r="AK1618" s="12"/>
      <c r="AL1618" s="12"/>
      <c r="AM1618" s="12"/>
      <c r="AN1618" s="1"/>
      <c r="AO1618" s="6"/>
    </row>
    <row r="1619" spans="1:41" ht="15" x14ac:dyDescent="0.25">
      <c r="A1619" s="1"/>
      <c r="B1619" s="1"/>
      <c r="C1619" s="1"/>
      <c r="D1619" s="1"/>
      <c r="E1619" s="6"/>
      <c r="F1619" s="1"/>
      <c r="G1619" s="6"/>
      <c r="H1619" s="6"/>
      <c r="I1619" s="6"/>
      <c r="J1619" s="6"/>
      <c r="K1619" s="12"/>
      <c r="L1619" s="12"/>
      <c r="M1619" s="6"/>
      <c r="N1619" s="6"/>
      <c r="O1619" s="7"/>
      <c r="P1619" s="6"/>
      <c r="Q1619" s="6"/>
      <c r="R1619" s="7"/>
      <c r="S1619" s="6"/>
      <c r="T1619" s="6"/>
      <c r="U1619" s="7"/>
      <c r="V1619" s="6"/>
      <c r="W1619" s="6"/>
      <c r="X1619" s="12"/>
      <c r="Y1619" s="6"/>
      <c r="Z1619" s="6"/>
      <c r="AA1619" s="7"/>
      <c r="AB1619" s="6"/>
      <c r="AC1619" s="6"/>
      <c r="AD1619" s="6"/>
      <c r="AE1619" s="12"/>
      <c r="AF1619" s="12"/>
      <c r="AG1619" s="12"/>
      <c r="AH1619" s="12"/>
      <c r="AI1619" s="6"/>
      <c r="AJ1619" s="12"/>
      <c r="AK1619" s="24"/>
      <c r="AL1619" s="25"/>
      <c r="AM1619" s="12"/>
      <c r="AN1619" s="1"/>
      <c r="AO1619" s="12"/>
    </row>
    <row r="1620" spans="1:41" ht="15" x14ac:dyDescent="0.25">
      <c r="A1620" s="1"/>
      <c r="B1620" s="1"/>
      <c r="C1620" s="1"/>
      <c r="D1620" s="1"/>
      <c r="E1620" s="6"/>
      <c r="F1620" s="1"/>
      <c r="G1620" s="6"/>
      <c r="H1620" s="6"/>
      <c r="I1620" s="6"/>
      <c r="J1620" s="6"/>
      <c r="K1620" s="6"/>
      <c r="L1620" s="6"/>
      <c r="M1620" s="6"/>
      <c r="N1620" s="6"/>
      <c r="O1620" s="7"/>
      <c r="P1620" s="12"/>
      <c r="Q1620" s="6"/>
      <c r="R1620" s="7"/>
      <c r="S1620" s="6"/>
      <c r="T1620" s="6"/>
      <c r="U1620" s="7"/>
      <c r="V1620" s="6"/>
      <c r="W1620" s="6"/>
      <c r="X1620" s="12"/>
      <c r="Y1620" s="6"/>
      <c r="Z1620" s="6"/>
      <c r="AA1620" s="7"/>
      <c r="AB1620" s="6"/>
      <c r="AC1620" s="6"/>
      <c r="AD1620" s="6"/>
      <c r="AE1620" s="12"/>
      <c r="AF1620" s="6"/>
      <c r="AG1620" s="12"/>
      <c r="AH1620" s="6"/>
      <c r="AI1620" s="6"/>
      <c r="AJ1620" s="12"/>
      <c r="AK1620" s="1"/>
      <c r="AL1620" s="12"/>
      <c r="AM1620" s="12"/>
      <c r="AN1620" s="1"/>
      <c r="AO1620" s="6"/>
    </row>
    <row r="1621" spans="1:41" ht="15" x14ac:dyDescent="0.25">
      <c r="A1621" s="1"/>
      <c r="B1621" s="1"/>
      <c r="C1621" s="1"/>
      <c r="D1621" s="1"/>
      <c r="E1621" s="6"/>
      <c r="F1621" s="1"/>
      <c r="G1621" s="6"/>
      <c r="H1621" s="6"/>
      <c r="I1621" s="6"/>
      <c r="J1621" s="6"/>
      <c r="K1621" s="6"/>
      <c r="L1621" s="6"/>
      <c r="M1621" s="6"/>
      <c r="N1621" s="6"/>
      <c r="O1621" s="7"/>
      <c r="P1621" s="12"/>
      <c r="Q1621" s="6"/>
      <c r="R1621" s="7"/>
      <c r="S1621" s="6"/>
      <c r="T1621" s="6"/>
      <c r="U1621" s="7"/>
      <c r="V1621" s="6"/>
      <c r="W1621" s="6"/>
      <c r="X1621" s="6"/>
      <c r="Y1621" s="6"/>
      <c r="Z1621" s="6"/>
      <c r="AA1621" s="7"/>
      <c r="AB1621" s="6"/>
      <c r="AC1621" s="6"/>
      <c r="AD1621" s="6"/>
      <c r="AE1621" s="12"/>
      <c r="AF1621" s="6"/>
      <c r="AG1621" s="12"/>
      <c r="AH1621" s="6"/>
      <c r="AI1621" s="6"/>
      <c r="AJ1621" s="12"/>
      <c r="AK1621" s="24"/>
      <c r="AL1621" s="25"/>
      <c r="AM1621" s="12"/>
      <c r="AN1621" s="1"/>
      <c r="AO1621" s="6"/>
    </row>
    <row r="1622" spans="1:41" ht="15" x14ac:dyDescent="0.25">
      <c r="A1622" s="1"/>
      <c r="B1622" s="1"/>
      <c r="C1622" s="1"/>
      <c r="D1622" s="1"/>
      <c r="E1622" s="6"/>
      <c r="F1622" s="1"/>
      <c r="G1622" s="6"/>
      <c r="H1622" s="6"/>
      <c r="I1622" s="6"/>
      <c r="J1622" s="6"/>
      <c r="K1622" s="6"/>
      <c r="L1622" s="6"/>
      <c r="M1622" s="6"/>
      <c r="N1622" s="6"/>
      <c r="O1622" s="7"/>
      <c r="P1622" s="12"/>
      <c r="Q1622" s="6"/>
      <c r="R1622" s="7"/>
      <c r="S1622" s="6"/>
      <c r="T1622" s="6"/>
      <c r="U1622" s="7"/>
      <c r="V1622" s="6"/>
      <c r="W1622" s="6"/>
      <c r="X1622" s="6"/>
      <c r="Y1622" s="6"/>
      <c r="Z1622" s="6"/>
      <c r="AA1622" s="7"/>
      <c r="AB1622" s="6"/>
      <c r="AC1622" s="6"/>
      <c r="AD1622" s="6"/>
      <c r="AE1622" s="12"/>
      <c r="AF1622" s="6"/>
      <c r="AG1622" s="12"/>
      <c r="AH1622" s="6"/>
      <c r="AI1622" s="6"/>
      <c r="AJ1622" s="12"/>
      <c r="AK1622" s="1"/>
      <c r="AL1622" s="12"/>
      <c r="AM1622" s="12"/>
      <c r="AN1622" s="1"/>
      <c r="AO1622" s="6"/>
    </row>
    <row r="1623" spans="1:41" ht="15" x14ac:dyDescent="0.25">
      <c r="A1623" s="1"/>
      <c r="B1623" s="1"/>
      <c r="C1623" s="1"/>
      <c r="D1623" s="1"/>
      <c r="E1623" s="6"/>
      <c r="F1623" s="1"/>
      <c r="G1623" s="6"/>
      <c r="H1623" s="6"/>
      <c r="I1623" s="6"/>
      <c r="J1623" s="6"/>
      <c r="K1623" s="6"/>
      <c r="L1623" s="6"/>
      <c r="M1623" s="6"/>
      <c r="N1623" s="6"/>
      <c r="O1623" s="7"/>
      <c r="P1623" s="6"/>
      <c r="Q1623" s="7"/>
      <c r="R1623" s="6"/>
      <c r="S1623" s="6"/>
      <c r="T1623" s="6"/>
      <c r="U1623" s="6"/>
      <c r="V1623" s="7"/>
      <c r="W1623" s="6"/>
      <c r="X1623" s="6"/>
      <c r="Y1623" s="6"/>
      <c r="Z1623" s="6"/>
      <c r="AA1623" s="1"/>
      <c r="AB1623" s="12"/>
      <c r="AC1623" s="12"/>
      <c r="AD1623" s="12"/>
      <c r="AE1623" s="12"/>
      <c r="AF1623" s="6"/>
      <c r="AG1623" s="12"/>
      <c r="AH1623" s="6"/>
      <c r="AI1623" s="6"/>
      <c r="AJ1623" s="12"/>
      <c r="AK1623" s="12"/>
      <c r="AL1623" s="12"/>
      <c r="AM1623" s="12"/>
      <c r="AN1623" s="1"/>
      <c r="AO1623" s="6"/>
    </row>
    <row r="1624" spans="1:41" ht="15" x14ac:dyDescent="0.25">
      <c r="A1624" s="1"/>
      <c r="B1624" s="1"/>
      <c r="C1624" s="1"/>
      <c r="D1624" s="1"/>
      <c r="E1624" s="6"/>
      <c r="F1624" s="1"/>
      <c r="G1624" s="6"/>
      <c r="H1624" s="6"/>
      <c r="I1624" s="6"/>
      <c r="J1624" s="6"/>
      <c r="K1624" s="6"/>
      <c r="L1624" s="6"/>
      <c r="M1624" s="6"/>
      <c r="N1624" s="6"/>
      <c r="O1624" s="7"/>
      <c r="P1624" s="6"/>
      <c r="Q1624" s="6"/>
      <c r="R1624" s="7"/>
      <c r="S1624" s="6"/>
      <c r="T1624" s="6"/>
      <c r="U1624" s="7"/>
      <c r="V1624" s="6"/>
      <c r="W1624" s="6"/>
      <c r="X1624" s="12"/>
      <c r="Y1624" s="6"/>
      <c r="Z1624" s="6"/>
      <c r="AA1624" s="7"/>
      <c r="AB1624" s="6"/>
      <c r="AC1624" s="6"/>
      <c r="AD1624" s="6"/>
      <c r="AE1624" s="12"/>
      <c r="AF1624" s="6"/>
      <c r="AG1624" s="12"/>
      <c r="AH1624" s="6"/>
      <c r="AI1624" s="6"/>
      <c r="AJ1624" s="12"/>
      <c r="AK1624" s="1"/>
      <c r="AL1624" s="12"/>
      <c r="AM1624" s="12"/>
      <c r="AN1624" s="1"/>
      <c r="AO1624" s="6"/>
    </row>
    <row r="1625" spans="1:41" ht="15" x14ac:dyDescent="0.25">
      <c r="A1625" s="1"/>
      <c r="B1625" s="1"/>
      <c r="C1625" s="1"/>
      <c r="D1625" s="1"/>
      <c r="E1625" s="6"/>
      <c r="F1625" s="1"/>
      <c r="G1625" s="6"/>
      <c r="H1625" s="6"/>
      <c r="I1625" s="6"/>
      <c r="J1625" s="6"/>
      <c r="K1625" s="6"/>
      <c r="L1625" s="6"/>
      <c r="M1625" s="6"/>
      <c r="N1625" s="6"/>
      <c r="O1625" s="7"/>
      <c r="P1625" s="12"/>
      <c r="Q1625" s="6"/>
      <c r="R1625" s="7"/>
      <c r="S1625" s="6"/>
      <c r="T1625" s="6"/>
      <c r="U1625" s="7"/>
      <c r="V1625" s="6"/>
      <c r="W1625" s="6"/>
      <c r="X1625" s="6"/>
      <c r="Y1625" s="6"/>
      <c r="Z1625" s="6"/>
      <c r="AA1625" s="7"/>
      <c r="AB1625" s="6"/>
      <c r="AC1625" s="6"/>
      <c r="AD1625" s="6"/>
      <c r="AE1625" s="12"/>
      <c r="AF1625" s="6"/>
      <c r="AG1625" s="12"/>
      <c r="AH1625" s="6"/>
      <c r="AI1625" s="6"/>
      <c r="AJ1625" s="12"/>
      <c r="AK1625" s="1"/>
      <c r="AL1625" s="12"/>
      <c r="AM1625" s="12"/>
      <c r="AN1625" s="1"/>
      <c r="AO1625" s="6"/>
    </row>
    <row r="1626" spans="1:41" ht="15" x14ac:dyDescent="0.25">
      <c r="A1626" s="1"/>
      <c r="B1626" s="1"/>
      <c r="C1626" s="1"/>
      <c r="D1626" s="1"/>
      <c r="E1626" s="6"/>
      <c r="F1626" s="1"/>
      <c r="G1626" s="6"/>
      <c r="H1626" s="6"/>
      <c r="I1626" s="6"/>
      <c r="J1626" s="6"/>
      <c r="K1626" s="12"/>
      <c r="L1626" s="12"/>
      <c r="M1626" s="6"/>
      <c r="N1626" s="6"/>
      <c r="O1626" s="7"/>
      <c r="P1626" s="6"/>
      <c r="Q1626" s="6"/>
      <c r="R1626" s="7"/>
      <c r="S1626" s="6"/>
      <c r="T1626" s="6"/>
      <c r="U1626" s="7"/>
      <c r="V1626" s="6"/>
      <c r="W1626" s="6"/>
      <c r="X1626" s="6"/>
      <c r="Y1626" s="6"/>
      <c r="Z1626" s="6"/>
      <c r="AA1626" s="7"/>
      <c r="AB1626" s="6"/>
      <c r="AC1626" s="6"/>
      <c r="AD1626" s="6"/>
      <c r="AE1626" s="12"/>
      <c r="AF1626" s="12"/>
      <c r="AG1626" s="12"/>
      <c r="AH1626" s="12"/>
      <c r="AI1626" s="6"/>
      <c r="AJ1626" s="12"/>
      <c r="AK1626" s="1"/>
      <c r="AL1626" s="12"/>
      <c r="AM1626" s="12"/>
      <c r="AN1626" s="1"/>
      <c r="AO1626" s="6"/>
    </row>
    <row r="1627" spans="1:41" ht="15" x14ac:dyDescent="0.25">
      <c r="A1627" s="1"/>
      <c r="B1627" s="1"/>
      <c r="C1627" s="1"/>
      <c r="D1627" s="1"/>
      <c r="E1627" s="6"/>
      <c r="F1627" s="1"/>
      <c r="G1627" s="6"/>
      <c r="H1627" s="6"/>
      <c r="I1627" s="6"/>
      <c r="J1627" s="6"/>
      <c r="K1627" s="6"/>
      <c r="L1627" s="6"/>
      <c r="M1627" s="6"/>
      <c r="N1627" s="6"/>
      <c r="O1627" s="7"/>
      <c r="P1627" s="6"/>
      <c r="Q1627" s="6"/>
      <c r="R1627" s="7"/>
      <c r="S1627" s="6"/>
      <c r="T1627" s="6"/>
      <c r="U1627" s="7"/>
      <c r="V1627" s="6"/>
      <c r="W1627" s="6"/>
      <c r="X1627" s="12"/>
      <c r="Y1627" s="6"/>
      <c r="Z1627" s="6"/>
      <c r="AA1627" s="7"/>
      <c r="AB1627" s="6"/>
      <c r="AC1627" s="6"/>
      <c r="AD1627" s="6"/>
      <c r="AE1627" s="12"/>
      <c r="AF1627" s="6"/>
      <c r="AG1627" s="12"/>
      <c r="AH1627" s="6"/>
      <c r="AI1627" s="6"/>
      <c r="AJ1627" s="12"/>
      <c r="AK1627" s="1"/>
      <c r="AL1627" s="12"/>
      <c r="AM1627" s="12"/>
      <c r="AN1627" s="1"/>
      <c r="AO1627" s="6"/>
    </row>
    <row r="1628" spans="1:41" ht="15" x14ac:dyDescent="0.25">
      <c r="A1628" s="1"/>
      <c r="B1628" s="1"/>
      <c r="C1628" s="1"/>
      <c r="D1628" s="1"/>
      <c r="E1628" s="6"/>
      <c r="F1628" s="1"/>
      <c r="G1628" s="6"/>
      <c r="H1628" s="6"/>
      <c r="I1628" s="6"/>
      <c r="J1628" s="6"/>
      <c r="K1628" s="6"/>
      <c r="L1628" s="6"/>
      <c r="M1628" s="6"/>
      <c r="N1628" s="6"/>
      <c r="O1628" s="7"/>
      <c r="P1628" s="6"/>
      <c r="Q1628" s="6"/>
      <c r="R1628" s="7"/>
      <c r="S1628" s="6"/>
      <c r="T1628" s="6"/>
      <c r="U1628" s="7"/>
      <c r="V1628" s="6"/>
      <c r="W1628" s="6"/>
      <c r="X1628" s="12"/>
      <c r="Y1628" s="6"/>
      <c r="Z1628" s="6"/>
      <c r="AA1628" s="7"/>
      <c r="AB1628" s="6"/>
      <c r="AC1628" s="6"/>
      <c r="AD1628" s="6"/>
      <c r="AE1628" s="12"/>
      <c r="AF1628" s="12"/>
      <c r="AG1628" s="12"/>
      <c r="AH1628" s="12"/>
      <c r="AI1628" s="6"/>
      <c r="AJ1628" s="12"/>
      <c r="AK1628" s="1"/>
      <c r="AL1628" s="12"/>
      <c r="AM1628" s="12"/>
      <c r="AN1628" s="1"/>
      <c r="AO1628" s="6"/>
    </row>
    <row r="1629" spans="1:41" ht="15" x14ac:dyDescent="0.25">
      <c r="A1629" s="1"/>
      <c r="B1629" s="1"/>
      <c r="C1629" s="1"/>
      <c r="D1629" s="1"/>
      <c r="E1629" s="6"/>
      <c r="F1629" s="1"/>
      <c r="G1629" s="6"/>
      <c r="H1629" s="6"/>
      <c r="I1629" s="6"/>
      <c r="J1629" s="6"/>
      <c r="K1629" s="6"/>
      <c r="L1629" s="6"/>
      <c r="M1629" s="6"/>
      <c r="N1629" s="6"/>
      <c r="O1629" s="7"/>
      <c r="P1629" s="6"/>
      <c r="Q1629" s="6"/>
      <c r="R1629" s="7"/>
      <c r="S1629" s="6"/>
      <c r="T1629" s="6"/>
      <c r="U1629" s="7"/>
      <c r="V1629" s="6"/>
      <c r="W1629" s="6"/>
      <c r="X1629" s="6"/>
      <c r="Y1629" s="6"/>
      <c r="Z1629" s="6"/>
      <c r="AA1629" s="7"/>
      <c r="AB1629" s="6"/>
      <c r="AC1629" s="6"/>
      <c r="AD1629" s="6"/>
      <c r="AE1629" s="12"/>
      <c r="AF1629" s="6"/>
      <c r="AG1629" s="12"/>
      <c r="AH1629" s="6"/>
      <c r="AI1629" s="6"/>
      <c r="AJ1629" s="12"/>
      <c r="AK1629" s="1"/>
      <c r="AL1629" s="12"/>
      <c r="AM1629" s="12"/>
      <c r="AN1629" s="1"/>
      <c r="AO1629" s="6"/>
    </row>
    <row r="1630" spans="1:41" ht="15" x14ac:dyDescent="0.25">
      <c r="A1630" s="1"/>
      <c r="B1630" s="1"/>
      <c r="C1630" s="1"/>
      <c r="D1630" s="1"/>
      <c r="E1630" s="6"/>
      <c r="F1630" s="1"/>
      <c r="G1630" s="6"/>
      <c r="H1630" s="6"/>
      <c r="I1630" s="6"/>
      <c r="J1630" s="6"/>
      <c r="K1630" s="12"/>
      <c r="L1630" s="12"/>
      <c r="M1630" s="6"/>
      <c r="N1630" s="6"/>
      <c r="O1630" s="7"/>
      <c r="P1630" s="6"/>
      <c r="Q1630" s="6"/>
      <c r="R1630" s="7"/>
      <c r="S1630" s="6"/>
      <c r="T1630" s="6"/>
      <c r="U1630" s="7"/>
      <c r="V1630" s="6"/>
      <c r="W1630" s="6"/>
      <c r="X1630" s="12"/>
      <c r="Y1630" s="6"/>
      <c r="Z1630" s="6"/>
      <c r="AA1630" s="7"/>
      <c r="AB1630" s="6"/>
      <c r="AC1630" s="6"/>
      <c r="AD1630" s="6"/>
      <c r="AE1630" s="12"/>
      <c r="AF1630" s="12"/>
      <c r="AG1630" s="12"/>
      <c r="AH1630" s="12"/>
      <c r="AI1630" s="6"/>
      <c r="AJ1630" s="12"/>
      <c r="AK1630" s="24"/>
      <c r="AL1630" s="25"/>
      <c r="AM1630" s="12"/>
      <c r="AN1630" s="1"/>
      <c r="AO1630" s="12"/>
    </row>
    <row r="1631" spans="1:41" ht="15" x14ac:dyDescent="0.25">
      <c r="A1631" s="1"/>
      <c r="B1631" s="1"/>
      <c r="C1631" s="1"/>
      <c r="D1631" s="1"/>
      <c r="E1631" s="6"/>
      <c r="F1631" s="1"/>
      <c r="G1631" s="6"/>
      <c r="H1631" s="6"/>
      <c r="I1631" s="6"/>
      <c r="J1631" s="6"/>
      <c r="K1631" s="6"/>
      <c r="L1631" s="6"/>
      <c r="M1631" s="6"/>
      <c r="N1631" s="6"/>
      <c r="O1631" s="7"/>
      <c r="P1631" s="6"/>
      <c r="Q1631" s="6"/>
      <c r="R1631" s="7"/>
      <c r="S1631" s="6"/>
      <c r="T1631" s="6"/>
      <c r="U1631" s="7"/>
      <c r="V1631" s="6"/>
      <c r="W1631" s="6"/>
      <c r="X1631" s="6"/>
      <c r="Y1631" s="6"/>
      <c r="Z1631" s="6"/>
      <c r="AA1631" s="7"/>
      <c r="AB1631" s="6"/>
      <c r="AC1631" s="6"/>
      <c r="AD1631" s="6"/>
      <c r="AE1631" s="12"/>
      <c r="AF1631" s="12"/>
      <c r="AG1631" s="12"/>
      <c r="AH1631" s="12"/>
      <c r="AI1631" s="6"/>
      <c r="AJ1631" s="12"/>
      <c r="AK1631" s="1"/>
      <c r="AL1631" s="12"/>
      <c r="AM1631" s="12"/>
      <c r="AN1631" s="1"/>
      <c r="AO1631" s="6"/>
    </row>
    <row r="1632" spans="1:41" ht="15" x14ac:dyDescent="0.25">
      <c r="A1632" s="1"/>
      <c r="B1632" s="1"/>
      <c r="C1632" s="1"/>
      <c r="D1632" s="1"/>
      <c r="E1632" s="6"/>
      <c r="F1632" s="1"/>
      <c r="G1632" s="6"/>
      <c r="H1632" s="6"/>
      <c r="I1632" s="6"/>
      <c r="J1632" s="6"/>
      <c r="K1632" s="6"/>
      <c r="L1632" s="6"/>
      <c r="M1632" s="6"/>
      <c r="N1632" s="6"/>
      <c r="O1632" s="7"/>
      <c r="P1632" s="6"/>
      <c r="Q1632" s="6"/>
      <c r="R1632" s="7"/>
      <c r="S1632" s="6"/>
      <c r="T1632" s="6"/>
      <c r="U1632" s="7"/>
      <c r="V1632" s="6"/>
      <c r="W1632" s="6"/>
      <c r="X1632" s="6"/>
      <c r="Y1632" s="6"/>
      <c r="Z1632" s="6"/>
      <c r="AA1632" s="7"/>
      <c r="AB1632" s="6"/>
      <c r="AC1632" s="6"/>
      <c r="AD1632" s="6"/>
      <c r="AE1632" s="12"/>
      <c r="AF1632" s="6"/>
      <c r="AG1632" s="12"/>
      <c r="AH1632" s="6"/>
      <c r="AI1632" s="6"/>
      <c r="AJ1632" s="12"/>
      <c r="AK1632" s="24"/>
      <c r="AL1632" s="25"/>
      <c r="AM1632" s="12"/>
      <c r="AN1632" s="1"/>
      <c r="AO1632" s="6"/>
    </row>
    <row r="1633" spans="1:41" ht="15" x14ac:dyDescent="0.25">
      <c r="A1633" s="1"/>
      <c r="B1633" s="1"/>
      <c r="C1633" s="1"/>
      <c r="D1633" s="1"/>
      <c r="E1633" s="6"/>
      <c r="F1633" s="1"/>
      <c r="G1633" s="6"/>
      <c r="H1633" s="6"/>
      <c r="I1633" s="6"/>
      <c r="J1633" s="6"/>
      <c r="K1633" s="6"/>
      <c r="L1633" s="6"/>
      <c r="M1633" s="6"/>
      <c r="N1633" s="6"/>
      <c r="O1633" s="7"/>
      <c r="P1633" s="6"/>
      <c r="Q1633" s="6"/>
      <c r="R1633" s="7"/>
      <c r="S1633" s="6"/>
      <c r="T1633" s="6"/>
      <c r="U1633" s="7"/>
      <c r="V1633" s="6"/>
      <c r="W1633" s="6"/>
      <c r="X1633" s="12"/>
      <c r="Y1633" s="6"/>
      <c r="Z1633" s="6"/>
      <c r="AA1633" s="7"/>
      <c r="AB1633" s="6"/>
      <c r="AC1633" s="6"/>
      <c r="AD1633" s="6"/>
      <c r="AE1633" s="12"/>
      <c r="AF1633" s="6"/>
      <c r="AG1633" s="12"/>
      <c r="AH1633" s="6"/>
      <c r="AI1633" s="6"/>
      <c r="AJ1633" s="12"/>
      <c r="AK1633" s="24"/>
      <c r="AL1633" s="25"/>
      <c r="AM1633" s="12"/>
      <c r="AN1633" s="1"/>
      <c r="AO1633" s="6"/>
    </row>
    <row r="1634" spans="1:41" ht="15" x14ac:dyDescent="0.25">
      <c r="A1634" s="1"/>
      <c r="B1634" s="1"/>
      <c r="C1634" s="1"/>
      <c r="D1634" s="1"/>
      <c r="E1634" s="6"/>
      <c r="F1634" s="1"/>
      <c r="G1634" s="6"/>
      <c r="H1634" s="6"/>
      <c r="I1634" s="6"/>
      <c r="J1634" s="6"/>
      <c r="K1634" s="6"/>
      <c r="L1634" s="6"/>
      <c r="M1634" s="6"/>
      <c r="N1634" s="6"/>
      <c r="O1634" s="7"/>
      <c r="P1634" s="6"/>
      <c r="Q1634" s="6"/>
      <c r="R1634" s="7"/>
      <c r="S1634" s="6"/>
      <c r="T1634" s="6"/>
      <c r="U1634" s="7"/>
      <c r="V1634" s="6"/>
      <c r="W1634" s="6"/>
      <c r="X1634" s="6"/>
      <c r="Y1634" s="6"/>
      <c r="Z1634" s="6"/>
      <c r="AA1634" s="15"/>
      <c r="AB1634" s="6"/>
      <c r="AC1634" s="6"/>
      <c r="AD1634" s="6"/>
      <c r="AE1634" s="12"/>
      <c r="AF1634" s="6"/>
      <c r="AG1634" s="12"/>
      <c r="AH1634" s="6"/>
      <c r="AI1634" s="6"/>
      <c r="AJ1634" s="12"/>
      <c r="AK1634" s="24"/>
      <c r="AL1634" s="25"/>
      <c r="AM1634" s="12"/>
      <c r="AN1634" s="1"/>
      <c r="AO1634" s="6"/>
    </row>
    <row r="1635" spans="1:41" ht="15" x14ac:dyDescent="0.25">
      <c r="A1635" s="1"/>
      <c r="B1635" s="1"/>
      <c r="C1635" s="1"/>
      <c r="D1635" s="1"/>
      <c r="E1635" s="6"/>
      <c r="F1635" s="1"/>
      <c r="G1635" s="6"/>
      <c r="H1635" s="6"/>
      <c r="I1635" s="6"/>
      <c r="J1635" s="6"/>
      <c r="K1635" s="12"/>
      <c r="L1635" s="12"/>
      <c r="M1635" s="6"/>
      <c r="N1635" s="6"/>
      <c r="O1635" s="7"/>
      <c r="P1635" s="12"/>
      <c r="Q1635" s="6"/>
      <c r="R1635" s="7"/>
      <c r="S1635" s="6"/>
      <c r="T1635" s="6"/>
      <c r="U1635" s="7"/>
      <c r="V1635" s="6"/>
      <c r="W1635" s="6"/>
      <c r="X1635" s="12"/>
      <c r="Y1635" s="6"/>
      <c r="Z1635" s="6"/>
      <c r="AA1635" s="7"/>
      <c r="AB1635" s="6"/>
      <c r="AC1635" s="6"/>
      <c r="AD1635" s="6"/>
      <c r="AE1635" s="12"/>
      <c r="AF1635" s="12"/>
      <c r="AG1635" s="12"/>
      <c r="AH1635" s="12"/>
      <c r="AI1635" s="6"/>
      <c r="AJ1635" s="12"/>
      <c r="AK1635" s="1"/>
      <c r="AL1635" s="12"/>
      <c r="AM1635" s="12"/>
      <c r="AN1635" s="1"/>
      <c r="AO1635" s="12"/>
    </row>
    <row r="1636" spans="1:41" ht="15" x14ac:dyDescent="0.25">
      <c r="A1636" s="1"/>
      <c r="B1636" s="1"/>
      <c r="C1636" s="1"/>
      <c r="D1636" s="1"/>
      <c r="E1636" s="6"/>
      <c r="F1636" s="1"/>
      <c r="G1636" s="6"/>
      <c r="H1636" s="6"/>
      <c r="I1636" s="6"/>
      <c r="J1636" s="6"/>
      <c r="K1636" s="6"/>
      <c r="L1636" s="6"/>
      <c r="M1636" s="6"/>
      <c r="N1636" s="6"/>
      <c r="O1636" s="7"/>
      <c r="P1636" s="6"/>
      <c r="Q1636" s="6"/>
      <c r="R1636" s="12"/>
      <c r="S1636" s="12"/>
      <c r="T1636" s="12"/>
      <c r="U1636" s="7"/>
      <c r="V1636" s="6"/>
      <c r="W1636" s="6"/>
      <c r="X1636" s="12"/>
      <c r="Y1636" s="6"/>
      <c r="Z1636" s="6"/>
      <c r="AA1636" s="7"/>
      <c r="AB1636" s="6"/>
      <c r="AC1636" s="6"/>
      <c r="AD1636" s="6"/>
      <c r="AE1636" s="12"/>
      <c r="AF1636" s="12"/>
      <c r="AG1636" s="12"/>
      <c r="AH1636" s="12"/>
      <c r="AI1636" s="6"/>
      <c r="AJ1636" s="12"/>
      <c r="AK1636" s="1"/>
      <c r="AL1636" s="12"/>
      <c r="AM1636" s="12"/>
      <c r="AN1636" s="1"/>
      <c r="AO1636" s="6"/>
    </row>
    <row r="1637" spans="1:41" ht="15" x14ac:dyDescent="0.25">
      <c r="A1637" s="1"/>
      <c r="B1637" s="1"/>
      <c r="C1637" s="1"/>
      <c r="D1637" s="1"/>
      <c r="E1637" s="6"/>
      <c r="F1637" s="1"/>
      <c r="G1637" s="6"/>
      <c r="H1637" s="6"/>
      <c r="I1637" s="6"/>
      <c r="J1637" s="6"/>
      <c r="K1637" s="6"/>
      <c r="L1637" s="6"/>
      <c r="M1637" s="6"/>
      <c r="N1637" s="6"/>
      <c r="O1637" s="7"/>
      <c r="P1637" s="6"/>
      <c r="Q1637" s="7"/>
      <c r="R1637" s="6"/>
      <c r="S1637" s="6"/>
      <c r="T1637" s="6"/>
      <c r="U1637" s="6"/>
      <c r="V1637" s="7"/>
      <c r="W1637" s="6"/>
      <c r="X1637" s="6"/>
      <c r="Y1637" s="6"/>
      <c r="Z1637" s="6"/>
      <c r="AA1637" s="24"/>
      <c r="AB1637" s="25"/>
      <c r="AC1637" s="12"/>
      <c r="AD1637" s="12"/>
      <c r="AE1637" s="12"/>
      <c r="AF1637" s="6"/>
      <c r="AG1637" s="12"/>
      <c r="AH1637" s="6"/>
      <c r="AI1637" s="6"/>
      <c r="AJ1637" s="12"/>
      <c r="AK1637" s="12"/>
      <c r="AL1637" s="12"/>
      <c r="AM1637" s="12"/>
      <c r="AN1637" s="1"/>
      <c r="AO1637" s="6"/>
    </row>
    <row r="1638" spans="1:41" ht="15" x14ac:dyDescent="0.25">
      <c r="A1638" s="1"/>
      <c r="B1638" s="1"/>
      <c r="C1638" s="1"/>
      <c r="D1638" s="1"/>
      <c r="E1638" s="6"/>
      <c r="F1638" s="1"/>
      <c r="G1638" s="6"/>
      <c r="H1638" s="6"/>
      <c r="I1638" s="6"/>
      <c r="J1638" s="6"/>
      <c r="K1638" s="6"/>
      <c r="L1638" s="6"/>
      <c r="M1638" s="6"/>
      <c r="N1638" s="6"/>
      <c r="O1638" s="7"/>
      <c r="P1638" s="6"/>
      <c r="Q1638" s="6"/>
      <c r="R1638" s="12"/>
      <c r="S1638" s="12"/>
      <c r="T1638" s="12"/>
      <c r="U1638" s="7"/>
      <c r="V1638" s="6"/>
      <c r="W1638" s="6"/>
      <c r="X1638" s="12"/>
      <c r="Y1638" s="6"/>
      <c r="Z1638" s="6"/>
      <c r="AA1638" s="7"/>
      <c r="AB1638" s="6"/>
      <c r="AC1638" s="6"/>
      <c r="AD1638" s="6"/>
      <c r="AE1638" s="12"/>
      <c r="AF1638" s="6"/>
      <c r="AG1638" s="12"/>
      <c r="AH1638" s="6"/>
      <c r="AI1638" s="6"/>
      <c r="AJ1638" s="12"/>
      <c r="AK1638" s="24"/>
      <c r="AL1638" s="25"/>
      <c r="AM1638" s="12"/>
      <c r="AN1638" s="1"/>
      <c r="AO1638" s="6"/>
    </row>
    <row r="1639" spans="1:41" ht="15" x14ac:dyDescent="0.25">
      <c r="A1639" s="1"/>
      <c r="B1639" s="1"/>
      <c r="C1639" s="1"/>
      <c r="D1639" s="1"/>
      <c r="E1639" s="6"/>
      <c r="F1639" s="1"/>
      <c r="G1639" s="6"/>
      <c r="H1639" s="6"/>
      <c r="I1639" s="6"/>
      <c r="J1639" s="6"/>
      <c r="K1639" s="12"/>
      <c r="L1639" s="12"/>
      <c r="M1639" s="6"/>
      <c r="N1639" s="6"/>
      <c r="O1639" s="7"/>
      <c r="P1639" s="12"/>
      <c r="Q1639" s="6"/>
      <c r="R1639" s="15"/>
      <c r="S1639" s="6"/>
      <c r="T1639" s="6"/>
      <c r="U1639" s="7"/>
      <c r="V1639" s="6"/>
      <c r="W1639" s="6"/>
      <c r="X1639" s="6"/>
      <c r="Y1639" s="6"/>
      <c r="Z1639" s="6"/>
      <c r="AA1639" s="7"/>
      <c r="AB1639" s="6"/>
      <c r="AC1639" s="6"/>
      <c r="AD1639" s="6"/>
      <c r="AE1639" s="12"/>
      <c r="AF1639" s="12"/>
      <c r="AG1639" s="12"/>
      <c r="AH1639" s="12"/>
      <c r="AI1639" s="6"/>
      <c r="AJ1639" s="12"/>
      <c r="AK1639" s="1"/>
      <c r="AL1639" s="12"/>
      <c r="AM1639" s="12"/>
      <c r="AN1639" s="1"/>
      <c r="AO1639" s="6"/>
    </row>
    <row r="1640" spans="1:41" ht="15" x14ac:dyDescent="0.25">
      <c r="A1640" s="1"/>
      <c r="B1640" s="1"/>
      <c r="C1640" s="1"/>
      <c r="D1640" s="1"/>
      <c r="E1640" s="6"/>
      <c r="F1640" s="1"/>
      <c r="G1640" s="6"/>
      <c r="H1640" s="6"/>
      <c r="I1640" s="6"/>
      <c r="J1640" s="6"/>
      <c r="K1640" s="6"/>
      <c r="L1640" s="6"/>
      <c r="M1640" s="6"/>
      <c r="N1640" s="6"/>
      <c r="O1640" s="7"/>
      <c r="P1640" s="6"/>
      <c r="Q1640" s="7"/>
      <c r="R1640" s="6"/>
      <c r="S1640" s="12"/>
      <c r="T1640" s="6"/>
      <c r="U1640" s="6"/>
      <c r="V1640" s="7"/>
      <c r="W1640" s="7"/>
      <c r="X1640" s="6"/>
      <c r="Y1640" s="6"/>
      <c r="Z1640" s="6"/>
      <c r="AA1640" s="1"/>
      <c r="AB1640" s="12"/>
      <c r="AC1640" s="12"/>
      <c r="AD1640" s="12"/>
      <c r="AE1640" s="12"/>
      <c r="AF1640" s="12"/>
      <c r="AG1640" s="12"/>
      <c r="AH1640" s="12"/>
      <c r="AI1640" s="6"/>
      <c r="AJ1640" s="12"/>
      <c r="AK1640" s="12"/>
      <c r="AL1640" s="12"/>
      <c r="AM1640" s="12"/>
      <c r="AN1640" s="1"/>
      <c r="AO1640" s="6"/>
    </row>
    <row r="1641" spans="1:41" ht="15" x14ac:dyDescent="0.25">
      <c r="A1641" s="1"/>
      <c r="B1641" s="1"/>
      <c r="C1641" s="1"/>
      <c r="D1641" s="1"/>
      <c r="E1641" s="6"/>
      <c r="F1641" s="1"/>
      <c r="G1641" s="6"/>
      <c r="H1641" s="6"/>
      <c r="I1641" s="6"/>
      <c r="J1641" s="6"/>
      <c r="K1641" s="6"/>
      <c r="L1641" s="6"/>
      <c r="M1641" s="6"/>
      <c r="N1641" s="6"/>
      <c r="O1641" s="7"/>
      <c r="P1641" s="6"/>
      <c r="Q1641" s="7"/>
      <c r="R1641" s="6"/>
      <c r="S1641" s="6"/>
      <c r="T1641" s="6"/>
      <c r="U1641" s="6"/>
      <c r="V1641" s="7"/>
      <c r="W1641" s="6"/>
      <c r="X1641" s="6"/>
      <c r="Y1641" s="6"/>
      <c r="Z1641" s="6"/>
      <c r="AA1641" s="1"/>
      <c r="AB1641" s="12"/>
      <c r="AC1641" s="12"/>
      <c r="AD1641" s="12"/>
      <c r="AE1641" s="12"/>
      <c r="AF1641" s="6"/>
      <c r="AG1641" s="12"/>
      <c r="AH1641" s="6"/>
      <c r="AI1641" s="6"/>
      <c r="AJ1641" s="12"/>
      <c r="AK1641" s="12"/>
      <c r="AL1641" s="12"/>
      <c r="AM1641" s="12"/>
      <c r="AN1641" s="1"/>
      <c r="AO1641" s="6"/>
    </row>
    <row r="1642" spans="1:41" ht="15" x14ac:dyDescent="0.25">
      <c r="A1642" s="1"/>
      <c r="B1642" s="1"/>
      <c r="C1642" s="1"/>
      <c r="D1642" s="1"/>
      <c r="E1642" s="6"/>
      <c r="F1642" s="1"/>
      <c r="G1642" s="6"/>
      <c r="H1642" s="6"/>
      <c r="I1642" s="6"/>
      <c r="J1642" s="6"/>
      <c r="K1642" s="6"/>
      <c r="L1642" s="6"/>
      <c r="M1642" s="6"/>
      <c r="N1642" s="6"/>
      <c r="O1642" s="7"/>
      <c r="P1642" s="6"/>
      <c r="Q1642" s="6"/>
      <c r="R1642" s="7"/>
      <c r="S1642" s="6"/>
      <c r="T1642" s="6"/>
      <c r="U1642" s="7"/>
      <c r="V1642" s="6"/>
      <c r="W1642" s="6"/>
      <c r="X1642" s="6"/>
      <c r="Y1642" s="6"/>
      <c r="Z1642" s="6"/>
      <c r="AA1642" s="7"/>
      <c r="AB1642" s="6"/>
      <c r="AC1642" s="6"/>
      <c r="AD1642" s="6"/>
      <c r="AE1642" s="12"/>
      <c r="AF1642" s="6"/>
      <c r="AG1642" s="12"/>
      <c r="AH1642" s="6"/>
      <c r="AI1642" s="6"/>
      <c r="AJ1642" s="12"/>
      <c r="AK1642" s="1"/>
      <c r="AL1642" s="12"/>
      <c r="AM1642" s="12"/>
      <c r="AN1642" s="1"/>
      <c r="AO1642" s="6"/>
    </row>
    <row r="1643" spans="1:41" ht="15" x14ac:dyDescent="0.25">
      <c r="A1643" s="1"/>
      <c r="B1643" s="1"/>
      <c r="C1643" s="1"/>
      <c r="D1643" s="1"/>
      <c r="E1643" s="6"/>
      <c r="F1643" s="1"/>
      <c r="G1643" s="6"/>
      <c r="H1643" s="6"/>
      <c r="I1643" s="6"/>
      <c r="J1643" s="6"/>
      <c r="K1643" s="6"/>
      <c r="L1643" s="6"/>
      <c r="M1643" s="6"/>
      <c r="N1643" s="6"/>
      <c r="O1643" s="7"/>
      <c r="P1643" s="6"/>
      <c r="Q1643" s="6"/>
      <c r="R1643" s="7"/>
      <c r="S1643" s="6"/>
      <c r="T1643" s="6"/>
      <c r="U1643" s="6"/>
      <c r="V1643" s="6"/>
      <c r="W1643" s="6"/>
      <c r="X1643" s="7"/>
      <c r="Y1643" s="6"/>
      <c r="Z1643" s="6"/>
      <c r="AA1643" s="7"/>
      <c r="AB1643" s="6"/>
      <c r="AC1643" s="6"/>
      <c r="AD1643" s="6"/>
      <c r="AE1643" s="12"/>
      <c r="AF1643" s="6"/>
      <c r="AG1643" s="12"/>
      <c r="AH1643" s="6"/>
      <c r="AI1643" s="6"/>
      <c r="AJ1643" s="12"/>
      <c r="AK1643" s="6"/>
      <c r="AL1643" s="12"/>
      <c r="AM1643" s="12"/>
      <c r="AN1643" s="1"/>
      <c r="AO1643" s="6"/>
    </row>
    <row r="1644" spans="1:41" ht="15" x14ac:dyDescent="0.25">
      <c r="A1644" s="1"/>
      <c r="B1644" s="1"/>
      <c r="C1644" s="1"/>
      <c r="D1644" s="1"/>
      <c r="E1644" s="6"/>
      <c r="F1644" s="1"/>
      <c r="G1644" s="6"/>
      <c r="H1644" s="6"/>
      <c r="I1644" s="6"/>
      <c r="J1644" s="6"/>
      <c r="K1644" s="6"/>
      <c r="L1644" s="6"/>
      <c r="M1644" s="6"/>
      <c r="N1644" s="6"/>
      <c r="O1644" s="7"/>
      <c r="P1644" s="6"/>
      <c r="Q1644" s="7"/>
      <c r="R1644" s="6"/>
      <c r="S1644" s="6"/>
      <c r="T1644" s="6"/>
      <c r="U1644" s="6"/>
      <c r="V1644" s="7"/>
      <c r="W1644" s="6"/>
      <c r="X1644" s="6"/>
      <c r="Y1644" s="6"/>
      <c r="Z1644" s="6"/>
      <c r="AA1644" s="1"/>
      <c r="AB1644" s="12"/>
      <c r="AC1644" s="12"/>
      <c r="AD1644" s="12"/>
      <c r="AE1644" s="12"/>
      <c r="AF1644" s="6"/>
      <c r="AG1644" s="12"/>
      <c r="AH1644" s="6"/>
      <c r="AI1644" s="6"/>
      <c r="AJ1644" s="12"/>
      <c r="AK1644" s="12"/>
      <c r="AL1644" s="12"/>
      <c r="AM1644" s="12"/>
      <c r="AN1644" s="1"/>
      <c r="AO1644" s="6"/>
    </row>
    <row r="1645" spans="1:41" ht="15" x14ac:dyDescent="0.25">
      <c r="A1645" s="1"/>
      <c r="B1645" s="1"/>
      <c r="C1645" s="1"/>
      <c r="D1645" s="1"/>
      <c r="E1645" s="6"/>
      <c r="F1645" s="1"/>
      <c r="G1645" s="6"/>
      <c r="H1645" s="6"/>
      <c r="I1645" s="6"/>
      <c r="J1645" s="6"/>
      <c r="K1645" s="6"/>
      <c r="L1645" s="6"/>
      <c r="M1645" s="6"/>
      <c r="N1645" s="6"/>
      <c r="O1645" s="7"/>
      <c r="P1645" s="6"/>
      <c r="Q1645" s="7"/>
      <c r="R1645" s="6"/>
      <c r="S1645" s="6"/>
      <c r="T1645" s="6"/>
      <c r="U1645" s="6"/>
      <c r="V1645" s="7"/>
      <c r="W1645" s="6"/>
      <c r="X1645" s="6"/>
      <c r="Y1645" s="6"/>
      <c r="Z1645" s="6"/>
      <c r="AA1645" s="24"/>
      <c r="AB1645" s="25"/>
      <c r="AC1645" s="12"/>
      <c r="AD1645" s="12"/>
      <c r="AE1645" s="12"/>
      <c r="AF1645" s="6"/>
      <c r="AG1645" s="12"/>
      <c r="AH1645" s="6"/>
      <c r="AI1645" s="6"/>
      <c r="AJ1645" s="12"/>
      <c r="AK1645" s="12"/>
      <c r="AL1645" s="12"/>
      <c r="AM1645" s="12"/>
      <c r="AN1645" s="1"/>
      <c r="AO1645" s="6"/>
    </row>
    <row r="1646" spans="1:41" ht="15" x14ac:dyDescent="0.25">
      <c r="A1646" s="1"/>
      <c r="B1646" s="1"/>
      <c r="C1646" s="1"/>
      <c r="D1646" s="1"/>
      <c r="E1646" s="6"/>
      <c r="F1646" s="1"/>
      <c r="G1646" s="6"/>
      <c r="H1646" s="6"/>
      <c r="I1646" s="6"/>
      <c r="J1646" s="6"/>
      <c r="K1646" s="6"/>
      <c r="L1646" s="6"/>
      <c r="M1646" s="6"/>
      <c r="N1646" s="6"/>
      <c r="O1646" s="7"/>
      <c r="P1646" s="6"/>
      <c r="Q1646" s="7"/>
      <c r="R1646" s="6"/>
      <c r="S1646" s="6"/>
      <c r="T1646" s="6"/>
      <c r="U1646" s="6"/>
      <c r="V1646" s="7"/>
      <c r="W1646" s="7"/>
      <c r="X1646" s="6"/>
      <c r="Y1646" s="6"/>
      <c r="Z1646" s="6"/>
      <c r="AA1646" s="1"/>
      <c r="AB1646" s="12"/>
      <c r="AC1646" s="12"/>
      <c r="AD1646" s="12"/>
      <c r="AE1646" s="12"/>
      <c r="AF1646" s="6"/>
      <c r="AG1646" s="12"/>
      <c r="AH1646" s="6"/>
      <c r="AI1646" s="6"/>
      <c r="AJ1646" s="12"/>
      <c r="AK1646" s="12"/>
      <c r="AL1646" s="12"/>
      <c r="AM1646" s="12"/>
      <c r="AN1646" s="1"/>
      <c r="AO1646" s="6"/>
    </row>
    <row r="1647" spans="1:41" ht="15" x14ac:dyDescent="0.25">
      <c r="A1647" s="1"/>
      <c r="B1647" s="1"/>
      <c r="C1647" s="1"/>
      <c r="D1647" s="1"/>
      <c r="E1647" s="6"/>
      <c r="F1647" s="1"/>
      <c r="G1647" s="6"/>
      <c r="H1647" s="6"/>
      <c r="I1647" s="6"/>
      <c r="J1647" s="6"/>
      <c r="K1647" s="6"/>
      <c r="L1647" s="6"/>
      <c r="M1647" s="6"/>
      <c r="N1647" s="6"/>
      <c r="O1647" s="7"/>
      <c r="P1647" s="6"/>
      <c r="Q1647" s="6"/>
      <c r="R1647" s="7"/>
      <c r="S1647" s="6"/>
      <c r="T1647" s="6"/>
      <c r="U1647" s="7"/>
      <c r="V1647" s="6"/>
      <c r="W1647" s="6"/>
      <c r="X1647" s="6"/>
      <c r="Y1647" s="6"/>
      <c r="Z1647" s="6"/>
      <c r="AA1647" s="7"/>
      <c r="AB1647" s="6"/>
      <c r="AC1647" s="6"/>
      <c r="AD1647" s="6"/>
      <c r="AE1647" s="12"/>
      <c r="AF1647" s="6"/>
      <c r="AG1647" s="12"/>
      <c r="AH1647" s="6"/>
      <c r="AI1647" s="6"/>
      <c r="AJ1647" s="12"/>
      <c r="AK1647" s="1"/>
      <c r="AL1647" s="12"/>
      <c r="AM1647" s="12"/>
      <c r="AN1647" s="1"/>
      <c r="AO1647" s="6"/>
    </row>
    <row r="1648" spans="1:41" ht="15" x14ac:dyDescent="0.25">
      <c r="A1648" s="1"/>
      <c r="B1648" s="1"/>
      <c r="C1648" s="1"/>
      <c r="D1648" s="1"/>
      <c r="E1648" s="6"/>
      <c r="F1648" s="1"/>
      <c r="G1648" s="6"/>
      <c r="H1648" s="6"/>
      <c r="I1648" s="6"/>
      <c r="J1648" s="6"/>
      <c r="K1648" s="6"/>
      <c r="L1648" s="6"/>
      <c r="M1648" s="6"/>
      <c r="N1648" s="6"/>
      <c r="O1648" s="7"/>
      <c r="P1648" s="6"/>
      <c r="Q1648" s="6"/>
      <c r="R1648" s="7"/>
      <c r="S1648" s="6"/>
      <c r="T1648" s="6"/>
      <c r="U1648" s="6"/>
      <c r="V1648" s="6"/>
      <c r="W1648" s="6"/>
      <c r="X1648" s="7"/>
      <c r="Y1648" s="6"/>
      <c r="Z1648" s="6"/>
      <c r="AA1648" s="7"/>
      <c r="AB1648" s="6"/>
      <c r="AC1648" s="6"/>
      <c r="AD1648" s="6"/>
      <c r="AE1648" s="12"/>
      <c r="AF1648" s="6"/>
      <c r="AG1648" s="12"/>
      <c r="AH1648" s="6"/>
      <c r="AI1648" s="6"/>
      <c r="AJ1648" s="12"/>
      <c r="AK1648" s="6"/>
      <c r="AL1648" s="12"/>
      <c r="AM1648" s="12"/>
      <c r="AN1648" s="1"/>
      <c r="AO1648" s="6"/>
    </row>
    <row r="1649" spans="1:41" ht="15" x14ac:dyDescent="0.25">
      <c r="A1649" s="1"/>
      <c r="B1649" s="1"/>
      <c r="C1649" s="1"/>
      <c r="D1649" s="1"/>
      <c r="E1649" s="6"/>
      <c r="F1649" s="1"/>
      <c r="G1649" s="6"/>
      <c r="H1649" s="6"/>
      <c r="I1649" s="6"/>
      <c r="J1649" s="6"/>
      <c r="K1649" s="6"/>
      <c r="L1649" s="6"/>
      <c r="M1649" s="6"/>
      <c r="N1649" s="6"/>
      <c r="O1649" s="7"/>
      <c r="P1649" s="12"/>
      <c r="Q1649" s="6"/>
      <c r="R1649" s="7"/>
      <c r="S1649" s="6"/>
      <c r="T1649" s="6"/>
      <c r="U1649" s="7"/>
      <c r="V1649" s="6"/>
      <c r="W1649" s="6"/>
      <c r="X1649" s="12"/>
      <c r="Y1649" s="6"/>
      <c r="Z1649" s="6"/>
      <c r="AA1649" s="7"/>
      <c r="AB1649" s="6"/>
      <c r="AC1649" s="6"/>
      <c r="AD1649" s="6"/>
      <c r="AE1649" s="12"/>
      <c r="AF1649" s="6"/>
      <c r="AG1649" s="12"/>
      <c r="AH1649" s="6"/>
      <c r="AI1649" s="6"/>
      <c r="AJ1649" s="12"/>
      <c r="AK1649" s="24"/>
      <c r="AL1649" s="25"/>
      <c r="AM1649" s="12"/>
      <c r="AN1649" s="1"/>
      <c r="AO1649" s="6"/>
    </row>
    <row r="1650" spans="1:41" ht="15" x14ac:dyDescent="0.25">
      <c r="A1650" s="1"/>
      <c r="B1650" s="1"/>
      <c r="C1650" s="1"/>
      <c r="D1650" s="1"/>
      <c r="E1650" s="6"/>
      <c r="F1650" s="1"/>
      <c r="G1650" s="6"/>
      <c r="H1650" s="6"/>
      <c r="I1650" s="6"/>
      <c r="J1650" s="6"/>
      <c r="K1650" s="6"/>
      <c r="L1650" s="6"/>
      <c r="M1650" s="6"/>
      <c r="N1650" s="6"/>
      <c r="O1650" s="12"/>
      <c r="P1650" s="12"/>
      <c r="Q1650" s="6"/>
      <c r="R1650" s="12"/>
      <c r="S1650" s="12"/>
      <c r="T1650" s="12"/>
      <c r="U1650" s="6"/>
      <c r="V1650" s="12"/>
      <c r="W1650" s="12"/>
      <c r="X1650" s="12"/>
      <c r="Y1650" s="6"/>
      <c r="Z1650" s="6"/>
      <c r="AA1650" s="6"/>
      <c r="AB1650" s="12"/>
      <c r="AC1650" s="12"/>
      <c r="AD1650" s="12"/>
      <c r="AE1650" s="12"/>
      <c r="AF1650" s="12"/>
      <c r="AG1650" s="12"/>
      <c r="AH1650" s="12"/>
      <c r="AI1650" s="6"/>
      <c r="AJ1650" s="12"/>
      <c r="AK1650" s="24"/>
      <c r="AL1650" s="25"/>
      <c r="AM1650" s="12"/>
      <c r="AN1650" s="1"/>
      <c r="AO1650" s="6"/>
    </row>
    <row r="1651" spans="1:41" ht="15" x14ac:dyDescent="0.25">
      <c r="A1651" s="1"/>
      <c r="B1651" s="1"/>
      <c r="C1651" s="1"/>
      <c r="D1651" s="1"/>
      <c r="E1651" s="6"/>
      <c r="F1651" s="1"/>
      <c r="G1651" s="6"/>
      <c r="H1651" s="6"/>
      <c r="I1651" s="6"/>
      <c r="J1651" s="6"/>
      <c r="K1651" s="6"/>
      <c r="L1651" s="6"/>
      <c r="M1651" s="6"/>
      <c r="N1651" s="6"/>
      <c r="O1651" s="7"/>
      <c r="P1651" s="6"/>
      <c r="Q1651" s="6"/>
      <c r="R1651" s="12"/>
      <c r="S1651" s="12"/>
      <c r="T1651" s="12"/>
      <c r="U1651" s="7"/>
      <c r="V1651" s="6"/>
      <c r="W1651" s="6"/>
      <c r="X1651" s="12"/>
      <c r="Y1651" s="6"/>
      <c r="Z1651" s="6"/>
      <c r="AA1651" s="7"/>
      <c r="AB1651" s="6"/>
      <c r="AC1651" s="6"/>
      <c r="AD1651" s="6"/>
      <c r="AE1651" s="12"/>
      <c r="AF1651" s="12"/>
      <c r="AG1651" s="12"/>
      <c r="AH1651" s="12"/>
      <c r="AI1651" s="6"/>
      <c r="AJ1651" s="12"/>
      <c r="AK1651" s="24"/>
      <c r="AL1651" s="25"/>
      <c r="AM1651" s="12"/>
      <c r="AN1651" s="1"/>
      <c r="AO1651" s="6"/>
    </row>
    <row r="1652" spans="1:41" ht="15" x14ac:dyDescent="0.25">
      <c r="A1652" s="1"/>
      <c r="B1652" s="1"/>
      <c r="C1652" s="1"/>
      <c r="D1652" s="1"/>
      <c r="E1652" s="6"/>
      <c r="F1652" s="1"/>
      <c r="G1652" s="6"/>
      <c r="H1652" s="6"/>
      <c r="I1652" s="6"/>
      <c r="J1652" s="6"/>
      <c r="K1652" s="6"/>
      <c r="L1652" s="6"/>
      <c r="M1652" s="6"/>
      <c r="N1652" s="6"/>
      <c r="O1652" s="7"/>
      <c r="P1652" s="6"/>
      <c r="Q1652" s="6"/>
      <c r="R1652" s="7"/>
      <c r="S1652" s="6"/>
      <c r="T1652" s="6"/>
      <c r="U1652" s="6"/>
      <c r="V1652" s="6"/>
      <c r="W1652" s="6"/>
      <c r="X1652" s="7"/>
      <c r="Y1652" s="6"/>
      <c r="Z1652" s="6"/>
      <c r="AA1652" s="7"/>
      <c r="AB1652" s="6"/>
      <c r="AC1652" s="6"/>
      <c r="AD1652" s="6"/>
      <c r="AE1652" s="12"/>
      <c r="AF1652" s="6"/>
      <c r="AG1652" s="12"/>
      <c r="AH1652" s="6"/>
      <c r="AI1652" s="6"/>
      <c r="AJ1652" s="12"/>
      <c r="AK1652" s="6"/>
      <c r="AL1652" s="12"/>
      <c r="AM1652" s="12"/>
      <c r="AN1652" s="1"/>
      <c r="AO1652" s="6"/>
    </row>
    <row r="1653" spans="1:41" ht="15" x14ac:dyDescent="0.25">
      <c r="A1653" s="1"/>
      <c r="B1653" s="1"/>
      <c r="C1653" s="1"/>
      <c r="D1653" s="1"/>
      <c r="E1653" s="6"/>
      <c r="F1653" s="1"/>
      <c r="G1653" s="6"/>
      <c r="H1653" s="6"/>
      <c r="I1653" s="6"/>
      <c r="J1653" s="6"/>
      <c r="K1653" s="6"/>
      <c r="L1653" s="6"/>
      <c r="M1653" s="6"/>
      <c r="N1653" s="6"/>
      <c r="O1653" s="7"/>
      <c r="P1653" s="6"/>
      <c r="Q1653" s="6"/>
      <c r="R1653" s="7"/>
      <c r="S1653" s="6"/>
      <c r="T1653" s="6"/>
      <c r="U1653" s="7"/>
      <c r="V1653" s="6"/>
      <c r="W1653" s="6"/>
      <c r="X1653" s="6"/>
      <c r="Y1653" s="6"/>
      <c r="Z1653" s="6"/>
      <c r="AA1653" s="7"/>
      <c r="AB1653" s="6"/>
      <c r="AC1653" s="6"/>
      <c r="AD1653" s="6"/>
      <c r="AE1653" s="12"/>
      <c r="AF1653" s="12"/>
      <c r="AG1653" s="12"/>
      <c r="AH1653" s="12"/>
      <c r="AI1653" s="6"/>
      <c r="AJ1653" s="12"/>
      <c r="AK1653" s="1"/>
      <c r="AL1653" s="12"/>
      <c r="AM1653" s="12"/>
      <c r="AN1653" s="1"/>
      <c r="AO1653" s="6"/>
    </row>
    <row r="1654" spans="1:41" ht="15" x14ac:dyDescent="0.25">
      <c r="A1654" s="1"/>
      <c r="B1654" s="1"/>
      <c r="C1654" s="1"/>
      <c r="D1654" s="1"/>
      <c r="E1654" s="6"/>
      <c r="F1654" s="1"/>
      <c r="G1654" s="6"/>
      <c r="H1654" s="6"/>
      <c r="I1654" s="6"/>
      <c r="J1654" s="6"/>
      <c r="K1654" s="6"/>
      <c r="L1654" s="6"/>
      <c r="M1654" s="6"/>
      <c r="N1654" s="6"/>
      <c r="O1654" s="7"/>
      <c r="P1654" s="6"/>
      <c r="Q1654" s="6"/>
      <c r="R1654" s="7"/>
      <c r="S1654" s="6"/>
      <c r="T1654" s="6"/>
      <c r="U1654" s="7"/>
      <c r="V1654" s="6"/>
      <c r="W1654" s="6"/>
      <c r="X1654" s="6"/>
      <c r="Y1654" s="6"/>
      <c r="Z1654" s="6"/>
      <c r="AA1654" s="7"/>
      <c r="AB1654" s="6"/>
      <c r="AC1654" s="6"/>
      <c r="AD1654" s="6"/>
      <c r="AE1654" s="12"/>
      <c r="AF1654" s="12"/>
      <c r="AG1654" s="12"/>
      <c r="AH1654" s="12"/>
      <c r="AI1654" s="6"/>
      <c r="AJ1654" s="12"/>
      <c r="AK1654" s="1"/>
      <c r="AL1654" s="12"/>
      <c r="AM1654" s="12"/>
      <c r="AN1654" s="1"/>
      <c r="AO1654" s="6"/>
    </row>
    <row r="1655" spans="1:41" ht="15" x14ac:dyDescent="0.25">
      <c r="A1655" s="1"/>
      <c r="B1655" s="1"/>
      <c r="C1655" s="1"/>
      <c r="D1655" s="1"/>
      <c r="E1655" s="6"/>
      <c r="F1655" s="1"/>
      <c r="G1655" s="6"/>
      <c r="H1655" s="6"/>
      <c r="I1655" s="6"/>
      <c r="J1655" s="6"/>
      <c r="K1655" s="6"/>
      <c r="L1655" s="6"/>
      <c r="M1655" s="6"/>
      <c r="N1655" s="6"/>
      <c r="O1655" s="7"/>
      <c r="P1655" s="6"/>
      <c r="Q1655" s="6"/>
      <c r="R1655" s="7"/>
      <c r="S1655" s="6"/>
      <c r="T1655" s="6"/>
      <c r="U1655" s="7"/>
      <c r="V1655" s="6"/>
      <c r="W1655" s="6"/>
      <c r="X1655" s="12"/>
      <c r="Y1655" s="6"/>
      <c r="Z1655" s="6"/>
      <c r="AA1655" s="7"/>
      <c r="AB1655" s="6"/>
      <c r="AC1655" s="6"/>
      <c r="AD1655" s="6"/>
      <c r="AE1655" s="12"/>
      <c r="AF1655" s="6"/>
      <c r="AG1655" s="12"/>
      <c r="AH1655" s="6"/>
      <c r="AI1655" s="6"/>
      <c r="AJ1655" s="12"/>
      <c r="AK1655" s="1"/>
      <c r="AL1655" s="12"/>
      <c r="AM1655" s="12"/>
      <c r="AN1655" s="1"/>
      <c r="AO1655" s="6"/>
    </row>
    <row r="1656" spans="1:41" ht="15" x14ac:dyDescent="0.25">
      <c r="A1656" s="1"/>
      <c r="B1656" s="1"/>
      <c r="C1656" s="1"/>
      <c r="D1656" s="1"/>
      <c r="E1656" s="6"/>
      <c r="F1656" s="1"/>
      <c r="G1656" s="6"/>
      <c r="H1656" s="6"/>
      <c r="I1656" s="6"/>
      <c r="J1656" s="6"/>
      <c r="K1656" s="6"/>
      <c r="L1656" s="6"/>
      <c r="M1656" s="6"/>
      <c r="N1656" s="6"/>
      <c r="O1656" s="7"/>
      <c r="P1656" s="6"/>
      <c r="Q1656" s="6"/>
      <c r="R1656" s="7"/>
      <c r="S1656" s="6"/>
      <c r="T1656" s="6"/>
      <c r="U1656" s="7"/>
      <c r="V1656" s="6"/>
      <c r="W1656" s="6"/>
      <c r="X1656" s="6"/>
      <c r="Y1656" s="6"/>
      <c r="Z1656" s="6"/>
      <c r="AA1656" s="7"/>
      <c r="AB1656" s="6"/>
      <c r="AC1656" s="6"/>
      <c r="AD1656" s="6"/>
      <c r="AE1656" s="12"/>
      <c r="AF1656" s="6"/>
      <c r="AG1656" s="12"/>
      <c r="AH1656" s="6"/>
      <c r="AI1656" s="6"/>
      <c r="AJ1656" s="12"/>
      <c r="AK1656" s="1"/>
      <c r="AL1656" s="12"/>
      <c r="AM1656" s="12"/>
      <c r="AN1656" s="1"/>
      <c r="AO1656" s="6"/>
    </row>
    <row r="1657" spans="1:41" ht="15" x14ac:dyDescent="0.25">
      <c r="A1657" s="1"/>
      <c r="B1657" s="1"/>
      <c r="C1657" s="1"/>
      <c r="D1657" s="1"/>
      <c r="E1657" s="6"/>
      <c r="F1657" s="1"/>
      <c r="G1657" s="6"/>
      <c r="H1657" s="6"/>
      <c r="I1657" s="6"/>
      <c r="J1657" s="6"/>
      <c r="K1657" s="6"/>
      <c r="L1657" s="6"/>
      <c r="M1657" s="6"/>
      <c r="N1657" s="6"/>
      <c r="O1657" s="7"/>
      <c r="P1657" s="6"/>
      <c r="Q1657" s="7"/>
      <c r="R1657" s="6"/>
      <c r="S1657" s="6"/>
      <c r="T1657" s="6"/>
      <c r="U1657" s="6"/>
      <c r="V1657" s="7"/>
      <c r="W1657" s="6"/>
      <c r="X1657" s="6"/>
      <c r="Y1657" s="6"/>
      <c r="Z1657" s="6"/>
      <c r="AA1657" s="1"/>
      <c r="AB1657" s="12"/>
      <c r="AC1657" s="12"/>
      <c r="AD1657" s="12"/>
      <c r="AE1657" s="12"/>
      <c r="AF1657" s="6"/>
      <c r="AG1657" s="12"/>
      <c r="AH1657" s="6"/>
      <c r="AI1657" s="6"/>
      <c r="AJ1657" s="12"/>
      <c r="AK1657" s="12"/>
      <c r="AL1657" s="12"/>
      <c r="AM1657" s="12"/>
      <c r="AN1657" s="1"/>
      <c r="AO1657" s="6"/>
    </row>
    <row r="1658" spans="1:41" ht="15" x14ac:dyDescent="0.25">
      <c r="A1658" s="1"/>
      <c r="B1658" s="1"/>
      <c r="C1658" s="1"/>
      <c r="D1658" s="1"/>
      <c r="E1658" s="6"/>
      <c r="F1658" s="1"/>
      <c r="G1658" s="6"/>
      <c r="H1658" s="6"/>
      <c r="I1658" s="6"/>
      <c r="J1658" s="6"/>
      <c r="K1658" s="6"/>
      <c r="L1658" s="6"/>
      <c r="M1658" s="6"/>
      <c r="N1658" s="6"/>
      <c r="O1658" s="7"/>
      <c r="P1658" s="6"/>
      <c r="Q1658" s="6"/>
      <c r="R1658" s="7"/>
      <c r="S1658" s="6"/>
      <c r="T1658" s="6"/>
      <c r="U1658" s="7"/>
      <c r="V1658" s="6"/>
      <c r="W1658" s="6"/>
      <c r="X1658" s="6"/>
      <c r="Y1658" s="6"/>
      <c r="Z1658" s="6"/>
      <c r="AA1658" s="7"/>
      <c r="AB1658" s="6"/>
      <c r="AC1658" s="6"/>
      <c r="AD1658" s="6"/>
      <c r="AE1658" s="12"/>
      <c r="AF1658" s="6"/>
      <c r="AG1658" s="12"/>
      <c r="AH1658" s="6"/>
      <c r="AI1658" s="6"/>
      <c r="AJ1658" s="12"/>
      <c r="AK1658" s="24"/>
      <c r="AL1658" s="25"/>
      <c r="AM1658" s="12"/>
      <c r="AN1658" s="1"/>
      <c r="AO1658" s="6"/>
    </row>
    <row r="1659" spans="1:41" ht="15" x14ac:dyDescent="0.25">
      <c r="A1659" s="1"/>
      <c r="B1659" s="1"/>
      <c r="C1659" s="1"/>
      <c r="D1659" s="1"/>
      <c r="E1659" s="6"/>
      <c r="F1659" s="1"/>
      <c r="G1659" s="6"/>
      <c r="H1659" s="6"/>
      <c r="I1659" s="6"/>
      <c r="J1659" s="6"/>
      <c r="K1659" s="6"/>
      <c r="L1659" s="6"/>
      <c r="M1659" s="6"/>
      <c r="N1659" s="6"/>
      <c r="O1659" s="7"/>
      <c r="P1659" s="6"/>
      <c r="Q1659" s="6"/>
      <c r="R1659" s="7"/>
      <c r="S1659" s="6"/>
      <c r="T1659" s="6"/>
      <c r="U1659" s="7"/>
      <c r="V1659" s="6"/>
      <c r="W1659" s="6"/>
      <c r="X1659" s="12"/>
      <c r="Y1659" s="6"/>
      <c r="Z1659" s="6"/>
      <c r="AA1659" s="7"/>
      <c r="AB1659" s="6"/>
      <c r="AC1659" s="6"/>
      <c r="AD1659" s="6"/>
      <c r="AE1659" s="12"/>
      <c r="AF1659" s="6"/>
      <c r="AG1659" s="12"/>
      <c r="AH1659" s="6"/>
      <c r="AI1659" s="6"/>
      <c r="AJ1659" s="12"/>
      <c r="AK1659" s="1"/>
      <c r="AL1659" s="12"/>
      <c r="AM1659" s="12"/>
      <c r="AN1659" s="1"/>
      <c r="AO1659" s="6"/>
    </row>
    <row r="1660" spans="1:41" ht="15" x14ac:dyDescent="0.25">
      <c r="A1660" s="1"/>
      <c r="B1660" s="1"/>
      <c r="C1660" s="1"/>
      <c r="D1660" s="1"/>
      <c r="E1660" s="6"/>
      <c r="F1660" s="1"/>
      <c r="G1660" s="6"/>
      <c r="H1660" s="6"/>
      <c r="I1660" s="6"/>
      <c r="J1660" s="6"/>
      <c r="K1660" s="6"/>
      <c r="L1660" s="6"/>
      <c r="M1660" s="6"/>
      <c r="N1660" s="6"/>
      <c r="O1660" s="7"/>
      <c r="P1660" s="6"/>
      <c r="Q1660" s="6"/>
      <c r="R1660" s="7"/>
      <c r="S1660" s="6"/>
      <c r="T1660" s="6"/>
      <c r="U1660" s="7"/>
      <c r="V1660" s="6"/>
      <c r="W1660" s="6"/>
      <c r="X1660" s="6"/>
      <c r="Y1660" s="6"/>
      <c r="Z1660" s="6"/>
      <c r="AA1660" s="7"/>
      <c r="AB1660" s="6"/>
      <c r="AC1660" s="6"/>
      <c r="AD1660" s="6"/>
      <c r="AE1660" s="12"/>
      <c r="AF1660" s="6"/>
      <c r="AG1660" s="12"/>
      <c r="AH1660" s="6"/>
      <c r="AI1660" s="6"/>
      <c r="AJ1660" s="12"/>
      <c r="AK1660" s="1"/>
      <c r="AL1660" s="12"/>
      <c r="AM1660" s="12"/>
      <c r="AN1660" s="1"/>
      <c r="AO1660" s="6"/>
    </row>
    <row r="1661" spans="1:41" ht="15" x14ac:dyDescent="0.25">
      <c r="A1661" s="1"/>
      <c r="B1661" s="1"/>
      <c r="C1661" s="1"/>
      <c r="D1661" s="1"/>
      <c r="E1661" s="6"/>
      <c r="F1661" s="1"/>
      <c r="G1661" s="6"/>
      <c r="H1661" s="6"/>
      <c r="I1661" s="6"/>
      <c r="J1661" s="6"/>
      <c r="K1661" s="6"/>
      <c r="L1661" s="6"/>
      <c r="M1661" s="6"/>
      <c r="N1661" s="6"/>
      <c r="O1661" s="7"/>
      <c r="P1661" s="6"/>
      <c r="Q1661" s="6"/>
      <c r="R1661" s="7"/>
      <c r="S1661" s="6"/>
      <c r="T1661" s="6"/>
      <c r="U1661" s="7"/>
      <c r="V1661" s="6"/>
      <c r="W1661" s="6"/>
      <c r="X1661" s="6"/>
      <c r="Y1661" s="6"/>
      <c r="Z1661" s="6"/>
      <c r="AA1661" s="7"/>
      <c r="AB1661" s="6"/>
      <c r="AC1661" s="6"/>
      <c r="AD1661" s="6"/>
      <c r="AE1661" s="12"/>
      <c r="AF1661" s="6"/>
      <c r="AG1661" s="12"/>
      <c r="AH1661" s="6"/>
      <c r="AI1661" s="6"/>
      <c r="AJ1661" s="12"/>
      <c r="AK1661" s="24"/>
      <c r="AL1661" s="25"/>
      <c r="AM1661" s="12"/>
      <c r="AN1661" s="1"/>
      <c r="AO1661" s="6"/>
    </row>
    <row r="1662" spans="1:41" ht="15" x14ac:dyDescent="0.25">
      <c r="A1662" s="1"/>
      <c r="B1662" s="1"/>
      <c r="C1662" s="1"/>
      <c r="D1662" s="1"/>
      <c r="E1662" s="6"/>
      <c r="F1662" s="1"/>
      <c r="G1662" s="6"/>
      <c r="H1662" s="6"/>
      <c r="I1662" s="6"/>
      <c r="J1662" s="6"/>
      <c r="K1662" s="6"/>
      <c r="L1662" s="6"/>
      <c r="M1662" s="6"/>
      <c r="N1662" s="6"/>
      <c r="O1662" s="7"/>
      <c r="P1662" s="12"/>
      <c r="Q1662" s="6"/>
      <c r="R1662" s="7"/>
      <c r="S1662" s="6"/>
      <c r="T1662" s="6"/>
      <c r="U1662" s="7"/>
      <c r="V1662" s="6"/>
      <c r="W1662" s="6"/>
      <c r="X1662" s="12"/>
      <c r="Y1662" s="6"/>
      <c r="Z1662" s="6"/>
      <c r="AA1662" s="7"/>
      <c r="AB1662" s="6"/>
      <c r="AC1662" s="6"/>
      <c r="AD1662" s="6"/>
      <c r="AE1662" s="12"/>
      <c r="AF1662" s="12"/>
      <c r="AG1662" s="12"/>
      <c r="AH1662" s="12"/>
      <c r="AI1662" s="6"/>
      <c r="AJ1662" s="12"/>
      <c r="AK1662" s="1"/>
      <c r="AL1662" s="12"/>
      <c r="AM1662" s="12"/>
      <c r="AN1662" s="1"/>
      <c r="AO1662" s="6"/>
    </row>
    <row r="1663" spans="1:41" ht="15" x14ac:dyDescent="0.25">
      <c r="A1663" s="1"/>
      <c r="B1663" s="1"/>
      <c r="C1663" s="1"/>
      <c r="D1663" s="1"/>
      <c r="E1663" s="6"/>
      <c r="F1663" s="1"/>
      <c r="G1663" s="6"/>
      <c r="H1663" s="6"/>
      <c r="I1663" s="6"/>
      <c r="J1663" s="6"/>
      <c r="K1663" s="6"/>
      <c r="L1663" s="6"/>
      <c r="M1663" s="6"/>
      <c r="N1663" s="6"/>
      <c r="O1663" s="7"/>
      <c r="P1663" s="6"/>
      <c r="Q1663" s="7"/>
      <c r="R1663" s="6"/>
      <c r="S1663" s="6"/>
      <c r="T1663" s="6"/>
      <c r="U1663" s="6"/>
      <c r="V1663" s="7"/>
      <c r="W1663" s="6"/>
      <c r="X1663" s="6"/>
      <c r="Y1663" s="6"/>
      <c r="Z1663" s="6"/>
      <c r="AA1663" s="1"/>
      <c r="AB1663" s="12"/>
      <c r="AC1663" s="12"/>
      <c r="AD1663" s="12"/>
      <c r="AE1663" s="12"/>
      <c r="AF1663" s="6"/>
      <c r="AG1663" s="12"/>
      <c r="AH1663" s="6"/>
      <c r="AI1663" s="6"/>
      <c r="AJ1663" s="12"/>
      <c r="AK1663" s="12"/>
      <c r="AL1663" s="12"/>
      <c r="AM1663" s="12"/>
      <c r="AN1663" s="1"/>
      <c r="AO1663" s="6"/>
    </row>
    <row r="1664" spans="1:41" ht="15" x14ac:dyDescent="0.25">
      <c r="A1664" s="1"/>
      <c r="B1664" s="1"/>
      <c r="C1664" s="1"/>
      <c r="D1664" s="1"/>
      <c r="E1664" s="6"/>
      <c r="F1664" s="1"/>
      <c r="G1664" s="6"/>
      <c r="H1664" s="6"/>
      <c r="I1664" s="6"/>
      <c r="J1664" s="6"/>
      <c r="K1664" s="6"/>
      <c r="L1664" s="6"/>
      <c r="M1664" s="6"/>
      <c r="N1664" s="6"/>
      <c r="O1664" s="7"/>
      <c r="P1664" s="6"/>
      <c r="Q1664" s="7"/>
      <c r="R1664" s="6"/>
      <c r="S1664" s="6"/>
      <c r="T1664" s="6"/>
      <c r="U1664" s="6"/>
      <c r="V1664" s="7"/>
      <c r="W1664" s="6"/>
      <c r="X1664" s="6"/>
      <c r="Y1664" s="6"/>
      <c r="Z1664" s="6"/>
      <c r="AA1664" s="1"/>
      <c r="AB1664" s="12"/>
      <c r="AC1664" s="12"/>
      <c r="AD1664" s="12"/>
      <c r="AE1664" s="12"/>
      <c r="AF1664" s="6"/>
      <c r="AG1664" s="12"/>
      <c r="AH1664" s="6"/>
      <c r="AI1664" s="6"/>
      <c r="AJ1664" s="12"/>
      <c r="AK1664" s="12"/>
      <c r="AL1664" s="12"/>
      <c r="AM1664" s="12"/>
      <c r="AN1664" s="1"/>
      <c r="AO1664" s="6"/>
    </row>
    <row r="1665" spans="1:41" ht="15" x14ac:dyDescent="0.25">
      <c r="A1665" s="1"/>
      <c r="B1665" s="1"/>
      <c r="C1665" s="1"/>
      <c r="D1665" s="1"/>
      <c r="E1665" s="6"/>
      <c r="F1665" s="1"/>
      <c r="G1665" s="6"/>
      <c r="H1665" s="6"/>
      <c r="I1665" s="6"/>
      <c r="J1665" s="6"/>
      <c r="K1665" s="6"/>
      <c r="L1665" s="6"/>
      <c r="M1665" s="6"/>
      <c r="N1665" s="6"/>
      <c r="O1665" s="7"/>
      <c r="P1665" s="6"/>
      <c r="Q1665" s="6"/>
      <c r="R1665" s="7"/>
      <c r="S1665" s="6"/>
      <c r="T1665" s="6"/>
      <c r="U1665" s="7"/>
      <c r="V1665" s="6"/>
      <c r="W1665" s="6"/>
      <c r="X1665" s="12"/>
      <c r="Y1665" s="6"/>
      <c r="Z1665" s="6"/>
      <c r="AA1665" s="7"/>
      <c r="AB1665" s="6"/>
      <c r="AC1665" s="6"/>
      <c r="AD1665" s="6"/>
      <c r="AE1665" s="12"/>
      <c r="AF1665" s="12"/>
      <c r="AG1665" s="12"/>
      <c r="AH1665" s="12"/>
      <c r="AI1665" s="6"/>
      <c r="AJ1665" s="12"/>
      <c r="AK1665" s="1"/>
      <c r="AL1665" s="12"/>
      <c r="AM1665" s="12"/>
      <c r="AN1665" s="1"/>
      <c r="AO1665" s="6"/>
    </row>
    <row r="1666" spans="1:41" ht="15" x14ac:dyDescent="0.25">
      <c r="A1666" s="1"/>
      <c r="B1666" s="1"/>
      <c r="C1666" s="1"/>
      <c r="D1666" s="1"/>
      <c r="E1666" s="6"/>
      <c r="F1666" s="1"/>
      <c r="G1666" s="6"/>
      <c r="H1666" s="6"/>
      <c r="I1666" s="6"/>
      <c r="J1666" s="6"/>
      <c r="K1666" s="6"/>
      <c r="L1666" s="6"/>
      <c r="M1666" s="6"/>
      <c r="N1666" s="6"/>
      <c r="O1666" s="7"/>
      <c r="P1666" s="12"/>
      <c r="Q1666" s="6"/>
      <c r="R1666" s="7"/>
      <c r="S1666" s="6"/>
      <c r="T1666" s="6"/>
      <c r="U1666" s="7"/>
      <c r="V1666" s="6"/>
      <c r="W1666" s="6"/>
      <c r="X1666" s="6"/>
      <c r="Y1666" s="6"/>
      <c r="Z1666" s="6"/>
      <c r="AA1666" s="7"/>
      <c r="AB1666" s="6"/>
      <c r="AC1666" s="6"/>
      <c r="AD1666" s="6"/>
      <c r="AE1666" s="12"/>
      <c r="AF1666" s="12"/>
      <c r="AG1666" s="12"/>
      <c r="AH1666" s="12"/>
      <c r="AI1666" s="6"/>
      <c r="AJ1666" s="12"/>
      <c r="AK1666" s="1"/>
      <c r="AL1666" s="12"/>
      <c r="AM1666" s="12"/>
      <c r="AN1666" s="1"/>
      <c r="AO1666" s="6"/>
    </row>
    <row r="1667" spans="1:41" ht="15" x14ac:dyDescent="0.25">
      <c r="A1667" s="1"/>
      <c r="B1667" s="1"/>
      <c r="C1667" s="1"/>
      <c r="D1667" s="1"/>
      <c r="E1667" s="6"/>
      <c r="F1667" s="1"/>
      <c r="G1667" s="6"/>
      <c r="H1667" s="6"/>
      <c r="I1667" s="6"/>
      <c r="J1667" s="6"/>
      <c r="K1667" s="6"/>
      <c r="L1667" s="6"/>
      <c r="M1667" s="6"/>
      <c r="N1667" s="6"/>
      <c r="O1667" s="7"/>
      <c r="P1667" s="6"/>
      <c r="Q1667" s="6"/>
      <c r="R1667" s="7"/>
      <c r="S1667" s="6"/>
      <c r="T1667" s="6"/>
      <c r="U1667" s="7"/>
      <c r="V1667" s="6"/>
      <c r="W1667" s="6"/>
      <c r="X1667" s="12"/>
      <c r="Y1667" s="6"/>
      <c r="Z1667" s="6"/>
      <c r="AA1667" s="7"/>
      <c r="AB1667" s="6"/>
      <c r="AC1667" s="6"/>
      <c r="AD1667" s="6"/>
      <c r="AE1667" s="12"/>
      <c r="AF1667" s="6"/>
      <c r="AG1667" s="12"/>
      <c r="AH1667" s="6"/>
      <c r="AI1667" s="6"/>
      <c r="AJ1667" s="12"/>
      <c r="AK1667" s="1"/>
      <c r="AL1667" s="12"/>
      <c r="AM1667" s="12"/>
      <c r="AN1667" s="1"/>
      <c r="AO1667" s="6"/>
    </row>
    <row r="1668" spans="1:41" ht="15" x14ac:dyDescent="0.25">
      <c r="A1668" s="1"/>
      <c r="B1668" s="1"/>
      <c r="C1668" s="1"/>
      <c r="D1668" s="1"/>
      <c r="E1668" s="6"/>
      <c r="F1668" s="1"/>
      <c r="G1668" s="6"/>
      <c r="H1668" s="6"/>
      <c r="I1668" s="6"/>
      <c r="J1668" s="6"/>
      <c r="K1668" s="6"/>
      <c r="L1668" s="6"/>
      <c r="M1668" s="6"/>
      <c r="N1668" s="6"/>
      <c r="O1668" s="7"/>
      <c r="P1668" s="6"/>
      <c r="Q1668" s="6"/>
      <c r="R1668" s="7"/>
      <c r="S1668" s="6"/>
      <c r="T1668" s="6"/>
      <c r="U1668" s="7"/>
      <c r="V1668" s="6"/>
      <c r="W1668" s="6"/>
      <c r="X1668" s="6"/>
      <c r="Y1668" s="6"/>
      <c r="Z1668" s="6"/>
      <c r="AA1668" s="7"/>
      <c r="AB1668" s="6"/>
      <c r="AC1668" s="6"/>
      <c r="AD1668" s="6"/>
      <c r="AE1668" s="12"/>
      <c r="AF1668" s="6"/>
      <c r="AG1668" s="12"/>
      <c r="AH1668" s="6"/>
      <c r="AI1668" s="6"/>
      <c r="AJ1668" s="12"/>
      <c r="AK1668" s="24"/>
      <c r="AL1668" s="25"/>
      <c r="AM1668" s="12"/>
      <c r="AN1668" s="1"/>
      <c r="AO1668" s="6"/>
    </row>
    <row r="1669" spans="1:41" ht="15" x14ac:dyDescent="0.25">
      <c r="A1669" s="1"/>
      <c r="B1669" s="1"/>
      <c r="C1669" s="1"/>
      <c r="D1669" s="1"/>
      <c r="E1669" s="6"/>
      <c r="F1669" s="1"/>
      <c r="G1669" s="6"/>
      <c r="H1669" s="6"/>
      <c r="I1669" s="6"/>
      <c r="J1669" s="6"/>
      <c r="K1669" s="6"/>
      <c r="L1669" s="6"/>
      <c r="M1669" s="6"/>
      <c r="N1669" s="6"/>
      <c r="O1669" s="7"/>
      <c r="P1669" s="6"/>
      <c r="Q1669" s="7"/>
      <c r="R1669" s="6"/>
      <c r="S1669" s="6"/>
      <c r="T1669" s="6"/>
      <c r="U1669" s="6"/>
      <c r="V1669" s="7"/>
      <c r="W1669" s="6"/>
      <c r="X1669" s="6"/>
      <c r="Y1669" s="6"/>
      <c r="Z1669" s="6"/>
      <c r="AA1669" s="1"/>
      <c r="AB1669" s="12"/>
      <c r="AC1669" s="12"/>
      <c r="AD1669" s="12"/>
      <c r="AE1669" s="12"/>
      <c r="AF1669" s="6"/>
      <c r="AG1669" s="12"/>
      <c r="AH1669" s="6"/>
      <c r="AI1669" s="6"/>
      <c r="AJ1669" s="12"/>
      <c r="AK1669" s="12"/>
      <c r="AL1669" s="12"/>
      <c r="AM1669" s="12"/>
      <c r="AN1669" s="1"/>
      <c r="AO1669" s="6"/>
    </row>
    <row r="1670" spans="1:41" ht="15" x14ac:dyDescent="0.25">
      <c r="A1670" s="1"/>
      <c r="B1670" s="1"/>
      <c r="C1670" s="1"/>
      <c r="D1670" s="1"/>
      <c r="E1670" s="6"/>
      <c r="F1670" s="1"/>
      <c r="G1670" s="6"/>
      <c r="H1670" s="6"/>
      <c r="I1670" s="6"/>
      <c r="J1670" s="6"/>
      <c r="K1670" s="6"/>
      <c r="L1670" s="6"/>
      <c r="M1670" s="6"/>
      <c r="N1670" s="6"/>
      <c r="O1670" s="7"/>
      <c r="P1670" s="6"/>
      <c r="Q1670" s="6"/>
      <c r="R1670" s="7"/>
      <c r="S1670" s="6"/>
      <c r="T1670" s="6"/>
      <c r="U1670" s="7"/>
      <c r="V1670" s="6"/>
      <c r="W1670" s="6"/>
      <c r="X1670" s="12"/>
      <c r="Y1670" s="12"/>
      <c r="Z1670" s="6"/>
      <c r="AA1670" s="7"/>
      <c r="AB1670" s="6"/>
      <c r="AC1670" s="6"/>
      <c r="AD1670" s="6"/>
      <c r="AE1670" s="12"/>
      <c r="AF1670" s="6"/>
      <c r="AG1670" s="12"/>
      <c r="AH1670" s="6"/>
      <c r="AI1670" s="6"/>
      <c r="AJ1670" s="12"/>
      <c r="AK1670" s="24"/>
      <c r="AL1670" s="25"/>
      <c r="AM1670" s="12"/>
      <c r="AN1670" s="1"/>
      <c r="AO1670" s="6"/>
    </row>
    <row r="1671" spans="1:41" ht="15" x14ac:dyDescent="0.25">
      <c r="A1671" s="1"/>
      <c r="B1671" s="1"/>
      <c r="C1671" s="1"/>
      <c r="D1671" s="1"/>
      <c r="E1671" s="6"/>
      <c r="F1671" s="1"/>
      <c r="G1671" s="6"/>
      <c r="H1671" s="6"/>
      <c r="I1671" s="6"/>
      <c r="J1671" s="6"/>
      <c r="K1671" s="6"/>
      <c r="L1671" s="6"/>
      <c r="M1671" s="6"/>
      <c r="N1671" s="6"/>
      <c r="O1671" s="7"/>
      <c r="P1671" s="6"/>
      <c r="Q1671" s="6"/>
      <c r="R1671" s="7"/>
      <c r="S1671" s="6"/>
      <c r="T1671" s="6"/>
      <c r="U1671" s="7"/>
      <c r="V1671" s="6"/>
      <c r="W1671" s="6"/>
      <c r="X1671" s="6"/>
      <c r="Y1671" s="6"/>
      <c r="Z1671" s="6"/>
      <c r="AA1671" s="7"/>
      <c r="AB1671" s="6"/>
      <c r="AC1671" s="6"/>
      <c r="AD1671" s="6"/>
      <c r="AE1671" s="12"/>
      <c r="AF1671" s="6"/>
      <c r="AG1671" s="12"/>
      <c r="AH1671" s="6"/>
      <c r="AI1671" s="6"/>
      <c r="AJ1671" s="12"/>
      <c r="AK1671" s="24"/>
      <c r="AL1671" s="25"/>
      <c r="AM1671" s="12"/>
      <c r="AN1671" s="1"/>
      <c r="AO1671" s="6"/>
    </row>
    <row r="1672" spans="1:41" ht="15" x14ac:dyDescent="0.25">
      <c r="A1672" s="1"/>
      <c r="B1672" s="1"/>
      <c r="C1672" s="1"/>
      <c r="D1672" s="1"/>
      <c r="E1672" s="6"/>
      <c r="F1672" s="1"/>
      <c r="G1672" s="6"/>
      <c r="H1672" s="6"/>
      <c r="I1672" s="6"/>
      <c r="J1672" s="6"/>
      <c r="K1672" s="6"/>
      <c r="L1672" s="6"/>
      <c r="M1672" s="6"/>
      <c r="N1672" s="6"/>
      <c r="O1672" s="7"/>
      <c r="P1672" s="12"/>
      <c r="Q1672" s="6"/>
      <c r="R1672" s="7"/>
      <c r="S1672" s="6"/>
      <c r="T1672" s="6"/>
      <c r="U1672" s="7"/>
      <c r="V1672" s="6"/>
      <c r="W1672" s="6"/>
      <c r="X1672" s="6"/>
      <c r="Y1672" s="6"/>
      <c r="Z1672" s="6"/>
      <c r="AA1672" s="7"/>
      <c r="AB1672" s="6"/>
      <c r="AC1672" s="6"/>
      <c r="AD1672" s="6"/>
      <c r="AE1672" s="12"/>
      <c r="AF1672" s="12"/>
      <c r="AG1672" s="12"/>
      <c r="AH1672" s="12"/>
      <c r="AI1672" s="6"/>
      <c r="AJ1672" s="12"/>
      <c r="AK1672" s="1"/>
      <c r="AL1672" s="12"/>
      <c r="AM1672" s="12"/>
      <c r="AN1672" s="1"/>
      <c r="AO1672" s="6"/>
    </row>
    <row r="1673" spans="1:41" ht="15" x14ac:dyDescent="0.25">
      <c r="A1673" s="1"/>
      <c r="B1673" s="1"/>
      <c r="C1673" s="1"/>
      <c r="D1673" s="1"/>
      <c r="E1673" s="6"/>
      <c r="F1673" s="1"/>
      <c r="G1673" s="6"/>
      <c r="H1673" s="6"/>
      <c r="I1673" s="6"/>
      <c r="J1673" s="6"/>
      <c r="K1673" s="6"/>
      <c r="L1673" s="6"/>
      <c r="M1673" s="6"/>
      <c r="N1673" s="6"/>
      <c r="O1673" s="7"/>
      <c r="P1673" s="6"/>
      <c r="Q1673" s="6"/>
      <c r="R1673" s="7"/>
      <c r="S1673" s="6"/>
      <c r="T1673" s="6"/>
      <c r="U1673" s="7"/>
      <c r="V1673" s="6"/>
      <c r="W1673" s="6"/>
      <c r="X1673" s="6"/>
      <c r="Y1673" s="6"/>
      <c r="Z1673" s="6"/>
      <c r="AA1673" s="7"/>
      <c r="AB1673" s="6"/>
      <c r="AC1673" s="6"/>
      <c r="AD1673" s="6"/>
      <c r="AE1673" s="12"/>
      <c r="AF1673" s="12"/>
      <c r="AG1673" s="12"/>
      <c r="AH1673" s="12"/>
      <c r="AI1673" s="6"/>
      <c r="AJ1673" s="12"/>
      <c r="AK1673" s="1"/>
      <c r="AL1673" s="12"/>
      <c r="AM1673" s="12"/>
      <c r="AN1673" s="1"/>
      <c r="AO1673" s="6"/>
    </row>
    <row r="1674" spans="1:41" ht="15" x14ac:dyDescent="0.25">
      <c r="A1674" s="1"/>
      <c r="B1674" s="1"/>
      <c r="C1674" s="1"/>
      <c r="D1674" s="1"/>
      <c r="E1674" s="6"/>
      <c r="F1674" s="1"/>
      <c r="G1674" s="6"/>
      <c r="H1674" s="6"/>
      <c r="I1674" s="6"/>
      <c r="J1674" s="6"/>
      <c r="K1674" s="6"/>
      <c r="L1674" s="6"/>
      <c r="M1674" s="6"/>
      <c r="N1674" s="6"/>
      <c r="O1674" s="7"/>
      <c r="P1674" s="6"/>
      <c r="Q1674" s="7"/>
      <c r="R1674" s="6"/>
      <c r="S1674" s="6"/>
      <c r="T1674" s="6"/>
      <c r="U1674" s="6"/>
      <c r="V1674" s="7"/>
      <c r="W1674" s="7"/>
      <c r="X1674" s="6"/>
      <c r="Y1674" s="6"/>
      <c r="Z1674" s="6"/>
      <c r="AA1674" s="1"/>
      <c r="AB1674" s="12"/>
      <c r="AC1674" s="12"/>
      <c r="AD1674" s="12"/>
      <c r="AE1674" s="12"/>
      <c r="AF1674" s="12"/>
      <c r="AG1674" s="12"/>
      <c r="AH1674" s="12"/>
      <c r="AI1674" s="6"/>
      <c r="AJ1674" s="12"/>
      <c r="AK1674" s="12"/>
      <c r="AL1674" s="12"/>
      <c r="AM1674" s="12"/>
      <c r="AN1674" s="1"/>
      <c r="AO1674" s="6"/>
    </row>
    <row r="1675" spans="1:41" ht="15" x14ac:dyDescent="0.25">
      <c r="A1675" s="1"/>
      <c r="B1675" s="1"/>
      <c r="C1675" s="1"/>
      <c r="D1675" s="1"/>
      <c r="E1675" s="6"/>
      <c r="F1675" s="1"/>
      <c r="G1675" s="6"/>
      <c r="H1675" s="6"/>
      <c r="I1675" s="6"/>
      <c r="J1675" s="6"/>
      <c r="K1675" s="12"/>
      <c r="L1675" s="12"/>
      <c r="M1675" s="6"/>
      <c r="N1675" s="6"/>
      <c r="O1675" s="7"/>
      <c r="P1675" s="6"/>
      <c r="Q1675" s="6"/>
      <c r="R1675" s="7"/>
      <c r="S1675" s="6"/>
      <c r="T1675" s="6"/>
      <c r="U1675" s="7"/>
      <c r="V1675" s="6"/>
      <c r="W1675" s="6"/>
      <c r="X1675" s="6"/>
      <c r="Y1675" s="6"/>
      <c r="Z1675" s="6"/>
      <c r="AA1675" s="7"/>
      <c r="AB1675" s="6"/>
      <c r="AC1675" s="6"/>
      <c r="AD1675" s="6"/>
      <c r="AE1675" s="12"/>
      <c r="AF1675" s="12"/>
      <c r="AG1675" s="12"/>
      <c r="AH1675" s="12"/>
      <c r="AI1675" s="6"/>
      <c r="AJ1675" s="12"/>
      <c r="AK1675" s="1"/>
      <c r="AL1675" s="12"/>
      <c r="AM1675" s="12"/>
      <c r="AN1675" s="1"/>
      <c r="AO1675" s="6"/>
    </row>
    <row r="1676" spans="1:41" ht="15" x14ac:dyDescent="0.25">
      <c r="A1676" s="1"/>
      <c r="B1676" s="1"/>
      <c r="C1676" s="1"/>
      <c r="D1676" s="1"/>
      <c r="E1676" s="6"/>
      <c r="F1676" s="1"/>
      <c r="G1676" s="6"/>
      <c r="H1676" s="6"/>
      <c r="I1676" s="6"/>
      <c r="J1676" s="6"/>
      <c r="K1676" s="6"/>
      <c r="L1676" s="6"/>
      <c r="M1676" s="6"/>
      <c r="N1676" s="6"/>
      <c r="O1676" s="7"/>
      <c r="P1676" s="6"/>
      <c r="Q1676" s="6"/>
      <c r="R1676" s="7"/>
      <c r="S1676" s="6"/>
      <c r="T1676" s="6"/>
      <c r="U1676" s="7"/>
      <c r="V1676" s="6"/>
      <c r="W1676" s="6"/>
      <c r="X1676" s="12"/>
      <c r="Y1676" s="6"/>
      <c r="Z1676" s="6"/>
      <c r="AA1676" s="7"/>
      <c r="AB1676" s="6"/>
      <c r="AC1676" s="6"/>
      <c r="AD1676" s="6"/>
      <c r="AE1676" s="12"/>
      <c r="AF1676" s="12"/>
      <c r="AG1676" s="12"/>
      <c r="AH1676" s="12"/>
      <c r="AI1676" s="6"/>
      <c r="AJ1676" s="12"/>
      <c r="AK1676" s="1"/>
      <c r="AL1676" s="12"/>
      <c r="AM1676" s="12"/>
      <c r="AN1676" s="1"/>
      <c r="AO1676" s="6"/>
    </row>
    <row r="1677" spans="1:41" ht="15" x14ac:dyDescent="0.25">
      <c r="A1677" s="1"/>
      <c r="B1677" s="1"/>
      <c r="C1677" s="1"/>
      <c r="D1677" s="1"/>
      <c r="E1677" s="6"/>
      <c r="F1677" s="1"/>
      <c r="G1677" s="6"/>
      <c r="H1677" s="6"/>
      <c r="I1677" s="6"/>
      <c r="J1677" s="6"/>
      <c r="K1677" s="6"/>
      <c r="L1677" s="6"/>
      <c r="M1677" s="6"/>
      <c r="N1677" s="6"/>
      <c r="O1677" s="7"/>
      <c r="P1677" s="6"/>
      <c r="Q1677" s="6"/>
      <c r="R1677" s="7"/>
      <c r="S1677" s="6"/>
      <c r="T1677" s="6"/>
      <c r="U1677" s="7"/>
      <c r="V1677" s="6"/>
      <c r="W1677" s="6"/>
      <c r="X1677" s="6"/>
      <c r="Y1677" s="6"/>
      <c r="Z1677" s="6"/>
      <c r="AA1677" s="7"/>
      <c r="AB1677" s="6"/>
      <c r="AC1677" s="6"/>
      <c r="AD1677" s="6"/>
      <c r="AE1677" s="12"/>
      <c r="AF1677" s="6"/>
      <c r="AG1677" s="12"/>
      <c r="AH1677" s="6"/>
      <c r="AI1677" s="6"/>
      <c r="AJ1677" s="12"/>
      <c r="AK1677" s="24"/>
      <c r="AL1677" s="25"/>
      <c r="AM1677" s="12"/>
      <c r="AN1677" s="1"/>
      <c r="AO1677" s="6"/>
    </row>
    <row r="1678" spans="1:41" ht="15" x14ac:dyDescent="0.25">
      <c r="A1678" s="1"/>
      <c r="B1678" s="1"/>
      <c r="C1678" s="1"/>
      <c r="D1678" s="1"/>
      <c r="E1678" s="6"/>
      <c r="F1678" s="1"/>
      <c r="G1678" s="6"/>
      <c r="H1678" s="6"/>
      <c r="I1678" s="6"/>
      <c r="J1678" s="6"/>
      <c r="K1678" s="12"/>
      <c r="L1678" s="12"/>
      <c r="M1678" s="6"/>
      <c r="N1678" s="6"/>
      <c r="O1678" s="7"/>
      <c r="P1678" s="6"/>
      <c r="Q1678" s="7"/>
      <c r="R1678" s="6"/>
      <c r="S1678" s="12"/>
      <c r="T1678" s="6"/>
      <c r="U1678" s="6"/>
      <c r="V1678" s="7"/>
      <c r="W1678" s="7"/>
      <c r="X1678" s="6"/>
      <c r="Y1678" s="6"/>
      <c r="Z1678" s="6"/>
      <c r="AA1678" s="1"/>
      <c r="AB1678" s="12"/>
      <c r="AC1678" s="12"/>
      <c r="AD1678" s="12"/>
      <c r="AE1678" s="12"/>
      <c r="AF1678" s="12"/>
      <c r="AG1678" s="12"/>
      <c r="AH1678" s="12"/>
      <c r="AI1678" s="6"/>
      <c r="AJ1678" s="12"/>
      <c r="AK1678" s="12"/>
      <c r="AL1678" s="12"/>
      <c r="AM1678" s="12"/>
      <c r="AN1678" s="1"/>
      <c r="AO1678" s="6"/>
    </row>
    <row r="1679" spans="1:41" ht="15" x14ac:dyDescent="0.25">
      <c r="A1679" s="1"/>
      <c r="B1679" s="1"/>
      <c r="C1679" s="1"/>
      <c r="D1679" s="1"/>
      <c r="E1679" s="6"/>
      <c r="F1679" s="1"/>
      <c r="G1679" s="6"/>
      <c r="H1679" s="6"/>
      <c r="I1679" s="6"/>
      <c r="J1679" s="6"/>
      <c r="K1679" s="6"/>
      <c r="L1679" s="6"/>
      <c r="M1679" s="6"/>
      <c r="N1679" s="6"/>
      <c r="O1679" s="7"/>
      <c r="P1679" s="6"/>
      <c r="Q1679" s="6"/>
      <c r="R1679" s="7"/>
      <c r="S1679" s="6"/>
      <c r="T1679" s="6"/>
      <c r="U1679" s="7"/>
      <c r="V1679" s="6"/>
      <c r="W1679" s="6"/>
      <c r="X1679" s="6"/>
      <c r="Y1679" s="6"/>
      <c r="Z1679" s="6"/>
      <c r="AA1679" s="7"/>
      <c r="AB1679" s="6"/>
      <c r="AC1679" s="6"/>
      <c r="AD1679" s="6"/>
      <c r="AE1679" s="12"/>
      <c r="AF1679" s="12"/>
      <c r="AG1679" s="12"/>
      <c r="AH1679" s="12"/>
      <c r="AI1679" s="6"/>
      <c r="AJ1679" s="12"/>
      <c r="AK1679" s="1"/>
      <c r="AL1679" s="12"/>
      <c r="AM1679" s="12"/>
      <c r="AN1679" s="1"/>
      <c r="AO1679" s="6"/>
    </row>
    <row r="1680" spans="1:41" ht="15" x14ac:dyDescent="0.25">
      <c r="A1680" s="1"/>
      <c r="B1680" s="1"/>
      <c r="C1680" s="1"/>
      <c r="D1680" s="1"/>
      <c r="E1680" s="6"/>
      <c r="F1680" s="1"/>
      <c r="G1680" s="6"/>
      <c r="H1680" s="6"/>
      <c r="I1680" s="6"/>
      <c r="J1680" s="6"/>
      <c r="K1680" s="6"/>
      <c r="L1680" s="6"/>
      <c r="M1680" s="6"/>
      <c r="N1680" s="6"/>
      <c r="O1680" s="7"/>
      <c r="P1680" s="6"/>
      <c r="Q1680" s="6"/>
      <c r="R1680" s="7"/>
      <c r="S1680" s="6"/>
      <c r="T1680" s="6"/>
      <c r="U1680" s="7"/>
      <c r="V1680" s="6"/>
      <c r="W1680" s="6"/>
      <c r="X1680" s="6"/>
      <c r="Y1680" s="6"/>
      <c r="Z1680" s="6"/>
      <c r="AA1680" s="7"/>
      <c r="AB1680" s="6"/>
      <c r="AC1680" s="6"/>
      <c r="AD1680" s="6"/>
      <c r="AE1680" s="12"/>
      <c r="AF1680" s="6"/>
      <c r="AG1680" s="12"/>
      <c r="AH1680" s="6"/>
      <c r="AI1680" s="6"/>
      <c r="AJ1680" s="12"/>
      <c r="AK1680" s="24"/>
      <c r="AL1680" s="25"/>
      <c r="AM1680" s="12"/>
      <c r="AN1680" s="1"/>
      <c r="AO1680" s="6"/>
    </row>
    <row r="1681" spans="1:41" ht="15" x14ac:dyDescent="0.25">
      <c r="A1681" s="1"/>
      <c r="B1681" s="1"/>
      <c r="C1681" s="1"/>
      <c r="D1681" s="1"/>
      <c r="E1681" s="6"/>
      <c r="F1681" s="1"/>
      <c r="G1681" s="6"/>
      <c r="H1681" s="6"/>
      <c r="I1681" s="6"/>
      <c r="J1681" s="6"/>
      <c r="K1681" s="6"/>
      <c r="L1681" s="6"/>
      <c r="M1681" s="6"/>
      <c r="N1681" s="6"/>
      <c r="O1681" s="7"/>
      <c r="P1681" s="6"/>
      <c r="Q1681" s="6"/>
      <c r="R1681" s="7"/>
      <c r="S1681" s="6"/>
      <c r="T1681" s="6"/>
      <c r="U1681" s="7"/>
      <c r="V1681" s="6"/>
      <c r="W1681" s="6"/>
      <c r="X1681" s="12"/>
      <c r="Y1681" s="6"/>
      <c r="Z1681" s="6"/>
      <c r="AA1681" s="7"/>
      <c r="AB1681" s="6"/>
      <c r="AC1681" s="6"/>
      <c r="AD1681" s="6"/>
      <c r="AE1681" s="12"/>
      <c r="AF1681" s="6"/>
      <c r="AG1681" s="12"/>
      <c r="AH1681" s="6"/>
      <c r="AI1681" s="6"/>
      <c r="AJ1681" s="12"/>
      <c r="AK1681" s="24"/>
      <c r="AL1681" s="25"/>
      <c r="AM1681" s="12"/>
      <c r="AN1681" s="1"/>
      <c r="AO1681" s="6"/>
    </row>
    <row r="1682" spans="1:41" ht="15" x14ac:dyDescent="0.25">
      <c r="A1682" s="1"/>
      <c r="B1682" s="1"/>
      <c r="C1682" s="1"/>
      <c r="D1682" s="1"/>
      <c r="E1682" s="6"/>
      <c r="F1682" s="1"/>
      <c r="G1682" s="6"/>
      <c r="H1682" s="6"/>
      <c r="I1682" s="6"/>
      <c r="J1682" s="6"/>
      <c r="K1682" s="6"/>
      <c r="L1682" s="6"/>
      <c r="M1682" s="6"/>
      <c r="N1682" s="6"/>
      <c r="O1682" s="7"/>
      <c r="P1682" s="6"/>
      <c r="Q1682" s="6"/>
      <c r="R1682" s="7"/>
      <c r="S1682" s="6"/>
      <c r="T1682" s="6"/>
      <c r="U1682" s="7"/>
      <c r="V1682" s="6"/>
      <c r="W1682" s="6"/>
      <c r="X1682" s="6"/>
      <c r="Y1682" s="6"/>
      <c r="Z1682" s="6"/>
      <c r="AA1682" s="7"/>
      <c r="AB1682" s="6"/>
      <c r="AC1682" s="6"/>
      <c r="AD1682" s="6"/>
      <c r="AE1682" s="12"/>
      <c r="AF1682" s="12"/>
      <c r="AG1682" s="12"/>
      <c r="AH1682" s="12"/>
      <c r="AI1682" s="6"/>
      <c r="AJ1682" s="12"/>
      <c r="AK1682" s="1"/>
      <c r="AL1682" s="12"/>
      <c r="AM1682" s="12"/>
      <c r="AN1682" s="1"/>
      <c r="AO1682" s="6"/>
    </row>
    <row r="1683" spans="1:41" ht="15" x14ac:dyDescent="0.25">
      <c r="A1683" s="1"/>
      <c r="B1683" s="1"/>
      <c r="C1683" s="1"/>
      <c r="D1683" s="1"/>
      <c r="E1683" s="6"/>
      <c r="F1683" s="1"/>
      <c r="G1683" s="6"/>
      <c r="H1683" s="6"/>
      <c r="I1683" s="6"/>
      <c r="J1683" s="6"/>
      <c r="K1683" s="6"/>
      <c r="L1683" s="6"/>
      <c r="M1683" s="6"/>
      <c r="N1683" s="6"/>
      <c r="O1683" s="7"/>
      <c r="P1683" s="6"/>
      <c r="Q1683" s="7"/>
      <c r="R1683" s="6"/>
      <c r="S1683" s="6"/>
      <c r="T1683" s="6"/>
      <c r="U1683" s="6"/>
      <c r="V1683" s="7"/>
      <c r="W1683" s="6"/>
      <c r="X1683" s="6"/>
      <c r="Y1683" s="6"/>
      <c r="Z1683" s="6"/>
      <c r="AA1683" s="24"/>
      <c r="AB1683" s="25"/>
      <c r="AC1683" s="12"/>
      <c r="AD1683" s="12"/>
      <c r="AE1683" s="12"/>
      <c r="AF1683" s="6"/>
      <c r="AG1683" s="12"/>
      <c r="AH1683" s="6"/>
      <c r="AI1683" s="6"/>
      <c r="AJ1683" s="12"/>
      <c r="AK1683" s="12"/>
      <c r="AL1683" s="12"/>
      <c r="AM1683" s="12"/>
      <c r="AN1683" s="1"/>
      <c r="AO1683" s="6"/>
    </row>
    <row r="1684" spans="1:41" ht="15" x14ac:dyDescent="0.25">
      <c r="A1684" s="1"/>
      <c r="B1684" s="1"/>
      <c r="C1684" s="1"/>
      <c r="D1684" s="1"/>
      <c r="E1684" s="6"/>
      <c r="F1684" s="1"/>
      <c r="G1684" s="6"/>
      <c r="H1684" s="6"/>
      <c r="I1684" s="6"/>
      <c r="J1684" s="6"/>
      <c r="K1684" s="6"/>
      <c r="L1684" s="6"/>
      <c r="M1684" s="6"/>
      <c r="N1684" s="6"/>
      <c r="O1684" s="7"/>
      <c r="P1684" s="12"/>
      <c r="Q1684" s="6"/>
      <c r="R1684" s="7"/>
      <c r="S1684" s="6"/>
      <c r="T1684" s="6"/>
      <c r="U1684" s="7"/>
      <c r="V1684" s="6"/>
      <c r="W1684" s="6"/>
      <c r="X1684" s="12"/>
      <c r="Y1684" s="6"/>
      <c r="Z1684" s="6"/>
      <c r="AA1684" s="7"/>
      <c r="AB1684" s="6"/>
      <c r="AC1684" s="6"/>
      <c r="AD1684" s="6"/>
      <c r="AE1684" s="12"/>
      <c r="AF1684" s="6"/>
      <c r="AG1684" s="12"/>
      <c r="AH1684" s="6"/>
      <c r="AI1684" s="6"/>
      <c r="AJ1684" s="12"/>
      <c r="AK1684" s="1"/>
      <c r="AL1684" s="12"/>
      <c r="AM1684" s="12"/>
      <c r="AN1684" s="1"/>
      <c r="AO1684" s="6"/>
    </row>
    <row r="1685" spans="1:41" ht="15" x14ac:dyDescent="0.25">
      <c r="A1685" s="1"/>
      <c r="B1685" s="1"/>
      <c r="C1685" s="1"/>
      <c r="D1685" s="1"/>
      <c r="E1685" s="6"/>
      <c r="F1685" s="1"/>
      <c r="G1685" s="6"/>
      <c r="H1685" s="6"/>
      <c r="I1685" s="6"/>
      <c r="J1685" s="6"/>
      <c r="K1685" s="6"/>
      <c r="L1685" s="6"/>
      <c r="M1685" s="6"/>
      <c r="N1685" s="6"/>
      <c r="O1685" s="7"/>
      <c r="P1685" s="6"/>
      <c r="Q1685" s="7"/>
      <c r="R1685" s="6"/>
      <c r="S1685" s="6"/>
      <c r="T1685" s="6"/>
      <c r="U1685" s="6"/>
      <c r="V1685" s="7"/>
      <c r="W1685" s="7"/>
      <c r="X1685" s="6"/>
      <c r="Y1685" s="6"/>
      <c r="Z1685" s="6"/>
      <c r="AA1685" s="1"/>
      <c r="AB1685" s="12"/>
      <c r="AC1685" s="12"/>
      <c r="AD1685" s="12"/>
      <c r="AE1685" s="12"/>
      <c r="AF1685" s="12"/>
      <c r="AG1685" s="12"/>
      <c r="AH1685" s="12"/>
      <c r="AI1685" s="6"/>
      <c r="AJ1685" s="12"/>
      <c r="AK1685" s="12"/>
      <c r="AL1685" s="12"/>
      <c r="AM1685" s="12"/>
      <c r="AN1685" s="1"/>
      <c r="AO1685" s="6"/>
    </row>
    <row r="1686" spans="1:41" ht="15" x14ac:dyDescent="0.25">
      <c r="A1686" s="1"/>
      <c r="B1686" s="1"/>
      <c r="C1686" s="1"/>
      <c r="D1686" s="1"/>
      <c r="E1686" s="6"/>
      <c r="F1686" s="1"/>
      <c r="G1686" s="6"/>
      <c r="H1686" s="6"/>
      <c r="I1686" s="6"/>
      <c r="J1686" s="6"/>
      <c r="K1686" s="6"/>
      <c r="L1686" s="6"/>
      <c r="M1686" s="6"/>
      <c r="N1686" s="6"/>
      <c r="O1686" s="15"/>
      <c r="P1686" s="6"/>
      <c r="Q1686" s="7"/>
      <c r="R1686" s="6"/>
      <c r="S1686" s="6"/>
      <c r="T1686" s="6"/>
      <c r="U1686" s="6"/>
      <c r="V1686" s="7"/>
      <c r="W1686" s="7"/>
      <c r="X1686" s="6"/>
      <c r="Y1686" s="6"/>
      <c r="Z1686" s="6"/>
      <c r="AA1686" s="1"/>
      <c r="AB1686" s="12"/>
      <c r="AC1686" s="12"/>
      <c r="AD1686" s="12"/>
      <c r="AE1686" s="12"/>
      <c r="AF1686" s="12"/>
      <c r="AG1686" s="12"/>
      <c r="AH1686" s="12"/>
      <c r="AI1686" s="6"/>
      <c r="AJ1686" s="12"/>
      <c r="AK1686" s="12"/>
      <c r="AL1686" s="12"/>
      <c r="AM1686" s="12"/>
      <c r="AN1686" s="1"/>
      <c r="AO1686" s="6"/>
    </row>
    <row r="1687" spans="1:41" ht="15" x14ac:dyDescent="0.25">
      <c r="A1687" s="1"/>
      <c r="B1687" s="1"/>
      <c r="C1687" s="1"/>
      <c r="D1687" s="1"/>
      <c r="E1687" s="6"/>
      <c r="F1687" s="1"/>
      <c r="G1687" s="6"/>
      <c r="H1687" s="6"/>
      <c r="I1687" s="6"/>
      <c r="J1687" s="6"/>
      <c r="K1687" s="6"/>
      <c r="L1687" s="6"/>
      <c r="M1687" s="6"/>
      <c r="N1687" s="6"/>
      <c r="O1687" s="7"/>
      <c r="P1687" s="6"/>
      <c r="Q1687" s="6"/>
      <c r="R1687" s="7"/>
      <c r="S1687" s="6"/>
      <c r="T1687" s="6"/>
      <c r="U1687" s="7"/>
      <c r="V1687" s="6"/>
      <c r="W1687" s="6"/>
      <c r="X1687" s="6"/>
      <c r="Y1687" s="6"/>
      <c r="Z1687" s="6"/>
      <c r="AA1687" s="7"/>
      <c r="AB1687" s="6"/>
      <c r="AC1687" s="6"/>
      <c r="AD1687" s="6"/>
      <c r="AE1687" s="12"/>
      <c r="AF1687" s="12"/>
      <c r="AG1687" s="12"/>
      <c r="AH1687" s="12"/>
      <c r="AI1687" s="6"/>
      <c r="AJ1687" s="12"/>
      <c r="AK1687" s="1"/>
      <c r="AL1687" s="12"/>
      <c r="AM1687" s="12"/>
      <c r="AN1687" s="1"/>
      <c r="AO1687" s="6"/>
    </row>
    <row r="1688" spans="1:41" ht="15" x14ac:dyDescent="0.25">
      <c r="A1688" s="1"/>
      <c r="B1688" s="1"/>
      <c r="C1688" s="1"/>
      <c r="D1688" s="1"/>
      <c r="E1688" s="6"/>
      <c r="F1688" s="1"/>
      <c r="G1688" s="6"/>
      <c r="H1688" s="6"/>
      <c r="I1688" s="6"/>
      <c r="J1688" s="6"/>
      <c r="K1688" s="6"/>
      <c r="L1688" s="6"/>
      <c r="M1688" s="6"/>
      <c r="N1688" s="6"/>
      <c r="O1688" s="7"/>
      <c r="P1688" s="6"/>
      <c r="Q1688" s="6"/>
      <c r="R1688" s="7"/>
      <c r="S1688" s="6"/>
      <c r="T1688" s="6"/>
      <c r="U1688" s="7"/>
      <c r="V1688" s="6"/>
      <c r="W1688" s="6"/>
      <c r="X1688" s="6"/>
      <c r="Y1688" s="6"/>
      <c r="Z1688" s="6"/>
      <c r="AA1688" s="7"/>
      <c r="AB1688" s="6"/>
      <c r="AC1688" s="6"/>
      <c r="AD1688" s="6"/>
      <c r="AE1688" s="12"/>
      <c r="AF1688" s="6"/>
      <c r="AG1688" s="12"/>
      <c r="AH1688" s="6"/>
      <c r="AI1688" s="6"/>
      <c r="AJ1688" s="12"/>
      <c r="AK1688" s="24"/>
      <c r="AL1688" s="25"/>
      <c r="AM1688" s="12"/>
      <c r="AN1688" s="1"/>
      <c r="AO1688" s="6"/>
    </row>
    <row r="1689" spans="1:41" ht="15" x14ac:dyDescent="0.25">
      <c r="A1689" s="1"/>
      <c r="B1689" s="1"/>
      <c r="C1689" s="1"/>
      <c r="D1689" s="1"/>
      <c r="E1689" s="6"/>
      <c r="F1689" s="1"/>
      <c r="G1689" s="6"/>
      <c r="H1689" s="6"/>
      <c r="I1689" s="6"/>
      <c r="J1689" s="6"/>
      <c r="K1689" s="6"/>
      <c r="L1689" s="6"/>
      <c r="M1689" s="6"/>
      <c r="N1689" s="6"/>
      <c r="O1689" s="7"/>
      <c r="P1689" s="6"/>
      <c r="Q1689" s="7"/>
      <c r="R1689" s="12"/>
      <c r="S1689" s="12"/>
      <c r="T1689" s="12"/>
      <c r="U1689" s="6"/>
      <c r="V1689" s="7"/>
      <c r="W1689" s="7"/>
      <c r="X1689" s="6"/>
      <c r="Y1689" s="6"/>
      <c r="Z1689" s="6"/>
      <c r="AA1689" s="24"/>
      <c r="AB1689" s="25"/>
      <c r="AC1689" s="12"/>
      <c r="AD1689" s="12"/>
      <c r="AE1689" s="12"/>
      <c r="AF1689" s="12"/>
      <c r="AG1689" s="12"/>
      <c r="AH1689" s="12"/>
      <c r="AI1689" s="6"/>
      <c r="AJ1689" s="12"/>
      <c r="AK1689" s="12"/>
      <c r="AL1689" s="12"/>
      <c r="AM1689" s="12"/>
      <c r="AN1689" s="1"/>
      <c r="AO1689" s="6"/>
    </row>
    <row r="1690" spans="1:41" ht="15" x14ac:dyDescent="0.25">
      <c r="A1690" s="1"/>
      <c r="B1690" s="1"/>
      <c r="C1690" s="1"/>
      <c r="D1690" s="1"/>
      <c r="E1690" s="6"/>
      <c r="F1690" s="1"/>
      <c r="G1690" s="6"/>
      <c r="H1690" s="6"/>
      <c r="I1690" s="6"/>
      <c r="J1690" s="6"/>
      <c r="K1690" s="6"/>
      <c r="L1690" s="6"/>
      <c r="M1690" s="6"/>
      <c r="N1690" s="6"/>
      <c r="O1690" s="7"/>
      <c r="P1690" s="6"/>
      <c r="Q1690" s="7"/>
      <c r="R1690" s="6"/>
      <c r="S1690" s="12"/>
      <c r="T1690" s="6"/>
      <c r="U1690" s="6"/>
      <c r="V1690" s="7"/>
      <c r="W1690" s="7"/>
      <c r="X1690" s="6"/>
      <c r="Y1690" s="6"/>
      <c r="Z1690" s="6"/>
      <c r="AA1690" s="1"/>
      <c r="AB1690" s="12"/>
      <c r="AC1690" s="12"/>
      <c r="AD1690" s="12"/>
      <c r="AE1690" s="12"/>
      <c r="AF1690" s="12"/>
      <c r="AG1690" s="12"/>
      <c r="AH1690" s="12"/>
      <c r="AI1690" s="6"/>
      <c r="AJ1690" s="12"/>
      <c r="AK1690" s="12"/>
      <c r="AL1690" s="12"/>
      <c r="AM1690" s="12"/>
      <c r="AN1690" s="1"/>
      <c r="AO1690" s="6"/>
    </row>
    <row r="1691" spans="1:41" ht="15" x14ac:dyDescent="0.25">
      <c r="A1691" s="1"/>
      <c r="B1691" s="1"/>
      <c r="C1691" s="1"/>
      <c r="D1691" s="1"/>
      <c r="E1691" s="6"/>
      <c r="F1691" s="1"/>
      <c r="G1691" s="6"/>
      <c r="H1691" s="6"/>
      <c r="I1691" s="6"/>
      <c r="J1691" s="6"/>
      <c r="K1691" s="12"/>
      <c r="L1691" s="12"/>
      <c r="M1691" s="6"/>
      <c r="N1691" s="6"/>
      <c r="O1691" s="12"/>
      <c r="P1691" s="12"/>
      <c r="Q1691" s="6"/>
      <c r="R1691" s="12"/>
      <c r="S1691" s="12"/>
      <c r="T1691" s="12"/>
      <c r="U1691" s="6"/>
      <c r="V1691" s="6"/>
      <c r="W1691" s="6"/>
      <c r="X1691" s="12"/>
      <c r="Y1691" s="12"/>
      <c r="Z1691" s="12"/>
      <c r="AA1691" s="1"/>
      <c r="AB1691" s="12"/>
      <c r="AC1691" s="12"/>
      <c r="AD1691" s="12"/>
      <c r="AE1691" s="12"/>
      <c r="AF1691" s="12"/>
      <c r="AG1691" s="12"/>
      <c r="AH1691" s="12"/>
      <c r="AI1691" s="6"/>
      <c r="AJ1691" s="12"/>
      <c r="AK1691" s="12"/>
      <c r="AL1691" s="12"/>
      <c r="AM1691" s="12"/>
      <c r="AN1691" s="1"/>
      <c r="AO1691" s="12"/>
    </row>
    <row r="1692" spans="1:41" ht="15" x14ac:dyDescent="0.25">
      <c r="A1692" s="1"/>
      <c r="B1692" s="1"/>
      <c r="C1692" s="1"/>
      <c r="D1692" s="1"/>
      <c r="E1692" s="6"/>
      <c r="F1692" s="1"/>
      <c r="G1692" s="6"/>
      <c r="H1692" s="6"/>
      <c r="I1692" s="6"/>
      <c r="J1692" s="6"/>
      <c r="K1692" s="6"/>
      <c r="L1692" s="6"/>
      <c r="M1692" s="6"/>
      <c r="N1692" s="6"/>
      <c r="O1692" s="7"/>
      <c r="P1692" s="6"/>
      <c r="Q1692" s="7"/>
      <c r="R1692" s="6"/>
      <c r="S1692" s="6"/>
      <c r="T1692" s="6"/>
      <c r="U1692" s="6"/>
      <c r="V1692" s="7"/>
      <c r="W1692" s="7"/>
      <c r="X1692" s="6"/>
      <c r="Y1692" s="6"/>
      <c r="Z1692" s="6"/>
      <c r="AA1692" s="1"/>
      <c r="AB1692" s="12"/>
      <c r="AC1692" s="12"/>
      <c r="AD1692" s="12"/>
      <c r="AE1692" s="12"/>
      <c r="AF1692" s="12"/>
      <c r="AG1692" s="12"/>
      <c r="AH1692" s="12"/>
      <c r="AI1692" s="6"/>
      <c r="AJ1692" s="12"/>
      <c r="AK1692" s="12"/>
      <c r="AL1692" s="12"/>
      <c r="AM1692" s="12"/>
      <c r="AN1692" s="1"/>
      <c r="AO1692" s="6"/>
    </row>
    <row r="1693" spans="1:41" ht="15" x14ac:dyDescent="0.25">
      <c r="A1693" s="1"/>
      <c r="B1693" s="1"/>
      <c r="C1693" s="1"/>
      <c r="D1693" s="1"/>
      <c r="E1693" s="6"/>
      <c r="F1693" s="1"/>
      <c r="G1693" s="6"/>
      <c r="H1693" s="6"/>
      <c r="I1693" s="6"/>
      <c r="J1693" s="6"/>
      <c r="K1693" s="6"/>
      <c r="L1693" s="6"/>
      <c r="M1693" s="6"/>
      <c r="N1693" s="6"/>
      <c r="O1693" s="7"/>
      <c r="P1693" s="12"/>
      <c r="Q1693" s="6"/>
      <c r="R1693" s="7"/>
      <c r="S1693" s="6"/>
      <c r="T1693" s="6"/>
      <c r="U1693" s="7"/>
      <c r="V1693" s="6"/>
      <c r="W1693" s="6"/>
      <c r="X1693" s="6"/>
      <c r="Y1693" s="6"/>
      <c r="Z1693" s="6"/>
      <c r="AA1693" s="7"/>
      <c r="AB1693" s="6"/>
      <c r="AC1693" s="6"/>
      <c r="AD1693" s="6"/>
      <c r="AE1693" s="12"/>
      <c r="AF1693" s="6"/>
      <c r="AG1693" s="12"/>
      <c r="AH1693" s="6"/>
      <c r="AI1693" s="6"/>
      <c r="AJ1693" s="12"/>
      <c r="AK1693" s="1"/>
      <c r="AL1693" s="12"/>
      <c r="AM1693" s="12"/>
      <c r="AN1693" s="1"/>
      <c r="AO1693" s="6"/>
    </row>
    <row r="1694" spans="1:41" ht="15" x14ac:dyDescent="0.25">
      <c r="A1694" s="1"/>
      <c r="B1694" s="1"/>
      <c r="C1694" s="1"/>
      <c r="D1694" s="1"/>
      <c r="E1694" s="6"/>
      <c r="F1694" s="1"/>
      <c r="G1694" s="6"/>
      <c r="H1694" s="6"/>
      <c r="I1694" s="6"/>
      <c r="J1694" s="6"/>
      <c r="K1694" s="6"/>
      <c r="L1694" s="6"/>
      <c r="M1694" s="6"/>
      <c r="N1694" s="6"/>
      <c r="O1694" s="7"/>
      <c r="P1694" s="12"/>
      <c r="Q1694" s="6"/>
      <c r="R1694" s="7"/>
      <c r="S1694" s="6"/>
      <c r="T1694" s="6"/>
      <c r="U1694" s="7"/>
      <c r="V1694" s="6"/>
      <c r="W1694" s="6"/>
      <c r="X1694" s="6"/>
      <c r="Y1694" s="6"/>
      <c r="Z1694" s="6"/>
      <c r="AA1694" s="7"/>
      <c r="AB1694" s="6"/>
      <c r="AC1694" s="6"/>
      <c r="AD1694" s="6"/>
      <c r="AE1694" s="12"/>
      <c r="AF1694" s="6"/>
      <c r="AG1694" s="12"/>
      <c r="AH1694" s="6"/>
      <c r="AI1694" s="6"/>
      <c r="AJ1694" s="12"/>
      <c r="AK1694" s="24"/>
      <c r="AL1694" s="25"/>
      <c r="AM1694" s="12"/>
      <c r="AN1694" s="1"/>
      <c r="AO1694" s="6"/>
    </row>
    <row r="1695" spans="1:41" ht="15" x14ac:dyDescent="0.25">
      <c r="A1695" s="1"/>
      <c r="B1695" s="1"/>
      <c r="C1695" s="1"/>
      <c r="D1695" s="1"/>
      <c r="E1695" s="6"/>
      <c r="F1695" s="1"/>
      <c r="G1695" s="6"/>
      <c r="H1695" s="6"/>
      <c r="I1695" s="6"/>
      <c r="J1695" s="6"/>
      <c r="K1695" s="6"/>
      <c r="L1695" s="6"/>
      <c r="M1695" s="6"/>
      <c r="N1695" s="6"/>
      <c r="O1695" s="7"/>
      <c r="P1695" s="6"/>
      <c r="Q1695" s="6"/>
      <c r="R1695" s="7"/>
      <c r="S1695" s="6"/>
      <c r="T1695" s="6"/>
      <c r="U1695" s="7"/>
      <c r="V1695" s="6"/>
      <c r="W1695" s="6"/>
      <c r="X1695" s="12"/>
      <c r="Y1695" s="6"/>
      <c r="Z1695" s="6"/>
      <c r="AA1695" s="7"/>
      <c r="AB1695" s="6"/>
      <c r="AC1695" s="6"/>
      <c r="AD1695" s="6"/>
      <c r="AE1695" s="12"/>
      <c r="AF1695" s="6"/>
      <c r="AG1695" s="12"/>
      <c r="AH1695" s="6"/>
      <c r="AI1695" s="6"/>
      <c r="AJ1695" s="12"/>
      <c r="AK1695" s="1"/>
      <c r="AL1695" s="12"/>
      <c r="AM1695" s="12"/>
      <c r="AN1695" s="1"/>
      <c r="AO1695" s="6"/>
    </row>
    <row r="1696" spans="1:41" ht="15" x14ac:dyDescent="0.25">
      <c r="A1696" s="1"/>
      <c r="B1696" s="1"/>
      <c r="C1696" s="1"/>
      <c r="D1696" s="1"/>
      <c r="E1696" s="6"/>
      <c r="F1696" s="1"/>
      <c r="G1696" s="6"/>
      <c r="H1696" s="6"/>
      <c r="I1696" s="6"/>
      <c r="J1696" s="6"/>
      <c r="K1696" s="6"/>
      <c r="L1696" s="6"/>
      <c r="M1696" s="6"/>
      <c r="N1696" s="6"/>
      <c r="O1696" s="7"/>
      <c r="P1696" s="6"/>
      <c r="Q1696" s="6"/>
      <c r="R1696" s="7"/>
      <c r="S1696" s="6"/>
      <c r="T1696" s="6"/>
      <c r="U1696" s="7"/>
      <c r="V1696" s="6"/>
      <c r="W1696" s="6"/>
      <c r="X1696" s="6"/>
      <c r="Y1696" s="6"/>
      <c r="Z1696" s="6"/>
      <c r="AA1696" s="7"/>
      <c r="AB1696" s="6"/>
      <c r="AC1696" s="6"/>
      <c r="AD1696" s="6"/>
      <c r="AE1696" s="12"/>
      <c r="AF1696" s="6"/>
      <c r="AG1696" s="12"/>
      <c r="AH1696" s="6"/>
      <c r="AI1696" s="6"/>
      <c r="AJ1696" s="12"/>
      <c r="AK1696" s="1"/>
      <c r="AL1696" s="12"/>
      <c r="AM1696" s="12"/>
      <c r="AN1696" s="1"/>
      <c r="AO1696" s="6"/>
    </row>
    <row r="1697" spans="1:41" ht="15" x14ac:dyDescent="0.25">
      <c r="A1697" s="1"/>
      <c r="B1697" s="1"/>
      <c r="C1697" s="1"/>
      <c r="D1697" s="1"/>
      <c r="E1697" s="6"/>
      <c r="F1697" s="1"/>
      <c r="G1697" s="6"/>
      <c r="H1697" s="6"/>
      <c r="I1697" s="6"/>
      <c r="J1697" s="6"/>
      <c r="K1697" s="6"/>
      <c r="L1697" s="6"/>
      <c r="M1697" s="6"/>
      <c r="N1697" s="6"/>
      <c r="O1697" s="7"/>
      <c r="P1697" s="6"/>
      <c r="Q1697" s="7"/>
      <c r="R1697" s="6"/>
      <c r="S1697" s="12"/>
      <c r="T1697" s="6"/>
      <c r="U1697" s="6"/>
      <c r="V1697" s="7"/>
      <c r="W1697" s="6"/>
      <c r="X1697" s="6"/>
      <c r="Y1697" s="6"/>
      <c r="Z1697" s="6"/>
      <c r="AA1697" s="24"/>
      <c r="AB1697" s="25"/>
      <c r="AC1697" s="12"/>
      <c r="AD1697" s="12"/>
      <c r="AE1697" s="12"/>
      <c r="AF1697" s="6"/>
      <c r="AG1697" s="12"/>
      <c r="AH1697" s="6"/>
      <c r="AI1697" s="6"/>
      <c r="AJ1697" s="12"/>
      <c r="AK1697" s="12"/>
      <c r="AL1697" s="12"/>
      <c r="AM1697" s="12"/>
      <c r="AN1697" s="1"/>
      <c r="AO1697" s="6"/>
    </row>
    <row r="1698" spans="1:41" ht="15" x14ac:dyDescent="0.25">
      <c r="A1698" s="1"/>
      <c r="B1698" s="1"/>
      <c r="C1698" s="1"/>
      <c r="D1698" s="1"/>
      <c r="E1698" s="6"/>
      <c r="F1698" s="1"/>
      <c r="G1698" s="6"/>
      <c r="H1698" s="6"/>
      <c r="I1698" s="6"/>
      <c r="J1698" s="6"/>
      <c r="K1698" s="6"/>
      <c r="L1698" s="6"/>
      <c r="M1698" s="6"/>
      <c r="N1698" s="6"/>
      <c r="O1698" s="7"/>
      <c r="P1698" s="6"/>
      <c r="Q1698" s="6"/>
      <c r="R1698" s="7"/>
      <c r="S1698" s="6"/>
      <c r="T1698" s="6"/>
      <c r="U1698" s="15"/>
      <c r="V1698" s="6"/>
      <c r="W1698" s="6"/>
      <c r="X1698" s="12"/>
      <c r="Y1698" s="6"/>
      <c r="Z1698" s="6"/>
      <c r="AA1698" s="7"/>
      <c r="AB1698" s="6"/>
      <c r="AC1698" s="6"/>
      <c r="AD1698" s="6"/>
      <c r="AE1698" s="12"/>
      <c r="AF1698" s="12"/>
      <c r="AG1698" s="12"/>
      <c r="AH1698" s="12"/>
      <c r="AI1698" s="6"/>
      <c r="AJ1698" s="12"/>
      <c r="AK1698" s="1"/>
      <c r="AL1698" s="12"/>
      <c r="AM1698" s="12"/>
      <c r="AN1698" s="1"/>
      <c r="AO1698" s="6"/>
    </row>
    <row r="1699" spans="1:41" ht="15" x14ac:dyDescent="0.25">
      <c r="A1699" s="1"/>
      <c r="B1699" s="1"/>
      <c r="C1699" s="1"/>
      <c r="D1699" s="1"/>
      <c r="E1699" s="6"/>
      <c r="F1699" s="1"/>
      <c r="G1699" s="6"/>
      <c r="H1699" s="6"/>
      <c r="I1699" s="6"/>
      <c r="J1699" s="6"/>
      <c r="K1699" s="6"/>
      <c r="L1699" s="6"/>
      <c r="M1699" s="6"/>
      <c r="N1699" s="6"/>
      <c r="O1699" s="7"/>
      <c r="P1699" s="6"/>
      <c r="Q1699" s="6"/>
      <c r="R1699" s="7"/>
      <c r="S1699" s="6"/>
      <c r="T1699" s="6"/>
      <c r="U1699" s="7"/>
      <c r="V1699" s="6"/>
      <c r="W1699" s="6"/>
      <c r="X1699" s="6"/>
      <c r="Y1699" s="6"/>
      <c r="Z1699" s="6"/>
      <c r="AA1699" s="7"/>
      <c r="AB1699" s="6"/>
      <c r="AC1699" s="6"/>
      <c r="AD1699" s="6"/>
      <c r="AE1699" s="12"/>
      <c r="AF1699" s="6"/>
      <c r="AG1699" s="12"/>
      <c r="AH1699" s="6"/>
      <c r="AI1699" s="6"/>
      <c r="AJ1699" s="12"/>
      <c r="AK1699" s="1"/>
      <c r="AL1699" s="12"/>
      <c r="AM1699" s="12"/>
      <c r="AN1699" s="1"/>
      <c r="AO1699" s="6"/>
    </row>
    <row r="1700" spans="1:41" ht="15" x14ac:dyDescent="0.25">
      <c r="A1700" s="1"/>
      <c r="B1700" s="1"/>
      <c r="C1700" s="1"/>
      <c r="D1700" s="1"/>
      <c r="E1700" s="6"/>
      <c r="F1700" s="1"/>
      <c r="G1700" s="6"/>
      <c r="H1700" s="6"/>
      <c r="I1700" s="6"/>
      <c r="J1700" s="6"/>
      <c r="K1700" s="6"/>
      <c r="L1700" s="6"/>
      <c r="M1700" s="6"/>
      <c r="N1700" s="6"/>
      <c r="O1700" s="7"/>
      <c r="P1700" s="6"/>
      <c r="Q1700" s="6"/>
      <c r="R1700" s="7"/>
      <c r="S1700" s="6"/>
      <c r="T1700" s="6"/>
      <c r="U1700" s="7"/>
      <c r="V1700" s="6"/>
      <c r="W1700" s="6"/>
      <c r="X1700" s="12"/>
      <c r="Y1700" s="6"/>
      <c r="Z1700" s="6"/>
      <c r="AA1700" s="7"/>
      <c r="AB1700" s="6"/>
      <c r="AC1700" s="6"/>
      <c r="AD1700" s="6"/>
      <c r="AE1700" s="12"/>
      <c r="AF1700" s="6"/>
      <c r="AG1700" s="12"/>
      <c r="AH1700" s="6"/>
      <c r="AI1700" s="6"/>
      <c r="AJ1700" s="12"/>
      <c r="AK1700" s="1"/>
      <c r="AL1700" s="12"/>
      <c r="AM1700" s="12"/>
      <c r="AN1700" s="1"/>
      <c r="AO1700" s="6"/>
    </row>
    <row r="1701" spans="1:41" ht="15" x14ac:dyDescent="0.25">
      <c r="A1701" s="1"/>
      <c r="B1701" s="1"/>
      <c r="C1701" s="1"/>
      <c r="D1701" s="1"/>
      <c r="E1701" s="6"/>
      <c r="F1701" s="1"/>
      <c r="G1701" s="6"/>
      <c r="H1701" s="6"/>
      <c r="I1701" s="6"/>
      <c r="J1701" s="6"/>
      <c r="K1701" s="6"/>
      <c r="L1701" s="6"/>
      <c r="M1701" s="6"/>
      <c r="N1701" s="6"/>
      <c r="O1701" s="7"/>
      <c r="P1701" s="12"/>
      <c r="Q1701" s="6"/>
      <c r="R1701" s="7"/>
      <c r="S1701" s="6"/>
      <c r="T1701" s="6"/>
      <c r="U1701" s="7"/>
      <c r="V1701" s="6"/>
      <c r="W1701" s="6"/>
      <c r="X1701" s="6"/>
      <c r="Y1701" s="6"/>
      <c r="Z1701" s="6"/>
      <c r="AA1701" s="7"/>
      <c r="AB1701" s="6"/>
      <c r="AC1701" s="6"/>
      <c r="AD1701" s="6"/>
      <c r="AE1701" s="12"/>
      <c r="AF1701" s="6"/>
      <c r="AG1701" s="12"/>
      <c r="AH1701" s="6"/>
      <c r="AI1701" s="6"/>
      <c r="AJ1701" s="12"/>
      <c r="AK1701" s="24"/>
      <c r="AL1701" s="25"/>
      <c r="AM1701" s="12"/>
      <c r="AN1701" s="1"/>
      <c r="AO1701" s="6"/>
    </row>
    <row r="1702" spans="1:41" ht="15" x14ac:dyDescent="0.25">
      <c r="A1702" s="1"/>
      <c r="B1702" s="1"/>
      <c r="C1702" s="1"/>
      <c r="D1702" s="1"/>
      <c r="E1702" s="6"/>
      <c r="F1702" s="1"/>
      <c r="G1702" s="6"/>
      <c r="H1702" s="6"/>
      <c r="I1702" s="6"/>
      <c r="J1702" s="6"/>
      <c r="K1702" s="6"/>
      <c r="L1702" s="6"/>
      <c r="M1702" s="6"/>
      <c r="N1702" s="6"/>
      <c r="O1702" s="7"/>
      <c r="P1702" s="6"/>
      <c r="Q1702" s="6"/>
      <c r="R1702" s="7"/>
      <c r="S1702" s="6"/>
      <c r="T1702" s="6"/>
      <c r="U1702" s="7"/>
      <c r="V1702" s="6"/>
      <c r="W1702" s="6"/>
      <c r="X1702" s="12"/>
      <c r="Y1702" s="6"/>
      <c r="Z1702" s="6"/>
      <c r="AA1702" s="7"/>
      <c r="AB1702" s="6"/>
      <c r="AC1702" s="6"/>
      <c r="AD1702" s="6"/>
      <c r="AE1702" s="12"/>
      <c r="AF1702" s="12"/>
      <c r="AG1702" s="12"/>
      <c r="AH1702" s="12"/>
      <c r="AI1702" s="6"/>
      <c r="AJ1702" s="12"/>
      <c r="AK1702" s="1"/>
      <c r="AL1702" s="12"/>
      <c r="AM1702" s="12"/>
      <c r="AN1702" s="1"/>
      <c r="AO1702" s="6"/>
    </row>
    <row r="1703" spans="1:41" ht="15" x14ac:dyDescent="0.25">
      <c r="A1703" s="1"/>
      <c r="B1703" s="1"/>
      <c r="C1703" s="1"/>
      <c r="D1703" s="1"/>
      <c r="E1703" s="6"/>
      <c r="F1703" s="1"/>
      <c r="G1703" s="6"/>
      <c r="H1703" s="6"/>
      <c r="I1703" s="6"/>
      <c r="J1703" s="6"/>
      <c r="K1703" s="6"/>
      <c r="L1703" s="6"/>
      <c r="M1703" s="6"/>
      <c r="N1703" s="6"/>
      <c r="O1703" s="7"/>
      <c r="P1703" s="6"/>
      <c r="Q1703" s="6"/>
      <c r="R1703" s="7"/>
      <c r="S1703" s="6"/>
      <c r="T1703" s="6"/>
      <c r="U1703" s="6"/>
      <c r="V1703" s="6"/>
      <c r="W1703" s="6"/>
      <c r="X1703" s="7"/>
      <c r="Y1703" s="6"/>
      <c r="Z1703" s="6"/>
      <c r="AA1703" s="7"/>
      <c r="AB1703" s="6"/>
      <c r="AC1703" s="6"/>
      <c r="AD1703" s="6"/>
      <c r="AE1703" s="12"/>
      <c r="AF1703" s="6"/>
      <c r="AG1703" s="12"/>
      <c r="AH1703" s="6"/>
      <c r="AI1703" s="6"/>
      <c r="AJ1703" s="12"/>
      <c r="AK1703" s="6"/>
      <c r="AL1703" s="12"/>
      <c r="AM1703" s="12"/>
      <c r="AN1703" s="1"/>
      <c r="AO1703" s="6"/>
    </row>
    <row r="1704" spans="1:41" ht="15" x14ac:dyDescent="0.25">
      <c r="A1704" s="1"/>
      <c r="B1704" s="1"/>
      <c r="C1704" s="1"/>
      <c r="D1704" s="1"/>
      <c r="E1704" s="6"/>
      <c r="F1704" s="1"/>
      <c r="G1704" s="6"/>
      <c r="H1704" s="6"/>
      <c r="I1704" s="6"/>
      <c r="J1704" s="6"/>
      <c r="K1704" s="6"/>
      <c r="L1704" s="6"/>
      <c r="M1704" s="6"/>
      <c r="N1704" s="6"/>
      <c r="O1704" s="7"/>
      <c r="P1704" s="6"/>
      <c r="Q1704" s="6"/>
      <c r="R1704" s="7"/>
      <c r="S1704" s="6"/>
      <c r="T1704" s="6"/>
      <c r="U1704" s="7"/>
      <c r="V1704" s="6"/>
      <c r="W1704" s="6"/>
      <c r="X1704" s="6"/>
      <c r="Y1704" s="6"/>
      <c r="Z1704" s="6"/>
      <c r="AA1704" s="7"/>
      <c r="AB1704" s="6"/>
      <c r="AC1704" s="6"/>
      <c r="AD1704" s="6"/>
      <c r="AE1704" s="12"/>
      <c r="AF1704" s="6"/>
      <c r="AG1704" s="12"/>
      <c r="AH1704" s="6"/>
      <c r="AI1704" s="6"/>
      <c r="AJ1704" s="12"/>
      <c r="AK1704" s="24"/>
      <c r="AL1704" s="25"/>
      <c r="AM1704" s="12"/>
      <c r="AN1704" s="1"/>
      <c r="AO1704" s="6"/>
    </row>
    <row r="1705" spans="1:41" ht="15" x14ac:dyDescent="0.25">
      <c r="A1705" s="1"/>
      <c r="B1705" s="1"/>
      <c r="C1705" s="1"/>
      <c r="D1705" s="1"/>
      <c r="E1705" s="6"/>
      <c r="F1705" s="1"/>
      <c r="G1705" s="6"/>
      <c r="H1705" s="6"/>
      <c r="I1705" s="6"/>
      <c r="J1705" s="6"/>
      <c r="K1705" s="6"/>
      <c r="L1705" s="6"/>
      <c r="M1705" s="6"/>
      <c r="N1705" s="6"/>
      <c r="O1705" s="7"/>
      <c r="P1705" s="6"/>
      <c r="Q1705" s="6"/>
      <c r="R1705" s="7"/>
      <c r="S1705" s="6"/>
      <c r="T1705" s="6"/>
      <c r="U1705" s="7"/>
      <c r="V1705" s="6"/>
      <c r="W1705" s="6"/>
      <c r="X1705" s="12"/>
      <c r="Y1705" s="6"/>
      <c r="Z1705" s="6"/>
      <c r="AA1705" s="7"/>
      <c r="AB1705" s="6"/>
      <c r="AC1705" s="6"/>
      <c r="AD1705" s="6"/>
      <c r="AE1705" s="12"/>
      <c r="AF1705" s="6"/>
      <c r="AG1705" s="12"/>
      <c r="AH1705" s="6"/>
      <c r="AI1705" s="6"/>
      <c r="AJ1705" s="12"/>
      <c r="AK1705" s="1"/>
      <c r="AL1705" s="12"/>
      <c r="AM1705" s="12"/>
      <c r="AN1705" s="1"/>
      <c r="AO1705" s="6"/>
    </row>
    <row r="1706" spans="1:41" ht="15" x14ac:dyDescent="0.25">
      <c r="A1706" s="1"/>
      <c r="B1706" s="1"/>
      <c r="C1706" s="1"/>
      <c r="D1706" s="1"/>
      <c r="E1706" s="6"/>
      <c r="F1706" s="1"/>
      <c r="G1706" s="6"/>
      <c r="H1706" s="6"/>
      <c r="I1706" s="6"/>
      <c r="J1706" s="6"/>
      <c r="K1706" s="6"/>
      <c r="L1706" s="6"/>
      <c r="M1706" s="6"/>
      <c r="N1706" s="6"/>
      <c r="O1706" s="7"/>
      <c r="P1706" s="12"/>
      <c r="Q1706" s="6"/>
      <c r="R1706" s="7"/>
      <c r="S1706" s="6"/>
      <c r="T1706" s="6"/>
      <c r="U1706" s="7"/>
      <c r="V1706" s="6"/>
      <c r="W1706" s="6"/>
      <c r="X1706" s="6"/>
      <c r="Y1706" s="6"/>
      <c r="Z1706" s="6"/>
      <c r="AA1706" s="7"/>
      <c r="AB1706" s="6"/>
      <c r="AC1706" s="6"/>
      <c r="AD1706" s="6"/>
      <c r="AE1706" s="12"/>
      <c r="AF1706" s="6"/>
      <c r="AG1706" s="12"/>
      <c r="AH1706" s="6"/>
      <c r="AI1706" s="6"/>
      <c r="AJ1706" s="12"/>
      <c r="AK1706" s="1"/>
      <c r="AL1706" s="12"/>
      <c r="AM1706" s="12"/>
      <c r="AN1706" s="1"/>
      <c r="AO1706" s="6"/>
    </row>
    <row r="1707" spans="1:41" ht="15" x14ac:dyDescent="0.25">
      <c r="A1707" s="1"/>
      <c r="B1707" s="1"/>
      <c r="C1707" s="1"/>
      <c r="D1707" s="1"/>
      <c r="E1707" s="6"/>
      <c r="F1707" s="1"/>
      <c r="G1707" s="6"/>
      <c r="H1707" s="6"/>
      <c r="I1707" s="6"/>
      <c r="J1707" s="6"/>
      <c r="K1707" s="6"/>
      <c r="L1707" s="6"/>
      <c r="M1707" s="6"/>
      <c r="N1707" s="6"/>
      <c r="O1707" s="7"/>
      <c r="P1707" s="6"/>
      <c r="Q1707" s="6"/>
      <c r="R1707" s="7"/>
      <c r="S1707" s="6"/>
      <c r="T1707" s="6"/>
      <c r="U1707" s="7"/>
      <c r="V1707" s="6"/>
      <c r="W1707" s="6"/>
      <c r="X1707" s="6"/>
      <c r="Y1707" s="6"/>
      <c r="Z1707" s="6"/>
      <c r="AA1707" s="7"/>
      <c r="AB1707" s="6"/>
      <c r="AC1707" s="6"/>
      <c r="AD1707" s="6"/>
      <c r="AE1707" s="12"/>
      <c r="AF1707" s="6"/>
      <c r="AG1707" s="12"/>
      <c r="AH1707" s="6"/>
      <c r="AI1707" s="6"/>
      <c r="AJ1707" s="12"/>
      <c r="AK1707" s="24"/>
      <c r="AL1707" s="25"/>
      <c r="AM1707" s="12"/>
      <c r="AN1707" s="1"/>
      <c r="AO1707" s="6"/>
    </row>
    <row r="1708" spans="1:41" ht="15" x14ac:dyDescent="0.25">
      <c r="A1708" s="1"/>
      <c r="B1708" s="1"/>
      <c r="C1708" s="1"/>
      <c r="D1708" s="1"/>
      <c r="E1708" s="6"/>
      <c r="F1708" s="1"/>
      <c r="G1708" s="6"/>
      <c r="H1708" s="6"/>
      <c r="I1708" s="6"/>
      <c r="J1708" s="6"/>
      <c r="K1708" s="6"/>
      <c r="L1708" s="6"/>
      <c r="M1708" s="6"/>
      <c r="N1708" s="6"/>
      <c r="O1708" s="7"/>
      <c r="P1708" s="6"/>
      <c r="Q1708" s="7"/>
      <c r="R1708" s="6"/>
      <c r="S1708" s="6"/>
      <c r="T1708" s="6"/>
      <c r="U1708" s="6"/>
      <c r="V1708" s="7"/>
      <c r="W1708" s="7"/>
      <c r="X1708" s="6"/>
      <c r="Y1708" s="6"/>
      <c r="Z1708" s="6"/>
      <c r="AA1708" s="1"/>
      <c r="AB1708" s="12"/>
      <c r="AC1708" s="12"/>
      <c r="AD1708" s="12"/>
      <c r="AE1708" s="12"/>
      <c r="AF1708" s="12"/>
      <c r="AG1708" s="12"/>
      <c r="AH1708" s="12"/>
      <c r="AI1708" s="6"/>
      <c r="AJ1708" s="12"/>
      <c r="AK1708" s="12"/>
      <c r="AL1708" s="12"/>
      <c r="AM1708" s="12"/>
      <c r="AN1708" s="1"/>
      <c r="AO1708" s="6"/>
    </row>
    <row r="1709" spans="1:41" ht="15" x14ac:dyDescent="0.25">
      <c r="A1709" s="1"/>
      <c r="B1709" s="1"/>
      <c r="C1709" s="1"/>
      <c r="D1709" s="1"/>
      <c r="E1709" s="6"/>
      <c r="F1709" s="1"/>
      <c r="G1709" s="6"/>
      <c r="H1709" s="6"/>
      <c r="I1709" s="6"/>
      <c r="J1709" s="6"/>
      <c r="K1709" s="6"/>
      <c r="L1709" s="6"/>
      <c r="M1709" s="6"/>
      <c r="N1709" s="6"/>
      <c r="O1709" s="7"/>
      <c r="P1709" s="6"/>
      <c r="Q1709" s="6"/>
      <c r="R1709" s="7"/>
      <c r="S1709" s="6"/>
      <c r="T1709" s="6"/>
      <c r="U1709" s="7"/>
      <c r="V1709" s="6"/>
      <c r="W1709" s="6"/>
      <c r="X1709" s="6"/>
      <c r="Y1709" s="6"/>
      <c r="Z1709" s="6"/>
      <c r="AA1709" s="7"/>
      <c r="AB1709" s="6"/>
      <c r="AC1709" s="6"/>
      <c r="AD1709" s="6"/>
      <c r="AE1709" s="12"/>
      <c r="AF1709" s="6"/>
      <c r="AG1709" s="12"/>
      <c r="AH1709" s="6"/>
      <c r="AI1709" s="6"/>
      <c r="AJ1709" s="12"/>
      <c r="AK1709" s="1"/>
      <c r="AL1709" s="12"/>
      <c r="AM1709" s="12"/>
      <c r="AN1709" s="1"/>
      <c r="AO1709" s="6"/>
    </row>
    <row r="1710" spans="1:41" ht="15" x14ac:dyDescent="0.25">
      <c r="A1710" s="1"/>
      <c r="B1710" s="1"/>
      <c r="C1710" s="1"/>
      <c r="D1710" s="1"/>
      <c r="E1710" s="6"/>
      <c r="F1710" s="1"/>
      <c r="G1710" s="6"/>
      <c r="H1710" s="6"/>
      <c r="I1710" s="6"/>
      <c r="J1710" s="6"/>
      <c r="K1710" s="6"/>
      <c r="L1710" s="6"/>
      <c r="M1710" s="6"/>
      <c r="N1710" s="6"/>
      <c r="O1710" s="7"/>
      <c r="P1710" s="6"/>
      <c r="Q1710" s="6"/>
      <c r="R1710" s="7"/>
      <c r="S1710" s="6"/>
      <c r="T1710" s="12"/>
      <c r="U1710" s="6"/>
      <c r="V1710" s="6"/>
      <c r="W1710" s="6"/>
      <c r="X1710" s="7"/>
      <c r="Y1710" s="6"/>
      <c r="Z1710" s="6"/>
      <c r="AA1710" s="7"/>
      <c r="AB1710" s="6"/>
      <c r="AC1710" s="6"/>
      <c r="AD1710" s="6"/>
      <c r="AE1710" s="12"/>
      <c r="AF1710" s="6"/>
      <c r="AG1710" s="12"/>
      <c r="AH1710" s="6"/>
      <c r="AI1710" s="6"/>
      <c r="AJ1710" s="12"/>
      <c r="AK1710" s="6"/>
      <c r="AL1710" s="12"/>
      <c r="AM1710" s="12"/>
      <c r="AN1710" s="1"/>
      <c r="AO1710" s="6"/>
    </row>
    <row r="1711" spans="1:41" ht="15" x14ac:dyDescent="0.25">
      <c r="A1711" s="1"/>
      <c r="B1711" s="1"/>
      <c r="C1711" s="1"/>
      <c r="D1711" s="1"/>
      <c r="E1711" s="6"/>
      <c r="F1711" s="1"/>
      <c r="G1711" s="6"/>
      <c r="H1711" s="6"/>
      <c r="I1711" s="6"/>
      <c r="J1711" s="6"/>
      <c r="K1711" s="6"/>
      <c r="L1711" s="6"/>
      <c r="M1711" s="6"/>
      <c r="N1711" s="6"/>
      <c r="O1711" s="7"/>
      <c r="P1711" s="6"/>
      <c r="Q1711" s="6"/>
      <c r="R1711" s="12"/>
      <c r="S1711" s="12"/>
      <c r="T1711" s="12"/>
      <c r="U1711" s="7"/>
      <c r="V1711" s="6"/>
      <c r="W1711" s="6"/>
      <c r="X1711" s="12"/>
      <c r="Y1711" s="6"/>
      <c r="Z1711" s="6"/>
      <c r="AA1711" s="7"/>
      <c r="AB1711" s="6"/>
      <c r="AC1711" s="6"/>
      <c r="AD1711" s="6"/>
      <c r="AE1711" s="12"/>
      <c r="AF1711" s="12"/>
      <c r="AG1711" s="12"/>
      <c r="AH1711" s="12"/>
      <c r="AI1711" s="6"/>
      <c r="AJ1711" s="12"/>
      <c r="AK1711" s="1"/>
      <c r="AL1711" s="12"/>
      <c r="AM1711" s="12"/>
      <c r="AN1711" s="1"/>
      <c r="AO1711" s="6"/>
    </row>
    <row r="1712" spans="1:41" ht="15" x14ac:dyDescent="0.25">
      <c r="A1712" s="1"/>
      <c r="B1712" s="1"/>
      <c r="C1712" s="1"/>
      <c r="D1712" s="1"/>
      <c r="E1712" s="6"/>
      <c r="F1712" s="1"/>
      <c r="G1712" s="6"/>
      <c r="H1712" s="6"/>
      <c r="I1712" s="6"/>
      <c r="J1712" s="6"/>
      <c r="K1712" s="6"/>
      <c r="L1712" s="6"/>
      <c r="M1712" s="6"/>
      <c r="N1712" s="6"/>
      <c r="O1712" s="7"/>
      <c r="P1712" s="12"/>
      <c r="Q1712" s="6"/>
      <c r="R1712" s="7"/>
      <c r="S1712" s="6"/>
      <c r="T1712" s="6"/>
      <c r="U1712" s="7"/>
      <c r="V1712" s="6"/>
      <c r="W1712" s="6"/>
      <c r="X1712" s="12"/>
      <c r="Y1712" s="6"/>
      <c r="Z1712" s="6"/>
      <c r="AA1712" s="7"/>
      <c r="AB1712" s="6"/>
      <c r="AC1712" s="6"/>
      <c r="AD1712" s="6"/>
      <c r="AE1712" s="12"/>
      <c r="AF1712" s="6"/>
      <c r="AG1712" s="12"/>
      <c r="AH1712" s="6"/>
      <c r="AI1712" s="6"/>
      <c r="AJ1712" s="12"/>
      <c r="AK1712" s="1"/>
      <c r="AL1712" s="12"/>
      <c r="AM1712" s="12"/>
      <c r="AN1712" s="1"/>
      <c r="AO1712" s="6"/>
    </row>
    <row r="1713" spans="1:41" ht="15" x14ac:dyDescent="0.25">
      <c r="A1713" s="1"/>
      <c r="B1713" s="1"/>
      <c r="C1713" s="1"/>
      <c r="D1713" s="1"/>
      <c r="E1713" s="6"/>
      <c r="F1713" s="1"/>
      <c r="G1713" s="6"/>
      <c r="H1713" s="6"/>
      <c r="I1713" s="6"/>
      <c r="J1713" s="6"/>
      <c r="K1713" s="6"/>
      <c r="L1713" s="6"/>
      <c r="M1713" s="6"/>
      <c r="N1713" s="6"/>
      <c r="O1713" s="7"/>
      <c r="P1713" s="6"/>
      <c r="Q1713" s="7"/>
      <c r="R1713" s="6"/>
      <c r="S1713" s="12"/>
      <c r="T1713" s="6"/>
      <c r="U1713" s="6"/>
      <c r="V1713" s="7"/>
      <c r="W1713" s="6"/>
      <c r="X1713" s="6"/>
      <c r="Y1713" s="6"/>
      <c r="Z1713" s="6"/>
      <c r="AA1713" s="1"/>
      <c r="AB1713" s="12"/>
      <c r="AC1713" s="12"/>
      <c r="AD1713" s="12"/>
      <c r="AE1713" s="12"/>
      <c r="AF1713" s="6"/>
      <c r="AG1713" s="12"/>
      <c r="AH1713" s="6"/>
      <c r="AI1713" s="6"/>
      <c r="AJ1713" s="12"/>
      <c r="AK1713" s="12"/>
      <c r="AL1713" s="12"/>
      <c r="AM1713" s="12"/>
      <c r="AN1713" s="1"/>
      <c r="AO1713" s="6"/>
    </row>
    <row r="1714" spans="1:41" ht="15" x14ac:dyDescent="0.25">
      <c r="A1714" s="1"/>
      <c r="B1714" s="1"/>
      <c r="C1714" s="1"/>
      <c r="D1714" s="1"/>
      <c r="E1714" s="6"/>
      <c r="F1714" s="1"/>
      <c r="G1714" s="6"/>
      <c r="H1714" s="6"/>
      <c r="I1714" s="6"/>
      <c r="J1714" s="6"/>
      <c r="K1714" s="6"/>
      <c r="L1714" s="6"/>
      <c r="M1714" s="6"/>
      <c r="N1714" s="6"/>
      <c r="O1714" s="7"/>
      <c r="P1714" s="6"/>
      <c r="Q1714" s="7"/>
      <c r="R1714" s="6"/>
      <c r="S1714" s="12"/>
      <c r="T1714" s="6"/>
      <c r="U1714" s="6"/>
      <c r="V1714" s="7"/>
      <c r="W1714" s="6"/>
      <c r="X1714" s="6"/>
      <c r="Y1714" s="6"/>
      <c r="Z1714" s="6"/>
      <c r="AA1714" s="1"/>
      <c r="AB1714" s="12"/>
      <c r="AC1714" s="12"/>
      <c r="AD1714" s="12"/>
      <c r="AE1714" s="12"/>
      <c r="AF1714" s="6"/>
      <c r="AG1714" s="12"/>
      <c r="AH1714" s="6"/>
      <c r="AI1714" s="6"/>
      <c r="AJ1714" s="12"/>
      <c r="AK1714" s="12"/>
      <c r="AL1714" s="12"/>
      <c r="AM1714" s="12"/>
      <c r="AN1714" s="1"/>
      <c r="AO1714" s="6"/>
    </row>
    <row r="1715" spans="1:41" ht="15" x14ac:dyDescent="0.25">
      <c r="A1715" s="1"/>
      <c r="B1715" s="1"/>
      <c r="C1715" s="1"/>
      <c r="D1715" s="1"/>
      <c r="E1715" s="6"/>
      <c r="F1715" s="1"/>
      <c r="G1715" s="6"/>
      <c r="H1715" s="6"/>
      <c r="I1715" s="6"/>
      <c r="J1715" s="6"/>
      <c r="K1715" s="6"/>
      <c r="L1715" s="6"/>
      <c r="M1715" s="6"/>
      <c r="N1715" s="6"/>
      <c r="O1715" s="7"/>
      <c r="P1715" s="6"/>
      <c r="Q1715" s="6"/>
      <c r="R1715" s="7"/>
      <c r="S1715" s="6"/>
      <c r="T1715" s="6"/>
      <c r="U1715" s="7"/>
      <c r="V1715" s="6"/>
      <c r="W1715" s="6"/>
      <c r="X1715" s="6"/>
      <c r="Y1715" s="6"/>
      <c r="Z1715" s="6"/>
      <c r="AA1715" s="7"/>
      <c r="AB1715" s="6"/>
      <c r="AC1715" s="6"/>
      <c r="AD1715" s="6"/>
      <c r="AE1715" s="12"/>
      <c r="AF1715" s="12"/>
      <c r="AG1715" s="12"/>
      <c r="AH1715" s="12"/>
      <c r="AI1715" s="6"/>
      <c r="AJ1715" s="12"/>
      <c r="AK1715" s="1"/>
      <c r="AL1715" s="12"/>
      <c r="AM1715" s="12"/>
      <c r="AN1715" s="1"/>
      <c r="AO1715" s="6"/>
    </row>
    <row r="1716" spans="1:41" ht="15" x14ac:dyDescent="0.25">
      <c r="A1716" s="1"/>
      <c r="B1716" s="1"/>
      <c r="C1716" s="1"/>
      <c r="D1716" s="1"/>
      <c r="E1716" s="6"/>
      <c r="F1716" s="1"/>
      <c r="G1716" s="6"/>
      <c r="H1716" s="6"/>
      <c r="I1716" s="6"/>
      <c r="J1716" s="6"/>
      <c r="K1716" s="6"/>
      <c r="L1716" s="6"/>
      <c r="M1716" s="6"/>
      <c r="N1716" s="6"/>
      <c r="O1716" s="7"/>
      <c r="P1716" s="6"/>
      <c r="Q1716" s="6"/>
      <c r="R1716" s="7"/>
      <c r="S1716" s="6"/>
      <c r="T1716" s="6"/>
      <c r="U1716" s="7"/>
      <c r="V1716" s="6"/>
      <c r="W1716" s="6"/>
      <c r="X1716" s="12"/>
      <c r="Y1716" s="6"/>
      <c r="Z1716" s="6"/>
      <c r="AA1716" s="7"/>
      <c r="AB1716" s="6"/>
      <c r="AC1716" s="6"/>
      <c r="AD1716" s="6"/>
      <c r="AE1716" s="12"/>
      <c r="AF1716" s="6"/>
      <c r="AG1716" s="12"/>
      <c r="AH1716" s="6"/>
      <c r="AI1716" s="6"/>
      <c r="AJ1716" s="12"/>
      <c r="AK1716" s="24"/>
      <c r="AL1716" s="25"/>
      <c r="AM1716" s="12"/>
      <c r="AN1716" s="1"/>
      <c r="AO1716" s="6"/>
    </row>
    <row r="1717" spans="1:41" ht="15" x14ac:dyDescent="0.25">
      <c r="A1717" s="1"/>
      <c r="B1717" s="1"/>
      <c r="C1717" s="1"/>
      <c r="D1717" s="1"/>
      <c r="E1717" s="6"/>
      <c r="F1717" s="1"/>
      <c r="G1717" s="6"/>
      <c r="H1717" s="6"/>
      <c r="I1717" s="6"/>
      <c r="J1717" s="6"/>
      <c r="K1717" s="6"/>
      <c r="L1717" s="6"/>
      <c r="M1717" s="6"/>
      <c r="N1717" s="6"/>
      <c r="O1717" s="7"/>
      <c r="P1717" s="12"/>
      <c r="Q1717" s="6"/>
      <c r="R1717" s="7"/>
      <c r="S1717" s="6"/>
      <c r="T1717" s="6"/>
      <c r="U1717" s="7"/>
      <c r="V1717" s="6"/>
      <c r="W1717" s="6"/>
      <c r="X1717" s="6"/>
      <c r="Y1717" s="6"/>
      <c r="Z1717" s="6"/>
      <c r="AA1717" s="7"/>
      <c r="AB1717" s="6"/>
      <c r="AC1717" s="6"/>
      <c r="AD1717" s="6"/>
      <c r="AE1717" s="12"/>
      <c r="AF1717" s="12"/>
      <c r="AG1717" s="12"/>
      <c r="AH1717" s="12"/>
      <c r="AI1717" s="6"/>
      <c r="AJ1717" s="12"/>
      <c r="AK1717" s="1"/>
      <c r="AL1717" s="12"/>
      <c r="AM1717" s="12"/>
      <c r="AN1717" s="1"/>
      <c r="AO1717" s="6"/>
    </row>
    <row r="1718" spans="1:41" ht="15" x14ac:dyDescent="0.25">
      <c r="A1718" s="1"/>
      <c r="B1718" s="1"/>
      <c r="C1718" s="1"/>
      <c r="D1718" s="1"/>
      <c r="E1718" s="6"/>
      <c r="F1718" s="1"/>
      <c r="G1718" s="6"/>
      <c r="H1718" s="6"/>
      <c r="I1718" s="6"/>
      <c r="J1718" s="6"/>
      <c r="K1718" s="6"/>
      <c r="L1718" s="6"/>
      <c r="M1718" s="6"/>
      <c r="N1718" s="6"/>
      <c r="O1718" s="7"/>
      <c r="P1718" s="6"/>
      <c r="Q1718" s="7"/>
      <c r="R1718" s="6"/>
      <c r="S1718" s="6"/>
      <c r="T1718" s="6"/>
      <c r="U1718" s="6"/>
      <c r="V1718" s="7"/>
      <c r="W1718" s="7"/>
      <c r="X1718" s="6"/>
      <c r="Y1718" s="6"/>
      <c r="Z1718" s="6"/>
      <c r="AA1718" s="1"/>
      <c r="AB1718" s="12"/>
      <c r="AC1718" s="12"/>
      <c r="AD1718" s="12"/>
      <c r="AE1718" s="12"/>
      <c r="AF1718" s="12"/>
      <c r="AG1718" s="12"/>
      <c r="AH1718" s="12"/>
      <c r="AI1718" s="6"/>
      <c r="AJ1718" s="12"/>
      <c r="AK1718" s="12"/>
      <c r="AL1718" s="12"/>
      <c r="AM1718" s="12"/>
      <c r="AN1718" s="1"/>
      <c r="AO1718" s="6"/>
    </row>
    <row r="1719" spans="1:41" ht="15" x14ac:dyDescent="0.25">
      <c r="A1719" s="1"/>
      <c r="B1719" s="1"/>
      <c r="C1719" s="1"/>
      <c r="D1719" s="1"/>
      <c r="E1719" s="6"/>
      <c r="F1719" s="1"/>
      <c r="G1719" s="6"/>
      <c r="H1719" s="6"/>
      <c r="I1719" s="6"/>
      <c r="J1719" s="6"/>
      <c r="K1719" s="12"/>
      <c r="L1719" s="12"/>
      <c r="M1719" s="6"/>
      <c r="N1719" s="6"/>
      <c r="O1719" s="7"/>
      <c r="P1719" s="12"/>
      <c r="Q1719" s="6"/>
      <c r="R1719" s="7"/>
      <c r="S1719" s="6"/>
      <c r="T1719" s="6"/>
      <c r="U1719" s="7"/>
      <c r="V1719" s="6"/>
      <c r="W1719" s="6"/>
      <c r="X1719" s="12"/>
      <c r="Y1719" s="6"/>
      <c r="Z1719" s="6"/>
      <c r="AA1719" s="7"/>
      <c r="AB1719" s="6"/>
      <c r="AC1719" s="6"/>
      <c r="AD1719" s="6"/>
      <c r="AE1719" s="12"/>
      <c r="AF1719" s="12"/>
      <c r="AG1719" s="12"/>
      <c r="AH1719" s="12"/>
      <c r="AI1719" s="6"/>
      <c r="AJ1719" s="12"/>
      <c r="AK1719" s="1"/>
      <c r="AL1719" s="12"/>
      <c r="AM1719" s="12"/>
      <c r="AN1719" s="1"/>
      <c r="AO1719" s="6"/>
    </row>
    <row r="1720" spans="1:41" ht="15" x14ac:dyDescent="0.25">
      <c r="A1720" s="1"/>
      <c r="B1720" s="1"/>
      <c r="C1720" s="1"/>
      <c r="D1720" s="1"/>
      <c r="E1720" s="6"/>
      <c r="F1720" s="1"/>
      <c r="G1720" s="6"/>
      <c r="H1720" s="6"/>
      <c r="I1720" s="6"/>
      <c r="J1720" s="6"/>
      <c r="K1720" s="6"/>
      <c r="L1720" s="6"/>
      <c r="M1720" s="6"/>
      <c r="N1720" s="6"/>
      <c r="O1720" s="7"/>
      <c r="P1720" s="6"/>
      <c r="Q1720" s="6"/>
      <c r="R1720" s="7"/>
      <c r="S1720" s="6"/>
      <c r="T1720" s="6"/>
      <c r="U1720" s="7"/>
      <c r="V1720" s="6"/>
      <c r="W1720" s="6"/>
      <c r="X1720" s="12"/>
      <c r="Y1720" s="6"/>
      <c r="Z1720" s="6"/>
      <c r="AA1720" s="7"/>
      <c r="AB1720" s="6"/>
      <c r="AC1720" s="6"/>
      <c r="AD1720" s="6"/>
      <c r="AE1720" s="12"/>
      <c r="AF1720" s="6"/>
      <c r="AG1720" s="12"/>
      <c r="AH1720" s="6"/>
      <c r="AI1720" s="6"/>
      <c r="AJ1720" s="12"/>
      <c r="AK1720" s="24"/>
      <c r="AL1720" s="25"/>
      <c r="AM1720" s="12"/>
      <c r="AN1720" s="1"/>
      <c r="AO1720" s="6"/>
    </row>
    <row r="1721" spans="1:41" ht="15" x14ac:dyDescent="0.25">
      <c r="A1721" s="1"/>
      <c r="B1721" s="1"/>
      <c r="C1721" s="1"/>
      <c r="D1721" s="1"/>
      <c r="E1721" s="6"/>
      <c r="F1721" s="1"/>
      <c r="G1721" s="6"/>
      <c r="H1721" s="6"/>
      <c r="I1721" s="6"/>
      <c r="J1721" s="6"/>
      <c r="K1721" s="6"/>
      <c r="L1721" s="6"/>
      <c r="M1721" s="6"/>
      <c r="N1721" s="6"/>
      <c r="O1721" s="7"/>
      <c r="P1721" s="6"/>
      <c r="Q1721" s="7"/>
      <c r="R1721" s="6"/>
      <c r="S1721" s="6"/>
      <c r="T1721" s="6"/>
      <c r="U1721" s="6"/>
      <c r="V1721" s="7"/>
      <c r="W1721" s="7"/>
      <c r="X1721" s="6"/>
      <c r="Y1721" s="6"/>
      <c r="Z1721" s="6"/>
      <c r="AA1721" s="1"/>
      <c r="AB1721" s="12"/>
      <c r="AC1721" s="12"/>
      <c r="AD1721" s="12"/>
      <c r="AE1721" s="12"/>
      <c r="AF1721" s="12"/>
      <c r="AG1721" s="12"/>
      <c r="AH1721" s="12"/>
      <c r="AI1721" s="6"/>
      <c r="AJ1721" s="12"/>
      <c r="AK1721" s="12"/>
      <c r="AL1721" s="12"/>
      <c r="AM1721" s="12"/>
      <c r="AN1721" s="1"/>
      <c r="AO1721" s="6"/>
    </row>
    <row r="1722" spans="1:41" ht="15" x14ac:dyDescent="0.25">
      <c r="A1722" s="1"/>
      <c r="B1722" s="1"/>
      <c r="C1722" s="1"/>
      <c r="D1722" s="1"/>
      <c r="E1722" s="6"/>
      <c r="F1722" s="1"/>
      <c r="G1722" s="6"/>
      <c r="H1722" s="6"/>
      <c r="I1722" s="6"/>
      <c r="J1722" s="6"/>
      <c r="K1722" s="6"/>
      <c r="L1722" s="6"/>
      <c r="M1722" s="6"/>
      <c r="N1722" s="6"/>
      <c r="O1722" s="7"/>
      <c r="P1722" s="6"/>
      <c r="Q1722" s="6"/>
      <c r="R1722" s="7"/>
      <c r="S1722" s="6"/>
      <c r="T1722" s="6"/>
      <c r="U1722" s="7"/>
      <c r="V1722" s="6"/>
      <c r="W1722" s="6"/>
      <c r="X1722" s="6"/>
      <c r="Y1722" s="6"/>
      <c r="Z1722" s="6"/>
      <c r="AA1722" s="7"/>
      <c r="AB1722" s="6"/>
      <c r="AC1722" s="6"/>
      <c r="AD1722" s="6"/>
      <c r="AE1722" s="12"/>
      <c r="AF1722" s="6"/>
      <c r="AG1722" s="12"/>
      <c r="AH1722" s="6"/>
      <c r="AI1722" s="6"/>
      <c r="AJ1722" s="12"/>
      <c r="AK1722" s="24"/>
      <c r="AL1722" s="25"/>
      <c r="AM1722" s="12"/>
      <c r="AN1722" s="1"/>
      <c r="AO1722" s="6"/>
    </row>
    <row r="1723" spans="1:41" ht="15" x14ac:dyDescent="0.25">
      <c r="A1723" s="1"/>
      <c r="B1723" s="1"/>
      <c r="C1723" s="1"/>
      <c r="D1723" s="1"/>
      <c r="E1723" s="6"/>
      <c r="F1723" s="1"/>
      <c r="G1723" s="6"/>
      <c r="H1723" s="6"/>
      <c r="I1723" s="6"/>
      <c r="J1723" s="6"/>
      <c r="K1723" s="6"/>
      <c r="L1723" s="6"/>
      <c r="M1723" s="6"/>
      <c r="N1723" s="6"/>
      <c r="O1723" s="7"/>
      <c r="P1723" s="6"/>
      <c r="Q1723" s="6"/>
      <c r="R1723" s="7"/>
      <c r="S1723" s="6"/>
      <c r="T1723" s="6"/>
      <c r="U1723" s="7"/>
      <c r="V1723" s="6"/>
      <c r="W1723" s="6"/>
      <c r="X1723" s="6"/>
      <c r="Y1723" s="6"/>
      <c r="Z1723" s="6"/>
      <c r="AA1723" s="7"/>
      <c r="AB1723" s="6"/>
      <c r="AC1723" s="6"/>
      <c r="AD1723" s="6"/>
      <c r="AE1723" s="12"/>
      <c r="AF1723" s="6"/>
      <c r="AG1723" s="12"/>
      <c r="AH1723" s="6"/>
      <c r="AI1723" s="6"/>
      <c r="AJ1723" s="12"/>
      <c r="AK1723" s="24"/>
      <c r="AL1723" s="25"/>
      <c r="AM1723" s="12"/>
      <c r="AN1723" s="1"/>
      <c r="AO1723" s="6"/>
    </row>
    <row r="1724" spans="1:41" ht="15" x14ac:dyDescent="0.25">
      <c r="A1724" s="1"/>
      <c r="B1724" s="1"/>
      <c r="C1724" s="1"/>
      <c r="D1724" s="1"/>
      <c r="E1724" s="6"/>
      <c r="F1724" s="1"/>
      <c r="G1724" s="6"/>
      <c r="H1724" s="6"/>
      <c r="I1724" s="6"/>
      <c r="J1724" s="6"/>
      <c r="K1724" s="6"/>
      <c r="L1724" s="6"/>
      <c r="M1724" s="6"/>
      <c r="N1724" s="6"/>
      <c r="O1724" s="7"/>
      <c r="P1724" s="6"/>
      <c r="Q1724" s="6"/>
      <c r="R1724" s="7"/>
      <c r="S1724" s="6"/>
      <c r="T1724" s="6"/>
      <c r="U1724" s="7"/>
      <c r="V1724" s="6"/>
      <c r="W1724" s="6"/>
      <c r="X1724" s="6"/>
      <c r="Y1724" s="6"/>
      <c r="Z1724" s="6"/>
      <c r="AA1724" s="7"/>
      <c r="AB1724" s="6"/>
      <c r="AC1724" s="6"/>
      <c r="AD1724" s="6"/>
      <c r="AE1724" s="12"/>
      <c r="AF1724" s="6"/>
      <c r="AG1724" s="12"/>
      <c r="AH1724" s="6"/>
      <c r="AI1724" s="6"/>
      <c r="AJ1724" s="12"/>
      <c r="AK1724" s="1"/>
      <c r="AL1724" s="12"/>
      <c r="AM1724" s="12"/>
      <c r="AN1724" s="1"/>
      <c r="AO1724" s="6"/>
    </row>
    <row r="1725" spans="1:41" ht="15" x14ac:dyDescent="0.25">
      <c r="A1725" s="1"/>
      <c r="B1725" s="1"/>
      <c r="C1725" s="1"/>
      <c r="D1725" s="1"/>
      <c r="E1725" s="6"/>
      <c r="F1725" s="1"/>
      <c r="G1725" s="6"/>
      <c r="H1725" s="6"/>
      <c r="I1725" s="6"/>
      <c r="J1725" s="6"/>
      <c r="K1725" s="6"/>
      <c r="L1725" s="6"/>
      <c r="M1725" s="6"/>
      <c r="N1725" s="6"/>
      <c r="O1725" s="7"/>
      <c r="P1725" s="6"/>
      <c r="Q1725" s="6"/>
      <c r="R1725" s="7"/>
      <c r="S1725" s="6"/>
      <c r="T1725" s="6"/>
      <c r="U1725" s="7"/>
      <c r="V1725" s="6"/>
      <c r="W1725" s="6"/>
      <c r="X1725" s="6"/>
      <c r="Y1725" s="6"/>
      <c r="Z1725" s="6"/>
      <c r="AA1725" s="7"/>
      <c r="AB1725" s="6"/>
      <c r="AC1725" s="6"/>
      <c r="AD1725" s="6"/>
      <c r="AE1725" s="12"/>
      <c r="AF1725" s="6"/>
      <c r="AG1725" s="12"/>
      <c r="AH1725" s="6"/>
      <c r="AI1725" s="6"/>
      <c r="AJ1725" s="12"/>
      <c r="AK1725" s="1"/>
      <c r="AL1725" s="12"/>
      <c r="AM1725" s="12"/>
      <c r="AN1725" s="1"/>
      <c r="AO1725" s="6"/>
    </row>
    <row r="1726" spans="1:41" ht="15" x14ac:dyDescent="0.25">
      <c r="A1726" s="1"/>
      <c r="B1726" s="1"/>
      <c r="C1726" s="1"/>
      <c r="D1726" s="1"/>
      <c r="E1726" s="6"/>
      <c r="F1726" s="1"/>
      <c r="G1726" s="6"/>
      <c r="H1726" s="6"/>
      <c r="I1726" s="6"/>
      <c r="J1726" s="6"/>
      <c r="K1726" s="6"/>
      <c r="L1726" s="6"/>
      <c r="M1726" s="6"/>
      <c r="N1726" s="6"/>
      <c r="O1726" s="7"/>
      <c r="P1726" s="12"/>
      <c r="Q1726" s="6"/>
      <c r="R1726" s="7"/>
      <c r="S1726" s="6"/>
      <c r="T1726" s="6"/>
      <c r="U1726" s="7"/>
      <c r="V1726" s="6"/>
      <c r="W1726" s="6"/>
      <c r="X1726" s="6"/>
      <c r="Y1726" s="6"/>
      <c r="Z1726" s="6"/>
      <c r="AA1726" s="7"/>
      <c r="AB1726" s="6"/>
      <c r="AC1726" s="6"/>
      <c r="AD1726" s="6"/>
      <c r="AE1726" s="12"/>
      <c r="AF1726" s="12"/>
      <c r="AG1726" s="12"/>
      <c r="AH1726" s="12"/>
      <c r="AI1726" s="6"/>
      <c r="AJ1726" s="12"/>
      <c r="AK1726" s="1"/>
      <c r="AL1726" s="12"/>
      <c r="AM1726" s="12"/>
      <c r="AN1726" s="1"/>
      <c r="AO1726" s="6"/>
    </row>
    <row r="1727" spans="1:41" ht="15" x14ac:dyDescent="0.25">
      <c r="A1727" s="1"/>
      <c r="B1727" s="1"/>
      <c r="C1727" s="1"/>
      <c r="D1727" s="1"/>
      <c r="E1727" s="6"/>
      <c r="F1727" s="1"/>
      <c r="G1727" s="6"/>
      <c r="H1727" s="6"/>
      <c r="I1727" s="6"/>
      <c r="J1727" s="6"/>
      <c r="K1727" s="6"/>
      <c r="L1727" s="6"/>
      <c r="M1727" s="6"/>
      <c r="N1727" s="6"/>
      <c r="O1727" s="7"/>
      <c r="P1727" s="6"/>
      <c r="Q1727" s="6"/>
      <c r="R1727" s="7"/>
      <c r="S1727" s="6"/>
      <c r="T1727" s="6"/>
      <c r="U1727" s="7"/>
      <c r="V1727" s="6"/>
      <c r="W1727" s="6"/>
      <c r="X1727" s="12"/>
      <c r="Y1727" s="6"/>
      <c r="Z1727" s="6"/>
      <c r="AA1727" s="7"/>
      <c r="AB1727" s="6"/>
      <c r="AC1727" s="6"/>
      <c r="AD1727" s="6"/>
      <c r="AE1727" s="12"/>
      <c r="AF1727" s="6"/>
      <c r="AG1727" s="12"/>
      <c r="AH1727" s="6"/>
      <c r="AI1727" s="6"/>
      <c r="AJ1727" s="12"/>
      <c r="AK1727" s="24"/>
      <c r="AL1727" s="25"/>
      <c r="AM1727" s="12"/>
      <c r="AN1727" s="1"/>
      <c r="AO1727" s="6"/>
    </row>
    <row r="1728" spans="1:41" ht="15" x14ac:dyDescent="0.25">
      <c r="A1728" s="1"/>
      <c r="B1728" s="1"/>
      <c r="C1728" s="1"/>
      <c r="D1728" s="1"/>
      <c r="E1728" s="6"/>
      <c r="F1728" s="1"/>
      <c r="G1728" s="6"/>
      <c r="H1728" s="6"/>
      <c r="I1728" s="6"/>
      <c r="J1728" s="6"/>
      <c r="K1728" s="6"/>
      <c r="L1728" s="6"/>
      <c r="M1728" s="6"/>
      <c r="N1728" s="6"/>
      <c r="O1728" s="7"/>
      <c r="P1728" s="6"/>
      <c r="Q1728" s="6"/>
      <c r="R1728" s="7"/>
      <c r="S1728" s="6"/>
      <c r="T1728" s="6"/>
      <c r="U1728" s="7"/>
      <c r="V1728" s="6"/>
      <c r="W1728" s="6"/>
      <c r="X1728" s="6"/>
      <c r="Y1728" s="6"/>
      <c r="Z1728" s="6"/>
      <c r="AA1728" s="7"/>
      <c r="AB1728" s="6"/>
      <c r="AC1728" s="6"/>
      <c r="AD1728" s="6"/>
      <c r="AE1728" s="12"/>
      <c r="AF1728" s="6"/>
      <c r="AG1728" s="12"/>
      <c r="AH1728" s="6"/>
      <c r="AI1728" s="6"/>
      <c r="AJ1728" s="12"/>
      <c r="AK1728" s="24"/>
      <c r="AL1728" s="25"/>
      <c r="AM1728" s="12"/>
      <c r="AN1728" s="1"/>
      <c r="AO1728" s="6"/>
    </row>
    <row r="1729" spans="1:41" ht="15" x14ac:dyDescent="0.25">
      <c r="A1729" s="1"/>
      <c r="B1729" s="1"/>
      <c r="C1729" s="1"/>
      <c r="D1729" s="1"/>
      <c r="E1729" s="6"/>
      <c r="F1729" s="1"/>
      <c r="G1729" s="6"/>
      <c r="H1729" s="6"/>
      <c r="I1729" s="6"/>
      <c r="J1729" s="6"/>
      <c r="K1729" s="6"/>
      <c r="L1729" s="6"/>
      <c r="M1729" s="6"/>
      <c r="N1729" s="6"/>
      <c r="O1729" s="7"/>
      <c r="P1729" s="6"/>
      <c r="Q1729" s="7"/>
      <c r="R1729" s="6"/>
      <c r="S1729" s="6"/>
      <c r="T1729" s="6"/>
      <c r="U1729" s="6"/>
      <c r="V1729" s="7"/>
      <c r="W1729" s="6"/>
      <c r="X1729" s="6"/>
      <c r="Y1729" s="6"/>
      <c r="Z1729" s="6"/>
      <c r="AA1729" s="24"/>
      <c r="AB1729" s="25"/>
      <c r="AC1729" s="12"/>
      <c r="AD1729" s="12"/>
      <c r="AE1729" s="12"/>
      <c r="AF1729" s="6"/>
      <c r="AG1729" s="12"/>
      <c r="AH1729" s="6"/>
      <c r="AI1729" s="6"/>
      <c r="AJ1729" s="12"/>
      <c r="AK1729" s="12"/>
      <c r="AL1729" s="12"/>
      <c r="AM1729" s="12"/>
      <c r="AN1729" s="1"/>
      <c r="AO1729" s="6"/>
    </row>
    <row r="1730" spans="1:41" ht="15" x14ac:dyDescent="0.25">
      <c r="A1730" s="1"/>
      <c r="B1730" s="1"/>
      <c r="C1730" s="1"/>
      <c r="D1730" s="1"/>
      <c r="E1730" s="6"/>
      <c r="F1730" s="1"/>
      <c r="G1730" s="6"/>
      <c r="H1730" s="6"/>
      <c r="I1730" s="6"/>
      <c r="J1730" s="6"/>
      <c r="K1730" s="6"/>
      <c r="L1730" s="6"/>
      <c r="M1730" s="6"/>
      <c r="N1730" s="6"/>
      <c r="O1730" s="7"/>
      <c r="P1730" s="6"/>
      <c r="Q1730" s="6"/>
      <c r="R1730" s="7"/>
      <c r="S1730" s="6"/>
      <c r="T1730" s="6"/>
      <c r="U1730" s="7"/>
      <c r="V1730" s="6"/>
      <c r="W1730" s="6"/>
      <c r="X1730" s="6"/>
      <c r="Y1730" s="6"/>
      <c r="Z1730" s="6"/>
      <c r="AA1730" s="7"/>
      <c r="AB1730" s="6"/>
      <c r="AC1730" s="6"/>
      <c r="AD1730" s="6"/>
      <c r="AE1730" s="12"/>
      <c r="AF1730" s="6"/>
      <c r="AG1730" s="12"/>
      <c r="AH1730" s="6"/>
      <c r="AI1730" s="6"/>
      <c r="AJ1730" s="12"/>
      <c r="AK1730" s="1"/>
      <c r="AL1730" s="12"/>
      <c r="AM1730" s="12"/>
      <c r="AN1730" s="1"/>
      <c r="AO1730" s="6"/>
    </row>
    <row r="1731" spans="1:41" ht="15" x14ac:dyDescent="0.25">
      <c r="A1731" s="1"/>
      <c r="B1731" s="1"/>
      <c r="C1731" s="1"/>
      <c r="D1731" s="1"/>
      <c r="E1731" s="6"/>
      <c r="F1731" s="1"/>
      <c r="G1731" s="6"/>
      <c r="H1731" s="6"/>
      <c r="I1731" s="6"/>
      <c r="J1731" s="6"/>
      <c r="K1731" s="6"/>
      <c r="L1731" s="6"/>
      <c r="M1731" s="6"/>
      <c r="N1731" s="6"/>
      <c r="O1731" s="7"/>
      <c r="P1731" s="6"/>
      <c r="Q1731" s="7"/>
      <c r="R1731" s="6"/>
      <c r="S1731" s="6"/>
      <c r="T1731" s="6"/>
      <c r="U1731" s="6"/>
      <c r="V1731" s="7"/>
      <c r="W1731" s="7"/>
      <c r="X1731" s="6"/>
      <c r="Y1731" s="6"/>
      <c r="Z1731" s="6"/>
      <c r="AA1731" s="1"/>
      <c r="AB1731" s="12"/>
      <c r="AC1731" s="12"/>
      <c r="AD1731" s="12"/>
      <c r="AE1731" s="12"/>
      <c r="AF1731" s="12"/>
      <c r="AG1731" s="12"/>
      <c r="AH1731" s="12"/>
      <c r="AI1731" s="6"/>
      <c r="AJ1731" s="12"/>
      <c r="AK1731" s="12"/>
      <c r="AL1731" s="12"/>
      <c r="AM1731" s="12"/>
      <c r="AN1731" s="1"/>
      <c r="AO1731" s="6"/>
    </row>
    <row r="1732" spans="1:41" ht="15" x14ac:dyDescent="0.25">
      <c r="A1732" s="1"/>
      <c r="B1732" s="1"/>
      <c r="C1732" s="1"/>
      <c r="D1732" s="1"/>
      <c r="E1732" s="6"/>
      <c r="F1732" s="1"/>
      <c r="G1732" s="6"/>
      <c r="H1732" s="6"/>
      <c r="I1732" s="6"/>
      <c r="J1732" s="6"/>
      <c r="K1732" s="6"/>
      <c r="L1732" s="6"/>
      <c r="M1732" s="6"/>
      <c r="N1732" s="6"/>
      <c r="O1732" s="7"/>
      <c r="P1732" s="6"/>
      <c r="Q1732" s="6"/>
      <c r="R1732" s="7"/>
      <c r="S1732" s="6"/>
      <c r="T1732" s="6"/>
      <c r="U1732" s="7"/>
      <c r="V1732" s="6"/>
      <c r="W1732" s="6"/>
      <c r="X1732" s="6"/>
      <c r="Y1732" s="6"/>
      <c r="Z1732" s="6"/>
      <c r="AA1732" s="7"/>
      <c r="AB1732" s="6"/>
      <c r="AC1732" s="6"/>
      <c r="AD1732" s="6"/>
      <c r="AE1732" s="12"/>
      <c r="AF1732" s="6"/>
      <c r="AG1732" s="12"/>
      <c r="AH1732" s="6"/>
      <c r="AI1732" s="6"/>
      <c r="AJ1732" s="12"/>
      <c r="AK1732" s="24"/>
      <c r="AL1732" s="25"/>
      <c r="AM1732" s="12"/>
      <c r="AN1732" s="1"/>
      <c r="AO1732" s="6"/>
    </row>
    <row r="1733" spans="1:41" ht="15" x14ac:dyDescent="0.25">
      <c r="A1733" s="1"/>
      <c r="B1733" s="1"/>
      <c r="C1733" s="1"/>
      <c r="D1733" s="1"/>
      <c r="E1733" s="6"/>
      <c r="F1733" s="1"/>
      <c r="G1733" s="6"/>
      <c r="H1733" s="6"/>
      <c r="I1733" s="6"/>
      <c r="J1733" s="6"/>
      <c r="K1733" s="6"/>
      <c r="L1733" s="6"/>
      <c r="M1733" s="6"/>
      <c r="N1733" s="6"/>
      <c r="O1733" s="7"/>
      <c r="P1733" s="6"/>
      <c r="Q1733" s="6"/>
      <c r="R1733" s="7"/>
      <c r="S1733" s="6"/>
      <c r="T1733" s="6"/>
      <c r="U1733" s="7"/>
      <c r="V1733" s="6"/>
      <c r="W1733" s="6"/>
      <c r="X1733" s="6"/>
      <c r="Y1733" s="6"/>
      <c r="Z1733" s="6"/>
      <c r="AA1733" s="7"/>
      <c r="AB1733" s="6"/>
      <c r="AC1733" s="6"/>
      <c r="AD1733" s="6"/>
      <c r="AE1733" s="12"/>
      <c r="AF1733" s="6"/>
      <c r="AG1733" s="12"/>
      <c r="AH1733" s="6"/>
      <c r="AI1733" s="6"/>
      <c r="AJ1733" s="12"/>
      <c r="AK1733" s="1"/>
      <c r="AL1733" s="12"/>
      <c r="AM1733" s="12"/>
      <c r="AN1733" s="1"/>
      <c r="AO1733" s="6"/>
    </row>
    <row r="1734" spans="1:41" ht="15" x14ac:dyDescent="0.25">
      <c r="A1734" s="1"/>
      <c r="B1734" s="1"/>
      <c r="C1734" s="1"/>
      <c r="D1734" s="1"/>
      <c r="E1734" s="6"/>
      <c r="F1734" s="1"/>
      <c r="G1734" s="6"/>
      <c r="H1734" s="6"/>
      <c r="I1734" s="6"/>
      <c r="J1734" s="6"/>
      <c r="K1734" s="6"/>
      <c r="L1734" s="6"/>
      <c r="M1734" s="6"/>
      <c r="N1734" s="6"/>
      <c r="O1734" s="7"/>
      <c r="P1734" s="6"/>
      <c r="Q1734" s="6"/>
      <c r="R1734" s="7"/>
      <c r="S1734" s="6"/>
      <c r="T1734" s="6"/>
      <c r="U1734" s="7"/>
      <c r="V1734" s="6"/>
      <c r="W1734" s="6"/>
      <c r="X1734" s="12"/>
      <c r="Y1734" s="6"/>
      <c r="Z1734" s="6"/>
      <c r="AA1734" s="7"/>
      <c r="AB1734" s="6"/>
      <c r="AC1734" s="6"/>
      <c r="AD1734" s="6"/>
      <c r="AE1734" s="12"/>
      <c r="AF1734" s="12"/>
      <c r="AG1734" s="12"/>
      <c r="AH1734" s="12"/>
      <c r="AI1734" s="6"/>
      <c r="AJ1734" s="12"/>
      <c r="AK1734" s="1"/>
      <c r="AL1734" s="12"/>
      <c r="AM1734" s="12"/>
      <c r="AN1734" s="1"/>
      <c r="AO1734" s="6"/>
    </row>
    <row r="1735" spans="1:41" ht="15" x14ac:dyDescent="0.25">
      <c r="A1735" s="1"/>
      <c r="B1735" s="1"/>
      <c r="C1735" s="1"/>
      <c r="D1735" s="1"/>
      <c r="E1735" s="6"/>
      <c r="F1735" s="1"/>
      <c r="G1735" s="6"/>
      <c r="H1735" s="6"/>
      <c r="I1735" s="6"/>
      <c r="J1735" s="6"/>
      <c r="K1735" s="12"/>
      <c r="L1735" s="12"/>
      <c r="M1735" s="6"/>
      <c r="N1735" s="6"/>
      <c r="O1735" s="7"/>
      <c r="P1735" s="6"/>
      <c r="Q1735" s="6"/>
      <c r="R1735" s="7"/>
      <c r="S1735" s="6"/>
      <c r="T1735" s="6"/>
      <c r="U1735" s="7"/>
      <c r="V1735" s="6"/>
      <c r="W1735" s="6"/>
      <c r="X1735" s="12"/>
      <c r="Y1735" s="6"/>
      <c r="Z1735" s="6"/>
      <c r="AA1735" s="7"/>
      <c r="AB1735" s="6"/>
      <c r="AC1735" s="6"/>
      <c r="AD1735" s="6"/>
      <c r="AE1735" s="12"/>
      <c r="AF1735" s="12"/>
      <c r="AG1735" s="12"/>
      <c r="AH1735" s="12"/>
      <c r="AI1735" s="6"/>
      <c r="AJ1735" s="12"/>
      <c r="AK1735" s="1"/>
      <c r="AL1735" s="12"/>
      <c r="AM1735" s="12"/>
      <c r="AN1735" s="1"/>
      <c r="AO1735" s="6"/>
    </row>
    <row r="1736" spans="1:41" ht="15" x14ac:dyDescent="0.25">
      <c r="A1736" s="1"/>
      <c r="B1736" s="1"/>
      <c r="C1736" s="1"/>
      <c r="D1736" s="1"/>
      <c r="E1736" s="6"/>
      <c r="F1736" s="1"/>
      <c r="G1736" s="6"/>
      <c r="H1736" s="6"/>
      <c r="I1736" s="6"/>
      <c r="J1736" s="6"/>
      <c r="K1736" s="6"/>
      <c r="L1736" s="6"/>
      <c r="M1736" s="6"/>
      <c r="N1736" s="6"/>
      <c r="O1736" s="7"/>
      <c r="P1736" s="6"/>
      <c r="Q1736" s="7"/>
      <c r="R1736" s="6"/>
      <c r="S1736" s="6"/>
      <c r="T1736" s="6"/>
      <c r="U1736" s="6"/>
      <c r="V1736" s="7"/>
      <c r="W1736" s="6"/>
      <c r="X1736" s="6"/>
      <c r="Y1736" s="6"/>
      <c r="Z1736" s="6"/>
      <c r="AA1736" s="24"/>
      <c r="AB1736" s="25"/>
      <c r="AC1736" s="12"/>
      <c r="AD1736" s="12"/>
      <c r="AE1736" s="12"/>
      <c r="AF1736" s="6"/>
      <c r="AG1736" s="12"/>
      <c r="AH1736" s="6"/>
      <c r="AI1736" s="6"/>
      <c r="AJ1736" s="12"/>
      <c r="AK1736" s="12"/>
      <c r="AL1736" s="12"/>
      <c r="AM1736" s="12"/>
      <c r="AN1736" s="1"/>
      <c r="AO1736" s="6"/>
    </row>
    <row r="1737" spans="1:41" ht="15" x14ac:dyDescent="0.25">
      <c r="A1737" s="1"/>
      <c r="B1737" s="1"/>
      <c r="C1737" s="1"/>
      <c r="D1737" s="1"/>
      <c r="E1737" s="6"/>
      <c r="F1737" s="1"/>
      <c r="G1737" s="6"/>
      <c r="H1737" s="6"/>
      <c r="I1737" s="6"/>
      <c r="J1737" s="6"/>
      <c r="K1737" s="6"/>
      <c r="L1737" s="6"/>
      <c r="M1737" s="6"/>
      <c r="N1737" s="6"/>
      <c r="O1737" s="7"/>
      <c r="P1737" s="6"/>
      <c r="Q1737" s="6"/>
      <c r="R1737" s="7"/>
      <c r="S1737" s="6"/>
      <c r="T1737" s="6"/>
      <c r="U1737" s="7"/>
      <c r="V1737" s="6"/>
      <c r="W1737" s="6"/>
      <c r="X1737" s="6"/>
      <c r="Y1737" s="6"/>
      <c r="Z1737" s="6"/>
      <c r="AA1737" s="7"/>
      <c r="AB1737" s="6"/>
      <c r="AC1737" s="6"/>
      <c r="AD1737" s="6"/>
      <c r="AE1737" s="12"/>
      <c r="AF1737" s="6"/>
      <c r="AG1737" s="12"/>
      <c r="AH1737" s="6"/>
      <c r="AI1737" s="6"/>
      <c r="AJ1737" s="12"/>
      <c r="AK1737" s="24"/>
      <c r="AL1737" s="25"/>
      <c r="AM1737" s="12"/>
      <c r="AN1737" s="1"/>
      <c r="AO1737" s="6"/>
    </row>
    <row r="1738" spans="1:41" ht="15" x14ac:dyDescent="0.25">
      <c r="A1738" s="1"/>
      <c r="B1738" s="1"/>
      <c r="C1738" s="1"/>
      <c r="D1738" s="1"/>
      <c r="E1738" s="6"/>
      <c r="F1738" s="1"/>
      <c r="G1738" s="6"/>
      <c r="H1738" s="6"/>
      <c r="I1738" s="6"/>
      <c r="J1738" s="6"/>
      <c r="K1738" s="6"/>
      <c r="L1738" s="6"/>
      <c r="M1738" s="6"/>
      <c r="N1738" s="6"/>
      <c r="O1738" s="7"/>
      <c r="P1738" s="6"/>
      <c r="Q1738" s="6"/>
      <c r="R1738" s="7"/>
      <c r="S1738" s="6"/>
      <c r="T1738" s="6"/>
      <c r="U1738" s="7"/>
      <c r="V1738" s="6"/>
      <c r="W1738" s="6"/>
      <c r="X1738" s="6"/>
      <c r="Y1738" s="6"/>
      <c r="Z1738" s="6"/>
      <c r="AA1738" s="7"/>
      <c r="AB1738" s="6"/>
      <c r="AC1738" s="6"/>
      <c r="AD1738" s="6"/>
      <c r="AE1738" s="12"/>
      <c r="AF1738" s="12"/>
      <c r="AG1738" s="12"/>
      <c r="AH1738" s="12"/>
      <c r="AI1738" s="6"/>
      <c r="AJ1738" s="12"/>
      <c r="AK1738" s="1"/>
      <c r="AL1738" s="12"/>
      <c r="AM1738" s="12"/>
      <c r="AN1738" s="1"/>
      <c r="AO1738" s="6"/>
    </row>
    <row r="1739" spans="1:41" ht="15" x14ac:dyDescent="0.25">
      <c r="A1739" s="1"/>
      <c r="B1739" s="1"/>
      <c r="C1739" s="1"/>
      <c r="D1739" s="1"/>
      <c r="E1739" s="6"/>
      <c r="F1739" s="1"/>
      <c r="G1739" s="6"/>
      <c r="H1739" s="6"/>
      <c r="I1739" s="6"/>
      <c r="J1739" s="6"/>
      <c r="K1739" s="6"/>
      <c r="L1739" s="6"/>
      <c r="M1739" s="6"/>
      <c r="N1739" s="6"/>
      <c r="O1739" s="7"/>
      <c r="P1739" s="12"/>
      <c r="Q1739" s="6"/>
      <c r="R1739" s="7"/>
      <c r="S1739" s="6"/>
      <c r="T1739" s="6"/>
      <c r="U1739" s="7"/>
      <c r="V1739" s="6"/>
      <c r="W1739" s="6"/>
      <c r="X1739" s="6"/>
      <c r="Y1739" s="6"/>
      <c r="Z1739" s="6"/>
      <c r="AA1739" s="7"/>
      <c r="AB1739" s="6"/>
      <c r="AC1739" s="6"/>
      <c r="AD1739" s="6"/>
      <c r="AE1739" s="12"/>
      <c r="AF1739" s="6"/>
      <c r="AG1739" s="12"/>
      <c r="AH1739" s="6"/>
      <c r="AI1739" s="6"/>
      <c r="AJ1739" s="12"/>
      <c r="AK1739" s="1"/>
      <c r="AL1739" s="12"/>
      <c r="AM1739" s="12"/>
      <c r="AN1739" s="1"/>
      <c r="AO1739" s="6"/>
    </row>
    <row r="1740" spans="1:41" ht="15" x14ac:dyDescent="0.25">
      <c r="A1740" s="1"/>
      <c r="B1740" s="1"/>
      <c r="C1740" s="1"/>
      <c r="D1740" s="1"/>
      <c r="E1740" s="6"/>
      <c r="F1740" s="1"/>
      <c r="G1740" s="6"/>
      <c r="H1740" s="6"/>
      <c r="I1740" s="6"/>
      <c r="J1740" s="6"/>
      <c r="K1740" s="6"/>
      <c r="L1740" s="6"/>
      <c r="M1740" s="6"/>
      <c r="N1740" s="6"/>
      <c r="O1740" s="7"/>
      <c r="P1740" s="12"/>
      <c r="Q1740" s="6"/>
      <c r="R1740" s="7"/>
      <c r="S1740" s="6"/>
      <c r="T1740" s="6"/>
      <c r="U1740" s="7"/>
      <c r="V1740" s="6"/>
      <c r="W1740" s="6"/>
      <c r="X1740" s="6"/>
      <c r="Y1740" s="6"/>
      <c r="Z1740" s="6"/>
      <c r="AA1740" s="7"/>
      <c r="AB1740" s="6"/>
      <c r="AC1740" s="6"/>
      <c r="AD1740" s="6"/>
      <c r="AE1740" s="12"/>
      <c r="AF1740" s="6"/>
      <c r="AG1740" s="12"/>
      <c r="AH1740" s="6"/>
      <c r="AI1740" s="6"/>
      <c r="AJ1740" s="12"/>
      <c r="AK1740" s="24"/>
      <c r="AL1740" s="25"/>
      <c r="AM1740" s="12"/>
      <c r="AN1740" s="1"/>
      <c r="AO1740" s="6"/>
    </row>
    <row r="1741" spans="1:41" ht="15" x14ac:dyDescent="0.25">
      <c r="A1741" s="1"/>
      <c r="B1741" s="1"/>
      <c r="C1741" s="1"/>
      <c r="D1741" s="1"/>
      <c r="E1741" s="6"/>
      <c r="F1741" s="1"/>
      <c r="G1741" s="6"/>
      <c r="H1741" s="6"/>
      <c r="I1741" s="6"/>
      <c r="J1741" s="6"/>
      <c r="K1741" s="6"/>
      <c r="L1741" s="6"/>
      <c r="M1741" s="6"/>
      <c r="N1741" s="6"/>
      <c r="O1741" s="7"/>
      <c r="P1741" s="6"/>
      <c r="Q1741" s="6"/>
      <c r="R1741" s="7"/>
      <c r="S1741" s="6"/>
      <c r="T1741" s="6"/>
      <c r="U1741" s="7"/>
      <c r="V1741" s="6"/>
      <c r="W1741" s="6"/>
      <c r="X1741" s="12"/>
      <c r="Y1741" s="6"/>
      <c r="Z1741" s="6"/>
      <c r="AA1741" s="7"/>
      <c r="AB1741" s="6"/>
      <c r="AC1741" s="6"/>
      <c r="AD1741" s="6"/>
      <c r="AE1741" s="12"/>
      <c r="AF1741" s="12"/>
      <c r="AG1741" s="12"/>
      <c r="AH1741" s="12"/>
      <c r="AI1741" s="6"/>
      <c r="AJ1741" s="12"/>
      <c r="AK1741" s="1"/>
      <c r="AL1741" s="12"/>
      <c r="AM1741" s="12"/>
      <c r="AN1741" s="1"/>
      <c r="AO1741" s="6"/>
    </row>
    <row r="1742" spans="1:41" ht="15" x14ac:dyDescent="0.25">
      <c r="A1742" s="1"/>
      <c r="B1742" s="1"/>
      <c r="C1742" s="1"/>
      <c r="D1742" s="1"/>
      <c r="E1742" s="6"/>
      <c r="F1742" s="1"/>
      <c r="G1742" s="6"/>
      <c r="H1742" s="6"/>
      <c r="I1742" s="6"/>
      <c r="J1742" s="6"/>
      <c r="K1742" s="6"/>
      <c r="L1742" s="6"/>
      <c r="M1742" s="6"/>
      <c r="N1742" s="6"/>
      <c r="O1742" s="7"/>
      <c r="P1742" s="6"/>
      <c r="Q1742" s="6"/>
      <c r="R1742" s="7"/>
      <c r="S1742" s="6"/>
      <c r="T1742" s="6"/>
      <c r="U1742" s="7"/>
      <c r="V1742" s="6"/>
      <c r="W1742" s="6"/>
      <c r="X1742" s="6"/>
      <c r="Y1742" s="6"/>
      <c r="Z1742" s="6"/>
      <c r="AA1742" s="7"/>
      <c r="AB1742" s="6"/>
      <c r="AC1742" s="6"/>
      <c r="AD1742" s="6"/>
      <c r="AE1742" s="12"/>
      <c r="AF1742" s="12"/>
      <c r="AG1742" s="12"/>
      <c r="AH1742" s="12"/>
      <c r="AI1742" s="6"/>
      <c r="AJ1742" s="12"/>
      <c r="AK1742" s="1"/>
      <c r="AL1742" s="12"/>
      <c r="AM1742" s="12"/>
      <c r="AN1742" s="1"/>
      <c r="AO1742" s="6"/>
    </row>
    <row r="1743" spans="1:41" ht="15" x14ac:dyDescent="0.25">
      <c r="A1743" s="1"/>
      <c r="B1743" s="1"/>
      <c r="C1743" s="1"/>
      <c r="D1743" s="1"/>
      <c r="E1743" s="6"/>
      <c r="F1743" s="1"/>
      <c r="G1743" s="6"/>
      <c r="H1743" s="6"/>
      <c r="I1743" s="6"/>
      <c r="J1743" s="6"/>
      <c r="K1743" s="6"/>
      <c r="L1743" s="6"/>
      <c r="M1743" s="6"/>
      <c r="N1743" s="6"/>
      <c r="O1743" s="7"/>
      <c r="P1743" s="6"/>
      <c r="Q1743" s="7"/>
      <c r="R1743" s="6"/>
      <c r="S1743" s="6"/>
      <c r="T1743" s="6"/>
      <c r="U1743" s="6"/>
      <c r="V1743" s="7"/>
      <c r="W1743" s="7"/>
      <c r="X1743" s="6"/>
      <c r="Y1743" s="6"/>
      <c r="Z1743" s="6"/>
      <c r="AA1743" s="1"/>
      <c r="AB1743" s="12"/>
      <c r="AC1743" s="12"/>
      <c r="AD1743" s="12"/>
      <c r="AE1743" s="12"/>
      <c r="AF1743" s="12"/>
      <c r="AG1743" s="12"/>
      <c r="AH1743" s="12"/>
      <c r="AI1743" s="6"/>
      <c r="AJ1743" s="12"/>
      <c r="AK1743" s="12"/>
      <c r="AL1743" s="12"/>
      <c r="AM1743" s="12"/>
      <c r="AN1743" s="1"/>
      <c r="AO1743" s="6"/>
    </row>
    <row r="1744" spans="1:41" ht="15" x14ac:dyDescent="0.25">
      <c r="A1744" s="1"/>
      <c r="B1744" s="1"/>
      <c r="C1744" s="1"/>
      <c r="D1744" s="1"/>
      <c r="E1744" s="6"/>
      <c r="F1744" s="1"/>
      <c r="G1744" s="6"/>
      <c r="H1744" s="6"/>
      <c r="I1744" s="6"/>
      <c r="J1744" s="6"/>
      <c r="K1744" s="6"/>
      <c r="L1744" s="6"/>
      <c r="M1744" s="6"/>
      <c r="N1744" s="6"/>
      <c r="O1744" s="7"/>
      <c r="P1744" s="6"/>
      <c r="Q1744" s="6"/>
      <c r="R1744" s="7"/>
      <c r="S1744" s="6"/>
      <c r="T1744" s="6"/>
      <c r="U1744" s="7"/>
      <c r="V1744" s="6"/>
      <c r="W1744" s="6"/>
      <c r="X1744" s="6"/>
      <c r="Y1744" s="6"/>
      <c r="Z1744" s="6"/>
      <c r="AA1744" s="7"/>
      <c r="AB1744" s="6"/>
      <c r="AC1744" s="6"/>
      <c r="AD1744" s="6"/>
      <c r="AE1744" s="12"/>
      <c r="AF1744" s="6"/>
      <c r="AG1744" s="12"/>
      <c r="AH1744" s="6"/>
      <c r="AI1744" s="6"/>
      <c r="AJ1744" s="12"/>
      <c r="AK1744" s="24"/>
      <c r="AL1744" s="25"/>
      <c r="AM1744" s="12"/>
      <c r="AN1744" s="1"/>
      <c r="AO1744" s="6"/>
    </row>
    <row r="1745" spans="1:41" ht="15" x14ac:dyDescent="0.25">
      <c r="A1745" s="1"/>
      <c r="B1745" s="1"/>
      <c r="C1745" s="1"/>
      <c r="D1745" s="1"/>
      <c r="E1745" s="6"/>
      <c r="F1745" s="1"/>
      <c r="G1745" s="6"/>
      <c r="H1745" s="6"/>
      <c r="I1745" s="6"/>
      <c r="J1745" s="6"/>
      <c r="K1745" s="6"/>
      <c r="L1745" s="6"/>
      <c r="M1745" s="6"/>
      <c r="N1745" s="6"/>
      <c r="O1745" s="7"/>
      <c r="P1745" s="6"/>
      <c r="Q1745" s="6"/>
      <c r="R1745" s="7"/>
      <c r="S1745" s="6"/>
      <c r="T1745" s="6"/>
      <c r="U1745" s="6"/>
      <c r="V1745" s="6"/>
      <c r="W1745" s="6"/>
      <c r="X1745" s="7"/>
      <c r="Y1745" s="6"/>
      <c r="Z1745" s="6"/>
      <c r="AA1745" s="7"/>
      <c r="AB1745" s="6"/>
      <c r="AC1745" s="6"/>
      <c r="AD1745" s="6"/>
      <c r="AE1745" s="12"/>
      <c r="AF1745" s="6"/>
      <c r="AG1745" s="12"/>
      <c r="AH1745" s="6"/>
      <c r="AI1745" s="6"/>
      <c r="AJ1745" s="12"/>
      <c r="AK1745" s="6"/>
      <c r="AL1745" s="12"/>
      <c r="AM1745" s="12"/>
      <c r="AN1745" s="1"/>
      <c r="AO1745" s="6"/>
    </row>
    <row r="1746" spans="1:41" ht="15" x14ac:dyDescent="0.25">
      <c r="A1746" s="1"/>
      <c r="B1746" s="1"/>
      <c r="C1746" s="1"/>
      <c r="D1746" s="1"/>
      <c r="E1746" s="6"/>
      <c r="F1746" s="1"/>
      <c r="G1746" s="6"/>
      <c r="H1746" s="6"/>
      <c r="I1746" s="6"/>
      <c r="J1746" s="6"/>
      <c r="K1746" s="6"/>
      <c r="L1746" s="6"/>
      <c r="M1746" s="6"/>
      <c r="N1746" s="6"/>
      <c r="O1746" s="7"/>
      <c r="P1746" s="6"/>
      <c r="Q1746" s="7"/>
      <c r="R1746" s="6"/>
      <c r="S1746" s="6"/>
      <c r="T1746" s="6"/>
      <c r="U1746" s="6"/>
      <c r="V1746" s="7"/>
      <c r="W1746" s="7"/>
      <c r="X1746" s="6"/>
      <c r="Y1746" s="6"/>
      <c r="Z1746" s="6"/>
      <c r="AA1746" s="1"/>
      <c r="AB1746" s="12"/>
      <c r="AC1746" s="12"/>
      <c r="AD1746" s="12"/>
      <c r="AE1746" s="12"/>
      <c r="AF1746" s="12"/>
      <c r="AG1746" s="12"/>
      <c r="AH1746" s="12"/>
      <c r="AI1746" s="6"/>
      <c r="AJ1746" s="12"/>
      <c r="AK1746" s="12"/>
      <c r="AL1746" s="12"/>
      <c r="AM1746" s="12"/>
      <c r="AN1746" s="1"/>
      <c r="AO1746" s="6"/>
    </row>
    <row r="1747" spans="1:41" ht="15" x14ac:dyDescent="0.25">
      <c r="A1747" s="1"/>
      <c r="B1747" s="1"/>
      <c r="C1747" s="1"/>
      <c r="D1747" s="1"/>
      <c r="E1747" s="6"/>
      <c r="F1747" s="1"/>
      <c r="G1747" s="6"/>
      <c r="H1747" s="6"/>
      <c r="I1747" s="6"/>
      <c r="J1747" s="6"/>
      <c r="K1747" s="6"/>
      <c r="L1747" s="6"/>
      <c r="M1747" s="6"/>
      <c r="N1747" s="6"/>
      <c r="O1747" s="7"/>
      <c r="P1747" s="6"/>
      <c r="Q1747" s="7"/>
      <c r="R1747" s="6"/>
      <c r="S1747" s="6"/>
      <c r="T1747" s="6"/>
      <c r="U1747" s="6"/>
      <c r="V1747" s="7"/>
      <c r="W1747" s="6"/>
      <c r="X1747" s="6"/>
      <c r="Y1747" s="6"/>
      <c r="Z1747" s="6"/>
      <c r="AA1747" s="1"/>
      <c r="AB1747" s="12"/>
      <c r="AC1747" s="12"/>
      <c r="AD1747" s="12"/>
      <c r="AE1747" s="12"/>
      <c r="AF1747" s="6"/>
      <c r="AG1747" s="12"/>
      <c r="AH1747" s="6"/>
      <c r="AI1747" s="6"/>
      <c r="AJ1747" s="12"/>
      <c r="AK1747" s="12"/>
      <c r="AL1747" s="12"/>
      <c r="AM1747" s="12"/>
      <c r="AN1747" s="1"/>
      <c r="AO1747" s="6"/>
    </row>
    <row r="1748" spans="1:41" ht="15" x14ac:dyDescent="0.25">
      <c r="A1748" s="1"/>
      <c r="B1748" s="1"/>
      <c r="C1748" s="1"/>
      <c r="D1748" s="1"/>
      <c r="E1748" s="6"/>
      <c r="F1748" s="1"/>
      <c r="G1748" s="6"/>
      <c r="H1748" s="6"/>
      <c r="I1748" s="6"/>
      <c r="J1748" s="6"/>
      <c r="K1748" s="6"/>
      <c r="L1748" s="6"/>
      <c r="M1748" s="6"/>
      <c r="N1748" s="6"/>
      <c r="O1748" s="7"/>
      <c r="P1748" s="6"/>
      <c r="Q1748" s="6"/>
      <c r="R1748" s="7"/>
      <c r="S1748" s="6"/>
      <c r="T1748" s="6"/>
      <c r="U1748" s="7"/>
      <c r="V1748" s="6"/>
      <c r="W1748" s="6"/>
      <c r="X1748" s="6"/>
      <c r="Y1748" s="6"/>
      <c r="Z1748" s="6"/>
      <c r="AA1748" s="7"/>
      <c r="AB1748" s="6"/>
      <c r="AC1748" s="6"/>
      <c r="AD1748" s="6"/>
      <c r="AE1748" s="12"/>
      <c r="AF1748" s="6"/>
      <c r="AG1748" s="12"/>
      <c r="AH1748" s="6"/>
      <c r="AI1748" s="6"/>
      <c r="AJ1748" s="12"/>
      <c r="AK1748" s="24"/>
      <c r="AL1748" s="25"/>
      <c r="AM1748" s="12"/>
      <c r="AN1748" s="1"/>
      <c r="AO1748" s="6"/>
    </row>
    <row r="1749" spans="1:41" ht="15" x14ac:dyDescent="0.25">
      <c r="A1749" s="1"/>
      <c r="B1749" s="1"/>
      <c r="C1749" s="1"/>
      <c r="D1749" s="1"/>
      <c r="E1749" s="6"/>
      <c r="F1749" s="1"/>
      <c r="G1749" s="6"/>
      <c r="H1749" s="6"/>
      <c r="I1749" s="6"/>
      <c r="J1749" s="6"/>
      <c r="K1749" s="6"/>
      <c r="L1749" s="6"/>
      <c r="M1749" s="6"/>
      <c r="N1749" s="6"/>
      <c r="O1749" s="7"/>
      <c r="P1749" s="12"/>
      <c r="Q1749" s="6"/>
      <c r="R1749" s="7"/>
      <c r="S1749" s="6"/>
      <c r="T1749" s="6"/>
      <c r="U1749" s="7"/>
      <c r="V1749" s="6"/>
      <c r="W1749" s="6"/>
      <c r="X1749" s="12"/>
      <c r="Y1749" s="6"/>
      <c r="Z1749" s="6"/>
      <c r="AA1749" s="7"/>
      <c r="AB1749" s="6"/>
      <c r="AC1749" s="6"/>
      <c r="AD1749" s="6"/>
      <c r="AE1749" s="12"/>
      <c r="AF1749" s="12"/>
      <c r="AG1749" s="12"/>
      <c r="AH1749" s="12"/>
      <c r="AI1749" s="6"/>
      <c r="AJ1749" s="12"/>
      <c r="AK1749" s="24"/>
      <c r="AL1749" s="25"/>
      <c r="AM1749" s="12"/>
      <c r="AN1749" s="1"/>
      <c r="AO1749" s="6"/>
    </row>
    <row r="1750" spans="1:41" ht="15" x14ac:dyDescent="0.25">
      <c r="A1750" s="1"/>
      <c r="B1750" s="1"/>
      <c r="C1750" s="1"/>
      <c r="D1750" s="1"/>
      <c r="E1750" s="6"/>
      <c r="F1750" s="1"/>
      <c r="G1750" s="6"/>
      <c r="H1750" s="6"/>
      <c r="I1750" s="6"/>
      <c r="J1750" s="6"/>
      <c r="K1750" s="6"/>
      <c r="L1750" s="6"/>
      <c r="M1750" s="6"/>
      <c r="N1750" s="6"/>
      <c r="O1750" s="7"/>
      <c r="P1750" s="6"/>
      <c r="Q1750" s="6"/>
      <c r="R1750" s="7"/>
      <c r="S1750" s="6"/>
      <c r="T1750" s="6"/>
      <c r="U1750" s="7"/>
      <c r="V1750" s="6"/>
      <c r="W1750" s="6"/>
      <c r="X1750" s="6"/>
      <c r="Y1750" s="6"/>
      <c r="Z1750" s="6"/>
      <c r="AA1750" s="7"/>
      <c r="AB1750" s="6"/>
      <c r="AC1750" s="6"/>
      <c r="AD1750" s="6"/>
      <c r="AE1750" s="12"/>
      <c r="AF1750" s="12"/>
      <c r="AG1750" s="12"/>
      <c r="AH1750" s="12"/>
      <c r="AI1750" s="6"/>
      <c r="AJ1750" s="12"/>
      <c r="AK1750" s="1"/>
      <c r="AL1750" s="12"/>
      <c r="AM1750" s="12"/>
      <c r="AN1750" s="1"/>
      <c r="AO1750" s="6"/>
    </row>
    <row r="1751" spans="1:41" ht="15" x14ac:dyDescent="0.25">
      <c r="A1751" s="1"/>
      <c r="B1751" s="1"/>
      <c r="C1751" s="1"/>
      <c r="D1751" s="1"/>
      <c r="E1751" s="6"/>
      <c r="F1751" s="1"/>
      <c r="G1751" s="6"/>
      <c r="H1751" s="6"/>
      <c r="I1751" s="6"/>
      <c r="J1751" s="6"/>
      <c r="K1751" s="6"/>
      <c r="L1751" s="6"/>
      <c r="M1751" s="6"/>
      <c r="N1751" s="6"/>
      <c r="O1751" s="7"/>
      <c r="P1751" s="6"/>
      <c r="Q1751" s="6"/>
      <c r="R1751" s="7"/>
      <c r="S1751" s="6"/>
      <c r="T1751" s="6"/>
      <c r="U1751" s="7"/>
      <c r="V1751" s="6"/>
      <c r="W1751" s="6"/>
      <c r="X1751" s="6"/>
      <c r="Y1751" s="6"/>
      <c r="Z1751" s="6"/>
      <c r="AA1751" s="7"/>
      <c r="AB1751" s="6"/>
      <c r="AC1751" s="6"/>
      <c r="AD1751" s="6"/>
      <c r="AE1751" s="12"/>
      <c r="AF1751" s="6"/>
      <c r="AG1751" s="12"/>
      <c r="AH1751" s="6"/>
      <c r="AI1751" s="6"/>
      <c r="AJ1751" s="12"/>
      <c r="AK1751" s="1"/>
      <c r="AL1751" s="12"/>
      <c r="AM1751" s="12"/>
      <c r="AN1751" s="1"/>
      <c r="AO1751" s="6"/>
    </row>
    <row r="1752" spans="1:41" ht="15" x14ac:dyDescent="0.25">
      <c r="A1752" s="1"/>
      <c r="B1752" s="1"/>
      <c r="C1752" s="1"/>
      <c r="D1752" s="1"/>
      <c r="E1752" s="6"/>
      <c r="F1752" s="1"/>
      <c r="G1752" s="6"/>
      <c r="H1752" s="6"/>
      <c r="I1752" s="6"/>
      <c r="J1752" s="6"/>
      <c r="K1752" s="6"/>
      <c r="L1752" s="6"/>
      <c r="M1752" s="6"/>
      <c r="N1752" s="6"/>
      <c r="O1752" s="7"/>
      <c r="P1752" s="12"/>
      <c r="Q1752" s="6"/>
      <c r="R1752" s="7"/>
      <c r="S1752" s="6"/>
      <c r="T1752" s="6"/>
      <c r="U1752" s="7"/>
      <c r="V1752" s="6"/>
      <c r="W1752" s="6"/>
      <c r="X1752" s="6"/>
      <c r="Y1752" s="6"/>
      <c r="Z1752" s="6"/>
      <c r="AA1752" s="7"/>
      <c r="AB1752" s="6"/>
      <c r="AC1752" s="6"/>
      <c r="AD1752" s="6"/>
      <c r="AE1752" s="12"/>
      <c r="AF1752" s="6"/>
      <c r="AG1752" s="12"/>
      <c r="AH1752" s="6"/>
      <c r="AI1752" s="6"/>
      <c r="AJ1752" s="12"/>
      <c r="AK1752" s="24"/>
      <c r="AL1752" s="25"/>
      <c r="AM1752" s="12"/>
      <c r="AN1752" s="1"/>
      <c r="AO1752" s="6"/>
    </row>
    <row r="1753" spans="1:41" ht="15" x14ac:dyDescent="0.25">
      <c r="A1753" s="1"/>
      <c r="B1753" s="1"/>
      <c r="C1753" s="1"/>
      <c r="D1753" s="1"/>
      <c r="E1753" s="6"/>
      <c r="F1753" s="1"/>
      <c r="G1753" s="6"/>
      <c r="H1753" s="6"/>
      <c r="I1753" s="6"/>
      <c r="J1753" s="6"/>
      <c r="K1753" s="6"/>
      <c r="L1753" s="6"/>
      <c r="M1753" s="6"/>
      <c r="N1753" s="6"/>
      <c r="O1753" s="7"/>
      <c r="P1753" s="12"/>
      <c r="Q1753" s="6"/>
      <c r="R1753" s="7"/>
      <c r="S1753" s="6"/>
      <c r="T1753" s="6"/>
      <c r="U1753" s="7"/>
      <c r="V1753" s="6"/>
      <c r="W1753" s="6"/>
      <c r="X1753" s="12"/>
      <c r="Y1753" s="6"/>
      <c r="Z1753" s="6"/>
      <c r="AA1753" s="7"/>
      <c r="AB1753" s="6"/>
      <c r="AC1753" s="6"/>
      <c r="AD1753" s="6"/>
      <c r="AE1753" s="12"/>
      <c r="AF1753" s="12"/>
      <c r="AG1753" s="12"/>
      <c r="AH1753" s="12"/>
      <c r="AI1753" s="6"/>
      <c r="AJ1753" s="12"/>
      <c r="AK1753" s="24"/>
      <c r="AL1753" s="25"/>
      <c r="AM1753" s="12"/>
      <c r="AN1753" s="1"/>
      <c r="AO1753" s="6"/>
    </row>
    <row r="1754" spans="1:41" ht="15" x14ac:dyDescent="0.25">
      <c r="A1754" s="1"/>
      <c r="B1754" s="1"/>
      <c r="C1754" s="1"/>
      <c r="D1754" s="1"/>
      <c r="E1754" s="6"/>
      <c r="F1754" s="1"/>
      <c r="G1754" s="6"/>
      <c r="H1754" s="6"/>
      <c r="I1754" s="6"/>
      <c r="J1754" s="6"/>
      <c r="K1754" s="6"/>
      <c r="L1754" s="6"/>
      <c r="M1754" s="6"/>
      <c r="N1754" s="6"/>
      <c r="O1754" s="7"/>
      <c r="P1754" s="6"/>
      <c r="Q1754" s="6"/>
      <c r="R1754" s="7"/>
      <c r="S1754" s="6"/>
      <c r="T1754" s="6"/>
      <c r="U1754" s="7"/>
      <c r="V1754" s="6"/>
      <c r="W1754" s="6"/>
      <c r="X1754" s="6"/>
      <c r="Y1754" s="6"/>
      <c r="Z1754" s="6"/>
      <c r="AA1754" s="7"/>
      <c r="AB1754" s="6"/>
      <c r="AC1754" s="6"/>
      <c r="AD1754" s="6"/>
      <c r="AE1754" s="12"/>
      <c r="AF1754" s="6"/>
      <c r="AG1754" s="12"/>
      <c r="AH1754" s="6"/>
      <c r="AI1754" s="6"/>
      <c r="AJ1754" s="12"/>
      <c r="AK1754" s="24"/>
      <c r="AL1754" s="25"/>
      <c r="AM1754" s="12"/>
      <c r="AN1754" s="1"/>
      <c r="AO1754" s="6"/>
    </row>
    <row r="1755" spans="1:41" ht="15" x14ac:dyDescent="0.25">
      <c r="A1755" s="1"/>
      <c r="B1755" s="1"/>
      <c r="C1755" s="1"/>
      <c r="D1755" s="1"/>
      <c r="E1755" s="6"/>
      <c r="F1755" s="1"/>
      <c r="G1755" s="6"/>
      <c r="H1755" s="6"/>
      <c r="I1755" s="6"/>
      <c r="J1755" s="6"/>
      <c r="K1755" s="6"/>
      <c r="L1755" s="6"/>
      <c r="M1755" s="6"/>
      <c r="N1755" s="6"/>
      <c r="O1755" s="7"/>
      <c r="P1755" s="6"/>
      <c r="Q1755" s="6"/>
      <c r="R1755" s="7"/>
      <c r="S1755" s="6"/>
      <c r="T1755" s="6"/>
      <c r="U1755" s="7"/>
      <c r="V1755" s="6"/>
      <c r="W1755" s="6"/>
      <c r="X1755" s="6"/>
      <c r="Y1755" s="6"/>
      <c r="Z1755" s="6"/>
      <c r="AA1755" s="7"/>
      <c r="AB1755" s="6"/>
      <c r="AC1755" s="6"/>
      <c r="AD1755" s="6"/>
      <c r="AE1755" s="12"/>
      <c r="AF1755" s="12"/>
      <c r="AG1755" s="12"/>
      <c r="AH1755" s="12"/>
      <c r="AI1755" s="6"/>
      <c r="AJ1755" s="12"/>
      <c r="AK1755" s="1"/>
      <c r="AL1755" s="12"/>
      <c r="AM1755" s="12"/>
      <c r="AN1755" s="1"/>
      <c r="AO1755" s="6"/>
    </row>
    <row r="1756" spans="1:41" ht="15" x14ac:dyDescent="0.25">
      <c r="A1756" s="1"/>
      <c r="B1756" s="1"/>
      <c r="C1756" s="1"/>
      <c r="D1756" s="1"/>
      <c r="E1756" s="6"/>
      <c r="F1756" s="1"/>
      <c r="G1756" s="6"/>
      <c r="H1756" s="6"/>
      <c r="I1756" s="6"/>
      <c r="J1756" s="6"/>
      <c r="K1756" s="6"/>
      <c r="L1756" s="6"/>
      <c r="M1756" s="6"/>
      <c r="N1756" s="6"/>
      <c r="O1756" s="7"/>
      <c r="P1756" s="12"/>
      <c r="Q1756" s="6"/>
      <c r="R1756" s="7"/>
      <c r="S1756" s="6"/>
      <c r="T1756" s="6"/>
      <c r="U1756" s="7"/>
      <c r="V1756" s="6"/>
      <c r="W1756" s="6"/>
      <c r="X1756" s="6"/>
      <c r="Y1756" s="6"/>
      <c r="Z1756" s="6"/>
      <c r="AA1756" s="7"/>
      <c r="AB1756" s="6"/>
      <c r="AC1756" s="6"/>
      <c r="AD1756" s="6"/>
      <c r="AE1756" s="12"/>
      <c r="AF1756" s="6"/>
      <c r="AG1756" s="12"/>
      <c r="AH1756" s="6"/>
      <c r="AI1756" s="6"/>
      <c r="AJ1756" s="12"/>
      <c r="AK1756" s="1"/>
      <c r="AL1756" s="12"/>
      <c r="AM1756" s="12"/>
      <c r="AN1756" s="1"/>
      <c r="AO1756" s="6"/>
    </row>
    <row r="1757" spans="1:41" ht="15" x14ac:dyDescent="0.25">
      <c r="A1757" s="1"/>
      <c r="B1757" s="1"/>
      <c r="C1757" s="1"/>
      <c r="D1757" s="1"/>
      <c r="E1757" s="6"/>
      <c r="F1757" s="1"/>
      <c r="G1757" s="6"/>
      <c r="H1757" s="6"/>
      <c r="I1757" s="6"/>
      <c r="J1757" s="6"/>
      <c r="K1757" s="6"/>
      <c r="L1757" s="6"/>
      <c r="M1757" s="6"/>
      <c r="N1757" s="6"/>
      <c r="O1757" s="7"/>
      <c r="P1757" s="12"/>
      <c r="Q1757" s="6"/>
      <c r="R1757" s="7"/>
      <c r="S1757" s="6"/>
      <c r="T1757" s="6"/>
      <c r="U1757" s="7"/>
      <c r="V1757" s="6"/>
      <c r="W1757" s="6"/>
      <c r="X1757" s="6"/>
      <c r="Y1757" s="6"/>
      <c r="Z1757" s="6"/>
      <c r="AA1757" s="7"/>
      <c r="AB1757" s="6"/>
      <c r="AC1757" s="6"/>
      <c r="AD1757" s="6"/>
      <c r="AE1757" s="12"/>
      <c r="AF1757" s="12"/>
      <c r="AG1757" s="12"/>
      <c r="AH1757" s="12"/>
      <c r="AI1757" s="6"/>
      <c r="AJ1757" s="12"/>
      <c r="AK1757" s="1"/>
      <c r="AL1757" s="12"/>
      <c r="AM1757" s="12"/>
      <c r="AN1757" s="1"/>
      <c r="AO1757" s="6"/>
    </row>
    <row r="1758" spans="1:41" ht="15" x14ac:dyDescent="0.25">
      <c r="A1758" s="1"/>
      <c r="B1758" s="1"/>
      <c r="C1758" s="1"/>
      <c r="D1758" s="1"/>
      <c r="E1758" s="6"/>
      <c r="F1758" s="1"/>
      <c r="G1758" s="6"/>
      <c r="H1758" s="6"/>
      <c r="I1758" s="6"/>
      <c r="J1758" s="6"/>
      <c r="K1758" s="6"/>
      <c r="L1758" s="6"/>
      <c r="M1758" s="6"/>
      <c r="N1758" s="6"/>
      <c r="O1758" s="7"/>
      <c r="P1758" s="12"/>
      <c r="Q1758" s="6"/>
      <c r="R1758" s="7"/>
      <c r="S1758" s="6"/>
      <c r="T1758" s="6"/>
      <c r="U1758" s="7"/>
      <c r="V1758" s="6"/>
      <c r="W1758" s="6"/>
      <c r="X1758" s="6"/>
      <c r="Y1758" s="6"/>
      <c r="Z1758" s="6"/>
      <c r="AA1758" s="7"/>
      <c r="AB1758" s="6"/>
      <c r="AC1758" s="6"/>
      <c r="AD1758" s="6"/>
      <c r="AE1758" s="12"/>
      <c r="AF1758" s="6"/>
      <c r="AG1758" s="12"/>
      <c r="AH1758" s="6"/>
      <c r="AI1758" s="6"/>
      <c r="AJ1758" s="12"/>
      <c r="AK1758" s="24"/>
      <c r="AL1758" s="25"/>
      <c r="AM1758" s="12"/>
      <c r="AN1758" s="1"/>
      <c r="AO1758" s="6"/>
    </row>
    <row r="1759" spans="1:41" ht="15" x14ac:dyDescent="0.25">
      <c r="A1759" s="1"/>
      <c r="B1759" s="1"/>
      <c r="C1759" s="1"/>
      <c r="D1759" s="1"/>
      <c r="E1759" s="6"/>
      <c r="F1759" s="1"/>
      <c r="G1759" s="6"/>
      <c r="H1759" s="6"/>
      <c r="I1759" s="6"/>
      <c r="J1759" s="6"/>
      <c r="K1759" s="12"/>
      <c r="L1759" s="12"/>
      <c r="M1759" s="6"/>
      <c r="N1759" s="6"/>
      <c r="O1759" s="7"/>
      <c r="P1759" s="6"/>
      <c r="Q1759" s="6"/>
      <c r="R1759" s="7"/>
      <c r="S1759" s="6"/>
      <c r="T1759" s="6"/>
      <c r="U1759" s="7"/>
      <c r="V1759" s="6"/>
      <c r="W1759" s="6"/>
      <c r="X1759" s="12"/>
      <c r="Y1759" s="6"/>
      <c r="Z1759" s="6"/>
      <c r="AA1759" s="7"/>
      <c r="AB1759" s="6"/>
      <c r="AC1759" s="6"/>
      <c r="AD1759" s="6"/>
      <c r="AE1759" s="12"/>
      <c r="AF1759" s="12"/>
      <c r="AG1759" s="12"/>
      <c r="AH1759" s="12"/>
      <c r="AI1759" s="6"/>
      <c r="AJ1759" s="12"/>
      <c r="AK1759" s="1"/>
      <c r="AL1759" s="12"/>
      <c r="AM1759" s="12"/>
      <c r="AN1759" s="1"/>
      <c r="AO1759" s="6"/>
    </row>
    <row r="1760" spans="1:41" ht="15" x14ac:dyDescent="0.25">
      <c r="A1760" s="1"/>
      <c r="B1760" s="1"/>
      <c r="C1760" s="1"/>
      <c r="D1760" s="1"/>
      <c r="E1760" s="6"/>
      <c r="F1760" s="1"/>
      <c r="G1760" s="6"/>
      <c r="H1760" s="6"/>
      <c r="I1760" s="6"/>
      <c r="J1760" s="6"/>
      <c r="K1760" s="12"/>
      <c r="L1760" s="12"/>
      <c r="M1760" s="6"/>
      <c r="N1760" s="6"/>
      <c r="O1760" s="7"/>
      <c r="P1760" s="6"/>
      <c r="Q1760" s="6"/>
      <c r="R1760" s="7"/>
      <c r="S1760" s="6"/>
      <c r="T1760" s="6"/>
      <c r="U1760" s="7"/>
      <c r="V1760" s="6"/>
      <c r="W1760" s="6"/>
      <c r="X1760" s="12"/>
      <c r="Y1760" s="6"/>
      <c r="Z1760" s="6"/>
      <c r="AA1760" s="7"/>
      <c r="AB1760" s="6"/>
      <c r="AC1760" s="6"/>
      <c r="AD1760" s="6"/>
      <c r="AE1760" s="12"/>
      <c r="AF1760" s="12"/>
      <c r="AG1760" s="12"/>
      <c r="AH1760" s="12"/>
      <c r="AI1760" s="6"/>
      <c r="AJ1760" s="12"/>
      <c r="AK1760" s="1"/>
      <c r="AL1760" s="12"/>
      <c r="AM1760" s="12"/>
      <c r="AN1760" s="1"/>
      <c r="AO1760" s="12"/>
    </row>
    <row r="1761" spans="1:41" ht="15" x14ac:dyDescent="0.25">
      <c r="A1761" s="1"/>
      <c r="B1761" s="1"/>
      <c r="C1761" s="1"/>
      <c r="D1761" s="1"/>
      <c r="E1761" s="6"/>
      <c r="F1761" s="1"/>
      <c r="G1761" s="6"/>
      <c r="H1761" s="6"/>
      <c r="I1761" s="6"/>
      <c r="J1761" s="6"/>
      <c r="K1761" s="6"/>
      <c r="L1761" s="6"/>
      <c r="M1761" s="6"/>
      <c r="N1761" s="6"/>
      <c r="O1761" s="7"/>
      <c r="P1761" s="6"/>
      <c r="Q1761" s="6"/>
      <c r="R1761" s="12"/>
      <c r="S1761" s="12"/>
      <c r="T1761" s="12"/>
      <c r="U1761" s="7"/>
      <c r="V1761" s="6"/>
      <c r="W1761" s="6"/>
      <c r="X1761" s="12"/>
      <c r="Y1761" s="6"/>
      <c r="Z1761" s="6"/>
      <c r="AA1761" s="7"/>
      <c r="AB1761" s="6"/>
      <c r="AC1761" s="6"/>
      <c r="AD1761" s="6"/>
      <c r="AE1761" s="12"/>
      <c r="AF1761" s="12"/>
      <c r="AG1761" s="12"/>
      <c r="AH1761" s="12"/>
      <c r="AI1761" s="6"/>
      <c r="AJ1761" s="12"/>
      <c r="AK1761" s="24"/>
      <c r="AL1761" s="25"/>
      <c r="AM1761" s="12"/>
      <c r="AN1761" s="1"/>
      <c r="AO1761" s="6"/>
    </row>
    <row r="1762" spans="1:41" ht="15" x14ac:dyDescent="0.25">
      <c r="A1762" s="1"/>
      <c r="B1762" s="1"/>
      <c r="C1762" s="1"/>
      <c r="D1762" s="1"/>
      <c r="E1762" s="6"/>
      <c r="F1762" s="1"/>
      <c r="G1762" s="6"/>
      <c r="H1762" s="6"/>
      <c r="I1762" s="6"/>
      <c r="J1762" s="6"/>
      <c r="K1762" s="6"/>
      <c r="L1762" s="6"/>
      <c r="M1762" s="6"/>
      <c r="N1762" s="6"/>
      <c r="O1762" s="7"/>
      <c r="P1762" s="6"/>
      <c r="Q1762" s="6"/>
      <c r="R1762" s="7"/>
      <c r="S1762" s="6"/>
      <c r="T1762" s="6"/>
      <c r="U1762" s="7"/>
      <c r="V1762" s="6"/>
      <c r="W1762" s="6"/>
      <c r="X1762" s="12"/>
      <c r="Y1762" s="6"/>
      <c r="Z1762" s="6"/>
      <c r="AA1762" s="7"/>
      <c r="AB1762" s="6"/>
      <c r="AC1762" s="6"/>
      <c r="AD1762" s="6"/>
      <c r="AE1762" s="12"/>
      <c r="AF1762" s="6"/>
      <c r="AG1762" s="12"/>
      <c r="AH1762" s="6"/>
      <c r="AI1762" s="6"/>
      <c r="AJ1762" s="12"/>
      <c r="AK1762" s="24"/>
      <c r="AL1762" s="25"/>
      <c r="AM1762" s="12"/>
      <c r="AN1762" s="1"/>
      <c r="AO1762" s="6"/>
    </row>
    <row r="1763" spans="1:41" ht="15" x14ac:dyDescent="0.25">
      <c r="A1763" s="1"/>
      <c r="B1763" s="1"/>
      <c r="C1763" s="1"/>
      <c r="D1763" s="1"/>
      <c r="E1763" s="6"/>
      <c r="F1763" s="1"/>
      <c r="G1763" s="6"/>
      <c r="H1763" s="6"/>
      <c r="I1763" s="6"/>
      <c r="J1763" s="6"/>
      <c r="K1763" s="6"/>
      <c r="L1763" s="6"/>
      <c r="M1763" s="6"/>
      <c r="N1763" s="6"/>
      <c r="O1763" s="7"/>
      <c r="P1763" s="6"/>
      <c r="Q1763" s="6"/>
      <c r="R1763" s="7"/>
      <c r="S1763" s="6"/>
      <c r="T1763" s="6"/>
      <c r="U1763" s="7"/>
      <c r="V1763" s="6"/>
      <c r="W1763" s="6"/>
      <c r="X1763" s="6"/>
      <c r="Y1763" s="6"/>
      <c r="Z1763" s="6"/>
      <c r="AA1763" s="7"/>
      <c r="AB1763" s="6"/>
      <c r="AC1763" s="6"/>
      <c r="AD1763" s="6"/>
      <c r="AE1763" s="12"/>
      <c r="AF1763" s="6"/>
      <c r="AG1763" s="12"/>
      <c r="AH1763" s="6"/>
      <c r="AI1763" s="6"/>
      <c r="AJ1763" s="12"/>
      <c r="AK1763" s="24"/>
      <c r="AL1763" s="25"/>
      <c r="AM1763" s="12"/>
      <c r="AN1763" s="1"/>
      <c r="AO1763" s="6"/>
    </row>
    <row r="1764" spans="1:41" ht="15" x14ac:dyDescent="0.25">
      <c r="A1764" s="1"/>
      <c r="B1764" s="1"/>
      <c r="C1764" s="1"/>
      <c r="D1764" s="1"/>
      <c r="E1764" s="6"/>
      <c r="F1764" s="1"/>
      <c r="G1764" s="6"/>
      <c r="H1764" s="6"/>
      <c r="I1764" s="6"/>
      <c r="J1764" s="6"/>
      <c r="K1764" s="6"/>
      <c r="L1764" s="6"/>
      <c r="M1764" s="6"/>
      <c r="N1764" s="6"/>
      <c r="O1764" s="7"/>
      <c r="P1764" s="6"/>
      <c r="Q1764" s="7"/>
      <c r="R1764" s="6"/>
      <c r="S1764" s="12"/>
      <c r="T1764" s="6"/>
      <c r="U1764" s="6"/>
      <c r="V1764" s="7"/>
      <c r="W1764" s="7"/>
      <c r="X1764" s="6"/>
      <c r="Y1764" s="6"/>
      <c r="Z1764" s="6"/>
      <c r="AA1764" s="1"/>
      <c r="AB1764" s="12"/>
      <c r="AC1764" s="12"/>
      <c r="AD1764" s="12"/>
      <c r="AE1764" s="12"/>
      <c r="AF1764" s="12"/>
      <c r="AG1764" s="12"/>
      <c r="AH1764" s="12"/>
      <c r="AI1764" s="6"/>
      <c r="AJ1764" s="12"/>
      <c r="AK1764" s="12"/>
      <c r="AL1764" s="12"/>
      <c r="AM1764" s="12"/>
      <c r="AN1764" s="1"/>
      <c r="AO1764" s="6"/>
    </row>
    <row r="1765" spans="1:41" ht="15" x14ac:dyDescent="0.25">
      <c r="A1765" s="1"/>
      <c r="B1765" s="1"/>
      <c r="C1765" s="1"/>
      <c r="D1765" s="1"/>
      <c r="E1765" s="6"/>
      <c r="F1765" s="1"/>
      <c r="G1765" s="6"/>
      <c r="H1765" s="6"/>
      <c r="I1765" s="6"/>
      <c r="J1765" s="6"/>
      <c r="K1765" s="12"/>
      <c r="L1765" s="12"/>
      <c r="M1765" s="6"/>
      <c r="N1765" s="6"/>
      <c r="O1765" s="7"/>
      <c r="P1765" s="6"/>
      <c r="Q1765" s="6"/>
      <c r="R1765" s="7"/>
      <c r="S1765" s="6"/>
      <c r="T1765" s="6"/>
      <c r="U1765" s="7"/>
      <c r="V1765" s="6"/>
      <c r="W1765" s="6"/>
      <c r="X1765" s="12"/>
      <c r="Y1765" s="6"/>
      <c r="Z1765" s="6"/>
      <c r="AA1765" s="7"/>
      <c r="AB1765" s="6"/>
      <c r="AC1765" s="6"/>
      <c r="AD1765" s="6"/>
      <c r="AE1765" s="12"/>
      <c r="AF1765" s="12"/>
      <c r="AG1765" s="12"/>
      <c r="AH1765" s="12"/>
      <c r="AI1765" s="6"/>
      <c r="AJ1765" s="12"/>
      <c r="AK1765" s="1"/>
      <c r="AL1765" s="12"/>
      <c r="AM1765" s="12"/>
      <c r="AN1765" s="1"/>
      <c r="AO1765" s="6"/>
    </row>
    <row r="1766" spans="1:41" ht="15" x14ac:dyDescent="0.25">
      <c r="A1766" s="1"/>
      <c r="B1766" s="1"/>
      <c r="C1766" s="1"/>
      <c r="D1766" s="1"/>
      <c r="E1766" s="6"/>
      <c r="F1766" s="1"/>
      <c r="G1766" s="6"/>
      <c r="H1766" s="6"/>
      <c r="I1766" s="6"/>
      <c r="J1766" s="6"/>
      <c r="K1766" s="6"/>
      <c r="L1766" s="6"/>
      <c r="M1766" s="6"/>
      <c r="N1766" s="6"/>
      <c r="O1766" s="7"/>
      <c r="P1766" s="6"/>
      <c r="Q1766" s="6"/>
      <c r="R1766" s="7"/>
      <c r="S1766" s="6"/>
      <c r="T1766" s="6"/>
      <c r="U1766" s="7"/>
      <c r="V1766" s="6"/>
      <c r="W1766" s="6"/>
      <c r="X1766" s="6"/>
      <c r="Y1766" s="6"/>
      <c r="Z1766" s="6"/>
      <c r="AA1766" s="7"/>
      <c r="AB1766" s="6"/>
      <c r="AC1766" s="6"/>
      <c r="AD1766" s="6"/>
      <c r="AE1766" s="12"/>
      <c r="AF1766" s="12"/>
      <c r="AG1766" s="12"/>
      <c r="AH1766" s="12"/>
      <c r="AI1766" s="6"/>
      <c r="AJ1766" s="12"/>
      <c r="AK1766" s="1"/>
      <c r="AL1766" s="12"/>
      <c r="AM1766" s="12"/>
      <c r="AN1766" s="1"/>
      <c r="AO1766" s="6"/>
    </row>
    <row r="1767" spans="1:41" ht="15" x14ac:dyDescent="0.25">
      <c r="A1767" s="1"/>
      <c r="B1767" s="1"/>
      <c r="C1767" s="1"/>
      <c r="D1767" s="1"/>
      <c r="E1767" s="6"/>
      <c r="F1767" s="1"/>
      <c r="G1767" s="6"/>
      <c r="H1767" s="6"/>
      <c r="I1767" s="6"/>
      <c r="J1767" s="6"/>
      <c r="K1767" s="12"/>
      <c r="L1767" s="12"/>
      <c r="M1767" s="6"/>
      <c r="N1767" s="6"/>
      <c r="O1767" s="7"/>
      <c r="P1767" s="6"/>
      <c r="Q1767" s="6"/>
      <c r="R1767" s="7"/>
      <c r="S1767" s="6"/>
      <c r="T1767" s="6"/>
      <c r="U1767" s="7"/>
      <c r="V1767" s="6"/>
      <c r="W1767" s="6"/>
      <c r="X1767" s="12"/>
      <c r="Y1767" s="6"/>
      <c r="Z1767" s="6"/>
      <c r="AA1767" s="7"/>
      <c r="AB1767" s="6"/>
      <c r="AC1767" s="6"/>
      <c r="AD1767" s="6"/>
      <c r="AE1767" s="12"/>
      <c r="AF1767" s="12"/>
      <c r="AG1767" s="12"/>
      <c r="AH1767" s="12"/>
      <c r="AI1767" s="6"/>
      <c r="AJ1767" s="12"/>
      <c r="AK1767" s="1"/>
      <c r="AL1767" s="12"/>
      <c r="AM1767" s="12"/>
      <c r="AN1767" s="1"/>
      <c r="AO1767" s="12"/>
    </row>
    <row r="1768" spans="1:41" ht="15" x14ac:dyDescent="0.25">
      <c r="A1768" s="1"/>
      <c r="B1768" s="1"/>
      <c r="C1768" s="1"/>
      <c r="D1768" s="1"/>
      <c r="E1768" s="6"/>
      <c r="F1768" s="1"/>
      <c r="G1768" s="6"/>
      <c r="H1768" s="6"/>
      <c r="I1768" s="6"/>
      <c r="J1768" s="6"/>
      <c r="K1768" s="12"/>
      <c r="L1768" s="12"/>
      <c r="M1768" s="6"/>
      <c r="N1768" s="6"/>
      <c r="O1768" s="7"/>
      <c r="P1768" s="6"/>
      <c r="Q1768" s="6"/>
      <c r="R1768" s="7"/>
      <c r="S1768" s="6"/>
      <c r="T1768" s="6"/>
      <c r="U1768" s="7"/>
      <c r="V1768" s="6"/>
      <c r="W1768" s="6"/>
      <c r="X1768" s="6"/>
      <c r="Y1768" s="6"/>
      <c r="Z1768" s="6"/>
      <c r="AA1768" s="7"/>
      <c r="AB1768" s="6"/>
      <c r="AC1768" s="6"/>
      <c r="AD1768" s="6"/>
      <c r="AE1768" s="12"/>
      <c r="AF1768" s="12"/>
      <c r="AG1768" s="12"/>
      <c r="AH1768" s="12"/>
      <c r="AI1768" s="6"/>
      <c r="AJ1768" s="12"/>
      <c r="AK1768" s="1"/>
      <c r="AL1768" s="12"/>
      <c r="AM1768" s="12"/>
      <c r="AN1768" s="1"/>
      <c r="AO1768" s="6"/>
    </row>
    <row r="1769" spans="1:41" ht="15" x14ac:dyDescent="0.25">
      <c r="A1769" s="1"/>
      <c r="B1769" s="1"/>
      <c r="C1769" s="1"/>
      <c r="D1769" s="1"/>
      <c r="E1769" s="6"/>
      <c r="F1769" s="1"/>
      <c r="G1769" s="6"/>
      <c r="H1769" s="6"/>
      <c r="I1769" s="6"/>
      <c r="J1769" s="6"/>
      <c r="K1769" s="6"/>
      <c r="L1769" s="6"/>
      <c r="M1769" s="6"/>
      <c r="N1769" s="6"/>
      <c r="O1769" s="7"/>
      <c r="P1769" s="12"/>
      <c r="Q1769" s="6"/>
      <c r="R1769" s="7"/>
      <c r="S1769" s="6"/>
      <c r="T1769" s="6"/>
      <c r="U1769" s="7"/>
      <c r="V1769" s="6"/>
      <c r="W1769" s="6"/>
      <c r="X1769" s="12"/>
      <c r="Y1769" s="6"/>
      <c r="Z1769" s="6"/>
      <c r="AA1769" s="7"/>
      <c r="AB1769" s="6"/>
      <c r="AC1769" s="6"/>
      <c r="AD1769" s="6"/>
      <c r="AE1769" s="12"/>
      <c r="AF1769" s="12"/>
      <c r="AG1769" s="12"/>
      <c r="AH1769" s="12"/>
      <c r="AI1769" s="6"/>
      <c r="AJ1769" s="12"/>
      <c r="AK1769" s="1"/>
      <c r="AL1769" s="12"/>
      <c r="AM1769" s="12"/>
      <c r="AN1769" s="1"/>
      <c r="AO1769" s="6"/>
    </row>
    <row r="1770" spans="1:41" ht="15" x14ac:dyDescent="0.25">
      <c r="A1770" s="1"/>
      <c r="B1770" s="1"/>
      <c r="C1770" s="1"/>
      <c r="D1770" s="1"/>
      <c r="E1770" s="6"/>
      <c r="F1770" s="1"/>
      <c r="G1770" s="6"/>
      <c r="H1770" s="6"/>
      <c r="I1770" s="6"/>
      <c r="J1770" s="6"/>
      <c r="K1770" s="6"/>
      <c r="L1770" s="6"/>
      <c r="M1770" s="6"/>
      <c r="N1770" s="6"/>
      <c r="O1770" s="7"/>
      <c r="P1770" s="6"/>
      <c r="Q1770" s="6"/>
      <c r="R1770" s="7"/>
      <c r="S1770" s="6"/>
      <c r="T1770" s="6"/>
      <c r="U1770" s="7"/>
      <c r="V1770" s="6"/>
      <c r="W1770" s="6"/>
      <c r="X1770" s="12"/>
      <c r="Y1770" s="6"/>
      <c r="Z1770" s="6"/>
      <c r="AA1770" s="7"/>
      <c r="AB1770" s="6"/>
      <c r="AC1770" s="6"/>
      <c r="AD1770" s="6"/>
      <c r="AE1770" s="12"/>
      <c r="AF1770" s="12"/>
      <c r="AG1770" s="12"/>
      <c r="AH1770" s="12"/>
      <c r="AI1770" s="6"/>
      <c r="AJ1770" s="12"/>
      <c r="AK1770" s="24"/>
      <c r="AL1770" s="25"/>
      <c r="AM1770" s="12"/>
      <c r="AN1770" s="1"/>
      <c r="AO1770" s="6"/>
    </row>
    <row r="1771" spans="1:41" ht="15" x14ac:dyDescent="0.25">
      <c r="A1771" s="1"/>
      <c r="B1771" s="1"/>
      <c r="C1771" s="1"/>
      <c r="D1771" s="1"/>
      <c r="E1771" s="6"/>
      <c r="F1771" s="1"/>
      <c r="G1771" s="6"/>
      <c r="H1771" s="6"/>
      <c r="I1771" s="6"/>
      <c r="J1771" s="6"/>
      <c r="K1771" s="6"/>
      <c r="L1771" s="6"/>
      <c r="M1771" s="6"/>
      <c r="N1771" s="6"/>
      <c r="O1771" s="7"/>
      <c r="P1771" s="6"/>
      <c r="Q1771" s="6"/>
      <c r="R1771" s="7"/>
      <c r="S1771" s="6"/>
      <c r="T1771" s="6"/>
      <c r="U1771" s="7"/>
      <c r="V1771" s="6"/>
      <c r="W1771" s="6"/>
      <c r="X1771" s="12"/>
      <c r="Y1771" s="6"/>
      <c r="Z1771" s="6"/>
      <c r="AA1771" s="7"/>
      <c r="AB1771" s="6"/>
      <c r="AC1771" s="6"/>
      <c r="AD1771" s="6"/>
      <c r="AE1771" s="12"/>
      <c r="AF1771" s="6"/>
      <c r="AG1771" s="12"/>
      <c r="AH1771" s="6"/>
      <c r="AI1771" s="6"/>
      <c r="AJ1771" s="12"/>
      <c r="AK1771" s="24"/>
      <c r="AL1771" s="25"/>
      <c r="AM1771" s="12"/>
      <c r="AN1771" s="1"/>
      <c r="AO1771" s="6"/>
    </row>
    <row r="1772" spans="1:41" ht="15" x14ac:dyDescent="0.25">
      <c r="A1772" s="1"/>
      <c r="B1772" s="1"/>
      <c r="C1772" s="1"/>
      <c r="D1772" s="1"/>
      <c r="E1772" s="6"/>
      <c r="F1772" s="1"/>
      <c r="G1772" s="6"/>
      <c r="H1772" s="6"/>
      <c r="I1772" s="6"/>
      <c r="J1772" s="6"/>
      <c r="K1772" s="6"/>
      <c r="L1772" s="6"/>
      <c r="M1772" s="6"/>
      <c r="N1772" s="6"/>
      <c r="O1772" s="7"/>
      <c r="P1772" s="6"/>
      <c r="Q1772" s="6"/>
      <c r="R1772" s="7"/>
      <c r="S1772" s="6"/>
      <c r="T1772" s="6"/>
      <c r="U1772" s="7"/>
      <c r="V1772" s="6"/>
      <c r="W1772" s="6"/>
      <c r="X1772" s="12"/>
      <c r="Y1772" s="6"/>
      <c r="Z1772" s="6"/>
      <c r="AA1772" s="7"/>
      <c r="AB1772" s="6"/>
      <c r="AC1772" s="6"/>
      <c r="AD1772" s="6"/>
      <c r="AE1772" s="12"/>
      <c r="AF1772" s="6"/>
      <c r="AG1772" s="12"/>
      <c r="AH1772" s="6"/>
      <c r="AI1772" s="6"/>
      <c r="AJ1772" s="12"/>
      <c r="AK1772" s="1"/>
      <c r="AL1772" s="12"/>
      <c r="AM1772" s="12"/>
      <c r="AN1772" s="1"/>
      <c r="AO1772" s="6"/>
    </row>
    <row r="1773" spans="1:41" ht="15" x14ac:dyDescent="0.25">
      <c r="A1773" s="1"/>
      <c r="B1773" s="1"/>
      <c r="C1773" s="1"/>
      <c r="D1773" s="1"/>
      <c r="E1773" s="6"/>
      <c r="F1773" s="1"/>
      <c r="G1773" s="6"/>
      <c r="H1773" s="6"/>
      <c r="I1773" s="6"/>
      <c r="J1773" s="6"/>
      <c r="K1773" s="6"/>
      <c r="L1773" s="6"/>
      <c r="M1773" s="6"/>
      <c r="N1773" s="6"/>
      <c r="O1773" s="7"/>
      <c r="P1773" s="6"/>
      <c r="Q1773" s="6"/>
      <c r="R1773" s="7"/>
      <c r="S1773" s="6"/>
      <c r="T1773" s="6"/>
      <c r="U1773" s="7"/>
      <c r="V1773" s="6"/>
      <c r="W1773" s="6"/>
      <c r="X1773" s="6"/>
      <c r="Y1773" s="6"/>
      <c r="Z1773" s="6"/>
      <c r="AA1773" s="7"/>
      <c r="AB1773" s="6"/>
      <c r="AC1773" s="6"/>
      <c r="AD1773" s="6"/>
      <c r="AE1773" s="12"/>
      <c r="AF1773" s="6"/>
      <c r="AG1773" s="12"/>
      <c r="AH1773" s="6"/>
      <c r="AI1773" s="6"/>
      <c r="AJ1773" s="12"/>
      <c r="AK1773" s="24"/>
      <c r="AL1773" s="25"/>
      <c r="AM1773" s="12"/>
      <c r="AN1773" s="1"/>
      <c r="AO1773" s="6"/>
    </row>
    <row r="1774" spans="1:41" ht="15" x14ac:dyDescent="0.25">
      <c r="A1774" s="1"/>
      <c r="B1774" s="1"/>
      <c r="C1774" s="1"/>
      <c r="D1774" s="1"/>
      <c r="E1774" s="6"/>
      <c r="F1774" s="1"/>
      <c r="G1774" s="6"/>
      <c r="H1774" s="6"/>
      <c r="I1774" s="6"/>
      <c r="J1774" s="6"/>
      <c r="K1774" s="6"/>
      <c r="L1774" s="6"/>
      <c r="M1774" s="6"/>
      <c r="N1774" s="6"/>
      <c r="O1774" s="7"/>
      <c r="P1774" s="6"/>
      <c r="Q1774" s="6"/>
      <c r="R1774" s="7"/>
      <c r="S1774" s="6"/>
      <c r="T1774" s="6"/>
      <c r="U1774" s="7"/>
      <c r="V1774" s="6"/>
      <c r="W1774" s="6"/>
      <c r="X1774" s="6"/>
      <c r="Y1774" s="6"/>
      <c r="Z1774" s="6"/>
      <c r="AA1774" s="7"/>
      <c r="AB1774" s="6"/>
      <c r="AC1774" s="6"/>
      <c r="AD1774" s="6"/>
      <c r="AE1774" s="12"/>
      <c r="AF1774" s="6"/>
      <c r="AG1774" s="12"/>
      <c r="AH1774" s="6"/>
      <c r="AI1774" s="6"/>
      <c r="AJ1774" s="12"/>
      <c r="AK1774" s="24"/>
      <c r="AL1774" s="25"/>
      <c r="AM1774" s="12"/>
      <c r="AN1774" s="1"/>
      <c r="AO1774" s="6"/>
    </row>
    <row r="1775" spans="1:41" ht="15" x14ac:dyDescent="0.25">
      <c r="A1775" s="1"/>
      <c r="B1775" s="1"/>
      <c r="C1775" s="1"/>
      <c r="D1775" s="1"/>
      <c r="E1775" s="6"/>
      <c r="F1775" s="1"/>
      <c r="G1775" s="6"/>
      <c r="H1775" s="6"/>
      <c r="I1775" s="6"/>
      <c r="J1775" s="6"/>
      <c r="K1775" s="6"/>
      <c r="L1775" s="6"/>
      <c r="M1775" s="6"/>
      <c r="N1775" s="6"/>
      <c r="O1775" s="7"/>
      <c r="P1775" s="6"/>
      <c r="Q1775" s="6"/>
      <c r="R1775" s="7"/>
      <c r="S1775" s="6"/>
      <c r="T1775" s="6"/>
      <c r="U1775" s="7"/>
      <c r="V1775" s="6"/>
      <c r="W1775" s="6"/>
      <c r="X1775" s="12"/>
      <c r="Y1775" s="6"/>
      <c r="Z1775" s="6"/>
      <c r="AA1775" s="7"/>
      <c r="AB1775" s="6"/>
      <c r="AC1775" s="6"/>
      <c r="AD1775" s="6"/>
      <c r="AE1775" s="12"/>
      <c r="AF1775" s="6"/>
      <c r="AG1775" s="12"/>
      <c r="AH1775" s="6"/>
      <c r="AI1775" s="6"/>
      <c r="AJ1775" s="12"/>
      <c r="AK1775" s="1"/>
      <c r="AL1775" s="12"/>
      <c r="AM1775" s="12"/>
      <c r="AN1775" s="1"/>
      <c r="AO1775" s="6"/>
    </row>
    <row r="1776" spans="1:41" ht="15" x14ac:dyDescent="0.25">
      <c r="A1776" s="1"/>
      <c r="B1776" s="1"/>
      <c r="C1776" s="1"/>
      <c r="D1776" s="1"/>
      <c r="E1776" s="6"/>
      <c r="F1776" s="1"/>
      <c r="G1776" s="6"/>
      <c r="H1776" s="6"/>
      <c r="I1776" s="6"/>
      <c r="J1776" s="6"/>
      <c r="K1776" s="6"/>
      <c r="L1776" s="6"/>
      <c r="M1776" s="6"/>
      <c r="N1776" s="6"/>
      <c r="O1776" s="7"/>
      <c r="P1776" s="6"/>
      <c r="Q1776" s="6"/>
      <c r="R1776" s="7"/>
      <c r="S1776" s="6"/>
      <c r="T1776" s="6"/>
      <c r="U1776" s="7"/>
      <c r="V1776" s="6"/>
      <c r="W1776" s="6"/>
      <c r="X1776" s="12"/>
      <c r="Y1776" s="6"/>
      <c r="Z1776" s="6"/>
      <c r="AA1776" s="7"/>
      <c r="AB1776" s="6"/>
      <c r="AC1776" s="6"/>
      <c r="AD1776" s="6"/>
      <c r="AE1776" s="12"/>
      <c r="AF1776" s="12"/>
      <c r="AG1776" s="12"/>
      <c r="AH1776" s="12"/>
      <c r="AI1776" s="6"/>
      <c r="AJ1776" s="12"/>
      <c r="AK1776" s="1"/>
      <c r="AL1776" s="12"/>
      <c r="AM1776" s="12"/>
      <c r="AN1776" s="1"/>
      <c r="AO1776" s="6"/>
    </row>
    <row r="1777" spans="1:41" ht="15" x14ac:dyDescent="0.25">
      <c r="A1777" s="1"/>
      <c r="B1777" s="1"/>
      <c r="C1777" s="1"/>
      <c r="D1777" s="1"/>
      <c r="E1777" s="6"/>
      <c r="F1777" s="1"/>
      <c r="G1777" s="6"/>
      <c r="H1777" s="6"/>
      <c r="I1777" s="6"/>
      <c r="J1777" s="6"/>
      <c r="K1777" s="6"/>
      <c r="L1777" s="6"/>
      <c r="M1777" s="6"/>
      <c r="N1777" s="6"/>
      <c r="O1777" s="7"/>
      <c r="P1777" s="6"/>
      <c r="Q1777" s="6"/>
      <c r="R1777" s="7"/>
      <c r="S1777" s="6"/>
      <c r="T1777" s="6"/>
      <c r="U1777" s="7"/>
      <c r="V1777" s="6"/>
      <c r="W1777" s="6"/>
      <c r="X1777" s="6"/>
      <c r="Y1777" s="6"/>
      <c r="Z1777" s="6"/>
      <c r="AA1777" s="7"/>
      <c r="AB1777" s="6"/>
      <c r="AC1777" s="6"/>
      <c r="AD1777" s="6"/>
      <c r="AE1777" s="12"/>
      <c r="AF1777" s="6"/>
      <c r="AG1777" s="12"/>
      <c r="AH1777" s="6"/>
      <c r="AI1777" s="6"/>
      <c r="AJ1777" s="12"/>
      <c r="AK1777" s="24"/>
      <c r="AL1777" s="25"/>
      <c r="AM1777" s="12"/>
      <c r="AN1777" s="1"/>
      <c r="AO1777" s="6"/>
    </row>
    <row r="1778" spans="1:41" ht="15" x14ac:dyDescent="0.25">
      <c r="A1778" s="1"/>
      <c r="B1778" s="1"/>
      <c r="C1778" s="1"/>
      <c r="D1778" s="1"/>
      <c r="E1778" s="6"/>
      <c r="F1778" s="1"/>
      <c r="G1778" s="6"/>
      <c r="H1778" s="6"/>
      <c r="I1778" s="6"/>
      <c r="J1778" s="6"/>
      <c r="K1778" s="6"/>
      <c r="L1778" s="6"/>
      <c r="M1778" s="6"/>
      <c r="N1778" s="6"/>
      <c r="O1778" s="15"/>
      <c r="P1778" s="6"/>
      <c r="Q1778" s="7"/>
      <c r="R1778" s="6"/>
      <c r="S1778" s="6"/>
      <c r="T1778" s="6"/>
      <c r="U1778" s="6"/>
      <c r="V1778" s="7"/>
      <c r="W1778" s="7"/>
      <c r="X1778" s="6"/>
      <c r="Y1778" s="6"/>
      <c r="Z1778" s="6"/>
      <c r="AA1778" s="1"/>
      <c r="AB1778" s="12"/>
      <c r="AC1778" s="12"/>
      <c r="AD1778" s="12"/>
      <c r="AE1778" s="12"/>
      <c r="AF1778" s="12"/>
      <c r="AG1778" s="12"/>
      <c r="AH1778" s="12"/>
      <c r="AI1778" s="6"/>
      <c r="AJ1778" s="12"/>
      <c r="AK1778" s="12"/>
      <c r="AL1778" s="12"/>
      <c r="AM1778" s="12"/>
      <c r="AN1778" s="1"/>
      <c r="AO1778" s="6"/>
    </row>
    <row r="1779" spans="1:41" ht="15" x14ac:dyDescent="0.25">
      <c r="A1779" s="1"/>
      <c r="B1779" s="1"/>
      <c r="C1779" s="1"/>
      <c r="D1779" s="1"/>
      <c r="E1779" s="6"/>
      <c r="F1779" s="1"/>
      <c r="G1779" s="6"/>
      <c r="H1779" s="6"/>
      <c r="I1779" s="6"/>
      <c r="J1779" s="6"/>
      <c r="K1779" s="12"/>
      <c r="L1779" s="12"/>
      <c r="M1779" s="6"/>
      <c r="N1779" s="6"/>
      <c r="O1779" s="7"/>
      <c r="P1779" s="6"/>
      <c r="Q1779" s="7"/>
      <c r="R1779" s="6"/>
      <c r="S1779" s="6"/>
      <c r="T1779" s="6"/>
      <c r="U1779" s="6"/>
      <c r="V1779" s="7"/>
      <c r="W1779" s="7"/>
      <c r="X1779" s="6"/>
      <c r="Y1779" s="6"/>
      <c r="Z1779" s="6"/>
      <c r="AA1779" s="1"/>
      <c r="AB1779" s="12"/>
      <c r="AC1779" s="12"/>
      <c r="AD1779" s="12"/>
      <c r="AE1779" s="12"/>
      <c r="AF1779" s="12"/>
      <c r="AG1779" s="12"/>
      <c r="AH1779" s="12"/>
      <c r="AI1779" s="6"/>
      <c r="AJ1779" s="12"/>
      <c r="AK1779" s="12"/>
      <c r="AL1779" s="12"/>
      <c r="AM1779" s="12"/>
      <c r="AN1779" s="1"/>
      <c r="AO1779" s="6"/>
    </row>
    <row r="1780" spans="1:41" ht="15" x14ac:dyDescent="0.25">
      <c r="A1780" s="1"/>
      <c r="B1780" s="1"/>
      <c r="C1780" s="1"/>
      <c r="D1780" s="1"/>
      <c r="E1780" s="6"/>
      <c r="F1780" s="1"/>
      <c r="G1780" s="6"/>
      <c r="H1780" s="6"/>
      <c r="I1780" s="6"/>
      <c r="J1780" s="6"/>
      <c r="K1780" s="6"/>
      <c r="L1780" s="6"/>
      <c r="M1780" s="6"/>
      <c r="N1780" s="6"/>
      <c r="O1780" s="7"/>
      <c r="P1780" s="6"/>
      <c r="Q1780" s="6"/>
      <c r="R1780" s="7"/>
      <c r="S1780" s="6"/>
      <c r="T1780" s="6"/>
      <c r="U1780" s="7"/>
      <c r="V1780" s="6"/>
      <c r="W1780" s="6"/>
      <c r="X1780" s="6"/>
      <c r="Y1780" s="6"/>
      <c r="Z1780" s="6"/>
      <c r="AA1780" s="7"/>
      <c r="AB1780" s="6"/>
      <c r="AC1780" s="6"/>
      <c r="AD1780" s="6"/>
      <c r="AE1780" s="12"/>
      <c r="AF1780" s="12"/>
      <c r="AG1780" s="12"/>
      <c r="AH1780" s="12"/>
      <c r="AI1780" s="6"/>
      <c r="AJ1780" s="12"/>
      <c r="AK1780" s="1"/>
      <c r="AL1780" s="12"/>
      <c r="AM1780" s="12"/>
      <c r="AN1780" s="1"/>
      <c r="AO1780" s="6"/>
    </row>
    <row r="1781" spans="1:41" ht="15" x14ac:dyDescent="0.25">
      <c r="A1781" s="1"/>
      <c r="B1781" s="1"/>
      <c r="C1781" s="1"/>
      <c r="D1781" s="1"/>
      <c r="E1781" s="6"/>
      <c r="F1781" s="1"/>
      <c r="G1781" s="6"/>
      <c r="H1781" s="6"/>
      <c r="I1781" s="6"/>
      <c r="J1781" s="6"/>
      <c r="K1781" s="6"/>
      <c r="L1781" s="6"/>
      <c r="M1781" s="6"/>
      <c r="N1781" s="6"/>
      <c r="O1781" s="7"/>
      <c r="P1781" s="6"/>
      <c r="Q1781" s="6"/>
      <c r="R1781" s="7"/>
      <c r="S1781" s="6"/>
      <c r="T1781" s="6"/>
      <c r="U1781" s="7"/>
      <c r="V1781" s="6"/>
      <c r="W1781" s="6"/>
      <c r="X1781" s="12"/>
      <c r="Y1781" s="6"/>
      <c r="Z1781" s="6"/>
      <c r="AA1781" s="7"/>
      <c r="AB1781" s="6"/>
      <c r="AC1781" s="6"/>
      <c r="AD1781" s="6"/>
      <c r="AE1781" s="12"/>
      <c r="AF1781" s="6"/>
      <c r="AG1781" s="12"/>
      <c r="AH1781" s="6"/>
      <c r="AI1781" s="6"/>
      <c r="AJ1781" s="12"/>
      <c r="AK1781" s="24"/>
      <c r="AL1781" s="25"/>
      <c r="AM1781" s="12"/>
      <c r="AN1781" s="1"/>
      <c r="AO1781" s="6"/>
    </row>
    <row r="1782" spans="1:41" ht="15" x14ac:dyDescent="0.25">
      <c r="A1782" s="1"/>
      <c r="B1782" s="1"/>
      <c r="C1782" s="1"/>
      <c r="D1782" s="1"/>
      <c r="E1782" s="6"/>
      <c r="F1782" s="1"/>
      <c r="G1782" s="6"/>
      <c r="H1782" s="6"/>
      <c r="I1782" s="6"/>
      <c r="J1782" s="6"/>
      <c r="K1782" s="6"/>
      <c r="L1782" s="6"/>
      <c r="M1782" s="6"/>
      <c r="N1782" s="6"/>
      <c r="O1782" s="7"/>
      <c r="P1782" s="12"/>
      <c r="Q1782" s="6"/>
      <c r="R1782" s="7"/>
      <c r="S1782" s="6"/>
      <c r="T1782" s="6"/>
      <c r="U1782" s="7"/>
      <c r="V1782" s="6"/>
      <c r="W1782" s="6"/>
      <c r="X1782" s="6"/>
      <c r="Y1782" s="6"/>
      <c r="Z1782" s="6"/>
      <c r="AA1782" s="7"/>
      <c r="AB1782" s="6"/>
      <c r="AC1782" s="6"/>
      <c r="AD1782" s="6"/>
      <c r="AE1782" s="12"/>
      <c r="AF1782" s="12"/>
      <c r="AG1782" s="12"/>
      <c r="AH1782" s="12"/>
      <c r="AI1782" s="6"/>
      <c r="AJ1782" s="12"/>
      <c r="AK1782" s="1"/>
      <c r="AL1782" s="12"/>
      <c r="AM1782" s="12"/>
      <c r="AN1782" s="1"/>
      <c r="AO1782" s="6"/>
    </row>
    <row r="1783" spans="1:41" ht="15" x14ac:dyDescent="0.25">
      <c r="A1783" s="1"/>
      <c r="B1783" s="1"/>
      <c r="C1783" s="1"/>
      <c r="D1783" s="1"/>
      <c r="E1783" s="6"/>
      <c r="F1783" s="1"/>
      <c r="G1783" s="6"/>
      <c r="H1783" s="6"/>
      <c r="I1783" s="6"/>
      <c r="J1783" s="6"/>
      <c r="K1783" s="6"/>
      <c r="L1783" s="6"/>
      <c r="M1783" s="6"/>
      <c r="N1783" s="6"/>
      <c r="O1783" s="7"/>
      <c r="P1783" s="6"/>
      <c r="Q1783" s="7"/>
      <c r="R1783" s="6"/>
      <c r="S1783" s="6"/>
      <c r="T1783" s="6"/>
      <c r="U1783" s="6"/>
      <c r="V1783" s="7"/>
      <c r="W1783" s="7"/>
      <c r="X1783" s="6"/>
      <c r="Y1783" s="6"/>
      <c r="Z1783" s="6"/>
      <c r="AA1783" s="1"/>
      <c r="AB1783" s="12"/>
      <c r="AC1783" s="12"/>
      <c r="AD1783" s="12"/>
      <c r="AE1783" s="12"/>
      <c r="AF1783" s="12"/>
      <c r="AG1783" s="12"/>
      <c r="AH1783" s="12"/>
      <c r="AI1783" s="6"/>
      <c r="AJ1783" s="12"/>
      <c r="AK1783" s="12"/>
      <c r="AL1783" s="12"/>
      <c r="AM1783" s="12"/>
      <c r="AN1783" s="1"/>
      <c r="AO1783" s="6"/>
    </row>
    <row r="1784" spans="1:41" ht="15" x14ac:dyDescent="0.25">
      <c r="A1784" s="1"/>
      <c r="B1784" s="1"/>
      <c r="C1784" s="1"/>
      <c r="D1784" s="1"/>
      <c r="E1784" s="6"/>
      <c r="F1784" s="1"/>
      <c r="G1784" s="6"/>
      <c r="H1784" s="6"/>
      <c r="I1784" s="6"/>
      <c r="J1784" s="6"/>
      <c r="K1784" s="6"/>
      <c r="L1784" s="6"/>
      <c r="M1784" s="6"/>
      <c r="N1784" s="6"/>
      <c r="O1784" s="7"/>
      <c r="P1784" s="6"/>
      <c r="Q1784" s="6"/>
      <c r="R1784" s="7"/>
      <c r="S1784" s="6"/>
      <c r="T1784" s="6"/>
      <c r="U1784" s="7"/>
      <c r="V1784" s="6"/>
      <c r="W1784" s="6"/>
      <c r="X1784" s="12"/>
      <c r="Y1784" s="6"/>
      <c r="Z1784" s="6"/>
      <c r="AA1784" s="7"/>
      <c r="AB1784" s="6"/>
      <c r="AC1784" s="6"/>
      <c r="AD1784" s="6"/>
      <c r="AE1784" s="12"/>
      <c r="AF1784" s="12"/>
      <c r="AG1784" s="12"/>
      <c r="AH1784" s="12"/>
      <c r="AI1784" s="6"/>
      <c r="AJ1784" s="12"/>
      <c r="AK1784" s="1"/>
      <c r="AL1784" s="12"/>
      <c r="AM1784" s="12"/>
      <c r="AN1784" s="1"/>
      <c r="AO1784" s="6"/>
    </row>
    <row r="1785" spans="1:41" ht="15" x14ac:dyDescent="0.25">
      <c r="A1785" s="1"/>
      <c r="B1785" s="1"/>
      <c r="C1785" s="1"/>
      <c r="D1785" s="1"/>
      <c r="E1785" s="6"/>
      <c r="F1785" s="1"/>
      <c r="G1785" s="6"/>
      <c r="H1785" s="6"/>
      <c r="I1785" s="6"/>
      <c r="J1785" s="6"/>
      <c r="K1785" s="6"/>
      <c r="L1785" s="6"/>
      <c r="M1785" s="6"/>
      <c r="N1785" s="6"/>
      <c r="O1785" s="7"/>
      <c r="P1785" s="6"/>
      <c r="Q1785" s="6"/>
      <c r="R1785" s="7"/>
      <c r="S1785" s="6"/>
      <c r="T1785" s="6"/>
      <c r="U1785" s="7"/>
      <c r="V1785" s="6"/>
      <c r="W1785" s="6"/>
      <c r="X1785" s="12"/>
      <c r="Y1785" s="6"/>
      <c r="Z1785" s="6"/>
      <c r="AA1785" s="7"/>
      <c r="AB1785" s="6"/>
      <c r="AC1785" s="6"/>
      <c r="AD1785" s="6"/>
      <c r="AE1785" s="12"/>
      <c r="AF1785" s="12"/>
      <c r="AG1785" s="12"/>
      <c r="AH1785" s="12"/>
      <c r="AI1785" s="6"/>
      <c r="AJ1785" s="12"/>
      <c r="AK1785" s="1"/>
      <c r="AL1785" s="12"/>
      <c r="AM1785" s="12"/>
      <c r="AN1785" s="1"/>
      <c r="AO1785" s="6"/>
    </row>
    <row r="1786" spans="1:41" ht="15" x14ac:dyDescent="0.25">
      <c r="A1786" s="1"/>
      <c r="B1786" s="1"/>
      <c r="C1786" s="1"/>
      <c r="D1786" s="1"/>
      <c r="E1786" s="6"/>
      <c r="F1786" s="1"/>
      <c r="G1786" s="6"/>
      <c r="H1786" s="6"/>
      <c r="I1786" s="6"/>
      <c r="J1786" s="6"/>
      <c r="K1786" s="12"/>
      <c r="L1786" s="12"/>
      <c r="M1786" s="6"/>
      <c r="N1786" s="6"/>
      <c r="O1786" s="7"/>
      <c r="P1786" s="6"/>
      <c r="Q1786" s="6"/>
      <c r="R1786" s="7"/>
      <c r="S1786" s="6"/>
      <c r="T1786" s="6"/>
      <c r="U1786" s="7"/>
      <c r="V1786" s="6"/>
      <c r="W1786" s="6"/>
      <c r="X1786" s="12"/>
      <c r="Y1786" s="6"/>
      <c r="Z1786" s="6"/>
      <c r="AA1786" s="7"/>
      <c r="AB1786" s="6"/>
      <c r="AC1786" s="6"/>
      <c r="AD1786" s="6"/>
      <c r="AE1786" s="12"/>
      <c r="AF1786" s="12"/>
      <c r="AG1786" s="12"/>
      <c r="AH1786" s="12"/>
      <c r="AI1786" s="6"/>
      <c r="AJ1786" s="12"/>
      <c r="AK1786" s="1"/>
      <c r="AL1786" s="12"/>
      <c r="AM1786" s="12"/>
      <c r="AN1786" s="1"/>
      <c r="AO1786" s="12"/>
    </row>
    <row r="1787" spans="1:41" ht="15" x14ac:dyDescent="0.25">
      <c r="A1787" s="1"/>
      <c r="B1787" s="1"/>
      <c r="C1787" s="1"/>
      <c r="D1787" s="1"/>
      <c r="E1787" s="6"/>
      <c r="F1787" s="1"/>
      <c r="G1787" s="6"/>
      <c r="H1787" s="6"/>
      <c r="I1787" s="6"/>
      <c r="J1787" s="6"/>
      <c r="K1787" s="6"/>
      <c r="L1787" s="6"/>
      <c r="M1787" s="6"/>
      <c r="N1787" s="6"/>
      <c r="O1787" s="7"/>
      <c r="P1787" s="12"/>
      <c r="Q1787" s="6"/>
      <c r="R1787" s="7"/>
      <c r="S1787" s="6"/>
      <c r="T1787" s="6"/>
      <c r="U1787" s="7"/>
      <c r="V1787" s="6"/>
      <c r="W1787" s="6"/>
      <c r="X1787" s="6"/>
      <c r="Y1787" s="6"/>
      <c r="Z1787" s="6"/>
      <c r="AA1787" s="15"/>
      <c r="AB1787" s="6"/>
      <c r="AC1787" s="6"/>
      <c r="AD1787" s="6"/>
      <c r="AE1787" s="12"/>
      <c r="AF1787" s="6"/>
      <c r="AG1787" s="12"/>
      <c r="AH1787" s="6"/>
      <c r="AI1787" s="6"/>
      <c r="AJ1787" s="12"/>
      <c r="AK1787" s="24"/>
      <c r="AL1787" s="25"/>
      <c r="AM1787" s="12"/>
      <c r="AN1787" s="1"/>
      <c r="AO1787" s="6"/>
    </row>
    <row r="1788" spans="1:41" ht="15" x14ac:dyDescent="0.25">
      <c r="A1788" s="1"/>
      <c r="B1788" s="1"/>
      <c r="C1788" s="1"/>
      <c r="D1788" s="1"/>
      <c r="E1788" s="6"/>
      <c r="F1788" s="1"/>
      <c r="G1788" s="6"/>
      <c r="H1788" s="6"/>
      <c r="I1788" s="6"/>
      <c r="J1788" s="6"/>
      <c r="K1788" s="6"/>
      <c r="L1788" s="6"/>
      <c r="M1788" s="6"/>
      <c r="N1788" s="6"/>
      <c r="O1788" s="7"/>
      <c r="P1788" s="6"/>
      <c r="Q1788" s="6"/>
      <c r="R1788" s="7"/>
      <c r="S1788" s="6"/>
      <c r="T1788" s="6"/>
      <c r="U1788" s="7"/>
      <c r="V1788" s="6"/>
      <c r="W1788" s="6"/>
      <c r="X1788" s="6"/>
      <c r="Y1788" s="6"/>
      <c r="Z1788" s="6"/>
      <c r="AA1788" s="7"/>
      <c r="AB1788" s="6"/>
      <c r="AC1788" s="6"/>
      <c r="AD1788" s="6"/>
      <c r="AE1788" s="12"/>
      <c r="AF1788" s="6"/>
      <c r="AG1788" s="12"/>
      <c r="AH1788" s="6"/>
      <c r="AI1788" s="6"/>
      <c r="AJ1788" s="12"/>
      <c r="AK1788" s="24"/>
      <c r="AL1788" s="25"/>
      <c r="AM1788" s="12"/>
      <c r="AN1788" s="1"/>
      <c r="AO1788" s="6"/>
    </row>
    <row r="1789" spans="1:41" ht="15" x14ac:dyDescent="0.25">
      <c r="A1789" s="1"/>
      <c r="B1789" s="1"/>
      <c r="C1789" s="1"/>
      <c r="D1789" s="1"/>
      <c r="E1789" s="6"/>
      <c r="F1789" s="1"/>
      <c r="G1789" s="6"/>
      <c r="H1789" s="6"/>
      <c r="I1789" s="6"/>
      <c r="J1789" s="6"/>
      <c r="K1789" s="6"/>
      <c r="L1789" s="6"/>
      <c r="M1789" s="6"/>
      <c r="N1789" s="6"/>
      <c r="O1789" s="7"/>
      <c r="P1789" s="6"/>
      <c r="Q1789" s="7"/>
      <c r="R1789" s="6"/>
      <c r="S1789" s="6"/>
      <c r="T1789" s="6"/>
      <c r="U1789" s="6"/>
      <c r="V1789" s="7"/>
      <c r="W1789" s="7"/>
      <c r="X1789" s="6"/>
      <c r="Y1789" s="6"/>
      <c r="Z1789" s="6"/>
      <c r="AA1789" s="1"/>
      <c r="AB1789" s="12"/>
      <c r="AC1789" s="12"/>
      <c r="AD1789" s="12"/>
      <c r="AE1789" s="12"/>
      <c r="AF1789" s="12"/>
      <c r="AG1789" s="12"/>
      <c r="AH1789" s="12"/>
      <c r="AI1789" s="6"/>
      <c r="AJ1789" s="12"/>
      <c r="AK1789" s="12"/>
      <c r="AL1789" s="12"/>
      <c r="AM1789" s="12"/>
      <c r="AN1789" s="1"/>
      <c r="AO1789" s="6"/>
    </row>
    <row r="1790" spans="1:41" ht="15" x14ac:dyDescent="0.25">
      <c r="A1790" s="1"/>
      <c r="B1790" s="1"/>
      <c r="C1790" s="1"/>
      <c r="D1790" s="1"/>
      <c r="E1790" s="6"/>
      <c r="F1790" s="1"/>
      <c r="G1790" s="6"/>
      <c r="H1790" s="6"/>
      <c r="I1790" s="6"/>
      <c r="J1790" s="6"/>
      <c r="K1790" s="6"/>
      <c r="L1790" s="6"/>
      <c r="M1790" s="6"/>
      <c r="N1790" s="6"/>
      <c r="O1790" s="7"/>
      <c r="P1790" s="6"/>
      <c r="Q1790" s="6"/>
      <c r="R1790" s="7"/>
      <c r="S1790" s="6"/>
      <c r="T1790" s="6"/>
      <c r="U1790" s="7"/>
      <c r="V1790" s="6"/>
      <c r="W1790" s="6"/>
      <c r="X1790" s="6"/>
      <c r="Y1790" s="6"/>
      <c r="Z1790" s="6"/>
      <c r="AA1790" s="7"/>
      <c r="AB1790" s="6"/>
      <c r="AC1790" s="6"/>
      <c r="AD1790" s="6"/>
      <c r="AE1790" s="12"/>
      <c r="AF1790" s="12"/>
      <c r="AG1790" s="12"/>
      <c r="AH1790" s="12"/>
      <c r="AI1790" s="6"/>
      <c r="AJ1790" s="12"/>
      <c r="AK1790" s="1"/>
      <c r="AL1790" s="12"/>
      <c r="AM1790" s="12"/>
      <c r="AN1790" s="1"/>
      <c r="AO1790" s="6"/>
    </row>
    <row r="1791" spans="1:41" ht="15" x14ac:dyDescent="0.25">
      <c r="A1791" s="1"/>
      <c r="B1791" s="1"/>
      <c r="C1791" s="1"/>
      <c r="D1791" s="1"/>
      <c r="E1791" s="6"/>
      <c r="F1791" s="1"/>
      <c r="G1791" s="6"/>
      <c r="H1791" s="6"/>
      <c r="I1791" s="6"/>
      <c r="J1791" s="6"/>
      <c r="K1791" s="6"/>
      <c r="L1791" s="6"/>
      <c r="M1791" s="6"/>
      <c r="N1791" s="6"/>
      <c r="O1791" s="7"/>
      <c r="P1791" s="6"/>
      <c r="Q1791" s="6"/>
      <c r="R1791" s="7"/>
      <c r="S1791" s="6"/>
      <c r="T1791" s="6"/>
      <c r="U1791" s="15"/>
      <c r="V1791" s="6"/>
      <c r="W1791" s="6"/>
      <c r="X1791" s="6"/>
      <c r="Y1791" s="6"/>
      <c r="Z1791" s="6"/>
      <c r="AA1791" s="7"/>
      <c r="AB1791" s="6"/>
      <c r="AC1791" s="6"/>
      <c r="AD1791" s="6"/>
      <c r="AE1791" s="12"/>
      <c r="AF1791" s="12"/>
      <c r="AG1791" s="12"/>
      <c r="AH1791" s="12"/>
      <c r="AI1791" s="6"/>
      <c r="AJ1791" s="12"/>
      <c r="AK1791" s="1"/>
      <c r="AL1791" s="12"/>
      <c r="AM1791" s="12"/>
      <c r="AN1791" s="1"/>
      <c r="AO1791" s="6"/>
    </row>
    <row r="1792" spans="1:41" ht="15" x14ac:dyDescent="0.25">
      <c r="A1792" s="1"/>
      <c r="B1792" s="1"/>
      <c r="C1792" s="1"/>
      <c r="D1792" s="1"/>
      <c r="E1792" s="6"/>
      <c r="F1792" s="1"/>
      <c r="G1792" s="6"/>
      <c r="H1792" s="6"/>
      <c r="I1792" s="6"/>
      <c r="J1792" s="6"/>
      <c r="K1792" s="6"/>
      <c r="L1792" s="6"/>
      <c r="M1792" s="6"/>
      <c r="N1792" s="6"/>
      <c r="O1792" s="7"/>
      <c r="P1792" s="6"/>
      <c r="Q1792" s="6"/>
      <c r="R1792" s="12"/>
      <c r="S1792" s="12"/>
      <c r="T1792" s="12"/>
      <c r="U1792" s="7"/>
      <c r="V1792" s="6"/>
      <c r="W1792" s="6"/>
      <c r="X1792" s="12"/>
      <c r="Y1792" s="6"/>
      <c r="Z1792" s="6"/>
      <c r="AA1792" s="7"/>
      <c r="AB1792" s="6"/>
      <c r="AC1792" s="6"/>
      <c r="AD1792" s="6"/>
      <c r="AE1792" s="12"/>
      <c r="AF1792" s="6"/>
      <c r="AG1792" s="12"/>
      <c r="AH1792" s="6"/>
      <c r="AI1792" s="6"/>
      <c r="AJ1792" s="12"/>
      <c r="AK1792" s="24"/>
      <c r="AL1792" s="25"/>
      <c r="AM1792" s="12"/>
      <c r="AN1792" s="1"/>
      <c r="AO1792" s="6"/>
    </row>
    <row r="1793" spans="1:41" ht="15" x14ac:dyDescent="0.25">
      <c r="A1793" s="1"/>
      <c r="B1793" s="1"/>
      <c r="C1793" s="1"/>
      <c r="D1793" s="1"/>
      <c r="E1793" s="6"/>
      <c r="F1793" s="1"/>
      <c r="G1793" s="6"/>
      <c r="H1793" s="6"/>
      <c r="I1793" s="6"/>
      <c r="J1793" s="6"/>
      <c r="K1793" s="6"/>
      <c r="L1793" s="6"/>
      <c r="M1793" s="6"/>
      <c r="N1793" s="6"/>
      <c r="O1793" s="7"/>
      <c r="P1793" s="6"/>
      <c r="Q1793" s="6"/>
      <c r="R1793" s="7"/>
      <c r="S1793" s="6"/>
      <c r="T1793" s="6"/>
      <c r="U1793" s="7"/>
      <c r="V1793" s="6"/>
      <c r="W1793" s="6"/>
      <c r="X1793" s="6"/>
      <c r="Y1793" s="6"/>
      <c r="Z1793" s="6"/>
      <c r="AA1793" s="7"/>
      <c r="AB1793" s="6"/>
      <c r="AC1793" s="6"/>
      <c r="AD1793" s="6"/>
      <c r="AE1793" s="12"/>
      <c r="AF1793" s="6"/>
      <c r="AG1793" s="12"/>
      <c r="AH1793" s="6"/>
      <c r="AI1793" s="6"/>
      <c r="AJ1793" s="12"/>
      <c r="AK1793" s="1"/>
      <c r="AL1793" s="12"/>
      <c r="AM1793" s="12"/>
      <c r="AN1793" s="1"/>
      <c r="AO1793" s="6"/>
    </row>
    <row r="1794" spans="1:41" ht="15" x14ac:dyDescent="0.25">
      <c r="A1794" s="1"/>
      <c r="B1794" s="1"/>
      <c r="C1794" s="1"/>
      <c r="D1794" s="1"/>
      <c r="E1794" s="6"/>
      <c r="F1794" s="1"/>
      <c r="G1794" s="6"/>
      <c r="H1794" s="6"/>
      <c r="I1794" s="6"/>
      <c r="J1794" s="6"/>
      <c r="K1794" s="6"/>
      <c r="L1794" s="6"/>
      <c r="M1794" s="6"/>
      <c r="N1794" s="6"/>
      <c r="O1794" s="7"/>
      <c r="P1794" s="6"/>
      <c r="Q1794" s="6"/>
      <c r="R1794" s="7"/>
      <c r="S1794" s="6"/>
      <c r="T1794" s="6"/>
      <c r="U1794" s="7"/>
      <c r="V1794" s="6"/>
      <c r="W1794" s="6"/>
      <c r="X1794" s="12"/>
      <c r="Y1794" s="6"/>
      <c r="Z1794" s="6"/>
      <c r="AA1794" s="7"/>
      <c r="AB1794" s="6"/>
      <c r="AC1794" s="6"/>
      <c r="AD1794" s="6"/>
      <c r="AE1794" s="12"/>
      <c r="AF1794" s="6"/>
      <c r="AG1794" s="12"/>
      <c r="AH1794" s="6"/>
      <c r="AI1794" s="6"/>
      <c r="AJ1794" s="12"/>
      <c r="AK1794" s="1"/>
      <c r="AL1794" s="12"/>
      <c r="AM1794" s="12"/>
      <c r="AN1794" s="1"/>
      <c r="AO1794" s="6"/>
    </row>
    <row r="1795" spans="1:41" ht="15" x14ac:dyDescent="0.25">
      <c r="A1795" s="1"/>
      <c r="B1795" s="1"/>
      <c r="C1795" s="1"/>
      <c r="D1795" s="1"/>
      <c r="E1795" s="6"/>
      <c r="F1795" s="1"/>
      <c r="G1795" s="6"/>
      <c r="H1795" s="6"/>
      <c r="I1795" s="6"/>
      <c r="J1795" s="6"/>
      <c r="K1795" s="6"/>
      <c r="L1795" s="6"/>
      <c r="M1795" s="6"/>
      <c r="N1795" s="6"/>
      <c r="O1795" s="7"/>
      <c r="P1795" s="6"/>
      <c r="Q1795" s="6"/>
      <c r="R1795" s="15"/>
      <c r="S1795" s="6"/>
      <c r="T1795" s="6"/>
      <c r="U1795" s="7"/>
      <c r="V1795" s="6"/>
      <c r="W1795" s="6"/>
      <c r="X1795" s="6"/>
      <c r="Y1795" s="6"/>
      <c r="Z1795" s="6"/>
      <c r="AA1795" s="7"/>
      <c r="AB1795" s="6"/>
      <c r="AC1795" s="6"/>
      <c r="AD1795" s="6"/>
      <c r="AE1795" s="12"/>
      <c r="AF1795" s="12"/>
      <c r="AG1795" s="12"/>
      <c r="AH1795" s="12"/>
      <c r="AI1795" s="6"/>
      <c r="AJ1795" s="12"/>
      <c r="AK1795" s="1"/>
      <c r="AL1795" s="12"/>
      <c r="AM1795" s="12"/>
      <c r="AN1795" s="1"/>
      <c r="AO1795" s="6"/>
    </row>
    <row r="1796" spans="1:41" ht="15" x14ac:dyDescent="0.25">
      <c r="A1796" s="1"/>
      <c r="B1796" s="1"/>
      <c r="C1796" s="1"/>
      <c r="D1796" s="1"/>
      <c r="E1796" s="6"/>
      <c r="F1796" s="1"/>
      <c r="G1796" s="6"/>
      <c r="H1796" s="6"/>
      <c r="I1796" s="6"/>
      <c r="J1796" s="6"/>
      <c r="K1796" s="6"/>
      <c r="L1796" s="6"/>
      <c r="M1796" s="6"/>
      <c r="N1796" s="6"/>
      <c r="O1796" s="7"/>
      <c r="P1796" s="6"/>
      <c r="Q1796" s="6"/>
      <c r="R1796" s="7"/>
      <c r="S1796" s="6"/>
      <c r="T1796" s="6"/>
      <c r="U1796" s="7"/>
      <c r="V1796" s="6"/>
      <c r="W1796" s="6"/>
      <c r="X1796" s="6"/>
      <c r="Y1796" s="6"/>
      <c r="Z1796" s="6"/>
      <c r="AA1796" s="7"/>
      <c r="AB1796" s="6"/>
      <c r="AC1796" s="6"/>
      <c r="AD1796" s="6"/>
      <c r="AE1796" s="12"/>
      <c r="AF1796" s="6"/>
      <c r="AG1796" s="12"/>
      <c r="AH1796" s="6"/>
      <c r="AI1796" s="6"/>
      <c r="AJ1796" s="12"/>
      <c r="AK1796" s="24"/>
      <c r="AL1796" s="25"/>
      <c r="AM1796" s="12"/>
      <c r="AN1796" s="1"/>
      <c r="AO1796" s="6"/>
    </row>
    <row r="1797" spans="1:41" ht="15" x14ac:dyDescent="0.25">
      <c r="A1797" s="1"/>
      <c r="B1797" s="1"/>
      <c r="C1797" s="1"/>
      <c r="D1797" s="1"/>
      <c r="E1797" s="6"/>
      <c r="F1797" s="1"/>
      <c r="G1797" s="6"/>
      <c r="H1797" s="6"/>
      <c r="I1797" s="6"/>
      <c r="J1797" s="6"/>
      <c r="K1797" s="6"/>
      <c r="L1797" s="6"/>
      <c r="M1797" s="6"/>
      <c r="N1797" s="6"/>
      <c r="O1797" s="15"/>
      <c r="P1797" s="6"/>
      <c r="Q1797" s="6"/>
      <c r="R1797" s="12"/>
      <c r="S1797" s="12"/>
      <c r="T1797" s="12"/>
      <c r="U1797" s="15"/>
      <c r="V1797" s="6"/>
      <c r="W1797" s="6"/>
      <c r="X1797" s="12"/>
      <c r="Y1797" s="6"/>
      <c r="Z1797" s="6"/>
      <c r="AA1797" s="15"/>
      <c r="AB1797" s="6"/>
      <c r="AC1797" s="6"/>
      <c r="AD1797" s="6"/>
      <c r="AE1797" s="12"/>
      <c r="AF1797" s="6"/>
      <c r="AG1797" s="12"/>
      <c r="AH1797" s="6"/>
      <c r="AI1797" s="6"/>
      <c r="AJ1797" s="12"/>
      <c r="AK1797" s="1"/>
      <c r="AL1797" s="12"/>
      <c r="AM1797" s="12"/>
      <c r="AN1797" s="1"/>
      <c r="AO1797" s="6"/>
    </row>
    <row r="1798" spans="1:41" ht="15" x14ac:dyDescent="0.25">
      <c r="A1798" s="1"/>
      <c r="B1798" s="1"/>
      <c r="C1798" s="1"/>
      <c r="D1798" s="1"/>
      <c r="E1798" s="6"/>
      <c r="F1798" s="1"/>
      <c r="G1798" s="6"/>
      <c r="H1798" s="6"/>
      <c r="I1798" s="6"/>
      <c r="J1798" s="6"/>
      <c r="K1798" s="6"/>
      <c r="L1798" s="6"/>
      <c r="M1798" s="6"/>
      <c r="N1798" s="6"/>
      <c r="O1798" s="7"/>
      <c r="P1798" s="12"/>
      <c r="Q1798" s="6"/>
      <c r="R1798" s="7"/>
      <c r="S1798" s="6"/>
      <c r="T1798" s="6"/>
      <c r="U1798" s="7"/>
      <c r="V1798" s="6"/>
      <c r="W1798" s="6"/>
      <c r="X1798" s="6"/>
      <c r="Y1798" s="6"/>
      <c r="Z1798" s="6"/>
      <c r="AA1798" s="7"/>
      <c r="AB1798" s="6"/>
      <c r="AC1798" s="6"/>
      <c r="AD1798" s="6"/>
      <c r="AE1798" s="12"/>
      <c r="AF1798" s="12"/>
      <c r="AG1798" s="12"/>
      <c r="AH1798" s="12"/>
      <c r="AI1798" s="6"/>
      <c r="AJ1798" s="12"/>
      <c r="AK1798" s="1"/>
      <c r="AL1798" s="12"/>
      <c r="AM1798" s="12"/>
      <c r="AN1798" s="1"/>
      <c r="AO1798" s="6"/>
    </row>
    <row r="1799" spans="1:41" ht="15" x14ac:dyDescent="0.25">
      <c r="A1799" s="1"/>
      <c r="B1799" s="1"/>
      <c r="C1799" s="1"/>
      <c r="D1799" s="1"/>
      <c r="E1799" s="6"/>
      <c r="F1799" s="1"/>
      <c r="G1799" s="6"/>
      <c r="H1799" s="6"/>
      <c r="I1799" s="6"/>
      <c r="J1799" s="6"/>
      <c r="K1799" s="6"/>
      <c r="L1799" s="6"/>
      <c r="M1799" s="6"/>
      <c r="N1799" s="6"/>
      <c r="O1799" s="7"/>
      <c r="P1799" s="6"/>
      <c r="Q1799" s="6"/>
      <c r="R1799" s="7"/>
      <c r="S1799" s="6"/>
      <c r="T1799" s="6"/>
      <c r="U1799" s="7"/>
      <c r="V1799" s="6"/>
      <c r="W1799" s="6"/>
      <c r="X1799" s="6"/>
      <c r="Y1799" s="6"/>
      <c r="Z1799" s="6"/>
      <c r="AA1799" s="7"/>
      <c r="AB1799" s="6"/>
      <c r="AC1799" s="6"/>
      <c r="AD1799" s="6"/>
      <c r="AE1799" s="12"/>
      <c r="AF1799" s="6"/>
      <c r="AG1799" s="12"/>
      <c r="AH1799" s="6"/>
      <c r="AI1799" s="6"/>
      <c r="AJ1799" s="12"/>
      <c r="AK1799" s="1"/>
      <c r="AL1799" s="12"/>
      <c r="AM1799" s="12"/>
      <c r="AN1799" s="1"/>
      <c r="AO1799" s="6"/>
    </row>
    <row r="1800" spans="1:41" ht="15" x14ac:dyDescent="0.25">
      <c r="A1800" s="1"/>
      <c r="B1800" s="1"/>
      <c r="C1800" s="1"/>
      <c r="D1800" s="1"/>
      <c r="E1800" s="6"/>
      <c r="F1800" s="1"/>
      <c r="G1800" s="6"/>
      <c r="H1800" s="6"/>
      <c r="I1800" s="6"/>
      <c r="J1800" s="6"/>
      <c r="K1800" s="6"/>
      <c r="L1800" s="6"/>
      <c r="M1800" s="6"/>
      <c r="N1800" s="6"/>
      <c r="O1800" s="7"/>
      <c r="P1800" s="6"/>
      <c r="Q1800" s="7"/>
      <c r="R1800" s="6"/>
      <c r="S1800" s="6"/>
      <c r="T1800" s="6"/>
      <c r="U1800" s="6"/>
      <c r="V1800" s="7"/>
      <c r="W1800" s="6"/>
      <c r="X1800" s="6"/>
      <c r="Y1800" s="6"/>
      <c r="Z1800" s="6"/>
      <c r="AA1800" s="24"/>
      <c r="AB1800" s="25"/>
      <c r="AC1800" s="12"/>
      <c r="AD1800" s="12"/>
      <c r="AE1800" s="12"/>
      <c r="AF1800" s="6"/>
      <c r="AG1800" s="12"/>
      <c r="AH1800" s="6"/>
      <c r="AI1800" s="6"/>
      <c r="AJ1800" s="12"/>
      <c r="AK1800" s="12"/>
      <c r="AL1800" s="12"/>
      <c r="AM1800" s="12"/>
      <c r="AN1800" s="1"/>
      <c r="AO1800" s="6"/>
    </row>
    <row r="1801" spans="1:41" ht="15" x14ac:dyDescent="0.25">
      <c r="A1801" s="1"/>
      <c r="B1801" s="1"/>
      <c r="C1801" s="1"/>
      <c r="D1801" s="1"/>
      <c r="E1801" s="6"/>
      <c r="F1801" s="1"/>
      <c r="G1801" s="6"/>
      <c r="H1801" s="6"/>
      <c r="I1801" s="6"/>
      <c r="J1801" s="6"/>
      <c r="K1801" s="6"/>
      <c r="L1801" s="6"/>
      <c r="M1801" s="6"/>
      <c r="N1801" s="6"/>
      <c r="O1801" s="7"/>
      <c r="P1801" s="6"/>
      <c r="Q1801" s="6"/>
      <c r="R1801" s="12"/>
      <c r="S1801" s="12"/>
      <c r="T1801" s="12"/>
      <c r="U1801" s="7"/>
      <c r="V1801" s="6"/>
      <c r="W1801" s="6"/>
      <c r="X1801" s="12"/>
      <c r="Y1801" s="6"/>
      <c r="Z1801" s="6"/>
      <c r="AA1801" s="7"/>
      <c r="AB1801" s="6"/>
      <c r="AC1801" s="6"/>
      <c r="AD1801" s="6"/>
      <c r="AE1801" s="12"/>
      <c r="AF1801" s="6"/>
      <c r="AG1801" s="12"/>
      <c r="AH1801" s="6"/>
      <c r="AI1801" s="6"/>
      <c r="AJ1801" s="12"/>
      <c r="AK1801" s="1"/>
      <c r="AL1801" s="12"/>
      <c r="AM1801" s="12"/>
      <c r="AN1801" s="1"/>
      <c r="AO1801" s="6"/>
    </row>
    <row r="1802" spans="1:41" ht="15" x14ac:dyDescent="0.25">
      <c r="A1802" s="1"/>
      <c r="B1802" s="1"/>
      <c r="C1802" s="1"/>
      <c r="D1802" s="1"/>
      <c r="E1802" s="6"/>
      <c r="F1802" s="1"/>
      <c r="G1802" s="6"/>
      <c r="H1802" s="6"/>
      <c r="I1802" s="6"/>
      <c r="J1802" s="6"/>
      <c r="K1802" s="12"/>
      <c r="L1802" s="12"/>
      <c r="M1802" s="6"/>
      <c r="N1802" s="6"/>
      <c r="O1802" s="7"/>
      <c r="P1802" s="6"/>
      <c r="Q1802" s="6"/>
      <c r="R1802" s="7"/>
      <c r="S1802" s="6"/>
      <c r="T1802" s="6"/>
      <c r="U1802" s="7"/>
      <c r="V1802" s="6"/>
      <c r="W1802" s="6"/>
      <c r="X1802" s="6"/>
      <c r="Y1802" s="6"/>
      <c r="Z1802" s="6"/>
      <c r="AA1802" s="7"/>
      <c r="AB1802" s="6"/>
      <c r="AC1802" s="6"/>
      <c r="AD1802" s="6"/>
      <c r="AE1802" s="12"/>
      <c r="AF1802" s="12"/>
      <c r="AG1802" s="12"/>
      <c r="AH1802" s="12"/>
      <c r="AI1802" s="6"/>
      <c r="AJ1802" s="12"/>
      <c r="AK1802" s="1"/>
      <c r="AL1802" s="12"/>
      <c r="AM1802" s="12"/>
      <c r="AN1802" s="1"/>
      <c r="AO1802" s="6"/>
    </row>
    <row r="1803" spans="1:41" ht="15" x14ac:dyDescent="0.25">
      <c r="A1803" s="1"/>
      <c r="B1803" s="1"/>
      <c r="C1803" s="1"/>
      <c r="D1803" s="1"/>
      <c r="E1803" s="6"/>
      <c r="F1803" s="1"/>
      <c r="G1803" s="6"/>
      <c r="H1803" s="6"/>
      <c r="I1803" s="6"/>
      <c r="J1803" s="6"/>
      <c r="K1803" s="6"/>
      <c r="L1803" s="6"/>
      <c r="M1803" s="6"/>
      <c r="N1803" s="6"/>
      <c r="O1803" s="7"/>
      <c r="P1803" s="6"/>
      <c r="Q1803" s="6"/>
      <c r="R1803" s="7"/>
      <c r="S1803" s="6"/>
      <c r="T1803" s="6"/>
      <c r="U1803" s="7"/>
      <c r="V1803" s="6"/>
      <c r="W1803" s="6"/>
      <c r="X1803" s="12"/>
      <c r="Y1803" s="6"/>
      <c r="Z1803" s="6"/>
      <c r="AA1803" s="7"/>
      <c r="AB1803" s="6"/>
      <c r="AC1803" s="6"/>
      <c r="AD1803" s="6"/>
      <c r="AE1803" s="12"/>
      <c r="AF1803" s="6"/>
      <c r="AG1803" s="12"/>
      <c r="AH1803" s="6"/>
      <c r="AI1803" s="6"/>
      <c r="AJ1803" s="12"/>
      <c r="AK1803" s="1"/>
      <c r="AL1803" s="12"/>
      <c r="AM1803" s="12"/>
      <c r="AN1803" s="1"/>
      <c r="AO1803" s="6"/>
    </row>
    <row r="1804" spans="1:41" ht="15" x14ac:dyDescent="0.25">
      <c r="A1804" s="1"/>
      <c r="B1804" s="1"/>
      <c r="C1804" s="1"/>
      <c r="D1804" s="1"/>
      <c r="E1804" s="6"/>
      <c r="F1804" s="1"/>
      <c r="G1804" s="6"/>
      <c r="H1804" s="6"/>
      <c r="I1804" s="6"/>
      <c r="J1804" s="6"/>
      <c r="K1804" s="6"/>
      <c r="L1804" s="6"/>
      <c r="M1804" s="6"/>
      <c r="N1804" s="6"/>
      <c r="O1804" s="7"/>
      <c r="P1804" s="6"/>
      <c r="Q1804" s="6"/>
      <c r="R1804" s="7"/>
      <c r="S1804" s="6"/>
      <c r="T1804" s="6"/>
      <c r="U1804" s="7"/>
      <c r="V1804" s="6"/>
      <c r="W1804" s="6"/>
      <c r="X1804" s="6"/>
      <c r="Y1804" s="6"/>
      <c r="Z1804" s="6"/>
      <c r="AA1804" s="7"/>
      <c r="AB1804" s="6"/>
      <c r="AC1804" s="6"/>
      <c r="AD1804" s="6"/>
      <c r="AE1804" s="12"/>
      <c r="AF1804" s="6"/>
      <c r="AG1804" s="12"/>
      <c r="AH1804" s="6"/>
      <c r="AI1804" s="6"/>
      <c r="AJ1804" s="12"/>
      <c r="AK1804" s="24"/>
      <c r="AL1804" s="25"/>
      <c r="AM1804" s="12"/>
      <c r="AN1804" s="1"/>
      <c r="AO1804" s="6"/>
    </row>
    <row r="1805" spans="1:41" ht="15" x14ac:dyDescent="0.25">
      <c r="A1805" s="1"/>
      <c r="B1805" s="1"/>
      <c r="C1805" s="1"/>
      <c r="D1805" s="1"/>
      <c r="E1805" s="6"/>
      <c r="F1805" s="1"/>
      <c r="G1805" s="6"/>
      <c r="H1805" s="6"/>
      <c r="I1805" s="6"/>
      <c r="J1805" s="6"/>
      <c r="K1805" s="6"/>
      <c r="L1805" s="6"/>
      <c r="M1805" s="6"/>
      <c r="N1805" s="6"/>
      <c r="O1805" s="7"/>
      <c r="P1805" s="6"/>
      <c r="Q1805" s="6"/>
      <c r="R1805" s="7"/>
      <c r="S1805" s="6"/>
      <c r="T1805" s="6"/>
      <c r="U1805" s="7"/>
      <c r="V1805" s="6"/>
      <c r="W1805" s="6"/>
      <c r="X1805" s="12"/>
      <c r="Y1805" s="6"/>
      <c r="Z1805" s="6"/>
      <c r="AA1805" s="7"/>
      <c r="AB1805" s="6"/>
      <c r="AC1805" s="6"/>
      <c r="AD1805" s="6"/>
      <c r="AE1805" s="12"/>
      <c r="AF1805" s="12"/>
      <c r="AG1805" s="12"/>
      <c r="AH1805" s="12"/>
      <c r="AI1805" s="6"/>
      <c r="AJ1805" s="12"/>
      <c r="AK1805" s="1"/>
      <c r="AL1805" s="12"/>
      <c r="AM1805" s="12"/>
      <c r="AN1805" s="1"/>
      <c r="AO1805" s="6"/>
    </row>
    <row r="1806" spans="1:41" ht="15" x14ac:dyDescent="0.25">
      <c r="A1806" s="1"/>
      <c r="B1806" s="1"/>
      <c r="C1806" s="1"/>
      <c r="D1806" s="1"/>
      <c r="E1806" s="6"/>
      <c r="F1806" s="1"/>
      <c r="G1806" s="6"/>
      <c r="H1806" s="6"/>
      <c r="I1806" s="6"/>
      <c r="J1806" s="6"/>
      <c r="K1806" s="6"/>
      <c r="L1806" s="6"/>
      <c r="M1806" s="6"/>
      <c r="N1806" s="6"/>
      <c r="O1806" s="7"/>
      <c r="P1806" s="6"/>
      <c r="Q1806" s="6"/>
      <c r="R1806" s="7"/>
      <c r="S1806" s="6"/>
      <c r="T1806" s="6"/>
      <c r="U1806" s="7"/>
      <c r="V1806" s="6"/>
      <c r="W1806" s="6"/>
      <c r="X1806" s="6"/>
      <c r="Y1806" s="6"/>
      <c r="Z1806" s="6"/>
      <c r="AA1806" s="7"/>
      <c r="AB1806" s="6"/>
      <c r="AC1806" s="6"/>
      <c r="AD1806" s="6"/>
      <c r="AE1806" s="12"/>
      <c r="AF1806" s="6"/>
      <c r="AG1806" s="12"/>
      <c r="AH1806" s="6"/>
      <c r="AI1806" s="6"/>
      <c r="AJ1806" s="12"/>
      <c r="AK1806" s="1"/>
      <c r="AL1806" s="12"/>
      <c r="AM1806" s="12"/>
      <c r="AN1806" s="1"/>
      <c r="AO1806" s="6"/>
    </row>
    <row r="1807" spans="1:41" ht="15" x14ac:dyDescent="0.25">
      <c r="A1807" s="1"/>
      <c r="B1807" s="1"/>
      <c r="C1807" s="1"/>
      <c r="D1807" s="1"/>
      <c r="E1807" s="6"/>
      <c r="F1807" s="1"/>
      <c r="G1807" s="6"/>
      <c r="H1807" s="6"/>
      <c r="I1807" s="6"/>
      <c r="J1807" s="6"/>
      <c r="K1807" s="6"/>
      <c r="L1807" s="6"/>
      <c r="M1807" s="6"/>
      <c r="N1807" s="6"/>
      <c r="O1807" s="7"/>
      <c r="P1807" s="6"/>
      <c r="Q1807" s="6"/>
      <c r="R1807" s="7"/>
      <c r="S1807" s="6"/>
      <c r="T1807" s="6"/>
      <c r="U1807" s="7"/>
      <c r="V1807" s="6"/>
      <c r="W1807" s="6"/>
      <c r="X1807" s="6"/>
      <c r="Y1807" s="6"/>
      <c r="Z1807" s="6"/>
      <c r="AA1807" s="7"/>
      <c r="AB1807" s="6"/>
      <c r="AC1807" s="6"/>
      <c r="AD1807" s="6"/>
      <c r="AE1807" s="12"/>
      <c r="AF1807" s="6"/>
      <c r="AG1807" s="12"/>
      <c r="AH1807" s="6"/>
      <c r="AI1807" s="6"/>
      <c r="AJ1807" s="12"/>
      <c r="AK1807" s="1"/>
      <c r="AL1807" s="12"/>
      <c r="AM1807" s="12"/>
      <c r="AN1807" s="1"/>
      <c r="AO1807" s="6"/>
    </row>
    <row r="1808" spans="1:41" ht="15" x14ac:dyDescent="0.25">
      <c r="A1808" s="1"/>
      <c r="B1808" s="1"/>
      <c r="C1808" s="1"/>
      <c r="D1808" s="1"/>
      <c r="E1808" s="6"/>
      <c r="F1808" s="1"/>
      <c r="G1808" s="6"/>
      <c r="H1808" s="6"/>
      <c r="I1808" s="6"/>
      <c r="J1808" s="6"/>
      <c r="K1808" s="12"/>
      <c r="L1808" s="12"/>
      <c r="M1808" s="6"/>
      <c r="N1808" s="6"/>
      <c r="O1808" s="12"/>
      <c r="P1808" s="12"/>
      <c r="Q1808" s="6"/>
      <c r="R1808" s="12"/>
      <c r="S1808" s="12"/>
      <c r="T1808" s="12"/>
      <c r="U1808" s="6"/>
      <c r="V1808" s="12"/>
      <c r="W1808" s="12"/>
      <c r="X1808" s="12"/>
      <c r="Y1808" s="12"/>
      <c r="Z1808" s="6"/>
      <c r="AA1808" s="6"/>
      <c r="AB1808" s="12"/>
      <c r="AC1808" s="12"/>
      <c r="AD1808" s="12"/>
      <c r="AE1808" s="12"/>
      <c r="AF1808" s="12"/>
      <c r="AG1808" s="12"/>
      <c r="AH1808" s="12"/>
      <c r="AI1808" s="6"/>
      <c r="AJ1808" s="12"/>
      <c r="AK1808" s="1"/>
      <c r="AL1808" s="12"/>
      <c r="AM1808" s="12"/>
      <c r="AN1808" s="1"/>
      <c r="AO1808" s="12"/>
    </row>
    <row r="1809" spans="1:41" ht="15" x14ac:dyDescent="0.25">
      <c r="A1809" s="1"/>
      <c r="B1809" s="1"/>
      <c r="C1809" s="1"/>
      <c r="D1809" s="1"/>
      <c r="E1809" s="6"/>
      <c r="F1809" s="1"/>
      <c r="G1809" s="6"/>
      <c r="H1809" s="6"/>
      <c r="I1809" s="6"/>
      <c r="J1809" s="6"/>
      <c r="K1809" s="6"/>
      <c r="L1809" s="6"/>
      <c r="M1809" s="6"/>
      <c r="N1809" s="6"/>
      <c r="O1809" s="7"/>
      <c r="P1809" s="6"/>
      <c r="Q1809" s="7"/>
      <c r="R1809" s="12"/>
      <c r="S1809" s="12"/>
      <c r="T1809" s="12"/>
      <c r="U1809" s="6"/>
      <c r="V1809" s="7"/>
      <c r="W1809" s="7"/>
      <c r="X1809" s="6"/>
      <c r="Y1809" s="6"/>
      <c r="Z1809" s="6"/>
      <c r="AA1809" s="1"/>
      <c r="AB1809" s="12"/>
      <c r="AC1809" s="12"/>
      <c r="AD1809" s="12"/>
      <c r="AE1809" s="12"/>
      <c r="AF1809" s="12"/>
      <c r="AG1809" s="12"/>
      <c r="AH1809" s="12"/>
      <c r="AI1809" s="6"/>
      <c r="AJ1809" s="12"/>
      <c r="AK1809" s="12"/>
      <c r="AL1809" s="12"/>
      <c r="AM1809" s="12"/>
      <c r="AN1809" s="1"/>
      <c r="AO1809" s="6"/>
    </row>
    <row r="1810" spans="1:41" ht="15" x14ac:dyDescent="0.25">
      <c r="A1810" s="1"/>
      <c r="B1810" s="1"/>
      <c r="C1810" s="1"/>
      <c r="D1810" s="1"/>
      <c r="E1810" s="6"/>
      <c r="F1810" s="1"/>
      <c r="G1810" s="6"/>
      <c r="H1810" s="6"/>
      <c r="I1810" s="6"/>
      <c r="J1810" s="6"/>
      <c r="K1810" s="6"/>
      <c r="L1810" s="6"/>
      <c r="M1810" s="6"/>
      <c r="N1810" s="6"/>
      <c r="O1810" s="7"/>
      <c r="P1810" s="6"/>
      <c r="Q1810" s="6"/>
      <c r="R1810" s="7"/>
      <c r="S1810" s="6"/>
      <c r="T1810" s="6"/>
      <c r="U1810" s="7"/>
      <c r="V1810" s="6"/>
      <c r="W1810" s="6"/>
      <c r="X1810" s="6"/>
      <c r="Y1810" s="6"/>
      <c r="Z1810" s="6"/>
      <c r="AA1810" s="7"/>
      <c r="AB1810" s="6"/>
      <c r="AC1810" s="6"/>
      <c r="AD1810" s="6"/>
      <c r="AE1810" s="12"/>
      <c r="AF1810" s="6"/>
      <c r="AG1810" s="12"/>
      <c r="AH1810" s="6"/>
      <c r="AI1810" s="6"/>
      <c r="AJ1810" s="12"/>
      <c r="AK1810" s="1"/>
      <c r="AL1810" s="12"/>
      <c r="AM1810" s="12"/>
      <c r="AN1810" s="1"/>
      <c r="AO1810" s="6"/>
    </row>
    <row r="1811" spans="1:41" ht="15" x14ac:dyDescent="0.25">
      <c r="A1811" s="1"/>
      <c r="B1811" s="1"/>
      <c r="C1811" s="1"/>
      <c r="D1811" s="1"/>
      <c r="E1811" s="6"/>
      <c r="F1811" s="1"/>
      <c r="G1811" s="6"/>
      <c r="H1811" s="6"/>
      <c r="I1811" s="6"/>
      <c r="J1811" s="6"/>
      <c r="K1811" s="6"/>
      <c r="L1811" s="6"/>
      <c r="M1811" s="6"/>
      <c r="N1811" s="6"/>
      <c r="O1811" s="7"/>
      <c r="P1811" s="6"/>
      <c r="Q1811" s="6"/>
      <c r="R1811" s="7"/>
      <c r="S1811" s="6"/>
      <c r="T1811" s="6"/>
      <c r="U1811" s="7"/>
      <c r="V1811" s="6"/>
      <c r="W1811" s="6"/>
      <c r="X1811" s="6"/>
      <c r="Y1811" s="6"/>
      <c r="Z1811" s="6"/>
      <c r="AA1811" s="7"/>
      <c r="AB1811" s="6"/>
      <c r="AC1811" s="6"/>
      <c r="AD1811" s="6"/>
      <c r="AE1811" s="12"/>
      <c r="AF1811" s="12"/>
      <c r="AG1811" s="12"/>
      <c r="AH1811" s="12"/>
      <c r="AI1811" s="6"/>
      <c r="AJ1811" s="12"/>
      <c r="AK1811" s="1"/>
      <c r="AL1811" s="12"/>
      <c r="AM1811" s="12"/>
      <c r="AN1811" s="1"/>
      <c r="AO1811" s="6"/>
    </row>
    <row r="1812" spans="1:41" ht="15" x14ac:dyDescent="0.25">
      <c r="A1812" s="1"/>
      <c r="B1812" s="1"/>
      <c r="C1812" s="1"/>
      <c r="D1812" s="1"/>
      <c r="E1812" s="6"/>
      <c r="F1812" s="1"/>
      <c r="G1812" s="6"/>
      <c r="H1812" s="6"/>
      <c r="I1812" s="6"/>
      <c r="J1812" s="6"/>
      <c r="K1812" s="6"/>
      <c r="L1812" s="6"/>
      <c r="M1812" s="6"/>
      <c r="N1812" s="6"/>
      <c r="O1812" s="7"/>
      <c r="P1812" s="6"/>
      <c r="Q1812" s="6"/>
      <c r="R1812" s="7"/>
      <c r="S1812" s="6"/>
      <c r="T1812" s="6"/>
      <c r="U1812" s="7"/>
      <c r="V1812" s="6"/>
      <c r="W1812" s="6"/>
      <c r="X1812" s="6"/>
      <c r="Y1812" s="6"/>
      <c r="Z1812" s="6"/>
      <c r="AA1812" s="7"/>
      <c r="AB1812" s="6"/>
      <c r="AC1812" s="6"/>
      <c r="AD1812" s="6"/>
      <c r="AE1812" s="12"/>
      <c r="AF1812" s="6"/>
      <c r="AG1812" s="12"/>
      <c r="AH1812" s="6"/>
      <c r="AI1812" s="6"/>
      <c r="AJ1812" s="12"/>
      <c r="AK1812" s="24"/>
      <c r="AL1812" s="25"/>
      <c r="AM1812" s="12"/>
      <c r="AN1812" s="1"/>
      <c r="AO1812" s="6"/>
    </row>
    <row r="1813" spans="1:41" ht="15" x14ac:dyDescent="0.25">
      <c r="A1813" s="1"/>
      <c r="B1813" s="1"/>
      <c r="C1813" s="1"/>
      <c r="D1813" s="1"/>
      <c r="E1813" s="6"/>
      <c r="F1813" s="1"/>
      <c r="G1813" s="6"/>
      <c r="H1813" s="6"/>
      <c r="I1813" s="6"/>
      <c r="J1813" s="6"/>
      <c r="K1813" s="6"/>
      <c r="L1813" s="6"/>
      <c r="M1813" s="6"/>
      <c r="N1813" s="6"/>
      <c r="O1813" s="7"/>
      <c r="P1813" s="6"/>
      <c r="Q1813" s="6"/>
      <c r="R1813" s="7"/>
      <c r="S1813" s="6"/>
      <c r="T1813" s="6"/>
      <c r="U1813" s="7"/>
      <c r="V1813" s="6"/>
      <c r="W1813" s="6"/>
      <c r="X1813" s="12"/>
      <c r="Y1813" s="6"/>
      <c r="Z1813" s="6"/>
      <c r="AA1813" s="7"/>
      <c r="AB1813" s="6"/>
      <c r="AC1813" s="6"/>
      <c r="AD1813" s="6"/>
      <c r="AE1813" s="12"/>
      <c r="AF1813" s="6"/>
      <c r="AG1813" s="12"/>
      <c r="AH1813" s="6"/>
      <c r="AI1813" s="6"/>
      <c r="AJ1813" s="12"/>
      <c r="AK1813" s="24"/>
      <c r="AL1813" s="25"/>
      <c r="AM1813" s="12"/>
      <c r="AN1813" s="1"/>
      <c r="AO1813" s="6"/>
    </row>
    <row r="1814" spans="1:41" ht="15" x14ac:dyDescent="0.25">
      <c r="A1814" s="1"/>
      <c r="B1814" s="1"/>
      <c r="C1814" s="1"/>
      <c r="D1814" s="1"/>
      <c r="E1814" s="6"/>
      <c r="F1814" s="1"/>
      <c r="G1814" s="6"/>
      <c r="H1814" s="6"/>
      <c r="I1814" s="6"/>
      <c r="J1814" s="6"/>
      <c r="K1814" s="6"/>
      <c r="L1814" s="6"/>
      <c r="M1814" s="6"/>
      <c r="N1814" s="6"/>
      <c r="O1814" s="7"/>
      <c r="P1814" s="6"/>
      <c r="Q1814" s="7"/>
      <c r="R1814" s="6"/>
      <c r="S1814" s="12"/>
      <c r="T1814" s="6"/>
      <c r="U1814" s="6"/>
      <c r="V1814" s="7"/>
      <c r="W1814" s="7"/>
      <c r="X1814" s="6"/>
      <c r="Y1814" s="6"/>
      <c r="Z1814" s="6"/>
      <c r="AA1814" s="1"/>
      <c r="AB1814" s="12"/>
      <c r="AC1814" s="12"/>
      <c r="AD1814" s="12"/>
      <c r="AE1814" s="12"/>
      <c r="AF1814" s="12"/>
      <c r="AG1814" s="12"/>
      <c r="AH1814" s="12"/>
      <c r="AI1814" s="6"/>
      <c r="AJ1814" s="12"/>
      <c r="AK1814" s="12"/>
      <c r="AL1814" s="12"/>
      <c r="AM1814" s="12"/>
      <c r="AN1814" s="1"/>
      <c r="AO1814" s="6"/>
    </row>
    <row r="1815" spans="1:41" ht="15" x14ac:dyDescent="0.25">
      <c r="A1815" s="1"/>
      <c r="B1815" s="1"/>
      <c r="C1815" s="1"/>
      <c r="D1815" s="1"/>
      <c r="E1815" s="6"/>
      <c r="F1815" s="1"/>
      <c r="G1815" s="6"/>
      <c r="H1815" s="6"/>
      <c r="I1815" s="6"/>
      <c r="J1815" s="6"/>
      <c r="K1815" s="6"/>
      <c r="L1815" s="6"/>
      <c r="M1815" s="6"/>
      <c r="N1815" s="6"/>
      <c r="O1815" s="7"/>
      <c r="P1815" s="6"/>
      <c r="Q1815" s="6"/>
      <c r="R1815" s="7"/>
      <c r="S1815" s="6"/>
      <c r="T1815" s="6"/>
      <c r="U1815" s="7"/>
      <c r="V1815" s="6"/>
      <c r="W1815" s="6"/>
      <c r="X1815" s="6"/>
      <c r="Y1815" s="6"/>
      <c r="Z1815" s="6"/>
      <c r="AA1815" s="7"/>
      <c r="AB1815" s="6"/>
      <c r="AC1815" s="6"/>
      <c r="AD1815" s="6"/>
      <c r="AE1815" s="12"/>
      <c r="AF1815" s="6"/>
      <c r="AG1815" s="12"/>
      <c r="AH1815" s="6"/>
      <c r="AI1815" s="6"/>
      <c r="AJ1815" s="12"/>
      <c r="AK1815" s="1"/>
      <c r="AL1815" s="12"/>
      <c r="AM1815" s="12"/>
      <c r="AN1815" s="1"/>
      <c r="AO1815" s="6"/>
    </row>
    <row r="1816" spans="1:41" ht="15" x14ac:dyDescent="0.25">
      <c r="A1816" s="1"/>
      <c r="B1816" s="1"/>
      <c r="C1816" s="1"/>
      <c r="D1816" s="1"/>
      <c r="E1816" s="6"/>
      <c r="F1816" s="1"/>
      <c r="G1816" s="6"/>
      <c r="H1816" s="6"/>
      <c r="I1816" s="6"/>
      <c r="J1816" s="6"/>
      <c r="K1816" s="6"/>
      <c r="L1816" s="6"/>
      <c r="M1816" s="6"/>
      <c r="N1816" s="6"/>
      <c r="O1816" s="7"/>
      <c r="P1816" s="12"/>
      <c r="Q1816" s="6"/>
      <c r="R1816" s="7"/>
      <c r="S1816" s="6"/>
      <c r="T1816" s="6"/>
      <c r="U1816" s="7"/>
      <c r="V1816" s="6"/>
      <c r="W1816" s="6"/>
      <c r="X1816" s="12"/>
      <c r="Y1816" s="6"/>
      <c r="Z1816" s="6"/>
      <c r="AA1816" s="7"/>
      <c r="AB1816" s="6"/>
      <c r="AC1816" s="6"/>
      <c r="AD1816" s="6"/>
      <c r="AE1816" s="12"/>
      <c r="AF1816" s="12"/>
      <c r="AG1816" s="12"/>
      <c r="AH1816" s="12"/>
      <c r="AI1816" s="6"/>
      <c r="AJ1816" s="12"/>
      <c r="AK1816" s="1"/>
      <c r="AL1816" s="12"/>
      <c r="AM1816" s="12"/>
      <c r="AN1816" s="1"/>
      <c r="AO1816" s="6"/>
    </row>
    <row r="1817" spans="1:41" ht="15" x14ac:dyDescent="0.25">
      <c r="A1817" s="1"/>
      <c r="B1817" s="1"/>
      <c r="C1817" s="1"/>
      <c r="D1817" s="1"/>
      <c r="E1817" s="6"/>
      <c r="F1817" s="1"/>
      <c r="G1817" s="6"/>
      <c r="H1817" s="6"/>
      <c r="I1817" s="6"/>
      <c r="J1817" s="6"/>
      <c r="K1817" s="6"/>
      <c r="L1817" s="6"/>
      <c r="M1817" s="6"/>
      <c r="N1817" s="6"/>
      <c r="O1817" s="7"/>
      <c r="P1817" s="6"/>
      <c r="Q1817" s="6"/>
      <c r="R1817" s="7"/>
      <c r="S1817" s="6"/>
      <c r="T1817" s="6"/>
      <c r="U1817" s="7"/>
      <c r="V1817" s="6"/>
      <c r="W1817" s="6"/>
      <c r="X1817" s="6"/>
      <c r="Y1817" s="6"/>
      <c r="Z1817" s="6"/>
      <c r="AA1817" s="7"/>
      <c r="AB1817" s="6"/>
      <c r="AC1817" s="6"/>
      <c r="AD1817" s="6"/>
      <c r="AE1817" s="12"/>
      <c r="AF1817" s="12"/>
      <c r="AG1817" s="12"/>
      <c r="AH1817" s="12"/>
      <c r="AI1817" s="6"/>
      <c r="AJ1817" s="12"/>
      <c r="AK1817" s="1"/>
      <c r="AL1817" s="12"/>
      <c r="AM1817" s="12"/>
      <c r="AN1817" s="1"/>
      <c r="AO1817" s="6"/>
    </row>
    <row r="1818" spans="1:41" ht="15" x14ac:dyDescent="0.25">
      <c r="A1818" s="1"/>
      <c r="B1818" s="1"/>
      <c r="C1818" s="1"/>
      <c r="D1818" s="1"/>
      <c r="E1818" s="6"/>
      <c r="F1818" s="1"/>
      <c r="G1818" s="6"/>
      <c r="H1818" s="6"/>
      <c r="I1818" s="6"/>
      <c r="J1818" s="6"/>
      <c r="K1818" s="6"/>
      <c r="L1818" s="6"/>
      <c r="M1818" s="6"/>
      <c r="N1818" s="6"/>
      <c r="O1818" s="7"/>
      <c r="P1818" s="6"/>
      <c r="Q1818" s="6"/>
      <c r="R1818" s="7"/>
      <c r="S1818" s="6"/>
      <c r="T1818" s="6"/>
      <c r="U1818" s="7"/>
      <c r="V1818" s="6"/>
      <c r="W1818" s="6"/>
      <c r="X1818" s="12"/>
      <c r="Y1818" s="6"/>
      <c r="Z1818" s="6"/>
      <c r="AA1818" s="7"/>
      <c r="AB1818" s="6"/>
      <c r="AC1818" s="6"/>
      <c r="AD1818" s="6"/>
      <c r="AE1818" s="12"/>
      <c r="AF1818" s="12"/>
      <c r="AG1818" s="12"/>
      <c r="AH1818" s="12"/>
      <c r="AI1818" s="6"/>
      <c r="AJ1818" s="12"/>
      <c r="AK1818" s="1"/>
      <c r="AL1818" s="12"/>
      <c r="AM1818" s="12"/>
      <c r="AN1818" s="1"/>
      <c r="AO1818" s="6"/>
    </row>
    <row r="1819" spans="1:41" ht="15" x14ac:dyDescent="0.25">
      <c r="A1819" s="1"/>
      <c r="B1819" s="1"/>
      <c r="C1819" s="1"/>
      <c r="D1819" s="1"/>
      <c r="E1819" s="6"/>
      <c r="F1819" s="1"/>
      <c r="G1819" s="6"/>
      <c r="H1819" s="6"/>
      <c r="I1819" s="6"/>
      <c r="J1819" s="6"/>
      <c r="K1819" s="12"/>
      <c r="L1819" s="12"/>
      <c r="M1819" s="6"/>
      <c r="N1819" s="6"/>
      <c r="O1819" s="15"/>
      <c r="P1819" s="6"/>
      <c r="Q1819" s="6"/>
      <c r="R1819" s="7"/>
      <c r="S1819" s="6"/>
      <c r="T1819" s="6"/>
      <c r="U1819" s="7"/>
      <c r="V1819" s="6"/>
      <c r="W1819" s="6"/>
      <c r="X1819" s="6"/>
      <c r="Y1819" s="6"/>
      <c r="Z1819" s="6"/>
      <c r="AA1819" s="7"/>
      <c r="AB1819" s="6"/>
      <c r="AC1819" s="6"/>
      <c r="AD1819" s="6"/>
      <c r="AE1819" s="12"/>
      <c r="AF1819" s="12"/>
      <c r="AG1819" s="12"/>
      <c r="AH1819" s="12"/>
      <c r="AI1819" s="6"/>
      <c r="AJ1819" s="12"/>
      <c r="AK1819" s="1"/>
      <c r="AL1819" s="12"/>
      <c r="AM1819" s="12"/>
      <c r="AN1819" s="1"/>
      <c r="AO1819" s="6"/>
    </row>
    <row r="1820" spans="1:41" ht="15" x14ac:dyDescent="0.25">
      <c r="A1820" s="1"/>
      <c r="B1820" s="1"/>
      <c r="C1820" s="1"/>
      <c r="D1820" s="1"/>
      <c r="E1820" s="6"/>
      <c r="F1820" s="1"/>
      <c r="G1820" s="6"/>
      <c r="H1820" s="6"/>
      <c r="I1820" s="6"/>
      <c r="J1820" s="6"/>
      <c r="K1820" s="6"/>
      <c r="L1820" s="6"/>
      <c r="M1820" s="6"/>
      <c r="N1820" s="6"/>
      <c r="O1820" s="7"/>
      <c r="P1820" s="6"/>
      <c r="Q1820" s="7"/>
      <c r="R1820" s="6"/>
      <c r="S1820" s="6"/>
      <c r="T1820" s="6"/>
      <c r="U1820" s="6"/>
      <c r="V1820" s="7"/>
      <c r="W1820" s="7"/>
      <c r="X1820" s="6"/>
      <c r="Y1820" s="6"/>
      <c r="Z1820" s="6"/>
      <c r="AA1820" s="1"/>
      <c r="AB1820" s="12"/>
      <c r="AC1820" s="12"/>
      <c r="AD1820" s="12"/>
      <c r="AE1820" s="12"/>
      <c r="AF1820" s="12"/>
      <c r="AG1820" s="12"/>
      <c r="AH1820" s="12"/>
      <c r="AI1820" s="6"/>
      <c r="AJ1820" s="12"/>
      <c r="AK1820" s="12"/>
      <c r="AL1820" s="12"/>
      <c r="AM1820" s="12"/>
      <c r="AN1820" s="1"/>
      <c r="AO1820" s="6"/>
    </row>
    <row r="1821" spans="1:41" ht="15" x14ac:dyDescent="0.25">
      <c r="A1821" s="1"/>
      <c r="B1821" s="1"/>
      <c r="C1821" s="1"/>
      <c r="D1821" s="1"/>
      <c r="E1821" s="6"/>
      <c r="F1821" s="1"/>
      <c r="G1821" s="6"/>
      <c r="H1821" s="6"/>
      <c r="I1821" s="6"/>
      <c r="J1821" s="6"/>
      <c r="K1821" s="6"/>
      <c r="L1821" s="6"/>
      <c r="M1821" s="6"/>
      <c r="N1821" s="6"/>
      <c r="O1821" s="7"/>
      <c r="P1821" s="12"/>
      <c r="Q1821" s="6"/>
      <c r="R1821" s="7"/>
      <c r="S1821" s="6"/>
      <c r="T1821" s="6"/>
      <c r="U1821" s="7"/>
      <c r="V1821" s="6"/>
      <c r="W1821" s="6"/>
      <c r="X1821" s="6"/>
      <c r="Y1821" s="6"/>
      <c r="Z1821" s="6"/>
      <c r="AA1821" s="7"/>
      <c r="AB1821" s="6"/>
      <c r="AC1821" s="6"/>
      <c r="AD1821" s="6"/>
      <c r="AE1821" s="12"/>
      <c r="AF1821" s="12"/>
      <c r="AG1821" s="12"/>
      <c r="AH1821" s="12"/>
      <c r="AI1821" s="6"/>
      <c r="AJ1821" s="12"/>
      <c r="AK1821" s="1"/>
      <c r="AL1821" s="12"/>
      <c r="AM1821" s="12"/>
      <c r="AN1821" s="1"/>
      <c r="AO1821" s="6"/>
    </row>
    <row r="1822" spans="1:41" ht="15" x14ac:dyDescent="0.25">
      <c r="A1822" s="1"/>
      <c r="B1822" s="1"/>
      <c r="C1822" s="1"/>
      <c r="D1822" s="1"/>
      <c r="E1822" s="6"/>
      <c r="F1822" s="1"/>
      <c r="G1822" s="6"/>
      <c r="H1822" s="6"/>
      <c r="I1822" s="6"/>
      <c r="J1822" s="6"/>
      <c r="K1822" s="6"/>
      <c r="L1822" s="6"/>
      <c r="M1822" s="6"/>
      <c r="N1822" s="6"/>
      <c r="O1822" s="7"/>
      <c r="P1822" s="6"/>
      <c r="Q1822" s="6"/>
      <c r="R1822" s="7"/>
      <c r="S1822" s="6"/>
      <c r="T1822" s="6"/>
      <c r="U1822" s="7"/>
      <c r="V1822" s="6"/>
      <c r="W1822" s="6"/>
      <c r="X1822" s="12"/>
      <c r="Y1822" s="6"/>
      <c r="Z1822" s="6"/>
      <c r="AA1822" s="15"/>
      <c r="AB1822" s="6"/>
      <c r="AC1822" s="6"/>
      <c r="AD1822" s="6"/>
      <c r="AE1822" s="12"/>
      <c r="AF1822" s="12"/>
      <c r="AG1822" s="12"/>
      <c r="AH1822" s="12"/>
      <c r="AI1822" s="6"/>
      <c r="AJ1822" s="12"/>
      <c r="AK1822" s="24"/>
      <c r="AL1822" s="25"/>
      <c r="AM1822" s="12"/>
      <c r="AN1822" s="1"/>
      <c r="AO1822" s="6"/>
    </row>
    <row r="1823" spans="1:41" ht="15" x14ac:dyDescent="0.25">
      <c r="A1823" s="1"/>
      <c r="B1823" s="1"/>
      <c r="C1823" s="1"/>
      <c r="D1823" s="1"/>
      <c r="E1823" s="6"/>
      <c r="F1823" s="1"/>
      <c r="G1823" s="6"/>
      <c r="H1823" s="6"/>
      <c r="I1823" s="6"/>
      <c r="J1823" s="6"/>
      <c r="K1823" s="6"/>
      <c r="L1823" s="6"/>
      <c r="M1823" s="6"/>
      <c r="N1823" s="6"/>
      <c r="O1823" s="7"/>
      <c r="P1823" s="6"/>
      <c r="Q1823" s="6"/>
      <c r="R1823" s="7"/>
      <c r="S1823" s="6"/>
      <c r="T1823" s="6"/>
      <c r="U1823" s="7"/>
      <c r="V1823" s="6"/>
      <c r="W1823" s="6"/>
      <c r="X1823" s="6"/>
      <c r="Y1823" s="6"/>
      <c r="Z1823" s="6"/>
      <c r="AA1823" s="7"/>
      <c r="AB1823" s="6"/>
      <c r="AC1823" s="6"/>
      <c r="AD1823" s="6"/>
      <c r="AE1823" s="12"/>
      <c r="AF1823" s="12"/>
      <c r="AG1823" s="12"/>
      <c r="AH1823" s="12"/>
      <c r="AI1823" s="6"/>
      <c r="AJ1823" s="12"/>
      <c r="AK1823" s="1"/>
      <c r="AL1823" s="12"/>
      <c r="AM1823" s="12"/>
      <c r="AN1823" s="1"/>
      <c r="AO1823" s="6"/>
    </row>
    <row r="1824" spans="1:41" ht="15" x14ac:dyDescent="0.25">
      <c r="A1824" s="1"/>
      <c r="B1824" s="1"/>
      <c r="C1824" s="1"/>
      <c r="D1824" s="1"/>
      <c r="E1824" s="6"/>
      <c r="F1824" s="1"/>
      <c r="G1824" s="6"/>
      <c r="H1824" s="6"/>
      <c r="I1824" s="6"/>
      <c r="J1824" s="6"/>
      <c r="K1824" s="6"/>
      <c r="L1824" s="6"/>
      <c r="M1824" s="6"/>
      <c r="N1824" s="6"/>
      <c r="O1824" s="7"/>
      <c r="P1824" s="6"/>
      <c r="Q1824" s="6"/>
      <c r="R1824" s="7"/>
      <c r="S1824" s="6"/>
      <c r="T1824" s="6"/>
      <c r="U1824" s="7"/>
      <c r="V1824" s="6"/>
      <c r="W1824" s="6"/>
      <c r="X1824" s="12"/>
      <c r="Y1824" s="6"/>
      <c r="Z1824" s="6"/>
      <c r="AA1824" s="7"/>
      <c r="AB1824" s="6"/>
      <c r="AC1824" s="6"/>
      <c r="AD1824" s="6"/>
      <c r="AE1824" s="12"/>
      <c r="AF1824" s="12"/>
      <c r="AG1824" s="12"/>
      <c r="AH1824" s="12"/>
      <c r="AI1824" s="6"/>
      <c r="AJ1824" s="12"/>
      <c r="AK1824" s="1"/>
      <c r="AL1824" s="12"/>
      <c r="AM1824" s="12"/>
      <c r="AN1824" s="1"/>
      <c r="AO1824" s="6"/>
    </row>
    <row r="1825" spans="1:41" ht="15" x14ac:dyDescent="0.25">
      <c r="A1825" s="1"/>
      <c r="B1825" s="1"/>
      <c r="C1825" s="1"/>
      <c r="D1825" s="1"/>
      <c r="E1825" s="6"/>
      <c r="F1825" s="1"/>
      <c r="G1825" s="6"/>
      <c r="H1825" s="6"/>
      <c r="I1825" s="6"/>
      <c r="J1825" s="6"/>
      <c r="K1825" s="6"/>
      <c r="L1825" s="6"/>
      <c r="M1825" s="6"/>
      <c r="N1825" s="6"/>
      <c r="O1825" s="7"/>
      <c r="P1825" s="6"/>
      <c r="Q1825" s="6"/>
      <c r="R1825" s="7"/>
      <c r="S1825" s="6"/>
      <c r="T1825" s="6"/>
      <c r="U1825" s="7"/>
      <c r="V1825" s="6"/>
      <c r="W1825" s="6"/>
      <c r="X1825" s="6"/>
      <c r="Y1825" s="6"/>
      <c r="Z1825" s="6"/>
      <c r="AA1825" s="7"/>
      <c r="AB1825" s="6"/>
      <c r="AC1825" s="6"/>
      <c r="AD1825" s="6"/>
      <c r="AE1825" s="12"/>
      <c r="AF1825" s="6"/>
      <c r="AG1825" s="12"/>
      <c r="AH1825" s="6"/>
      <c r="AI1825" s="6"/>
      <c r="AJ1825" s="12"/>
      <c r="AK1825" s="1"/>
      <c r="AL1825" s="12"/>
      <c r="AM1825" s="12"/>
      <c r="AN1825" s="1"/>
      <c r="AO1825" s="6"/>
    </row>
    <row r="1826" spans="1:41" ht="15" x14ac:dyDescent="0.25">
      <c r="A1826" s="1"/>
      <c r="B1826" s="1"/>
      <c r="C1826" s="1"/>
      <c r="D1826" s="1"/>
      <c r="E1826" s="6"/>
      <c r="F1826" s="1"/>
      <c r="G1826" s="6"/>
      <c r="H1826" s="6"/>
      <c r="I1826" s="6"/>
      <c r="J1826" s="6"/>
      <c r="K1826" s="6"/>
      <c r="L1826" s="6"/>
      <c r="M1826" s="6"/>
      <c r="N1826" s="6"/>
      <c r="O1826" s="7"/>
      <c r="P1826" s="6"/>
      <c r="Q1826" s="6"/>
      <c r="R1826" s="7"/>
      <c r="S1826" s="6"/>
      <c r="T1826" s="6"/>
      <c r="U1826" s="7"/>
      <c r="V1826" s="6"/>
      <c r="W1826" s="6"/>
      <c r="X1826" s="12"/>
      <c r="Y1826" s="6"/>
      <c r="Z1826" s="6"/>
      <c r="AA1826" s="7"/>
      <c r="AB1826" s="6"/>
      <c r="AC1826" s="6"/>
      <c r="AD1826" s="6"/>
      <c r="AE1826" s="12"/>
      <c r="AF1826" s="6"/>
      <c r="AG1826" s="12"/>
      <c r="AH1826" s="6"/>
      <c r="AI1826" s="6"/>
      <c r="AJ1826" s="12"/>
      <c r="AK1826" s="1"/>
      <c r="AL1826" s="12"/>
      <c r="AM1826" s="12"/>
      <c r="AN1826" s="1"/>
      <c r="AO1826" s="6"/>
    </row>
    <row r="1827" spans="1:41" ht="15" x14ac:dyDescent="0.25">
      <c r="A1827" s="1"/>
      <c r="B1827" s="1"/>
      <c r="C1827" s="1"/>
      <c r="D1827" s="1"/>
      <c r="E1827" s="6"/>
      <c r="F1827" s="1"/>
      <c r="G1827" s="6"/>
      <c r="H1827" s="6"/>
      <c r="I1827" s="6"/>
      <c r="J1827" s="6"/>
      <c r="K1827" s="6"/>
      <c r="L1827" s="6"/>
      <c r="M1827" s="6"/>
      <c r="N1827" s="6"/>
      <c r="O1827" s="7"/>
      <c r="P1827" s="6"/>
      <c r="Q1827" s="6"/>
      <c r="R1827" s="7"/>
      <c r="S1827" s="6"/>
      <c r="T1827" s="6"/>
      <c r="U1827" s="7"/>
      <c r="V1827" s="6"/>
      <c r="W1827" s="6"/>
      <c r="X1827" s="6"/>
      <c r="Y1827" s="6"/>
      <c r="Z1827" s="6"/>
      <c r="AA1827" s="7"/>
      <c r="AB1827" s="6"/>
      <c r="AC1827" s="6"/>
      <c r="AD1827" s="6"/>
      <c r="AE1827" s="12"/>
      <c r="AF1827" s="12"/>
      <c r="AG1827" s="12"/>
      <c r="AH1827" s="12"/>
      <c r="AI1827" s="6"/>
      <c r="AJ1827" s="12"/>
      <c r="AK1827" s="1"/>
      <c r="AL1827" s="12"/>
      <c r="AM1827" s="12"/>
      <c r="AN1827" s="1"/>
      <c r="AO1827" s="6"/>
    </row>
    <row r="1828" spans="1:41" ht="15" x14ac:dyDescent="0.25">
      <c r="A1828" s="1"/>
      <c r="B1828" s="1"/>
      <c r="C1828" s="1"/>
      <c r="D1828" s="1"/>
      <c r="E1828" s="6"/>
      <c r="F1828" s="1"/>
      <c r="G1828" s="6"/>
      <c r="H1828" s="6"/>
      <c r="I1828" s="6"/>
      <c r="J1828" s="6"/>
      <c r="K1828" s="6"/>
      <c r="L1828" s="6"/>
      <c r="M1828" s="6"/>
      <c r="N1828" s="6"/>
      <c r="O1828" s="7"/>
      <c r="P1828" s="6"/>
      <c r="Q1828" s="6"/>
      <c r="R1828" s="7"/>
      <c r="S1828" s="6"/>
      <c r="T1828" s="6"/>
      <c r="U1828" s="7"/>
      <c r="V1828" s="6"/>
      <c r="W1828" s="6"/>
      <c r="X1828" s="6"/>
      <c r="Y1828" s="6"/>
      <c r="Z1828" s="6"/>
      <c r="AA1828" s="7"/>
      <c r="AB1828" s="6"/>
      <c r="AC1828" s="6"/>
      <c r="AD1828" s="6"/>
      <c r="AE1828" s="12"/>
      <c r="AF1828" s="6"/>
      <c r="AG1828" s="12"/>
      <c r="AH1828" s="6"/>
      <c r="AI1828" s="6"/>
      <c r="AJ1828" s="12"/>
      <c r="AK1828" s="1"/>
      <c r="AL1828" s="12"/>
      <c r="AM1828" s="12"/>
      <c r="AN1828" s="1"/>
      <c r="AO1828" s="6"/>
    </row>
    <row r="1829" spans="1:41" ht="15" x14ac:dyDescent="0.25">
      <c r="A1829" s="1"/>
      <c r="B1829" s="1"/>
      <c r="C1829" s="1"/>
      <c r="D1829" s="1"/>
      <c r="E1829" s="6"/>
      <c r="F1829" s="1"/>
      <c r="G1829" s="6"/>
      <c r="H1829" s="6"/>
      <c r="I1829" s="6"/>
      <c r="J1829" s="6"/>
      <c r="K1829" s="6"/>
      <c r="L1829" s="6"/>
      <c r="M1829" s="6"/>
      <c r="N1829" s="6"/>
      <c r="O1829" s="7"/>
      <c r="P1829" s="6"/>
      <c r="Q1829" s="6"/>
      <c r="R1829" s="7"/>
      <c r="S1829" s="6"/>
      <c r="T1829" s="6"/>
      <c r="U1829" s="7"/>
      <c r="V1829" s="6"/>
      <c r="W1829" s="6"/>
      <c r="X1829" s="6"/>
      <c r="Y1829" s="6"/>
      <c r="Z1829" s="6"/>
      <c r="AA1829" s="7"/>
      <c r="AB1829" s="6"/>
      <c r="AC1829" s="6"/>
      <c r="AD1829" s="6"/>
      <c r="AE1829" s="12"/>
      <c r="AF1829" s="6"/>
      <c r="AG1829" s="12"/>
      <c r="AH1829" s="6"/>
      <c r="AI1829" s="6"/>
      <c r="AJ1829" s="12"/>
      <c r="AK1829" s="1"/>
      <c r="AL1829" s="12"/>
      <c r="AM1829" s="12"/>
      <c r="AN1829" s="1"/>
      <c r="AO1829" s="6"/>
    </row>
    <row r="1830" spans="1:41" ht="15" x14ac:dyDescent="0.25">
      <c r="A1830" s="1"/>
      <c r="B1830" s="1"/>
      <c r="C1830" s="1"/>
      <c r="D1830" s="1"/>
      <c r="E1830" s="6"/>
      <c r="F1830" s="1"/>
      <c r="G1830" s="6"/>
      <c r="H1830" s="6"/>
      <c r="I1830" s="6"/>
      <c r="J1830" s="6"/>
      <c r="K1830" s="6"/>
      <c r="L1830" s="6"/>
      <c r="M1830" s="6"/>
      <c r="N1830" s="6"/>
      <c r="O1830" s="7"/>
      <c r="P1830" s="6"/>
      <c r="Q1830" s="6"/>
      <c r="R1830" s="7"/>
      <c r="S1830" s="6"/>
      <c r="T1830" s="6"/>
      <c r="U1830" s="7"/>
      <c r="V1830" s="6"/>
      <c r="W1830" s="6"/>
      <c r="X1830" s="12"/>
      <c r="Y1830" s="6"/>
      <c r="Z1830" s="6"/>
      <c r="AA1830" s="7"/>
      <c r="AB1830" s="6"/>
      <c r="AC1830" s="6"/>
      <c r="AD1830" s="6"/>
      <c r="AE1830" s="12"/>
      <c r="AF1830" s="6"/>
      <c r="AG1830" s="12"/>
      <c r="AH1830" s="6"/>
      <c r="AI1830" s="6"/>
      <c r="AJ1830" s="12"/>
      <c r="AK1830" s="1"/>
      <c r="AL1830" s="12"/>
      <c r="AM1830" s="12"/>
      <c r="AN1830" s="1"/>
      <c r="AO1830" s="6"/>
    </row>
    <row r="1831" spans="1:41" ht="15" x14ac:dyDescent="0.25">
      <c r="A1831" s="1"/>
      <c r="B1831" s="1"/>
      <c r="C1831" s="1"/>
      <c r="D1831" s="1"/>
      <c r="E1831" s="6"/>
      <c r="F1831" s="1"/>
      <c r="G1831" s="6"/>
      <c r="H1831" s="6"/>
      <c r="I1831" s="6"/>
      <c r="J1831" s="6"/>
      <c r="K1831" s="6"/>
      <c r="L1831" s="6"/>
      <c r="M1831" s="6"/>
      <c r="N1831" s="6"/>
      <c r="O1831" s="7"/>
      <c r="P1831" s="6"/>
      <c r="Q1831" s="7"/>
      <c r="R1831" s="6"/>
      <c r="S1831" s="12"/>
      <c r="T1831" s="6"/>
      <c r="U1831" s="6"/>
      <c r="V1831" s="7"/>
      <c r="W1831" s="7"/>
      <c r="X1831" s="6"/>
      <c r="Y1831" s="6"/>
      <c r="Z1831" s="6"/>
      <c r="AA1831" s="1"/>
      <c r="AB1831" s="12"/>
      <c r="AC1831" s="12"/>
      <c r="AD1831" s="12"/>
      <c r="AE1831" s="12"/>
      <c r="AF1831" s="12"/>
      <c r="AG1831" s="12"/>
      <c r="AH1831" s="12"/>
      <c r="AI1831" s="6"/>
      <c r="AJ1831" s="12"/>
      <c r="AK1831" s="12"/>
      <c r="AL1831" s="12"/>
      <c r="AM1831" s="12"/>
      <c r="AN1831" s="1"/>
      <c r="AO1831" s="6"/>
    </row>
    <row r="1832" spans="1:41" ht="15" x14ac:dyDescent="0.25">
      <c r="A1832" s="1"/>
      <c r="B1832" s="1"/>
      <c r="C1832" s="1"/>
      <c r="D1832" s="1"/>
      <c r="E1832" s="6"/>
      <c r="F1832" s="1"/>
      <c r="G1832" s="6"/>
      <c r="H1832" s="6"/>
      <c r="I1832" s="6"/>
      <c r="J1832" s="6"/>
      <c r="K1832" s="6"/>
      <c r="L1832" s="6"/>
      <c r="M1832" s="6"/>
      <c r="N1832" s="6"/>
      <c r="O1832" s="7"/>
      <c r="P1832" s="6"/>
      <c r="Q1832" s="7"/>
      <c r="R1832" s="6"/>
      <c r="S1832" s="12"/>
      <c r="T1832" s="6"/>
      <c r="U1832" s="6"/>
      <c r="V1832" s="7"/>
      <c r="W1832" s="7"/>
      <c r="X1832" s="6"/>
      <c r="Y1832" s="6"/>
      <c r="Z1832" s="6"/>
      <c r="AA1832" s="1"/>
      <c r="AB1832" s="12"/>
      <c r="AC1832" s="12"/>
      <c r="AD1832" s="12"/>
      <c r="AE1832" s="12"/>
      <c r="AF1832" s="12"/>
      <c r="AG1832" s="12"/>
      <c r="AH1832" s="12"/>
      <c r="AI1832" s="6"/>
      <c r="AJ1832" s="12"/>
      <c r="AK1832" s="12"/>
      <c r="AL1832" s="12"/>
      <c r="AM1832" s="12"/>
      <c r="AN1832" s="1"/>
      <c r="AO1832" s="6"/>
    </row>
    <row r="1833" spans="1:41" ht="15" x14ac:dyDescent="0.25">
      <c r="A1833" s="1"/>
      <c r="B1833" s="1"/>
      <c r="C1833" s="1"/>
      <c r="D1833" s="1"/>
      <c r="E1833" s="6"/>
      <c r="F1833" s="1"/>
      <c r="G1833" s="6"/>
      <c r="H1833" s="6"/>
      <c r="I1833" s="6"/>
      <c r="J1833" s="6"/>
      <c r="K1833" s="6"/>
      <c r="L1833" s="6"/>
      <c r="M1833" s="6"/>
      <c r="N1833" s="6"/>
      <c r="O1833" s="7"/>
      <c r="P1833" s="6"/>
      <c r="Q1833" s="6"/>
      <c r="R1833" s="15"/>
      <c r="S1833" s="6"/>
      <c r="T1833" s="6"/>
      <c r="U1833" s="15"/>
      <c r="V1833" s="6"/>
      <c r="W1833" s="6"/>
      <c r="X1833" s="6"/>
      <c r="Y1833" s="6"/>
      <c r="Z1833" s="6"/>
      <c r="AA1833" s="7"/>
      <c r="AB1833" s="6"/>
      <c r="AC1833" s="6"/>
      <c r="AD1833" s="6"/>
      <c r="AE1833" s="12"/>
      <c r="AF1833" s="12"/>
      <c r="AG1833" s="12"/>
      <c r="AH1833" s="12"/>
      <c r="AI1833" s="6"/>
      <c r="AJ1833" s="12"/>
      <c r="AK1833" s="1"/>
      <c r="AL1833" s="12"/>
      <c r="AM1833" s="12"/>
      <c r="AN1833" s="1"/>
      <c r="AO1833" s="6"/>
    </row>
    <row r="1834" spans="1:41" ht="15" x14ac:dyDescent="0.25">
      <c r="A1834" s="1"/>
      <c r="B1834" s="1"/>
      <c r="C1834" s="1"/>
      <c r="D1834" s="1"/>
      <c r="E1834" s="6"/>
      <c r="F1834" s="1"/>
      <c r="G1834" s="6"/>
      <c r="H1834" s="6"/>
      <c r="I1834" s="6"/>
      <c r="J1834" s="6"/>
      <c r="K1834" s="6"/>
      <c r="L1834" s="6"/>
      <c r="M1834" s="6"/>
      <c r="N1834" s="6"/>
      <c r="O1834" s="7"/>
      <c r="P1834" s="6"/>
      <c r="Q1834" s="6"/>
      <c r="R1834" s="7"/>
      <c r="S1834" s="6"/>
      <c r="T1834" s="6"/>
      <c r="U1834" s="15"/>
      <c r="V1834" s="6"/>
      <c r="W1834" s="6"/>
      <c r="X1834" s="6"/>
      <c r="Y1834" s="6"/>
      <c r="Z1834" s="6"/>
      <c r="AA1834" s="7"/>
      <c r="AB1834" s="6"/>
      <c r="AC1834" s="6"/>
      <c r="AD1834" s="6"/>
      <c r="AE1834" s="12"/>
      <c r="AF1834" s="12"/>
      <c r="AG1834" s="12"/>
      <c r="AH1834" s="12"/>
      <c r="AI1834" s="6"/>
      <c r="AJ1834" s="12"/>
      <c r="AK1834" s="1"/>
      <c r="AL1834" s="12"/>
      <c r="AM1834" s="12"/>
      <c r="AN1834" s="1"/>
      <c r="AO1834" s="6"/>
    </row>
    <row r="1835" spans="1:41" ht="15" x14ac:dyDescent="0.25">
      <c r="A1835" s="1"/>
      <c r="B1835" s="1"/>
      <c r="C1835" s="1"/>
      <c r="D1835" s="1"/>
      <c r="E1835" s="6"/>
      <c r="F1835" s="1"/>
      <c r="G1835" s="6"/>
      <c r="H1835" s="6"/>
      <c r="I1835" s="6"/>
      <c r="J1835" s="6"/>
      <c r="K1835" s="6"/>
      <c r="L1835" s="6"/>
      <c r="M1835" s="6"/>
      <c r="N1835" s="6"/>
      <c r="O1835" s="7"/>
      <c r="P1835" s="6"/>
      <c r="Q1835" s="6"/>
      <c r="R1835" s="7"/>
      <c r="S1835" s="6"/>
      <c r="T1835" s="6"/>
      <c r="U1835" s="7"/>
      <c r="V1835" s="6"/>
      <c r="W1835" s="6"/>
      <c r="X1835" s="6"/>
      <c r="Y1835" s="6"/>
      <c r="Z1835" s="6"/>
      <c r="AA1835" s="7"/>
      <c r="AB1835" s="6"/>
      <c r="AC1835" s="6"/>
      <c r="AD1835" s="6"/>
      <c r="AE1835" s="12"/>
      <c r="AF1835" s="12"/>
      <c r="AG1835" s="12"/>
      <c r="AH1835" s="12"/>
      <c r="AI1835" s="6"/>
      <c r="AJ1835" s="12"/>
      <c r="AK1835" s="1"/>
      <c r="AL1835" s="12"/>
      <c r="AM1835" s="12"/>
      <c r="AN1835" s="1"/>
      <c r="AO1835" s="6"/>
    </row>
    <row r="1836" spans="1:41" ht="15" x14ac:dyDescent="0.25">
      <c r="A1836" s="1"/>
      <c r="B1836" s="1"/>
      <c r="C1836" s="1"/>
      <c r="D1836" s="1"/>
      <c r="E1836" s="6"/>
      <c r="F1836" s="1"/>
      <c r="G1836" s="6"/>
      <c r="H1836" s="6"/>
      <c r="I1836" s="6"/>
      <c r="J1836" s="6"/>
      <c r="K1836" s="6"/>
      <c r="L1836" s="6"/>
      <c r="M1836" s="6"/>
      <c r="N1836" s="6"/>
      <c r="O1836" s="7"/>
      <c r="P1836" s="6"/>
      <c r="Q1836" s="6"/>
      <c r="R1836" s="7"/>
      <c r="S1836" s="6"/>
      <c r="T1836" s="6"/>
      <c r="U1836" s="7"/>
      <c r="V1836" s="6"/>
      <c r="W1836" s="6"/>
      <c r="X1836" s="6"/>
      <c r="Y1836" s="6"/>
      <c r="Z1836" s="6"/>
      <c r="AA1836" s="7"/>
      <c r="AB1836" s="6"/>
      <c r="AC1836" s="6"/>
      <c r="AD1836" s="6"/>
      <c r="AE1836" s="12"/>
      <c r="AF1836" s="6"/>
      <c r="AG1836" s="12"/>
      <c r="AH1836" s="6"/>
      <c r="AI1836" s="6"/>
      <c r="AJ1836" s="12"/>
      <c r="AK1836" s="1"/>
      <c r="AL1836" s="12"/>
      <c r="AM1836" s="12"/>
      <c r="AN1836" s="1"/>
      <c r="AO1836" s="6"/>
    </row>
    <row r="1837" spans="1:41" ht="15" x14ac:dyDescent="0.25">
      <c r="A1837" s="1"/>
      <c r="B1837" s="1"/>
      <c r="C1837" s="1"/>
      <c r="D1837" s="1"/>
      <c r="E1837" s="6"/>
      <c r="F1837" s="1"/>
      <c r="G1837" s="6"/>
      <c r="H1837" s="6"/>
      <c r="I1837" s="6"/>
      <c r="J1837" s="6"/>
      <c r="K1837" s="6"/>
      <c r="L1837" s="6"/>
      <c r="M1837" s="6"/>
      <c r="N1837" s="6"/>
      <c r="O1837" s="7"/>
      <c r="P1837" s="6"/>
      <c r="Q1837" s="7"/>
      <c r="R1837" s="6"/>
      <c r="S1837" s="6"/>
      <c r="T1837" s="6"/>
      <c r="U1837" s="6"/>
      <c r="V1837" s="7"/>
      <c r="W1837" s="7"/>
      <c r="X1837" s="6"/>
      <c r="Y1837" s="6"/>
      <c r="Z1837" s="6"/>
      <c r="AA1837" s="1"/>
      <c r="AB1837" s="12"/>
      <c r="AC1837" s="12"/>
      <c r="AD1837" s="12"/>
      <c r="AE1837" s="12"/>
      <c r="AF1837" s="12"/>
      <c r="AG1837" s="12"/>
      <c r="AH1837" s="12"/>
      <c r="AI1837" s="6"/>
      <c r="AJ1837" s="12"/>
      <c r="AK1837" s="12"/>
      <c r="AL1837" s="12"/>
      <c r="AM1837" s="12"/>
      <c r="AN1837" s="1"/>
      <c r="AO1837" s="6"/>
    </row>
    <row r="1838" spans="1:41" ht="15" x14ac:dyDescent="0.25">
      <c r="A1838" s="1"/>
      <c r="B1838" s="1"/>
      <c r="C1838" s="1"/>
      <c r="D1838" s="1"/>
      <c r="E1838" s="6"/>
      <c r="F1838" s="1"/>
      <c r="G1838" s="6"/>
      <c r="H1838" s="6"/>
      <c r="I1838" s="6"/>
      <c r="J1838" s="6"/>
      <c r="K1838" s="6"/>
      <c r="L1838" s="6"/>
      <c r="M1838" s="6"/>
      <c r="N1838" s="6"/>
      <c r="O1838" s="7"/>
      <c r="P1838" s="12"/>
      <c r="Q1838" s="6"/>
      <c r="R1838" s="7"/>
      <c r="S1838" s="6"/>
      <c r="T1838" s="6"/>
      <c r="U1838" s="7"/>
      <c r="V1838" s="6"/>
      <c r="W1838" s="6"/>
      <c r="X1838" s="6"/>
      <c r="Y1838" s="6"/>
      <c r="Z1838" s="6"/>
      <c r="AA1838" s="7"/>
      <c r="AB1838" s="6"/>
      <c r="AC1838" s="6"/>
      <c r="AD1838" s="6"/>
      <c r="AE1838" s="12"/>
      <c r="AF1838" s="6"/>
      <c r="AG1838" s="12"/>
      <c r="AH1838" s="6"/>
      <c r="AI1838" s="6"/>
      <c r="AJ1838" s="12"/>
      <c r="AK1838" s="24"/>
      <c r="AL1838" s="25"/>
      <c r="AM1838" s="12"/>
      <c r="AN1838" s="1"/>
      <c r="AO1838" s="6"/>
    </row>
    <row r="1839" spans="1:41" ht="15" x14ac:dyDescent="0.25">
      <c r="A1839" s="1"/>
      <c r="B1839" s="1"/>
      <c r="C1839" s="1"/>
      <c r="D1839" s="1"/>
      <c r="E1839" s="6"/>
      <c r="F1839" s="1"/>
      <c r="G1839" s="6"/>
      <c r="H1839" s="6"/>
      <c r="I1839" s="6"/>
      <c r="J1839" s="6"/>
      <c r="K1839" s="6"/>
      <c r="L1839" s="6"/>
      <c r="M1839" s="6"/>
      <c r="N1839" s="6"/>
      <c r="O1839" s="7"/>
      <c r="P1839" s="6"/>
      <c r="Q1839" s="6"/>
      <c r="R1839" s="7"/>
      <c r="S1839" s="6"/>
      <c r="T1839" s="6"/>
      <c r="U1839" s="7"/>
      <c r="V1839" s="6"/>
      <c r="W1839" s="6"/>
      <c r="X1839" s="6"/>
      <c r="Y1839" s="6"/>
      <c r="Z1839" s="6"/>
      <c r="AA1839" s="7"/>
      <c r="AB1839" s="6"/>
      <c r="AC1839" s="6"/>
      <c r="AD1839" s="6"/>
      <c r="AE1839" s="12"/>
      <c r="AF1839" s="6"/>
      <c r="AG1839" s="12"/>
      <c r="AH1839" s="6"/>
      <c r="AI1839" s="6"/>
      <c r="AJ1839" s="12"/>
      <c r="AK1839" s="24"/>
      <c r="AL1839" s="25"/>
      <c r="AM1839" s="12"/>
      <c r="AN1839" s="1"/>
      <c r="AO1839" s="6"/>
    </row>
    <row r="1840" spans="1:41" ht="15" x14ac:dyDescent="0.25">
      <c r="A1840" s="1"/>
      <c r="B1840" s="1"/>
      <c r="C1840" s="1"/>
      <c r="D1840" s="1"/>
      <c r="E1840" s="6"/>
      <c r="F1840" s="1"/>
      <c r="G1840" s="6"/>
      <c r="H1840" s="6"/>
      <c r="I1840" s="6"/>
      <c r="J1840" s="6"/>
      <c r="K1840" s="6"/>
      <c r="L1840" s="6"/>
      <c r="M1840" s="6"/>
      <c r="N1840" s="6"/>
      <c r="O1840" s="7"/>
      <c r="P1840" s="12"/>
      <c r="Q1840" s="6"/>
      <c r="R1840" s="7"/>
      <c r="S1840" s="6"/>
      <c r="T1840" s="6"/>
      <c r="U1840" s="7"/>
      <c r="V1840" s="6"/>
      <c r="W1840" s="6"/>
      <c r="X1840" s="6"/>
      <c r="Y1840" s="6"/>
      <c r="Z1840" s="6"/>
      <c r="AA1840" s="7"/>
      <c r="AB1840" s="6"/>
      <c r="AC1840" s="6"/>
      <c r="AD1840" s="6"/>
      <c r="AE1840" s="12"/>
      <c r="AF1840" s="6"/>
      <c r="AG1840" s="12"/>
      <c r="AH1840" s="6"/>
      <c r="AI1840" s="6"/>
      <c r="AJ1840" s="12"/>
      <c r="AK1840" s="24"/>
      <c r="AL1840" s="25"/>
      <c r="AM1840" s="12"/>
      <c r="AN1840" s="1"/>
      <c r="AO1840" s="6"/>
    </row>
    <row r="1841" spans="1:41" ht="15" x14ac:dyDescent="0.25">
      <c r="A1841" s="1"/>
      <c r="B1841" s="1"/>
      <c r="C1841" s="1"/>
      <c r="D1841" s="1"/>
      <c r="E1841" s="6"/>
      <c r="F1841" s="1"/>
      <c r="G1841" s="6"/>
      <c r="H1841" s="6"/>
      <c r="I1841" s="6"/>
      <c r="J1841" s="6"/>
      <c r="K1841" s="12"/>
      <c r="L1841" s="12"/>
      <c r="M1841" s="6"/>
      <c r="N1841" s="6"/>
      <c r="O1841" s="7"/>
      <c r="P1841" s="6"/>
      <c r="Q1841" s="6"/>
      <c r="R1841" s="7"/>
      <c r="S1841" s="6"/>
      <c r="T1841" s="6"/>
      <c r="U1841" s="7"/>
      <c r="V1841" s="6"/>
      <c r="W1841" s="6"/>
      <c r="X1841" s="6"/>
      <c r="Y1841" s="6"/>
      <c r="Z1841" s="6"/>
      <c r="AA1841" s="7"/>
      <c r="AB1841" s="6"/>
      <c r="AC1841" s="6"/>
      <c r="AD1841" s="6"/>
      <c r="AE1841" s="12"/>
      <c r="AF1841" s="12"/>
      <c r="AG1841" s="12"/>
      <c r="AH1841" s="12"/>
      <c r="AI1841" s="6"/>
      <c r="AJ1841" s="12"/>
      <c r="AK1841" s="1"/>
      <c r="AL1841" s="12"/>
      <c r="AM1841" s="12"/>
      <c r="AN1841" s="1"/>
      <c r="AO1841" s="6"/>
    </row>
    <row r="1842" spans="1:41" ht="15" x14ac:dyDescent="0.25">
      <c r="A1842" s="1"/>
      <c r="B1842" s="1"/>
      <c r="C1842" s="1"/>
      <c r="D1842" s="1"/>
      <c r="E1842" s="6"/>
      <c r="F1842" s="1"/>
      <c r="G1842" s="6"/>
      <c r="H1842" s="6"/>
      <c r="I1842" s="6"/>
      <c r="J1842" s="6"/>
      <c r="K1842" s="6"/>
      <c r="L1842" s="6"/>
      <c r="M1842" s="6"/>
      <c r="N1842" s="6"/>
      <c r="O1842" s="7"/>
      <c r="P1842" s="6"/>
      <c r="Q1842" s="6"/>
      <c r="R1842" s="7"/>
      <c r="S1842" s="6"/>
      <c r="T1842" s="6"/>
      <c r="U1842" s="7"/>
      <c r="V1842" s="6"/>
      <c r="W1842" s="6"/>
      <c r="X1842" s="6"/>
      <c r="Y1842" s="6"/>
      <c r="Z1842" s="6"/>
      <c r="AA1842" s="7"/>
      <c r="AB1842" s="6"/>
      <c r="AC1842" s="6"/>
      <c r="AD1842" s="6"/>
      <c r="AE1842" s="12"/>
      <c r="AF1842" s="12"/>
      <c r="AG1842" s="12"/>
      <c r="AH1842" s="12"/>
      <c r="AI1842" s="6"/>
      <c r="AJ1842" s="12"/>
      <c r="AK1842" s="1"/>
      <c r="AL1842" s="12"/>
      <c r="AM1842" s="12"/>
      <c r="AN1842" s="1"/>
      <c r="AO1842" s="6"/>
    </row>
    <row r="1843" spans="1:41" ht="15" x14ac:dyDescent="0.25">
      <c r="A1843" s="1"/>
      <c r="B1843" s="1"/>
      <c r="C1843" s="1"/>
      <c r="D1843" s="1"/>
      <c r="E1843" s="6"/>
      <c r="F1843" s="1"/>
      <c r="G1843" s="6"/>
      <c r="H1843" s="6"/>
      <c r="I1843" s="6"/>
      <c r="J1843" s="6"/>
      <c r="K1843" s="6"/>
      <c r="L1843" s="6"/>
      <c r="M1843" s="6"/>
      <c r="N1843" s="6"/>
      <c r="O1843" s="7"/>
      <c r="P1843" s="6"/>
      <c r="Q1843" s="6"/>
      <c r="R1843" s="7"/>
      <c r="S1843" s="6"/>
      <c r="T1843" s="6"/>
      <c r="U1843" s="7"/>
      <c r="V1843" s="6"/>
      <c r="W1843" s="6"/>
      <c r="X1843" s="6"/>
      <c r="Y1843" s="6"/>
      <c r="Z1843" s="6"/>
      <c r="AA1843" s="7"/>
      <c r="AB1843" s="6"/>
      <c r="AC1843" s="6"/>
      <c r="AD1843" s="6"/>
      <c r="AE1843" s="12"/>
      <c r="AF1843" s="6"/>
      <c r="AG1843" s="12"/>
      <c r="AH1843" s="6"/>
      <c r="AI1843" s="6"/>
      <c r="AJ1843" s="12"/>
      <c r="AK1843" s="24"/>
      <c r="AL1843" s="25"/>
      <c r="AM1843" s="12"/>
      <c r="AN1843" s="1"/>
      <c r="AO1843" s="6"/>
    </row>
    <row r="1844" spans="1:41" ht="15" x14ac:dyDescent="0.25">
      <c r="A1844" s="1"/>
      <c r="B1844" s="1"/>
      <c r="C1844" s="1"/>
      <c r="D1844" s="1"/>
      <c r="E1844" s="6"/>
      <c r="F1844" s="1"/>
      <c r="G1844" s="6"/>
      <c r="H1844" s="6"/>
      <c r="I1844" s="6"/>
      <c r="J1844" s="6"/>
      <c r="K1844" s="6"/>
      <c r="L1844" s="6"/>
      <c r="M1844" s="6"/>
      <c r="N1844" s="6"/>
      <c r="O1844" s="12"/>
      <c r="P1844" s="12"/>
      <c r="Q1844" s="6"/>
      <c r="R1844" s="7"/>
      <c r="S1844" s="6"/>
      <c r="T1844" s="6"/>
      <c r="U1844" s="7"/>
      <c r="V1844" s="6"/>
      <c r="W1844" s="6"/>
      <c r="X1844" s="12"/>
      <c r="Y1844" s="12"/>
      <c r="Z1844" s="6"/>
      <c r="AA1844" s="6"/>
      <c r="AB1844" s="12"/>
      <c r="AC1844" s="12"/>
      <c r="AD1844" s="12"/>
      <c r="AE1844" s="12"/>
      <c r="AF1844" s="6"/>
      <c r="AG1844" s="12"/>
      <c r="AH1844" s="6"/>
      <c r="AI1844" s="6"/>
      <c r="AJ1844" s="12"/>
      <c r="AK1844" s="24"/>
      <c r="AL1844" s="25"/>
      <c r="AM1844" s="12"/>
      <c r="AN1844" s="1"/>
      <c r="AO1844" s="6"/>
    </row>
    <row r="1845" spans="1:41" ht="15" x14ac:dyDescent="0.25">
      <c r="A1845" s="1"/>
      <c r="B1845" s="1"/>
      <c r="C1845" s="1"/>
      <c r="D1845" s="1"/>
      <c r="E1845" s="6"/>
      <c r="F1845" s="1"/>
      <c r="G1845" s="6"/>
      <c r="H1845" s="6"/>
      <c r="I1845" s="6"/>
      <c r="J1845" s="6"/>
      <c r="K1845" s="6"/>
      <c r="L1845" s="6"/>
      <c r="M1845" s="6"/>
      <c r="N1845" s="6"/>
      <c r="O1845" s="7"/>
      <c r="P1845" s="6"/>
      <c r="Q1845" s="6"/>
      <c r="R1845" s="7"/>
      <c r="S1845" s="6"/>
      <c r="T1845" s="6"/>
      <c r="U1845" s="7"/>
      <c r="V1845" s="6"/>
      <c r="W1845" s="6"/>
      <c r="X1845" s="12"/>
      <c r="Y1845" s="6"/>
      <c r="Z1845" s="6"/>
      <c r="AA1845" s="7"/>
      <c r="AB1845" s="6"/>
      <c r="AC1845" s="6"/>
      <c r="AD1845" s="6"/>
      <c r="AE1845" s="12"/>
      <c r="AF1845" s="12"/>
      <c r="AG1845" s="12"/>
      <c r="AH1845" s="12"/>
      <c r="AI1845" s="6"/>
      <c r="AJ1845" s="12"/>
      <c r="AK1845" s="1"/>
      <c r="AL1845" s="12"/>
      <c r="AM1845" s="12"/>
      <c r="AN1845" s="1"/>
      <c r="AO1845" s="6"/>
    </row>
    <row r="1846" spans="1:41" ht="15" x14ac:dyDescent="0.25">
      <c r="A1846" s="1"/>
      <c r="B1846" s="1"/>
      <c r="C1846" s="1"/>
      <c r="D1846" s="1"/>
      <c r="E1846" s="6"/>
      <c r="F1846" s="1"/>
      <c r="G1846" s="6"/>
      <c r="H1846" s="6"/>
      <c r="I1846" s="6"/>
      <c r="J1846" s="6"/>
      <c r="K1846" s="6"/>
      <c r="L1846" s="6"/>
      <c r="M1846" s="6"/>
      <c r="N1846" s="6"/>
      <c r="O1846" s="7"/>
      <c r="P1846" s="6"/>
      <c r="Q1846" s="6"/>
      <c r="R1846" s="7"/>
      <c r="S1846" s="6"/>
      <c r="T1846" s="6"/>
      <c r="U1846" s="7"/>
      <c r="V1846" s="6"/>
      <c r="W1846" s="6"/>
      <c r="X1846" s="6"/>
      <c r="Y1846" s="6"/>
      <c r="Z1846" s="6"/>
      <c r="AA1846" s="7"/>
      <c r="AB1846" s="6"/>
      <c r="AC1846" s="6"/>
      <c r="AD1846" s="6"/>
      <c r="AE1846" s="12"/>
      <c r="AF1846" s="12"/>
      <c r="AG1846" s="12"/>
      <c r="AH1846" s="12"/>
      <c r="AI1846" s="6"/>
      <c r="AJ1846" s="12"/>
      <c r="AK1846" s="1"/>
      <c r="AL1846" s="12"/>
      <c r="AM1846" s="12"/>
      <c r="AN1846" s="1"/>
      <c r="AO1846" s="6"/>
    </row>
    <row r="1847" spans="1:41" ht="15" x14ac:dyDescent="0.25">
      <c r="A1847" s="1"/>
      <c r="B1847" s="1"/>
      <c r="C1847" s="1"/>
      <c r="D1847" s="1"/>
      <c r="E1847" s="6"/>
      <c r="F1847" s="1"/>
      <c r="G1847" s="6"/>
      <c r="H1847" s="6"/>
      <c r="I1847" s="6"/>
      <c r="J1847" s="6"/>
      <c r="K1847" s="6"/>
      <c r="L1847" s="6"/>
      <c r="M1847" s="6"/>
      <c r="N1847" s="6"/>
      <c r="O1847" s="7"/>
      <c r="P1847" s="6"/>
      <c r="Q1847" s="6"/>
      <c r="R1847" s="7"/>
      <c r="S1847" s="6"/>
      <c r="T1847" s="6"/>
      <c r="U1847" s="7"/>
      <c r="V1847" s="6"/>
      <c r="W1847" s="6"/>
      <c r="X1847" s="12"/>
      <c r="Y1847" s="6"/>
      <c r="Z1847" s="6"/>
      <c r="AA1847" s="7"/>
      <c r="AB1847" s="6"/>
      <c r="AC1847" s="6"/>
      <c r="AD1847" s="6"/>
      <c r="AE1847" s="12"/>
      <c r="AF1847" s="12"/>
      <c r="AG1847" s="12"/>
      <c r="AH1847" s="12"/>
      <c r="AI1847" s="6"/>
      <c r="AJ1847" s="12"/>
      <c r="AK1847" s="1"/>
      <c r="AL1847" s="12"/>
      <c r="AM1847" s="12"/>
      <c r="AN1847" s="1"/>
      <c r="AO1847" s="6"/>
    </row>
    <row r="1848" spans="1:41" ht="15" x14ac:dyDescent="0.25">
      <c r="A1848" s="1"/>
      <c r="B1848" s="1"/>
      <c r="C1848" s="1"/>
      <c r="D1848" s="1"/>
      <c r="E1848" s="6"/>
      <c r="F1848" s="1"/>
      <c r="G1848" s="6"/>
      <c r="H1848" s="6"/>
      <c r="I1848" s="6"/>
      <c r="J1848" s="6"/>
      <c r="K1848" s="12"/>
      <c r="L1848" s="6"/>
      <c r="M1848" s="6"/>
      <c r="N1848" s="6"/>
      <c r="O1848" s="7"/>
      <c r="P1848" s="6"/>
      <c r="Q1848" s="6"/>
      <c r="R1848" s="7"/>
      <c r="S1848" s="6"/>
      <c r="T1848" s="6"/>
      <c r="U1848" s="7"/>
      <c r="V1848" s="6"/>
      <c r="W1848" s="6"/>
      <c r="X1848" s="6"/>
      <c r="Y1848" s="6"/>
      <c r="Z1848" s="6"/>
      <c r="AA1848" s="7"/>
      <c r="AB1848" s="6"/>
      <c r="AC1848" s="6"/>
      <c r="AD1848" s="6"/>
      <c r="AE1848" s="12"/>
      <c r="AF1848" s="6"/>
      <c r="AG1848" s="12"/>
      <c r="AH1848" s="6"/>
      <c r="AI1848" s="6"/>
      <c r="AJ1848" s="12"/>
      <c r="AK1848" s="24"/>
      <c r="AL1848" s="25"/>
      <c r="AM1848" s="12"/>
      <c r="AN1848" s="1"/>
      <c r="AO1848" s="12"/>
    </row>
    <row r="1849" spans="1:41" ht="15" x14ac:dyDescent="0.25">
      <c r="A1849" s="1"/>
      <c r="B1849" s="1"/>
      <c r="C1849" s="1"/>
      <c r="D1849" s="1"/>
      <c r="E1849" s="6"/>
      <c r="F1849" s="1"/>
      <c r="G1849" s="6"/>
      <c r="H1849" s="6"/>
      <c r="I1849" s="6"/>
      <c r="J1849" s="6"/>
      <c r="K1849" s="6"/>
      <c r="L1849" s="6"/>
      <c r="M1849" s="6"/>
      <c r="N1849" s="6"/>
      <c r="O1849" s="7"/>
      <c r="P1849" s="6"/>
      <c r="Q1849" s="6"/>
      <c r="R1849" s="7"/>
      <c r="S1849" s="6"/>
      <c r="T1849" s="6"/>
      <c r="U1849" s="7"/>
      <c r="V1849" s="6"/>
      <c r="W1849" s="6"/>
      <c r="X1849" s="6"/>
      <c r="Y1849" s="6"/>
      <c r="Z1849" s="6"/>
      <c r="AA1849" s="7"/>
      <c r="AB1849" s="6"/>
      <c r="AC1849" s="6"/>
      <c r="AD1849" s="6"/>
      <c r="AE1849" s="12"/>
      <c r="AF1849" s="6"/>
      <c r="AG1849" s="12"/>
      <c r="AH1849" s="6"/>
      <c r="AI1849" s="6"/>
      <c r="AJ1849" s="12"/>
      <c r="AK1849" s="24"/>
      <c r="AL1849" s="25"/>
      <c r="AM1849" s="12"/>
      <c r="AN1849" s="1"/>
      <c r="AO1849" s="6"/>
    </row>
    <row r="1850" spans="1:41" ht="15" x14ac:dyDescent="0.25">
      <c r="A1850" s="1"/>
      <c r="B1850" s="1"/>
      <c r="C1850" s="1"/>
      <c r="D1850" s="1"/>
      <c r="E1850" s="6"/>
      <c r="F1850" s="1"/>
      <c r="G1850" s="6"/>
      <c r="H1850" s="6"/>
      <c r="I1850" s="6"/>
      <c r="J1850" s="6"/>
      <c r="K1850" s="12"/>
      <c r="L1850" s="12"/>
      <c r="M1850" s="6"/>
      <c r="N1850" s="6"/>
      <c r="O1850" s="7"/>
      <c r="P1850" s="6"/>
      <c r="Q1850" s="6"/>
      <c r="R1850" s="7"/>
      <c r="S1850" s="6"/>
      <c r="T1850" s="6"/>
      <c r="U1850" s="7"/>
      <c r="V1850" s="6"/>
      <c r="W1850" s="6"/>
      <c r="X1850" s="6"/>
      <c r="Y1850" s="6"/>
      <c r="Z1850" s="6"/>
      <c r="AA1850" s="7"/>
      <c r="AB1850" s="6"/>
      <c r="AC1850" s="6"/>
      <c r="AD1850" s="6"/>
      <c r="AE1850" s="12"/>
      <c r="AF1850" s="12"/>
      <c r="AG1850" s="12"/>
      <c r="AH1850" s="12"/>
      <c r="AI1850" s="6"/>
      <c r="AJ1850" s="12"/>
      <c r="AK1850" s="24"/>
      <c r="AL1850" s="25"/>
      <c r="AM1850" s="12"/>
      <c r="AN1850" s="1"/>
      <c r="AO1850" s="12"/>
    </row>
    <row r="1851" spans="1:41" ht="15" x14ac:dyDescent="0.25">
      <c r="A1851" s="1"/>
      <c r="B1851" s="1"/>
      <c r="C1851" s="1"/>
      <c r="D1851" s="1"/>
      <c r="E1851" s="6"/>
      <c r="F1851" s="1"/>
      <c r="G1851" s="6"/>
      <c r="H1851" s="6"/>
      <c r="I1851" s="6"/>
      <c r="J1851" s="6"/>
      <c r="K1851" s="6"/>
      <c r="L1851" s="6"/>
      <c r="M1851" s="6"/>
      <c r="N1851" s="6"/>
      <c r="O1851" s="7"/>
      <c r="P1851" s="6"/>
      <c r="Q1851" s="6"/>
      <c r="R1851" s="7"/>
      <c r="S1851" s="6"/>
      <c r="T1851" s="6"/>
      <c r="U1851" s="7"/>
      <c r="V1851" s="6"/>
      <c r="W1851" s="6"/>
      <c r="X1851" s="6"/>
      <c r="Y1851" s="6"/>
      <c r="Z1851" s="6"/>
      <c r="AA1851" s="7"/>
      <c r="AB1851" s="6"/>
      <c r="AC1851" s="6"/>
      <c r="AD1851" s="6"/>
      <c r="AE1851" s="12"/>
      <c r="AF1851" s="12"/>
      <c r="AG1851" s="12"/>
      <c r="AH1851" s="12"/>
      <c r="AI1851" s="6"/>
      <c r="AJ1851" s="12"/>
      <c r="AK1851" s="1"/>
      <c r="AL1851" s="12"/>
      <c r="AM1851" s="12"/>
      <c r="AN1851" s="1"/>
      <c r="AO1851" s="6"/>
    </row>
    <row r="1852" spans="1:41" ht="15" x14ac:dyDescent="0.25">
      <c r="A1852" s="1"/>
      <c r="B1852" s="1"/>
      <c r="C1852" s="1"/>
      <c r="D1852" s="1"/>
      <c r="E1852" s="6"/>
      <c r="F1852" s="1"/>
      <c r="G1852" s="6"/>
      <c r="H1852" s="6"/>
      <c r="I1852" s="6"/>
      <c r="J1852" s="6"/>
      <c r="K1852" s="6"/>
      <c r="L1852" s="6"/>
      <c r="M1852" s="6"/>
      <c r="N1852" s="6"/>
      <c r="O1852" s="7"/>
      <c r="P1852" s="12"/>
      <c r="Q1852" s="6"/>
      <c r="R1852" s="7"/>
      <c r="S1852" s="6"/>
      <c r="T1852" s="6"/>
      <c r="U1852" s="7"/>
      <c r="V1852" s="6"/>
      <c r="W1852" s="6"/>
      <c r="X1852" s="6"/>
      <c r="Y1852" s="6"/>
      <c r="Z1852" s="6"/>
      <c r="AA1852" s="7"/>
      <c r="AB1852" s="6"/>
      <c r="AC1852" s="6"/>
      <c r="AD1852" s="6"/>
      <c r="AE1852" s="12"/>
      <c r="AF1852" s="12"/>
      <c r="AG1852" s="12"/>
      <c r="AH1852" s="12"/>
      <c r="AI1852" s="6"/>
      <c r="AJ1852" s="12"/>
      <c r="AK1852" s="1"/>
      <c r="AL1852" s="12"/>
      <c r="AM1852" s="12"/>
      <c r="AN1852" s="1"/>
      <c r="AO1852" s="6"/>
    </row>
    <row r="1853" spans="1:41" ht="15" x14ac:dyDescent="0.25">
      <c r="A1853" s="1"/>
      <c r="B1853" s="1"/>
      <c r="C1853" s="1"/>
      <c r="D1853" s="1"/>
      <c r="E1853" s="6"/>
      <c r="F1853" s="1"/>
      <c r="G1853" s="6"/>
      <c r="H1853" s="6"/>
      <c r="I1853" s="6"/>
      <c r="J1853" s="6"/>
      <c r="K1853" s="6"/>
      <c r="L1853" s="6"/>
      <c r="M1853" s="6"/>
      <c r="N1853" s="6"/>
      <c r="O1853" s="7"/>
      <c r="P1853" s="6"/>
      <c r="Q1853" s="6"/>
      <c r="R1853" s="7"/>
      <c r="S1853" s="6"/>
      <c r="T1853" s="6"/>
      <c r="U1853" s="7"/>
      <c r="V1853" s="6"/>
      <c r="W1853" s="6"/>
      <c r="X1853" s="6"/>
      <c r="Y1853" s="6"/>
      <c r="Z1853" s="6"/>
      <c r="AA1853" s="7"/>
      <c r="AB1853" s="6"/>
      <c r="AC1853" s="6"/>
      <c r="AD1853" s="6"/>
      <c r="AE1853" s="12"/>
      <c r="AF1853" s="6"/>
      <c r="AG1853" s="12"/>
      <c r="AH1853" s="6"/>
      <c r="AI1853" s="6"/>
      <c r="AJ1853" s="12"/>
      <c r="AK1853" s="24"/>
      <c r="AL1853" s="25"/>
      <c r="AM1853" s="12"/>
      <c r="AN1853" s="1"/>
      <c r="AO1853" s="6"/>
    </row>
    <row r="1854" spans="1:41" ht="15" x14ac:dyDescent="0.25">
      <c r="A1854" s="1"/>
      <c r="B1854" s="1"/>
      <c r="C1854" s="1"/>
      <c r="D1854" s="1"/>
      <c r="E1854" s="6"/>
      <c r="F1854" s="1"/>
      <c r="G1854" s="6"/>
      <c r="H1854" s="6"/>
      <c r="I1854" s="6"/>
      <c r="J1854" s="6"/>
      <c r="K1854" s="6"/>
      <c r="L1854" s="6"/>
      <c r="M1854" s="6"/>
      <c r="N1854" s="6"/>
      <c r="O1854" s="7"/>
      <c r="P1854" s="6"/>
      <c r="Q1854" s="6"/>
      <c r="R1854" s="15"/>
      <c r="S1854" s="6"/>
      <c r="T1854" s="6"/>
      <c r="U1854" s="15"/>
      <c r="V1854" s="6"/>
      <c r="W1854" s="6"/>
      <c r="X1854" s="6"/>
      <c r="Y1854" s="6"/>
      <c r="Z1854" s="6"/>
      <c r="AA1854" s="7"/>
      <c r="AB1854" s="6"/>
      <c r="AC1854" s="6"/>
      <c r="AD1854" s="6"/>
      <c r="AE1854" s="12"/>
      <c r="AF1854" s="12"/>
      <c r="AG1854" s="12"/>
      <c r="AH1854" s="12"/>
      <c r="AI1854" s="6"/>
      <c r="AJ1854" s="12"/>
      <c r="AK1854" s="1"/>
      <c r="AL1854" s="12"/>
      <c r="AM1854" s="12"/>
      <c r="AN1854" s="1"/>
      <c r="AO1854" s="6"/>
    </row>
    <row r="1855" spans="1:41" ht="15" x14ac:dyDescent="0.25">
      <c r="A1855" s="1"/>
      <c r="B1855" s="1"/>
      <c r="C1855" s="1"/>
      <c r="D1855" s="1"/>
      <c r="E1855" s="6"/>
      <c r="F1855" s="1"/>
      <c r="G1855" s="6"/>
      <c r="H1855" s="6"/>
      <c r="I1855" s="6"/>
      <c r="J1855" s="6"/>
      <c r="K1855" s="6"/>
      <c r="L1855" s="6"/>
      <c r="M1855" s="6"/>
      <c r="N1855" s="6"/>
      <c r="O1855" s="7"/>
      <c r="P1855" s="6"/>
      <c r="Q1855" s="6"/>
      <c r="R1855" s="7"/>
      <c r="S1855" s="6"/>
      <c r="T1855" s="12"/>
      <c r="U1855" s="6"/>
      <c r="V1855" s="6"/>
      <c r="W1855" s="6"/>
      <c r="X1855" s="7"/>
      <c r="Y1855" s="6"/>
      <c r="Z1855" s="6"/>
      <c r="AA1855" s="7"/>
      <c r="AB1855" s="6"/>
      <c r="AC1855" s="6"/>
      <c r="AD1855" s="6"/>
      <c r="AE1855" s="12"/>
      <c r="AF1855" s="6"/>
      <c r="AG1855" s="12"/>
      <c r="AH1855" s="6"/>
      <c r="AI1855" s="6"/>
      <c r="AJ1855" s="12"/>
      <c r="AK1855" s="6"/>
      <c r="AL1855" s="12"/>
      <c r="AM1855" s="12"/>
      <c r="AN1855" s="1"/>
      <c r="AO1855" s="6"/>
    </row>
    <row r="1856" spans="1:41" ht="15" x14ac:dyDescent="0.25">
      <c r="A1856" s="1"/>
      <c r="B1856" s="1"/>
      <c r="C1856" s="1"/>
      <c r="D1856" s="1"/>
      <c r="E1856" s="6"/>
      <c r="F1856" s="1"/>
      <c r="G1856" s="6"/>
      <c r="H1856" s="6"/>
      <c r="I1856" s="6"/>
      <c r="J1856" s="6"/>
      <c r="K1856" s="6"/>
      <c r="L1856" s="6"/>
      <c r="M1856" s="6"/>
      <c r="N1856" s="6"/>
      <c r="O1856" s="7"/>
      <c r="P1856" s="12"/>
      <c r="Q1856" s="6"/>
      <c r="R1856" s="7"/>
      <c r="S1856" s="6"/>
      <c r="T1856" s="6"/>
      <c r="U1856" s="7"/>
      <c r="V1856" s="6"/>
      <c r="W1856" s="6"/>
      <c r="X1856" s="6"/>
      <c r="Y1856" s="6"/>
      <c r="Z1856" s="6"/>
      <c r="AA1856" s="7"/>
      <c r="AB1856" s="6"/>
      <c r="AC1856" s="6"/>
      <c r="AD1856" s="6"/>
      <c r="AE1856" s="12"/>
      <c r="AF1856" s="12"/>
      <c r="AG1856" s="12"/>
      <c r="AH1856" s="12"/>
      <c r="AI1856" s="6"/>
      <c r="AJ1856" s="12"/>
      <c r="AK1856" s="1"/>
      <c r="AL1856" s="12"/>
      <c r="AM1856" s="12"/>
      <c r="AN1856" s="1"/>
      <c r="AO1856" s="6"/>
    </row>
    <row r="1857" spans="1:41" ht="15" x14ac:dyDescent="0.25">
      <c r="A1857" s="1"/>
      <c r="B1857" s="1"/>
      <c r="C1857" s="1"/>
      <c r="D1857" s="1"/>
      <c r="E1857" s="6"/>
      <c r="F1857" s="1"/>
      <c r="G1857" s="6"/>
      <c r="H1857" s="6"/>
      <c r="I1857" s="6"/>
      <c r="J1857" s="6"/>
      <c r="K1857" s="6"/>
      <c r="L1857" s="6"/>
      <c r="M1857" s="6"/>
      <c r="N1857" s="6"/>
      <c r="O1857" s="7"/>
      <c r="P1857" s="6"/>
      <c r="Q1857" s="6"/>
      <c r="R1857" s="7"/>
      <c r="S1857" s="6"/>
      <c r="T1857" s="6"/>
      <c r="U1857" s="7"/>
      <c r="V1857" s="6"/>
      <c r="W1857" s="6"/>
      <c r="X1857" s="12"/>
      <c r="Y1857" s="6"/>
      <c r="Z1857" s="6"/>
      <c r="AA1857" s="7"/>
      <c r="AB1857" s="6"/>
      <c r="AC1857" s="6"/>
      <c r="AD1857" s="6"/>
      <c r="AE1857" s="12"/>
      <c r="AF1857" s="12"/>
      <c r="AG1857" s="12"/>
      <c r="AH1857" s="12"/>
      <c r="AI1857" s="6"/>
      <c r="AJ1857" s="12"/>
      <c r="AK1857" s="1"/>
      <c r="AL1857" s="12"/>
      <c r="AM1857" s="12"/>
      <c r="AN1857" s="1"/>
      <c r="AO1857" s="6"/>
    </row>
    <row r="1858" spans="1:41" ht="15" x14ac:dyDescent="0.25">
      <c r="A1858" s="1"/>
      <c r="B1858" s="1"/>
      <c r="C1858" s="1"/>
      <c r="D1858" s="1"/>
      <c r="E1858" s="6"/>
      <c r="F1858" s="1"/>
      <c r="G1858" s="6"/>
      <c r="H1858" s="6"/>
      <c r="I1858" s="6"/>
      <c r="J1858" s="6"/>
      <c r="K1858" s="6"/>
      <c r="L1858" s="6"/>
      <c r="M1858" s="6"/>
      <c r="N1858" s="6"/>
      <c r="O1858" s="7"/>
      <c r="P1858" s="6"/>
      <c r="Q1858" s="6"/>
      <c r="R1858" s="7"/>
      <c r="S1858" s="6"/>
      <c r="T1858" s="6"/>
      <c r="U1858" s="7"/>
      <c r="V1858" s="6"/>
      <c r="W1858" s="6"/>
      <c r="X1858" s="6"/>
      <c r="Y1858" s="6"/>
      <c r="Z1858" s="6"/>
      <c r="AA1858" s="7"/>
      <c r="AB1858" s="6"/>
      <c r="AC1858" s="6"/>
      <c r="AD1858" s="6"/>
      <c r="AE1858" s="12"/>
      <c r="AF1858" s="12"/>
      <c r="AG1858" s="12"/>
      <c r="AH1858" s="12"/>
      <c r="AI1858" s="6"/>
      <c r="AJ1858" s="12"/>
      <c r="AK1858" s="1"/>
      <c r="AL1858" s="12"/>
      <c r="AM1858" s="12"/>
      <c r="AN1858" s="1"/>
      <c r="AO1858" s="6"/>
    </row>
    <row r="1859" spans="1:41" ht="15" x14ac:dyDescent="0.25">
      <c r="A1859" s="1"/>
      <c r="B1859" s="1"/>
      <c r="C1859" s="1"/>
      <c r="D1859" s="1"/>
      <c r="E1859" s="6"/>
      <c r="F1859" s="1"/>
      <c r="G1859" s="6"/>
      <c r="H1859" s="6"/>
      <c r="I1859" s="6"/>
      <c r="J1859" s="6"/>
      <c r="K1859" s="6"/>
      <c r="L1859" s="6"/>
      <c r="M1859" s="6"/>
      <c r="N1859" s="6"/>
      <c r="O1859" s="7"/>
      <c r="P1859" s="6"/>
      <c r="Q1859" s="6"/>
      <c r="R1859" s="7"/>
      <c r="S1859" s="6"/>
      <c r="T1859" s="6"/>
      <c r="U1859" s="7"/>
      <c r="V1859" s="6"/>
      <c r="W1859" s="6"/>
      <c r="X1859" s="6"/>
      <c r="Y1859" s="6"/>
      <c r="Z1859" s="6"/>
      <c r="AA1859" s="7"/>
      <c r="AB1859" s="6"/>
      <c r="AC1859" s="6"/>
      <c r="AD1859" s="6"/>
      <c r="AE1859" s="12"/>
      <c r="AF1859" s="6"/>
      <c r="AG1859" s="12"/>
      <c r="AH1859" s="6"/>
      <c r="AI1859" s="6"/>
      <c r="AJ1859" s="12"/>
      <c r="AK1859" s="1"/>
      <c r="AL1859" s="12"/>
      <c r="AM1859" s="12"/>
      <c r="AN1859" s="1"/>
      <c r="AO1859" s="6"/>
    </row>
    <row r="1860" spans="1:41" ht="15" x14ac:dyDescent="0.25">
      <c r="A1860" s="1"/>
      <c r="B1860" s="1"/>
      <c r="C1860" s="1"/>
      <c r="D1860" s="1"/>
      <c r="E1860" s="6"/>
      <c r="F1860" s="1"/>
      <c r="G1860" s="6"/>
      <c r="H1860" s="6"/>
      <c r="I1860" s="6"/>
      <c r="J1860" s="6"/>
      <c r="K1860" s="12"/>
      <c r="L1860" s="12"/>
      <c r="M1860" s="6"/>
      <c r="N1860" s="6"/>
      <c r="O1860" s="7"/>
      <c r="P1860" s="12"/>
      <c r="Q1860" s="6"/>
      <c r="R1860" s="7"/>
      <c r="S1860" s="6"/>
      <c r="T1860" s="6"/>
      <c r="U1860" s="7"/>
      <c r="V1860" s="6"/>
      <c r="W1860" s="6"/>
      <c r="X1860" s="6"/>
      <c r="Y1860" s="6"/>
      <c r="Z1860" s="6"/>
      <c r="AA1860" s="7"/>
      <c r="AB1860" s="6"/>
      <c r="AC1860" s="6"/>
      <c r="AD1860" s="6"/>
      <c r="AE1860" s="12"/>
      <c r="AF1860" s="12"/>
      <c r="AG1860" s="12"/>
      <c r="AH1860" s="12"/>
      <c r="AI1860" s="6"/>
      <c r="AJ1860" s="12"/>
      <c r="AK1860" s="1"/>
      <c r="AL1860" s="12"/>
      <c r="AM1860" s="12"/>
      <c r="AN1860" s="1"/>
      <c r="AO1860" s="6"/>
    </row>
    <row r="1861" spans="1:41" ht="15" x14ac:dyDescent="0.25">
      <c r="A1861" s="1"/>
      <c r="B1861" s="1"/>
      <c r="C1861" s="1"/>
      <c r="D1861" s="1"/>
      <c r="E1861" s="6"/>
      <c r="F1861" s="1"/>
      <c r="G1861" s="6"/>
      <c r="H1861" s="6"/>
      <c r="I1861" s="6"/>
      <c r="J1861" s="6"/>
      <c r="K1861" s="6"/>
      <c r="L1861" s="6"/>
      <c r="M1861" s="6"/>
      <c r="N1861" s="6"/>
      <c r="O1861" s="7"/>
      <c r="P1861" s="6"/>
      <c r="Q1861" s="6"/>
      <c r="R1861" s="7"/>
      <c r="S1861" s="6"/>
      <c r="T1861" s="6"/>
      <c r="U1861" s="7"/>
      <c r="V1861" s="6"/>
      <c r="W1861" s="6"/>
      <c r="X1861" s="12"/>
      <c r="Y1861" s="6"/>
      <c r="Z1861" s="6"/>
      <c r="AA1861" s="7"/>
      <c r="AB1861" s="6"/>
      <c r="AC1861" s="6"/>
      <c r="AD1861" s="6"/>
      <c r="AE1861" s="12"/>
      <c r="AF1861" s="12"/>
      <c r="AG1861" s="12"/>
      <c r="AH1861" s="12"/>
      <c r="AI1861" s="6"/>
      <c r="AJ1861" s="12"/>
      <c r="AK1861" s="1"/>
      <c r="AL1861" s="12"/>
      <c r="AM1861" s="12"/>
      <c r="AN1861" s="1"/>
      <c r="AO1861" s="6"/>
    </row>
    <row r="1862" spans="1:41" ht="15" x14ac:dyDescent="0.25">
      <c r="A1862" s="1"/>
      <c r="B1862" s="1"/>
      <c r="C1862" s="1"/>
      <c r="D1862" s="1"/>
      <c r="E1862" s="6"/>
      <c r="F1862" s="1"/>
      <c r="G1862" s="6"/>
      <c r="H1862" s="6"/>
      <c r="I1862" s="6"/>
      <c r="J1862" s="6"/>
      <c r="K1862" s="6"/>
      <c r="L1862" s="6"/>
      <c r="M1862" s="6"/>
      <c r="N1862" s="6"/>
      <c r="O1862" s="7"/>
      <c r="P1862" s="6"/>
      <c r="Q1862" s="6"/>
      <c r="R1862" s="12"/>
      <c r="S1862" s="12"/>
      <c r="T1862" s="12"/>
      <c r="U1862" s="7"/>
      <c r="V1862" s="6"/>
      <c r="W1862" s="6"/>
      <c r="X1862" s="12"/>
      <c r="Y1862" s="6"/>
      <c r="Z1862" s="6"/>
      <c r="AA1862" s="7"/>
      <c r="AB1862" s="6"/>
      <c r="AC1862" s="6"/>
      <c r="AD1862" s="6"/>
      <c r="AE1862" s="12"/>
      <c r="AF1862" s="12"/>
      <c r="AG1862" s="12"/>
      <c r="AH1862" s="12"/>
      <c r="AI1862" s="6"/>
      <c r="AJ1862" s="12"/>
      <c r="AK1862" s="1"/>
      <c r="AL1862" s="12"/>
      <c r="AM1862" s="12"/>
      <c r="AN1862" s="1"/>
      <c r="AO1862" s="6"/>
    </row>
    <row r="1863" spans="1:41" ht="15" x14ac:dyDescent="0.25">
      <c r="A1863" s="1"/>
      <c r="B1863" s="1"/>
      <c r="C1863" s="1"/>
      <c r="D1863" s="1"/>
      <c r="E1863" s="6"/>
      <c r="F1863" s="1"/>
      <c r="G1863" s="6"/>
      <c r="H1863" s="6"/>
      <c r="I1863" s="6"/>
      <c r="J1863" s="6"/>
      <c r="K1863" s="6"/>
      <c r="L1863" s="6"/>
      <c r="M1863" s="6"/>
      <c r="N1863" s="6"/>
      <c r="O1863" s="7"/>
      <c r="P1863" s="6"/>
      <c r="Q1863" s="6"/>
      <c r="R1863" s="7"/>
      <c r="S1863" s="6"/>
      <c r="T1863" s="6"/>
      <c r="U1863" s="7"/>
      <c r="V1863" s="6"/>
      <c r="W1863" s="6"/>
      <c r="X1863" s="6"/>
      <c r="Y1863" s="6"/>
      <c r="Z1863" s="6"/>
      <c r="AA1863" s="7"/>
      <c r="AB1863" s="6"/>
      <c r="AC1863" s="6"/>
      <c r="AD1863" s="6"/>
      <c r="AE1863" s="12"/>
      <c r="AF1863" s="6"/>
      <c r="AG1863" s="12"/>
      <c r="AH1863" s="6"/>
      <c r="AI1863" s="6"/>
      <c r="AJ1863" s="12"/>
      <c r="AK1863" s="24"/>
      <c r="AL1863" s="25"/>
      <c r="AM1863" s="12"/>
      <c r="AN1863" s="1"/>
      <c r="AO1863" s="6"/>
    </row>
    <row r="1864" spans="1:41" ht="15" x14ac:dyDescent="0.25">
      <c r="A1864" s="1"/>
      <c r="B1864" s="1"/>
      <c r="C1864" s="1"/>
      <c r="D1864" s="1"/>
      <c r="E1864" s="6"/>
      <c r="F1864" s="1"/>
      <c r="G1864" s="6"/>
      <c r="H1864" s="6"/>
      <c r="I1864" s="6"/>
      <c r="J1864" s="6"/>
      <c r="K1864" s="6"/>
      <c r="L1864" s="6"/>
      <c r="M1864" s="6"/>
      <c r="N1864" s="6"/>
      <c r="O1864" s="7"/>
      <c r="P1864" s="6"/>
      <c r="Q1864" s="6"/>
      <c r="R1864" s="7"/>
      <c r="S1864" s="6"/>
      <c r="T1864" s="6"/>
      <c r="U1864" s="7"/>
      <c r="V1864" s="6"/>
      <c r="W1864" s="6"/>
      <c r="X1864" s="12"/>
      <c r="Y1864" s="6"/>
      <c r="Z1864" s="6"/>
      <c r="AA1864" s="7"/>
      <c r="AB1864" s="6"/>
      <c r="AC1864" s="6"/>
      <c r="AD1864" s="6"/>
      <c r="AE1864" s="12"/>
      <c r="AF1864" s="6"/>
      <c r="AG1864" s="12"/>
      <c r="AH1864" s="6"/>
      <c r="AI1864" s="6"/>
      <c r="AJ1864" s="12"/>
      <c r="AK1864" s="1"/>
      <c r="AL1864" s="12"/>
      <c r="AM1864" s="12"/>
      <c r="AN1864" s="1"/>
      <c r="AO1864" s="6"/>
    </row>
    <row r="1865" spans="1:41" ht="15" x14ac:dyDescent="0.25">
      <c r="A1865" s="1"/>
      <c r="B1865" s="1"/>
      <c r="C1865" s="1"/>
      <c r="D1865" s="1"/>
      <c r="E1865" s="6"/>
      <c r="F1865" s="1"/>
      <c r="G1865" s="6"/>
      <c r="H1865" s="6"/>
      <c r="I1865" s="6"/>
      <c r="J1865" s="6"/>
      <c r="K1865" s="6"/>
      <c r="L1865" s="6"/>
      <c r="M1865" s="6"/>
      <c r="N1865" s="6"/>
      <c r="O1865" s="7"/>
      <c r="P1865" s="6"/>
      <c r="Q1865" s="6"/>
      <c r="R1865" s="7"/>
      <c r="S1865" s="6"/>
      <c r="T1865" s="6"/>
      <c r="U1865" s="7"/>
      <c r="V1865" s="6"/>
      <c r="W1865" s="6"/>
      <c r="X1865" s="6"/>
      <c r="Y1865" s="6"/>
      <c r="Z1865" s="6"/>
      <c r="AA1865" s="7"/>
      <c r="AB1865" s="6"/>
      <c r="AC1865" s="6"/>
      <c r="AD1865" s="6"/>
      <c r="AE1865" s="12"/>
      <c r="AF1865" s="6"/>
      <c r="AG1865" s="12"/>
      <c r="AH1865" s="6"/>
      <c r="AI1865" s="6"/>
      <c r="AJ1865" s="12"/>
      <c r="AK1865" s="24"/>
      <c r="AL1865" s="25"/>
      <c r="AM1865" s="12"/>
      <c r="AN1865" s="1"/>
      <c r="AO1865" s="6"/>
    </row>
    <row r="1866" spans="1:41" ht="15" x14ac:dyDescent="0.25">
      <c r="A1866" s="1"/>
      <c r="B1866" s="1"/>
      <c r="C1866" s="1"/>
      <c r="D1866" s="1"/>
      <c r="E1866" s="6"/>
      <c r="F1866" s="1"/>
      <c r="G1866" s="6"/>
      <c r="H1866" s="6"/>
      <c r="I1866" s="6"/>
      <c r="J1866" s="6"/>
      <c r="K1866" s="12"/>
      <c r="L1866" s="12"/>
      <c r="M1866" s="6"/>
      <c r="N1866" s="6"/>
      <c r="O1866" s="7"/>
      <c r="P1866" s="6"/>
      <c r="Q1866" s="6"/>
      <c r="R1866" s="7"/>
      <c r="S1866" s="6"/>
      <c r="T1866" s="6"/>
      <c r="U1866" s="7"/>
      <c r="V1866" s="6"/>
      <c r="W1866" s="6"/>
      <c r="X1866" s="6"/>
      <c r="Y1866" s="6"/>
      <c r="Z1866" s="6"/>
      <c r="AA1866" s="7"/>
      <c r="AB1866" s="6"/>
      <c r="AC1866" s="6"/>
      <c r="AD1866" s="6"/>
      <c r="AE1866" s="12"/>
      <c r="AF1866" s="12"/>
      <c r="AG1866" s="12"/>
      <c r="AH1866" s="12"/>
      <c r="AI1866" s="6"/>
      <c r="AJ1866" s="12"/>
      <c r="AK1866" s="1"/>
      <c r="AL1866" s="12"/>
      <c r="AM1866" s="12"/>
      <c r="AN1866" s="1"/>
      <c r="AO1866" s="6"/>
    </row>
    <row r="1867" spans="1:41" ht="15" x14ac:dyDescent="0.25">
      <c r="A1867" s="1"/>
      <c r="B1867" s="1"/>
      <c r="C1867" s="1"/>
      <c r="D1867" s="1"/>
      <c r="E1867" s="6"/>
      <c r="F1867" s="1"/>
      <c r="G1867" s="6"/>
      <c r="H1867" s="6"/>
      <c r="I1867" s="6"/>
      <c r="J1867" s="6"/>
      <c r="K1867" s="12"/>
      <c r="L1867" s="12"/>
      <c r="M1867" s="6"/>
      <c r="N1867" s="6"/>
      <c r="O1867" s="15"/>
      <c r="P1867" s="6"/>
      <c r="Q1867" s="7"/>
      <c r="R1867" s="6"/>
      <c r="S1867" s="6"/>
      <c r="T1867" s="6"/>
      <c r="U1867" s="6"/>
      <c r="V1867" s="7"/>
      <c r="W1867" s="7"/>
      <c r="X1867" s="6"/>
      <c r="Y1867" s="6"/>
      <c r="Z1867" s="6"/>
      <c r="AA1867" s="1"/>
      <c r="AB1867" s="12"/>
      <c r="AC1867" s="12"/>
      <c r="AD1867" s="12"/>
      <c r="AE1867" s="12"/>
      <c r="AF1867" s="12"/>
      <c r="AG1867" s="12"/>
      <c r="AH1867" s="12"/>
      <c r="AI1867" s="6"/>
      <c r="AJ1867" s="12"/>
      <c r="AK1867" s="12"/>
      <c r="AL1867" s="12"/>
      <c r="AM1867" s="12"/>
      <c r="AN1867" s="1"/>
      <c r="AO1867" s="12"/>
    </row>
    <row r="1868" spans="1:41" ht="15" x14ac:dyDescent="0.25">
      <c r="A1868" s="1"/>
      <c r="B1868" s="1"/>
      <c r="C1868" s="1"/>
      <c r="D1868" s="1"/>
      <c r="E1868" s="6"/>
      <c r="F1868" s="1"/>
      <c r="G1868" s="6"/>
      <c r="H1868" s="6"/>
      <c r="I1868" s="6"/>
      <c r="J1868" s="6"/>
      <c r="K1868" s="6"/>
      <c r="L1868" s="6"/>
      <c r="M1868" s="6"/>
      <c r="N1868" s="6"/>
      <c r="O1868" s="7"/>
      <c r="P1868" s="6"/>
      <c r="Q1868" s="6"/>
      <c r="R1868" s="7"/>
      <c r="S1868" s="6"/>
      <c r="T1868" s="6"/>
      <c r="U1868" s="7"/>
      <c r="V1868" s="6"/>
      <c r="W1868" s="6"/>
      <c r="X1868" s="6"/>
      <c r="Y1868" s="6"/>
      <c r="Z1868" s="6"/>
      <c r="AA1868" s="7"/>
      <c r="AB1868" s="6"/>
      <c r="AC1868" s="6"/>
      <c r="AD1868" s="6"/>
      <c r="AE1868" s="12"/>
      <c r="AF1868" s="6"/>
      <c r="AG1868" s="12"/>
      <c r="AH1868" s="6"/>
      <c r="AI1868" s="6"/>
      <c r="AJ1868" s="12"/>
      <c r="AK1868" s="24"/>
      <c r="AL1868" s="25"/>
      <c r="AM1868" s="12"/>
      <c r="AN1868" s="1"/>
      <c r="AO1868" s="6"/>
    </row>
    <row r="1869" spans="1:41" ht="15" x14ac:dyDescent="0.25">
      <c r="A1869" s="1"/>
      <c r="B1869" s="1"/>
      <c r="C1869" s="1"/>
      <c r="D1869" s="1"/>
      <c r="E1869" s="6"/>
      <c r="F1869" s="1"/>
      <c r="G1869" s="6"/>
      <c r="H1869" s="6"/>
      <c r="I1869" s="6"/>
      <c r="J1869" s="6"/>
      <c r="K1869" s="6"/>
      <c r="L1869" s="6"/>
      <c r="M1869" s="6"/>
      <c r="N1869" s="6"/>
      <c r="O1869" s="7"/>
      <c r="P1869" s="6"/>
      <c r="Q1869" s="6"/>
      <c r="R1869" s="7"/>
      <c r="S1869" s="6"/>
      <c r="T1869" s="6"/>
      <c r="U1869" s="7"/>
      <c r="V1869" s="6"/>
      <c r="W1869" s="6"/>
      <c r="X1869" s="12"/>
      <c r="Y1869" s="6"/>
      <c r="Z1869" s="6"/>
      <c r="AA1869" s="7"/>
      <c r="AB1869" s="6"/>
      <c r="AC1869" s="6"/>
      <c r="AD1869" s="6"/>
      <c r="AE1869" s="12"/>
      <c r="AF1869" s="12"/>
      <c r="AG1869" s="12"/>
      <c r="AH1869" s="12"/>
      <c r="AI1869" s="6"/>
      <c r="AJ1869" s="12"/>
      <c r="AK1869" s="1"/>
      <c r="AL1869" s="12"/>
      <c r="AM1869" s="12"/>
      <c r="AN1869" s="1"/>
      <c r="AO1869" s="6"/>
    </row>
    <row r="1870" spans="1:41" ht="15" x14ac:dyDescent="0.25">
      <c r="A1870" s="1"/>
      <c r="B1870" s="1"/>
      <c r="C1870" s="1"/>
      <c r="D1870" s="1"/>
      <c r="E1870" s="6"/>
      <c r="F1870" s="1"/>
      <c r="G1870" s="6"/>
      <c r="H1870" s="6"/>
      <c r="I1870" s="6"/>
      <c r="J1870" s="6"/>
      <c r="K1870" s="6"/>
      <c r="L1870" s="6"/>
      <c r="M1870" s="6"/>
      <c r="N1870" s="6"/>
      <c r="O1870" s="7"/>
      <c r="P1870" s="6"/>
      <c r="Q1870" s="6"/>
      <c r="R1870" s="7"/>
      <c r="S1870" s="6"/>
      <c r="T1870" s="6"/>
      <c r="U1870" s="7"/>
      <c r="V1870" s="6"/>
      <c r="W1870" s="6"/>
      <c r="X1870" s="6"/>
      <c r="Y1870" s="6"/>
      <c r="Z1870" s="6"/>
      <c r="AA1870" s="7"/>
      <c r="AB1870" s="6"/>
      <c r="AC1870" s="6"/>
      <c r="AD1870" s="6"/>
      <c r="AE1870" s="12"/>
      <c r="AF1870" s="6"/>
      <c r="AG1870" s="12"/>
      <c r="AH1870" s="6"/>
      <c r="AI1870" s="6"/>
      <c r="AJ1870" s="12"/>
      <c r="AK1870" s="24"/>
      <c r="AL1870" s="25"/>
      <c r="AM1870" s="12"/>
      <c r="AN1870" s="1"/>
      <c r="AO1870" s="6"/>
    </row>
    <row r="1871" spans="1:41" ht="15" x14ac:dyDescent="0.25">
      <c r="A1871" s="1"/>
      <c r="B1871" s="1"/>
      <c r="C1871" s="1"/>
      <c r="D1871" s="1"/>
      <c r="E1871" s="6"/>
      <c r="F1871" s="1"/>
      <c r="G1871" s="6"/>
      <c r="H1871" s="6"/>
      <c r="I1871" s="6"/>
      <c r="J1871" s="6"/>
      <c r="K1871" s="12"/>
      <c r="L1871" s="12"/>
      <c r="M1871" s="6"/>
      <c r="N1871" s="6"/>
      <c r="O1871" s="7"/>
      <c r="P1871" s="6"/>
      <c r="Q1871" s="6"/>
      <c r="R1871" s="7"/>
      <c r="S1871" s="6"/>
      <c r="T1871" s="6"/>
      <c r="U1871" s="7"/>
      <c r="V1871" s="6"/>
      <c r="W1871" s="6"/>
      <c r="X1871" s="6"/>
      <c r="Y1871" s="6"/>
      <c r="Z1871" s="6"/>
      <c r="AA1871" s="7"/>
      <c r="AB1871" s="6"/>
      <c r="AC1871" s="6"/>
      <c r="AD1871" s="6"/>
      <c r="AE1871" s="12"/>
      <c r="AF1871" s="12"/>
      <c r="AG1871" s="12"/>
      <c r="AH1871" s="12"/>
      <c r="AI1871" s="6"/>
      <c r="AJ1871" s="12"/>
      <c r="AK1871" s="1"/>
      <c r="AL1871" s="12"/>
      <c r="AM1871" s="12"/>
      <c r="AN1871" s="1"/>
      <c r="AO1871" s="6"/>
    </row>
    <row r="1872" spans="1:41" ht="15" x14ac:dyDescent="0.25">
      <c r="A1872" s="1"/>
      <c r="B1872" s="1"/>
      <c r="C1872" s="1"/>
      <c r="D1872" s="1"/>
      <c r="E1872" s="6"/>
      <c r="F1872" s="1"/>
      <c r="G1872" s="6"/>
      <c r="H1872" s="6"/>
      <c r="I1872" s="6"/>
      <c r="J1872" s="6"/>
      <c r="K1872" s="6"/>
      <c r="L1872" s="6"/>
      <c r="M1872" s="6"/>
      <c r="N1872" s="6"/>
      <c r="O1872" s="7"/>
      <c r="P1872" s="6"/>
      <c r="Q1872" s="6"/>
      <c r="R1872" s="15"/>
      <c r="S1872" s="6"/>
      <c r="T1872" s="6"/>
      <c r="U1872" s="15"/>
      <c r="V1872" s="6"/>
      <c r="W1872" s="6"/>
      <c r="X1872" s="6"/>
      <c r="Y1872" s="6"/>
      <c r="Z1872" s="6"/>
      <c r="AA1872" s="7"/>
      <c r="AB1872" s="6"/>
      <c r="AC1872" s="6"/>
      <c r="AD1872" s="6"/>
      <c r="AE1872" s="12"/>
      <c r="AF1872" s="12"/>
      <c r="AG1872" s="12"/>
      <c r="AH1872" s="12"/>
      <c r="AI1872" s="6"/>
      <c r="AJ1872" s="12"/>
      <c r="AK1872" s="1"/>
      <c r="AL1872" s="12"/>
      <c r="AM1872" s="12"/>
      <c r="AN1872" s="1"/>
      <c r="AO1872" s="6"/>
    </row>
    <row r="1873" spans="1:41" ht="15" x14ac:dyDescent="0.25">
      <c r="A1873" s="1"/>
      <c r="B1873" s="1"/>
      <c r="C1873" s="1"/>
      <c r="D1873" s="1"/>
      <c r="E1873" s="6"/>
      <c r="F1873" s="1"/>
      <c r="G1873" s="6"/>
      <c r="H1873" s="6"/>
      <c r="I1873" s="6"/>
      <c r="J1873" s="6"/>
      <c r="K1873" s="6"/>
      <c r="L1873" s="6"/>
      <c r="M1873" s="6"/>
      <c r="N1873" s="6"/>
      <c r="O1873" s="7"/>
      <c r="P1873" s="6"/>
      <c r="Q1873" s="6"/>
      <c r="R1873" s="15"/>
      <c r="S1873" s="6"/>
      <c r="T1873" s="6"/>
      <c r="U1873" s="7"/>
      <c r="V1873" s="6"/>
      <c r="W1873" s="6"/>
      <c r="X1873" s="6"/>
      <c r="Y1873" s="6"/>
      <c r="Z1873" s="6"/>
      <c r="AA1873" s="7"/>
      <c r="AB1873" s="6"/>
      <c r="AC1873" s="6"/>
      <c r="AD1873" s="6"/>
      <c r="AE1873" s="12"/>
      <c r="AF1873" s="12"/>
      <c r="AG1873" s="12"/>
      <c r="AH1873" s="12"/>
      <c r="AI1873" s="6"/>
      <c r="AJ1873" s="12"/>
      <c r="AK1873" s="1"/>
      <c r="AL1873" s="12"/>
      <c r="AM1873" s="12"/>
      <c r="AN1873" s="1"/>
      <c r="AO1873" s="6"/>
    </row>
    <row r="1874" spans="1:41" ht="15" x14ac:dyDescent="0.25">
      <c r="A1874" s="1"/>
      <c r="B1874" s="1"/>
      <c r="C1874" s="1"/>
      <c r="D1874" s="1"/>
      <c r="E1874" s="6"/>
      <c r="F1874" s="1"/>
      <c r="G1874" s="6"/>
      <c r="H1874" s="6"/>
      <c r="I1874" s="6"/>
      <c r="J1874" s="6"/>
      <c r="K1874" s="6"/>
      <c r="L1874" s="6"/>
      <c r="M1874" s="6"/>
      <c r="N1874" s="6"/>
      <c r="O1874" s="7"/>
      <c r="P1874" s="6"/>
      <c r="Q1874" s="6"/>
      <c r="R1874" s="7"/>
      <c r="S1874" s="6"/>
      <c r="T1874" s="6"/>
      <c r="U1874" s="7"/>
      <c r="V1874" s="6"/>
      <c r="W1874" s="6"/>
      <c r="X1874" s="12"/>
      <c r="Y1874" s="6"/>
      <c r="Z1874" s="6"/>
      <c r="AA1874" s="7"/>
      <c r="AB1874" s="6"/>
      <c r="AC1874" s="6"/>
      <c r="AD1874" s="6"/>
      <c r="AE1874" s="12"/>
      <c r="AF1874" s="12"/>
      <c r="AG1874" s="12"/>
      <c r="AH1874" s="12"/>
      <c r="AI1874" s="6"/>
      <c r="AJ1874" s="12"/>
      <c r="AK1874" s="1"/>
      <c r="AL1874" s="12"/>
      <c r="AM1874" s="12"/>
      <c r="AN1874" s="1"/>
      <c r="AO1874" s="6"/>
    </row>
    <row r="1875" spans="1:41" ht="15" x14ac:dyDescent="0.25">
      <c r="A1875" s="1"/>
      <c r="B1875" s="1"/>
      <c r="C1875" s="1"/>
      <c r="D1875" s="1"/>
      <c r="E1875" s="6"/>
      <c r="F1875" s="1"/>
      <c r="G1875" s="6"/>
      <c r="H1875" s="6"/>
      <c r="I1875" s="6"/>
      <c r="J1875" s="6"/>
      <c r="K1875" s="6"/>
      <c r="L1875" s="6"/>
      <c r="M1875" s="6"/>
      <c r="N1875" s="6"/>
      <c r="O1875" s="7"/>
      <c r="P1875" s="6"/>
      <c r="Q1875" s="6"/>
      <c r="R1875" s="7"/>
      <c r="S1875" s="6"/>
      <c r="T1875" s="6"/>
      <c r="U1875" s="7"/>
      <c r="V1875" s="6"/>
      <c r="W1875" s="6"/>
      <c r="X1875" s="6"/>
      <c r="Y1875" s="6"/>
      <c r="Z1875" s="6"/>
      <c r="AA1875" s="7"/>
      <c r="AB1875" s="6"/>
      <c r="AC1875" s="6"/>
      <c r="AD1875" s="6"/>
      <c r="AE1875" s="12"/>
      <c r="AF1875" s="6"/>
      <c r="AG1875" s="12"/>
      <c r="AH1875" s="6"/>
      <c r="AI1875" s="6"/>
      <c r="AJ1875" s="12"/>
      <c r="AK1875" s="24"/>
      <c r="AL1875" s="25"/>
      <c r="AM1875" s="12"/>
      <c r="AN1875" s="1"/>
      <c r="AO1875" s="6"/>
    </row>
    <row r="1876" spans="1:41" ht="15" x14ac:dyDescent="0.25">
      <c r="A1876" s="1"/>
      <c r="B1876" s="1"/>
      <c r="C1876" s="1"/>
      <c r="D1876" s="1"/>
      <c r="E1876" s="6"/>
      <c r="F1876" s="1"/>
      <c r="G1876" s="6"/>
      <c r="H1876" s="6"/>
      <c r="I1876" s="6"/>
      <c r="J1876" s="6"/>
      <c r="K1876" s="6"/>
      <c r="L1876" s="6"/>
      <c r="M1876" s="6"/>
      <c r="N1876" s="6"/>
      <c r="O1876" s="7"/>
      <c r="P1876" s="6"/>
      <c r="Q1876" s="6"/>
      <c r="R1876" s="7"/>
      <c r="S1876" s="6"/>
      <c r="T1876" s="6"/>
      <c r="U1876" s="7"/>
      <c r="V1876" s="6"/>
      <c r="W1876" s="6"/>
      <c r="X1876" s="6"/>
      <c r="Y1876" s="6"/>
      <c r="Z1876" s="6"/>
      <c r="AA1876" s="7"/>
      <c r="AB1876" s="6"/>
      <c r="AC1876" s="6"/>
      <c r="AD1876" s="6"/>
      <c r="AE1876" s="12"/>
      <c r="AF1876" s="6"/>
      <c r="AG1876" s="12"/>
      <c r="AH1876" s="6"/>
      <c r="AI1876" s="6"/>
      <c r="AJ1876" s="12"/>
      <c r="AK1876" s="1"/>
      <c r="AL1876" s="12"/>
      <c r="AM1876" s="12"/>
      <c r="AN1876" s="1"/>
      <c r="AO1876" s="6"/>
    </row>
    <row r="1877" spans="1:41" ht="15" x14ac:dyDescent="0.25">
      <c r="A1877" s="1"/>
      <c r="B1877" s="1"/>
      <c r="C1877" s="1"/>
      <c r="D1877" s="1"/>
      <c r="E1877" s="6"/>
      <c r="F1877" s="1"/>
      <c r="G1877" s="6"/>
      <c r="H1877" s="6"/>
      <c r="I1877" s="6"/>
      <c r="J1877" s="6"/>
      <c r="K1877" s="6"/>
      <c r="L1877" s="6"/>
      <c r="M1877" s="6"/>
      <c r="N1877" s="6"/>
      <c r="O1877" s="7"/>
      <c r="P1877" s="6"/>
      <c r="Q1877" s="6"/>
      <c r="R1877" s="15"/>
      <c r="S1877" s="6"/>
      <c r="T1877" s="6"/>
      <c r="U1877" s="7"/>
      <c r="V1877" s="6"/>
      <c r="W1877" s="6"/>
      <c r="X1877" s="12"/>
      <c r="Y1877" s="6"/>
      <c r="Z1877" s="6"/>
      <c r="AA1877" s="7"/>
      <c r="AB1877" s="6"/>
      <c r="AC1877" s="6"/>
      <c r="AD1877" s="6"/>
      <c r="AE1877" s="12"/>
      <c r="AF1877" s="12"/>
      <c r="AG1877" s="12"/>
      <c r="AH1877" s="12"/>
      <c r="AI1877" s="6"/>
      <c r="AJ1877" s="12"/>
      <c r="AK1877" s="1"/>
      <c r="AL1877" s="12"/>
      <c r="AM1877" s="12"/>
      <c r="AN1877" s="1"/>
      <c r="AO1877" s="6"/>
    </row>
    <row r="1878" spans="1:41" ht="15" x14ac:dyDescent="0.25">
      <c r="A1878" s="1"/>
      <c r="B1878" s="1"/>
      <c r="C1878" s="1"/>
      <c r="D1878" s="1"/>
      <c r="E1878" s="6"/>
      <c r="F1878" s="1"/>
      <c r="G1878" s="6"/>
      <c r="H1878" s="6"/>
      <c r="I1878" s="6"/>
      <c r="J1878" s="6"/>
      <c r="K1878" s="6"/>
      <c r="L1878" s="6"/>
      <c r="M1878" s="6"/>
      <c r="N1878" s="6"/>
      <c r="O1878" s="7"/>
      <c r="P1878" s="6"/>
      <c r="Q1878" s="6"/>
      <c r="R1878" s="7"/>
      <c r="S1878" s="6"/>
      <c r="T1878" s="6"/>
      <c r="U1878" s="7"/>
      <c r="V1878" s="6"/>
      <c r="W1878" s="6"/>
      <c r="X1878" s="12"/>
      <c r="Y1878" s="6"/>
      <c r="Z1878" s="6"/>
      <c r="AA1878" s="7"/>
      <c r="AB1878" s="6"/>
      <c r="AC1878" s="6"/>
      <c r="AD1878" s="6"/>
      <c r="AE1878" s="12"/>
      <c r="AF1878" s="12"/>
      <c r="AG1878" s="12"/>
      <c r="AH1878" s="12"/>
      <c r="AI1878" s="6"/>
      <c r="AJ1878" s="12"/>
      <c r="AK1878" s="1"/>
      <c r="AL1878" s="12"/>
      <c r="AM1878" s="12"/>
      <c r="AN1878" s="1"/>
      <c r="AO1878" s="6"/>
    </row>
    <row r="1879" spans="1:41" ht="15" x14ac:dyDescent="0.25">
      <c r="A1879" s="1"/>
      <c r="B1879" s="1"/>
      <c r="C1879" s="1"/>
      <c r="D1879" s="1"/>
      <c r="E1879" s="6"/>
      <c r="F1879" s="1"/>
      <c r="G1879" s="6"/>
      <c r="H1879" s="6"/>
      <c r="I1879" s="6"/>
      <c r="J1879" s="6"/>
      <c r="K1879" s="6"/>
      <c r="L1879" s="6"/>
      <c r="M1879" s="6"/>
      <c r="N1879" s="6"/>
      <c r="O1879" s="7"/>
      <c r="P1879" s="12"/>
      <c r="Q1879" s="6"/>
      <c r="R1879" s="7"/>
      <c r="S1879" s="6"/>
      <c r="T1879" s="6"/>
      <c r="U1879" s="7"/>
      <c r="V1879" s="6"/>
      <c r="W1879" s="6"/>
      <c r="X1879" s="6"/>
      <c r="Y1879" s="6"/>
      <c r="Z1879" s="6"/>
      <c r="AA1879" s="7"/>
      <c r="AB1879" s="6"/>
      <c r="AC1879" s="6"/>
      <c r="AD1879" s="6"/>
      <c r="AE1879" s="12"/>
      <c r="AF1879" s="12"/>
      <c r="AG1879" s="12"/>
      <c r="AH1879" s="12"/>
      <c r="AI1879" s="6"/>
      <c r="AJ1879" s="12"/>
      <c r="AK1879" s="1"/>
      <c r="AL1879" s="12"/>
      <c r="AM1879" s="12"/>
      <c r="AN1879" s="1"/>
      <c r="AO1879" s="6"/>
    </row>
    <row r="1880" spans="1:41" ht="15" x14ac:dyDescent="0.25">
      <c r="A1880" s="1"/>
      <c r="B1880" s="1"/>
      <c r="C1880" s="1"/>
      <c r="D1880" s="1"/>
      <c r="E1880" s="6"/>
      <c r="F1880" s="1"/>
      <c r="G1880" s="6"/>
      <c r="H1880" s="6"/>
      <c r="I1880" s="6"/>
      <c r="J1880" s="6"/>
      <c r="K1880" s="6"/>
      <c r="L1880" s="6"/>
      <c r="M1880" s="6"/>
      <c r="N1880" s="6"/>
      <c r="O1880" s="7"/>
      <c r="P1880" s="6"/>
      <c r="Q1880" s="6"/>
      <c r="R1880" s="7"/>
      <c r="S1880" s="6"/>
      <c r="T1880" s="6"/>
      <c r="U1880" s="7"/>
      <c r="V1880" s="6"/>
      <c r="W1880" s="6"/>
      <c r="X1880" s="12"/>
      <c r="Y1880" s="6"/>
      <c r="Z1880" s="6"/>
      <c r="AA1880" s="7"/>
      <c r="AB1880" s="6"/>
      <c r="AC1880" s="6"/>
      <c r="AD1880" s="6"/>
      <c r="AE1880" s="12"/>
      <c r="AF1880" s="6"/>
      <c r="AG1880" s="12"/>
      <c r="AH1880" s="6"/>
      <c r="AI1880" s="6"/>
      <c r="AJ1880" s="12"/>
      <c r="AK1880" s="24"/>
      <c r="AL1880" s="25"/>
      <c r="AM1880" s="12"/>
      <c r="AN1880" s="1"/>
      <c r="AO1880" s="6"/>
    </row>
    <row r="1881" spans="1:41" ht="15" x14ac:dyDescent="0.25">
      <c r="A1881" s="1"/>
      <c r="B1881" s="1"/>
      <c r="C1881" s="1"/>
      <c r="D1881" s="1"/>
      <c r="E1881" s="6"/>
      <c r="F1881" s="1"/>
      <c r="G1881" s="6"/>
      <c r="H1881" s="6"/>
      <c r="I1881" s="6"/>
      <c r="J1881" s="6"/>
      <c r="K1881" s="12"/>
      <c r="L1881" s="12"/>
      <c r="M1881" s="6"/>
      <c r="N1881" s="6"/>
      <c r="O1881" s="7"/>
      <c r="P1881" s="6"/>
      <c r="Q1881" s="6"/>
      <c r="R1881" s="7"/>
      <c r="S1881" s="6"/>
      <c r="T1881" s="6"/>
      <c r="U1881" s="7"/>
      <c r="V1881" s="6"/>
      <c r="W1881" s="6"/>
      <c r="X1881" s="6"/>
      <c r="Y1881" s="6"/>
      <c r="Z1881" s="6"/>
      <c r="AA1881" s="7"/>
      <c r="AB1881" s="6"/>
      <c r="AC1881" s="6"/>
      <c r="AD1881" s="6"/>
      <c r="AE1881" s="12"/>
      <c r="AF1881" s="12"/>
      <c r="AG1881" s="12"/>
      <c r="AH1881" s="12"/>
      <c r="AI1881" s="6"/>
      <c r="AJ1881" s="12"/>
      <c r="AK1881" s="1"/>
      <c r="AL1881" s="12"/>
      <c r="AM1881" s="12"/>
      <c r="AN1881" s="1"/>
      <c r="AO1881" s="12"/>
    </row>
    <row r="1882" spans="1:41" ht="15" x14ac:dyDescent="0.25">
      <c r="A1882" s="1"/>
      <c r="B1882" s="1"/>
      <c r="C1882" s="1"/>
      <c r="D1882" s="1"/>
      <c r="E1882" s="6"/>
      <c r="F1882" s="1"/>
      <c r="G1882" s="6"/>
      <c r="H1882" s="6"/>
      <c r="I1882" s="6"/>
      <c r="J1882" s="6"/>
      <c r="K1882" s="6"/>
      <c r="L1882" s="6"/>
      <c r="M1882" s="6"/>
      <c r="N1882" s="6"/>
      <c r="O1882" s="7"/>
      <c r="P1882" s="6"/>
      <c r="Q1882" s="6"/>
      <c r="R1882" s="7"/>
      <c r="S1882" s="6"/>
      <c r="T1882" s="6"/>
      <c r="U1882" s="7"/>
      <c r="V1882" s="6"/>
      <c r="W1882" s="6"/>
      <c r="X1882" s="6"/>
      <c r="Y1882" s="6"/>
      <c r="Z1882" s="6"/>
      <c r="AA1882" s="7"/>
      <c r="AB1882" s="6"/>
      <c r="AC1882" s="6"/>
      <c r="AD1882" s="6"/>
      <c r="AE1882" s="12"/>
      <c r="AF1882" s="12"/>
      <c r="AG1882" s="12"/>
      <c r="AH1882" s="12"/>
      <c r="AI1882" s="6"/>
      <c r="AJ1882" s="12"/>
      <c r="AK1882" s="1"/>
      <c r="AL1882" s="12"/>
      <c r="AM1882" s="12"/>
      <c r="AN1882" s="1"/>
      <c r="AO1882" s="6"/>
    </row>
    <row r="1883" spans="1:41" ht="15" x14ac:dyDescent="0.25">
      <c r="A1883" s="1"/>
      <c r="B1883" s="1"/>
      <c r="C1883" s="1"/>
      <c r="D1883" s="1"/>
      <c r="E1883" s="6"/>
      <c r="F1883" s="1"/>
      <c r="G1883" s="6"/>
      <c r="H1883" s="6"/>
      <c r="I1883" s="6"/>
      <c r="J1883" s="6"/>
      <c r="K1883" s="6"/>
      <c r="L1883" s="6"/>
      <c r="M1883" s="6"/>
      <c r="N1883" s="6"/>
      <c r="O1883" s="7"/>
      <c r="P1883" s="12"/>
      <c r="Q1883" s="6"/>
      <c r="R1883" s="7"/>
      <c r="S1883" s="6"/>
      <c r="T1883" s="6"/>
      <c r="U1883" s="7"/>
      <c r="V1883" s="6"/>
      <c r="W1883" s="6"/>
      <c r="X1883" s="6"/>
      <c r="Y1883" s="6"/>
      <c r="Z1883" s="6"/>
      <c r="AA1883" s="7"/>
      <c r="AB1883" s="6"/>
      <c r="AC1883" s="6"/>
      <c r="AD1883" s="6"/>
      <c r="AE1883" s="12"/>
      <c r="AF1883" s="12"/>
      <c r="AG1883" s="12"/>
      <c r="AH1883" s="12"/>
      <c r="AI1883" s="6"/>
      <c r="AJ1883" s="12"/>
      <c r="AK1883" s="1"/>
      <c r="AL1883" s="12"/>
      <c r="AM1883" s="12"/>
      <c r="AN1883" s="1"/>
      <c r="AO1883" s="6"/>
    </row>
    <row r="1884" spans="1:41" ht="15" x14ac:dyDescent="0.25">
      <c r="A1884" s="1"/>
      <c r="B1884" s="1"/>
      <c r="C1884" s="1"/>
      <c r="D1884" s="1"/>
      <c r="E1884" s="6"/>
      <c r="F1884" s="1"/>
      <c r="G1884" s="6"/>
      <c r="H1884" s="6"/>
      <c r="I1884" s="6"/>
      <c r="J1884" s="6"/>
      <c r="K1884" s="12"/>
      <c r="L1884" s="12"/>
      <c r="M1884" s="6"/>
      <c r="N1884" s="6"/>
      <c r="O1884" s="7"/>
      <c r="P1884" s="12"/>
      <c r="Q1884" s="6"/>
      <c r="R1884" s="7"/>
      <c r="S1884" s="6"/>
      <c r="T1884" s="6"/>
      <c r="U1884" s="7"/>
      <c r="V1884" s="6"/>
      <c r="W1884" s="6"/>
      <c r="X1884" s="12"/>
      <c r="Y1884" s="6"/>
      <c r="Z1884" s="6"/>
      <c r="AA1884" s="7"/>
      <c r="AB1884" s="6"/>
      <c r="AC1884" s="6"/>
      <c r="AD1884" s="6"/>
      <c r="AE1884" s="12"/>
      <c r="AF1884" s="12"/>
      <c r="AG1884" s="12"/>
      <c r="AH1884" s="12"/>
      <c r="AI1884" s="6"/>
      <c r="AJ1884" s="12"/>
      <c r="AK1884" s="1"/>
      <c r="AL1884" s="12"/>
      <c r="AM1884" s="12"/>
      <c r="AN1884" s="1"/>
      <c r="AO1884" s="6"/>
    </row>
    <row r="1885" spans="1:41" ht="15" x14ac:dyDescent="0.25">
      <c r="A1885" s="1"/>
      <c r="B1885" s="1"/>
      <c r="C1885" s="1"/>
      <c r="D1885" s="1"/>
      <c r="E1885" s="6"/>
      <c r="F1885" s="1"/>
      <c r="G1885" s="6"/>
      <c r="H1885" s="6"/>
      <c r="I1885" s="6"/>
      <c r="J1885" s="6"/>
      <c r="K1885" s="6"/>
      <c r="L1885" s="6"/>
      <c r="M1885" s="6"/>
      <c r="N1885" s="6"/>
      <c r="O1885" s="7"/>
      <c r="P1885" s="6"/>
      <c r="Q1885" s="6"/>
      <c r="R1885" s="12"/>
      <c r="S1885" s="12"/>
      <c r="T1885" s="12"/>
      <c r="U1885" s="7"/>
      <c r="V1885" s="6"/>
      <c r="W1885" s="6"/>
      <c r="X1885" s="12"/>
      <c r="Y1885" s="6"/>
      <c r="Z1885" s="6"/>
      <c r="AA1885" s="7"/>
      <c r="AB1885" s="6"/>
      <c r="AC1885" s="6"/>
      <c r="AD1885" s="6"/>
      <c r="AE1885" s="12"/>
      <c r="AF1885" s="12"/>
      <c r="AG1885" s="12"/>
      <c r="AH1885" s="12"/>
      <c r="AI1885" s="6"/>
      <c r="AJ1885" s="12"/>
      <c r="AK1885" s="1"/>
      <c r="AL1885" s="12"/>
      <c r="AM1885" s="12"/>
      <c r="AN1885" s="1"/>
      <c r="AO1885" s="6"/>
    </row>
    <row r="1886" spans="1:41" ht="15" x14ac:dyDescent="0.25">
      <c r="A1886" s="1"/>
      <c r="B1886" s="1"/>
      <c r="C1886" s="1"/>
      <c r="D1886" s="1"/>
      <c r="E1886" s="6"/>
      <c r="F1886" s="1"/>
      <c r="G1886" s="6"/>
      <c r="H1886" s="6"/>
      <c r="I1886" s="6"/>
      <c r="J1886" s="6"/>
      <c r="K1886" s="12"/>
      <c r="L1886" s="12"/>
      <c r="M1886" s="6"/>
      <c r="N1886" s="6"/>
      <c r="O1886" s="7"/>
      <c r="P1886" s="6"/>
      <c r="Q1886" s="6"/>
      <c r="R1886" s="7"/>
      <c r="S1886" s="6"/>
      <c r="T1886" s="6"/>
      <c r="U1886" s="7"/>
      <c r="V1886" s="6"/>
      <c r="W1886" s="6"/>
      <c r="X1886" s="12"/>
      <c r="Y1886" s="6"/>
      <c r="Z1886" s="6"/>
      <c r="AA1886" s="7"/>
      <c r="AB1886" s="6"/>
      <c r="AC1886" s="6"/>
      <c r="AD1886" s="6"/>
      <c r="AE1886" s="12"/>
      <c r="AF1886" s="12"/>
      <c r="AG1886" s="12"/>
      <c r="AH1886" s="12"/>
      <c r="AI1886" s="6"/>
      <c r="AJ1886" s="12"/>
      <c r="AK1886" s="1"/>
      <c r="AL1886" s="12"/>
      <c r="AM1886" s="12"/>
      <c r="AN1886" s="1"/>
      <c r="AO1886" s="6"/>
    </row>
    <row r="1887" spans="1:41" ht="15" x14ac:dyDescent="0.25">
      <c r="A1887" s="1"/>
      <c r="B1887" s="1"/>
      <c r="C1887" s="1"/>
      <c r="D1887" s="1"/>
      <c r="E1887" s="6"/>
      <c r="F1887" s="1"/>
      <c r="G1887" s="6"/>
      <c r="H1887" s="6"/>
      <c r="I1887" s="6"/>
      <c r="J1887" s="6"/>
      <c r="K1887" s="6"/>
      <c r="L1887" s="6"/>
      <c r="M1887" s="6"/>
      <c r="N1887" s="6"/>
      <c r="O1887" s="7"/>
      <c r="P1887" s="6"/>
      <c r="Q1887" s="6"/>
      <c r="R1887" s="7"/>
      <c r="S1887" s="6"/>
      <c r="T1887" s="6"/>
      <c r="U1887" s="7"/>
      <c r="V1887" s="6"/>
      <c r="W1887" s="6"/>
      <c r="X1887" s="12"/>
      <c r="Y1887" s="6"/>
      <c r="Z1887" s="6"/>
      <c r="AA1887" s="7"/>
      <c r="AB1887" s="6"/>
      <c r="AC1887" s="6"/>
      <c r="AD1887" s="6"/>
      <c r="AE1887" s="12"/>
      <c r="AF1887" s="6"/>
      <c r="AG1887" s="12"/>
      <c r="AH1887" s="6"/>
      <c r="AI1887" s="6"/>
      <c r="AJ1887" s="12"/>
      <c r="AK1887" s="1"/>
      <c r="AL1887" s="12"/>
      <c r="AM1887" s="12"/>
      <c r="AN1887" s="1"/>
      <c r="AO1887" s="6"/>
    </row>
    <row r="1888" spans="1:41" ht="15" x14ac:dyDescent="0.25">
      <c r="A1888" s="1"/>
      <c r="B1888" s="1"/>
      <c r="C1888" s="1"/>
      <c r="D1888" s="1"/>
      <c r="E1888" s="6"/>
      <c r="F1888" s="1"/>
      <c r="G1888" s="6"/>
      <c r="H1888" s="6"/>
      <c r="I1888" s="6"/>
      <c r="J1888" s="6"/>
      <c r="K1888" s="12"/>
      <c r="L1888" s="12"/>
      <c r="M1888" s="6"/>
      <c r="N1888" s="6"/>
      <c r="O1888" s="7"/>
      <c r="P1888" s="6"/>
      <c r="Q1888" s="6"/>
      <c r="R1888" s="7"/>
      <c r="S1888" s="6"/>
      <c r="T1888" s="6"/>
      <c r="U1888" s="7"/>
      <c r="V1888" s="6"/>
      <c r="W1888" s="6"/>
      <c r="X1888" s="6"/>
      <c r="Y1888" s="6"/>
      <c r="Z1888" s="6"/>
      <c r="AA1888" s="7"/>
      <c r="AB1888" s="6"/>
      <c r="AC1888" s="6"/>
      <c r="AD1888" s="6"/>
      <c r="AE1888" s="12"/>
      <c r="AF1888" s="12"/>
      <c r="AG1888" s="12"/>
      <c r="AH1888" s="12"/>
      <c r="AI1888" s="6"/>
      <c r="AJ1888" s="12"/>
      <c r="AK1888" s="1"/>
      <c r="AL1888" s="12"/>
      <c r="AM1888" s="12"/>
      <c r="AN1888" s="1"/>
      <c r="AO1888" s="6"/>
    </row>
    <row r="1889" spans="1:41" ht="15" x14ac:dyDescent="0.25">
      <c r="A1889" s="1"/>
      <c r="B1889" s="1"/>
      <c r="C1889" s="1"/>
      <c r="D1889" s="1"/>
      <c r="E1889" s="6"/>
      <c r="F1889" s="1"/>
      <c r="G1889" s="6"/>
      <c r="H1889" s="6"/>
      <c r="I1889" s="6"/>
      <c r="J1889" s="6"/>
      <c r="K1889" s="6"/>
      <c r="L1889" s="6"/>
      <c r="M1889" s="6"/>
      <c r="N1889" s="6"/>
      <c r="O1889" s="7"/>
      <c r="P1889" s="6"/>
      <c r="Q1889" s="7"/>
      <c r="R1889" s="6"/>
      <c r="S1889" s="6"/>
      <c r="T1889" s="6"/>
      <c r="U1889" s="6"/>
      <c r="V1889" s="7"/>
      <c r="W1889" s="7"/>
      <c r="X1889" s="6"/>
      <c r="Y1889" s="6"/>
      <c r="Z1889" s="6"/>
      <c r="AA1889" s="1"/>
      <c r="AB1889" s="12"/>
      <c r="AC1889" s="12"/>
      <c r="AD1889" s="12"/>
      <c r="AE1889" s="12"/>
      <c r="AF1889" s="12"/>
      <c r="AG1889" s="12"/>
      <c r="AH1889" s="12"/>
      <c r="AI1889" s="6"/>
      <c r="AJ1889" s="12"/>
      <c r="AK1889" s="12"/>
      <c r="AL1889" s="12"/>
      <c r="AM1889" s="12"/>
      <c r="AN1889" s="1"/>
      <c r="AO1889" s="6"/>
    </row>
    <row r="1890" spans="1:41" ht="15" x14ac:dyDescent="0.25">
      <c r="A1890" s="1"/>
      <c r="B1890" s="1"/>
      <c r="C1890" s="1"/>
      <c r="D1890" s="1"/>
      <c r="E1890" s="6"/>
      <c r="F1890" s="1"/>
      <c r="G1890" s="6"/>
      <c r="H1890" s="6"/>
      <c r="I1890" s="6"/>
      <c r="J1890" s="6"/>
      <c r="K1890" s="6"/>
      <c r="L1890" s="6"/>
      <c r="M1890" s="6"/>
      <c r="N1890" s="6"/>
      <c r="O1890" s="7"/>
      <c r="P1890" s="6"/>
      <c r="Q1890" s="6"/>
      <c r="R1890" s="7"/>
      <c r="S1890" s="6"/>
      <c r="T1890" s="6"/>
      <c r="U1890" s="7"/>
      <c r="V1890" s="6"/>
      <c r="W1890" s="6"/>
      <c r="X1890" s="12"/>
      <c r="Y1890" s="6"/>
      <c r="Z1890" s="6"/>
      <c r="AA1890" s="7"/>
      <c r="AB1890" s="6"/>
      <c r="AC1890" s="6"/>
      <c r="AD1890" s="6"/>
      <c r="AE1890" s="12"/>
      <c r="AF1890" s="6"/>
      <c r="AG1890" s="12"/>
      <c r="AH1890" s="6"/>
      <c r="AI1890" s="6"/>
      <c r="AJ1890" s="12"/>
      <c r="AK1890" s="1"/>
      <c r="AL1890" s="12"/>
      <c r="AM1890" s="12"/>
      <c r="AN1890" s="1"/>
      <c r="AO1890" s="6"/>
    </row>
    <row r="1891" spans="1:41" ht="15" x14ac:dyDescent="0.25">
      <c r="A1891" s="1"/>
      <c r="B1891" s="1"/>
      <c r="C1891" s="1"/>
      <c r="D1891" s="1"/>
      <c r="E1891" s="6"/>
      <c r="F1891" s="1"/>
      <c r="G1891" s="6"/>
      <c r="H1891" s="6"/>
      <c r="I1891" s="6"/>
      <c r="J1891" s="6"/>
      <c r="K1891" s="6"/>
      <c r="L1891" s="6"/>
      <c r="M1891" s="6"/>
      <c r="N1891" s="6"/>
      <c r="O1891" s="7"/>
      <c r="P1891" s="12"/>
      <c r="Q1891" s="6"/>
      <c r="R1891" s="7"/>
      <c r="S1891" s="6"/>
      <c r="T1891" s="6"/>
      <c r="U1891" s="7"/>
      <c r="V1891" s="6"/>
      <c r="W1891" s="6"/>
      <c r="X1891" s="12"/>
      <c r="Y1891" s="6"/>
      <c r="Z1891" s="6"/>
      <c r="AA1891" s="7"/>
      <c r="AB1891" s="6"/>
      <c r="AC1891" s="6"/>
      <c r="AD1891" s="6"/>
      <c r="AE1891" s="12"/>
      <c r="AF1891" s="6"/>
      <c r="AG1891" s="12"/>
      <c r="AH1891" s="6"/>
      <c r="AI1891" s="6"/>
      <c r="AJ1891" s="12"/>
      <c r="AK1891" s="1"/>
      <c r="AL1891" s="12"/>
      <c r="AM1891" s="12"/>
      <c r="AN1891" s="1"/>
      <c r="AO1891" s="6"/>
    </row>
    <row r="1892" spans="1:41" ht="15" x14ac:dyDescent="0.25">
      <c r="A1892" s="1"/>
      <c r="B1892" s="1"/>
      <c r="C1892" s="1"/>
      <c r="D1892" s="1"/>
      <c r="E1892" s="6"/>
      <c r="F1892" s="1"/>
      <c r="G1892" s="6"/>
      <c r="H1892" s="6"/>
      <c r="I1892" s="6"/>
      <c r="J1892" s="6"/>
      <c r="K1892" s="6"/>
      <c r="L1892" s="6"/>
      <c r="M1892" s="6"/>
      <c r="N1892" s="6"/>
      <c r="O1892" s="7"/>
      <c r="P1892" s="6"/>
      <c r="Q1892" s="7"/>
      <c r="R1892" s="6"/>
      <c r="S1892" s="6"/>
      <c r="T1892" s="6"/>
      <c r="U1892" s="6"/>
      <c r="V1892" s="7"/>
      <c r="W1892" s="7"/>
      <c r="X1892" s="6"/>
      <c r="Y1892" s="6"/>
      <c r="Z1892" s="6"/>
      <c r="AA1892" s="1"/>
      <c r="AB1892" s="12"/>
      <c r="AC1892" s="12"/>
      <c r="AD1892" s="12"/>
      <c r="AE1892" s="12"/>
      <c r="AF1892" s="12"/>
      <c r="AG1892" s="12"/>
      <c r="AH1892" s="12"/>
      <c r="AI1892" s="6"/>
      <c r="AJ1892" s="12"/>
      <c r="AK1892" s="12"/>
      <c r="AL1892" s="12"/>
      <c r="AM1892" s="12"/>
      <c r="AN1892" s="1"/>
      <c r="AO1892" s="6"/>
    </row>
    <row r="1893" spans="1:41" ht="15" x14ac:dyDescent="0.25">
      <c r="A1893" s="1"/>
      <c r="B1893" s="1"/>
      <c r="C1893" s="1"/>
      <c r="D1893" s="1"/>
      <c r="E1893" s="6"/>
      <c r="F1893" s="1"/>
      <c r="G1893" s="6"/>
      <c r="H1893" s="6"/>
      <c r="I1893" s="6"/>
      <c r="J1893" s="6"/>
      <c r="K1893" s="6"/>
      <c r="L1893" s="6"/>
      <c r="M1893" s="6"/>
      <c r="N1893" s="6"/>
      <c r="O1893" s="7"/>
      <c r="P1893" s="6"/>
      <c r="Q1893" s="6"/>
      <c r="R1893" s="7"/>
      <c r="S1893" s="6"/>
      <c r="T1893" s="6"/>
      <c r="U1893" s="7"/>
      <c r="V1893" s="6"/>
      <c r="W1893" s="6"/>
      <c r="X1893" s="6"/>
      <c r="Y1893" s="6"/>
      <c r="Z1893" s="6"/>
      <c r="AA1893" s="7"/>
      <c r="AB1893" s="6"/>
      <c r="AC1893" s="6"/>
      <c r="AD1893" s="6"/>
      <c r="AE1893" s="12"/>
      <c r="AF1893" s="6"/>
      <c r="AG1893" s="12"/>
      <c r="AH1893" s="6"/>
      <c r="AI1893" s="6"/>
      <c r="AJ1893" s="12"/>
      <c r="AK1893" s="1"/>
      <c r="AL1893" s="12"/>
      <c r="AM1893" s="12"/>
      <c r="AN1893" s="1"/>
      <c r="AO1893" s="6"/>
    </row>
    <row r="1894" spans="1:41" ht="15" x14ac:dyDescent="0.25">
      <c r="A1894" s="1"/>
      <c r="B1894" s="1"/>
      <c r="C1894" s="1"/>
      <c r="D1894" s="1"/>
      <c r="E1894" s="6"/>
      <c r="F1894" s="1"/>
      <c r="G1894" s="6"/>
      <c r="H1894" s="6"/>
      <c r="I1894" s="6"/>
      <c r="J1894" s="6"/>
      <c r="K1894" s="6"/>
      <c r="L1894" s="6"/>
      <c r="M1894" s="6"/>
      <c r="N1894" s="6"/>
      <c r="O1894" s="7"/>
      <c r="P1894" s="6"/>
      <c r="Q1894" s="6"/>
      <c r="R1894" s="7"/>
      <c r="S1894" s="6"/>
      <c r="T1894" s="6"/>
      <c r="U1894" s="7"/>
      <c r="V1894" s="6"/>
      <c r="W1894" s="6"/>
      <c r="X1894" s="6"/>
      <c r="Y1894" s="6"/>
      <c r="Z1894" s="6"/>
      <c r="AA1894" s="7"/>
      <c r="AB1894" s="6"/>
      <c r="AC1894" s="6"/>
      <c r="AD1894" s="6"/>
      <c r="AE1894" s="12"/>
      <c r="AF1894" s="12"/>
      <c r="AG1894" s="12"/>
      <c r="AH1894" s="12"/>
      <c r="AI1894" s="6"/>
      <c r="AJ1894" s="12"/>
      <c r="AK1894" s="1"/>
      <c r="AL1894" s="12"/>
      <c r="AM1894" s="12"/>
      <c r="AN1894" s="1"/>
      <c r="AO1894" s="6"/>
    </row>
    <row r="1895" spans="1:41" ht="15" x14ac:dyDescent="0.25">
      <c r="A1895" s="1"/>
      <c r="B1895" s="1"/>
      <c r="C1895" s="1"/>
      <c r="D1895" s="1"/>
      <c r="E1895" s="6"/>
      <c r="F1895" s="1"/>
      <c r="G1895" s="6"/>
      <c r="H1895" s="6"/>
      <c r="I1895" s="6"/>
      <c r="J1895" s="6"/>
      <c r="K1895" s="6"/>
      <c r="L1895" s="6"/>
      <c r="M1895" s="6"/>
      <c r="N1895" s="6"/>
      <c r="O1895" s="7"/>
      <c r="P1895" s="6"/>
      <c r="Q1895" s="7"/>
      <c r="R1895" s="6"/>
      <c r="S1895" s="12"/>
      <c r="T1895" s="6"/>
      <c r="U1895" s="6"/>
      <c r="V1895" s="7"/>
      <c r="W1895" s="6"/>
      <c r="X1895" s="6"/>
      <c r="Y1895" s="6"/>
      <c r="Z1895" s="6"/>
      <c r="AA1895" s="1"/>
      <c r="AB1895" s="12"/>
      <c r="AC1895" s="12"/>
      <c r="AD1895" s="12"/>
      <c r="AE1895" s="12"/>
      <c r="AF1895" s="6"/>
      <c r="AG1895" s="12"/>
      <c r="AH1895" s="6"/>
      <c r="AI1895" s="6"/>
      <c r="AJ1895" s="12"/>
      <c r="AK1895" s="12"/>
      <c r="AL1895" s="12"/>
      <c r="AM1895" s="12"/>
      <c r="AN1895" s="1"/>
      <c r="AO1895" s="6"/>
    </row>
    <row r="1896" spans="1:41" ht="15" x14ac:dyDescent="0.25">
      <c r="A1896" s="1"/>
      <c r="B1896" s="1"/>
      <c r="C1896" s="1"/>
      <c r="D1896" s="1"/>
      <c r="E1896" s="6"/>
      <c r="F1896" s="1"/>
      <c r="G1896" s="6"/>
      <c r="H1896" s="6"/>
      <c r="I1896" s="6"/>
      <c r="J1896" s="6"/>
      <c r="K1896" s="6"/>
      <c r="L1896" s="6"/>
      <c r="M1896" s="6"/>
      <c r="N1896" s="6"/>
      <c r="O1896" s="7"/>
      <c r="P1896" s="6"/>
      <c r="Q1896" s="7"/>
      <c r="R1896" s="6"/>
      <c r="S1896" s="6"/>
      <c r="T1896" s="6"/>
      <c r="U1896" s="6"/>
      <c r="V1896" s="7"/>
      <c r="W1896" s="6"/>
      <c r="X1896" s="6"/>
      <c r="Y1896" s="6"/>
      <c r="Z1896" s="6"/>
      <c r="AA1896" s="24"/>
      <c r="AB1896" s="25"/>
      <c r="AC1896" s="12"/>
      <c r="AD1896" s="12"/>
      <c r="AE1896" s="12"/>
      <c r="AF1896" s="6"/>
      <c r="AG1896" s="12"/>
      <c r="AH1896" s="6"/>
      <c r="AI1896" s="6"/>
      <c r="AJ1896" s="12"/>
      <c r="AK1896" s="12"/>
      <c r="AL1896" s="12"/>
      <c r="AM1896" s="12"/>
      <c r="AN1896" s="1"/>
      <c r="AO1896" s="6"/>
    </row>
    <row r="1897" spans="1:41" ht="15" x14ac:dyDescent="0.25">
      <c r="A1897" s="1"/>
      <c r="B1897" s="1"/>
      <c r="C1897" s="1"/>
      <c r="D1897" s="1"/>
      <c r="E1897" s="6"/>
      <c r="F1897" s="1"/>
      <c r="G1897" s="6"/>
      <c r="H1897" s="6"/>
      <c r="I1897" s="6"/>
      <c r="J1897" s="6"/>
      <c r="K1897" s="6"/>
      <c r="L1897" s="6"/>
      <c r="M1897" s="6"/>
      <c r="N1897" s="6"/>
      <c r="O1897" s="7"/>
      <c r="P1897" s="6"/>
      <c r="Q1897" s="6"/>
      <c r="R1897" s="7"/>
      <c r="S1897" s="6"/>
      <c r="T1897" s="6"/>
      <c r="U1897" s="7"/>
      <c r="V1897" s="6"/>
      <c r="W1897" s="6"/>
      <c r="X1897" s="6"/>
      <c r="Y1897" s="6"/>
      <c r="Z1897" s="6"/>
      <c r="AA1897" s="7"/>
      <c r="AB1897" s="6"/>
      <c r="AC1897" s="6"/>
      <c r="AD1897" s="6"/>
      <c r="AE1897" s="12"/>
      <c r="AF1897" s="6"/>
      <c r="AG1897" s="12"/>
      <c r="AH1897" s="6"/>
      <c r="AI1897" s="6"/>
      <c r="AJ1897" s="12"/>
      <c r="AK1897" s="24"/>
      <c r="AL1897" s="25"/>
      <c r="AM1897" s="12"/>
      <c r="AN1897" s="1"/>
      <c r="AO1897" s="6"/>
    </row>
    <row r="1898" spans="1:41" ht="15" x14ac:dyDescent="0.25">
      <c r="A1898" s="1"/>
      <c r="B1898" s="1"/>
      <c r="C1898" s="1"/>
      <c r="D1898" s="1"/>
      <c r="E1898" s="6"/>
      <c r="F1898" s="1"/>
      <c r="G1898" s="6"/>
      <c r="H1898" s="6"/>
      <c r="I1898" s="6"/>
      <c r="J1898" s="6"/>
      <c r="K1898" s="6"/>
      <c r="L1898" s="6"/>
      <c r="M1898" s="6"/>
      <c r="N1898" s="6"/>
      <c r="O1898" s="7"/>
      <c r="P1898" s="6"/>
      <c r="Q1898" s="7"/>
      <c r="R1898" s="6"/>
      <c r="S1898" s="6"/>
      <c r="T1898" s="6"/>
      <c r="U1898" s="6"/>
      <c r="V1898" s="7"/>
      <c r="W1898" s="6"/>
      <c r="X1898" s="6"/>
      <c r="Y1898" s="6"/>
      <c r="Z1898" s="6"/>
      <c r="AA1898" s="24"/>
      <c r="AB1898" s="25"/>
      <c r="AC1898" s="12"/>
      <c r="AD1898" s="12"/>
      <c r="AE1898" s="12"/>
      <c r="AF1898" s="6"/>
      <c r="AG1898" s="12"/>
      <c r="AH1898" s="6"/>
      <c r="AI1898" s="6"/>
      <c r="AJ1898" s="12"/>
      <c r="AK1898" s="12"/>
      <c r="AL1898" s="12"/>
      <c r="AM1898" s="12"/>
      <c r="AN1898" s="1"/>
      <c r="AO1898" s="6"/>
    </row>
    <row r="1899" spans="1:41" ht="15" x14ac:dyDescent="0.25">
      <c r="A1899" s="1"/>
      <c r="B1899" s="1"/>
      <c r="C1899" s="1"/>
      <c r="D1899" s="1"/>
      <c r="E1899" s="6"/>
      <c r="F1899" s="1"/>
      <c r="G1899" s="6"/>
      <c r="H1899" s="6"/>
      <c r="I1899" s="6"/>
      <c r="J1899" s="6"/>
      <c r="K1899" s="6"/>
      <c r="L1899" s="6"/>
      <c r="M1899" s="6"/>
      <c r="N1899" s="6"/>
      <c r="O1899" s="7"/>
      <c r="P1899" s="6"/>
      <c r="Q1899" s="6"/>
      <c r="R1899" s="7"/>
      <c r="S1899" s="6"/>
      <c r="T1899" s="6"/>
      <c r="U1899" s="7"/>
      <c r="V1899" s="6"/>
      <c r="W1899" s="6"/>
      <c r="X1899" s="6"/>
      <c r="Y1899" s="6"/>
      <c r="Z1899" s="6"/>
      <c r="AA1899" s="7"/>
      <c r="AB1899" s="6"/>
      <c r="AC1899" s="6"/>
      <c r="AD1899" s="6"/>
      <c r="AE1899" s="12"/>
      <c r="AF1899" s="6"/>
      <c r="AG1899" s="12"/>
      <c r="AH1899" s="6"/>
      <c r="AI1899" s="6"/>
      <c r="AJ1899" s="12"/>
      <c r="AK1899" s="24"/>
      <c r="AL1899" s="25"/>
      <c r="AM1899" s="12"/>
      <c r="AN1899" s="1"/>
      <c r="AO1899" s="6"/>
    </row>
    <row r="1900" spans="1:41" ht="15" x14ac:dyDescent="0.25">
      <c r="A1900" s="1"/>
      <c r="B1900" s="1"/>
      <c r="C1900" s="1"/>
      <c r="D1900" s="1"/>
      <c r="E1900" s="6"/>
      <c r="F1900" s="1"/>
      <c r="G1900" s="6"/>
      <c r="H1900" s="6"/>
      <c r="I1900" s="6"/>
      <c r="J1900" s="6"/>
      <c r="K1900" s="6"/>
      <c r="L1900" s="6"/>
      <c r="M1900" s="6"/>
      <c r="N1900" s="6"/>
      <c r="O1900" s="7"/>
      <c r="P1900" s="6"/>
      <c r="Q1900" s="6"/>
      <c r="R1900" s="7"/>
      <c r="S1900" s="6"/>
      <c r="T1900" s="6"/>
      <c r="U1900" s="7"/>
      <c r="V1900" s="6"/>
      <c r="W1900" s="6"/>
      <c r="X1900" s="6"/>
      <c r="Y1900" s="6"/>
      <c r="Z1900" s="6"/>
      <c r="AA1900" s="7"/>
      <c r="AB1900" s="6"/>
      <c r="AC1900" s="6"/>
      <c r="AD1900" s="6"/>
      <c r="AE1900" s="12"/>
      <c r="AF1900" s="6"/>
      <c r="AG1900" s="12"/>
      <c r="AH1900" s="6"/>
      <c r="AI1900" s="6"/>
      <c r="AJ1900" s="12"/>
      <c r="AK1900" s="1"/>
      <c r="AL1900" s="12"/>
      <c r="AM1900" s="12"/>
      <c r="AN1900" s="1"/>
      <c r="AO1900" s="6"/>
    </row>
    <row r="1901" spans="1:41" ht="15" x14ac:dyDescent="0.25">
      <c r="A1901" s="1"/>
      <c r="B1901" s="1"/>
      <c r="C1901" s="1"/>
      <c r="D1901" s="1"/>
      <c r="E1901" s="6"/>
      <c r="F1901" s="1"/>
      <c r="G1901" s="6"/>
      <c r="H1901" s="6"/>
      <c r="I1901" s="6"/>
      <c r="J1901" s="6"/>
      <c r="K1901" s="6"/>
      <c r="L1901" s="6"/>
      <c r="M1901" s="6"/>
      <c r="N1901" s="6"/>
      <c r="O1901" s="7"/>
      <c r="P1901" s="6"/>
      <c r="Q1901" s="6"/>
      <c r="R1901" s="7"/>
      <c r="S1901" s="6"/>
      <c r="T1901" s="6"/>
      <c r="U1901" s="7"/>
      <c r="V1901" s="6"/>
      <c r="W1901" s="6"/>
      <c r="X1901" s="6"/>
      <c r="Y1901" s="6"/>
      <c r="Z1901" s="6"/>
      <c r="AA1901" s="7"/>
      <c r="AB1901" s="6"/>
      <c r="AC1901" s="6"/>
      <c r="AD1901" s="6"/>
      <c r="AE1901" s="12"/>
      <c r="AF1901" s="6"/>
      <c r="AG1901" s="12"/>
      <c r="AH1901" s="6"/>
      <c r="AI1901" s="6"/>
      <c r="AJ1901" s="12"/>
      <c r="AK1901" s="24"/>
      <c r="AL1901" s="25"/>
      <c r="AM1901" s="12"/>
      <c r="AN1901" s="1"/>
      <c r="AO1901" s="6"/>
    </row>
    <row r="1902" spans="1:41" ht="15" x14ac:dyDescent="0.25">
      <c r="A1902" s="1"/>
      <c r="B1902" s="1"/>
      <c r="C1902" s="1"/>
      <c r="D1902" s="1"/>
      <c r="E1902" s="6"/>
      <c r="F1902" s="1"/>
      <c r="G1902" s="6"/>
      <c r="H1902" s="6"/>
      <c r="I1902" s="6"/>
      <c r="J1902" s="6"/>
      <c r="K1902" s="6"/>
      <c r="L1902" s="6"/>
      <c r="M1902" s="6"/>
      <c r="N1902" s="6"/>
      <c r="O1902" s="7"/>
      <c r="P1902" s="6"/>
      <c r="Q1902" s="6"/>
      <c r="R1902" s="7"/>
      <c r="S1902" s="6"/>
      <c r="T1902" s="6"/>
      <c r="U1902" s="7"/>
      <c r="V1902" s="6"/>
      <c r="W1902" s="6"/>
      <c r="X1902" s="6"/>
      <c r="Y1902" s="6"/>
      <c r="Z1902" s="6"/>
      <c r="AA1902" s="7"/>
      <c r="AB1902" s="6"/>
      <c r="AC1902" s="6"/>
      <c r="AD1902" s="6"/>
      <c r="AE1902" s="12"/>
      <c r="AF1902" s="6"/>
      <c r="AG1902" s="12"/>
      <c r="AH1902" s="6"/>
      <c r="AI1902" s="6"/>
      <c r="AJ1902" s="12"/>
      <c r="AK1902" s="24"/>
      <c r="AL1902" s="25"/>
      <c r="AM1902" s="12"/>
      <c r="AN1902" s="1"/>
      <c r="AO1902" s="6"/>
    </row>
    <row r="1903" spans="1:41" ht="15" x14ac:dyDescent="0.25">
      <c r="A1903" s="1"/>
      <c r="B1903" s="1"/>
      <c r="C1903" s="1"/>
      <c r="D1903" s="1"/>
      <c r="E1903" s="6"/>
      <c r="F1903" s="1"/>
      <c r="G1903" s="6"/>
      <c r="H1903" s="6"/>
      <c r="I1903" s="6"/>
      <c r="J1903" s="6"/>
      <c r="K1903" s="6"/>
      <c r="L1903" s="6"/>
      <c r="M1903" s="6"/>
      <c r="N1903" s="6"/>
      <c r="O1903" s="7"/>
      <c r="P1903" s="6"/>
      <c r="Q1903" s="7"/>
      <c r="R1903" s="6"/>
      <c r="S1903" s="12"/>
      <c r="T1903" s="6"/>
      <c r="U1903" s="6"/>
      <c r="V1903" s="7"/>
      <c r="W1903" s="6"/>
      <c r="X1903" s="6"/>
      <c r="Y1903" s="6"/>
      <c r="Z1903" s="6"/>
      <c r="AA1903" s="1"/>
      <c r="AB1903" s="12"/>
      <c r="AC1903" s="12"/>
      <c r="AD1903" s="12"/>
      <c r="AE1903" s="12"/>
      <c r="AF1903" s="6"/>
      <c r="AG1903" s="12"/>
      <c r="AH1903" s="6"/>
      <c r="AI1903" s="6"/>
      <c r="AJ1903" s="12"/>
      <c r="AK1903" s="12"/>
      <c r="AL1903" s="12"/>
      <c r="AM1903" s="12"/>
      <c r="AN1903" s="1"/>
      <c r="AO1903" s="6"/>
    </row>
    <row r="1904" spans="1:41" ht="15" x14ac:dyDescent="0.25">
      <c r="A1904" s="1"/>
      <c r="B1904" s="1"/>
      <c r="C1904" s="1"/>
      <c r="D1904" s="1"/>
      <c r="E1904" s="6"/>
      <c r="F1904" s="1"/>
      <c r="G1904" s="6"/>
      <c r="H1904" s="6"/>
      <c r="I1904" s="6"/>
      <c r="J1904" s="6"/>
      <c r="K1904" s="6"/>
      <c r="L1904" s="6"/>
      <c r="M1904" s="6"/>
      <c r="N1904" s="6"/>
      <c r="O1904" s="7"/>
      <c r="P1904" s="6"/>
      <c r="Q1904" s="6"/>
      <c r="R1904" s="7"/>
      <c r="S1904" s="6"/>
      <c r="T1904" s="6"/>
      <c r="U1904" s="7"/>
      <c r="V1904" s="6"/>
      <c r="W1904" s="6"/>
      <c r="X1904" s="6"/>
      <c r="Y1904" s="6"/>
      <c r="Z1904" s="6"/>
      <c r="AA1904" s="7"/>
      <c r="AB1904" s="6"/>
      <c r="AC1904" s="6"/>
      <c r="AD1904" s="6"/>
      <c r="AE1904" s="12"/>
      <c r="AF1904" s="6"/>
      <c r="AG1904" s="12"/>
      <c r="AH1904" s="6"/>
      <c r="AI1904" s="6"/>
      <c r="AJ1904" s="12"/>
      <c r="AK1904" s="24"/>
      <c r="AL1904" s="25"/>
      <c r="AM1904" s="12"/>
      <c r="AN1904" s="1"/>
      <c r="AO1904" s="6"/>
    </row>
    <row r="1905" spans="1:41" ht="15" x14ac:dyDescent="0.25">
      <c r="A1905" s="1"/>
      <c r="B1905" s="1"/>
      <c r="C1905" s="1"/>
      <c r="D1905" s="1"/>
      <c r="E1905" s="6"/>
      <c r="F1905" s="1"/>
      <c r="G1905" s="6"/>
      <c r="H1905" s="6"/>
      <c r="I1905" s="6"/>
      <c r="J1905" s="6"/>
      <c r="K1905" s="6"/>
      <c r="L1905" s="6"/>
      <c r="M1905" s="6"/>
      <c r="N1905" s="6"/>
      <c r="O1905" s="7"/>
      <c r="P1905" s="6"/>
      <c r="Q1905" s="6"/>
      <c r="R1905" s="7"/>
      <c r="S1905" s="6"/>
      <c r="T1905" s="6"/>
      <c r="U1905" s="7"/>
      <c r="V1905" s="6"/>
      <c r="W1905" s="6"/>
      <c r="X1905" s="12"/>
      <c r="Y1905" s="6"/>
      <c r="Z1905" s="6"/>
      <c r="AA1905" s="7"/>
      <c r="AB1905" s="6"/>
      <c r="AC1905" s="6"/>
      <c r="AD1905" s="6"/>
      <c r="AE1905" s="12"/>
      <c r="AF1905" s="12"/>
      <c r="AG1905" s="12"/>
      <c r="AH1905" s="12"/>
      <c r="AI1905" s="6"/>
      <c r="AJ1905" s="12"/>
      <c r="AK1905" s="24"/>
      <c r="AL1905" s="25"/>
      <c r="AM1905" s="12"/>
      <c r="AN1905" s="1"/>
      <c r="AO1905" s="6"/>
    </row>
    <row r="1906" spans="1:41" ht="15" x14ac:dyDescent="0.25">
      <c r="A1906" s="1"/>
      <c r="B1906" s="1"/>
      <c r="C1906" s="1"/>
      <c r="D1906" s="1"/>
      <c r="E1906" s="6"/>
      <c r="F1906" s="1"/>
      <c r="G1906" s="6"/>
      <c r="H1906" s="6"/>
      <c r="I1906" s="6"/>
      <c r="J1906" s="6"/>
      <c r="K1906" s="6"/>
      <c r="L1906" s="6"/>
      <c r="M1906" s="6"/>
      <c r="N1906" s="6"/>
      <c r="O1906" s="7"/>
      <c r="P1906" s="6"/>
      <c r="Q1906" s="7"/>
      <c r="R1906" s="6"/>
      <c r="S1906" s="6"/>
      <c r="T1906" s="6"/>
      <c r="U1906" s="6"/>
      <c r="V1906" s="7"/>
      <c r="W1906" s="7"/>
      <c r="X1906" s="6"/>
      <c r="Y1906" s="6"/>
      <c r="Z1906" s="6"/>
      <c r="AA1906" s="1"/>
      <c r="AB1906" s="12"/>
      <c r="AC1906" s="12"/>
      <c r="AD1906" s="12"/>
      <c r="AE1906" s="12"/>
      <c r="AF1906" s="12"/>
      <c r="AG1906" s="12"/>
      <c r="AH1906" s="12"/>
      <c r="AI1906" s="6"/>
      <c r="AJ1906" s="12"/>
      <c r="AK1906" s="12"/>
      <c r="AL1906" s="12"/>
      <c r="AM1906" s="12"/>
      <c r="AN1906" s="1"/>
      <c r="AO1906" s="6"/>
    </row>
    <row r="1907" spans="1:41" ht="15" x14ac:dyDescent="0.25">
      <c r="A1907" s="1"/>
      <c r="B1907" s="1"/>
      <c r="C1907" s="1"/>
      <c r="D1907" s="1"/>
      <c r="E1907" s="6"/>
      <c r="F1907" s="1"/>
      <c r="G1907" s="6"/>
      <c r="H1907" s="6"/>
      <c r="I1907" s="6"/>
      <c r="J1907" s="6"/>
      <c r="K1907" s="6"/>
      <c r="L1907" s="6"/>
      <c r="M1907" s="6"/>
      <c r="N1907" s="6"/>
      <c r="O1907" s="7"/>
      <c r="P1907" s="6"/>
      <c r="Q1907" s="6"/>
      <c r="R1907" s="7"/>
      <c r="S1907" s="6"/>
      <c r="T1907" s="6"/>
      <c r="U1907" s="7"/>
      <c r="V1907" s="6"/>
      <c r="W1907" s="6"/>
      <c r="X1907" s="12"/>
      <c r="Y1907" s="6"/>
      <c r="Z1907" s="6"/>
      <c r="AA1907" s="15"/>
      <c r="AB1907" s="6"/>
      <c r="AC1907" s="6"/>
      <c r="AD1907" s="6"/>
      <c r="AE1907" s="12"/>
      <c r="AF1907" s="12"/>
      <c r="AG1907" s="12"/>
      <c r="AH1907" s="12"/>
      <c r="AI1907" s="6"/>
      <c r="AJ1907" s="12"/>
      <c r="AK1907" s="1"/>
      <c r="AL1907" s="12"/>
      <c r="AM1907" s="12"/>
      <c r="AN1907" s="1"/>
      <c r="AO1907" s="6"/>
    </row>
    <row r="1908" spans="1:41" ht="15" x14ac:dyDescent="0.25">
      <c r="A1908" s="1"/>
      <c r="B1908" s="1"/>
      <c r="C1908" s="1"/>
      <c r="D1908" s="1"/>
      <c r="E1908" s="6"/>
      <c r="F1908" s="1"/>
      <c r="G1908" s="6"/>
      <c r="H1908" s="6"/>
      <c r="I1908" s="6"/>
      <c r="J1908" s="6"/>
      <c r="K1908" s="6"/>
      <c r="L1908" s="6"/>
      <c r="M1908" s="6"/>
      <c r="N1908" s="6"/>
      <c r="O1908" s="7"/>
      <c r="P1908" s="6"/>
      <c r="Q1908" s="6"/>
      <c r="R1908" s="7"/>
      <c r="S1908" s="6"/>
      <c r="T1908" s="6"/>
      <c r="U1908" s="7"/>
      <c r="V1908" s="6"/>
      <c r="W1908" s="6"/>
      <c r="X1908" s="6"/>
      <c r="Y1908" s="6"/>
      <c r="Z1908" s="6"/>
      <c r="AA1908" s="7"/>
      <c r="AB1908" s="6"/>
      <c r="AC1908" s="6"/>
      <c r="AD1908" s="6"/>
      <c r="AE1908" s="12"/>
      <c r="AF1908" s="6"/>
      <c r="AG1908" s="12"/>
      <c r="AH1908" s="6"/>
      <c r="AI1908" s="6"/>
      <c r="AJ1908" s="12"/>
      <c r="AK1908" s="24"/>
      <c r="AL1908" s="25"/>
      <c r="AM1908" s="12"/>
      <c r="AN1908" s="1"/>
      <c r="AO1908" s="6"/>
    </row>
    <row r="1909" spans="1:41" ht="15" x14ac:dyDescent="0.25">
      <c r="A1909" s="1"/>
      <c r="B1909" s="1"/>
      <c r="C1909" s="1"/>
      <c r="D1909" s="1"/>
      <c r="E1909" s="6"/>
      <c r="F1909" s="1"/>
      <c r="G1909" s="6"/>
      <c r="H1909" s="6"/>
      <c r="I1909" s="6"/>
      <c r="J1909" s="6"/>
      <c r="K1909" s="6"/>
      <c r="L1909" s="6"/>
      <c r="M1909" s="6"/>
      <c r="N1909" s="6"/>
      <c r="O1909" s="7"/>
      <c r="P1909" s="6"/>
      <c r="Q1909" s="6"/>
      <c r="R1909" s="7"/>
      <c r="S1909" s="6"/>
      <c r="T1909" s="6"/>
      <c r="U1909" s="7"/>
      <c r="V1909" s="6"/>
      <c r="W1909" s="6"/>
      <c r="X1909" s="6"/>
      <c r="Y1909" s="6"/>
      <c r="Z1909" s="6"/>
      <c r="AA1909" s="7"/>
      <c r="AB1909" s="6"/>
      <c r="AC1909" s="6"/>
      <c r="AD1909" s="6"/>
      <c r="AE1909" s="12"/>
      <c r="AF1909" s="6"/>
      <c r="AG1909" s="12"/>
      <c r="AH1909" s="6"/>
      <c r="AI1909" s="6"/>
      <c r="AJ1909" s="12"/>
      <c r="AK1909" s="24"/>
      <c r="AL1909" s="25"/>
      <c r="AM1909" s="12"/>
      <c r="AN1909" s="1"/>
      <c r="AO1909" s="6"/>
    </row>
    <row r="1910" spans="1:41" ht="15" x14ac:dyDescent="0.25">
      <c r="A1910" s="1"/>
      <c r="B1910" s="1"/>
      <c r="C1910" s="1"/>
      <c r="D1910" s="1"/>
      <c r="E1910" s="6"/>
      <c r="F1910" s="1"/>
      <c r="G1910" s="6"/>
      <c r="H1910" s="6"/>
      <c r="I1910" s="6"/>
      <c r="J1910" s="6"/>
      <c r="K1910" s="6"/>
      <c r="L1910" s="6"/>
      <c r="M1910" s="6"/>
      <c r="N1910" s="6"/>
      <c r="O1910" s="7"/>
      <c r="P1910" s="6"/>
      <c r="Q1910" s="6"/>
      <c r="R1910" s="7"/>
      <c r="S1910" s="6"/>
      <c r="T1910" s="6"/>
      <c r="U1910" s="7"/>
      <c r="V1910" s="6"/>
      <c r="W1910" s="6"/>
      <c r="X1910" s="6"/>
      <c r="Y1910" s="6"/>
      <c r="Z1910" s="6"/>
      <c r="AA1910" s="7"/>
      <c r="AB1910" s="6"/>
      <c r="AC1910" s="6"/>
      <c r="AD1910" s="6"/>
      <c r="AE1910" s="12"/>
      <c r="AF1910" s="6"/>
      <c r="AG1910" s="12"/>
      <c r="AH1910" s="6"/>
      <c r="AI1910" s="6"/>
      <c r="AJ1910" s="12"/>
      <c r="AK1910" s="1"/>
      <c r="AL1910" s="12"/>
      <c r="AM1910" s="12"/>
      <c r="AN1910" s="1"/>
      <c r="AO1910" s="6"/>
    </row>
    <row r="1911" spans="1:41" ht="15" x14ac:dyDescent="0.25">
      <c r="A1911" s="1"/>
      <c r="B1911" s="1"/>
      <c r="C1911" s="1"/>
      <c r="D1911" s="1"/>
      <c r="E1911" s="6"/>
      <c r="F1911" s="1"/>
      <c r="G1911" s="6"/>
      <c r="H1911" s="6"/>
      <c r="I1911" s="6"/>
      <c r="J1911" s="6"/>
      <c r="K1911" s="6"/>
      <c r="L1911" s="6"/>
      <c r="M1911" s="6"/>
      <c r="N1911" s="6"/>
      <c r="O1911" s="7"/>
      <c r="P1911" s="6"/>
      <c r="Q1911" s="6"/>
      <c r="R1911" s="7"/>
      <c r="S1911" s="6"/>
      <c r="T1911" s="6"/>
      <c r="U1911" s="7"/>
      <c r="V1911" s="6"/>
      <c r="W1911" s="6"/>
      <c r="X1911" s="6"/>
      <c r="Y1911" s="6"/>
      <c r="Z1911" s="6"/>
      <c r="AA1911" s="7"/>
      <c r="AB1911" s="6"/>
      <c r="AC1911" s="6"/>
      <c r="AD1911" s="6"/>
      <c r="AE1911" s="12"/>
      <c r="AF1911" s="6"/>
      <c r="AG1911" s="12"/>
      <c r="AH1911" s="6"/>
      <c r="AI1911" s="6"/>
      <c r="AJ1911" s="12"/>
      <c r="AK1911" s="1"/>
      <c r="AL1911" s="12"/>
      <c r="AM1911" s="12"/>
      <c r="AN1911" s="1"/>
      <c r="AO1911" s="6"/>
    </row>
    <row r="1912" spans="1:41" ht="15" x14ac:dyDescent="0.25">
      <c r="A1912" s="1"/>
      <c r="B1912" s="1"/>
      <c r="C1912" s="1"/>
      <c r="D1912" s="1"/>
      <c r="E1912" s="6"/>
      <c r="F1912" s="1"/>
      <c r="G1912" s="6"/>
      <c r="H1912" s="6"/>
      <c r="I1912" s="6"/>
      <c r="J1912" s="6"/>
      <c r="K1912" s="12"/>
      <c r="L1912" s="12"/>
      <c r="M1912" s="6"/>
      <c r="N1912" s="6"/>
      <c r="O1912" s="7"/>
      <c r="P1912" s="12"/>
      <c r="Q1912" s="6"/>
      <c r="R1912" s="7"/>
      <c r="S1912" s="6"/>
      <c r="T1912" s="6"/>
      <c r="U1912" s="7"/>
      <c r="V1912" s="6"/>
      <c r="W1912" s="6"/>
      <c r="X1912" s="6"/>
      <c r="Y1912" s="6"/>
      <c r="Z1912" s="6"/>
      <c r="AA1912" s="7"/>
      <c r="AB1912" s="6"/>
      <c r="AC1912" s="6"/>
      <c r="AD1912" s="6"/>
      <c r="AE1912" s="12"/>
      <c r="AF1912" s="12"/>
      <c r="AG1912" s="12"/>
      <c r="AH1912" s="12"/>
      <c r="AI1912" s="6"/>
      <c r="AJ1912" s="12"/>
      <c r="AK1912" s="1"/>
      <c r="AL1912" s="12"/>
      <c r="AM1912" s="12"/>
      <c r="AN1912" s="1"/>
      <c r="AO1912" s="6"/>
    </row>
    <row r="1913" spans="1:41" ht="15" x14ac:dyDescent="0.25">
      <c r="A1913" s="1"/>
      <c r="B1913" s="1"/>
      <c r="C1913" s="1"/>
      <c r="D1913" s="1"/>
      <c r="E1913" s="6"/>
      <c r="F1913" s="1"/>
      <c r="G1913" s="6"/>
      <c r="H1913" s="6"/>
      <c r="I1913" s="6"/>
      <c r="J1913" s="6"/>
      <c r="K1913" s="6"/>
      <c r="L1913" s="6"/>
      <c r="M1913" s="6"/>
      <c r="N1913" s="6"/>
      <c r="O1913" s="7"/>
      <c r="P1913" s="6"/>
      <c r="Q1913" s="7"/>
      <c r="R1913" s="6"/>
      <c r="S1913" s="6"/>
      <c r="T1913" s="6"/>
      <c r="U1913" s="6"/>
      <c r="V1913" s="7"/>
      <c r="W1913" s="6"/>
      <c r="X1913" s="6"/>
      <c r="Y1913" s="6"/>
      <c r="Z1913" s="6"/>
      <c r="AA1913" s="24"/>
      <c r="AB1913" s="25"/>
      <c r="AC1913" s="12"/>
      <c r="AD1913" s="12"/>
      <c r="AE1913" s="12"/>
      <c r="AF1913" s="6"/>
      <c r="AG1913" s="12"/>
      <c r="AH1913" s="6"/>
      <c r="AI1913" s="6"/>
      <c r="AJ1913" s="12"/>
      <c r="AK1913" s="12"/>
      <c r="AL1913" s="12"/>
      <c r="AM1913" s="12"/>
      <c r="AN1913" s="1"/>
      <c r="AO1913" s="6"/>
    </row>
    <row r="1914" spans="1:41" ht="15" x14ac:dyDescent="0.25">
      <c r="A1914" s="1"/>
      <c r="B1914" s="1"/>
      <c r="C1914" s="1"/>
      <c r="D1914" s="1"/>
      <c r="E1914" s="6"/>
      <c r="F1914" s="1"/>
      <c r="G1914" s="6"/>
      <c r="H1914" s="6"/>
      <c r="I1914" s="6"/>
      <c r="J1914" s="6"/>
      <c r="K1914" s="6"/>
      <c r="L1914" s="6"/>
      <c r="M1914" s="6"/>
      <c r="N1914" s="6"/>
      <c r="O1914" s="7"/>
      <c r="P1914" s="12"/>
      <c r="Q1914" s="6"/>
      <c r="R1914" s="7"/>
      <c r="S1914" s="6"/>
      <c r="T1914" s="6"/>
      <c r="U1914" s="7"/>
      <c r="V1914" s="6"/>
      <c r="W1914" s="6"/>
      <c r="X1914" s="6"/>
      <c r="Y1914" s="6"/>
      <c r="Z1914" s="6"/>
      <c r="AA1914" s="7"/>
      <c r="AB1914" s="6"/>
      <c r="AC1914" s="6"/>
      <c r="AD1914" s="6"/>
      <c r="AE1914" s="12"/>
      <c r="AF1914" s="12"/>
      <c r="AG1914" s="12"/>
      <c r="AH1914" s="12"/>
      <c r="AI1914" s="6"/>
      <c r="AJ1914" s="12"/>
      <c r="AK1914" s="1"/>
      <c r="AL1914" s="12"/>
      <c r="AM1914" s="12"/>
      <c r="AN1914" s="1"/>
      <c r="AO1914" s="6"/>
    </row>
    <row r="1915" spans="1:41" ht="15" x14ac:dyDescent="0.25">
      <c r="A1915" s="1"/>
      <c r="B1915" s="1"/>
      <c r="C1915" s="1"/>
      <c r="D1915" s="1"/>
      <c r="E1915" s="6"/>
      <c r="F1915" s="1"/>
      <c r="G1915" s="6"/>
      <c r="H1915" s="6"/>
      <c r="I1915" s="6"/>
      <c r="J1915" s="6"/>
      <c r="K1915" s="6"/>
      <c r="L1915" s="6"/>
      <c r="M1915" s="6"/>
      <c r="N1915" s="6"/>
      <c r="O1915" s="7"/>
      <c r="P1915" s="6"/>
      <c r="Q1915" s="6"/>
      <c r="R1915" s="7"/>
      <c r="S1915" s="6"/>
      <c r="T1915" s="6"/>
      <c r="U1915" s="7"/>
      <c r="V1915" s="6"/>
      <c r="W1915" s="6"/>
      <c r="X1915" s="6"/>
      <c r="Y1915" s="6"/>
      <c r="Z1915" s="6"/>
      <c r="AA1915" s="7"/>
      <c r="AB1915" s="6"/>
      <c r="AC1915" s="6"/>
      <c r="AD1915" s="6"/>
      <c r="AE1915" s="12"/>
      <c r="AF1915" s="12"/>
      <c r="AG1915" s="12"/>
      <c r="AH1915" s="12"/>
      <c r="AI1915" s="6"/>
      <c r="AJ1915" s="12"/>
      <c r="AK1915" s="1"/>
      <c r="AL1915" s="12"/>
      <c r="AM1915" s="12"/>
      <c r="AN1915" s="1"/>
      <c r="AO1915" s="12"/>
    </row>
    <row r="1916" spans="1:41" ht="15" x14ac:dyDescent="0.25">
      <c r="A1916" s="1"/>
      <c r="B1916" s="1"/>
      <c r="C1916" s="1"/>
      <c r="D1916" s="1"/>
      <c r="E1916" s="6"/>
      <c r="F1916" s="1"/>
      <c r="G1916" s="6"/>
      <c r="H1916" s="6"/>
      <c r="I1916" s="6"/>
      <c r="J1916" s="6"/>
      <c r="K1916" s="6"/>
      <c r="L1916" s="6"/>
      <c r="M1916" s="6"/>
      <c r="N1916" s="6"/>
      <c r="O1916" s="7"/>
      <c r="P1916" s="6"/>
      <c r="Q1916" s="7"/>
      <c r="R1916" s="6"/>
      <c r="S1916" s="6"/>
      <c r="T1916" s="6"/>
      <c r="U1916" s="6"/>
      <c r="V1916" s="7"/>
      <c r="W1916" s="7"/>
      <c r="X1916" s="6"/>
      <c r="Y1916" s="6"/>
      <c r="Z1916" s="6"/>
      <c r="AA1916" s="1"/>
      <c r="AB1916" s="12"/>
      <c r="AC1916" s="12"/>
      <c r="AD1916" s="12"/>
      <c r="AE1916" s="12"/>
      <c r="AF1916" s="12"/>
      <c r="AG1916" s="12"/>
      <c r="AH1916" s="12"/>
      <c r="AI1916" s="6"/>
      <c r="AJ1916" s="12"/>
      <c r="AK1916" s="12"/>
      <c r="AL1916" s="12"/>
      <c r="AM1916" s="12"/>
      <c r="AN1916" s="1"/>
      <c r="AO1916" s="6"/>
    </row>
    <row r="1917" spans="1:41" ht="15" x14ac:dyDescent="0.25">
      <c r="A1917" s="1"/>
      <c r="B1917" s="1"/>
      <c r="C1917" s="1"/>
      <c r="D1917" s="1"/>
      <c r="E1917" s="6"/>
      <c r="F1917" s="1"/>
      <c r="G1917" s="6"/>
      <c r="H1917" s="6"/>
      <c r="I1917" s="6"/>
      <c r="J1917" s="6"/>
      <c r="K1917" s="6"/>
      <c r="L1917" s="6"/>
      <c r="M1917" s="6"/>
      <c r="N1917" s="6"/>
      <c r="O1917" s="7"/>
      <c r="P1917" s="6"/>
      <c r="Q1917" s="6"/>
      <c r="R1917" s="7"/>
      <c r="S1917" s="6"/>
      <c r="T1917" s="6"/>
      <c r="U1917" s="7"/>
      <c r="V1917" s="6"/>
      <c r="W1917" s="6"/>
      <c r="X1917" s="12"/>
      <c r="Y1917" s="6"/>
      <c r="Z1917" s="6"/>
      <c r="AA1917" s="7"/>
      <c r="AB1917" s="6"/>
      <c r="AC1917" s="6"/>
      <c r="AD1917" s="6"/>
      <c r="AE1917" s="12"/>
      <c r="AF1917" s="6"/>
      <c r="AG1917" s="12"/>
      <c r="AH1917" s="6"/>
      <c r="AI1917" s="6"/>
      <c r="AJ1917" s="12"/>
      <c r="AK1917" s="24"/>
      <c r="AL1917" s="25"/>
      <c r="AM1917" s="12"/>
      <c r="AN1917" s="1"/>
      <c r="AO1917" s="6"/>
    </row>
    <row r="1918" spans="1:41" ht="15" x14ac:dyDescent="0.25">
      <c r="A1918" s="1"/>
      <c r="B1918" s="1"/>
      <c r="C1918" s="1"/>
      <c r="D1918" s="1"/>
      <c r="E1918" s="6"/>
      <c r="F1918" s="1"/>
      <c r="G1918" s="6"/>
      <c r="H1918" s="6"/>
      <c r="I1918" s="6"/>
      <c r="J1918" s="6"/>
      <c r="K1918" s="6"/>
      <c r="L1918" s="6"/>
      <c r="M1918" s="6"/>
      <c r="N1918" s="6"/>
      <c r="O1918" s="7"/>
      <c r="P1918" s="6"/>
      <c r="Q1918" s="6"/>
      <c r="R1918" s="7"/>
      <c r="S1918" s="6"/>
      <c r="T1918" s="6"/>
      <c r="U1918" s="7"/>
      <c r="V1918" s="6"/>
      <c r="W1918" s="6"/>
      <c r="X1918" s="6"/>
      <c r="Y1918" s="6"/>
      <c r="Z1918" s="6"/>
      <c r="AA1918" s="7"/>
      <c r="AB1918" s="6"/>
      <c r="AC1918" s="6"/>
      <c r="AD1918" s="6"/>
      <c r="AE1918" s="12"/>
      <c r="AF1918" s="6"/>
      <c r="AG1918" s="12"/>
      <c r="AH1918" s="6"/>
      <c r="AI1918" s="6"/>
      <c r="AJ1918" s="12"/>
      <c r="AK1918" s="1"/>
      <c r="AL1918" s="12"/>
      <c r="AM1918" s="12"/>
      <c r="AN1918" s="1"/>
      <c r="AO1918" s="6"/>
    </row>
    <row r="1919" spans="1:41" ht="15" x14ac:dyDescent="0.25">
      <c r="A1919" s="1"/>
      <c r="B1919" s="1"/>
      <c r="C1919" s="1"/>
      <c r="D1919" s="1"/>
      <c r="E1919" s="6"/>
      <c r="F1919" s="1"/>
      <c r="G1919" s="6"/>
      <c r="H1919" s="6"/>
      <c r="I1919" s="6"/>
      <c r="J1919" s="6"/>
      <c r="K1919" s="6"/>
      <c r="L1919" s="6"/>
      <c r="M1919" s="6"/>
      <c r="N1919" s="6"/>
      <c r="O1919" s="7"/>
      <c r="P1919" s="12"/>
      <c r="Q1919" s="6"/>
      <c r="R1919" s="7"/>
      <c r="S1919" s="6"/>
      <c r="T1919" s="6"/>
      <c r="U1919" s="7"/>
      <c r="V1919" s="6"/>
      <c r="W1919" s="6"/>
      <c r="X1919" s="6"/>
      <c r="Y1919" s="6"/>
      <c r="Z1919" s="6"/>
      <c r="AA1919" s="15"/>
      <c r="AB1919" s="6"/>
      <c r="AC1919" s="6"/>
      <c r="AD1919" s="6"/>
      <c r="AE1919" s="12"/>
      <c r="AF1919" s="12"/>
      <c r="AG1919" s="12"/>
      <c r="AH1919" s="12"/>
      <c r="AI1919" s="6"/>
      <c r="AJ1919" s="12"/>
      <c r="AK1919" s="1"/>
      <c r="AL1919" s="12"/>
      <c r="AM1919" s="12"/>
      <c r="AN1919" s="1"/>
      <c r="AO1919" s="6"/>
    </row>
    <row r="1920" spans="1:41" ht="15" x14ac:dyDescent="0.25">
      <c r="A1920" s="1"/>
      <c r="B1920" s="1"/>
      <c r="C1920" s="1"/>
      <c r="D1920" s="1"/>
      <c r="E1920" s="6"/>
      <c r="F1920" s="1"/>
      <c r="G1920" s="6"/>
      <c r="H1920" s="6"/>
      <c r="I1920" s="6"/>
      <c r="J1920" s="6"/>
      <c r="K1920" s="6"/>
      <c r="L1920" s="6"/>
      <c r="M1920" s="6"/>
      <c r="N1920" s="6"/>
      <c r="O1920" s="7"/>
      <c r="P1920" s="12"/>
      <c r="Q1920" s="6"/>
      <c r="R1920" s="7"/>
      <c r="S1920" s="6"/>
      <c r="T1920" s="6"/>
      <c r="U1920" s="7"/>
      <c r="V1920" s="6"/>
      <c r="W1920" s="6"/>
      <c r="X1920" s="12"/>
      <c r="Y1920" s="6"/>
      <c r="Z1920" s="6"/>
      <c r="AA1920" s="7"/>
      <c r="AB1920" s="6"/>
      <c r="AC1920" s="6"/>
      <c r="AD1920" s="6"/>
      <c r="AE1920" s="12"/>
      <c r="AF1920" s="6"/>
      <c r="AG1920" s="12"/>
      <c r="AH1920" s="6"/>
      <c r="AI1920" s="6"/>
      <c r="AJ1920" s="12"/>
      <c r="AK1920" s="1"/>
      <c r="AL1920" s="12"/>
      <c r="AM1920" s="12"/>
      <c r="AN1920" s="1"/>
      <c r="AO1920" s="6"/>
    </row>
    <row r="1921" spans="1:41" ht="15" x14ac:dyDescent="0.25">
      <c r="A1921" s="1"/>
      <c r="B1921" s="1"/>
      <c r="C1921" s="1"/>
      <c r="D1921" s="1"/>
      <c r="E1921" s="6"/>
      <c r="F1921" s="1"/>
      <c r="G1921" s="6"/>
      <c r="H1921" s="6"/>
      <c r="I1921" s="6"/>
      <c r="J1921" s="6"/>
      <c r="K1921" s="6"/>
      <c r="L1921" s="6"/>
      <c r="M1921" s="6"/>
      <c r="N1921" s="6"/>
      <c r="O1921" s="7"/>
      <c r="P1921" s="6"/>
      <c r="Q1921" s="6"/>
      <c r="R1921" s="7"/>
      <c r="S1921" s="6"/>
      <c r="T1921" s="6"/>
      <c r="U1921" s="7"/>
      <c r="V1921" s="6"/>
      <c r="W1921" s="6"/>
      <c r="X1921" s="12"/>
      <c r="Y1921" s="6"/>
      <c r="Z1921" s="6"/>
      <c r="AA1921" s="7"/>
      <c r="AB1921" s="6"/>
      <c r="AC1921" s="6"/>
      <c r="AD1921" s="6"/>
      <c r="AE1921" s="12"/>
      <c r="AF1921" s="12"/>
      <c r="AG1921" s="12"/>
      <c r="AH1921" s="12"/>
      <c r="AI1921" s="6"/>
      <c r="AJ1921" s="12"/>
      <c r="AK1921" s="1"/>
      <c r="AL1921" s="12"/>
      <c r="AM1921" s="12"/>
      <c r="AN1921" s="1"/>
      <c r="AO1921" s="6"/>
    </row>
    <row r="1922" spans="1:41" ht="15" x14ac:dyDescent="0.25">
      <c r="A1922" s="1"/>
      <c r="B1922" s="1"/>
      <c r="C1922" s="1"/>
      <c r="D1922" s="1"/>
      <c r="E1922" s="6"/>
      <c r="F1922" s="1"/>
      <c r="G1922" s="6"/>
      <c r="H1922" s="6"/>
      <c r="I1922" s="6"/>
      <c r="J1922" s="6"/>
      <c r="K1922" s="6"/>
      <c r="L1922" s="6"/>
      <c r="M1922" s="6"/>
      <c r="N1922" s="6"/>
      <c r="O1922" s="7"/>
      <c r="P1922" s="6"/>
      <c r="Q1922" s="7"/>
      <c r="R1922" s="6"/>
      <c r="S1922" s="6"/>
      <c r="T1922" s="6"/>
      <c r="U1922" s="6"/>
      <c r="V1922" s="7"/>
      <c r="W1922" s="7"/>
      <c r="X1922" s="6"/>
      <c r="Y1922" s="6"/>
      <c r="Z1922" s="6"/>
      <c r="AA1922" s="1"/>
      <c r="AB1922" s="12"/>
      <c r="AC1922" s="12"/>
      <c r="AD1922" s="12"/>
      <c r="AE1922" s="12"/>
      <c r="AF1922" s="12"/>
      <c r="AG1922" s="12"/>
      <c r="AH1922" s="12"/>
      <c r="AI1922" s="6"/>
      <c r="AJ1922" s="12"/>
      <c r="AK1922" s="12"/>
      <c r="AL1922" s="12"/>
      <c r="AM1922" s="12"/>
      <c r="AN1922" s="1"/>
      <c r="AO1922" s="6"/>
    </row>
    <row r="1923" spans="1:41" ht="15" x14ac:dyDescent="0.25">
      <c r="A1923" s="1"/>
      <c r="B1923" s="1"/>
      <c r="C1923" s="1"/>
      <c r="D1923" s="1"/>
      <c r="E1923" s="6"/>
      <c r="F1923" s="1"/>
      <c r="G1923" s="6"/>
      <c r="H1923" s="6"/>
      <c r="I1923" s="6"/>
      <c r="J1923" s="6"/>
      <c r="K1923" s="6"/>
      <c r="L1923" s="6"/>
      <c r="M1923" s="6"/>
      <c r="N1923" s="6"/>
      <c r="O1923" s="7"/>
      <c r="P1923" s="6"/>
      <c r="Q1923" s="6"/>
      <c r="R1923" s="7"/>
      <c r="S1923" s="6"/>
      <c r="T1923" s="6"/>
      <c r="U1923" s="7"/>
      <c r="V1923" s="6"/>
      <c r="W1923" s="6"/>
      <c r="X1923" s="6"/>
      <c r="Y1923" s="6"/>
      <c r="Z1923" s="6"/>
      <c r="AA1923" s="7"/>
      <c r="AB1923" s="6"/>
      <c r="AC1923" s="6"/>
      <c r="AD1923" s="6"/>
      <c r="AE1923" s="12"/>
      <c r="AF1923" s="12"/>
      <c r="AG1923" s="12"/>
      <c r="AH1923" s="12"/>
      <c r="AI1923" s="6"/>
      <c r="AJ1923" s="12"/>
      <c r="AK1923" s="1"/>
      <c r="AL1923" s="12"/>
      <c r="AM1923" s="12"/>
      <c r="AN1923" s="1"/>
      <c r="AO1923" s="6"/>
    </row>
    <row r="1924" spans="1:41" ht="15" x14ac:dyDescent="0.25">
      <c r="A1924" s="1"/>
      <c r="B1924" s="1"/>
      <c r="C1924" s="1"/>
      <c r="D1924" s="1"/>
      <c r="E1924" s="6"/>
      <c r="F1924" s="1"/>
      <c r="G1924" s="6"/>
      <c r="H1924" s="6"/>
      <c r="I1924" s="6"/>
      <c r="J1924" s="6"/>
      <c r="K1924" s="6"/>
      <c r="L1924" s="6"/>
      <c r="M1924" s="6"/>
      <c r="N1924" s="6"/>
      <c r="O1924" s="7"/>
      <c r="P1924" s="6"/>
      <c r="Q1924" s="6"/>
      <c r="R1924" s="7"/>
      <c r="S1924" s="6"/>
      <c r="T1924" s="6"/>
      <c r="U1924" s="7"/>
      <c r="V1924" s="6"/>
      <c r="W1924" s="6"/>
      <c r="X1924" s="6"/>
      <c r="Y1924" s="6"/>
      <c r="Z1924" s="6"/>
      <c r="AA1924" s="7"/>
      <c r="AB1924" s="6"/>
      <c r="AC1924" s="6"/>
      <c r="AD1924" s="6"/>
      <c r="AE1924" s="12"/>
      <c r="AF1924" s="12"/>
      <c r="AG1924" s="12"/>
      <c r="AH1924" s="12"/>
      <c r="AI1924" s="6"/>
      <c r="AJ1924" s="12"/>
      <c r="AK1924" s="1"/>
      <c r="AL1924" s="12"/>
      <c r="AM1924" s="12"/>
      <c r="AN1924" s="1"/>
      <c r="AO1924" s="6"/>
    </row>
    <row r="1925" spans="1:41" ht="15" x14ac:dyDescent="0.25">
      <c r="A1925" s="1"/>
      <c r="B1925" s="1"/>
      <c r="C1925" s="1"/>
      <c r="D1925" s="1"/>
      <c r="E1925" s="6"/>
      <c r="F1925" s="1"/>
      <c r="G1925" s="6"/>
      <c r="H1925" s="6"/>
      <c r="I1925" s="6"/>
      <c r="J1925" s="6"/>
      <c r="K1925" s="6"/>
      <c r="L1925" s="6"/>
      <c r="M1925" s="6"/>
      <c r="N1925" s="6"/>
      <c r="O1925" s="7"/>
      <c r="P1925" s="6"/>
      <c r="Q1925" s="6"/>
      <c r="R1925" s="7"/>
      <c r="S1925" s="6"/>
      <c r="T1925" s="6"/>
      <c r="U1925" s="7"/>
      <c r="V1925" s="6"/>
      <c r="W1925" s="6"/>
      <c r="X1925" s="6"/>
      <c r="Y1925" s="6"/>
      <c r="Z1925" s="6"/>
      <c r="AA1925" s="7"/>
      <c r="AB1925" s="6"/>
      <c r="AC1925" s="6"/>
      <c r="AD1925" s="6"/>
      <c r="AE1925" s="12"/>
      <c r="AF1925" s="12"/>
      <c r="AG1925" s="12"/>
      <c r="AH1925" s="12"/>
      <c r="AI1925" s="6"/>
      <c r="AJ1925" s="12"/>
      <c r="AK1925" s="1"/>
      <c r="AL1925" s="12"/>
      <c r="AM1925" s="12"/>
      <c r="AN1925" s="1"/>
      <c r="AO1925" s="6"/>
    </row>
    <row r="1926" spans="1:41" ht="15" x14ac:dyDescent="0.25">
      <c r="A1926" s="1"/>
      <c r="B1926" s="1"/>
      <c r="C1926" s="1"/>
      <c r="D1926" s="1"/>
      <c r="E1926" s="6"/>
      <c r="F1926" s="1"/>
      <c r="G1926" s="6"/>
      <c r="H1926" s="6"/>
      <c r="I1926" s="6"/>
      <c r="J1926" s="6"/>
      <c r="K1926" s="6"/>
      <c r="L1926" s="6"/>
      <c r="M1926" s="6"/>
      <c r="N1926" s="6"/>
      <c r="O1926" s="7"/>
      <c r="P1926" s="6"/>
      <c r="Q1926" s="6"/>
      <c r="R1926" s="7"/>
      <c r="S1926" s="6"/>
      <c r="T1926" s="6"/>
      <c r="U1926" s="7"/>
      <c r="V1926" s="6"/>
      <c r="W1926" s="6"/>
      <c r="X1926" s="6"/>
      <c r="Y1926" s="6"/>
      <c r="Z1926" s="6"/>
      <c r="AA1926" s="7"/>
      <c r="AB1926" s="6"/>
      <c r="AC1926" s="6"/>
      <c r="AD1926" s="6"/>
      <c r="AE1926" s="12"/>
      <c r="AF1926" s="6"/>
      <c r="AG1926" s="12"/>
      <c r="AH1926" s="6"/>
      <c r="AI1926" s="6"/>
      <c r="AJ1926" s="12"/>
      <c r="AK1926" s="24"/>
      <c r="AL1926" s="25"/>
      <c r="AM1926" s="12"/>
      <c r="AN1926" s="1"/>
      <c r="AO1926" s="6"/>
    </row>
    <row r="1927" spans="1:41" ht="15" x14ac:dyDescent="0.25">
      <c r="A1927" s="1"/>
      <c r="B1927" s="1"/>
      <c r="C1927" s="1"/>
      <c r="D1927" s="1"/>
      <c r="E1927" s="6"/>
      <c r="F1927" s="1"/>
      <c r="G1927" s="6"/>
      <c r="H1927" s="6"/>
      <c r="I1927" s="6"/>
      <c r="J1927" s="6"/>
      <c r="K1927" s="6"/>
      <c r="L1927" s="6"/>
      <c r="M1927" s="6"/>
      <c r="N1927" s="6"/>
      <c r="O1927" s="7"/>
      <c r="P1927" s="6"/>
      <c r="Q1927" s="7"/>
      <c r="R1927" s="6"/>
      <c r="S1927" s="6"/>
      <c r="T1927" s="6"/>
      <c r="U1927" s="6"/>
      <c r="V1927" s="7"/>
      <c r="W1927" s="6"/>
      <c r="X1927" s="6"/>
      <c r="Y1927" s="6"/>
      <c r="Z1927" s="6"/>
      <c r="AA1927" s="1"/>
      <c r="AB1927" s="12"/>
      <c r="AC1927" s="12"/>
      <c r="AD1927" s="12"/>
      <c r="AE1927" s="12"/>
      <c r="AF1927" s="6"/>
      <c r="AG1927" s="12"/>
      <c r="AH1927" s="6"/>
      <c r="AI1927" s="6"/>
      <c r="AJ1927" s="12"/>
      <c r="AK1927" s="12"/>
      <c r="AL1927" s="12"/>
      <c r="AM1927" s="12"/>
      <c r="AN1927" s="1"/>
      <c r="AO1927" s="6"/>
    </row>
    <row r="1928" spans="1:41" ht="15" x14ac:dyDescent="0.25">
      <c r="A1928" s="1"/>
      <c r="B1928" s="1"/>
      <c r="C1928" s="1"/>
      <c r="D1928" s="1"/>
      <c r="E1928" s="6"/>
      <c r="F1928" s="1"/>
      <c r="G1928" s="6"/>
      <c r="H1928" s="6"/>
      <c r="I1928" s="6"/>
      <c r="J1928" s="6"/>
      <c r="K1928" s="6"/>
      <c r="L1928" s="6"/>
      <c r="M1928" s="6"/>
      <c r="N1928" s="6"/>
      <c r="O1928" s="7"/>
      <c r="P1928" s="6"/>
      <c r="Q1928" s="6"/>
      <c r="R1928" s="7"/>
      <c r="S1928" s="6"/>
      <c r="T1928" s="6"/>
      <c r="U1928" s="7"/>
      <c r="V1928" s="6"/>
      <c r="W1928" s="6"/>
      <c r="X1928" s="12"/>
      <c r="Y1928" s="6"/>
      <c r="Z1928" s="6"/>
      <c r="AA1928" s="7"/>
      <c r="AB1928" s="6"/>
      <c r="AC1928" s="6"/>
      <c r="AD1928" s="6"/>
      <c r="AE1928" s="12"/>
      <c r="AF1928" s="6"/>
      <c r="AG1928" s="12"/>
      <c r="AH1928" s="6"/>
      <c r="AI1928" s="6"/>
      <c r="AJ1928" s="12"/>
      <c r="AK1928" s="24"/>
      <c r="AL1928" s="25"/>
      <c r="AM1928" s="12"/>
      <c r="AN1928" s="1"/>
      <c r="AO1928" s="6"/>
    </row>
    <row r="1929" spans="1:41" ht="15" x14ac:dyDescent="0.25">
      <c r="A1929" s="1"/>
      <c r="B1929" s="1"/>
      <c r="C1929" s="1"/>
      <c r="D1929" s="1"/>
      <c r="E1929" s="6"/>
      <c r="F1929" s="1"/>
      <c r="G1929" s="6"/>
      <c r="H1929" s="6"/>
      <c r="I1929" s="6"/>
      <c r="J1929" s="6"/>
      <c r="K1929" s="6"/>
      <c r="L1929" s="6"/>
      <c r="M1929" s="6"/>
      <c r="N1929" s="6"/>
      <c r="O1929" s="7"/>
      <c r="P1929" s="6"/>
      <c r="Q1929" s="6"/>
      <c r="R1929" s="7"/>
      <c r="S1929" s="6"/>
      <c r="T1929" s="6"/>
      <c r="U1929" s="7"/>
      <c r="V1929" s="6"/>
      <c r="W1929" s="6"/>
      <c r="X1929" s="6"/>
      <c r="Y1929" s="6"/>
      <c r="Z1929" s="6"/>
      <c r="AA1929" s="7"/>
      <c r="AB1929" s="6"/>
      <c r="AC1929" s="6"/>
      <c r="AD1929" s="6"/>
      <c r="AE1929" s="12"/>
      <c r="AF1929" s="6"/>
      <c r="AG1929" s="12"/>
      <c r="AH1929" s="6"/>
      <c r="AI1929" s="6"/>
      <c r="AJ1929" s="12"/>
      <c r="AK1929" s="24"/>
      <c r="AL1929" s="25"/>
      <c r="AM1929" s="12"/>
      <c r="AN1929" s="1"/>
      <c r="AO1929" s="6"/>
    </row>
    <row r="1930" spans="1:41" ht="15" x14ac:dyDescent="0.25">
      <c r="A1930" s="1"/>
      <c r="B1930" s="1"/>
      <c r="C1930" s="1"/>
      <c r="D1930" s="1"/>
      <c r="E1930" s="6"/>
      <c r="F1930" s="1"/>
      <c r="G1930" s="6"/>
      <c r="H1930" s="6"/>
      <c r="I1930" s="6"/>
      <c r="J1930" s="6"/>
      <c r="K1930" s="6"/>
      <c r="L1930" s="6"/>
      <c r="M1930" s="6"/>
      <c r="N1930" s="6"/>
      <c r="O1930" s="7"/>
      <c r="P1930" s="6"/>
      <c r="Q1930" s="6"/>
      <c r="R1930" s="7"/>
      <c r="S1930" s="6"/>
      <c r="T1930" s="6"/>
      <c r="U1930" s="7"/>
      <c r="V1930" s="6"/>
      <c r="W1930" s="6"/>
      <c r="X1930" s="6"/>
      <c r="Y1930" s="6"/>
      <c r="Z1930" s="6"/>
      <c r="AA1930" s="7"/>
      <c r="AB1930" s="6"/>
      <c r="AC1930" s="6"/>
      <c r="AD1930" s="6"/>
      <c r="AE1930" s="12"/>
      <c r="AF1930" s="6"/>
      <c r="AG1930" s="12"/>
      <c r="AH1930" s="6"/>
      <c r="AI1930" s="6"/>
      <c r="AJ1930" s="12"/>
      <c r="AK1930" s="24"/>
      <c r="AL1930" s="25"/>
      <c r="AM1930" s="12"/>
      <c r="AN1930" s="1"/>
      <c r="AO1930" s="6"/>
    </row>
    <row r="1931" spans="1:41" ht="15" x14ac:dyDescent="0.25">
      <c r="A1931" s="1"/>
      <c r="B1931" s="1"/>
      <c r="C1931" s="1"/>
      <c r="D1931" s="1"/>
      <c r="E1931" s="6"/>
      <c r="F1931" s="1"/>
      <c r="G1931" s="6"/>
      <c r="H1931" s="6"/>
      <c r="I1931" s="6"/>
      <c r="J1931" s="6"/>
      <c r="K1931" s="6"/>
      <c r="L1931" s="6"/>
      <c r="M1931" s="6"/>
      <c r="N1931" s="6"/>
      <c r="O1931" s="7"/>
      <c r="P1931" s="6"/>
      <c r="Q1931" s="6"/>
      <c r="R1931" s="7"/>
      <c r="S1931" s="6"/>
      <c r="T1931" s="6"/>
      <c r="U1931" s="7"/>
      <c r="V1931" s="6"/>
      <c r="W1931" s="6"/>
      <c r="X1931" s="12"/>
      <c r="Y1931" s="6"/>
      <c r="Z1931" s="6"/>
      <c r="AA1931" s="7"/>
      <c r="AB1931" s="6"/>
      <c r="AC1931" s="6"/>
      <c r="AD1931" s="6"/>
      <c r="AE1931" s="12"/>
      <c r="AF1931" s="6"/>
      <c r="AG1931" s="12"/>
      <c r="AH1931" s="6"/>
      <c r="AI1931" s="6"/>
      <c r="AJ1931" s="12"/>
      <c r="AK1931" s="1"/>
      <c r="AL1931" s="12"/>
      <c r="AM1931" s="12"/>
      <c r="AN1931" s="1"/>
      <c r="AO1931" s="6"/>
    </row>
    <row r="1932" spans="1:41" ht="15" x14ac:dyDescent="0.25">
      <c r="A1932" s="1"/>
      <c r="B1932" s="1"/>
      <c r="C1932" s="1"/>
      <c r="D1932" s="1"/>
      <c r="E1932" s="6"/>
      <c r="F1932" s="1"/>
      <c r="G1932" s="6"/>
      <c r="H1932" s="6"/>
      <c r="I1932" s="6"/>
      <c r="J1932" s="6"/>
      <c r="K1932" s="6"/>
      <c r="L1932" s="6"/>
      <c r="M1932" s="6"/>
      <c r="N1932" s="6"/>
      <c r="O1932" s="7"/>
      <c r="P1932" s="6"/>
      <c r="Q1932" s="6"/>
      <c r="R1932" s="7"/>
      <c r="S1932" s="6"/>
      <c r="T1932" s="6"/>
      <c r="U1932" s="7"/>
      <c r="V1932" s="6"/>
      <c r="W1932" s="6"/>
      <c r="X1932" s="6"/>
      <c r="Y1932" s="6"/>
      <c r="Z1932" s="6"/>
      <c r="AA1932" s="7"/>
      <c r="AB1932" s="6"/>
      <c r="AC1932" s="6"/>
      <c r="AD1932" s="6"/>
      <c r="AE1932" s="12"/>
      <c r="AF1932" s="6"/>
      <c r="AG1932" s="12"/>
      <c r="AH1932" s="6"/>
      <c r="AI1932" s="6"/>
      <c r="AJ1932" s="12"/>
      <c r="AK1932" s="24"/>
      <c r="AL1932" s="25"/>
      <c r="AM1932" s="12"/>
      <c r="AN1932" s="1"/>
      <c r="AO1932" s="6"/>
    </row>
    <row r="1933" spans="1:41" ht="15" x14ac:dyDescent="0.25">
      <c r="A1933" s="1"/>
      <c r="B1933" s="1"/>
      <c r="C1933" s="1"/>
      <c r="D1933" s="1"/>
      <c r="E1933" s="6"/>
      <c r="F1933" s="1"/>
      <c r="G1933" s="6"/>
      <c r="H1933" s="6"/>
      <c r="I1933" s="6"/>
      <c r="J1933" s="6"/>
      <c r="K1933" s="12"/>
      <c r="L1933" s="12"/>
      <c r="M1933" s="6"/>
      <c r="N1933" s="6"/>
      <c r="O1933" s="7"/>
      <c r="P1933" s="6"/>
      <c r="Q1933" s="6"/>
      <c r="R1933" s="7"/>
      <c r="S1933" s="6"/>
      <c r="T1933" s="6"/>
      <c r="U1933" s="7"/>
      <c r="V1933" s="12"/>
      <c r="W1933" s="12"/>
      <c r="X1933" s="12"/>
      <c r="Y1933" s="6"/>
      <c r="Z1933" s="6"/>
      <c r="AA1933" s="7"/>
      <c r="AB1933" s="6"/>
      <c r="AC1933" s="6"/>
      <c r="AD1933" s="6"/>
      <c r="AE1933" s="12"/>
      <c r="AF1933" s="12"/>
      <c r="AG1933" s="12"/>
      <c r="AH1933" s="12"/>
      <c r="AI1933" s="6"/>
      <c r="AJ1933" s="12"/>
      <c r="AK1933" s="24"/>
      <c r="AL1933" s="25"/>
      <c r="AM1933" s="12"/>
      <c r="AN1933" s="1"/>
      <c r="AO1933" s="12"/>
    </row>
    <row r="1934" spans="1:41" ht="15" x14ac:dyDescent="0.25">
      <c r="A1934" s="1"/>
      <c r="B1934" s="1"/>
      <c r="C1934" s="1"/>
      <c r="D1934" s="1"/>
      <c r="E1934" s="6"/>
      <c r="F1934" s="1"/>
      <c r="G1934" s="6"/>
      <c r="H1934" s="6"/>
      <c r="I1934" s="6"/>
      <c r="J1934" s="6"/>
      <c r="K1934" s="6"/>
      <c r="L1934" s="6"/>
      <c r="M1934" s="6"/>
      <c r="N1934" s="6"/>
      <c r="O1934" s="7"/>
      <c r="P1934" s="6"/>
      <c r="Q1934" s="6"/>
      <c r="R1934" s="7"/>
      <c r="S1934" s="6"/>
      <c r="T1934" s="6"/>
      <c r="U1934" s="7"/>
      <c r="V1934" s="6"/>
      <c r="W1934" s="6"/>
      <c r="X1934" s="12"/>
      <c r="Y1934" s="6"/>
      <c r="Z1934" s="6"/>
      <c r="AA1934" s="7"/>
      <c r="AB1934" s="6"/>
      <c r="AC1934" s="6"/>
      <c r="AD1934" s="6"/>
      <c r="AE1934" s="12"/>
      <c r="AF1934" s="6"/>
      <c r="AG1934" s="12"/>
      <c r="AH1934" s="6"/>
      <c r="AI1934" s="6"/>
      <c r="AJ1934" s="12"/>
      <c r="AK1934" s="24"/>
      <c r="AL1934" s="25"/>
      <c r="AM1934" s="12"/>
      <c r="AN1934" s="1"/>
      <c r="AO1934" s="6"/>
    </row>
    <row r="1935" spans="1:41" ht="15" x14ac:dyDescent="0.25">
      <c r="A1935" s="1"/>
      <c r="B1935" s="1"/>
      <c r="C1935" s="1"/>
      <c r="D1935" s="1"/>
      <c r="E1935" s="6"/>
      <c r="F1935" s="1"/>
      <c r="G1935" s="6"/>
      <c r="H1935" s="6"/>
      <c r="I1935" s="6"/>
      <c r="J1935" s="6"/>
      <c r="K1935" s="6"/>
      <c r="L1935" s="6"/>
      <c r="M1935" s="6"/>
      <c r="N1935" s="6"/>
      <c r="O1935" s="7"/>
      <c r="P1935" s="6"/>
      <c r="Q1935" s="6"/>
      <c r="R1935" s="7"/>
      <c r="S1935" s="6"/>
      <c r="T1935" s="6"/>
      <c r="U1935" s="7"/>
      <c r="V1935" s="6"/>
      <c r="W1935" s="6"/>
      <c r="X1935" s="6"/>
      <c r="Y1935" s="6"/>
      <c r="Z1935" s="6"/>
      <c r="AA1935" s="7"/>
      <c r="AB1935" s="6"/>
      <c r="AC1935" s="6"/>
      <c r="AD1935" s="6"/>
      <c r="AE1935" s="12"/>
      <c r="AF1935" s="6"/>
      <c r="AG1935" s="12"/>
      <c r="AH1935" s="6"/>
      <c r="AI1935" s="6"/>
      <c r="AJ1935" s="12"/>
      <c r="AK1935" s="24"/>
      <c r="AL1935" s="25"/>
      <c r="AM1935" s="12"/>
      <c r="AN1935" s="1"/>
      <c r="AO1935" s="6"/>
    </row>
    <row r="1936" spans="1:41" ht="15" x14ac:dyDescent="0.25">
      <c r="A1936" s="1"/>
      <c r="B1936" s="1"/>
      <c r="C1936" s="1"/>
      <c r="D1936" s="1"/>
      <c r="E1936" s="6"/>
      <c r="F1936" s="1"/>
      <c r="G1936" s="6"/>
      <c r="H1936" s="6"/>
      <c r="I1936" s="6"/>
      <c r="J1936" s="6"/>
      <c r="K1936" s="6"/>
      <c r="L1936" s="6"/>
      <c r="M1936" s="6"/>
      <c r="N1936" s="6"/>
      <c r="O1936" s="7"/>
      <c r="P1936" s="12"/>
      <c r="Q1936" s="6"/>
      <c r="R1936" s="7"/>
      <c r="S1936" s="6"/>
      <c r="T1936" s="6"/>
      <c r="U1936" s="7"/>
      <c r="V1936" s="6"/>
      <c r="W1936" s="6"/>
      <c r="X1936" s="6"/>
      <c r="Y1936" s="6"/>
      <c r="Z1936" s="6"/>
      <c r="AA1936" s="7"/>
      <c r="AB1936" s="6"/>
      <c r="AC1936" s="6"/>
      <c r="AD1936" s="6"/>
      <c r="AE1936" s="12"/>
      <c r="AF1936" s="12"/>
      <c r="AG1936" s="12"/>
      <c r="AH1936" s="12"/>
      <c r="AI1936" s="6"/>
      <c r="AJ1936" s="12"/>
      <c r="AK1936" s="1"/>
      <c r="AL1936" s="12"/>
      <c r="AM1936" s="12"/>
      <c r="AN1936" s="1"/>
      <c r="AO1936" s="6"/>
    </row>
    <row r="1937" spans="1:41" ht="15" x14ac:dyDescent="0.25">
      <c r="A1937" s="1"/>
      <c r="B1937" s="1"/>
      <c r="C1937" s="1"/>
      <c r="D1937" s="1"/>
      <c r="E1937" s="6"/>
      <c r="F1937" s="1"/>
      <c r="G1937" s="6"/>
      <c r="H1937" s="6"/>
      <c r="I1937" s="6"/>
      <c r="J1937" s="6"/>
      <c r="K1937" s="6"/>
      <c r="L1937" s="6"/>
      <c r="M1937" s="6"/>
      <c r="N1937" s="6"/>
      <c r="O1937" s="7"/>
      <c r="P1937" s="12"/>
      <c r="Q1937" s="6"/>
      <c r="R1937" s="7"/>
      <c r="S1937" s="6"/>
      <c r="T1937" s="6"/>
      <c r="U1937" s="7"/>
      <c r="V1937" s="6"/>
      <c r="W1937" s="6"/>
      <c r="X1937" s="6"/>
      <c r="Y1937" s="6"/>
      <c r="Z1937" s="6"/>
      <c r="AA1937" s="7"/>
      <c r="AB1937" s="6"/>
      <c r="AC1937" s="6"/>
      <c r="AD1937" s="6"/>
      <c r="AE1937" s="12"/>
      <c r="AF1937" s="6"/>
      <c r="AG1937" s="12"/>
      <c r="AH1937" s="6"/>
      <c r="AI1937" s="6"/>
      <c r="AJ1937" s="12"/>
      <c r="AK1937" s="1"/>
      <c r="AL1937" s="12"/>
      <c r="AM1937" s="12"/>
      <c r="AN1937" s="1"/>
      <c r="AO1937" s="6"/>
    </row>
    <row r="1938" spans="1:41" ht="15" x14ac:dyDescent="0.25">
      <c r="A1938" s="1"/>
      <c r="B1938" s="1"/>
      <c r="C1938" s="1"/>
      <c r="D1938" s="1"/>
      <c r="E1938" s="6"/>
      <c r="F1938" s="1"/>
      <c r="G1938" s="6"/>
      <c r="H1938" s="6"/>
      <c r="I1938" s="6"/>
      <c r="J1938" s="6"/>
      <c r="K1938" s="6"/>
      <c r="L1938" s="6"/>
      <c r="M1938" s="6"/>
      <c r="N1938" s="6"/>
      <c r="O1938" s="7"/>
      <c r="P1938" s="6"/>
      <c r="Q1938" s="6"/>
      <c r="R1938" s="7"/>
      <c r="S1938" s="6"/>
      <c r="T1938" s="6"/>
      <c r="U1938" s="7"/>
      <c r="V1938" s="6"/>
      <c r="W1938" s="6"/>
      <c r="X1938" s="6"/>
      <c r="Y1938" s="6"/>
      <c r="Z1938" s="6"/>
      <c r="AA1938" s="7"/>
      <c r="AB1938" s="6"/>
      <c r="AC1938" s="6"/>
      <c r="AD1938" s="6"/>
      <c r="AE1938" s="12"/>
      <c r="AF1938" s="12"/>
      <c r="AG1938" s="12"/>
      <c r="AH1938" s="12"/>
      <c r="AI1938" s="6"/>
      <c r="AJ1938" s="12"/>
      <c r="AK1938" s="1"/>
      <c r="AL1938" s="12"/>
      <c r="AM1938" s="12"/>
      <c r="AN1938" s="1"/>
      <c r="AO1938" s="6"/>
    </row>
    <row r="1939" spans="1:41" ht="15" x14ac:dyDescent="0.25">
      <c r="A1939" s="1"/>
      <c r="B1939" s="1"/>
      <c r="C1939" s="1"/>
      <c r="D1939" s="1"/>
      <c r="E1939" s="6"/>
      <c r="F1939" s="1"/>
      <c r="G1939" s="6"/>
      <c r="H1939" s="6"/>
      <c r="I1939" s="6"/>
      <c r="J1939" s="6"/>
      <c r="K1939" s="6"/>
      <c r="L1939" s="6"/>
      <c r="M1939" s="6"/>
      <c r="N1939" s="6"/>
      <c r="O1939" s="7"/>
      <c r="P1939" s="6"/>
      <c r="Q1939" s="6"/>
      <c r="R1939" s="12"/>
      <c r="S1939" s="12"/>
      <c r="T1939" s="12"/>
      <c r="U1939" s="7"/>
      <c r="V1939" s="6"/>
      <c r="W1939" s="6"/>
      <c r="X1939" s="12"/>
      <c r="Y1939" s="6"/>
      <c r="Z1939" s="6"/>
      <c r="AA1939" s="7"/>
      <c r="AB1939" s="6"/>
      <c r="AC1939" s="6"/>
      <c r="AD1939" s="6"/>
      <c r="AE1939" s="12"/>
      <c r="AF1939" s="12"/>
      <c r="AG1939" s="12"/>
      <c r="AH1939" s="12"/>
      <c r="AI1939" s="6"/>
      <c r="AJ1939" s="12"/>
      <c r="AK1939" s="1"/>
      <c r="AL1939" s="12"/>
      <c r="AM1939" s="12"/>
      <c r="AN1939" s="1"/>
      <c r="AO1939" s="6"/>
    </row>
    <row r="1940" spans="1:41" ht="15" x14ac:dyDescent="0.25">
      <c r="A1940" s="1"/>
      <c r="B1940" s="1"/>
      <c r="C1940" s="1"/>
      <c r="D1940" s="1"/>
      <c r="E1940" s="6"/>
      <c r="F1940" s="1"/>
      <c r="G1940" s="6"/>
      <c r="H1940" s="6"/>
      <c r="I1940" s="6"/>
      <c r="J1940" s="6"/>
      <c r="K1940" s="6"/>
      <c r="L1940" s="6"/>
      <c r="M1940" s="6"/>
      <c r="N1940" s="6"/>
      <c r="O1940" s="7"/>
      <c r="P1940" s="6"/>
      <c r="Q1940" s="6"/>
      <c r="R1940" s="7"/>
      <c r="S1940" s="6"/>
      <c r="T1940" s="6"/>
      <c r="U1940" s="7"/>
      <c r="V1940" s="6"/>
      <c r="W1940" s="6"/>
      <c r="X1940" s="12"/>
      <c r="Y1940" s="6"/>
      <c r="Z1940" s="6"/>
      <c r="AA1940" s="7"/>
      <c r="AB1940" s="6"/>
      <c r="AC1940" s="6"/>
      <c r="AD1940" s="6"/>
      <c r="AE1940" s="12"/>
      <c r="AF1940" s="6"/>
      <c r="AG1940" s="12"/>
      <c r="AH1940" s="6"/>
      <c r="AI1940" s="6"/>
      <c r="AJ1940" s="12"/>
      <c r="AK1940" s="1"/>
      <c r="AL1940" s="12"/>
      <c r="AM1940" s="12"/>
      <c r="AN1940" s="1"/>
      <c r="AO1940" s="6"/>
    </row>
    <row r="1941" spans="1:41" ht="15" x14ac:dyDescent="0.25">
      <c r="A1941" s="1"/>
      <c r="B1941" s="1"/>
      <c r="C1941" s="1"/>
      <c r="D1941" s="1"/>
      <c r="E1941" s="6"/>
      <c r="F1941" s="1"/>
      <c r="G1941" s="6"/>
      <c r="H1941" s="6"/>
      <c r="I1941" s="6"/>
      <c r="J1941" s="6"/>
      <c r="K1941" s="6"/>
      <c r="L1941" s="6"/>
      <c r="M1941" s="6"/>
      <c r="N1941" s="6"/>
      <c r="O1941" s="7"/>
      <c r="P1941" s="12"/>
      <c r="Q1941" s="6"/>
      <c r="R1941" s="7"/>
      <c r="S1941" s="6"/>
      <c r="T1941" s="6"/>
      <c r="U1941" s="7"/>
      <c r="V1941" s="6"/>
      <c r="W1941" s="6"/>
      <c r="X1941" s="6"/>
      <c r="Y1941" s="6"/>
      <c r="Z1941" s="6"/>
      <c r="AA1941" s="7"/>
      <c r="AB1941" s="6"/>
      <c r="AC1941" s="6"/>
      <c r="AD1941" s="6"/>
      <c r="AE1941" s="12"/>
      <c r="AF1941" s="12"/>
      <c r="AG1941" s="12"/>
      <c r="AH1941" s="12"/>
      <c r="AI1941" s="6"/>
      <c r="AJ1941" s="12"/>
      <c r="AK1941" s="1"/>
      <c r="AL1941" s="12"/>
      <c r="AM1941" s="12"/>
      <c r="AN1941" s="1"/>
      <c r="AO1941" s="6"/>
    </row>
    <row r="1942" spans="1:41" ht="15" x14ac:dyDescent="0.25">
      <c r="A1942" s="1"/>
      <c r="B1942" s="1"/>
      <c r="C1942" s="1"/>
      <c r="D1942" s="1"/>
      <c r="E1942" s="6"/>
      <c r="F1942" s="1"/>
      <c r="G1942" s="6"/>
      <c r="H1942" s="6"/>
      <c r="I1942" s="6"/>
      <c r="J1942" s="6"/>
      <c r="K1942" s="6"/>
      <c r="L1942" s="6"/>
      <c r="M1942" s="6"/>
      <c r="N1942" s="6"/>
      <c r="O1942" s="7"/>
      <c r="P1942" s="12"/>
      <c r="Q1942" s="6"/>
      <c r="R1942" s="7"/>
      <c r="S1942" s="6"/>
      <c r="T1942" s="6"/>
      <c r="U1942" s="7"/>
      <c r="V1942" s="6"/>
      <c r="W1942" s="6"/>
      <c r="X1942" s="12"/>
      <c r="Y1942" s="6"/>
      <c r="Z1942" s="6"/>
      <c r="AA1942" s="7"/>
      <c r="AB1942" s="6"/>
      <c r="AC1942" s="6"/>
      <c r="AD1942" s="6"/>
      <c r="AE1942" s="12"/>
      <c r="AF1942" s="6"/>
      <c r="AG1942" s="12"/>
      <c r="AH1942" s="6"/>
      <c r="AI1942" s="6"/>
      <c r="AJ1942" s="12"/>
      <c r="AK1942" s="1"/>
      <c r="AL1942" s="12"/>
      <c r="AM1942" s="12"/>
      <c r="AN1942" s="1"/>
      <c r="AO1942" s="6"/>
    </row>
    <row r="1943" spans="1:41" ht="15" x14ac:dyDescent="0.25">
      <c r="A1943" s="1"/>
      <c r="B1943" s="1"/>
      <c r="C1943" s="1"/>
      <c r="D1943" s="1"/>
      <c r="E1943" s="6"/>
      <c r="F1943" s="1"/>
      <c r="G1943" s="6"/>
      <c r="H1943" s="6"/>
      <c r="I1943" s="6"/>
      <c r="J1943" s="6"/>
      <c r="K1943" s="6"/>
      <c r="L1943" s="6"/>
      <c r="M1943" s="6"/>
      <c r="N1943" s="6"/>
      <c r="O1943" s="7"/>
      <c r="P1943" s="6"/>
      <c r="Q1943" s="6"/>
      <c r="R1943" s="7"/>
      <c r="S1943" s="6"/>
      <c r="T1943" s="6"/>
      <c r="U1943" s="7"/>
      <c r="V1943" s="6"/>
      <c r="W1943" s="6"/>
      <c r="X1943" s="12"/>
      <c r="Y1943" s="6"/>
      <c r="Z1943" s="6"/>
      <c r="AA1943" s="7"/>
      <c r="AB1943" s="6"/>
      <c r="AC1943" s="6"/>
      <c r="AD1943" s="6"/>
      <c r="AE1943" s="12"/>
      <c r="AF1943" s="6"/>
      <c r="AG1943" s="12"/>
      <c r="AH1943" s="6"/>
      <c r="AI1943" s="6"/>
      <c r="AJ1943" s="12"/>
      <c r="AK1943" s="1"/>
      <c r="AL1943" s="12"/>
      <c r="AM1943" s="12"/>
      <c r="AN1943" s="1"/>
      <c r="AO1943" s="6"/>
    </row>
    <row r="1944" spans="1:41" ht="15" x14ac:dyDescent="0.25">
      <c r="A1944" s="1"/>
      <c r="B1944" s="1"/>
      <c r="C1944" s="1"/>
      <c r="D1944" s="1"/>
      <c r="E1944" s="6"/>
      <c r="F1944" s="1"/>
      <c r="G1944" s="6"/>
      <c r="H1944" s="6"/>
      <c r="I1944" s="6"/>
      <c r="J1944" s="6"/>
      <c r="K1944" s="6"/>
      <c r="L1944" s="6"/>
      <c r="M1944" s="6"/>
      <c r="N1944" s="6"/>
      <c r="O1944" s="7"/>
      <c r="P1944" s="12"/>
      <c r="Q1944" s="6"/>
      <c r="R1944" s="7"/>
      <c r="S1944" s="6"/>
      <c r="T1944" s="6"/>
      <c r="U1944" s="7"/>
      <c r="V1944" s="6"/>
      <c r="W1944" s="6"/>
      <c r="X1944" s="6"/>
      <c r="Y1944" s="6"/>
      <c r="Z1944" s="6"/>
      <c r="AA1944" s="7"/>
      <c r="AB1944" s="6"/>
      <c r="AC1944" s="6"/>
      <c r="AD1944" s="6"/>
      <c r="AE1944" s="12"/>
      <c r="AF1944" s="6"/>
      <c r="AG1944" s="12"/>
      <c r="AH1944" s="6"/>
      <c r="AI1944" s="6"/>
      <c r="AJ1944" s="12"/>
      <c r="AK1944" s="24"/>
      <c r="AL1944" s="25"/>
      <c r="AM1944" s="12"/>
      <c r="AN1944" s="1"/>
      <c r="AO1944" s="6"/>
    </row>
    <row r="1945" spans="1:41" ht="15" x14ac:dyDescent="0.25">
      <c r="A1945" s="1"/>
      <c r="B1945" s="1"/>
      <c r="C1945" s="1"/>
      <c r="D1945" s="1"/>
      <c r="E1945" s="6"/>
      <c r="F1945" s="1"/>
      <c r="G1945" s="6"/>
      <c r="H1945" s="6"/>
      <c r="I1945" s="6"/>
      <c r="J1945" s="6"/>
      <c r="K1945" s="6"/>
      <c r="L1945" s="6"/>
      <c r="M1945" s="6"/>
      <c r="N1945" s="6"/>
      <c r="O1945" s="7"/>
      <c r="P1945" s="12"/>
      <c r="Q1945" s="6"/>
      <c r="R1945" s="7"/>
      <c r="S1945" s="6"/>
      <c r="T1945" s="6"/>
      <c r="U1945" s="7"/>
      <c r="V1945" s="6"/>
      <c r="W1945" s="6"/>
      <c r="X1945" s="6"/>
      <c r="Y1945" s="6"/>
      <c r="Z1945" s="6"/>
      <c r="AA1945" s="7"/>
      <c r="AB1945" s="6"/>
      <c r="AC1945" s="6"/>
      <c r="AD1945" s="6"/>
      <c r="AE1945" s="12"/>
      <c r="AF1945" s="6"/>
      <c r="AG1945" s="12"/>
      <c r="AH1945" s="6"/>
      <c r="AI1945" s="6"/>
      <c r="AJ1945" s="12"/>
      <c r="AK1945" s="24"/>
      <c r="AL1945" s="25"/>
      <c r="AM1945" s="12"/>
      <c r="AN1945" s="1"/>
      <c r="AO1945" s="6"/>
    </row>
    <row r="1946" spans="1:41" ht="15" x14ac:dyDescent="0.25">
      <c r="A1946" s="1"/>
      <c r="B1946" s="1"/>
      <c r="C1946" s="1"/>
      <c r="D1946" s="1"/>
      <c r="E1946" s="6"/>
      <c r="F1946" s="1"/>
      <c r="G1946" s="6"/>
      <c r="H1946" s="6"/>
      <c r="I1946" s="6"/>
      <c r="J1946" s="6"/>
      <c r="K1946" s="6"/>
      <c r="L1946" s="6"/>
      <c r="M1946" s="6"/>
      <c r="N1946" s="6"/>
      <c r="O1946" s="7"/>
      <c r="P1946" s="6"/>
      <c r="Q1946" s="6"/>
      <c r="R1946" s="7"/>
      <c r="S1946" s="6"/>
      <c r="T1946" s="6"/>
      <c r="U1946" s="7"/>
      <c r="V1946" s="6"/>
      <c r="W1946" s="6"/>
      <c r="X1946" s="12"/>
      <c r="Y1946" s="6"/>
      <c r="Z1946" s="6"/>
      <c r="AA1946" s="7"/>
      <c r="AB1946" s="6"/>
      <c r="AC1946" s="6"/>
      <c r="AD1946" s="6"/>
      <c r="AE1946" s="12"/>
      <c r="AF1946" s="6"/>
      <c r="AG1946" s="12"/>
      <c r="AH1946" s="6"/>
      <c r="AI1946" s="6"/>
      <c r="AJ1946" s="12"/>
      <c r="AK1946" s="24"/>
      <c r="AL1946" s="25"/>
      <c r="AM1946" s="12"/>
      <c r="AN1946" s="1"/>
      <c r="AO1946" s="6"/>
    </row>
    <row r="1947" spans="1:41" ht="15" x14ac:dyDescent="0.25">
      <c r="A1947" s="1"/>
      <c r="B1947" s="1"/>
      <c r="C1947" s="1"/>
      <c r="D1947" s="1"/>
      <c r="E1947" s="6"/>
      <c r="F1947" s="1"/>
      <c r="G1947" s="6"/>
      <c r="H1947" s="6"/>
      <c r="I1947" s="6"/>
      <c r="J1947" s="6"/>
      <c r="K1947" s="6"/>
      <c r="L1947" s="6"/>
      <c r="M1947" s="6"/>
      <c r="N1947" s="6"/>
      <c r="O1947" s="7"/>
      <c r="P1947" s="6"/>
      <c r="Q1947" s="6"/>
      <c r="R1947" s="7"/>
      <c r="S1947" s="6"/>
      <c r="T1947" s="6"/>
      <c r="U1947" s="7"/>
      <c r="V1947" s="6"/>
      <c r="W1947" s="6"/>
      <c r="X1947" s="6"/>
      <c r="Y1947" s="6"/>
      <c r="Z1947" s="6"/>
      <c r="AA1947" s="7"/>
      <c r="AB1947" s="6"/>
      <c r="AC1947" s="6"/>
      <c r="AD1947" s="6"/>
      <c r="AE1947" s="12"/>
      <c r="AF1947" s="12"/>
      <c r="AG1947" s="12"/>
      <c r="AH1947" s="12"/>
      <c r="AI1947" s="6"/>
      <c r="AJ1947" s="12"/>
      <c r="AK1947" s="1"/>
      <c r="AL1947" s="12"/>
      <c r="AM1947" s="12"/>
      <c r="AN1947" s="1"/>
      <c r="AO1947" s="6"/>
    </row>
    <row r="1948" spans="1:41" ht="15" x14ac:dyDescent="0.25">
      <c r="A1948" s="1"/>
      <c r="B1948" s="1"/>
      <c r="C1948" s="1"/>
      <c r="D1948" s="1"/>
      <c r="E1948" s="6"/>
      <c r="F1948" s="1"/>
      <c r="G1948" s="6"/>
      <c r="H1948" s="6"/>
      <c r="I1948" s="6"/>
      <c r="J1948" s="6"/>
      <c r="K1948" s="6"/>
      <c r="L1948" s="6"/>
      <c r="M1948" s="6"/>
      <c r="N1948" s="6"/>
      <c r="O1948" s="7"/>
      <c r="P1948" s="12"/>
      <c r="Q1948" s="6"/>
      <c r="R1948" s="7"/>
      <c r="S1948" s="6"/>
      <c r="T1948" s="6"/>
      <c r="U1948" s="7"/>
      <c r="V1948" s="6"/>
      <c r="W1948" s="6"/>
      <c r="X1948" s="6"/>
      <c r="Y1948" s="6"/>
      <c r="Z1948" s="6"/>
      <c r="AA1948" s="7"/>
      <c r="AB1948" s="6"/>
      <c r="AC1948" s="6"/>
      <c r="AD1948" s="6"/>
      <c r="AE1948" s="12"/>
      <c r="AF1948" s="12"/>
      <c r="AG1948" s="12"/>
      <c r="AH1948" s="12"/>
      <c r="AI1948" s="6"/>
      <c r="AJ1948" s="12"/>
      <c r="AK1948" s="1"/>
      <c r="AL1948" s="12"/>
      <c r="AM1948" s="12"/>
      <c r="AN1948" s="1"/>
      <c r="AO1948" s="6"/>
    </row>
    <row r="1949" spans="1:41" ht="15" x14ac:dyDescent="0.25">
      <c r="A1949" s="1"/>
      <c r="B1949" s="1"/>
      <c r="C1949" s="1"/>
      <c r="D1949" s="1"/>
      <c r="E1949" s="6"/>
      <c r="F1949" s="1"/>
      <c r="G1949" s="6"/>
      <c r="H1949" s="6"/>
      <c r="I1949" s="6"/>
      <c r="J1949" s="6"/>
      <c r="K1949" s="6"/>
      <c r="L1949" s="6"/>
      <c r="M1949" s="6"/>
      <c r="N1949" s="6"/>
      <c r="O1949" s="7"/>
      <c r="P1949" s="6"/>
      <c r="Q1949" s="6"/>
      <c r="R1949" s="7"/>
      <c r="S1949" s="6"/>
      <c r="T1949" s="6"/>
      <c r="U1949" s="7"/>
      <c r="V1949" s="6"/>
      <c r="W1949" s="6"/>
      <c r="X1949" s="6"/>
      <c r="Y1949" s="6"/>
      <c r="Z1949" s="6"/>
      <c r="AA1949" s="7"/>
      <c r="AB1949" s="6"/>
      <c r="AC1949" s="6"/>
      <c r="AD1949" s="6"/>
      <c r="AE1949" s="12"/>
      <c r="AF1949" s="6"/>
      <c r="AG1949" s="12"/>
      <c r="AH1949" s="6"/>
      <c r="AI1949" s="6"/>
      <c r="AJ1949" s="12"/>
      <c r="AK1949" s="24"/>
      <c r="AL1949" s="25"/>
      <c r="AM1949" s="12"/>
      <c r="AN1949" s="1"/>
      <c r="AO1949" s="6"/>
    </row>
    <row r="1950" spans="1:41" ht="15" x14ac:dyDescent="0.25">
      <c r="A1950" s="1"/>
      <c r="B1950" s="1"/>
      <c r="C1950" s="1"/>
      <c r="D1950" s="1"/>
      <c r="E1950" s="6"/>
      <c r="F1950" s="1"/>
      <c r="G1950" s="6"/>
      <c r="H1950" s="6"/>
      <c r="I1950" s="6"/>
      <c r="J1950" s="6"/>
      <c r="K1950" s="6"/>
      <c r="L1950" s="6"/>
      <c r="M1950" s="6"/>
      <c r="N1950" s="6"/>
      <c r="O1950" s="7"/>
      <c r="P1950" s="6"/>
      <c r="Q1950" s="6"/>
      <c r="R1950" s="7"/>
      <c r="S1950" s="6"/>
      <c r="T1950" s="6"/>
      <c r="U1950" s="7"/>
      <c r="V1950" s="6"/>
      <c r="W1950" s="6"/>
      <c r="X1950" s="6"/>
      <c r="Y1950" s="6"/>
      <c r="Z1950" s="6"/>
      <c r="AA1950" s="7"/>
      <c r="AB1950" s="6"/>
      <c r="AC1950" s="6"/>
      <c r="AD1950" s="6"/>
      <c r="AE1950" s="12"/>
      <c r="AF1950" s="6"/>
      <c r="AG1950" s="12"/>
      <c r="AH1950" s="6"/>
      <c r="AI1950" s="6"/>
      <c r="AJ1950" s="12"/>
      <c r="AK1950" s="24"/>
      <c r="AL1950" s="25"/>
      <c r="AM1950" s="12"/>
      <c r="AN1950" s="1"/>
      <c r="AO1950" s="6"/>
    </row>
    <row r="1951" spans="1:41" ht="15" x14ac:dyDescent="0.25">
      <c r="A1951" s="1"/>
      <c r="B1951" s="1"/>
      <c r="C1951" s="1"/>
      <c r="D1951" s="1"/>
      <c r="E1951" s="6"/>
      <c r="F1951" s="1"/>
      <c r="G1951" s="6"/>
      <c r="H1951" s="6"/>
      <c r="I1951" s="6"/>
      <c r="J1951" s="6"/>
      <c r="K1951" s="6"/>
      <c r="L1951" s="6"/>
      <c r="M1951" s="6"/>
      <c r="N1951" s="6"/>
      <c r="O1951" s="7"/>
      <c r="P1951" s="6"/>
      <c r="Q1951" s="6"/>
      <c r="R1951" s="7"/>
      <c r="S1951" s="6"/>
      <c r="T1951" s="6"/>
      <c r="U1951" s="7"/>
      <c r="V1951" s="6"/>
      <c r="W1951" s="6"/>
      <c r="X1951" s="6"/>
      <c r="Y1951" s="6"/>
      <c r="Z1951" s="6"/>
      <c r="AA1951" s="7"/>
      <c r="AB1951" s="6"/>
      <c r="AC1951" s="6"/>
      <c r="AD1951" s="6"/>
      <c r="AE1951" s="12"/>
      <c r="AF1951" s="6"/>
      <c r="AG1951" s="12"/>
      <c r="AH1951" s="6"/>
      <c r="AI1951" s="6"/>
      <c r="AJ1951" s="12"/>
      <c r="AK1951" s="24"/>
      <c r="AL1951" s="25"/>
      <c r="AM1951" s="12"/>
      <c r="AN1951" s="1"/>
      <c r="AO1951" s="6"/>
    </row>
    <row r="1952" spans="1:41" ht="15" x14ac:dyDescent="0.25">
      <c r="A1952" s="1"/>
      <c r="B1952" s="1"/>
      <c r="C1952" s="1"/>
      <c r="D1952" s="1"/>
      <c r="E1952" s="6"/>
      <c r="F1952" s="1"/>
      <c r="G1952" s="6"/>
      <c r="H1952" s="6"/>
      <c r="I1952" s="6"/>
      <c r="J1952" s="6"/>
      <c r="K1952" s="6"/>
      <c r="L1952" s="6"/>
      <c r="M1952" s="6"/>
      <c r="N1952" s="6"/>
      <c r="O1952" s="7"/>
      <c r="P1952" s="6"/>
      <c r="Q1952" s="6"/>
      <c r="R1952" s="7"/>
      <c r="S1952" s="6"/>
      <c r="T1952" s="6"/>
      <c r="U1952" s="7"/>
      <c r="V1952" s="6"/>
      <c r="W1952" s="6"/>
      <c r="X1952" s="6"/>
      <c r="Y1952" s="6"/>
      <c r="Z1952" s="6"/>
      <c r="AA1952" s="7"/>
      <c r="AB1952" s="6"/>
      <c r="AC1952" s="6"/>
      <c r="AD1952" s="6"/>
      <c r="AE1952" s="12"/>
      <c r="AF1952" s="6"/>
      <c r="AG1952" s="12"/>
      <c r="AH1952" s="6"/>
      <c r="AI1952" s="6"/>
      <c r="AJ1952" s="12"/>
      <c r="AK1952" s="1"/>
      <c r="AL1952" s="12"/>
      <c r="AM1952" s="12"/>
      <c r="AN1952" s="1"/>
      <c r="AO1952" s="6"/>
    </row>
    <row r="1953" spans="1:41" ht="15" x14ac:dyDescent="0.25">
      <c r="A1953" s="1"/>
      <c r="B1953" s="1"/>
      <c r="C1953" s="1"/>
      <c r="D1953" s="1"/>
      <c r="E1953" s="6"/>
      <c r="F1953" s="1"/>
      <c r="G1953" s="6"/>
      <c r="H1953" s="6"/>
      <c r="I1953" s="6"/>
      <c r="J1953" s="6"/>
      <c r="K1953" s="6"/>
      <c r="L1953" s="6"/>
      <c r="M1953" s="6"/>
      <c r="N1953" s="6"/>
      <c r="O1953" s="7"/>
      <c r="P1953" s="12"/>
      <c r="Q1953" s="6"/>
      <c r="R1953" s="7"/>
      <c r="S1953" s="6"/>
      <c r="T1953" s="6"/>
      <c r="U1953" s="7"/>
      <c r="V1953" s="6"/>
      <c r="W1953" s="6"/>
      <c r="X1953" s="12"/>
      <c r="Y1953" s="6"/>
      <c r="Z1953" s="6"/>
      <c r="AA1953" s="7"/>
      <c r="AB1953" s="6"/>
      <c r="AC1953" s="6"/>
      <c r="AD1953" s="6"/>
      <c r="AE1953" s="12"/>
      <c r="AF1953" s="12"/>
      <c r="AG1953" s="12"/>
      <c r="AH1953" s="12"/>
      <c r="AI1953" s="6"/>
      <c r="AJ1953" s="12"/>
      <c r="AK1953" s="1"/>
      <c r="AL1953" s="12"/>
      <c r="AM1953" s="12"/>
      <c r="AN1953" s="1"/>
      <c r="AO1953" s="6"/>
    </row>
    <row r="1954" spans="1:41" ht="15" x14ac:dyDescent="0.25">
      <c r="A1954" s="1"/>
      <c r="B1954" s="1"/>
      <c r="C1954" s="1"/>
      <c r="D1954" s="1"/>
      <c r="E1954" s="6"/>
      <c r="F1954" s="1"/>
      <c r="G1954" s="6"/>
      <c r="H1954" s="6"/>
      <c r="I1954" s="6"/>
      <c r="J1954" s="6"/>
      <c r="K1954" s="6"/>
      <c r="L1954" s="6"/>
      <c r="M1954" s="6"/>
      <c r="N1954" s="6"/>
      <c r="O1954" s="7"/>
      <c r="P1954" s="6"/>
      <c r="Q1954" s="6"/>
      <c r="R1954" s="7"/>
      <c r="S1954" s="6"/>
      <c r="T1954" s="6"/>
      <c r="U1954" s="7"/>
      <c r="V1954" s="6"/>
      <c r="W1954" s="6"/>
      <c r="X1954" s="12"/>
      <c r="Y1954" s="6"/>
      <c r="Z1954" s="6"/>
      <c r="AA1954" s="7"/>
      <c r="AB1954" s="6"/>
      <c r="AC1954" s="6"/>
      <c r="AD1954" s="6"/>
      <c r="AE1954" s="12"/>
      <c r="AF1954" s="12"/>
      <c r="AG1954" s="12"/>
      <c r="AH1954" s="12"/>
      <c r="AI1954" s="6"/>
      <c r="AJ1954" s="12"/>
      <c r="AK1954" s="1"/>
      <c r="AL1954" s="12"/>
      <c r="AM1954" s="12"/>
      <c r="AN1954" s="1"/>
      <c r="AO1954" s="6"/>
    </row>
    <row r="1955" spans="1:41" ht="15" x14ac:dyDescent="0.25">
      <c r="A1955" s="1"/>
      <c r="B1955" s="1"/>
      <c r="C1955" s="1"/>
      <c r="D1955" s="1"/>
      <c r="E1955" s="6"/>
      <c r="F1955" s="1"/>
      <c r="G1955" s="6"/>
      <c r="H1955" s="6"/>
      <c r="I1955" s="6"/>
      <c r="J1955" s="6"/>
      <c r="K1955" s="6"/>
      <c r="L1955" s="6"/>
      <c r="M1955" s="6"/>
      <c r="N1955" s="6"/>
      <c r="O1955" s="7"/>
      <c r="P1955" s="6"/>
      <c r="Q1955" s="6"/>
      <c r="R1955" s="7"/>
      <c r="S1955" s="6"/>
      <c r="T1955" s="6"/>
      <c r="U1955" s="7"/>
      <c r="V1955" s="6"/>
      <c r="W1955" s="6"/>
      <c r="X1955" s="6"/>
      <c r="Y1955" s="6"/>
      <c r="Z1955" s="6"/>
      <c r="AA1955" s="7"/>
      <c r="AB1955" s="6"/>
      <c r="AC1955" s="6"/>
      <c r="AD1955" s="6"/>
      <c r="AE1955" s="12"/>
      <c r="AF1955" s="6"/>
      <c r="AG1955" s="12"/>
      <c r="AH1955" s="6"/>
      <c r="AI1955" s="6"/>
      <c r="AJ1955" s="12"/>
      <c r="AK1955" s="24"/>
      <c r="AL1955" s="25"/>
      <c r="AM1955" s="12"/>
      <c r="AN1955" s="1"/>
      <c r="AO1955" s="6"/>
    </row>
    <row r="1956" spans="1:41" ht="15" x14ac:dyDescent="0.25">
      <c r="A1956" s="1"/>
      <c r="B1956" s="1"/>
      <c r="C1956" s="1"/>
      <c r="D1956" s="1"/>
      <c r="E1956" s="6"/>
      <c r="F1956" s="1"/>
      <c r="G1956" s="6"/>
      <c r="H1956" s="6"/>
      <c r="I1956" s="6"/>
      <c r="J1956" s="6"/>
      <c r="K1956" s="6"/>
      <c r="L1956" s="6"/>
      <c r="M1956" s="6"/>
      <c r="N1956" s="6"/>
      <c r="O1956" s="7"/>
      <c r="P1956" s="12"/>
      <c r="Q1956" s="6"/>
      <c r="R1956" s="7"/>
      <c r="S1956" s="6"/>
      <c r="T1956" s="6"/>
      <c r="U1956" s="7"/>
      <c r="V1956" s="6"/>
      <c r="W1956" s="6"/>
      <c r="X1956" s="6"/>
      <c r="Y1956" s="6"/>
      <c r="Z1956" s="6"/>
      <c r="AA1956" s="7"/>
      <c r="AB1956" s="6"/>
      <c r="AC1956" s="6"/>
      <c r="AD1956" s="6"/>
      <c r="AE1956" s="12"/>
      <c r="AF1956" s="12"/>
      <c r="AG1956" s="12"/>
      <c r="AH1956" s="12"/>
      <c r="AI1956" s="6"/>
      <c r="AJ1956" s="12"/>
      <c r="AK1956" s="1"/>
      <c r="AL1956" s="12"/>
      <c r="AM1956" s="12"/>
      <c r="AN1956" s="1"/>
      <c r="AO1956" s="6"/>
    </row>
    <row r="1957" spans="1:41" ht="15" x14ac:dyDescent="0.25">
      <c r="A1957" s="1"/>
      <c r="B1957" s="1"/>
      <c r="C1957" s="1"/>
      <c r="D1957" s="1"/>
      <c r="E1957" s="6"/>
      <c r="F1957" s="1"/>
      <c r="G1957" s="6"/>
      <c r="H1957" s="6"/>
      <c r="I1957" s="6"/>
      <c r="J1957" s="6"/>
      <c r="K1957" s="6"/>
      <c r="L1957" s="6"/>
      <c r="M1957" s="6"/>
      <c r="N1957" s="6"/>
      <c r="O1957" s="7"/>
      <c r="P1957" s="6"/>
      <c r="Q1957" s="6"/>
      <c r="R1957" s="7"/>
      <c r="S1957" s="6"/>
      <c r="T1957" s="6"/>
      <c r="U1957" s="7"/>
      <c r="V1957" s="6"/>
      <c r="W1957" s="6"/>
      <c r="X1957" s="6"/>
      <c r="Y1957" s="6"/>
      <c r="Z1957" s="6"/>
      <c r="AA1957" s="7"/>
      <c r="AB1957" s="6"/>
      <c r="AC1957" s="6"/>
      <c r="AD1957" s="6"/>
      <c r="AE1957" s="12"/>
      <c r="AF1957" s="12"/>
      <c r="AG1957" s="12"/>
      <c r="AH1957" s="12"/>
      <c r="AI1957" s="6"/>
      <c r="AJ1957" s="12"/>
      <c r="AK1957" s="1"/>
      <c r="AL1957" s="12"/>
      <c r="AM1957" s="12"/>
      <c r="AN1957" s="1"/>
      <c r="AO1957" s="6"/>
    </row>
    <row r="1958" spans="1:41" ht="15" x14ac:dyDescent="0.25">
      <c r="A1958" s="1"/>
      <c r="B1958" s="1"/>
      <c r="C1958" s="1"/>
      <c r="D1958" s="1"/>
      <c r="E1958" s="6"/>
      <c r="F1958" s="1"/>
      <c r="G1958" s="6"/>
      <c r="H1958" s="6"/>
      <c r="I1958" s="6"/>
      <c r="J1958" s="6"/>
      <c r="K1958" s="12"/>
      <c r="L1958" s="12"/>
      <c r="M1958" s="6"/>
      <c r="N1958" s="6"/>
      <c r="O1958" s="7"/>
      <c r="P1958" s="6"/>
      <c r="Q1958" s="6"/>
      <c r="R1958" s="7"/>
      <c r="S1958" s="6"/>
      <c r="T1958" s="6"/>
      <c r="U1958" s="7"/>
      <c r="V1958" s="6"/>
      <c r="W1958" s="6"/>
      <c r="X1958" s="6"/>
      <c r="Y1958" s="6"/>
      <c r="Z1958" s="6"/>
      <c r="AA1958" s="7"/>
      <c r="AB1958" s="6"/>
      <c r="AC1958" s="6"/>
      <c r="AD1958" s="6"/>
      <c r="AE1958" s="12"/>
      <c r="AF1958" s="12"/>
      <c r="AG1958" s="12"/>
      <c r="AH1958" s="12"/>
      <c r="AI1958" s="6"/>
      <c r="AJ1958" s="12"/>
      <c r="AK1958" s="1"/>
      <c r="AL1958" s="12"/>
      <c r="AM1958" s="12"/>
      <c r="AN1958" s="1"/>
      <c r="AO1958" s="6"/>
    </row>
    <row r="1959" spans="1:41" ht="15" x14ac:dyDescent="0.25">
      <c r="A1959" s="1"/>
      <c r="B1959" s="1"/>
      <c r="C1959" s="1"/>
      <c r="D1959" s="1"/>
      <c r="E1959" s="6"/>
      <c r="F1959" s="1"/>
      <c r="G1959" s="6"/>
      <c r="H1959" s="6"/>
      <c r="I1959" s="6"/>
      <c r="J1959" s="6"/>
      <c r="K1959" s="6"/>
      <c r="L1959" s="6"/>
      <c r="M1959" s="6"/>
      <c r="N1959" s="6"/>
      <c r="O1959" s="7"/>
      <c r="P1959" s="6"/>
      <c r="Q1959" s="7"/>
      <c r="R1959" s="6"/>
      <c r="S1959" s="6"/>
      <c r="T1959" s="6"/>
      <c r="U1959" s="6"/>
      <c r="V1959" s="7"/>
      <c r="W1959" s="7"/>
      <c r="X1959" s="6"/>
      <c r="Y1959" s="6"/>
      <c r="Z1959" s="6"/>
      <c r="AA1959" s="1"/>
      <c r="AB1959" s="12"/>
      <c r="AC1959" s="12"/>
      <c r="AD1959" s="12"/>
      <c r="AE1959" s="12"/>
      <c r="AF1959" s="12"/>
      <c r="AG1959" s="12"/>
      <c r="AH1959" s="12"/>
      <c r="AI1959" s="6"/>
      <c r="AJ1959" s="12"/>
      <c r="AK1959" s="12"/>
      <c r="AL1959" s="12"/>
      <c r="AM1959" s="12"/>
      <c r="AN1959" s="1"/>
      <c r="AO1959" s="6"/>
    </row>
    <row r="1960" spans="1:41" ht="15" x14ac:dyDescent="0.25">
      <c r="A1960" s="1"/>
      <c r="B1960" s="1"/>
      <c r="C1960" s="1"/>
      <c r="D1960" s="1"/>
      <c r="E1960" s="6"/>
      <c r="F1960" s="1"/>
      <c r="G1960" s="6"/>
      <c r="H1960" s="6"/>
      <c r="I1960" s="6"/>
      <c r="J1960" s="6"/>
      <c r="K1960" s="6"/>
      <c r="L1960" s="6"/>
      <c r="M1960" s="6"/>
      <c r="N1960" s="6"/>
      <c r="O1960" s="7"/>
      <c r="P1960" s="6"/>
      <c r="Q1960" s="6"/>
      <c r="R1960" s="7"/>
      <c r="S1960" s="6"/>
      <c r="T1960" s="6"/>
      <c r="U1960" s="7"/>
      <c r="V1960" s="6"/>
      <c r="W1960" s="6"/>
      <c r="X1960" s="6"/>
      <c r="Y1960" s="6"/>
      <c r="Z1960" s="6"/>
      <c r="AA1960" s="7"/>
      <c r="AB1960" s="6"/>
      <c r="AC1960" s="6"/>
      <c r="AD1960" s="6"/>
      <c r="AE1960" s="12"/>
      <c r="AF1960" s="12"/>
      <c r="AG1960" s="12"/>
      <c r="AH1960" s="12"/>
      <c r="AI1960" s="6"/>
      <c r="AJ1960" s="12"/>
      <c r="AK1960" s="1"/>
      <c r="AL1960" s="12"/>
      <c r="AM1960" s="12"/>
      <c r="AN1960" s="1"/>
      <c r="AO1960" s="6"/>
    </row>
    <row r="1961" spans="1:41" ht="15" x14ac:dyDescent="0.25">
      <c r="A1961" s="1"/>
      <c r="B1961" s="1"/>
      <c r="C1961" s="1"/>
      <c r="D1961" s="1"/>
      <c r="E1961" s="6"/>
      <c r="F1961" s="1"/>
      <c r="G1961" s="6"/>
      <c r="H1961" s="6"/>
      <c r="I1961" s="6"/>
      <c r="J1961" s="6"/>
      <c r="K1961" s="6"/>
      <c r="L1961" s="6"/>
      <c r="M1961" s="6"/>
      <c r="N1961" s="6"/>
      <c r="O1961" s="7"/>
      <c r="P1961" s="12"/>
      <c r="Q1961" s="6"/>
      <c r="R1961" s="7"/>
      <c r="S1961" s="6"/>
      <c r="T1961" s="6"/>
      <c r="U1961" s="7"/>
      <c r="V1961" s="6"/>
      <c r="W1961" s="6"/>
      <c r="X1961" s="6"/>
      <c r="Y1961" s="6"/>
      <c r="Z1961" s="6"/>
      <c r="AA1961" s="7"/>
      <c r="AB1961" s="6"/>
      <c r="AC1961" s="6"/>
      <c r="AD1961" s="6"/>
      <c r="AE1961" s="12"/>
      <c r="AF1961" s="12"/>
      <c r="AG1961" s="12"/>
      <c r="AH1961" s="12"/>
      <c r="AI1961" s="6"/>
      <c r="AJ1961" s="12"/>
      <c r="AK1961" s="1"/>
      <c r="AL1961" s="12"/>
      <c r="AM1961" s="12"/>
      <c r="AN1961" s="1"/>
      <c r="AO1961" s="6"/>
    </row>
    <row r="1962" spans="1:41" ht="15" x14ac:dyDescent="0.25">
      <c r="A1962" s="1"/>
      <c r="B1962" s="1"/>
      <c r="C1962" s="1"/>
      <c r="D1962" s="1"/>
      <c r="E1962" s="6"/>
      <c r="F1962" s="1"/>
      <c r="G1962" s="6"/>
      <c r="H1962" s="6"/>
      <c r="I1962" s="6"/>
      <c r="J1962" s="6"/>
      <c r="K1962" s="6"/>
      <c r="L1962" s="6"/>
      <c r="M1962" s="6"/>
      <c r="N1962" s="6"/>
      <c r="O1962" s="7"/>
      <c r="P1962" s="6"/>
      <c r="Q1962" s="6"/>
      <c r="R1962" s="7"/>
      <c r="S1962" s="6"/>
      <c r="T1962" s="6"/>
      <c r="U1962" s="7"/>
      <c r="V1962" s="6"/>
      <c r="W1962" s="6"/>
      <c r="X1962" s="6"/>
      <c r="Y1962" s="6"/>
      <c r="Z1962" s="6"/>
      <c r="AA1962" s="7"/>
      <c r="AB1962" s="6"/>
      <c r="AC1962" s="6"/>
      <c r="AD1962" s="6"/>
      <c r="AE1962" s="12"/>
      <c r="AF1962" s="6"/>
      <c r="AG1962" s="12"/>
      <c r="AH1962" s="6"/>
      <c r="AI1962" s="6"/>
      <c r="AJ1962" s="12"/>
      <c r="AK1962" s="24"/>
      <c r="AL1962" s="25"/>
      <c r="AM1962" s="12"/>
      <c r="AN1962" s="1"/>
      <c r="AO1962" s="6"/>
    </row>
    <row r="1963" spans="1:41" ht="15" x14ac:dyDescent="0.25">
      <c r="A1963" s="1"/>
      <c r="B1963" s="1"/>
      <c r="C1963" s="1"/>
      <c r="D1963" s="1"/>
      <c r="E1963" s="6"/>
      <c r="F1963" s="1"/>
      <c r="G1963" s="6"/>
      <c r="H1963" s="6"/>
      <c r="I1963" s="6"/>
      <c r="J1963" s="6"/>
      <c r="K1963" s="6"/>
      <c r="L1963" s="6"/>
      <c r="M1963" s="6"/>
      <c r="N1963" s="6"/>
      <c r="O1963" s="7"/>
      <c r="P1963" s="6"/>
      <c r="Q1963" s="6"/>
      <c r="R1963" s="7"/>
      <c r="S1963" s="6"/>
      <c r="T1963" s="6"/>
      <c r="U1963" s="7"/>
      <c r="V1963" s="6"/>
      <c r="W1963" s="6"/>
      <c r="X1963" s="12"/>
      <c r="Y1963" s="6"/>
      <c r="Z1963" s="6"/>
      <c r="AA1963" s="7"/>
      <c r="AB1963" s="6"/>
      <c r="AC1963" s="6"/>
      <c r="AD1963" s="6"/>
      <c r="AE1963" s="12"/>
      <c r="AF1963" s="12"/>
      <c r="AG1963" s="12"/>
      <c r="AH1963" s="12"/>
      <c r="AI1963" s="6"/>
      <c r="AJ1963" s="12"/>
      <c r="AK1963" s="1"/>
      <c r="AL1963" s="12"/>
      <c r="AM1963" s="12"/>
      <c r="AN1963" s="1"/>
      <c r="AO1963" s="6"/>
    </row>
    <row r="1964" spans="1:41" ht="15" x14ac:dyDescent="0.25">
      <c r="A1964" s="1"/>
      <c r="B1964" s="1"/>
      <c r="C1964" s="1"/>
      <c r="D1964" s="1"/>
      <c r="E1964" s="6"/>
      <c r="F1964" s="1"/>
      <c r="G1964" s="6"/>
      <c r="H1964" s="6"/>
      <c r="I1964" s="6"/>
      <c r="J1964" s="6"/>
      <c r="K1964" s="6"/>
      <c r="L1964" s="6"/>
      <c r="M1964" s="6"/>
      <c r="N1964" s="6"/>
      <c r="O1964" s="7"/>
      <c r="P1964" s="6"/>
      <c r="Q1964" s="6"/>
      <c r="R1964" s="7"/>
      <c r="S1964" s="6"/>
      <c r="T1964" s="6"/>
      <c r="U1964" s="7"/>
      <c r="V1964" s="6"/>
      <c r="W1964" s="6"/>
      <c r="X1964" s="12"/>
      <c r="Y1964" s="6"/>
      <c r="Z1964" s="6"/>
      <c r="AA1964" s="7"/>
      <c r="AB1964" s="6"/>
      <c r="AC1964" s="6"/>
      <c r="AD1964" s="6"/>
      <c r="AE1964" s="12"/>
      <c r="AF1964" s="6"/>
      <c r="AG1964" s="12"/>
      <c r="AH1964" s="6"/>
      <c r="AI1964" s="6"/>
      <c r="AJ1964" s="12"/>
      <c r="AK1964" s="24"/>
      <c r="AL1964" s="25"/>
      <c r="AM1964" s="12"/>
      <c r="AN1964" s="1"/>
      <c r="AO1964" s="6"/>
    </row>
    <row r="1965" spans="1:41" ht="15" x14ac:dyDescent="0.25">
      <c r="A1965" s="1"/>
      <c r="B1965" s="1"/>
      <c r="C1965" s="1"/>
      <c r="D1965" s="1"/>
      <c r="E1965" s="6"/>
      <c r="F1965" s="1"/>
      <c r="G1965" s="6"/>
      <c r="H1965" s="6"/>
      <c r="I1965" s="6"/>
      <c r="J1965" s="6"/>
      <c r="K1965" s="6"/>
      <c r="L1965" s="6"/>
      <c r="M1965" s="6"/>
      <c r="N1965" s="6"/>
      <c r="O1965" s="7"/>
      <c r="P1965" s="6"/>
      <c r="Q1965" s="6"/>
      <c r="R1965" s="7"/>
      <c r="S1965" s="6"/>
      <c r="T1965" s="6"/>
      <c r="U1965" s="7"/>
      <c r="V1965" s="6"/>
      <c r="W1965" s="6"/>
      <c r="X1965" s="12"/>
      <c r="Y1965" s="6"/>
      <c r="Z1965" s="6"/>
      <c r="AA1965" s="7"/>
      <c r="AB1965" s="6"/>
      <c r="AC1965" s="6"/>
      <c r="AD1965" s="6"/>
      <c r="AE1965" s="12"/>
      <c r="AF1965" s="12"/>
      <c r="AG1965" s="12"/>
      <c r="AH1965" s="12"/>
      <c r="AI1965" s="6"/>
      <c r="AJ1965" s="12"/>
      <c r="AK1965" s="1"/>
      <c r="AL1965" s="12"/>
      <c r="AM1965" s="12"/>
      <c r="AN1965" s="1"/>
      <c r="AO1965" s="6"/>
    </row>
    <row r="1966" spans="1:41" ht="15" x14ac:dyDescent="0.25">
      <c r="A1966" s="1"/>
      <c r="B1966" s="1"/>
      <c r="C1966" s="1"/>
      <c r="D1966" s="1"/>
      <c r="E1966" s="6"/>
      <c r="F1966" s="1"/>
      <c r="G1966" s="6"/>
      <c r="H1966" s="6"/>
      <c r="I1966" s="6"/>
      <c r="J1966" s="6"/>
      <c r="K1966" s="6"/>
      <c r="L1966" s="6"/>
      <c r="M1966" s="6"/>
      <c r="N1966" s="6"/>
      <c r="O1966" s="7"/>
      <c r="P1966" s="6"/>
      <c r="Q1966" s="6"/>
      <c r="R1966" s="7"/>
      <c r="S1966" s="6"/>
      <c r="T1966" s="6"/>
      <c r="U1966" s="7"/>
      <c r="V1966" s="6"/>
      <c r="W1966" s="6"/>
      <c r="X1966" s="12"/>
      <c r="Y1966" s="6"/>
      <c r="Z1966" s="6"/>
      <c r="AA1966" s="7"/>
      <c r="AB1966" s="6"/>
      <c r="AC1966" s="6"/>
      <c r="AD1966" s="6"/>
      <c r="AE1966" s="12"/>
      <c r="AF1966" s="12"/>
      <c r="AG1966" s="12"/>
      <c r="AH1966" s="12"/>
      <c r="AI1966" s="6"/>
      <c r="AJ1966" s="12"/>
      <c r="AK1966" s="1"/>
      <c r="AL1966" s="12"/>
      <c r="AM1966" s="12"/>
      <c r="AN1966" s="1"/>
      <c r="AO1966" s="6"/>
    </row>
    <row r="1967" spans="1:41" ht="15" x14ac:dyDescent="0.25">
      <c r="A1967" s="1"/>
      <c r="B1967" s="1"/>
      <c r="C1967" s="1"/>
      <c r="D1967" s="1"/>
      <c r="E1967" s="6"/>
      <c r="F1967" s="1"/>
      <c r="G1967" s="6"/>
      <c r="H1967" s="6"/>
      <c r="I1967" s="6"/>
      <c r="J1967" s="6"/>
      <c r="K1967" s="6"/>
      <c r="L1967" s="6"/>
      <c r="M1967" s="6"/>
      <c r="N1967" s="6"/>
      <c r="O1967" s="7"/>
      <c r="P1967" s="6"/>
      <c r="Q1967" s="6"/>
      <c r="R1967" s="12"/>
      <c r="S1967" s="12"/>
      <c r="T1967" s="12"/>
      <c r="U1967" s="7"/>
      <c r="V1967" s="6"/>
      <c r="W1967" s="6"/>
      <c r="X1967" s="12"/>
      <c r="Y1967" s="6"/>
      <c r="Z1967" s="6"/>
      <c r="AA1967" s="7"/>
      <c r="AB1967" s="6"/>
      <c r="AC1967" s="6"/>
      <c r="AD1967" s="6"/>
      <c r="AE1967" s="12"/>
      <c r="AF1967" s="12"/>
      <c r="AG1967" s="12"/>
      <c r="AH1967" s="12"/>
      <c r="AI1967" s="6"/>
      <c r="AJ1967" s="12"/>
      <c r="AK1967" s="1"/>
      <c r="AL1967" s="12"/>
      <c r="AM1967" s="12"/>
      <c r="AN1967" s="1"/>
      <c r="AO1967" s="6"/>
    </row>
    <row r="1968" spans="1:41" ht="15" x14ac:dyDescent="0.25">
      <c r="A1968" s="1"/>
      <c r="B1968" s="1"/>
      <c r="C1968" s="1"/>
      <c r="D1968" s="1"/>
      <c r="E1968" s="6"/>
      <c r="F1968" s="1"/>
      <c r="G1968" s="6"/>
      <c r="H1968" s="6"/>
      <c r="I1968" s="6"/>
      <c r="J1968" s="6"/>
      <c r="K1968" s="6"/>
      <c r="L1968" s="6"/>
      <c r="M1968" s="6"/>
      <c r="N1968" s="6"/>
      <c r="O1968" s="7"/>
      <c r="P1968" s="6"/>
      <c r="Q1968" s="6"/>
      <c r="R1968" s="7"/>
      <c r="S1968" s="6"/>
      <c r="T1968" s="6"/>
      <c r="U1968" s="7"/>
      <c r="V1968" s="6"/>
      <c r="W1968" s="6"/>
      <c r="X1968" s="12"/>
      <c r="Y1968" s="6"/>
      <c r="Z1968" s="6"/>
      <c r="AA1968" s="7"/>
      <c r="AB1968" s="6"/>
      <c r="AC1968" s="6"/>
      <c r="AD1968" s="6"/>
      <c r="AE1968" s="12"/>
      <c r="AF1968" s="12"/>
      <c r="AG1968" s="12"/>
      <c r="AH1968" s="12"/>
      <c r="AI1968" s="6"/>
      <c r="AJ1968" s="12"/>
      <c r="AK1968" s="1"/>
      <c r="AL1968" s="12"/>
      <c r="AM1968" s="12"/>
      <c r="AN1968" s="1"/>
      <c r="AO1968" s="6"/>
    </row>
    <row r="1969" spans="1:41" ht="15" x14ac:dyDescent="0.25">
      <c r="A1969" s="1"/>
      <c r="B1969" s="1"/>
      <c r="C1969" s="1"/>
      <c r="D1969" s="1"/>
      <c r="E1969" s="6"/>
      <c r="F1969" s="1"/>
      <c r="G1969" s="6"/>
      <c r="H1969" s="6"/>
      <c r="I1969" s="6"/>
      <c r="J1969" s="6"/>
      <c r="K1969" s="6"/>
      <c r="L1969" s="6"/>
      <c r="M1969" s="6"/>
      <c r="N1969" s="6"/>
      <c r="O1969" s="7"/>
      <c r="P1969" s="6"/>
      <c r="Q1969" s="6"/>
      <c r="R1969" s="7"/>
      <c r="S1969" s="6"/>
      <c r="T1969" s="6"/>
      <c r="U1969" s="7"/>
      <c r="V1969" s="6"/>
      <c r="W1969" s="6"/>
      <c r="X1969" s="6"/>
      <c r="Y1969" s="6"/>
      <c r="Z1969" s="6"/>
      <c r="AA1969" s="7"/>
      <c r="AB1969" s="6"/>
      <c r="AC1969" s="6"/>
      <c r="AD1969" s="6"/>
      <c r="AE1969" s="12"/>
      <c r="AF1969" s="6"/>
      <c r="AG1969" s="12"/>
      <c r="AH1969" s="6"/>
      <c r="AI1969" s="6"/>
      <c r="AJ1969" s="12"/>
      <c r="AK1969" s="1"/>
      <c r="AL1969" s="12"/>
      <c r="AM1969" s="12"/>
      <c r="AN1969" s="1"/>
      <c r="AO1969" s="6"/>
    </row>
    <row r="1970" spans="1:41" ht="15" x14ac:dyDescent="0.25">
      <c r="A1970" s="1"/>
      <c r="B1970" s="1"/>
      <c r="C1970" s="1"/>
      <c r="D1970" s="1"/>
      <c r="E1970" s="6"/>
      <c r="F1970" s="1"/>
      <c r="G1970" s="6"/>
      <c r="H1970" s="6"/>
      <c r="I1970" s="6"/>
      <c r="J1970" s="6"/>
      <c r="K1970" s="6"/>
      <c r="L1970" s="6"/>
      <c r="M1970" s="6"/>
      <c r="N1970" s="6"/>
      <c r="O1970" s="7"/>
      <c r="P1970" s="6"/>
      <c r="Q1970" s="7"/>
      <c r="R1970" s="6"/>
      <c r="S1970" s="6"/>
      <c r="T1970" s="6"/>
      <c r="U1970" s="6"/>
      <c r="V1970" s="7"/>
      <c r="W1970" s="7"/>
      <c r="X1970" s="6"/>
      <c r="Y1970" s="6"/>
      <c r="Z1970" s="6"/>
      <c r="AA1970" s="1"/>
      <c r="AB1970" s="12"/>
      <c r="AC1970" s="12"/>
      <c r="AD1970" s="12"/>
      <c r="AE1970" s="12"/>
      <c r="AF1970" s="12"/>
      <c r="AG1970" s="12"/>
      <c r="AH1970" s="12"/>
      <c r="AI1970" s="6"/>
      <c r="AJ1970" s="12"/>
      <c r="AK1970" s="12"/>
      <c r="AL1970" s="12"/>
      <c r="AM1970" s="12"/>
      <c r="AN1970" s="1"/>
      <c r="AO1970" s="6"/>
    </row>
    <row r="1971" spans="1:41" ht="15" x14ac:dyDescent="0.25">
      <c r="A1971" s="1"/>
      <c r="B1971" s="1"/>
      <c r="C1971" s="1"/>
      <c r="D1971" s="1"/>
      <c r="E1971" s="6"/>
      <c r="F1971" s="1"/>
      <c r="G1971" s="6"/>
      <c r="H1971" s="6"/>
      <c r="I1971" s="6"/>
      <c r="J1971" s="6"/>
      <c r="K1971" s="6"/>
      <c r="L1971" s="6"/>
      <c r="M1971" s="6"/>
      <c r="N1971" s="6"/>
      <c r="O1971" s="7"/>
      <c r="P1971" s="6"/>
      <c r="Q1971" s="6"/>
      <c r="R1971" s="7"/>
      <c r="S1971" s="6"/>
      <c r="T1971" s="6"/>
      <c r="U1971" s="7"/>
      <c r="V1971" s="6"/>
      <c r="W1971" s="6"/>
      <c r="X1971" s="12"/>
      <c r="Y1971" s="6"/>
      <c r="Z1971" s="6"/>
      <c r="AA1971" s="7"/>
      <c r="AB1971" s="6"/>
      <c r="AC1971" s="6"/>
      <c r="AD1971" s="6"/>
      <c r="AE1971" s="12"/>
      <c r="AF1971" s="6"/>
      <c r="AG1971" s="12"/>
      <c r="AH1971" s="6"/>
      <c r="AI1971" s="6"/>
      <c r="AJ1971" s="12"/>
      <c r="AK1971" s="24"/>
      <c r="AL1971" s="25"/>
      <c r="AM1971" s="12"/>
      <c r="AN1971" s="1"/>
      <c r="AO1971" s="6"/>
    </row>
    <row r="1972" spans="1:41" ht="15" x14ac:dyDescent="0.25">
      <c r="A1972" s="1"/>
      <c r="B1972" s="1"/>
      <c r="C1972" s="1"/>
      <c r="D1972" s="1"/>
      <c r="E1972" s="6"/>
      <c r="F1972" s="1"/>
      <c r="G1972" s="6"/>
      <c r="H1972" s="6"/>
      <c r="I1972" s="6"/>
      <c r="J1972" s="6"/>
      <c r="K1972" s="6"/>
      <c r="L1972" s="6"/>
      <c r="M1972" s="6"/>
      <c r="N1972" s="6"/>
      <c r="O1972" s="7"/>
      <c r="P1972" s="6"/>
      <c r="Q1972" s="6"/>
      <c r="R1972" s="7"/>
      <c r="S1972" s="6"/>
      <c r="T1972" s="6"/>
      <c r="U1972" s="7"/>
      <c r="V1972" s="6"/>
      <c r="W1972" s="6"/>
      <c r="X1972" s="12"/>
      <c r="Y1972" s="6"/>
      <c r="Z1972" s="6"/>
      <c r="AA1972" s="7"/>
      <c r="AB1972" s="6"/>
      <c r="AC1972" s="6"/>
      <c r="AD1972" s="6"/>
      <c r="AE1972" s="12"/>
      <c r="AF1972" s="6"/>
      <c r="AG1972" s="12"/>
      <c r="AH1972" s="6"/>
      <c r="AI1972" s="6"/>
      <c r="AJ1972" s="12"/>
      <c r="AK1972" s="1"/>
      <c r="AL1972" s="12"/>
      <c r="AM1972" s="12"/>
      <c r="AN1972" s="1"/>
      <c r="AO1972" s="6"/>
    </row>
    <row r="1973" spans="1:41" ht="15" x14ac:dyDescent="0.25">
      <c r="A1973" s="1"/>
      <c r="B1973" s="1"/>
      <c r="C1973" s="1"/>
      <c r="D1973" s="1"/>
      <c r="E1973" s="6"/>
      <c r="F1973" s="1"/>
      <c r="G1973" s="6"/>
      <c r="H1973" s="6"/>
      <c r="I1973" s="6"/>
      <c r="J1973" s="6"/>
      <c r="K1973" s="6"/>
      <c r="L1973" s="6"/>
      <c r="M1973" s="6"/>
      <c r="N1973" s="6"/>
      <c r="O1973" s="7"/>
      <c r="P1973" s="6"/>
      <c r="Q1973" s="6"/>
      <c r="R1973" s="7"/>
      <c r="S1973" s="6"/>
      <c r="T1973" s="6"/>
      <c r="U1973" s="7"/>
      <c r="V1973" s="6"/>
      <c r="W1973" s="6"/>
      <c r="X1973" s="6"/>
      <c r="Y1973" s="6"/>
      <c r="Z1973" s="6"/>
      <c r="AA1973" s="7"/>
      <c r="AB1973" s="6"/>
      <c r="AC1973" s="6"/>
      <c r="AD1973" s="6"/>
      <c r="AE1973" s="12"/>
      <c r="AF1973" s="6"/>
      <c r="AG1973" s="12"/>
      <c r="AH1973" s="6"/>
      <c r="AI1973" s="6"/>
      <c r="AJ1973" s="12"/>
      <c r="AK1973" s="24"/>
      <c r="AL1973" s="25"/>
      <c r="AM1973" s="12"/>
      <c r="AN1973" s="1"/>
      <c r="AO1973" s="6"/>
    </row>
    <row r="1974" spans="1:41" ht="15" x14ac:dyDescent="0.25">
      <c r="A1974" s="1"/>
      <c r="B1974" s="1"/>
      <c r="C1974" s="1"/>
      <c r="D1974" s="1"/>
      <c r="E1974" s="6"/>
      <c r="F1974" s="1"/>
      <c r="G1974" s="6"/>
      <c r="H1974" s="6"/>
      <c r="I1974" s="6"/>
      <c r="J1974" s="6"/>
      <c r="K1974" s="6"/>
      <c r="L1974" s="6"/>
      <c r="M1974" s="6"/>
      <c r="N1974" s="6"/>
      <c r="O1974" s="7"/>
      <c r="P1974" s="6"/>
      <c r="Q1974" s="7"/>
      <c r="R1974" s="6"/>
      <c r="S1974" s="6"/>
      <c r="T1974" s="6"/>
      <c r="U1974" s="6"/>
      <c r="V1974" s="7"/>
      <c r="W1974" s="6"/>
      <c r="X1974" s="6"/>
      <c r="Y1974" s="6"/>
      <c r="Z1974" s="6"/>
      <c r="AA1974" s="1"/>
      <c r="AB1974" s="12"/>
      <c r="AC1974" s="12"/>
      <c r="AD1974" s="12"/>
      <c r="AE1974" s="12"/>
      <c r="AF1974" s="6"/>
      <c r="AG1974" s="12"/>
      <c r="AH1974" s="6"/>
      <c r="AI1974" s="6"/>
      <c r="AJ1974" s="12"/>
      <c r="AK1974" s="12"/>
      <c r="AL1974" s="12"/>
      <c r="AM1974" s="12"/>
      <c r="AN1974" s="1"/>
      <c r="AO1974" s="6"/>
    </row>
    <row r="1975" spans="1:41" ht="15" x14ac:dyDescent="0.25">
      <c r="A1975" s="1"/>
      <c r="B1975" s="1"/>
      <c r="C1975" s="1"/>
      <c r="D1975" s="1"/>
      <c r="E1975" s="6"/>
      <c r="F1975" s="1"/>
      <c r="G1975" s="6"/>
      <c r="H1975" s="6"/>
      <c r="I1975" s="6"/>
      <c r="J1975" s="6"/>
      <c r="K1975" s="6"/>
      <c r="L1975" s="6"/>
      <c r="M1975" s="6"/>
      <c r="N1975" s="6"/>
      <c r="O1975" s="7"/>
      <c r="P1975" s="6"/>
      <c r="Q1975" s="6"/>
      <c r="R1975" s="7"/>
      <c r="S1975" s="6"/>
      <c r="T1975" s="6"/>
      <c r="U1975" s="7"/>
      <c r="V1975" s="6"/>
      <c r="W1975" s="6"/>
      <c r="X1975" s="6"/>
      <c r="Y1975" s="6"/>
      <c r="Z1975" s="6"/>
      <c r="AA1975" s="7"/>
      <c r="AB1975" s="6"/>
      <c r="AC1975" s="6"/>
      <c r="AD1975" s="6"/>
      <c r="AE1975" s="12"/>
      <c r="AF1975" s="6"/>
      <c r="AG1975" s="12"/>
      <c r="AH1975" s="6"/>
      <c r="AI1975" s="6"/>
      <c r="AJ1975" s="12"/>
      <c r="AK1975" s="1"/>
      <c r="AL1975" s="12"/>
      <c r="AM1975" s="12"/>
      <c r="AN1975" s="1"/>
      <c r="AO1975" s="6"/>
    </row>
    <row r="1976" spans="1:41" ht="15" x14ac:dyDescent="0.25">
      <c r="A1976" s="1"/>
      <c r="B1976" s="1"/>
      <c r="C1976" s="1"/>
      <c r="D1976" s="1"/>
      <c r="E1976" s="6"/>
      <c r="F1976" s="1"/>
      <c r="G1976" s="6"/>
      <c r="H1976" s="6"/>
      <c r="I1976" s="6"/>
      <c r="J1976" s="6"/>
      <c r="K1976" s="6"/>
      <c r="L1976" s="6"/>
      <c r="M1976" s="6"/>
      <c r="N1976" s="6"/>
      <c r="O1976" s="7"/>
      <c r="P1976" s="6"/>
      <c r="Q1976" s="7"/>
      <c r="R1976" s="6"/>
      <c r="S1976" s="6"/>
      <c r="T1976" s="6"/>
      <c r="U1976" s="6"/>
      <c r="V1976" s="7"/>
      <c r="W1976" s="7"/>
      <c r="X1976" s="6"/>
      <c r="Y1976" s="6"/>
      <c r="Z1976" s="6"/>
      <c r="AA1976" s="1"/>
      <c r="AB1976" s="12"/>
      <c r="AC1976" s="12"/>
      <c r="AD1976" s="12"/>
      <c r="AE1976" s="12"/>
      <c r="AF1976" s="12"/>
      <c r="AG1976" s="12"/>
      <c r="AH1976" s="12"/>
      <c r="AI1976" s="6"/>
      <c r="AJ1976" s="12"/>
      <c r="AK1976" s="12"/>
      <c r="AL1976" s="12"/>
      <c r="AM1976" s="12"/>
      <c r="AN1976" s="1"/>
      <c r="AO1976" s="6"/>
    </row>
    <row r="1977" spans="1:41" ht="15" x14ac:dyDescent="0.25">
      <c r="A1977" s="1"/>
      <c r="B1977" s="1"/>
      <c r="C1977" s="1"/>
      <c r="D1977" s="1"/>
      <c r="E1977" s="6"/>
      <c r="F1977" s="1"/>
      <c r="G1977" s="6"/>
      <c r="H1977" s="6"/>
      <c r="I1977" s="6"/>
      <c r="J1977" s="6"/>
      <c r="K1977" s="12"/>
      <c r="L1977" s="12"/>
      <c r="M1977" s="6"/>
      <c r="N1977" s="6"/>
      <c r="O1977" s="7"/>
      <c r="P1977" s="6"/>
      <c r="Q1977" s="6"/>
      <c r="R1977" s="7"/>
      <c r="S1977" s="6"/>
      <c r="T1977" s="6"/>
      <c r="U1977" s="7"/>
      <c r="V1977" s="6"/>
      <c r="W1977" s="6"/>
      <c r="X1977" s="12"/>
      <c r="Y1977" s="6"/>
      <c r="Z1977" s="6"/>
      <c r="AA1977" s="7"/>
      <c r="AB1977" s="6"/>
      <c r="AC1977" s="6"/>
      <c r="AD1977" s="6"/>
      <c r="AE1977" s="12"/>
      <c r="AF1977" s="12"/>
      <c r="AG1977" s="12"/>
      <c r="AH1977" s="12"/>
      <c r="AI1977" s="6"/>
      <c r="AJ1977" s="12"/>
      <c r="AK1977" s="1"/>
      <c r="AL1977" s="12"/>
      <c r="AM1977" s="12"/>
      <c r="AN1977" s="1"/>
      <c r="AO1977" s="6"/>
    </row>
    <row r="1978" spans="1:41" ht="15" x14ac:dyDescent="0.25">
      <c r="A1978" s="1"/>
      <c r="B1978" s="1"/>
      <c r="C1978" s="1"/>
      <c r="D1978" s="1"/>
      <c r="E1978" s="6"/>
      <c r="F1978" s="1"/>
      <c r="G1978" s="6"/>
      <c r="H1978" s="6"/>
      <c r="I1978" s="6"/>
      <c r="J1978" s="6"/>
      <c r="K1978" s="6"/>
      <c r="L1978" s="6"/>
      <c r="M1978" s="6"/>
      <c r="N1978" s="6"/>
      <c r="O1978" s="7"/>
      <c r="P1978" s="6"/>
      <c r="Q1978" s="6"/>
      <c r="R1978" s="7"/>
      <c r="S1978" s="6"/>
      <c r="T1978" s="6"/>
      <c r="U1978" s="7"/>
      <c r="V1978" s="6"/>
      <c r="W1978" s="6"/>
      <c r="X1978" s="12"/>
      <c r="Y1978" s="6"/>
      <c r="Z1978" s="6"/>
      <c r="AA1978" s="7"/>
      <c r="AB1978" s="6"/>
      <c r="AC1978" s="6"/>
      <c r="AD1978" s="6"/>
      <c r="AE1978" s="12"/>
      <c r="AF1978" s="12"/>
      <c r="AG1978" s="12"/>
      <c r="AH1978" s="12"/>
      <c r="AI1978" s="6"/>
      <c r="AJ1978" s="12"/>
      <c r="AK1978" s="1"/>
      <c r="AL1978" s="12"/>
      <c r="AM1978" s="12"/>
      <c r="AN1978" s="1"/>
      <c r="AO1978" s="6"/>
    </row>
    <row r="1979" spans="1:41" ht="15" x14ac:dyDescent="0.25">
      <c r="A1979" s="1"/>
      <c r="B1979" s="1"/>
      <c r="C1979" s="1"/>
      <c r="D1979" s="1"/>
      <c r="E1979" s="6"/>
      <c r="F1979" s="1"/>
      <c r="G1979" s="6"/>
      <c r="H1979" s="6"/>
      <c r="I1979" s="6"/>
      <c r="J1979" s="6"/>
      <c r="K1979" s="6"/>
      <c r="L1979" s="6"/>
      <c r="M1979" s="6"/>
      <c r="N1979" s="6"/>
      <c r="O1979" s="7"/>
      <c r="P1979" s="6"/>
      <c r="Q1979" s="6"/>
      <c r="R1979" s="7"/>
      <c r="S1979" s="6"/>
      <c r="T1979" s="6"/>
      <c r="U1979" s="7"/>
      <c r="V1979" s="6"/>
      <c r="W1979" s="6"/>
      <c r="X1979" s="6"/>
      <c r="Y1979" s="6"/>
      <c r="Z1979" s="6"/>
      <c r="AA1979" s="7"/>
      <c r="AB1979" s="6"/>
      <c r="AC1979" s="6"/>
      <c r="AD1979" s="6"/>
      <c r="AE1979" s="12"/>
      <c r="AF1979" s="6"/>
      <c r="AG1979" s="12"/>
      <c r="AH1979" s="6"/>
      <c r="AI1979" s="6"/>
      <c r="AJ1979" s="12"/>
      <c r="AK1979" s="24"/>
      <c r="AL1979" s="25"/>
      <c r="AM1979" s="12"/>
      <c r="AN1979" s="1"/>
      <c r="AO1979" s="6"/>
    </row>
    <row r="1980" spans="1:41" ht="15" x14ac:dyDescent="0.25">
      <c r="A1980" s="1"/>
      <c r="B1980" s="1"/>
      <c r="C1980" s="1"/>
      <c r="D1980" s="1"/>
      <c r="E1980" s="6"/>
      <c r="F1980" s="1"/>
      <c r="G1980" s="6"/>
      <c r="H1980" s="6"/>
      <c r="I1980" s="6"/>
      <c r="J1980" s="6"/>
      <c r="K1980" s="6"/>
      <c r="L1980" s="6"/>
      <c r="M1980" s="6"/>
      <c r="N1980" s="6"/>
      <c r="O1980" s="7"/>
      <c r="P1980" s="12"/>
      <c r="Q1980" s="6"/>
      <c r="R1980" s="7"/>
      <c r="S1980" s="6"/>
      <c r="T1980" s="6"/>
      <c r="U1980" s="7"/>
      <c r="V1980" s="6"/>
      <c r="W1980" s="6"/>
      <c r="X1980" s="6"/>
      <c r="Y1980" s="6"/>
      <c r="Z1980" s="6"/>
      <c r="AA1980" s="7"/>
      <c r="AB1980" s="6"/>
      <c r="AC1980" s="6"/>
      <c r="AD1980" s="6"/>
      <c r="AE1980" s="12"/>
      <c r="AF1980" s="6"/>
      <c r="AG1980" s="12"/>
      <c r="AH1980" s="6"/>
      <c r="AI1980" s="6"/>
      <c r="AJ1980" s="12"/>
      <c r="AK1980" s="24"/>
      <c r="AL1980" s="25"/>
      <c r="AM1980" s="12"/>
      <c r="AN1980" s="1"/>
      <c r="AO1980" s="6"/>
    </row>
    <row r="1981" spans="1:41" ht="15" x14ac:dyDescent="0.25">
      <c r="A1981" s="1"/>
      <c r="B1981" s="1"/>
      <c r="C1981" s="1"/>
      <c r="D1981" s="1"/>
      <c r="E1981" s="6"/>
      <c r="F1981" s="1"/>
      <c r="G1981" s="6"/>
      <c r="H1981" s="6"/>
      <c r="I1981" s="6"/>
      <c r="J1981" s="6"/>
      <c r="K1981" s="6"/>
      <c r="L1981" s="6"/>
      <c r="M1981" s="6"/>
      <c r="N1981" s="6"/>
      <c r="O1981" s="7"/>
      <c r="P1981" s="6"/>
      <c r="Q1981" s="6"/>
      <c r="R1981" s="7"/>
      <c r="S1981" s="6"/>
      <c r="T1981" s="6"/>
      <c r="U1981" s="7"/>
      <c r="V1981" s="6"/>
      <c r="W1981" s="6"/>
      <c r="X1981" s="12"/>
      <c r="Y1981" s="6"/>
      <c r="Z1981" s="6"/>
      <c r="AA1981" s="7"/>
      <c r="AB1981" s="6"/>
      <c r="AC1981" s="6"/>
      <c r="AD1981" s="6"/>
      <c r="AE1981" s="12"/>
      <c r="AF1981" s="6"/>
      <c r="AG1981" s="12"/>
      <c r="AH1981" s="6"/>
      <c r="AI1981" s="6"/>
      <c r="AJ1981" s="12"/>
      <c r="AK1981" s="24"/>
      <c r="AL1981" s="25"/>
      <c r="AM1981" s="12"/>
      <c r="AN1981" s="1"/>
      <c r="AO1981" s="6"/>
    </row>
    <row r="1982" spans="1:41" ht="15" x14ac:dyDescent="0.25">
      <c r="A1982" s="1"/>
      <c r="B1982" s="1"/>
      <c r="C1982" s="1"/>
      <c r="D1982" s="1"/>
      <c r="E1982" s="6"/>
      <c r="F1982" s="1"/>
      <c r="G1982" s="6"/>
      <c r="H1982" s="6"/>
      <c r="I1982" s="6"/>
      <c r="J1982" s="6"/>
      <c r="K1982" s="6"/>
      <c r="L1982" s="6"/>
      <c r="M1982" s="6"/>
      <c r="N1982" s="6"/>
      <c r="O1982" s="7"/>
      <c r="P1982" s="12"/>
      <c r="Q1982" s="6"/>
      <c r="R1982" s="7"/>
      <c r="S1982" s="6"/>
      <c r="T1982" s="6"/>
      <c r="U1982" s="7"/>
      <c r="V1982" s="6"/>
      <c r="W1982" s="6"/>
      <c r="X1982" s="6"/>
      <c r="Y1982" s="6"/>
      <c r="Z1982" s="6"/>
      <c r="AA1982" s="7"/>
      <c r="AB1982" s="6"/>
      <c r="AC1982" s="6"/>
      <c r="AD1982" s="6"/>
      <c r="AE1982" s="12"/>
      <c r="AF1982" s="6"/>
      <c r="AG1982" s="12"/>
      <c r="AH1982" s="6"/>
      <c r="AI1982" s="6"/>
      <c r="AJ1982" s="12"/>
      <c r="AK1982" s="24"/>
      <c r="AL1982" s="25"/>
      <c r="AM1982" s="12"/>
      <c r="AN1982" s="1"/>
      <c r="AO1982" s="6"/>
    </row>
    <row r="1983" spans="1:41" ht="15" x14ac:dyDescent="0.25">
      <c r="A1983" s="1"/>
      <c r="B1983" s="1"/>
      <c r="C1983" s="1"/>
      <c r="D1983" s="1"/>
      <c r="E1983" s="6"/>
      <c r="F1983" s="1"/>
      <c r="G1983" s="6"/>
      <c r="H1983" s="6"/>
      <c r="I1983" s="6"/>
      <c r="J1983" s="6"/>
      <c r="K1983" s="6"/>
      <c r="L1983" s="6"/>
      <c r="M1983" s="6"/>
      <c r="N1983" s="6"/>
      <c r="O1983" s="7"/>
      <c r="P1983" s="12"/>
      <c r="Q1983" s="6"/>
      <c r="R1983" s="7"/>
      <c r="S1983" s="6"/>
      <c r="T1983" s="6"/>
      <c r="U1983" s="7"/>
      <c r="V1983" s="6"/>
      <c r="W1983" s="6"/>
      <c r="X1983" s="12"/>
      <c r="Y1983" s="6"/>
      <c r="Z1983" s="6"/>
      <c r="AA1983" s="7"/>
      <c r="AB1983" s="6"/>
      <c r="AC1983" s="6"/>
      <c r="AD1983" s="6"/>
      <c r="AE1983" s="12"/>
      <c r="AF1983" s="12"/>
      <c r="AG1983" s="12"/>
      <c r="AH1983" s="12"/>
      <c r="AI1983" s="6"/>
      <c r="AJ1983" s="12"/>
      <c r="AK1983" s="1"/>
      <c r="AL1983" s="12"/>
      <c r="AM1983" s="12"/>
      <c r="AN1983" s="1"/>
      <c r="AO1983" s="6"/>
    </row>
    <row r="1984" spans="1:41" ht="15" x14ac:dyDescent="0.25">
      <c r="A1984" s="1"/>
      <c r="B1984" s="1"/>
      <c r="C1984" s="1"/>
      <c r="D1984" s="1"/>
      <c r="E1984" s="6"/>
      <c r="F1984" s="1"/>
      <c r="G1984" s="6"/>
      <c r="H1984" s="6"/>
      <c r="I1984" s="6"/>
      <c r="J1984" s="6"/>
      <c r="K1984" s="12"/>
      <c r="L1984" s="12"/>
      <c r="M1984" s="6"/>
      <c r="N1984" s="6"/>
      <c r="O1984" s="7"/>
      <c r="P1984" s="6"/>
      <c r="Q1984" s="6"/>
      <c r="R1984" s="7"/>
      <c r="S1984" s="6"/>
      <c r="T1984" s="6"/>
      <c r="U1984" s="7"/>
      <c r="V1984" s="6"/>
      <c r="W1984" s="6"/>
      <c r="X1984" s="12"/>
      <c r="Y1984" s="6"/>
      <c r="Z1984" s="6"/>
      <c r="AA1984" s="7"/>
      <c r="AB1984" s="6"/>
      <c r="AC1984" s="6"/>
      <c r="AD1984" s="6"/>
      <c r="AE1984" s="12"/>
      <c r="AF1984" s="12"/>
      <c r="AG1984" s="12"/>
      <c r="AH1984" s="12"/>
      <c r="AI1984" s="6"/>
      <c r="AJ1984" s="12"/>
      <c r="AK1984" s="1"/>
      <c r="AL1984" s="12"/>
      <c r="AM1984" s="12"/>
      <c r="AN1984" s="1"/>
      <c r="AO1984" s="6"/>
    </row>
    <row r="1985" spans="1:41" ht="15" x14ac:dyDescent="0.25">
      <c r="A1985" s="1"/>
      <c r="B1985" s="1"/>
      <c r="C1985" s="1"/>
      <c r="D1985" s="1"/>
      <c r="E1985" s="6"/>
      <c r="F1985" s="1"/>
      <c r="G1985" s="6"/>
      <c r="H1985" s="6"/>
      <c r="I1985" s="6"/>
      <c r="J1985" s="6"/>
      <c r="K1985" s="6"/>
      <c r="L1985" s="6"/>
      <c r="M1985" s="6"/>
      <c r="N1985" s="6"/>
      <c r="O1985" s="7"/>
      <c r="P1985" s="6"/>
      <c r="Q1985" s="6"/>
      <c r="R1985" s="7"/>
      <c r="S1985" s="6"/>
      <c r="T1985" s="6"/>
      <c r="U1985" s="7"/>
      <c r="V1985" s="6"/>
      <c r="W1985" s="6"/>
      <c r="X1985" s="6"/>
      <c r="Y1985" s="6"/>
      <c r="Z1985" s="6"/>
      <c r="AA1985" s="7"/>
      <c r="AB1985" s="6"/>
      <c r="AC1985" s="6"/>
      <c r="AD1985" s="6"/>
      <c r="AE1985" s="12"/>
      <c r="AF1985" s="12"/>
      <c r="AG1985" s="12"/>
      <c r="AH1985" s="12"/>
      <c r="AI1985" s="6"/>
      <c r="AJ1985" s="12"/>
      <c r="AK1985" s="1"/>
      <c r="AL1985" s="12"/>
      <c r="AM1985" s="12"/>
      <c r="AN1985" s="1"/>
      <c r="AO1985" s="6"/>
    </row>
    <row r="1986" spans="1:41" ht="15" x14ac:dyDescent="0.25">
      <c r="A1986" s="1"/>
      <c r="B1986" s="1"/>
      <c r="C1986" s="1"/>
      <c r="D1986" s="1"/>
      <c r="E1986" s="6"/>
      <c r="F1986" s="1"/>
      <c r="G1986" s="6"/>
      <c r="H1986" s="6"/>
      <c r="I1986" s="6"/>
      <c r="J1986" s="6"/>
      <c r="K1986" s="12"/>
      <c r="L1986" s="12"/>
      <c r="M1986" s="6"/>
      <c r="N1986" s="6"/>
      <c r="O1986" s="7"/>
      <c r="P1986" s="6"/>
      <c r="Q1986" s="6"/>
      <c r="R1986" s="7"/>
      <c r="S1986" s="6"/>
      <c r="T1986" s="6"/>
      <c r="U1986" s="7"/>
      <c r="V1986" s="6"/>
      <c r="W1986" s="6"/>
      <c r="X1986" s="12"/>
      <c r="Y1986" s="6"/>
      <c r="Z1986" s="6"/>
      <c r="AA1986" s="7"/>
      <c r="AB1986" s="6"/>
      <c r="AC1986" s="6"/>
      <c r="AD1986" s="6"/>
      <c r="AE1986" s="12"/>
      <c r="AF1986" s="12"/>
      <c r="AG1986" s="12"/>
      <c r="AH1986" s="12"/>
      <c r="AI1986" s="6"/>
      <c r="AJ1986" s="12"/>
      <c r="AK1986" s="24"/>
      <c r="AL1986" s="25"/>
      <c r="AM1986" s="12"/>
      <c r="AN1986" s="1"/>
      <c r="AO1986" s="6"/>
    </row>
    <row r="1987" spans="1:41" ht="15" x14ac:dyDescent="0.25">
      <c r="A1987" s="1"/>
      <c r="B1987" s="1"/>
      <c r="C1987" s="1"/>
      <c r="D1987" s="1"/>
      <c r="E1987" s="6"/>
      <c r="F1987" s="1"/>
      <c r="G1987" s="6"/>
      <c r="H1987" s="6"/>
      <c r="I1987" s="6"/>
      <c r="J1987" s="6"/>
      <c r="K1987" s="6"/>
      <c r="L1987" s="6"/>
      <c r="M1987" s="6"/>
      <c r="N1987" s="6"/>
      <c r="O1987" s="7"/>
      <c r="P1987" s="6"/>
      <c r="Q1987" s="6"/>
      <c r="R1987" s="7"/>
      <c r="S1987" s="6"/>
      <c r="T1987" s="6"/>
      <c r="U1987" s="7"/>
      <c r="V1987" s="6"/>
      <c r="W1987" s="6"/>
      <c r="X1987" s="6"/>
      <c r="Y1987" s="6"/>
      <c r="Z1987" s="6"/>
      <c r="AA1987" s="7"/>
      <c r="AB1987" s="6"/>
      <c r="AC1987" s="6"/>
      <c r="AD1987" s="6"/>
      <c r="AE1987" s="12"/>
      <c r="AF1987" s="12"/>
      <c r="AG1987" s="12"/>
      <c r="AH1987" s="12"/>
      <c r="AI1987" s="6"/>
      <c r="AJ1987" s="12"/>
      <c r="AK1987" s="1"/>
      <c r="AL1987" s="12"/>
      <c r="AM1987" s="12"/>
      <c r="AN1987" s="1"/>
      <c r="AO1987" s="6"/>
    </row>
    <row r="1988" spans="1:41" ht="15" x14ac:dyDescent="0.25">
      <c r="A1988" s="1"/>
      <c r="B1988" s="1"/>
      <c r="C1988" s="1"/>
      <c r="D1988" s="1"/>
      <c r="E1988" s="6"/>
      <c r="F1988" s="1"/>
      <c r="G1988" s="6"/>
      <c r="H1988" s="6"/>
      <c r="I1988" s="6"/>
      <c r="J1988" s="6"/>
      <c r="K1988" s="6"/>
      <c r="L1988" s="6"/>
      <c r="M1988" s="6"/>
      <c r="N1988" s="6"/>
      <c r="O1988" s="7"/>
      <c r="P1988" s="6"/>
      <c r="Q1988" s="6"/>
      <c r="R1988" s="7"/>
      <c r="S1988" s="6"/>
      <c r="T1988" s="6"/>
      <c r="U1988" s="7"/>
      <c r="V1988" s="6"/>
      <c r="W1988" s="6"/>
      <c r="X1988" s="12"/>
      <c r="Y1988" s="6"/>
      <c r="Z1988" s="6"/>
      <c r="AA1988" s="7"/>
      <c r="AB1988" s="6"/>
      <c r="AC1988" s="6"/>
      <c r="AD1988" s="6"/>
      <c r="AE1988" s="12"/>
      <c r="AF1988" s="6"/>
      <c r="AG1988" s="12"/>
      <c r="AH1988" s="6"/>
      <c r="AI1988" s="6"/>
      <c r="AJ1988" s="12"/>
      <c r="AK1988" s="24"/>
      <c r="AL1988" s="25"/>
      <c r="AM1988" s="12"/>
      <c r="AN1988" s="1"/>
      <c r="AO1988" s="6"/>
    </row>
    <row r="1989" spans="1:41" ht="15" x14ac:dyDescent="0.25">
      <c r="A1989" s="1"/>
      <c r="B1989" s="1"/>
      <c r="C1989" s="1"/>
      <c r="D1989" s="1"/>
      <c r="E1989" s="6"/>
      <c r="F1989" s="1"/>
      <c r="G1989" s="6"/>
      <c r="H1989" s="6"/>
      <c r="I1989" s="6"/>
      <c r="J1989" s="6"/>
      <c r="K1989" s="6"/>
      <c r="L1989" s="6"/>
      <c r="M1989" s="6"/>
      <c r="N1989" s="6"/>
      <c r="O1989" s="7"/>
      <c r="P1989" s="6"/>
      <c r="Q1989" s="6"/>
      <c r="R1989" s="7"/>
      <c r="S1989" s="6"/>
      <c r="T1989" s="6"/>
      <c r="U1989" s="7"/>
      <c r="V1989" s="6"/>
      <c r="W1989" s="6"/>
      <c r="X1989" s="6"/>
      <c r="Y1989" s="6"/>
      <c r="Z1989" s="6"/>
      <c r="AA1989" s="7"/>
      <c r="AB1989" s="6"/>
      <c r="AC1989" s="6"/>
      <c r="AD1989" s="6"/>
      <c r="AE1989" s="12"/>
      <c r="AF1989" s="12"/>
      <c r="AG1989" s="12"/>
      <c r="AH1989" s="12"/>
      <c r="AI1989" s="6"/>
      <c r="AJ1989" s="12"/>
      <c r="AK1989" s="1"/>
      <c r="AL1989" s="12"/>
      <c r="AM1989" s="12"/>
      <c r="AN1989" s="1"/>
      <c r="AO1989" s="6"/>
    </row>
    <row r="1990" spans="1:41" ht="15" x14ac:dyDescent="0.25">
      <c r="A1990" s="1"/>
      <c r="B1990" s="1"/>
      <c r="C1990" s="1"/>
      <c r="D1990" s="1"/>
      <c r="E1990" s="6"/>
      <c r="F1990" s="1"/>
      <c r="G1990" s="6"/>
      <c r="H1990" s="6"/>
      <c r="I1990" s="6"/>
      <c r="J1990" s="6"/>
      <c r="K1990" s="6"/>
      <c r="L1990" s="6"/>
      <c r="M1990" s="6"/>
      <c r="N1990" s="6"/>
      <c r="O1990" s="7"/>
      <c r="P1990" s="6"/>
      <c r="Q1990" s="6"/>
      <c r="R1990" s="7"/>
      <c r="S1990" s="6"/>
      <c r="T1990" s="6"/>
      <c r="U1990" s="7"/>
      <c r="V1990" s="6"/>
      <c r="W1990" s="6"/>
      <c r="X1990" s="12"/>
      <c r="Y1990" s="6"/>
      <c r="Z1990" s="6"/>
      <c r="AA1990" s="7"/>
      <c r="AB1990" s="6"/>
      <c r="AC1990" s="6"/>
      <c r="AD1990" s="6"/>
      <c r="AE1990" s="12"/>
      <c r="AF1990" s="6"/>
      <c r="AG1990" s="12"/>
      <c r="AH1990" s="6"/>
      <c r="AI1990" s="6"/>
      <c r="AJ1990" s="12"/>
      <c r="AK1990" s="24"/>
      <c r="AL1990" s="25"/>
      <c r="AM1990" s="12"/>
      <c r="AN1990" s="1"/>
      <c r="AO1990" s="6"/>
    </row>
    <row r="1991" spans="1:41" ht="15" x14ac:dyDescent="0.25">
      <c r="A1991" s="1"/>
      <c r="B1991" s="1"/>
      <c r="C1991" s="1"/>
      <c r="D1991" s="1"/>
      <c r="E1991" s="6"/>
      <c r="F1991" s="1"/>
      <c r="G1991" s="6"/>
      <c r="H1991" s="6"/>
      <c r="I1991" s="6"/>
      <c r="J1991" s="6"/>
      <c r="K1991" s="6"/>
      <c r="L1991" s="6"/>
      <c r="M1991" s="6"/>
      <c r="N1991" s="6"/>
      <c r="O1991" s="7"/>
      <c r="P1991" s="6"/>
      <c r="Q1991" s="6"/>
      <c r="R1991" s="15"/>
      <c r="S1991" s="6"/>
      <c r="T1991" s="6"/>
      <c r="U1991" s="7"/>
      <c r="V1991" s="6"/>
      <c r="W1991" s="6"/>
      <c r="X1991" s="6"/>
      <c r="Y1991" s="6"/>
      <c r="Z1991" s="6"/>
      <c r="AA1991" s="7"/>
      <c r="AB1991" s="6"/>
      <c r="AC1991" s="6"/>
      <c r="AD1991" s="6"/>
      <c r="AE1991" s="12"/>
      <c r="AF1991" s="6"/>
      <c r="AG1991" s="12"/>
      <c r="AH1991" s="6"/>
      <c r="AI1991" s="6"/>
      <c r="AJ1991" s="12"/>
      <c r="AK1991" s="24"/>
      <c r="AL1991" s="25"/>
      <c r="AM1991" s="12"/>
      <c r="AN1991" s="1"/>
      <c r="AO1991" s="6"/>
    </row>
    <row r="1992" spans="1:41" ht="15" x14ac:dyDescent="0.25">
      <c r="A1992" s="1"/>
      <c r="B1992" s="1"/>
      <c r="C1992" s="1"/>
      <c r="D1992" s="1"/>
      <c r="E1992" s="6"/>
      <c r="F1992" s="1"/>
      <c r="G1992" s="6"/>
      <c r="H1992" s="6"/>
      <c r="I1992" s="6"/>
      <c r="J1992" s="6"/>
      <c r="K1992" s="6"/>
      <c r="L1992" s="6"/>
      <c r="M1992" s="6"/>
      <c r="N1992" s="6"/>
      <c r="O1992" s="7"/>
      <c r="P1992" s="6"/>
      <c r="Q1992" s="7"/>
      <c r="R1992" s="6"/>
      <c r="S1992" s="6"/>
      <c r="T1992" s="6"/>
      <c r="U1992" s="6"/>
      <c r="V1992" s="7"/>
      <c r="W1992" s="7"/>
      <c r="X1992" s="6"/>
      <c r="Y1992" s="6"/>
      <c r="Z1992" s="6"/>
      <c r="AA1992" s="1"/>
      <c r="AB1992" s="12"/>
      <c r="AC1992" s="12"/>
      <c r="AD1992" s="12"/>
      <c r="AE1992" s="12"/>
      <c r="AF1992" s="12"/>
      <c r="AG1992" s="12"/>
      <c r="AH1992" s="12"/>
      <c r="AI1992" s="6"/>
      <c r="AJ1992" s="12"/>
      <c r="AK1992" s="12"/>
      <c r="AL1992" s="12"/>
      <c r="AM1992" s="12"/>
      <c r="AN1992" s="1"/>
      <c r="AO1992" s="6"/>
    </row>
    <row r="1993" spans="1:41" ht="15" x14ac:dyDescent="0.25">
      <c r="A1993" s="1"/>
      <c r="B1993" s="1"/>
      <c r="C1993" s="1"/>
      <c r="D1993" s="1"/>
      <c r="E1993" s="6"/>
      <c r="F1993" s="1"/>
      <c r="G1993" s="6"/>
      <c r="H1993" s="6"/>
      <c r="I1993" s="6"/>
      <c r="J1993" s="6"/>
      <c r="K1993" s="6"/>
      <c r="L1993" s="6"/>
      <c r="M1993" s="6"/>
      <c r="N1993" s="6"/>
      <c r="O1993" s="7"/>
      <c r="P1993" s="12"/>
      <c r="Q1993" s="6"/>
      <c r="R1993" s="7"/>
      <c r="S1993" s="6"/>
      <c r="T1993" s="6"/>
      <c r="U1993" s="7"/>
      <c r="V1993" s="6"/>
      <c r="W1993" s="6"/>
      <c r="X1993" s="6"/>
      <c r="Y1993" s="6"/>
      <c r="Z1993" s="6"/>
      <c r="AA1993" s="7"/>
      <c r="AB1993" s="6"/>
      <c r="AC1993" s="6"/>
      <c r="AD1993" s="6"/>
      <c r="AE1993" s="12"/>
      <c r="AF1993" s="12"/>
      <c r="AG1993" s="12"/>
      <c r="AH1993" s="12"/>
      <c r="AI1993" s="6"/>
      <c r="AJ1993" s="12"/>
      <c r="AK1993" s="1"/>
      <c r="AL1993" s="12"/>
      <c r="AM1993" s="12"/>
      <c r="AN1993" s="1"/>
      <c r="AO1993" s="6"/>
    </row>
    <row r="1994" spans="1:41" ht="15" x14ac:dyDescent="0.25">
      <c r="A1994" s="1"/>
      <c r="B1994" s="1"/>
      <c r="C1994" s="1"/>
      <c r="D1994" s="1"/>
      <c r="E1994" s="6"/>
      <c r="F1994" s="1"/>
      <c r="G1994" s="6"/>
      <c r="H1994" s="6"/>
      <c r="I1994" s="6"/>
      <c r="J1994" s="6"/>
      <c r="K1994" s="12"/>
      <c r="L1994" s="12"/>
      <c r="M1994" s="6"/>
      <c r="N1994" s="6"/>
      <c r="O1994" s="7"/>
      <c r="P1994" s="6"/>
      <c r="Q1994" s="7"/>
      <c r="R1994" s="6"/>
      <c r="S1994" s="12"/>
      <c r="T1994" s="6"/>
      <c r="U1994" s="6"/>
      <c r="V1994" s="7"/>
      <c r="W1994" s="7"/>
      <c r="X1994" s="6"/>
      <c r="Y1994" s="6"/>
      <c r="Z1994" s="6"/>
      <c r="AA1994" s="1"/>
      <c r="AB1994" s="12"/>
      <c r="AC1994" s="12"/>
      <c r="AD1994" s="12"/>
      <c r="AE1994" s="12"/>
      <c r="AF1994" s="12"/>
      <c r="AG1994" s="12"/>
      <c r="AH1994" s="12"/>
      <c r="AI1994" s="6"/>
      <c r="AJ1994" s="12"/>
      <c r="AK1994" s="12"/>
      <c r="AL1994" s="12"/>
      <c r="AM1994" s="12"/>
      <c r="AN1994" s="1"/>
      <c r="AO1994" s="6"/>
    </row>
    <row r="1995" spans="1:41" ht="15" x14ac:dyDescent="0.25">
      <c r="A1995" s="1"/>
      <c r="B1995" s="1"/>
      <c r="C1995" s="1"/>
      <c r="D1995" s="1"/>
      <c r="E1995" s="6"/>
      <c r="F1995" s="1"/>
      <c r="G1995" s="6"/>
      <c r="H1995" s="6"/>
      <c r="I1995" s="6"/>
      <c r="J1995" s="6"/>
      <c r="K1995" s="6"/>
      <c r="L1995" s="6"/>
      <c r="M1995" s="6"/>
      <c r="N1995" s="6"/>
      <c r="O1995" s="7"/>
      <c r="P1995" s="6"/>
      <c r="Q1995" s="6"/>
      <c r="R1995" s="7"/>
      <c r="S1995" s="6"/>
      <c r="T1995" s="6"/>
      <c r="U1995" s="7"/>
      <c r="V1995" s="6"/>
      <c r="W1995" s="6"/>
      <c r="X1995" s="6"/>
      <c r="Y1995" s="6"/>
      <c r="Z1995" s="6"/>
      <c r="AA1995" s="7"/>
      <c r="AB1995" s="6"/>
      <c r="AC1995" s="6"/>
      <c r="AD1995" s="6"/>
      <c r="AE1995" s="12"/>
      <c r="AF1995" s="6"/>
      <c r="AG1995" s="12"/>
      <c r="AH1995" s="6"/>
      <c r="AI1995" s="6"/>
      <c r="AJ1995" s="12"/>
      <c r="AK1995" s="24"/>
      <c r="AL1995" s="25"/>
      <c r="AM1995" s="12"/>
      <c r="AN1995" s="1"/>
      <c r="AO1995" s="6"/>
    </row>
    <row r="1996" spans="1:41" ht="15" x14ac:dyDescent="0.25">
      <c r="A1996" s="1"/>
      <c r="B1996" s="1"/>
      <c r="C1996" s="1"/>
      <c r="D1996" s="1"/>
      <c r="E1996" s="6"/>
      <c r="F1996" s="1"/>
      <c r="G1996" s="6"/>
      <c r="H1996" s="6"/>
      <c r="I1996" s="6"/>
      <c r="J1996" s="6"/>
      <c r="K1996" s="6"/>
      <c r="L1996" s="6"/>
      <c r="M1996" s="6"/>
      <c r="N1996" s="6"/>
      <c r="O1996" s="7"/>
      <c r="P1996" s="12"/>
      <c r="Q1996" s="6"/>
      <c r="R1996" s="7"/>
      <c r="S1996" s="6"/>
      <c r="T1996" s="6"/>
      <c r="U1996" s="7"/>
      <c r="V1996" s="6"/>
      <c r="W1996" s="6"/>
      <c r="X1996" s="6"/>
      <c r="Y1996" s="6"/>
      <c r="Z1996" s="6"/>
      <c r="AA1996" s="7"/>
      <c r="AB1996" s="6"/>
      <c r="AC1996" s="6"/>
      <c r="AD1996" s="6"/>
      <c r="AE1996" s="12"/>
      <c r="AF1996" s="6"/>
      <c r="AG1996" s="12"/>
      <c r="AH1996" s="6"/>
      <c r="AI1996" s="6"/>
      <c r="AJ1996" s="12"/>
      <c r="AK1996" s="24"/>
      <c r="AL1996" s="25"/>
      <c r="AM1996" s="12"/>
      <c r="AN1996" s="1"/>
      <c r="AO1996" s="6"/>
    </row>
    <row r="1997" spans="1:41" ht="15" x14ac:dyDescent="0.25">
      <c r="A1997" s="1"/>
      <c r="B1997" s="1"/>
      <c r="C1997" s="1"/>
      <c r="D1997" s="1"/>
      <c r="E1997" s="6"/>
      <c r="F1997" s="1"/>
      <c r="G1997" s="6"/>
      <c r="H1997" s="6"/>
      <c r="I1997" s="6"/>
      <c r="J1997" s="6"/>
      <c r="K1997" s="6"/>
      <c r="L1997" s="6"/>
      <c r="M1997" s="6"/>
      <c r="N1997" s="6"/>
      <c r="O1997" s="7"/>
      <c r="P1997" s="6"/>
      <c r="Q1997" s="7"/>
      <c r="R1997" s="6"/>
      <c r="S1997" s="12"/>
      <c r="T1997" s="6"/>
      <c r="U1997" s="6"/>
      <c r="V1997" s="7"/>
      <c r="W1997" s="7"/>
      <c r="X1997" s="6"/>
      <c r="Y1997" s="6"/>
      <c r="Z1997" s="6"/>
      <c r="AA1997" s="1"/>
      <c r="AB1997" s="12"/>
      <c r="AC1997" s="12"/>
      <c r="AD1997" s="12"/>
      <c r="AE1997" s="12"/>
      <c r="AF1997" s="12"/>
      <c r="AG1997" s="12"/>
      <c r="AH1997" s="12"/>
      <c r="AI1997" s="6"/>
      <c r="AJ1997" s="12"/>
      <c r="AK1997" s="12"/>
      <c r="AL1997" s="12"/>
      <c r="AM1997" s="12"/>
      <c r="AN1997" s="1"/>
      <c r="AO1997" s="6"/>
    </row>
    <row r="1998" spans="1:41" ht="15" x14ac:dyDescent="0.25">
      <c r="A1998" s="1"/>
      <c r="B1998" s="1"/>
      <c r="C1998" s="1"/>
      <c r="D1998" s="1"/>
      <c r="E1998" s="6"/>
      <c r="F1998" s="1"/>
      <c r="G1998" s="6"/>
      <c r="H1998" s="6"/>
      <c r="I1998" s="6"/>
      <c r="J1998" s="6"/>
      <c r="K1998" s="12"/>
      <c r="L1998" s="12"/>
      <c r="M1998" s="6"/>
      <c r="N1998" s="6"/>
      <c r="O1998" s="7"/>
      <c r="P1998" s="6"/>
      <c r="Q1998" s="6"/>
      <c r="R1998" s="7"/>
      <c r="S1998" s="6"/>
      <c r="T1998" s="6"/>
      <c r="U1998" s="7"/>
      <c r="V1998" s="6"/>
      <c r="W1998" s="6"/>
      <c r="X1998" s="12"/>
      <c r="Y1998" s="6"/>
      <c r="Z1998" s="6"/>
      <c r="AA1998" s="7"/>
      <c r="AB1998" s="6"/>
      <c r="AC1998" s="6"/>
      <c r="AD1998" s="6"/>
      <c r="AE1998" s="12"/>
      <c r="AF1998" s="12"/>
      <c r="AG1998" s="12"/>
      <c r="AH1998" s="12"/>
      <c r="AI1998" s="6"/>
      <c r="AJ1998" s="12"/>
      <c r="AK1998" s="24"/>
      <c r="AL1998" s="25"/>
      <c r="AM1998" s="12"/>
      <c r="AN1998" s="1"/>
      <c r="AO1998" s="6"/>
    </row>
    <row r="1999" spans="1:41" ht="15" x14ac:dyDescent="0.25">
      <c r="A1999" s="1"/>
      <c r="B1999" s="1"/>
      <c r="C1999" s="1"/>
      <c r="D1999" s="1"/>
      <c r="E1999" s="6"/>
      <c r="F1999" s="1"/>
      <c r="G1999" s="6"/>
      <c r="H1999" s="6"/>
      <c r="I1999" s="6"/>
      <c r="J1999" s="6"/>
      <c r="K1999" s="6"/>
      <c r="L1999" s="6"/>
      <c r="M1999" s="6"/>
      <c r="N1999" s="6"/>
      <c r="O1999" s="7"/>
      <c r="P1999" s="6"/>
      <c r="Q1999" s="6"/>
      <c r="R1999" s="7"/>
      <c r="S1999" s="6"/>
      <c r="T1999" s="6"/>
      <c r="U1999" s="6"/>
      <c r="V1999" s="6"/>
      <c r="W1999" s="6"/>
      <c r="X1999" s="7"/>
      <c r="Y1999" s="6"/>
      <c r="Z1999" s="6"/>
      <c r="AA1999" s="7"/>
      <c r="AB1999" s="6"/>
      <c r="AC1999" s="6"/>
      <c r="AD1999" s="6"/>
      <c r="AE1999" s="12"/>
      <c r="AF1999" s="6"/>
      <c r="AG1999" s="12"/>
      <c r="AH1999" s="6"/>
      <c r="AI1999" s="6"/>
      <c r="AJ1999" s="12"/>
      <c r="AK1999" s="6"/>
      <c r="AL1999" s="12"/>
      <c r="AM1999" s="12"/>
      <c r="AN1999" s="1"/>
      <c r="AO1999" s="6"/>
    </row>
    <row r="2000" spans="1:41" ht="15" x14ac:dyDescent="0.25">
      <c r="A2000" s="1"/>
      <c r="B2000" s="1"/>
      <c r="C2000" s="1"/>
      <c r="D2000" s="1"/>
      <c r="E2000" s="6"/>
      <c r="F2000" s="1"/>
      <c r="G2000" s="6"/>
      <c r="H2000" s="6"/>
      <c r="I2000" s="6"/>
      <c r="J2000" s="6"/>
      <c r="K2000" s="6"/>
      <c r="L2000" s="6"/>
      <c r="M2000" s="6"/>
      <c r="N2000" s="6"/>
      <c r="O2000" s="7"/>
      <c r="P2000" s="12"/>
      <c r="Q2000" s="6"/>
      <c r="R2000" s="7"/>
      <c r="S2000" s="6"/>
      <c r="T2000" s="6"/>
      <c r="U2000" s="7"/>
      <c r="V2000" s="6"/>
      <c r="W2000" s="6"/>
      <c r="X2000" s="12"/>
      <c r="Y2000" s="6"/>
      <c r="Z2000" s="6"/>
      <c r="AA2000" s="7"/>
      <c r="AB2000" s="6"/>
      <c r="AC2000" s="6"/>
      <c r="AD2000" s="6"/>
      <c r="AE2000" s="12"/>
      <c r="AF2000" s="12"/>
      <c r="AG2000" s="12"/>
      <c r="AH2000" s="12"/>
      <c r="AI2000" s="6"/>
      <c r="AJ2000" s="12"/>
      <c r="AK2000" s="1"/>
      <c r="AL2000" s="12"/>
      <c r="AM2000" s="12"/>
      <c r="AN2000" s="1"/>
      <c r="AO2000" s="6"/>
    </row>
    <row r="2001" spans="1:41" ht="15" x14ac:dyDescent="0.25">
      <c r="A2001" s="1"/>
      <c r="B2001" s="1"/>
      <c r="C2001" s="1"/>
      <c r="D2001" s="1"/>
      <c r="E2001" s="6"/>
      <c r="F2001" s="1"/>
      <c r="G2001" s="6"/>
      <c r="H2001" s="6"/>
      <c r="I2001" s="6"/>
      <c r="J2001" s="6"/>
      <c r="K2001" s="12"/>
      <c r="L2001" s="12"/>
      <c r="M2001" s="6"/>
      <c r="N2001" s="6"/>
      <c r="O2001" s="7"/>
      <c r="P2001" s="6"/>
      <c r="Q2001" s="6"/>
      <c r="R2001" s="7"/>
      <c r="S2001" s="6"/>
      <c r="T2001" s="6"/>
      <c r="U2001" s="7"/>
      <c r="V2001" s="6"/>
      <c r="W2001" s="6"/>
      <c r="X2001" s="12"/>
      <c r="Y2001" s="6"/>
      <c r="Z2001" s="6"/>
      <c r="AA2001" s="7"/>
      <c r="AB2001" s="6"/>
      <c r="AC2001" s="6"/>
      <c r="AD2001" s="6"/>
      <c r="AE2001" s="12"/>
      <c r="AF2001" s="12"/>
      <c r="AG2001" s="12"/>
      <c r="AH2001" s="12"/>
      <c r="AI2001" s="6"/>
      <c r="AJ2001" s="12"/>
      <c r="AK2001" s="1"/>
      <c r="AL2001" s="12"/>
      <c r="AM2001" s="12"/>
      <c r="AN2001" s="1"/>
      <c r="AO2001" s="6"/>
    </row>
    <row r="2002" spans="1:41" ht="15" x14ac:dyDescent="0.25">
      <c r="A2002" s="1"/>
      <c r="B2002" s="1"/>
      <c r="C2002" s="1"/>
      <c r="D2002" s="1"/>
      <c r="E2002" s="6"/>
      <c r="F2002" s="1"/>
      <c r="G2002" s="6"/>
      <c r="H2002" s="6"/>
      <c r="I2002" s="6"/>
      <c r="J2002" s="6"/>
      <c r="K2002" s="6"/>
      <c r="L2002" s="6"/>
      <c r="M2002" s="6"/>
      <c r="N2002" s="6"/>
      <c r="O2002" s="7"/>
      <c r="P2002" s="6"/>
      <c r="Q2002" s="6"/>
      <c r="R2002" s="12"/>
      <c r="S2002" s="12"/>
      <c r="T2002" s="12"/>
      <c r="U2002" s="7"/>
      <c r="V2002" s="6"/>
      <c r="W2002" s="6"/>
      <c r="X2002" s="12"/>
      <c r="Y2002" s="6"/>
      <c r="Z2002" s="6"/>
      <c r="AA2002" s="7"/>
      <c r="AB2002" s="6"/>
      <c r="AC2002" s="6"/>
      <c r="AD2002" s="6"/>
      <c r="AE2002" s="12"/>
      <c r="AF2002" s="12"/>
      <c r="AG2002" s="12"/>
      <c r="AH2002" s="12"/>
      <c r="AI2002" s="6"/>
      <c r="AJ2002" s="12"/>
      <c r="AK2002" s="1"/>
      <c r="AL2002" s="12"/>
      <c r="AM2002" s="12"/>
      <c r="AN2002" s="1"/>
      <c r="AO2002" s="6"/>
    </row>
    <row r="2003" spans="1:41" ht="15" x14ac:dyDescent="0.25">
      <c r="A2003" s="1"/>
      <c r="B2003" s="1"/>
      <c r="C2003" s="1"/>
      <c r="D2003" s="1"/>
      <c r="E2003" s="6"/>
      <c r="F2003" s="1"/>
      <c r="G2003" s="6"/>
      <c r="H2003" s="6"/>
      <c r="I2003" s="6"/>
      <c r="J2003" s="6"/>
      <c r="K2003" s="6"/>
      <c r="L2003" s="6"/>
      <c r="M2003" s="6"/>
      <c r="N2003" s="6"/>
      <c r="O2003" s="7"/>
      <c r="P2003" s="6"/>
      <c r="Q2003" s="6"/>
      <c r="R2003" s="7"/>
      <c r="S2003" s="6"/>
      <c r="T2003" s="6"/>
      <c r="U2003" s="7"/>
      <c r="V2003" s="6"/>
      <c r="W2003" s="6"/>
      <c r="X2003" s="6"/>
      <c r="Y2003" s="6"/>
      <c r="Z2003" s="6"/>
      <c r="AA2003" s="7"/>
      <c r="AB2003" s="6"/>
      <c r="AC2003" s="6"/>
      <c r="AD2003" s="6"/>
      <c r="AE2003" s="12"/>
      <c r="AF2003" s="12"/>
      <c r="AG2003" s="12"/>
      <c r="AH2003" s="12"/>
      <c r="AI2003" s="6"/>
      <c r="AJ2003" s="12"/>
      <c r="AK2003" s="1"/>
      <c r="AL2003" s="12"/>
      <c r="AM2003" s="12"/>
      <c r="AN2003" s="1"/>
      <c r="AO2003" s="12"/>
    </row>
    <row r="2004" spans="1:41" ht="15" x14ac:dyDescent="0.25">
      <c r="A2004" s="1"/>
      <c r="B2004" s="1"/>
      <c r="C2004" s="1"/>
      <c r="D2004" s="1"/>
      <c r="E2004" s="6"/>
      <c r="F2004" s="1"/>
      <c r="G2004" s="6"/>
      <c r="H2004" s="6"/>
      <c r="I2004" s="6"/>
      <c r="J2004" s="6"/>
      <c r="K2004" s="6"/>
      <c r="L2004" s="6"/>
      <c r="M2004" s="6"/>
      <c r="N2004" s="6"/>
      <c r="O2004" s="7"/>
      <c r="P2004" s="12"/>
      <c r="Q2004" s="6"/>
      <c r="R2004" s="7"/>
      <c r="S2004" s="6"/>
      <c r="T2004" s="6"/>
      <c r="U2004" s="7"/>
      <c r="V2004" s="6"/>
      <c r="W2004" s="6"/>
      <c r="X2004" s="6"/>
      <c r="Y2004" s="6"/>
      <c r="Z2004" s="6"/>
      <c r="AA2004" s="7"/>
      <c r="AB2004" s="6"/>
      <c r="AC2004" s="6"/>
      <c r="AD2004" s="6"/>
      <c r="AE2004" s="12"/>
      <c r="AF2004" s="6"/>
      <c r="AG2004" s="12"/>
      <c r="AH2004" s="6"/>
      <c r="AI2004" s="6"/>
      <c r="AJ2004" s="12"/>
      <c r="AK2004" s="24"/>
      <c r="AL2004" s="25"/>
      <c r="AM2004" s="12"/>
      <c r="AN2004" s="1"/>
      <c r="AO2004" s="6"/>
    </row>
    <row r="2005" spans="1:41" ht="15" x14ac:dyDescent="0.25">
      <c r="A2005" s="1"/>
      <c r="B2005" s="1"/>
      <c r="C2005" s="1"/>
      <c r="D2005" s="1"/>
      <c r="E2005" s="6"/>
      <c r="F2005" s="1"/>
      <c r="G2005" s="6"/>
      <c r="H2005" s="6"/>
      <c r="I2005" s="6"/>
      <c r="J2005" s="6"/>
      <c r="K2005" s="6"/>
      <c r="L2005" s="6"/>
      <c r="M2005" s="6"/>
      <c r="N2005" s="6"/>
      <c r="O2005" s="7"/>
      <c r="P2005" s="6"/>
      <c r="Q2005" s="6"/>
      <c r="R2005" s="7"/>
      <c r="S2005" s="6"/>
      <c r="T2005" s="6"/>
      <c r="U2005" s="7"/>
      <c r="V2005" s="6"/>
      <c r="W2005" s="6"/>
      <c r="X2005" s="12"/>
      <c r="Y2005" s="6"/>
      <c r="Z2005" s="6"/>
      <c r="AA2005" s="7"/>
      <c r="AB2005" s="6"/>
      <c r="AC2005" s="6"/>
      <c r="AD2005" s="6"/>
      <c r="AE2005" s="12"/>
      <c r="AF2005" s="6"/>
      <c r="AG2005" s="12"/>
      <c r="AH2005" s="6"/>
      <c r="AI2005" s="6"/>
      <c r="AJ2005" s="12"/>
      <c r="AK2005" s="1"/>
      <c r="AL2005" s="12"/>
      <c r="AM2005" s="12"/>
      <c r="AN2005" s="1"/>
      <c r="AO2005" s="6"/>
    </row>
    <row r="2006" spans="1:41" ht="15" x14ac:dyDescent="0.25">
      <c r="A2006" s="1"/>
      <c r="B2006" s="1"/>
      <c r="C2006" s="1"/>
      <c r="D2006" s="1"/>
      <c r="E2006" s="1"/>
      <c r="F2006" s="1"/>
      <c r="G2006" s="6"/>
      <c r="H2006" s="6"/>
      <c r="I2006" s="6"/>
      <c r="J2006" s="6"/>
      <c r="K2006" s="6"/>
      <c r="L2006" s="6"/>
      <c r="M2006" s="6"/>
      <c r="N2006" s="6"/>
      <c r="O2006" s="7"/>
      <c r="P2006" s="12"/>
      <c r="Q2006" s="6"/>
      <c r="R2006" s="7"/>
      <c r="S2006" s="6"/>
      <c r="T2006" s="6"/>
      <c r="U2006" s="7"/>
      <c r="V2006" s="6"/>
      <c r="W2006" s="6"/>
      <c r="X2006" s="6"/>
      <c r="Y2006" s="6"/>
      <c r="Z2006" s="6"/>
      <c r="AA2006" s="7"/>
      <c r="AB2006" s="6"/>
      <c r="AC2006" s="6"/>
      <c r="AD2006" s="6"/>
      <c r="AE2006" s="12"/>
      <c r="AF2006" s="6"/>
      <c r="AG2006" s="12"/>
      <c r="AH2006" s="6"/>
      <c r="AI2006" s="6"/>
      <c r="AJ2006" s="12"/>
      <c r="AK2006" s="1"/>
      <c r="AL2006" s="12"/>
      <c r="AM2006" s="12"/>
      <c r="AN2006" s="1"/>
      <c r="AO2006" s="6"/>
    </row>
    <row r="2007" spans="1:41" ht="15" x14ac:dyDescent="0.25">
      <c r="A2007" s="1"/>
      <c r="B2007" s="1"/>
      <c r="C2007" s="1"/>
      <c r="D2007" s="1"/>
      <c r="E2007" s="6"/>
      <c r="F2007" s="1"/>
      <c r="G2007" s="6"/>
      <c r="H2007" s="6"/>
      <c r="I2007" s="6"/>
      <c r="J2007" s="6"/>
      <c r="K2007" s="6"/>
      <c r="L2007" s="6"/>
      <c r="M2007" s="6"/>
      <c r="N2007" s="6"/>
      <c r="O2007" s="7"/>
      <c r="P2007" s="6"/>
      <c r="Q2007" s="6"/>
      <c r="R2007" s="7"/>
      <c r="S2007" s="6"/>
      <c r="T2007" s="6"/>
      <c r="U2007" s="7"/>
      <c r="V2007" s="6"/>
      <c r="W2007" s="6"/>
      <c r="X2007" s="12"/>
      <c r="Y2007" s="6"/>
      <c r="Z2007" s="6"/>
      <c r="AA2007" s="7"/>
      <c r="AB2007" s="6"/>
      <c r="AC2007" s="6"/>
      <c r="AD2007" s="6"/>
      <c r="AE2007" s="12"/>
      <c r="AF2007" s="6"/>
      <c r="AG2007" s="12"/>
      <c r="AH2007" s="6"/>
      <c r="AI2007" s="6"/>
      <c r="AJ2007" s="12"/>
      <c r="AK2007" s="24"/>
      <c r="AL2007" s="25"/>
      <c r="AM2007" s="12"/>
      <c r="AN2007" s="1"/>
      <c r="AO2007" s="6"/>
    </row>
    <row r="2008" spans="1:41" ht="15" x14ac:dyDescent="0.25">
      <c r="A2008" s="1"/>
      <c r="B2008" s="1"/>
      <c r="C2008" s="1"/>
      <c r="D2008" s="1"/>
      <c r="E2008" s="6"/>
      <c r="F2008" s="1"/>
      <c r="G2008" s="6"/>
      <c r="H2008" s="6"/>
      <c r="I2008" s="6"/>
      <c r="J2008" s="6"/>
      <c r="K2008" s="6"/>
      <c r="L2008" s="6"/>
      <c r="M2008" s="6"/>
      <c r="N2008" s="6"/>
      <c r="O2008" s="7"/>
      <c r="P2008" s="6"/>
      <c r="Q2008" s="6"/>
      <c r="R2008" s="7"/>
      <c r="S2008" s="6"/>
      <c r="T2008" s="6"/>
      <c r="U2008" s="7"/>
      <c r="V2008" s="6"/>
      <c r="W2008" s="6"/>
      <c r="X2008" s="12"/>
      <c r="Y2008" s="6"/>
      <c r="Z2008" s="6"/>
      <c r="AA2008" s="7"/>
      <c r="AB2008" s="6"/>
      <c r="AC2008" s="6"/>
      <c r="AD2008" s="6"/>
      <c r="AE2008" s="12"/>
      <c r="AF2008" s="12"/>
      <c r="AG2008" s="12"/>
      <c r="AH2008" s="12"/>
      <c r="AI2008" s="6"/>
      <c r="AJ2008" s="12"/>
      <c r="AK2008" s="1"/>
      <c r="AL2008" s="12"/>
      <c r="AM2008" s="12"/>
      <c r="AN2008" s="1"/>
      <c r="AO2008" s="6"/>
    </row>
    <row r="2009" spans="1:41" ht="15" x14ac:dyDescent="0.25">
      <c r="A2009" s="1"/>
      <c r="B2009" s="1"/>
      <c r="C2009" s="1"/>
      <c r="D2009" s="1"/>
      <c r="E2009" s="6"/>
      <c r="F2009" s="1"/>
      <c r="G2009" s="6"/>
      <c r="H2009" s="6"/>
      <c r="I2009" s="6"/>
      <c r="J2009" s="6"/>
      <c r="K2009" s="6"/>
      <c r="L2009" s="6"/>
      <c r="M2009" s="6"/>
      <c r="N2009" s="6"/>
      <c r="O2009" s="7"/>
      <c r="P2009" s="6"/>
      <c r="Q2009" s="6"/>
      <c r="R2009" s="7"/>
      <c r="S2009" s="6"/>
      <c r="T2009" s="6"/>
      <c r="U2009" s="7"/>
      <c r="V2009" s="6"/>
      <c r="W2009" s="6"/>
      <c r="X2009" s="6"/>
      <c r="Y2009" s="6"/>
      <c r="Z2009" s="6"/>
      <c r="AA2009" s="7"/>
      <c r="AB2009" s="6"/>
      <c r="AC2009" s="6"/>
      <c r="AD2009" s="6"/>
      <c r="AE2009" s="12"/>
      <c r="AF2009" s="12"/>
      <c r="AG2009" s="12"/>
      <c r="AH2009" s="12"/>
      <c r="AI2009" s="6"/>
      <c r="AJ2009" s="12"/>
      <c r="AK2009" s="1"/>
      <c r="AL2009" s="12"/>
      <c r="AM2009" s="12"/>
      <c r="AN2009" s="1"/>
      <c r="AO2009" s="6"/>
    </row>
    <row r="2010" spans="1:41" ht="15" x14ac:dyDescent="0.25">
      <c r="A2010" s="1"/>
      <c r="B2010" s="1"/>
      <c r="C2010" s="1"/>
      <c r="D2010" s="1"/>
      <c r="E2010" s="6"/>
      <c r="F2010" s="1"/>
      <c r="G2010" s="6"/>
      <c r="H2010" s="6"/>
      <c r="I2010" s="6"/>
      <c r="J2010" s="6"/>
      <c r="K2010" s="6"/>
      <c r="L2010" s="6"/>
      <c r="M2010" s="6"/>
      <c r="N2010" s="6"/>
      <c r="O2010" s="7"/>
      <c r="P2010" s="6"/>
      <c r="Q2010" s="6"/>
      <c r="R2010" s="7"/>
      <c r="S2010" s="6"/>
      <c r="T2010" s="6"/>
      <c r="U2010" s="7"/>
      <c r="V2010" s="6"/>
      <c r="W2010" s="6"/>
      <c r="X2010" s="12"/>
      <c r="Y2010" s="6"/>
      <c r="Z2010" s="6"/>
      <c r="AA2010" s="7"/>
      <c r="AB2010" s="6"/>
      <c r="AC2010" s="6"/>
      <c r="AD2010" s="6"/>
      <c r="AE2010" s="12"/>
      <c r="AF2010" s="6"/>
      <c r="AG2010" s="12"/>
      <c r="AH2010" s="6"/>
      <c r="AI2010" s="6"/>
      <c r="AJ2010" s="12"/>
      <c r="AK2010" s="1"/>
      <c r="AL2010" s="12"/>
      <c r="AM2010" s="12"/>
      <c r="AN2010" s="1"/>
      <c r="AO2010" s="6"/>
    </row>
    <row r="2011" spans="1:41" ht="15" x14ac:dyDescent="0.25">
      <c r="A2011" s="1"/>
      <c r="B2011" s="1"/>
      <c r="C2011" s="1"/>
      <c r="D2011" s="1"/>
      <c r="E2011" s="6"/>
      <c r="F2011" s="1"/>
      <c r="G2011" s="6"/>
      <c r="H2011" s="6"/>
      <c r="I2011" s="6"/>
      <c r="J2011" s="6"/>
      <c r="K2011" s="6"/>
      <c r="L2011" s="6"/>
      <c r="M2011" s="6"/>
      <c r="N2011" s="6"/>
      <c r="O2011" s="7"/>
      <c r="P2011" s="12"/>
      <c r="Q2011" s="6"/>
      <c r="R2011" s="7"/>
      <c r="S2011" s="6"/>
      <c r="T2011" s="6"/>
      <c r="U2011" s="7"/>
      <c r="V2011" s="6"/>
      <c r="W2011" s="6"/>
      <c r="X2011" s="6"/>
      <c r="Y2011" s="6"/>
      <c r="Z2011" s="6"/>
      <c r="AA2011" s="7"/>
      <c r="AB2011" s="6"/>
      <c r="AC2011" s="6"/>
      <c r="AD2011" s="6"/>
      <c r="AE2011" s="12"/>
      <c r="AF2011" s="12"/>
      <c r="AG2011" s="12"/>
      <c r="AH2011" s="12"/>
      <c r="AI2011" s="6"/>
      <c r="AJ2011" s="12"/>
      <c r="AK2011" s="1"/>
      <c r="AL2011" s="12"/>
      <c r="AM2011" s="12"/>
      <c r="AN2011" s="1"/>
      <c r="AO2011" s="6"/>
    </row>
    <row r="2012" spans="1:41" ht="15" x14ac:dyDescent="0.25">
      <c r="A2012" s="1"/>
      <c r="B2012" s="1"/>
      <c r="C2012" s="1"/>
      <c r="D2012" s="1"/>
      <c r="E2012" s="6"/>
      <c r="F2012" s="1"/>
      <c r="G2012" s="6"/>
      <c r="H2012" s="6"/>
      <c r="I2012" s="6"/>
      <c r="J2012" s="6"/>
      <c r="K2012" s="6"/>
      <c r="L2012" s="6"/>
      <c r="M2012" s="6"/>
      <c r="N2012" s="6"/>
      <c r="O2012" s="7"/>
      <c r="P2012" s="6"/>
      <c r="Q2012" s="6"/>
      <c r="R2012" s="7"/>
      <c r="S2012" s="6"/>
      <c r="T2012" s="6"/>
      <c r="U2012" s="7"/>
      <c r="V2012" s="6"/>
      <c r="W2012" s="6"/>
      <c r="X2012" s="12"/>
      <c r="Y2012" s="6"/>
      <c r="Z2012" s="6"/>
      <c r="AA2012" s="7"/>
      <c r="AB2012" s="6"/>
      <c r="AC2012" s="6"/>
      <c r="AD2012" s="6"/>
      <c r="AE2012" s="12"/>
      <c r="AF2012" s="6"/>
      <c r="AG2012" s="12"/>
      <c r="AH2012" s="6"/>
      <c r="AI2012" s="6"/>
      <c r="AJ2012" s="12"/>
      <c r="AK2012" s="1"/>
      <c r="AL2012" s="12"/>
      <c r="AM2012" s="12"/>
      <c r="AN2012" s="1"/>
      <c r="AO2012" s="6"/>
    </row>
    <row r="2013" spans="1:41" ht="15" x14ac:dyDescent="0.25">
      <c r="A2013" s="1"/>
      <c r="B2013" s="1"/>
      <c r="C2013" s="1"/>
      <c r="D2013" s="1"/>
      <c r="E2013" s="6"/>
      <c r="F2013" s="1"/>
      <c r="G2013" s="6"/>
      <c r="H2013" s="6"/>
      <c r="I2013" s="6"/>
      <c r="J2013" s="6"/>
      <c r="K2013" s="6"/>
      <c r="L2013" s="6"/>
      <c r="M2013" s="6"/>
      <c r="N2013" s="6"/>
      <c r="O2013" s="7"/>
      <c r="P2013" s="6"/>
      <c r="Q2013" s="6"/>
      <c r="R2013" s="7"/>
      <c r="S2013" s="6"/>
      <c r="T2013" s="6"/>
      <c r="U2013" s="7"/>
      <c r="V2013" s="6"/>
      <c r="W2013" s="6"/>
      <c r="X2013" s="12"/>
      <c r="Y2013" s="6"/>
      <c r="Z2013" s="6"/>
      <c r="AA2013" s="7"/>
      <c r="AB2013" s="6"/>
      <c r="AC2013" s="6"/>
      <c r="AD2013" s="6"/>
      <c r="AE2013" s="12"/>
      <c r="AF2013" s="6"/>
      <c r="AG2013" s="12"/>
      <c r="AH2013" s="6"/>
      <c r="AI2013" s="6"/>
      <c r="AJ2013" s="12"/>
      <c r="AK2013" s="24"/>
      <c r="AL2013" s="25"/>
      <c r="AM2013" s="12"/>
      <c r="AN2013" s="1"/>
      <c r="AO2013" s="6"/>
    </row>
    <row r="2014" spans="1:41" ht="15" x14ac:dyDescent="0.25">
      <c r="A2014" s="1"/>
      <c r="B2014" s="1"/>
      <c r="C2014" s="1"/>
      <c r="D2014" s="1"/>
      <c r="E2014" s="6"/>
      <c r="F2014" s="1"/>
      <c r="G2014" s="6"/>
      <c r="H2014" s="6"/>
      <c r="I2014" s="6"/>
      <c r="J2014" s="6"/>
      <c r="K2014" s="6"/>
      <c r="L2014" s="6"/>
      <c r="M2014" s="6"/>
      <c r="N2014" s="6"/>
      <c r="O2014" s="7"/>
      <c r="P2014" s="6"/>
      <c r="Q2014" s="7"/>
      <c r="R2014" s="6"/>
      <c r="S2014" s="6"/>
      <c r="T2014" s="6"/>
      <c r="U2014" s="6"/>
      <c r="V2014" s="7"/>
      <c r="W2014" s="7"/>
      <c r="X2014" s="6"/>
      <c r="Y2014" s="6"/>
      <c r="Z2014" s="6"/>
      <c r="AA2014" s="1"/>
      <c r="AB2014" s="12"/>
      <c r="AC2014" s="12"/>
      <c r="AD2014" s="12"/>
      <c r="AE2014" s="12"/>
      <c r="AF2014" s="12"/>
      <c r="AG2014" s="12"/>
      <c r="AH2014" s="12"/>
      <c r="AI2014" s="6"/>
      <c r="AJ2014" s="12"/>
      <c r="AK2014" s="12"/>
      <c r="AL2014" s="12"/>
      <c r="AM2014" s="12"/>
      <c r="AN2014" s="1"/>
      <c r="AO2014" s="6"/>
    </row>
    <row r="2015" spans="1:41" ht="15" x14ac:dyDescent="0.25">
      <c r="A2015" s="1"/>
      <c r="B2015" s="1"/>
      <c r="C2015" s="1"/>
      <c r="D2015" s="1"/>
      <c r="E2015" s="6"/>
      <c r="F2015" s="1"/>
      <c r="G2015" s="6"/>
      <c r="H2015" s="6"/>
      <c r="I2015" s="6"/>
      <c r="J2015" s="6"/>
      <c r="K2015" s="6"/>
      <c r="L2015" s="6"/>
      <c r="M2015" s="6"/>
      <c r="N2015" s="6"/>
      <c r="O2015" s="7"/>
      <c r="P2015" s="12"/>
      <c r="Q2015" s="6"/>
      <c r="R2015" s="7"/>
      <c r="S2015" s="6"/>
      <c r="T2015" s="6"/>
      <c r="U2015" s="7"/>
      <c r="V2015" s="6"/>
      <c r="W2015" s="6"/>
      <c r="X2015" s="12"/>
      <c r="Y2015" s="6"/>
      <c r="Z2015" s="6"/>
      <c r="AA2015" s="7"/>
      <c r="AB2015" s="6"/>
      <c r="AC2015" s="6"/>
      <c r="AD2015" s="6"/>
      <c r="AE2015" s="12"/>
      <c r="AF2015" s="12"/>
      <c r="AG2015" s="12"/>
      <c r="AH2015" s="12"/>
      <c r="AI2015" s="6"/>
      <c r="AJ2015" s="12"/>
      <c r="AK2015" s="1"/>
      <c r="AL2015" s="12"/>
      <c r="AM2015" s="12"/>
      <c r="AN2015" s="1"/>
      <c r="AO2015" s="6"/>
    </row>
    <row r="2016" spans="1:41" ht="15" x14ac:dyDescent="0.25">
      <c r="A2016" s="1"/>
      <c r="B2016" s="1"/>
      <c r="C2016" s="1"/>
      <c r="D2016" s="1"/>
      <c r="E2016" s="6"/>
      <c r="F2016" s="1"/>
      <c r="G2016" s="6"/>
      <c r="H2016" s="6"/>
      <c r="I2016" s="6"/>
      <c r="J2016" s="6"/>
      <c r="K2016" s="12"/>
      <c r="L2016" s="12"/>
      <c r="M2016" s="6"/>
      <c r="N2016" s="6"/>
      <c r="O2016" s="7"/>
      <c r="P2016" s="6"/>
      <c r="Q2016" s="6"/>
      <c r="R2016" s="7"/>
      <c r="S2016" s="6"/>
      <c r="T2016" s="6"/>
      <c r="U2016" s="7"/>
      <c r="V2016" s="6"/>
      <c r="W2016" s="6"/>
      <c r="X2016" s="12"/>
      <c r="Y2016" s="6"/>
      <c r="Z2016" s="6"/>
      <c r="AA2016" s="7"/>
      <c r="AB2016" s="6"/>
      <c r="AC2016" s="6"/>
      <c r="AD2016" s="6"/>
      <c r="AE2016" s="12"/>
      <c r="AF2016" s="12"/>
      <c r="AG2016" s="12"/>
      <c r="AH2016" s="12"/>
      <c r="AI2016" s="6"/>
      <c r="AJ2016" s="12"/>
      <c r="AK2016" s="1"/>
      <c r="AL2016" s="12"/>
      <c r="AM2016" s="12"/>
      <c r="AN2016" s="1"/>
      <c r="AO2016" s="12"/>
    </row>
    <row r="2017" spans="1:41" ht="15" x14ac:dyDescent="0.25">
      <c r="A2017" s="1"/>
      <c r="B2017" s="1"/>
      <c r="C2017" s="1"/>
      <c r="D2017" s="1"/>
      <c r="E2017" s="6"/>
      <c r="F2017" s="1"/>
      <c r="G2017" s="6"/>
      <c r="H2017" s="6"/>
      <c r="I2017" s="6"/>
      <c r="J2017" s="6"/>
      <c r="K2017" s="6"/>
      <c r="L2017" s="6"/>
      <c r="M2017" s="6"/>
      <c r="N2017" s="6"/>
      <c r="O2017" s="7"/>
      <c r="P2017" s="6"/>
      <c r="Q2017" s="6"/>
      <c r="R2017" s="7"/>
      <c r="S2017" s="6"/>
      <c r="T2017" s="6"/>
      <c r="U2017" s="7"/>
      <c r="V2017" s="6"/>
      <c r="W2017" s="6"/>
      <c r="X2017" s="6"/>
      <c r="Y2017" s="6"/>
      <c r="Z2017" s="6"/>
      <c r="AA2017" s="7"/>
      <c r="AB2017" s="6"/>
      <c r="AC2017" s="6"/>
      <c r="AD2017" s="6"/>
      <c r="AE2017" s="12"/>
      <c r="AF2017" s="12"/>
      <c r="AG2017" s="12"/>
      <c r="AH2017" s="12"/>
      <c r="AI2017" s="6"/>
      <c r="AJ2017" s="12"/>
      <c r="AK2017" s="1"/>
      <c r="AL2017" s="12"/>
      <c r="AM2017" s="12"/>
      <c r="AN2017" s="1"/>
      <c r="AO2017" s="6"/>
    </row>
    <row r="2018" spans="1:41" ht="15" x14ac:dyDescent="0.25">
      <c r="A2018" s="1"/>
      <c r="B2018" s="1"/>
      <c r="C2018" s="1"/>
      <c r="D2018" s="1"/>
      <c r="E2018" s="6"/>
      <c r="F2018" s="1"/>
      <c r="G2018" s="6"/>
      <c r="H2018" s="6"/>
      <c r="I2018" s="6"/>
      <c r="J2018" s="6"/>
      <c r="K2018" s="6"/>
      <c r="L2018" s="6"/>
      <c r="M2018" s="6"/>
      <c r="N2018" s="6"/>
      <c r="O2018" s="7"/>
      <c r="P2018" s="6"/>
      <c r="Q2018" s="6"/>
      <c r="R2018" s="7"/>
      <c r="S2018" s="6"/>
      <c r="T2018" s="6"/>
      <c r="U2018" s="7"/>
      <c r="V2018" s="6"/>
      <c r="W2018" s="6"/>
      <c r="X2018" s="6"/>
      <c r="Y2018" s="6"/>
      <c r="Z2018" s="6"/>
      <c r="AA2018" s="7"/>
      <c r="AB2018" s="6"/>
      <c r="AC2018" s="6"/>
      <c r="AD2018" s="6"/>
      <c r="AE2018" s="12"/>
      <c r="AF2018" s="6"/>
      <c r="AG2018" s="12"/>
      <c r="AH2018" s="6"/>
      <c r="AI2018" s="6"/>
      <c r="AJ2018" s="12"/>
      <c r="AK2018" s="1"/>
      <c r="AL2018" s="12"/>
      <c r="AM2018" s="12"/>
      <c r="AN2018" s="1"/>
      <c r="AO2018" s="6"/>
    </row>
    <row r="2019" spans="1:41" ht="15" x14ac:dyDescent="0.25">
      <c r="A2019" s="1"/>
      <c r="B2019" s="1"/>
      <c r="C2019" s="1"/>
      <c r="D2019" s="1"/>
      <c r="E2019" s="6"/>
      <c r="F2019" s="1"/>
      <c r="G2019" s="6"/>
      <c r="H2019" s="6"/>
      <c r="I2019" s="6"/>
      <c r="J2019" s="6"/>
      <c r="K2019" s="6"/>
      <c r="L2019" s="6"/>
      <c r="M2019" s="6"/>
      <c r="N2019" s="6"/>
      <c r="O2019" s="7"/>
      <c r="P2019" s="6"/>
      <c r="Q2019" s="6"/>
      <c r="R2019" s="7"/>
      <c r="S2019" s="6"/>
      <c r="T2019" s="6"/>
      <c r="U2019" s="7"/>
      <c r="V2019" s="6"/>
      <c r="W2019" s="6"/>
      <c r="X2019" s="6"/>
      <c r="Y2019" s="6"/>
      <c r="Z2019" s="6"/>
      <c r="AA2019" s="7"/>
      <c r="AB2019" s="6"/>
      <c r="AC2019" s="6"/>
      <c r="AD2019" s="6"/>
      <c r="AE2019" s="12"/>
      <c r="AF2019" s="6"/>
      <c r="AG2019" s="12"/>
      <c r="AH2019" s="6"/>
      <c r="AI2019" s="6"/>
      <c r="AJ2019" s="12"/>
      <c r="AK2019" s="1"/>
      <c r="AL2019" s="12"/>
      <c r="AM2019" s="12"/>
      <c r="AN2019" s="1"/>
      <c r="AO2019" s="6"/>
    </row>
    <row r="2020" spans="1:41" ht="15" x14ac:dyDescent="0.25">
      <c r="A2020" s="1"/>
      <c r="B2020" s="1"/>
      <c r="C2020" s="1"/>
      <c r="D2020" s="1"/>
      <c r="E2020" s="6"/>
      <c r="F2020" s="1"/>
      <c r="G2020" s="6"/>
      <c r="H2020" s="6"/>
      <c r="I2020" s="6"/>
      <c r="J2020" s="6"/>
      <c r="K2020" s="6"/>
      <c r="L2020" s="6"/>
      <c r="M2020" s="6"/>
      <c r="N2020" s="6"/>
      <c r="O2020" s="7"/>
      <c r="P2020" s="6"/>
      <c r="Q2020" s="6"/>
      <c r="R2020" s="7"/>
      <c r="S2020" s="6"/>
      <c r="T2020" s="6"/>
      <c r="U2020" s="7"/>
      <c r="V2020" s="6"/>
      <c r="W2020" s="6"/>
      <c r="X2020" s="6"/>
      <c r="Y2020" s="6"/>
      <c r="Z2020" s="6"/>
      <c r="AA2020" s="7"/>
      <c r="AB2020" s="6"/>
      <c r="AC2020" s="6"/>
      <c r="AD2020" s="6"/>
      <c r="AE2020" s="12"/>
      <c r="AF2020" s="6"/>
      <c r="AG2020" s="12"/>
      <c r="AH2020" s="6"/>
      <c r="AI2020" s="6"/>
      <c r="AJ2020" s="12"/>
      <c r="AK2020" s="1"/>
      <c r="AL2020" s="12"/>
      <c r="AM2020" s="12"/>
      <c r="AN2020" s="1"/>
      <c r="AO2020" s="6"/>
    </row>
    <row r="2021" spans="1:41" ht="15" x14ac:dyDescent="0.25">
      <c r="A2021" s="1"/>
      <c r="B2021" s="1"/>
      <c r="C2021" s="1"/>
      <c r="D2021" s="1"/>
      <c r="E2021" s="6"/>
      <c r="F2021" s="1"/>
      <c r="G2021" s="6"/>
      <c r="H2021" s="6"/>
      <c r="I2021" s="6"/>
      <c r="J2021" s="6"/>
      <c r="K2021" s="12"/>
      <c r="L2021" s="12"/>
      <c r="M2021" s="6"/>
      <c r="N2021" s="6"/>
      <c r="O2021" s="7"/>
      <c r="P2021" s="6"/>
      <c r="Q2021" s="6"/>
      <c r="R2021" s="7"/>
      <c r="S2021" s="6"/>
      <c r="T2021" s="6"/>
      <c r="U2021" s="7"/>
      <c r="V2021" s="6"/>
      <c r="W2021" s="6"/>
      <c r="X2021" s="12"/>
      <c r="Y2021" s="6"/>
      <c r="Z2021" s="6"/>
      <c r="AA2021" s="7"/>
      <c r="AB2021" s="6"/>
      <c r="AC2021" s="6"/>
      <c r="AD2021" s="6"/>
      <c r="AE2021" s="12"/>
      <c r="AF2021" s="12"/>
      <c r="AG2021" s="12"/>
      <c r="AH2021" s="12"/>
      <c r="AI2021" s="6"/>
      <c r="AJ2021" s="12"/>
      <c r="AK2021" s="1"/>
      <c r="AL2021" s="12"/>
      <c r="AM2021" s="12"/>
      <c r="AN2021" s="1"/>
      <c r="AO2021" s="6"/>
    </row>
    <row r="2022" spans="1:41" ht="15" x14ac:dyDescent="0.25">
      <c r="A2022" s="1"/>
      <c r="B2022" s="1"/>
      <c r="C2022" s="1"/>
      <c r="D2022" s="1"/>
      <c r="E2022" s="6"/>
      <c r="F2022" s="1"/>
      <c r="G2022" s="6"/>
      <c r="H2022" s="6"/>
      <c r="I2022" s="6"/>
      <c r="J2022" s="6"/>
      <c r="K2022" s="6"/>
      <c r="L2022" s="6"/>
      <c r="M2022" s="6"/>
      <c r="N2022" s="6"/>
      <c r="O2022" s="7"/>
      <c r="P2022" s="6"/>
      <c r="Q2022" s="6"/>
      <c r="R2022" s="7"/>
      <c r="S2022" s="6"/>
      <c r="T2022" s="6"/>
      <c r="U2022" s="7"/>
      <c r="V2022" s="6"/>
      <c r="W2022" s="6"/>
      <c r="X2022" s="6"/>
      <c r="Y2022" s="6"/>
      <c r="Z2022" s="6"/>
      <c r="AA2022" s="7"/>
      <c r="AB2022" s="6"/>
      <c r="AC2022" s="6"/>
      <c r="AD2022" s="6"/>
      <c r="AE2022" s="12"/>
      <c r="AF2022" s="6"/>
      <c r="AG2022" s="12"/>
      <c r="AH2022" s="6"/>
      <c r="AI2022" s="6"/>
      <c r="AJ2022" s="12"/>
      <c r="AK2022" s="1"/>
      <c r="AL2022" s="12"/>
      <c r="AM2022" s="12"/>
      <c r="AN2022" s="1"/>
      <c r="AO2022" s="6"/>
    </row>
    <row r="2023" spans="1:41" ht="15" x14ac:dyDescent="0.25">
      <c r="A2023" s="1"/>
      <c r="B2023" s="1"/>
      <c r="C2023" s="1"/>
      <c r="D2023" s="1"/>
      <c r="E2023" s="6"/>
      <c r="F2023" s="1"/>
      <c r="G2023" s="6"/>
      <c r="H2023" s="6"/>
      <c r="I2023" s="6"/>
      <c r="J2023" s="6"/>
      <c r="K2023" s="6"/>
      <c r="L2023" s="6"/>
      <c r="M2023" s="6"/>
      <c r="N2023" s="6"/>
      <c r="O2023" s="7"/>
      <c r="P2023" s="6"/>
      <c r="Q2023" s="6"/>
      <c r="R2023" s="7"/>
      <c r="S2023" s="6"/>
      <c r="T2023" s="6"/>
      <c r="U2023" s="7"/>
      <c r="V2023" s="6"/>
      <c r="W2023" s="6"/>
      <c r="X2023" s="6"/>
      <c r="Y2023" s="6"/>
      <c r="Z2023" s="6"/>
      <c r="AA2023" s="7"/>
      <c r="AB2023" s="6"/>
      <c r="AC2023" s="6"/>
      <c r="AD2023" s="6"/>
      <c r="AE2023" s="12"/>
      <c r="AF2023" s="6"/>
      <c r="AG2023" s="12"/>
      <c r="AH2023" s="6"/>
      <c r="AI2023" s="6"/>
      <c r="AJ2023" s="12"/>
      <c r="AK2023" s="24"/>
      <c r="AL2023" s="25"/>
      <c r="AM2023" s="12"/>
      <c r="AN2023" s="1"/>
      <c r="AO2023" s="6"/>
    </row>
    <row r="2024" spans="1:41" ht="15" x14ac:dyDescent="0.25">
      <c r="A2024" s="1"/>
      <c r="B2024" s="1"/>
      <c r="C2024" s="1"/>
      <c r="D2024" s="1"/>
      <c r="E2024" s="6"/>
      <c r="F2024" s="1"/>
      <c r="G2024" s="6"/>
      <c r="H2024" s="6"/>
      <c r="I2024" s="6"/>
      <c r="J2024" s="6"/>
      <c r="K2024" s="6"/>
      <c r="L2024" s="6"/>
      <c r="M2024" s="6"/>
      <c r="N2024" s="6"/>
      <c r="O2024" s="7"/>
      <c r="P2024" s="6"/>
      <c r="Q2024" s="6"/>
      <c r="R2024" s="7"/>
      <c r="S2024" s="6"/>
      <c r="T2024" s="6"/>
      <c r="U2024" s="7"/>
      <c r="V2024" s="6"/>
      <c r="W2024" s="6"/>
      <c r="X2024" s="6"/>
      <c r="Y2024" s="6"/>
      <c r="Z2024" s="6"/>
      <c r="AA2024" s="7"/>
      <c r="AB2024" s="6"/>
      <c r="AC2024" s="6"/>
      <c r="AD2024" s="6"/>
      <c r="AE2024" s="12"/>
      <c r="AF2024" s="12"/>
      <c r="AG2024" s="12"/>
      <c r="AH2024" s="12"/>
      <c r="AI2024" s="6"/>
      <c r="AJ2024" s="12"/>
      <c r="AK2024" s="1"/>
      <c r="AL2024" s="12"/>
      <c r="AM2024" s="12"/>
      <c r="AN2024" s="1"/>
      <c r="AO2024" s="6"/>
    </row>
    <row r="2025" spans="1:41" ht="15" x14ac:dyDescent="0.25">
      <c r="A2025" s="1"/>
      <c r="B2025" s="1"/>
      <c r="C2025" s="1"/>
      <c r="D2025" s="1"/>
      <c r="E2025" s="6"/>
      <c r="F2025" s="1"/>
      <c r="G2025" s="6"/>
      <c r="H2025" s="6"/>
      <c r="I2025" s="6"/>
      <c r="J2025" s="6"/>
      <c r="K2025" s="6"/>
      <c r="L2025" s="6"/>
      <c r="M2025" s="6"/>
      <c r="N2025" s="6"/>
      <c r="O2025" s="7"/>
      <c r="P2025" s="6"/>
      <c r="Q2025" s="6"/>
      <c r="R2025" s="7"/>
      <c r="S2025" s="6"/>
      <c r="T2025" s="6"/>
      <c r="U2025" s="7"/>
      <c r="V2025" s="6"/>
      <c r="W2025" s="6"/>
      <c r="X2025" s="6"/>
      <c r="Y2025" s="6"/>
      <c r="Z2025" s="6"/>
      <c r="AA2025" s="7"/>
      <c r="AB2025" s="6"/>
      <c r="AC2025" s="6"/>
      <c r="AD2025" s="6"/>
      <c r="AE2025" s="12"/>
      <c r="AF2025" s="12"/>
      <c r="AG2025" s="12"/>
      <c r="AH2025" s="12"/>
      <c r="AI2025" s="6"/>
      <c r="AJ2025" s="12"/>
      <c r="AK2025" s="1"/>
      <c r="AL2025" s="12"/>
      <c r="AM2025" s="12"/>
      <c r="AN2025" s="1"/>
      <c r="AO2025" s="6"/>
    </row>
    <row r="2026" spans="1:41" ht="15" x14ac:dyDescent="0.25">
      <c r="A2026" s="1"/>
      <c r="B2026" s="1"/>
      <c r="C2026" s="1"/>
      <c r="D2026" s="1"/>
      <c r="E2026" s="6"/>
      <c r="F2026" s="1"/>
      <c r="G2026" s="6"/>
      <c r="H2026" s="6"/>
      <c r="I2026" s="6"/>
      <c r="J2026" s="6"/>
      <c r="K2026" s="12"/>
      <c r="L2026" s="12"/>
      <c r="M2026" s="6"/>
      <c r="N2026" s="6"/>
      <c r="O2026" s="7"/>
      <c r="P2026" s="12"/>
      <c r="Q2026" s="6"/>
      <c r="R2026" s="7"/>
      <c r="S2026" s="6"/>
      <c r="T2026" s="6"/>
      <c r="U2026" s="7"/>
      <c r="V2026" s="6"/>
      <c r="W2026" s="6"/>
      <c r="X2026" s="12"/>
      <c r="Y2026" s="6"/>
      <c r="Z2026" s="6"/>
      <c r="AA2026" s="7"/>
      <c r="AB2026" s="6"/>
      <c r="AC2026" s="6"/>
      <c r="AD2026" s="6"/>
      <c r="AE2026" s="12"/>
      <c r="AF2026" s="12"/>
      <c r="AG2026" s="12"/>
      <c r="AH2026" s="12"/>
      <c r="AI2026" s="6"/>
      <c r="AJ2026" s="12"/>
      <c r="AK2026" s="1"/>
      <c r="AL2026" s="12"/>
      <c r="AM2026" s="12"/>
      <c r="AN2026" s="1"/>
      <c r="AO2026" s="12"/>
    </row>
    <row r="2027" spans="1:41" ht="15" x14ac:dyDescent="0.25">
      <c r="A2027" s="1"/>
      <c r="B2027" s="1"/>
      <c r="C2027" s="1"/>
      <c r="D2027" s="1"/>
      <c r="E2027" s="6"/>
      <c r="F2027" s="1"/>
      <c r="G2027" s="6"/>
      <c r="H2027" s="6"/>
      <c r="I2027" s="6"/>
      <c r="J2027" s="6"/>
      <c r="K2027" s="12"/>
      <c r="L2027" s="12"/>
      <c r="M2027" s="6"/>
      <c r="N2027" s="6"/>
      <c r="O2027" s="7"/>
      <c r="P2027" s="6"/>
      <c r="Q2027" s="7"/>
      <c r="R2027" s="6"/>
      <c r="S2027" s="6"/>
      <c r="T2027" s="6"/>
      <c r="U2027" s="6"/>
      <c r="V2027" s="7"/>
      <c r="W2027" s="7"/>
      <c r="X2027" s="6"/>
      <c r="Y2027" s="6"/>
      <c r="Z2027" s="6"/>
      <c r="AA2027" s="1"/>
      <c r="AB2027" s="12"/>
      <c r="AC2027" s="12"/>
      <c r="AD2027" s="12"/>
      <c r="AE2027" s="12"/>
      <c r="AF2027" s="12"/>
      <c r="AG2027" s="12"/>
      <c r="AH2027" s="12"/>
      <c r="AI2027" s="6"/>
      <c r="AJ2027" s="12"/>
      <c r="AK2027" s="12"/>
      <c r="AL2027" s="12"/>
      <c r="AM2027" s="12"/>
      <c r="AN2027" s="1"/>
      <c r="AO2027" s="6"/>
    </row>
    <row r="2028" spans="1:41" ht="15" x14ac:dyDescent="0.25">
      <c r="A2028" s="1"/>
      <c r="B2028" s="1"/>
      <c r="C2028" s="1"/>
      <c r="D2028" s="1"/>
      <c r="E2028" s="6"/>
      <c r="F2028" s="1"/>
      <c r="G2028" s="6"/>
      <c r="H2028" s="6"/>
      <c r="I2028" s="6"/>
      <c r="J2028" s="6"/>
      <c r="K2028" s="6"/>
      <c r="L2028" s="6"/>
      <c r="M2028" s="6"/>
      <c r="N2028" s="6"/>
      <c r="O2028" s="7"/>
      <c r="P2028" s="6"/>
      <c r="Q2028" s="6"/>
      <c r="R2028" s="7"/>
      <c r="S2028" s="6"/>
      <c r="T2028" s="6"/>
      <c r="U2028" s="7"/>
      <c r="V2028" s="6"/>
      <c r="W2028" s="6"/>
      <c r="X2028" s="6"/>
      <c r="Y2028" s="6"/>
      <c r="Z2028" s="6"/>
      <c r="AA2028" s="7"/>
      <c r="AB2028" s="6"/>
      <c r="AC2028" s="6"/>
      <c r="AD2028" s="6"/>
      <c r="AE2028" s="12"/>
      <c r="AF2028" s="12"/>
      <c r="AG2028" s="12"/>
      <c r="AH2028" s="12"/>
      <c r="AI2028" s="6"/>
      <c r="AJ2028" s="12"/>
      <c r="AK2028" s="1"/>
      <c r="AL2028" s="12"/>
      <c r="AM2028" s="12"/>
      <c r="AN2028" s="1"/>
      <c r="AO2028" s="6"/>
    </row>
    <row r="2029" spans="1:41" ht="15" x14ac:dyDescent="0.25">
      <c r="A2029" s="1"/>
      <c r="B2029" s="1"/>
      <c r="C2029" s="1"/>
      <c r="D2029" s="1"/>
      <c r="E2029" s="6"/>
      <c r="F2029" s="1"/>
      <c r="G2029" s="6"/>
      <c r="H2029" s="6"/>
      <c r="I2029" s="6"/>
      <c r="J2029" s="6"/>
      <c r="K2029" s="6"/>
      <c r="L2029" s="6"/>
      <c r="M2029" s="6"/>
      <c r="N2029" s="6"/>
      <c r="O2029" s="7"/>
      <c r="P2029" s="6"/>
      <c r="Q2029" s="6"/>
      <c r="R2029" s="7"/>
      <c r="S2029" s="6"/>
      <c r="T2029" s="6"/>
      <c r="U2029" s="7"/>
      <c r="V2029" s="6"/>
      <c r="W2029" s="6"/>
      <c r="X2029" s="6"/>
      <c r="Y2029" s="6"/>
      <c r="Z2029" s="6"/>
      <c r="AA2029" s="7"/>
      <c r="AB2029" s="6"/>
      <c r="AC2029" s="6"/>
      <c r="AD2029" s="6"/>
      <c r="AE2029" s="12"/>
      <c r="AF2029" s="12"/>
      <c r="AG2029" s="12"/>
      <c r="AH2029" s="12"/>
      <c r="AI2029" s="6"/>
      <c r="AJ2029" s="12"/>
      <c r="AK2029" s="1"/>
      <c r="AL2029" s="12"/>
      <c r="AM2029" s="12"/>
      <c r="AN2029" s="1"/>
      <c r="AO2029" s="6"/>
    </row>
    <row r="2030" spans="1:41" ht="15" x14ac:dyDescent="0.25">
      <c r="A2030" s="1"/>
      <c r="B2030" s="1"/>
      <c r="C2030" s="1"/>
      <c r="D2030" s="1"/>
      <c r="E2030" s="6"/>
      <c r="F2030" s="1"/>
      <c r="G2030" s="6"/>
      <c r="H2030" s="6"/>
      <c r="I2030" s="6"/>
      <c r="J2030" s="6"/>
      <c r="K2030" s="6"/>
      <c r="L2030" s="6"/>
      <c r="M2030" s="6"/>
      <c r="N2030" s="6"/>
      <c r="O2030" s="7"/>
      <c r="P2030" s="6"/>
      <c r="Q2030" s="6"/>
      <c r="R2030" s="7"/>
      <c r="S2030" s="6"/>
      <c r="T2030" s="6"/>
      <c r="U2030" s="7"/>
      <c r="V2030" s="6"/>
      <c r="W2030" s="6"/>
      <c r="X2030" s="12"/>
      <c r="Y2030" s="6"/>
      <c r="Z2030" s="6"/>
      <c r="AA2030" s="7"/>
      <c r="AB2030" s="6"/>
      <c r="AC2030" s="6"/>
      <c r="AD2030" s="6"/>
      <c r="AE2030" s="12"/>
      <c r="AF2030" s="12"/>
      <c r="AG2030" s="12"/>
      <c r="AH2030" s="12"/>
      <c r="AI2030" s="6"/>
      <c r="AJ2030" s="12"/>
      <c r="AK2030" s="1"/>
      <c r="AL2030" s="12"/>
      <c r="AM2030" s="12"/>
      <c r="AN2030" s="1"/>
      <c r="AO2030" s="6"/>
    </row>
    <row r="2031" spans="1:41" ht="15" x14ac:dyDescent="0.25">
      <c r="A2031" s="1"/>
      <c r="B2031" s="1"/>
      <c r="C2031" s="1"/>
      <c r="D2031" s="1"/>
      <c r="E2031" s="6"/>
      <c r="F2031" s="1"/>
      <c r="G2031" s="6"/>
      <c r="H2031" s="6"/>
      <c r="I2031" s="6"/>
      <c r="J2031" s="6"/>
      <c r="K2031" s="6"/>
      <c r="L2031" s="6"/>
      <c r="M2031" s="6"/>
      <c r="N2031" s="6"/>
      <c r="O2031" s="7"/>
      <c r="P2031" s="6"/>
      <c r="Q2031" s="6"/>
      <c r="R2031" s="7"/>
      <c r="S2031" s="6"/>
      <c r="T2031" s="6"/>
      <c r="U2031" s="7"/>
      <c r="V2031" s="6"/>
      <c r="W2031" s="6"/>
      <c r="X2031" s="12"/>
      <c r="Y2031" s="6"/>
      <c r="Z2031" s="6"/>
      <c r="AA2031" s="7"/>
      <c r="AB2031" s="6"/>
      <c r="AC2031" s="6"/>
      <c r="AD2031" s="6"/>
      <c r="AE2031" s="12"/>
      <c r="AF2031" s="6"/>
      <c r="AG2031" s="12"/>
      <c r="AH2031" s="6"/>
      <c r="AI2031" s="6"/>
      <c r="AJ2031" s="12"/>
      <c r="AK2031" s="1"/>
      <c r="AL2031" s="12"/>
      <c r="AM2031" s="12"/>
      <c r="AN2031" s="1"/>
      <c r="AO2031" s="6"/>
    </row>
    <row r="2032" spans="1:41" ht="15" x14ac:dyDescent="0.25">
      <c r="A2032" s="1"/>
      <c r="B2032" s="1"/>
      <c r="C2032" s="1"/>
      <c r="D2032" s="1"/>
      <c r="E2032" s="6"/>
      <c r="F2032" s="1"/>
      <c r="G2032" s="6"/>
      <c r="H2032" s="6"/>
      <c r="I2032" s="6"/>
      <c r="J2032" s="6"/>
      <c r="K2032" s="6"/>
      <c r="L2032" s="6"/>
      <c r="M2032" s="6"/>
      <c r="N2032" s="6"/>
      <c r="O2032" s="7"/>
      <c r="P2032" s="6"/>
      <c r="Q2032" s="6"/>
      <c r="R2032" s="7"/>
      <c r="S2032" s="6"/>
      <c r="T2032" s="6"/>
      <c r="U2032" s="7"/>
      <c r="V2032" s="6"/>
      <c r="W2032" s="6"/>
      <c r="X2032" s="6"/>
      <c r="Y2032" s="6"/>
      <c r="Z2032" s="6"/>
      <c r="AA2032" s="7"/>
      <c r="AB2032" s="6"/>
      <c r="AC2032" s="6"/>
      <c r="AD2032" s="6"/>
      <c r="AE2032" s="12"/>
      <c r="AF2032" s="12"/>
      <c r="AG2032" s="12"/>
      <c r="AH2032" s="12"/>
      <c r="AI2032" s="6"/>
      <c r="AJ2032" s="12"/>
      <c r="AK2032" s="1"/>
      <c r="AL2032" s="12"/>
      <c r="AM2032" s="12"/>
      <c r="AN2032" s="1"/>
      <c r="AO2032" s="6"/>
    </row>
    <row r="2033" spans="1:41" ht="15" x14ac:dyDescent="0.25">
      <c r="A2033" s="1"/>
      <c r="B2033" s="1"/>
      <c r="C2033" s="1"/>
      <c r="D2033" s="1"/>
      <c r="E2033" s="6"/>
      <c r="F2033" s="1"/>
      <c r="G2033" s="6"/>
      <c r="H2033" s="6"/>
      <c r="I2033" s="6"/>
      <c r="J2033" s="6"/>
      <c r="K2033" s="6"/>
      <c r="L2033" s="6"/>
      <c r="M2033" s="6"/>
      <c r="N2033" s="6"/>
      <c r="O2033" s="7"/>
      <c r="P2033" s="6"/>
      <c r="Q2033" s="6"/>
      <c r="R2033" s="7"/>
      <c r="S2033" s="6"/>
      <c r="T2033" s="6"/>
      <c r="U2033" s="7"/>
      <c r="V2033" s="6"/>
      <c r="W2033" s="6"/>
      <c r="X2033" s="6"/>
      <c r="Y2033" s="6"/>
      <c r="Z2033" s="6"/>
      <c r="AA2033" s="7"/>
      <c r="AB2033" s="6"/>
      <c r="AC2033" s="6"/>
      <c r="AD2033" s="6"/>
      <c r="AE2033" s="12"/>
      <c r="AF2033" s="12"/>
      <c r="AG2033" s="12"/>
      <c r="AH2033" s="12"/>
      <c r="AI2033" s="6"/>
      <c r="AJ2033" s="12"/>
      <c r="AK2033" s="1"/>
      <c r="AL2033" s="12"/>
      <c r="AM2033" s="12"/>
      <c r="AN2033" s="1"/>
      <c r="AO2033" s="6"/>
    </row>
    <row r="2034" spans="1:41" ht="15" x14ac:dyDescent="0.25">
      <c r="A2034" s="1"/>
      <c r="B2034" s="1"/>
      <c r="C2034" s="1"/>
      <c r="D2034" s="1"/>
      <c r="E2034" s="6"/>
      <c r="F2034" s="1"/>
      <c r="G2034" s="6"/>
      <c r="H2034" s="6"/>
      <c r="I2034" s="6"/>
      <c r="J2034" s="6"/>
      <c r="K2034" s="12"/>
      <c r="L2034" s="12"/>
      <c r="M2034" s="6"/>
      <c r="N2034" s="6"/>
      <c r="O2034" s="7"/>
      <c r="P2034" s="6"/>
      <c r="Q2034" s="6"/>
      <c r="R2034" s="7"/>
      <c r="S2034" s="6"/>
      <c r="T2034" s="6"/>
      <c r="U2034" s="7"/>
      <c r="V2034" s="6"/>
      <c r="W2034" s="6"/>
      <c r="X2034" s="12"/>
      <c r="Y2034" s="6"/>
      <c r="Z2034" s="6"/>
      <c r="AA2034" s="7"/>
      <c r="AB2034" s="6"/>
      <c r="AC2034" s="6"/>
      <c r="AD2034" s="6"/>
      <c r="AE2034" s="12"/>
      <c r="AF2034" s="12"/>
      <c r="AG2034" s="12"/>
      <c r="AH2034" s="12"/>
      <c r="AI2034" s="6"/>
      <c r="AJ2034" s="12"/>
      <c r="AK2034" s="1"/>
      <c r="AL2034" s="12"/>
      <c r="AM2034" s="12"/>
      <c r="AN2034" s="1"/>
      <c r="AO2034" s="6"/>
    </row>
    <row r="2035" spans="1:41" ht="15" x14ac:dyDescent="0.25">
      <c r="A2035" s="1"/>
      <c r="B2035" s="1"/>
      <c r="C2035" s="1"/>
      <c r="D2035" s="1"/>
      <c r="E2035" s="6"/>
      <c r="F2035" s="1"/>
      <c r="G2035" s="6"/>
      <c r="H2035" s="6"/>
      <c r="I2035" s="6"/>
      <c r="J2035" s="6"/>
      <c r="K2035" s="6"/>
      <c r="L2035" s="6"/>
      <c r="M2035" s="6"/>
      <c r="N2035" s="6"/>
      <c r="O2035" s="7"/>
      <c r="P2035" s="6"/>
      <c r="Q2035" s="6"/>
      <c r="R2035" s="7"/>
      <c r="S2035" s="6"/>
      <c r="T2035" s="6"/>
      <c r="U2035" s="7"/>
      <c r="V2035" s="6"/>
      <c r="W2035" s="6"/>
      <c r="X2035" s="6"/>
      <c r="Y2035" s="6"/>
      <c r="Z2035" s="6"/>
      <c r="AA2035" s="7"/>
      <c r="AB2035" s="6"/>
      <c r="AC2035" s="6"/>
      <c r="AD2035" s="6"/>
      <c r="AE2035" s="12"/>
      <c r="AF2035" s="6"/>
      <c r="AG2035" s="12"/>
      <c r="AH2035" s="6"/>
      <c r="AI2035" s="6"/>
      <c r="AJ2035" s="12"/>
      <c r="AK2035" s="24"/>
      <c r="AL2035" s="25"/>
      <c r="AM2035" s="12"/>
      <c r="AN2035" s="1"/>
      <c r="AO2035" s="6"/>
    </row>
    <row r="2036" spans="1:41" ht="15" x14ac:dyDescent="0.25">
      <c r="A2036" s="1"/>
      <c r="B2036" s="1"/>
      <c r="C2036" s="1"/>
      <c r="D2036" s="1"/>
      <c r="E2036" s="6"/>
      <c r="F2036" s="1"/>
      <c r="G2036" s="6"/>
      <c r="H2036" s="6"/>
      <c r="I2036" s="6"/>
      <c r="J2036" s="6"/>
      <c r="K2036" s="6"/>
      <c r="L2036" s="6"/>
      <c r="M2036" s="6"/>
      <c r="N2036" s="6"/>
      <c r="O2036" s="7"/>
      <c r="P2036" s="6"/>
      <c r="Q2036" s="6"/>
      <c r="R2036" s="7"/>
      <c r="S2036" s="6"/>
      <c r="T2036" s="6"/>
      <c r="U2036" s="7"/>
      <c r="V2036" s="6"/>
      <c r="W2036" s="6"/>
      <c r="X2036" s="6"/>
      <c r="Y2036" s="6"/>
      <c r="Z2036" s="6"/>
      <c r="AA2036" s="7"/>
      <c r="AB2036" s="6"/>
      <c r="AC2036" s="6"/>
      <c r="AD2036" s="6"/>
      <c r="AE2036" s="12"/>
      <c r="AF2036" s="6"/>
      <c r="AG2036" s="12"/>
      <c r="AH2036" s="6"/>
      <c r="AI2036" s="6"/>
      <c r="AJ2036" s="12"/>
      <c r="AK2036" s="1"/>
      <c r="AL2036" s="12"/>
      <c r="AM2036" s="12"/>
      <c r="AN2036" s="1"/>
      <c r="AO2036" s="6"/>
    </row>
    <row r="2037" spans="1:41" ht="15" x14ac:dyDescent="0.25">
      <c r="A2037" s="1"/>
      <c r="B2037" s="1"/>
      <c r="C2037" s="1"/>
      <c r="D2037" s="1"/>
      <c r="E2037" s="6"/>
      <c r="F2037" s="1"/>
      <c r="G2037" s="6"/>
      <c r="H2037" s="6"/>
      <c r="I2037" s="6"/>
      <c r="J2037" s="6"/>
      <c r="K2037" s="6"/>
      <c r="L2037" s="6"/>
      <c r="M2037" s="6"/>
      <c r="N2037" s="6"/>
      <c r="O2037" s="7"/>
      <c r="P2037" s="6"/>
      <c r="Q2037" s="7"/>
      <c r="R2037" s="6"/>
      <c r="S2037" s="6"/>
      <c r="T2037" s="6"/>
      <c r="U2037" s="6"/>
      <c r="V2037" s="7"/>
      <c r="W2037" s="7"/>
      <c r="X2037" s="6"/>
      <c r="Y2037" s="6"/>
      <c r="Z2037" s="6"/>
      <c r="AA2037" s="1"/>
      <c r="AB2037" s="12"/>
      <c r="AC2037" s="12"/>
      <c r="AD2037" s="12"/>
      <c r="AE2037" s="12"/>
      <c r="AF2037" s="12"/>
      <c r="AG2037" s="12"/>
      <c r="AH2037" s="12"/>
      <c r="AI2037" s="6"/>
      <c r="AJ2037" s="12"/>
      <c r="AK2037" s="12"/>
      <c r="AL2037" s="12"/>
      <c r="AM2037" s="12"/>
      <c r="AN2037" s="1"/>
      <c r="AO2037" s="6"/>
    </row>
    <row r="2038" spans="1:41" ht="15" x14ac:dyDescent="0.25">
      <c r="A2038" s="1"/>
      <c r="B2038" s="1"/>
      <c r="C2038" s="1"/>
      <c r="D2038" s="1"/>
      <c r="E2038" s="6"/>
      <c r="F2038" s="1"/>
      <c r="G2038" s="6"/>
      <c r="H2038" s="6"/>
      <c r="I2038" s="6"/>
      <c r="J2038" s="6"/>
      <c r="K2038" s="6"/>
      <c r="L2038" s="6"/>
      <c r="M2038" s="6"/>
      <c r="N2038" s="6"/>
      <c r="O2038" s="7"/>
      <c r="P2038" s="6"/>
      <c r="Q2038" s="7"/>
      <c r="R2038" s="6"/>
      <c r="S2038" s="6"/>
      <c r="T2038" s="6"/>
      <c r="U2038" s="6"/>
      <c r="V2038" s="7"/>
      <c r="W2038" s="6"/>
      <c r="X2038" s="6"/>
      <c r="Y2038" s="6"/>
      <c r="Z2038" s="6"/>
      <c r="AA2038" s="24"/>
      <c r="AB2038" s="25"/>
      <c r="AC2038" s="12"/>
      <c r="AD2038" s="12"/>
      <c r="AE2038" s="12"/>
      <c r="AF2038" s="6"/>
      <c r="AG2038" s="12"/>
      <c r="AH2038" s="6"/>
      <c r="AI2038" s="6"/>
      <c r="AJ2038" s="12"/>
      <c r="AK2038" s="12"/>
      <c r="AL2038" s="12"/>
      <c r="AM2038" s="12"/>
      <c r="AN2038" s="1"/>
      <c r="AO2038" s="6"/>
    </row>
    <row r="2039" spans="1:41" ht="15" x14ac:dyDescent="0.25">
      <c r="A2039" s="1"/>
      <c r="B2039" s="1"/>
      <c r="C2039" s="1"/>
      <c r="D2039" s="1"/>
      <c r="E2039" s="6"/>
      <c r="F2039" s="1"/>
      <c r="G2039" s="6"/>
      <c r="H2039" s="6"/>
      <c r="I2039" s="6"/>
      <c r="J2039" s="6"/>
      <c r="K2039" s="6"/>
      <c r="L2039" s="6"/>
      <c r="M2039" s="6"/>
      <c r="N2039" s="6"/>
      <c r="O2039" s="7"/>
      <c r="P2039" s="6"/>
      <c r="Q2039" s="6"/>
      <c r="R2039" s="7"/>
      <c r="S2039" s="6"/>
      <c r="T2039" s="6"/>
      <c r="U2039" s="7"/>
      <c r="V2039" s="6"/>
      <c r="W2039" s="6"/>
      <c r="X2039" s="12"/>
      <c r="Y2039" s="6"/>
      <c r="Z2039" s="6"/>
      <c r="AA2039" s="7"/>
      <c r="AB2039" s="6"/>
      <c r="AC2039" s="6"/>
      <c r="AD2039" s="6"/>
      <c r="AE2039" s="12"/>
      <c r="AF2039" s="6"/>
      <c r="AG2039" s="12"/>
      <c r="AH2039" s="6"/>
      <c r="AI2039" s="6"/>
      <c r="AJ2039" s="12"/>
      <c r="AK2039" s="24"/>
      <c r="AL2039" s="25"/>
      <c r="AM2039" s="12"/>
      <c r="AN2039" s="1"/>
      <c r="AO2039" s="6"/>
    </row>
    <row r="2040" spans="1:41" ht="15" x14ac:dyDescent="0.25">
      <c r="A2040" s="1"/>
      <c r="B2040" s="1"/>
      <c r="C2040" s="1"/>
      <c r="D2040" s="1"/>
      <c r="E2040" s="6"/>
      <c r="F2040" s="1"/>
      <c r="G2040" s="6"/>
      <c r="H2040" s="6"/>
      <c r="I2040" s="6"/>
      <c r="J2040" s="6"/>
      <c r="K2040" s="6"/>
      <c r="L2040" s="6"/>
      <c r="M2040" s="6"/>
      <c r="N2040" s="6"/>
      <c r="O2040" s="7"/>
      <c r="P2040" s="6"/>
      <c r="Q2040" s="7"/>
      <c r="R2040" s="6"/>
      <c r="S2040" s="12"/>
      <c r="T2040" s="6"/>
      <c r="U2040" s="6"/>
      <c r="V2040" s="7"/>
      <c r="W2040" s="6"/>
      <c r="X2040" s="6"/>
      <c r="Y2040" s="6"/>
      <c r="Z2040" s="6"/>
      <c r="AA2040" s="24"/>
      <c r="AB2040" s="25"/>
      <c r="AC2040" s="12"/>
      <c r="AD2040" s="12"/>
      <c r="AE2040" s="12"/>
      <c r="AF2040" s="6"/>
      <c r="AG2040" s="12"/>
      <c r="AH2040" s="6"/>
      <c r="AI2040" s="6"/>
      <c r="AJ2040" s="12"/>
      <c r="AK2040" s="12"/>
      <c r="AL2040" s="12"/>
      <c r="AM2040" s="12"/>
      <c r="AN2040" s="1"/>
      <c r="AO2040" s="6"/>
    </row>
    <row r="2041" spans="1:41" ht="15" x14ac:dyDescent="0.25">
      <c r="A2041" s="1"/>
      <c r="B2041" s="1"/>
      <c r="C2041" s="1"/>
      <c r="D2041" s="1"/>
      <c r="E2041" s="6"/>
      <c r="F2041" s="1"/>
      <c r="G2041" s="6"/>
      <c r="H2041" s="6"/>
      <c r="I2041" s="6"/>
      <c r="J2041" s="6"/>
      <c r="K2041" s="6"/>
      <c r="L2041" s="6"/>
      <c r="M2041" s="6"/>
      <c r="N2041" s="6"/>
      <c r="O2041" s="7"/>
      <c r="P2041" s="6"/>
      <c r="Q2041" s="6"/>
      <c r="R2041" s="7"/>
      <c r="S2041" s="6"/>
      <c r="T2041" s="6"/>
      <c r="U2041" s="7"/>
      <c r="V2041" s="6"/>
      <c r="W2041" s="6"/>
      <c r="X2041" s="12"/>
      <c r="Y2041" s="6"/>
      <c r="Z2041" s="6"/>
      <c r="AA2041" s="7"/>
      <c r="AB2041" s="6"/>
      <c r="AC2041" s="6"/>
      <c r="AD2041" s="6"/>
      <c r="AE2041" s="12"/>
      <c r="AF2041" s="12"/>
      <c r="AG2041" s="12"/>
      <c r="AH2041" s="12"/>
      <c r="AI2041" s="6"/>
      <c r="AJ2041" s="12"/>
      <c r="AK2041" s="1"/>
      <c r="AL2041" s="12"/>
      <c r="AM2041" s="12"/>
      <c r="AN2041" s="1"/>
      <c r="AO2041" s="6"/>
    </row>
    <row r="2042" spans="1:41" ht="15" x14ac:dyDescent="0.25">
      <c r="A2042" s="1"/>
      <c r="B2042" s="1"/>
      <c r="C2042" s="1"/>
      <c r="D2042" s="1"/>
      <c r="E2042" s="6"/>
      <c r="F2042" s="1"/>
      <c r="G2042" s="6"/>
      <c r="H2042" s="6"/>
      <c r="I2042" s="6"/>
      <c r="J2042" s="6"/>
      <c r="K2042" s="12"/>
      <c r="L2042" s="12"/>
      <c r="M2042" s="6"/>
      <c r="N2042" s="6"/>
      <c r="O2042" s="7"/>
      <c r="P2042" s="6"/>
      <c r="Q2042" s="6"/>
      <c r="R2042" s="7"/>
      <c r="S2042" s="6"/>
      <c r="T2042" s="6"/>
      <c r="U2042" s="7"/>
      <c r="V2042" s="6"/>
      <c r="W2042" s="6"/>
      <c r="X2042" s="6"/>
      <c r="Y2042" s="6"/>
      <c r="Z2042" s="6"/>
      <c r="AA2042" s="7"/>
      <c r="AB2042" s="6"/>
      <c r="AC2042" s="6"/>
      <c r="AD2042" s="6"/>
      <c r="AE2042" s="12"/>
      <c r="AF2042" s="12"/>
      <c r="AG2042" s="12"/>
      <c r="AH2042" s="12"/>
      <c r="AI2042" s="6"/>
      <c r="AJ2042" s="12"/>
      <c r="AK2042" s="1"/>
      <c r="AL2042" s="12"/>
      <c r="AM2042" s="12"/>
      <c r="AN2042" s="1"/>
      <c r="AO2042" s="6"/>
    </row>
    <row r="2043" spans="1:41" ht="15" x14ac:dyDescent="0.25">
      <c r="A2043" s="1"/>
      <c r="B2043" s="1"/>
      <c r="C2043" s="1"/>
      <c r="D2043" s="1"/>
      <c r="E2043" s="6"/>
      <c r="F2043" s="1"/>
      <c r="G2043" s="6"/>
      <c r="H2043" s="6"/>
      <c r="I2043" s="6"/>
      <c r="J2043" s="6"/>
      <c r="K2043" s="6"/>
      <c r="L2043" s="6"/>
      <c r="M2043" s="6"/>
      <c r="N2043" s="6"/>
      <c r="O2043" s="7"/>
      <c r="P2043" s="6"/>
      <c r="Q2043" s="6"/>
      <c r="R2043" s="7"/>
      <c r="S2043" s="6"/>
      <c r="T2043" s="6"/>
      <c r="U2043" s="7"/>
      <c r="V2043" s="6"/>
      <c r="W2043" s="6"/>
      <c r="X2043" s="6"/>
      <c r="Y2043" s="6"/>
      <c r="Z2043" s="6"/>
      <c r="AA2043" s="7"/>
      <c r="AB2043" s="6"/>
      <c r="AC2043" s="6"/>
      <c r="AD2043" s="6"/>
      <c r="AE2043" s="12"/>
      <c r="AF2043" s="6"/>
      <c r="AG2043" s="12"/>
      <c r="AH2043" s="6"/>
      <c r="AI2043" s="6"/>
      <c r="AJ2043" s="12"/>
      <c r="AK2043" s="1"/>
      <c r="AL2043" s="12"/>
      <c r="AM2043" s="12"/>
      <c r="AN2043" s="1"/>
      <c r="AO2043" s="6"/>
    </row>
    <row r="2044" spans="1:41" ht="15" x14ac:dyDescent="0.25">
      <c r="A2044" s="1"/>
      <c r="B2044" s="1"/>
      <c r="C2044" s="1"/>
      <c r="D2044" s="1"/>
      <c r="E2044" s="6"/>
      <c r="F2044" s="1"/>
      <c r="G2044" s="6"/>
      <c r="H2044" s="6"/>
      <c r="I2044" s="6"/>
      <c r="J2044" s="6"/>
      <c r="K2044" s="6"/>
      <c r="L2044" s="6"/>
      <c r="M2044" s="6"/>
      <c r="N2044" s="6"/>
      <c r="O2044" s="7"/>
      <c r="P2044" s="6"/>
      <c r="Q2044" s="6"/>
      <c r="R2044" s="7"/>
      <c r="S2044" s="6"/>
      <c r="T2044" s="6"/>
      <c r="U2044" s="7"/>
      <c r="V2044" s="6"/>
      <c r="W2044" s="6"/>
      <c r="X2044" s="6"/>
      <c r="Y2044" s="6"/>
      <c r="Z2044" s="6"/>
      <c r="AA2044" s="7"/>
      <c r="AB2044" s="6"/>
      <c r="AC2044" s="6"/>
      <c r="AD2044" s="6"/>
      <c r="AE2044" s="12"/>
      <c r="AF2044" s="6"/>
      <c r="AG2044" s="12"/>
      <c r="AH2044" s="6"/>
      <c r="AI2044" s="6"/>
      <c r="AJ2044" s="12"/>
      <c r="AK2044" s="24"/>
      <c r="AL2044" s="25"/>
      <c r="AM2044" s="12"/>
      <c r="AN2044" s="1"/>
      <c r="AO2044" s="6"/>
    </row>
    <row r="2045" spans="1:41" ht="15" x14ac:dyDescent="0.25">
      <c r="A2045" s="1"/>
      <c r="B2045" s="1"/>
      <c r="C2045" s="1"/>
      <c r="D2045" s="1"/>
      <c r="E2045" s="6"/>
      <c r="F2045" s="1"/>
      <c r="G2045" s="6"/>
      <c r="H2045" s="6"/>
      <c r="I2045" s="6"/>
      <c r="J2045" s="6"/>
      <c r="K2045" s="6"/>
      <c r="L2045" s="6"/>
      <c r="M2045" s="6"/>
      <c r="N2045" s="6"/>
      <c r="O2045" s="7"/>
      <c r="P2045" s="6"/>
      <c r="Q2045" s="6"/>
      <c r="R2045" s="7"/>
      <c r="S2045" s="6"/>
      <c r="T2045" s="6"/>
      <c r="U2045" s="7"/>
      <c r="V2045" s="6"/>
      <c r="W2045" s="6"/>
      <c r="X2045" s="12"/>
      <c r="Y2045" s="6"/>
      <c r="Z2045" s="6"/>
      <c r="AA2045" s="7"/>
      <c r="AB2045" s="6"/>
      <c r="AC2045" s="6"/>
      <c r="AD2045" s="6"/>
      <c r="AE2045" s="12"/>
      <c r="AF2045" s="6"/>
      <c r="AG2045" s="12"/>
      <c r="AH2045" s="6"/>
      <c r="AI2045" s="6"/>
      <c r="AJ2045" s="12"/>
      <c r="AK2045" s="24"/>
      <c r="AL2045" s="25"/>
      <c r="AM2045" s="12"/>
      <c r="AN2045" s="1"/>
      <c r="AO2045" s="6"/>
    </row>
    <row r="2046" spans="1:41" ht="15" x14ac:dyDescent="0.25">
      <c r="A2046" s="1"/>
      <c r="B2046" s="1"/>
      <c r="C2046" s="1"/>
      <c r="D2046" s="1"/>
      <c r="E2046" s="6"/>
      <c r="F2046" s="1"/>
      <c r="G2046" s="6"/>
      <c r="H2046" s="6"/>
      <c r="I2046" s="6"/>
      <c r="J2046" s="6"/>
      <c r="K2046" s="6"/>
      <c r="L2046" s="6"/>
      <c r="M2046" s="6"/>
      <c r="N2046" s="6"/>
      <c r="O2046" s="7"/>
      <c r="P2046" s="6"/>
      <c r="Q2046" s="6"/>
      <c r="R2046" s="7"/>
      <c r="S2046" s="6"/>
      <c r="T2046" s="6"/>
      <c r="U2046" s="7"/>
      <c r="V2046" s="6"/>
      <c r="W2046" s="6"/>
      <c r="X2046" s="6"/>
      <c r="Y2046" s="6"/>
      <c r="Z2046" s="6"/>
      <c r="AA2046" s="7"/>
      <c r="AB2046" s="6"/>
      <c r="AC2046" s="6"/>
      <c r="AD2046" s="6"/>
      <c r="AE2046" s="12"/>
      <c r="AF2046" s="12"/>
      <c r="AG2046" s="12"/>
      <c r="AH2046" s="12"/>
      <c r="AI2046" s="6"/>
      <c r="AJ2046" s="12"/>
      <c r="AK2046" s="1"/>
      <c r="AL2046" s="12"/>
      <c r="AM2046" s="12"/>
      <c r="AN2046" s="1"/>
      <c r="AO2046" s="6"/>
    </row>
    <row r="2047" spans="1:41" ht="15" x14ac:dyDescent="0.25">
      <c r="A2047" s="1"/>
      <c r="B2047" s="1"/>
      <c r="C2047" s="1"/>
      <c r="D2047" s="1"/>
      <c r="E2047" s="6"/>
      <c r="F2047" s="1"/>
      <c r="G2047" s="6"/>
      <c r="H2047" s="6"/>
      <c r="I2047" s="6"/>
      <c r="J2047" s="6"/>
      <c r="K2047" s="6"/>
      <c r="L2047" s="6"/>
      <c r="M2047" s="6"/>
      <c r="N2047" s="6"/>
      <c r="O2047" s="7"/>
      <c r="P2047" s="6"/>
      <c r="Q2047" s="7"/>
      <c r="R2047" s="6"/>
      <c r="S2047" s="6"/>
      <c r="T2047" s="6"/>
      <c r="U2047" s="6"/>
      <c r="V2047" s="7"/>
      <c r="W2047" s="6"/>
      <c r="X2047" s="6"/>
      <c r="Y2047" s="6"/>
      <c r="Z2047" s="6"/>
      <c r="AA2047" s="24"/>
      <c r="AB2047" s="25"/>
      <c r="AC2047" s="12"/>
      <c r="AD2047" s="12"/>
      <c r="AE2047" s="12"/>
      <c r="AF2047" s="6"/>
      <c r="AG2047" s="12"/>
      <c r="AH2047" s="6"/>
      <c r="AI2047" s="6"/>
      <c r="AJ2047" s="12"/>
      <c r="AK2047" s="12"/>
      <c r="AL2047" s="12"/>
      <c r="AM2047" s="12"/>
      <c r="AN2047" s="1"/>
      <c r="AO2047" s="6"/>
    </row>
    <row r="2048" spans="1:41" ht="15" x14ac:dyDescent="0.25">
      <c r="A2048" s="1"/>
      <c r="B2048" s="1"/>
      <c r="C2048" s="1"/>
      <c r="D2048" s="1"/>
      <c r="E2048" s="6"/>
      <c r="F2048" s="1"/>
      <c r="G2048" s="6"/>
      <c r="H2048" s="6"/>
      <c r="I2048" s="6"/>
      <c r="J2048" s="6"/>
      <c r="K2048" s="6"/>
      <c r="L2048" s="6"/>
      <c r="M2048" s="6"/>
      <c r="N2048" s="6"/>
      <c r="O2048" s="7"/>
      <c r="P2048" s="6"/>
      <c r="Q2048" s="6"/>
      <c r="R2048" s="7"/>
      <c r="S2048" s="6"/>
      <c r="T2048" s="6"/>
      <c r="U2048" s="7"/>
      <c r="V2048" s="6"/>
      <c r="W2048" s="6"/>
      <c r="X2048" s="12"/>
      <c r="Y2048" s="6"/>
      <c r="Z2048" s="6"/>
      <c r="AA2048" s="7"/>
      <c r="AB2048" s="6"/>
      <c r="AC2048" s="6"/>
      <c r="AD2048" s="6"/>
      <c r="AE2048" s="12"/>
      <c r="AF2048" s="12"/>
      <c r="AG2048" s="12"/>
      <c r="AH2048" s="12"/>
      <c r="AI2048" s="6"/>
      <c r="AJ2048" s="12"/>
      <c r="AK2048" s="1"/>
      <c r="AL2048" s="12"/>
      <c r="AM2048" s="12"/>
      <c r="AN2048" s="1"/>
      <c r="AO2048" s="6"/>
    </row>
    <row r="2049" spans="1:41" ht="15" x14ac:dyDescent="0.25">
      <c r="A2049" s="1"/>
      <c r="B2049" s="1"/>
      <c r="C2049" s="1"/>
      <c r="D2049" s="1"/>
      <c r="E2049" s="6"/>
      <c r="F2049" s="1"/>
      <c r="G2049" s="6"/>
      <c r="H2049" s="6"/>
      <c r="I2049" s="6"/>
      <c r="J2049" s="6"/>
      <c r="K2049" s="6"/>
      <c r="L2049" s="6"/>
      <c r="M2049" s="6"/>
      <c r="N2049" s="6"/>
      <c r="O2049" s="7"/>
      <c r="P2049" s="6"/>
      <c r="Q2049" s="6"/>
      <c r="R2049" s="7"/>
      <c r="S2049" s="6"/>
      <c r="T2049" s="6"/>
      <c r="U2049" s="7"/>
      <c r="V2049" s="6"/>
      <c r="W2049" s="6"/>
      <c r="X2049" s="12"/>
      <c r="Y2049" s="6"/>
      <c r="Z2049" s="6"/>
      <c r="AA2049" s="7"/>
      <c r="AB2049" s="6"/>
      <c r="AC2049" s="6"/>
      <c r="AD2049" s="6"/>
      <c r="AE2049" s="12"/>
      <c r="AF2049" s="12"/>
      <c r="AG2049" s="12"/>
      <c r="AH2049" s="12"/>
      <c r="AI2049" s="6"/>
      <c r="AJ2049" s="12"/>
      <c r="AK2049" s="1"/>
      <c r="AL2049" s="12"/>
      <c r="AM2049" s="12"/>
      <c r="AN2049" s="1"/>
      <c r="AO2049" s="6"/>
    </row>
    <row r="2050" spans="1:41" ht="15" x14ac:dyDescent="0.25">
      <c r="A2050" s="1"/>
      <c r="B2050" s="1"/>
      <c r="C2050" s="1"/>
      <c r="D2050" s="1"/>
      <c r="E2050" s="6"/>
      <c r="F2050" s="1"/>
      <c r="G2050" s="6"/>
      <c r="H2050" s="6"/>
      <c r="I2050" s="6"/>
      <c r="J2050" s="6"/>
      <c r="K2050" s="6"/>
      <c r="L2050" s="6"/>
      <c r="M2050" s="6"/>
      <c r="N2050" s="6"/>
      <c r="O2050" s="7"/>
      <c r="P2050" s="6"/>
      <c r="Q2050" s="7"/>
      <c r="R2050" s="6"/>
      <c r="S2050" s="6"/>
      <c r="T2050" s="6"/>
      <c r="U2050" s="6"/>
      <c r="V2050" s="7"/>
      <c r="W2050" s="7"/>
      <c r="X2050" s="6"/>
      <c r="Y2050" s="6"/>
      <c r="Z2050" s="6"/>
      <c r="AA2050" s="1"/>
      <c r="AB2050" s="12"/>
      <c r="AC2050" s="12"/>
      <c r="AD2050" s="12"/>
      <c r="AE2050" s="12"/>
      <c r="AF2050" s="12"/>
      <c r="AG2050" s="12"/>
      <c r="AH2050" s="12"/>
      <c r="AI2050" s="6"/>
      <c r="AJ2050" s="12"/>
      <c r="AK2050" s="12"/>
      <c r="AL2050" s="12"/>
      <c r="AM2050" s="12"/>
      <c r="AN2050" s="1"/>
      <c r="AO2050" s="6"/>
    </row>
    <row r="2051" spans="1:41" ht="15" x14ac:dyDescent="0.25">
      <c r="A2051" s="1"/>
      <c r="B2051" s="1"/>
      <c r="C2051" s="1"/>
      <c r="D2051" s="1"/>
      <c r="E2051" s="6"/>
      <c r="F2051" s="1"/>
      <c r="G2051" s="6"/>
      <c r="H2051" s="6"/>
      <c r="I2051" s="6"/>
      <c r="J2051" s="6"/>
      <c r="K2051" s="12"/>
      <c r="L2051" s="12"/>
      <c r="M2051" s="6"/>
      <c r="N2051" s="6"/>
      <c r="O2051" s="7"/>
      <c r="P2051" s="6"/>
      <c r="Q2051" s="6"/>
      <c r="R2051" s="12"/>
      <c r="S2051" s="12"/>
      <c r="T2051" s="12"/>
      <c r="U2051" s="7"/>
      <c r="V2051" s="6"/>
      <c r="W2051" s="6"/>
      <c r="X2051" s="12"/>
      <c r="Y2051" s="6"/>
      <c r="Z2051" s="6"/>
      <c r="AA2051" s="7"/>
      <c r="AB2051" s="6"/>
      <c r="AC2051" s="6"/>
      <c r="AD2051" s="6"/>
      <c r="AE2051" s="12"/>
      <c r="AF2051" s="12"/>
      <c r="AG2051" s="12"/>
      <c r="AH2051" s="12"/>
      <c r="AI2051" s="6"/>
      <c r="AJ2051" s="12"/>
      <c r="AK2051" s="1"/>
      <c r="AL2051" s="12"/>
      <c r="AM2051" s="12"/>
      <c r="AN2051" s="1"/>
      <c r="AO2051" s="6"/>
    </row>
    <row r="2052" spans="1:41" ht="15" x14ac:dyDescent="0.25">
      <c r="A2052" s="1"/>
      <c r="B2052" s="1"/>
      <c r="C2052" s="1"/>
      <c r="D2052" s="1"/>
      <c r="E2052" s="6"/>
      <c r="F2052" s="1"/>
      <c r="G2052" s="6"/>
      <c r="H2052" s="6"/>
      <c r="I2052" s="6"/>
      <c r="J2052" s="6"/>
      <c r="K2052" s="6"/>
      <c r="L2052" s="6"/>
      <c r="M2052" s="6"/>
      <c r="N2052" s="6"/>
      <c r="O2052" s="7"/>
      <c r="P2052" s="12"/>
      <c r="Q2052" s="6"/>
      <c r="R2052" s="7"/>
      <c r="S2052" s="6"/>
      <c r="T2052" s="6"/>
      <c r="U2052" s="7"/>
      <c r="V2052" s="6"/>
      <c r="W2052" s="6"/>
      <c r="X2052" s="6"/>
      <c r="Y2052" s="6"/>
      <c r="Z2052" s="6"/>
      <c r="AA2052" s="7"/>
      <c r="AB2052" s="6"/>
      <c r="AC2052" s="6"/>
      <c r="AD2052" s="6"/>
      <c r="AE2052" s="12"/>
      <c r="AF2052" s="12"/>
      <c r="AG2052" s="12"/>
      <c r="AH2052" s="12"/>
      <c r="AI2052" s="6"/>
      <c r="AJ2052" s="12"/>
      <c r="AK2052" s="1"/>
      <c r="AL2052" s="12"/>
      <c r="AM2052" s="12"/>
      <c r="AN2052" s="1"/>
      <c r="AO2052" s="6"/>
    </row>
    <row r="2053" spans="1:41" ht="15" x14ac:dyDescent="0.25">
      <c r="A2053" s="1"/>
      <c r="B2053" s="1"/>
      <c r="C2053" s="1"/>
      <c r="D2053" s="1"/>
      <c r="E2053" s="6"/>
      <c r="F2053" s="1"/>
      <c r="G2053" s="6"/>
      <c r="H2053" s="6"/>
      <c r="I2053" s="6"/>
      <c r="J2053" s="6"/>
      <c r="K2053" s="6"/>
      <c r="L2053" s="6"/>
      <c r="M2053" s="6"/>
      <c r="N2053" s="6"/>
      <c r="O2053" s="7"/>
      <c r="P2053" s="6"/>
      <c r="Q2053" s="6"/>
      <c r="R2053" s="7"/>
      <c r="S2053" s="6"/>
      <c r="T2053" s="6"/>
      <c r="U2053" s="7"/>
      <c r="V2053" s="6"/>
      <c r="W2053" s="6"/>
      <c r="X2053" s="6"/>
      <c r="Y2053" s="6"/>
      <c r="Z2053" s="6"/>
      <c r="AA2053" s="7"/>
      <c r="AB2053" s="6"/>
      <c r="AC2053" s="6"/>
      <c r="AD2053" s="6"/>
      <c r="AE2053" s="12"/>
      <c r="AF2053" s="12"/>
      <c r="AG2053" s="12"/>
      <c r="AH2053" s="12"/>
      <c r="AI2053" s="6"/>
      <c r="AJ2053" s="12"/>
      <c r="AK2053" s="1"/>
      <c r="AL2053" s="12"/>
      <c r="AM2053" s="12"/>
      <c r="AN2053" s="1"/>
      <c r="AO2053" s="6"/>
    </row>
    <row r="2054" spans="1:41" ht="15" x14ac:dyDescent="0.25">
      <c r="A2054" s="1"/>
      <c r="B2054" s="1"/>
      <c r="C2054" s="1"/>
      <c r="D2054" s="1"/>
      <c r="E2054" s="6"/>
      <c r="F2054" s="1"/>
      <c r="G2054" s="6"/>
      <c r="H2054" s="6"/>
      <c r="I2054" s="6"/>
      <c r="J2054" s="6"/>
      <c r="K2054" s="6"/>
      <c r="L2054" s="6"/>
      <c r="M2054" s="6"/>
      <c r="N2054" s="6"/>
      <c r="O2054" s="7"/>
      <c r="P2054" s="6"/>
      <c r="Q2054" s="7"/>
      <c r="R2054" s="6"/>
      <c r="S2054" s="6"/>
      <c r="T2054" s="6"/>
      <c r="U2054" s="6"/>
      <c r="V2054" s="7"/>
      <c r="W2054" s="7"/>
      <c r="X2054" s="6"/>
      <c r="Y2054" s="6"/>
      <c r="Z2054" s="6"/>
      <c r="AA2054" s="1"/>
      <c r="AB2054" s="12"/>
      <c r="AC2054" s="12"/>
      <c r="AD2054" s="12"/>
      <c r="AE2054" s="12"/>
      <c r="AF2054" s="12"/>
      <c r="AG2054" s="12"/>
      <c r="AH2054" s="12"/>
      <c r="AI2054" s="6"/>
      <c r="AJ2054" s="12"/>
      <c r="AK2054" s="12"/>
      <c r="AL2054" s="12"/>
      <c r="AM2054" s="12"/>
      <c r="AN2054" s="1"/>
      <c r="AO2054" s="6"/>
    </row>
    <row r="2055" spans="1:41" ht="15" x14ac:dyDescent="0.25">
      <c r="A2055" s="1"/>
      <c r="B2055" s="1"/>
      <c r="C2055" s="1"/>
      <c r="D2055" s="1"/>
      <c r="E2055" s="6"/>
      <c r="F2055" s="1"/>
      <c r="G2055" s="6"/>
      <c r="H2055" s="6"/>
      <c r="I2055" s="6"/>
      <c r="J2055" s="6"/>
      <c r="K2055" s="6"/>
      <c r="L2055" s="6"/>
      <c r="M2055" s="6"/>
      <c r="N2055" s="6"/>
      <c r="O2055" s="7"/>
      <c r="P2055" s="6"/>
      <c r="Q2055" s="7"/>
      <c r="R2055" s="6"/>
      <c r="S2055" s="6"/>
      <c r="T2055" s="6"/>
      <c r="U2055" s="6"/>
      <c r="V2055" s="7"/>
      <c r="W2055" s="7"/>
      <c r="X2055" s="6"/>
      <c r="Y2055" s="6"/>
      <c r="Z2055" s="6"/>
      <c r="AA2055" s="1"/>
      <c r="AB2055" s="12"/>
      <c r="AC2055" s="12"/>
      <c r="AD2055" s="12"/>
      <c r="AE2055" s="12"/>
      <c r="AF2055" s="12"/>
      <c r="AG2055" s="12"/>
      <c r="AH2055" s="12"/>
      <c r="AI2055" s="6"/>
      <c r="AJ2055" s="12"/>
      <c r="AK2055" s="12"/>
      <c r="AL2055" s="12"/>
      <c r="AM2055" s="12"/>
      <c r="AN2055" s="1"/>
      <c r="AO2055" s="6"/>
    </row>
    <row r="2056" spans="1:41" ht="15" x14ac:dyDescent="0.25">
      <c r="A2056" s="1"/>
      <c r="B2056" s="1"/>
      <c r="C2056" s="1"/>
      <c r="D2056" s="1"/>
      <c r="E2056" s="6"/>
      <c r="F2056" s="1"/>
      <c r="G2056" s="6"/>
      <c r="H2056" s="6"/>
      <c r="I2056" s="6"/>
      <c r="J2056" s="6"/>
      <c r="K2056" s="6"/>
      <c r="L2056" s="6"/>
      <c r="M2056" s="6"/>
      <c r="N2056" s="6"/>
      <c r="O2056" s="7"/>
      <c r="P2056" s="6"/>
      <c r="Q2056" s="6"/>
      <c r="R2056" s="7"/>
      <c r="S2056" s="6"/>
      <c r="T2056" s="6"/>
      <c r="U2056" s="7"/>
      <c r="V2056" s="6"/>
      <c r="W2056" s="6"/>
      <c r="X2056" s="12"/>
      <c r="Y2056" s="6"/>
      <c r="Z2056" s="6"/>
      <c r="AA2056" s="7"/>
      <c r="AB2056" s="6"/>
      <c r="AC2056" s="6"/>
      <c r="AD2056" s="6"/>
      <c r="AE2056" s="12"/>
      <c r="AF2056" s="12"/>
      <c r="AG2056" s="12"/>
      <c r="AH2056" s="12"/>
      <c r="AI2056" s="6"/>
      <c r="AJ2056" s="12"/>
      <c r="AK2056" s="1"/>
      <c r="AL2056" s="12"/>
      <c r="AM2056" s="12"/>
      <c r="AN2056" s="1"/>
      <c r="AO2056" s="6"/>
    </row>
    <row r="2057" spans="1:41" ht="15" x14ac:dyDescent="0.25">
      <c r="A2057" s="1"/>
      <c r="B2057" s="1"/>
      <c r="C2057" s="1"/>
      <c r="D2057" s="1"/>
      <c r="E2057" s="6"/>
      <c r="F2057" s="1"/>
      <c r="G2057" s="6"/>
      <c r="H2057" s="6"/>
      <c r="I2057" s="6"/>
      <c r="J2057" s="6"/>
      <c r="K2057" s="6"/>
      <c r="L2057" s="6"/>
      <c r="M2057" s="6"/>
      <c r="N2057" s="6"/>
      <c r="O2057" s="7"/>
      <c r="P2057" s="6"/>
      <c r="Q2057" s="6"/>
      <c r="R2057" s="7"/>
      <c r="S2057" s="6"/>
      <c r="T2057" s="6"/>
      <c r="U2057" s="7"/>
      <c r="V2057" s="6"/>
      <c r="W2057" s="6"/>
      <c r="X2057" s="6"/>
      <c r="Y2057" s="6"/>
      <c r="Z2057" s="6"/>
      <c r="AA2057" s="7"/>
      <c r="AB2057" s="6"/>
      <c r="AC2057" s="6"/>
      <c r="AD2057" s="6"/>
      <c r="AE2057" s="12"/>
      <c r="AF2057" s="6"/>
      <c r="AG2057" s="12"/>
      <c r="AH2057" s="6"/>
      <c r="AI2057" s="6"/>
      <c r="AJ2057" s="12"/>
      <c r="AK2057" s="1"/>
      <c r="AL2057" s="12"/>
      <c r="AM2057" s="12"/>
      <c r="AN2057" s="1"/>
      <c r="AO2057" s="6"/>
    </row>
    <row r="2058" spans="1:41" ht="15" x14ac:dyDescent="0.25">
      <c r="A2058" s="1"/>
      <c r="B2058" s="1"/>
      <c r="C2058" s="1"/>
      <c r="D2058" s="1"/>
      <c r="E2058" s="6"/>
      <c r="F2058" s="1"/>
      <c r="G2058" s="6"/>
      <c r="H2058" s="6"/>
      <c r="I2058" s="6"/>
      <c r="J2058" s="6"/>
      <c r="K2058" s="6"/>
      <c r="L2058" s="6"/>
      <c r="M2058" s="6"/>
      <c r="N2058" s="6"/>
      <c r="O2058" s="7"/>
      <c r="P2058" s="6"/>
      <c r="Q2058" s="6"/>
      <c r="R2058" s="7"/>
      <c r="S2058" s="6"/>
      <c r="T2058" s="6"/>
      <c r="U2058" s="7"/>
      <c r="V2058" s="6"/>
      <c r="W2058" s="6"/>
      <c r="X2058" s="12"/>
      <c r="Y2058" s="6"/>
      <c r="Z2058" s="6"/>
      <c r="AA2058" s="7"/>
      <c r="AB2058" s="6"/>
      <c r="AC2058" s="6"/>
      <c r="AD2058" s="6"/>
      <c r="AE2058" s="12"/>
      <c r="AF2058" s="12"/>
      <c r="AG2058" s="12"/>
      <c r="AH2058" s="12"/>
      <c r="AI2058" s="6"/>
      <c r="AJ2058" s="12"/>
      <c r="AK2058" s="1"/>
      <c r="AL2058" s="12"/>
      <c r="AM2058" s="12"/>
      <c r="AN2058" s="1"/>
      <c r="AO2058" s="6"/>
    </row>
    <row r="2059" spans="1:41" ht="15" x14ac:dyDescent="0.25">
      <c r="A2059" s="1"/>
      <c r="B2059" s="1"/>
      <c r="C2059" s="1"/>
      <c r="D2059" s="1"/>
      <c r="E2059" s="6"/>
      <c r="F2059" s="1"/>
      <c r="G2059" s="6"/>
      <c r="H2059" s="6"/>
      <c r="I2059" s="6"/>
      <c r="J2059" s="6"/>
      <c r="K2059" s="6"/>
      <c r="L2059" s="6"/>
      <c r="M2059" s="6"/>
      <c r="N2059" s="6"/>
      <c r="O2059" s="7"/>
      <c r="P2059" s="6"/>
      <c r="Q2059" s="6"/>
      <c r="R2059" s="7"/>
      <c r="S2059" s="6"/>
      <c r="T2059" s="6"/>
      <c r="U2059" s="7"/>
      <c r="V2059" s="6"/>
      <c r="W2059" s="6"/>
      <c r="X2059" s="12"/>
      <c r="Y2059" s="6"/>
      <c r="Z2059" s="6"/>
      <c r="AA2059" s="7"/>
      <c r="AB2059" s="6"/>
      <c r="AC2059" s="6"/>
      <c r="AD2059" s="6"/>
      <c r="AE2059" s="12"/>
      <c r="AF2059" s="12"/>
      <c r="AG2059" s="12"/>
      <c r="AH2059" s="12"/>
      <c r="AI2059" s="6"/>
      <c r="AJ2059" s="12"/>
      <c r="AK2059" s="1"/>
      <c r="AL2059" s="12"/>
      <c r="AM2059" s="12"/>
      <c r="AN2059" s="1"/>
      <c r="AO2059" s="6"/>
    </row>
    <row r="2060" spans="1:41" ht="15" x14ac:dyDescent="0.25">
      <c r="A2060" s="1"/>
      <c r="B2060" s="1"/>
      <c r="C2060" s="1"/>
      <c r="D2060" s="1"/>
      <c r="E2060" s="6"/>
      <c r="F2060" s="1"/>
      <c r="G2060" s="6"/>
      <c r="H2060" s="6"/>
      <c r="I2060" s="6"/>
      <c r="J2060" s="6"/>
      <c r="K2060" s="6"/>
      <c r="L2060" s="6"/>
      <c r="M2060" s="6"/>
      <c r="N2060" s="6"/>
      <c r="O2060" s="7"/>
      <c r="P2060" s="6"/>
      <c r="Q2060" s="6"/>
      <c r="R2060" s="7"/>
      <c r="S2060" s="6"/>
      <c r="T2060" s="6"/>
      <c r="U2060" s="7"/>
      <c r="V2060" s="6"/>
      <c r="W2060" s="6"/>
      <c r="X2060" s="6"/>
      <c r="Y2060" s="6"/>
      <c r="Z2060" s="6"/>
      <c r="AA2060" s="7"/>
      <c r="AB2060" s="6"/>
      <c r="AC2060" s="6"/>
      <c r="AD2060" s="6"/>
      <c r="AE2060" s="12"/>
      <c r="AF2060" s="6"/>
      <c r="AG2060" s="12"/>
      <c r="AH2060" s="6"/>
      <c r="AI2060" s="6"/>
      <c r="AJ2060" s="12"/>
      <c r="AK2060" s="1"/>
      <c r="AL2060" s="12"/>
      <c r="AM2060" s="12"/>
      <c r="AN2060" s="1"/>
      <c r="AO2060" s="6"/>
    </row>
    <row r="2061" spans="1:41" ht="15" x14ac:dyDescent="0.25">
      <c r="A2061" s="1"/>
      <c r="B2061" s="1"/>
      <c r="C2061" s="1"/>
      <c r="D2061" s="1"/>
      <c r="E2061" s="6"/>
      <c r="F2061" s="1"/>
      <c r="G2061" s="6"/>
      <c r="H2061" s="6"/>
      <c r="I2061" s="6"/>
      <c r="J2061" s="6"/>
      <c r="K2061" s="6"/>
      <c r="L2061" s="6"/>
      <c r="M2061" s="6"/>
      <c r="N2061" s="6"/>
      <c r="O2061" s="7"/>
      <c r="P2061" s="6"/>
      <c r="Q2061" s="6"/>
      <c r="R2061" s="7"/>
      <c r="S2061" s="6"/>
      <c r="T2061" s="6"/>
      <c r="U2061" s="7"/>
      <c r="V2061" s="6"/>
      <c r="W2061" s="6"/>
      <c r="X2061" s="12"/>
      <c r="Y2061" s="6"/>
      <c r="Z2061" s="6"/>
      <c r="AA2061" s="7"/>
      <c r="AB2061" s="6"/>
      <c r="AC2061" s="6"/>
      <c r="AD2061" s="6"/>
      <c r="AE2061" s="12"/>
      <c r="AF2061" s="12"/>
      <c r="AG2061" s="12"/>
      <c r="AH2061" s="12"/>
      <c r="AI2061" s="6"/>
      <c r="AJ2061" s="12"/>
      <c r="AK2061" s="1"/>
      <c r="AL2061" s="12"/>
      <c r="AM2061" s="12"/>
      <c r="AN2061" s="1"/>
      <c r="AO2061" s="6"/>
    </row>
    <row r="2062" spans="1:41" ht="15" x14ac:dyDescent="0.25">
      <c r="A2062" s="1"/>
      <c r="B2062" s="1"/>
      <c r="C2062" s="1"/>
      <c r="D2062" s="1"/>
      <c r="E2062" s="6"/>
      <c r="F2062" s="1"/>
      <c r="G2062" s="6"/>
      <c r="H2062" s="6"/>
      <c r="I2062" s="6"/>
      <c r="J2062" s="6"/>
      <c r="K2062" s="6"/>
      <c r="L2062" s="6"/>
      <c r="M2062" s="6"/>
      <c r="N2062" s="6"/>
      <c r="O2062" s="7"/>
      <c r="P2062" s="6"/>
      <c r="Q2062" s="6"/>
      <c r="R2062" s="7"/>
      <c r="S2062" s="6"/>
      <c r="T2062" s="6"/>
      <c r="U2062" s="7"/>
      <c r="V2062" s="6"/>
      <c r="W2062" s="6"/>
      <c r="X2062" s="12"/>
      <c r="Y2062" s="6"/>
      <c r="Z2062" s="6"/>
      <c r="AA2062" s="7"/>
      <c r="AB2062" s="6"/>
      <c r="AC2062" s="6"/>
      <c r="AD2062" s="6"/>
      <c r="AE2062" s="12"/>
      <c r="AF2062" s="6"/>
      <c r="AG2062" s="12"/>
      <c r="AH2062" s="6"/>
      <c r="AI2062" s="6"/>
      <c r="AJ2062" s="12"/>
      <c r="AK2062" s="1"/>
      <c r="AL2062" s="12"/>
      <c r="AM2062" s="12"/>
      <c r="AN2062" s="1"/>
      <c r="AO2062" s="6"/>
    </row>
    <row r="2063" spans="1:41" ht="15" x14ac:dyDescent="0.25">
      <c r="A2063" s="1"/>
      <c r="B2063" s="1"/>
      <c r="C2063" s="1"/>
      <c r="D2063" s="1"/>
      <c r="E2063" s="6"/>
      <c r="F2063" s="1"/>
      <c r="G2063" s="6"/>
      <c r="H2063" s="6"/>
      <c r="I2063" s="6"/>
      <c r="J2063" s="6"/>
      <c r="K2063" s="12"/>
      <c r="L2063" s="12"/>
      <c r="M2063" s="6"/>
      <c r="N2063" s="6"/>
      <c r="O2063" s="7"/>
      <c r="P2063" s="12"/>
      <c r="Q2063" s="6"/>
      <c r="R2063" s="7"/>
      <c r="S2063" s="6"/>
      <c r="T2063" s="6"/>
      <c r="U2063" s="7"/>
      <c r="V2063" s="6"/>
      <c r="W2063" s="6"/>
      <c r="X2063" s="6"/>
      <c r="Y2063" s="6"/>
      <c r="Z2063" s="6"/>
      <c r="AA2063" s="7"/>
      <c r="AB2063" s="6"/>
      <c r="AC2063" s="6"/>
      <c r="AD2063" s="6"/>
      <c r="AE2063" s="12"/>
      <c r="AF2063" s="12"/>
      <c r="AG2063" s="12"/>
      <c r="AH2063" s="12"/>
      <c r="AI2063" s="6"/>
      <c r="AJ2063" s="12"/>
      <c r="AK2063" s="1"/>
      <c r="AL2063" s="12"/>
      <c r="AM2063" s="12"/>
      <c r="AN2063" s="1"/>
      <c r="AO2063" s="6"/>
    </row>
    <row r="2064" spans="1:41" ht="15" x14ac:dyDescent="0.25">
      <c r="A2064" s="1"/>
      <c r="B2064" s="1"/>
      <c r="C2064" s="1"/>
      <c r="D2064" s="1"/>
      <c r="E2064" s="6"/>
      <c r="F2064" s="1"/>
      <c r="G2064" s="6"/>
      <c r="H2064" s="6"/>
      <c r="I2064" s="6"/>
      <c r="J2064" s="6"/>
      <c r="K2064" s="12"/>
      <c r="L2064" s="12"/>
      <c r="M2064" s="6"/>
      <c r="N2064" s="6"/>
      <c r="O2064" s="7"/>
      <c r="P2064" s="12"/>
      <c r="Q2064" s="6"/>
      <c r="R2064" s="7"/>
      <c r="S2064" s="6"/>
      <c r="T2064" s="6"/>
      <c r="U2064" s="7"/>
      <c r="V2064" s="6"/>
      <c r="W2064" s="6"/>
      <c r="X2064" s="12"/>
      <c r="Y2064" s="6"/>
      <c r="Z2064" s="6"/>
      <c r="AA2064" s="7"/>
      <c r="AB2064" s="6"/>
      <c r="AC2064" s="6"/>
      <c r="AD2064" s="6"/>
      <c r="AE2064" s="12"/>
      <c r="AF2064" s="12"/>
      <c r="AG2064" s="12"/>
      <c r="AH2064" s="12"/>
      <c r="AI2064" s="6"/>
      <c r="AJ2064" s="12"/>
      <c r="AK2064" s="1"/>
      <c r="AL2064" s="12"/>
      <c r="AM2064" s="12"/>
      <c r="AN2064" s="1"/>
      <c r="AO2064" s="6"/>
    </row>
    <row r="2065" spans="1:41" ht="15" x14ac:dyDescent="0.25">
      <c r="A2065" s="1"/>
      <c r="B2065" s="1"/>
      <c r="C2065" s="1"/>
      <c r="D2065" s="1"/>
      <c r="E2065" s="6"/>
      <c r="F2065" s="1"/>
      <c r="G2065" s="6"/>
      <c r="H2065" s="6"/>
      <c r="I2065" s="6"/>
      <c r="J2065" s="6"/>
      <c r="K2065" s="6"/>
      <c r="L2065" s="6"/>
      <c r="M2065" s="6"/>
      <c r="N2065" s="6"/>
      <c r="O2065" s="7"/>
      <c r="P2065" s="6"/>
      <c r="Q2065" s="7"/>
      <c r="R2065" s="6"/>
      <c r="S2065" s="6"/>
      <c r="T2065" s="6"/>
      <c r="U2065" s="6"/>
      <c r="V2065" s="7"/>
      <c r="W2065" s="7"/>
      <c r="X2065" s="6"/>
      <c r="Y2065" s="6"/>
      <c r="Z2065" s="6"/>
      <c r="AA2065" s="1"/>
      <c r="AB2065" s="12"/>
      <c r="AC2065" s="12"/>
      <c r="AD2065" s="12"/>
      <c r="AE2065" s="12"/>
      <c r="AF2065" s="12"/>
      <c r="AG2065" s="12"/>
      <c r="AH2065" s="12"/>
      <c r="AI2065" s="6"/>
      <c r="AJ2065" s="12"/>
      <c r="AK2065" s="12"/>
      <c r="AL2065" s="12"/>
      <c r="AM2065" s="12"/>
      <c r="AN2065" s="1"/>
      <c r="AO2065" s="6"/>
    </row>
    <row r="2066" spans="1:41" ht="15" x14ac:dyDescent="0.25">
      <c r="A2066" s="1"/>
      <c r="B2066" s="1"/>
      <c r="C2066" s="1"/>
      <c r="D2066" s="1"/>
      <c r="E2066" s="6"/>
      <c r="F2066" s="1"/>
      <c r="G2066" s="6"/>
      <c r="H2066" s="6"/>
      <c r="I2066" s="6"/>
      <c r="J2066" s="6"/>
      <c r="K2066" s="6"/>
      <c r="L2066" s="6"/>
      <c r="M2066" s="6"/>
      <c r="N2066" s="6"/>
      <c r="O2066" s="7"/>
      <c r="P2066" s="6"/>
      <c r="Q2066" s="6"/>
      <c r="R2066" s="7"/>
      <c r="S2066" s="6"/>
      <c r="T2066" s="6"/>
      <c r="U2066" s="7"/>
      <c r="V2066" s="6"/>
      <c r="W2066" s="6"/>
      <c r="X2066" s="6"/>
      <c r="Y2066" s="6"/>
      <c r="Z2066" s="6"/>
      <c r="AA2066" s="7"/>
      <c r="AB2066" s="6"/>
      <c r="AC2066" s="6"/>
      <c r="AD2066" s="6"/>
      <c r="AE2066" s="12"/>
      <c r="AF2066" s="6"/>
      <c r="AG2066" s="12"/>
      <c r="AH2066" s="6"/>
      <c r="AI2066" s="6"/>
      <c r="AJ2066" s="12"/>
      <c r="AK2066" s="24"/>
      <c r="AL2066" s="25"/>
      <c r="AM2066" s="12"/>
      <c r="AN2066" s="1"/>
      <c r="AO2066" s="6"/>
    </row>
    <row r="2067" spans="1:41" ht="15" x14ac:dyDescent="0.25">
      <c r="A2067" s="1"/>
      <c r="B2067" s="1"/>
      <c r="C2067" s="1"/>
      <c r="D2067" s="1"/>
      <c r="E2067" s="6"/>
      <c r="F2067" s="1"/>
      <c r="G2067" s="6"/>
      <c r="H2067" s="6"/>
      <c r="I2067" s="6"/>
      <c r="J2067" s="6"/>
      <c r="K2067" s="6"/>
      <c r="L2067" s="6"/>
      <c r="M2067" s="6"/>
      <c r="N2067" s="6"/>
      <c r="O2067" s="7"/>
      <c r="P2067" s="6"/>
      <c r="Q2067" s="6"/>
      <c r="R2067" s="7"/>
      <c r="S2067" s="6"/>
      <c r="T2067" s="6"/>
      <c r="U2067" s="7"/>
      <c r="V2067" s="6"/>
      <c r="W2067" s="6"/>
      <c r="X2067" s="6"/>
      <c r="Y2067" s="6"/>
      <c r="Z2067" s="6"/>
      <c r="AA2067" s="7"/>
      <c r="AB2067" s="6"/>
      <c r="AC2067" s="6"/>
      <c r="AD2067" s="6"/>
      <c r="AE2067" s="12"/>
      <c r="AF2067" s="6"/>
      <c r="AG2067" s="12"/>
      <c r="AH2067" s="6"/>
      <c r="AI2067" s="6"/>
      <c r="AJ2067" s="12"/>
      <c r="AK2067" s="24"/>
      <c r="AL2067" s="25"/>
      <c r="AM2067" s="12"/>
      <c r="AN2067" s="1"/>
      <c r="AO2067" s="6"/>
    </row>
    <row r="2068" spans="1:41" ht="15" x14ac:dyDescent="0.25">
      <c r="A2068" s="1"/>
      <c r="B2068" s="1"/>
      <c r="C2068" s="1"/>
      <c r="D2068" s="1"/>
      <c r="E2068" s="6"/>
      <c r="F2068" s="1"/>
      <c r="G2068" s="6"/>
      <c r="H2068" s="6"/>
      <c r="I2068" s="6"/>
      <c r="J2068" s="6"/>
      <c r="K2068" s="6"/>
      <c r="L2068" s="6"/>
      <c r="M2068" s="6"/>
      <c r="N2068" s="6"/>
      <c r="O2068" s="7"/>
      <c r="P2068" s="6"/>
      <c r="Q2068" s="6"/>
      <c r="R2068" s="7"/>
      <c r="S2068" s="6"/>
      <c r="T2068" s="6"/>
      <c r="U2068" s="7"/>
      <c r="V2068" s="6"/>
      <c r="W2068" s="6"/>
      <c r="X2068" s="6"/>
      <c r="Y2068" s="6"/>
      <c r="Z2068" s="6"/>
      <c r="AA2068" s="7"/>
      <c r="AB2068" s="6"/>
      <c r="AC2068" s="6"/>
      <c r="AD2068" s="6"/>
      <c r="AE2068" s="12"/>
      <c r="AF2068" s="6"/>
      <c r="AG2068" s="12"/>
      <c r="AH2068" s="6"/>
      <c r="AI2068" s="6"/>
      <c r="AJ2068" s="12"/>
      <c r="AK2068" s="1"/>
      <c r="AL2068" s="12"/>
      <c r="AM2068" s="12"/>
      <c r="AN2068" s="1"/>
      <c r="AO2068" s="6"/>
    </row>
    <row r="2069" spans="1:41" ht="15" x14ac:dyDescent="0.25">
      <c r="A2069" s="1"/>
      <c r="B2069" s="1"/>
      <c r="C2069" s="1"/>
      <c r="D2069" s="1"/>
      <c r="E2069" s="6"/>
      <c r="F2069" s="1"/>
      <c r="G2069" s="6"/>
      <c r="H2069" s="6"/>
      <c r="I2069" s="6"/>
      <c r="J2069" s="6"/>
      <c r="K2069" s="6"/>
      <c r="L2069" s="6"/>
      <c r="M2069" s="6"/>
      <c r="N2069" s="6"/>
      <c r="O2069" s="7"/>
      <c r="P2069" s="6"/>
      <c r="Q2069" s="6"/>
      <c r="R2069" s="7"/>
      <c r="S2069" s="6"/>
      <c r="T2069" s="6"/>
      <c r="U2069" s="7"/>
      <c r="V2069" s="6"/>
      <c r="W2069" s="6"/>
      <c r="X2069" s="12"/>
      <c r="Y2069" s="6"/>
      <c r="Z2069" s="6"/>
      <c r="AA2069" s="7"/>
      <c r="AB2069" s="6"/>
      <c r="AC2069" s="6"/>
      <c r="AD2069" s="6"/>
      <c r="AE2069" s="12"/>
      <c r="AF2069" s="12"/>
      <c r="AG2069" s="12"/>
      <c r="AH2069" s="12"/>
      <c r="AI2069" s="6"/>
      <c r="AJ2069" s="12"/>
      <c r="AK2069" s="1"/>
      <c r="AL2069" s="12"/>
      <c r="AM2069" s="12"/>
      <c r="AN2069" s="1"/>
      <c r="AO2069" s="6"/>
    </row>
    <row r="2070" spans="1:41" ht="15" x14ac:dyDescent="0.25">
      <c r="A2070" s="1"/>
      <c r="B2070" s="1"/>
      <c r="C2070" s="1"/>
      <c r="D2070" s="1"/>
      <c r="E2070" s="6"/>
      <c r="F2070" s="1"/>
      <c r="G2070" s="6"/>
      <c r="H2070" s="6"/>
      <c r="I2070" s="6"/>
      <c r="J2070" s="6"/>
      <c r="K2070" s="6"/>
      <c r="L2070" s="6"/>
      <c r="M2070" s="6"/>
      <c r="N2070" s="6"/>
      <c r="O2070" s="7"/>
      <c r="P2070" s="6"/>
      <c r="Q2070" s="6"/>
      <c r="R2070" s="7"/>
      <c r="S2070" s="6"/>
      <c r="T2070" s="6"/>
      <c r="U2070" s="7"/>
      <c r="V2070" s="6"/>
      <c r="W2070" s="6"/>
      <c r="X2070" s="6"/>
      <c r="Y2070" s="6"/>
      <c r="Z2070" s="6"/>
      <c r="AA2070" s="7"/>
      <c r="AB2070" s="6"/>
      <c r="AC2070" s="6"/>
      <c r="AD2070" s="6"/>
      <c r="AE2070" s="12"/>
      <c r="AF2070" s="6"/>
      <c r="AG2070" s="12"/>
      <c r="AH2070" s="6"/>
      <c r="AI2070" s="6"/>
      <c r="AJ2070" s="12"/>
      <c r="AK2070" s="24"/>
      <c r="AL2070" s="25"/>
      <c r="AM2070" s="12"/>
      <c r="AN2070" s="1"/>
      <c r="AO2070" s="6"/>
    </row>
    <row r="2071" spans="1:41" ht="15" x14ac:dyDescent="0.25">
      <c r="A2071" s="1"/>
      <c r="B2071" s="1"/>
      <c r="C2071" s="1"/>
      <c r="D2071" s="1"/>
      <c r="E2071" s="6"/>
      <c r="F2071" s="1"/>
      <c r="G2071" s="6"/>
      <c r="H2071" s="6"/>
      <c r="I2071" s="6"/>
      <c r="J2071" s="6"/>
      <c r="K2071" s="6"/>
      <c r="L2071" s="6"/>
      <c r="M2071" s="6"/>
      <c r="N2071" s="6"/>
      <c r="O2071" s="7"/>
      <c r="P2071" s="6"/>
      <c r="Q2071" s="6"/>
      <c r="R2071" s="7"/>
      <c r="S2071" s="6"/>
      <c r="T2071" s="6"/>
      <c r="U2071" s="7"/>
      <c r="V2071" s="6"/>
      <c r="W2071" s="6"/>
      <c r="X2071" s="6"/>
      <c r="Y2071" s="6"/>
      <c r="Z2071" s="6"/>
      <c r="AA2071" s="7"/>
      <c r="AB2071" s="6"/>
      <c r="AC2071" s="6"/>
      <c r="AD2071" s="6"/>
      <c r="AE2071" s="12"/>
      <c r="AF2071" s="6"/>
      <c r="AG2071" s="12"/>
      <c r="AH2071" s="6"/>
      <c r="AI2071" s="6"/>
      <c r="AJ2071" s="12"/>
      <c r="AK2071" s="24"/>
      <c r="AL2071" s="25"/>
      <c r="AM2071" s="12"/>
      <c r="AN2071" s="1"/>
      <c r="AO2071" s="6"/>
    </row>
    <row r="2072" spans="1:41" ht="15" x14ac:dyDescent="0.25">
      <c r="A2072" s="1"/>
      <c r="B2072" s="1"/>
      <c r="C2072" s="1"/>
      <c r="D2072" s="1"/>
      <c r="E2072" s="6"/>
      <c r="F2072" s="1"/>
      <c r="G2072" s="6"/>
      <c r="H2072" s="6"/>
      <c r="I2072" s="6"/>
      <c r="J2072" s="6"/>
      <c r="K2072" s="6"/>
      <c r="L2072" s="6"/>
      <c r="M2072" s="6"/>
      <c r="N2072" s="6"/>
      <c r="O2072" s="7"/>
      <c r="P2072" s="12"/>
      <c r="Q2072" s="6"/>
      <c r="R2072" s="7"/>
      <c r="S2072" s="6"/>
      <c r="T2072" s="6"/>
      <c r="U2072" s="7"/>
      <c r="V2072" s="6"/>
      <c r="W2072" s="6"/>
      <c r="X2072" s="6"/>
      <c r="Y2072" s="6"/>
      <c r="Z2072" s="6"/>
      <c r="AA2072" s="7"/>
      <c r="AB2072" s="6"/>
      <c r="AC2072" s="6"/>
      <c r="AD2072" s="6"/>
      <c r="AE2072" s="12"/>
      <c r="AF2072" s="12"/>
      <c r="AG2072" s="12"/>
      <c r="AH2072" s="12"/>
      <c r="AI2072" s="6"/>
      <c r="AJ2072" s="12"/>
      <c r="AK2072" s="1"/>
      <c r="AL2072" s="12"/>
      <c r="AM2072" s="12"/>
      <c r="AN2072" s="1"/>
      <c r="AO2072" s="6"/>
    </row>
    <row r="2073" spans="1:41" ht="15" x14ac:dyDescent="0.25">
      <c r="A2073" s="1"/>
      <c r="B2073" s="1"/>
      <c r="C2073" s="1"/>
      <c r="D2073" s="1"/>
      <c r="E2073" s="6"/>
      <c r="F2073" s="1"/>
      <c r="G2073" s="6"/>
      <c r="H2073" s="6"/>
      <c r="I2073" s="6"/>
      <c r="J2073" s="6"/>
      <c r="K2073" s="6"/>
      <c r="L2073" s="6"/>
      <c r="M2073" s="6"/>
      <c r="N2073" s="6"/>
      <c r="O2073" s="7"/>
      <c r="P2073" s="6"/>
      <c r="Q2073" s="6"/>
      <c r="R2073" s="7"/>
      <c r="S2073" s="6"/>
      <c r="T2073" s="6"/>
      <c r="U2073" s="7"/>
      <c r="V2073" s="6"/>
      <c r="W2073" s="6"/>
      <c r="X2073" s="6"/>
      <c r="Y2073" s="6"/>
      <c r="Z2073" s="6"/>
      <c r="AA2073" s="7"/>
      <c r="AB2073" s="6"/>
      <c r="AC2073" s="6"/>
      <c r="AD2073" s="6"/>
      <c r="AE2073" s="12"/>
      <c r="AF2073" s="12"/>
      <c r="AG2073" s="12"/>
      <c r="AH2073" s="12"/>
      <c r="AI2073" s="6"/>
      <c r="AJ2073" s="12"/>
      <c r="AK2073" s="1"/>
      <c r="AL2073" s="12"/>
      <c r="AM2073" s="12"/>
      <c r="AN2073" s="1"/>
      <c r="AO2073" s="6"/>
    </row>
    <row r="2074" spans="1:41" ht="15" x14ac:dyDescent="0.25">
      <c r="A2074" s="1"/>
      <c r="B2074" s="1"/>
      <c r="C2074" s="1"/>
      <c r="D2074" s="1"/>
      <c r="E2074" s="6"/>
      <c r="F2074" s="1"/>
      <c r="G2074" s="6"/>
      <c r="H2074" s="6"/>
      <c r="I2074" s="6"/>
      <c r="J2074" s="6"/>
      <c r="K2074" s="6"/>
      <c r="L2074" s="6"/>
      <c r="M2074" s="6"/>
      <c r="N2074" s="6"/>
      <c r="O2074" s="7"/>
      <c r="P2074" s="6"/>
      <c r="Q2074" s="6"/>
      <c r="R2074" s="7"/>
      <c r="S2074" s="6"/>
      <c r="T2074" s="6"/>
      <c r="U2074" s="7"/>
      <c r="V2074" s="6"/>
      <c r="W2074" s="6"/>
      <c r="X2074" s="12"/>
      <c r="Y2074" s="6"/>
      <c r="Z2074" s="6"/>
      <c r="AA2074" s="7"/>
      <c r="AB2074" s="6"/>
      <c r="AC2074" s="6"/>
      <c r="AD2074" s="6"/>
      <c r="AE2074" s="12"/>
      <c r="AF2074" s="12"/>
      <c r="AG2074" s="12"/>
      <c r="AH2074" s="12"/>
      <c r="AI2074" s="6"/>
      <c r="AJ2074" s="12"/>
      <c r="AK2074" s="1"/>
      <c r="AL2074" s="12"/>
      <c r="AM2074" s="12"/>
      <c r="AN2074" s="1"/>
      <c r="AO2074" s="6"/>
    </row>
    <row r="2075" spans="1:41" ht="15" x14ac:dyDescent="0.25">
      <c r="A2075" s="1"/>
      <c r="B2075" s="1"/>
      <c r="C2075" s="1"/>
      <c r="D2075" s="1"/>
      <c r="E2075" s="6"/>
      <c r="F2075" s="1"/>
      <c r="G2075" s="6"/>
      <c r="H2075" s="6"/>
      <c r="I2075" s="6"/>
      <c r="J2075" s="6"/>
      <c r="K2075" s="6"/>
      <c r="L2075" s="6"/>
      <c r="M2075" s="6"/>
      <c r="N2075" s="6"/>
      <c r="O2075" s="7"/>
      <c r="P2075" s="6"/>
      <c r="Q2075" s="6"/>
      <c r="R2075" s="7"/>
      <c r="S2075" s="6"/>
      <c r="T2075" s="6"/>
      <c r="U2075" s="7"/>
      <c r="V2075" s="6"/>
      <c r="W2075" s="6"/>
      <c r="X2075" s="6"/>
      <c r="Y2075" s="6"/>
      <c r="Z2075" s="6"/>
      <c r="AA2075" s="7"/>
      <c r="AB2075" s="6"/>
      <c r="AC2075" s="6"/>
      <c r="AD2075" s="6"/>
      <c r="AE2075" s="12"/>
      <c r="AF2075" s="6"/>
      <c r="AG2075" s="12"/>
      <c r="AH2075" s="6"/>
      <c r="AI2075" s="6"/>
      <c r="AJ2075" s="12"/>
      <c r="AK2075" s="1"/>
      <c r="AL2075" s="12"/>
      <c r="AM2075" s="12"/>
      <c r="AN2075" s="1"/>
      <c r="AO2075" s="6"/>
    </row>
    <row r="2076" spans="1:41" ht="15" x14ac:dyDescent="0.25">
      <c r="A2076" s="1"/>
      <c r="B2076" s="1"/>
      <c r="C2076" s="1"/>
      <c r="D2076" s="1"/>
      <c r="E2076" s="6"/>
      <c r="F2076" s="1"/>
      <c r="G2076" s="6"/>
      <c r="H2076" s="6"/>
      <c r="I2076" s="6"/>
      <c r="J2076" s="6"/>
      <c r="K2076" s="12"/>
      <c r="L2076" s="12"/>
      <c r="M2076" s="6"/>
      <c r="N2076" s="6"/>
      <c r="O2076" s="7"/>
      <c r="P2076" s="6"/>
      <c r="Q2076" s="6"/>
      <c r="R2076" s="12"/>
      <c r="S2076" s="12"/>
      <c r="T2076" s="12"/>
      <c r="U2076" s="7"/>
      <c r="V2076" s="6"/>
      <c r="W2076" s="6"/>
      <c r="X2076" s="12"/>
      <c r="Y2076" s="6"/>
      <c r="Z2076" s="6"/>
      <c r="AA2076" s="7"/>
      <c r="AB2076" s="6"/>
      <c r="AC2076" s="6"/>
      <c r="AD2076" s="6"/>
      <c r="AE2076" s="12"/>
      <c r="AF2076" s="12"/>
      <c r="AG2076" s="12"/>
      <c r="AH2076" s="12"/>
      <c r="AI2076" s="6"/>
      <c r="AJ2076" s="12"/>
      <c r="AK2076" s="1"/>
      <c r="AL2076" s="12"/>
      <c r="AM2076" s="12"/>
      <c r="AN2076" s="1"/>
      <c r="AO2076" s="6"/>
    </row>
    <row r="2077" spans="1:41" ht="15" x14ac:dyDescent="0.25">
      <c r="A2077" s="1"/>
      <c r="B2077" s="1"/>
      <c r="C2077" s="1"/>
      <c r="D2077" s="1"/>
      <c r="E2077" s="6"/>
      <c r="F2077" s="1"/>
      <c r="G2077" s="6"/>
      <c r="H2077" s="6"/>
      <c r="I2077" s="6"/>
      <c r="J2077" s="6"/>
      <c r="K2077" s="6"/>
      <c r="L2077" s="6"/>
      <c r="M2077" s="6"/>
      <c r="N2077" s="6"/>
      <c r="O2077" s="7"/>
      <c r="P2077" s="6"/>
      <c r="Q2077" s="7"/>
      <c r="R2077" s="6"/>
      <c r="S2077" s="6"/>
      <c r="T2077" s="6"/>
      <c r="U2077" s="6"/>
      <c r="V2077" s="7"/>
      <c r="W2077" s="7"/>
      <c r="X2077" s="6"/>
      <c r="Y2077" s="6"/>
      <c r="Z2077" s="6"/>
      <c r="AA2077" s="1"/>
      <c r="AB2077" s="12"/>
      <c r="AC2077" s="12"/>
      <c r="AD2077" s="12"/>
      <c r="AE2077" s="12"/>
      <c r="AF2077" s="12"/>
      <c r="AG2077" s="12"/>
      <c r="AH2077" s="12"/>
      <c r="AI2077" s="6"/>
      <c r="AJ2077" s="12"/>
      <c r="AK2077" s="12"/>
      <c r="AL2077" s="12"/>
      <c r="AM2077" s="12"/>
      <c r="AN2077" s="1"/>
      <c r="AO2077" s="6"/>
    </row>
    <row r="2078" spans="1:41" ht="15" x14ac:dyDescent="0.25">
      <c r="A2078" s="1"/>
      <c r="B2078" s="1"/>
      <c r="C2078" s="1"/>
      <c r="D2078" s="1"/>
      <c r="E2078" s="6"/>
      <c r="F2078" s="1"/>
      <c r="G2078" s="6"/>
      <c r="H2078" s="6"/>
      <c r="I2078" s="6"/>
      <c r="J2078" s="6"/>
      <c r="K2078" s="6"/>
      <c r="L2078" s="6"/>
      <c r="M2078" s="6"/>
      <c r="N2078" s="6"/>
      <c r="O2078" s="7"/>
      <c r="P2078" s="6"/>
      <c r="Q2078" s="7"/>
      <c r="R2078" s="6"/>
      <c r="S2078" s="6"/>
      <c r="T2078" s="6"/>
      <c r="U2078" s="6"/>
      <c r="V2078" s="7"/>
      <c r="W2078" s="7"/>
      <c r="X2078" s="6"/>
      <c r="Y2078" s="6"/>
      <c r="Z2078" s="6"/>
      <c r="AA2078" s="1"/>
      <c r="AB2078" s="12"/>
      <c r="AC2078" s="12"/>
      <c r="AD2078" s="12"/>
      <c r="AE2078" s="12"/>
      <c r="AF2078" s="12"/>
      <c r="AG2078" s="12"/>
      <c r="AH2078" s="12"/>
      <c r="AI2078" s="6"/>
      <c r="AJ2078" s="12"/>
      <c r="AK2078" s="12"/>
      <c r="AL2078" s="12"/>
      <c r="AM2078" s="12"/>
      <c r="AN2078" s="1"/>
      <c r="AO2078" s="6"/>
    </row>
    <row r="2079" spans="1:41" ht="15" x14ac:dyDescent="0.25">
      <c r="A2079" s="1"/>
      <c r="B2079" s="1"/>
      <c r="C2079" s="1"/>
      <c r="D2079" s="1"/>
      <c r="E2079" s="6"/>
      <c r="F2079" s="1"/>
      <c r="G2079" s="6"/>
      <c r="H2079" s="6"/>
      <c r="I2079" s="6"/>
      <c r="J2079" s="6"/>
      <c r="K2079" s="6"/>
      <c r="L2079" s="6"/>
      <c r="M2079" s="6"/>
      <c r="N2079" s="6"/>
      <c r="O2079" s="7"/>
      <c r="P2079" s="6"/>
      <c r="Q2079" s="6"/>
      <c r="R2079" s="7"/>
      <c r="S2079" s="6"/>
      <c r="T2079" s="6"/>
      <c r="U2079" s="7"/>
      <c r="V2079" s="6"/>
      <c r="W2079" s="6"/>
      <c r="X2079" s="6"/>
      <c r="Y2079" s="6"/>
      <c r="Z2079" s="6"/>
      <c r="AA2079" s="7"/>
      <c r="AB2079" s="6"/>
      <c r="AC2079" s="6"/>
      <c r="AD2079" s="6"/>
      <c r="AE2079" s="12"/>
      <c r="AF2079" s="12"/>
      <c r="AG2079" s="12"/>
      <c r="AH2079" s="12"/>
      <c r="AI2079" s="6"/>
      <c r="AJ2079" s="12"/>
      <c r="AK2079" s="1"/>
      <c r="AL2079" s="12"/>
      <c r="AM2079" s="12"/>
      <c r="AN2079" s="1"/>
      <c r="AO2079" s="6"/>
    </row>
    <row r="2080" spans="1:41" ht="15" x14ac:dyDescent="0.25">
      <c r="A2080" s="1"/>
      <c r="B2080" s="1"/>
      <c r="C2080" s="1"/>
      <c r="D2080" s="1"/>
      <c r="E2080" s="6"/>
      <c r="F2080" s="1"/>
      <c r="G2080" s="6"/>
      <c r="H2080" s="6"/>
      <c r="I2080" s="6"/>
      <c r="J2080" s="6"/>
      <c r="K2080" s="6"/>
      <c r="L2080" s="6"/>
      <c r="M2080" s="6"/>
      <c r="N2080" s="6"/>
      <c r="O2080" s="7"/>
      <c r="P2080" s="6"/>
      <c r="Q2080" s="6"/>
      <c r="R2080" s="7"/>
      <c r="S2080" s="6"/>
      <c r="T2080" s="6"/>
      <c r="U2080" s="7"/>
      <c r="V2080" s="6"/>
      <c r="W2080" s="6"/>
      <c r="X2080" s="6"/>
      <c r="Y2080" s="6"/>
      <c r="Z2080" s="6"/>
      <c r="AA2080" s="7"/>
      <c r="AB2080" s="6"/>
      <c r="AC2080" s="6"/>
      <c r="AD2080" s="6"/>
      <c r="AE2080" s="12"/>
      <c r="AF2080" s="12"/>
      <c r="AG2080" s="12"/>
      <c r="AH2080" s="12"/>
      <c r="AI2080" s="6"/>
      <c r="AJ2080" s="12"/>
      <c r="AK2080" s="24"/>
      <c r="AL2080" s="25"/>
      <c r="AM2080" s="12"/>
      <c r="AN2080" s="1"/>
      <c r="AO2080" s="12"/>
    </row>
    <row r="2081" spans="1:41" ht="15" x14ac:dyDescent="0.25">
      <c r="A2081" s="1"/>
      <c r="B2081" s="1"/>
      <c r="C2081" s="1"/>
      <c r="D2081" s="1"/>
      <c r="E2081" s="6"/>
      <c r="F2081" s="1"/>
      <c r="G2081" s="6"/>
      <c r="H2081" s="6"/>
      <c r="I2081" s="6"/>
      <c r="J2081" s="6"/>
      <c r="K2081" s="6"/>
      <c r="L2081" s="6"/>
      <c r="M2081" s="6"/>
      <c r="N2081" s="6"/>
      <c r="O2081" s="7"/>
      <c r="P2081" s="6"/>
      <c r="Q2081" s="6"/>
      <c r="R2081" s="7"/>
      <c r="S2081" s="6"/>
      <c r="T2081" s="6"/>
      <c r="U2081" s="7"/>
      <c r="V2081" s="6"/>
      <c r="W2081" s="6"/>
      <c r="X2081" s="6"/>
      <c r="Y2081" s="6"/>
      <c r="Z2081" s="6"/>
      <c r="AA2081" s="7"/>
      <c r="AB2081" s="6"/>
      <c r="AC2081" s="6"/>
      <c r="AD2081" s="6"/>
      <c r="AE2081" s="12"/>
      <c r="AF2081" s="12"/>
      <c r="AG2081" s="12"/>
      <c r="AH2081" s="12"/>
      <c r="AI2081" s="6"/>
      <c r="AJ2081" s="12"/>
      <c r="AK2081" s="1"/>
      <c r="AL2081" s="12"/>
      <c r="AM2081" s="12"/>
      <c r="AN2081" s="1"/>
      <c r="AO2081" s="6"/>
    </row>
    <row r="2082" spans="1:41" ht="15" x14ac:dyDescent="0.25">
      <c r="A2082" s="1"/>
      <c r="B2082" s="1"/>
      <c r="C2082" s="1"/>
      <c r="D2082" s="1"/>
      <c r="E2082" s="6"/>
      <c r="F2082" s="1"/>
      <c r="G2082" s="6"/>
      <c r="H2082" s="6"/>
      <c r="I2082" s="6"/>
      <c r="J2082" s="6"/>
      <c r="K2082" s="6"/>
      <c r="L2082" s="6"/>
      <c r="M2082" s="6"/>
      <c r="N2082" s="6"/>
      <c r="O2082" s="7"/>
      <c r="P2082" s="6"/>
      <c r="Q2082" s="6"/>
      <c r="R2082" s="15"/>
      <c r="S2082" s="6"/>
      <c r="T2082" s="6"/>
      <c r="U2082" s="15"/>
      <c r="V2082" s="6"/>
      <c r="W2082" s="6"/>
      <c r="X2082" s="6"/>
      <c r="Y2082" s="6"/>
      <c r="Z2082" s="6"/>
      <c r="AA2082" s="7"/>
      <c r="AB2082" s="6"/>
      <c r="AC2082" s="6"/>
      <c r="AD2082" s="6"/>
      <c r="AE2082" s="12"/>
      <c r="AF2082" s="12"/>
      <c r="AG2082" s="12"/>
      <c r="AH2082" s="12"/>
      <c r="AI2082" s="6"/>
      <c r="AJ2082" s="12"/>
      <c r="AK2082" s="1"/>
      <c r="AL2082" s="12"/>
      <c r="AM2082" s="12"/>
      <c r="AN2082" s="1"/>
      <c r="AO2082" s="6"/>
    </row>
    <row r="2083" spans="1:41" ht="15" x14ac:dyDescent="0.25">
      <c r="A2083" s="1"/>
      <c r="B2083" s="1"/>
      <c r="C2083" s="1"/>
      <c r="D2083" s="1"/>
      <c r="E2083" s="6"/>
      <c r="F2083" s="1"/>
      <c r="G2083" s="6"/>
      <c r="H2083" s="6"/>
      <c r="I2083" s="6"/>
      <c r="J2083" s="6"/>
      <c r="K2083" s="6"/>
      <c r="L2083" s="6"/>
      <c r="M2083" s="6"/>
      <c r="N2083" s="6"/>
      <c r="O2083" s="7"/>
      <c r="P2083" s="6"/>
      <c r="Q2083" s="6"/>
      <c r="R2083" s="7"/>
      <c r="S2083" s="6"/>
      <c r="T2083" s="6"/>
      <c r="U2083" s="7"/>
      <c r="V2083" s="6"/>
      <c r="W2083" s="6"/>
      <c r="X2083" s="12"/>
      <c r="Y2083" s="6"/>
      <c r="Z2083" s="6"/>
      <c r="AA2083" s="7"/>
      <c r="AB2083" s="6"/>
      <c r="AC2083" s="6"/>
      <c r="AD2083" s="6"/>
      <c r="AE2083" s="12"/>
      <c r="AF2083" s="12"/>
      <c r="AG2083" s="12"/>
      <c r="AH2083" s="12"/>
      <c r="AI2083" s="6"/>
      <c r="AJ2083" s="12"/>
      <c r="AK2083" s="1"/>
      <c r="AL2083" s="12"/>
      <c r="AM2083" s="12"/>
      <c r="AN2083" s="1"/>
      <c r="AO2083" s="6"/>
    </row>
    <row r="2084" spans="1:41" ht="15" x14ac:dyDescent="0.25">
      <c r="A2084" s="1"/>
      <c r="B2084" s="1"/>
      <c r="C2084" s="1"/>
      <c r="D2084" s="1"/>
      <c r="E2084" s="6"/>
      <c r="F2084" s="1"/>
      <c r="G2084" s="6"/>
      <c r="H2084" s="6"/>
      <c r="I2084" s="6"/>
      <c r="J2084" s="6"/>
      <c r="K2084" s="6"/>
      <c r="L2084" s="6"/>
      <c r="M2084" s="6"/>
      <c r="N2084" s="6"/>
      <c r="O2084" s="7"/>
      <c r="P2084" s="6"/>
      <c r="Q2084" s="6"/>
      <c r="R2084" s="7"/>
      <c r="S2084" s="6"/>
      <c r="T2084" s="6"/>
      <c r="U2084" s="7"/>
      <c r="V2084" s="6"/>
      <c r="W2084" s="6"/>
      <c r="X2084" s="12"/>
      <c r="Y2084" s="6"/>
      <c r="Z2084" s="6"/>
      <c r="AA2084" s="7"/>
      <c r="AB2084" s="6"/>
      <c r="AC2084" s="6"/>
      <c r="AD2084" s="6"/>
      <c r="AE2084" s="12"/>
      <c r="AF2084" s="6"/>
      <c r="AG2084" s="12"/>
      <c r="AH2084" s="6"/>
      <c r="AI2084" s="6"/>
      <c r="AJ2084" s="12"/>
      <c r="AK2084" s="1"/>
      <c r="AL2084" s="12"/>
      <c r="AM2084" s="12"/>
      <c r="AN2084" s="1"/>
      <c r="AO2084" s="6"/>
    </row>
    <row r="2085" spans="1:41" ht="15" x14ac:dyDescent="0.25">
      <c r="A2085" s="1"/>
      <c r="B2085" s="1"/>
      <c r="C2085" s="1"/>
      <c r="D2085" s="1"/>
      <c r="E2085" s="6"/>
      <c r="F2085" s="1"/>
      <c r="G2085" s="6"/>
      <c r="H2085" s="6"/>
      <c r="I2085" s="6"/>
      <c r="J2085" s="6"/>
      <c r="K2085" s="6"/>
      <c r="L2085" s="6"/>
      <c r="M2085" s="6"/>
      <c r="N2085" s="6"/>
      <c r="O2085" s="7"/>
      <c r="P2085" s="6"/>
      <c r="Q2085" s="6"/>
      <c r="R2085" s="7"/>
      <c r="S2085" s="6"/>
      <c r="T2085" s="6"/>
      <c r="U2085" s="7"/>
      <c r="V2085" s="6"/>
      <c r="W2085" s="6"/>
      <c r="X2085" s="6"/>
      <c r="Y2085" s="6"/>
      <c r="Z2085" s="6"/>
      <c r="AA2085" s="7"/>
      <c r="AB2085" s="6"/>
      <c r="AC2085" s="6"/>
      <c r="AD2085" s="6"/>
      <c r="AE2085" s="12"/>
      <c r="AF2085" s="6"/>
      <c r="AG2085" s="12"/>
      <c r="AH2085" s="6"/>
      <c r="AI2085" s="6"/>
      <c r="AJ2085" s="12"/>
      <c r="AK2085" s="1"/>
      <c r="AL2085" s="12"/>
      <c r="AM2085" s="12"/>
      <c r="AN2085" s="1"/>
      <c r="AO2085" s="6"/>
    </row>
    <row r="2086" spans="1:41" ht="15" x14ac:dyDescent="0.25">
      <c r="A2086" s="1"/>
      <c r="B2086" s="1"/>
      <c r="C2086" s="1"/>
      <c r="D2086" s="1"/>
      <c r="E2086" s="6"/>
      <c r="F2086" s="1"/>
      <c r="G2086" s="6"/>
      <c r="H2086" s="6"/>
      <c r="I2086" s="6"/>
      <c r="J2086" s="6"/>
      <c r="K2086" s="6"/>
      <c r="L2086" s="6"/>
      <c r="M2086" s="6"/>
      <c r="N2086" s="6"/>
      <c r="O2086" s="7"/>
      <c r="P2086" s="6"/>
      <c r="Q2086" s="6"/>
      <c r="R2086" s="7"/>
      <c r="S2086" s="6"/>
      <c r="T2086" s="6"/>
      <c r="U2086" s="7"/>
      <c r="V2086" s="6"/>
      <c r="W2086" s="6"/>
      <c r="X2086" s="12"/>
      <c r="Y2086" s="6"/>
      <c r="Z2086" s="6"/>
      <c r="AA2086" s="7"/>
      <c r="AB2086" s="6"/>
      <c r="AC2086" s="6"/>
      <c r="AD2086" s="6"/>
      <c r="AE2086" s="12"/>
      <c r="AF2086" s="12"/>
      <c r="AG2086" s="12"/>
      <c r="AH2086" s="12"/>
      <c r="AI2086" s="6"/>
      <c r="AJ2086" s="12"/>
      <c r="AK2086" s="24"/>
      <c r="AL2086" s="25"/>
      <c r="AM2086" s="12"/>
      <c r="AN2086" s="1"/>
      <c r="AO2086" s="6"/>
    </row>
    <row r="2087" spans="1:41" ht="15" x14ac:dyDescent="0.25">
      <c r="A2087" s="1"/>
      <c r="B2087" s="1"/>
      <c r="C2087" s="1"/>
      <c r="D2087" s="1"/>
      <c r="E2087" s="6"/>
      <c r="F2087" s="1"/>
      <c r="G2087" s="6"/>
      <c r="H2087" s="6"/>
      <c r="I2087" s="6"/>
      <c r="J2087" s="6"/>
      <c r="K2087" s="6"/>
      <c r="L2087" s="6"/>
      <c r="M2087" s="6"/>
      <c r="N2087" s="6"/>
      <c r="O2087" s="7"/>
      <c r="P2087" s="6"/>
      <c r="Q2087" s="6"/>
      <c r="R2087" s="7"/>
      <c r="S2087" s="6"/>
      <c r="T2087" s="6"/>
      <c r="U2087" s="7"/>
      <c r="V2087" s="6"/>
      <c r="W2087" s="6"/>
      <c r="X2087" s="6"/>
      <c r="Y2087" s="6"/>
      <c r="Z2087" s="6"/>
      <c r="AA2087" s="7"/>
      <c r="AB2087" s="6"/>
      <c r="AC2087" s="6"/>
      <c r="AD2087" s="6"/>
      <c r="AE2087" s="12"/>
      <c r="AF2087" s="6"/>
      <c r="AG2087" s="12"/>
      <c r="AH2087" s="6"/>
      <c r="AI2087" s="6"/>
      <c r="AJ2087" s="12"/>
      <c r="AK2087" s="24"/>
      <c r="AL2087" s="25"/>
      <c r="AM2087" s="12"/>
      <c r="AN2087" s="1"/>
      <c r="AO2087" s="6"/>
    </row>
    <row r="2088" spans="1:41" ht="15" x14ac:dyDescent="0.25">
      <c r="A2088" s="1"/>
      <c r="B2088" s="1"/>
      <c r="C2088" s="1"/>
      <c r="D2088" s="1"/>
      <c r="E2088" s="6"/>
      <c r="F2088" s="1"/>
      <c r="G2088" s="6"/>
      <c r="H2088" s="6"/>
      <c r="I2088" s="6"/>
      <c r="J2088" s="6"/>
      <c r="K2088" s="6"/>
      <c r="L2088" s="6"/>
      <c r="M2088" s="6"/>
      <c r="N2088" s="6"/>
      <c r="O2088" s="7"/>
      <c r="P2088" s="6"/>
      <c r="Q2088" s="6"/>
      <c r="R2088" s="7"/>
      <c r="S2088" s="6"/>
      <c r="T2088" s="6"/>
      <c r="U2088" s="7"/>
      <c r="V2088" s="6"/>
      <c r="W2088" s="6"/>
      <c r="X2088" s="6"/>
      <c r="Y2088" s="6"/>
      <c r="Z2088" s="6"/>
      <c r="AA2088" s="7"/>
      <c r="AB2088" s="6"/>
      <c r="AC2088" s="6"/>
      <c r="AD2088" s="6"/>
      <c r="AE2088" s="12"/>
      <c r="AF2088" s="6"/>
      <c r="AG2088" s="12"/>
      <c r="AH2088" s="6"/>
      <c r="AI2088" s="6"/>
      <c r="AJ2088" s="12"/>
      <c r="AK2088" s="24"/>
      <c r="AL2088" s="25"/>
      <c r="AM2088" s="12"/>
      <c r="AN2088" s="1"/>
      <c r="AO2088" s="6"/>
    </row>
    <row r="2089" spans="1:41" ht="15" x14ac:dyDescent="0.25">
      <c r="A2089" s="1"/>
      <c r="B2089" s="1"/>
      <c r="C2089" s="1"/>
      <c r="D2089" s="1"/>
      <c r="E2089" s="6"/>
      <c r="F2089" s="1"/>
      <c r="G2089" s="6"/>
      <c r="H2089" s="6"/>
      <c r="I2089" s="6"/>
      <c r="J2089" s="6"/>
      <c r="K2089" s="6"/>
      <c r="L2089" s="6"/>
      <c r="M2089" s="6"/>
      <c r="N2089" s="6"/>
      <c r="O2089" s="7"/>
      <c r="P2089" s="6"/>
      <c r="Q2089" s="6"/>
      <c r="R2089" s="7"/>
      <c r="S2089" s="6"/>
      <c r="T2089" s="6"/>
      <c r="U2089" s="7"/>
      <c r="V2089" s="6"/>
      <c r="W2089" s="6"/>
      <c r="X2089" s="12"/>
      <c r="Y2089" s="6"/>
      <c r="Z2089" s="6"/>
      <c r="AA2089" s="7"/>
      <c r="AB2089" s="6"/>
      <c r="AC2089" s="6"/>
      <c r="AD2089" s="6"/>
      <c r="AE2089" s="12"/>
      <c r="AF2089" s="6"/>
      <c r="AG2089" s="12"/>
      <c r="AH2089" s="6"/>
      <c r="AI2089" s="6"/>
      <c r="AJ2089" s="12"/>
      <c r="AK2089" s="24"/>
      <c r="AL2089" s="25"/>
      <c r="AM2089" s="12"/>
      <c r="AN2089" s="1"/>
      <c r="AO2089" s="6"/>
    </row>
    <row r="2090" spans="1:41" ht="15" x14ac:dyDescent="0.25">
      <c r="A2090" s="1"/>
      <c r="B2090" s="1"/>
      <c r="C2090" s="1"/>
      <c r="D2090" s="1"/>
      <c r="E2090" s="6"/>
      <c r="F2090" s="1"/>
      <c r="G2090" s="6"/>
      <c r="H2090" s="6"/>
      <c r="I2090" s="6"/>
      <c r="J2090" s="6"/>
      <c r="K2090" s="12"/>
      <c r="L2090" s="12"/>
      <c r="M2090" s="6"/>
      <c r="N2090" s="6"/>
      <c r="O2090" s="7"/>
      <c r="P2090" s="6"/>
      <c r="Q2090" s="6"/>
      <c r="R2090" s="7"/>
      <c r="S2090" s="6"/>
      <c r="T2090" s="6"/>
      <c r="U2090" s="7"/>
      <c r="V2090" s="6"/>
      <c r="W2090" s="6"/>
      <c r="X2090" s="6"/>
      <c r="Y2090" s="6"/>
      <c r="Z2090" s="6"/>
      <c r="AA2090" s="7"/>
      <c r="AB2090" s="6"/>
      <c r="AC2090" s="6"/>
      <c r="AD2090" s="6"/>
      <c r="AE2090" s="12"/>
      <c r="AF2090" s="12"/>
      <c r="AG2090" s="12"/>
      <c r="AH2090" s="12"/>
      <c r="AI2090" s="6"/>
      <c r="AJ2090" s="12"/>
      <c r="AK2090" s="1"/>
      <c r="AL2090" s="12"/>
      <c r="AM2090" s="12"/>
      <c r="AN2090" s="1"/>
      <c r="AO2090" s="6"/>
    </row>
    <row r="2091" spans="1:41" ht="15" x14ac:dyDescent="0.25">
      <c r="A2091" s="1"/>
      <c r="B2091" s="1"/>
      <c r="C2091" s="1"/>
      <c r="D2091" s="1"/>
      <c r="E2091" s="6"/>
      <c r="F2091" s="1"/>
      <c r="G2091" s="6"/>
      <c r="H2091" s="6"/>
      <c r="I2091" s="6"/>
      <c r="J2091" s="6"/>
      <c r="K2091" s="6"/>
      <c r="L2091" s="6"/>
      <c r="M2091" s="6"/>
      <c r="N2091" s="6"/>
      <c r="O2091" s="7"/>
      <c r="P2091" s="12"/>
      <c r="Q2091" s="6"/>
      <c r="R2091" s="7"/>
      <c r="S2091" s="6"/>
      <c r="T2091" s="6"/>
      <c r="U2091" s="7"/>
      <c r="V2091" s="6"/>
      <c r="W2091" s="6"/>
      <c r="X2091" s="6"/>
      <c r="Y2091" s="6"/>
      <c r="Z2091" s="6"/>
      <c r="AA2091" s="7"/>
      <c r="AB2091" s="6"/>
      <c r="AC2091" s="6"/>
      <c r="AD2091" s="6"/>
      <c r="AE2091" s="12"/>
      <c r="AF2091" s="12"/>
      <c r="AG2091" s="12"/>
      <c r="AH2091" s="12"/>
      <c r="AI2091" s="6"/>
      <c r="AJ2091" s="12"/>
      <c r="AK2091" s="1"/>
      <c r="AL2091" s="12"/>
      <c r="AM2091" s="12"/>
      <c r="AN2091" s="1"/>
      <c r="AO2091" s="6"/>
    </row>
    <row r="2092" spans="1:41" ht="15" x14ac:dyDescent="0.25">
      <c r="A2092" s="1"/>
      <c r="B2092" s="1"/>
      <c r="C2092" s="1"/>
      <c r="D2092" s="1"/>
      <c r="E2092" s="6"/>
      <c r="F2092" s="1"/>
      <c r="G2092" s="6"/>
      <c r="H2092" s="6"/>
      <c r="I2092" s="6"/>
      <c r="J2092" s="6"/>
      <c r="K2092" s="6"/>
      <c r="L2092" s="6"/>
      <c r="M2092" s="6"/>
      <c r="N2092" s="6"/>
      <c r="O2092" s="7"/>
      <c r="P2092" s="6"/>
      <c r="Q2092" s="6"/>
      <c r="R2092" s="7"/>
      <c r="S2092" s="6"/>
      <c r="T2092" s="6"/>
      <c r="U2092" s="7"/>
      <c r="V2092" s="6"/>
      <c r="W2092" s="6"/>
      <c r="X2092" s="12"/>
      <c r="Y2092" s="6"/>
      <c r="Z2092" s="6"/>
      <c r="AA2092" s="7"/>
      <c r="AB2092" s="6"/>
      <c r="AC2092" s="6"/>
      <c r="AD2092" s="6"/>
      <c r="AE2092" s="12"/>
      <c r="AF2092" s="12"/>
      <c r="AG2092" s="12"/>
      <c r="AH2092" s="12"/>
      <c r="AI2092" s="6"/>
      <c r="AJ2092" s="12"/>
      <c r="AK2092" s="24"/>
      <c r="AL2092" s="25"/>
      <c r="AM2092" s="12"/>
      <c r="AN2092" s="1"/>
      <c r="AO2092" s="6"/>
    </row>
    <row r="2093" spans="1:41" ht="15" x14ac:dyDescent="0.25">
      <c r="A2093" s="1"/>
      <c r="B2093" s="1"/>
      <c r="C2093" s="1"/>
      <c r="D2093" s="1"/>
      <c r="E2093" s="6"/>
      <c r="F2093" s="1"/>
      <c r="G2093" s="6"/>
      <c r="H2093" s="6"/>
      <c r="I2093" s="6"/>
      <c r="J2093" s="6"/>
      <c r="K2093" s="6"/>
      <c r="L2093" s="6"/>
      <c r="M2093" s="6"/>
      <c r="N2093" s="6"/>
      <c r="O2093" s="7"/>
      <c r="P2093" s="6"/>
      <c r="Q2093" s="6"/>
      <c r="R2093" s="7"/>
      <c r="S2093" s="6"/>
      <c r="T2093" s="6"/>
      <c r="U2093" s="7"/>
      <c r="V2093" s="6"/>
      <c r="W2093" s="6"/>
      <c r="X2093" s="12"/>
      <c r="Y2093" s="6"/>
      <c r="Z2093" s="6"/>
      <c r="AA2093" s="7"/>
      <c r="AB2093" s="6"/>
      <c r="AC2093" s="6"/>
      <c r="AD2093" s="6"/>
      <c r="AE2093" s="12"/>
      <c r="AF2093" s="12"/>
      <c r="AG2093" s="12"/>
      <c r="AH2093" s="12"/>
      <c r="AI2093" s="6"/>
      <c r="AJ2093" s="12"/>
      <c r="AK2093" s="1"/>
      <c r="AL2093" s="12"/>
      <c r="AM2093" s="12"/>
      <c r="AN2093" s="1"/>
      <c r="AO2093" s="6"/>
    </row>
    <row r="2094" spans="1:41" ht="15" x14ac:dyDescent="0.25">
      <c r="A2094" s="1"/>
      <c r="B2094" s="1"/>
      <c r="C2094" s="1"/>
      <c r="D2094" s="1"/>
      <c r="E2094" s="6"/>
      <c r="F2094" s="1"/>
      <c r="G2094" s="6"/>
      <c r="H2094" s="6"/>
      <c r="I2094" s="6"/>
      <c r="J2094" s="6"/>
      <c r="K2094" s="6"/>
      <c r="L2094" s="6"/>
      <c r="M2094" s="6"/>
      <c r="N2094" s="6"/>
      <c r="O2094" s="7"/>
      <c r="P2094" s="6"/>
      <c r="Q2094" s="6"/>
      <c r="R2094" s="7"/>
      <c r="S2094" s="6"/>
      <c r="T2094" s="6"/>
      <c r="U2094" s="7"/>
      <c r="V2094" s="6"/>
      <c r="W2094" s="6"/>
      <c r="X2094" s="6"/>
      <c r="Y2094" s="6"/>
      <c r="Z2094" s="6"/>
      <c r="AA2094" s="7"/>
      <c r="AB2094" s="6"/>
      <c r="AC2094" s="6"/>
      <c r="AD2094" s="6"/>
      <c r="AE2094" s="12"/>
      <c r="AF2094" s="6"/>
      <c r="AG2094" s="12"/>
      <c r="AH2094" s="6"/>
      <c r="AI2094" s="6"/>
      <c r="AJ2094" s="12"/>
      <c r="AK2094" s="1"/>
      <c r="AL2094" s="12"/>
      <c r="AM2094" s="12"/>
      <c r="AN2094" s="1"/>
      <c r="AO2094" s="6"/>
    </row>
    <row r="2095" spans="1:41" ht="15" x14ac:dyDescent="0.25">
      <c r="A2095" s="1"/>
      <c r="B2095" s="1"/>
      <c r="C2095" s="1"/>
      <c r="D2095" s="1"/>
      <c r="E2095" s="6"/>
      <c r="F2095" s="1"/>
      <c r="G2095" s="6"/>
      <c r="H2095" s="6"/>
      <c r="I2095" s="6"/>
      <c r="J2095" s="6"/>
      <c r="K2095" s="6"/>
      <c r="L2095" s="6"/>
      <c r="M2095" s="6"/>
      <c r="N2095" s="6"/>
      <c r="O2095" s="7"/>
      <c r="P2095" s="6"/>
      <c r="Q2095" s="6"/>
      <c r="R2095" s="7"/>
      <c r="S2095" s="6"/>
      <c r="T2095" s="6"/>
      <c r="U2095" s="7"/>
      <c r="V2095" s="6"/>
      <c r="W2095" s="6"/>
      <c r="X2095" s="12"/>
      <c r="Y2095" s="6"/>
      <c r="Z2095" s="6"/>
      <c r="AA2095" s="7"/>
      <c r="AB2095" s="6"/>
      <c r="AC2095" s="6"/>
      <c r="AD2095" s="6"/>
      <c r="AE2095" s="12"/>
      <c r="AF2095" s="12"/>
      <c r="AG2095" s="12"/>
      <c r="AH2095" s="12"/>
      <c r="AI2095" s="6"/>
      <c r="AJ2095" s="12"/>
      <c r="AK2095" s="1"/>
      <c r="AL2095" s="12"/>
      <c r="AM2095" s="12"/>
      <c r="AN2095" s="1"/>
      <c r="AO2095" s="6"/>
    </row>
    <row r="2096" spans="1:41" ht="15" x14ac:dyDescent="0.25">
      <c r="A2096" s="1"/>
      <c r="B2096" s="1"/>
      <c r="C2096" s="1"/>
      <c r="D2096" s="1"/>
      <c r="E2096" s="6"/>
      <c r="F2096" s="1"/>
      <c r="G2096" s="6"/>
      <c r="H2096" s="6"/>
      <c r="I2096" s="6"/>
      <c r="J2096" s="6"/>
      <c r="K2096" s="6"/>
      <c r="L2096" s="6"/>
      <c r="M2096" s="6"/>
      <c r="N2096" s="6"/>
      <c r="O2096" s="7"/>
      <c r="P2096" s="6"/>
      <c r="Q2096" s="6"/>
      <c r="R2096" s="7"/>
      <c r="S2096" s="6"/>
      <c r="T2096" s="6"/>
      <c r="U2096" s="7"/>
      <c r="V2096" s="6"/>
      <c r="W2096" s="6"/>
      <c r="X2096" s="12"/>
      <c r="Y2096" s="6"/>
      <c r="Z2096" s="6"/>
      <c r="AA2096" s="7"/>
      <c r="AB2096" s="6"/>
      <c r="AC2096" s="6"/>
      <c r="AD2096" s="6"/>
      <c r="AE2096" s="12"/>
      <c r="AF2096" s="6"/>
      <c r="AG2096" s="12"/>
      <c r="AH2096" s="6"/>
      <c r="AI2096" s="6"/>
      <c r="AJ2096" s="12"/>
      <c r="AK2096" s="1"/>
      <c r="AL2096" s="12"/>
      <c r="AM2096" s="12"/>
      <c r="AN2096" s="1"/>
      <c r="AO2096" s="6"/>
    </row>
    <row r="2097" spans="1:41" ht="15" x14ac:dyDescent="0.25">
      <c r="A2097" s="1"/>
      <c r="B2097" s="1"/>
      <c r="C2097" s="1"/>
      <c r="D2097" s="1"/>
      <c r="E2097" s="6"/>
      <c r="F2097" s="1"/>
      <c r="G2097" s="6"/>
      <c r="H2097" s="6"/>
      <c r="I2097" s="6"/>
      <c r="J2097" s="6"/>
      <c r="K2097" s="6"/>
      <c r="L2097" s="6"/>
      <c r="M2097" s="6"/>
      <c r="N2097" s="6"/>
      <c r="O2097" s="7"/>
      <c r="P2097" s="6"/>
      <c r="Q2097" s="6"/>
      <c r="R2097" s="7"/>
      <c r="S2097" s="6"/>
      <c r="T2097" s="6"/>
      <c r="U2097" s="6"/>
      <c r="V2097" s="6"/>
      <c r="W2097" s="6"/>
      <c r="X2097" s="7"/>
      <c r="Y2097" s="6"/>
      <c r="Z2097" s="6"/>
      <c r="AA2097" s="7"/>
      <c r="AB2097" s="6"/>
      <c r="AC2097" s="6"/>
      <c r="AD2097" s="6"/>
      <c r="AE2097" s="12"/>
      <c r="AF2097" s="6"/>
      <c r="AG2097" s="12"/>
      <c r="AH2097" s="6"/>
      <c r="AI2097" s="6"/>
      <c r="AJ2097" s="12"/>
      <c r="AK2097" s="6"/>
      <c r="AL2097" s="12"/>
      <c r="AM2097" s="12"/>
      <c r="AN2097" s="1"/>
      <c r="AO2097" s="6"/>
    </row>
    <row r="2098" spans="1:41" ht="15" x14ac:dyDescent="0.25">
      <c r="A2098" s="1"/>
      <c r="B2098" s="1"/>
      <c r="C2098" s="1"/>
      <c r="D2098" s="1"/>
      <c r="E2098" s="6"/>
      <c r="F2098" s="1"/>
      <c r="G2098" s="6"/>
      <c r="H2098" s="6"/>
      <c r="I2098" s="6"/>
      <c r="J2098" s="6"/>
      <c r="K2098" s="6"/>
      <c r="L2098" s="6"/>
      <c r="M2098" s="6"/>
      <c r="N2098" s="6"/>
      <c r="O2098" s="7"/>
      <c r="P2098" s="6"/>
      <c r="Q2098" s="6"/>
      <c r="R2098" s="7"/>
      <c r="S2098" s="6"/>
      <c r="T2098" s="6"/>
      <c r="U2098" s="7"/>
      <c r="V2098" s="6"/>
      <c r="W2098" s="6"/>
      <c r="X2098" s="12"/>
      <c r="Y2098" s="6"/>
      <c r="Z2098" s="6"/>
      <c r="AA2098" s="7"/>
      <c r="AB2098" s="6"/>
      <c r="AC2098" s="6"/>
      <c r="AD2098" s="6"/>
      <c r="AE2098" s="12"/>
      <c r="AF2098" s="12"/>
      <c r="AG2098" s="12"/>
      <c r="AH2098" s="12"/>
      <c r="AI2098" s="6"/>
      <c r="AJ2098" s="12"/>
      <c r="AK2098" s="1"/>
      <c r="AL2098" s="12"/>
      <c r="AM2098" s="12"/>
      <c r="AN2098" s="1"/>
      <c r="AO2098" s="6"/>
    </row>
    <row r="2099" spans="1:41" ht="15" x14ac:dyDescent="0.25">
      <c r="A2099" s="1"/>
      <c r="B2099" s="1"/>
      <c r="C2099" s="1"/>
      <c r="D2099" s="1"/>
      <c r="E2099" s="6"/>
      <c r="F2099" s="1"/>
      <c r="G2099" s="6"/>
      <c r="H2099" s="6"/>
      <c r="I2099" s="6"/>
      <c r="J2099" s="6"/>
      <c r="K2099" s="6"/>
      <c r="L2099" s="6"/>
      <c r="M2099" s="6"/>
      <c r="N2099" s="6"/>
      <c r="O2099" s="7"/>
      <c r="P2099" s="6"/>
      <c r="Q2099" s="6"/>
      <c r="R2099" s="7"/>
      <c r="S2099" s="6"/>
      <c r="T2099" s="6"/>
      <c r="U2099" s="7"/>
      <c r="V2099" s="6"/>
      <c r="W2099" s="6"/>
      <c r="X2099" s="6"/>
      <c r="Y2099" s="6"/>
      <c r="Z2099" s="6"/>
      <c r="AA2099" s="7"/>
      <c r="AB2099" s="6"/>
      <c r="AC2099" s="6"/>
      <c r="AD2099" s="6"/>
      <c r="AE2099" s="12"/>
      <c r="AF2099" s="12"/>
      <c r="AG2099" s="12"/>
      <c r="AH2099" s="12"/>
      <c r="AI2099" s="6"/>
      <c r="AJ2099" s="12"/>
      <c r="AK2099" s="1"/>
      <c r="AL2099" s="12"/>
      <c r="AM2099" s="12"/>
      <c r="AN2099" s="1"/>
      <c r="AO2099" s="6"/>
    </row>
    <row r="2100" spans="1:41" ht="15" x14ac:dyDescent="0.25">
      <c r="A2100" s="1"/>
      <c r="B2100" s="1"/>
      <c r="C2100" s="1"/>
      <c r="D2100" s="1"/>
      <c r="E2100" s="6"/>
      <c r="F2100" s="1"/>
      <c r="G2100" s="6"/>
      <c r="H2100" s="6"/>
      <c r="I2100" s="6"/>
      <c r="J2100" s="6"/>
      <c r="K2100" s="6"/>
      <c r="L2100" s="6"/>
      <c r="M2100" s="6"/>
      <c r="N2100" s="6"/>
      <c r="O2100" s="7"/>
      <c r="P2100" s="12"/>
      <c r="Q2100" s="6"/>
      <c r="R2100" s="7"/>
      <c r="S2100" s="6"/>
      <c r="T2100" s="6"/>
      <c r="U2100" s="7"/>
      <c r="V2100" s="6"/>
      <c r="W2100" s="6"/>
      <c r="X2100" s="6"/>
      <c r="Y2100" s="6"/>
      <c r="Z2100" s="6"/>
      <c r="AA2100" s="7"/>
      <c r="AB2100" s="6"/>
      <c r="AC2100" s="6"/>
      <c r="AD2100" s="6"/>
      <c r="AE2100" s="12"/>
      <c r="AF2100" s="6"/>
      <c r="AG2100" s="12"/>
      <c r="AH2100" s="6"/>
      <c r="AI2100" s="6"/>
      <c r="AJ2100" s="12"/>
      <c r="AK2100" s="24"/>
      <c r="AL2100" s="25"/>
      <c r="AM2100" s="12"/>
      <c r="AN2100" s="1"/>
      <c r="AO2100" s="6"/>
    </row>
    <row r="2101" spans="1:41" ht="15" x14ac:dyDescent="0.25">
      <c r="A2101" s="1"/>
      <c r="B2101" s="1"/>
      <c r="C2101" s="1"/>
      <c r="D2101" s="1"/>
      <c r="E2101" s="6"/>
      <c r="F2101" s="1"/>
      <c r="G2101" s="6"/>
      <c r="H2101" s="6"/>
      <c r="I2101" s="6"/>
      <c r="J2101" s="6"/>
      <c r="K2101" s="6"/>
      <c r="L2101" s="6"/>
      <c r="M2101" s="6"/>
      <c r="N2101" s="6"/>
      <c r="O2101" s="7"/>
      <c r="P2101" s="6"/>
      <c r="Q2101" s="6"/>
      <c r="R2101" s="7"/>
      <c r="S2101" s="6"/>
      <c r="T2101" s="6"/>
      <c r="U2101" s="7"/>
      <c r="V2101" s="6"/>
      <c r="W2101" s="6"/>
      <c r="X2101" s="6"/>
      <c r="Y2101" s="6"/>
      <c r="Z2101" s="6"/>
      <c r="AA2101" s="7"/>
      <c r="AB2101" s="6"/>
      <c r="AC2101" s="6"/>
      <c r="AD2101" s="6"/>
      <c r="AE2101" s="12"/>
      <c r="AF2101" s="6"/>
      <c r="AG2101" s="12"/>
      <c r="AH2101" s="6"/>
      <c r="AI2101" s="6"/>
      <c r="AJ2101" s="12"/>
      <c r="AK2101" s="24"/>
      <c r="AL2101" s="25"/>
      <c r="AM2101" s="12"/>
      <c r="AN2101" s="1"/>
      <c r="AO2101" s="6"/>
    </row>
    <row r="2102" spans="1:41" ht="15" x14ac:dyDescent="0.25">
      <c r="A2102" s="1"/>
      <c r="B2102" s="1"/>
      <c r="C2102" s="1"/>
      <c r="D2102" s="1"/>
      <c r="E2102" s="6"/>
      <c r="F2102" s="1"/>
      <c r="G2102" s="6"/>
      <c r="H2102" s="6"/>
      <c r="I2102" s="6"/>
      <c r="J2102" s="6"/>
      <c r="K2102" s="6"/>
      <c r="L2102" s="6"/>
      <c r="M2102" s="6"/>
      <c r="N2102" s="6"/>
      <c r="O2102" s="7"/>
      <c r="P2102" s="6"/>
      <c r="Q2102" s="6"/>
      <c r="R2102" s="7"/>
      <c r="S2102" s="6"/>
      <c r="T2102" s="6"/>
      <c r="U2102" s="7"/>
      <c r="V2102" s="6"/>
      <c r="W2102" s="6"/>
      <c r="X2102" s="6"/>
      <c r="Y2102" s="6"/>
      <c r="Z2102" s="6"/>
      <c r="AA2102" s="7"/>
      <c r="AB2102" s="6"/>
      <c r="AC2102" s="6"/>
      <c r="AD2102" s="6"/>
      <c r="AE2102" s="12"/>
      <c r="AF2102" s="6"/>
      <c r="AG2102" s="12"/>
      <c r="AH2102" s="6"/>
      <c r="AI2102" s="6"/>
      <c r="AJ2102" s="12"/>
      <c r="AK2102" s="24"/>
      <c r="AL2102" s="25"/>
      <c r="AM2102" s="12"/>
      <c r="AN2102" s="1"/>
      <c r="AO2102" s="6"/>
    </row>
    <row r="2103" spans="1:41" ht="15" x14ac:dyDescent="0.25">
      <c r="A2103" s="1"/>
      <c r="B2103" s="1"/>
      <c r="C2103" s="1"/>
      <c r="D2103" s="1"/>
      <c r="E2103" s="6"/>
      <c r="F2103" s="1"/>
      <c r="G2103" s="6"/>
      <c r="H2103" s="6"/>
      <c r="I2103" s="6"/>
      <c r="J2103" s="6"/>
      <c r="K2103" s="12"/>
      <c r="L2103" s="6"/>
      <c r="M2103" s="6"/>
      <c r="N2103" s="6"/>
      <c r="O2103" s="7"/>
      <c r="P2103" s="12"/>
      <c r="Q2103" s="6"/>
      <c r="R2103" s="7"/>
      <c r="S2103" s="6"/>
      <c r="T2103" s="6"/>
      <c r="U2103" s="7"/>
      <c r="V2103" s="6"/>
      <c r="W2103" s="6"/>
      <c r="X2103" s="12"/>
      <c r="Y2103" s="6"/>
      <c r="Z2103" s="6"/>
      <c r="AA2103" s="7"/>
      <c r="AB2103" s="6"/>
      <c r="AC2103" s="6"/>
      <c r="AD2103" s="6"/>
      <c r="AE2103" s="12"/>
      <c r="AF2103" s="6"/>
      <c r="AG2103" s="12"/>
      <c r="AH2103" s="6"/>
      <c r="AI2103" s="6"/>
      <c r="AJ2103" s="12"/>
      <c r="AK2103" s="1"/>
      <c r="AL2103" s="12"/>
      <c r="AM2103" s="12"/>
      <c r="AN2103" s="1"/>
      <c r="AO2103" s="12"/>
    </row>
    <row r="2104" spans="1:41" ht="15" x14ac:dyDescent="0.25">
      <c r="A2104" s="1"/>
      <c r="B2104" s="1"/>
      <c r="C2104" s="1"/>
      <c r="D2104" s="1"/>
      <c r="E2104" s="6"/>
      <c r="F2104" s="1"/>
      <c r="G2104" s="6"/>
      <c r="H2104" s="6"/>
      <c r="I2104" s="6"/>
      <c r="J2104" s="6"/>
      <c r="K2104" s="6"/>
      <c r="L2104" s="6"/>
      <c r="M2104" s="6"/>
      <c r="N2104" s="6"/>
      <c r="O2104" s="7"/>
      <c r="P2104" s="6"/>
      <c r="Q2104" s="6"/>
      <c r="R2104" s="7"/>
      <c r="S2104" s="6"/>
      <c r="T2104" s="6"/>
      <c r="U2104" s="7"/>
      <c r="V2104" s="6"/>
      <c r="W2104" s="6"/>
      <c r="X2104" s="12"/>
      <c r="Y2104" s="6"/>
      <c r="Z2104" s="6"/>
      <c r="AA2104" s="7"/>
      <c r="AB2104" s="6"/>
      <c r="AC2104" s="6"/>
      <c r="AD2104" s="6"/>
      <c r="AE2104" s="12"/>
      <c r="AF2104" s="12"/>
      <c r="AG2104" s="12"/>
      <c r="AH2104" s="12"/>
      <c r="AI2104" s="6"/>
      <c r="AJ2104" s="12"/>
      <c r="AK2104" s="24"/>
      <c r="AL2104" s="25"/>
      <c r="AM2104" s="12"/>
      <c r="AN2104" s="1"/>
      <c r="AO2104" s="6"/>
    </row>
    <row r="2105" spans="1:41" ht="15" x14ac:dyDescent="0.25">
      <c r="A2105" s="1"/>
      <c r="B2105" s="1"/>
      <c r="C2105" s="1"/>
      <c r="D2105" s="1"/>
      <c r="E2105" s="6"/>
      <c r="F2105" s="1"/>
      <c r="G2105" s="6"/>
      <c r="H2105" s="6"/>
      <c r="I2105" s="6"/>
      <c r="J2105" s="6"/>
      <c r="K2105" s="6"/>
      <c r="L2105" s="6"/>
      <c r="M2105" s="6"/>
      <c r="N2105" s="6"/>
      <c r="O2105" s="7"/>
      <c r="P2105" s="6"/>
      <c r="Q2105" s="6"/>
      <c r="R2105" s="7"/>
      <c r="S2105" s="6"/>
      <c r="T2105" s="6"/>
      <c r="U2105" s="7"/>
      <c r="V2105" s="6"/>
      <c r="W2105" s="6"/>
      <c r="X2105" s="6"/>
      <c r="Y2105" s="6"/>
      <c r="Z2105" s="6"/>
      <c r="AA2105" s="7"/>
      <c r="AB2105" s="6"/>
      <c r="AC2105" s="6"/>
      <c r="AD2105" s="6"/>
      <c r="AE2105" s="12"/>
      <c r="AF2105" s="12"/>
      <c r="AG2105" s="12"/>
      <c r="AH2105" s="12"/>
      <c r="AI2105" s="6"/>
      <c r="AJ2105" s="12"/>
      <c r="AK2105" s="1"/>
      <c r="AL2105" s="12"/>
      <c r="AM2105" s="12"/>
      <c r="AN2105" s="1"/>
      <c r="AO2105" s="6"/>
    </row>
    <row r="2106" spans="1:41" ht="15" x14ac:dyDescent="0.25">
      <c r="A2106" s="1"/>
      <c r="B2106" s="1"/>
      <c r="C2106" s="1"/>
      <c r="D2106" s="1"/>
      <c r="E2106" s="6"/>
      <c r="F2106" s="1"/>
      <c r="G2106" s="6"/>
      <c r="H2106" s="6"/>
      <c r="I2106" s="6"/>
      <c r="J2106" s="6"/>
      <c r="K2106" s="6"/>
      <c r="L2106" s="6"/>
      <c r="M2106" s="6"/>
      <c r="N2106" s="6"/>
      <c r="O2106" s="7"/>
      <c r="P2106" s="6"/>
      <c r="Q2106" s="6"/>
      <c r="R2106" s="7"/>
      <c r="S2106" s="6"/>
      <c r="T2106" s="6"/>
      <c r="U2106" s="7"/>
      <c r="V2106" s="6"/>
      <c r="W2106" s="6"/>
      <c r="X2106" s="6"/>
      <c r="Y2106" s="6"/>
      <c r="Z2106" s="6"/>
      <c r="AA2106" s="7"/>
      <c r="AB2106" s="6"/>
      <c r="AC2106" s="6"/>
      <c r="AD2106" s="6"/>
      <c r="AE2106" s="12"/>
      <c r="AF2106" s="12"/>
      <c r="AG2106" s="12"/>
      <c r="AH2106" s="12"/>
      <c r="AI2106" s="6"/>
      <c r="AJ2106" s="12"/>
      <c r="AK2106" s="1"/>
      <c r="AL2106" s="12"/>
      <c r="AM2106" s="12"/>
      <c r="AN2106" s="1"/>
      <c r="AO2106" s="6"/>
    </row>
    <row r="2107" spans="1:41" ht="15" x14ac:dyDescent="0.25">
      <c r="A2107" s="1"/>
      <c r="B2107" s="1"/>
      <c r="C2107" s="1"/>
      <c r="D2107" s="1"/>
      <c r="E2107" s="6"/>
      <c r="F2107" s="1"/>
      <c r="G2107" s="6"/>
      <c r="H2107" s="6"/>
      <c r="I2107" s="6"/>
      <c r="J2107" s="6"/>
      <c r="K2107" s="6"/>
      <c r="L2107" s="6"/>
      <c r="M2107" s="6"/>
      <c r="N2107" s="6"/>
      <c r="O2107" s="7"/>
      <c r="P2107" s="6"/>
      <c r="Q2107" s="6"/>
      <c r="R2107" s="7"/>
      <c r="S2107" s="6"/>
      <c r="T2107" s="6"/>
      <c r="U2107" s="7"/>
      <c r="V2107" s="6"/>
      <c r="W2107" s="6"/>
      <c r="X2107" s="6"/>
      <c r="Y2107" s="6"/>
      <c r="Z2107" s="6"/>
      <c r="AA2107" s="7"/>
      <c r="AB2107" s="6"/>
      <c r="AC2107" s="6"/>
      <c r="AD2107" s="6"/>
      <c r="AE2107" s="12"/>
      <c r="AF2107" s="6"/>
      <c r="AG2107" s="12"/>
      <c r="AH2107" s="6"/>
      <c r="AI2107" s="6"/>
      <c r="AJ2107" s="12"/>
      <c r="AK2107" s="1"/>
      <c r="AL2107" s="12"/>
      <c r="AM2107" s="12"/>
      <c r="AN2107" s="1"/>
      <c r="AO2107" s="6"/>
    </row>
    <row r="2108" spans="1:41" ht="15" x14ac:dyDescent="0.25">
      <c r="A2108" s="1"/>
      <c r="B2108" s="1"/>
      <c r="C2108" s="1"/>
      <c r="D2108" s="1"/>
      <c r="E2108" s="6"/>
      <c r="F2108" s="1"/>
      <c r="G2108" s="6"/>
      <c r="H2108" s="6"/>
      <c r="I2108" s="6"/>
      <c r="J2108" s="6"/>
      <c r="K2108" s="6"/>
      <c r="L2108" s="6"/>
      <c r="M2108" s="6"/>
      <c r="N2108" s="6"/>
      <c r="O2108" s="7"/>
      <c r="P2108" s="6"/>
      <c r="Q2108" s="6"/>
      <c r="R2108" s="7"/>
      <c r="S2108" s="6"/>
      <c r="T2108" s="6"/>
      <c r="U2108" s="7"/>
      <c r="V2108" s="6"/>
      <c r="W2108" s="6"/>
      <c r="X2108" s="12"/>
      <c r="Y2108" s="6"/>
      <c r="Z2108" s="6"/>
      <c r="AA2108" s="7"/>
      <c r="AB2108" s="6"/>
      <c r="AC2108" s="6"/>
      <c r="AD2108" s="6"/>
      <c r="AE2108" s="12"/>
      <c r="AF2108" s="12"/>
      <c r="AG2108" s="12"/>
      <c r="AH2108" s="12"/>
      <c r="AI2108" s="6"/>
      <c r="AJ2108" s="12"/>
      <c r="AK2108" s="1"/>
      <c r="AL2108" s="12"/>
      <c r="AM2108" s="12"/>
      <c r="AN2108" s="1"/>
      <c r="AO2108" s="6"/>
    </row>
    <row r="2109" spans="1:41" ht="15" x14ac:dyDescent="0.25">
      <c r="A2109" s="1"/>
      <c r="B2109" s="1"/>
      <c r="C2109" s="1"/>
      <c r="D2109" s="1"/>
      <c r="E2109" s="6"/>
      <c r="F2109" s="1"/>
      <c r="G2109" s="6"/>
      <c r="H2109" s="6"/>
      <c r="I2109" s="6"/>
      <c r="J2109" s="6"/>
      <c r="K2109" s="6"/>
      <c r="L2109" s="6"/>
      <c r="M2109" s="6"/>
      <c r="N2109" s="6"/>
      <c r="O2109" s="7"/>
      <c r="P2109" s="6"/>
      <c r="Q2109" s="6"/>
      <c r="R2109" s="7"/>
      <c r="S2109" s="6"/>
      <c r="T2109" s="6"/>
      <c r="U2109" s="7"/>
      <c r="V2109" s="6"/>
      <c r="W2109" s="6"/>
      <c r="X2109" s="6"/>
      <c r="Y2109" s="6"/>
      <c r="Z2109" s="6"/>
      <c r="AA2109" s="7"/>
      <c r="AB2109" s="6"/>
      <c r="AC2109" s="6"/>
      <c r="AD2109" s="6"/>
      <c r="AE2109" s="12"/>
      <c r="AF2109" s="6"/>
      <c r="AG2109" s="12"/>
      <c r="AH2109" s="6"/>
      <c r="AI2109" s="6"/>
      <c r="AJ2109" s="12"/>
      <c r="AK2109" s="24"/>
      <c r="AL2109" s="25"/>
      <c r="AM2109" s="12"/>
      <c r="AN2109" s="1"/>
      <c r="AO2109" s="6"/>
    </row>
    <row r="2110" spans="1:41" ht="15" x14ac:dyDescent="0.25">
      <c r="A2110" s="1"/>
      <c r="B2110" s="1"/>
      <c r="C2110" s="1"/>
      <c r="D2110" s="1"/>
      <c r="E2110" s="6"/>
      <c r="F2110" s="1"/>
      <c r="G2110" s="6"/>
      <c r="H2110" s="6"/>
      <c r="I2110" s="6"/>
      <c r="J2110" s="6"/>
      <c r="K2110" s="6"/>
      <c r="L2110" s="6"/>
      <c r="M2110" s="6"/>
      <c r="N2110" s="6"/>
      <c r="O2110" s="7"/>
      <c r="P2110" s="6"/>
      <c r="Q2110" s="6"/>
      <c r="R2110" s="7"/>
      <c r="S2110" s="6"/>
      <c r="T2110" s="6"/>
      <c r="U2110" s="7"/>
      <c r="V2110" s="6"/>
      <c r="W2110" s="6"/>
      <c r="X2110" s="6"/>
      <c r="Y2110" s="6"/>
      <c r="Z2110" s="6"/>
      <c r="AA2110" s="7"/>
      <c r="AB2110" s="6"/>
      <c r="AC2110" s="6"/>
      <c r="AD2110" s="6"/>
      <c r="AE2110" s="12"/>
      <c r="AF2110" s="6"/>
      <c r="AG2110" s="12"/>
      <c r="AH2110" s="6"/>
      <c r="AI2110" s="6"/>
      <c r="AJ2110" s="12"/>
      <c r="AK2110" s="24"/>
      <c r="AL2110" s="25"/>
      <c r="AM2110" s="12"/>
      <c r="AN2110" s="1"/>
      <c r="AO2110" s="6"/>
    </row>
    <row r="2111" spans="1:41" ht="15" x14ac:dyDescent="0.25">
      <c r="A2111" s="1"/>
      <c r="B2111" s="1"/>
      <c r="C2111" s="1"/>
      <c r="D2111" s="1"/>
      <c r="E2111" s="6"/>
      <c r="F2111" s="1"/>
      <c r="G2111" s="6"/>
      <c r="H2111" s="6"/>
      <c r="I2111" s="6"/>
      <c r="J2111" s="6"/>
      <c r="K2111" s="6"/>
      <c r="L2111" s="6"/>
      <c r="M2111" s="6"/>
      <c r="N2111" s="6"/>
      <c r="O2111" s="7"/>
      <c r="P2111" s="6"/>
      <c r="Q2111" s="6"/>
      <c r="R2111" s="7"/>
      <c r="S2111" s="6"/>
      <c r="T2111" s="6"/>
      <c r="U2111" s="7"/>
      <c r="V2111" s="6"/>
      <c r="W2111" s="6"/>
      <c r="X2111" s="6"/>
      <c r="Y2111" s="6"/>
      <c r="Z2111" s="6"/>
      <c r="AA2111" s="7"/>
      <c r="AB2111" s="6"/>
      <c r="AC2111" s="6"/>
      <c r="AD2111" s="6"/>
      <c r="AE2111" s="12"/>
      <c r="AF2111" s="6"/>
      <c r="AG2111" s="12"/>
      <c r="AH2111" s="6"/>
      <c r="AI2111" s="6"/>
      <c r="AJ2111" s="12"/>
      <c r="AK2111" s="1"/>
      <c r="AL2111" s="12"/>
      <c r="AM2111" s="12"/>
      <c r="AN2111" s="1"/>
      <c r="AO2111" s="6"/>
    </row>
    <row r="2112" spans="1:41" ht="15" x14ac:dyDescent="0.25">
      <c r="A2112" s="1"/>
      <c r="B2112" s="1"/>
      <c r="C2112" s="1"/>
      <c r="D2112" s="1"/>
      <c r="E2112" s="6"/>
      <c r="F2112" s="1"/>
      <c r="G2112" s="6"/>
      <c r="H2112" s="6"/>
      <c r="I2112" s="6"/>
      <c r="J2112" s="6"/>
      <c r="K2112" s="6"/>
      <c r="L2112" s="6"/>
      <c r="M2112" s="6"/>
      <c r="N2112" s="6"/>
      <c r="O2112" s="7"/>
      <c r="P2112" s="6"/>
      <c r="Q2112" s="6"/>
      <c r="R2112" s="7"/>
      <c r="S2112" s="6"/>
      <c r="T2112" s="6"/>
      <c r="U2112" s="7"/>
      <c r="V2112" s="6"/>
      <c r="W2112" s="6"/>
      <c r="X2112" s="6"/>
      <c r="Y2112" s="6"/>
      <c r="Z2112" s="6"/>
      <c r="AA2112" s="7"/>
      <c r="AB2112" s="6"/>
      <c r="AC2112" s="6"/>
      <c r="AD2112" s="6"/>
      <c r="AE2112" s="12"/>
      <c r="AF2112" s="12"/>
      <c r="AG2112" s="12"/>
      <c r="AH2112" s="12"/>
      <c r="AI2112" s="6"/>
      <c r="AJ2112" s="12"/>
      <c r="AK2112" s="1"/>
      <c r="AL2112" s="12"/>
      <c r="AM2112" s="12"/>
      <c r="AN2112" s="1"/>
      <c r="AO2112" s="6"/>
    </row>
    <row r="2113" spans="1:41" ht="15" x14ac:dyDescent="0.25">
      <c r="A2113" s="1"/>
      <c r="B2113" s="1"/>
      <c r="C2113" s="1"/>
      <c r="D2113" s="1"/>
      <c r="E2113" s="6"/>
      <c r="F2113" s="1"/>
      <c r="G2113" s="6"/>
      <c r="H2113" s="6"/>
      <c r="I2113" s="6"/>
      <c r="J2113" s="6"/>
      <c r="K2113" s="6"/>
      <c r="L2113" s="6"/>
      <c r="M2113" s="6"/>
      <c r="N2113" s="6"/>
      <c r="O2113" s="7"/>
      <c r="P2113" s="6"/>
      <c r="Q2113" s="6"/>
      <c r="R2113" s="7"/>
      <c r="S2113" s="6"/>
      <c r="T2113" s="6"/>
      <c r="U2113" s="7"/>
      <c r="V2113" s="6"/>
      <c r="W2113" s="6"/>
      <c r="X2113" s="6"/>
      <c r="Y2113" s="6"/>
      <c r="Z2113" s="6"/>
      <c r="AA2113" s="7"/>
      <c r="AB2113" s="6"/>
      <c r="AC2113" s="6"/>
      <c r="AD2113" s="6"/>
      <c r="AE2113" s="12"/>
      <c r="AF2113" s="6"/>
      <c r="AG2113" s="12"/>
      <c r="AH2113" s="6"/>
      <c r="AI2113" s="6"/>
      <c r="AJ2113" s="12"/>
      <c r="AK2113" s="1"/>
      <c r="AL2113" s="12"/>
      <c r="AM2113" s="12"/>
      <c r="AN2113" s="1"/>
      <c r="AO2113" s="6"/>
    </row>
    <row r="2114" spans="1:41" ht="15" x14ac:dyDescent="0.25">
      <c r="A2114" s="1"/>
      <c r="B2114" s="1"/>
      <c r="C2114" s="1"/>
      <c r="D2114" s="1"/>
      <c r="E2114" s="6"/>
      <c r="F2114" s="1"/>
      <c r="G2114" s="6"/>
      <c r="H2114" s="6"/>
      <c r="I2114" s="6"/>
      <c r="J2114" s="6"/>
      <c r="K2114" s="6"/>
      <c r="L2114" s="6"/>
      <c r="M2114" s="6"/>
      <c r="N2114" s="6"/>
      <c r="O2114" s="7"/>
      <c r="P2114" s="6"/>
      <c r="Q2114" s="6"/>
      <c r="R2114" s="7"/>
      <c r="S2114" s="6"/>
      <c r="T2114" s="6"/>
      <c r="U2114" s="7"/>
      <c r="V2114" s="6"/>
      <c r="W2114" s="6"/>
      <c r="X2114" s="6"/>
      <c r="Y2114" s="6"/>
      <c r="Z2114" s="6"/>
      <c r="AA2114" s="7"/>
      <c r="AB2114" s="6"/>
      <c r="AC2114" s="6"/>
      <c r="AD2114" s="6"/>
      <c r="AE2114" s="12"/>
      <c r="AF2114" s="6"/>
      <c r="AG2114" s="12"/>
      <c r="AH2114" s="6"/>
      <c r="AI2114" s="6"/>
      <c r="AJ2114" s="12"/>
      <c r="AK2114" s="24"/>
      <c r="AL2114" s="25"/>
      <c r="AM2114" s="12"/>
      <c r="AN2114" s="1"/>
      <c r="AO2114" s="6"/>
    </row>
    <row r="2115" spans="1:41" ht="15" x14ac:dyDescent="0.25">
      <c r="A2115" s="1"/>
      <c r="B2115" s="1"/>
      <c r="C2115" s="1"/>
      <c r="D2115" s="1"/>
      <c r="E2115" s="6"/>
      <c r="F2115" s="1"/>
      <c r="G2115" s="6"/>
      <c r="H2115" s="6"/>
      <c r="I2115" s="6"/>
      <c r="J2115" s="6"/>
      <c r="K2115" s="12"/>
      <c r="L2115" s="12"/>
      <c r="M2115" s="6"/>
      <c r="N2115" s="6"/>
      <c r="O2115" s="7"/>
      <c r="P2115" s="6"/>
      <c r="Q2115" s="7"/>
      <c r="R2115" s="6"/>
      <c r="S2115" s="6"/>
      <c r="T2115" s="6"/>
      <c r="U2115" s="6"/>
      <c r="V2115" s="7"/>
      <c r="W2115" s="7"/>
      <c r="X2115" s="6"/>
      <c r="Y2115" s="6"/>
      <c r="Z2115" s="6"/>
      <c r="AA2115" s="1"/>
      <c r="AB2115" s="12"/>
      <c r="AC2115" s="12"/>
      <c r="AD2115" s="12"/>
      <c r="AE2115" s="12"/>
      <c r="AF2115" s="12"/>
      <c r="AG2115" s="12"/>
      <c r="AH2115" s="12"/>
      <c r="AI2115" s="6"/>
      <c r="AJ2115" s="12"/>
      <c r="AK2115" s="12"/>
      <c r="AL2115" s="12"/>
      <c r="AM2115" s="12"/>
      <c r="AN2115" s="1"/>
      <c r="AO2115" s="6"/>
    </row>
    <row r="2116" spans="1:41" ht="15" x14ac:dyDescent="0.25">
      <c r="A2116" s="1"/>
      <c r="B2116" s="1"/>
      <c r="C2116" s="1"/>
      <c r="D2116" s="1"/>
      <c r="E2116" s="6"/>
      <c r="F2116" s="1"/>
      <c r="G2116" s="6"/>
      <c r="H2116" s="6"/>
      <c r="I2116" s="6"/>
      <c r="J2116" s="6"/>
      <c r="K2116" s="6"/>
      <c r="L2116" s="6"/>
      <c r="M2116" s="6"/>
      <c r="N2116" s="6"/>
      <c r="O2116" s="7"/>
      <c r="P2116" s="6"/>
      <c r="Q2116" s="6"/>
      <c r="R2116" s="7"/>
      <c r="S2116" s="6"/>
      <c r="T2116" s="6"/>
      <c r="U2116" s="7"/>
      <c r="V2116" s="6"/>
      <c r="W2116" s="6"/>
      <c r="X2116" s="6"/>
      <c r="Y2116" s="6"/>
      <c r="Z2116" s="6"/>
      <c r="AA2116" s="7"/>
      <c r="AB2116" s="6"/>
      <c r="AC2116" s="6"/>
      <c r="AD2116" s="6"/>
      <c r="AE2116" s="12"/>
      <c r="AF2116" s="12"/>
      <c r="AG2116" s="12"/>
      <c r="AH2116" s="12"/>
      <c r="AI2116" s="6"/>
      <c r="AJ2116" s="12"/>
      <c r="AK2116" s="1"/>
      <c r="AL2116" s="12"/>
      <c r="AM2116" s="12"/>
      <c r="AN2116" s="1"/>
      <c r="AO2116" s="6"/>
    </row>
    <row r="2117" spans="1:41" ht="15" x14ac:dyDescent="0.25">
      <c r="A2117" s="1"/>
      <c r="B2117" s="1"/>
      <c r="C2117" s="1"/>
      <c r="D2117" s="1"/>
      <c r="E2117" s="6"/>
      <c r="F2117" s="1"/>
      <c r="G2117" s="6"/>
      <c r="H2117" s="6"/>
      <c r="I2117" s="6"/>
      <c r="J2117" s="6"/>
      <c r="K2117" s="6"/>
      <c r="L2117" s="6"/>
      <c r="M2117" s="6"/>
      <c r="N2117" s="6"/>
      <c r="O2117" s="7"/>
      <c r="P2117" s="12"/>
      <c r="Q2117" s="6"/>
      <c r="R2117" s="7"/>
      <c r="S2117" s="6"/>
      <c r="T2117" s="6"/>
      <c r="U2117" s="7"/>
      <c r="V2117" s="6"/>
      <c r="W2117" s="6"/>
      <c r="X2117" s="12"/>
      <c r="Y2117" s="6"/>
      <c r="Z2117" s="6"/>
      <c r="AA2117" s="7"/>
      <c r="AB2117" s="6"/>
      <c r="AC2117" s="6"/>
      <c r="AD2117" s="6"/>
      <c r="AE2117" s="12"/>
      <c r="AF2117" s="6"/>
      <c r="AG2117" s="12"/>
      <c r="AH2117" s="6"/>
      <c r="AI2117" s="6"/>
      <c r="AJ2117" s="12"/>
      <c r="AK2117" s="24"/>
      <c r="AL2117" s="25"/>
      <c r="AM2117" s="12"/>
      <c r="AN2117" s="1"/>
      <c r="AO2117" s="6"/>
    </row>
    <row r="2118" spans="1:41" ht="15" x14ac:dyDescent="0.25">
      <c r="A2118" s="1"/>
      <c r="B2118" s="1"/>
      <c r="C2118" s="1"/>
      <c r="D2118" s="1"/>
      <c r="E2118" s="6"/>
      <c r="F2118" s="1"/>
      <c r="G2118" s="6"/>
      <c r="H2118" s="6"/>
      <c r="I2118" s="6"/>
      <c r="J2118" s="6"/>
      <c r="K2118" s="6"/>
      <c r="L2118" s="6"/>
      <c r="M2118" s="6"/>
      <c r="N2118" s="6"/>
      <c r="O2118" s="7"/>
      <c r="P2118" s="6"/>
      <c r="Q2118" s="6"/>
      <c r="R2118" s="7"/>
      <c r="S2118" s="6"/>
      <c r="T2118" s="6"/>
      <c r="U2118" s="7"/>
      <c r="V2118" s="6"/>
      <c r="W2118" s="6"/>
      <c r="X2118" s="6"/>
      <c r="Y2118" s="6"/>
      <c r="Z2118" s="6"/>
      <c r="AA2118" s="7"/>
      <c r="AB2118" s="6"/>
      <c r="AC2118" s="6"/>
      <c r="AD2118" s="6"/>
      <c r="AE2118" s="12"/>
      <c r="AF2118" s="6"/>
      <c r="AG2118" s="12"/>
      <c r="AH2118" s="6"/>
      <c r="AI2118" s="6"/>
      <c r="AJ2118" s="12"/>
      <c r="AK2118" s="24"/>
      <c r="AL2118" s="25"/>
      <c r="AM2118" s="12"/>
      <c r="AN2118" s="1"/>
      <c r="AO2118" s="6"/>
    </row>
    <row r="2119" spans="1:41" ht="15" x14ac:dyDescent="0.25">
      <c r="A2119" s="1"/>
      <c r="B2119" s="1"/>
      <c r="C2119" s="1"/>
      <c r="D2119" s="1"/>
      <c r="E2119" s="6"/>
      <c r="F2119" s="1"/>
      <c r="G2119" s="6"/>
      <c r="H2119" s="6"/>
      <c r="I2119" s="6"/>
      <c r="J2119" s="6"/>
      <c r="K2119" s="6"/>
      <c r="L2119" s="6"/>
      <c r="M2119" s="6"/>
      <c r="N2119" s="6"/>
      <c r="O2119" s="7"/>
      <c r="P2119" s="6"/>
      <c r="Q2119" s="6"/>
      <c r="R2119" s="7"/>
      <c r="S2119" s="6"/>
      <c r="T2119" s="6"/>
      <c r="U2119" s="7"/>
      <c r="V2119" s="6"/>
      <c r="W2119" s="6"/>
      <c r="X2119" s="6"/>
      <c r="Y2119" s="6"/>
      <c r="Z2119" s="6"/>
      <c r="AA2119" s="7"/>
      <c r="AB2119" s="6"/>
      <c r="AC2119" s="6"/>
      <c r="AD2119" s="6"/>
      <c r="AE2119" s="12"/>
      <c r="AF2119" s="12"/>
      <c r="AG2119" s="12"/>
      <c r="AH2119" s="12"/>
      <c r="AI2119" s="6"/>
      <c r="AJ2119" s="12"/>
      <c r="AK2119" s="1"/>
      <c r="AL2119" s="12"/>
      <c r="AM2119" s="12"/>
      <c r="AN2119" s="1"/>
      <c r="AO2119" s="6"/>
    </row>
    <row r="2120" spans="1:41" ht="15" x14ac:dyDescent="0.25">
      <c r="A2120" s="1"/>
      <c r="B2120" s="1"/>
      <c r="C2120" s="1"/>
      <c r="D2120" s="1"/>
      <c r="E2120" s="6"/>
      <c r="F2120" s="1"/>
      <c r="G2120" s="6"/>
      <c r="H2120" s="6"/>
      <c r="I2120" s="6"/>
      <c r="J2120" s="6"/>
      <c r="K2120" s="6"/>
      <c r="L2120" s="6"/>
      <c r="M2120" s="6"/>
      <c r="N2120" s="6"/>
      <c r="O2120" s="7"/>
      <c r="P2120" s="6"/>
      <c r="Q2120" s="6"/>
      <c r="R2120" s="7"/>
      <c r="S2120" s="6"/>
      <c r="T2120" s="6"/>
      <c r="U2120" s="7"/>
      <c r="V2120" s="6"/>
      <c r="W2120" s="6"/>
      <c r="X2120" s="12"/>
      <c r="Y2120" s="6"/>
      <c r="Z2120" s="6"/>
      <c r="AA2120" s="7"/>
      <c r="AB2120" s="6"/>
      <c r="AC2120" s="6"/>
      <c r="AD2120" s="6"/>
      <c r="AE2120" s="12"/>
      <c r="AF2120" s="12"/>
      <c r="AG2120" s="12"/>
      <c r="AH2120" s="12"/>
      <c r="AI2120" s="6"/>
      <c r="AJ2120" s="12"/>
      <c r="AK2120" s="1"/>
      <c r="AL2120" s="12"/>
      <c r="AM2120" s="12"/>
      <c r="AN2120" s="1"/>
      <c r="AO2120" s="6"/>
    </row>
    <row r="2121" spans="1:41" ht="15" x14ac:dyDescent="0.25">
      <c r="A2121" s="1"/>
      <c r="B2121" s="1"/>
      <c r="C2121" s="1"/>
      <c r="D2121" s="1"/>
      <c r="E2121" s="6"/>
      <c r="F2121" s="1"/>
      <c r="G2121" s="6"/>
      <c r="H2121" s="6"/>
      <c r="I2121" s="6"/>
      <c r="J2121" s="6"/>
      <c r="K2121" s="12"/>
      <c r="L2121" s="12"/>
      <c r="M2121" s="6"/>
      <c r="N2121" s="6"/>
      <c r="O2121" s="7"/>
      <c r="P2121" s="6"/>
      <c r="Q2121" s="6"/>
      <c r="R2121" s="7"/>
      <c r="S2121" s="6"/>
      <c r="T2121" s="6"/>
      <c r="U2121" s="7"/>
      <c r="V2121" s="6"/>
      <c r="W2121" s="6"/>
      <c r="X2121" s="12"/>
      <c r="Y2121" s="6"/>
      <c r="Z2121" s="6"/>
      <c r="AA2121" s="7"/>
      <c r="AB2121" s="6"/>
      <c r="AC2121" s="6"/>
      <c r="AD2121" s="6"/>
      <c r="AE2121" s="12"/>
      <c r="AF2121" s="12"/>
      <c r="AG2121" s="12"/>
      <c r="AH2121" s="12"/>
      <c r="AI2121" s="6"/>
      <c r="AJ2121" s="12"/>
      <c r="AK2121" s="24"/>
      <c r="AL2121" s="25"/>
      <c r="AM2121" s="12"/>
      <c r="AN2121" s="1"/>
      <c r="AO2121" s="12"/>
    </row>
    <row r="2122" spans="1:41" ht="15" x14ac:dyDescent="0.25">
      <c r="A2122" s="1"/>
      <c r="B2122" s="1"/>
      <c r="C2122" s="1"/>
      <c r="D2122" s="1"/>
      <c r="E2122" s="6"/>
      <c r="F2122" s="1"/>
      <c r="G2122" s="6"/>
      <c r="H2122" s="6"/>
      <c r="I2122" s="6"/>
      <c r="J2122" s="6"/>
      <c r="K2122" s="12"/>
      <c r="L2122" s="12"/>
      <c r="M2122" s="6"/>
      <c r="N2122" s="6"/>
      <c r="O2122" s="7"/>
      <c r="P2122" s="6"/>
      <c r="Q2122" s="7"/>
      <c r="R2122" s="6"/>
      <c r="S2122" s="6"/>
      <c r="T2122" s="6"/>
      <c r="U2122" s="6"/>
      <c r="V2122" s="7"/>
      <c r="W2122" s="7"/>
      <c r="X2122" s="6"/>
      <c r="Y2122" s="6"/>
      <c r="Z2122" s="6"/>
      <c r="AA2122" s="1"/>
      <c r="AB2122" s="12"/>
      <c r="AC2122" s="12"/>
      <c r="AD2122" s="12"/>
      <c r="AE2122" s="12"/>
      <c r="AF2122" s="12"/>
      <c r="AG2122" s="12"/>
      <c r="AH2122" s="12"/>
      <c r="AI2122" s="6"/>
      <c r="AJ2122" s="12"/>
      <c r="AK2122" s="12"/>
      <c r="AL2122" s="12"/>
      <c r="AM2122" s="12"/>
      <c r="AN2122" s="1"/>
      <c r="AO2122" s="6"/>
    </row>
    <row r="2123" spans="1:41" ht="15" x14ac:dyDescent="0.25">
      <c r="A2123" s="1"/>
      <c r="B2123" s="1"/>
      <c r="C2123" s="1"/>
      <c r="D2123" s="1"/>
      <c r="E2123" s="6"/>
      <c r="F2123" s="1"/>
      <c r="G2123" s="6"/>
      <c r="H2123" s="6"/>
      <c r="I2123" s="6"/>
      <c r="J2123" s="6"/>
      <c r="K2123" s="6"/>
      <c r="L2123" s="6"/>
      <c r="M2123" s="6"/>
      <c r="N2123" s="6"/>
      <c r="O2123" s="7"/>
      <c r="P2123" s="6"/>
      <c r="Q2123" s="6"/>
      <c r="R2123" s="7"/>
      <c r="S2123" s="6"/>
      <c r="T2123" s="6"/>
      <c r="U2123" s="7"/>
      <c r="V2123" s="6"/>
      <c r="W2123" s="6"/>
      <c r="X2123" s="12"/>
      <c r="Y2123" s="6"/>
      <c r="Z2123" s="6"/>
      <c r="AA2123" s="7"/>
      <c r="AB2123" s="6"/>
      <c r="AC2123" s="6"/>
      <c r="AD2123" s="6"/>
      <c r="AE2123" s="12"/>
      <c r="AF2123" s="12"/>
      <c r="AG2123" s="12"/>
      <c r="AH2123" s="12"/>
      <c r="AI2123" s="6"/>
      <c r="AJ2123" s="12"/>
      <c r="AK2123" s="24"/>
      <c r="AL2123" s="25"/>
      <c r="AM2123" s="12"/>
      <c r="AN2123" s="1"/>
      <c r="AO2123" s="6"/>
    </row>
    <row r="2124" spans="1:41" ht="15" x14ac:dyDescent="0.25">
      <c r="A2124" s="1"/>
      <c r="B2124" s="1"/>
      <c r="C2124" s="1"/>
      <c r="D2124" s="1"/>
      <c r="E2124" s="6"/>
      <c r="F2124" s="1"/>
      <c r="G2124" s="6"/>
      <c r="H2124" s="6"/>
      <c r="I2124" s="6"/>
      <c r="J2124" s="6"/>
      <c r="K2124" s="6"/>
      <c r="L2124" s="6"/>
      <c r="M2124" s="6"/>
      <c r="N2124" s="6"/>
      <c r="O2124" s="7"/>
      <c r="P2124" s="6"/>
      <c r="Q2124" s="6"/>
      <c r="R2124" s="7"/>
      <c r="S2124" s="6"/>
      <c r="T2124" s="6"/>
      <c r="U2124" s="7"/>
      <c r="V2124" s="6"/>
      <c r="W2124" s="6"/>
      <c r="X2124" s="12"/>
      <c r="Y2124" s="6"/>
      <c r="Z2124" s="6"/>
      <c r="AA2124" s="7"/>
      <c r="AB2124" s="6"/>
      <c r="AC2124" s="6"/>
      <c r="AD2124" s="6"/>
      <c r="AE2124" s="12"/>
      <c r="AF2124" s="12"/>
      <c r="AG2124" s="12"/>
      <c r="AH2124" s="12"/>
      <c r="AI2124" s="6"/>
      <c r="AJ2124" s="12"/>
      <c r="AK2124" s="1"/>
      <c r="AL2124" s="12"/>
      <c r="AM2124" s="12"/>
      <c r="AN2124" s="1"/>
      <c r="AO2124" s="6"/>
    </row>
    <row r="2125" spans="1:41" ht="15" x14ac:dyDescent="0.25">
      <c r="A2125" s="1"/>
      <c r="B2125" s="1"/>
      <c r="C2125" s="1"/>
      <c r="D2125" s="1"/>
      <c r="E2125" s="6"/>
      <c r="F2125" s="1"/>
      <c r="G2125" s="6"/>
      <c r="H2125" s="6"/>
      <c r="I2125" s="6"/>
      <c r="J2125" s="6"/>
      <c r="K2125" s="6"/>
      <c r="L2125" s="6"/>
      <c r="M2125" s="6"/>
      <c r="N2125" s="6"/>
      <c r="O2125" s="7"/>
      <c r="P2125" s="6"/>
      <c r="Q2125" s="6"/>
      <c r="R2125" s="7"/>
      <c r="S2125" s="6"/>
      <c r="T2125" s="6"/>
      <c r="U2125" s="7"/>
      <c r="V2125" s="6"/>
      <c r="W2125" s="6"/>
      <c r="X2125" s="12"/>
      <c r="Y2125" s="6"/>
      <c r="Z2125" s="6"/>
      <c r="AA2125" s="7"/>
      <c r="AB2125" s="6"/>
      <c r="AC2125" s="6"/>
      <c r="AD2125" s="6"/>
      <c r="AE2125" s="12"/>
      <c r="AF2125" s="6"/>
      <c r="AG2125" s="12"/>
      <c r="AH2125" s="6"/>
      <c r="AI2125" s="6"/>
      <c r="AJ2125" s="12"/>
      <c r="AK2125" s="1"/>
      <c r="AL2125" s="12"/>
      <c r="AM2125" s="12"/>
      <c r="AN2125" s="1"/>
      <c r="AO2125" s="6"/>
    </row>
    <row r="2126" spans="1:41" ht="15" x14ac:dyDescent="0.25">
      <c r="A2126" s="1"/>
      <c r="B2126" s="1"/>
      <c r="C2126" s="1"/>
      <c r="D2126" s="1"/>
      <c r="E2126" s="6"/>
      <c r="F2126" s="1"/>
      <c r="G2126" s="6"/>
      <c r="H2126" s="6"/>
      <c r="I2126" s="6"/>
      <c r="J2126" s="6"/>
      <c r="K2126" s="6"/>
      <c r="L2126" s="6"/>
      <c r="M2126" s="6"/>
      <c r="N2126" s="6"/>
      <c r="O2126" s="7"/>
      <c r="P2126" s="12"/>
      <c r="Q2126" s="6"/>
      <c r="R2126" s="7"/>
      <c r="S2126" s="6"/>
      <c r="T2126" s="6"/>
      <c r="U2126" s="7"/>
      <c r="V2126" s="6"/>
      <c r="W2126" s="6"/>
      <c r="X2126" s="12"/>
      <c r="Y2126" s="6"/>
      <c r="Z2126" s="6"/>
      <c r="AA2126" s="7"/>
      <c r="AB2126" s="6"/>
      <c r="AC2126" s="6"/>
      <c r="AD2126" s="6"/>
      <c r="AE2126" s="12"/>
      <c r="AF2126" s="12"/>
      <c r="AG2126" s="12"/>
      <c r="AH2126" s="12"/>
      <c r="AI2126" s="6"/>
      <c r="AJ2126" s="12"/>
      <c r="AK2126" s="1"/>
      <c r="AL2126" s="12"/>
      <c r="AM2126" s="12"/>
      <c r="AN2126" s="1"/>
      <c r="AO2126" s="6"/>
    </row>
    <row r="2127" spans="1:41" ht="15" x14ac:dyDescent="0.25">
      <c r="A2127" s="1"/>
      <c r="B2127" s="1"/>
      <c r="C2127" s="1"/>
      <c r="D2127" s="1"/>
      <c r="E2127" s="6"/>
      <c r="F2127" s="1"/>
      <c r="G2127" s="6"/>
      <c r="H2127" s="6"/>
      <c r="I2127" s="6"/>
      <c r="J2127" s="6"/>
      <c r="K2127" s="6"/>
      <c r="L2127" s="6"/>
      <c r="M2127" s="6"/>
      <c r="N2127" s="6"/>
      <c r="O2127" s="7"/>
      <c r="P2127" s="6"/>
      <c r="Q2127" s="6"/>
      <c r="R2127" s="7"/>
      <c r="S2127" s="6"/>
      <c r="T2127" s="6"/>
      <c r="U2127" s="7"/>
      <c r="V2127" s="6"/>
      <c r="W2127" s="6"/>
      <c r="X2127" s="6"/>
      <c r="Y2127" s="6"/>
      <c r="Z2127" s="6"/>
      <c r="AA2127" s="7"/>
      <c r="AB2127" s="6"/>
      <c r="AC2127" s="6"/>
      <c r="AD2127" s="6"/>
      <c r="AE2127" s="12"/>
      <c r="AF2127" s="6"/>
      <c r="AG2127" s="12"/>
      <c r="AH2127" s="6"/>
      <c r="AI2127" s="6"/>
      <c r="AJ2127" s="12"/>
      <c r="AK2127" s="1"/>
      <c r="AL2127" s="12"/>
      <c r="AM2127" s="12"/>
      <c r="AN2127" s="1"/>
      <c r="AO2127" s="6"/>
    </row>
    <row r="2128" spans="1:41" ht="15" x14ac:dyDescent="0.25">
      <c r="A2128" s="1"/>
      <c r="B2128" s="1"/>
      <c r="C2128" s="1"/>
      <c r="D2128" s="1"/>
      <c r="E2128" s="6"/>
      <c r="F2128" s="1"/>
      <c r="G2128" s="6"/>
      <c r="H2128" s="6"/>
      <c r="I2128" s="6"/>
      <c r="J2128" s="6"/>
      <c r="K2128" s="6"/>
      <c r="L2128" s="6"/>
      <c r="M2128" s="6"/>
      <c r="N2128" s="6"/>
      <c r="O2128" s="7"/>
      <c r="P2128" s="6"/>
      <c r="Q2128" s="6"/>
      <c r="R2128" s="7"/>
      <c r="S2128" s="6"/>
      <c r="T2128" s="6"/>
      <c r="U2128" s="7"/>
      <c r="V2128" s="6"/>
      <c r="W2128" s="6"/>
      <c r="X2128" s="6"/>
      <c r="Y2128" s="6"/>
      <c r="Z2128" s="6"/>
      <c r="AA2128" s="7"/>
      <c r="AB2128" s="6"/>
      <c r="AC2128" s="6"/>
      <c r="AD2128" s="6"/>
      <c r="AE2128" s="12"/>
      <c r="AF2128" s="6"/>
      <c r="AG2128" s="12"/>
      <c r="AH2128" s="6"/>
      <c r="AI2128" s="6"/>
      <c r="AJ2128" s="12"/>
      <c r="AK2128" s="24"/>
      <c r="AL2128" s="25"/>
      <c r="AM2128" s="12"/>
      <c r="AN2128" s="1"/>
      <c r="AO2128" s="6"/>
    </row>
    <row r="2129" spans="1:41" ht="15" x14ac:dyDescent="0.25">
      <c r="A2129" s="1"/>
      <c r="B2129" s="1"/>
      <c r="C2129" s="1"/>
      <c r="D2129" s="1"/>
      <c r="E2129" s="6"/>
      <c r="F2129" s="1"/>
      <c r="G2129" s="6"/>
      <c r="H2129" s="6"/>
      <c r="I2129" s="6"/>
      <c r="J2129" s="6"/>
      <c r="K2129" s="6"/>
      <c r="L2129" s="6"/>
      <c r="M2129" s="6"/>
      <c r="N2129" s="6"/>
      <c r="O2129" s="7"/>
      <c r="P2129" s="6"/>
      <c r="Q2129" s="6"/>
      <c r="R2129" s="7"/>
      <c r="S2129" s="6"/>
      <c r="T2129" s="6"/>
      <c r="U2129" s="7"/>
      <c r="V2129" s="6"/>
      <c r="W2129" s="6"/>
      <c r="X2129" s="6"/>
      <c r="Y2129" s="6"/>
      <c r="Z2129" s="6"/>
      <c r="AA2129" s="7"/>
      <c r="AB2129" s="6"/>
      <c r="AC2129" s="6"/>
      <c r="AD2129" s="6"/>
      <c r="AE2129" s="12"/>
      <c r="AF2129" s="6"/>
      <c r="AG2129" s="12"/>
      <c r="AH2129" s="6"/>
      <c r="AI2129" s="6"/>
      <c r="AJ2129" s="12"/>
      <c r="AK2129" s="1"/>
      <c r="AL2129" s="12"/>
      <c r="AM2129" s="12"/>
      <c r="AN2129" s="1"/>
      <c r="AO2129" s="6"/>
    </row>
    <row r="2130" spans="1:41" ht="15" x14ac:dyDescent="0.25">
      <c r="A2130" s="1"/>
      <c r="B2130" s="1"/>
      <c r="C2130" s="1"/>
      <c r="D2130" s="1"/>
      <c r="E2130" s="6"/>
      <c r="F2130" s="1"/>
      <c r="G2130" s="6"/>
      <c r="H2130" s="6"/>
      <c r="I2130" s="6"/>
      <c r="J2130" s="6"/>
      <c r="K2130" s="6"/>
      <c r="L2130" s="6"/>
      <c r="M2130" s="6"/>
      <c r="N2130" s="6"/>
      <c r="O2130" s="7"/>
      <c r="P2130" s="6"/>
      <c r="Q2130" s="6"/>
      <c r="R2130" s="12"/>
      <c r="S2130" s="12"/>
      <c r="T2130" s="12"/>
      <c r="U2130" s="7"/>
      <c r="V2130" s="6"/>
      <c r="W2130" s="6"/>
      <c r="X2130" s="12"/>
      <c r="Y2130" s="6"/>
      <c r="Z2130" s="6"/>
      <c r="AA2130" s="7"/>
      <c r="AB2130" s="6"/>
      <c r="AC2130" s="6"/>
      <c r="AD2130" s="6"/>
      <c r="AE2130" s="12"/>
      <c r="AF2130" s="6"/>
      <c r="AG2130" s="12"/>
      <c r="AH2130" s="6"/>
      <c r="AI2130" s="6"/>
      <c r="AJ2130" s="12"/>
      <c r="AK2130" s="1"/>
      <c r="AL2130" s="12"/>
      <c r="AM2130" s="12"/>
      <c r="AN2130" s="1"/>
      <c r="AO2130" s="6"/>
    </row>
    <row r="2131" spans="1:41" ht="15" x14ac:dyDescent="0.25">
      <c r="A2131" s="1"/>
      <c r="B2131" s="1"/>
      <c r="C2131" s="1"/>
      <c r="D2131" s="1"/>
      <c r="E2131" s="6"/>
      <c r="F2131" s="1"/>
      <c r="G2131" s="6"/>
      <c r="H2131" s="6"/>
      <c r="I2131" s="6"/>
      <c r="J2131" s="6"/>
      <c r="K2131" s="6"/>
      <c r="L2131" s="6"/>
      <c r="M2131" s="6"/>
      <c r="N2131" s="6"/>
      <c r="O2131" s="7"/>
      <c r="P2131" s="12"/>
      <c r="Q2131" s="6"/>
      <c r="R2131" s="7"/>
      <c r="S2131" s="6"/>
      <c r="T2131" s="6"/>
      <c r="U2131" s="7"/>
      <c r="V2131" s="6"/>
      <c r="W2131" s="6"/>
      <c r="X2131" s="12"/>
      <c r="Y2131" s="6"/>
      <c r="Z2131" s="6"/>
      <c r="AA2131" s="7"/>
      <c r="AB2131" s="6"/>
      <c r="AC2131" s="6"/>
      <c r="AD2131" s="6"/>
      <c r="AE2131" s="12"/>
      <c r="AF2131" s="6"/>
      <c r="AG2131" s="12"/>
      <c r="AH2131" s="6"/>
      <c r="AI2131" s="6"/>
      <c r="AJ2131" s="12"/>
      <c r="AK2131" s="1"/>
      <c r="AL2131" s="12"/>
      <c r="AM2131" s="12"/>
      <c r="AN2131" s="1"/>
      <c r="AO2131" s="6"/>
    </row>
    <row r="2132" spans="1:41" ht="15" x14ac:dyDescent="0.25">
      <c r="A2132" s="1"/>
      <c r="B2132" s="1"/>
      <c r="C2132" s="1"/>
      <c r="D2132" s="1"/>
      <c r="E2132" s="6"/>
      <c r="F2132" s="1"/>
      <c r="G2132" s="6"/>
      <c r="H2132" s="6"/>
      <c r="I2132" s="6"/>
      <c r="J2132" s="6"/>
      <c r="K2132" s="6"/>
      <c r="L2132" s="6"/>
      <c r="M2132" s="6"/>
      <c r="N2132" s="6"/>
      <c r="O2132" s="7"/>
      <c r="P2132" s="6"/>
      <c r="Q2132" s="6"/>
      <c r="R2132" s="12"/>
      <c r="S2132" s="12"/>
      <c r="T2132" s="12"/>
      <c r="U2132" s="15"/>
      <c r="V2132" s="6"/>
      <c r="W2132" s="6"/>
      <c r="X2132" s="12"/>
      <c r="Y2132" s="6"/>
      <c r="Z2132" s="6"/>
      <c r="AA2132" s="7"/>
      <c r="AB2132" s="6"/>
      <c r="AC2132" s="6"/>
      <c r="AD2132" s="6"/>
      <c r="AE2132" s="12"/>
      <c r="AF2132" s="6"/>
      <c r="AG2132" s="12"/>
      <c r="AH2132" s="6"/>
      <c r="AI2132" s="6"/>
      <c r="AJ2132" s="12"/>
      <c r="AK2132" s="1"/>
      <c r="AL2132" s="12"/>
      <c r="AM2132" s="12"/>
      <c r="AN2132" s="1"/>
      <c r="AO2132" s="6"/>
    </row>
    <row r="2133" spans="1:41" ht="15" x14ac:dyDescent="0.25">
      <c r="A2133" s="1"/>
      <c r="B2133" s="1"/>
      <c r="C2133" s="1"/>
      <c r="D2133" s="1"/>
      <c r="E2133" s="6"/>
      <c r="F2133" s="1"/>
      <c r="G2133" s="6"/>
      <c r="H2133" s="6"/>
      <c r="I2133" s="6"/>
      <c r="J2133" s="6"/>
      <c r="K2133" s="6"/>
      <c r="L2133" s="6"/>
      <c r="M2133" s="6"/>
      <c r="N2133" s="6"/>
      <c r="O2133" s="7"/>
      <c r="P2133" s="6"/>
      <c r="Q2133" s="6"/>
      <c r="R2133" s="7"/>
      <c r="S2133" s="6"/>
      <c r="T2133" s="6"/>
      <c r="U2133" s="7"/>
      <c r="V2133" s="6"/>
      <c r="W2133" s="6"/>
      <c r="X2133" s="12"/>
      <c r="Y2133" s="6"/>
      <c r="Z2133" s="6"/>
      <c r="AA2133" s="7"/>
      <c r="AB2133" s="6"/>
      <c r="AC2133" s="6"/>
      <c r="AD2133" s="6"/>
      <c r="AE2133" s="12"/>
      <c r="AF2133" s="6"/>
      <c r="AG2133" s="12"/>
      <c r="AH2133" s="6"/>
      <c r="AI2133" s="6"/>
      <c r="AJ2133" s="12"/>
      <c r="AK2133" s="1"/>
      <c r="AL2133" s="12"/>
      <c r="AM2133" s="12"/>
      <c r="AN2133" s="1"/>
      <c r="AO2133" s="6"/>
    </row>
    <row r="2134" spans="1:41" ht="15" x14ac:dyDescent="0.25">
      <c r="A2134" s="1"/>
      <c r="B2134" s="1"/>
      <c r="C2134" s="1"/>
      <c r="D2134" s="1"/>
      <c r="E2134" s="6"/>
      <c r="F2134" s="1"/>
      <c r="G2134" s="6"/>
      <c r="H2134" s="6"/>
      <c r="I2134" s="6"/>
      <c r="J2134" s="6"/>
      <c r="K2134" s="6"/>
      <c r="L2134" s="6"/>
      <c r="M2134" s="6"/>
      <c r="N2134" s="6"/>
      <c r="O2134" s="7"/>
      <c r="P2134" s="6"/>
      <c r="Q2134" s="6"/>
      <c r="R2134" s="7"/>
      <c r="S2134" s="6"/>
      <c r="T2134" s="6"/>
      <c r="U2134" s="7"/>
      <c r="V2134" s="6"/>
      <c r="W2134" s="6"/>
      <c r="X2134" s="12"/>
      <c r="Y2134" s="6"/>
      <c r="Z2134" s="6"/>
      <c r="AA2134" s="7"/>
      <c r="AB2134" s="6"/>
      <c r="AC2134" s="6"/>
      <c r="AD2134" s="6"/>
      <c r="AE2134" s="12"/>
      <c r="AF2134" s="12"/>
      <c r="AG2134" s="12"/>
      <c r="AH2134" s="12"/>
      <c r="AI2134" s="6"/>
      <c r="AJ2134" s="12"/>
      <c r="AK2134" s="1"/>
      <c r="AL2134" s="12"/>
      <c r="AM2134" s="12"/>
      <c r="AN2134" s="1"/>
      <c r="AO2134" s="6"/>
    </row>
    <row r="2135" spans="1:41" ht="15" x14ac:dyDescent="0.25">
      <c r="A2135" s="1"/>
      <c r="B2135" s="1"/>
      <c r="C2135" s="1"/>
      <c r="D2135" s="1"/>
      <c r="E2135" s="6"/>
      <c r="F2135" s="1"/>
      <c r="G2135" s="6"/>
      <c r="H2135" s="6"/>
      <c r="I2135" s="6"/>
      <c r="J2135" s="6"/>
      <c r="K2135" s="6"/>
      <c r="L2135" s="6"/>
      <c r="M2135" s="6"/>
      <c r="N2135" s="6"/>
      <c r="O2135" s="7"/>
      <c r="P2135" s="6"/>
      <c r="Q2135" s="6"/>
      <c r="R2135" s="7"/>
      <c r="S2135" s="6"/>
      <c r="T2135" s="6"/>
      <c r="U2135" s="7"/>
      <c r="V2135" s="6"/>
      <c r="W2135" s="6"/>
      <c r="X2135" s="12"/>
      <c r="Y2135" s="6"/>
      <c r="Z2135" s="6"/>
      <c r="AA2135" s="7"/>
      <c r="AB2135" s="6"/>
      <c r="AC2135" s="6"/>
      <c r="AD2135" s="6"/>
      <c r="AE2135" s="12"/>
      <c r="AF2135" s="6"/>
      <c r="AG2135" s="12"/>
      <c r="AH2135" s="6"/>
      <c r="AI2135" s="6"/>
      <c r="AJ2135" s="12"/>
      <c r="AK2135" s="1"/>
      <c r="AL2135" s="12"/>
      <c r="AM2135" s="12"/>
      <c r="AN2135" s="1"/>
      <c r="AO2135" s="6"/>
    </row>
    <row r="2136" spans="1:41" ht="15" x14ac:dyDescent="0.25">
      <c r="A2136" s="1"/>
      <c r="B2136" s="1"/>
      <c r="C2136" s="1"/>
      <c r="D2136" s="1"/>
      <c r="E2136" s="6"/>
      <c r="F2136" s="1"/>
      <c r="G2136" s="6"/>
      <c r="H2136" s="6"/>
      <c r="I2136" s="6"/>
      <c r="J2136" s="6"/>
      <c r="K2136" s="6"/>
      <c r="L2136" s="6"/>
      <c r="M2136" s="6"/>
      <c r="N2136" s="6"/>
      <c r="O2136" s="7"/>
      <c r="P2136" s="12"/>
      <c r="Q2136" s="6"/>
      <c r="R2136" s="7"/>
      <c r="S2136" s="6"/>
      <c r="T2136" s="6"/>
      <c r="U2136" s="7"/>
      <c r="V2136" s="6"/>
      <c r="W2136" s="6"/>
      <c r="X2136" s="6"/>
      <c r="Y2136" s="6"/>
      <c r="Z2136" s="6"/>
      <c r="AA2136" s="15"/>
      <c r="AB2136" s="6"/>
      <c r="AC2136" s="6"/>
      <c r="AD2136" s="6"/>
      <c r="AE2136" s="12"/>
      <c r="AF2136" s="6"/>
      <c r="AG2136" s="12"/>
      <c r="AH2136" s="6"/>
      <c r="AI2136" s="6"/>
      <c r="AJ2136" s="12"/>
      <c r="AK2136" s="1"/>
      <c r="AL2136" s="12"/>
      <c r="AM2136" s="12"/>
      <c r="AN2136" s="1"/>
      <c r="AO2136" s="6"/>
    </row>
    <row r="2137" spans="1:41" ht="15" x14ac:dyDescent="0.25">
      <c r="A2137" s="1"/>
      <c r="B2137" s="1"/>
      <c r="C2137" s="1"/>
      <c r="D2137" s="1"/>
      <c r="E2137" s="6"/>
      <c r="F2137" s="1"/>
      <c r="G2137" s="6"/>
      <c r="H2137" s="6"/>
      <c r="I2137" s="6"/>
      <c r="J2137" s="6"/>
      <c r="K2137" s="6"/>
      <c r="L2137" s="6"/>
      <c r="M2137" s="6"/>
      <c r="N2137" s="6"/>
      <c r="O2137" s="7"/>
      <c r="P2137" s="6"/>
      <c r="Q2137" s="6"/>
      <c r="R2137" s="7"/>
      <c r="S2137" s="6"/>
      <c r="T2137" s="6"/>
      <c r="U2137" s="7"/>
      <c r="V2137" s="6"/>
      <c r="W2137" s="6"/>
      <c r="X2137" s="6"/>
      <c r="Y2137" s="6"/>
      <c r="Z2137" s="6"/>
      <c r="AA2137" s="7"/>
      <c r="AB2137" s="6"/>
      <c r="AC2137" s="6"/>
      <c r="AD2137" s="6"/>
      <c r="AE2137" s="12"/>
      <c r="AF2137" s="12"/>
      <c r="AG2137" s="12"/>
      <c r="AH2137" s="12"/>
      <c r="AI2137" s="6"/>
      <c r="AJ2137" s="12"/>
      <c r="AK2137" s="1"/>
      <c r="AL2137" s="12"/>
      <c r="AM2137" s="12"/>
      <c r="AN2137" s="1"/>
      <c r="AO2137" s="6"/>
    </row>
    <row r="2138" spans="1:41" ht="15" x14ac:dyDescent="0.25">
      <c r="A2138" s="1"/>
      <c r="B2138" s="1"/>
      <c r="C2138" s="1"/>
      <c r="D2138" s="1"/>
      <c r="E2138" s="6"/>
      <c r="F2138" s="1"/>
      <c r="G2138" s="6"/>
      <c r="H2138" s="6"/>
      <c r="I2138" s="6"/>
      <c r="J2138" s="6"/>
      <c r="K2138" s="6"/>
      <c r="L2138" s="6"/>
      <c r="M2138" s="6"/>
      <c r="N2138" s="6"/>
      <c r="O2138" s="7"/>
      <c r="P2138" s="6"/>
      <c r="Q2138" s="6"/>
      <c r="R2138" s="7"/>
      <c r="S2138" s="6"/>
      <c r="T2138" s="6"/>
      <c r="U2138" s="7"/>
      <c r="V2138" s="6"/>
      <c r="W2138" s="6"/>
      <c r="X2138" s="12"/>
      <c r="Y2138" s="6"/>
      <c r="Z2138" s="6"/>
      <c r="AA2138" s="7"/>
      <c r="AB2138" s="6"/>
      <c r="AC2138" s="6"/>
      <c r="AD2138" s="6"/>
      <c r="AE2138" s="12"/>
      <c r="AF2138" s="6"/>
      <c r="AG2138" s="12"/>
      <c r="AH2138" s="6"/>
      <c r="AI2138" s="6"/>
      <c r="AJ2138" s="12"/>
      <c r="AK2138" s="24"/>
      <c r="AL2138" s="25"/>
      <c r="AM2138" s="12"/>
      <c r="AN2138" s="1"/>
      <c r="AO2138" s="6"/>
    </row>
    <row r="2139" spans="1:41" ht="15" x14ac:dyDescent="0.25">
      <c r="A2139" s="1"/>
      <c r="B2139" s="1"/>
      <c r="C2139" s="1"/>
      <c r="D2139" s="1"/>
      <c r="E2139" s="6"/>
      <c r="F2139" s="1"/>
      <c r="G2139" s="6"/>
      <c r="H2139" s="6"/>
      <c r="I2139" s="6"/>
      <c r="J2139" s="6"/>
      <c r="K2139" s="6"/>
      <c r="L2139" s="6"/>
      <c r="M2139" s="6"/>
      <c r="N2139" s="6"/>
      <c r="O2139" s="7"/>
      <c r="P2139" s="12"/>
      <c r="Q2139" s="6"/>
      <c r="R2139" s="7"/>
      <c r="S2139" s="6"/>
      <c r="T2139" s="6"/>
      <c r="U2139" s="7"/>
      <c r="V2139" s="6"/>
      <c r="W2139" s="6"/>
      <c r="X2139" s="12"/>
      <c r="Y2139" s="6"/>
      <c r="Z2139" s="6"/>
      <c r="AA2139" s="7"/>
      <c r="AB2139" s="6"/>
      <c r="AC2139" s="6"/>
      <c r="AD2139" s="6"/>
      <c r="AE2139" s="12"/>
      <c r="AF2139" s="6"/>
      <c r="AG2139" s="12"/>
      <c r="AH2139" s="6"/>
      <c r="AI2139" s="6"/>
      <c r="AJ2139" s="12"/>
      <c r="AK2139" s="1"/>
      <c r="AL2139" s="12"/>
      <c r="AM2139" s="12"/>
      <c r="AN2139" s="1"/>
      <c r="AO2139" s="6"/>
    </row>
    <row r="2140" spans="1:41" ht="15" x14ac:dyDescent="0.25">
      <c r="A2140" s="1"/>
      <c r="B2140" s="1"/>
      <c r="C2140" s="1"/>
      <c r="D2140" s="1"/>
      <c r="E2140" s="6"/>
      <c r="F2140" s="1"/>
      <c r="G2140" s="6"/>
      <c r="H2140" s="6"/>
      <c r="I2140" s="6"/>
      <c r="J2140" s="6"/>
      <c r="K2140" s="6"/>
      <c r="L2140" s="6"/>
      <c r="M2140" s="6"/>
      <c r="N2140" s="6"/>
      <c r="O2140" s="7"/>
      <c r="P2140" s="6"/>
      <c r="Q2140" s="6"/>
      <c r="R2140" s="7"/>
      <c r="S2140" s="6"/>
      <c r="T2140" s="6"/>
      <c r="U2140" s="7"/>
      <c r="V2140" s="6"/>
      <c r="W2140" s="6"/>
      <c r="X2140" s="6"/>
      <c r="Y2140" s="6"/>
      <c r="Z2140" s="6"/>
      <c r="AA2140" s="7"/>
      <c r="AB2140" s="6"/>
      <c r="AC2140" s="6"/>
      <c r="AD2140" s="6"/>
      <c r="AE2140" s="12"/>
      <c r="AF2140" s="6"/>
      <c r="AG2140" s="12"/>
      <c r="AH2140" s="6"/>
      <c r="AI2140" s="6"/>
      <c r="AJ2140" s="12"/>
      <c r="AK2140" s="24"/>
      <c r="AL2140" s="25"/>
      <c r="AM2140" s="12"/>
      <c r="AN2140" s="1"/>
      <c r="AO2140" s="6"/>
    </row>
    <row r="2141" spans="1:41" ht="15" x14ac:dyDescent="0.25">
      <c r="A2141" s="1"/>
      <c r="B2141" s="1"/>
      <c r="C2141" s="1"/>
      <c r="D2141" s="1"/>
      <c r="E2141" s="6"/>
      <c r="F2141" s="1"/>
      <c r="G2141" s="6"/>
      <c r="H2141" s="6"/>
      <c r="I2141" s="6"/>
      <c r="J2141" s="6"/>
      <c r="K2141" s="6"/>
      <c r="L2141" s="6"/>
      <c r="M2141" s="6"/>
      <c r="N2141" s="6"/>
      <c r="O2141" s="7"/>
      <c r="P2141" s="6"/>
      <c r="Q2141" s="7"/>
      <c r="R2141" s="6"/>
      <c r="S2141" s="6"/>
      <c r="T2141" s="6"/>
      <c r="U2141" s="6"/>
      <c r="V2141" s="7"/>
      <c r="W2141" s="7"/>
      <c r="X2141" s="6"/>
      <c r="Y2141" s="6"/>
      <c r="Z2141" s="6"/>
      <c r="AA2141" s="1"/>
      <c r="AB2141" s="12"/>
      <c r="AC2141" s="12"/>
      <c r="AD2141" s="12"/>
      <c r="AE2141" s="12"/>
      <c r="AF2141" s="12"/>
      <c r="AG2141" s="12"/>
      <c r="AH2141" s="12"/>
      <c r="AI2141" s="6"/>
      <c r="AJ2141" s="12"/>
      <c r="AK2141" s="12"/>
      <c r="AL2141" s="12"/>
      <c r="AM2141" s="12"/>
      <c r="AN2141" s="1"/>
      <c r="AO2141" s="6"/>
    </row>
    <row r="2142" spans="1:41" ht="15" x14ac:dyDescent="0.25">
      <c r="A2142" s="1"/>
      <c r="B2142" s="1"/>
      <c r="C2142" s="1"/>
      <c r="D2142" s="1"/>
      <c r="E2142" s="6"/>
      <c r="F2142" s="1"/>
      <c r="G2142" s="6"/>
      <c r="H2142" s="6"/>
      <c r="I2142" s="6"/>
      <c r="J2142" s="6"/>
      <c r="K2142" s="6"/>
      <c r="L2142" s="6"/>
      <c r="M2142" s="6"/>
      <c r="N2142" s="6"/>
      <c r="O2142" s="7"/>
      <c r="P2142" s="6"/>
      <c r="Q2142" s="7"/>
      <c r="R2142" s="6"/>
      <c r="S2142" s="6"/>
      <c r="T2142" s="6"/>
      <c r="U2142" s="6"/>
      <c r="V2142" s="7"/>
      <c r="W2142" s="7"/>
      <c r="X2142" s="6"/>
      <c r="Y2142" s="6"/>
      <c r="Z2142" s="6"/>
      <c r="AA2142" s="1"/>
      <c r="AB2142" s="12"/>
      <c r="AC2142" s="12"/>
      <c r="AD2142" s="12"/>
      <c r="AE2142" s="12"/>
      <c r="AF2142" s="12"/>
      <c r="AG2142" s="12"/>
      <c r="AH2142" s="12"/>
      <c r="AI2142" s="6"/>
      <c r="AJ2142" s="12"/>
      <c r="AK2142" s="12"/>
      <c r="AL2142" s="12"/>
      <c r="AM2142" s="12"/>
      <c r="AN2142" s="1"/>
      <c r="AO2142" s="6"/>
    </row>
    <row r="2143" spans="1:41" ht="15" x14ac:dyDescent="0.25">
      <c r="A2143" s="1"/>
      <c r="B2143" s="1"/>
      <c r="C2143" s="1"/>
      <c r="D2143" s="1"/>
      <c r="E2143" s="6"/>
      <c r="F2143" s="1"/>
      <c r="G2143" s="6"/>
      <c r="H2143" s="6"/>
      <c r="I2143" s="6"/>
      <c r="J2143" s="6"/>
      <c r="K2143" s="6"/>
      <c r="L2143" s="6"/>
      <c r="M2143" s="6"/>
      <c r="N2143" s="6"/>
      <c r="O2143" s="7"/>
      <c r="P2143" s="6"/>
      <c r="Q2143" s="6"/>
      <c r="R2143" s="7"/>
      <c r="S2143" s="6"/>
      <c r="T2143" s="6"/>
      <c r="U2143" s="7"/>
      <c r="V2143" s="6"/>
      <c r="W2143" s="6"/>
      <c r="X2143" s="12"/>
      <c r="Y2143" s="6"/>
      <c r="Z2143" s="6"/>
      <c r="AA2143" s="7"/>
      <c r="AB2143" s="6"/>
      <c r="AC2143" s="6"/>
      <c r="AD2143" s="6"/>
      <c r="AE2143" s="12"/>
      <c r="AF2143" s="6"/>
      <c r="AG2143" s="12"/>
      <c r="AH2143" s="6"/>
      <c r="AI2143" s="6"/>
      <c r="AJ2143" s="12"/>
      <c r="AK2143" s="1"/>
      <c r="AL2143" s="12"/>
      <c r="AM2143" s="12"/>
      <c r="AN2143" s="1"/>
      <c r="AO2143" s="6"/>
    </row>
    <row r="2144" spans="1:41" ht="15" x14ac:dyDescent="0.25">
      <c r="A2144" s="1"/>
      <c r="B2144" s="1"/>
      <c r="C2144" s="1"/>
      <c r="D2144" s="1"/>
      <c r="E2144" s="6"/>
      <c r="F2144" s="1"/>
      <c r="G2144" s="6"/>
      <c r="H2144" s="6"/>
      <c r="I2144" s="6"/>
      <c r="J2144" s="6"/>
      <c r="K2144" s="6"/>
      <c r="L2144" s="6"/>
      <c r="M2144" s="6"/>
      <c r="N2144" s="6"/>
      <c r="O2144" s="7"/>
      <c r="P2144" s="12"/>
      <c r="Q2144" s="6"/>
      <c r="R2144" s="7"/>
      <c r="S2144" s="6"/>
      <c r="T2144" s="6"/>
      <c r="U2144" s="7"/>
      <c r="V2144" s="6"/>
      <c r="W2144" s="6"/>
      <c r="X2144" s="6"/>
      <c r="Y2144" s="6"/>
      <c r="Z2144" s="6"/>
      <c r="AA2144" s="7"/>
      <c r="AB2144" s="6"/>
      <c r="AC2144" s="6"/>
      <c r="AD2144" s="6"/>
      <c r="AE2144" s="12"/>
      <c r="AF2144" s="12"/>
      <c r="AG2144" s="12"/>
      <c r="AH2144" s="12"/>
      <c r="AI2144" s="6"/>
      <c r="AJ2144" s="12"/>
      <c r="AK2144" s="1"/>
      <c r="AL2144" s="12"/>
      <c r="AM2144" s="12"/>
      <c r="AN2144" s="1"/>
      <c r="AO2144" s="6"/>
    </row>
    <row r="2145" spans="1:41" ht="15" x14ac:dyDescent="0.25">
      <c r="A2145" s="1"/>
      <c r="B2145" s="1"/>
      <c r="C2145" s="1"/>
      <c r="D2145" s="1"/>
      <c r="E2145" s="6"/>
      <c r="F2145" s="1"/>
      <c r="G2145" s="6"/>
      <c r="H2145" s="6"/>
      <c r="I2145" s="6"/>
      <c r="J2145" s="6"/>
      <c r="K2145" s="6"/>
      <c r="L2145" s="6"/>
      <c r="M2145" s="6"/>
      <c r="N2145" s="6"/>
      <c r="O2145" s="7"/>
      <c r="P2145" s="6"/>
      <c r="Q2145" s="6"/>
      <c r="R2145" s="7"/>
      <c r="S2145" s="6"/>
      <c r="T2145" s="6"/>
      <c r="U2145" s="7"/>
      <c r="V2145" s="6"/>
      <c r="W2145" s="6"/>
      <c r="X2145" s="6"/>
      <c r="Y2145" s="6"/>
      <c r="Z2145" s="6"/>
      <c r="AA2145" s="7"/>
      <c r="AB2145" s="6"/>
      <c r="AC2145" s="6"/>
      <c r="AD2145" s="6"/>
      <c r="AE2145" s="12"/>
      <c r="AF2145" s="12"/>
      <c r="AG2145" s="12"/>
      <c r="AH2145" s="12"/>
      <c r="AI2145" s="6"/>
      <c r="AJ2145" s="12"/>
      <c r="AK2145" s="1"/>
      <c r="AL2145" s="12"/>
      <c r="AM2145" s="12"/>
      <c r="AN2145" s="1"/>
      <c r="AO2145" s="6"/>
    </row>
    <row r="2146" spans="1:41" ht="15" x14ac:dyDescent="0.25">
      <c r="A2146" s="1"/>
      <c r="B2146" s="1"/>
      <c r="C2146" s="1"/>
      <c r="D2146" s="1"/>
      <c r="E2146" s="6"/>
      <c r="F2146" s="1"/>
      <c r="G2146" s="6"/>
      <c r="H2146" s="6"/>
      <c r="I2146" s="6"/>
      <c r="J2146" s="6"/>
      <c r="K2146" s="6"/>
      <c r="L2146" s="6"/>
      <c r="M2146" s="6"/>
      <c r="N2146" s="6"/>
      <c r="O2146" s="7"/>
      <c r="P2146" s="6"/>
      <c r="Q2146" s="6"/>
      <c r="R2146" s="7"/>
      <c r="S2146" s="6"/>
      <c r="T2146" s="6"/>
      <c r="U2146" s="7"/>
      <c r="V2146" s="6"/>
      <c r="W2146" s="6"/>
      <c r="X2146" s="12"/>
      <c r="Y2146" s="6"/>
      <c r="Z2146" s="6"/>
      <c r="AA2146" s="7"/>
      <c r="AB2146" s="6"/>
      <c r="AC2146" s="6"/>
      <c r="AD2146" s="6"/>
      <c r="AE2146" s="12"/>
      <c r="AF2146" s="12"/>
      <c r="AG2146" s="12"/>
      <c r="AH2146" s="12"/>
      <c r="AI2146" s="6"/>
      <c r="AJ2146" s="12"/>
      <c r="AK2146" s="1"/>
      <c r="AL2146" s="12"/>
      <c r="AM2146" s="12"/>
      <c r="AN2146" s="1"/>
      <c r="AO2146" s="6"/>
    </row>
    <row r="2147" spans="1:41" ht="15" x14ac:dyDescent="0.25">
      <c r="A2147" s="1"/>
      <c r="B2147" s="1"/>
      <c r="C2147" s="1"/>
      <c r="D2147" s="1"/>
      <c r="E2147" s="6"/>
      <c r="F2147" s="1"/>
      <c r="G2147" s="6"/>
      <c r="H2147" s="6"/>
      <c r="I2147" s="6"/>
      <c r="J2147" s="6"/>
      <c r="K2147" s="6"/>
      <c r="L2147" s="6"/>
      <c r="M2147" s="6"/>
      <c r="N2147" s="6"/>
      <c r="O2147" s="7"/>
      <c r="P2147" s="6"/>
      <c r="Q2147" s="6"/>
      <c r="R2147" s="7"/>
      <c r="S2147" s="6"/>
      <c r="T2147" s="6"/>
      <c r="U2147" s="7"/>
      <c r="V2147" s="6"/>
      <c r="W2147" s="6"/>
      <c r="X2147" s="6"/>
      <c r="Y2147" s="6"/>
      <c r="Z2147" s="6"/>
      <c r="AA2147" s="7"/>
      <c r="AB2147" s="6"/>
      <c r="AC2147" s="6"/>
      <c r="AD2147" s="6"/>
      <c r="AE2147" s="12"/>
      <c r="AF2147" s="6"/>
      <c r="AG2147" s="12"/>
      <c r="AH2147" s="6"/>
      <c r="AI2147" s="6"/>
      <c r="AJ2147" s="12"/>
      <c r="AK2147" s="1"/>
      <c r="AL2147" s="12"/>
      <c r="AM2147" s="12"/>
      <c r="AN2147" s="1"/>
      <c r="AO2147" s="6"/>
    </row>
    <row r="2148" spans="1:41" ht="15" x14ac:dyDescent="0.25">
      <c r="A2148" s="1"/>
      <c r="B2148" s="1"/>
      <c r="C2148" s="1"/>
      <c r="D2148" s="1"/>
      <c r="E2148" s="6"/>
      <c r="F2148" s="1"/>
      <c r="G2148" s="6"/>
      <c r="H2148" s="6"/>
      <c r="I2148" s="6"/>
      <c r="J2148" s="6"/>
      <c r="K2148" s="6"/>
      <c r="L2148" s="6"/>
      <c r="M2148" s="6"/>
      <c r="N2148" s="6"/>
      <c r="O2148" s="7"/>
      <c r="P2148" s="6"/>
      <c r="Q2148" s="7"/>
      <c r="R2148" s="6"/>
      <c r="S2148" s="6"/>
      <c r="T2148" s="6"/>
      <c r="U2148" s="6"/>
      <c r="V2148" s="7"/>
      <c r="W2148" s="7"/>
      <c r="X2148" s="6"/>
      <c r="Y2148" s="6"/>
      <c r="Z2148" s="6"/>
      <c r="AA2148" s="1"/>
      <c r="AB2148" s="12"/>
      <c r="AC2148" s="12"/>
      <c r="AD2148" s="12"/>
      <c r="AE2148" s="12"/>
      <c r="AF2148" s="12"/>
      <c r="AG2148" s="12"/>
      <c r="AH2148" s="12"/>
      <c r="AI2148" s="6"/>
      <c r="AJ2148" s="12"/>
      <c r="AK2148" s="12"/>
      <c r="AL2148" s="12"/>
      <c r="AM2148" s="12"/>
      <c r="AN2148" s="1"/>
      <c r="AO2148" s="6"/>
    </row>
    <row r="2149" spans="1:41" ht="15" x14ac:dyDescent="0.25">
      <c r="A2149" s="1"/>
      <c r="B2149" s="1"/>
      <c r="C2149" s="1"/>
      <c r="D2149" s="1"/>
      <c r="E2149" s="6"/>
      <c r="F2149" s="1"/>
      <c r="G2149" s="6"/>
      <c r="H2149" s="6"/>
      <c r="I2149" s="6"/>
      <c r="J2149" s="6"/>
      <c r="K2149" s="6"/>
      <c r="L2149" s="6"/>
      <c r="M2149" s="6"/>
      <c r="N2149" s="6"/>
      <c r="O2149" s="7"/>
      <c r="P2149" s="6"/>
      <c r="Q2149" s="7"/>
      <c r="R2149" s="6"/>
      <c r="S2149" s="6"/>
      <c r="T2149" s="6"/>
      <c r="U2149" s="6"/>
      <c r="V2149" s="7"/>
      <c r="W2149" s="7"/>
      <c r="X2149" s="6"/>
      <c r="Y2149" s="6"/>
      <c r="Z2149" s="6"/>
      <c r="AA2149" s="1"/>
      <c r="AB2149" s="12"/>
      <c r="AC2149" s="12"/>
      <c r="AD2149" s="12"/>
      <c r="AE2149" s="12"/>
      <c r="AF2149" s="6"/>
      <c r="AG2149" s="12"/>
      <c r="AH2149" s="6"/>
      <c r="AI2149" s="6"/>
      <c r="AJ2149" s="12"/>
      <c r="AK2149" s="12"/>
      <c r="AL2149" s="12"/>
      <c r="AM2149" s="12"/>
      <c r="AN2149" s="1"/>
      <c r="AO2149" s="6"/>
    </row>
    <row r="2150" spans="1:41" ht="15" x14ac:dyDescent="0.25">
      <c r="A2150" s="1"/>
      <c r="B2150" s="1"/>
      <c r="C2150" s="1"/>
      <c r="D2150" s="1"/>
      <c r="E2150" s="6"/>
      <c r="F2150" s="1"/>
      <c r="G2150" s="6"/>
      <c r="H2150" s="6"/>
      <c r="I2150" s="6"/>
      <c r="J2150" s="6"/>
      <c r="K2150" s="6"/>
      <c r="L2150" s="6"/>
      <c r="M2150" s="6"/>
      <c r="N2150" s="6"/>
      <c r="O2150" s="7"/>
      <c r="P2150" s="12"/>
      <c r="Q2150" s="6"/>
      <c r="R2150" s="7"/>
      <c r="S2150" s="6"/>
      <c r="T2150" s="6"/>
      <c r="U2150" s="7"/>
      <c r="V2150" s="6"/>
      <c r="W2150" s="6"/>
      <c r="X2150" s="6"/>
      <c r="Y2150" s="6"/>
      <c r="Z2150" s="6"/>
      <c r="AA2150" s="7"/>
      <c r="AB2150" s="6"/>
      <c r="AC2150" s="6"/>
      <c r="AD2150" s="6"/>
      <c r="AE2150" s="12"/>
      <c r="AF2150" s="6"/>
      <c r="AG2150" s="12"/>
      <c r="AH2150" s="6"/>
      <c r="AI2150" s="6"/>
      <c r="AJ2150" s="12"/>
      <c r="AK2150" s="1"/>
      <c r="AL2150" s="12"/>
      <c r="AM2150" s="12"/>
      <c r="AN2150" s="1"/>
      <c r="AO2150" s="6"/>
    </row>
    <row r="2151" spans="1:41" ht="15" x14ac:dyDescent="0.25">
      <c r="A2151" s="1"/>
      <c r="B2151" s="1"/>
      <c r="C2151" s="1"/>
      <c r="D2151" s="1"/>
      <c r="E2151" s="6"/>
      <c r="F2151" s="1"/>
      <c r="G2151" s="6"/>
      <c r="H2151" s="6"/>
      <c r="I2151" s="6"/>
      <c r="J2151" s="6"/>
      <c r="K2151" s="6"/>
      <c r="L2151" s="6"/>
      <c r="M2151" s="6"/>
      <c r="N2151" s="6"/>
      <c r="O2151" s="7"/>
      <c r="P2151" s="6"/>
      <c r="Q2151" s="6"/>
      <c r="R2151" s="7"/>
      <c r="S2151" s="6"/>
      <c r="T2151" s="6"/>
      <c r="U2151" s="7"/>
      <c r="V2151" s="6"/>
      <c r="W2151" s="6"/>
      <c r="X2151" s="6"/>
      <c r="Y2151" s="6"/>
      <c r="Z2151" s="6"/>
      <c r="AA2151" s="7"/>
      <c r="AB2151" s="6"/>
      <c r="AC2151" s="6"/>
      <c r="AD2151" s="6"/>
      <c r="AE2151" s="12"/>
      <c r="AF2151" s="6"/>
      <c r="AG2151" s="12"/>
      <c r="AH2151" s="6"/>
      <c r="AI2151" s="6"/>
      <c r="AJ2151" s="12"/>
      <c r="AK2151" s="24"/>
      <c r="AL2151" s="25"/>
      <c r="AM2151" s="12"/>
      <c r="AN2151" s="1"/>
      <c r="AO2151" s="6"/>
    </row>
    <row r="2152" spans="1:41" ht="15" x14ac:dyDescent="0.25">
      <c r="A2152" s="1"/>
      <c r="B2152" s="1"/>
      <c r="C2152" s="1"/>
      <c r="D2152" s="1"/>
      <c r="E2152" s="6"/>
      <c r="F2152" s="1"/>
      <c r="G2152" s="6"/>
      <c r="H2152" s="6"/>
      <c r="I2152" s="6"/>
      <c r="J2152" s="6"/>
      <c r="K2152" s="6"/>
      <c r="L2152" s="6"/>
      <c r="M2152" s="6"/>
      <c r="N2152" s="6"/>
      <c r="O2152" s="7"/>
      <c r="P2152" s="6"/>
      <c r="Q2152" s="6"/>
      <c r="R2152" s="7"/>
      <c r="S2152" s="6"/>
      <c r="T2152" s="6"/>
      <c r="U2152" s="7"/>
      <c r="V2152" s="6"/>
      <c r="W2152" s="6"/>
      <c r="X2152" s="12"/>
      <c r="Y2152" s="6"/>
      <c r="Z2152" s="6"/>
      <c r="AA2152" s="7"/>
      <c r="AB2152" s="6"/>
      <c r="AC2152" s="6"/>
      <c r="AD2152" s="6"/>
      <c r="AE2152" s="12"/>
      <c r="AF2152" s="12"/>
      <c r="AG2152" s="12"/>
      <c r="AH2152" s="12"/>
      <c r="AI2152" s="6"/>
      <c r="AJ2152" s="12"/>
      <c r="AK2152" s="1"/>
      <c r="AL2152" s="12"/>
      <c r="AM2152" s="12"/>
      <c r="AN2152" s="1"/>
      <c r="AO2152" s="6"/>
    </row>
    <row r="2153" spans="1:41" ht="15" x14ac:dyDescent="0.25">
      <c r="A2153" s="1"/>
      <c r="B2153" s="1"/>
      <c r="C2153" s="1"/>
      <c r="D2153" s="1"/>
      <c r="E2153" s="6"/>
      <c r="F2153" s="1"/>
      <c r="G2153" s="6"/>
      <c r="H2153" s="6"/>
      <c r="I2153" s="6"/>
      <c r="J2153" s="6"/>
      <c r="K2153" s="6"/>
      <c r="L2153" s="6"/>
      <c r="M2153" s="6"/>
      <c r="N2153" s="6"/>
      <c r="O2153" s="7"/>
      <c r="P2153" s="6"/>
      <c r="Q2153" s="6"/>
      <c r="R2153" s="7"/>
      <c r="S2153" s="6"/>
      <c r="T2153" s="6"/>
      <c r="U2153" s="7"/>
      <c r="V2153" s="6"/>
      <c r="W2153" s="6"/>
      <c r="X2153" s="6"/>
      <c r="Y2153" s="6"/>
      <c r="Z2153" s="6"/>
      <c r="AA2153" s="7"/>
      <c r="AB2153" s="6"/>
      <c r="AC2153" s="6"/>
      <c r="AD2153" s="6"/>
      <c r="AE2153" s="12"/>
      <c r="AF2153" s="12"/>
      <c r="AG2153" s="12"/>
      <c r="AH2153" s="12"/>
      <c r="AI2153" s="6"/>
      <c r="AJ2153" s="12"/>
      <c r="AK2153" s="1"/>
      <c r="AL2153" s="12"/>
      <c r="AM2153" s="12"/>
      <c r="AN2153" s="1"/>
      <c r="AO2153" s="6"/>
    </row>
    <row r="2154" spans="1:41" ht="15" x14ac:dyDescent="0.25">
      <c r="A2154" s="1"/>
      <c r="B2154" s="1"/>
      <c r="C2154" s="1"/>
      <c r="D2154" s="1"/>
      <c r="E2154" s="6"/>
      <c r="F2154" s="1"/>
      <c r="G2154" s="6"/>
      <c r="H2154" s="6"/>
      <c r="I2154" s="6"/>
      <c r="J2154" s="6"/>
      <c r="K2154" s="6"/>
      <c r="L2154" s="6"/>
      <c r="M2154" s="6"/>
      <c r="N2154" s="6"/>
      <c r="O2154" s="7"/>
      <c r="P2154" s="6"/>
      <c r="Q2154" s="7"/>
      <c r="R2154" s="6"/>
      <c r="S2154" s="6"/>
      <c r="T2154" s="6"/>
      <c r="U2154" s="6"/>
      <c r="V2154" s="7"/>
      <c r="W2154" s="7"/>
      <c r="X2154" s="6"/>
      <c r="Y2154" s="6"/>
      <c r="Z2154" s="6"/>
      <c r="AA2154" s="1"/>
      <c r="AB2154" s="12"/>
      <c r="AC2154" s="12"/>
      <c r="AD2154" s="12"/>
      <c r="AE2154" s="12"/>
      <c r="AF2154" s="12"/>
      <c r="AG2154" s="12"/>
      <c r="AH2154" s="12"/>
      <c r="AI2154" s="6"/>
      <c r="AJ2154" s="12"/>
      <c r="AK2154" s="12"/>
      <c r="AL2154" s="12"/>
      <c r="AM2154" s="12"/>
      <c r="AN2154" s="1"/>
      <c r="AO2154" s="6"/>
    </row>
    <row r="2155" spans="1:41" ht="15" x14ac:dyDescent="0.25">
      <c r="A2155" s="1"/>
      <c r="B2155" s="1"/>
      <c r="C2155" s="1"/>
      <c r="D2155" s="1"/>
      <c r="E2155" s="6"/>
      <c r="F2155" s="1"/>
      <c r="G2155" s="6"/>
      <c r="H2155" s="6"/>
      <c r="I2155" s="6"/>
      <c r="J2155" s="6"/>
      <c r="K2155" s="6"/>
      <c r="L2155" s="6"/>
      <c r="M2155" s="6"/>
      <c r="N2155" s="6"/>
      <c r="O2155" s="7"/>
      <c r="P2155" s="6"/>
      <c r="Q2155" s="7"/>
      <c r="R2155" s="6"/>
      <c r="S2155" s="12"/>
      <c r="T2155" s="6"/>
      <c r="U2155" s="6"/>
      <c r="V2155" s="7"/>
      <c r="W2155" s="7"/>
      <c r="X2155" s="6"/>
      <c r="Y2155" s="6"/>
      <c r="Z2155" s="6"/>
      <c r="AA2155" s="1"/>
      <c r="AB2155" s="12"/>
      <c r="AC2155" s="12"/>
      <c r="AD2155" s="12"/>
      <c r="AE2155" s="12"/>
      <c r="AF2155" s="12"/>
      <c r="AG2155" s="12"/>
      <c r="AH2155" s="12"/>
      <c r="AI2155" s="6"/>
      <c r="AJ2155" s="12"/>
      <c r="AK2155" s="12"/>
      <c r="AL2155" s="12"/>
      <c r="AM2155" s="12"/>
      <c r="AN2155" s="1"/>
      <c r="AO2155" s="6"/>
    </row>
    <row r="2156" spans="1:41" ht="15" x14ac:dyDescent="0.25">
      <c r="A2156" s="1"/>
      <c r="B2156" s="1"/>
      <c r="C2156" s="1"/>
      <c r="D2156" s="1"/>
      <c r="E2156" s="6"/>
      <c r="F2156" s="1"/>
      <c r="G2156" s="6"/>
      <c r="H2156" s="6"/>
      <c r="I2156" s="6"/>
      <c r="J2156" s="6"/>
      <c r="K2156" s="6"/>
      <c r="L2156" s="6"/>
      <c r="M2156" s="6"/>
      <c r="N2156" s="6"/>
      <c r="O2156" s="7"/>
      <c r="P2156" s="6"/>
      <c r="Q2156" s="6"/>
      <c r="R2156" s="7"/>
      <c r="S2156" s="6"/>
      <c r="T2156" s="6"/>
      <c r="U2156" s="7"/>
      <c r="V2156" s="6"/>
      <c r="W2156" s="6"/>
      <c r="X2156" s="6"/>
      <c r="Y2156" s="6"/>
      <c r="Z2156" s="6"/>
      <c r="AA2156" s="7"/>
      <c r="AB2156" s="6"/>
      <c r="AC2156" s="6"/>
      <c r="AD2156" s="6"/>
      <c r="AE2156" s="12"/>
      <c r="AF2156" s="12"/>
      <c r="AG2156" s="12"/>
      <c r="AH2156" s="12"/>
      <c r="AI2156" s="6"/>
      <c r="AJ2156" s="12"/>
      <c r="AK2156" s="1"/>
      <c r="AL2156" s="12"/>
      <c r="AM2156" s="12"/>
      <c r="AN2156" s="1"/>
      <c r="AO2156" s="6"/>
    </row>
    <row r="2157" spans="1:41" ht="15" x14ac:dyDescent="0.25">
      <c r="A2157" s="1"/>
      <c r="B2157" s="1"/>
      <c r="C2157" s="1"/>
      <c r="D2157" s="1"/>
      <c r="E2157" s="6"/>
      <c r="F2157" s="1"/>
      <c r="G2157" s="6"/>
      <c r="H2157" s="6"/>
      <c r="I2157" s="6"/>
      <c r="J2157" s="6"/>
      <c r="K2157" s="6"/>
      <c r="L2157" s="6"/>
      <c r="M2157" s="6"/>
      <c r="N2157" s="6"/>
      <c r="O2157" s="7"/>
      <c r="P2157" s="6"/>
      <c r="Q2157" s="6"/>
      <c r="R2157" s="7"/>
      <c r="S2157" s="6"/>
      <c r="T2157" s="6"/>
      <c r="U2157" s="7"/>
      <c r="V2157" s="6"/>
      <c r="W2157" s="6"/>
      <c r="X2157" s="6"/>
      <c r="Y2157" s="6"/>
      <c r="Z2157" s="6"/>
      <c r="AA2157" s="7"/>
      <c r="AB2157" s="6"/>
      <c r="AC2157" s="6"/>
      <c r="AD2157" s="6"/>
      <c r="AE2157" s="12"/>
      <c r="AF2157" s="6"/>
      <c r="AG2157" s="12"/>
      <c r="AH2157" s="6"/>
      <c r="AI2157" s="6"/>
      <c r="AJ2157" s="12"/>
      <c r="AK2157" s="1"/>
      <c r="AL2157" s="12"/>
      <c r="AM2157" s="12"/>
      <c r="AN2157" s="1"/>
      <c r="AO2157" s="6"/>
    </row>
    <row r="2158" spans="1:41" ht="15" x14ac:dyDescent="0.25">
      <c r="A2158" s="1"/>
      <c r="B2158" s="1"/>
      <c r="C2158" s="1"/>
      <c r="D2158" s="1"/>
      <c r="E2158" s="6"/>
      <c r="F2158" s="1"/>
      <c r="G2158" s="6"/>
      <c r="H2158" s="6"/>
      <c r="I2158" s="6"/>
      <c r="J2158" s="6"/>
      <c r="K2158" s="6"/>
      <c r="L2158" s="6"/>
      <c r="M2158" s="6"/>
      <c r="N2158" s="6"/>
      <c r="O2158" s="7"/>
      <c r="P2158" s="6"/>
      <c r="Q2158" s="6"/>
      <c r="R2158" s="7"/>
      <c r="S2158" s="6"/>
      <c r="T2158" s="6"/>
      <c r="U2158" s="7"/>
      <c r="V2158" s="6"/>
      <c r="W2158" s="6"/>
      <c r="X2158" s="6"/>
      <c r="Y2158" s="6"/>
      <c r="Z2158" s="6"/>
      <c r="AA2158" s="7"/>
      <c r="AB2158" s="6"/>
      <c r="AC2158" s="6"/>
      <c r="AD2158" s="6"/>
      <c r="AE2158" s="12"/>
      <c r="AF2158" s="12"/>
      <c r="AG2158" s="12"/>
      <c r="AH2158" s="12"/>
      <c r="AI2158" s="6"/>
      <c r="AJ2158" s="12"/>
      <c r="AK2158" s="1"/>
      <c r="AL2158" s="12"/>
      <c r="AM2158" s="12"/>
      <c r="AN2158" s="1"/>
      <c r="AO2158" s="6"/>
    </row>
    <row r="2159" spans="1:41" ht="15" x14ac:dyDescent="0.25">
      <c r="A2159" s="1"/>
      <c r="B2159" s="1"/>
      <c r="C2159" s="1"/>
      <c r="D2159" s="1"/>
      <c r="E2159" s="6"/>
      <c r="F2159" s="1"/>
      <c r="G2159" s="6"/>
      <c r="H2159" s="6"/>
      <c r="I2159" s="6"/>
      <c r="J2159" s="6"/>
      <c r="K2159" s="6"/>
      <c r="L2159" s="6"/>
      <c r="M2159" s="6"/>
      <c r="N2159" s="6"/>
      <c r="O2159" s="7"/>
      <c r="P2159" s="6"/>
      <c r="Q2159" s="6"/>
      <c r="R2159" s="7"/>
      <c r="S2159" s="6"/>
      <c r="T2159" s="6"/>
      <c r="U2159" s="7"/>
      <c r="V2159" s="6"/>
      <c r="W2159" s="6"/>
      <c r="X2159" s="6"/>
      <c r="Y2159" s="6"/>
      <c r="Z2159" s="6"/>
      <c r="AA2159" s="7"/>
      <c r="AB2159" s="6"/>
      <c r="AC2159" s="6"/>
      <c r="AD2159" s="6"/>
      <c r="AE2159" s="12"/>
      <c r="AF2159" s="12"/>
      <c r="AG2159" s="12"/>
      <c r="AH2159" s="12"/>
      <c r="AI2159" s="6"/>
      <c r="AJ2159" s="12"/>
      <c r="AK2159" s="1"/>
      <c r="AL2159" s="12"/>
      <c r="AM2159" s="12"/>
      <c r="AN2159" s="1"/>
      <c r="AO2159" s="6"/>
    </row>
    <row r="2160" spans="1:41" ht="15" x14ac:dyDescent="0.25">
      <c r="A2160" s="1"/>
      <c r="B2160" s="1"/>
      <c r="C2160" s="1"/>
      <c r="D2160" s="1"/>
      <c r="E2160" s="6"/>
      <c r="F2160" s="1"/>
      <c r="G2160" s="6"/>
      <c r="H2160" s="6"/>
      <c r="I2160" s="6"/>
      <c r="J2160" s="6"/>
      <c r="K2160" s="6"/>
      <c r="L2160" s="6"/>
      <c r="M2160" s="6"/>
      <c r="N2160" s="6"/>
      <c r="O2160" s="7"/>
      <c r="P2160" s="6"/>
      <c r="Q2160" s="6"/>
      <c r="R2160" s="7"/>
      <c r="S2160" s="6"/>
      <c r="T2160" s="6"/>
      <c r="U2160" s="7"/>
      <c r="V2160" s="6"/>
      <c r="W2160" s="6"/>
      <c r="X2160" s="6"/>
      <c r="Y2160" s="6"/>
      <c r="Z2160" s="6"/>
      <c r="AA2160" s="7"/>
      <c r="AB2160" s="6"/>
      <c r="AC2160" s="6"/>
      <c r="AD2160" s="6"/>
      <c r="AE2160" s="12"/>
      <c r="AF2160" s="12"/>
      <c r="AG2160" s="12"/>
      <c r="AH2160" s="12"/>
      <c r="AI2160" s="6"/>
      <c r="AJ2160" s="12"/>
      <c r="AK2160" s="1"/>
      <c r="AL2160" s="12"/>
      <c r="AM2160" s="12"/>
      <c r="AN2160" s="1"/>
      <c r="AO2160" s="6"/>
    </row>
    <row r="2161" spans="1:41" ht="15" x14ac:dyDescent="0.25">
      <c r="A2161" s="1"/>
      <c r="B2161" s="1"/>
      <c r="C2161" s="1"/>
      <c r="D2161" s="1"/>
      <c r="E2161" s="6"/>
      <c r="F2161" s="1"/>
      <c r="G2161" s="6"/>
      <c r="H2161" s="6"/>
      <c r="I2161" s="6"/>
      <c r="J2161" s="6"/>
      <c r="K2161" s="6"/>
      <c r="L2161" s="6"/>
      <c r="M2161" s="6"/>
      <c r="N2161" s="6"/>
      <c r="O2161" s="7"/>
      <c r="P2161" s="6"/>
      <c r="Q2161" s="6"/>
      <c r="R2161" s="7"/>
      <c r="S2161" s="6"/>
      <c r="T2161" s="6"/>
      <c r="U2161" s="7"/>
      <c r="V2161" s="6"/>
      <c r="W2161" s="6"/>
      <c r="X2161" s="6"/>
      <c r="Y2161" s="6"/>
      <c r="Z2161" s="6"/>
      <c r="AA2161" s="7"/>
      <c r="AB2161" s="6"/>
      <c r="AC2161" s="6"/>
      <c r="AD2161" s="6"/>
      <c r="AE2161" s="12"/>
      <c r="AF2161" s="12"/>
      <c r="AG2161" s="12"/>
      <c r="AH2161" s="12"/>
      <c r="AI2161" s="6"/>
      <c r="AJ2161" s="12"/>
      <c r="AK2161" s="1"/>
      <c r="AL2161" s="12"/>
      <c r="AM2161" s="12"/>
      <c r="AN2161" s="1"/>
      <c r="AO2161" s="6"/>
    </row>
    <row r="2162" spans="1:41" ht="15" x14ac:dyDescent="0.25">
      <c r="A2162" s="1"/>
      <c r="B2162" s="1"/>
      <c r="C2162" s="1"/>
      <c r="D2162" s="1"/>
      <c r="E2162" s="6"/>
      <c r="F2162" s="1"/>
      <c r="G2162" s="6"/>
      <c r="H2162" s="6"/>
      <c r="I2162" s="6"/>
      <c r="J2162" s="6"/>
      <c r="K2162" s="6"/>
      <c r="L2162" s="6"/>
      <c r="M2162" s="6"/>
      <c r="N2162" s="6"/>
      <c r="O2162" s="7"/>
      <c r="P2162" s="6"/>
      <c r="Q2162" s="7"/>
      <c r="R2162" s="6"/>
      <c r="S2162" s="6"/>
      <c r="T2162" s="6"/>
      <c r="U2162" s="6"/>
      <c r="V2162" s="7"/>
      <c r="W2162" s="6"/>
      <c r="X2162" s="6"/>
      <c r="Y2162" s="6"/>
      <c r="Z2162" s="6"/>
      <c r="AA2162" s="1"/>
      <c r="AB2162" s="12"/>
      <c r="AC2162" s="12"/>
      <c r="AD2162" s="12"/>
      <c r="AE2162" s="12"/>
      <c r="AF2162" s="6"/>
      <c r="AG2162" s="12"/>
      <c r="AH2162" s="6"/>
      <c r="AI2162" s="6"/>
      <c r="AJ2162" s="12"/>
      <c r="AK2162" s="12"/>
      <c r="AL2162" s="12"/>
      <c r="AM2162" s="12"/>
      <c r="AN2162" s="1"/>
      <c r="AO2162" s="6"/>
    </row>
    <row r="2163" spans="1:41" ht="15" x14ac:dyDescent="0.25">
      <c r="A2163" s="1"/>
      <c r="B2163" s="1"/>
      <c r="C2163" s="1"/>
      <c r="D2163" s="1"/>
      <c r="E2163" s="6"/>
      <c r="F2163" s="1"/>
      <c r="G2163" s="6"/>
      <c r="H2163" s="6"/>
      <c r="I2163" s="6"/>
      <c r="J2163" s="6"/>
      <c r="K2163" s="12"/>
      <c r="L2163" s="12"/>
      <c r="M2163" s="6"/>
      <c r="N2163" s="6"/>
      <c r="O2163" s="7"/>
      <c r="P2163" s="6"/>
      <c r="Q2163" s="6"/>
      <c r="R2163" s="7"/>
      <c r="S2163" s="6"/>
      <c r="T2163" s="6"/>
      <c r="U2163" s="7"/>
      <c r="V2163" s="6"/>
      <c r="W2163" s="6"/>
      <c r="X2163" s="12"/>
      <c r="Y2163" s="6"/>
      <c r="Z2163" s="6"/>
      <c r="AA2163" s="7"/>
      <c r="AB2163" s="6"/>
      <c r="AC2163" s="6"/>
      <c r="AD2163" s="6"/>
      <c r="AE2163" s="12"/>
      <c r="AF2163" s="12"/>
      <c r="AG2163" s="12"/>
      <c r="AH2163" s="12"/>
      <c r="AI2163" s="6"/>
      <c r="AJ2163" s="12"/>
      <c r="AK2163" s="1"/>
      <c r="AL2163" s="12"/>
      <c r="AM2163" s="12"/>
      <c r="AN2163" s="1"/>
      <c r="AO2163" s="6"/>
    </row>
    <row r="2164" spans="1:41" ht="15" x14ac:dyDescent="0.25">
      <c r="A2164" s="1"/>
      <c r="B2164" s="1"/>
      <c r="C2164" s="1"/>
      <c r="D2164" s="1"/>
      <c r="E2164" s="6"/>
      <c r="F2164" s="1"/>
      <c r="G2164" s="6"/>
      <c r="H2164" s="6"/>
      <c r="I2164" s="6"/>
      <c r="J2164" s="6"/>
      <c r="K2164" s="12"/>
      <c r="L2164" s="6"/>
      <c r="M2164" s="6"/>
      <c r="N2164" s="6"/>
      <c r="O2164" s="7"/>
      <c r="P2164" s="6"/>
      <c r="Q2164" s="6"/>
      <c r="R2164" s="15"/>
      <c r="S2164" s="6"/>
      <c r="T2164" s="6"/>
      <c r="U2164" s="15"/>
      <c r="V2164" s="6"/>
      <c r="W2164" s="6"/>
      <c r="X2164" s="12"/>
      <c r="Y2164" s="12"/>
      <c r="Z2164" s="6"/>
      <c r="AA2164" s="7"/>
      <c r="AB2164" s="6"/>
      <c r="AC2164" s="6"/>
      <c r="AD2164" s="6"/>
      <c r="AE2164" s="12"/>
      <c r="AF2164" s="6"/>
      <c r="AG2164" s="12"/>
      <c r="AH2164" s="6"/>
      <c r="AI2164" s="6"/>
      <c r="AJ2164" s="12"/>
      <c r="AK2164" s="1"/>
      <c r="AL2164" s="12"/>
      <c r="AM2164" s="12"/>
      <c r="AN2164" s="1"/>
      <c r="AO2164" s="12"/>
    </row>
    <row r="2165" spans="1:41" ht="15" x14ac:dyDescent="0.25">
      <c r="A2165" s="1"/>
      <c r="B2165" s="1"/>
      <c r="C2165" s="1"/>
      <c r="D2165" s="1"/>
      <c r="E2165" s="6"/>
      <c r="F2165" s="1"/>
      <c r="G2165" s="6"/>
      <c r="H2165" s="6"/>
      <c r="I2165" s="6"/>
      <c r="J2165" s="6"/>
      <c r="K2165" s="6"/>
      <c r="L2165" s="6"/>
      <c r="M2165" s="6"/>
      <c r="N2165" s="6"/>
      <c r="O2165" s="7"/>
      <c r="P2165" s="6"/>
      <c r="Q2165" s="6"/>
      <c r="R2165" s="12"/>
      <c r="S2165" s="12"/>
      <c r="T2165" s="12"/>
      <c r="U2165" s="7"/>
      <c r="V2165" s="6"/>
      <c r="W2165" s="6"/>
      <c r="X2165" s="12"/>
      <c r="Y2165" s="6"/>
      <c r="Z2165" s="6"/>
      <c r="AA2165" s="7"/>
      <c r="AB2165" s="6"/>
      <c r="AC2165" s="6"/>
      <c r="AD2165" s="6"/>
      <c r="AE2165" s="12"/>
      <c r="AF2165" s="12"/>
      <c r="AG2165" s="12"/>
      <c r="AH2165" s="12"/>
      <c r="AI2165" s="6"/>
      <c r="AJ2165" s="12"/>
      <c r="AK2165" s="1"/>
      <c r="AL2165" s="12"/>
      <c r="AM2165" s="12"/>
      <c r="AN2165" s="1"/>
      <c r="AO2165" s="6"/>
    </row>
    <row r="2166" spans="1:41" ht="15" x14ac:dyDescent="0.25">
      <c r="A2166" s="1"/>
      <c r="B2166" s="1"/>
      <c r="C2166" s="1"/>
      <c r="D2166" s="1"/>
      <c r="E2166" s="6"/>
      <c r="F2166" s="1"/>
      <c r="G2166" s="6"/>
      <c r="H2166" s="6"/>
      <c r="I2166" s="6"/>
      <c r="J2166" s="6"/>
      <c r="K2166" s="6"/>
      <c r="L2166" s="6"/>
      <c r="M2166" s="6"/>
      <c r="N2166" s="6"/>
      <c r="O2166" s="7"/>
      <c r="P2166" s="6"/>
      <c r="Q2166" s="6"/>
      <c r="R2166" s="7"/>
      <c r="S2166" s="6"/>
      <c r="T2166" s="6"/>
      <c r="U2166" s="7"/>
      <c r="V2166" s="6"/>
      <c r="W2166" s="6"/>
      <c r="X2166" s="6"/>
      <c r="Y2166" s="6"/>
      <c r="Z2166" s="6"/>
      <c r="AA2166" s="7"/>
      <c r="AB2166" s="6"/>
      <c r="AC2166" s="6"/>
      <c r="AD2166" s="6"/>
      <c r="AE2166" s="12"/>
      <c r="AF2166" s="6"/>
      <c r="AG2166" s="12"/>
      <c r="AH2166" s="6"/>
      <c r="AI2166" s="6"/>
      <c r="AJ2166" s="12"/>
      <c r="AK2166" s="24"/>
      <c r="AL2166" s="25"/>
      <c r="AM2166" s="12"/>
      <c r="AN2166" s="1"/>
      <c r="AO2166" s="6"/>
    </row>
    <row r="2167" spans="1:41" ht="15" x14ac:dyDescent="0.25">
      <c r="A2167" s="1"/>
      <c r="B2167" s="1"/>
      <c r="C2167" s="1"/>
      <c r="D2167" s="1"/>
      <c r="E2167" s="6"/>
      <c r="F2167" s="1"/>
      <c r="G2167" s="6"/>
      <c r="H2167" s="6"/>
      <c r="I2167" s="6"/>
      <c r="J2167" s="6"/>
      <c r="K2167" s="6"/>
      <c r="L2167" s="6"/>
      <c r="M2167" s="6"/>
      <c r="N2167" s="6"/>
      <c r="O2167" s="7"/>
      <c r="P2167" s="6"/>
      <c r="Q2167" s="6"/>
      <c r="R2167" s="12"/>
      <c r="S2167" s="12"/>
      <c r="T2167" s="12"/>
      <c r="U2167" s="6"/>
      <c r="V2167" s="12"/>
      <c r="W2167" s="12"/>
      <c r="X2167" s="12"/>
      <c r="Y2167" s="6"/>
      <c r="Z2167" s="6"/>
      <c r="AA2167" s="7"/>
      <c r="AB2167" s="6"/>
      <c r="AC2167" s="6"/>
      <c r="AD2167" s="6"/>
      <c r="AE2167" s="12"/>
      <c r="AF2167" s="12"/>
      <c r="AG2167" s="12"/>
      <c r="AH2167" s="12"/>
      <c r="AI2167" s="6"/>
      <c r="AJ2167" s="12"/>
      <c r="AK2167" s="24"/>
      <c r="AL2167" s="25"/>
      <c r="AM2167" s="12"/>
      <c r="AN2167" s="1"/>
      <c r="AO2167" s="6"/>
    </row>
    <row r="2168" spans="1:41" ht="15" x14ac:dyDescent="0.25">
      <c r="A2168" s="1"/>
      <c r="B2168" s="1"/>
      <c r="C2168" s="1"/>
      <c r="D2168" s="1"/>
      <c r="E2168" s="6"/>
      <c r="F2168" s="1"/>
      <c r="G2168" s="6"/>
      <c r="H2168" s="6"/>
      <c r="I2168" s="6"/>
      <c r="J2168" s="6"/>
      <c r="K2168" s="6"/>
      <c r="L2168" s="6"/>
      <c r="M2168" s="6"/>
      <c r="N2168" s="6"/>
      <c r="O2168" s="15"/>
      <c r="P2168" s="6"/>
      <c r="Q2168" s="6"/>
      <c r="R2168" s="7"/>
      <c r="S2168" s="6"/>
      <c r="T2168" s="6"/>
      <c r="U2168" s="7"/>
      <c r="V2168" s="6"/>
      <c r="W2168" s="6"/>
      <c r="X2168" s="12"/>
      <c r="Y2168" s="6"/>
      <c r="Z2168" s="6"/>
      <c r="AA2168" s="7"/>
      <c r="AB2168" s="6"/>
      <c r="AC2168" s="6"/>
      <c r="AD2168" s="6"/>
      <c r="AE2168" s="12"/>
      <c r="AF2168" s="12"/>
      <c r="AG2168" s="12"/>
      <c r="AH2168" s="12"/>
      <c r="AI2168" s="6"/>
      <c r="AJ2168" s="12"/>
      <c r="AK2168" s="1"/>
      <c r="AL2168" s="12"/>
      <c r="AM2168" s="12"/>
      <c r="AN2168" s="1"/>
      <c r="AO2168" s="6"/>
    </row>
    <row r="2169" spans="1:41" ht="15" x14ac:dyDescent="0.25">
      <c r="A2169" s="1"/>
      <c r="B2169" s="1"/>
      <c r="C2169" s="1"/>
      <c r="D2169" s="1"/>
      <c r="E2169" s="6"/>
      <c r="F2169" s="1"/>
      <c r="G2169" s="6"/>
      <c r="H2169" s="6"/>
      <c r="I2169" s="6"/>
      <c r="J2169" s="6"/>
      <c r="K2169" s="6"/>
      <c r="L2169" s="6"/>
      <c r="M2169" s="6"/>
      <c r="N2169" s="6"/>
      <c r="O2169" s="7"/>
      <c r="P2169" s="6"/>
      <c r="Q2169" s="6"/>
      <c r="R2169" s="15"/>
      <c r="S2169" s="6"/>
      <c r="T2169" s="6"/>
      <c r="U2169" s="7"/>
      <c r="V2169" s="6"/>
      <c r="W2169" s="6"/>
      <c r="X2169" s="12"/>
      <c r="Y2169" s="6"/>
      <c r="Z2169" s="6"/>
      <c r="AA2169" s="7"/>
      <c r="AB2169" s="6"/>
      <c r="AC2169" s="6"/>
      <c r="AD2169" s="6"/>
      <c r="AE2169" s="12"/>
      <c r="AF2169" s="6"/>
      <c r="AG2169" s="12"/>
      <c r="AH2169" s="6"/>
      <c r="AI2169" s="6"/>
      <c r="AJ2169" s="12"/>
      <c r="AK2169" s="24"/>
      <c r="AL2169" s="25"/>
      <c r="AM2169" s="12"/>
      <c r="AN2169" s="1"/>
      <c r="AO2169" s="6"/>
    </row>
    <row r="2170" spans="1:41" ht="15" x14ac:dyDescent="0.25">
      <c r="A2170" s="1"/>
      <c r="B2170" s="1"/>
      <c r="C2170" s="1"/>
      <c r="D2170" s="1"/>
      <c r="E2170" s="6"/>
      <c r="F2170" s="1"/>
      <c r="G2170" s="6"/>
      <c r="H2170" s="6"/>
      <c r="I2170" s="6"/>
      <c r="J2170" s="6"/>
      <c r="K2170" s="6"/>
      <c r="L2170" s="6"/>
      <c r="M2170" s="6"/>
      <c r="N2170" s="6"/>
      <c r="O2170" s="7"/>
      <c r="P2170" s="6"/>
      <c r="Q2170" s="6"/>
      <c r="R2170" s="7"/>
      <c r="S2170" s="6"/>
      <c r="T2170" s="6"/>
      <c r="U2170" s="7"/>
      <c r="V2170" s="6"/>
      <c r="W2170" s="6"/>
      <c r="X2170" s="6"/>
      <c r="Y2170" s="6"/>
      <c r="Z2170" s="6"/>
      <c r="AA2170" s="7"/>
      <c r="AB2170" s="6"/>
      <c r="AC2170" s="6"/>
      <c r="AD2170" s="6"/>
      <c r="AE2170" s="12"/>
      <c r="AF2170" s="12"/>
      <c r="AG2170" s="12"/>
      <c r="AH2170" s="12"/>
      <c r="AI2170" s="6"/>
      <c r="AJ2170" s="12"/>
      <c r="AK2170" s="1"/>
      <c r="AL2170" s="12"/>
      <c r="AM2170" s="12"/>
      <c r="AN2170" s="1"/>
      <c r="AO2170" s="6"/>
    </row>
    <row r="2171" spans="1:41" ht="15" x14ac:dyDescent="0.25">
      <c r="A2171" s="1"/>
      <c r="B2171" s="1"/>
      <c r="C2171" s="1"/>
      <c r="D2171" s="1"/>
      <c r="E2171" s="6"/>
      <c r="F2171" s="1"/>
      <c r="G2171" s="6"/>
      <c r="H2171" s="6"/>
      <c r="I2171" s="6"/>
      <c r="J2171" s="6"/>
      <c r="K2171" s="6"/>
      <c r="L2171" s="6"/>
      <c r="M2171" s="6"/>
      <c r="N2171" s="6"/>
      <c r="O2171" s="7"/>
      <c r="P2171" s="6"/>
      <c r="Q2171" s="6"/>
      <c r="R2171" s="7"/>
      <c r="S2171" s="6"/>
      <c r="T2171" s="6"/>
      <c r="U2171" s="7"/>
      <c r="V2171" s="6"/>
      <c r="W2171" s="6"/>
      <c r="X2171" s="12"/>
      <c r="Y2171" s="6"/>
      <c r="Z2171" s="6"/>
      <c r="AA2171" s="7"/>
      <c r="AB2171" s="6"/>
      <c r="AC2171" s="6"/>
      <c r="AD2171" s="6"/>
      <c r="AE2171" s="12"/>
      <c r="AF2171" s="6"/>
      <c r="AG2171" s="12"/>
      <c r="AH2171" s="6"/>
      <c r="AI2171" s="6"/>
      <c r="AJ2171" s="12"/>
      <c r="AK2171" s="24"/>
      <c r="AL2171" s="25"/>
      <c r="AM2171" s="12"/>
      <c r="AN2171" s="1"/>
      <c r="AO2171" s="6"/>
    </row>
    <row r="2172" spans="1:41" ht="15" x14ac:dyDescent="0.25">
      <c r="A2172" s="1"/>
      <c r="B2172" s="1"/>
      <c r="C2172" s="1"/>
      <c r="D2172" s="1"/>
      <c r="E2172" s="6"/>
      <c r="F2172" s="1"/>
      <c r="G2172" s="6"/>
      <c r="H2172" s="6"/>
      <c r="I2172" s="6"/>
      <c r="J2172" s="6"/>
      <c r="K2172" s="6"/>
      <c r="L2172" s="6"/>
      <c r="M2172" s="6"/>
      <c r="N2172" s="6"/>
      <c r="O2172" s="7"/>
      <c r="P2172" s="12"/>
      <c r="Q2172" s="6"/>
      <c r="R2172" s="7"/>
      <c r="S2172" s="6"/>
      <c r="T2172" s="6"/>
      <c r="U2172" s="7"/>
      <c r="V2172" s="6"/>
      <c r="W2172" s="6"/>
      <c r="X2172" s="12"/>
      <c r="Y2172" s="6"/>
      <c r="Z2172" s="6"/>
      <c r="AA2172" s="7"/>
      <c r="AB2172" s="6"/>
      <c r="AC2172" s="6"/>
      <c r="AD2172" s="6"/>
      <c r="AE2172" s="12"/>
      <c r="AF2172" s="6"/>
      <c r="AG2172" s="12"/>
      <c r="AH2172" s="6"/>
      <c r="AI2172" s="6"/>
      <c r="AJ2172" s="12"/>
      <c r="AK2172" s="1"/>
      <c r="AL2172" s="12"/>
      <c r="AM2172" s="12"/>
      <c r="AN2172" s="1"/>
      <c r="AO2172" s="6"/>
    </row>
    <row r="2173" spans="1:41" ht="15" x14ac:dyDescent="0.25">
      <c r="A2173" s="1"/>
      <c r="B2173" s="1"/>
      <c r="C2173" s="1"/>
      <c r="D2173" s="1"/>
      <c r="E2173" s="6"/>
      <c r="F2173" s="1"/>
      <c r="G2173" s="6"/>
      <c r="H2173" s="6"/>
      <c r="I2173" s="6"/>
      <c r="J2173" s="6"/>
      <c r="K2173" s="6"/>
      <c r="L2173" s="6"/>
      <c r="M2173" s="6"/>
      <c r="N2173" s="6"/>
      <c r="O2173" s="7"/>
      <c r="P2173" s="6"/>
      <c r="Q2173" s="6"/>
      <c r="R2173" s="7"/>
      <c r="S2173" s="6"/>
      <c r="T2173" s="6"/>
      <c r="U2173" s="7"/>
      <c r="V2173" s="6"/>
      <c r="W2173" s="6"/>
      <c r="X2173" s="6"/>
      <c r="Y2173" s="6"/>
      <c r="Z2173" s="6"/>
      <c r="AA2173" s="7"/>
      <c r="AB2173" s="6"/>
      <c r="AC2173" s="6"/>
      <c r="AD2173" s="6"/>
      <c r="AE2173" s="12"/>
      <c r="AF2173" s="6"/>
      <c r="AG2173" s="12"/>
      <c r="AH2173" s="6"/>
      <c r="AI2173" s="6"/>
      <c r="AJ2173" s="12"/>
      <c r="AK2173" s="1"/>
      <c r="AL2173" s="12"/>
      <c r="AM2173" s="12"/>
      <c r="AN2173" s="1"/>
      <c r="AO2173" s="6"/>
    </row>
    <row r="2174" spans="1:41" ht="15" x14ac:dyDescent="0.25">
      <c r="A2174" s="1"/>
      <c r="B2174" s="1"/>
      <c r="C2174" s="1"/>
      <c r="D2174" s="1"/>
      <c r="E2174" s="6"/>
      <c r="F2174" s="1"/>
      <c r="G2174" s="6"/>
      <c r="H2174" s="6"/>
      <c r="I2174" s="6"/>
      <c r="J2174" s="6"/>
      <c r="K2174" s="6"/>
      <c r="L2174" s="6"/>
      <c r="M2174" s="6"/>
      <c r="N2174" s="6"/>
      <c r="O2174" s="7"/>
      <c r="P2174" s="6"/>
      <c r="Q2174" s="6"/>
      <c r="R2174" s="7"/>
      <c r="S2174" s="6"/>
      <c r="T2174" s="6"/>
      <c r="U2174" s="7"/>
      <c r="V2174" s="6"/>
      <c r="W2174" s="6"/>
      <c r="X2174" s="6"/>
      <c r="Y2174" s="6"/>
      <c r="Z2174" s="6"/>
      <c r="AA2174" s="7"/>
      <c r="AB2174" s="6"/>
      <c r="AC2174" s="6"/>
      <c r="AD2174" s="6"/>
      <c r="AE2174" s="12"/>
      <c r="AF2174" s="6"/>
      <c r="AG2174" s="12"/>
      <c r="AH2174" s="6"/>
      <c r="AI2174" s="6"/>
      <c r="AJ2174" s="12"/>
      <c r="AK2174" s="1"/>
      <c r="AL2174" s="12"/>
      <c r="AM2174" s="12"/>
      <c r="AN2174" s="1"/>
      <c r="AO2174" s="6"/>
    </row>
    <row r="2175" spans="1:41" ht="15" x14ac:dyDescent="0.25">
      <c r="A2175" s="1"/>
      <c r="B2175" s="1"/>
      <c r="C2175" s="1"/>
      <c r="D2175" s="1"/>
      <c r="E2175" s="6"/>
      <c r="F2175" s="1"/>
      <c r="G2175" s="6"/>
      <c r="H2175" s="6"/>
      <c r="I2175" s="6"/>
      <c r="J2175" s="6"/>
      <c r="K2175" s="6"/>
      <c r="L2175" s="6"/>
      <c r="M2175" s="6"/>
      <c r="N2175" s="6"/>
      <c r="O2175" s="7"/>
      <c r="P2175" s="6"/>
      <c r="Q2175" s="6"/>
      <c r="R2175" s="7"/>
      <c r="S2175" s="6"/>
      <c r="T2175" s="6"/>
      <c r="U2175" s="7"/>
      <c r="V2175" s="6"/>
      <c r="W2175" s="6"/>
      <c r="X2175" s="6"/>
      <c r="Y2175" s="6"/>
      <c r="Z2175" s="6"/>
      <c r="AA2175" s="7"/>
      <c r="AB2175" s="6"/>
      <c r="AC2175" s="6"/>
      <c r="AD2175" s="6"/>
      <c r="AE2175" s="12"/>
      <c r="AF2175" s="12"/>
      <c r="AG2175" s="12"/>
      <c r="AH2175" s="12"/>
      <c r="AI2175" s="6"/>
      <c r="AJ2175" s="12"/>
      <c r="AK2175" s="1"/>
      <c r="AL2175" s="12"/>
      <c r="AM2175" s="12"/>
      <c r="AN2175" s="1"/>
      <c r="AO2175" s="6"/>
    </row>
    <row r="2176" spans="1:41" ht="15" x14ac:dyDescent="0.25">
      <c r="A2176" s="1"/>
      <c r="B2176" s="1"/>
      <c r="C2176" s="1"/>
      <c r="D2176" s="1"/>
      <c r="E2176" s="6"/>
      <c r="F2176" s="1"/>
      <c r="G2176" s="6"/>
      <c r="H2176" s="6"/>
      <c r="I2176" s="6"/>
      <c r="J2176" s="6"/>
      <c r="K2176" s="6"/>
      <c r="L2176" s="6"/>
      <c r="M2176" s="6"/>
      <c r="N2176" s="6"/>
      <c r="O2176" s="7"/>
      <c r="P2176" s="6"/>
      <c r="Q2176" s="6"/>
      <c r="R2176" s="7"/>
      <c r="S2176" s="6"/>
      <c r="T2176" s="6"/>
      <c r="U2176" s="7"/>
      <c r="V2176" s="6"/>
      <c r="W2176" s="6"/>
      <c r="X2176" s="12"/>
      <c r="Y2176" s="6"/>
      <c r="Z2176" s="6"/>
      <c r="AA2176" s="7"/>
      <c r="AB2176" s="6"/>
      <c r="AC2176" s="6"/>
      <c r="AD2176" s="6"/>
      <c r="AE2176" s="12"/>
      <c r="AF2176" s="6"/>
      <c r="AG2176" s="12"/>
      <c r="AH2176" s="6"/>
      <c r="AI2176" s="6"/>
      <c r="AJ2176" s="12"/>
      <c r="AK2176" s="24"/>
      <c r="AL2176" s="25"/>
      <c r="AM2176" s="12"/>
      <c r="AN2176" s="1"/>
      <c r="AO2176" s="6"/>
    </row>
    <row r="2177" spans="1:41" ht="15" x14ac:dyDescent="0.25">
      <c r="A2177" s="1"/>
      <c r="B2177" s="1"/>
      <c r="C2177" s="1"/>
      <c r="D2177" s="1"/>
      <c r="E2177" s="6"/>
      <c r="F2177" s="1"/>
      <c r="G2177" s="6"/>
      <c r="H2177" s="6"/>
      <c r="I2177" s="6"/>
      <c r="J2177" s="6"/>
      <c r="K2177" s="6"/>
      <c r="L2177" s="6"/>
      <c r="M2177" s="6"/>
      <c r="N2177" s="6"/>
      <c r="O2177" s="7"/>
      <c r="P2177" s="6"/>
      <c r="Q2177" s="6"/>
      <c r="R2177" s="7"/>
      <c r="S2177" s="6"/>
      <c r="T2177" s="6"/>
      <c r="U2177" s="7"/>
      <c r="V2177" s="6"/>
      <c r="W2177" s="6"/>
      <c r="X2177" s="12"/>
      <c r="Y2177" s="6"/>
      <c r="Z2177" s="6"/>
      <c r="AA2177" s="7"/>
      <c r="AB2177" s="6"/>
      <c r="AC2177" s="6"/>
      <c r="AD2177" s="6"/>
      <c r="AE2177" s="12"/>
      <c r="AF2177" s="6"/>
      <c r="AG2177" s="12"/>
      <c r="AH2177" s="6"/>
      <c r="AI2177" s="6"/>
      <c r="AJ2177" s="12"/>
      <c r="AK2177" s="1"/>
      <c r="AL2177" s="12"/>
      <c r="AM2177" s="12"/>
      <c r="AN2177" s="1"/>
      <c r="AO2177" s="6"/>
    </row>
    <row r="2178" spans="1:41" ht="15" x14ac:dyDescent="0.25">
      <c r="A2178" s="1"/>
      <c r="B2178" s="1"/>
      <c r="C2178" s="1"/>
      <c r="D2178" s="1"/>
      <c r="E2178" s="6"/>
      <c r="F2178" s="1"/>
      <c r="G2178" s="6"/>
      <c r="H2178" s="6"/>
      <c r="I2178" s="6"/>
      <c r="J2178" s="6"/>
      <c r="K2178" s="6"/>
      <c r="L2178" s="6"/>
      <c r="M2178" s="6"/>
      <c r="N2178" s="6"/>
      <c r="O2178" s="7"/>
      <c r="P2178" s="6"/>
      <c r="Q2178" s="6"/>
      <c r="R2178" s="15"/>
      <c r="S2178" s="6"/>
      <c r="T2178" s="6"/>
      <c r="U2178" s="15"/>
      <c r="V2178" s="6"/>
      <c r="W2178" s="6"/>
      <c r="X2178" s="6"/>
      <c r="Y2178" s="6"/>
      <c r="Z2178" s="6"/>
      <c r="AA2178" s="7"/>
      <c r="AB2178" s="6"/>
      <c r="AC2178" s="6"/>
      <c r="AD2178" s="6"/>
      <c r="AE2178" s="12"/>
      <c r="AF2178" s="6"/>
      <c r="AG2178" s="12"/>
      <c r="AH2178" s="6"/>
      <c r="AI2178" s="6"/>
      <c r="AJ2178" s="12"/>
      <c r="AK2178" s="24"/>
      <c r="AL2178" s="25"/>
      <c r="AM2178" s="12"/>
      <c r="AN2178" s="1"/>
      <c r="AO2178" s="6"/>
    </row>
    <row r="2179" spans="1:41" ht="15" x14ac:dyDescent="0.25">
      <c r="A2179" s="1"/>
      <c r="B2179" s="1"/>
      <c r="C2179" s="1"/>
      <c r="D2179" s="1"/>
      <c r="E2179" s="6"/>
      <c r="F2179" s="1"/>
      <c r="G2179" s="6"/>
      <c r="H2179" s="6"/>
      <c r="I2179" s="6"/>
      <c r="J2179" s="6"/>
      <c r="K2179" s="6"/>
      <c r="L2179" s="6"/>
      <c r="M2179" s="6"/>
      <c r="N2179" s="6"/>
      <c r="O2179" s="7"/>
      <c r="P2179" s="6"/>
      <c r="Q2179" s="6"/>
      <c r="R2179" s="7"/>
      <c r="S2179" s="6"/>
      <c r="T2179" s="6"/>
      <c r="U2179" s="7"/>
      <c r="V2179" s="6"/>
      <c r="W2179" s="6"/>
      <c r="X2179" s="12"/>
      <c r="Y2179" s="6"/>
      <c r="Z2179" s="6"/>
      <c r="AA2179" s="7"/>
      <c r="AB2179" s="6"/>
      <c r="AC2179" s="6"/>
      <c r="AD2179" s="6"/>
      <c r="AE2179" s="12"/>
      <c r="AF2179" s="6"/>
      <c r="AG2179" s="12"/>
      <c r="AH2179" s="6"/>
      <c r="AI2179" s="6"/>
      <c r="AJ2179" s="12"/>
      <c r="AK2179" s="24"/>
      <c r="AL2179" s="25"/>
      <c r="AM2179" s="12"/>
      <c r="AN2179" s="1"/>
      <c r="AO2179" s="6"/>
    </row>
    <row r="2180" spans="1:41" ht="15" x14ac:dyDescent="0.25">
      <c r="A2180" s="1"/>
      <c r="B2180" s="1"/>
      <c r="C2180" s="1"/>
      <c r="D2180" s="1"/>
      <c r="E2180" s="6"/>
      <c r="F2180" s="1"/>
      <c r="G2180" s="6"/>
      <c r="H2180" s="6"/>
      <c r="I2180" s="6"/>
      <c r="J2180" s="6"/>
      <c r="K2180" s="6"/>
      <c r="L2180" s="6"/>
      <c r="M2180" s="6"/>
      <c r="N2180" s="6"/>
      <c r="O2180" s="7"/>
      <c r="P2180" s="6"/>
      <c r="Q2180" s="6"/>
      <c r="R2180" s="7"/>
      <c r="S2180" s="6"/>
      <c r="T2180" s="6"/>
      <c r="U2180" s="7"/>
      <c r="V2180" s="6"/>
      <c r="W2180" s="6"/>
      <c r="X2180" s="12"/>
      <c r="Y2180" s="6"/>
      <c r="Z2180" s="6"/>
      <c r="AA2180" s="7"/>
      <c r="AB2180" s="6"/>
      <c r="AC2180" s="6"/>
      <c r="AD2180" s="6"/>
      <c r="AE2180" s="12"/>
      <c r="AF2180" s="6"/>
      <c r="AG2180" s="12"/>
      <c r="AH2180" s="6"/>
      <c r="AI2180" s="6"/>
      <c r="AJ2180" s="12"/>
      <c r="AK2180" s="1"/>
      <c r="AL2180" s="12"/>
      <c r="AM2180" s="12"/>
      <c r="AN2180" s="1"/>
      <c r="AO2180" s="6"/>
    </row>
    <row r="2181" spans="1:41" ht="15" x14ac:dyDescent="0.25">
      <c r="A2181" s="1"/>
      <c r="B2181" s="1"/>
      <c r="C2181" s="1"/>
      <c r="D2181" s="1"/>
      <c r="E2181" s="6"/>
      <c r="F2181" s="1"/>
      <c r="G2181" s="6"/>
      <c r="H2181" s="6"/>
      <c r="I2181" s="6"/>
      <c r="J2181" s="6"/>
      <c r="K2181" s="6"/>
      <c r="L2181" s="6"/>
      <c r="M2181" s="6"/>
      <c r="N2181" s="6"/>
      <c r="O2181" s="7"/>
      <c r="P2181" s="6"/>
      <c r="Q2181" s="6"/>
      <c r="R2181" s="7"/>
      <c r="S2181" s="6"/>
      <c r="T2181" s="6"/>
      <c r="U2181" s="7"/>
      <c r="V2181" s="6"/>
      <c r="W2181" s="6"/>
      <c r="X2181" s="12"/>
      <c r="Y2181" s="6"/>
      <c r="Z2181" s="6"/>
      <c r="AA2181" s="7"/>
      <c r="AB2181" s="6"/>
      <c r="AC2181" s="6"/>
      <c r="AD2181" s="6"/>
      <c r="AE2181" s="12"/>
      <c r="AF2181" s="6"/>
      <c r="AG2181" s="12"/>
      <c r="AH2181" s="6"/>
      <c r="AI2181" s="6"/>
      <c r="AJ2181" s="12"/>
      <c r="AK2181" s="1"/>
      <c r="AL2181" s="12"/>
      <c r="AM2181" s="12"/>
      <c r="AN2181" s="1"/>
      <c r="AO2181" s="6"/>
    </row>
    <row r="2182" spans="1:41" ht="15" x14ac:dyDescent="0.25">
      <c r="A2182" s="1"/>
      <c r="B2182" s="1"/>
      <c r="C2182" s="1"/>
      <c r="D2182" s="1"/>
      <c r="E2182" s="6"/>
      <c r="F2182" s="1"/>
      <c r="G2182" s="6"/>
      <c r="H2182" s="6"/>
      <c r="I2182" s="6"/>
      <c r="J2182" s="6"/>
      <c r="K2182" s="6"/>
      <c r="L2182" s="6"/>
      <c r="M2182" s="6"/>
      <c r="N2182" s="6"/>
      <c r="O2182" s="7"/>
      <c r="P2182" s="6"/>
      <c r="Q2182" s="6"/>
      <c r="R2182" s="7"/>
      <c r="S2182" s="6"/>
      <c r="T2182" s="6"/>
      <c r="U2182" s="7"/>
      <c r="V2182" s="6"/>
      <c r="W2182" s="6"/>
      <c r="X2182" s="12"/>
      <c r="Y2182" s="6"/>
      <c r="Z2182" s="6"/>
      <c r="AA2182" s="7"/>
      <c r="AB2182" s="6"/>
      <c r="AC2182" s="6"/>
      <c r="AD2182" s="6"/>
      <c r="AE2182" s="12"/>
      <c r="AF2182" s="6"/>
      <c r="AG2182" s="12"/>
      <c r="AH2182" s="6"/>
      <c r="AI2182" s="6"/>
      <c r="AJ2182" s="12"/>
      <c r="AK2182" s="24"/>
      <c r="AL2182" s="25"/>
      <c r="AM2182" s="12"/>
      <c r="AN2182" s="1"/>
      <c r="AO2182" s="6"/>
    </row>
    <row r="2183" spans="1:41" ht="15" x14ac:dyDescent="0.25">
      <c r="A2183" s="1"/>
      <c r="B2183" s="1"/>
      <c r="C2183" s="1"/>
      <c r="D2183" s="1"/>
      <c r="E2183" s="6"/>
      <c r="F2183" s="1"/>
      <c r="G2183" s="6"/>
      <c r="H2183" s="6"/>
      <c r="I2183" s="6"/>
      <c r="J2183" s="6"/>
      <c r="K2183" s="6"/>
      <c r="L2183" s="6"/>
      <c r="M2183" s="6"/>
      <c r="N2183" s="6"/>
      <c r="O2183" s="7"/>
      <c r="P2183" s="6"/>
      <c r="Q2183" s="6"/>
      <c r="R2183" s="7"/>
      <c r="S2183" s="6"/>
      <c r="T2183" s="6"/>
      <c r="U2183" s="7"/>
      <c r="V2183" s="6"/>
      <c r="W2183" s="6"/>
      <c r="X2183" s="12"/>
      <c r="Y2183" s="6"/>
      <c r="Z2183" s="6"/>
      <c r="AA2183" s="7"/>
      <c r="AB2183" s="6"/>
      <c r="AC2183" s="6"/>
      <c r="AD2183" s="6"/>
      <c r="AE2183" s="12"/>
      <c r="AF2183" s="12"/>
      <c r="AG2183" s="12"/>
      <c r="AH2183" s="12"/>
      <c r="AI2183" s="6"/>
      <c r="AJ2183" s="12"/>
      <c r="AK2183" s="24"/>
      <c r="AL2183" s="25"/>
      <c r="AM2183" s="12"/>
      <c r="AN2183" s="1"/>
      <c r="AO2183" s="6"/>
    </row>
    <row r="2184" spans="1:41" ht="15" x14ac:dyDescent="0.25">
      <c r="A2184" s="1"/>
      <c r="B2184" s="1"/>
      <c r="C2184" s="1"/>
      <c r="D2184" s="1"/>
      <c r="E2184" s="6"/>
      <c r="F2184" s="1"/>
      <c r="G2184" s="6"/>
      <c r="H2184" s="6"/>
      <c r="I2184" s="6"/>
      <c r="J2184" s="6"/>
      <c r="K2184" s="6"/>
      <c r="L2184" s="6"/>
      <c r="M2184" s="6"/>
      <c r="N2184" s="6"/>
      <c r="O2184" s="7"/>
      <c r="P2184" s="6"/>
      <c r="Q2184" s="6"/>
      <c r="R2184" s="7"/>
      <c r="S2184" s="6"/>
      <c r="T2184" s="6"/>
      <c r="U2184" s="7"/>
      <c r="V2184" s="6"/>
      <c r="W2184" s="6"/>
      <c r="X2184" s="12"/>
      <c r="Y2184" s="6"/>
      <c r="Z2184" s="6"/>
      <c r="AA2184" s="7"/>
      <c r="AB2184" s="6"/>
      <c r="AC2184" s="6"/>
      <c r="AD2184" s="6"/>
      <c r="AE2184" s="12"/>
      <c r="AF2184" s="6"/>
      <c r="AG2184" s="12"/>
      <c r="AH2184" s="6"/>
      <c r="AI2184" s="6"/>
      <c r="AJ2184" s="12"/>
      <c r="AK2184" s="1"/>
      <c r="AL2184" s="12"/>
      <c r="AM2184" s="12"/>
      <c r="AN2184" s="1"/>
      <c r="AO2184" s="6"/>
    </row>
    <row r="2185" spans="1:41" ht="15" x14ac:dyDescent="0.25">
      <c r="A2185" s="1"/>
      <c r="B2185" s="1"/>
      <c r="C2185" s="1"/>
      <c r="D2185" s="1"/>
      <c r="E2185" s="6"/>
      <c r="F2185" s="1"/>
      <c r="G2185" s="6"/>
      <c r="H2185" s="6"/>
      <c r="I2185" s="6"/>
      <c r="J2185" s="6"/>
      <c r="K2185" s="12"/>
      <c r="L2185" s="12"/>
      <c r="M2185" s="6"/>
      <c r="N2185" s="6"/>
      <c r="O2185" s="7"/>
      <c r="P2185" s="6"/>
      <c r="Q2185" s="7"/>
      <c r="R2185" s="6"/>
      <c r="S2185" s="6"/>
      <c r="T2185" s="6"/>
      <c r="U2185" s="6"/>
      <c r="V2185" s="7"/>
      <c r="W2185" s="7"/>
      <c r="X2185" s="6"/>
      <c r="Y2185" s="6"/>
      <c r="Z2185" s="6"/>
      <c r="AA2185" s="1"/>
      <c r="AB2185" s="12"/>
      <c r="AC2185" s="12"/>
      <c r="AD2185" s="12"/>
      <c r="AE2185" s="12"/>
      <c r="AF2185" s="12"/>
      <c r="AG2185" s="12"/>
      <c r="AH2185" s="12"/>
      <c r="AI2185" s="6"/>
      <c r="AJ2185" s="12"/>
      <c r="AK2185" s="12"/>
      <c r="AL2185" s="12"/>
      <c r="AM2185" s="12"/>
      <c r="AN2185" s="1"/>
      <c r="AO2185" s="12"/>
    </row>
    <row r="2186" spans="1:41" ht="15" x14ac:dyDescent="0.25">
      <c r="A2186" s="1"/>
      <c r="B2186" s="1"/>
      <c r="C2186" s="1"/>
      <c r="D2186" s="1"/>
      <c r="E2186" s="6"/>
      <c r="F2186" s="1"/>
      <c r="G2186" s="6"/>
      <c r="H2186" s="6"/>
      <c r="I2186" s="6"/>
      <c r="J2186" s="6"/>
      <c r="K2186" s="6"/>
      <c r="L2186" s="6"/>
      <c r="M2186" s="6"/>
      <c r="N2186" s="6"/>
      <c r="O2186" s="7"/>
      <c r="P2186" s="6"/>
      <c r="Q2186" s="6"/>
      <c r="R2186" s="7"/>
      <c r="S2186" s="6"/>
      <c r="T2186" s="6"/>
      <c r="U2186" s="7"/>
      <c r="V2186" s="6"/>
      <c r="W2186" s="6"/>
      <c r="X2186" s="12"/>
      <c r="Y2186" s="6"/>
      <c r="Z2186" s="6"/>
      <c r="AA2186" s="7"/>
      <c r="AB2186" s="6"/>
      <c r="AC2186" s="6"/>
      <c r="AD2186" s="6"/>
      <c r="AE2186" s="12"/>
      <c r="AF2186" s="12"/>
      <c r="AG2186" s="12"/>
      <c r="AH2186" s="12"/>
      <c r="AI2186" s="6"/>
      <c r="AJ2186" s="12"/>
      <c r="AK2186" s="1"/>
      <c r="AL2186" s="12"/>
      <c r="AM2186" s="12"/>
      <c r="AN2186" s="1"/>
      <c r="AO2186" s="6"/>
    </row>
    <row r="2187" spans="1:41" ht="15" x14ac:dyDescent="0.25">
      <c r="A2187" s="1"/>
      <c r="B2187" s="1"/>
      <c r="C2187" s="1"/>
      <c r="D2187" s="1"/>
      <c r="E2187" s="6"/>
      <c r="F2187" s="1"/>
      <c r="G2187" s="6"/>
      <c r="H2187" s="6"/>
      <c r="I2187" s="6"/>
      <c r="J2187" s="6"/>
      <c r="K2187" s="6"/>
      <c r="L2187" s="6"/>
      <c r="M2187" s="6"/>
      <c r="N2187" s="6"/>
      <c r="O2187" s="7"/>
      <c r="P2187" s="6"/>
      <c r="Q2187" s="7"/>
      <c r="R2187" s="6"/>
      <c r="S2187" s="6"/>
      <c r="T2187" s="6"/>
      <c r="U2187" s="6"/>
      <c r="V2187" s="7"/>
      <c r="W2187" s="7"/>
      <c r="X2187" s="6"/>
      <c r="Y2187" s="6"/>
      <c r="Z2187" s="6"/>
      <c r="AA2187" s="1"/>
      <c r="AB2187" s="12"/>
      <c r="AC2187" s="12"/>
      <c r="AD2187" s="12"/>
      <c r="AE2187" s="12"/>
      <c r="AF2187" s="12"/>
      <c r="AG2187" s="12"/>
      <c r="AH2187" s="12"/>
      <c r="AI2187" s="6"/>
      <c r="AJ2187" s="12"/>
      <c r="AK2187" s="12"/>
      <c r="AL2187" s="12"/>
      <c r="AM2187" s="12"/>
      <c r="AN2187" s="1"/>
      <c r="AO2187" s="6"/>
    </row>
    <row r="2188" spans="1:41" ht="15" x14ac:dyDescent="0.25">
      <c r="A2188" s="1"/>
      <c r="B2188" s="1"/>
      <c r="C2188" s="1"/>
      <c r="D2188" s="1"/>
      <c r="E2188" s="6"/>
      <c r="F2188" s="1"/>
      <c r="G2188" s="6"/>
      <c r="H2188" s="6"/>
      <c r="I2188" s="6"/>
      <c r="J2188" s="6"/>
      <c r="K2188" s="6"/>
      <c r="L2188" s="6"/>
      <c r="M2188" s="6"/>
      <c r="N2188" s="6"/>
      <c r="O2188" s="7"/>
      <c r="P2188" s="6"/>
      <c r="Q2188" s="6"/>
      <c r="R2188" s="7"/>
      <c r="S2188" s="6"/>
      <c r="T2188" s="6"/>
      <c r="U2188" s="7"/>
      <c r="V2188" s="6"/>
      <c r="W2188" s="6"/>
      <c r="X2188" s="6"/>
      <c r="Y2188" s="6"/>
      <c r="Z2188" s="6"/>
      <c r="AA2188" s="7"/>
      <c r="AB2188" s="6"/>
      <c r="AC2188" s="6"/>
      <c r="AD2188" s="6"/>
      <c r="AE2188" s="12"/>
      <c r="AF2188" s="12"/>
      <c r="AG2188" s="12"/>
      <c r="AH2188" s="12"/>
      <c r="AI2188" s="6"/>
      <c r="AJ2188" s="12"/>
      <c r="AK2188" s="1"/>
      <c r="AL2188" s="12"/>
      <c r="AM2188" s="12"/>
      <c r="AN2188" s="1"/>
      <c r="AO2188" s="6"/>
    </row>
    <row r="2189" spans="1:41" ht="15" x14ac:dyDescent="0.25">
      <c r="A2189" s="1"/>
      <c r="B2189" s="1"/>
      <c r="C2189" s="1"/>
      <c r="D2189" s="1"/>
      <c r="E2189" s="6"/>
      <c r="F2189" s="1"/>
      <c r="G2189" s="6"/>
      <c r="H2189" s="6"/>
      <c r="I2189" s="6"/>
      <c r="J2189" s="6"/>
      <c r="K2189" s="6"/>
      <c r="L2189" s="6"/>
      <c r="M2189" s="6"/>
      <c r="N2189" s="6"/>
      <c r="O2189" s="7"/>
      <c r="P2189" s="6"/>
      <c r="Q2189" s="6"/>
      <c r="R2189" s="7"/>
      <c r="S2189" s="6"/>
      <c r="T2189" s="6"/>
      <c r="U2189" s="7"/>
      <c r="V2189" s="6"/>
      <c r="W2189" s="6"/>
      <c r="X2189" s="6"/>
      <c r="Y2189" s="6"/>
      <c r="Z2189" s="6"/>
      <c r="AA2189" s="7"/>
      <c r="AB2189" s="6"/>
      <c r="AC2189" s="6"/>
      <c r="AD2189" s="6"/>
      <c r="AE2189" s="12"/>
      <c r="AF2189" s="12"/>
      <c r="AG2189" s="12"/>
      <c r="AH2189" s="12"/>
      <c r="AI2189" s="6"/>
      <c r="AJ2189" s="12"/>
      <c r="AK2189" s="1"/>
      <c r="AL2189" s="12"/>
      <c r="AM2189" s="12"/>
      <c r="AN2189" s="1"/>
      <c r="AO2189" s="6"/>
    </row>
    <row r="2190" spans="1:41" ht="15" x14ac:dyDescent="0.25">
      <c r="A2190" s="1"/>
      <c r="B2190" s="1"/>
      <c r="C2190" s="1"/>
      <c r="D2190" s="1"/>
      <c r="E2190" s="6"/>
      <c r="F2190" s="1"/>
      <c r="G2190" s="6"/>
      <c r="H2190" s="6"/>
      <c r="I2190" s="6"/>
      <c r="J2190" s="6"/>
      <c r="K2190" s="6"/>
      <c r="L2190" s="6"/>
      <c r="M2190" s="6"/>
      <c r="N2190" s="6"/>
      <c r="O2190" s="7"/>
      <c r="P2190" s="6"/>
      <c r="Q2190" s="6"/>
      <c r="R2190" s="7"/>
      <c r="S2190" s="6"/>
      <c r="T2190" s="6"/>
      <c r="U2190" s="7"/>
      <c r="V2190" s="6"/>
      <c r="W2190" s="6"/>
      <c r="X2190" s="6"/>
      <c r="Y2190" s="6"/>
      <c r="Z2190" s="6"/>
      <c r="AA2190" s="7"/>
      <c r="AB2190" s="6"/>
      <c r="AC2190" s="6"/>
      <c r="AD2190" s="6"/>
      <c r="AE2190" s="12"/>
      <c r="AF2190" s="6"/>
      <c r="AG2190" s="12"/>
      <c r="AH2190" s="6"/>
      <c r="AI2190" s="6"/>
      <c r="AJ2190" s="12"/>
      <c r="AK2190" s="24"/>
      <c r="AL2190" s="25"/>
      <c r="AM2190" s="12"/>
      <c r="AN2190" s="1"/>
      <c r="AO2190" s="6"/>
    </row>
    <row r="2191" spans="1:41" ht="15" x14ac:dyDescent="0.25">
      <c r="A2191" s="1"/>
      <c r="B2191" s="1"/>
      <c r="C2191" s="1"/>
      <c r="D2191" s="1"/>
      <c r="E2191" s="6"/>
      <c r="F2191" s="1"/>
      <c r="G2191" s="6"/>
      <c r="H2191" s="6"/>
      <c r="I2191" s="6"/>
      <c r="J2191" s="6"/>
      <c r="K2191" s="6"/>
      <c r="L2191" s="6"/>
      <c r="M2191" s="6"/>
      <c r="N2191" s="6"/>
      <c r="O2191" s="7"/>
      <c r="P2191" s="12"/>
      <c r="Q2191" s="6"/>
      <c r="R2191" s="7"/>
      <c r="S2191" s="6"/>
      <c r="T2191" s="6"/>
      <c r="U2191" s="7"/>
      <c r="V2191" s="6"/>
      <c r="W2191" s="6"/>
      <c r="X2191" s="6"/>
      <c r="Y2191" s="6"/>
      <c r="Z2191" s="6"/>
      <c r="AA2191" s="7"/>
      <c r="AB2191" s="6"/>
      <c r="AC2191" s="6"/>
      <c r="AD2191" s="6"/>
      <c r="AE2191" s="12"/>
      <c r="AF2191" s="12"/>
      <c r="AG2191" s="12"/>
      <c r="AH2191" s="12"/>
      <c r="AI2191" s="6"/>
      <c r="AJ2191" s="12"/>
      <c r="AK2191" s="1"/>
      <c r="AL2191" s="12"/>
      <c r="AM2191" s="12"/>
      <c r="AN2191" s="1"/>
      <c r="AO2191" s="6"/>
    </row>
    <row r="2192" spans="1:41" ht="15" x14ac:dyDescent="0.25">
      <c r="A2192" s="1"/>
      <c r="B2192" s="1"/>
      <c r="C2192" s="1"/>
      <c r="D2192" s="1"/>
      <c r="E2192" s="6"/>
      <c r="F2192" s="1"/>
      <c r="G2192" s="6"/>
      <c r="H2192" s="6"/>
      <c r="I2192" s="6"/>
      <c r="J2192" s="6"/>
      <c r="K2192" s="6"/>
      <c r="L2192" s="6"/>
      <c r="M2192" s="6"/>
      <c r="N2192" s="6"/>
      <c r="O2192" s="7"/>
      <c r="P2192" s="6"/>
      <c r="Q2192" s="6"/>
      <c r="R2192" s="7"/>
      <c r="S2192" s="6"/>
      <c r="T2192" s="6"/>
      <c r="U2192" s="7"/>
      <c r="V2192" s="6"/>
      <c r="W2192" s="6"/>
      <c r="X2192" s="6"/>
      <c r="Y2192" s="6"/>
      <c r="Z2192" s="6"/>
      <c r="AA2192" s="7"/>
      <c r="AB2192" s="6"/>
      <c r="AC2192" s="6"/>
      <c r="AD2192" s="6"/>
      <c r="AE2192" s="12"/>
      <c r="AF2192" s="12"/>
      <c r="AG2192" s="12"/>
      <c r="AH2192" s="12"/>
      <c r="AI2192" s="6"/>
      <c r="AJ2192" s="12"/>
      <c r="AK2192" s="1"/>
      <c r="AL2192" s="12"/>
      <c r="AM2192" s="12"/>
      <c r="AN2192" s="1"/>
      <c r="AO2192" s="6"/>
    </row>
    <row r="2193" spans="1:41" ht="15" x14ac:dyDescent="0.25">
      <c r="A2193" s="1"/>
      <c r="B2193" s="1"/>
      <c r="C2193" s="1"/>
      <c r="D2193" s="1"/>
      <c r="E2193" s="6"/>
      <c r="F2193" s="1"/>
      <c r="G2193" s="6"/>
      <c r="H2193" s="6"/>
      <c r="I2193" s="6"/>
      <c r="J2193" s="6"/>
      <c r="K2193" s="6"/>
      <c r="L2193" s="6"/>
      <c r="M2193" s="6"/>
      <c r="N2193" s="6"/>
      <c r="O2193" s="7"/>
      <c r="P2193" s="6"/>
      <c r="Q2193" s="6"/>
      <c r="R2193" s="7"/>
      <c r="S2193" s="6"/>
      <c r="T2193" s="6"/>
      <c r="U2193" s="7"/>
      <c r="V2193" s="6"/>
      <c r="W2193" s="6"/>
      <c r="X2193" s="6"/>
      <c r="Y2193" s="6"/>
      <c r="Z2193" s="6"/>
      <c r="AA2193" s="7"/>
      <c r="AB2193" s="6"/>
      <c r="AC2193" s="6"/>
      <c r="AD2193" s="6"/>
      <c r="AE2193" s="12"/>
      <c r="AF2193" s="12"/>
      <c r="AG2193" s="12"/>
      <c r="AH2193" s="12"/>
      <c r="AI2193" s="6"/>
      <c r="AJ2193" s="12"/>
      <c r="AK2193" s="1"/>
      <c r="AL2193" s="12"/>
      <c r="AM2193" s="12"/>
      <c r="AN2193" s="1"/>
      <c r="AO2193" s="6"/>
    </row>
    <row r="2194" spans="1:41" ht="15" x14ac:dyDescent="0.25">
      <c r="A2194" s="1"/>
      <c r="B2194" s="1"/>
      <c r="C2194" s="1"/>
      <c r="D2194" s="1"/>
      <c r="E2194" s="6"/>
      <c r="F2194" s="1"/>
      <c r="G2194" s="6"/>
      <c r="H2194" s="6"/>
      <c r="I2194" s="6"/>
      <c r="J2194" s="6"/>
      <c r="K2194" s="6"/>
      <c r="L2194" s="6"/>
      <c r="M2194" s="6"/>
      <c r="N2194" s="6"/>
      <c r="O2194" s="7"/>
      <c r="P2194" s="6"/>
      <c r="Q2194" s="6"/>
      <c r="R2194" s="7"/>
      <c r="S2194" s="6"/>
      <c r="T2194" s="6"/>
      <c r="U2194" s="7"/>
      <c r="V2194" s="6"/>
      <c r="W2194" s="6"/>
      <c r="X2194" s="12"/>
      <c r="Y2194" s="6"/>
      <c r="Z2194" s="6"/>
      <c r="AA2194" s="7"/>
      <c r="AB2194" s="6"/>
      <c r="AC2194" s="6"/>
      <c r="AD2194" s="6"/>
      <c r="AE2194" s="12"/>
      <c r="AF2194" s="12"/>
      <c r="AG2194" s="12"/>
      <c r="AH2194" s="12"/>
      <c r="AI2194" s="6"/>
      <c r="AJ2194" s="12"/>
      <c r="AK2194" s="1"/>
      <c r="AL2194" s="12"/>
      <c r="AM2194" s="12"/>
      <c r="AN2194" s="1"/>
      <c r="AO2194" s="6"/>
    </row>
    <row r="2195" spans="1:41" ht="15" x14ac:dyDescent="0.25">
      <c r="A2195" s="1"/>
      <c r="B2195" s="1"/>
      <c r="C2195" s="1"/>
      <c r="D2195" s="1"/>
      <c r="E2195" s="6"/>
      <c r="F2195" s="1"/>
      <c r="G2195" s="6"/>
      <c r="H2195" s="6"/>
      <c r="I2195" s="6"/>
      <c r="J2195" s="6"/>
      <c r="K2195" s="6"/>
      <c r="L2195" s="6"/>
      <c r="M2195" s="6"/>
      <c r="N2195" s="6"/>
      <c r="O2195" s="7"/>
      <c r="P2195" s="6"/>
      <c r="Q2195" s="6"/>
      <c r="R2195" s="7"/>
      <c r="S2195" s="6"/>
      <c r="T2195" s="6"/>
      <c r="U2195" s="7"/>
      <c r="V2195" s="6"/>
      <c r="W2195" s="6"/>
      <c r="X2195" s="6"/>
      <c r="Y2195" s="6"/>
      <c r="Z2195" s="6"/>
      <c r="AA2195" s="7"/>
      <c r="AB2195" s="6"/>
      <c r="AC2195" s="6"/>
      <c r="AD2195" s="6"/>
      <c r="AE2195" s="12"/>
      <c r="AF2195" s="6"/>
      <c r="AG2195" s="12"/>
      <c r="AH2195" s="6"/>
      <c r="AI2195" s="6"/>
      <c r="AJ2195" s="12"/>
      <c r="AK2195" s="24"/>
      <c r="AL2195" s="25"/>
      <c r="AM2195" s="12"/>
      <c r="AN2195" s="1"/>
      <c r="AO2195" s="6"/>
    </row>
    <row r="2196" spans="1:41" ht="15" x14ac:dyDescent="0.25">
      <c r="A2196" s="1"/>
      <c r="B2196" s="1"/>
      <c r="C2196" s="1"/>
      <c r="D2196" s="1"/>
      <c r="E2196" s="6"/>
      <c r="F2196" s="1"/>
      <c r="G2196" s="6"/>
      <c r="H2196" s="6"/>
      <c r="I2196" s="6"/>
      <c r="J2196" s="6"/>
      <c r="K2196" s="6"/>
      <c r="L2196" s="6"/>
      <c r="M2196" s="6"/>
      <c r="N2196" s="6"/>
      <c r="O2196" s="7"/>
      <c r="P2196" s="6"/>
      <c r="Q2196" s="6"/>
      <c r="R2196" s="7"/>
      <c r="S2196" s="6"/>
      <c r="T2196" s="6"/>
      <c r="U2196" s="7"/>
      <c r="V2196" s="6"/>
      <c r="W2196" s="6"/>
      <c r="X2196" s="12"/>
      <c r="Y2196" s="6"/>
      <c r="Z2196" s="6"/>
      <c r="AA2196" s="7"/>
      <c r="AB2196" s="6"/>
      <c r="AC2196" s="6"/>
      <c r="AD2196" s="6"/>
      <c r="AE2196" s="12"/>
      <c r="AF2196" s="12"/>
      <c r="AG2196" s="12"/>
      <c r="AH2196" s="12"/>
      <c r="AI2196" s="6"/>
      <c r="AJ2196" s="12"/>
      <c r="AK2196" s="1"/>
      <c r="AL2196" s="12"/>
      <c r="AM2196" s="12"/>
      <c r="AN2196" s="1"/>
      <c r="AO2196" s="6"/>
    </row>
    <row r="2197" spans="1:41" ht="15" x14ac:dyDescent="0.25">
      <c r="A2197" s="1"/>
      <c r="B2197" s="1"/>
      <c r="C2197" s="1"/>
      <c r="D2197" s="1"/>
      <c r="E2197" s="6"/>
      <c r="F2197" s="1"/>
      <c r="G2197" s="6"/>
      <c r="H2197" s="6"/>
      <c r="I2197" s="6"/>
      <c r="J2197" s="6"/>
      <c r="K2197" s="6"/>
      <c r="L2197" s="6"/>
      <c r="M2197" s="6"/>
      <c r="N2197" s="6"/>
      <c r="O2197" s="7"/>
      <c r="P2197" s="6"/>
      <c r="Q2197" s="6"/>
      <c r="R2197" s="7"/>
      <c r="S2197" s="6"/>
      <c r="T2197" s="6"/>
      <c r="U2197" s="7"/>
      <c r="V2197" s="6"/>
      <c r="W2197" s="6"/>
      <c r="X2197" s="6"/>
      <c r="Y2197" s="6"/>
      <c r="Z2197" s="6"/>
      <c r="AA2197" s="7"/>
      <c r="AB2197" s="6"/>
      <c r="AC2197" s="6"/>
      <c r="AD2197" s="6"/>
      <c r="AE2197" s="12"/>
      <c r="AF2197" s="6"/>
      <c r="AG2197" s="12"/>
      <c r="AH2197" s="6"/>
      <c r="AI2197" s="6"/>
      <c r="AJ2197" s="12"/>
      <c r="AK2197" s="1"/>
      <c r="AL2197" s="12"/>
      <c r="AM2197" s="12"/>
      <c r="AN2197" s="1"/>
      <c r="AO2197" s="6"/>
    </row>
    <row r="2198" spans="1:41" ht="15" x14ac:dyDescent="0.25">
      <c r="A2198" s="1"/>
      <c r="B2198" s="1"/>
      <c r="C2198" s="1"/>
      <c r="D2198" s="1"/>
      <c r="E2198" s="6"/>
      <c r="F2198" s="1"/>
      <c r="G2198" s="6"/>
      <c r="H2198" s="6"/>
      <c r="I2198" s="6"/>
      <c r="J2198" s="6"/>
      <c r="K2198" s="6"/>
      <c r="L2198" s="6"/>
      <c r="M2198" s="6"/>
      <c r="N2198" s="6"/>
      <c r="O2198" s="7"/>
      <c r="P2198" s="6"/>
      <c r="Q2198" s="6"/>
      <c r="R2198" s="7"/>
      <c r="S2198" s="6"/>
      <c r="T2198" s="6"/>
      <c r="U2198" s="7"/>
      <c r="V2198" s="6"/>
      <c r="W2198" s="6"/>
      <c r="X2198" s="6"/>
      <c r="Y2198" s="6"/>
      <c r="Z2198" s="6"/>
      <c r="AA2198" s="7"/>
      <c r="AB2198" s="6"/>
      <c r="AC2198" s="6"/>
      <c r="AD2198" s="6"/>
      <c r="AE2198" s="12"/>
      <c r="AF2198" s="6"/>
      <c r="AG2198" s="12"/>
      <c r="AH2198" s="6"/>
      <c r="AI2198" s="6"/>
      <c r="AJ2198" s="12"/>
      <c r="AK2198" s="24"/>
      <c r="AL2198" s="25"/>
      <c r="AM2198" s="12"/>
      <c r="AN2198" s="1"/>
      <c r="AO2198" s="6"/>
    </row>
    <row r="2199" spans="1:41" ht="15" x14ac:dyDescent="0.25">
      <c r="A2199" s="1"/>
      <c r="B2199" s="1"/>
      <c r="C2199" s="1"/>
      <c r="D2199" s="1"/>
      <c r="E2199" s="6"/>
      <c r="F2199" s="1"/>
      <c r="G2199" s="6"/>
      <c r="H2199" s="6"/>
      <c r="I2199" s="6"/>
      <c r="J2199" s="6"/>
      <c r="K2199" s="6"/>
      <c r="L2199" s="6"/>
      <c r="M2199" s="6"/>
      <c r="N2199" s="6"/>
      <c r="O2199" s="7"/>
      <c r="P2199" s="6"/>
      <c r="Q2199" s="7"/>
      <c r="R2199" s="6"/>
      <c r="S2199" s="6"/>
      <c r="T2199" s="6"/>
      <c r="U2199" s="6"/>
      <c r="V2199" s="7"/>
      <c r="W2199" s="7"/>
      <c r="X2199" s="6"/>
      <c r="Y2199" s="6"/>
      <c r="Z2199" s="6"/>
      <c r="AA2199" s="1"/>
      <c r="AB2199" s="12"/>
      <c r="AC2199" s="12"/>
      <c r="AD2199" s="12"/>
      <c r="AE2199" s="12"/>
      <c r="AF2199" s="12"/>
      <c r="AG2199" s="12"/>
      <c r="AH2199" s="12"/>
      <c r="AI2199" s="6"/>
      <c r="AJ2199" s="12"/>
      <c r="AK2199" s="12"/>
      <c r="AL2199" s="12"/>
      <c r="AM2199" s="12"/>
      <c r="AN2199" s="1"/>
      <c r="AO2199" s="6"/>
    </row>
    <row r="2200" spans="1:41" ht="15" x14ac:dyDescent="0.25">
      <c r="A2200" s="1"/>
      <c r="B2200" s="1"/>
      <c r="C2200" s="1"/>
      <c r="D2200" s="1"/>
      <c r="E2200" s="6"/>
      <c r="F2200" s="1"/>
      <c r="G2200" s="6"/>
      <c r="H2200" s="6"/>
      <c r="I2200" s="6"/>
      <c r="J2200" s="6"/>
      <c r="K2200" s="12"/>
      <c r="L2200" s="12"/>
      <c r="M2200" s="6"/>
      <c r="N2200" s="6"/>
      <c r="O2200" s="7"/>
      <c r="P2200" s="6"/>
      <c r="Q2200" s="7"/>
      <c r="R2200" s="6"/>
      <c r="S2200" s="6"/>
      <c r="T2200" s="6"/>
      <c r="U2200" s="6"/>
      <c r="V2200" s="7"/>
      <c r="W2200" s="7"/>
      <c r="X2200" s="6"/>
      <c r="Y2200" s="6"/>
      <c r="Z2200" s="6"/>
      <c r="AA2200" s="1"/>
      <c r="AB2200" s="12"/>
      <c r="AC2200" s="12"/>
      <c r="AD2200" s="12"/>
      <c r="AE2200" s="12"/>
      <c r="AF2200" s="12"/>
      <c r="AG2200" s="12"/>
      <c r="AH2200" s="12"/>
      <c r="AI2200" s="6"/>
      <c r="AJ2200" s="12"/>
      <c r="AK2200" s="12"/>
      <c r="AL2200" s="12"/>
      <c r="AM2200" s="12"/>
      <c r="AN2200" s="1"/>
      <c r="AO2200" s="6"/>
    </row>
    <row r="2201" spans="1:41" ht="15" x14ac:dyDescent="0.25">
      <c r="A2201" s="1"/>
      <c r="B2201" s="1"/>
      <c r="C2201" s="1"/>
      <c r="D2201" s="1"/>
      <c r="E2201" s="6"/>
      <c r="F2201" s="1"/>
      <c r="G2201" s="6"/>
      <c r="H2201" s="6"/>
      <c r="I2201" s="6"/>
      <c r="J2201" s="6"/>
      <c r="K2201" s="6"/>
      <c r="L2201" s="6"/>
      <c r="M2201" s="6"/>
      <c r="N2201" s="6"/>
      <c r="O2201" s="7"/>
      <c r="P2201" s="6"/>
      <c r="Q2201" s="7"/>
      <c r="R2201" s="6"/>
      <c r="S2201" s="6"/>
      <c r="T2201" s="6"/>
      <c r="U2201" s="6"/>
      <c r="V2201" s="7"/>
      <c r="W2201" s="6"/>
      <c r="X2201" s="6"/>
      <c r="Y2201" s="6"/>
      <c r="Z2201" s="6"/>
      <c r="AA2201" s="24"/>
      <c r="AB2201" s="25"/>
      <c r="AC2201" s="12"/>
      <c r="AD2201" s="12"/>
      <c r="AE2201" s="12"/>
      <c r="AF2201" s="6"/>
      <c r="AG2201" s="12"/>
      <c r="AH2201" s="6"/>
      <c r="AI2201" s="6"/>
      <c r="AJ2201" s="12"/>
      <c r="AK2201" s="12"/>
      <c r="AL2201" s="12"/>
      <c r="AM2201" s="12"/>
      <c r="AN2201" s="1"/>
      <c r="AO2201" s="6"/>
    </row>
    <row r="2202" spans="1:41" ht="15" x14ac:dyDescent="0.25">
      <c r="A2202" s="1"/>
      <c r="B2202" s="1"/>
      <c r="C2202" s="1"/>
      <c r="D2202" s="1"/>
      <c r="E2202" s="6"/>
      <c r="F2202" s="1"/>
      <c r="G2202" s="6"/>
      <c r="H2202" s="6"/>
      <c r="I2202" s="6"/>
      <c r="J2202" s="6"/>
      <c r="K2202" s="6"/>
      <c r="L2202" s="6"/>
      <c r="M2202" s="6"/>
      <c r="N2202" s="6"/>
      <c r="O2202" s="7"/>
      <c r="P2202" s="6"/>
      <c r="Q2202" s="7"/>
      <c r="R2202" s="6"/>
      <c r="S2202" s="12"/>
      <c r="T2202" s="6"/>
      <c r="U2202" s="6"/>
      <c r="V2202" s="7"/>
      <c r="W2202" s="6"/>
      <c r="X2202" s="6"/>
      <c r="Y2202" s="6"/>
      <c r="Z2202" s="6"/>
      <c r="AA2202" s="1"/>
      <c r="AB2202" s="12"/>
      <c r="AC2202" s="12"/>
      <c r="AD2202" s="12"/>
      <c r="AE2202" s="12"/>
      <c r="AF2202" s="6"/>
      <c r="AG2202" s="12"/>
      <c r="AH2202" s="6"/>
      <c r="AI2202" s="6"/>
      <c r="AJ2202" s="12"/>
      <c r="AK2202" s="12"/>
      <c r="AL2202" s="12"/>
      <c r="AM2202" s="12"/>
      <c r="AN2202" s="1"/>
      <c r="AO2202" s="6"/>
    </row>
    <row r="2203" spans="1:41" ht="15" x14ac:dyDescent="0.25">
      <c r="A2203" s="1"/>
      <c r="B2203" s="1"/>
      <c r="C2203" s="1"/>
      <c r="D2203" s="1"/>
      <c r="E2203" s="6"/>
      <c r="F2203" s="1"/>
      <c r="G2203" s="6"/>
      <c r="H2203" s="6"/>
      <c r="I2203" s="6"/>
      <c r="J2203" s="6"/>
      <c r="K2203" s="6"/>
      <c r="L2203" s="6"/>
      <c r="M2203" s="6"/>
      <c r="N2203" s="6"/>
      <c r="O2203" s="7"/>
      <c r="P2203" s="12"/>
      <c r="Q2203" s="6"/>
      <c r="R2203" s="7"/>
      <c r="S2203" s="6"/>
      <c r="T2203" s="6"/>
      <c r="U2203" s="7"/>
      <c r="V2203" s="6"/>
      <c r="W2203" s="6"/>
      <c r="X2203" s="12"/>
      <c r="Y2203" s="6"/>
      <c r="Z2203" s="6"/>
      <c r="AA2203" s="7"/>
      <c r="AB2203" s="6"/>
      <c r="AC2203" s="6"/>
      <c r="AD2203" s="6"/>
      <c r="AE2203" s="12"/>
      <c r="AF2203" s="6"/>
      <c r="AG2203" s="12"/>
      <c r="AH2203" s="6"/>
      <c r="AI2203" s="6"/>
      <c r="AJ2203" s="12"/>
      <c r="AK2203" s="24"/>
      <c r="AL2203" s="25"/>
      <c r="AM2203" s="12"/>
      <c r="AN2203" s="1"/>
      <c r="AO2203" s="6"/>
    </row>
    <row r="2204" spans="1:41" ht="15" x14ac:dyDescent="0.25">
      <c r="A2204" s="1"/>
      <c r="B2204" s="1"/>
      <c r="C2204" s="1"/>
      <c r="D2204" s="1"/>
      <c r="E2204" s="6"/>
      <c r="F2204" s="1"/>
      <c r="G2204" s="6"/>
      <c r="H2204" s="6"/>
      <c r="I2204" s="6"/>
      <c r="J2204" s="6"/>
      <c r="K2204" s="6"/>
      <c r="L2204" s="6"/>
      <c r="M2204" s="6"/>
      <c r="N2204" s="6"/>
      <c r="O2204" s="7"/>
      <c r="P2204" s="6"/>
      <c r="Q2204" s="6"/>
      <c r="R2204" s="7"/>
      <c r="S2204" s="6"/>
      <c r="T2204" s="6"/>
      <c r="U2204" s="7"/>
      <c r="V2204" s="6"/>
      <c r="W2204" s="6"/>
      <c r="X2204" s="12"/>
      <c r="Y2204" s="6"/>
      <c r="Z2204" s="6"/>
      <c r="AA2204" s="7"/>
      <c r="AB2204" s="6"/>
      <c r="AC2204" s="6"/>
      <c r="AD2204" s="6"/>
      <c r="AE2204" s="12"/>
      <c r="AF2204" s="12"/>
      <c r="AG2204" s="12"/>
      <c r="AH2204" s="12"/>
      <c r="AI2204" s="6"/>
      <c r="AJ2204" s="12"/>
      <c r="AK2204" s="1"/>
      <c r="AL2204" s="12"/>
      <c r="AM2204" s="12"/>
      <c r="AN2204" s="1"/>
      <c r="AO2204" s="6"/>
    </row>
    <row r="2205" spans="1:41" ht="15" x14ac:dyDescent="0.25">
      <c r="A2205" s="1"/>
      <c r="B2205" s="1"/>
      <c r="C2205" s="1"/>
      <c r="D2205" s="1"/>
      <c r="E2205" s="6"/>
      <c r="F2205" s="1"/>
      <c r="G2205" s="6"/>
      <c r="H2205" s="6"/>
      <c r="I2205" s="6"/>
      <c r="J2205" s="6"/>
      <c r="K2205" s="6"/>
      <c r="L2205" s="6"/>
      <c r="M2205" s="6"/>
      <c r="N2205" s="6"/>
      <c r="O2205" s="7"/>
      <c r="P2205" s="6"/>
      <c r="Q2205" s="6"/>
      <c r="R2205" s="7"/>
      <c r="S2205" s="6"/>
      <c r="T2205" s="6"/>
      <c r="U2205" s="7"/>
      <c r="V2205" s="6"/>
      <c r="W2205" s="6"/>
      <c r="X2205" s="12"/>
      <c r="Y2205" s="6"/>
      <c r="Z2205" s="6"/>
      <c r="AA2205" s="15"/>
      <c r="AB2205" s="6"/>
      <c r="AC2205" s="6"/>
      <c r="AD2205" s="6"/>
      <c r="AE2205" s="12"/>
      <c r="AF2205" s="6"/>
      <c r="AG2205" s="12"/>
      <c r="AH2205" s="6"/>
      <c r="AI2205" s="6"/>
      <c r="AJ2205" s="12"/>
      <c r="AK2205" s="1"/>
      <c r="AL2205" s="12"/>
      <c r="AM2205" s="12"/>
      <c r="AN2205" s="1"/>
      <c r="AO2205" s="6"/>
    </row>
    <row r="2206" spans="1:41" ht="15" x14ac:dyDescent="0.25">
      <c r="A2206" s="1"/>
      <c r="B2206" s="1"/>
      <c r="C2206" s="1"/>
      <c r="D2206" s="1"/>
      <c r="E2206" s="6"/>
      <c r="F2206" s="1"/>
      <c r="G2206" s="6"/>
      <c r="H2206" s="6"/>
      <c r="I2206" s="6"/>
      <c r="J2206" s="6"/>
      <c r="K2206" s="6"/>
      <c r="L2206" s="6"/>
      <c r="M2206" s="6"/>
      <c r="N2206" s="6"/>
      <c r="O2206" s="7"/>
      <c r="P2206" s="6"/>
      <c r="Q2206" s="6"/>
      <c r="R2206" s="7"/>
      <c r="S2206" s="6"/>
      <c r="T2206" s="6"/>
      <c r="U2206" s="7"/>
      <c r="V2206" s="6"/>
      <c r="W2206" s="6"/>
      <c r="X2206" s="6"/>
      <c r="Y2206" s="6"/>
      <c r="Z2206" s="6"/>
      <c r="AA2206" s="7"/>
      <c r="AB2206" s="6"/>
      <c r="AC2206" s="6"/>
      <c r="AD2206" s="6"/>
      <c r="AE2206" s="12"/>
      <c r="AF2206" s="6"/>
      <c r="AG2206" s="12"/>
      <c r="AH2206" s="6"/>
      <c r="AI2206" s="6"/>
      <c r="AJ2206" s="12"/>
      <c r="AK2206" s="1"/>
      <c r="AL2206" s="12"/>
      <c r="AM2206" s="12"/>
      <c r="AN2206" s="1"/>
      <c r="AO2206" s="6"/>
    </row>
    <row r="2207" spans="1:41" ht="15" x14ac:dyDescent="0.25">
      <c r="A2207" s="1"/>
      <c r="B2207" s="1"/>
      <c r="C2207" s="1"/>
      <c r="D2207" s="1"/>
      <c r="E2207" s="6"/>
      <c r="F2207" s="1"/>
      <c r="G2207" s="6"/>
      <c r="H2207" s="6"/>
      <c r="I2207" s="6"/>
      <c r="J2207" s="6"/>
      <c r="K2207" s="6"/>
      <c r="L2207" s="6"/>
      <c r="M2207" s="6"/>
      <c r="N2207" s="6"/>
      <c r="O2207" s="7"/>
      <c r="P2207" s="12"/>
      <c r="Q2207" s="6"/>
      <c r="R2207" s="7"/>
      <c r="S2207" s="6"/>
      <c r="T2207" s="6"/>
      <c r="U2207" s="7"/>
      <c r="V2207" s="6"/>
      <c r="W2207" s="6"/>
      <c r="X2207" s="6"/>
      <c r="Y2207" s="6"/>
      <c r="Z2207" s="6"/>
      <c r="AA2207" s="7"/>
      <c r="AB2207" s="6"/>
      <c r="AC2207" s="6"/>
      <c r="AD2207" s="6"/>
      <c r="AE2207" s="12"/>
      <c r="AF2207" s="6"/>
      <c r="AG2207" s="12"/>
      <c r="AH2207" s="6"/>
      <c r="AI2207" s="6"/>
      <c r="AJ2207" s="12"/>
      <c r="AK2207" s="24"/>
      <c r="AL2207" s="25"/>
      <c r="AM2207" s="12"/>
      <c r="AN2207" s="1"/>
      <c r="AO2207" s="6"/>
    </row>
    <row r="2208" spans="1:41" ht="15" x14ac:dyDescent="0.25">
      <c r="A2208" s="1"/>
      <c r="B2208" s="1"/>
      <c r="C2208" s="1"/>
      <c r="D2208" s="1"/>
      <c r="E2208" s="6"/>
      <c r="F2208" s="1"/>
      <c r="G2208" s="6"/>
      <c r="H2208" s="6"/>
      <c r="I2208" s="6"/>
      <c r="J2208" s="6"/>
      <c r="K2208" s="6"/>
      <c r="L2208" s="6"/>
      <c r="M2208" s="6"/>
      <c r="N2208" s="6"/>
      <c r="O2208" s="7"/>
      <c r="P2208" s="6"/>
      <c r="Q2208" s="6"/>
      <c r="R2208" s="7"/>
      <c r="S2208" s="6"/>
      <c r="T2208" s="6"/>
      <c r="U2208" s="7"/>
      <c r="V2208" s="6"/>
      <c r="W2208" s="6"/>
      <c r="X2208" s="12"/>
      <c r="Y2208" s="6"/>
      <c r="Z2208" s="6"/>
      <c r="AA2208" s="7"/>
      <c r="AB2208" s="6"/>
      <c r="AC2208" s="6"/>
      <c r="AD2208" s="6"/>
      <c r="AE2208" s="12"/>
      <c r="AF2208" s="12"/>
      <c r="AG2208" s="12"/>
      <c r="AH2208" s="12"/>
      <c r="AI2208" s="6"/>
      <c r="AJ2208" s="12"/>
      <c r="AK2208" s="1"/>
      <c r="AL2208" s="12"/>
      <c r="AM2208" s="12"/>
      <c r="AN2208" s="1"/>
      <c r="AO2208" s="6"/>
    </row>
    <row r="2209" spans="1:41" ht="15" x14ac:dyDescent="0.25">
      <c r="A2209" s="1"/>
      <c r="B2209" s="1"/>
      <c r="C2209" s="1"/>
      <c r="D2209" s="1"/>
      <c r="E2209" s="6"/>
      <c r="F2209" s="1"/>
      <c r="G2209" s="6"/>
      <c r="H2209" s="6"/>
      <c r="I2209" s="6"/>
      <c r="J2209" s="6"/>
      <c r="K2209" s="6"/>
      <c r="L2209" s="6"/>
      <c r="M2209" s="6"/>
      <c r="N2209" s="6"/>
      <c r="O2209" s="7"/>
      <c r="P2209" s="6"/>
      <c r="Q2209" s="6"/>
      <c r="R2209" s="7"/>
      <c r="S2209" s="6"/>
      <c r="T2209" s="6"/>
      <c r="U2209" s="7"/>
      <c r="V2209" s="6"/>
      <c r="W2209" s="6"/>
      <c r="X2209" s="12"/>
      <c r="Y2209" s="6"/>
      <c r="Z2209" s="6"/>
      <c r="AA2209" s="7"/>
      <c r="AB2209" s="6"/>
      <c r="AC2209" s="6"/>
      <c r="AD2209" s="6"/>
      <c r="AE2209" s="12"/>
      <c r="AF2209" s="12"/>
      <c r="AG2209" s="12"/>
      <c r="AH2209" s="12"/>
      <c r="AI2209" s="6"/>
      <c r="AJ2209" s="12"/>
      <c r="AK2209" s="1"/>
      <c r="AL2209" s="12"/>
      <c r="AM2209" s="12"/>
      <c r="AN2209" s="1"/>
      <c r="AO2209" s="6"/>
    </row>
    <row r="2210" spans="1:41" ht="15" x14ac:dyDescent="0.25">
      <c r="A2210" s="1"/>
      <c r="B2210" s="1"/>
      <c r="C2210" s="1"/>
      <c r="D2210" s="1"/>
      <c r="E2210" s="6"/>
      <c r="F2210" s="1"/>
      <c r="G2210" s="6"/>
      <c r="H2210" s="6"/>
      <c r="I2210" s="6"/>
      <c r="J2210" s="6"/>
      <c r="K2210" s="6"/>
      <c r="L2210" s="6"/>
      <c r="M2210" s="6"/>
      <c r="N2210" s="6"/>
      <c r="O2210" s="7"/>
      <c r="P2210" s="6"/>
      <c r="Q2210" s="7"/>
      <c r="R2210" s="6"/>
      <c r="S2210" s="6"/>
      <c r="T2210" s="6"/>
      <c r="U2210" s="6"/>
      <c r="V2210" s="7"/>
      <c r="W2210" s="7"/>
      <c r="X2210" s="6"/>
      <c r="Y2210" s="6"/>
      <c r="Z2210" s="6"/>
      <c r="AA2210" s="1"/>
      <c r="AB2210" s="12"/>
      <c r="AC2210" s="12"/>
      <c r="AD2210" s="12"/>
      <c r="AE2210" s="12"/>
      <c r="AF2210" s="12"/>
      <c r="AG2210" s="12"/>
      <c r="AH2210" s="12"/>
      <c r="AI2210" s="6"/>
      <c r="AJ2210" s="12"/>
      <c r="AK2210" s="12"/>
      <c r="AL2210" s="12"/>
      <c r="AM2210" s="12"/>
      <c r="AN2210" s="1"/>
      <c r="AO2210" s="6"/>
    </row>
    <row r="2211" spans="1:41" ht="15" x14ac:dyDescent="0.25">
      <c r="A2211" s="1"/>
      <c r="B2211" s="1"/>
      <c r="C2211" s="1"/>
      <c r="D2211" s="1"/>
      <c r="E2211" s="6"/>
      <c r="F2211" s="1"/>
      <c r="G2211" s="6"/>
      <c r="H2211" s="6"/>
      <c r="I2211" s="6"/>
      <c r="J2211" s="6"/>
      <c r="K2211" s="6"/>
      <c r="L2211" s="6"/>
      <c r="M2211" s="6"/>
      <c r="N2211" s="6"/>
      <c r="O2211" s="7"/>
      <c r="P2211" s="6"/>
      <c r="Q2211" s="7"/>
      <c r="R2211" s="6"/>
      <c r="S2211" s="6"/>
      <c r="T2211" s="6"/>
      <c r="U2211" s="6"/>
      <c r="V2211" s="7"/>
      <c r="W2211" s="7"/>
      <c r="X2211" s="6"/>
      <c r="Y2211" s="6"/>
      <c r="Z2211" s="6"/>
      <c r="AA2211" s="1"/>
      <c r="AB2211" s="12"/>
      <c r="AC2211" s="12"/>
      <c r="AD2211" s="12"/>
      <c r="AE2211" s="12"/>
      <c r="AF2211" s="12"/>
      <c r="AG2211" s="12"/>
      <c r="AH2211" s="12"/>
      <c r="AI2211" s="6"/>
      <c r="AJ2211" s="12"/>
      <c r="AK2211" s="12"/>
      <c r="AL2211" s="12"/>
      <c r="AM2211" s="12"/>
      <c r="AN2211" s="1"/>
      <c r="AO2211" s="6"/>
    </row>
    <row r="2212" spans="1:41" ht="15" x14ac:dyDescent="0.25">
      <c r="A2212" s="1"/>
      <c r="B2212" s="1"/>
      <c r="C2212" s="1"/>
      <c r="D2212" s="1"/>
      <c r="E2212" s="6"/>
      <c r="F2212" s="1"/>
      <c r="G2212" s="6"/>
      <c r="H2212" s="6"/>
      <c r="I2212" s="6"/>
      <c r="J2212" s="6"/>
      <c r="K2212" s="6"/>
      <c r="L2212" s="6"/>
      <c r="M2212" s="6"/>
      <c r="N2212" s="6"/>
      <c r="O2212" s="7"/>
      <c r="P2212" s="6"/>
      <c r="Q2212" s="6"/>
      <c r="R2212" s="7"/>
      <c r="S2212" s="6"/>
      <c r="T2212" s="6"/>
      <c r="U2212" s="7"/>
      <c r="V2212" s="6"/>
      <c r="W2212" s="6"/>
      <c r="X2212" s="6"/>
      <c r="Y2212" s="6"/>
      <c r="Z2212" s="6"/>
      <c r="AA2212" s="7"/>
      <c r="AB2212" s="6"/>
      <c r="AC2212" s="6"/>
      <c r="AD2212" s="6"/>
      <c r="AE2212" s="12"/>
      <c r="AF2212" s="6"/>
      <c r="AG2212" s="12"/>
      <c r="AH2212" s="6"/>
      <c r="AI2212" s="6"/>
      <c r="AJ2212" s="12"/>
      <c r="AK2212" s="24"/>
      <c r="AL2212" s="25"/>
      <c r="AM2212" s="12"/>
      <c r="AN2212" s="1"/>
      <c r="AO2212" s="6"/>
    </row>
    <row r="2213" spans="1:41" ht="15" x14ac:dyDescent="0.25">
      <c r="A2213" s="1"/>
      <c r="B2213" s="1"/>
      <c r="C2213" s="1"/>
      <c r="D2213" s="1"/>
      <c r="E2213" s="6"/>
      <c r="F2213" s="1"/>
      <c r="G2213" s="6"/>
      <c r="H2213" s="6"/>
      <c r="I2213" s="6"/>
      <c r="J2213" s="6"/>
      <c r="K2213" s="6"/>
      <c r="L2213" s="6"/>
      <c r="M2213" s="6"/>
      <c r="N2213" s="6"/>
      <c r="O2213" s="7"/>
      <c r="P2213" s="6"/>
      <c r="Q2213" s="6"/>
      <c r="R2213" s="7"/>
      <c r="S2213" s="6"/>
      <c r="T2213" s="6"/>
      <c r="U2213" s="7"/>
      <c r="V2213" s="6"/>
      <c r="W2213" s="6"/>
      <c r="X2213" s="6"/>
      <c r="Y2213" s="6"/>
      <c r="Z2213" s="6"/>
      <c r="AA2213" s="7"/>
      <c r="AB2213" s="6"/>
      <c r="AC2213" s="6"/>
      <c r="AD2213" s="6"/>
      <c r="AE2213" s="12"/>
      <c r="AF2213" s="6"/>
      <c r="AG2213" s="12"/>
      <c r="AH2213" s="6"/>
      <c r="AI2213" s="6"/>
      <c r="AJ2213" s="12"/>
      <c r="AK2213" s="24"/>
      <c r="AL2213" s="25"/>
      <c r="AM2213" s="12"/>
      <c r="AN2213" s="1"/>
      <c r="AO2213" s="6"/>
    </row>
    <row r="2214" spans="1:41" ht="15" x14ac:dyDescent="0.25">
      <c r="A2214" s="1"/>
      <c r="B2214" s="1"/>
      <c r="C2214" s="1"/>
      <c r="D2214" s="1"/>
      <c r="E2214" s="6"/>
      <c r="F2214" s="1"/>
      <c r="G2214" s="6"/>
      <c r="H2214" s="6"/>
      <c r="I2214" s="6"/>
      <c r="J2214" s="6"/>
      <c r="K2214" s="6"/>
      <c r="L2214" s="6"/>
      <c r="M2214" s="6"/>
      <c r="N2214" s="6"/>
      <c r="O2214" s="7"/>
      <c r="P2214" s="12"/>
      <c r="Q2214" s="6"/>
      <c r="R2214" s="7"/>
      <c r="S2214" s="6"/>
      <c r="T2214" s="6"/>
      <c r="U2214" s="7"/>
      <c r="V2214" s="6"/>
      <c r="W2214" s="6"/>
      <c r="X2214" s="12"/>
      <c r="Y2214" s="6"/>
      <c r="Z2214" s="6"/>
      <c r="AA2214" s="7"/>
      <c r="AB2214" s="6"/>
      <c r="AC2214" s="6"/>
      <c r="AD2214" s="6"/>
      <c r="AE2214" s="12"/>
      <c r="AF2214" s="12"/>
      <c r="AG2214" s="12"/>
      <c r="AH2214" s="12"/>
      <c r="AI2214" s="6"/>
      <c r="AJ2214" s="12"/>
      <c r="AK2214" s="1"/>
      <c r="AL2214" s="12"/>
      <c r="AM2214" s="12"/>
      <c r="AN2214" s="1"/>
      <c r="AO2214" s="6"/>
    </row>
    <row r="2215" spans="1:41" ht="15" x14ac:dyDescent="0.25">
      <c r="A2215" s="1"/>
      <c r="B2215" s="1"/>
      <c r="C2215" s="1"/>
      <c r="D2215" s="1"/>
      <c r="E2215" s="6"/>
      <c r="F2215" s="1"/>
      <c r="G2215" s="6"/>
      <c r="H2215" s="6"/>
      <c r="I2215" s="6"/>
      <c r="J2215" s="6"/>
      <c r="K2215" s="6"/>
      <c r="L2215" s="6"/>
      <c r="M2215" s="6"/>
      <c r="N2215" s="6"/>
      <c r="O2215" s="7"/>
      <c r="P2215" s="12"/>
      <c r="Q2215" s="6"/>
      <c r="R2215" s="7"/>
      <c r="S2215" s="6"/>
      <c r="T2215" s="6"/>
      <c r="U2215" s="7"/>
      <c r="V2215" s="6"/>
      <c r="W2215" s="6"/>
      <c r="X2215" s="12"/>
      <c r="Y2215" s="6"/>
      <c r="Z2215" s="6"/>
      <c r="AA2215" s="7"/>
      <c r="AB2215" s="6"/>
      <c r="AC2215" s="6"/>
      <c r="AD2215" s="6"/>
      <c r="AE2215" s="12"/>
      <c r="AF2215" s="6"/>
      <c r="AG2215" s="12"/>
      <c r="AH2215" s="6"/>
      <c r="AI2215" s="6"/>
      <c r="AJ2215" s="12"/>
      <c r="AK2215" s="24"/>
      <c r="AL2215" s="25"/>
      <c r="AM2215" s="12"/>
      <c r="AN2215" s="1"/>
      <c r="AO2215" s="6"/>
    </row>
    <row r="2216" spans="1:41" ht="15" x14ac:dyDescent="0.25">
      <c r="A2216" s="1"/>
      <c r="B2216" s="1"/>
      <c r="C2216" s="1"/>
      <c r="D2216" s="1"/>
      <c r="E2216" s="6"/>
      <c r="F2216" s="1"/>
      <c r="G2216" s="6"/>
      <c r="H2216" s="6"/>
      <c r="I2216" s="6"/>
      <c r="J2216" s="6"/>
      <c r="K2216" s="6"/>
      <c r="L2216" s="6"/>
      <c r="M2216" s="6"/>
      <c r="N2216" s="6"/>
      <c r="O2216" s="7"/>
      <c r="P2216" s="12"/>
      <c r="Q2216" s="6"/>
      <c r="R2216" s="7"/>
      <c r="S2216" s="6"/>
      <c r="T2216" s="6"/>
      <c r="U2216" s="7"/>
      <c r="V2216" s="6"/>
      <c r="W2216" s="6"/>
      <c r="X2216" s="6"/>
      <c r="Y2216" s="6"/>
      <c r="Z2216" s="6"/>
      <c r="AA2216" s="7"/>
      <c r="AB2216" s="6"/>
      <c r="AC2216" s="6"/>
      <c r="AD2216" s="6"/>
      <c r="AE2216" s="12"/>
      <c r="AF2216" s="6"/>
      <c r="AG2216" s="12"/>
      <c r="AH2216" s="6"/>
      <c r="AI2216" s="6"/>
      <c r="AJ2216" s="12"/>
      <c r="AK2216" s="1"/>
      <c r="AL2216" s="12"/>
      <c r="AM2216" s="12"/>
      <c r="AN2216" s="1"/>
      <c r="AO2216" s="6"/>
    </row>
    <row r="2217" spans="1:41" ht="15" x14ac:dyDescent="0.25">
      <c r="A2217" s="1"/>
      <c r="B2217" s="1"/>
      <c r="C2217" s="1"/>
      <c r="D2217" s="1"/>
      <c r="E2217" s="6"/>
      <c r="F2217" s="1"/>
      <c r="G2217" s="6"/>
      <c r="H2217" s="6"/>
      <c r="I2217" s="6"/>
      <c r="J2217" s="6"/>
      <c r="K2217" s="6"/>
      <c r="L2217" s="6"/>
      <c r="M2217" s="6"/>
      <c r="N2217" s="6"/>
      <c r="O2217" s="7"/>
      <c r="P2217" s="6"/>
      <c r="Q2217" s="6"/>
      <c r="R2217" s="7"/>
      <c r="S2217" s="6"/>
      <c r="T2217" s="6"/>
      <c r="U2217" s="7"/>
      <c r="V2217" s="6"/>
      <c r="W2217" s="6"/>
      <c r="X2217" s="12"/>
      <c r="Y2217" s="6"/>
      <c r="Z2217" s="6"/>
      <c r="AA2217" s="7"/>
      <c r="AB2217" s="6"/>
      <c r="AC2217" s="6"/>
      <c r="AD2217" s="6"/>
      <c r="AE2217" s="12"/>
      <c r="AF2217" s="12"/>
      <c r="AG2217" s="12"/>
      <c r="AH2217" s="12"/>
      <c r="AI2217" s="6"/>
      <c r="AJ2217" s="12"/>
      <c r="AK2217" s="1"/>
      <c r="AL2217" s="12"/>
      <c r="AM2217" s="12"/>
      <c r="AN2217" s="1"/>
      <c r="AO2217" s="6"/>
    </row>
    <row r="2218" spans="1:41" ht="15" x14ac:dyDescent="0.25">
      <c r="A2218" s="1"/>
      <c r="B2218" s="1"/>
      <c r="C2218" s="1"/>
      <c r="D2218" s="1"/>
      <c r="E2218" s="6"/>
      <c r="F2218" s="1"/>
      <c r="G2218" s="6"/>
      <c r="H2218" s="6"/>
      <c r="I2218" s="6"/>
      <c r="J2218" s="6"/>
      <c r="K2218" s="6"/>
      <c r="L2218" s="6"/>
      <c r="M2218" s="6"/>
      <c r="N2218" s="6"/>
      <c r="O2218" s="7"/>
      <c r="P2218" s="6"/>
      <c r="Q2218" s="6"/>
      <c r="R2218" s="7"/>
      <c r="S2218" s="6"/>
      <c r="T2218" s="6"/>
      <c r="U2218" s="7"/>
      <c r="V2218" s="6"/>
      <c r="W2218" s="6"/>
      <c r="X2218" s="6"/>
      <c r="Y2218" s="6"/>
      <c r="Z2218" s="6"/>
      <c r="AA2218" s="7"/>
      <c r="AB2218" s="6"/>
      <c r="AC2218" s="6"/>
      <c r="AD2218" s="6"/>
      <c r="AE2218" s="12"/>
      <c r="AF2218" s="6"/>
      <c r="AG2218" s="12"/>
      <c r="AH2218" s="6"/>
      <c r="AI2218" s="6"/>
      <c r="AJ2218" s="12"/>
      <c r="AK2218" s="24"/>
      <c r="AL2218" s="25"/>
      <c r="AM2218" s="12"/>
      <c r="AN2218" s="1"/>
      <c r="AO2218" s="6"/>
    </row>
    <row r="2219" spans="1:41" ht="15" x14ac:dyDescent="0.25">
      <c r="A2219" s="1"/>
      <c r="B2219" s="1"/>
      <c r="C2219" s="1"/>
      <c r="D2219" s="1"/>
      <c r="E2219" s="6"/>
      <c r="F2219" s="1"/>
      <c r="G2219" s="6"/>
      <c r="H2219" s="6"/>
      <c r="I2219" s="6"/>
      <c r="J2219" s="6"/>
      <c r="K2219" s="6"/>
      <c r="L2219" s="6"/>
      <c r="M2219" s="6"/>
      <c r="N2219" s="6"/>
      <c r="O2219" s="7"/>
      <c r="P2219" s="6"/>
      <c r="Q2219" s="7"/>
      <c r="R2219" s="6"/>
      <c r="S2219" s="6"/>
      <c r="T2219" s="6"/>
      <c r="U2219" s="6"/>
      <c r="V2219" s="7"/>
      <c r="W2219" s="7"/>
      <c r="X2219" s="6"/>
      <c r="Y2219" s="6"/>
      <c r="Z2219" s="6"/>
      <c r="AA2219" s="1"/>
      <c r="AB2219" s="12"/>
      <c r="AC2219" s="12"/>
      <c r="AD2219" s="12"/>
      <c r="AE2219" s="12"/>
      <c r="AF2219" s="12"/>
      <c r="AG2219" s="12"/>
      <c r="AH2219" s="12"/>
      <c r="AI2219" s="6"/>
      <c r="AJ2219" s="12"/>
      <c r="AK2219" s="12"/>
      <c r="AL2219" s="12"/>
      <c r="AM2219" s="12"/>
      <c r="AN2219" s="1"/>
      <c r="AO2219" s="6"/>
    </row>
    <row r="2220" spans="1:41" ht="15" x14ac:dyDescent="0.25">
      <c r="A2220" s="1"/>
      <c r="B2220" s="1"/>
      <c r="C2220" s="1"/>
      <c r="D2220" s="1"/>
      <c r="E2220" s="6"/>
      <c r="F2220" s="1"/>
      <c r="G2220" s="6"/>
      <c r="H2220" s="6"/>
      <c r="I2220" s="6"/>
      <c r="J2220" s="6"/>
      <c r="K2220" s="6"/>
      <c r="L2220" s="6"/>
      <c r="M2220" s="6"/>
      <c r="N2220" s="6"/>
      <c r="O2220" s="7"/>
      <c r="P2220" s="6"/>
      <c r="Q2220" s="6"/>
      <c r="R2220" s="7"/>
      <c r="S2220" s="6"/>
      <c r="T2220" s="6"/>
      <c r="U2220" s="7"/>
      <c r="V2220" s="6"/>
      <c r="W2220" s="6"/>
      <c r="X2220" s="6"/>
      <c r="Y2220" s="6"/>
      <c r="Z2220" s="6"/>
      <c r="AA2220" s="7"/>
      <c r="AB2220" s="6"/>
      <c r="AC2220" s="6"/>
      <c r="AD2220" s="6"/>
      <c r="AE2220" s="12"/>
      <c r="AF2220" s="12"/>
      <c r="AG2220" s="12"/>
      <c r="AH2220" s="12"/>
      <c r="AI2220" s="6"/>
      <c r="AJ2220" s="12"/>
      <c r="AK2220" s="1"/>
      <c r="AL2220" s="12"/>
      <c r="AM2220" s="12"/>
      <c r="AN2220" s="1"/>
      <c r="AO2220" s="6"/>
    </row>
    <row r="2221" spans="1:41" ht="15" x14ac:dyDescent="0.25">
      <c r="A2221" s="1"/>
      <c r="B2221" s="1"/>
      <c r="C2221" s="1"/>
      <c r="D2221" s="1"/>
      <c r="E2221" s="6"/>
      <c r="F2221" s="1"/>
      <c r="G2221" s="6"/>
      <c r="H2221" s="6"/>
      <c r="I2221" s="6"/>
      <c r="J2221" s="6"/>
      <c r="K2221" s="6"/>
      <c r="L2221" s="6"/>
      <c r="M2221" s="6"/>
      <c r="N2221" s="6"/>
      <c r="O2221" s="7"/>
      <c r="P2221" s="12"/>
      <c r="Q2221" s="6"/>
      <c r="R2221" s="7"/>
      <c r="S2221" s="6"/>
      <c r="T2221" s="6"/>
      <c r="U2221" s="7"/>
      <c r="V2221" s="6"/>
      <c r="W2221" s="6"/>
      <c r="X2221" s="12"/>
      <c r="Y2221" s="6"/>
      <c r="Z2221" s="6"/>
      <c r="AA2221" s="7"/>
      <c r="AB2221" s="6"/>
      <c r="AC2221" s="6"/>
      <c r="AD2221" s="6"/>
      <c r="AE2221" s="12"/>
      <c r="AF2221" s="12"/>
      <c r="AG2221" s="12"/>
      <c r="AH2221" s="12"/>
      <c r="AI2221" s="6"/>
      <c r="AJ2221" s="12"/>
      <c r="AK2221" s="1"/>
      <c r="AL2221" s="12"/>
      <c r="AM2221" s="12"/>
      <c r="AN2221" s="1"/>
      <c r="AO2221" s="6"/>
    </row>
    <row r="2222" spans="1:41" ht="15" x14ac:dyDescent="0.25">
      <c r="A2222" s="1"/>
      <c r="B2222" s="1"/>
      <c r="C2222" s="1"/>
      <c r="D2222" s="1"/>
      <c r="E2222" s="6"/>
      <c r="F2222" s="1"/>
      <c r="G2222" s="6"/>
      <c r="H2222" s="6"/>
      <c r="I2222" s="6"/>
      <c r="J2222" s="6"/>
      <c r="K2222" s="6"/>
      <c r="L2222" s="6"/>
      <c r="M2222" s="6"/>
      <c r="N2222" s="6"/>
      <c r="O2222" s="7"/>
      <c r="P2222" s="6"/>
      <c r="Q2222" s="6"/>
      <c r="R2222" s="7"/>
      <c r="S2222" s="6"/>
      <c r="T2222" s="6"/>
      <c r="U2222" s="7"/>
      <c r="V2222" s="6"/>
      <c r="W2222" s="6"/>
      <c r="X2222" s="12"/>
      <c r="Y2222" s="6"/>
      <c r="Z2222" s="6"/>
      <c r="AA2222" s="7"/>
      <c r="AB2222" s="6"/>
      <c r="AC2222" s="6"/>
      <c r="AD2222" s="6"/>
      <c r="AE2222" s="12"/>
      <c r="AF2222" s="6"/>
      <c r="AG2222" s="12"/>
      <c r="AH2222" s="6"/>
      <c r="AI2222" s="6"/>
      <c r="AJ2222" s="12"/>
      <c r="AK2222" s="24"/>
      <c r="AL2222" s="25"/>
      <c r="AM2222" s="12"/>
      <c r="AN2222" s="1"/>
      <c r="AO2222" s="6"/>
    </row>
    <row r="2223" spans="1:41" ht="15" x14ac:dyDescent="0.25">
      <c r="A2223" s="1"/>
      <c r="B2223" s="1"/>
      <c r="C2223" s="1"/>
      <c r="D2223" s="1"/>
      <c r="E2223" s="6"/>
      <c r="F2223" s="1"/>
      <c r="G2223" s="6"/>
      <c r="H2223" s="6"/>
      <c r="I2223" s="6"/>
      <c r="J2223" s="6"/>
      <c r="K2223" s="6"/>
      <c r="L2223" s="6"/>
      <c r="M2223" s="6"/>
      <c r="N2223" s="6"/>
      <c r="O2223" s="7"/>
      <c r="P2223" s="6"/>
      <c r="Q2223" s="6"/>
      <c r="R2223" s="7"/>
      <c r="S2223" s="6"/>
      <c r="T2223" s="6"/>
      <c r="U2223" s="7"/>
      <c r="V2223" s="6"/>
      <c r="W2223" s="6"/>
      <c r="X2223" s="6"/>
      <c r="Y2223" s="6"/>
      <c r="Z2223" s="6"/>
      <c r="AA2223" s="7"/>
      <c r="AB2223" s="6"/>
      <c r="AC2223" s="6"/>
      <c r="AD2223" s="6"/>
      <c r="AE2223" s="12"/>
      <c r="AF2223" s="12"/>
      <c r="AG2223" s="12"/>
      <c r="AH2223" s="12"/>
      <c r="AI2223" s="6"/>
      <c r="AJ2223" s="12"/>
      <c r="AK2223" s="1"/>
      <c r="AL2223" s="12"/>
      <c r="AM2223" s="12"/>
      <c r="AN2223" s="1"/>
      <c r="AO2223" s="6"/>
    </row>
    <row r="2224" spans="1:41" ht="15" x14ac:dyDescent="0.25">
      <c r="A2224" s="1"/>
      <c r="B2224" s="1"/>
      <c r="C2224" s="1"/>
      <c r="D2224" s="1"/>
      <c r="E2224" s="6"/>
      <c r="F2224" s="1"/>
      <c r="G2224" s="6"/>
      <c r="H2224" s="6"/>
      <c r="I2224" s="6"/>
      <c r="J2224" s="6"/>
      <c r="K2224" s="6"/>
      <c r="L2224" s="6"/>
      <c r="M2224" s="6"/>
      <c r="N2224" s="6"/>
      <c r="O2224" s="7"/>
      <c r="P2224" s="6"/>
      <c r="Q2224" s="6"/>
      <c r="R2224" s="7"/>
      <c r="S2224" s="6"/>
      <c r="T2224" s="6"/>
      <c r="U2224" s="7"/>
      <c r="V2224" s="6"/>
      <c r="W2224" s="6"/>
      <c r="X2224" s="6"/>
      <c r="Y2224" s="6"/>
      <c r="Z2224" s="6"/>
      <c r="AA2224" s="7"/>
      <c r="AB2224" s="6"/>
      <c r="AC2224" s="6"/>
      <c r="AD2224" s="6"/>
      <c r="AE2224" s="12"/>
      <c r="AF2224" s="6"/>
      <c r="AG2224" s="12"/>
      <c r="AH2224" s="6"/>
      <c r="AI2224" s="6"/>
      <c r="AJ2224" s="12"/>
      <c r="AK2224" s="1"/>
      <c r="AL2224" s="12"/>
      <c r="AM2224" s="12"/>
      <c r="AN2224" s="1"/>
      <c r="AO2224" s="6"/>
    </row>
    <row r="2225" spans="1:41" ht="15" x14ac:dyDescent="0.25">
      <c r="A2225" s="1"/>
      <c r="B2225" s="1"/>
      <c r="C2225" s="1"/>
      <c r="D2225" s="1"/>
      <c r="E2225" s="6"/>
      <c r="F2225" s="1"/>
      <c r="G2225" s="6"/>
      <c r="H2225" s="6"/>
      <c r="I2225" s="6"/>
      <c r="J2225" s="6"/>
      <c r="K2225" s="6"/>
      <c r="L2225" s="6"/>
      <c r="M2225" s="6"/>
      <c r="N2225" s="6"/>
      <c r="O2225" s="7"/>
      <c r="P2225" s="6"/>
      <c r="Q2225" s="6"/>
      <c r="R2225" s="7"/>
      <c r="S2225" s="6"/>
      <c r="T2225" s="6"/>
      <c r="U2225" s="7"/>
      <c r="V2225" s="6"/>
      <c r="W2225" s="6"/>
      <c r="X2225" s="12"/>
      <c r="Y2225" s="6"/>
      <c r="Z2225" s="6"/>
      <c r="AA2225" s="7"/>
      <c r="AB2225" s="6"/>
      <c r="AC2225" s="6"/>
      <c r="AD2225" s="6"/>
      <c r="AE2225" s="12"/>
      <c r="AF2225" s="12"/>
      <c r="AG2225" s="12"/>
      <c r="AH2225" s="12"/>
      <c r="AI2225" s="6"/>
      <c r="AJ2225" s="12"/>
      <c r="AK2225" s="1"/>
      <c r="AL2225" s="12"/>
      <c r="AM2225" s="12"/>
      <c r="AN2225" s="1"/>
      <c r="AO2225" s="6"/>
    </row>
    <row r="2226" spans="1:41" ht="15" x14ac:dyDescent="0.25">
      <c r="A2226" s="1"/>
      <c r="B2226" s="1"/>
      <c r="C2226" s="1"/>
      <c r="D2226" s="1"/>
      <c r="E2226" s="6"/>
      <c r="F2226" s="1"/>
      <c r="G2226" s="6"/>
      <c r="H2226" s="6"/>
      <c r="I2226" s="6"/>
      <c r="J2226" s="6"/>
      <c r="K2226" s="6"/>
      <c r="L2226" s="6"/>
      <c r="M2226" s="6"/>
      <c r="N2226" s="6"/>
      <c r="O2226" s="7"/>
      <c r="P2226" s="12"/>
      <c r="Q2226" s="6"/>
      <c r="R2226" s="7"/>
      <c r="S2226" s="6"/>
      <c r="T2226" s="6"/>
      <c r="U2226" s="7"/>
      <c r="V2226" s="6"/>
      <c r="W2226" s="6"/>
      <c r="X2226" s="6"/>
      <c r="Y2226" s="6"/>
      <c r="Z2226" s="6"/>
      <c r="AA2226" s="7"/>
      <c r="AB2226" s="6"/>
      <c r="AC2226" s="6"/>
      <c r="AD2226" s="6"/>
      <c r="AE2226" s="12"/>
      <c r="AF2226" s="6"/>
      <c r="AG2226" s="12"/>
      <c r="AH2226" s="6"/>
      <c r="AI2226" s="6"/>
      <c r="AJ2226" s="12"/>
      <c r="AK2226" s="24"/>
      <c r="AL2226" s="25"/>
      <c r="AM2226" s="12"/>
      <c r="AN2226" s="1"/>
      <c r="AO2226" s="6"/>
    </row>
    <row r="2227" spans="1:41" ht="15" x14ac:dyDescent="0.25">
      <c r="A2227" s="1"/>
      <c r="B2227" s="1"/>
      <c r="C2227" s="1"/>
      <c r="D2227" s="1"/>
      <c r="E2227" s="6"/>
      <c r="F2227" s="1"/>
      <c r="G2227" s="6"/>
      <c r="H2227" s="6"/>
      <c r="I2227" s="6"/>
      <c r="J2227" s="6"/>
      <c r="K2227" s="6"/>
      <c r="L2227" s="6"/>
      <c r="M2227" s="6"/>
      <c r="N2227" s="6"/>
      <c r="O2227" s="7"/>
      <c r="P2227" s="6"/>
      <c r="Q2227" s="6"/>
      <c r="R2227" s="7"/>
      <c r="S2227" s="6"/>
      <c r="T2227" s="6"/>
      <c r="U2227" s="7"/>
      <c r="V2227" s="6"/>
      <c r="W2227" s="6"/>
      <c r="X2227" s="6"/>
      <c r="Y2227" s="6"/>
      <c r="Z2227" s="6"/>
      <c r="AA2227" s="7"/>
      <c r="AB2227" s="6"/>
      <c r="AC2227" s="6"/>
      <c r="AD2227" s="6"/>
      <c r="AE2227" s="12"/>
      <c r="AF2227" s="6"/>
      <c r="AG2227" s="12"/>
      <c r="AH2227" s="6"/>
      <c r="AI2227" s="6"/>
      <c r="AJ2227" s="12"/>
      <c r="AK2227" s="1"/>
      <c r="AL2227" s="12"/>
      <c r="AM2227" s="12"/>
      <c r="AN2227" s="1"/>
      <c r="AO2227" s="6"/>
    </row>
    <row r="2228" spans="1:41" ht="15" x14ac:dyDescent="0.25">
      <c r="A2228" s="1"/>
      <c r="B2228" s="1"/>
      <c r="C2228" s="1"/>
      <c r="D2228" s="1"/>
      <c r="E2228" s="6"/>
      <c r="F2228" s="1"/>
      <c r="G2228" s="6"/>
      <c r="H2228" s="6"/>
      <c r="I2228" s="6"/>
      <c r="J2228" s="6"/>
      <c r="K2228" s="6"/>
      <c r="L2228" s="6"/>
      <c r="M2228" s="6"/>
      <c r="N2228" s="6"/>
      <c r="O2228" s="7"/>
      <c r="P2228" s="6"/>
      <c r="Q2228" s="6"/>
      <c r="R2228" s="7"/>
      <c r="S2228" s="6"/>
      <c r="T2228" s="6"/>
      <c r="U2228" s="7"/>
      <c r="V2228" s="6"/>
      <c r="W2228" s="6"/>
      <c r="X2228" s="6"/>
      <c r="Y2228" s="6"/>
      <c r="Z2228" s="6"/>
      <c r="AA2228" s="7"/>
      <c r="AB2228" s="6"/>
      <c r="AC2228" s="6"/>
      <c r="AD2228" s="6"/>
      <c r="AE2228" s="12"/>
      <c r="AF2228" s="6"/>
      <c r="AG2228" s="12"/>
      <c r="AH2228" s="6"/>
      <c r="AI2228" s="6"/>
      <c r="AJ2228" s="12"/>
      <c r="AK2228" s="1"/>
      <c r="AL2228" s="12"/>
      <c r="AM2228" s="12"/>
      <c r="AN2228" s="1"/>
      <c r="AO2228" s="6"/>
    </row>
    <row r="2229" spans="1:41" ht="15" x14ac:dyDescent="0.25">
      <c r="A2229" s="1"/>
      <c r="B2229" s="1"/>
      <c r="C2229" s="1"/>
      <c r="D2229" s="1"/>
      <c r="E2229" s="6"/>
      <c r="F2229" s="1"/>
      <c r="G2229" s="6"/>
      <c r="H2229" s="6"/>
      <c r="I2229" s="6"/>
      <c r="J2229" s="6"/>
      <c r="K2229" s="6"/>
      <c r="L2229" s="6"/>
      <c r="M2229" s="6"/>
      <c r="N2229" s="6"/>
      <c r="O2229" s="7"/>
      <c r="P2229" s="6"/>
      <c r="Q2229" s="6"/>
      <c r="R2229" s="7"/>
      <c r="S2229" s="6"/>
      <c r="T2229" s="6"/>
      <c r="U2229" s="7"/>
      <c r="V2229" s="6"/>
      <c r="W2229" s="6"/>
      <c r="X2229" s="12"/>
      <c r="Y2229" s="6"/>
      <c r="Z2229" s="6"/>
      <c r="AA2229" s="7"/>
      <c r="AB2229" s="6"/>
      <c r="AC2229" s="6"/>
      <c r="AD2229" s="6"/>
      <c r="AE2229" s="12"/>
      <c r="AF2229" s="6"/>
      <c r="AG2229" s="12"/>
      <c r="AH2229" s="6"/>
      <c r="AI2229" s="6"/>
      <c r="AJ2229" s="12"/>
      <c r="AK2229" s="24"/>
      <c r="AL2229" s="25"/>
      <c r="AM2229" s="12"/>
      <c r="AN2229" s="1"/>
      <c r="AO2229" s="6"/>
    </row>
    <row r="2230" spans="1:41" ht="15" x14ac:dyDescent="0.25">
      <c r="A2230" s="1"/>
      <c r="B2230" s="1"/>
      <c r="C2230" s="1"/>
      <c r="D2230" s="1"/>
      <c r="E2230" s="6"/>
      <c r="F2230" s="1"/>
      <c r="G2230" s="6"/>
      <c r="H2230" s="6"/>
      <c r="I2230" s="6"/>
      <c r="J2230" s="6"/>
      <c r="K2230" s="6"/>
      <c r="L2230" s="6"/>
      <c r="M2230" s="6"/>
      <c r="N2230" s="6"/>
      <c r="O2230" s="7"/>
      <c r="P2230" s="12"/>
      <c r="Q2230" s="6"/>
      <c r="R2230" s="7"/>
      <c r="S2230" s="6"/>
      <c r="T2230" s="6"/>
      <c r="U2230" s="7"/>
      <c r="V2230" s="6"/>
      <c r="W2230" s="6"/>
      <c r="X2230" s="12"/>
      <c r="Y2230" s="6"/>
      <c r="Z2230" s="6"/>
      <c r="AA2230" s="7"/>
      <c r="AB2230" s="6"/>
      <c r="AC2230" s="6"/>
      <c r="AD2230" s="6"/>
      <c r="AE2230" s="12"/>
      <c r="AF2230" s="12"/>
      <c r="AG2230" s="12"/>
      <c r="AH2230" s="12"/>
      <c r="AI2230" s="6"/>
      <c r="AJ2230" s="12"/>
      <c r="AK2230" s="1"/>
      <c r="AL2230" s="12"/>
      <c r="AM2230" s="12"/>
      <c r="AN2230" s="1"/>
      <c r="AO2230" s="6"/>
    </row>
    <row r="2231" spans="1:41" ht="15" x14ac:dyDescent="0.25">
      <c r="A2231" s="1"/>
      <c r="B2231" s="1"/>
      <c r="C2231" s="1"/>
      <c r="D2231" s="1"/>
      <c r="E2231" s="6"/>
      <c r="F2231" s="1"/>
      <c r="G2231" s="6"/>
      <c r="H2231" s="6"/>
      <c r="I2231" s="6"/>
      <c r="J2231" s="6"/>
      <c r="K2231" s="6"/>
      <c r="L2231" s="6"/>
      <c r="M2231" s="6"/>
      <c r="N2231" s="6"/>
      <c r="O2231" s="7"/>
      <c r="P2231" s="6"/>
      <c r="Q2231" s="6"/>
      <c r="R2231" s="7"/>
      <c r="S2231" s="6"/>
      <c r="T2231" s="6"/>
      <c r="U2231" s="7"/>
      <c r="V2231" s="6"/>
      <c r="W2231" s="6"/>
      <c r="X2231" s="6"/>
      <c r="Y2231" s="6"/>
      <c r="Z2231" s="6"/>
      <c r="AA2231" s="7"/>
      <c r="AB2231" s="6"/>
      <c r="AC2231" s="6"/>
      <c r="AD2231" s="6"/>
      <c r="AE2231" s="12"/>
      <c r="AF2231" s="6"/>
      <c r="AG2231" s="12"/>
      <c r="AH2231" s="6"/>
      <c r="AI2231" s="6"/>
      <c r="AJ2231" s="12"/>
      <c r="AK2231" s="24"/>
      <c r="AL2231" s="25"/>
      <c r="AM2231" s="12"/>
      <c r="AN2231" s="1"/>
      <c r="AO2231" s="6"/>
    </row>
    <row r="2232" spans="1:41" ht="15" x14ac:dyDescent="0.25">
      <c r="A2232" s="1"/>
      <c r="B2232" s="1"/>
      <c r="C2232" s="1"/>
      <c r="D2232" s="1"/>
      <c r="E2232" s="6"/>
      <c r="F2232" s="1"/>
      <c r="G2232" s="6"/>
      <c r="H2232" s="6"/>
      <c r="I2232" s="6"/>
      <c r="J2232" s="6"/>
      <c r="K2232" s="6"/>
      <c r="L2232" s="6"/>
      <c r="M2232" s="6"/>
      <c r="N2232" s="6"/>
      <c r="O2232" s="7"/>
      <c r="P2232" s="6"/>
      <c r="Q2232" s="6"/>
      <c r="R2232" s="7"/>
      <c r="S2232" s="6"/>
      <c r="T2232" s="6"/>
      <c r="U2232" s="7"/>
      <c r="V2232" s="6"/>
      <c r="W2232" s="6"/>
      <c r="X2232" s="6"/>
      <c r="Y2232" s="6"/>
      <c r="Z2232" s="6"/>
      <c r="AA2232" s="7"/>
      <c r="AB2232" s="6"/>
      <c r="AC2232" s="6"/>
      <c r="AD2232" s="6"/>
      <c r="AE2232" s="12"/>
      <c r="AF2232" s="6"/>
      <c r="AG2232" s="12"/>
      <c r="AH2232" s="6"/>
      <c r="AI2232" s="6"/>
      <c r="AJ2232" s="12"/>
      <c r="AK2232" s="1"/>
      <c r="AL2232" s="12"/>
      <c r="AM2232" s="12"/>
      <c r="AN2232" s="1"/>
      <c r="AO2232" s="6"/>
    </row>
    <row r="2233" spans="1:41" ht="15" x14ac:dyDescent="0.25">
      <c r="A2233" s="1"/>
      <c r="B2233" s="1"/>
      <c r="C2233" s="1"/>
      <c r="D2233" s="1"/>
      <c r="E2233" s="6"/>
      <c r="F2233" s="1"/>
      <c r="G2233" s="6"/>
      <c r="H2233" s="6"/>
      <c r="I2233" s="6"/>
      <c r="J2233" s="6"/>
      <c r="K2233" s="12"/>
      <c r="L2233" s="12"/>
      <c r="M2233" s="6"/>
      <c r="N2233" s="6"/>
      <c r="O2233" s="7"/>
      <c r="P2233" s="12"/>
      <c r="Q2233" s="6"/>
      <c r="R2233" s="7"/>
      <c r="S2233" s="6"/>
      <c r="T2233" s="6"/>
      <c r="U2233" s="7"/>
      <c r="V2233" s="6"/>
      <c r="W2233" s="6"/>
      <c r="X2233" s="12"/>
      <c r="Y2233" s="6"/>
      <c r="Z2233" s="6"/>
      <c r="AA2233" s="7"/>
      <c r="AB2233" s="6"/>
      <c r="AC2233" s="6"/>
      <c r="AD2233" s="6"/>
      <c r="AE2233" s="12"/>
      <c r="AF2233" s="12"/>
      <c r="AG2233" s="12"/>
      <c r="AH2233" s="12"/>
      <c r="AI2233" s="6"/>
      <c r="AJ2233" s="12"/>
      <c r="AK2233" s="1"/>
      <c r="AL2233" s="12"/>
      <c r="AM2233" s="12"/>
      <c r="AN2233" s="1"/>
      <c r="AO2233" s="6"/>
    </row>
    <row r="2234" spans="1:41" ht="15" x14ac:dyDescent="0.25">
      <c r="A2234" s="1"/>
      <c r="B2234" s="1"/>
      <c r="C2234" s="1"/>
      <c r="D2234" s="1"/>
      <c r="E2234" s="6"/>
      <c r="F2234" s="1"/>
      <c r="G2234" s="6"/>
      <c r="H2234" s="6"/>
      <c r="I2234" s="6"/>
      <c r="J2234" s="6"/>
      <c r="K2234" s="6"/>
      <c r="L2234" s="6"/>
      <c r="M2234" s="6"/>
      <c r="N2234" s="6"/>
      <c r="O2234" s="7"/>
      <c r="P2234" s="6"/>
      <c r="Q2234" s="6"/>
      <c r="R2234" s="7"/>
      <c r="S2234" s="6"/>
      <c r="T2234" s="6"/>
      <c r="U2234" s="7"/>
      <c r="V2234" s="6"/>
      <c r="W2234" s="6"/>
      <c r="X2234" s="12"/>
      <c r="Y2234" s="6"/>
      <c r="Z2234" s="6"/>
      <c r="AA2234" s="7"/>
      <c r="AB2234" s="6"/>
      <c r="AC2234" s="6"/>
      <c r="AD2234" s="6"/>
      <c r="AE2234" s="12"/>
      <c r="AF2234" s="12"/>
      <c r="AG2234" s="12"/>
      <c r="AH2234" s="12"/>
      <c r="AI2234" s="6"/>
      <c r="AJ2234" s="12"/>
      <c r="AK2234" s="1"/>
      <c r="AL2234" s="12"/>
      <c r="AM2234" s="12"/>
      <c r="AN2234" s="1"/>
      <c r="AO2234" s="6"/>
    </row>
    <row r="2235" spans="1:41" ht="15" x14ac:dyDescent="0.25">
      <c r="A2235" s="1"/>
      <c r="B2235" s="1"/>
      <c r="C2235" s="1"/>
      <c r="D2235" s="1"/>
      <c r="E2235" s="6"/>
      <c r="F2235" s="1"/>
      <c r="G2235" s="6"/>
      <c r="H2235" s="6"/>
      <c r="I2235" s="6"/>
      <c r="J2235" s="6"/>
      <c r="K2235" s="6"/>
      <c r="L2235" s="6"/>
      <c r="M2235" s="6"/>
      <c r="N2235" s="6"/>
      <c r="O2235" s="7"/>
      <c r="P2235" s="6"/>
      <c r="Q2235" s="7"/>
      <c r="R2235" s="6"/>
      <c r="S2235" s="6"/>
      <c r="T2235" s="6"/>
      <c r="U2235" s="6"/>
      <c r="V2235" s="7"/>
      <c r="W2235" s="7"/>
      <c r="X2235" s="6"/>
      <c r="Y2235" s="6"/>
      <c r="Z2235" s="6"/>
      <c r="AA2235" s="1"/>
      <c r="AB2235" s="12"/>
      <c r="AC2235" s="12"/>
      <c r="AD2235" s="12"/>
      <c r="AE2235" s="12"/>
      <c r="AF2235" s="12"/>
      <c r="AG2235" s="12"/>
      <c r="AH2235" s="12"/>
      <c r="AI2235" s="6"/>
      <c r="AJ2235" s="12"/>
      <c r="AK2235" s="12"/>
      <c r="AL2235" s="12"/>
      <c r="AM2235" s="12"/>
      <c r="AN2235" s="1"/>
      <c r="AO2235" s="6"/>
    </row>
    <row r="2236" spans="1:41" ht="15" x14ac:dyDescent="0.25">
      <c r="A2236" s="1"/>
      <c r="B2236" s="1"/>
      <c r="C2236" s="1"/>
      <c r="D2236" s="1"/>
      <c r="E2236" s="6"/>
      <c r="F2236" s="1"/>
      <c r="G2236" s="6"/>
      <c r="H2236" s="6"/>
      <c r="I2236" s="6"/>
      <c r="J2236" s="6"/>
      <c r="K2236" s="6"/>
      <c r="L2236" s="6"/>
      <c r="M2236" s="6"/>
      <c r="N2236" s="6"/>
      <c r="O2236" s="7"/>
      <c r="P2236" s="6"/>
      <c r="Q2236" s="6"/>
      <c r="R2236" s="7"/>
      <c r="S2236" s="6"/>
      <c r="T2236" s="6"/>
      <c r="U2236" s="7"/>
      <c r="V2236" s="6"/>
      <c r="W2236" s="6"/>
      <c r="X2236" s="6"/>
      <c r="Y2236" s="6"/>
      <c r="Z2236" s="6"/>
      <c r="AA2236" s="7"/>
      <c r="AB2236" s="6"/>
      <c r="AC2236" s="6"/>
      <c r="AD2236" s="6"/>
      <c r="AE2236" s="12"/>
      <c r="AF2236" s="6"/>
      <c r="AG2236" s="12"/>
      <c r="AH2236" s="6"/>
      <c r="AI2236" s="6"/>
      <c r="AJ2236" s="12"/>
      <c r="AK2236" s="24"/>
      <c r="AL2236" s="25"/>
      <c r="AM2236" s="12"/>
      <c r="AN2236" s="1"/>
      <c r="AO2236" s="6"/>
    </row>
    <row r="2237" spans="1:41" ht="15" x14ac:dyDescent="0.25">
      <c r="A2237" s="1"/>
      <c r="B2237" s="1"/>
      <c r="C2237" s="1"/>
      <c r="D2237" s="1"/>
      <c r="E2237" s="6"/>
      <c r="F2237" s="1"/>
      <c r="G2237" s="6"/>
      <c r="H2237" s="6"/>
      <c r="I2237" s="6"/>
      <c r="J2237" s="6"/>
      <c r="K2237" s="6"/>
      <c r="L2237" s="6"/>
      <c r="M2237" s="6"/>
      <c r="N2237" s="6"/>
      <c r="O2237" s="7"/>
      <c r="P2237" s="6"/>
      <c r="Q2237" s="6"/>
      <c r="R2237" s="7"/>
      <c r="S2237" s="6"/>
      <c r="T2237" s="6"/>
      <c r="U2237" s="7"/>
      <c r="V2237" s="6"/>
      <c r="W2237" s="6"/>
      <c r="X2237" s="6"/>
      <c r="Y2237" s="6"/>
      <c r="Z2237" s="6"/>
      <c r="AA2237" s="7"/>
      <c r="AB2237" s="6"/>
      <c r="AC2237" s="6"/>
      <c r="AD2237" s="6"/>
      <c r="AE2237" s="12"/>
      <c r="AF2237" s="6"/>
      <c r="AG2237" s="12"/>
      <c r="AH2237" s="6"/>
      <c r="AI2237" s="6"/>
      <c r="AJ2237" s="12"/>
      <c r="AK2237" s="24"/>
      <c r="AL2237" s="25"/>
      <c r="AM2237" s="12"/>
      <c r="AN2237" s="1"/>
      <c r="AO2237" s="6"/>
    </row>
    <row r="2238" spans="1:41" ht="15" x14ac:dyDescent="0.25">
      <c r="A2238" s="1"/>
      <c r="B2238" s="1"/>
      <c r="C2238" s="1"/>
      <c r="D2238" s="1"/>
      <c r="E2238" s="6"/>
      <c r="F2238" s="1"/>
      <c r="G2238" s="6"/>
      <c r="H2238" s="6"/>
      <c r="I2238" s="6"/>
      <c r="J2238" s="6"/>
      <c r="K2238" s="6"/>
      <c r="L2238" s="6"/>
      <c r="M2238" s="6"/>
      <c r="N2238" s="6"/>
      <c r="O2238" s="7"/>
      <c r="P2238" s="6"/>
      <c r="Q2238" s="6"/>
      <c r="R2238" s="7"/>
      <c r="S2238" s="6"/>
      <c r="T2238" s="6"/>
      <c r="U2238" s="7"/>
      <c r="V2238" s="6"/>
      <c r="W2238" s="6"/>
      <c r="X2238" s="6"/>
      <c r="Y2238" s="6"/>
      <c r="Z2238" s="6"/>
      <c r="AA2238" s="7"/>
      <c r="AB2238" s="6"/>
      <c r="AC2238" s="6"/>
      <c r="AD2238" s="6"/>
      <c r="AE2238" s="12"/>
      <c r="AF2238" s="6"/>
      <c r="AG2238" s="12"/>
      <c r="AH2238" s="6"/>
      <c r="AI2238" s="6"/>
      <c r="AJ2238" s="12"/>
      <c r="AK2238" s="1"/>
      <c r="AL2238" s="12"/>
      <c r="AM2238" s="12"/>
      <c r="AN2238" s="1"/>
      <c r="AO2238" s="6"/>
    </row>
    <row r="2239" spans="1:41" ht="15" x14ac:dyDescent="0.25">
      <c r="A2239" s="1"/>
      <c r="B2239" s="1"/>
      <c r="C2239" s="1"/>
      <c r="D2239" s="1"/>
      <c r="E2239" s="6"/>
      <c r="F2239" s="1"/>
      <c r="G2239" s="6"/>
      <c r="H2239" s="6"/>
      <c r="I2239" s="6"/>
      <c r="J2239" s="6"/>
      <c r="K2239" s="6"/>
      <c r="L2239" s="6"/>
      <c r="M2239" s="6"/>
      <c r="N2239" s="6"/>
      <c r="O2239" s="7"/>
      <c r="P2239" s="6"/>
      <c r="Q2239" s="6"/>
      <c r="R2239" s="7"/>
      <c r="S2239" s="6"/>
      <c r="T2239" s="6"/>
      <c r="U2239" s="7"/>
      <c r="V2239" s="6"/>
      <c r="W2239" s="6"/>
      <c r="X2239" s="6"/>
      <c r="Y2239" s="6"/>
      <c r="Z2239" s="6"/>
      <c r="AA2239" s="7"/>
      <c r="AB2239" s="6"/>
      <c r="AC2239" s="6"/>
      <c r="AD2239" s="6"/>
      <c r="AE2239" s="12"/>
      <c r="AF2239" s="6"/>
      <c r="AG2239" s="12"/>
      <c r="AH2239" s="6"/>
      <c r="AI2239" s="6"/>
      <c r="AJ2239" s="12"/>
      <c r="AK2239" s="1"/>
      <c r="AL2239" s="12"/>
      <c r="AM2239" s="12"/>
      <c r="AN2239" s="1"/>
      <c r="AO2239" s="6"/>
    </row>
    <row r="2240" spans="1:41" ht="15" x14ac:dyDescent="0.25">
      <c r="A2240" s="1"/>
      <c r="B2240" s="1"/>
      <c r="C2240" s="1"/>
      <c r="D2240" s="1"/>
      <c r="E2240" s="6"/>
      <c r="F2240" s="1"/>
      <c r="G2240" s="6"/>
      <c r="H2240" s="6"/>
      <c r="I2240" s="6"/>
      <c r="J2240" s="6"/>
      <c r="K2240" s="6"/>
      <c r="L2240" s="6"/>
      <c r="M2240" s="6"/>
      <c r="N2240" s="6"/>
      <c r="O2240" s="7"/>
      <c r="P2240" s="6"/>
      <c r="Q2240" s="6"/>
      <c r="R2240" s="7"/>
      <c r="S2240" s="6"/>
      <c r="T2240" s="6"/>
      <c r="U2240" s="7"/>
      <c r="V2240" s="6"/>
      <c r="W2240" s="6"/>
      <c r="X2240" s="6"/>
      <c r="Y2240" s="6"/>
      <c r="Z2240" s="6"/>
      <c r="AA2240" s="7"/>
      <c r="AB2240" s="6"/>
      <c r="AC2240" s="6"/>
      <c r="AD2240" s="6"/>
      <c r="AE2240" s="12"/>
      <c r="AF2240" s="12"/>
      <c r="AG2240" s="12"/>
      <c r="AH2240" s="12"/>
      <c r="AI2240" s="6"/>
      <c r="AJ2240" s="12"/>
      <c r="AK2240" s="1"/>
      <c r="AL2240" s="12"/>
      <c r="AM2240" s="12"/>
      <c r="AN2240" s="1"/>
      <c r="AO2240" s="6"/>
    </row>
    <row r="2241" spans="1:41" ht="15" x14ac:dyDescent="0.25">
      <c r="A2241" s="1"/>
      <c r="B2241" s="1"/>
      <c r="C2241" s="1"/>
      <c r="D2241" s="1"/>
      <c r="E2241" s="6"/>
      <c r="F2241" s="1"/>
      <c r="G2241" s="6"/>
      <c r="H2241" s="6"/>
      <c r="I2241" s="6"/>
      <c r="J2241" s="6"/>
      <c r="K2241" s="6"/>
      <c r="L2241" s="6"/>
      <c r="M2241" s="6"/>
      <c r="N2241" s="6"/>
      <c r="O2241" s="7"/>
      <c r="P2241" s="6"/>
      <c r="Q2241" s="6"/>
      <c r="R2241" s="7"/>
      <c r="S2241" s="6"/>
      <c r="T2241" s="6"/>
      <c r="U2241" s="7"/>
      <c r="V2241" s="6"/>
      <c r="W2241" s="6"/>
      <c r="X2241" s="6"/>
      <c r="Y2241" s="6"/>
      <c r="Z2241" s="6"/>
      <c r="AA2241" s="7"/>
      <c r="AB2241" s="6"/>
      <c r="AC2241" s="6"/>
      <c r="AD2241" s="6"/>
      <c r="AE2241" s="12"/>
      <c r="AF2241" s="6"/>
      <c r="AG2241" s="12"/>
      <c r="AH2241" s="6"/>
      <c r="AI2241" s="6"/>
      <c r="AJ2241" s="12"/>
      <c r="AK2241" s="24"/>
      <c r="AL2241" s="25"/>
      <c r="AM2241" s="12"/>
      <c r="AN2241" s="1"/>
      <c r="AO2241" s="6"/>
    </row>
    <row r="2242" spans="1:41" ht="15" x14ac:dyDescent="0.25">
      <c r="A2242" s="1"/>
      <c r="B2242" s="1"/>
      <c r="C2242" s="1"/>
      <c r="D2242" s="1"/>
      <c r="E2242" s="6"/>
      <c r="F2242" s="1"/>
      <c r="G2242" s="6"/>
      <c r="H2242" s="6"/>
      <c r="I2242" s="6"/>
      <c r="J2242" s="6"/>
      <c r="K2242" s="6"/>
      <c r="L2242" s="6"/>
      <c r="M2242" s="6"/>
      <c r="N2242" s="6"/>
      <c r="O2242" s="7"/>
      <c r="P2242" s="6"/>
      <c r="Q2242" s="6"/>
      <c r="R2242" s="7"/>
      <c r="S2242" s="6"/>
      <c r="T2242" s="6"/>
      <c r="U2242" s="7"/>
      <c r="V2242" s="6"/>
      <c r="W2242" s="6"/>
      <c r="X2242" s="6"/>
      <c r="Y2242" s="6"/>
      <c r="Z2242" s="6"/>
      <c r="AA2242" s="7"/>
      <c r="AB2242" s="6"/>
      <c r="AC2242" s="6"/>
      <c r="AD2242" s="6"/>
      <c r="AE2242" s="12"/>
      <c r="AF2242" s="12"/>
      <c r="AG2242" s="12"/>
      <c r="AH2242" s="12"/>
      <c r="AI2242" s="6"/>
      <c r="AJ2242" s="12"/>
      <c r="AK2242" s="1"/>
      <c r="AL2242" s="12"/>
      <c r="AM2242" s="12"/>
      <c r="AN2242" s="1"/>
      <c r="AO2242" s="6"/>
    </row>
    <row r="2243" spans="1:41" ht="15" x14ac:dyDescent="0.25">
      <c r="A2243" s="1"/>
      <c r="B2243" s="1"/>
      <c r="C2243" s="1"/>
      <c r="D2243" s="1"/>
      <c r="E2243" s="6"/>
      <c r="F2243" s="1"/>
      <c r="G2243" s="6"/>
      <c r="H2243" s="6"/>
      <c r="I2243" s="6"/>
      <c r="J2243" s="6"/>
      <c r="K2243" s="6"/>
      <c r="L2243" s="6"/>
      <c r="M2243" s="6"/>
      <c r="N2243" s="6"/>
      <c r="O2243" s="7"/>
      <c r="P2243" s="6"/>
      <c r="Q2243" s="7"/>
      <c r="R2243" s="6"/>
      <c r="S2243" s="6"/>
      <c r="T2243" s="6"/>
      <c r="U2243" s="6"/>
      <c r="V2243" s="7"/>
      <c r="W2243" s="7"/>
      <c r="X2243" s="6"/>
      <c r="Y2243" s="6"/>
      <c r="Z2243" s="6"/>
      <c r="AA2243" s="1"/>
      <c r="AB2243" s="12"/>
      <c r="AC2243" s="12"/>
      <c r="AD2243" s="12"/>
      <c r="AE2243" s="12"/>
      <c r="AF2243" s="12"/>
      <c r="AG2243" s="12"/>
      <c r="AH2243" s="12"/>
      <c r="AI2243" s="6"/>
      <c r="AJ2243" s="12"/>
      <c r="AK2243" s="12"/>
      <c r="AL2243" s="12"/>
      <c r="AM2243" s="12"/>
      <c r="AN2243" s="1"/>
      <c r="AO2243" s="6"/>
    </row>
    <row r="2244" spans="1:41" ht="15" x14ac:dyDescent="0.25">
      <c r="A2244" s="1"/>
      <c r="B2244" s="1"/>
      <c r="C2244" s="1"/>
      <c r="D2244" s="1"/>
      <c r="E2244" s="6"/>
      <c r="F2244" s="1"/>
      <c r="G2244" s="6"/>
      <c r="H2244" s="6"/>
      <c r="I2244" s="6"/>
      <c r="J2244" s="6"/>
      <c r="K2244" s="6"/>
      <c r="L2244" s="6"/>
      <c r="M2244" s="6"/>
      <c r="N2244" s="6"/>
      <c r="O2244" s="7"/>
      <c r="P2244" s="12"/>
      <c r="Q2244" s="6"/>
      <c r="R2244" s="7"/>
      <c r="S2244" s="6"/>
      <c r="T2244" s="6"/>
      <c r="U2244" s="7"/>
      <c r="V2244" s="6"/>
      <c r="W2244" s="6"/>
      <c r="X2244" s="12"/>
      <c r="Y2244" s="6"/>
      <c r="Z2244" s="6"/>
      <c r="AA2244" s="7"/>
      <c r="AB2244" s="6"/>
      <c r="AC2244" s="6"/>
      <c r="AD2244" s="6"/>
      <c r="AE2244" s="12"/>
      <c r="AF2244" s="6"/>
      <c r="AG2244" s="12"/>
      <c r="AH2244" s="6"/>
      <c r="AI2244" s="6"/>
      <c r="AJ2244" s="12"/>
      <c r="AK2244" s="24"/>
      <c r="AL2244" s="25"/>
      <c r="AM2244" s="12"/>
      <c r="AN2244" s="1"/>
      <c r="AO2244" s="6"/>
    </row>
    <row r="2245" spans="1:41" ht="15" x14ac:dyDescent="0.25">
      <c r="A2245" s="1"/>
      <c r="B2245" s="1"/>
      <c r="C2245" s="1"/>
      <c r="D2245" s="1"/>
      <c r="E2245" s="6"/>
      <c r="F2245" s="1"/>
      <c r="G2245" s="6"/>
      <c r="H2245" s="6"/>
      <c r="I2245" s="6"/>
      <c r="J2245" s="6"/>
      <c r="K2245" s="12"/>
      <c r="L2245" s="12"/>
      <c r="M2245" s="6"/>
      <c r="N2245" s="6"/>
      <c r="O2245" s="7"/>
      <c r="P2245" s="6"/>
      <c r="Q2245" s="6"/>
      <c r="R2245" s="7"/>
      <c r="S2245" s="6"/>
      <c r="T2245" s="6"/>
      <c r="U2245" s="7"/>
      <c r="V2245" s="6"/>
      <c r="W2245" s="6"/>
      <c r="X2245" s="12"/>
      <c r="Y2245" s="6"/>
      <c r="Z2245" s="6"/>
      <c r="AA2245" s="7"/>
      <c r="AB2245" s="6"/>
      <c r="AC2245" s="6"/>
      <c r="AD2245" s="6"/>
      <c r="AE2245" s="12"/>
      <c r="AF2245" s="12"/>
      <c r="AG2245" s="12"/>
      <c r="AH2245" s="12"/>
      <c r="AI2245" s="6"/>
      <c r="AJ2245" s="12"/>
      <c r="AK2245" s="24"/>
      <c r="AL2245" s="25"/>
      <c r="AM2245" s="12"/>
      <c r="AN2245" s="1"/>
      <c r="AO2245" s="6"/>
    </row>
    <row r="2246" spans="1:41" ht="15" x14ac:dyDescent="0.25">
      <c r="A2246" s="1"/>
      <c r="B2246" s="1"/>
      <c r="C2246" s="1"/>
      <c r="D2246" s="1"/>
      <c r="E2246" s="6"/>
      <c r="F2246" s="1"/>
      <c r="G2246" s="6"/>
      <c r="H2246" s="6"/>
      <c r="I2246" s="6"/>
      <c r="J2246" s="6"/>
      <c r="K2246" s="6"/>
      <c r="L2246" s="6"/>
      <c r="M2246" s="6"/>
      <c r="N2246" s="6"/>
      <c r="O2246" s="7"/>
      <c r="P2246" s="6"/>
      <c r="Q2246" s="6"/>
      <c r="R2246" s="7"/>
      <c r="S2246" s="6"/>
      <c r="T2246" s="6"/>
      <c r="U2246" s="7"/>
      <c r="V2246" s="6"/>
      <c r="W2246" s="6"/>
      <c r="X2246" s="6"/>
      <c r="Y2246" s="6"/>
      <c r="Z2246" s="6"/>
      <c r="AA2246" s="7"/>
      <c r="AB2246" s="6"/>
      <c r="AC2246" s="6"/>
      <c r="AD2246" s="6"/>
      <c r="AE2246" s="12"/>
      <c r="AF2246" s="6"/>
      <c r="AG2246" s="12"/>
      <c r="AH2246" s="6"/>
      <c r="AI2246" s="6"/>
      <c r="AJ2246" s="12"/>
      <c r="AK2246" s="24"/>
      <c r="AL2246" s="25"/>
      <c r="AM2246" s="12"/>
      <c r="AN2246" s="1"/>
      <c r="AO2246" s="6"/>
    </row>
    <row r="2247" spans="1:41" ht="15" x14ac:dyDescent="0.25">
      <c r="A2247" s="1"/>
      <c r="B2247" s="1"/>
      <c r="C2247" s="1"/>
      <c r="D2247" s="1"/>
      <c r="E2247" s="6"/>
      <c r="F2247" s="1"/>
      <c r="G2247" s="6"/>
      <c r="H2247" s="6"/>
      <c r="I2247" s="6"/>
      <c r="J2247" s="6"/>
      <c r="K2247" s="6"/>
      <c r="L2247" s="6"/>
      <c r="M2247" s="6"/>
      <c r="N2247" s="6"/>
      <c r="O2247" s="7"/>
      <c r="P2247" s="6"/>
      <c r="Q2247" s="6"/>
      <c r="R2247" s="7"/>
      <c r="S2247" s="6"/>
      <c r="T2247" s="6"/>
      <c r="U2247" s="7"/>
      <c r="V2247" s="6"/>
      <c r="W2247" s="6"/>
      <c r="X2247" s="12"/>
      <c r="Y2247" s="6"/>
      <c r="Z2247" s="6"/>
      <c r="AA2247" s="7"/>
      <c r="AB2247" s="6"/>
      <c r="AC2247" s="6"/>
      <c r="AD2247" s="6"/>
      <c r="AE2247" s="12"/>
      <c r="AF2247" s="12"/>
      <c r="AG2247" s="12"/>
      <c r="AH2247" s="12"/>
      <c r="AI2247" s="6"/>
      <c r="AJ2247" s="12"/>
      <c r="AK2247" s="1"/>
      <c r="AL2247" s="12"/>
      <c r="AM2247" s="12"/>
      <c r="AN2247" s="1"/>
      <c r="AO2247" s="6"/>
    </row>
    <row r="2248" spans="1:41" ht="15" x14ac:dyDescent="0.25">
      <c r="A2248" s="1"/>
      <c r="B2248" s="1"/>
      <c r="C2248" s="1"/>
      <c r="D2248" s="1"/>
      <c r="E2248" s="6"/>
      <c r="F2248" s="1"/>
      <c r="G2248" s="6"/>
      <c r="H2248" s="6"/>
      <c r="I2248" s="6"/>
      <c r="J2248" s="6"/>
      <c r="K2248" s="6"/>
      <c r="L2248" s="6"/>
      <c r="M2248" s="6"/>
      <c r="N2248" s="6"/>
      <c r="O2248" s="7"/>
      <c r="P2248" s="6"/>
      <c r="Q2248" s="6"/>
      <c r="R2248" s="7"/>
      <c r="S2248" s="6"/>
      <c r="T2248" s="6"/>
      <c r="U2248" s="7"/>
      <c r="V2248" s="6"/>
      <c r="W2248" s="6"/>
      <c r="X2248" s="12"/>
      <c r="Y2248" s="6"/>
      <c r="Z2248" s="6"/>
      <c r="AA2248" s="7"/>
      <c r="AB2248" s="6"/>
      <c r="AC2248" s="6"/>
      <c r="AD2248" s="6"/>
      <c r="AE2248" s="12"/>
      <c r="AF2248" s="12"/>
      <c r="AG2248" s="12"/>
      <c r="AH2248" s="12"/>
      <c r="AI2248" s="6"/>
      <c r="AJ2248" s="12"/>
      <c r="AK2248" s="1"/>
      <c r="AL2248" s="12"/>
      <c r="AM2248" s="12"/>
      <c r="AN2248" s="1"/>
      <c r="AO2248" s="6"/>
    </row>
    <row r="2249" spans="1:41" ht="15" x14ac:dyDescent="0.25">
      <c r="A2249" s="1"/>
      <c r="B2249" s="1"/>
      <c r="C2249" s="1"/>
      <c r="D2249" s="1"/>
      <c r="E2249" s="6"/>
      <c r="F2249" s="1"/>
      <c r="G2249" s="6"/>
      <c r="H2249" s="6"/>
      <c r="I2249" s="6"/>
      <c r="J2249" s="6"/>
      <c r="K2249" s="6"/>
      <c r="L2249" s="6"/>
      <c r="M2249" s="6"/>
      <c r="N2249" s="6"/>
      <c r="O2249" s="7"/>
      <c r="P2249" s="6"/>
      <c r="Q2249" s="6"/>
      <c r="R2249" s="12"/>
      <c r="S2249" s="12"/>
      <c r="T2249" s="12"/>
      <c r="U2249" s="7"/>
      <c r="V2249" s="6"/>
      <c r="W2249" s="6"/>
      <c r="X2249" s="12"/>
      <c r="Y2249" s="6"/>
      <c r="Z2249" s="6"/>
      <c r="AA2249" s="7"/>
      <c r="AB2249" s="6"/>
      <c r="AC2249" s="6"/>
      <c r="AD2249" s="6"/>
      <c r="AE2249" s="12"/>
      <c r="AF2249" s="12"/>
      <c r="AG2249" s="12"/>
      <c r="AH2249" s="12"/>
      <c r="AI2249" s="6"/>
      <c r="AJ2249" s="12"/>
      <c r="AK2249" s="1"/>
      <c r="AL2249" s="12"/>
      <c r="AM2249" s="12"/>
      <c r="AN2249" s="1"/>
      <c r="AO2249" s="6"/>
    </row>
    <row r="2250" spans="1:41" ht="15" x14ac:dyDescent="0.25">
      <c r="A2250" s="1"/>
      <c r="B2250" s="1"/>
      <c r="C2250" s="1"/>
      <c r="D2250" s="1"/>
      <c r="E2250" s="6"/>
      <c r="F2250" s="1"/>
      <c r="G2250" s="6"/>
      <c r="H2250" s="6"/>
      <c r="I2250" s="6"/>
      <c r="J2250" s="6"/>
      <c r="K2250" s="12"/>
      <c r="L2250" s="12"/>
      <c r="M2250" s="6"/>
      <c r="N2250" s="6"/>
      <c r="O2250" s="7"/>
      <c r="P2250" s="6"/>
      <c r="Q2250" s="6"/>
      <c r="R2250" s="12"/>
      <c r="S2250" s="12"/>
      <c r="T2250" s="12"/>
      <c r="U2250" s="7"/>
      <c r="V2250" s="6"/>
      <c r="W2250" s="6"/>
      <c r="X2250" s="12"/>
      <c r="Y2250" s="6"/>
      <c r="Z2250" s="6"/>
      <c r="AA2250" s="7"/>
      <c r="AB2250" s="6"/>
      <c r="AC2250" s="6"/>
      <c r="AD2250" s="6"/>
      <c r="AE2250" s="12"/>
      <c r="AF2250" s="12"/>
      <c r="AG2250" s="12"/>
      <c r="AH2250" s="12"/>
      <c r="AI2250" s="6"/>
      <c r="AJ2250" s="12"/>
      <c r="AK2250" s="1"/>
      <c r="AL2250" s="12"/>
      <c r="AM2250" s="12"/>
      <c r="AN2250" s="1"/>
      <c r="AO2250" s="6"/>
    </row>
    <row r="2251" spans="1:41" ht="15" x14ac:dyDescent="0.25">
      <c r="A2251" s="1"/>
      <c r="B2251" s="1"/>
      <c r="C2251" s="1"/>
      <c r="D2251" s="1"/>
      <c r="E2251" s="6"/>
      <c r="F2251" s="1"/>
      <c r="G2251" s="6"/>
      <c r="H2251" s="6"/>
      <c r="I2251" s="6"/>
      <c r="J2251" s="6"/>
      <c r="K2251" s="6"/>
      <c r="L2251" s="6"/>
      <c r="M2251" s="6"/>
      <c r="N2251" s="6"/>
      <c r="O2251" s="7"/>
      <c r="P2251" s="6"/>
      <c r="Q2251" s="6"/>
      <c r="R2251" s="7"/>
      <c r="S2251" s="6"/>
      <c r="T2251" s="6"/>
      <c r="U2251" s="7"/>
      <c r="V2251" s="6"/>
      <c r="W2251" s="6"/>
      <c r="X2251" s="6"/>
      <c r="Y2251" s="6"/>
      <c r="Z2251" s="6"/>
      <c r="AA2251" s="7"/>
      <c r="AB2251" s="6"/>
      <c r="AC2251" s="6"/>
      <c r="AD2251" s="6"/>
      <c r="AE2251" s="12"/>
      <c r="AF2251" s="12"/>
      <c r="AG2251" s="12"/>
      <c r="AH2251" s="12"/>
      <c r="AI2251" s="6"/>
      <c r="AJ2251" s="12"/>
      <c r="AK2251" s="1"/>
      <c r="AL2251" s="12"/>
      <c r="AM2251" s="12"/>
      <c r="AN2251" s="1"/>
      <c r="AO2251" s="6"/>
    </row>
    <row r="2252" spans="1:41" ht="15" x14ac:dyDescent="0.25">
      <c r="A2252" s="1"/>
      <c r="B2252" s="1"/>
      <c r="C2252" s="1"/>
      <c r="D2252" s="1"/>
      <c r="E2252" s="6"/>
      <c r="F2252" s="1"/>
      <c r="G2252" s="6"/>
      <c r="H2252" s="6"/>
      <c r="I2252" s="6"/>
      <c r="J2252" s="6"/>
      <c r="K2252" s="12"/>
      <c r="L2252" s="12"/>
      <c r="M2252" s="6"/>
      <c r="N2252" s="6"/>
      <c r="O2252" s="7"/>
      <c r="P2252" s="6"/>
      <c r="Q2252" s="6"/>
      <c r="R2252" s="12"/>
      <c r="S2252" s="12"/>
      <c r="T2252" s="12"/>
      <c r="U2252" s="7"/>
      <c r="V2252" s="6"/>
      <c r="W2252" s="6"/>
      <c r="X2252" s="12"/>
      <c r="Y2252" s="6"/>
      <c r="Z2252" s="6"/>
      <c r="AA2252" s="7"/>
      <c r="AB2252" s="6"/>
      <c r="AC2252" s="6"/>
      <c r="AD2252" s="6"/>
      <c r="AE2252" s="12"/>
      <c r="AF2252" s="12"/>
      <c r="AG2252" s="12"/>
      <c r="AH2252" s="12"/>
      <c r="AI2252" s="6"/>
      <c r="AJ2252" s="12"/>
      <c r="AK2252" s="24"/>
      <c r="AL2252" s="25"/>
      <c r="AM2252" s="12"/>
      <c r="AN2252" s="1"/>
      <c r="AO2252" s="6"/>
    </row>
    <row r="2253" spans="1:41" ht="15" x14ac:dyDescent="0.25">
      <c r="A2253" s="1"/>
      <c r="B2253" s="1"/>
      <c r="C2253" s="1"/>
      <c r="D2253" s="1"/>
      <c r="E2253" s="6"/>
      <c r="F2253" s="1"/>
      <c r="G2253" s="6"/>
      <c r="H2253" s="6"/>
      <c r="I2253" s="6"/>
      <c r="J2253" s="6"/>
      <c r="K2253" s="6"/>
      <c r="L2253" s="6"/>
      <c r="M2253" s="6"/>
      <c r="N2253" s="6"/>
      <c r="O2253" s="7"/>
      <c r="P2253" s="12"/>
      <c r="Q2253" s="6"/>
      <c r="R2253" s="7"/>
      <c r="S2253" s="6"/>
      <c r="T2253" s="6"/>
      <c r="U2253" s="7"/>
      <c r="V2253" s="6"/>
      <c r="W2253" s="6"/>
      <c r="X2253" s="6"/>
      <c r="Y2253" s="6"/>
      <c r="Z2253" s="6"/>
      <c r="AA2253" s="7"/>
      <c r="AB2253" s="6"/>
      <c r="AC2253" s="6"/>
      <c r="AD2253" s="6"/>
      <c r="AE2253" s="12"/>
      <c r="AF2253" s="6"/>
      <c r="AG2253" s="12"/>
      <c r="AH2253" s="6"/>
      <c r="AI2253" s="6"/>
      <c r="AJ2253" s="12"/>
      <c r="AK2253" s="24"/>
      <c r="AL2253" s="25"/>
      <c r="AM2253" s="12"/>
      <c r="AN2253" s="1"/>
      <c r="AO2253" s="6"/>
    </row>
    <row r="2254" spans="1:41" ht="15" x14ac:dyDescent="0.25">
      <c r="A2254" s="1"/>
      <c r="B2254" s="1"/>
      <c r="C2254" s="1"/>
      <c r="D2254" s="1"/>
      <c r="E2254" s="6"/>
      <c r="F2254" s="1"/>
      <c r="G2254" s="6"/>
      <c r="H2254" s="6"/>
      <c r="I2254" s="6"/>
      <c r="J2254" s="6"/>
      <c r="K2254" s="6"/>
      <c r="L2254" s="6"/>
      <c r="M2254" s="6"/>
      <c r="N2254" s="6"/>
      <c r="O2254" s="7"/>
      <c r="P2254" s="6"/>
      <c r="Q2254" s="6"/>
      <c r="R2254" s="7"/>
      <c r="S2254" s="6"/>
      <c r="T2254" s="6"/>
      <c r="U2254" s="7"/>
      <c r="V2254" s="6"/>
      <c r="W2254" s="6"/>
      <c r="X2254" s="12"/>
      <c r="Y2254" s="6"/>
      <c r="Z2254" s="6"/>
      <c r="AA2254" s="7"/>
      <c r="AB2254" s="6"/>
      <c r="AC2254" s="6"/>
      <c r="AD2254" s="6"/>
      <c r="AE2254" s="12"/>
      <c r="AF2254" s="6"/>
      <c r="AG2254" s="12"/>
      <c r="AH2254" s="6"/>
      <c r="AI2254" s="6"/>
      <c r="AJ2254" s="12"/>
      <c r="AK2254" s="1"/>
      <c r="AL2254" s="12"/>
      <c r="AM2254" s="12"/>
      <c r="AN2254" s="1"/>
      <c r="AO2254" s="6"/>
    </row>
    <row r="2255" spans="1:41" ht="15" x14ac:dyDescent="0.25">
      <c r="A2255" s="1"/>
      <c r="B2255" s="1"/>
      <c r="C2255" s="1"/>
      <c r="D2255" s="1"/>
      <c r="E2255" s="6"/>
      <c r="F2255" s="1"/>
      <c r="G2255" s="6"/>
      <c r="H2255" s="6"/>
      <c r="I2255" s="6"/>
      <c r="J2255" s="6"/>
      <c r="K2255" s="6"/>
      <c r="L2255" s="6"/>
      <c r="M2255" s="6"/>
      <c r="N2255" s="6"/>
      <c r="O2255" s="7"/>
      <c r="P2255" s="6"/>
      <c r="Q2255" s="6"/>
      <c r="R2255" s="7"/>
      <c r="S2255" s="6"/>
      <c r="T2255" s="6"/>
      <c r="U2255" s="7"/>
      <c r="V2255" s="6"/>
      <c r="W2255" s="6"/>
      <c r="X2255" s="6"/>
      <c r="Y2255" s="6"/>
      <c r="Z2255" s="6"/>
      <c r="AA2255" s="7"/>
      <c r="AB2255" s="6"/>
      <c r="AC2255" s="6"/>
      <c r="AD2255" s="6"/>
      <c r="AE2255" s="12"/>
      <c r="AF2255" s="6"/>
      <c r="AG2255" s="12"/>
      <c r="AH2255" s="6"/>
      <c r="AI2255" s="6"/>
      <c r="AJ2255" s="12"/>
      <c r="AK2255" s="1"/>
      <c r="AL2255" s="12"/>
      <c r="AM2255" s="12"/>
      <c r="AN2255" s="1"/>
      <c r="AO2255" s="6"/>
    </row>
    <row r="2256" spans="1:41" ht="15" x14ac:dyDescent="0.25">
      <c r="A2256" s="1"/>
      <c r="B2256" s="1"/>
      <c r="C2256" s="1"/>
      <c r="D2256" s="1"/>
      <c r="E2256" s="6"/>
      <c r="F2256" s="1"/>
      <c r="G2256" s="6"/>
      <c r="H2256" s="6"/>
      <c r="I2256" s="6"/>
      <c r="J2256" s="6"/>
      <c r="K2256" s="6"/>
      <c r="L2256" s="6"/>
      <c r="M2256" s="6"/>
      <c r="N2256" s="6"/>
      <c r="O2256" s="7"/>
      <c r="P2256" s="6"/>
      <c r="Q2256" s="6"/>
      <c r="R2256" s="7"/>
      <c r="S2256" s="6"/>
      <c r="T2256" s="6"/>
      <c r="U2256" s="7"/>
      <c r="V2256" s="6"/>
      <c r="W2256" s="6"/>
      <c r="X2256" s="6"/>
      <c r="Y2256" s="6"/>
      <c r="Z2256" s="6"/>
      <c r="AA2256" s="7"/>
      <c r="AB2256" s="6"/>
      <c r="AC2256" s="6"/>
      <c r="AD2256" s="6"/>
      <c r="AE2256" s="12"/>
      <c r="AF2256" s="12"/>
      <c r="AG2256" s="12"/>
      <c r="AH2256" s="12"/>
      <c r="AI2256" s="6"/>
      <c r="AJ2256" s="12"/>
      <c r="AK2256" s="1"/>
      <c r="AL2256" s="12"/>
      <c r="AM2256" s="12"/>
      <c r="AN2256" s="1"/>
      <c r="AO2256" s="6"/>
    </row>
    <row r="2257" spans="1:41" ht="15" x14ac:dyDescent="0.25">
      <c r="A2257" s="1"/>
      <c r="B2257" s="1"/>
      <c r="C2257" s="1"/>
      <c r="D2257" s="1"/>
      <c r="E2257" s="6"/>
      <c r="F2257" s="1"/>
      <c r="G2257" s="6"/>
      <c r="H2257" s="6"/>
      <c r="I2257" s="6"/>
      <c r="J2257" s="6"/>
      <c r="K2257" s="6"/>
      <c r="L2257" s="6"/>
      <c r="M2257" s="6"/>
      <c r="N2257" s="6"/>
      <c r="O2257" s="7"/>
      <c r="P2257" s="6"/>
      <c r="Q2257" s="6"/>
      <c r="R2257" s="7"/>
      <c r="S2257" s="6"/>
      <c r="T2257" s="6"/>
      <c r="U2257" s="7"/>
      <c r="V2257" s="6"/>
      <c r="W2257" s="6"/>
      <c r="X2257" s="12"/>
      <c r="Y2257" s="6"/>
      <c r="Z2257" s="6"/>
      <c r="AA2257" s="7"/>
      <c r="AB2257" s="6"/>
      <c r="AC2257" s="6"/>
      <c r="AD2257" s="6"/>
      <c r="AE2257" s="12"/>
      <c r="AF2257" s="6"/>
      <c r="AG2257" s="12"/>
      <c r="AH2257" s="6"/>
      <c r="AI2257" s="6"/>
      <c r="AJ2257" s="12"/>
      <c r="AK2257" s="24"/>
      <c r="AL2257" s="25"/>
      <c r="AM2257" s="12"/>
      <c r="AN2257" s="1"/>
      <c r="AO2257" s="6"/>
    </row>
    <row r="2258" spans="1:41" ht="15" x14ac:dyDescent="0.25">
      <c r="A2258" s="1"/>
      <c r="B2258" s="1"/>
      <c r="C2258" s="1"/>
      <c r="D2258" s="1"/>
      <c r="E2258" s="6"/>
      <c r="F2258" s="1"/>
      <c r="G2258" s="6"/>
      <c r="H2258" s="6"/>
      <c r="I2258" s="6"/>
      <c r="J2258" s="6"/>
      <c r="K2258" s="6"/>
      <c r="L2258" s="6"/>
      <c r="M2258" s="6"/>
      <c r="N2258" s="6"/>
      <c r="O2258" s="7"/>
      <c r="P2258" s="6"/>
      <c r="Q2258" s="6"/>
      <c r="R2258" s="7"/>
      <c r="S2258" s="6"/>
      <c r="T2258" s="6"/>
      <c r="U2258" s="7"/>
      <c r="V2258" s="6"/>
      <c r="W2258" s="6"/>
      <c r="X2258" s="6"/>
      <c r="Y2258" s="6"/>
      <c r="Z2258" s="6"/>
      <c r="AA2258" s="7"/>
      <c r="AB2258" s="6"/>
      <c r="AC2258" s="6"/>
      <c r="AD2258" s="6"/>
      <c r="AE2258" s="12"/>
      <c r="AF2258" s="6"/>
      <c r="AG2258" s="12"/>
      <c r="AH2258" s="6"/>
      <c r="AI2258" s="6"/>
      <c r="AJ2258" s="12"/>
      <c r="AK2258" s="24"/>
      <c r="AL2258" s="25"/>
      <c r="AM2258" s="12"/>
      <c r="AN2258" s="1"/>
      <c r="AO2258" s="6"/>
    </row>
    <row r="2259" spans="1:41" ht="15" x14ac:dyDescent="0.25">
      <c r="A2259" s="1"/>
      <c r="B2259" s="1"/>
      <c r="C2259" s="1"/>
      <c r="D2259" s="1"/>
      <c r="E2259" s="6"/>
      <c r="F2259" s="1"/>
      <c r="G2259" s="6"/>
      <c r="H2259" s="6"/>
      <c r="I2259" s="6"/>
      <c r="J2259" s="6"/>
      <c r="K2259" s="6"/>
      <c r="L2259" s="6"/>
      <c r="M2259" s="6"/>
      <c r="N2259" s="6"/>
      <c r="O2259" s="7"/>
      <c r="P2259" s="12"/>
      <c r="Q2259" s="6"/>
      <c r="R2259" s="7"/>
      <c r="S2259" s="6"/>
      <c r="T2259" s="6"/>
      <c r="U2259" s="7"/>
      <c r="V2259" s="6"/>
      <c r="W2259" s="6"/>
      <c r="X2259" s="6"/>
      <c r="Y2259" s="6"/>
      <c r="Z2259" s="6"/>
      <c r="AA2259" s="7"/>
      <c r="AB2259" s="6"/>
      <c r="AC2259" s="6"/>
      <c r="AD2259" s="6"/>
      <c r="AE2259" s="12"/>
      <c r="AF2259" s="12"/>
      <c r="AG2259" s="12"/>
      <c r="AH2259" s="12"/>
      <c r="AI2259" s="6"/>
      <c r="AJ2259" s="12"/>
      <c r="AK2259" s="1"/>
      <c r="AL2259" s="12"/>
      <c r="AM2259" s="12"/>
      <c r="AN2259" s="1"/>
      <c r="AO2259" s="6"/>
    </row>
    <row r="2260" spans="1:41" ht="15" x14ac:dyDescent="0.25">
      <c r="A2260" s="1"/>
      <c r="B2260" s="1"/>
      <c r="C2260" s="1"/>
      <c r="D2260" s="1"/>
      <c r="E2260" s="6"/>
      <c r="F2260" s="1"/>
      <c r="G2260" s="6"/>
      <c r="H2260" s="6"/>
      <c r="I2260" s="6"/>
      <c r="J2260" s="6"/>
      <c r="K2260" s="6"/>
      <c r="L2260" s="6"/>
      <c r="M2260" s="6"/>
      <c r="N2260" s="6"/>
      <c r="O2260" s="7"/>
      <c r="P2260" s="6"/>
      <c r="Q2260" s="6"/>
      <c r="R2260" s="7"/>
      <c r="S2260" s="6"/>
      <c r="T2260" s="6"/>
      <c r="U2260" s="7"/>
      <c r="V2260" s="6"/>
      <c r="W2260" s="6"/>
      <c r="X2260" s="12"/>
      <c r="Y2260" s="6"/>
      <c r="Z2260" s="6"/>
      <c r="AA2260" s="7"/>
      <c r="AB2260" s="6"/>
      <c r="AC2260" s="6"/>
      <c r="AD2260" s="6"/>
      <c r="AE2260" s="12"/>
      <c r="AF2260" s="12"/>
      <c r="AG2260" s="12"/>
      <c r="AH2260" s="12"/>
      <c r="AI2260" s="6"/>
      <c r="AJ2260" s="12"/>
      <c r="AK2260" s="24"/>
      <c r="AL2260" s="25"/>
      <c r="AM2260" s="12"/>
      <c r="AN2260" s="1"/>
      <c r="AO2260" s="6"/>
    </row>
    <row r="2261" spans="1:41" ht="15" x14ac:dyDescent="0.25">
      <c r="A2261" s="1"/>
      <c r="B2261" s="1"/>
      <c r="C2261" s="1"/>
      <c r="D2261" s="1"/>
      <c r="E2261" s="6"/>
      <c r="F2261" s="1"/>
      <c r="G2261" s="6"/>
      <c r="H2261" s="6"/>
      <c r="I2261" s="6"/>
      <c r="J2261" s="6"/>
      <c r="K2261" s="6"/>
      <c r="L2261" s="6"/>
      <c r="M2261" s="6"/>
      <c r="N2261" s="6"/>
      <c r="O2261" s="7"/>
      <c r="P2261" s="6"/>
      <c r="Q2261" s="7"/>
      <c r="R2261" s="6"/>
      <c r="S2261" s="6"/>
      <c r="T2261" s="6"/>
      <c r="U2261" s="6"/>
      <c r="V2261" s="7"/>
      <c r="W2261" s="7"/>
      <c r="X2261" s="6"/>
      <c r="Y2261" s="6"/>
      <c r="Z2261" s="6"/>
      <c r="AA2261" s="1"/>
      <c r="AB2261" s="12"/>
      <c r="AC2261" s="12"/>
      <c r="AD2261" s="12"/>
      <c r="AE2261" s="12"/>
      <c r="AF2261" s="12"/>
      <c r="AG2261" s="12"/>
      <c r="AH2261" s="12"/>
      <c r="AI2261" s="6"/>
      <c r="AJ2261" s="12"/>
      <c r="AK2261" s="12"/>
      <c r="AL2261" s="12"/>
      <c r="AM2261" s="12"/>
      <c r="AN2261" s="1"/>
      <c r="AO2261" s="6"/>
    </row>
    <row r="2262" spans="1:41" ht="15" x14ac:dyDescent="0.25">
      <c r="A2262" s="1"/>
      <c r="B2262" s="1"/>
      <c r="C2262" s="1"/>
      <c r="D2262" s="1"/>
      <c r="E2262" s="6"/>
      <c r="F2262" s="1"/>
      <c r="G2262" s="6"/>
      <c r="H2262" s="6"/>
      <c r="I2262" s="6"/>
      <c r="J2262" s="6"/>
      <c r="K2262" s="6"/>
      <c r="L2262" s="6"/>
      <c r="M2262" s="6"/>
      <c r="N2262" s="6"/>
      <c r="O2262" s="7"/>
      <c r="P2262" s="6"/>
      <c r="Q2262" s="6"/>
      <c r="R2262" s="7"/>
      <c r="S2262" s="6"/>
      <c r="T2262" s="6"/>
      <c r="U2262" s="7"/>
      <c r="V2262" s="6"/>
      <c r="W2262" s="6"/>
      <c r="X2262" s="6"/>
      <c r="Y2262" s="6"/>
      <c r="Z2262" s="6"/>
      <c r="AA2262" s="7"/>
      <c r="AB2262" s="6"/>
      <c r="AC2262" s="6"/>
      <c r="AD2262" s="6"/>
      <c r="AE2262" s="12"/>
      <c r="AF2262" s="12"/>
      <c r="AG2262" s="12"/>
      <c r="AH2262" s="12"/>
      <c r="AI2262" s="6"/>
      <c r="AJ2262" s="12"/>
      <c r="AK2262" s="1"/>
      <c r="AL2262" s="12"/>
      <c r="AM2262" s="12"/>
      <c r="AN2262" s="1"/>
      <c r="AO2262" s="6"/>
    </row>
    <row r="2263" spans="1:41" ht="15" x14ac:dyDescent="0.25">
      <c r="A2263" s="1"/>
      <c r="B2263" s="1"/>
      <c r="C2263" s="1"/>
      <c r="D2263" s="1"/>
      <c r="E2263" s="6"/>
      <c r="F2263" s="1"/>
      <c r="G2263" s="6"/>
      <c r="H2263" s="6"/>
      <c r="I2263" s="6"/>
      <c r="J2263" s="6"/>
      <c r="K2263" s="6"/>
      <c r="L2263" s="6"/>
      <c r="M2263" s="6"/>
      <c r="N2263" s="6"/>
      <c r="O2263" s="7"/>
      <c r="P2263" s="6"/>
      <c r="Q2263" s="6"/>
      <c r="R2263" s="7"/>
      <c r="S2263" s="6"/>
      <c r="T2263" s="6"/>
      <c r="U2263" s="7"/>
      <c r="V2263" s="6"/>
      <c r="W2263" s="6"/>
      <c r="X2263" s="6"/>
      <c r="Y2263" s="6"/>
      <c r="Z2263" s="6"/>
      <c r="AA2263" s="7"/>
      <c r="AB2263" s="6"/>
      <c r="AC2263" s="6"/>
      <c r="AD2263" s="6"/>
      <c r="AE2263" s="12"/>
      <c r="AF2263" s="6"/>
      <c r="AG2263" s="12"/>
      <c r="AH2263" s="6"/>
      <c r="AI2263" s="6"/>
      <c r="AJ2263" s="12"/>
      <c r="AK2263" s="1"/>
      <c r="AL2263" s="12"/>
      <c r="AM2263" s="12"/>
      <c r="AN2263" s="1"/>
      <c r="AO2263" s="6"/>
    </row>
    <row r="2264" spans="1:41" ht="15" x14ac:dyDescent="0.25">
      <c r="A2264" s="1"/>
      <c r="B2264" s="1"/>
      <c r="C2264" s="1"/>
      <c r="D2264" s="1"/>
      <c r="E2264" s="6"/>
      <c r="F2264" s="1"/>
      <c r="G2264" s="6"/>
      <c r="H2264" s="6"/>
      <c r="I2264" s="6"/>
      <c r="J2264" s="6"/>
      <c r="K2264" s="12"/>
      <c r="L2264" s="12"/>
      <c r="M2264" s="6"/>
      <c r="N2264" s="6"/>
      <c r="O2264" s="7"/>
      <c r="P2264" s="6"/>
      <c r="Q2264" s="6"/>
      <c r="R2264" s="7"/>
      <c r="S2264" s="6"/>
      <c r="T2264" s="6"/>
      <c r="U2264" s="7"/>
      <c r="V2264" s="6"/>
      <c r="W2264" s="6"/>
      <c r="X2264" s="6"/>
      <c r="Y2264" s="6"/>
      <c r="Z2264" s="6"/>
      <c r="AA2264" s="7"/>
      <c r="AB2264" s="6"/>
      <c r="AC2264" s="6"/>
      <c r="AD2264" s="6"/>
      <c r="AE2264" s="12"/>
      <c r="AF2264" s="12"/>
      <c r="AG2264" s="12"/>
      <c r="AH2264" s="12"/>
      <c r="AI2264" s="6"/>
      <c r="AJ2264" s="12"/>
      <c r="AK2264" s="24"/>
      <c r="AL2264" s="25"/>
      <c r="AM2264" s="12"/>
      <c r="AN2264" s="1"/>
      <c r="AO2264" s="12"/>
    </row>
    <row r="2265" spans="1:41" ht="15" x14ac:dyDescent="0.25">
      <c r="A2265" s="1"/>
      <c r="B2265" s="1"/>
      <c r="C2265" s="1"/>
      <c r="D2265" s="1"/>
      <c r="E2265" s="6"/>
      <c r="F2265" s="1"/>
      <c r="G2265" s="6"/>
      <c r="H2265" s="6"/>
      <c r="I2265" s="6"/>
      <c r="J2265" s="6"/>
      <c r="K2265" s="6"/>
      <c r="L2265" s="6"/>
      <c r="M2265" s="6"/>
      <c r="N2265" s="6"/>
      <c r="O2265" s="7"/>
      <c r="P2265" s="6"/>
      <c r="Q2265" s="6"/>
      <c r="R2265" s="7"/>
      <c r="S2265" s="6"/>
      <c r="T2265" s="6"/>
      <c r="U2265" s="7"/>
      <c r="V2265" s="6"/>
      <c r="W2265" s="6"/>
      <c r="X2265" s="6"/>
      <c r="Y2265" s="6"/>
      <c r="Z2265" s="6"/>
      <c r="AA2265" s="7"/>
      <c r="AB2265" s="6"/>
      <c r="AC2265" s="6"/>
      <c r="AD2265" s="6"/>
      <c r="AE2265" s="12"/>
      <c r="AF2265" s="6"/>
      <c r="AG2265" s="12"/>
      <c r="AH2265" s="6"/>
      <c r="AI2265" s="6"/>
      <c r="AJ2265" s="12"/>
      <c r="AK2265" s="24"/>
      <c r="AL2265" s="25"/>
      <c r="AM2265" s="12"/>
      <c r="AN2265" s="1"/>
      <c r="AO2265" s="6"/>
    </row>
    <row r="2266" spans="1:41" ht="15" x14ac:dyDescent="0.25">
      <c r="A2266" s="1"/>
      <c r="B2266" s="1"/>
      <c r="C2266" s="1"/>
      <c r="D2266" s="1"/>
      <c r="E2266" s="6"/>
      <c r="F2266" s="1"/>
      <c r="G2266" s="6"/>
      <c r="H2266" s="6"/>
      <c r="I2266" s="6"/>
      <c r="J2266" s="6"/>
      <c r="K2266" s="6"/>
      <c r="L2266" s="6"/>
      <c r="M2266" s="6"/>
      <c r="N2266" s="6"/>
      <c r="O2266" s="7"/>
      <c r="P2266" s="6"/>
      <c r="Q2266" s="6"/>
      <c r="R2266" s="7"/>
      <c r="S2266" s="6"/>
      <c r="T2266" s="6"/>
      <c r="U2266" s="7"/>
      <c r="V2266" s="6"/>
      <c r="W2266" s="6"/>
      <c r="X2266" s="6"/>
      <c r="Y2266" s="6"/>
      <c r="Z2266" s="6"/>
      <c r="AA2266" s="7"/>
      <c r="AB2266" s="6"/>
      <c r="AC2266" s="6"/>
      <c r="AD2266" s="6"/>
      <c r="AE2266" s="12"/>
      <c r="AF2266" s="12"/>
      <c r="AG2266" s="12"/>
      <c r="AH2266" s="12"/>
      <c r="AI2266" s="6"/>
      <c r="AJ2266" s="12"/>
      <c r="AK2266" s="1"/>
      <c r="AL2266" s="12"/>
      <c r="AM2266" s="12"/>
      <c r="AN2266" s="1"/>
      <c r="AO2266" s="6"/>
    </row>
    <row r="2267" spans="1:41" ht="15" x14ac:dyDescent="0.25">
      <c r="A2267" s="1"/>
      <c r="B2267" s="1"/>
      <c r="C2267" s="1"/>
      <c r="D2267" s="1"/>
      <c r="E2267" s="6"/>
      <c r="F2267" s="1"/>
      <c r="G2267" s="6"/>
      <c r="H2267" s="6"/>
      <c r="I2267" s="6"/>
      <c r="J2267" s="6"/>
      <c r="K2267" s="6"/>
      <c r="L2267" s="6"/>
      <c r="M2267" s="6"/>
      <c r="N2267" s="6"/>
      <c r="O2267" s="7"/>
      <c r="P2267" s="6"/>
      <c r="Q2267" s="6"/>
      <c r="R2267" s="7"/>
      <c r="S2267" s="6"/>
      <c r="T2267" s="6"/>
      <c r="U2267" s="7"/>
      <c r="V2267" s="6"/>
      <c r="W2267" s="6"/>
      <c r="X2267" s="6"/>
      <c r="Y2267" s="6"/>
      <c r="Z2267" s="6"/>
      <c r="AA2267" s="15"/>
      <c r="AB2267" s="6"/>
      <c r="AC2267" s="6"/>
      <c r="AD2267" s="6"/>
      <c r="AE2267" s="12"/>
      <c r="AF2267" s="12"/>
      <c r="AG2267" s="12"/>
      <c r="AH2267" s="12"/>
      <c r="AI2267" s="6"/>
      <c r="AJ2267" s="12"/>
      <c r="AK2267" s="1"/>
      <c r="AL2267" s="12"/>
      <c r="AM2267" s="12"/>
      <c r="AN2267" s="1"/>
      <c r="AO2267" s="6"/>
    </row>
    <row r="2268" spans="1:41" ht="15" x14ac:dyDescent="0.25">
      <c r="A2268" s="1"/>
      <c r="B2268" s="1"/>
      <c r="C2268" s="1"/>
      <c r="D2268" s="1"/>
      <c r="E2268" s="6"/>
      <c r="F2268" s="1"/>
      <c r="G2268" s="6"/>
      <c r="H2268" s="6"/>
      <c r="I2268" s="6"/>
      <c r="J2268" s="6"/>
      <c r="K2268" s="6"/>
      <c r="L2268" s="6"/>
      <c r="M2268" s="6"/>
      <c r="N2268" s="6"/>
      <c r="O2268" s="7"/>
      <c r="P2268" s="6"/>
      <c r="Q2268" s="6"/>
      <c r="R2268" s="7"/>
      <c r="S2268" s="6"/>
      <c r="T2268" s="6"/>
      <c r="U2268" s="7"/>
      <c r="V2268" s="6"/>
      <c r="W2268" s="6"/>
      <c r="X2268" s="12"/>
      <c r="Y2268" s="6"/>
      <c r="Z2268" s="6"/>
      <c r="AA2268" s="7"/>
      <c r="AB2268" s="6"/>
      <c r="AC2268" s="6"/>
      <c r="AD2268" s="6"/>
      <c r="AE2268" s="12"/>
      <c r="AF2268" s="12"/>
      <c r="AG2268" s="12"/>
      <c r="AH2268" s="12"/>
      <c r="AI2268" s="6"/>
      <c r="AJ2268" s="12"/>
      <c r="AK2268" s="1"/>
      <c r="AL2268" s="12"/>
      <c r="AM2268" s="12"/>
      <c r="AN2268" s="1"/>
      <c r="AO2268" s="6"/>
    </row>
    <row r="2269" spans="1:41" ht="15" x14ac:dyDescent="0.25">
      <c r="A2269" s="1"/>
      <c r="B2269" s="1"/>
      <c r="C2269" s="1"/>
      <c r="D2269" s="1"/>
      <c r="E2269" s="6"/>
      <c r="F2269" s="1"/>
      <c r="G2269" s="6"/>
      <c r="H2269" s="6"/>
      <c r="I2269" s="6"/>
      <c r="J2269" s="6"/>
      <c r="K2269" s="6"/>
      <c r="L2269" s="6"/>
      <c r="M2269" s="6"/>
      <c r="N2269" s="6"/>
      <c r="O2269" s="7"/>
      <c r="P2269" s="6"/>
      <c r="Q2269" s="6"/>
      <c r="R2269" s="7"/>
      <c r="S2269" s="6"/>
      <c r="T2269" s="6"/>
      <c r="U2269" s="7"/>
      <c r="V2269" s="6"/>
      <c r="W2269" s="6"/>
      <c r="X2269" s="6"/>
      <c r="Y2269" s="6"/>
      <c r="Z2269" s="6"/>
      <c r="AA2269" s="7"/>
      <c r="AB2269" s="6"/>
      <c r="AC2269" s="6"/>
      <c r="AD2269" s="6"/>
      <c r="AE2269" s="12"/>
      <c r="AF2269" s="6"/>
      <c r="AG2269" s="12"/>
      <c r="AH2269" s="6"/>
      <c r="AI2269" s="6"/>
      <c r="AJ2269" s="12"/>
      <c r="AK2269" s="24"/>
      <c r="AL2269" s="25"/>
      <c r="AM2269" s="12"/>
      <c r="AN2269" s="1"/>
      <c r="AO2269" s="6"/>
    </row>
    <row r="2270" spans="1:41" ht="15" x14ac:dyDescent="0.25">
      <c r="A2270" s="1"/>
      <c r="B2270" s="1"/>
      <c r="C2270" s="1"/>
      <c r="D2270" s="1"/>
      <c r="E2270" s="6"/>
      <c r="F2270" s="1"/>
      <c r="G2270" s="6"/>
      <c r="H2270" s="6"/>
      <c r="I2270" s="6"/>
      <c r="J2270" s="6"/>
      <c r="K2270" s="6"/>
      <c r="L2270" s="6"/>
      <c r="M2270" s="6"/>
      <c r="N2270" s="6"/>
      <c r="O2270" s="7"/>
      <c r="P2270" s="6"/>
      <c r="Q2270" s="6"/>
      <c r="R2270" s="7"/>
      <c r="S2270" s="6"/>
      <c r="T2270" s="6"/>
      <c r="U2270" s="7"/>
      <c r="V2270" s="6"/>
      <c r="W2270" s="6"/>
      <c r="X2270" s="6"/>
      <c r="Y2270" s="6"/>
      <c r="Z2270" s="6"/>
      <c r="AA2270" s="7"/>
      <c r="AB2270" s="6"/>
      <c r="AC2270" s="6"/>
      <c r="AD2270" s="6"/>
      <c r="AE2270" s="12"/>
      <c r="AF2270" s="12"/>
      <c r="AG2270" s="12"/>
      <c r="AH2270" s="12"/>
      <c r="AI2270" s="6"/>
      <c r="AJ2270" s="12"/>
      <c r="AK2270" s="1"/>
      <c r="AL2270" s="12"/>
      <c r="AM2270" s="12"/>
      <c r="AN2270" s="1"/>
      <c r="AO2270" s="6"/>
    </row>
    <row r="2271" spans="1:41" ht="15" x14ac:dyDescent="0.25">
      <c r="A2271" s="1"/>
      <c r="B2271" s="1"/>
      <c r="C2271" s="1"/>
      <c r="D2271" s="1"/>
      <c r="E2271" s="6"/>
      <c r="F2271" s="1"/>
      <c r="G2271" s="6"/>
      <c r="H2271" s="6"/>
      <c r="I2271" s="6"/>
      <c r="J2271" s="6"/>
      <c r="K2271" s="6"/>
      <c r="L2271" s="6"/>
      <c r="M2271" s="6"/>
      <c r="N2271" s="6"/>
      <c r="O2271" s="7"/>
      <c r="P2271" s="12"/>
      <c r="Q2271" s="6"/>
      <c r="R2271" s="7"/>
      <c r="S2271" s="6"/>
      <c r="T2271" s="6"/>
      <c r="U2271" s="7"/>
      <c r="V2271" s="6"/>
      <c r="W2271" s="6"/>
      <c r="X2271" s="6"/>
      <c r="Y2271" s="6"/>
      <c r="Z2271" s="6"/>
      <c r="AA2271" s="7"/>
      <c r="AB2271" s="6"/>
      <c r="AC2271" s="6"/>
      <c r="AD2271" s="6"/>
      <c r="AE2271" s="12"/>
      <c r="AF2271" s="12"/>
      <c r="AG2271" s="12"/>
      <c r="AH2271" s="12"/>
      <c r="AI2271" s="6"/>
      <c r="AJ2271" s="12"/>
      <c r="AK2271" s="1"/>
      <c r="AL2271" s="12"/>
      <c r="AM2271" s="12"/>
      <c r="AN2271" s="1"/>
      <c r="AO2271" s="6"/>
    </row>
    <row r="2272" spans="1:41" ht="15" x14ac:dyDescent="0.25">
      <c r="A2272" s="1"/>
      <c r="B2272" s="1"/>
      <c r="C2272" s="1"/>
      <c r="D2272" s="1"/>
      <c r="E2272" s="6"/>
      <c r="F2272" s="1"/>
      <c r="G2272" s="6"/>
      <c r="H2272" s="6"/>
      <c r="I2272" s="6"/>
      <c r="J2272" s="6"/>
      <c r="K2272" s="6"/>
      <c r="L2272" s="6"/>
      <c r="M2272" s="6"/>
      <c r="N2272" s="6"/>
      <c r="O2272" s="7"/>
      <c r="P2272" s="6"/>
      <c r="Q2272" s="6"/>
      <c r="R2272" s="7"/>
      <c r="S2272" s="6"/>
      <c r="T2272" s="6"/>
      <c r="U2272" s="7"/>
      <c r="V2272" s="6"/>
      <c r="W2272" s="6"/>
      <c r="X2272" s="6"/>
      <c r="Y2272" s="6"/>
      <c r="Z2272" s="6"/>
      <c r="AA2272" s="7"/>
      <c r="AB2272" s="6"/>
      <c r="AC2272" s="6"/>
      <c r="AD2272" s="6"/>
      <c r="AE2272" s="12"/>
      <c r="AF2272" s="12"/>
      <c r="AG2272" s="12"/>
      <c r="AH2272" s="12"/>
      <c r="AI2272" s="6"/>
      <c r="AJ2272" s="12"/>
      <c r="AK2272" s="24"/>
      <c r="AL2272" s="25"/>
      <c r="AM2272" s="12"/>
      <c r="AN2272" s="1"/>
      <c r="AO2272" s="6"/>
    </row>
    <row r="2273" spans="1:41" ht="15" x14ac:dyDescent="0.25">
      <c r="A2273" s="1"/>
      <c r="B2273" s="1"/>
      <c r="C2273" s="1"/>
      <c r="D2273" s="1"/>
      <c r="E2273" s="6"/>
      <c r="F2273" s="1"/>
      <c r="G2273" s="6"/>
      <c r="H2273" s="6"/>
      <c r="I2273" s="6"/>
      <c r="J2273" s="6"/>
      <c r="K2273" s="12"/>
      <c r="L2273" s="12"/>
      <c r="M2273" s="6"/>
      <c r="N2273" s="6"/>
      <c r="O2273" s="7"/>
      <c r="P2273" s="6"/>
      <c r="Q2273" s="6"/>
      <c r="R2273" s="7"/>
      <c r="S2273" s="6"/>
      <c r="T2273" s="6"/>
      <c r="U2273" s="7"/>
      <c r="V2273" s="6"/>
      <c r="W2273" s="6"/>
      <c r="X2273" s="12"/>
      <c r="Y2273" s="6"/>
      <c r="Z2273" s="6"/>
      <c r="AA2273" s="7"/>
      <c r="AB2273" s="6"/>
      <c r="AC2273" s="6"/>
      <c r="AD2273" s="6"/>
      <c r="AE2273" s="12"/>
      <c r="AF2273" s="12"/>
      <c r="AG2273" s="12"/>
      <c r="AH2273" s="12"/>
      <c r="AI2273" s="6"/>
      <c r="AJ2273" s="12"/>
      <c r="AK2273" s="24"/>
      <c r="AL2273" s="25"/>
      <c r="AM2273" s="12"/>
      <c r="AN2273" s="1"/>
      <c r="AO2273" s="6"/>
    </row>
    <row r="2274" spans="1:41" ht="15" x14ac:dyDescent="0.25">
      <c r="A2274" s="1"/>
      <c r="B2274" s="1"/>
      <c r="C2274" s="1"/>
      <c r="D2274" s="1"/>
      <c r="E2274" s="6"/>
      <c r="F2274" s="1"/>
      <c r="G2274" s="6"/>
      <c r="H2274" s="6"/>
      <c r="I2274" s="6"/>
      <c r="J2274" s="6"/>
      <c r="K2274" s="6"/>
      <c r="L2274" s="6"/>
      <c r="M2274" s="6"/>
      <c r="N2274" s="6"/>
      <c r="O2274" s="7"/>
      <c r="P2274" s="6"/>
      <c r="Q2274" s="7"/>
      <c r="R2274" s="6"/>
      <c r="S2274" s="6"/>
      <c r="T2274" s="6"/>
      <c r="U2274" s="6"/>
      <c r="V2274" s="7"/>
      <c r="W2274" s="6"/>
      <c r="X2274" s="6"/>
      <c r="Y2274" s="6"/>
      <c r="Z2274" s="6"/>
      <c r="AA2274" s="24"/>
      <c r="AB2274" s="25"/>
      <c r="AC2274" s="12"/>
      <c r="AD2274" s="12"/>
      <c r="AE2274" s="12"/>
      <c r="AF2274" s="6"/>
      <c r="AG2274" s="12"/>
      <c r="AH2274" s="6"/>
      <c r="AI2274" s="6"/>
      <c r="AJ2274" s="12"/>
      <c r="AK2274" s="12"/>
      <c r="AL2274" s="12"/>
      <c r="AM2274" s="12"/>
      <c r="AN2274" s="1"/>
      <c r="AO2274" s="6"/>
    </row>
    <row r="2275" spans="1:41" ht="15" x14ac:dyDescent="0.25">
      <c r="A2275" s="1"/>
      <c r="B2275" s="1"/>
      <c r="C2275" s="1"/>
      <c r="D2275" s="1"/>
      <c r="E2275" s="6"/>
      <c r="F2275" s="1"/>
      <c r="G2275" s="6"/>
      <c r="H2275" s="6"/>
      <c r="I2275" s="6"/>
      <c r="J2275" s="6"/>
      <c r="K2275" s="6"/>
      <c r="L2275" s="6"/>
      <c r="M2275" s="6"/>
      <c r="N2275" s="6"/>
      <c r="O2275" s="7"/>
      <c r="P2275" s="12"/>
      <c r="Q2275" s="6"/>
      <c r="R2275" s="7"/>
      <c r="S2275" s="6"/>
      <c r="T2275" s="6"/>
      <c r="U2275" s="7"/>
      <c r="V2275" s="6"/>
      <c r="W2275" s="6"/>
      <c r="X2275" s="6"/>
      <c r="Y2275" s="6"/>
      <c r="Z2275" s="6"/>
      <c r="AA2275" s="7"/>
      <c r="AB2275" s="6"/>
      <c r="AC2275" s="6"/>
      <c r="AD2275" s="6"/>
      <c r="AE2275" s="12"/>
      <c r="AF2275" s="12"/>
      <c r="AG2275" s="12"/>
      <c r="AH2275" s="12"/>
      <c r="AI2275" s="6"/>
      <c r="AJ2275" s="12"/>
      <c r="AK2275" s="1"/>
      <c r="AL2275" s="12"/>
      <c r="AM2275" s="12"/>
      <c r="AN2275" s="1"/>
      <c r="AO2275" s="6"/>
    </row>
    <row r="2276" spans="1:41" ht="15" x14ac:dyDescent="0.25">
      <c r="A2276" s="1"/>
      <c r="B2276" s="1"/>
      <c r="C2276" s="1"/>
      <c r="D2276" s="1"/>
      <c r="E2276" s="6"/>
      <c r="F2276" s="1"/>
      <c r="G2276" s="6"/>
      <c r="H2276" s="6"/>
      <c r="I2276" s="6"/>
      <c r="J2276" s="6"/>
      <c r="K2276" s="6"/>
      <c r="L2276" s="6"/>
      <c r="M2276" s="6"/>
      <c r="N2276" s="6"/>
      <c r="O2276" s="7"/>
      <c r="P2276" s="6"/>
      <c r="Q2276" s="6"/>
      <c r="R2276" s="12"/>
      <c r="S2276" s="12"/>
      <c r="T2276" s="12"/>
      <c r="U2276" s="7"/>
      <c r="V2276" s="6"/>
      <c r="W2276" s="6"/>
      <c r="X2276" s="12"/>
      <c r="Y2276" s="6"/>
      <c r="Z2276" s="6"/>
      <c r="AA2276" s="15"/>
      <c r="AB2276" s="6"/>
      <c r="AC2276" s="6"/>
      <c r="AD2276" s="6"/>
      <c r="AE2276" s="12"/>
      <c r="AF2276" s="6"/>
      <c r="AG2276" s="12"/>
      <c r="AH2276" s="6"/>
      <c r="AI2276" s="6"/>
      <c r="AJ2276" s="12"/>
      <c r="AK2276" s="1"/>
      <c r="AL2276" s="12"/>
      <c r="AM2276" s="12"/>
      <c r="AN2276" s="1"/>
      <c r="AO2276" s="6"/>
    </row>
    <row r="2277" spans="1:41" ht="15" x14ac:dyDescent="0.25">
      <c r="A2277" s="1"/>
      <c r="B2277" s="1"/>
      <c r="C2277" s="1"/>
      <c r="D2277" s="1"/>
      <c r="E2277" s="6"/>
      <c r="F2277" s="1"/>
      <c r="G2277" s="6"/>
      <c r="H2277" s="6"/>
      <c r="I2277" s="6"/>
      <c r="J2277" s="6"/>
      <c r="K2277" s="6"/>
      <c r="L2277" s="6"/>
      <c r="M2277" s="6"/>
      <c r="N2277" s="6"/>
      <c r="O2277" s="7"/>
      <c r="P2277" s="6"/>
      <c r="Q2277" s="6"/>
      <c r="R2277" s="7"/>
      <c r="S2277" s="6"/>
      <c r="T2277" s="6"/>
      <c r="U2277" s="7"/>
      <c r="V2277" s="6"/>
      <c r="W2277" s="6"/>
      <c r="X2277" s="6"/>
      <c r="Y2277" s="6"/>
      <c r="Z2277" s="6"/>
      <c r="AA2277" s="7"/>
      <c r="AB2277" s="6"/>
      <c r="AC2277" s="6"/>
      <c r="AD2277" s="6"/>
      <c r="AE2277" s="12"/>
      <c r="AF2277" s="6"/>
      <c r="AG2277" s="12"/>
      <c r="AH2277" s="6"/>
      <c r="AI2277" s="6"/>
      <c r="AJ2277" s="12"/>
      <c r="AK2277" s="24"/>
      <c r="AL2277" s="25"/>
      <c r="AM2277" s="12"/>
      <c r="AN2277" s="1"/>
      <c r="AO2277" s="6"/>
    </row>
    <row r="2278" spans="1:41" ht="15" x14ac:dyDescent="0.25">
      <c r="A2278" s="1"/>
      <c r="B2278" s="1"/>
      <c r="C2278" s="1"/>
      <c r="D2278" s="1"/>
      <c r="E2278" s="6"/>
      <c r="F2278" s="1"/>
      <c r="G2278" s="6"/>
      <c r="H2278" s="6"/>
      <c r="I2278" s="6"/>
      <c r="J2278" s="6"/>
      <c r="K2278" s="6"/>
      <c r="L2278" s="6"/>
      <c r="M2278" s="6"/>
      <c r="N2278" s="6"/>
      <c r="O2278" s="7"/>
      <c r="P2278" s="6"/>
      <c r="Q2278" s="6"/>
      <c r="R2278" s="7"/>
      <c r="S2278" s="6"/>
      <c r="T2278" s="6"/>
      <c r="U2278" s="7"/>
      <c r="V2278" s="6"/>
      <c r="W2278" s="6"/>
      <c r="X2278" s="6"/>
      <c r="Y2278" s="6"/>
      <c r="Z2278" s="6"/>
      <c r="AA2278" s="7"/>
      <c r="AB2278" s="6"/>
      <c r="AC2278" s="6"/>
      <c r="AD2278" s="6"/>
      <c r="AE2278" s="12"/>
      <c r="AF2278" s="12"/>
      <c r="AG2278" s="12"/>
      <c r="AH2278" s="12"/>
      <c r="AI2278" s="6"/>
      <c r="AJ2278" s="12"/>
      <c r="AK2278" s="1"/>
      <c r="AL2278" s="12"/>
      <c r="AM2278" s="12"/>
      <c r="AN2278" s="1"/>
      <c r="AO2278" s="6"/>
    </row>
    <row r="2279" spans="1:41" ht="15" x14ac:dyDescent="0.25">
      <c r="A2279" s="1"/>
      <c r="B2279" s="1"/>
      <c r="C2279" s="1"/>
      <c r="D2279" s="1"/>
      <c r="E2279" s="6"/>
      <c r="F2279" s="1"/>
      <c r="G2279" s="6"/>
      <c r="H2279" s="6"/>
      <c r="I2279" s="6"/>
      <c r="J2279" s="6"/>
      <c r="K2279" s="6"/>
      <c r="L2279" s="6"/>
      <c r="M2279" s="6"/>
      <c r="N2279" s="6"/>
      <c r="O2279" s="7"/>
      <c r="P2279" s="6"/>
      <c r="Q2279" s="7"/>
      <c r="R2279" s="6"/>
      <c r="S2279" s="12"/>
      <c r="T2279" s="6"/>
      <c r="U2279" s="6"/>
      <c r="V2279" s="7"/>
      <c r="W2279" s="7"/>
      <c r="X2279" s="6"/>
      <c r="Y2279" s="6"/>
      <c r="Z2279" s="6"/>
      <c r="AA2279" s="1"/>
      <c r="AB2279" s="12"/>
      <c r="AC2279" s="12"/>
      <c r="AD2279" s="12"/>
      <c r="AE2279" s="12"/>
      <c r="AF2279" s="12"/>
      <c r="AG2279" s="12"/>
      <c r="AH2279" s="12"/>
      <c r="AI2279" s="6"/>
      <c r="AJ2279" s="12"/>
      <c r="AK2279" s="12"/>
      <c r="AL2279" s="12"/>
      <c r="AM2279" s="12"/>
      <c r="AN2279" s="1"/>
      <c r="AO2279" s="6"/>
    </row>
    <row r="2280" spans="1:41" ht="15" x14ac:dyDescent="0.25">
      <c r="A2280" s="1"/>
      <c r="B2280" s="1"/>
      <c r="C2280" s="1"/>
      <c r="D2280" s="1"/>
      <c r="E2280" s="6"/>
      <c r="F2280" s="1"/>
      <c r="G2280" s="6"/>
      <c r="H2280" s="6"/>
      <c r="I2280" s="6"/>
      <c r="J2280" s="6"/>
      <c r="K2280" s="6"/>
      <c r="L2280" s="6"/>
      <c r="M2280" s="6"/>
      <c r="N2280" s="6"/>
      <c r="O2280" s="7"/>
      <c r="P2280" s="6"/>
      <c r="Q2280" s="6"/>
      <c r="R2280" s="7"/>
      <c r="S2280" s="6"/>
      <c r="T2280" s="6"/>
      <c r="U2280" s="7"/>
      <c r="V2280" s="6"/>
      <c r="W2280" s="6"/>
      <c r="X2280" s="6"/>
      <c r="Y2280" s="6"/>
      <c r="Z2280" s="6"/>
      <c r="AA2280" s="7"/>
      <c r="AB2280" s="6"/>
      <c r="AC2280" s="6"/>
      <c r="AD2280" s="6"/>
      <c r="AE2280" s="12"/>
      <c r="AF2280" s="6"/>
      <c r="AG2280" s="12"/>
      <c r="AH2280" s="6"/>
      <c r="AI2280" s="6"/>
      <c r="AJ2280" s="12"/>
      <c r="AK2280" s="24"/>
      <c r="AL2280" s="25"/>
      <c r="AM2280" s="12"/>
      <c r="AN2280" s="1"/>
      <c r="AO2280" s="6"/>
    </row>
    <row r="2281" spans="1:41" ht="15" x14ac:dyDescent="0.25">
      <c r="A2281" s="1"/>
      <c r="B2281" s="1"/>
      <c r="C2281" s="1"/>
      <c r="D2281" s="1"/>
      <c r="E2281" s="6"/>
      <c r="F2281" s="1"/>
      <c r="G2281" s="6"/>
      <c r="H2281" s="6"/>
      <c r="I2281" s="6"/>
      <c r="J2281" s="6"/>
      <c r="K2281" s="6"/>
      <c r="L2281" s="6"/>
      <c r="M2281" s="6"/>
      <c r="N2281" s="6"/>
      <c r="O2281" s="7"/>
      <c r="P2281" s="12"/>
      <c r="Q2281" s="6"/>
      <c r="R2281" s="7"/>
      <c r="S2281" s="6"/>
      <c r="T2281" s="6"/>
      <c r="U2281" s="7"/>
      <c r="V2281" s="6"/>
      <c r="W2281" s="6"/>
      <c r="X2281" s="12"/>
      <c r="Y2281" s="6"/>
      <c r="Z2281" s="6"/>
      <c r="AA2281" s="7"/>
      <c r="AB2281" s="6"/>
      <c r="AC2281" s="6"/>
      <c r="AD2281" s="6"/>
      <c r="AE2281" s="12"/>
      <c r="AF2281" s="6"/>
      <c r="AG2281" s="12"/>
      <c r="AH2281" s="6"/>
      <c r="AI2281" s="6"/>
      <c r="AJ2281" s="12"/>
      <c r="AK2281" s="1"/>
      <c r="AL2281" s="12"/>
      <c r="AM2281" s="12"/>
      <c r="AN2281" s="1"/>
      <c r="AO2281" s="6"/>
    </row>
    <row r="2282" spans="1:41" ht="15" x14ac:dyDescent="0.25">
      <c r="A2282" s="1"/>
      <c r="B2282" s="1"/>
      <c r="C2282" s="1"/>
      <c r="D2282" s="1"/>
      <c r="E2282" s="6"/>
      <c r="F2282" s="1"/>
      <c r="G2282" s="6"/>
      <c r="H2282" s="6"/>
      <c r="I2282" s="6"/>
      <c r="J2282" s="6"/>
      <c r="K2282" s="6"/>
      <c r="L2282" s="6"/>
      <c r="M2282" s="6"/>
      <c r="N2282" s="6"/>
      <c r="O2282" s="7"/>
      <c r="P2282" s="6"/>
      <c r="Q2282" s="6"/>
      <c r="R2282" s="7"/>
      <c r="S2282" s="6"/>
      <c r="T2282" s="6"/>
      <c r="U2282" s="7"/>
      <c r="V2282" s="6"/>
      <c r="W2282" s="6"/>
      <c r="X2282" s="6"/>
      <c r="Y2282" s="6"/>
      <c r="Z2282" s="6"/>
      <c r="AA2282" s="7"/>
      <c r="AB2282" s="6"/>
      <c r="AC2282" s="6"/>
      <c r="AD2282" s="6"/>
      <c r="AE2282" s="12"/>
      <c r="AF2282" s="6"/>
      <c r="AG2282" s="12"/>
      <c r="AH2282" s="6"/>
      <c r="AI2282" s="6"/>
      <c r="AJ2282" s="12"/>
      <c r="AK2282" s="1"/>
      <c r="AL2282" s="12"/>
      <c r="AM2282" s="12"/>
      <c r="AN2282" s="1"/>
      <c r="AO2282" s="6"/>
    </row>
    <row r="2283" spans="1:41" ht="15" x14ac:dyDescent="0.25">
      <c r="A2283" s="1"/>
      <c r="B2283" s="1"/>
      <c r="C2283" s="1"/>
      <c r="D2283" s="1"/>
      <c r="E2283" s="6"/>
      <c r="F2283" s="1"/>
      <c r="G2283" s="6"/>
      <c r="H2283" s="6"/>
      <c r="I2283" s="6"/>
      <c r="J2283" s="6"/>
      <c r="K2283" s="6"/>
      <c r="L2283" s="6"/>
      <c r="M2283" s="6"/>
      <c r="N2283" s="6"/>
      <c r="O2283" s="7"/>
      <c r="P2283" s="12"/>
      <c r="Q2283" s="6"/>
      <c r="R2283" s="7"/>
      <c r="S2283" s="6"/>
      <c r="T2283" s="6"/>
      <c r="U2283" s="7"/>
      <c r="V2283" s="6"/>
      <c r="W2283" s="6"/>
      <c r="X2283" s="6"/>
      <c r="Y2283" s="6"/>
      <c r="Z2283" s="6"/>
      <c r="AA2283" s="7"/>
      <c r="AB2283" s="6"/>
      <c r="AC2283" s="6"/>
      <c r="AD2283" s="6"/>
      <c r="AE2283" s="12"/>
      <c r="AF2283" s="12"/>
      <c r="AG2283" s="12"/>
      <c r="AH2283" s="12"/>
      <c r="AI2283" s="6"/>
      <c r="AJ2283" s="12"/>
      <c r="AK2283" s="1"/>
      <c r="AL2283" s="12"/>
      <c r="AM2283" s="12"/>
      <c r="AN2283" s="1"/>
      <c r="AO2283" s="6"/>
    </row>
    <row r="2284" spans="1:41" ht="15" x14ac:dyDescent="0.25">
      <c r="A2284" s="1"/>
      <c r="B2284" s="1"/>
      <c r="C2284" s="1"/>
      <c r="D2284" s="1"/>
      <c r="E2284" s="6"/>
      <c r="F2284" s="1"/>
      <c r="G2284" s="6"/>
      <c r="H2284" s="6"/>
      <c r="I2284" s="6"/>
      <c r="J2284" s="6"/>
      <c r="K2284" s="6"/>
      <c r="L2284" s="6"/>
      <c r="M2284" s="6"/>
      <c r="N2284" s="6"/>
      <c r="O2284" s="7"/>
      <c r="P2284" s="12"/>
      <c r="Q2284" s="6"/>
      <c r="R2284" s="7"/>
      <c r="S2284" s="6"/>
      <c r="T2284" s="6"/>
      <c r="U2284" s="7"/>
      <c r="V2284" s="6"/>
      <c r="W2284" s="6"/>
      <c r="X2284" s="6"/>
      <c r="Y2284" s="6"/>
      <c r="Z2284" s="6"/>
      <c r="AA2284" s="7"/>
      <c r="AB2284" s="6"/>
      <c r="AC2284" s="6"/>
      <c r="AD2284" s="6"/>
      <c r="AE2284" s="12"/>
      <c r="AF2284" s="6"/>
      <c r="AG2284" s="12"/>
      <c r="AH2284" s="6"/>
      <c r="AI2284" s="6"/>
      <c r="AJ2284" s="12"/>
      <c r="AK2284" s="24"/>
      <c r="AL2284" s="25"/>
      <c r="AM2284" s="12"/>
      <c r="AN2284" s="1"/>
      <c r="AO2284" s="6"/>
    </row>
    <row r="2285" spans="1:41" ht="15" x14ac:dyDescent="0.25">
      <c r="A2285" s="1"/>
      <c r="B2285" s="1"/>
      <c r="C2285" s="1"/>
      <c r="D2285" s="1"/>
      <c r="E2285" s="6"/>
      <c r="F2285" s="1"/>
      <c r="G2285" s="6"/>
      <c r="H2285" s="6"/>
      <c r="I2285" s="6"/>
      <c r="J2285" s="6"/>
      <c r="K2285" s="6"/>
      <c r="L2285" s="6"/>
      <c r="M2285" s="6"/>
      <c r="N2285" s="6"/>
      <c r="O2285" s="7"/>
      <c r="P2285" s="12"/>
      <c r="Q2285" s="6"/>
      <c r="R2285" s="7"/>
      <c r="S2285" s="6"/>
      <c r="T2285" s="6"/>
      <c r="U2285" s="7"/>
      <c r="V2285" s="6"/>
      <c r="W2285" s="6"/>
      <c r="X2285" s="6"/>
      <c r="Y2285" s="6"/>
      <c r="Z2285" s="6"/>
      <c r="AA2285" s="7"/>
      <c r="AB2285" s="6"/>
      <c r="AC2285" s="6"/>
      <c r="AD2285" s="6"/>
      <c r="AE2285" s="12"/>
      <c r="AF2285" s="6"/>
      <c r="AG2285" s="12"/>
      <c r="AH2285" s="6"/>
      <c r="AI2285" s="6"/>
      <c r="AJ2285" s="12"/>
      <c r="AK2285" s="24"/>
      <c r="AL2285" s="25"/>
      <c r="AM2285" s="12"/>
      <c r="AN2285" s="1"/>
      <c r="AO2285" s="6"/>
    </row>
    <row r="2286" spans="1:41" ht="15" x14ac:dyDescent="0.25">
      <c r="A2286" s="1"/>
      <c r="B2286" s="1"/>
      <c r="C2286" s="1"/>
      <c r="D2286" s="1"/>
      <c r="E2286" s="6"/>
      <c r="F2286" s="1"/>
      <c r="G2286" s="6"/>
      <c r="H2286" s="6"/>
      <c r="I2286" s="6"/>
      <c r="J2286" s="6"/>
      <c r="K2286" s="6"/>
      <c r="L2286" s="6"/>
      <c r="M2286" s="6"/>
      <c r="N2286" s="6"/>
      <c r="O2286" s="7"/>
      <c r="P2286" s="6"/>
      <c r="Q2286" s="6"/>
      <c r="R2286" s="7"/>
      <c r="S2286" s="6"/>
      <c r="T2286" s="6"/>
      <c r="U2286" s="7"/>
      <c r="V2286" s="6"/>
      <c r="W2286" s="6"/>
      <c r="X2286" s="6"/>
      <c r="Y2286" s="6"/>
      <c r="Z2286" s="6"/>
      <c r="AA2286" s="7"/>
      <c r="AB2286" s="6"/>
      <c r="AC2286" s="6"/>
      <c r="AD2286" s="6"/>
      <c r="AE2286" s="12"/>
      <c r="AF2286" s="12"/>
      <c r="AG2286" s="12"/>
      <c r="AH2286" s="12"/>
      <c r="AI2286" s="6"/>
      <c r="AJ2286" s="12"/>
      <c r="AK2286" s="1"/>
      <c r="AL2286" s="12"/>
      <c r="AM2286" s="12"/>
      <c r="AN2286" s="1"/>
      <c r="AO2286" s="6"/>
    </row>
    <row r="2287" spans="1:41" ht="15" x14ac:dyDescent="0.25">
      <c r="A2287" s="1"/>
      <c r="B2287" s="1"/>
      <c r="C2287" s="1"/>
      <c r="D2287" s="1"/>
      <c r="E2287" s="6"/>
      <c r="F2287" s="1"/>
      <c r="G2287" s="6"/>
      <c r="H2287" s="6"/>
      <c r="I2287" s="6"/>
      <c r="J2287" s="6"/>
      <c r="K2287" s="6"/>
      <c r="L2287" s="6"/>
      <c r="M2287" s="6"/>
      <c r="N2287" s="6"/>
      <c r="O2287" s="7"/>
      <c r="P2287" s="6"/>
      <c r="Q2287" s="6"/>
      <c r="R2287" s="7"/>
      <c r="S2287" s="6"/>
      <c r="T2287" s="6"/>
      <c r="U2287" s="7"/>
      <c r="V2287" s="6"/>
      <c r="W2287" s="6"/>
      <c r="X2287" s="6"/>
      <c r="Y2287" s="6"/>
      <c r="Z2287" s="6"/>
      <c r="AA2287" s="7"/>
      <c r="AB2287" s="6"/>
      <c r="AC2287" s="6"/>
      <c r="AD2287" s="6"/>
      <c r="AE2287" s="12"/>
      <c r="AF2287" s="6"/>
      <c r="AG2287" s="12"/>
      <c r="AH2287" s="6"/>
      <c r="AI2287" s="6"/>
      <c r="AJ2287" s="12"/>
      <c r="AK2287" s="24"/>
      <c r="AL2287" s="25"/>
      <c r="AM2287" s="12"/>
      <c r="AN2287" s="1"/>
      <c r="AO2287" s="6"/>
    </row>
    <row r="2288" spans="1:41" ht="15" x14ac:dyDescent="0.25">
      <c r="A2288" s="1"/>
      <c r="B2288" s="1"/>
      <c r="C2288" s="1"/>
      <c r="D2288" s="1"/>
      <c r="E2288" s="6"/>
      <c r="F2288" s="1"/>
      <c r="G2288" s="6"/>
      <c r="H2288" s="6"/>
      <c r="I2288" s="6"/>
      <c r="J2288" s="6"/>
      <c r="K2288" s="12"/>
      <c r="L2288" s="12"/>
      <c r="M2288" s="6"/>
      <c r="N2288" s="6"/>
      <c r="O2288" s="7"/>
      <c r="P2288" s="6"/>
      <c r="Q2288" s="6"/>
      <c r="R2288" s="7"/>
      <c r="S2288" s="6"/>
      <c r="T2288" s="6"/>
      <c r="U2288" s="7"/>
      <c r="V2288" s="6"/>
      <c r="W2288" s="6"/>
      <c r="X2288" s="12"/>
      <c r="Y2288" s="6"/>
      <c r="Z2288" s="6"/>
      <c r="AA2288" s="7"/>
      <c r="AB2288" s="6"/>
      <c r="AC2288" s="6"/>
      <c r="AD2288" s="6"/>
      <c r="AE2288" s="12"/>
      <c r="AF2288" s="12"/>
      <c r="AG2288" s="12"/>
      <c r="AH2288" s="12"/>
      <c r="AI2288" s="6"/>
      <c r="AJ2288" s="12"/>
      <c r="AK2288" s="24"/>
      <c r="AL2288" s="25"/>
      <c r="AM2288" s="12"/>
      <c r="AN2288" s="1"/>
      <c r="AO2288" s="6"/>
    </row>
    <row r="2289" spans="1:41" ht="15" x14ac:dyDescent="0.25">
      <c r="A2289" s="1"/>
      <c r="B2289" s="1"/>
      <c r="C2289" s="1"/>
      <c r="D2289" s="1"/>
      <c r="E2289" s="6"/>
      <c r="F2289" s="1"/>
      <c r="G2289" s="6"/>
      <c r="H2289" s="6"/>
      <c r="I2289" s="6"/>
      <c r="J2289" s="6"/>
      <c r="K2289" s="6"/>
      <c r="L2289" s="6"/>
      <c r="M2289" s="6"/>
      <c r="N2289" s="6"/>
      <c r="O2289" s="7"/>
      <c r="P2289" s="6"/>
      <c r="Q2289" s="7"/>
      <c r="R2289" s="6"/>
      <c r="S2289" s="6"/>
      <c r="T2289" s="6"/>
      <c r="U2289" s="6"/>
      <c r="V2289" s="7"/>
      <c r="W2289" s="6"/>
      <c r="X2289" s="6"/>
      <c r="Y2289" s="6"/>
      <c r="Z2289" s="6"/>
      <c r="AA2289" s="1"/>
      <c r="AB2289" s="12"/>
      <c r="AC2289" s="12"/>
      <c r="AD2289" s="12"/>
      <c r="AE2289" s="12"/>
      <c r="AF2289" s="6"/>
      <c r="AG2289" s="12"/>
      <c r="AH2289" s="6"/>
      <c r="AI2289" s="6"/>
      <c r="AJ2289" s="12"/>
      <c r="AK2289" s="12"/>
      <c r="AL2289" s="12"/>
      <c r="AM2289" s="12"/>
      <c r="AN2289" s="1"/>
      <c r="AO2289" s="6"/>
    </row>
    <row r="2290" spans="1:41" ht="15" x14ac:dyDescent="0.25">
      <c r="A2290" s="1"/>
      <c r="B2290" s="1"/>
      <c r="C2290" s="1"/>
      <c r="D2290" s="1"/>
      <c r="E2290" s="6"/>
      <c r="F2290" s="1"/>
      <c r="G2290" s="6"/>
      <c r="H2290" s="6"/>
      <c r="I2290" s="6"/>
      <c r="J2290" s="6"/>
      <c r="K2290" s="6"/>
      <c r="L2290" s="6"/>
      <c r="M2290" s="6"/>
      <c r="N2290" s="6"/>
      <c r="O2290" s="7"/>
      <c r="P2290" s="6"/>
      <c r="Q2290" s="6"/>
      <c r="R2290" s="7"/>
      <c r="S2290" s="6"/>
      <c r="T2290" s="6"/>
      <c r="U2290" s="7"/>
      <c r="V2290" s="6"/>
      <c r="W2290" s="6"/>
      <c r="X2290" s="6"/>
      <c r="Y2290" s="6"/>
      <c r="Z2290" s="6"/>
      <c r="AA2290" s="7"/>
      <c r="AB2290" s="6"/>
      <c r="AC2290" s="6"/>
      <c r="AD2290" s="6"/>
      <c r="AE2290" s="12"/>
      <c r="AF2290" s="6"/>
      <c r="AG2290" s="12"/>
      <c r="AH2290" s="6"/>
      <c r="AI2290" s="6"/>
      <c r="AJ2290" s="12"/>
      <c r="AK2290" s="1"/>
      <c r="AL2290" s="12"/>
      <c r="AM2290" s="12"/>
      <c r="AN2290" s="1"/>
      <c r="AO2290" s="6"/>
    </row>
    <row r="2291" spans="1:41" ht="15" x14ac:dyDescent="0.25">
      <c r="A2291" s="1"/>
      <c r="B2291" s="1"/>
      <c r="C2291" s="1"/>
      <c r="D2291" s="1"/>
      <c r="E2291" s="6"/>
      <c r="F2291" s="1"/>
      <c r="G2291" s="6"/>
      <c r="H2291" s="6"/>
      <c r="I2291" s="6"/>
      <c r="J2291" s="6"/>
      <c r="K2291" s="6"/>
      <c r="L2291" s="6"/>
      <c r="M2291" s="6"/>
      <c r="N2291" s="6"/>
      <c r="O2291" s="7"/>
      <c r="P2291" s="6"/>
      <c r="Q2291" s="6"/>
      <c r="R2291" s="7"/>
      <c r="S2291" s="6"/>
      <c r="T2291" s="6"/>
      <c r="U2291" s="7"/>
      <c r="V2291" s="6"/>
      <c r="W2291" s="6"/>
      <c r="X2291" s="6"/>
      <c r="Y2291" s="6"/>
      <c r="Z2291" s="6"/>
      <c r="AA2291" s="7"/>
      <c r="AB2291" s="6"/>
      <c r="AC2291" s="6"/>
      <c r="AD2291" s="6"/>
      <c r="AE2291" s="12"/>
      <c r="AF2291" s="6"/>
      <c r="AG2291" s="12"/>
      <c r="AH2291" s="6"/>
      <c r="AI2291" s="6"/>
      <c r="AJ2291" s="12"/>
      <c r="AK2291" s="1"/>
      <c r="AL2291" s="12"/>
      <c r="AM2291" s="12"/>
      <c r="AN2291" s="1"/>
      <c r="AO2291" s="6"/>
    </row>
    <row r="2292" spans="1:41" ht="15" x14ac:dyDescent="0.25">
      <c r="A2292" s="1"/>
      <c r="B2292" s="1"/>
      <c r="C2292" s="1"/>
      <c r="D2292" s="1"/>
      <c r="E2292" s="6"/>
      <c r="F2292" s="1"/>
      <c r="G2292" s="6"/>
      <c r="H2292" s="6"/>
      <c r="I2292" s="6"/>
      <c r="J2292" s="6"/>
      <c r="K2292" s="6"/>
      <c r="L2292" s="6"/>
      <c r="M2292" s="6"/>
      <c r="N2292" s="6"/>
      <c r="O2292" s="7"/>
      <c r="P2292" s="6"/>
      <c r="Q2292" s="6"/>
      <c r="R2292" s="7"/>
      <c r="S2292" s="6"/>
      <c r="T2292" s="6"/>
      <c r="U2292" s="7"/>
      <c r="V2292" s="6"/>
      <c r="W2292" s="6"/>
      <c r="X2292" s="6"/>
      <c r="Y2292" s="6"/>
      <c r="Z2292" s="6"/>
      <c r="AA2292" s="7"/>
      <c r="AB2292" s="6"/>
      <c r="AC2292" s="6"/>
      <c r="AD2292" s="6"/>
      <c r="AE2292" s="12"/>
      <c r="AF2292" s="6"/>
      <c r="AG2292" s="12"/>
      <c r="AH2292" s="6"/>
      <c r="AI2292" s="6"/>
      <c r="AJ2292" s="12"/>
      <c r="AK2292" s="1"/>
      <c r="AL2292" s="12"/>
      <c r="AM2292" s="12"/>
      <c r="AN2292" s="1"/>
      <c r="AO2292" s="6"/>
    </row>
    <row r="2293" spans="1:41" ht="15" x14ac:dyDescent="0.25">
      <c r="A2293" s="1"/>
      <c r="B2293" s="1"/>
      <c r="C2293" s="1"/>
      <c r="D2293" s="1"/>
      <c r="E2293" s="6"/>
      <c r="F2293" s="1"/>
      <c r="G2293" s="6"/>
      <c r="H2293" s="6"/>
      <c r="I2293" s="6"/>
      <c r="J2293" s="6"/>
      <c r="K2293" s="6"/>
      <c r="L2293" s="6"/>
      <c r="M2293" s="6"/>
      <c r="N2293" s="6"/>
      <c r="O2293" s="7"/>
      <c r="P2293" s="6"/>
      <c r="Q2293" s="6"/>
      <c r="R2293" s="7"/>
      <c r="S2293" s="6"/>
      <c r="T2293" s="6"/>
      <c r="U2293" s="7"/>
      <c r="V2293" s="6"/>
      <c r="W2293" s="6"/>
      <c r="X2293" s="6"/>
      <c r="Y2293" s="6"/>
      <c r="Z2293" s="6"/>
      <c r="AA2293" s="7"/>
      <c r="AB2293" s="6"/>
      <c r="AC2293" s="6"/>
      <c r="AD2293" s="6"/>
      <c r="AE2293" s="12"/>
      <c r="AF2293" s="6"/>
      <c r="AG2293" s="12"/>
      <c r="AH2293" s="6"/>
      <c r="AI2293" s="6"/>
      <c r="AJ2293" s="12"/>
      <c r="AK2293" s="1"/>
      <c r="AL2293" s="12"/>
      <c r="AM2293" s="12"/>
      <c r="AN2293" s="1"/>
      <c r="AO2293" s="6"/>
    </row>
    <row r="2294" spans="1:41" ht="15" x14ac:dyDescent="0.25">
      <c r="A2294" s="1"/>
      <c r="B2294" s="1"/>
      <c r="C2294" s="1"/>
      <c r="D2294" s="1"/>
      <c r="E2294" s="6"/>
      <c r="F2294" s="1"/>
      <c r="G2294" s="6"/>
      <c r="H2294" s="6"/>
      <c r="I2294" s="6"/>
      <c r="J2294" s="6"/>
      <c r="K2294" s="6"/>
      <c r="L2294" s="6"/>
      <c r="M2294" s="6"/>
      <c r="N2294" s="6"/>
      <c r="O2294" s="7"/>
      <c r="P2294" s="6"/>
      <c r="Q2294" s="6"/>
      <c r="R2294" s="7"/>
      <c r="S2294" s="6"/>
      <c r="T2294" s="6"/>
      <c r="U2294" s="7"/>
      <c r="V2294" s="6"/>
      <c r="W2294" s="6"/>
      <c r="X2294" s="12"/>
      <c r="Y2294" s="6"/>
      <c r="Z2294" s="6"/>
      <c r="AA2294" s="7"/>
      <c r="AB2294" s="6"/>
      <c r="AC2294" s="6"/>
      <c r="AD2294" s="6"/>
      <c r="AE2294" s="12"/>
      <c r="AF2294" s="6"/>
      <c r="AG2294" s="12"/>
      <c r="AH2294" s="6"/>
      <c r="AI2294" s="6"/>
      <c r="AJ2294" s="12"/>
      <c r="AK2294" s="1"/>
      <c r="AL2294" s="12"/>
      <c r="AM2294" s="12"/>
      <c r="AN2294" s="1"/>
      <c r="AO2294" s="6"/>
    </row>
    <row r="2295" spans="1:41" ht="15" x14ac:dyDescent="0.25">
      <c r="A2295" s="1"/>
      <c r="B2295" s="1"/>
      <c r="C2295" s="1"/>
      <c r="D2295" s="1"/>
      <c r="E2295" s="6"/>
      <c r="F2295" s="1"/>
      <c r="G2295" s="6"/>
      <c r="H2295" s="6"/>
      <c r="I2295" s="6"/>
      <c r="J2295" s="6"/>
      <c r="K2295" s="6"/>
      <c r="L2295" s="6"/>
      <c r="M2295" s="6"/>
      <c r="N2295" s="6"/>
      <c r="O2295" s="7"/>
      <c r="P2295" s="6"/>
      <c r="Q2295" s="6"/>
      <c r="R2295" s="7"/>
      <c r="S2295" s="6"/>
      <c r="T2295" s="6"/>
      <c r="U2295" s="7"/>
      <c r="V2295" s="6"/>
      <c r="W2295" s="6"/>
      <c r="X2295" s="12"/>
      <c r="Y2295" s="6"/>
      <c r="Z2295" s="6"/>
      <c r="AA2295" s="7"/>
      <c r="AB2295" s="6"/>
      <c r="AC2295" s="6"/>
      <c r="AD2295" s="6"/>
      <c r="AE2295" s="12"/>
      <c r="AF2295" s="12"/>
      <c r="AG2295" s="12"/>
      <c r="AH2295" s="12"/>
      <c r="AI2295" s="6"/>
      <c r="AJ2295" s="12"/>
      <c r="AK2295" s="1"/>
      <c r="AL2295" s="12"/>
      <c r="AM2295" s="12"/>
      <c r="AN2295" s="1"/>
      <c r="AO2295" s="6"/>
    </row>
    <row r="2296" spans="1:41" ht="15" x14ac:dyDescent="0.25">
      <c r="A2296" s="1"/>
      <c r="B2296" s="1"/>
      <c r="C2296" s="1"/>
      <c r="D2296" s="1"/>
      <c r="E2296" s="6"/>
      <c r="F2296" s="1"/>
      <c r="G2296" s="6"/>
      <c r="H2296" s="6"/>
      <c r="I2296" s="6"/>
      <c r="J2296" s="6"/>
      <c r="K2296" s="6"/>
      <c r="L2296" s="6"/>
      <c r="M2296" s="6"/>
      <c r="N2296" s="6"/>
      <c r="O2296" s="7"/>
      <c r="P2296" s="6"/>
      <c r="Q2296" s="6"/>
      <c r="R2296" s="7"/>
      <c r="S2296" s="6"/>
      <c r="T2296" s="6"/>
      <c r="U2296" s="7"/>
      <c r="V2296" s="6"/>
      <c r="W2296" s="6"/>
      <c r="X2296" s="12"/>
      <c r="Y2296" s="6"/>
      <c r="Z2296" s="6"/>
      <c r="AA2296" s="7"/>
      <c r="AB2296" s="6"/>
      <c r="AC2296" s="6"/>
      <c r="AD2296" s="6"/>
      <c r="AE2296" s="12"/>
      <c r="AF2296" s="12"/>
      <c r="AG2296" s="12"/>
      <c r="AH2296" s="12"/>
      <c r="AI2296" s="6"/>
      <c r="AJ2296" s="12"/>
      <c r="AK2296" s="24"/>
      <c r="AL2296" s="25"/>
      <c r="AM2296" s="12"/>
      <c r="AN2296" s="1"/>
      <c r="AO2296" s="6"/>
    </row>
    <row r="2297" spans="1:41" ht="15" x14ac:dyDescent="0.25">
      <c r="A2297" s="1"/>
      <c r="B2297" s="1"/>
      <c r="C2297" s="1"/>
      <c r="D2297" s="1"/>
      <c r="E2297" s="6"/>
      <c r="F2297" s="1"/>
      <c r="G2297" s="6"/>
      <c r="H2297" s="6"/>
      <c r="I2297" s="6"/>
      <c r="J2297" s="6"/>
      <c r="K2297" s="12"/>
      <c r="L2297" s="12"/>
      <c r="M2297" s="6"/>
      <c r="N2297" s="6"/>
      <c r="O2297" s="7"/>
      <c r="P2297" s="6"/>
      <c r="Q2297" s="6"/>
      <c r="R2297" s="7"/>
      <c r="S2297" s="6"/>
      <c r="T2297" s="6"/>
      <c r="U2297" s="7"/>
      <c r="V2297" s="6"/>
      <c r="W2297" s="6"/>
      <c r="X2297" s="12"/>
      <c r="Y2297" s="6"/>
      <c r="Z2297" s="6"/>
      <c r="AA2297" s="7"/>
      <c r="AB2297" s="6"/>
      <c r="AC2297" s="6"/>
      <c r="AD2297" s="6"/>
      <c r="AE2297" s="12"/>
      <c r="AF2297" s="12"/>
      <c r="AG2297" s="12"/>
      <c r="AH2297" s="12"/>
      <c r="AI2297" s="6"/>
      <c r="AJ2297" s="12"/>
      <c r="AK2297" s="1"/>
      <c r="AL2297" s="12"/>
      <c r="AM2297" s="12"/>
      <c r="AN2297" s="1"/>
      <c r="AO2297" s="6"/>
    </row>
    <row r="2298" spans="1:41" ht="15" x14ac:dyDescent="0.25">
      <c r="A2298" s="1"/>
      <c r="B2298" s="1"/>
      <c r="C2298" s="1"/>
      <c r="D2298" s="1"/>
      <c r="E2298" s="6"/>
      <c r="F2298" s="1"/>
      <c r="G2298" s="6"/>
      <c r="H2298" s="6"/>
      <c r="I2298" s="6"/>
      <c r="J2298" s="6"/>
      <c r="K2298" s="6"/>
      <c r="L2298" s="6"/>
      <c r="M2298" s="6"/>
      <c r="N2298" s="6"/>
      <c r="O2298" s="7"/>
      <c r="P2298" s="6"/>
      <c r="Q2298" s="6"/>
      <c r="R2298" s="7"/>
      <c r="S2298" s="6"/>
      <c r="T2298" s="6"/>
      <c r="U2298" s="7"/>
      <c r="V2298" s="6"/>
      <c r="W2298" s="6"/>
      <c r="X2298" s="6"/>
      <c r="Y2298" s="6"/>
      <c r="Z2298" s="6"/>
      <c r="AA2298" s="7"/>
      <c r="AB2298" s="6"/>
      <c r="AC2298" s="6"/>
      <c r="AD2298" s="6"/>
      <c r="AE2298" s="12"/>
      <c r="AF2298" s="12"/>
      <c r="AG2298" s="12"/>
      <c r="AH2298" s="12"/>
      <c r="AI2298" s="6"/>
      <c r="AJ2298" s="12"/>
      <c r="AK2298" s="1"/>
      <c r="AL2298" s="12"/>
      <c r="AM2298" s="12"/>
      <c r="AN2298" s="1"/>
      <c r="AO2298" s="6"/>
    </row>
    <row r="2299" spans="1:41" ht="15" x14ac:dyDescent="0.25">
      <c r="A2299" s="1"/>
      <c r="B2299" s="1"/>
      <c r="C2299" s="1"/>
      <c r="D2299" s="1"/>
      <c r="E2299" s="6"/>
      <c r="F2299" s="1"/>
      <c r="G2299" s="6"/>
      <c r="H2299" s="6"/>
      <c r="I2299" s="6"/>
      <c r="J2299" s="6"/>
      <c r="K2299" s="6"/>
      <c r="L2299" s="6"/>
      <c r="M2299" s="6"/>
      <c r="N2299" s="6"/>
      <c r="O2299" s="7"/>
      <c r="P2299" s="6"/>
      <c r="Q2299" s="6"/>
      <c r="R2299" s="15"/>
      <c r="S2299" s="6"/>
      <c r="T2299" s="6"/>
      <c r="U2299" s="7"/>
      <c r="V2299" s="6"/>
      <c r="W2299" s="6"/>
      <c r="X2299" s="12"/>
      <c r="Y2299" s="6"/>
      <c r="Z2299" s="6"/>
      <c r="AA2299" s="7"/>
      <c r="AB2299" s="6"/>
      <c r="AC2299" s="6"/>
      <c r="AD2299" s="6"/>
      <c r="AE2299" s="12"/>
      <c r="AF2299" s="12"/>
      <c r="AG2299" s="12"/>
      <c r="AH2299" s="12"/>
      <c r="AI2299" s="6"/>
      <c r="AJ2299" s="12"/>
      <c r="AK2299" s="1"/>
      <c r="AL2299" s="12"/>
      <c r="AM2299" s="12"/>
      <c r="AN2299" s="1"/>
      <c r="AO2299" s="6"/>
    </row>
    <row r="2300" spans="1:41" ht="15" x14ac:dyDescent="0.25">
      <c r="A2300" s="1"/>
      <c r="B2300" s="1"/>
      <c r="C2300" s="1"/>
      <c r="D2300" s="1"/>
      <c r="E2300" s="6"/>
      <c r="F2300" s="1"/>
      <c r="G2300" s="6"/>
      <c r="H2300" s="6"/>
      <c r="I2300" s="6"/>
      <c r="J2300" s="6"/>
      <c r="K2300" s="12"/>
      <c r="L2300" s="6"/>
      <c r="M2300" s="6"/>
      <c r="N2300" s="6"/>
      <c r="O2300" s="7"/>
      <c r="P2300" s="6"/>
      <c r="Q2300" s="6"/>
      <c r="R2300" s="7"/>
      <c r="S2300" s="6"/>
      <c r="T2300" s="6"/>
      <c r="U2300" s="7"/>
      <c r="V2300" s="6"/>
      <c r="W2300" s="6"/>
      <c r="X2300" s="12"/>
      <c r="Y2300" s="6"/>
      <c r="Z2300" s="6"/>
      <c r="AA2300" s="7"/>
      <c r="AB2300" s="6"/>
      <c r="AC2300" s="6"/>
      <c r="AD2300" s="6"/>
      <c r="AE2300" s="12"/>
      <c r="AF2300" s="6"/>
      <c r="AG2300" s="12"/>
      <c r="AH2300" s="6"/>
      <c r="AI2300" s="6"/>
      <c r="AJ2300" s="12"/>
      <c r="AK2300" s="1"/>
      <c r="AL2300" s="12"/>
      <c r="AM2300" s="12"/>
      <c r="AN2300" s="1"/>
      <c r="AO2300" s="6"/>
    </row>
    <row r="2301" spans="1:41" ht="15" x14ac:dyDescent="0.25">
      <c r="A2301" s="1"/>
      <c r="B2301" s="1"/>
      <c r="C2301" s="1"/>
      <c r="D2301" s="1"/>
      <c r="E2301" s="6"/>
      <c r="F2301" s="1"/>
      <c r="G2301" s="6"/>
      <c r="H2301" s="6"/>
      <c r="I2301" s="6"/>
      <c r="J2301" s="6"/>
      <c r="K2301" s="6"/>
      <c r="L2301" s="6"/>
      <c r="M2301" s="6"/>
      <c r="N2301" s="6"/>
      <c r="O2301" s="7"/>
      <c r="P2301" s="6"/>
      <c r="Q2301" s="6"/>
      <c r="R2301" s="7"/>
      <c r="S2301" s="6"/>
      <c r="T2301" s="6"/>
      <c r="U2301" s="7"/>
      <c r="V2301" s="6"/>
      <c r="W2301" s="6"/>
      <c r="X2301" s="6"/>
      <c r="Y2301" s="6"/>
      <c r="Z2301" s="6"/>
      <c r="AA2301" s="7"/>
      <c r="AB2301" s="6"/>
      <c r="AC2301" s="6"/>
      <c r="AD2301" s="6"/>
      <c r="AE2301" s="12"/>
      <c r="AF2301" s="6"/>
      <c r="AG2301" s="12"/>
      <c r="AH2301" s="6"/>
      <c r="AI2301" s="6"/>
      <c r="AJ2301" s="12"/>
      <c r="AK2301" s="24"/>
      <c r="AL2301" s="25"/>
      <c r="AM2301" s="12"/>
      <c r="AN2301" s="1"/>
      <c r="AO2301" s="6"/>
    </row>
    <row r="2302" spans="1:41" ht="15" x14ac:dyDescent="0.25">
      <c r="A2302" s="1"/>
      <c r="B2302" s="1"/>
      <c r="C2302" s="1"/>
      <c r="D2302" s="1"/>
      <c r="E2302" s="6"/>
      <c r="F2302" s="1"/>
      <c r="G2302" s="6"/>
      <c r="H2302" s="6"/>
      <c r="I2302" s="6"/>
      <c r="J2302" s="6"/>
      <c r="K2302" s="6"/>
      <c r="L2302" s="6"/>
      <c r="M2302" s="6"/>
      <c r="N2302" s="6"/>
      <c r="O2302" s="7"/>
      <c r="P2302" s="6"/>
      <c r="Q2302" s="6"/>
      <c r="R2302" s="7"/>
      <c r="S2302" s="6"/>
      <c r="T2302" s="6"/>
      <c r="U2302" s="7"/>
      <c r="V2302" s="6"/>
      <c r="W2302" s="6"/>
      <c r="X2302" s="6"/>
      <c r="Y2302" s="6"/>
      <c r="Z2302" s="6"/>
      <c r="AA2302" s="7"/>
      <c r="AB2302" s="6"/>
      <c r="AC2302" s="6"/>
      <c r="AD2302" s="6"/>
      <c r="AE2302" s="12"/>
      <c r="AF2302" s="6"/>
      <c r="AG2302" s="12"/>
      <c r="AH2302" s="6"/>
      <c r="AI2302" s="6"/>
      <c r="AJ2302" s="12"/>
      <c r="AK2302" s="24"/>
      <c r="AL2302" s="25"/>
      <c r="AM2302" s="12"/>
      <c r="AN2302" s="1"/>
      <c r="AO2302" s="6"/>
    </row>
    <row r="2303" spans="1:41" ht="15" x14ac:dyDescent="0.25">
      <c r="A2303" s="1"/>
      <c r="B2303" s="1"/>
      <c r="C2303" s="1"/>
      <c r="D2303" s="1"/>
      <c r="E2303" s="6"/>
      <c r="F2303" s="1"/>
      <c r="G2303" s="6"/>
      <c r="H2303" s="6"/>
      <c r="I2303" s="6"/>
      <c r="J2303" s="6"/>
      <c r="K2303" s="6"/>
      <c r="L2303" s="6"/>
      <c r="M2303" s="6"/>
      <c r="N2303" s="6"/>
      <c r="O2303" s="7"/>
      <c r="P2303" s="6"/>
      <c r="Q2303" s="6"/>
      <c r="R2303" s="12"/>
      <c r="S2303" s="12"/>
      <c r="T2303" s="12"/>
      <c r="U2303" s="7"/>
      <c r="V2303" s="6"/>
      <c r="W2303" s="6"/>
      <c r="X2303" s="12"/>
      <c r="Y2303" s="6"/>
      <c r="Z2303" s="6"/>
      <c r="AA2303" s="7"/>
      <c r="AB2303" s="6"/>
      <c r="AC2303" s="6"/>
      <c r="AD2303" s="6"/>
      <c r="AE2303" s="12"/>
      <c r="AF2303" s="6"/>
      <c r="AG2303" s="12"/>
      <c r="AH2303" s="6"/>
      <c r="AI2303" s="6"/>
      <c r="AJ2303" s="12"/>
      <c r="AK2303" s="24"/>
      <c r="AL2303" s="25"/>
      <c r="AM2303" s="12"/>
      <c r="AN2303" s="1"/>
      <c r="AO2303" s="6"/>
    </row>
    <row r="2304" spans="1:41" ht="15" x14ac:dyDescent="0.25">
      <c r="A2304" s="1"/>
      <c r="B2304" s="1"/>
      <c r="C2304" s="1"/>
      <c r="D2304" s="1"/>
      <c r="E2304" s="6"/>
      <c r="F2304" s="1"/>
      <c r="G2304" s="6"/>
      <c r="H2304" s="6"/>
      <c r="I2304" s="6"/>
      <c r="J2304" s="6"/>
      <c r="K2304" s="6"/>
      <c r="L2304" s="6"/>
      <c r="M2304" s="6"/>
      <c r="N2304" s="6"/>
      <c r="O2304" s="7"/>
      <c r="P2304" s="6"/>
      <c r="Q2304" s="6"/>
      <c r="R2304" s="7"/>
      <c r="S2304" s="6"/>
      <c r="T2304" s="6"/>
      <c r="U2304" s="7"/>
      <c r="V2304" s="6"/>
      <c r="W2304" s="6"/>
      <c r="X2304" s="6"/>
      <c r="Y2304" s="6"/>
      <c r="Z2304" s="6"/>
      <c r="AA2304" s="7"/>
      <c r="AB2304" s="6"/>
      <c r="AC2304" s="6"/>
      <c r="AD2304" s="6"/>
      <c r="AE2304" s="12"/>
      <c r="AF2304" s="6"/>
      <c r="AG2304" s="12"/>
      <c r="AH2304" s="6"/>
      <c r="AI2304" s="6"/>
      <c r="AJ2304" s="12"/>
      <c r="AK2304" s="24"/>
      <c r="AL2304" s="25"/>
      <c r="AM2304" s="12"/>
      <c r="AN2304" s="1"/>
      <c r="AO2304" s="6"/>
    </row>
    <row r="2305" spans="1:41" ht="15" x14ac:dyDescent="0.25">
      <c r="A2305" s="1"/>
      <c r="B2305" s="1"/>
      <c r="C2305" s="1"/>
      <c r="D2305" s="1"/>
      <c r="E2305" s="6"/>
      <c r="F2305" s="1"/>
      <c r="G2305" s="6"/>
      <c r="H2305" s="6"/>
      <c r="I2305" s="6"/>
      <c r="J2305" s="6"/>
      <c r="K2305" s="6"/>
      <c r="L2305" s="6"/>
      <c r="M2305" s="6"/>
      <c r="N2305" s="6"/>
      <c r="O2305" s="7"/>
      <c r="P2305" s="6"/>
      <c r="Q2305" s="6"/>
      <c r="R2305" s="7"/>
      <c r="S2305" s="6"/>
      <c r="T2305" s="6"/>
      <c r="U2305" s="7"/>
      <c r="V2305" s="6"/>
      <c r="W2305" s="6"/>
      <c r="X2305" s="6"/>
      <c r="Y2305" s="6"/>
      <c r="Z2305" s="6"/>
      <c r="AA2305" s="7"/>
      <c r="AB2305" s="6"/>
      <c r="AC2305" s="6"/>
      <c r="AD2305" s="6"/>
      <c r="AE2305" s="12"/>
      <c r="AF2305" s="6"/>
      <c r="AG2305" s="12"/>
      <c r="AH2305" s="6"/>
      <c r="AI2305" s="6"/>
      <c r="AJ2305" s="12"/>
      <c r="AK2305" s="24"/>
      <c r="AL2305" s="25"/>
      <c r="AM2305" s="12"/>
      <c r="AN2305" s="1"/>
      <c r="AO2305" s="6"/>
    </row>
    <row r="2306" spans="1:41" ht="15" x14ac:dyDescent="0.25">
      <c r="A2306" s="1"/>
      <c r="B2306" s="1"/>
      <c r="C2306" s="1"/>
      <c r="D2306" s="1"/>
      <c r="E2306" s="6"/>
      <c r="F2306" s="1"/>
      <c r="G2306" s="6"/>
      <c r="H2306" s="6"/>
      <c r="I2306" s="6"/>
      <c r="J2306" s="6"/>
      <c r="K2306" s="6"/>
      <c r="L2306" s="6"/>
      <c r="M2306" s="6"/>
      <c r="N2306" s="6"/>
      <c r="O2306" s="7"/>
      <c r="P2306" s="6"/>
      <c r="Q2306" s="6"/>
      <c r="R2306" s="7"/>
      <c r="S2306" s="6"/>
      <c r="T2306" s="6"/>
      <c r="U2306" s="7"/>
      <c r="V2306" s="6"/>
      <c r="W2306" s="6"/>
      <c r="X2306" s="6"/>
      <c r="Y2306" s="6"/>
      <c r="Z2306" s="6"/>
      <c r="AA2306" s="7"/>
      <c r="AB2306" s="6"/>
      <c r="AC2306" s="6"/>
      <c r="AD2306" s="6"/>
      <c r="AE2306" s="12"/>
      <c r="AF2306" s="6"/>
      <c r="AG2306" s="12"/>
      <c r="AH2306" s="6"/>
      <c r="AI2306" s="6"/>
      <c r="AJ2306" s="12"/>
      <c r="AK2306" s="24"/>
      <c r="AL2306" s="25"/>
      <c r="AM2306" s="12"/>
      <c r="AN2306" s="1"/>
      <c r="AO2306" s="6"/>
    </row>
    <row r="2307" spans="1:41" ht="15" x14ac:dyDescent="0.25">
      <c r="A2307" s="1"/>
      <c r="B2307" s="1"/>
      <c r="C2307" s="1"/>
      <c r="D2307" s="1"/>
      <c r="E2307" s="6"/>
      <c r="F2307" s="1"/>
      <c r="G2307" s="6"/>
      <c r="H2307" s="6"/>
      <c r="I2307" s="6"/>
      <c r="J2307" s="6"/>
      <c r="K2307" s="6"/>
      <c r="L2307" s="6"/>
      <c r="M2307" s="6"/>
      <c r="N2307" s="6"/>
      <c r="O2307" s="7"/>
      <c r="P2307" s="6"/>
      <c r="Q2307" s="6"/>
      <c r="R2307" s="7"/>
      <c r="S2307" s="6"/>
      <c r="T2307" s="6"/>
      <c r="U2307" s="7"/>
      <c r="V2307" s="6"/>
      <c r="W2307" s="6"/>
      <c r="X2307" s="6"/>
      <c r="Y2307" s="6"/>
      <c r="Z2307" s="6"/>
      <c r="AA2307" s="7"/>
      <c r="AB2307" s="6"/>
      <c r="AC2307" s="6"/>
      <c r="AD2307" s="6"/>
      <c r="AE2307" s="12"/>
      <c r="AF2307" s="6"/>
      <c r="AG2307" s="12"/>
      <c r="AH2307" s="6"/>
      <c r="AI2307" s="6"/>
      <c r="AJ2307" s="12"/>
      <c r="AK2307" s="24"/>
      <c r="AL2307" s="25"/>
      <c r="AM2307" s="12"/>
      <c r="AN2307" s="1"/>
      <c r="AO2307" s="6"/>
    </row>
    <row r="2308" spans="1:41" ht="15" x14ac:dyDescent="0.25">
      <c r="A2308" s="1"/>
      <c r="B2308" s="1"/>
      <c r="C2308" s="1"/>
      <c r="D2308" s="1"/>
      <c r="E2308" s="6"/>
      <c r="F2308" s="1"/>
      <c r="G2308" s="6"/>
      <c r="H2308" s="6"/>
      <c r="I2308" s="6"/>
      <c r="J2308" s="6"/>
      <c r="K2308" s="6"/>
      <c r="L2308" s="6"/>
      <c r="M2308" s="6"/>
      <c r="N2308" s="6"/>
      <c r="O2308" s="7"/>
      <c r="P2308" s="6"/>
      <c r="Q2308" s="6"/>
      <c r="R2308" s="7"/>
      <c r="S2308" s="6"/>
      <c r="T2308" s="6"/>
      <c r="U2308" s="7"/>
      <c r="V2308" s="6"/>
      <c r="W2308" s="6"/>
      <c r="X2308" s="6"/>
      <c r="Y2308" s="6"/>
      <c r="Z2308" s="6"/>
      <c r="AA2308" s="7"/>
      <c r="AB2308" s="6"/>
      <c r="AC2308" s="6"/>
      <c r="AD2308" s="6"/>
      <c r="AE2308" s="12"/>
      <c r="AF2308" s="6"/>
      <c r="AG2308" s="12"/>
      <c r="AH2308" s="6"/>
      <c r="AI2308" s="6"/>
      <c r="AJ2308" s="12"/>
      <c r="AK2308" s="24"/>
      <c r="AL2308" s="25"/>
      <c r="AM2308" s="12"/>
      <c r="AN2308" s="1"/>
      <c r="AO2308" s="6"/>
    </row>
    <row r="2309" spans="1:41" ht="15" x14ac:dyDescent="0.25">
      <c r="A2309" s="1"/>
      <c r="B2309" s="1"/>
      <c r="C2309" s="1"/>
      <c r="D2309" s="1"/>
      <c r="E2309" s="6"/>
      <c r="F2309" s="1"/>
      <c r="G2309" s="6"/>
      <c r="H2309" s="6"/>
      <c r="I2309" s="6"/>
      <c r="J2309" s="6"/>
      <c r="K2309" s="6"/>
      <c r="L2309" s="6"/>
      <c r="M2309" s="6"/>
      <c r="N2309" s="6"/>
      <c r="O2309" s="7"/>
      <c r="P2309" s="6"/>
      <c r="Q2309" s="6"/>
      <c r="R2309" s="7"/>
      <c r="S2309" s="6"/>
      <c r="T2309" s="6"/>
      <c r="U2309" s="7"/>
      <c r="V2309" s="6"/>
      <c r="W2309" s="6"/>
      <c r="X2309" s="6"/>
      <c r="Y2309" s="6"/>
      <c r="Z2309" s="6"/>
      <c r="AA2309" s="7"/>
      <c r="AB2309" s="6"/>
      <c r="AC2309" s="6"/>
      <c r="AD2309" s="6"/>
      <c r="AE2309" s="12"/>
      <c r="AF2309" s="6"/>
      <c r="AG2309" s="12"/>
      <c r="AH2309" s="6"/>
      <c r="AI2309" s="6"/>
      <c r="AJ2309" s="12"/>
      <c r="AK2309" s="24"/>
      <c r="AL2309" s="25"/>
      <c r="AM2309" s="12"/>
      <c r="AN2309" s="1"/>
      <c r="AO2309" s="6"/>
    </row>
    <row r="2310" spans="1:41" ht="15" x14ac:dyDescent="0.25">
      <c r="A2310" s="1"/>
      <c r="B2310" s="1"/>
      <c r="C2310" s="1"/>
      <c r="D2310" s="1"/>
      <c r="E2310" s="6"/>
      <c r="F2310" s="1"/>
      <c r="G2310" s="6"/>
      <c r="H2310" s="6"/>
      <c r="I2310" s="6"/>
      <c r="J2310" s="6"/>
      <c r="K2310" s="6"/>
      <c r="L2310" s="6"/>
      <c r="M2310" s="6"/>
      <c r="N2310" s="6"/>
      <c r="O2310" s="7"/>
      <c r="P2310" s="6"/>
      <c r="Q2310" s="6"/>
      <c r="R2310" s="7"/>
      <c r="S2310" s="6"/>
      <c r="T2310" s="6"/>
      <c r="U2310" s="7"/>
      <c r="V2310" s="6"/>
      <c r="W2310" s="6"/>
      <c r="X2310" s="6"/>
      <c r="Y2310" s="6"/>
      <c r="Z2310" s="6"/>
      <c r="AA2310" s="7"/>
      <c r="AB2310" s="6"/>
      <c r="AC2310" s="6"/>
      <c r="AD2310" s="6"/>
      <c r="AE2310" s="12"/>
      <c r="AF2310" s="6"/>
      <c r="AG2310" s="12"/>
      <c r="AH2310" s="6"/>
      <c r="AI2310" s="6"/>
      <c r="AJ2310" s="12"/>
      <c r="AK2310" s="24"/>
      <c r="AL2310" s="25"/>
      <c r="AM2310" s="12"/>
      <c r="AN2310" s="1"/>
      <c r="AO2310" s="6"/>
    </row>
    <row r="2311" spans="1:41" ht="15" x14ac:dyDescent="0.25">
      <c r="A2311" s="1"/>
      <c r="B2311" s="1"/>
      <c r="C2311" s="1"/>
      <c r="D2311" s="1"/>
      <c r="E2311" s="6"/>
      <c r="F2311" s="1"/>
      <c r="G2311" s="6"/>
      <c r="H2311" s="6"/>
      <c r="I2311" s="6"/>
      <c r="J2311" s="6"/>
      <c r="K2311" s="6"/>
      <c r="L2311" s="6"/>
      <c r="M2311" s="6"/>
      <c r="N2311" s="6"/>
      <c r="O2311" s="7"/>
      <c r="P2311" s="6"/>
      <c r="Q2311" s="7"/>
      <c r="R2311" s="6"/>
      <c r="S2311" s="6"/>
      <c r="T2311" s="6"/>
      <c r="U2311" s="6"/>
      <c r="V2311" s="7"/>
      <c r="W2311" s="6"/>
      <c r="X2311" s="6"/>
      <c r="Y2311" s="6"/>
      <c r="Z2311" s="6"/>
      <c r="AA2311" s="24"/>
      <c r="AB2311" s="25"/>
      <c r="AC2311" s="12"/>
      <c r="AD2311" s="12"/>
      <c r="AE2311" s="12"/>
      <c r="AF2311" s="6"/>
      <c r="AG2311" s="12"/>
      <c r="AH2311" s="6"/>
      <c r="AI2311" s="6"/>
      <c r="AJ2311" s="12"/>
      <c r="AK2311" s="12"/>
      <c r="AL2311" s="12"/>
      <c r="AM2311" s="12"/>
      <c r="AN2311" s="1"/>
      <c r="AO2311" s="6"/>
    </row>
    <row r="2312" spans="1:41" ht="15" x14ac:dyDescent="0.25">
      <c r="A2312" s="1"/>
      <c r="B2312" s="1"/>
      <c r="C2312" s="1"/>
      <c r="D2312" s="1"/>
      <c r="E2312" s="6"/>
      <c r="F2312" s="1"/>
      <c r="G2312" s="6"/>
      <c r="H2312" s="6"/>
      <c r="I2312" s="6"/>
      <c r="J2312" s="6"/>
      <c r="K2312" s="12"/>
      <c r="L2312" s="12"/>
      <c r="M2312" s="6"/>
      <c r="N2312" s="6"/>
      <c r="O2312" s="7"/>
      <c r="P2312" s="6"/>
      <c r="Q2312" s="6"/>
      <c r="R2312" s="7"/>
      <c r="S2312" s="6"/>
      <c r="T2312" s="6"/>
      <c r="U2312" s="7"/>
      <c r="V2312" s="6"/>
      <c r="W2312" s="6"/>
      <c r="X2312" s="6"/>
      <c r="Y2312" s="6"/>
      <c r="Z2312" s="6"/>
      <c r="AA2312" s="7"/>
      <c r="AB2312" s="6"/>
      <c r="AC2312" s="6"/>
      <c r="AD2312" s="6"/>
      <c r="AE2312" s="12"/>
      <c r="AF2312" s="12"/>
      <c r="AG2312" s="12"/>
      <c r="AH2312" s="12"/>
      <c r="AI2312" s="6"/>
      <c r="AJ2312" s="12"/>
      <c r="AK2312" s="1"/>
      <c r="AL2312" s="12"/>
      <c r="AM2312" s="12"/>
      <c r="AN2312" s="1"/>
      <c r="AO2312" s="12"/>
    </row>
    <row r="2313" spans="1:41" ht="15" x14ac:dyDescent="0.25">
      <c r="A2313" s="1"/>
      <c r="B2313" s="1"/>
      <c r="C2313" s="1"/>
      <c r="D2313" s="1"/>
      <c r="E2313" s="6"/>
      <c r="F2313" s="1"/>
      <c r="G2313" s="6"/>
      <c r="H2313" s="6"/>
      <c r="I2313" s="6"/>
      <c r="J2313" s="6"/>
      <c r="K2313" s="6"/>
      <c r="L2313" s="6"/>
      <c r="M2313" s="6"/>
      <c r="N2313" s="6"/>
      <c r="O2313" s="12"/>
      <c r="P2313" s="12"/>
      <c r="Q2313" s="7"/>
      <c r="R2313" s="6"/>
      <c r="S2313" s="12"/>
      <c r="T2313" s="6"/>
      <c r="U2313" s="6"/>
      <c r="V2313" s="7"/>
      <c r="W2313" s="6"/>
      <c r="X2313" s="6"/>
      <c r="Y2313" s="6"/>
      <c r="Z2313" s="6"/>
      <c r="AA2313" s="1"/>
      <c r="AB2313" s="12"/>
      <c r="AC2313" s="12"/>
      <c r="AD2313" s="12"/>
      <c r="AE2313" s="12"/>
      <c r="AF2313" s="6"/>
      <c r="AG2313" s="12"/>
      <c r="AH2313" s="6"/>
      <c r="AI2313" s="6"/>
      <c r="AJ2313" s="12"/>
      <c r="AK2313" s="12"/>
      <c r="AL2313" s="12"/>
      <c r="AM2313" s="12"/>
      <c r="AN2313" s="1"/>
      <c r="AO2313" s="6"/>
    </row>
    <row r="2314" spans="1:41" ht="15" x14ac:dyDescent="0.25">
      <c r="A2314" s="1"/>
      <c r="B2314" s="1"/>
      <c r="C2314" s="1"/>
      <c r="D2314" s="1"/>
      <c r="E2314" s="6"/>
      <c r="F2314" s="1"/>
      <c r="G2314" s="6"/>
      <c r="H2314" s="6"/>
      <c r="I2314" s="6"/>
      <c r="J2314" s="6"/>
      <c r="K2314" s="6"/>
      <c r="L2314" s="6"/>
      <c r="M2314" s="6"/>
      <c r="N2314" s="6"/>
      <c r="O2314" s="7"/>
      <c r="P2314" s="6"/>
      <c r="Q2314" s="6"/>
      <c r="R2314" s="7"/>
      <c r="S2314" s="6"/>
      <c r="T2314" s="6"/>
      <c r="U2314" s="7"/>
      <c r="V2314" s="6"/>
      <c r="W2314" s="6"/>
      <c r="X2314" s="6"/>
      <c r="Y2314" s="6"/>
      <c r="Z2314" s="6"/>
      <c r="AA2314" s="7"/>
      <c r="AB2314" s="6"/>
      <c r="AC2314" s="6"/>
      <c r="AD2314" s="6"/>
      <c r="AE2314" s="12"/>
      <c r="AF2314" s="12"/>
      <c r="AG2314" s="12"/>
      <c r="AH2314" s="12"/>
      <c r="AI2314" s="6"/>
      <c r="AJ2314" s="12"/>
      <c r="AK2314" s="1"/>
      <c r="AL2314" s="12"/>
      <c r="AM2314" s="12"/>
      <c r="AN2314" s="1"/>
      <c r="AO2314" s="12"/>
    </row>
    <row r="2315" spans="1:41" ht="15" x14ac:dyDescent="0.25">
      <c r="A2315" s="1"/>
      <c r="B2315" s="1"/>
      <c r="C2315" s="1"/>
      <c r="D2315" s="1"/>
      <c r="E2315" s="6"/>
      <c r="F2315" s="1"/>
      <c r="G2315" s="6"/>
      <c r="H2315" s="6"/>
      <c r="I2315" s="6"/>
      <c r="J2315" s="6"/>
      <c r="K2315" s="12"/>
      <c r="L2315" s="12"/>
      <c r="M2315" s="6"/>
      <c r="N2315" s="6"/>
      <c r="O2315" s="7"/>
      <c r="P2315" s="6"/>
      <c r="Q2315" s="6"/>
      <c r="R2315" s="7"/>
      <c r="S2315" s="6"/>
      <c r="T2315" s="6"/>
      <c r="U2315" s="7"/>
      <c r="V2315" s="6"/>
      <c r="W2315" s="6"/>
      <c r="X2315" s="12"/>
      <c r="Y2315" s="6"/>
      <c r="Z2315" s="6"/>
      <c r="AA2315" s="7"/>
      <c r="AB2315" s="6"/>
      <c r="AC2315" s="6"/>
      <c r="AD2315" s="6"/>
      <c r="AE2315" s="12"/>
      <c r="AF2315" s="12"/>
      <c r="AG2315" s="12"/>
      <c r="AH2315" s="12"/>
      <c r="AI2315" s="6"/>
      <c r="AJ2315" s="12"/>
      <c r="AK2315" s="24"/>
      <c r="AL2315" s="25"/>
      <c r="AM2315" s="12"/>
      <c r="AN2315" s="1"/>
      <c r="AO2315" s="6"/>
    </row>
    <row r="2316" spans="1:41" ht="15" x14ac:dyDescent="0.25">
      <c r="A2316" s="1"/>
      <c r="B2316" s="1"/>
      <c r="C2316" s="1"/>
      <c r="D2316" s="1"/>
      <c r="E2316" s="6"/>
      <c r="F2316" s="1"/>
      <c r="G2316" s="6"/>
      <c r="H2316" s="6"/>
      <c r="I2316" s="6"/>
      <c r="J2316" s="6"/>
      <c r="K2316" s="12"/>
      <c r="L2316" s="12"/>
      <c r="M2316" s="6"/>
      <c r="N2316" s="6"/>
      <c r="O2316" s="7"/>
      <c r="P2316" s="6"/>
      <c r="Q2316" s="6"/>
      <c r="R2316" s="12"/>
      <c r="S2316" s="12"/>
      <c r="T2316" s="12"/>
      <c r="U2316" s="15"/>
      <c r="V2316" s="6"/>
      <c r="W2316" s="6"/>
      <c r="X2316" s="12"/>
      <c r="Y2316" s="6"/>
      <c r="Z2316" s="6"/>
      <c r="AA2316" s="7"/>
      <c r="AB2316" s="6"/>
      <c r="AC2316" s="6"/>
      <c r="AD2316" s="6"/>
      <c r="AE2316" s="12"/>
      <c r="AF2316" s="12"/>
      <c r="AG2316" s="12"/>
      <c r="AH2316" s="12"/>
      <c r="AI2316" s="6"/>
      <c r="AJ2316" s="12"/>
      <c r="AK2316" s="1"/>
      <c r="AL2316" s="12"/>
      <c r="AM2316" s="12"/>
      <c r="AN2316" s="1"/>
      <c r="AO2316" s="6"/>
    </row>
    <row r="2317" spans="1:41" ht="15" x14ac:dyDescent="0.25">
      <c r="A2317" s="1"/>
      <c r="B2317" s="1"/>
      <c r="C2317" s="1"/>
      <c r="D2317" s="1"/>
      <c r="E2317" s="6"/>
      <c r="F2317" s="1"/>
      <c r="G2317" s="6"/>
      <c r="H2317" s="6"/>
      <c r="I2317" s="6"/>
      <c r="J2317" s="6"/>
      <c r="K2317" s="6"/>
      <c r="L2317" s="6"/>
      <c r="M2317" s="6"/>
      <c r="N2317" s="6"/>
      <c r="O2317" s="7"/>
      <c r="P2317" s="6"/>
      <c r="Q2317" s="7"/>
      <c r="R2317" s="6"/>
      <c r="S2317" s="6"/>
      <c r="T2317" s="6"/>
      <c r="U2317" s="6"/>
      <c r="V2317" s="7"/>
      <c r="W2317" s="6"/>
      <c r="X2317" s="6"/>
      <c r="Y2317" s="6"/>
      <c r="Z2317" s="6"/>
      <c r="AA2317" s="24"/>
      <c r="AB2317" s="25"/>
      <c r="AC2317" s="12"/>
      <c r="AD2317" s="12"/>
      <c r="AE2317" s="12"/>
      <c r="AF2317" s="6"/>
      <c r="AG2317" s="12"/>
      <c r="AH2317" s="6"/>
      <c r="AI2317" s="6"/>
      <c r="AJ2317" s="12"/>
      <c r="AK2317" s="12"/>
      <c r="AL2317" s="12"/>
      <c r="AM2317" s="12"/>
      <c r="AN2317" s="1"/>
      <c r="AO2317" s="6"/>
    </row>
    <row r="2318" spans="1:41" ht="15" x14ac:dyDescent="0.25">
      <c r="A2318" s="1"/>
      <c r="B2318" s="1"/>
      <c r="C2318" s="1"/>
      <c r="D2318" s="1"/>
      <c r="E2318" s="6"/>
      <c r="F2318" s="1"/>
      <c r="G2318" s="6"/>
      <c r="H2318" s="6"/>
      <c r="I2318" s="6"/>
      <c r="J2318" s="6"/>
      <c r="K2318" s="12"/>
      <c r="L2318" s="6"/>
      <c r="M2318" s="6"/>
      <c r="N2318" s="6"/>
      <c r="O2318" s="7"/>
      <c r="P2318" s="6"/>
      <c r="Q2318" s="6"/>
      <c r="R2318" s="7"/>
      <c r="S2318" s="6"/>
      <c r="T2318" s="6"/>
      <c r="U2318" s="7"/>
      <c r="V2318" s="6"/>
      <c r="W2318" s="6"/>
      <c r="X2318" s="12"/>
      <c r="Y2318" s="6"/>
      <c r="Z2318" s="6"/>
      <c r="AA2318" s="7"/>
      <c r="AB2318" s="6"/>
      <c r="AC2318" s="6"/>
      <c r="AD2318" s="6"/>
      <c r="AE2318" s="12"/>
      <c r="AF2318" s="6"/>
      <c r="AG2318" s="12"/>
      <c r="AH2318" s="6"/>
      <c r="AI2318" s="6"/>
      <c r="AJ2318" s="12"/>
      <c r="AK2318" s="1"/>
      <c r="AL2318" s="12"/>
      <c r="AM2318" s="12"/>
      <c r="AN2318" s="1"/>
      <c r="AO2318" s="6"/>
    </row>
    <row r="2319" spans="1:41" ht="15" x14ac:dyDescent="0.25">
      <c r="A2319" s="1"/>
      <c r="B2319" s="1"/>
      <c r="C2319" s="1"/>
      <c r="D2319" s="1"/>
      <c r="E2319" s="6"/>
      <c r="F2319" s="1"/>
      <c r="G2319" s="6"/>
      <c r="H2319" s="6"/>
      <c r="I2319" s="6"/>
      <c r="J2319" s="6"/>
      <c r="K2319" s="6"/>
      <c r="L2319" s="6"/>
      <c r="M2319" s="6"/>
      <c r="N2319" s="6"/>
      <c r="O2319" s="7"/>
      <c r="P2319" s="6"/>
      <c r="Q2319" s="6"/>
      <c r="R2319" s="7"/>
      <c r="S2319" s="6"/>
      <c r="T2319" s="6"/>
      <c r="U2319" s="7"/>
      <c r="V2319" s="6"/>
      <c r="W2319" s="6"/>
      <c r="X2319" s="6"/>
      <c r="Y2319" s="6"/>
      <c r="Z2319" s="6"/>
      <c r="AA2319" s="7"/>
      <c r="AB2319" s="6"/>
      <c r="AC2319" s="6"/>
      <c r="AD2319" s="6"/>
      <c r="AE2319" s="12"/>
      <c r="AF2319" s="6"/>
      <c r="AG2319" s="12"/>
      <c r="AH2319" s="6"/>
      <c r="AI2319" s="6"/>
      <c r="AJ2319" s="12"/>
      <c r="AK2319" s="24"/>
      <c r="AL2319" s="25"/>
      <c r="AM2319" s="12"/>
      <c r="AN2319" s="1"/>
      <c r="AO2319" s="6"/>
    </row>
    <row r="2320" spans="1:41" ht="15" x14ac:dyDescent="0.25">
      <c r="A2320" s="1"/>
      <c r="B2320" s="1"/>
      <c r="C2320" s="1"/>
      <c r="D2320" s="1"/>
      <c r="E2320" s="6"/>
      <c r="F2320" s="1"/>
      <c r="G2320" s="6"/>
      <c r="H2320" s="6"/>
      <c r="I2320" s="6"/>
      <c r="J2320" s="6"/>
      <c r="K2320" s="6"/>
      <c r="L2320" s="6"/>
      <c r="M2320" s="6"/>
      <c r="N2320" s="6"/>
      <c r="O2320" s="7"/>
      <c r="P2320" s="6"/>
      <c r="Q2320" s="6"/>
      <c r="R2320" s="7"/>
      <c r="S2320" s="6"/>
      <c r="T2320" s="6"/>
      <c r="U2320" s="7"/>
      <c r="V2320" s="6"/>
      <c r="W2320" s="6"/>
      <c r="X2320" s="12"/>
      <c r="Y2320" s="6"/>
      <c r="Z2320" s="6"/>
      <c r="AA2320" s="7"/>
      <c r="AB2320" s="6"/>
      <c r="AC2320" s="6"/>
      <c r="AD2320" s="6"/>
      <c r="AE2320" s="12"/>
      <c r="AF2320" s="6"/>
      <c r="AG2320" s="12"/>
      <c r="AH2320" s="6"/>
      <c r="AI2320" s="6"/>
      <c r="AJ2320" s="12"/>
      <c r="AK2320" s="24"/>
      <c r="AL2320" s="25"/>
      <c r="AM2320" s="12"/>
      <c r="AN2320" s="1"/>
      <c r="AO2320" s="6"/>
    </row>
    <row r="2321" spans="1:41" ht="15" x14ac:dyDescent="0.25">
      <c r="A2321" s="1"/>
      <c r="B2321" s="1"/>
      <c r="C2321" s="1"/>
      <c r="D2321" s="1"/>
      <c r="E2321" s="6"/>
      <c r="F2321" s="1"/>
      <c r="G2321" s="6"/>
      <c r="H2321" s="6"/>
      <c r="I2321" s="6"/>
      <c r="J2321" s="6"/>
      <c r="K2321" s="6"/>
      <c r="L2321" s="6"/>
      <c r="M2321" s="6"/>
      <c r="N2321" s="6"/>
      <c r="O2321" s="7"/>
      <c r="P2321" s="6"/>
      <c r="Q2321" s="6"/>
      <c r="R2321" s="7"/>
      <c r="S2321" s="6"/>
      <c r="T2321" s="6"/>
      <c r="U2321" s="7"/>
      <c r="V2321" s="6"/>
      <c r="W2321" s="6"/>
      <c r="X2321" s="12"/>
      <c r="Y2321" s="6"/>
      <c r="Z2321" s="6"/>
      <c r="AA2321" s="7"/>
      <c r="AB2321" s="6"/>
      <c r="AC2321" s="6"/>
      <c r="AD2321" s="6"/>
      <c r="AE2321" s="12"/>
      <c r="AF2321" s="6"/>
      <c r="AG2321" s="12"/>
      <c r="AH2321" s="6"/>
      <c r="AI2321" s="6"/>
      <c r="AJ2321" s="12"/>
      <c r="AK2321" s="1"/>
      <c r="AL2321" s="12"/>
      <c r="AM2321" s="12"/>
      <c r="AN2321" s="1"/>
      <c r="AO2321" s="6"/>
    </row>
    <row r="2322" spans="1:41" ht="15" x14ac:dyDescent="0.25">
      <c r="A2322" s="1"/>
      <c r="B2322" s="1"/>
      <c r="C2322" s="1"/>
      <c r="D2322" s="1"/>
      <c r="E2322" s="6"/>
      <c r="F2322" s="1"/>
      <c r="G2322" s="6"/>
      <c r="H2322" s="6"/>
      <c r="I2322" s="6"/>
      <c r="J2322" s="6"/>
      <c r="K2322" s="6"/>
      <c r="L2322" s="6"/>
      <c r="M2322" s="6"/>
      <c r="N2322" s="6"/>
      <c r="O2322" s="7"/>
      <c r="P2322" s="6"/>
      <c r="Q2322" s="7"/>
      <c r="R2322" s="6"/>
      <c r="S2322" s="6"/>
      <c r="T2322" s="6"/>
      <c r="U2322" s="6"/>
      <c r="V2322" s="7"/>
      <c r="W2322" s="7"/>
      <c r="X2322" s="6"/>
      <c r="Y2322" s="6"/>
      <c r="Z2322" s="6"/>
      <c r="AA2322" s="1"/>
      <c r="AB2322" s="12"/>
      <c r="AC2322" s="12"/>
      <c r="AD2322" s="12"/>
      <c r="AE2322" s="12"/>
      <c r="AF2322" s="12"/>
      <c r="AG2322" s="12"/>
      <c r="AH2322" s="12"/>
      <c r="AI2322" s="6"/>
      <c r="AJ2322" s="12"/>
      <c r="AK2322" s="12"/>
      <c r="AL2322" s="12"/>
      <c r="AM2322" s="12"/>
      <c r="AN2322" s="1"/>
      <c r="AO2322" s="6"/>
    </row>
    <row r="2323" spans="1:41" ht="15" x14ac:dyDescent="0.25">
      <c r="A2323" s="1"/>
      <c r="B2323" s="1"/>
      <c r="C2323" s="1"/>
      <c r="D2323" s="1"/>
      <c r="E2323" s="6"/>
      <c r="F2323" s="1"/>
      <c r="G2323" s="6"/>
      <c r="H2323" s="6"/>
      <c r="I2323" s="6"/>
      <c r="J2323" s="6"/>
      <c r="K2323" s="6"/>
      <c r="L2323" s="6"/>
      <c r="M2323" s="6"/>
      <c r="N2323" s="6"/>
      <c r="O2323" s="7"/>
      <c r="P2323" s="6"/>
      <c r="Q2323" s="6"/>
      <c r="R2323" s="7"/>
      <c r="S2323" s="6"/>
      <c r="T2323" s="6"/>
      <c r="U2323" s="7"/>
      <c r="V2323" s="6"/>
      <c r="W2323" s="6"/>
      <c r="X2323" s="12"/>
      <c r="Y2323" s="6"/>
      <c r="Z2323" s="6"/>
      <c r="AA2323" s="7"/>
      <c r="AB2323" s="6"/>
      <c r="AC2323" s="6"/>
      <c r="AD2323" s="6"/>
      <c r="AE2323" s="12"/>
      <c r="AF2323" s="6"/>
      <c r="AG2323" s="12"/>
      <c r="AH2323" s="6"/>
      <c r="AI2323" s="6"/>
      <c r="AJ2323" s="12"/>
      <c r="AK2323" s="24"/>
      <c r="AL2323" s="25"/>
      <c r="AM2323" s="12"/>
      <c r="AN2323" s="1"/>
      <c r="AO2323" s="6"/>
    </row>
    <row r="2324" spans="1:41" ht="15" x14ac:dyDescent="0.25">
      <c r="A2324" s="1"/>
      <c r="B2324" s="1"/>
      <c r="C2324" s="1"/>
      <c r="D2324" s="1"/>
      <c r="E2324" s="6"/>
      <c r="F2324" s="1"/>
      <c r="G2324" s="6"/>
      <c r="H2324" s="6"/>
      <c r="I2324" s="6"/>
      <c r="J2324" s="6"/>
      <c r="K2324" s="6"/>
      <c r="L2324" s="6"/>
      <c r="M2324" s="6"/>
      <c r="N2324" s="6"/>
      <c r="O2324" s="7"/>
      <c r="P2324" s="6"/>
      <c r="Q2324" s="6"/>
      <c r="R2324" s="7"/>
      <c r="S2324" s="6"/>
      <c r="T2324" s="6"/>
      <c r="U2324" s="7"/>
      <c r="V2324" s="6"/>
      <c r="W2324" s="6"/>
      <c r="X2324" s="6"/>
      <c r="Y2324" s="6"/>
      <c r="Z2324" s="6"/>
      <c r="AA2324" s="7"/>
      <c r="AB2324" s="6"/>
      <c r="AC2324" s="6"/>
      <c r="AD2324" s="6"/>
      <c r="AE2324" s="12"/>
      <c r="AF2324" s="12"/>
      <c r="AG2324" s="12"/>
      <c r="AH2324" s="12"/>
      <c r="AI2324" s="6"/>
      <c r="AJ2324" s="12"/>
      <c r="AK2324" s="1"/>
      <c r="AL2324" s="12"/>
      <c r="AM2324" s="12"/>
      <c r="AN2324" s="1"/>
      <c r="AO2324" s="6"/>
    </row>
    <row r="2325" spans="1:41" ht="15" x14ac:dyDescent="0.25">
      <c r="A2325" s="1"/>
      <c r="B2325" s="1"/>
      <c r="C2325" s="1"/>
      <c r="D2325" s="1"/>
      <c r="E2325" s="6"/>
      <c r="F2325" s="1"/>
      <c r="G2325" s="6"/>
      <c r="H2325" s="6"/>
      <c r="I2325" s="6"/>
      <c r="J2325" s="6"/>
      <c r="K2325" s="6"/>
      <c r="L2325" s="6"/>
      <c r="M2325" s="6"/>
      <c r="N2325" s="6"/>
      <c r="O2325" s="7"/>
      <c r="P2325" s="6"/>
      <c r="Q2325" s="6"/>
      <c r="R2325" s="15"/>
      <c r="S2325" s="6"/>
      <c r="T2325" s="6"/>
      <c r="U2325" s="15"/>
      <c r="V2325" s="6"/>
      <c r="W2325" s="6"/>
      <c r="X2325" s="12"/>
      <c r="Y2325" s="6"/>
      <c r="Z2325" s="6"/>
      <c r="AA2325" s="7"/>
      <c r="AB2325" s="6"/>
      <c r="AC2325" s="6"/>
      <c r="AD2325" s="6"/>
      <c r="AE2325" s="12"/>
      <c r="AF2325" s="12"/>
      <c r="AG2325" s="12"/>
      <c r="AH2325" s="12"/>
      <c r="AI2325" s="6"/>
      <c r="AJ2325" s="12"/>
      <c r="AK2325" s="1"/>
      <c r="AL2325" s="12"/>
      <c r="AM2325" s="12"/>
      <c r="AN2325" s="1"/>
      <c r="AO2325" s="6"/>
    </row>
    <row r="2326" spans="1:41" ht="15" x14ac:dyDescent="0.25">
      <c r="A2326" s="1"/>
      <c r="B2326" s="1"/>
      <c r="C2326" s="1"/>
      <c r="D2326" s="1"/>
      <c r="E2326" s="6"/>
      <c r="F2326" s="1"/>
      <c r="G2326" s="6"/>
      <c r="H2326" s="6"/>
      <c r="I2326" s="6"/>
      <c r="J2326" s="6"/>
      <c r="K2326" s="6"/>
      <c r="L2326" s="6"/>
      <c r="M2326" s="6"/>
      <c r="N2326" s="6"/>
      <c r="O2326" s="7"/>
      <c r="P2326" s="6"/>
      <c r="Q2326" s="6"/>
      <c r="R2326" s="7"/>
      <c r="S2326" s="6"/>
      <c r="T2326" s="6"/>
      <c r="U2326" s="7"/>
      <c r="V2326" s="6"/>
      <c r="W2326" s="6"/>
      <c r="X2326" s="6"/>
      <c r="Y2326" s="6"/>
      <c r="Z2326" s="6"/>
      <c r="AA2326" s="7"/>
      <c r="AB2326" s="6"/>
      <c r="AC2326" s="6"/>
      <c r="AD2326" s="6"/>
      <c r="AE2326" s="12"/>
      <c r="AF2326" s="6"/>
      <c r="AG2326" s="12"/>
      <c r="AH2326" s="6"/>
      <c r="AI2326" s="6"/>
      <c r="AJ2326" s="12"/>
      <c r="AK2326" s="24"/>
      <c r="AL2326" s="25"/>
      <c r="AM2326" s="12"/>
      <c r="AN2326" s="1"/>
      <c r="AO2326" s="6"/>
    </row>
    <row r="2327" spans="1:41" ht="15" x14ac:dyDescent="0.25">
      <c r="A2327" s="1"/>
      <c r="B2327" s="1"/>
      <c r="C2327" s="1"/>
      <c r="D2327" s="1"/>
      <c r="E2327" s="6"/>
      <c r="F2327" s="1"/>
      <c r="G2327" s="6"/>
      <c r="H2327" s="6"/>
      <c r="I2327" s="6"/>
      <c r="J2327" s="6"/>
      <c r="K2327" s="6"/>
      <c r="L2327" s="6"/>
      <c r="M2327" s="6"/>
      <c r="N2327" s="6"/>
      <c r="O2327" s="7"/>
      <c r="P2327" s="6"/>
      <c r="Q2327" s="6"/>
      <c r="R2327" s="7"/>
      <c r="S2327" s="6"/>
      <c r="T2327" s="6"/>
      <c r="U2327" s="7"/>
      <c r="V2327" s="6"/>
      <c r="W2327" s="6"/>
      <c r="X2327" s="6"/>
      <c r="Y2327" s="6"/>
      <c r="Z2327" s="6"/>
      <c r="AA2327" s="7"/>
      <c r="AB2327" s="6"/>
      <c r="AC2327" s="6"/>
      <c r="AD2327" s="6"/>
      <c r="AE2327" s="12"/>
      <c r="AF2327" s="6"/>
      <c r="AG2327" s="12"/>
      <c r="AH2327" s="6"/>
      <c r="AI2327" s="6"/>
      <c r="AJ2327" s="12"/>
      <c r="AK2327" s="1"/>
      <c r="AL2327" s="12"/>
      <c r="AM2327" s="12"/>
      <c r="AN2327" s="1"/>
      <c r="AO2327" s="6"/>
    </row>
    <row r="2328" spans="1:41" ht="15" x14ac:dyDescent="0.25">
      <c r="A2328" s="1"/>
      <c r="B2328" s="1"/>
      <c r="C2328" s="1"/>
      <c r="D2328" s="1"/>
      <c r="E2328" s="6"/>
      <c r="F2328" s="1"/>
      <c r="G2328" s="6"/>
      <c r="H2328" s="6"/>
      <c r="I2328" s="6"/>
      <c r="J2328" s="6"/>
      <c r="K2328" s="6"/>
      <c r="L2328" s="6"/>
      <c r="M2328" s="6"/>
      <c r="N2328" s="6"/>
      <c r="O2328" s="7"/>
      <c r="P2328" s="6"/>
      <c r="Q2328" s="6"/>
      <c r="R2328" s="12"/>
      <c r="S2328" s="12"/>
      <c r="T2328" s="12"/>
      <c r="U2328" s="6"/>
      <c r="V2328" s="12"/>
      <c r="W2328" s="12"/>
      <c r="X2328" s="12"/>
      <c r="Y2328" s="6"/>
      <c r="Z2328" s="6"/>
      <c r="AA2328" s="7"/>
      <c r="AB2328" s="6"/>
      <c r="AC2328" s="6"/>
      <c r="AD2328" s="6"/>
      <c r="AE2328" s="12"/>
      <c r="AF2328" s="12"/>
      <c r="AG2328" s="12"/>
      <c r="AH2328" s="12"/>
      <c r="AI2328" s="6"/>
      <c r="AJ2328" s="12"/>
      <c r="AK2328" s="1"/>
      <c r="AL2328" s="12"/>
      <c r="AM2328" s="12"/>
      <c r="AN2328" s="1"/>
      <c r="AO2328" s="6"/>
    </row>
    <row r="2329" spans="1:41" ht="15" x14ac:dyDescent="0.25">
      <c r="A2329" s="1"/>
      <c r="B2329" s="1"/>
      <c r="C2329" s="1"/>
      <c r="D2329" s="1"/>
      <c r="E2329" s="6"/>
      <c r="F2329" s="1"/>
      <c r="G2329" s="6"/>
      <c r="H2329" s="6"/>
      <c r="I2329" s="6"/>
      <c r="J2329" s="6"/>
      <c r="K2329" s="6"/>
      <c r="L2329" s="6"/>
      <c r="M2329" s="6"/>
      <c r="N2329" s="6"/>
      <c r="O2329" s="7"/>
      <c r="P2329" s="6"/>
      <c r="Q2329" s="6"/>
      <c r="R2329" s="7"/>
      <c r="S2329" s="6"/>
      <c r="T2329" s="6"/>
      <c r="U2329" s="7"/>
      <c r="V2329" s="6"/>
      <c r="W2329" s="6"/>
      <c r="X2329" s="12"/>
      <c r="Y2329" s="6"/>
      <c r="Z2329" s="6"/>
      <c r="AA2329" s="7"/>
      <c r="AB2329" s="6"/>
      <c r="AC2329" s="6"/>
      <c r="AD2329" s="6"/>
      <c r="AE2329" s="12"/>
      <c r="AF2329" s="6"/>
      <c r="AG2329" s="12"/>
      <c r="AH2329" s="6"/>
      <c r="AI2329" s="6"/>
      <c r="AJ2329" s="12"/>
      <c r="AK2329" s="24"/>
      <c r="AL2329" s="25"/>
      <c r="AM2329" s="12"/>
      <c r="AN2329" s="1"/>
      <c r="AO2329" s="6"/>
    </row>
    <row r="2330" spans="1:41" ht="15" x14ac:dyDescent="0.25">
      <c r="A2330" s="1"/>
      <c r="B2330" s="1"/>
      <c r="C2330" s="1"/>
      <c r="D2330" s="1"/>
      <c r="E2330" s="6"/>
      <c r="F2330" s="1"/>
      <c r="G2330" s="6"/>
      <c r="H2330" s="6"/>
      <c r="I2330" s="6"/>
      <c r="J2330" s="6"/>
      <c r="K2330" s="12"/>
      <c r="L2330" s="12"/>
      <c r="M2330" s="6"/>
      <c r="N2330" s="6"/>
      <c r="O2330" s="7"/>
      <c r="P2330" s="6"/>
      <c r="Q2330" s="6"/>
      <c r="R2330" s="7"/>
      <c r="S2330" s="6"/>
      <c r="T2330" s="6"/>
      <c r="U2330" s="7"/>
      <c r="V2330" s="6"/>
      <c r="W2330" s="6"/>
      <c r="X2330" s="12"/>
      <c r="Y2330" s="6"/>
      <c r="Z2330" s="6"/>
      <c r="AA2330" s="7"/>
      <c r="AB2330" s="6"/>
      <c r="AC2330" s="6"/>
      <c r="AD2330" s="6"/>
      <c r="AE2330" s="12"/>
      <c r="AF2330" s="12"/>
      <c r="AG2330" s="12"/>
      <c r="AH2330" s="12"/>
      <c r="AI2330" s="6"/>
      <c r="AJ2330" s="12"/>
      <c r="AK2330" s="1"/>
      <c r="AL2330" s="12"/>
      <c r="AM2330" s="12"/>
      <c r="AN2330" s="1"/>
      <c r="AO2330" s="12"/>
    </row>
    <row r="2331" spans="1:41" ht="15" x14ac:dyDescent="0.25">
      <c r="A2331" s="1"/>
      <c r="B2331" s="1"/>
      <c r="C2331" s="1"/>
      <c r="D2331" s="1"/>
      <c r="E2331" s="6"/>
      <c r="F2331" s="1"/>
      <c r="G2331" s="6"/>
      <c r="H2331" s="6"/>
      <c r="I2331" s="6"/>
      <c r="J2331" s="6"/>
      <c r="K2331" s="6"/>
      <c r="L2331" s="6"/>
      <c r="M2331" s="6"/>
      <c r="N2331" s="6"/>
      <c r="O2331" s="7"/>
      <c r="P2331" s="6"/>
      <c r="Q2331" s="6"/>
      <c r="R2331" s="7"/>
      <c r="S2331" s="6"/>
      <c r="T2331" s="6"/>
      <c r="U2331" s="7"/>
      <c r="V2331" s="6"/>
      <c r="W2331" s="6"/>
      <c r="X2331" s="12"/>
      <c r="Y2331" s="6"/>
      <c r="Z2331" s="6"/>
      <c r="AA2331" s="7"/>
      <c r="AB2331" s="6"/>
      <c r="AC2331" s="6"/>
      <c r="AD2331" s="6"/>
      <c r="AE2331" s="12"/>
      <c r="AF2331" s="6"/>
      <c r="AG2331" s="12"/>
      <c r="AH2331" s="6"/>
      <c r="AI2331" s="6"/>
      <c r="AJ2331" s="12"/>
      <c r="AK2331" s="1"/>
      <c r="AL2331" s="12"/>
      <c r="AM2331" s="12"/>
      <c r="AN2331" s="1"/>
      <c r="AO2331" s="6"/>
    </row>
    <row r="2332" spans="1:41" ht="15" x14ac:dyDescent="0.25">
      <c r="A2332" s="1"/>
      <c r="B2332" s="1"/>
      <c r="C2332" s="1"/>
      <c r="D2332" s="1"/>
      <c r="E2332" s="6"/>
      <c r="F2332" s="1"/>
      <c r="G2332" s="6"/>
      <c r="H2332" s="6"/>
      <c r="I2332" s="6"/>
      <c r="J2332" s="6"/>
      <c r="K2332" s="6"/>
      <c r="L2332" s="6"/>
      <c r="M2332" s="6"/>
      <c r="N2332" s="6"/>
      <c r="O2332" s="7"/>
      <c r="P2332" s="6"/>
      <c r="Q2332" s="6"/>
      <c r="R2332" s="7"/>
      <c r="S2332" s="6"/>
      <c r="T2332" s="6"/>
      <c r="U2332" s="7"/>
      <c r="V2332" s="6"/>
      <c r="W2332" s="6"/>
      <c r="X2332" s="6"/>
      <c r="Y2332" s="6"/>
      <c r="Z2332" s="6"/>
      <c r="AA2332" s="7"/>
      <c r="AB2332" s="6"/>
      <c r="AC2332" s="6"/>
      <c r="AD2332" s="6"/>
      <c r="AE2332" s="12"/>
      <c r="AF2332" s="6"/>
      <c r="AG2332" s="12"/>
      <c r="AH2332" s="6"/>
      <c r="AI2332" s="6"/>
      <c r="AJ2332" s="12"/>
      <c r="AK2332" s="24"/>
      <c r="AL2332" s="25"/>
      <c r="AM2332" s="12"/>
      <c r="AN2332" s="1"/>
      <c r="AO2332" s="6"/>
    </row>
    <row r="2333" spans="1:41" ht="15" x14ac:dyDescent="0.25">
      <c r="A2333" s="1"/>
      <c r="B2333" s="1"/>
      <c r="C2333" s="1"/>
      <c r="D2333" s="1"/>
      <c r="E2333" s="6"/>
      <c r="F2333" s="1"/>
      <c r="G2333" s="6"/>
      <c r="H2333" s="6"/>
      <c r="I2333" s="6"/>
      <c r="J2333" s="6"/>
      <c r="K2333" s="6"/>
      <c r="L2333" s="6"/>
      <c r="M2333" s="6"/>
      <c r="N2333" s="6"/>
      <c r="O2333" s="7"/>
      <c r="P2333" s="6"/>
      <c r="Q2333" s="6"/>
      <c r="R2333" s="7"/>
      <c r="S2333" s="6"/>
      <c r="T2333" s="6"/>
      <c r="U2333" s="7"/>
      <c r="V2333" s="6"/>
      <c r="W2333" s="6"/>
      <c r="X2333" s="12"/>
      <c r="Y2333" s="6"/>
      <c r="Z2333" s="6"/>
      <c r="AA2333" s="7"/>
      <c r="AB2333" s="6"/>
      <c r="AC2333" s="6"/>
      <c r="AD2333" s="6"/>
      <c r="AE2333" s="12"/>
      <c r="AF2333" s="12"/>
      <c r="AG2333" s="12"/>
      <c r="AH2333" s="12"/>
      <c r="AI2333" s="6"/>
      <c r="AJ2333" s="12"/>
      <c r="AK2333" s="1"/>
      <c r="AL2333" s="12"/>
      <c r="AM2333" s="12"/>
      <c r="AN2333" s="1"/>
      <c r="AO2333" s="6"/>
    </row>
    <row r="2334" spans="1:41" ht="15" x14ac:dyDescent="0.25">
      <c r="A2334" s="1"/>
      <c r="B2334" s="1"/>
      <c r="C2334" s="1"/>
      <c r="D2334" s="1"/>
      <c r="E2334" s="6"/>
      <c r="F2334" s="1"/>
      <c r="G2334" s="6"/>
      <c r="H2334" s="6"/>
      <c r="I2334" s="6"/>
      <c r="J2334" s="6"/>
      <c r="K2334" s="6"/>
      <c r="L2334" s="6"/>
      <c r="M2334" s="6"/>
      <c r="N2334" s="6"/>
      <c r="O2334" s="7"/>
      <c r="P2334" s="6"/>
      <c r="Q2334" s="6"/>
      <c r="R2334" s="7"/>
      <c r="S2334" s="6"/>
      <c r="T2334" s="6"/>
      <c r="U2334" s="7"/>
      <c r="V2334" s="6"/>
      <c r="W2334" s="6"/>
      <c r="X2334" s="6"/>
      <c r="Y2334" s="6"/>
      <c r="Z2334" s="6"/>
      <c r="AA2334" s="7"/>
      <c r="AB2334" s="6"/>
      <c r="AC2334" s="6"/>
      <c r="AD2334" s="6"/>
      <c r="AE2334" s="12"/>
      <c r="AF2334" s="6"/>
      <c r="AG2334" s="12"/>
      <c r="AH2334" s="6"/>
      <c r="AI2334" s="6"/>
      <c r="AJ2334" s="12"/>
      <c r="AK2334" s="24"/>
      <c r="AL2334" s="25"/>
      <c r="AM2334" s="12"/>
      <c r="AN2334" s="1"/>
      <c r="AO2334" s="6"/>
    </row>
    <row r="2335" spans="1:41" ht="15" x14ac:dyDescent="0.25">
      <c r="A2335" s="1"/>
      <c r="B2335" s="1"/>
      <c r="C2335" s="1"/>
      <c r="D2335" s="1"/>
      <c r="E2335" s="6"/>
      <c r="F2335" s="1"/>
      <c r="G2335" s="6"/>
      <c r="H2335" s="6"/>
      <c r="I2335" s="6"/>
      <c r="J2335" s="6"/>
      <c r="K2335" s="12"/>
      <c r="L2335" s="12"/>
      <c r="M2335" s="6"/>
      <c r="N2335" s="6"/>
      <c r="O2335" s="7"/>
      <c r="P2335" s="6"/>
      <c r="Q2335" s="7"/>
      <c r="R2335" s="6"/>
      <c r="S2335" s="6"/>
      <c r="T2335" s="6"/>
      <c r="U2335" s="6"/>
      <c r="V2335" s="7"/>
      <c r="W2335" s="7"/>
      <c r="X2335" s="6"/>
      <c r="Y2335" s="6"/>
      <c r="Z2335" s="6"/>
      <c r="AA2335" s="1"/>
      <c r="AB2335" s="12"/>
      <c r="AC2335" s="12"/>
      <c r="AD2335" s="12"/>
      <c r="AE2335" s="12"/>
      <c r="AF2335" s="12"/>
      <c r="AG2335" s="12"/>
      <c r="AH2335" s="12"/>
      <c r="AI2335" s="6"/>
      <c r="AJ2335" s="12"/>
      <c r="AK2335" s="12"/>
      <c r="AL2335" s="12"/>
      <c r="AM2335" s="12"/>
      <c r="AN2335" s="1"/>
      <c r="AO2335" s="6"/>
    </row>
    <row r="2336" spans="1:41" ht="15" x14ac:dyDescent="0.25">
      <c r="A2336" s="1"/>
      <c r="B2336" s="1"/>
      <c r="C2336" s="1"/>
      <c r="D2336" s="1"/>
      <c r="E2336" s="6"/>
      <c r="F2336" s="1"/>
      <c r="G2336" s="6"/>
      <c r="H2336" s="6"/>
      <c r="I2336" s="6"/>
      <c r="J2336" s="6"/>
      <c r="K2336" s="6"/>
      <c r="L2336" s="6"/>
      <c r="M2336" s="6"/>
      <c r="N2336" s="6"/>
      <c r="O2336" s="7"/>
      <c r="P2336" s="6"/>
      <c r="Q2336" s="6"/>
      <c r="R2336" s="7"/>
      <c r="S2336" s="6"/>
      <c r="T2336" s="6"/>
      <c r="U2336" s="7"/>
      <c r="V2336" s="6"/>
      <c r="W2336" s="6"/>
      <c r="X2336" s="6"/>
      <c r="Y2336" s="6"/>
      <c r="Z2336" s="6"/>
      <c r="AA2336" s="7"/>
      <c r="AB2336" s="6"/>
      <c r="AC2336" s="6"/>
      <c r="AD2336" s="6"/>
      <c r="AE2336" s="12"/>
      <c r="AF2336" s="6"/>
      <c r="AG2336" s="12"/>
      <c r="AH2336" s="6"/>
      <c r="AI2336" s="6"/>
      <c r="AJ2336" s="12"/>
      <c r="AK2336" s="24"/>
      <c r="AL2336" s="25"/>
      <c r="AM2336" s="12"/>
      <c r="AN2336" s="1"/>
      <c r="AO2336" s="6"/>
    </row>
    <row r="2337" spans="1:41" ht="15" x14ac:dyDescent="0.25">
      <c r="A2337" s="1"/>
      <c r="B2337" s="1"/>
      <c r="C2337" s="1"/>
      <c r="D2337" s="1"/>
      <c r="E2337" s="6"/>
      <c r="F2337" s="1"/>
      <c r="G2337" s="6"/>
      <c r="H2337" s="6"/>
      <c r="I2337" s="6"/>
      <c r="J2337" s="6"/>
      <c r="K2337" s="6"/>
      <c r="L2337" s="6"/>
      <c r="M2337" s="6"/>
      <c r="N2337" s="6"/>
      <c r="O2337" s="7"/>
      <c r="P2337" s="6"/>
      <c r="Q2337" s="6"/>
      <c r="R2337" s="7"/>
      <c r="S2337" s="6"/>
      <c r="T2337" s="6"/>
      <c r="U2337" s="7"/>
      <c r="V2337" s="6"/>
      <c r="W2337" s="6"/>
      <c r="X2337" s="12"/>
      <c r="Y2337" s="6"/>
      <c r="Z2337" s="6"/>
      <c r="AA2337" s="7"/>
      <c r="AB2337" s="6"/>
      <c r="AC2337" s="6"/>
      <c r="AD2337" s="6"/>
      <c r="AE2337" s="12"/>
      <c r="AF2337" s="6"/>
      <c r="AG2337" s="12"/>
      <c r="AH2337" s="6"/>
      <c r="AI2337" s="6"/>
      <c r="AJ2337" s="12"/>
      <c r="AK2337" s="24"/>
      <c r="AL2337" s="25"/>
      <c r="AM2337" s="12"/>
      <c r="AN2337" s="1"/>
      <c r="AO2337" s="6"/>
    </row>
    <row r="2338" spans="1:41" ht="15" x14ac:dyDescent="0.25">
      <c r="A2338" s="1"/>
      <c r="B2338" s="1"/>
      <c r="C2338" s="1"/>
      <c r="D2338" s="1"/>
      <c r="E2338" s="6"/>
      <c r="F2338" s="1"/>
      <c r="G2338" s="6"/>
      <c r="H2338" s="6"/>
      <c r="I2338" s="6"/>
      <c r="J2338" s="6"/>
      <c r="K2338" s="6"/>
      <c r="L2338" s="6"/>
      <c r="M2338" s="6"/>
      <c r="N2338" s="6"/>
      <c r="O2338" s="7"/>
      <c r="P2338" s="6"/>
      <c r="Q2338" s="6"/>
      <c r="R2338" s="7"/>
      <c r="S2338" s="6"/>
      <c r="T2338" s="6"/>
      <c r="U2338" s="7"/>
      <c r="V2338" s="6"/>
      <c r="W2338" s="6"/>
      <c r="X2338" s="6"/>
      <c r="Y2338" s="6"/>
      <c r="Z2338" s="6"/>
      <c r="AA2338" s="7"/>
      <c r="AB2338" s="6"/>
      <c r="AC2338" s="6"/>
      <c r="AD2338" s="6"/>
      <c r="AE2338" s="12"/>
      <c r="AF2338" s="6"/>
      <c r="AG2338" s="12"/>
      <c r="AH2338" s="6"/>
      <c r="AI2338" s="6"/>
      <c r="AJ2338" s="12"/>
      <c r="AK2338" s="24"/>
      <c r="AL2338" s="25"/>
      <c r="AM2338" s="12"/>
      <c r="AN2338" s="1"/>
      <c r="AO2338" s="6"/>
    </row>
    <row r="2339" spans="1:41" ht="15" x14ac:dyDescent="0.25">
      <c r="A2339" s="1"/>
      <c r="B2339" s="1"/>
      <c r="C2339" s="1"/>
      <c r="D2339" s="1"/>
      <c r="E2339" s="6"/>
      <c r="F2339" s="1"/>
      <c r="G2339" s="6"/>
      <c r="H2339" s="6"/>
      <c r="I2339" s="6"/>
      <c r="J2339" s="6"/>
      <c r="K2339" s="12"/>
      <c r="L2339" s="12"/>
      <c r="M2339" s="6"/>
      <c r="N2339" s="6"/>
      <c r="O2339" s="7"/>
      <c r="P2339" s="6"/>
      <c r="Q2339" s="6"/>
      <c r="R2339" s="7"/>
      <c r="S2339" s="6"/>
      <c r="T2339" s="6"/>
      <c r="U2339" s="7"/>
      <c r="V2339" s="6"/>
      <c r="W2339" s="6"/>
      <c r="X2339" s="12"/>
      <c r="Y2339" s="6"/>
      <c r="Z2339" s="6"/>
      <c r="AA2339" s="7"/>
      <c r="AB2339" s="6"/>
      <c r="AC2339" s="6"/>
      <c r="AD2339" s="6"/>
      <c r="AE2339" s="12"/>
      <c r="AF2339" s="12"/>
      <c r="AG2339" s="12"/>
      <c r="AH2339" s="12"/>
      <c r="AI2339" s="6"/>
      <c r="AJ2339" s="12"/>
      <c r="AK2339" s="1"/>
      <c r="AL2339" s="12"/>
      <c r="AM2339" s="12"/>
      <c r="AN2339" s="1"/>
      <c r="AO2339" s="6"/>
    </row>
    <row r="2340" spans="1:41" ht="15" x14ac:dyDescent="0.25">
      <c r="A2340" s="1"/>
      <c r="B2340" s="1"/>
      <c r="C2340" s="1"/>
      <c r="D2340" s="1"/>
      <c r="E2340" s="6"/>
      <c r="F2340" s="1"/>
      <c r="G2340" s="6"/>
      <c r="H2340" s="6"/>
      <c r="I2340" s="6"/>
      <c r="J2340" s="6"/>
      <c r="K2340" s="6"/>
      <c r="L2340" s="6"/>
      <c r="M2340" s="6"/>
      <c r="N2340" s="6"/>
      <c r="O2340" s="7"/>
      <c r="P2340" s="6"/>
      <c r="Q2340" s="6"/>
      <c r="R2340" s="7"/>
      <c r="S2340" s="6"/>
      <c r="T2340" s="6"/>
      <c r="U2340" s="7"/>
      <c r="V2340" s="6"/>
      <c r="W2340" s="6"/>
      <c r="X2340" s="12"/>
      <c r="Y2340" s="6"/>
      <c r="Z2340" s="6"/>
      <c r="AA2340" s="7"/>
      <c r="AB2340" s="6"/>
      <c r="AC2340" s="6"/>
      <c r="AD2340" s="6"/>
      <c r="AE2340" s="12"/>
      <c r="AF2340" s="12"/>
      <c r="AG2340" s="12"/>
      <c r="AH2340" s="12"/>
      <c r="AI2340" s="6"/>
      <c r="AJ2340" s="12"/>
      <c r="AK2340" s="1"/>
      <c r="AL2340" s="12"/>
      <c r="AM2340" s="12"/>
      <c r="AN2340" s="1"/>
      <c r="AO2340" s="6"/>
    </row>
    <row r="2341" spans="1:41" ht="15" x14ac:dyDescent="0.25">
      <c r="A2341" s="1"/>
      <c r="B2341" s="1"/>
      <c r="C2341" s="1"/>
      <c r="D2341" s="1"/>
      <c r="E2341" s="6"/>
      <c r="F2341" s="1"/>
      <c r="G2341" s="6"/>
      <c r="H2341" s="6"/>
      <c r="I2341" s="6"/>
      <c r="J2341" s="6"/>
      <c r="K2341" s="12"/>
      <c r="L2341" s="12"/>
      <c r="M2341" s="6"/>
      <c r="N2341" s="6"/>
      <c r="O2341" s="7"/>
      <c r="P2341" s="6"/>
      <c r="Q2341" s="7"/>
      <c r="R2341" s="6"/>
      <c r="S2341" s="6"/>
      <c r="T2341" s="6"/>
      <c r="U2341" s="6"/>
      <c r="V2341" s="7"/>
      <c r="W2341" s="7"/>
      <c r="X2341" s="6"/>
      <c r="Y2341" s="6"/>
      <c r="Z2341" s="6"/>
      <c r="AA2341" s="1"/>
      <c r="AB2341" s="12"/>
      <c r="AC2341" s="12"/>
      <c r="AD2341" s="12"/>
      <c r="AE2341" s="12"/>
      <c r="AF2341" s="12"/>
      <c r="AG2341" s="12"/>
      <c r="AH2341" s="12"/>
      <c r="AI2341" s="6"/>
      <c r="AJ2341" s="12"/>
      <c r="AK2341" s="12"/>
      <c r="AL2341" s="12"/>
      <c r="AM2341" s="12"/>
      <c r="AN2341" s="1"/>
      <c r="AO2341" s="6"/>
    </row>
    <row r="2342" spans="1:41" ht="15" x14ac:dyDescent="0.25">
      <c r="A2342" s="1"/>
      <c r="B2342" s="1"/>
      <c r="C2342" s="1"/>
      <c r="D2342" s="1"/>
      <c r="E2342" s="6"/>
      <c r="F2342" s="1"/>
      <c r="G2342" s="6"/>
      <c r="H2342" s="6"/>
      <c r="I2342" s="6"/>
      <c r="J2342" s="6"/>
      <c r="K2342" s="6"/>
      <c r="L2342" s="6"/>
      <c r="M2342" s="6"/>
      <c r="N2342" s="6"/>
      <c r="O2342" s="7"/>
      <c r="P2342" s="6"/>
      <c r="Q2342" s="7"/>
      <c r="R2342" s="6"/>
      <c r="S2342" s="6"/>
      <c r="T2342" s="6"/>
      <c r="U2342" s="6"/>
      <c r="V2342" s="7"/>
      <c r="W2342" s="7"/>
      <c r="X2342" s="6"/>
      <c r="Y2342" s="6"/>
      <c r="Z2342" s="6"/>
      <c r="AA2342" s="1"/>
      <c r="AB2342" s="12"/>
      <c r="AC2342" s="12"/>
      <c r="AD2342" s="12"/>
      <c r="AE2342" s="12"/>
      <c r="AF2342" s="12"/>
      <c r="AG2342" s="12"/>
      <c r="AH2342" s="12"/>
      <c r="AI2342" s="6"/>
      <c r="AJ2342" s="12"/>
      <c r="AK2342" s="12"/>
      <c r="AL2342" s="12"/>
      <c r="AM2342" s="12"/>
      <c r="AN2342" s="1"/>
      <c r="AO2342" s="6"/>
    </row>
    <row r="2343" spans="1:41" ht="15" x14ac:dyDescent="0.25">
      <c r="A2343" s="1"/>
      <c r="B2343" s="1"/>
      <c r="C2343" s="1"/>
      <c r="D2343" s="1"/>
      <c r="E2343" s="6"/>
      <c r="F2343" s="1"/>
      <c r="G2343" s="6"/>
      <c r="H2343" s="6"/>
      <c r="I2343" s="6"/>
      <c r="J2343" s="6"/>
      <c r="K2343" s="6"/>
      <c r="L2343" s="6"/>
      <c r="M2343" s="6"/>
      <c r="N2343" s="6"/>
      <c r="O2343" s="7"/>
      <c r="P2343" s="6"/>
      <c r="Q2343" s="6"/>
      <c r="R2343" s="7"/>
      <c r="S2343" s="6"/>
      <c r="T2343" s="6"/>
      <c r="U2343" s="7"/>
      <c r="V2343" s="6"/>
      <c r="W2343" s="6"/>
      <c r="X2343" s="6"/>
      <c r="Y2343" s="6"/>
      <c r="Z2343" s="6"/>
      <c r="AA2343" s="7"/>
      <c r="AB2343" s="6"/>
      <c r="AC2343" s="6"/>
      <c r="AD2343" s="6"/>
      <c r="AE2343" s="12"/>
      <c r="AF2343" s="6"/>
      <c r="AG2343" s="12"/>
      <c r="AH2343" s="6"/>
      <c r="AI2343" s="6"/>
      <c r="AJ2343" s="12"/>
      <c r="AK2343" s="1"/>
      <c r="AL2343" s="12"/>
      <c r="AM2343" s="12"/>
      <c r="AN2343" s="1"/>
      <c r="AO2343" s="6"/>
    </row>
    <row r="2344" spans="1:41" ht="15" x14ac:dyDescent="0.25">
      <c r="A2344" s="1"/>
      <c r="B2344" s="1"/>
      <c r="C2344" s="1"/>
      <c r="D2344" s="1"/>
      <c r="E2344" s="6"/>
      <c r="F2344" s="1"/>
      <c r="G2344" s="6"/>
      <c r="H2344" s="6"/>
      <c r="I2344" s="6"/>
      <c r="J2344" s="6"/>
      <c r="K2344" s="6"/>
      <c r="L2344" s="6"/>
      <c r="M2344" s="6"/>
      <c r="N2344" s="6"/>
      <c r="O2344" s="7"/>
      <c r="P2344" s="6"/>
      <c r="Q2344" s="6"/>
      <c r="R2344" s="7"/>
      <c r="S2344" s="6"/>
      <c r="T2344" s="6"/>
      <c r="U2344" s="7"/>
      <c r="V2344" s="6"/>
      <c r="W2344" s="6"/>
      <c r="X2344" s="6"/>
      <c r="Y2344" s="6"/>
      <c r="Z2344" s="6"/>
      <c r="AA2344" s="7"/>
      <c r="AB2344" s="6"/>
      <c r="AC2344" s="6"/>
      <c r="AD2344" s="6"/>
      <c r="AE2344" s="12"/>
      <c r="AF2344" s="6"/>
      <c r="AG2344" s="12"/>
      <c r="AH2344" s="6"/>
      <c r="AI2344" s="6"/>
      <c r="AJ2344" s="12"/>
      <c r="AK2344" s="1"/>
      <c r="AL2344" s="12"/>
      <c r="AM2344" s="12"/>
      <c r="AN2344" s="1"/>
      <c r="AO2344" s="6"/>
    </row>
    <row r="2345" spans="1:41" ht="15" x14ac:dyDescent="0.25">
      <c r="A2345" s="1"/>
      <c r="B2345" s="1"/>
      <c r="C2345" s="1"/>
      <c r="D2345" s="1"/>
      <c r="E2345" s="6"/>
      <c r="F2345" s="1"/>
      <c r="G2345" s="6"/>
      <c r="H2345" s="6"/>
      <c r="I2345" s="6"/>
      <c r="J2345" s="6"/>
      <c r="K2345" s="12"/>
      <c r="L2345" s="12"/>
      <c r="M2345" s="6"/>
      <c r="N2345" s="6"/>
      <c r="O2345" s="7"/>
      <c r="P2345" s="6"/>
      <c r="Q2345" s="6"/>
      <c r="R2345" s="7"/>
      <c r="S2345" s="6"/>
      <c r="T2345" s="6"/>
      <c r="U2345" s="7"/>
      <c r="V2345" s="6"/>
      <c r="W2345" s="6"/>
      <c r="X2345" s="12"/>
      <c r="Y2345" s="6"/>
      <c r="Z2345" s="6"/>
      <c r="AA2345" s="7"/>
      <c r="AB2345" s="6"/>
      <c r="AC2345" s="6"/>
      <c r="AD2345" s="6"/>
      <c r="AE2345" s="12"/>
      <c r="AF2345" s="12"/>
      <c r="AG2345" s="12"/>
      <c r="AH2345" s="12"/>
      <c r="AI2345" s="6"/>
      <c r="AJ2345" s="12"/>
      <c r="AK2345" s="24"/>
      <c r="AL2345" s="25"/>
      <c r="AM2345" s="12"/>
      <c r="AN2345" s="1"/>
      <c r="AO2345" s="6"/>
    </row>
    <row r="2346" spans="1:41" ht="15" x14ac:dyDescent="0.25">
      <c r="A2346" s="1"/>
      <c r="B2346" s="1"/>
      <c r="C2346" s="1"/>
      <c r="D2346" s="1"/>
      <c r="E2346" s="6"/>
      <c r="F2346" s="1"/>
      <c r="G2346" s="6"/>
      <c r="H2346" s="6"/>
      <c r="I2346" s="6"/>
      <c r="J2346" s="6"/>
      <c r="K2346" s="6"/>
      <c r="L2346" s="6"/>
      <c r="M2346" s="6"/>
      <c r="N2346" s="6"/>
      <c r="O2346" s="7"/>
      <c r="P2346" s="6"/>
      <c r="Q2346" s="6"/>
      <c r="R2346" s="7"/>
      <c r="S2346" s="6"/>
      <c r="T2346" s="6"/>
      <c r="U2346" s="7"/>
      <c r="V2346" s="6"/>
      <c r="W2346" s="6"/>
      <c r="X2346" s="12"/>
      <c r="Y2346" s="6"/>
      <c r="Z2346" s="6"/>
      <c r="AA2346" s="7"/>
      <c r="AB2346" s="6"/>
      <c r="AC2346" s="6"/>
      <c r="AD2346" s="6"/>
      <c r="AE2346" s="12"/>
      <c r="AF2346" s="12"/>
      <c r="AG2346" s="12"/>
      <c r="AH2346" s="12"/>
      <c r="AI2346" s="6"/>
      <c r="AJ2346" s="12"/>
      <c r="AK2346" s="1"/>
      <c r="AL2346" s="12"/>
      <c r="AM2346" s="12"/>
      <c r="AN2346" s="1"/>
      <c r="AO2346" s="6"/>
    </row>
    <row r="2347" spans="1:41" ht="15" x14ac:dyDescent="0.25">
      <c r="A2347" s="1"/>
      <c r="B2347" s="1"/>
      <c r="C2347" s="1"/>
      <c r="D2347" s="1"/>
      <c r="E2347" s="6"/>
      <c r="F2347" s="1"/>
      <c r="G2347" s="6"/>
      <c r="H2347" s="6"/>
      <c r="I2347" s="6"/>
      <c r="J2347" s="6"/>
      <c r="K2347" s="6"/>
      <c r="L2347" s="6"/>
      <c r="M2347" s="6"/>
      <c r="N2347" s="6"/>
      <c r="O2347" s="7"/>
      <c r="P2347" s="12"/>
      <c r="Q2347" s="6"/>
      <c r="R2347" s="7"/>
      <c r="S2347" s="6"/>
      <c r="T2347" s="6"/>
      <c r="U2347" s="7"/>
      <c r="V2347" s="6"/>
      <c r="W2347" s="6"/>
      <c r="X2347" s="6"/>
      <c r="Y2347" s="6"/>
      <c r="Z2347" s="6"/>
      <c r="AA2347" s="7"/>
      <c r="AB2347" s="6"/>
      <c r="AC2347" s="6"/>
      <c r="AD2347" s="6"/>
      <c r="AE2347" s="12"/>
      <c r="AF2347" s="12"/>
      <c r="AG2347" s="12"/>
      <c r="AH2347" s="12"/>
      <c r="AI2347" s="6"/>
      <c r="AJ2347" s="12"/>
      <c r="AK2347" s="1"/>
      <c r="AL2347" s="12"/>
      <c r="AM2347" s="12"/>
      <c r="AN2347" s="1"/>
      <c r="AO2347" s="6"/>
    </row>
    <row r="2348" spans="1:41" ht="15" x14ac:dyDescent="0.25">
      <c r="A2348" s="1"/>
      <c r="B2348" s="1"/>
      <c r="C2348" s="1"/>
      <c r="D2348" s="1"/>
      <c r="E2348" s="6"/>
      <c r="F2348" s="1"/>
      <c r="G2348" s="6"/>
      <c r="H2348" s="6"/>
      <c r="I2348" s="6"/>
      <c r="J2348" s="6"/>
      <c r="K2348" s="6"/>
      <c r="L2348" s="6"/>
      <c r="M2348" s="6"/>
      <c r="N2348" s="6"/>
      <c r="O2348" s="7"/>
      <c r="P2348" s="6"/>
      <c r="Q2348" s="6"/>
      <c r="R2348" s="7"/>
      <c r="S2348" s="6"/>
      <c r="T2348" s="6"/>
      <c r="U2348" s="7"/>
      <c r="V2348" s="6"/>
      <c r="W2348" s="6"/>
      <c r="X2348" s="12"/>
      <c r="Y2348" s="6"/>
      <c r="Z2348" s="6"/>
      <c r="AA2348" s="7"/>
      <c r="AB2348" s="6"/>
      <c r="AC2348" s="6"/>
      <c r="AD2348" s="6"/>
      <c r="AE2348" s="12"/>
      <c r="AF2348" s="12"/>
      <c r="AG2348" s="12"/>
      <c r="AH2348" s="12"/>
      <c r="AI2348" s="6"/>
      <c r="AJ2348" s="12"/>
      <c r="AK2348" s="1"/>
      <c r="AL2348" s="12"/>
      <c r="AM2348" s="12"/>
      <c r="AN2348" s="1"/>
      <c r="AO2348" s="6"/>
    </row>
    <row r="2349" spans="1:41" ht="15" x14ac:dyDescent="0.25">
      <c r="A2349" s="1"/>
      <c r="B2349" s="1"/>
      <c r="C2349" s="1"/>
      <c r="D2349" s="1"/>
      <c r="E2349" s="6"/>
      <c r="F2349" s="1"/>
      <c r="G2349" s="6"/>
      <c r="H2349" s="6"/>
      <c r="I2349" s="6"/>
      <c r="J2349" s="6"/>
      <c r="K2349" s="6"/>
      <c r="L2349" s="6"/>
      <c r="M2349" s="6"/>
      <c r="N2349" s="6"/>
      <c r="O2349" s="7"/>
      <c r="P2349" s="6"/>
      <c r="Q2349" s="6"/>
      <c r="R2349" s="7"/>
      <c r="S2349" s="6"/>
      <c r="T2349" s="6"/>
      <c r="U2349" s="7"/>
      <c r="V2349" s="6"/>
      <c r="W2349" s="6"/>
      <c r="X2349" s="6"/>
      <c r="Y2349" s="6"/>
      <c r="Z2349" s="6"/>
      <c r="AA2349" s="7"/>
      <c r="AB2349" s="6"/>
      <c r="AC2349" s="6"/>
      <c r="AD2349" s="6"/>
      <c r="AE2349" s="12"/>
      <c r="AF2349" s="6"/>
      <c r="AG2349" s="12"/>
      <c r="AH2349" s="6"/>
      <c r="AI2349" s="6"/>
      <c r="AJ2349" s="12"/>
      <c r="AK2349" s="24"/>
      <c r="AL2349" s="25"/>
      <c r="AM2349" s="12"/>
      <c r="AN2349" s="1"/>
      <c r="AO2349" s="6"/>
    </row>
    <row r="2350" spans="1:41" ht="15" x14ac:dyDescent="0.25">
      <c r="A2350" s="1"/>
      <c r="B2350" s="1"/>
      <c r="C2350" s="1"/>
      <c r="D2350" s="1"/>
      <c r="E2350" s="6"/>
      <c r="F2350" s="1"/>
      <c r="G2350" s="6"/>
      <c r="H2350" s="6"/>
      <c r="I2350" s="6"/>
      <c r="J2350" s="6"/>
      <c r="K2350" s="6"/>
      <c r="L2350" s="6"/>
      <c r="M2350" s="6"/>
      <c r="N2350" s="6"/>
      <c r="O2350" s="7"/>
      <c r="P2350" s="6"/>
      <c r="Q2350" s="6"/>
      <c r="R2350" s="7"/>
      <c r="S2350" s="6"/>
      <c r="T2350" s="6"/>
      <c r="U2350" s="7"/>
      <c r="V2350" s="6"/>
      <c r="W2350" s="6"/>
      <c r="X2350" s="12"/>
      <c r="Y2350" s="6"/>
      <c r="Z2350" s="6"/>
      <c r="AA2350" s="7"/>
      <c r="AB2350" s="6"/>
      <c r="AC2350" s="6"/>
      <c r="AD2350" s="6"/>
      <c r="AE2350" s="12"/>
      <c r="AF2350" s="6"/>
      <c r="AG2350" s="12"/>
      <c r="AH2350" s="6"/>
      <c r="AI2350" s="6"/>
      <c r="AJ2350" s="12"/>
      <c r="AK2350" s="24"/>
      <c r="AL2350" s="25"/>
      <c r="AM2350" s="12"/>
      <c r="AN2350" s="1"/>
      <c r="AO2350" s="6"/>
    </row>
    <row r="2351" spans="1:41" ht="15" x14ac:dyDescent="0.25">
      <c r="A2351" s="1"/>
      <c r="B2351" s="1"/>
      <c r="C2351" s="1"/>
      <c r="D2351" s="1"/>
      <c r="E2351" s="6"/>
      <c r="F2351" s="1"/>
      <c r="G2351" s="6"/>
      <c r="H2351" s="6"/>
      <c r="I2351" s="6"/>
      <c r="J2351" s="6"/>
      <c r="K2351" s="6"/>
      <c r="L2351" s="6"/>
      <c r="M2351" s="6"/>
      <c r="N2351" s="6"/>
      <c r="O2351" s="7"/>
      <c r="P2351" s="6"/>
      <c r="Q2351" s="6"/>
      <c r="R2351" s="7"/>
      <c r="S2351" s="6"/>
      <c r="T2351" s="6"/>
      <c r="U2351" s="7"/>
      <c r="V2351" s="6"/>
      <c r="W2351" s="6"/>
      <c r="X2351" s="6"/>
      <c r="Y2351" s="6"/>
      <c r="Z2351" s="6"/>
      <c r="AA2351" s="15"/>
      <c r="AB2351" s="6"/>
      <c r="AC2351" s="6"/>
      <c r="AD2351" s="6"/>
      <c r="AE2351" s="12"/>
      <c r="AF2351" s="12"/>
      <c r="AG2351" s="12"/>
      <c r="AH2351" s="12"/>
      <c r="AI2351" s="6"/>
      <c r="AJ2351" s="12"/>
      <c r="AK2351" s="1"/>
      <c r="AL2351" s="12"/>
      <c r="AM2351" s="12"/>
      <c r="AN2351" s="1"/>
      <c r="AO2351" s="6"/>
    </row>
    <row r="2352" spans="1:41" ht="15" x14ac:dyDescent="0.25">
      <c r="A2352" s="1"/>
      <c r="B2352" s="1"/>
      <c r="C2352" s="1"/>
      <c r="D2352" s="1"/>
      <c r="E2352" s="6"/>
      <c r="F2352" s="1"/>
      <c r="G2352" s="6"/>
      <c r="H2352" s="6"/>
      <c r="I2352" s="6"/>
      <c r="J2352" s="6"/>
      <c r="K2352" s="12"/>
      <c r="L2352" s="12"/>
      <c r="M2352" s="6"/>
      <c r="N2352" s="6"/>
      <c r="O2352" s="7"/>
      <c r="P2352" s="6"/>
      <c r="Q2352" s="6"/>
      <c r="R2352" s="7"/>
      <c r="S2352" s="6"/>
      <c r="T2352" s="6"/>
      <c r="U2352" s="7"/>
      <c r="V2352" s="6"/>
      <c r="W2352" s="6"/>
      <c r="X2352" s="6"/>
      <c r="Y2352" s="6"/>
      <c r="Z2352" s="6"/>
      <c r="AA2352" s="7"/>
      <c r="AB2352" s="6"/>
      <c r="AC2352" s="6"/>
      <c r="AD2352" s="6"/>
      <c r="AE2352" s="12"/>
      <c r="AF2352" s="12"/>
      <c r="AG2352" s="12"/>
      <c r="AH2352" s="12"/>
      <c r="AI2352" s="6"/>
      <c r="AJ2352" s="12"/>
      <c r="AK2352" s="1"/>
      <c r="AL2352" s="12"/>
      <c r="AM2352" s="12"/>
      <c r="AN2352" s="1"/>
      <c r="AO2352" s="6"/>
    </row>
    <row r="2353" spans="1:41" ht="15" x14ac:dyDescent="0.25">
      <c r="A2353" s="1"/>
      <c r="B2353" s="1"/>
      <c r="C2353" s="1"/>
      <c r="D2353" s="1"/>
      <c r="E2353" s="6"/>
      <c r="F2353" s="1"/>
      <c r="G2353" s="6"/>
      <c r="H2353" s="6"/>
      <c r="I2353" s="6"/>
      <c r="J2353" s="6"/>
      <c r="K2353" s="6"/>
      <c r="L2353" s="6"/>
      <c r="M2353" s="6"/>
      <c r="N2353" s="6"/>
      <c r="O2353" s="7"/>
      <c r="P2353" s="6"/>
      <c r="Q2353" s="6"/>
      <c r="R2353" s="7"/>
      <c r="S2353" s="6"/>
      <c r="T2353" s="6"/>
      <c r="U2353" s="7"/>
      <c r="V2353" s="6"/>
      <c r="W2353" s="6"/>
      <c r="X2353" s="12"/>
      <c r="Y2353" s="6"/>
      <c r="Z2353" s="6"/>
      <c r="AA2353" s="7"/>
      <c r="AB2353" s="6"/>
      <c r="AC2353" s="6"/>
      <c r="AD2353" s="6"/>
      <c r="AE2353" s="12"/>
      <c r="AF2353" s="12"/>
      <c r="AG2353" s="12"/>
      <c r="AH2353" s="12"/>
      <c r="AI2353" s="6"/>
      <c r="AJ2353" s="12"/>
      <c r="AK2353" s="1"/>
      <c r="AL2353" s="12"/>
      <c r="AM2353" s="12"/>
      <c r="AN2353" s="1"/>
      <c r="AO2353" s="6"/>
    </row>
    <row r="2354" spans="1:41" ht="15" x14ac:dyDescent="0.25">
      <c r="A2354" s="1"/>
      <c r="B2354" s="1"/>
      <c r="C2354" s="1"/>
      <c r="D2354" s="1"/>
      <c r="E2354" s="6"/>
      <c r="F2354" s="1"/>
      <c r="G2354" s="6"/>
      <c r="H2354" s="6"/>
      <c r="I2354" s="6"/>
      <c r="J2354" s="6"/>
      <c r="K2354" s="6"/>
      <c r="L2354" s="6"/>
      <c r="M2354" s="6"/>
      <c r="N2354" s="6"/>
      <c r="O2354" s="7"/>
      <c r="P2354" s="6"/>
      <c r="Q2354" s="6"/>
      <c r="R2354" s="7"/>
      <c r="S2354" s="6"/>
      <c r="T2354" s="6"/>
      <c r="U2354" s="7"/>
      <c r="V2354" s="6"/>
      <c r="W2354" s="6"/>
      <c r="X2354" s="12"/>
      <c r="Y2354" s="6"/>
      <c r="Z2354" s="6"/>
      <c r="AA2354" s="7"/>
      <c r="AB2354" s="6"/>
      <c r="AC2354" s="6"/>
      <c r="AD2354" s="6"/>
      <c r="AE2354" s="12"/>
      <c r="AF2354" s="12"/>
      <c r="AG2354" s="12"/>
      <c r="AH2354" s="12"/>
      <c r="AI2354" s="6"/>
      <c r="AJ2354" s="12"/>
      <c r="AK2354" s="1"/>
      <c r="AL2354" s="12"/>
      <c r="AM2354" s="12"/>
      <c r="AN2354" s="1"/>
      <c r="AO2354" s="6"/>
    </row>
    <row r="2355" spans="1:41" ht="15" x14ac:dyDescent="0.25">
      <c r="A2355" s="1"/>
      <c r="B2355" s="1"/>
      <c r="C2355" s="1"/>
      <c r="D2355" s="1"/>
      <c r="E2355" s="6"/>
      <c r="F2355" s="1"/>
      <c r="G2355" s="6"/>
      <c r="H2355" s="6"/>
      <c r="I2355" s="6"/>
      <c r="J2355" s="6"/>
      <c r="K2355" s="6"/>
      <c r="L2355" s="6"/>
      <c r="M2355" s="6"/>
      <c r="N2355" s="6"/>
      <c r="O2355" s="7"/>
      <c r="P2355" s="6"/>
      <c r="Q2355" s="6"/>
      <c r="R2355" s="7"/>
      <c r="S2355" s="6"/>
      <c r="T2355" s="6"/>
      <c r="U2355" s="7"/>
      <c r="V2355" s="6"/>
      <c r="W2355" s="6"/>
      <c r="X2355" s="6"/>
      <c r="Y2355" s="6"/>
      <c r="Z2355" s="6"/>
      <c r="AA2355" s="7"/>
      <c r="AB2355" s="6"/>
      <c r="AC2355" s="6"/>
      <c r="AD2355" s="6"/>
      <c r="AE2355" s="12"/>
      <c r="AF2355" s="6"/>
      <c r="AG2355" s="12"/>
      <c r="AH2355" s="6"/>
      <c r="AI2355" s="6"/>
      <c r="AJ2355" s="12"/>
      <c r="AK2355" s="1"/>
      <c r="AL2355" s="12"/>
      <c r="AM2355" s="12"/>
      <c r="AN2355" s="1"/>
      <c r="AO2355" s="6"/>
    </row>
    <row r="2356" spans="1:41" ht="15" x14ac:dyDescent="0.25">
      <c r="A2356" s="1"/>
      <c r="B2356" s="1"/>
      <c r="C2356" s="1"/>
      <c r="D2356" s="1"/>
      <c r="E2356" s="6"/>
      <c r="F2356" s="1"/>
      <c r="G2356" s="6"/>
      <c r="H2356" s="6"/>
      <c r="I2356" s="6"/>
      <c r="J2356" s="6"/>
      <c r="K2356" s="12"/>
      <c r="L2356" s="12"/>
      <c r="M2356" s="6"/>
      <c r="N2356" s="6"/>
      <c r="O2356" s="7"/>
      <c r="P2356" s="6"/>
      <c r="Q2356" s="6"/>
      <c r="R2356" s="7"/>
      <c r="S2356" s="6"/>
      <c r="T2356" s="6"/>
      <c r="U2356" s="7"/>
      <c r="V2356" s="6"/>
      <c r="W2356" s="6"/>
      <c r="X2356" s="6"/>
      <c r="Y2356" s="6"/>
      <c r="Z2356" s="6"/>
      <c r="AA2356" s="7"/>
      <c r="AB2356" s="6"/>
      <c r="AC2356" s="6"/>
      <c r="AD2356" s="6"/>
      <c r="AE2356" s="12"/>
      <c r="AF2356" s="12"/>
      <c r="AG2356" s="12"/>
      <c r="AH2356" s="12"/>
      <c r="AI2356" s="6"/>
      <c r="AJ2356" s="12"/>
      <c r="AK2356" s="1"/>
      <c r="AL2356" s="12"/>
      <c r="AM2356" s="12"/>
      <c r="AN2356" s="1"/>
      <c r="AO2356" s="6"/>
    </row>
    <row r="2357" spans="1:41" ht="15" x14ac:dyDescent="0.25">
      <c r="A2357" s="1"/>
      <c r="B2357" s="1"/>
      <c r="C2357" s="1"/>
      <c r="D2357" s="1"/>
      <c r="E2357" s="6"/>
      <c r="F2357" s="1"/>
      <c r="G2357" s="6"/>
      <c r="H2357" s="6"/>
      <c r="I2357" s="6"/>
      <c r="J2357" s="6"/>
      <c r="K2357" s="6"/>
      <c r="L2357" s="6"/>
      <c r="M2357" s="6"/>
      <c r="N2357" s="6"/>
      <c r="O2357" s="7"/>
      <c r="P2357" s="6"/>
      <c r="Q2357" s="7"/>
      <c r="R2357" s="6"/>
      <c r="S2357" s="6"/>
      <c r="T2357" s="6"/>
      <c r="U2357" s="6"/>
      <c r="V2357" s="7"/>
      <c r="W2357" s="6"/>
      <c r="X2357" s="6"/>
      <c r="Y2357" s="6"/>
      <c r="Z2357" s="6"/>
      <c r="AA2357" s="1"/>
      <c r="AB2357" s="12"/>
      <c r="AC2357" s="12"/>
      <c r="AD2357" s="12"/>
      <c r="AE2357" s="12"/>
      <c r="AF2357" s="6"/>
      <c r="AG2357" s="12"/>
      <c r="AH2357" s="6"/>
      <c r="AI2357" s="6"/>
      <c r="AJ2357" s="12"/>
      <c r="AK2357" s="12"/>
      <c r="AL2357" s="12"/>
      <c r="AM2357" s="12"/>
      <c r="AN2357" s="1"/>
      <c r="AO2357" s="6"/>
    </row>
    <row r="2358" spans="1:41" ht="15" x14ac:dyDescent="0.25">
      <c r="A2358" s="1"/>
      <c r="B2358" s="1"/>
      <c r="C2358" s="1"/>
      <c r="D2358" s="1"/>
      <c r="E2358" s="6"/>
      <c r="F2358" s="1"/>
      <c r="G2358" s="6"/>
      <c r="H2358" s="6"/>
      <c r="I2358" s="6"/>
      <c r="J2358" s="6"/>
      <c r="K2358" s="6"/>
      <c r="L2358" s="6"/>
      <c r="M2358" s="6"/>
      <c r="N2358" s="6"/>
      <c r="O2358" s="7"/>
      <c r="P2358" s="6"/>
      <c r="Q2358" s="7"/>
      <c r="R2358" s="6"/>
      <c r="S2358" s="6"/>
      <c r="T2358" s="6"/>
      <c r="U2358" s="6"/>
      <c r="V2358" s="7"/>
      <c r="W2358" s="6"/>
      <c r="X2358" s="6"/>
      <c r="Y2358" s="6"/>
      <c r="Z2358" s="6"/>
      <c r="AA2358" s="24"/>
      <c r="AB2358" s="25"/>
      <c r="AC2358" s="12"/>
      <c r="AD2358" s="12"/>
      <c r="AE2358" s="12"/>
      <c r="AF2358" s="6"/>
      <c r="AG2358" s="12"/>
      <c r="AH2358" s="6"/>
      <c r="AI2358" s="6"/>
      <c r="AJ2358" s="12"/>
      <c r="AK2358" s="12"/>
      <c r="AL2358" s="12"/>
      <c r="AM2358" s="12"/>
      <c r="AN2358" s="1"/>
      <c r="AO2358" s="6"/>
    </row>
    <row r="2359" spans="1:41" ht="15" x14ac:dyDescent="0.25">
      <c r="A2359" s="1"/>
      <c r="B2359" s="1"/>
      <c r="C2359" s="1"/>
      <c r="D2359" s="1"/>
      <c r="E2359" s="6"/>
      <c r="F2359" s="1"/>
      <c r="G2359" s="6"/>
      <c r="H2359" s="6"/>
      <c r="I2359" s="6"/>
      <c r="J2359" s="6"/>
      <c r="K2359" s="6"/>
      <c r="L2359" s="6"/>
      <c r="M2359" s="6"/>
      <c r="N2359" s="6"/>
      <c r="O2359" s="7"/>
      <c r="P2359" s="6"/>
      <c r="Q2359" s="6"/>
      <c r="R2359" s="7"/>
      <c r="S2359" s="6"/>
      <c r="T2359" s="6"/>
      <c r="U2359" s="7"/>
      <c r="V2359" s="6"/>
      <c r="W2359" s="6"/>
      <c r="X2359" s="12"/>
      <c r="Y2359" s="6"/>
      <c r="Z2359" s="6"/>
      <c r="AA2359" s="7"/>
      <c r="AB2359" s="6"/>
      <c r="AC2359" s="6"/>
      <c r="AD2359" s="6"/>
      <c r="AE2359" s="12"/>
      <c r="AF2359" s="12"/>
      <c r="AG2359" s="12"/>
      <c r="AH2359" s="12"/>
      <c r="AI2359" s="6"/>
      <c r="AJ2359" s="12"/>
      <c r="AK2359" s="1"/>
      <c r="AL2359" s="12"/>
      <c r="AM2359" s="12"/>
      <c r="AN2359" s="1"/>
      <c r="AO2359" s="6"/>
    </row>
    <row r="2360" spans="1:41" ht="15" x14ac:dyDescent="0.25">
      <c r="A2360" s="1"/>
      <c r="B2360" s="1"/>
      <c r="C2360" s="1"/>
      <c r="D2360" s="1"/>
      <c r="E2360" s="6"/>
      <c r="F2360" s="1"/>
      <c r="G2360" s="6"/>
      <c r="H2360" s="6"/>
      <c r="I2360" s="6"/>
      <c r="J2360" s="6"/>
      <c r="K2360" s="6"/>
      <c r="L2360" s="6"/>
      <c r="M2360" s="6"/>
      <c r="N2360" s="6"/>
      <c r="O2360" s="7"/>
      <c r="P2360" s="6"/>
      <c r="Q2360" s="6"/>
      <c r="R2360" s="7"/>
      <c r="S2360" s="6"/>
      <c r="T2360" s="6"/>
      <c r="U2360" s="7"/>
      <c r="V2360" s="6"/>
      <c r="W2360" s="6"/>
      <c r="X2360" s="6"/>
      <c r="Y2360" s="6"/>
      <c r="Z2360" s="6"/>
      <c r="AA2360" s="7"/>
      <c r="AB2360" s="6"/>
      <c r="AC2360" s="6"/>
      <c r="AD2360" s="6"/>
      <c r="AE2360" s="12"/>
      <c r="AF2360" s="6"/>
      <c r="AG2360" s="12"/>
      <c r="AH2360" s="6"/>
      <c r="AI2360" s="6"/>
      <c r="AJ2360" s="12"/>
      <c r="AK2360" s="1"/>
      <c r="AL2360" s="12"/>
      <c r="AM2360" s="12"/>
      <c r="AN2360" s="1"/>
      <c r="AO2360" s="6"/>
    </row>
    <row r="2361" spans="1:41" ht="15" x14ac:dyDescent="0.25">
      <c r="A2361" s="1"/>
      <c r="B2361" s="1"/>
      <c r="C2361" s="1"/>
      <c r="D2361" s="1"/>
      <c r="E2361" s="6"/>
      <c r="F2361" s="1"/>
      <c r="G2361" s="6"/>
      <c r="H2361" s="6"/>
      <c r="I2361" s="6"/>
      <c r="J2361" s="6"/>
      <c r="K2361" s="12"/>
      <c r="L2361" s="12"/>
      <c r="M2361" s="6"/>
      <c r="N2361" s="6"/>
      <c r="O2361" s="7"/>
      <c r="P2361" s="6"/>
      <c r="Q2361" s="6"/>
      <c r="R2361" s="7"/>
      <c r="S2361" s="6"/>
      <c r="T2361" s="6"/>
      <c r="U2361" s="7"/>
      <c r="V2361" s="6"/>
      <c r="W2361" s="6"/>
      <c r="X2361" s="12"/>
      <c r="Y2361" s="6"/>
      <c r="Z2361" s="6"/>
      <c r="AA2361" s="7"/>
      <c r="AB2361" s="6"/>
      <c r="AC2361" s="6"/>
      <c r="AD2361" s="6"/>
      <c r="AE2361" s="12"/>
      <c r="AF2361" s="12"/>
      <c r="AG2361" s="12"/>
      <c r="AH2361" s="12"/>
      <c r="AI2361" s="6"/>
      <c r="AJ2361" s="12"/>
      <c r="AK2361" s="1"/>
      <c r="AL2361" s="12"/>
      <c r="AM2361" s="12"/>
      <c r="AN2361" s="1"/>
      <c r="AO2361" s="6"/>
    </row>
    <row r="2362" spans="1:41" ht="15" x14ac:dyDescent="0.25">
      <c r="A2362" s="1"/>
      <c r="B2362" s="1"/>
      <c r="C2362" s="1"/>
      <c r="D2362" s="1"/>
      <c r="E2362" s="6"/>
      <c r="F2362" s="1"/>
      <c r="G2362" s="6"/>
      <c r="H2362" s="6"/>
      <c r="I2362" s="6"/>
      <c r="J2362" s="6"/>
      <c r="K2362" s="6"/>
      <c r="L2362" s="6"/>
      <c r="M2362" s="6"/>
      <c r="N2362" s="6"/>
      <c r="O2362" s="7"/>
      <c r="P2362" s="6"/>
      <c r="Q2362" s="7"/>
      <c r="R2362" s="6"/>
      <c r="S2362" s="6"/>
      <c r="T2362" s="6"/>
      <c r="U2362" s="6"/>
      <c r="V2362" s="7"/>
      <c r="W2362" s="6"/>
      <c r="X2362" s="6"/>
      <c r="Y2362" s="6"/>
      <c r="Z2362" s="6"/>
      <c r="AA2362" s="24"/>
      <c r="AB2362" s="25"/>
      <c r="AC2362" s="12"/>
      <c r="AD2362" s="12"/>
      <c r="AE2362" s="12"/>
      <c r="AF2362" s="6"/>
      <c r="AG2362" s="12"/>
      <c r="AH2362" s="6"/>
      <c r="AI2362" s="6"/>
      <c r="AJ2362" s="12"/>
      <c r="AK2362" s="12"/>
      <c r="AL2362" s="12"/>
      <c r="AM2362" s="12"/>
      <c r="AN2362" s="1"/>
      <c r="AO2362" s="6"/>
    </row>
    <row r="2363" spans="1:41" ht="15" x14ac:dyDescent="0.25">
      <c r="A2363" s="1"/>
      <c r="B2363" s="1"/>
      <c r="C2363" s="1"/>
      <c r="D2363" s="1"/>
      <c r="E2363" s="6"/>
      <c r="F2363" s="1"/>
      <c r="G2363" s="6"/>
      <c r="H2363" s="6"/>
      <c r="I2363" s="6"/>
      <c r="J2363" s="6"/>
      <c r="K2363" s="6"/>
      <c r="L2363" s="6"/>
      <c r="M2363" s="6"/>
      <c r="N2363" s="6"/>
      <c r="O2363" s="7"/>
      <c r="P2363" s="12"/>
      <c r="Q2363" s="6"/>
      <c r="R2363" s="7"/>
      <c r="S2363" s="6"/>
      <c r="T2363" s="6"/>
      <c r="U2363" s="7"/>
      <c r="V2363" s="6"/>
      <c r="W2363" s="6"/>
      <c r="X2363" s="6"/>
      <c r="Y2363" s="6"/>
      <c r="Z2363" s="6"/>
      <c r="AA2363" s="7"/>
      <c r="AB2363" s="6"/>
      <c r="AC2363" s="6"/>
      <c r="AD2363" s="6"/>
      <c r="AE2363" s="12"/>
      <c r="AF2363" s="6"/>
      <c r="AG2363" s="12"/>
      <c r="AH2363" s="6"/>
      <c r="AI2363" s="6"/>
      <c r="AJ2363" s="12"/>
      <c r="AK2363" s="24"/>
      <c r="AL2363" s="25"/>
      <c r="AM2363" s="12"/>
      <c r="AN2363" s="1"/>
      <c r="AO2363" s="6"/>
    </row>
    <row r="2364" spans="1:41" ht="15" x14ac:dyDescent="0.25">
      <c r="A2364" s="1"/>
      <c r="B2364" s="1"/>
      <c r="C2364" s="1"/>
      <c r="D2364" s="1"/>
      <c r="E2364" s="6"/>
      <c r="F2364" s="1"/>
      <c r="G2364" s="6"/>
      <c r="H2364" s="6"/>
      <c r="I2364" s="6"/>
      <c r="J2364" s="6"/>
      <c r="K2364" s="6"/>
      <c r="L2364" s="6"/>
      <c r="M2364" s="6"/>
      <c r="N2364" s="6"/>
      <c r="O2364" s="7"/>
      <c r="P2364" s="6"/>
      <c r="Q2364" s="6"/>
      <c r="R2364" s="7"/>
      <c r="S2364" s="6"/>
      <c r="T2364" s="6"/>
      <c r="U2364" s="7"/>
      <c r="V2364" s="6"/>
      <c r="W2364" s="6"/>
      <c r="X2364" s="12"/>
      <c r="Y2364" s="6"/>
      <c r="Z2364" s="6"/>
      <c r="AA2364" s="7"/>
      <c r="AB2364" s="6"/>
      <c r="AC2364" s="6"/>
      <c r="AD2364" s="6"/>
      <c r="AE2364" s="12"/>
      <c r="AF2364" s="6"/>
      <c r="AG2364" s="12"/>
      <c r="AH2364" s="6"/>
      <c r="AI2364" s="6"/>
      <c r="AJ2364" s="12"/>
      <c r="AK2364" s="1"/>
      <c r="AL2364" s="12"/>
      <c r="AM2364" s="12"/>
      <c r="AN2364" s="1"/>
      <c r="AO2364" s="6"/>
    </row>
    <row r="2365" spans="1:41" ht="15" x14ac:dyDescent="0.25">
      <c r="A2365" s="1"/>
      <c r="B2365" s="1"/>
      <c r="C2365" s="1"/>
      <c r="D2365" s="1"/>
      <c r="E2365" s="6"/>
      <c r="F2365" s="1"/>
      <c r="G2365" s="6"/>
      <c r="H2365" s="6"/>
      <c r="I2365" s="6"/>
      <c r="J2365" s="6"/>
      <c r="K2365" s="6"/>
      <c r="L2365" s="6"/>
      <c r="M2365" s="6"/>
      <c r="N2365" s="6"/>
      <c r="O2365" s="7"/>
      <c r="P2365" s="6"/>
      <c r="Q2365" s="6"/>
      <c r="R2365" s="7"/>
      <c r="S2365" s="6"/>
      <c r="T2365" s="6"/>
      <c r="U2365" s="7"/>
      <c r="V2365" s="6"/>
      <c r="W2365" s="6"/>
      <c r="X2365" s="6"/>
      <c r="Y2365" s="6"/>
      <c r="Z2365" s="6"/>
      <c r="AA2365" s="7"/>
      <c r="AB2365" s="6"/>
      <c r="AC2365" s="6"/>
      <c r="AD2365" s="6"/>
      <c r="AE2365" s="12"/>
      <c r="AF2365" s="6"/>
      <c r="AG2365" s="12"/>
      <c r="AH2365" s="6"/>
      <c r="AI2365" s="6"/>
      <c r="AJ2365" s="12"/>
      <c r="AK2365" s="24"/>
      <c r="AL2365" s="25"/>
      <c r="AM2365" s="12"/>
      <c r="AN2365" s="1"/>
      <c r="AO2365" s="6"/>
    </row>
    <row r="2366" spans="1:41" ht="15" x14ac:dyDescent="0.25">
      <c r="A2366" s="1"/>
      <c r="B2366" s="1"/>
      <c r="C2366" s="1"/>
      <c r="D2366" s="1"/>
      <c r="E2366" s="6"/>
      <c r="F2366" s="1"/>
      <c r="G2366" s="6"/>
      <c r="H2366" s="6"/>
      <c r="I2366" s="6"/>
      <c r="J2366" s="6"/>
      <c r="K2366" s="6"/>
      <c r="L2366" s="6"/>
      <c r="M2366" s="6"/>
      <c r="N2366" s="6"/>
      <c r="O2366" s="7"/>
      <c r="P2366" s="6"/>
      <c r="Q2366" s="6"/>
      <c r="R2366" s="7"/>
      <c r="S2366" s="6"/>
      <c r="T2366" s="6"/>
      <c r="U2366" s="7"/>
      <c r="V2366" s="6"/>
      <c r="W2366" s="6"/>
      <c r="X2366" s="12"/>
      <c r="Y2366" s="6"/>
      <c r="Z2366" s="6"/>
      <c r="AA2366" s="7"/>
      <c r="AB2366" s="6"/>
      <c r="AC2366" s="6"/>
      <c r="AD2366" s="6"/>
      <c r="AE2366" s="12"/>
      <c r="AF2366" s="6"/>
      <c r="AG2366" s="12"/>
      <c r="AH2366" s="6"/>
      <c r="AI2366" s="6"/>
      <c r="AJ2366" s="12"/>
      <c r="AK2366" s="24"/>
      <c r="AL2366" s="25"/>
      <c r="AM2366" s="12"/>
      <c r="AN2366" s="1"/>
      <c r="AO2366" s="6"/>
    </row>
    <row r="2367" spans="1:41" ht="15" x14ac:dyDescent="0.25">
      <c r="A2367" s="1"/>
      <c r="B2367" s="1"/>
      <c r="C2367" s="1"/>
      <c r="D2367" s="1"/>
      <c r="E2367" s="6"/>
      <c r="F2367" s="1"/>
      <c r="G2367" s="6"/>
      <c r="H2367" s="6"/>
      <c r="I2367" s="6"/>
      <c r="J2367" s="6"/>
      <c r="K2367" s="6"/>
      <c r="L2367" s="6"/>
      <c r="M2367" s="6"/>
      <c r="N2367" s="6"/>
      <c r="O2367" s="7"/>
      <c r="P2367" s="6"/>
      <c r="Q2367" s="7"/>
      <c r="R2367" s="6"/>
      <c r="S2367" s="6"/>
      <c r="T2367" s="6"/>
      <c r="U2367" s="6"/>
      <c r="V2367" s="7"/>
      <c r="W2367" s="6"/>
      <c r="X2367" s="6"/>
      <c r="Y2367" s="6"/>
      <c r="Z2367" s="6"/>
      <c r="AA2367" s="1"/>
      <c r="AB2367" s="12"/>
      <c r="AC2367" s="12"/>
      <c r="AD2367" s="12"/>
      <c r="AE2367" s="12"/>
      <c r="AF2367" s="6"/>
      <c r="AG2367" s="12"/>
      <c r="AH2367" s="6"/>
      <c r="AI2367" s="6"/>
      <c r="AJ2367" s="12"/>
      <c r="AK2367" s="12"/>
      <c r="AL2367" s="12"/>
      <c r="AM2367" s="12"/>
      <c r="AN2367" s="1"/>
      <c r="AO2367" s="6"/>
    </row>
    <row r="2368" spans="1:41" ht="15" x14ac:dyDescent="0.25">
      <c r="A2368" s="1"/>
      <c r="B2368" s="1"/>
      <c r="C2368" s="1"/>
      <c r="D2368" s="1"/>
      <c r="E2368" s="6"/>
      <c r="F2368" s="1"/>
      <c r="G2368" s="6"/>
      <c r="H2368" s="6"/>
      <c r="I2368" s="6"/>
      <c r="J2368" s="6"/>
      <c r="K2368" s="6"/>
      <c r="L2368" s="6"/>
      <c r="M2368" s="6"/>
      <c r="N2368" s="6"/>
      <c r="O2368" s="7"/>
      <c r="P2368" s="6"/>
      <c r="Q2368" s="6"/>
      <c r="R2368" s="7"/>
      <c r="S2368" s="6"/>
      <c r="T2368" s="6"/>
      <c r="U2368" s="7"/>
      <c r="V2368" s="6"/>
      <c r="W2368" s="6"/>
      <c r="X2368" s="12"/>
      <c r="Y2368" s="6"/>
      <c r="Z2368" s="6"/>
      <c r="AA2368" s="7"/>
      <c r="AB2368" s="6"/>
      <c r="AC2368" s="6"/>
      <c r="AD2368" s="6"/>
      <c r="AE2368" s="12"/>
      <c r="AF2368" s="6"/>
      <c r="AG2368" s="12"/>
      <c r="AH2368" s="6"/>
      <c r="AI2368" s="6"/>
      <c r="AJ2368" s="12"/>
      <c r="AK2368" s="24"/>
      <c r="AL2368" s="25"/>
      <c r="AM2368" s="12"/>
      <c r="AN2368" s="1"/>
      <c r="AO2368" s="6"/>
    </row>
    <row r="2369" spans="1:41" ht="15" x14ac:dyDescent="0.25">
      <c r="A2369" s="1"/>
      <c r="B2369" s="1"/>
      <c r="C2369" s="1"/>
      <c r="D2369" s="1"/>
      <c r="E2369" s="6"/>
      <c r="F2369" s="1"/>
      <c r="G2369" s="6"/>
      <c r="H2369" s="6"/>
      <c r="I2369" s="6"/>
      <c r="J2369" s="6"/>
      <c r="K2369" s="6"/>
      <c r="L2369" s="6"/>
      <c r="M2369" s="6"/>
      <c r="N2369" s="6"/>
      <c r="O2369" s="7"/>
      <c r="P2369" s="6"/>
      <c r="Q2369" s="7"/>
      <c r="R2369" s="6"/>
      <c r="S2369" s="12"/>
      <c r="T2369" s="6"/>
      <c r="U2369" s="6"/>
      <c r="V2369" s="7"/>
      <c r="W2369" s="7"/>
      <c r="X2369" s="6"/>
      <c r="Y2369" s="6"/>
      <c r="Z2369" s="6"/>
      <c r="AA2369" s="1"/>
      <c r="AB2369" s="12"/>
      <c r="AC2369" s="12"/>
      <c r="AD2369" s="12"/>
      <c r="AE2369" s="12"/>
      <c r="AF2369" s="6"/>
      <c r="AG2369" s="12"/>
      <c r="AH2369" s="6"/>
      <c r="AI2369" s="6"/>
      <c r="AJ2369" s="12"/>
      <c r="AK2369" s="12"/>
      <c r="AL2369" s="12"/>
      <c r="AM2369" s="12"/>
      <c r="AN2369" s="1"/>
      <c r="AO2369" s="6"/>
    </row>
    <row r="2370" spans="1:41" ht="15" x14ac:dyDescent="0.25">
      <c r="A2370" s="1"/>
      <c r="B2370" s="1"/>
      <c r="C2370" s="1"/>
      <c r="D2370" s="1"/>
      <c r="E2370" s="6"/>
      <c r="F2370" s="1"/>
      <c r="G2370" s="6"/>
      <c r="H2370" s="6"/>
      <c r="I2370" s="6"/>
      <c r="J2370" s="6"/>
      <c r="K2370" s="6"/>
      <c r="L2370" s="6"/>
      <c r="M2370" s="6"/>
      <c r="N2370" s="6"/>
      <c r="O2370" s="7"/>
      <c r="P2370" s="6"/>
      <c r="Q2370" s="6"/>
      <c r="R2370" s="7"/>
      <c r="S2370" s="6"/>
      <c r="T2370" s="6"/>
      <c r="U2370" s="7"/>
      <c r="V2370" s="6"/>
      <c r="W2370" s="6"/>
      <c r="X2370" s="6"/>
      <c r="Y2370" s="6"/>
      <c r="Z2370" s="6"/>
      <c r="AA2370" s="7"/>
      <c r="AB2370" s="6"/>
      <c r="AC2370" s="6"/>
      <c r="AD2370" s="6"/>
      <c r="AE2370" s="12"/>
      <c r="AF2370" s="12"/>
      <c r="AG2370" s="12"/>
      <c r="AH2370" s="12"/>
      <c r="AI2370" s="6"/>
      <c r="AJ2370" s="12"/>
      <c r="AK2370" s="1"/>
      <c r="AL2370" s="12"/>
      <c r="AM2370" s="12"/>
      <c r="AN2370" s="1"/>
      <c r="AO2370" s="6"/>
    </row>
    <row r="2371" spans="1:41" ht="15" x14ac:dyDescent="0.25">
      <c r="A2371" s="1"/>
      <c r="B2371" s="1"/>
      <c r="C2371" s="1"/>
      <c r="D2371" s="1"/>
      <c r="E2371" s="6"/>
      <c r="F2371" s="1"/>
      <c r="G2371" s="6"/>
      <c r="H2371" s="6"/>
      <c r="I2371" s="6"/>
      <c r="J2371" s="6"/>
      <c r="K2371" s="6"/>
      <c r="L2371" s="6"/>
      <c r="M2371" s="6"/>
      <c r="N2371" s="6"/>
      <c r="O2371" s="7"/>
      <c r="P2371" s="6"/>
      <c r="Q2371" s="6"/>
      <c r="R2371" s="7"/>
      <c r="S2371" s="6"/>
      <c r="T2371" s="6"/>
      <c r="U2371" s="7"/>
      <c r="V2371" s="6"/>
      <c r="W2371" s="6"/>
      <c r="X2371" s="6"/>
      <c r="Y2371" s="6"/>
      <c r="Z2371" s="6"/>
      <c r="AA2371" s="7"/>
      <c r="AB2371" s="6"/>
      <c r="AC2371" s="6"/>
      <c r="AD2371" s="6"/>
      <c r="AE2371" s="12"/>
      <c r="AF2371" s="12"/>
      <c r="AG2371" s="12"/>
      <c r="AH2371" s="12"/>
      <c r="AI2371" s="6"/>
      <c r="AJ2371" s="12"/>
      <c r="AK2371" s="1"/>
      <c r="AL2371" s="12"/>
      <c r="AM2371" s="12"/>
      <c r="AN2371" s="1"/>
      <c r="AO2371" s="6"/>
    </row>
    <row r="2372" spans="1:41" ht="15" x14ac:dyDescent="0.25">
      <c r="A2372" s="1"/>
      <c r="B2372" s="1"/>
      <c r="C2372" s="1"/>
      <c r="D2372" s="1"/>
      <c r="E2372" s="6"/>
      <c r="F2372" s="1"/>
      <c r="G2372" s="6"/>
      <c r="H2372" s="6"/>
      <c r="I2372" s="6"/>
      <c r="J2372" s="6"/>
      <c r="K2372" s="6"/>
      <c r="L2372" s="6"/>
      <c r="M2372" s="6"/>
      <c r="N2372" s="6"/>
      <c r="O2372" s="7"/>
      <c r="P2372" s="6"/>
      <c r="Q2372" s="6"/>
      <c r="R2372" s="7"/>
      <c r="S2372" s="6"/>
      <c r="T2372" s="6"/>
      <c r="U2372" s="7"/>
      <c r="V2372" s="6"/>
      <c r="W2372" s="6"/>
      <c r="X2372" s="12"/>
      <c r="Y2372" s="6"/>
      <c r="Z2372" s="6"/>
      <c r="AA2372" s="7"/>
      <c r="AB2372" s="6"/>
      <c r="AC2372" s="6"/>
      <c r="AD2372" s="6"/>
      <c r="AE2372" s="12"/>
      <c r="AF2372" s="12"/>
      <c r="AG2372" s="12"/>
      <c r="AH2372" s="12"/>
      <c r="AI2372" s="6"/>
      <c r="AJ2372" s="12"/>
      <c r="AK2372" s="24"/>
      <c r="AL2372" s="25"/>
      <c r="AM2372" s="12"/>
      <c r="AN2372" s="1"/>
      <c r="AO2372" s="6"/>
    </row>
    <row r="2373" spans="1:41" ht="15" x14ac:dyDescent="0.25">
      <c r="A2373" s="1"/>
      <c r="B2373" s="1"/>
      <c r="C2373" s="1"/>
      <c r="D2373" s="1"/>
      <c r="E2373" s="6"/>
      <c r="F2373" s="1"/>
      <c r="G2373" s="6"/>
      <c r="H2373" s="6"/>
      <c r="I2373" s="6"/>
      <c r="J2373" s="6"/>
      <c r="K2373" s="6"/>
      <c r="L2373" s="6"/>
      <c r="M2373" s="6"/>
      <c r="N2373" s="6"/>
      <c r="O2373" s="7"/>
      <c r="P2373" s="6"/>
      <c r="Q2373" s="6"/>
      <c r="R2373" s="7"/>
      <c r="S2373" s="6"/>
      <c r="T2373" s="6"/>
      <c r="U2373" s="7"/>
      <c r="V2373" s="6"/>
      <c r="W2373" s="6"/>
      <c r="X2373" s="12"/>
      <c r="Y2373" s="6"/>
      <c r="Z2373" s="6"/>
      <c r="AA2373" s="7"/>
      <c r="AB2373" s="6"/>
      <c r="AC2373" s="6"/>
      <c r="AD2373" s="6"/>
      <c r="AE2373" s="12"/>
      <c r="AF2373" s="12"/>
      <c r="AG2373" s="12"/>
      <c r="AH2373" s="12"/>
      <c r="AI2373" s="6"/>
      <c r="AJ2373" s="12"/>
      <c r="AK2373" s="1"/>
      <c r="AL2373" s="12"/>
      <c r="AM2373" s="12"/>
      <c r="AN2373" s="1"/>
      <c r="AO2373" s="6"/>
    </row>
    <row r="2374" spans="1:41" ht="15" x14ac:dyDescent="0.25">
      <c r="A2374" s="1"/>
      <c r="B2374" s="1"/>
      <c r="C2374" s="1"/>
      <c r="D2374" s="1"/>
      <c r="E2374" s="6"/>
      <c r="F2374" s="1"/>
      <c r="G2374" s="6"/>
      <c r="H2374" s="6"/>
      <c r="I2374" s="6"/>
      <c r="J2374" s="6"/>
      <c r="K2374" s="6"/>
      <c r="L2374" s="6"/>
      <c r="M2374" s="6"/>
      <c r="N2374" s="6"/>
      <c r="O2374" s="7"/>
      <c r="P2374" s="6"/>
      <c r="Q2374" s="6"/>
      <c r="R2374" s="7"/>
      <c r="S2374" s="6"/>
      <c r="T2374" s="6"/>
      <c r="U2374" s="7"/>
      <c r="V2374" s="6"/>
      <c r="W2374" s="6"/>
      <c r="X2374" s="6"/>
      <c r="Y2374" s="6"/>
      <c r="Z2374" s="6"/>
      <c r="AA2374" s="7"/>
      <c r="AB2374" s="6"/>
      <c r="AC2374" s="6"/>
      <c r="AD2374" s="6"/>
      <c r="AE2374" s="12"/>
      <c r="AF2374" s="6"/>
      <c r="AG2374" s="12"/>
      <c r="AH2374" s="6"/>
      <c r="AI2374" s="6"/>
      <c r="AJ2374" s="12"/>
      <c r="AK2374" s="24"/>
      <c r="AL2374" s="25"/>
      <c r="AM2374" s="12"/>
      <c r="AN2374" s="1"/>
      <c r="AO2374" s="6"/>
    </row>
    <row r="2375" spans="1:41" ht="15" x14ac:dyDescent="0.25">
      <c r="A2375" s="1"/>
      <c r="B2375" s="1"/>
      <c r="C2375" s="1"/>
      <c r="D2375" s="1"/>
      <c r="E2375" s="6"/>
      <c r="F2375" s="1"/>
      <c r="G2375" s="6"/>
      <c r="H2375" s="6"/>
      <c r="I2375" s="6"/>
      <c r="J2375" s="6"/>
      <c r="K2375" s="6"/>
      <c r="L2375" s="6"/>
      <c r="M2375" s="6"/>
      <c r="N2375" s="6"/>
      <c r="O2375" s="7"/>
      <c r="P2375" s="12"/>
      <c r="Q2375" s="6"/>
      <c r="R2375" s="7"/>
      <c r="S2375" s="6"/>
      <c r="T2375" s="6"/>
      <c r="U2375" s="7"/>
      <c r="V2375" s="6"/>
      <c r="W2375" s="6"/>
      <c r="X2375" s="12"/>
      <c r="Y2375" s="6"/>
      <c r="Z2375" s="6"/>
      <c r="AA2375" s="7"/>
      <c r="AB2375" s="6"/>
      <c r="AC2375" s="6"/>
      <c r="AD2375" s="6"/>
      <c r="AE2375" s="12"/>
      <c r="AF2375" s="6"/>
      <c r="AG2375" s="12"/>
      <c r="AH2375" s="6"/>
      <c r="AI2375" s="6"/>
      <c r="AJ2375" s="12"/>
      <c r="AK2375" s="24"/>
      <c r="AL2375" s="25"/>
      <c r="AM2375" s="12"/>
      <c r="AN2375" s="1"/>
      <c r="AO2375" s="6"/>
    </row>
    <row r="2376" spans="1:41" ht="15" x14ac:dyDescent="0.25">
      <c r="A2376" s="1"/>
      <c r="B2376" s="1"/>
      <c r="C2376" s="1"/>
      <c r="D2376" s="1"/>
      <c r="E2376" s="6"/>
      <c r="F2376" s="1"/>
      <c r="G2376" s="6"/>
      <c r="H2376" s="6"/>
      <c r="I2376" s="6"/>
      <c r="J2376" s="6"/>
      <c r="K2376" s="6"/>
      <c r="L2376" s="6"/>
      <c r="M2376" s="6"/>
      <c r="N2376" s="6"/>
      <c r="O2376" s="7"/>
      <c r="P2376" s="12"/>
      <c r="Q2376" s="6"/>
      <c r="R2376" s="7"/>
      <c r="S2376" s="6"/>
      <c r="T2376" s="6"/>
      <c r="U2376" s="7"/>
      <c r="V2376" s="6"/>
      <c r="W2376" s="6"/>
      <c r="X2376" s="6"/>
      <c r="Y2376" s="6"/>
      <c r="Z2376" s="6"/>
      <c r="AA2376" s="7"/>
      <c r="AB2376" s="6"/>
      <c r="AC2376" s="6"/>
      <c r="AD2376" s="6"/>
      <c r="AE2376" s="12"/>
      <c r="AF2376" s="6"/>
      <c r="AG2376" s="12"/>
      <c r="AH2376" s="6"/>
      <c r="AI2376" s="6"/>
      <c r="AJ2376" s="12"/>
      <c r="AK2376" s="1"/>
      <c r="AL2376" s="12"/>
      <c r="AM2376" s="12"/>
      <c r="AN2376" s="1"/>
      <c r="AO2376" s="6"/>
    </row>
    <row r="2377" spans="1:41" ht="15" x14ac:dyDescent="0.25">
      <c r="A2377" s="1"/>
      <c r="B2377" s="1"/>
      <c r="C2377" s="1"/>
      <c r="D2377" s="1"/>
      <c r="E2377" s="6"/>
      <c r="F2377" s="1"/>
      <c r="G2377" s="6"/>
      <c r="H2377" s="6"/>
      <c r="I2377" s="6"/>
      <c r="J2377" s="6"/>
      <c r="K2377" s="6"/>
      <c r="L2377" s="6"/>
      <c r="M2377" s="6"/>
      <c r="N2377" s="6"/>
      <c r="O2377" s="7"/>
      <c r="P2377" s="6"/>
      <c r="Q2377" s="6"/>
      <c r="R2377" s="7"/>
      <c r="S2377" s="6"/>
      <c r="T2377" s="6"/>
      <c r="U2377" s="7"/>
      <c r="V2377" s="6"/>
      <c r="W2377" s="6"/>
      <c r="X2377" s="12"/>
      <c r="Y2377" s="6"/>
      <c r="Z2377" s="6"/>
      <c r="AA2377" s="7"/>
      <c r="AB2377" s="6"/>
      <c r="AC2377" s="6"/>
      <c r="AD2377" s="6"/>
      <c r="AE2377" s="12"/>
      <c r="AF2377" s="6"/>
      <c r="AG2377" s="12"/>
      <c r="AH2377" s="6"/>
      <c r="AI2377" s="6"/>
      <c r="AJ2377" s="12"/>
      <c r="AK2377" s="24"/>
      <c r="AL2377" s="25"/>
      <c r="AM2377" s="12"/>
      <c r="AN2377" s="1"/>
      <c r="AO2377" s="6"/>
    </row>
    <row r="2378" spans="1:41" ht="15" x14ac:dyDescent="0.25">
      <c r="A2378" s="1"/>
      <c r="B2378" s="1"/>
      <c r="C2378" s="1"/>
      <c r="D2378" s="1"/>
      <c r="E2378" s="6"/>
      <c r="F2378" s="1"/>
      <c r="G2378" s="6"/>
      <c r="H2378" s="6"/>
      <c r="I2378" s="6"/>
      <c r="J2378" s="6"/>
      <c r="K2378" s="6"/>
      <c r="L2378" s="6"/>
      <c r="M2378" s="6"/>
      <c r="N2378" s="6"/>
      <c r="O2378" s="7"/>
      <c r="P2378" s="6"/>
      <c r="Q2378" s="6"/>
      <c r="R2378" s="7"/>
      <c r="S2378" s="6"/>
      <c r="T2378" s="6"/>
      <c r="U2378" s="7"/>
      <c r="V2378" s="6"/>
      <c r="W2378" s="6"/>
      <c r="X2378" s="12"/>
      <c r="Y2378" s="6"/>
      <c r="Z2378" s="6"/>
      <c r="AA2378" s="7"/>
      <c r="AB2378" s="6"/>
      <c r="AC2378" s="6"/>
      <c r="AD2378" s="6"/>
      <c r="AE2378" s="12"/>
      <c r="AF2378" s="6"/>
      <c r="AG2378" s="12"/>
      <c r="AH2378" s="6"/>
      <c r="AI2378" s="6"/>
      <c r="AJ2378" s="12"/>
      <c r="AK2378" s="24"/>
      <c r="AL2378" s="25"/>
      <c r="AM2378" s="12"/>
      <c r="AN2378" s="1"/>
      <c r="AO2378" s="6"/>
    </row>
    <row r="2379" spans="1:41" ht="15" x14ac:dyDescent="0.25">
      <c r="A2379" s="1"/>
      <c r="B2379" s="1"/>
      <c r="C2379" s="1"/>
      <c r="D2379" s="1"/>
      <c r="E2379" s="6"/>
      <c r="F2379" s="1"/>
      <c r="G2379" s="6"/>
      <c r="H2379" s="6"/>
      <c r="I2379" s="6"/>
      <c r="J2379" s="6"/>
      <c r="K2379" s="6"/>
      <c r="L2379" s="6"/>
      <c r="M2379" s="6"/>
      <c r="N2379" s="6"/>
      <c r="O2379" s="7"/>
      <c r="P2379" s="6"/>
      <c r="Q2379" s="6"/>
      <c r="R2379" s="7"/>
      <c r="S2379" s="6"/>
      <c r="T2379" s="6"/>
      <c r="U2379" s="7"/>
      <c r="V2379" s="6"/>
      <c r="W2379" s="6"/>
      <c r="X2379" s="6"/>
      <c r="Y2379" s="6"/>
      <c r="Z2379" s="6"/>
      <c r="AA2379" s="7"/>
      <c r="AB2379" s="6"/>
      <c r="AC2379" s="6"/>
      <c r="AD2379" s="6"/>
      <c r="AE2379" s="12"/>
      <c r="AF2379" s="6"/>
      <c r="AG2379" s="12"/>
      <c r="AH2379" s="6"/>
      <c r="AI2379" s="6"/>
      <c r="AJ2379" s="12"/>
      <c r="AK2379" s="1"/>
      <c r="AL2379" s="12"/>
      <c r="AM2379" s="12"/>
      <c r="AN2379" s="1"/>
      <c r="AO2379" s="6"/>
    </row>
    <row r="2380" spans="1:41" ht="15" x14ac:dyDescent="0.25">
      <c r="A2380" s="1"/>
      <c r="B2380" s="1"/>
      <c r="C2380" s="1"/>
      <c r="D2380" s="1"/>
      <c r="E2380" s="6"/>
      <c r="F2380" s="1"/>
      <c r="G2380" s="6"/>
      <c r="H2380" s="6"/>
      <c r="I2380" s="6"/>
      <c r="J2380" s="6"/>
      <c r="K2380" s="6"/>
      <c r="L2380" s="6"/>
      <c r="M2380" s="6"/>
      <c r="N2380" s="6"/>
      <c r="O2380" s="7"/>
      <c r="P2380" s="6"/>
      <c r="Q2380" s="6"/>
      <c r="R2380" s="7"/>
      <c r="S2380" s="6"/>
      <c r="T2380" s="6"/>
      <c r="U2380" s="7"/>
      <c r="V2380" s="6"/>
      <c r="W2380" s="6"/>
      <c r="X2380" s="12"/>
      <c r="Y2380" s="6"/>
      <c r="Z2380" s="6"/>
      <c r="AA2380" s="7"/>
      <c r="AB2380" s="6"/>
      <c r="AC2380" s="6"/>
      <c r="AD2380" s="6"/>
      <c r="AE2380" s="12"/>
      <c r="AF2380" s="6"/>
      <c r="AG2380" s="12"/>
      <c r="AH2380" s="6"/>
      <c r="AI2380" s="6"/>
      <c r="AJ2380" s="12"/>
      <c r="AK2380" s="1"/>
      <c r="AL2380" s="12"/>
      <c r="AM2380" s="12"/>
      <c r="AN2380" s="1"/>
      <c r="AO2380" s="6"/>
    </row>
    <row r="2381" spans="1:41" ht="15" x14ac:dyDescent="0.25">
      <c r="A2381" s="1"/>
      <c r="B2381" s="1"/>
      <c r="C2381" s="1"/>
      <c r="D2381" s="1"/>
      <c r="E2381" s="6"/>
      <c r="F2381" s="1"/>
      <c r="G2381" s="6"/>
      <c r="H2381" s="6"/>
      <c r="I2381" s="6"/>
      <c r="J2381" s="6"/>
      <c r="K2381" s="6"/>
      <c r="L2381" s="6"/>
      <c r="M2381" s="6"/>
      <c r="N2381" s="6"/>
      <c r="O2381" s="7"/>
      <c r="P2381" s="12"/>
      <c r="Q2381" s="6"/>
      <c r="R2381" s="7"/>
      <c r="S2381" s="6"/>
      <c r="T2381" s="6"/>
      <c r="U2381" s="7"/>
      <c r="V2381" s="6"/>
      <c r="W2381" s="6"/>
      <c r="X2381" s="12"/>
      <c r="Y2381" s="6"/>
      <c r="Z2381" s="6"/>
      <c r="AA2381" s="7"/>
      <c r="AB2381" s="6"/>
      <c r="AC2381" s="6"/>
      <c r="AD2381" s="6"/>
      <c r="AE2381" s="12"/>
      <c r="AF2381" s="6"/>
      <c r="AG2381" s="12"/>
      <c r="AH2381" s="6"/>
      <c r="AI2381" s="6"/>
      <c r="AJ2381" s="12"/>
      <c r="AK2381" s="24"/>
      <c r="AL2381" s="25"/>
      <c r="AM2381" s="12"/>
      <c r="AN2381" s="1"/>
      <c r="AO2381" s="6"/>
    </row>
    <row r="2382" spans="1:41" ht="15" x14ac:dyDescent="0.25">
      <c r="A2382" s="1"/>
      <c r="B2382" s="1"/>
      <c r="C2382" s="1"/>
      <c r="D2382" s="1"/>
      <c r="E2382" s="6"/>
      <c r="F2382" s="1"/>
      <c r="G2382" s="6"/>
      <c r="H2382" s="6"/>
      <c r="I2382" s="6"/>
      <c r="J2382" s="6"/>
      <c r="K2382" s="6"/>
      <c r="L2382" s="6"/>
      <c r="M2382" s="6"/>
      <c r="N2382" s="6"/>
      <c r="O2382" s="7"/>
      <c r="P2382" s="12"/>
      <c r="Q2382" s="6"/>
      <c r="R2382" s="7"/>
      <c r="S2382" s="6"/>
      <c r="T2382" s="6"/>
      <c r="U2382" s="7"/>
      <c r="V2382" s="6"/>
      <c r="W2382" s="6"/>
      <c r="X2382" s="12"/>
      <c r="Y2382" s="6"/>
      <c r="Z2382" s="6"/>
      <c r="AA2382" s="7"/>
      <c r="AB2382" s="6"/>
      <c r="AC2382" s="6"/>
      <c r="AD2382" s="6"/>
      <c r="AE2382" s="12"/>
      <c r="AF2382" s="12"/>
      <c r="AG2382" s="12"/>
      <c r="AH2382" s="12"/>
      <c r="AI2382" s="6"/>
      <c r="AJ2382" s="12"/>
      <c r="AK2382" s="1"/>
      <c r="AL2382" s="12"/>
      <c r="AM2382" s="12"/>
      <c r="AN2382" s="1"/>
      <c r="AO2382" s="6"/>
    </row>
    <row r="2383" spans="1:41" ht="15" x14ac:dyDescent="0.25">
      <c r="A2383" s="1"/>
      <c r="B2383" s="1"/>
      <c r="C2383" s="1"/>
      <c r="D2383" s="1"/>
      <c r="E2383" s="6"/>
      <c r="F2383" s="1"/>
      <c r="G2383" s="6"/>
      <c r="H2383" s="6"/>
      <c r="I2383" s="6"/>
      <c r="J2383" s="6"/>
      <c r="K2383" s="6"/>
      <c r="L2383" s="6"/>
      <c r="M2383" s="6"/>
      <c r="N2383" s="6"/>
      <c r="O2383" s="7"/>
      <c r="P2383" s="12"/>
      <c r="Q2383" s="6"/>
      <c r="R2383" s="7"/>
      <c r="S2383" s="6"/>
      <c r="T2383" s="6"/>
      <c r="U2383" s="7"/>
      <c r="V2383" s="6"/>
      <c r="W2383" s="6"/>
      <c r="X2383" s="6"/>
      <c r="Y2383" s="6"/>
      <c r="Z2383" s="6"/>
      <c r="AA2383" s="7"/>
      <c r="AB2383" s="6"/>
      <c r="AC2383" s="6"/>
      <c r="AD2383" s="6"/>
      <c r="AE2383" s="12"/>
      <c r="AF2383" s="12"/>
      <c r="AG2383" s="12"/>
      <c r="AH2383" s="12"/>
      <c r="AI2383" s="6"/>
      <c r="AJ2383" s="12"/>
      <c r="AK2383" s="1"/>
      <c r="AL2383" s="12"/>
      <c r="AM2383" s="12"/>
      <c r="AN2383" s="1"/>
      <c r="AO2383" s="6"/>
    </row>
    <row r="2384" spans="1:41" ht="15" x14ac:dyDescent="0.25">
      <c r="A2384" s="1"/>
      <c r="B2384" s="1"/>
      <c r="C2384" s="1"/>
      <c r="D2384" s="1"/>
      <c r="E2384" s="6"/>
      <c r="F2384" s="1"/>
      <c r="G2384" s="6"/>
      <c r="H2384" s="6"/>
      <c r="I2384" s="6"/>
      <c r="J2384" s="6"/>
      <c r="K2384" s="6"/>
      <c r="L2384" s="6"/>
      <c r="M2384" s="6"/>
      <c r="N2384" s="6"/>
      <c r="O2384" s="7"/>
      <c r="P2384" s="6"/>
      <c r="Q2384" s="6"/>
      <c r="R2384" s="7"/>
      <c r="S2384" s="6"/>
      <c r="T2384" s="6"/>
      <c r="U2384" s="7"/>
      <c r="V2384" s="6"/>
      <c r="W2384" s="6"/>
      <c r="X2384" s="6"/>
      <c r="Y2384" s="6"/>
      <c r="Z2384" s="6"/>
      <c r="AA2384" s="7"/>
      <c r="AB2384" s="6"/>
      <c r="AC2384" s="6"/>
      <c r="AD2384" s="6"/>
      <c r="AE2384" s="12"/>
      <c r="AF2384" s="12"/>
      <c r="AG2384" s="12"/>
      <c r="AH2384" s="12"/>
      <c r="AI2384" s="6"/>
      <c r="AJ2384" s="12"/>
      <c r="AK2384" s="1"/>
      <c r="AL2384" s="12"/>
      <c r="AM2384" s="12"/>
      <c r="AN2384" s="1"/>
      <c r="AO2384" s="6"/>
    </row>
    <row r="2385" spans="1:41" ht="15" x14ac:dyDescent="0.25">
      <c r="A2385" s="1"/>
      <c r="B2385" s="1"/>
      <c r="C2385" s="1"/>
      <c r="D2385" s="1"/>
      <c r="E2385" s="6"/>
      <c r="F2385" s="1"/>
      <c r="G2385" s="6"/>
      <c r="H2385" s="6"/>
      <c r="I2385" s="6"/>
      <c r="J2385" s="6"/>
      <c r="K2385" s="6"/>
      <c r="L2385" s="6"/>
      <c r="M2385" s="6"/>
      <c r="N2385" s="6"/>
      <c r="O2385" s="7"/>
      <c r="P2385" s="6"/>
      <c r="Q2385" s="6"/>
      <c r="R2385" s="7"/>
      <c r="S2385" s="6"/>
      <c r="T2385" s="6"/>
      <c r="U2385" s="7"/>
      <c r="V2385" s="6"/>
      <c r="W2385" s="6"/>
      <c r="X2385" s="6"/>
      <c r="Y2385" s="6"/>
      <c r="Z2385" s="6"/>
      <c r="AA2385" s="7"/>
      <c r="AB2385" s="6"/>
      <c r="AC2385" s="6"/>
      <c r="AD2385" s="6"/>
      <c r="AE2385" s="12"/>
      <c r="AF2385" s="6"/>
      <c r="AG2385" s="12"/>
      <c r="AH2385" s="6"/>
      <c r="AI2385" s="6"/>
      <c r="AJ2385" s="12"/>
      <c r="AK2385" s="24"/>
      <c r="AL2385" s="25"/>
      <c r="AM2385" s="12"/>
      <c r="AN2385" s="1"/>
      <c r="AO2385" s="6"/>
    </row>
    <row r="2386" spans="1:41" ht="15" x14ac:dyDescent="0.25">
      <c r="A2386" s="1"/>
      <c r="B2386" s="1"/>
      <c r="C2386" s="1"/>
      <c r="D2386" s="1"/>
      <c r="E2386" s="6"/>
      <c r="F2386" s="1"/>
      <c r="G2386" s="6"/>
      <c r="H2386" s="6"/>
      <c r="I2386" s="6"/>
      <c r="J2386" s="6"/>
      <c r="K2386" s="6"/>
      <c r="L2386" s="6"/>
      <c r="M2386" s="6"/>
      <c r="N2386" s="6"/>
      <c r="O2386" s="7"/>
      <c r="P2386" s="6"/>
      <c r="Q2386" s="6"/>
      <c r="R2386" s="12"/>
      <c r="S2386" s="12"/>
      <c r="T2386" s="12"/>
      <c r="U2386" s="7"/>
      <c r="V2386" s="6"/>
      <c r="W2386" s="6"/>
      <c r="X2386" s="12"/>
      <c r="Y2386" s="6"/>
      <c r="Z2386" s="6"/>
      <c r="AA2386" s="7"/>
      <c r="AB2386" s="6"/>
      <c r="AC2386" s="6"/>
      <c r="AD2386" s="6"/>
      <c r="AE2386" s="12"/>
      <c r="AF2386" s="12"/>
      <c r="AG2386" s="12"/>
      <c r="AH2386" s="12"/>
      <c r="AI2386" s="6"/>
      <c r="AJ2386" s="12"/>
      <c r="AK2386" s="24"/>
      <c r="AL2386" s="25"/>
      <c r="AM2386" s="12"/>
      <c r="AN2386" s="1"/>
      <c r="AO2386" s="6"/>
    </row>
    <row r="2387" spans="1:41" ht="15" x14ac:dyDescent="0.25">
      <c r="A2387" s="1"/>
      <c r="B2387" s="1"/>
      <c r="C2387" s="1"/>
      <c r="D2387" s="1"/>
      <c r="E2387" s="6"/>
      <c r="F2387" s="1"/>
      <c r="G2387" s="6"/>
      <c r="H2387" s="6"/>
      <c r="I2387" s="6"/>
      <c r="J2387" s="6"/>
      <c r="K2387" s="6"/>
      <c r="L2387" s="6"/>
      <c r="M2387" s="6"/>
      <c r="N2387" s="6"/>
      <c r="O2387" s="7"/>
      <c r="P2387" s="6"/>
      <c r="Q2387" s="6"/>
      <c r="R2387" s="7"/>
      <c r="S2387" s="6"/>
      <c r="T2387" s="6"/>
      <c r="U2387" s="7"/>
      <c r="V2387" s="6"/>
      <c r="W2387" s="6"/>
      <c r="X2387" s="6"/>
      <c r="Y2387" s="6"/>
      <c r="Z2387" s="6"/>
      <c r="AA2387" s="7"/>
      <c r="AB2387" s="6"/>
      <c r="AC2387" s="6"/>
      <c r="AD2387" s="6"/>
      <c r="AE2387" s="12"/>
      <c r="AF2387" s="6"/>
      <c r="AG2387" s="12"/>
      <c r="AH2387" s="6"/>
      <c r="AI2387" s="6"/>
      <c r="AJ2387" s="12"/>
      <c r="AK2387" s="1"/>
      <c r="AL2387" s="12"/>
      <c r="AM2387" s="12"/>
      <c r="AN2387" s="1"/>
      <c r="AO2387" s="6"/>
    </row>
    <row r="2388" spans="1:41" ht="15" x14ac:dyDescent="0.25">
      <c r="A2388" s="1"/>
      <c r="B2388" s="1"/>
      <c r="C2388" s="1"/>
      <c r="D2388" s="1"/>
      <c r="E2388" s="6"/>
      <c r="F2388" s="1"/>
      <c r="G2388" s="6"/>
      <c r="H2388" s="6"/>
      <c r="I2388" s="6"/>
      <c r="J2388" s="6"/>
      <c r="K2388" s="6"/>
      <c r="L2388" s="6"/>
      <c r="M2388" s="6"/>
      <c r="N2388" s="6"/>
      <c r="O2388" s="7"/>
      <c r="P2388" s="6"/>
      <c r="Q2388" s="6"/>
      <c r="R2388" s="7"/>
      <c r="S2388" s="6"/>
      <c r="T2388" s="6"/>
      <c r="U2388" s="7"/>
      <c r="V2388" s="6"/>
      <c r="W2388" s="6"/>
      <c r="X2388" s="6"/>
      <c r="Y2388" s="6"/>
      <c r="Z2388" s="6"/>
      <c r="AA2388" s="7"/>
      <c r="AB2388" s="6"/>
      <c r="AC2388" s="6"/>
      <c r="AD2388" s="6"/>
      <c r="AE2388" s="12"/>
      <c r="AF2388" s="6"/>
      <c r="AG2388" s="12"/>
      <c r="AH2388" s="6"/>
      <c r="AI2388" s="6"/>
      <c r="AJ2388" s="12"/>
      <c r="AK2388" s="1"/>
      <c r="AL2388" s="12"/>
      <c r="AM2388" s="12"/>
      <c r="AN2388" s="1"/>
      <c r="AO2388" s="6"/>
    </row>
    <row r="2389" spans="1:41" ht="15" x14ac:dyDescent="0.25">
      <c r="A2389" s="1"/>
      <c r="B2389" s="1"/>
      <c r="C2389" s="1"/>
      <c r="D2389" s="1"/>
      <c r="E2389" s="6"/>
      <c r="F2389" s="1"/>
      <c r="G2389" s="6"/>
      <c r="H2389" s="6"/>
      <c r="I2389" s="6"/>
      <c r="J2389" s="6"/>
      <c r="K2389" s="6"/>
      <c r="L2389" s="6"/>
      <c r="M2389" s="6"/>
      <c r="N2389" s="6"/>
      <c r="O2389" s="7"/>
      <c r="P2389" s="6"/>
      <c r="Q2389" s="6"/>
      <c r="R2389" s="7"/>
      <c r="S2389" s="6"/>
      <c r="T2389" s="6"/>
      <c r="U2389" s="7"/>
      <c r="V2389" s="6"/>
      <c r="W2389" s="6"/>
      <c r="X2389" s="6"/>
      <c r="Y2389" s="6"/>
      <c r="Z2389" s="6"/>
      <c r="AA2389" s="7"/>
      <c r="AB2389" s="6"/>
      <c r="AC2389" s="6"/>
      <c r="AD2389" s="6"/>
      <c r="AE2389" s="12"/>
      <c r="AF2389" s="12"/>
      <c r="AG2389" s="12"/>
      <c r="AH2389" s="12"/>
      <c r="AI2389" s="6"/>
      <c r="AJ2389" s="12"/>
      <c r="AK2389" s="1"/>
      <c r="AL2389" s="12"/>
      <c r="AM2389" s="12"/>
      <c r="AN2389" s="1"/>
      <c r="AO2389" s="6"/>
    </row>
    <row r="2390" spans="1:41" ht="15" x14ac:dyDescent="0.25">
      <c r="A2390" s="1"/>
      <c r="B2390" s="1"/>
      <c r="C2390" s="1"/>
      <c r="D2390" s="1"/>
      <c r="E2390" s="6"/>
      <c r="F2390" s="1"/>
      <c r="G2390" s="6"/>
      <c r="H2390" s="6"/>
      <c r="I2390" s="6"/>
      <c r="J2390" s="6"/>
      <c r="K2390" s="6"/>
      <c r="L2390" s="6"/>
      <c r="M2390" s="6"/>
      <c r="N2390" s="6"/>
      <c r="O2390" s="7"/>
      <c r="P2390" s="12"/>
      <c r="Q2390" s="6"/>
      <c r="R2390" s="7"/>
      <c r="S2390" s="6"/>
      <c r="T2390" s="6"/>
      <c r="U2390" s="7"/>
      <c r="V2390" s="6"/>
      <c r="W2390" s="6"/>
      <c r="X2390" s="12"/>
      <c r="Y2390" s="6"/>
      <c r="Z2390" s="6"/>
      <c r="AA2390" s="7"/>
      <c r="AB2390" s="6"/>
      <c r="AC2390" s="6"/>
      <c r="AD2390" s="6"/>
      <c r="AE2390" s="12"/>
      <c r="AF2390" s="6"/>
      <c r="AG2390" s="12"/>
      <c r="AH2390" s="6"/>
      <c r="AI2390" s="6"/>
      <c r="AJ2390" s="12"/>
      <c r="AK2390" s="24"/>
      <c r="AL2390" s="25"/>
      <c r="AM2390" s="12"/>
      <c r="AN2390" s="1"/>
      <c r="AO2390" s="6"/>
    </row>
    <row r="2391" spans="1:41" ht="15" x14ac:dyDescent="0.25">
      <c r="A2391" s="1"/>
      <c r="B2391" s="1"/>
      <c r="C2391" s="1"/>
      <c r="D2391" s="1"/>
      <c r="E2391" s="6"/>
      <c r="F2391" s="1"/>
      <c r="G2391" s="6"/>
      <c r="H2391" s="6"/>
      <c r="I2391" s="6"/>
      <c r="J2391" s="6"/>
      <c r="K2391" s="6"/>
      <c r="L2391" s="6"/>
      <c r="M2391" s="6"/>
      <c r="N2391" s="6"/>
      <c r="O2391" s="7"/>
      <c r="P2391" s="6"/>
      <c r="Q2391" s="6"/>
      <c r="R2391" s="7"/>
      <c r="S2391" s="6"/>
      <c r="T2391" s="6"/>
      <c r="U2391" s="7"/>
      <c r="V2391" s="6"/>
      <c r="W2391" s="6"/>
      <c r="X2391" s="6"/>
      <c r="Y2391" s="6"/>
      <c r="Z2391" s="6"/>
      <c r="AA2391" s="7"/>
      <c r="AB2391" s="6"/>
      <c r="AC2391" s="6"/>
      <c r="AD2391" s="6"/>
      <c r="AE2391" s="12"/>
      <c r="AF2391" s="12"/>
      <c r="AG2391" s="12"/>
      <c r="AH2391" s="12"/>
      <c r="AI2391" s="6"/>
      <c r="AJ2391" s="12"/>
      <c r="AK2391" s="1"/>
      <c r="AL2391" s="12"/>
      <c r="AM2391" s="12"/>
      <c r="AN2391" s="1"/>
      <c r="AO2391" s="6"/>
    </row>
    <row r="2392" spans="1:41" ht="15" x14ac:dyDescent="0.25">
      <c r="A2392" s="1"/>
      <c r="B2392" s="1"/>
      <c r="C2392" s="1"/>
      <c r="D2392" s="1"/>
      <c r="E2392" s="6"/>
      <c r="F2392" s="1"/>
      <c r="G2392" s="6"/>
      <c r="H2392" s="6"/>
      <c r="I2392" s="6"/>
      <c r="J2392" s="6"/>
      <c r="K2392" s="6"/>
      <c r="L2392" s="6"/>
      <c r="M2392" s="6"/>
      <c r="N2392" s="6"/>
      <c r="O2392" s="7"/>
      <c r="P2392" s="6"/>
      <c r="Q2392" s="7"/>
      <c r="R2392" s="6"/>
      <c r="S2392" s="6"/>
      <c r="T2392" s="6"/>
      <c r="U2392" s="6"/>
      <c r="V2392" s="7"/>
      <c r="W2392" s="7"/>
      <c r="X2392" s="6"/>
      <c r="Y2392" s="6"/>
      <c r="Z2392" s="6"/>
      <c r="AA2392" s="1"/>
      <c r="AB2392" s="12"/>
      <c r="AC2392" s="12"/>
      <c r="AD2392" s="12"/>
      <c r="AE2392" s="12"/>
      <c r="AF2392" s="12"/>
      <c r="AG2392" s="12"/>
      <c r="AH2392" s="12"/>
      <c r="AI2392" s="6"/>
      <c r="AJ2392" s="12"/>
      <c r="AK2392" s="12"/>
      <c r="AL2392" s="12"/>
      <c r="AM2392" s="12"/>
      <c r="AN2392" s="1"/>
      <c r="AO2392" s="6"/>
    </row>
    <row r="2393" spans="1:41" ht="15" x14ac:dyDescent="0.25">
      <c r="A2393" s="1"/>
      <c r="B2393" s="1"/>
      <c r="C2393" s="1"/>
      <c r="D2393" s="1"/>
      <c r="E2393" s="6"/>
      <c r="F2393" s="1"/>
      <c r="G2393" s="6"/>
      <c r="H2393" s="6"/>
      <c r="I2393" s="6"/>
      <c r="J2393" s="6"/>
      <c r="K2393" s="6"/>
      <c r="L2393" s="6"/>
      <c r="M2393" s="6"/>
      <c r="N2393" s="6"/>
      <c r="O2393" s="7"/>
      <c r="P2393" s="12"/>
      <c r="Q2393" s="6"/>
      <c r="R2393" s="7"/>
      <c r="S2393" s="6"/>
      <c r="T2393" s="6"/>
      <c r="U2393" s="7"/>
      <c r="V2393" s="6"/>
      <c r="W2393" s="6"/>
      <c r="X2393" s="6"/>
      <c r="Y2393" s="6"/>
      <c r="Z2393" s="6"/>
      <c r="AA2393" s="7"/>
      <c r="AB2393" s="6"/>
      <c r="AC2393" s="6"/>
      <c r="AD2393" s="6"/>
      <c r="AE2393" s="12"/>
      <c r="AF2393" s="12"/>
      <c r="AG2393" s="12"/>
      <c r="AH2393" s="12"/>
      <c r="AI2393" s="6"/>
      <c r="AJ2393" s="12"/>
      <c r="AK2393" s="1"/>
      <c r="AL2393" s="12"/>
      <c r="AM2393" s="12"/>
      <c r="AN2393" s="1"/>
      <c r="AO2393" s="6"/>
    </row>
    <row r="2394" spans="1:41" ht="15" x14ac:dyDescent="0.25">
      <c r="A2394" s="1"/>
      <c r="B2394" s="1"/>
      <c r="C2394" s="1"/>
      <c r="D2394" s="1"/>
      <c r="E2394" s="6"/>
      <c r="F2394" s="1"/>
      <c r="G2394" s="6"/>
      <c r="H2394" s="6"/>
      <c r="I2394" s="6"/>
      <c r="J2394" s="6"/>
      <c r="K2394" s="6"/>
      <c r="L2394" s="6"/>
      <c r="M2394" s="6"/>
      <c r="N2394" s="6"/>
      <c r="O2394" s="7"/>
      <c r="P2394" s="6"/>
      <c r="Q2394" s="6"/>
      <c r="R2394" s="7"/>
      <c r="S2394" s="6"/>
      <c r="T2394" s="6"/>
      <c r="U2394" s="7"/>
      <c r="V2394" s="6"/>
      <c r="W2394" s="6"/>
      <c r="X2394" s="12"/>
      <c r="Y2394" s="6"/>
      <c r="Z2394" s="6"/>
      <c r="AA2394" s="7"/>
      <c r="AB2394" s="6"/>
      <c r="AC2394" s="6"/>
      <c r="AD2394" s="6"/>
      <c r="AE2394" s="12"/>
      <c r="AF2394" s="12"/>
      <c r="AG2394" s="12"/>
      <c r="AH2394" s="12"/>
      <c r="AI2394" s="6"/>
      <c r="AJ2394" s="12"/>
      <c r="AK2394" s="24"/>
      <c r="AL2394" s="25"/>
      <c r="AM2394" s="12"/>
      <c r="AN2394" s="1"/>
      <c r="AO2394" s="6"/>
    </row>
    <row r="2395" spans="1:41" ht="15" x14ac:dyDescent="0.25">
      <c r="A2395" s="1"/>
      <c r="B2395" s="1"/>
      <c r="C2395" s="1"/>
      <c r="D2395" s="1"/>
      <c r="E2395" s="6"/>
      <c r="F2395" s="1"/>
      <c r="G2395" s="6"/>
      <c r="H2395" s="6"/>
      <c r="I2395" s="6"/>
      <c r="J2395" s="6"/>
      <c r="K2395" s="6"/>
      <c r="L2395" s="6"/>
      <c r="M2395" s="6"/>
      <c r="N2395" s="6"/>
      <c r="O2395" s="7"/>
      <c r="P2395" s="12"/>
      <c r="Q2395" s="6"/>
      <c r="R2395" s="7"/>
      <c r="S2395" s="6"/>
      <c r="T2395" s="6"/>
      <c r="U2395" s="7"/>
      <c r="V2395" s="6"/>
      <c r="W2395" s="6"/>
      <c r="X2395" s="12"/>
      <c r="Y2395" s="6"/>
      <c r="Z2395" s="6"/>
      <c r="AA2395" s="7"/>
      <c r="AB2395" s="6"/>
      <c r="AC2395" s="6"/>
      <c r="AD2395" s="6"/>
      <c r="AE2395" s="12"/>
      <c r="AF2395" s="12"/>
      <c r="AG2395" s="12"/>
      <c r="AH2395" s="12"/>
      <c r="AI2395" s="6"/>
      <c r="AJ2395" s="12"/>
      <c r="AK2395" s="1"/>
      <c r="AL2395" s="12"/>
      <c r="AM2395" s="12"/>
      <c r="AN2395" s="1"/>
      <c r="AO2395" s="6"/>
    </row>
    <row r="2396" spans="1:41" ht="15" x14ac:dyDescent="0.25">
      <c r="A2396" s="1"/>
      <c r="B2396" s="1"/>
      <c r="C2396" s="1"/>
      <c r="D2396" s="1"/>
      <c r="E2396" s="6"/>
      <c r="F2396" s="1"/>
      <c r="G2396" s="6"/>
      <c r="H2396" s="6"/>
      <c r="I2396" s="6"/>
      <c r="J2396" s="6"/>
      <c r="K2396" s="6"/>
      <c r="L2396" s="6"/>
      <c r="M2396" s="6"/>
      <c r="N2396" s="6"/>
      <c r="O2396" s="7"/>
      <c r="P2396" s="6"/>
      <c r="Q2396" s="6"/>
      <c r="R2396" s="7"/>
      <c r="S2396" s="6"/>
      <c r="T2396" s="6"/>
      <c r="U2396" s="7"/>
      <c r="V2396" s="6"/>
      <c r="W2396" s="6"/>
      <c r="X2396" s="12"/>
      <c r="Y2396" s="6"/>
      <c r="Z2396" s="6"/>
      <c r="AA2396" s="7"/>
      <c r="AB2396" s="6"/>
      <c r="AC2396" s="6"/>
      <c r="AD2396" s="6"/>
      <c r="AE2396" s="12"/>
      <c r="AF2396" s="6"/>
      <c r="AG2396" s="12"/>
      <c r="AH2396" s="6"/>
      <c r="AI2396" s="6"/>
      <c r="AJ2396" s="12"/>
      <c r="AK2396" s="24"/>
      <c r="AL2396" s="25"/>
      <c r="AM2396" s="12"/>
      <c r="AN2396" s="1"/>
      <c r="AO2396" s="6"/>
    </row>
    <row r="2397" spans="1:41" ht="15" x14ac:dyDescent="0.25">
      <c r="A2397" s="1"/>
      <c r="B2397" s="1"/>
      <c r="C2397" s="1"/>
      <c r="D2397" s="1"/>
      <c r="E2397" s="6"/>
      <c r="F2397" s="1"/>
      <c r="G2397" s="6"/>
      <c r="H2397" s="6"/>
      <c r="I2397" s="6"/>
      <c r="J2397" s="6"/>
      <c r="K2397" s="6"/>
      <c r="L2397" s="6"/>
      <c r="M2397" s="6"/>
      <c r="N2397" s="6"/>
      <c r="O2397" s="7"/>
      <c r="P2397" s="6"/>
      <c r="Q2397" s="6"/>
      <c r="R2397" s="7"/>
      <c r="S2397" s="6"/>
      <c r="T2397" s="6"/>
      <c r="U2397" s="7"/>
      <c r="V2397" s="6"/>
      <c r="W2397" s="6"/>
      <c r="X2397" s="6"/>
      <c r="Y2397" s="6"/>
      <c r="Z2397" s="6"/>
      <c r="AA2397" s="7"/>
      <c r="AB2397" s="6"/>
      <c r="AC2397" s="6"/>
      <c r="AD2397" s="6"/>
      <c r="AE2397" s="12"/>
      <c r="AF2397" s="6"/>
      <c r="AG2397" s="12"/>
      <c r="AH2397" s="6"/>
      <c r="AI2397" s="6"/>
      <c r="AJ2397" s="12"/>
      <c r="AK2397" s="24"/>
      <c r="AL2397" s="25"/>
      <c r="AM2397" s="12"/>
      <c r="AN2397" s="1"/>
      <c r="AO2397" s="6"/>
    </row>
    <row r="2398" spans="1:41" ht="15" x14ac:dyDescent="0.25">
      <c r="A2398" s="1"/>
      <c r="B2398" s="1"/>
      <c r="C2398" s="1"/>
      <c r="D2398" s="1"/>
      <c r="E2398" s="6"/>
      <c r="F2398" s="1"/>
      <c r="G2398" s="6"/>
      <c r="H2398" s="6"/>
      <c r="I2398" s="6"/>
      <c r="J2398" s="6"/>
      <c r="K2398" s="6"/>
      <c r="L2398" s="6"/>
      <c r="M2398" s="6"/>
      <c r="N2398" s="6"/>
      <c r="O2398" s="7"/>
      <c r="P2398" s="6"/>
      <c r="Q2398" s="6"/>
      <c r="R2398" s="7"/>
      <c r="S2398" s="6"/>
      <c r="T2398" s="6"/>
      <c r="U2398" s="7"/>
      <c r="V2398" s="6"/>
      <c r="W2398" s="6"/>
      <c r="X2398" s="12"/>
      <c r="Y2398" s="6"/>
      <c r="Z2398" s="6"/>
      <c r="AA2398" s="7"/>
      <c r="AB2398" s="6"/>
      <c r="AC2398" s="6"/>
      <c r="AD2398" s="6"/>
      <c r="AE2398" s="12"/>
      <c r="AF2398" s="12"/>
      <c r="AG2398" s="12"/>
      <c r="AH2398" s="12"/>
      <c r="AI2398" s="6"/>
      <c r="AJ2398" s="12"/>
      <c r="AK2398" s="24"/>
      <c r="AL2398" s="25"/>
      <c r="AM2398" s="12"/>
      <c r="AN2398" s="1"/>
      <c r="AO2398" s="6"/>
    </row>
    <row r="2399" spans="1:41" ht="15" x14ac:dyDescent="0.25">
      <c r="A2399" s="1"/>
      <c r="B2399" s="1"/>
      <c r="C2399" s="1"/>
      <c r="D2399" s="1"/>
      <c r="E2399" s="6"/>
      <c r="F2399" s="1"/>
      <c r="G2399" s="6"/>
      <c r="H2399" s="6"/>
      <c r="I2399" s="6"/>
      <c r="J2399" s="6"/>
      <c r="K2399" s="6"/>
      <c r="L2399" s="6"/>
      <c r="M2399" s="6"/>
      <c r="N2399" s="6"/>
      <c r="O2399" s="7"/>
      <c r="P2399" s="6"/>
      <c r="Q2399" s="6"/>
      <c r="R2399" s="7"/>
      <c r="S2399" s="6"/>
      <c r="T2399" s="6"/>
      <c r="U2399" s="7"/>
      <c r="V2399" s="6"/>
      <c r="W2399" s="6"/>
      <c r="X2399" s="12"/>
      <c r="Y2399" s="6"/>
      <c r="Z2399" s="6"/>
      <c r="AA2399" s="7"/>
      <c r="AB2399" s="6"/>
      <c r="AC2399" s="6"/>
      <c r="AD2399" s="6"/>
      <c r="AE2399" s="12"/>
      <c r="AF2399" s="6"/>
      <c r="AG2399" s="12"/>
      <c r="AH2399" s="6"/>
      <c r="AI2399" s="6"/>
      <c r="AJ2399" s="12"/>
      <c r="AK2399" s="1"/>
      <c r="AL2399" s="12"/>
      <c r="AM2399" s="12"/>
      <c r="AN2399" s="1"/>
      <c r="AO2399" s="6"/>
    </row>
    <row r="2400" spans="1:41" ht="15" x14ac:dyDescent="0.25">
      <c r="A2400" s="1"/>
      <c r="B2400" s="1"/>
      <c r="C2400" s="1"/>
      <c r="D2400" s="1"/>
      <c r="E2400" s="6"/>
      <c r="F2400" s="1"/>
      <c r="G2400" s="6"/>
      <c r="H2400" s="6"/>
      <c r="I2400" s="6"/>
      <c r="J2400" s="6"/>
      <c r="K2400" s="6"/>
      <c r="L2400" s="6"/>
      <c r="M2400" s="6"/>
      <c r="N2400" s="6"/>
      <c r="O2400" s="7"/>
      <c r="P2400" s="6"/>
      <c r="Q2400" s="7"/>
      <c r="R2400" s="6"/>
      <c r="S2400" s="12"/>
      <c r="T2400" s="6"/>
      <c r="U2400" s="6"/>
      <c r="V2400" s="7"/>
      <c r="W2400" s="7"/>
      <c r="X2400" s="6"/>
      <c r="Y2400" s="6"/>
      <c r="Z2400" s="6"/>
      <c r="AA2400" s="1"/>
      <c r="AB2400" s="12"/>
      <c r="AC2400" s="12"/>
      <c r="AD2400" s="12"/>
      <c r="AE2400" s="12"/>
      <c r="AF2400" s="12"/>
      <c r="AG2400" s="12"/>
      <c r="AH2400" s="12"/>
      <c r="AI2400" s="6"/>
      <c r="AJ2400" s="12"/>
      <c r="AK2400" s="12"/>
      <c r="AL2400" s="12"/>
      <c r="AM2400" s="12"/>
      <c r="AN2400" s="1"/>
      <c r="AO2400" s="6"/>
    </row>
    <row r="2401" spans="1:41" ht="15" x14ac:dyDescent="0.25">
      <c r="A2401" s="1"/>
      <c r="B2401" s="1"/>
      <c r="C2401" s="1"/>
      <c r="D2401" s="1"/>
      <c r="E2401" s="6"/>
      <c r="F2401" s="1"/>
      <c r="G2401" s="6"/>
      <c r="H2401" s="6"/>
      <c r="I2401" s="6"/>
      <c r="J2401" s="6"/>
      <c r="K2401" s="6"/>
      <c r="L2401" s="6"/>
      <c r="M2401" s="6"/>
      <c r="N2401" s="6"/>
      <c r="O2401" s="7"/>
      <c r="P2401" s="12"/>
      <c r="Q2401" s="6"/>
      <c r="R2401" s="15"/>
      <c r="S2401" s="6"/>
      <c r="T2401" s="6"/>
      <c r="U2401" s="15"/>
      <c r="V2401" s="6"/>
      <c r="W2401" s="6"/>
      <c r="X2401" s="6"/>
      <c r="Y2401" s="6"/>
      <c r="Z2401" s="6"/>
      <c r="AA2401" s="7"/>
      <c r="AB2401" s="6"/>
      <c r="AC2401" s="6"/>
      <c r="AD2401" s="6"/>
      <c r="AE2401" s="12"/>
      <c r="AF2401" s="12"/>
      <c r="AG2401" s="12"/>
      <c r="AH2401" s="12"/>
      <c r="AI2401" s="6"/>
      <c r="AJ2401" s="12"/>
      <c r="AK2401" s="1"/>
      <c r="AL2401" s="12"/>
      <c r="AM2401" s="12"/>
      <c r="AN2401" s="1"/>
      <c r="AO2401" s="6"/>
    </row>
    <row r="2402" spans="1:41" ht="15" x14ac:dyDescent="0.25">
      <c r="A2402" s="1"/>
      <c r="B2402" s="1"/>
      <c r="C2402" s="1"/>
      <c r="D2402" s="1"/>
      <c r="E2402" s="6"/>
      <c r="F2402" s="1"/>
      <c r="G2402" s="6"/>
      <c r="H2402" s="6"/>
      <c r="I2402" s="6"/>
      <c r="J2402" s="6"/>
      <c r="K2402" s="6"/>
      <c r="L2402" s="6"/>
      <c r="M2402" s="6"/>
      <c r="N2402" s="6"/>
      <c r="O2402" s="7"/>
      <c r="P2402" s="6"/>
      <c r="Q2402" s="6"/>
      <c r="R2402" s="7"/>
      <c r="S2402" s="6"/>
      <c r="T2402" s="6"/>
      <c r="U2402" s="7"/>
      <c r="V2402" s="6"/>
      <c r="W2402" s="6"/>
      <c r="X2402" s="12"/>
      <c r="Y2402" s="6"/>
      <c r="Z2402" s="6"/>
      <c r="AA2402" s="7"/>
      <c r="AB2402" s="6"/>
      <c r="AC2402" s="6"/>
      <c r="AD2402" s="6"/>
      <c r="AE2402" s="12"/>
      <c r="AF2402" s="12"/>
      <c r="AG2402" s="12"/>
      <c r="AH2402" s="12"/>
      <c r="AI2402" s="6"/>
      <c r="AJ2402" s="12"/>
      <c r="AK2402" s="1"/>
      <c r="AL2402" s="12"/>
      <c r="AM2402" s="12"/>
      <c r="AN2402" s="1"/>
      <c r="AO2402" s="6"/>
    </row>
    <row r="2403" spans="1:41" ht="15" x14ac:dyDescent="0.25">
      <c r="A2403" s="1"/>
      <c r="B2403" s="1"/>
      <c r="C2403" s="1"/>
      <c r="D2403" s="1"/>
      <c r="E2403" s="6"/>
      <c r="F2403" s="1"/>
      <c r="G2403" s="6"/>
      <c r="H2403" s="6"/>
      <c r="I2403" s="6"/>
      <c r="J2403" s="6"/>
      <c r="K2403" s="6"/>
      <c r="L2403" s="6"/>
      <c r="M2403" s="6"/>
      <c r="N2403" s="6"/>
      <c r="O2403" s="7"/>
      <c r="P2403" s="6"/>
      <c r="Q2403" s="7"/>
      <c r="R2403" s="6"/>
      <c r="S2403" s="12"/>
      <c r="T2403" s="6"/>
      <c r="U2403" s="6"/>
      <c r="V2403" s="7"/>
      <c r="W2403" s="7"/>
      <c r="X2403" s="6"/>
      <c r="Y2403" s="6"/>
      <c r="Z2403" s="6"/>
      <c r="AA2403" s="1"/>
      <c r="AB2403" s="12"/>
      <c r="AC2403" s="12"/>
      <c r="AD2403" s="12"/>
      <c r="AE2403" s="12"/>
      <c r="AF2403" s="12"/>
      <c r="AG2403" s="12"/>
      <c r="AH2403" s="12"/>
      <c r="AI2403" s="6"/>
      <c r="AJ2403" s="12"/>
      <c r="AK2403" s="12"/>
      <c r="AL2403" s="12"/>
      <c r="AM2403" s="12"/>
      <c r="AN2403" s="1"/>
      <c r="AO2403" s="6"/>
    </row>
    <row r="2404" spans="1:41" ht="15" x14ac:dyDescent="0.25">
      <c r="A2404" s="1"/>
      <c r="B2404" s="1"/>
      <c r="C2404" s="1"/>
      <c r="D2404" s="1"/>
      <c r="E2404" s="6"/>
      <c r="F2404" s="1"/>
      <c r="G2404" s="6"/>
      <c r="H2404" s="6"/>
      <c r="I2404" s="6"/>
      <c r="J2404" s="6"/>
      <c r="K2404" s="6"/>
      <c r="L2404" s="6"/>
      <c r="M2404" s="6"/>
      <c r="N2404" s="6"/>
      <c r="O2404" s="7"/>
      <c r="P2404" s="6"/>
      <c r="Q2404" s="7"/>
      <c r="R2404" s="6"/>
      <c r="S2404" s="6"/>
      <c r="T2404" s="6"/>
      <c r="U2404" s="6"/>
      <c r="V2404" s="7"/>
      <c r="W2404" s="7"/>
      <c r="X2404" s="6"/>
      <c r="Y2404" s="6"/>
      <c r="Z2404" s="6"/>
      <c r="AA2404" s="1"/>
      <c r="AB2404" s="12"/>
      <c r="AC2404" s="12"/>
      <c r="AD2404" s="12"/>
      <c r="AE2404" s="12"/>
      <c r="AF2404" s="12"/>
      <c r="AG2404" s="12"/>
      <c r="AH2404" s="12"/>
      <c r="AI2404" s="6"/>
      <c r="AJ2404" s="12"/>
      <c r="AK2404" s="12"/>
      <c r="AL2404" s="12"/>
      <c r="AM2404" s="12"/>
      <c r="AN2404" s="1"/>
      <c r="AO2404" s="6"/>
    </row>
    <row r="2405" spans="1:41" ht="15" x14ac:dyDescent="0.25">
      <c r="A2405" s="1"/>
      <c r="B2405" s="1"/>
      <c r="C2405" s="1"/>
      <c r="D2405" s="1"/>
      <c r="E2405" s="6"/>
      <c r="F2405" s="1"/>
      <c r="G2405" s="6"/>
      <c r="H2405" s="6"/>
      <c r="I2405" s="6"/>
      <c r="J2405" s="6"/>
      <c r="K2405" s="12"/>
      <c r="L2405" s="12"/>
      <c r="M2405" s="6"/>
      <c r="N2405" s="6"/>
      <c r="O2405" s="7"/>
      <c r="P2405" s="6"/>
      <c r="Q2405" s="6"/>
      <c r="R2405" s="7"/>
      <c r="S2405" s="6"/>
      <c r="T2405" s="6"/>
      <c r="U2405" s="7"/>
      <c r="V2405" s="6"/>
      <c r="W2405" s="6"/>
      <c r="X2405" s="6"/>
      <c r="Y2405" s="6"/>
      <c r="Z2405" s="6"/>
      <c r="AA2405" s="7"/>
      <c r="AB2405" s="6"/>
      <c r="AC2405" s="6"/>
      <c r="AD2405" s="6"/>
      <c r="AE2405" s="12"/>
      <c r="AF2405" s="12"/>
      <c r="AG2405" s="12"/>
      <c r="AH2405" s="12"/>
      <c r="AI2405" s="6"/>
      <c r="AJ2405" s="12"/>
      <c r="AK2405" s="24"/>
      <c r="AL2405" s="25"/>
      <c r="AM2405" s="12"/>
      <c r="AN2405" s="1"/>
      <c r="AO2405" s="12"/>
    </row>
    <row r="2406" spans="1:41" ht="15" x14ac:dyDescent="0.25">
      <c r="A2406" s="1"/>
      <c r="B2406" s="1"/>
      <c r="C2406" s="1"/>
      <c r="D2406" s="1"/>
      <c r="E2406" s="6"/>
      <c r="F2406" s="1"/>
      <c r="G2406" s="6"/>
      <c r="H2406" s="6"/>
      <c r="I2406" s="6"/>
      <c r="J2406" s="6"/>
      <c r="K2406" s="6"/>
      <c r="L2406" s="6"/>
      <c r="M2406" s="6"/>
      <c r="N2406" s="6"/>
      <c r="O2406" s="7"/>
      <c r="P2406" s="6"/>
      <c r="Q2406" s="6"/>
      <c r="R2406" s="7"/>
      <c r="S2406" s="6"/>
      <c r="T2406" s="6"/>
      <c r="U2406" s="7"/>
      <c r="V2406" s="6"/>
      <c r="W2406" s="6"/>
      <c r="X2406" s="12"/>
      <c r="Y2406" s="6"/>
      <c r="Z2406" s="6"/>
      <c r="AA2406" s="7"/>
      <c r="AB2406" s="6"/>
      <c r="AC2406" s="6"/>
      <c r="AD2406" s="6"/>
      <c r="AE2406" s="12"/>
      <c r="AF2406" s="6"/>
      <c r="AG2406" s="12"/>
      <c r="AH2406" s="6"/>
      <c r="AI2406" s="6"/>
      <c r="AJ2406" s="12"/>
      <c r="AK2406" s="24"/>
      <c r="AL2406" s="25"/>
      <c r="AM2406" s="12"/>
      <c r="AN2406" s="1"/>
      <c r="AO2406" s="6"/>
    </row>
    <row r="2407" spans="1:41" ht="15" x14ac:dyDescent="0.25">
      <c r="A2407" s="1"/>
      <c r="B2407" s="1"/>
      <c r="C2407" s="1"/>
      <c r="D2407" s="1"/>
      <c r="E2407" s="6"/>
      <c r="F2407" s="1"/>
      <c r="G2407" s="6"/>
      <c r="H2407" s="6"/>
      <c r="I2407" s="6"/>
      <c r="J2407" s="6"/>
      <c r="K2407" s="6"/>
      <c r="L2407" s="6"/>
      <c r="M2407" s="6"/>
      <c r="N2407" s="6"/>
      <c r="O2407" s="7"/>
      <c r="P2407" s="6"/>
      <c r="Q2407" s="6"/>
      <c r="R2407" s="7"/>
      <c r="S2407" s="6"/>
      <c r="T2407" s="6"/>
      <c r="U2407" s="7"/>
      <c r="V2407" s="6"/>
      <c r="W2407" s="6"/>
      <c r="X2407" s="12"/>
      <c r="Y2407" s="6"/>
      <c r="Z2407" s="6"/>
      <c r="AA2407" s="7"/>
      <c r="AB2407" s="6"/>
      <c r="AC2407" s="6"/>
      <c r="AD2407" s="6"/>
      <c r="AE2407" s="12"/>
      <c r="AF2407" s="12"/>
      <c r="AG2407" s="12"/>
      <c r="AH2407" s="12"/>
      <c r="AI2407" s="6"/>
      <c r="AJ2407" s="12"/>
      <c r="AK2407" s="1"/>
      <c r="AL2407" s="12"/>
      <c r="AM2407" s="12"/>
      <c r="AN2407" s="1"/>
      <c r="AO2407" s="6"/>
    </row>
    <row r="2408" spans="1:41" ht="15" x14ac:dyDescent="0.25">
      <c r="A2408" s="1"/>
      <c r="B2408" s="1"/>
      <c r="C2408" s="1"/>
      <c r="D2408" s="1"/>
      <c r="E2408" s="6"/>
      <c r="F2408" s="1"/>
      <c r="G2408" s="6"/>
      <c r="H2408" s="6"/>
      <c r="I2408" s="6"/>
      <c r="J2408" s="6"/>
      <c r="K2408" s="6"/>
      <c r="L2408" s="6"/>
      <c r="M2408" s="6"/>
      <c r="N2408" s="6"/>
      <c r="O2408" s="7"/>
      <c r="P2408" s="6"/>
      <c r="Q2408" s="6"/>
      <c r="R2408" s="15"/>
      <c r="S2408" s="6"/>
      <c r="T2408" s="6"/>
      <c r="U2408" s="15"/>
      <c r="V2408" s="6"/>
      <c r="W2408" s="6"/>
      <c r="X2408" s="12"/>
      <c r="Y2408" s="6"/>
      <c r="Z2408" s="6"/>
      <c r="AA2408" s="7"/>
      <c r="AB2408" s="6"/>
      <c r="AC2408" s="6"/>
      <c r="AD2408" s="6"/>
      <c r="AE2408" s="12"/>
      <c r="AF2408" s="6"/>
      <c r="AG2408" s="12"/>
      <c r="AH2408" s="6"/>
      <c r="AI2408" s="6"/>
      <c r="AJ2408" s="12"/>
      <c r="AK2408" s="1"/>
      <c r="AL2408" s="12"/>
      <c r="AM2408" s="12"/>
      <c r="AN2408" s="1"/>
      <c r="AO2408" s="6"/>
    </row>
    <row r="2409" spans="1:41" ht="15" x14ac:dyDescent="0.25">
      <c r="A2409" s="1"/>
      <c r="B2409" s="1"/>
      <c r="C2409" s="1"/>
      <c r="D2409" s="1"/>
      <c r="E2409" s="6"/>
      <c r="F2409" s="1"/>
      <c r="G2409" s="6"/>
      <c r="H2409" s="6"/>
      <c r="I2409" s="6"/>
      <c r="J2409" s="6"/>
      <c r="K2409" s="6"/>
      <c r="L2409" s="6"/>
      <c r="M2409" s="6"/>
      <c r="N2409" s="6"/>
      <c r="O2409" s="7"/>
      <c r="P2409" s="6"/>
      <c r="Q2409" s="7"/>
      <c r="R2409" s="6"/>
      <c r="S2409" s="6"/>
      <c r="T2409" s="6"/>
      <c r="U2409" s="6"/>
      <c r="V2409" s="7"/>
      <c r="W2409" s="7"/>
      <c r="X2409" s="6"/>
      <c r="Y2409" s="6"/>
      <c r="Z2409" s="6"/>
      <c r="AA2409" s="1"/>
      <c r="AB2409" s="12"/>
      <c r="AC2409" s="12"/>
      <c r="AD2409" s="12"/>
      <c r="AE2409" s="12"/>
      <c r="AF2409" s="12"/>
      <c r="AG2409" s="12"/>
      <c r="AH2409" s="12"/>
      <c r="AI2409" s="6"/>
      <c r="AJ2409" s="12"/>
      <c r="AK2409" s="12"/>
      <c r="AL2409" s="12"/>
      <c r="AM2409" s="12"/>
      <c r="AN2409" s="1"/>
      <c r="AO2409" s="6"/>
    </row>
    <row r="2410" spans="1:41" ht="15" x14ac:dyDescent="0.25">
      <c r="A2410" s="1"/>
      <c r="B2410" s="1"/>
      <c r="C2410" s="1"/>
      <c r="D2410" s="1"/>
      <c r="E2410" s="6"/>
      <c r="F2410" s="1"/>
      <c r="G2410" s="6"/>
      <c r="H2410" s="6"/>
      <c r="I2410" s="6"/>
      <c r="J2410" s="6"/>
      <c r="K2410" s="6"/>
      <c r="L2410" s="6"/>
      <c r="M2410" s="6"/>
      <c r="N2410" s="6"/>
      <c r="O2410" s="7"/>
      <c r="P2410" s="6"/>
      <c r="Q2410" s="6"/>
      <c r="R2410" s="7"/>
      <c r="S2410" s="6"/>
      <c r="T2410" s="6"/>
      <c r="U2410" s="7"/>
      <c r="V2410" s="6"/>
      <c r="W2410" s="6"/>
      <c r="X2410" s="12"/>
      <c r="Y2410" s="6"/>
      <c r="Z2410" s="6"/>
      <c r="AA2410" s="7"/>
      <c r="AB2410" s="6"/>
      <c r="AC2410" s="6"/>
      <c r="AD2410" s="6"/>
      <c r="AE2410" s="12"/>
      <c r="AF2410" s="12"/>
      <c r="AG2410" s="12"/>
      <c r="AH2410" s="12"/>
      <c r="AI2410" s="6"/>
      <c r="AJ2410" s="12"/>
      <c r="AK2410" s="1"/>
      <c r="AL2410" s="12"/>
      <c r="AM2410" s="12"/>
      <c r="AN2410" s="1"/>
      <c r="AO2410" s="6"/>
    </row>
    <row r="2411" spans="1:41" ht="15" x14ac:dyDescent="0.25">
      <c r="A2411" s="1"/>
      <c r="B2411" s="1"/>
      <c r="C2411" s="1"/>
      <c r="D2411" s="1"/>
      <c r="E2411" s="6"/>
      <c r="F2411" s="1"/>
      <c r="G2411" s="6"/>
      <c r="H2411" s="6"/>
      <c r="I2411" s="6"/>
      <c r="J2411" s="6"/>
      <c r="K2411" s="6"/>
      <c r="L2411" s="6"/>
      <c r="M2411" s="6"/>
      <c r="N2411" s="6"/>
      <c r="O2411" s="7"/>
      <c r="P2411" s="6"/>
      <c r="Q2411" s="6"/>
      <c r="R2411" s="15"/>
      <c r="S2411" s="6"/>
      <c r="T2411" s="6"/>
      <c r="U2411" s="15"/>
      <c r="V2411" s="6"/>
      <c r="W2411" s="6"/>
      <c r="X2411" s="6"/>
      <c r="Y2411" s="6"/>
      <c r="Z2411" s="6"/>
      <c r="AA2411" s="7"/>
      <c r="AB2411" s="6"/>
      <c r="AC2411" s="6"/>
      <c r="AD2411" s="6"/>
      <c r="AE2411" s="12"/>
      <c r="AF2411" s="12"/>
      <c r="AG2411" s="12"/>
      <c r="AH2411" s="12"/>
      <c r="AI2411" s="6"/>
      <c r="AJ2411" s="12"/>
      <c r="AK2411" s="1"/>
      <c r="AL2411" s="12"/>
      <c r="AM2411" s="12"/>
      <c r="AN2411" s="1"/>
      <c r="AO2411" s="6"/>
    </row>
    <row r="2412" spans="1:41" ht="15" x14ac:dyDescent="0.25">
      <c r="A2412" s="1"/>
      <c r="B2412" s="1"/>
      <c r="C2412" s="1"/>
      <c r="D2412" s="1"/>
      <c r="E2412" s="6"/>
      <c r="F2412" s="1"/>
      <c r="G2412" s="6"/>
      <c r="H2412" s="6"/>
      <c r="I2412" s="6"/>
      <c r="J2412" s="6"/>
      <c r="K2412" s="6"/>
      <c r="L2412" s="6"/>
      <c r="M2412" s="6"/>
      <c r="N2412" s="6"/>
      <c r="O2412" s="7"/>
      <c r="P2412" s="6"/>
      <c r="Q2412" s="7"/>
      <c r="R2412" s="6"/>
      <c r="S2412" s="6"/>
      <c r="T2412" s="6"/>
      <c r="U2412" s="6"/>
      <c r="V2412" s="7"/>
      <c r="W2412" s="7"/>
      <c r="X2412" s="6"/>
      <c r="Y2412" s="6"/>
      <c r="Z2412" s="6"/>
      <c r="AA2412" s="1"/>
      <c r="AB2412" s="12"/>
      <c r="AC2412" s="12"/>
      <c r="AD2412" s="12"/>
      <c r="AE2412" s="12"/>
      <c r="AF2412" s="12"/>
      <c r="AG2412" s="12"/>
      <c r="AH2412" s="12"/>
      <c r="AI2412" s="6"/>
      <c r="AJ2412" s="12"/>
      <c r="AK2412" s="12"/>
      <c r="AL2412" s="12"/>
      <c r="AM2412" s="12"/>
      <c r="AN2412" s="1"/>
      <c r="AO2412" s="6"/>
    </row>
    <row r="2413" spans="1:41" ht="15" x14ac:dyDescent="0.25">
      <c r="A2413" s="1"/>
      <c r="B2413" s="1"/>
      <c r="C2413" s="1"/>
      <c r="D2413" s="1"/>
      <c r="E2413" s="6"/>
      <c r="F2413" s="1"/>
      <c r="G2413" s="6"/>
      <c r="H2413" s="6"/>
      <c r="I2413" s="6"/>
      <c r="J2413" s="6"/>
      <c r="K2413" s="6"/>
      <c r="L2413" s="6"/>
      <c r="M2413" s="6"/>
      <c r="N2413" s="6"/>
      <c r="O2413" s="7"/>
      <c r="P2413" s="6"/>
      <c r="Q2413" s="6"/>
      <c r="R2413" s="7"/>
      <c r="S2413" s="6"/>
      <c r="T2413" s="6"/>
      <c r="U2413" s="7"/>
      <c r="V2413" s="6"/>
      <c r="W2413" s="6"/>
      <c r="X2413" s="12"/>
      <c r="Y2413" s="6"/>
      <c r="Z2413" s="6"/>
      <c r="AA2413" s="7"/>
      <c r="AB2413" s="6"/>
      <c r="AC2413" s="6"/>
      <c r="AD2413" s="6"/>
      <c r="AE2413" s="12"/>
      <c r="AF2413" s="12"/>
      <c r="AG2413" s="12"/>
      <c r="AH2413" s="12"/>
      <c r="AI2413" s="6"/>
      <c r="AJ2413" s="12"/>
      <c r="AK2413" s="1"/>
      <c r="AL2413" s="12"/>
      <c r="AM2413" s="12"/>
      <c r="AN2413" s="1"/>
      <c r="AO2413" s="6"/>
    </row>
    <row r="2414" spans="1:41" ht="15" x14ac:dyDescent="0.25">
      <c r="A2414" s="1"/>
      <c r="B2414" s="1"/>
      <c r="C2414" s="1"/>
      <c r="D2414" s="1"/>
      <c r="E2414" s="6"/>
      <c r="F2414" s="1"/>
      <c r="G2414" s="6"/>
      <c r="H2414" s="6"/>
      <c r="I2414" s="6"/>
      <c r="J2414" s="6"/>
      <c r="K2414" s="6"/>
      <c r="L2414" s="6"/>
      <c r="M2414" s="6"/>
      <c r="N2414" s="6"/>
      <c r="O2414" s="7"/>
      <c r="P2414" s="12"/>
      <c r="Q2414" s="6"/>
      <c r="R2414" s="7"/>
      <c r="S2414" s="6"/>
      <c r="T2414" s="6"/>
      <c r="U2414" s="7"/>
      <c r="V2414" s="6"/>
      <c r="W2414" s="6"/>
      <c r="X2414" s="6"/>
      <c r="Y2414" s="6"/>
      <c r="Z2414" s="6"/>
      <c r="AA2414" s="7"/>
      <c r="AB2414" s="6"/>
      <c r="AC2414" s="6"/>
      <c r="AD2414" s="6"/>
      <c r="AE2414" s="12"/>
      <c r="AF2414" s="12"/>
      <c r="AG2414" s="12"/>
      <c r="AH2414" s="12"/>
      <c r="AI2414" s="6"/>
      <c r="AJ2414" s="12"/>
      <c r="AK2414" s="1"/>
      <c r="AL2414" s="12"/>
      <c r="AM2414" s="12"/>
      <c r="AN2414" s="1"/>
      <c r="AO2414" s="6"/>
    </row>
    <row r="2415" spans="1:41" ht="15" x14ac:dyDescent="0.25">
      <c r="A2415" s="1"/>
      <c r="B2415" s="1"/>
      <c r="C2415" s="1"/>
      <c r="D2415" s="1"/>
      <c r="E2415" s="6"/>
      <c r="F2415" s="1"/>
      <c r="G2415" s="6"/>
      <c r="H2415" s="6"/>
      <c r="I2415" s="6"/>
      <c r="J2415" s="6"/>
      <c r="K2415" s="12"/>
      <c r="L2415" s="12"/>
      <c r="M2415" s="6"/>
      <c r="N2415" s="6"/>
      <c r="O2415" s="7"/>
      <c r="P2415" s="6"/>
      <c r="Q2415" s="6"/>
      <c r="R2415" s="7"/>
      <c r="S2415" s="6"/>
      <c r="T2415" s="6"/>
      <c r="U2415" s="7"/>
      <c r="V2415" s="6"/>
      <c r="W2415" s="6"/>
      <c r="X2415" s="6"/>
      <c r="Y2415" s="6"/>
      <c r="Z2415" s="6"/>
      <c r="AA2415" s="7"/>
      <c r="AB2415" s="6"/>
      <c r="AC2415" s="6"/>
      <c r="AD2415" s="6"/>
      <c r="AE2415" s="12"/>
      <c r="AF2415" s="12"/>
      <c r="AG2415" s="12"/>
      <c r="AH2415" s="12"/>
      <c r="AI2415" s="6"/>
      <c r="AJ2415" s="12"/>
      <c r="AK2415" s="24"/>
      <c r="AL2415" s="25"/>
      <c r="AM2415" s="12"/>
      <c r="AN2415" s="1"/>
      <c r="AO2415" s="12"/>
    </row>
    <row r="2416" spans="1:41" ht="15" x14ac:dyDescent="0.25">
      <c r="A2416" s="1"/>
      <c r="B2416" s="1"/>
      <c r="C2416" s="1"/>
      <c r="D2416" s="1"/>
      <c r="E2416" s="6"/>
      <c r="F2416" s="1"/>
      <c r="G2416" s="6"/>
      <c r="H2416" s="6"/>
      <c r="I2416" s="6"/>
      <c r="J2416" s="6"/>
      <c r="K2416" s="6"/>
      <c r="L2416" s="6"/>
      <c r="M2416" s="6"/>
      <c r="N2416" s="6"/>
      <c r="O2416" s="7"/>
      <c r="P2416" s="12"/>
      <c r="Q2416" s="6"/>
      <c r="R2416" s="7"/>
      <c r="S2416" s="6"/>
      <c r="T2416" s="6"/>
      <c r="U2416" s="7"/>
      <c r="V2416" s="6"/>
      <c r="W2416" s="6"/>
      <c r="X2416" s="12"/>
      <c r="Y2416" s="6"/>
      <c r="Z2416" s="6"/>
      <c r="AA2416" s="7"/>
      <c r="AB2416" s="6"/>
      <c r="AC2416" s="6"/>
      <c r="AD2416" s="6"/>
      <c r="AE2416" s="12"/>
      <c r="AF2416" s="6"/>
      <c r="AG2416" s="12"/>
      <c r="AH2416" s="6"/>
      <c r="AI2416" s="6"/>
      <c r="AJ2416" s="12"/>
      <c r="AK2416" s="24"/>
      <c r="AL2416" s="25"/>
      <c r="AM2416" s="12"/>
      <c r="AN2416" s="1"/>
      <c r="AO2416" s="6"/>
    </row>
    <row r="2417" spans="1:41" ht="15" x14ac:dyDescent="0.25">
      <c r="A2417" s="1"/>
      <c r="B2417" s="1"/>
      <c r="C2417" s="1"/>
      <c r="D2417" s="1"/>
      <c r="E2417" s="6"/>
      <c r="F2417" s="1"/>
      <c r="G2417" s="6"/>
      <c r="H2417" s="6"/>
      <c r="I2417" s="6"/>
      <c r="J2417" s="6"/>
      <c r="K2417" s="6"/>
      <c r="L2417" s="6"/>
      <c r="M2417" s="6"/>
      <c r="N2417" s="6"/>
      <c r="O2417" s="7"/>
      <c r="P2417" s="6"/>
      <c r="Q2417" s="6"/>
      <c r="R2417" s="7"/>
      <c r="S2417" s="6"/>
      <c r="T2417" s="6"/>
      <c r="U2417" s="7"/>
      <c r="V2417" s="6"/>
      <c r="W2417" s="6"/>
      <c r="X2417" s="6"/>
      <c r="Y2417" s="6"/>
      <c r="Z2417" s="6"/>
      <c r="AA2417" s="7"/>
      <c r="AB2417" s="6"/>
      <c r="AC2417" s="6"/>
      <c r="AD2417" s="6"/>
      <c r="AE2417" s="12"/>
      <c r="AF2417" s="12"/>
      <c r="AG2417" s="12"/>
      <c r="AH2417" s="12"/>
      <c r="AI2417" s="6"/>
      <c r="AJ2417" s="12"/>
      <c r="AK2417" s="1"/>
      <c r="AL2417" s="12"/>
      <c r="AM2417" s="12"/>
      <c r="AN2417" s="1"/>
      <c r="AO2417" s="6"/>
    </row>
    <row r="2418" spans="1:41" ht="15" x14ac:dyDescent="0.25">
      <c r="A2418" s="1"/>
      <c r="B2418" s="1"/>
      <c r="C2418" s="1"/>
      <c r="D2418" s="1"/>
      <c r="E2418" s="6"/>
      <c r="F2418" s="1"/>
      <c r="G2418" s="6"/>
      <c r="H2418" s="6"/>
      <c r="I2418" s="6"/>
      <c r="J2418" s="6"/>
      <c r="K2418" s="6"/>
      <c r="L2418" s="6"/>
      <c r="M2418" s="6"/>
      <c r="N2418" s="6"/>
      <c r="O2418" s="7"/>
      <c r="P2418" s="12"/>
      <c r="Q2418" s="6"/>
      <c r="R2418" s="7"/>
      <c r="S2418" s="6"/>
      <c r="T2418" s="6"/>
      <c r="U2418" s="7"/>
      <c r="V2418" s="6"/>
      <c r="W2418" s="6"/>
      <c r="X2418" s="6"/>
      <c r="Y2418" s="6"/>
      <c r="Z2418" s="6"/>
      <c r="AA2418" s="7"/>
      <c r="AB2418" s="6"/>
      <c r="AC2418" s="6"/>
      <c r="AD2418" s="6"/>
      <c r="AE2418" s="12"/>
      <c r="AF2418" s="6"/>
      <c r="AG2418" s="12"/>
      <c r="AH2418" s="6"/>
      <c r="AI2418" s="6"/>
      <c r="AJ2418" s="12"/>
      <c r="AK2418" s="24"/>
      <c r="AL2418" s="25"/>
      <c r="AM2418" s="12"/>
      <c r="AN2418" s="1"/>
      <c r="AO2418" s="6"/>
    </row>
    <row r="2419" spans="1:41" ht="15" x14ac:dyDescent="0.25">
      <c r="A2419" s="1"/>
      <c r="B2419" s="1"/>
      <c r="C2419" s="1"/>
      <c r="D2419" s="1"/>
      <c r="E2419" s="6"/>
      <c r="F2419" s="1"/>
      <c r="G2419" s="6"/>
      <c r="H2419" s="6"/>
      <c r="I2419" s="6"/>
      <c r="J2419" s="6"/>
      <c r="K2419" s="6"/>
      <c r="L2419" s="6"/>
      <c r="M2419" s="6"/>
      <c r="N2419" s="6"/>
      <c r="O2419" s="7"/>
      <c r="P2419" s="6"/>
      <c r="Q2419" s="6"/>
      <c r="R2419" s="7"/>
      <c r="S2419" s="6"/>
      <c r="T2419" s="6"/>
      <c r="U2419" s="7"/>
      <c r="V2419" s="6"/>
      <c r="W2419" s="6"/>
      <c r="X2419" s="6"/>
      <c r="Y2419" s="6"/>
      <c r="Z2419" s="6"/>
      <c r="AA2419" s="7"/>
      <c r="AB2419" s="6"/>
      <c r="AC2419" s="6"/>
      <c r="AD2419" s="6"/>
      <c r="AE2419" s="12"/>
      <c r="AF2419" s="12"/>
      <c r="AG2419" s="12"/>
      <c r="AH2419" s="12"/>
      <c r="AI2419" s="6"/>
      <c r="AJ2419" s="12"/>
      <c r="AK2419" s="1"/>
      <c r="AL2419" s="12"/>
      <c r="AM2419" s="12"/>
      <c r="AN2419" s="1"/>
      <c r="AO2419" s="12"/>
    </row>
    <row r="2420" spans="1:41" ht="15" x14ac:dyDescent="0.25">
      <c r="A2420" s="1"/>
      <c r="B2420" s="1"/>
      <c r="C2420" s="1"/>
      <c r="D2420" s="1"/>
      <c r="E2420" s="6"/>
      <c r="F2420" s="1"/>
      <c r="G2420" s="6"/>
      <c r="H2420" s="6"/>
      <c r="I2420" s="6"/>
      <c r="J2420" s="6"/>
      <c r="K2420" s="12"/>
      <c r="L2420" s="6"/>
      <c r="M2420" s="6"/>
      <c r="N2420" s="6"/>
      <c r="O2420" s="7"/>
      <c r="P2420" s="12"/>
      <c r="Q2420" s="6"/>
      <c r="R2420" s="7"/>
      <c r="S2420" s="6"/>
      <c r="T2420" s="6"/>
      <c r="U2420" s="7"/>
      <c r="V2420" s="6"/>
      <c r="W2420" s="6"/>
      <c r="X2420" s="6"/>
      <c r="Y2420" s="6"/>
      <c r="Z2420" s="6"/>
      <c r="AA2420" s="7"/>
      <c r="AB2420" s="6"/>
      <c r="AC2420" s="6"/>
      <c r="AD2420" s="6"/>
      <c r="AE2420" s="12"/>
      <c r="AF2420" s="6"/>
      <c r="AG2420" s="12"/>
      <c r="AH2420" s="6"/>
      <c r="AI2420" s="6"/>
      <c r="AJ2420" s="12"/>
      <c r="AK2420" s="1"/>
      <c r="AL2420" s="12"/>
      <c r="AM2420" s="12"/>
      <c r="AN2420" s="1"/>
      <c r="AO2420" s="6"/>
    </row>
    <row r="2421" spans="1:41" ht="15" x14ac:dyDescent="0.25">
      <c r="A2421" s="1"/>
      <c r="B2421" s="1"/>
      <c r="C2421" s="1"/>
      <c r="D2421" s="1"/>
      <c r="E2421" s="6"/>
      <c r="F2421" s="1"/>
      <c r="G2421" s="6"/>
      <c r="H2421" s="6"/>
      <c r="I2421" s="6"/>
      <c r="J2421" s="6"/>
      <c r="K2421" s="6"/>
      <c r="L2421" s="6"/>
      <c r="M2421" s="6"/>
      <c r="N2421" s="6"/>
      <c r="O2421" s="7"/>
      <c r="P2421" s="6"/>
      <c r="Q2421" s="6"/>
      <c r="R2421" s="15"/>
      <c r="S2421" s="6"/>
      <c r="T2421" s="6"/>
      <c r="U2421" s="7"/>
      <c r="V2421" s="6"/>
      <c r="W2421" s="6"/>
      <c r="X2421" s="6"/>
      <c r="Y2421" s="6"/>
      <c r="Z2421" s="6"/>
      <c r="AA2421" s="7"/>
      <c r="AB2421" s="6"/>
      <c r="AC2421" s="6"/>
      <c r="AD2421" s="6"/>
      <c r="AE2421" s="12"/>
      <c r="AF2421" s="12"/>
      <c r="AG2421" s="12"/>
      <c r="AH2421" s="12"/>
      <c r="AI2421" s="6"/>
      <c r="AJ2421" s="12"/>
      <c r="AK2421" s="1"/>
      <c r="AL2421" s="12"/>
      <c r="AM2421" s="12"/>
      <c r="AN2421" s="1"/>
      <c r="AO2421" s="6"/>
    </row>
    <row r="2422" spans="1:41" ht="15" x14ac:dyDescent="0.25">
      <c r="A2422" s="1"/>
      <c r="B2422" s="1"/>
      <c r="C2422" s="1"/>
      <c r="D2422" s="1"/>
      <c r="E2422" s="6"/>
      <c r="F2422" s="1"/>
      <c r="G2422" s="6"/>
      <c r="H2422" s="6"/>
      <c r="I2422" s="6"/>
      <c r="J2422" s="6"/>
      <c r="K2422" s="6"/>
      <c r="L2422" s="6"/>
      <c r="M2422" s="6"/>
      <c r="N2422" s="6"/>
      <c r="O2422" s="7"/>
      <c r="P2422" s="12"/>
      <c r="Q2422" s="6"/>
      <c r="R2422" s="7"/>
      <c r="S2422" s="6"/>
      <c r="T2422" s="6"/>
      <c r="U2422" s="7"/>
      <c r="V2422" s="6"/>
      <c r="W2422" s="6"/>
      <c r="X2422" s="12"/>
      <c r="Y2422" s="6"/>
      <c r="Z2422" s="6"/>
      <c r="AA2422" s="7"/>
      <c r="AB2422" s="6"/>
      <c r="AC2422" s="6"/>
      <c r="AD2422" s="6"/>
      <c r="AE2422" s="12"/>
      <c r="AF2422" s="12"/>
      <c r="AG2422" s="12"/>
      <c r="AH2422" s="12"/>
      <c r="AI2422" s="6"/>
      <c r="AJ2422" s="12"/>
      <c r="AK2422" s="1"/>
      <c r="AL2422" s="12"/>
      <c r="AM2422" s="12"/>
      <c r="AN2422" s="1"/>
      <c r="AO2422" s="6"/>
    </row>
    <row r="2423" spans="1:41" ht="15" x14ac:dyDescent="0.25">
      <c r="A2423" s="1"/>
      <c r="B2423" s="1"/>
      <c r="C2423" s="1"/>
      <c r="D2423" s="1"/>
      <c r="E2423" s="6"/>
      <c r="F2423" s="1"/>
      <c r="G2423" s="6"/>
      <c r="H2423" s="6"/>
      <c r="I2423" s="6"/>
      <c r="J2423" s="6"/>
      <c r="K2423" s="6"/>
      <c r="L2423" s="6"/>
      <c r="M2423" s="6"/>
      <c r="N2423" s="6"/>
      <c r="O2423" s="7"/>
      <c r="P2423" s="6"/>
      <c r="Q2423" s="6"/>
      <c r="R2423" s="7"/>
      <c r="S2423" s="6"/>
      <c r="T2423" s="6"/>
      <c r="U2423" s="7"/>
      <c r="V2423" s="6"/>
      <c r="W2423" s="6"/>
      <c r="X2423" s="6"/>
      <c r="Y2423" s="6"/>
      <c r="Z2423" s="6"/>
      <c r="AA2423" s="7"/>
      <c r="AB2423" s="6"/>
      <c r="AC2423" s="6"/>
      <c r="AD2423" s="6"/>
      <c r="AE2423" s="12"/>
      <c r="AF2423" s="6"/>
      <c r="AG2423" s="12"/>
      <c r="AH2423" s="6"/>
      <c r="AI2423" s="6"/>
      <c r="AJ2423" s="12"/>
      <c r="AK2423" s="1"/>
      <c r="AL2423" s="12"/>
      <c r="AM2423" s="12"/>
      <c r="AN2423" s="1"/>
      <c r="AO2423" s="6"/>
    </row>
    <row r="2424" spans="1:41" ht="15" x14ac:dyDescent="0.25">
      <c r="A2424" s="1"/>
      <c r="B2424" s="1"/>
      <c r="C2424" s="1"/>
      <c r="D2424" s="1"/>
      <c r="E2424" s="6"/>
      <c r="F2424" s="1"/>
      <c r="G2424" s="6"/>
      <c r="H2424" s="6"/>
      <c r="I2424" s="6"/>
      <c r="J2424" s="6"/>
      <c r="K2424" s="6"/>
      <c r="L2424" s="6"/>
      <c r="M2424" s="6"/>
      <c r="N2424" s="6"/>
      <c r="O2424" s="7"/>
      <c r="P2424" s="6"/>
      <c r="Q2424" s="6"/>
      <c r="R2424" s="7"/>
      <c r="S2424" s="6"/>
      <c r="T2424" s="6"/>
      <c r="U2424" s="7"/>
      <c r="V2424" s="6"/>
      <c r="W2424" s="6"/>
      <c r="X2424" s="12"/>
      <c r="Y2424" s="6"/>
      <c r="Z2424" s="6"/>
      <c r="AA2424" s="7"/>
      <c r="AB2424" s="6"/>
      <c r="AC2424" s="6"/>
      <c r="AD2424" s="6"/>
      <c r="AE2424" s="12"/>
      <c r="AF2424" s="12"/>
      <c r="AG2424" s="12"/>
      <c r="AH2424" s="12"/>
      <c r="AI2424" s="6"/>
      <c r="AJ2424" s="12"/>
      <c r="AK2424" s="24"/>
      <c r="AL2424" s="25"/>
      <c r="AM2424" s="12"/>
      <c r="AN2424" s="1"/>
      <c r="AO2424" s="6"/>
    </row>
    <row r="2425" spans="1:41" ht="15" x14ac:dyDescent="0.25">
      <c r="A2425" s="1"/>
      <c r="B2425" s="1"/>
      <c r="C2425" s="1"/>
      <c r="D2425" s="1"/>
      <c r="E2425" s="6"/>
      <c r="F2425" s="1"/>
      <c r="G2425" s="6"/>
      <c r="H2425" s="6"/>
      <c r="I2425" s="6"/>
      <c r="J2425" s="6"/>
      <c r="K2425" s="6"/>
      <c r="L2425" s="6"/>
      <c r="M2425" s="6"/>
      <c r="N2425" s="6"/>
      <c r="O2425" s="7"/>
      <c r="P2425" s="6"/>
      <c r="Q2425" s="7"/>
      <c r="R2425" s="6"/>
      <c r="S2425" s="6"/>
      <c r="T2425" s="6"/>
      <c r="U2425" s="6"/>
      <c r="V2425" s="7"/>
      <c r="W2425" s="7"/>
      <c r="X2425" s="6"/>
      <c r="Y2425" s="6"/>
      <c r="Z2425" s="6"/>
      <c r="AA2425" s="1"/>
      <c r="AB2425" s="12"/>
      <c r="AC2425" s="12"/>
      <c r="AD2425" s="12"/>
      <c r="AE2425" s="12"/>
      <c r="AF2425" s="12"/>
      <c r="AG2425" s="12"/>
      <c r="AH2425" s="12"/>
      <c r="AI2425" s="6"/>
      <c r="AJ2425" s="12"/>
      <c r="AK2425" s="12"/>
      <c r="AL2425" s="12"/>
      <c r="AM2425" s="12"/>
      <c r="AN2425" s="1"/>
      <c r="AO2425" s="6"/>
    </row>
    <row r="2426" spans="1:41" ht="15" x14ac:dyDescent="0.25">
      <c r="A2426" s="1"/>
      <c r="B2426" s="1"/>
      <c r="C2426" s="1"/>
      <c r="D2426" s="1"/>
      <c r="E2426" s="6"/>
      <c r="F2426" s="1"/>
      <c r="G2426" s="6"/>
      <c r="H2426" s="6"/>
      <c r="I2426" s="6"/>
      <c r="J2426" s="6"/>
      <c r="K2426" s="6"/>
      <c r="L2426" s="6"/>
      <c r="M2426" s="6"/>
      <c r="N2426" s="6"/>
      <c r="O2426" s="7"/>
      <c r="P2426" s="12"/>
      <c r="Q2426" s="6"/>
      <c r="R2426" s="7"/>
      <c r="S2426" s="6"/>
      <c r="T2426" s="6"/>
      <c r="U2426" s="7"/>
      <c r="V2426" s="6"/>
      <c r="W2426" s="6"/>
      <c r="X2426" s="6"/>
      <c r="Y2426" s="6"/>
      <c r="Z2426" s="6"/>
      <c r="AA2426" s="7"/>
      <c r="AB2426" s="6"/>
      <c r="AC2426" s="6"/>
      <c r="AD2426" s="6"/>
      <c r="AE2426" s="12"/>
      <c r="AF2426" s="12"/>
      <c r="AG2426" s="12"/>
      <c r="AH2426" s="12"/>
      <c r="AI2426" s="6"/>
      <c r="AJ2426" s="12"/>
      <c r="AK2426" s="1"/>
      <c r="AL2426" s="12"/>
      <c r="AM2426" s="12"/>
      <c r="AN2426" s="1"/>
      <c r="AO2426" s="6"/>
    </row>
    <row r="2427" spans="1:41" ht="15" x14ac:dyDescent="0.25">
      <c r="A2427" s="1"/>
      <c r="B2427" s="1"/>
      <c r="C2427" s="1"/>
      <c r="D2427" s="1"/>
      <c r="E2427" s="6"/>
      <c r="F2427" s="1"/>
      <c r="G2427" s="6"/>
      <c r="H2427" s="6"/>
      <c r="I2427" s="6"/>
      <c r="J2427" s="6"/>
      <c r="K2427" s="12"/>
      <c r="L2427" s="12"/>
      <c r="M2427" s="6"/>
      <c r="N2427" s="6"/>
      <c r="O2427" s="7"/>
      <c r="P2427" s="6"/>
      <c r="Q2427" s="6"/>
      <c r="R2427" s="7"/>
      <c r="S2427" s="6"/>
      <c r="T2427" s="6"/>
      <c r="U2427" s="7"/>
      <c r="V2427" s="6"/>
      <c r="W2427" s="6"/>
      <c r="X2427" s="12"/>
      <c r="Y2427" s="6"/>
      <c r="Z2427" s="6"/>
      <c r="AA2427" s="7"/>
      <c r="AB2427" s="6"/>
      <c r="AC2427" s="6"/>
      <c r="AD2427" s="6"/>
      <c r="AE2427" s="12"/>
      <c r="AF2427" s="12"/>
      <c r="AG2427" s="12"/>
      <c r="AH2427" s="12"/>
      <c r="AI2427" s="6"/>
      <c r="AJ2427" s="12"/>
      <c r="AK2427" s="1"/>
      <c r="AL2427" s="12"/>
      <c r="AM2427" s="12"/>
      <c r="AN2427" s="1"/>
      <c r="AO2427" s="12"/>
    </row>
    <row r="2428" spans="1:41" ht="15" x14ac:dyDescent="0.25">
      <c r="A2428" s="1"/>
      <c r="B2428" s="1"/>
      <c r="C2428" s="1"/>
      <c r="D2428" s="1"/>
      <c r="E2428" s="6"/>
      <c r="F2428" s="1"/>
      <c r="G2428" s="6"/>
      <c r="H2428" s="6"/>
      <c r="I2428" s="6"/>
      <c r="J2428" s="6"/>
      <c r="K2428" s="12"/>
      <c r="L2428" s="12"/>
      <c r="M2428" s="6"/>
      <c r="N2428" s="6"/>
      <c r="O2428" s="7"/>
      <c r="P2428" s="6"/>
      <c r="Q2428" s="6"/>
      <c r="R2428" s="7"/>
      <c r="S2428" s="6"/>
      <c r="T2428" s="6"/>
      <c r="U2428" s="7"/>
      <c r="V2428" s="6"/>
      <c r="W2428" s="6"/>
      <c r="X2428" s="6"/>
      <c r="Y2428" s="6"/>
      <c r="Z2428" s="6"/>
      <c r="AA2428" s="7"/>
      <c r="AB2428" s="6"/>
      <c r="AC2428" s="6"/>
      <c r="AD2428" s="6"/>
      <c r="AE2428" s="12"/>
      <c r="AF2428" s="12"/>
      <c r="AG2428" s="12"/>
      <c r="AH2428" s="12"/>
      <c r="AI2428" s="6"/>
      <c r="AJ2428" s="12"/>
      <c r="AK2428" s="1"/>
      <c r="AL2428" s="12"/>
      <c r="AM2428" s="12"/>
      <c r="AN2428" s="1"/>
      <c r="AO2428" s="6"/>
    </row>
    <row r="2429" spans="1:41" ht="15" x14ac:dyDescent="0.25">
      <c r="A2429" s="1"/>
      <c r="B2429" s="1"/>
      <c r="C2429" s="1"/>
      <c r="D2429" s="1"/>
      <c r="E2429" s="6"/>
      <c r="F2429" s="1"/>
      <c r="G2429" s="6"/>
      <c r="H2429" s="6"/>
      <c r="I2429" s="6"/>
      <c r="J2429" s="6"/>
      <c r="K2429" s="6"/>
      <c r="L2429" s="6"/>
      <c r="M2429" s="6"/>
      <c r="N2429" s="6"/>
      <c r="O2429" s="7"/>
      <c r="P2429" s="6"/>
      <c r="Q2429" s="6"/>
      <c r="R2429" s="7"/>
      <c r="S2429" s="6"/>
      <c r="T2429" s="6"/>
      <c r="U2429" s="7"/>
      <c r="V2429" s="6"/>
      <c r="W2429" s="6"/>
      <c r="X2429" s="12"/>
      <c r="Y2429" s="6"/>
      <c r="Z2429" s="6"/>
      <c r="AA2429" s="7"/>
      <c r="AB2429" s="6"/>
      <c r="AC2429" s="6"/>
      <c r="AD2429" s="6"/>
      <c r="AE2429" s="12"/>
      <c r="AF2429" s="12"/>
      <c r="AG2429" s="12"/>
      <c r="AH2429" s="12"/>
      <c r="AI2429" s="6"/>
      <c r="AJ2429" s="12"/>
      <c r="AK2429" s="1"/>
      <c r="AL2429" s="12"/>
      <c r="AM2429" s="12"/>
      <c r="AN2429" s="1"/>
      <c r="AO2429" s="6"/>
    </row>
    <row r="2430" spans="1:41" ht="15" x14ac:dyDescent="0.25">
      <c r="A2430" s="1"/>
      <c r="B2430" s="1"/>
      <c r="C2430" s="1"/>
      <c r="D2430" s="1"/>
      <c r="E2430" s="6"/>
      <c r="F2430" s="1"/>
      <c r="G2430" s="6"/>
      <c r="H2430" s="6"/>
      <c r="I2430" s="6"/>
      <c r="J2430" s="6"/>
      <c r="K2430" s="12"/>
      <c r="L2430" s="12"/>
      <c r="M2430" s="6"/>
      <c r="N2430" s="6"/>
      <c r="O2430" s="7"/>
      <c r="P2430" s="12"/>
      <c r="Q2430" s="6"/>
      <c r="R2430" s="7"/>
      <c r="S2430" s="6"/>
      <c r="T2430" s="6"/>
      <c r="U2430" s="7"/>
      <c r="V2430" s="6"/>
      <c r="W2430" s="6"/>
      <c r="X2430" s="6"/>
      <c r="Y2430" s="6"/>
      <c r="Z2430" s="6"/>
      <c r="AA2430" s="7"/>
      <c r="AB2430" s="6"/>
      <c r="AC2430" s="6"/>
      <c r="AD2430" s="6"/>
      <c r="AE2430" s="12"/>
      <c r="AF2430" s="12"/>
      <c r="AG2430" s="12"/>
      <c r="AH2430" s="12"/>
      <c r="AI2430" s="6"/>
      <c r="AJ2430" s="12"/>
      <c r="AK2430" s="1"/>
      <c r="AL2430" s="12"/>
      <c r="AM2430" s="12"/>
      <c r="AN2430" s="1"/>
      <c r="AO2430" s="6"/>
    </row>
    <row r="2431" spans="1:41" ht="15" x14ac:dyDescent="0.25">
      <c r="A2431" s="1"/>
      <c r="B2431" s="1"/>
      <c r="C2431" s="1"/>
      <c r="D2431" s="1"/>
      <c r="E2431" s="6"/>
      <c r="F2431" s="1"/>
      <c r="G2431" s="6"/>
      <c r="H2431" s="6"/>
      <c r="I2431" s="6"/>
      <c r="J2431" s="6"/>
      <c r="K2431" s="6"/>
      <c r="L2431" s="6"/>
      <c r="M2431" s="6"/>
      <c r="N2431" s="6"/>
      <c r="O2431" s="7"/>
      <c r="P2431" s="6"/>
      <c r="Q2431" s="7"/>
      <c r="R2431" s="6"/>
      <c r="S2431" s="6"/>
      <c r="T2431" s="6"/>
      <c r="U2431" s="6"/>
      <c r="V2431" s="7"/>
      <c r="W2431" s="7"/>
      <c r="X2431" s="6"/>
      <c r="Y2431" s="6"/>
      <c r="Z2431" s="6"/>
      <c r="AA2431" s="1"/>
      <c r="AB2431" s="12"/>
      <c r="AC2431" s="12"/>
      <c r="AD2431" s="12"/>
      <c r="AE2431" s="12"/>
      <c r="AF2431" s="12"/>
      <c r="AG2431" s="12"/>
      <c r="AH2431" s="12"/>
      <c r="AI2431" s="6"/>
      <c r="AJ2431" s="12"/>
      <c r="AK2431" s="12"/>
      <c r="AL2431" s="12"/>
      <c r="AM2431" s="12"/>
      <c r="AN2431" s="1"/>
      <c r="AO2431" s="6"/>
    </row>
    <row r="2432" spans="1:41" ht="15" x14ac:dyDescent="0.25">
      <c r="A2432" s="1"/>
      <c r="B2432" s="1"/>
      <c r="C2432" s="1"/>
      <c r="D2432" s="1"/>
      <c r="E2432" s="6"/>
      <c r="F2432" s="1"/>
      <c r="G2432" s="6"/>
      <c r="H2432" s="6"/>
      <c r="I2432" s="6"/>
      <c r="J2432" s="6"/>
      <c r="K2432" s="6"/>
      <c r="L2432" s="6"/>
      <c r="M2432" s="6"/>
      <c r="N2432" s="6"/>
      <c r="O2432" s="7"/>
      <c r="P2432" s="6"/>
      <c r="Q2432" s="6"/>
      <c r="R2432" s="7"/>
      <c r="S2432" s="6"/>
      <c r="T2432" s="6"/>
      <c r="U2432" s="7"/>
      <c r="V2432" s="6"/>
      <c r="W2432" s="6"/>
      <c r="X2432" s="6"/>
      <c r="Y2432" s="6"/>
      <c r="Z2432" s="6"/>
      <c r="AA2432" s="7"/>
      <c r="AB2432" s="6"/>
      <c r="AC2432" s="6"/>
      <c r="AD2432" s="6"/>
      <c r="AE2432" s="12"/>
      <c r="AF2432" s="12"/>
      <c r="AG2432" s="12"/>
      <c r="AH2432" s="12"/>
      <c r="AI2432" s="6"/>
      <c r="AJ2432" s="12"/>
      <c r="AK2432" s="1"/>
      <c r="AL2432" s="12"/>
      <c r="AM2432" s="12"/>
      <c r="AN2432" s="1"/>
      <c r="AO2432" s="6"/>
    </row>
    <row r="2433" spans="1:41" ht="15" x14ac:dyDescent="0.25">
      <c r="A2433" s="1"/>
      <c r="B2433" s="1"/>
      <c r="C2433" s="1"/>
      <c r="D2433" s="1"/>
      <c r="E2433" s="6"/>
      <c r="F2433" s="1"/>
      <c r="G2433" s="6"/>
      <c r="H2433" s="6"/>
      <c r="I2433" s="6"/>
      <c r="J2433" s="6"/>
      <c r="K2433" s="12"/>
      <c r="L2433" s="12"/>
      <c r="M2433" s="6"/>
      <c r="N2433" s="6"/>
      <c r="O2433" s="7"/>
      <c r="P2433" s="6"/>
      <c r="Q2433" s="6"/>
      <c r="R2433" s="7"/>
      <c r="S2433" s="6"/>
      <c r="T2433" s="6"/>
      <c r="U2433" s="7"/>
      <c r="V2433" s="6"/>
      <c r="W2433" s="6"/>
      <c r="X2433" s="6"/>
      <c r="Y2433" s="6"/>
      <c r="Z2433" s="6"/>
      <c r="AA2433" s="7"/>
      <c r="AB2433" s="6"/>
      <c r="AC2433" s="6"/>
      <c r="AD2433" s="6"/>
      <c r="AE2433" s="12"/>
      <c r="AF2433" s="12"/>
      <c r="AG2433" s="12"/>
      <c r="AH2433" s="12"/>
      <c r="AI2433" s="6"/>
      <c r="AJ2433" s="12"/>
      <c r="AK2433" s="1"/>
      <c r="AL2433" s="12"/>
      <c r="AM2433" s="12"/>
      <c r="AN2433" s="1"/>
      <c r="AO2433" s="12"/>
    </row>
    <row r="2434" spans="1:41" ht="15" x14ac:dyDescent="0.25">
      <c r="A2434" s="1"/>
      <c r="B2434" s="1"/>
      <c r="C2434" s="1"/>
      <c r="D2434" s="1"/>
      <c r="E2434" s="6"/>
      <c r="F2434" s="1"/>
      <c r="G2434" s="6"/>
      <c r="H2434" s="6"/>
      <c r="I2434" s="6"/>
      <c r="J2434" s="6"/>
      <c r="K2434" s="6"/>
      <c r="L2434" s="6"/>
      <c r="M2434" s="6"/>
      <c r="N2434" s="6"/>
      <c r="O2434" s="7"/>
      <c r="P2434" s="6"/>
      <c r="Q2434" s="6"/>
      <c r="R2434" s="7"/>
      <c r="S2434" s="6"/>
      <c r="T2434" s="6"/>
      <c r="U2434" s="7"/>
      <c r="V2434" s="6"/>
      <c r="W2434" s="6"/>
      <c r="X2434" s="6"/>
      <c r="Y2434" s="6"/>
      <c r="Z2434" s="6"/>
      <c r="AA2434" s="7"/>
      <c r="AB2434" s="6"/>
      <c r="AC2434" s="6"/>
      <c r="AD2434" s="6"/>
      <c r="AE2434" s="12"/>
      <c r="AF2434" s="12"/>
      <c r="AG2434" s="12"/>
      <c r="AH2434" s="12"/>
      <c r="AI2434" s="6"/>
      <c r="AJ2434" s="12"/>
      <c r="AK2434" s="1"/>
      <c r="AL2434" s="12"/>
      <c r="AM2434" s="12"/>
      <c r="AN2434" s="1"/>
      <c r="AO2434" s="6"/>
    </row>
    <row r="2435" spans="1:41" ht="15" x14ac:dyDescent="0.25">
      <c r="A2435" s="1"/>
      <c r="B2435" s="1"/>
      <c r="C2435" s="1"/>
      <c r="D2435" s="1"/>
      <c r="E2435" s="6"/>
      <c r="F2435" s="1"/>
      <c r="G2435" s="6"/>
      <c r="H2435" s="6"/>
      <c r="I2435" s="6"/>
      <c r="J2435" s="6"/>
      <c r="K2435" s="6"/>
      <c r="L2435" s="6"/>
      <c r="M2435" s="6"/>
      <c r="N2435" s="6"/>
      <c r="O2435" s="7"/>
      <c r="P2435" s="6"/>
      <c r="Q2435" s="6"/>
      <c r="R2435" s="7"/>
      <c r="S2435" s="6"/>
      <c r="T2435" s="6"/>
      <c r="U2435" s="7"/>
      <c r="V2435" s="6"/>
      <c r="W2435" s="6"/>
      <c r="X2435" s="12"/>
      <c r="Y2435" s="6"/>
      <c r="Z2435" s="6"/>
      <c r="AA2435" s="7"/>
      <c r="AB2435" s="6"/>
      <c r="AC2435" s="6"/>
      <c r="AD2435" s="6"/>
      <c r="AE2435" s="12"/>
      <c r="AF2435" s="12"/>
      <c r="AG2435" s="12"/>
      <c r="AH2435" s="12"/>
      <c r="AI2435" s="6"/>
      <c r="AJ2435" s="12"/>
      <c r="AK2435" s="1"/>
      <c r="AL2435" s="12"/>
      <c r="AM2435" s="12"/>
      <c r="AN2435" s="1"/>
      <c r="AO2435" s="6"/>
    </row>
    <row r="2436" spans="1:41" ht="15" x14ac:dyDescent="0.25">
      <c r="A2436" s="1"/>
      <c r="B2436" s="1"/>
      <c r="C2436" s="1"/>
      <c r="D2436" s="1"/>
      <c r="E2436" s="6"/>
      <c r="F2436" s="1"/>
      <c r="G2436" s="6"/>
      <c r="H2436" s="6"/>
      <c r="I2436" s="6"/>
      <c r="J2436" s="6"/>
      <c r="K2436" s="6"/>
      <c r="L2436" s="6"/>
      <c r="M2436" s="6"/>
      <c r="N2436" s="6"/>
      <c r="O2436" s="7"/>
      <c r="P2436" s="6"/>
      <c r="Q2436" s="6"/>
      <c r="R2436" s="7"/>
      <c r="S2436" s="6"/>
      <c r="T2436" s="6"/>
      <c r="U2436" s="7"/>
      <c r="V2436" s="6"/>
      <c r="W2436" s="6"/>
      <c r="X2436" s="6"/>
      <c r="Y2436" s="6"/>
      <c r="Z2436" s="6"/>
      <c r="AA2436" s="7"/>
      <c r="AB2436" s="6"/>
      <c r="AC2436" s="6"/>
      <c r="AD2436" s="6"/>
      <c r="AE2436" s="12"/>
      <c r="AF2436" s="6"/>
      <c r="AG2436" s="12"/>
      <c r="AH2436" s="6"/>
      <c r="AI2436" s="6"/>
      <c r="AJ2436" s="12"/>
      <c r="AK2436" s="24"/>
      <c r="AL2436" s="25"/>
      <c r="AM2436" s="12"/>
      <c r="AN2436" s="1"/>
      <c r="AO2436" s="6"/>
    </row>
    <row r="2437" spans="1:41" ht="15" x14ac:dyDescent="0.25">
      <c r="A2437" s="1"/>
      <c r="B2437" s="1"/>
      <c r="C2437" s="1"/>
      <c r="D2437" s="1"/>
      <c r="E2437" s="6"/>
      <c r="F2437" s="1"/>
      <c r="G2437" s="6"/>
      <c r="H2437" s="6"/>
      <c r="I2437" s="6"/>
      <c r="J2437" s="6"/>
      <c r="K2437" s="12"/>
      <c r="L2437" s="12"/>
      <c r="M2437" s="6"/>
      <c r="N2437" s="6"/>
      <c r="O2437" s="7"/>
      <c r="P2437" s="12"/>
      <c r="Q2437" s="6"/>
      <c r="R2437" s="7"/>
      <c r="S2437" s="6"/>
      <c r="T2437" s="6"/>
      <c r="U2437" s="7"/>
      <c r="V2437" s="6"/>
      <c r="W2437" s="6"/>
      <c r="X2437" s="6"/>
      <c r="Y2437" s="6"/>
      <c r="Z2437" s="6"/>
      <c r="AA2437" s="7"/>
      <c r="AB2437" s="6"/>
      <c r="AC2437" s="6"/>
      <c r="AD2437" s="6"/>
      <c r="AE2437" s="12"/>
      <c r="AF2437" s="12"/>
      <c r="AG2437" s="12"/>
      <c r="AH2437" s="12"/>
      <c r="AI2437" s="6"/>
      <c r="AJ2437" s="12"/>
      <c r="AK2437" s="24"/>
      <c r="AL2437" s="25"/>
      <c r="AM2437" s="12"/>
      <c r="AN2437" s="1"/>
      <c r="AO2437" s="12"/>
    </row>
    <row r="2438" spans="1:41" ht="15" x14ac:dyDescent="0.25">
      <c r="A2438" s="1"/>
      <c r="B2438" s="1"/>
      <c r="C2438" s="1"/>
      <c r="D2438" s="1"/>
      <c r="E2438" s="6"/>
      <c r="F2438" s="1"/>
      <c r="G2438" s="6"/>
      <c r="H2438" s="6"/>
      <c r="I2438" s="6"/>
      <c r="J2438" s="6"/>
      <c r="K2438" s="6"/>
      <c r="L2438" s="6"/>
      <c r="M2438" s="6"/>
      <c r="N2438" s="6"/>
      <c r="O2438" s="12"/>
      <c r="P2438" s="12"/>
      <c r="Q2438" s="7"/>
      <c r="R2438" s="12"/>
      <c r="S2438" s="12"/>
      <c r="T2438" s="12"/>
      <c r="U2438" s="6"/>
      <c r="V2438" s="7"/>
      <c r="W2438" s="7"/>
      <c r="X2438" s="6"/>
      <c r="Y2438" s="6"/>
      <c r="Z2438" s="6"/>
      <c r="AA2438" s="24"/>
      <c r="AB2438" s="25"/>
      <c r="AC2438" s="12"/>
      <c r="AD2438" s="12"/>
      <c r="AE2438" s="12"/>
      <c r="AF2438" s="12"/>
      <c r="AG2438" s="12"/>
      <c r="AH2438" s="12"/>
      <c r="AI2438" s="6"/>
      <c r="AJ2438" s="12"/>
      <c r="AK2438" s="12"/>
      <c r="AL2438" s="12"/>
      <c r="AM2438" s="12"/>
      <c r="AN2438" s="1"/>
      <c r="AO2438" s="6"/>
    </row>
    <row r="2439" spans="1:41" ht="15" x14ac:dyDescent="0.25">
      <c r="A2439" s="1"/>
      <c r="B2439" s="1"/>
      <c r="C2439" s="1"/>
      <c r="D2439" s="1"/>
      <c r="E2439" s="6"/>
      <c r="F2439" s="1"/>
      <c r="G2439" s="6"/>
      <c r="H2439" s="6"/>
      <c r="I2439" s="6"/>
      <c r="J2439" s="6"/>
      <c r="K2439" s="6"/>
      <c r="L2439" s="6"/>
      <c r="M2439" s="6"/>
      <c r="N2439" s="6"/>
      <c r="O2439" s="7"/>
      <c r="P2439" s="12"/>
      <c r="Q2439" s="6"/>
      <c r="R2439" s="7"/>
      <c r="S2439" s="6"/>
      <c r="T2439" s="6"/>
      <c r="U2439" s="7"/>
      <c r="V2439" s="6"/>
      <c r="W2439" s="6"/>
      <c r="X2439" s="6"/>
      <c r="Y2439" s="6"/>
      <c r="Z2439" s="6"/>
      <c r="AA2439" s="7"/>
      <c r="AB2439" s="6"/>
      <c r="AC2439" s="6"/>
      <c r="AD2439" s="6"/>
      <c r="AE2439" s="12"/>
      <c r="AF2439" s="6"/>
      <c r="AG2439" s="12"/>
      <c r="AH2439" s="6"/>
      <c r="AI2439" s="6"/>
      <c r="AJ2439" s="12"/>
      <c r="AK2439" s="24"/>
      <c r="AL2439" s="25"/>
      <c r="AM2439" s="12"/>
      <c r="AN2439" s="1"/>
      <c r="AO2439" s="6"/>
    </row>
    <row r="2440" spans="1:41" ht="15" x14ac:dyDescent="0.25">
      <c r="A2440" s="1"/>
      <c r="B2440" s="1"/>
      <c r="C2440" s="1"/>
      <c r="D2440" s="1"/>
      <c r="E2440" s="6"/>
      <c r="F2440" s="1"/>
      <c r="G2440" s="6"/>
      <c r="H2440" s="6"/>
      <c r="I2440" s="6"/>
      <c r="J2440" s="6"/>
      <c r="K2440" s="6"/>
      <c r="L2440" s="6"/>
      <c r="M2440" s="6"/>
      <c r="N2440" s="6"/>
      <c r="O2440" s="7"/>
      <c r="P2440" s="6"/>
      <c r="Q2440" s="6"/>
      <c r="R2440" s="7"/>
      <c r="S2440" s="6"/>
      <c r="T2440" s="6"/>
      <c r="U2440" s="7"/>
      <c r="V2440" s="6"/>
      <c r="W2440" s="6"/>
      <c r="X2440" s="6"/>
      <c r="Y2440" s="6"/>
      <c r="Z2440" s="6"/>
      <c r="AA2440" s="7"/>
      <c r="AB2440" s="6"/>
      <c r="AC2440" s="6"/>
      <c r="AD2440" s="6"/>
      <c r="AE2440" s="12"/>
      <c r="AF2440" s="12"/>
      <c r="AG2440" s="12"/>
      <c r="AH2440" s="12"/>
      <c r="AI2440" s="6"/>
      <c r="AJ2440" s="12"/>
      <c r="AK2440" s="1"/>
      <c r="AL2440" s="12"/>
      <c r="AM2440" s="12"/>
      <c r="AN2440" s="1"/>
      <c r="AO2440" s="6"/>
    </row>
    <row r="2441" spans="1:41" ht="15" x14ac:dyDescent="0.25">
      <c r="A2441" s="1"/>
      <c r="B2441" s="1"/>
      <c r="C2441" s="1"/>
      <c r="D2441" s="1"/>
      <c r="E2441" s="6"/>
      <c r="F2441" s="1"/>
      <c r="G2441" s="6"/>
      <c r="H2441" s="6"/>
      <c r="I2441" s="6"/>
      <c r="J2441" s="6"/>
      <c r="K2441" s="6"/>
      <c r="L2441" s="6"/>
      <c r="M2441" s="6"/>
      <c r="N2441" s="6"/>
      <c r="O2441" s="7"/>
      <c r="P2441" s="6"/>
      <c r="Q2441" s="6"/>
      <c r="R2441" s="7"/>
      <c r="S2441" s="6"/>
      <c r="T2441" s="6"/>
      <c r="U2441" s="7"/>
      <c r="V2441" s="6"/>
      <c r="W2441" s="6"/>
      <c r="X2441" s="12"/>
      <c r="Y2441" s="6"/>
      <c r="Z2441" s="6"/>
      <c r="AA2441" s="7"/>
      <c r="AB2441" s="6"/>
      <c r="AC2441" s="6"/>
      <c r="AD2441" s="6"/>
      <c r="AE2441" s="12"/>
      <c r="AF2441" s="6"/>
      <c r="AG2441" s="12"/>
      <c r="AH2441" s="6"/>
      <c r="AI2441" s="6"/>
      <c r="AJ2441" s="12"/>
      <c r="AK2441" s="24"/>
      <c r="AL2441" s="25"/>
      <c r="AM2441" s="12"/>
      <c r="AN2441" s="1"/>
      <c r="AO2441" s="6"/>
    </row>
    <row r="2442" spans="1:41" ht="15" x14ac:dyDescent="0.25">
      <c r="A2442" s="1"/>
      <c r="B2442" s="1"/>
      <c r="C2442" s="1"/>
      <c r="D2442" s="1"/>
      <c r="E2442" s="6"/>
      <c r="F2442" s="1"/>
      <c r="G2442" s="6"/>
      <c r="H2442" s="6"/>
      <c r="I2442" s="6"/>
      <c r="J2442" s="6"/>
      <c r="K2442" s="6"/>
      <c r="L2442" s="6"/>
      <c r="M2442" s="6"/>
      <c r="N2442" s="6"/>
      <c r="O2442" s="7"/>
      <c r="P2442" s="6"/>
      <c r="Q2442" s="6"/>
      <c r="R2442" s="7"/>
      <c r="S2442" s="6"/>
      <c r="T2442" s="6"/>
      <c r="U2442" s="7"/>
      <c r="V2442" s="6"/>
      <c r="W2442" s="6"/>
      <c r="X2442" s="6"/>
      <c r="Y2442" s="6"/>
      <c r="Z2442" s="6"/>
      <c r="AA2442" s="7"/>
      <c r="AB2442" s="6"/>
      <c r="AC2442" s="6"/>
      <c r="AD2442" s="6"/>
      <c r="AE2442" s="12"/>
      <c r="AF2442" s="6"/>
      <c r="AG2442" s="12"/>
      <c r="AH2442" s="6"/>
      <c r="AI2442" s="6"/>
      <c r="AJ2442" s="12"/>
      <c r="AK2442" s="24"/>
      <c r="AL2442" s="25"/>
      <c r="AM2442" s="12"/>
      <c r="AN2442" s="1"/>
      <c r="AO2442" s="6"/>
    </row>
    <row r="2443" spans="1:41" ht="15" x14ac:dyDescent="0.25">
      <c r="A2443" s="1"/>
      <c r="B2443" s="1"/>
      <c r="C2443" s="1"/>
      <c r="D2443" s="1"/>
      <c r="E2443" s="6"/>
      <c r="F2443" s="1"/>
      <c r="G2443" s="6"/>
      <c r="H2443" s="6"/>
      <c r="I2443" s="6"/>
      <c r="J2443" s="6"/>
      <c r="K2443" s="6"/>
      <c r="L2443" s="6"/>
      <c r="M2443" s="6"/>
      <c r="N2443" s="6"/>
      <c r="O2443" s="7"/>
      <c r="P2443" s="6"/>
      <c r="Q2443" s="6"/>
      <c r="R2443" s="7"/>
      <c r="S2443" s="6"/>
      <c r="T2443" s="6"/>
      <c r="U2443" s="7"/>
      <c r="V2443" s="6"/>
      <c r="W2443" s="6"/>
      <c r="X2443" s="12"/>
      <c r="Y2443" s="6"/>
      <c r="Z2443" s="6"/>
      <c r="AA2443" s="7"/>
      <c r="AB2443" s="6"/>
      <c r="AC2443" s="6"/>
      <c r="AD2443" s="6"/>
      <c r="AE2443" s="12"/>
      <c r="AF2443" s="12"/>
      <c r="AG2443" s="12"/>
      <c r="AH2443" s="12"/>
      <c r="AI2443" s="6"/>
      <c r="AJ2443" s="12"/>
      <c r="AK2443" s="1"/>
      <c r="AL2443" s="12"/>
      <c r="AM2443" s="12"/>
      <c r="AN2443" s="1"/>
      <c r="AO2443" s="6"/>
    </row>
    <row r="2444" spans="1:41" ht="15" x14ac:dyDescent="0.25">
      <c r="A2444" s="1"/>
      <c r="B2444" s="1"/>
      <c r="C2444" s="1"/>
      <c r="D2444" s="1"/>
      <c r="E2444" s="6"/>
      <c r="F2444" s="1"/>
      <c r="G2444" s="6"/>
      <c r="H2444" s="6"/>
      <c r="I2444" s="6"/>
      <c r="J2444" s="6"/>
      <c r="K2444" s="6"/>
      <c r="L2444" s="6"/>
      <c r="M2444" s="6"/>
      <c r="N2444" s="6"/>
      <c r="O2444" s="7"/>
      <c r="P2444" s="12"/>
      <c r="Q2444" s="6"/>
      <c r="R2444" s="7"/>
      <c r="S2444" s="6"/>
      <c r="T2444" s="6"/>
      <c r="U2444" s="7"/>
      <c r="V2444" s="6"/>
      <c r="W2444" s="6"/>
      <c r="X2444" s="6"/>
      <c r="Y2444" s="6"/>
      <c r="Z2444" s="6"/>
      <c r="AA2444" s="7"/>
      <c r="AB2444" s="6"/>
      <c r="AC2444" s="6"/>
      <c r="AD2444" s="6"/>
      <c r="AE2444" s="12"/>
      <c r="AF2444" s="12"/>
      <c r="AG2444" s="12"/>
      <c r="AH2444" s="12"/>
      <c r="AI2444" s="6"/>
      <c r="AJ2444" s="12"/>
      <c r="AK2444" s="1"/>
      <c r="AL2444" s="12"/>
      <c r="AM2444" s="12"/>
      <c r="AN2444" s="1"/>
      <c r="AO2444" s="6"/>
    </row>
    <row r="2445" spans="1:41" ht="15" x14ac:dyDescent="0.25">
      <c r="A2445" s="1"/>
      <c r="B2445" s="1"/>
      <c r="C2445" s="1"/>
      <c r="D2445" s="1"/>
      <c r="E2445" s="6"/>
      <c r="F2445" s="1"/>
      <c r="G2445" s="6"/>
      <c r="H2445" s="6"/>
      <c r="I2445" s="6"/>
      <c r="J2445" s="6"/>
      <c r="K2445" s="6"/>
      <c r="L2445" s="6"/>
      <c r="M2445" s="6"/>
      <c r="N2445" s="6"/>
      <c r="O2445" s="7"/>
      <c r="P2445" s="6"/>
      <c r="Q2445" s="6"/>
      <c r="R2445" s="7"/>
      <c r="S2445" s="6"/>
      <c r="T2445" s="6"/>
      <c r="U2445" s="7"/>
      <c r="V2445" s="6"/>
      <c r="W2445" s="6"/>
      <c r="X2445" s="6"/>
      <c r="Y2445" s="6"/>
      <c r="Z2445" s="6"/>
      <c r="AA2445" s="7"/>
      <c r="AB2445" s="6"/>
      <c r="AC2445" s="6"/>
      <c r="AD2445" s="6"/>
      <c r="AE2445" s="12"/>
      <c r="AF2445" s="6"/>
      <c r="AG2445" s="12"/>
      <c r="AH2445" s="6"/>
      <c r="AI2445" s="6"/>
      <c r="AJ2445" s="12"/>
      <c r="AK2445" s="24"/>
      <c r="AL2445" s="25"/>
      <c r="AM2445" s="12"/>
      <c r="AN2445" s="1"/>
      <c r="AO2445" s="6"/>
    </row>
    <row r="2446" spans="1:41" ht="15" x14ac:dyDescent="0.25">
      <c r="A2446" s="1"/>
      <c r="B2446" s="1"/>
      <c r="C2446" s="1"/>
      <c r="D2446" s="1"/>
      <c r="E2446" s="6"/>
      <c r="F2446" s="1"/>
      <c r="G2446" s="6"/>
      <c r="H2446" s="6"/>
      <c r="I2446" s="6"/>
      <c r="J2446" s="6"/>
      <c r="K2446" s="6"/>
      <c r="L2446" s="6"/>
      <c r="M2446" s="6"/>
      <c r="N2446" s="6"/>
      <c r="O2446" s="7"/>
      <c r="P2446" s="6"/>
      <c r="Q2446" s="6"/>
      <c r="R2446" s="7"/>
      <c r="S2446" s="6"/>
      <c r="T2446" s="6"/>
      <c r="U2446" s="7"/>
      <c r="V2446" s="6"/>
      <c r="W2446" s="6"/>
      <c r="X2446" s="12"/>
      <c r="Y2446" s="6"/>
      <c r="Z2446" s="6"/>
      <c r="AA2446" s="7"/>
      <c r="AB2446" s="6"/>
      <c r="AC2446" s="6"/>
      <c r="AD2446" s="6"/>
      <c r="AE2446" s="12"/>
      <c r="AF2446" s="12"/>
      <c r="AG2446" s="12"/>
      <c r="AH2446" s="12"/>
      <c r="AI2446" s="6"/>
      <c r="AJ2446" s="12"/>
      <c r="AK2446" s="1"/>
      <c r="AL2446" s="12"/>
      <c r="AM2446" s="12"/>
      <c r="AN2446" s="1"/>
      <c r="AO2446" s="6"/>
    </row>
    <row r="2447" spans="1:41" ht="15" x14ac:dyDescent="0.25">
      <c r="A2447" s="1"/>
      <c r="B2447" s="1"/>
      <c r="C2447" s="1"/>
      <c r="D2447" s="1"/>
      <c r="E2447" s="6"/>
      <c r="F2447" s="1"/>
      <c r="G2447" s="6"/>
      <c r="H2447" s="6"/>
      <c r="I2447" s="6"/>
      <c r="J2447" s="6"/>
      <c r="K2447" s="6"/>
      <c r="L2447" s="6"/>
      <c r="M2447" s="6"/>
      <c r="N2447" s="6"/>
      <c r="O2447" s="7"/>
      <c r="P2447" s="6"/>
      <c r="Q2447" s="6"/>
      <c r="R2447" s="7"/>
      <c r="S2447" s="6"/>
      <c r="T2447" s="6"/>
      <c r="U2447" s="7"/>
      <c r="V2447" s="6"/>
      <c r="W2447" s="6"/>
      <c r="X2447" s="6"/>
      <c r="Y2447" s="6"/>
      <c r="Z2447" s="6"/>
      <c r="AA2447" s="7"/>
      <c r="AB2447" s="6"/>
      <c r="AC2447" s="6"/>
      <c r="AD2447" s="6"/>
      <c r="AE2447" s="12"/>
      <c r="AF2447" s="6"/>
      <c r="AG2447" s="12"/>
      <c r="AH2447" s="6"/>
      <c r="AI2447" s="6"/>
      <c r="AJ2447" s="12"/>
      <c r="AK2447" s="1"/>
      <c r="AL2447" s="12"/>
      <c r="AM2447" s="12"/>
      <c r="AN2447" s="1"/>
      <c r="AO2447" s="6"/>
    </row>
    <row r="2448" spans="1:41" ht="15" x14ac:dyDescent="0.25">
      <c r="A2448" s="1"/>
      <c r="B2448" s="1"/>
      <c r="C2448" s="1"/>
      <c r="D2448" s="1"/>
      <c r="E2448" s="6"/>
      <c r="F2448" s="1"/>
      <c r="G2448" s="6"/>
      <c r="H2448" s="6"/>
      <c r="I2448" s="6"/>
      <c r="J2448" s="6"/>
      <c r="K2448" s="6"/>
      <c r="L2448" s="6"/>
      <c r="M2448" s="6"/>
      <c r="N2448" s="6"/>
      <c r="O2448" s="7"/>
      <c r="P2448" s="6"/>
      <c r="Q2448" s="6"/>
      <c r="R2448" s="7"/>
      <c r="S2448" s="6"/>
      <c r="T2448" s="6"/>
      <c r="U2448" s="7"/>
      <c r="V2448" s="6"/>
      <c r="W2448" s="6"/>
      <c r="X2448" s="6"/>
      <c r="Y2448" s="6"/>
      <c r="Z2448" s="6"/>
      <c r="AA2448" s="7"/>
      <c r="AB2448" s="6"/>
      <c r="AC2448" s="6"/>
      <c r="AD2448" s="6"/>
      <c r="AE2448" s="12"/>
      <c r="AF2448" s="12"/>
      <c r="AG2448" s="12"/>
      <c r="AH2448" s="12"/>
      <c r="AI2448" s="6"/>
      <c r="AJ2448" s="12"/>
      <c r="AK2448" s="1"/>
      <c r="AL2448" s="12"/>
      <c r="AM2448" s="12"/>
      <c r="AN2448" s="1"/>
      <c r="AO2448" s="6"/>
    </row>
    <row r="2449" spans="1:41" ht="15" x14ac:dyDescent="0.25">
      <c r="A2449" s="1"/>
      <c r="B2449" s="1"/>
      <c r="C2449" s="1"/>
      <c r="D2449" s="1"/>
      <c r="E2449" s="6"/>
      <c r="F2449" s="1"/>
      <c r="G2449" s="6"/>
      <c r="H2449" s="6"/>
      <c r="I2449" s="6"/>
      <c r="J2449" s="6"/>
      <c r="K2449" s="6"/>
      <c r="L2449" s="6"/>
      <c r="M2449" s="6"/>
      <c r="N2449" s="6"/>
      <c r="O2449" s="7"/>
      <c r="P2449" s="6"/>
      <c r="Q2449" s="6"/>
      <c r="R2449" s="7"/>
      <c r="S2449" s="6"/>
      <c r="T2449" s="6"/>
      <c r="U2449" s="7"/>
      <c r="V2449" s="6"/>
      <c r="W2449" s="6"/>
      <c r="X2449" s="6"/>
      <c r="Y2449" s="6"/>
      <c r="Z2449" s="6"/>
      <c r="AA2449" s="7"/>
      <c r="AB2449" s="6"/>
      <c r="AC2449" s="6"/>
      <c r="AD2449" s="6"/>
      <c r="AE2449" s="12"/>
      <c r="AF2449" s="12"/>
      <c r="AG2449" s="12"/>
      <c r="AH2449" s="12"/>
      <c r="AI2449" s="6"/>
      <c r="AJ2449" s="12"/>
      <c r="AK2449" s="1"/>
      <c r="AL2449" s="12"/>
      <c r="AM2449" s="12"/>
      <c r="AN2449" s="1"/>
      <c r="AO2449" s="6"/>
    </row>
    <row r="2450" spans="1:41" ht="15" x14ac:dyDescent="0.25">
      <c r="A2450" s="1"/>
      <c r="B2450" s="1"/>
      <c r="C2450" s="1"/>
      <c r="D2450" s="1"/>
      <c r="E2450" s="6"/>
      <c r="F2450" s="1"/>
      <c r="G2450" s="6"/>
      <c r="H2450" s="6"/>
      <c r="I2450" s="6"/>
      <c r="J2450" s="6"/>
      <c r="K2450" s="6"/>
      <c r="L2450" s="6"/>
      <c r="M2450" s="6"/>
      <c r="N2450" s="6"/>
      <c r="O2450" s="7"/>
      <c r="P2450" s="6"/>
      <c r="Q2450" s="6"/>
      <c r="R2450" s="7"/>
      <c r="S2450" s="6"/>
      <c r="T2450" s="6"/>
      <c r="U2450" s="7"/>
      <c r="V2450" s="6"/>
      <c r="W2450" s="6"/>
      <c r="X2450" s="6"/>
      <c r="Y2450" s="6"/>
      <c r="Z2450" s="6"/>
      <c r="AA2450" s="7"/>
      <c r="AB2450" s="6"/>
      <c r="AC2450" s="6"/>
      <c r="AD2450" s="6"/>
      <c r="AE2450" s="12"/>
      <c r="AF2450" s="6"/>
      <c r="AG2450" s="12"/>
      <c r="AH2450" s="6"/>
      <c r="AI2450" s="6"/>
      <c r="AJ2450" s="12"/>
      <c r="AK2450" s="1"/>
      <c r="AL2450" s="12"/>
      <c r="AM2450" s="12"/>
      <c r="AN2450" s="1"/>
      <c r="AO2450" s="6"/>
    </row>
    <row r="2451" spans="1:41" ht="15" x14ac:dyDescent="0.25">
      <c r="A2451" s="1"/>
      <c r="B2451" s="1"/>
      <c r="C2451" s="1"/>
      <c r="D2451" s="1"/>
      <c r="E2451" s="6"/>
      <c r="F2451" s="1"/>
      <c r="G2451" s="6"/>
      <c r="H2451" s="6"/>
      <c r="I2451" s="6"/>
      <c r="J2451" s="6"/>
      <c r="K2451" s="6"/>
      <c r="L2451" s="6"/>
      <c r="M2451" s="6"/>
      <c r="N2451" s="6"/>
      <c r="O2451" s="7"/>
      <c r="P2451" s="6"/>
      <c r="Q2451" s="6"/>
      <c r="R2451" s="7"/>
      <c r="S2451" s="6"/>
      <c r="T2451" s="6"/>
      <c r="U2451" s="7"/>
      <c r="V2451" s="6"/>
      <c r="W2451" s="6"/>
      <c r="X2451" s="12"/>
      <c r="Y2451" s="6"/>
      <c r="Z2451" s="6"/>
      <c r="AA2451" s="7"/>
      <c r="AB2451" s="6"/>
      <c r="AC2451" s="6"/>
      <c r="AD2451" s="6"/>
      <c r="AE2451" s="12"/>
      <c r="AF2451" s="12"/>
      <c r="AG2451" s="12"/>
      <c r="AH2451" s="12"/>
      <c r="AI2451" s="6"/>
      <c r="AJ2451" s="12"/>
      <c r="AK2451" s="1"/>
      <c r="AL2451" s="12"/>
      <c r="AM2451" s="12"/>
      <c r="AN2451" s="1"/>
      <c r="AO2451" s="6"/>
    </row>
    <row r="2452" spans="1:41" ht="15" x14ac:dyDescent="0.25">
      <c r="A2452" s="1"/>
      <c r="B2452" s="1"/>
      <c r="C2452" s="1"/>
      <c r="D2452" s="1"/>
      <c r="E2452" s="6"/>
      <c r="F2452" s="1"/>
      <c r="G2452" s="6"/>
      <c r="H2452" s="6"/>
      <c r="I2452" s="6"/>
      <c r="J2452" s="6"/>
      <c r="K2452" s="6"/>
      <c r="L2452" s="6"/>
      <c r="M2452" s="6"/>
      <c r="N2452" s="6"/>
      <c r="O2452" s="7"/>
      <c r="P2452" s="6"/>
      <c r="Q2452" s="6"/>
      <c r="R2452" s="7"/>
      <c r="S2452" s="6"/>
      <c r="T2452" s="6"/>
      <c r="U2452" s="7"/>
      <c r="V2452" s="6"/>
      <c r="W2452" s="6"/>
      <c r="X2452" s="6"/>
      <c r="Y2452" s="6"/>
      <c r="Z2452" s="6"/>
      <c r="AA2452" s="7"/>
      <c r="AB2452" s="6"/>
      <c r="AC2452" s="6"/>
      <c r="AD2452" s="6"/>
      <c r="AE2452" s="12"/>
      <c r="AF2452" s="12"/>
      <c r="AG2452" s="12"/>
      <c r="AH2452" s="12"/>
      <c r="AI2452" s="6"/>
      <c r="AJ2452" s="12"/>
      <c r="AK2452" s="1"/>
      <c r="AL2452" s="12"/>
      <c r="AM2452" s="12"/>
      <c r="AN2452" s="1"/>
      <c r="AO2452" s="6"/>
    </row>
    <row r="2453" spans="1:41" ht="15" x14ac:dyDescent="0.25">
      <c r="A2453" s="1"/>
      <c r="B2453" s="1"/>
      <c r="C2453" s="1"/>
      <c r="D2453" s="1"/>
      <c r="E2453" s="6"/>
      <c r="F2453" s="1"/>
      <c r="G2453" s="6"/>
      <c r="H2453" s="6"/>
      <c r="I2453" s="6"/>
      <c r="J2453" s="6"/>
      <c r="K2453" s="6"/>
      <c r="L2453" s="6"/>
      <c r="M2453" s="6"/>
      <c r="N2453" s="6"/>
      <c r="O2453" s="7"/>
      <c r="P2453" s="6"/>
      <c r="Q2453" s="6"/>
      <c r="R2453" s="7"/>
      <c r="S2453" s="6"/>
      <c r="T2453" s="6"/>
      <c r="U2453" s="7"/>
      <c r="V2453" s="6"/>
      <c r="W2453" s="6"/>
      <c r="X2453" s="6"/>
      <c r="Y2453" s="6"/>
      <c r="Z2453" s="6"/>
      <c r="AA2453" s="7"/>
      <c r="AB2453" s="6"/>
      <c r="AC2453" s="6"/>
      <c r="AD2453" s="6"/>
      <c r="AE2453" s="12"/>
      <c r="AF2453" s="6"/>
      <c r="AG2453" s="12"/>
      <c r="AH2453" s="6"/>
      <c r="AI2453" s="6"/>
      <c r="AJ2453" s="12"/>
      <c r="AK2453" s="1"/>
      <c r="AL2453" s="12"/>
      <c r="AM2453" s="12"/>
      <c r="AN2453" s="1"/>
      <c r="AO2453" s="6"/>
    </row>
    <row r="2454" spans="1:41" ht="15" x14ac:dyDescent="0.25">
      <c r="A2454" s="1"/>
      <c r="B2454" s="1"/>
      <c r="C2454" s="1"/>
      <c r="D2454" s="1"/>
      <c r="E2454" s="6"/>
      <c r="F2454" s="1"/>
      <c r="G2454" s="6"/>
      <c r="H2454" s="6"/>
      <c r="I2454" s="6"/>
      <c r="J2454" s="6"/>
      <c r="K2454" s="6"/>
      <c r="L2454" s="6"/>
      <c r="M2454" s="6"/>
      <c r="N2454" s="6"/>
      <c r="O2454" s="7"/>
      <c r="P2454" s="6"/>
      <c r="Q2454" s="7"/>
      <c r="R2454" s="6"/>
      <c r="S2454" s="12"/>
      <c r="T2454" s="6"/>
      <c r="U2454" s="6"/>
      <c r="V2454" s="7"/>
      <c r="W2454" s="7"/>
      <c r="X2454" s="6"/>
      <c r="Y2454" s="6"/>
      <c r="Z2454" s="6"/>
      <c r="AA2454" s="1"/>
      <c r="AB2454" s="12"/>
      <c r="AC2454" s="12"/>
      <c r="AD2454" s="12"/>
      <c r="AE2454" s="12"/>
      <c r="AF2454" s="12"/>
      <c r="AG2454" s="12"/>
      <c r="AH2454" s="12"/>
      <c r="AI2454" s="6"/>
      <c r="AJ2454" s="12"/>
      <c r="AK2454" s="12"/>
      <c r="AL2454" s="12"/>
      <c r="AM2454" s="12"/>
      <c r="AN2454" s="1"/>
      <c r="AO2454" s="6"/>
    </row>
    <row r="2455" spans="1:41" ht="15" x14ac:dyDescent="0.25">
      <c r="A2455" s="1"/>
      <c r="B2455" s="1"/>
      <c r="C2455" s="1"/>
      <c r="D2455" s="1"/>
      <c r="E2455" s="6"/>
      <c r="F2455" s="1"/>
      <c r="G2455" s="6"/>
      <c r="H2455" s="6"/>
      <c r="I2455" s="6"/>
      <c r="J2455" s="6"/>
      <c r="K2455" s="6"/>
      <c r="L2455" s="6"/>
      <c r="M2455" s="6"/>
      <c r="N2455" s="6"/>
      <c r="O2455" s="7"/>
      <c r="P2455" s="6"/>
      <c r="Q2455" s="6"/>
      <c r="R2455" s="7"/>
      <c r="S2455" s="6"/>
      <c r="T2455" s="6"/>
      <c r="U2455" s="7"/>
      <c r="V2455" s="6"/>
      <c r="W2455" s="6"/>
      <c r="X2455" s="6"/>
      <c r="Y2455" s="6"/>
      <c r="Z2455" s="6"/>
      <c r="AA2455" s="7"/>
      <c r="AB2455" s="6"/>
      <c r="AC2455" s="6"/>
      <c r="AD2455" s="6"/>
      <c r="AE2455" s="12"/>
      <c r="AF2455" s="6"/>
      <c r="AG2455" s="12"/>
      <c r="AH2455" s="6"/>
      <c r="AI2455" s="6"/>
      <c r="AJ2455" s="12"/>
      <c r="AK2455" s="1"/>
      <c r="AL2455" s="12"/>
      <c r="AM2455" s="12"/>
      <c r="AN2455" s="1"/>
      <c r="AO2455" s="6"/>
    </row>
    <row r="2456" spans="1:41" ht="15" x14ac:dyDescent="0.25">
      <c r="A2456" s="1"/>
      <c r="B2456" s="1"/>
      <c r="C2456" s="1"/>
      <c r="D2456" s="1"/>
      <c r="E2456" s="6"/>
      <c r="F2456" s="1"/>
      <c r="G2456" s="6"/>
      <c r="H2456" s="6"/>
      <c r="I2456" s="6"/>
      <c r="J2456" s="6"/>
      <c r="K2456" s="6"/>
      <c r="L2456" s="6"/>
      <c r="M2456" s="6"/>
      <c r="N2456" s="6"/>
      <c r="O2456" s="7"/>
      <c r="P2456" s="6"/>
      <c r="Q2456" s="6"/>
      <c r="R2456" s="7"/>
      <c r="S2456" s="6"/>
      <c r="T2456" s="6"/>
      <c r="U2456" s="7"/>
      <c r="V2456" s="6"/>
      <c r="W2456" s="6"/>
      <c r="X2456" s="12"/>
      <c r="Y2456" s="6"/>
      <c r="Z2456" s="6"/>
      <c r="AA2456" s="7"/>
      <c r="AB2456" s="6"/>
      <c r="AC2456" s="6"/>
      <c r="AD2456" s="6"/>
      <c r="AE2456" s="12"/>
      <c r="AF2456" s="12"/>
      <c r="AG2456" s="12"/>
      <c r="AH2456" s="12"/>
      <c r="AI2456" s="6"/>
      <c r="AJ2456" s="12"/>
      <c r="AK2456" s="1"/>
      <c r="AL2456" s="12"/>
      <c r="AM2456" s="12"/>
      <c r="AN2456" s="1"/>
      <c r="AO2456" s="6"/>
    </row>
    <row r="2457" spans="1:41" ht="15" x14ac:dyDescent="0.25">
      <c r="A2457" s="1"/>
      <c r="B2457" s="1"/>
      <c r="C2457" s="1"/>
      <c r="D2457" s="1"/>
      <c r="E2457" s="6"/>
      <c r="F2457" s="1"/>
      <c r="G2457" s="6"/>
      <c r="H2457" s="6"/>
      <c r="I2457" s="6"/>
      <c r="J2457" s="6"/>
      <c r="K2457" s="6"/>
      <c r="L2457" s="6"/>
      <c r="M2457" s="6"/>
      <c r="N2457" s="6"/>
      <c r="O2457" s="7"/>
      <c r="P2457" s="6"/>
      <c r="Q2457" s="6"/>
      <c r="R2457" s="7"/>
      <c r="S2457" s="6"/>
      <c r="T2457" s="6"/>
      <c r="U2457" s="7"/>
      <c r="V2457" s="6"/>
      <c r="W2457" s="6"/>
      <c r="X2457" s="6"/>
      <c r="Y2457" s="6"/>
      <c r="Z2457" s="6"/>
      <c r="AA2457" s="7"/>
      <c r="AB2457" s="6"/>
      <c r="AC2457" s="6"/>
      <c r="AD2457" s="6"/>
      <c r="AE2457" s="12"/>
      <c r="AF2457" s="6"/>
      <c r="AG2457" s="12"/>
      <c r="AH2457" s="6"/>
      <c r="AI2457" s="6"/>
      <c r="AJ2457" s="12"/>
      <c r="AK2457" s="1"/>
      <c r="AL2457" s="12"/>
      <c r="AM2457" s="12"/>
      <c r="AN2457" s="1"/>
      <c r="AO2457" s="6"/>
    </row>
    <row r="2458" spans="1:41" ht="15" x14ac:dyDescent="0.25">
      <c r="A2458" s="1"/>
      <c r="B2458" s="1"/>
      <c r="C2458" s="1"/>
      <c r="D2458" s="1"/>
      <c r="E2458" s="6"/>
      <c r="F2458" s="1"/>
      <c r="G2458" s="6"/>
      <c r="H2458" s="6"/>
      <c r="I2458" s="6"/>
      <c r="J2458" s="6"/>
      <c r="K2458" s="6"/>
      <c r="L2458" s="6"/>
      <c r="M2458" s="6"/>
      <c r="N2458" s="6"/>
      <c r="O2458" s="7"/>
      <c r="P2458" s="6"/>
      <c r="Q2458" s="6"/>
      <c r="R2458" s="7"/>
      <c r="S2458" s="6"/>
      <c r="T2458" s="6"/>
      <c r="U2458" s="7"/>
      <c r="V2458" s="6"/>
      <c r="W2458" s="6"/>
      <c r="X2458" s="6"/>
      <c r="Y2458" s="6"/>
      <c r="Z2458" s="6"/>
      <c r="AA2458" s="7"/>
      <c r="AB2458" s="6"/>
      <c r="AC2458" s="6"/>
      <c r="AD2458" s="6"/>
      <c r="AE2458" s="12"/>
      <c r="AF2458" s="6"/>
      <c r="AG2458" s="12"/>
      <c r="AH2458" s="6"/>
      <c r="AI2458" s="6"/>
      <c r="AJ2458" s="12"/>
      <c r="AK2458" s="1"/>
      <c r="AL2458" s="12"/>
      <c r="AM2458" s="12"/>
      <c r="AN2458" s="1"/>
      <c r="AO2458" s="6"/>
    </row>
    <row r="2459" spans="1:41" ht="15" x14ac:dyDescent="0.25">
      <c r="A2459" s="1"/>
      <c r="B2459" s="1"/>
      <c r="C2459" s="1"/>
      <c r="D2459" s="1"/>
      <c r="E2459" s="6"/>
      <c r="F2459" s="1"/>
      <c r="G2459" s="6"/>
      <c r="H2459" s="6"/>
      <c r="I2459" s="6"/>
      <c r="J2459" s="6"/>
      <c r="K2459" s="12"/>
      <c r="L2459" s="12"/>
      <c r="M2459" s="6"/>
      <c r="N2459" s="6"/>
      <c r="O2459" s="7"/>
      <c r="P2459" s="12"/>
      <c r="Q2459" s="6"/>
      <c r="R2459" s="7"/>
      <c r="S2459" s="6"/>
      <c r="T2459" s="6"/>
      <c r="U2459" s="7"/>
      <c r="V2459" s="6"/>
      <c r="W2459" s="6"/>
      <c r="X2459" s="12"/>
      <c r="Y2459" s="6"/>
      <c r="Z2459" s="6"/>
      <c r="AA2459" s="7"/>
      <c r="AB2459" s="6"/>
      <c r="AC2459" s="6"/>
      <c r="AD2459" s="6"/>
      <c r="AE2459" s="12"/>
      <c r="AF2459" s="12"/>
      <c r="AG2459" s="12"/>
      <c r="AH2459" s="12"/>
      <c r="AI2459" s="6"/>
      <c r="AJ2459" s="12"/>
      <c r="AK2459" s="1"/>
      <c r="AL2459" s="12"/>
      <c r="AM2459" s="12"/>
      <c r="AN2459" s="1"/>
      <c r="AO2459" s="6"/>
    </row>
    <row r="2460" spans="1:41" ht="15" x14ac:dyDescent="0.25">
      <c r="A2460" s="1"/>
      <c r="B2460" s="1"/>
      <c r="C2460" s="1"/>
      <c r="D2460" s="1"/>
      <c r="E2460" s="6"/>
      <c r="F2460" s="1"/>
      <c r="G2460" s="6"/>
      <c r="H2460" s="6"/>
      <c r="I2460" s="6"/>
      <c r="J2460" s="6"/>
      <c r="K2460" s="6"/>
      <c r="L2460" s="6"/>
      <c r="M2460" s="6"/>
      <c r="N2460" s="6"/>
      <c r="O2460" s="7"/>
      <c r="P2460" s="6"/>
      <c r="Q2460" s="6"/>
      <c r="R2460" s="7"/>
      <c r="S2460" s="6"/>
      <c r="T2460" s="6"/>
      <c r="U2460" s="7"/>
      <c r="V2460" s="6"/>
      <c r="W2460" s="6"/>
      <c r="X2460" s="6"/>
      <c r="Y2460" s="6"/>
      <c r="Z2460" s="6"/>
      <c r="AA2460" s="7"/>
      <c r="AB2460" s="6"/>
      <c r="AC2460" s="6"/>
      <c r="AD2460" s="6"/>
      <c r="AE2460" s="12"/>
      <c r="AF2460" s="12"/>
      <c r="AG2460" s="12"/>
      <c r="AH2460" s="12"/>
      <c r="AI2460" s="6"/>
      <c r="AJ2460" s="12"/>
      <c r="AK2460" s="1"/>
      <c r="AL2460" s="12"/>
      <c r="AM2460" s="12"/>
      <c r="AN2460" s="1"/>
      <c r="AO2460" s="6"/>
    </row>
    <row r="2461" spans="1:41" ht="15" x14ac:dyDescent="0.25">
      <c r="A2461" s="1"/>
      <c r="B2461" s="1"/>
      <c r="C2461" s="1"/>
      <c r="D2461" s="1"/>
      <c r="E2461" s="6"/>
      <c r="F2461" s="1"/>
      <c r="G2461" s="6"/>
      <c r="H2461" s="6"/>
      <c r="I2461" s="6"/>
      <c r="J2461" s="6"/>
      <c r="K2461" s="6"/>
      <c r="L2461" s="6"/>
      <c r="M2461" s="6"/>
      <c r="N2461" s="6"/>
      <c r="O2461" s="7"/>
      <c r="P2461" s="6"/>
      <c r="Q2461" s="7"/>
      <c r="R2461" s="6"/>
      <c r="S2461" s="6"/>
      <c r="T2461" s="6"/>
      <c r="U2461" s="6"/>
      <c r="V2461" s="7"/>
      <c r="W2461" s="7"/>
      <c r="X2461" s="6"/>
      <c r="Y2461" s="6"/>
      <c r="Z2461" s="6"/>
      <c r="AA2461" s="1"/>
      <c r="AB2461" s="12"/>
      <c r="AC2461" s="12"/>
      <c r="AD2461" s="12"/>
      <c r="AE2461" s="12"/>
      <c r="AF2461" s="12"/>
      <c r="AG2461" s="12"/>
      <c r="AH2461" s="12"/>
      <c r="AI2461" s="6"/>
      <c r="AJ2461" s="12"/>
      <c r="AK2461" s="12"/>
      <c r="AL2461" s="12"/>
      <c r="AM2461" s="12"/>
      <c r="AN2461" s="1"/>
      <c r="AO2461" s="6"/>
    </row>
    <row r="2462" spans="1:41" ht="15" x14ac:dyDescent="0.25">
      <c r="A2462" s="1"/>
      <c r="B2462" s="1"/>
      <c r="C2462" s="1"/>
      <c r="D2462" s="1"/>
      <c r="E2462" s="6"/>
      <c r="F2462" s="1"/>
      <c r="G2462" s="6"/>
      <c r="H2462" s="6"/>
      <c r="I2462" s="6"/>
      <c r="J2462" s="6"/>
      <c r="K2462" s="6"/>
      <c r="L2462" s="6"/>
      <c r="M2462" s="6"/>
      <c r="N2462" s="6"/>
      <c r="O2462" s="7"/>
      <c r="P2462" s="6"/>
      <c r="Q2462" s="6"/>
      <c r="R2462" s="7"/>
      <c r="S2462" s="6"/>
      <c r="T2462" s="6"/>
      <c r="U2462" s="7"/>
      <c r="V2462" s="6"/>
      <c r="W2462" s="6"/>
      <c r="X2462" s="12"/>
      <c r="Y2462" s="6"/>
      <c r="Z2462" s="6"/>
      <c r="AA2462" s="7"/>
      <c r="AB2462" s="6"/>
      <c r="AC2462" s="6"/>
      <c r="AD2462" s="6"/>
      <c r="AE2462" s="12"/>
      <c r="AF2462" s="12"/>
      <c r="AG2462" s="12"/>
      <c r="AH2462" s="12"/>
      <c r="AI2462" s="6"/>
      <c r="AJ2462" s="12"/>
      <c r="AK2462" s="1"/>
      <c r="AL2462" s="12"/>
      <c r="AM2462" s="12"/>
      <c r="AN2462" s="1"/>
      <c r="AO2462" s="6"/>
    </row>
    <row r="2463" spans="1:41" ht="15" x14ac:dyDescent="0.25">
      <c r="A2463" s="1"/>
      <c r="B2463" s="1"/>
      <c r="C2463" s="1"/>
      <c r="D2463" s="1"/>
      <c r="E2463" s="6"/>
      <c r="F2463" s="1"/>
      <c r="G2463" s="6"/>
      <c r="H2463" s="6"/>
      <c r="I2463" s="6"/>
      <c r="J2463" s="6"/>
      <c r="K2463" s="6"/>
      <c r="L2463" s="6"/>
      <c r="M2463" s="6"/>
      <c r="N2463" s="6"/>
      <c r="O2463" s="7"/>
      <c r="P2463" s="6"/>
      <c r="Q2463" s="7"/>
      <c r="R2463" s="6"/>
      <c r="S2463" s="6"/>
      <c r="T2463" s="6"/>
      <c r="U2463" s="6"/>
      <c r="V2463" s="7"/>
      <c r="W2463" s="7"/>
      <c r="X2463" s="6"/>
      <c r="Y2463" s="6"/>
      <c r="Z2463" s="6"/>
      <c r="AA2463" s="1"/>
      <c r="AB2463" s="12"/>
      <c r="AC2463" s="12"/>
      <c r="AD2463" s="12"/>
      <c r="AE2463" s="12"/>
      <c r="AF2463" s="12"/>
      <c r="AG2463" s="12"/>
      <c r="AH2463" s="12"/>
      <c r="AI2463" s="6"/>
      <c r="AJ2463" s="12"/>
      <c r="AK2463" s="12"/>
      <c r="AL2463" s="12"/>
      <c r="AM2463" s="12"/>
      <c r="AN2463" s="1"/>
      <c r="AO2463" s="6"/>
    </row>
    <row r="2464" spans="1:41" ht="15" x14ac:dyDescent="0.25">
      <c r="A2464" s="1"/>
      <c r="B2464" s="1"/>
      <c r="C2464" s="1"/>
      <c r="D2464" s="1"/>
      <c r="E2464" s="6"/>
      <c r="F2464" s="1"/>
      <c r="G2464" s="6"/>
      <c r="H2464" s="6"/>
      <c r="I2464" s="6"/>
      <c r="J2464" s="6"/>
      <c r="K2464" s="6"/>
      <c r="L2464" s="6"/>
      <c r="M2464" s="6"/>
      <c r="N2464" s="6"/>
      <c r="O2464" s="7"/>
      <c r="P2464" s="6"/>
      <c r="Q2464" s="6"/>
      <c r="R2464" s="7"/>
      <c r="S2464" s="6"/>
      <c r="T2464" s="6"/>
      <c r="U2464" s="7"/>
      <c r="V2464" s="6"/>
      <c r="W2464" s="6"/>
      <c r="X2464" s="6"/>
      <c r="Y2464" s="6"/>
      <c r="Z2464" s="6"/>
      <c r="AA2464" s="7"/>
      <c r="AB2464" s="6"/>
      <c r="AC2464" s="6"/>
      <c r="AD2464" s="6"/>
      <c r="AE2464" s="12"/>
      <c r="AF2464" s="12"/>
      <c r="AG2464" s="12"/>
      <c r="AH2464" s="12"/>
      <c r="AI2464" s="6"/>
      <c r="AJ2464" s="12"/>
      <c r="AK2464" s="1"/>
      <c r="AL2464" s="12"/>
      <c r="AM2464" s="12"/>
      <c r="AN2464" s="1"/>
      <c r="AO2464" s="6"/>
    </row>
    <row r="2465" spans="1:41" ht="15" x14ac:dyDescent="0.25">
      <c r="A2465" s="1"/>
      <c r="B2465" s="1"/>
      <c r="C2465" s="1"/>
      <c r="D2465" s="1"/>
      <c r="E2465" s="6"/>
      <c r="F2465" s="1"/>
      <c r="G2465" s="6"/>
      <c r="H2465" s="6"/>
      <c r="I2465" s="6"/>
      <c r="J2465" s="6"/>
      <c r="K2465" s="6"/>
      <c r="L2465" s="6"/>
      <c r="M2465" s="6"/>
      <c r="N2465" s="6"/>
      <c r="O2465" s="7"/>
      <c r="P2465" s="6"/>
      <c r="Q2465" s="6"/>
      <c r="R2465" s="7"/>
      <c r="S2465" s="6"/>
      <c r="T2465" s="6"/>
      <c r="U2465" s="7"/>
      <c r="V2465" s="6"/>
      <c r="W2465" s="6"/>
      <c r="X2465" s="6"/>
      <c r="Y2465" s="6"/>
      <c r="Z2465" s="6"/>
      <c r="AA2465" s="7"/>
      <c r="AB2465" s="6"/>
      <c r="AC2465" s="6"/>
      <c r="AD2465" s="6"/>
      <c r="AE2465" s="12"/>
      <c r="AF2465" s="6"/>
      <c r="AG2465" s="12"/>
      <c r="AH2465" s="6"/>
      <c r="AI2465" s="6"/>
      <c r="AJ2465" s="12"/>
      <c r="AK2465" s="24"/>
      <c r="AL2465" s="25"/>
      <c r="AM2465" s="12"/>
      <c r="AN2465" s="1"/>
      <c r="AO2465" s="6"/>
    </row>
    <row r="2466" spans="1:41" ht="15" x14ac:dyDescent="0.25">
      <c r="A2466" s="1"/>
      <c r="B2466" s="1"/>
      <c r="C2466" s="1"/>
      <c r="D2466" s="1"/>
      <c r="E2466" s="6"/>
      <c r="F2466" s="1"/>
      <c r="G2466" s="6"/>
      <c r="H2466" s="6"/>
      <c r="I2466" s="6"/>
      <c r="J2466" s="6"/>
      <c r="K2466" s="6"/>
      <c r="L2466" s="6"/>
      <c r="M2466" s="6"/>
      <c r="N2466" s="6"/>
      <c r="O2466" s="7"/>
      <c r="P2466" s="6"/>
      <c r="Q2466" s="6"/>
      <c r="R2466" s="7"/>
      <c r="S2466" s="6"/>
      <c r="T2466" s="6"/>
      <c r="U2466" s="7"/>
      <c r="V2466" s="6"/>
      <c r="W2466" s="6"/>
      <c r="X2466" s="12"/>
      <c r="Y2466" s="6"/>
      <c r="Z2466" s="6"/>
      <c r="AA2466" s="7"/>
      <c r="AB2466" s="6"/>
      <c r="AC2466" s="6"/>
      <c r="AD2466" s="6"/>
      <c r="AE2466" s="12"/>
      <c r="AF2466" s="12"/>
      <c r="AG2466" s="12"/>
      <c r="AH2466" s="12"/>
      <c r="AI2466" s="6"/>
      <c r="AJ2466" s="12"/>
      <c r="AK2466" s="1"/>
      <c r="AL2466" s="12"/>
      <c r="AM2466" s="12"/>
      <c r="AN2466" s="1"/>
      <c r="AO2466" s="6"/>
    </row>
    <row r="2467" spans="1:41" ht="15" x14ac:dyDescent="0.25">
      <c r="A2467" s="1"/>
      <c r="B2467" s="1"/>
      <c r="C2467" s="1"/>
      <c r="D2467" s="1"/>
      <c r="E2467" s="6"/>
      <c r="F2467" s="1"/>
      <c r="G2467" s="6"/>
      <c r="H2467" s="6"/>
      <c r="I2467" s="6"/>
      <c r="J2467" s="6"/>
      <c r="K2467" s="6"/>
      <c r="L2467" s="6"/>
      <c r="M2467" s="6"/>
      <c r="N2467" s="6"/>
      <c r="O2467" s="7"/>
      <c r="P2467" s="6"/>
      <c r="Q2467" s="6"/>
      <c r="R2467" s="7"/>
      <c r="S2467" s="6"/>
      <c r="T2467" s="6"/>
      <c r="U2467" s="7"/>
      <c r="V2467" s="6"/>
      <c r="W2467" s="6"/>
      <c r="X2467" s="6"/>
      <c r="Y2467" s="6"/>
      <c r="Z2467" s="6"/>
      <c r="AA2467" s="7"/>
      <c r="AB2467" s="6"/>
      <c r="AC2467" s="6"/>
      <c r="AD2467" s="6"/>
      <c r="AE2467" s="12"/>
      <c r="AF2467" s="6"/>
      <c r="AG2467" s="12"/>
      <c r="AH2467" s="6"/>
      <c r="AI2467" s="6"/>
      <c r="AJ2467" s="12"/>
      <c r="AK2467" s="24"/>
      <c r="AL2467" s="25"/>
      <c r="AM2467" s="12"/>
      <c r="AN2467" s="1"/>
      <c r="AO2467" s="6"/>
    </row>
    <row r="2468" spans="1:41" ht="15" x14ac:dyDescent="0.25">
      <c r="A2468" s="1"/>
      <c r="B2468" s="1"/>
      <c r="C2468" s="1"/>
      <c r="D2468" s="1"/>
      <c r="E2468" s="6"/>
      <c r="F2468" s="1"/>
      <c r="G2468" s="6"/>
      <c r="H2468" s="6"/>
      <c r="I2468" s="6"/>
      <c r="J2468" s="6"/>
      <c r="K2468" s="6"/>
      <c r="L2468" s="6"/>
      <c r="M2468" s="6"/>
      <c r="N2468" s="6"/>
      <c r="O2468" s="7"/>
      <c r="P2468" s="6"/>
      <c r="Q2468" s="6"/>
      <c r="R2468" s="7"/>
      <c r="S2468" s="6"/>
      <c r="T2468" s="6"/>
      <c r="U2468" s="7"/>
      <c r="V2468" s="6"/>
      <c r="W2468" s="6"/>
      <c r="X2468" s="12"/>
      <c r="Y2468" s="6"/>
      <c r="Z2468" s="6"/>
      <c r="AA2468" s="7"/>
      <c r="AB2468" s="6"/>
      <c r="AC2468" s="6"/>
      <c r="AD2468" s="6"/>
      <c r="AE2468" s="12"/>
      <c r="AF2468" s="12"/>
      <c r="AG2468" s="12"/>
      <c r="AH2468" s="12"/>
      <c r="AI2468" s="6"/>
      <c r="AJ2468" s="12"/>
      <c r="AK2468" s="1"/>
      <c r="AL2468" s="12"/>
      <c r="AM2468" s="12"/>
      <c r="AN2468" s="1"/>
      <c r="AO2468" s="6"/>
    </row>
    <row r="2469" spans="1:41" ht="15" x14ac:dyDescent="0.25">
      <c r="A2469" s="1"/>
      <c r="B2469" s="1"/>
      <c r="C2469" s="1"/>
      <c r="D2469" s="1"/>
      <c r="E2469" s="6"/>
      <c r="F2469" s="1"/>
      <c r="G2469" s="6"/>
      <c r="H2469" s="6"/>
      <c r="I2469" s="6"/>
      <c r="J2469" s="6"/>
      <c r="K2469" s="6"/>
      <c r="L2469" s="6"/>
      <c r="M2469" s="6"/>
      <c r="N2469" s="6"/>
      <c r="O2469" s="7"/>
      <c r="P2469" s="6"/>
      <c r="Q2469" s="6"/>
      <c r="R2469" s="7"/>
      <c r="S2469" s="6"/>
      <c r="T2469" s="6"/>
      <c r="U2469" s="7"/>
      <c r="V2469" s="6"/>
      <c r="W2469" s="6"/>
      <c r="X2469" s="6"/>
      <c r="Y2469" s="6"/>
      <c r="Z2469" s="6"/>
      <c r="AA2469" s="7"/>
      <c r="AB2469" s="6"/>
      <c r="AC2469" s="6"/>
      <c r="AD2469" s="6"/>
      <c r="AE2469" s="12"/>
      <c r="AF2469" s="12"/>
      <c r="AG2469" s="12"/>
      <c r="AH2469" s="12"/>
      <c r="AI2469" s="6"/>
      <c r="AJ2469" s="12"/>
      <c r="AK2469" s="1"/>
      <c r="AL2469" s="12"/>
      <c r="AM2469" s="12"/>
      <c r="AN2469" s="1"/>
      <c r="AO2469" s="6"/>
    </row>
    <row r="2470" spans="1:41" ht="15" x14ac:dyDescent="0.25">
      <c r="A2470" s="1"/>
      <c r="B2470" s="1"/>
      <c r="C2470" s="1"/>
      <c r="D2470" s="1"/>
      <c r="E2470" s="6"/>
      <c r="F2470" s="1"/>
      <c r="G2470" s="6"/>
      <c r="H2470" s="6"/>
      <c r="I2470" s="6"/>
      <c r="J2470" s="6"/>
      <c r="K2470" s="6"/>
      <c r="L2470" s="6"/>
      <c r="M2470" s="6"/>
      <c r="N2470" s="6"/>
      <c r="O2470" s="7"/>
      <c r="P2470" s="6"/>
      <c r="Q2470" s="6"/>
      <c r="R2470" s="7"/>
      <c r="S2470" s="6"/>
      <c r="T2470" s="6"/>
      <c r="U2470" s="7"/>
      <c r="V2470" s="6"/>
      <c r="W2470" s="6"/>
      <c r="X2470" s="12"/>
      <c r="Y2470" s="6"/>
      <c r="Z2470" s="6"/>
      <c r="AA2470" s="7"/>
      <c r="AB2470" s="6"/>
      <c r="AC2470" s="6"/>
      <c r="AD2470" s="6"/>
      <c r="AE2470" s="12"/>
      <c r="AF2470" s="6"/>
      <c r="AG2470" s="12"/>
      <c r="AH2470" s="6"/>
      <c r="AI2470" s="6"/>
      <c r="AJ2470" s="12"/>
      <c r="AK2470" s="24"/>
      <c r="AL2470" s="25"/>
      <c r="AM2470" s="12"/>
      <c r="AN2470" s="1"/>
      <c r="AO2470" s="6"/>
    </row>
    <row r="2471" spans="1:41" ht="15" x14ac:dyDescent="0.25">
      <c r="A2471" s="1"/>
      <c r="B2471" s="1"/>
      <c r="C2471" s="1"/>
      <c r="D2471" s="1"/>
      <c r="E2471" s="6"/>
      <c r="F2471" s="1"/>
      <c r="G2471" s="6"/>
      <c r="H2471" s="6"/>
      <c r="I2471" s="6"/>
      <c r="J2471" s="6"/>
      <c r="K2471" s="6"/>
      <c r="L2471" s="6"/>
      <c r="M2471" s="6"/>
      <c r="N2471" s="6"/>
      <c r="O2471" s="7"/>
      <c r="P2471" s="6"/>
      <c r="Q2471" s="6"/>
      <c r="R2471" s="7"/>
      <c r="S2471" s="6"/>
      <c r="T2471" s="6"/>
      <c r="U2471" s="7"/>
      <c r="V2471" s="6"/>
      <c r="W2471" s="6"/>
      <c r="X2471" s="6"/>
      <c r="Y2471" s="6"/>
      <c r="Z2471" s="6"/>
      <c r="AA2471" s="7"/>
      <c r="AB2471" s="6"/>
      <c r="AC2471" s="6"/>
      <c r="AD2471" s="6"/>
      <c r="AE2471" s="12"/>
      <c r="AF2471" s="12"/>
      <c r="AG2471" s="12"/>
      <c r="AH2471" s="12"/>
      <c r="AI2471" s="6"/>
      <c r="AJ2471" s="12"/>
      <c r="AK2471" s="1"/>
      <c r="AL2471" s="12"/>
      <c r="AM2471" s="12"/>
      <c r="AN2471" s="1"/>
      <c r="AO2471" s="6"/>
    </row>
    <row r="2472" spans="1:41" ht="15" x14ac:dyDescent="0.25">
      <c r="A2472" s="1"/>
      <c r="B2472" s="1"/>
      <c r="C2472" s="1"/>
      <c r="D2472" s="1"/>
      <c r="E2472" s="6"/>
      <c r="F2472" s="1"/>
      <c r="G2472" s="6"/>
      <c r="H2472" s="6"/>
      <c r="I2472" s="6"/>
      <c r="J2472" s="6"/>
      <c r="K2472" s="6"/>
      <c r="L2472" s="6"/>
      <c r="M2472" s="6"/>
      <c r="N2472" s="6"/>
      <c r="O2472" s="7"/>
      <c r="P2472" s="6"/>
      <c r="Q2472" s="6"/>
      <c r="R2472" s="7"/>
      <c r="S2472" s="6"/>
      <c r="T2472" s="6"/>
      <c r="U2472" s="7"/>
      <c r="V2472" s="6"/>
      <c r="W2472" s="6"/>
      <c r="X2472" s="6"/>
      <c r="Y2472" s="6"/>
      <c r="Z2472" s="6"/>
      <c r="AA2472" s="7"/>
      <c r="AB2472" s="6"/>
      <c r="AC2472" s="6"/>
      <c r="AD2472" s="6"/>
      <c r="AE2472" s="12"/>
      <c r="AF2472" s="12"/>
      <c r="AG2472" s="12"/>
      <c r="AH2472" s="12"/>
      <c r="AI2472" s="6"/>
      <c r="AJ2472" s="12"/>
      <c r="AK2472" s="1"/>
      <c r="AL2472" s="12"/>
      <c r="AM2472" s="12"/>
      <c r="AN2472" s="1"/>
      <c r="AO2472" s="6"/>
    </row>
    <row r="2473" spans="1:41" ht="15" x14ac:dyDescent="0.25">
      <c r="A2473" s="1"/>
      <c r="B2473" s="1"/>
      <c r="C2473" s="1"/>
      <c r="D2473" s="1"/>
      <c r="E2473" s="6"/>
      <c r="F2473" s="1"/>
      <c r="G2473" s="6"/>
      <c r="H2473" s="6"/>
      <c r="I2473" s="6"/>
      <c r="J2473" s="6"/>
      <c r="K2473" s="6"/>
      <c r="L2473" s="6"/>
      <c r="M2473" s="6"/>
      <c r="N2473" s="6"/>
      <c r="O2473" s="7"/>
      <c r="P2473" s="6"/>
      <c r="Q2473" s="6"/>
      <c r="R2473" s="7"/>
      <c r="S2473" s="6"/>
      <c r="T2473" s="6"/>
      <c r="U2473" s="7"/>
      <c r="V2473" s="6"/>
      <c r="W2473" s="6"/>
      <c r="X2473" s="12"/>
      <c r="Y2473" s="6"/>
      <c r="Z2473" s="6"/>
      <c r="AA2473" s="7"/>
      <c r="AB2473" s="6"/>
      <c r="AC2473" s="6"/>
      <c r="AD2473" s="6"/>
      <c r="AE2473" s="12"/>
      <c r="AF2473" s="6"/>
      <c r="AG2473" s="12"/>
      <c r="AH2473" s="6"/>
      <c r="AI2473" s="6"/>
      <c r="AJ2473" s="12"/>
      <c r="AK2473" s="24"/>
      <c r="AL2473" s="25"/>
      <c r="AM2473" s="12"/>
      <c r="AN2473" s="1"/>
      <c r="AO2473" s="6"/>
    </row>
    <row r="2474" spans="1:41" ht="15" x14ac:dyDescent="0.25">
      <c r="A2474" s="1"/>
      <c r="B2474" s="1"/>
      <c r="C2474" s="1"/>
      <c r="D2474" s="1"/>
      <c r="E2474" s="6"/>
      <c r="F2474" s="1"/>
      <c r="G2474" s="6"/>
      <c r="H2474" s="6"/>
      <c r="I2474" s="6"/>
      <c r="J2474" s="6"/>
      <c r="K2474" s="6"/>
      <c r="L2474" s="6"/>
      <c r="M2474" s="6"/>
      <c r="N2474" s="6"/>
      <c r="O2474" s="7"/>
      <c r="P2474" s="6"/>
      <c r="Q2474" s="6"/>
      <c r="R2474" s="7"/>
      <c r="S2474" s="6"/>
      <c r="T2474" s="6"/>
      <c r="U2474" s="7"/>
      <c r="V2474" s="6"/>
      <c r="W2474" s="6"/>
      <c r="X2474" s="6"/>
      <c r="Y2474" s="6"/>
      <c r="Z2474" s="6"/>
      <c r="AA2474" s="7"/>
      <c r="AB2474" s="6"/>
      <c r="AC2474" s="6"/>
      <c r="AD2474" s="6"/>
      <c r="AE2474" s="12"/>
      <c r="AF2474" s="12"/>
      <c r="AG2474" s="12"/>
      <c r="AH2474" s="12"/>
      <c r="AI2474" s="6"/>
      <c r="AJ2474" s="12"/>
      <c r="AK2474" s="1"/>
      <c r="AL2474" s="12"/>
      <c r="AM2474" s="12"/>
      <c r="AN2474" s="1"/>
      <c r="AO2474" s="6"/>
    </row>
    <row r="2475" spans="1:41" ht="15" x14ac:dyDescent="0.25">
      <c r="A2475" s="1"/>
      <c r="B2475" s="1"/>
      <c r="C2475" s="1"/>
      <c r="D2475" s="1"/>
      <c r="E2475" s="6"/>
      <c r="F2475" s="1"/>
      <c r="G2475" s="6"/>
      <c r="H2475" s="6"/>
      <c r="I2475" s="6"/>
      <c r="J2475" s="6"/>
      <c r="K2475" s="6"/>
      <c r="L2475" s="6"/>
      <c r="M2475" s="6"/>
      <c r="N2475" s="6"/>
      <c r="O2475" s="7"/>
      <c r="P2475" s="12"/>
      <c r="Q2475" s="6"/>
      <c r="R2475" s="7"/>
      <c r="S2475" s="6"/>
      <c r="T2475" s="6"/>
      <c r="U2475" s="7"/>
      <c r="V2475" s="6"/>
      <c r="W2475" s="6"/>
      <c r="X2475" s="6"/>
      <c r="Y2475" s="6"/>
      <c r="Z2475" s="6"/>
      <c r="AA2475" s="7"/>
      <c r="AB2475" s="6"/>
      <c r="AC2475" s="6"/>
      <c r="AD2475" s="6"/>
      <c r="AE2475" s="12"/>
      <c r="AF2475" s="6"/>
      <c r="AG2475" s="12"/>
      <c r="AH2475" s="6"/>
      <c r="AI2475" s="6"/>
      <c r="AJ2475" s="12"/>
      <c r="AK2475" s="1"/>
      <c r="AL2475" s="12"/>
      <c r="AM2475" s="12"/>
      <c r="AN2475" s="1"/>
      <c r="AO2475" s="6"/>
    </row>
    <row r="2476" spans="1:41" ht="15" x14ac:dyDescent="0.25">
      <c r="A2476" s="1"/>
      <c r="B2476" s="1"/>
      <c r="C2476" s="1"/>
      <c r="D2476" s="1"/>
      <c r="E2476" s="6"/>
      <c r="F2476" s="1"/>
      <c r="G2476" s="6"/>
      <c r="H2476" s="6"/>
      <c r="I2476" s="6"/>
      <c r="J2476" s="6"/>
      <c r="K2476" s="6"/>
      <c r="L2476" s="6"/>
      <c r="M2476" s="6"/>
      <c r="N2476" s="6"/>
      <c r="O2476" s="7"/>
      <c r="P2476" s="6"/>
      <c r="Q2476" s="6"/>
      <c r="R2476" s="7"/>
      <c r="S2476" s="6"/>
      <c r="T2476" s="6"/>
      <c r="U2476" s="7"/>
      <c r="V2476" s="6"/>
      <c r="W2476" s="6"/>
      <c r="X2476" s="6"/>
      <c r="Y2476" s="6"/>
      <c r="Z2476" s="6"/>
      <c r="AA2476" s="7"/>
      <c r="AB2476" s="6"/>
      <c r="AC2476" s="6"/>
      <c r="AD2476" s="6"/>
      <c r="AE2476" s="12"/>
      <c r="AF2476" s="6"/>
      <c r="AG2476" s="12"/>
      <c r="AH2476" s="6"/>
      <c r="AI2476" s="6"/>
      <c r="AJ2476" s="12"/>
      <c r="AK2476" s="1"/>
      <c r="AL2476" s="12"/>
      <c r="AM2476" s="12"/>
      <c r="AN2476" s="1"/>
      <c r="AO2476" s="6"/>
    </row>
    <row r="2477" spans="1:41" ht="15" x14ac:dyDescent="0.25">
      <c r="A2477" s="1"/>
      <c r="B2477" s="1"/>
      <c r="C2477" s="1"/>
      <c r="D2477" s="1"/>
      <c r="E2477" s="6"/>
      <c r="F2477" s="1"/>
      <c r="G2477" s="6"/>
      <c r="H2477" s="6"/>
      <c r="I2477" s="6"/>
      <c r="J2477" s="6"/>
      <c r="K2477" s="6"/>
      <c r="L2477" s="6"/>
      <c r="M2477" s="6"/>
      <c r="N2477" s="6"/>
      <c r="O2477" s="7"/>
      <c r="P2477" s="6"/>
      <c r="Q2477" s="6"/>
      <c r="R2477" s="7"/>
      <c r="S2477" s="6"/>
      <c r="T2477" s="6"/>
      <c r="U2477" s="7"/>
      <c r="V2477" s="6"/>
      <c r="W2477" s="6"/>
      <c r="X2477" s="6"/>
      <c r="Y2477" s="6"/>
      <c r="Z2477" s="6"/>
      <c r="AA2477" s="7"/>
      <c r="AB2477" s="6"/>
      <c r="AC2477" s="6"/>
      <c r="AD2477" s="6"/>
      <c r="AE2477" s="12"/>
      <c r="AF2477" s="6"/>
      <c r="AG2477" s="12"/>
      <c r="AH2477" s="6"/>
      <c r="AI2477" s="6"/>
      <c r="AJ2477" s="12"/>
      <c r="AK2477" s="24"/>
      <c r="AL2477" s="25"/>
      <c r="AM2477" s="12"/>
      <c r="AN2477" s="1"/>
      <c r="AO2477" s="6"/>
    </row>
    <row r="2478" spans="1:41" ht="15" x14ac:dyDescent="0.25">
      <c r="A2478" s="1"/>
      <c r="B2478" s="1"/>
      <c r="C2478" s="1"/>
      <c r="D2478" s="1"/>
      <c r="E2478" s="6"/>
      <c r="F2478" s="1"/>
      <c r="G2478" s="6"/>
      <c r="H2478" s="6"/>
      <c r="I2478" s="6"/>
      <c r="J2478" s="6"/>
      <c r="K2478" s="6"/>
      <c r="L2478" s="6"/>
      <c r="M2478" s="6"/>
      <c r="N2478" s="6"/>
      <c r="O2478" s="7"/>
      <c r="P2478" s="12"/>
      <c r="Q2478" s="6"/>
      <c r="R2478" s="7"/>
      <c r="S2478" s="6"/>
      <c r="T2478" s="6"/>
      <c r="U2478" s="7"/>
      <c r="V2478" s="6"/>
      <c r="W2478" s="6"/>
      <c r="X2478" s="6"/>
      <c r="Y2478" s="6"/>
      <c r="Z2478" s="6"/>
      <c r="AA2478" s="7"/>
      <c r="AB2478" s="6"/>
      <c r="AC2478" s="6"/>
      <c r="AD2478" s="6"/>
      <c r="AE2478" s="12"/>
      <c r="AF2478" s="6"/>
      <c r="AG2478" s="12"/>
      <c r="AH2478" s="6"/>
      <c r="AI2478" s="6"/>
      <c r="AJ2478" s="12"/>
      <c r="AK2478" s="24"/>
      <c r="AL2478" s="25"/>
      <c r="AM2478" s="12"/>
      <c r="AN2478" s="1"/>
      <c r="AO2478" s="6"/>
    </row>
    <row r="2479" spans="1:41" ht="15" x14ac:dyDescent="0.25">
      <c r="A2479" s="1"/>
      <c r="B2479" s="1"/>
      <c r="C2479" s="1"/>
      <c r="D2479" s="1"/>
      <c r="E2479" s="6"/>
      <c r="F2479" s="1"/>
      <c r="G2479" s="6"/>
      <c r="H2479" s="6"/>
      <c r="I2479" s="6"/>
      <c r="J2479" s="6"/>
      <c r="K2479" s="6"/>
      <c r="L2479" s="6"/>
      <c r="M2479" s="6"/>
      <c r="N2479" s="6"/>
      <c r="O2479" s="7"/>
      <c r="P2479" s="6"/>
      <c r="Q2479" s="7"/>
      <c r="R2479" s="6"/>
      <c r="S2479" s="6"/>
      <c r="T2479" s="6"/>
      <c r="U2479" s="6"/>
      <c r="V2479" s="7"/>
      <c r="W2479" s="6"/>
      <c r="X2479" s="6"/>
      <c r="Y2479" s="6"/>
      <c r="Z2479" s="6"/>
      <c r="AA2479" s="24"/>
      <c r="AB2479" s="25"/>
      <c r="AC2479" s="12"/>
      <c r="AD2479" s="12"/>
      <c r="AE2479" s="12"/>
      <c r="AF2479" s="6"/>
      <c r="AG2479" s="12"/>
      <c r="AH2479" s="6"/>
      <c r="AI2479" s="6"/>
      <c r="AJ2479" s="12"/>
      <c r="AK2479" s="12"/>
      <c r="AL2479" s="12"/>
      <c r="AM2479" s="12"/>
      <c r="AN2479" s="1"/>
      <c r="AO2479" s="6"/>
    </row>
    <row r="2480" spans="1:41" ht="15" x14ac:dyDescent="0.25">
      <c r="A2480" s="1"/>
      <c r="B2480" s="1"/>
      <c r="C2480" s="1"/>
      <c r="D2480" s="1"/>
      <c r="E2480" s="6"/>
      <c r="F2480" s="1"/>
      <c r="G2480" s="6"/>
      <c r="H2480" s="6"/>
      <c r="I2480" s="6"/>
      <c r="J2480" s="6"/>
      <c r="K2480" s="6"/>
      <c r="L2480" s="6"/>
      <c r="M2480" s="6"/>
      <c r="N2480" s="6"/>
      <c r="O2480" s="7"/>
      <c r="P2480" s="6"/>
      <c r="Q2480" s="7"/>
      <c r="R2480" s="6"/>
      <c r="S2480" s="6"/>
      <c r="T2480" s="6"/>
      <c r="U2480" s="6"/>
      <c r="V2480" s="7"/>
      <c r="W2480" s="7"/>
      <c r="X2480" s="6"/>
      <c r="Y2480" s="6"/>
      <c r="Z2480" s="6"/>
      <c r="AA2480" s="1"/>
      <c r="AB2480" s="12"/>
      <c r="AC2480" s="12"/>
      <c r="AD2480" s="12"/>
      <c r="AE2480" s="12"/>
      <c r="AF2480" s="12"/>
      <c r="AG2480" s="12"/>
      <c r="AH2480" s="12"/>
      <c r="AI2480" s="6"/>
      <c r="AJ2480" s="12"/>
      <c r="AK2480" s="12"/>
      <c r="AL2480" s="12"/>
      <c r="AM2480" s="12"/>
      <c r="AN2480" s="1"/>
      <c r="AO2480" s="6"/>
    </row>
    <row r="2481" spans="1:41" ht="15" x14ac:dyDescent="0.25">
      <c r="A2481" s="1"/>
      <c r="B2481" s="1"/>
      <c r="C2481" s="1"/>
      <c r="D2481" s="1"/>
      <c r="E2481" s="6"/>
      <c r="F2481" s="1"/>
      <c r="G2481" s="6"/>
      <c r="H2481" s="6"/>
      <c r="I2481" s="6"/>
      <c r="J2481" s="6"/>
      <c r="K2481" s="6"/>
      <c r="L2481" s="6"/>
      <c r="M2481" s="6"/>
      <c r="N2481" s="6"/>
      <c r="O2481" s="7"/>
      <c r="P2481" s="6"/>
      <c r="Q2481" s="7"/>
      <c r="R2481" s="6"/>
      <c r="S2481" s="6"/>
      <c r="T2481" s="6"/>
      <c r="U2481" s="6"/>
      <c r="V2481" s="7"/>
      <c r="W2481" s="7"/>
      <c r="X2481" s="6"/>
      <c r="Y2481" s="6"/>
      <c r="Z2481" s="6"/>
      <c r="AA2481" s="1"/>
      <c r="AB2481" s="12"/>
      <c r="AC2481" s="12"/>
      <c r="AD2481" s="12"/>
      <c r="AE2481" s="12"/>
      <c r="AF2481" s="12"/>
      <c r="AG2481" s="12"/>
      <c r="AH2481" s="12"/>
      <c r="AI2481" s="6"/>
      <c r="AJ2481" s="12"/>
      <c r="AK2481" s="12"/>
      <c r="AL2481" s="12"/>
      <c r="AM2481" s="12"/>
      <c r="AN2481" s="1"/>
      <c r="AO2481" s="6"/>
    </row>
    <row r="2482" spans="1:41" ht="15" x14ac:dyDescent="0.25">
      <c r="A2482" s="1"/>
      <c r="B2482" s="1"/>
      <c r="C2482" s="1"/>
      <c r="D2482" s="1"/>
      <c r="E2482" s="6"/>
      <c r="F2482" s="1"/>
      <c r="G2482" s="6"/>
      <c r="H2482" s="6"/>
      <c r="I2482" s="6"/>
      <c r="J2482" s="6"/>
      <c r="K2482" s="6"/>
      <c r="L2482" s="6"/>
      <c r="M2482" s="6"/>
      <c r="N2482" s="6"/>
      <c r="O2482" s="7"/>
      <c r="P2482" s="6"/>
      <c r="Q2482" s="6"/>
      <c r="R2482" s="7"/>
      <c r="S2482" s="6"/>
      <c r="T2482" s="6"/>
      <c r="U2482" s="7"/>
      <c r="V2482" s="6"/>
      <c r="W2482" s="6"/>
      <c r="X2482" s="12"/>
      <c r="Y2482" s="6"/>
      <c r="Z2482" s="6"/>
      <c r="AA2482" s="7"/>
      <c r="AB2482" s="6"/>
      <c r="AC2482" s="6"/>
      <c r="AD2482" s="6"/>
      <c r="AE2482" s="12"/>
      <c r="AF2482" s="12"/>
      <c r="AG2482" s="12"/>
      <c r="AH2482" s="12"/>
      <c r="AI2482" s="6"/>
      <c r="AJ2482" s="12"/>
      <c r="AK2482" s="24"/>
      <c r="AL2482" s="25"/>
      <c r="AM2482" s="12"/>
      <c r="AN2482" s="1"/>
      <c r="AO2482" s="6"/>
    </row>
    <row r="2483" spans="1:41" ht="15" x14ac:dyDescent="0.25">
      <c r="A2483" s="1"/>
      <c r="B2483" s="1"/>
      <c r="C2483" s="1"/>
      <c r="D2483" s="1"/>
      <c r="E2483" s="6"/>
      <c r="F2483" s="1"/>
      <c r="G2483" s="6"/>
      <c r="H2483" s="6"/>
      <c r="I2483" s="6"/>
      <c r="J2483" s="6"/>
      <c r="K2483" s="6"/>
      <c r="L2483" s="6"/>
      <c r="M2483" s="6"/>
      <c r="N2483" s="6"/>
      <c r="O2483" s="7"/>
      <c r="P2483" s="6"/>
      <c r="Q2483" s="7"/>
      <c r="R2483" s="6"/>
      <c r="S2483" s="6"/>
      <c r="T2483" s="6"/>
      <c r="U2483" s="6"/>
      <c r="V2483" s="7"/>
      <c r="W2483" s="7"/>
      <c r="X2483" s="6"/>
      <c r="Y2483" s="6"/>
      <c r="Z2483" s="6"/>
      <c r="AA2483" s="1"/>
      <c r="AB2483" s="12"/>
      <c r="AC2483" s="12"/>
      <c r="AD2483" s="12"/>
      <c r="AE2483" s="12"/>
      <c r="AF2483" s="12"/>
      <c r="AG2483" s="12"/>
      <c r="AH2483" s="12"/>
      <c r="AI2483" s="6"/>
      <c r="AJ2483" s="12"/>
      <c r="AK2483" s="12"/>
      <c r="AL2483" s="12"/>
      <c r="AM2483" s="12"/>
      <c r="AN2483" s="1"/>
      <c r="AO2483" s="6"/>
    </row>
    <row r="2484" spans="1:41" ht="15" x14ac:dyDescent="0.25">
      <c r="A2484" s="1"/>
      <c r="B2484" s="1"/>
      <c r="C2484" s="1"/>
      <c r="D2484" s="1"/>
      <c r="E2484" s="6"/>
      <c r="F2484" s="1"/>
      <c r="G2484" s="6"/>
      <c r="H2484" s="6"/>
      <c r="I2484" s="6"/>
      <c r="J2484" s="6"/>
      <c r="K2484" s="6"/>
      <c r="L2484" s="6"/>
      <c r="M2484" s="6"/>
      <c r="N2484" s="6"/>
      <c r="O2484" s="7"/>
      <c r="P2484" s="6"/>
      <c r="Q2484" s="6"/>
      <c r="R2484" s="7"/>
      <c r="S2484" s="6"/>
      <c r="T2484" s="6"/>
      <c r="U2484" s="7"/>
      <c r="V2484" s="6"/>
      <c r="W2484" s="6"/>
      <c r="X2484" s="12"/>
      <c r="Y2484" s="6"/>
      <c r="Z2484" s="6"/>
      <c r="AA2484" s="7"/>
      <c r="AB2484" s="6"/>
      <c r="AC2484" s="6"/>
      <c r="AD2484" s="6"/>
      <c r="AE2484" s="12"/>
      <c r="AF2484" s="6"/>
      <c r="AG2484" s="12"/>
      <c r="AH2484" s="6"/>
      <c r="AI2484" s="6"/>
      <c r="AJ2484" s="12"/>
      <c r="AK2484" s="24"/>
      <c r="AL2484" s="25"/>
      <c r="AM2484" s="12"/>
      <c r="AN2484" s="1"/>
      <c r="AO2484" s="6"/>
    </row>
    <row r="2485" spans="1:41" ht="15" x14ac:dyDescent="0.25">
      <c r="A2485" s="1"/>
      <c r="B2485" s="1"/>
      <c r="C2485" s="1"/>
      <c r="D2485" s="1"/>
      <c r="E2485" s="6"/>
      <c r="F2485" s="1"/>
      <c r="G2485" s="6"/>
      <c r="H2485" s="6"/>
      <c r="I2485" s="6"/>
      <c r="J2485" s="6"/>
      <c r="K2485" s="6"/>
      <c r="L2485" s="6"/>
      <c r="M2485" s="6"/>
      <c r="N2485" s="6"/>
      <c r="O2485" s="7"/>
      <c r="P2485" s="6"/>
      <c r="Q2485" s="7"/>
      <c r="R2485" s="6"/>
      <c r="S2485" s="6"/>
      <c r="T2485" s="6"/>
      <c r="U2485" s="6"/>
      <c r="V2485" s="7"/>
      <c r="W2485" s="7"/>
      <c r="X2485" s="6"/>
      <c r="Y2485" s="6"/>
      <c r="Z2485" s="6"/>
      <c r="AA2485" s="1"/>
      <c r="AB2485" s="12"/>
      <c r="AC2485" s="12"/>
      <c r="AD2485" s="12"/>
      <c r="AE2485" s="12"/>
      <c r="AF2485" s="12"/>
      <c r="AG2485" s="12"/>
      <c r="AH2485" s="12"/>
      <c r="AI2485" s="6"/>
      <c r="AJ2485" s="12"/>
      <c r="AK2485" s="12"/>
      <c r="AL2485" s="12"/>
      <c r="AM2485" s="12"/>
      <c r="AN2485" s="1"/>
      <c r="AO2485" s="6"/>
    </row>
    <row r="2486" spans="1:41" ht="15" x14ac:dyDescent="0.25">
      <c r="A2486" s="1"/>
      <c r="B2486" s="1"/>
      <c r="C2486" s="1"/>
      <c r="D2486" s="1"/>
      <c r="E2486" s="6"/>
      <c r="F2486" s="1"/>
      <c r="G2486" s="6"/>
      <c r="H2486" s="6"/>
      <c r="I2486" s="6"/>
      <c r="J2486" s="6"/>
      <c r="K2486" s="6"/>
      <c r="L2486" s="6"/>
      <c r="M2486" s="6"/>
      <c r="N2486" s="6"/>
      <c r="O2486" s="7"/>
      <c r="P2486" s="6"/>
      <c r="Q2486" s="6"/>
      <c r="R2486" s="7"/>
      <c r="S2486" s="6"/>
      <c r="T2486" s="6"/>
      <c r="U2486" s="7"/>
      <c r="V2486" s="6"/>
      <c r="W2486" s="6"/>
      <c r="X2486" s="12"/>
      <c r="Y2486" s="6"/>
      <c r="Z2486" s="6"/>
      <c r="AA2486" s="7"/>
      <c r="AB2486" s="6"/>
      <c r="AC2486" s="6"/>
      <c r="AD2486" s="6"/>
      <c r="AE2486" s="12"/>
      <c r="AF2486" s="6"/>
      <c r="AG2486" s="12"/>
      <c r="AH2486" s="6"/>
      <c r="AI2486" s="6"/>
      <c r="AJ2486" s="12"/>
      <c r="AK2486" s="24"/>
      <c r="AL2486" s="25"/>
      <c r="AM2486" s="12"/>
      <c r="AN2486" s="1"/>
      <c r="AO2486" s="12"/>
    </row>
    <row r="2487" spans="1:41" ht="15" x14ac:dyDescent="0.25">
      <c r="A2487" s="1"/>
      <c r="B2487" s="1"/>
      <c r="C2487" s="1"/>
      <c r="D2487" s="1"/>
      <c r="E2487" s="6"/>
      <c r="F2487" s="1"/>
      <c r="G2487" s="6"/>
      <c r="H2487" s="6"/>
      <c r="I2487" s="6"/>
      <c r="J2487" s="6"/>
      <c r="K2487" s="6"/>
      <c r="L2487" s="6"/>
      <c r="M2487" s="6"/>
      <c r="N2487" s="6"/>
      <c r="O2487" s="7"/>
      <c r="P2487" s="6"/>
      <c r="Q2487" s="7"/>
      <c r="R2487" s="6"/>
      <c r="S2487" s="6"/>
      <c r="T2487" s="6"/>
      <c r="U2487" s="6"/>
      <c r="V2487" s="7"/>
      <c r="W2487" s="7"/>
      <c r="X2487" s="6"/>
      <c r="Y2487" s="6"/>
      <c r="Z2487" s="6"/>
      <c r="AA2487" s="1"/>
      <c r="AB2487" s="12"/>
      <c r="AC2487" s="12"/>
      <c r="AD2487" s="12"/>
      <c r="AE2487" s="12"/>
      <c r="AF2487" s="12"/>
      <c r="AG2487" s="12"/>
      <c r="AH2487" s="12"/>
      <c r="AI2487" s="6"/>
      <c r="AJ2487" s="12"/>
      <c r="AK2487" s="12"/>
      <c r="AL2487" s="12"/>
      <c r="AM2487" s="12"/>
      <c r="AN2487" s="1"/>
      <c r="AO2487" s="6"/>
    </row>
    <row r="2488" spans="1:41" ht="15" x14ac:dyDescent="0.25">
      <c r="A2488" s="1"/>
      <c r="B2488" s="1"/>
      <c r="C2488" s="1"/>
      <c r="D2488" s="1"/>
      <c r="E2488" s="6"/>
      <c r="F2488" s="1"/>
      <c r="G2488" s="6"/>
      <c r="H2488" s="6"/>
      <c r="I2488" s="6"/>
      <c r="J2488" s="6"/>
      <c r="K2488" s="6"/>
      <c r="L2488" s="6"/>
      <c r="M2488" s="6"/>
      <c r="N2488" s="6"/>
      <c r="O2488" s="7"/>
      <c r="P2488" s="6"/>
      <c r="Q2488" s="6"/>
      <c r="R2488" s="7"/>
      <c r="S2488" s="6"/>
      <c r="T2488" s="6"/>
      <c r="U2488" s="7"/>
      <c r="V2488" s="6"/>
      <c r="W2488" s="6"/>
      <c r="X2488" s="6"/>
      <c r="Y2488" s="6"/>
      <c r="Z2488" s="6"/>
      <c r="AA2488" s="7"/>
      <c r="AB2488" s="6"/>
      <c r="AC2488" s="6"/>
      <c r="AD2488" s="6"/>
      <c r="AE2488" s="12"/>
      <c r="AF2488" s="6"/>
      <c r="AG2488" s="12"/>
      <c r="AH2488" s="6"/>
      <c r="AI2488" s="6"/>
      <c r="AJ2488" s="12"/>
      <c r="AK2488" s="24"/>
      <c r="AL2488" s="25"/>
      <c r="AM2488" s="12"/>
      <c r="AN2488" s="1"/>
      <c r="AO2488" s="6"/>
    </row>
    <row r="2489" spans="1:41" ht="15" x14ac:dyDescent="0.25">
      <c r="A2489" s="1"/>
      <c r="B2489" s="1"/>
      <c r="C2489" s="1"/>
      <c r="D2489" s="1"/>
      <c r="E2489" s="6"/>
      <c r="F2489" s="1"/>
      <c r="G2489" s="6"/>
      <c r="H2489" s="6"/>
      <c r="I2489" s="6"/>
      <c r="J2489" s="6"/>
      <c r="K2489" s="6"/>
      <c r="L2489" s="6"/>
      <c r="M2489" s="6"/>
      <c r="N2489" s="6"/>
      <c r="O2489" s="7"/>
      <c r="P2489" s="6"/>
      <c r="Q2489" s="7"/>
      <c r="R2489" s="6"/>
      <c r="S2489" s="6"/>
      <c r="T2489" s="6"/>
      <c r="U2489" s="6"/>
      <c r="V2489" s="7"/>
      <c r="W2489" s="7"/>
      <c r="X2489" s="6"/>
      <c r="Y2489" s="6"/>
      <c r="Z2489" s="6"/>
      <c r="AA2489" s="1"/>
      <c r="AB2489" s="12"/>
      <c r="AC2489" s="12"/>
      <c r="AD2489" s="12"/>
      <c r="AE2489" s="12"/>
      <c r="AF2489" s="12"/>
      <c r="AG2489" s="12"/>
      <c r="AH2489" s="12"/>
      <c r="AI2489" s="6"/>
      <c r="AJ2489" s="12"/>
      <c r="AK2489" s="12"/>
      <c r="AL2489" s="12"/>
      <c r="AM2489" s="12"/>
      <c r="AN2489" s="1"/>
      <c r="AO2489" s="6"/>
    </row>
    <row r="2490" spans="1:41" ht="15" x14ac:dyDescent="0.25">
      <c r="A2490" s="1"/>
      <c r="B2490" s="1"/>
      <c r="C2490" s="1"/>
      <c r="D2490" s="1"/>
      <c r="E2490" s="6"/>
      <c r="F2490" s="1"/>
      <c r="G2490" s="6"/>
      <c r="H2490" s="6"/>
      <c r="I2490" s="6"/>
      <c r="J2490" s="6"/>
      <c r="K2490" s="6"/>
      <c r="L2490" s="6"/>
      <c r="M2490" s="6"/>
      <c r="N2490" s="6"/>
      <c r="O2490" s="7"/>
      <c r="P2490" s="12"/>
      <c r="Q2490" s="6"/>
      <c r="R2490" s="7"/>
      <c r="S2490" s="6"/>
      <c r="T2490" s="6"/>
      <c r="U2490" s="7"/>
      <c r="V2490" s="6"/>
      <c r="W2490" s="6"/>
      <c r="X2490" s="6"/>
      <c r="Y2490" s="6"/>
      <c r="Z2490" s="6"/>
      <c r="AA2490" s="7"/>
      <c r="AB2490" s="6"/>
      <c r="AC2490" s="6"/>
      <c r="AD2490" s="6"/>
      <c r="AE2490" s="12"/>
      <c r="AF2490" s="12"/>
      <c r="AG2490" s="12"/>
      <c r="AH2490" s="12"/>
      <c r="AI2490" s="6"/>
      <c r="AJ2490" s="12"/>
      <c r="AK2490" s="1"/>
      <c r="AL2490" s="12"/>
      <c r="AM2490" s="12"/>
      <c r="AN2490" s="1"/>
      <c r="AO2490" s="6"/>
    </row>
    <row r="2491" spans="1:41" ht="15" x14ac:dyDescent="0.25">
      <c r="A2491" s="1"/>
      <c r="B2491" s="1"/>
      <c r="C2491" s="1"/>
      <c r="D2491" s="1"/>
      <c r="E2491" s="6"/>
      <c r="F2491" s="1"/>
      <c r="G2491" s="6"/>
      <c r="H2491" s="6"/>
      <c r="I2491" s="6"/>
      <c r="J2491" s="6"/>
      <c r="K2491" s="6"/>
      <c r="L2491" s="6"/>
      <c r="M2491" s="6"/>
      <c r="N2491" s="6"/>
      <c r="O2491" s="7"/>
      <c r="P2491" s="6"/>
      <c r="Q2491" s="6"/>
      <c r="R2491" s="7"/>
      <c r="S2491" s="6"/>
      <c r="T2491" s="6"/>
      <c r="U2491" s="7"/>
      <c r="V2491" s="6"/>
      <c r="W2491" s="6"/>
      <c r="X2491" s="12"/>
      <c r="Y2491" s="6"/>
      <c r="Z2491" s="6"/>
      <c r="AA2491" s="7"/>
      <c r="AB2491" s="6"/>
      <c r="AC2491" s="6"/>
      <c r="AD2491" s="6"/>
      <c r="AE2491" s="12"/>
      <c r="AF2491" s="6"/>
      <c r="AG2491" s="12"/>
      <c r="AH2491" s="6"/>
      <c r="AI2491" s="6"/>
      <c r="AJ2491" s="12"/>
      <c r="AK2491" s="1"/>
      <c r="AL2491" s="12"/>
      <c r="AM2491" s="12"/>
      <c r="AN2491" s="1"/>
      <c r="AO2491" s="6"/>
    </row>
    <row r="2492" spans="1:41" ht="15" x14ac:dyDescent="0.25">
      <c r="A2492" s="1"/>
      <c r="B2492" s="1"/>
      <c r="C2492" s="1"/>
      <c r="D2492" s="1"/>
      <c r="E2492" s="6"/>
      <c r="F2492" s="1"/>
      <c r="G2492" s="6"/>
      <c r="H2492" s="6"/>
      <c r="I2492" s="6"/>
      <c r="J2492" s="6"/>
      <c r="K2492" s="6"/>
      <c r="L2492" s="6"/>
      <c r="M2492" s="6"/>
      <c r="N2492" s="6"/>
      <c r="O2492" s="7"/>
      <c r="P2492" s="6"/>
      <c r="Q2492" s="6"/>
      <c r="R2492" s="7"/>
      <c r="S2492" s="6"/>
      <c r="T2492" s="6"/>
      <c r="U2492" s="7"/>
      <c r="V2492" s="6"/>
      <c r="W2492" s="6"/>
      <c r="X2492" s="6"/>
      <c r="Y2492" s="6"/>
      <c r="Z2492" s="6"/>
      <c r="AA2492" s="7"/>
      <c r="AB2492" s="6"/>
      <c r="AC2492" s="6"/>
      <c r="AD2492" s="6"/>
      <c r="AE2492" s="12"/>
      <c r="AF2492" s="12"/>
      <c r="AG2492" s="12"/>
      <c r="AH2492" s="12"/>
      <c r="AI2492" s="6"/>
      <c r="AJ2492" s="12"/>
      <c r="AK2492" s="1"/>
      <c r="AL2492" s="12"/>
      <c r="AM2492" s="12"/>
      <c r="AN2492" s="1"/>
      <c r="AO2492" s="6"/>
    </row>
    <row r="2493" spans="1:41" ht="15" x14ac:dyDescent="0.25">
      <c r="A2493" s="1"/>
      <c r="B2493" s="1"/>
      <c r="C2493" s="1"/>
      <c r="D2493" s="1"/>
      <c r="E2493" s="6"/>
      <c r="F2493" s="1"/>
      <c r="G2493" s="6"/>
      <c r="H2493" s="6"/>
      <c r="I2493" s="6"/>
      <c r="J2493" s="6"/>
      <c r="K2493" s="6"/>
      <c r="L2493" s="6"/>
      <c r="M2493" s="6"/>
      <c r="N2493" s="6"/>
      <c r="O2493" s="7"/>
      <c r="P2493" s="6"/>
      <c r="Q2493" s="6"/>
      <c r="R2493" s="7"/>
      <c r="S2493" s="6"/>
      <c r="T2493" s="6"/>
      <c r="U2493" s="7"/>
      <c r="V2493" s="6"/>
      <c r="W2493" s="6"/>
      <c r="X2493" s="12"/>
      <c r="Y2493" s="6"/>
      <c r="Z2493" s="6"/>
      <c r="AA2493" s="7"/>
      <c r="AB2493" s="6"/>
      <c r="AC2493" s="6"/>
      <c r="AD2493" s="6"/>
      <c r="AE2493" s="12"/>
      <c r="AF2493" s="6"/>
      <c r="AG2493" s="12"/>
      <c r="AH2493" s="6"/>
      <c r="AI2493" s="6"/>
      <c r="AJ2493" s="12"/>
      <c r="AK2493" s="1"/>
      <c r="AL2493" s="12"/>
      <c r="AM2493" s="12"/>
      <c r="AN2493" s="1"/>
      <c r="AO2493" s="6"/>
    </row>
    <row r="2494" spans="1:41" ht="15" x14ac:dyDescent="0.25">
      <c r="A2494" s="1"/>
      <c r="B2494" s="1"/>
      <c r="C2494" s="1"/>
      <c r="D2494" s="1"/>
      <c r="E2494" s="6"/>
      <c r="F2494" s="1"/>
      <c r="G2494" s="6"/>
      <c r="H2494" s="6"/>
      <c r="I2494" s="6"/>
      <c r="J2494" s="6"/>
      <c r="K2494" s="6"/>
      <c r="L2494" s="6"/>
      <c r="M2494" s="6"/>
      <c r="N2494" s="6"/>
      <c r="O2494" s="7"/>
      <c r="P2494" s="6"/>
      <c r="Q2494" s="7"/>
      <c r="R2494" s="6"/>
      <c r="S2494" s="6"/>
      <c r="T2494" s="6"/>
      <c r="U2494" s="6"/>
      <c r="V2494" s="7"/>
      <c r="W2494" s="6"/>
      <c r="X2494" s="6"/>
      <c r="Y2494" s="6"/>
      <c r="Z2494" s="6"/>
      <c r="AA2494" s="24"/>
      <c r="AB2494" s="25"/>
      <c r="AC2494" s="12"/>
      <c r="AD2494" s="12"/>
      <c r="AE2494" s="12"/>
      <c r="AF2494" s="6"/>
      <c r="AG2494" s="12"/>
      <c r="AH2494" s="6"/>
      <c r="AI2494" s="6"/>
      <c r="AJ2494" s="12"/>
      <c r="AK2494" s="12"/>
      <c r="AL2494" s="12"/>
      <c r="AM2494" s="12"/>
      <c r="AN2494" s="1"/>
      <c r="AO2494" s="6"/>
    </row>
    <row r="2495" spans="1:41" ht="15" x14ac:dyDescent="0.25">
      <c r="A2495" s="1"/>
      <c r="B2495" s="1"/>
      <c r="C2495" s="1"/>
      <c r="D2495" s="1"/>
      <c r="E2495" s="6"/>
      <c r="F2495" s="1"/>
      <c r="G2495" s="6"/>
      <c r="H2495" s="6"/>
      <c r="I2495" s="6"/>
      <c r="J2495" s="6"/>
      <c r="K2495" s="6"/>
      <c r="L2495" s="6"/>
      <c r="M2495" s="6"/>
      <c r="N2495" s="6"/>
      <c r="O2495" s="7"/>
      <c r="P2495" s="6"/>
      <c r="Q2495" s="6"/>
      <c r="R2495" s="7"/>
      <c r="S2495" s="6"/>
      <c r="T2495" s="6"/>
      <c r="U2495" s="7"/>
      <c r="V2495" s="6"/>
      <c r="W2495" s="6"/>
      <c r="X2495" s="12"/>
      <c r="Y2495" s="6"/>
      <c r="Z2495" s="6"/>
      <c r="AA2495" s="7"/>
      <c r="AB2495" s="6"/>
      <c r="AC2495" s="6"/>
      <c r="AD2495" s="6"/>
      <c r="AE2495" s="12"/>
      <c r="AF2495" s="6"/>
      <c r="AG2495" s="12"/>
      <c r="AH2495" s="6"/>
      <c r="AI2495" s="6"/>
      <c r="AJ2495" s="12"/>
      <c r="AK2495" s="24"/>
      <c r="AL2495" s="25"/>
      <c r="AM2495" s="12"/>
      <c r="AN2495" s="1"/>
      <c r="AO2495" s="6"/>
    </row>
    <row r="2496" spans="1:41" ht="15" x14ac:dyDescent="0.25">
      <c r="A2496" s="1"/>
      <c r="B2496" s="1"/>
      <c r="C2496" s="1"/>
      <c r="D2496" s="1"/>
      <c r="E2496" s="6"/>
      <c r="F2496" s="1"/>
      <c r="G2496" s="6"/>
      <c r="H2496" s="6"/>
      <c r="I2496" s="6"/>
      <c r="J2496" s="6"/>
      <c r="K2496" s="12"/>
      <c r="L2496" s="12"/>
      <c r="M2496" s="6"/>
      <c r="N2496" s="6"/>
      <c r="O2496" s="7"/>
      <c r="P2496" s="6"/>
      <c r="Q2496" s="6"/>
      <c r="R2496" s="7"/>
      <c r="S2496" s="6"/>
      <c r="T2496" s="6"/>
      <c r="U2496" s="7"/>
      <c r="V2496" s="6"/>
      <c r="W2496" s="6"/>
      <c r="X2496" s="12"/>
      <c r="Y2496" s="6"/>
      <c r="Z2496" s="6"/>
      <c r="AA2496" s="7"/>
      <c r="AB2496" s="6"/>
      <c r="AC2496" s="6"/>
      <c r="AD2496" s="6"/>
      <c r="AE2496" s="12"/>
      <c r="AF2496" s="12"/>
      <c r="AG2496" s="12"/>
      <c r="AH2496" s="12"/>
      <c r="AI2496" s="6"/>
      <c r="AJ2496" s="12"/>
      <c r="AK2496" s="1"/>
      <c r="AL2496" s="12"/>
      <c r="AM2496" s="12"/>
      <c r="AN2496" s="1"/>
      <c r="AO2496" s="12"/>
    </row>
    <row r="2497" spans="1:41" ht="15" x14ac:dyDescent="0.25">
      <c r="A2497" s="1"/>
      <c r="B2497" s="1"/>
      <c r="C2497" s="1"/>
      <c r="D2497" s="1"/>
      <c r="E2497" s="6"/>
      <c r="F2497" s="1"/>
      <c r="G2497" s="6"/>
      <c r="H2497" s="6"/>
      <c r="I2497" s="6"/>
      <c r="J2497" s="6"/>
      <c r="K2497" s="6"/>
      <c r="L2497" s="6"/>
      <c r="M2497" s="6"/>
      <c r="N2497" s="6"/>
      <c r="O2497" s="7"/>
      <c r="P2497" s="12"/>
      <c r="Q2497" s="6"/>
      <c r="R2497" s="7"/>
      <c r="S2497" s="6"/>
      <c r="T2497" s="6"/>
      <c r="U2497" s="7"/>
      <c r="V2497" s="6"/>
      <c r="W2497" s="6"/>
      <c r="X2497" s="6"/>
      <c r="Y2497" s="6"/>
      <c r="Z2497" s="6"/>
      <c r="AA2497" s="7"/>
      <c r="AB2497" s="6"/>
      <c r="AC2497" s="6"/>
      <c r="AD2497" s="6"/>
      <c r="AE2497" s="12"/>
      <c r="AF2497" s="12"/>
      <c r="AG2497" s="12"/>
      <c r="AH2497" s="12"/>
      <c r="AI2497" s="6"/>
      <c r="AJ2497" s="12"/>
      <c r="AK2497" s="1"/>
      <c r="AL2497" s="12"/>
      <c r="AM2497" s="12"/>
      <c r="AN2497" s="1"/>
      <c r="AO2497" s="6"/>
    </row>
    <row r="2498" spans="1:41" ht="15" x14ac:dyDescent="0.25">
      <c r="A2498" s="1"/>
      <c r="B2498" s="1"/>
      <c r="C2498" s="1"/>
      <c r="D2498" s="1"/>
      <c r="E2498" s="6"/>
      <c r="F2498" s="1"/>
      <c r="G2498" s="6"/>
      <c r="H2498" s="6"/>
      <c r="I2498" s="6"/>
      <c r="J2498" s="6"/>
      <c r="K2498" s="6"/>
      <c r="L2498" s="6"/>
      <c r="M2498" s="6"/>
      <c r="N2498" s="6"/>
      <c r="O2498" s="7"/>
      <c r="P2498" s="6"/>
      <c r="Q2498" s="6"/>
      <c r="R2498" s="7"/>
      <c r="S2498" s="6"/>
      <c r="T2498" s="6"/>
      <c r="U2498" s="7"/>
      <c r="V2498" s="6"/>
      <c r="W2498" s="6"/>
      <c r="X2498" s="6"/>
      <c r="Y2498" s="6"/>
      <c r="Z2498" s="6"/>
      <c r="AA2498" s="7"/>
      <c r="AB2498" s="6"/>
      <c r="AC2498" s="6"/>
      <c r="AD2498" s="6"/>
      <c r="AE2498" s="12"/>
      <c r="AF2498" s="12"/>
      <c r="AG2498" s="12"/>
      <c r="AH2498" s="12"/>
      <c r="AI2498" s="6"/>
      <c r="AJ2498" s="12"/>
      <c r="AK2498" s="1"/>
      <c r="AL2498" s="12"/>
      <c r="AM2498" s="12"/>
      <c r="AN2498" s="1"/>
      <c r="AO2498" s="6"/>
    </row>
    <row r="2499" spans="1:41" ht="15" x14ac:dyDescent="0.25">
      <c r="A2499" s="1"/>
      <c r="B2499" s="1"/>
      <c r="C2499" s="1"/>
      <c r="D2499" s="1"/>
      <c r="E2499" s="6"/>
      <c r="F2499" s="1"/>
      <c r="G2499" s="6"/>
      <c r="H2499" s="6"/>
      <c r="I2499" s="6"/>
      <c r="J2499" s="6"/>
      <c r="K2499" s="6"/>
      <c r="L2499" s="6"/>
      <c r="M2499" s="6"/>
      <c r="N2499" s="6"/>
      <c r="O2499" s="7"/>
      <c r="P2499" s="6"/>
      <c r="Q2499" s="6"/>
      <c r="R2499" s="7"/>
      <c r="S2499" s="6"/>
      <c r="T2499" s="6"/>
      <c r="U2499" s="7"/>
      <c r="V2499" s="6"/>
      <c r="W2499" s="6"/>
      <c r="X2499" s="6"/>
      <c r="Y2499" s="6"/>
      <c r="Z2499" s="6"/>
      <c r="AA2499" s="7"/>
      <c r="AB2499" s="6"/>
      <c r="AC2499" s="6"/>
      <c r="AD2499" s="6"/>
      <c r="AE2499" s="12"/>
      <c r="AF2499" s="6"/>
      <c r="AG2499" s="12"/>
      <c r="AH2499" s="6"/>
      <c r="AI2499" s="6"/>
      <c r="AJ2499" s="12"/>
      <c r="AK2499" s="24"/>
      <c r="AL2499" s="25"/>
      <c r="AM2499" s="12"/>
      <c r="AN2499" s="1"/>
      <c r="AO2499" s="6"/>
    </row>
    <row r="2500" spans="1:41" ht="15" x14ac:dyDescent="0.25">
      <c r="A2500" s="1"/>
      <c r="B2500" s="1"/>
      <c r="C2500" s="1"/>
      <c r="D2500" s="1"/>
      <c r="E2500" s="6"/>
      <c r="F2500" s="1"/>
      <c r="G2500" s="6"/>
      <c r="H2500" s="6"/>
      <c r="I2500" s="6"/>
      <c r="J2500" s="6"/>
      <c r="K2500" s="12"/>
      <c r="L2500" s="12"/>
      <c r="M2500" s="6"/>
      <c r="N2500" s="6"/>
      <c r="O2500" s="7"/>
      <c r="P2500" s="6"/>
      <c r="Q2500" s="7"/>
      <c r="R2500" s="6"/>
      <c r="S2500" s="12"/>
      <c r="T2500" s="6"/>
      <c r="U2500" s="6"/>
      <c r="V2500" s="7"/>
      <c r="W2500" s="7"/>
      <c r="X2500" s="6"/>
      <c r="Y2500" s="6"/>
      <c r="Z2500" s="6"/>
      <c r="AA2500" s="1"/>
      <c r="AB2500" s="12"/>
      <c r="AC2500" s="12"/>
      <c r="AD2500" s="12"/>
      <c r="AE2500" s="12"/>
      <c r="AF2500" s="12"/>
      <c r="AG2500" s="12"/>
      <c r="AH2500" s="12"/>
      <c r="AI2500" s="6"/>
      <c r="AJ2500" s="12"/>
      <c r="AK2500" s="12"/>
      <c r="AL2500" s="12"/>
      <c r="AM2500" s="12"/>
      <c r="AN2500" s="1"/>
      <c r="AO2500" s="6"/>
    </row>
    <row r="2501" spans="1:41" ht="15" x14ac:dyDescent="0.25">
      <c r="A2501" s="1"/>
      <c r="B2501" s="1"/>
      <c r="C2501" s="1"/>
      <c r="D2501" s="1"/>
      <c r="E2501" s="6"/>
      <c r="F2501" s="1"/>
      <c r="G2501" s="6"/>
      <c r="H2501" s="6"/>
      <c r="I2501" s="6"/>
      <c r="J2501" s="6"/>
      <c r="K2501" s="6"/>
      <c r="L2501" s="6"/>
      <c r="M2501" s="6"/>
      <c r="N2501" s="6"/>
      <c r="O2501" s="7"/>
      <c r="P2501" s="6"/>
      <c r="Q2501" s="6"/>
      <c r="R2501" s="7"/>
      <c r="S2501" s="6"/>
      <c r="T2501" s="6"/>
      <c r="U2501" s="7"/>
      <c r="V2501" s="6"/>
      <c r="W2501" s="6"/>
      <c r="X2501" s="6"/>
      <c r="Y2501" s="6"/>
      <c r="Z2501" s="6"/>
      <c r="AA2501" s="7"/>
      <c r="AB2501" s="6"/>
      <c r="AC2501" s="6"/>
      <c r="AD2501" s="6"/>
      <c r="AE2501" s="12"/>
      <c r="AF2501" s="6"/>
      <c r="AG2501" s="12"/>
      <c r="AH2501" s="6"/>
      <c r="AI2501" s="6"/>
      <c r="AJ2501" s="12"/>
      <c r="AK2501" s="1"/>
      <c r="AL2501" s="12"/>
      <c r="AM2501" s="12"/>
      <c r="AN2501" s="1"/>
      <c r="AO2501" s="6"/>
    </row>
    <row r="2502" spans="1:41" ht="15" x14ac:dyDescent="0.25">
      <c r="A2502" s="1"/>
      <c r="B2502" s="1"/>
      <c r="C2502" s="1"/>
      <c r="D2502" s="1"/>
      <c r="E2502" s="6"/>
      <c r="F2502" s="1"/>
      <c r="G2502" s="6"/>
      <c r="H2502" s="6"/>
      <c r="I2502" s="6"/>
      <c r="J2502" s="6"/>
      <c r="K2502" s="12"/>
      <c r="L2502" s="12"/>
      <c r="M2502" s="6"/>
      <c r="N2502" s="6"/>
      <c r="O2502" s="7"/>
      <c r="P2502" s="6"/>
      <c r="Q2502" s="6"/>
      <c r="R2502" s="7"/>
      <c r="S2502" s="6"/>
      <c r="T2502" s="6"/>
      <c r="U2502" s="7"/>
      <c r="V2502" s="6"/>
      <c r="W2502" s="6"/>
      <c r="X2502" s="6"/>
      <c r="Y2502" s="6"/>
      <c r="Z2502" s="6"/>
      <c r="AA2502" s="7"/>
      <c r="AB2502" s="6"/>
      <c r="AC2502" s="6"/>
      <c r="AD2502" s="6"/>
      <c r="AE2502" s="12"/>
      <c r="AF2502" s="12"/>
      <c r="AG2502" s="12"/>
      <c r="AH2502" s="12"/>
      <c r="AI2502" s="6"/>
      <c r="AJ2502" s="12"/>
      <c r="AK2502" s="24"/>
      <c r="AL2502" s="25"/>
      <c r="AM2502" s="12"/>
      <c r="AN2502" s="1"/>
      <c r="AO2502" s="12"/>
    </row>
    <row r="2503" spans="1:41" ht="15" x14ac:dyDescent="0.25">
      <c r="A2503" s="1"/>
      <c r="B2503" s="1"/>
      <c r="C2503" s="1"/>
      <c r="D2503" s="1"/>
      <c r="E2503" s="6"/>
      <c r="F2503" s="1"/>
      <c r="G2503" s="6"/>
      <c r="H2503" s="6"/>
      <c r="I2503" s="6"/>
      <c r="J2503" s="6"/>
      <c r="K2503" s="12"/>
      <c r="L2503" s="12"/>
      <c r="M2503" s="6"/>
      <c r="N2503" s="6"/>
      <c r="O2503" s="7"/>
      <c r="P2503" s="6"/>
      <c r="Q2503" s="6"/>
      <c r="R2503" s="7"/>
      <c r="S2503" s="6"/>
      <c r="T2503" s="6"/>
      <c r="U2503" s="7"/>
      <c r="V2503" s="6"/>
      <c r="W2503" s="6"/>
      <c r="X2503" s="6"/>
      <c r="Y2503" s="6"/>
      <c r="Z2503" s="6"/>
      <c r="AA2503" s="7"/>
      <c r="AB2503" s="6"/>
      <c r="AC2503" s="6"/>
      <c r="AD2503" s="6"/>
      <c r="AE2503" s="12"/>
      <c r="AF2503" s="12"/>
      <c r="AG2503" s="12"/>
      <c r="AH2503" s="12"/>
      <c r="AI2503" s="6"/>
      <c r="AJ2503" s="12"/>
      <c r="AK2503" s="24"/>
      <c r="AL2503" s="25"/>
      <c r="AM2503" s="12"/>
      <c r="AN2503" s="1"/>
      <c r="AO2503" s="12"/>
    </row>
    <row r="2504" spans="1:41" ht="15" x14ac:dyDescent="0.25">
      <c r="A2504" s="1"/>
      <c r="B2504" s="1"/>
      <c r="C2504" s="1"/>
      <c r="D2504" s="1"/>
      <c r="E2504" s="6"/>
      <c r="F2504" s="1"/>
      <c r="G2504" s="6"/>
      <c r="H2504" s="6"/>
      <c r="I2504" s="6"/>
      <c r="J2504" s="6"/>
      <c r="K2504" s="6"/>
      <c r="L2504" s="6"/>
      <c r="M2504" s="6"/>
      <c r="N2504" s="6"/>
      <c r="O2504" s="7"/>
      <c r="P2504" s="12"/>
      <c r="Q2504" s="6"/>
      <c r="R2504" s="7"/>
      <c r="S2504" s="6"/>
      <c r="T2504" s="6"/>
      <c r="U2504" s="7"/>
      <c r="V2504" s="6"/>
      <c r="W2504" s="6"/>
      <c r="X2504" s="6"/>
      <c r="Y2504" s="6"/>
      <c r="Z2504" s="6"/>
      <c r="AA2504" s="7"/>
      <c r="AB2504" s="6"/>
      <c r="AC2504" s="6"/>
      <c r="AD2504" s="6"/>
      <c r="AE2504" s="12"/>
      <c r="AF2504" s="6"/>
      <c r="AG2504" s="12"/>
      <c r="AH2504" s="6"/>
      <c r="AI2504" s="6"/>
      <c r="AJ2504" s="12"/>
      <c r="AK2504" s="1"/>
      <c r="AL2504" s="12"/>
      <c r="AM2504" s="12"/>
      <c r="AN2504" s="1"/>
      <c r="AO2504" s="6"/>
    </row>
    <row r="2505" spans="1:41" ht="15" x14ac:dyDescent="0.25">
      <c r="A2505" s="1"/>
      <c r="B2505" s="1"/>
      <c r="C2505" s="1"/>
      <c r="D2505" s="1"/>
      <c r="E2505" s="6"/>
      <c r="F2505" s="1"/>
      <c r="G2505" s="6"/>
      <c r="H2505" s="6"/>
      <c r="I2505" s="6"/>
      <c r="J2505" s="6"/>
      <c r="K2505" s="6"/>
      <c r="L2505" s="6"/>
      <c r="M2505" s="6"/>
      <c r="N2505" s="6"/>
      <c r="O2505" s="7"/>
      <c r="P2505" s="6"/>
      <c r="Q2505" s="6"/>
      <c r="R2505" s="7"/>
      <c r="S2505" s="6"/>
      <c r="T2505" s="6"/>
      <c r="U2505" s="7"/>
      <c r="V2505" s="6"/>
      <c r="W2505" s="6"/>
      <c r="X2505" s="12"/>
      <c r="Y2505" s="6"/>
      <c r="Z2505" s="6"/>
      <c r="AA2505" s="7"/>
      <c r="AB2505" s="6"/>
      <c r="AC2505" s="6"/>
      <c r="AD2505" s="6"/>
      <c r="AE2505" s="12"/>
      <c r="AF2505" s="12"/>
      <c r="AG2505" s="12"/>
      <c r="AH2505" s="12"/>
      <c r="AI2505" s="6"/>
      <c r="AJ2505" s="12"/>
      <c r="AK2505" s="1"/>
      <c r="AL2505" s="12"/>
      <c r="AM2505" s="12"/>
      <c r="AN2505" s="1"/>
      <c r="AO2505" s="6"/>
    </row>
    <row r="2506" spans="1:41" ht="15" x14ac:dyDescent="0.25">
      <c r="A2506" s="1"/>
      <c r="B2506" s="1"/>
      <c r="C2506" s="1"/>
      <c r="D2506" s="1"/>
      <c r="E2506" s="6"/>
      <c r="F2506" s="1"/>
      <c r="G2506" s="6"/>
      <c r="H2506" s="6"/>
      <c r="I2506" s="6"/>
      <c r="J2506" s="6"/>
      <c r="K2506" s="6"/>
      <c r="L2506" s="6"/>
      <c r="M2506" s="6"/>
      <c r="N2506" s="6"/>
      <c r="O2506" s="7"/>
      <c r="P2506" s="6"/>
      <c r="Q2506" s="6"/>
      <c r="R2506" s="7"/>
      <c r="S2506" s="6"/>
      <c r="T2506" s="6"/>
      <c r="U2506" s="7"/>
      <c r="V2506" s="6"/>
      <c r="W2506" s="6"/>
      <c r="X2506" s="6"/>
      <c r="Y2506" s="6"/>
      <c r="Z2506" s="6"/>
      <c r="AA2506" s="7"/>
      <c r="AB2506" s="6"/>
      <c r="AC2506" s="6"/>
      <c r="AD2506" s="6"/>
      <c r="AE2506" s="12"/>
      <c r="AF2506" s="6"/>
      <c r="AG2506" s="12"/>
      <c r="AH2506" s="6"/>
      <c r="AI2506" s="6"/>
      <c r="AJ2506" s="12"/>
      <c r="AK2506" s="1"/>
      <c r="AL2506" s="12"/>
      <c r="AM2506" s="12"/>
      <c r="AN2506" s="1"/>
      <c r="AO2506" s="6"/>
    </row>
    <row r="2507" spans="1:41" ht="15" x14ac:dyDescent="0.25">
      <c r="A2507" s="1"/>
      <c r="B2507" s="1"/>
      <c r="C2507" s="1"/>
      <c r="D2507" s="1"/>
      <c r="E2507" s="6"/>
      <c r="F2507" s="1"/>
      <c r="G2507" s="6"/>
      <c r="H2507" s="6"/>
      <c r="I2507" s="6"/>
      <c r="J2507" s="6"/>
      <c r="K2507" s="6"/>
      <c r="L2507" s="6"/>
      <c r="M2507" s="6"/>
      <c r="N2507" s="6"/>
      <c r="O2507" s="7"/>
      <c r="P2507" s="6"/>
      <c r="Q2507" s="6"/>
      <c r="R2507" s="7"/>
      <c r="S2507" s="6"/>
      <c r="T2507" s="6"/>
      <c r="U2507" s="7"/>
      <c r="V2507" s="6"/>
      <c r="W2507" s="6"/>
      <c r="X2507" s="12"/>
      <c r="Y2507" s="6"/>
      <c r="Z2507" s="6"/>
      <c r="AA2507" s="7"/>
      <c r="AB2507" s="6"/>
      <c r="AC2507" s="6"/>
      <c r="AD2507" s="6"/>
      <c r="AE2507" s="12"/>
      <c r="AF2507" s="6"/>
      <c r="AG2507" s="12"/>
      <c r="AH2507" s="6"/>
      <c r="AI2507" s="6"/>
      <c r="AJ2507" s="12"/>
      <c r="AK2507" s="24"/>
      <c r="AL2507" s="25"/>
      <c r="AM2507" s="12"/>
      <c r="AN2507" s="1"/>
      <c r="AO2507" s="6"/>
    </row>
    <row r="2508" spans="1:41" ht="15" x14ac:dyDescent="0.25">
      <c r="A2508" s="1"/>
      <c r="B2508" s="1"/>
      <c r="C2508" s="1"/>
      <c r="D2508" s="1"/>
      <c r="E2508" s="6"/>
      <c r="F2508" s="1"/>
      <c r="G2508" s="6"/>
      <c r="H2508" s="6"/>
      <c r="I2508" s="6"/>
      <c r="J2508" s="6"/>
      <c r="K2508" s="6"/>
      <c r="L2508" s="6"/>
      <c r="M2508" s="6"/>
      <c r="N2508" s="6"/>
      <c r="O2508" s="7"/>
      <c r="P2508" s="6"/>
      <c r="Q2508" s="6"/>
      <c r="R2508" s="7"/>
      <c r="S2508" s="6"/>
      <c r="T2508" s="6"/>
      <c r="U2508" s="7"/>
      <c r="V2508" s="6"/>
      <c r="W2508" s="6"/>
      <c r="X2508" s="12"/>
      <c r="Y2508" s="6"/>
      <c r="Z2508" s="6"/>
      <c r="AA2508" s="7"/>
      <c r="AB2508" s="6"/>
      <c r="AC2508" s="6"/>
      <c r="AD2508" s="6"/>
      <c r="AE2508" s="12"/>
      <c r="AF2508" s="6"/>
      <c r="AG2508" s="12"/>
      <c r="AH2508" s="6"/>
      <c r="AI2508" s="6"/>
      <c r="AJ2508" s="12"/>
      <c r="AK2508" s="1"/>
      <c r="AL2508" s="12"/>
      <c r="AM2508" s="12"/>
      <c r="AN2508" s="1"/>
      <c r="AO2508" s="6"/>
    </row>
    <row r="2509" spans="1:41" ht="15" x14ac:dyDescent="0.25">
      <c r="A2509" s="1"/>
      <c r="B2509" s="1"/>
      <c r="C2509" s="1"/>
      <c r="D2509" s="1"/>
      <c r="E2509" s="6"/>
      <c r="F2509" s="1"/>
      <c r="G2509" s="6"/>
      <c r="H2509" s="6"/>
      <c r="I2509" s="6"/>
      <c r="J2509" s="6"/>
      <c r="K2509" s="6"/>
      <c r="L2509" s="6"/>
      <c r="M2509" s="6"/>
      <c r="N2509" s="6"/>
      <c r="O2509" s="7"/>
      <c r="P2509" s="6"/>
      <c r="Q2509" s="6"/>
      <c r="R2509" s="7"/>
      <c r="S2509" s="6"/>
      <c r="T2509" s="6"/>
      <c r="U2509" s="7"/>
      <c r="V2509" s="6"/>
      <c r="W2509" s="6"/>
      <c r="X2509" s="12"/>
      <c r="Y2509" s="6"/>
      <c r="Z2509" s="6"/>
      <c r="AA2509" s="7"/>
      <c r="AB2509" s="6"/>
      <c r="AC2509" s="6"/>
      <c r="AD2509" s="6"/>
      <c r="AE2509" s="12"/>
      <c r="AF2509" s="6"/>
      <c r="AG2509" s="12"/>
      <c r="AH2509" s="6"/>
      <c r="AI2509" s="6"/>
      <c r="AJ2509" s="12"/>
      <c r="AK2509" s="24"/>
      <c r="AL2509" s="25"/>
      <c r="AM2509" s="12"/>
      <c r="AN2509" s="1"/>
      <c r="AO2509" s="6"/>
    </row>
    <row r="2510" spans="1:41" ht="15" x14ac:dyDescent="0.25">
      <c r="A2510" s="1"/>
      <c r="B2510" s="1"/>
      <c r="C2510" s="1"/>
      <c r="D2510" s="1"/>
      <c r="E2510" s="6"/>
      <c r="F2510" s="1"/>
      <c r="G2510" s="6"/>
      <c r="H2510" s="6"/>
      <c r="I2510" s="6"/>
      <c r="J2510" s="6"/>
      <c r="K2510" s="6"/>
      <c r="L2510" s="6"/>
      <c r="M2510" s="6"/>
      <c r="N2510" s="6"/>
      <c r="O2510" s="7"/>
      <c r="P2510" s="6"/>
      <c r="Q2510" s="6"/>
      <c r="R2510" s="7"/>
      <c r="S2510" s="6"/>
      <c r="T2510" s="6"/>
      <c r="U2510" s="7"/>
      <c r="V2510" s="6"/>
      <c r="W2510" s="6"/>
      <c r="X2510" s="6"/>
      <c r="Y2510" s="6"/>
      <c r="Z2510" s="6"/>
      <c r="AA2510" s="7"/>
      <c r="AB2510" s="6"/>
      <c r="AC2510" s="6"/>
      <c r="AD2510" s="6"/>
      <c r="AE2510" s="12"/>
      <c r="AF2510" s="6"/>
      <c r="AG2510" s="12"/>
      <c r="AH2510" s="6"/>
      <c r="AI2510" s="6"/>
      <c r="AJ2510" s="12"/>
      <c r="AK2510" s="1"/>
      <c r="AL2510" s="12"/>
      <c r="AM2510" s="12"/>
      <c r="AN2510" s="1"/>
      <c r="AO2510" s="6"/>
    </row>
    <row r="2511" spans="1:41" ht="15" x14ac:dyDescent="0.25">
      <c r="A2511" s="1"/>
      <c r="B2511" s="1"/>
      <c r="C2511" s="1"/>
      <c r="D2511" s="1"/>
      <c r="E2511" s="6"/>
      <c r="F2511" s="1"/>
      <c r="G2511" s="6"/>
      <c r="H2511" s="6"/>
      <c r="I2511" s="6"/>
      <c r="J2511" s="6"/>
      <c r="K2511" s="6"/>
      <c r="L2511" s="6"/>
      <c r="M2511" s="6"/>
      <c r="N2511" s="6"/>
      <c r="O2511" s="7"/>
      <c r="P2511" s="6"/>
      <c r="Q2511" s="6"/>
      <c r="R2511" s="7"/>
      <c r="S2511" s="6"/>
      <c r="T2511" s="6"/>
      <c r="U2511" s="7"/>
      <c r="V2511" s="6"/>
      <c r="W2511" s="6"/>
      <c r="X2511" s="12"/>
      <c r="Y2511" s="6"/>
      <c r="Z2511" s="6"/>
      <c r="AA2511" s="7"/>
      <c r="AB2511" s="6"/>
      <c r="AC2511" s="6"/>
      <c r="AD2511" s="6"/>
      <c r="AE2511" s="12"/>
      <c r="AF2511" s="12"/>
      <c r="AG2511" s="12"/>
      <c r="AH2511" s="12"/>
      <c r="AI2511" s="6"/>
      <c r="AJ2511" s="12"/>
      <c r="AK2511" s="1"/>
      <c r="AL2511" s="12"/>
      <c r="AM2511" s="12"/>
      <c r="AN2511" s="1"/>
      <c r="AO2511" s="6"/>
    </row>
    <row r="2512" spans="1:41" ht="15" x14ac:dyDescent="0.25">
      <c r="A2512" s="1"/>
      <c r="B2512" s="1"/>
      <c r="C2512" s="1"/>
      <c r="D2512" s="1"/>
      <c r="E2512" s="6"/>
      <c r="F2512" s="1"/>
      <c r="G2512" s="6"/>
      <c r="H2512" s="6"/>
      <c r="I2512" s="6"/>
      <c r="J2512" s="6"/>
      <c r="K2512" s="6"/>
      <c r="L2512" s="6"/>
      <c r="M2512" s="6"/>
      <c r="N2512" s="6"/>
      <c r="O2512" s="7"/>
      <c r="P2512" s="6"/>
      <c r="Q2512" s="6"/>
      <c r="R2512" s="7"/>
      <c r="S2512" s="6"/>
      <c r="T2512" s="6"/>
      <c r="U2512" s="7"/>
      <c r="V2512" s="6"/>
      <c r="W2512" s="6"/>
      <c r="X2512" s="6"/>
      <c r="Y2512" s="6"/>
      <c r="Z2512" s="6"/>
      <c r="AA2512" s="7"/>
      <c r="AB2512" s="6"/>
      <c r="AC2512" s="6"/>
      <c r="AD2512" s="6"/>
      <c r="AE2512" s="12"/>
      <c r="AF2512" s="6"/>
      <c r="AG2512" s="12"/>
      <c r="AH2512" s="6"/>
      <c r="AI2512" s="6"/>
      <c r="AJ2512" s="12"/>
      <c r="AK2512" s="24"/>
      <c r="AL2512" s="25"/>
      <c r="AM2512" s="12"/>
      <c r="AN2512" s="1"/>
      <c r="AO2512" s="6"/>
    </row>
    <row r="2513" spans="1:41" ht="15" x14ac:dyDescent="0.25">
      <c r="A2513" s="1"/>
      <c r="B2513" s="1"/>
      <c r="C2513" s="1"/>
      <c r="D2513" s="1"/>
      <c r="E2513" s="6"/>
      <c r="F2513" s="1"/>
      <c r="G2513" s="6"/>
      <c r="H2513" s="6"/>
      <c r="I2513" s="6"/>
      <c r="J2513" s="6"/>
      <c r="K2513" s="6"/>
      <c r="L2513" s="6"/>
      <c r="M2513" s="6"/>
      <c r="N2513" s="6"/>
      <c r="O2513" s="7"/>
      <c r="P2513" s="6"/>
      <c r="Q2513" s="6"/>
      <c r="R2513" s="7"/>
      <c r="S2513" s="6"/>
      <c r="T2513" s="6"/>
      <c r="U2513" s="7"/>
      <c r="V2513" s="6"/>
      <c r="W2513" s="6"/>
      <c r="X2513" s="12"/>
      <c r="Y2513" s="6"/>
      <c r="Z2513" s="6"/>
      <c r="AA2513" s="7"/>
      <c r="AB2513" s="6"/>
      <c r="AC2513" s="6"/>
      <c r="AD2513" s="6"/>
      <c r="AE2513" s="12"/>
      <c r="AF2513" s="6"/>
      <c r="AG2513" s="12"/>
      <c r="AH2513" s="6"/>
      <c r="AI2513" s="6"/>
      <c r="AJ2513" s="12"/>
      <c r="AK2513" s="24"/>
      <c r="AL2513" s="25"/>
      <c r="AM2513" s="12"/>
      <c r="AN2513" s="1"/>
      <c r="AO2513" s="12"/>
    </row>
    <row r="2514" spans="1:41" ht="15" x14ac:dyDescent="0.25">
      <c r="A2514" s="1"/>
      <c r="B2514" s="1"/>
      <c r="C2514" s="1"/>
      <c r="D2514" s="1"/>
      <c r="E2514" s="6"/>
      <c r="F2514" s="1"/>
      <c r="G2514" s="6"/>
      <c r="H2514" s="6"/>
      <c r="I2514" s="6"/>
      <c r="J2514" s="6"/>
      <c r="K2514" s="6"/>
      <c r="L2514" s="6"/>
      <c r="M2514" s="6"/>
      <c r="N2514" s="6"/>
      <c r="O2514" s="7"/>
      <c r="P2514" s="6"/>
      <c r="Q2514" s="6"/>
      <c r="R2514" s="7"/>
      <c r="S2514" s="6"/>
      <c r="T2514" s="6"/>
      <c r="U2514" s="7"/>
      <c r="V2514" s="6"/>
      <c r="W2514" s="6"/>
      <c r="X2514" s="12"/>
      <c r="Y2514" s="6"/>
      <c r="Z2514" s="6"/>
      <c r="AA2514" s="7"/>
      <c r="AB2514" s="6"/>
      <c r="AC2514" s="6"/>
      <c r="AD2514" s="6"/>
      <c r="AE2514" s="12"/>
      <c r="AF2514" s="6"/>
      <c r="AG2514" s="12"/>
      <c r="AH2514" s="6"/>
      <c r="AI2514" s="6"/>
      <c r="AJ2514" s="12"/>
      <c r="AK2514" s="24"/>
      <c r="AL2514" s="25"/>
      <c r="AM2514" s="12"/>
      <c r="AN2514" s="1"/>
      <c r="AO2514" s="6"/>
    </row>
    <row r="2515" spans="1:41" ht="15" x14ac:dyDescent="0.25">
      <c r="A2515" s="1"/>
      <c r="B2515" s="1"/>
      <c r="C2515" s="1"/>
      <c r="D2515" s="1"/>
      <c r="E2515" s="6"/>
      <c r="F2515" s="1"/>
      <c r="G2515" s="6"/>
      <c r="H2515" s="6"/>
      <c r="I2515" s="6"/>
      <c r="J2515" s="6"/>
      <c r="K2515" s="12"/>
      <c r="L2515" s="12"/>
      <c r="M2515" s="6"/>
      <c r="N2515" s="6"/>
      <c r="O2515" s="7"/>
      <c r="P2515" s="6"/>
      <c r="Q2515" s="6"/>
      <c r="R2515" s="7"/>
      <c r="S2515" s="6"/>
      <c r="T2515" s="6"/>
      <c r="U2515" s="7"/>
      <c r="V2515" s="6"/>
      <c r="W2515" s="6"/>
      <c r="X2515" s="12"/>
      <c r="Y2515" s="6"/>
      <c r="Z2515" s="6"/>
      <c r="AA2515" s="7"/>
      <c r="AB2515" s="6"/>
      <c r="AC2515" s="6"/>
      <c r="AD2515" s="6"/>
      <c r="AE2515" s="12"/>
      <c r="AF2515" s="12"/>
      <c r="AG2515" s="12"/>
      <c r="AH2515" s="12"/>
      <c r="AI2515" s="6"/>
      <c r="AJ2515" s="12"/>
      <c r="AK2515" s="1"/>
      <c r="AL2515" s="12"/>
      <c r="AM2515" s="12"/>
      <c r="AN2515" s="1"/>
      <c r="AO2515" s="12"/>
    </row>
    <row r="2516" spans="1:41" ht="15" x14ac:dyDescent="0.25">
      <c r="A2516" s="1"/>
      <c r="B2516" s="1"/>
      <c r="C2516" s="1"/>
      <c r="D2516" s="1"/>
      <c r="E2516" s="6"/>
      <c r="F2516" s="1"/>
      <c r="G2516" s="6"/>
      <c r="H2516" s="6"/>
      <c r="I2516" s="6"/>
      <c r="J2516" s="6"/>
      <c r="K2516" s="6"/>
      <c r="L2516" s="6"/>
      <c r="M2516" s="6"/>
      <c r="N2516" s="6"/>
      <c r="O2516" s="7"/>
      <c r="P2516" s="6"/>
      <c r="Q2516" s="7"/>
      <c r="R2516" s="6"/>
      <c r="S2516" s="12"/>
      <c r="T2516" s="6"/>
      <c r="U2516" s="6"/>
      <c r="V2516" s="7"/>
      <c r="W2516" s="6"/>
      <c r="X2516" s="6"/>
      <c r="Y2516" s="6"/>
      <c r="Z2516" s="6"/>
      <c r="AA2516" s="1"/>
      <c r="AB2516" s="12"/>
      <c r="AC2516" s="12"/>
      <c r="AD2516" s="12"/>
      <c r="AE2516" s="12"/>
      <c r="AF2516" s="6"/>
      <c r="AG2516" s="12"/>
      <c r="AH2516" s="6"/>
      <c r="AI2516" s="6"/>
      <c r="AJ2516" s="12"/>
      <c r="AK2516" s="12"/>
      <c r="AL2516" s="12"/>
      <c r="AM2516" s="12"/>
      <c r="AN2516" s="1"/>
      <c r="AO2516" s="6"/>
    </row>
    <row r="2517" spans="1:41" ht="15" x14ac:dyDescent="0.25">
      <c r="A2517" s="1"/>
      <c r="B2517" s="1"/>
      <c r="C2517" s="1"/>
      <c r="D2517" s="1"/>
      <c r="E2517" s="6"/>
      <c r="F2517" s="1"/>
      <c r="G2517" s="6"/>
      <c r="H2517" s="6"/>
      <c r="I2517" s="6"/>
      <c r="J2517" s="6"/>
      <c r="K2517" s="6"/>
      <c r="L2517" s="6"/>
      <c r="M2517" s="6"/>
      <c r="N2517" s="6"/>
      <c r="O2517" s="7"/>
      <c r="P2517" s="6"/>
      <c r="Q2517" s="6"/>
      <c r="R2517" s="7"/>
      <c r="S2517" s="6"/>
      <c r="T2517" s="6"/>
      <c r="U2517" s="7"/>
      <c r="V2517" s="6"/>
      <c r="W2517" s="6"/>
      <c r="X2517" s="6"/>
      <c r="Y2517" s="6"/>
      <c r="Z2517" s="6"/>
      <c r="AA2517" s="7"/>
      <c r="AB2517" s="6"/>
      <c r="AC2517" s="6"/>
      <c r="AD2517" s="6"/>
      <c r="AE2517" s="12"/>
      <c r="AF2517" s="6"/>
      <c r="AG2517" s="12"/>
      <c r="AH2517" s="6"/>
      <c r="AI2517" s="6"/>
      <c r="AJ2517" s="12"/>
      <c r="AK2517" s="24"/>
      <c r="AL2517" s="25"/>
      <c r="AM2517" s="12"/>
      <c r="AN2517" s="1"/>
      <c r="AO2517" s="6"/>
    </row>
    <row r="2518" spans="1:41" ht="15" x14ac:dyDescent="0.25">
      <c r="A2518" s="1"/>
      <c r="B2518" s="1"/>
      <c r="C2518" s="1"/>
      <c r="D2518" s="1"/>
      <c r="E2518" s="6"/>
      <c r="F2518" s="1"/>
      <c r="G2518" s="6"/>
      <c r="H2518" s="6"/>
      <c r="I2518" s="6"/>
      <c r="J2518" s="6"/>
      <c r="K2518" s="6"/>
      <c r="L2518" s="6"/>
      <c r="M2518" s="6"/>
      <c r="N2518" s="6"/>
      <c r="O2518" s="7"/>
      <c r="P2518" s="6"/>
      <c r="Q2518" s="6"/>
      <c r="R2518" s="7"/>
      <c r="S2518" s="6"/>
      <c r="T2518" s="6"/>
      <c r="U2518" s="7"/>
      <c r="V2518" s="6"/>
      <c r="W2518" s="6"/>
      <c r="X2518" s="6"/>
      <c r="Y2518" s="6"/>
      <c r="Z2518" s="6"/>
      <c r="AA2518" s="7"/>
      <c r="AB2518" s="6"/>
      <c r="AC2518" s="6"/>
      <c r="AD2518" s="6"/>
      <c r="AE2518" s="12"/>
      <c r="AF2518" s="12"/>
      <c r="AG2518" s="12"/>
      <c r="AH2518" s="12"/>
      <c r="AI2518" s="6"/>
      <c r="AJ2518" s="12"/>
      <c r="AK2518" s="1"/>
      <c r="AL2518" s="12"/>
      <c r="AM2518" s="12"/>
      <c r="AN2518" s="1"/>
      <c r="AO2518" s="6"/>
    </row>
    <row r="2519" spans="1:41" ht="15" x14ac:dyDescent="0.25">
      <c r="A2519" s="1"/>
      <c r="B2519" s="1"/>
      <c r="C2519" s="1"/>
      <c r="D2519" s="1"/>
      <c r="E2519" s="6"/>
      <c r="F2519" s="1"/>
      <c r="G2519" s="6"/>
      <c r="H2519" s="6"/>
      <c r="I2519" s="6"/>
      <c r="J2519" s="6"/>
      <c r="K2519" s="6"/>
      <c r="L2519" s="6"/>
      <c r="M2519" s="6"/>
      <c r="N2519" s="6"/>
      <c r="O2519" s="7"/>
      <c r="P2519" s="6"/>
      <c r="Q2519" s="7"/>
      <c r="R2519" s="6"/>
      <c r="S2519" s="6"/>
      <c r="T2519" s="6"/>
      <c r="U2519" s="6"/>
      <c r="V2519" s="7"/>
      <c r="W2519" s="7"/>
      <c r="X2519" s="6"/>
      <c r="Y2519" s="6"/>
      <c r="Z2519" s="6"/>
      <c r="AA2519" s="1"/>
      <c r="AB2519" s="12"/>
      <c r="AC2519" s="12"/>
      <c r="AD2519" s="12"/>
      <c r="AE2519" s="12"/>
      <c r="AF2519" s="12"/>
      <c r="AG2519" s="12"/>
      <c r="AH2519" s="12"/>
      <c r="AI2519" s="6"/>
      <c r="AJ2519" s="12"/>
      <c r="AK2519" s="12"/>
      <c r="AL2519" s="12"/>
      <c r="AM2519" s="12"/>
      <c r="AN2519" s="1"/>
      <c r="AO2519" s="6"/>
    </row>
    <row r="2520" spans="1:41" ht="15" x14ac:dyDescent="0.25">
      <c r="A2520" s="1"/>
      <c r="B2520" s="1"/>
      <c r="C2520" s="1"/>
      <c r="D2520" s="1"/>
      <c r="E2520" s="6"/>
      <c r="F2520" s="1"/>
      <c r="G2520" s="6"/>
      <c r="H2520" s="6"/>
      <c r="I2520" s="6"/>
      <c r="J2520" s="6"/>
      <c r="K2520" s="6"/>
      <c r="L2520" s="6"/>
      <c r="M2520" s="6"/>
      <c r="N2520" s="6"/>
      <c r="O2520" s="7"/>
      <c r="P2520" s="6"/>
      <c r="Q2520" s="6"/>
      <c r="R2520" s="7"/>
      <c r="S2520" s="6"/>
      <c r="T2520" s="6"/>
      <c r="U2520" s="7"/>
      <c r="V2520" s="6"/>
      <c r="W2520" s="6"/>
      <c r="X2520" s="12"/>
      <c r="Y2520" s="6"/>
      <c r="Z2520" s="6"/>
      <c r="AA2520" s="7"/>
      <c r="AB2520" s="6"/>
      <c r="AC2520" s="6"/>
      <c r="AD2520" s="6"/>
      <c r="AE2520" s="12"/>
      <c r="AF2520" s="6"/>
      <c r="AG2520" s="12"/>
      <c r="AH2520" s="6"/>
      <c r="AI2520" s="6"/>
      <c r="AJ2520" s="12"/>
      <c r="AK2520" s="1"/>
      <c r="AL2520" s="12"/>
      <c r="AM2520" s="12"/>
      <c r="AN2520" s="1"/>
      <c r="AO2520" s="6"/>
    </row>
    <row r="2521" spans="1:41" ht="15" x14ac:dyDescent="0.25">
      <c r="A2521" s="1"/>
      <c r="B2521" s="1"/>
      <c r="C2521" s="1"/>
      <c r="D2521" s="1"/>
      <c r="E2521" s="6"/>
      <c r="F2521" s="1"/>
      <c r="G2521" s="6"/>
      <c r="H2521" s="6"/>
      <c r="I2521" s="6"/>
      <c r="J2521" s="6"/>
      <c r="K2521" s="6"/>
      <c r="L2521" s="6"/>
      <c r="M2521" s="6"/>
      <c r="N2521" s="6"/>
      <c r="O2521" s="7"/>
      <c r="P2521" s="12"/>
      <c r="Q2521" s="6"/>
      <c r="R2521" s="7"/>
      <c r="S2521" s="6"/>
      <c r="T2521" s="6"/>
      <c r="U2521" s="7"/>
      <c r="V2521" s="6"/>
      <c r="W2521" s="6"/>
      <c r="X2521" s="6"/>
      <c r="Y2521" s="6"/>
      <c r="Z2521" s="6"/>
      <c r="AA2521" s="7"/>
      <c r="AB2521" s="6"/>
      <c r="AC2521" s="6"/>
      <c r="AD2521" s="6"/>
      <c r="AE2521" s="12"/>
      <c r="AF2521" s="12"/>
      <c r="AG2521" s="12"/>
      <c r="AH2521" s="12"/>
      <c r="AI2521" s="6"/>
      <c r="AJ2521" s="12"/>
      <c r="AK2521" s="1"/>
      <c r="AL2521" s="12"/>
      <c r="AM2521" s="12"/>
      <c r="AN2521" s="1"/>
      <c r="AO2521" s="6"/>
    </row>
    <row r="2522" spans="1:41" ht="15" x14ac:dyDescent="0.25">
      <c r="A2522" s="1"/>
      <c r="B2522" s="1"/>
      <c r="C2522" s="1"/>
      <c r="D2522" s="1"/>
      <c r="E2522" s="6"/>
      <c r="F2522" s="1"/>
      <c r="G2522" s="6"/>
      <c r="H2522" s="6"/>
      <c r="I2522" s="6"/>
      <c r="J2522" s="6"/>
      <c r="K2522" s="6"/>
      <c r="L2522" s="6"/>
      <c r="M2522" s="6"/>
      <c r="N2522" s="6"/>
      <c r="O2522" s="7"/>
      <c r="P2522" s="6"/>
      <c r="Q2522" s="6"/>
      <c r="R2522" s="7"/>
      <c r="S2522" s="6"/>
      <c r="T2522" s="6"/>
      <c r="U2522" s="7"/>
      <c r="V2522" s="6"/>
      <c r="W2522" s="6"/>
      <c r="X2522" s="12"/>
      <c r="Y2522" s="6"/>
      <c r="Z2522" s="6"/>
      <c r="AA2522" s="7"/>
      <c r="AB2522" s="6"/>
      <c r="AC2522" s="6"/>
      <c r="AD2522" s="6"/>
      <c r="AE2522" s="12"/>
      <c r="AF2522" s="6"/>
      <c r="AG2522" s="12"/>
      <c r="AH2522" s="6"/>
      <c r="AI2522" s="6"/>
      <c r="AJ2522" s="12"/>
      <c r="AK2522" s="24"/>
      <c r="AL2522" s="25"/>
      <c r="AM2522" s="12"/>
      <c r="AN2522" s="1"/>
      <c r="AO2522" s="6"/>
    </row>
    <row r="2523" spans="1:41" ht="15" x14ac:dyDescent="0.25">
      <c r="A2523" s="1"/>
      <c r="B2523" s="1"/>
      <c r="C2523" s="1"/>
      <c r="D2523" s="1"/>
      <c r="E2523" s="6"/>
      <c r="F2523" s="1"/>
      <c r="G2523" s="6"/>
      <c r="H2523" s="6"/>
      <c r="I2523" s="6"/>
      <c r="J2523" s="6"/>
      <c r="K2523" s="12"/>
      <c r="L2523" s="12"/>
      <c r="M2523" s="6"/>
      <c r="N2523" s="6"/>
      <c r="O2523" s="7"/>
      <c r="P2523" s="6"/>
      <c r="Q2523" s="6"/>
      <c r="R2523" s="7"/>
      <c r="S2523" s="6"/>
      <c r="T2523" s="6"/>
      <c r="U2523" s="7"/>
      <c r="V2523" s="6"/>
      <c r="W2523" s="6"/>
      <c r="X2523" s="6"/>
      <c r="Y2523" s="6"/>
      <c r="Z2523" s="6"/>
      <c r="AA2523" s="7"/>
      <c r="AB2523" s="6"/>
      <c r="AC2523" s="6"/>
      <c r="AD2523" s="6"/>
      <c r="AE2523" s="12"/>
      <c r="AF2523" s="12"/>
      <c r="AG2523" s="12"/>
      <c r="AH2523" s="12"/>
      <c r="AI2523" s="6"/>
      <c r="AJ2523" s="12"/>
      <c r="AK2523" s="1"/>
      <c r="AL2523" s="12"/>
      <c r="AM2523" s="12"/>
      <c r="AN2523" s="1"/>
      <c r="AO2523" s="6"/>
    </row>
    <row r="2524" spans="1:41" ht="15" x14ac:dyDescent="0.25">
      <c r="A2524" s="1"/>
      <c r="B2524" s="1"/>
      <c r="C2524" s="1"/>
      <c r="D2524" s="1"/>
      <c r="E2524" s="6"/>
      <c r="F2524" s="1"/>
      <c r="G2524" s="6"/>
      <c r="H2524" s="6"/>
      <c r="I2524" s="6"/>
      <c r="J2524" s="6"/>
      <c r="K2524" s="6"/>
      <c r="L2524" s="6"/>
      <c r="M2524" s="6"/>
      <c r="N2524" s="6"/>
      <c r="O2524" s="7"/>
      <c r="P2524" s="6"/>
      <c r="Q2524" s="7"/>
      <c r="R2524" s="6"/>
      <c r="S2524" s="6"/>
      <c r="T2524" s="6"/>
      <c r="U2524" s="6"/>
      <c r="V2524" s="7"/>
      <c r="W2524" s="7"/>
      <c r="X2524" s="6"/>
      <c r="Y2524" s="6"/>
      <c r="Z2524" s="6"/>
      <c r="AA2524" s="1"/>
      <c r="AB2524" s="12"/>
      <c r="AC2524" s="12"/>
      <c r="AD2524" s="12"/>
      <c r="AE2524" s="12"/>
      <c r="AF2524" s="6"/>
      <c r="AG2524" s="12"/>
      <c r="AH2524" s="6"/>
      <c r="AI2524" s="6"/>
      <c r="AJ2524" s="12"/>
      <c r="AK2524" s="12"/>
      <c r="AL2524" s="12"/>
      <c r="AM2524" s="12"/>
      <c r="AN2524" s="1"/>
      <c r="AO2524" s="6"/>
    </row>
    <row r="2525" spans="1:41" ht="15" x14ac:dyDescent="0.25">
      <c r="A2525" s="1"/>
      <c r="B2525" s="1"/>
      <c r="C2525" s="1"/>
      <c r="D2525" s="1"/>
      <c r="E2525" s="6"/>
      <c r="F2525" s="1"/>
      <c r="G2525" s="6"/>
      <c r="H2525" s="6"/>
      <c r="I2525" s="6"/>
      <c r="J2525" s="6"/>
      <c r="K2525" s="6"/>
      <c r="L2525" s="6"/>
      <c r="M2525" s="6"/>
      <c r="N2525" s="6"/>
      <c r="O2525" s="7"/>
      <c r="P2525" s="12"/>
      <c r="Q2525" s="6"/>
      <c r="R2525" s="7"/>
      <c r="S2525" s="6"/>
      <c r="T2525" s="6"/>
      <c r="U2525" s="7"/>
      <c r="V2525" s="6"/>
      <c r="W2525" s="6"/>
      <c r="X2525" s="6"/>
      <c r="Y2525" s="6"/>
      <c r="Z2525" s="6"/>
      <c r="AA2525" s="7"/>
      <c r="AB2525" s="6"/>
      <c r="AC2525" s="6"/>
      <c r="AD2525" s="6"/>
      <c r="AE2525" s="12"/>
      <c r="AF2525" s="12"/>
      <c r="AG2525" s="12"/>
      <c r="AH2525" s="12"/>
      <c r="AI2525" s="6"/>
      <c r="AJ2525" s="12"/>
      <c r="AK2525" s="1"/>
      <c r="AL2525" s="12"/>
      <c r="AM2525" s="12"/>
      <c r="AN2525" s="1"/>
      <c r="AO2525" s="6"/>
    </row>
    <row r="2526" spans="1:41" ht="15" x14ac:dyDescent="0.25">
      <c r="A2526" s="1"/>
      <c r="B2526" s="1"/>
      <c r="C2526" s="1"/>
      <c r="D2526" s="1"/>
      <c r="E2526" s="6"/>
      <c r="F2526" s="1"/>
      <c r="G2526" s="6"/>
      <c r="H2526" s="6"/>
      <c r="I2526" s="6"/>
      <c r="J2526" s="6"/>
      <c r="K2526" s="6"/>
      <c r="L2526" s="6"/>
      <c r="M2526" s="6"/>
      <c r="N2526" s="6"/>
      <c r="O2526" s="7"/>
      <c r="P2526" s="6"/>
      <c r="Q2526" s="6"/>
      <c r="R2526" s="7"/>
      <c r="S2526" s="6"/>
      <c r="T2526" s="6"/>
      <c r="U2526" s="7"/>
      <c r="V2526" s="6"/>
      <c r="W2526" s="6"/>
      <c r="X2526" s="6"/>
      <c r="Y2526" s="6"/>
      <c r="Z2526" s="6"/>
      <c r="AA2526" s="7"/>
      <c r="AB2526" s="6"/>
      <c r="AC2526" s="6"/>
      <c r="AD2526" s="6"/>
      <c r="AE2526" s="12"/>
      <c r="AF2526" s="12"/>
      <c r="AG2526" s="12"/>
      <c r="AH2526" s="12"/>
      <c r="AI2526" s="6"/>
      <c r="AJ2526" s="12"/>
      <c r="AK2526" s="1"/>
      <c r="AL2526" s="12"/>
      <c r="AM2526" s="12"/>
      <c r="AN2526" s="1"/>
      <c r="AO2526" s="6"/>
    </row>
    <row r="2527" spans="1:41" ht="15" x14ac:dyDescent="0.25">
      <c r="A2527" s="1"/>
      <c r="B2527" s="1"/>
      <c r="C2527" s="1"/>
      <c r="D2527" s="1"/>
      <c r="E2527" s="6"/>
      <c r="F2527" s="1"/>
      <c r="G2527" s="6"/>
      <c r="H2527" s="6"/>
      <c r="I2527" s="6"/>
      <c r="J2527" s="6"/>
      <c r="K2527" s="6"/>
      <c r="L2527" s="6"/>
      <c r="M2527" s="6"/>
      <c r="N2527" s="6"/>
      <c r="O2527" s="7"/>
      <c r="P2527" s="6"/>
      <c r="Q2527" s="6"/>
      <c r="R2527" s="7"/>
      <c r="S2527" s="6"/>
      <c r="T2527" s="6"/>
      <c r="U2527" s="7"/>
      <c r="V2527" s="6"/>
      <c r="W2527" s="6"/>
      <c r="X2527" s="6"/>
      <c r="Y2527" s="6"/>
      <c r="Z2527" s="6"/>
      <c r="AA2527" s="7"/>
      <c r="AB2527" s="6"/>
      <c r="AC2527" s="6"/>
      <c r="AD2527" s="6"/>
      <c r="AE2527" s="12"/>
      <c r="AF2527" s="6"/>
      <c r="AG2527" s="12"/>
      <c r="AH2527" s="6"/>
      <c r="AI2527" s="6"/>
      <c r="AJ2527" s="12"/>
      <c r="AK2527" s="24"/>
      <c r="AL2527" s="25"/>
      <c r="AM2527" s="12"/>
      <c r="AN2527" s="1"/>
      <c r="AO2527" s="6"/>
    </row>
    <row r="2528" spans="1:41" ht="15" x14ac:dyDescent="0.25">
      <c r="A2528" s="1"/>
      <c r="B2528" s="1"/>
      <c r="C2528" s="1"/>
      <c r="D2528" s="1"/>
      <c r="E2528" s="6"/>
      <c r="F2528" s="1"/>
      <c r="G2528" s="6"/>
      <c r="H2528" s="6"/>
      <c r="I2528" s="6"/>
      <c r="J2528" s="6"/>
      <c r="K2528" s="6"/>
      <c r="L2528" s="6"/>
      <c r="M2528" s="6"/>
      <c r="N2528" s="6"/>
      <c r="O2528" s="7"/>
      <c r="P2528" s="12"/>
      <c r="Q2528" s="6"/>
      <c r="R2528" s="7"/>
      <c r="S2528" s="6"/>
      <c r="T2528" s="6"/>
      <c r="U2528" s="7"/>
      <c r="V2528" s="6"/>
      <c r="W2528" s="6"/>
      <c r="X2528" s="6"/>
      <c r="Y2528" s="6"/>
      <c r="Z2528" s="6"/>
      <c r="AA2528" s="7"/>
      <c r="AB2528" s="6"/>
      <c r="AC2528" s="6"/>
      <c r="AD2528" s="6"/>
      <c r="AE2528" s="12"/>
      <c r="AF2528" s="6"/>
      <c r="AG2528" s="12"/>
      <c r="AH2528" s="6"/>
      <c r="AI2528" s="6"/>
      <c r="AJ2528" s="12"/>
      <c r="AK2528" s="24"/>
      <c r="AL2528" s="25"/>
      <c r="AM2528" s="12"/>
      <c r="AN2528" s="1"/>
      <c r="AO2528" s="6"/>
    </row>
    <row r="2529" spans="1:41" ht="15" x14ac:dyDescent="0.25">
      <c r="A2529" s="1"/>
      <c r="B2529" s="1"/>
      <c r="C2529" s="1"/>
      <c r="D2529" s="1"/>
      <c r="E2529" s="6"/>
      <c r="F2529" s="1"/>
      <c r="G2529" s="6"/>
      <c r="H2529" s="6"/>
      <c r="I2529" s="6"/>
      <c r="J2529" s="6"/>
      <c r="K2529" s="6"/>
      <c r="L2529" s="6"/>
      <c r="M2529" s="6"/>
      <c r="N2529" s="6"/>
      <c r="O2529" s="7"/>
      <c r="P2529" s="6"/>
      <c r="Q2529" s="7"/>
      <c r="R2529" s="6"/>
      <c r="S2529" s="12"/>
      <c r="T2529" s="6"/>
      <c r="U2529" s="6"/>
      <c r="V2529" s="7"/>
      <c r="W2529" s="7"/>
      <c r="X2529" s="6"/>
      <c r="Y2529" s="6"/>
      <c r="Z2529" s="6"/>
      <c r="AA2529" s="1"/>
      <c r="AB2529" s="12"/>
      <c r="AC2529" s="12"/>
      <c r="AD2529" s="12"/>
      <c r="AE2529" s="12"/>
      <c r="AF2529" s="12"/>
      <c r="AG2529" s="12"/>
      <c r="AH2529" s="12"/>
      <c r="AI2529" s="6"/>
      <c r="AJ2529" s="12"/>
      <c r="AK2529" s="12"/>
      <c r="AL2529" s="12"/>
      <c r="AM2529" s="12"/>
      <c r="AN2529" s="1"/>
      <c r="AO2529" s="6"/>
    </row>
    <row r="2530" spans="1:41" ht="15" x14ac:dyDescent="0.25">
      <c r="A2530" s="1"/>
      <c r="B2530" s="1"/>
      <c r="C2530" s="1"/>
      <c r="D2530" s="1"/>
      <c r="E2530" s="6"/>
      <c r="F2530" s="1"/>
      <c r="G2530" s="6"/>
      <c r="H2530" s="6"/>
      <c r="I2530" s="6"/>
      <c r="J2530" s="6"/>
      <c r="K2530" s="6"/>
      <c r="L2530" s="6"/>
      <c r="M2530" s="6"/>
      <c r="N2530" s="6"/>
      <c r="O2530" s="7"/>
      <c r="P2530" s="6"/>
      <c r="Q2530" s="6"/>
      <c r="R2530" s="7"/>
      <c r="S2530" s="6"/>
      <c r="T2530" s="6"/>
      <c r="U2530" s="7"/>
      <c r="V2530" s="6"/>
      <c r="W2530" s="6"/>
      <c r="X2530" s="6"/>
      <c r="Y2530" s="6"/>
      <c r="Z2530" s="6"/>
      <c r="AA2530" s="7"/>
      <c r="AB2530" s="6"/>
      <c r="AC2530" s="6"/>
      <c r="AD2530" s="6"/>
      <c r="AE2530" s="12"/>
      <c r="AF2530" s="12"/>
      <c r="AG2530" s="12"/>
      <c r="AH2530" s="12"/>
      <c r="AI2530" s="6"/>
      <c r="AJ2530" s="12"/>
      <c r="AK2530" s="1"/>
      <c r="AL2530" s="12"/>
      <c r="AM2530" s="12"/>
      <c r="AN2530" s="1"/>
      <c r="AO2530" s="6"/>
    </row>
    <row r="2531" spans="1:41" ht="15" x14ac:dyDescent="0.25">
      <c r="A2531" s="1"/>
      <c r="B2531" s="1"/>
      <c r="C2531" s="1"/>
      <c r="D2531" s="1"/>
      <c r="E2531" s="6"/>
      <c r="F2531" s="1"/>
      <c r="G2531" s="6"/>
      <c r="H2531" s="6"/>
      <c r="I2531" s="6"/>
      <c r="J2531" s="6"/>
      <c r="K2531" s="12"/>
      <c r="L2531" s="12"/>
      <c r="M2531" s="6"/>
      <c r="N2531" s="6"/>
      <c r="O2531" s="7"/>
      <c r="P2531" s="6"/>
      <c r="Q2531" s="7"/>
      <c r="R2531" s="6"/>
      <c r="S2531" s="6"/>
      <c r="T2531" s="6"/>
      <c r="U2531" s="6"/>
      <c r="V2531" s="7"/>
      <c r="W2531" s="7"/>
      <c r="X2531" s="6"/>
      <c r="Y2531" s="6"/>
      <c r="Z2531" s="6"/>
      <c r="AA2531" s="1"/>
      <c r="AB2531" s="12"/>
      <c r="AC2531" s="12"/>
      <c r="AD2531" s="12"/>
      <c r="AE2531" s="12"/>
      <c r="AF2531" s="12"/>
      <c r="AG2531" s="12"/>
      <c r="AH2531" s="12"/>
      <c r="AI2531" s="6"/>
      <c r="AJ2531" s="12"/>
      <c r="AK2531" s="12"/>
      <c r="AL2531" s="12"/>
      <c r="AM2531" s="12"/>
      <c r="AN2531" s="1"/>
      <c r="AO2531" s="12"/>
    </row>
    <row r="2532" spans="1:41" ht="15" x14ac:dyDescent="0.25">
      <c r="A2532" s="1"/>
      <c r="B2532" s="1"/>
      <c r="C2532" s="1"/>
      <c r="D2532" s="1"/>
      <c r="E2532" s="6"/>
      <c r="F2532" s="1"/>
      <c r="G2532" s="6"/>
      <c r="H2532" s="6"/>
      <c r="I2532" s="6"/>
      <c r="J2532" s="6"/>
      <c r="K2532" s="6"/>
      <c r="L2532" s="6"/>
      <c r="M2532" s="6"/>
      <c r="N2532" s="6"/>
      <c r="O2532" s="7"/>
      <c r="P2532" s="6"/>
      <c r="Q2532" s="6"/>
      <c r="R2532" s="7"/>
      <c r="S2532" s="6"/>
      <c r="T2532" s="6"/>
      <c r="U2532" s="7"/>
      <c r="V2532" s="6"/>
      <c r="W2532" s="6"/>
      <c r="X2532" s="6"/>
      <c r="Y2532" s="6"/>
      <c r="Z2532" s="6"/>
      <c r="AA2532" s="7"/>
      <c r="AB2532" s="6"/>
      <c r="AC2532" s="6"/>
      <c r="AD2532" s="6"/>
      <c r="AE2532" s="12"/>
      <c r="AF2532" s="12"/>
      <c r="AG2532" s="12"/>
      <c r="AH2532" s="12"/>
      <c r="AI2532" s="6"/>
      <c r="AJ2532" s="12"/>
      <c r="AK2532" s="1"/>
      <c r="AL2532" s="12"/>
      <c r="AM2532" s="12"/>
      <c r="AN2532" s="1"/>
      <c r="AO2532" s="6"/>
    </row>
    <row r="2533" spans="1:41" ht="15" x14ac:dyDescent="0.25">
      <c r="A2533" s="1"/>
      <c r="B2533" s="1"/>
      <c r="C2533" s="1"/>
      <c r="D2533" s="1"/>
      <c r="E2533" s="6"/>
      <c r="F2533" s="1"/>
      <c r="G2533" s="6"/>
      <c r="H2533" s="6"/>
      <c r="I2533" s="6"/>
      <c r="J2533" s="6"/>
      <c r="K2533" s="6"/>
      <c r="L2533" s="6"/>
      <c r="M2533" s="6"/>
      <c r="N2533" s="6"/>
      <c r="O2533" s="7"/>
      <c r="P2533" s="6"/>
      <c r="Q2533" s="6"/>
      <c r="R2533" s="7"/>
      <c r="S2533" s="6"/>
      <c r="T2533" s="6"/>
      <c r="U2533" s="7"/>
      <c r="V2533" s="6"/>
      <c r="W2533" s="6"/>
      <c r="X2533" s="12"/>
      <c r="Y2533" s="6"/>
      <c r="Z2533" s="6"/>
      <c r="AA2533" s="7"/>
      <c r="AB2533" s="6"/>
      <c r="AC2533" s="6"/>
      <c r="AD2533" s="6"/>
      <c r="AE2533" s="12"/>
      <c r="AF2533" s="6"/>
      <c r="AG2533" s="12"/>
      <c r="AH2533" s="6"/>
      <c r="AI2533" s="6"/>
      <c r="AJ2533" s="12"/>
      <c r="AK2533" s="24"/>
      <c r="AL2533" s="25"/>
      <c r="AM2533" s="12"/>
      <c r="AN2533" s="1"/>
      <c r="AO2533" s="6"/>
    </row>
    <row r="2534" spans="1:41" ht="15" x14ac:dyDescent="0.25">
      <c r="A2534" s="1"/>
      <c r="B2534" s="1"/>
      <c r="C2534" s="1"/>
      <c r="D2534" s="1"/>
      <c r="E2534" s="6"/>
      <c r="F2534" s="1"/>
      <c r="G2534" s="6"/>
      <c r="H2534" s="6"/>
      <c r="I2534" s="6"/>
      <c r="J2534" s="6"/>
      <c r="K2534" s="6"/>
      <c r="L2534" s="6"/>
      <c r="M2534" s="6"/>
      <c r="N2534" s="6"/>
      <c r="O2534" s="7"/>
      <c r="P2534" s="6"/>
      <c r="Q2534" s="6"/>
      <c r="R2534" s="7"/>
      <c r="S2534" s="6"/>
      <c r="T2534" s="6"/>
      <c r="U2534" s="7"/>
      <c r="V2534" s="6"/>
      <c r="W2534" s="6"/>
      <c r="X2534" s="6"/>
      <c r="Y2534" s="6"/>
      <c r="Z2534" s="6"/>
      <c r="AA2534" s="7"/>
      <c r="AB2534" s="6"/>
      <c r="AC2534" s="6"/>
      <c r="AD2534" s="6"/>
      <c r="AE2534" s="12"/>
      <c r="AF2534" s="6"/>
      <c r="AG2534" s="12"/>
      <c r="AH2534" s="6"/>
      <c r="AI2534" s="6"/>
      <c r="AJ2534" s="12"/>
      <c r="AK2534" s="24"/>
      <c r="AL2534" s="25"/>
      <c r="AM2534" s="12"/>
      <c r="AN2534" s="1"/>
      <c r="AO2534" s="6"/>
    </row>
    <row r="2535" spans="1:41" ht="15" x14ac:dyDescent="0.25">
      <c r="A2535" s="1"/>
      <c r="B2535" s="1"/>
      <c r="C2535" s="1"/>
      <c r="D2535" s="1"/>
      <c r="E2535" s="6"/>
      <c r="F2535" s="1"/>
      <c r="G2535" s="6"/>
      <c r="H2535" s="6"/>
      <c r="I2535" s="6"/>
      <c r="J2535" s="6"/>
      <c r="K2535" s="6"/>
      <c r="L2535" s="6"/>
      <c r="M2535" s="6"/>
      <c r="N2535" s="6"/>
      <c r="O2535" s="7"/>
      <c r="P2535" s="6"/>
      <c r="Q2535" s="6"/>
      <c r="R2535" s="7"/>
      <c r="S2535" s="6"/>
      <c r="T2535" s="6"/>
      <c r="U2535" s="7"/>
      <c r="V2535" s="6"/>
      <c r="W2535" s="6"/>
      <c r="X2535" s="6"/>
      <c r="Y2535" s="6"/>
      <c r="Z2535" s="6"/>
      <c r="AA2535" s="7"/>
      <c r="AB2535" s="6"/>
      <c r="AC2535" s="6"/>
      <c r="AD2535" s="6"/>
      <c r="AE2535" s="12"/>
      <c r="AF2535" s="6"/>
      <c r="AG2535" s="12"/>
      <c r="AH2535" s="6"/>
      <c r="AI2535" s="6"/>
      <c r="AJ2535" s="12"/>
      <c r="AK2535" s="24"/>
      <c r="AL2535" s="25"/>
      <c r="AM2535" s="12"/>
      <c r="AN2535" s="1"/>
      <c r="AO2535" s="6"/>
    </row>
    <row r="2536" spans="1:41" ht="15" x14ac:dyDescent="0.25">
      <c r="A2536" s="1"/>
      <c r="B2536" s="1"/>
      <c r="C2536" s="1"/>
      <c r="D2536" s="1"/>
      <c r="E2536" s="6"/>
      <c r="F2536" s="1"/>
      <c r="G2536" s="6"/>
      <c r="H2536" s="6"/>
      <c r="I2536" s="6"/>
      <c r="J2536" s="6"/>
      <c r="K2536" s="6"/>
      <c r="L2536" s="6"/>
      <c r="M2536" s="6"/>
      <c r="N2536" s="6"/>
      <c r="O2536" s="7"/>
      <c r="P2536" s="6"/>
      <c r="Q2536" s="7"/>
      <c r="R2536" s="6"/>
      <c r="S2536" s="6"/>
      <c r="T2536" s="6"/>
      <c r="U2536" s="6"/>
      <c r="V2536" s="7"/>
      <c r="W2536" s="6"/>
      <c r="X2536" s="6"/>
      <c r="Y2536" s="6"/>
      <c r="Z2536" s="6"/>
      <c r="AA2536" s="24"/>
      <c r="AB2536" s="25"/>
      <c r="AC2536" s="12"/>
      <c r="AD2536" s="12"/>
      <c r="AE2536" s="12"/>
      <c r="AF2536" s="6"/>
      <c r="AG2536" s="12"/>
      <c r="AH2536" s="6"/>
      <c r="AI2536" s="6"/>
      <c r="AJ2536" s="12"/>
      <c r="AK2536" s="12"/>
      <c r="AL2536" s="12"/>
      <c r="AM2536" s="12"/>
      <c r="AN2536" s="1"/>
      <c r="AO2536" s="6"/>
    </row>
    <row r="2537" spans="1:41" ht="15" x14ac:dyDescent="0.25">
      <c r="A2537" s="1"/>
      <c r="B2537" s="1"/>
      <c r="C2537" s="1"/>
      <c r="D2537" s="1"/>
      <c r="E2537" s="6"/>
      <c r="F2537" s="1"/>
      <c r="G2537" s="6"/>
      <c r="H2537" s="6"/>
      <c r="I2537" s="6"/>
      <c r="J2537" s="6"/>
      <c r="K2537" s="6"/>
      <c r="L2537" s="6"/>
      <c r="M2537" s="6"/>
      <c r="N2537" s="6"/>
      <c r="O2537" s="7"/>
      <c r="P2537" s="6"/>
      <c r="Q2537" s="7"/>
      <c r="R2537" s="6"/>
      <c r="S2537" s="6"/>
      <c r="T2537" s="6"/>
      <c r="U2537" s="6"/>
      <c r="V2537" s="7"/>
      <c r="W2537" s="6"/>
      <c r="X2537" s="6"/>
      <c r="Y2537" s="6"/>
      <c r="Z2537" s="6"/>
      <c r="AA2537" s="24"/>
      <c r="AB2537" s="25"/>
      <c r="AC2537" s="12"/>
      <c r="AD2537" s="12"/>
      <c r="AE2537" s="12"/>
      <c r="AF2537" s="6"/>
      <c r="AG2537" s="12"/>
      <c r="AH2537" s="6"/>
      <c r="AI2537" s="6"/>
      <c r="AJ2537" s="12"/>
      <c r="AK2537" s="12"/>
      <c r="AL2537" s="12"/>
      <c r="AM2537" s="12"/>
      <c r="AN2537" s="1"/>
      <c r="AO2537" s="6"/>
    </row>
    <row r="2538" spans="1:41" ht="15" x14ac:dyDescent="0.25">
      <c r="A2538" s="1"/>
      <c r="B2538" s="1"/>
      <c r="C2538" s="1"/>
      <c r="D2538" s="1"/>
      <c r="E2538" s="6"/>
      <c r="F2538" s="1"/>
      <c r="G2538" s="6"/>
      <c r="H2538" s="6"/>
      <c r="I2538" s="6"/>
      <c r="J2538" s="6"/>
      <c r="K2538" s="6"/>
      <c r="L2538" s="6"/>
      <c r="M2538" s="6"/>
      <c r="N2538" s="6"/>
      <c r="O2538" s="7"/>
      <c r="P2538" s="6"/>
      <c r="Q2538" s="7"/>
      <c r="R2538" s="6"/>
      <c r="S2538" s="12"/>
      <c r="T2538" s="6"/>
      <c r="U2538" s="6"/>
      <c r="V2538" s="7"/>
      <c r="W2538" s="6"/>
      <c r="X2538" s="6"/>
      <c r="Y2538" s="6"/>
      <c r="Z2538" s="6"/>
      <c r="AA2538" s="24"/>
      <c r="AB2538" s="25"/>
      <c r="AC2538" s="12"/>
      <c r="AD2538" s="12"/>
      <c r="AE2538" s="12"/>
      <c r="AF2538" s="6"/>
      <c r="AG2538" s="12"/>
      <c r="AH2538" s="6"/>
      <c r="AI2538" s="6"/>
      <c r="AJ2538" s="12"/>
      <c r="AK2538" s="12"/>
      <c r="AL2538" s="12"/>
      <c r="AM2538" s="12"/>
      <c r="AN2538" s="1"/>
      <c r="AO2538" s="6"/>
    </row>
    <row r="2539" spans="1:41" ht="15" x14ac:dyDescent="0.25">
      <c r="A2539" s="1"/>
      <c r="B2539" s="1"/>
      <c r="C2539" s="1"/>
      <c r="D2539" s="1"/>
      <c r="E2539" s="6"/>
      <c r="F2539" s="1"/>
      <c r="G2539" s="6"/>
      <c r="H2539" s="6"/>
      <c r="I2539" s="6"/>
      <c r="J2539" s="6"/>
      <c r="K2539" s="6"/>
      <c r="L2539" s="6"/>
      <c r="M2539" s="6"/>
      <c r="N2539" s="6"/>
      <c r="O2539" s="7"/>
      <c r="P2539" s="6"/>
      <c r="Q2539" s="7"/>
      <c r="R2539" s="6"/>
      <c r="S2539" s="6"/>
      <c r="T2539" s="6"/>
      <c r="U2539" s="6"/>
      <c r="V2539" s="7"/>
      <c r="W2539" s="7"/>
      <c r="X2539" s="6"/>
      <c r="Y2539" s="6"/>
      <c r="Z2539" s="6"/>
      <c r="AA2539" s="1"/>
      <c r="AB2539" s="12"/>
      <c r="AC2539" s="12"/>
      <c r="AD2539" s="12"/>
      <c r="AE2539" s="12"/>
      <c r="AF2539" s="12"/>
      <c r="AG2539" s="12"/>
      <c r="AH2539" s="12"/>
      <c r="AI2539" s="6"/>
      <c r="AJ2539" s="12"/>
      <c r="AK2539" s="12"/>
      <c r="AL2539" s="12"/>
      <c r="AM2539" s="12"/>
      <c r="AN2539" s="1"/>
      <c r="AO2539" s="6"/>
    </row>
    <row r="2540" spans="1:41" ht="15" x14ac:dyDescent="0.25">
      <c r="A2540" s="1"/>
      <c r="B2540" s="1"/>
      <c r="C2540" s="1"/>
      <c r="D2540" s="1"/>
      <c r="E2540" s="6"/>
      <c r="F2540" s="1"/>
      <c r="G2540" s="6"/>
      <c r="H2540" s="6"/>
      <c r="I2540" s="6"/>
      <c r="J2540" s="6"/>
      <c r="K2540" s="6"/>
      <c r="L2540" s="6"/>
      <c r="M2540" s="6"/>
      <c r="N2540" s="6"/>
      <c r="O2540" s="12"/>
      <c r="P2540" s="12"/>
      <c r="Q2540" s="7"/>
      <c r="R2540" s="6"/>
      <c r="S2540" s="12"/>
      <c r="T2540" s="6"/>
      <c r="U2540" s="6"/>
      <c r="V2540" s="7"/>
      <c r="W2540" s="7"/>
      <c r="X2540" s="6"/>
      <c r="Y2540" s="6"/>
      <c r="Z2540" s="6"/>
      <c r="AA2540" s="24"/>
      <c r="AB2540" s="25"/>
      <c r="AC2540" s="12"/>
      <c r="AD2540" s="12"/>
      <c r="AE2540" s="12"/>
      <c r="AF2540" s="12"/>
      <c r="AG2540" s="12"/>
      <c r="AH2540" s="12"/>
      <c r="AI2540" s="6"/>
      <c r="AJ2540" s="12"/>
      <c r="AK2540" s="12"/>
      <c r="AL2540" s="12"/>
      <c r="AM2540" s="12"/>
      <c r="AN2540" s="1"/>
      <c r="AO2540" s="6"/>
    </row>
    <row r="2541" spans="1:41" ht="15" x14ac:dyDescent="0.25">
      <c r="A2541" s="1"/>
      <c r="B2541" s="1"/>
      <c r="C2541" s="1"/>
      <c r="D2541" s="1"/>
      <c r="E2541" s="6"/>
      <c r="F2541" s="1"/>
      <c r="G2541" s="6"/>
      <c r="H2541" s="6"/>
      <c r="I2541" s="6"/>
      <c r="J2541" s="6"/>
      <c r="K2541" s="6"/>
      <c r="L2541" s="6"/>
      <c r="M2541" s="6"/>
      <c r="N2541" s="6"/>
      <c r="O2541" s="7"/>
      <c r="P2541" s="6"/>
      <c r="Q2541" s="6"/>
      <c r="R2541" s="7"/>
      <c r="S2541" s="6"/>
      <c r="T2541" s="6"/>
      <c r="U2541" s="7"/>
      <c r="V2541" s="6"/>
      <c r="W2541" s="6"/>
      <c r="X2541" s="6"/>
      <c r="Y2541" s="6"/>
      <c r="Z2541" s="6"/>
      <c r="AA2541" s="7"/>
      <c r="AB2541" s="6"/>
      <c r="AC2541" s="6"/>
      <c r="AD2541" s="6"/>
      <c r="AE2541" s="12"/>
      <c r="AF2541" s="12"/>
      <c r="AG2541" s="12"/>
      <c r="AH2541" s="12"/>
      <c r="AI2541" s="6"/>
      <c r="AJ2541" s="12"/>
      <c r="AK2541" s="1"/>
      <c r="AL2541" s="12"/>
      <c r="AM2541" s="12"/>
      <c r="AN2541" s="1"/>
      <c r="AO2541" s="6"/>
    </row>
    <row r="2542" spans="1:41" ht="15" x14ac:dyDescent="0.25">
      <c r="A2542" s="1"/>
      <c r="B2542" s="1"/>
      <c r="C2542" s="1"/>
      <c r="D2542" s="1"/>
      <c r="E2542" s="6"/>
      <c r="F2542" s="1"/>
      <c r="G2542" s="6"/>
      <c r="H2542" s="6"/>
      <c r="I2542" s="6"/>
      <c r="J2542" s="6"/>
      <c r="K2542" s="6"/>
      <c r="L2542" s="6"/>
      <c r="M2542" s="6"/>
      <c r="N2542" s="6"/>
      <c r="O2542" s="7"/>
      <c r="P2542" s="12"/>
      <c r="Q2542" s="6"/>
      <c r="R2542" s="7"/>
      <c r="S2542" s="6"/>
      <c r="T2542" s="6"/>
      <c r="U2542" s="7"/>
      <c r="V2542" s="6"/>
      <c r="W2542" s="6"/>
      <c r="X2542" s="6"/>
      <c r="Y2542" s="6"/>
      <c r="Z2542" s="6"/>
      <c r="AA2542" s="7"/>
      <c r="AB2542" s="6"/>
      <c r="AC2542" s="6"/>
      <c r="AD2542" s="6"/>
      <c r="AE2542" s="12"/>
      <c r="AF2542" s="12"/>
      <c r="AG2542" s="12"/>
      <c r="AH2542" s="12"/>
      <c r="AI2542" s="6"/>
      <c r="AJ2542" s="12"/>
      <c r="AK2542" s="1"/>
      <c r="AL2542" s="12"/>
      <c r="AM2542" s="12"/>
      <c r="AN2542" s="1"/>
      <c r="AO2542" s="6"/>
    </row>
    <row r="2543" spans="1:41" ht="15" x14ac:dyDescent="0.25">
      <c r="A2543" s="1"/>
      <c r="B2543" s="1"/>
      <c r="C2543" s="1"/>
      <c r="D2543" s="1"/>
      <c r="E2543" s="6"/>
      <c r="F2543" s="1"/>
      <c r="G2543" s="6"/>
      <c r="H2543" s="6"/>
      <c r="I2543" s="6"/>
      <c r="J2543" s="6"/>
      <c r="K2543" s="6"/>
      <c r="L2543" s="6"/>
      <c r="M2543" s="6"/>
      <c r="N2543" s="6"/>
      <c r="O2543" s="7"/>
      <c r="P2543" s="6"/>
      <c r="Q2543" s="7"/>
      <c r="R2543" s="6"/>
      <c r="S2543" s="6"/>
      <c r="T2543" s="6"/>
      <c r="U2543" s="6"/>
      <c r="V2543" s="7"/>
      <c r="W2543" s="6"/>
      <c r="X2543" s="6"/>
      <c r="Y2543" s="6"/>
      <c r="Z2543" s="6"/>
      <c r="AA2543" s="1"/>
      <c r="AB2543" s="12"/>
      <c r="AC2543" s="12"/>
      <c r="AD2543" s="12"/>
      <c r="AE2543" s="12"/>
      <c r="AF2543" s="6"/>
      <c r="AG2543" s="12"/>
      <c r="AH2543" s="6"/>
      <c r="AI2543" s="6"/>
      <c r="AJ2543" s="12"/>
      <c r="AK2543" s="12"/>
      <c r="AL2543" s="12"/>
      <c r="AM2543" s="12"/>
      <c r="AN2543" s="1"/>
      <c r="AO2543" s="6"/>
    </row>
    <row r="2544" spans="1:41" ht="15" x14ac:dyDescent="0.25">
      <c r="A2544" s="1"/>
      <c r="B2544" s="1"/>
      <c r="C2544" s="1"/>
      <c r="D2544" s="1"/>
      <c r="E2544" s="6"/>
      <c r="F2544" s="1"/>
      <c r="G2544" s="6"/>
      <c r="H2544" s="6"/>
      <c r="I2544" s="6"/>
      <c r="J2544" s="6"/>
      <c r="K2544" s="6"/>
      <c r="L2544" s="6"/>
      <c r="M2544" s="6"/>
      <c r="N2544" s="6"/>
      <c r="O2544" s="7"/>
      <c r="P2544" s="6"/>
      <c r="Q2544" s="6"/>
      <c r="R2544" s="12"/>
      <c r="S2544" s="12"/>
      <c r="T2544" s="12"/>
      <c r="U2544" s="7"/>
      <c r="V2544" s="6"/>
      <c r="W2544" s="6"/>
      <c r="X2544" s="12"/>
      <c r="Y2544" s="6"/>
      <c r="Z2544" s="6"/>
      <c r="AA2544" s="7"/>
      <c r="AB2544" s="6"/>
      <c r="AC2544" s="6"/>
      <c r="AD2544" s="6"/>
      <c r="AE2544" s="12"/>
      <c r="AF2544" s="12"/>
      <c r="AG2544" s="12"/>
      <c r="AH2544" s="12"/>
      <c r="AI2544" s="6"/>
      <c r="AJ2544" s="12"/>
      <c r="AK2544" s="1"/>
      <c r="AL2544" s="12"/>
      <c r="AM2544" s="12"/>
      <c r="AN2544" s="1"/>
      <c r="AO2544" s="6"/>
    </row>
    <row r="2545" spans="1:41" ht="15" x14ac:dyDescent="0.25">
      <c r="A2545" s="1"/>
      <c r="B2545" s="1"/>
      <c r="C2545" s="1"/>
      <c r="D2545" s="1"/>
      <c r="E2545" s="6"/>
      <c r="F2545" s="1"/>
      <c r="G2545" s="6"/>
      <c r="H2545" s="6"/>
      <c r="I2545" s="6"/>
      <c r="J2545" s="6"/>
      <c r="K2545" s="6"/>
      <c r="L2545" s="6"/>
      <c r="M2545" s="6"/>
      <c r="N2545" s="6"/>
      <c r="O2545" s="7"/>
      <c r="P2545" s="6"/>
      <c r="Q2545" s="6"/>
      <c r="R2545" s="7"/>
      <c r="S2545" s="6"/>
      <c r="T2545" s="6"/>
      <c r="U2545" s="7"/>
      <c r="V2545" s="6"/>
      <c r="W2545" s="6"/>
      <c r="X2545" s="12"/>
      <c r="Y2545" s="6"/>
      <c r="Z2545" s="6"/>
      <c r="AA2545" s="7"/>
      <c r="AB2545" s="6"/>
      <c r="AC2545" s="6"/>
      <c r="AD2545" s="6"/>
      <c r="AE2545" s="12"/>
      <c r="AF2545" s="6"/>
      <c r="AG2545" s="12"/>
      <c r="AH2545" s="6"/>
      <c r="AI2545" s="6"/>
      <c r="AJ2545" s="12"/>
      <c r="AK2545" s="24"/>
      <c r="AL2545" s="25"/>
      <c r="AM2545" s="12"/>
      <c r="AN2545" s="1"/>
      <c r="AO2545" s="6"/>
    </row>
    <row r="2546" spans="1:41" ht="15" x14ac:dyDescent="0.25">
      <c r="A2546" s="1"/>
      <c r="B2546" s="1"/>
      <c r="C2546" s="1"/>
      <c r="D2546" s="1"/>
      <c r="E2546" s="6"/>
      <c r="F2546" s="1"/>
      <c r="G2546" s="6"/>
      <c r="H2546" s="6"/>
      <c r="I2546" s="6"/>
      <c r="J2546" s="6"/>
      <c r="K2546" s="6"/>
      <c r="L2546" s="6"/>
      <c r="M2546" s="6"/>
      <c r="N2546" s="6"/>
      <c r="O2546" s="7"/>
      <c r="P2546" s="6"/>
      <c r="Q2546" s="7"/>
      <c r="R2546" s="6"/>
      <c r="S2546" s="6"/>
      <c r="T2546" s="6"/>
      <c r="U2546" s="6"/>
      <c r="V2546" s="7"/>
      <c r="W2546" s="6"/>
      <c r="X2546" s="6"/>
      <c r="Y2546" s="6"/>
      <c r="Z2546" s="6"/>
      <c r="AA2546" s="1"/>
      <c r="AB2546" s="12"/>
      <c r="AC2546" s="12"/>
      <c r="AD2546" s="12"/>
      <c r="AE2546" s="12"/>
      <c r="AF2546" s="6"/>
      <c r="AG2546" s="12"/>
      <c r="AH2546" s="6"/>
      <c r="AI2546" s="6"/>
      <c r="AJ2546" s="12"/>
      <c r="AK2546" s="12"/>
      <c r="AL2546" s="12"/>
      <c r="AM2546" s="12"/>
      <c r="AN2546" s="1"/>
      <c r="AO2546" s="6"/>
    </row>
    <row r="2547" spans="1:41" ht="15" x14ac:dyDescent="0.25">
      <c r="A2547" s="1"/>
      <c r="B2547" s="1"/>
      <c r="C2547" s="1"/>
      <c r="D2547" s="1"/>
      <c r="E2547" s="6"/>
      <c r="F2547" s="1"/>
      <c r="G2547" s="6"/>
      <c r="H2547" s="6"/>
      <c r="I2547" s="6"/>
      <c r="J2547" s="6"/>
      <c r="K2547" s="6"/>
      <c r="L2547" s="6"/>
      <c r="M2547" s="6"/>
      <c r="N2547" s="6"/>
      <c r="O2547" s="7"/>
      <c r="P2547" s="12"/>
      <c r="Q2547" s="6"/>
      <c r="R2547" s="7"/>
      <c r="S2547" s="6"/>
      <c r="T2547" s="6"/>
      <c r="U2547" s="7"/>
      <c r="V2547" s="6"/>
      <c r="W2547" s="6"/>
      <c r="X2547" s="12"/>
      <c r="Y2547" s="6"/>
      <c r="Z2547" s="6"/>
      <c r="AA2547" s="7"/>
      <c r="AB2547" s="6"/>
      <c r="AC2547" s="6"/>
      <c r="AD2547" s="6"/>
      <c r="AE2547" s="12"/>
      <c r="AF2547" s="12"/>
      <c r="AG2547" s="12"/>
      <c r="AH2547" s="12"/>
      <c r="AI2547" s="6"/>
      <c r="AJ2547" s="12"/>
      <c r="AK2547" s="1"/>
      <c r="AL2547" s="12"/>
      <c r="AM2547" s="12"/>
      <c r="AN2547" s="1"/>
      <c r="AO2547" s="6"/>
    </row>
    <row r="2548" spans="1:41" ht="15" x14ac:dyDescent="0.25">
      <c r="A2548" s="1"/>
      <c r="B2548" s="1"/>
      <c r="C2548" s="1"/>
      <c r="D2548" s="1"/>
      <c r="E2548" s="6"/>
      <c r="F2548" s="1"/>
      <c r="G2548" s="6"/>
      <c r="H2548" s="6"/>
      <c r="I2548" s="6"/>
      <c r="J2548" s="6"/>
      <c r="K2548" s="6"/>
      <c r="L2548" s="6"/>
      <c r="M2548" s="6"/>
      <c r="N2548" s="6"/>
      <c r="O2548" s="7"/>
      <c r="P2548" s="6"/>
      <c r="Q2548" s="6"/>
      <c r="R2548" s="7"/>
      <c r="S2548" s="6"/>
      <c r="T2548" s="6"/>
      <c r="U2548" s="7"/>
      <c r="V2548" s="6"/>
      <c r="W2548" s="6"/>
      <c r="X2548" s="12"/>
      <c r="Y2548" s="6"/>
      <c r="Z2548" s="6"/>
      <c r="AA2548" s="7"/>
      <c r="AB2548" s="6"/>
      <c r="AC2548" s="6"/>
      <c r="AD2548" s="6"/>
      <c r="AE2548" s="12"/>
      <c r="AF2548" s="6"/>
      <c r="AG2548" s="12"/>
      <c r="AH2548" s="6"/>
      <c r="AI2548" s="6"/>
      <c r="AJ2548" s="12"/>
      <c r="AK2548" s="24"/>
      <c r="AL2548" s="25"/>
      <c r="AM2548" s="12"/>
      <c r="AN2548" s="1"/>
      <c r="AO2548" s="6"/>
    </row>
    <row r="2549" spans="1:41" ht="15" x14ac:dyDescent="0.25">
      <c r="A2549" s="1"/>
      <c r="B2549" s="1"/>
      <c r="C2549" s="1"/>
      <c r="D2549" s="1"/>
      <c r="E2549" s="6"/>
      <c r="F2549" s="1"/>
      <c r="G2549" s="6"/>
      <c r="H2549" s="6"/>
      <c r="I2549" s="6"/>
      <c r="J2549" s="6"/>
      <c r="K2549" s="6"/>
      <c r="L2549" s="6"/>
      <c r="M2549" s="6"/>
      <c r="N2549" s="6"/>
      <c r="O2549" s="7"/>
      <c r="P2549" s="6"/>
      <c r="Q2549" s="7"/>
      <c r="R2549" s="6"/>
      <c r="S2549" s="6"/>
      <c r="T2549" s="6"/>
      <c r="U2549" s="6"/>
      <c r="V2549" s="7"/>
      <c r="W2549" s="6"/>
      <c r="X2549" s="6"/>
      <c r="Y2549" s="6"/>
      <c r="Z2549" s="6"/>
      <c r="AA2549" s="24"/>
      <c r="AB2549" s="25"/>
      <c r="AC2549" s="12"/>
      <c r="AD2549" s="12"/>
      <c r="AE2549" s="12"/>
      <c r="AF2549" s="6"/>
      <c r="AG2549" s="12"/>
      <c r="AH2549" s="6"/>
      <c r="AI2549" s="6"/>
      <c r="AJ2549" s="12"/>
      <c r="AK2549" s="12"/>
      <c r="AL2549" s="12"/>
      <c r="AM2549" s="12"/>
      <c r="AN2549" s="1"/>
      <c r="AO2549" s="6"/>
    </row>
    <row r="2550" spans="1:41" ht="15" x14ac:dyDescent="0.25">
      <c r="A2550" s="1"/>
      <c r="B2550" s="1"/>
      <c r="C2550" s="1"/>
      <c r="D2550" s="1"/>
      <c r="E2550" s="6"/>
      <c r="F2550" s="1"/>
      <c r="G2550" s="6"/>
      <c r="H2550" s="6"/>
      <c r="I2550" s="6"/>
      <c r="J2550" s="6"/>
      <c r="K2550" s="6"/>
      <c r="L2550" s="6"/>
      <c r="M2550" s="6"/>
      <c r="N2550" s="6"/>
      <c r="O2550" s="7"/>
      <c r="P2550" s="6"/>
      <c r="Q2550" s="6"/>
      <c r="R2550" s="7"/>
      <c r="S2550" s="6"/>
      <c r="T2550" s="6"/>
      <c r="U2550" s="7"/>
      <c r="V2550" s="6"/>
      <c r="W2550" s="6"/>
      <c r="X2550" s="6"/>
      <c r="Y2550" s="6"/>
      <c r="Z2550" s="6"/>
      <c r="AA2550" s="7"/>
      <c r="AB2550" s="6"/>
      <c r="AC2550" s="6"/>
      <c r="AD2550" s="6"/>
      <c r="AE2550" s="12"/>
      <c r="AF2550" s="6"/>
      <c r="AG2550" s="12"/>
      <c r="AH2550" s="6"/>
      <c r="AI2550" s="6"/>
      <c r="AJ2550" s="12"/>
      <c r="AK2550" s="24"/>
      <c r="AL2550" s="25"/>
      <c r="AM2550" s="12"/>
      <c r="AN2550" s="1"/>
      <c r="AO2550" s="6"/>
    </row>
    <row r="2551" spans="1:41" ht="15" x14ac:dyDescent="0.25">
      <c r="A2551" s="1"/>
      <c r="B2551" s="1"/>
      <c r="C2551" s="1"/>
      <c r="D2551" s="1"/>
      <c r="E2551" s="6"/>
      <c r="F2551" s="1"/>
      <c r="G2551" s="6"/>
      <c r="H2551" s="6"/>
      <c r="I2551" s="6"/>
      <c r="J2551" s="6"/>
      <c r="K2551" s="6"/>
      <c r="L2551" s="6"/>
      <c r="M2551" s="6"/>
      <c r="N2551" s="6"/>
      <c r="O2551" s="7"/>
      <c r="P2551" s="6"/>
      <c r="Q2551" s="7"/>
      <c r="R2551" s="6"/>
      <c r="S2551" s="6"/>
      <c r="T2551" s="6"/>
      <c r="U2551" s="6"/>
      <c r="V2551" s="7"/>
      <c r="W2551" s="6"/>
      <c r="X2551" s="6"/>
      <c r="Y2551" s="6"/>
      <c r="Z2551" s="6"/>
      <c r="AA2551" s="24"/>
      <c r="AB2551" s="25"/>
      <c r="AC2551" s="12"/>
      <c r="AD2551" s="12"/>
      <c r="AE2551" s="12"/>
      <c r="AF2551" s="6"/>
      <c r="AG2551" s="12"/>
      <c r="AH2551" s="6"/>
      <c r="AI2551" s="6"/>
      <c r="AJ2551" s="12"/>
      <c r="AK2551" s="12"/>
      <c r="AL2551" s="12"/>
      <c r="AM2551" s="12"/>
      <c r="AN2551" s="1"/>
      <c r="AO2551" s="6"/>
    </row>
    <row r="2552" spans="1:41" ht="15" x14ac:dyDescent="0.25">
      <c r="A2552" s="1"/>
      <c r="B2552" s="1"/>
      <c r="C2552" s="1"/>
      <c r="D2552" s="1"/>
      <c r="E2552" s="6"/>
      <c r="F2552" s="1"/>
      <c r="G2552" s="6"/>
      <c r="H2552" s="6"/>
      <c r="I2552" s="6"/>
      <c r="J2552" s="6"/>
      <c r="K2552" s="6"/>
      <c r="L2552" s="6"/>
      <c r="M2552" s="6"/>
      <c r="N2552" s="6"/>
      <c r="O2552" s="7"/>
      <c r="P2552" s="6"/>
      <c r="Q2552" s="6"/>
      <c r="R2552" s="7"/>
      <c r="S2552" s="6"/>
      <c r="T2552" s="6"/>
      <c r="U2552" s="7"/>
      <c r="V2552" s="6"/>
      <c r="W2552" s="6"/>
      <c r="X2552" s="6"/>
      <c r="Y2552" s="6"/>
      <c r="Z2552" s="6"/>
      <c r="AA2552" s="7"/>
      <c r="AB2552" s="6"/>
      <c r="AC2552" s="6"/>
      <c r="AD2552" s="6"/>
      <c r="AE2552" s="12"/>
      <c r="AF2552" s="6"/>
      <c r="AG2552" s="12"/>
      <c r="AH2552" s="6"/>
      <c r="AI2552" s="6"/>
      <c r="AJ2552" s="12"/>
      <c r="AK2552" s="24"/>
      <c r="AL2552" s="25"/>
      <c r="AM2552" s="12"/>
      <c r="AN2552" s="1"/>
      <c r="AO2552" s="6"/>
    </row>
    <row r="2553" spans="1:41" ht="15" x14ac:dyDescent="0.25">
      <c r="A2553" s="1"/>
      <c r="B2553" s="1"/>
      <c r="C2553" s="1"/>
      <c r="D2553" s="1"/>
      <c r="E2553" s="6"/>
      <c r="F2553" s="1"/>
      <c r="G2553" s="6"/>
      <c r="H2553" s="6"/>
      <c r="I2553" s="6"/>
      <c r="J2553" s="6"/>
      <c r="K2553" s="6"/>
      <c r="L2553" s="6"/>
      <c r="M2553" s="6"/>
      <c r="N2553" s="6"/>
      <c r="O2553" s="7"/>
      <c r="P2553" s="6"/>
      <c r="Q2553" s="6"/>
      <c r="R2553" s="7"/>
      <c r="S2553" s="6"/>
      <c r="T2553" s="6"/>
      <c r="U2553" s="7"/>
      <c r="V2553" s="6"/>
      <c r="W2553" s="6"/>
      <c r="X2553" s="6"/>
      <c r="Y2553" s="6"/>
      <c r="Z2553" s="6"/>
      <c r="AA2553" s="7"/>
      <c r="AB2553" s="6"/>
      <c r="AC2553" s="6"/>
      <c r="AD2553" s="6"/>
      <c r="AE2553" s="12"/>
      <c r="AF2553" s="6"/>
      <c r="AG2553" s="12"/>
      <c r="AH2553" s="6"/>
      <c r="AI2553" s="6"/>
      <c r="AJ2553" s="12"/>
      <c r="AK2553" s="24"/>
      <c r="AL2553" s="25"/>
      <c r="AM2553" s="12"/>
      <c r="AN2553" s="1"/>
      <c r="AO2553" s="6"/>
    </row>
    <row r="2554" spans="1:41" ht="15" x14ac:dyDescent="0.25">
      <c r="A2554" s="1"/>
      <c r="B2554" s="1"/>
      <c r="C2554" s="1"/>
      <c r="D2554" s="1"/>
      <c r="E2554" s="6"/>
      <c r="F2554" s="1"/>
      <c r="G2554" s="6"/>
      <c r="H2554" s="6"/>
      <c r="I2554" s="6"/>
      <c r="J2554" s="6"/>
      <c r="K2554" s="6"/>
      <c r="L2554" s="6"/>
      <c r="M2554" s="6"/>
      <c r="N2554" s="6"/>
      <c r="O2554" s="7"/>
      <c r="P2554" s="6"/>
      <c r="Q2554" s="6"/>
      <c r="R2554" s="7"/>
      <c r="S2554" s="6"/>
      <c r="T2554" s="6"/>
      <c r="U2554" s="7"/>
      <c r="V2554" s="6"/>
      <c r="W2554" s="6"/>
      <c r="X2554" s="12"/>
      <c r="Y2554" s="6"/>
      <c r="Z2554" s="6"/>
      <c r="AA2554" s="7"/>
      <c r="AB2554" s="6"/>
      <c r="AC2554" s="6"/>
      <c r="AD2554" s="6"/>
      <c r="AE2554" s="12"/>
      <c r="AF2554" s="6"/>
      <c r="AG2554" s="12"/>
      <c r="AH2554" s="6"/>
      <c r="AI2554" s="6"/>
      <c r="AJ2554" s="12"/>
      <c r="AK2554" s="24"/>
      <c r="AL2554" s="25"/>
      <c r="AM2554" s="12"/>
      <c r="AN2554" s="1"/>
      <c r="AO2554" s="6"/>
    </row>
    <row r="2555" spans="1:41" ht="15" x14ac:dyDescent="0.25">
      <c r="A2555" s="1"/>
      <c r="B2555" s="1"/>
      <c r="C2555" s="1"/>
      <c r="D2555" s="1"/>
      <c r="E2555" s="6"/>
      <c r="F2555" s="1"/>
      <c r="G2555" s="6"/>
      <c r="H2555" s="6"/>
      <c r="I2555" s="6"/>
      <c r="J2555" s="6"/>
      <c r="K2555" s="6"/>
      <c r="L2555" s="6"/>
      <c r="M2555" s="6"/>
      <c r="N2555" s="6"/>
      <c r="O2555" s="7"/>
      <c r="P2555" s="6"/>
      <c r="Q2555" s="6"/>
      <c r="R2555" s="7"/>
      <c r="S2555" s="6"/>
      <c r="T2555" s="6"/>
      <c r="U2555" s="7"/>
      <c r="V2555" s="6"/>
      <c r="W2555" s="6"/>
      <c r="X2555" s="12"/>
      <c r="Y2555" s="6"/>
      <c r="Z2555" s="6"/>
      <c r="AA2555" s="7"/>
      <c r="AB2555" s="6"/>
      <c r="AC2555" s="6"/>
      <c r="AD2555" s="6"/>
      <c r="AE2555" s="12"/>
      <c r="AF2555" s="6"/>
      <c r="AG2555" s="12"/>
      <c r="AH2555" s="6"/>
      <c r="AI2555" s="6"/>
      <c r="AJ2555" s="12"/>
      <c r="AK2555" s="1"/>
      <c r="AL2555" s="12"/>
      <c r="AM2555" s="12"/>
      <c r="AN2555" s="1"/>
      <c r="AO2555" s="6"/>
    </row>
    <row r="2556" spans="1:41" ht="15" x14ac:dyDescent="0.25">
      <c r="A2556" s="1"/>
      <c r="B2556" s="1"/>
      <c r="C2556" s="1"/>
      <c r="D2556" s="1"/>
      <c r="E2556" s="6"/>
      <c r="F2556" s="1"/>
      <c r="G2556" s="6"/>
      <c r="H2556" s="6"/>
      <c r="I2556" s="6"/>
      <c r="J2556" s="6"/>
      <c r="K2556" s="6"/>
      <c r="L2556" s="6"/>
      <c r="M2556" s="6"/>
      <c r="N2556" s="6"/>
      <c r="O2556" s="7"/>
      <c r="P2556" s="6"/>
      <c r="Q2556" s="6"/>
      <c r="R2556" s="7"/>
      <c r="S2556" s="6"/>
      <c r="T2556" s="6"/>
      <c r="U2556" s="7"/>
      <c r="V2556" s="6"/>
      <c r="W2556" s="6"/>
      <c r="X2556" s="12"/>
      <c r="Y2556" s="6"/>
      <c r="Z2556" s="6"/>
      <c r="AA2556" s="7"/>
      <c r="AB2556" s="6"/>
      <c r="AC2556" s="6"/>
      <c r="AD2556" s="6"/>
      <c r="AE2556" s="12"/>
      <c r="AF2556" s="12"/>
      <c r="AG2556" s="12"/>
      <c r="AH2556" s="12"/>
      <c r="AI2556" s="6"/>
      <c r="AJ2556" s="12"/>
      <c r="AK2556" s="1"/>
      <c r="AL2556" s="12"/>
      <c r="AM2556" s="12"/>
      <c r="AN2556" s="1"/>
      <c r="AO2556" s="6"/>
    </row>
    <row r="2557" spans="1:41" ht="15" x14ac:dyDescent="0.25">
      <c r="A2557" s="1"/>
      <c r="B2557" s="1"/>
      <c r="C2557" s="1"/>
      <c r="D2557" s="1"/>
      <c r="E2557" s="6"/>
      <c r="F2557" s="1"/>
      <c r="G2557" s="6"/>
      <c r="H2557" s="6"/>
      <c r="I2557" s="6"/>
      <c r="J2557" s="6"/>
      <c r="K2557" s="6"/>
      <c r="L2557" s="6"/>
      <c r="M2557" s="6"/>
      <c r="N2557" s="6"/>
      <c r="O2557" s="7"/>
      <c r="P2557" s="6"/>
      <c r="Q2557" s="7"/>
      <c r="R2557" s="6"/>
      <c r="S2557" s="6"/>
      <c r="T2557" s="6"/>
      <c r="U2557" s="6"/>
      <c r="V2557" s="7"/>
      <c r="W2557" s="7"/>
      <c r="X2557" s="6"/>
      <c r="Y2557" s="6"/>
      <c r="Z2557" s="6"/>
      <c r="AA2557" s="1"/>
      <c r="AB2557" s="12"/>
      <c r="AC2557" s="12"/>
      <c r="AD2557" s="12"/>
      <c r="AE2557" s="12"/>
      <c r="AF2557" s="12"/>
      <c r="AG2557" s="12"/>
      <c r="AH2557" s="12"/>
      <c r="AI2557" s="6"/>
      <c r="AJ2557" s="12"/>
      <c r="AK2557" s="12"/>
      <c r="AL2557" s="12"/>
      <c r="AM2557" s="12"/>
      <c r="AN2557" s="1"/>
      <c r="AO2557" s="6"/>
    </row>
    <row r="2558" spans="1:41" ht="15" x14ac:dyDescent="0.25">
      <c r="A2558" s="1"/>
      <c r="B2558" s="1"/>
      <c r="C2558" s="1"/>
      <c r="D2558" s="1"/>
      <c r="E2558" s="6"/>
      <c r="F2558" s="1"/>
      <c r="G2558" s="6"/>
      <c r="H2558" s="6"/>
      <c r="I2558" s="6"/>
      <c r="J2558" s="6"/>
      <c r="K2558" s="6"/>
      <c r="L2558" s="6"/>
      <c r="M2558" s="6"/>
      <c r="N2558" s="6"/>
      <c r="O2558" s="7"/>
      <c r="P2558" s="6"/>
      <c r="Q2558" s="7"/>
      <c r="R2558" s="6"/>
      <c r="S2558" s="6"/>
      <c r="T2558" s="6"/>
      <c r="U2558" s="6"/>
      <c r="V2558" s="7"/>
      <c r="W2558" s="6"/>
      <c r="X2558" s="6"/>
      <c r="Y2558" s="6"/>
      <c r="Z2558" s="6"/>
      <c r="AA2558" s="1"/>
      <c r="AB2558" s="12"/>
      <c r="AC2558" s="12"/>
      <c r="AD2558" s="12"/>
      <c r="AE2558" s="12"/>
      <c r="AF2558" s="6"/>
      <c r="AG2558" s="12"/>
      <c r="AH2558" s="6"/>
      <c r="AI2558" s="6"/>
      <c r="AJ2558" s="12"/>
      <c r="AK2558" s="12"/>
      <c r="AL2558" s="12"/>
      <c r="AM2558" s="12"/>
      <c r="AN2558" s="1"/>
      <c r="AO2558" s="6"/>
    </row>
    <row r="2559" spans="1:41" ht="15" x14ac:dyDescent="0.25">
      <c r="A2559" s="1"/>
      <c r="B2559" s="1"/>
      <c r="C2559" s="1"/>
      <c r="D2559" s="1"/>
      <c r="E2559" s="6"/>
      <c r="F2559" s="1"/>
      <c r="G2559" s="6"/>
      <c r="H2559" s="6"/>
      <c r="I2559" s="6"/>
      <c r="J2559" s="6"/>
      <c r="K2559" s="6"/>
      <c r="L2559" s="6"/>
      <c r="M2559" s="6"/>
      <c r="N2559" s="6"/>
      <c r="O2559" s="7"/>
      <c r="P2559" s="6"/>
      <c r="Q2559" s="6"/>
      <c r="R2559" s="7"/>
      <c r="S2559" s="6"/>
      <c r="T2559" s="6"/>
      <c r="U2559" s="7"/>
      <c r="V2559" s="6"/>
      <c r="W2559" s="6"/>
      <c r="X2559" s="12"/>
      <c r="Y2559" s="6"/>
      <c r="Z2559" s="6"/>
      <c r="AA2559" s="7"/>
      <c r="AB2559" s="6"/>
      <c r="AC2559" s="6"/>
      <c r="AD2559" s="6"/>
      <c r="AE2559" s="12"/>
      <c r="AF2559" s="12"/>
      <c r="AG2559" s="12"/>
      <c r="AH2559" s="12"/>
      <c r="AI2559" s="6"/>
      <c r="AJ2559" s="12"/>
      <c r="AK2559" s="1"/>
      <c r="AL2559" s="12"/>
      <c r="AM2559" s="12"/>
      <c r="AN2559" s="1"/>
      <c r="AO2559" s="6"/>
    </row>
    <row r="2560" spans="1:41" ht="15" x14ac:dyDescent="0.25">
      <c r="A2560" s="1"/>
      <c r="B2560" s="1"/>
      <c r="C2560" s="1"/>
      <c r="D2560" s="1"/>
      <c r="E2560" s="6"/>
      <c r="F2560" s="1"/>
      <c r="G2560" s="6"/>
      <c r="H2560" s="6"/>
      <c r="I2560" s="6"/>
      <c r="J2560" s="6"/>
      <c r="K2560" s="6"/>
      <c r="L2560" s="6"/>
      <c r="M2560" s="6"/>
      <c r="N2560" s="6"/>
      <c r="O2560" s="7"/>
      <c r="P2560" s="6"/>
      <c r="Q2560" s="6"/>
      <c r="R2560" s="12"/>
      <c r="S2560" s="12"/>
      <c r="T2560" s="12"/>
      <c r="U2560" s="7"/>
      <c r="V2560" s="6"/>
      <c r="W2560" s="6"/>
      <c r="X2560" s="12"/>
      <c r="Y2560" s="6"/>
      <c r="Z2560" s="6"/>
      <c r="AA2560" s="7"/>
      <c r="AB2560" s="6"/>
      <c r="AC2560" s="6"/>
      <c r="AD2560" s="6"/>
      <c r="AE2560" s="12"/>
      <c r="AF2560" s="12"/>
      <c r="AG2560" s="12"/>
      <c r="AH2560" s="12"/>
      <c r="AI2560" s="6"/>
      <c r="AJ2560" s="12"/>
      <c r="AK2560" s="24"/>
      <c r="AL2560" s="25"/>
      <c r="AM2560" s="12"/>
      <c r="AN2560" s="1"/>
      <c r="AO2560" s="6"/>
    </row>
    <row r="2561" spans="1:41" ht="15" x14ac:dyDescent="0.25">
      <c r="A2561" s="1"/>
      <c r="B2561" s="1"/>
      <c r="C2561" s="1"/>
      <c r="D2561" s="1"/>
      <c r="E2561" s="6"/>
      <c r="F2561" s="1"/>
      <c r="G2561" s="6"/>
      <c r="H2561" s="6"/>
      <c r="I2561" s="6"/>
      <c r="J2561" s="6"/>
      <c r="K2561" s="12"/>
      <c r="L2561" s="12"/>
      <c r="M2561" s="6"/>
      <c r="N2561" s="6"/>
      <c r="O2561" s="7"/>
      <c r="P2561" s="12"/>
      <c r="Q2561" s="6"/>
      <c r="R2561" s="7"/>
      <c r="S2561" s="6"/>
      <c r="T2561" s="6"/>
      <c r="U2561" s="7"/>
      <c r="V2561" s="6"/>
      <c r="W2561" s="6"/>
      <c r="X2561" s="12"/>
      <c r="Y2561" s="6"/>
      <c r="Z2561" s="6"/>
      <c r="AA2561" s="7"/>
      <c r="AB2561" s="6"/>
      <c r="AC2561" s="6"/>
      <c r="AD2561" s="6"/>
      <c r="AE2561" s="12"/>
      <c r="AF2561" s="12"/>
      <c r="AG2561" s="12"/>
      <c r="AH2561" s="12"/>
      <c r="AI2561" s="6"/>
      <c r="AJ2561" s="12"/>
      <c r="AK2561" s="1"/>
      <c r="AL2561" s="12"/>
      <c r="AM2561" s="12"/>
      <c r="AN2561" s="1"/>
      <c r="AO2561" s="12"/>
    </row>
    <row r="2562" spans="1:41" ht="15" x14ac:dyDescent="0.25">
      <c r="A2562" s="1"/>
      <c r="B2562" s="1"/>
      <c r="C2562" s="1"/>
      <c r="D2562" s="1"/>
      <c r="E2562" s="6"/>
      <c r="F2562" s="1"/>
      <c r="G2562" s="6"/>
      <c r="H2562" s="6"/>
      <c r="I2562" s="6"/>
      <c r="J2562" s="6"/>
      <c r="K2562" s="6"/>
      <c r="L2562" s="6"/>
      <c r="M2562" s="6"/>
      <c r="N2562" s="6"/>
      <c r="O2562" s="7"/>
      <c r="P2562" s="6"/>
      <c r="Q2562" s="6"/>
      <c r="R2562" s="7"/>
      <c r="S2562" s="6"/>
      <c r="T2562" s="6"/>
      <c r="U2562" s="7"/>
      <c r="V2562" s="6"/>
      <c r="W2562" s="6"/>
      <c r="X2562" s="6"/>
      <c r="Y2562" s="6"/>
      <c r="Z2562" s="6"/>
      <c r="AA2562" s="7"/>
      <c r="AB2562" s="6"/>
      <c r="AC2562" s="6"/>
      <c r="AD2562" s="6"/>
      <c r="AE2562" s="12"/>
      <c r="AF2562" s="6"/>
      <c r="AG2562" s="12"/>
      <c r="AH2562" s="6"/>
      <c r="AI2562" s="6"/>
      <c r="AJ2562" s="12"/>
      <c r="AK2562" s="1"/>
      <c r="AL2562" s="12"/>
      <c r="AM2562" s="12"/>
      <c r="AN2562" s="1"/>
      <c r="AO2562" s="6"/>
    </row>
    <row r="2563" spans="1:41" ht="15" x14ac:dyDescent="0.25">
      <c r="A2563" s="1"/>
      <c r="B2563" s="1"/>
      <c r="C2563" s="1"/>
      <c r="D2563" s="1"/>
      <c r="E2563" s="6"/>
      <c r="F2563" s="1"/>
      <c r="G2563" s="6"/>
      <c r="H2563" s="6"/>
      <c r="I2563" s="6"/>
      <c r="J2563" s="6"/>
      <c r="K2563" s="6"/>
      <c r="L2563" s="6"/>
      <c r="M2563" s="6"/>
      <c r="N2563" s="6"/>
      <c r="O2563" s="7"/>
      <c r="P2563" s="6"/>
      <c r="Q2563" s="6"/>
      <c r="R2563" s="7"/>
      <c r="S2563" s="6"/>
      <c r="T2563" s="6"/>
      <c r="U2563" s="7"/>
      <c r="V2563" s="6"/>
      <c r="W2563" s="6"/>
      <c r="X2563" s="6"/>
      <c r="Y2563" s="6"/>
      <c r="Z2563" s="6"/>
      <c r="AA2563" s="7"/>
      <c r="AB2563" s="6"/>
      <c r="AC2563" s="6"/>
      <c r="AD2563" s="6"/>
      <c r="AE2563" s="12"/>
      <c r="AF2563" s="6"/>
      <c r="AG2563" s="12"/>
      <c r="AH2563" s="6"/>
      <c r="AI2563" s="6"/>
      <c r="AJ2563" s="12"/>
      <c r="AK2563" s="24"/>
      <c r="AL2563" s="25"/>
      <c r="AM2563" s="12"/>
      <c r="AN2563" s="1"/>
      <c r="AO2563" s="6"/>
    </row>
    <row r="2564" spans="1:41" ht="15" x14ac:dyDescent="0.25">
      <c r="A2564" s="1"/>
      <c r="B2564" s="1"/>
      <c r="C2564" s="1"/>
      <c r="D2564" s="1"/>
      <c r="E2564" s="6"/>
      <c r="F2564" s="1"/>
      <c r="G2564" s="6"/>
      <c r="H2564" s="6"/>
      <c r="I2564" s="6"/>
      <c r="J2564" s="6"/>
      <c r="K2564" s="6"/>
      <c r="L2564" s="6"/>
      <c r="M2564" s="6"/>
      <c r="N2564" s="6"/>
      <c r="O2564" s="7"/>
      <c r="P2564" s="12"/>
      <c r="Q2564" s="6"/>
      <c r="R2564" s="7"/>
      <c r="S2564" s="6"/>
      <c r="T2564" s="6"/>
      <c r="U2564" s="7"/>
      <c r="V2564" s="6"/>
      <c r="W2564" s="6"/>
      <c r="X2564" s="12"/>
      <c r="Y2564" s="6"/>
      <c r="Z2564" s="6"/>
      <c r="AA2564" s="7"/>
      <c r="AB2564" s="6"/>
      <c r="AC2564" s="6"/>
      <c r="AD2564" s="6"/>
      <c r="AE2564" s="12"/>
      <c r="AF2564" s="12"/>
      <c r="AG2564" s="12"/>
      <c r="AH2564" s="12"/>
      <c r="AI2564" s="6"/>
      <c r="AJ2564" s="12"/>
      <c r="AK2564" s="1"/>
      <c r="AL2564" s="12"/>
      <c r="AM2564" s="12"/>
      <c r="AN2564" s="1"/>
      <c r="AO2564" s="6"/>
    </row>
    <row r="2565" spans="1:41" ht="15" x14ac:dyDescent="0.25">
      <c r="A2565" s="1"/>
      <c r="B2565" s="1"/>
      <c r="C2565" s="1"/>
      <c r="D2565" s="1"/>
      <c r="E2565" s="6"/>
      <c r="F2565" s="1"/>
      <c r="G2565" s="6"/>
      <c r="H2565" s="6"/>
      <c r="I2565" s="6"/>
      <c r="J2565" s="6"/>
      <c r="K2565" s="6"/>
      <c r="L2565" s="6"/>
      <c r="M2565" s="6"/>
      <c r="N2565" s="6"/>
      <c r="O2565" s="7"/>
      <c r="P2565" s="6"/>
      <c r="Q2565" s="6"/>
      <c r="R2565" s="7"/>
      <c r="S2565" s="6"/>
      <c r="T2565" s="6"/>
      <c r="U2565" s="7"/>
      <c r="V2565" s="6"/>
      <c r="W2565" s="6"/>
      <c r="X2565" s="6"/>
      <c r="Y2565" s="6"/>
      <c r="Z2565" s="6"/>
      <c r="AA2565" s="7"/>
      <c r="AB2565" s="6"/>
      <c r="AC2565" s="6"/>
      <c r="AD2565" s="6"/>
      <c r="AE2565" s="12"/>
      <c r="AF2565" s="6"/>
      <c r="AG2565" s="12"/>
      <c r="AH2565" s="6"/>
      <c r="AI2565" s="6"/>
      <c r="AJ2565" s="12"/>
      <c r="AK2565" s="1"/>
      <c r="AL2565" s="12"/>
      <c r="AM2565" s="12"/>
      <c r="AN2565" s="1"/>
      <c r="AO2565" s="6"/>
    </row>
    <row r="2566" spans="1:41" ht="15" x14ac:dyDescent="0.25">
      <c r="A2566" s="1"/>
      <c r="B2566" s="1"/>
      <c r="C2566" s="1"/>
      <c r="D2566" s="1"/>
      <c r="E2566" s="6"/>
      <c r="F2566" s="1"/>
      <c r="G2566" s="6"/>
      <c r="H2566" s="6"/>
      <c r="I2566" s="6"/>
      <c r="J2566" s="6"/>
      <c r="K2566" s="6"/>
      <c r="L2566" s="6"/>
      <c r="M2566" s="6"/>
      <c r="N2566" s="6"/>
      <c r="O2566" s="7"/>
      <c r="P2566" s="6"/>
      <c r="Q2566" s="6"/>
      <c r="R2566" s="7"/>
      <c r="S2566" s="6"/>
      <c r="T2566" s="6"/>
      <c r="U2566" s="7"/>
      <c r="V2566" s="6"/>
      <c r="W2566" s="6"/>
      <c r="X2566" s="6"/>
      <c r="Y2566" s="6"/>
      <c r="Z2566" s="6"/>
      <c r="AA2566" s="7"/>
      <c r="AB2566" s="6"/>
      <c r="AC2566" s="6"/>
      <c r="AD2566" s="6"/>
      <c r="AE2566" s="12"/>
      <c r="AF2566" s="12"/>
      <c r="AG2566" s="12"/>
      <c r="AH2566" s="12"/>
      <c r="AI2566" s="6"/>
      <c r="AJ2566" s="12"/>
      <c r="AK2566" s="1"/>
      <c r="AL2566" s="12"/>
      <c r="AM2566" s="12"/>
      <c r="AN2566" s="1"/>
      <c r="AO2566" s="6"/>
    </row>
    <row r="2567" spans="1:41" ht="15" x14ac:dyDescent="0.25">
      <c r="A2567" s="1"/>
      <c r="B2567" s="1"/>
      <c r="C2567" s="1"/>
      <c r="D2567" s="1"/>
      <c r="E2567" s="6"/>
      <c r="F2567" s="1"/>
      <c r="G2567" s="6"/>
      <c r="H2567" s="6"/>
      <c r="I2567" s="6"/>
      <c r="J2567" s="6"/>
      <c r="K2567" s="12"/>
      <c r="L2567" s="12"/>
      <c r="M2567" s="6"/>
      <c r="N2567" s="6"/>
      <c r="O2567" s="7"/>
      <c r="P2567" s="12"/>
      <c r="Q2567" s="6"/>
      <c r="R2567" s="7"/>
      <c r="S2567" s="6"/>
      <c r="T2567" s="6"/>
      <c r="U2567" s="7"/>
      <c r="V2567" s="6"/>
      <c r="W2567" s="6"/>
      <c r="X2567" s="6"/>
      <c r="Y2567" s="6"/>
      <c r="Z2567" s="6"/>
      <c r="AA2567" s="7"/>
      <c r="AB2567" s="6"/>
      <c r="AC2567" s="6"/>
      <c r="AD2567" s="6"/>
      <c r="AE2567" s="12"/>
      <c r="AF2567" s="12"/>
      <c r="AG2567" s="12"/>
      <c r="AH2567" s="12"/>
      <c r="AI2567" s="6"/>
      <c r="AJ2567" s="12"/>
      <c r="AK2567" s="1"/>
      <c r="AL2567" s="12"/>
      <c r="AM2567" s="12"/>
      <c r="AN2567" s="1"/>
      <c r="AO2567" s="6"/>
    </row>
    <row r="2568" spans="1:41" ht="15" x14ac:dyDescent="0.25">
      <c r="A2568" s="1"/>
      <c r="B2568" s="1"/>
      <c r="C2568" s="1"/>
      <c r="D2568" s="1"/>
      <c r="E2568" s="6"/>
      <c r="F2568" s="1"/>
      <c r="G2568" s="6"/>
      <c r="H2568" s="6"/>
      <c r="I2568" s="6"/>
      <c r="J2568" s="6"/>
      <c r="K2568" s="6"/>
      <c r="L2568" s="6"/>
      <c r="M2568" s="6"/>
      <c r="N2568" s="6"/>
      <c r="O2568" s="7"/>
      <c r="P2568" s="6"/>
      <c r="Q2568" s="6"/>
      <c r="R2568" s="7"/>
      <c r="S2568" s="6"/>
      <c r="T2568" s="6"/>
      <c r="U2568" s="7"/>
      <c r="V2568" s="6"/>
      <c r="W2568" s="6"/>
      <c r="X2568" s="6"/>
      <c r="Y2568" s="6"/>
      <c r="Z2568" s="6"/>
      <c r="AA2568" s="7"/>
      <c r="AB2568" s="6"/>
      <c r="AC2568" s="6"/>
      <c r="AD2568" s="6"/>
      <c r="AE2568" s="12"/>
      <c r="AF2568" s="6"/>
      <c r="AG2568" s="12"/>
      <c r="AH2568" s="6"/>
      <c r="AI2568" s="6"/>
      <c r="AJ2568" s="12"/>
      <c r="AK2568" s="24"/>
      <c r="AL2568" s="25"/>
      <c r="AM2568" s="12"/>
      <c r="AN2568" s="1"/>
      <c r="AO2568" s="6"/>
    </row>
    <row r="2569" spans="1:41" ht="15" x14ac:dyDescent="0.25">
      <c r="A2569" s="1"/>
      <c r="B2569" s="1"/>
      <c r="C2569" s="1"/>
      <c r="D2569" s="1"/>
      <c r="E2569" s="6"/>
      <c r="F2569" s="1"/>
      <c r="G2569" s="6"/>
      <c r="H2569" s="6"/>
      <c r="I2569" s="6"/>
      <c r="J2569" s="6"/>
      <c r="K2569" s="6"/>
      <c r="L2569" s="6"/>
      <c r="M2569" s="6"/>
      <c r="N2569" s="6"/>
      <c r="O2569" s="7"/>
      <c r="P2569" s="6"/>
      <c r="Q2569" s="6"/>
      <c r="R2569" s="7"/>
      <c r="S2569" s="6"/>
      <c r="T2569" s="6"/>
      <c r="U2569" s="7"/>
      <c r="V2569" s="6"/>
      <c r="W2569" s="6"/>
      <c r="X2569" s="6"/>
      <c r="Y2569" s="6"/>
      <c r="Z2569" s="6"/>
      <c r="AA2569" s="7"/>
      <c r="AB2569" s="6"/>
      <c r="AC2569" s="6"/>
      <c r="AD2569" s="6"/>
      <c r="AE2569" s="12"/>
      <c r="AF2569" s="12"/>
      <c r="AG2569" s="12"/>
      <c r="AH2569" s="12"/>
      <c r="AI2569" s="6"/>
      <c r="AJ2569" s="12"/>
      <c r="AK2569" s="1"/>
      <c r="AL2569" s="12"/>
      <c r="AM2569" s="12"/>
      <c r="AN2569" s="1"/>
      <c r="AO2569" s="6"/>
    </row>
    <row r="2570" spans="1:41" ht="15" x14ac:dyDescent="0.25">
      <c r="A2570" s="1"/>
      <c r="B2570" s="1"/>
      <c r="C2570" s="1"/>
      <c r="D2570" s="1"/>
      <c r="E2570" s="6"/>
      <c r="F2570" s="1"/>
      <c r="G2570" s="6"/>
      <c r="H2570" s="6"/>
      <c r="I2570" s="6"/>
      <c r="J2570" s="6"/>
      <c r="K2570" s="6"/>
      <c r="L2570" s="6"/>
      <c r="M2570" s="6"/>
      <c r="N2570" s="6"/>
      <c r="O2570" s="7"/>
      <c r="P2570" s="6"/>
      <c r="Q2570" s="6"/>
      <c r="R2570" s="7"/>
      <c r="S2570" s="6"/>
      <c r="T2570" s="6"/>
      <c r="U2570" s="7"/>
      <c r="V2570" s="6"/>
      <c r="W2570" s="6"/>
      <c r="X2570" s="6"/>
      <c r="Y2570" s="6"/>
      <c r="Z2570" s="6"/>
      <c r="AA2570" s="7"/>
      <c r="AB2570" s="6"/>
      <c r="AC2570" s="6"/>
      <c r="AD2570" s="6"/>
      <c r="AE2570" s="12"/>
      <c r="AF2570" s="12"/>
      <c r="AG2570" s="12"/>
      <c r="AH2570" s="12"/>
      <c r="AI2570" s="6"/>
      <c r="AJ2570" s="12"/>
      <c r="AK2570" s="1"/>
      <c r="AL2570" s="12"/>
      <c r="AM2570" s="12"/>
      <c r="AN2570" s="1"/>
      <c r="AO2570" s="6"/>
    </row>
    <row r="2571" spans="1:41" ht="15" x14ac:dyDescent="0.25">
      <c r="A2571" s="1"/>
      <c r="B2571" s="1"/>
      <c r="C2571" s="1"/>
      <c r="D2571" s="1"/>
      <c r="E2571" s="6"/>
      <c r="F2571" s="1"/>
      <c r="G2571" s="6"/>
      <c r="H2571" s="6"/>
      <c r="I2571" s="6"/>
      <c r="J2571" s="6"/>
      <c r="K2571" s="6"/>
      <c r="L2571" s="6"/>
      <c r="M2571" s="6"/>
      <c r="N2571" s="6"/>
      <c r="O2571" s="7"/>
      <c r="P2571" s="6"/>
      <c r="Q2571" s="6"/>
      <c r="R2571" s="7"/>
      <c r="S2571" s="6"/>
      <c r="T2571" s="6"/>
      <c r="U2571" s="7"/>
      <c r="V2571" s="6"/>
      <c r="W2571" s="6"/>
      <c r="X2571" s="6"/>
      <c r="Y2571" s="6"/>
      <c r="Z2571" s="6"/>
      <c r="AA2571" s="7"/>
      <c r="AB2571" s="6"/>
      <c r="AC2571" s="6"/>
      <c r="AD2571" s="6"/>
      <c r="AE2571" s="12"/>
      <c r="AF2571" s="6"/>
      <c r="AG2571" s="12"/>
      <c r="AH2571" s="6"/>
      <c r="AI2571" s="6"/>
      <c r="AJ2571" s="12"/>
      <c r="AK2571" s="24"/>
      <c r="AL2571" s="25"/>
      <c r="AM2571" s="12"/>
      <c r="AN2571" s="1"/>
      <c r="AO2571" s="6"/>
    </row>
    <row r="2572" spans="1:41" ht="15" x14ac:dyDescent="0.25">
      <c r="A2572" s="1"/>
      <c r="B2572" s="1"/>
      <c r="C2572" s="1"/>
      <c r="D2572" s="1"/>
      <c r="E2572" s="6"/>
      <c r="F2572" s="1"/>
      <c r="G2572" s="6"/>
      <c r="H2572" s="6"/>
      <c r="I2572" s="6"/>
      <c r="J2572" s="6"/>
      <c r="K2572" s="6"/>
      <c r="L2572" s="6"/>
      <c r="M2572" s="6"/>
      <c r="N2572" s="6"/>
      <c r="O2572" s="7"/>
      <c r="P2572" s="6"/>
      <c r="Q2572" s="6"/>
      <c r="R2572" s="7"/>
      <c r="S2572" s="6"/>
      <c r="T2572" s="6"/>
      <c r="U2572" s="7"/>
      <c r="V2572" s="6"/>
      <c r="W2572" s="6"/>
      <c r="X2572" s="12"/>
      <c r="Y2572" s="6"/>
      <c r="Z2572" s="6"/>
      <c r="AA2572" s="7"/>
      <c r="AB2572" s="6"/>
      <c r="AC2572" s="6"/>
      <c r="AD2572" s="6"/>
      <c r="AE2572" s="12"/>
      <c r="AF2572" s="6"/>
      <c r="AG2572" s="12"/>
      <c r="AH2572" s="6"/>
      <c r="AI2572" s="6"/>
      <c r="AJ2572" s="12"/>
      <c r="AK2572" s="24"/>
      <c r="AL2572" s="25"/>
      <c r="AM2572" s="12"/>
      <c r="AN2572" s="1"/>
      <c r="AO2572" s="6"/>
    </row>
    <row r="2573" spans="1:41" ht="15" x14ac:dyDescent="0.25">
      <c r="A2573" s="1"/>
      <c r="B2573" s="1"/>
      <c r="C2573" s="1"/>
      <c r="D2573" s="1"/>
      <c r="E2573" s="6"/>
      <c r="F2573" s="1"/>
      <c r="G2573" s="6"/>
      <c r="H2573" s="6"/>
      <c r="I2573" s="6"/>
      <c r="J2573" s="6"/>
      <c r="K2573" s="6"/>
      <c r="L2573" s="6"/>
      <c r="M2573" s="6"/>
      <c r="N2573" s="6"/>
      <c r="O2573" s="7"/>
      <c r="P2573" s="6"/>
      <c r="Q2573" s="6"/>
      <c r="R2573" s="7"/>
      <c r="S2573" s="6"/>
      <c r="T2573" s="6"/>
      <c r="U2573" s="7"/>
      <c r="V2573" s="6"/>
      <c r="W2573" s="6"/>
      <c r="X2573" s="6"/>
      <c r="Y2573" s="6"/>
      <c r="Z2573" s="6"/>
      <c r="AA2573" s="7"/>
      <c r="AB2573" s="6"/>
      <c r="AC2573" s="6"/>
      <c r="AD2573" s="6"/>
      <c r="AE2573" s="12"/>
      <c r="AF2573" s="12"/>
      <c r="AG2573" s="12"/>
      <c r="AH2573" s="12"/>
      <c r="AI2573" s="6"/>
      <c r="AJ2573" s="12"/>
      <c r="AK2573" s="1"/>
      <c r="AL2573" s="12"/>
      <c r="AM2573" s="12"/>
      <c r="AN2573" s="1"/>
      <c r="AO2573" s="6"/>
    </row>
    <row r="2574" spans="1:41" ht="15" x14ac:dyDescent="0.25">
      <c r="A2574" s="1"/>
      <c r="B2574" s="1"/>
      <c r="C2574" s="1"/>
      <c r="D2574" s="1"/>
      <c r="E2574" s="6"/>
      <c r="F2574" s="1"/>
      <c r="G2574" s="6"/>
      <c r="H2574" s="6"/>
      <c r="I2574" s="6"/>
      <c r="J2574" s="6"/>
      <c r="K2574" s="6"/>
      <c r="L2574" s="6"/>
      <c r="M2574" s="6"/>
      <c r="N2574" s="6"/>
      <c r="O2574" s="7"/>
      <c r="P2574" s="6"/>
      <c r="Q2574" s="6"/>
      <c r="R2574" s="7"/>
      <c r="S2574" s="6"/>
      <c r="T2574" s="6"/>
      <c r="U2574" s="7"/>
      <c r="V2574" s="6"/>
      <c r="W2574" s="6"/>
      <c r="X2574" s="6"/>
      <c r="Y2574" s="6"/>
      <c r="Z2574" s="6"/>
      <c r="AA2574" s="7"/>
      <c r="AB2574" s="6"/>
      <c r="AC2574" s="6"/>
      <c r="AD2574" s="6"/>
      <c r="AE2574" s="12"/>
      <c r="AF2574" s="6"/>
      <c r="AG2574" s="12"/>
      <c r="AH2574" s="6"/>
      <c r="AI2574" s="6"/>
      <c r="AJ2574" s="12"/>
      <c r="AK2574" s="24"/>
      <c r="AL2574" s="25"/>
      <c r="AM2574" s="12"/>
      <c r="AN2574" s="1"/>
      <c r="AO2574" s="6"/>
    </row>
    <row r="2575" spans="1:41" ht="15" x14ac:dyDescent="0.25">
      <c r="A2575" s="1"/>
      <c r="B2575" s="1"/>
      <c r="C2575" s="1"/>
      <c r="D2575" s="1"/>
      <c r="E2575" s="6"/>
      <c r="F2575" s="1"/>
      <c r="G2575" s="6"/>
      <c r="H2575" s="6"/>
      <c r="I2575" s="6"/>
      <c r="J2575" s="6"/>
      <c r="K2575" s="6"/>
      <c r="L2575" s="6"/>
      <c r="M2575" s="6"/>
      <c r="N2575" s="6"/>
      <c r="O2575" s="7"/>
      <c r="P2575" s="6"/>
      <c r="Q2575" s="6"/>
      <c r="R2575" s="7"/>
      <c r="S2575" s="6"/>
      <c r="T2575" s="6"/>
      <c r="U2575" s="7"/>
      <c r="V2575" s="6"/>
      <c r="W2575" s="6"/>
      <c r="X2575" s="6"/>
      <c r="Y2575" s="6"/>
      <c r="Z2575" s="6"/>
      <c r="AA2575" s="7"/>
      <c r="AB2575" s="6"/>
      <c r="AC2575" s="6"/>
      <c r="AD2575" s="6"/>
      <c r="AE2575" s="12"/>
      <c r="AF2575" s="6"/>
      <c r="AG2575" s="12"/>
      <c r="AH2575" s="6"/>
      <c r="AI2575" s="6"/>
      <c r="AJ2575" s="12"/>
      <c r="AK2575" s="1"/>
      <c r="AL2575" s="12"/>
      <c r="AM2575" s="12"/>
      <c r="AN2575" s="1"/>
      <c r="AO2575" s="6"/>
    </row>
    <row r="2576" spans="1:41" ht="15" x14ac:dyDescent="0.25">
      <c r="A2576" s="1"/>
      <c r="B2576" s="1"/>
      <c r="C2576" s="1"/>
      <c r="D2576" s="1"/>
      <c r="E2576" s="6"/>
      <c r="F2576" s="1"/>
      <c r="G2576" s="6"/>
      <c r="H2576" s="6"/>
      <c r="I2576" s="6"/>
      <c r="J2576" s="6"/>
      <c r="K2576" s="6"/>
      <c r="L2576" s="6"/>
      <c r="M2576" s="6"/>
      <c r="N2576" s="6"/>
      <c r="O2576" s="7"/>
      <c r="P2576" s="6"/>
      <c r="Q2576" s="6"/>
      <c r="R2576" s="7"/>
      <c r="S2576" s="6"/>
      <c r="T2576" s="6"/>
      <c r="U2576" s="7"/>
      <c r="V2576" s="6"/>
      <c r="W2576" s="6"/>
      <c r="X2576" s="6"/>
      <c r="Y2576" s="6"/>
      <c r="Z2576" s="6"/>
      <c r="AA2576" s="7"/>
      <c r="AB2576" s="6"/>
      <c r="AC2576" s="6"/>
      <c r="AD2576" s="6"/>
      <c r="AE2576" s="12"/>
      <c r="AF2576" s="12"/>
      <c r="AG2576" s="12"/>
      <c r="AH2576" s="12"/>
      <c r="AI2576" s="6"/>
      <c r="AJ2576" s="12"/>
      <c r="AK2576" s="1"/>
      <c r="AL2576" s="12"/>
      <c r="AM2576" s="12"/>
      <c r="AN2576" s="1"/>
      <c r="AO2576" s="6"/>
    </row>
    <row r="2577" spans="1:41" ht="15" x14ac:dyDescent="0.25">
      <c r="A2577" s="1"/>
      <c r="B2577" s="1"/>
      <c r="C2577" s="1"/>
      <c r="D2577" s="1"/>
      <c r="E2577" s="6"/>
      <c r="F2577" s="1"/>
      <c r="G2577" s="6"/>
      <c r="H2577" s="6"/>
      <c r="I2577" s="6"/>
      <c r="J2577" s="6"/>
      <c r="K2577" s="12"/>
      <c r="L2577" s="12"/>
      <c r="M2577" s="6"/>
      <c r="N2577" s="6"/>
      <c r="O2577" s="7"/>
      <c r="P2577" s="6"/>
      <c r="Q2577" s="6"/>
      <c r="R2577" s="7"/>
      <c r="S2577" s="6"/>
      <c r="T2577" s="6"/>
      <c r="U2577" s="7"/>
      <c r="V2577" s="6"/>
      <c r="W2577" s="6"/>
      <c r="X2577" s="6"/>
      <c r="Y2577" s="6"/>
      <c r="Z2577" s="6"/>
      <c r="AA2577" s="7"/>
      <c r="AB2577" s="6"/>
      <c r="AC2577" s="6"/>
      <c r="AD2577" s="6"/>
      <c r="AE2577" s="12"/>
      <c r="AF2577" s="12"/>
      <c r="AG2577" s="12"/>
      <c r="AH2577" s="12"/>
      <c r="AI2577" s="6"/>
      <c r="AJ2577" s="12"/>
      <c r="AK2577" s="1"/>
      <c r="AL2577" s="12"/>
      <c r="AM2577" s="12"/>
      <c r="AN2577" s="1"/>
      <c r="AO2577" s="6"/>
    </row>
    <row r="2578" spans="1:41" ht="15" x14ac:dyDescent="0.25">
      <c r="A2578" s="1"/>
      <c r="B2578" s="1"/>
      <c r="C2578" s="1"/>
      <c r="D2578" s="1"/>
      <c r="E2578" s="6"/>
      <c r="F2578" s="1"/>
      <c r="G2578" s="6"/>
      <c r="H2578" s="6"/>
      <c r="I2578" s="6"/>
      <c r="J2578" s="6"/>
      <c r="K2578" s="12"/>
      <c r="L2578" s="12"/>
      <c r="M2578" s="6"/>
      <c r="N2578" s="6"/>
      <c r="O2578" s="12"/>
      <c r="P2578" s="12"/>
      <c r="Q2578" s="7"/>
      <c r="R2578" s="12"/>
      <c r="S2578" s="12"/>
      <c r="T2578" s="12"/>
      <c r="U2578" s="6"/>
      <c r="V2578" s="7"/>
      <c r="W2578" s="7"/>
      <c r="X2578" s="6"/>
      <c r="Y2578" s="6"/>
      <c r="Z2578" s="6"/>
      <c r="AA2578" s="1"/>
      <c r="AB2578" s="12"/>
      <c r="AC2578" s="12"/>
      <c r="AD2578" s="12"/>
      <c r="AE2578" s="12"/>
      <c r="AF2578" s="12"/>
      <c r="AG2578" s="12"/>
      <c r="AH2578" s="12"/>
      <c r="AI2578" s="6"/>
      <c r="AJ2578" s="12"/>
      <c r="AK2578" s="12"/>
      <c r="AL2578" s="12"/>
      <c r="AM2578" s="12"/>
      <c r="AN2578" s="1"/>
      <c r="AO2578" s="6"/>
    </row>
    <row r="2579" spans="1:41" ht="15" x14ac:dyDescent="0.25">
      <c r="A2579" s="1"/>
      <c r="B2579" s="1"/>
      <c r="C2579" s="1"/>
      <c r="D2579" s="1"/>
      <c r="E2579" s="6"/>
      <c r="F2579" s="1"/>
      <c r="G2579" s="6"/>
      <c r="H2579" s="6"/>
      <c r="I2579" s="6"/>
      <c r="J2579" s="6"/>
      <c r="K2579" s="6"/>
      <c r="L2579" s="6"/>
      <c r="M2579" s="6"/>
      <c r="N2579" s="6"/>
      <c r="O2579" s="7"/>
      <c r="P2579" s="6"/>
      <c r="Q2579" s="6"/>
      <c r="R2579" s="7"/>
      <c r="S2579" s="6"/>
      <c r="T2579" s="6"/>
      <c r="U2579" s="7"/>
      <c r="V2579" s="6"/>
      <c r="W2579" s="6"/>
      <c r="X2579" s="12"/>
      <c r="Y2579" s="6"/>
      <c r="Z2579" s="6"/>
      <c r="AA2579" s="7"/>
      <c r="AB2579" s="6"/>
      <c r="AC2579" s="6"/>
      <c r="AD2579" s="6"/>
      <c r="AE2579" s="12"/>
      <c r="AF2579" s="6"/>
      <c r="AG2579" s="12"/>
      <c r="AH2579" s="6"/>
      <c r="AI2579" s="6"/>
      <c r="AJ2579" s="12"/>
      <c r="AK2579" s="1"/>
      <c r="AL2579" s="12"/>
      <c r="AM2579" s="12"/>
      <c r="AN2579" s="1"/>
      <c r="AO2579" s="6"/>
    </row>
    <row r="2580" spans="1:41" ht="15" x14ac:dyDescent="0.25">
      <c r="A2580" s="1"/>
      <c r="B2580" s="1"/>
      <c r="C2580" s="1"/>
      <c r="D2580" s="1"/>
      <c r="E2580" s="6"/>
      <c r="F2580" s="1"/>
      <c r="G2580" s="6"/>
      <c r="H2580" s="6"/>
      <c r="I2580" s="6"/>
      <c r="J2580" s="6"/>
      <c r="K2580" s="6"/>
      <c r="L2580" s="6"/>
      <c r="M2580" s="6"/>
      <c r="N2580" s="6"/>
      <c r="O2580" s="7"/>
      <c r="P2580" s="6"/>
      <c r="Q2580" s="6"/>
      <c r="R2580" s="12"/>
      <c r="S2580" s="12"/>
      <c r="T2580" s="12"/>
      <c r="U2580" s="7"/>
      <c r="V2580" s="6"/>
      <c r="W2580" s="6"/>
      <c r="X2580" s="12"/>
      <c r="Y2580" s="6"/>
      <c r="Z2580" s="6"/>
      <c r="AA2580" s="7"/>
      <c r="AB2580" s="6"/>
      <c r="AC2580" s="6"/>
      <c r="AD2580" s="6"/>
      <c r="AE2580" s="12"/>
      <c r="AF2580" s="12"/>
      <c r="AG2580" s="12"/>
      <c r="AH2580" s="12"/>
      <c r="AI2580" s="6"/>
      <c r="AJ2580" s="12"/>
      <c r="AK2580" s="1"/>
      <c r="AL2580" s="12"/>
      <c r="AM2580" s="12"/>
      <c r="AN2580" s="1"/>
      <c r="AO2580" s="6"/>
    </row>
    <row r="2581" spans="1:41" ht="15" x14ac:dyDescent="0.25">
      <c r="A2581" s="1"/>
      <c r="B2581" s="1"/>
      <c r="C2581" s="1"/>
      <c r="D2581" s="1"/>
      <c r="E2581" s="6"/>
      <c r="F2581" s="1"/>
      <c r="G2581" s="6"/>
      <c r="H2581" s="6"/>
      <c r="I2581" s="6"/>
      <c r="J2581" s="6"/>
      <c r="K2581" s="6"/>
      <c r="L2581" s="6"/>
      <c r="M2581" s="6"/>
      <c r="N2581" s="6"/>
      <c r="O2581" s="7"/>
      <c r="P2581" s="6"/>
      <c r="Q2581" s="6"/>
      <c r="R2581" s="7"/>
      <c r="S2581" s="6"/>
      <c r="T2581" s="6"/>
      <c r="U2581" s="7"/>
      <c r="V2581" s="6"/>
      <c r="W2581" s="6"/>
      <c r="X2581" s="6"/>
      <c r="Y2581" s="6"/>
      <c r="Z2581" s="6"/>
      <c r="AA2581" s="7"/>
      <c r="AB2581" s="6"/>
      <c r="AC2581" s="6"/>
      <c r="AD2581" s="6"/>
      <c r="AE2581" s="12"/>
      <c r="AF2581" s="12"/>
      <c r="AG2581" s="12"/>
      <c r="AH2581" s="12"/>
      <c r="AI2581" s="6"/>
      <c r="AJ2581" s="12"/>
      <c r="AK2581" s="1"/>
      <c r="AL2581" s="12"/>
      <c r="AM2581" s="12"/>
      <c r="AN2581" s="1"/>
      <c r="AO2581" s="6"/>
    </row>
    <row r="2582" spans="1:41" ht="15" x14ac:dyDescent="0.25">
      <c r="A2582" s="1"/>
      <c r="B2582" s="1"/>
      <c r="C2582" s="1"/>
      <c r="D2582" s="1"/>
      <c r="E2582" s="6"/>
      <c r="F2582" s="1"/>
      <c r="G2582" s="6"/>
      <c r="H2582" s="6"/>
      <c r="I2582" s="6"/>
      <c r="J2582" s="6"/>
      <c r="K2582" s="6"/>
      <c r="L2582" s="6"/>
      <c r="M2582" s="6"/>
      <c r="N2582" s="6"/>
      <c r="O2582" s="7"/>
      <c r="P2582" s="6"/>
      <c r="Q2582" s="6"/>
      <c r="R2582" s="7"/>
      <c r="S2582" s="6"/>
      <c r="T2582" s="6"/>
      <c r="U2582" s="7"/>
      <c r="V2582" s="6"/>
      <c r="W2582" s="6"/>
      <c r="X2582" s="6"/>
      <c r="Y2582" s="6"/>
      <c r="Z2582" s="6"/>
      <c r="AA2582" s="7"/>
      <c r="AB2582" s="6"/>
      <c r="AC2582" s="6"/>
      <c r="AD2582" s="6"/>
      <c r="AE2582" s="12"/>
      <c r="AF2582" s="12"/>
      <c r="AG2582" s="12"/>
      <c r="AH2582" s="12"/>
      <c r="AI2582" s="6"/>
      <c r="AJ2582" s="12"/>
      <c r="AK2582" s="1"/>
      <c r="AL2582" s="12"/>
      <c r="AM2582" s="12"/>
      <c r="AN2582" s="1"/>
      <c r="AO2582" s="6"/>
    </row>
    <row r="2583" spans="1:41" ht="15" x14ac:dyDescent="0.25">
      <c r="A2583" s="1"/>
      <c r="B2583" s="1"/>
      <c r="C2583" s="1"/>
      <c r="D2583" s="1"/>
      <c r="E2583" s="6"/>
      <c r="F2583" s="1"/>
      <c r="G2583" s="6"/>
      <c r="H2583" s="6"/>
      <c r="I2583" s="6"/>
      <c r="J2583" s="6"/>
      <c r="K2583" s="6"/>
      <c r="L2583" s="6"/>
      <c r="M2583" s="6"/>
      <c r="N2583" s="6"/>
      <c r="O2583" s="7"/>
      <c r="P2583" s="12"/>
      <c r="Q2583" s="6"/>
      <c r="R2583" s="7"/>
      <c r="S2583" s="6"/>
      <c r="T2583" s="6"/>
      <c r="U2583" s="7"/>
      <c r="V2583" s="6"/>
      <c r="W2583" s="6"/>
      <c r="X2583" s="6"/>
      <c r="Y2583" s="6"/>
      <c r="Z2583" s="6"/>
      <c r="AA2583" s="7"/>
      <c r="AB2583" s="6"/>
      <c r="AC2583" s="6"/>
      <c r="AD2583" s="6"/>
      <c r="AE2583" s="12"/>
      <c r="AF2583" s="12"/>
      <c r="AG2583" s="12"/>
      <c r="AH2583" s="12"/>
      <c r="AI2583" s="6"/>
      <c r="AJ2583" s="12"/>
      <c r="AK2583" s="1"/>
      <c r="AL2583" s="12"/>
      <c r="AM2583" s="12"/>
      <c r="AN2583" s="1"/>
      <c r="AO2583" s="6"/>
    </row>
    <row r="2584" spans="1:41" ht="15" x14ac:dyDescent="0.25">
      <c r="A2584" s="1"/>
      <c r="B2584" s="1"/>
      <c r="C2584" s="1"/>
      <c r="D2584" s="1"/>
      <c r="E2584" s="6"/>
      <c r="F2584" s="1"/>
      <c r="G2584" s="6"/>
      <c r="H2584" s="6"/>
      <c r="I2584" s="6"/>
      <c r="J2584" s="6"/>
      <c r="K2584" s="6"/>
      <c r="L2584" s="6"/>
      <c r="M2584" s="6"/>
      <c r="N2584" s="6"/>
      <c r="O2584" s="7"/>
      <c r="P2584" s="6"/>
      <c r="Q2584" s="6"/>
      <c r="R2584" s="7"/>
      <c r="S2584" s="6"/>
      <c r="T2584" s="6"/>
      <c r="U2584" s="7"/>
      <c r="V2584" s="6"/>
      <c r="W2584" s="6"/>
      <c r="X2584" s="12"/>
      <c r="Y2584" s="6"/>
      <c r="Z2584" s="6"/>
      <c r="AA2584" s="7"/>
      <c r="AB2584" s="6"/>
      <c r="AC2584" s="6"/>
      <c r="AD2584" s="6"/>
      <c r="AE2584" s="12"/>
      <c r="AF2584" s="12"/>
      <c r="AG2584" s="12"/>
      <c r="AH2584" s="12"/>
      <c r="AI2584" s="6"/>
      <c r="AJ2584" s="12"/>
      <c r="AK2584" s="1"/>
      <c r="AL2584" s="12"/>
      <c r="AM2584" s="12"/>
      <c r="AN2584" s="1"/>
      <c r="AO2584" s="6"/>
    </row>
    <row r="2585" spans="1:41" ht="15" x14ac:dyDescent="0.25">
      <c r="A2585" s="1"/>
      <c r="B2585" s="1"/>
      <c r="C2585" s="1"/>
      <c r="D2585" s="1"/>
      <c r="E2585" s="6"/>
      <c r="F2585" s="1"/>
      <c r="G2585" s="6"/>
      <c r="H2585" s="6"/>
      <c r="I2585" s="6"/>
      <c r="J2585" s="6"/>
      <c r="K2585" s="6"/>
      <c r="L2585" s="6"/>
      <c r="M2585" s="6"/>
      <c r="N2585" s="6"/>
      <c r="O2585" s="7"/>
      <c r="P2585" s="12"/>
      <c r="Q2585" s="6"/>
      <c r="R2585" s="7"/>
      <c r="S2585" s="6"/>
      <c r="T2585" s="6"/>
      <c r="U2585" s="7"/>
      <c r="V2585" s="6"/>
      <c r="W2585" s="6"/>
      <c r="X2585" s="6"/>
      <c r="Y2585" s="6"/>
      <c r="Z2585" s="6"/>
      <c r="AA2585" s="7"/>
      <c r="AB2585" s="6"/>
      <c r="AC2585" s="6"/>
      <c r="AD2585" s="6"/>
      <c r="AE2585" s="12"/>
      <c r="AF2585" s="12"/>
      <c r="AG2585" s="12"/>
      <c r="AH2585" s="12"/>
      <c r="AI2585" s="6"/>
      <c r="AJ2585" s="12"/>
      <c r="AK2585" s="1"/>
      <c r="AL2585" s="12"/>
      <c r="AM2585" s="12"/>
      <c r="AN2585" s="1"/>
      <c r="AO2585" s="6"/>
    </row>
    <row r="2586" spans="1:41" ht="15" x14ac:dyDescent="0.25">
      <c r="A2586" s="1"/>
      <c r="B2586" s="1"/>
      <c r="C2586" s="1"/>
      <c r="D2586" s="1"/>
      <c r="E2586" s="6"/>
      <c r="F2586" s="1"/>
      <c r="G2586" s="6"/>
      <c r="H2586" s="6"/>
      <c r="I2586" s="6"/>
      <c r="J2586" s="6"/>
      <c r="K2586" s="6"/>
      <c r="L2586" s="6"/>
      <c r="M2586" s="6"/>
      <c r="N2586" s="6"/>
      <c r="O2586" s="7"/>
      <c r="P2586" s="6"/>
      <c r="Q2586" s="6"/>
      <c r="R2586" s="7"/>
      <c r="S2586" s="6"/>
      <c r="T2586" s="6"/>
      <c r="U2586" s="7"/>
      <c r="V2586" s="6"/>
      <c r="W2586" s="6"/>
      <c r="X2586" s="6"/>
      <c r="Y2586" s="6"/>
      <c r="Z2586" s="6"/>
      <c r="AA2586" s="7"/>
      <c r="AB2586" s="6"/>
      <c r="AC2586" s="6"/>
      <c r="AD2586" s="6"/>
      <c r="AE2586" s="12"/>
      <c r="AF2586" s="12"/>
      <c r="AG2586" s="12"/>
      <c r="AH2586" s="12"/>
      <c r="AI2586" s="6"/>
      <c r="AJ2586" s="12"/>
      <c r="AK2586" s="1"/>
      <c r="AL2586" s="12"/>
      <c r="AM2586" s="12"/>
      <c r="AN2586" s="1"/>
      <c r="AO2586" s="6"/>
    </row>
    <row r="2587" spans="1:41" ht="15" x14ac:dyDescent="0.25">
      <c r="A2587" s="1"/>
      <c r="B2587" s="1"/>
      <c r="C2587" s="1"/>
      <c r="D2587" s="1"/>
      <c r="E2587" s="6"/>
      <c r="F2587" s="1"/>
      <c r="G2587" s="6"/>
      <c r="H2587" s="6"/>
      <c r="I2587" s="6"/>
      <c r="J2587" s="6"/>
      <c r="K2587" s="12"/>
      <c r="L2587" s="12"/>
      <c r="M2587" s="6"/>
      <c r="N2587" s="6"/>
      <c r="O2587" s="7"/>
      <c r="P2587" s="6"/>
      <c r="Q2587" s="6"/>
      <c r="R2587" s="12"/>
      <c r="S2587" s="12"/>
      <c r="T2587" s="12"/>
      <c r="U2587" s="7"/>
      <c r="V2587" s="6"/>
      <c r="W2587" s="6"/>
      <c r="X2587" s="12"/>
      <c r="Y2587" s="6"/>
      <c r="Z2587" s="6"/>
      <c r="AA2587" s="7"/>
      <c r="AB2587" s="6"/>
      <c r="AC2587" s="6"/>
      <c r="AD2587" s="6"/>
      <c r="AE2587" s="12"/>
      <c r="AF2587" s="12"/>
      <c r="AG2587" s="12"/>
      <c r="AH2587" s="12"/>
      <c r="AI2587" s="6"/>
      <c r="AJ2587" s="12"/>
      <c r="AK2587" s="1"/>
      <c r="AL2587" s="12"/>
      <c r="AM2587" s="12"/>
      <c r="AN2587" s="1"/>
      <c r="AO2587" s="12"/>
    </row>
    <row r="2588" spans="1:41" ht="15" x14ac:dyDescent="0.25">
      <c r="A2588" s="1"/>
      <c r="B2588" s="1"/>
      <c r="C2588" s="1"/>
      <c r="D2588" s="1"/>
      <c r="E2588" s="6"/>
      <c r="F2588" s="1"/>
      <c r="G2588" s="6"/>
      <c r="H2588" s="6"/>
      <c r="I2588" s="6"/>
      <c r="J2588" s="6"/>
      <c r="K2588" s="6"/>
      <c r="L2588" s="6"/>
      <c r="M2588" s="6"/>
      <c r="N2588" s="6"/>
      <c r="O2588" s="7"/>
      <c r="P2588" s="6"/>
      <c r="Q2588" s="6"/>
      <c r="R2588" s="7"/>
      <c r="S2588" s="6"/>
      <c r="T2588" s="6"/>
      <c r="U2588" s="7"/>
      <c r="V2588" s="6"/>
      <c r="W2588" s="6"/>
      <c r="X2588" s="6"/>
      <c r="Y2588" s="6"/>
      <c r="Z2588" s="6"/>
      <c r="AA2588" s="7"/>
      <c r="AB2588" s="6"/>
      <c r="AC2588" s="6"/>
      <c r="AD2588" s="6"/>
      <c r="AE2588" s="12"/>
      <c r="AF2588" s="12"/>
      <c r="AG2588" s="12"/>
      <c r="AH2588" s="12"/>
      <c r="AI2588" s="6"/>
      <c r="AJ2588" s="12"/>
      <c r="AK2588" s="1"/>
      <c r="AL2588" s="12"/>
      <c r="AM2588" s="12"/>
      <c r="AN2588" s="1"/>
      <c r="AO2588" s="6"/>
    </row>
    <row r="2589" spans="1:41" ht="15" x14ac:dyDescent="0.25">
      <c r="A2589" s="1"/>
      <c r="B2589" s="1"/>
      <c r="C2589" s="1"/>
      <c r="D2589" s="1"/>
      <c r="E2589" s="6"/>
      <c r="F2589" s="1"/>
      <c r="G2589" s="6"/>
      <c r="H2589" s="6"/>
      <c r="I2589" s="6"/>
      <c r="J2589" s="6"/>
      <c r="K2589" s="6"/>
      <c r="L2589" s="6"/>
      <c r="M2589" s="6"/>
      <c r="N2589" s="6"/>
      <c r="O2589" s="7"/>
      <c r="P2589" s="6"/>
      <c r="Q2589" s="6"/>
      <c r="R2589" s="7"/>
      <c r="S2589" s="6"/>
      <c r="T2589" s="6"/>
      <c r="U2589" s="7"/>
      <c r="V2589" s="6"/>
      <c r="W2589" s="6"/>
      <c r="X2589" s="12"/>
      <c r="Y2589" s="6"/>
      <c r="Z2589" s="6"/>
      <c r="AA2589" s="7"/>
      <c r="AB2589" s="6"/>
      <c r="AC2589" s="6"/>
      <c r="AD2589" s="6"/>
      <c r="AE2589" s="12"/>
      <c r="AF2589" s="12"/>
      <c r="AG2589" s="12"/>
      <c r="AH2589" s="12"/>
      <c r="AI2589" s="6"/>
      <c r="AJ2589" s="12"/>
      <c r="AK2589" s="1"/>
      <c r="AL2589" s="12"/>
      <c r="AM2589" s="12"/>
      <c r="AN2589" s="1"/>
      <c r="AO2589" s="6"/>
    </row>
    <row r="2590" spans="1:41" ht="15" x14ac:dyDescent="0.25">
      <c r="A2590" s="1"/>
      <c r="B2590" s="1"/>
      <c r="C2590" s="1"/>
      <c r="D2590" s="1"/>
      <c r="E2590" s="6"/>
      <c r="F2590" s="1"/>
      <c r="G2590" s="6"/>
      <c r="H2590" s="6"/>
      <c r="I2590" s="6"/>
      <c r="J2590" s="6"/>
      <c r="K2590" s="6"/>
      <c r="L2590" s="6"/>
      <c r="M2590" s="6"/>
      <c r="N2590" s="6"/>
      <c r="O2590" s="7"/>
      <c r="P2590" s="6"/>
      <c r="Q2590" s="6"/>
      <c r="R2590" s="7"/>
      <c r="S2590" s="6"/>
      <c r="T2590" s="6"/>
      <c r="U2590" s="7"/>
      <c r="V2590" s="6"/>
      <c r="W2590" s="6"/>
      <c r="X2590" s="6"/>
      <c r="Y2590" s="6"/>
      <c r="Z2590" s="6"/>
      <c r="AA2590" s="7"/>
      <c r="AB2590" s="6"/>
      <c r="AC2590" s="6"/>
      <c r="AD2590" s="6"/>
      <c r="AE2590" s="12"/>
      <c r="AF2590" s="6"/>
      <c r="AG2590" s="12"/>
      <c r="AH2590" s="6"/>
      <c r="AI2590" s="6"/>
      <c r="AJ2590" s="12"/>
      <c r="AK2590" s="1"/>
      <c r="AL2590" s="12"/>
      <c r="AM2590" s="12"/>
      <c r="AN2590" s="1"/>
      <c r="AO2590" s="6"/>
    </row>
    <row r="2591" spans="1:41" ht="15" x14ac:dyDescent="0.25">
      <c r="A2591" s="1"/>
      <c r="B2591" s="1"/>
      <c r="C2591" s="1"/>
      <c r="D2591" s="1"/>
      <c r="E2591" s="6"/>
      <c r="F2591" s="1"/>
      <c r="G2591" s="6"/>
      <c r="H2591" s="6"/>
      <c r="I2591" s="6"/>
      <c r="J2591" s="6"/>
      <c r="K2591" s="6"/>
      <c r="L2591" s="6"/>
      <c r="M2591" s="6"/>
      <c r="N2591" s="6"/>
      <c r="O2591" s="7"/>
      <c r="P2591" s="6"/>
      <c r="Q2591" s="6"/>
      <c r="R2591" s="7"/>
      <c r="S2591" s="6"/>
      <c r="T2591" s="6"/>
      <c r="U2591" s="7"/>
      <c r="V2591" s="6"/>
      <c r="W2591" s="6"/>
      <c r="X2591" s="6"/>
      <c r="Y2591" s="6"/>
      <c r="Z2591" s="6"/>
      <c r="AA2591" s="15"/>
      <c r="AB2591" s="6"/>
      <c r="AC2591" s="6"/>
      <c r="AD2591" s="6"/>
      <c r="AE2591" s="12"/>
      <c r="AF2591" s="6"/>
      <c r="AG2591" s="12"/>
      <c r="AH2591" s="6"/>
      <c r="AI2591" s="6"/>
      <c r="AJ2591" s="12"/>
      <c r="AK2591" s="24"/>
      <c r="AL2591" s="25"/>
      <c r="AM2591" s="12"/>
      <c r="AN2591" s="1"/>
      <c r="AO2591" s="6"/>
    </row>
    <row r="2592" spans="1:41" ht="15" x14ac:dyDescent="0.25">
      <c r="A2592" s="1"/>
      <c r="B2592" s="1"/>
      <c r="C2592" s="1"/>
      <c r="D2592" s="1"/>
      <c r="E2592" s="6"/>
      <c r="F2592" s="1"/>
      <c r="G2592" s="6"/>
      <c r="H2592" s="6"/>
      <c r="I2592" s="6"/>
      <c r="J2592" s="6"/>
      <c r="K2592" s="6"/>
      <c r="L2592" s="6"/>
      <c r="M2592" s="6"/>
      <c r="N2592" s="6"/>
      <c r="O2592" s="7"/>
      <c r="P2592" s="6"/>
      <c r="Q2592" s="6"/>
      <c r="R2592" s="7"/>
      <c r="S2592" s="6"/>
      <c r="T2592" s="6"/>
      <c r="U2592" s="7"/>
      <c r="V2592" s="6"/>
      <c r="W2592" s="6"/>
      <c r="X2592" s="12"/>
      <c r="Y2592" s="6"/>
      <c r="Z2592" s="6"/>
      <c r="AA2592" s="7"/>
      <c r="AB2592" s="6"/>
      <c r="AC2592" s="6"/>
      <c r="AD2592" s="6"/>
      <c r="AE2592" s="12"/>
      <c r="AF2592" s="6"/>
      <c r="AG2592" s="12"/>
      <c r="AH2592" s="6"/>
      <c r="AI2592" s="6"/>
      <c r="AJ2592" s="12"/>
      <c r="AK2592" s="24"/>
      <c r="AL2592" s="25"/>
      <c r="AM2592" s="12"/>
      <c r="AN2592" s="1"/>
      <c r="AO2592" s="6"/>
    </row>
    <row r="2593" spans="1:41" ht="15" x14ac:dyDescent="0.25">
      <c r="A2593" s="1"/>
      <c r="B2593" s="1"/>
      <c r="C2593" s="1"/>
      <c r="D2593" s="1"/>
      <c r="E2593" s="6"/>
      <c r="F2593" s="1"/>
      <c r="G2593" s="6"/>
      <c r="H2593" s="6"/>
      <c r="I2593" s="6"/>
      <c r="J2593" s="6"/>
      <c r="K2593" s="6"/>
      <c r="L2593" s="6"/>
      <c r="M2593" s="6"/>
      <c r="N2593" s="6"/>
      <c r="O2593" s="7"/>
      <c r="P2593" s="6"/>
      <c r="Q2593" s="6"/>
      <c r="R2593" s="7"/>
      <c r="S2593" s="6"/>
      <c r="T2593" s="6"/>
      <c r="U2593" s="7"/>
      <c r="V2593" s="6"/>
      <c r="W2593" s="6"/>
      <c r="X2593" s="6"/>
      <c r="Y2593" s="6"/>
      <c r="Z2593" s="6"/>
      <c r="AA2593" s="7"/>
      <c r="AB2593" s="6"/>
      <c r="AC2593" s="6"/>
      <c r="AD2593" s="6"/>
      <c r="AE2593" s="12"/>
      <c r="AF2593" s="12"/>
      <c r="AG2593" s="12"/>
      <c r="AH2593" s="12"/>
      <c r="AI2593" s="6"/>
      <c r="AJ2593" s="12"/>
      <c r="AK2593" s="1"/>
      <c r="AL2593" s="12"/>
      <c r="AM2593" s="12"/>
      <c r="AN2593" s="1"/>
      <c r="AO2593" s="12"/>
    </row>
    <row r="2594" spans="1:41" ht="15" x14ac:dyDescent="0.25">
      <c r="A2594" s="1"/>
      <c r="B2594" s="1"/>
      <c r="C2594" s="1"/>
      <c r="D2594" s="1"/>
      <c r="E2594" s="6"/>
      <c r="F2594" s="1"/>
      <c r="G2594" s="6"/>
      <c r="H2594" s="6"/>
      <c r="I2594" s="6"/>
      <c r="J2594" s="6"/>
      <c r="K2594" s="6"/>
      <c r="L2594" s="6"/>
      <c r="M2594" s="6"/>
      <c r="N2594" s="6"/>
      <c r="O2594" s="7"/>
      <c r="P2594" s="6"/>
      <c r="Q2594" s="6"/>
      <c r="R2594" s="7"/>
      <c r="S2594" s="6"/>
      <c r="T2594" s="6"/>
      <c r="U2594" s="7"/>
      <c r="V2594" s="6"/>
      <c r="W2594" s="6"/>
      <c r="X2594" s="6"/>
      <c r="Y2594" s="6"/>
      <c r="Z2594" s="6"/>
      <c r="AA2594" s="7"/>
      <c r="AB2594" s="6"/>
      <c r="AC2594" s="6"/>
      <c r="AD2594" s="6"/>
      <c r="AE2594" s="12"/>
      <c r="AF2594" s="6"/>
      <c r="AG2594" s="12"/>
      <c r="AH2594" s="6"/>
      <c r="AI2594" s="6"/>
      <c r="AJ2594" s="12"/>
      <c r="AK2594" s="24"/>
      <c r="AL2594" s="25"/>
      <c r="AM2594" s="12"/>
      <c r="AN2594" s="1"/>
      <c r="AO2594" s="6"/>
    </row>
    <row r="2595" spans="1:41" ht="15" x14ac:dyDescent="0.25">
      <c r="A2595" s="1"/>
      <c r="B2595" s="1"/>
      <c r="C2595" s="1"/>
      <c r="D2595" s="1"/>
      <c r="E2595" s="6"/>
      <c r="F2595" s="1"/>
      <c r="G2595" s="6"/>
      <c r="H2595" s="6"/>
      <c r="I2595" s="6"/>
      <c r="J2595" s="6"/>
      <c r="K2595" s="6"/>
      <c r="L2595" s="6"/>
      <c r="M2595" s="6"/>
      <c r="N2595" s="6"/>
      <c r="O2595" s="7"/>
      <c r="P2595" s="6"/>
      <c r="Q2595" s="6"/>
      <c r="R2595" s="7"/>
      <c r="S2595" s="6"/>
      <c r="T2595" s="6"/>
      <c r="U2595" s="7"/>
      <c r="V2595" s="6"/>
      <c r="W2595" s="6"/>
      <c r="X2595" s="12"/>
      <c r="Y2595" s="6"/>
      <c r="Z2595" s="6"/>
      <c r="AA2595" s="7"/>
      <c r="AB2595" s="6"/>
      <c r="AC2595" s="6"/>
      <c r="AD2595" s="6"/>
      <c r="AE2595" s="12"/>
      <c r="AF2595" s="6"/>
      <c r="AG2595" s="12"/>
      <c r="AH2595" s="6"/>
      <c r="AI2595" s="6"/>
      <c r="AJ2595" s="12"/>
      <c r="AK2595" s="1"/>
      <c r="AL2595" s="12"/>
      <c r="AM2595" s="12"/>
      <c r="AN2595" s="1"/>
      <c r="AO2595" s="6"/>
    </row>
    <row r="2596" spans="1:41" ht="15" x14ac:dyDescent="0.25">
      <c r="A2596" s="1"/>
      <c r="B2596" s="1"/>
      <c r="C2596" s="1"/>
      <c r="D2596" s="1"/>
      <c r="E2596" s="6"/>
      <c r="F2596" s="1"/>
      <c r="G2596" s="6"/>
      <c r="H2596" s="6"/>
      <c r="I2596" s="6"/>
      <c r="J2596" s="6"/>
      <c r="K2596" s="12"/>
      <c r="L2596" s="12"/>
      <c r="M2596" s="6"/>
      <c r="N2596" s="6"/>
      <c r="O2596" s="7"/>
      <c r="P2596" s="12"/>
      <c r="Q2596" s="6"/>
      <c r="R2596" s="7"/>
      <c r="S2596" s="6"/>
      <c r="T2596" s="6"/>
      <c r="U2596" s="7"/>
      <c r="V2596" s="6"/>
      <c r="W2596" s="6"/>
      <c r="X2596" s="6"/>
      <c r="Y2596" s="6"/>
      <c r="Z2596" s="6"/>
      <c r="AA2596" s="7"/>
      <c r="AB2596" s="6"/>
      <c r="AC2596" s="6"/>
      <c r="AD2596" s="6"/>
      <c r="AE2596" s="12"/>
      <c r="AF2596" s="12"/>
      <c r="AG2596" s="12"/>
      <c r="AH2596" s="12"/>
      <c r="AI2596" s="6"/>
      <c r="AJ2596" s="12"/>
      <c r="AK2596" s="1"/>
      <c r="AL2596" s="12"/>
      <c r="AM2596" s="12"/>
      <c r="AN2596" s="1"/>
      <c r="AO2596" s="6"/>
    </row>
    <row r="2597" spans="1:41" ht="15" x14ac:dyDescent="0.25">
      <c r="A2597" s="1"/>
      <c r="B2597" s="1"/>
      <c r="C2597" s="1"/>
      <c r="D2597" s="1"/>
      <c r="E2597" s="6"/>
      <c r="F2597" s="1"/>
      <c r="G2597" s="6"/>
      <c r="H2597" s="6"/>
      <c r="I2597" s="6"/>
      <c r="J2597" s="6"/>
      <c r="K2597" s="6"/>
      <c r="L2597" s="6"/>
      <c r="M2597" s="6"/>
      <c r="N2597" s="6"/>
      <c r="O2597" s="7"/>
      <c r="P2597" s="12"/>
      <c r="Q2597" s="6"/>
      <c r="R2597" s="7"/>
      <c r="S2597" s="6"/>
      <c r="T2597" s="6"/>
      <c r="U2597" s="7"/>
      <c r="V2597" s="6"/>
      <c r="W2597" s="6"/>
      <c r="X2597" s="6"/>
      <c r="Y2597" s="6"/>
      <c r="Z2597" s="6"/>
      <c r="AA2597" s="7"/>
      <c r="AB2597" s="6"/>
      <c r="AC2597" s="6"/>
      <c r="AD2597" s="6"/>
      <c r="AE2597" s="12"/>
      <c r="AF2597" s="6"/>
      <c r="AG2597" s="12"/>
      <c r="AH2597" s="6"/>
      <c r="AI2597" s="6"/>
      <c r="AJ2597" s="12"/>
      <c r="AK2597" s="1"/>
      <c r="AL2597" s="12"/>
      <c r="AM2597" s="12"/>
      <c r="AN2597" s="1"/>
      <c r="AO2597" s="6"/>
    </row>
    <row r="2598" spans="1:41" ht="15" x14ac:dyDescent="0.25">
      <c r="A2598" s="1"/>
      <c r="B2598" s="1"/>
      <c r="C2598" s="1"/>
      <c r="D2598" s="1"/>
      <c r="E2598" s="6"/>
      <c r="F2598" s="1"/>
      <c r="G2598" s="6"/>
      <c r="H2598" s="6"/>
      <c r="I2598" s="6"/>
      <c r="J2598" s="6"/>
      <c r="K2598" s="12"/>
      <c r="L2598" s="12"/>
      <c r="M2598" s="6"/>
      <c r="N2598" s="6"/>
      <c r="O2598" s="7"/>
      <c r="P2598" s="12"/>
      <c r="Q2598" s="6"/>
      <c r="R2598" s="7"/>
      <c r="S2598" s="6"/>
      <c r="T2598" s="6"/>
      <c r="U2598" s="7"/>
      <c r="V2598" s="6"/>
      <c r="W2598" s="6"/>
      <c r="X2598" s="6"/>
      <c r="Y2598" s="6"/>
      <c r="Z2598" s="6"/>
      <c r="AA2598" s="7"/>
      <c r="AB2598" s="6"/>
      <c r="AC2598" s="6"/>
      <c r="AD2598" s="6"/>
      <c r="AE2598" s="12"/>
      <c r="AF2598" s="12"/>
      <c r="AG2598" s="12"/>
      <c r="AH2598" s="12"/>
      <c r="AI2598" s="6"/>
      <c r="AJ2598" s="12"/>
      <c r="AK2598" s="1"/>
      <c r="AL2598" s="12"/>
      <c r="AM2598" s="12"/>
      <c r="AN2598" s="1"/>
      <c r="AO2598" s="6"/>
    </row>
    <row r="2599" spans="1:41" ht="15" x14ac:dyDescent="0.25">
      <c r="A2599" s="1"/>
      <c r="B2599" s="1"/>
      <c r="C2599" s="1"/>
      <c r="D2599" s="1"/>
      <c r="E2599" s="6"/>
      <c r="F2599" s="1"/>
      <c r="G2599" s="6"/>
      <c r="H2599" s="6"/>
      <c r="I2599" s="6"/>
      <c r="J2599" s="6"/>
      <c r="K2599" s="6"/>
      <c r="L2599" s="6"/>
      <c r="M2599" s="6"/>
      <c r="N2599" s="6"/>
      <c r="O2599" s="7"/>
      <c r="P2599" s="6"/>
      <c r="Q2599" s="6"/>
      <c r="R2599" s="7"/>
      <c r="S2599" s="6"/>
      <c r="T2599" s="6"/>
      <c r="U2599" s="7"/>
      <c r="V2599" s="6"/>
      <c r="W2599" s="6"/>
      <c r="X2599" s="6"/>
      <c r="Y2599" s="6"/>
      <c r="Z2599" s="6"/>
      <c r="AA2599" s="7"/>
      <c r="AB2599" s="6"/>
      <c r="AC2599" s="6"/>
      <c r="AD2599" s="6"/>
      <c r="AE2599" s="12"/>
      <c r="AF2599" s="6"/>
      <c r="AG2599" s="12"/>
      <c r="AH2599" s="6"/>
      <c r="AI2599" s="6"/>
      <c r="AJ2599" s="12"/>
      <c r="AK2599" s="1"/>
      <c r="AL2599" s="12"/>
      <c r="AM2599" s="12"/>
      <c r="AN2599" s="1"/>
      <c r="AO2599" s="6"/>
    </row>
    <row r="2600" spans="1:41" ht="15" x14ac:dyDescent="0.25">
      <c r="A2600" s="1"/>
      <c r="B2600" s="1"/>
      <c r="C2600" s="1"/>
      <c r="D2600" s="1"/>
      <c r="E2600" s="6"/>
      <c r="F2600" s="1"/>
      <c r="G2600" s="6"/>
      <c r="H2600" s="6"/>
      <c r="I2600" s="6"/>
      <c r="J2600" s="6"/>
      <c r="K2600" s="6"/>
      <c r="L2600" s="6"/>
      <c r="M2600" s="6"/>
      <c r="N2600" s="6"/>
      <c r="O2600" s="7"/>
      <c r="P2600" s="6"/>
      <c r="Q2600" s="6"/>
      <c r="R2600" s="7"/>
      <c r="S2600" s="6"/>
      <c r="T2600" s="6"/>
      <c r="U2600" s="7"/>
      <c r="V2600" s="6"/>
      <c r="W2600" s="6"/>
      <c r="X2600" s="12"/>
      <c r="Y2600" s="6"/>
      <c r="Z2600" s="6"/>
      <c r="AA2600" s="7"/>
      <c r="AB2600" s="6"/>
      <c r="AC2600" s="6"/>
      <c r="AD2600" s="6"/>
      <c r="AE2600" s="12"/>
      <c r="AF2600" s="6"/>
      <c r="AG2600" s="12"/>
      <c r="AH2600" s="6"/>
      <c r="AI2600" s="6"/>
      <c r="AJ2600" s="12"/>
      <c r="AK2600" s="1"/>
      <c r="AL2600" s="12"/>
      <c r="AM2600" s="12"/>
      <c r="AN2600" s="1"/>
      <c r="AO2600" s="6"/>
    </row>
    <row r="2601" spans="1:41" ht="15" x14ac:dyDescent="0.25">
      <c r="A2601" s="1"/>
      <c r="B2601" s="1"/>
      <c r="C2601" s="1"/>
      <c r="D2601" s="1"/>
      <c r="E2601" s="6"/>
      <c r="F2601" s="1"/>
      <c r="G2601" s="6"/>
      <c r="H2601" s="6"/>
      <c r="I2601" s="6"/>
      <c r="J2601" s="6"/>
      <c r="K2601" s="6"/>
      <c r="L2601" s="6"/>
      <c r="M2601" s="6"/>
      <c r="N2601" s="6"/>
      <c r="O2601" s="7"/>
      <c r="P2601" s="6"/>
      <c r="Q2601" s="7"/>
      <c r="R2601" s="6"/>
      <c r="S2601" s="6"/>
      <c r="T2601" s="6"/>
      <c r="U2601" s="6"/>
      <c r="V2601" s="7"/>
      <c r="W2601" s="7"/>
      <c r="X2601" s="6"/>
      <c r="Y2601" s="6"/>
      <c r="Z2601" s="6"/>
      <c r="AA2601" s="1"/>
      <c r="AB2601" s="12"/>
      <c r="AC2601" s="12"/>
      <c r="AD2601" s="12"/>
      <c r="AE2601" s="12"/>
      <c r="AF2601" s="12"/>
      <c r="AG2601" s="12"/>
      <c r="AH2601" s="12"/>
      <c r="AI2601" s="6"/>
      <c r="AJ2601" s="12"/>
      <c r="AK2601" s="12"/>
      <c r="AL2601" s="12"/>
      <c r="AM2601" s="12"/>
      <c r="AN2601" s="1"/>
      <c r="AO2601" s="6"/>
    </row>
    <row r="2602" spans="1:41" ht="15" x14ac:dyDescent="0.25">
      <c r="A2602" s="1"/>
      <c r="B2602" s="1"/>
      <c r="C2602" s="1"/>
      <c r="D2602" s="1"/>
      <c r="E2602" s="6"/>
      <c r="F2602" s="1"/>
      <c r="G2602" s="6"/>
      <c r="H2602" s="6"/>
      <c r="I2602" s="6"/>
      <c r="J2602" s="6"/>
      <c r="K2602" s="6"/>
      <c r="L2602" s="6"/>
      <c r="M2602" s="6"/>
      <c r="N2602" s="6"/>
      <c r="O2602" s="7"/>
      <c r="P2602" s="6"/>
      <c r="Q2602" s="7"/>
      <c r="R2602" s="6"/>
      <c r="S2602" s="6"/>
      <c r="T2602" s="6"/>
      <c r="U2602" s="6"/>
      <c r="V2602" s="7"/>
      <c r="W2602" s="7"/>
      <c r="X2602" s="6"/>
      <c r="Y2602" s="6"/>
      <c r="Z2602" s="6"/>
      <c r="AA2602" s="1"/>
      <c r="AB2602" s="12"/>
      <c r="AC2602" s="12"/>
      <c r="AD2602" s="12"/>
      <c r="AE2602" s="12"/>
      <c r="AF2602" s="12"/>
      <c r="AG2602" s="12"/>
      <c r="AH2602" s="12"/>
      <c r="AI2602" s="6"/>
      <c r="AJ2602" s="12"/>
      <c r="AK2602" s="12"/>
      <c r="AL2602" s="12"/>
      <c r="AM2602" s="12"/>
      <c r="AN2602" s="1"/>
      <c r="AO2602" s="6"/>
    </row>
    <row r="2603" spans="1:41" ht="15" x14ac:dyDescent="0.25">
      <c r="A2603" s="1"/>
      <c r="B2603" s="1"/>
      <c r="C2603" s="1"/>
      <c r="D2603" s="1"/>
      <c r="E2603" s="6"/>
      <c r="F2603" s="1"/>
      <c r="G2603" s="6"/>
      <c r="H2603" s="6"/>
      <c r="I2603" s="6"/>
      <c r="J2603" s="6"/>
      <c r="K2603" s="6"/>
      <c r="L2603" s="6"/>
      <c r="M2603" s="6"/>
      <c r="N2603" s="6"/>
      <c r="O2603" s="7"/>
      <c r="P2603" s="12"/>
      <c r="Q2603" s="6"/>
      <c r="R2603" s="7"/>
      <c r="S2603" s="6"/>
      <c r="T2603" s="6"/>
      <c r="U2603" s="7"/>
      <c r="V2603" s="6"/>
      <c r="W2603" s="6"/>
      <c r="X2603" s="6"/>
      <c r="Y2603" s="6"/>
      <c r="Z2603" s="6"/>
      <c r="AA2603" s="7"/>
      <c r="AB2603" s="6"/>
      <c r="AC2603" s="6"/>
      <c r="AD2603" s="6"/>
      <c r="AE2603" s="12"/>
      <c r="AF2603" s="6"/>
      <c r="AG2603" s="12"/>
      <c r="AH2603" s="6"/>
      <c r="AI2603" s="6"/>
      <c r="AJ2603" s="12"/>
      <c r="AK2603" s="24"/>
      <c r="AL2603" s="25"/>
      <c r="AM2603" s="12"/>
      <c r="AN2603" s="1"/>
      <c r="AO2603" s="6"/>
    </row>
    <row r="2604" spans="1:41" ht="15" x14ac:dyDescent="0.25">
      <c r="A2604" s="1"/>
      <c r="B2604" s="1"/>
      <c r="C2604" s="1"/>
      <c r="D2604" s="1"/>
      <c r="E2604" s="6"/>
      <c r="F2604" s="1"/>
      <c r="G2604" s="6"/>
      <c r="H2604" s="6"/>
      <c r="I2604" s="6"/>
      <c r="J2604" s="6"/>
      <c r="K2604" s="6"/>
      <c r="L2604" s="6"/>
      <c r="M2604" s="6"/>
      <c r="N2604" s="6"/>
      <c r="O2604" s="7"/>
      <c r="P2604" s="6"/>
      <c r="Q2604" s="6"/>
      <c r="R2604" s="7"/>
      <c r="S2604" s="6"/>
      <c r="T2604" s="6"/>
      <c r="U2604" s="7"/>
      <c r="V2604" s="6"/>
      <c r="W2604" s="6"/>
      <c r="X2604" s="12"/>
      <c r="Y2604" s="6"/>
      <c r="Z2604" s="6"/>
      <c r="AA2604" s="7"/>
      <c r="AB2604" s="6"/>
      <c r="AC2604" s="6"/>
      <c r="AD2604" s="6"/>
      <c r="AE2604" s="12"/>
      <c r="AF2604" s="6"/>
      <c r="AG2604" s="12"/>
      <c r="AH2604" s="6"/>
      <c r="AI2604" s="6"/>
      <c r="AJ2604" s="12"/>
      <c r="AK2604" s="24"/>
      <c r="AL2604" s="25"/>
      <c r="AM2604" s="12"/>
      <c r="AN2604" s="1"/>
      <c r="AO2604" s="6"/>
    </row>
    <row r="2605" spans="1:41" ht="15" x14ac:dyDescent="0.25">
      <c r="A2605" s="1"/>
      <c r="B2605" s="1"/>
      <c r="C2605" s="1"/>
      <c r="D2605" s="1"/>
      <c r="E2605" s="6"/>
      <c r="F2605" s="1"/>
      <c r="G2605" s="6"/>
      <c r="H2605" s="6"/>
      <c r="I2605" s="6"/>
      <c r="J2605" s="6"/>
      <c r="K2605" s="6"/>
      <c r="L2605" s="6"/>
      <c r="M2605" s="6"/>
      <c r="N2605" s="6"/>
      <c r="O2605" s="7"/>
      <c r="P2605" s="6"/>
      <c r="Q2605" s="6"/>
      <c r="R2605" s="7"/>
      <c r="S2605" s="6"/>
      <c r="T2605" s="6"/>
      <c r="U2605" s="7"/>
      <c r="V2605" s="6"/>
      <c r="W2605" s="6"/>
      <c r="X2605" s="6"/>
      <c r="Y2605" s="6"/>
      <c r="Z2605" s="6"/>
      <c r="AA2605" s="7"/>
      <c r="AB2605" s="6"/>
      <c r="AC2605" s="6"/>
      <c r="AD2605" s="6"/>
      <c r="AE2605" s="12"/>
      <c r="AF2605" s="6"/>
      <c r="AG2605" s="12"/>
      <c r="AH2605" s="6"/>
      <c r="AI2605" s="6"/>
      <c r="AJ2605" s="12"/>
      <c r="AK2605" s="1"/>
      <c r="AL2605" s="12"/>
      <c r="AM2605" s="12"/>
      <c r="AN2605" s="1"/>
      <c r="AO2605" s="6"/>
    </row>
    <row r="2606" spans="1:41" ht="15" x14ac:dyDescent="0.25">
      <c r="A2606" s="1"/>
      <c r="B2606" s="1"/>
      <c r="C2606" s="1"/>
      <c r="D2606" s="1"/>
      <c r="E2606" s="6"/>
      <c r="F2606" s="1"/>
      <c r="G2606" s="6"/>
      <c r="H2606" s="6"/>
      <c r="I2606" s="6"/>
      <c r="J2606" s="6"/>
      <c r="K2606" s="6"/>
      <c r="L2606" s="6"/>
      <c r="M2606" s="6"/>
      <c r="N2606" s="6"/>
      <c r="O2606" s="7"/>
      <c r="P2606" s="6"/>
      <c r="Q2606" s="6"/>
      <c r="R2606" s="12"/>
      <c r="S2606" s="12"/>
      <c r="T2606" s="12"/>
      <c r="U2606" s="7"/>
      <c r="V2606" s="6"/>
      <c r="W2606" s="6"/>
      <c r="X2606" s="12"/>
      <c r="Y2606" s="6"/>
      <c r="Z2606" s="6"/>
      <c r="AA2606" s="7"/>
      <c r="AB2606" s="6"/>
      <c r="AC2606" s="6"/>
      <c r="AD2606" s="6"/>
      <c r="AE2606" s="12"/>
      <c r="AF2606" s="12"/>
      <c r="AG2606" s="12"/>
      <c r="AH2606" s="12"/>
      <c r="AI2606" s="6"/>
      <c r="AJ2606" s="12"/>
      <c r="AK2606" s="1"/>
      <c r="AL2606" s="12"/>
      <c r="AM2606" s="12"/>
      <c r="AN2606" s="1"/>
      <c r="AO2606" s="6"/>
    </row>
    <row r="2607" spans="1:41" ht="15" x14ac:dyDescent="0.25">
      <c r="A2607" s="1"/>
      <c r="B2607" s="1"/>
      <c r="C2607" s="1"/>
      <c r="D2607" s="1"/>
      <c r="E2607" s="6"/>
      <c r="F2607" s="1"/>
      <c r="G2607" s="6"/>
      <c r="H2607" s="6"/>
      <c r="I2607" s="6"/>
      <c r="J2607" s="6"/>
      <c r="K2607" s="6"/>
      <c r="L2607" s="6"/>
      <c r="M2607" s="6"/>
      <c r="N2607" s="6"/>
      <c r="O2607" s="7"/>
      <c r="P2607" s="12"/>
      <c r="Q2607" s="6"/>
      <c r="R2607" s="7"/>
      <c r="S2607" s="6"/>
      <c r="T2607" s="6"/>
      <c r="U2607" s="7"/>
      <c r="V2607" s="6"/>
      <c r="W2607" s="6"/>
      <c r="X2607" s="6"/>
      <c r="Y2607" s="6"/>
      <c r="Z2607" s="6"/>
      <c r="AA2607" s="15"/>
      <c r="AB2607" s="6"/>
      <c r="AC2607" s="6"/>
      <c r="AD2607" s="6"/>
      <c r="AE2607" s="12"/>
      <c r="AF2607" s="12"/>
      <c r="AG2607" s="12"/>
      <c r="AH2607" s="12"/>
      <c r="AI2607" s="6"/>
      <c r="AJ2607" s="12"/>
      <c r="AK2607" s="1"/>
      <c r="AL2607" s="12"/>
      <c r="AM2607" s="12"/>
      <c r="AN2607" s="1"/>
      <c r="AO2607" s="6"/>
    </row>
    <row r="2608" spans="1:41" ht="15" x14ac:dyDescent="0.25">
      <c r="A2608" s="1"/>
      <c r="B2608" s="1"/>
      <c r="C2608" s="1"/>
      <c r="D2608" s="1"/>
      <c r="E2608" s="6"/>
      <c r="F2608" s="1"/>
      <c r="G2608" s="6"/>
      <c r="H2608" s="6"/>
      <c r="I2608" s="6"/>
      <c r="J2608" s="6"/>
      <c r="K2608" s="12"/>
      <c r="L2608" s="12"/>
      <c r="M2608" s="6"/>
      <c r="N2608" s="6"/>
      <c r="O2608" s="7"/>
      <c r="P2608" s="6"/>
      <c r="Q2608" s="6"/>
      <c r="R2608" s="7"/>
      <c r="S2608" s="6"/>
      <c r="T2608" s="6"/>
      <c r="U2608" s="7"/>
      <c r="V2608" s="6"/>
      <c r="W2608" s="6"/>
      <c r="X2608" s="6"/>
      <c r="Y2608" s="6"/>
      <c r="Z2608" s="6"/>
      <c r="AA2608" s="7"/>
      <c r="AB2608" s="6"/>
      <c r="AC2608" s="6"/>
      <c r="AD2608" s="6"/>
      <c r="AE2608" s="12"/>
      <c r="AF2608" s="12"/>
      <c r="AG2608" s="12"/>
      <c r="AH2608" s="12"/>
      <c r="AI2608" s="6"/>
      <c r="AJ2608" s="12"/>
      <c r="AK2608" s="1"/>
      <c r="AL2608" s="12"/>
      <c r="AM2608" s="12"/>
      <c r="AN2608" s="1"/>
      <c r="AO2608" s="6"/>
    </row>
    <row r="2609" spans="1:41" ht="15" x14ac:dyDescent="0.25">
      <c r="A2609" s="1"/>
      <c r="B2609" s="1"/>
      <c r="C2609" s="1"/>
      <c r="D2609" s="1"/>
      <c r="E2609" s="6"/>
      <c r="F2609" s="1"/>
      <c r="G2609" s="6"/>
      <c r="H2609" s="6"/>
      <c r="I2609" s="6"/>
      <c r="J2609" s="6"/>
      <c r="K2609" s="6"/>
      <c r="L2609" s="6"/>
      <c r="M2609" s="6"/>
      <c r="N2609" s="6"/>
      <c r="O2609" s="7"/>
      <c r="P2609" s="6"/>
      <c r="Q2609" s="7"/>
      <c r="R2609" s="6"/>
      <c r="S2609" s="6"/>
      <c r="T2609" s="6"/>
      <c r="U2609" s="6"/>
      <c r="V2609" s="7"/>
      <c r="W2609" s="7"/>
      <c r="X2609" s="6"/>
      <c r="Y2609" s="6"/>
      <c r="Z2609" s="6"/>
      <c r="AA2609" s="1"/>
      <c r="AB2609" s="12"/>
      <c r="AC2609" s="12"/>
      <c r="AD2609" s="12"/>
      <c r="AE2609" s="12"/>
      <c r="AF2609" s="12"/>
      <c r="AG2609" s="12"/>
      <c r="AH2609" s="12"/>
      <c r="AI2609" s="6"/>
      <c r="AJ2609" s="12"/>
      <c r="AK2609" s="12"/>
      <c r="AL2609" s="12"/>
      <c r="AM2609" s="12"/>
      <c r="AN2609" s="1"/>
      <c r="AO2609" s="6"/>
    </row>
    <row r="2610" spans="1:41" ht="15" x14ac:dyDescent="0.25">
      <c r="A2610" s="1"/>
      <c r="B2610" s="1"/>
      <c r="C2610" s="1"/>
      <c r="D2610" s="1"/>
      <c r="E2610" s="6"/>
      <c r="F2610" s="1"/>
      <c r="G2610" s="6"/>
      <c r="H2610" s="6"/>
      <c r="I2610" s="6"/>
      <c r="J2610" s="6"/>
      <c r="K2610" s="6"/>
      <c r="L2610" s="6"/>
      <c r="M2610" s="6"/>
      <c r="N2610" s="6"/>
      <c r="O2610" s="7"/>
      <c r="P2610" s="6"/>
      <c r="Q2610" s="6"/>
      <c r="R2610" s="7"/>
      <c r="S2610" s="6"/>
      <c r="T2610" s="6"/>
      <c r="U2610" s="7"/>
      <c r="V2610" s="6"/>
      <c r="W2610" s="6"/>
      <c r="X2610" s="6"/>
      <c r="Y2610" s="6"/>
      <c r="Z2610" s="6"/>
      <c r="AA2610" s="7"/>
      <c r="AB2610" s="6"/>
      <c r="AC2610" s="6"/>
      <c r="AD2610" s="6"/>
      <c r="AE2610" s="12"/>
      <c r="AF2610" s="6"/>
      <c r="AG2610" s="12"/>
      <c r="AH2610" s="6"/>
      <c r="AI2610" s="6"/>
      <c r="AJ2610" s="12"/>
      <c r="AK2610" s="1"/>
      <c r="AL2610" s="12"/>
      <c r="AM2610" s="12"/>
      <c r="AN2610" s="1"/>
      <c r="AO2610" s="6"/>
    </row>
    <row r="2611" spans="1:41" ht="15" x14ac:dyDescent="0.25">
      <c r="A2611" s="1"/>
      <c r="B2611" s="1"/>
      <c r="C2611" s="1"/>
      <c r="D2611" s="1"/>
      <c r="E2611" s="6"/>
      <c r="F2611" s="1"/>
      <c r="G2611" s="6"/>
      <c r="H2611" s="6"/>
      <c r="I2611" s="6"/>
      <c r="J2611" s="6"/>
      <c r="K2611" s="6"/>
      <c r="L2611" s="6"/>
      <c r="M2611" s="6"/>
      <c r="N2611" s="6"/>
      <c r="O2611" s="7"/>
      <c r="P2611" s="6"/>
      <c r="Q2611" s="6"/>
      <c r="R2611" s="7"/>
      <c r="S2611" s="6"/>
      <c r="T2611" s="6"/>
      <c r="U2611" s="7"/>
      <c r="V2611" s="6"/>
      <c r="W2611" s="6"/>
      <c r="X2611" s="6"/>
      <c r="Y2611" s="6"/>
      <c r="Z2611" s="6"/>
      <c r="AA2611" s="7"/>
      <c r="AB2611" s="6"/>
      <c r="AC2611" s="6"/>
      <c r="AD2611" s="6"/>
      <c r="AE2611" s="12"/>
      <c r="AF2611" s="6"/>
      <c r="AG2611" s="12"/>
      <c r="AH2611" s="6"/>
      <c r="AI2611" s="6"/>
      <c r="AJ2611" s="12"/>
      <c r="AK2611" s="1"/>
      <c r="AL2611" s="12"/>
      <c r="AM2611" s="12"/>
      <c r="AN2611" s="1"/>
      <c r="AO2611" s="6"/>
    </row>
    <row r="2612" spans="1:41" ht="15" x14ac:dyDescent="0.25">
      <c r="A2612" s="1"/>
      <c r="B2612" s="1"/>
      <c r="C2612" s="1"/>
      <c r="D2612" s="1"/>
      <c r="E2612" s="6"/>
      <c r="F2612" s="1"/>
      <c r="G2612" s="6"/>
      <c r="H2612" s="6"/>
      <c r="I2612" s="6"/>
      <c r="J2612" s="6"/>
      <c r="K2612" s="6"/>
      <c r="L2612" s="6"/>
      <c r="M2612" s="6"/>
      <c r="N2612" s="6"/>
      <c r="O2612" s="7"/>
      <c r="P2612" s="6"/>
      <c r="Q2612" s="6"/>
      <c r="R2612" s="7"/>
      <c r="S2612" s="6"/>
      <c r="T2612" s="6"/>
      <c r="U2612" s="7"/>
      <c r="V2612" s="6"/>
      <c r="W2612" s="6"/>
      <c r="X2612" s="6"/>
      <c r="Y2612" s="6"/>
      <c r="Z2612" s="6"/>
      <c r="AA2612" s="7"/>
      <c r="AB2612" s="6"/>
      <c r="AC2612" s="6"/>
      <c r="AD2612" s="6"/>
      <c r="AE2612" s="12"/>
      <c r="AF2612" s="6"/>
      <c r="AG2612" s="12"/>
      <c r="AH2612" s="6"/>
      <c r="AI2612" s="6"/>
      <c r="AJ2612" s="12"/>
      <c r="AK2612" s="1"/>
      <c r="AL2612" s="12"/>
      <c r="AM2612" s="12"/>
      <c r="AN2612" s="1"/>
      <c r="AO2612" s="6"/>
    </row>
    <row r="2613" spans="1:41" ht="15" x14ac:dyDescent="0.25">
      <c r="A2613" s="1"/>
      <c r="B2613" s="1"/>
      <c r="C2613" s="1"/>
      <c r="D2613" s="1"/>
      <c r="E2613" s="6"/>
      <c r="F2613" s="1"/>
      <c r="G2613" s="6"/>
      <c r="H2613" s="6"/>
      <c r="I2613" s="6"/>
      <c r="J2613" s="6"/>
      <c r="K2613" s="6"/>
      <c r="L2613" s="6"/>
      <c r="M2613" s="6"/>
      <c r="N2613" s="6"/>
      <c r="O2613" s="7"/>
      <c r="P2613" s="6"/>
      <c r="Q2613" s="6"/>
      <c r="R2613" s="12"/>
      <c r="S2613" s="12"/>
      <c r="T2613" s="12"/>
      <c r="U2613" s="7"/>
      <c r="V2613" s="6"/>
      <c r="W2613" s="6"/>
      <c r="X2613" s="12"/>
      <c r="Y2613" s="6"/>
      <c r="Z2613" s="6"/>
      <c r="AA2613" s="7"/>
      <c r="AB2613" s="6"/>
      <c r="AC2613" s="6"/>
      <c r="AD2613" s="6"/>
      <c r="AE2613" s="12"/>
      <c r="AF2613" s="12"/>
      <c r="AG2613" s="12"/>
      <c r="AH2613" s="12"/>
      <c r="AI2613" s="6"/>
      <c r="AJ2613" s="12"/>
      <c r="AK2613" s="1"/>
      <c r="AL2613" s="12"/>
      <c r="AM2613" s="12"/>
      <c r="AN2613" s="1"/>
      <c r="AO2613" s="6"/>
    </row>
    <row r="2614" spans="1:41" ht="15" x14ac:dyDescent="0.25">
      <c r="A2614" s="1"/>
      <c r="B2614" s="1"/>
      <c r="C2614" s="1"/>
      <c r="D2614" s="1"/>
      <c r="E2614" s="6"/>
      <c r="F2614" s="1"/>
      <c r="G2614" s="6"/>
      <c r="H2614" s="6"/>
      <c r="I2614" s="6"/>
      <c r="J2614" s="6"/>
      <c r="K2614" s="6"/>
      <c r="L2614" s="6"/>
      <c r="M2614" s="6"/>
      <c r="N2614" s="6"/>
      <c r="O2614" s="7"/>
      <c r="P2614" s="12"/>
      <c r="Q2614" s="6"/>
      <c r="R2614" s="7"/>
      <c r="S2614" s="6"/>
      <c r="T2614" s="6"/>
      <c r="U2614" s="7"/>
      <c r="V2614" s="6"/>
      <c r="W2614" s="6"/>
      <c r="X2614" s="12"/>
      <c r="Y2614" s="6"/>
      <c r="Z2614" s="6"/>
      <c r="AA2614" s="7"/>
      <c r="AB2614" s="6"/>
      <c r="AC2614" s="6"/>
      <c r="AD2614" s="6"/>
      <c r="AE2614" s="12"/>
      <c r="AF2614" s="12"/>
      <c r="AG2614" s="12"/>
      <c r="AH2614" s="12"/>
      <c r="AI2614" s="6"/>
      <c r="AJ2614" s="12"/>
      <c r="AK2614" s="24"/>
      <c r="AL2614" s="25"/>
      <c r="AM2614" s="12"/>
      <c r="AN2614" s="1"/>
      <c r="AO2614" s="6"/>
    </row>
    <row r="2615" spans="1:41" ht="15" x14ac:dyDescent="0.25">
      <c r="A2615" s="1"/>
      <c r="B2615" s="1"/>
      <c r="C2615" s="1"/>
      <c r="D2615" s="1"/>
      <c r="E2615" s="6"/>
      <c r="F2615" s="1"/>
      <c r="G2615" s="6"/>
      <c r="H2615" s="6"/>
      <c r="I2615" s="6"/>
      <c r="J2615" s="6"/>
      <c r="K2615" s="6"/>
      <c r="L2615" s="6"/>
      <c r="M2615" s="6"/>
      <c r="N2615" s="6"/>
      <c r="O2615" s="7"/>
      <c r="P2615" s="12"/>
      <c r="Q2615" s="6"/>
      <c r="R2615" s="7"/>
      <c r="S2615" s="6"/>
      <c r="T2615" s="6"/>
      <c r="U2615" s="7"/>
      <c r="V2615" s="6"/>
      <c r="W2615" s="6"/>
      <c r="X2615" s="6"/>
      <c r="Y2615" s="6"/>
      <c r="Z2615" s="6"/>
      <c r="AA2615" s="7"/>
      <c r="AB2615" s="6"/>
      <c r="AC2615" s="6"/>
      <c r="AD2615" s="6"/>
      <c r="AE2615" s="12"/>
      <c r="AF2615" s="6"/>
      <c r="AG2615" s="12"/>
      <c r="AH2615" s="6"/>
      <c r="AI2615" s="6"/>
      <c r="AJ2615" s="12"/>
      <c r="AK2615" s="1"/>
      <c r="AL2615" s="12"/>
      <c r="AM2615" s="12"/>
      <c r="AN2615" s="1"/>
      <c r="AO2615" s="6"/>
    </row>
    <row r="2616" spans="1:41" ht="15" x14ac:dyDescent="0.25">
      <c r="A2616" s="1"/>
      <c r="B2616" s="1"/>
      <c r="C2616" s="1"/>
      <c r="D2616" s="1"/>
      <c r="E2616" s="6"/>
      <c r="F2616" s="1"/>
      <c r="G2616" s="6"/>
      <c r="H2616" s="6"/>
      <c r="I2616" s="6"/>
      <c r="J2616" s="6"/>
      <c r="K2616" s="6"/>
      <c r="L2616" s="6"/>
      <c r="M2616" s="6"/>
      <c r="N2616" s="6"/>
      <c r="O2616" s="7"/>
      <c r="P2616" s="6"/>
      <c r="Q2616" s="6"/>
      <c r="R2616" s="7"/>
      <c r="S2616" s="6"/>
      <c r="T2616" s="6"/>
      <c r="U2616" s="7"/>
      <c r="V2616" s="6"/>
      <c r="W2616" s="6"/>
      <c r="X2616" s="6"/>
      <c r="Y2616" s="6"/>
      <c r="Z2616" s="6"/>
      <c r="AA2616" s="7"/>
      <c r="AB2616" s="6"/>
      <c r="AC2616" s="6"/>
      <c r="AD2616" s="6"/>
      <c r="AE2616" s="12"/>
      <c r="AF2616" s="6"/>
      <c r="AG2616" s="12"/>
      <c r="AH2616" s="6"/>
      <c r="AI2616" s="6"/>
      <c r="AJ2616" s="12"/>
      <c r="AK2616" s="24"/>
      <c r="AL2616" s="25"/>
      <c r="AM2616" s="12"/>
      <c r="AN2616" s="1"/>
      <c r="AO2616" s="6"/>
    </row>
    <row r="2617" spans="1:41" ht="15" x14ac:dyDescent="0.25">
      <c r="A2617" s="1"/>
      <c r="B2617" s="1"/>
      <c r="C2617" s="1"/>
      <c r="D2617" s="1"/>
      <c r="E2617" s="6"/>
      <c r="F2617" s="1"/>
      <c r="G2617" s="6"/>
      <c r="H2617" s="6"/>
      <c r="I2617" s="6"/>
      <c r="J2617" s="6"/>
      <c r="K2617" s="12"/>
      <c r="L2617" s="12"/>
      <c r="M2617" s="6"/>
      <c r="N2617" s="6"/>
      <c r="O2617" s="7"/>
      <c r="P2617" s="6"/>
      <c r="Q2617" s="6"/>
      <c r="R2617" s="7"/>
      <c r="S2617" s="6"/>
      <c r="T2617" s="6"/>
      <c r="U2617" s="7"/>
      <c r="V2617" s="6"/>
      <c r="W2617" s="6"/>
      <c r="X2617" s="12"/>
      <c r="Y2617" s="6"/>
      <c r="Z2617" s="6"/>
      <c r="AA2617" s="7"/>
      <c r="AB2617" s="6"/>
      <c r="AC2617" s="6"/>
      <c r="AD2617" s="6"/>
      <c r="AE2617" s="12"/>
      <c r="AF2617" s="12"/>
      <c r="AG2617" s="12"/>
      <c r="AH2617" s="12"/>
      <c r="AI2617" s="6"/>
      <c r="AJ2617" s="12"/>
      <c r="AK2617" s="24"/>
      <c r="AL2617" s="25"/>
      <c r="AM2617" s="12"/>
      <c r="AN2617" s="1"/>
      <c r="AO2617" s="6"/>
    </row>
    <row r="2618" spans="1:41" ht="15" x14ac:dyDescent="0.25">
      <c r="A2618" s="1"/>
      <c r="B2618" s="1"/>
      <c r="C2618" s="1"/>
      <c r="D2618" s="1"/>
      <c r="E2618" s="6"/>
      <c r="F2618" s="1"/>
      <c r="G2618" s="6"/>
      <c r="H2618" s="6"/>
      <c r="I2618" s="6"/>
      <c r="J2618" s="6"/>
      <c r="K2618" s="6"/>
      <c r="L2618" s="6"/>
      <c r="M2618" s="6"/>
      <c r="N2618" s="6"/>
      <c r="O2618" s="7"/>
      <c r="P2618" s="12"/>
      <c r="Q2618" s="6"/>
      <c r="R2618" s="7"/>
      <c r="S2618" s="6"/>
      <c r="T2618" s="6"/>
      <c r="U2618" s="7"/>
      <c r="V2618" s="6"/>
      <c r="W2618" s="6"/>
      <c r="X2618" s="6"/>
      <c r="Y2618" s="6"/>
      <c r="Z2618" s="6"/>
      <c r="AA2618" s="7"/>
      <c r="AB2618" s="6"/>
      <c r="AC2618" s="6"/>
      <c r="AD2618" s="6"/>
      <c r="AE2618" s="12"/>
      <c r="AF2618" s="12"/>
      <c r="AG2618" s="12"/>
      <c r="AH2618" s="12"/>
      <c r="AI2618" s="6"/>
      <c r="AJ2618" s="12"/>
      <c r="AK2618" s="1"/>
      <c r="AL2618" s="12"/>
      <c r="AM2618" s="12"/>
      <c r="AN2618" s="1"/>
      <c r="AO2618" s="6"/>
    </row>
    <row r="2619" spans="1:41" ht="15" x14ac:dyDescent="0.25">
      <c r="A2619" s="1"/>
      <c r="B2619" s="1"/>
      <c r="C2619" s="1"/>
      <c r="D2619" s="1"/>
      <c r="E2619" s="6"/>
      <c r="F2619" s="1"/>
      <c r="G2619" s="6"/>
      <c r="H2619" s="6"/>
      <c r="I2619" s="6"/>
      <c r="J2619" s="6"/>
      <c r="K2619" s="6"/>
      <c r="L2619" s="6"/>
      <c r="M2619" s="6"/>
      <c r="N2619" s="6"/>
      <c r="O2619" s="7"/>
      <c r="P2619" s="6"/>
      <c r="Q2619" s="6"/>
      <c r="R2619" s="7"/>
      <c r="S2619" s="6"/>
      <c r="T2619" s="6"/>
      <c r="U2619" s="7"/>
      <c r="V2619" s="6"/>
      <c r="W2619" s="6"/>
      <c r="X2619" s="6"/>
      <c r="Y2619" s="6"/>
      <c r="Z2619" s="6"/>
      <c r="AA2619" s="7"/>
      <c r="AB2619" s="6"/>
      <c r="AC2619" s="6"/>
      <c r="AD2619" s="6"/>
      <c r="AE2619" s="12"/>
      <c r="AF2619" s="12"/>
      <c r="AG2619" s="12"/>
      <c r="AH2619" s="12"/>
      <c r="AI2619" s="6"/>
      <c r="AJ2619" s="12"/>
      <c r="AK2619" s="1"/>
      <c r="AL2619" s="12"/>
      <c r="AM2619" s="12"/>
      <c r="AN2619" s="1"/>
      <c r="AO2619" s="6"/>
    </row>
    <row r="2620" spans="1:41" ht="15" x14ac:dyDescent="0.25">
      <c r="A2620" s="1"/>
      <c r="B2620" s="1"/>
      <c r="C2620" s="1"/>
      <c r="D2620" s="1"/>
      <c r="E2620" s="6"/>
      <c r="F2620" s="1"/>
      <c r="G2620" s="6"/>
      <c r="H2620" s="6"/>
      <c r="I2620" s="6"/>
      <c r="J2620" s="6"/>
      <c r="K2620" s="6"/>
      <c r="L2620" s="6"/>
      <c r="M2620" s="6"/>
      <c r="N2620" s="6"/>
      <c r="O2620" s="7"/>
      <c r="P2620" s="6"/>
      <c r="Q2620" s="6"/>
      <c r="R2620" s="7"/>
      <c r="S2620" s="6"/>
      <c r="T2620" s="6"/>
      <c r="U2620" s="7"/>
      <c r="V2620" s="6"/>
      <c r="W2620" s="6"/>
      <c r="X2620" s="12"/>
      <c r="Y2620" s="6"/>
      <c r="Z2620" s="6"/>
      <c r="AA2620" s="7"/>
      <c r="AB2620" s="6"/>
      <c r="AC2620" s="6"/>
      <c r="AD2620" s="6"/>
      <c r="AE2620" s="12"/>
      <c r="AF2620" s="6"/>
      <c r="AG2620" s="12"/>
      <c r="AH2620" s="6"/>
      <c r="AI2620" s="6"/>
      <c r="AJ2620" s="12"/>
      <c r="AK2620" s="1"/>
      <c r="AL2620" s="12"/>
      <c r="AM2620" s="12"/>
      <c r="AN2620" s="1"/>
      <c r="AO2620" s="6"/>
    </row>
    <row r="2621" spans="1:41" ht="15" x14ac:dyDescent="0.25">
      <c r="A2621" s="1"/>
      <c r="B2621" s="1"/>
      <c r="C2621" s="1"/>
      <c r="D2621" s="1"/>
      <c r="E2621" s="6"/>
      <c r="F2621" s="1"/>
      <c r="G2621" s="6"/>
      <c r="H2621" s="6"/>
      <c r="I2621" s="6"/>
      <c r="J2621" s="6"/>
      <c r="K2621" s="6"/>
      <c r="L2621" s="6"/>
      <c r="M2621" s="6"/>
      <c r="N2621" s="6"/>
      <c r="O2621" s="7"/>
      <c r="P2621" s="6"/>
      <c r="Q2621" s="6"/>
      <c r="R2621" s="7"/>
      <c r="S2621" s="6"/>
      <c r="T2621" s="6"/>
      <c r="U2621" s="7"/>
      <c r="V2621" s="6"/>
      <c r="W2621" s="6"/>
      <c r="X2621" s="6"/>
      <c r="Y2621" s="6"/>
      <c r="Z2621" s="6"/>
      <c r="AA2621" s="7"/>
      <c r="AB2621" s="6"/>
      <c r="AC2621" s="6"/>
      <c r="AD2621" s="6"/>
      <c r="AE2621" s="12"/>
      <c r="AF2621" s="6"/>
      <c r="AG2621" s="12"/>
      <c r="AH2621" s="6"/>
      <c r="AI2621" s="6"/>
      <c r="AJ2621" s="12"/>
      <c r="AK2621" s="24"/>
      <c r="AL2621" s="25"/>
      <c r="AM2621" s="12"/>
      <c r="AN2621" s="1"/>
      <c r="AO2621" s="6"/>
    </row>
    <row r="2622" spans="1:41" ht="15" x14ac:dyDescent="0.25">
      <c r="A2622" s="1"/>
      <c r="B2622" s="1"/>
      <c r="C2622" s="1"/>
      <c r="D2622" s="1"/>
      <c r="E2622" s="6"/>
      <c r="F2622" s="1"/>
      <c r="G2622" s="6"/>
      <c r="H2622" s="6"/>
      <c r="I2622" s="6"/>
      <c r="J2622" s="6"/>
      <c r="K2622" s="6"/>
      <c r="L2622" s="6"/>
      <c r="M2622" s="6"/>
      <c r="N2622" s="6"/>
      <c r="O2622" s="7"/>
      <c r="P2622" s="6"/>
      <c r="Q2622" s="6"/>
      <c r="R2622" s="7"/>
      <c r="S2622" s="6"/>
      <c r="T2622" s="6"/>
      <c r="U2622" s="7"/>
      <c r="V2622" s="6"/>
      <c r="W2622" s="6"/>
      <c r="X2622" s="12"/>
      <c r="Y2622" s="6"/>
      <c r="Z2622" s="6"/>
      <c r="AA2622" s="7"/>
      <c r="AB2622" s="6"/>
      <c r="AC2622" s="6"/>
      <c r="AD2622" s="6"/>
      <c r="AE2622" s="12"/>
      <c r="AF2622" s="12"/>
      <c r="AG2622" s="12"/>
      <c r="AH2622" s="12"/>
      <c r="AI2622" s="6"/>
      <c r="AJ2622" s="12"/>
      <c r="AK2622" s="1"/>
      <c r="AL2622" s="12"/>
      <c r="AM2622" s="12"/>
      <c r="AN2622" s="1"/>
      <c r="AO2622" s="6"/>
    </row>
    <row r="2623" spans="1:41" ht="15" x14ac:dyDescent="0.25">
      <c r="A2623" s="1"/>
      <c r="B2623" s="1"/>
      <c r="C2623" s="1"/>
      <c r="D2623" s="1"/>
      <c r="E2623" s="6"/>
      <c r="F2623" s="1"/>
      <c r="G2623" s="6"/>
      <c r="H2623" s="6"/>
      <c r="I2623" s="6"/>
      <c r="J2623" s="6"/>
      <c r="K2623" s="6"/>
      <c r="L2623" s="6"/>
      <c r="M2623" s="6"/>
      <c r="N2623" s="6"/>
      <c r="O2623" s="7"/>
      <c r="P2623" s="6"/>
      <c r="Q2623" s="6"/>
      <c r="R2623" s="7"/>
      <c r="S2623" s="6"/>
      <c r="T2623" s="6"/>
      <c r="U2623" s="7"/>
      <c r="V2623" s="6"/>
      <c r="W2623" s="6"/>
      <c r="X2623" s="6"/>
      <c r="Y2623" s="6"/>
      <c r="Z2623" s="6"/>
      <c r="AA2623" s="7"/>
      <c r="AB2623" s="6"/>
      <c r="AC2623" s="6"/>
      <c r="AD2623" s="6"/>
      <c r="AE2623" s="12"/>
      <c r="AF2623" s="6"/>
      <c r="AG2623" s="12"/>
      <c r="AH2623" s="6"/>
      <c r="AI2623" s="6"/>
      <c r="AJ2623" s="12"/>
      <c r="AK2623" s="24"/>
      <c r="AL2623" s="25"/>
      <c r="AM2623" s="12"/>
      <c r="AN2623" s="1"/>
      <c r="AO2623" s="6"/>
    </row>
    <row r="2624" spans="1:41" ht="15" x14ac:dyDescent="0.25">
      <c r="A2624" s="1"/>
      <c r="B2624" s="1"/>
      <c r="C2624" s="1"/>
      <c r="D2624" s="1"/>
      <c r="E2624" s="6"/>
      <c r="F2624" s="1"/>
      <c r="G2624" s="6"/>
      <c r="H2624" s="6"/>
      <c r="I2624" s="6"/>
      <c r="J2624" s="6"/>
      <c r="K2624" s="6"/>
      <c r="L2624" s="6"/>
      <c r="M2624" s="6"/>
      <c r="N2624" s="6"/>
      <c r="O2624" s="7"/>
      <c r="P2624" s="6"/>
      <c r="Q2624" s="6"/>
      <c r="R2624" s="7"/>
      <c r="S2624" s="6"/>
      <c r="T2624" s="6"/>
      <c r="U2624" s="7"/>
      <c r="V2624" s="6"/>
      <c r="W2624" s="6"/>
      <c r="X2624" s="12"/>
      <c r="Y2624" s="6"/>
      <c r="Z2624" s="6"/>
      <c r="AA2624" s="7"/>
      <c r="AB2624" s="6"/>
      <c r="AC2624" s="6"/>
      <c r="AD2624" s="6"/>
      <c r="AE2624" s="12"/>
      <c r="AF2624" s="6"/>
      <c r="AG2624" s="12"/>
      <c r="AH2624" s="6"/>
      <c r="AI2624" s="6"/>
      <c r="AJ2624" s="12"/>
      <c r="AK2624" s="1"/>
      <c r="AL2624" s="12"/>
      <c r="AM2624" s="12"/>
      <c r="AN2624" s="1"/>
      <c r="AO2624" s="6"/>
    </row>
    <row r="2625" spans="1:41" ht="15" x14ac:dyDescent="0.25">
      <c r="A2625" s="1"/>
      <c r="B2625" s="1"/>
      <c r="C2625" s="1"/>
      <c r="D2625" s="1"/>
      <c r="E2625" s="6"/>
      <c r="F2625" s="1"/>
      <c r="G2625" s="6"/>
      <c r="H2625" s="6"/>
      <c r="I2625" s="6"/>
      <c r="J2625" s="6"/>
      <c r="K2625" s="6"/>
      <c r="L2625" s="6"/>
      <c r="M2625" s="6"/>
      <c r="N2625" s="6"/>
      <c r="O2625" s="7"/>
      <c r="P2625" s="6"/>
      <c r="Q2625" s="6"/>
      <c r="R2625" s="7"/>
      <c r="S2625" s="6"/>
      <c r="T2625" s="6"/>
      <c r="U2625" s="7"/>
      <c r="V2625" s="6"/>
      <c r="W2625" s="6"/>
      <c r="X2625" s="12"/>
      <c r="Y2625" s="6"/>
      <c r="Z2625" s="6"/>
      <c r="AA2625" s="7"/>
      <c r="AB2625" s="6"/>
      <c r="AC2625" s="6"/>
      <c r="AD2625" s="6"/>
      <c r="AE2625" s="12"/>
      <c r="AF2625" s="12"/>
      <c r="AG2625" s="12"/>
      <c r="AH2625" s="12"/>
      <c r="AI2625" s="6"/>
      <c r="AJ2625" s="12"/>
      <c r="AK2625" s="1"/>
      <c r="AL2625" s="12"/>
      <c r="AM2625" s="12"/>
      <c r="AN2625" s="1"/>
      <c r="AO2625" s="6"/>
    </row>
    <row r="2626" spans="1:41" ht="15" x14ac:dyDescent="0.25">
      <c r="A2626" s="1"/>
      <c r="B2626" s="1"/>
      <c r="C2626" s="1"/>
      <c r="D2626" s="1"/>
      <c r="E2626" s="6"/>
      <c r="F2626" s="1"/>
      <c r="G2626" s="6"/>
      <c r="H2626" s="6"/>
      <c r="I2626" s="6"/>
      <c r="J2626" s="6"/>
      <c r="K2626" s="6"/>
      <c r="L2626" s="6"/>
      <c r="M2626" s="6"/>
      <c r="N2626" s="6"/>
      <c r="O2626" s="7"/>
      <c r="P2626" s="6"/>
      <c r="Q2626" s="6"/>
      <c r="R2626" s="7"/>
      <c r="S2626" s="6"/>
      <c r="T2626" s="6"/>
      <c r="U2626" s="7"/>
      <c r="V2626" s="6"/>
      <c r="W2626" s="6"/>
      <c r="X2626" s="6"/>
      <c r="Y2626" s="6"/>
      <c r="Z2626" s="6"/>
      <c r="AA2626" s="7"/>
      <c r="AB2626" s="6"/>
      <c r="AC2626" s="6"/>
      <c r="AD2626" s="6"/>
      <c r="AE2626" s="12"/>
      <c r="AF2626" s="6"/>
      <c r="AG2626" s="12"/>
      <c r="AH2626" s="6"/>
      <c r="AI2626" s="6"/>
      <c r="AJ2626" s="12"/>
      <c r="AK2626" s="24"/>
      <c r="AL2626" s="25"/>
      <c r="AM2626" s="12"/>
      <c r="AN2626" s="1"/>
      <c r="AO2626" s="6"/>
    </row>
    <row r="2627" spans="1:41" ht="15" x14ac:dyDescent="0.25">
      <c r="A2627" s="1"/>
      <c r="B2627" s="1"/>
      <c r="C2627" s="1"/>
      <c r="D2627" s="1"/>
      <c r="E2627" s="6"/>
      <c r="F2627" s="1"/>
      <c r="G2627" s="6"/>
      <c r="H2627" s="6"/>
      <c r="I2627" s="6"/>
      <c r="J2627" s="6"/>
      <c r="K2627" s="6"/>
      <c r="L2627" s="6"/>
      <c r="M2627" s="6"/>
      <c r="N2627" s="6"/>
      <c r="O2627" s="7"/>
      <c r="P2627" s="6"/>
      <c r="Q2627" s="6"/>
      <c r="R2627" s="7"/>
      <c r="S2627" s="6"/>
      <c r="T2627" s="6"/>
      <c r="U2627" s="7"/>
      <c r="V2627" s="6"/>
      <c r="W2627" s="6"/>
      <c r="X2627" s="12"/>
      <c r="Y2627" s="6"/>
      <c r="Z2627" s="6"/>
      <c r="AA2627" s="7"/>
      <c r="AB2627" s="6"/>
      <c r="AC2627" s="6"/>
      <c r="AD2627" s="6"/>
      <c r="AE2627" s="12"/>
      <c r="AF2627" s="12"/>
      <c r="AG2627" s="12"/>
      <c r="AH2627" s="12"/>
      <c r="AI2627" s="6"/>
      <c r="AJ2627" s="12"/>
      <c r="AK2627" s="24"/>
      <c r="AL2627" s="25"/>
      <c r="AM2627" s="12"/>
      <c r="AN2627" s="1"/>
      <c r="AO2627" s="6"/>
    </row>
    <row r="2628" spans="1:41" ht="15" x14ac:dyDescent="0.25">
      <c r="A2628" s="1"/>
      <c r="B2628" s="1"/>
      <c r="C2628" s="1"/>
      <c r="D2628" s="1"/>
      <c r="E2628" s="6"/>
      <c r="F2628" s="1"/>
      <c r="G2628" s="6"/>
      <c r="H2628" s="6"/>
      <c r="I2628" s="6"/>
      <c r="J2628" s="6"/>
      <c r="K2628" s="6"/>
      <c r="L2628" s="6"/>
      <c r="M2628" s="6"/>
      <c r="N2628" s="6"/>
      <c r="O2628" s="7"/>
      <c r="P2628" s="6"/>
      <c r="Q2628" s="6"/>
      <c r="R2628" s="12"/>
      <c r="S2628" s="12"/>
      <c r="T2628" s="12"/>
      <c r="U2628" s="7"/>
      <c r="V2628" s="6"/>
      <c r="W2628" s="6"/>
      <c r="X2628" s="12"/>
      <c r="Y2628" s="6"/>
      <c r="Z2628" s="6"/>
      <c r="AA2628" s="7"/>
      <c r="AB2628" s="6"/>
      <c r="AC2628" s="6"/>
      <c r="AD2628" s="6"/>
      <c r="AE2628" s="12"/>
      <c r="AF2628" s="12"/>
      <c r="AG2628" s="12"/>
      <c r="AH2628" s="12"/>
      <c r="AI2628" s="6"/>
      <c r="AJ2628" s="12"/>
      <c r="AK2628" s="24"/>
      <c r="AL2628" s="25"/>
      <c r="AM2628" s="12"/>
      <c r="AN2628" s="1"/>
      <c r="AO2628" s="6"/>
    </row>
    <row r="2629" spans="1:41" ht="15" x14ac:dyDescent="0.25">
      <c r="A2629" s="1"/>
      <c r="B2629" s="1"/>
      <c r="C2629" s="1"/>
      <c r="D2629" s="1"/>
      <c r="E2629" s="6"/>
      <c r="F2629" s="1"/>
      <c r="G2629" s="6"/>
      <c r="H2629" s="6"/>
      <c r="I2629" s="6"/>
      <c r="J2629" s="6"/>
      <c r="K2629" s="6"/>
      <c r="L2629" s="6"/>
      <c r="M2629" s="6"/>
      <c r="N2629" s="6"/>
      <c r="O2629" s="7"/>
      <c r="P2629" s="6"/>
      <c r="Q2629" s="6"/>
      <c r="R2629" s="7"/>
      <c r="S2629" s="6"/>
      <c r="T2629" s="6"/>
      <c r="U2629" s="7"/>
      <c r="V2629" s="6"/>
      <c r="W2629" s="6"/>
      <c r="X2629" s="6"/>
      <c r="Y2629" s="6"/>
      <c r="Z2629" s="6"/>
      <c r="AA2629" s="7"/>
      <c r="AB2629" s="6"/>
      <c r="AC2629" s="6"/>
      <c r="AD2629" s="6"/>
      <c r="AE2629" s="12"/>
      <c r="AF2629" s="12"/>
      <c r="AG2629" s="12"/>
      <c r="AH2629" s="12"/>
      <c r="AI2629" s="6"/>
      <c r="AJ2629" s="12"/>
      <c r="AK2629" s="1"/>
      <c r="AL2629" s="12"/>
      <c r="AM2629" s="12"/>
      <c r="AN2629" s="1"/>
      <c r="AO2629" s="6"/>
    </row>
    <row r="2630" spans="1:41" ht="15" x14ac:dyDescent="0.25">
      <c r="A2630" s="1"/>
      <c r="B2630" s="1"/>
      <c r="C2630" s="1"/>
      <c r="D2630" s="1"/>
      <c r="E2630" s="6"/>
      <c r="F2630" s="1"/>
      <c r="G2630" s="6"/>
      <c r="H2630" s="6"/>
      <c r="I2630" s="6"/>
      <c r="J2630" s="6"/>
      <c r="K2630" s="6"/>
      <c r="L2630" s="6"/>
      <c r="M2630" s="6"/>
      <c r="N2630" s="6"/>
      <c r="O2630" s="7"/>
      <c r="P2630" s="6"/>
      <c r="Q2630" s="6"/>
      <c r="R2630" s="7"/>
      <c r="S2630" s="6"/>
      <c r="T2630" s="6"/>
      <c r="U2630" s="7"/>
      <c r="V2630" s="6"/>
      <c r="W2630" s="6"/>
      <c r="X2630" s="6"/>
      <c r="Y2630" s="6"/>
      <c r="Z2630" s="6"/>
      <c r="AA2630" s="7"/>
      <c r="AB2630" s="6"/>
      <c r="AC2630" s="6"/>
      <c r="AD2630" s="6"/>
      <c r="AE2630" s="12"/>
      <c r="AF2630" s="6"/>
      <c r="AG2630" s="12"/>
      <c r="AH2630" s="6"/>
      <c r="AI2630" s="6"/>
      <c r="AJ2630" s="12"/>
      <c r="AK2630" s="24"/>
      <c r="AL2630" s="25"/>
      <c r="AM2630" s="12"/>
      <c r="AN2630" s="1"/>
      <c r="AO2630" s="6"/>
    </row>
    <row r="2631" spans="1:41" ht="15" x14ac:dyDescent="0.25">
      <c r="A2631" s="1"/>
      <c r="B2631" s="1"/>
      <c r="C2631" s="1"/>
      <c r="D2631" s="1"/>
      <c r="E2631" s="6"/>
      <c r="F2631" s="1"/>
      <c r="G2631" s="6"/>
      <c r="H2631" s="6"/>
      <c r="I2631" s="6"/>
      <c r="J2631" s="6"/>
      <c r="K2631" s="6"/>
      <c r="L2631" s="6"/>
      <c r="M2631" s="6"/>
      <c r="N2631" s="6"/>
      <c r="O2631" s="7"/>
      <c r="P2631" s="6"/>
      <c r="Q2631" s="7"/>
      <c r="R2631" s="12"/>
      <c r="S2631" s="12"/>
      <c r="T2631" s="12"/>
      <c r="U2631" s="6"/>
      <c r="V2631" s="7"/>
      <c r="W2631" s="6"/>
      <c r="X2631" s="6"/>
      <c r="Y2631" s="6"/>
      <c r="Z2631" s="6"/>
      <c r="AA2631" s="1"/>
      <c r="AB2631" s="12"/>
      <c r="AC2631" s="12"/>
      <c r="AD2631" s="12"/>
      <c r="AE2631" s="12"/>
      <c r="AF2631" s="6"/>
      <c r="AG2631" s="12"/>
      <c r="AH2631" s="6"/>
      <c r="AI2631" s="6"/>
      <c r="AJ2631" s="12"/>
      <c r="AK2631" s="12"/>
      <c r="AL2631" s="12"/>
      <c r="AM2631" s="12"/>
      <c r="AN2631" s="1"/>
      <c r="AO2631" s="6"/>
    </row>
    <row r="2632" spans="1:41" ht="15" x14ac:dyDescent="0.25">
      <c r="A2632" s="1"/>
      <c r="B2632" s="1"/>
      <c r="C2632" s="1"/>
      <c r="D2632" s="1"/>
      <c r="E2632" s="6"/>
      <c r="F2632" s="1"/>
      <c r="G2632" s="6"/>
      <c r="H2632" s="6"/>
      <c r="I2632" s="6"/>
      <c r="J2632" s="6"/>
      <c r="K2632" s="6"/>
      <c r="L2632" s="6"/>
      <c r="M2632" s="6"/>
      <c r="N2632" s="6"/>
      <c r="O2632" s="7"/>
      <c r="P2632" s="6"/>
      <c r="Q2632" s="7"/>
      <c r="R2632" s="6"/>
      <c r="S2632" s="6"/>
      <c r="T2632" s="6"/>
      <c r="U2632" s="6"/>
      <c r="V2632" s="7"/>
      <c r="W2632" s="7"/>
      <c r="X2632" s="6"/>
      <c r="Y2632" s="6"/>
      <c r="Z2632" s="6"/>
      <c r="AA2632" s="1"/>
      <c r="AB2632" s="12"/>
      <c r="AC2632" s="12"/>
      <c r="AD2632" s="12"/>
      <c r="AE2632" s="12"/>
      <c r="AF2632" s="12"/>
      <c r="AG2632" s="12"/>
      <c r="AH2632" s="12"/>
      <c r="AI2632" s="6"/>
      <c r="AJ2632" s="12"/>
      <c r="AK2632" s="12"/>
      <c r="AL2632" s="12"/>
      <c r="AM2632" s="12"/>
      <c r="AN2632" s="1"/>
      <c r="AO2632" s="6"/>
    </row>
    <row r="2633" spans="1:41" ht="15" x14ac:dyDescent="0.25">
      <c r="A2633" s="1"/>
      <c r="B2633" s="1"/>
      <c r="C2633" s="1"/>
      <c r="D2633" s="1"/>
      <c r="E2633" s="6"/>
      <c r="F2633" s="1"/>
      <c r="G2633" s="6"/>
      <c r="H2633" s="6"/>
      <c r="I2633" s="6"/>
      <c r="J2633" s="6"/>
      <c r="K2633" s="12"/>
      <c r="L2633" s="12"/>
      <c r="M2633" s="6"/>
      <c r="N2633" s="6"/>
      <c r="O2633" s="7"/>
      <c r="P2633" s="6"/>
      <c r="Q2633" s="6"/>
      <c r="R2633" s="12"/>
      <c r="S2633" s="12"/>
      <c r="T2633" s="12"/>
      <c r="U2633" s="7"/>
      <c r="V2633" s="6"/>
      <c r="W2633" s="6"/>
      <c r="X2633" s="12"/>
      <c r="Y2633" s="6"/>
      <c r="Z2633" s="6"/>
      <c r="AA2633" s="7"/>
      <c r="AB2633" s="6"/>
      <c r="AC2633" s="6"/>
      <c r="AD2633" s="6"/>
      <c r="AE2633" s="12"/>
      <c r="AF2633" s="12"/>
      <c r="AG2633" s="12"/>
      <c r="AH2633" s="12"/>
      <c r="AI2633" s="6"/>
      <c r="AJ2633" s="12"/>
      <c r="AK2633" s="1"/>
      <c r="AL2633" s="12"/>
      <c r="AM2633" s="12"/>
      <c r="AN2633" s="1"/>
      <c r="AO2633" s="12"/>
    </row>
    <row r="2634" spans="1:41" ht="15" x14ac:dyDescent="0.25">
      <c r="A2634" s="1"/>
      <c r="B2634" s="1"/>
      <c r="C2634" s="1"/>
      <c r="D2634" s="1"/>
      <c r="E2634" s="6"/>
      <c r="F2634" s="1"/>
      <c r="G2634" s="6"/>
      <c r="H2634" s="6"/>
      <c r="I2634" s="6"/>
      <c r="J2634" s="6"/>
      <c r="K2634" s="6"/>
      <c r="L2634" s="6"/>
      <c r="M2634" s="6"/>
      <c r="N2634" s="6"/>
      <c r="O2634" s="7"/>
      <c r="P2634" s="6"/>
      <c r="Q2634" s="6"/>
      <c r="R2634" s="7"/>
      <c r="S2634" s="6"/>
      <c r="T2634" s="6"/>
      <c r="U2634" s="7"/>
      <c r="V2634" s="6"/>
      <c r="W2634" s="6"/>
      <c r="X2634" s="6"/>
      <c r="Y2634" s="6"/>
      <c r="Z2634" s="6"/>
      <c r="AA2634" s="7"/>
      <c r="AB2634" s="6"/>
      <c r="AC2634" s="6"/>
      <c r="AD2634" s="6"/>
      <c r="AE2634" s="12"/>
      <c r="AF2634" s="12"/>
      <c r="AG2634" s="12"/>
      <c r="AH2634" s="12"/>
      <c r="AI2634" s="6"/>
      <c r="AJ2634" s="12"/>
      <c r="AK2634" s="1"/>
      <c r="AL2634" s="12"/>
      <c r="AM2634" s="12"/>
      <c r="AN2634" s="1"/>
      <c r="AO2634" s="6"/>
    </row>
    <row r="2635" spans="1:41" ht="15" x14ac:dyDescent="0.25">
      <c r="A2635" s="1"/>
      <c r="B2635" s="1"/>
      <c r="C2635" s="1"/>
      <c r="D2635" s="1"/>
      <c r="E2635" s="6"/>
      <c r="F2635" s="1"/>
      <c r="G2635" s="6"/>
      <c r="H2635" s="6"/>
      <c r="I2635" s="6"/>
      <c r="J2635" s="6"/>
      <c r="K2635" s="6"/>
      <c r="L2635" s="6"/>
      <c r="M2635" s="6"/>
      <c r="N2635" s="6"/>
      <c r="O2635" s="7"/>
      <c r="P2635" s="6"/>
      <c r="Q2635" s="6"/>
      <c r="R2635" s="7"/>
      <c r="S2635" s="6"/>
      <c r="T2635" s="6"/>
      <c r="U2635" s="7"/>
      <c r="V2635" s="6"/>
      <c r="W2635" s="6"/>
      <c r="X2635" s="6"/>
      <c r="Y2635" s="6"/>
      <c r="Z2635" s="6"/>
      <c r="AA2635" s="7"/>
      <c r="AB2635" s="6"/>
      <c r="AC2635" s="6"/>
      <c r="AD2635" s="6"/>
      <c r="AE2635" s="12"/>
      <c r="AF2635" s="6"/>
      <c r="AG2635" s="12"/>
      <c r="AH2635" s="6"/>
      <c r="AI2635" s="6"/>
      <c r="AJ2635" s="12"/>
      <c r="AK2635" s="1"/>
      <c r="AL2635" s="12"/>
      <c r="AM2635" s="12"/>
      <c r="AN2635" s="1"/>
      <c r="AO2635" s="6"/>
    </row>
    <row r="2636" spans="1:41" ht="15" x14ac:dyDescent="0.25">
      <c r="A2636" s="1"/>
      <c r="B2636" s="1"/>
      <c r="C2636" s="1"/>
      <c r="D2636" s="1"/>
      <c r="E2636" s="6"/>
      <c r="F2636" s="1"/>
      <c r="G2636" s="6"/>
      <c r="H2636" s="6"/>
      <c r="I2636" s="6"/>
      <c r="J2636" s="6"/>
      <c r="K2636" s="6"/>
      <c r="L2636" s="6"/>
      <c r="M2636" s="6"/>
      <c r="N2636" s="6"/>
      <c r="O2636" s="7"/>
      <c r="P2636" s="6"/>
      <c r="Q2636" s="6"/>
      <c r="R2636" s="7"/>
      <c r="S2636" s="6"/>
      <c r="T2636" s="6"/>
      <c r="U2636" s="7"/>
      <c r="V2636" s="6"/>
      <c r="W2636" s="6"/>
      <c r="X2636" s="6"/>
      <c r="Y2636" s="6"/>
      <c r="Z2636" s="6"/>
      <c r="AA2636" s="7"/>
      <c r="AB2636" s="6"/>
      <c r="AC2636" s="6"/>
      <c r="AD2636" s="6"/>
      <c r="AE2636" s="12"/>
      <c r="AF2636" s="12"/>
      <c r="AG2636" s="12"/>
      <c r="AH2636" s="12"/>
      <c r="AI2636" s="6"/>
      <c r="AJ2636" s="12"/>
      <c r="AK2636" s="1"/>
      <c r="AL2636" s="12"/>
      <c r="AM2636" s="12"/>
      <c r="AN2636" s="1"/>
      <c r="AO2636" s="6"/>
    </row>
    <row r="2637" spans="1:41" ht="15" x14ac:dyDescent="0.25">
      <c r="A2637" s="1"/>
      <c r="B2637" s="1"/>
      <c r="C2637" s="1"/>
      <c r="D2637" s="1"/>
      <c r="E2637" s="6"/>
      <c r="F2637" s="1"/>
      <c r="G2637" s="6"/>
      <c r="H2637" s="6"/>
      <c r="I2637" s="6"/>
      <c r="J2637" s="6"/>
      <c r="K2637" s="6"/>
      <c r="L2637" s="6"/>
      <c r="M2637" s="6"/>
      <c r="N2637" s="6"/>
      <c r="O2637" s="7"/>
      <c r="P2637" s="6"/>
      <c r="Q2637" s="6"/>
      <c r="R2637" s="7"/>
      <c r="S2637" s="6"/>
      <c r="T2637" s="6"/>
      <c r="U2637" s="7"/>
      <c r="V2637" s="6"/>
      <c r="W2637" s="6"/>
      <c r="X2637" s="6"/>
      <c r="Y2637" s="6"/>
      <c r="Z2637" s="6"/>
      <c r="AA2637" s="7"/>
      <c r="AB2637" s="6"/>
      <c r="AC2637" s="6"/>
      <c r="AD2637" s="6"/>
      <c r="AE2637" s="12"/>
      <c r="AF2637" s="6"/>
      <c r="AG2637" s="12"/>
      <c r="AH2637" s="6"/>
      <c r="AI2637" s="6"/>
      <c r="AJ2637" s="12"/>
      <c r="AK2637" s="1"/>
      <c r="AL2637" s="12"/>
      <c r="AM2637" s="12"/>
      <c r="AN2637" s="1"/>
      <c r="AO2637" s="6"/>
    </row>
    <row r="2638" spans="1:41" ht="15" x14ac:dyDescent="0.25">
      <c r="A2638" s="1"/>
      <c r="B2638" s="1"/>
      <c r="C2638" s="1"/>
      <c r="D2638" s="1"/>
      <c r="E2638" s="6"/>
      <c r="F2638" s="1"/>
      <c r="G2638" s="6"/>
      <c r="H2638" s="6"/>
      <c r="I2638" s="6"/>
      <c r="J2638" s="6"/>
      <c r="K2638" s="6"/>
      <c r="L2638" s="6"/>
      <c r="M2638" s="6"/>
      <c r="N2638" s="6"/>
      <c r="O2638" s="7"/>
      <c r="P2638" s="6"/>
      <c r="Q2638" s="6"/>
      <c r="R2638" s="7"/>
      <c r="S2638" s="6"/>
      <c r="T2638" s="6"/>
      <c r="U2638" s="7"/>
      <c r="V2638" s="6"/>
      <c r="W2638" s="6"/>
      <c r="X2638" s="12"/>
      <c r="Y2638" s="6"/>
      <c r="Z2638" s="6"/>
      <c r="AA2638" s="7"/>
      <c r="AB2638" s="6"/>
      <c r="AC2638" s="6"/>
      <c r="AD2638" s="6"/>
      <c r="AE2638" s="12"/>
      <c r="AF2638" s="12"/>
      <c r="AG2638" s="12"/>
      <c r="AH2638" s="12"/>
      <c r="AI2638" s="6"/>
      <c r="AJ2638" s="12"/>
      <c r="AK2638" s="1"/>
      <c r="AL2638" s="12"/>
      <c r="AM2638" s="12"/>
      <c r="AN2638" s="1"/>
      <c r="AO2638" s="6"/>
    </row>
    <row r="2639" spans="1:41" ht="15" x14ac:dyDescent="0.25">
      <c r="A2639" s="1"/>
      <c r="B2639" s="1"/>
      <c r="C2639" s="1"/>
      <c r="D2639" s="1"/>
      <c r="E2639" s="6"/>
      <c r="F2639" s="1"/>
      <c r="G2639" s="6"/>
      <c r="H2639" s="6"/>
      <c r="I2639" s="6"/>
      <c r="J2639" s="6"/>
      <c r="K2639" s="6"/>
      <c r="L2639" s="6"/>
      <c r="M2639" s="6"/>
      <c r="N2639" s="6"/>
      <c r="O2639" s="7"/>
      <c r="P2639" s="12"/>
      <c r="Q2639" s="6"/>
      <c r="R2639" s="7"/>
      <c r="S2639" s="6"/>
      <c r="T2639" s="6"/>
      <c r="U2639" s="7"/>
      <c r="V2639" s="6"/>
      <c r="W2639" s="6"/>
      <c r="X2639" s="6"/>
      <c r="Y2639" s="6"/>
      <c r="Z2639" s="6"/>
      <c r="AA2639" s="7"/>
      <c r="AB2639" s="6"/>
      <c r="AC2639" s="6"/>
      <c r="AD2639" s="6"/>
      <c r="AE2639" s="12"/>
      <c r="AF2639" s="12"/>
      <c r="AG2639" s="12"/>
      <c r="AH2639" s="12"/>
      <c r="AI2639" s="6"/>
      <c r="AJ2639" s="12"/>
      <c r="AK2639" s="1"/>
      <c r="AL2639" s="12"/>
      <c r="AM2639" s="12"/>
      <c r="AN2639" s="1"/>
      <c r="AO2639" s="6"/>
    </row>
    <row r="2640" spans="1:41" ht="15" x14ac:dyDescent="0.25">
      <c r="A2640" s="1"/>
      <c r="B2640" s="1"/>
      <c r="C2640" s="1"/>
      <c r="D2640" s="1"/>
      <c r="E2640" s="6"/>
      <c r="F2640" s="1"/>
      <c r="G2640" s="6"/>
      <c r="H2640" s="6"/>
      <c r="I2640" s="6"/>
      <c r="J2640" s="6"/>
      <c r="K2640" s="12"/>
      <c r="L2640" s="12"/>
      <c r="M2640" s="6"/>
      <c r="N2640" s="6"/>
      <c r="O2640" s="7"/>
      <c r="P2640" s="6"/>
      <c r="Q2640" s="6"/>
      <c r="R2640" s="7"/>
      <c r="S2640" s="6"/>
      <c r="T2640" s="6"/>
      <c r="U2640" s="7"/>
      <c r="V2640" s="6"/>
      <c r="W2640" s="6"/>
      <c r="X2640" s="12"/>
      <c r="Y2640" s="6"/>
      <c r="Z2640" s="6"/>
      <c r="AA2640" s="7"/>
      <c r="AB2640" s="6"/>
      <c r="AC2640" s="6"/>
      <c r="AD2640" s="6"/>
      <c r="AE2640" s="12"/>
      <c r="AF2640" s="12"/>
      <c r="AG2640" s="12"/>
      <c r="AH2640" s="12"/>
      <c r="AI2640" s="6"/>
      <c r="AJ2640" s="12"/>
      <c r="AK2640" s="1"/>
      <c r="AL2640" s="12"/>
      <c r="AM2640" s="12"/>
      <c r="AN2640" s="1"/>
      <c r="AO2640" s="12"/>
    </row>
    <row r="2641" spans="1:41" ht="15" x14ac:dyDescent="0.25">
      <c r="A2641" s="1"/>
      <c r="B2641" s="1"/>
      <c r="C2641" s="1"/>
      <c r="D2641" s="1"/>
      <c r="E2641" s="6"/>
      <c r="F2641" s="1"/>
      <c r="G2641" s="6"/>
      <c r="H2641" s="6"/>
      <c r="I2641" s="6"/>
      <c r="J2641" s="6"/>
      <c r="K2641" s="12"/>
      <c r="L2641" s="12"/>
      <c r="M2641" s="6"/>
      <c r="N2641" s="6"/>
      <c r="O2641" s="7"/>
      <c r="P2641" s="6"/>
      <c r="Q2641" s="7"/>
      <c r="R2641" s="6"/>
      <c r="S2641" s="12"/>
      <c r="T2641" s="6"/>
      <c r="U2641" s="6"/>
      <c r="V2641" s="7"/>
      <c r="W2641" s="7"/>
      <c r="X2641" s="6"/>
      <c r="Y2641" s="6"/>
      <c r="Z2641" s="6"/>
      <c r="AA2641" s="1"/>
      <c r="AB2641" s="12"/>
      <c r="AC2641" s="12"/>
      <c r="AD2641" s="12"/>
      <c r="AE2641" s="12"/>
      <c r="AF2641" s="12"/>
      <c r="AG2641" s="12"/>
      <c r="AH2641" s="12"/>
      <c r="AI2641" s="6"/>
      <c r="AJ2641" s="12"/>
      <c r="AK2641" s="12"/>
      <c r="AL2641" s="12"/>
      <c r="AM2641" s="12"/>
      <c r="AN2641" s="1"/>
      <c r="AO2641" s="6"/>
    </row>
    <row r="2642" spans="1:41" ht="15" x14ac:dyDescent="0.25">
      <c r="A2642" s="1"/>
      <c r="B2642" s="1"/>
      <c r="C2642" s="1"/>
      <c r="D2642" s="1"/>
      <c r="E2642" s="6"/>
      <c r="F2642" s="1"/>
      <c r="G2642" s="6"/>
      <c r="H2642" s="6"/>
      <c r="I2642" s="6"/>
      <c r="J2642" s="6"/>
      <c r="K2642" s="6"/>
      <c r="L2642" s="6"/>
      <c r="M2642" s="6"/>
      <c r="N2642" s="6"/>
      <c r="O2642" s="7"/>
      <c r="P2642" s="6"/>
      <c r="Q2642" s="6"/>
      <c r="R2642" s="7"/>
      <c r="S2642" s="6"/>
      <c r="T2642" s="6"/>
      <c r="U2642" s="7"/>
      <c r="V2642" s="6"/>
      <c r="W2642" s="6"/>
      <c r="X2642" s="12"/>
      <c r="Y2642" s="6"/>
      <c r="Z2642" s="6"/>
      <c r="AA2642" s="7"/>
      <c r="AB2642" s="6"/>
      <c r="AC2642" s="6"/>
      <c r="AD2642" s="6"/>
      <c r="AE2642" s="12"/>
      <c r="AF2642" s="12"/>
      <c r="AG2642" s="12"/>
      <c r="AH2642" s="12"/>
      <c r="AI2642" s="6"/>
      <c r="AJ2642" s="12"/>
      <c r="AK2642" s="1"/>
      <c r="AL2642" s="12"/>
      <c r="AM2642" s="12"/>
      <c r="AN2642" s="1"/>
      <c r="AO2642" s="6"/>
    </row>
    <row r="2643" spans="1:41" ht="15" x14ac:dyDescent="0.25">
      <c r="A2643" s="1"/>
      <c r="B2643" s="1"/>
      <c r="C2643" s="1"/>
      <c r="D2643" s="1"/>
      <c r="E2643" s="6"/>
      <c r="F2643" s="1"/>
      <c r="G2643" s="6"/>
      <c r="H2643" s="6"/>
      <c r="I2643" s="6"/>
      <c r="J2643" s="6"/>
      <c r="K2643" s="6"/>
      <c r="L2643" s="6"/>
      <c r="M2643" s="6"/>
      <c r="N2643" s="6"/>
      <c r="O2643" s="7"/>
      <c r="P2643" s="6"/>
      <c r="Q2643" s="6"/>
      <c r="R2643" s="7"/>
      <c r="S2643" s="6"/>
      <c r="T2643" s="6"/>
      <c r="U2643" s="7"/>
      <c r="V2643" s="6"/>
      <c r="W2643" s="6"/>
      <c r="X2643" s="12"/>
      <c r="Y2643" s="6"/>
      <c r="Z2643" s="6"/>
      <c r="AA2643" s="7"/>
      <c r="AB2643" s="6"/>
      <c r="AC2643" s="6"/>
      <c r="AD2643" s="6"/>
      <c r="AE2643" s="12"/>
      <c r="AF2643" s="6"/>
      <c r="AG2643" s="12"/>
      <c r="AH2643" s="6"/>
      <c r="AI2643" s="6"/>
      <c r="AJ2643" s="12"/>
      <c r="AK2643" s="1"/>
      <c r="AL2643" s="12"/>
      <c r="AM2643" s="12"/>
      <c r="AN2643" s="1"/>
      <c r="AO2643" s="6"/>
    </row>
    <row r="2644" spans="1:41" ht="15" x14ac:dyDescent="0.25">
      <c r="A2644" s="1"/>
      <c r="B2644" s="1"/>
      <c r="C2644" s="1"/>
      <c r="D2644" s="1"/>
      <c r="E2644" s="6"/>
      <c r="F2644" s="1"/>
      <c r="G2644" s="6"/>
      <c r="H2644" s="6"/>
      <c r="I2644" s="6"/>
      <c r="J2644" s="6"/>
      <c r="K2644" s="6"/>
      <c r="L2644" s="6"/>
      <c r="M2644" s="6"/>
      <c r="N2644" s="6"/>
      <c r="O2644" s="7"/>
      <c r="P2644" s="6"/>
      <c r="Q2644" s="6"/>
      <c r="R2644" s="7"/>
      <c r="S2644" s="6"/>
      <c r="T2644" s="6"/>
      <c r="U2644" s="7"/>
      <c r="V2644" s="6"/>
      <c r="W2644" s="6"/>
      <c r="X2644" s="6"/>
      <c r="Y2644" s="6"/>
      <c r="Z2644" s="6"/>
      <c r="AA2644" s="7"/>
      <c r="AB2644" s="6"/>
      <c r="AC2644" s="6"/>
      <c r="AD2644" s="6"/>
      <c r="AE2644" s="12"/>
      <c r="AF2644" s="6"/>
      <c r="AG2644" s="12"/>
      <c r="AH2644" s="6"/>
      <c r="AI2644" s="6"/>
      <c r="AJ2644" s="12"/>
      <c r="AK2644" s="1"/>
      <c r="AL2644" s="12"/>
      <c r="AM2644" s="12"/>
      <c r="AN2644" s="1"/>
      <c r="AO2644" s="6"/>
    </row>
    <row r="2645" spans="1:41" ht="15" x14ac:dyDescent="0.25">
      <c r="A2645" s="1"/>
      <c r="B2645" s="1"/>
      <c r="C2645" s="1"/>
      <c r="D2645" s="1"/>
      <c r="E2645" s="6"/>
      <c r="F2645" s="1"/>
      <c r="G2645" s="6"/>
      <c r="H2645" s="6"/>
      <c r="I2645" s="6"/>
      <c r="J2645" s="6"/>
      <c r="K2645" s="6"/>
      <c r="L2645" s="6"/>
      <c r="M2645" s="6"/>
      <c r="N2645" s="6"/>
      <c r="O2645" s="7"/>
      <c r="P2645" s="6"/>
      <c r="Q2645" s="6"/>
      <c r="R2645" s="7"/>
      <c r="S2645" s="6"/>
      <c r="T2645" s="6"/>
      <c r="U2645" s="7"/>
      <c r="V2645" s="6"/>
      <c r="W2645" s="6"/>
      <c r="X2645" s="6"/>
      <c r="Y2645" s="6"/>
      <c r="Z2645" s="6"/>
      <c r="AA2645" s="7"/>
      <c r="AB2645" s="6"/>
      <c r="AC2645" s="6"/>
      <c r="AD2645" s="6"/>
      <c r="AE2645" s="12"/>
      <c r="AF2645" s="12"/>
      <c r="AG2645" s="12"/>
      <c r="AH2645" s="12"/>
      <c r="AI2645" s="6"/>
      <c r="AJ2645" s="12"/>
      <c r="AK2645" s="1"/>
      <c r="AL2645" s="12"/>
      <c r="AM2645" s="12"/>
      <c r="AN2645" s="1"/>
      <c r="AO2645" s="6"/>
    </row>
    <row r="2646" spans="1:41" ht="15" x14ac:dyDescent="0.25">
      <c r="A2646" s="1"/>
      <c r="B2646" s="1"/>
      <c r="C2646" s="1"/>
      <c r="D2646" s="1"/>
      <c r="E2646" s="6"/>
      <c r="F2646" s="1"/>
      <c r="G2646" s="6"/>
      <c r="H2646" s="6"/>
      <c r="I2646" s="6"/>
      <c r="J2646" s="6"/>
      <c r="K2646" s="6"/>
      <c r="L2646" s="6"/>
      <c r="M2646" s="6"/>
      <c r="N2646" s="6"/>
      <c r="O2646" s="7"/>
      <c r="P2646" s="6"/>
      <c r="Q2646" s="7"/>
      <c r="R2646" s="6"/>
      <c r="S2646" s="12"/>
      <c r="T2646" s="6"/>
      <c r="U2646" s="6"/>
      <c r="V2646" s="7"/>
      <c r="W2646" s="7"/>
      <c r="X2646" s="6"/>
      <c r="Y2646" s="6"/>
      <c r="Z2646" s="6"/>
      <c r="AA2646" s="1"/>
      <c r="AB2646" s="12"/>
      <c r="AC2646" s="12"/>
      <c r="AD2646" s="12"/>
      <c r="AE2646" s="12"/>
      <c r="AF2646" s="12"/>
      <c r="AG2646" s="12"/>
      <c r="AH2646" s="12"/>
      <c r="AI2646" s="6"/>
      <c r="AJ2646" s="12"/>
      <c r="AK2646" s="12"/>
      <c r="AL2646" s="12"/>
      <c r="AM2646" s="12"/>
      <c r="AN2646" s="1"/>
      <c r="AO2646" s="6"/>
    </row>
    <row r="2647" spans="1:41" ht="15" x14ac:dyDescent="0.25">
      <c r="A2647" s="1"/>
      <c r="B2647" s="1"/>
      <c r="C2647" s="1"/>
      <c r="D2647" s="1"/>
      <c r="E2647" s="6"/>
      <c r="F2647" s="1"/>
      <c r="G2647" s="6"/>
      <c r="H2647" s="6"/>
      <c r="I2647" s="6"/>
      <c r="J2647" s="6"/>
      <c r="K2647" s="6"/>
      <c r="L2647" s="6"/>
      <c r="M2647" s="6"/>
      <c r="N2647" s="6"/>
      <c r="O2647" s="7"/>
      <c r="P2647" s="6"/>
      <c r="Q2647" s="6"/>
      <c r="R2647" s="7"/>
      <c r="S2647" s="6"/>
      <c r="T2647" s="6"/>
      <c r="U2647" s="7"/>
      <c r="V2647" s="6"/>
      <c r="W2647" s="6"/>
      <c r="X2647" s="6"/>
      <c r="Y2647" s="6"/>
      <c r="Z2647" s="6"/>
      <c r="AA2647" s="7"/>
      <c r="AB2647" s="6"/>
      <c r="AC2647" s="6"/>
      <c r="AD2647" s="6"/>
      <c r="AE2647" s="12"/>
      <c r="AF2647" s="6"/>
      <c r="AG2647" s="12"/>
      <c r="AH2647" s="6"/>
      <c r="AI2647" s="6"/>
      <c r="AJ2647" s="12"/>
      <c r="AK2647" s="24"/>
      <c r="AL2647" s="25"/>
      <c r="AM2647" s="12"/>
      <c r="AN2647" s="1"/>
      <c r="AO2647" s="6"/>
    </row>
    <row r="2648" spans="1:41" ht="15" x14ac:dyDescent="0.25">
      <c r="A2648" s="1"/>
      <c r="B2648" s="1"/>
      <c r="C2648" s="1"/>
      <c r="D2648" s="1"/>
      <c r="E2648" s="6"/>
      <c r="F2648" s="1"/>
      <c r="G2648" s="6"/>
      <c r="H2648" s="6"/>
      <c r="I2648" s="6"/>
      <c r="J2648" s="6"/>
      <c r="K2648" s="6"/>
      <c r="L2648" s="6"/>
      <c r="M2648" s="6"/>
      <c r="N2648" s="6"/>
      <c r="O2648" s="7"/>
      <c r="P2648" s="6"/>
      <c r="Q2648" s="6"/>
      <c r="R2648" s="7"/>
      <c r="S2648" s="6"/>
      <c r="T2648" s="6"/>
      <c r="U2648" s="7"/>
      <c r="V2648" s="6"/>
      <c r="W2648" s="6"/>
      <c r="X2648" s="6"/>
      <c r="Y2648" s="6"/>
      <c r="Z2648" s="6"/>
      <c r="AA2648" s="7"/>
      <c r="AB2648" s="6"/>
      <c r="AC2648" s="6"/>
      <c r="AD2648" s="6"/>
      <c r="AE2648" s="12"/>
      <c r="AF2648" s="6"/>
      <c r="AG2648" s="12"/>
      <c r="AH2648" s="6"/>
      <c r="AI2648" s="6"/>
      <c r="AJ2648" s="12"/>
      <c r="AK2648" s="24"/>
      <c r="AL2648" s="25"/>
      <c r="AM2648" s="12"/>
      <c r="AN2648" s="1"/>
      <c r="AO2648" s="6"/>
    </row>
    <row r="2649" spans="1:41" ht="15" x14ac:dyDescent="0.25">
      <c r="A2649" s="1"/>
      <c r="B2649" s="1"/>
      <c r="C2649" s="1"/>
      <c r="D2649" s="1"/>
      <c r="E2649" s="6"/>
      <c r="F2649" s="1"/>
      <c r="G2649" s="6"/>
      <c r="H2649" s="6"/>
      <c r="I2649" s="6"/>
      <c r="J2649" s="6"/>
      <c r="K2649" s="6"/>
      <c r="L2649" s="6"/>
      <c r="M2649" s="6"/>
      <c r="N2649" s="6"/>
      <c r="O2649" s="7"/>
      <c r="P2649" s="6"/>
      <c r="Q2649" s="6"/>
      <c r="R2649" s="15"/>
      <c r="S2649" s="6"/>
      <c r="T2649" s="6"/>
      <c r="U2649" s="15"/>
      <c r="V2649" s="6"/>
      <c r="W2649" s="6"/>
      <c r="X2649" s="12"/>
      <c r="Y2649" s="6"/>
      <c r="Z2649" s="6"/>
      <c r="AA2649" s="7"/>
      <c r="AB2649" s="6"/>
      <c r="AC2649" s="6"/>
      <c r="AD2649" s="6"/>
      <c r="AE2649" s="12"/>
      <c r="AF2649" s="12"/>
      <c r="AG2649" s="12"/>
      <c r="AH2649" s="12"/>
      <c r="AI2649" s="6"/>
      <c r="AJ2649" s="12"/>
      <c r="AK2649" s="1"/>
      <c r="AL2649" s="12"/>
      <c r="AM2649" s="12"/>
      <c r="AN2649" s="1"/>
      <c r="AO2649" s="6"/>
    </row>
    <row r="2650" spans="1:41" ht="15" x14ac:dyDescent="0.25">
      <c r="A2650" s="1"/>
      <c r="B2650" s="1"/>
      <c r="C2650" s="1"/>
      <c r="D2650" s="1"/>
      <c r="E2650" s="6"/>
      <c r="F2650" s="1"/>
      <c r="G2650" s="6"/>
      <c r="H2650" s="6"/>
      <c r="I2650" s="6"/>
      <c r="J2650" s="6"/>
      <c r="K2650" s="6"/>
      <c r="L2650" s="6"/>
      <c r="M2650" s="6"/>
      <c r="N2650" s="6"/>
      <c r="O2650" s="7"/>
      <c r="P2650" s="6"/>
      <c r="Q2650" s="6"/>
      <c r="R2650" s="7"/>
      <c r="S2650" s="6"/>
      <c r="T2650" s="6"/>
      <c r="U2650" s="7"/>
      <c r="V2650" s="6"/>
      <c r="W2650" s="6"/>
      <c r="X2650" s="6"/>
      <c r="Y2650" s="6"/>
      <c r="Z2650" s="6"/>
      <c r="AA2650" s="7"/>
      <c r="AB2650" s="6"/>
      <c r="AC2650" s="6"/>
      <c r="AD2650" s="6"/>
      <c r="AE2650" s="12"/>
      <c r="AF2650" s="12"/>
      <c r="AG2650" s="12"/>
      <c r="AH2650" s="12"/>
      <c r="AI2650" s="6"/>
      <c r="AJ2650" s="12"/>
      <c r="AK2650" s="1"/>
      <c r="AL2650" s="12"/>
      <c r="AM2650" s="12"/>
      <c r="AN2650" s="1"/>
      <c r="AO2650" s="6"/>
    </row>
    <row r="2651" spans="1:41" ht="15" x14ac:dyDescent="0.25">
      <c r="A2651" s="1"/>
      <c r="B2651" s="1"/>
      <c r="C2651" s="1"/>
      <c r="D2651" s="1"/>
      <c r="E2651" s="6"/>
      <c r="F2651" s="1"/>
      <c r="G2651" s="6"/>
      <c r="H2651" s="6"/>
      <c r="I2651" s="6"/>
      <c r="J2651" s="6"/>
      <c r="K2651" s="6"/>
      <c r="L2651" s="6"/>
      <c r="M2651" s="6"/>
      <c r="N2651" s="6"/>
      <c r="O2651" s="7"/>
      <c r="P2651" s="6"/>
      <c r="Q2651" s="6"/>
      <c r="R2651" s="7"/>
      <c r="S2651" s="6"/>
      <c r="T2651" s="6"/>
      <c r="U2651" s="7"/>
      <c r="V2651" s="6"/>
      <c r="W2651" s="6"/>
      <c r="X2651" s="6"/>
      <c r="Y2651" s="6"/>
      <c r="Z2651" s="6"/>
      <c r="AA2651" s="7"/>
      <c r="AB2651" s="6"/>
      <c r="AC2651" s="6"/>
      <c r="AD2651" s="6"/>
      <c r="AE2651" s="12"/>
      <c r="AF2651" s="6"/>
      <c r="AG2651" s="12"/>
      <c r="AH2651" s="6"/>
      <c r="AI2651" s="6"/>
      <c r="AJ2651" s="12"/>
      <c r="AK2651" s="24"/>
      <c r="AL2651" s="25"/>
      <c r="AM2651" s="12"/>
      <c r="AN2651" s="1"/>
      <c r="AO2651" s="6"/>
    </row>
    <row r="2652" spans="1:41" ht="15" x14ac:dyDescent="0.25">
      <c r="A2652" s="1"/>
      <c r="B2652" s="1"/>
      <c r="C2652" s="1"/>
      <c r="D2652" s="1"/>
      <c r="E2652" s="6"/>
      <c r="F2652" s="1"/>
      <c r="G2652" s="6"/>
      <c r="H2652" s="6"/>
      <c r="I2652" s="6"/>
      <c r="J2652" s="6"/>
      <c r="K2652" s="6"/>
      <c r="L2652" s="6"/>
      <c r="M2652" s="6"/>
      <c r="N2652" s="6"/>
      <c r="O2652" s="7"/>
      <c r="P2652" s="6"/>
      <c r="Q2652" s="6"/>
      <c r="R2652" s="7"/>
      <c r="S2652" s="6"/>
      <c r="T2652" s="6"/>
      <c r="U2652" s="7"/>
      <c r="V2652" s="6"/>
      <c r="W2652" s="6"/>
      <c r="X2652" s="6"/>
      <c r="Y2652" s="6"/>
      <c r="Z2652" s="6"/>
      <c r="AA2652" s="7"/>
      <c r="AB2652" s="6"/>
      <c r="AC2652" s="6"/>
      <c r="AD2652" s="6"/>
      <c r="AE2652" s="12"/>
      <c r="AF2652" s="12"/>
      <c r="AG2652" s="12"/>
      <c r="AH2652" s="12"/>
      <c r="AI2652" s="6"/>
      <c r="AJ2652" s="12"/>
      <c r="AK2652" s="1"/>
      <c r="AL2652" s="12"/>
      <c r="AM2652" s="12"/>
      <c r="AN2652" s="1"/>
      <c r="AO2652" s="6"/>
    </row>
    <row r="2653" spans="1:41" ht="15" x14ac:dyDescent="0.25">
      <c r="A2653" s="1"/>
      <c r="B2653" s="1"/>
      <c r="C2653" s="1"/>
      <c r="D2653" s="1"/>
      <c r="E2653" s="6"/>
      <c r="F2653" s="1"/>
      <c r="G2653" s="6"/>
      <c r="H2653" s="6"/>
      <c r="I2653" s="6"/>
      <c r="J2653" s="6"/>
      <c r="K2653" s="6"/>
      <c r="L2653" s="6"/>
      <c r="M2653" s="6"/>
      <c r="N2653" s="6"/>
      <c r="O2653" s="7"/>
      <c r="P2653" s="6"/>
      <c r="Q2653" s="6"/>
      <c r="R2653" s="7"/>
      <c r="S2653" s="6"/>
      <c r="T2653" s="6"/>
      <c r="U2653" s="7"/>
      <c r="V2653" s="6"/>
      <c r="W2653" s="6"/>
      <c r="X2653" s="12"/>
      <c r="Y2653" s="6"/>
      <c r="Z2653" s="6"/>
      <c r="AA2653" s="7"/>
      <c r="AB2653" s="6"/>
      <c r="AC2653" s="6"/>
      <c r="AD2653" s="6"/>
      <c r="AE2653" s="12"/>
      <c r="AF2653" s="6"/>
      <c r="AG2653" s="12"/>
      <c r="AH2653" s="6"/>
      <c r="AI2653" s="6"/>
      <c r="AJ2653" s="12"/>
      <c r="AK2653" s="1"/>
      <c r="AL2653" s="12"/>
      <c r="AM2653" s="12"/>
      <c r="AN2653" s="1"/>
      <c r="AO2653" s="6"/>
    </row>
    <row r="2654" spans="1:41" ht="15" x14ac:dyDescent="0.25">
      <c r="A2654" s="1"/>
      <c r="B2654" s="1"/>
      <c r="C2654" s="1"/>
      <c r="D2654" s="1"/>
      <c r="E2654" s="6"/>
      <c r="F2654" s="1"/>
      <c r="G2654" s="6"/>
      <c r="H2654" s="6"/>
      <c r="I2654" s="6"/>
      <c r="J2654" s="6"/>
      <c r="K2654" s="6"/>
      <c r="L2654" s="6"/>
      <c r="M2654" s="6"/>
      <c r="N2654" s="6"/>
      <c r="O2654" s="7"/>
      <c r="P2654" s="6"/>
      <c r="Q2654" s="7"/>
      <c r="R2654" s="6"/>
      <c r="S2654" s="6"/>
      <c r="T2654" s="6"/>
      <c r="U2654" s="6"/>
      <c r="V2654" s="7"/>
      <c r="W2654" s="6"/>
      <c r="X2654" s="6"/>
      <c r="Y2654" s="6"/>
      <c r="Z2654" s="6"/>
      <c r="AA2654" s="24"/>
      <c r="AB2654" s="25"/>
      <c r="AC2654" s="12"/>
      <c r="AD2654" s="12"/>
      <c r="AE2654" s="12"/>
      <c r="AF2654" s="6"/>
      <c r="AG2654" s="12"/>
      <c r="AH2654" s="6"/>
      <c r="AI2654" s="6"/>
      <c r="AJ2654" s="12"/>
      <c r="AK2654" s="12"/>
      <c r="AL2654" s="12"/>
      <c r="AM2654" s="12"/>
      <c r="AN2654" s="1"/>
      <c r="AO2654" s="6"/>
    </row>
    <row r="2655" spans="1:41" ht="15" x14ac:dyDescent="0.25">
      <c r="A2655" s="1"/>
      <c r="B2655" s="1"/>
      <c r="C2655" s="1"/>
      <c r="D2655" s="1"/>
      <c r="E2655" s="6"/>
      <c r="F2655" s="1"/>
      <c r="G2655" s="6"/>
      <c r="H2655" s="6"/>
      <c r="I2655" s="6"/>
      <c r="J2655" s="6"/>
      <c r="K2655" s="6"/>
      <c r="L2655" s="6"/>
      <c r="M2655" s="6"/>
      <c r="N2655" s="6"/>
      <c r="O2655" s="7"/>
      <c r="P2655" s="6"/>
      <c r="Q2655" s="6"/>
      <c r="R2655" s="7"/>
      <c r="S2655" s="6"/>
      <c r="T2655" s="6"/>
      <c r="U2655" s="7"/>
      <c r="V2655" s="6"/>
      <c r="W2655" s="6"/>
      <c r="X2655" s="12"/>
      <c r="Y2655" s="6"/>
      <c r="Z2655" s="6"/>
      <c r="AA2655" s="7"/>
      <c r="AB2655" s="6"/>
      <c r="AC2655" s="6"/>
      <c r="AD2655" s="6"/>
      <c r="AE2655" s="12"/>
      <c r="AF2655" s="6"/>
      <c r="AG2655" s="12"/>
      <c r="AH2655" s="6"/>
      <c r="AI2655" s="6"/>
      <c r="AJ2655" s="12"/>
      <c r="AK2655" s="1"/>
      <c r="AL2655" s="12"/>
      <c r="AM2655" s="12"/>
      <c r="AN2655" s="1"/>
      <c r="AO2655" s="6"/>
    </row>
    <row r="2656" spans="1:41" ht="15" x14ac:dyDescent="0.25">
      <c r="A2656" s="1"/>
      <c r="B2656" s="1"/>
      <c r="C2656" s="1"/>
      <c r="D2656" s="1"/>
      <c r="E2656" s="6"/>
      <c r="F2656" s="1"/>
      <c r="G2656" s="6"/>
      <c r="H2656" s="6"/>
      <c r="I2656" s="6"/>
      <c r="J2656" s="6"/>
      <c r="K2656" s="12"/>
      <c r="L2656" s="6"/>
      <c r="M2656" s="6"/>
      <c r="N2656" s="6"/>
      <c r="O2656" s="7"/>
      <c r="P2656" s="6"/>
      <c r="Q2656" s="6"/>
      <c r="R2656" s="7"/>
      <c r="S2656" s="6"/>
      <c r="T2656" s="6"/>
      <c r="U2656" s="7"/>
      <c r="V2656" s="6"/>
      <c r="W2656" s="6"/>
      <c r="X2656" s="6"/>
      <c r="Y2656" s="6"/>
      <c r="Z2656" s="6"/>
      <c r="AA2656" s="7"/>
      <c r="AB2656" s="6"/>
      <c r="AC2656" s="6"/>
      <c r="AD2656" s="6"/>
      <c r="AE2656" s="12"/>
      <c r="AF2656" s="6"/>
      <c r="AG2656" s="12"/>
      <c r="AH2656" s="6"/>
      <c r="AI2656" s="6"/>
      <c r="AJ2656" s="12"/>
      <c r="AK2656" s="24"/>
      <c r="AL2656" s="25"/>
      <c r="AM2656" s="12"/>
      <c r="AN2656" s="1"/>
      <c r="AO2656" s="6"/>
    </row>
    <row r="2657" spans="1:41" ht="15" x14ac:dyDescent="0.25">
      <c r="A2657" s="1"/>
      <c r="B2657" s="1"/>
      <c r="C2657" s="1"/>
      <c r="D2657" s="1"/>
      <c r="E2657" s="6"/>
      <c r="F2657" s="1"/>
      <c r="G2657" s="6"/>
      <c r="H2657" s="6"/>
      <c r="I2657" s="6"/>
      <c r="J2657" s="6"/>
      <c r="K2657" s="6"/>
      <c r="L2657" s="6"/>
      <c r="M2657" s="6"/>
      <c r="N2657" s="6"/>
      <c r="O2657" s="7"/>
      <c r="P2657" s="12"/>
      <c r="Q2657" s="6"/>
      <c r="R2657" s="7"/>
      <c r="S2657" s="6"/>
      <c r="T2657" s="6"/>
      <c r="U2657" s="7"/>
      <c r="V2657" s="6"/>
      <c r="W2657" s="6"/>
      <c r="X2657" s="6"/>
      <c r="Y2657" s="6"/>
      <c r="Z2657" s="6"/>
      <c r="AA2657" s="7"/>
      <c r="AB2657" s="6"/>
      <c r="AC2657" s="6"/>
      <c r="AD2657" s="6"/>
      <c r="AE2657" s="12"/>
      <c r="AF2657" s="12"/>
      <c r="AG2657" s="12"/>
      <c r="AH2657" s="12"/>
      <c r="AI2657" s="6"/>
      <c r="AJ2657" s="12"/>
      <c r="AK2657" s="1"/>
      <c r="AL2657" s="12"/>
      <c r="AM2657" s="12"/>
      <c r="AN2657" s="1"/>
      <c r="AO2657" s="12"/>
    </row>
    <row r="2658" spans="1:41" ht="15" x14ac:dyDescent="0.25">
      <c r="A2658" s="1"/>
      <c r="B2658" s="1"/>
      <c r="C2658" s="1"/>
      <c r="D2658" s="1"/>
      <c r="E2658" s="6"/>
      <c r="F2658" s="1"/>
      <c r="G2658" s="6"/>
      <c r="H2658" s="6"/>
      <c r="I2658" s="6"/>
      <c r="J2658" s="6"/>
      <c r="K2658" s="6"/>
      <c r="L2658" s="6"/>
      <c r="M2658" s="6"/>
      <c r="N2658" s="6"/>
      <c r="O2658" s="7"/>
      <c r="P2658" s="6"/>
      <c r="Q2658" s="6"/>
      <c r="R2658" s="7"/>
      <c r="S2658" s="6"/>
      <c r="T2658" s="6"/>
      <c r="U2658" s="7"/>
      <c r="V2658" s="6"/>
      <c r="W2658" s="6"/>
      <c r="X2658" s="6"/>
      <c r="Y2658" s="6"/>
      <c r="Z2658" s="6"/>
      <c r="AA2658" s="7"/>
      <c r="AB2658" s="6"/>
      <c r="AC2658" s="6"/>
      <c r="AD2658" s="6"/>
      <c r="AE2658" s="12"/>
      <c r="AF2658" s="12"/>
      <c r="AG2658" s="12"/>
      <c r="AH2658" s="12"/>
      <c r="AI2658" s="6"/>
      <c r="AJ2658" s="12"/>
      <c r="AK2658" s="1"/>
      <c r="AL2658" s="12"/>
      <c r="AM2658" s="12"/>
      <c r="AN2658" s="1"/>
      <c r="AO2658" s="6"/>
    </row>
    <row r="2659" spans="1:41" ht="15" x14ac:dyDescent="0.25">
      <c r="A2659" s="1"/>
      <c r="B2659" s="1"/>
      <c r="C2659" s="1"/>
      <c r="D2659" s="1"/>
      <c r="E2659" s="6"/>
      <c r="F2659" s="1"/>
      <c r="G2659" s="6"/>
      <c r="H2659" s="6"/>
      <c r="I2659" s="6"/>
      <c r="J2659" s="6"/>
      <c r="K2659" s="6"/>
      <c r="L2659" s="6"/>
      <c r="M2659" s="6"/>
      <c r="N2659" s="6"/>
      <c r="O2659" s="7"/>
      <c r="P2659" s="6"/>
      <c r="Q2659" s="6"/>
      <c r="R2659" s="7"/>
      <c r="S2659" s="6"/>
      <c r="T2659" s="6"/>
      <c r="U2659" s="7"/>
      <c r="V2659" s="6"/>
      <c r="W2659" s="6"/>
      <c r="X2659" s="12"/>
      <c r="Y2659" s="6"/>
      <c r="Z2659" s="6"/>
      <c r="AA2659" s="7"/>
      <c r="AB2659" s="6"/>
      <c r="AC2659" s="6"/>
      <c r="AD2659" s="6"/>
      <c r="AE2659" s="12"/>
      <c r="AF2659" s="12"/>
      <c r="AG2659" s="12"/>
      <c r="AH2659" s="12"/>
      <c r="AI2659" s="6"/>
      <c r="AJ2659" s="12"/>
      <c r="AK2659" s="1"/>
      <c r="AL2659" s="12"/>
      <c r="AM2659" s="12"/>
      <c r="AN2659" s="1"/>
      <c r="AO2659" s="6"/>
    </row>
    <row r="2660" spans="1:41" ht="15" x14ac:dyDescent="0.25">
      <c r="A2660" s="1"/>
      <c r="B2660" s="1"/>
      <c r="C2660" s="1"/>
      <c r="D2660" s="1"/>
      <c r="E2660" s="6"/>
      <c r="F2660" s="1"/>
      <c r="G2660" s="6"/>
      <c r="H2660" s="6"/>
      <c r="I2660" s="6"/>
      <c r="J2660" s="6"/>
      <c r="K2660" s="12"/>
      <c r="L2660" s="12"/>
      <c r="M2660" s="6"/>
      <c r="N2660" s="6"/>
      <c r="O2660" s="7"/>
      <c r="P2660" s="6"/>
      <c r="Q2660" s="6"/>
      <c r="R2660" s="7"/>
      <c r="S2660" s="6"/>
      <c r="T2660" s="6"/>
      <c r="U2660" s="7"/>
      <c r="V2660" s="6"/>
      <c r="W2660" s="6"/>
      <c r="X2660" s="12"/>
      <c r="Y2660" s="6"/>
      <c r="Z2660" s="6"/>
      <c r="AA2660" s="7"/>
      <c r="AB2660" s="6"/>
      <c r="AC2660" s="6"/>
      <c r="AD2660" s="6"/>
      <c r="AE2660" s="12"/>
      <c r="AF2660" s="12"/>
      <c r="AG2660" s="12"/>
      <c r="AH2660" s="12"/>
      <c r="AI2660" s="6"/>
      <c r="AJ2660" s="12"/>
      <c r="AK2660" s="1"/>
      <c r="AL2660" s="12"/>
      <c r="AM2660" s="12"/>
      <c r="AN2660" s="1"/>
      <c r="AO2660" s="12"/>
    </row>
    <row r="2661" spans="1:41" ht="15" x14ac:dyDescent="0.25">
      <c r="A2661" s="1"/>
      <c r="B2661" s="1"/>
      <c r="C2661" s="1"/>
      <c r="D2661" s="1"/>
      <c r="E2661" s="6"/>
      <c r="F2661" s="1"/>
      <c r="G2661" s="6"/>
      <c r="H2661" s="6"/>
      <c r="I2661" s="6"/>
      <c r="J2661" s="6"/>
      <c r="K2661" s="6"/>
      <c r="L2661" s="6"/>
      <c r="M2661" s="6"/>
      <c r="N2661" s="6"/>
      <c r="O2661" s="12"/>
      <c r="P2661" s="12"/>
      <c r="Q2661" s="6"/>
      <c r="R2661" s="12"/>
      <c r="S2661" s="12"/>
      <c r="T2661" s="12"/>
      <c r="U2661" s="6"/>
      <c r="V2661" s="7"/>
      <c r="W2661" s="7"/>
      <c r="X2661" s="6"/>
      <c r="Y2661" s="6"/>
      <c r="Z2661" s="6"/>
      <c r="AA2661" s="1"/>
      <c r="AB2661" s="12"/>
      <c r="AC2661" s="12"/>
      <c r="AD2661" s="12"/>
      <c r="AE2661" s="12"/>
      <c r="AF2661" s="12"/>
      <c r="AG2661" s="12"/>
      <c r="AH2661" s="12"/>
      <c r="AI2661" s="6"/>
      <c r="AJ2661" s="12"/>
      <c r="AK2661" s="12"/>
      <c r="AL2661" s="12"/>
      <c r="AM2661" s="12"/>
      <c r="AN2661" s="1"/>
      <c r="AO2661" s="6"/>
    </row>
    <row r="2662" spans="1:41" ht="15" x14ac:dyDescent="0.25">
      <c r="A2662" s="1"/>
      <c r="B2662" s="1"/>
      <c r="C2662" s="1"/>
      <c r="D2662" s="1"/>
      <c r="E2662" s="6"/>
      <c r="F2662" s="1"/>
      <c r="G2662" s="6"/>
      <c r="H2662" s="6"/>
      <c r="I2662" s="6"/>
      <c r="J2662" s="6"/>
      <c r="K2662" s="6"/>
      <c r="L2662" s="6"/>
      <c r="M2662" s="6"/>
      <c r="N2662" s="6"/>
      <c r="O2662" s="7"/>
      <c r="P2662" s="6"/>
      <c r="Q2662" s="6"/>
      <c r="R2662" s="7"/>
      <c r="S2662" s="6"/>
      <c r="T2662" s="6"/>
      <c r="U2662" s="7"/>
      <c r="V2662" s="6"/>
      <c r="W2662" s="6"/>
      <c r="X2662" s="12"/>
      <c r="Y2662" s="6"/>
      <c r="Z2662" s="6"/>
      <c r="AA2662" s="7"/>
      <c r="AB2662" s="6"/>
      <c r="AC2662" s="6"/>
      <c r="AD2662" s="6"/>
      <c r="AE2662" s="12"/>
      <c r="AF2662" s="6"/>
      <c r="AG2662" s="12"/>
      <c r="AH2662" s="6"/>
      <c r="AI2662" s="6"/>
      <c r="AJ2662" s="12"/>
      <c r="AK2662" s="1"/>
      <c r="AL2662" s="12"/>
      <c r="AM2662" s="12"/>
      <c r="AN2662" s="1"/>
      <c r="AO2662" s="6"/>
    </row>
    <row r="2663" spans="1:41" ht="15" x14ac:dyDescent="0.25">
      <c r="A2663" s="1"/>
      <c r="B2663" s="1"/>
      <c r="C2663" s="1"/>
      <c r="D2663" s="1"/>
      <c r="E2663" s="6"/>
      <c r="F2663" s="1"/>
      <c r="G2663" s="6"/>
      <c r="H2663" s="6"/>
      <c r="I2663" s="6"/>
      <c r="J2663" s="6"/>
      <c r="K2663" s="12"/>
      <c r="L2663" s="12"/>
      <c r="M2663" s="6"/>
      <c r="N2663" s="6"/>
      <c r="O2663" s="7"/>
      <c r="P2663" s="6"/>
      <c r="Q2663" s="6"/>
      <c r="R2663" s="7"/>
      <c r="S2663" s="6"/>
      <c r="T2663" s="6"/>
      <c r="U2663" s="7"/>
      <c r="V2663" s="6"/>
      <c r="W2663" s="6"/>
      <c r="X2663" s="6"/>
      <c r="Y2663" s="6"/>
      <c r="Z2663" s="6"/>
      <c r="AA2663" s="7"/>
      <c r="AB2663" s="6"/>
      <c r="AC2663" s="6"/>
      <c r="AD2663" s="6"/>
      <c r="AE2663" s="12"/>
      <c r="AF2663" s="12"/>
      <c r="AG2663" s="12"/>
      <c r="AH2663" s="12"/>
      <c r="AI2663" s="6"/>
      <c r="AJ2663" s="12"/>
      <c r="AK2663" s="1"/>
      <c r="AL2663" s="12"/>
      <c r="AM2663" s="12"/>
      <c r="AN2663" s="1"/>
      <c r="AO2663" s="6"/>
    </row>
    <row r="2664" spans="1:41" ht="15" x14ac:dyDescent="0.25">
      <c r="A2664" s="1"/>
      <c r="B2664" s="1"/>
      <c r="C2664" s="1"/>
      <c r="D2664" s="1"/>
      <c r="E2664" s="6"/>
      <c r="F2664" s="1"/>
      <c r="G2664" s="6"/>
      <c r="H2664" s="6"/>
      <c r="I2664" s="6"/>
      <c r="J2664" s="6"/>
      <c r="K2664" s="6"/>
      <c r="L2664" s="6"/>
      <c r="M2664" s="6"/>
      <c r="N2664" s="6"/>
      <c r="O2664" s="7"/>
      <c r="P2664" s="6"/>
      <c r="Q2664" s="6"/>
      <c r="R2664" s="7"/>
      <c r="S2664" s="6"/>
      <c r="T2664" s="6"/>
      <c r="U2664" s="7"/>
      <c r="V2664" s="6"/>
      <c r="W2664" s="6"/>
      <c r="X2664" s="6"/>
      <c r="Y2664" s="6"/>
      <c r="Z2664" s="6"/>
      <c r="AA2664" s="7"/>
      <c r="AB2664" s="6"/>
      <c r="AC2664" s="6"/>
      <c r="AD2664" s="6"/>
      <c r="AE2664" s="12"/>
      <c r="AF2664" s="6"/>
      <c r="AG2664" s="12"/>
      <c r="AH2664" s="6"/>
      <c r="AI2664" s="6"/>
      <c r="AJ2664" s="12"/>
      <c r="AK2664" s="24"/>
      <c r="AL2664" s="25"/>
      <c r="AM2664" s="12"/>
      <c r="AN2664" s="1"/>
      <c r="AO2664" s="6"/>
    </row>
    <row r="2665" spans="1:41" ht="15" x14ac:dyDescent="0.25">
      <c r="A2665" s="1"/>
      <c r="B2665" s="1"/>
      <c r="C2665" s="1"/>
      <c r="D2665" s="1"/>
      <c r="E2665" s="6"/>
      <c r="F2665" s="1"/>
      <c r="G2665" s="6"/>
      <c r="H2665" s="6"/>
      <c r="I2665" s="6"/>
      <c r="J2665" s="6"/>
      <c r="K2665" s="6"/>
      <c r="L2665" s="6"/>
      <c r="M2665" s="6"/>
      <c r="N2665" s="6"/>
      <c r="O2665" s="7"/>
      <c r="P2665" s="12"/>
      <c r="Q2665" s="6"/>
      <c r="R2665" s="7"/>
      <c r="S2665" s="6"/>
      <c r="T2665" s="6"/>
      <c r="U2665" s="7"/>
      <c r="V2665" s="6"/>
      <c r="W2665" s="6"/>
      <c r="X2665" s="12"/>
      <c r="Y2665" s="6"/>
      <c r="Z2665" s="6"/>
      <c r="AA2665" s="7"/>
      <c r="AB2665" s="6"/>
      <c r="AC2665" s="6"/>
      <c r="AD2665" s="6"/>
      <c r="AE2665" s="12"/>
      <c r="AF2665" s="6"/>
      <c r="AG2665" s="12"/>
      <c r="AH2665" s="6"/>
      <c r="AI2665" s="6"/>
      <c r="AJ2665" s="12"/>
      <c r="AK2665" s="1"/>
      <c r="AL2665" s="12"/>
      <c r="AM2665" s="12"/>
      <c r="AN2665" s="1"/>
      <c r="AO2665" s="6"/>
    </row>
    <row r="2666" spans="1:41" ht="15" x14ac:dyDescent="0.25">
      <c r="A2666" s="1"/>
      <c r="B2666" s="1"/>
      <c r="C2666" s="1"/>
      <c r="D2666" s="1"/>
      <c r="E2666" s="6"/>
      <c r="F2666" s="1"/>
      <c r="G2666" s="6"/>
      <c r="H2666" s="6"/>
      <c r="I2666" s="6"/>
      <c r="J2666" s="6"/>
      <c r="K2666" s="6"/>
      <c r="L2666" s="6"/>
      <c r="M2666" s="6"/>
      <c r="N2666" s="6"/>
      <c r="O2666" s="7"/>
      <c r="P2666" s="6"/>
      <c r="Q2666" s="6"/>
      <c r="R2666" s="7"/>
      <c r="S2666" s="6"/>
      <c r="T2666" s="6"/>
      <c r="U2666" s="7"/>
      <c r="V2666" s="6"/>
      <c r="W2666" s="6"/>
      <c r="X2666" s="6"/>
      <c r="Y2666" s="6"/>
      <c r="Z2666" s="6"/>
      <c r="AA2666" s="7"/>
      <c r="AB2666" s="6"/>
      <c r="AC2666" s="6"/>
      <c r="AD2666" s="6"/>
      <c r="AE2666" s="12"/>
      <c r="AF2666" s="12"/>
      <c r="AG2666" s="12"/>
      <c r="AH2666" s="12"/>
      <c r="AI2666" s="6"/>
      <c r="AJ2666" s="12"/>
      <c r="AK2666" s="1"/>
      <c r="AL2666" s="12"/>
      <c r="AM2666" s="12"/>
      <c r="AN2666" s="1"/>
      <c r="AO2666" s="6"/>
    </row>
    <row r="2667" spans="1:41" ht="15" x14ac:dyDescent="0.25">
      <c r="A2667" s="1"/>
      <c r="B2667" s="1"/>
      <c r="C2667" s="1"/>
      <c r="D2667" s="1"/>
      <c r="E2667" s="6"/>
      <c r="F2667" s="1"/>
      <c r="G2667" s="6"/>
      <c r="H2667" s="6"/>
      <c r="I2667" s="6"/>
      <c r="J2667" s="6"/>
      <c r="K2667" s="6"/>
      <c r="L2667" s="6"/>
      <c r="M2667" s="6"/>
      <c r="N2667" s="6"/>
      <c r="O2667" s="12"/>
      <c r="P2667" s="12"/>
      <c r="Q2667" s="7"/>
      <c r="R2667" s="6"/>
      <c r="S2667" s="12"/>
      <c r="T2667" s="6"/>
      <c r="U2667" s="6"/>
      <c r="V2667" s="7"/>
      <c r="W2667" s="6"/>
      <c r="X2667" s="6"/>
      <c r="Y2667" s="6"/>
      <c r="Z2667" s="6"/>
      <c r="AA2667" s="24"/>
      <c r="AB2667" s="25"/>
      <c r="AC2667" s="12"/>
      <c r="AD2667" s="12"/>
      <c r="AE2667" s="12"/>
      <c r="AF2667" s="6"/>
      <c r="AG2667" s="12"/>
      <c r="AH2667" s="6"/>
      <c r="AI2667" s="6"/>
      <c r="AJ2667" s="12"/>
      <c r="AK2667" s="12"/>
      <c r="AL2667" s="12"/>
      <c r="AM2667" s="12"/>
      <c r="AN2667" s="1"/>
      <c r="AO2667" s="6"/>
    </row>
    <row r="2668" spans="1:41" ht="15" x14ac:dyDescent="0.25">
      <c r="A2668" s="1"/>
      <c r="B2668" s="1"/>
      <c r="C2668" s="1"/>
      <c r="D2668" s="1"/>
      <c r="E2668" s="6"/>
      <c r="F2668" s="1"/>
      <c r="G2668" s="6"/>
      <c r="H2668" s="6"/>
      <c r="I2668" s="6"/>
      <c r="J2668" s="6"/>
      <c r="K2668" s="6"/>
      <c r="L2668" s="6"/>
      <c r="M2668" s="6"/>
      <c r="N2668" s="6"/>
      <c r="O2668" s="7"/>
      <c r="P2668" s="6"/>
      <c r="Q2668" s="6"/>
      <c r="R2668" s="7"/>
      <c r="S2668" s="6"/>
      <c r="T2668" s="6"/>
      <c r="U2668" s="7"/>
      <c r="V2668" s="6"/>
      <c r="W2668" s="6"/>
      <c r="X2668" s="12"/>
      <c r="Y2668" s="6"/>
      <c r="Z2668" s="6"/>
      <c r="AA2668" s="7"/>
      <c r="AB2668" s="6"/>
      <c r="AC2668" s="6"/>
      <c r="AD2668" s="6"/>
      <c r="AE2668" s="12"/>
      <c r="AF2668" s="12"/>
      <c r="AG2668" s="12"/>
      <c r="AH2668" s="12"/>
      <c r="AI2668" s="6"/>
      <c r="AJ2668" s="12"/>
      <c r="AK2668" s="1"/>
      <c r="AL2668" s="12"/>
      <c r="AM2668" s="12"/>
      <c r="AN2668" s="1"/>
      <c r="AO2668" s="6"/>
    </row>
    <row r="2669" spans="1:41" ht="15" x14ac:dyDescent="0.25">
      <c r="A2669" s="1"/>
      <c r="B2669" s="1"/>
      <c r="C2669" s="1"/>
      <c r="D2669" s="1"/>
      <c r="E2669" s="6"/>
      <c r="F2669" s="1"/>
      <c r="G2669" s="6"/>
      <c r="H2669" s="6"/>
      <c r="I2669" s="6"/>
      <c r="J2669" s="6"/>
      <c r="K2669" s="6"/>
      <c r="L2669" s="6"/>
      <c r="M2669" s="6"/>
      <c r="N2669" s="6"/>
      <c r="O2669" s="15"/>
      <c r="P2669" s="6"/>
      <c r="Q2669" s="7"/>
      <c r="R2669" s="6"/>
      <c r="S2669" s="12"/>
      <c r="T2669" s="6"/>
      <c r="U2669" s="6"/>
      <c r="V2669" s="7"/>
      <c r="W2669" s="7"/>
      <c r="X2669" s="6"/>
      <c r="Y2669" s="6"/>
      <c r="Z2669" s="6"/>
      <c r="AA2669" s="1"/>
      <c r="AB2669" s="12"/>
      <c r="AC2669" s="12"/>
      <c r="AD2669" s="12"/>
      <c r="AE2669" s="12"/>
      <c r="AF2669" s="12"/>
      <c r="AG2669" s="12"/>
      <c r="AH2669" s="12"/>
      <c r="AI2669" s="6"/>
      <c r="AJ2669" s="12"/>
      <c r="AK2669" s="12"/>
      <c r="AL2669" s="12"/>
      <c r="AM2669" s="12"/>
      <c r="AN2669" s="1"/>
      <c r="AO2669" s="6"/>
    </row>
    <row r="2670" spans="1:41" ht="15" x14ac:dyDescent="0.25">
      <c r="A2670" s="1"/>
      <c r="B2670" s="1"/>
      <c r="C2670" s="1"/>
      <c r="D2670" s="1"/>
      <c r="E2670" s="6"/>
      <c r="F2670" s="1"/>
      <c r="G2670" s="6"/>
      <c r="H2670" s="6"/>
      <c r="I2670" s="6"/>
      <c r="J2670" s="6"/>
      <c r="K2670" s="6"/>
      <c r="L2670" s="6"/>
      <c r="M2670" s="6"/>
      <c r="N2670" s="6"/>
      <c r="O2670" s="7"/>
      <c r="P2670" s="12"/>
      <c r="Q2670" s="6"/>
      <c r="R2670" s="7"/>
      <c r="S2670" s="6"/>
      <c r="T2670" s="6"/>
      <c r="U2670" s="7"/>
      <c r="V2670" s="6"/>
      <c r="W2670" s="6"/>
      <c r="X2670" s="6"/>
      <c r="Y2670" s="6"/>
      <c r="Z2670" s="6"/>
      <c r="AA2670" s="7"/>
      <c r="AB2670" s="6"/>
      <c r="AC2670" s="6"/>
      <c r="AD2670" s="6"/>
      <c r="AE2670" s="12"/>
      <c r="AF2670" s="6"/>
      <c r="AG2670" s="12"/>
      <c r="AH2670" s="6"/>
      <c r="AI2670" s="6"/>
      <c r="AJ2670" s="12"/>
      <c r="AK2670" s="1"/>
      <c r="AL2670" s="12"/>
      <c r="AM2670" s="12"/>
      <c r="AN2670" s="1"/>
      <c r="AO2670" s="6"/>
    </row>
    <row r="2671" spans="1:41" ht="15" x14ac:dyDescent="0.25">
      <c r="A2671" s="1"/>
      <c r="B2671" s="1"/>
      <c r="C2671" s="1"/>
      <c r="D2671" s="1"/>
      <c r="E2671" s="6"/>
      <c r="F2671" s="1"/>
      <c r="G2671" s="6"/>
      <c r="H2671" s="6"/>
      <c r="I2671" s="6"/>
      <c r="J2671" s="6"/>
      <c r="K2671" s="6"/>
      <c r="L2671" s="6"/>
      <c r="M2671" s="6"/>
      <c r="N2671" s="6"/>
      <c r="O2671" s="7"/>
      <c r="P2671" s="6"/>
      <c r="Q2671" s="6"/>
      <c r="R2671" s="7"/>
      <c r="S2671" s="6"/>
      <c r="T2671" s="6"/>
      <c r="U2671" s="7"/>
      <c r="V2671" s="6"/>
      <c r="W2671" s="6"/>
      <c r="X2671" s="6"/>
      <c r="Y2671" s="6"/>
      <c r="Z2671" s="6"/>
      <c r="AA2671" s="7"/>
      <c r="AB2671" s="6"/>
      <c r="AC2671" s="6"/>
      <c r="AD2671" s="6"/>
      <c r="AE2671" s="12"/>
      <c r="AF2671" s="6"/>
      <c r="AG2671" s="12"/>
      <c r="AH2671" s="6"/>
      <c r="AI2671" s="6"/>
      <c r="AJ2671" s="12"/>
      <c r="AK2671" s="24"/>
      <c r="AL2671" s="25"/>
      <c r="AM2671" s="12"/>
      <c r="AN2671" s="1"/>
      <c r="AO2671" s="6"/>
    </row>
    <row r="2672" spans="1:41" ht="15" x14ac:dyDescent="0.25">
      <c r="A2672" s="1"/>
      <c r="B2672" s="1"/>
      <c r="C2672" s="1"/>
      <c r="D2672" s="1"/>
      <c r="E2672" s="6"/>
      <c r="F2672" s="1"/>
      <c r="G2672" s="6"/>
      <c r="H2672" s="6"/>
      <c r="I2672" s="6"/>
      <c r="J2672" s="6"/>
      <c r="K2672" s="6"/>
      <c r="L2672" s="6"/>
      <c r="M2672" s="6"/>
      <c r="N2672" s="6"/>
      <c r="O2672" s="7"/>
      <c r="P2672" s="6"/>
      <c r="Q2672" s="6"/>
      <c r="R2672" s="7"/>
      <c r="S2672" s="6"/>
      <c r="T2672" s="6"/>
      <c r="U2672" s="7"/>
      <c r="V2672" s="6"/>
      <c r="W2672" s="6"/>
      <c r="X2672" s="6"/>
      <c r="Y2672" s="6"/>
      <c r="Z2672" s="6"/>
      <c r="AA2672" s="7"/>
      <c r="AB2672" s="6"/>
      <c r="AC2672" s="6"/>
      <c r="AD2672" s="6"/>
      <c r="AE2672" s="12"/>
      <c r="AF2672" s="6"/>
      <c r="AG2672" s="12"/>
      <c r="AH2672" s="6"/>
      <c r="AI2672" s="6"/>
      <c r="AJ2672" s="12"/>
      <c r="AK2672" s="1"/>
      <c r="AL2672" s="12"/>
      <c r="AM2672" s="12"/>
      <c r="AN2672" s="1"/>
      <c r="AO2672" s="6"/>
    </row>
    <row r="2673" spans="1:41" ht="15" x14ac:dyDescent="0.25">
      <c r="A2673" s="1"/>
      <c r="B2673" s="1"/>
      <c r="C2673" s="1"/>
      <c r="D2673" s="1"/>
      <c r="E2673" s="6"/>
      <c r="F2673" s="1"/>
      <c r="G2673" s="6"/>
      <c r="H2673" s="6"/>
      <c r="I2673" s="6"/>
      <c r="J2673" s="6"/>
      <c r="K2673" s="6"/>
      <c r="L2673" s="6"/>
      <c r="M2673" s="6"/>
      <c r="N2673" s="6"/>
      <c r="O2673" s="7"/>
      <c r="P2673" s="6"/>
      <c r="Q2673" s="6"/>
      <c r="R2673" s="7"/>
      <c r="S2673" s="6"/>
      <c r="T2673" s="6"/>
      <c r="U2673" s="7"/>
      <c r="V2673" s="6"/>
      <c r="W2673" s="6"/>
      <c r="X2673" s="12"/>
      <c r="Y2673" s="6"/>
      <c r="Z2673" s="6"/>
      <c r="AA2673" s="7"/>
      <c r="AB2673" s="6"/>
      <c r="AC2673" s="6"/>
      <c r="AD2673" s="6"/>
      <c r="AE2673" s="12"/>
      <c r="AF2673" s="6"/>
      <c r="AG2673" s="12"/>
      <c r="AH2673" s="6"/>
      <c r="AI2673" s="6"/>
      <c r="AJ2673" s="12"/>
      <c r="AK2673" s="1"/>
      <c r="AL2673" s="12"/>
      <c r="AM2673" s="12"/>
      <c r="AN2673" s="1"/>
      <c r="AO2673" s="6"/>
    </row>
    <row r="2674" spans="1:41" ht="15" x14ac:dyDescent="0.25">
      <c r="A2674" s="1"/>
      <c r="B2674" s="1"/>
      <c r="C2674" s="1"/>
      <c r="D2674" s="1"/>
      <c r="E2674" s="6"/>
      <c r="F2674" s="1"/>
      <c r="G2674" s="6"/>
      <c r="H2674" s="6"/>
      <c r="I2674" s="6"/>
      <c r="J2674" s="6"/>
      <c r="K2674" s="12"/>
      <c r="L2674" s="12"/>
      <c r="M2674" s="6"/>
      <c r="N2674" s="6"/>
      <c r="O2674" s="7"/>
      <c r="P2674" s="6"/>
      <c r="Q2674" s="6"/>
      <c r="R2674" s="7"/>
      <c r="S2674" s="6"/>
      <c r="T2674" s="6"/>
      <c r="U2674" s="7"/>
      <c r="V2674" s="6"/>
      <c r="W2674" s="6"/>
      <c r="X2674" s="12"/>
      <c r="Y2674" s="6"/>
      <c r="Z2674" s="6"/>
      <c r="AA2674" s="7"/>
      <c r="AB2674" s="6"/>
      <c r="AC2674" s="6"/>
      <c r="AD2674" s="6"/>
      <c r="AE2674" s="12"/>
      <c r="AF2674" s="12"/>
      <c r="AG2674" s="12"/>
      <c r="AH2674" s="12"/>
      <c r="AI2674" s="6"/>
      <c r="AJ2674" s="12"/>
      <c r="AK2674" s="1"/>
      <c r="AL2674" s="12"/>
      <c r="AM2674" s="12"/>
      <c r="AN2674" s="1"/>
      <c r="AO2674" s="6"/>
    </row>
    <row r="2675" spans="1:41" ht="15" x14ac:dyDescent="0.25">
      <c r="A2675" s="1"/>
      <c r="B2675" s="1"/>
      <c r="C2675" s="1"/>
      <c r="D2675" s="1"/>
      <c r="E2675" s="6"/>
      <c r="F2675" s="1"/>
      <c r="G2675" s="6"/>
      <c r="H2675" s="6"/>
      <c r="I2675" s="6"/>
      <c r="J2675" s="6"/>
      <c r="K2675" s="6"/>
      <c r="L2675" s="6"/>
      <c r="M2675" s="6"/>
      <c r="N2675" s="6"/>
      <c r="O2675" s="7"/>
      <c r="P2675" s="12"/>
      <c r="Q2675" s="6"/>
      <c r="R2675" s="7"/>
      <c r="S2675" s="6"/>
      <c r="T2675" s="6"/>
      <c r="U2675" s="7"/>
      <c r="V2675" s="6"/>
      <c r="W2675" s="6"/>
      <c r="X2675" s="6"/>
      <c r="Y2675" s="6"/>
      <c r="Z2675" s="6"/>
      <c r="AA2675" s="7"/>
      <c r="AB2675" s="6"/>
      <c r="AC2675" s="6"/>
      <c r="AD2675" s="6"/>
      <c r="AE2675" s="12"/>
      <c r="AF2675" s="6"/>
      <c r="AG2675" s="12"/>
      <c r="AH2675" s="6"/>
      <c r="AI2675" s="6"/>
      <c r="AJ2675" s="12"/>
      <c r="AK2675" s="1"/>
      <c r="AL2675" s="12"/>
      <c r="AM2675" s="12"/>
      <c r="AN2675" s="1"/>
      <c r="AO2675" s="6"/>
    </row>
    <row r="2676" spans="1:41" ht="15" x14ac:dyDescent="0.25">
      <c r="A2676" s="1"/>
      <c r="B2676" s="1"/>
      <c r="C2676" s="1"/>
      <c r="D2676" s="1"/>
      <c r="E2676" s="6"/>
      <c r="F2676" s="1"/>
      <c r="G2676" s="6"/>
      <c r="H2676" s="6"/>
      <c r="I2676" s="6"/>
      <c r="J2676" s="6"/>
      <c r="K2676" s="6"/>
      <c r="L2676" s="6"/>
      <c r="M2676" s="6"/>
      <c r="N2676" s="6"/>
      <c r="O2676" s="7"/>
      <c r="P2676" s="6"/>
      <c r="Q2676" s="6"/>
      <c r="R2676" s="7"/>
      <c r="S2676" s="6"/>
      <c r="T2676" s="6"/>
      <c r="U2676" s="7"/>
      <c r="V2676" s="6"/>
      <c r="W2676" s="6"/>
      <c r="X2676" s="6"/>
      <c r="Y2676" s="6"/>
      <c r="Z2676" s="6"/>
      <c r="AA2676" s="7"/>
      <c r="AB2676" s="6"/>
      <c r="AC2676" s="6"/>
      <c r="AD2676" s="6"/>
      <c r="AE2676" s="12"/>
      <c r="AF2676" s="6"/>
      <c r="AG2676" s="12"/>
      <c r="AH2676" s="6"/>
      <c r="AI2676" s="6"/>
      <c r="AJ2676" s="12"/>
      <c r="AK2676" s="1"/>
      <c r="AL2676" s="12"/>
      <c r="AM2676" s="12"/>
      <c r="AN2676" s="1"/>
      <c r="AO2676" s="6"/>
    </row>
    <row r="2677" spans="1:41" ht="15" x14ac:dyDescent="0.25">
      <c r="A2677" s="1"/>
      <c r="B2677" s="1"/>
      <c r="C2677" s="1"/>
      <c r="D2677" s="1"/>
      <c r="E2677" s="6"/>
      <c r="F2677" s="1"/>
      <c r="G2677" s="6"/>
      <c r="H2677" s="6"/>
      <c r="I2677" s="6"/>
      <c r="J2677" s="6"/>
      <c r="K2677" s="6"/>
      <c r="L2677" s="6"/>
      <c r="M2677" s="6"/>
      <c r="N2677" s="6"/>
      <c r="O2677" s="7"/>
      <c r="P2677" s="6"/>
      <c r="Q2677" s="6"/>
      <c r="R2677" s="7"/>
      <c r="S2677" s="6"/>
      <c r="T2677" s="6"/>
      <c r="U2677" s="7"/>
      <c r="V2677" s="6"/>
      <c r="W2677" s="6"/>
      <c r="X2677" s="12"/>
      <c r="Y2677" s="6"/>
      <c r="Z2677" s="6"/>
      <c r="AA2677" s="7"/>
      <c r="AB2677" s="6"/>
      <c r="AC2677" s="6"/>
      <c r="AD2677" s="6"/>
      <c r="AE2677" s="12"/>
      <c r="AF2677" s="6"/>
      <c r="AG2677" s="12"/>
      <c r="AH2677" s="6"/>
      <c r="AI2677" s="6"/>
      <c r="AJ2677" s="12"/>
      <c r="AK2677" s="24"/>
      <c r="AL2677" s="25"/>
      <c r="AM2677" s="12"/>
      <c r="AN2677" s="1"/>
      <c r="AO2677" s="6"/>
    </row>
    <row r="2678" spans="1:41" ht="15" x14ac:dyDescent="0.25">
      <c r="A2678" s="1"/>
      <c r="B2678" s="1"/>
      <c r="C2678" s="1"/>
      <c r="D2678" s="1"/>
      <c r="E2678" s="6"/>
      <c r="F2678" s="1"/>
      <c r="G2678" s="6"/>
      <c r="H2678" s="6"/>
      <c r="I2678" s="6"/>
      <c r="J2678" s="6"/>
      <c r="K2678" s="6"/>
      <c r="L2678" s="6"/>
      <c r="M2678" s="6"/>
      <c r="N2678" s="6"/>
      <c r="O2678" s="7"/>
      <c r="P2678" s="6"/>
      <c r="Q2678" s="6"/>
      <c r="R2678" s="7"/>
      <c r="S2678" s="6"/>
      <c r="T2678" s="6"/>
      <c r="U2678" s="7"/>
      <c r="V2678" s="6"/>
      <c r="W2678" s="6"/>
      <c r="X2678" s="6"/>
      <c r="Y2678" s="6"/>
      <c r="Z2678" s="6"/>
      <c r="AA2678" s="7"/>
      <c r="AB2678" s="6"/>
      <c r="AC2678" s="6"/>
      <c r="AD2678" s="6"/>
      <c r="AE2678" s="12"/>
      <c r="AF2678" s="12"/>
      <c r="AG2678" s="12"/>
      <c r="AH2678" s="12"/>
      <c r="AI2678" s="6"/>
      <c r="AJ2678" s="12"/>
      <c r="AK2678" s="1"/>
      <c r="AL2678" s="12"/>
      <c r="AM2678" s="12"/>
      <c r="AN2678" s="1"/>
      <c r="AO2678" s="6"/>
    </row>
    <row r="2679" spans="1:41" ht="15" x14ac:dyDescent="0.25">
      <c r="A2679" s="1"/>
      <c r="B2679" s="1"/>
      <c r="C2679" s="1"/>
      <c r="D2679" s="1"/>
      <c r="E2679" s="6"/>
      <c r="F2679" s="1"/>
      <c r="G2679" s="6"/>
      <c r="H2679" s="6"/>
      <c r="I2679" s="6"/>
      <c r="J2679" s="6"/>
      <c r="K2679" s="6"/>
      <c r="L2679" s="6"/>
      <c r="M2679" s="6"/>
      <c r="N2679" s="6"/>
      <c r="O2679" s="7"/>
      <c r="P2679" s="6"/>
      <c r="Q2679" s="6"/>
      <c r="R2679" s="7"/>
      <c r="S2679" s="6"/>
      <c r="T2679" s="6"/>
      <c r="U2679" s="7"/>
      <c r="V2679" s="6"/>
      <c r="W2679" s="6"/>
      <c r="X2679" s="6"/>
      <c r="Y2679" s="6"/>
      <c r="Z2679" s="6"/>
      <c r="AA2679" s="7"/>
      <c r="AB2679" s="6"/>
      <c r="AC2679" s="6"/>
      <c r="AD2679" s="6"/>
      <c r="AE2679" s="12"/>
      <c r="AF2679" s="6"/>
      <c r="AG2679" s="12"/>
      <c r="AH2679" s="6"/>
      <c r="AI2679" s="6"/>
      <c r="AJ2679" s="12"/>
      <c r="AK2679" s="1"/>
      <c r="AL2679" s="12"/>
      <c r="AM2679" s="12"/>
      <c r="AN2679" s="1"/>
      <c r="AO2679" s="6"/>
    </row>
    <row r="2680" spans="1:41" ht="15" x14ac:dyDescent="0.25">
      <c r="A2680" s="1"/>
      <c r="B2680" s="1"/>
      <c r="C2680" s="1"/>
      <c r="D2680" s="1"/>
      <c r="E2680" s="6"/>
      <c r="F2680" s="1"/>
      <c r="G2680" s="6"/>
      <c r="H2680" s="6"/>
      <c r="I2680" s="6"/>
      <c r="J2680" s="6"/>
      <c r="K2680" s="6"/>
      <c r="L2680" s="6"/>
      <c r="M2680" s="6"/>
      <c r="N2680" s="6"/>
      <c r="O2680" s="12"/>
      <c r="P2680" s="12"/>
      <c r="Q2680" s="7"/>
      <c r="R2680" s="6"/>
      <c r="S2680" s="12"/>
      <c r="T2680" s="6"/>
      <c r="U2680" s="6"/>
      <c r="V2680" s="7"/>
      <c r="W2680" s="7"/>
      <c r="X2680" s="6"/>
      <c r="Y2680" s="6"/>
      <c r="Z2680" s="6"/>
      <c r="AA2680" s="24"/>
      <c r="AB2680" s="25"/>
      <c r="AC2680" s="12"/>
      <c r="AD2680" s="12"/>
      <c r="AE2680" s="12"/>
      <c r="AF2680" s="6"/>
      <c r="AG2680" s="12"/>
      <c r="AH2680" s="6"/>
      <c r="AI2680" s="6"/>
      <c r="AJ2680" s="12"/>
      <c r="AK2680" s="12"/>
      <c r="AL2680" s="12"/>
      <c r="AM2680" s="12"/>
      <c r="AN2680" s="1"/>
      <c r="AO2680" s="6"/>
    </row>
    <row r="2681" spans="1:41" ht="15" x14ac:dyDescent="0.25">
      <c r="A2681" s="1"/>
      <c r="B2681" s="1"/>
      <c r="C2681" s="1"/>
      <c r="D2681" s="1"/>
      <c r="E2681" s="6"/>
      <c r="F2681" s="1"/>
      <c r="G2681" s="6"/>
      <c r="H2681" s="6"/>
      <c r="I2681" s="6"/>
      <c r="J2681" s="6"/>
      <c r="K2681" s="6"/>
      <c r="L2681" s="6"/>
      <c r="M2681" s="6"/>
      <c r="N2681" s="6"/>
      <c r="O2681" s="7"/>
      <c r="P2681" s="6"/>
      <c r="Q2681" s="6"/>
      <c r="R2681" s="7"/>
      <c r="S2681" s="6"/>
      <c r="T2681" s="6"/>
      <c r="U2681" s="7"/>
      <c r="V2681" s="6"/>
      <c r="W2681" s="6"/>
      <c r="X2681" s="6"/>
      <c r="Y2681" s="6"/>
      <c r="Z2681" s="6"/>
      <c r="AA2681" s="7"/>
      <c r="AB2681" s="6"/>
      <c r="AC2681" s="6"/>
      <c r="AD2681" s="6"/>
      <c r="AE2681" s="12"/>
      <c r="AF2681" s="12"/>
      <c r="AG2681" s="12"/>
      <c r="AH2681" s="12"/>
      <c r="AI2681" s="6"/>
      <c r="AJ2681" s="12"/>
      <c r="AK2681" s="1"/>
      <c r="AL2681" s="12"/>
      <c r="AM2681" s="12"/>
      <c r="AN2681" s="1"/>
      <c r="AO2681" s="6"/>
    </row>
    <row r="2682" spans="1:41" ht="15" x14ac:dyDescent="0.25">
      <c r="A2682" s="1"/>
      <c r="B2682" s="1"/>
      <c r="C2682" s="1"/>
      <c r="D2682" s="1"/>
      <c r="E2682" s="6"/>
      <c r="F2682" s="1"/>
      <c r="G2682" s="6"/>
      <c r="H2682" s="6"/>
      <c r="I2682" s="6"/>
      <c r="J2682" s="6"/>
      <c r="K2682" s="6"/>
      <c r="L2682" s="6"/>
      <c r="M2682" s="6"/>
      <c r="N2682" s="6"/>
      <c r="O2682" s="7"/>
      <c r="P2682" s="6"/>
      <c r="Q2682" s="6"/>
      <c r="R2682" s="7"/>
      <c r="S2682" s="6"/>
      <c r="T2682" s="6"/>
      <c r="U2682" s="7"/>
      <c r="V2682" s="6"/>
      <c r="W2682" s="6"/>
      <c r="X2682" s="12"/>
      <c r="Y2682" s="6"/>
      <c r="Z2682" s="6"/>
      <c r="AA2682" s="7"/>
      <c r="AB2682" s="6"/>
      <c r="AC2682" s="6"/>
      <c r="AD2682" s="6"/>
      <c r="AE2682" s="12"/>
      <c r="AF2682" s="12"/>
      <c r="AG2682" s="12"/>
      <c r="AH2682" s="12"/>
      <c r="AI2682" s="6"/>
      <c r="AJ2682" s="12"/>
      <c r="AK2682" s="1"/>
      <c r="AL2682" s="12"/>
      <c r="AM2682" s="12"/>
      <c r="AN2682" s="1"/>
      <c r="AO2682" s="6"/>
    </row>
    <row r="2683" spans="1:41" ht="15" x14ac:dyDescent="0.25">
      <c r="A2683" s="1"/>
      <c r="B2683" s="1"/>
      <c r="C2683" s="1"/>
      <c r="D2683" s="1"/>
      <c r="E2683" s="6"/>
      <c r="F2683" s="1"/>
      <c r="G2683" s="6"/>
      <c r="H2683" s="6"/>
      <c r="I2683" s="6"/>
      <c r="J2683" s="6"/>
      <c r="K2683" s="6"/>
      <c r="L2683" s="6"/>
      <c r="M2683" s="6"/>
      <c r="N2683" s="6"/>
      <c r="O2683" s="7"/>
      <c r="P2683" s="6"/>
      <c r="Q2683" s="6"/>
      <c r="R2683" s="7"/>
      <c r="S2683" s="6"/>
      <c r="T2683" s="6"/>
      <c r="U2683" s="7"/>
      <c r="V2683" s="6"/>
      <c r="W2683" s="6"/>
      <c r="X2683" s="12"/>
      <c r="Y2683" s="6"/>
      <c r="Z2683" s="6"/>
      <c r="AA2683" s="7"/>
      <c r="AB2683" s="6"/>
      <c r="AC2683" s="6"/>
      <c r="AD2683" s="6"/>
      <c r="AE2683" s="12"/>
      <c r="AF2683" s="6"/>
      <c r="AG2683" s="12"/>
      <c r="AH2683" s="6"/>
      <c r="AI2683" s="6"/>
      <c r="AJ2683" s="12"/>
      <c r="AK2683" s="24"/>
      <c r="AL2683" s="25"/>
      <c r="AM2683" s="12"/>
      <c r="AN2683" s="1"/>
      <c r="AO2683" s="6"/>
    </row>
    <row r="2684" spans="1:41" ht="15" x14ac:dyDescent="0.25">
      <c r="A2684" s="1"/>
      <c r="B2684" s="1"/>
      <c r="C2684" s="1"/>
      <c r="D2684" s="1"/>
      <c r="E2684" s="6"/>
      <c r="F2684" s="1"/>
      <c r="G2684" s="6"/>
      <c r="H2684" s="6"/>
      <c r="I2684" s="6"/>
      <c r="J2684" s="6"/>
      <c r="K2684" s="6"/>
      <c r="L2684" s="6"/>
      <c r="M2684" s="6"/>
      <c r="N2684" s="6"/>
      <c r="O2684" s="7"/>
      <c r="P2684" s="6"/>
      <c r="Q2684" s="6"/>
      <c r="R2684" s="7"/>
      <c r="S2684" s="6"/>
      <c r="T2684" s="6"/>
      <c r="U2684" s="7"/>
      <c r="V2684" s="6"/>
      <c r="W2684" s="6"/>
      <c r="X2684" s="12"/>
      <c r="Y2684" s="6"/>
      <c r="Z2684" s="6"/>
      <c r="AA2684" s="7"/>
      <c r="AB2684" s="6"/>
      <c r="AC2684" s="6"/>
      <c r="AD2684" s="6"/>
      <c r="AE2684" s="12"/>
      <c r="AF2684" s="12"/>
      <c r="AG2684" s="12"/>
      <c r="AH2684" s="12"/>
      <c r="AI2684" s="6"/>
      <c r="AJ2684" s="12"/>
      <c r="AK2684" s="1"/>
      <c r="AL2684" s="12"/>
      <c r="AM2684" s="12"/>
      <c r="AN2684" s="1"/>
      <c r="AO2684" s="6"/>
    </row>
    <row r="2685" spans="1:41" ht="15" x14ac:dyDescent="0.25">
      <c r="A2685" s="1"/>
      <c r="B2685" s="1"/>
      <c r="C2685" s="1"/>
      <c r="D2685" s="1"/>
      <c r="E2685" s="6"/>
      <c r="F2685" s="1"/>
      <c r="G2685" s="6"/>
      <c r="H2685" s="6"/>
      <c r="I2685" s="6"/>
      <c r="J2685" s="6"/>
      <c r="K2685" s="6"/>
      <c r="L2685" s="6"/>
      <c r="M2685" s="6"/>
      <c r="N2685" s="6"/>
      <c r="O2685" s="7"/>
      <c r="P2685" s="12"/>
      <c r="Q2685" s="6"/>
      <c r="R2685" s="7"/>
      <c r="S2685" s="6"/>
      <c r="T2685" s="6"/>
      <c r="U2685" s="7"/>
      <c r="V2685" s="6"/>
      <c r="W2685" s="6"/>
      <c r="X2685" s="6"/>
      <c r="Y2685" s="6"/>
      <c r="Z2685" s="6"/>
      <c r="AA2685" s="7"/>
      <c r="AB2685" s="6"/>
      <c r="AC2685" s="6"/>
      <c r="AD2685" s="6"/>
      <c r="AE2685" s="12"/>
      <c r="AF2685" s="12"/>
      <c r="AG2685" s="12"/>
      <c r="AH2685" s="12"/>
      <c r="AI2685" s="6"/>
      <c r="AJ2685" s="12"/>
      <c r="AK2685" s="1"/>
      <c r="AL2685" s="12"/>
      <c r="AM2685" s="12"/>
      <c r="AN2685" s="1"/>
      <c r="AO2685" s="6"/>
    </row>
    <row r="2686" spans="1:41" ht="15" x14ac:dyDescent="0.25">
      <c r="A2686" s="1"/>
      <c r="B2686" s="1"/>
      <c r="C2686" s="1"/>
      <c r="D2686" s="1"/>
      <c r="E2686" s="6"/>
      <c r="F2686" s="1"/>
      <c r="G2686" s="6"/>
      <c r="H2686" s="6"/>
      <c r="I2686" s="6"/>
      <c r="J2686" s="6"/>
      <c r="K2686" s="6"/>
      <c r="L2686" s="6"/>
      <c r="M2686" s="6"/>
      <c r="N2686" s="6"/>
      <c r="O2686" s="7"/>
      <c r="P2686" s="6"/>
      <c r="Q2686" s="7"/>
      <c r="R2686" s="6"/>
      <c r="S2686" s="6"/>
      <c r="T2686" s="6"/>
      <c r="U2686" s="6"/>
      <c r="V2686" s="7"/>
      <c r="W2686" s="7"/>
      <c r="X2686" s="6"/>
      <c r="Y2686" s="6"/>
      <c r="Z2686" s="6"/>
      <c r="AA2686" s="1"/>
      <c r="AB2686" s="12"/>
      <c r="AC2686" s="12"/>
      <c r="AD2686" s="12"/>
      <c r="AE2686" s="12"/>
      <c r="AF2686" s="12"/>
      <c r="AG2686" s="12"/>
      <c r="AH2686" s="12"/>
      <c r="AI2686" s="6"/>
      <c r="AJ2686" s="12"/>
      <c r="AK2686" s="12"/>
      <c r="AL2686" s="12"/>
      <c r="AM2686" s="12"/>
      <c r="AN2686" s="1"/>
      <c r="AO2686" s="6"/>
    </row>
    <row r="2687" spans="1:41" ht="15" x14ac:dyDescent="0.25">
      <c r="A2687" s="1"/>
      <c r="B2687" s="1"/>
      <c r="C2687" s="1"/>
      <c r="D2687" s="1"/>
      <c r="E2687" s="6"/>
      <c r="F2687" s="1"/>
      <c r="G2687" s="6"/>
      <c r="H2687" s="6"/>
      <c r="I2687" s="6"/>
      <c r="J2687" s="6"/>
      <c r="K2687" s="6"/>
      <c r="L2687" s="6"/>
      <c r="M2687" s="6"/>
      <c r="N2687" s="6"/>
      <c r="O2687" s="7"/>
      <c r="P2687" s="6"/>
      <c r="Q2687" s="6"/>
      <c r="R2687" s="7"/>
      <c r="S2687" s="6"/>
      <c r="T2687" s="6"/>
      <c r="U2687" s="7"/>
      <c r="V2687" s="6"/>
      <c r="W2687" s="6"/>
      <c r="X2687" s="6"/>
      <c r="Y2687" s="6"/>
      <c r="Z2687" s="6"/>
      <c r="AA2687" s="7"/>
      <c r="AB2687" s="6"/>
      <c r="AC2687" s="6"/>
      <c r="AD2687" s="6"/>
      <c r="AE2687" s="12"/>
      <c r="AF2687" s="6"/>
      <c r="AG2687" s="12"/>
      <c r="AH2687" s="6"/>
      <c r="AI2687" s="6"/>
      <c r="AJ2687" s="12"/>
      <c r="AK2687" s="1"/>
      <c r="AL2687" s="12"/>
      <c r="AM2687" s="12"/>
      <c r="AN2687" s="1"/>
      <c r="AO2687" s="6"/>
    </row>
    <row r="2688" spans="1:41" ht="15" x14ac:dyDescent="0.25">
      <c r="A2688" s="1"/>
      <c r="B2688" s="1"/>
      <c r="C2688" s="1"/>
      <c r="D2688" s="1"/>
      <c r="E2688" s="6"/>
      <c r="F2688" s="1"/>
      <c r="G2688" s="6"/>
      <c r="H2688" s="6"/>
      <c r="I2688" s="6"/>
      <c r="J2688" s="6"/>
      <c r="K2688" s="6"/>
      <c r="L2688" s="6"/>
      <c r="M2688" s="6"/>
      <c r="N2688" s="6"/>
      <c r="O2688" s="7"/>
      <c r="P2688" s="6"/>
      <c r="Q2688" s="6"/>
      <c r="R2688" s="7"/>
      <c r="S2688" s="6"/>
      <c r="T2688" s="6"/>
      <c r="U2688" s="7"/>
      <c r="V2688" s="6"/>
      <c r="W2688" s="6"/>
      <c r="X2688" s="6"/>
      <c r="Y2688" s="6"/>
      <c r="Z2688" s="6"/>
      <c r="AA2688" s="7"/>
      <c r="AB2688" s="6"/>
      <c r="AC2688" s="6"/>
      <c r="AD2688" s="6"/>
      <c r="AE2688" s="12"/>
      <c r="AF2688" s="6"/>
      <c r="AG2688" s="12"/>
      <c r="AH2688" s="6"/>
      <c r="AI2688" s="6"/>
      <c r="AJ2688" s="12"/>
      <c r="AK2688" s="24"/>
      <c r="AL2688" s="25"/>
      <c r="AM2688" s="12"/>
      <c r="AN2688" s="1"/>
      <c r="AO2688" s="6"/>
    </row>
    <row r="2689" spans="1:41" ht="15" x14ac:dyDescent="0.25">
      <c r="A2689" s="1"/>
      <c r="B2689" s="1"/>
      <c r="C2689" s="1"/>
      <c r="D2689" s="1"/>
      <c r="E2689" s="6"/>
      <c r="F2689" s="1"/>
      <c r="G2689" s="6"/>
      <c r="H2689" s="6"/>
      <c r="I2689" s="6"/>
      <c r="J2689" s="6"/>
      <c r="K2689" s="6"/>
      <c r="L2689" s="6"/>
      <c r="M2689" s="6"/>
      <c r="N2689" s="6"/>
      <c r="O2689" s="7"/>
      <c r="P2689" s="6"/>
      <c r="Q2689" s="6"/>
      <c r="R2689" s="7"/>
      <c r="S2689" s="6"/>
      <c r="T2689" s="6"/>
      <c r="U2689" s="7"/>
      <c r="V2689" s="6"/>
      <c r="W2689" s="6"/>
      <c r="X2689" s="6"/>
      <c r="Y2689" s="6"/>
      <c r="Z2689" s="6"/>
      <c r="AA2689" s="7"/>
      <c r="AB2689" s="6"/>
      <c r="AC2689" s="6"/>
      <c r="AD2689" s="6"/>
      <c r="AE2689" s="12"/>
      <c r="AF2689" s="6"/>
      <c r="AG2689" s="12"/>
      <c r="AH2689" s="6"/>
      <c r="AI2689" s="6"/>
      <c r="AJ2689" s="12"/>
      <c r="AK2689" s="1"/>
      <c r="AL2689" s="12"/>
      <c r="AM2689" s="12"/>
      <c r="AN2689" s="1"/>
      <c r="AO2689" s="6"/>
    </row>
    <row r="2690" spans="1:41" ht="15" x14ac:dyDescent="0.25">
      <c r="A2690" s="1"/>
      <c r="B2690" s="1"/>
      <c r="C2690" s="1"/>
      <c r="D2690" s="1"/>
      <c r="E2690" s="6"/>
      <c r="F2690" s="1"/>
      <c r="G2690" s="6"/>
      <c r="H2690" s="6"/>
      <c r="I2690" s="6"/>
      <c r="J2690" s="6"/>
      <c r="K2690" s="6"/>
      <c r="L2690" s="6"/>
      <c r="M2690" s="6"/>
      <c r="N2690" s="6"/>
      <c r="O2690" s="7"/>
      <c r="P2690" s="6"/>
      <c r="Q2690" s="6"/>
      <c r="R2690" s="7"/>
      <c r="S2690" s="6"/>
      <c r="T2690" s="6"/>
      <c r="U2690" s="7"/>
      <c r="V2690" s="6"/>
      <c r="W2690" s="6"/>
      <c r="X2690" s="6"/>
      <c r="Y2690" s="6"/>
      <c r="Z2690" s="6"/>
      <c r="AA2690" s="7"/>
      <c r="AB2690" s="6"/>
      <c r="AC2690" s="6"/>
      <c r="AD2690" s="6"/>
      <c r="AE2690" s="12"/>
      <c r="AF2690" s="12"/>
      <c r="AG2690" s="12"/>
      <c r="AH2690" s="12"/>
      <c r="AI2690" s="6"/>
      <c r="AJ2690" s="12"/>
      <c r="AK2690" s="1"/>
      <c r="AL2690" s="12"/>
      <c r="AM2690" s="12"/>
      <c r="AN2690" s="1"/>
      <c r="AO2690" s="6"/>
    </row>
    <row r="2691" spans="1:41" ht="15" x14ac:dyDescent="0.25">
      <c r="A2691" s="1"/>
      <c r="B2691" s="1"/>
      <c r="C2691" s="1"/>
      <c r="D2691" s="1"/>
      <c r="E2691" s="6"/>
      <c r="F2691" s="1"/>
      <c r="G2691" s="6"/>
      <c r="H2691" s="6"/>
      <c r="I2691" s="6"/>
      <c r="J2691" s="6"/>
      <c r="K2691" s="6"/>
      <c r="L2691" s="6"/>
      <c r="M2691" s="6"/>
      <c r="N2691" s="6"/>
      <c r="O2691" s="7"/>
      <c r="P2691" s="6"/>
      <c r="Q2691" s="6"/>
      <c r="R2691" s="12"/>
      <c r="S2691" s="12"/>
      <c r="T2691" s="12"/>
      <c r="U2691" s="7"/>
      <c r="V2691" s="6"/>
      <c r="W2691" s="6"/>
      <c r="X2691" s="12"/>
      <c r="Y2691" s="6"/>
      <c r="Z2691" s="6"/>
      <c r="AA2691" s="7"/>
      <c r="AB2691" s="6"/>
      <c r="AC2691" s="6"/>
      <c r="AD2691" s="6"/>
      <c r="AE2691" s="12"/>
      <c r="AF2691" s="6"/>
      <c r="AG2691" s="12"/>
      <c r="AH2691" s="6"/>
      <c r="AI2691" s="6"/>
      <c r="AJ2691" s="12"/>
      <c r="AK2691" s="24"/>
      <c r="AL2691" s="25"/>
      <c r="AM2691" s="12"/>
      <c r="AN2691" s="1"/>
      <c r="AO2691" s="6"/>
    </row>
    <row r="2692" spans="1:41" ht="15" x14ac:dyDescent="0.25">
      <c r="A2692" s="1"/>
      <c r="B2692" s="1"/>
      <c r="C2692" s="1"/>
      <c r="D2692" s="1"/>
      <c r="E2692" s="6"/>
      <c r="F2692" s="1"/>
      <c r="G2692" s="6"/>
      <c r="H2692" s="6"/>
      <c r="I2692" s="6"/>
      <c r="J2692" s="6"/>
      <c r="K2692" s="6"/>
      <c r="L2692" s="6"/>
      <c r="M2692" s="6"/>
      <c r="N2692" s="6"/>
      <c r="O2692" s="7"/>
      <c r="P2692" s="6"/>
      <c r="Q2692" s="6"/>
      <c r="R2692" s="7"/>
      <c r="S2692" s="6"/>
      <c r="T2692" s="6"/>
      <c r="U2692" s="7"/>
      <c r="V2692" s="6"/>
      <c r="W2692" s="6"/>
      <c r="X2692" s="6"/>
      <c r="Y2692" s="6"/>
      <c r="Z2692" s="6"/>
      <c r="AA2692" s="7"/>
      <c r="AB2692" s="6"/>
      <c r="AC2692" s="6"/>
      <c r="AD2692" s="6"/>
      <c r="AE2692" s="12"/>
      <c r="AF2692" s="6"/>
      <c r="AG2692" s="12"/>
      <c r="AH2692" s="6"/>
      <c r="AI2692" s="6"/>
      <c r="AJ2692" s="12"/>
      <c r="AK2692" s="1"/>
      <c r="AL2692" s="12"/>
      <c r="AM2692" s="12"/>
      <c r="AN2692" s="1"/>
      <c r="AO2692" s="6"/>
    </row>
    <row r="2693" spans="1:41" ht="15" x14ac:dyDescent="0.25">
      <c r="A2693" s="1"/>
      <c r="B2693" s="1"/>
      <c r="C2693" s="1"/>
      <c r="D2693" s="1"/>
      <c r="E2693" s="6"/>
      <c r="F2693" s="1"/>
      <c r="G2693" s="6"/>
      <c r="H2693" s="6"/>
      <c r="I2693" s="6"/>
      <c r="J2693" s="6"/>
      <c r="K2693" s="6"/>
      <c r="L2693" s="6"/>
      <c r="M2693" s="6"/>
      <c r="N2693" s="6"/>
      <c r="O2693" s="7"/>
      <c r="P2693" s="12"/>
      <c r="Q2693" s="6"/>
      <c r="R2693" s="7"/>
      <c r="S2693" s="6"/>
      <c r="T2693" s="6"/>
      <c r="U2693" s="7"/>
      <c r="V2693" s="6"/>
      <c r="W2693" s="6"/>
      <c r="X2693" s="6"/>
      <c r="Y2693" s="6"/>
      <c r="Z2693" s="6"/>
      <c r="AA2693" s="7"/>
      <c r="AB2693" s="6"/>
      <c r="AC2693" s="6"/>
      <c r="AD2693" s="6"/>
      <c r="AE2693" s="12"/>
      <c r="AF2693" s="6"/>
      <c r="AG2693" s="12"/>
      <c r="AH2693" s="6"/>
      <c r="AI2693" s="6"/>
      <c r="AJ2693" s="12"/>
      <c r="AK2693" s="24"/>
      <c r="AL2693" s="25"/>
      <c r="AM2693" s="12"/>
      <c r="AN2693" s="1"/>
      <c r="AO2693" s="6"/>
    </row>
    <row r="2694" spans="1:41" ht="15" x14ac:dyDescent="0.25">
      <c r="A2694" s="1"/>
      <c r="B2694" s="1"/>
      <c r="C2694" s="1"/>
      <c r="D2694" s="1"/>
      <c r="E2694" s="6"/>
      <c r="F2694" s="1"/>
      <c r="G2694" s="6"/>
      <c r="H2694" s="6"/>
      <c r="I2694" s="6"/>
      <c r="J2694" s="6"/>
      <c r="K2694" s="6"/>
      <c r="L2694" s="6"/>
      <c r="M2694" s="6"/>
      <c r="N2694" s="6"/>
      <c r="O2694" s="7"/>
      <c r="P2694" s="6"/>
      <c r="Q2694" s="6"/>
      <c r="R2694" s="7"/>
      <c r="S2694" s="6"/>
      <c r="T2694" s="6"/>
      <c r="U2694" s="7"/>
      <c r="V2694" s="6"/>
      <c r="W2694" s="6"/>
      <c r="X2694" s="12"/>
      <c r="Y2694" s="6"/>
      <c r="Z2694" s="6"/>
      <c r="AA2694" s="7"/>
      <c r="AB2694" s="6"/>
      <c r="AC2694" s="6"/>
      <c r="AD2694" s="6"/>
      <c r="AE2694" s="12"/>
      <c r="AF2694" s="6"/>
      <c r="AG2694" s="12"/>
      <c r="AH2694" s="6"/>
      <c r="AI2694" s="6"/>
      <c r="AJ2694" s="12"/>
      <c r="AK2694" s="1"/>
      <c r="AL2694" s="12"/>
      <c r="AM2694" s="12"/>
      <c r="AN2694" s="1"/>
      <c r="AO2694" s="6"/>
    </row>
    <row r="2695" spans="1:41" ht="15" x14ac:dyDescent="0.25">
      <c r="A2695" s="1"/>
      <c r="B2695" s="1"/>
      <c r="C2695" s="1"/>
      <c r="D2695" s="1"/>
      <c r="E2695" s="6"/>
      <c r="F2695" s="1"/>
      <c r="G2695" s="6"/>
      <c r="H2695" s="6"/>
      <c r="I2695" s="6"/>
      <c r="J2695" s="6"/>
      <c r="K2695" s="6"/>
      <c r="L2695" s="6"/>
      <c r="M2695" s="6"/>
      <c r="N2695" s="6"/>
      <c r="O2695" s="7"/>
      <c r="P2695" s="6"/>
      <c r="Q2695" s="6"/>
      <c r="R2695" s="7"/>
      <c r="S2695" s="6"/>
      <c r="T2695" s="6"/>
      <c r="U2695" s="7"/>
      <c r="V2695" s="6"/>
      <c r="W2695" s="6"/>
      <c r="X2695" s="12"/>
      <c r="Y2695" s="6"/>
      <c r="Z2695" s="6"/>
      <c r="AA2695" s="7"/>
      <c r="AB2695" s="6"/>
      <c r="AC2695" s="6"/>
      <c r="AD2695" s="6"/>
      <c r="AE2695" s="12"/>
      <c r="AF2695" s="6"/>
      <c r="AG2695" s="12"/>
      <c r="AH2695" s="6"/>
      <c r="AI2695" s="6"/>
      <c r="AJ2695" s="12"/>
      <c r="AK2695" s="1"/>
      <c r="AL2695" s="12"/>
      <c r="AM2695" s="12"/>
      <c r="AN2695" s="1"/>
      <c r="AO2695" s="6"/>
    </row>
    <row r="2696" spans="1:41" ht="15" x14ac:dyDescent="0.25">
      <c r="A2696" s="1"/>
      <c r="B2696" s="1"/>
      <c r="C2696" s="1"/>
      <c r="D2696" s="1"/>
      <c r="E2696" s="6"/>
      <c r="F2696" s="1"/>
      <c r="G2696" s="6"/>
      <c r="H2696" s="6"/>
      <c r="I2696" s="6"/>
      <c r="J2696" s="6"/>
      <c r="K2696" s="6"/>
      <c r="L2696" s="6"/>
      <c r="M2696" s="6"/>
      <c r="N2696" s="6"/>
      <c r="O2696" s="7"/>
      <c r="P2696" s="6"/>
      <c r="Q2696" s="6"/>
      <c r="R2696" s="7"/>
      <c r="S2696" s="6"/>
      <c r="T2696" s="6"/>
      <c r="U2696" s="7"/>
      <c r="V2696" s="6"/>
      <c r="W2696" s="6"/>
      <c r="X2696" s="12"/>
      <c r="Y2696" s="6"/>
      <c r="Z2696" s="6"/>
      <c r="AA2696" s="7"/>
      <c r="AB2696" s="6"/>
      <c r="AC2696" s="6"/>
      <c r="AD2696" s="6"/>
      <c r="AE2696" s="12"/>
      <c r="AF2696" s="12"/>
      <c r="AG2696" s="12"/>
      <c r="AH2696" s="12"/>
      <c r="AI2696" s="6"/>
      <c r="AJ2696" s="12"/>
      <c r="AK2696" s="1"/>
      <c r="AL2696" s="12"/>
      <c r="AM2696" s="12"/>
      <c r="AN2696" s="1"/>
      <c r="AO2696" s="12"/>
    </row>
    <row r="2697" spans="1:41" ht="15" x14ac:dyDescent="0.25">
      <c r="A2697" s="1"/>
      <c r="B2697" s="1"/>
      <c r="C2697" s="1"/>
      <c r="D2697" s="1"/>
      <c r="E2697" s="6"/>
      <c r="F2697" s="1"/>
      <c r="G2697" s="6"/>
      <c r="H2697" s="6"/>
      <c r="I2697" s="6"/>
      <c r="J2697" s="6"/>
      <c r="K2697" s="6"/>
      <c r="L2697" s="6"/>
      <c r="M2697" s="6"/>
      <c r="N2697" s="6"/>
      <c r="O2697" s="7"/>
      <c r="P2697" s="6"/>
      <c r="Q2697" s="7"/>
      <c r="R2697" s="6"/>
      <c r="S2697" s="12"/>
      <c r="T2697" s="6"/>
      <c r="U2697" s="6"/>
      <c r="V2697" s="7"/>
      <c r="W2697" s="6"/>
      <c r="X2697" s="6"/>
      <c r="Y2697" s="6"/>
      <c r="Z2697" s="6"/>
      <c r="AA2697" s="24"/>
      <c r="AB2697" s="25"/>
      <c r="AC2697" s="12"/>
      <c r="AD2697" s="12"/>
      <c r="AE2697" s="12"/>
      <c r="AF2697" s="6"/>
      <c r="AG2697" s="12"/>
      <c r="AH2697" s="6"/>
      <c r="AI2697" s="6"/>
      <c r="AJ2697" s="12"/>
      <c r="AK2697" s="12"/>
      <c r="AL2697" s="12"/>
      <c r="AM2697" s="12"/>
      <c r="AN2697" s="1"/>
      <c r="AO2697" s="6"/>
    </row>
    <row r="2698" spans="1:41" ht="15" x14ac:dyDescent="0.25">
      <c r="A2698" s="1"/>
      <c r="B2698" s="1"/>
      <c r="C2698" s="1"/>
      <c r="D2698" s="1"/>
      <c r="E2698" s="6"/>
      <c r="F2698" s="1"/>
      <c r="G2698" s="6"/>
      <c r="H2698" s="6"/>
      <c r="I2698" s="6"/>
      <c r="J2698" s="6"/>
      <c r="K2698" s="6"/>
      <c r="L2698" s="6"/>
      <c r="M2698" s="6"/>
      <c r="N2698" s="6"/>
      <c r="O2698" s="7"/>
      <c r="P2698" s="6"/>
      <c r="Q2698" s="6"/>
      <c r="R2698" s="7"/>
      <c r="S2698" s="6"/>
      <c r="T2698" s="6"/>
      <c r="U2698" s="7"/>
      <c r="V2698" s="6"/>
      <c r="W2698" s="6"/>
      <c r="X2698" s="12"/>
      <c r="Y2698" s="6"/>
      <c r="Z2698" s="6"/>
      <c r="AA2698" s="7"/>
      <c r="AB2698" s="6"/>
      <c r="AC2698" s="6"/>
      <c r="AD2698" s="6"/>
      <c r="AE2698" s="12"/>
      <c r="AF2698" s="6"/>
      <c r="AG2698" s="12"/>
      <c r="AH2698" s="6"/>
      <c r="AI2698" s="6"/>
      <c r="AJ2698" s="12"/>
      <c r="AK2698" s="24"/>
      <c r="AL2698" s="25"/>
      <c r="AM2698" s="12"/>
      <c r="AN2698" s="1"/>
      <c r="AO2698" s="6"/>
    </row>
    <row r="2699" spans="1:41" ht="15" x14ac:dyDescent="0.25">
      <c r="A2699" s="1"/>
      <c r="B2699" s="1"/>
      <c r="C2699" s="1"/>
      <c r="D2699" s="1"/>
      <c r="E2699" s="6"/>
      <c r="F2699" s="1"/>
      <c r="G2699" s="6"/>
      <c r="H2699" s="6"/>
      <c r="I2699" s="6"/>
      <c r="J2699" s="6"/>
      <c r="K2699" s="12"/>
      <c r="L2699" s="12"/>
      <c r="M2699" s="6"/>
      <c r="N2699" s="6"/>
      <c r="O2699" s="12"/>
      <c r="P2699" s="12"/>
      <c r="Q2699" s="6"/>
      <c r="R2699" s="12"/>
      <c r="S2699" s="12"/>
      <c r="T2699" s="12"/>
      <c r="U2699" s="6"/>
      <c r="V2699" s="12"/>
      <c r="W2699" s="12"/>
      <c r="X2699" s="12"/>
      <c r="Y2699" s="12"/>
      <c r="Z2699" s="6"/>
      <c r="AA2699" s="6"/>
      <c r="AB2699" s="12"/>
      <c r="AC2699" s="12"/>
      <c r="AD2699" s="12"/>
      <c r="AE2699" s="12"/>
      <c r="AF2699" s="12"/>
      <c r="AG2699" s="12"/>
      <c r="AH2699" s="12"/>
      <c r="AI2699" s="6"/>
      <c r="AJ2699" s="12"/>
      <c r="AK2699" s="24"/>
      <c r="AL2699" s="25"/>
      <c r="AM2699" s="12"/>
      <c r="AN2699" s="1"/>
      <c r="AO2699" s="12"/>
    </row>
    <row r="2700" spans="1:41" ht="15" x14ac:dyDescent="0.25">
      <c r="A2700" s="1"/>
      <c r="B2700" s="1"/>
      <c r="C2700" s="1"/>
      <c r="D2700" s="1"/>
      <c r="E2700" s="6"/>
      <c r="F2700" s="1"/>
      <c r="G2700" s="6"/>
      <c r="H2700" s="6"/>
      <c r="I2700" s="6"/>
      <c r="J2700" s="6"/>
      <c r="K2700" s="6"/>
      <c r="L2700" s="6"/>
      <c r="M2700" s="6"/>
      <c r="N2700" s="6"/>
      <c r="O2700" s="7"/>
      <c r="P2700" s="6"/>
      <c r="Q2700" s="6"/>
      <c r="R2700" s="7"/>
      <c r="S2700" s="6"/>
      <c r="T2700" s="6"/>
      <c r="U2700" s="7"/>
      <c r="V2700" s="6"/>
      <c r="W2700" s="6"/>
      <c r="X2700" s="6"/>
      <c r="Y2700" s="6"/>
      <c r="Z2700" s="6"/>
      <c r="AA2700" s="7"/>
      <c r="AB2700" s="6"/>
      <c r="AC2700" s="6"/>
      <c r="AD2700" s="6"/>
      <c r="AE2700" s="12"/>
      <c r="AF2700" s="12"/>
      <c r="AG2700" s="12"/>
      <c r="AH2700" s="12"/>
      <c r="AI2700" s="6"/>
      <c r="AJ2700" s="12"/>
      <c r="AK2700" s="1"/>
      <c r="AL2700" s="12"/>
      <c r="AM2700" s="12"/>
      <c r="AN2700" s="1"/>
      <c r="AO2700" s="6"/>
    </row>
    <row r="2701" spans="1:41" ht="15" x14ac:dyDescent="0.25">
      <c r="A2701" s="1"/>
      <c r="B2701" s="1"/>
      <c r="C2701" s="1"/>
      <c r="D2701" s="1"/>
      <c r="E2701" s="6"/>
      <c r="F2701" s="1"/>
      <c r="G2701" s="6"/>
      <c r="H2701" s="6"/>
      <c r="I2701" s="6"/>
      <c r="J2701" s="6"/>
      <c r="K2701" s="12"/>
      <c r="L2701" s="12"/>
      <c r="M2701" s="6"/>
      <c r="N2701" s="6"/>
      <c r="O2701" s="7"/>
      <c r="P2701" s="6"/>
      <c r="Q2701" s="7"/>
      <c r="R2701" s="6"/>
      <c r="S2701" s="6"/>
      <c r="T2701" s="6"/>
      <c r="U2701" s="6"/>
      <c r="V2701" s="7"/>
      <c r="W2701" s="7"/>
      <c r="X2701" s="6"/>
      <c r="Y2701" s="6"/>
      <c r="Z2701" s="6"/>
      <c r="AA2701" s="1"/>
      <c r="AB2701" s="12"/>
      <c r="AC2701" s="12"/>
      <c r="AD2701" s="12"/>
      <c r="AE2701" s="12"/>
      <c r="AF2701" s="12"/>
      <c r="AG2701" s="12"/>
      <c r="AH2701" s="12"/>
      <c r="AI2701" s="6"/>
      <c r="AJ2701" s="12"/>
      <c r="AK2701" s="12"/>
      <c r="AL2701" s="12"/>
      <c r="AM2701" s="12"/>
      <c r="AN2701" s="1"/>
      <c r="AO2701" s="6"/>
    </row>
    <row r="2702" spans="1:41" ht="15" x14ac:dyDescent="0.25">
      <c r="A2702" s="1"/>
      <c r="B2702" s="1"/>
      <c r="C2702" s="1"/>
      <c r="D2702" s="1"/>
      <c r="E2702" s="6"/>
      <c r="F2702" s="1"/>
      <c r="G2702" s="6"/>
      <c r="H2702" s="6"/>
      <c r="I2702" s="6"/>
      <c r="J2702" s="6"/>
      <c r="K2702" s="6"/>
      <c r="L2702" s="6"/>
      <c r="M2702" s="6"/>
      <c r="N2702" s="6"/>
      <c r="O2702" s="7"/>
      <c r="P2702" s="6"/>
      <c r="Q2702" s="6"/>
      <c r="R2702" s="7"/>
      <c r="S2702" s="6"/>
      <c r="T2702" s="6"/>
      <c r="U2702" s="7"/>
      <c r="V2702" s="6"/>
      <c r="W2702" s="6"/>
      <c r="X2702" s="6"/>
      <c r="Y2702" s="6"/>
      <c r="Z2702" s="6"/>
      <c r="AA2702" s="7"/>
      <c r="AB2702" s="6"/>
      <c r="AC2702" s="6"/>
      <c r="AD2702" s="6"/>
      <c r="AE2702" s="12"/>
      <c r="AF2702" s="6"/>
      <c r="AG2702" s="12"/>
      <c r="AH2702" s="6"/>
      <c r="AI2702" s="6"/>
      <c r="AJ2702" s="12"/>
      <c r="AK2702" s="24"/>
      <c r="AL2702" s="25"/>
      <c r="AM2702" s="12"/>
      <c r="AN2702" s="1"/>
      <c r="AO2702" s="6"/>
    </row>
    <row r="2703" spans="1:41" ht="15" x14ac:dyDescent="0.25">
      <c r="A2703" s="1"/>
      <c r="B2703" s="1"/>
      <c r="C2703" s="1"/>
      <c r="D2703" s="1"/>
      <c r="E2703" s="6"/>
      <c r="F2703" s="1"/>
      <c r="G2703" s="6"/>
      <c r="H2703" s="6"/>
      <c r="I2703" s="6"/>
      <c r="J2703" s="6"/>
      <c r="K2703" s="6"/>
      <c r="L2703" s="6"/>
      <c r="M2703" s="6"/>
      <c r="N2703" s="6"/>
      <c r="O2703" s="7"/>
      <c r="P2703" s="6"/>
      <c r="Q2703" s="6"/>
      <c r="R2703" s="7"/>
      <c r="S2703" s="6"/>
      <c r="T2703" s="6"/>
      <c r="U2703" s="7"/>
      <c r="V2703" s="6"/>
      <c r="W2703" s="6"/>
      <c r="X2703" s="6"/>
      <c r="Y2703" s="6"/>
      <c r="Z2703" s="6"/>
      <c r="AA2703" s="7"/>
      <c r="AB2703" s="6"/>
      <c r="AC2703" s="6"/>
      <c r="AD2703" s="6"/>
      <c r="AE2703" s="12"/>
      <c r="AF2703" s="12"/>
      <c r="AG2703" s="12"/>
      <c r="AH2703" s="12"/>
      <c r="AI2703" s="6"/>
      <c r="AJ2703" s="12"/>
      <c r="AK2703" s="1"/>
      <c r="AL2703" s="12"/>
      <c r="AM2703" s="12"/>
      <c r="AN2703" s="1"/>
      <c r="AO2703" s="6"/>
    </row>
    <row r="2704" spans="1:41" ht="15" x14ac:dyDescent="0.25">
      <c r="A2704" s="1"/>
      <c r="B2704" s="1"/>
      <c r="C2704" s="1"/>
      <c r="D2704" s="1"/>
      <c r="E2704" s="6"/>
      <c r="F2704" s="1"/>
      <c r="G2704" s="6"/>
      <c r="H2704" s="6"/>
      <c r="I2704" s="6"/>
      <c r="J2704" s="6"/>
      <c r="K2704" s="6"/>
      <c r="L2704" s="6"/>
      <c r="M2704" s="6"/>
      <c r="N2704" s="6"/>
      <c r="O2704" s="7"/>
      <c r="P2704" s="6"/>
      <c r="Q2704" s="6"/>
      <c r="R2704" s="12"/>
      <c r="S2704" s="12"/>
      <c r="T2704" s="12"/>
      <c r="U2704" s="7"/>
      <c r="V2704" s="6"/>
      <c r="W2704" s="6"/>
      <c r="X2704" s="12"/>
      <c r="Y2704" s="6"/>
      <c r="Z2704" s="6"/>
      <c r="AA2704" s="7"/>
      <c r="AB2704" s="6"/>
      <c r="AC2704" s="6"/>
      <c r="AD2704" s="6"/>
      <c r="AE2704" s="12"/>
      <c r="AF2704" s="12"/>
      <c r="AG2704" s="12"/>
      <c r="AH2704" s="12"/>
      <c r="AI2704" s="6"/>
      <c r="AJ2704" s="12"/>
      <c r="AK2704" s="1"/>
      <c r="AL2704" s="12"/>
      <c r="AM2704" s="12"/>
      <c r="AN2704" s="1"/>
      <c r="AO2704" s="12"/>
    </row>
    <row r="2705" spans="1:41" ht="15" x14ac:dyDescent="0.25">
      <c r="A2705" s="1"/>
      <c r="B2705" s="1"/>
      <c r="C2705" s="1"/>
      <c r="D2705" s="1"/>
      <c r="E2705" s="6"/>
      <c r="F2705" s="1"/>
      <c r="G2705" s="6"/>
      <c r="H2705" s="6"/>
      <c r="I2705" s="6"/>
      <c r="J2705" s="6"/>
      <c r="K2705" s="6"/>
      <c r="L2705" s="6"/>
      <c r="M2705" s="6"/>
      <c r="N2705" s="6"/>
      <c r="O2705" s="12"/>
      <c r="P2705" s="12"/>
      <c r="Q2705" s="6"/>
      <c r="R2705" s="12"/>
      <c r="S2705" s="12"/>
      <c r="T2705" s="12"/>
      <c r="U2705" s="6"/>
      <c r="V2705" s="12"/>
      <c r="W2705" s="12"/>
      <c r="X2705" s="12"/>
      <c r="Y2705" s="12"/>
      <c r="Z2705" s="6"/>
      <c r="AA2705" s="6"/>
      <c r="AB2705" s="12"/>
      <c r="AC2705" s="12"/>
      <c r="AD2705" s="12"/>
      <c r="AE2705" s="12"/>
      <c r="AF2705" s="6"/>
      <c r="AG2705" s="12"/>
      <c r="AH2705" s="6"/>
      <c r="AI2705" s="6"/>
      <c r="AJ2705" s="12"/>
      <c r="AK2705" s="1"/>
      <c r="AL2705" s="12"/>
      <c r="AM2705" s="12"/>
      <c r="AN2705" s="1"/>
      <c r="AO2705" s="6"/>
    </row>
    <row r="2706" spans="1:41" ht="15" x14ac:dyDescent="0.25">
      <c r="A2706" s="1"/>
      <c r="B2706" s="1"/>
      <c r="C2706" s="1"/>
      <c r="D2706" s="1"/>
      <c r="E2706" s="6"/>
      <c r="F2706" s="1"/>
      <c r="G2706" s="6"/>
      <c r="H2706" s="6"/>
      <c r="I2706" s="6"/>
      <c r="J2706" s="6"/>
      <c r="K2706" s="6"/>
      <c r="L2706" s="6"/>
      <c r="M2706" s="6"/>
      <c r="N2706" s="6"/>
      <c r="O2706" s="7"/>
      <c r="P2706" s="6"/>
      <c r="Q2706" s="6"/>
      <c r="R2706" s="7"/>
      <c r="S2706" s="6"/>
      <c r="T2706" s="6"/>
      <c r="U2706" s="7"/>
      <c r="V2706" s="6"/>
      <c r="W2706" s="6"/>
      <c r="X2706" s="6"/>
      <c r="Y2706" s="6"/>
      <c r="Z2706" s="6"/>
      <c r="AA2706" s="7"/>
      <c r="AB2706" s="6"/>
      <c r="AC2706" s="6"/>
      <c r="AD2706" s="6"/>
      <c r="AE2706" s="12"/>
      <c r="AF2706" s="12"/>
      <c r="AG2706" s="12"/>
      <c r="AH2706" s="12"/>
      <c r="AI2706" s="6"/>
      <c r="AJ2706" s="12"/>
      <c r="AK2706" s="1"/>
      <c r="AL2706" s="12"/>
      <c r="AM2706" s="12"/>
      <c r="AN2706" s="1"/>
      <c r="AO2706" s="6"/>
    </row>
    <row r="2707" spans="1:41" ht="15" x14ac:dyDescent="0.25">
      <c r="A2707" s="1"/>
      <c r="B2707" s="1"/>
      <c r="C2707" s="1"/>
      <c r="D2707" s="1"/>
      <c r="E2707" s="6"/>
      <c r="F2707" s="1"/>
      <c r="G2707" s="6"/>
      <c r="H2707" s="6"/>
      <c r="I2707" s="6"/>
      <c r="J2707" s="6"/>
      <c r="K2707" s="6"/>
      <c r="L2707" s="6"/>
      <c r="M2707" s="6"/>
      <c r="N2707" s="6"/>
      <c r="O2707" s="7"/>
      <c r="P2707" s="6"/>
      <c r="Q2707" s="7"/>
      <c r="R2707" s="6"/>
      <c r="S2707" s="6"/>
      <c r="T2707" s="6"/>
      <c r="U2707" s="6"/>
      <c r="V2707" s="7"/>
      <c r="W2707" s="7"/>
      <c r="X2707" s="6"/>
      <c r="Y2707" s="6"/>
      <c r="Z2707" s="6"/>
      <c r="AA2707" s="1"/>
      <c r="AB2707" s="12"/>
      <c r="AC2707" s="12"/>
      <c r="AD2707" s="12"/>
      <c r="AE2707" s="12"/>
      <c r="AF2707" s="12"/>
      <c r="AG2707" s="12"/>
      <c r="AH2707" s="12"/>
      <c r="AI2707" s="6"/>
      <c r="AJ2707" s="12"/>
      <c r="AK2707" s="12"/>
      <c r="AL2707" s="12"/>
      <c r="AM2707" s="12"/>
      <c r="AN2707" s="1"/>
      <c r="AO2707" s="6"/>
    </row>
    <row r="2708" spans="1:41" ht="15" x14ac:dyDescent="0.25">
      <c r="A2708" s="1"/>
      <c r="B2708" s="1"/>
      <c r="C2708" s="1"/>
      <c r="D2708" s="1"/>
      <c r="E2708" s="6"/>
      <c r="F2708" s="1"/>
      <c r="G2708" s="6"/>
      <c r="H2708" s="6"/>
      <c r="I2708" s="6"/>
      <c r="J2708" s="6"/>
      <c r="K2708" s="6"/>
      <c r="L2708" s="6"/>
      <c r="M2708" s="6"/>
      <c r="N2708" s="6"/>
      <c r="O2708" s="7"/>
      <c r="P2708" s="12"/>
      <c r="Q2708" s="6"/>
      <c r="R2708" s="7"/>
      <c r="S2708" s="6"/>
      <c r="T2708" s="6"/>
      <c r="U2708" s="7"/>
      <c r="V2708" s="6"/>
      <c r="W2708" s="6"/>
      <c r="X2708" s="12"/>
      <c r="Y2708" s="6"/>
      <c r="Z2708" s="6"/>
      <c r="AA2708" s="7"/>
      <c r="AB2708" s="6"/>
      <c r="AC2708" s="6"/>
      <c r="AD2708" s="6"/>
      <c r="AE2708" s="12"/>
      <c r="AF2708" s="12"/>
      <c r="AG2708" s="12"/>
      <c r="AH2708" s="12"/>
      <c r="AI2708" s="6"/>
      <c r="AJ2708" s="12"/>
      <c r="AK2708" s="1"/>
      <c r="AL2708" s="12"/>
      <c r="AM2708" s="12"/>
      <c r="AN2708" s="1"/>
      <c r="AO2708" s="6"/>
    </row>
    <row r="2709" spans="1:41" ht="15" x14ac:dyDescent="0.25">
      <c r="A2709" s="1"/>
      <c r="B2709" s="1"/>
      <c r="C2709" s="1"/>
      <c r="D2709" s="1"/>
      <c r="E2709" s="6"/>
      <c r="F2709" s="1"/>
      <c r="G2709" s="6"/>
      <c r="H2709" s="6"/>
      <c r="I2709" s="6"/>
      <c r="J2709" s="6"/>
      <c r="K2709" s="6"/>
      <c r="L2709" s="6"/>
      <c r="M2709" s="6"/>
      <c r="N2709" s="6"/>
      <c r="O2709" s="12"/>
      <c r="P2709" s="12"/>
      <c r="Q2709" s="6"/>
      <c r="R2709" s="12"/>
      <c r="S2709" s="12"/>
      <c r="T2709" s="12"/>
      <c r="U2709" s="6"/>
      <c r="V2709" s="12"/>
      <c r="W2709" s="12"/>
      <c r="X2709" s="12"/>
      <c r="Y2709" s="12"/>
      <c r="Z2709" s="6"/>
      <c r="AA2709" s="6"/>
      <c r="AB2709" s="12"/>
      <c r="AC2709" s="12"/>
      <c r="AD2709" s="12"/>
      <c r="AE2709" s="12"/>
      <c r="AF2709" s="6"/>
      <c r="AG2709" s="12"/>
      <c r="AH2709" s="6"/>
      <c r="AI2709" s="6"/>
      <c r="AJ2709" s="12"/>
      <c r="AK2709" s="1"/>
      <c r="AL2709" s="12"/>
      <c r="AM2709" s="12"/>
      <c r="AN2709" s="1"/>
      <c r="AO2709" s="6"/>
    </row>
    <row r="2710" spans="1:41" ht="15" x14ac:dyDescent="0.25">
      <c r="A2710" s="1"/>
      <c r="B2710" s="1"/>
      <c r="C2710" s="1"/>
      <c r="D2710" s="1"/>
      <c r="E2710" s="6"/>
      <c r="F2710" s="1"/>
      <c r="G2710" s="6"/>
      <c r="H2710" s="6"/>
      <c r="I2710" s="6"/>
      <c r="J2710" s="6"/>
      <c r="K2710" s="6"/>
      <c r="L2710" s="6"/>
      <c r="M2710" s="6"/>
      <c r="N2710" s="6"/>
      <c r="O2710" s="7"/>
      <c r="P2710" s="6"/>
      <c r="Q2710" s="7"/>
      <c r="R2710" s="6"/>
      <c r="S2710" s="6"/>
      <c r="T2710" s="6"/>
      <c r="U2710" s="6"/>
      <c r="V2710" s="7"/>
      <c r="W2710" s="7"/>
      <c r="X2710" s="6"/>
      <c r="Y2710" s="6"/>
      <c r="Z2710" s="6"/>
      <c r="AA2710" s="1"/>
      <c r="AB2710" s="12"/>
      <c r="AC2710" s="12"/>
      <c r="AD2710" s="12"/>
      <c r="AE2710" s="12"/>
      <c r="AF2710" s="12"/>
      <c r="AG2710" s="12"/>
      <c r="AH2710" s="12"/>
      <c r="AI2710" s="6"/>
      <c r="AJ2710" s="12"/>
      <c r="AK2710" s="12"/>
      <c r="AL2710" s="12"/>
      <c r="AM2710" s="12"/>
      <c r="AN2710" s="1"/>
      <c r="AO2710" s="6"/>
    </row>
    <row r="2711" spans="1:41" ht="15" x14ac:dyDescent="0.25">
      <c r="A2711" s="1"/>
      <c r="B2711" s="1"/>
      <c r="C2711" s="1"/>
      <c r="D2711" s="1"/>
      <c r="E2711" s="6"/>
      <c r="F2711" s="1"/>
      <c r="G2711" s="6"/>
      <c r="H2711" s="6"/>
      <c r="I2711" s="6"/>
      <c r="J2711" s="6"/>
      <c r="K2711" s="6"/>
      <c r="L2711" s="6"/>
      <c r="M2711" s="6"/>
      <c r="N2711" s="6"/>
      <c r="O2711" s="7"/>
      <c r="P2711" s="12"/>
      <c r="Q2711" s="6"/>
      <c r="R2711" s="7"/>
      <c r="S2711" s="6"/>
      <c r="T2711" s="6"/>
      <c r="U2711" s="7"/>
      <c r="V2711" s="6"/>
      <c r="W2711" s="6"/>
      <c r="X2711" s="6"/>
      <c r="Y2711" s="6"/>
      <c r="Z2711" s="6"/>
      <c r="AA2711" s="7"/>
      <c r="AB2711" s="6"/>
      <c r="AC2711" s="6"/>
      <c r="AD2711" s="6"/>
      <c r="AE2711" s="12"/>
      <c r="AF2711" s="12"/>
      <c r="AG2711" s="12"/>
      <c r="AH2711" s="12"/>
      <c r="AI2711" s="6"/>
      <c r="AJ2711" s="12"/>
      <c r="AK2711" s="1"/>
      <c r="AL2711" s="12"/>
      <c r="AM2711" s="12"/>
      <c r="AN2711" s="1"/>
      <c r="AO2711" s="6"/>
    </row>
    <row r="2712" spans="1:41" ht="15" x14ac:dyDescent="0.25">
      <c r="A2712" s="1"/>
      <c r="B2712" s="1"/>
      <c r="C2712" s="1"/>
      <c r="D2712" s="1"/>
      <c r="E2712" s="6"/>
      <c r="F2712" s="1"/>
      <c r="G2712" s="6"/>
      <c r="H2712" s="6"/>
      <c r="I2712" s="6"/>
      <c r="J2712" s="6"/>
      <c r="K2712" s="6"/>
      <c r="L2712" s="6"/>
      <c r="M2712" s="6"/>
      <c r="N2712" s="6"/>
      <c r="O2712" s="7"/>
      <c r="P2712" s="6"/>
      <c r="Q2712" s="6"/>
      <c r="R2712" s="7"/>
      <c r="S2712" s="6"/>
      <c r="T2712" s="6"/>
      <c r="U2712" s="7"/>
      <c r="V2712" s="6"/>
      <c r="W2712" s="6"/>
      <c r="X2712" s="6"/>
      <c r="Y2712" s="6"/>
      <c r="Z2712" s="6"/>
      <c r="AA2712" s="7"/>
      <c r="AB2712" s="6"/>
      <c r="AC2712" s="6"/>
      <c r="AD2712" s="6"/>
      <c r="AE2712" s="12"/>
      <c r="AF2712" s="6"/>
      <c r="AG2712" s="12"/>
      <c r="AH2712" s="6"/>
      <c r="AI2712" s="6"/>
      <c r="AJ2712" s="12"/>
      <c r="AK2712" s="1"/>
      <c r="AL2712" s="12"/>
      <c r="AM2712" s="12"/>
      <c r="AN2712" s="1"/>
      <c r="AO2712" s="6"/>
    </row>
    <row r="2713" spans="1:41" ht="15" x14ac:dyDescent="0.25">
      <c r="A2713" s="1"/>
      <c r="B2713" s="1"/>
      <c r="C2713" s="1"/>
      <c r="D2713" s="1"/>
      <c r="E2713" s="6"/>
      <c r="F2713" s="1"/>
      <c r="G2713" s="6"/>
      <c r="H2713" s="6"/>
      <c r="I2713" s="6"/>
      <c r="J2713" s="6"/>
      <c r="K2713" s="6"/>
      <c r="L2713" s="6"/>
      <c r="M2713" s="6"/>
      <c r="N2713" s="6"/>
      <c r="O2713" s="7"/>
      <c r="P2713" s="6"/>
      <c r="Q2713" s="6"/>
      <c r="R2713" s="15"/>
      <c r="S2713" s="6"/>
      <c r="T2713" s="6"/>
      <c r="U2713" s="7"/>
      <c r="V2713" s="6"/>
      <c r="W2713" s="6"/>
      <c r="X2713" s="6"/>
      <c r="Y2713" s="6"/>
      <c r="Z2713" s="6"/>
      <c r="AA2713" s="7"/>
      <c r="AB2713" s="6"/>
      <c r="AC2713" s="6"/>
      <c r="AD2713" s="6"/>
      <c r="AE2713" s="12"/>
      <c r="AF2713" s="6"/>
      <c r="AG2713" s="12"/>
      <c r="AH2713" s="6"/>
      <c r="AI2713" s="6"/>
      <c r="AJ2713" s="12"/>
      <c r="AK2713" s="24"/>
      <c r="AL2713" s="25"/>
      <c r="AM2713" s="12"/>
      <c r="AN2713" s="1"/>
      <c r="AO2713" s="6"/>
    </row>
    <row r="2714" spans="1:41" ht="15" x14ac:dyDescent="0.25">
      <c r="A2714" s="1"/>
      <c r="B2714" s="1"/>
      <c r="C2714" s="1"/>
      <c r="D2714" s="1"/>
      <c r="E2714" s="6"/>
      <c r="F2714" s="1"/>
      <c r="G2714" s="6"/>
      <c r="H2714" s="6"/>
      <c r="I2714" s="6"/>
      <c r="J2714" s="6"/>
      <c r="K2714" s="6"/>
      <c r="L2714" s="6"/>
      <c r="M2714" s="6"/>
      <c r="N2714" s="6"/>
      <c r="O2714" s="7"/>
      <c r="P2714" s="6"/>
      <c r="Q2714" s="6"/>
      <c r="R2714" s="7"/>
      <c r="S2714" s="6"/>
      <c r="T2714" s="6"/>
      <c r="U2714" s="7"/>
      <c r="V2714" s="6"/>
      <c r="W2714" s="6"/>
      <c r="X2714" s="6"/>
      <c r="Y2714" s="6"/>
      <c r="Z2714" s="6"/>
      <c r="AA2714" s="7"/>
      <c r="AB2714" s="6"/>
      <c r="AC2714" s="6"/>
      <c r="AD2714" s="6"/>
      <c r="AE2714" s="12"/>
      <c r="AF2714" s="6"/>
      <c r="AG2714" s="12"/>
      <c r="AH2714" s="6"/>
      <c r="AI2714" s="6"/>
      <c r="AJ2714" s="12"/>
      <c r="AK2714" s="1"/>
      <c r="AL2714" s="12"/>
      <c r="AM2714" s="12"/>
      <c r="AN2714" s="1"/>
      <c r="AO2714" s="6"/>
    </row>
    <row r="2715" spans="1:41" ht="15" x14ac:dyDescent="0.25">
      <c r="A2715" s="1"/>
      <c r="B2715" s="1"/>
      <c r="C2715" s="1"/>
      <c r="D2715" s="1"/>
      <c r="E2715" s="6"/>
      <c r="F2715" s="1"/>
      <c r="G2715" s="6"/>
      <c r="H2715" s="6"/>
      <c r="I2715" s="6"/>
      <c r="J2715" s="6"/>
      <c r="K2715" s="6"/>
      <c r="L2715" s="6"/>
      <c r="M2715" s="6"/>
      <c r="N2715" s="6"/>
      <c r="O2715" s="7"/>
      <c r="P2715" s="6"/>
      <c r="Q2715" s="6"/>
      <c r="R2715" s="7"/>
      <c r="S2715" s="6"/>
      <c r="T2715" s="6"/>
      <c r="U2715" s="7"/>
      <c r="V2715" s="6"/>
      <c r="W2715" s="6"/>
      <c r="X2715" s="6"/>
      <c r="Y2715" s="6"/>
      <c r="Z2715" s="6"/>
      <c r="AA2715" s="7"/>
      <c r="AB2715" s="6"/>
      <c r="AC2715" s="6"/>
      <c r="AD2715" s="6"/>
      <c r="AE2715" s="12"/>
      <c r="AF2715" s="12"/>
      <c r="AG2715" s="12"/>
      <c r="AH2715" s="12"/>
      <c r="AI2715" s="6"/>
      <c r="AJ2715" s="12"/>
      <c r="AK2715" s="1"/>
      <c r="AL2715" s="12"/>
      <c r="AM2715" s="12"/>
      <c r="AN2715" s="1"/>
      <c r="AO2715" s="6"/>
    </row>
    <row r="2716" spans="1:41" ht="15" x14ac:dyDescent="0.25">
      <c r="A2716" s="1"/>
      <c r="B2716" s="1"/>
      <c r="C2716" s="1"/>
      <c r="D2716" s="1"/>
      <c r="E2716" s="6"/>
      <c r="F2716" s="1"/>
      <c r="G2716" s="6"/>
      <c r="H2716" s="6"/>
      <c r="I2716" s="6"/>
      <c r="J2716" s="6"/>
      <c r="K2716" s="6"/>
      <c r="L2716" s="6"/>
      <c r="M2716" s="6"/>
      <c r="N2716" s="6"/>
      <c r="O2716" s="7"/>
      <c r="P2716" s="6"/>
      <c r="Q2716" s="6"/>
      <c r="R2716" s="12"/>
      <c r="S2716" s="12"/>
      <c r="T2716" s="12"/>
      <c r="U2716" s="7"/>
      <c r="V2716" s="6"/>
      <c r="W2716" s="6"/>
      <c r="X2716" s="12"/>
      <c r="Y2716" s="6"/>
      <c r="Z2716" s="6"/>
      <c r="AA2716" s="7"/>
      <c r="AB2716" s="6"/>
      <c r="AC2716" s="6"/>
      <c r="AD2716" s="6"/>
      <c r="AE2716" s="12"/>
      <c r="AF2716" s="6"/>
      <c r="AG2716" s="12"/>
      <c r="AH2716" s="6"/>
      <c r="AI2716" s="6"/>
      <c r="AJ2716" s="12"/>
      <c r="AK2716" s="1"/>
      <c r="AL2716" s="12"/>
      <c r="AM2716" s="12"/>
      <c r="AN2716" s="1"/>
      <c r="AO2716" s="6"/>
    </row>
    <row r="2717" spans="1:41" ht="15" x14ac:dyDescent="0.25">
      <c r="A2717" s="1"/>
      <c r="B2717" s="1"/>
      <c r="C2717" s="1"/>
      <c r="D2717" s="1"/>
      <c r="E2717" s="6"/>
      <c r="F2717" s="1"/>
      <c r="G2717" s="6"/>
      <c r="H2717" s="6"/>
      <c r="I2717" s="6"/>
      <c r="J2717" s="6"/>
      <c r="K2717" s="6"/>
      <c r="L2717" s="6"/>
      <c r="M2717" s="6"/>
      <c r="N2717" s="6"/>
      <c r="O2717" s="7"/>
      <c r="P2717" s="6"/>
      <c r="Q2717" s="6"/>
      <c r="R2717" s="7"/>
      <c r="S2717" s="6"/>
      <c r="T2717" s="6"/>
      <c r="U2717" s="7"/>
      <c r="V2717" s="6"/>
      <c r="W2717" s="6"/>
      <c r="X2717" s="6"/>
      <c r="Y2717" s="6"/>
      <c r="Z2717" s="6"/>
      <c r="AA2717" s="7"/>
      <c r="AB2717" s="6"/>
      <c r="AC2717" s="6"/>
      <c r="AD2717" s="6"/>
      <c r="AE2717" s="12"/>
      <c r="AF2717" s="6"/>
      <c r="AG2717" s="12"/>
      <c r="AH2717" s="6"/>
      <c r="AI2717" s="6"/>
      <c r="AJ2717" s="12"/>
      <c r="AK2717" s="1"/>
      <c r="AL2717" s="12"/>
      <c r="AM2717" s="12"/>
      <c r="AN2717" s="1"/>
      <c r="AO2717" s="6"/>
    </row>
    <row r="2718" spans="1:41" ht="15" x14ac:dyDescent="0.25">
      <c r="A2718" s="1"/>
      <c r="B2718" s="1"/>
      <c r="C2718" s="1"/>
      <c r="D2718" s="1"/>
      <c r="E2718" s="6"/>
      <c r="F2718" s="1"/>
      <c r="G2718" s="6"/>
      <c r="H2718" s="6"/>
      <c r="I2718" s="6"/>
      <c r="J2718" s="6"/>
      <c r="K2718" s="6"/>
      <c r="L2718" s="6"/>
      <c r="M2718" s="6"/>
      <c r="N2718" s="6"/>
      <c r="O2718" s="7"/>
      <c r="P2718" s="6"/>
      <c r="Q2718" s="6"/>
      <c r="R2718" s="7"/>
      <c r="S2718" s="6"/>
      <c r="T2718" s="6"/>
      <c r="U2718" s="7"/>
      <c r="V2718" s="6"/>
      <c r="W2718" s="6"/>
      <c r="X2718" s="6"/>
      <c r="Y2718" s="6"/>
      <c r="Z2718" s="6"/>
      <c r="AA2718" s="7"/>
      <c r="AB2718" s="6"/>
      <c r="AC2718" s="6"/>
      <c r="AD2718" s="6"/>
      <c r="AE2718" s="12"/>
      <c r="AF2718" s="12"/>
      <c r="AG2718" s="12"/>
      <c r="AH2718" s="12"/>
      <c r="AI2718" s="6"/>
      <c r="AJ2718" s="12"/>
      <c r="AK2718" s="1"/>
      <c r="AL2718" s="12"/>
      <c r="AM2718" s="12"/>
      <c r="AN2718" s="1"/>
      <c r="AO2718" s="6"/>
    </row>
    <row r="2719" spans="1:41" ht="15" x14ac:dyDescent="0.25">
      <c r="A2719" s="1"/>
      <c r="B2719" s="1"/>
      <c r="C2719" s="1"/>
      <c r="D2719" s="1"/>
      <c r="E2719" s="6"/>
      <c r="F2719" s="1"/>
      <c r="G2719" s="6"/>
      <c r="H2719" s="6"/>
      <c r="I2719" s="6"/>
      <c r="J2719" s="6"/>
      <c r="K2719" s="6"/>
      <c r="L2719" s="6"/>
      <c r="M2719" s="6"/>
      <c r="N2719" s="6"/>
      <c r="O2719" s="7"/>
      <c r="P2719" s="6"/>
      <c r="Q2719" s="6"/>
      <c r="R2719" s="7"/>
      <c r="S2719" s="6"/>
      <c r="T2719" s="6"/>
      <c r="U2719" s="7"/>
      <c r="V2719" s="6"/>
      <c r="W2719" s="6"/>
      <c r="X2719" s="6"/>
      <c r="Y2719" s="6"/>
      <c r="Z2719" s="6"/>
      <c r="AA2719" s="7"/>
      <c r="AB2719" s="6"/>
      <c r="AC2719" s="6"/>
      <c r="AD2719" s="6"/>
      <c r="AE2719" s="12"/>
      <c r="AF2719" s="12"/>
      <c r="AG2719" s="12"/>
      <c r="AH2719" s="12"/>
      <c r="AI2719" s="6"/>
      <c r="AJ2719" s="12"/>
      <c r="AK2719" s="1"/>
      <c r="AL2719" s="12"/>
      <c r="AM2719" s="12"/>
      <c r="AN2719" s="1"/>
      <c r="AO2719" s="6"/>
    </row>
    <row r="2720" spans="1:41" ht="15" x14ac:dyDescent="0.25">
      <c r="A2720" s="1"/>
      <c r="B2720" s="1"/>
      <c r="C2720" s="1"/>
      <c r="D2720" s="1"/>
      <c r="E2720" s="6"/>
      <c r="F2720" s="1"/>
      <c r="G2720" s="6"/>
      <c r="H2720" s="6"/>
      <c r="I2720" s="6"/>
      <c r="J2720" s="6"/>
      <c r="K2720" s="6"/>
      <c r="L2720" s="6"/>
      <c r="M2720" s="6"/>
      <c r="N2720" s="6"/>
      <c r="O2720" s="7"/>
      <c r="P2720" s="6"/>
      <c r="Q2720" s="6"/>
      <c r="R2720" s="7"/>
      <c r="S2720" s="6"/>
      <c r="T2720" s="6"/>
      <c r="U2720" s="7"/>
      <c r="V2720" s="6"/>
      <c r="W2720" s="6"/>
      <c r="X2720" s="6"/>
      <c r="Y2720" s="6"/>
      <c r="Z2720" s="6"/>
      <c r="AA2720" s="7"/>
      <c r="AB2720" s="6"/>
      <c r="AC2720" s="6"/>
      <c r="AD2720" s="6"/>
      <c r="AE2720" s="12"/>
      <c r="AF2720" s="12"/>
      <c r="AG2720" s="12"/>
      <c r="AH2720" s="12"/>
      <c r="AI2720" s="6"/>
      <c r="AJ2720" s="12"/>
      <c r="AK2720" s="1"/>
      <c r="AL2720" s="12"/>
      <c r="AM2720" s="12"/>
      <c r="AN2720" s="1"/>
      <c r="AO2720" s="6"/>
    </row>
    <row r="2721" spans="1:41" ht="15" x14ac:dyDescent="0.25">
      <c r="A2721" s="1"/>
      <c r="B2721" s="1"/>
      <c r="C2721" s="1"/>
      <c r="D2721" s="1"/>
      <c r="E2721" s="6"/>
      <c r="F2721" s="1"/>
      <c r="G2721" s="6"/>
      <c r="H2721" s="6"/>
      <c r="I2721" s="6"/>
      <c r="J2721" s="6"/>
      <c r="K2721" s="6"/>
      <c r="L2721" s="6"/>
      <c r="M2721" s="6"/>
      <c r="N2721" s="6"/>
      <c r="O2721" s="7"/>
      <c r="P2721" s="6"/>
      <c r="Q2721" s="6"/>
      <c r="R2721" s="7"/>
      <c r="S2721" s="6"/>
      <c r="T2721" s="6"/>
      <c r="U2721" s="7"/>
      <c r="V2721" s="6"/>
      <c r="W2721" s="6"/>
      <c r="X2721" s="6"/>
      <c r="Y2721" s="6"/>
      <c r="Z2721" s="6"/>
      <c r="AA2721" s="7"/>
      <c r="AB2721" s="6"/>
      <c r="AC2721" s="6"/>
      <c r="AD2721" s="6"/>
      <c r="AE2721" s="12"/>
      <c r="AF2721" s="6"/>
      <c r="AG2721" s="12"/>
      <c r="AH2721" s="6"/>
      <c r="AI2721" s="6"/>
      <c r="AJ2721" s="12"/>
      <c r="AK2721" s="24"/>
      <c r="AL2721" s="25"/>
      <c r="AM2721" s="12"/>
      <c r="AN2721" s="1"/>
      <c r="AO2721" s="6"/>
    </row>
    <row r="2722" spans="1:41" ht="15" x14ac:dyDescent="0.25">
      <c r="A2722" s="1"/>
      <c r="B2722" s="1"/>
      <c r="C2722" s="1"/>
      <c r="D2722" s="1"/>
      <c r="E2722" s="6"/>
      <c r="F2722" s="1"/>
      <c r="G2722" s="6"/>
      <c r="H2722" s="6"/>
      <c r="I2722" s="6"/>
      <c r="J2722" s="6"/>
      <c r="K2722" s="12"/>
      <c r="L2722" s="12"/>
      <c r="M2722" s="6"/>
      <c r="N2722" s="6"/>
      <c r="O2722" s="7"/>
      <c r="P2722" s="6"/>
      <c r="Q2722" s="6"/>
      <c r="R2722" s="7"/>
      <c r="S2722" s="6"/>
      <c r="T2722" s="6"/>
      <c r="U2722" s="7"/>
      <c r="V2722" s="6"/>
      <c r="W2722" s="6"/>
      <c r="X2722" s="12"/>
      <c r="Y2722" s="6"/>
      <c r="Z2722" s="6"/>
      <c r="AA2722" s="7"/>
      <c r="AB2722" s="6"/>
      <c r="AC2722" s="6"/>
      <c r="AD2722" s="6"/>
      <c r="AE2722" s="12"/>
      <c r="AF2722" s="12"/>
      <c r="AG2722" s="12"/>
      <c r="AH2722" s="12"/>
      <c r="AI2722" s="6"/>
      <c r="AJ2722" s="12"/>
      <c r="AK2722" s="1"/>
      <c r="AL2722" s="12"/>
      <c r="AM2722" s="12"/>
      <c r="AN2722" s="1"/>
      <c r="AO2722" s="6"/>
    </row>
    <row r="2723" spans="1:41" ht="15" x14ac:dyDescent="0.25">
      <c r="A2723" s="1"/>
      <c r="B2723" s="1"/>
      <c r="C2723" s="1"/>
      <c r="D2723" s="1"/>
      <c r="E2723" s="6"/>
      <c r="F2723" s="1"/>
      <c r="G2723" s="6"/>
      <c r="H2723" s="6"/>
      <c r="I2723" s="6"/>
      <c r="J2723" s="6"/>
      <c r="K2723" s="6"/>
      <c r="L2723" s="6"/>
      <c r="M2723" s="6"/>
      <c r="N2723" s="6"/>
      <c r="O2723" s="7"/>
      <c r="P2723" s="6"/>
      <c r="Q2723" s="6"/>
      <c r="R2723" s="7"/>
      <c r="S2723" s="6"/>
      <c r="T2723" s="6"/>
      <c r="U2723" s="7"/>
      <c r="V2723" s="6"/>
      <c r="W2723" s="6"/>
      <c r="X2723" s="6"/>
      <c r="Y2723" s="6"/>
      <c r="Z2723" s="6"/>
      <c r="AA2723" s="7"/>
      <c r="AB2723" s="6"/>
      <c r="AC2723" s="6"/>
      <c r="AD2723" s="6"/>
      <c r="AE2723" s="12"/>
      <c r="AF2723" s="6"/>
      <c r="AG2723" s="12"/>
      <c r="AH2723" s="6"/>
      <c r="AI2723" s="6"/>
      <c r="AJ2723" s="12"/>
      <c r="AK2723" s="24"/>
      <c r="AL2723" s="25"/>
      <c r="AM2723" s="12"/>
      <c r="AN2723" s="1"/>
      <c r="AO2723" s="6"/>
    </row>
    <row r="2724" spans="1:41" ht="15" x14ac:dyDescent="0.25">
      <c r="A2724" s="1"/>
      <c r="B2724" s="1"/>
      <c r="C2724" s="1"/>
      <c r="D2724" s="1"/>
      <c r="E2724" s="6"/>
      <c r="F2724" s="1"/>
      <c r="G2724" s="6"/>
      <c r="H2724" s="6"/>
      <c r="I2724" s="6"/>
      <c r="J2724" s="6"/>
      <c r="K2724" s="6"/>
      <c r="L2724" s="6"/>
      <c r="M2724" s="6"/>
      <c r="N2724" s="6"/>
      <c r="O2724" s="7"/>
      <c r="P2724" s="6"/>
      <c r="Q2724" s="6"/>
      <c r="R2724" s="7"/>
      <c r="S2724" s="6"/>
      <c r="T2724" s="6"/>
      <c r="U2724" s="7"/>
      <c r="V2724" s="6"/>
      <c r="W2724" s="6"/>
      <c r="X2724" s="12"/>
      <c r="Y2724" s="6"/>
      <c r="Z2724" s="6"/>
      <c r="AA2724" s="7"/>
      <c r="AB2724" s="6"/>
      <c r="AC2724" s="6"/>
      <c r="AD2724" s="6"/>
      <c r="AE2724" s="12"/>
      <c r="AF2724" s="6"/>
      <c r="AG2724" s="12"/>
      <c r="AH2724" s="6"/>
      <c r="AI2724" s="6"/>
      <c r="AJ2724" s="12"/>
      <c r="AK2724" s="1"/>
      <c r="AL2724" s="12"/>
      <c r="AM2724" s="12"/>
      <c r="AN2724" s="1"/>
      <c r="AO2724" s="6"/>
    </row>
    <row r="2725" spans="1:41" ht="15" x14ac:dyDescent="0.25">
      <c r="A2725" s="1"/>
      <c r="B2725" s="1"/>
      <c r="C2725" s="1"/>
      <c r="D2725" s="1"/>
      <c r="E2725" s="6"/>
      <c r="F2725" s="1"/>
      <c r="G2725" s="6"/>
      <c r="H2725" s="6"/>
      <c r="I2725" s="6"/>
      <c r="J2725" s="6"/>
      <c r="K2725" s="6"/>
      <c r="L2725" s="6"/>
      <c r="M2725" s="6"/>
      <c r="N2725" s="6"/>
      <c r="O2725" s="7"/>
      <c r="P2725" s="6"/>
      <c r="Q2725" s="6"/>
      <c r="R2725" s="7"/>
      <c r="S2725" s="6"/>
      <c r="T2725" s="6"/>
      <c r="U2725" s="7"/>
      <c r="V2725" s="6"/>
      <c r="W2725" s="6"/>
      <c r="X2725" s="12"/>
      <c r="Y2725" s="6"/>
      <c r="Z2725" s="6"/>
      <c r="AA2725" s="7"/>
      <c r="AB2725" s="6"/>
      <c r="AC2725" s="6"/>
      <c r="AD2725" s="6"/>
      <c r="AE2725" s="12"/>
      <c r="AF2725" s="12"/>
      <c r="AG2725" s="12"/>
      <c r="AH2725" s="12"/>
      <c r="AI2725" s="6"/>
      <c r="AJ2725" s="12"/>
      <c r="AK2725" s="1"/>
      <c r="AL2725" s="12"/>
      <c r="AM2725" s="12"/>
      <c r="AN2725" s="1"/>
      <c r="AO2725" s="6"/>
    </row>
    <row r="2726" spans="1:41" ht="15" x14ac:dyDescent="0.25">
      <c r="A2726" s="1"/>
      <c r="B2726" s="1"/>
      <c r="C2726" s="1"/>
      <c r="D2726" s="1"/>
      <c r="E2726" s="6"/>
      <c r="F2726" s="1"/>
      <c r="G2726" s="6"/>
      <c r="H2726" s="6"/>
      <c r="I2726" s="6"/>
      <c r="J2726" s="6"/>
      <c r="K2726" s="6"/>
      <c r="L2726" s="6"/>
      <c r="M2726" s="6"/>
      <c r="N2726" s="6"/>
      <c r="O2726" s="7"/>
      <c r="P2726" s="6"/>
      <c r="Q2726" s="6"/>
      <c r="R2726" s="7"/>
      <c r="S2726" s="6"/>
      <c r="T2726" s="6"/>
      <c r="U2726" s="7"/>
      <c r="V2726" s="6"/>
      <c r="W2726" s="6"/>
      <c r="X2726" s="12"/>
      <c r="Y2726" s="6"/>
      <c r="Z2726" s="6"/>
      <c r="AA2726" s="7"/>
      <c r="AB2726" s="6"/>
      <c r="AC2726" s="6"/>
      <c r="AD2726" s="6"/>
      <c r="AE2726" s="12"/>
      <c r="AF2726" s="12"/>
      <c r="AG2726" s="12"/>
      <c r="AH2726" s="12"/>
      <c r="AI2726" s="6"/>
      <c r="AJ2726" s="12"/>
      <c r="AK2726" s="1"/>
      <c r="AL2726" s="12"/>
      <c r="AM2726" s="12"/>
      <c r="AN2726" s="1"/>
      <c r="AO2726" s="6"/>
    </row>
    <row r="2727" spans="1:41" ht="15" x14ac:dyDescent="0.25">
      <c r="A2727" s="1"/>
      <c r="B2727" s="1"/>
      <c r="C2727" s="1"/>
      <c r="D2727" s="1"/>
      <c r="E2727" s="6"/>
      <c r="F2727" s="1"/>
      <c r="G2727" s="6"/>
      <c r="H2727" s="6"/>
      <c r="I2727" s="6"/>
      <c r="J2727" s="6"/>
      <c r="K2727" s="6"/>
      <c r="L2727" s="6"/>
      <c r="M2727" s="6"/>
      <c r="N2727" s="6"/>
      <c r="O2727" s="7"/>
      <c r="P2727" s="6"/>
      <c r="Q2727" s="6"/>
      <c r="R2727" s="7"/>
      <c r="S2727" s="6"/>
      <c r="T2727" s="6"/>
      <c r="U2727" s="7"/>
      <c r="V2727" s="6"/>
      <c r="W2727" s="6"/>
      <c r="X2727" s="6"/>
      <c r="Y2727" s="6"/>
      <c r="Z2727" s="6"/>
      <c r="AA2727" s="7"/>
      <c r="AB2727" s="6"/>
      <c r="AC2727" s="6"/>
      <c r="AD2727" s="6"/>
      <c r="AE2727" s="12"/>
      <c r="AF2727" s="12"/>
      <c r="AG2727" s="12"/>
      <c r="AH2727" s="12"/>
      <c r="AI2727" s="6"/>
      <c r="AJ2727" s="12"/>
      <c r="AK2727" s="24"/>
      <c r="AL2727" s="25"/>
      <c r="AM2727" s="12"/>
      <c r="AN2727" s="1"/>
      <c r="AO2727" s="6"/>
    </row>
    <row r="2728" spans="1:41" ht="15" x14ac:dyDescent="0.25">
      <c r="A2728" s="1"/>
      <c r="B2728" s="1"/>
      <c r="C2728" s="1"/>
      <c r="D2728" s="1"/>
      <c r="E2728" s="6"/>
      <c r="F2728" s="1"/>
      <c r="G2728" s="6"/>
      <c r="H2728" s="6"/>
      <c r="I2728" s="6"/>
      <c r="J2728" s="6"/>
      <c r="K2728" s="6"/>
      <c r="L2728" s="6"/>
      <c r="M2728" s="6"/>
      <c r="N2728" s="6"/>
      <c r="O2728" s="7"/>
      <c r="P2728" s="6"/>
      <c r="Q2728" s="6"/>
      <c r="R2728" s="7"/>
      <c r="S2728" s="6"/>
      <c r="T2728" s="6"/>
      <c r="U2728" s="7"/>
      <c r="V2728" s="6"/>
      <c r="W2728" s="6"/>
      <c r="X2728" s="12"/>
      <c r="Y2728" s="12"/>
      <c r="Z2728" s="6"/>
      <c r="AA2728" s="7"/>
      <c r="AB2728" s="6"/>
      <c r="AC2728" s="6"/>
      <c r="AD2728" s="6"/>
      <c r="AE2728" s="12"/>
      <c r="AF2728" s="6"/>
      <c r="AG2728" s="12"/>
      <c r="AH2728" s="6"/>
      <c r="AI2728" s="6"/>
      <c r="AJ2728" s="12"/>
      <c r="AK2728" s="24"/>
      <c r="AL2728" s="25"/>
      <c r="AM2728" s="12"/>
      <c r="AN2728" s="1"/>
      <c r="AO2728" s="12"/>
    </row>
    <row r="2729" spans="1:41" ht="15" x14ac:dyDescent="0.25">
      <c r="A2729" s="1"/>
      <c r="B2729" s="1"/>
      <c r="C2729" s="1"/>
      <c r="D2729" s="1"/>
      <c r="E2729" s="6"/>
      <c r="F2729" s="1"/>
      <c r="G2729" s="6"/>
      <c r="H2729" s="6"/>
      <c r="I2729" s="6"/>
      <c r="J2729" s="6"/>
      <c r="K2729" s="6"/>
      <c r="L2729" s="6"/>
      <c r="M2729" s="6"/>
      <c r="N2729" s="6"/>
      <c r="O2729" s="7"/>
      <c r="P2729" s="12"/>
      <c r="Q2729" s="6"/>
      <c r="R2729" s="7"/>
      <c r="S2729" s="6"/>
      <c r="T2729" s="6"/>
      <c r="U2729" s="7"/>
      <c r="V2729" s="6"/>
      <c r="W2729" s="6"/>
      <c r="X2729" s="6"/>
      <c r="Y2729" s="6"/>
      <c r="Z2729" s="6"/>
      <c r="AA2729" s="7"/>
      <c r="AB2729" s="6"/>
      <c r="AC2729" s="6"/>
      <c r="AD2729" s="6"/>
      <c r="AE2729" s="12"/>
      <c r="AF2729" s="12"/>
      <c r="AG2729" s="12"/>
      <c r="AH2729" s="12"/>
      <c r="AI2729" s="6"/>
      <c r="AJ2729" s="12"/>
      <c r="AK2729" s="1"/>
      <c r="AL2729" s="12"/>
      <c r="AM2729" s="12"/>
      <c r="AN2729" s="1"/>
      <c r="AO2729" s="6"/>
    </row>
    <row r="2730" spans="1:41" ht="15" x14ac:dyDescent="0.25">
      <c r="A2730" s="1"/>
      <c r="B2730" s="1"/>
      <c r="C2730" s="1"/>
      <c r="D2730" s="1"/>
      <c r="E2730" s="6"/>
      <c r="F2730" s="1"/>
      <c r="G2730" s="6"/>
      <c r="H2730" s="6"/>
      <c r="I2730" s="6"/>
      <c r="J2730" s="6"/>
      <c r="K2730" s="6"/>
      <c r="L2730" s="6"/>
      <c r="M2730" s="6"/>
      <c r="N2730" s="6"/>
      <c r="O2730" s="7"/>
      <c r="P2730" s="6"/>
      <c r="Q2730" s="6"/>
      <c r="R2730" s="7"/>
      <c r="S2730" s="6"/>
      <c r="T2730" s="6"/>
      <c r="U2730" s="7"/>
      <c r="V2730" s="6"/>
      <c r="W2730" s="6"/>
      <c r="X2730" s="12"/>
      <c r="Y2730" s="6"/>
      <c r="Z2730" s="6"/>
      <c r="AA2730" s="7"/>
      <c r="AB2730" s="6"/>
      <c r="AC2730" s="6"/>
      <c r="AD2730" s="6"/>
      <c r="AE2730" s="12"/>
      <c r="AF2730" s="12"/>
      <c r="AG2730" s="12"/>
      <c r="AH2730" s="12"/>
      <c r="AI2730" s="6"/>
      <c r="AJ2730" s="12"/>
      <c r="AK2730" s="1"/>
      <c r="AL2730" s="12"/>
      <c r="AM2730" s="12"/>
      <c r="AN2730" s="1"/>
      <c r="AO2730" s="6"/>
    </row>
    <row r="2731" spans="1:41" ht="15" x14ac:dyDescent="0.25">
      <c r="A2731" s="1"/>
      <c r="B2731" s="1"/>
      <c r="C2731" s="1"/>
      <c r="D2731" s="1"/>
      <c r="E2731" s="6"/>
      <c r="F2731" s="1"/>
      <c r="G2731" s="6"/>
      <c r="H2731" s="6"/>
      <c r="I2731" s="6"/>
      <c r="J2731" s="6"/>
      <c r="K2731" s="6"/>
      <c r="L2731" s="6"/>
      <c r="M2731" s="6"/>
      <c r="N2731" s="6"/>
      <c r="O2731" s="7"/>
      <c r="P2731" s="12"/>
      <c r="Q2731" s="6"/>
      <c r="R2731" s="7"/>
      <c r="S2731" s="6"/>
      <c r="T2731" s="6"/>
      <c r="U2731" s="7"/>
      <c r="V2731" s="6"/>
      <c r="W2731" s="6"/>
      <c r="X2731" s="6"/>
      <c r="Y2731" s="6"/>
      <c r="Z2731" s="6"/>
      <c r="AA2731" s="7"/>
      <c r="AB2731" s="6"/>
      <c r="AC2731" s="6"/>
      <c r="AD2731" s="6"/>
      <c r="AE2731" s="12"/>
      <c r="AF2731" s="12"/>
      <c r="AG2731" s="12"/>
      <c r="AH2731" s="12"/>
      <c r="AI2731" s="6"/>
      <c r="AJ2731" s="12"/>
      <c r="AK2731" s="1"/>
      <c r="AL2731" s="12"/>
      <c r="AM2731" s="12"/>
      <c r="AN2731" s="1"/>
      <c r="AO2731" s="6"/>
    </row>
    <row r="2732" spans="1:41" ht="15" x14ac:dyDescent="0.25">
      <c r="A2732" s="1"/>
      <c r="B2732" s="1"/>
      <c r="C2732" s="1"/>
      <c r="D2732" s="1"/>
      <c r="E2732" s="6"/>
      <c r="F2732" s="1"/>
      <c r="G2732" s="6"/>
      <c r="H2732" s="6"/>
      <c r="I2732" s="6"/>
      <c r="J2732" s="6"/>
      <c r="K2732" s="6"/>
      <c r="L2732" s="6"/>
      <c r="M2732" s="6"/>
      <c r="N2732" s="6"/>
      <c r="O2732" s="7"/>
      <c r="P2732" s="6"/>
      <c r="Q2732" s="6"/>
      <c r="R2732" s="7"/>
      <c r="S2732" s="6"/>
      <c r="T2732" s="6"/>
      <c r="U2732" s="7"/>
      <c r="V2732" s="6"/>
      <c r="W2732" s="6"/>
      <c r="X2732" s="12"/>
      <c r="Y2732" s="6"/>
      <c r="Z2732" s="6"/>
      <c r="AA2732" s="7"/>
      <c r="AB2732" s="6"/>
      <c r="AC2732" s="6"/>
      <c r="AD2732" s="6"/>
      <c r="AE2732" s="12"/>
      <c r="AF2732" s="12"/>
      <c r="AG2732" s="12"/>
      <c r="AH2732" s="12"/>
      <c r="AI2732" s="6"/>
      <c r="AJ2732" s="12"/>
      <c r="AK2732" s="24"/>
      <c r="AL2732" s="25"/>
      <c r="AM2732" s="12"/>
      <c r="AN2732" s="1"/>
      <c r="AO2732" s="6"/>
    </row>
    <row r="2733" spans="1:41" ht="15" x14ac:dyDescent="0.25">
      <c r="A2733" s="1"/>
      <c r="B2733" s="1"/>
      <c r="C2733" s="1"/>
      <c r="D2733" s="1"/>
      <c r="E2733" s="6"/>
      <c r="F2733" s="1"/>
      <c r="G2733" s="6"/>
      <c r="H2733" s="6"/>
      <c r="I2733" s="6"/>
      <c r="J2733" s="6"/>
      <c r="K2733" s="6"/>
      <c r="L2733" s="6"/>
      <c r="M2733" s="6"/>
      <c r="N2733" s="6"/>
      <c r="O2733" s="7"/>
      <c r="P2733" s="6"/>
      <c r="Q2733" s="6"/>
      <c r="R2733" s="7"/>
      <c r="S2733" s="6"/>
      <c r="T2733" s="6"/>
      <c r="U2733" s="7"/>
      <c r="V2733" s="6"/>
      <c r="W2733" s="6"/>
      <c r="X2733" s="6"/>
      <c r="Y2733" s="6"/>
      <c r="Z2733" s="6"/>
      <c r="AA2733" s="7"/>
      <c r="AB2733" s="6"/>
      <c r="AC2733" s="6"/>
      <c r="AD2733" s="6"/>
      <c r="AE2733" s="12"/>
      <c r="AF2733" s="12"/>
      <c r="AG2733" s="12"/>
      <c r="AH2733" s="12"/>
      <c r="AI2733" s="6"/>
      <c r="AJ2733" s="12"/>
      <c r="AK2733" s="1"/>
      <c r="AL2733" s="12"/>
      <c r="AM2733" s="12"/>
      <c r="AN2733" s="1"/>
      <c r="AO2733" s="6"/>
    </row>
    <row r="2734" spans="1:41" ht="15" x14ac:dyDescent="0.25">
      <c r="A2734" s="1"/>
      <c r="B2734" s="1"/>
      <c r="C2734" s="1"/>
      <c r="D2734" s="1"/>
      <c r="E2734" s="6"/>
      <c r="F2734" s="1"/>
      <c r="G2734" s="6"/>
      <c r="H2734" s="6"/>
      <c r="I2734" s="6"/>
      <c r="J2734" s="6"/>
      <c r="K2734" s="6"/>
      <c r="L2734" s="6"/>
      <c r="M2734" s="6"/>
      <c r="N2734" s="6"/>
      <c r="O2734" s="7"/>
      <c r="P2734" s="6"/>
      <c r="Q2734" s="6"/>
      <c r="R2734" s="12"/>
      <c r="S2734" s="12"/>
      <c r="T2734" s="12"/>
      <c r="U2734" s="7"/>
      <c r="V2734" s="6"/>
      <c r="W2734" s="6"/>
      <c r="X2734" s="12"/>
      <c r="Y2734" s="6"/>
      <c r="Z2734" s="6"/>
      <c r="AA2734" s="7"/>
      <c r="AB2734" s="6"/>
      <c r="AC2734" s="6"/>
      <c r="AD2734" s="6"/>
      <c r="AE2734" s="12"/>
      <c r="AF2734" s="6"/>
      <c r="AG2734" s="12"/>
      <c r="AH2734" s="6"/>
      <c r="AI2734" s="6"/>
      <c r="AJ2734" s="12"/>
      <c r="AK2734" s="24"/>
      <c r="AL2734" s="25"/>
      <c r="AM2734" s="12"/>
      <c r="AN2734" s="1"/>
      <c r="AO2734" s="6"/>
    </row>
    <row r="2735" spans="1:41" ht="15" x14ac:dyDescent="0.25">
      <c r="A2735" s="1"/>
      <c r="B2735" s="1"/>
      <c r="C2735" s="1"/>
      <c r="D2735" s="1"/>
      <c r="E2735" s="6"/>
      <c r="F2735" s="1"/>
      <c r="G2735" s="6"/>
      <c r="H2735" s="6"/>
      <c r="I2735" s="6"/>
      <c r="J2735" s="6"/>
      <c r="K2735" s="6"/>
      <c r="L2735" s="6"/>
      <c r="M2735" s="6"/>
      <c r="N2735" s="6"/>
      <c r="O2735" s="7"/>
      <c r="P2735" s="6"/>
      <c r="Q2735" s="6"/>
      <c r="R2735" s="7"/>
      <c r="S2735" s="6"/>
      <c r="T2735" s="6"/>
      <c r="U2735" s="7"/>
      <c r="V2735" s="6"/>
      <c r="W2735" s="6"/>
      <c r="X2735" s="6"/>
      <c r="Y2735" s="6"/>
      <c r="Z2735" s="6"/>
      <c r="AA2735" s="7"/>
      <c r="AB2735" s="6"/>
      <c r="AC2735" s="6"/>
      <c r="AD2735" s="6"/>
      <c r="AE2735" s="12"/>
      <c r="AF2735" s="6"/>
      <c r="AG2735" s="12"/>
      <c r="AH2735" s="6"/>
      <c r="AI2735" s="6"/>
      <c r="AJ2735" s="12"/>
      <c r="AK2735" s="24"/>
      <c r="AL2735" s="25"/>
      <c r="AM2735" s="12"/>
      <c r="AN2735" s="1"/>
      <c r="AO2735" s="6"/>
    </row>
    <row r="2736" spans="1:41" ht="15" x14ac:dyDescent="0.25">
      <c r="A2736" s="1"/>
      <c r="B2736" s="1"/>
      <c r="C2736" s="1"/>
      <c r="D2736" s="1"/>
      <c r="E2736" s="6"/>
      <c r="F2736" s="1"/>
      <c r="G2736" s="6"/>
      <c r="H2736" s="6"/>
      <c r="I2736" s="6"/>
      <c r="J2736" s="6"/>
      <c r="K2736" s="6"/>
      <c r="L2736" s="6"/>
      <c r="M2736" s="6"/>
      <c r="N2736" s="6"/>
      <c r="O2736" s="7"/>
      <c r="P2736" s="12"/>
      <c r="Q2736" s="6"/>
      <c r="R2736" s="7"/>
      <c r="S2736" s="6"/>
      <c r="T2736" s="6"/>
      <c r="U2736" s="7"/>
      <c r="V2736" s="6"/>
      <c r="W2736" s="6"/>
      <c r="X2736" s="12"/>
      <c r="Y2736" s="6"/>
      <c r="Z2736" s="6"/>
      <c r="AA2736" s="7"/>
      <c r="AB2736" s="6"/>
      <c r="AC2736" s="6"/>
      <c r="AD2736" s="6"/>
      <c r="AE2736" s="12"/>
      <c r="AF2736" s="6"/>
      <c r="AG2736" s="12"/>
      <c r="AH2736" s="6"/>
      <c r="AI2736" s="6"/>
      <c r="AJ2736" s="12"/>
      <c r="AK2736" s="1"/>
      <c r="AL2736" s="12"/>
      <c r="AM2736" s="12"/>
      <c r="AN2736" s="1"/>
      <c r="AO2736" s="6"/>
    </row>
    <row r="2737" spans="1:41" ht="15" x14ac:dyDescent="0.25">
      <c r="A2737" s="1"/>
      <c r="B2737" s="1"/>
      <c r="C2737" s="1"/>
      <c r="D2737" s="1"/>
      <c r="E2737" s="6"/>
      <c r="F2737" s="1"/>
      <c r="G2737" s="6"/>
      <c r="H2737" s="6"/>
      <c r="I2737" s="6"/>
      <c r="J2737" s="6"/>
      <c r="K2737" s="6"/>
      <c r="L2737" s="6"/>
      <c r="M2737" s="6"/>
      <c r="N2737" s="6"/>
      <c r="O2737" s="7"/>
      <c r="P2737" s="6"/>
      <c r="Q2737" s="6"/>
      <c r="R2737" s="7"/>
      <c r="S2737" s="6"/>
      <c r="T2737" s="6"/>
      <c r="U2737" s="7"/>
      <c r="V2737" s="6"/>
      <c r="W2737" s="6"/>
      <c r="X2737" s="12"/>
      <c r="Y2737" s="6"/>
      <c r="Z2737" s="6"/>
      <c r="AA2737" s="7"/>
      <c r="AB2737" s="6"/>
      <c r="AC2737" s="6"/>
      <c r="AD2737" s="6"/>
      <c r="AE2737" s="12"/>
      <c r="AF2737" s="12"/>
      <c r="AG2737" s="12"/>
      <c r="AH2737" s="12"/>
      <c r="AI2737" s="6"/>
      <c r="AJ2737" s="12"/>
      <c r="AK2737" s="1"/>
      <c r="AL2737" s="12"/>
      <c r="AM2737" s="12"/>
      <c r="AN2737" s="1"/>
      <c r="AO2737" s="6"/>
    </row>
    <row r="2738" spans="1:41" ht="15" x14ac:dyDescent="0.25">
      <c r="A2738" s="1"/>
      <c r="B2738" s="1"/>
      <c r="C2738" s="1"/>
      <c r="D2738" s="1"/>
      <c r="E2738" s="6"/>
      <c r="F2738" s="1"/>
      <c r="G2738" s="6"/>
      <c r="H2738" s="6"/>
      <c r="I2738" s="6"/>
      <c r="J2738" s="6"/>
      <c r="K2738" s="6"/>
      <c r="L2738" s="6"/>
      <c r="M2738" s="6"/>
      <c r="N2738" s="6"/>
      <c r="O2738" s="7"/>
      <c r="P2738" s="6"/>
      <c r="Q2738" s="7"/>
      <c r="R2738" s="6"/>
      <c r="S2738" s="6"/>
      <c r="T2738" s="6"/>
      <c r="U2738" s="6"/>
      <c r="V2738" s="7"/>
      <c r="W2738" s="7"/>
      <c r="X2738" s="6"/>
      <c r="Y2738" s="6"/>
      <c r="Z2738" s="6"/>
      <c r="AA2738" s="24"/>
      <c r="AB2738" s="25"/>
      <c r="AC2738" s="12"/>
      <c r="AD2738" s="12"/>
      <c r="AE2738" s="12"/>
      <c r="AF2738" s="6"/>
      <c r="AG2738" s="12"/>
      <c r="AH2738" s="6"/>
      <c r="AI2738" s="6"/>
      <c r="AJ2738" s="12"/>
      <c r="AK2738" s="12"/>
      <c r="AL2738" s="12"/>
      <c r="AM2738" s="12"/>
      <c r="AN2738" s="1"/>
      <c r="AO2738" s="6"/>
    </row>
    <row r="2739" spans="1:41" ht="15" x14ac:dyDescent="0.25">
      <c r="A2739" s="1"/>
      <c r="B2739" s="1"/>
      <c r="C2739" s="1"/>
      <c r="D2739" s="1"/>
      <c r="E2739" s="6"/>
      <c r="F2739" s="1"/>
      <c r="G2739" s="6"/>
      <c r="H2739" s="6"/>
      <c r="I2739" s="6"/>
      <c r="J2739" s="6"/>
      <c r="K2739" s="6"/>
      <c r="L2739" s="6"/>
      <c r="M2739" s="6"/>
      <c r="N2739" s="6"/>
      <c r="O2739" s="7"/>
      <c r="P2739" s="6"/>
      <c r="Q2739" s="7"/>
      <c r="R2739" s="6"/>
      <c r="S2739" s="6"/>
      <c r="T2739" s="6"/>
      <c r="U2739" s="6"/>
      <c r="V2739" s="7"/>
      <c r="W2739" s="7"/>
      <c r="X2739" s="6"/>
      <c r="Y2739" s="6"/>
      <c r="Z2739" s="6"/>
      <c r="AA2739" s="1"/>
      <c r="AB2739" s="12"/>
      <c r="AC2739" s="12"/>
      <c r="AD2739" s="12"/>
      <c r="AE2739" s="12"/>
      <c r="AF2739" s="12"/>
      <c r="AG2739" s="12"/>
      <c r="AH2739" s="12"/>
      <c r="AI2739" s="6"/>
      <c r="AJ2739" s="12"/>
      <c r="AK2739" s="12"/>
      <c r="AL2739" s="12"/>
      <c r="AM2739" s="12"/>
      <c r="AN2739" s="1"/>
      <c r="AO2739" s="6"/>
    </row>
    <row r="2740" spans="1:41" ht="15" x14ac:dyDescent="0.25">
      <c r="A2740" s="1"/>
      <c r="B2740" s="1"/>
      <c r="C2740" s="1"/>
      <c r="D2740" s="1"/>
      <c r="E2740" s="6"/>
      <c r="F2740" s="1"/>
      <c r="G2740" s="6"/>
      <c r="H2740" s="6"/>
      <c r="I2740" s="6"/>
      <c r="J2740" s="6"/>
      <c r="K2740" s="6"/>
      <c r="L2740" s="6"/>
      <c r="M2740" s="6"/>
      <c r="N2740" s="6"/>
      <c r="O2740" s="7"/>
      <c r="P2740" s="12"/>
      <c r="Q2740" s="6"/>
      <c r="R2740" s="7"/>
      <c r="S2740" s="6"/>
      <c r="T2740" s="6"/>
      <c r="U2740" s="7"/>
      <c r="V2740" s="6"/>
      <c r="W2740" s="6"/>
      <c r="X2740" s="12"/>
      <c r="Y2740" s="6"/>
      <c r="Z2740" s="6"/>
      <c r="AA2740" s="7"/>
      <c r="AB2740" s="6"/>
      <c r="AC2740" s="6"/>
      <c r="AD2740" s="6"/>
      <c r="AE2740" s="12"/>
      <c r="AF2740" s="12"/>
      <c r="AG2740" s="12"/>
      <c r="AH2740" s="12"/>
      <c r="AI2740" s="6"/>
      <c r="AJ2740" s="12"/>
      <c r="AK2740" s="1"/>
      <c r="AL2740" s="12"/>
      <c r="AM2740" s="12"/>
      <c r="AN2740" s="1"/>
      <c r="AO2740" s="6"/>
    </row>
    <row r="2741" spans="1:41" ht="15" x14ac:dyDescent="0.25">
      <c r="A2741" s="1"/>
      <c r="B2741" s="1"/>
      <c r="C2741" s="1"/>
      <c r="D2741" s="1"/>
      <c r="E2741" s="6"/>
      <c r="F2741" s="1"/>
      <c r="G2741" s="6"/>
      <c r="H2741" s="6"/>
      <c r="I2741" s="6"/>
      <c r="J2741" s="6"/>
      <c r="K2741" s="6"/>
      <c r="L2741" s="6"/>
      <c r="M2741" s="6"/>
      <c r="N2741" s="6"/>
      <c r="O2741" s="7"/>
      <c r="P2741" s="6"/>
      <c r="Q2741" s="6"/>
      <c r="R2741" s="7"/>
      <c r="S2741" s="6"/>
      <c r="T2741" s="6"/>
      <c r="U2741" s="7"/>
      <c r="V2741" s="6"/>
      <c r="W2741" s="6"/>
      <c r="X2741" s="6"/>
      <c r="Y2741" s="6"/>
      <c r="Z2741" s="6"/>
      <c r="AA2741" s="7"/>
      <c r="AB2741" s="6"/>
      <c r="AC2741" s="6"/>
      <c r="AD2741" s="6"/>
      <c r="AE2741" s="12"/>
      <c r="AF2741" s="6"/>
      <c r="AG2741" s="12"/>
      <c r="AH2741" s="6"/>
      <c r="AI2741" s="6"/>
      <c r="AJ2741" s="12"/>
      <c r="AK2741" s="24"/>
      <c r="AL2741" s="25"/>
      <c r="AM2741" s="12"/>
      <c r="AN2741" s="1"/>
      <c r="AO2741" s="6"/>
    </row>
    <row r="2742" spans="1:41" ht="15" x14ac:dyDescent="0.25">
      <c r="A2742" s="1"/>
      <c r="B2742" s="1"/>
      <c r="C2742" s="1"/>
      <c r="D2742" s="1"/>
      <c r="E2742" s="6"/>
      <c r="F2742" s="1"/>
      <c r="G2742" s="6"/>
      <c r="H2742" s="6"/>
      <c r="I2742" s="6"/>
      <c r="J2742" s="6"/>
      <c r="K2742" s="6"/>
      <c r="L2742" s="6"/>
      <c r="M2742" s="6"/>
      <c r="N2742" s="6"/>
      <c r="O2742" s="7"/>
      <c r="P2742" s="6"/>
      <c r="Q2742" s="7"/>
      <c r="R2742" s="6"/>
      <c r="S2742" s="12"/>
      <c r="T2742" s="6"/>
      <c r="U2742" s="6"/>
      <c r="V2742" s="7"/>
      <c r="W2742" s="7"/>
      <c r="X2742" s="6"/>
      <c r="Y2742" s="6"/>
      <c r="Z2742" s="6"/>
      <c r="AA2742" s="1"/>
      <c r="AB2742" s="12"/>
      <c r="AC2742" s="12"/>
      <c r="AD2742" s="12"/>
      <c r="AE2742" s="12"/>
      <c r="AF2742" s="12"/>
      <c r="AG2742" s="12"/>
      <c r="AH2742" s="12"/>
      <c r="AI2742" s="6"/>
      <c r="AJ2742" s="12"/>
      <c r="AK2742" s="12"/>
      <c r="AL2742" s="12"/>
      <c r="AM2742" s="12"/>
      <c r="AN2742" s="1"/>
      <c r="AO2742" s="6"/>
    </row>
    <row r="2743" spans="1:41" ht="15" x14ac:dyDescent="0.25">
      <c r="A2743" s="1"/>
      <c r="B2743" s="1"/>
      <c r="C2743" s="1"/>
      <c r="D2743" s="1"/>
      <c r="E2743" s="6"/>
      <c r="F2743" s="1"/>
      <c r="G2743" s="6"/>
      <c r="H2743" s="6"/>
      <c r="I2743" s="6"/>
      <c r="J2743" s="6"/>
      <c r="K2743" s="6"/>
      <c r="L2743" s="6"/>
      <c r="M2743" s="6"/>
      <c r="N2743" s="6"/>
      <c r="O2743" s="7"/>
      <c r="P2743" s="12"/>
      <c r="Q2743" s="6"/>
      <c r="R2743" s="7"/>
      <c r="S2743" s="6"/>
      <c r="T2743" s="6"/>
      <c r="U2743" s="7"/>
      <c r="V2743" s="6"/>
      <c r="W2743" s="6"/>
      <c r="X2743" s="6"/>
      <c r="Y2743" s="6"/>
      <c r="Z2743" s="6"/>
      <c r="AA2743" s="7"/>
      <c r="AB2743" s="6"/>
      <c r="AC2743" s="6"/>
      <c r="AD2743" s="6"/>
      <c r="AE2743" s="12"/>
      <c r="AF2743" s="6"/>
      <c r="AG2743" s="12"/>
      <c r="AH2743" s="6"/>
      <c r="AI2743" s="6"/>
      <c r="AJ2743" s="12"/>
      <c r="AK2743" s="24"/>
      <c r="AL2743" s="25"/>
      <c r="AM2743" s="12"/>
      <c r="AN2743" s="1"/>
      <c r="AO2743" s="6"/>
    </row>
    <row r="2744" spans="1:41" ht="15" x14ac:dyDescent="0.25">
      <c r="A2744" s="1"/>
      <c r="B2744" s="1"/>
      <c r="C2744" s="1"/>
      <c r="D2744" s="1"/>
      <c r="E2744" s="6"/>
      <c r="F2744" s="1"/>
      <c r="G2744" s="6"/>
      <c r="H2744" s="6"/>
      <c r="I2744" s="6"/>
      <c r="J2744" s="6"/>
      <c r="K2744" s="6"/>
      <c r="L2744" s="6"/>
      <c r="M2744" s="6"/>
      <c r="N2744" s="6"/>
      <c r="O2744" s="7"/>
      <c r="P2744" s="6"/>
      <c r="Q2744" s="6"/>
      <c r="R2744" s="12"/>
      <c r="S2744" s="12"/>
      <c r="T2744" s="12"/>
      <c r="U2744" s="7"/>
      <c r="V2744" s="6"/>
      <c r="W2744" s="6"/>
      <c r="X2744" s="12"/>
      <c r="Y2744" s="6"/>
      <c r="Z2744" s="6"/>
      <c r="AA2744" s="7"/>
      <c r="AB2744" s="6"/>
      <c r="AC2744" s="6"/>
      <c r="AD2744" s="6"/>
      <c r="AE2744" s="12"/>
      <c r="AF2744" s="6"/>
      <c r="AG2744" s="12"/>
      <c r="AH2744" s="6"/>
      <c r="AI2744" s="6"/>
      <c r="AJ2744" s="12"/>
      <c r="AK2744" s="1"/>
      <c r="AL2744" s="12"/>
      <c r="AM2744" s="12"/>
      <c r="AN2744" s="1"/>
      <c r="AO2744" s="6"/>
    </row>
    <row r="2745" spans="1:41" ht="15" x14ac:dyDescent="0.25">
      <c r="A2745" s="1"/>
      <c r="B2745" s="1"/>
      <c r="C2745" s="1"/>
      <c r="D2745" s="1"/>
      <c r="E2745" s="6"/>
      <c r="F2745" s="1"/>
      <c r="G2745" s="6"/>
      <c r="H2745" s="6"/>
      <c r="I2745" s="6"/>
      <c r="J2745" s="6"/>
      <c r="K2745" s="6"/>
      <c r="L2745" s="6"/>
      <c r="M2745" s="6"/>
      <c r="N2745" s="6"/>
      <c r="O2745" s="7"/>
      <c r="P2745" s="6"/>
      <c r="Q2745" s="6"/>
      <c r="R2745" s="7"/>
      <c r="S2745" s="6"/>
      <c r="T2745" s="6"/>
      <c r="U2745" s="7"/>
      <c r="V2745" s="6"/>
      <c r="W2745" s="6"/>
      <c r="X2745" s="6"/>
      <c r="Y2745" s="6"/>
      <c r="Z2745" s="6"/>
      <c r="AA2745" s="7"/>
      <c r="AB2745" s="6"/>
      <c r="AC2745" s="6"/>
      <c r="AD2745" s="6"/>
      <c r="AE2745" s="12"/>
      <c r="AF2745" s="6"/>
      <c r="AG2745" s="12"/>
      <c r="AH2745" s="6"/>
      <c r="AI2745" s="6"/>
      <c r="AJ2745" s="12"/>
      <c r="AK2745" s="24"/>
      <c r="AL2745" s="25"/>
      <c r="AM2745" s="12"/>
      <c r="AN2745" s="1"/>
      <c r="AO2745" s="6"/>
    </row>
    <row r="2746" spans="1:41" ht="15" x14ac:dyDescent="0.25">
      <c r="A2746" s="1"/>
      <c r="B2746" s="1"/>
      <c r="C2746" s="1"/>
      <c r="D2746" s="1"/>
      <c r="E2746" s="6"/>
      <c r="F2746" s="1"/>
      <c r="G2746" s="6"/>
      <c r="H2746" s="6"/>
      <c r="I2746" s="6"/>
      <c r="J2746" s="6"/>
      <c r="K2746" s="6"/>
      <c r="L2746" s="6"/>
      <c r="M2746" s="6"/>
      <c r="N2746" s="6"/>
      <c r="O2746" s="7"/>
      <c r="P2746" s="6"/>
      <c r="Q2746" s="7"/>
      <c r="R2746" s="6"/>
      <c r="S2746" s="6"/>
      <c r="T2746" s="6"/>
      <c r="U2746" s="6"/>
      <c r="V2746" s="7"/>
      <c r="W2746" s="7"/>
      <c r="X2746" s="6"/>
      <c r="Y2746" s="6"/>
      <c r="Z2746" s="6"/>
      <c r="AA2746" s="1"/>
      <c r="AB2746" s="12"/>
      <c r="AC2746" s="12"/>
      <c r="AD2746" s="12"/>
      <c r="AE2746" s="12"/>
      <c r="AF2746" s="12"/>
      <c r="AG2746" s="12"/>
      <c r="AH2746" s="12"/>
      <c r="AI2746" s="6"/>
      <c r="AJ2746" s="12"/>
      <c r="AK2746" s="12"/>
      <c r="AL2746" s="12"/>
      <c r="AM2746" s="12"/>
      <c r="AN2746" s="1"/>
      <c r="AO2746" s="6"/>
    </row>
    <row r="2747" spans="1:41" ht="15" x14ac:dyDescent="0.25">
      <c r="A2747" s="1"/>
      <c r="B2747" s="1"/>
      <c r="C2747" s="1"/>
      <c r="D2747" s="1"/>
      <c r="E2747" s="6"/>
      <c r="F2747" s="1"/>
      <c r="G2747" s="6"/>
      <c r="H2747" s="6"/>
      <c r="I2747" s="6"/>
      <c r="J2747" s="6"/>
      <c r="K2747" s="6"/>
      <c r="L2747" s="6"/>
      <c r="M2747" s="6"/>
      <c r="N2747" s="6"/>
      <c r="O2747" s="7"/>
      <c r="P2747" s="12"/>
      <c r="Q2747" s="6"/>
      <c r="R2747" s="7"/>
      <c r="S2747" s="6"/>
      <c r="T2747" s="6"/>
      <c r="U2747" s="7"/>
      <c r="V2747" s="6"/>
      <c r="W2747" s="6"/>
      <c r="X2747" s="6"/>
      <c r="Y2747" s="6"/>
      <c r="Z2747" s="6"/>
      <c r="AA2747" s="7"/>
      <c r="AB2747" s="6"/>
      <c r="AC2747" s="6"/>
      <c r="AD2747" s="6"/>
      <c r="AE2747" s="12"/>
      <c r="AF2747" s="6"/>
      <c r="AG2747" s="12"/>
      <c r="AH2747" s="6"/>
      <c r="AI2747" s="6"/>
      <c r="AJ2747" s="12"/>
      <c r="AK2747" s="1"/>
      <c r="AL2747" s="12"/>
      <c r="AM2747" s="12"/>
      <c r="AN2747" s="1"/>
      <c r="AO2747" s="6"/>
    </row>
    <row r="2748" spans="1:41" ht="15" x14ac:dyDescent="0.25">
      <c r="A2748" s="1"/>
      <c r="B2748" s="1"/>
      <c r="C2748" s="1"/>
      <c r="D2748" s="1"/>
      <c r="E2748" s="6"/>
      <c r="F2748" s="1"/>
      <c r="G2748" s="6"/>
      <c r="H2748" s="6"/>
      <c r="I2748" s="6"/>
      <c r="J2748" s="6"/>
      <c r="K2748" s="6"/>
      <c r="L2748" s="6"/>
      <c r="M2748" s="6"/>
      <c r="N2748" s="6"/>
      <c r="O2748" s="7"/>
      <c r="P2748" s="6"/>
      <c r="Q2748" s="6"/>
      <c r="R2748" s="7"/>
      <c r="S2748" s="6"/>
      <c r="T2748" s="6"/>
      <c r="U2748" s="7"/>
      <c r="V2748" s="6"/>
      <c r="W2748" s="6"/>
      <c r="X2748" s="6"/>
      <c r="Y2748" s="6"/>
      <c r="Z2748" s="6"/>
      <c r="AA2748" s="7"/>
      <c r="AB2748" s="6"/>
      <c r="AC2748" s="6"/>
      <c r="AD2748" s="6"/>
      <c r="AE2748" s="12"/>
      <c r="AF2748" s="6"/>
      <c r="AG2748" s="12"/>
      <c r="AH2748" s="6"/>
      <c r="AI2748" s="6"/>
      <c r="AJ2748" s="12"/>
      <c r="AK2748" s="24"/>
      <c r="AL2748" s="25"/>
      <c r="AM2748" s="12"/>
      <c r="AN2748" s="1"/>
      <c r="AO2748" s="6"/>
    </row>
    <row r="2749" spans="1:41" ht="15" x14ac:dyDescent="0.25">
      <c r="A2749" s="1"/>
      <c r="B2749" s="1"/>
      <c r="C2749" s="1"/>
      <c r="D2749" s="1"/>
      <c r="E2749" s="6"/>
      <c r="F2749" s="1"/>
      <c r="G2749" s="6"/>
      <c r="H2749" s="6"/>
      <c r="I2749" s="6"/>
      <c r="J2749" s="6"/>
      <c r="K2749" s="6"/>
      <c r="L2749" s="6"/>
      <c r="M2749" s="6"/>
      <c r="N2749" s="6"/>
      <c r="O2749" s="7"/>
      <c r="P2749" s="12"/>
      <c r="Q2749" s="6"/>
      <c r="R2749" s="7"/>
      <c r="S2749" s="6"/>
      <c r="T2749" s="6"/>
      <c r="U2749" s="7"/>
      <c r="V2749" s="6"/>
      <c r="W2749" s="6"/>
      <c r="X2749" s="6"/>
      <c r="Y2749" s="6"/>
      <c r="Z2749" s="6"/>
      <c r="AA2749" s="7"/>
      <c r="AB2749" s="6"/>
      <c r="AC2749" s="6"/>
      <c r="AD2749" s="6"/>
      <c r="AE2749" s="12"/>
      <c r="AF2749" s="12"/>
      <c r="AG2749" s="12"/>
      <c r="AH2749" s="12"/>
      <c r="AI2749" s="6"/>
      <c r="AJ2749" s="12"/>
      <c r="AK2749" s="1"/>
      <c r="AL2749" s="12"/>
      <c r="AM2749" s="12"/>
      <c r="AN2749" s="1"/>
      <c r="AO2749" s="6"/>
    </row>
    <row r="2750" spans="1:41" ht="15" x14ac:dyDescent="0.25">
      <c r="A2750" s="1"/>
      <c r="B2750" s="1"/>
      <c r="C2750" s="1"/>
      <c r="D2750" s="1"/>
      <c r="E2750" s="6"/>
      <c r="F2750" s="1"/>
      <c r="G2750" s="6"/>
      <c r="H2750" s="6"/>
      <c r="I2750" s="6"/>
      <c r="J2750" s="6"/>
      <c r="K2750" s="6"/>
      <c r="L2750" s="6"/>
      <c r="M2750" s="6"/>
      <c r="N2750" s="6"/>
      <c r="O2750" s="7"/>
      <c r="P2750" s="6"/>
      <c r="Q2750" s="6"/>
      <c r="R2750" s="7"/>
      <c r="S2750" s="6"/>
      <c r="T2750" s="6"/>
      <c r="U2750" s="7"/>
      <c r="V2750" s="6"/>
      <c r="W2750" s="6"/>
      <c r="X2750" s="6"/>
      <c r="Y2750" s="6"/>
      <c r="Z2750" s="6"/>
      <c r="AA2750" s="7"/>
      <c r="AB2750" s="6"/>
      <c r="AC2750" s="6"/>
      <c r="AD2750" s="6"/>
      <c r="AE2750" s="12"/>
      <c r="AF2750" s="6"/>
      <c r="AG2750" s="12"/>
      <c r="AH2750" s="6"/>
      <c r="AI2750" s="6"/>
      <c r="AJ2750" s="12"/>
      <c r="AK2750" s="24"/>
      <c r="AL2750" s="25"/>
      <c r="AM2750" s="12"/>
      <c r="AN2750" s="1"/>
      <c r="AO2750" s="6"/>
    </row>
    <row r="2751" spans="1:41" ht="15" x14ac:dyDescent="0.25">
      <c r="A2751" s="1"/>
      <c r="B2751" s="1"/>
      <c r="C2751" s="1"/>
      <c r="D2751" s="1"/>
      <c r="E2751" s="6"/>
      <c r="F2751" s="1"/>
      <c r="G2751" s="6"/>
      <c r="H2751" s="6"/>
      <c r="I2751" s="6"/>
      <c r="J2751" s="6"/>
      <c r="K2751" s="12"/>
      <c r="L2751" s="12"/>
      <c r="M2751" s="6"/>
      <c r="N2751" s="6"/>
      <c r="O2751" s="7"/>
      <c r="P2751" s="6"/>
      <c r="Q2751" s="6"/>
      <c r="R2751" s="7"/>
      <c r="S2751" s="6"/>
      <c r="T2751" s="6"/>
      <c r="U2751" s="7"/>
      <c r="V2751" s="6"/>
      <c r="W2751" s="6"/>
      <c r="X2751" s="6"/>
      <c r="Y2751" s="6"/>
      <c r="Z2751" s="6"/>
      <c r="AA2751" s="7"/>
      <c r="AB2751" s="6"/>
      <c r="AC2751" s="6"/>
      <c r="AD2751" s="6"/>
      <c r="AE2751" s="12"/>
      <c r="AF2751" s="12"/>
      <c r="AG2751" s="12"/>
      <c r="AH2751" s="12"/>
      <c r="AI2751" s="6"/>
      <c r="AJ2751" s="12"/>
      <c r="AK2751" s="1"/>
      <c r="AL2751" s="12"/>
      <c r="AM2751" s="12"/>
      <c r="AN2751" s="1"/>
      <c r="AO2751" s="6"/>
    </row>
    <row r="2752" spans="1:41" ht="15" x14ac:dyDescent="0.25">
      <c r="A2752" s="1"/>
      <c r="B2752" s="1"/>
      <c r="C2752" s="1"/>
      <c r="D2752" s="1"/>
      <c r="E2752" s="6"/>
      <c r="F2752" s="1"/>
      <c r="G2752" s="6"/>
      <c r="H2752" s="6"/>
      <c r="I2752" s="6"/>
      <c r="J2752" s="6"/>
      <c r="K2752" s="6"/>
      <c r="L2752" s="6"/>
      <c r="M2752" s="6"/>
      <c r="N2752" s="6"/>
      <c r="O2752" s="7"/>
      <c r="P2752" s="6"/>
      <c r="Q2752" s="6"/>
      <c r="R2752" s="7"/>
      <c r="S2752" s="6"/>
      <c r="T2752" s="6"/>
      <c r="U2752" s="7"/>
      <c r="V2752" s="6"/>
      <c r="W2752" s="6"/>
      <c r="X2752" s="12"/>
      <c r="Y2752" s="6"/>
      <c r="Z2752" s="6"/>
      <c r="AA2752" s="7"/>
      <c r="AB2752" s="6"/>
      <c r="AC2752" s="6"/>
      <c r="AD2752" s="6"/>
      <c r="AE2752" s="12"/>
      <c r="AF2752" s="12"/>
      <c r="AG2752" s="12"/>
      <c r="AH2752" s="12"/>
      <c r="AI2752" s="6"/>
      <c r="AJ2752" s="12"/>
      <c r="AK2752" s="1"/>
      <c r="AL2752" s="12"/>
      <c r="AM2752" s="12"/>
      <c r="AN2752" s="1"/>
      <c r="AO2752" s="6"/>
    </row>
    <row r="2753" spans="1:41" ht="15" x14ac:dyDescent="0.25">
      <c r="A2753" s="1"/>
      <c r="B2753" s="1"/>
      <c r="C2753" s="1"/>
      <c r="D2753" s="1"/>
      <c r="E2753" s="6"/>
      <c r="F2753" s="1"/>
      <c r="G2753" s="6"/>
      <c r="H2753" s="6"/>
      <c r="I2753" s="6"/>
      <c r="J2753" s="6"/>
      <c r="K2753" s="6"/>
      <c r="L2753" s="6"/>
      <c r="M2753" s="6"/>
      <c r="N2753" s="6"/>
      <c r="O2753" s="7"/>
      <c r="P2753" s="6"/>
      <c r="Q2753" s="6"/>
      <c r="R2753" s="7"/>
      <c r="S2753" s="6"/>
      <c r="T2753" s="6"/>
      <c r="U2753" s="7"/>
      <c r="V2753" s="6"/>
      <c r="W2753" s="6"/>
      <c r="X2753" s="12"/>
      <c r="Y2753" s="6"/>
      <c r="Z2753" s="6"/>
      <c r="AA2753" s="7"/>
      <c r="AB2753" s="6"/>
      <c r="AC2753" s="6"/>
      <c r="AD2753" s="6"/>
      <c r="AE2753" s="12"/>
      <c r="AF2753" s="12"/>
      <c r="AG2753" s="12"/>
      <c r="AH2753" s="12"/>
      <c r="AI2753" s="6"/>
      <c r="AJ2753" s="12"/>
      <c r="AK2753" s="1"/>
      <c r="AL2753" s="12"/>
      <c r="AM2753" s="12"/>
      <c r="AN2753" s="1"/>
      <c r="AO2753" s="6"/>
    </row>
    <row r="2754" spans="1:41" ht="15" x14ac:dyDescent="0.25">
      <c r="A2754" s="1"/>
      <c r="B2754" s="1"/>
      <c r="C2754" s="1"/>
      <c r="D2754" s="1"/>
      <c r="E2754" s="6"/>
      <c r="F2754" s="1"/>
      <c r="G2754" s="6"/>
      <c r="H2754" s="6"/>
      <c r="I2754" s="6"/>
      <c r="J2754" s="6"/>
      <c r="K2754" s="6"/>
      <c r="L2754" s="6"/>
      <c r="M2754" s="6"/>
      <c r="N2754" s="6"/>
      <c r="O2754" s="7"/>
      <c r="P2754" s="6"/>
      <c r="Q2754" s="6"/>
      <c r="R2754" s="7"/>
      <c r="S2754" s="6"/>
      <c r="T2754" s="6"/>
      <c r="U2754" s="7"/>
      <c r="V2754" s="6"/>
      <c r="W2754" s="6"/>
      <c r="X2754" s="6"/>
      <c r="Y2754" s="6"/>
      <c r="Z2754" s="6"/>
      <c r="AA2754" s="7"/>
      <c r="AB2754" s="6"/>
      <c r="AC2754" s="6"/>
      <c r="AD2754" s="6"/>
      <c r="AE2754" s="12"/>
      <c r="AF2754" s="6"/>
      <c r="AG2754" s="12"/>
      <c r="AH2754" s="6"/>
      <c r="AI2754" s="6"/>
      <c r="AJ2754" s="12"/>
      <c r="AK2754" s="24"/>
      <c r="AL2754" s="25"/>
      <c r="AM2754" s="12"/>
      <c r="AN2754" s="1"/>
      <c r="AO2754" s="6"/>
    </row>
    <row r="2755" spans="1:41" ht="15" x14ac:dyDescent="0.25">
      <c r="A2755" s="1"/>
      <c r="B2755" s="1"/>
      <c r="C2755" s="1"/>
      <c r="D2755" s="1"/>
      <c r="E2755" s="6"/>
      <c r="F2755" s="1"/>
      <c r="G2755" s="6"/>
      <c r="H2755" s="6"/>
      <c r="I2755" s="6"/>
      <c r="J2755" s="6"/>
      <c r="K2755" s="6"/>
      <c r="L2755" s="6"/>
      <c r="M2755" s="6"/>
      <c r="N2755" s="6"/>
      <c r="O2755" s="7"/>
      <c r="P2755" s="6"/>
      <c r="Q2755" s="6"/>
      <c r="R2755" s="7"/>
      <c r="S2755" s="6"/>
      <c r="T2755" s="6"/>
      <c r="U2755" s="7"/>
      <c r="V2755" s="6"/>
      <c r="W2755" s="6"/>
      <c r="X2755" s="6"/>
      <c r="Y2755" s="6"/>
      <c r="Z2755" s="6"/>
      <c r="AA2755" s="7"/>
      <c r="AB2755" s="6"/>
      <c r="AC2755" s="6"/>
      <c r="AD2755" s="6"/>
      <c r="AE2755" s="12"/>
      <c r="AF2755" s="6"/>
      <c r="AG2755" s="12"/>
      <c r="AH2755" s="6"/>
      <c r="AI2755" s="6"/>
      <c r="AJ2755" s="12"/>
      <c r="AK2755" s="24"/>
      <c r="AL2755" s="25"/>
      <c r="AM2755" s="12"/>
      <c r="AN2755" s="1"/>
      <c r="AO2755" s="6"/>
    </row>
    <row r="2756" spans="1:41" ht="15" x14ac:dyDescent="0.25">
      <c r="A2756" s="1"/>
      <c r="B2756" s="1"/>
      <c r="C2756" s="1"/>
      <c r="D2756" s="1"/>
      <c r="E2756" s="6"/>
      <c r="F2756" s="1"/>
      <c r="G2756" s="6"/>
      <c r="H2756" s="6"/>
      <c r="I2756" s="6"/>
      <c r="J2756" s="6"/>
      <c r="K2756" s="6"/>
      <c r="L2756" s="6"/>
      <c r="M2756" s="6"/>
      <c r="N2756" s="6"/>
      <c r="O2756" s="7"/>
      <c r="P2756" s="6"/>
      <c r="Q2756" s="6"/>
      <c r="R2756" s="7"/>
      <c r="S2756" s="6"/>
      <c r="T2756" s="6"/>
      <c r="U2756" s="7"/>
      <c r="V2756" s="6"/>
      <c r="W2756" s="6"/>
      <c r="X2756" s="6"/>
      <c r="Y2756" s="6"/>
      <c r="Z2756" s="6"/>
      <c r="AA2756" s="7"/>
      <c r="AB2756" s="6"/>
      <c r="AC2756" s="6"/>
      <c r="AD2756" s="6"/>
      <c r="AE2756" s="12"/>
      <c r="AF2756" s="12"/>
      <c r="AG2756" s="12"/>
      <c r="AH2756" s="12"/>
      <c r="AI2756" s="6"/>
      <c r="AJ2756" s="12"/>
      <c r="AK2756" s="1"/>
      <c r="AL2756" s="12"/>
      <c r="AM2756" s="12"/>
      <c r="AN2756" s="1"/>
      <c r="AO2756" s="6"/>
    </row>
    <row r="2757" spans="1:41" ht="15" x14ac:dyDescent="0.25">
      <c r="A2757" s="1"/>
      <c r="B2757" s="1"/>
      <c r="C2757" s="1"/>
      <c r="D2757" s="1"/>
      <c r="E2757" s="6"/>
      <c r="F2757" s="1"/>
      <c r="G2757" s="6"/>
      <c r="H2757" s="6"/>
      <c r="I2757" s="6"/>
      <c r="J2757" s="6"/>
      <c r="K2757" s="6"/>
      <c r="L2757" s="6"/>
      <c r="M2757" s="6"/>
      <c r="N2757" s="6"/>
      <c r="O2757" s="7"/>
      <c r="P2757" s="6"/>
      <c r="Q2757" s="6"/>
      <c r="R2757" s="7"/>
      <c r="S2757" s="6"/>
      <c r="T2757" s="6"/>
      <c r="U2757" s="7"/>
      <c r="V2757" s="6"/>
      <c r="W2757" s="6"/>
      <c r="X2757" s="6"/>
      <c r="Y2757" s="6"/>
      <c r="Z2757" s="6"/>
      <c r="AA2757" s="7"/>
      <c r="AB2757" s="6"/>
      <c r="AC2757" s="6"/>
      <c r="AD2757" s="6"/>
      <c r="AE2757" s="12"/>
      <c r="AF2757" s="6"/>
      <c r="AG2757" s="12"/>
      <c r="AH2757" s="6"/>
      <c r="AI2757" s="6"/>
      <c r="AJ2757" s="12"/>
      <c r="AK2757" s="24"/>
      <c r="AL2757" s="25"/>
      <c r="AM2757" s="12"/>
      <c r="AN2757" s="1"/>
      <c r="AO2757" s="6"/>
    </row>
    <row r="2758" spans="1:41" ht="15" x14ac:dyDescent="0.25">
      <c r="A2758" s="1"/>
      <c r="B2758" s="1"/>
      <c r="C2758" s="1"/>
      <c r="D2758" s="1"/>
      <c r="E2758" s="6"/>
      <c r="F2758" s="1"/>
      <c r="G2758" s="6"/>
      <c r="H2758" s="6"/>
      <c r="I2758" s="6"/>
      <c r="J2758" s="6"/>
      <c r="K2758" s="6"/>
      <c r="L2758" s="6"/>
      <c r="M2758" s="6"/>
      <c r="N2758" s="6"/>
      <c r="O2758" s="7"/>
      <c r="P2758" s="6"/>
      <c r="Q2758" s="6"/>
      <c r="R2758" s="7"/>
      <c r="S2758" s="6"/>
      <c r="T2758" s="6"/>
      <c r="U2758" s="7"/>
      <c r="V2758" s="6"/>
      <c r="W2758" s="6"/>
      <c r="X2758" s="12"/>
      <c r="Y2758" s="6"/>
      <c r="Z2758" s="6"/>
      <c r="AA2758" s="7"/>
      <c r="AB2758" s="6"/>
      <c r="AC2758" s="6"/>
      <c r="AD2758" s="6"/>
      <c r="AE2758" s="12"/>
      <c r="AF2758" s="6"/>
      <c r="AG2758" s="12"/>
      <c r="AH2758" s="6"/>
      <c r="AI2758" s="6"/>
      <c r="AJ2758" s="12"/>
      <c r="AK2758" s="24"/>
      <c r="AL2758" s="25"/>
      <c r="AM2758" s="12"/>
      <c r="AN2758" s="1"/>
      <c r="AO2758" s="6"/>
    </row>
    <row r="2759" spans="1:41" ht="15" x14ac:dyDescent="0.25">
      <c r="A2759" s="1"/>
      <c r="B2759" s="1"/>
      <c r="C2759" s="1"/>
      <c r="D2759" s="1"/>
      <c r="E2759" s="6"/>
      <c r="F2759" s="1"/>
      <c r="G2759" s="6"/>
      <c r="H2759" s="6"/>
      <c r="I2759" s="6"/>
      <c r="J2759" s="6"/>
      <c r="K2759" s="6"/>
      <c r="L2759" s="6"/>
      <c r="M2759" s="6"/>
      <c r="N2759" s="6"/>
      <c r="O2759" s="7"/>
      <c r="P2759" s="6"/>
      <c r="Q2759" s="6"/>
      <c r="R2759" s="7"/>
      <c r="S2759" s="6"/>
      <c r="T2759" s="6"/>
      <c r="U2759" s="7"/>
      <c r="V2759" s="6"/>
      <c r="W2759" s="6"/>
      <c r="X2759" s="6"/>
      <c r="Y2759" s="6"/>
      <c r="Z2759" s="6"/>
      <c r="AA2759" s="7"/>
      <c r="AB2759" s="6"/>
      <c r="AC2759" s="6"/>
      <c r="AD2759" s="6"/>
      <c r="AE2759" s="12"/>
      <c r="AF2759" s="6"/>
      <c r="AG2759" s="12"/>
      <c r="AH2759" s="6"/>
      <c r="AI2759" s="6"/>
      <c r="AJ2759" s="12"/>
      <c r="AK2759" s="24"/>
      <c r="AL2759" s="25"/>
      <c r="AM2759" s="12"/>
      <c r="AN2759" s="1"/>
      <c r="AO2759" s="6"/>
    </row>
    <row r="2760" spans="1:41" ht="15" x14ac:dyDescent="0.25">
      <c r="A2760" s="1"/>
      <c r="B2760" s="1"/>
      <c r="C2760" s="1"/>
      <c r="D2760" s="1"/>
      <c r="E2760" s="6"/>
      <c r="F2760" s="1"/>
      <c r="G2760" s="6"/>
      <c r="H2760" s="6"/>
      <c r="I2760" s="6"/>
      <c r="J2760" s="6"/>
      <c r="K2760" s="6"/>
      <c r="L2760" s="6"/>
      <c r="M2760" s="6"/>
      <c r="N2760" s="6"/>
      <c r="O2760" s="7"/>
      <c r="P2760" s="6"/>
      <c r="Q2760" s="6"/>
      <c r="R2760" s="7"/>
      <c r="S2760" s="6"/>
      <c r="T2760" s="6"/>
      <c r="U2760" s="7"/>
      <c r="V2760" s="6"/>
      <c r="W2760" s="6"/>
      <c r="X2760" s="6"/>
      <c r="Y2760" s="6"/>
      <c r="Z2760" s="6"/>
      <c r="AA2760" s="7"/>
      <c r="AB2760" s="6"/>
      <c r="AC2760" s="6"/>
      <c r="AD2760" s="6"/>
      <c r="AE2760" s="12"/>
      <c r="AF2760" s="6"/>
      <c r="AG2760" s="12"/>
      <c r="AH2760" s="6"/>
      <c r="AI2760" s="6"/>
      <c r="AJ2760" s="12"/>
      <c r="AK2760" s="24"/>
      <c r="AL2760" s="25"/>
      <c r="AM2760" s="12"/>
      <c r="AN2760" s="1"/>
      <c r="AO2760" s="6"/>
    </row>
    <row r="2761" spans="1:41" ht="15" x14ac:dyDescent="0.25">
      <c r="A2761" s="1"/>
      <c r="B2761" s="1"/>
      <c r="C2761" s="1"/>
      <c r="D2761" s="1"/>
      <c r="E2761" s="6"/>
      <c r="F2761" s="1"/>
      <c r="G2761" s="6"/>
      <c r="H2761" s="6"/>
      <c r="I2761" s="6"/>
      <c r="J2761" s="6"/>
      <c r="K2761" s="6"/>
      <c r="L2761" s="6"/>
      <c r="M2761" s="6"/>
      <c r="N2761" s="6"/>
      <c r="O2761" s="7"/>
      <c r="P2761" s="6"/>
      <c r="Q2761" s="6"/>
      <c r="R2761" s="7"/>
      <c r="S2761" s="6"/>
      <c r="T2761" s="6"/>
      <c r="U2761" s="7"/>
      <c r="V2761" s="6"/>
      <c r="W2761" s="6"/>
      <c r="X2761" s="6"/>
      <c r="Y2761" s="6"/>
      <c r="Z2761" s="6"/>
      <c r="AA2761" s="7"/>
      <c r="AB2761" s="6"/>
      <c r="AC2761" s="6"/>
      <c r="AD2761" s="6"/>
      <c r="AE2761" s="12"/>
      <c r="AF2761" s="6"/>
      <c r="AG2761" s="12"/>
      <c r="AH2761" s="6"/>
      <c r="AI2761" s="6"/>
      <c r="AJ2761" s="12"/>
      <c r="AK2761" s="24"/>
      <c r="AL2761" s="25"/>
      <c r="AM2761" s="12"/>
      <c r="AN2761" s="1"/>
      <c r="AO2761" s="6"/>
    </row>
    <row r="2762" spans="1:41" ht="15" x14ac:dyDescent="0.25">
      <c r="A2762" s="1"/>
      <c r="B2762" s="1"/>
      <c r="C2762" s="1"/>
      <c r="D2762" s="1"/>
      <c r="E2762" s="6"/>
      <c r="F2762" s="1"/>
      <c r="G2762" s="6"/>
      <c r="H2762" s="6"/>
      <c r="I2762" s="6"/>
      <c r="J2762" s="6"/>
      <c r="K2762" s="6"/>
      <c r="L2762" s="6"/>
      <c r="M2762" s="6"/>
      <c r="N2762" s="6"/>
      <c r="O2762" s="7"/>
      <c r="P2762" s="6"/>
      <c r="Q2762" s="6"/>
      <c r="R2762" s="7"/>
      <c r="S2762" s="6"/>
      <c r="T2762" s="6"/>
      <c r="U2762" s="7"/>
      <c r="V2762" s="6"/>
      <c r="W2762" s="6"/>
      <c r="X2762" s="12"/>
      <c r="Y2762" s="6"/>
      <c r="Z2762" s="6"/>
      <c r="AA2762" s="7"/>
      <c r="AB2762" s="6"/>
      <c r="AC2762" s="6"/>
      <c r="AD2762" s="6"/>
      <c r="AE2762" s="12"/>
      <c r="AF2762" s="6"/>
      <c r="AG2762" s="12"/>
      <c r="AH2762" s="6"/>
      <c r="AI2762" s="6"/>
      <c r="AJ2762" s="12"/>
      <c r="AK2762" s="24"/>
      <c r="AL2762" s="25"/>
      <c r="AM2762" s="12"/>
      <c r="AN2762" s="1"/>
      <c r="AO2762" s="6"/>
    </row>
    <row r="2763" spans="1:41" ht="15" x14ac:dyDescent="0.25">
      <c r="A2763" s="1"/>
      <c r="B2763" s="1"/>
      <c r="C2763" s="1"/>
      <c r="D2763" s="1"/>
      <c r="E2763" s="6"/>
      <c r="F2763" s="1"/>
      <c r="G2763" s="6"/>
      <c r="H2763" s="6"/>
      <c r="I2763" s="6"/>
      <c r="J2763" s="6"/>
      <c r="K2763" s="6"/>
      <c r="L2763" s="6"/>
      <c r="M2763" s="6"/>
      <c r="N2763" s="6"/>
      <c r="O2763" s="7"/>
      <c r="P2763" s="6"/>
      <c r="Q2763" s="6"/>
      <c r="R2763" s="12"/>
      <c r="S2763" s="12"/>
      <c r="T2763" s="12"/>
      <c r="U2763" s="7"/>
      <c r="V2763" s="6"/>
      <c r="W2763" s="6"/>
      <c r="X2763" s="12"/>
      <c r="Y2763" s="6"/>
      <c r="Z2763" s="6"/>
      <c r="AA2763" s="7"/>
      <c r="AB2763" s="6"/>
      <c r="AC2763" s="6"/>
      <c r="AD2763" s="6"/>
      <c r="AE2763" s="12"/>
      <c r="AF2763" s="6"/>
      <c r="AG2763" s="12"/>
      <c r="AH2763" s="6"/>
      <c r="AI2763" s="6"/>
      <c r="AJ2763" s="12"/>
      <c r="AK2763" s="24"/>
      <c r="AL2763" s="25"/>
      <c r="AM2763" s="12"/>
      <c r="AN2763" s="1"/>
      <c r="AO2763" s="6"/>
    </row>
    <row r="2764" spans="1:41" ht="15" x14ac:dyDescent="0.25">
      <c r="A2764" s="1"/>
      <c r="B2764" s="1"/>
      <c r="C2764" s="1"/>
      <c r="D2764" s="1"/>
      <c r="E2764" s="6"/>
      <c r="F2764" s="1"/>
      <c r="G2764" s="6"/>
      <c r="H2764" s="6"/>
      <c r="I2764" s="6"/>
      <c r="J2764" s="6"/>
      <c r="K2764" s="6"/>
      <c r="L2764" s="6"/>
      <c r="M2764" s="6"/>
      <c r="N2764" s="6"/>
      <c r="O2764" s="7"/>
      <c r="P2764" s="6"/>
      <c r="Q2764" s="6"/>
      <c r="R2764" s="7"/>
      <c r="S2764" s="6"/>
      <c r="T2764" s="6"/>
      <c r="U2764" s="7"/>
      <c r="V2764" s="6"/>
      <c r="W2764" s="6"/>
      <c r="X2764" s="6"/>
      <c r="Y2764" s="6"/>
      <c r="Z2764" s="6"/>
      <c r="AA2764" s="7"/>
      <c r="AB2764" s="6"/>
      <c r="AC2764" s="6"/>
      <c r="AD2764" s="6"/>
      <c r="AE2764" s="12"/>
      <c r="AF2764" s="12"/>
      <c r="AG2764" s="12"/>
      <c r="AH2764" s="12"/>
      <c r="AI2764" s="6"/>
      <c r="AJ2764" s="12"/>
      <c r="AK2764" s="1"/>
      <c r="AL2764" s="12"/>
      <c r="AM2764" s="12"/>
      <c r="AN2764" s="1"/>
      <c r="AO2764" s="6"/>
    </row>
    <row r="2765" spans="1:41" ht="15" x14ac:dyDescent="0.25">
      <c r="A2765" s="1"/>
      <c r="B2765" s="1"/>
      <c r="C2765" s="1"/>
      <c r="D2765" s="1"/>
      <c r="E2765" s="6"/>
      <c r="F2765" s="1"/>
      <c r="G2765" s="6"/>
      <c r="H2765" s="6"/>
      <c r="I2765" s="6"/>
      <c r="J2765" s="6"/>
      <c r="K2765" s="6"/>
      <c r="L2765" s="6"/>
      <c r="M2765" s="6"/>
      <c r="N2765" s="6"/>
      <c r="O2765" s="7"/>
      <c r="P2765" s="6"/>
      <c r="Q2765" s="6"/>
      <c r="R2765" s="7"/>
      <c r="S2765" s="6"/>
      <c r="T2765" s="6"/>
      <c r="U2765" s="7"/>
      <c r="V2765" s="6"/>
      <c r="W2765" s="6"/>
      <c r="X2765" s="6"/>
      <c r="Y2765" s="6"/>
      <c r="Z2765" s="6"/>
      <c r="AA2765" s="7"/>
      <c r="AB2765" s="6"/>
      <c r="AC2765" s="6"/>
      <c r="AD2765" s="6"/>
      <c r="AE2765" s="12"/>
      <c r="AF2765" s="6"/>
      <c r="AG2765" s="12"/>
      <c r="AH2765" s="6"/>
      <c r="AI2765" s="6"/>
      <c r="AJ2765" s="12"/>
      <c r="AK2765" s="1"/>
      <c r="AL2765" s="12"/>
      <c r="AM2765" s="12"/>
      <c r="AN2765" s="1"/>
      <c r="AO2765" s="6"/>
    </row>
    <row r="2766" spans="1:41" ht="15" x14ac:dyDescent="0.25">
      <c r="A2766" s="1"/>
      <c r="B2766" s="1"/>
      <c r="C2766" s="1"/>
      <c r="D2766" s="1"/>
      <c r="E2766" s="6"/>
      <c r="F2766" s="1"/>
      <c r="G2766" s="6"/>
      <c r="H2766" s="6"/>
      <c r="I2766" s="6"/>
      <c r="J2766" s="6"/>
      <c r="K2766" s="6"/>
      <c r="L2766" s="6"/>
      <c r="M2766" s="6"/>
      <c r="N2766" s="6"/>
      <c r="O2766" s="7"/>
      <c r="P2766" s="6"/>
      <c r="Q2766" s="6"/>
      <c r="R2766" s="7"/>
      <c r="S2766" s="6"/>
      <c r="T2766" s="6"/>
      <c r="U2766" s="7"/>
      <c r="V2766" s="6"/>
      <c r="W2766" s="6"/>
      <c r="X2766" s="6"/>
      <c r="Y2766" s="6"/>
      <c r="Z2766" s="6"/>
      <c r="AA2766" s="7"/>
      <c r="AB2766" s="6"/>
      <c r="AC2766" s="6"/>
      <c r="AD2766" s="6"/>
      <c r="AE2766" s="12"/>
      <c r="AF2766" s="6"/>
      <c r="AG2766" s="12"/>
      <c r="AH2766" s="6"/>
      <c r="AI2766" s="6"/>
      <c r="AJ2766" s="12"/>
      <c r="AK2766" s="1"/>
      <c r="AL2766" s="12"/>
      <c r="AM2766" s="12"/>
      <c r="AN2766" s="1"/>
      <c r="AO2766" s="6"/>
    </row>
    <row r="2767" spans="1:41" ht="15" x14ac:dyDescent="0.25">
      <c r="A2767" s="1"/>
      <c r="B2767" s="1"/>
      <c r="C2767" s="1"/>
      <c r="D2767" s="1"/>
      <c r="E2767" s="6"/>
      <c r="F2767" s="1"/>
      <c r="G2767" s="6"/>
      <c r="H2767" s="6"/>
      <c r="I2767" s="6"/>
      <c r="J2767" s="6"/>
      <c r="K2767" s="6"/>
      <c r="L2767" s="6"/>
      <c r="M2767" s="6"/>
      <c r="N2767" s="6"/>
      <c r="O2767" s="7"/>
      <c r="P2767" s="6"/>
      <c r="Q2767" s="6"/>
      <c r="R2767" s="7"/>
      <c r="S2767" s="6"/>
      <c r="T2767" s="6"/>
      <c r="U2767" s="7"/>
      <c r="V2767" s="6"/>
      <c r="W2767" s="6"/>
      <c r="X2767" s="6"/>
      <c r="Y2767" s="6"/>
      <c r="Z2767" s="6"/>
      <c r="AA2767" s="7"/>
      <c r="AB2767" s="6"/>
      <c r="AC2767" s="6"/>
      <c r="AD2767" s="6"/>
      <c r="AE2767" s="12"/>
      <c r="AF2767" s="6"/>
      <c r="AG2767" s="12"/>
      <c r="AH2767" s="6"/>
      <c r="AI2767" s="6"/>
      <c r="AJ2767" s="12"/>
      <c r="AK2767" s="24"/>
      <c r="AL2767" s="25"/>
      <c r="AM2767" s="12"/>
      <c r="AN2767" s="1"/>
      <c r="AO2767" s="6"/>
    </row>
    <row r="2768" spans="1:41" ht="15" x14ac:dyDescent="0.25">
      <c r="A2768" s="1"/>
      <c r="B2768" s="1"/>
      <c r="C2768" s="1"/>
      <c r="D2768" s="1"/>
      <c r="E2768" s="6"/>
      <c r="F2768" s="1"/>
      <c r="G2768" s="6"/>
      <c r="H2768" s="6"/>
      <c r="I2768" s="6"/>
      <c r="J2768" s="6"/>
      <c r="K2768" s="6"/>
      <c r="L2768" s="6"/>
      <c r="M2768" s="6"/>
      <c r="N2768" s="6"/>
      <c r="O2768" s="7"/>
      <c r="P2768" s="6"/>
      <c r="Q2768" s="6"/>
      <c r="R2768" s="7"/>
      <c r="S2768" s="6"/>
      <c r="T2768" s="6"/>
      <c r="U2768" s="7"/>
      <c r="V2768" s="6"/>
      <c r="W2768" s="6"/>
      <c r="X2768" s="6"/>
      <c r="Y2768" s="6"/>
      <c r="Z2768" s="6"/>
      <c r="AA2768" s="7"/>
      <c r="AB2768" s="6"/>
      <c r="AC2768" s="6"/>
      <c r="AD2768" s="6"/>
      <c r="AE2768" s="12"/>
      <c r="AF2768" s="12"/>
      <c r="AG2768" s="12"/>
      <c r="AH2768" s="12"/>
      <c r="AI2768" s="6"/>
      <c r="AJ2768" s="12"/>
      <c r="AK2768" s="1"/>
      <c r="AL2768" s="12"/>
      <c r="AM2768" s="12"/>
      <c r="AN2768" s="1"/>
      <c r="AO2768" s="6"/>
    </row>
    <row r="2769" spans="1:41" ht="15" x14ac:dyDescent="0.25">
      <c r="A2769" s="1"/>
      <c r="B2769" s="1"/>
      <c r="C2769" s="1"/>
      <c r="D2769" s="1"/>
      <c r="E2769" s="6"/>
      <c r="F2769" s="1"/>
      <c r="G2769" s="6"/>
      <c r="H2769" s="6"/>
      <c r="I2769" s="6"/>
      <c r="J2769" s="6"/>
      <c r="K2769" s="6"/>
      <c r="L2769" s="6"/>
      <c r="M2769" s="6"/>
      <c r="N2769" s="6"/>
      <c r="O2769" s="7"/>
      <c r="P2769" s="6"/>
      <c r="Q2769" s="6"/>
      <c r="R2769" s="7"/>
      <c r="S2769" s="6"/>
      <c r="T2769" s="6"/>
      <c r="U2769" s="7"/>
      <c r="V2769" s="6"/>
      <c r="W2769" s="6"/>
      <c r="X2769" s="12"/>
      <c r="Y2769" s="6"/>
      <c r="Z2769" s="6"/>
      <c r="AA2769" s="7"/>
      <c r="AB2769" s="6"/>
      <c r="AC2769" s="6"/>
      <c r="AD2769" s="6"/>
      <c r="AE2769" s="12"/>
      <c r="AF2769" s="6"/>
      <c r="AG2769" s="12"/>
      <c r="AH2769" s="6"/>
      <c r="AI2769" s="6"/>
      <c r="AJ2769" s="12"/>
      <c r="AK2769" s="24"/>
      <c r="AL2769" s="25"/>
      <c r="AM2769" s="12"/>
      <c r="AN2769" s="1"/>
      <c r="AO2769" s="6"/>
    </row>
    <row r="2770" spans="1:41" ht="15" x14ac:dyDescent="0.25">
      <c r="A2770" s="1"/>
      <c r="B2770" s="1"/>
      <c r="C2770" s="1"/>
      <c r="D2770" s="1"/>
      <c r="E2770" s="6"/>
      <c r="F2770" s="1"/>
      <c r="G2770" s="6"/>
      <c r="H2770" s="6"/>
      <c r="I2770" s="6"/>
      <c r="J2770" s="6"/>
      <c r="K2770" s="6"/>
      <c r="L2770" s="6"/>
      <c r="M2770" s="6"/>
      <c r="N2770" s="6"/>
      <c r="O2770" s="7"/>
      <c r="P2770" s="6"/>
      <c r="Q2770" s="6"/>
      <c r="R2770" s="7"/>
      <c r="S2770" s="6"/>
      <c r="T2770" s="6"/>
      <c r="U2770" s="7"/>
      <c r="V2770" s="6"/>
      <c r="W2770" s="6"/>
      <c r="X2770" s="6"/>
      <c r="Y2770" s="6"/>
      <c r="Z2770" s="6"/>
      <c r="AA2770" s="7"/>
      <c r="AB2770" s="6"/>
      <c r="AC2770" s="6"/>
      <c r="AD2770" s="6"/>
      <c r="AE2770" s="12"/>
      <c r="AF2770" s="6"/>
      <c r="AG2770" s="12"/>
      <c r="AH2770" s="6"/>
      <c r="AI2770" s="6"/>
      <c r="AJ2770" s="12"/>
      <c r="AK2770" s="1"/>
      <c r="AL2770" s="12"/>
      <c r="AM2770" s="12"/>
      <c r="AN2770" s="1"/>
      <c r="AO2770" s="6"/>
    </row>
    <row r="2771" spans="1:41" ht="15" x14ac:dyDescent="0.25">
      <c r="A2771" s="1"/>
      <c r="B2771" s="1"/>
      <c r="C2771" s="1"/>
      <c r="D2771" s="1"/>
      <c r="E2771" s="6"/>
      <c r="F2771" s="1"/>
      <c r="G2771" s="6"/>
      <c r="H2771" s="6"/>
      <c r="I2771" s="6"/>
      <c r="J2771" s="6"/>
      <c r="K2771" s="6"/>
      <c r="L2771" s="6"/>
      <c r="M2771" s="6"/>
      <c r="N2771" s="6"/>
      <c r="O2771" s="7"/>
      <c r="P2771" s="12"/>
      <c r="Q2771" s="6"/>
      <c r="R2771" s="7"/>
      <c r="S2771" s="6"/>
      <c r="T2771" s="6"/>
      <c r="U2771" s="7"/>
      <c r="V2771" s="6"/>
      <c r="W2771" s="6"/>
      <c r="X2771" s="6"/>
      <c r="Y2771" s="6"/>
      <c r="Z2771" s="6"/>
      <c r="AA2771" s="7"/>
      <c r="AB2771" s="6"/>
      <c r="AC2771" s="6"/>
      <c r="AD2771" s="6"/>
      <c r="AE2771" s="12"/>
      <c r="AF2771" s="12"/>
      <c r="AG2771" s="12"/>
      <c r="AH2771" s="12"/>
      <c r="AI2771" s="6"/>
      <c r="AJ2771" s="12"/>
      <c r="AK2771" s="1"/>
      <c r="AL2771" s="12"/>
      <c r="AM2771" s="12"/>
      <c r="AN2771" s="1"/>
      <c r="AO2771" s="6"/>
    </row>
    <row r="2772" spans="1:41" ht="15" x14ac:dyDescent="0.25">
      <c r="A2772" s="1"/>
      <c r="B2772" s="1"/>
      <c r="C2772" s="1"/>
      <c r="D2772" s="1"/>
      <c r="E2772" s="6"/>
      <c r="F2772" s="1"/>
      <c r="G2772" s="6"/>
      <c r="H2772" s="6"/>
      <c r="I2772" s="6"/>
      <c r="J2772" s="6"/>
      <c r="K2772" s="12"/>
      <c r="L2772" s="6"/>
      <c r="M2772" s="6"/>
      <c r="N2772" s="6"/>
      <c r="O2772" s="7"/>
      <c r="P2772" s="6"/>
      <c r="Q2772" s="6"/>
      <c r="R2772" s="7"/>
      <c r="S2772" s="6"/>
      <c r="T2772" s="6"/>
      <c r="U2772" s="7"/>
      <c r="V2772" s="6"/>
      <c r="W2772" s="6"/>
      <c r="X2772" s="12"/>
      <c r="Y2772" s="12"/>
      <c r="Z2772" s="6"/>
      <c r="AA2772" s="7"/>
      <c r="AB2772" s="6"/>
      <c r="AC2772" s="6"/>
      <c r="AD2772" s="6"/>
      <c r="AE2772" s="12"/>
      <c r="AF2772" s="6"/>
      <c r="AG2772" s="12"/>
      <c r="AH2772" s="6"/>
      <c r="AI2772" s="6"/>
      <c r="AJ2772" s="12"/>
      <c r="AK2772" s="1"/>
      <c r="AL2772" s="12"/>
      <c r="AM2772" s="12"/>
      <c r="AN2772" s="1"/>
      <c r="AO2772" s="12"/>
    </row>
    <row r="2773" spans="1:41" ht="15" x14ac:dyDescent="0.25">
      <c r="A2773" s="1"/>
      <c r="B2773" s="1"/>
      <c r="C2773" s="1"/>
      <c r="D2773" s="1"/>
      <c r="E2773" s="6"/>
      <c r="F2773" s="1"/>
      <c r="G2773" s="6"/>
      <c r="H2773" s="6"/>
      <c r="I2773" s="6"/>
      <c r="J2773" s="6"/>
      <c r="K2773" s="6"/>
      <c r="L2773" s="6"/>
      <c r="M2773" s="6"/>
      <c r="N2773" s="6"/>
      <c r="O2773" s="7"/>
      <c r="P2773" s="6"/>
      <c r="Q2773" s="6"/>
      <c r="R2773" s="7"/>
      <c r="S2773" s="6"/>
      <c r="T2773" s="6"/>
      <c r="U2773" s="7"/>
      <c r="V2773" s="6"/>
      <c r="W2773" s="6"/>
      <c r="X2773" s="12"/>
      <c r="Y2773" s="6"/>
      <c r="Z2773" s="6"/>
      <c r="AA2773" s="7"/>
      <c r="AB2773" s="6"/>
      <c r="AC2773" s="6"/>
      <c r="AD2773" s="6"/>
      <c r="AE2773" s="12"/>
      <c r="AF2773" s="6"/>
      <c r="AG2773" s="12"/>
      <c r="AH2773" s="6"/>
      <c r="AI2773" s="6"/>
      <c r="AJ2773" s="12"/>
      <c r="AK2773" s="24"/>
      <c r="AL2773" s="25"/>
      <c r="AM2773" s="12"/>
      <c r="AN2773" s="1"/>
      <c r="AO2773" s="6"/>
    </row>
    <row r="2774" spans="1:41" ht="15" x14ac:dyDescent="0.25">
      <c r="A2774" s="1"/>
      <c r="B2774" s="1"/>
      <c r="C2774" s="1"/>
      <c r="D2774" s="1"/>
      <c r="E2774" s="6"/>
      <c r="F2774" s="1"/>
      <c r="G2774" s="6"/>
      <c r="H2774" s="6"/>
      <c r="I2774" s="6"/>
      <c r="J2774" s="6"/>
      <c r="K2774" s="6"/>
      <c r="L2774" s="6"/>
      <c r="M2774" s="6"/>
      <c r="N2774" s="6"/>
      <c r="O2774" s="7"/>
      <c r="P2774" s="12"/>
      <c r="Q2774" s="6"/>
      <c r="R2774" s="7"/>
      <c r="S2774" s="6"/>
      <c r="T2774" s="6"/>
      <c r="U2774" s="7"/>
      <c r="V2774" s="6"/>
      <c r="W2774" s="6"/>
      <c r="X2774" s="6"/>
      <c r="Y2774" s="6"/>
      <c r="Z2774" s="6"/>
      <c r="AA2774" s="7"/>
      <c r="AB2774" s="6"/>
      <c r="AC2774" s="6"/>
      <c r="AD2774" s="6"/>
      <c r="AE2774" s="12"/>
      <c r="AF2774" s="12"/>
      <c r="AG2774" s="12"/>
      <c r="AH2774" s="12"/>
      <c r="AI2774" s="6"/>
      <c r="AJ2774" s="12"/>
      <c r="AK2774" s="1"/>
      <c r="AL2774" s="12"/>
      <c r="AM2774" s="12"/>
      <c r="AN2774" s="1"/>
      <c r="AO2774" s="6"/>
    </row>
    <row r="2775" spans="1:41" ht="15" x14ac:dyDescent="0.25">
      <c r="A2775" s="1"/>
      <c r="B2775" s="1"/>
      <c r="C2775" s="1"/>
      <c r="D2775" s="1"/>
      <c r="E2775" s="6"/>
      <c r="F2775" s="1"/>
      <c r="G2775" s="6"/>
      <c r="H2775" s="6"/>
      <c r="I2775" s="6"/>
      <c r="J2775" s="6"/>
      <c r="K2775" s="6"/>
      <c r="L2775" s="6"/>
      <c r="M2775" s="6"/>
      <c r="N2775" s="6"/>
      <c r="O2775" s="7"/>
      <c r="P2775" s="6"/>
      <c r="Q2775" s="6"/>
      <c r="R2775" s="12"/>
      <c r="S2775" s="12"/>
      <c r="T2775" s="12"/>
      <c r="U2775" s="7"/>
      <c r="V2775" s="6"/>
      <c r="W2775" s="6"/>
      <c r="X2775" s="12"/>
      <c r="Y2775" s="6"/>
      <c r="Z2775" s="6"/>
      <c r="AA2775" s="7"/>
      <c r="AB2775" s="6"/>
      <c r="AC2775" s="6"/>
      <c r="AD2775" s="6"/>
      <c r="AE2775" s="12"/>
      <c r="AF2775" s="12"/>
      <c r="AG2775" s="12"/>
      <c r="AH2775" s="12"/>
      <c r="AI2775" s="6"/>
      <c r="AJ2775" s="12"/>
      <c r="AK2775" s="24"/>
      <c r="AL2775" s="25"/>
      <c r="AM2775" s="12"/>
      <c r="AN2775" s="1"/>
      <c r="AO2775" s="6"/>
    </row>
    <row r="2776" spans="1:41" ht="15" x14ac:dyDescent="0.25">
      <c r="A2776" s="1"/>
      <c r="B2776" s="1"/>
      <c r="C2776" s="1"/>
      <c r="D2776" s="1"/>
      <c r="E2776" s="6"/>
      <c r="F2776" s="1"/>
      <c r="G2776" s="6"/>
      <c r="H2776" s="6"/>
      <c r="I2776" s="6"/>
      <c r="J2776" s="6"/>
      <c r="K2776" s="6"/>
      <c r="L2776" s="6"/>
      <c r="M2776" s="6"/>
      <c r="N2776" s="6"/>
      <c r="O2776" s="7"/>
      <c r="P2776" s="6"/>
      <c r="Q2776" s="6"/>
      <c r="R2776" s="7"/>
      <c r="S2776" s="6"/>
      <c r="T2776" s="6"/>
      <c r="U2776" s="7"/>
      <c r="V2776" s="6"/>
      <c r="W2776" s="6"/>
      <c r="X2776" s="6"/>
      <c r="Y2776" s="6"/>
      <c r="Z2776" s="6"/>
      <c r="AA2776" s="7"/>
      <c r="AB2776" s="6"/>
      <c r="AC2776" s="6"/>
      <c r="AD2776" s="6"/>
      <c r="AE2776" s="12"/>
      <c r="AF2776" s="6"/>
      <c r="AG2776" s="12"/>
      <c r="AH2776" s="6"/>
      <c r="AI2776" s="6"/>
      <c r="AJ2776" s="12"/>
      <c r="AK2776" s="24"/>
      <c r="AL2776" s="25"/>
      <c r="AM2776" s="12"/>
      <c r="AN2776" s="1"/>
      <c r="AO2776" s="6"/>
    </row>
    <row r="2777" spans="1:41" ht="15" x14ac:dyDescent="0.25">
      <c r="A2777" s="1"/>
      <c r="B2777" s="1"/>
      <c r="C2777" s="1"/>
      <c r="D2777" s="1"/>
      <c r="E2777" s="6"/>
      <c r="F2777" s="1"/>
      <c r="G2777" s="6"/>
      <c r="H2777" s="6"/>
      <c r="I2777" s="6"/>
      <c r="J2777" s="6"/>
      <c r="K2777" s="6"/>
      <c r="L2777" s="6"/>
      <c r="M2777" s="6"/>
      <c r="N2777" s="6"/>
      <c r="O2777" s="7"/>
      <c r="P2777" s="6"/>
      <c r="Q2777" s="6"/>
      <c r="R2777" s="7"/>
      <c r="S2777" s="6"/>
      <c r="T2777" s="6"/>
      <c r="U2777" s="7"/>
      <c r="V2777" s="6"/>
      <c r="W2777" s="6"/>
      <c r="X2777" s="12"/>
      <c r="Y2777" s="6"/>
      <c r="Z2777" s="6"/>
      <c r="AA2777" s="7"/>
      <c r="AB2777" s="6"/>
      <c r="AC2777" s="6"/>
      <c r="AD2777" s="6"/>
      <c r="AE2777" s="12"/>
      <c r="AF2777" s="12"/>
      <c r="AG2777" s="12"/>
      <c r="AH2777" s="12"/>
      <c r="AI2777" s="6"/>
      <c r="AJ2777" s="12"/>
      <c r="AK2777" s="1"/>
      <c r="AL2777" s="12"/>
      <c r="AM2777" s="12"/>
      <c r="AN2777" s="1"/>
      <c r="AO2777" s="6"/>
    </row>
    <row r="2778" spans="1:41" ht="15" x14ac:dyDescent="0.25">
      <c r="A2778" s="1"/>
      <c r="B2778" s="1"/>
      <c r="C2778" s="1"/>
      <c r="D2778" s="1"/>
      <c r="E2778" s="6"/>
      <c r="F2778" s="1"/>
      <c r="G2778" s="6"/>
      <c r="H2778" s="6"/>
      <c r="I2778" s="6"/>
      <c r="J2778" s="6"/>
      <c r="K2778" s="6"/>
      <c r="L2778" s="6"/>
      <c r="M2778" s="6"/>
      <c r="N2778" s="6"/>
      <c r="O2778" s="7"/>
      <c r="P2778" s="12"/>
      <c r="Q2778" s="6"/>
      <c r="R2778" s="7"/>
      <c r="S2778" s="6"/>
      <c r="T2778" s="6"/>
      <c r="U2778" s="7"/>
      <c r="V2778" s="6"/>
      <c r="W2778" s="6"/>
      <c r="X2778" s="6"/>
      <c r="Y2778" s="6"/>
      <c r="Z2778" s="6"/>
      <c r="AA2778" s="7"/>
      <c r="AB2778" s="6"/>
      <c r="AC2778" s="6"/>
      <c r="AD2778" s="6"/>
      <c r="AE2778" s="12"/>
      <c r="AF2778" s="6"/>
      <c r="AG2778" s="12"/>
      <c r="AH2778" s="6"/>
      <c r="AI2778" s="6"/>
      <c r="AJ2778" s="12"/>
      <c r="AK2778" s="24"/>
      <c r="AL2778" s="25"/>
      <c r="AM2778" s="12"/>
      <c r="AN2778" s="1"/>
      <c r="AO2778" s="6"/>
    </row>
    <row r="2779" spans="1:41" ht="15" x14ac:dyDescent="0.25">
      <c r="A2779" s="1"/>
      <c r="B2779" s="1"/>
      <c r="C2779" s="1"/>
      <c r="D2779" s="1"/>
      <c r="E2779" s="6"/>
      <c r="F2779" s="1"/>
      <c r="G2779" s="6"/>
      <c r="H2779" s="6"/>
      <c r="I2779" s="6"/>
      <c r="J2779" s="6"/>
      <c r="K2779" s="6"/>
      <c r="L2779" s="6"/>
      <c r="M2779" s="6"/>
      <c r="N2779" s="6"/>
      <c r="O2779" s="7"/>
      <c r="P2779" s="6"/>
      <c r="Q2779" s="7"/>
      <c r="R2779" s="6"/>
      <c r="S2779" s="6"/>
      <c r="T2779" s="6"/>
      <c r="U2779" s="6"/>
      <c r="V2779" s="7"/>
      <c r="W2779" s="6"/>
      <c r="X2779" s="6"/>
      <c r="Y2779" s="6"/>
      <c r="Z2779" s="6"/>
      <c r="AA2779" s="24"/>
      <c r="AB2779" s="25"/>
      <c r="AC2779" s="12"/>
      <c r="AD2779" s="12"/>
      <c r="AE2779" s="12"/>
      <c r="AF2779" s="6"/>
      <c r="AG2779" s="12"/>
      <c r="AH2779" s="6"/>
      <c r="AI2779" s="6"/>
      <c r="AJ2779" s="12"/>
      <c r="AK2779" s="12"/>
      <c r="AL2779" s="12"/>
      <c r="AM2779" s="12"/>
      <c r="AN2779" s="1"/>
      <c r="AO2779" s="6"/>
    </row>
    <row r="2780" spans="1:41" ht="15" x14ac:dyDescent="0.25">
      <c r="A2780" s="1"/>
      <c r="B2780" s="1"/>
      <c r="C2780" s="1"/>
      <c r="D2780" s="1"/>
      <c r="E2780" s="6"/>
      <c r="F2780" s="1"/>
      <c r="G2780" s="6"/>
      <c r="H2780" s="6"/>
      <c r="I2780" s="6"/>
      <c r="J2780" s="6"/>
      <c r="K2780" s="6"/>
      <c r="L2780" s="6"/>
      <c r="M2780" s="6"/>
      <c r="N2780" s="6"/>
      <c r="O2780" s="7"/>
      <c r="P2780" s="6"/>
      <c r="Q2780" s="6"/>
      <c r="R2780" s="7"/>
      <c r="S2780" s="6"/>
      <c r="T2780" s="6"/>
      <c r="U2780" s="7"/>
      <c r="V2780" s="6"/>
      <c r="W2780" s="6"/>
      <c r="X2780" s="12"/>
      <c r="Y2780" s="6"/>
      <c r="Z2780" s="6"/>
      <c r="AA2780" s="7"/>
      <c r="AB2780" s="6"/>
      <c r="AC2780" s="6"/>
      <c r="AD2780" s="6"/>
      <c r="AE2780" s="12"/>
      <c r="AF2780" s="12"/>
      <c r="AG2780" s="12"/>
      <c r="AH2780" s="12"/>
      <c r="AI2780" s="6"/>
      <c r="AJ2780" s="12"/>
      <c r="AK2780" s="1"/>
      <c r="AL2780" s="12"/>
      <c r="AM2780" s="12"/>
      <c r="AN2780" s="1"/>
      <c r="AO2780" s="6"/>
    </row>
    <row r="2781" spans="1:41" ht="15" x14ac:dyDescent="0.25">
      <c r="A2781" s="1"/>
      <c r="B2781" s="1"/>
      <c r="C2781" s="1"/>
      <c r="D2781" s="1"/>
      <c r="E2781" s="6"/>
      <c r="F2781" s="1"/>
      <c r="G2781" s="6"/>
      <c r="H2781" s="6"/>
      <c r="I2781" s="6"/>
      <c r="J2781" s="6"/>
      <c r="K2781" s="12"/>
      <c r="L2781" s="12"/>
      <c r="M2781" s="6"/>
      <c r="N2781" s="6"/>
      <c r="O2781" s="7"/>
      <c r="P2781" s="6"/>
      <c r="Q2781" s="6"/>
      <c r="R2781" s="7"/>
      <c r="S2781" s="6"/>
      <c r="T2781" s="6"/>
      <c r="U2781" s="7"/>
      <c r="V2781" s="6"/>
      <c r="W2781" s="6"/>
      <c r="X2781" s="6"/>
      <c r="Y2781" s="6"/>
      <c r="Z2781" s="6"/>
      <c r="AA2781" s="7"/>
      <c r="AB2781" s="6"/>
      <c r="AC2781" s="6"/>
      <c r="AD2781" s="6"/>
      <c r="AE2781" s="12"/>
      <c r="AF2781" s="12"/>
      <c r="AG2781" s="12"/>
      <c r="AH2781" s="12"/>
      <c r="AI2781" s="6"/>
      <c r="AJ2781" s="12"/>
      <c r="AK2781" s="1"/>
      <c r="AL2781" s="12"/>
      <c r="AM2781" s="12"/>
      <c r="AN2781" s="1"/>
      <c r="AO2781" s="6"/>
    </row>
    <row r="2782" spans="1:41" ht="15" x14ac:dyDescent="0.25">
      <c r="A2782" s="1"/>
      <c r="B2782" s="1"/>
      <c r="C2782" s="1"/>
      <c r="D2782" s="1"/>
      <c r="E2782" s="6"/>
      <c r="F2782" s="1"/>
      <c r="G2782" s="6"/>
      <c r="H2782" s="6"/>
      <c r="I2782" s="6"/>
      <c r="J2782" s="6"/>
      <c r="K2782" s="6"/>
      <c r="L2782" s="6"/>
      <c r="M2782" s="6"/>
      <c r="N2782" s="6"/>
      <c r="O2782" s="7"/>
      <c r="P2782" s="6"/>
      <c r="Q2782" s="6"/>
      <c r="R2782" s="7"/>
      <c r="S2782" s="6"/>
      <c r="T2782" s="6"/>
      <c r="U2782" s="7"/>
      <c r="V2782" s="6"/>
      <c r="W2782" s="6"/>
      <c r="X2782" s="6"/>
      <c r="Y2782" s="6"/>
      <c r="Z2782" s="6"/>
      <c r="AA2782" s="7"/>
      <c r="AB2782" s="6"/>
      <c r="AC2782" s="6"/>
      <c r="AD2782" s="6"/>
      <c r="AE2782" s="12"/>
      <c r="AF2782" s="12"/>
      <c r="AG2782" s="12"/>
      <c r="AH2782" s="12"/>
      <c r="AI2782" s="6"/>
      <c r="AJ2782" s="12"/>
      <c r="AK2782" s="1"/>
      <c r="AL2782" s="12"/>
      <c r="AM2782" s="12"/>
      <c r="AN2782" s="1"/>
      <c r="AO2782" s="6"/>
    </row>
    <row r="2783" spans="1:41" ht="15" x14ac:dyDescent="0.25">
      <c r="A2783" s="1"/>
      <c r="B2783" s="1"/>
      <c r="C2783" s="1"/>
      <c r="D2783" s="1"/>
      <c r="E2783" s="6"/>
      <c r="F2783" s="1"/>
      <c r="G2783" s="6"/>
      <c r="H2783" s="6"/>
      <c r="I2783" s="6"/>
      <c r="J2783" s="6"/>
      <c r="K2783" s="6"/>
      <c r="L2783" s="6"/>
      <c r="M2783" s="6"/>
      <c r="N2783" s="6"/>
      <c r="O2783" s="7"/>
      <c r="P2783" s="6"/>
      <c r="Q2783" s="6"/>
      <c r="R2783" s="7"/>
      <c r="S2783" s="6"/>
      <c r="T2783" s="6"/>
      <c r="U2783" s="7"/>
      <c r="V2783" s="6"/>
      <c r="W2783" s="6"/>
      <c r="X2783" s="6"/>
      <c r="Y2783" s="6"/>
      <c r="Z2783" s="6"/>
      <c r="AA2783" s="7"/>
      <c r="AB2783" s="6"/>
      <c r="AC2783" s="6"/>
      <c r="AD2783" s="6"/>
      <c r="AE2783" s="12"/>
      <c r="AF2783" s="12"/>
      <c r="AG2783" s="12"/>
      <c r="AH2783" s="12"/>
      <c r="AI2783" s="6"/>
      <c r="AJ2783" s="12"/>
      <c r="AK2783" s="1"/>
      <c r="AL2783" s="12"/>
      <c r="AM2783" s="12"/>
      <c r="AN2783" s="1"/>
      <c r="AO2783" s="6"/>
    </row>
    <row r="2784" spans="1:41" ht="15" x14ac:dyDescent="0.25">
      <c r="A2784" s="1"/>
      <c r="B2784" s="1"/>
      <c r="C2784" s="1"/>
      <c r="D2784" s="1"/>
      <c r="E2784" s="6"/>
      <c r="F2784" s="1"/>
      <c r="G2784" s="6"/>
      <c r="H2784" s="6"/>
      <c r="I2784" s="6"/>
      <c r="J2784" s="6"/>
      <c r="K2784" s="6"/>
      <c r="L2784" s="6"/>
      <c r="M2784" s="6"/>
      <c r="N2784" s="6"/>
      <c r="O2784" s="7"/>
      <c r="P2784" s="6"/>
      <c r="Q2784" s="6"/>
      <c r="R2784" s="7"/>
      <c r="S2784" s="6"/>
      <c r="T2784" s="6"/>
      <c r="U2784" s="7"/>
      <c r="V2784" s="6"/>
      <c r="W2784" s="6"/>
      <c r="X2784" s="12"/>
      <c r="Y2784" s="6"/>
      <c r="Z2784" s="6"/>
      <c r="AA2784" s="7"/>
      <c r="AB2784" s="6"/>
      <c r="AC2784" s="6"/>
      <c r="AD2784" s="6"/>
      <c r="AE2784" s="12"/>
      <c r="AF2784" s="6"/>
      <c r="AG2784" s="12"/>
      <c r="AH2784" s="6"/>
      <c r="AI2784" s="6"/>
      <c r="AJ2784" s="12"/>
      <c r="AK2784" s="1"/>
      <c r="AL2784" s="12"/>
      <c r="AM2784" s="12"/>
      <c r="AN2784" s="1"/>
      <c r="AO2784" s="6"/>
    </row>
    <row r="2785" spans="1:41" ht="15" x14ac:dyDescent="0.25">
      <c r="A2785" s="1"/>
      <c r="B2785" s="1"/>
      <c r="C2785" s="1"/>
      <c r="D2785" s="1"/>
      <c r="E2785" s="6"/>
      <c r="F2785" s="1"/>
      <c r="G2785" s="6"/>
      <c r="H2785" s="6"/>
      <c r="I2785" s="6"/>
      <c r="J2785" s="6"/>
      <c r="K2785" s="6"/>
      <c r="L2785" s="6"/>
      <c r="M2785" s="6"/>
      <c r="N2785" s="6"/>
      <c r="O2785" s="7"/>
      <c r="P2785" s="6"/>
      <c r="Q2785" s="6"/>
      <c r="R2785" s="15"/>
      <c r="S2785" s="6"/>
      <c r="T2785" s="6"/>
      <c r="U2785" s="15"/>
      <c r="V2785" s="6"/>
      <c r="W2785" s="6"/>
      <c r="X2785" s="6"/>
      <c r="Y2785" s="12"/>
      <c r="Z2785" s="6"/>
      <c r="AA2785" s="7"/>
      <c r="AB2785" s="6"/>
      <c r="AC2785" s="6"/>
      <c r="AD2785" s="6"/>
      <c r="AE2785" s="12"/>
      <c r="AF2785" s="12"/>
      <c r="AG2785" s="12"/>
      <c r="AH2785" s="12"/>
      <c r="AI2785" s="6"/>
      <c r="AJ2785" s="12"/>
      <c r="AK2785" s="1"/>
      <c r="AL2785" s="12"/>
      <c r="AM2785" s="12"/>
      <c r="AN2785" s="1"/>
      <c r="AO2785" s="6"/>
    </row>
    <row r="2786" spans="1:41" ht="15" x14ac:dyDescent="0.25">
      <c r="A2786" s="1"/>
      <c r="B2786" s="1"/>
      <c r="C2786" s="1"/>
      <c r="D2786" s="1"/>
      <c r="E2786" s="6"/>
      <c r="F2786" s="1"/>
      <c r="G2786" s="6"/>
      <c r="H2786" s="6"/>
      <c r="I2786" s="6"/>
      <c r="J2786" s="6"/>
      <c r="K2786" s="12"/>
      <c r="L2786" s="12"/>
      <c r="M2786" s="6"/>
      <c r="N2786" s="6"/>
      <c r="O2786" s="7"/>
      <c r="P2786" s="6"/>
      <c r="Q2786" s="6"/>
      <c r="R2786" s="7"/>
      <c r="S2786" s="6"/>
      <c r="T2786" s="6"/>
      <c r="U2786" s="7"/>
      <c r="V2786" s="6"/>
      <c r="W2786" s="6"/>
      <c r="X2786" s="6"/>
      <c r="Y2786" s="6"/>
      <c r="Z2786" s="6"/>
      <c r="AA2786" s="7"/>
      <c r="AB2786" s="6"/>
      <c r="AC2786" s="6"/>
      <c r="AD2786" s="6"/>
      <c r="AE2786" s="12"/>
      <c r="AF2786" s="12"/>
      <c r="AG2786" s="12"/>
      <c r="AH2786" s="12"/>
      <c r="AI2786" s="6"/>
      <c r="AJ2786" s="12"/>
      <c r="AK2786" s="1"/>
      <c r="AL2786" s="12"/>
      <c r="AM2786" s="12"/>
      <c r="AN2786" s="1"/>
      <c r="AO2786" s="6"/>
    </row>
    <row r="2787" spans="1:41" ht="15" x14ac:dyDescent="0.25">
      <c r="A2787" s="1"/>
      <c r="B2787" s="1"/>
      <c r="C2787" s="1"/>
      <c r="D2787" s="1"/>
      <c r="E2787" s="6"/>
      <c r="F2787" s="1"/>
      <c r="G2787" s="6"/>
      <c r="H2787" s="6"/>
      <c r="I2787" s="6"/>
      <c r="J2787" s="6"/>
      <c r="K2787" s="6"/>
      <c r="L2787" s="6"/>
      <c r="M2787" s="6"/>
      <c r="N2787" s="6"/>
      <c r="O2787" s="7"/>
      <c r="P2787" s="12"/>
      <c r="Q2787" s="6"/>
      <c r="R2787" s="7"/>
      <c r="S2787" s="6"/>
      <c r="T2787" s="6"/>
      <c r="U2787" s="7"/>
      <c r="V2787" s="6"/>
      <c r="W2787" s="6"/>
      <c r="X2787" s="12"/>
      <c r="Y2787" s="6"/>
      <c r="Z2787" s="6"/>
      <c r="AA2787" s="7"/>
      <c r="AB2787" s="6"/>
      <c r="AC2787" s="6"/>
      <c r="AD2787" s="6"/>
      <c r="AE2787" s="12"/>
      <c r="AF2787" s="12"/>
      <c r="AG2787" s="12"/>
      <c r="AH2787" s="12"/>
      <c r="AI2787" s="6"/>
      <c r="AJ2787" s="12"/>
      <c r="AK2787" s="1"/>
      <c r="AL2787" s="12"/>
      <c r="AM2787" s="12"/>
      <c r="AN2787" s="1"/>
      <c r="AO2787" s="6"/>
    </row>
    <row r="2788" spans="1:41" ht="15" x14ac:dyDescent="0.25">
      <c r="A2788" s="1"/>
      <c r="B2788" s="1"/>
      <c r="C2788" s="1"/>
      <c r="D2788" s="1"/>
      <c r="E2788" s="6"/>
      <c r="F2788" s="1"/>
      <c r="G2788" s="6"/>
      <c r="H2788" s="6"/>
      <c r="I2788" s="6"/>
      <c r="J2788" s="6"/>
      <c r="K2788" s="6"/>
      <c r="L2788" s="6"/>
      <c r="M2788" s="6"/>
      <c r="N2788" s="6"/>
      <c r="O2788" s="7"/>
      <c r="P2788" s="6"/>
      <c r="Q2788" s="6"/>
      <c r="R2788" s="7"/>
      <c r="S2788" s="6"/>
      <c r="T2788" s="6"/>
      <c r="U2788" s="7"/>
      <c r="V2788" s="6"/>
      <c r="W2788" s="6"/>
      <c r="X2788" s="6"/>
      <c r="Y2788" s="6"/>
      <c r="Z2788" s="6"/>
      <c r="AA2788" s="7"/>
      <c r="AB2788" s="6"/>
      <c r="AC2788" s="6"/>
      <c r="AD2788" s="6"/>
      <c r="AE2788" s="12"/>
      <c r="AF2788" s="12"/>
      <c r="AG2788" s="12"/>
      <c r="AH2788" s="12"/>
      <c r="AI2788" s="6"/>
      <c r="AJ2788" s="12"/>
      <c r="AK2788" s="1"/>
      <c r="AL2788" s="12"/>
      <c r="AM2788" s="12"/>
      <c r="AN2788" s="1"/>
      <c r="AO2788" s="6"/>
    </row>
    <row r="2789" spans="1:41" ht="15" x14ac:dyDescent="0.25">
      <c r="A2789" s="1"/>
      <c r="B2789" s="1"/>
      <c r="C2789" s="1"/>
      <c r="D2789" s="1"/>
      <c r="E2789" s="6"/>
      <c r="F2789" s="1"/>
      <c r="G2789" s="6"/>
      <c r="H2789" s="6"/>
      <c r="I2789" s="6"/>
      <c r="J2789" s="6"/>
      <c r="K2789" s="6"/>
      <c r="L2789" s="6"/>
      <c r="M2789" s="6"/>
      <c r="N2789" s="6"/>
      <c r="O2789" s="7"/>
      <c r="P2789" s="6"/>
      <c r="Q2789" s="6"/>
      <c r="R2789" s="7"/>
      <c r="S2789" s="6"/>
      <c r="T2789" s="6"/>
      <c r="U2789" s="7"/>
      <c r="V2789" s="6"/>
      <c r="W2789" s="6"/>
      <c r="X2789" s="6"/>
      <c r="Y2789" s="6"/>
      <c r="Z2789" s="6"/>
      <c r="AA2789" s="7"/>
      <c r="AB2789" s="6"/>
      <c r="AC2789" s="6"/>
      <c r="AD2789" s="6"/>
      <c r="AE2789" s="12"/>
      <c r="AF2789" s="12"/>
      <c r="AG2789" s="12"/>
      <c r="AH2789" s="12"/>
      <c r="AI2789" s="6"/>
      <c r="AJ2789" s="12"/>
      <c r="AK2789" s="1"/>
      <c r="AL2789" s="12"/>
      <c r="AM2789" s="12"/>
      <c r="AN2789" s="1"/>
      <c r="AO2789" s="6"/>
    </row>
    <row r="2790" spans="1:41" ht="15" x14ac:dyDescent="0.25">
      <c r="A2790" s="1"/>
      <c r="B2790" s="1"/>
      <c r="C2790" s="1"/>
      <c r="D2790" s="1"/>
      <c r="E2790" s="6"/>
      <c r="F2790" s="1"/>
      <c r="G2790" s="6"/>
      <c r="H2790" s="6"/>
      <c r="I2790" s="6"/>
      <c r="J2790" s="6"/>
      <c r="K2790" s="6"/>
      <c r="L2790" s="6"/>
      <c r="M2790" s="6"/>
      <c r="N2790" s="6"/>
      <c r="O2790" s="7"/>
      <c r="P2790" s="6"/>
      <c r="Q2790" s="6"/>
      <c r="R2790" s="7"/>
      <c r="S2790" s="6"/>
      <c r="T2790" s="6"/>
      <c r="U2790" s="7"/>
      <c r="V2790" s="6"/>
      <c r="W2790" s="6"/>
      <c r="X2790" s="6"/>
      <c r="Y2790" s="6"/>
      <c r="Z2790" s="6"/>
      <c r="AA2790" s="7"/>
      <c r="AB2790" s="6"/>
      <c r="AC2790" s="6"/>
      <c r="AD2790" s="6"/>
      <c r="AE2790" s="12"/>
      <c r="AF2790" s="12"/>
      <c r="AG2790" s="12"/>
      <c r="AH2790" s="12"/>
      <c r="AI2790" s="6"/>
      <c r="AJ2790" s="12"/>
      <c r="AK2790" s="1"/>
      <c r="AL2790" s="12"/>
      <c r="AM2790" s="12"/>
      <c r="AN2790" s="1"/>
      <c r="AO2790" s="6"/>
    </row>
    <row r="2791" spans="1:41" ht="15" x14ac:dyDescent="0.25">
      <c r="A2791" s="1"/>
      <c r="B2791" s="1"/>
      <c r="C2791" s="1"/>
      <c r="D2791" s="1"/>
      <c r="E2791" s="6"/>
      <c r="F2791" s="1"/>
      <c r="G2791" s="6"/>
      <c r="H2791" s="6"/>
      <c r="I2791" s="6"/>
      <c r="J2791" s="6"/>
      <c r="K2791" s="6"/>
      <c r="L2791" s="6"/>
      <c r="M2791" s="6"/>
      <c r="N2791" s="6"/>
      <c r="O2791" s="7"/>
      <c r="P2791" s="12"/>
      <c r="Q2791" s="6"/>
      <c r="R2791" s="7"/>
      <c r="S2791" s="6"/>
      <c r="T2791" s="6"/>
      <c r="U2791" s="7"/>
      <c r="V2791" s="6"/>
      <c r="W2791" s="6"/>
      <c r="X2791" s="6"/>
      <c r="Y2791" s="6"/>
      <c r="Z2791" s="6"/>
      <c r="AA2791" s="7"/>
      <c r="AB2791" s="6"/>
      <c r="AC2791" s="6"/>
      <c r="AD2791" s="6"/>
      <c r="AE2791" s="12"/>
      <c r="AF2791" s="6"/>
      <c r="AG2791" s="12"/>
      <c r="AH2791" s="6"/>
      <c r="AI2791" s="6"/>
      <c r="AJ2791" s="12"/>
      <c r="AK2791" s="24"/>
      <c r="AL2791" s="25"/>
      <c r="AM2791" s="12"/>
      <c r="AN2791" s="1"/>
      <c r="AO2791" s="6"/>
    </row>
    <row r="2792" spans="1:41" ht="15" x14ac:dyDescent="0.25">
      <c r="A2792" s="1"/>
      <c r="B2792" s="1"/>
      <c r="C2792" s="1"/>
      <c r="D2792" s="1"/>
      <c r="E2792" s="6"/>
      <c r="F2792" s="1"/>
      <c r="G2792" s="6"/>
      <c r="H2792" s="6"/>
      <c r="I2792" s="6"/>
      <c r="J2792" s="6"/>
      <c r="K2792" s="6"/>
      <c r="L2792" s="6"/>
      <c r="M2792" s="6"/>
      <c r="N2792" s="6"/>
      <c r="O2792" s="7"/>
      <c r="P2792" s="6"/>
      <c r="Q2792" s="7"/>
      <c r="R2792" s="6"/>
      <c r="S2792" s="6"/>
      <c r="T2792" s="6"/>
      <c r="U2792" s="6"/>
      <c r="V2792" s="7"/>
      <c r="W2792" s="6"/>
      <c r="X2792" s="6"/>
      <c r="Y2792" s="6"/>
      <c r="Z2792" s="6"/>
      <c r="AA2792" s="1"/>
      <c r="AB2792" s="12"/>
      <c r="AC2792" s="12"/>
      <c r="AD2792" s="12"/>
      <c r="AE2792" s="12"/>
      <c r="AF2792" s="6"/>
      <c r="AG2792" s="12"/>
      <c r="AH2792" s="6"/>
      <c r="AI2792" s="6"/>
      <c r="AJ2792" s="12"/>
      <c r="AK2792" s="12"/>
      <c r="AL2792" s="12"/>
      <c r="AM2792" s="12"/>
      <c r="AN2792" s="1"/>
      <c r="AO2792" s="6"/>
    </row>
    <row r="2793" spans="1:41" ht="15" x14ac:dyDescent="0.25">
      <c r="A2793" s="1"/>
      <c r="B2793" s="1"/>
      <c r="C2793" s="1"/>
      <c r="D2793" s="1"/>
      <c r="E2793" s="6"/>
      <c r="F2793" s="1"/>
      <c r="G2793" s="6"/>
      <c r="H2793" s="6"/>
      <c r="I2793" s="6"/>
      <c r="J2793" s="6"/>
      <c r="K2793" s="6"/>
      <c r="L2793" s="6"/>
      <c r="M2793" s="6"/>
      <c r="N2793" s="6"/>
      <c r="O2793" s="7"/>
      <c r="P2793" s="6"/>
      <c r="Q2793" s="6"/>
      <c r="R2793" s="7"/>
      <c r="S2793" s="6"/>
      <c r="T2793" s="6"/>
      <c r="U2793" s="7"/>
      <c r="V2793" s="6"/>
      <c r="W2793" s="6"/>
      <c r="X2793" s="12"/>
      <c r="Y2793" s="6"/>
      <c r="Z2793" s="6"/>
      <c r="AA2793" s="7"/>
      <c r="AB2793" s="6"/>
      <c r="AC2793" s="6"/>
      <c r="AD2793" s="6"/>
      <c r="AE2793" s="12"/>
      <c r="AF2793" s="6"/>
      <c r="AG2793" s="12"/>
      <c r="AH2793" s="6"/>
      <c r="AI2793" s="6"/>
      <c r="AJ2793" s="12"/>
      <c r="AK2793" s="1"/>
      <c r="AL2793" s="12"/>
      <c r="AM2793" s="12"/>
      <c r="AN2793" s="1"/>
      <c r="AO2793" s="6"/>
    </row>
    <row r="2794" spans="1:41" ht="15" x14ac:dyDescent="0.25">
      <c r="A2794" s="1"/>
      <c r="B2794" s="1"/>
      <c r="C2794" s="1"/>
      <c r="D2794" s="1"/>
      <c r="E2794" s="6"/>
      <c r="F2794" s="1"/>
      <c r="G2794" s="6"/>
      <c r="H2794" s="6"/>
      <c r="I2794" s="6"/>
      <c r="J2794" s="6"/>
      <c r="K2794" s="6"/>
      <c r="L2794" s="6"/>
      <c r="M2794" s="6"/>
      <c r="N2794" s="6"/>
      <c r="O2794" s="7"/>
      <c r="P2794" s="6"/>
      <c r="Q2794" s="7"/>
      <c r="R2794" s="6"/>
      <c r="S2794" s="12"/>
      <c r="T2794" s="6"/>
      <c r="U2794" s="6"/>
      <c r="V2794" s="7"/>
      <c r="W2794" s="7"/>
      <c r="X2794" s="6"/>
      <c r="Y2794" s="6"/>
      <c r="Z2794" s="6"/>
      <c r="AA2794" s="24"/>
      <c r="AB2794" s="25"/>
      <c r="AC2794" s="12"/>
      <c r="AD2794" s="12"/>
      <c r="AE2794" s="12"/>
      <c r="AF2794" s="6"/>
      <c r="AG2794" s="12"/>
      <c r="AH2794" s="6"/>
      <c r="AI2794" s="6"/>
      <c r="AJ2794" s="12"/>
      <c r="AK2794" s="12"/>
      <c r="AL2794" s="12"/>
      <c r="AM2794" s="12"/>
      <c r="AN2794" s="1"/>
      <c r="AO2794" s="6"/>
    </row>
    <row r="2795" spans="1:41" ht="15" x14ac:dyDescent="0.25">
      <c r="A2795" s="1"/>
      <c r="B2795" s="1"/>
      <c r="C2795" s="1"/>
      <c r="D2795" s="1"/>
      <c r="E2795" s="6"/>
      <c r="F2795" s="1"/>
      <c r="G2795" s="6"/>
      <c r="H2795" s="6"/>
      <c r="I2795" s="6"/>
      <c r="J2795" s="6"/>
      <c r="K2795" s="6"/>
      <c r="L2795" s="6"/>
      <c r="M2795" s="6"/>
      <c r="N2795" s="6"/>
      <c r="O2795" s="7"/>
      <c r="P2795" s="6"/>
      <c r="Q2795" s="6"/>
      <c r="R2795" s="7"/>
      <c r="S2795" s="6"/>
      <c r="T2795" s="6"/>
      <c r="U2795" s="7"/>
      <c r="V2795" s="6"/>
      <c r="W2795" s="6"/>
      <c r="X2795" s="6"/>
      <c r="Y2795" s="6"/>
      <c r="Z2795" s="6"/>
      <c r="AA2795" s="7"/>
      <c r="AB2795" s="6"/>
      <c r="AC2795" s="6"/>
      <c r="AD2795" s="6"/>
      <c r="AE2795" s="12"/>
      <c r="AF2795" s="12"/>
      <c r="AG2795" s="12"/>
      <c r="AH2795" s="12"/>
      <c r="AI2795" s="6"/>
      <c r="AJ2795" s="12"/>
      <c r="AK2795" s="1"/>
      <c r="AL2795" s="12"/>
      <c r="AM2795" s="12"/>
      <c r="AN2795" s="1"/>
      <c r="AO2795" s="6"/>
    </row>
    <row r="2796" spans="1:41" ht="15" x14ac:dyDescent="0.25">
      <c r="A2796" s="1"/>
      <c r="B2796" s="1"/>
      <c r="C2796" s="1"/>
      <c r="D2796" s="1"/>
      <c r="E2796" s="6"/>
      <c r="F2796" s="1"/>
      <c r="G2796" s="6"/>
      <c r="H2796" s="6"/>
      <c r="I2796" s="6"/>
      <c r="J2796" s="6"/>
      <c r="K2796" s="6"/>
      <c r="L2796" s="6"/>
      <c r="M2796" s="6"/>
      <c r="N2796" s="6"/>
      <c r="O2796" s="7"/>
      <c r="P2796" s="6"/>
      <c r="Q2796" s="6"/>
      <c r="R2796" s="15"/>
      <c r="S2796" s="6"/>
      <c r="T2796" s="6"/>
      <c r="U2796" s="15"/>
      <c r="V2796" s="6"/>
      <c r="W2796" s="6"/>
      <c r="X2796" s="6"/>
      <c r="Y2796" s="6"/>
      <c r="Z2796" s="6"/>
      <c r="AA2796" s="7"/>
      <c r="AB2796" s="6"/>
      <c r="AC2796" s="6"/>
      <c r="AD2796" s="6"/>
      <c r="AE2796" s="12"/>
      <c r="AF2796" s="12"/>
      <c r="AG2796" s="12"/>
      <c r="AH2796" s="12"/>
      <c r="AI2796" s="6"/>
      <c r="AJ2796" s="12"/>
      <c r="AK2796" s="1"/>
      <c r="AL2796" s="12"/>
      <c r="AM2796" s="12"/>
      <c r="AN2796" s="1"/>
      <c r="AO2796" s="6"/>
    </row>
    <row r="2797" spans="1:41" ht="15" x14ac:dyDescent="0.25">
      <c r="A2797" s="1"/>
      <c r="B2797" s="1"/>
      <c r="C2797" s="1"/>
      <c r="D2797" s="1"/>
      <c r="E2797" s="6"/>
      <c r="F2797" s="1"/>
      <c r="G2797" s="6"/>
      <c r="H2797" s="6"/>
      <c r="I2797" s="6"/>
      <c r="J2797" s="6"/>
      <c r="K2797" s="6"/>
      <c r="L2797" s="6"/>
      <c r="M2797" s="6"/>
      <c r="N2797" s="6"/>
      <c r="O2797" s="7"/>
      <c r="P2797" s="6"/>
      <c r="Q2797" s="6"/>
      <c r="R2797" s="7"/>
      <c r="S2797" s="6"/>
      <c r="T2797" s="6"/>
      <c r="U2797" s="7"/>
      <c r="V2797" s="6"/>
      <c r="W2797" s="6"/>
      <c r="X2797" s="6"/>
      <c r="Y2797" s="6"/>
      <c r="Z2797" s="6"/>
      <c r="AA2797" s="7"/>
      <c r="AB2797" s="6"/>
      <c r="AC2797" s="6"/>
      <c r="AD2797" s="6"/>
      <c r="AE2797" s="12"/>
      <c r="AF2797" s="6"/>
      <c r="AG2797" s="12"/>
      <c r="AH2797" s="6"/>
      <c r="AI2797" s="6"/>
      <c r="AJ2797" s="12"/>
      <c r="AK2797" s="24"/>
      <c r="AL2797" s="25"/>
      <c r="AM2797" s="12"/>
      <c r="AN2797" s="1"/>
      <c r="AO2797" s="6"/>
    </row>
    <row r="2798" spans="1:41" ht="15" x14ac:dyDescent="0.25">
      <c r="A2798" s="1"/>
      <c r="B2798" s="1"/>
      <c r="C2798" s="1"/>
      <c r="D2798" s="1"/>
      <c r="E2798" s="6"/>
      <c r="F2798" s="1"/>
      <c r="G2798" s="6"/>
      <c r="H2798" s="6"/>
      <c r="I2798" s="6"/>
      <c r="J2798" s="6"/>
      <c r="K2798" s="12"/>
      <c r="L2798" s="12"/>
      <c r="M2798" s="6"/>
      <c r="N2798" s="6"/>
      <c r="O2798" s="7"/>
      <c r="P2798" s="6"/>
      <c r="Q2798" s="6"/>
      <c r="R2798" s="7"/>
      <c r="S2798" s="6"/>
      <c r="T2798" s="6"/>
      <c r="U2798" s="7"/>
      <c r="V2798" s="6"/>
      <c r="W2798" s="6"/>
      <c r="X2798" s="12"/>
      <c r="Y2798" s="6"/>
      <c r="Z2798" s="6"/>
      <c r="AA2798" s="7"/>
      <c r="AB2798" s="6"/>
      <c r="AC2798" s="6"/>
      <c r="AD2798" s="6"/>
      <c r="AE2798" s="12"/>
      <c r="AF2798" s="12"/>
      <c r="AG2798" s="12"/>
      <c r="AH2798" s="12"/>
      <c r="AI2798" s="6"/>
      <c r="AJ2798" s="12"/>
      <c r="AK2798" s="1"/>
      <c r="AL2798" s="12"/>
      <c r="AM2798" s="12"/>
      <c r="AN2798" s="1"/>
      <c r="AO2798" s="6"/>
    </row>
    <row r="2799" spans="1:41" ht="15" x14ac:dyDescent="0.25">
      <c r="A2799" s="1"/>
      <c r="B2799" s="1"/>
      <c r="C2799" s="1"/>
      <c r="D2799" s="1"/>
      <c r="E2799" s="6"/>
      <c r="F2799" s="1"/>
      <c r="G2799" s="6"/>
      <c r="H2799" s="6"/>
      <c r="I2799" s="6"/>
      <c r="J2799" s="6"/>
      <c r="K2799" s="6"/>
      <c r="L2799" s="6"/>
      <c r="M2799" s="6"/>
      <c r="N2799" s="6"/>
      <c r="O2799" s="7"/>
      <c r="P2799" s="6"/>
      <c r="Q2799" s="7"/>
      <c r="R2799" s="6"/>
      <c r="S2799" s="12"/>
      <c r="T2799" s="6"/>
      <c r="U2799" s="6"/>
      <c r="V2799" s="7"/>
      <c r="W2799" s="7"/>
      <c r="X2799" s="6"/>
      <c r="Y2799" s="6"/>
      <c r="Z2799" s="6"/>
      <c r="AA2799" s="1"/>
      <c r="AB2799" s="12"/>
      <c r="AC2799" s="12"/>
      <c r="AD2799" s="12"/>
      <c r="AE2799" s="12"/>
      <c r="AF2799" s="12"/>
      <c r="AG2799" s="12"/>
      <c r="AH2799" s="12"/>
      <c r="AI2799" s="6"/>
      <c r="AJ2799" s="12"/>
      <c r="AK2799" s="12"/>
      <c r="AL2799" s="12"/>
      <c r="AM2799" s="12"/>
      <c r="AN2799" s="1"/>
      <c r="AO2799" s="6"/>
    </row>
    <row r="2800" spans="1:41" ht="15" x14ac:dyDescent="0.25">
      <c r="A2800" s="1"/>
      <c r="B2800" s="1"/>
      <c r="C2800" s="1"/>
      <c r="D2800" s="1"/>
      <c r="E2800" s="6"/>
      <c r="F2800" s="1"/>
      <c r="G2800" s="6"/>
      <c r="H2800" s="6"/>
      <c r="I2800" s="6"/>
      <c r="J2800" s="6"/>
      <c r="K2800" s="6"/>
      <c r="L2800" s="6"/>
      <c r="M2800" s="6"/>
      <c r="N2800" s="6"/>
      <c r="O2800" s="7"/>
      <c r="P2800" s="6"/>
      <c r="Q2800" s="6"/>
      <c r="R2800" s="7"/>
      <c r="S2800" s="6"/>
      <c r="T2800" s="6"/>
      <c r="U2800" s="7"/>
      <c r="V2800" s="6"/>
      <c r="W2800" s="6"/>
      <c r="X2800" s="12"/>
      <c r="Y2800" s="6"/>
      <c r="Z2800" s="6"/>
      <c r="AA2800" s="7"/>
      <c r="AB2800" s="6"/>
      <c r="AC2800" s="6"/>
      <c r="AD2800" s="6"/>
      <c r="AE2800" s="12"/>
      <c r="AF2800" s="12"/>
      <c r="AG2800" s="12"/>
      <c r="AH2800" s="12"/>
      <c r="AI2800" s="6"/>
      <c r="AJ2800" s="12"/>
      <c r="AK2800" s="1"/>
      <c r="AL2800" s="12"/>
      <c r="AM2800" s="12"/>
      <c r="AN2800" s="1"/>
      <c r="AO2800" s="6"/>
    </row>
    <row r="2801" spans="1:41" ht="15" x14ac:dyDescent="0.25">
      <c r="A2801" s="1"/>
      <c r="B2801" s="1"/>
      <c r="C2801" s="1"/>
      <c r="D2801" s="1"/>
      <c r="E2801" s="6"/>
      <c r="F2801" s="1"/>
      <c r="G2801" s="6"/>
      <c r="H2801" s="6"/>
      <c r="I2801" s="6"/>
      <c r="J2801" s="6"/>
      <c r="K2801" s="6"/>
      <c r="L2801" s="6"/>
      <c r="M2801" s="6"/>
      <c r="N2801" s="6"/>
      <c r="O2801" s="7"/>
      <c r="P2801" s="6"/>
      <c r="Q2801" s="6"/>
      <c r="R2801" s="7"/>
      <c r="S2801" s="6"/>
      <c r="T2801" s="6"/>
      <c r="U2801" s="7"/>
      <c r="V2801" s="6"/>
      <c r="W2801" s="6"/>
      <c r="X2801" s="6"/>
      <c r="Y2801" s="6"/>
      <c r="Z2801" s="6"/>
      <c r="AA2801" s="7"/>
      <c r="AB2801" s="6"/>
      <c r="AC2801" s="6"/>
      <c r="AD2801" s="6"/>
      <c r="AE2801" s="12"/>
      <c r="AF2801" s="6"/>
      <c r="AG2801" s="12"/>
      <c r="AH2801" s="6"/>
      <c r="AI2801" s="6"/>
      <c r="AJ2801" s="12"/>
      <c r="AK2801" s="24"/>
      <c r="AL2801" s="25"/>
      <c r="AM2801" s="12"/>
      <c r="AN2801" s="1"/>
      <c r="AO2801" s="6"/>
    </row>
    <row r="2802" spans="1:41" ht="15" x14ac:dyDescent="0.25">
      <c r="A2802" s="1"/>
      <c r="B2802" s="1"/>
      <c r="C2802" s="1"/>
      <c r="D2802" s="1"/>
      <c r="E2802" s="6"/>
      <c r="F2802" s="1"/>
      <c r="G2802" s="6"/>
      <c r="H2802" s="6"/>
      <c r="I2802" s="6"/>
      <c r="J2802" s="6"/>
      <c r="K2802" s="6"/>
      <c r="L2802" s="6"/>
      <c r="M2802" s="6"/>
      <c r="N2802" s="6"/>
      <c r="O2802" s="7"/>
      <c r="P2802" s="6"/>
      <c r="Q2802" s="6"/>
      <c r="R2802" s="7"/>
      <c r="S2802" s="6"/>
      <c r="T2802" s="6"/>
      <c r="U2802" s="7"/>
      <c r="V2802" s="6"/>
      <c r="W2802" s="6"/>
      <c r="X2802" s="6"/>
      <c r="Y2802" s="6"/>
      <c r="Z2802" s="6"/>
      <c r="AA2802" s="7"/>
      <c r="AB2802" s="6"/>
      <c r="AC2802" s="6"/>
      <c r="AD2802" s="6"/>
      <c r="AE2802" s="12"/>
      <c r="AF2802" s="6"/>
      <c r="AG2802" s="12"/>
      <c r="AH2802" s="6"/>
      <c r="AI2802" s="6"/>
      <c r="AJ2802" s="12"/>
      <c r="AK2802" s="24"/>
      <c r="AL2802" s="25"/>
      <c r="AM2802" s="12"/>
      <c r="AN2802" s="1"/>
      <c r="AO2802" s="6"/>
    </row>
    <row r="2803" spans="1:41" ht="15" x14ac:dyDescent="0.25">
      <c r="A2803" s="1"/>
      <c r="B2803" s="1"/>
      <c r="C2803" s="1"/>
      <c r="D2803" s="1"/>
      <c r="E2803" s="6"/>
      <c r="F2803" s="1"/>
      <c r="G2803" s="6"/>
      <c r="H2803" s="6"/>
      <c r="I2803" s="6"/>
      <c r="J2803" s="6"/>
      <c r="K2803" s="6"/>
      <c r="L2803" s="6"/>
      <c r="M2803" s="6"/>
      <c r="N2803" s="6"/>
      <c r="O2803" s="7"/>
      <c r="P2803" s="6"/>
      <c r="Q2803" s="7"/>
      <c r="R2803" s="6"/>
      <c r="S2803" s="6"/>
      <c r="T2803" s="6"/>
      <c r="U2803" s="6"/>
      <c r="V2803" s="7"/>
      <c r="W2803" s="7"/>
      <c r="X2803" s="6"/>
      <c r="Y2803" s="6"/>
      <c r="Z2803" s="6"/>
      <c r="AA2803" s="1"/>
      <c r="AB2803" s="12"/>
      <c r="AC2803" s="12"/>
      <c r="AD2803" s="12"/>
      <c r="AE2803" s="12"/>
      <c r="AF2803" s="12"/>
      <c r="AG2803" s="12"/>
      <c r="AH2803" s="12"/>
      <c r="AI2803" s="6"/>
      <c r="AJ2803" s="12"/>
      <c r="AK2803" s="12"/>
      <c r="AL2803" s="12"/>
      <c r="AM2803" s="12"/>
      <c r="AN2803" s="1"/>
      <c r="AO2803" s="6"/>
    </row>
    <row r="2804" spans="1:41" ht="15" x14ac:dyDescent="0.25">
      <c r="A2804" s="1"/>
      <c r="B2804" s="1"/>
      <c r="C2804" s="1"/>
      <c r="D2804" s="1"/>
      <c r="E2804" s="6"/>
      <c r="F2804" s="1"/>
      <c r="G2804" s="6"/>
      <c r="H2804" s="6"/>
      <c r="I2804" s="6"/>
      <c r="J2804" s="6"/>
      <c r="K2804" s="6"/>
      <c r="L2804" s="6"/>
      <c r="M2804" s="6"/>
      <c r="N2804" s="6"/>
      <c r="O2804" s="7"/>
      <c r="P2804" s="12"/>
      <c r="Q2804" s="6"/>
      <c r="R2804" s="7"/>
      <c r="S2804" s="6"/>
      <c r="T2804" s="6"/>
      <c r="U2804" s="7"/>
      <c r="V2804" s="6"/>
      <c r="W2804" s="6"/>
      <c r="X2804" s="6"/>
      <c r="Y2804" s="6"/>
      <c r="Z2804" s="6"/>
      <c r="AA2804" s="7"/>
      <c r="AB2804" s="6"/>
      <c r="AC2804" s="6"/>
      <c r="AD2804" s="6"/>
      <c r="AE2804" s="12"/>
      <c r="AF2804" s="6"/>
      <c r="AG2804" s="12"/>
      <c r="AH2804" s="6"/>
      <c r="AI2804" s="6"/>
      <c r="AJ2804" s="12"/>
      <c r="AK2804" s="24"/>
      <c r="AL2804" s="25"/>
      <c r="AM2804" s="12"/>
      <c r="AN2804" s="1"/>
      <c r="AO2804" s="6"/>
    </row>
    <row r="2805" spans="1:41" ht="15" x14ac:dyDescent="0.25">
      <c r="A2805" s="1"/>
      <c r="B2805" s="1"/>
      <c r="C2805" s="1"/>
      <c r="D2805" s="1"/>
      <c r="E2805" s="6"/>
      <c r="F2805" s="1"/>
      <c r="G2805" s="6"/>
      <c r="H2805" s="6"/>
      <c r="I2805" s="6"/>
      <c r="J2805" s="6"/>
      <c r="K2805" s="6"/>
      <c r="L2805" s="6"/>
      <c r="M2805" s="6"/>
      <c r="N2805" s="6"/>
      <c r="O2805" s="7"/>
      <c r="P2805" s="12"/>
      <c r="Q2805" s="6"/>
      <c r="R2805" s="7"/>
      <c r="S2805" s="6"/>
      <c r="T2805" s="6"/>
      <c r="U2805" s="7"/>
      <c r="V2805" s="6"/>
      <c r="W2805" s="6"/>
      <c r="X2805" s="6"/>
      <c r="Y2805" s="6"/>
      <c r="Z2805" s="6"/>
      <c r="AA2805" s="7"/>
      <c r="AB2805" s="6"/>
      <c r="AC2805" s="6"/>
      <c r="AD2805" s="6"/>
      <c r="AE2805" s="12"/>
      <c r="AF2805" s="12"/>
      <c r="AG2805" s="12"/>
      <c r="AH2805" s="12"/>
      <c r="AI2805" s="6"/>
      <c r="AJ2805" s="12"/>
      <c r="AK2805" s="1"/>
      <c r="AL2805" s="12"/>
      <c r="AM2805" s="12"/>
      <c r="AN2805" s="1"/>
      <c r="AO2805" s="6"/>
    </row>
    <row r="2806" spans="1:41" ht="15" x14ac:dyDescent="0.25">
      <c r="A2806" s="1"/>
      <c r="B2806" s="1"/>
      <c r="C2806" s="1"/>
      <c r="D2806" s="1"/>
      <c r="E2806" s="6"/>
      <c r="F2806" s="1"/>
      <c r="G2806" s="6"/>
      <c r="H2806" s="6"/>
      <c r="I2806" s="6"/>
      <c r="J2806" s="6"/>
      <c r="K2806" s="6"/>
      <c r="L2806" s="6"/>
      <c r="M2806" s="6"/>
      <c r="N2806" s="6"/>
      <c r="O2806" s="7"/>
      <c r="P2806" s="12"/>
      <c r="Q2806" s="6"/>
      <c r="R2806" s="7"/>
      <c r="S2806" s="6"/>
      <c r="T2806" s="6"/>
      <c r="U2806" s="7"/>
      <c r="V2806" s="6"/>
      <c r="W2806" s="6"/>
      <c r="X2806" s="6"/>
      <c r="Y2806" s="6"/>
      <c r="Z2806" s="6"/>
      <c r="AA2806" s="7"/>
      <c r="AB2806" s="6"/>
      <c r="AC2806" s="6"/>
      <c r="AD2806" s="6"/>
      <c r="AE2806" s="12"/>
      <c r="AF2806" s="12"/>
      <c r="AG2806" s="12"/>
      <c r="AH2806" s="12"/>
      <c r="AI2806" s="6"/>
      <c r="AJ2806" s="12"/>
      <c r="AK2806" s="1"/>
      <c r="AL2806" s="12"/>
      <c r="AM2806" s="12"/>
      <c r="AN2806" s="1"/>
      <c r="AO2806" s="6"/>
    </row>
    <row r="2807" spans="1:41" ht="15" x14ac:dyDescent="0.25">
      <c r="A2807" s="1"/>
      <c r="B2807" s="1"/>
      <c r="C2807" s="1"/>
      <c r="D2807" s="1"/>
      <c r="E2807" s="6"/>
      <c r="F2807" s="1"/>
      <c r="G2807" s="6"/>
      <c r="H2807" s="6"/>
      <c r="I2807" s="6"/>
      <c r="J2807" s="6"/>
      <c r="K2807" s="12"/>
      <c r="L2807" s="12"/>
      <c r="M2807" s="6"/>
      <c r="N2807" s="6"/>
      <c r="O2807" s="7"/>
      <c r="P2807" s="6"/>
      <c r="Q2807" s="6"/>
      <c r="R2807" s="7"/>
      <c r="S2807" s="6"/>
      <c r="T2807" s="6"/>
      <c r="U2807" s="7"/>
      <c r="V2807" s="6"/>
      <c r="W2807" s="6"/>
      <c r="X2807" s="6"/>
      <c r="Y2807" s="6"/>
      <c r="Z2807" s="6"/>
      <c r="AA2807" s="7"/>
      <c r="AB2807" s="6"/>
      <c r="AC2807" s="6"/>
      <c r="AD2807" s="6"/>
      <c r="AE2807" s="12"/>
      <c r="AF2807" s="12"/>
      <c r="AG2807" s="12"/>
      <c r="AH2807" s="12"/>
      <c r="AI2807" s="6"/>
      <c r="AJ2807" s="12"/>
      <c r="AK2807" s="1"/>
      <c r="AL2807" s="12"/>
      <c r="AM2807" s="12"/>
      <c r="AN2807" s="1"/>
      <c r="AO2807" s="6"/>
    </row>
    <row r="2808" spans="1:41" ht="15" x14ac:dyDescent="0.25">
      <c r="A2808" s="1"/>
      <c r="B2808" s="1"/>
      <c r="C2808" s="1"/>
      <c r="D2808" s="1"/>
      <c r="E2808" s="6"/>
      <c r="F2808" s="1"/>
      <c r="G2808" s="6"/>
      <c r="H2808" s="6"/>
      <c r="I2808" s="6"/>
      <c r="J2808" s="6"/>
      <c r="K2808" s="6"/>
      <c r="L2808" s="6"/>
      <c r="M2808" s="6"/>
      <c r="N2808" s="6"/>
      <c r="O2808" s="7"/>
      <c r="P2808" s="6"/>
      <c r="Q2808" s="6"/>
      <c r="R2808" s="7"/>
      <c r="S2808" s="6"/>
      <c r="T2808" s="6"/>
      <c r="U2808" s="7"/>
      <c r="V2808" s="6"/>
      <c r="W2808" s="6"/>
      <c r="X2808" s="6"/>
      <c r="Y2808" s="6"/>
      <c r="Z2808" s="6"/>
      <c r="AA2808" s="7"/>
      <c r="AB2808" s="6"/>
      <c r="AC2808" s="6"/>
      <c r="AD2808" s="6"/>
      <c r="AE2808" s="12"/>
      <c r="AF2808" s="12"/>
      <c r="AG2808" s="12"/>
      <c r="AH2808" s="12"/>
      <c r="AI2808" s="6"/>
      <c r="AJ2808" s="12"/>
      <c r="AK2808" s="1"/>
      <c r="AL2808" s="12"/>
      <c r="AM2808" s="12"/>
      <c r="AN2808" s="1"/>
      <c r="AO2808" s="6"/>
    </row>
    <row r="2809" spans="1:41" ht="15" x14ac:dyDescent="0.25">
      <c r="A2809" s="1"/>
      <c r="B2809" s="1"/>
      <c r="C2809" s="1"/>
      <c r="D2809" s="1"/>
      <c r="E2809" s="6"/>
      <c r="F2809" s="1"/>
      <c r="G2809" s="6"/>
      <c r="H2809" s="6"/>
      <c r="I2809" s="6"/>
      <c r="J2809" s="6"/>
      <c r="K2809" s="6"/>
      <c r="L2809" s="6"/>
      <c r="M2809" s="6"/>
      <c r="N2809" s="6"/>
      <c r="O2809" s="7"/>
      <c r="P2809" s="6"/>
      <c r="Q2809" s="6"/>
      <c r="R2809" s="7"/>
      <c r="S2809" s="6"/>
      <c r="T2809" s="6"/>
      <c r="U2809" s="7"/>
      <c r="V2809" s="6"/>
      <c r="W2809" s="6"/>
      <c r="X2809" s="6"/>
      <c r="Y2809" s="6"/>
      <c r="Z2809" s="6"/>
      <c r="AA2809" s="7"/>
      <c r="AB2809" s="6"/>
      <c r="AC2809" s="6"/>
      <c r="AD2809" s="6"/>
      <c r="AE2809" s="12"/>
      <c r="AF2809" s="12"/>
      <c r="AG2809" s="12"/>
      <c r="AH2809" s="12"/>
      <c r="AI2809" s="6"/>
      <c r="AJ2809" s="12"/>
      <c r="AK2809" s="1"/>
      <c r="AL2809" s="12"/>
      <c r="AM2809" s="12"/>
      <c r="AN2809" s="1"/>
      <c r="AO2809" s="6"/>
    </row>
    <row r="2810" spans="1:41" ht="15" x14ac:dyDescent="0.25">
      <c r="A2810" s="1"/>
      <c r="B2810" s="1"/>
      <c r="C2810" s="1"/>
      <c r="D2810" s="1"/>
      <c r="E2810" s="6"/>
      <c r="F2810" s="1"/>
      <c r="G2810" s="6"/>
      <c r="H2810" s="6"/>
      <c r="I2810" s="6"/>
      <c r="J2810" s="6"/>
      <c r="K2810" s="6"/>
      <c r="L2810" s="6"/>
      <c r="M2810" s="6"/>
      <c r="N2810" s="6"/>
      <c r="O2810" s="7"/>
      <c r="P2810" s="6"/>
      <c r="Q2810" s="6"/>
      <c r="R2810" s="7"/>
      <c r="S2810" s="6"/>
      <c r="T2810" s="6"/>
      <c r="U2810" s="7"/>
      <c r="V2810" s="6"/>
      <c r="W2810" s="6"/>
      <c r="X2810" s="6"/>
      <c r="Y2810" s="6"/>
      <c r="Z2810" s="6"/>
      <c r="AA2810" s="7"/>
      <c r="AB2810" s="6"/>
      <c r="AC2810" s="6"/>
      <c r="AD2810" s="6"/>
      <c r="AE2810" s="12"/>
      <c r="AF2810" s="12"/>
      <c r="AG2810" s="12"/>
      <c r="AH2810" s="12"/>
      <c r="AI2810" s="6"/>
      <c r="AJ2810" s="12"/>
      <c r="AK2810" s="1"/>
      <c r="AL2810" s="12"/>
      <c r="AM2810" s="12"/>
      <c r="AN2810" s="1"/>
      <c r="AO2810" s="6"/>
    </row>
    <row r="2811" spans="1:41" ht="15" x14ac:dyDescent="0.25">
      <c r="A2811" s="1"/>
      <c r="B2811" s="1"/>
      <c r="C2811" s="1"/>
      <c r="D2811" s="1"/>
      <c r="E2811" s="6"/>
      <c r="F2811" s="1"/>
      <c r="G2811" s="6"/>
      <c r="H2811" s="6"/>
      <c r="I2811" s="6"/>
      <c r="J2811" s="6"/>
      <c r="K2811" s="6"/>
      <c r="L2811" s="6"/>
      <c r="M2811" s="6"/>
      <c r="N2811" s="6"/>
      <c r="O2811" s="7"/>
      <c r="P2811" s="6"/>
      <c r="Q2811" s="6"/>
      <c r="R2811" s="7"/>
      <c r="S2811" s="6"/>
      <c r="T2811" s="6"/>
      <c r="U2811" s="7"/>
      <c r="V2811" s="6"/>
      <c r="W2811" s="6"/>
      <c r="X2811" s="6"/>
      <c r="Y2811" s="6"/>
      <c r="Z2811" s="6"/>
      <c r="AA2811" s="7"/>
      <c r="AB2811" s="6"/>
      <c r="AC2811" s="6"/>
      <c r="AD2811" s="6"/>
      <c r="AE2811" s="12"/>
      <c r="AF2811" s="12"/>
      <c r="AG2811" s="12"/>
      <c r="AH2811" s="12"/>
      <c r="AI2811" s="6"/>
      <c r="AJ2811" s="12"/>
      <c r="AK2811" s="1"/>
      <c r="AL2811" s="12"/>
      <c r="AM2811" s="12"/>
      <c r="AN2811" s="1"/>
      <c r="AO2811" s="6"/>
    </row>
    <row r="2812" spans="1:41" ht="15" x14ac:dyDescent="0.25">
      <c r="A2812" s="1"/>
      <c r="B2812" s="1"/>
      <c r="C2812" s="1"/>
      <c r="D2812" s="1"/>
      <c r="E2812" s="6"/>
      <c r="F2812" s="1"/>
      <c r="G2812" s="6"/>
      <c r="H2812" s="6"/>
      <c r="I2812" s="6"/>
      <c r="J2812" s="6"/>
      <c r="K2812" s="6"/>
      <c r="L2812" s="6"/>
      <c r="M2812" s="6"/>
      <c r="N2812" s="6"/>
      <c r="O2812" s="7"/>
      <c r="P2812" s="6"/>
      <c r="Q2812" s="6"/>
      <c r="R2812" s="7"/>
      <c r="S2812" s="6"/>
      <c r="T2812" s="6"/>
      <c r="U2812" s="7"/>
      <c r="V2812" s="6"/>
      <c r="W2812" s="6"/>
      <c r="X2812" s="6"/>
      <c r="Y2812" s="6"/>
      <c r="Z2812" s="6"/>
      <c r="AA2812" s="7"/>
      <c r="AB2812" s="6"/>
      <c r="AC2812" s="6"/>
      <c r="AD2812" s="6"/>
      <c r="AE2812" s="12"/>
      <c r="AF2812" s="6"/>
      <c r="AG2812" s="12"/>
      <c r="AH2812" s="6"/>
      <c r="AI2812" s="6"/>
      <c r="AJ2812" s="12"/>
      <c r="AK2812" s="1"/>
      <c r="AL2812" s="12"/>
      <c r="AM2812" s="12"/>
      <c r="AN2812" s="1"/>
      <c r="AO2812" s="6"/>
    </row>
    <row r="2813" spans="1:41" ht="15" x14ac:dyDescent="0.25">
      <c r="A2813" s="1"/>
      <c r="B2813" s="1"/>
      <c r="C2813" s="1"/>
      <c r="D2813" s="1"/>
      <c r="E2813" s="6"/>
      <c r="F2813" s="1"/>
      <c r="G2813" s="6"/>
      <c r="H2813" s="6"/>
      <c r="I2813" s="6"/>
      <c r="J2813" s="6"/>
      <c r="K2813" s="6"/>
      <c r="L2813" s="6"/>
      <c r="M2813" s="6"/>
      <c r="N2813" s="6"/>
      <c r="O2813" s="7"/>
      <c r="P2813" s="6"/>
      <c r="Q2813" s="6"/>
      <c r="R2813" s="7"/>
      <c r="S2813" s="6"/>
      <c r="T2813" s="6"/>
      <c r="U2813" s="7"/>
      <c r="V2813" s="6"/>
      <c r="W2813" s="6"/>
      <c r="X2813" s="12"/>
      <c r="Y2813" s="6"/>
      <c r="Z2813" s="6"/>
      <c r="AA2813" s="7"/>
      <c r="AB2813" s="6"/>
      <c r="AC2813" s="6"/>
      <c r="AD2813" s="6"/>
      <c r="AE2813" s="12"/>
      <c r="AF2813" s="12"/>
      <c r="AG2813" s="12"/>
      <c r="AH2813" s="12"/>
      <c r="AI2813" s="6"/>
      <c r="AJ2813" s="12"/>
      <c r="AK2813" s="1"/>
      <c r="AL2813" s="12"/>
      <c r="AM2813" s="12"/>
      <c r="AN2813" s="1"/>
      <c r="AO2813" s="6"/>
    </row>
    <row r="2814" spans="1:41" ht="15" x14ac:dyDescent="0.25">
      <c r="A2814" s="1"/>
      <c r="B2814" s="1"/>
      <c r="C2814" s="1"/>
      <c r="D2814" s="1"/>
      <c r="E2814" s="6"/>
      <c r="F2814" s="1"/>
      <c r="G2814" s="6"/>
      <c r="H2814" s="6"/>
      <c r="I2814" s="6"/>
      <c r="J2814" s="6"/>
      <c r="K2814" s="6"/>
      <c r="L2814" s="6"/>
      <c r="M2814" s="6"/>
      <c r="N2814" s="6"/>
      <c r="O2814" s="7"/>
      <c r="P2814" s="6"/>
      <c r="Q2814" s="6"/>
      <c r="R2814" s="7"/>
      <c r="S2814" s="6"/>
      <c r="T2814" s="6"/>
      <c r="U2814" s="7"/>
      <c r="V2814" s="6"/>
      <c r="W2814" s="6"/>
      <c r="X2814" s="6"/>
      <c r="Y2814" s="6"/>
      <c r="Z2814" s="6"/>
      <c r="AA2814" s="7"/>
      <c r="AB2814" s="6"/>
      <c r="AC2814" s="6"/>
      <c r="AD2814" s="6"/>
      <c r="AE2814" s="12"/>
      <c r="AF2814" s="12"/>
      <c r="AG2814" s="12"/>
      <c r="AH2814" s="12"/>
      <c r="AI2814" s="6"/>
      <c r="AJ2814" s="12"/>
      <c r="AK2814" s="1"/>
      <c r="AL2814" s="12"/>
      <c r="AM2814" s="12"/>
      <c r="AN2814" s="1"/>
      <c r="AO2814" s="6"/>
    </row>
    <row r="2815" spans="1:41" ht="15" x14ac:dyDescent="0.25">
      <c r="A2815" s="1"/>
      <c r="B2815" s="1"/>
      <c r="C2815" s="1"/>
      <c r="D2815" s="1"/>
      <c r="E2815" s="6"/>
      <c r="F2815" s="1"/>
      <c r="G2815" s="6"/>
      <c r="H2815" s="6"/>
      <c r="I2815" s="6"/>
      <c r="J2815" s="6"/>
      <c r="K2815" s="12"/>
      <c r="L2815" s="12"/>
      <c r="M2815" s="6"/>
      <c r="N2815" s="6"/>
      <c r="O2815" s="7"/>
      <c r="P2815" s="6"/>
      <c r="Q2815" s="6"/>
      <c r="R2815" s="7"/>
      <c r="S2815" s="6"/>
      <c r="T2815" s="6"/>
      <c r="U2815" s="7"/>
      <c r="V2815" s="6"/>
      <c r="W2815" s="6"/>
      <c r="X2815" s="12"/>
      <c r="Y2815" s="6"/>
      <c r="Z2815" s="6"/>
      <c r="AA2815" s="7"/>
      <c r="AB2815" s="6"/>
      <c r="AC2815" s="6"/>
      <c r="AD2815" s="6"/>
      <c r="AE2815" s="12"/>
      <c r="AF2815" s="12"/>
      <c r="AG2815" s="12"/>
      <c r="AH2815" s="12"/>
      <c r="AI2815" s="6"/>
      <c r="AJ2815" s="12"/>
      <c r="AK2815" s="1"/>
      <c r="AL2815" s="12"/>
      <c r="AM2815" s="12"/>
      <c r="AN2815" s="1"/>
      <c r="AO2815" s="6"/>
    </row>
    <row r="2816" spans="1:41" ht="15" x14ac:dyDescent="0.25">
      <c r="A2816" s="1"/>
      <c r="B2816" s="1"/>
      <c r="C2816" s="1"/>
      <c r="D2816" s="1"/>
      <c r="E2816" s="6"/>
      <c r="F2816" s="1"/>
      <c r="G2816" s="6"/>
      <c r="H2816" s="6"/>
      <c r="I2816" s="6"/>
      <c r="J2816" s="6"/>
      <c r="K2816" s="6"/>
      <c r="L2816" s="6"/>
      <c r="M2816" s="6"/>
      <c r="N2816" s="6"/>
      <c r="O2816" s="7"/>
      <c r="P2816" s="12"/>
      <c r="Q2816" s="6"/>
      <c r="R2816" s="15"/>
      <c r="S2816" s="6"/>
      <c r="T2816" s="6"/>
      <c r="U2816" s="15"/>
      <c r="V2816" s="6"/>
      <c r="W2816" s="6"/>
      <c r="X2816" s="6"/>
      <c r="Y2816" s="6"/>
      <c r="Z2816" s="6"/>
      <c r="AA2816" s="7"/>
      <c r="AB2816" s="6"/>
      <c r="AC2816" s="6"/>
      <c r="AD2816" s="6"/>
      <c r="AE2816" s="12"/>
      <c r="AF2816" s="6"/>
      <c r="AG2816" s="12"/>
      <c r="AH2816" s="6"/>
      <c r="AI2816" s="6"/>
      <c r="AJ2816" s="12"/>
      <c r="AK2816" s="1"/>
      <c r="AL2816" s="12"/>
      <c r="AM2816" s="12"/>
      <c r="AN2816" s="1"/>
      <c r="AO2816" s="6"/>
    </row>
    <row r="2817" spans="1:41" ht="15" x14ac:dyDescent="0.25">
      <c r="A2817" s="1"/>
      <c r="B2817" s="1"/>
      <c r="C2817" s="1"/>
      <c r="D2817" s="1"/>
      <c r="E2817" s="6"/>
      <c r="F2817" s="1"/>
      <c r="G2817" s="6"/>
      <c r="H2817" s="6"/>
      <c r="I2817" s="6"/>
      <c r="J2817" s="6"/>
      <c r="K2817" s="6"/>
      <c r="L2817" s="6"/>
      <c r="M2817" s="6"/>
      <c r="N2817" s="6"/>
      <c r="O2817" s="7"/>
      <c r="P2817" s="6"/>
      <c r="Q2817" s="6"/>
      <c r="R2817" s="7"/>
      <c r="S2817" s="6"/>
      <c r="T2817" s="6"/>
      <c r="U2817" s="7"/>
      <c r="V2817" s="6"/>
      <c r="W2817" s="6"/>
      <c r="X2817" s="12"/>
      <c r="Y2817" s="6"/>
      <c r="Z2817" s="6"/>
      <c r="AA2817" s="7"/>
      <c r="AB2817" s="6"/>
      <c r="AC2817" s="6"/>
      <c r="AD2817" s="6"/>
      <c r="AE2817" s="12"/>
      <c r="AF2817" s="6"/>
      <c r="AG2817" s="12"/>
      <c r="AH2817" s="6"/>
      <c r="AI2817" s="6"/>
      <c r="AJ2817" s="12"/>
      <c r="AK2817" s="24"/>
      <c r="AL2817" s="25"/>
      <c r="AM2817" s="12"/>
      <c r="AN2817" s="1"/>
      <c r="AO2817" s="6"/>
    </row>
    <row r="2818" spans="1:41" ht="15" x14ac:dyDescent="0.25">
      <c r="A2818" s="1"/>
      <c r="B2818" s="1"/>
      <c r="C2818" s="1"/>
      <c r="D2818" s="1"/>
      <c r="E2818" s="6"/>
      <c r="F2818" s="1"/>
      <c r="G2818" s="6"/>
      <c r="H2818" s="6"/>
      <c r="I2818" s="6"/>
      <c r="J2818" s="6"/>
      <c r="K2818" s="6"/>
      <c r="L2818" s="6"/>
      <c r="M2818" s="6"/>
      <c r="N2818" s="6"/>
      <c r="O2818" s="7"/>
      <c r="P2818" s="6"/>
      <c r="Q2818" s="6"/>
      <c r="R2818" s="7"/>
      <c r="S2818" s="6"/>
      <c r="T2818" s="6"/>
      <c r="U2818" s="7"/>
      <c r="V2818" s="6"/>
      <c r="W2818" s="6"/>
      <c r="X2818" s="6"/>
      <c r="Y2818" s="6"/>
      <c r="Z2818" s="6"/>
      <c r="AA2818" s="7"/>
      <c r="AB2818" s="6"/>
      <c r="AC2818" s="6"/>
      <c r="AD2818" s="6"/>
      <c r="AE2818" s="12"/>
      <c r="AF2818" s="6"/>
      <c r="AG2818" s="12"/>
      <c r="AH2818" s="6"/>
      <c r="AI2818" s="6"/>
      <c r="AJ2818" s="12"/>
      <c r="AK2818" s="24"/>
      <c r="AL2818" s="25"/>
      <c r="AM2818" s="12"/>
      <c r="AN2818" s="1"/>
      <c r="AO2818" s="6"/>
    </row>
    <row r="2819" spans="1:41" ht="15" x14ac:dyDescent="0.25">
      <c r="A2819" s="1"/>
      <c r="B2819" s="1"/>
      <c r="C2819" s="1"/>
      <c r="D2819" s="1"/>
      <c r="E2819" s="6"/>
      <c r="F2819" s="1"/>
      <c r="G2819" s="6"/>
      <c r="H2819" s="6"/>
      <c r="I2819" s="6"/>
      <c r="J2819" s="6"/>
      <c r="K2819" s="6"/>
      <c r="L2819" s="6"/>
      <c r="M2819" s="6"/>
      <c r="N2819" s="6"/>
      <c r="O2819" s="7"/>
      <c r="P2819" s="6"/>
      <c r="Q2819" s="7"/>
      <c r="R2819" s="6"/>
      <c r="S2819" s="6"/>
      <c r="T2819" s="6"/>
      <c r="U2819" s="6"/>
      <c r="V2819" s="7"/>
      <c r="W2819" s="7"/>
      <c r="X2819" s="6"/>
      <c r="Y2819" s="6"/>
      <c r="Z2819" s="6"/>
      <c r="AA2819" s="1"/>
      <c r="AB2819" s="12"/>
      <c r="AC2819" s="12"/>
      <c r="AD2819" s="12"/>
      <c r="AE2819" s="12"/>
      <c r="AF2819" s="12"/>
      <c r="AG2819" s="12"/>
      <c r="AH2819" s="12"/>
      <c r="AI2819" s="6"/>
      <c r="AJ2819" s="12"/>
      <c r="AK2819" s="12"/>
      <c r="AL2819" s="12"/>
      <c r="AM2819" s="12"/>
      <c r="AN2819" s="1"/>
      <c r="AO2819" s="6"/>
    </row>
    <row r="2820" spans="1:41" ht="15" x14ac:dyDescent="0.25">
      <c r="A2820" s="1"/>
      <c r="B2820" s="1"/>
      <c r="C2820" s="1"/>
      <c r="D2820" s="1"/>
      <c r="E2820" s="6"/>
      <c r="F2820" s="1"/>
      <c r="G2820" s="6"/>
      <c r="H2820" s="6"/>
      <c r="I2820" s="6"/>
      <c r="J2820" s="6"/>
      <c r="K2820" s="6"/>
      <c r="L2820" s="6"/>
      <c r="M2820" s="6"/>
      <c r="N2820" s="6"/>
      <c r="O2820" s="7"/>
      <c r="P2820" s="6"/>
      <c r="Q2820" s="6"/>
      <c r="R2820" s="7"/>
      <c r="S2820" s="6"/>
      <c r="T2820" s="6"/>
      <c r="U2820" s="7"/>
      <c r="V2820" s="6"/>
      <c r="W2820" s="6"/>
      <c r="X2820" s="12"/>
      <c r="Y2820" s="6"/>
      <c r="Z2820" s="6"/>
      <c r="AA2820" s="7"/>
      <c r="AB2820" s="6"/>
      <c r="AC2820" s="6"/>
      <c r="AD2820" s="6"/>
      <c r="AE2820" s="12"/>
      <c r="AF2820" s="12"/>
      <c r="AG2820" s="12"/>
      <c r="AH2820" s="12"/>
      <c r="AI2820" s="6"/>
      <c r="AJ2820" s="12"/>
      <c r="AK2820" s="24"/>
      <c r="AL2820" s="25"/>
      <c r="AM2820" s="12"/>
      <c r="AN2820" s="1"/>
      <c r="AO2820" s="6"/>
    </row>
    <row r="2821" spans="1:41" ht="15" x14ac:dyDescent="0.25">
      <c r="A2821" s="1"/>
      <c r="B2821" s="1"/>
      <c r="C2821" s="1"/>
      <c r="D2821" s="1"/>
      <c r="E2821" s="6"/>
      <c r="F2821" s="1"/>
      <c r="G2821" s="6"/>
      <c r="H2821" s="6"/>
      <c r="I2821" s="6"/>
      <c r="J2821" s="6"/>
      <c r="K2821" s="12"/>
      <c r="L2821" s="12"/>
      <c r="M2821" s="6"/>
      <c r="N2821" s="6"/>
      <c r="O2821" s="7"/>
      <c r="P2821" s="12"/>
      <c r="Q2821" s="6"/>
      <c r="R2821" s="7"/>
      <c r="S2821" s="6"/>
      <c r="T2821" s="6"/>
      <c r="U2821" s="7"/>
      <c r="V2821" s="6"/>
      <c r="W2821" s="6"/>
      <c r="X2821" s="12"/>
      <c r="Y2821" s="6"/>
      <c r="Z2821" s="6"/>
      <c r="AA2821" s="7"/>
      <c r="AB2821" s="6"/>
      <c r="AC2821" s="6"/>
      <c r="AD2821" s="6"/>
      <c r="AE2821" s="12"/>
      <c r="AF2821" s="12"/>
      <c r="AG2821" s="12"/>
      <c r="AH2821" s="12"/>
      <c r="AI2821" s="6"/>
      <c r="AJ2821" s="12"/>
      <c r="AK2821" s="24"/>
      <c r="AL2821" s="25"/>
      <c r="AM2821" s="12"/>
      <c r="AN2821" s="1"/>
      <c r="AO2821" s="6"/>
    </row>
    <row r="2822" spans="1:41" ht="15" x14ac:dyDescent="0.25">
      <c r="A2822" s="1"/>
      <c r="B2822" s="1"/>
      <c r="C2822" s="1"/>
      <c r="D2822" s="1"/>
      <c r="E2822" s="6"/>
      <c r="F2822" s="1"/>
      <c r="G2822" s="6"/>
      <c r="H2822" s="6"/>
      <c r="I2822" s="6"/>
      <c r="J2822" s="6"/>
      <c r="K2822" s="6"/>
      <c r="L2822" s="6"/>
      <c r="M2822" s="6"/>
      <c r="N2822" s="6"/>
      <c r="O2822" s="7"/>
      <c r="P2822" s="6"/>
      <c r="Q2822" s="6"/>
      <c r="R2822" s="7"/>
      <c r="S2822" s="6"/>
      <c r="T2822" s="6"/>
      <c r="U2822" s="7"/>
      <c r="V2822" s="6"/>
      <c r="W2822" s="6"/>
      <c r="X2822" s="6"/>
      <c r="Y2822" s="6"/>
      <c r="Z2822" s="6"/>
      <c r="AA2822" s="7"/>
      <c r="AB2822" s="6"/>
      <c r="AC2822" s="6"/>
      <c r="AD2822" s="6"/>
      <c r="AE2822" s="12"/>
      <c r="AF2822" s="6"/>
      <c r="AG2822" s="12"/>
      <c r="AH2822" s="6"/>
      <c r="AI2822" s="6"/>
      <c r="AJ2822" s="12"/>
      <c r="AK2822" s="24"/>
      <c r="AL2822" s="25"/>
      <c r="AM2822" s="12"/>
      <c r="AN2822" s="1"/>
      <c r="AO2822" s="6"/>
    </row>
    <row r="2823" spans="1:41" ht="15" x14ac:dyDescent="0.25">
      <c r="A2823" s="1"/>
      <c r="B2823" s="1"/>
      <c r="C2823" s="1"/>
      <c r="D2823" s="1"/>
      <c r="E2823" s="6"/>
      <c r="F2823" s="1"/>
      <c r="G2823" s="6"/>
      <c r="H2823" s="6"/>
      <c r="I2823" s="6"/>
      <c r="J2823" s="6"/>
      <c r="K2823" s="6"/>
      <c r="L2823" s="6"/>
      <c r="M2823" s="6"/>
      <c r="N2823" s="6"/>
      <c r="O2823" s="7"/>
      <c r="P2823" s="6"/>
      <c r="Q2823" s="6"/>
      <c r="R2823" s="7"/>
      <c r="S2823" s="6"/>
      <c r="T2823" s="6"/>
      <c r="U2823" s="7"/>
      <c r="V2823" s="6"/>
      <c r="W2823" s="6"/>
      <c r="X2823" s="6"/>
      <c r="Y2823" s="6"/>
      <c r="Z2823" s="6"/>
      <c r="AA2823" s="7"/>
      <c r="AB2823" s="6"/>
      <c r="AC2823" s="6"/>
      <c r="AD2823" s="6"/>
      <c r="AE2823" s="12"/>
      <c r="AF2823" s="12"/>
      <c r="AG2823" s="12"/>
      <c r="AH2823" s="12"/>
      <c r="AI2823" s="6"/>
      <c r="AJ2823" s="12"/>
      <c r="AK2823" s="1"/>
      <c r="AL2823" s="12"/>
      <c r="AM2823" s="12"/>
      <c r="AN2823" s="1"/>
      <c r="AO2823" s="6"/>
    </row>
    <row r="2824" spans="1:41" ht="15" x14ac:dyDescent="0.25">
      <c r="A2824" s="1"/>
      <c r="B2824" s="1"/>
      <c r="C2824" s="1"/>
      <c r="D2824" s="1"/>
      <c r="E2824" s="6"/>
      <c r="F2824" s="1"/>
      <c r="G2824" s="6"/>
      <c r="H2824" s="6"/>
      <c r="I2824" s="6"/>
      <c r="J2824" s="6"/>
      <c r="K2824" s="6"/>
      <c r="L2824" s="6"/>
      <c r="M2824" s="6"/>
      <c r="N2824" s="6"/>
      <c r="O2824" s="7"/>
      <c r="P2824" s="6"/>
      <c r="Q2824" s="6"/>
      <c r="R2824" s="12"/>
      <c r="S2824" s="12"/>
      <c r="T2824" s="12"/>
      <c r="U2824" s="6"/>
      <c r="V2824" s="12"/>
      <c r="W2824" s="12"/>
      <c r="X2824" s="12"/>
      <c r="Y2824" s="6"/>
      <c r="Z2824" s="6"/>
      <c r="AA2824" s="7"/>
      <c r="AB2824" s="6"/>
      <c r="AC2824" s="6"/>
      <c r="AD2824" s="6"/>
      <c r="AE2824" s="12"/>
      <c r="AF2824" s="12"/>
      <c r="AG2824" s="12"/>
      <c r="AH2824" s="12"/>
      <c r="AI2824" s="6"/>
      <c r="AJ2824" s="12"/>
      <c r="AK2824" s="24"/>
      <c r="AL2824" s="25"/>
      <c r="AM2824" s="12"/>
      <c r="AN2824" s="1"/>
      <c r="AO2824" s="6"/>
    </row>
    <row r="2825" spans="1:41" ht="15" x14ac:dyDescent="0.25">
      <c r="A2825" s="1"/>
      <c r="B2825" s="1"/>
      <c r="C2825" s="1"/>
      <c r="D2825" s="1"/>
      <c r="E2825" s="6"/>
      <c r="F2825" s="1"/>
      <c r="G2825" s="6"/>
      <c r="H2825" s="6"/>
      <c r="I2825" s="6"/>
      <c r="J2825" s="6"/>
      <c r="K2825" s="6"/>
      <c r="L2825" s="6"/>
      <c r="M2825" s="6"/>
      <c r="N2825" s="6"/>
      <c r="O2825" s="7"/>
      <c r="P2825" s="6"/>
      <c r="Q2825" s="6"/>
      <c r="R2825" s="12"/>
      <c r="S2825" s="12"/>
      <c r="T2825" s="12"/>
      <c r="U2825" s="6"/>
      <c r="V2825" s="12"/>
      <c r="W2825" s="12"/>
      <c r="X2825" s="12"/>
      <c r="Y2825" s="6"/>
      <c r="Z2825" s="6"/>
      <c r="AA2825" s="7"/>
      <c r="AB2825" s="6"/>
      <c r="AC2825" s="6"/>
      <c r="AD2825" s="6"/>
      <c r="AE2825" s="12"/>
      <c r="AF2825" s="12"/>
      <c r="AG2825" s="12"/>
      <c r="AH2825" s="12"/>
      <c r="AI2825" s="6"/>
      <c r="AJ2825" s="12"/>
      <c r="AK2825" s="1"/>
      <c r="AL2825" s="12"/>
      <c r="AM2825" s="12"/>
      <c r="AN2825" s="1"/>
      <c r="AO2825" s="6"/>
    </row>
    <row r="2826" spans="1:41" ht="15" x14ac:dyDescent="0.25">
      <c r="A2826" s="1"/>
      <c r="B2826" s="1"/>
      <c r="C2826" s="1"/>
      <c r="D2826" s="1"/>
      <c r="E2826" s="6"/>
      <c r="F2826" s="1"/>
      <c r="G2826" s="6"/>
      <c r="H2826" s="6"/>
      <c r="I2826" s="6"/>
      <c r="J2826" s="6"/>
      <c r="K2826" s="6"/>
      <c r="L2826" s="6"/>
      <c r="M2826" s="6"/>
      <c r="N2826" s="6"/>
      <c r="O2826" s="7"/>
      <c r="P2826" s="6"/>
      <c r="Q2826" s="6"/>
      <c r="R2826" s="7"/>
      <c r="S2826" s="6"/>
      <c r="T2826" s="6"/>
      <c r="U2826" s="7"/>
      <c r="V2826" s="6"/>
      <c r="W2826" s="6"/>
      <c r="X2826" s="12"/>
      <c r="Y2826" s="6"/>
      <c r="Z2826" s="6"/>
      <c r="AA2826" s="7"/>
      <c r="AB2826" s="6"/>
      <c r="AC2826" s="6"/>
      <c r="AD2826" s="6"/>
      <c r="AE2826" s="12"/>
      <c r="AF2826" s="6"/>
      <c r="AG2826" s="12"/>
      <c r="AH2826" s="6"/>
      <c r="AI2826" s="6"/>
      <c r="AJ2826" s="12"/>
      <c r="AK2826" s="1"/>
      <c r="AL2826" s="12"/>
      <c r="AM2826" s="12"/>
      <c r="AN2826" s="1"/>
      <c r="AO2826" s="6"/>
    </row>
    <row r="2827" spans="1:41" ht="15" x14ac:dyDescent="0.25">
      <c r="A2827" s="1"/>
      <c r="B2827" s="1"/>
      <c r="C2827" s="1"/>
      <c r="D2827" s="1"/>
      <c r="E2827" s="6"/>
      <c r="F2827" s="1"/>
      <c r="G2827" s="6"/>
      <c r="H2827" s="6"/>
      <c r="I2827" s="6"/>
      <c r="J2827" s="6"/>
      <c r="K2827" s="6"/>
      <c r="L2827" s="6"/>
      <c r="M2827" s="6"/>
      <c r="N2827" s="6"/>
      <c r="O2827" s="7"/>
      <c r="P2827" s="12"/>
      <c r="Q2827" s="6"/>
      <c r="R2827" s="7"/>
      <c r="S2827" s="6"/>
      <c r="T2827" s="6"/>
      <c r="U2827" s="7"/>
      <c r="V2827" s="6"/>
      <c r="W2827" s="6"/>
      <c r="X2827" s="12"/>
      <c r="Y2827" s="6"/>
      <c r="Z2827" s="6"/>
      <c r="AA2827" s="7"/>
      <c r="AB2827" s="6"/>
      <c r="AC2827" s="6"/>
      <c r="AD2827" s="6"/>
      <c r="AE2827" s="12"/>
      <c r="AF2827" s="6"/>
      <c r="AG2827" s="12"/>
      <c r="AH2827" s="6"/>
      <c r="AI2827" s="6"/>
      <c r="AJ2827" s="12"/>
      <c r="AK2827" s="24"/>
      <c r="AL2827" s="25"/>
      <c r="AM2827" s="12"/>
      <c r="AN2827" s="1"/>
      <c r="AO2827" s="6"/>
    </row>
    <row r="2828" spans="1:41" ht="15" x14ac:dyDescent="0.25">
      <c r="A2828" s="1"/>
      <c r="B2828" s="1"/>
      <c r="C2828" s="1"/>
      <c r="D2828" s="1"/>
      <c r="E2828" s="6"/>
      <c r="F2828" s="1"/>
      <c r="G2828" s="6"/>
      <c r="H2828" s="6"/>
      <c r="I2828" s="6"/>
      <c r="J2828" s="6"/>
      <c r="K2828" s="12"/>
      <c r="L2828" s="12"/>
      <c r="M2828" s="6"/>
      <c r="N2828" s="6"/>
      <c r="O2828" s="7"/>
      <c r="P2828" s="6"/>
      <c r="Q2828" s="6"/>
      <c r="R2828" s="7"/>
      <c r="S2828" s="6"/>
      <c r="T2828" s="6"/>
      <c r="U2828" s="7"/>
      <c r="V2828" s="6"/>
      <c r="W2828" s="6"/>
      <c r="X2828" s="6"/>
      <c r="Y2828" s="6"/>
      <c r="Z2828" s="6"/>
      <c r="AA2828" s="7"/>
      <c r="AB2828" s="6"/>
      <c r="AC2828" s="6"/>
      <c r="AD2828" s="6"/>
      <c r="AE2828" s="12"/>
      <c r="AF2828" s="12"/>
      <c r="AG2828" s="12"/>
      <c r="AH2828" s="12"/>
      <c r="AI2828" s="6"/>
      <c r="AJ2828" s="12"/>
      <c r="AK2828" s="1"/>
      <c r="AL2828" s="12"/>
      <c r="AM2828" s="12"/>
      <c r="AN2828" s="1"/>
      <c r="AO2828" s="6"/>
    </row>
    <row r="2829" spans="1:41" ht="15" x14ac:dyDescent="0.25">
      <c r="A2829" s="1"/>
      <c r="B2829" s="1"/>
      <c r="C2829" s="1"/>
      <c r="D2829" s="1"/>
      <c r="E2829" s="6"/>
      <c r="F2829" s="1"/>
      <c r="G2829" s="6"/>
      <c r="H2829" s="6"/>
      <c r="I2829" s="6"/>
      <c r="J2829" s="6"/>
      <c r="K2829" s="12"/>
      <c r="L2829" s="12"/>
      <c r="M2829" s="6"/>
      <c r="N2829" s="6"/>
      <c r="O2829" s="7"/>
      <c r="P2829" s="6"/>
      <c r="Q2829" s="6"/>
      <c r="R2829" s="7"/>
      <c r="S2829" s="6"/>
      <c r="T2829" s="6"/>
      <c r="U2829" s="7"/>
      <c r="V2829" s="6"/>
      <c r="W2829" s="6"/>
      <c r="X2829" s="6"/>
      <c r="Y2829" s="6"/>
      <c r="Z2829" s="6"/>
      <c r="AA2829" s="7"/>
      <c r="AB2829" s="6"/>
      <c r="AC2829" s="6"/>
      <c r="AD2829" s="6"/>
      <c r="AE2829" s="12"/>
      <c r="AF2829" s="12"/>
      <c r="AG2829" s="12"/>
      <c r="AH2829" s="12"/>
      <c r="AI2829" s="6"/>
      <c r="AJ2829" s="12"/>
      <c r="AK2829" s="1"/>
      <c r="AL2829" s="12"/>
      <c r="AM2829" s="12"/>
      <c r="AN2829" s="1"/>
      <c r="AO2829" s="6"/>
    </row>
    <row r="2830" spans="1:41" ht="15" x14ac:dyDescent="0.25">
      <c r="A2830" s="1"/>
      <c r="B2830" s="1"/>
      <c r="C2830" s="1"/>
      <c r="D2830" s="1"/>
      <c r="E2830" s="6"/>
      <c r="F2830" s="1"/>
      <c r="G2830" s="6"/>
      <c r="H2830" s="6"/>
      <c r="I2830" s="6"/>
      <c r="J2830" s="6"/>
      <c r="K2830" s="6"/>
      <c r="L2830" s="6"/>
      <c r="M2830" s="6"/>
      <c r="N2830" s="6"/>
      <c r="O2830" s="7"/>
      <c r="P2830" s="12"/>
      <c r="Q2830" s="6"/>
      <c r="R2830" s="7"/>
      <c r="S2830" s="6"/>
      <c r="T2830" s="6"/>
      <c r="U2830" s="7"/>
      <c r="V2830" s="6"/>
      <c r="W2830" s="6"/>
      <c r="X2830" s="6"/>
      <c r="Y2830" s="6"/>
      <c r="Z2830" s="6"/>
      <c r="AA2830" s="7"/>
      <c r="AB2830" s="6"/>
      <c r="AC2830" s="6"/>
      <c r="AD2830" s="6"/>
      <c r="AE2830" s="12"/>
      <c r="AF2830" s="12"/>
      <c r="AG2830" s="12"/>
      <c r="AH2830" s="12"/>
      <c r="AI2830" s="6"/>
      <c r="AJ2830" s="12"/>
      <c r="AK2830" s="1"/>
      <c r="AL2830" s="12"/>
      <c r="AM2830" s="12"/>
      <c r="AN2830" s="1"/>
      <c r="AO2830" s="6"/>
    </row>
    <row r="2831" spans="1:41" ht="15" x14ac:dyDescent="0.25">
      <c r="A2831" s="1"/>
      <c r="B2831" s="1"/>
      <c r="C2831" s="1"/>
      <c r="D2831" s="1"/>
      <c r="E2831" s="6"/>
      <c r="F2831" s="1"/>
      <c r="G2831" s="6"/>
      <c r="H2831" s="6"/>
      <c r="I2831" s="6"/>
      <c r="J2831" s="6"/>
      <c r="K2831" s="6"/>
      <c r="L2831" s="6"/>
      <c r="M2831" s="6"/>
      <c r="N2831" s="6"/>
      <c r="O2831" s="7"/>
      <c r="P2831" s="6"/>
      <c r="Q2831" s="6"/>
      <c r="R2831" s="7"/>
      <c r="S2831" s="6"/>
      <c r="T2831" s="6"/>
      <c r="U2831" s="7"/>
      <c r="V2831" s="6"/>
      <c r="W2831" s="6"/>
      <c r="X2831" s="12"/>
      <c r="Y2831" s="6"/>
      <c r="Z2831" s="6"/>
      <c r="AA2831" s="7"/>
      <c r="AB2831" s="6"/>
      <c r="AC2831" s="6"/>
      <c r="AD2831" s="6"/>
      <c r="AE2831" s="12"/>
      <c r="AF2831" s="12"/>
      <c r="AG2831" s="12"/>
      <c r="AH2831" s="12"/>
      <c r="AI2831" s="6"/>
      <c r="AJ2831" s="12"/>
      <c r="AK2831" s="1"/>
      <c r="AL2831" s="12"/>
      <c r="AM2831" s="12"/>
      <c r="AN2831" s="1"/>
      <c r="AO2831" s="6"/>
    </row>
    <row r="2832" spans="1:41" ht="15" x14ac:dyDescent="0.25">
      <c r="A2832" s="1"/>
      <c r="B2832" s="1"/>
      <c r="C2832" s="1"/>
      <c r="D2832" s="1"/>
      <c r="E2832" s="6"/>
      <c r="F2832" s="1"/>
      <c r="G2832" s="6"/>
      <c r="H2832" s="6"/>
      <c r="I2832" s="6"/>
      <c r="J2832" s="6"/>
      <c r="K2832" s="6"/>
      <c r="L2832" s="6"/>
      <c r="M2832" s="6"/>
      <c r="N2832" s="6"/>
      <c r="O2832" s="7"/>
      <c r="P2832" s="6"/>
      <c r="Q2832" s="6"/>
      <c r="R2832" s="7"/>
      <c r="S2832" s="6"/>
      <c r="T2832" s="6"/>
      <c r="U2832" s="7"/>
      <c r="V2832" s="6"/>
      <c r="W2832" s="6"/>
      <c r="X2832" s="6"/>
      <c r="Y2832" s="6"/>
      <c r="Z2832" s="6"/>
      <c r="AA2832" s="7"/>
      <c r="AB2832" s="6"/>
      <c r="AC2832" s="6"/>
      <c r="AD2832" s="6"/>
      <c r="AE2832" s="12"/>
      <c r="AF2832" s="12"/>
      <c r="AG2832" s="12"/>
      <c r="AH2832" s="12"/>
      <c r="AI2832" s="6"/>
      <c r="AJ2832" s="12"/>
      <c r="AK2832" s="1"/>
      <c r="AL2832" s="12"/>
      <c r="AM2832" s="12"/>
      <c r="AN2832" s="1"/>
      <c r="AO2832" s="6"/>
    </row>
    <row r="2833" spans="1:41" ht="15" x14ac:dyDescent="0.25">
      <c r="A2833" s="1"/>
      <c r="B2833" s="1"/>
      <c r="C2833" s="1"/>
      <c r="D2833" s="1"/>
      <c r="E2833" s="6"/>
      <c r="F2833" s="1"/>
      <c r="G2833" s="6"/>
      <c r="H2833" s="6"/>
      <c r="I2833" s="6"/>
      <c r="J2833" s="6"/>
      <c r="K2833" s="6"/>
      <c r="L2833" s="6"/>
      <c r="M2833" s="6"/>
      <c r="N2833" s="6"/>
      <c r="O2833" s="7"/>
      <c r="P2833" s="6"/>
      <c r="Q2833" s="6"/>
      <c r="R2833" s="7"/>
      <c r="S2833" s="6"/>
      <c r="T2833" s="6"/>
      <c r="U2833" s="7"/>
      <c r="V2833" s="6"/>
      <c r="W2833" s="6"/>
      <c r="X2833" s="12"/>
      <c r="Y2833" s="6"/>
      <c r="Z2833" s="6"/>
      <c r="AA2833" s="7"/>
      <c r="AB2833" s="6"/>
      <c r="AC2833" s="6"/>
      <c r="AD2833" s="6"/>
      <c r="AE2833" s="12"/>
      <c r="AF2833" s="12"/>
      <c r="AG2833" s="12"/>
      <c r="AH2833" s="12"/>
      <c r="AI2833" s="6"/>
      <c r="AJ2833" s="12"/>
      <c r="AK2833" s="1"/>
      <c r="AL2833" s="12"/>
      <c r="AM2833" s="12"/>
      <c r="AN2833" s="1"/>
      <c r="AO2833" s="6"/>
    </row>
    <row r="2834" spans="1:41" ht="15" x14ac:dyDescent="0.25">
      <c r="A2834" s="1"/>
      <c r="B2834" s="1"/>
      <c r="C2834" s="1"/>
      <c r="D2834" s="1"/>
      <c r="E2834" s="6"/>
      <c r="F2834" s="1"/>
      <c r="G2834" s="6"/>
      <c r="H2834" s="6"/>
      <c r="I2834" s="6"/>
      <c r="J2834" s="6"/>
      <c r="K2834" s="6"/>
      <c r="L2834" s="6"/>
      <c r="M2834" s="6"/>
      <c r="N2834" s="6"/>
      <c r="O2834" s="7"/>
      <c r="P2834" s="6"/>
      <c r="Q2834" s="7"/>
      <c r="R2834" s="6"/>
      <c r="S2834" s="6"/>
      <c r="T2834" s="6"/>
      <c r="U2834" s="6"/>
      <c r="V2834" s="7"/>
      <c r="W2834" s="7"/>
      <c r="X2834" s="6"/>
      <c r="Y2834" s="6"/>
      <c r="Z2834" s="6"/>
      <c r="AA2834" s="1"/>
      <c r="AB2834" s="12"/>
      <c r="AC2834" s="12"/>
      <c r="AD2834" s="12"/>
      <c r="AE2834" s="12"/>
      <c r="AF2834" s="12"/>
      <c r="AG2834" s="12"/>
      <c r="AH2834" s="12"/>
      <c r="AI2834" s="6"/>
      <c r="AJ2834" s="12"/>
      <c r="AK2834" s="12"/>
      <c r="AL2834" s="12"/>
      <c r="AM2834" s="12"/>
      <c r="AN2834" s="1"/>
      <c r="AO2834" s="6"/>
    </row>
    <row r="2835" spans="1:41" ht="15" x14ac:dyDescent="0.25">
      <c r="A2835" s="1"/>
      <c r="B2835" s="1"/>
      <c r="C2835" s="1"/>
      <c r="D2835" s="1"/>
      <c r="E2835" s="6"/>
      <c r="F2835" s="1"/>
      <c r="G2835" s="6"/>
      <c r="H2835" s="6"/>
      <c r="I2835" s="6"/>
      <c r="J2835" s="6"/>
      <c r="K2835" s="6"/>
      <c r="L2835" s="6"/>
      <c r="M2835" s="6"/>
      <c r="N2835" s="6"/>
      <c r="O2835" s="7"/>
      <c r="P2835" s="6"/>
      <c r="Q2835" s="6"/>
      <c r="R2835" s="7"/>
      <c r="S2835" s="6"/>
      <c r="T2835" s="6"/>
      <c r="U2835" s="7"/>
      <c r="V2835" s="6"/>
      <c r="W2835" s="6"/>
      <c r="X2835" s="6"/>
      <c r="Y2835" s="6"/>
      <c r="Z2835" s="6"/>
      <c r="AA2835" s="7"/>
      <c r="AB2835" s="6"/>
      <c r="AC2835" s="6"/>
      <c r="AD2835" s="6"/>
      <c r="AE2835" s="12"/>
      <c r="AF2835" s="6"/>
      <c r="AG2835" s="12"/>
      <c r="AH2835" s="6"/>
      <c r="AI2835" s="6"/>
      <c r="AJ2835" s="12"/>
      <c r="AK2835" s="24"/>
      <c r="AL2835" s="25"/>
      <c r="AM2835" s="12"/>
      <c r="AN2835" s="1"/>
      <c r="AO2835" s="6"/>
    </row>
    <row r="2836" spans="1:41" ht="15" x14ac:dyDescent="0.25">
      <c r="A2836" s="1"/>
      <c r="B2836" s="1"/>
      <c r="C2836" s="1"/>
      <c r="D2836" s="1"/>
      <c r="E2836" s="6"/>
      <c r="F2836" s="1"/>
      <c r="G2836" s="6"/>
      <c r="H2836" s="6"/>
      <c r="I2836" s="6"/>
      <c r="J2836" s="6"/>
      <c r="K2836" s="6"/>
      <c r="L2836" s="6"/>
      <c r="M2836" s="6"/>
      <c r="N2836" s="6"/>
      <c r="O2836" s="7"/>
      <c r="P2836" s="6"/>
      <c r="Q2836" s="6"/>
      <c r="R2836" s="7"/>
      <c r="S2836" s="6"/>
      <c r="T2836" s="6"/>
      <c r="U2836" s="7"/>
      <c r="V2836" s="6"/>
      <c r="W2836" s="6"/>
      <c r="X2836" s="12"/>
      <c r="Y2836" s="6"/>
      <c r="Z2836" s="6"/>
      <c r="AA2836" s="7"/>
      <c r="AB2836" s="6"/>
      <c r="AC2836" s="6"/>
      <c r="AD2836" s="6"/>
      <c r="AE2836" s="12"/>
      <c r="AF2836" s="12"/>
      <c r="AG2836" s="12"/>
      <c r="AH2836" s="12"/>
      <c r="AI2836" s="6"/>
      <c r="AJ2836" s="12"/>
      <c r="AK2836" s="24"/>
      <c r="AL2836" s="25"/>
      <c r="AM2836" s="12"/>
      <c r="AN2836" s="1"/>
      <c r="AO2836" s="6"/>
    </row>
    <row r="2837" spans="1:41" ht="15" x14ac:dyDescent="0.25">
      <c r="A2837" s="1"/>
      <c r="B2837" s="1"/>
      <c r="C2837" s="1"/>
      <c r="D2837" s="1"/>
      <c r="E2837" s="6"/>
      <c r="F2837" s="1"/>
      <c r="G2837" s="6"/>
      <c r="H2837" s="6"/>
      <c r="I2837" s="6"/>
      <c r="J2837" s="6"/>
      <c r="K2837" s="6"/>
      <c r="L2837" s="6"/>
      <c r="M2837" s="6"/>
      <c r="N2837" s="6"/>
      <c r="O2837" s="7"/>
      <c r="P2837" s="6"/>
      <c r="Q2837" s="6"/>
      <c r="R2837" s="7"/>
      <c r="S2837" s="6"/>
      <c r="T2837" s="6"/>
      <c r="U2837" s="7"/>
      <c r="V2837" s="6"/>
      <c r="W2837" s="6"/>
      <c r="X2837" s="6"/>
      <c r="Y2837" s="6"/>
      <c r="Z2837" s="6"/>
      <c r="AA2837" s="7"/>
      <c r="AB2837" s="6"/>
      <c r="AC2837" s="6"/>
      <c r="AD2837" s="6"/>
      <c r="AE2837" s="12"/>
      <c r="AF2837" s="12"/>
      <c r="AG2837" s="12"/>
      <c r="AH2837" s="12"/>
      <c r="AI2837" s="6"/>
      <c r="AJ2837" s="12"/>
      <c r="AK2837" s="1"/>
      <c r="AL2837" s="12"/>
      <c r="AM2837" s="12"/>
      <c r="AN2837" s="1"/>
      <c r="AO2837" s="6"/>
    </row>
    <row r="2838" spans="1:41" ht="15" x14ac:dyDescent="0.25">
      <c r="A2838" s="1"/>
      <c r="B2838" s="1"/>
      <c r="C2838" s="1"/>
      <c r="D2838" s="1"/>
      <c r="E2838" s="6"/>
      <c r="F2838" s="1"/>
      <c r="G2838" s="6"/>
      <c r="H2838" s="6"/>
      <c r="I2838" s="6"/>
      <c r="J2838" s="6"/>
      <c r="K2838" s="6"/>
      <c r="L2838" s="6"/>
      <c r="M2838" s="6"/>
      <c r="N2838" s="6"/>
      <c r="O2838" s="7"/>
      <c r="P2838" s="6"/>
      <c r="Q2838" s="6"/>
      <c r="R2838" s="7"/>
      <c r="S2838" s="6"/>
      <c r="T2838" s="6"/>
      <c r="U2838" s="7"/>
      <c r="V2838" s="6"/>
      <c r="W2838" s="6"/>
      <c r="X2838" s="6"/>
      <c r="Y2838" s="6"/>
      <c r="Z2838" s="6"/>
      <c r="AA2838" s="7"/>
      <c r="AB2838" s="6"/>
      <c r="AC2838" s="6"/>
      <c r="AD2838" s="6"/>
      <c r="AE2838" s="12"/>
      <c r="AF2838" s="12"/>
      <c r="AG2838" s="12"/>
      <c r="AH2838" s="12"/>
      <c r="AI2838" s="6"/>
      <c r="AJ2838" s="12"/>
      <c r="AK2838" s="1"/>
      <c r="AL2838" s="12"/>
      <c r="AM2838" s="12"/>
      <c r="AN2838" s="1"/>
      <c r="AO2838" s="6"/>
    </row>
    <row r="2839" spans="1:41" ht="15" x14ac:dyDescent="0.25">
      <c r="A2839" s="1"/>
      <c r="B2839" s="1"/>
      <c r="C2839" s="1"/>
      <c r="D2839" s="1"/>
      <c r="E2839" s="6"/>
      <c r="F2839" s="1"/>
      <c r="G2839" s="6"/>
      <c r="H2839" s="6"/>
      <c r="I2839" s="6"/>
      <c r="J2839" s="6"/>
      <c r="K2839" s="6"/>
      <c r="L2839" s="6"/>
      <c r="M2839" s="6"/>
      <c r="N2839" s="6"/>
      <c r="O2839" s="7"/>
      <c r="P2839" s="6"/>
      <c r="Q2839" s="6"/>
      <c r="R2839" s="7"/>
      <c r="S2839" s="6"/>
      <c r="T2839" s="6"/>
      <c r="U2839" s="7"/>
      <c r="V2839" s="6"/>
      <c r="W2839" s="6"/>
      <c r="X2839" s="12"/>
      <c r="Y2839" s="6"/>
      <c r="Z2839" s="6"/>
      <c r="AA2839" s="7"/>
      <c r="AB2839" s="6"/>
      <c r="AC2839" s="6"/>
      <c r="AD2839" s="6"/>
      <c r="AE2839" s="12"/>
      <c r="AF2839" s="12"/>
      <c r="AG2839" s="12"/>
      <c r="AH2839" s="12"/>
      <c r="AI2839" s="6"/>
      <c r="AJ2839" s="12"/>
      <c r="AK2839" s="24"/>
      <c r="AL2839" s="25"/>
      <c r="AM2839" s="12"/>
      <c r="AN2839" s="1"/>
      <c r="AO2839" s="6"/>
    </row>
    <row r="2840" spans="1:41" ht="15" x14ac:dyDescent="0.25">
      <c r="A2840" s="1"/>
      <c r="B2840" s="1"/>
      <c r="C2840" s="1"/>
      <c r="D2840" s="1"/>
      <c r="E2840" s="6"/>
      <c r="F2840" s="1"/>
      <c r="G2840" s="6"/>
      <c r="H2840" s="6"/>
      <c r="I2840" s="6"/>
      <c r="J2840" s="6"/>
      <c r="K2840" s="6"/>
      <c r="L2840" s="6"/>
      <c r="M2840" s="6"/>
      <c r="N2840" s="6"/>
      <c r="O2840" s="7"/>
      <c r="P2840" s="6"/>
      <c r="Q2840" s="6"/>
      <c r="R2840" s="7"/>
      <c r="S2840" s="6"/>
      <c r="T2840" s="6"/>
      <c r="U2840" s="7"/>
      <c r="V2840" s="6"/>
      <c r="W2840" s="6"/>
      <c r="X2840" s="6"/>
      <c r="Y2840" s="6"/>
      <c r="Z2840" s="6"/>
      <c r="AA2840" s="7"/>
      <c r="AB2840" s="6"/>
      <c r="AC2840" s="6"/>
      <c r="AD2840" s="6"/>
      <c r="AE2840" s="12"/>
      <c r="AF2840" s="6"/>
      <c r="AG2840" s="12"/>
      <c r="AH2840" s="6"/>
      <c r="AI2840" s="6"/>
      <c r="AJ2840" s="12"/>
      <c r="AK2840" s="24"/>
      <c r="AL2840" s="25"/>
      <c r="AM2840" s="12"/>
      <c r="AN2840" s="1"/>
      <c r="AO2840" s="6"/>
    </row>
    <row r="2841" spans="1:41" ht="15" x14ac:dyDescent="0.25">
      <c r="A2841" s="1"/>
      <c r="B2841" s="1"/>
      <c r="C2841" s="1"/>
      <c r="D2841" s="1"/>
      <c r="E2841" s="6"/>
      <c r="F2841" s="1"/>
      <c r="G2841" s="6"/>
      <c r="H2841" s="6"/>
      <c r="I2841" s="6"/>
      <c r="J2841" s="6"/>
      <c r="K2841" s="6"/>
      <c r="L2841" s="6"/>
      <c r="M2841" s="6"/>
      <c r="N2841" s="6"/>
      <c r="O2841" s="7"/>
      <c r="P2841" s="6"/>
      <c r="Q2841" s="7"/>
      <c r="R2841" s="6"/>
      <c r="S2841" s="12"/>
      <c r="T2841" s="6"/>
      <c r="U2841" s="6"/>
      <c r="V2841" s="7"/>
      <c r="W2841" s="7"/>
      <c r="X2841" s="6"/>
      <c r="Y2841" s="6"/>
      <c r="Z2841" s="6"/>
      <c r="AA2841" s="1"/>
      <c r="AB2841" s="12"/>
      <c r="AC2841" s="12"/>
      <c r="AD2841" s="12"/>
      <c r="AE2841" s="12"/>
      <c r="AF2841" s="12"/>
      <c r="AG2841" s="12"/>
      <c r="AH2841" s="12"/>
      <c r="AI2841" s="6"/>
      <c r="AJ2841" s="12"/>
      <c r="AK2841" s="12"/>
      <c r="AL2841" s="12"/>
      <c r="AM2841" s="12"/>
      <c r="AN2841" s="1"/>
      <c r="AO2841" s="6"/>
    </row>
    <row r="2842" spans="1:41" ht="15" x14ac:dyDescent="0.25">
      <c r="A2842" s="1"/>
      <c r="B2842" s="1"/>
      <c r="C2842" s="1"/>
      <c r="D2842" s="1"/>
      <c r="E2842" s="6"/>
      <c r="F2842" s="1"/>
      <c r="G2842" s="6"/>
      <c r="H2842" s="6"/>
      <c r="I2842" s="6"/>
      <c r="J2842" s="6"/>
      <c r="K2842" s="6"/>
      <c r="L2842" s="6"/>
      <c r="M2842" s="6"/>
      <c r="N2842" s="6"/>
      <c r="O2842" s="7"/>
      <c r="P2842" s="6"/>
      <c r="Q2842" s="6"/>
      <c r="R2842" s="7"/>
      <c r="S2842" s="6"/>
      <c r="T2842" s="6"/>
      <c r="U2842" s="7"/>
      <c r="V2842" s="6"/>
      <c r="W2842" s="6"/>
      <c r="X2842" s="6"/>
      <c r="Y2842" s="12"/>
      <c r="Z2842" s="6"/>
      <c r="AA2842" s="7"/>
      <c r="AB2842" s="6"/>
      <c r="AC2842" s="6"/>
      <c r="AD2842" s="6"/>
      <c r="AE2842" s="12"/>
      <c r="AF2842" s="6"/>
      <c r="AG2842" s="12"/>
      <c r="AH2842" s="6"/>
      <c r="AI2842" s="6"/>
      <c r="AJ2842" s="12"/>
      <c r="AK2842" s="24"/>
      <c r="AL2842" s="25"/>
      <c r="AM2842" s="12"/>
      <c r="AN2842" s="1"/>
      <c r="AO2842" s="6"/>
    </row>
    <row r="2843" spans="1:41" ht="15" x14ac:dyDescent="0.25">
      <c r="A2843" s="1"/>
      <c r="B2843" s="1"/>
      <c r="C2843" s="1"/>
      <c r="D2843" s="1"/>
      <c r="E2843" s="6"/>
      <c r="F2843" s="1"/>
      <c r="G2843" s="6"/>
      <c r="H2843" s="6"/>
      <c r="I2843" s="6"/>
      <c r="J2843" s="6"/>
      <c r="K2843" s="6"/>
      <c r="L2843" s="6"/>
      <c r="M2843" s="6"/>
      <c r="N2843" s="6"/>
      <c r="O2843" s="7"/>
      <c r="P2843" s="6"/>
      <c r="Q2843" s="6"/>
      <c r="R2843" s="7"/>
      <c r="S2843" s="6"/>
      <c r="T2843" s="6"/>
      <c r="U2843" s="7"/>
      <c r="V2843" s="6"/>
      <c r="W2843" s="6"/>
      <c r="X2843" s="6"/>
      <c r="Y2843" s="6"/>
      <c r="Z2843" s="6"/>
      <c r="AA2843" s="7"/>
      <c r="AB2843" s="6"/>
      <c r="AC2843" s="6"/>
      <c r="AD2843" s="6"/>
      <c r="AE2843" s="12"/>
      <c r="AF2843" s="6"/>
      <c r="AG2843" s="12"/>
      <c r="AH2843" s="6"/>
      <c r="AI2843" s="6"/>
      <c r="AJ2843" s="12"/>
      <c r="AK2843" s="24"/>
      <c r="AL2843" s="25"/>
      <c r="AM2843" s="12"/>
      <c r="AN2843" s="1"/>
      <c r="AO2843" s="6"/>
    </row>
    <row r="2844" spans="1:41" ht="15" x14ac:dyDescent="0.25">
      <c r="A2844" s="1"/>
      <c r="B2844" s="1"/>
      <c r="C2844" s="1"/>
      <c r="D2844" s="1"/>
      <c r="E2844" s="6"/>
      <c r="F2844" s="1"/>
      <c r="G2844" s="6"/>
      <c r="H2844" s="6"/>
      <c r="I2844" s="6"/>
      <c r="J2844" s="6"/>
      <c r="K2844" s="6"/>
      <c r="L2844" s="6"/>
      <c r="M2844" s="6"/>
      <c r="N2844" s="6"/>
      <c r="O2844" s="7"/>
      <c r="P2844" s="6"/>
      <c r="Q2844" s="6"/>
      <c r="R2844" s="7"/>
      <c r="S2844" s="6"/>
      <c r="T2844" s="6"/>
      <c r="U2844" s="7"/>
      <c r="V2844" s="6"/>
      <c r="W2844" s="6"/>
      <c r="X2844" s="6"/>
      <c r="Y2844" s="6"/>
      <c r="Z2844" s="6"/>
      <c r="AA2844" s="7"/>
      <c r="AB2844" s="6"/>
      <c r="AC2844" s="6"/>
      <c r="AD2844" s="6"/>
      <c r="AE2844" s="12"/>
      <c r="AF2844" s="6"/>
      <c r="AG2844" s="12"/>
      <c r="AH2844" s="6"/>
      <c r="AI2844" s="6"/>
      <c r="AJ2844" s="12"/>
      <c r="AK2844" s="24"/>
      <c r="AL2844" s="25"/>
      <c r="AM2844" s="12"/>
      <c r="AN2844" s="1"/>
      <c r="AO2844" s="6"/>
    </row>
    <row r="2845" spans="1:41" ht="15" x14ac:dyDescent="0.25">
      <c r="A2845" s="1"/>
      <c r="B2845" s="1"/>
      <c r="C2845" s="1"/>
      <c r="D2845" s="1"/>
      <c r="E2845" s="6"/>
      <c r="F2845" s="1"/>
      <c r="G2845" s="6"/>
      <c r="H2845" s="6"/>
      <c r="I2845" s="6"/>
      <c r="J2845" s="6"/>
      <c r="K2845" s="6"/>
      <c r="L2845" s="6"/>
      <c r="M2845" s="6"/>
      <c r="N2845" s="6"/>
      <c r="O2845" s="7"/>
      <c r="P2845" s="6"/>
      <c r="Q2845" s="6"/>
      <c r="R2845" s="7"/>
      <c r="S2845" s="6"/>
      <c r="T2845" s="6"/>
      <c r="U2845" s="7"/>
      <c r="V2845" s="6"/>
      <c r="W2845" s="6"/>
      <c r="X2845" s="12"/>
      <c r="Y2845" s="6"/>
      <c r="Z2845" s="6"/>
      <c r="AA2845" s="7"/>
      <c r="AB2845" s="6"/>
      <c r="AC2845" s="6"/>
      <c r="AD2845" s="6"/>
      <c r="AE2845" s="12"/>
      <c r="AF2845" s="12"/>
      <c r="AG2845" s="12"/>
      <c r="AH2845" s="12"/>
      <c r="AI2845" s="6"/>
      <c r="AJ2845" s="12"/>
      <c r="AK2845" s="1"/>
      <c r="AL2845" s="12"/>
      <c r="AM2845" s="12"/>
      <c r="AN2845" s="1"/>
      <c r="AO2845" s="6"/>
    </row>
    <row r="2846" spans="1:41" ht="15" x14ac:dyDescent="0.25">
      <c r="A2846" s="1"/>
      <c r="B2846" s="1"/>
      <c r="C2846" s="1"/>
      <c r="D2846" s="1"/>
      <c r="E2846" s="6"/>
      <c r="F2846" s="1"/>
      <c r="G2846" s="6"/>
      <c r="H2846" s="6"/>
      <c r="I2846" s="6"/>
      <c r="J2846" s="6"/>
      <c r="K2846" s="6"/>
      <c r="L2846" s="6"/>
      <c r="M2846" s="6"/>
      <c r="N2846" s="6"/>
      <c r="O2846" s="7"/>
      <c r="P2846" s="6"/>
      <c r="Q2846" s="6"/>
      <c r="R2846" s="7"/>
      <c r="S2846" s="6"/>
      <c r="T2846" s="6"/>
      <c r="U2846" s="7"/>
      <c r="V2846" s="6"/>
      <c r="W2846" s="6"/>
      <c r="X2846" s="12"/>
      <c r="Y2846" s="6"/>
      <c r="Z2846" s="6"/>
      <c r="AA2846" s="7"/>
      <c r="AB2846" s="6"/>
      <c r="AC2846" s="6"/>
      <c r="AD2846" s="6"/>
      <c r="AE2846" s="12"/>
      <c r="AF2846" s="12"/>
      <c r="AG2846" s="12"/>
      <c r="AH2846" s="12"/>
      <c r="AI2846" s="6"/>
      <c r="AJ2846" s="12"/>
      <c r="AK2846" s="1"/>
      <c r="AL2846" s="12"/>
      <c r="AM2846" s="12"/>
      <c r="AN2846" s="1"/>
      <c r="AO2846" s="6"/>
    </row>
    <row r="2847" spans="1:41" ht="15" x14ac:dyDescent="0.25">
      <c r="A2847" s="1"/>
      <c r="B2847" s="1"/>
      <c r="C2847" s="1"/>
      <c r="D2847" s="1"/>
      <c r="E2847" s="6"/>
      <c r="F2847" s="1"/>
      <c r="G2847" s="6"/>
      <c r="H2847" s="6"/>
      <c r="I2847" s="6"/>
      <c r="J2847" s="6"/>
      <c r="K2847" s="12"/>
      <c r="L2847" s="12"/>
      <c r="M2847" s="6"/>
      <c r="N2847" s="6"/>
      <c r="O2847" s="7"/>
      <c r="P2847" s="6"/>
      <c r="Q2847" s="6"/>
      <c r="R2847" s="7"/>
      <c r="S2847" s="6"/>
      <c r="T2847" s="6"/>
      <c r="U2847" s="7"/>
      <c r="V2847" s="6"/>
      <c r="W2847" s="6"/>
      <c r="X2847" s="12"/>
      <c r="Y2847" s="6"/>
      <c r="Z2847" s="6"/>
      <c r="AA2847" s="7"/>
      <c r="AB2847" s="6"/>
      <c r="AC2847" s="6"/>
      <c r="AD2847" s="6"/>
      <c r="AE2847" s="12"/>
      <c r="AF2847" s="12"/>
      <c r="AG2847" s="12"/>
      <c r="AH2847" s="12"/>
      <c r="AI2847" s="6"/>
      <c r="AJ2847" s="12"/>
      <c r="AK2847" s="1"/>
      <c r="AL2847" s="12"/>
      <c r="AM2847" s="12"/>
      <c r="AN2847" s="1"/>
      <c r="AO2847" s="6"/>
    </row>
    <row r="2848" spans="1:41" ht="15" x14ac:dyDescent="0.25">
      <c r="A2848" s="1"/>
      <c r="B2848" s="1"/>
      <c r="C2848" s="1"/>
      <c r="D2848" s="1"/>
      <c r="E2848" s="6"/>
      <c r="F2848" s="1"/>
      <c r="G2848" s="6"/>
      <c r="H2848" s="6"/>
      <c r="I2848" s="6"/>
      <c r="J2848" s="6"/>
      <c r="K2848" s="12"/>
      <c r="L2848" s="12"/>
      <c r="M2848" s="6"/>
      <c r="N2848" s="6"/>
      <c r="O2848" s="7"/>
      <c r="P2848" s="6"/>
      <c r="Q2848" s="6"/>
      <c r="R2848" s="7"/>
      <c r="S2848" s="6"/>
      <c r="T2848" s="6"/>
      <c r="U2848" s="7"/>
      <c r="V2848" s="6"/>
      <c r="W2848" s="6"/>
      <c r="X2848" s="6"/>
      <c r="Y2848" s="6"/>
      <c r="Z2848" s="6"/>
      <c r="AA2848" s="7"/>
      <c r="AB2848" s="6"/>
      <c r="AC2848" s="6"/>
      <c r="AD2848" s="6"/>
      <c r="AE2848" s="12"/>
      <c r="AF2848" s="12"/>
      <c r="AG2848" s="12"/>
      <c r="AH2848" s="12"/>
      <c r="AI2848" s="6"/>
      <c r="AJ2848" s="12"/>
      <c r="AK2848" s="1"/>
      <c r="AL2848" s="12"/>
      <c r="AM2848" s="12"/>
      <c r="AN2848" s="1"/>
      <c r="AO2848" s="6"/>
    </row>
    <row r="2849" spans="1:41" ht="15" x14ac:dyDescent="0.25">
      <c r="A2849" s="1"/>
      <c r="B2849" s="1"/>
      <c r="C2849" s="1"/>
      <c r="D2849" s="1"/>
      <c r="E2849" s="6"/>
      <c r="F2849" s="1"/>
      <c r="G2849" s="6"/>
      <c r="H2849" s="6"/>
      <c r="I2849" s="6"/>
      <c r="J2849" s="6"/>
      <c r="K2849" s="6"/>
      <c r="L2849" s="6"/>
      <c r="M2849" s="6"/>
      <c r="N2849" s="6"/>
      <c r="O2849" s="7"/>
      <c r="P2849" s="6"/>
      <c r="Q2849" s="6"/>
      <c r="R2849" s="7"/>
      <c r="S2849" s="6"/>
      <c r="T2849" s="6"/>
      <c r="U2849" s="7"/>
      <c r="V2849" s="6"/>
      <c r="W2849" s="6"/>
      <c r="X2849" s="12"/>
      <c r="Y2849" s="6"/>
      <c r="Z2849" s="6"/>
      <c r="AA2849" s="7"/>
      <c r="AB2849" s="6"/>
      <c r="AC2849" s="6"/>
      <c r="AD2849" s="6"/>
      <c r="AE2849" s="12"/>
      <c r="AF2849" s="12"/>
      <c r="AG2849" s="12"/>
      <c r="AH2849" s="12"/>
      <c r="AI2849" s="6"/>
      <c r="AJ2849" s="12"/>
      <c r="AK2849" s="1"/>
      <c r="AL2849" s="12"/>
      <c r="AM2849" s="12"/>
      <c r="AN2849" s="1"/>
      <c r="AO2849" s="6"/>
    </row>
    <row r="2850" spans="1:41" ht="15" x14ac:dyDescent="0.25">
      <c r="A2850" s="1"/>
      <c r="B2850" s="1"/>
      <c r="C2850" s="1"/>
      <c r="D2850" s="1"/>
      <c r="E2850" s="6"/>
      <c r="F2850" s="1"/>
      <c r="G2850" s="6"/>
      <c r="H2850" s="6"/>
      <c r="I2850" s="6"/>
      <c r="J2850" s="6"/>
      <c r="K2850" s="12"/>
      <c r="L2850" s="12"/>
      <c r="M2850" s="6"/>
      <c r="N2850" s="6"/>
      <c r="O2850" s="7"/>
      <c r="P2850" s="6"/>
      <c r="Q2850" s="6"/>
      <c r="R2850" s="7"/>
      <c r="S2850" s="6"/>
      <c r="T2850" s="6"/>
      <c r="U2850" s="7"/>
      <c r="V2850" s="6"/>
      <c r="W2850" s="6"/>
      <c r="X2850" s="12"/>
      <c r="Y2850" s="6"/>
      <c r="Z2850" s="6"/>
      <c r="AA2850" s="7"/>
      <c r="AB2850" s="6"/>
      <c r="AC2850" s="6"/>
      <c r="AD2850" s="6"/>
      <c r="AE2850" s="12"/>
      <c r="AF2850" s="12"/>
      <c r="AG2850" s="12"/>
      <c r="AH2850" s="12"/>
      <c r="AI2850" s="6"/>
      <c r="AJ2850" s="12"/>
      <c r="AK2850" s="1"/>
      <c r="AL2850" s="12"/>
      <c r="AM2850" s="12"/>
      <c r="AN2850" s="1"/>
      <c r="AO2850" s="12"/>
    </row>
    <row r="2851" spans="1:41" ht="15" x14ac:dyDescent="0.25">
      <c r="A2851" s="1"/>
      <c r="B2851" s="1"/>
      <c r="C2851" s="1"/>
      <c r="D2851" s="1"/>
      <c r="E2851" s="6"/>
      <c r="F2851" s="1"/>
      <c r="G2851" s="6"/>
      <c r="H2851" s="6"/>
      <c r="I2851" s="6"/>
      <c r="J2851" s="6"/>
      <c r="K2851" s="6"/>
      <c r="L2851" s="6"/>
      <c r="M2851" s="6"/>
      <c r="N2851" s="6"/>
      <c r="O2851" s="7"/>
      <c r="P2851" s="6"/>
      <c r="Q2851" s="7"/>
      <c r="R2851" s="6"/>
      <c r="S2851" s="6"/>
      <c r="T2851" s="6"/>
      <c r="U2851" s="6"/>
      <c r="V2851" s="7"/>
      <c r="W2851" s="7"/>
      <c r="X2851" s="6"/>
      <c r="Y2851" s="6"/>
      <c r="Z2851" s="6"/>
      <c r="AA2851" s="1"/>
      <c r="AB2851" s="12"/>
      <c r="AC2851" s="12"/>
      <c r="AD2851" s="12"/>
      <c r="AE2851" s="12"/>
      <c r="AF2851" s="6"/>
      <c r="AG2851" s="12"/>
      <c r="AH2851" s="6"/>
      <c r="AI2851" s="6"/>
      <c r="AJ2851" s="12"/>
      <c r="AK2851" s="12"/>
      <c r="AL2851" s="12"/>
      <c r="AM2851" s="12"/>
      <c r="AN2851" s="1"/>
      <c r="AO2851" s="6"/>
    </row>
    <row r="2852" spans="1:41" ht="15" x14ac:dyDescent="0.25">
      <c r="A2852" s="1"/>
      <c r="B2852" s="1"/>
      <c r="C2852" s="1"/>
      <c r="D2852" s="1"/>
      <c r="E2852" s="6"/>
      <c r="F2852" s="1"/>
      <c r="G2852" s="6"/>
      <c r="H2852" s="6"/>
      <c r="I2852" s="6"/>
      <c r="J2852" s="6"/>
      <c r="K2852" s="6"/>
      <c r="L2852" s="6"/>
      <c r="M2852" s="6"/>
      <c r="N2852" s="6"/>
      <c r="O2852" s="7"/>
      <c r="P2852" s="12"/>
      <c r="Q2852" s="6"/>
      <c r="R2852" s="7"/>
      <c r="S2852" s="6"/>
      <c r="T2852" s="6"/>
      <c r="U2852" s="7"/>
      <c r="V2852" s="6"/>
      <c r="W2852" s="6"/>
      <c r="X2852" s="6"/>
      <c r="Y2852" s="6"/>
      <c r="Z2852" s="6"/>
      <c r="AA2852" s="7"/>
      <c r="AB2852" s="6"/>
      <c r="AC2852" s="6"/>
      <c r="AD2852" s="6"/>
      <c r="AE2852" s="12"/>
      <c r="AF2852" s="12"/>
      <c r="AG2852" s="12"/>
      <c r="AH2852" s="12"/>
      <c r="AI2852" s="6"/>
      <c r="AJ2852" s="12"/>
      <c r="AK2852" s="1"/>
      <c r="AL2852" s="12"/>
      <c r="AM2852" s="12"/>
      <c r="AN2852" s="1"/>
      <c r="AO2852" s="6"/>
    </row>
    <row r="2853" spans="1:41" ht="15" x14ac:dyDescent="0.25">
      <c r="A2853" s="1"/>
      <c r="B2853" s="1"/>
      <c r="C2853" s="1"/>
      <c r="D2853" s="1"/>
      <c r="E2853" s="6"/>
      <c r="F2853" s="1"/>
      <c r="G2853" s="6"/>
      <c r="H2853" s="6"/>
      <c r="I2853" s="6"/>
      <c r="J2853" s="6"/>
      <c r="K2853" s="6"/>
      <c r="L2853" s="6"/>
      <c r="M2853" s="6"/>
      <c r="N2853" s="6"/>
      <c r="O2853" s="7"/>
      <c r="P2853" s="6"/>
      <c r="Q2853" s="6"/>
      <c r="R2853" s="7"/>
      <c r="S2853" s="6"/>
      <c r="T2853" s="6"/>
      <c r="U2853" s="7"/>
      <c r="V2853" s="6"/>
      <c r="W2853" s="6"/>
      <c r="X2853" s="12"/>
      <c r="Y2853" s="6"/>
      <c r="Z2853" s="6"/>
      <c r="AA2853" s="7"/>
      <c r="AB2853" s="6"/>
      <c r="AC2853" s="6"/>
      <c r="AD2853" s="6"/>
      <c r="AE2853" s="12"/>
      <c r="AF2853" s="6"/>
      <c r="AG2853" s="12"/>
      <c r="AH2853" s="6"/>
      <c r="AI2853" s="6"/>
      <c r="AJ2853" s="12"/>
      <c r="AK2853" s="24"/>
      <c r="AL2853" s="25"/>
      <c r="AM2853" s="12"/>
      <c r="AN2853" s="1"/>
      <c r="AO2853" s="6"/>
    </row>
    <row r="2854" spans="1:41" ht="15" x14ac:dyDescent="0.25">
      <c r="A2854" s="1"/>
      <c r="B2854" s="1"/>
      <c r="C2854" s="1"/>
      <c r="D2854" s="1"/>
      <c r="E2854" s="6"/>
      <c r="F2854" s="1"/>
      <c r="G2854" s="6"/>
      <c r="H2854" s="6"/>
      <c r="I2854" s="6"/>
      <c r="J2854" s="6"/>
      <c r="K2854" s="6"/>
      <c r="L2854" s="6"/>
      <c r="M2854" s="6"/>
      <c r="N2854" s="6"/>
      <c r="O2854" s="7"/>
      <c r="P2854" s="12"/>
      <c r="Q2854" s="6"/>
      <c r="R2854" s="7"/>
      <c r="S2854" s="6"/>
      <c r="T2854" s="6"/>
      <c r="U2854" s="7"/>
      <c r="V2854" s="6"/>
      <c r="W2854" s="6"/>
      <c r="X2854" s="12"/>
      <c r="Y2854" s="6"/>
      <c r="Z2854" s="6"/>
      <c r="AA2854" s="7"/>
      <c r="AB2854" s="6"/>
      <c r="AC2854" s="6"/>
      <c r="AD2854" s="6"/>
      <c r="AE2854" s="12"/>
      <c r="AF2854" s="6"/>
      <c r="AG2854" s="12"/>
      <c r="AH2854" s="6"/>
      <c r="AI2854" s="6"/>
      <c r="AJ2854" s="12"/>
      <c r="AK2854" s="24"/>
      <c r="AL2854" s="25"/>
      <c r="AM2854" s="12"/>
      <c r="AN2854" s="1"/>
      <c r="AO2854" s="6"/>
    </row>
    <row r="2855" spans="1:41" ht="15" x14ac:dyDescent="0.25">
      <c r="A2855" s="1"/>
      <c r="B2855" s="1"/>
      <c r="C2855" s="1"/>
      <c r="D2855" s="1"/>
      <c r="E2855" s="6"/>
      <c r="F2855" s="1"/>
      <c r="G2855" s="6"/>
      <c r="H2855" s="6"/>
      <c r="I2855" s="6"/>
      <c r="J2855" s="6"/>
      <c r="K2855" s="6"/>
      <c r="L2855" s="6"/>
      <c r="M2855" s="6"/>
      <c r="N2855" s="6"/>
      <c r="O2855" s="7"/>
      <c r="P2855" s="6"/>
      <c r="Q2855" s="6"/>
      <c r="R2855" s="7"/>
      <c r="S2855" s="6"/>
      <c r="T2855" s="6"/>
      <c r="U2855" s="7"/>
      <c r="V2855" s="6"/>
      <c r="W2855" s="6"/>
      <c r="X2855" s="6"/>
      <c r="Y2855" s="6"/>
      <c r="Z2855" s="6"/>
      <c r="AA2855" s="7"/>
      <c r="AB2855" s="6"/>
      <c r="AC2855" s="6"/>
      <c r="AD2855" s="6"/>
      <c r="AE2855" s="12"/>
      <c r="AF2855" s="12"/>
      <c r="AG2855" s="12"/>
      <c r="AH2855" s="12"/>
      <c r="AI2855" s="6"/>
      <c r="AJ2855" s="12"/>
      <c r="AK2855" s="1"/>
      <c r="AL2855" s="12"/>
      <c r="AM2855" s="12"/>
      <c r="AN2855" s="1"/>
      <c r="AO2855" s="6"/>
    </row>
    <row r="2856" spans="1:41" ht="15" x14ac:dyDescent="0.25">
      <c r="A2856" s="1"/>
      <c r="B2856" s="1"/>
      <c r="C2856" s="1"/>
      <c r="D2856" s="1"/>
      <c r="E2856" s="6"/>
      <c r="F2856" s="1"/>
      <c r="G2856" s="6"/>
      <c r="H2856" s="6"/>
      <c r="I2856" s="6"/>
      <c r="J2856" s="6"/>
      <c r="K2856" s="6"/>
      <c r="L2856" s="6"/>
      <c r="M2856" s="6"/>
      <c r="N2856" s="6"/>
      <c r="O2856" s="7"/>
      <c r="P2856" s="6"/>
      <c r="Q2856" s="6"/>
      <c r="R2856" s="7"/>
      <c r="S2856" s="6"/>
      <c r="T2856" s="6"/>
      <c r="U2856" s="7"/>
      <c r="V2856" s="6"/>
      <c r="W2856" s="6"/>
      <c r="X2856" s="12"/>
      <c r="Y2856" s="6"/>
      <c r="Z2856" s="6"/>
      <c r="AA2856" s="7"/>
      <c r="AB2856" s="6"/>
      <c r="AC2856" s="6"/>
      <c r="AD2856" s="6"/>
      <c r="AE2856" s="12"/>
      <c r="AF2856" s="12"/>
      <c r="AG2856" s="12"/>
      <c r="AH2856" s="12"/>
      <c r="AI2856" s="6"/>
      <c r="AJ2856" s="12"/>
      <c r="AK2856" s="1"/>
      <c r="AL2856" s="12"/>
      <c r="AM2856" s="12"/>
      <c r="AN2856" s="1"/>
      <c r="AO2856" s="6"/>
    </row>
    <row r="2857" spans="1:41" ht="15" x14ac:dyDescent="0.25">
      <c r="A2857" s="1"/>
      <c r="B2857" s="1"/>
      <c r="C2857" s="1"/>
      <c r="D2857" s="1"/>
      <c r="E2857" s="6"/>
      <c r="F2857" s="1"/>
      <c r="G2857" s="6"/>
      <c r="H2857" s="6"/>
      <c r="I2857" s="6"/>
      <c r="J2857" s="6"/>
      <c r="K2857" s="6"/>
      <c r="L2857" s="6"/>
      <c r="M2857" s="6"/>
      <c r="N2857" s="6"/>
      <c r="O2857" s="7"/>
      <c r="P2857" s="6"/>
      <c r="Q2857" s="6"/>
      <c r="R2857" s="7"/>
      <c r="S2857" s="6"/>
      <c r="T2857" s="6"/>
      <c r="U2857" s="7"/>
      <c r="V2857" s="6"/>
      <c r="W2857" s="6"/>
      <c r="X2857" s="12"/>
      <c r="Y2857" s="6"/>
      <c r="Z2857" s="6"/>
      <c r="AA2857" s="7"/>
      <c r="AB2857" s="6"/>
      <c r="AC2857" s="6"/>
      <c r="AD2857" s="6"/>
      <c r="AE2857" s="12"/>
      <c r="AF2857" s="6"/>
      <c r="AG2857" s="12"/>
      <c r="AH2857" s="6"/>
      <c r="AI2857" s="6"/>
      <c r="AJ2857" s="12"/>
      <c r="AK2857" s="24"/>
      <c r="AL2857" s="25"/>
      <c r="AM2857" s="12"/>
      <c r="AN2857" s="1"/>
      <c r="AO2857" s="6"/>
    </row>
    <row r="2858" spans="1:41" ht="15" x14ac:dyDescent="0.25">
      <c r="A2858" s="1"/>
      <c r="B2858" s="1"/>
      <c r="C2858" s="1"/>
      <c r="D2858" s="1"/>
      <c r="E2858" s="6"/>
      <c r="F2858" s="1"/>
      <c r="G2858" s="6"/>
      <c r="H2858" s="6"/>
      <c r="I2858" s="6"/>
      <c r="J2858" s="6"/>
      <c r="K2858" s="6"/>
      <c r="L2858" s="6"/>
      <c r="M2858" s="6"/>
      <c r="N2858" s="6"/>
      <c r="O2858" s="7"/>
      <c r="P2858" s="6"/>
      <c r="Q2858" s="6"/>
      <c r="R2858" s="7"/>
      <c r="S2858" s="6"/>
      <c r="T2858" s="6"/>
      <c r="U2858" s="7"/>
      <c r="V2858" s="6"/>
      <c r="W2858" s="6"/>
      <c r="X2858" s="6"/>
      <c r="Y2858" s="6"/>
      <c r="Z2858" s="6"/>
      <c r="AA2858" s="7"/>
      <c r="AB2858" s="6"/>
      <c r="AC2858" s="6"/>
      <c r="AD2858" s="6"/>
      <c r="AE2858" s="12"/>
      <c r="AF2858" s="6"/>
      <c r="AG2858" s="12"/>
      <c r="AH2858" s="6"/>
      <c r="AI2858" s="6"/>
      <c r="AJ2858" s="12"/>
      <c r="AK2858" s="1"/>
      <c r="AL2858" s="12"/>
      <c r="AM2858" s="12"/>
      <c r="AN2858" s="1"/>
      <c r="AO2858" s="6"/>
    </row>
    <row r="2859" spans="1:41" ht="15" x14ac:dyDescent="0.25">
      <c r="A2859" s="1"/>
      <c r="B2859" s="1"/>
      <c r="C2859" s="1"/>
      <c r="D2859" s="1"/>
      <c r="E2859" s="6"/>
      <c r="F2859" s="1"/>
      <c r="G2859" s="6"/>
      <c r="H2859" s="6"/>
      <c r="I2859" s="6"/>
      <c r="J2859" s="6"/>
      <c r="K2859" s="6"/>
      <c r="L2859" s="6"/>
      <c r="M2859" s="6"/>
      <c r="N2859" s="6"/>
      <c r="O2859" s="7"/>
      <c r="P2859" s="6"/>
      <c r="Q2859" s="6"/>
      <c r="R2859" s="7"/>
      <c r="S2859" s="6"/>
      <c r="T2859" s="6"/>
      <c r="U2859" s="7"/>
      <c r="V2859" s="6"/>
      <c r="W2859" s="6"/>
      <c r="X2859" s="6"/>
      <c r="Y2859" s="6"/>
      <c r="Z2859" s="6"/>
      <c r="AA2859" s="7"/>
      <c r="AB2859" s="6"/>
      <c r="AC2859" s="6"/>
      <c r="AD2859" s="6"/>
      <c r="AE2859" s="12"/>
      <c r="AF2859" s="12"/>
      <c r="AG2859" s="12"/>
      <c r="AH2859" s="12"/>
      <c r="AI2859" s="6"/>
      <c r="AJ2859" s="12"/>
      <c r="AK2859" s="1"/>
      <c r="AL2859" s="12"/>
      <c r="AM2859" s="12"/>
      <c r="AN2859" s="1"/>
      <c r="AO2859" s="6"/>
    </row>
    <row r="2860" spans="1:41" ht="15" x14ac:dyDescent="0.25">
      <c r="A2860" s="1"/>
      <c r="B2860" s="1"/>
      <c r="C2860" s="1"/>
      <c r="D2860" s="1"/>
      <c r="E2860" s="6"/>
      <c r="F2860" s="1"/>
      <c r="G2860" s="6"/>
      <c r="H2860" s="6"/>
      <c r="I2860" s="6"/>
      <c r="J2860" s="6"/>
      <c r="K2860" s="6"/>
      <c r="L2860" s="6"/>
      <c r="M2860" s="6"/>
      <c r="N2860" s="6"/>
      <c r="O2860" s="7"/>
      <c r="P2860" s="6"/>
      <c r="Q2860" s="6"/>
      <c r="R2860" s="7"/>
      <c r="S2860" s="6"/>
      <c r="T2860" s="6"/>
      <c r="U2860" s="7"/>
      <c r="V2860" s="6"/>
      <c r="W2860" s="6"/>
      <c r="X2860" s="6"/>
      <c r="Y2860" s="6"/>
      <c r="Z2860" s="6"/>
      <c r="AA2860" s="7"/>
      <c r="AB2860" s="6"/>
      <c r="AC2860" s="6"/>
      <c r="AD2860" s="6"/>
      <c r="AE2860" s="12"/>
      <c r="AF2860" s="6"/>
      <c r="AG2860" s="12"/>
      <c r="AH2860" s="6"/>
      <c r="AI2860" s="6"/>
      <c r="AJ2860" s="12"/>
      <c r="AK2860" s="1"/>
      <c r="AL2860" s="12"/>
      <c r="AM2860" s="12"/>
      <c r="AN2860" s="1"/>
      <c r="AO2860" s="6"/>
    </row>
    <row r="2861" spans="1:41" ht="15" x14ac:dyDescent="0.25">
      <c r="A2861" s="1"/>
      <c r="B2861" s="1"/>
      <c r="C2861" s="1"/>
      <c r="D2861" s="1"/>
      <c r="E2861" s="6"/>
      <c r="F2861" s="1"/>
      <c r="G2861" s="6"/>
      <c r="H2861" s="6"/>
      <c r="I2861" s="6"/>
      <c r="J2861" s="6"/>
      <c r="K2861" s="12"/>
      <c r="L2861" s="12"/>
      <c r="M2861" s="6"/>
      <c r="N2861" s="6"/>
      <c r="O2861" s="7"/>
      <c r="P2861" s="12"/>
      <c r="Q2861" s="6"/>
      <c r="R2861" s="7"/>
      <c r="S2861" s="6"/>
      <c r="T2861" s="6"/>
      <c r="U2861" s="7"/>
      <c r="V2861" s="6"/>
      <c r="W2861" s="6"/>
      <c r="X2861" s="12"/>
      <c r="Y2861" s="6"/>
      <c r="Z2861" s="6"/>
      <c r="AA2861" s="7"/>
      <c r="AB2861" s="6"/>
      <c r="AC2861" s="6"/>
      <c r="AD2861" s="6"/>
      <c r="AE2861" s="12"/>
      <c r="AF2861" s="12"/>
      <c r="AG2861" s="12"/>
      <c r="AH2861" s="12"/>
      <c r="AI2861" s="6"/>
      <c r="AJ2861" s="12"/>
      <c r="AK2861" s="24"/>
      <c r="AL2861" s="25"/>
      <c r="AM2861" s="12"/>
      <c r="AN2861" s="1"/>
      <c r="AO2861" s="6"/>
    </row>
    <row r="2862" spans="1:41" ht="15" x14ac:dyDescent="0.25">
      <c r="A2862" s="1"/>
      <c r="B2862" s="1"/>
      <c r="C2862" s="1"/>
      <c r="D2862" s="1"/>
      <c r="E2862" s="6"/>
      <c r="F2862" s="1"/>
      <c r="G2862" s="6"/>
      <c r="H2862" s="6"/>
      <c r="I2862" s="6"/>
      <c r="J2862" s="6"/>
      <c r="K2862" s="6"/>
      <c r="L2862" s="6"/>
      <c r="M2862" s="6"/>
      <c r="N2862" s="6"/>
      <c r="O2862" s="7"/>
      <c r="P2862" s="6"/>
      <c r="Q2862" s="6"/>
      <c r="R2862" s="7"/>
      <c r="S2862" s="6"/>
      <c r="T2862" s="6"/>
      <c r="U2862" s="7"/>
      <c r="V2862" s="6"/>
      <c r="W2862" s="6"/>
      <c r="X2862" s="6"/>
      <c r="Y2862" s="6"/>
      <c r="Z2862" s="6"/>
      <c r="AA2862" s="7"/>
      <c r="AB2862" s="6"/>
      <c r="AC2862" s="6"/>
      <c r="AD2862" s="6"/>
      <c r="AE2862" s="12"/>
      <c r="AF2862" s="6"/>
      <c r="AG2862" s="12"/>
      <c r="AH2862" s="6"/>
      <c r="AI2862" s="6"/>
      <c r="AJ2862" s="12"/>
      <c r="AK2862" s="1"/>
      <c r="AL2862" s="12"/>
      <c r="AM2862" s="12"/>
      <c r="AN2862" s="1"/>
      <c r="AO2862" s="6"/>
    </row>
    <row r="2863" spans="1:41" ht="15" x14ac:dyDescent="0.25">
      <c r="A2863" s="1"/>
      <c r="B2863" s="1"/>
      <c r="C2863" s="1"/>
      <c r="D2863" s="1"/>
      <c r="E2863" s="6"/>
      <c r="F2863" s="1"/>
      <c r="G2863" s="6"/>
      <c r="H2863" s="6"/>
      <c r="I2863" s="6"/>
      <c r="J2863" s="6"/>
      <c r="K2863" s="12"/>
      <c r="L2863" s="12"/>
      <c r="M2863" s="6"/>
      <c r="N2863" s="6"/>
      <c r="O2863" s="7"/>
      <c r="P2863" s="12"/>
      <c r="Q2863" s="6"/>
      <c r="R2863" s="7"/>
      <c r="S2863" s="6"/>
      <c r="T2863" s="6"/>
      <c r="U2863" s="7"/>
      <c r="V2863" s="6"/>
      <c r="W2863" s="6"/>
      <c r="X2863" s="12"/>
      <c r="Y2863" s="6"/>
      <c r="Z2863" s="6"/>
      <c r="AA2863" s="7"/>
      <c r="AB2863" s="6"/>
      <c r="AC2863" s="6"/>
      <c r="AD2863" s="6"/>
      <c r="AE2863" s="12"/>
      <c r="AF2863" s="12"/>
      <c r="AG2863" s="12"/>
      <c r="AH2863" s="12"/>
      <c r="AI2863" s="6"/>
      <c r="AJ2863" s="12"/>
      <c r="AK2863" s="1"/>
      <c r="AL2863" s="12"/>
      <c r="AM2863" s="12"/>
      <c r="AN2863" s="1"/>
      <c r="AO2863" s="12"/>
    </row>
    <row r="2864" spans="1:41" ht="15" x14ac:dyDescent="0.25">
      <c r="A2864" s="1"/>
      <c r="B2864" s="1"/>
      <c r="C2864" s="1"/>
      <c r="D2864" s="1"/>
      <c r="E2864" s="6"/>
      <c r="F2864" s="1"/>
      <c r="G2864" s="6"/>
      <c r="H2864" s="6"/>
      <c r="I2864" s="6"/>
      <c r="J2864" s="6"/>
      <c r="K2864" s="6"/>
      <c r="L2864" s="6"/>
      <c r="M2864" s="6"/>
      <c r="N2864" s="6"/>
      <c r="O2864" s="7"/>
      <c r="P2864" s="6"/>
      <c r="Q2864" s="6"/>
      <c r="R2864" s="7"/>
      <c r="S2864" s="6"/>
      <c r="T2864" s="6"/>
      <c r="U2864" s="7"/>
      <c r="V2864" s="6"/>
      <c r="W2864" s="6"/>
      <c r="X2864" s="6"/>
      <c r="Y2864" s="6"/>
      <c r="Z2864" s="6"/>
      <c r="AA2864" s="7"/>
      <c r="AB2864" s="6"/>
      <c r="AC2864" s="6"/>
      <c r="AD2864" s="6"/>
      <c r="AE2864" s="12"/>
      <c r="AF2864" s="6"/>
      <c r="AG2864" s="12"/>
      <c r="AH2864" s="6"/>
      <c r="AI2864" s="6"/>
      <c r="AJ2864" s="12"/>
      <c r="AK2864" s="24"/>
      <c r="AL2864" s="25"/>
      <c r="AM2864" s="12"/>
      <c r="AN2864" s="1"/>
      <c r="AO2864" s="6"/>
    </row>
    <row r="2865" spans="1:41" ht="15" x14ac:dyDescent="0.25">
      <c r="A2865" s="1"/>
      <c r="B2865" s="1"/>
      <c r="C2865" s="1"/>
      <c r="D2865" s="1"/>
      <c r="E2865" s="6"/>
      <c r="F2865" s="1"/>
      <c r="G2865" s="6"/>
      <c r="H2865" s="6"/>
      <c r="I2865" s="6"/>
      <c r="J2865" s="6"/>
      <c r="K2865" s="6"/>
      <c r="L2865" s="6"/>
      <c r="M2865" s="6"/>
      <c r="N2865" s="6"/>
      <c r="O2865" s="7"/>
      <c r="P2865" s="6"/>
      <c r="Q2865" s="6"/>
      <c r="R2865" s="7"/>
      <c r="S2865" s="6"/>
      <c r="T2865" s="6"/>
      <c r="U2865" s="7"/>
      <c r="V2865" s="6"/>
      <c r="W2865" s="6"/>
      <c r="X2865" s="6"/>
      <c r="Y2865" s="6"/>
      <c r="Z2865" s="6"/>
      <c r="AA2865" s="7"/>
      <c r="AB2865" s="6"/>
      <c r="AC2865" s="6"/>
      <c r="AD2865" s="6"/>
      <c r="AE2865" s="12"/>
      <c r="AF2865" s="12"/>
      <c r="AG2865" s="12"/>
      <c r="AH2865" s="12"/>
      <c r="AI2865" s="6"/>
      <c r="AJ2865" s="12"/>
      <c r="AK2865" s="1"/>
      <c r="AL2865" s="12"/>
      <c r="AM2865" s="12"/>
      <c r="AN2865" s="1"/>
      <c r="AO2865" s="6"/>
    </row>
    <row r="2866" spans="1:41" ht="15" x14ac:dyDescent="0.25">
      <c r="A2866" s="1"/>
      <c r="B2866" s="1"/>
      <c r="C2866" s="1"/>
      <c r="D2866" s="1"/>
      <c r="E2866" s="6"/>
      <c r="F2866" s="1"/>
      <c r="G2866" s="6"/>
      <c r="H2866" s="6"/>
      <c r="I2866" s="6"/>
      <c r="J2866" s="6"/>
      <c r="K2866" s="6"/>
      <c r="L2866" s="6"/>
      <c r="M2866" s="6"/>
      <c r="N2866" s="6"/>
      <c r="O2866" s="7"/>
      <c r="P2866" s="12"/>
      <c r="Q2866" s="6"/>
      <c r="R2866" s="7"/>
      <c r="S2866" s="6"/>
      <c r="T2866" s="6"/>
      <c r="U2866" s="7"/>
      <c r="V2866" s="6"/>
      <c r="W2866" s="6"/>
      <c r="X2866" s="6"/>
      <c r="Y2866" s="6"/>
      <c r="Z2866" s="6"/>
      <c r="AA2866" s="7"/>
      <c r="AB2866" s="6"/>
      <c r="AC2866" s="6"/>
      <c r="AD2866" s="6"/>
      <c r="AE2866" s="12"/>
      <c r="AF2866" s="12"/>
      <c r="AG2866" s="12"/>
      <c r="AH2866" s="12"/>
      <c r="AI2866" s="6"/>
      <c r="AJ2866" s="12"/>
      <c r="AK2866" s="1"/>
      <c r="AL2866" s="12"/>
      <c r="AM2866" s="12"/>
      <c r="AN2866" s="1"/>
      <c r="AO2866" s="6"/>
    </row>
    <row r="2867" spans="1:41" ht="15" x14ac:dyDescent="0.25">
      <c r="A2867" s="1"/>
      <c r="B2867" s="1"/>
      <c r="C2867" s="1"/>
      <c r="D2867" s="1"/>
      <c r="E2867" s="6"/>
      <c r="F2867" s="1"/>
      <c r="G2867" s="6"/>
      <c r="H2867" s="6"/>
      <c r="I2867" s="6"/>
      <c r="J2867" s="6"/>
      <c r="K2867" s="6"/>
      <c r="L2867" s="6"/>
      <c r="M2867" s="6"/>
      <c r="N2867" s="6"/>
      <c r="O2867" s="7"/>
      <c r="P2867" s="6"/>
      <c r="Q2867" s="6"/>
      <c r="R2867" s="12"/>
      <c r="S2867" s="12"/>
      <c r="T2867" s="12"/>
      <c r="U2867" s="7"/>
      <c r="V2867" s="6"/>
      <c r="W2867" s="6"/>
      <c r="X2867" s="12"/>
      <c r="Y2867" s="6"/>
      <c r="Z2867" s="6"/>
      <c r="AA2867" s="7"/>
      <c r="AB2867" s="6"/>
      <c r="AC2867" s="6"/>
      <c r="AD2867" s="6"/>
      <c r="AE2867" s="12"/>
      <c r="AF2867" s="12"/>
      <c r="AG2867" s="12"/>
      <c r="AH2867" s="12"/>
      <c r="AI2867" s="6"/>
      <c r="AJ2867" s="12"/>
      <c r="AK2867" s="1"/>
      <c r="AL2867" s="12"/>
      <c r="AM2867" s="12"/>
      <c r="AN2867" s="1"/>
      <c r="AO2867" s="6"/>
    </row>
    <row r="2868" spans="1:41" ht="15" x14ac:dyDescent="0.25">
      <c r="A2868" s="1"/>
      <c r="B2868" s="1"/>
      <c r="C2868" s="1"/>
      <c r="D2868" s="1"/>
      <c r="E2868" s="6"/>
      <c r="F2868" s="1"/>
      <c r="G2868" s="6"/>
      <c r="H2868" s="6"/>
      <c r="I2868" s="6"/>
      <c r="J2868" s="6"/>
      <c r="K2868" s="6"/>
      <c r="L2868" s="6"/>
      <c r="M2868" s="6"/>
      <c r="N2868" s="6"/>
      <c r="O2868" s="7"/>
      <c r="P2868" s="6"/>
      <c r="Q2868" s="6"/>
      <c r="R2868" s="7"/>
      <c r="S2868" s="6"/>
      <c r="T2868" s="6"/>
      <c r="U2868" s="7"/>
      <c r="V2868" s="6"/>
      <c r="W2868" s="6"/>
      <c r="X2868" s="6"/>
      <c r="Y2868" s="6"/>
      <c r="Z2868" s="6"/>
      <c r="AA2868" s="7"/>
      <c r="AB2868" s="6"/>
      <c r="AC2868" s="6"/>
      <c r="AD2868" s="6"/>
      <c r="AE2868" s="12"/>
      <c r="AF2868" s="6"/>
      <c r="AG2868" s="12"/>
      <c r="AH2868" s="6"/>
      <c r="AI2868" s="6"/>
      <c r="AJ2868" s="12"/>
      <c r="AK2868" s="24"/>
      <c r="AL2868" s="25"/>
      <c r="AM2868" s="12"/>
      <c r="AN2868" s="1"/>
      <c r="AO2868" s="6"/>
    </row>
    <row r="2869" spans="1:41" ht="15" x14ac:dyDescent="0.25">
      <c r="A2869" s="1"/>
      <c r="B2869" s="1"/>
      <c r="C2869" s="1"/>
      <c r="D2869" s="1"/>
      <c r="E2869" s="6"/>
      <c r="F2869" s="1"/>
      <c r="G2869" s="6"/>
      <c r="H2869" s="6"/>
      <c r="I2869" s="6"/>
      <c r="J2869" s="6"/>
      <c r="K2869" s="6"/>
      <c r="L2869" s="6"/>
      <c r="M2869" s="6"/>
      <c r="N2869" s="6"/>
      <c r="O2869" s="7"/>
      <c r="P2869" s="6"/>
      <c r="Q2869" s="6"/>
      <c r="R2869" s="7"/>
      <c r="S2869" s="6"/>
      <c r="T2869" s="6"/>
      <c r="U2869" s="7"/>
      <c r="V2869" s="6"/>
      <c r="W2869" s="6"/>
      <c r="X2869" s="6"/>
      <c r="Y2869" s="6"/>
      <c r="Z2869" s="6"/>
      <c r="AA2869" s="7"/>
      <c r="AB2869" s="6"/>
      <c r="AC2869" s="6"/>
      <c r="AD2869" s="6"/>
      <c r="AE2869" s="12"/>
      <c r="AF2869" s="6"/>
      <c r="AG2869" s="12"/>
      <c r="AH2869" s="6"/>
      <c r="AI2869" s="6"/>
      <c r="AJ2869" s="12"/>
      <c r="AK2869" s="1"/>
      <c r="AL2869" s="12"/>
      <c r="AM2869" s="12"/>
      <c r="AN2869" s="1"/>
      <c r="AO2869" s="6"/>
    </row>
    <row r="2870" spans="1:41" ht="15" x14ac:dyDescent="0.25">
      <c r="A2870" s="1"/>
      <c r="B2870" s="1"/>
      <c r="C2870" s="1"/>
      <c r="D2870" s="1"/>
      <c r="E2870" s="6"/>
      <c r="F2870" s="1"/>
      <c r="G2870" s="6"/>
      <c r="H2870" s="6"/>
      <c r="I2870" s="6"/>
      <c r="J2870" s="6"/>
      <c r="K2870" s="6"/>
      <c r="L2870" s="6"/>
      <c r="M2870" s="6"/>
      <c r="N2870" s="6"/>
      <c r="O2870" s="7"/>
      <c r="P2870" s="6"/>
      <c r="Q2870" s="6"/>
      <c r="R2870" s="7"/>
      <c r="S2870" s="6"/>
      <c r="T2870" s="6"/>
      <c r="U2870" s="7"/>
      <c r="V2870" s="6"/>
      <c r="W2870" s="6"/>
      <c r="X2870" s="12"/>
      <c r="Y2870" s="6"/>
      <c r="Z2870" s="6"/>
      <c r="AA2870" s="7"/>
      <c r="AB2870" s="6"/>
      <c r="AC2870" s="6"/>
      <c r="AD2870" s="6"/>
      <c r="AE2870" s="12"/>
      <c r="AF2870" s="12"/>
      <c r="AG2870" s="12"/>
      <c r="AH2870" s="12"/>
      <c r="AI2870" s="6"/>
      <c r="AJ2870" s="12"/>
      <c r="AK2870" s="24"/>
      <c r="AL2870" s="25"/>
      <c r="AM2870" s="12"/>
      <c r="AN2870" s="1"/>
      <c r="AO2870" s="6"/>
    </row>
    <row r="2871" spans="1:41" ht="15" x14ac:dyDescent="0.25">
      <c r="A2871" s="1"/>
      <c r="B2871" s="1"/>
      <c r="C2871" s="1"/>
      <c r="D2871" s="1"/>
      <c r="E2871" s="6"/>
      <c r="F2871" s="1"/>
      <c r="G2871" s="6"/>
      <c r="H2871" s="6"/>
      <c r="I2871" s="6"/>
      <c r="J2871" s="6"/>
      <c r="K2871" s="6"/>
      <c r="L2871" s="6"/>
      <c r="M2871" s="6"/>
      <c r="N2871" s="6"/>
      <c r="O2871" s="7"/>
      <c r="P2871" s="12"/>
      <c r="Q2871" s="6"/>
      <c r="R2871" s="7"/>
      <c r="S2871" s="6"/>
      <c r="T2871" s="6"/>
      <c r="U2871" s="7"/>
      <c r="V2871" s="6"/>
      <c r="W2871" s="6"/>
      <c r="X2871" s="6"/>
      <c r="Y2871" s="6"/>
      <c r="Z2871" s="6"/>
      <c r="AA2871" s="7"/>
      <c r="AB2871" s="6"/>
      <c r="AC2871" s="6"/>
      <c r="AD2871" s="6"/>
      <c r="AE2871" s="12"/>
      <c r="AF2871" s="12"/>
      <c r="AG2871" s="12"/>
      <c r="AH2871" s="12"/>
      <c r="AI2871" s="6"/>
      <c r="AJ2871" s="12"/>
      <c r="AK2871" s="1"/>
      <c r="AL2871" s="12"/>
      <c r="AM2871" s="12"/>
      <c r="AN2871" s="1"/>
      <c r="AO2871" s="6"/>
    </row>
    <row r="2872" spans="1:41" ht="15" x14ac:dyDescent="0.25">
      <c r="A2872" s="1"/>
      <c r="B2872" s="1"/>
      <c r="C2872" s="1"/>
      <c r="D2872" s="1"/>
      <c r="E2872" s="6"/>
      <c r="F2872" s="1"/>
      <c r="G2872" s="6"/>
      <c r="H2872" s="6"/>
      <c r="I2872" s="6"/>
      <c r="J2872" s="6"/>
      <c r="K2872" s="12"/>
      <c r="L2872" s="12"/>
      <c r="M2872" s="6"/>
      <c r="N2872" s="6"/>
      <c r="O2872" s="7"/>
      <c r="P2872" s="6"/>
      <c r="Q2872" s="7"/>
      <c r="R2872" s="6"/>
      <c r="S2872" s="12"/>
      <c r="T2872" s="6"/>
      <c r="U2872" s="6"/>
      <c r="V2872" s="7"/>
      <c r="W2872" s="7"/>
      <c r="X2872" s="6"/>
      <c r="Y2872" s="6"/>
      <c r="Z2872" s="6"/>
      <c r="AA2872" s="1"/>
      <c r="AB2872" s="12"/>
      <c r="AC2872" s="12"/>
      <c r="AD2872" s="12"/>
      <c r="AE2872" s="12"/>
      <c r="AF2872" s="12"/>
      <c r="AG2872" s="12"/>
      <c r="AH2872" s="12"/>
      <c r="AI2872" s="6"/>
      <c r="AJ2872" s="12"/>
      <c r="AK2872" s="12"/>
      <c r="AL2872" s="12"/>
      <c r="AM2872" s="12"/>
      <c r="AN2872" s="1"/>
      <c r="AO2872" s="6"/>
    </row>
    <row r="2873" spans="1:41" ht="15" x14ac:dyDescent="0.25">
      <c r="A2873" s="1"/>
      <c r="B2873" s="1"/>
      <c r="C2873" s="1"/>
      <c r="D2873" s="1"/>
      <c r="E2873" s="6"/>
      <c r="F2873" s="1"/>
      <c r="G2873" s="6"/>
      <c r="H2873" s="6"/>
      <c r="I2873" s="6"/>
      <c r="J2873" s="6"/>
      <c r="K2873" s="6"/>
      <c r="L2873" s="6"/>
      <c r="M2873" s="6"/>
      <c r="N2873" s="6"/>
      <c r="O2873" s="7"/>
      <c r="P2873" s="6"/>
      <c r="Q2873" s="6"/>
      <c r="R2873" s="7"/>
      <c r="S2873" s="6"/>
      <c r="T2873" s="6"/>
      <c r="U2873" s="7"/>
      <c r="V2873" s="6"/>
      <c r="W2873" s="6"/>
      <c r="X2873" s="6"/>
      <c r="Y2873" s="6"/>
      <c r="Z2873" s="6"/>
      <c r="AA2873" s="7"/>
      <c r="AB2873" s="6"/>
      <c r="AC2873" s="6"/>
      <c r="AD2873" s="6"/>
      <c r="AE2873" s="12"/>
      <c r="AF2873" s="12"/>
      <c r="AG2873" s="12"/>
      <c r="AH2873" s="12"/>
      <c r="AI2873" s="6"/>
      <c r="AJ2873" s="12"/>
      <c r="AK2873" s="1"/>
      <c r="AL2873" s="12"/>
      <c r="AM2873" s="12"/>
      <c r="AN2873" s="1"/>
      <c r="AO2873" s="6"/>
    </row>
    <row r="2874" spans="1:41" ht="15" x14ac:dyDescent="0.25">
      <c r="A2874" s="1"/>
      <c r="B2874" s="1"/>
      <c r="C2874" s="1"/>
      <c r="D2874" s="1"/>
      <c r="E2874" s="6"/>
      <c r="F2874" s="1"/>
      <c r="G2874" s="6"/>
      <c r="H2874" s="6"/>
      <c r="I2874" s="6"/>
      <c r="J2874" s="6"/>
      <c r="K2874" s="6"/>
      <c r="L2874" s="6"/>
      <c r="M2874" s="6"/>
      <c r="N2874" s="6"/>
      <c r="O2874" s="7"/>
      <c r="P2874" s="6"/>
      <c r="Q2874" s="6"/>
      <c r="R2874" s="7"/>
      <c r="S2874" s="6"/>
      <c r="T2874" s="6"/>
      <c r="U2874" s="7"/>
      <c r="V2874" s="6"/>
      <c r="W2874" s="6"/>
      <c r="X2874" s="6"/>
      <c r="Y2874" s="6"/>
      <c r="Z2874" s="6"/>
      <c r="AA2874" s="7"/>
      <c r="AB2874" s="6"/>
      <c r="AC2874" s="6"/>
      <c r="AD2874" s="6"/>
      <c r="AE2874" s="12"/>
      <c r="AF2874" s="12"/>
      <c r="AG2874" s="12"/>
      <c r="AH2874" s="12"/>
      <c r="AI2874" s="6"/>
      <c r="AJ2874" s="12"/>
      <c r="AK2874" s="1"/>
      <c r="AL2874" s="12"/>
      <c r="AM2874" s="12"/>
      <c r="AN2874" s="1"/>
      <c r="AO2874" s="6"/>
    </row>
    <row r="2875" spans="1:41" ht="15" x14ac:dyDescent="0.25">
      <c r="A2875" s="1"/>
      <c r="B2875" s="1"/>
      <c r="C2875" s="1"/>
      <c r="D2875" s="1"/>
      <c r="E2875" s="6"/>
      <c r="F2875" s="1"/>
      <c r="G2875" s="6"/>
      <c r="H2875" s="6"/>
      <c r="I2875" s="6"/>
      <c r="J2875" s="6"/>
      <c r="K2875" s="6"/>
      <c r="L2875" s="6"/>
      <c r="M2875" s="6"/>
      <c r="N2875" s="6"/>
      <c r="O2875" s="7"/>
      <c r="P2875" s="6"/>
      <c r="Q2875" s="6"/>
      <c r="R2875" s="7"/>
      <c r="S2875" s="6"/>
      <c r="T2875" s="6"/>
      <c r="U2875" s="7"/>
      <c r="V2875" s="6"/>
      <c r="W2875" s="6"/>
      <c r="X2875" s="6"/>
      <c r="Y2875" s="6"/>
      <c r="Z2875" s="6"/>
      <c r="AA2875" s="7"/>
      <c r="AB2875" s="6"/>
      <c r="AC2875" s="6"/>
      <c r="AD2875" s="6"/>
      <c r="AE2875" s="12"/>
      <c r="AF2875" s="12"/>
      <c r="AG2875" s="12"/>
      <c r="AH2875" s="12"/>
      <c r="AI2875" s="6"/>
      <c r="AJ2875" s="12"/>
      <c r="AK2875" s="1"/>
      <c r="AL2875" s="12"/>
      <c r="AM2875" s="12"/>
      <c r="AN2875" s="1"/>
      <c r="AO2875" s="6"/>
    </row>
    <row r="2876" spans="1:41" ht="15" x14ac:dyDescent="0.25">
      <c r="A2876" s="1"/>
      <c r="B2876" s="1"/>
      <c r="C2876" s="1"/>
      <c r="D2876" s="1"/>
      <c r="E2876" s="6"/>
      <c r="F2876" s="1"/>
      <c r="G2876" s="6"/>
      <c r="H2876" s="6"/>
      <c r="I2876" s="6"/>
      <c r="J2876" s="6"/>
      <c r="K2876" s="6"/>
      <c r="L2876" s="6"/>
      <c r="M2876" s="6"/>
      <c r="N2876" s="6"/>
      <c r="O2876" s="7"/>
      <c r="P2876" s="6"/>
      <c r="Q2876" s="6"/>
      <c r="R2876" s="7"/>
      <c r="S2876" s="6"/>
      <c r="T2876" s="6"/>
      <c r="U2876" s="7"/>
      <c r="V2876" s="6"/>
      <c r="W2876" s="6"/>
      <c r="X2876" s="12"/>
      <c r="Y2876" s="6"/>
      <c r="Z2876" s="6"/>
      <c r="AA2876" s="7"/>
      <c r="AB2876" s="6"/>
      <c r="AC2876" s="6"/>
      <c r="AD2876" s="6"/>
      <c r="AE2876" s="12"/>
      <c r="AF2876" s="12"/>
      <c r="AG2876" s="12"/>
      <c r="AH2876" s="12"/>
      <c r="AI2876" s="6"/>
      <c r="AJ2876" s="12"/>
      <c r="AK2876" s="1"/>
      <c r="AL2876" s="12"/>
      <c r="AM2876" s="12"/>
      <c r="AN2876" s="1"/>
      <c r="AO2876" s="6"/>
    </row>
    <row r="2877" spans="1:41" ht="15" x14ac:dyDescent="0.25">
      <c r="A2877" s="1"/>
      <c r="B2877" s="1"/>
      <c r="C2877" s="1"/>
      <c r="D2877" s="1"/>
      <c r="E2877" s="6"/>
      <c r="F2877" s="1"/>
      <c r="G2877" s="6"/>
      <c r="H2877" s="6"/>
      <c r="I2877" s="6"/>
      <c r="J2877" s="6"/>
      <c r="K2877" s="6"/>
      <c r="L2877" s="6"/>
      <c r="M2877" s="6"/>
      <c r="N2877" s="6"/>
      <c r="O2877" s="7"/>
      <c r="P2877" s="6"/>
      <c r="Q2877" s="6"/>
      <c r="R2877" s="7"/>
      <c r="S2877" s="6"/>
      <c r="T2877" s="6"/>
      <c r="U2877" s="7"/>
      <c r="V2877" s="6"/>
      <c r="W2877" s="6"/>
      <c r="X2877" s="6"/>
      <c r="Y2877" s="6"/>
      <c r="Z2877" s="6"/>
      <c r="AA2877" s="7"/>
      <c r="AB2877" s="6"/>
      <c r="AC2877" s="6"/>
      <c r="AD2877" s="6"/>
      <c r="AE2877" s="12"/>
      <c r="AF2877" s="6"/>
      <c r="AG2877" s="12"/>
      <c r="AH2877" s="6"/>
      <c r="AI2877" s="6"/>
      <c r="AJ2877" s="12"/>
      <c r="AK2877" s="24"/>
      <c r="AL2877" s="25"/>
      <c r="AM2877" s="12"/>
      <c r="AN2877" s="1"/>
      <c r="AO2877" s="6"/>
    </row>
    <row r="2878" spans="1:41" ht="15" x14ac:dyDescent="0.25">
      <c r="A2878" s="1"/>
      <c r="B2878" s="1"/>
      <c r="C2878" s="1"/>
      <c r="D2878" s="1"/>
      <c r="E2878" s="6"/>
      <c r="F2878" s="1"/>
      <c r="G2878" s="6"/>
      <c r="H2878" s="6"/>
      <c r="I2878" s="6"/>
      <c r="J2878" s="6"/>
      <c r="K2878" s="6"/>
      <c r="L2878" s="6"/>
      <c r="M2878" s="6"/>
      <c r="N2878" s="6"/>
      <c r="O2878" s="7"/>
      <c r="P2878" s="6"/>
      <c r="Q2878" s="6"/>
      <c r="R2878" s="7"/>
      <c r="S2878" s="6"/>
      <c r="T2878" s="6"/>
      <c r="U2878" s="7"/>
      <c r="V2878" s="6"/>
      <c r="W2878" s="6"/>
      <c r="X2878" s="12"/>
      <c r="Y2878" s="6"/>
      <c r="Z2878" s="6"/>
      <c r="AA2878" s="7"/>
      <c r="AB2878" s="6"/>
      <c r="AC2878" s="6"/>
      <c r="AD2878" s="6"/>
      <c r="AE2878" s="12"/>
      <c r="AF2878" s="12"/>
      <c r="AG2878" s="12"/>
      <c r="AH2878" s="12"/>
      <c r="AI2878" s="6"/>
      <c r="AJ2878" s="12"/>
      <c r="AK2878" s="1"/>
      <c r="AL2878" s="12"/>
      <c r="AM2878" s="12"/>
      <c r="AN2878" s="1"/>
      <c r="AO2878" s="6"/>
    </row>
    <row r="2879" spans="1:41" ht="15" x14ac:dyDescent="0.25">
      <c r="A2879" s="1"/>
      <c r="B2879" s="1"/>
      <c r="C2879" s="1"/>
      <c r="D2879" s="1"/>
      <c r="E2879" s="6"/>
      <c r="F2879" s="1"/>
      <c r="G2879" s="6"/>
      <c r="H2879" s="6"/>
      <c r="I2879" s="6"/>
      <c r="J2879" s="6"/>
      <c r="K2879" s="6"/>
      <c r="L2879" s="6"/>
      <c r="M2879" s="6"/>
      <c r="N2879" s="6"/>
      <c r="O2879" s="7"/>
      <c r="P2879" s="12"/>
      <c r="Q2879" s="6"/>
      <c r="R2879" s="7"/>
      <c r="S2879" s="6"/>
      <c r="T2879" s="6"/>
      <c r="U2879" s="7"/>
      <c r="V2879" s="6"/>
      <c r="W2879" s="6"/>
      <c r="X2879" s="6"/>
      <c r="Y2879" s="6"/>
      <c r="Z2879" s="6"/>
      <c r="AA2879" s="7"/>
      <c r="AB2879" s="6"/>
      <c r="AC2879" s="6"/>
      <c r="AD2879" s="6"/>
      <c r="AE2879" s="12"/>
      <c r="AF2879" s="6"/>
      <c r="AG2879" s="12"/>
      <c r="AH2879" s="6"/>
      <c r="AI2879" s="6"/>
      <c r="AJ2879" s="12"/>
      <c r="AK2879" s="24"/>
      <c r="AL2879" s="25"/>
      <c r="AM2879" s="12"/>
      <c r="AN2879" s="1"/>
      <c r="AO2879" s="6"/>
    </row>
    <row r="2880" spans="1:41" ht="15" x14ac:dyDescent="0.25">
      <c r="A2880" s="1"/>
      <c r="B2880" s="1"/>
      <c r="C2880" s="1"/>
      <c r="D2880" s="1"/>
      <c r="E2880" s="6"/>
      <c r="F2880" s="1"/>
      <c r="G2880" s="6"/>
      <c r="H2880" s="6"/>
      <c r="I2880" s="6"/>
      <c r="J2880" s="6"/>
      <c r="K2880" s="6"/>
      <c r="L2880" s="6"/>
      <c r="M2880" s="6"/>
      <c r="N2880" s="6"/>
      <c r="O2880" s="7"/>
      <c r="P2880" s="6"/>
      <c r="Q2880" s="6"/>
      <c r="R2880" s="7"/>
      <c r="S2880" s="6"/>
      <c r="T2880" s="6"/>
      <c r="U2880" s="7"/>
      <c r="V2880" s="6"/>
      <c r="W2880" s="6"/>
      <c r="X2880" s="6"/>
      <c r="Y2880" s="6"/>
      <c r="Z2880" s="6"/>
      <c r="AA2880" s="7"/>
      <c r="AB2880" s="6"/>
      <c r="AC2880" s="6"/>
      <c r="AD2880" s="6"/>
      <c r="AE2880" s="12"/>
      <c r="AF2880" s="6"/>
      <c r="AG2880" s="12"/>
      <c r="AH2880" s="6"/>
      <c r="AI2880" s="6"/>
      <c r="AJ2880" s="12"/>
      <c r="AK2880" s="1"/>
      <c r="AL2880" s="12"/>
      <c r="AM2880" s="12"/>
      <c r="AN2880" s="1"/>
      <c r="AO2880" s="6"/>
    </row>
    <row r="2881" spans="1:41" ht="15" x14ac:dyDescent="0.25">
      <c r="A2881" s="1"/>
      <c r="B2881" s="1"/>
      <c r="C2881" s="1"/>
      <c r="D2881" s="1"/>
      <c r="E2881" s="6"/>
      <c r="F2881" s="1"/>
      <c r="G2881" s="6"/>
      <c r="H2881" s="6"/>
      <c r="I2881" s="6"/>
      <c r="J2881" s="6"/>
      <c r="K2881" s="6"/>
      <c r="L2881" s="6"/>
      <c r="M2881" s="6"/>
      <c r="N2881" s="6"/>
      <c r="O2881" s="7"/>
      <c r="P2881" s="6"/>
      <c r="Q2881" s="6"/>
      <c r="R2881" s="7"/>
      <c r="S2881" s="6"/>
      <c r="T2881" s="6"/>
      <c r="U2881" s="7"/>
      <c r="V2881" s="6"/>
      <c r="W2881" s="6"/>
      <c r="X2881" s="12"/>
      <c r="Y2881" s="6"/>
      <c r="Z2881" s="6"/>
      <c r="AA2881" s="7"/>
      <c r="AB2881" s="6"/>
      <c r="AC2881" s="6"/>
      <c r="AD2881" s="6"/>
      <c r="AE2881" s="12"/>
      <c r="AF2881" s="6"/>
      <c r="AG2881" s="12"/>
      <c r="AH2881" s="6"/>
      <c r="AI2881" s="6"/>
      <c r="AJ2881" s="12"/>
      <c r="AK2881" s="1"/>
      <c r="AL2881" s="12"/>
      <c r="AM2881" s="12"/>
      <c r="AN2881" s="1"/>
      <c r="AO2881" s="6"/>
    </row>
    <row r="2882" spans="1:41" ht="15" x14ac:dyDescent="0.25">
      <c r="A2882" s="1"/>
      <c r="B2882" s="1"/>
      <c r="C2882" s="1"/>
      <c r="D2882" s="1"/>
      <c r="E2882" s="6"/>
      <c r="F2882" s="1"/>
      <c r="G2882" s="6"/>
      <c r="H2882" s="6"/>
      <c r="I2882" s="6"/>
      <c r="J2882" s="6"/>
      <c r="K2882" s="6"/>
      <c r="L2882" s="6"/>
      <c r="M2882" s="6"/>
      <c r="N2882" s="6"/>
      <c r="O2882" s="7"/>
      <c r="P2882" s="6"/>
      <c r="Q2882" s="6"/>
      <c r="R2882" s="7"/>
      <c r="S2882" s="6"/>
      <c r="T2882" s="6"/>
      <c r="U2882" s="7"/>
      <c r="V2882" s="6"/>
      <c r="W2882" s="6"/>
      <c r="X2882" s="6"/>
      <c r="Y2882" s="6"/>
      <c r="Z2882" s="6"/>
      <c r="AA2882" s="7"/>
      <c r="AB2882" s="6"/>
      <c r="AC2882" s="6"/>
      <c r="AD2882" s="6"/>
      <c r="AE2882" s="12"/>
      <c r="AF2882" s="12"/>
      <c r="AG2882" s="12"/>
      <c r="AH2882" s="12"/>
      <c r="AI2882" s="6"/>
      <c r="AJ2882" s="12"/>
      <c r="AK2882" s="1"/>
      <c r="AL2882" s="12"/>
      <c r="AM2882" s="12"/>
      <c r="AN2882" s="1"/>
      <c r="AO2882" s="6"/>
    </row>
    <row r="2883" spans="1:41" ht="15" x14ac:dyDescent="0.25">
      <c r="A2883" s="1"/>
      <c r="B2883" s="1"/>
      <c r="C2883" s="1"/>
      <c r="D2883" s="1"/>
      <c r="E2883" s="6"/>
      <c r="F2883" s="1"/>
      <c r="G2883" s="6"/>
      <c r="H2883" s="6"/>
      <c r="I2883" s="6"/>
      <c r="J2883" s="6"/>
      <c r="K2883" s="6"/>
      <c r="L2883" s="6"/>
      <c r="M2883" s="6"/>
      <c r="N2883" s="6"/>
      <c r="O2883" s="7"/>
      <c r="P2883" s="6"/>
      <c r="Q2883" s="7"/>
      <c r="R2883" s="6"/>
      <c r="S2883" s="6"/>
      <c r="T2883" s="6"/>
      <c r="U2883" s="6"/>
      <c r="V2883" s="7"/>
      <c r="W2883" s="7"/>
      <c r="X2883" s="6"/>
      <c r="Y2883" s="6"/>
      <c r="Z2883" s="6"/>
      <c r="AA2883" s="1"/>
      <c r="AB2883" s="12"/>
      <c r="AC2883" s="12"/>
      <c r="AD2883" s="12"/>
      <c r="AE2883" s="12"/>
      <c r="AF2883" s="12"/>
      <c r="AG2883" s="12"/>
      <c r="AH2883" s="12"/>
      <c r="AI2883" s="6"/>
      <c r="AJ2883" s="12"/>
      <c r="AK2883" s="12"/>
      <c r="AL2883" s="12"/>
      <c r="AM2883" s="12"/>
      <c r="AN2883" s="1"/>
      <c r="AO2883" s="6"/>
    </row>
    <row r="2884" spans="1:41" ht="15" x14ac:dyDescent="0.25">
      <c r="A2884" s="1"/>
      <c r="B2884" s="1"/>
      <c r="C2884" s="1"/>
      <c r="D2884" s="1"/>
      <c r="E2884" s="6"/>
      <c r="F2884" s="1"/>
      <c r="G2884" s="6"/>
      <c r="H2884" s="6"/>
      <c r="I2884" s="6"/>
      <c r="J2884" s="6"/>
      <c r="K2884" s="12"/>
      <c r="L2884" s="12"/>
      <c r="M2884" s="6"/>
      <c r="N2884" s="6"/>
      <c r="O2884" s="7"/>
      <c r="P2884" s="12"/>
      <c r="Q2884" s="6"/>
      <c r="R2884" s="7"/>
      <c r="S2884" s="6"/>
      <c r="T2884" s="6"/>
      <c r="U2884" s="7"/>
      <c r="V2884" s="6"/>
      <c r="W2884" s="6"/>
      <c r="X2884" s="6"/>
      <c r="Y2884" s="6"/>
      <c r="Z2884" s="6"/>
      <c r="AA2884" s="7"/>
      <c r="AB2884" s="6"/>
      <c r="AC2884" s="6"/>
      <c r="AD2884" s="6"/>
      <c r="AE2884" s="12"/>
      <c r="AF2884" s="12"/>
      <c r="AG2884" s="12"/>
      <c r="AH2884" s="12"/>
      <c r="AI2884" s="6"/>
      <c r="AJ2884" s="12"/>
      <c r="AK2884" s="1"/>
      <c r="AL2884" s="12"/>
      <c r="AM2884" s="12"/>
      <c r="AN2884" s="1"/>
      <c r="AO2884" s="12"/>
    </row>
    <row r="2885" spans="1:41" ht="15" x14ac:dyDescent="0.25">
      <c r="A2885" s="1"/>
      <c r="B2885" s="1"/>
      <c r="C2885" s="1"/>
      <c r="D2885" s="1"/>
      <c r="E2885" s="6"/>
      <c r="F2885" s="1"/>
      <c r="G2885" s="6"/>
      <c r="H2885" s="6"/>
      <c r="I2885" s="6"/>
      <c r="J2885" s="6"/>
      <c r="K2885" s="6"/>
      <c r="L2885" s="6"/>
      <c r="M2885" s="6"/>
      <c r="N2885" s="6"/>
      <c r="O2885" s="7"/>
      <c r="P2885" s="6"/>
      <c r="Q2885" s="6"/>
      <c r="R2885" s="7"/>
      <c r="S2885" s="6"/>
      <c r="T2885" s="6"/>
      <c r="U2885" s="7"/>
      <c r="V2885" s="6"/>
      <c r="W2885" s="6"/>
      <c r="X2885" s="12"/>
      <c r="Y2885" s="6"/>
      <c r="Z2885" s="6"/>
      <c r="AA2885" s="7"/>
      <c r="AB2885" s="6"/>
      <c r="AC2885" s="6"/>
      <c r="AD2885" s="6"/>
      <c r="AE2885" s="12"/>
      <c r="AF2885" s="12"/>
      <c r="AG2885" s="12"/>
      <c r="AH2885" s="12"/>
      <c r="AI2885" s="6"/>
      <c r="AJ2885" s="12"/>
      <c r="AK2885" s="1"/>
      <c r="AL2885" s="12"/>
      <c r="AM2885" s="12"/>
      <c r="AN2885" s="1"/>
      <c r="AO2885" s="6"/>
    </row>
    <row r="2886" spans="1:41" ht="15" x14ac:dyDescent="0.25">
      <c r="A2886" s="1"/>
      <c r="B2886" s="1"/>
      <c r="C2886" s="1"/>
      <c r="D2886" s="1"/>
      <c r="E2886" s="6"/>
      <c r="F2886" s="1"/>
      <c r="G2886" s="6"/>
      <c r="H2886" s="6"/>
      <c r="I2886" s="6"/>
      <c r="J2886" s="6"/>
      <c r="K2886" s="6"/>
      <c r="L2886" s="6"/>
      <c r="M2886" s="6"/>
      <c r="N2886" s="6"/>
      <c r="O2886" s="7"/>
      <c r="P2886" s="6"/>
      <c r="Q2886" s="6"/>
      <c r="R2886" s="7"/>
      <c r="S2886" s="6"/>
      <c r="T2886" s="6"/>
      <c r="U2886" s="7"/>
      <c r="V2886" s="6"/>
      <c r="W2886" s="6"/>
      <c r="X2886" s="12"/>
      <c r="Y2886" s="6"/>
      <c r="Z2886" s="6"/>
      <c r="AA2886" s="7"/>
      <c r="AB2886" s="6"/>
      <c r="AC2886" s="6"/>
      <c r="AD2886" s="6"/>
      <c r="AE2886" s="12"/>
      <c r="AF2886" s="12"/>
      <c r="AG2886" s="12"/>
      <c r="AH2886" s="12"/>
      <c r="AI2886" s="6"/>
      <c r="AJ2886" s="12"/>
      <c r="AK2886" s="24"/>
      <c r="AL2886" s="25"/>
      <c r="AM2886" s="12"/>
      <c r="AN2886" s="1"/>
      <c r="AO2886" s="6"/>
    </row>
    <row r="2887" spans="1:41" ht="15" x14ac:dyDescent="0.25">
      <c r="A2887" s="1"/>
      <c r="B2887" s="1"/>
      <c r="C2887" s="1"/>
      <c r="D2887" s="1"/>
      <c r="E2887" s="6"/>
      <c r="F2887" s="1"/>
      <c r="G2887" s="6"/>
      <c r="H2887" s="6"/>
      <c r="I2887" s="6"/>
      <c r="J2887" s="6"/>
      <c r="K2887" s="6"/>
      <c r="L2887" s="6"/>
      <c r="M2887" s="6"/>
      <c r="N2887" s="6"/>
      <c r="O2887" s="7"/>
      <c r="P2887" s="6"/>
      <c r="Q2887" s="6"/>
      <c r="R2887" s="7"/>
      <c r="S2887" s="6"/>
      <c r="T2887" s="6"/>
      <c r="U2887" s="7"/>
      <c r="V2887" s="6"/>
      <c r="W2887" s="6"/>
      <c r="X2887" s="12"/>
      <c r="Y2887" s="6"/>
      <c r="Z2887" s="6"/>
      <c r="AA2887" s="7"/>
      <c r="AB2887" s="6"/>
      <c r="AC2887" s="6"/>
      <c r="AD2887" s="6"/>
      <c r="AE2887" s="12"/>
      <c r="AF2887" s="12"/>
      <c r="AG2887" s="12"/>
      <c r="AH2887" s="12"/>
      <c r="AI2887" s="6"/>
      <c r="AJ2887" s="12"/>
      <c r="AK2887" s="1"/>
      <c r="AL2887" s="12"/>
      <c r="AM2887" s="12"/>
      <c r="AN2887" s="1"/>
      <c r="AO2887" s="6"/>
    </row>
    <row r="2888" spans="1:41" ht="15" x14ac:dyDescent="0.25">
      <c r="A2888" s="1"/>
      <c r="B2888" s="1"/>
      <c r="C2888" s="1"/>
      <c r="D2888" s="1"/>
      <c r="E2888" s="6"/>
      <c r="F2888" s="1"/>
      <c r="G2888" s="6"/>
      <c r="H2888" s="6"/>
      <c r="I2888" s="6"/>
      <c r="J2888" s="6"/>
      <c r="K2888" s="6"/>
      <c r="L2888" s="6"/>
      <c r="M2888" s="6"/>
      <c r="N2888" s="6"/>
      <c r="O2888" s="7"/>
      <c r="P2888" s="6"/>
      <c r="Q2888" s="6"/>
      <c r="R2888" s="7"/>
      <c r="S2888" s="6"/>
      <c r="T2888" s="6"/>
      <c r="U2888" s="7"/>
      <c r="V2888" s="6"/>
      <c r="W2888" s="6"/>
      <c r="X2888" s="6"/>
      <c r="Y2888" s="6"/>
      <c r="Z2888" s="6"/>
      <c r="AA2888" s="7"/>
      <c r="AB2888" s="6"/>
      <c r="AC2888" s="6"/>
      <c r="AD2888" s="6"/>
      <c r="AE2888" s="12"/>
      <c r="AF2888" s="12"/>
      <c r="AG2888" s="12"/>
      <c r="AH2888" s="12"/>
      <c r="AI2888" s="6"/>
      <c r="AJ2888" s="12"/>
      <c r="AK2888" s="1"/>
      <c r="AL2888" s="12"/>
      <c r="AM2888" s="12"/>
      <c r="AN2888" s="1"/>
      <c r="AO2888" s="6"/>
    </row>
    <row r="2889" spans="1:41" ht="15" x14ac:dyDescent="0.25">
      <c r="A2889" s="1"/>
      <c r="B2889" s="1"/>
      <c r="C2889" s="1"/>
      <c r="D2889" s="1"/>
      <c r="E2889" s="6"/>
      <c r="F2889" s="1"/>
      <c r="G2889" s="6"/>
      <c r="H2889" s="6"/>
      <c r="I2889" s="6"/>
      <c r="J2889" s="6"/>
      <c r="K2889" s="6"/>
      <c r="L2889" s="6"/>
      <c r="M2889" s="6"/>
      <c r="N2889" s="6"/>
      <c r="O2889" s="7"/>
      <c r="P2889" s="6"/>
      <c r="Q2889" s="6"/>
      <c r="R2889" s="12"/>
      <c r="S2889" s="12"/>
      <c r="T2889" s="12"/>
      <c r="U2889" s="7"/>
      <c r="V2889" s="6"/>
      <c r="W2889" s="6"/>
      <c r="X2889" s="12"/>
      <c r="Y2889" s="6"/>
      <c r="Z2889" s="6"/>
      <c r="AA2889" s="7"/>
      <c r="AB2889" s="6"/>
      <c r="AC2889" s="6"/>
      <c r="AD2889" s="6"/>
      <c r="AE2889" s="12"/>
      <c r="AF2889" s="12"/>
      <c r="AG2889" s="12"/>
      <c r="AH2889" s="12"/>
      <c r="AI2889" s="6"/>
      <c r="AJ2889" s="12"/>
      <c r="AK2889" s="24"/>
      <c r="AL2889" s="25"/>
      <c r="AM2889" s="12"/>
      <c r="AN2889" s="1"/>
      <c r="AO2889" s="6"/>
    </row>
    <row r="2890" spans="1:41" ht="15" x14ac:dyDescent="0.25">
      <c r="A2890" s="1"/>
      <c r="B2890" s="1"/>
      <c r="C2890" s="1"/>
      <c r="D2890" s="1"/>
      <c r="E2890" s="6"/>
      <c r="F2890" s="1"/>
      <c r="G2890" s="6"/>
      <c r="H2890" s="6"/>
      <c r="I2890" s="6"/>
      <c r="J2890" s="6"/>
      <c r="K2890" s="6"/>
      <c r="L2890" s="6"/>
      <c r="M2890" s="6"/>
      <c r="N2890" s="6"/>
      <c r="O2890" s="7"/>
      <c r="P2890" s="6"/>
      <c r="Q2890" s="6"/>
      <c r="R2890" s="7"/>
      <c r="S2890" s="6"/>
      <c r="T2890" s="6"/>
      <c r="U2890" s="7"/>
      <c r="V2890" s="6"/>
      <c r="W2890" s="6"/>
      <c r="X2890" s="12"/>
      <c r="Y2890" s="6"/>
      <c r="Z2890" s="6"/>
      <c r="AA2890" s="7"/>
      <c r="AB2890" s="6"/>
      <c r="AC2890" s="6"/>
      <c r="AD2890" s="6"/>
      <c r="AE2890" s="12"/>
      <c r="AF2890" s="12"/>
      <c r="AG2890" s="12"/>
      <c r="AH2890" s="12"/>
      <c r="AI2890" s="6"/>
      <c r="AJ2890" s="12"/>
      <c r="AK2890" s="1"/>
      <c r="AL2890" s="12"/>
      <c r="AM2890" s="12"/>
      <c r="AN2890" s="1"/>
      <c r="AO2890" s="6"/>
    </row>
    <row r="2891" spans="1:41" ht="15" x14ac:dyDescent="0.25">
      <c r="A2891" s="1"/>
      <c r="B2891" s="1"/>
      <c r="C2891" s="1"/>
      <c r="D2891" s="1"/>
      <c r="E2891" s="6"/>
      <c r="F2891" s="1"/>
      <c r="G2891" s="6"/>
      <c r="H2891" s="6"/>
      <c r="I2891" s="6"/>
      <c r="J2891" s="6"/>
      <c r="K2891" s="6"/>
      <c r="L2891" s="6"/>
      <c r="M2891" s="6"/>
      <c r="N2891" s="6"/>
      <c r="O2891" s="7"/>
      <c r="P2891" s="6"/>
      <c r="Q2891" s="6"/>
      <c r="R2891" s="7"/>
      <c r="S2891" s="6"/>
      <c r="T2891" s="6"/>
      <c r="U2891" s="7"/>
      <c r="V2891" s="6"/>
      <c r="W2891" s="6"/>
      <c r="X2891" s="6"/>
      <c r="Y2891" s="6"/>
      <c r="Z2891" s="6"/>
      <c r="AA2891" s="7"/>
      <c r="AB2891" s="6"/>
      <c r="AC2891" s="6"/>
      <c r="AD2891" s="6"/>
      <c r="AE2891" s="12"/>
      <c r="AF2891" s="12"/>
      <c r="AG2891" s="12"/>
      <c r="AH2891" s="12"/>
      <c r="AI2891" s="6"/>
      <c r="AJ2891" s="12"/>
      <c r="AK2891" s="1"/>
      <c r="AL2891" s="12"/>
      <c r="AM2891" s="12"/>
      <c r="AN2891" s="1"/>
      <c r="AO2891" s="6"/>
    </row>
    <row r="2892" spans="1:41" ht="15" x14ac:dyDescent="0.25">
      <c r="A2892" s="1"/>
      <c r="B2892" s="1"/>
      <c r="C2892" s="1"/>
      <c r="D2892" s="1"/>
      <c r="E2892" s="6"/>
      <c r="F2892" s="1"/>
      <c r="G2892" s="6"/>
      <c r="H2892" s="6"/>
      <c r="I2892" s="6"/>
      <c r="J2892" s="6"/>
      <c r="K2892" s="6"/>
      <c r="L2892" s="6"/>
      <c r="M2892" s="6"/>
      <c r="N2892" s="6"/>
      <c r="O2892" s="7"/>
      <c r="P2892" s="6"/>
      <c r="Q2892" s="6"/>
      <c r="R2892" s="7"/>
      <c r="S2892" s="6"/>
      <c r="T2892" s="6"/>
      <c r="U2892" s="7"/>
      <c r="V2892" s="6"/>
      <c r="W2892" s="6"/>
      <c r="X2892" s="12"/>
      <c r="Y2892" s="6"/>
      <c r="Z2892" s="6"/>
      <c r="AA2892" s="7"/>
      <c r="AB2892" s="6"/>
      <c r="AC2892" s="6"/>
      <c r="AD2892" s="6"/>
      <c r="AE2892" s="12"/>
      <c r="AF2892" s="12"/>
      <c r="AG2892" s="12"/>
      <c r="AH2892" s="12"/>
      <c r="AI2892" s="6"/>
      <c r="AJ2892" s="12"/>
      <c r="AK2892" s="1"/>
      <c r="AL2892" s="12"/>
      <c r="AM2892" s="12"/>
      <c r="AN2892" s="1"/>
      <c r="AO2892" s="6"/>
    </row>
    <row r="2893" spans="1:41" ht="15" x14ac:dyDescent="0.25">
      <c r="A2893" s="1"/>
      <c r="B2893" s="1"/>
      <c r="C2893" s="1"/>
      <c r="D2893" s="1"/>
      <c r="E2893" s="6"/>
      <c r="F2893" s="1"/>
      <c r="G2893" s="6"/>
      <c r="H2893" s="6"/>
      <c r="I2893" s="6"/>
      <c r="J2893" s="6"/>
      <c r="K2893" s="6"/>
      <c r="L2893" s="6"/>
      <c r="M2893" s="6"/>
      <c r="N2893" s="6"/>
      <c r="O2893" s="7"/>
      <c r="P2893" s="6"/>
      <c r="Q2893" s="6"/>
      <c r="R2893" s="7"/>
      <c r="S2893" s="6"/>
      <c r="T2893" s="6"/>
      <c r="U2893" s="7"/>
      <c r="V2893" s="6"/>
      <c r="W2893" s="6"/>
      <c r="X2893" s="6"/>
      <c r="Y2893" s="6"/>
      <c r="Z2893" s="6"/>
      <c r="AA2893" s="7"/>
      <c r="AB2893" s="6"/>
      <c r="AC2893" s="6"/>
      <c r="AD2893" s="6"/>
      <c r="AE2893" s="12"/>
      <c r="AF2893" s="6"/>
      <c r="AG2893" s="12"/>
      <c r="AH2893" s="6"/>
      <c r="AI2893" s="6"/>
      <c r="AJ2893" s="12"/>
      <c r="AK2893" s="1"/>
      <c r="AL2893" s="12"/>
      <c r="AM2893" s="12"/>
      <c r="AN2893" s="1"/>
      <c r="AO2893" s="6"/>
    </row>
    <row r="2894" spans="1:41" ht="15" x14ac:dyDescent="0.25">
      <c r="A2894" s="1"/>
      <c r="B2894" s="1"/>
      <c r="C2894" s="1"/>
      <c r="D2894" s="1"/>
      <c r="E2894" s="6"/>
      <c r="F2894" s="1"/>
      <c r="G2894" s="6"/>
      <c r="H2894" s="6"/>
      <c r="I2894" s="6"/>
      <c r="J2894" s="6"/>
      <c r="K2894" s="6"/>
      <c r="L2894" s="6"/>
      <c r="M2894" s="6"/>
      <c r="N2894" s="6"/>
      <c r="O2894" s="7"/>
      <c r="P2894" s="6"/>
      <c r="Q2894" s="6"/>
      <c r="R2894" s="7"/>
      <c r="S2894" s="6"/>
      <c r="T2894" s="6"/>
      <c r="U2894" s="7"/>
      <c r="V2894" s="6"/>
      <c r="W2894" s="6"/>
      <c r="X2894" s="6"/>
      <c r="Y2894" s="6"/>
      <c r="Z2894" s="6"/>
      <c r="AA2894" s="7"/>
      <c r="AB2894" s="6"/>
      <c r="AC2894" s="6"/>
      <c r="AD2894" s="6"/>
      <c r="AE2894" s="12"/>
      <c r="AF2894" s="12"/>
      <c r="AG2894" s="12"/>
      <c r="AH2894" s="12"/>
      <c r="AI2894" s="6"/>
      <c r="AJ2894" s="12"/>
      <c r="AK2894" s="1"/>
      <c r="AL2894" s="12"/>
      <c r="AM2894" s="12"/>
      <c r="AN2894" s="1"/>
      <c r="AO2894" s="6"/>
    </row>
    <row r="2895" spans="1:41" ht="15" x14ac:dyDescent="0.25">
      <c r="A2895" s="1"/>
      <c r="B2895" s="1"/>
      <c r="C2895" s="1"/>
      <c r="D2895" s="1"/>
      <c r="E2895" s="6"/>
      <c r="F2895" s="1"/>
      <c r="G2895" s="6"/>
      <c r="H2895" s="6"/>
      <c r="I2895" s="6"/>
      <c r="J2895" s="6"/>
      <c r="K2895" s="6"/>
      <c r="L2895" s="6"/>
      <c r="M2895" s="6"/>
      <c r="N2895" s="6"/>
      <c r="O2895" s="7"/>
      <c r="P2895" s="6"/>
      <c r="Q2895" s="6"/>
      <c r="R2895" s="7"/>
      <c r="S2895" s="6"/>
      <c r="T2895" s="6"/>
      <c r="U2895" s="7"/>
      <c r="V2895" s="6"/>
      <c r="W2895" s="6"/>
      <c r="X2895" s="12"/>
      <c r="Y2895" s="6"/>
      <c r="Z2895" s="6"/>
      <c r="AA2895" s="7"/>
      <c r="AB2895" s="6"/>
      <c r="AC2895" s="6"/>
      <c r="AD2895" s="6"/>
      <c r="AE2895" s="12"/>
      <c r="AF2895" s="12"/>
      <c r="AG2895" s="12"/>
      <c r="AH2895" s="12"/>
      <c r="AI2895" s="6"/>
      <c r="AJ2895" s="12"/>
      <c r="AK2895" s="1"/>
      <c r="AL2895" s="12"/>
      <c r="AM2895" s="12"/>
      <c r="AN2895" s="1"/>
      <c r="AO2895" s="6"/>
    </row>
    <row r="2896" spans="1:41" ht="15" x14ac:dyDescent="0.25">
      <c r="A2896" s="1"/>
      <c r="B2896" s="1"/>
      <c r="C2896" s="1"/>
      <c r="D2896" s="1"/>
      <c r="E2896" s="6"/>
      <c r="F2896" s="1"/>
      <c r="G2896" s="6"/>
      <c r="H2896" s="6"/>
      <c r="I2896" s="6"/>
      <c r="J2896" s="6"/>
      <c r="K2896" s="6"/>
      <c r="L2896" s="6"/>
      <c r="M2896" s="6"/>
      <c r="N2896" s="6"/>
      <c r="O2896" s="7"/>
      <c r="P2896" s="6"/>
      <c r="Q2896" s="6"/>
      <c r="R2896" s="7"/>
      <c r="S2896" s="6"/>
      <c r="T2896" s="6"/>
      <c r="U2896" s="7"/>
      <c r="V2896" s="6"/>
      <c r="W2896" s="6"/>
      <c r="X2896" s="6"/>
      <c r="Y2896" s="6"/>
      <c r="Z2896" s="6"/>
      <c r="AA2896" s="7"/>
      <c r="AB2896" s="6"/>
      <c r="AC2896" s="6"/>
      <c r="AD2896" s="6"/>
      <c r="AE2896" s="12"/>
      <c r="AF2896" s="12"/>
      <c r="AG2896" s="12"/>
      <c r="AH2896" s="12"/>
      <c r="AI2896" s="6"/>
      <c r="AJ2896" s="12"/>
      <c r="AK2896" s="1"/>
      <c r="AL2896" s="12"/>
      <c r="AM2896" s="12"/>
      <c r="AN2896" s="1"/>
      <c r="AO2896" s="6"/>
    </row>
    <row r="2897" spans="1:41" ht="15" x14ac:dyDescent="0.25">
      <c r="A2897" s="1"/>
      <c r="B2897" s="1"/>
      <c r="C2897" s="1"/>
      <c r="D2897" s="1"/>
      <c r="E2897" s="6"/>
      <c r="F2897" s="1"/>
      <c r="G2897" s="6"/>
      <c r="H2897" s="6"/>
      <c r="I2897" s="6"/>
      <c r="J2897" s="6"/>
      <c r="K2897" s="6"/>
      <c r="L2897" s="6"/>
      <c r="M2897" s="6"/>
      <c r="N2897" s="6"/>
      <c r="O2897" s="7"/>
      <c r="P2897" s="6"/>
      <c r="Q2897" s="6"/>
      <c r="R2897" s="12"/>
      <c r="S2897" s="12"/>
      <c r="T2897" s="12"/>
      <c r="U2897" s="6"/>
      <c r="V2897" s="12"/>
      <c r="W2897" s="12"/>
      <c r="X2897" s="12"/>
      <c r="Y2897" s="6"/>
      <c r="Z2897" s="6"/>
      <c r="AA2897" s="7"/>
      <c r="AB2897" s="6"/>
      <c r="AC2897" s="6"/>
      <c r="AD2897" s="6"/>
      <c r="AE2897" s="12"/>
      <c r="AF2897" s="12"/>
      <c r="AG2897" s="12"/>
      <c r="AH2897" s="12"/>
      <c r="AI2897" s="6"/>
      <c r="AJ2897" s="12"/>
      <c r="AK2897" s="1"/>
      <c r="AL2897" s="12"/>
      <c r="AM2897" s="12"/>
      <c r="AN2897" s="1"/>
      <c r="AO2897" s="6"/>
    </row>
    <row r="2898" spans="1:41" ht="15" x14ac:dyDescent="0.25">
      <c r="A2898" s="1"/>
      <c r="B2898" s="1"/>
      <c r="C2898" s="1"/>
      <c r="D2898" s="1"/>
      <c r="E2898" s="6"/>
      <c r="F2898" s="1"/>
      <c r="G2898" s="6"/>
      <c r="H2898" s="6"/>
      <c r="I2898" s="6"/>
      <c r="J2898" s="6"/>
      <c r="K2898" s="6"/>
      <c r="L2898" s="6"/>
      <c r="M2898" s="6"/>
      <c r="N2898" s="6"/>
      <c r="O2898" s="7"/>
      <c r="P2898" s="6"/>
      <c r="Q2898" s="6"/>
      <c r="R2898" s="7"/>
      <c r="S2898" s="6"/>
      <c r="T2898" s="6"/>
      <c r="U2898" s="7"/>
      <c r="V2898" s="6"/>
      <c r="W2898" s="6"/>
      <c r="X2898" s="6"/>
      <c r="Y2898" s="6"/>
      <c r="Z2898" s="6"/>
      <c r="AA2898" s="7"/>
      <c r="AB2898" s="6"/>
      <c r="AC2898" s="6"/>
      <c r="AD2898" s="6"/>
      <c r="AE2898" s="12"/>
      <c r="AF2898" s="6"/>
      <c r="AG2898" s="12"/>
      <c r="AH2898" s="6"/>
      <c r="AI2898" s="6"/>
      <c r="AJ2898" s="12"/>
      <c r="AK2898" s="24"/>
      <c r="AL2898" s="25"/>
      <c r="AM2898" s="12"/>
      <c r="AN2898" s="1"/>
      <c r="AO2898" s="6"/>
    </row>
    <row r="2899" spans="1:41" ht="15" x14ac:dyDescent="0.25">
      <c r="A2899" s="1"/>
      <c r="B2899" s="1"/>
      <c r="C2899" s="1"/>
      <c r="D2899" s="1"/>
      <c r="E2899" s="6"/>
      <c r="F2899" s="1"/>
      <c r="G2899" s="6"/>
      <c r="H2899" s="6"/>
      <c r="I2899" s="6"/>
      <c r="J2899" s="6"/>
      <c r="K2899" s="6"/>
      <c r="L2899" s="6"/>
      <c r="M2899" s="6"/>
      <c r="N2899" s="6"/>
      <c r="O2899" s="7"/>
      <c r="P2899" s="6"/>
      <c r="Q2899" s="6"/>
      <c r="R2899" s="7"/>
      <c r="S2899" s="6"/>
      <c r="T2899" s="6"/>
      <c r="U2899" s="7"/>
      <c r="V2899" s="6"/>
      <c r="W2899" s="6"/>
      <c r="X2899" s="6"/>
      <c r="Y2899" s="6"/>
      <c r="Z2899" s="6"/>
      <c r="AA2899" s="7"/>
      <c r="AB2899" s="6"/>
      <c r="AC2899" s="6"/>
      <c r="AD2899" s="6"/>
      <c r="AE2899" s="12"/>
      <c r="AF2899" s="6"/>
      <c r="AG2899" s="12"/>
      <c r="AH2899" s="6"/>
      <c r="AI2899" s="6"/>
      <c r="AJ2899" s="12"/>
      <c r="AK2899" s="1"/>
      <c r="AL2899" s="12"/>
      <c r="AM2899" s="12"/>
      <c r="AN2899" s="1"/>
      <c r="AO2899" s="6"/>
    </row>
    <row r="2900" spans="1:41" ht="15" x14ac:dyDescent="0.25">
      <c r="A2900" s="1"/>
      <c r="B2900" s="1"/>
      <c r="C2900" s="1"/>
      <c r="D2900" s="1"/>
      <c r="E2900" s="6"/>
      <c r="F2900" s="1"/>
      <c r="G2900" s="6"/>
      <c r="H2900" s="6"/>
      <c r="I2900" s="6"/>
      <c r="J2900" s="6"/>
      <c r="K2900" s="6"/>
      <c r="L2900" s="6"/>
      <c r="M2900" s="6"/>
      <c r="N2900" s="6"/>
      <c r="O2900" s="7"/>
      <c r="P2900" s="6"/>
      <c r="Q2900" s="7"/>
      <c r="R2900" s="6"/>
      <c r="S2900" s="6"/>
      <c r="T2900" s="6"/>
      <c r="U2900" s="6"/>
      <c r="V2900" s="7"/>
      <c r="W2900" s="6"/>
      <c r="X2900" s="6"/>
      <c r="Y2900" s="6"/>
      <c r="Z2900" s="6"/>
      <c r="AA2900" s="24"/>
      <c r="AB2900" s="25"/>
      <c r="AC2900" s="12"/>
      <c r="AD2900" s="12"/>
      <c r="AE2900" s="12"/>
      <c r="AF2900" s="6"/>
      <c r="AG2900" s="12"/>
      <c r="AH2900" s="6"/>
      <c r="AI2900" s="6"/>
      <c r="AJ2900" s="12"/>
      <c r="AK2900" s="12"/>
      <c r="AL2900" s="12"/>
      <c r="AM2900" s="12"/>
      <c r="AN2900" s="1"/>
      <c r="AO2900" s="6"/>
    </row>
    <row r="2901" spans="1:41" ht="15" x14ac:dyDescent="0.25">
      <c r="A2901" s="1"/>
      <c r="B2901" s="1"/>
      <c r="C2901" s="1"/>
      <c r="D2901" s="1"/>
      <c r="E2901" s="6"/>
      <c r="F2901" s="1"/>
      <c r="G2901" s="6"/>
      <c r="H2901" s="6"/>
      <c r="I2901" s="6"/>
      <c r="J2901" s="6"/>
      <c r="K2901" s="6"/>
      <c r="L2901" s="6"/>
      <c r="M2901" s="6"/>
      <c r="N2901" s="6"/>
      <c r="O2901" s="7"/>
      <c r="P2901" s="6"/>
      <c r="Q2901" s="6"/>
      <c r="R2901" s="7"/>
      <c r="S2901" s="6"/>
      <c r="T2901" s="6"/>
      <c r="U2901" s="7"/>
      <c r="V2901" s="6"/>
      <c r="W2901" s="6"/>
      <c r="X2901" s="6"/>
      <c r="Y2901" s="6"/>
      <c r="Z2901" s="6"/>
      <c r="AA2901" s="7"/>
      <c r="AB2901" s="6"/>
      <c r="AC2901" s="6"/>
      <c r="AD2901" s="6"/>
      <c r="AE2901" s="12"/>
      <c r="AF2901" s="6"/>
      <c r="AG2901" s="12"/>
      <c r="AH2901" s="6"/>
      <c r="AI2901" s="6"/>
      <c r="AJ2901" s="12"/>
      <c r="AK2901" s="24"/>
      <c r="AL2901" s="25"/>
      <c r="AM2901" s="12"/>
      <c r="AN2901" s="1"/>
      <c r="AO2901" s="6"/>
    </row>
    <row r="2902" spans="1:41" ht="15" x14ac:dyDescent="0.25">
      <c r="A2902" s="1"/>
      <c r="B2902" s="1"/>
      <c r="C2902" s="1"/>
      <c r="D2902" s="1"/>
      <c r="E2902" s="6"/>
      <c r="F2902" s="1"/>
      <c r="G2902" s="6"/>
      <c r="H2902" s="6"/>
      <c r="I2902" s="6"/>
      <c r="J2902" s="6"/>
      <c r="K2902" s="6"/>
      <c r="L2902" s="6"/>
      <c r="M2902" s="6"/>
      <c r="N2902" s="6"/>
      <c r="O2902" s="7"/>
      <c r="P2902" s="6"/>
      <c r="Q2902" s="7"/>
      <c r="R2902" s="6"/>
      <c r="S2902" s="6"/>
      <c r="T2902" s="6"/>
      <c r="U2902" s="6"/>
      <c r="V2902" s="7"/>
      <c r="W2902" s="7"/>
      <c r="X2902" s="6"/>
      <c r="Y2902" s="6"/>
      <c r="Z2902" s="6"/>
      <c r="AA2902" s="1"/>
      <c r="AB2902" s="12"/>
      <c r="AC2902" s="12"/>
      <c r="AD2902" s="12"/>
      <c r="AE2902" s="12"/>
      <c r="AF2902" s="12"/>
      <c r="AG2902" s="12"/>
      <c r="AH2902" s="12"/>
      <c r="AI2902" s="6"/>
      <c r="AJ2902" s="12"/>
      <c r="AK2902" s="12"/>
      <c r="AL2902" s="12"/>
      <c r="AM2902" s="12"/>
      <c r="AN2902" s="1"/>
      <c r="AO2902" s="6"/>
    </row>
    <row r="2903" spans="1:41" ht="15" x14ac:dyDescent="0.25">
      <c r="A2903" s="1"/>
      <c r="B2903" s="1"/>
      <c r="C2903" s="1"/>
      <c r="D2903" s="1"/>
      <c r="E2903" s="6"/>
      <c r="F2903" s="1"/>
      <c r="G2903" s="6"/>
      <c r="H2903" s="6"/>
      <c r="I2903" s="6"/>
      <c r="J2903" s="6"/>
      <c r="K2903" s="12"/>
      <c r="L2903" s="12"/>
      <c r="M2903" s="6"/>
      <c r="N2903" s="6"/>
      <c r="O2903" s="7"/>
      <c r="P2903" s="6"/>
      <c r="Q2903" s="6"/>
      <c r="R2903" s="12"/>
      <c r="S2903" s="12"/>
      <c r="T2903" s="12"/>
      <c r="U2903" s="7"/>
      <c r="V2903" s="6"/>
      <c r="W2903" s="6"/>
      <c r="X2903" s="12"/>
      <c r="Y2903" s="12"/>
      <c r="Z2903" s="6"/>
      <c r="AA2903" s="7"/>
      <c r="AB2903" s="6"/>
      <c r="AC2903" s="6"/>
      <c r="AD2903" s="6"/>
      <c r="AE2903" s="12"/>
      <c r="AF2903" s="12"/>
      <c r="AG2903" s="12"/>
      <c r="AH2903" s="12"/>
      <c r="AI2903" s="6"/>
      <c r="AJ2903" s="12"/>
      <c r="AK2903" s="1"/>
      <c r="AL2903" s="12"/>
      <c r="AM2903" s="12"/>
      <c r="AN2903" s="1"/>
      <c r="AO2903" s="12"/>
    </row>
    <row r="2904" spans="1:41" ht="15" x14ac:dyDescent="0.25">
      <c r="A2904" s="1"/>
      <c r="B2904" s="1"/>
      <c r="C2904" s="1"/>
      <c r="D2904" s="1"/>
      <c r="E2904" s="6"/>
      <c r="F2904" s="1"/>
      <c r="G2904" s="6"/>
      <c r="H2904" s="6"/>
      <c r="I2904" s="6"/>
      <c r="J2904" s="6"/>
      <c r="K2904" s="6"/>
      <c r="L2904" s="6"/>
      <c r="M2904" s="6"/>
      <c r="N2904" s="6"/>
      <c r="O2904" s="7"/>
      <c r="P2904" s="6"/>
      <c r="Q2904" s="7"/>
      <c r="R2904" s="6"/>
      <c r="S2904" s="12"/>
      <c r="T2904" s="6"/>
      <c r="U2904" s="6"/>
      <c r="V2904" s="7"/>
      <c r="W2904" s="7"/>
      <c r="X2904" s="6"/>
      <c r="Y2904" s="6"/>
      <c r="Z2904" s="6"/>
      <c r="AA2904" s="1"/>
      <c r="AB2904" s="12"/>
      <c r="AC2904" s="12"/>
      <c r="AD2904" s="12"/>
      <c r="AE2904" s="12"/>
      <c r="AF2904" s="6"/>
      <c r="AG2904" s="12"/>
      <c r="AH2904" s="6"/>
      <c r="AI2904" s="6"/>
      <c r="AJ2904" s="12"/>
      <c r="AK2904" s="12"/>
      <c r="AL2904" s="12"/>
      <c r="AM2904" s="12"/>
      <c r="AN2904" s="1"/>
      <c r="AO2904" s="6"/>
    </row>
    <row r="2905" spans="1:41" ht="15" x14ac:dyDescent="0.25">
      <c r="A2905" s="1"/>
      <c r="B2905" s="1"/>
      <c r="C2905" s="1"/>
      <c r="D2905" s="1"/>
      <c r="E2905" s="6"/>
      <c r="F2905" s="1"/>
      <c r="G2905" s="6"/>
      <c r="H2905" s="6"/>
      <c r="I2905" s="6"/>
      <c r="J2905" s="6"/>
      <c r="K2905" s="6"/>
      <c r="L2905" s="6"/>
      <c r="M2905" s="6"/>
      <c r="N2905" s="6"/>
      <c r="O2905" s="7"/>
      <c r="P2905" s="6"/>
      <c r="Q2905" s="6"/>
      <c r="R2905" s="7"/>
      <c r="S2905" s="6"/>
      <c r="T2905" s="6"/>
      <c r="U2905" s="7"/>
      <c r="V2905" s="6"/>
      <c r="W2905" s="6"/>
      <c r="X2905" s="12"/>
      <c r="Y2905" s="6"/>
      <c r="Z2905" s="6"/>
      <c r="AA2905" s="7"/>
      <c r="AB2905" s="6"/>
      <c r="AC2905" s="6"/>
      <c r="AD2905" s="6"/>
      <c r="AE2905" s="12"/>
      <c r="AF2905" s="12"/>
      <c r="AG2905" s="12"/>
      <c r="AH2905" s="12"/>
      <c r="AI2905" s="6"/>
      <c r="AJ2905" s="12"/>
      <c r="AK2905" s="24"/>
      <c r="AL2905" s="25"/>
      <c r="AM2905" s="12"/>
      <c r="AN2905" s="1"/>
      <c r="AO2905" s="6"/>
    </row>
    <row r="2906" spans="1:41" ht="15" x14ac:dyDescent="0.25">
      <c r="A2906" s="1"/>
      <c r="B2906" s="1"/>
      <c r="C2906" s="1"/>
      <c r="D2906" s="1"/>
      <c r="E2906" s="6"/>
      <c r="F2906" s="1"/>
      <c r="G2906" s="6"/>
      <c r="H2906" s="6"/>
      <c r="I2906" s="6"/>
      <c r="J2906" s="6"/>
      <c r="K2906" s="6"/>
      <c r="L2906" s="6"/>
      <c r="M2906" s="6"/>
      <c r="N2906" s="6"/>
      <c r="O2906" s="7"/>
      <c r="P2906" s="6"/>
      <c r="Q2906" s="6"/>
      <c r="R2906" s="7"/>
      <c r="S2906" s="6"/>
      <c r="T2906" s="6"/>
      <c r="U2906" s="7"/>
      <c r="V2906" s="6"/>
      <c r="W2906" s="6"/>
      <c r="X2906" s="12"/>
      <c r="Y2906" s="6"/>
      <c r="Z2906" s="6"/>
      <c r="AA2906" s="7"/>
      <c r="AB2906" s="6"/>
      <c r="AC2906" s="6"/>
      <c r="AD2906" s="6"/>
      <c r="AE2906" s="12"/>
      <c r="AF2906" s="6"/>
      <c r="AG2906" s="12"/>
      <c r="AH2906" s="6"/>
      <c r="AI2906" s="6"/>
      <c r="AJ2906" s="12"/>
      <c r="AK2906" s="24"/>
      <c r="AL2906" s="25"/>
      <c r="AM2906" s="12"/>
      <c r="AN2906" s="1"/>
      <c r="AO2906" s="6"/>
    </row>
    <row r="2907" spans="1:41" ht="15" x14ac:dyDescent="0.25">
      <c r="A2907" s="1"/>
      <c r="B2907" s="1"/>
      <c r="C2907" s="1"/>
      <c r="D2907" s="1"/>
      <c r="E2907" s="6"/>
      <c r="F2907" s="1"/>
      <c r="G2907" s="6"/>
      <c r="H2907" s="6"/>
      <c r="I2907" s="6"/>
      <c r="J2907" s="6"/>
      <c r="K2907" s="6"/>
      <c r="L2907" s="6"/>
      <c r="M2907" s="6"/>
      <c r="N2907" s="6"/>
      <c r="O2907" s="7"/>
      <c r="P2907" s="6"/>
      <c r="Q2907" s="6"/>
      <c r="R2907" s="7"/>
      <c r="S2907" s="6"/>
      <c r="T2907" s="6"/>
      <c r="U2907" s="7"/>
      <c r="V2907" s="6"/>
      <c r="W2907" s="6"/>
      <c r="X2907" s="6"/>
      <c r="Y2907" s="6"/>
      <c r="Z2907" s="6"/>
      <c r="AA2907" s="7"/>
      <c r="AB2907" s="6"/>
      <c r="AC2907" s="6"/>
      <c r="AD2907" s="6"/>
      <c r="AE2907" s="12"/>
      <c r="AF2907" s="6"/>
      <c r="AG2907" s="12"/>
      <c r="AH2907" s="6"/>
      <c r="AI2907" s="6"/>
      <c r="AJ2907" s="12"/>
      <c r="AK2907" s="24"/>
      <c r="AL2907" s="25"/>
      <c r="AM2907" s="12"/>
      <c r="AN2907" s="1"/>
      <c r="AO2907" s="6"/>
    </row>
    <row r="2908" spans="1:41" ht="15" x14ac:dyDescent="0.25">
      <c r="A2908" s="1"/>
      <c r="B2908" s="1"/>
      <c r="C2908" s="1"/>
      <c r="D2908" s="1"/>
      <c r="E2908" s="6"/>
      <c r="F2908" s="1"/>
      <c r="G2908" s="6"/>
      <c r="H2908" s="6"/>
      <c r="I2908" s="6"/>
      <c r="J2908" s="6"/>
      <c r="K2908" s="12"/>
      <c r="L2908" s="12"/>
      <c r="M2908" s="6"/>
      <c r="N2908" s="6"/>
      <c r="O2908" s="7"/>
      <c r="P2908" s="6"/>
      <c r="Q2908" s="6"/>
      <c r="R2908" s="7"/>
      <c r="S2908" s="6"/>
      <c r="T2908" s="6"/>
      <c r="U2908" s="7"/>
      <c r="V2908" s="6"/>
      <c r="W2908" s="6"/>
      <c r="X2908" s="12"/>
      <c r="Y2908" s="6"/>
      <c r="Z2908" s="6"/>
      <c r="AA2908" s="7"/>
      <c r="AB2908" s="6"/>
      <c r="AC2908" s="6"/>
      <c r="AD2908" s="6"/>
      <c r="AE2908" s="12"/>
      <c r="AF2908" s="12"/>
      <c r="AG2908" s="12"/>
      <c r="AH2908" s="12"/>
      <c r="AI2908" s="6"/>
      <c r="AJ2908" s="12"/>
      <c r="AK2908" s="24"/>
      <c r="AL2908" s="25"/>
      <c r="AM2908" s="12"/>
      <c r="AN2908" s="1"/>
      <c r="AO2908" s="12"/>
    </row>
    <row r="2909" spans="1:41" ht="15" x14ac:dyDescent="0.25">
      <c r="A2909" s="1"/>
      <c r="B2909" s="1"/>
      <c r="C2909" s="1"/>
      <c r="D2909" s="1"/>
      <c r="E2909" s="6"/>
      <c r="F2909" s="1"/>
      <c r="G2909" s="6"/>
      <c r="H2909" s="6"/>
      <c r="I2909" s="6"/>
      <c r="J2909" s="6"/>
      <c r="K2909" s="6"/>
      <c r="L2909" s="6"/>
      <c r="M2909" s="6"/>
      <c r="N2909" s="6"/>
      <c r="O2909" s="7"/>
      <c r="P2909" s="6"/>
      <c r="Q2909" s="6"/>
      <c r="R2909" s="7"/>
      <c r="S2909" s="6"/>
      <c r="T2909" s="6"/>
      <c r="U2909" s="7"/>
      <c r="V2909" s="6"/>
      <c r="W2909" s="6"/>
      <c r="X2909" s="6"/>
      <c r="Y2909" s="6"/>
      <c r="Z2909" s="6"/>
      <c r="AA2909" s="7"/>
      <c r="AB2909" s="6"/>
      <c r="AC2909" s="6"/>
      <c r="AD2909" s="6"/>
      <c r="AE2909" s="12"/>
      <c r="AF2909" s="6"/>
      <c r="AG2909" s="12"/>
      <c r="AH2909" s="6"/>
      <c r="AI2909" s="6"/>
      <c r="AJ2909" s="12"/>
      <c r="AK2909" s="24"/>
      <c r="AL2909" s="25"/>
      <c r="AM2909" s="12"/>
      <c r="AN2909" s="1"/>
      <c r="AO2909" s="6"/>
    </row>
    <row r="2910" spans="1:41" ht="15" x14ac:dyDescent="0.25">
      <c r="A2910" s="1"/>
      <c r="B2910" s="1"/>
      <c r="C2910" s="1"/>
      <c r="D2910" s="1"/>
      <c r="E2910" s="6"/>
      <c r="F2910" s="1"/>
      <c r="G2910" s="6"/>
      <c r="H2910" s="6"/>
      <c r="I2910" s="6"/>
      <c r="J2910" s="6"/>
      <c r="K2910" s="6"/>
      <c r="L2910" s="6"/>
      <c r="M2910" s="6"/>
      <c r="N2910" s="6"/>
      <c r="O2910" s="7"/>
      <c r="P2910" s="6"/>
      <c r="Q2910" s="6"/>
      <c r="R2910" s="7"/>
      <c r="S2910" s="6"/>
      <c r="T2910" s="6"/>
      <c r="U2910" s="7"/>
      <c r="V2910" s="6"/>
      <c r="W2910" s="6"/>
      <c r="X2910" s="12"/>
      <c r="Y2910" s="6"/>
      <c r="Z2910" s="6"/>
      <c r="AA2910" s="7"/>
      <c r="AB2910" s="6"/>
      <c r="AC2910" s="6"/>
      <c r="AD2910" s="6"/>
      <c r="AE2910" s="12"/>
      <c r="AF2910" s="6"/>
      <c r="AG2910" s="12"/>
      <c r="AH2910" s="6"/>
      <c r="AI2910" s="6"/>
      <c r="AJ2910" s="12"/>
      <c r="AK2910" s="1"/>
      <c r="AL2910" s="12"/>
      <c r="AM2910" s="12"/>
      <c r="AN2910" s="1"/>
      <c r="AO2910" s="6"/>
    </row>
    <row r="2911" spans="1:41" ht="15" x14ac:dyDescent="0.25">
      <c r="A2911" s="1"/>
      <c r="B2911" s="1"/>
      <c r="C2911" s="1"/>
      <c r="D2911" s="1"/>
      <c r="E2911" s="6"/>
      <c r="F2911" s="1"/>
      <c r="G2911" s="6"/>
      <c r="H2911" s="6"/>
      <c r="I2911" s="6"/>
      <c r="J2911" s="6"/>
      <c r="K2911" s="6"/>
      <c r="L2911" s="6"/>
      <c r="M2911" s="6"/>
      <c r="N2911" s="6"/>
      <c r="O2911" s="7"/>
      <c r="P2911" s="6"/>
      <c r="Q2911" s="6"/>
      <c r="R2911" s="7"/>
      <c r="S2911" s="6"/>
      <c r="T2911" s="6"/>
      <c r="U2911" s="7"/>
      <c r="V2911" s="6"/>
      <c r="W2911" s="6"/>
      <c r="X2911" s="12"/>
      <c r="Y2911" s="6"/>
      <c r="Z2911" s="6"/>
      <c r="AA2911" s="7"/>
      <c r="AB2911" s="6"/>
      <c r="AC2911" s="6"/>
      <c r="AD2911" s="6"/>
      <c r="AE2911" s="12"/>
      <c r="AF2911" s="6"/>
      <c r="AG2911" s="12"/>
      <c r="AH2911" s="6"/>
      <c r="AI2911" s="6"/>
      <c r="AJ2911" s="12"/>
      <c r="AK2911" s="24"/>
      <c r="AL2911" s="25"/>
      <c r="AM2911" s="12"/>
      <c r="AN2911" s="1"/>
      <c r="AO2911" s="6"/>
    </row>
    <row r="2912" spans="1:41" ht="15" x14ac:dyDescent="0.25">
      <c r="A2912" s="1"/>
      <c r="B2912" s="1"/>
      <c r="C2912" s="1"/>
      <c r="D2912" s="1"/>
      <c r="E2912" s="6"/>
      <c r="F2912" s="1"/>
      <c r="G2912" s="6"/>
      <c r="H2912" s="6"/>
      <c r="I2912" s="6"/>
      <c r="J2912" s="6"/>
      <c r="K2912" s="12"/>
      <c r="L2912" s="12"/>
      <c r="M2912" s="6"/>
      <c r="N2912" s="6"/>
      <c r="O2912" s="7"/>
      <c r="P2912" s="6"/>
      <c r="Q2912" s="6"/>
      <c r="R2912" s="7"/>
      <c r="S2912" s="6"/>
      <c r="T2912" s="6"/>
      <c r="U2912" s="7"/>
      <c r="V2912" s="6"/>
      <c r="W2912" s="6"/>
      <c r="X2912" s="6"/>
      <c r="Y2912" s="6"/>
      <c r="Z2912" s="6"/>
      <c r="AA2912" s="7"/>
      <c r="AB2912" s="6"/>
      <c r="AC2912" s="6"/>
      <c r="AD2912" s="6"/>
      <c r="AE2912" s="12"/>
      <c r="AF2912" s="12"/>
      <c r="AG2912" s="12"/>
      <c r="AH2912" s="12"/>
      <c r="AI2912" s="6"/>
      <c r="AJ2912" s="12"/>
      <c r="AK2912" s="1"/>
      <c r="AL2912" s="12"/>
      <c r="AM2912" s="12"/>
      <c r="AN2912" s="1"/>
      <c r="AO2912" s="6"/>
    </row>
    <row r="2913" spans="1:41" ht="15" x14ac:dyDescent="0.25">
      <c r="A2913" s="1"/>
      <c r="B2913" s="1"/>
      <c r="C2913" s="1"/>
      <c r="D2913" s="1"/>
      <c r="E2913" s="6"/>
      <c r="F2913" s="1"/>
      <c r="G2913" s="6"/>
      <c r="H2913" s="6"/>
      <c r="I2913" s="6"/>
      <c r="J2913" s="6"/>
      <c r="K2913" s="6"/>
      <c r="L2913" s="6"/>
      <c r="M2913" s="6"/>
      <c r="N2913" s="6"/>
      <c r="O2913" s="7"/>
      <c r="P2913" s="6"/>
      <c r="Q2913" s="7"/>
      <c r="R2913" s="6"/>
      <c r="S2913" s="6"/>
      <c r="T2913" s="6"/>
      <c r="U2913" s="6"/>
      <c r="V2913" s="7"/>
      <c r="W2913" s="7"/>
      <c r="X2913" s="6"/>
      <c r="Y2913" s="6"/>
      <c r="Z2913" s="6"/>
      <c r="AA2913" s="1"/>
      <c r="AB2913" s="12"/>
      <c r="AC2913" s="12"/>
      <c r="AD2913" s="12"/>
      <c r="AE2913" s="12"/>
      <c r="AF2913" s="12"/>
      <c r="AG2913" s="12"/>
      <c r="AH2913" s="12"/>
      <c r="AI2913" s="6"/>
      <c r="AJ2913" s="12"/>
      <c r="AK2913" s="12"/>
      <c r="AL2913" s="12"/>
      <c r="AM2913" s="12"/>
      <c r="AN2913" s="1"/>
      <c r="AO2913" s="6"/>
    </row>
    <row r="2914" spans="1:41" ht="15" x14ac:dyDescent="0.25">
      <c r="A2914" s="1"/>
      <c r="B2914" s="1"/>
      <c r="C2914" s="1"/>
      <c r="D2914" s="1"/>
      <c r="E2914" s="6"/>
      <c r="F2914" s="1"/>
      <c r="G2914" s="6"/>
      <c r="H2914" s="6"/>
      <c r="I2914" s="6"/>
      <c r="J2914" s="6"/>
      <c r="K2914" s="6"/>
      <c r="L2914" s="6"/>
      <c r="M2914" s="6"/>
      <c r="N2914" s="6"/>
      <c r="O2914" s="7"/>
      <c r="P2914" s="6"/>
      <c r="Q2914" s="6"/>
      <c r="R2914" s="12"/>
      <c r="S2914" s="12"/>
      <c r="T2914" s="12"/>
      <c r="U2914" s="7"/>
      <c r="V2914" s="6"/>
      <c r="W2914" s="6"/>
      <c r="X2914" s="12"/>
      <c r="Y2914" s="6"/>
      <c r="Z2914" s="6"/>
      <c r="AA2914" s="7"/>
      <c r="AB2914" s="6"/>
      <c r="AC2914" s="6"/>
      <c r="AD2914" s="6"/>
      <c r="AE2914" s="12"/>
      <c r="AF2914" s="6"/>
      <c r="AG2914" s="12"/>
      <c r="AH2914" s="6"/>
      <c r="AI2914" s="6"/>
      <c r="AJ2914" s="12"/>
      <c r="AK2914" s="1"/>
      <c r="AL2914" s="12"/>
      <c r="AM2914" s="12"/>
      <c r="AN2914" s="1"/>
      <c r="AO2914" s="6"/>
    </row>
    <row r="2915" spans="1:41" ht="15" x14ac:dyDescent="0.25">
      <c r="A2915" s="1"/>
      <c r="B2915" s="1"/>
      <c r="C2915" s="1"/>
      <c r="D2915" s="1"/>
      <c r="E2915" s="6"/>
      <c r="F2915" s="1"/>
      <c r="G2915" s="6"/>
      <c r="H2915" s="6"/>
      <c r="I2915" s="6"/>
      <c r="J2915" s="6"/>
      <c r="K2915" s="6"/>
      <c r="L2915" s="6"/>
      <c r="M2915" s="6"/>
      <c r="N2915" s="6"/>
      <c r="O2915" s="7"/>
      <c r="P2915" s="6"/>
      <c r="Q2915" s="7"/>
      <c r="R2915" s="6"/>
      <c r="S2915" s="6"/>
      <c r="T2915" s="6"/>
      <c r="U2915" s="6"/>
      <c r="V2915" s="7"/>
      <c r="W2915" s="6"/>
      <c r="X2915" s="6"/>
      <c r="Y2915" s="6"/>
      <c r="Z2915" s="6"/>
      <c r="AA2915" s="24"/>
      <c r="AB2915" s="25"/>
      <c r="AC2915" s="12"/>
      <c r="AD2915" s="12"/>
      <c r="AE2915" s="12"/>
      <c r="AF2915" s="6"/>
      <c r="AG2915" s="12"/>
      <c r="AH2915" s="6"/>
      <c r="AI2915" s="6"/>
      <c r="AJ2915" s="12"/>
      <c r="AK2915" s="12"/>
      <c r="AL2915" s="12"/>
      <c r="AM2915" s="12"/>
      <c r="AN2915" s="1"/>
      <c r="AO2915" s="6"/>
    </row>
    <row r="2916" spans="1:41" ht="15" x14ac:dyDescent="0.25">
      <c r="A2916" s="1"/>
      <c r="B2916" s="1"/>
      <c r="C2916" s="1"/>
      <c r="D2916" s="1"/>
      <c r="E2916" s="6"/>
      <c r="F2916" s="1"/>
      <c r="G2916" s="6"/>
      <c r="H2916" s="6"/>
      <c r="I2916" s="6"/>
      <c r="J2916" s="6"/>
      <c r="K2916" s="6"/>
      <c r="L2916" s="6"/>
      <c r="M2916" s="6"/>
      <c r="N2916" s="6"/>
      <c r="O2916" s="7"/>
      <c r="P2916" s="6"/>
      <c r="Q2916" s="7"/>
      <c r="R2916" s="6"/>
      <c r="S2916" s="6"/>
      <c r="T2916" s="6"/>
      <c r="U2916" s="6"/>
      <c r="V2916" s="7"/>
      <c r="W2916" s="6"/>
      <c r="X2916" s="6"/>
      <c r="Y2916" s="6"/>
      <c r="Z2916" s="6"/>
      <c r="AA2916" s="24"/>
      <c r="AB2916" s="25"/>
      <c r="AC2916" s="12"/>
      <c r="AD2916" s="12"/>
      <c r="AE2916" s="12"/>
      <c r="AF2916" s="6"/>
      <c r="AG2916" s="12"/>
      <c r="AH2916" s="6"/>
      <c r="AI2916" s="6"/>
      <c r="AJ2916" s="12"/>
      <c r="AK2916" s="12"/>
      <c r="AL2916" s="12"/>
      <c r="AM2916" s="12"/>
      <c r="AN2916" s="1"/>
      <c r="AO2916" s="6"/>
    </row>
    <row r="2917" spans="1:41" ht="15" x14ac:dyDescent="0.25">
      <c r="A2917" s="1"/>
      <c r="B2917" s="1"/>
      <c r="C2917" s="1"/>
      <c r="D2917" s="1"/>
      <c r="E2917" s="6"/>
      <c r="F2917" s="1"/>
      <c r="G2917" s="6"/>
      <c r="H2917" s="6"/>
      <c r="I2917" s="6"/>
      <c r="J2917" s="6"/>
      <c r="K2917" s="6"/>
      <c r="L2917" s="6"/>
      <c r="M2917" s="6"/>
      <c r="N2917" s="6"/>
      <c r="O2917" s="7"/>
      <c r="P2917" s="6"/>
      <c r="Q2917" s="6"/>
      <c r="R2917" s="7"/>
      <c r="S2917" s="6"/>
      <c r="T2917" s="6"/>
      <c r="U2917" s="7"/>
      <c r="V2917" s="6"/>
      <c r="W2917" s="6"/>
      <c r="X2917" s="6"/>
      <c r="Y2917" s="6"/>
      <c r="Z2917" s="6"/>
      <c r="AA2917" s="7"/>
      <c r="AB2917" s="6"/>
      <c r="AC2917" s="6"/>
      <c r="AD2917" s="6"/>
      <c r="AE2917" s="12"/>
      <c r="AF2917" s="6"/>
      <c r="AG2917" s="12"/>
      <c r="AH2917" s="6"/>
      <c r="AI2917" s="6"/>
      <c r="AJ2917" s="12"/>
      <c r="AK2917" s="24"/>
      <c r="AL2917" s="25"/>
      <c r="AM2917" s="12"/>
      <c r="AN2917" s="1"/>
      <c r="AO2917" s="6"/>
    </row>
    <row r="2918" spans="1:41" ht="15" x14ac:dyDescent="0.25">
      <c r="A2918" s="1"/>
      <c r="B2918" s="1"/>
      <c r="C2918" s="1"/>
      <c r="D2918" s="1"/>
      <c r="E2918" s="6"/>
      <c r="F2918" s="1"/>
      <c r="G2918" s="6"/>
      <c r="H2918" s="6"/>
      <c r="I2918" s="6"/>
      <c r="J2918" s="6"/>
      <c r="K2918" s="6"/>
      <c r="L2918" s="6"/>
      <c r="M2918" s="6"/>
      <c r="N2918" s="6"/>
      <c r="O2918" s="7"/>
      <c r="P2918" s="6"/>
      <c r="Q2918" s="6"/>
      <c r="R2918" s="7"/>
      <c r="S2918" s="6"/>
      <c r="T2918" s="6"/>
      <c r="U2918" s="7"/>
      <c r="V2918" s="6"/>
      <c r="W2918" s="6"/>
      <c r="X2918" s="12"/>
      <c r="Y2918" s="6"/>
      <c r="Z2918" s="6"/>
      <c r="AA2918" s="7"/>
      <c r="AB2918" s="6"/>
      <c r="AC2918" s="6"/>
      <c r="AD2918" s="6"/>
      <c r="AE2918" s="12"/>
      <c r="AF2918" s="12"/>
      <c r="AG2918" s="12"/>
      <c r="AH2918" s="12"/>
      <c r="AI2918" s="6"/>
      <c r="AJ2918" s="12"/>
      <c r="AK2918" s="1"/>
      <c r="AL2918" s="12"/>
      <c r="AM2918" s="12"/>
      <c r="AN2918" s="1"/>
      <c r="AO2918" s="6"/>
    </row>
    <row r="2919" spans="1:41" ht="15" x14ac:dyDescent="0.25">
      <c r="A2919" s="1"/>
      <c r="B2919" s="1"/>
      <c r="C2919" s="1"/>
      <c r="D2919" s="1"/>
      <c r="E2919" s="6"/>
      <c r="F2919" s="1"/>
      <c r="G2919" s="6"/>
      <c r="H2919" s="6"/>
      <c r="I2919" s="6"/>
      <c r="J2919" s="6"/>
      <c r="K2919" s="6"/>
      <c r="L2919" s="6"/>
      <c r="M2919" s="6"/>
      <c r="N2919" s="6"/>
      <c r="O2919" s="7"/>
      <c r="P2919" s="6"/>
      <c r="Q2919" s="6"/>
      <c r="R2919" s="7"/>
      <c r="S2919" s="6"/>
      <c r="T2919" s="6"/>
      <c r="U2919" s="7"/>
      <c r="V2919" s="6"/>
      <c r="W2919" s="6"/>
      <c r="X2919" s="6"/>
      <c r="Y2919" s="6"/>
      <c r="Z2919" s="6"/>
      <c r="AA2919" s="7"/>
      <c r="AB2919" s="6"/>
      <c r="AC2919" s="6"/>
      <c r="AD2919" s="6"/>
      <c r="AE2919" s="12"/>
      <c r="AF2919" s="12"/>
      <c r="AG2919" s="12"/>
      <c r="AH2919" s="12"/>
      <c r="AI2919" s="6"/>
      <c r="AJ2919" s="12"/>
      <c r="AK2919" s="1"/>
      <c r="AL2919" s="12"/>
      <c r="AM2919" s="12"/>
      <c r="AN2919" s="1"/>
      <c r="AO2919" s="6"/>
    </row>
    <row r="2920" spans="1:41" ht="15" x14ac:dyDescent="0.25">
      <c r="A2920" s="1"/>
      <c r="B2920" s="1"/>
      <c r="C2920" s="1"/>
      <c r="D2920" s="1"/>
      <c r="E2920" s="6"/>
      <c r="F2920" s="1"/>
      <c r="G2920" s="6"/>
      <c r="H2920" s="6"/>
      <c r="I2920" s="6"/>
      <c r="J2920" s="6"/>
      <c r="K2920" s="12"/>
      <c r="L2920" s="6"/>
      <c r="M2920" s="6"/>
      <c r="N2920" s="6"/>
      <c r="O2920" s="7"/>
      <c r="P2920" s="6"/>
      <c r="Q2920" s="6"/>
      <c r="R2920" s="15"/>
      <c r="S2920" s="6"/>
      <c r="T2920" s="6"/>
      <c r="U2920" s="15"/>
      <c r="V2920" s="6"/>
      <c r="W2920" s="6"/>
      <c r="X2920" s="12"/>
      <c r="Y2920" s="6"/>
      <c r="Z2920" s="6"/>
      <c r="AA2920" s="7"/>
      <c r="AB2920" s="6"/>
      <c r="AC2920" s="6"/>
      <c r="AD2920" s="6"/>
      <c r="AE2920" s="12"/>
      <c r="AF2920" s="6"/>
      <c r="AG2920" s="12"/>
      <c r="AH2920" s="6"/>
      <c r="AI2920" s="6"/>
      <c r="AJ2920" s="12"/>
      <c r="AK2920" s="24"/>
      <c r="AL2920" s="25"/>
      <c r="AM2920" s="12"/>
      <c r="AN2920" s="1"/>
      <c r="AO2920" s="12"/>
    </row>
    <row r="2921" spans="1:41" ht="15" x14ac:dyDescent="0.25">
      <c r="A2921" s="1"/>
      <c r="B2921" s="1"/>
      <c r="C2921" s="1"/>
      <c r="D2921" s="1"/>
      <c r="E2921" s="6"/>
      <c r="F2921" s="1"/>
      <c r="G2921" s="6"/>
      <c r="H2921" s="6"/>
      <c r="I2921" s="6"/>
      <c r="J2921" s="6"/>
      <c r="K2921" s="6"/>
      <c r="L2921" s="6"/>
      <c r="M2921" s="6"/>
      <c r="N2921" s="6"/>
      <c r="O2921" s="7"/>
      <c r="P2921" s="12"/>
      <c r="Q2921" s="6"/>
      <c r="R2921" s="7"/>
      <c r="S2921" s="6"/>
      <c r="T2921" s="6"/>
      <c r="U2921" s="7"/>
      <c r="V2921" s="6"/>
      <c r="W2921" s="6"/>
      <c r="X2921" s="6"/>
      <c r="Y2921" s="6"/>
      <c r="Z2921" s="6"/>
      <c r="AA2921" s="7"/>
      <c r="AB2921" s="6"/>
      <c r="AC2921" s="6"/>
      <c r="AD2921" s="6"/>
      <c r="AE2921" s="12"/>
      <c r="AF2921" s="6"/>
      <c r="AG2921" s="12"/>
      <c r="AH2921" s="6"/>
      <c r="AI2921" s="6"/>
      <c r="AJ2921" s="12"/>
      <c r="AK2921" s="24"/>
      <c r="AL2921" s="25"/>
      <c r="AM2921" s="12"/>
      <c r="AN2921" s="1"/>
      <c r="AO2921" s="6"/>
    </row>
    <row r="2922" spans="1:41" ht="15" x14ac:dyDescent="0.25">
      <c r="A2922" s="1"/>
      <c r="B2922" s="1"/>
      <c r="C2922" s="1"/>
      <c r="D2922" s="1"/>
      <c r="E2922" s="6"/>
      <c r="F2922" s="1"/>
      <c r="G2922" s="6"/>
      <c r="H2922" s="6"/>
      <c r="I2922" s="6"/>
      <c r="J2922" s="6"/>
      <c r="K2922" s="6"/>
      <c r="L2922" s="6"/>
      <c r="M2922" s="6"/>
      <c r="N2922" s="6"/>
      <c r="O2922" s="7"/>
      <c r="P2922" s="6"/>
      <c r="Q2922" s="6"/>
      <c r="R2922" s="7"/>
      <c r="S2922" s="6"/>
      <c r="T2922" s="6"/>
      <c r="U2922" s="7"/>
      <c r="V2922" s="6"/>
      <c r="W2922" s="6"/>
      <c r="X2922" s="6"/>
      <c r="Y2922" s="6"/>
      <c r="Z2922" s="6"/>
      <c r="AA2922" s="7"/>
      <c r="AB2922" s="6"/>
      <c r="AC2922" s="6"/>
      <c r="AD2922" s="6"/>
      <c r="AE2922" s="12"/>
      <c r="AF2922" s="6"/>
      <c r="AG2922" s="12"/>
      <c r="AH2922" s="6"/>
      <c r="AI2922" s="6"/>
      <c r="AJ2922" s="12"/>
      <c r="AK2922" s="24"/>
      <c r="AL2922" s="25"/>
      <c r="AM2922" s="12"/>
      <c r="AN2922" s="1"/>
      <c r="AO2922" s="6"/>
    </row>
    <row r="2923" spans="1:41" ht="15" x14ac:dyDescent="0.25">
      <c r="A2923" s="1"/>
      <c r="B2923" s="1"/>
      <c r="C2923" s="1"/>
      <c r="D2923" s="1"/>
      <c r="E2923" s="6"/>
      <c r="F2923" s="1"/>
      <c r="G2923" s="6"/>
      <c r="H2923" s="6"/>
      <c r="I2923" s="6"/>
      <c r="J2923" s="6"/>
      <c r="K2923" s="6"/>
      <c r="L2923" s="6"/>
      <c r="M2923" s="6"/>
      <c r="N2923" s="6"/>
      <c r="O2923" s="7"/>
      <c r="P2923" s="6"/>
      <c r="Q2923" s="6"/>
      <c r="R2923" s="7"/>
      <c r="S2923" s="6"/>
      <c r="T2923" s="6"/>
      <c r="U2923" s="7"/>
      <c r="V2923" s="6"/>
      <c r="W2923" s="6"/>
      <c r="X2923" s="6"/>
      <c r="Y2923" s="6"/>
      <c r="Z2923" s="6"/>
      <c r="AA2923" s="7"/>
      <c r="AB2923" s="6"/>
      <c r="AC2923" s="6"/>
      <c r="AD2923" s="6"/>
      <c r="AE2923" s="12"/>
      <c r="AF2923" s="12"/>
      <c r="AG2923" s="12"/>
      <c r="AH2923" s="12"/>
      <c r="AI2923" s="6"/>
      <c r="AJ2923" s="12"/>
      <c r="AK2923" s="1"/>
      <c r="AL2923" s="12"/>
      <c r="AM2923" s="12"/>
      <c r="AN2923" s="1"/>
      <c r="AO2923" s="6"/>
    </row>
    <row r="2924" spans="1:41" ht="15" x14ac:dyDescent="0.25">
      <c r="A2924" s="1"/>
      <c r="B2924" s="1"/>
      <c r="C2924" s="1"/>
      <c r="D2924" s="1"/>
      <c r="E2924" s="6"/>
      <c r="F2924" s="1"/>
      <c r="G2924" s="6"/>
      <c r="H2924" s="6"/>
      <c r="I2924" s="6"/>
      <c r="J2924" s="6"/>
      <c r="K2924" s="12"/>
      <c r="L2924" s="12"/>
      <c r="M2924" s="6"/>
      <c r="N2924" s="6"/>
      <c r="O2924" s="7"/>
      <c r="P2924" s="6"/>
      <c r="Q2924" s="6"/>
      <c r="R2924" s="7"/>
      <c r="S2924" s="6"/>
      <c r="T2924" s="6"/>
      <c r="U2924" s="7"/>
      <c r="V2924" s="6"/>
      <c r="W2924" s="6"/>
      <c r="X2924" s="6"/>
      <c r="Y2924" s="6"/>
      <c r="Z2924" s="6"/>
      <c r="AA2924" s="7"/>
      <c r="AB2924" s="6"/>
      <c r="AC2924" s="6"/>
      <c r="AD2924" s="6"/>
      <c r="AE2924" s="12"/>
      <c r="AF2924" s="12"/>
      <c r="AG2924" s="12"/>
      <c r="AH2924" s="12"/>
      <c r="AI2924" s="6"/>
      <c r="AJ2924" s="12"/>
      <c r="AK2924" s="1"/>
      <c r="AL2924" s="12"/>
      <c r="AM2924" s="12"/>
      <c r="AN2924" s="1"/>
      <c r="AO2924" s="6"/>
    </row>
    <row r="2925" spans="1:41" ht="15" x14ac:dyDescent="0.25">
      <c r="A2925" s="1"/>
      <c r="B2925" s="1"/>
      <c r="C2925" s="1"/>
      <c r="D2925" s="1"/>
      <c r="E2925" s="6"/>
      <c r="F2925" s="1"/>
      <c r="G2925" s="6"/>
      <c r="H2925" s="6"/>
      <c r="I2925" s="6"/>
      <c r="J2925" s="6"/>
      <c r="K2925" s="6"/>
      <c r="L2925" s="6"/>
      <c r="M2925" s="6"/>
      <c r="N2925" s="6"/>
      <c r="O2925" s="7"/>
      <c r="P2925" s="6"/>
      <c r="Q2925" s="6"/>
      <c r="R2925" s="7"/>
      <c r="S2925" s="6"/>
      <c r="T2925" s="6"/>
      <c r="U2925" s="7"/>
      <c r="V2925" s="6"/>
      <c r="W2925" s="6"/>
      <c r="X2925" s="6"/>
      <c r="Y2925" s="6"/>
      <c r="Z2925" s="6"/>
      <c r="AA2925" s="7"/>
      <c r="AB2925" s="6"/>
      <c r="AC2925" s="6"/>
      <c r="AD2925" s="6"/>
      <c r="AE2925" s="12"/>
      <c r="AF2925" s="6"/>
      <c r="AG2925" s="12"/>
      <c r="AH2925" s="6"/>
      <c r="AI2925" s="6"/>
      <c r="AJ2925" s="12"/>
      <c r="AK2925" s="24"/>
      <c r="AL2925" s="25"/>
      <c r="AM2925" s="12"/>
      <c r="AN2925" s="1"/>
      <c r="AO2925" s="6"/>
    </row>
    <row r="2926" spans="1:41" ht="15" x14ac:dyDescent="0.25">
      <c r="A2926" s="1"/>
      <c r="B2926" s="1"/>
      <c r="C2926" s="1"/>
      <c r="D2926" s="1"/>
      <c r="E2926" s="6"/>
      <c r="F2926" s="1"/>
      <c r="G2926" s="6"/>
      <c r="H2926" s="6"/>
      <c r="I2926" s="6"/>
      <c r="J2926" s="6"/>
      <c r="K2926" s="6"/>
      <c r="L2926" s="6"/>
      <c r="M2926" s="6"/>
      <c r="N2926" s="6"/>
      <c r="O2926" s="7"/>
      <c r="P2926" s="6"/>
      <c r="Q2926" s="6"/>
      <c r="R2926" s="7"/>
      <c r="S2926" s="6"/>
      <c r="T2926" s="6"/>
      <c r="U2926" s="7"/>
      <c r="V2926" s="6"/>
      <c r="W2926" s="6"/>
      <c r="X2926" s="6"/>
      <c r="Y2926" s="6"/>
      <c r="Z2926" s="6"/>
      <c r="AA2926" s="7"/>
      <c r="AB2926" s="6"/>
      <c r="AC2926" s="6"/>
      <c r="AD2926" s="6"/>
      <c r="AE2926" s="12"/>
      <c r="AF2926" s="6"/>
      <c r="AG2926" s="12"/>
      <c r="AH2926" s="6"/>
      <c r="AI2926" s="6"/>
      <c r="AJ2926" s="12"/>
      <c r="AK2926" s="24"/>
      <c r="AL2926" s="25"/>
      <c r="AM2926" s="12"/>
      <c r="AN2926" s="1"/>
      <c r="AO2926" s="6"/>
    </row>
    <row r="2927" spans="1:41" ht="15" x14ac:dyDescent="0.25">
      <c r="A2927" s="1"/>
      <c r="B2927" s="1"/>
      <c r="C2927" s="1"/>
      <c r="D2927" s="1"/>
      <c r="E2927" s="6"/>
      <c r="F2927" s="1"/>
      <c r="G2927" s="6"/>
      <c r="H2927" s="6"/>
      <c r="I2927" s="6"/>
      <c r="J2927" s="6"/>
      <c r="K2927" s="6"/>
      <c r="L2927" s="6"/>
      <c r="M2927" s="6"/>
      <c r="N2927" s="6"/>
      <c r="O2927" s="7"/>
      <c r="P2927" s="12"/>
      <c r="Q2927" s="6"/>
      <c r="R2927" s="7"/>
      <c r="S2927" s="6"/>
      <c r="T2927" s="6"/>
      <c r="U2927" s="7"/>
      <c r="V2927" s="6"/>
      <c r="W2927" s="6"/>
      <c r="X2927" s="6"/>
      <c r="Y2927" s="6"/>
      <c r="Z2927" s="6"/>
      <c r="AA2927" s="7"/>
      <c r="AB2927" s="6"/>
      <c r="AC2927" s="6"/>
      <c r="AD2927" s="6"/>
      <c r="AE2927" s="12"/>
      <c r="AF2927" s="12"/>
      <c r="AG2927" s="12"/>
      <c r="AH2927" s="12"/>
      <c r="AI2927" s="6"/>
      <c r="AJ2927" s="12"/>
      <c r="AK2927" s="1"/>
      <c r="AL2927" s="12"/>
      <c r="AM2927" s="12"/>
      <c r="AN2927" s="1"/>
      <c r="AO2927" s="6"/>
    </row>
    <row r="2928" spans="1:41" ht="15" x14ac:dyDescent="0.25">
      <c r="A2928" s="1"/>
      <c r="B2928" s="1"/>
      <c r="C2928" s="1"/>
      <c r="D2928" s="1"/>
      <c r="E2928" s="6"/>
      <c r="F2928" s="1"/>
      <c r="G2928" s="6"/>
      <c r="H2928" s="6"/>
      <c r="I2928" s="6"/>
      <c r="J2928" s="6"/>
      <c r="K2928" s="6"/>
      <c r="L2928" s="6"/>
      <c r="M2928" s="6"/>
      <c r="N2928" s="6"/>
      <c r="O2928" s="7"/>
      <c r="P2928" s="6"/>
      <c r="Q2928" s="6"/>
      <c r="R2928" s="7"/>
      <c r="S2928" s="6"/>
      <c r="T2928" s="6"/>
      <c r="U2928" s="7"/>
      <c r="V2928" s="6"/>
      <c r="W2928" s="6"/>
      <c r="X2928" s="6"/>
      <c r="Y2928" s="6"/>
      <c r="Z2928" s="6"/>
      <c r="AA2928" s="7"/>
      <c r="AB2928" s="6"/>
      <c r="AC2928" s="6"/>
      <c r="AD2928" s="6"/>
      <c r="AE2928" s="12"/>
      <c r="AF2928" s="12"/>
      <c r="AG2928" s="12"/>
      <c r="AH2928" s="12"/>
      <c r="AI2928" s="6"/>
      <c r="AJ2928" s="12"/>
      <c r="AK2928" s="1"/>
      <c r="AL2928" s="12"/>
      <c r="AM2928" s="12"/>
      <c r="AN2928" s="1"/>
      <c r="AO2928" s="6"/>
    </row>
    <row r="2929" spans="1:41" ht="15" x14ac:dyDescent="0.25">
      <c r="A2929" s="1"/>
      <c r="B2929" s="1"/>
      <c r="C2929" s="1"/>
      <c r="D2929" s="1"/>
      <c r="E2929" s="6"/>
      <c r="F2929" s="1"/>
      <c r="G2929" s="6"/>
      <c r="H2929" s="6"/>
      <c r="I2929" s="6"/>
      <c r="J2929" s="6"/>
      <c r="K2929" s="12"/>
      <c r="L2929" s="12"/>
      <c r="M2929" s="6"/>
      <c r="N2929" s="6"/>
      <c r="O2929" s="7"/>
      <c r="P2929" s="6"/>
      <c r="Q2929" s="6"/>
      <c r="R2929" s="7"/>
      <c r="S2929" s="6"/>
      <c r="T2929" s="6"/>
      <c r="U2929" s="7"/>
      <c r="V2929" s="6"/>
      <c r="W2929" s="6"/>
      <c r="X2929" s="6"/>
      <c r="Y2929" s="6"/>
      <c r="Z2929" s="6"/>
      <c r="AA2929" s="7"/>
      <c r="AB2929" s="6"/>
      <c r="AC2929" s="6"/>
      <c r="AD2929" s="6"/>
      <c r="AE2929" s="12"/>
      <c r="AF2929" s="12"/>
      <c r="AG2929" s="12"/>
      <c r="AH2929" s="12"/>
      <c r="AI2929" s="6"/>
      <c r="AJ2929" s="12"/>
      <c r="AK2929" s="1"/>
      <c r="AL2929" s="12"/>
      <c r="AM2929" s="12"/>
      <c r="AN2929" s="1"/>
      <c r="AO2929" s="6"/>
    </row>
    <row r="2930" spans="1:41" ht="15" x14ac:dyDescent="0.25">
      <c r="A2930" s="1"/>
      <c r="B2930" s="1"/>
      <c r="C2930" s="1"/>
      <c r="D2930" s="1"/>
      <c r="E2930" s="6"/>
      <c r="F2930" s="1"/>
      <c r="G2930" s="6"/>
      <c r="H2930" s="6"/>
      <c r="I2930" s="6"/>
      <c r="J2930" s="6"/>
      <c r="K2930" s="6"/>
      <c r="L2930" s="6"/>
      <c r="M2930" s="6"/>
      <c r="N2930" s="6"/>
      <c r="O2930" s="7"/>
      <c r="P2930" s="6"/>
      <c r="Q2930" s="6"/>
      <c r="R2930" s="7"/>
      <c r="S2930" s="6"/>
      <c r="T2930" s="6"/>
      <c r="U2930" s="7"/>
      <c r="V2930" s="6"/>
      <c r="W2930" s="6"/>
      <c r="X2930" s="12"/>
      <c r="Y2930" s="6"/>
      <c r="Z2930" s="6"/>
      <c r="AA2930" s="7"/>
      <c r="AB2930" s="6"/>
      <c r="AC2930" s="6"/>
      <c r="AD2930" s="6"/>
      <c r="AE2930" s="12"/>
      <c r="AF2930" s="12"/>
      <c r="AG2930" s="12"/>
      <c r="AH2930" s="12"/>
      <c r="AI2930" s="6"/>
      <c r="AJ2930" s="12"/>
      <c r="AK2930" s="1"/>
      <c r="AL2930" s="12"/>
      <c r="AM2930" s="12"/>
      <c r="AN2930" s="1"/>
      <c r="AO2930" s="6"/>
    </row>
    <row r="2931" spans="1:41" ht="15" x14ac:dyDescent="0.25">
      <c r="A2931" s="1"/>
      <c r="B2931" s="1"/>
      <c r="C2931" s="1"/>
      <c r="D2931" s="1"/>
      <c r="E2931" s="6"/>
      <c r="F2931" s="1"/>
      <c r="G2931" s="6"/>
      <c r="H2931" s="6"/>
      <c r="I2931" s="6"/>
      <c r="J2931" s="6"/>
      <c r="K2931" s="6"/>
      <c r="L2931" s="6"/>
      <c r="M2931" s="6"/>
      <c r="N2931" s="6"/>
      <c r="O2931" s="7"/>
      <c r="P2931" s="6"/>
      <c r="Q2931" s="6"/>
      <c r="R2931" s="7"/>
      <c r="S2931" s="6"/>
      <c r="T2931" s="6"/>
      <c r="U2931" s="7"/>
      <c r="V2931" s="6"/>
      <c r="W2931" s="6"/>
      <c r="X2931" s="6"/>
      <c r="Y2931" s="6"/>
      <c r="Z2931" s="6"/>
      <c r="AA2931" s="7"/>
      <c r="AB2931" s="6"/>
      <c r="AC2931" s="6"/>
      <c r="AD2931" s="6"/>
      <c r="AE2931" s="12"/>
      <c r="AF2931" s="6"/>
      <c r="AG2931" s="12"/>
      <c r="AH2931" s="6"/>
      <c r="AI2931" s="6"/>
      <c r="AJ2931" s="12"/>
      <c r="AK2931" s="24"/>
      <c r="AL2931" s="25"/>
      <c r="AM2931" s="12"/>
      <c r="AN2931" s="1"/>
      <c r="AO2931" s="6"/>
    </row>
    <row r="2932" spans="1:41" ht="15" x14ac:dyDescent="0.25">
      <c r="A2932" s="1"/>
      <c r="B2932" s="1"/>
      <c r="C2932" s="1"/>
      <c r="D2932" s="1"/>
      <c r="E2932" s="6"/>
      <c r="F2932" s="1"/>
      <c r="G2932" s="6"/>
      <c r="H2932" s="6"/>
      <c r="I2932" s="6"/>
      <c r="J2932" s="6"/>
      <c r="K2932" s="12"/>
      <c r="L2932" s="12"/>
      <c r="M2932" s="6"/>
      <c r="N2932" s="6"/>
      <c r="O2932" s="7"/>
      <c r="P2932" s="6"/>
      <c r="Q2932" s="6"/>
      <c r="R2932" s="7"/>
      <c r="S2932" s="6"/>
      <c r="T2932" s="6"/>
      <c r="U2932" s="7"/>
      <c r="V2932" s="6"/>
      <c r="W2932" s="6"/>
      <c r="X2932" s="12"/>
      <c r="Y2932" s="6"/>
      <c r="Z2932" s="6"/>
      <c r="AA2932" s="7"/>
      <c r="AB2932" s="6"/>
      <c r="AC2932" s="6"/>
      <c r="AD2932" s="6"/>
      <c r="AE2932" s="12"/>
      <c r="AF2932" s="12"/>
      <c r="AG2932" s="12"/>
      <c r="AH2932" s="12"/>
      <c r="AI2932" s="6"/>
      <c r="AJ2932" s="12"/>
      <c r="AK2932" s="1"/>
      <c r="AL2932" s="12"/>
      <c r="AM2932" s="12"/>
      <c r="AN2932" s="1"/>
      <c r="AO2932" s="12"/>
    </row>
    <row r="2933" spans="1:41" ht="15" x14ac:dyDescent="0.25">
      <c r="A2933" s="1"/>
      <c r="B2933" s="1"/>
      <c r="C2933" s="1"/>
      <c r="D2933" s="1"/>
      <c r="E2933" s="6"/>
      <c r="F2933" s="1"/>
      <c r="G2933" s="6"/>
      <c r="H2933" s="6"/>
      <c r="I2933" s="6"/>
      <c r="J2933" s="6"/>
      <c r="K2933" s="6"/>
      <c r="L2933" s="6"/>
      <c r="M2933" s="6"/>
      <c r="N2933" s="6"/>
      <c r="O2933" s="7"/>
      <c r="P2933" s="6"/>
      <c r="Q2933" s="6"/>
      <c r="R2933" s="7"/>
      <c r="S2933" s="6"/>
      <c r="T2933" s="6"/>
      <c r="U2933" s="7"/>
      <c r="V2933" s="6"/>
      <c r="W2933" s="6"/>
      <c r="X2933" s="12"/>
      <c r="Y2933" s="6"/>
      <c r="Z2933" s="6"/>
      <c r="AA2933" s="7"/>
      <c r="AB2933" s="6"/>
      <c r="AC2933" s="6"/>
      <c r="AD2933" s="6"/>
      <c r="AE2933" s="12"/>
      <c r="AF2933" s="12"/>
      <c r="AG2933" s="12"/>
      <c r="AH2933" s="12"/>
      <c r="AI2933" s="6"/>
      <c r="AJ2933" s="12"/>
      <c r="AK2933" s="1"/>
      <c r="AL2933" s="12"/>
      <c r="AM2933" s="12"/>
      <c r="AN2933" s="1"/>
      <c r="AO2933" s="6"/>
    </row>
    <row r="2934" spans="1:41" ht="15" x14ac:dyDescent="0.25">
      <c r="A2934" s="1"/>
      <c r="B2934" s="1"/>
      <c r="C2934" s="1"/>
      <c r="D2934" s="1"/>
      <c r="E2934" s="6"/>
      <c r="F2934" s="1"/>
      <c r="G2934" s="6"/>
      <c r="H2934" s="6"/>
      <c r="I2934" s="6"/>
      <c r="J2934" s="6"/>
      <c r="K2934" s="6"/>
      <c r="L2934" s="6"/>
      <c r="M2934" s="6"/>
      <c r="N2934" s="6"/>
      <c r="O2934" s="7"/>
      <c r="P2934" s="6"/>
      <c r="Q2934" s="6"/>
      <c r="R2934" s="7"/>
      <c r="S2934" s="6"/>
      <c r="T2934" s="6"/>
      <c r="U2934" s="7"/>
      <c r="V2934" s="6"/>
      <c r="W2934" s="6"/>
      <c r="X2934" s="12"/>
      <c r="Y2934" s="6"/>
      <c r="Z2934" s="6"/>
      <c r="AA2934" s="7"/>
      <c r="AB2934" s="6"/>
      <c r="AC2934" s="6"/>
      <c r="AD2934" s="6"/>
      <c r="AE2934" s="12"/>
      <c r="AF2934" s="6"/>
      <c r="AG2934" s="12"/>
      <c r="AH2934" s="6"/>
      <c r="AI2934" s="6"/>
      <c r="AJ2934" s="12"/>
      <c r="AK2934" s="1"/>
      <c r="AL2934" s="12"/>
      <c r="AM2934" s="12"/>
      <c r="AN2934" s="1"/>
      <c r="AO2934" s="6"/>
    </row>
    <row r="2935" spans="1:41" ht="15" x14ac:dyDescent="0.25">
      <c r="A2935" s="1"/>
      <c r="B2935" s="1"/>
      <c r="C2935" s="1"/>
      <c r="D2935" s="1"/>
      <c r="E2935" s="6"/>
      <c r="F2935" s="1"/>
      <c r="G2935" s="6"/>
      <c r="H2935" s="6"/>
      <c r="I2935" s="6"/>
      <c r="J2935" s="6"/>
      <c r="K2935" s="6"/>
      <c r="L2935" s="6"/>
      <c r="M2935" s="6"/>
      <c r="N2935" s="6"/>
      <c r="O2935" s="7"/>
      <c r="P2935" s="12"/>
      <c r="Q2935" s="6"/>
      <c r="R2935" s="7"/>
      <c r="S2935" s="6"/>
      <c r="T2935" s="6"/>
      <c r="U2935" s="7"/>
      <c r="V2935" s="6"/>
      <c r="W2935" s="6"/>
      <c r="X2935" s="6"/>
      <c r="Y2935" s="6"/>
      <c r="Z2935" s="6"/>
      <c r="AA2935" s="7"/>
      <c r="AB2935" s="6"/>
      <c r="AC2935" s="6"/>
      <c r="AD2935" s="6"/>
      <c r="AE2935" s="12"/>
      <c r="AF2935" s="6"/>
      <c r="AG2935" s="12"/>
      <c r="AH2935" s="6"/>
      <c r="AI2935" s="6"/>
      <c r="AJ2935" s="12"/>
      <c r="AK2935" s="24"/>
      <c r="AL2935" s="25"/>
      <c r="AM2935" s="12"/>
      <c r="AN2935" s="1"/>
      <c r="AO2935" s="6"/>
    </row>
    <row r="2936" spans="1:41" ht="15" x14ac:dyDescent="0.25">
      <c r="A2936" s="1"/>
      <c r="B2936" s="1"/>
      <c r="C2936" s="1"/>
      <c r="D2936" s="1"/>
      <c r="E2936" s="6"/>
      <c r="F2936" s="1"/>
      <c r="G2936" s="6"/>
      <c r="H2936" s="6"/>
      <c r="I2936" s="6"/>
      <c r="J2936" s="6"/>
      <c r="K2936" s="6"/>
      <c r="L2936" s="6"/>
      <c r="M2936" s="6"/>
      <c r="N2936" s="6"/>
      <c r="O2936" s="7"/>
      <c r="P2936" s="6"/>
      <c r="Q2936" s="6"/>
      <c r="R2936" s="7"/>
      <c r="S2936" s="6"/>
      <c r="T2936" s="6"/>
      <c r="U2936" s="7"/>
      <c r="V2936" s="6"/>
      <c r="W2936" s="6"/>
      <c r="X2936" s="12"/>
      <c r="Y2936" s="6"/>
      <c r="Z2936" s="6"/>
      <c r="AA2936" s="7"/>
      <c r="AB2936" s="6"/>
      <c r="AC2936" s="6"/>
      <c r="AD2936" s="6"/>
      <c r="AE2936" s="12"/>
      <c r="AF2936" s="12"/>
      <c r="AG2936" s="12"/>
      <c r="AH2936" s="12"/>
      <c r="AI2936" s="6"/>
      <c r="AJ2936" s="12"/>
      <c r="AK2936" s="1"/>
      <c r="AL2936" s="12"/>
      <c r="AM2936" s="12"/>
      <c r="AN2936" s="1"/>
      <c r="AO2936" s="6"/>
    </row>
    <row r="2937" spans="1:41" ht="15" x14ac:dyDescent="0.25">
      <c r="A2937" s="1"/>
      <c r="B2937" s="1"/>
      <c r="C2937" s="1"/>
      <c r="D2937" s="1"/>
      <c r="E2937" s="6"/>
      <c r="F2937" s="1"/>
      <c r="G2937" s="6"/>
      <c r="H2937" s="6"/>
      <c r="I2937" s="6"/>
      <c r="J2937" s="6"/>
      <c r="K2937" s="6"/>
      <c r="L2937" s="6"/>
      <c r="M2937" s="6"/>
      <c r="N2937" s="6"/>
      <c r="O2937" s="7"/>
      <c r="P2937" s="12"/>
      <c r="Q2937" s="6"/>
      <c r="R2937" s="7"/>
      <c r="S2937" s="6"/>
      <c r="T2937" s="6"/>
      <c r="U2937" s="7"/>
      <c r="V2937" s="6"/>
      <c r="W2937" s="6"/>
      <c r="X2937" s="6"/>
      <c r="Y2937" s="6"/>
      <c r="Z2937" s="6"/>
      <c r="AA2937" s="7"/>
      <c r="AB2937" s="6"/>
      <c r="AC2937" s="6"/>
      <c r="AD2937" s="6"/>
      <c r="AE2937" s="12"/>
      <c r="AF2937" s="12"/>
      <c r="AG2937" s="12"/>
      <c r="AH2937" s="12"/>
      <c r="AI2937" s="6"/>
      <c r="AJ2937" s="12"/>
      <c r="AK2937" s="1"/>
      <c r="AL2937" s="12"/>
      <c r="AM2937" s="12"/>
      <c r="AN2937" s="1"/>
      <c r="AO2937" s="6"/>
    </row>
    <row r="2938" spans="1:41" ht="15" x14ac:dyDescent="0.25">
      <c r="A2938" s="1"/>
      <c r="B2938" s="1"/>
      <c r="C2938" s="1"/>
      <c r="D2938" s="1"/>
      <c r="E2938" s="6"/>
      <c r="F2938" s="1"/>
      <c r="G2938" s="6"/>
      <c r="H2938" s="6"/>
      <c r="I2938" s="6"/>
      <c r="J2938" s="6"/>
      <c r="K2938" s="6"/>
      <c r="L2938" s="6"/>
      <c r="M2938" s="6"/>
      <c r="N2938" s="6"/>
      <c r="O2938" s="7"/>
      <c r="P2938" s="6"/>
      <c r="Q2938" s="7"/>
      <c r="R2938" s="6"/>
      <c r="S2938" s="6"/>
      <c r="T2938" s="6"/>
      <c r="U2938" s="6"/>
      <c r="V2938" s="7"/>
      <c r="W2938" s="6"/>
      <c r="X2938" s="6"/>
      <c r="Y2938" s="6"/>
      <c r="Z2938" s="6"/>
      <c r="AA2938" s="24"/>
      <c r="AB2938" s="25"/>
      <c r="AC2938" s="12"/>
      <c r="AD2938" s="12"/>
      <c r="AE2938" s="12"/>
      <c r="AF2938" s="6"/>
      <c r="AG2938" s="12"/>
      <c r="AH2938" s="6"/>
      <c r="AI2938" s="6"/>
      <c r="AJ2938" s="12"/>
      <c r="AK2938" s="12"/>
      <c r="AL2938" s="12"/>
      <c r="AM2938" s="12"/>
      <c r="AN2938" s="1"/>
      <c r="AO2938" s="6"/>
    </row>
    <row r="2939" spans="1:41" ht="15" x14ac:dyDescent="0.25">
      <c r="A2939" s="1"/>
      <c r="B2939" s="1"/>
      <c r="C2939" s="1"/>
      <c r="D2939" s="1"/>
      <c r="E2939" s="6"/>
      <c r="F2939" s="1"/>
      <c r="G2939" s="6"/>
      <c r="H2939" s="6"/>
      <c r="I2939" s="6"/>
      <c r="J2939" s="6"/>
      <c r="K2939" s="6"/>
      <c r="L2939" s="6"/>
      <c r="M2939" s="6"/>
      <c r="N2939" s="6"/>
      <c r="O2939" s="7"/>
      <c r="P2939" s="12"/>
      <c r="Q2939" s="6"/>
      <c r="R2939" s="7"/>
      <c r="S2939" s="6"/>
      <c r="T2939" s="6"/>
      <c r="U2939" s="7"/>
      <c r="V2939" s="6"/>
      <c r="W2939" s="6"/>
      <c r="X2939" s="12"/>
      <c r="Y2939" s="6"/>
      <c r="Z2939" s="6"/>
      <c r="AA2939" s="7"/>
      <c r="AB2939" s="6"/>
      <c r="AC2939" s="6"/>
      <c r="AD2939" s="6"/>
      <c r="AE2939" s="12"/>
      <c r="AF2939" s="12"/>
      <c r="AG2939" s="12"/>
      <c r="AH2939" s="12"/>
      <c r="AI2939" s="6"/>
      <c r="AJ2939" s="12"/>
      <c r="AK2939" s="1"/>
      <c r="AL2939" s="12"/>
      <c r="AM2939" s="12"/>
      <c r="AN2939" s="1"/>
      <c r="AO2939" s="6"/>
    </row>
    <row r="2940" spans="1:41" ht="15" x14ac:dyDescent="0.25">
      <c r="A2940" s="1"/>
      <c r="B2940" s="1"/>
      <c r="C2940" s="1"/>
      <c r="D2940" s="1"/>
      <c r="E2940" s="6"/>
      <c r="F2940" s="1"/>
      <c r="G2940" s="6"/>
      <c r="H2940" s="6"/>
      <c r="I2940" s="6"/>
      <c r="J2940" s="6"/>
      <c r="K2940" s="12"/>
      <c r="L2940" s="6"/>
      <c r="M2940" s="6"/>
      <c r="N2940" s="6"/>
      <c r="O2940" s="7"/>
      <c r="P2940" s="6"/>
      <c r="Q2940" s="6"/>
      <c r="R2940" s="12"/>
      <c r="S2940" s="12"/>
      <c r="T2940" s="12"/>
      <c r="U2940" s="7"/>
      <c r="V2940" s="6"/>
      <c r="W2940" s="6"/>
      <c r="X2940" s="12"/>
      <c r="Y2940" s="6"/>
      <c r="Z2940" s="6"/>
      <c r="AA2940" s="7"/>
      <c r="AB2940" s="6"/>
      <c r="AC2940" s="6"/>
      <c r="AD2940" s="6"/>
      <c r="AE2940" s="12"/>
      <c r="AF2940" s="6"/>
      <c r="AG2940" s="12"/>
      <c r="AH2940" s="6"/>
      <c r="AI2940" s="6"/>
      <c r="AJ2940" s="12"/>
      <c r="AK2940" s="1"/>
      <c r="AL2940" s="12"/>
      <c r="AM2940" s="12"/>
      <c r="AN2940" s="1"/>
      <c r="AO2940" s="6"/>
    </row>
    <row r="2941" spans="1:41" ht="15" x14ac:dyDescent="0.25">
      <c r="A2941" s="1"/>
      <c r="B2941" s="1"/>
      <c r="C2941" s="1"/>
      <c r="D2941" s="1"/>
      <c r="E2941" s="6"/>
      <c r="F2941" s="1"/>
      <c r="G2941" s="6"/>
      <c r="H2941" s="6"/>
      <c r="I2941" s="6"/>
      <c r="J2941" s="6"/>
      <c r="K2941" s="6"/>
      <c r="L2941" s="6"/>
      <c r="M2941" s="6"/>
      <c r="N2941" s="6"/>
      <c r="O2941" s="7"/>
      <c r="P2941" s="6"/>
      <c r="Q2941" s="6"/>
      <c r="R2941" s="7"/>
      <c r="S2941" s="6"/>
      <c r="T2941" s="6"/>
      <c r="U2941" s="7"/>
      <c r="V2941" s="6"/>
      <c r="W2941" s="6"/>
      <c r="X2941" s="12"/>
      <c r="Y2941" s="6"/>
      <c r="Z2941" s="6"/>
      <c r="AA2941" s="7"/>
      <c r="AB2941" s="6"/>
      <c r="AC2941" s="6"/>
      <c r="AD2941" s="6"/>
      <c r="AE2941" s="12"/>
      <c r="AF2941" s="6"/>
      <c r="AG2941" s="12"/>
      <c r="AH2941" s="6"/>
      <c r="AI2941" s="6"/>
      <c r="AJ2941" s="12"/>
      <c r="AK2941" s="1"/>
      <c r="AL2941" s="12"/>
      <c r="AM2941" s="12"/>
      <c r="AN2941" s="1"/>
      <c r="AO2941" s="6"/>
    </row>
    <row r="2942" spans="1:41" ht="15" x14ac:dyDescent="0.25">
      <c r="A2942" s="1"/>
      <c r="B2942" s="1"/>
      <c r="C2942" s="1"/>
      <c r="D2942" s="1"/>
      <c r="E2942" s="6"/>
      <c r="F2942" s="1"/>
      <c r="G2942" s="6"/>
      <c r="H2942" s="6"/>
      <c r="I2942" s="6"/>
      <c r="J2942" s="6"/>
      <c r="K2942" s="6"/>
      <c r="L2942" s="6"/>
      <c r="M2942" s="6"/>
      <c r="N2942" s="6"/>
      <c r="O2942" s="7"/>
      <c r="P2942" s="6"/>
      <c r="Q2942" s="6"/>
      <c r="R2942" s="7"/>
      <c r="S2942" s="6"/>
      <c r="T2942" s="6"/>
      <c r="U2942" s="7"/>
      <c r="V2942" s="6"/>
      <c r="W2942" s="6"/>
      <c r="X2942" s="6"/>
      <c r="Y2942" s="6"/>
      <c r="Z2942" s="6"/>
      <c r="AA2942" s="7"/>
      <c r="AB2942" s="6"/>
      <c r="AC2942" s="6"/>
      <c r="AD2942" s="6"/>
      <c r="AE2942" s="12"/>
      <c r="AF2942" s="12"/>
      <c r="AG2942" s="12"/>
      <c r="AH2942" s="12"/>
      <c r="AI2942" s="6"/>
      <c r="AJ2942" s="12"/>
      <c r="AK2942" s="1"/>
      <c r="AL2942" s="12"/>
      <c r="AM2942" s="12"/>
      <c r="AN2942" s="1"/>
      <c r="AO2942" s="6"/>
    </row>
    <row r="2943" spans="1:41" ht="15" x14ac:dyDescent="0.25">
      <c r="A2943" s="1"/>
      <c r="B2943" s="1"/>
      <c r="C2943" s="1"/>
      <c r="D2943" s="1"/>
      <c r="E2943" s="6"/>
      <c r="F2943" s="1"/>
      <c r="G2943" s="6"/>
      <c r="H2943" s="6"/>
      <c r="I2943" s="6"/>
      <c r="J2943" s="6"/>
      <c r="K2943" s="6"/>
      <c r="L2943" s="6"/>
      <c r="M2943" s="6"/>
      <c r="N2943" s="6"/>
      <c r="O2943" s="7"/>
      <c r="P2943" s="6"/>
      <c r="Q2943" s="6"/>
      <c r="R2943" s="12"/>
      <c r="S2943" s="12"/>
      <c r="T2943" s="12"/>
      <c r="U2943" s="6"/>
      <c r="V2943" s="12"/>
      <c r="W2943" s="12"/>
      <c r="X2943" s="12"/>
      <c r="Y2943" s="6"/>
      <c r="Z2943" s="6"/>
      <c r="AA2943" s="7"/>
      <c r="AB2943" s="6"/>
      <c r="AC2943" s="6"/>
      <c r="AD2943" s="6"/>
      <c r="AE2943" s="12"/>
      <c r="AF2943" s="12"/>
      <c r="AG2943" s="12"/>
      <c r="AH2943" s="12"/>
      <c r="AI2943" s="6"/>
      <c r="AJ2943" s="12"/>
      <c r="AK2943" s="24"/>
      <c r="AL2943" s="25"/>
      <c r="AM2943" s="12"/>
      <c r="AN2943" s="1"/>
      <c r="AO2943" s="6"/>
    </row>
    <row r="2944" spans="1:41" ht="15" x14ac:dyDescent="0.25">
      <c r="A2944" s="1"/>
      <c r="B2944" s="1"/>
      <c r="C2944" s="1"/>
      <c r="D2944" s="1"/>
      <c r="E2944" s="6"/>
      <c r="F2944" s="1"/>
      <c r="G2944" s="6"/>
      <c r="H2944" s="6"/>
      <c r="I2944" s="6"/>
      <c r="J2944" s="6"/>
      <c r="K2944" s="6"/>
      <c r="L2944" s="6"/>
      <c r="M2944" s="6"/>
      <c r="N2944" s="6"/>
      <c r="O2944" s="7"/>
      <c r="P2944" s="6"/>
      <c r="Q2944" s="6"/>
      <c r="R2944" s="7"/>
      <c r="S2944" s="6"/>
      <c r="T2944" s="6"/>
      <c r="U2944" s="7"/>
      <c r="V2944" s="6"/>
      <c r="W2944" s="6"/>
      <c r="X2944" s="12"/>
      <c r="Y2944" s="6"/>
      <c r="Z2944" s="6"/>
      <c r="AA2944" s="7"/>
      <c r="AB2944" s="6"/>
      <c r="AC2944" s="6"/>
      <c r="AD2944" s="6"/>
      <c r="AE2944" s="12"/>
      <c r="AF2944" s="6"/>
      <c r="AG2944" s="12"/>
      <c r="AH2944" s="6"/>
      <c r="AI2944" s="6"/>
      <c r="AJ2944" s="12"/>
      <c r="AK2944" s="1"/>
      <c r="AL2944" s="12"/>
      <c r="AM2944" s="12"/>
      <c r="AN2944" s="1"/>
      <c r="AO2944" s="6"/>
    </row>
    <row r="2945" spans="1:41" ht="15" x14ac:dyDescent="0.25">
      <c r="A2945" s="1"/>
      <c r="B2945" s="1"/>
      <c r="C2945" s="1"/>
      <c r="D2945" s="1"/>
      <c r="E2945" s="6"/>
      <c r="F2945" s="1"/>
      <c r="G2945" s="6"/>
      <c r="H2945" s="6"/>
      <c r="I2945" s="6"/>
      <c r="J2945" s="6"/>
      <c r="K2945" s="6"/>
      <c r="L2945" s="6"/>
      <c r="M2945" s="6"/>
      <c r="N2945" s="6"/>
      <c r="O2945" s="7"/>
      <c r="P2945" s="6"/>
      <c r="Q2945" s="7"/>
      <c r="R2945" s="6"/>
      <c r="S2945" s="6"/>
      <c r="T2945" s="6"/>
      <c r="U2945" s="6"/>
      <c r="V2945" s="7"/>
      <c r="W2945" s="6"/>
      <c r="X2945" s="6"/>
      <c r="Y2945" s="6"/>
      <c r="Z2945" s="6"/>
      <c r="AA2945" s="1"/>
      <c r="AB2945" s="12"/>
      <c r="AC2945" s="12"/>
      <c r="AD2945" s="12"/>
      <c r="AE2945" s="12"/>
      <c r="AF2945" s="6"/>
      <c r="AG2945" s="12"/>
      <c r="AH2945" s="6"/>
      <c r="AI2945" s="6"/>
      <c r="AJ2945" s="12"/>
      <c r="AK2945" s="12"/>
      <c r="AL2945" s="12"/>
      <c r="AM2945" s="12"/>
      <c r="AN2945" s="1"/>
      <c r="AO2945" s="6"/>
    </row>
    <row r="2946" spans="1:41" ht="15" x14ac:dyDescent="0.25">
      <c r="A2946" s="1"/>
      <c r="B2946" s="1"/>
      <c r="C2946" s="1"/>
      <c r="D2946" s="1"/>
      <c r="E2946" s="6"/>
      <c r="F2946" s="1"/>
      <c r="G2946" s="6"/>
      <c r="H2946" s="6"/>
      <c r="I2946" s="6"/>
      <c r="J2946" s="6"/>
      <c r="K2946" s="6"/>
      <c r="L2946" s="6"/>
      <c r="M2946" s="6"/>
      <c r="N2946" s="6"/>
      <c r="O2946" s="7"/>
      <c r="P2946" s="6"/>
      <c r="Q2946" s="6"/>
      <c r="R2946" s="7"/>
      <c r="S2946" s="6"/>
      <c r="T2946" s="6"/>
      <c r="U2946" s="7"/>
      <c r="V2946" s="6"/>
      <c r="W2946" s="6"/>
      <c r="X2946" s="6"/>
      <c r="Y2946" s="6"/>
      <c r="Z2946" s="6"/>
      <c r="AA2946" s="7"/>
      <c r="AB2946" s="6"/>
      <c r="AC2946" s="6"/>
      <c r="AD2946" s="6"/>
      <c r="AE2946" s="12"/>
      <c r="AF2946" s="6"/>
      <c r="AG2946" s="12"/>
      <c r="AH2946" s="6"/>
      <c r="AI2946" s="6"/>
      <c r="AJ2946" s="12"/>
      <c r="AK2946" s="24"/>
      <c r="AL2946" s="25"/>
      <c r="AM2946" s="12"/>
      <c r="AN2946" s="1"/>
      <c r="AO2946" s="6"/>
    </row>
    <row r="2947" spans="1:41" ht="15" x14ac:dyDescent="0.25">
      <c r="A2947" s="1"/>
      <c r="B2947" s="1"/>
      <c r="C2947" s="1"/>
      <c r="D2947" s="1"/>
      <c r="E2947" s="6"/>
      <c r="F2947" s="1"/>
      <c r="G2947" s="6"/>
      <c r="H2947" s="6"/>
      <c r="I2947" s="6"/>
      <c r="J2947" s="6"/>
      <c r="K2947" s="6"/>
      <c r="L2947" s="6"/>
      <c r="M2947" s="6"/>
      <c r="N2947" s="6"/>
      <c r="O2947" s="7"/>
      <c r="P2947" s="6"/>
      <c r="Q2947" s="6"/>
      <c r="R2947" s="7"/>
      <c r="S2947" s="6"/>
      <c r="T2947" s="6"/>
      <c r="U2947" s="7"/>
      <c r="V2947" s="6"/>
      <c r="W2947" s="6"/>
      <c r="X2947" s="6"/>
      <c r="Y2947" s="6"/>
      <c r="Z2947" s="6"/>
      <c r="AA2947" s="7"/>
      <c r="AB2947" s="6"/>
      <c r="AC2947" s="6"/>
      <c r="AD2947" s="6"/>
      <c r="AE2947" s="12"/>
      <c r="AF2947" s="6"/>
      <c r="AG2947" s="12"/>
      <c r="AH2947" s="6"/>
      <c r="AI2947" s="6"/>
      <c r="AJ2947" s="12"/>
      <c r="AK2947" s="24"/>
      <c r="AL2947" s="25"/>
      <c r="AM2947" s="12"/>
      <c r="AN2947" s="1"/>
      <c r="AO2947" s="6"/>
    </row>
    <row r="2948" spans="1:41" ht="15" x14ac:dyDescent="0.25">
      <c r="A2948" s="1"/>
      <c r="B2948" s="1"/>
      <c r="C2948" s="1"/>
      <c r="D2948" s="1"/>
      <c r="E2948" s="6"/>
      <c r="F2948" s="1"/>
      <c r="G2948" s="6"/>
      <c r="H2948" s="6"/>
      <c r="I2948" s="6"/>
      <c r="J2948" s="6"/>
      <c r="K2948" s="6"/>
      <c r="L2948" s="6"/>
      <c r="M2948" s="6"/>
      <c r="N2948" s="6"/>
      <c r="O2948" s="12"/>
      <c r="P2948" s="12"/>
      <c r="Q2948" s="7"/>
      <c r="R2948" s="12"/>
      <c r="S2948" s="12"/>
      <c r="T2948" s="12"/>
      <c r="U2948" s="6"/>
      <c r="V2948" s="7"/>
      <c r="W2948" s="7"/>
      <c r="X2948" s="6"/>
      <c r="Y2948" s="6"/>
      <c r="Z2948" s="6"/>
      <c r="AA2948" s="1"/>
      <c r="AB2948" s="12"/>
      <c r="AC2948" s="12"/>
      <c r="AD2948" s="12"/>
      <c r="AE2948" s="12"/>
      <c r="AF2948" s="12"/>
      <c r="AG2948" s="12"/>
      <c r="AH2948" s="12"/>
      <c r="AI2948" s="6"/>
      <c r="AJ2948" s="12"/>
      <c r="AK2948" s="12"/>
      <c r="AL2948" s="12"/>
      <c r="AM2948" s="12"/>
      <c r="AN2948" s="1"/>
      <c r="AO2948" s="6"/>
    </row>
    <row r="2949" spans="1:41" ht="15" x14ac:dyDescent="0.25">
      <c r="A2949" s="1"/>
      <c r="B2949" s="1"/>
      <c r="C2949" s="1"/>
      <c r="D2949" s="1"/>
      <c r="E2949" s="6"/>
      <c r="F2949" s="1"/>
      <c r="G2949" s="6"/>
      <c r="H2949" s="6"/>
      <c r="I2949" s="6"/>
      <c r="J2949" s="6"/>
      <c r="K2949" s="6"/>
      <c r="L2949" s="6"/>
      <c r="M2949" s="6"/>
      <c r="N2949" s="6"/>
      <c r="O2949" s="7"/>
      <c r="P2949" s="6"/>
      <c r="Q2949" s="6"/>
      <c r="R2949" s="7"/>
      <c r="S2949" s="6"/>
      <c r="T2949" s="6"/>
      <c r="U2949" s="7"/>
      <c r="V2949" s="6"/>
      <c r="W2949" s="6"/>
      <c r="X2949" s="12"/>
      <c r="Y2949" s="6"/>
      <c r="Z2949" s="6"/>
      <c r="AA2949" s="7"/>
      <c r="AB2949" s="6"/>
      <c r="AC2949" s="6"/>
      <c r="AD2949" s="6"/>
      <c r="AE2949" s="12"/>
      <c r="AF2949" s="6"/>
      <c r="AG2949" s="12"/>
      <c r="AH2949" s="6"/>
      <c r="AI2949" s="6"/>
      <c r="AJ2949" s="12"/>
      <c r="AK2949" s="1"/>
      <c r="AL2949" s="12"/>
      <c r="AM2949" s="12"/>
      <c r="AN2949" s="1"/>
      <c r="AO2949" s="6"/>
    </row>
    <row r="2950" spans="1:41" ht="15" x14ac:dyDescent="0.25">
      <c r="A2950" s="1"/>
      <c r="B2950" s="1"/>
      <c r="C2950" s="1"/>
      <c r="D2950" s="1"/>
      <c r="E2950" s="6"/>
      <c r="F2950" s="1"/>
      <c r="G2950" s="6"/>
      <c r="H2950" s="6"/>
      <c r="I2950" s="6"/>
      <c r="J2950" s="6"/>
      <c r="K2950" s="6"/>
      <c r="L2950" s="6"/>
      <c r="M2950" s="6"/>
      <c r="N2950" s="6"/>
      <c r="O2950" s="7"/>
      <c r="P2950" s="6"/>
      <c r="Q2950" s="6"/>
      <c r="R2950" s="7"/>
      <c r="S2950" s="6"/>
      <c r="T2950" s="6"/>
      <c r="U2950" s="7"/>
      <c r="V2950" s="6"/>
      <c r="W2950" s="6"/>
      <c r="X2950" s="6"/>
      <c r="Y2950" s="6"/>
      <c r="Z2950" s="6"/>
      <c r="AA2950" s="7"/>
      <c r="AB2950" s="6"/>
      <c r="AC2950" s="6"/>
      <c r="AD2950" s="6"/>
      <c r="AE2950" s="12"/>
      <c r="AF2950" s="12"/>
      <c r="AG2950" s="12"/>
      <c r="AH2950" s="12"/>
      <c r="AI2950" s="6"/>
      <c r="AJ2950" s="12"/>
      <c r="AK2950" s="1"/>
      <c r="AL2950" s="12"/>
      <c r="AM2950" s="12"/>
      <c r="AN2950" s="1"/>
      <c r="AO2950" s="6"/>
    </row>
    <row r="2951" spans="1:41" ht="15" x14ac:dyDescent="0.25">
      <c r="A2951" s="1"/>
      <c r="B2951" s="1"/>
      <c r="C2951" s="1"/>
      <c r="D2951" s="1"/>
      <c r="E2951" s="6"/>
      <c r="F2951" s="1"/>
      <c r="G2951" s="6"/>
      <c r="H2951" s="6"/>
      <c r="I2951" s="6"/>
      <c r="J2951" s="6"/>
      <c r="K2951" s="6"/>
      <c r="L2951" s="6"/>
      <c r="M2951" s="6"/>
      <c r="N2951" s="6"/>
      <c r="O2951" s="7"/>
      <c r="P2951" s="6"/>
      <c r="Q2951" s="6"/>
      <c r="R2951" s="7"/>
      <c r="S2951" s="6"/>
      <c r="T2951" s="6"/>
      <c r="U2951" s="7"/>
      <c r="V2951" s="6"/>
      <c r="W2951" s="6"/>
      <c r="X2951" s="6"/>
      <c r="Y2951" s="6"/>
      <c r="Z2951" s="6"/>
      <c r="AA2951" s="7"/>
      <c r="AB2951" s="6"/>
      <c r="AC2951" s="6"/>
      <c r="AD2951" s="6"/>
      <c r="AE2951" s="12"/>
      <c r="AF2951" s="12"/>
      <c r="AG2951" s="12"/>
      <c r="AH2951" s="12"/>
      <c r="AI2951" s="6"/>
      <c r="AJ2951" s="12"/>
      <c r="AK2951" s="1"/>
      <c r="AL2951" s="12"/>
      <c r="AM2951" s="12"/>
      <c r="AN2951" s="1"/>
      <c r="AO2951" s="6"/>
    </row>
    <row r="2952" spans="1:41" ht="15" x14ac:dyDescent="0.25">
      <c r="A2952" s="1"/>
      <c r="B2952" s="1"/>
      <c r="C2952" s="1"/>
      <c r="D2952" s="1"/>
      <c r="E2952" s="6"/>
      <c r="F2952" s="1"/>
      <c r="G2952" s="6"/>
      <c r="H2952" s="6"/>
      <c r="I2952" s="6"/>
      <c r="J2952" s="6"/>
      <c r="K2952" s="6"/>
      <c r="L2952" s="6"/>
      <c r="M2952" s="6"/>
      <c r="N2952" s="6"/>
      <c r="O2952" s="7"/>
      <c r="P2952" s="6"/>
      <c r="Q2952" s="6"/>
      <c r="R2952" s="7"/>
      <c r="S2952" s="6"/>
      <c r="T2952" s="6"/>
      <c r="U2952" s="7"/>
      <c r="V2952" s="6"/>
      <c r="W2952" s="6"/>
      <c r="X2952" s="6"/>
      <c r="Y2952" s="6"/>
      <c r="Z2952" s="6"/>
      <c r="AA2952" s="7"/>
      <c r="AB2952" s="6"/>
      <c r="AC2952" s="6"/>
      <c r="AD2952" s="6"/>
      <c r="AE2952" s="12"/>
      <c r="AF2952" s="12"/>
      <c r="AG2952" s="12"/>
      <c r="AH2952" s="12"/>
      <c r="AI2952" s="6"/>
      <c r="AJ2952" s="12"/>
      <c r="AK2952" s="1"/>
      <c r="AL2952" s="12"/>
      <c r="AM2952" s="12"/>
      <c r="AN2952" s="1"/>
      <c r="AO2952" s="6"/>
    </row>
    <row r="2953" spans="1:41" ht="15" x14ac:dyDescent="0.25">
      <c r="A2953" s="1"/>
      <c r="B2953" s="1"/>
      <c r="C2953" s="1"/>
      <c r="D2953" s="1"/>
      <c r="E2953" s="6"/>
      <c r="F2953" s="1"/>
      <c r="G2953" s="6"/>
      <c r="H2953" s="6"/>
      <c r="I2953" s="6"/>
      <c r="J2953" s="6"/>
      <c r="K2953" s="6"/>
      <c r="L2953" s="6"/>
      <c r="M2953" s="6"/>
      <c r="N2953" s="6"/>
      <c r="O2953" s="7"/>
      <c r="P2953" s="6"/>
      <c r="Q2953" s="6"/>
      <c r="R2953" s="7"/>
      <c r="S2953" s="6"/>
      <c r="T2953" s="6"/>
      <c r="U2953" s="7"/>
      <c r="V2953" s="6"/>
      <c r="W2953" s="6"/>
      <c r="X2953" s="6"/>
      <c r="Y2953" s="6"/>
      <c r="Z2953" s="6"/>
      <c r="AA2953" s="7"/>
      <c r="AB2953" s="6"/>
      <c r="AC2953" s="6"/>
      <c r="AD2953" s="6"/>
      <c r="AE2953" s="12"/>
      <c r="AF2953" s="12"/>
      <c r="AG2953" s="12"/>
      <c r="AH2953" s="12"/>
      <c r="AI2953" s="6"/>
      <c r="AJ2953" s="12"/>
      <c r="AK2953" s="1"/>
      <c r="AL2953" s="12"/>
      <c r="AM2953" s="12"/>
      <c r="AN2953" s="1"/>
      <c r="AO2953" s="6"/>
    </row>
    <row r="2954" spans="1:41" ht="15" x14ac:dyDescent="0.25">
      <c r="A2954" s="1"/>
      <c r="B2954" s="1"/>
      <c r="C2954" s="1"/>
      <c r="D2954" s="1"/>
      <c r="E2954" s="6"/>
      <c r="F2954" s="1"/>
      <c r="G2954" s="6"/>
      <c r="H2954" s="6"/>
      <c r="I2954" s="6"/>
      <c r="J2954" s="6"/>
      <c r="K2954" s="6"/>
      <c r="L2954" s="6"/>
      <c r="M2954" s="6"/>
      <c r="N2954" s="6"/>
      <c r="O2954" s="7"/>
      <c r="P2954" s="12"/>
      <c r="Q2954" s="6"/>
      <c r="R2954" s="7"/>
      <c r="S2954" s="6"/>
      <c r="T2954" s="6"/>
      <c r="U2954" s="7"/>
      <c r="V2954" s="6"/>
      <c r="W2954" s="6"/>
      <c r="X2954" s="6"/>
      <c r="Y2954" s="6"/>
      <c r="Z2954" s="6"/>
      <c r="AA2954" s="7"/>
      <c r="AB2954" s="6"/>
      <c r="AC2954" s="6"/>
      <c r="AD2954" s="6"/>
      <c r="AE2954" s="12"/>
      <c r="AF2954" s="6"/>
      <c r="AG2954" s="12"/>
      <c r="AH2954" s="6"/>
      <c r="AI2954" s="6"/>
      <c r="AJ2954" s="12"/>
      <c r="AK2954" s="1"/>
      <c r="AL2954" s="12"/>
      <c r="AM2954" s="12"/>
      <c r="AN2954" s="1"/>
      <c r="AO2954" s="6"/>
    </row>
    <row r="2955" spans="1:41" ht="15" x14ac:dyDescent="0.25">
      <c r="A2955" s="1"/>
      <c r="B2955" s="1"/>
      <c r="C2955" s="1"/>
      <c r="D2955" s="1"/>
      <c r="E2955" s="6"/>
      <c r="F2955" s="1"/>
      <c r="G2955" s="6"/>
      <c r="H2955" s="6"/>
      <c r="I2955" s="6"/>
      <c r="J2955" s="6"/>
      <c r="K2955" s="6"/>
      <c r="L2955" s="6"/>
      <c r="M2955" s="6"/>
      <c r="N2955" s="6"/>
      <c r="O2955" s="7"/>
      <c r="P2955" s="6"/>
      <c r="Q2955" s="6"/>
      <c r="R2955" s="7"/>
      <c r="S2955" s="6"/>
      <c r="T2955" s="6"/>
      <c r="U2955" s="7"/>
      <c r="V2955" s="6"/>
      <c r="W2955" s="6"/>
      <c r="X2955" s="12"/>
      <c r="Y2955" s="6"/>
      <c r="Z2955" s="6"/>
      <c r="AA2955" s="7"/>
      <c r="AB2955" s="6"/>
      <c r="AC2955" s="6"/>
      <c r="AD2955" s="6"/>
      <c r="AE2955" s="12"/>
      <c r="AF2955" s="6"/>
      <c r="AG2955" s="12"/>
      <c r="AH2955" s="6"/>
      <c r="AI2955" s="6"/>
      <c r="AJ2955" s="12"/>
      <c r="AK2955" s="1"/>
      <c r="AL2955" s="12"/>
      <c r="AM2955" s="12"/>
      <c r="AN2955" s="1"/>
      <c r="AO2955" s="6"/>
    </row>
    <row r="2956" spans="1:41" ht="15" x14ac:dyDescent="0.25">
      <c r="A2956" s="1"/>
      <c r="B2956" s="1"/>
      <c r="C2956" s="1"/>
      <c r="D2956" s="1"/>
      <c r="E2956" s="6"/>
      <c r="F2956" s="1"/>
      <c r="G2956" s="6"/>
      <c r="H2956" s="6"/>
      <c r="I2956" s="6"/>
      <c r="J2956" s="6"/>
      <c r="K2956" s="6"/>
      <c r="L2956" s="6"/>
      <c r="M2956" s="6"/>
      <c r="N2956" s="6"/>
      <c r="O2956" s="7"/>
      <c r="P2956" s="6"/>
      <c r="Q2956" s="6"/>
      <c r="R2956" s="7"/>
      <c r="S2956" s="6"/>
      <c r="T2956" s="6"/>
      <c r="U2956" s="7"/>
      <c r="V2956" s="6"/>
      <c r="W2956" s="6"/>
      <c r="X2956" s="6"/>
      <c r="Y2956" s="6"/>
      <c r="Z2956" s="6"/>
      <c r="AA2956" s="7"/>
      <c r="AB2956" s="6"/>
      <c r="AC2956" s="6"/>
      <c r="AD2956" s="6"/>
      <c r="AE2956" s="12"/>
      <c r="AF2956" s="6"/>
      <c r="AG2956" s="12"/>
      <c r="AH2956" s="6"/>
      <c r="AI2956" s="6"/>
      <c r="AJ2956" s="12"/>
      <c r="AK2956" s="24"/>
      <c r="AL2956" s="25"/>
      <c r="AM2956" s="12"/>
      <c r="AN2956" s="1"/>
      <c r="AO2956" s="6"/>
    </row>
    <row r="2957" spans="1:41" ht="15" x14ac:dyDescent="0.25">
      <c r="A2957" s="1"/>
      <c r="B2957" s="1"/>
      <c r="C2957" s="1"/>
      <c r="D2957" s="1"/>
      <c r="E2957" s="6"/>
      <c r="F2957" s="1"/>
      <c r="G2957" s="6"/>
      <c r="H2957" s="6"/>
      <c r="I2957" s="6"/>
      <c r="J2957" s="6"/>
      <c r="K2957" s="6"/>
      <c r="L2957" s="6"/>
      <c r="M2957" s="6"/>
      <c r="N2957" s="6"/>
      <c r="O2957" s="7"/>
      <c r="P2957" s="6"/>
      <c r="Q2957" s="6"/>
      <c r="R2957" s="7"/>
      <c r="S2957" s="6"/>
      <c r="T2957" s="6"/>
      <c r="U2957" s="7"/>
      <c r="V2957" s="6"/>
      <c r="W2957" s="6"/>
      <c r="X2957" s="6"/>
      <c r="Y2957" s="6"/>
      <c r="Z2957" s="6"/>
      <c r="AA2957" s="7"/>
      <c r="AB2957" s="6"/>
      <c r="AC2957" s="6"/>
      <c r="AD2957" s="6"/>
      <c r="AE2957" s="12"/>
      <c r="AF2957" s="6"/>
      <c r="AG2957" s="12"/>
      <c r="AH2957" s="6"/>
      <c r="AI2957" s="6"/>
      <c r="AJ2957" s="12"/>
      <c r="AK2957" s="1"/>
      <c r="AL2957" s="12"/>
      <c r="AM2957" s="12"/>
      <c r="AN2957" s="1"/>
      <c r="AO2957" s="6"/>
    </row>
    <row r="2958" spans="1:41" ht="15" x14ac:dyDescent="0.25">
      <c r="A2958" s="1"/>
      <c r="B2958" s="1"/>
      <c r="C2958" s="1"/>
      <c r="D2958" s="1"/>
      <c r="E2958" s="6"/>
      <c r="F2958" s="1"/>
      <c r="G2958" s="6"/>
      <c r="H2958" s="6"/>
      <c r="I2958" s="6"/>
      <c r="J2958" s="6"/>
      <c r="K2958" s="6"/>
      <c r="L2958" s="6"/>
      <c r="M2958" s="6"/>
      <c r="N2958" s="6"/>
      <c r="O2958" s="7"/>
      <c r="P2958" s="6"/>
      <c r="Q2958" s="6"/>
      <c r="R2958" s="7"/>
      <c r="S2958" s="6"/>
      <c r="T2958" s="6"/>
      <c r="U2958" s="7"/>
      <c r="V2958" s="6"/>
      <c r="W2958" s="6"/>
      <c r="X2958" s="6"/>
      <c r="Y2958" s="6"/>
      <c r="Z2958" s="6"/>
      <c r="AA2958" s="7"/>
      <c r="AB2958" s="6"/>
      <c r="AC2958" s="6"/>
      <c r="AD2958" s="6"/>
      <c r="AE2958" s="12"/>
      <c r="AF2958" s="6"/>
      <c r="AG2958" s="12"/>
      <c r="AH2958" s="6"/>
      <c r="AI2958" s="6"/>
      <c r="AJ2958" s="12"/>
      <c r="AK2958" s="24"/>
      <c r="AL2958" s="25"/>
      <c r="AM2958" s="12"/>
      <c r="AN2958" s="1"/>
      <c r="AO2958" s="6"/>
    </row>
    <row r="2959" spans="1:41" ht="15" x14ac:dyDescent="0.25">
      <c r="A2959" s="1"/>
      <c r="B2959" s="1"/>
      <c r="C2959" s="1"/>
      <c r="D2959" s="1"/>
      <c r="E2959" s="6"/>
      <c r="F2959" s="1"/>
      <c r="G2959" s="6"/>
      <c r="H2959" s="6"/>
      <c r="I2959" s="6"/>
      <c r="J2959" s="6"/>
      <c r="K2959" s="6"/>
      <c r="L2959" s="6"/>
      <c r="M2959" s="6"/>
      <c r="N2959" s="6"/>
      <c r="O2959" s="7"/>
      <c r="P2959" s="6"/>
      <c r="Q2959" s="6"/>
      <c r="R2959" s="7"/>
      <c r="S2959" s="6"/>
      <c r="T2959" s="6"/>
      <c r="U2959" s="7"/>
      <c r="V2959" s="6"/>
      <c r="W2959" s="6"/>
      <c r="X2959" s="6"/>
      <c r="Y2959" s="6"/>
      <c r="Z2959" s="6"/>
      <c r="AA2959" s="7"/>
      <c r="AB2959" s="6"/>
      <c r="AC2959" s="6"/>
      <c r="AD2959" s="6"/>
      <c r="AE2959" s="12"/>
      <c r="AF2959" s="12"/>
      <c r="AG2959" s="12"/>
      <c r="AH2959" s="12"/>
      <c r="AI2959" s="6"/>
      <c r="AJ2959" s="12"/>
      <c r="AK2959" s="1"/>
      <c r="AL2959" s="12"/>
      <c r="AM2959" s="12"/>
      <c r="AN2959" s="1"/>
      <c r="AO2959" s="6"/>
    </row>
    <row r="2960" spans="1:41" ht="15" x14ac:dyDescent="0.25">
      <c r="A2960" s="1"/>
      <c r="B2960" s="1"/>
      <c r="C2960" s="1"/>
      <c r="D2960" s="1"/>
      <c r="E2960" s="6"/>
      <c r="F2960" s="1"/>
      <c r="G2960" s="6"/>
      <c r="H2960" s="6"/>
      <c r="I2960" s="6"/>
      <c r="J2960" s="6"/>
      <c r="K2960" s="12"/>
      <c r="L2960" s="12"/>
      <c r="M2960" s="6"/>
      <c r="N2960" s="6"/>
      <c r="O2960" s="7"/>
      <c r="P2960" s="6"/>
      <c r="Q2960" s="6"/>
      <c r="R2960" s="7"/>
      <c r="S2960" s="6"/>
      <c r="T2960" s="6"/>
      <c r="U2960" s="7"/>
      <c r="V2960" s="6"/>
      <c r="W2960" s="6"/>
      <c r="X2960" s="12"/>
      <c r="Y2960" s="6"/>
      <c r="Z2960" s="6"/>
      <c r="AA2960" s="7"/>
      <c r="AB2960" s="6"/>
      <c r="AC2960" s="6"/>
      <c r="AD2960" s="6"/>
      <c r="AE2960" s="12"/>
      <c r="AF2960" s="12"/>
      <c r="AG2960" s="12"/>
      <c r="AH2960" s="12"/>
      <c r="AI2960" s="6"/>
      <c r="AJ2960" s="12"/>
      <c r="AK2960" s="24"/>
      <c r="AL2960" s="25"/>
      <c r="AM2960" s="12"/>
      <c r="AN2960" s="1"/>
      <c r="AO2960" s="6"/>
    </row>
    <row r="2961" spans="1:41" ht="15" x14ac:dyDescent="0.25">
      <c r="A2961" s="1"/>
      <c r="B2961" s="1"/>
      <c r="C2961" s="1"/>
      <c r="D2961" s="1"/>
      <c r="E2961" s="6"/>
      <c r="F2961" s="1"/>
      <c r="G2961" s="6"/>
      <c r="H2961" s="6"/>
      <c r="I2961" s="6"/>
      <c r="J2961" s="6"/>
      <c r="K2961" s="6"/>
      <c r="L2961" s="6"/>
      <c r="M2961" s="6"/>
      <c r="N2961" s="6"/>
      <c r="O2961" s="7"/>
      <c r="P2961" s="6"/>
      <c r="Q2961" s="6"/>
      <c r="R2961" s="12"/>
      <c r="S2961" s="12"/>
      <c r="T2961" s="12"/>
      <c r="U2961" s="7"/>
      <c r="V2961" s="6"/>
      <c r="W2961" s="6"/>
      <c r="X2961" s="12"/>
      <c r="Y2961" s="6"/>
      <c r="Z2961" s="6"/>
      <c r="AA2961" s="7"/>
      <c r="AB2961" s="6"/>
      <c r="AC2961" s="6"/>
      <c r="AD2961" s="6"/>
      <c r="AE2961" s="12"/>
      <c r="AF2961" s="12"/>
      <c r="AG2961" s="12"/>
      <c r="AH2961" s="12"/>
      <c r="AI2961" s="6"/>
      <c r="AJ2961" s="12"/>
      <c r="AK2961" s="1"/>
      <c r="AL2961" s="12"/>
      <c r="AM2961" s="12"/>
      <c r="AN2961" s="1"/>
      <c r="AO2961" s="6"/>
    </row>
    <row r="2962" spans="1:41" ht="15" x14ac:dyDescent="0.25">
      <c r="A2962" s="1"/>
      <c r="B2962" s="1"/>
      <c r="C2962" s="1"/>
      <c r="D2962" s="1"/>
      <c r="E2962" s="6"/>
      <c r="F2962" s="1"/>
      <c r="G2962" s="6"/>
      <c r="H2962" s="6"/>
      <c r="I2962" s="6"/>
      <c r="J2962" s="6"/>
      <c r="K2962" s="6"/>
      <c r="L2962" s="6"/>
      <c r="M2962" s="6"/>
      <c r="N2962" s="6"/>
      <c r="O2962" s="7"/>
      <c r="P2962" s="6"/>
      <c r="Q2962" s="6"/>
      <c r="R2962" s="7"/>
      <c r="S2962" s="6"/>
      <c r="T2962" s="6"/>
      <c r="U2962" s="7"/>
      <c r="V2962" s="6"/>
      <c r="W2962" s="6"/>
      <c r="X2962" s="12"/>
      <c r="Y2962" s="6"/>
      <c r="Z2962" s="6"/>
      <c r="AA2962" s="7"/>
      <c r="AB2962" s="6"/>
      <c r="AC2962" s="6"/>
      <c r="AD2962" s="6"/>
      <c r="AE2962" s="12"/>
      <c r="AF2962" s="12"/>
      <c r="AG2962" s="12"/>
      <c r="AH2962" s="12"/>
      <c r="AI2962" s="6"/>
      <c r="AJ2962" s="12"/>
      <c r="AK2962" s="1"/>
      <c r="AL2962" s="12"/>
      <c r="AM2962" s="12"/>
      <c r="AN2962" s="1"/>
      <c r="AO2962" s="6"/>
    </row>
    <row r="2963" spans="1:41" ht="15" x14ac:dyDescent="0.25">
      <c r="A2963" s="1"/>
      <c r="B2963" s="1"/>
      <c r="C2963" s="1"/>
      <c r="D2963" s="1"/>
      <c r="E2963" s="6"/>
      <c r="F2963" s="1"/>
      <c r="G2963" s="6"/>
      <c r="H2963" s="6"/>
      <c r="I2963" s="6"/>
      <c r="J2963" s="6"/>
      <c r="K2963" s="6"/>
      <c r="L2963" s="6"/>
      <c r="M2963" s="6"/>
      <c r="N2963" s="6"/>
      <c r="O2963" s="7"/>
      <c r="P2963" s="6"/>
      <c r="Q2963" s="6"/>
      <c r="R2963" s="7"/>
      <c r="S2963" s="6"/>
      <c r="T2963" s="6"/>
      <c r="U2963" s="7"/>
      <c r="V2963" s="6"/>
      <c r="W2963" s="6"/>
      <c r="X2963" s="6"/>
      <c r="Y2963" s="6"/>
      <c r="Z2963" s="6"/>
      <c r="AA2963" s="7"/>
      <c r="AB2963" s="6"/>
      <c r="AC2963" s="6"/>
      <c r="AD2963" s="6"/>
      <c r="AE2963" s="12"/>
      <c r="AF2963" s="6"/>
      <c r="AG2963" s="12"/>
      <c r="AH2963" s="6"/>
      <c r="AI2963" s="6"/>
      <c r="AJ2963" s="12"/>
      <c r="AK2963" s="24"/>
      <c r="AL2963" s="25"/>
      <c r="AM2963" s="12"/>
      <c r="AN2963" s="1"/>
      <c r="AO2963" s="6"/>
    </row>
    <row r="2964" spans="1:41" ht="15" x14ac:dyDescent="0.25">
      <c r="A2964" s="1"/>
      <c r="B2964" s="1"/>
      <c r="C2964" s="1"/>
      <c r="D2964" s="1"/>
      <c r="E2964" s="6"/>
      <c r="F2964" s="1"/>
      <c r="G2964" s="6"/>
      <c r="H2964" s="6"/>
      <c r="I2964" s="6"/>
      <c r="J2964" s="6"/>
      <c r="K2964" s="6"/>
      <c r="L2964" s="6"/>
      <c r="M2964" s="6"/>
      <c r="N2964" s="6"/>
      <c r="O2964" s="7"/>
      <c r="P2964" s="6"/>
      <c r="Q2964" s="6"/>
      <c r="R2964" s="7"/>
      <c r="S2964" s="6"/>
      <c r="T2964" s="6"/>
      <c r="U2964" s="7"/>
      <c r="V2964" s="6"/>
      <c r="W2964" s="6"/>
      <c r="X2964" s="12"/>
      <c r="Y2964" s="6"/>
      <c r="Z2964" s="6"/>
      <c r="AA2964" s="7"/>
      <c r="AB2964" s="6"/>
      <c r="AC2964" s="6"/>
      <c r="AD2964" s="6"/>
      <c r="AE2964" s="12"/>
      <c r="AF2964" s="12"/>
      <c r="AG2964" s="12"/>
      <c r="AH2964" s="12"/>
      <c r="AI2964" s="6"/>
      <c r="AJ2964" s="12"/>
      <c r="AK2964" s="24"/>
      <c r="AL2964" s="25"/>
      <c r="AM2964" s="12"/>
      <c r="AN2964" s="1"/>
      <c r="AO2964" s="6"/>
    </row>
    <row r="2965" spans="1:41" ht="15" x14ac:dyDescent="0.25">
      <c r="A2965" s="1"/>
      <c r="B2965" s="1"/>
      <c r="C2965" s="1"/>
      <c r="D2965" s="1"/>
      <c r="E2965" s="6"/>
      <c r="F2965" s="1"/>
      <c r="G2965" s="6"/>
      <c r="H2965" s="6"/>
      <c r="I2965" s="6"/>
      <c r="J2965" s="6"/>
      <c r="K2965" s="6"/>
      <c r="L2965" s="6"/>
      <c r="M2965" s="6"/>
      <c r="N2965" s="6"/>
      <c r="O2965" s="7"/>
      <c r="P2965" s="12"/>
      <c r="Q2965" s="6"/>
      <c r="R2965" s="7"/>
      <c r="S2965" s="6"/>
      <c r="T2965" s="6"/>
      <c r="U2965" s="7"/>
      <c r="V2965" s="6"/>
      <c r="W2965" s="6"/>
      <c r="X2965" s="6"/>
      <c r="Y2965" s="6"/>
      <c r="Z2965" s="6"/>
      <c r="AA2965" s="7"/>
      <c r="AB2965" s="6"/>
      <c r="AC2965" s="6"/>
      <c r="AD2965" s="6"/>
      <c r="AE2965" s="12"/>
      <c r="AF2965" s="12"/>
      <c r="AG2965" s="12"/>
      <c r="AH2965" s="12"/>
      <c r="AI2965" s="6"/>
      <c r="AJ2965" s="12"/>
      <c r="AK2965" s="1"/>
      <c r="AL2965" s="12"/>
      <c r="AM2965" s="12"/>
      <c r="AN2965" s="1"/>
      <c r="AO2965" s="6"/>
    </row>
    <row r="2966" spans="1:41" ht="15" x14ac:dyDescent="0.25">
      <c r="A2966" s="1"/>
      <c r="B2966" s="1"/>
      <c r="C2966" s="1"/>
      <c r="D2966" s="1"/>
      <c r="E2966" s="6"/>
      <c r="F2966" s="1"/>
      <c r="G2966" s="6"/>
      <c r="H2966" s="6"/>
      <c r="I2966" s="6"/>
      <c r="J2966" s="6"/>
      <c r="K2966" s="6"/>
      <c r="L2966" s="6"/>
      <c r="M2966" s="6"/>
      <c r="N2966" s="6"/>
      <c r="O2966" s="7"/>
      <c r="P2966" s="6"/>
      <c r="Q2966" s="6"/>
      <c r="R2966" s="7"/>
      <c r="S2966" s="6"/>
      <c r="T2966" s="6"/>
      <c r="U2966" s="7"/>
      <c r="V2966" s="6"/>
      <c r="W2966" s="6"/>
      <c r="X2966" s="6"/>
      <c r="Y2966" s="6"/>
      <c r="Z2966" s="6"/>
      <c r="AA2966" s="7"/>
      <c r="AB2966" s="6"/>
      <c r="AC2966" s="6"/>
      <c r="AD2966" s="6"/>
      <c r="AE2966" s="12"/>
      <c r="AF2966" s="12"/>
      <c r="AG2966" s="12"/>
      <c r="AH2966" s="12"/>
      <c r="AI2966" s="6"/>
      <c r="AJ2966" s="12"/>
      <c r="AK2966" s="1"/>
      <c r="AL2966" s="12"/>
      <c r="AM2966" s="12"/>
      <c r="AN2966" s="1"/>
      <c r="AO2966" s="12"/>
    </row>
    <row r="2967" spans="1:41" ht="15" x14ac:dyDescent="0.25">
      <c r="A2967" s="1"/>
      <c r="B2967" s="1"/>
      <c r="C2967" s="1"/>
      <c r="D2967" s="1"/>
      <c r="E2967" s="6"/>
      <c r="F2967" s="1"/>
      <c r="G2967" s="6"/>
      <c r="H2967" s="6"/>
      <c r="I2967" s="6"/>
      <c r="J2967" s="6"/>
      <c r="K2967" s="6"/>
      <c r="L2967" s="6"/>
      <c r="M2967" s="6"/>
      <c r="N2967" s="6"/>
      <c r="O2967" s="7"/>
      <c r="P2967" s="6"/>
      <c r="Q2967" s="6"/>
      <c r="R2967" s="7"/>
      <c r="S2967" s="6"/>
      <c r="T2967" s="6"/>
      <c r="U2967" s="7"/>
      <c r="V2967" s="6"/>
      <c r="W2967" s="6"/>
      <c r="X2967" s="6"/>
      <c r="Y2967" s="6"/>
      <c r="Z2967" s="6"/>
      <c r="AA2967" s="7"/>
      <c r="AB2967" s="6"/>
      <c r="AC2967" s="6"/>
      <c r="AD2967" s="6"/>
      <c r="AE2967" s="12"/>
      <c r="AF2967" s="12"/>
      <c r="AG2967" s="12"/>
      <c r="AH2967" s="12"/>
      <c r="AI2967" s="6"/>
      <c r="AJ2967" s="12"/>
      <c r="AK2967" s="1"/>
      <c r="AL2967" s="12"/>
      <c r="AM2967" s="12"/>
      <c r="AN2967" s="1"/>
      <c r="AO2967" s="6"/>
    </row>
    <row r="2968" spans="1:41" ht="15" x14ac:dyDescent="0.25">
      <c r="A2968" s="1"/>
      <c r="B2968" s="1"/>
      <c r="C2968" s="1"/>
      <c r="D2968" s="1"/>
      <c r="E2968" s="6"/>
      <c r="F2968" s="1"/>
      <c r="G2968" s="6"/>
      <c r="H2968" s="6"/>
      <c r="I2968" s="6"/>
      <c r="J2968" s="6"/>
      <c r="K2968" s="6"/>
      <c r="L2968" s="6"/>
      <c r="M2968" s="6"/>
      <c r="N2968" s="6"/>
      <c r="O2968" s="7"/>
      <c r="P2968" s="6"/>
      <c r="Q2968" s="6"/>
      <c r="R2968" s="7"/>
      <c r="S2968" s="6"/>
      <c r="T2968" s="6"/>
      <c r="U2968" s="7"/>
      <c r="V2968" s="6"/>
      <c r="W2968" s="6"/>
      <c r="X2968" s="12"/>
      <c r="Y2968" s="6"/>
      <c r="Z2968" s="6"/>
      <c r="AA2968" s="7"/>
      <c r="AB2968" s="6"/>
      <c r="AC2968" s="6"/>
      <c r="AD2968" s="6"/>
      <c r="AE2968" s="12"/>
      <c r="AF2968" s="6"/>
      <c r="AG2968" s="12"/>
      <c r="AH2968" s="6"/>
      <c r="AI2968" s="6"/>
      <c r="AJ2968" s="12"/>
      <c r="AK2968" s="1"/>
      <c r="AL2968" s="12"/>
      <c r="AM2968" s="12"/>
      <c r="AN2968" s="1"/>
      <c r="AO2968" s="6"/>
    </row>
    <row r="2969" spans="1:41" ht="15" x14ac:dyDescent="0.25">
      <c r="A2969" s="1"/>
      <c r="B2969" s="1"/>
      <c r="C2969" s="1"/>
      <c r="D2969" s="1"/>
      <c r="E2969" s="6"/>
      <c r="F2969" s="1"/>
      <c r="G2969" s="6"/>
      <c r="H2969" s="6"/>
      <c r="I2969" s="6"/>
      <c r="J2969" s="6"/>
      <c r="K2969" s="6"/>
      <c r="L2969" s="6"/>
      <c r="M2969" s="6"/>
      <c r="N2969" s="6"/>
      <c r="O2969" s="7"/>
      <c r="P2969" s="6"/>
      <c r="Q2969" s="6"/>
      <c r="R2969" s="7"/>
      <c r="S2969" s="6"/>
      <c r="T2969" s="6"/>
      <c r="U2969" s="7"/>
      <c r="V2969" s="6"/>
      <c r="W2969" s="6"/>
      <c r="X2969" s="6"/>
      <c r="Y2969" s="6"/>
      <c r="Z2969" s="6"/>
      <c r="AA2969" s="7"/>
      <c r="AB2969" s="6"/>
      <c r="AC2969" s="6"/>
      <c r="AD2969" s="6"/>
      <c r="AE2969" s="12"/>
      <c r="AF2969" s="6"/>
      <c r="AG2969" s="12"/>
      <c r="AH2969" s="6"/>
      <c r="AI2969" s="6"/>
      <c r="AJ2969" s="12"/>
      <c r="AK2969" s="1"/>
      <c r="AL2969" s="12"/>
      <c r="AM2969" s="12"/>
      <c r="AN2969" s="1"/>
      <c r="AO2969" s="6"/>
    </row>
    <row r="2970" spans="1:41" ht="15" x14ac:dyDescent="0.25">
      <c r="A2970" s="1"/>
      <c r="B2970" s="1"/>
      <c r="C2970" s="1"/>
      <c r="D2970" s="1"/>
      <c r="E2970" s="6"/>
      <c r="F2970" s="1"/>
      <c r="G2970" s="6"/>
      <c r="H2970" s="6"/>
      <c r="I2970" s="6"/>
      <c r="J2970" s="6"/>
      <c r="K2970" s="6"/>
      <c r="L2970" s="6"/>
      <c r="M2970" s="6"/>
      <c r="N2970" s="6"/>
      <c r="O2970" s="7"/>
      <c r="P2970" s="6"/>
      <c r="Q2970" s="6"/>
      <c r="R2970" s="7"/>
      <c r="S2970" s="6"/>
      <c r="T2970" s="6"/>
      <c r="U2970" s="7"/>
      <c r="V2970" s="6"/>
      <c r="W2970" s="6"/>
      <c r="X2970" s="6"/>
      <c r="Y2970" s="6"/>
      <c r="Z2970" s="6"/>
      <c r="AA2970" s="7"/>
      <c r="AB2970" s="6"/>
      <c r="AC2970" s="6"/>
      <c r="AD2970" s="6"/>
      <c r="AE2970" s="12"/>
      <c r="AF2970" s="12"/>
      <c r="AG2970" s="12"/>
      <c r="AH2970" s="12"/>
      <c r="AI2970" s="6"/>
      <c r="AJ2970" s="12"/>
      <c r="AK2970" s="1"/>
      <c r="AL2970" s="12"/>
      <c r="AM2970" s="12"/>
      <c r="AN2970" s="1"/>
      <c r="AO2970" s="6"/>
    </row>
    <row r="2971" spans="1:41" ht="15" x14ac:dyDescent="0.25">
      <c r="A2971" s="1"/>
      <c r="B2971" s="1"/>
      <c r="C2971" s="1"/>
      <c r="D2971" s="1"/>
      <c r="E2971" s="6"/>
      <c r="F2971" s="1"/>
      <c r="G2971" s="6"/>
      <c r="H2971" s="6"/>
      <c r="I2971" s="6"/>
      <c r="J2971" s="6"/>
      <c r="K2971" s="12"/>
      <c r="L2971" s="12"/>
      <c r="M2971" s="6"/>
      <c r="N2971" s="6"/>
      <c r="O2971" s="7"/>
      <c r="P2971" s="12"/>
      <c r="Q2971" s="6"/>
      <c r="R2971" s="7"/>
      <c r="S2971" s="6"/>
      <c r="T2971" s="6"/>
      <c r="U2971" s="7"/>
      <c r="V2971" s="6"/>
      <c r="W2971" s="6"/>
      <c r="X2971" s="12"/>
      <c r="Y2971" s="6"/>
      <c r="Z2971" s="6"/>
      <c r="AA2971" s="7"/>
      <c r="AB2971" s="6"/>
      <c r="AC2971" s="6"/>
      <c r="AD2971" s="6"/>
      <c r="AE2971" s="12"/>
      <c r="AF2971" s="12"/>
      <c r="AG2971" s="12"/>
      <c r="AH2971" s="12"/>
      <c r="AI2971" s="6"/>
      <c r="AJ2971" s="12"/>
      <c r="AK2971" s="24"/>
      <c r="AL2971" s="25"/>
      <c r="AM2971" s="12"/>
      <c r="AN2971" s="1"/>
      <c r="AO2971" s="6"/>
    </row>
    <row r="2972" spans="1:41" ht="15" x14ac:dyDescent="0.25">
      <c r="A2972" s="1"/>
      <c r="B2972" s="1"/>
      <c r="C2972" s="1"/>
      <c r="D2972" s="1"/>
      <c r="E2972" s="6"/>
      <c r="F2972" s="1"/>
      <c r="G2972" s="6"/>
      <c r="H2972" s="6"/>
      <c r="I2972" s="6"/>
      <c r="J2972" s="6"/>
      <c r="K2972" s="6"/>
      <c r="L2972" s="6"/>
      <c r="M2972" s="6"/>
      <c r="N2972" s="6"/>
      <c r="O2972" s="7"/>
      <c r="P2972" s="6"/>
      <c r="Q2972" s="6"/>
      <c r="R2972" s="7"/>
      <c r="S2972" s="6"/>
      <c r="T2972" s="6"/>
      <c r="U2972" s="7"/>
      <c r="V2972" s="6"/>
      <c r="W2972" s="6"/>
      <c r="X2972" s="6"/>
      <c r="Y2972" s="6"/>
      <c r="Z2972" s="6"/>
      <c r="AA2972" s="7"/>
      <c r="AB2972" s="6"/>
      <c r="AC2972" s="6"/>
      <c r="AD2972" s="6"/>
      <c r="AE2972" s="12"/>
      <c r="AF2972" s="6"/>
      <c r="AG2972" s="12"/>
      <c r="AH2972" s="6"/>
      <c r="AI2972" s="6"/>
      <c r="AJ2972" s="12"/>
      <c r="AK2972" s="24"/>
      <c r="AL2972" s="25"/>
      <c r="AM2972" s="12"/>
      <c r="AN2972" s="1"/>
      <c r="AO2972" s="6"/>
    </row>
    <row r="2973" spans="1:41" ht="15" x14ac:dyDescent="0.25">
      <c r="A2973" s="1"/>
      <c r="B2973" s="1"/>
      <c r="C2973" s="1"/>
      <c r="D2973" s="1"/>
      <c r="E2973" s="6"/>
      <c r="F2973" s="1"/>
      <c r="G2973" s="6"/>
      <c r="H2973" s="6"/>
      <c r="I2973" s="6"/>
      <c r="J2973" s="6"/>
      <c r="K2973" s="6"/>
      <c r="L2973" s="6"/>
      <c r="M2973" s="6"/>
      <c r="N2973" s="6"/>
      <c r="O2973" s="7"/>
      <c r="P2973" s="6"/>
      <c r="Q2973" s="6"/>
      <c r="R2973" s="7"/>
      <c r="S2973" s="6"/>
      <c r="T2973" s="6"/>
      <c r="U2973" s="7"/>
      <c r="V2973" s="6"/>
      <c r="W2973" s="6"/>
      <c r="X2973" s="6"/>
      <c r="Y2973" s="6"/>
      <c r="Z2973" s="6"/>
      <c r="AA2973" s="7"/>
      <c r="AB2973" s="6"/>
      <c r="AC2973" s="6"/>
      <c r="AD2973" s="6"/>
      <c r="AE2973" s="12"/>
      <c r="AF2973" s="6"/>
      <c r="AG2973" s="12"/>
      <c r="AH2973" s="6"/>
      <c r="AI2973" s="6"/>
      <c r="AJ2973" s="12"/>
      <c r="AK2973" s="1"/>
      <c r="AL2973" s="12"/>
      <c r="AM2973" s="12"/>
      <c r="AN2973" s="1"/>
      <c r="AO2973" s="6"/>
    </row>
    <row r="2974" spans="1:41" ht="15" x14ac:dyDescent="0.25">
      <c r="A2974" s="1"/>
      <c r="B2974" s="1"/>
      <c r="C2974" s="1"/>
      <c r="D2974" s="1"/>
      <c r="E2974" s="6"/>
      <c r="F2974" s="1"/>
      <c r="G2974" s="6"/>
      <c r="H2974" s="6"/>
      <c r="I2974" s="6"/>
      <c r="J2974" s="6"/>
      <c r="K2974" s="6"/>
      <c r="L2974" s="6"/>
      <c r="M2974" s="6"/>
      <c r="N2974" s="6"/>
      <c r="O2974" s="7"/>
      <c r="P2974" s="6"/>
      <c r="Q2974" s="6"/>
      <c r="R2974" s="7"/>
      <c r="S2974" s="6"/>
      <c r="T2974" s="6"/>
      <c r="U2974" s="7"/>
      <c r="V2974" s="6"/>
      <c r="W2974" s="6"/>
      <c r="X2974" s="6"/>
      <c r="Y2974" s="6"/>
      <c r="Z2974" s="6"/>
      <c r="AA2974" s="7"/>
      <c r="AB2974" s="6"/>
      <c r="AC2974" s="6"/>
      <c r="AD2974" s="6"/>
      <c r="AE2974" s="12"/>
      <c r="AF2974" s="12"/>
      <c r="AG2974" s="12"/>
      <c r="AH2974" s="12"/>
      <c r="AI2974" s="6"/>
      <c r="AJ2974" s="12"/>
      <c r="AK2974" s="1"/>
      <c r="AL2974" s="12"/>
      <c r="AM2974" s="12"/>
      <c r="AN2974" s="1"/>
      <c r="AO2974" s="6"/>
    </row>
    <row r="2975" spans="1:41" ht="15" x14ac:dyDescent="0.25">
      <c r="A2975" s="1"/>
      <c r="B2975" s="1"/>
      <c r="C2975" s="1"/>
      <c r="D2975" s="1"/>
      <c r="E2975" s="6"/>
      <c r="F2975" s="1"/>
      <c r="G2975" s="6"/>
      <c r="H2975" s="6"/>
      <c r="I2975" s="6"/>
      <c r="J2975" s="6"/>
      <c r="K2975" s="6"/>
      <c r="L2975" s="6"/>
      <c r="M2975" s="6"/>
      <c r="N2975" s="6"/>
      <c r="O2975" s="7"/>
      <c r="P2975" s="6"/>
      <c r="Q2975" s="7"/>
      <c r="R2975" s="6"/>
      <c r="S2975" s="12"/>
      <c r="T2975" s="6"/>
      <c r="U2975" s="6"/>
      <c r="V2975" s="7"/>
      <c r="W2975" s="7"/>
      <c r="X2975" s="6"/>
      <c r="Y2975" s="6"/>
      <c r="Z2975" s="6"/>
      <c r="AA2975" s="1"/>
      <c r="AB2975" s="12"/>
      <c r="AC2975" s="12"/>
      <c r="AD2975" s="12"/>
      <c r="AE2975" s="12"/>
      <c r="AF2975" s="12"/>
      <c r="AG2975" s="12"/>
      <c r="AH2975" s="12"/>
      <c r="AI2975" s="6"/>
      <c r="AJ2975" s="12"/>
      <c r="AK2975" s="12"/>
      <c r="AL2975" s="12"/>
      <c r="AM2975" s="12"/>
      <c r="AN2975" s="1"/>
      <c r="AO2975" s="6"/>
    </row>
    <row r="2976" spans="1:41" ht="15" x14ac:dyDescent="0.25">
      <c r="A2976" s="1"/>
      <c r="B2976" s="1"/>
      <c r="C2976" s="1"/>
      <c r="D2976" s="1"/>
      <c r="E2976" s="6"/>
      <c r="F2976" s="1"/>
      <c r="G2976" s="6"/>
      <c r="H2976" s="6"/>
      <c r="I2976" s="6"/>
      <c r="J2976" s="6"/>
      <c r="K2976" s="6"/>
      <c r="L2976" s="6"/>
      <c r="M2976" s="6"/>
      <c r="N2976" s="6"/>
      <c r="O2976" s="7"/>
      <c r="P2976" s="6"/>
      <c r="Q2976" s="6"/>
      <c r="R2976" s="12"/>
      <c r="S2976" s="12"/>
      <c r="T2976" s="12"/>
      <c r="U2976" s="7"/>
      <c r="V2976" s="6"/>
      <c r="W2976" s="6"/>
      <c r="X2976" s="12"/>
      <c r="Y2976" s="6"/>
      <c r="Z2976" s="6"/>
      <c r="AA2976" s="7"/>
      <c r="AB2976" s="6"/>
      <c r="AC2976" s="6"/>
      <c r="AD2976" s="6"/>
      <c r="AE2976" s="12"/>
      <c r="AF2976" s="6"/>
      <c r="AG2976" s="12"/>
      <c r="AH2976" s="6"/>
      <c r="AI2976" s="6"/>
      <c r="AJ2976" s="12"/>
      <c r="AK2976" s="24"/>
      <c r="AL2976" s="25"/>
      <c r="AM2976" s="12"/>
      <c r="AN2976" s="1"/>
      <c r="AO2976" s="6"/>
    </row>
    <row r="2977" spans="1:41" ht="15" x14ac:dyDescent="0.25">
      <c r="A2977" s="1"/>
      <c r="B2977" s="1"/>
      <c r="C2977" s="1"/>
      <c r="D2977" s="1"/>
      <c r="E2977" s="6"/>
      <c r="F2977" s="1"/>
      <c r="G2977" s="6"/>
      <c r="H2977" s="6"/>
      <c r="I2977" s="6"/>
      <c r="J2977" s="6"/>
      <c r="K2977" s="6"/>
      <c r="L2977" s="6"/>
      <c r="M2977" s="6"/>
      <c r="N2977" s="6"/>
      <c r="O2977" s="7"/>
      <c r="P2977" s="6"/>
      <c r="Q2977" s="6"/>
      <c r="R2977" s="7"/>
      <c r="S2977" s="6"/>
      <c r="T2977" s="6"/>
      <c r="U2977" s="7"/>
      <c r="V2977" s="6"/>
      <c r="W2977" s="6"/>
      <c r="X2977" s="12"/>
      <c r="Y2977" s="6"/>
      <c r="Z2977" s="6"/>
      <c r="AA2977" s="7"/>
      <c r="AB2977" s="6"/>
      <c r="AC2977" s="6"/>
      <c r="AD2977" s="6"/>
      <c r="AE2977" s="12"/>
      <c r="AF2977" s="12"/>
      <c r="AG2977" s="12"/>
      <c r="AH2977" s="12"/>
      <c r="AI2977" s="6"/>
      <c r="AJ2977" s="12"/>
      <c r="AK2977" s="1"/>
      <c r="AL2977" s="12"/>
      <c r="AM2977" s="12"/>
      <c r="AN2977" s="1"/>
      <c r="AO2977" s="6"/>
    </row>
    <row r="2978" spans="1:41" ht="15" x14ac:dyDescent="0.25">
      <c r="A2978" s="1"/>
      <c r="B2978" s="1"/>
      <c r="C2978" s="1"/>
      <c r="D2978" s="1"/>
      <c r="E2978" s="6"/>
      <c r="F2978" s="1"/>
      <c r="G2978" s="6"/>
      <c r="H2978" s="6"/>
      <c r="I2978" s="6"/>
      <c r="J2978" s="6"/>
      <c r="K2978" s="6"/>
      <c r="L2978" s="6"/>
      <c r="M2978" s="6"/>
      <c r="N2978" s="6"/>
      <c r="O2978" s="7"/>
      <c r="P2978" s="6"/>
      <c r="Q2978" s="6"/>
      <c r="R2978" s="7"/>
      <c r="S2978" s="6"/>
      <c r="T2978" s="6"/>
      <c r="U2978" s="7"/>
      <c r="V2978" s="6"/>
      <c r="W2978" s="6"/>
      <c r="X2978" s="6"/>
      <c r="Y2978" s="6"/>
      <c r="Z2978" s="6"/>
      <c r="AA2978" s="7"/>
      <c r="AB2978" s="6"/>
      <c r="AC2978" s="6"/>
      <c r="AD2978" s="6"/>
      <c r="AE2978" s="12"/>
      <c r="AF2978" s="6"/>
      <c r="AG2978" s="12"/>
      <c r="AH2978" s="6"/>
      <c r="AI2978" s="6"/>
      <c r="AJ2978" s="12"/>
      <c r="AK2978" s="24"/>
      <c r="AL2978" s="25"/>
      <c r="AM2978" s="12"/>
      <c r="AN2978" s="1"/>
      <c r="AO2978" s="6"/>
    </row>
    <row r="2979" spans="1:41" ht="15" x14ac:dyDescent="0.25">
      <c r="A2979" s="1"/>
      <c r="B2979" s="1"/>
      <c r="C2979" s="1"/>
      <c r="D2979" s="1"/>
      <c r="E2979" s="6"/>
      <c r="F2979" s="1"/>
      <c r="G2979" s="6"/>
      <c r="H2979" s="6"/>
      <c r="I2979" s="6"/>
      <c r="J2979" s="6"/>
      <c r="K2979" s="6"/>
      <c r="L2979" s="6"/>
      <c r="M2979" s="6"/>
      <c r="N2979" s="6"/>
      <c r="O2979" s="7"/>
      <c r="P2979" s="6"/>
      <c r="Q2979" s="6"/>
      <c r="R2979" s="7"/>
      <c r="S2979" s="6"/>
      <c r="T2979" s="6"/>
      <c r="U2979" s="7"/>
      <c r="V2979" s="6"/>
      <c r="W2979" s="6"/>
      <c r="X2979" s="6"/>
      <c r="Y2979" s="6"/>
      <c r="Z2979" s="6"/>
      <c r="AA2979" s="7"/>
      <c r="AB2979" s="6"/>
      <c r="AC2979" s="6"/>
      <c r="AD2979" s="6"/>
      <c r="AE2979" s="12"/>
      <c r="AF2979" s="6"/>
      <c r="AG2979" s="12"/>
      <c r="AH2979" s="6"/>
      <c r="AI2979" s="6"/>
      <c r="AJ2979" s="12"/>
      <c r="AK2979" s="1"/>
      <c r="AL2979" s="12"/>
      <c r="AM2979" s="12"/>
      <c r="AN2979" s="1"/>
      <c r="AO2979" s="6"/>
    </row>
    <row r="2980" spans="1:41" ht="15" x14ac:dyDescent="0.25">
      <c r="A2980" s="1"/>
      <c r="B2980" s="1"/>
      <c r="C2980" s="1"/>
      <c r="D2980" s="1"/>
      <c r="E2980" s="6"/>
      <c r="F2980" s="1"/>
      <c r="G2980" s="6"/>
      <c r="H2980" s="6"/>
      <c r="I2980" s="6"/>
      <c r="J2980" s="6"/>
      <c r="K2980" s="6"/>
      <c r="L2980" s="6"/>
      <c r="M2980" s="6"/>
      <c r="N2980" s="6"/>
      <c r="O2980" s="7"/>
      <c r="P2980" s="12"/>
      <c r="Q2980" s="6"/>
      <c r="R2980" s="7"/>
      <c r="S2980" s="6"/>
      <c r="T2980" s="6"/>
      <c r="U2980" s="7"/>
      <c r="V2980" s="6"/>
      <c r="W2980" s="6"/>
      <c r="X2980" s="6"/>
      <c r="Y2980" s="6"/>
      <c r="Z2980" s="6"/>
      <c r="AA2980" s="7"/>
      <c r="AB2980" s="6"/>
      <c r="AC2980" s="6"/>
      <c r="AD2980" s="6"/>
      <c r="AE2980" s="12"/>
      <c r="AF2980" s="6"/>
      <c r="AG2980" s="12"/>
      <c r="AH2980" s="6"/>
      <c r="AI2980" s="6"/>
      <c r="AJ2980" s="12"/>
      <c r="AK2980" s="24"/>
      <c r="AL2980" s="25"/>
      <c r="AM2980" s="12"/>
      <c r="AN2980" s="1"/>
      <c r="AO2980" s="6"/>
    </row>
    <row r="2981" spans="1:41" ht="15" x14ac:dyDescent="0.25">
      <c r="A2981" s="1"/>
      <c r="B2981" s="1"/>
      <c r="C2981" s="1"/>
      <c r="D2981" s="1"/>
      <c r="E2981" s="6"/>
      <c r="F2981" s="1"/>
      <c r="G2981" s="6"/>
      <c r="H2981" s="6"/>
      <c r="I2981" s="6"/>
      <c r="J2981" s="6"/>
      <c r="K2981" s="6"/>
      <c r="L2981" s="6"/>
      <c r="M2981" s="6"/>
      <c r="N2981" s="6"/>
      <c r="O2981" s="7"/>
      <c r="P2981" s="6"/>
      <c r="Q2981" s="6"/>
      <c r="R2981" s="7"/>
      <c r="S2981" s="6"/>
      <c r="T2981" s="6"/>
      <c r="U2981" s="7"/>
      <c r="V2981" s="6"/>
      <c r="W2981" s="6"/>
      <c r="X2981" s="12"/>
      <c r="Y2981" s="6"/>
      <c r="Z2981" s="6"/>
      <c r="AA2981" s="7"/>
      <c r="AB2981" s="6"/>
      <c r="AC2981" s="6"/>
      <c r="AD2981" s="6"/>
      <c r="AE2981" s="12"/>
      <c r="AF2981" s="12"/>
      <c r="AG2981" s="12"/>
      <c r="AH2981" s="12"/>
      <c r="AI2981" s="6"/>
      <c r="AJ2981" s="12"/>
      <c r="AK2981" s="1"/>
      <c r="AL2981" s="12"/>
      <c r="AM2981" s="12"/>
      <c r="AN2981" s="1"/>
      <c r="AO2981" s="6"/>
    </row>
    <row r="2982" spans="1:41" ht="15" x14ac:dyDescent="0.25">
      <c r="A2982" s="1"/>
      <c r="B2982" s="1"/>
      <c r="C2982" s="1"/>
      <c r="D2982" s="1"/>
      <c r="E2982" s="6"/>
      <c r="F2982" s="1"/>
      <c r="G2982" s="6"/>
      <c r="H2982" s="6"/>
      <c r="I2982" s="6"/>
      <c r="J2982" s="6"/>
      <c r="K2982" s="6"/>
      <c r="L2982" s="6"/>
      <c r="M2982" s="6"/>
      <c r="N2982" s="6"/>
      <c r="O2982" s="7"/>
      <c r="P2982" s="6"/>
      <c r="Q2982" s="6"/>
      <c r="R2982" s="7"/>
      <c r="S2982" s="6"/>
      <c r="T2982" s="6"/>
      <c r="U2982" s="7"/>
      <c r="V2982" s="6"/>
      <c r="W2982" s="6"/>
      <c r="X2982" s="12"/>
      <c r="Y2982" s="6"/>
      <c r="Z2982" s="6"/>
      <c r="AA2982" s="7"/>
      <c r="AB2982" s="6"/>
      <c r="AC2982" s="6"/>
      <c r="AD2982" s="6"/>
      <c r="AE2982" s="12"/>
      <c r="AF2982" s="12"/>
      <c r="AG2982" s="12"/>
      <c r="AH2982" s="12"/>
      <c r="AI2982" s="6"/>
      <c r="AJ2982" s="12"/>
      <c r="AK2982" s="1"/>
      <c r="AL2982" s="12"/>
      <c r="AM2982" s="12"/>
      <c r="AN2982" s="1"/>
      <c r="AO2982" s="6"/>
    </row>
    <row r="2983" spans="1:41" ht="15" x14ac:dyDescent="0.25">
      <c r="A2983" s="1"/>
      <c r="B2983" s="1"/>
      <c r="C2983" s="1"/>
      <c r="D2983" s="1"/>
      <c r="E2983" s="6"/>
      <c r="F2983" s="1"/>
      <c r="G2983" s="6"/>
      <c r="H2983" s="6"/>
      <c r="I2983" s="6"/>
      <c r="J2983" s="6"/>
      <c r="K2983" s="6"/>
      <c r="L2983" s="6"/>
      <c r="M2983" s="6"/>
      <c r="N2983" s="6"/>
      <c r="O2983" s="7"/>
      <c r="P2983" s="6"/>
      <c r="Q2983" s="6"/>
      <c r="R2983" s="12"/>
      <c r="S2983" s="12"/>
      <c r="T2983" s="12"/>
      <c r="U2983" s="7"/>
      <c r="V2983" s="6"/>
      <c r="W2983" s="6"/>
      <c r="X2983" s="12"/>
      <c r="Y2983" s="6"/>
      <c r="Z2983" s="6"/>
      <c r="AA2983" s="7"/>
      <c r="AB2983" s="6"/>
      <c r="AC2983" s="6"/>
      <c r="AD2983" s="6"/>
      <c r="AE2983" s="12"/>
      <c r="AF2983" s="12"/>
      <c r="AG2983" s="12"/>
      <c r="AH2983" s="12"/>
      <c r="AI2983" s="6"/>
      <c r="AJ2983" s="12"/>
      <c r="AK2983" s="24"/>
      <c r="AL2983" s="25"/>
      <c r="AM2983" s="12"/>
      <c r="AN2983" s="1"/>
      <c r="AO2983" s="12"/>
    </row>
    <row r="2984" spans="1:41" ht="15" x14ac:dyDescent="0.25">
      <c r="A2984" s="1"/>
      <c r="B2984" s="1"/>
      <c r="C2984" s="1"/>
      <c r="D2984" s="1"/>
      <c r="E2984" s="6"/>
      <c r="F2984" s="1"/>
      <c r="G2984" s="6"/>
      <c r="H2984" s="6"/>
      <c r="I2984" s="6"/>
      <c r="J2984" s="6"/>
      <c r="K2984" s="6"/>
      <c r="L2984" s="6"/>
      <c r="M2984" s="6"/>
      <c r="N2984" s="6"/>
      <c r="O2984" s="7"/>
      <c r="P2984" s="6"/>
      <c r="Q2984" s="6"/>
      <c r="R2984" s="7"/>
      <c r="S2984" s="6"/>
      <c r="T2984" s="6"/>
      <c r="U2984" s="7"/>
      <c r="V2984" s="6"/>
      <c r="W2984" s="6"/>
      <c r="X2984" s="6"/>
      <c r="Y2984" s="6"/>
      <c r="Z2984" s="6"/>
      <c r="AA2984" s="7"/>
      <c r="AB2984" s="6"/>
      <c r="AC2984" s="6"/>
      <c r="AD2984" s="6"/>
      <c r="AE2984" s="12"/>
      <c r="AF2984" s="12"/>
      <c r="AG2984" s="12"/>
      <c r="AH2984" s="12"/>
      <c r="AI2984" s="6"/>
      <c r="AJ2984" s="12"/>
      <c r="AK2984" s="1"/>
      <c r="AL2984" s="12"/>
      <c r="AM2984" s="12"/>
      <c r="AN2984" s="1"/>
      <c r="AO2984" s="6"/>
    </row>
    <row r="2985" spans="1:41" ht="15" x14ac:dyDescent="0.25">
      <c r="A2985" s="1"/>
      <c r="B2985" s="1"/>
      <c r="C2985" s="1"/>
      <c r="D2985" s="1"/>
      <c r="E2985" s="6"/>
      <c r="F2985" s="1"/>
      <c r="G2985" s="6"/>
      <c r="H2985" s="6"/>
      <c r="I2985" s="6"/>
      <c r="J2985" s="6"/>
      <c r="K2985" s="6"/>
      <c r="L2985" s="6"/>
      <c r="M2985" s="6"/>
      <c r="N2985" s="6"/>
      <c r="O2985" s="7"/>
      <c r="P2985" s="6"/>
      <c r="Q2985" s="6"/>
      <c r="R2985" s="7"/>
      <c r="S2985" s="6"/>
      <c r="T2985" s="6"/>
      <c r="U2985" s="7"/>
      <c r="V2985" s="6"/>
      <c r="W2985" s="6"/>
      <c r="X2985" s="12"/>
      <c r="Y2985" s="6"/>
      <c r="Z2985" s="6"/>
      <c r="AA2985" s="7"/>
      <c r="AB2985" s="6"/>
      <c r="AC2985" s="6"/>
      <c r="AD2985" s="6"/>
      <c r="AE2985" s="12"/>
      <c r="AF2985" s="12"/>
      <c r="AG2985" s="12"/>
      <c r="AH2985" s="12"/>
      <c r="AI2985" s="6"/>
      <c r="AJ2985" s="12"/>
      <c r="AK2985" s="24"/>
      <c r="AL2985" s="25"/>
      <c r="AM2985" s="12"/>
      <c r="AN2985" s="1"/>
      <c r="AO2985" s="6"/>
    </row>
    <row r="2986" spans="1:41" ht="15" x14ac:dyDescent="0.25">
      <c r="A2986" s="1"/>
      <c r="B2986" s="1"/>
      <c r="C2986" s="1"/>
      <c r="D2986" s="1"/>
      <c r="E2986" s="6"/>
      <c r="F2986" s="1"/>
      <c r="G2986" s="6"/>
      <c r="H2986" s="6"/>
      <c r="I2986" s="6"/>
      <c r="J2986" s="6"/>
      <c r="K2986" s="6"/>
      <c r="L2986" s="6"/>
      <c r="M2986" s="6"/>
      <c r="N2986" s="6"/>
      <c r="O2986" s="7"/>
      <c r="P2986" s="6"/>
      <c r="Q2986" s="6"/>
      <c r="R2986" s="7"/>
      <c r="S2986" s="6"/>
      <c r="T2986" s="6"/>
      <c r="U2986" s="7"/>
      <c r="V2986" s="6"/>
      <c r="W2986" s="6"/>
      <c r="X2986" s="12"/>
      <c r="Y2986" s="6"/>
      <c r="Z2986" s="6"/>
      <c r="AA2986" s="7"/>
      <c r="AB2986" s="6"/>
      <c r="AC2986" s="6"/>
      <c r="AD2986" s="6"/>
      <c r="AE2986" s="12"/>
      <c r="AF2986" s="12"/>
      <c r="AG2986" s="12"/>
      <c r="AH2986" s="12"/>
      <c r="AI2986" s="6"/>
      <c r="AJ2986" s="12"/>
      <c r="AK2986" s="1"/>
      <c r="AL2986" s="12"/>
      <c r="AM2986" s="12"/>
      <c r="AN2986" s="1"/>
      <c r="AO2986" s="6"/>
    </row>
    <row r="2987" spans="1:41" ht="15" x14ac:dyDescent="0.25">
      <c r="A2987" s="1"/>
      <c r="B2987" s="1"/>
      <c r="C2987" s="1"/>
      <c r="D2987" s="1"/>
      <c r="E2987" s="6"/>
      <c r="F2987" s="1"/>
      <c r="G2987" s="6"/>
      <c r="H2987" s="6"/>
      <c r="I2987" s="6"/>
      <c r="J2987" s="6"/>
      <c r="K2987" s="6"/>
      <c r="L2987" s="6"/>
      <c r="M2987" s="6"/>
      <c r="N2987" s="6"/>
      <c r="O2987" s="7"/>
      <c r="P2987" s="6"/>
      <c r="Q2987" s="6"/>
      <c r="R2987" s="7"/>
      <c r="S2987" s="6"/>
      <c r="T2987" s="6"/>
      <c r="U2987" s="7"/>
      <c r="V2987" s="6"/>
      <c r="W2987" s="6"/>
      <c r="X2987" s="6"/>
      <c r="Y2987" s="6"/>
      <c r="Z2987" s="6"/>
      <c r="AA2987" s="7"/>
      <c r="AB2987" s="6"/>
      <c r="AC2987" s="6"/>
      <c r="AD2987" s="6"/>
      <c r="AE2987" s="12"/>
      <c r="AF2987" s="6"/>
      <c r="AG2987" s="12"/>
      <c r="AH2987" s="6"/>
      <c r="AI2987" s="6"/>
      <c r="AJ2987" s="12"/>
      <c r="AK2987" s="24"/>
      <c r="AL2987" s="25"/>
      <c r="AM2987" s="12"/>
      <c r="AN2987" s="1"/>
      <c r="AO2987" s="6"/>
    </row>
    <row r="2988" spans="1:41" ht="15" x14ac:dyDescent="0.25">
      <c r="A2988" s="1"/>
      <c r="B2988" s="1"/>
      <c r="C2988" s="1"/>
      <c r="D2988" s="1"/>
      <c r="E2988" s="6"/>
      <c r="F2988" s="1"/>
      <c r="G2988" s="6"/>
      <c r="H2988" s="6"/>
      <c r="I2988" s="6"/>
      <c r="J2988" s="6"/>
      <c r="K2988" s="6"/>
      <c r="L2988" s="6"/>
      <c r="M2988" s="6"/>
      <c r="N2988" s="6"/>
      <c r="O2988" s="7"/>
      <c r="P2988" s="12"/>
      <c r="Q2988" s="6"/>
      <c r="R2988" s="7"/>
      <c r="S2988" s="6"/>
      <c r="T2988" s="6"/>
      <c r="U2988" s="7"/>
      <c r="V2988" s="6"/>
      <c r="W2988" s="6"/>
      <c r="X2988" s="12"/>
      <c r="Y2988" s="6"/>
      <c r="Z2988" s="6"/>
      <c r="AA2988" s="7"/>
      <c r="AB2988" s="6"/>
      <c r="AC2988" s="6"/>
      <c r="AD2988" s="6"/>
      <c r="AE2988" s="12"/>
      <c r="AF2988" s="12"/>
      <c r="AG2988" s="12"/>
      <c r="AH2988" s="12"/>
      <c r="AI2988" s="6"/>
      <c r="AJ2988" s="12"/>
      <c r="AK2988" s="1"/>
      <c r="AL2988" s="12"/>
      <c r="AM2988" s="12"/>
      <c r="AN2988" s="1"/>
      <c r="AO2988" s="6"/>
    </row>
    <row r="2989" spans="1:41" ht="15" x14ac:dyDescent="0.25">
      <c r="A2989" s="1"/>
      <c r="B2989" s="1"/>
      <c r="C2989" s="1"/>
      <c r="D2989" s="1"/>
      <c r="E2989" s="6"/>
      <c r="F2989" s="1"/>
      <c r="G2989" s="6"/>
      <c r="H2989" s="6"/>
      <c r="I2989" s="6"/>
      <c r="J2989" s="6"/>
      <c r="K2989" s="6"/>
      <c r="L2989" s="6"/>
      <c r="M2989" s="6"/>
      <c r="N2989" s="6"/>
      <c r="O2989" s="7"/>
      <c r="P2989" s="6"/>
      <c r="Q2989" s="6"/>
      <c r="R2989" s="7"/>
      <c r="S2989" s="6"/>
      <c r="T2989" s="6"/>
      <c r="U2989" s="7"/>
      <c r="V2989" s="6"/>
      <c r="W2989" s="6"/>
      <c r="X2989" s="6"/>
      <c r="Y2989" s="6"/>
      <c r="Z2989" s="6"/>
      <c r="AA2989" s="7"/>
      <c r="AB2989" s="6"/>
      <c r="AC2989" s="6"/>
      <c r="AD2989" s="6"/>
      <c r="AE2989" s="12"/>
      <c r="AF2989" s="6"/>
      <c r="AG2989" s="12"/>
      <c r="AH2989" s="6"/>
      <c r="AI2989" s="6"/>
      <c r="AJ2989" s="12"/>
      <c r="AK2989" s="24"/>
      <c r="AL2989" s="25"/>
      <c r="AM2989" s="12"/>
      <c r="AN2989" s="1"/>
      <c r="AO2989" s="6"/>
    </row>
    <row r="2990" spans="1:41" ht="15" x14ac:dyDescent="0.25">
      <c r="A2990" s="1"/>
      <c r="B2990" s="1"/>
      <c r="C2990" s="1"/>
      <c r="D2990" s="1"/>
      <c r="E2990" s="6"/>
      <c r="F2990" s="1"/>
      <c r="G2990" s="6"/>
      <c r="H2990" s="6"/>
      <c r="I2990" s="6"/>
      <c r="J2990" s="6"/>
      <c r="K2990" s="6"/>
      <c r="L2990" s="6"/>
      <c r="M2990" s="6"/>
      <c r="N2990" s="6"/>
      <c r="O2990" s="7"/>
      <c r="P2990" s="6"/>
      <c r="Q2990" s="6"/>
      <c r="R2990" s="7"/>
      <c r="S2990" s="6"/>
      <c r="T2990" s="6"/>
      <c r="U2990" s="7"/>
      <c r="V2990" s="6"/>
      <c r="W2990" s="6"/>
      <c r="X2990" s="6"/>
      <c r="Y2990" s="6"/>
      <c r="Z2990" s="6"/>
      <c r="AA2990" s="7"/>
      <c r="AB2990" s="6"/>
      <c r="AC2990" s="6"/>
      <c r="AD2990" s="6"/>
      <c r="AE2990" s="12"/>
      <c r="AF2990" s="12"/>
      <c r="AG2990" s="12"/>
      <c r="AH2990" s="12"/>
      <c r="AI2990" s="6"/>
      <c r="AJ2990" s="12"/>
      <c r="AK2990" s="1"/>
      <c r="AL2990" s="12"/>
      <c r="AM2990" s="12"/>
      <c r="AN2990" s="1"/>
      <c r="AO2990" s="6"/>
    </row>
    <row r="2991" spans="1:41" ht="15" x14ac:dyDescent="0.25">
      <c r="A2991" s="1"/>
      <c r="B2991" s="1"/>
      <c r="C2991" s="1"/>
      <c r="D2991" s="1"/>
      <c r="E2991" s="6"/>
      <c r="F2991" s="1"/>
      <c r="G2991" s="6"/>
      <c r="H2991" s="6"/>
      <c r="I2991" s="6"/>
      <c r="J2991" s="6"/>
      <c r="K2991" s="6"/>
      <c r="L2991" s="6"/>
      <c r="M2991" s="6"/>
      <c r="N2991" s="6"/>
      <c r="O2991" s="7"/>
      <c r="P2991" s="6"/>
      <c r="Q2991" s="6"/>
      <c r="R2991" s="7"/>
      <c r="S2991" s="6"/>
      <c r="T2991" s="6"/>
      <c r="U2991" s="7"/>
      <c r="V2991" s="6"/>
      <c r="W2991" s="6"/>
      <c r="X2991" s="6"/>
      <c r="Y2991" s="6"/>
      <c r="Z2991" s="6"/>
      <c r="AA2991" s="7"/>
      <c r="AB2991" s="6"/>
      <c r="AC2991" s="6"/>
      <c r="AD2991" s="6"/>
      <c r="AE2991" s="12"/>
      <c r="AF2991" s="12"/>
      <c r="AG2991" s="12"/>
      <c r="AH2991" s="12"/>
      <c r="AI2991" s="6"/>
      <c r="AJ2991" s="12"/>
      <c r="AK2991" s="1"/>
      <c r="AL2991" s="12"/>
      <c r="AM2991" s="12"/>
      <c r="AN2991" s="1"/>
      <c r="AO2991" s="6"/>
    </row>
    <row r="2992" spans="1:41" ht="15" x14ac:dyDescent="0.25">
      <c r="A2992" s="1"/>
      <c r="B2992" s="1"/>
      <c r="C2992" s="1"/>
      <c r="D2992" s="1"/>
      <c r="E2992" s="6"/>
      <c r="F2992" s="1"/>
      <c r="G2992" s="6"/>
      <c r="H2992" s="6"/>
      <c r="I2992" s="6"/>
      <c r="J2992" s="6"/>
      <c r="K2992" s="6"/>
      <c r="L2992" s="6"/>
      <c r="M2992" s="6"/>
      <c r="N2992" s="6"/>
      <c r="O2992" s="7"/>
      <c r="P2992" s="6"/>
      <c r="Q2992" s="7"/>
      <c r="R2992" s="6"/>
      <c r="S2992" s="6"/>
      <c r="T2992" s="6"/>
      <c r="U2992" s="6"/>
      <c r="V2992" s="7"/>
      <c r="W2992" s="7"/>
      <c r="X2992" s="6"/>
      <c r="Y2992" s="6"/>
      <c r="Z2992" s="6"/>
      <c r="AA2992" s="1"/>
      <c r="AB2992" s="12"/>
      <c r="AC2992" s="12"/>
      <c r="AD2992" s="12"/>
      <c r="AE2992" s="12"/>
      <c r="AF2992" s="12"/>
      <c r="AG2992" s="12"/>
      <c r="AH2992" s="12"/>
      <c r="AI2992" s="6"/>
      <c r="AJ2992" s="12"/>
      <c r="AK2992" s="12"/>
      <c r="AL2992" s="12"/>
      <c r="AM2992" s="12"/>
      <c r="AN2992" s="1"/>
      <c r="AO2992" s="6"/>
    </row>
    <row r="2993" spans="1:41" ht="15" x14ac:dyDescent="0.25">
      <c r="A2993" s="1"/>
      <c r="B2993" s="1"/>
      <c r="C2993" s="1"/>
      <c r="D2993" s="1"/>
      <c r="E2993" s="6"/>
      <c r="F2993" s="1"/>
      <c r="G2993" s="6"/>
      <c r="H2993" s="6"/>
      <c r="I2993" s="6"/>
      <c r="J2993" s="6"/>
      <c r="K2993" s="6"/>
      <c r="L2993" s="6"/>
      <c r="M2993" s="6"/>
      <c r="N2993" s="6"/>
      <c r="O2993" s="7"/>
      <c r="P2993" s="6"/>
      <c r="Q2993" s="6"/>
      <c r="R2993" s="7"/>
      <c r="S2993" s="6"/>
      <c r="T2993" s="6"/>
      <c r="U2993" s="7"/>
      <c r="V2993" s="6"/>
      <c r="W2993" s="6"/>
      <c r="X2993" s="12"/>
      <c r="Y2993" s="6"/>
      <c r="Z2993" s="6"/>
      <c r="AA2993" s="7"/>
      <c r="AB2993" s="6"/>
      <c r="AC2993" s="6"/>
      <c r="AD2993" s="6"/>
      <c r="AE2993" s="12"/>
      <c r="AF2993" s="6"/>
      <c r="AG2993" s="12"/>
      <c r="AH2993" s="6"/>
      <c r="AI2993" s="6"/>
      <c r="AJ2993" s="12"/>
      <c r="AK2993" s="1"/>
      <c r="AL2993" s="12"/>
      <c r="AM2993" s="12"/>
      <c r="AN2993" s="1"/>
      <c r="AO2993" s="6"/>
    </row>
    <row r="2994" spans="1:41" ht="15" x14ac:dyDescent="0.25">
      <c r="A2994" s="1"/>
      <c r="B2994" s="1"/>
      <c r="C2994" s="1"/>
      <c r="D2994" s="1"/>
      <c r="E2994" s="6"/>
      <c r="F2994" s="1"/>
      <c r="G2994" s="6"/>
      <c r="H2994" s="6"/>
      <c r="I2994" s="6"/>
      <c r="J2994" s="6"/>
      <c r="K2994" s="6"/>
      <c r="L2994" s="6"/>
      <c r="M2994" s="6"/>
      <c r="N2994" s="6"/>
      <c r="O2994" s="7"/>
      <c r="P2994" s="6"/>
      <c r="Q2994" s="6"/>
      <c r="R2994" s="7"/>
      <c r="S2994" s="6"/>
      <c r="T2994" s="6"/>
      <c r="U2994" s="7"/>
      <c r="V2994" s="6"/>
      <c r="W2994" s="6"/>
      <c r="X2994" s="6"/>
      <c r="Y2994" s="6"/>
      <c r="Z2994" s="6"/>
      <c r="AA2994" s="7"/>
      <c r="AB2994" s="6"/>
      <c r="AC2994" s="6"/>
      <c r="AD2994" s="6"/>
      <c r="AE2994" s="12"/>
      <c r="AF2994" s="12"/>
      <c r="AG2994" s="12"/>
      <c r="AH2994" s="12"/>
      <c r="AI2994" s="6"/>
      <c r="AJ2994" s="12"/>
      <c r="AK2994" s="1"/>
      <c r="AL2994" s="12"/>
      <c r="AM2994" s="12"/>
      <c r="AN2994" s="1"/>
      <c r="AO2994" s="6"/>
    </row>
    <row r="2995" spans="1:41" ht="15" x14ac:dyDescent="0.25">
      <c r="A2995" s="1"/>
      <c r="B2995" s="1"/>
      <c r="C2995" s="1"/>
      <c r="D2995" s="1"/>
      <c r="E2995" s="6"/>
      <c r="F2995" s="1"/>
      <c r="G2995" s="6"/>
      <c r="H2995" s="6"/>
      <c r="I2995" s="6"/>
      <c r="J2995" s="6"/>
      <c r="K2995" s="6"/>
      <c r="L2995" s="6"/>
      <c r="M2995" s="6"/>
      <c r="N2995" s="6"/>
      <c r="O2995" s="7"/>
      <c r="P2995" s="6"/>
      <c r="Q2995" s="6"/>
      <c r="R2995" s="7"/>
      <c r="S2995" s="6"/>
      <c r="T2995" s="6"/>
      <c r="U2995" s="7"/>
      <c r="V2995" s="6"/>
      <c r="W2995" s="6"/>
      <c r="X2995" s="6"/>
      <c r="Y2995" s="6"/>
      <c r="Z2995" s="6"/>
      <c r="AA2995" s="7"/>
      <c r="AB2995" s="6"/>
      <c r="AC2995" s="6"/>
      <c r="AD2995" s="6"/>
      <c r="AE2995" s="12"/>
      <c r="AF2995" s="12"/>
      <c r="AG2995" s="12"/>
      <c r="AH2995" s="12"/>
      <c r="AI2995" s="6"/>
      <c r="AJ2995" s="12"/>
      <c r="AK2995" s="1"/>
      <c r="AL2995" s="12"/>
      <c r="AM2995" s="12"/>
      <c r="AN2995" s="1"/>
      <c r="AO2995" s="6"/>
    </row>
    <row r="2996" spans="1:41" ht="15" x14ac:dyDescent="0.25">
      <c r="A2996" s="1"/>
      <c r="B2996" s="1"/>
      <c r="C2996" s="1"/>
      <c r="D2996" s="1"/>
      <c r="E2996" s="6"/>
      <c r="F2996" s="1"/>
      <c r="G2996" s="6"/>
      <c r="H2996" s="6"/>
      <c r="I2996" s="6"/>
      <c r="J2996" s="6"/>
      <c r="K2996" s="6"/>
      <c r="L2996" s="6"/>
      <c r="M2996" s="6"/>
      <c r="N2996" s="6"/>
      <c r="O2996" s="7"/>
      <c r="P2996" s="6"/>
      <c r="Q2996" s="6"/>
      <c r="R2996" s="7"/>
      <c r="S2996" s="6"/>
      <c r="T2996" s="6"/>
      <c r="U2996" s="7"/>
      <c r="V2996" s="6"/>
      <c r="W2996" s="6"/>
      <c r="X2996" s="6"/>
      <c r="Y2996" s="6"/>
      <c r="Z2996" s="6"/>
      <c r="AA2996" s="7"/>
      <c r="AB2996" s="6"/>
      <c r="AC2996" s="6"/>
      <c r="AD2996" s="6"/>
      <c r="AE2996" s="12"/>
      <c r="AF2996" s="12"/>
      <c r="AG2996" s="12"/>
      <c r="AH2996" s="12"/>
      <c r="AI2996" s="6"/>
      <c r="AJ2996" s="12"/>
      <c r="AK2996" s="1"/>
      <c r="AL2996" s="12"/>
      <c r="AM2996" s="12"/>
      <c r="AN2996" s="1"/>
      <c r="AO2996" s="6"/>
    </row>
    <row r="2997" spans="1:41" ht="15" x14ac:dyDescent="0.25">
      <c r="A2997" s="1"/>
      <c r="B2997" s="1"/>
      <c r="C2997" s="1"/>
      <c r="D2997" s="1"/>
      <c r="E2997" s="6"/>
      <c r="F2997" s="1"/>
      <c r="G2997" s="6"/>
      <c r="H2997" s="6"/>
      <c r="I2997" s="6"/>
      <c r="J2997" s="6"/>
      <c r="K2997" s="6"/>
      <c r="L2997" s="6"/>
      <c r="M2997" s="6"/>
      <c r="N2997" s="6"/>
      <c r="O2997" s="7"/>
      <c r="P2997" s="6"/>
      <c r="Q2997" s="7"/>
      <c r="R2997" s="6"/>
      <c r="S2997" s="6"/>
      <c r="T2997" s="6"/>
      <c r="U2997" s="6"/>
      <c r="V2997" s="7"/>
      <c r="W2997" s="6"/>
      <c r="X2997" s="6"/>
      <c r="Y2997" s="6"/>
      <c r="Z2997" s="6"/>
      <c r="AA2997" s="24"/>
      <c r="AB2997" s="25"/>
      <c r="AC2997" s="12"/>
      <c r="AD2997" s="12"/>
      <c r="AE2997" s="12"/>
      <c r="AF2997" s="6"/>
      <c r="AG2997" s="12"/>
      <c r="AH2997" s="6"/>
      <c r="AI2997" s="6"/>
      <c r="AJ2997" s="12"/>
      <c r="AK2997" s="12"/>
      <c r="AL2997" s="12"/>
      <c r="AM2997" s="12"/>
      <c r="AN2997" s="1"/>
      <c r="AO2997" s="6"/>
    </row>
    <row r="2998" spans="1:41" ht="15" x14ac:dyDescent="0.25">
      <c r="A2998" s="1"/>
      <c r="B2998" s="1"/>
      <c r="C2998" s="1"/>
      <c r="D2998" s="1"/>
      <c r="E2998" s="6"/>
      <c r="F2998" s="1"/>
      <c r="G2998" s="6"/>
      <c r="H2998" s="6"/>
      <c r="I2998" s="6"/>
      <c r="J2998" s="6"/>
      <c r="K2998" s="12"/>
      <c r="L2998" s="12"/>
      <c r="M2998" s="6"/>
      <c r="N2998" s="6"/>
      <c r="O2998" s="7"/>
      <c r="P2998" s="6"/>
      <c r="Q2998" s="6"/>
      <c r="R2998" s="7"/>
      <c r="S2998" s="6"/>
      <c r="T2998" s="6"/>
      <c r="U2998" s="7"/>
      <c r="V2998" s="6"/>
      <c r="W2998" s="6"/>
      <c r="X2998" s="6"/>
      <c r="Y2998" s="6"/>
      <c r="Z2998" s="6"/>
      <c r="AA2998" s="7"/>
      <c r="AB2998" s="6"/>
      <c r="AC2998" s="6"/>
      <c r="AD2998" s="6"/>
      <c r="AE2998" s="12"/>
      <c r="AF2998" s="12"/>
      <c r="AG2998" s="12"/>
      <c r="AH2998" s="12"/>
      <c r="AI2998" s="6"/>
      <c r="AJ2998" s="12"/>
      <c r="AK2998" s="1"/>
      <c r="AL2998" s="12"/>
      <c r="AM2998" s="12"/>
      <c r="AN2998" s="1"/>
      <c r="AO2998" s="12"/>
    </row>
    <row r="2999" spans="1:41" ht="15" x14ac:dyDescent="0.25">
      <c r="A2999" s="1"/>
      <c r="B2999" s="1"/>
      <c r="C2999" s="1"/>
      <c r="D2999" s="1"/>
      <c r="E2999" s="6"/>
      <c r="F2999" s="1"/>
      <c r="G2999" s="6"/>
      <c r="H2999" s="6"/>
      <c r="I2999" s="6"/>
      <c r="J2999" s="6"/>
      <c r="K2999" s="6"/>
      <c r="L2999" s="6"/>
      <c r="M2999" s="6"/>
      <c r="N2999" s="6"/>
      <c r="O2999" s="7"/>
      <c r="P2999" s="6"/>
      <c r="Q2999" s="6"/>
      <c r="R2999" s="7"/>
      <c r="S2999" s="6"/>
      <c r="T2999" s="6"/>
      <c r="U2999" s="7"/>
      <c r="V2999" s="6"/>
      <c r="W2999" s="6"/>
      <c r="X2999" s="12"/>
      <c r="Y2999" s="6"/>
      <c r="Z2999" s="6"/>
      <c r="AA2999" s="7"/>
      <c r="AB2999" s="6"/>
      <c r="AC2999" s="6"/>
      <c r="AD2999" s="6"/>
      <c r="AE2999" s="12"/>
      <c r="AF2999" s="12"/>
      <c r="AG2999" s="12"/>
      <c r="AH2999" s="12"/>
      <c r="AI2999" s="6"/>
      <c r="AJ2999" s="12"/>
      <c r="AK2999" s="1"/>
      <c r="AL2999" s="12"/>
      <c r="AM2999" s="12"/>
      <c r="AN2999" s="1"/>
      <c r="AO2999" s="6"/>
    </row>
    <row r="3000" spans="1:41" ht="15" x14ac:dyDescent="0.25">
      <c r="A3000" s="1"/>
      <c r="B3000" s="1"/>
      <c r="C3000" s="1"/>
      <c r="D3000" s="1"/>
      <c r="E3000" s="6"/>
      <c r="F3000" s="1"/>
      <c r="G3000" s="6"/>
      <c r="H3000" s="6"/>
      <c r="I3000" s="6"/>
      <c r="J3000" s="6"/>
      <c r="K3000" s="6"/>
      <c r="L3000" s="6"/>
      <c r="M3000" s="6"/>
      <c r="N3000" s="6"/>
      <c r="O3000" s="7"/>
      <c r="P3000" s="6"/>
      <c r="Q3000" s="6"/>
      <c r="R3000" s="7"/>
      <c r="S3000" s="6"/>
      <c r="T3000" s="6"/>
      <c r="U3000" s="7"/>
      <c r="V3000" s="6"/>
      <c r="W3000" s="6"/>
      <c r="X3000" s="6"/>
      <c r="Y3000" s="6"/>
      <c r="Z3000" s="6"/>
      <c r="AA3000" s="7"/>
      <c r="AB3000" s="6"/>
      <c r="AC3000" s="6"/>
      <c r="AD3000" s="6"/>
      <c r="AE3000" s="12"/>
      <c r="AF3000" s="6"/>
      <c r="AG3000" s="12"/>
      <c r="AH3000" s="6"/>
      <c r="AI3000" s="6"/>
      <c r="AJ3000" s="12"/>
      <c r="AK3000" s="24"/>
      <c r="AL3000" s="25"/>
      <c r="AM3000" s="12"/>
      <c r="AN3000" s="1"/>
      <c r="AO3000" s="6"/>
    </row>
    <row r="3001" spans="1:41" ht="15" x14ac:dyDescent="0.25">
      <c r="A3001" s="1"/>
      <c r="B3001" s="1"/>
      <c r="C3001" s="1"/>
      <c r="D3001" s="1"/>
      <c r="E3001" s="6"/>
      <c r="F3001" s="1"/>
      <c r="G3001" s="6"/>
      <c r="H3001" s="6"/>
      <c r="I3001" s="6"/>
      <c r="J3001" s="6"/>
      <c r="K3001" s="6"/>
      <c r="L3001" s="6"/>
      <c r="M3001" s="6"/>
      <c r="N3001" s="6"/>
      <c r="O3001" s="7"/>
      <c r="P3001" s="6"/>
      <c r="Q3001" s="6"/>
      <c r="R3001" s="7"/>
      <c r="S3001" s="6"/>
      <c r="T3001" s="6"/>
      <c r="U3001" s="7"/>
      <c r="V3001" s="6"/>
      <c r="W3001" s="6"/>
      <c r="X3001" s="12"/>
      <c r="Y3001" s="6"/>
      <c r="Z3001" s="6"/>
      <c r="AA3001" s="7"/>
      <c r="AB3001" s="6"/>
      <c r="AC3001" s="6"/>
      <c r="AD3001" s="6"/>
      <c r="AE3001" s="12"/>
      <c r="AF3001" s="6"/>
      <c r="AG3001" s="12"/>
      <c r="AH3001" s="6"/>
      <c r="AI3001" s="6"/>
      <c r="AJ3001" s="12"/>
      <c r="AK3001" s="24"/>
      <c r="AL3001" s="25"/>
      <c r="AM3001" s="12"/>
      <c r="AN3001" s="1"/>
      <c r="AO3001" s="6"/>
    </row>
    <row r="3002" spans="1:41" ht="15" x14ac:dyDescent="0.25">
      <c r="A3002" s="1"/>
      <c r="B3002" s="1"/>
      <c r="C3002" s="1"/>
      <c r="D3002" s="1"/>
      <c r="E3002" s="6"/>
      <c r="F3002" s="1"/>
      <c r="G3002" s="6"/>
      <c r="H3002" s="6"/>
      <c r="I3002" s="6"/>
      <c r="J3002" s="6"/>
      <c r="K3002" s="6"/>
      <c r="L3002" s="6"/>
      <c r="M3002" s="6"/>
      <c r="N3002" s="6"/>
      <c r="O3002" s="7"/>
      <c r="P3002" s="6"/>
      <c r="Q3002" s="7"/>
      <c r="R3002" s="6"/>
      <c r="S3002" s="12"/>
      <c r="T3002" s="6"/>
      <c r="U3002" s="6"/>
      <c r="V3002" s="7"/>
      <c r="W3002" s="7"/>
      <c r="X3002" s="6"/>
      <c r="Y3002" s="6"/>
      <c r="Z3002" s="6"/>
      <c r="AA3002" s="1"/>
      <c r="AB3002" s="12"/>
      <c r="AC3002" s="12"/>
      <c r="AD3002" s="12"/>
      <c r="AE3002" s="12"/>
      <c r="AF3002" s="12"/>
      <c r="AG3002" s="12"/>
      <c r="AH3002" s="12"/>
      <c r="AI3002" s="6"/>
      <c r="AJ3002" s="12"/>
      <c r="AK3002" s="12"/>
      <c r="AL3002" s="12"/>
      <c r="AM3002" s="12"/>
      <c r="AN3002" s="1"/>
      <c r="AO3002" s="6"/>
    </row>
    <row r="3003" spans="1:41" ht="15" x14ac:dyDescent="0.25">
      <c r="A3003" s="1"/>
      <c r="B3003" s="1"/>
      <c r="C3003" s="1"/>
      <c r="D3003" s="1"/>
      <c r="E3003" s="6"/>
      <c r="F3003" s="1"/>
      <c r="G3003" s="6"/>
      <c r="H3003" s="6"/>
      <c r="I3003" s="6"/>
      <c r="J3003" s="6"/>
      <c r="K3003" s="6"/>
      <c r="L3003" s="6"/>
      <c r="M3003" s="6"/>
      <c r="N3003" s="6"/>
      <c r="O3003" s="7"/>
      <c r="P3003" s="6"/>
      <c r="Q3003" s="7"/>
      <c r="R3003" s="6"/>
      <c r="S3003" s="12"/>
      <c r="T3003" s="6"/>
      <c r="U3003" s="6"/>
      <c r="V3003" s="7"/>
      <c r="W3003" s="7"/>
      <c r="X3003" s="6"/>
      <c r="Y3003" s="6"/>
      <c r="Z3003" s="6"/>
      <c r="AA3003" s="1"/>
      <c r="AB3003" s="12"/>
      <c r="AC3003" s="12"/>
      <c r="AD3003" s="12"/>
      <c r="AE3003" s="12"/>
      <c r="AF3003" s="12"/>
      <c r="AG3003" s="12"/>
      <c r="AH3003" s="12"/>
      <c r="AI3003" s="6"/>
      <c r="AJ3003" s="12"/>
      <c r="AK3003" s="12"/>
      <c r="AL3003" s="12"/>
      <c r="AM3003" s="12"/>
      <c r="AN3003" s="1"/>
      <c r="AO3003" s="6"/>
    </row>
    <row r="3004" spans="1:41" ht="15" x14ac:dyDescent="0.25">
      <c r="A3004" s="1"/>
      <c r="B3004" s="1"/>
      <c r="C3004" s="1"/>
      <c r="D3004" s="1"/>
      <c r="E3004" s="6"/>
      <c r="F3004" s="1"/>
      <c r="G3004" s="6"/>
      <c r="H3004" s="6"/>
      <c r="I3004" s="6"/>
      <c r="J3004" s="6"/>
      <c r="K3004" s="6"/>
      <c r="L3004" s="6"/>
      <c r="M3004" s="6"/>
      <c r="N3004" s="6"/>
      <c r="O3004" s="7"/>
      <c r="P3004" s="6"/>
      <c r="Q3004" s="7"/>
      <c r="R3004" s="6"/>
      <c r="S3004" s="12"/>
      <c r="T3004" s="6"/>
      <c r="U3004" s="6"/>
      <c r="V3004" s="7"/>
      <c r="W3004" s="7"/>
      <c r="X3004" s="6"/>
      <c r="Y3004" s="6"/>
      <c r="Z3004" s="6"/>
      <c r="AA3004" s="1"/>
      <c r="AB3004" s="12"/>
      <c r="AC3004" s="12"/>
      <c r="AD3004" s="12"/>
      <c r="AE3004" s="12"/>
      <c r="AF3004" s="12"/>
      <c r="AG3004" s="12"/>
      <c r="AH3004" s="12"/>
      <c r="AI3004" s="6"/>
      <c r="AJ3004" s="12"/>
      <c r="AK3004" s="12"/>
      <c r="AL3004" s="12"/>
      <c r="AM3004" s="12"/>
      <c r="AN3004" s="1"/>
      <c r="AO3004" s="6"/>
    </row>
    <row r="3005" spans="1:41" ht="15" x14ac:dyDescent="0.25">
      <c r="A3005" s="1"/>
      <c r="B3005" s="1"/>
      <c r="C3005" s="1"/>
      <c r="D3005" s="1"/>
      <c r="E3005" s="6"/>
      <c r="F3005" s="1"/>
      <c r="G3005" s="6"/>
      <c r="H3005" s="6"/>
      <c r="I3005" s="6"/>
      <c r="J3005" s="6"/>
      <c r="K3005" s="6"/>
      <c r="L3005" s="6"/>
      <c r="M3005" s="6"/>
      <c r="N3005" s="6"/>
      <c r="O3005" s="7"/>
      <c r="P3005" s="12"/>
      <c r="Q3005" s="6"/>
      <c r="R3005" s="7"/>
      <c r="S3005" s="6"/>
      <c r="T3005" s="6"/>
      <c r="U3005" s="7"/>
      <c r="V3005" s="6"/>
      <c r="W3005" s="6"/>
      <c r="X3005" s="6"/>
      <c r="Y3005" s="6"/>
      <c r="Z3005" s="6"/>
      <c r="AA3005" s="7"/>
      <c r="AB3005" s="6"/>
      <c r="AC3005" s="6"/>
      <c r="AD3005" s="6"/>
      <c r="AE3005" s="12"/>
      <c r="AF3005" s="6"/>
      <c r="AG3005" s="12"/>
      <c r="AH3005" s="6"/>
      <c r="AI3005" s="6"/>
      <c r="AJ3005" s="12"/>
      <c r="AK3005" s="1"/>
      <c r="AL3005" s="12"/>
      <c r="AM3005" s="12"/>
      <c r="AN3005" s="1"/>
      <c r="AO3005" s="6"/>
    </row>
    <row r="3006" spans="1:41" ht="15" x14ac:dyDescent="0.25">
      <c r="A3006" s="1"/>
      <c r="B3006" s="1"/>
      <c r="C3006" s="1"/>
      <c r="D3006" s="1"/>
      <c r="E3006" s="6"/>
      <c r="F3006" s="1"/>
      <c r="G3006" s="6"/>
      <c r="H3006" s="6"/>
      <c r="I3006" s="6"/>
      <c r="J3006" s="6"/>
      <c r="K3006" s="6"/>
      <c r="L3006" s="6"/>
      <c r="M3006" s="6"/>
      <c r="N3006" s="6"/>
      <c r="O3006" s="7"/>
      <c r="P3006" s="6"/>
      <c r="Q3006" s="6"/>
      <c r="R3006" s="7"/>
      <c r="S3006" s="6"/>
      <c r="T3006" s="6"/>
      <c r="U3006" s="7"/>
      <c r="V3006" s="6"/>
      <c r="W3006" s="6"/>
      <c r="X3006" s="6"/>
      <c r="Y3006" s="6"/>
      <c r="Z3006" s="6"/>
      <c r="AA3006" s="7"/>
      <c r="AB3006" s="6"/>
      <c r="AC3006" s="6"/>
      <c r="AD3006" s="6"/>
      <c r="AE3006" s="12"/>
      <c r="AF3006" s="6"/>
      <c r="AG3006" s="12"/>
      <c r="AH3006" s="6"/>
      <c r="AI3006" s="6"/>
      <c r="AJ3006" s="12"/>
      <c r="AK3006" s="24"/>
      <c r="AL3006" s="25"/>
      <c r="AM3006" s="12"/>
      <c r="AN3006" s="1"/>
      <c r="AO3006" s="6"/>
    </row>
    <row r="3007" spans="1:41" ht="15" x14ac:dyDescent="0.25">
      <c r="A3007" s="1"/>
      <c r="B3007" s="1"/>
      <c r="C3007" s="1"/>
      <c r="D3007" s="1"/>
      <c r="E3007" s="6"/>
      <c r="F3007" s="1"/>
      <c r="G3007" s="6"/>
      <c r="H3007" s="6"/>
      <c r="I3007" s="6"/>
      <c r="J3007" s="6"/>
      <c r="K3007" s="6"/>
      <c r="L3007" s="6"/>
      <c r="M3007" s="6"/>
      <c r="N3007" s="6"/>
      <c r="O3007" s="7"/>
      <c r="P3007" s="6"/>
      <c r="Q3007" s="6"/>
      <c r="R3007" s="7"/>
      <c r="S3007" s="6"/>
      <c r="T3007" s="6"/>
      <c r="U3007" s="7"/>
      <c r="V3007" s="6"/>
      <c r="W3007" s="6"/>
      <c r="X3007" s="12"/>
      <c r="Y3007" s="6"/>
      <c r="Z3007" s="6"/>
      <c r="AA3007" s="7"/>
      <c r="AB3007" s="6"/>
      <c r="AC3007" s="6"/>
      <c r="AD3007" s="6"/>
      <c r="AE3007" s="12"/>
      <c r="AF3007" s="12"/>
      <c r="AG3007" s="12"/>
      <c r="AH3007" s="12"/>
      <c r="AI3007" s="6"/>
      <c r="AJ3007" s="12"/>
      <c r="AK3007" s="1"/>
      <c r="AL3007" s="12"/>
      <c r="AM3007" s="12"/>
      <c r="AN3007" s="1"/>
      <c r="AO3007" s="6"/>
    </row>
    <row r="3008" spans="1:41" ht="15" x14ac:dyDescent="0.25">
      <c r="A3008" s="1"/>
      <c r="B3008" s="1"/>
      <c r="C3008" s="1"/>
      <c r="D3008" s="1"/>
      <c r="E3008" s="6"/>
      <c r="F3008" s="1"/>
      <c r="G3008" s="6"/>
      <c r="H3008" s="6"/>
      <c r="I3008" s="6"/>
      <c r="J3008" s="6"/>
      <c r="K3008" s="6"/>
      <c r="L3008" s="6"/>
      <c r="M3008" s="6"/>
      <c r="N3008" s="6"/>
      <c r="O3008" s="7"/>
      <c r="P3008" s="6"/>
      <c r="Q3008" s="6"/>
      <c r="R3008" s="15"/>
      <c r="S3008" s="6"/>
      <c r="T3008" s="6"/>
      <c r="U3008" s="15"/>
      <c r="V3008" s="6"/>
      <c r="W3008" s="6"/>
      <c r="X3008" s="6"/>
      <c r="Y3008" s="6"/>
      <c r="Z3008" s="6"/>
      <c r="AA3008" s="7"/>
      <c r="AB3008" s="6"/>
      <c r="AC3008" s="6"/>
      <c r="AD3008" s="6"/>
      <c r="AE3008" s="12"/>
      <c r="AF3008" s="6"/>
      <c r="AG3008" s="12"/>
      <c r="AH3008" s="6"/>
      <c r="AI3008" s="6"/>
      <c r="AJ3008" s="12"/>
      <c r="AK3008" s="1"/>
      <c r="AL3008" s="12"/>
      <c r="AM3008" s="12"/>
      <c r="AN3008" s="1"/>
      <c r="AO3008" s="6"/>
    </row>
    <row r="3009" spans="1:41" ht="15" x14ac:dyDescent="0.25">
      <c r="A3009" s="1"/>
      <c r="B3009" s="1"/>
      <c r="C3009" s="1"/>
      <c r="D3009" s="1"/>
      <c r="E3009" s="6"/>
      <c r="F3009" s="1"/>
      <c r="G3009" s="6"/>
      <c r="H3009" s="6"/>
      <c r="I3009" s="6"/>
      <c r="J3009" s="6"/>
      <c r="K3009" s="6"/>
      <c r="L3009" s="6"/>
      <c r="M3009" s="6"/>
      <c r="N3009" s="6"/>
      <c r="O3009" s="7"/>
      <c r="P3009" s="6"/>
      <c r="Q3009" s="6"/>
      <c r="R3009" s="7"/>
      <c r="S3009" s="6"/>
      <c r="T3009" s="6"/>
      <c r="U3009" s="7"/>
      <c r="V3009" s="6"/>
      <c r="W3009" s="6"/>
      <c r="X3009" s="6"/>
      <c r="Y3009" s="6"/>
      <c r="Z3009" s="6"/>
      <c r="AA3009" s="7"/>
      <c r="AB3009" s="6"/>
      <c r="AC3009" s="6"/>
      <c r="AD3009" s="6"/>
      <c r="AE3009" s="12"/>
      <c r="AF3009" s="6"/>
      <c r="AG3009" s="12"/>
      <c r="AH3009" s="6"/>
      <c r="AI3009" s="6"/>
      <c r="AJ3009" s="12"/>
      <c r="AK3009" s="1"/>
      <c r="AL3009" s="12"/>
      <c r="AM3009" s="12"/>
      <c r="AN3009" s="1"/>
      <c r="AO3009" s="6"/>
    </row>
    <row r="3010" spans="1:41" ht="15" x14ac:dyDescent="0.25">
      <c r="A3010" s="1"/>
      <c r="B3010" s="1"/>
      <c r="C3010" s="1"/>
      <c r="D3010" s="1"/>
      <c r="E3010" s="6"/>
      <c r="F3010" s="1"/>
      <c r="G3010" s="6"/>
      <c r="H3010" s="6"/>
      <c r="I3010" s="6"/>
      <c r="J3010" s="6"/>
      <c r="K3010" s="6"/>
      <c r="L3010" s="6"/>
      <c r="M3010" s="6"/>
      <c r="N3010" s="6"/>
      <c r="O3010" s="7"/>
      <c r="P3010" s="6"/>
      <c r="Q3010" s="6"/>
      <c r="R3010" s="7"/>
      <c r="S3010" s="6"/>
      <c r="T3010" s="6"/>
      <c r="U3010" s="7"/>
      <c r="V3010" s="6"/>
      <c r="W3010" s="6"/>
      <c r="X3010" s="6"/>
      <c r="Y3010" s="6"/>
      <c r="Z3010" s="6"/>
      <c r="AA3010" s="7"/>
      <c r="AB3010" s="6"/>
      <c r="AC3010" s="6"/>
      <c r="AD3010" s="6"/>
      <c r="AE3010" s="12"/>
      <c r="AF3010" s="12"/>
      <c r="AG3010" s="12"/>
      <c r="AH3010" s="12"/>
      <c r="AI3010" s="6"/>
      <c r="AJ3010" s="12"/>
      <c r="AK3010" s="1"/>
      <c r="AL3010" s="12"/>
      <c r="AM3010" s="12"/>
      <c r="AN3010" s="1"/>
      <c r="AO3010" s="6"/>
    </row>
    <row r="3011" spans="1:41" ht="15" x14ac:dyDescent="0.25">
      <c r="A3011" s="1"/>
      <c r="B3011" s="1"/>
      <c r="C3011" s="1"/>
      <c r="D3011" s="1"/>
      <c r="E3011" s="6"/>
      <c r="F3011" s="1"/>
      <c r="G3011" s="6"/>
      <c r="H3011" s="6"/>
      <c r="I3011" s="6"/>
      <c r="J3011" s="6"/>
      <c r="K3011" s="6"/>
      <c r="L3011" s="6"/>
      <c r="M3011" s="6"/>
      <c r="N3011" s="6"/>
      <c r="O3011" s="7"/>
      <c r="P3011" s="6"/>
      <c r="Q3011" s="6"/>
      <c r="R3011" s="12"/>
      <c r="S3011" s="12"/>
      <c r="T3011" s="12"/>
      <c r="U3011" s="7"/>
      <c r="V3011" s="6"/>
      <c r="W3011" s="6"/>
      <c r="X3011" s="12"/>
      <c r="Y3011" s="6"/>
      <c r="Z3011" s="6"/>
      <c r="AA3011" s="7"/>
      <c r="AB3011" s="6"/>
      <c r="AC3011" s="6"/>
      <c r="AD3011" s="6"/>
      <c r="AE3011" s="12"/>
      <c r="AF3011" s="12"/>
      <c r="AG3011" s="12"/>
      <c r="AH3011" s="12"/>
      <c r="AI3011" s="6"/>
      <c r="AJ3011" s="12"/>
      <c r="AK3011" s="1"/>
      <c r="AL3011" s="12"/>
      <c r="AM3011" s="12"/>
      <c r="AN3011" s="1"/>
      <c r="AO3011" s="6"/>
    </row>
    <row r="3012" spans="1:41" ht="15" x14ac:dyDescent="0.25">
      <c r="A3012" s="1"/>
      <c r="B3012" s="1"/>
      <c r="C3012" s="1"/>
      <c r="D3012" s="1"/>
      <c r="E3012" s="6"/>
      <c r="F3012" s="1"/>
      <c r="G3012" s="6"/>
      <c r="H3012" s="6"/>
      <c r="I3012" s="6"/>
      <c r="J3012" s="6"/>
      <c r="K3012" s="6"/>
      <c r="L3012" s="6"/>
      <c r="M3012" s="6"/>
      <c r="N3012" s="6"/>
      <c r="O3012" s="7"/>
      <c r="P3012" s="6"/>
      <c r="Q3012" s="7"/>
      <c r="R3012" s="6"/>
      <c r="S3012" s="6"/>
      <c r="T3012" s="6"/>
      <c r="U3012" s="6"/>
      <c r="V3012" s="7"/>
      <c r="W3012" s="7"/>
      <c r="X3012" s="6"/>
      <c r="Y3012" s="6"/>
      <c r="Z3012" s="6"/>
      <c r="AA3012" s="1"/>
      <c r="AB3012" s="12"/>
      <c r="AC3012" s="12"/>
      <c r="AD3012" s="12"/>
      <c r="AE3012" s="12"/>
      <c r="AF3012" s="12"/>
      <c r="AG3012" s="12"/>
      <c r="AH3012" s="12"/>
      <c r="AI3012" s="6"/>
      <c r="AJ3012" s="12"/>
      <c r="AK3012" s="12"/>
      <c r="AL3012" s="12"/>
      <c r="AM3012" s="12"/>
      <c r="AN3012" s="1"/>
      <c r="AO3012" s="6"/>
    </row>
    <row r="3013" spans="1:41" ht="15" x14ac:dyDescent="0.25">
      <c r="A3013" s="1"/>
      <c r="B3013" s="1"/>
      <c r="C3013" s="1"/>
      <c r="D3013" s="1"/>
      <c r="E3013" s="6"/>
      <c r="F3013" s="1"/>
      <c r="G3013" s="6"/>
      <c r="H3013" s="6"/>
      <c r="I3013" s="6"/>
      <c r="J3013" s="6"/>
      <c r="K3013" s="6"/>
      <c r="L3013" s="6"/>
      <c r="M3013" s="6"/>
      <c r="N3013" s="6"/>
      <c r="O3013" s="7"/>
      <c r="P3013" s="6"/>
      <c r="Q3013" s="7"/>
      <c r="R3013" s="6"/>
      <c r="S3013" s="12"/>
      <c r="T3013" s="6"/>
      <c r="U3013" s="6"/>
      <c r="V3013" s="7"/>
      <c r="W3013" s="7"/>
      <c r="X3013" s="6"/>
      <c r="Y3013" s="6"/>
      <c r="Z3013" s="6"/>
      <c r="AA3013" s="1"/>
      <c r="AB3013" s="12"/>
      <c r="AC3013" s="12"/>
      <c r="AD3013" s="12"/>
      <c r="AE3013" s="12"/>
      <c r="AF3013" s="12"/>
      <c r="AG3013" s="12"/>
      <c r="AH3013" s="12"/>
      <c r="AI3013" s="6"/>
      <c r="AJ3013" s="12"/>
      <c r="AK3013" s="12"/>
      <c r="AL3013" s="12"/>
      <c r="AM3013" s="12"/>
      <c r="AN3013" s="1"/>
      <c r="AO3013" s="6"/>
    </row>
    <row r="3014" spans="1:41" ht="15" x14ac:dyDescent="0.25">
      <c r="A3014" s="1"/>
      <c r="B3014" s="1"/>
      <c r="C3014" s="1"/>
      <c r="D3014" s="1"/>
      <c r="E3014" s="6"/>
      <c r="F3014" s="1"/>
      <c r="G3014" s="6"/>
      <c r="H3014" s="6"/>
      <c r="I3014" s="6"/>
      <c r="J3014" s="6"/>
      <c r="K3014" s="6"/>
      <c r="L3014" s="6"/>
      <c r="M3014" s="6"/>
      <c r="N3014" s="6"/>
      <c r="O3014" s="7"/>
      <c r="P3014" s="6"/>
      <c r="Q3014" s="6"/>
      <c r="R3014" s="7"/>
      <c r="S3014" s="6"/>
      <c r="T3014" s="6"/>
      <c r="U3014" s="7"/>
      <c r="V3014" s="6"/>
      <c r="W3014" s="6"/>
      <c r="X3014" s="6"/>
      <c r="Y3014" s="6"/>
      <c r="Z3014" s="6"/>
      <c r="AA3014" s="7"/>
      <c r="AB3014" s="6"/>
      <c r="AC3014" s="6"/>
      <c r="AD3014" s="6"/>
      <c r="AE3014" s="12"/>
      <c r="AF3014" s="6"/>
      <c r="AG3014" s="12"/>
      <c r="AH3014" s="6"/>
      <c r="AI3014" s="6"/>
      <c r="AJ3014" s="12"/>
      <c r="AK3014" s="1"/>
      <c r="AL3014" s="12"/>
      <c r="AM3014" s="12"/>
      <c r="AN3014" s="1"/>
      <c r="AO3014" s="6"/>
    </row>
    <row r="3015" spans="1:41" ht="15" x14ac:dyDescent="0.25">
      <c r="A3015" s="1"/>
      <c r="B3015" s="1"/>
      <c r="C3015" s="1"/>
      <c r="D3015" s="1"/>
      <c r="E3015" s="6"/>
      <c r="F3015" s="1"/>
      <c r="G3015" s="6"/>
      <c r="H3015" s="6"/>
      <c r="I3015" s="6"/>
      <c r="J3015" s="6"/>
      <c r="K3015" s="6"/>
      <c r="L3015" s="6"/>
      <c r="M3015" s="6"/>
      <c r="N3015" s="6"/>
      <c r="O3015" s="7"/>
      <c r="P3015" s="6"/>
      <c r="Q3015" s="6"/>
      <c r="R3015" s="7"/>
      <c r="S3015" s="6"/>
      <c r="T3015" s="6"/>
      <c r="U3015" s="7"/>
      <c r="V3015" s="6"/>
      <c r="W3015" s="6"/>
      <c r="X3015" s="6"/>
      <c r="Y3015" s="6"/>
      <c r="Z3015" s="6"/>
      <c r="AA3015" s="7"/>
      <c r="AB3015" s="6"/>
      <c r="AC3015" s="6"/>
      <c r="AD3015" s="6"/>
      <c r="AE3015" s="12"/>
      <c r="AF3015" s="6"/>
      <c r="AG3015" s="12"/>
      <c r="AH3015" s="6"/>
      <c r="AI3015" s="6"/>
      <c r="AJ3015" s="12"/>
      <c r="AK3015" s="1"/>
      <c r="AL3015" s="12"/>
      <c r="AM3015" s="12"/>
      <c r="AN3015" s="1"/>
      <c r="AO3015" s="6"/>
    </row>
    <row r="3016" spans="1:41" ht="15" x14ac:dyDescent="0.25">
      <c r="A3016" s="1"/>
      <c r="B3016" s="1"/>
      <c r="C3016" s="1"/>
      <c r="D3016" s="1"/>
      <c r="E3016" s="6"/>
      <c r="F3016" s="1"/>
      <c r="G3016" s="6"/>
      <c r="H3016" s="6"/>
      <c r="I3016" s="6"/>
      <c r="J3016" s="6"/>
      <c r="K3016" s="6"/>
      <c r="L3016" s="6"/>
      <c r="M3016" s="6"/>
      <c r="N3016" s="6"/>
      <c r="O3016" s="7"/>
      <c r="P3016" s="6"/>
      <c r="Q3016" s="6"/>
      <c r="R3016" s="7"/>
      <c r="S3016" s="6"/>
      <c r="T3016" s="6"/>
      <c r="U3016" s="7"/>
      <c r="V3016" s="6"/>
      <c r="W3016" s="6"/>
      <c r="X3016" s="6"/>
      <c r="Y3016" s="6"/>
      <c r="Z3016" s="6"/>
      <c r="AA3016" s="7"/>
      <c r="AB3016" s="6"/>
      <c r="AC3016" s="6"/>
      <c r="AD3016" s="6"/>
      <c r="AE3016" s="12"/>
      <c r="AF3016" s="12"/>
      <c r="AG3016" s="12"/>
      <c r="AH3016" s="12"/>
      <c r="AI3016" s="6"/>
      <c r="AJ3016" s="12"/>
      <c r="AK3016" s="1"/>
      <c r="AL3016" s="12"/>
      <c r="AM3016" s="12"/>
      <c r="AN3016" s="1"/>
      <c r="AO3016" s="6"/>
    </row>
    <row r="3017" spans="1:41" ht="15" x14ac:dyDescent="0.25">
      <c r="A3017" s="1"/>
      <c r="B3017" s="1"/>
      <c r="C3017" s="1"/>
      <c r="D3017" s="1"/>
      <c r="E3017" s="6"/>
      <c r="F3017" s="1"/>
      <c r="G3017" s="6"/>
      <c r="H3017" s="6"/>
      <c r="I3017" s="6"/>
      <c r="J3017" s="6"/>
      <c r="K3017" s="6"/>
      <c r="L3017" s="6"/>
      <c r="M3017" s="6"/>
      <c r="N3017" s="6"/>
      <c r="O3017" s="7"/>
      <c r="P3017" s="6"/>
      <c r="Q3017" s="6"/>
      <c r="R3017" s="7"/>
      <c r="S3017" s="6"/>
      <c r="T3017" s="6"/>
      <c r="U3017" s="7"/>
      <c r="V3017" s="6"/>
      <c r="W3017" s="6"/>
      <c r="X3017" s="6"/>
      <c r="Y3017" s="6"/>
      <c r="Z3017" s="6"/>
      <c r="AA3017" s="7"/>
      <c r="AB3017" s="6"/>
      <c r="AC3017" s="6"/>
      <c r="AD3017" s="6"/>
      <c r="AE3017" s="12"/>
      <c r="AF3017" s="12"/>
      <c r="AG3017" s="12"/>
      <c r="AH3017" s="12"/>
      <c r="AI3017" s="6"/>
      <c r="AJ3017" s="12"/>
      <c r="AK3017" s="1"/>
      <c r="AL3017" s="12"/>
      <c r="AM3017" s="12"/>
      <c r="AN3017" s="1"/>
      <c r="AO3017" s="6"/>
    </row>
    <row r="3018" spans="1:41" ht="15" x14ac:dyDescent="0.25">
      <c r="A3018" s="1"/>
      <c r="B3018" s="1"/>
      <c r="C3018" s="1"/>
      <c r="D3018" s="1"/>
      <c r="E3018" s="6"/>
      <c r="F3018" s="1"/>
      <c r="G3018" s="6"/>
      <c r="H3018" s="6"/>
      <c r="I3018" s="6"/>
      <c r="J3018" s="6"/>
      <c r="K3018" s="6"/>
      <c r="L3018" s="6"/>
      <c r="M3018" s="6"/>
      <c r="N3018" s="6"/>
      <c r="O3018" s="7"/>
      <c r="P3018" s="6"/>
      <c r="Q3018" s="6"/>
      <c r="R3018" s="7"/>
      <c r="S3018" s="6"/>
      <c r="T3018" s="6"/>
      <c r="U3018" s="7"/>
      <c r="V3018" s="6"/>
      <c r="W3018" s="6"/>
      <c r="X3018" s="12"/>
      <c r="Y3018" s="6"/>
      <c r="Z3018" s="6"/>
      <c r="AA3018" s="7"/>
      <c r="AB3018" s="6"/>
      <c r="AC3018" s="6"/>
      <c r="AD3018" s="6"/>
      <c r="AE3018" s="12"/>
      <c r="AF3018" s="12"/>
      <c r="AG3018" s="12"/>
      <c r="AH3018" s="12"/>
      <c r="AI3018" s="6"/>
      <c r="AJ3018" s="12"/>
      <c r="AK3018" s="1"/>
      <c r="AL3018" s="12"/>
      <c r="AM3018" s="12"/>
      <c r="AN3018" s="1"/>
      <c r="AO3018" s="6"/>
    </row>
    <row r="3019" spans="1:41" ht="15" x14ac:dyDescent="0.25">
      <c r="A3019" s="1"/>
      <c r="B3019" s="1"/>
      <c r="C3019" s="1"/>
      <c r="D3019" s="1"/>
      <c r="E3019" s="6"/>
      <c r="F3019" s="1"/>
      <c r="G3019" s="6"/>
      <c r="H3019" s="6"/>
      <c r="I3019" s="6"/>
      <c r="J3019" s="6"/>
      <c r="K3019" s="12"/>
      <c r="L3019" s="12"/>
      <c r="M3019" s="6"/>
      <c r="N3019" s="6"/>
      <c r="O3019" s="12"/>
      <c r="P3019" s="12"/>
      <c r="Q3019" s="6"/>
      <c r="R3019" s="12"/>
      <c r="S3019" s="12"/>
      <c r="T3019" s="12"/>
      <c r="U3019" s="6"/>
      <c r="V3019" s="12"/>
      <c r="W3019" s="12"/>
      <c r="X3019" s="12"/>
      <c r="Y3019" s="12"/>
      <c r="Z3019" s="6"/>
      <c r="AA3019" s="6"/>
      <c r="AB3019" s="12"/>
      <c r="AC3019" s="12"/>
      <c r="AD3019" s="12"/>
      <c r="AE3019" s="12"/>
      <c r="AF3019" s="12"/>
      <c r="AG3019" s="12"/>
      <c r="AH3019" s="12"/>
      <c r="AI3019" s="6"/>
      <c r="AJ3019" s="12"/>
      <c r="AK3019" s="1"/>
      <c r="AL3019" s="12"/>
      <c r="AM3019" s="12"/>
      <c r="AN3019" s="1"/>
      <c r="AO3019" s="6"/>
    </row>
    <row r="3020" spans="1:41" ht="15" x14ac:dyDescent="0.25">
      <c r="A3020" s="1"/>
      <c r="B3020" s="1"/>
      <c r="C3020" s="1"/>
      <c r="D3020" s="1"/>
      <c r="E3020" s="6"/>
      <c r="F3020" s="1"/>
      <c r="G3020" s="6"/>
      <c r="H3020" s="6"/>
      <c r="I3020" s="6"/>
      <c r="J3020" s="6"/>
      <c r="K3020" s="12"/>
      <c r="L3020" s="6"/>
      <c r="M3020" s="6"/>
      <c r="N3020" s="6"/>
      <c r="O3020" s="7"/>
      <c r="P3020" s="6"/>
      <c r="Q3020" s="6"/>
      <c r="R3020" s="7"/>
      <c r="S3020" s="6"/>
      <c r="T3020" s="6"/>
      <c r="U3020" s="7"/>
      <c r="V3020" s="6"/>
      <c r="W3020" s="6"/>
      <c r="X3020" s="12"/>
      <c r="Y3020" s="6"/>
      <c r="Z3020" s="6"/>
      <c r="AA3020" s="7"/>
      <c r="AB3020" s="6"/>
      <c r="AC3020" s="6"/>
      <c r="AD3020" s="6"/>
      <c r="AE3020" s="12"/>
      <c r="AF3020" s="6"/>
      <c r="AG3020" s="12"/>
      <c r="AH3020" s="6"/>
      <c r="AI3020" s="6"/>
      <c r="AJ3020" s="12"/>
      <c r="AK3020" s="1"/>
      <c r="AL3020" s="12"/>
      <c r="AM3020" s="12"/>
      <c r="AN3020" s="1"/>
      <c r="AO3020" s="6"/>
    </row>
    <row r="3021" spans="1:41" ht="15" x14ac:dyDescent="0.25">
      <c r="A3021" s="1"/>
      <c r="B3021" s="1"/>
      <c r="C3021" s="1"/>
      <c r="D3021" s="1"/>
      <c r="E3021" s="6"/>
      <c r="F3021" s="1"/>
      <c r="G3021" s="6"/>
      <c r="H3021" s="6"/>
      <c r="I3021" s="6"/>
      <c r="J3021" s="6"/>
      <c r="K3021" s="6"/>
      <c r="L3021" s="6"/>
      <c r="M3021" s="6"/>
      <c r="N3021" s="6"/>
      <c r="O3021" s="7"/>
      <c r="P3021" s="12"/>
      <c r="Q3021" s="6"/>
      <c r="R3021" s="7"/>
      <c r="S3021" s="6"/>
      <c r="T3021" s="6"/>
      <c r="U3021" s="7"/>
      <c r="V3021" s="6"/>
      <c r="W3021" s="6"/>
      <c r="X3021" s="12"/>
      <c r="Y3021" s="6"/>
      <c r="Z3021" s="6"/>
      <c r="AA3021" s="7"/>
      <c r="AB3021" s="6"/>
      <c r="AC3021" s="6"/>
      <c r="AD3021" s="6"/>
      <c r="AE3021" s="12"/>
      <c r="AF3021" s="12"/>
      <c r="AG3021" s="12"/>
      <c r="AH3021" s="12"/>
      <c r="AI3021" s="6"/>
      <c r="AJ3021" s="12"/>
      <c r="AK3021" s="1"/>
      <c r="AL3021" s="12"/>
      <c r="AM3021" s="12"/>
      <c r="AN3021" s="1"/>
      <c r="AO3021" s="6"/>
    </row>
    <row r="3022" spans="1:41" ht="15" x14ac:dyDescent="0.25">
      <c r="A3022" s="1"/>
      <c r="B3022" s="1"/>
      <c r="C3022" s="1"/>
      <c r="D3022" s="1"/>
      <c r="E3022" s="6"/>
      <c r="F3022" s="1"/>
      <c r="G3022" s="6"/>
      <c r="H3022" s="6"/>
      <c r="I3022" s="6"/>
      <c r="J3022" s="6"/>
      <c r="K3022" s="6"/>
      <c r="L3022" s="6"/>
      <c r="M3022" s="6"/>
      <c r="N3022" s="6"/>
      <c r="O3022" s="7"/>
      <c r="P3022" s="6"/>
      <c r="Q3022" s="6"/>
      <c r="R3022" s="7"/>
      <c r="S3022" s="6"/>
      <c r="T3022" s="6"/>
      <c r="U3022" s="7"/>
      <c r="V3022" s="6"/>
      <c r="W3022" s="6"/>
      <c r="X3022" s="12"/>
      <c r="Y3022" s="6"/>
      <c r="Z3022" s="6"/>
      <c r="AA3022" s="7"/>
      <c r="AB3022" s="6"/>
      <c r="AC3022" s="6"/>
      <c r="AD3022" s="6"/>
      <c r="AE3022" s="12"/>
      <c r="AF3022" s="6"/>
      <c r="AG3022" s="12"/>
      <c r="AH3022" s="6"/>
      <c r="AI3022" s="6"/>
      <c r="AJ3022" s="12"/>
      <c r="AK3022" s="1"/>
      <c r="AL3022" s="12"/>
      <c r="AM3022" s="12"/>
      <c r="AN3022" s="1"/>
      <c r="AO3022" s="12"/>
    </row>
    <row r="3023" spans="1:41" ht="15" x14ac:dyDescent="0.25">
      <c r="A3023" s="1"/>
      <c r="B3023" s="1"/>
      <c r="C3023" s="1"/>
      <c r="D3023" s="1"/>
      <c r="E3023" s="6"/>
      <c r="F3023" s="1"/>
      <c r="G3023" s="6"/>
      <c r="H3023" s="6"/>
      <c r="I3023" s="6"/>
      <c r="J3023" s="6"/>
      <c r="K3023" s="6"/>
      <c r="L3023" s="6"/>
      <c r="M3023" s="6"/>
      <c r="N3023" s="6"/>
      <c r="O3023" s="7"/>
      <c r="P3023" s="6"/>
      <c r="Q3023" s="6"/>
      <c r="R3023" s="7"/>
      <c r="S3023" s="6"/>
      <c r="T3023" s="6"/>
      <c r="U3023" s="7"/>
      <c r="V3023" s="6"/>
      <c r="W3023" s="6"/>
      <c r="X3023" s="6"/>
      <c r="Y3023" s="6"/>
      <c r="Z3023" s="6"/>
      <c r="AA3023" s="7"/>
      <c r="AB3023" s="6"/>
      <c r="AC3023" s="6"/>
      <c r="AD3023" s="6"/>
      <c r="AE3023" s="12"/>
      <c r="AF3023" s="6"/>
      <c r="AG3023" s="12"/>
      <c r="AH3023" s="6"/>
      <c r="AI3023" s="6"/>
      <c r="AJ3023" s="12"/>
      <c r="AK3023" s="24"/>
      <c r="AL3023" s="25"/>
      <c r="AM3023" s="12"/>
      <c r="AN3023" s="1"/>
      <c r="AO3023" s="6"/>
    </row>
    <row r="3024" spans="1:41" ht="15" x14ac:dyDescent="0.25">
      <c r="A3024" s="1"/>
      <c r="B3024" s="1"/>
      <c r="C3024" s="1"/>
      <c r="D3024" s="1"/>
      <c r="E3024" s="6"/>
      <c r="F3024" s="1"/>
      <c r="G3024" s="6"/>
      <c r="H3024" s="6"/>
      <c r="I3024" s="6"/>
      <c r="J3024" s="6"/>
      <c r="K3024" s="6"/>
      <c r="L3024" s="6"/>
      <c r="M3024" s="6"/>
      <c r="N3024" s="6"/>
      <c r="O3024" s="7"/>
      <c r="P3024" s="6"/>
      <c r="Q3024" s="7"/>
      <c r="R3024" s="6"/>
      <c r="S3024" s="12"/>
      <c r="T3024" s="6"/>
      <c r="U3024" s="6"/>
      <c r="V3024" s="7"/>
      <c r="W3024" s="6"/>
      <c r="X3024" s="6"/>
      <c r="Y3024" s="6"/>
      <c r="Z3024" s="6"/>
      <c r="AA3024" s="24"/>
      <c r="AB3024" s="25"/>
      <c r="AC3024" s="12"/>
      <c r="AD3024" s="12"/>
      <c r="AE3024" s="12"/>
      <c r="AF3024" s="6"/>
      <c r="AG3024" s="12"/>
      <c r="AH3024" s="6"/>
      <c r="AI3024" s="6"/>
      <c r="AJ3024" s="12"/>
      <c r="AK3024" s="12"/>
      <c r="AL3024" s="12"/>
      <c r="AM3024" s="12"/>
      <c r="AN3024" s="1"/>
      <c r="AO3024" s="6"/>
    </row>
    <row r="3025" spans="1:41" ht="15" x14ac:dyDescent="0.25">
      <c r="A3025" s="1"/>
      <c r="B3025" s="1"/>
      <c r="C3025" s="1"/>
      <c r="D3025" s="1"/>
      <c r="E3025" s="6"/>
      <c r="F3025" s="1"/>
      <c r="G3025" s="6"/>
      <c r="H3025" s="6"/>
      <c r="I3025" s="6"/>
      <c r="J3025" s="6"/>
      <c r="K3025" s="6"/>
      <c r="L3025" s="6"/>
      <c r="M3025" s="6"/>
      <c r="N3025" s="6"/>
      <c r="O3025" s="7"/>
      <c r="P3025" s="6"/>
      <c r="Q3025" s="6"/>
      <c r="R3025" s="7"/>
      <c r="S3025" s="6"/>
      <c r="T3025" s="6"/>
      <c r="U3025" s="7"/>
      <c r="V3025" s="6"/>
      <c r="W3025" s="6"/>
      <c r="X3025" s="6"/>
      <c r="Y3025" s="6"/>
      <c r="Z3025" s="6"/>
      <c r="AA3025" s="7"/>
      <c r="AB3025" s="6"/>
      <c r="AC3025" s="6"/>
      <c r="AD3025" s="6"/>
      <c r="AE3025" s="12"/>
      <c r="AF3025" s="6"/>
      <c r="AG3025" s="12"/>
      <c r="AH3025" s="6"/>
      <c r="AI3025" s="6"/>
      <c r="AJ3025" s="12"/>
      <c r="AK3025" s="24"/>
      <c r="AL3025" s="25"/>
      <c r="AM3025" s="12"/>
      <c r="AN3025" s="1"/>
      <c r="AO3025" s="6"/>
    </row>
    <row r="3026" spans="1:41" ht="15" x14ac:dyDescent="0.25">
      <c r="A3026" s="1"/>
      <c r="B3026" s="1"/>
      <c r="C3026" s="1"/>
      <c r="D3026" s="1"/>
      <c r="E3026" s="6"/>
      <c r="F3026" s="1"/>
      <c r="G3026" s="6"/>
      <c r="H3026" s="6"/>
      <c r="I3026" s="6"/>
      <c r="J3026" s="6"/>
      <c r="K3026" s="6"/>
      <c r="L3026" s="6"/>
      <c r="M3026" s="6"/>
      <c r="N3026" s="6"/>
      <c r="O3026" s="7"/>
      <c r="P3026" s="6"/>
      <c r="Q3026" s="6"/>
      <c r="R3026" s="7"/>
      <c r="S3026" s="6"/>
      <c r="T3026" s="6"/>
      <c r="U3026" s="7"/>
      <c r="V3026" s="6"/>
      <c r="W3026" s="6"/>
      <c r="X3026" s="12"/>
      <c r="Y3026" s="6"/>
      <c r="Z3026" s="6"/>
      <c r="AA3026" s="7"/>
      <c r="AB3026" s="6"/>
      <c r="AC3026" s="6"/>
      <c r="AD3026" s="6"/>
      <c r="AE3026" s="12"/>
      <c r="AF3026" s="12"/>
      <c r="AG3026" s="12"/>
      <c r="AH3026" s="12"/>
      <c r="AI3026" s="6"/>
      <c r="AJ3026" s="12"/>
      <c r="AK3026" s="1"/>
      <c r="AL3026" s="12"/>
      <c r="AM3026" s="12"/>
      <c r="AN3026" s="1"/>
      <c r="AO3026" s="6"/>
    </row>
    <row r="3027" spans="1:41" ht="15" x14ac:dyDescent="0.25">
      <c r="A3027" s="1"/>
      <c r="B3027" s="1"/>
      <c r="C3027" s="1"/>
      <c r="D3027" s="1"/>
      <c r="E3027" s="6"/>
      <c r="F3027" s="1"/>
      <c r="G3027" s="6"/>
      <c r="H3027" s="6"/>
      <c r="I3027" s="6"/>
      <c r="J3027" s="6"/>
      <c r="K3027" s="6"/>
      <c r="L3027" s="6"/>
      <c r="M3027" s="6"/>
      <c r="N3027" s="6"/>
      <c r="O3027" s="7"/>
      <c r="P3027" s="6"/>
      <c r="Q3027" s="6"/>
      <c r="R3027" s="7"/>
      <c r="S3027" s="6"/>
      <c r="T3027" s="6"/>
      <c r="U3027" s="7"/>
      <c r="V3027" s="6"/>
      <c r="W3027" s="6"/>
      <c r="X3027" s="6"/>
      <c r="Y3027" s="6"/>
      <c r="Z3027" s="6"/>
      <c r="AA3027" s="7"/>
      <c r="AB3027" s="6"/>
      <c r="AC3027" s="6"/>
      <c r="AD3027" s="6"/>
      <c r="AE3027" s="12"/>
      <c r="AF3027" s="6"/>
      <c r="AG3027" s="12"/>
      <c r="AH3027" s="6"/>
      <c r="AI3027" s="6"/>
      <c r="AJ3027" s="12"/>
      <c r="AK3027" s="24"/>
      <c r="AL3027" s="25"/>
      <c r="AM3027" s="12"/>
      <c r="AN3027" s="1"/>
      <c r="AO3027" s="6"/>
    </row>
    <row r="3028" spans="1:41" ht="15" x14ac:dyDescent="0.25">
      <c r="A3028" s="1"/>
      <c r="B3028" s="1"/>
      <c r="C3028" s="1"/>
      <c r="D3028" s="1"/>
      <c r="E3028" s="6"/>
      <c r="F3028" s="1"/>
      <c r="G3028" s="6"/>
      <c r="H3028" s="6"/>
      <c r="I3028" s="6"/>
      <c r="J3028" s="6"/>
      <c r="K3028" s="6"/>
      <c r="L3028" s="6"/>
      <c r="M3028" s="6"/>
      <c r="N3028" s="6"/>
      <c r="O3028" s="7"/>
      <c r="P3028" s="6"/>
      <c r="Q3028" s="7"/>
      <c r="R3028" s="6"/>
      <c r="S3028" s="6"/>
      <c r="T3028" s="6"/>
      <c r="U3028" s="6"/>
      <c r="V3028" s="7"/>
      <c r="W3028" s="6"/>
      <c r="X3028" s="6"/>
      <c r="Y3028" s="6"/>
      <c r="Z3028" s="6"/>
      <c r="AA3028" s="1"/>
      <c r="AB3028" s="12"/>
      <c r="AC3028" s="12"/>
      <c r="AD3028" s="12"/>
      <c r="AE3028" s="12"/>
      <c r="AF3028" s="6"/>
      <c r="AG3028" s="12"/>
      <c r="AH3028" s="6"/>
      <c r="AI3028" s="6"/>
      <c r="AJ3028" s="12"/>
      <c r="AK3028" s="12"/>
      <c r="AL3028" s="12"/>
      <c r="AM3028" s="12"/>
      <c r="AN3028" s="1"/>
      <c r="AO3028" s="6"/>
    </row>
    <row r="3029" spans="1:41" ht="15" x14ac:dyDescent="0.25">
      <c r="A3029" s="1"/>
      <c r="B3029" s="1"/>
      <c r="C3029" s="1"/>
      <c r="D3029" s="1"/>
      <c r="E3029" s="6"/>
      <c r="F3029" s="1"/>
      <c r="G3029" s="6"/>
      <c r="H3029" s="6"/>
      <c r="I3029" s="6"/>
      <c r="J3029" s="6"/>
      <c r="K3029" s="6"/>
      <c r="L3029" s="6"/>
      <c r="M3029" s="6"/>
      <c r="N3029" s="6"/>
      <c r="O3029" s="7"/>
      <c r="P3029" s="6"/>
      <c r="Q3029" s="6"/>
      <c r="R3029" s="7"/>
      <c r="S3029" s="6"/>
      <c r="T3029" s="6"/>
      <c r="U3029" s="7"/>
      <c r="V3029" s="6"/>
      <c r="W3029" s="6"/>
      <c r="X3029" s="6"/>
      <c r="Y3029" s="6"/>
      <c r="Z3029" s="6"/>
      <c r="AA3029" s="7"/>
      <c r="AB3029" s="6"/>
      <c r="AC3029" s="6"/>
      <c r="AD3029" s="6"/>
      <c r="AE3029" s="12"/>
      <c r="AF3029" s="6"/>
      <c r="AG3029" s="12"/>
      <c r="AH3029" s="6"/>
      <c r="AI3029" s="6"/>
      <c r="AJ3029" s="12"/>
      <c r="AK3029" s="1"/>
      <c r="AL3029" s="12"/>
      <c r="AM3029" s="12"/>
      <c r="AN3029" s="1"/>
      <c r="AO3029" s="6"/>
    </row>
    <row r="3030" spans="1:41" ht="15" x14ac:dyDescent="0.25">
      <c r="A3030" s="1"/>
      <c r="B3030" s="1"/>
      <c r="C3030" s="1"/>
      <c r="D3030" s="1"/>
      <c r="E3030" s="6"/>
      <c r="F3030" s="1"/>
      <c r="G3030" s="6"/>
      <c r="H3030" s="6"/>
      <c r="I3030" s="6"/>
      <c r="J3030" s="6"/>
      <c r="K3030" s="6"/>
      <c r="L3030" s="6"/>
      <c r="M3030" s="6"/>
      <c r="N3030" s="6"/>
      <c r="O3030" s="7"/>
      <c r="P3030" s="6"/>
      <c r="Q3030" s="6"/>
      <c r="R3030" s="7"/>
      <c r="S3030" s="6"/>
      <c r="T3030" s="6"/>
      <c r="U3030" s="7"/>
      <c r="V3030" s="6"/>
      <c r="W3030" s="6"/>
      <c r="X3030" s="12"/>
      <c r="Y3030" s="6"/>
      <c r="Z3030" s="6"/>
      <c r="AA3030" s="7"/>
      <c r="AB3030" s="6"/>
      <c r="AC3030" s="6"/>
      <c r="AD3030" s="6"/>
      <c r="AE3030" s="12"/>
      <c r="AF3030" s="6"/>
      <c r="AG3030" s="12"/>
      <c r="AH3030" s="6"/>
      <c r="AI3030" s="6"/>
      <c r="AJ3030" s="12"/>
      <c r="AK3030" s="1"/>
      <c r="AL3030" s="12"/>
      <c r="AM3030" s="12"/>
      <c r="AN3030" s="1"/>
      <c r="AO3030" s="6"/>
    </row>
    <row r="3031" spans="1:41" ht="15" x14ac:dyDescent="0.25">
      <c r="A3031" s="1"/>
      <c r="B3031" s="1"/>
      <c r="C3031" s="1"/>
      <c r="D3031" s="1"/>
      <c r="E3031" s="6"/>
      <c r="F3031" s="1"/>
      <c r="G3031" s="6"/>
      <c r="H3031" s="6"/>
      <c r="I3031" s="6"/>
      <c r="J3031" s="6"/>
      <c r="K3031" s="6"/>
      <c r="L3031" s="6"/>
      <c r="M3031" s="6"/>
      <c r="N3031" s="6"/>
      <c r="O3031" s="7"/>
      <c r="P3031" s="6"/>
      <c r="Q3031" s="6"/>
      <c r="R3031" s="7"/>
      <c r="S3031" s="6"/>
      <c r="T3031" s="6"/>
      <c r="U3031" s="7"/>
      <c r="V3031" s="6"/>
      <c r="W3031" s="6"/>
      <c r="X3031" s="6"/>
      <c r="Y3031" s="6"/>
      <c r="Z3031" s="6"/>
      <c r="AA3031" s="7"/>
      <c r="AB3031" s="6"/>
      <c r="AC3031" s="6"/>
      <c r="AD3031" s="6"/>
      <c r="AE3031" s="12"/>
      <c r="AF3031" s="6"/>
      <c r="AG3031" s="12"/>
      <c r="AH3031" s="6"/>
      <c r="AI3031" s="6"/>
      <c r="AJ3031" s="12"/>
      <c r="AK3031" s="1"/>
      <c r="AL3031" s="12"/>
      <c r="AM3031" s="12"/>
      <c r="AN3031" s="1"/>
      <c r="AO3031" s="6"/>
    </row>
    <row r="3032" spans="1:41" ht="15" x14ac:dyDescent="0.25">
      <c r="A3032" s="1"/>
      <c r="B3032" s="1"/>
      <c r="C3032" s="1"/>
      <c r="D3032" s="1"/>
      <c r="E3032" s="6"/>
      <c r="F3032" s="1"/>
      <c r="G3032" s="6"/>
      <c r="H3032" s="6"/>
      <c r="I3032" s="6"/>
      <c r="J3032" s="6"/>
      <c r="K3032" s="6"/>
      <c r="L3032" s="6"/>
      <c r="M3032" s="6"/>
      <c r="N3032" s="6"/>
      <c r="O3032" s="7"/>
      <c r="P3032" s="6"/>
      <c r="Q3032" s="6"/>
      <c r="R3032" s="7"/>
      <c r="S3032" s="6"/>
      <c r="T3032" s="6"/>
      <c r="U3032" s="7"/>
      <c r="V3032" s="6"/>
      <c r="W3032" s="6"/>
      <c r="X3032" s="6"/>
      <c r="Y3032" s="6"/>
      <c r="Z3032" s="6"/>
      <c r="AA3032" s="7"/>
      <c r="AB3032" s="6"/>
      <c r="AC3032" s="6"/>
      <c r="AD3032" s="6"/>
      <c r="AE3032" s="12"/>
      <c r="AF3032" s="6"/>
      <c r="AG3032" s="12"/>
      <c r="AH3032" s="6"/>
      <c r="AI3032" s="6"/>
      <c r="AJ3032" s="12"/>
      <c r="AK3032" s="24"/>
      <c r="AL3032" s="25"/>
      <c r="AM3032" s="12"/>
      <c r="AN3032" s="1"/>
      <c r="AO3032" s="6"/>
    </row>
    <row r="3033" spans="1:41" ht="15" x14ac:dyDescent="0.25">
      <c r="A3033" s="1"/>
      <c r="B3033" s="1"/>
      <c r="C3033" s="1"/>
      <c r="D3033" s="1"/>
      <c r="E3033" s="6"/>
      <c r="F3033" s="1"/>
      <c r="G3033" s="6"/>
      <c r="H3033" s="6"/>
      <c r="I3033" s="6"/>
      <c r="J3033" s="6"/>
      <c r="K3033" s="6"/>
      <c r="L3033" s="6"/>
      <c r="M3033" s="6"/>
      <c r="N3033" s="6"/>
      <c r="O3033" s="7"/>
      <c r="P3033" s="6"/>
      <c r="Q3033" s="7"/>
      <c r="R3033" s="6"/>
      <c r="S3033" s="6"/>
      <c r="T3033" s="6"/>
      <c r="U3033" s="6"/>
      <c r="V3033" s="7"/>
      <c r="W3033" s="7"/>
      <c r="X3033" s="6"/>
      <c r="Y3033" s="6"/>
      <c r="Z3033" s="6"/>
      <c r="AA3033" s="1"/>
      <c r="AB3033" s="12"/>
      <c r="AC3033" s="12"/>
      <c r="AD3033" s="12"/>
      <c r="AE3033" s="12"/>
      <c r="AF3033" s="12"/>
      <c r="AG3033" s="12"/>
      <c r="AH3033" s="12"/>
      <c r="AI3033" s="6"/>
      <c r="AJ3033" s="12"/>
      <c r="AK3033" s="12"/>
      <c r="AL3033" s="12"/>
      <c r="AM3033" s="12"/>
      <c r="AN3033" s="1"/>
      <c r="AO3033" s="6"/>
    </row>
    <row r="3034" spans="1:41" ht="15" x14ac:dyDescent="0.25">
      <c r="A3034" s="1"/>
      <c r="B3034" s="1"/>
      <c r="C3034" s="1"/>
      <c r="D3034" s="1"/>
      <c r="E3034" s="6"/>
      <c r="F3034" s="1"/>
      <c r="G3034" s="6"/>
      <c r="H3034" s="6"/>
      <c r="I3034" s="6"/>
      <c r="J3034" s="6"/>
      <c r="K3034" s="6"/>
      <c r="L3034" s="6"/>
      <c r="M3034" s="6"/>
      <c r="N3034" s="6"/>
      <c r="O3034" s="7"/>
      <c r="P3034" s="6"/>
      <c r="Q3034" s="6"/>
      <c r="R3034" s="7"/>
      <c r="S3034" s="6"/>
      <c r="T3034" s="6"/>
      <c r="U3034" s="7"/>
      <c r="V3034" s="6"/>
      <c r="W3034" s="6"/>
      <c r="X3034" s="6"/>
      <c r="Y3034" s="6"/>
      <c r="Z3034" s="6"/>
      <c r="AA3034" s="7"/>
      <c r="AB3034" s="6"/>
      <c r="AC3034" s="6"/>
      <c r="AD3034" s="6"/>
      <c r="AE3034" s="12"/>
      <c r="AF3034" s="12"/>
      <c r="AG3034" s="12"/>
      <c r="AH3034" s="12"/>
      <c r="AI3034" s="6"/>
      <c r="AJ3034" s="12"/>
      <c r="AK3034" s="1"/>
      <c r="AL3034" s="12"/>
      <c r="AM3034" s="12"/>
      <c r="AN3034" s="1"/>
      <c r="AO3034" s="6"/>
    </row>
    <row r="3035" spans="1:41" ht="15" x14ac:dyDescent="0.25">
      <c r="A3035" s="1"/>
      <c r="B3035" s="1"/>
      <c r="C3035" s="1"/>
      <c r="D3035" s="1"/>
      <c r="E3035" s="6"/>
      <c r="F3035" s="1"/>
      <c r="G3035" s="6"/>
      <c r="H3035" s="6"/>
      <c r="I3035" s="6"/>
      <c r="J3035" s="6"/>
      <c r="K3035" s="6"/>
      <c r="L3035" s="6"/>
      <c r="M3035" s="6"/>
      <c r="N3035" s="6"/>
      <c r="O3035" s="7"/>
      <c r="P3035" s="6"/>
      <c r="Q3035" s="6"/>
      <c r="R3035" s="7"/>
      <c r="S3035" s="6"/>
      <c r="T3035" s="6"/>
      <c r="U3035" s="6"/>
      <c r="V3035" s="6"/>
      <c r="W3035" s="6"/>
      <c r="X3035" s="7"/>
      <c r="Y3035" s="6"/>
      <c r="Z3035" s="6"/>
      <c r="AA3035" s="7"/>
      <c r="AB3035" s="6"/>
      <c r="AC3035" s="6"/>
      <c r="AD3035" s="6"/>
      <c r="AE3035" s="12"/>
      <c r="AF3035" s="6"/>
      <c r="AG3035" s="12"/>
      <c r="AH3035" s="6"/>
      <c r="AI3035" s="6"/>
      <c r="AJ3035" s="12"/>
      <c r="AK3035" s="6"/>
      <c r="AL3035" s="12"/>
      <c r="AM3035" s="12"/>
      <c r="AN3035" s="1"/>
      <c r="AO3035" s="6"/>
    </row>
    <row r="3036" spans="1:41" ht="15" x14ac:dyDescent="0.25">
      <c r="A3036" s="1"/>
      <c r="B3036" s="1"/>
      <c r="C3036" s="1"/>
      <c r="D3036" s="1"/>
      <c r="E3036" s="6"/>
      <c r="F3036" s="1"/>
      <c r="G3036" s="6"/>
      <c r="H3036" s="6"/>
      <c r="I3036" s="6"/>
      <c r="J3036" s="6"/>
      <c r="K3036" s="6"/>
      <c r="L3036" s="6"/>
      <c r="M3036" s="6"/>
      <c r="N3036" s="6"/>
      <c r="O3036" s="7"/>
      <c r="P3036" s="6"/>
      <c r="Q3036" s="6"/>
      <c r="R3036" s="7"/>
      <c r="S3036" s="6"/>
      <c r="T3036" s="6"/>
      <c r="U3036" s="7"/>
      <c r="V3036" s="6"/>
      <c r="W3036" s="6"/>
      <c r="X3036" s="6"/>
      <c r="Y3036" s="6"/>
      <c r="Z3036" s="6"/>
      <c r="AA3036" s="7"/>
      <c r="AB3036" s="6"/>
      <c r="AC3036" s="6"/>
      <c r="AD3036" s="6"/>
      <c r="AE3036" s="12"/>
      <c r="AF3036" s="6"/>
      <c r="AG3036" s="12"/>
      <c r="AH3036" s="6"/>
      <c r="AI3036" s="6"/>
      <c r="AJ3036" s="12"/>
      <c r="AK3036" s="24"/>
      <c r="AL3036" s="25"/>
      <c r="AM3036" s="12"/>
      <c r="AN3036" s="1"/>
      <c r="AO3036" s="6"/>
    </row>
    <row r="3037" spans="1:41" ht="15" x14ac:dyDescent="0.25">
      <c r="A3037" s="1"/>
      <c r="B3037" s="1"/>
      <c r="C3037" s="1"/>
      <c r="D3037" s="1"/>
      <c r="E3037" s="6"/>
      <c r="F3037" s="1"/>
      <c r="G3037" s="6"/>
      <c r="H3037" s="6"/>
      <c r="I3037" s="6"/>
      <c r="J3037" s="6"/>
      <c r="K3037" s="6"/>
      <c r="L3037" s="6"/>
      <c r="M3037" s="6"/>
      <c r="N3037" s="6"/>
      <c r="O3037" s="7"/>
      <c r="P3037" s="12"/>
      <c r="Q3037" s="6"/>
      <c r="R3037" s="7"/>
      <c r="S3037" s="6"/>
      <c r="T3037" s="6"/>
      <c r="U3037" s="7"/>
      <c r="V3037" s="6"/>
      <c r="W3037" s="6"/>
      <c r="X3037" s="6"/>
      <c r="Y3037" s="6"/>
      <c r="Z3037" s="6"/>
      <c r="AA3037" s="7"/>
      <c r="AB3037" s="6"/>
      <c r="AC3037" s="6"/>
      <c r="AD3037" s="6"/>
      <c r="AE3037" s="12"/>
      <c r="AF3037" s="12"/>
      <c r="AG3037" s="12"/>
      <c r="AH3037" s="12"/>
      <c r="AI3037" s="6"/>
      <c r="AJ3037" s="12"/>
      <c r="AK3037" s="1"/>
      <c r="AL3037" s="12"/>
      <c r="AM3037" s="12"/>
      <c r="AN3037" s="1"/>
      <c r="AO3037" s="6"/>
    </row>
    <row r="3038" spans="1:41" ht="15" x14ac:dyDescent="0.25">
      <c r="A3038" s="1"/>
      <c r="B3038" s="1"/>
      <c r="C3038" s="1"/>
      <c r="D3038" s="1"/>
      <c r="E3038" s="6"/>
      <c r="F3038" s="1"/>
      <c r="G3038" s="6"/>
      <c r="H3038" s="6"/>
      <c r="I3038" s="6"/>
      <c r="J3038" s="6"/>
      <c r="K3038" s="6"/>
      <c r="L3038" s="6"/>
      <c r="M3038" s="6"/>
      <c r="N3038" s="6"/>
      <c r="O3038" s="7"/>
      <c r="P3038" s="6"/>
      <c r="Q3038" s="6"/>
      <c r="R3038" s="7"/>
      <c r="S3038" s="6"/>
      <c r="T3038" s="6"/>
      <c r="U3038" s="6"/>
      <c r="V3038" s="6"/>
      <c r="W3038" s="6"/>
      <c r="X3038" s="7"/>
      <c r="Y3038" s="6"/>
      <c r="Z3038" s="6"/>
      <c r="AA3038" s="7"/>
      <c r="AB3038" s="6"/>
      <c r="AC3038" s="6"/>
      <c r="AD3038" s="6"/>
      <c r="AE3038" s="12"/>
      <c r="AF3038" s="6"/>
      <c r="AG3038" s="12"/>
      <c r="AH3038" s="6"/>
      <c r="AI3038" s="6"/>
      <c r="AJ3038" s="12"/>
      <c r="AK3038" s="6"/>
      <c r="AL3038" s="12"/>
      <c r="AM3038" s="12"/>
      <c r="AN3038" s="1"/>
      <c r="AO3038" s="6"/>
    </row>
    <row r="3039" spans="1:41" ht="15" x14ac:dyDescent="0.25">
      <c r="A3039" s="1"/>
      <c r="B3039" s="1"/>
      <c r="C3039" s="1"/>
      <c r="D3039" s="1"/>
      <c r="E3039" s="6"/>
      <c r="F3039" s="1"/>
      <c r="G3039" s="6"/>
      <c r="H3039" s="6"/>
      <c r="I3039" s="6"/>
      <c r="J3039" s="6"/>
      <c r="K3039" s="6"/>
      <c r="L3039" s="6"/>
      <c r="M3039" s="6"/>
      <c r="N3039" s="6"/>
      <c r="O3039" s="7"/>
      <c r="P3039" s="6"/>
      <c r="Q3039" s="6"/>
      <c r="R3039" s="7"/>
      <c r="S3039" s="6"/>
      <c r="T3039" s="6"/>
      <c r="U3039" s="7"/>
      <c r="V3039" s="6"/>
      <c r="W3039" s="6"/>
      <c r="X3039" s="6"/>
      <c r="Y3039" s="6"/>
      <c r="Z3039" s="6"/>
      <c r="AA3039" s="7"/>
      <c r="AB3039" s="6"/>
      <c r="AC3039" s="6"/>
      <c r="AD3039" s="6"/>
      <c r="AE3039" s="12"/>
      <c r="AF3039" s="6"/>
      <c r="AG3039" s="12"/>
      <c r="AH3039" s="6"/>
      <c r="AI3039" s="6"/>
      <c r="AJ3039" s="12"/>
      <c r="AK3039" s="1"/>
      <c r="AL3039" s="12"/>
      <c r="AM3039" s="12"/>
      <c r="AN3039" s="1"/>
      <c r="AO3039" s="6"/>
    </row>
    <row r="3040" spans="1:41" ht="15" x14ac:dyDescent="0.25">
      <c r="A3040" s="1"/>
      <c r="B3040" s="1"/>
      <c r="C3040" s="1"/>
      <c r="D3040" s="1"/>
      <c r="E3040" s="6"/>
      <c r="F3040" s="1"/>
      <c r="G3040" s="6"/>
      <c r="H3040" s="6"/>
      <c r="I3040" s="6"/>
      <c r="J3040" s="6"/>
      <c r="K3040" s="6"/>
      <c r="L3040" s="6"/>
      <c r="M3040" s="6"/>
      <c r="N3040" s="6"/>
      <c r="O3040" s="7"/>
      <c r="P3040" s="6"/>
      <c r="Q3040" s="6"/>
      <c r="R3040" s="7"/>
      <c r="S3040" s="6"/>
      <c r="T3040" s="6"/>
      <c r="U3040" s="7"/>
      <c r="V3040" s="6"/>
      <c r="W3040" s="6"/>
      <c r="X3040" s="6"/>
      <c r="Y3040" s="6"/>
      <c r="Z3040" s="6"/>
      <c r="AA3040" s="7"/>
      <c r="AB3040" s="6"/>
      <c r="AC3040" s="6"/>
      <c r="AD3040" s="6"/>
      <c r="AE3040" s="12"/>
      <c r="AF3040" s="12"/>
      <c r="AG3040" s="12"/>
      <c r="AH3040" s="12"/>
      <c r="AI3040" s="6"/>
      <c r="AJ3040" s="12"/>
      <c r="AK3040" s="1"/>
      <c r="AL3040" s="12"/>
      <c r="AM3040" s="12"/>
      <c r="AN3040" s="1"/>
      <c r="AO3040" s="6"/>
    </row>
    <row r="3041" spans="1:41" ht="15" x14ac:dyDescent="0.25">
      <c r="A3041" s="1"/>
      <c r="B3041" s="1"/>
      <c r="C3041" s="1"/>
      <c r="D3041" s="1"/>
      <c r="E3041" s="6"/>
      <c r="F3041" s="1"/>
      <c r="G3041" s="6"/>
      <c r="H3041" s="6"/>
      <c r="I3041" s="6"/>
      <c r="J3041" s="6"/>
      <c r="K3041" s="6"/>
      <c r="L3041" s="6"/>
      <c r="M3041" s="6"/>
      <c r="N3041" s="6"/>
      <c r="O3041" s="7"/>
      <c r="P3041" s="6"/>
      <c r="Q3041" s="6"/>
      <c r="R3041" s="7"/>
      <c r="S3041" s="6"/>
      <c r="T3041" s="6"/>
      <c r="U3041" s="7"/>
      <c r="V3041" s="6"/>
      <c r="W3041" s="6"/>
      <c r="X3041" s="6"/>
      <c r="Y3041" s="6"/>
      <c r="Z3041" s="6"/>
      <c r="AA3041" s="7"/>
      <c r="AB3041" s="6"/>
      <c r="AC3041" s="6"/>
      <c r="AD3041" s="6"/>
      <c r="AE3041" s="12"/>
      <c r="AF3041" s="12"/>
      <c r="AG3041" s="12"/>
      <c r="AH3041" s="12"/>
      <c r="AI3041" s="6"/>
      <c r="AJ3041" s="12"/>
      <c r="AK3041" s="1"/>
      <c r="AL3041" s="12"/>
      <c r="AM3041" s="12"/>
      <c r="AN3041" s="1"/>
      <c r="AO3041" s="6"/>
    </row>
    <row r="3042" spans="1:41" ht="15" x14ac:dyDescent="0.25">
      <c r="A3042" s="1"/>
      <c r="B3042" s="1"/>
      <c r="C3042" s="1"/>
      <c r="D3042" s="1"/>
      <c r="E3042" s="6"/>
      <c r="F3042" s="1"/>
      <c r="G3042" s="6"/>
      <c r="H3042" s="6"/>
      <c r="I3042" s="6"/>
      <c r="J3042" s="6"/>
      <c r="K3042" s="6"/>
      <c r="L3042" s="6"/>
      <c r="M3042" s="6"/>
      <c r="N3042" s="6"/>
      <c r="O3042" s="7"/>
      <c r="P3042" s="6"/>
      <c r="Q3042" s="7"/>
      <c r="R3042" s="6"/>
      <c r="S3042" s="12"/>
      <c r="T3042" s="6"/>
      <c r="U3042" s="6"/>
      <c r="V3042" s="7"/>
      <c r="W3042" s="7"/>
      <c r="X3042" s="6"/>
      <c r="Y3042" s="6"/>
      <c r="Z3042" s="6"/>
      <c r="AA3042" s="1"/>
      <c r="AB3042" s="12"/>
      <c r="AC3042" s="12"/>
      <c r="AD3042" s="12"/>
      <c r="AE3042" s="12"/>
      <c r="AF3042" s="12"/>
      <c r="AG3042" s="12"/>
      <c r="AH3042" s="12"/>
      <c r="AI3042" s="6"/>
      <c r="AJ3042" s="12"/>
      <c r="AK3042" s="12"/>
      <c r="AL3042" s="12"/>
      <c r="AM3042" s="12"/>
      <c r="AN3042" s="1"/>
      <c r="AO3042" s="6"/>
    </row>
    <row r="3043" spans="1:41" ht="15" x14ac:dyDescent="0.25">
      <c r="A3043" s="1"/>
      <c r="B3043" s="1"/>
      <c r="C3043" s="1"/>
      <c r="D3043" s="1"/>
      <c r="E3043" s="6"/>
      <c r="F3043" s="1"/>
      <c r="G3043" s="6"/>
      <c r="H3043" s="6"/>
      <c r="I3043" s="6"/>
      <c r="J3043" s="6"/>
      <c r="K3043" s="6"/>
      <c r="L3043" s="6"/>
      <c r="M3043" s="6"/>
      <c r="N3043" s="6"/>
      <c r="O3043" s="7"/>
      <c r="P3043" s="6"/>
      <c r="Q3043" s="6"/>
      <c r="R3043" s="12"/>
      <c r="S3043" s="12"/>
      <c r="T3043" s="12"/>
      <c r="U3043" s="7"/>
      <c r="V3043" s="6"/>
      <c r="W3043" s="6"/>
      <c r="X3043" s="12"/>
      <c r="Y3043" s="6"/>
      <c r="Z3043" s="6"/>
      <c r="AA3043" s="7"/>
      <c r="AB3043" s="6"/>
      <c r="AC3043" s="6"/>
      <c r="AD3043" s="6"/>
      <c r="AE3043" s="12"/>
      <c r="AF3043" s="12"/>
      <c r="AG3043" s="12"/>
      <c r="AH3043" s="12"/>
      <c r="AI3043" s="6"/>
      <c r="AJ3043" s="12"/>
      <c r="AK3043" s="24"/>
      <c r="AL3043" s="25"/>
      <c r="AM3043" s="12"/>
      <c r="AN3043" s="1"/>
      <c r="AO3043" s="6"/>
    </row>
    <row r="3044" spans="1:41" ht="15" x14ac:dyDescent="0.25">
      <c r="A3044" s="1"/>
      <c r="B3044" s="1"/>
      <c r="C3044" s="1"/>
      <c r="D3044" s="1"/>
      <c r="E3044" s="6"/>
      <c r="F3044" s="1"/>
      <c r="G3044" s="6"/>
      <c r="H3044" s="6"/>
      <c r="I3044" s="6"/>
      <c r="J3044" s="6"/>
      <c r="K3044" s="6"/>
      <c r="L3044" s="6"/>
      <c r="M3044" s="6"/>
      <c r="N3044" s="6"/>
      <c r="O3044" s="7"/>
      <c r="P3044" s="6"/>
      <c r="Q3044" s="6"/>
      <c r="R3044" s="7"/>
      <c r="S3044" s="6"/>
      <c r="T3044" s="6"/>
      <c r="U3044" s="7"/>
      <c r="V3044" s="6"/>
      <c r="W3044" s="6"/>
      <c r="X3044" s="12"/>
      <c r="Y3044" s="6"/>
      <c r="Z3044" s="6"/>
      <c r="AA3044" s="7"/>
      <c r="AB3044" s="6"/>
      <c r="AC3044" s="6"/>
      <c r="AD3044" s="6"/>
      <c r="AE3044" s="12"/>
      <c r="AF3044" s="12"/>
      <c r="AG3044" s="12"/>
      <c r="AH3044" s="12"/>
      <c r="AI3044" s="6"/>
      <c r="AJ3044" s="12"/>
      <c r="AK3044" s="24"/>
      <c r="AL3044" s="25"/>
      <c r="AM3044" s="12"/>
      <c r="AN3044" s="1"/>
      <c r="AO3044" s="6"/>
    </row>
    <row r="3045" spans="1:41" ht="15" x14ac:dyDescent="0.25">
      <c r="A3045" s="1"/>
      <c r="B3045" s="1"/>
      <c r="C3045" s="1"/>
      <c r="D3045" s="1"/>
      <c r="E3045" s="6"/>
      <c r="F3045" s="1"/>
      <c r="G3045" s="6"/>
      <c r="H3045" s="6"/>
      <c r="I3045" s="6"/>
      <c r="J3045" s="6"/>
      <c r="K3045" s="6"/>
      <c r="L3045" s="6"/>
      <c r="M3045" s="6"/>
      <c r="N3045" s="6"/>
      <c r="O3045" s="7"/>
      <c r="P3045" s="6"/>
      <c r="Q3045" s="6"/>
      <c r="R3045" s="7"/>
      <c r="S3045" s="6"/>
      <c r="T3045" s="6"/>
      <c r="U3045" s="7"/>
      <c r="V3045" s="6"/>
      <c r="W3045" s="6"/>
      <c r="X3045" s="6"/>
      <c r="Y3045" s="6"/>
      <c r="Z3045" s="6"/>
      <c r="AA3045" s="7"/>
      <c r="AB3045" s="6"/>
      <c r="AC3045" s="6"/>
      <c r="AD3045" s="6"/>
      <c r="AE3045" s="12"/>
      <c r="AF3045" s="6"/>
      <c r="AG3045" s="12"/>
      <c r="AH3045" s="6"/>
      <c r="AI3045" s="6"/>
      <c r="AJ3045" s="12"/>
      <c r="AK3045" s="1"/>
      <c r="AL3045" s="12"/>
      <c r="AM3045" s="12"/>
      <c r="AN3045" s="1"/>
      <c r="AO3045" s="6"/>
    </row>
    <row r="3046" spans="1:41" ht="15" x14ac:dyDescent="0.25">
      <c r="A3046" s="1"/>
      <c r="B3046" s="1"/>
      <c r="C3046" s="1"/>
      <c r="D3046" s="1"/>
      <c r="E3046" s="6"/>
      <c r="F3046" s="1"/>
      <c r="G3046" s="6"/>
      <c r="H3046" s="6"/>
      <c r="I3046" s="6"/>
      <c r="J3046" s="6"/>
      <c r="K3046" s="6"/>
      <c r="L3046" s="6"/>
      <c r="M3046" s="6"/>
      <c r="N3046" s="6"/>
      <c r="O3046" s="7"/>
      <c r="P3046" s="6"/>
      <c r="Q3046" s="6"/>
      <c r="R3046" s="7"/>
      <c r="S3046" s="6"/>
      <c r="T3046" s="6"/>
      <c r="U3046" s="7"/>
      <c r="V3046" s="6"/>
      <c r="W3046" s="6"/>
      <c r="X3046" s="12"/>
      <c r="Y3046" s="6"/>
      <c r="Z3046" s="6"/>
      <c r="AA3046" s="7"/>
      <c r="AB3046" s="6"/>
      <c r="AC3046" s="6"/>
      <c r="AD3046" s="6"/>
      <c r="AE3046" s="12"/>
      <c r="AF3046" s="6"/>
      <c r="AG3046" s="12"/>
      <c r="AH3046" s="6"/>
      <c r="AI3046" s="6"/>
      <c r="AJ3046" s="12"/>
      <c r="AK3046" s="24"/>
      <c r="AL3046" s="25"/>
      <c r="AM3046" s="12"/>
      <c r="AN3046" s="1"/>
      <c r="AO3046" s="6"/>
    </row>
    <row r="3047" spans="1:41" ht="15" x14ac:dyDescent="0.25">
      <c r="A3047" s="1"/>
      <c r="B3047" s="1"/>
      <c r="C3047" s="1"/>
      <c r="D3047" s="1"/>
      <c r="E3047" s="6"/>
      <c r="F3047" s="1"/>
      <c r="G3047" s="6"/>
      <c r="H3047" s="6"/>
      <c r="I3047" s="6"/>
      <c r="J3047" s="6"/>
      <c r="K3047" s="6"/>
      <c r="L3047" s="6"/>
      <c r="M3047" s="6"/>
      <c r="N3047" s="6"/>
      <c r="O3047" s="7"/>
      <c r="P3047" s="6"/>
      <c r="Q3047" s="6"/>
      <c r="R3047" s="7"/>
      <c r="S3047" s="6"/>
      <c r="T3047" s="6"/>
      <c r="U3047" s="7"/>
      <c r="V3047" s="6"/>
      <c r="W3047" s="6"/>
      <c r="X3047" s="6"/>
      <c r="Y3047" s="6"/>
      <c r="Z3047" s="6"/>
      <c r="AA3047" s="7"/>
      <c r="AB3047" s="6"/>
      <c r="AC3047" s="6"/>
      <c r="AD3047" s="6"/>
      <c r="AE3047" s="12"/>
      <c r="AF3047" s="12"/>
      <c r="AG3047" s="12"/>
      <c r="AH3047" s="12"/>
      <c r="AI3047" s="6"/>
      <c r="AJ3047" s="12"/>
      <c r="AK3047" s="1"/>
      <c r="AL3047" s="12"/>
      <c r="AM3047" s="12"/>
      <c r="AN3047" s="1"/>
      <c r="AO3047" s="6"/>
    </row>
    <row r="3048" spans="1:41" ht="15" x14ac:dyDescent="0.25">
      <c r="A3048" s="1"/>
      <c r="B3048" s="1"/>
      <c r="C3048" s="1"/>
      <c r="D3048" s="1"/>
      <c r="E3048" s="6"/>
      <c r="F3048" s="1"/>
      <c r="G3048" s="6"/>
      <c r="H3048" s="6"/>
      <c r="I3048" s="6"/>
      <c r="J3048" s="6"/>
      <c r="K3048" s="6"/>
      <c r="L3048" s="6"/>
      <c r="M3048" s="6"/>
      <c r="N3048" s="6"/>
      <c r="O3048" s="7"/>
      <c r="P3048" s="6"/>
      <c r="Q3048" s="6"/>
      <c r="R3048" s="7"/>
      <c r="S3048" s="6"/>
      <c r="T3048" s="6"/>
      <c r="U3048" s="7"/>
      <c r="V3048" s="6"/>
      <c r="W3048" s="6"/>
      <c r="X3048" s="12"/>
      <c r="Y3048" s="6"/>
      <c r="Z3048" s="6"/>
      <c r="AA3048" s="7"/>
      <c r="AB3048" s="6"/>
      <c r="AC3048" s="6"/>
      <c r="AD3048" s="6"/>
      <c r="AE3048" s="12"/>
      <c r="AF3048" s="6"/>
      <c r="AG3048" s="12"/>
      <c r="AH3048" s="6"/>
      <c r="AI3048" s="6"/>
      <c r="AJ3048" s="12"/>
      <c r="AK3048" s="24"/>
      <c r="AL3048" s="25"/>
      <c r="AM3048" s="12"/>
      <c r="AN3048" s="1"/>
      <c r="AO3048" s="6"/>
    </row>
    <row r="3049" spans="1:41" ht="15" x14ac:dyDescent="0.25">
      <c r="A3049" s="1"/>
      <c r="B3049" s="1"/>
      <c r="C3049" s="1"/>
      <c r="D3049" s="1"/>
      <c r="E3049" s="6"/>
      <c r="F3049" s="1"/>
      <c r="G3049" s="6"/>
      <c r="H3049" s="6"/>
      <c r="I3049" s="6"/>
      <c r="J3049" s="6"/>
      <c r="K3049" s="6"/>
      <c r="L3049" s="6"/>
      <c r="M3049" s="6"/>
      <c r="N3049" s="6"/>
      <c r="O3049" s="7"/>
      <c r="P3049" s="6"/>
      <c r="Q3049" s="7"/>
      <c r="R3049" s="6"/>
      <c r="S3049" s="6"/>
      <c r="T3049" s="6"/>
      <c r="U3049" s="6"/>
      <c r="V3049" s="7"/>
      <c r="W3049" s="7"/>
      <c r="X3049" s="6"/>
      <c r="Y3049" s="6"/>
      <c r="Z3049" s="6"/>
      <c r="AA3049" s="1"/>
      <c r="AB3049" s="12"/>
      <c r="AC3049" s="12"/>
      <c r="AD3049" s="12"/>
      <c r="AE3049" s="12"/>
      <c r="AF3049" s="12"/>
      <c r="AG3049" s="12"/>
      <c r="AH3049" s="12"/>
      <c r="AI3049" s="6"/>
      <c r="AJ3049" s="12"/>
      <c r="AK3049" s="12"/>
      <c r="AL3049" s="12"/>
      <c r="AM3049" s="12"/>
      <c r="AN3049" s="1"/>
      <c r="AO3049" s="6"/>
    </row>
    <row r="3050" spans="1:41" ht="15" x14ac:dyDescent="0.25">
      <c r="A3050" s="1"/>
      <c r="B3050" s="1"/>
      <c r="C3050" s="1"/>
      <c r="D3050" s="1"/>
      <c r="E3050" s="6"/>
      <c r="F3050" s="1"/>
      <c r="G3050" s="6"/>
      <c r="H3050" s="6"/>
      <c r="I3050" s="6"/>
      <c r="J3050" s="6"/>
      <c r="K3050" s="12"/>
      <c r="L3050" s="12"/>
      <c r="M3050" s="6"/>
      <c r="N3050" s="6"/>
      <c r="O3050" s="7"/>
      <c r="P3050" s="6"/>
      <c r="Q3050" s="6"/>
      <c r="R3050" s="7"/>
      <c r="S3050" s="6"/>
      <c r="T3050" s="6"/>
      <c r="U3050" s="7"/>
      <c r="V3050" s="6"/>
      <c r="W3050" s="6"/>
      <c r="X3050" s="12"/>
      <c r="Y3050" s="6"/>
      <c r="Z3050" s="6"/>
      <c r="AA3050" s="7"/>
      <c r="AB3050" s="6"/>
      <c r="AC3050" s="6"/>
      <c r="AD3050" s="6"/>
      <c r="AE3050" s="12"/>
      <c r="AF3050" s="12"/>
      <c r="AG3050" s="12"/>
      <c r="AH3050" s="12"/>
      <c r="AI3050" s="6"/>
      <c r="AJ3050" s="12"/>
      <c r="AK3050" s="24"/>
      <c r="AL3050" s="25"/>
      <c r="AM3050" s="12"/>
      <c r="AN3050" s="1"/>
      <c r="AO3050" s="6"/>
    </row>
    <row r="3051" spans="1:41" ht="15" x14ac:dyDescent="0.25">
      <c r="A3051" s="1"/>
      <c r="B3051" s="1"/>
      <c r="C3051" s="1"/>
      <c r="D3051" s="1"/>
      <c r="E3051" s="6"/>
      <c r="F3051" s="1"/>
      <c r="G3051" s="6"/>
      <c r="H3051" s="6"/>
      <c r="I3051" s="6"/>
      <c r="J3051" s="6"/>
      <c r="K3051" s="6"/>
      <c r="L3051" s="6"/>
      <c r="M3051" s="6"/>
      <c r="N3051" s="6"/>
      <c r="O3051" s="7"/>
      <c r="P3051" s="12"/>
      <c r="Q3051" s="6"/>
      <c r="R3051" s="7"/>
      <c r="S3051" s="6"/>
      <c r="T3051" s="6"/>
      <c r="U3051" s="7"/>
      <c r="V3051" s="6"/>
      <c r="W3051" s="6"/>
      <c r="X3051" s="12"/>
      <c r="Y3051" s="6"/>
      <c r="Z3051" s="6"/>
      <c r="AA3051" s="7"/>
      <c r="AB3051" s="6"/>
      <c r="AC3051" s="6"/>
      <c r="AD3051" s="6"/>
      <c r="AE3051" s="12"/>
      <c r="AF3051" s="12"/>
      <c r="AG3051" s="12"/>
      <c r="AH3051" s="12"/>
      <c r="AI3051" s="6"/>
      <c r="AJ3051" s="12"/>
      <c r="AK3051" s="24"/>
      <c r="AL3051" s="25"/>
      <c r="AM3051" s="12"/>
      <c r="AN3051" s="1"/>
      <c r="AO3051" s="6"/>
    </row>
    <row r="3052" spans="1:41" ht="15" x14ac:dyDescent="0.25">
      <c r="A3052" s="1"/>
      <c r="B3052" s="1"/>
      <c r="C3052" s="1"/>
      <c r="D3052" s="1"/>
      <c r="E3052" s="6"/>
      <c r="F3052" s="1"/>
      <c r="G3052" s="6"/>
      <c r="H3052" s="6"/>
      <c r="I3052" s="6"/>
      <c r="J3052" s="6"/>
      <c r="K3052" s="6"/>
      <c r="L3052" s="6"/>
      <c r="M3052" s="6"/>
      <c r="N3052" s="6"/>
      <c r="O3052" s="7"/>
      <c r="P3052" s="6"/>
      <c r="Q3052" s="6"/>
      <c r="R3052" s="7"/>
      <c r="S3052" s="6"/>
      <c r="T3052" s="6"/>
      <c r="U3052" s="7"/>
      <c r="V3052" s="6"/>
      <c r="W3052" s="6"/>
      <c r="X3052" s="6"/>
      <c r="Y3052" s="6"/>
      <c r="Z3052" s="6"/>
      <c r="AA3052" s="7"/>
      <c r="AB3052" s="6"/>
      <c r="AC3052" s="6"/>
      <c r="AD3052" s="6"/>
      <c r="AE3052" s="12"/>
      <c r="AF3052" s="12"/>
      <c r="AG3052" s="12"/>
      <c r="AH3052" s="12"/>
      <c r="AI3052" s="6"/>
      <c r="AJ3052" s="12"/>
      <c r="AK3052" s="1"/>
      <c r="AL3052" s="12"/>
      <c r="AM3052" s="12"/>
      <c r="AN3052" s="1"/>
      <c r="AO3052" s="6"/>
    </row>
    <row r="3053" spans="1:41" ht="15" x14ac:dyDescent="0.25">
      <c r="A3053" s="1"/>
      <c r="B3053" s="1"/>
      <c r="C3053" s="1"/>
      <c r="D3053" s="1"/>
      <c r="E3053" s="6"/>
      <c r="F3053" s="1"/>
      <c r="G3053" s="6"/>
      <c r="H3053" s="6"/>
      <c r="I3053" s="6"/>
      <c r="J3053" s="6"/>
      <c r="K3053" s="12"/>
      <c r="L3053" s="12"/>
      <c r="M3053" s="6"/>
      <c r="N3053" s="6"/>
      <c r="O3053" s="7"/>
      <c r="P3053" s="6"/>
      <c r="Q3053" s="6"/>
      <c r="R3053" s="7"/>
      <c r="S3053" s="6"/>
      <c r="T3053" s="6"/>
      <c r="U3053" s="7"/>
      <c r="V3053" s="6"/>
      <c r="W3053" s="6"/>
      <c r="X3053" s="12"/>
      <c r="Y3053" s="6"/>
      <c r="Z3053" s="6"/>
      <c r="AA3053" s="7"/>
      <c r="AB3053" s="6"/>
      <c r="AC3053" s="6"/>
      <c r="AD3053" s="6"/>
      <c r="AE3053" s="12"/>
      <c r="AF3053" s="12"/>
      <c r="AG3053" s="12"/>
      <c r="AH3053" s="12"/>
      <c r="AI3053" s="6"/>
      <c r="AJ3053" s="12"/>
      <c r="AK3053" s="1"/>
      <c r="AL3053" s="12"/>
      <c r="AM3053" s="12"/>
      <c r="AN3053" s="1"/>
      <c r="AO3053" s="6"/>
    </row>
    <row r="3054" spans="1:41" ht="15" x14ac:dyDescent="0.25">
      <c r="A3054" s="1"/>
      <c r="B3054" s="1"/>
      <c r="C3054" s="1"/>
      <c r="D3054" s="1"/>
      <c r="E3054" s="6"/>
      <c r="F3054" s="1"/>
      <c r="G3054" s="6"/>
      <c r="H3054" s="6"/>
      <c r="I3054" s="6"/>
      <c r="J3054" s="6"/>
      <c r="K3054" s="12"/>
      <c r="L3054" s="12"/>
      <c r="M3054" s="6"/>
      <c r="N3054" s="6"/>
      <c r="O3054" s="7"/>
      <c r="P3054" s="6"/>
      <c r="Q3054" s="6"/>
      <c r="R3054" s="7"/>
      <c r="S3054" s="6"/>
      <c r="T3054" s="6"/>
      <c r="U3054" s="7"/>
      <c r="V3054" s="6"/>
      <c r="W3054" s="6"/>
      <c r="X3054" s="12"/>
      <c r="Y3054" s="6"/>
      <c r="Z3054" s="6"/>
      <c r="AA3054" s="7"/>
      <c r="AB3054" s="6"/>
      <c r="AC3054" s="6"/>
      <c r="AD3054" s="6"/>
      <c r="AE3054" s="12"/>
      <c r="AF3054" s="12"/>
      <c r="AG3054" s="12"/>
      <c r="AH3054" s="12"/>
      <c r="AI3054" s="6"/>
      <c r="AJ3054" s="12"/>
      <c r="AK3054" s="1"/>
      <c r="AL3054" s="12"/>
      <c r="AM3054" s="12"/>
      <c r="AN3054" s="1"/>
      <c r="AO3054" s="12"/>
    </row>
    <row r="3055" spans="1:41" ht="15" x14ac:dyDescent="0.25">
      <c r="A3055" s="1"/>
      <c r="B3055" s="1"/>
      <c r="C3055" s="1"/>
      <c r="D3055" s="1"/>
      <c r="E3055" s="6"/>
      <c r="F3055" s="1"/>
      <c r="G3055" s="6"/>
      <c r="H3055" s="6"/>
      <c r="I3055" s="6"/>
      <c r="J3055" s="6"/>
      <c r="K3055" s="12"/>
      <c r="L3055" s="12"/>
      <c r="M3055" s="6"/>
      <c r="N3055" s="6"/>
      <c r="O3055" s="7"/>
      <c r="P3055" s="6"/>
      <c r="Q3055" s="6"/>
      <c r="R3055" s="7"/>
      <c r="S3055" s="6"/>
      <c r="T3055" s="6"/>
      <c r="U3055" s="7"/>
      <c r="V3055" s="6"/>
      <c r="W3055" s="6"/>
      <c r="X3055" s="12"/>
      <c r="Y3055" s="6"/>
      <c r="Z3055" s="6"/>
      <c r="AA3055" s="7"/>
      <c r="AB3055" s="6"/>
      <c r="AC3055" s="6"/>
      <c r="AD3055" s="6"/>
      <c r="AE3055" s="12"/>
      <c r="AF3055" s="12"/>
      <c r="AG3055" s="12"/>
      <c r="AH3055" s="12"/>
      <c r="AI3055" s="6"/>
      <c r="AJ3055" s="12"/>
      <c r="AK3055" s="1"/>
      <c r="AL3055" s="12"/>
      <c r="AM3055" s="12"/>
      <c r="AN3055" s="1"/>
      <c r="AO3055" s="12"/>
    </row>
    <row r="3056" spans="1:41" ht="15" x14ac:dyDescent="0.25">
      <c r="A3056" s="1"/>
      <c r="B3056" s="1"/>
      <c r="C3056" s="1"/>
      <c r="D3056" s="1"/>
      <c r="E3056" s="6"/>
      <c r="F3056" s="1"/>
      <c r="G3056" s="6"/>
      <c r="H3056" s="6"/>
      <c r="I3056" s="6"/>
      <c r="J3056" s="6"/>
      <c r="K3056" s="6"/>
      <c r="L3056" s="6"/>
      <c r="M3056" s="6"/>
      <c r="N3056" s="6"/>
      <c r="O3056" s="7"/>
      <c r="P3056" s="6"/>
      <c r="Q3056" s="6"/>
      <c r="R3056" s="7"/>
      <c r="S3056" s="6"/>
      <c r="T3056" s="6"/>
      <c r="U3056" s="7"/>
      <c r="V3056" s="6"/>
      <c r="W3056" s="6"/>
      <c r="X3056" s="6"/>
      <c r="Y3056" s="6"/>
      <c r="Z3056" s="6"/>
      <c r="AA3056" s="7"/>
      <c r="AB3056" s="6"/>
      <c r="AC3056" s="6"/>
      <c r="AD3056" s="6"/>
      <c r="AE3056" s="12"/>
      <c r="AF3056" s="12"/>
      <c r="AG3056" s="12"/>
      <c r="AH3056" s="12"/>
      <c r="AI3056" s="6"/>
      <c r="AJ3056" s="12"/>
      <c r="AK3056" s="1"/>
      <c r="AL3056" s="12"/>
      <c r="AM3056" s="12"/>
      <c r="AN3056" s="1"/>
      <c r="AO3056" s="6"/>
    </row>
    <row r="3057" spans="1:41" ht="15" x14ac:dyDescent="0.25">
      <c r="A3057" s="1"/>
      <c r="B3057" s="1"/>
      <c r="C3057" s="1"/>
      <c r="D3057" s="1"/>
      <c r="E3057" s="6"/>
      <c r="F3057" s="1"/>
      <c r="G3057" s="6"/>
      <c r="H3057" s="6"/>
      <c r="I3057" s="6"/>
      <c r="J3057" s="6"/>
      <c r="K3057" s="6"/>
      <c r="L3057" s="6"/>
      <c r="M3057" s="6"/>
      <c r="N3057" s="6"/>
      <c r="O3057" s="7"/>
      <c r="P3057" s="6"/>
      <c r="Q3057" s="6"/>
      <c r="R3057" s="7"/>
      <c r="S3057" s="6"/>
      <c r="T3057" s="6"/>
      <c r="U3057" s="7"/>
      <c r="V3057" s="6"/>
      <c r="W3057" s="6"/>
      <c r="X3057" s="6"/>
      <c r="Y3057" s="6"/>
      <c r="Z3057" s="6"/>
      <c r="AA3057" s="7"/>
      <c r="AB3057" s="6"/>
      <c r="AC3057" s="6"/>
      <c r="AD3057" s="6"/>
      <c r="AE3057" s="12"/>
      <c r="AF3057" s="12"/>
      <c r="AG3057" s="12"/>
      <c r="AH3057" s="12"/>
      <c r="AI3057" s="6"/>
      <c r="AJ3057" s="12"/>
      <c r="AK3057" s="1"/>
      <c r="AL3057" s="12"/>
      <c r="AM3057" s="12"/>
      <c r="AN3057" s="1"/>
      <c r="AO3057" s="6"/>
    </row>
    <row r="3058" spans="1:41" ht="15" x14ac:dyDescent="0.25">
      <c r="A3058" s="1"/>
      <c r="B3058" s="1"/>
      <c r="C3058" s="1"/>
      <c r="D3058" s="1"/>
      <c r="E3058" s="6"/>
      <c r="F3058" s="1"/>
      <c r="G3058" s="6"/>
      <c r="H3058" s="6"/>
      <c r="I3058" s="6"/>
      <c r="J3058" s="6"/>
      <c r="K3058" s="6"/>
      <c r="L3058" s="6"/>
      <c r="M3058" s="6"/>
      <c r="N3058" s="6"/>
      <c r="O3058" s="7"/>
      <c r="P3058" s="6"/>
      <c r="Q3058" s="6"/>
      <c r="R3058" s="7"/>
      <c r="S3058" s="6"/>
      <c r="T3058" s="6"/>
      <c r="U3058" s="7"/>
      <c r="V3058" s="6"/>
      <c r="W3058" s="6"/>
      <c r="X3058" s="6"/>
      <c r="Y3058" s="6"/>
      <c r="Z3058" s="6"/>
      <c r="AA3058" s="7"/>
      <c r="AB3058" s="6"/>
      <c r="AC3058" s="6"/>
      <c r="AD3058" s="6"/>
      <c r="AE3058" s="12"/>
      <c r="AF3058" s="12"/>
      <c r="AG3058" s="12"/>
      <c r="AH3058" s="12"/>
      <c r="AI3058" s="6"/>
      <c r="AJ3058" s="12"/>
      <c r="AK3058" s="1"/>
      <c r="AL3058" s="12"/>
      <c r="AM3058" s="12"/>
      <c r="AN3058" s="1"/>
      <c r="AO3058" s="6"/>
    </row>
    <row r="3059" spans="1:41" ht="15" x14ac:dyDescent="0.25">
      <c r="A3059" s="1"/>
      <c r="B3059" s="1"/>
      <c r="C3059" s="1"/>
      <c r="D3059" s="1"/>
      <c r="E3059" s="6"/>
      <c r="F3059" s="1"/>
      <c r="G3059" s="6"/>
      <c r="H3059" s="6"/>
      <c r="I3059" s="6"/>
      <c r="J3059" s="6"/>
      <c r="K3059" s="6"/>
      <c r="L3059" s="6"/>
      <c r="M3059" s="6"/>
      <c r="N3059" s="6"/>
      <c r="O3059" s="7"/>
      <c r="P3059" s="6"/>
      <c r="Q3059" s="6"/>
      <c r="R3059" s="7"/>
      <c r="S3059" s="6"/>
      <c r="T3059" s="6"/>
      <c r="U3059" s="7"/>
      <c r="V3059" s="6"/>
      <c r="W3059" s="6"/>
      <c r="X3059" s="6"/>
      <c r="Y3059" s="6"/>
      <c r="Z3059" s="6"/>
      <c r="AA3059" s="7"/>
      <c r="AB3059" s="6"/>
      <c r="AC3059" s="6"/>
      <c r="AD3059" s="6"/>
      <c r="AE3059" s="12"/>
      <c r="AF3059" s="6"/>
      <c r="AG3059" s="12"/>
      <c r="AH3059" s="6"/>
      <c r="AI3059" s="6"/>
      <c r="AJ3059" s="12"/>
      <c r="AK3059" s="1"/>
      <c r="AL3059" s="12"/>
      <c r="AM3059" s="12"/>
      <c r="AN3059" s="1"/>
      <c r="AO3059" s="6"/>
    </row>
    <row r="3060" spans="1:41" ht="15" x14ac:dyDescent="0.25">
      <c r="A3060" s="1"/>
      <c r="B3060" s="1"/>
      <c r="C3060" s="1"/>
      <c r="D3060" s="1"/>
      <c r="E3060" s="6"/>
      <c r="F3060" s="1"/>
      <c r="G3060" s="6"/>
      <c r="H3060" s="6"/>
      <c r="I3060" s="6"/>
      <c r="J3060" s="6"/>
      <c r="K3060" s="6"/>
      <c r="L3060" s="6"/>
      <c r="M3060" s="6"/>
      <c r="N3060" s="6"/>
      <c r="O3060" s="7"/>
      <c r="P3060" s="6"/>
      <c r="Q3060" s="7"/>
      <c r="R3060" s="6"/>
      <c r="S3060" s="6"/>
      <c r="T3060" s="6"/>
      <c r="U3060" s="6"/>
      <c r="V3060" s="7"/>
      <c r="W3060" s="7"/>
      <c r="X3060" s="6"/>
      <c r="Y3060" s="6"/>
      <c r="Z3060" s="6"/>
      <c r="AA3060" s="1"/>
      <c r="AB3060" s="12"/>
      <c r="AC3060" s="12"/>
      <c r="AD3060" s="12"/>
      <c r="AE3060" s="12"/>
      <c r="AF3060" s="12"/>
      <c r="AG3060" s="12"/>
      <c r="AH3060" s="12"/>
      <c r="AI3060" s="6"/>
      <c r="AJ3060" s="12"/>
      <c r="AK3060" s="12"/>
      <c r="AL3060" s="12"/>
      <c r="AM3060" s="12"/>
      <c r="AN3060" s="1"/>
      <c r="AO3060" s="6"/>
    </row>
    <row r="3061" spans="1:41" ht="15" x14ac:dyDescent="0.25">
      <c r="A3061" s="1"/>
      <c r="B3061" s="1"/>
      <c r="C3061" s="1"/>
      <c r="D3061" s="1"/>
      <c r="E3061" s="6"/>
      <c r="F3061" s="1"/>
      <c r="G3061" s="6"/>
      <c r="H3061" s="6"/>
      <c r="I3061" s="6"/>
      <c r="J3061" s="6"/>
      <c r="K3061" s="6"/>
      <c r="L3061" s="6"/>
      <c r="M3061" s="6"/>
      <c r="N3061" s="6"/>
      <c r="O3061" s="7"/>
      <c r="P3061" s="6"/>
      <c r="Q3061" s="6"/>
      <c r="R3061" s="7"/>
      <c r="S3061" s="6"/>
      <c r="T3061" s="6"/>
      <c r="U3061" s="7"/>
      <c r="V3061" s="6"/>
      <c r="W3061" s="6"/>
      <c r="X3061" s="12"/>
      <c r="Y3061" s="6"/>
      <c r="Z3061" s="6"/>
      <c r="AA3061" s="7"/>
      <c r="AB3061" s="6"/>
      <c r="AC3061" s="6"/>
      <c r="AD3061" s="6"/>
      <c r="AE3061" s="12"/>
      <c r="AF3061" s="12"/>
      <c r="AG3061" s="12"/>
      <c r="AH3061" s="12"/>
      <c r="AI3061" s="6"/>
      <c r="AJ3061" s="12"/>
      <c r="AK3061" s="24"/>
      <c r="AL3061" s="25"/>
      <c r="AM3061" s="12"/>
      <c r="AN3061" s="1"/>
      <c r="AO3061" s="6"/>
    </row>
    <row r="3062" spans="1:41" ht="15" x14ac:dyDescent="0.25">
      <c r="A3062" s="1"/>
      <c r="B3062" s="1"/>
      <c r="C3062" s="1"/>
      <c r="D3062" s="1"/>
      <c r="E3062" s="6"/>
      <c r="F3062" s="1"/>
      <c r="G3062" s="6"/>
      <c r="H3062" s="6"/>
      <c r="I3062" s="6"/>
      <c r="J3062" s="6"/>
      <c r="K3062" s="6"/>
      <c r="L3062" s="6"/>
      <c r="M3062" s="6"/>
      <c r="N3062" s="6"/>
      <c r="O3062" s="7"/>
      <c r="P3062" s="12"/>
      <c r="Q3062" s="6"/>
      <c r="R3062" s="7"/>
      <c r="S3062" s="6"/>
      <c r="T3062" s="6"/>
      <c r="U3062" s="7"/>
      <c r="V3062" s="6"/>
      <c r="W3062" s="6"/>
      <c r="X3062" s="6"/>
      <c r="Y3062" s="6"/>
      <c r="Z3062" s="6"/>
      <c r="AA3062" s="7"/>
      <c r="AB3062" s="6"/>
      <c r="AC3062" s="6"/>
      <c r="AD3062" s="6"/>
      <c r="AE3062" s="12"/>
      <c r="AF3062" s="6"/>
      <c r="AG3062" s="12"/>
      <c r="AH3062" s="6"/>
      <c r="AI3062" s="6"/>
      <c r="AJ3062" s="12"/>
      <c r="AK3062" s="24"/>
      <c r="AL3062" s="25"/>
      <c r="AM3062" s="12"/>
      <c r="AN3062" s="1"/>
      <c r="AO3062" s="6"/>
    </row>
    <row r="3063" spans="1:41" ht="15" x14ac:dyDescent="0.25">
      <c r="A3063" s="1"/>
      <c r="B3063" s="1"/>
      <c r="C3063" s="1"/>
      <c r="D3063" s="1"/>
      <c r="E3063" s="6"/>
      <c r="F3063" s="1"/>
      <c r="G3063" s="6"/>
      <c r="H3063" s="6"/>
      <c r="I3063" s="6"/>
      <c r="J3063" s="6"/>
      <c r="K3063" s="6"/>
      <c r="L3063" s="6"/>
      <c r="M3063" s="6"/>
      <c r="N3063" s="6"/>
      <c r="O3063" s="7"/>
      <c r="P3063" s="6"/>
      <c r="Q3063" s="6"/>
      <c r="R3063" s="7"/>
      <c r="S3063" s="6"/>
      <c r="T3063" s="6"/>
      <c r="U3063" s="7"/>
      <c r="V3063" s="6"/>
      <c r="W3063" s="6"/>
      <c r="X3063" s="12"/>
      <c r="Y3063" s="6"/>
      <c r="Z3063" s="6"/>
      <c r="AA3063" s="7"/>
      <c r="AB3063" s="6"/>
      <c r="AC3063" s="6"/>
      <c r="AD3063" s="6"/>
      <c r="AE3063" s="12"/>
      <c r="AF3063" s="12"/>
      <c r="AG3063" s="12"/>
      <c r="AH3063" s="12"/>
      <c r="AI3063" s="6"/>
      <c r="AJ3063" s="12"/>
      <c r="AK3063" s="24"/>
      <c r="AL3063" s="25"/>
      <c r="AM3063" s="12"/>
      <c r="AN3063" s="1"/>
      <c r="AO3063" s="6"/>
    </row>
    <row r="3064" spans="1:41" ht="15" x14ac:dyDescent="0.25">
      <c r="A3064" s="1"/>
      <c r="B3064" s="1"/>
      <c r="C3064" s="1"/>
      <c r="D3064" s="1"/>
      <c r="E3064" s="6"/>
      <c r="F3064" s="1"/>
      <c r="G3064" s="6"/>
      <c r="H3064" s="6"/>
      <c r="I3064" s="6"/>
      <c r="J3064" s="6"/>
      <c r="K3064" s="6"/>
      <c r="L3064" s="6"/>
      <c r="M3064" s="6"/>
      <c r="N3064" s="6"/>
      <c r="O3064" s="7"/>
      <c r="P3064" s="6"/>
      <c r="Q3064" s="6"/>
      <c r="R3064" s="7"/>
      <c r="S3064" s="6"/>
      <c r="T3064" s="6"/>
      <c r="U3064" s="7"/>
      <c r="V3064" s="6"/>
      <c r="W3064" s="6"/>
      <c r="X3064" s="12"/>
      <c r="Y3064" s="6"/>
      <c r="Z3064" s="6"/>
      <c r="AA3064" s="7"/>
      <c r="AB3064" s="6"/>
      <c r="AC3064" s="6"/>
      <c r="AD3064" s="6"/>
      <c r="AE3064" s="12"/>
      <c r="AF3064" s="12"/>
      <c r="AG3064" s="12"/>
      <c r="AH3064" s="12"/>
      <c r="AI3064" s="6"/>
      <c r="AJ3064" s="12"/>
      <c r="AK3064" s="1"/>
      <c r="AL3064" s="12"/>
      <c r="AM3064" s="12"/>
      <c r="AN3064" s="1"/>
      <c r="AO3064" s="6"/>
    </row>
    <row r="3065" spans="1:41" ht="15" x14ac:dyDescent="0.25">
      <c r="A3065" s="1"/>
      <c r="B3065" s="1"/>
      <c r="C3065" s="1"/>
      <c r="D3065" s="1"/>
      <c r="E3065" s="6"/>
      <c r="F3065" s="1"/>
      <c r="G3065" s="6"/>
      <c r="H3065" s="6"/>
      <c r="I3065" s="6"/>
      <c r="J3065" s="6"/>
      <c r="K3065" s="12"/>
      <c r="L3065" s="6"/>
      <c r="M3065" s="6"/>
      <c r="N3065" s="6"/>
      <c r="O3065" s="7"/>
      <c r="P3065" s="6"/>
      <c r="Q3065" s="6"/>
      <c r="R3065" s="7"/>
      <c r="S3065" s="6"/>
      <c r="T3065" s="6"/>
      <c r="U3065" s="7"/>
      <c r="V3065" s="6"/>
      <c r="W3065" s="6"/>
      <c r="X3065" s="6"/>
      <c r="Y3065" s="6"/>
      <c r="Z3065" s="6"/>
      <c r="AA3065" s="7"/>
      <c r="AB3065" s="6"/>
      <c r="AC3065" s="6"/>
      <c r="AD3065" s="6"/>
      <c r="AE3065" s="12"/>
      <c r="AF3065" s="6"/>
      <c r="AG3065" s="12"/>
      <c r="AH3065" s="6"/>
      <c r="AI3065" s="6"/>
      <c r="AJ3065" s="12"/>
      <c r="AK3065" s="24"/>
      <c r="AL3065" s="25"/>
      <c r="AM3065" s="12"/>
      <c r="AN3065" s="1"/>
      <c r="AO3065" s="12"/>
    </row>
    <row r="3066" spans="1:41" ht="15" x14ac:dyDescent="0.25">
      <c r="A3066" s="1"/>
      <c r="B3066" s="1"/>
      <c r="C3066" s="1"/>
      <c r="D3066" s="1"/>
      <c r="E3066" s="6"/>
      <c r="F3066" s="1"/>
      <c r="G3066" s="6"/>
      <c r="H3066" s="6"/>
      <c r="I3066" s="6"/>
      <c r="J3066" s="6"/>
      <c r="K3066" s="12"/>
      <c r="L3066" s="12"/>
      <c r="M3066" s="6"/>
      <c r="N3066" s="6"/>
      <c r="O3066" s="7"/>
      <c r="P3066" s="6"/>
      <c r="Q3066" s="6"/>
      <c r="R3066" s="12"/>
      <c r="S3066" s="12"/>
      <c r="T3066" s="12"/>
      <c r="U3066" s="7"/>
      <c r="V3066" s="6"/>
      <c r="W3066" s="6"/>
      <c r="X3066" s="12"/>
      <c r="Y3066" s="6"/>
      <c r="Z3066" s="6"/>
      <c r="AA3066" s="7"/>
      <c r="AB3066" s="6"/>
      <c r="AC3066" s="6"/>
      <c r="AD3066" s="6"/>
      <c r="AE3066" s="12"/>
      <c r="AF3066" s="12"/>
      <c r="AG3066" s="12"/>
      <c r="AH3066" s="12"/>
      <c r="AI3066" s="6"/>
      <c r="AJ3066" s="12"/>
      <c r="AK3066" s="1"/>
      <c r="AL3066" s="12"/>
      <c r="AM3066" s="12"/>
      <c r="AN3066" s="1"/>
      <c r="AO3066" s="6"/>
    </row>
    <row r="3067" spans="1:41" ht="15" x14ac:dyDescent="0.25">
      <c r="A3067" s="1"/>
      <c r="B3067" s="1"/>
      <c r="C3067" s="1"/>
      <c r="D3067" s="1"/>
      <c r="E3067" s="6"/>
      <c r="F3067" s="1"/>
      <c r="G3067" s="6"/>
      <c r="H3067" s="6"/>
      <c r="I3067" s="6"/>
      <c r="J3067" s="6"/>
      <c r="K3067" s="6"/>
      <c r="L3067" s="6"/>
      <c r="M3067" s="6"/>
      <c r="N3067" s="6"/>
      <c r="O3067" s="7"/>
      <c r="P3067" s="6"/>
      <c r="Q3067" s="6"/>
      <c r="R3067" s="7"/>
      <c r="S3067" s="6"/>
      <c r="T3067" s="6"/>
      <c r="U3067" s="7"/>
      <c r="V3067" s="6"/>
      <c r="W3067" s="6"/>
      <c r="X3067" s="6"/>
      <c r="Y3067" s="6"/>
      <c r="Z3067" s="6"/>
      <c r="AA3067" s="15"/>
      <c r="AB3067" s="6"/>
      <c r="AC3067" s="6"/>
      <c r="AD3067" s="6"/>
      <c r="AE3067" s="12"/>
      <c r="AF3067" s="6"/>
      <c r="AG3067" s="12"/>
      <c r="AH3067" s="6"/>
      <c r="AI3067" s="6"/>
      <c r="AJ3067" s="12"/>
      <c r="AK3067" s="24"/>
      <c r="AL3067" s="25"/>
      <c r="AM3067" s="12"/>
      <c r="AN3067" s="1"/>
      <c r="AO3067" s="6"/>
    </row>
    <row r="3068" spans="1:41" ht="15" x14ac:dyDescent="0.25">
      <c r="A3068" s="1"/>
      <c r="B3068" s="1"/>
      <c r="C3068" s="1"/>
      <c r="D3068" s="1"/>
      <c r="E3068" s="6"/>
      <c r="F3068" s="1"/>
      <c r="G3068" s="6"/>
      <c r="H3068" s="6"/>
      <c r="I3068" s="6"/>
      <c r="J3068" s="6"/>
      <c r="K3068" s="6"/>
      <c r="L3068" s="6"/>
      <c r="M3068" s="6"/>
      <c r="N3068" s="6"/>
      <c r="O3068" s="7"/>
      <c r="P3068" s="6"/>
      <c r="Q3068" s="6"/>
      <c r="R3068" s="7"/>
      <c r="S3068" s="6"/>
      <c r="T3068" s="6"/>
      <c r="U3068" s="7"/>
      <c r="V3068" s="6"/>
      <c r="W3068" s="6"/>
      <c r="X3068" s="6"/>
      <c r="Y3068" s="6"/>
      <c r="Z3068" s="6"/>
      <c r="AA3068" s="7"/>
      <c r="AB3068" s="6"/>
      <c r="AC3068" s="6"/>
      <c r="AD3068" s="6"/>
      <c r="AE3068" s="12"/>
      <c r="AF3068" s="6"/>
      <c r="AG3068" s="12"/>
      <c r="AH3068" s="6"/>
      <c r="AI3068" s="6"/>
      <c r="AJ3068" s="12"/>
      <c r="AK3068" s="24"/>
      <c r="AL3068" s="25"/>
      <c r="AM3068" s="12"/>
      <c r="AN3068" s="1"/>
      <c r="AO3068" s="6"/>
    </row>
    <row r="3069" spans="1:41" ht="15" x14ac:dyDescent="0.25">
      <c r="A3069" s="1"/>
      <c r="B3069" s="1"/>
      <c r="C3069" s="1"/>
      <c r="D3069" s="1"/>
      <c r="E3069" s="6"/>
      <c r="F3069" s="1"/>
      <c r="G3069" s="6"/>
      <c r="H3069" s="6"/>
      <c r="I3069" s="6"/>
      <c r="J3069" s="6"/>
      <c r="K3069" s="6"/>
      <c r="L3069" s="6"/>
      <c r="M3069" s="6"/>
      <c r="N3069" s="6"/>
      <c r="O3069" s="7"/>
      <c r="P3069" s="6"/>
      <c r="Q3069" s="6"/>
      <c r="R3069" s="7"/>
      <c r="S3069" s="6"/>
      <c r="T3069" s="6"/>
      <c r="U3069" s="7"/>
      <c r="V3069" s="6"/>
      <c r="W3069" s="6"/>
      <c r="X3069" s="6"/>
      <c r="Y3069" s="6"/>
      <c r="Z3069" s="6"/>
      <c r="AA3069" s="7"/>
      <c r="AB3069" s="6"/>
      <c r="AC3069" s="6"/>
      <c r="AD3069" s="6"/>
      <c r="AE3069" s="12"/>
      <c r="AF3069" s="12"/>
      <c r="AG3069" s="12"/>
      <c r="AH3069" s="12"/>
      <c r="AI3069" s="6"/>
      <c r="AJ3069" s="12"/>
      <c r="AK3069" s="1"/>
      <c r="AL3069" s="12"/>
      <c r="AM3069" s="12"/>
      <c r="AN3069" s="1"/>
      <c r="AO3069" s="6"/>
    </row>
    <row r="3070" spans="1:41" ht="15" x14ac:dyDescent="0.25">
      <c r="A3070" s="1"/>
      <c r="B3070" s="1"/>
      <c r="C3070" s="1"/>
      <c r="D3070" s="1"/>
      <c r="E3070" s="6"/>
      <c r="F3070" s="1"/>
      <c r="G3070" s="6"/>
      <c r="H3070" s="6"/>
      <c r="I3070" s="6"/>
      <c r="J3070" s="6"/>
      <c r="K3070" s="6"/>
      <c r="L3070" s="6"/>
      <c r="M3070" s="6"/>
      <c r="N3070" s="6"/>
      <c r="O3070" s="7"/>
      <c r="P3070" s="6"/>
      <c r="Q3070" s="6"/>
      <c r="R3070" s="7"/>
      <c r="S3070" s="6"/>
      <c r="T3070" s="6"/>
      <c r="U3070" s="7"/>
      <c r="V3070" s="6"/>
      <c r="W3070" s="6"/>
      <c r="X3070" s="6"/>
      <c r="Y3070" s="6"/>
      <c r="Z3070" s="6"/>
      <c r="AA3070" s="7"/>
      <c r="AB3070" s="6"/>
      <c r="AC3070" s="6"/>
      <c r="AD3070" s="6"/>
      <c r="AE3070" s="12"/>
      <c r="AF3070" s="12"/>
      <c r="AG3070" s="12"/>
      <c r="AH3070" s="12"/>
      <c r="AI3070" s="6"/>
      <c r="AJ3070" s="12"/>
      <c r="AK3070" s="1"/>
      <c r="AL3070" s="12"/>
      <c r="AM3070" s="12"/>
      <c r="AN3070" s="1"/>
      <c r="AO3070" s="6"/>
    </row>
    <row r="3071" spans="1:41" ht="15" x14ac:dyDescent="0.25">
      <c r="A3071" s="1"/>
      <c r="B3071" s="1"/>
      <c r="C3071" s="1"/>
      <c r="D3071" s="1"/>
      <c r="E3071" s="6"/>
      <c r="F3071" s="1"/>
      <c r="G3071" s="6"/>
      <c r="H3071" s="6"/>
      <c r="I3071" s="6"/>
      <c r="J3071" s="6"/>
      <c r="K3071" s="6"/>
      <c r="L3071" s="6"/>
      <c r="M3071" s="6"/>
      <c r="N3071" s="6"/>
      <c r="O3071" s="7"/>
      <c r="P3071" s="6"/>
      <c r="Q3071" s="6"/>
      <c r="R3071" s="7"/>
      <c r="S3071" s="6"/>
      <c r="T3071" s="6"/>
      <c r="U3071" s="7"/>
      <c r="V3071" s="6"/>
      <c r="W3071" s="6"/>
      <c r="X3071" s="12"/>
      <c r="Y3071" s="6"/>
      <c r="Z3071" s="6"/>
      <c r="AA3071" s="7"/>
      <c r="AB3071" s="6"/>
      <c r="AC3071" s="6"/>
      <c r="AD3071" s="6"/>
      <c r="AE3071" s="12"/>
      <c r="AF3071" s="6"/>
      <c r="AG3071" s="12"/>
      <c r="AH3071" s="6"/>
      <c r="AI3071" s="6"/>
      <c r="AJ3071" s="12"/>
      <c r="AK3071" s="1"/>
      <c r="AL3071" s="12"/>
      <c r="AM3071" s="12"/>
      <c r="AN3071" s="1"/>
      <c r="AO3071" s="6"/>
    </row>
    <row r="3072" spans="1:41" ht="15" x14ac:dyDescent="0.25">
      <c r="A3072" s="1"/>
      <c r="B3072" s="1"/>
      <c r="C3072" s="1"/>
      <c r="D3072" s="1"/>
      <c r="E3072" s="6"/>
      <c r="F3072" s="1"/>
      <c r="G3072" s="6"/>
      <c r="H3072" s="6"/>
      <c r="I3072" s="6"/>
      <c r="J3072" s="6"/>
      <c r="K3072" s="6"/>
      <c r="L3072" s="6"/>
      <c r="M3072" s="6"/>
      <c r="N3072" s="6"/>
      <c r="O3072" s="7"/>
      <c r="P3072" s="6"/>
      <c r="Q3072" s="6"/>
      <c r="R3072" s="7"/>
      <c r="S3072" s="6"/>
      <c r="T3072" s="6"/>
      <c r="U3072" s="7"/>
      <c r="V3072" s="6"/>
      <c r="W3072" s="6"/>
      <c r="X3072" s="12"/>
      <c r="Y3072" s="6"/>
      <c r="Z3072" s="6"/>
      <c r="AA3072" s="7"/>
      <c r="AB3072" s="6"/>
      <c r="AC3072" s="6"/>
      <c r="AD3072" s="6"/>
      <c r="AE3072" s="12"/>
      <c r="AF3072" s="12"/>
      <c r="AG3072" s="12"/>
      <c r="AH3072" s="12"/>
      <c r="AI3072" s="6"/>
      <c r="AJ3072" s="12"/>
      <c r="AK3072" s="24"/>
      <c r="AL3072" s="25"/>
      <c r="AM3072" s="12"/>
      <c r="AN3072" s="1"/>
      <c r="AO3072" s="6"/>
    </row>
    <row r="3073" spans="1:41" ht="15" x14ac:dyDescent="0.25">
      <c r="A3073" s="1"/>
      <c r="B3073" s="1"/>
      <c r="C3073" s="1"/>
      <c r="D3073" s="1"/>
      <c r="E3073" s="6"/>
      <c r="F3073" s="1"/>
      <c r="G3073" s="6"/>
      <c r="H3073" s="6"/>
      <c r="I3073" s="6"/>
      <c r="J3073" s="6"/>
      <c r="K3073" s="6"/>
      <c r="L3073" s="6"/>
      <c r="M3073" s="6"/>
      <c r="N3073" s="6"/>
      <c r="O3073" s="7"/>
      <c r="P3073" s="6"/>
      <c r="Q3073" s="6"/>
      <c r="R3073" s="7"/>
      <c r="S3073" s="6"/>
      <c r="T3073" s="6"/>
      <c r="U3073" s="7"/>
      <c r="V3073" s="6"/>
      <c r="W3073" s="6"/>
      <c r="X3073" s="6"/>
      <c r="Y3073" s="6"/>
      <c r="Z3073" s="6"/>
      <c r="AA3073" s="7"/>
      <c r="AB3073" s="6"/>
      <c r="AC3073" s="6"/>
      <c r="AD3073" s="6"/>
      <c r="AE3073" s="12"/>
      <c r="AF3073" s="6"/>
      <c r="AG3073" s="12"/>
      <c r="AH3073" s="6"/>
      <c r="AI3073" s="6"/>
      <c r="AJ3073" s="12"/>
      <c r="AK3073" s="24"/>
      <c r="AL3073" s="25"/>
      <c r="AM3073" s="12"/>
      <c r="AN3073" s="1"/>
      <c r="AO3073" s="6"/>
    </row>
    <row r="3074" spans="1:41" ht="15" x14ac:dyDescent="0.25">
      <c r="A3074" s="1"/>
      <c r="B3074" s="1"/>
      <c r="C3074" s="1"/>
      <c r="D3074" s="1"/>
      <c r="E3074" s="6"/>
      <c r="F3074" s="1"/>
      <c r="G3074" s="6"/>
      <c r="H3074" s="6"/>
      <c r="I3074" s="6"/>
      <c r="J3074" s="6"/>
      <c r="K3074" s="6"/>
      <c r="L3074" s="6"/>
      <c r="M3074" s="6"/>
      <c r="N3074" s="6"/>
      <c r="O3074" s="7"/>
      <c r="P3074" s="12"/>
      <c r="Q3074" s="6"/>
      <c r="R3074" s="7"/>
      <c r="S3074" s="6"/>
      <c r="T3074" s="6"/>
      <c r="U3074" s="7"/>
      <c r="V3074" s="6"/>
      <c r="W3074" s="6"/>
      <c r="X3074" s="6"/>
      <c r="Y3074" s="6"/>
      <c r="Z3074" s="6"/>
      <c r="AA3074" s="7"/>
      <c r="AB3074" s="6"/>
      <c r="AC3074" s="6"/>
      <c r="AD3074" s="6"/>
      <c r="AE3074" s="12"/>
      <c r="AF3074" s="12"/>
      <c r="AG3074" s="12"/>
      <c r="AH3074" s="12"/>
      <c r="AI3074" s="6"/>
      <c r="AJ3074" s="12"/>
      <c r="AK3074" s="1"/>
      <c r="AL3074" s="12"/>
      <c r="AM3074" s="12"/>
      <c r="AN3074" s="1"/>
      <c r="AO3074" s="6"/>
    </row>
    <row r="3075" spans="1:41" ht="15" x14ac:dyDescent="0.25">
      <c r="A3075" s="1"/>
      <c r="B3075" s="1"/>
      <c r="C3075" s="1"/>
      <c r="D3075" s="1"/>
      <c r="E3075" s="6"/>
      <c r="F3075" s="1"/>
      <c r="G3075" s="6"/>
      <c r="H3075" s="6"/>
      <c r="I3075" s="6"/>
      <c r="J3075" s="6"/>
      <c r="K3075" s="6"/>
      <c r="L3075" s="6"/>
      <c r="M3075" s="6"/>
      <c r="N3075" s="6"/>
      <c r="O3075" s="7"/>
      <c r="P3075" s="6"/>
      <c r="Q3075" s="6"/>
      <c r="R3075" s="7"/>
      <c r="S3075" s="6"/>
      <c r="T3075" s="6"/>
      <c r="U3075" s="7"/>
      <c r="V3075" s="6"/>
      <c r="W3075" s="6"/>
      <c r="X3075" s="6"/>
      <c r="Y3075" s="6"/>
      <c r="Z3075" s="6"/>
      <c r="AA3075" s="7"/>
      <c r="AB3075" s="6"/>
      <c r="AC3075" s="6"/>
      <c r="AD3075" s="6"/>
      <c r="AE3075" s="12"/>
      <c r="AF3075" s="6"/>
      <c r="AG3075" s="12"/>
      <c r="AH3075" s="6"/>
      <c r="AI3075" s="6"/>
      <c r="AJ3075" s="12"/>
      <c r="AK3075" s="1"/>
      <c r="AL3075" s="12"/>
      <c r="AM3075" s="12"/>
      <c r="AN3075" s="1"/>
      <c r="AO3075" s="6"/>
    </row>
    <row r="3076" spans="1:41" ht="15" x14ac:dyDescent="0.25">
      <c r="A3076" s="1"/>
      <c r="B3076" s="1"/>
      <c r="C3076" s="1"/>
      <c r="D3076" s="1"/>
      <c r="E3076" s="6"/>
      <c r="F3076" s="1"/>
      <c r="G3076" s="6"/>
      <c r="H3076" s="6"/>
      <c r="I3076" s="6"/>
      <c r="J3076" s="6"/>
      <c r="K3076" s="6"/>
      <c r="L3076" s="6"/>
      <c r="M3076" s="6"/>
      <c r="N3076" s="6"/>
      <c r="O3076" s="7"/>
      <c r="P3076" s="6"/>
      <c r="Q3076" s="6"/>
      <c r="R3076" s="7"/>
      <c r="S3076" s="6"/>
      <c r="T3076" s="6"/>
      <c r="U3076" s="7"/>
      <c r="V3076" s="6"/>
      <c r="W3076" s="6"/>
      <c r="X3076" s="12"/>
      <c r="Y3076" s="6"/>
      <c r="Z3076" s="6"/>
      <c r="AA3076" s="7"/>
      <c r="AB3076" s="6"/>
      <c r="AC3076" s="6"/>
      <c r="AD3076" s="6"/>
      <c r="AE3076" s="12"/>
      <c r="AF3076" s="6"/>
      <c r="AG3076" s="12"/>
      <c r="AH3076" s="6"/>
      <c r="AI3076" s="6"/>
      <c r="AJ3076" s="12"/>
      <c r="AK3076" s="1"/>
      <c r="AL3076" s="12"/>
      <c r="AM3076" s="12"/>
      <c r="AN3076" s="1"/>
      <c r="AO3076" s="6"/>
    </row>
    <row r="3077" spans="1:41" ht="15" x14ac:dyDescent="0.25">
      <c r="A3077" s="1"/>
      <c r="B3077" s="1"/>
      <c r="C3077" s="1"/>
      <c r="D3077" s="1"/>
      <c r="E3077" s="6"/>
      <c r="F3077" s="1"/>
      <c r="G3077" s="6"/>
      <c r="H3077" s="6"/>
      <c r="I3077" s="6"/>
      <c r="J3077" s="6"/>
      <c r="K3077" s="6"/>
      <c r="L3077" s="6"/>
      <c r="M3077" s="6"/>
      <c r="N3077" s="6"/>
      <c r="O3077" s="7"/>
      <c r="P3077" s="6"/>
      <c r="Q3077" s="6"/>
      <c r="R3077" s="7"/>
      <c r="S3077" s="6"/>
      <c r="T3077" s="6"/>
      <c r="U3077" s="7"/>
      <c r="V3077" s="6"/>
      <c r="W3077" s="6"/>
      <c r="X3077" s="12"/>
      <c r="Y3077" s="6"/>
      <c r="Z3077" s="6"/>
      <c r="AA3077" s="7"/>
      <c r="AB3077" s="6"/>
      <c r="AC3077" s="6"/>
      <c r="AD3077" s="6"/>
      <c r="AE3077" s="12"/>
      <c r="AF3077" s="12"/>
      <c r="AG3077" s="12"/>
      <c r="AH3077" s="12"/>
      <c r="AI3077" s="6"/>
      <c r="AJ3077" s="12"/>
      <c r="AK3077" s="1"/>
      <c r="AL3077" s="12"/>
      <c r="AM3077" s="12"/>
      <c r="AN3077" s="1"/>
      <c r="AO3077" s="6"/>
    </row>
    <row r="3078" spans="1:41" ht="15" x14ac:dyDescent="0.25">
      <c r="A3078" s="1"/>
      <c r="B3078" s="1"/>
      <c r="C3078" s="1"/>
      <c r="D3078" s="1"/>
      <c r="E3078" s="6"/>
      <c r="F3078" s="1"/>
      <c r="G3078" s="6"/>
      <c r="H3078" s="6"/>
      <c r="I3078" s="6"/>
      <c r="J3078" s="6"/>
      <c r="K3078" s="6"/>
      <c r="L3078" s="6"/>
      <c r="M3078" s="6"/>
      <c r="N3078" s="6"/>
      <c r="O3078" s="7"/>
      <c r="P3078" s="6"/>
      <c r="Q3078" s="6"/>
      <c r="R3078" s="7"/>
      <c r="S3078" s="6"/>
      <c r="T3078" s="6"/>
      <c r="U3078" s="7"/>
      <c r="V3078" s="6"/>
      <c r="W3078" s="6"/>
      <c r="X3078" s="6"/>
      <c r="Y3078" s="6"/>
      <c r="Z3078" s="6"/>
      <c r="AA3078" s="7"/>
      <c r="AB3078" s="6"/>
      <c r="AC3078" s="6"/>
      <c r="AD3078" s="6"/>
      <c r="AE3078" s="12"/>
      <c r="AF3078" s="6"/>
      <c r="AG3078" s="12"/>
      <c r="AH3078" s="6"/>
      <c r="AI3078" s="6"/>
      <c r="AJ3078" s="12"/>
      <c r="AK3078" s="24"/>
      <c r="AL3078" s="25"/>
      <c r="AM3078" s="12"/>
      <c r="AN3078" s="1"/>
      <c r="AO3078" s="6"/>
    </row>
    <row r="3079" spans="1:41" ht="15" x14ac:dyDescent="0.25">
      <c r="A3079" s="1"/>
      <c r="B3079" s="1"/>
      <c r="C3079" s="1"/>
      <c r="D3079" s="1"/>
      <c r="E3079" s="6"/>
      <c r="F3079" s="1"/>
      <c r="G3079" s="6"/>
      <c r="H3079" s="6"/>
      <c r="I3079" s="6"/>
      <c r="J3079" s="6"/>
      <c r="K3079" s="6"/>
      <c r="L3079" s="6"/>
      <c r="M3079" s="6"/>
      <c r="N3079" s="6"/>
      <c r="O3079" s="7"/>
      <c r="P3079" s="6"/>
      <c r="Q3079" s="7"/>
      <c r="R3079" s="6"/>
      <c r="S3079" s="12"/>
      <c r="T3079" s="6"/>
      <c r="U3079" s="6"/>
      <c r="V3079" s="7"/>
      <c r="W3079" s="6"/>
      <c r="X3079" s="6"/>
      <c r="Y3079" s="6"/>
      <c r="Z3079" s="6"/>
      <c r="AA3079" s="24"/>
      <c r="AB3079" s="25"/>
      <c r="AC3079" s="12"/>
      <c r="AD3079" s="12"/>
      <c r="AE3079" s="12"/>
      <c r="AF3079" s="6"/>
      <c r="AG3079" s="12"/>
      <c r="AH3079" s="6"/>
      <c r="AI3079" s="6"/>
      <c r="AJ3079" s="12"/>
      <c r="AK3079" s="12"/>
      <c r="AL3079" s="12"/>
      <c r="AM3079" s="12"/>
      <c r="AN3079" s="1"/>
      <c r="AO3079" s="6"/>
    </row>
    <row r="3080" spans="1:41" ht="15" x14ac:dyDescent="0.25">
      <c r="A3080" s="1"/>
      <c r="B3080" s="1"/>
      <c r="C3080" s="1"/>
      <c r="D3080" s="1"/>
      <c r="E3080" s="6"/>
      <c r="F3080" s="1"/>
      <c r="G3080" s="6"/>
      <c r="H3080" s="6"/>
      <c r="I3080" s="6"/>
      <c r="J3080" s="6"/>
      <c r="K3080" s="6"/>
      <c r="L3080" s="6"/>
      <c r="M3080" s="6"/>
      <c r="N3080" s="6"/>
      <c r="O3080" s="7"/>
      <c r="P3080" s="6"/>
      <c r="Q3080" s="6"/>
      <c r="R3080" s="7"/>
      <c r="S3080" s="6"/>
      <c r="T3080" s="6"/>
      <c r="U3080" s="7"/>
      <c r="V3080" s="6"/>
      <c r="W3080" s="6"/>
      <c r="X3080" s="6"/>
      <c r="Y3080" s="6"/>
      <c r="Z3080" s="6"/>
      <c r="AA3080" s="7"/>
      <c r="AB3080" s="6"/>
      <c r="AC3080" s="6"/>
      <c r="AD3080" s="6"/>
      <c r="AE3080" s="12"/>
      <c r="AF3080" s="6"/>
      <c r="AG3080" s="12"/>
      <c r="AH3080" s="6"/>
      <c r="AI3080" s="6"/>
      <c r="AJ3080" s="12"/>
      <c r="AK3080" s="1"/>
      <c r="AL3080" s="12"/>
      <c r="AM3080" s="12"/>
      <c r="AN3080" s="1"/>
      <c r="AO3080" s="6"/>
    </row>
    <row r="3081" spans="1:41" ht="15" x14ac:dyDescent="0.25">
      <c r="A3081" s="1"/>
      <c r="B3081" s="1"/>
      <c r="C3081" s="1"/>
      <c r="D3081" s="1"/>
      <c r="E3081" s="6"/>
      <c r="F3081" s="1"/>
      <c r="G3081" s="6"/>
      <c r="H3081" s="6"/>
      <c r="I3081" s="6"/>
      <c r="J3081" s="6"/>
      <c r="K3081" s="12"/>
      <c r="L3081" s="12"/>
      <c r="M3081" s="6"/>
      <c r="N3081" s="6"/>
      <c r="O3081" s="7"/>
      <c r="P3081" s="6"/>
      <c r="Q3081" s="6"/>
      <c r="R3081" s="7"/>
      <c r="S3081" s="6"/>
      <c r="T3081" s="6"/>
      <c r="U3081" s="7"/>
      <c r="V3081" s="6"/>
      <c r="W3081" s="6"/>
      <c r="X3081" s="12"/>
      <c r="Y3081" s="6"/>
      <c r="Z3081" s="6"/>
      <c r="AA3081" s="7"/>
      <c r="AB3081" s="6"/>
      <c r="AC3081" s="6"/>
      <c r="AD3081" s="6"/>
      <c r="AE3081" s="12"/>
      <c r="AF3081" s="12"/>
      <c r="AG3081" s="12"/>
      <c r="AH3081" s="12"/>
      <c r="AI3081" s="6"/>
      <c r="AJ3081" s="12"/>
      <c r="AK3081" s="24"/>
      <c r="AL3081" s="25"/>
      <c r="AM3081" s="12"/>
      <c r="AN3081" s="1"/>
      <c r="AO3081" s="6"/>
    </row>
    <row r="3082" spans="1:41" ht="15" x14ac:dyDescent="0.25">
      <c r="A3082" s="1"/>
      <c r="B3082" s="1"/>
      <c r="C3082" s="1"/>
      <c r="D3082" s="1"/>
      <c r="E3082" s="6"/>
      <c r="F3082" s="1"/>
      <c r="G3082" s="6"/>
      <c r="H3082" s="6"/>
      <c r="I3082" s="6"/>
      <c r="J3082" s="6"/>
      <c r="K3082" s="12"/>
      <c r="L3082" s="12"/>
      <c r="M3082" s="6"/>
      <c r="N3082" s="6"/>
      <c r="O3082" s="7"/>
      <c r="P3082" s="6"/>
      <c r="Q3082" s="6"/>
      <c r="R3082" s="7"/>
      <c r="S3082" s="6"/>
      <c r="T3082" s="6"/>
      <c r="U3082" s="7"/>
      <c r="V3082" s="6"/>
      <c r="W3082" s="6"/>
      <c r="X3082" s="6"/>
      <c r="Y3082" s="6"/>
      <c r="Z3082" s="6"/>
      <c r="AA3082" s="7"/>
      <c r="AB3082" s="6"/>
      <c r="AC3082" s="6"/>
      <c r="AD3082" s="6"/>
      <c r="AE3082" s="12"/>
      <c r="AF3082" s="12"/>
      <c r="AG3082" s="12"/>
      <c r="AH3082" s="12"/>
      <c r="AI3082" s="6"/>
      <c r="AJ3082" s="12"/>
      <c r="AK3082" s="1"/>
      <c r="AL3082" s="12"/>
      <c r="AM3082" s="12"/>
      <c r="AN3082" s="1"/>
      <c r="AO3082" s="6"/>
    </row>
    <row r="3083" spans="1:41" ht="15" x14ac:dyDescent="0.25">
      <c r="A3083" s="1"/>
      <c r="B3083" s="1"/>
      <c r="C3083" s="1"/>
      <c r="D3083" s="1"/>
      <c r="E3083" s="6"/>
      <c r="F3083" s="1"/>
      <c r="G3083" s="6"/>
      <c r="H3083" s="6"/>
      <c r="I3083" s="6"/>
      <c r="J3083" s="6"/>
      <c r="K3083" s="6"/>
      <c r="L3083" s="6"/>
      <c r="M3083" s="6"/>
      <c r="N3083" s="6"/>
      <c r="O3083" s="7"/>
      <c r="P3083" s="6"/>
      <c r="Q3083" s="6"/>
      <c r="R3083" s="7"/>
      <c r="S3083" s="6"/>
      <c r="T3083" s="6"/>
      <c r="U3083" s="7"/>
      <c r="V3083" s="6"/>
      <c r="W3083" s="6"/>
      <c r="X3083" s="12"/>
      <c r="Y3083" s="6"/>
      <c r="Z3083" s="6"/>
      <c r="AA3083" s="7"/>
      <c r="AB3083" s="6"/>
      <c r="AC3083" s="6"/>
      <c r="AD3083" s="6"/>
      <c r="AE3083" s="12"/>
      <c r="AF3083" s="6"/>
      <c r="AG3083" s="12"/>
      <c r="AH3083" s="6"/>
      <c r="AI3083" s="6"/>
      <c r="AJ3083" s="12"/>
      <c r="AK3083" s="1"/>
      <c r="AL3083" s="12"/>
      <c r="AM3083" s="12"/>
      <c r="AN3083" s="1"/>
      <c r="AO3083" s="6"/>
    </row>
    <row r="3084" spans="1:41" ht="15" x14ac:dyDescent="0.25">
      <c r="A3084" s="1"/>
      <c r="B3084" s="1"/>
      <c r="C3084" s="1"/>
      <c r="D3084" s="1"/>
      <c r="E3084" s="6"/>
      <c r="F3084" s="1"/>
      <c r="G3084" s="6"/>
      <c r="H3084" s="6"/>
      <c r="I3084" s="6"/>
      <c r="J3084" s="6"/>
      <c r="K3084" s="6"/>
      <c r="L3084" s="6"/>
      <c r="M3084" s="6"/>
      <c r="N3084" s="6"/>
      <c r="O3084" s="7"/>
      <c r="P3084" s="12"/>
      <c r="Q3084" s="6"/>
      <c r="R3084" s="7"/>
      <c r="S3084" s="6"/>
      <c r="T3084" s="6"/>
      <c r="U3084" s="7"/>
      <c r="V3084" s="6"/>
      <c r="W3084" s="6"/>
      <c r="X3084" s="6"/>
      <c r="Y3084" s="6"/>
      <c r="Z3084" s="6"/>
      <c r="AA3084" s="7"/>
      <c r="AB3084" s="6"/>
      <c r="AC3084" s="6"/>
      <c r="AD3084" s="6"/>
      <c r="AE3084" s="12"/>
      <c r="AF3084" s="12"/>
      <c r="AG3084" s="12"/>
      <c r="AH3084" s="12"/>
      <c r="AI3084" s="6"/>
      <c r="AJ3084" s="12"/>
      <c r="AK3084" s="1"/>
      <c r="AL3084" s="12"/>
      <c r="AM3084" s="12"/>
      <c r="AN3084" s="1"/>
      <c r="AO3084" s="6"/>
    </row>
    <row r="3085" spans="1:41" ht="15" x14ac:dyDescent="0.25">
      <c r="A3085" s="1"/>
      <c r="B3085" s="1"/>
      <c r="C3085" s="1"/>
      <c r="D3085" s="1"/>
      <c r="E3085" s="6"/>
      <c r="F3085" s="1"/>
      <c r="G3085" s="6"/>
      <c r="H3085" s="6"/>
      <c r="I3085" s="6"/>
      <c r="J3085" s="6"/>
      <c r="K3085" s="6"/>
      <c r="L3085" s="6"/>
      <c r="M3085" s="6"/>
      <c r="N3085" s="6"/>
      <c r="O3085" s="7"/>
      <c r="P3085" s="6"/>
      <c r="Q3085" s="6"/>
      <c r="R3085" s="7"/>
      <c r="S3085" s="6"/>
      <c r="T3085" s="6"/>
      <c r="U3085" s="7"/>
      <c r="V3085" s="6"/>
      <c r="W3085" s="6"/>
      <c r="X3085" s="12"/>
      <c r="Y3085" s="6"/>
      <c r="Z3085" s="6"/>
      <c r="AA3085" s="7"/>
      <c r="AB3085" s="6"/>
      <c r="AC3085" s="6"/>
      <c r="AD3085" s="6"/>
      <c r="AE3085" s="12"/>
      <c r="AF3085" s="12"/>
      <c r="AG3085" s="12"/>
      <c r="AH3085" s="12"/>
      <c r="AI3085" s="6"/>
      <c r="AJ3085" s="12"/>
      <c r="AK3085" s="1"/>
      <c r="AL3085" s="12"/>
      <c r="AM3085" s="12"/>
      <c r="AN3085" s="1"/>
      <c r="AO3085" s="6"/>
    </row>
    <row r="3086" spans="1:41" ht="15" x14ac:dyDescent="0.25">
      <c r="A3086" s="1"/>
      <c r="B3086" s="1"/>
      <c r="C3086" s="1"/>
      <c r="D3086" s="1"/>
      <c r="E3086" s="6"/>
      <c r="F3086" s="1"/>
      <c r="G3086" s="6"/>
      <c r="H3086" s="6"/>
      <c r="I3086" s="6"/>
      <c r="J3086" s="6"/>
      <c r="K3086" s="6"/>
      <c r="L3086" s="6"/>
      <c r="M3086" s="6"/>
      <c r="N3086" s="6"/>
      <c r="O3086" s="7"/>
      <c r="P3086" s="6"/>
      <c r="Q3086" s="6"/>
      <c r="R3086" s="7"/>
      <c r="S3086" s="6"/>
      <c r="T3086" s="6"/>
      <c r="U3086" s="7"/>
      <c r="V3086" s="6"/>
      <c r="W3086" s="6"/>
      <c r="X3086" s="6"/>
      <c r="Y3086" s="6"/>
      <c r="Z3086" s="6"/>
      <c r="AA3086" s="7"/>
      <c r="AB3086" s="6"/>
      <c r="AC3086" s="6"/>
      <c r="AD3086" s="6"/>
      <c r="AE3086" s="12"/>
      <c r="AF3086" s="6"/>
      <c r="AG3086" s="12"/>
      <c r="AH3086" s="6"/>
      <c r="AI3086" s="6"/>
      <c r="AJ3086" s="12"/>
      <c r="AK3086" s="1"/>
      <c r="AL3086" s="12"/>
      <c r="AM3086" s="12"/>
      <c r="AN3086" s="1"/>
      <c r="AO3086" s="6"/>
    </row>
    <row r="3087" spans="1:41" ht="15" x14ac:dyDescent="0.25">
      <c r="A3087" s="1"/>
      <c r="B3087" s="1"/>
      <c r="C3087" s="1"/>
      <c r="D3087" s="1"/>
      <c r="E3087" s="6"/>
      <c r="F3087" s="1"/>
      <c r="G3087" s="6"/>
      <c r="H3087" s="6"/>
      <c r="I3087" s="6"/>
      <c r="J3087" s="6"/>
      <c r="K3087" s="6"/>
      <c r="L3087" s="6"/>
      <c r="M3087" s="6"/>
      <c r="N3087" s="6"/>
      <c r="O3087" s="7"/>
      <c r="P3087" s="12"/>
      <c r="Q3087" s="6"/>
      <c r="R3087" s="7"/>
      <c r="S3087" s="6"/>
      <c r="T3087" s="6"/>
      <c r="U3087" s="7"/>
      <c r="V3087" s="6"/>
      <c r="W3087" s="6"/>
      <c r="X3087" s="12"/>
      <c r="Y3087" s="6"/>
      <c r="Z3087" s="6"/>
      <c r="AA3087" s="7"/>
      <c r="AB3087" s="6"/>
      <c r="AC3087" s="6"/>
      <c r="AD3087" s="6"/>
      <c r="AE3087" s="12"/>
      <c r="AF3087" s="6"/>
      <c r="AG3087" s="12"/>
      <c r="AH3087" s="6"/>
      <c r="AI3087" s="6"/>
      <c r="AJ3087" s="12"/>
      <c r="AK3087" s="1"/>
      <c r="AL3087" s="12"/>
      <c r="AM3087" s="12"/>
      <c r="AN3087" s="1"/>
      <c r="AO3087" s="6"/>
    </row>
    <row r="3088" spans="1:41" ht="15" x14ac:dyDescent="0.25">
      <c r="A3088" s="1"/>
      <c r="B3088" s="1"/>
      <c r="C3088" s="1"/>
      <c r="D3088" s="1"/>
      <c r="E3088" s="6"/>
      <c r="F3088" s="1"/>
      <c r="G3088" s="6"/>
      <c r="H3088" s="6"/>
      <c r="I3088" s="6"/>
      <c r="J3088" s="6"/>
      <c r="K3088" s="6"/>
      <c r="L3088" s="6"/>
      <c r="M3088" s="6"/>
      <c r="N3088" s="6"/>
      <c r="O3088" s="7"/>
      <c r="P3088" s="6"/>
      <c r="Q3088" s="6"/>
      <c r="R3088" s="7"/>
      <c r="S3088" s="6"/>
      <c r="T3088" s="6"/>
      <c r="U3088" s="7"/>
      <c r="V3088" s="6"/>
      <c r="W3088" s="6"/>
      <c r="X3088" s="12"/>
      <c r="Y3088" s="6"/>
      <c r="Z3088" s="6"/>
      <c r="AA3088" s="15"/>
      <c r="AB3088" s="6"/>
      <c r="AC3088" s="6"/>
      <c r="AD3088" s="6"/>
      <c r="AE3088" s="12"/>
      <c r="AF3088" s="6"/>
      <c r="AG3088" s="12"/>
      <c r="AH3088" s="6"/>
      <c r="AI3088" s="6"/>
      <c r="AJ3088" s="12"/>
      <c r="AK3088" s="1"/>
      <c r="AL3088" s="12"/>
      <c r="AM3088" s="12"/>
      <c r="AN3088" s="1"/>
      <c r="AO3088" s="6"/>
    </row>
    <row r="3089" spans="1:41" ht="15" x14ac:dyDescent="0.25">
      <c r="A3089" s="1"/>
      <c r="B3089" s="1"/>
      <c r="C3089" s="1"/>
      <c r="D3089" s="1"/>
      <c r="E3089" s="6"/>
      <c r="F3089" s="1"/>
      <c r="G3089" s="6"/>
      <c r="H3089" s="6"/>
      <c r="I3089" s="6"/>
      <c r="J3089" s="6"/>
      <c r="K3089" s="6"/>
      <c r="L3089" s="6"/>
      <c r="M3089" s="6"/>
      <c r="N3089" s="6"/>
      <c r="O3089" s="7"/>
      <c r="P3089" s="6"/>
      <c r="Q3089" s="6"/>
      <c r="R3089" s="7"/>
      <c r="S3089" s="6"/>
      <c r="T3089" s="6"/>
      <c r="U3089" s="7"/>
      <c r="V3089" s="6"/>
      <c r="W3089" s="6"/>
      <c r="X3089" s="12"/>
      <c r="Y3089" s="6"/>
      <c r="Z3089" s="6"/>
      <c r="AA3089" s="7"/>
      <c r="AB3089" s="6"/>
      <c r="AC3089" s="6"/>
      <c r="AD3089" s="6"/>
      <c r="AE3089" s="12"/>
      <c r="AF3089" s="6"/>
      <c r="AG3089" s="12"/>
      <c r="AH3089" s="6"/>
      <c r="AI3089" s="6"/>
      <c r="AJ3089" s="12"/>
      <c r="AK3089" s="24"/>
      <c r="AL3089" s="25"/>
      <c r="AM3089" s="12"/>
      <c r="AN3089" s="1"/>
      <c r="AO3089" s="6"/>
    </row>
    <row r="3090" spans="1:41" ht="15" x14ac:dyDescent="0.25">
      <c r="A3090" s="1"/>
      <c r="B3090" s="1"/>
      <c r="C3090" s="1"/>
      <c r="D3090" s="1"/>
      <c r="E3090" s="6"/>
      <c r="F3090" s="1"/>
      <c r="G3090" s="6"/>
      <c r="H3090" s="6"/>
      <c r="I3090" s="6"/>
      <c r="J3090" s="6"/>
      <c r="K3090" s="6"/>
      <c r="L3090" s="6"/>
      <c r="M3090" s="6"/>
      <c r="N3090" s="6"/>
      <c r="O3090" s="7"/>
      <c r="P3090" s="6"/>
      <c r="Q3090" s="6"/>
      <c r="R3090" s="7"/>
      <c r="S3090" s="6"/>
      <c r="T3090" s="6"/>
      <c r="U3090" s="7"/>
      <c r="V3090" s="6"/>
      <c r="W3090" s="6"/>
      <c r="X3090" s="6"/>
      <c r="Y3090" s="6"/>
      <c r="Z3090" s="6"/>
      <c r="AA3090" s="7"/>
      <c r="AB3090" s="6"/>
      <c r="AC3090" s="6"/>
      <c r="AD3090" s="6"/>
      <c r="AE3090" s="12"/>
      <c r="AF3090" s="12"/>
      <c r="AG3090" s="12"/>
      <c r="AH3090" s="12"/>
      <c r="AI3090" s="6"/>
      <c r="AJ3090" s="12"/>
      <c r="AK3090" s="1"/>
      <c r="AL3090" s="12"/>
      <c r="AM3090" s="12"/>
      <c r="AN3090" s="1"/>
      <c r="AO3090" s="6"/>
    </row>
    <row r="3091" spans="1:41" ht="15" x14ac:dyDescent="0.25">
      <c r="A3091" s="1"/>
      <c r="B3091" s="1"/>
      <c r="C3091" s="1"/>
      <c r="D3091" s="1"/>
      <c r="E3091" s="6"/>
      <c r="F3091" s="1"/>
      <c r="G3091" s="6"/>
      <c r="H3091" s="6"/>
      <c r="I3091" s="6"/>
      <c r="J3091" s="6"/>
      <c r="K3091" s="6"/>
      <c r="L3091" s="6"/>
      <c r="M3091" s="6"/>
      <c r="N3091" s="6"/>
      <c r="O3091" s="7"/>
      <c r="P3091" s="6"/>
      <c r="Q3091" s="6"/>
      <c r="R3091" s="7"/>
      <c r="S3091" s="6"/>
      <c r="T3091" s="6"/>
      <c r="U3091" s="7"/>
      <c r="V3091" s="6"/>
      <c r="W3091" s="6"/>
      <c r="X3091" s="6"/>
      <c r="Y3091" s="6"/>
      <c r="Z3091" s="6"/>
      <c r="AA3091" s="7"/>
      <c r="AB3091" s="6"/>
      <c r="AC3091" s="6"/>
      <c r="AD3091" s="6"/>
      <c r="AE3091" s="12"/>
      <c r="AF3091" s="6"/>
      <c r="AG3091" s="12"/>
      <c r="AH3091" s="6"/>
      <c r="AI3091" s="6"/>
      <c r="AJ3091" s="12"/>
      <c r="AK3091" s="1"/>
      <c r="AL3091" s="12"/>
      <c r="AM3091" s="12"/>
      <c r="AN3091" s="1"/>
      <c r="AO3091" s="6"/>
    </row>
    <row r="3092" spans="1:41" ht="15" x14ac:dyDescent="0.25">
      <c r="A3092" s="1"/>
      <c r="B3092" s="1"/>
      <c r="C3092" s="1"/>
      <c r="D3092" s="1"/>
      <c r="E3092" s="6"/>
      <c r="F3092" s="1"/>
      <c r="G3092" s="6"/>
      <c r="H3092" s="6"/>
      <c r="I3092" s="6"/>
      <c r="J3092" s="6"/>
      <c r="K3092" s="6"/>
      <c r="L3092" s="6"/>
      <c r="M3092" s="6"/>
      <c r="N3092" s="6"/>
      <c r="O3092" s="7"/>
      <c r="P3092" s="6"/>
      <c r="Q3092" s="6"/>
      <c r="R3092" s="7"/>
      <c r="S3092" s="6"/>
      <c r="T3092" s="6"/>
      <c r="U3092" s="7"/>
      <c r="V3092" s="6"/>
      <c r="W3092" s="6"/>
      <c r="X3092" s="12"/>
      <c r="Y3092" s="6"/>
      <c r="Z3092" s="6"/>
      <c r="AA3092" s="7"/>
      <c r="AB3092" s="6"/>
      <c r="AC3092" s="6"/>
      <c r="AD3092" s="6"/>
      <c r="AE3092" s="12"/>
      <c r="AF3092" s="12"/>
      <c r="AG3092" s="12"/>
      <c r="AH3092" s="12"/>
      <c r="AI3092" s="6"/>
      <c r="AJ3092" s="12"/>
      <c r="AK3092" s="1"/>
      <c r="AL3092" s="12"/>
      <c r="AM3092" s="12"/>
      <c r="AN3092" s="1"/>
      <c r="AO3092" s="6"/>
    </row>
    <row r="3093" spans="1:41" ht="15" x14ac:dyDescent="0.25">
      <c r="A3093" s="1"/>
      <c r="B3093" s="1"/>
      <c r="C3093" s="1"/>
      <c r="D3093" s="1"/>
      <c r="E3093" s="6"/>
      <c r="F3093" s="1"/>
      <c r="G3093" s="6"/>
      <c r="H3093" s="6"/>
      <c r="I3093" s="6"/>
      <c r="J3093" s="6"/>
      <c r="K3093" s="6"/>
      <c r="L3093" s="6"/>
      <c r="M3093" s="6"/>
      <c r="N3093" s="6"/>
      <c r="O3093" s="7"/>
      <c r="P3093" s="6"/>
      <c r="Q3093" s="6"/>
      <c r="R3093" s="7"/>
      <c r="S3093" s="6"/>
      <c r="T3093" s="6"/>
      <c r="U3093" s="7"/>
      <c r="V3093" s="6"/>
      <c r="W3093" s="6"/>
      <c r="X3093" s="6"/>
      <c r="Y3093" s="6"/>
      <c r="Z3093" s="6"/>
      <c r="AA3093" s="7"/>
      <c r="AB3093" s="6"/>
      <c r="AC3093" s="6"/>
      <c r="AD3093" s="6"/>
      <c r="AE3093" s="12"/>
      <c r="AF3093" s="6"/>
      <c r="AG3093" s="12"/>
      <c r="AH3093" s="6"/>
      <c r="AI3093" s="6"/>
      <c r="AJ3093" s="12"/>
      <c r="AK3093" s="24"/>
      <c r="AL3093" s="25"/>
      <c r="AM3093" s="12"/>
      <c r="AN3093" s="1"/>
      <c r="AO3093" s="6"/>
    </row>
    <row r="3094" spans="1:41" ht="15" x14ac:dyDescent="0.25">
      <c r="A3094" s="1"/>
      <c r="B3094" s="1"/>
      <c r="C3094" s="1"/>
      <c r="D3094" s="1"/>
      <c r="E3094" s="6"/>
      <c r="F3094" s="1"/>
      <c r="G3094" s="6"/>
      <c r="H3094" s="6"/>
      <c r="I3094" s="6"/>
      <c r="J3094" s="6"/>
      <c r="K3094" s="12"/>
      <c r="L3094" s="6"/>
      <c r="M3094" s="6"/>
      <c r="N3094" s="6"/>
      <c r="O3094" s="7"/>
      <c r="P3094" s="6"/>
      <c r="Q3094" s="6"/>
      <c r="R3094" s="7"/>
      <c r="S3094" s="6"/>
      <c r="T3094" s="6"/>
      <c r="U3094" s="7"/>
      <c r="V3094" s="6"/>
      <c r="W3094" s="6"/>
      <c r="X3094" s="6"/>
      <c r="Y3094" s="6"/>
      <c r="Z3094" s="6"/>
      <c r="AA3094" s="7"/>
      <c r="AB3094" s="6"/>
      <c r="AC3094" s="6"/>
      <c r="AD3094" s="6"/>
      <c r="AE3094" s="12"/>
      <c r="AF3094" s="6"/>
      <c r="AG3094" s="12"/>
      <c r="AH3094" s="6"/>
      <c r="AI3094" s="6"/>
      <c r="AJ3094" s="12"/>
      <c r="AK3094" s="1"/>
      <c r="AL3094" s="12"/>
      <c r="AM3094" s="12"/>
      <c r="AN3094" s="1"/>
      <c r="AO3094" s="6"/>
    </row>
    <row r="3095" spans="1:41" ht="15" x14ac:dyDescent="0.25">
      <c r="A3095" s="1"/>
      <c r="B3095" s="1"/>
      <c r="C3095" s="1"/>
      <c r="D3095" s="1"/>
      <c r="E3095" s="6"/>
      <c r="F3095" s="1"/>
      <c r="G3095" s="6"/>
      <c r="H3095" s="6"/>
      <c r="I3095" s="6"/>
      <c r="J3095" s="6"/>
      <c r="K3095" s="12"/>
      <c r="L3095" s="12"/>
      <c r="M3095" s="6"/>
      <c r="N3095" s="6"/>
      <c r="O3095" s="7"/>
      <c r="P3095" s="6"/>
      <c r="Q3095" s="6"/>
      <c r="R3095" s="7"/>
      <c r="S3095" s="6"/>
      <c r="T3095" s="6"/>
      <c r="U3095" s="7"/>
      <c r="V3095" s="6"/>
      <c r="W3095" s="6"/>
      <c r="X3095" s="6"/>
      <c r="Y3095" s="6"/>
      <c r="Z3095" s="6"/>
      <c r="AA3095" s="7"/>
      <c r="AB3095" s="6"/>
      <c r="AC3095" s="6"/>
      <c r="AD3095" s="6"/>
      <c r="AE3095" s="12"/>
      <c r="AF3095" s="12"/>
      <c r="AG3095" s="12"/>
      <c r="AH3095" s="12"/>
      <c r="AI3095" s="6"/>
      <c r="AJ3095" s="12"/>
      <c r="AK3095" s="1"/>
      <c r="AL3095" s="12"/>
      <c r="AM3095" s="12"/>
      <c r="AN3095" s="1"/>
      <c r="AO3095" s="6"/>
    </row>
    <row r="3096" spans="1:41" ht="15" x14ac:dyDescent="0.25">
      <c r="A3096" s="1"/>
      <c r="B3096" s="1"/>
      <c r="C3096" s="1"/>
      <c r="D3096" s="1"/>
      <c r="E3096" s="6"/>
      <c r="F3096" s="1"/>
      <c r="G3096" s="6"/>
      <c r="H3096" s="6"/>
      <c r="I3096" s="6"/>
      <c r="J3096" s="6"/>
      <c r="K3096" s="6"/>
      <c r="L3096" s="6"/>
      <c r="M3096" s="6"/>
      <c r="N3096" s="6"/>
      <c r="O3096" s="7"/>
      <c r="P3096" s="6"/>
      <c r="Q3096" s="6"/>
      <c r="R3096" s="7"/>
      <c r="S3096" s="6"/>
      <c r="T3096" s="6"/>
      <c r="U3096" s="7"/>
      <c r="V3096" s="6"/>
      <c r="W3096" s="6"/>
      <c r="X3096" s="6"/>
      <c r="Y3096" s="6"/>
      <c r="Z3096" s="6"/>
      <c r="AA3096" s="7"/>
      <c r="AB3096" s="6"/>
      <c r="AC3096" s="6"/>
      <c r="AD3096" s="6"/>
      <c r="AE3096" s="12"/>
      <c r="AF3096" s="12"/>
      <c r="AG3096" s="12"/>
      <c r="AH3096" s="12"/>
      <c r="AI3096" s="6"/>
      <c r="AJ3096" s="12"/>
      <c r="AK3096" s="1"/>
      <c r="AL3096" s="12"/>
      <c r="AM3096" s="12"/>
      <c r="AN3096" s="1"/>
      <c r="AO3096" s="6"/>
    </row>
    <row r="3097" spans="1:41" ht="15" x14ac:dyDescent="0.25">
      <c r="A3097" s="1"/>
      <c r="B3097" s="1"/>
      <c r="C3097" s="1"/>
      <c r="D3097" s="1"/>
      <c r="E3097" s="6"/>
      <c r="F3097" s="1"/>
      <c r="G3097" s="6"/>
      <c r="H3097" s="6"/>
      <c r="I3097" s="6"/>
      <c r="J3097" s="6"/>
      <c r="K3097" s="6"/>
      <c r="L3097" s="6"/>
      <c r="M3097" s="6"/>
      <c r="N3097" s="6"/>
      <c r="O3097" s="7"/>
      <c r="P3097" s="6"/>
      <c r="Q3097" s="6"/>
      <c r="R3097" s="7"/>
      <c r="S3097" s="6"/>
      <c r="T3097" s="6"/>
      <c r="U3097" s="7"/>
      <c r="V3097" s="6"/>
      <c r="W3097" s="6"/>
      <c r="X3097" s="6"/>
      <c r="Y3097" s="6"/>
      <c r="Z3097" s="6"/>
      <c r="AA3097" s="7"/>
      <c r="AB3097" s="6"/>
      <c r="AC3097" s="6"/>
      <c r="AD3097" s="6"/>
      <c r="AE3097" s="12"/>
      <c r="AF3097" s="12"/>
      <c r="AG3097" s="12"/>
      <c r="AH3097" s="12"/>
      <c r="AI3097" s="6"/>
      <c r="AJ3097" s="12"/>
      <c r="AK3097" s="1"/>
      <c r="AL3097" s="12"/>
      <c r="AM3097" s="12"/>
      <c r="AN3097" s="1"/>
      <c r="AO3097" s="6"/>
    </row>
    <row r="3098" spans="1:41" ht="15" x14ac:dyDescent="0.25">
      <c r="A3098" s="1"/>
      <c r="B3098" s="1"/>
      <c r="C3098" s="1"/>
      <c r="D3098" s="1"/>
      <c r="E3098" s="6"/>
      <c r="F3098" s="1"/>
      <c r="G3098" s="6"/>
      <c r="H3098" s="6"/>
      <c r="I3098" s="6"/>
      <c r="J3098" s="6"/>
      <c r="K3098" s="6"/>
      <c r="L3098" s="6"/>
      <c r="M3098" s="6"/>
      <c r="N3098" s="6"/>
      <c r="O3098" s="7"/>
      <c r="P3098" s="12"/>
      <c r="Q3098" s="6"/>
      <c r="R3098" s="7"/>
      <c r="S3098" s="6"/>
      <c r="T3098" s="6"/>
      <c r="U3098" s="7"/>
      <c r="V3098" s="6"/>
      <c r="W3098" s="6"/>
      <c r="X3098" s="12"/>
      <c r="Y3098" s="6"/>
      <c r="Z3098" s="6"/>
      <c r="AA3098" s="7"/>
      <c r="AB3098" s="6"/>
      <c r="AC3098" s="6"/>
      <c r="AD3098" s="6"/>
      <c r="AE3098" s="12"/>
      <c r="AF3098" s="12"/>
      <c r="AG3098" s="12"/>
      <c r="AH3098" s="12"/>
      <c r="AI3098" s="6"/>
      <c r="AJ3098" s="12"/>
      <c r="AK3098" s="1"/>
      <c r="AL3098" s="12"/>
      <c r="AM3098" s="12"/>
      <c r="AN3098" s="1"/>
      <c r="AO3098" s="6"/>
    </row>
    <row r="3099" spans="1:41" ht="15" x14ac:dyDescent="0.25">
      <c r="A3099" s="1"/>
      <c r="B3099" s="1"/>
      <c r="C3099" s="1"/>
      <c r="D3099" s="1"/>
      <c r="E3099" s="6"/>
      <c r="F3099" s="1"/>
      <c r="G3099" s="6"/>
      <c r="H3099" s="6"/>
      <c r="I3099" s="6"/>
      <c r="J3099" s="6"/>
      <c r="K3099" s="6"/>
      <c r="L3099" s="6"/>
      <c r="M3099" s="6"/>
      <c r="N3099" s="6"/>
      <c r="O3099" s="7"/>
      <c r="P3099" s="6"/>
      <c r="Q3099" s="6"/>
      <c r="R3099" s="7"/>
      <c r="S3099" s="6"/>
      <c r="T3099" s="6"/>
      <c r="U3099" s="7"/>
      <c r="V3099" s="6"/>
      <c r="W3099" s="6"/>
      <c r="X3099" s="6"/>
      <c r="Y3099" s="6"/>
      <c r="Z3099" s="6"/>
      <c r="AA3099" s="7"/>
      <c r="AB3099" s="6"/>
      <c r="AC3099" s="6"/>
      <c r="AD3099" s="6"/>
      <c r="AE3099" s="12"/>
      <c r="AF3099" s="12"/>
      <c r="AG3099" s="12"/>
      <c r="AH3099" s="12"/>
      <c r="AI3099" s="6"/>
      <c r="AJ3099" s="12"/>
      <c r="AK3099" s="1"/>
      <c r="AL3099" s="12"/>
      <c r="AM3099" s="12"/>
      <c r="AN3099" s="1"/>
      <c r="AO3099" s="6"/>
    </row>
    <row r="3100" spans="1:41" ht="15" x14ac:dyDescent="0.25">
      <c r="A3100" s="1"/>
      <c r="B3100" s="1"/>
      <c r="C3100" s="1"/>
      <c r="D3100" s="1"/>
      <c r="E3100" s="6"/>
      <c r="F3100" s="1"/>
      <c r="G3100" s="6"/>
      <c r="H3100" s="6"/>
      <c r="I3100" s="6"/>
      <c r="J3100" s="6"/>
      <c r="K3100" s="6"/>
      <c r="L3100" s="6"/>
      <c r="M3100" s="6"/>
      <c r="N3100" s="6"/>
      <c r="O3100" s="7"/>
      <c r="P3100" s="12"/>
      <c r="Q3100" s="6"/>
      <c r="R3100" s="7"/>
      <c r="S3100" s="6"/>
      <c r="T3100" s="6"/>
      <c r="U3100" s="7"/>
      <c r="V3100" s="6"/>
      <c r="W3100" s="6"/>
      <c r="X3100" s="6"/>
      <c r="Y3100" s="6"/>
      <c r="Z3100" s="6"/>
      <c r="AA3100" s="7"/>
      <c r="AB3100" s="6"/>
      <c r="AC3100" s="6"/>
      <c r="AD3100" s="6"/>
      <c r="AE3100" s="12"/>
      <c r="AF3100" s="6"/>
      <c r="AG3100" s="12"/>
      <c r="AH3100" s="6"/>
      <c r="AI3100" s="6"/>
      <c r="AJ3100" s="12"/>
      <c r="AK3100" s="24"/>
      <c r="AL3100" s="25"/>
      <c r="AM3100" s="12"/>
      <c r="AN3100" s="1"/>
      <c r="AO3100" s="6"/>
    </row>
    <row r="3101" spans="1:41" ht="15" x14ac:dyDescent="0.25">
      <c r="A3101" s="1"/>
      <c r="B3101" s="1"/>
      <c r="C3101" s="1"/>
      <c r="D3101" s="1"/>
      <c r="E3101" s="6"/>
      <c r="F3101" s="1"/>
      <c r="G3101" s="6"/>
      <c r="H3101" s="6"/>
      <c r="I3101" s="6"/>
      <c r="J3101" s="6"/>
      <c r="K3101" s="6"/>
      <c r="L3101" s="6"/>
      <c r="M3101" s="6"/>
      <c r="N3101" s="6"/>
      <c r="O3101" s="7"/>
      <c r="P3101" s="6"/>
      <c r="Q3101" s="6"/>
      <c r="R3101" s="7"/>
      <c r="S3101" s="6"/>
      <c r="T3101" s="6"/>
      <c r="U3101" s="7"/>
      <c r="V3101" s="6"/>
      <c r="W3101" s="6"/>
      <c r="X3101" s="6"/>
      <c r="Y3101" s="6"/>
      <c r="Z3101" s="6"/>
      <c r="AA3101" s="7"/>
      <c r="AB3101" s="6"/>
      <c r="AC3101" s="6"/>
      <c r="AD3101" s="6"/>
      <c r="AE3101" s="12"/>
      <c r="AF3101" s="6"/>
      <c r="AG3101" s="12"/>
      <c r="AH3101" s="6"/>
      <c r="AI3101" s="6"/>
      <c r="AJ3101" s="12"/>
      <c r="AK3101" s="24"/>
      <c r="AL3101" s="25"/>
      <c r="AM3101" s="12"/>
      <c r="AN3101" s="1"/>
      <c r="AO3101" s="6"/>
    </row>
    <row r="3102" spans="1:41" ht="15" x14ac:dyDescent="0.25">
      <c r="A3102" s="1"/>
      <c r="B3102" s="1"/>
      <c r="C3102" s="1"/>
      <c r="D3102" s="1"/>
      <c r="E3102" s="6"/>
      <c r="F3102" s="1"/>
      <c r="G3102" s="6"/>
      <c r="H3102" s="6"/>
      <c r="I3102" s="6"/>
      <c r="J3102" s="6"/>
      <c r="K3102" s="6"/>
      <c r="L3102" s="6"/>
      <c r="M3102" s="6"/>
      <c r="N3102" s="6"/>
      <c r="O3102" s="7"/>
      <c r="P3102" s="6"/>
      <c r="Q3102" s="6"/>
      <c r="R3102" s="12"/>
      <c r="S3102" s="12"/>
      <c r="T3102" s="12"/>
      <c r="U3102" s="7"/>
      <c r="V3102" s="6"/>
      <c r="W3102" s="6"/>
      <c r="X3102" s="12"/>
      <c r="Y3102" s="6"/>
      <c r="Z3102" s="6"/>
      <c r="AA3102" s="7"/>
      <c r="AB3102" s="6"/>
      <c r="AC3102" s="6"/>
      <c r="AD3102" s="6"/>
      <c r="AE3102" s="12"/>
      <c r="AF3102" s="12"/>
      <c r="AG3102" s="12"/>
      <c r="AH3102" s="12"/>
      <c r="AI3102" s="6"/>
      <c r="AJ3102" s="12"/>
      <c r="AK3102" s="1"/>
      <c r="AL3102" s="12"/>
      <c r="AM3102" s="12"/>
      <c r="AN3102" s="1"/>
      <c r="AO3102" s="6"/>
    </row>
    <row r="3103" spans="1:41" ht="15" x14ac:dyDescent="0.25">
      <c r="A3103" s="1"/>
      <c r="B3103" s="1"/>
      <c r="C3103" s="1"/>
      <c r="D3103" s="1"/>
      <c r="E3103" s="6"/>
      <c r="F3103" s="1"/>
      <c r="G3103" s="6"/>
      <c r="H3103" s="6"/>
      <c r="I3103" s="6"/>
      <c r="J3103" s="6"/>
      <c r="K3103" s="12"/>
      <c r="L3103" s="12"/>
      <c r="M3103" s="6"/>
      <c r="N3103" s="6"/>
      <c r="O3103" s="7"/>
      <c r="P3103" s="6"/>
      <c r="Q3103" s="6"/>
      <c r="R3103" s="7"/>
      <c r="S3103" s="6"/>
      <c r="T3103" s="6"/>
      <c r="U3103" s="7"/>
      <c r="V3103" s="6"/>
      <c r="W3103" s="6"/>
      <c r="X3103" s="12"/>
      <c r="Y3103" s="6"/>
      <c r="Z3103" s="6"/>
      <c r="AA3103" s="7"/>
      <c r="AB3103" s="6"/>
      <c r="AC3103" s="6"/>
      <c r="AD3103" s="6"/>
      <c r="AE3103" s="12"/>
      <c r="AF3103" s="12"/>
      <c r="AG3103" s="12"/>
      <c r="AH3103" s="12"/>
      <c r="AI3103" s="6"/>
      <c r="AJ3103" s="12"/>
      <c r="AK3103" s="1"/>
      <c r="AL3103" s="12"/>
      <c r="AM3103" s="12"/>
      <c r="AN3103" s="1"/>
      <c r="AO3103" s="12"/>
    </row>
    <row r="3104" spans="1:41" ht="15" x14ac:dyDescent="0.25">
      <c r="A3104" s="1"/>
      <c r="B3104" s="1"/>
      <c r="C3104" s="1"/>
      <c r="D3104" s="1"/>
      <c r="E3104" s="6"/>
      <c r="F3104" s="1"/>
      <c r="G3104" s="6"/>
      <c r="H3104" s="6"/>
      <c r="I3104" s="6"/>
      <c r="J3104" s="6"/>
      <c r="K3104" s="6"/>
      <c r="L3104" s="6"/>
      <c r="M3104" s="6"/>
      <c r="N3104" s="6"/>
      <c r="O3104" s="7"/>
      <c r="P3104" s="12"/>
      <c r="Q3104" s="6"/>
      <c r="R3104" s="7"/>
      <c r="S3104" s="6"/>
      <c r="T3104" s="6"/>
      <c r="U3104" s="7"/>
      <c r="V3104" s="6"/>
      <c r="W3104" s="6"/>
      <c r="X3104" s="6"/>
      <c r="Y3104" s="6"/>
      <c r="Z3104" s="6"/>
      <c r="AA3104" s="7"/>
      <c r="AB3104" s="6"/>
      <c r="AC3104" s="6"/>
      <c r="AD3104" s="6"/>
      <c r="AE3104" s="12"/>
      <c r="AF3104" s="12"/>
      <c r="AG3104" s="12"/>
      <c r="AH3104" s="12"/>
      <c r="AI3104" s="6"/>
      <c r="AJ3104" s="12"/>
      <c r="AK3104" s="1"/>
      <c r="AL3104" s="12"/>
      <c r="AM3104" s="12"/>
      <c r="AN3104" s="1"/>
      <c r="AO3104" s="6"/>
    </row>
    <row r="3105" spans="1:41" ht="15" x14ac:dyDescent="0.25">
      <c r="A3105" s="1"/>
      <c r="B3105" s="1"/>
      <c r="C3105" s="1"/>
      <c r="D3105" s="1"/>
      <c r="E3105" s="6"/>
      <c r="F3105" s="1"/>
      <c r="G3105" s="6"/>
      <c r="H3105" s="6"/>
      <c r="I3105" s="6"/>
      <c r="J3105" s="6"/>
      <c r="K3105" s="12"/>
      <c r="L3105" s="12"/>
      <c r="M3105" s="6"/>
      <c r="N3105" s="6"/>
      <c r="O3105" s="7"/>
      <c r="P3105" s="6"/>
      <c r="Q3105" s="6"/>
      <c r="R3105" s="7"/>
      <c r="S3105" s="6"/>
      <c r="T3105" s="6"/>
      <c r="U3105" s="7"/>
      <c r="V3105" s="6"/>
      <c r="W3105" s="6"/>
      <c r="X3105" s="12"/>
      <c r="Y3105" s="6"/>
      <c r="Z3105" s="6"/>
      <c r="AA3105" s="7"/>
      <c r="AB3105" s="6"/>
      <c r="AC3105" s="6"/>
      <c r="AD3105" s="6"/>
      <c r="AE3105" s="12"/>
      <c r="AF3105" s="12"/>
      <c r="AG3105" s="12"/>
      <c r="AH3105" s="12"/>
      <c r="AI3105" s="6"/>
      <c r="AJ3105" s="12"/>
      <c r="AK3105" s="1"/>
      <c r="AL3105" s="12"/>
      <c r="AM3105" s="12"/>
      <c r="AN3105" s="1"/>
      <c r="AO3105" s="6"/>
    </row>
    <row r="3106" spans="1:41" ht="15" x14ac:dyDescent="0.25">
      <c r="A3106" s="1"/>
      <c r="B3106" s="1"/>
      <c r="C3106" s="1"/>
      <c r="D3106" s="1"/>
      <c r="E3106" s="6"/>
      <c r="F3106" s="1"/>
      <c r="G3106" s="6"/>
      <c r="H3106" s="6"/>
      <c r="I3106" s="6"/>
      <c r="J3106" s="6"/>
      <c r="K3106" s="6"/>
      <c r="L3106" s="6"/>
      <c r="M3106" s="6"/>
      <c r="N3106" s="6"/>
      <c r="O3106" s="7"/>
      <c r="P3106" s="6"/>
      <c r="Q3106" s="6"/>
      <c r="R3106" s="7"/>
      <c r="S3106" s="6"/>
      <c r="T3106" s="6"/>
      <c r="U3106" s="7"/>
      <c r="V3106" s="6"/>
      <c r="W3106" s="6"/>
      <c r="X3106" s="6"/>
      <c r="Y3106" s="6"/>
      <c r="Z3106" s="6"/>
      <c r="AA3106" s="7"/>
      <c r="AB3106" s="6"/>
      <c r="AC3106" s="6"/>
      <c r="AD3106" s="6"/>
      <c r="AE3106" s="12"/>
      <c r="AF3106" s="12"/>
      <c r="AG3106" s="12"/>
      <c r="AH3106" s="12"/>
      <c r="AI3106" s="6"/>
      <c r="AJ3106" s="12"/>
      <c r="AK3106" s="1"/>
      <c r="AL3106" s="12"/>
      <c r="AM3106" s="12"/>
      <c r="AN3106" s="1"/>
      <c r="AO3106" s="6"/>
    </row>
    <row r="3107" spans="1:41" ht="15" x14ac:dyDescent="0.25">
      <c r="A3107" s="1"/>
      <c r="B3107" s="1"/>
      <c r="C3107" s="1"/>
      <c r="D3107" s="1"/>
      <c r="E3107" s="6"/>
      <c r="F3107" s="1"/>
      <c r="G3107" s="6"/>
      <c r="H3107" s="6"/>
      <c r="I3107" s="6"/>
      <c r="J3107" s="6"/>
      <c r="K3107" s="6"/>
      <c r="L3107" s="6"/>
      <c r="M3107" s="6"/>
      <c r="N3107" s="6"/>
      <c r="O3107" s="7"/>
      <c r="P3107" s="6"/>
      <c r="Q3107" s="7"/>
      <c r="R3107" s="6"/>
      <c r="S3107" s="6"/>
      <c r="T3107" s="6"/>
      <c r="U3107" s="6"/>
      <c r="V3107" s="7"/>
      <c r="W3107" s="7"/>
      <c r="X3107" s="6"/>
      <c r="Y3107" s="6"/>
      <c r="Z3107" s="6"/>
      <c r="AA3107" s="1"/>
      <c r="AB3107" s="12"/>
      <c r="AC3107" s="12"/>
      <c r="AD3107" s="12"/>
      <c r="AE3107" s="12"/>
      <c r="AF3107" s="12"/>
      <c r="AG3107" s="12"/>
      <c r="AH3107" s="12"/>
      <c r="AI3107" s="6"/>
      <c r="AJ3107" s="12"/>
      <c r="AK3107" s="12"/>
      <c r="AL3107" s="12"/>
      <c r="AM3107" s="12"/>
      <c r="AN3107" s="1"/>
      <c r="AO3107" s="6"/>
    </row>
    <row r="3108" spans="1:41" ht="15" x14ac:dyDescent="0.25">
      <c r="A3108" s="1"/>
      <c r="B3108" s="1"/>
      <c r="C3108" s="1"/>
      <c r="D3108" s="1"/>
      <c r="E3108" s="6"/>
      <c r="F3108" s="1"/>
      <c r="G3108" s="6"/>
      <c r="H3108" s="6"/>
      <c r="I3108" s="6"/>
      <c r="J3108" s="6"/>
      <c r="K3108" s="6"/>
      <c r="L3108" s="6"/>
      <c r="M3108" s="6"/>
      <c r="N3108" s="6"/>
      <c r="O3108" s="7"/>
      <c r="P3108" s="6"/>
      <c r="Q3108" s="6"/>
      <c r="R3108" s="7"/>
      <c r="S3108" s="6"/>
      <c r="T3108" s="6"/>
      <c r="U3108" s="7"/>
      <c r="V3108" s="6"/>
      <c r="W3108" s="6"/>
      <c r="X3108" s="6"/>
      <c r="Y3108" s="6"/>
      <c r="Z3108" s="6"/>
      <c r="AA3108" s="7"/>
      <c r="AB3108" s="6"/>
      <c r="AC3108" s="6"/>
      <c r="AD3108" s="6"/>
      <c r="AE3108" s="12"/>
      <c r="AF3108" s="6"/>
      <c r="AG3108" s="12"/>
      <c r="AH3108" s="6"/>
      <c r="AI3108" s="6"/>
      <c r="AJ3108" s="12"/>
      <c r="AK3108" s="1"/>
      <c r="AL3108" s="12"/>
      <c r="AM3108" s="12"/>
      <c r="AN3108" s="1"/>
      <c r="AO3108" s="6"/>
    </row>
    <row r="3109" spans="1:41" ht="15" x14ac:dyDescent="0.25">
      <c r="A3109" s="1"/>
      <c r="B3109" s="1"/>
      <c r="C3109" s="1"/>
      <c r="D3109" s="1"/>
      <c r="E3109" s="6"/>
      <c r="F3109" s="1"/>
      <c r="G3109" s="6"/>
      <c r="H3109" s="6"/>
      <c r="I3109" s="6"/>
      <c r="J3109" s="6"/>
      <c r="K3109" s="6"/>
      <c r="L3109" s="6"/>
      <c r="M3109" s="6"/>
      <c r="N3109" s="6"/>
      <c r="O3109" s="7"/>
      <c r="P3109" s="6"/>
      <c r="Q3109" s="6"/>
      <c r="R3109" s="7"/>
      <c r="S3109" s="6"/>
      <c r="T3109" s="6"/>
      <c r="U3109" s="7"/>
      <c r="V3109" s="6"/>
      <c r="W3109" s="6"/>
      <c r="X3109" s="6"/>
      <c r="Y3109" s="6"/>
      <c r="Z3109" s="6"/>
      <c r="AA3109" s="7"/>
      <c r="AB3109" s="6"/>
      <c r="AC3109" s="6"/>
      <c r="AD3109" s="6"/>
      <c r="AE3109" s="12"/>
      <c r="AF3109" s="12"/>
      <c r="AG3109" s="12"/>
      <c r="AH3109" s="12"/>
      <c r="AI3109" s="6"/>
      <c r="AJ3109" s="12"/>
      <c r="AK3109" s="1"/>
      <c r="AL3109" s="12"/>
      <c r="AM3109" s="12"/>
      <c r="AN3109" s="1"/>
      <c r="AO3109" s="6"/>
    </row>
    <row r="3110" spans="1:41" ht="15" x14ac:dyDescent="0.25">
      <c r="A3110" s="1"/>
      <c r="B3110" s="1"/>
      <c r="C3110" s="1"/>
      <c r="D3110" s="1"/>
      <c r="E3110" s="6"/>
      <c r="F3110" s="1"/>
      <c r="G3110" s="6"/>
      <c r="H3110" s="6"/>
      <c r="I3110" s="6"/>
      <c r="J3110" s="6"/>
      <c r="K3110" s="6"/>
      <c r="L3110" s="6"/>
      <c r="M3110" s="6"/>
      <c r="N3110" s="6"/>
      <c r="O3110" s="7"/>
      <c r="P3110" s="6"/>
      <c r="Q3110" s="6"/>
      <c r="R3110" s="7"/>
      <c r="S3110" s="6"/>
      <c r="T3110" s="6"/>
      <c r="U3110" s="7"/>
      <c r="V3110" s="6"/>
      <c r="W3110" s="6"/>
      <c r="X3110" s="6"/>
      <c r="Y3110" s="6"/>
      <c r="Z3110" s="6"/>
      <c r="AA3110" s="7"/>
      <c r="AB3110" s="6"/>
      <c r="AC3110" s="6"/>
      <c r="AD3110" s="6"/>
      <c r="AE3110" s="12"/>
      <c r="AF3110" s="12"/>
      <c r="AG3110" s="12"/>
      <c r="AH3110" s="12"/>
      <c r="AI3110" s="6"/>
      <c r="AJ3110" s="12"/>
      <c r="AK3110" s="1"/>
      <c r="AL3110" s="12"/>
      <c r="AM3110" s="12"/>
      <c r="AN3110" s="1"/>
      <c r="AO3110" s="6"/>
    </row>
    <row r="3111" spans="1:41" ht="15" x14ac:dyDescent="0.25">
      <c r="A3111" s="1"/>
      <c r="B3111" s="1"/>
      <c r="C3111" s="1"/>
      <c r="D3111" s="1"/>
      <c r="E3111" s="6"/>
      <c r="F3111" s="1"/>
      <c r="G3111" s="6"/>
      <c r="H3111" s="6"/>
      <c r="I3111" s="6"/>
      <c r="J3111" s="6"/>
      <c r="K3111" s="6"/>
      <c r="L3111" s="6"/>
      <c r="M3111" s="6"/>
      <c r="N3111" s="6"/>
      <c r="O3111" s="7"/>
      <c r="P3111" s="12"/>
      <c r="Q3111" s="6"/>
      <c r="R3111" s="7"/>
      <c r="S3111" s="6"/>
      <c r="T3111" s="6"/>
      <c r="U3111" s="7"/>
      <c r="V3111" s="6"/>
      <c r="W3111" s="6"/>
      <c r="X3111" s="12"/>
      <c r="Y3111" s="6"/>
      <c r="Z3111" s="6"/>
      <c r="AA3111" s="7"/>
      <c r="AB3111" s="6"/>
      <c r="AC3111" s="6"/>
      <c r="AD3111" s="6"/>
      <c r="AE3111" s="12"/>
      <c r="AF3111" s="12"/>
      <c r="AG3111" s="12"/>
      <c r="AH3111" s="12"/>
      <c r="AI3111" s="6"/>
      <c r="AJ3111" s="12"/>
      <c r="AK3111" s="1"/>
      <c r="AL3111" s="12"/>
      <c r="AM3111" s="12"/>
      <c r="AN3111" s="1"/>
      <c r="AO3111" s="6"/>
    </row>
    <row r="3112" spans="1:41" ht="15" x14ac:dyDescent="0.25">
      <c r="A3112" s="1"/>
      <c r="B3112" s="1"/>
      <c r="C3112" s="1"/>
      <c r="D3112" s="1"/>
      <c r="E3112" s="6"/>
      <c r="F3112" s="1"/>
      <c r="G3112" s="6"/>
      <c r="H3112" s="6"/>
      <c r="I3112" s="6"/>
      <c r="J3112" s="6"/>
      <c r="K3112" s="6"/>
      <c r="L3112" s="6"/>
      <c r="M3112" s="6"/>
      <c r="N3112" s="6"/>
      <c r="O3112" s="7"/>
      <c r="P3112" s="6"/>
      <c r="Q3112" s="6"/>
      <c r="R3112" s="12"/>
      <c r="S3112" s="12"/>
      <c r="T3112" s="12"/>
      <c r="U3112" s="7"/>
      <c r="V3112" s="6"/>
      <c r="W3112" s="6"/>
      <c r="X3112" s="12"/>
      <c r="Y3112" s="6"/>
      <c r="Z3112" s="6"/>
      <c r="AA3112" s="7"/>
      <c r="AB3112" s="6"/>
      <c r="AC3112" s="6"/>
      <c r="AD3112" s="6"/>
      <c r="AE3112" s="12"/>
      <c r="AF3112" s="12"/>
      <c r="AG3112" s="12"/>
      <c r="AH3112" s="12"/>
      <c r="AI3112" s="6"/>
      <c r="AJ3112" s="12"/>
      <c r="AK3112" s="24"/>
      <c r="AL3112" s="25"/>
      <c r="AM3112" s="12"/>
      <c r="AN3112" s="1"/>
      <c r="AO3112" s="6"/>
    </row>
    <row r="3113" spans="1:41" ht="15" x14ac:dyDescent="0.25">
      <c r="A3113" s="1"/>
      <c r="B3113" s="1"/>
      <c r="C3113" s="1"/>
      <c r="D3113" s="1"/>
      <c r="E3113" s="6"/>
      <c r="F3113" s="1"/>
      <c r="G3113" s="6"/>
      <c r="H3113" s="6"/>
      <c r="I3113" s="6"/>
      <c r="J3113" s="6"/>
      <c r="K3113" s="6"/>
      <c r="L3113" s="6"/>
      <c r="M3113" s="6"/>
      <c r="N3113" s="6"/>
      <c r="O3113" s="7"/>
      <c r="P3113" s="6"/>
      <c r="Q3113" s="6"/>
      <c r="R3113" s="12"/>
      <c r="S3113" s="12"/>
      <c r="T3113" s="12"/>
      <c r="U3113" s="7"/>
      <c r="V3113" s="6"/>
      <c r="W3113" s="6"/>
      <c r="X3113" s="12"/>
      <c r="Y3113" s="6"/>
      <c r="Z3113" s="6"/>
      <c r="AA3113" s="7"/>
      <c r="AB3113" s="6"/>
      <c r="AC3113" s="6"/>
      <c r="AD3113" s="6"/>
      <c r="AE3113" s="12"/>
      <c r="AF3113" s="12"/>
      <c r="AG3113" s="12"/>
      <c r="AH3113" s="12"/>
      <c r="AI3113" s="6"/>
      <c r="AJ3113" s="12"/>
      <c r="AK3113" s="24"/>
      <c r="AL3113" s="25"/>
      <c r="AM3113" s="12"/>
      <c r="AN3113" s="1"/>
      <c r="AO3113" s="6"/>
    </row>
    <row r="3114" spans="1:41" ht="15" x14ac:dyDescent="0.25">
      <c r="A3114" s="1"/>
      <c r="B3114" s="1"/>
      <c r="C3114" s="1"/>
      <c r="D3114" s="1"/>
      <c r="E3114" s="6"/>
      <c r="F3114" s="1"/>
      <c r="G3114" s="6"/>
      <c r="H3114" s="6"/>
      <c r="I3114" s="6"/>
      <c r="J3114" s="6"/>
      <c r="K3114" s="6"/>
      <c r="L3114" s="6"/>
      <c r="M3114" s="6"/>
      <c r="N3114" s="6"/>
      <c r="O3114" s="7"/>
      <c r="P3114" s="6"/>
      <c r="Q3114" s="7"/>
      <c r="R3114" s="6"/>
      <c r="S3114" s="6"/>
      <c r="T3114" s="6"/>
      <c r="U3114" s="6"/>
      <c r="V3114" s="7"/>
      <c r="W3114" s="7"/>
      <c r="X3114" s="6"/>
      <c r="Y3114" s="6"/>
      <c r="Z3114" s="6"/>
      <c r="AA3114" s="1"/>
      <c r="AB3114" s="12"/>
      <c r="AC3114" s="12"/>
      <c r="AD3114" s="12"/>
      <c r="AE3114" s="12"/>
      <c r="AF3114" s="12"/>
      <c r="AG3114" s="12"/>
      <c r="AH3114" s="12"/>
      <c r="AI3114" s="6"/>
      <c r="AJ3114" s="12"/>
      <c r="AK3114" s="12"/>
      <c r="AL3114" s="12"/>
      <c r="AM3114" s="12"/>
      <c r="AN3114" s="1"/>
      <c r="AO3114" s="6"/>
    </row>
    <row r="3115" spans="1:41" ht="15" x14ac:dyDescent="0.25">
      <c r="A3115" s="1"/>
      <c r="B3115" s="1"/>
      <c r="C3115" s="1"/>
      <c r="D3115" s="1"/>
      <c r="E3115" s="6"/>
      <c r="F3115" s="1"/>
      <c r="G3115" s="6"/>
      <c r="H3115" s="6"/>
      <c r="I3115" s="6"/>
      <c r="J3115" s="6"/>
      <c r="K3115" s="6"/>
      <c r="L3115" s="6"/>
      <c r="M3115" s="6"/>
      <c r="N3115" s="6"/>
      <c r="O3115" s="7"/>
      <c r="P3115" s="6"/>
      <c r="Q3115" s="6"/>
      <c r="R3115" s="7"/>
      <c r="S3115" s="6"/>
      <c r="T3115" s="6"/>
      <c r="U3115" s="7"/>
      <c r="V3115" s="6"/>
      <c r="W3115" s="6"/>
      <c r="X3115" s="6"/>
      <c r="Y3115" s="6"/>
      <c r="Z3115" s="6"/>
      <c r="AA3115" s="7"/>
      <c r="AB3115" s="6"/>
      <c r="AC3115" s="6"/>
      <c r="AD3115" s="6"/>
      <c r="AE3115" s="12"/>
      <c r="AF3115" s="6"/>
      <c r="AG3115" s="12"/>
      <c r="AH3115" s="6"/>
      <c r="AI3115" s="6"/>
      <c r="AJ3115" s="12"/>
      <c r="AK3115" s="24"/>
      <c r="AL3115" s="25"/>
      <c r="AM3115" s="12"/>
      <c r="AN3115" s="1"/>
      <c r="AO3115" s="6"/>
    </row>
    <row r="3116" spans="1:41" ht="15" x14ac:dyDescent="0.25">
      <c r="A3116" s="1"/>
      <c r="B3116" s="1"/>
      <c r="C3116" s="1"/>
      <c r="D3116" s="1"/>
      <c r="E3116" s="6"/>
      <c r="F3116" s="1"/>
      <c r="G3116" s="6"/>
      <c r="H3116" s="6"/>
      <c r="I3116" s="6"/>
      <c r="J3116" s="6"/>
      <c r="K3116" s="6"/>
      <c r="L3116" s="6"/>
      <c r="M3116" s="6"/>
      <c r="N3116" s="6"/>
      <c r="O3116" s="7"/>
      <c r="P3116" s="6"/>
      <c r="Q3116" s="6"/>
      <c r="R3116" s="7"/>
      <c r="S3116" s="6"/>
      <c r="T3116" s="6"/>
      <c r="U3116" s="7"/>
      <c r="V3116" s="6"/>
      <c r="W3116" s="6"/>
      <c r="X3116" s="12"/>
      <c r="Y3116" s="6"/>
      <c r="Z3116" s="6"/>
      <c r="AA3116" s="7"/>
      <c r="AB3116" s="6"/>
      <c r="AC3116" s="6"/>
      <c r="AD3116" s="6"/>
      <c r="AE3116" s="12"/>
      <c r="AF3116" s="6"/>
      <c r="AG3116" s="12"/>
      <c r="AH3116" s="6"/>
      <c r="AI3116" s="6"/>
      <c r="AJ3116" s="12"/>
      <c r="AK3116" s="1"/>
      <c r="AL3116" s="12"/>
      <c r="AM3116" s="12"/>
      <c r="AN3116" s="1"/>
      <c r="AO3116" s="6"/>
    </row>
    <row r="3117" spans="1:41" ht="15" x14ac:dyDescent="0.25">
      <c r="A3117" s="1"/>
      <c r="B3117" s="1"/>
      <c r="C3117" s="1"/>
      <c r="D3117" s="1"/>
      <c r="E3117" s="6"/>
      <c r="F3117" s="1"/>
      <c r="G3117" s="6"/>
      <c r="H3117" s="6"/>
      <c r="I3117" s="6"/>
      <c r="J3117" s="6"/>
      <c r="K3117" s="6"/>
      <c r="L3117" s="6"/>
      <c r="M3117" s="6"/>
      <c r="N3117" s="6"/>
      <c r="O3117" s="7"/>
      <c r="P3117" s="6"/>
      <c r="Q3117" s="6"/>
      <c r="R3117" s="7"/>
      <c r="S3117" s="6"/>
      <c r="T3117" s="6"/>
      <c r="U3117" s="7"/>
      <c r="V3117" s="6"/>
      <c r="W3117" s="6"/>
      <c r="X3117" s="6"/>
      <c r="Y3117" s="6"/>
      <c r="Z3117" s="6"/>
      <c r="AA3117" s="7"/>
      <c r="AB3117" s="6"/>
      <c r="AC3117" s="6"/>
      <c r="AD3117" s="6"/>
      <c r="AE3117" s="12"/>
      <c r="AF3117" s="6"/>
      <c r="AG3117" s="12"/>
      <c r="AH3117" s="6"/>
      <c r="AI3117" s="6"/>
      <c r="AJ3117" s="12"/>
      <c r="AK3117" s="24"/>
      <c r="AL3117" s="25"/>
      <c r="AM3117" s="12"/>
      <c r="AN3117" s="1"/>
      <c r="AO3117" s="6"/>
    </row>
    <row r="3118" spans="1:41" ht="15" x14ac:dyDescent="0.25">
      <c r="A3118" s="1"/>
      <c r="B3118" s="1"/>
      <c r="C3118" s="1"/>
      <c r="D3118" s="1"/>
      <c r="E3118" s="6"/>
      <c r="F3118" s="1"/>
      <c r="G3118" s="6"/>
      <c r="H3118" s="6"/>
      <c r="I3118" s="6"/>
      <c r="J3118" s="6"/>
      <c r="K3118" s="6"/>
      <c r="L3118" s="6"/>
      <c r="M3118" s="6"/>
      <c r="N3118" s="6"/>
      <c r="O3118" s="7"/>
      <c r="P3118" s="6"/>
      <c r="Q3118" s="6"/>
      <c r="R3118" s="7"/>
      <c r="S3118" s="6"/>
      <c r="T3118" s="6"/>
      <c r="U3118" s="7"/>
      <c r="V3118" s="6"/>
      <c r="W3118" s="6"/>
      <c r="X3118" s="6"/>
      <c r="Y3118" s="6"/>
      <c r="Z3118" s="6"/>
      <c r="AA3118" s="7"/>
      <c r="AB3118" s="6"/>
      <c r="AC3118" s="6"/>
      <c r="AD3118" s="6"/>
      <c r="AE3118" s="12"/>
      <c r="AF3118" s="6"/>
      <c r="AG3118" s="12"/>
      <c r="AH3118" s="6"/>
      <c r="AI3118" s="6"/>
      <c r="AJ3118" s="12"/>
      <c r="AK3118" s="1"/>
      <c r="AL3118" s="12"/>
      <c r="AM3118" s="12"/>
      <c r="AN3118" s="1"/>
      <c r="AO3118" s="6"/>
    </row>
    <row r="3119" spans="1:41" ht="15" x14ac:dyDescent="0.25">
      <c r="A3119" s="1"/>
      <c r="B3119" s="1"/>
      <c r="C3119" s="1"/>
      <c r="D3119" s="1"/>
      <c r="E3119" s="6"/>
      <c r="F3119" s="1"/>
      <c r="G3119" s="6"/>
      <c r="H3119" s="6"/>
      <c r="I3119" s="6"/>
      <c r="J3119" s="6"/>
      <c r="K3119" s="6"/>
      <c r="L3119" s="6"/>
      <c r="M3119" s="6"/>
      <c r="N3119" s="6"/>
      <c r="O3119" s="7"/>
      <c r="P3119" s="6"/>
      <c r="Q3119" s="6"/>
      <c r="R3119" s="7"/>
      <c r="S3119" s="6"/>
      <c r="T3119" s="6"/>
      <c r="U3119" s="7"/>
      <c r="V3119" s="6"/>
      <c r="W3119" s="6"/>
      <c r="X3119" s="6"/>
      <c r="Y3119" s="6"/>
      <c r="Z3119" s="6"/>
      <c r="AA3119" s="7"/>
      <c r="AB3119" s="6"/>
      <c r="AC3119" s="6"/>
      <c r="AD3119" s="6"/>
      <c r="AE3119" s="12"/>
      <c r="AF3119" s="12"/>
      <c r="AG3119" s="12"/>
      <c r="AH3119" s="12"/>
      <c r="AI3119" s="6"/>
      <c r="AJ3119" s="12"/>
      <c r="AK3119" s="1"/>
      <c r="AL3119" s="12"/>
      <c r="AM3119" s="12"/>
      <c r="AN3119" s="1"/>
      <c r="AO3119" s="6"/>
    </row>
    <row r="3120" spans="1:41" ht="15" x14ac:dyDescent="0.25">
      <c r="A3120" s="1"/>
      <c r="B3120" s="1"/>
      <c r="C3120" s="1"/>
      <c r="D3120" s="1"/>
      <c r="E3120" s="6"/>
      <c r="F3120" s="1"/>
      <c r="G3120" s="6"/>
      <c r="H3120" s="6"/>
      <c r="I3120" s="6"/>
      <c r="J3120" s="6"/>
      <c r="K3120" s="6"/>
      <c r="L3120" s="6"/>
      <c r="M3120" s="6"/>
      <c r="N3120" s="6"/>
      <c r="O3120" s="7"/>
      <c r="P3120" s="6"/>
      <c r="Q3120" s="6"/>
      <c r="R3120" s="7"/>
      <c r="S3120" s="6"/>
      <c r="T3120" s="6"/>
      <c r="U3120" s="7"/>
      <c r="V3120" s="6"/>
      <c r="W3120" s="6"/>
      <c r="X3120" s="6"/>
      <c r="Y3120" s="6"/>
      <c r="Z3120" s="6"/>
      <c r="AA3120" s="7"/>
      <c r="AB3120" s="6"/>
      <c r="AC3120" s="6"/>
      <c r="AD3120" s="6"/>
      <c r="AE3120" s="12"/>
      <c r="AF3120" s="6"/>
      <c r="AG3120" s="12"/>
      <c r="AH3120" s="6"/>
      <c r="AI3120" s="6"/>
      <c r="AJ3120" s="12"/>
      <c r="AK3120" s="1"/>
      <c r="AL3120" s="12"/>
      <c r="AM3120" s="12"/>
      <c r="AN3120" s="1"/>
      <c r="AO3120" s="6"/>
    </row>
    <row r="3121" spans="1:41" ht="15" x14ac:dyDescent="0.25">
      <c r="A3121" s="1"/>
      <c r="B3121" s="1"/>
      <c r="C3121" s="1"/>
      <c r="D3121" s="1"/>
      <c r="E3121" s="6"/>
      <c r="F3121" s="1"/>
      <c r="G3121" s="6"/>
      <c r="H3121" s="6"/>
      <c r="I3121" s="6"/>
      <c r="J3121" s="6"/>
      <c r="K3121" s="6"/>
      <c r="L3121" s="6"/>
      <c r="M3121" s="6"/>
      <c r="N3121" s="6"/>
      <c r="O3121" s="7"/>
      <c r="P3121" s="6"/>
      <c r="Q3121" s="6"/>
      <c r="R3121" s="7"/>
      <c r="S3121" s="6"/>
      <c r="T3121" s="6"/>
      <c r="U3121" s="7"/>
      <c r="V3121" s="6"/>
      <c r="W3121" s="6"/>
      <c r="X3121" s="12"/>
      <c r="Y3121" s="6"/>
      <c r="Z3121" s="6"/>
      <c r="AA3121" s="7"/>
      <c r="AB3121" s="6"/>
      <c r="AC3121" s="6"/>
      <c r="AD3121" s="6"/>
      <c r="AE3121" s="12"/>
      <c r="AF3121" s="12"/>
      <c r="AG3121" s="12"/>
      <c r="AH3121" s="12"/>
      <c r="AI3121" s="6"/>
      <c r="AJ3121" s="12"/>
      <c r="AK3121" s="1"/>
      <c r="AL3121" s="12"/>
      <c r="AM3121" s="12"/>
      <c r="AN3121" s="1"/>
      <c r="AO3121" s="6"/>
    </row>
    <row r="3122" spans="1:41" ht="15" x14ac:dyDescent="0.25">
      <c r="A3122" s="1"/>
      <c r="B3122" s="1"/>
      <c r="C3122" s="1"/>
      <c r="D3122" s="1"/>
      <c r="E3122" s="6"/>
      <c r="F3122" s="1"/>
      <c r="G3122" s="6"/>
      <c r="H3122" s="6"/>
      <c r="I3122" s="6"/>
      <c r="J3122" s="6"/>
      <c r="K3122" s="6"/>
      <c r="L3122" s="6"/>
      <c r="M3122" s="6"/>
      <c r="N3122" s="6"/>
      <c r="O3122" s="7"/>
      <c r="P3122" s="6"/>
      <c r="Q3122" s="6"/>
      <c r="R3122" s="7"/>
      <c r="S3122" s="6"/>
      <c r="T3122" s="6"/>
      <c r="U3122" s="7"/>
      <c r="V3122" s="6"/>
      <c r="W3122" s="6"/>
      <c r="X3122" s="12"/>
      <c r="Y3122" s="6"/>
      <c r="Z3122" s="6"/>
      <c r="AA3122" s="7"/>
      <c r="AB3122" s="6"/>
      <c r="AC3122" s="6"/>
      <c r="AD3122" s="6"/>
      <c r="AE3122" s="12"/>
      <c r="AF3122" s="6"/>
      <c r="AG3122" s="12"/>
      <c r="AH3122" s="6"/>
      <c r="AI3122" s="6"/>
      <c r="AJ3122" s="12"/>
      <c r="AK3122" s="24"/>
      <c r="AL3122" s="25"/>
      <c r="AM3122" s="12"/>
      <c r="AN3122" s="1"/>
      <c r="AO3122" s="6"/>
    </row>
    <row r="3123" spans="1:41" ht="15" x14ac:dyDescent="0.25">
      <c r="A3123" s="1"/>
      <c r="B3123" s="1"/>
      <c r="C3123" s="1"/>
      <c r="D3123" s="1"/>
      <c r="E3123" s="6"/>
      <c r="F3123" s="1"/>
      <c r="G3123" s="6"/>
      <c r="H3123" s="6"/>
      <c r="I3123" s="6"/>
      <c r="J3123" s="6"/>
      <c r="K3123" s="6"/>
      <c r="L3123" s="6"/>
      <c r="M3123" s="6"/>
      <c r="N3123" s="6"/>
      <c r="O3123" s="7"/>
      <c r="P3123" s="6"/>
      <c r="Q3123" s="6"/>
      <c r="R3123" s="7"/>
      <c r="S3123" s="6"/>
      <c r="T3123" s="6"/>
      <c r="U3123" s="7"/>
      <c r="V3123" s="6"/>
      <c r="W3123" s="6"/>
      <c r="X3123" s="6"/>
      <c r="Y3123" s="6"/>
      <c r="Z3123" s="6"/>
      <c r="AA3123" s="7"/>
      <c r="AB3123" s="6"/>
      <c r="AC3123" s="6"/>
      <c r="AD3123" s="6"/>
      <c r="AE3123" s="12"/>
      <c r="AF3123" s="6"/>
      <c r="AG3123" s="12"/>
      <c r="AH3123" s="6"/>
      <c r="AI3123" s="6"/>
      <c r="AJ3123" s="12"/>
      <c r="AK3123" s="24"/>
      <c r="AL3123" s="25"/>
      <c r="AM3123" s="12"/>
      <c r="AN3123" s="1"/>
      <c r="AO3123" s="6"/>
    </row>
    <row r="3124" spans="1:41" ht="15" x14ac:dyDescent="0.25">
      <c r="A3124" s="1"/>
      <c r="B3124" s="1"/>
      <c r="C3124" s="1"/>
      <c r="D3124" s="1"/>
      <c r="E3124" s="6"/>
      <c r="F3124" s="1"/>
      <c r="G3124" s="6"/>
      <c r="H3124" s="6"/>
      <c r="I3124" s="6"/>
      <c r="J3124" s="6"/>
      <c r="K3124" s="6"/>
      <c r="L3124" s="6"/>
      <c r="M3124" s="6"/>
      <c r="N3124" s="6"/>
      <c r="O3124" s="7"/>
      <c r="P3124" s="6"/>
      <c r="Q3124" s="6"/>
      <c r="R3124" s="7"/>
      <c r="S3124" s="6"/>
      <c r="T3124" s="6"/>
      <c r="U3124" s="7"/>
      <c r="V3124" s="6"/>
      <c r="W3124" s="6"/>
      <c r="X3124" s="6"/>
      <c r="Y3124" s="6"/>
      <c r="Z3124" s="6"/>
      <c r="AA3124" s="7"/>
      <c r="AB3124" s="6"/>
      <c r="AC3124" s="6"/>
      <c r="AD3124" s="6"/>
      <c r="AE3124" s="12"/>
      <c r="AF3124" s="12"/>
      <c r="AG3124" s="12"/>
      <c r="AH3124" s="12"/>
      <c r="AI3124" s="6"/>
      <c r="AJ3124" s="12"/>
      <c r="AK3124" s="1"/>
      <c r="AL3124" s="12"/>
      <c r="AM3124" s="12"/>
      <c r="AN3124" s="1"/>
      <c r="AO3124" s="6"/>
    </row>
    <row r="3125" spans="1:41" ht="15" x14ac:dyDescent="0.25">
      <c r="A3125" s="1"/>
      <c r="B3125" s="1"/>
      <c r="C3125" s="1"/>
      <c r="D3125" s="1"/>
      <c r="E3125" s="6"/>
      <c r="F3125" s="1"/>
      <c r="G3125" s="6"/>
      <c r="H3125" s="6"/>
      <c r="I3125" s="6"/>
      <c r="J3125" s="6"/>
      <c r="K3125" s="6"/>
      <c r="L3125" s="6"/>
      <c r="M3125" s="6"/>
      <c r="N3125" s="6"/>
      <c r="O3125" s="7"/>
      <c r="P3125" s="6"/>
      <c r="Q3125" s="6"/>
      <c r="R3125" s="7"/>
      <c r="S3125" s="6"/>
      <c r="T3125" s="6"/>
      <c r="U3125" s="7"/>
      <c r="V3125" s="6"/>
      <c r="W3125" s="6"/>
      <c r="X3125" s="12"/>
      <c r="Y3125" s="6"/>
      <c r="Z3125" s="6"/>
      <c r="AA3125" s="7"/>
      <c r="AB3125" s="6"/>
      <c r="AC3125" s="6"/>
      <c r="AD3125" s="6"/>
      <c r="AE3125" s="12"/>
      <c r="AF3125" s="12"/>
      <c r="AG3125" s="12"/>
      <c r="AH3125" s="12"/>
      <c r="AI3125" s="6"/>
      <c r="AJ3125" s="12"/>
      <c r="AK3125" s="1"/>
      <c r="AL3125" s="12"/>
      <c r="AM3125" s="12"/>
      <c r="AN3125" s="1"/>
      <c r="AO3125" s="6"/>
    </row>
    <row r="3126" spans="1:41" ht="15" x14ac:dyDescent="0.25">
      <c r="A3126" s="1"/>
      <c r="B3126" s="1"/>
      <c r="C3126" s="1"/>
      <c r="D3126" s="1"/>
      <c r="E3126" s="6"/>
      <c r="F3126" s="1"/>
      <c r="G3126" s="6"/>
      <c r="H3126" s="6"/>
      <c r="I3126" s="6"/>
      <c r="J3126" s="6"/>
      <c r="K3126" s="6"/>
      <c r="L3126" s="6"/>
      <c r="M3126" s="6"/>
      <c r="N3126" s="6"/>
      <c r="O3126" s="7"/>
      <c r="P3126" s="6"/>
      <c r="Q3126" s="7"/>
      <c r="R3126" s="6"/>
      <c r="S3126" s="6"/>
      <c r="T3126" s="6"/>
      <c r="U3126" s="6"/>
      <c r="V3126" s="7"/>
      <c r="W3126" s="7"/>
      <c r="X3126" s="6"/>
      <c r="Y3126" s="6"/>
      <c r="Z3126" s="6"/>
      <c r="AA3126" s="1"/>
      <c r="AB3126" s="12"/>
      <c r="AC3126" s="12"/>
      <c r="AD3126" s="12"/>
      <c r="AE3126" s="12"/>
      <c r="AF3126" s="12"/>
      <c r="AG3126" s="12"/>
      <c r="AH3126" s="12"/>
      <c r="AI3126" s="6"/>
      <c r="AJ3126" s="12"/>
      <c r="AK3126" s="12"/>
      <c r="AL3126" s="12"/>
      <c r="AM3126" s="12"/>
      <c r="AN3126" s="1"/>
      <c r="AO3126" s="6"/>
    </row>
    <row r="3127" spans="1:41" ht="15" x14ac:dyDescent="0.25">
      <c r="A3127" s="1"/>
      <c r="B3127" s="1"/>
      <c r="C3127" s="1"/>
      <c r="D3127" s="1"/>
      <c r="E3127" s="6"/>
      <c r="F3127" s="1"/>
      <c r="G3127" s="6"/>
      <c r="H3127" s="6"/>
      <c r="I3127" s="6"/>
      <c r="J3127" s="6"/>
      <c r="K3127" s="6"/>
      <c r="L3127" s="6"/>
      <c r="M3127" s="6"/>
      <c r="N3127" s="6"/>
      <c r="O3127" s="7"/>
      <c r="P3127" s="6"/>
      <c r="Q3127" s="6"/>
      <c r="R3127" s="7"/>
      <c r="S3127" s="6"/>
      <c r="T3127" s="6"/>
      <c r="U3127" s="7"/>
      <c r="V3127" s="6"/>
      <c r="W3127" s="6"/>
      <c r="X3127" s="6"/>
      <c r="Y3127" s="6"/>
      <c r="Z3127" s="6"/>
      <c r="AA3127" s="7"/>
      <c r="AB3127" s="6"/>
      <c r="AC3127" s="6"/>
      <c r="AD3127" s="6"/>
      <c r="AE3127" s="12"/>
      <c r="AF3127" s="6"/>
      <c r="AG3127" s="12"/>
      <c r="AH3127" s="6"/>
      <c r="AI3127" s="6"/>
      <c r="AJ3127" s="12"/>
      <c r="AK3127" s="24"/>
      <c r="AL3127" s="25"/>
      <c r="AM3127" s="12"/>
      <c r="AN3127" s="1"/>
      <c r="AO3127" s="6"/>
    </row>
    <row r="3128" spans="1:41" ht="15" x14ac:dyDescent="0.25">
      <c r="A3128" s="1"/>
      <c r="B3128" s="1"/>
      <c r="C3128" s="1"/>
      <c r="D3128" s="1"/>
      <c r="E3128" s="6"/>
      <c r="F3128" s="1"/>
      <c r="G3128" s="6"/>
      <c r="H3128" s="6"/>
      <c r="I3128" s="6"/>
      <c r="J3128" s="6"/>
      <c r="K3128" s="6"/>
      <c r="L3128" s="6"/>
      <c r="M3128" s="6"/>
      <c r="N3128" s="6"/>
      <c r="O3128" s="7"/>
      <c r="P3128" s="12"/>
      <c r="Q3128" s="6"/>
      <c r="R3128" s="7"/>
      <c r="S3128" s="6"/>
      <c r="T3128" s="6"/>
      <c r="U3128" s="7"/>
      <c r="V3128" s="6"/>
      <c r="W3128" s="6"/>
      <c r="X3128" s="12"/>
      <c r="Y3128" s="6"/>
      <c r="Z3128" s="6"/>
      <c r="AA3128" s="7"/>
      <c r="AB3128" s="6"/>
      <c r="AC3128" s="6"/>
      <c r="AD3128" s="6"/>
      <c r="AE3128" s="12"/>
      <c r="AF3128" s="6"/>
      <c r="AG3128" s="12"/>
      <c r="AH3128" s="6"/>
      <c r="AI3128" s="6"/>
      <c r="AJ3128" s="12"/>
      <c r="AK3128" s="24"/>
      <c r="AL3128" s="25"/>
      <c r="AM3128" s="12"/>
      <c r="AN3128" s="1"/>
      <c r="AO3128" s="6"/>
    </row>
    <row r="3129" spans="1:41" ht="15" x14ac:dyDescent="0.25">
      <c r="A3129" s="1"/>
      <c r="B3129" s="1"/>
      <c r="C3129" s="1"/>
      <c r="D3129" s="1"/>
      <c r="E3129" s="6"/>
      <c r="F3129" s="1"/>
      <c r="G3129" s="6"/>
      <c r="H3129" s="6"/>
      <c r="I3129" s="6"/>
      <c r="J3129" s="6"/>
      <c r="K3129" s="6"/>
      <c r="L3129" s="6"/>
      <c r="M3129" s="6"/>
      <c r="N3129" s="6"/>
      <c r="O3129" s="7"/>
      <c r="P3129" s="6"/>
      <c r="Q3129" s="6"/>
      <c r="R3129" s="7"/>
      <c r="S3129" s="6"/>
      <c r="T3129" s="6"/>
      <c r="U3129" s="7"/>
      <c r="V3129" s="6"/>
      <c r="W3129" s="6"/>
      <c r="X3129" s="12"/>
      <c r="Y3129" s="6"/>
      <c r="Z3129" s="6"/>
      <c r="AA3129" s="7"/>
      <c r="AB3129" s="6"/>
      <c r="AC3129" s="6"/>
      <c r="AD3129" s="6"/>
      <c r="AE3129" s="12"/>
      <c r="AF3129" s="6"/>
      <c r="AG3129" s="12"/>
      <c r="AH3129" s="6"/>
      <c r="AI3129" s="6"/>
      <c r="AJ3129" s="12"/>
      <c r="AK3129" s="1"/>
      <c r="AL3129" s="12"/>
      <c r="AM3129" s="12"/>
      <c r="AN3129" s="1"/>
      <c r="AO3129" s="6"/>
    </row>
    <row r="3130" spans="1:41" ht="15" x14ac:dyDescent="0.25">
      <c r="A3130" s="1"/>
      <c r="B3130" s="1"/>
      <c r="C3130" s="1"/>
      <c r="D3130" s="1"/>
      <c r="E3130" s="6"/>
      <c r="F3130" s="1"/>
      <c r="G3130" s="6"/>
      <c r="H3130" s="6"/>
      <c r="I3130" s="6"/>
      <c r="J3130" s="6"/>
      <c r="K3130" s="6"/>
      <c r="L3130" s="6"/>
      <c r="M3130" s="6"/>
      <c r="N3130" s="6"/>
      <c r="O3130" s="7"/>
      <c r="P3130" s="12"/>
      <c r="Q3130" s="6"/>
      <c r="R3130" s="7"/>
      <c r="S3130" s="6"/>
      <c r="T3130" s="6"/>
      <c r="U3130" s="7"/>
      <c r="V3130" s="6"/>
      <c r="W3130" s="6"/>
      <c r="X3130" s="12"/>
      <c r="Y3130" s="6"/>
      <c r="Z3130" s="6"/>
      <c r="AA3130" s="7"/>
      <c r="AB3130" s="6"/>
      <c r="AC3130" s="6"/>
      <c r="AD3130" s="6"/>
      <c r="AE3130" s="12"/>
      <c r="AF3130" s="12"/>
      <c r="AG3130" s="12"/>
      <c r="AH3130" s="12"/>
      <c r="AI3130" s="6"/>
      <c r="AJ3130" s="12"/>
      <c r="AK3130" s="1"/>
      <c r="AL3130" s="12"/>
      <c r="AM3130" s="12"/>
      <c r="AN3130" s="1"/>
      <c r="AO3130" s="6"/>
    </row>
    <row r="3131" spans="1:41" ht="15" x14ac:dyDescent="0.25">
      <c r="A3131" s="1"/>
      <c r="B3131" s="1"/>
      <c r="C3131" s="1"/>
      <c r="D3131" s="1"/>
      <c r="E3131" s="6"/>
      <c r="F3131" s="1"/>
      <c r="G3131" s="6"/>
      <c r="H3131" s="6"/>
      <c r="I3131" s="6"/>
      <c r="J3131" s="6"/>
      <c r="K3131" s="6"/>
      <c r="L3131" s="6"/>
      <c r="M3131" s="6"/>
      <c r="N3131" s="6"/>
      <c r="O3131" s="7"/>
      <c r="P3131" s="6"/>
      <c r="Q3131" s="6"/>
      <c r="R3131" s="7"/>
      <c r="S3131" s="6"/>
      <c r="T3131" s="6"/>
      <c r="U3131" s="7"/>
      <c r="V3131" s="6"/>
      <c r="W3131" s="6"/>
      <c r="X3131" s="6"/>
      <c r="Y3131" s="6"/>
      <c r="Z3131" s="6"/>
      <c r="AA3131" s="7"/>
      <c r="AB3131" s="6"/>
      <c r="AC3131" s="6"/>
      <c r="AD3131" s="6"/>
      <c r="AE3131" s="12"/>
      <c r="AF3131" s="6"/>
      <c r="AG3131" s="12"/>
      <c r="AH3131" s="6"/>
      <c r="AI3131" s="6"/>
      <c r="AJ3131" s="12"/>
      <c r="AK3131" s="24"/>
      <c r="AL3131" s="25"/>
      <c r="AM3131" s="12"/>
      <c r="AN3131" s="1"/>
      <c r="AO3131" s="6"/>
    </row>
    <row r="3132" spans="1:41" ht="15" x14ac:dyDescent="0.25">
      <c r="A3132" s="1"/>
      <c r="B3132" s="1"/>
      <c r="C3132" s="1"/>
      <c r="D3132" s="1"/>
      <c r="E3132" s="6"/>
      <c r="F3132" s="1"/>
      <c r="G3132" s="6"/>
      <c r="H3132" s="6"/>
      <c r="I3132" s="6"/>
      <c r="J3132" s="6"/>
      <c r="K3132" s="6"/>
      <c r="L3132" s="6"/>
      <c r="M3132" s="6"/>
      <c r="N3132" s="6"/>
      <c r="O3132" s="7"/>
      <c r="P3132" s="6"/>
      <c r="Q3132" s="6"/>
      <c r="R3132" s="7"/>
      <c r="S3132" s="6"/>
      <c r="T3132" s="6"/>
      <c r="U3132" s="7"/>
      <c r="V3132" s="6"/>
      <c r="W3132" s="6"/>
      <c r="X3132" s="6"/>
      <c r="Y3132" s="6"/>
      <c r="Z3132" s="6"/>
      <c r="AA3132" s="7"/>
      <c r="AB3132" s="6"/>
      <c r="AC3132" s="6"/>
      <c r="AD3132" s="6"/>
      <c r="AE3132" s="12"/>
      <c r="AF3132" s="6"/>
      <c r="AG3132" s="12"/>
      <c r="AH3132" s="6"/>
      <c r="AI3132" s="6"/>
      <c r="AJ3132" s="12"/>
      <c r="AK3132" s="1"/>
      <c r="AL3132" s="12"/>
      <c r="AM3132" s="12"/>
      <c r="AN3132" s="1"/>
      <c r="AO3132" s="6"/>
    </row>
    <row r="3133" spans="1:41" ht="15" x14ac:dyDescent="0.25">
      <c r="A3133" s="1"/>
      <c r="B3133" s="1"/>
      <c r="C3133" s="1"/>
      <c r="D3133" s="1"/>
      <c r="E3133" s="6"/>
      <c r="F3133" s="1"/>
      <c r="G3133" s="6"/>
      <c r="H3133" s="6"/>
      <c r="I3133" s="6"/>
      <c r="J3133" s="6"/>
      <c r="K3133" s="12"/>
      <c r="L3133" s="12"/>
      <c r="M3133" s="6"/>
      <c r="N3133" s="6"/>
      <c r="O3133" s="7"/>
      <c r="P3133" s="6"/>
      <c r="Q3133" s="7"/>
      <c r="R3133" s="6"/>
      <c r="S3133" s="6"/>
      <c r="T3133" s="6"/>
      <c r="U3133" s="6"/>
      <c r="V3133" s="7"/>
      <c r="W3133" s="7"/>
      <c r="X3133" s="6"/>
      <c r="Y3133" s="6"/>
      <c r="Z3133" s="6"/>
      <c r="AA3133" s="1"/>
      <c r="AB3133" s="12"/>
      <c r="AC3133" s="12"/>
      <c r="AD3133" s="12"/>
      <c r="AE3133" s="12"/>
      <c r="AF3133" s="12"/>
      <c r="AG3133" s="12"/>
      <c r="AH3133" s="12"/>
      <c r="AI3133" s="6"/>
      <c r="AJ3133" s="12"/>
      <c r="AK3133" s="12"/>
      <c r="AL3133" s="12"/>
      <c r="AM3133" s="12"/>
      <c r="AN3133" s="1"/>
      <c r="AO3133" s="6"/>
    </row>
    <row r="3134" spans="1:41" ht="15" x14ac:dyDescent="0.25">
      <c r="A3134" s="1"/>
      <c r="B3134" s="1"/>
      <c r="C3134" s="1"/>
      <c r="D3134" s="1"/>
      <c r="E3134" s="6"/>
      <c r="F3134" s="1"/>
      <c r="G3134" s="6"/>
      <c r="H3134" s="6"/>
      <c r="I3134" s="6"/>
      <c r="J3134" s="6"/>
      <c r="K3134" s="6"/>
      <c r="L3134" s="6"/>
      <c r="M3134" s="6"/>
      <c r="N3134" s="6"/>
      <c r="O3134" s="7"/>
      <c r="P3134" s="6"/>
      <c r="Q3134" s="6"/>
      <c r="R3134" s="7"/>
      <c r="S3134" s="6"/>
      <c r="T3134" s="6"/>
      <c r="U3134" s="7"/>
      <c r="V3134" s="6"/>
      <c r="W3134" s="6"/>
      <c r="X3134" s="6"/>
      <c r="Y3134" s="6"/>
      <c r="Z3134" s="6"/>
      <c r="AA3134" s="7"/>
      <c r="AB3134" s="6"/>
      <c r="AC3134" s="6"/>
      <c r="AD3134" s="6"/>
      <c r="AE3134" s="12"/>
      <c r="AF3134" s="6"/>
      <c r="AG3134" s="12"/>
      <c r="AH3134" s="6"/>
      <c r="AI3134" s="6"/>
      <c r="AJ3134" s="12"/>
      <c r="AK3134" s="24"/>
      <c r="AL3134" s="25"/>
      <c r="AM3134" s="12"/>
      <c r="AN3134" s="1"/>
      <c r="AO3134" s="6"/>
    </row>
    <row r="3135" spans="1:41" ht="15" x14ac:dyDescent="0.25">
      <c r="A3135" s="1"/>
      <c r="B3135" s="1"/>
      <c r="C3135" s="1"/>
      <c r="D3135" s="1"/>
      <c r="E3135" s="6"/>
      <c r="F3135" s="1"/>
      <c r="G3135" s="6"/>
      <c r="H3135" s="6"/>
      <c r="I3135" s="6"/>
      <c r="J3135" s="6"/>
      <c r="K3135" s="6"/>
      <c r="L3135" s="6"/>
      <c r="M3135" s="6"/>
      <c r="N3135" s="6"/>
      <c r="O3135" s="7"/>
      <c r="P3135" s="12"/>
      <c r="Q3135" s="6"/>
      <c r="R3135" s="7"/>
      <c r="S3135" s="6"/>
      <c r="T3135" s="6"/>
      <c r="U3135" s="7"/>
      <c r="V3135" s="6"/>
      <c r="W3135" s="6"/>
      <c r="X3135" s="6"/>
      <c r="Y3135" s="6"/>
      <c r="Z3135" s="6"/>
      <c r="AA3135" s="7"/>
      <c r="AB3135" s="6"/>
      <c r="AC3135" s="6"/>
      <c r="AD3135" s="6"/>
      <c r="AE3135" s="12"/>
      <c r="AF3135" s="12"/>
      <c r="AG3135" s="12"/>
      <c r="AH3135" s="12"/>
      <c r="AI3135" s="6"/>
      <c r="AJ3135" s="12"/>
      <c r="AK3135" s="1"/>
      <c r="AL3135" s="12"/>
      <c r="AM3135" s="12"/>
      <c r="AN3135" s="1"/>
      <c r="AO3135" s="6"/>
    </row>
    <row r="3136" spans="1:41" ht="15" x14ac:dyDescent="0.25">
      <c r="A3136" s="1"/>
      <c r="B3136" s="1"/>
      <c r="C3136" s="1"/>
      <c r="D3136" s="1"/>
      <c r="E3136" s="6"/>
      <c r="F3136" s="1"/>
      <c r="G3136" s="6"/>
      <c r="H3136" s="6"/>
      <c r="I3136" s="6"/>
      <c r="J3136" s="6"/>
      <c r="K3136" s="6"/>
      <c r="L3136" s="6"/>
      <c r="M3136" s="6"/>
      <c r="N3136" s="6"/>
      <c r="O3136" s="7"/>
      <c r="P3136" s="6"/>
      <c r="Q3136" s="6"/>
      <c r="R3136" s="7"/>
      <c r="S3136" s="6"/>
      <c r="T3136" s="6"/>
      <c r="U3136" s="7"/>
      <c r="V3136" s="6"/>
      <c r="W3136" s="6"/>
      <c r="X3136" s="12"/>
      <c r="Y3136" s="6"/>
      <c r="Z3136" s="6"/>
      <c r="AA3136" s="7"/>
      <c r="AB3136" s="6"/>
      <c r="AC3136" s="6"/>
      <c r="AD3136" s="6"/>
      <c r="AE3136" s="12"/>
      <c r="AF3136" s="6"/>
      <c r="AG3136" s="12"/>
      <c r="AH3136" s="6"/>
      <c r="AI3136" s="6"/>
      <c r="AJ3136" s="12"/>
      <c r="AK3136" s="1"/>
      <c r="AL3136" s="12"/>
      <c r="AM3136" s="12"/>
      <c r="AN3136" s="1"/>
      <c r="AO3136" s="6"/>
    </row>
    <row r="3137" spans="1:41" ht="15" x14ac:dyDescent="0.25">
      <c r="A3137" s="1"/>
      <c r="B3137" s="1"/>
      <c r="C3137" s="1"/>
      <c r="D3137" s="1"/>
      <c r="E3137" s="6"/>
      <c r="F3137" s="1"/>
      <c r="G3137" s="6"/>
      <c r="H3137" s="6"/>
      <c r="I3137" s="6"/>
      <c r="J3137" s="6"/>
      <c r="K3137" s="6"/>
      <c r="L3137" s="6"/>
      <c r="M3137" s="6"/>
      <c r="N3137" s="6"/>
      <c r="O3137" s="7"/>
      <c r="P3137" s="6"/>
      <c r="Q3137" s="6"/>
      <c r="R3137" s="7"/>
      <c r="S3137" s="6"/>
      <c r="T3137" s="6"/>
      <c r="U3137" s="7"/>
      <c r="V3137" s="6"/>
      <c r="W3137" s="6"/>
      <c r="X3137" s="6"/>
      <c r="Y3137" s="6"/>
      <c r="Z3137" s="6"/>
      <c r="AA3137" s="7"/>
      <c r="AB3137" s="6"/>
      <c r="AC3137" s="6"/>
      <c r="AD3137" s="6"/>
      <c r="AE3137" s="12"/>
      <c r="AF3137" s="6"/>
      <c r="AG3137" s="12"/>
      <c r="AH3137" s="6"/>
      <c r="AI3137" s="6"/>
      <c r="AJ3137" s="12"/>
      <c r="AK3137" s="1"/>
      <c r="AL3137" s="12"/>
      <c r="AM3137" s="12"/>
      <c r="AN3137" s="1"/>
      <c r="AO3137" s="6"/>
    </row>
    <row r="3138" spans="1:41" ht="15" x14ac:dyDescent="0.25">
      <c r="A3138" s="1"/>
      <c r="B3138" s="1"/>
      <c r="C3138" s="1"/>
      <c r="D3138" s="1"/>
      <c r="E3138" s="6"/>
      <c r="F3138" s="1"/>
      <c r="G3138" s="6"/>
      <c r="H3138" s="6"/>
      <c r="I3138" s="6"/>
      <c r="J3138" s="6"/>
      <c r="K3138" s="6"/>
      <c r="L3138" s="6"/>
      <c r="M3138" s="6"/>
      <c r="N3138" s="6"/>
      <c r="O3138" s="7"/>
      <c r="P3138" s="6"/>
      <c r="Q3138" s="6"/>
      <c r="R3138" s="7"/>
      <c r="S3138" s="6"/>
      <c r="T3138" s="6"/>
      <c r="U3138" s="7"/>
      <c r="V3138" s="6"/>
      <c r="W3138" s="6"/>
      <c r="X3138" s="6"/>
      <c r="Y3138" s="6"/>
      <c r="Z3138" s="6"/>
      <c r="AA3138" s="7"/>
      <c r="AB3138" s="6"/>
      <c r="AC3138" s="6"/>
      <c r="AD3138" s="6"/>
      <c r="AE3138" s="12"/>
      <c r="AF3138" s="6"/>
      <c r="AG3138" s="12"/>
      <c r="AH3138" s="6"/>
      <c r="AI3138" s="6"/>
      <c r="AJ3138" s="12"/>
      <c r="AK3138" s="24"/>
      <c r="AL3138" s="25"/>
      <c r="AM3138" s="12"/>
      <c r="AN3138" s="1"/>
      <c r="AO3138" s="6"/>
    </row>
    <row r="3139" spans="1:41" ht="15" x14ac:dyDescent="0.25">
      <c r="A3139" s="1"/>
      <c r="B3139" s="1"/>
      <c r="C3139" s="1"/>
      <c r="D3139" s="1"/>
      <c r="E3139" s="6"/>
      <c r="F3139" s="1"/>
      <c r="G3139" s="6"/>
      <c r="H3139" s="6"/>
      <c r="I3139" s="6"/>
      <c r="J3139" s="6"/>
      <c r="K3139" s="6"/>
      <c r="L3139" s="6"/>
      <c r="M3139" s="6"/>
      <c r="N3139" s="6"/>
      <c r="O3139" s="7"/>
      <c r="P3139" s="6"/>
      <c r="Q3139" s="7"/>
      <c r="R3139" s="6"/>
      <c r="S3139" s="6"/>
      <c r="T3139" s="6"/>
      <c r="U3139" s="6"/>
      <c r="V3139" s="7"/>
      <c r="W3139" s="6"/>
      <c r="X3139" s="6"/>
      <c r="Y3139" s="6"/>
      <c r="Z3139" s="6"/>
      <c r="AA3139" s="24"/>
      <c r="AB3139" s="25"/>
      <c r="AC3139" s="12"/>
      <c r="AD3139" s="12"/>
      <c r="AE3139" s="12"/>
      <c r="AF3139" s="6"/>
      <c r="AG3139" s="12"/>
      <c r="AH3139" s="6"/>
      <c r="AI3139" s="6"/>
      <c r="AJ3139" s="12"/>
      <c r="AK3139" s="12"/>
      <c r="AL3139" s="12"/>
      <c r="AM3139" s="12"/>
      <c r="AN3139" s="1"/>
      <c r="AO3139" s="6"/>
    </row>
    <row r="3140" spans="1:41" ht="15" x14ac:dyDescent="0.25">
      <c r="A3140" s="1"/>
      <c r="B3140" s="1"/>
      <c r="C3140" s="1"/>
      <c r="D3140" s="1"/>
      <c r="E3140" s="6"/>
      <c r="F3140" s="1"/>
      <c r="G3140" s="6"/>
      <c r="H3140" s="6"/>
      <c r="I3140" s="6"/>
      <c r="J3140" s="6"/>
      <c r="K3140" s="6"/>
      <c r="L3140" s="6"/>
      <c r="M3140" s="6"/>
      <c r="N3140" s="6"/>
      <c r="O3140" s="7"/>
      <c r="P3140" s="6"/>
      <c r="Q3140" s="6"/>
      <c r="R3140" s="7"/>
      <c r="S3140" s="6"/>
      <c r="T3140" s="6"/>
      <c r="U3140" s="7"/>
      <c r="V3140" s="6"/>
      <c r="W3140" s="6"/>
      <c r="X3140" s="12"/>
      <c r="Y3140" s="6"/>
      <c r="Z3140" s="6"/>
      <c r="AA3140" s="7"/>
      <c r="AB3140" s="6"/>
      <c r="AC3140" s="6"/>
      <c r="AD3140" s="6"/>
      <c r="AE3140" s="12"/>
      <c r="AF3140" s="6"/>
      <c r="AG3140" s="12"/>
      <c r="AH3140" s="6"/>
      <c r="AI3140" s="6"/>
      <c r="AJ3140" s="12"/>
      <c r="AK3140" s="1"/>
      <c r="AL3140" s="12"/>
      <c r="AM3140" s="12"/>
      <c r="AN3140" s="1"/>
      <c r="AO3140" s="6"/>
    </row>
    <row r="3141" spans="1:41" ht="15" x14ac:dyDescent="0.25">
      <c r="A3141" s="1"/>
      <c r="B3141" s="1"/>
      <c r="C3141" s="1"/>
      <c r="D3141" s="1"/>
      <c r="E3141" s="6"/>
      <c r="F3141" s="1"/>
      <c r="G3141" s="6"/>
      <c r="H3141" s="6"/>
      <c r="I3141" s="6"/>
      <c r="J3141" s="6"/>
      <c r="K3141" s="6"/>
      <c r="L3141" s="6"/>
      <c r="M3141" s="6"/>
      <c r="N3141" s="6"/>
      <c r="O3141" s="7"/>
      <c r="P3141" s="6"/>
      <c r="Q3141" s="6"/>
      <c r="R3141" s="7"/>
      <c r="S3141" s="6"/>
      <c r="T3141" s="6"/>
      <c r="U3141" s="7"/>
      <c r="V3141" s="6"/>
      <c r="W3141" s="6"/>
      <c r="X3141" s="6"/>
      <c r="Y3141" s="6"/>
      <c r="Z3141" s="6"/>
      <c r="AA3141" s="7"/>
      <c r="AB3141" s="6"/>
      <c r="AC3141" s="6"/>
      <c r="AD3141" s="6"/>
      <c r="AE3141" s="12"/>
      <c r="AF3141" s="12"/>
      <c r="AG3141" s="12"/>
      <c r="AH3141" s="12"/>
      <c r="AI3141" s="6"/>
      <c r="AJ3141" s="12"/>
      <c r="AK3141" s="1"/>
      <c r="AL3141" s="12"/>
      <c r="AM3141" s="12"/>
      <c r="AN3141" s="1"/>
      <c r="AO3141" s="6"/>
    </row>
    <row r="3142" spans="1:41" ht="15" x14ac:dyDescent="0.25">
      <c r="A3142" s="1"/>
      <c r="B3142" s="1"/>
      <c r="C3142" s="1"/>
      <c r="D3142" s="1"/>
      <c r="E3142" s="6"/>
      <c r="F3142" s="1"/>
      <c r="G3142" s="6"/>
      <c r="H3142" s="6"/>
      <c r="I3142" s="6"/>
      <c r="J3142" s="6"/>
      <c r="K3142" s="6"/>
      <c r="L3142" s="6"/>
      <c r="M3142" s="6"/>
      <c r="N3142" s="6"/>
      <c r="O3142" s="7"/>
      <c r="P3142" s="6"/>
      <c r="Q3142" s="7"/>
      <c r="R3142" s="6"/>
      <c r="S3142" s="6"/>
      <c r="T3142" s="6"/>
      <c r="U3142" s="6"/>
      <c r="V3142" s="7"/>
      <c r="W3142" s="7"/>
      <c r="X3142" s="6"/>
      <c r="Y3142" s="6"/>
      <c r="Z3142" s="6"/>
      <c r="AA3142" s="1"/>
      <c r="AB3142" s="12"/>
      <c r="AC3142" s="12"/>
      <c r="AD3142" s="12"/>
      <c r="AE3142" s="12"/>
      <c r="AF3142" s="12"/>
      <c r="AG3142" s="12"/>
      <c r="AH3142" s="12"/>
      <c r="AI3142" s="6"/>
      <c r="AJ3142" s="12"/>
      <c r="AK3142" s="12"/>
      <c r="AL3142" s="12"/>
      <c r="AM3142" s="12"/>
      <c r="AN3142" s="1"/>
      <c r="AO3142" s="6"/>
    </row>
    <row r="3143" spans="1:41" ht="15" x14ac:dyDescent="0.25">
      <c r="A3143" s="1"/>
      <c r="B3143" s="1"/>
      <c r="C3143" s="1"/>
      <c r="D3143" s="1"/>
      <c r="E3143" s="6"/>
      <c r="F3143" s="1"/>
      <c r="G3143" s="6"/>
      <c r="H3143" s="6"/>
      <c r="I3143" s="6"/>
      <c r="J3143" s="6"/>
      <c r="K3143" s="12"/>
      <c r="L3143" s="12"/>
      <c r="M3143" s="6"/>
      <c r="N3143" s="6"/>
      <c r="O3143" s="7"/>
      <c r="P3143" s="6"/>
      <c r="Q3143" s="6"/>
      <c r="R3143" s="12"/>
      <c r="S3143" s="12"/>
      <c r="T3143" s="12"/>
      <c r="U3143" s="7"/>
      <c r="V3143" s="6"/>
      <c r="W3143" s="6"/>
      <c r="X3143" s="12"/>
      <c r="Y3143" s="6"/>
      <c r="Z3143" s="6"/>
      <c r="AA3143" s="7"/>
      <c r="AB3143" s="6"/>
      <c r="AC3143" s="6"/>
      <c r="AD3143" s="6"/>
      <c r="AE3143" s="12"/>
      <c r="AF3143" s="12"/>
      <c r="AG3143" s="12"/>
      <c r="AH3143" s="12"/>
      <c r="AI3143" s="6"/>
      <c r="AJ3143" s="12"/>
      <c r="AK3143" s="1"/>
      <c r="AL3143" s="12"/>
      <c r="AM3143" s="12"/>
      <c r="AN3143" s="1"/>
      <c r="AO3143" s="12"/>
    </row>
    <row r="3144" spans="1:41" ht="15" x14ac:dyDescent="0.25">
      <c r="A3144" s="1"/>
      <c r="B3144" s="1"/>
      <c r="C3144" s="1"/>
      <c r="D3144" s="1"/>
      <c r="E3144" s="6"/>
      <c r="F3144" s="1"/>
      <c r="G3144" s="6"/>
      <c r="H3144" s="6"/>
      <c r="I3144" s="6"/>
      <c r="J3144" s="6"/>
      <c r="K3144" s="6"/>
      <c r="L3144" s="6"/>
      <c r="M3144" s="6"/>
      <c r="N3144" s="6"/>
      <c r="O3144" s="7"/>
      <c r="P3144" s="6"/>
      <c r="Q3144" s="6"/>
      <c r="R3144" s="12"/>
      <c r="S3144" s="12"/>
      <c r="T3144" s="12"/>
      <c r="U3144" s="7"/>
      <c r="V3144" s="6"/>
      <c r="W3144" s="6"/>
      <c r="X3144" s="12"/>
      <c r="Y3144" s="6"/>
      <c r="Z3144" s="6"/>
      <c r="AA3144" s="7"/>
      <c r="AB3144" s="6"/>
      <c r="AC3144" s="6"/>
      <c r="AD3144" s="6"/>
      <c r="AE3144" s="12"/>
      <c r="AF3144" s="12"/>
      <c r="AG3144" s="12"/>
      <c r="AH3144" s="12"/>
      <c r="AI3144" s="6"/>
      <c r="AJ3144" s="12"/>
      <c r="AK3144" s="1"/>
      <c r="AL3144" s="12"/>
      <c r="AM3144" s="12"/>
      <c r="AN3144" s="1"/>
      <c r="AO3144" s="6"/>
    </row>
    <row r="3145" spans="1:41" ht="15" x14ac:dyDescent="0.25">
      <c r="A3145" s="1"/>
      <c r="B3145" s="1"/>
      <c r="C3145" s="1"/>
      <c r="D3145" s="1"/>
      <c r="E3145" s="6"/>
      <c r="F3145" s="1"/>
      <c r="G3145" s="6"/>
      <c r="H3145" s="6"/>
      <c r="I3145" s="6"/>
      <c r="J3145" s="6"/>
      <c r="K3145" s="6"/>
      <c r="L3145" s="6"/>
      <c r="M3145" s="6"/>
      <c r="N3145" s="6"/>
      <c r="O3145" s="7"/>
      <c r="P3145" s="6"/>
      <c r="Q3145" s="6"/>
      <c r="R3145" s="7"/>
      <c r="S3145" s="6"/>
      <c r="T3145" s="6"/>
      <c r="U3145" s="7"/>
      <c r="V3145" s="6"/>
      <c r="W3145" s="6"/>
      <c r="X3145" s="6"/>
      <c r="Y3145" s="6"/>
      <c r="Z3145" s="6"/>
      <c r="AA3145" s="7"/>
      <c r="AB3145" s="6"/>
      <c r="AC3145" s="6"/>
      <c r="AD3145" s="6"/>
      <c r="AE3145" s="12"/>
      <c r="AF3145" s="12"/>
      <c r="AG3145" s="12"/>
      <c r="AH3145" s="12"/>
      <c r="AI3145" s="6"/>
      <c r="AJ3145" s="12"/>
      <c r="AK3145" s="1"/>
      <c r="AL3145" s="12"/>
      <c r="AM3145" s="12"/>
      <c r="AN3145" s="1"/>
      <c r="AO3145" s="6"/>
    </row>
    <row r="3146" spans="1:41" ht="15" x14ac:dyDescent="0.25">
      <c r="A3146" s="1"/>
      <c r="B3146" s="1"/>
      <c r="C3146" s="1"/>
      <c r="D3146" s="1"/>
      <c r="E3146" s="6"/>
      <c r="F3146" s="1"/>
      <c r="G3146" s="6"/>
      <c r="H3146" s="6"/>
      <c r="I3146" s="6"/>
      <c r="J3146" s="6"/>
      <c r="K3146" s="6"/>
      <c r="L3146" s="6"/>
      <c r="M3146" s="6"/>
      <c r="N3146" s="6"/>
      <c r="O3146" s="7"/>
      <c r="P3146" s="6"/>
      <c r="Q3146" s="6"/>
      <c r="R3146" s="7"/>
      <c r="S3146" s="6"/>
      <c r="T3146" s="6"/>
      <c r="U3146" s="7"/>
      <c r="V3146" s="6"/>
      <c r="W3146" s="6"/>
      <c r="X3146" s="12"/>
      <c r="Y3146" s="6"/>
      <c r="Z3146" s="6"/>
      <c r="AA3146" s="7"/>
      <c r="AB3146" s="6"/>
      <c r="AC3146" s="6"/>
      <c r="AD3146" s="6"/>
      <c r="AE3146" s="12"/>
      <c r="AF3146" s="6"/>
      <c r="AG3146" s="12"/>
      <c r="AH3146" s="6"/>
      <c r="AI3146" s="6"/>
      <c r="AJ3146" s="12"/>
      <c r="AK3146" s="1"/>
      <c r="AL3146" s="12"/>
      <c r="AM3146" s="12"/>
      <c r="AN3146" s="1"/>
      <c r="AO3146" s="6"/>
    </row>
    <row r="3147" spans="1:41" ht="15" x14ac:dyDescent="0.25">
      <c r="A3147" s="1"/>
      <c r="B3147" s="1"/>
      <c r="C3147" s="1"/>
      <c r="D3147" s="1"/>
      <c r="E3147" s="6"/>
      <c r="F3147" s="1"/>
      <c r="G3147" s="6"/>
      <c r="H3147" s="6"/>
      <c r="I3147" s="6"/>
      <c r="J3147" s="6"/>
      <c r="K3147" s="6"/>
      <c r="L3147" s="6"/>
      <c r="M3147" s="6"/>
      <c r="N3147" s="6"/>
      <c r="O3147" s="7"/>
      <c r="P3147" s="6"/>
      <c r="Q3147" s="6"/>
      <c r="R3147" s="7"/>
      <c r="S3147" s="6"/>
      <c r="T3147" s="6"/>
      <c r="U3147" s="7"/>
      <c r="V3147" s="6"/>
      <c r="W3147" s="6"/>
      <c r="X3147" s="6"/>
      <c r="Y3147" s="6"/>
      <c r="Z3147" s="6"/>
      <c r="AA3147" s="7"/>
      <c r="AB3147" s="6"/>
      <c r="AC3147" s="6"/>
      <c r="AD3147" s="6"/>
      <c r="AE3147" s="12"/>
      <c r="AF3147" s="6"/>
      <c r="AG3147" s="12"/>
      <c r="AH3147" s="6"/>
      <c r="AI3147" s="6"/>
      <c r="AJ3147" s="12"/>
      <c r="AK3147" s="1"/>
      <c r="AL3147" s="12"/>
      <c r="AM3147" s="12"/>
      <c r="AN3147" s="1"/>
      <c r="AO3147" s="6"/>
    </row>
    <row r="3148" spans="1:41" ht="15" x14ac:dyDescent="0.25">
      <c r="A3148" s="1"/>
      <c r="B3148" s="1"/>
      <c r="C3148" s="1"/>
      <c r="D3148" s="1"/>
      <c r="E3148" s="6"/>
      <c r="F3148" s="1"/>
      <c r="G3148" s="6"/>
      <c r="H3148" s="6"/>
      <c r="I3148" s="6"/>
      <c r="J3148" s="6"/>
      <c r="K3148" s="6"/>
      <c r="L3148" s="6"/>
      <c r="M3148" s="6"/>
      <c r="N3148" s="6"/>
      <c r="O3148" s="7"/>
      <c r="P3148" s="6"/>
      <c r="Q3148" s="6"/>
      <c r="R3148" s="7"/>
      <c r="S3148" s="6"/>
      <c r="T3148" s="6"/>
      <c r="U3148" s="7"/>
      <c r="V3148" s="6"/>
      <c r="W3148" s="6"/>
      <c r="X3148" s="6"/>
      <c r="Y3148" s="6"/>
      <c r="Z3148" s="6"/>
      <c r="AA3148" s="7"/>
      <c r="AB3148" s="6"/>
      <c r="AC3148" s="6"/>
      <c r="AD3148" s="6"/>
      <c r="AE3148" s="12"/>
      <c r="AF3148" s="12"/>
      <c r="AG3148" s="12"/>
      <c r="AH3148" s="12"/>
      <c r="AI3148" s="6"/>
      <c r="AJ3148" s="12"/>
      <c r="AK3148" s="1"/>
      <c r="AL3148" s="12"/>
      <c r="AM3148" s="12"/>
      <c r="AN3148" s="1"/>
      <c r="AO3148" s="6"/>
    </row>
    <row r="3149" spans="1:41" ht="15" x14ac:dyDescent="0.25">
      <c r="A3149" s="1"/>
      <c r="B3149" s="1"/>
      <c r="C3149" s="1"/>
      <c r="D3149" s="1"/>
      <c r="E3149" s="6"/>
      <c r="F3149" s="1"/>
      <c r="G3149" s="6"/>
      <c r="H3149" s="6"/>
      <c r="I3149" s="6"/>
      <c r="J3149" s="6"/>
      <c r="K3149" s="6"/>
      <c r="L3149" s="6"/>
      <c r="M3149" s="6"/>
      <c r="N3149" s="6"/>
      <c r="O3149" s="7"/>
      <c r="P3149" s="12"/>
      <c r="Q3149" s="6"/>
      <c r="R3149" s="7"/>
      <c r="S3149" s="6"/>
      <c r="T3149" s="6"/>
      <c r="U3149" s="7"/>
      <c r="V3149" s="6"/>
      <c r="W3149" s="6"/>
      <c r="X3149" s="12"/>
      <c r="Y3149" s="6"/>
      <c r="Z3149" s="6"/>
      <c r="AA3149" s="7"/>
      <c r="AB3149" s="6"/>
      <c r="AC3149" s="6"/>
      <c r="AD3149" s="6"/>
      <c r="AE3149" s="12"/>
      <c r="AF3149" s="6"/>
      <c r="AG3149" s="12"/>
      <c r="AH3149" s="6"/>
      <c r="AI3149" s="6"/>
      <c r="AJ3149" s="12"/>
      <c r="AK3149" s="24"/>
      <c r="AL3149" s="25"/>
      <c r="AM3149" s="12"/>
      <c r="AN3149" s="1"/>
      <c r="AO3149" s="6"/>
    </row>
    <row r="3150" spans="1:41" ht="15" x14ac:dyDescent="0.25">
      <c r="A3150" s="1"/>
      <c r="B3150" s="1"/>
      <c r="C3150" s="1"/>
      <c r="D3150" s="1"/>
      <c r="E3150" s="6"/>
      <c r="F3150" s="1"/>
      <c r="G3150" s="6"/>
      <c r="H3150" s="6"/>
      <c r="I3150" s="6"/>
      <c r="J3150" s="6"/>
      <c r="K3150" s="6"/>
      <c r="L3150" s="6"/>
      <c r="M3150" s="6"/>
      <c r="N3150" s="6"/>
      <c r="O3150" s="7"/>
      <c r="P3150" s="6"/>
      <c r="Q3150" s="6"/>
      <c r="R3150" s="7"/>
      <c r="S3150" s="6"/>
      <c r="T3150" s="6"/>
      <c r="U3150" s="7"/>
      <c r="V3150" s="6"/>
      <c r="W3150" s="6"/>
      <c r="X3150" s="6"/>
      <c r="Y3150" s="6"/>
      <c r="Z3150" s="6"/>
      <c r="AA3150" s="7"/>
      <c r="AB3150" s="6"/>
      <c r="AC3150" s="6"/>
      <c r="AD3150" s="6"/>
      <c r="AE3150" s="12"/>
      <c r="AF3150" s="12"/>
      <c r="AG3150" s="12"/>
      <c r="AH3150" s="12"/>
      <c r="AI3150" s="6"/>
      <c r="AJ3150" s="12"/>
      <c r="AK3150" s="1"/>
      <c r="AL3150" s="12"/>
      <c r="AM3150" s="12"/>
      <c r="AN3150" s="1"/>
      <c r="AO3150" s="6"/>
    </row>
    <row r="3151" spans="1:41" ht="15" x14ac:dyDescent="0.25">
      <c r="A3151" s="1"/>
      <c r="B3151" s="1"/>
      <c r="C3151" s="1"/>
      <c r="D3151" s="1"/>
      <c r="E3151" s="6"/>
      <c r="F3151" s="1"/>
      <c r="G3151" s="6"/>
      <c r="H3151" s="6"/>
      <c r="I3151" s="6"/>
      <c r="J3151" s="6"/>
      <c r="K3151" s="6"/>
      <c r="L3151" s="6"/>
      <c r="M3151" s="6"/>
      <c r="N3151" s="6"/>
      <c r="O3151" s="7"/>
      <c r="P3151" s="6"/>
      <c r="Q3151" s="6"/>
      <c r="R3151" s="7"/>
      <c r="S3151" s="6"/>
      <c r="T3151" s="6"/>
      <c r="U3151" s="7"/>
      <c r="V3151" s="6"/>
      <c r="W3151" s="6"/>
      <c r="X3151" s="6"/>
      <c r="Y3151" s="6"/>
      <c r="Z3151" s="6"/>
      <c r="AA3151" s="7"/>
      <c r="AB3151" s="6"/>
      <c r="AC3151" s="6"/>
      <c r="AD3151" s="6"/>
      <c r="AE3151" s="12"/>
      <c r="AF3151" s="12"/>
      <c r="AG3151" s="12"/>
      <c r="AH3151" s="12"/>
      <c r="AI3151" s="6"/>
      <c r="AJ3151" s="12"/>
      <c r="AK3151" s="1"/>
      <c r="AL3151" s="12"/>
      <c r="AM3151" s="12"/>
      <c r="AN3151" s="1"/>
      <c r="AO3151" s="6"/>
    </row>
    <row r="3152" spans="1:41" ht="15" x14ac:dyDescent="0.25">
      <c r="A3152" s="1"/>
      <c r="B3152" s="1"/>
      <c r="C3152" s="1"/>
      <c r="D3152" s="1"/>
      <c r="E3152" s="6"/>
      <c r="F3152" s="1"/>
      <c r="G3152" s="6"/>
      <c r="H3152" s="6"/>
      <c r="I3152" s="6"/>
      <c r="J3152" s="6"/>
      <c r="K3152" s="12"/>
      <c r="L3152" s="12"/>
      <c r="M3152" s="6"/>
      <c r="N3152" s="6"/>
      <c r="O3152" s="7"/>
      <c r="P3152" s="6"/>
      <c r="Q3152" s="6"/>
      <c r="R3152" s="7"/>
      <c r="S3152" s="6"/>
      <c r="T3152" s="6"/>
      <c r="U3152" s="7"/>
      <c r="V3152" s="6"/>
      <c r="W3152" s="6"/>
      <c r="X3152" s="12"/>
      <c r="Y3152" s="6"/>
      <c r="Z3152" s="6"/>
      <c r="AA3152" s="7"/>
      <c r="AB3152" s="6"/>
      <c r="AC3152" s="6"/>
      <c r="AD3152" s="6"/>
      <c r="AE3152" s="12"/>
      <c r="AF3152" s="12"/>
      <c r="AG3152" s="12"/>
      <c r="AH3152" s="12"/>
      <c r="AI3152" s="6"/>
      <c r="AJ3152" s="12"/>
      <c r="AK3152" s="1"/>
      <c r="AL3152" s="12"/>
      <c r="AM3152" s="12"/>
      <c r="AN3152" s="1"/>
      <c r="AO3152" s="6"/>
    </row>
    <row r="3153" spans="1:41" ht="15" x14ac:dyDescent="0.25">
      <c r="A3153" s="1"/>
      <c r="B3153" s="1"/>
      <c r="C3153" s="1"/>
      <c r="D3153" s="1"/>
      <c r="E3153" s="6"/>
      <c r="F3153" s="1"/>
      <c r="G3153" s="6"/>
      <c r="H3153" s="6"/>
      <c r="I3153" s="6"/>
      <c r="J3153" s="6"/>
      <c r="K3153" s="6"/>
      <c r="L3153" s="6"/>
      <c r="M3153" s="6"/>
      <c r="N3153" s="6"/>
      <c r="O3153" s="7"/>
      <c r="P3153" s="6"/>
      <c r="Q3153" s="6"/>
      <c r="R3153" s="7"/>
      <c r="S3153" s="6"/>
      <c r="T3153" s="6"/>
      <c r="U3153" s="7"/>
      <c r="V3153" s="6"/>
      <c r="W3153" s="6"/>
      <c r="X3153" s="6"/>
      <c r="Y3153" s="6"/>
      <c r="Z3153" s="6"/>
      <c r="AA3153" s="7"/>
      <c r="AB3153" s="6"/>
      <c r="AC3153" s="6"/>
      <c r="AD3153" s="6"/>
      <c r="AE3153" s="12"/>
      <c r="AF3153" s="6"/>
      <c r="AG3153" s="12"/>
      <c r="AH3153" s="6"/>
      <c r="AI3153" s="6"/>
      <c r="AJ3153" s="12"/>
      <c r="AK3153" s="24"/>
      <c r="AL3153" s="25"/>
      <c r="AM3153" s="12"/>
      <c r="AN3153" s="1"/>
      <c r="AO3153" s="6"/>
    </row>
    <row r="3154" spans="1:41" ht="15" x14ac:dyDescent="0.25">
      <c r="A3154" s="1"/>
      <c r="B3154" s="1"/>
      <c r="C3154" s="1"/>
      <c r="D3154" s="1"/>
      <c r="E3154" s="6"/>
      <c r="F3154" s="1"/>
      <c r="G3154" s="6"/>
      <c r="H3154" s="6"/>
      <c r="I3154" s="6"/>
      <c r="J3154" s="6"/>
      <c r="K3154" s="6"/>
      <c r="L3154" s="6"/>
      <c r="M3154" s="6"/>
      <c r="N3154" s="6"/>
      <c r="O3154" s="7"/>
      <c r="P3154" s="6"/>
      <c r="Q3154" s="6"/>
      <c r="R3154" s="7"/>
      <c r="S3154" s="6"/>
      <c r="T3154" s="6"/>
      <c r="U3154" s="7"/>
      <c r="V3154" s="6"/>
      <c r="W3154" s="6"/>
      <c r="X3154" s="12"/>
      <c r="Y3154" s="6"/>
      <c r="Z3154" s="6"/>
      <c r="AA3154" s="15"/>
      <c r="AB3154" s="6"/>
      <c r="AC3154" s="6"/>
      <c r="AD3154" s="6"/>
      <c r="AE3154" s="12"/>
      <c r="AF3154" s="6"/>
      <c r="AG3154" s="12"/>
      <c r="AH3154" s="6"/>
      <c r="AI3154" s="6"/>
      <c r="AJ3154" s="12"/>
      <c r="AK3154" s="24"/>
      <c r="AL3154" s="25"/>
      <c r="AM3154" s="12"/>
      <c r="AN3154" s="1"/>
      <c r="AO3154" s="6"/>
    </row>
    <row r="3155" spans="1:41" ht="15" x14ac:dyDescent="0.25">
      <c r="A3155" s="1"/>
      <c r="B3155" s="1"/>
      <c r="C3155" s="1"/>
      <c r="D3155" s="1"/>
      <c r="E3155" s="6"/>
      <c r="F3155" s="1"/>
      <c r="G3155" s="6"/>
      <c r="H3155" s="6"/>
      <c r="I3155" s="6"/>
      <c r="J3155" s="6"/>
      <c r="K3155" s="6"/>
      <c r="L3155" s="6"/>
      <c r="M3155" s="6"/>
      <c r="N3155" s="6"/>
      <c r="O3155" s="7"/>
      <c r="P3155" s="6"/>
      <c r="Q3155" s="6"/>
      <c r="R3155" s="7"/>
      <c r="S3155" s="6"/>
      <c r="T3155" s="6"/>
      <c r="U3155" s="7"/>
      <c r="V3155" s="6"/>
      <c r="W3155" s="6"/>
      <c r="X3155" s="6"/>
      <c r="Y3155" s="6"/>
      <c r="Z3155" s="6"/>
      <c r="AA3155" s="7"/>
      <c r="AB3155" s="6"/>
      <c r="AC3155" s="6"/>
      <c r="AD3155" s="6"/>
      <c r="AE3155" s="12"/>
      <c r="AF3155" s="6"/>
      <c r="AG3155" s="12"/>
      <c r="AH3155" s="6"/>
      <c r="AI3155" s="6"/>
      <c r="AJ3155" s="12"/>
      <c r="AK3155" s="24"/>
      <c r="AL3155" s="25"/>
      <c r="AM3155" s="12"/>
      <c r="AN3155" s="1"/>
      <c r="AO3155" s="6"/>
    </row>
    <row r="3156" spans="1:41" ht="15" x14ac:dyDescent="0.25">
      <c r="A3156" s="1"/>
      <c r="B3156" s="1"/>
      <c r="C3156" s="1"/>
      <c r="D3156" s="1"/>
      <c r="E3156" s="6"/>
      <c r="F3156" s="1"/>
      <c r="G3156" s="6"/>
      <c r="H3156" s="6"/>
      <c r="I3156" s="6"/>
      <c r="J3156" s="6"/>
      <c r="K3156" s="6"/>
      <c r="L3156" s="6"/>
      <c r="M3156" s="6"/>
      <c r="N3156" s="6"/>
      <c r="O3156" s="7"/>
      <c r="P3156" s="6"/>
      <c r="Q3156" s="6"/>
      <c r="R3156" s="7"/>
      <c r="S3156" s="6"/>
      <c r="T3156" s="6"/>
      <c r="U3156" s="7"/>
      <c r="V3156" s="6"/>
      <c r="W3156" s="6"/>
      <c r="X3156" s="6"/>
      <c r="Y3156" s="6"/>
      <c r="Z3156" s="6"/>
      <c r="AA3156" s="7"/>
      <c r="AB3156" s="6"/>
      <c r="AC3156" s="6"/>
      <c r="AD3156" s="6"/>
      <c r="AE3156" s="12"/>
      <c r="AF3156" s="6"/>
      <c r="AG3156" s="12"/>
      <c r="AH3156" s="6"/>
      <c r="AI3156" s="6"/>
      <c r="AJ3156" s="12"/>
      <c r="AK3156" s="24"/>
      <c r="AL3156" s="25"/>
      <c r="AM3156" s="12"/>
      <c r="AN3156" s="1"/>
      <c r="AO3156" s="6"/>
    </row>
    <row r="3157" spans="1:41" ht="15" x14ac:dyDescent="0.25">
      <c r="A3157" s="1"/>
      <c r="B3157" s="1"/>
      <c r="C3157" s="1"/>
      <c r="D3157" s="1"/>
      <c r="E3157" s="6"/>
      <c r="F3157" s="1"/>
      <c r="G3157" s="6"/>
      <c r="H3157" s="6"/>
      <c r="I3157" s="6"/>
      <c r="J3157" s="6"/>
      <c r="K3157" s="12"/>
      <c r="L3157" s="12"/>
      <c r="M3157" s="6"/>
      <c r="N3157" s="6"/>
      <c r="O3157" s="7"/>
      <c r="P3157" s="6"/>
      <c r="Q3157" s="6"/>
      <c r="R3157" s="7"/>
      <c r="S3157" s="6"/>
      <c r="T3157" s="6"/>
      <c r="U3157" s="7"/>
      <c r="V3157" s="6"/>
      <c r="W3157" s="6"/>
      <c r="X3157" s="6"/>
      <c r="Y3157" s="6"/>
      <c r="Z3157" s="6"/>
      <c r="AA3157" s="7"/>
      <c r="AB3157" s="6"/>
      <c r="AC3157" s="6"/>
      <c r="AD3157" s="6"/>
      <c r="AE3157" s="12"/>
      <c r="AF3157" s="12"/>
      <c r="AG3157" s="12"/>
      <c r="AH3157" s="12"/>
      <c r="AI3157" s="6"/>
      <c r="AJ3157" s="12"/>
      <c r="AK3157" s="1"/>
      <c r="AL3157" s="12"/>
      <c r="AM3157" s="12"/>
      <c r="AN3157" s="1"/>
      <c r="AO3157" s="6"/>
    </row>
    <row r="3158" spans="1:41" ht="15" x14ac:dyDescent="0.25">
      <c r="A3158" s="1"/>
      <c r="B3158" s="1"/>
      <c r="C3158" s="1"/>
      <c r="D3158" s="1"/>
      <c r="E3158" s="6"/>
      <c r="F3158" s="1"/>
      <c r="G3158" s="6"/>
      <c r="H3158" s="6"/>
      <c r="I3158" s="6"/>
      <c r="J3158" s="6"/>
      <c r="K3158" s="6"/>
      <c r="L3158" s="6"/>
      <c r="M3158" s="6"/>
      <c r="N3158" s="6"/>
      <c r="O3158" s="7"/>
      <c r="P3158" s="6"/>
      <c r="Q3158" s="6"/>
      <c r="R3158" s="7"/>
      <c r="S3158" s="6"/>
      <c r="T3158" s="6"/>
      <c r="U3158" s="7"/>
      <c r="V3158" s="6"/>
      <c r="W3158" s="6"/>
      <c r="X3158" s="6"/>
      <c r="Y3158" s="6"/>
      <c r="Z3158" s="6"/>
      <c r="AA3158" s="7"/>
      <c r="AB3158" s="6"/>
      <c r="AC3158" s="6"/>
      <c r="AD3158" s="6"/>
      <c r="AE3158" s="12"/>
      <c r="AF3158" s="6"/>
      <c r="AG3158" s="12"/>
      <c r="AH3158" s="6"/>
      <c r="AI3158" s="6"/>
      <c r="AJ3158" s="12"/>
      <c r="AK3158" s="1"/>
      <c r="AL3158" s="12"/>
      <c r="AM3158" s="12"/>
      <c r="AN3158" s="1"/>
      <c r="AO3158" s="6"/>
    </row>
    <row r="3159" spans="1:41" ht="15" x14ac:dyDescent="0.25">
      <c r="A3159" s="1"/>
      <c r="B3159" s="1"/>
      <c r="C3159" s="1"/>
      <c r="D3159" s="1"/>
      <c r="E3159" s="6"/>
      <c r="F3159" s="1"/>
      <c r="G3159" s="6"/>
      <c r="H3159" s="6"/>
      <c r="I3159" s="6"/>
      <c r="J3159" s="6"/>
      <c r="K3159" s="6"/>
      <c r="L3159" s="6"/>
      <c r="M3159" s="6"/>
      <c r="N3159" s="6"/>
      <c r="O3159" s="7"/>
      <c r="P3159" s="6"/>
      <c r="Q3159" s="6"/>
      <c r="R3159" s="7"/>
      <c r="S3159" s="6"/>
      <c r="T3159" s="6"/>
      <c r="U3159" s="7"/>
      <c r="V3159" s="6"/>
      <c r="W3159" s="6"/>
      <c r="X3159" s="12"/>
      <c r="Y3159" s="6"/>
      <c r="Z3159" s="6"/>
      <c r="AA3159" s="7"/>
      <c r="AB3159" s="6"/>
      <c r="AC3159" s="6"/>
      <c r="AD3159" s="6"/>
      <c r="AE3159" s="12"/>
      <c r="AF3159" s="12"/>
      <c r="AG3159" s="12"/>
      <c r="AH3159" s="12"/>
      <c r="AI3159" s="6"/>
      <c r="AJ3159" s="12"/>
      <c r="AK3159" s="1"/>
      <c r="AL3159" s="12"/>
      <c r="AM3159" s="12"/>
      <c r="AN3159" s="1"/>
      <c r="AO3159" s="6"/>
    </row>
    <row r="3160" spans="1:41" ht="15" x14ac:dyDescent="0.25">
      <c r="A3160" s="1"/>
      <c r="B3160" s="1"/>
      <c r="C3160" s="1"/>
      <c r="D3160" s="1"/>
      <c r="E3160" s="6"/>
      <c r="F3160" s="1"/>
      <c r="G3160" s="6"/>
      <c r="H3160" s="6"/>
      <c r="I3160" s="6"/>
      <c r="J3160" s="6"/>
      <c r="K3160" s="6"/>
      <c r="L3160" s="6"/>
      <c r="M3160" s="6"/>
      <c r="N3160" s="6"/>
      <c r="O3160" s="7"/>
      <c r="P3160" s="6"/>
      <c r="Q3160" s="6"/>
      <c r="R3160" s="7"/>
      <c r="S3160" s="6"/>
      <c r="T3160" s="6"/>
      <c r="U3160" s="7"/>
      <c r="V3160" s="6"/>
      <c r="W3160" s="6"/>
      <c r="X3160" s="12"/>
      <c r="Y3160" s="6"/>
      <c r="Z3160" s="6"/>
      <c r="AA3160" s="7"/>
      <c r="AB3160" s="6"/>
      <c r="AC3160" s="6"/>
      <c r="AD3160" s="6"/>
      <c r="AE3160" s="12"/>
      <c r="AF3160" s="6"/>
      <c r="AG3160" s="12"/>
      <c r="AH3160" s="6"/>
      <c r="AI3160" s="6"/>
      <c r="AJ3160" s="12"/>
      <c r="AK3160" s="1"/>
      <c r="AL3160" s="12"/>
      <c r="AM3160" s="12"/>
      <c r="AN3160" s="1"/>
      <c r="AO3160" s="6"/>
    </row>
    <row r="3161" spans="1:41" ht="15" x14ac:dyDescent="0.25">
      <c r="A3161" s="1"/>
      <c r="B3161" s="1"/>
      <c r="C3161" s="1"/>
      <c r="D3161" s="1"/>
      <c r="E3161" s="6"/>
      <c r="F3161" s="1"/>
      <c r="G3161" s="6"/>
      <c r="H3161" s="6"/>
      <c r="I3161" s="6"/>
      <c r="J3161" s="6"/>
      <c r="K3161" s="6"/>
      <c r="L3161" s="6"/>
      <c r="M3161" s="6"/>
      <c r="N3161" s="6"/>
      <c r="O3161" s="7"/>
      <c r="P3161" s="6"/>
      <c r="Q3161" s="6"/>
      <c r="R3161" s="7"/>
      <c r="S3161" s="6"/>
      <c r="T3161" s="6"/>
      <c r="U3161" s="7"/>
      <c r="V3161" s="6"/>
      <c r="W3161" s="6"/>
      <c r="X3161" s="6"/>
      <c r="Y3161" s="6"/>
      <c r="Z3161" s="6"/>
      <c r="AA3161" s="7"/>
      <c r="AB3161" s="6"/>
      <c r="AC3161" s="6"/>
      <c r="AD3161" s="6"/>
      <c r="AE3161" s="12"/>
      <c r="AF3161" s="6"/>
      <c r="AG3161" s="12"/>
      <c r="AH3161" s="6"/>
      <c r="AI3161" s="6"/>
      <c r="AJ3161" s="12"/>
      <c r="AK3161" s="1"/>
      <c r="AL3161" s="12"/>
      <c r="AM3161" s="12"/>
      <c r="AN3161" s="1"/>
      <c r="AO3161" s="6"/>
    </row>
    <row r="3162" spans="1:41" ht="15" x14ac:dyDescent="0.25">
      <c r="A3162" s="1"/>
      <c r="B3162" s="1"/>
      <c r="C3162" s="1"/>
      <c r="D3162" s="1"/>
      <c r="E3162" s="6"/>
      <c r="F3162" s="1"/>
      <c r="G3162" s="6"/>
      <c r="H3162" s="6"/>
      <c r="I3162" s="6"/>
      <c r="J3162" s="6"/>
      <c r="K3162" s="6"/>
      <c r="L3162" s="6"/>
      <c r="M3162" s="6"/>
      <c r="N3162" s="6"/>
      <c r="O3162" s="7"/>
      <c r="P3162" s="6"/>
      <c r="Q3162" s="6"/>
      <c r="R3162" s="7"/>
      <c r="S3162" s="6"/>
      <c r="T3162" s="6"/>
      <c r="U3162" s="7"/>
      <c r="V3162" s="6"/>
      <c r="W3162" s="6"/>
      <c r="X3162" s="12"/>
      <c r="Y3162" s="6"/>
      <c r="Z3162" s="6"/>
      <c r="AA3162" s="7"/>
      <c r="AB3162" s="6"/>
      <c r="AC3162" s="6"/>
      <c r="AD3162" s="6"/>
      <c r="AE3162" s="12"/>
      <c r="AF3162" s="12"/>
      <c r="AG3162" s="12"/>
      <c r="AH3162" s="12"/>
      <c r="AI3162" s="6"/>
      <c r="AJ3162" s="12"/>
      <c r="AK3162" s="1"/>
      <c r="AL3162" s="12"/>
      <c r="AM3162" s="12"/>
      <c r="AN3162" s="1"/>
      <c r="AO3162" s="6"/>
    </row>
    <row r="3163" spans="1:41" ht="15" x14ac:dyDescent="0.25">
      <c r="A3163" s="1"/>
      <c r="B3163" s="1"/>
      <c r="C3163" s="1"/>
      <c r="D3163" s="1"/>
      <c r="E3163" s="6"/>
      <c r="F3163" s="1"/>
      <c r="G3163" s="6"/>
      <c r="H3163" s="6"/>
      <c r="I3163" s="6"/>
      <c r="J3163" s="6"/>
      <c r="K3163" s="6"/>
      <c r="L3163" s="6"/>
      <c r="M3163" s="6"/>
      <c r="N3163" s="6"/>
      <c r="O3163" s="7"/>
      <c r="P3163" s="6"/>
      <c r="Q3163" s="6"/>
      <c r="R3163" s="12"/>
      <c r="S3163" s="12"/>
      <c r="T3163" s="12"/>
      <c r="U3163" s="7"/>
      <c r="V3163" s="6"/>
      <c r="W3163" s="6"/>
      <c r="X3163" s="12"/>
      <c r="Y3163" s="6"/>
      <c r="Z3163" s="6"/>
      <c r="AA3163" s="7"/>
      <c r="AB3163" s="6"/>
      <c r="AC3163" s="6"/>
      <c r="AD3163" s="6"/>
      <c r="AE3163" s="12"/>
      <c r="AF3163" s="6"/>
      <c r="AG3163" s="12"/>
      <c r="AH3163" s="6"/>
      <c r="AI3163" s="6"/>
      <c r="AJ3163" s="12"/>
      <c r="AK3163" s="24"/>
      <c r="AL3163" s="25"/>
      <c r="AM3163" s="12"/>
      <c r="AN3163" s="1"/>
      <c r="AO3163" s="6"/>
    </row>
    <row r="3164" spans="1:41" ht="15" x14ac:dyDescent="0.25">
      <c r="A3164" s="1"/>
      <c r="B3164" s="1"/>
      <c r="C3164" s="1"/>
      <c r="D3164" s="1"/>
      <c r="E3164" s="6"/>
      <c r="F3164" s="1"/>
      <c r="G3164" s="6"/>
      <c r="H3164" s="6"/>
      <c r="I3164" s="6"/>
      <c r="J3164" s="6"/>
      <c r="K3164" s="6"/>
      <c r="L3164" s="6"/>
      <c r="M3164" s="6"/>
      <c r="N3164" s="6"/>
      <c r="O3164" s="7"/>
      <c r="P3164" s="6"/>
      <c r="Q3164" s="6"/>
      <c r="R3164" s="7"/>
      <c r="S3164" s="6"/>
      <c r="T3164" s="6"/>
      <c r="U3164" s="7"/>
      <c r="V3164" s="6"/>
      <c r="W3164" s="6"/>
      <c r="X3164" s="6"/>
      <c r="Y3164" s="6"/>
      <c r="Z3164" s="6"/>
      <c r="AA3164" s="7"/>
      <c r="AB3164" s="6"/>
      <c r="AC3164" s="6"/>
      <c r="AD3164" s="6"/>
      <c r="AE3164" s="12"/>
      <c r="AF3164" s="6"/>
      <c r="AG3164" s="12"/>
      <c r="AH3164" s="6"/>
      <c r="AI3164" s="6"/>
      <c r="AJ3164" s="12"/>
      <c r="AK3164" s="24"/>
      <c r="AL3164" s="25"/>
      <c r="AM3164" s="12"/>
      <c r="AN3164" s="1"/>
      <c r="AO3164" s="6"/>
    </row>
    <row r="3165" spans="1:41" ht="15" x14ac:dyDescent="0.25">
      <c r="A3165" s="1"/>
      <c r="B3165" s="1"/>
      <c r="C3165" s="1"/>
      <c r="D3165" s="1"/>
      <c r="E3165" s="6"/>
      <c r="F3165" s="1"/>
      <c r="G3165" s="6"/>
      <c r="H3165" s="6"/>
      <c r="I3165" s="6"/>
      <c r="J3165" s="6"/>
      <c r="K3165" s="6"/>
      <c r="L3165" s="6"/>
      <c r="M3165" s="6"/>
      <c r="N3165" s="6"/>
      <c r="O3165" s="7"/>
      <c r="P3165" s="6"/>
      <c r="Q3165" s="6"/>
      <c r="R3165" s="7"/>
      <c r="S3165" s="6"/>
      <c r="T3165" s="6"/>
      <c r="U3165" s="6"/>
      <c r="V3165" s="6"/>
      <c r="W3165" s="6"/>
      <c r="X3165" s="7"/>
      <c r="Y3165" s="6"/>
      <c r="Z3165" s="6"/>
      <c r="AA3165" s="7"/>
      <c r="AB3165" s="6"/>
      <c r="AC3165" s="6"/>
      <c r="AD3165" s="6"/>
      <c r="AE3165" s="12"/>
      <c r="AF3165" s="6"/>
      <c r="AG3165" s="12"/>
      <c r="AH3165" s="6"/>
      <c r="AI3165" s="6"/>
      <c r="AJ3165" s="12"/>
      <c r="AK3165" s="6"/>
      <c r="AL3165" s="12"/>
      <c r="AM3165" s="12"/>
      <c r="AN3165" s="1"/>
      <c r="AO3165" s="6"/>
    </row>
    <row r="3166" spans="1:41" ht="15" x14ac:dyDescent="0.25">
      <c r="A3166" s="1"/>
      <c r="B3166" s="1"/>
      <c r="C3166" s="1"/>
      <c r="D3166" s="1"/>
      <c r="E3166" s="6"/>
      <c r="F3166" s="1"/>
      <c r="G3166" s="6"/>
      <c r="H3166" s="6"/>
      <c r="I3166" s="6"/>
      <c r="J3166" s="6"/>
      <c r="K3166" s="6"/>
      <c r="L3166" s="6"/>
      <c r="M3166" s="6"/>
      <c r="N3166" s="6"/>
      <c r="O3166" s="7"/>
      <c r="P3166" s="6"/>
      <c r="Q3166" s="6"/>
      <c r="R3166" s="7"/>
      <c r="S3166" s="6"/>
      <c r="T3166" s="6"/>
      <c r="U3166" s="7"/>
      <c r="V3166" s="6"/>
      <c r="W3166" s="6"/>
      <c r="X3166" s="12"/>
      <c r="Y3166" s="6"/>
      <c r="Z3166" s="6"/>
      <c r="AA3166" s="7"/>
      <c r="AB3166" s="6"/>
      <c r="AC3166" s="6"/>
      <c r="AD3166" s="6"/>
      <c r="AE3166" s="12"/>
      <c r="AF3166" s="12"/>
      <c r="AG3166" s="12"/>
      <c r="AH3166" s="12"/>
      <c r="AI3166" s="6"/>
      <c r="AJ3166" s="12"/>
      <c r="AK3166" s="24"/>
      <c r="AL3166" s="25"/>
      <c r="AM3166" s="12"/>
      <c r="AN3166" s="1"/>
      <c r="AO3166" s="6"/>
    </row>
    <row r="3167" spans="1:41" ht="15" x14ac:dyDescent="0.25">
      <c r="A3167" s="1"/>
      <c r="B3167" s="1"/>
      <c r="C3167" s="1"/>
      <c r="D3167" s="1"/>
      <c r="E3167" s="6"/>
      <c r="F3167" s="1"/>
      <c r="G3167" s="6"/>
      <c r="H3167" s="6"/>
      <c r="I3167" s="6"/>
      <c r="J3167" s="6"/>
      <c r="K3167" s="6"/>
      <c r="L3167" s="6"/>
      <c r="M3167" s="6"/>
      <c r="N3167" s="6"/>
      <c r="O3167" s="7"/>
      <c r="P3167" s="6"/>
      <c r="Q3167" s="6"/>
      <c r="R3167" s="7"/>
      <c r="S3167" s="6"/>
      <c r="T3167" s="6"/>
      <c r="U3167" s="7"/>
      <c r="V3167" s="6"/>
      <c r="W3167" s="6"/>
      <c r="X3167" s="12"/>
      <c r="Y3167" s="6"/>
      <c r="Z3167" s="6"/>
      <c r="AA3167" s="7"/>
      <c r="AB3167" s="6"/>
      <c r="AC3167" s="6"/>
      <c r="AD3167" s="6"/>
      <c r="AE3167" s="12"/>
      <c r="AF3167" s="6"/>
      <c r="AG3167" s="12"/>
      <c r="AH3167" s="6"/>
      <c r="AI3167" s="6"/>
      <c r="AJ3167" s="12"/>
      <c r="AK3167" s="24"/>
      <c r="AL3167" s="25"/>
      <c r="AM3167" s="12"/>
      <c r="AN3167" s="1"/>
      <c r="AO3167" s="6"/>
    </row>
    <row r="3168" spans="1:41" ht="15" x14ac:dyDescent="0.25">
      <c r="A3168" s="1"/>
      <c r="B3168" s="1"/>
      <c r="C3168" s="1"/>
      <c r="D3168" s="1"/>
      <c r="E3168" s="6"/>
      <c r="F3168" s="1"/>
      <c r="G3168" s="6"/>
      <c r="H3168" s="6"/>
      <c r="I3168" s="6"/>
      <c r="J3168" s="6"/>
      <c r="K3168" s="6"/>
      <c r="L3168" s="6"/>
      <c r="M3168" s="6"/>
      <c r="N3168" s="6"/>
      <c r="O3168" s="7"/>
      <c r="P3168" s="6"/>
      <c r="Q3168" s="6"/>
      <c r="R3168" s="7"/>
      <c r="S3168" s="6"/>
      <c r="T3168" s="6"/>
      <c r="U3168" s="7"/>
      <c r="V3168" s="6"/>
      <c r="W3168" s="6"/>
      <c r="X3168" s="6"/>
      <c r="Y3168" s="6"/>
      <c r="Z3168" s="6"/>
      <c r="AA3168" s="7"/>
      <c r="AB3168" s="6"/>
      <c r="AC3168" s="6"/>
      <c r="AD3168" s="6"/>
      <c r="AE3168" s="12"/>
      <c r="AF3168" s="12"/>
      <c r="AG3168" s="12"/>
      <c r="AH3168" s="12"/>
      <c r="AI3168" s="6"/>
      <c r="AJ3168" s="12"/>
      <c r="AK3168" s="1"/>
      <c r="AL3168" s="12"/>
      <c r="AM3168" s="12"/>
      <c r="AN3168" s="1"/>
      <c r="AO3168" s="6"/>
    </row>
    <row r="3169" spans="1:41" ht="15" x14ac:dyDescent="0.25">
      <c r="A3169" s="1"/>
      <c r="B3169" s="1"/>
      <c r="C3169" s="1"/>
      <c r="D3169" s="1"/>
      <c r="E3169" s="6"/>
      <c r="F3169" s="1"/>
      <c r="G3169" s="6"/>
      <c r="H3169" s="6"/>
      <c r="I3169" s="6"/>
      <c r="J3169" s="6"/>
      <c r="K3169" s="6"/>
      <c r="L3169" s="6"/>
      <c r="M3169" s="6"/>
      <c r="N3169" s="6"/>
      <c r="O3169" s="7"/>
      <c r="P3169" s="6"/>
      <c r="Q3169" s="6"/>
      <c r="R3169" s="7"/>
      <c r="S3169" s="6"/>
      <c r="T3169" s="6"/>
      <c r="U3169" s="7"/>
      <c r="V3169" s="6"/>
      <c r="W3169" s="6"/>
      <c r="X3169" s="6"/>
      <c r="Y3169" s="6"/>
      <c r="Z3169" s="6"/>
      <c r="AA3169" s="7"/>
      <c r="AB3169" s="6"/>
      <c r="AC3169" s="6"/>
      <c r="AD3169" s="6"/>
      <c r="AE3169" s="12"/>
      <c r="AF3169" s="12"/>
      <c r="AG3169" s="12"/>
      <c r="AH3169" s="12"/>
      <c r="AI3169" s="6"/>
      <c r="AJ3169" s="12"/>
      <c r="AK3169" s="1"/>
      <c r="AL3169" s="12"/>
      <c r="AM3169" s="12"/>
      <c r="AN3169" s="1"/>
      <c r="AO3169" s="6"/>
    </row>
    <row r="3170" spans="1:41" ht="15" x14ac:dyDescent="0.25">
      <c r="A3170" s="1"/>
      <c r="B3170" s="1"/>
      <c r="C3170" s="1"/>
      <c r="D3170" s="1"/>
      <c r="E3170" s="6"/>
      <c r="F3170" s="1"/>
      <c r="G3170" s="6"/>
      <c r="H3170" s="6"/>
      <c r="I3170" s="6"/>
      <c r="J3170" s="6"/>
      <c r="K3170" s="6"/>
      <c r="L3170" s="6"/>
      <c r="M3170" s="6"/>
      <c r="N3170" s="6"/>
      <c r="O3170" s="7"/>
      <c r="P3170" s="6"/>
      <c r="Q3170" s="6"/>
      <c r="R3170" s="7"/>
      <c r="S3170" s="6"/>
      <c r="T3170" s="6"/>
      <c r="U3170" s="7"/>
      <c r="V3170" s="6"/>
      <c r="W3170" s="6"/>
      <c r="X3170" s="6"/>
      <c r="Y3170" s="6"/>
      <c r="Z3170" s="6"/>
      <c r="AA3170" s="7"/>
      <c r="AB3170" s="6"/>
      <c r="AC3170" s="6"/>
      <c r="AD3170" s="6"/>
      <c r="AE3170" s="12"/>
      <c r="AF3170" s="12"/>
      <c r="AG3170" s="12"/>
      <c r="AH3170" s="12"/>
      <c r="AI3170" s="6"/>
      <c r="AJ3170" s="12"/>
      <c r="AK3170" s="1"/>
      <c r="AL3170" s="12"/>
      <c r="AM3170" s="12"/>
      <c r="AN3170" s="1"/>
      <c r="AO3170" s="6"/>
    </row>
    <row r="3171" spans="1:41" ht="15" x14ac:dyDescent="0.25">
      <c r="A3171" s="1"/>
      <c r="B3171" s="1"/>
      <c r="C3171" s="1"/>
      <c r="D3171" s="1"/>
      <c r="E3171" s="6"/>
      <c r="F3171" s="1"/>
      <c r="G3171" s="6"/>
      <c r="H3171" s="6"/>
      <c r="I3171" s="6"/>
      <c r="J3171" s="6"/>
      <c r="K3171" s="6"/>
      <c r="L3171" s="6"/>
      <c r="M3171" s="6"/>
      <c r="N3171" s="6"/>
      <c r="O3171" s="7"/>
      <c r="P3171" s="6"/>
      <c r="Q3171" s="7"/>
      <c r="R3171" s="6"/>
      <c r="S3171" s="6"/>
      <c r="T3171" s="6"/>
      <c r="U3171" s="6"/>
      <c r="V3171" s="7"/>
      <c r="W3171" s="6"/>
      <c r="X3171" s="6"/>
      <c r="Y3171" s="6"/>
      <c r="Z3171" s="6"/>
      <c r="AA3171" s="1"/>
      <c r="AB3171" s="12"/>
      <c r="AC3171" s="12"/>
      <c r="AD3171" s="12"/>
      <c r="AE3171" s="12"/>
      <c r="AF3171" s="6"/>
      <c r="AG3171" s="12"/>
      <c r="AH3171" s="6"/>
      <c r="AI3171" s="6"/>
      <c r="AJ3171" s="12"/>
      <c r="AK3171" s="12"/>
      <c r="AL3171" s="12"/>
      <c r="AM3171" s="12"/>
      <c r="AN3171" s="1"/>
      <c r="AO3171" s="6"/>
    </row>
    <row r="3172" spans="1:41" ht="15" x14ac:dyDescent="0.25">
      <c r="A3172" s="1"/>
      <c r="B3172" s="1"/>
      <c r="C3172" s="1"/>
      <c r="D3172" s="1"/>
      <c r="E3172" s="6"/>
      <c r="F3172" s="1"/>
      <c r="G3172" s="6"/>
      <c r="H3172" s="6"/>
      <c r="I3172" s="6"/>
      <c r="J3172" s="6"/>
      <c r="K3172" s="6"/>
      <c r="L3172" s="6"/>
      <c r="M3172" s="6"/>
      <c r="N3172" s="6"/>
      <c r="O3172" s="7"/>
      <c r="P3172" s="6"/>
      <c r="Q3172" s="6"/>
      <c r="R3172" s="7"/>
      <c r="S3172" s="6"/>
      <c r="T3172" s="6"/>
      <c r="U3172" s="7"/>
      <c r="V3172" s="6"/>
      <c r="W3172" s="6"/>
      <c r="X3172" s="6"/>
      <c r="Y3172" s="6"/>
      <c r="Z3172" s="6"/>
      <c r="AA3172" s="7"/>
      <c r="AB3172" s="6"/>
      <c r="AC3172" s="6"/>
      <c r="AD3172" s="6"/>
      <c r="AE3172" s="12"/>
      <c r="AF3172" s="6"/>
      <c r="AG3172" s="12"/>
      <c r="AH3172" s="6"/>
      <c r="AI3172" s="6"/>
      <c r="AJ3172" s="12"/>
      <c r="AK3172" s="24"/>
      <c r="AL3172" s="25"/>
      <c r="AM3172" s="12"/>
      <c r="AN3172" s="1"/>
      <c r="AO3172" s="6"/>
    </row>
    <row r="3173" spans="1:41" ht="15" x14ac:dyDescent="0.25">
      <c r="A3173" s="1"/>
      <c r="B3173" s="1"/>
      <c r="C3173" s="1"/>
      <c r="D3173" s="1"/>
      <c r="E3173" s="6"/>
      <c r="F3173" s="1"/>
      <c r="G3173" s="6"/>
      <c r="H3173" s="6"/>
      <c r="I3173" s="6"/>
      <c r="J3173" s="6"/>
      <c r="K3173" s="6"/>
      <c r="L3173" s="6"/>
      <c r="M3173" s="6"/>
      <c r="N3173" s="6"/>
      <c r="O3173" s="7"/>
      <c r="P3173" s="6"/>
      <c r="Q3173" s="6"/>
      <c r="R3173" s="7"/>
      <c r="S3173" s="6"/>
      <c r="T3173" s="6"/>
      <c r="U3173" s="7"/>
      <c r="V3173" s="6"/>
      <c r="W3173" s="6"/>
      <c r="X3173" s="12"/>
      <c r="Y3173" s="6"/>
      <c r="Z3173" s="6"/>
      <c r="AA3173" s="7"/>
      <c r="AB3173" s="6"/>
      <c r="AC3173" s="6"/>
      <c r="AD3173" s="6"/>
      <c r="AE3173" s="12"/>
      <c r="AF3173" s="6"/>
      <c r="AG3173" s="12"/>
      <c r="AH3173" s="6"/>
      <c r="AI3173" s="6"/>
      <c r="AJ3173" s="12"/>
      <c r="AK3173" s="1"/>
      <c r="AL3173" s="12"/>
      <c r="AM3173" s="12"/>
      <c r="AN3173" s="1"/>
      <c r="AO3173" s="6"/>
    </row>
    <row r="3174" spans="1:41" ht="15" x14ac:dyDescent="0.25">
      <c r="A3174" s="1"/>
      <c r="B3174" s="1"/>
      <c r="C3174" s="1"/>
      <c r="D3174" s="1"/>
      <c r="E3174" s="6"/>
      <c r="F3174" s="1"/>
      <c r="G3174" s="6"/>
      <c r="H3174" s="6"/>
      <c r="I3174" s="6"/>
      <c r="J3174" s="6"/>
      <c r="K3174" s="6"/>
      <c r="L3174" s="6"/>
      <c r="M3174" s="6"/>
      <c r="N3174" s="6"/>
      <c r="O3174" s="7"/>
      <c r="P3174" s="6"/>
      <c r="Q3174" s="6"/>
      <c r="R3174" s="7"/>
      <c r="S3174" s="6"/>
      <c r="T3174" s="6"/>
      <c r="U3174" s="7"/>
      <c r="V3174" s="6"/>
      <c r="W3174" s="6"/>
      <c r="X3174" s="6"/>
      <c r="Y3174" s="6"/>
      <c r="Z3174" s="6"/>
      <c r="AA3174" s="7"/>
      <c r="AB3174" s="6"/>
      <c r="AC3174" s="6"/>
      <c r="AD3174" s="6"/>
      <c r="AE3174" s="12"/>
      <c r="AF3174" s="6"/>
      <c r="AG3174" s="12"/>
      <c r="AH3174" s="6"/>
      <c r="AI3174" s="6"/>
      <c r="AJ3174" s="12"/>
      <c r="AK3174" s="1"/>
      <c r="AL3174" s="12"/>
      <c r="AM3174" s="12"/>
      <c r="AN3174" s="1"/>
      <c r="AO3174" s="6"/>
    </row>
    <row r="3175" spans="1:41" ht="15" x14ac:dyDescent="0.25">
      <c r="A3175" s="1"/>
      <c r="B3175" s="1"/>
      <c r="C3175" s="1"/>
      <c r="D3175" s="1"/>
      <c r="E3175" s="6"/>
      <c r="F3175" s="1"/>
      <c r="G3175" s="6"/>
      <c r="H3175" s="6"/>
      <c r="I3175" s="6"/>
      <c r="J3175" s="6"/>
      <c r="K3175" s="6"/>
      <c r="L3175" s="6"/>
      <c r="M3175" s="6"/>
      <c r="N3175" s="6"/>
      <c r="O3175" s="7"/>
      <c r="P3175" s="6"/>
      <c r="Q3175" s="6"/>
      <c r="R3175" s="7"/>
      <c r="S3175" s="6"/>
      <c r="T3175" s="6"/>
      <c r="U3175" s="7"/>
      <c r="V3175" s="6"/>
      <c r="W3175" s="6"/>
      <c r="X3175" s="12"/>
      <c r="Y3175" s="6"/>
      <c r="Z3175" s="6"/>
      <c r="AA3175" s="7"/>
      <c r="AB3175" s="6"/>
      <c r="AC3175" s="6"/>
      <c r="AD3175" s="6"/>
      <c r="AE3175" s="12"/>
      <c r="AF3175" s="12"/>
      <c r="AG3175" s="12"/>
      <c r="AH3175" s="12"/>
      <c r="AI3175" s="6"/>
      <c r="AJ3175" s="12"/>
      <c r="AK3175" s="1"/>
      <c r="AL3175" s="12"/>
      <c r="AM3175" s="12"/>
      <c r="AN3175" s="1"/>
      <c r="AO3175" s="6"/>
    </row>
    <row r="3176" spans="1:41" ht="15" x14ac:dyDescent="0.25">
      <c r="A3176" s="1"/>
      <c r="B3176" s="1"/>
      <c r="C3176" s="1"/>
      <c r="D3176" s="1"/>
      <c r="E3176" s="6"/>
      <c r="F3176" s="1"/>
      <c r="G3176" s="6"/>
      <c r="H3176" s="6"/>
      <c r="I3176" s="6"/>
      <c r="J3176" s="6"/>
      <c r="K3176" s="6"/>
      <c r="L3176" s="6"/>
      <c r="M3176" s="6"/>
      <c r="N3176" s="6"/>
      <c r="O3176" s="7"/>
      <c r="P3176" s="6"/>
      <c r="Q3176" s="6"/>
      <c r="R3176" s="7"/>
      <c r="S3176" s="6"/>
      <c r="T3176" s="6"/>
      <c r="U3176" s="7"/>
      <c r="V3176" s="6"/>
      <c r="W3176" s="6"/>
      <c r="X3176" s="12"/>
      <c r="Y3176" s="6"/>
      <c r="Z3176" s="6"/>
      <c r="AA3176" s="7"/>
      <c r="AB3176" s="6"/>
      <c r="AC3176" s="6"/>
      <c r="AD3176" s="6"/>
      <c r="AE3176" s="12"/>
      <c r="AF3176" s="12"/>
      <c r="AG3176" s="12"/>
      <c r="AH3176" s="12"/>
      <c r="AI3176" s="6"/>
      <c r="AJ3176" s="12"/>
      <c r="AK3176" s="24"/>
      <c r="AL3176" s="25"/>
      <c r="AM3176" s="12"/>
      <c r="AN3176" s="1"/>
      <c r="AO3176" s="6"/>
    </row>
    <row r="3177" spans="1:41" ht="15" x14ac:dyDescent="0.25">
      <c r="A3177" s="1"/>
      <c r="B3177" s="1"/>
      <c r="C3177" s="1"/>
      <c r="D3177" s="1"/>
      <c r="E3177" s="6"/>
      <c r="F3177" s="1"/>
      <c r="G3177" s="6"/>
      <c r="H3177" s="6"/>
      <c r="I3177" s="6"/>
      <c r="J3177" s="6"/>
      <c r="K3177" s="6"/>
      <c r="L3177" s="6"/>
      <c r="M3177" s="6"/>
      <c r="N3177" s="6"/>
      <c r="O3177" s="7"/>
      <c r="P3177" s="6"/>
      <c r="Q3177" s="6"/>
      <c r="R3177" s="7"/>
      <c r="S3177" s="6"/>
      <c r="T3177" s="6"/>
      <c r="U3177" s="7"/>
      <c r="V3177" s="6"/>
      <c r="W3177" s="6"/>
      <c r="X3177" s="6"/>
      <c r="Y3177" s="6"/>
      <c r="Z3177" s="6"/>
      <c r="AA3177" s="7"/>
      <c r="AB3177" s="6"/>
      <c r="AC3177" s="6"/>
      <c r="AD3177" s="6"/>
      <c r="AE3177" s="12"/>
      <c r="AF3177" s="6"/>
      <c r="AG3177" s="12"/>
      <c r="AH3177" s="6"/>
      <c r="AI3177" s="6"/>
      <c r="AJ3177" s="12"/>
      <c r="AK3177" s="24"/>
      <c r="AL3177" s="25"/>
      <c r="AM3177" s="12"/>
      <c r="AN3177" s="1"/>
      <c r="AO3177" s="6"/>
    </row>
    <row r="3178" spans="1:41" ht="15" x14ac:dyDescent="0.25">
      <c r="A3178" s="1"/>
      <c r="B3178" s="1"/>
      <c r="C3178" s="1"/>
      <c r="D3178" s="1"/>
      <c r="E3178" s="6"/>
      <c r="F3178" s="1"/>
      <c r="G3178" s="6"/>
      <c r="H3178" s="6"/>
      <c r="I3178" s="6"/>
      <c r="J3178" s="6"/>
      <c r="K3178" s="6"/>
      <c r="L3178" s="6"/>
      <c r="M3178" s="6"/>
      <c r="N3178" s="6"/>
      <c r="O3178" s="7"/>
      <c r="P3178" s="6"/>
      <c r="Q3178" s="7"/>
      <c r="R3178" s="6"/>
      <c r="S3178" s="6"/>
      <c r="T3178" s="6"/>
      <c r="U3178" s="6"/>
      <c r="V3178" s="7"/>
      <c r="W3178" s="7"/>
      <c r="X3178" s="6"/>
      <c r="Y3178" s="6"/>
      <c r="Z3178" s="6"/>
      <c r="AA3178" s="1"/>
      <c r="AB3178" s="12"/>
      <c r="AC3178" s="12"/>
      <c r="AD3178" s="12"/>
      <c r="AE3178" s="12"/>
      <c r="AF3178" s="12"/>
      <c r="AG3178" s="12"/>
      <c r="AH3178" s="12"/>
      <c r="AI3178" s="6"/>
      <c r="AJ3178" s="12"/>
      <c r="AK3178" s="12"/>
      <c r="AL3178" s="12"/>
      <c r="AM3178" s="12"/>
      <c r="AN3178" s="1"/>
      <c r="AO3178" s="6"/>
    </row>
    <row r="3179" spans="1:41" ht="15" x14ac:dyDescent="0.25">
      <c r="A3179" s="1"/>
      <c r="B3179" s="1"/>
      <c r="C3179" s="1"/>
      <c r="D3179" s="1"/>
      <c r="E3179" s="6"/>
      <c r="F3179" s="1"/>
      <c r="G3179" s="6"/>
      <c r="H3179" s="6"/>
      <c r="I3179" s="6"/>
      <c r="J3179" s="6"/>
      <c r="K3179" s="6"/>
      <c r="L3179" s="6"/>
      <c r="M3179" s="6"/>
      <c r="N3179" s="6"/>
      <c r="O3179" s="7"/>
      <c r="P3179" s="12"/>
      <c r="Q3179" s="6"/>
      <c r="R3179" s="7"/>
      <c r="S3179" s="6"/>
      <c r="T3179" s="6"/>
      <c r="U3179" s="7"/>
      <c r="V3179" s="6"/>
      <c r="W3179" s="6"/>
      <c r="X3179" s="6"/>
      <c r="Y3179" s="6"/>
      <c r="Z3179" s="6"/>
      <c r="AA3179" s="7"/>
      <c r="AB3179" s="6"/>
      <c r="AC3179" s="6"/>
      <c r="AD3179" s="6"/>
      <c r="AE3179" s="12"/>
      <c r="AF3179" s="12"/>
      <c r="AG3179" s="12"/>
      <c r="AH3179" s="12"/>
      <c r="AI3179" s="6"/>
      <c r="AJ3179" s="12"/>
      <c r="AK3179" s="1"/>
      <c r="AL3179" s="12"/>
      <c r="AM3179" s="12"/>
      <c r="AN3179" s="1"/>
      <c r="AO3179" s="6"/>
    </row>
    <row r="3180" spans="1:41" ht="15" x14ac:dyDescent="0.25">
      <c r="A3180" s="1"/>
      <c r="B3180" s="1"/>
      <c r="C3180" s="1"/>
      <c r="D3180" s="1"/>
      <c r="E3180" s="6"/>
      <c r="F3180" s="1"/>
      <c r="G3180" s="6"/>
      <c r="H3180" s="6"/>
      <c r="I3180" s="6"/>
      <c r="J3180" s="6"/>
      <c r="K3180" s="6"/>
      <c r="L3180" s="6"/>
      <c r="M3180" s="6"/>
      <c r="N3180" s="6"/>
      <c r="O3180" s="7"/>
      <c r="P3180" s="6"/>
      <c r="Q3180" s="7"/>
      <c r="R3180" s="6"/>
      <c r="S3180" s="12"/>
      <c r="T3180" s="6"/>
      <c r="U3180" s="6"/>
      <c r="V3180" s="7"/>
      <c r="W3180" s="7"/>
      <c r="X3180" s="6"/>
      <c r="Y3180" s="6"/>
      <c r="Z3180" s="6"/>
      <c r="AA3180" s="1"/>
      <c r="AB3180" s="12"/>
      <c r="AC3180" s="12"/>
      <c r="AD3180" s="12"/>
      <c r="AE3180" s="12"/>
      <c r="AF3180" s="12"/>
      <c r="AG3180" s="12"/>
      <c r="AH3180" s="12"/>
      <c r="AI3180" s="6"/>
      <c r="AJ3180" s="12"/>
      <c r="AK3180" s="12"/>
      <c r="AL3180" s="12"/>
      <c r="AM3180" s="12"/>
      <c r="AN3180" s="1"/>
      <c r="AO3180" s="6"/>
    </row>
    <row r="3181" spans="1:41" ht="15" x14ac:dyDescent="0.25">
      <c r="A3181" s="1"/>
      <c r="B3181" s="1"/>
      <c r="C3181" s="1"/>
      <c r="D3181" s="1"/>
      <c r="E3181" s="6"/>
      <c r="F3181" s="1"/>
      <c r="G3181" s="6"/>
      <c r="H3181" s="6"/>
      <c r="I3181" s="6"/>
      <c r="J3181" s="6"/>
      <c r="K3181" s="6"/>
      <c r="L3181" s="6"/>
      <c r="M3181" s="6"/>
      <c r="N3181" s="6"/>
      <c r="O3181" s="7"/>
      <c r="P3181" s="6"/>
      <c r="Q3181" s="6"/>
      <c r="R3181" s="7"/>
      <c r="S3181" s="6"/>
      <c r="T3181" s="6"/>
      <c r="U3181" s="7"/>
      <c r="V3181" s="6"/>
      <c r="W3181" s="6"/>
      <c r="X3181" s="6"/>
      <c r="Y3181" s="6"/>
      <c r="Z3181" s="6"/>
      <c r="AA3181" s="7"/>
      <c r="AB3181" s="6"/>
      <c r="AC3181" s="6"/>
      <c r="AD3181" s="6"/>
      <c r="AE3181" s="12"/>
      <c r="AF3181" s="6"/>
      <c r="AG3181" s="12"/>
      <c r="AH3181" s="6"/>
      <c r="AI3181" s="6"/>
      <c r="AJ3181" s="12"/>
      <c r="AK3181" s="1"/>
      <c r="AL3181" s="12"/>
      <c r="AM3181" s="12"/>
      <c r="AN3181" s="1"/>
      <c r="AO3181" s="6"/>
    </row>
    <row r="3182" spans="1:41" ht="15" x14ac:dyDescent="0.25">
      <c r="A3182" s="1"/>
      <c r="B3182" s="1"/>
      <c r="C3182" s="1"/>
      <c r="D3182" s="1"/>
      <c r="E3182" s="6"/>
      <c r="F3182" s="1"/>
      <c r="G3182" s="6"/>
      <c r="H3182" s="6"/>
      <c r="I3182" s="6"/>
      <c r="J3182" s="6"/>
      <c r="K3182" s="6"/>
      <c r="L3182" s="6"/>
      <c r="M3182" s="6"/>
      <c r="N3182" s="6"/>
      <c r="O3182" s="7"/>
      <c r="P3182" s="6"/>
      <c r="Q3182" s="6"/>
      <c r="R3182" s="7"/>
      <c r="S3182" s="6"/>
      <c r="T3182" s="6"/>
      <c r="U3182" s="7"/>
      <c r="V3182" s="6"/>
      <c r="W3182" s="6"/>
      <c r="X3182" s="6"/>
      <c r="Y3182" s="6"/>
      <c r="Z3182" s="6"/>
      <c r="AA3182" s="7"/>
      <c r="AB3182" s="6"/>
      <c r="AC3182" s="6"/>
      <c r="AD3182" s="6"/>
      <c r="AE3182" s="12"/>
      <c r="AF3182" s="6"/>
      <c r="AG3182" s="12"/>
      <c r="AH3182" s="6"/>
      <c r="AI3182" s="6"/>
      <c r="AJ3182" s="12"/>
      <c r="AK3182" s="1"/>
      <c r="AL3182" s="12"/>
      <c r="AM3182" s="12"/>
      <c r="AN3182" s="1"/>
      <c r="AO3182" s="6"/>
    </row>
    <row r="3183" spans="1:41" ht="15" x14ac:dyDescent="0.25">
      <c r="A3183" s="1"/>
      <c r="B3183" s="1"/>
      <c r="C3183" s="1"/>
      <c r="D3183" s="1"/>
      <c r="E3183" s="6"/>
      <c r="F3183" s="1"/>
      <c r="G3183" s="6"/>
      <c r="H3183" s="6"/>
      <c r="I3183" s="6"/>
      <c r="J3183" s="6"/>
      <c r="K3183" s="6"/>
      <c r="L3183" s="6"/>
      <c r="M3183" s="6"/>
      <c r="N3183" s="6"/>
      <c r="O3183" s="7"/>
      <c r="P3183" s="6"/>
      <c r="Q3183" s="6"/>
      <c r="R3183" s="7"/>
      <c r="S3183" s="6"/>
      <c r="T3183" s="6"/>
      <c r="U3183" s="7"/>
      <c r="V3183" s="6"/>
      <c r="W3183" s="6"/>
      <c r="X3183" s="12"/>
      <c r="Y3183" s="6"/>
      <c r="Z3183" s="6"/>
      <c r="AA3183" s="7"/>
      <c r="AB3183" s="6"/>
      <c r="AC3183" s="6"/>
      <c r="AD3183" s="6"/>
      <c r="AE3183" s="12"/>
      <c r="AF3183" s="12"/>
      <c r="AG3183" s="12"/>
      <c r="AH3183" s="12"/>
      <c r="AI3183" s="6"/>
      <c r="AJ3183" s="12"/>
      <c r="AK3183" s="1"/>
      <c r="AL3183" s="12"/>
      <c r="AM3183" s="12"/>
      <c r="AN3183" s="1"/>
      <c r="AO3183" s="6"/>
    </row>
    <row r="3184" spans="1:41" ht="15" x14ac:dyDescent="0.25">
      <c r="A3184" s="1"/>
      <c r="B3184" s="1"/>
      <c r="C3184" s="1"/>
      <c r="D3184" s="1"/>
      <c r="E3184" s="6"/>
      <c r="F3184" s="1"/>
      <c r="G3184" s="6"/>
      <c r="H3184" s="6"/>
      <c r="I3184" s="6"/>
      <c r="J3184" s="6"/>
      <c r="K3184" s="12"/>
      <c r="L3184" s="12"/>
      <c r="M3184" s="6"/>
      <c r="N3184" s="6"/>
      <c r="O3184" s="7"/>
      <c r="P3184" s="6"/>
      <c r="Q3184" s="15"/>
      <c r="R3184" s="6"/>
      <c r="S3184" s="6"/>
      <c r="T3184" s="6"/>
      <c r="U3184" s="6"/>
      <c r="V3184" s="7"/>
      <c r="W3184" s="7"/>
      <c r="X3184" s="6"/>
      <c r="Y3184" s="6"/>
      <c r="Z3184" s="6"/>
      <c r="AA3184" s="24"/>
      <c r="AB3184" s="25"/>
      <c r="AC3184" s="12"/>
      <c r="AD3184" s="12"/>
      <c r="AE3184" s="12"/>
      <c r="AF3184" s="12"/>
      <c r="AG3184" s="12"/>
      <c r="AH3184" s="12"/>
      <c r="AI3184" s="6"/>
      <c r="AJ3184" s="12"/>
      <c r="AK3184" s="12"/>
      <c r="AL3184" s="12"/>
      <c r="AM3184" s="12"/>
      <c r="AN3184" s="1"/>
      <c r="AO3184" s="12"/>
    </row>
    <row r="3185" spans="1:41" ht="15" x14ac:dyDescent="0.25">
      <c r="A3185" s="1"/>
      <c r="B3185" s="1"/>
      <c r="C3185" s="1"/>
      <c r="D3185" s="1"/>
      <c r="E3185" s="6"/>
      <c r="F3185" s="1"/>
      <c r="G3185" s="6"/>
      <c r="H3185" s="6"/>
      <c r="I3185" s="6"/>
      <c r="J3185" s="6"/>
      <c r="K3185" s="6"/>
      <c r="L3185" s="6"/>
      <c r="M3185" s="6"/>
      <c r="N3185" s="6"/>
      <c r="O3185" s="7"/>
      <c r="P3185" s="6"/>
      <c r="Q3185" s="6"/>
      <c r="R3185" s="7"/>
      <c r="S3185" s="6"/>
      <c r="T3185" s="6"/>
      <c r="U3185" s="7"/>
      <c r="V3185" s="6"/>
      <c r="W3185" s="6"/>
      <c r="X3185" s="6"/>
      <c r="Y3185" s="6"/>
      <c r="Z3185" s="6"/>
      <c r="AA3185" s="15"/>
      <c r="AB3185" s="6"/>
      <c r="AC3185" s="6"/>
      <c r="AD3185" s="6"/>
      <c r="AE3185" s="12"/>
      <c r="AF3185" s="6"/>
      <c r="AG3185" s="12"/>
      <c r="AH3185" s="6"/>
      <c r="AI3185" s="6"/>
      <c r="AJ3185" s="12"/>
      <c r="AK3185" s="24"/>
      <c r="AL3185" s="25"/>
      <c r="AM3185" s="12"/>
      <c r="AN3185" s="1"/>
      <c r="AO3185" s="6"/>
    </row>
    <row r="3186" spans="1:41" ht="15" x14ac:dyDescent="0.25">
      <c r="A3186" s="1"/>
      <c r="B3186" s="1"/>
      <c r="C3186" s="1"/>
      <c r="D3186" s="1"/>
      <c r="E3186" s="6"/>
      <c r="F3186" s="1"/>
      <c r="G3186" s="6"/>
      <c r="H3186" s="6"/>
      <c r="I3186" s="6"/>
      <c r="J3186" s="6"/>
      <c r="K3186" s="12"/>
      <c r="L3186" s="6"/>
      <c r="M3186" s="6"/>
      <c r="N3186" s="6"/>
      <c r="O3186" s="7"/>
      <c r="P3186" s="6"/>
      <c r="Q3186" s="6"/>
      <c r="R3186" s="7"/>
      <c r="S3186" s="6"/>
      <c r="T3186" s="6"/>
      <c r="U3186" s="7"/>
      <c r="V3186" s="6"/>
      <c r="W3186" s="6"/>
      <c r="X3186" s="6"/>
      <c r="Y3186" s="6"/>
      <c r="Z3186" s="6"/>
      <c r="AA3186" s="7"/>
      <c r="AB3186" s="6"/>
      <c r="AC3186" s="6"/>
      <c r="AD3186" s="6"/>
      <c r="AE3186" s="12"/>
      <c r="AF3186" s="6"/>
      <c r="AG3186" s="12"/>
      <c r="AH3186" s="6"/>
      <c r="AI3186" s="6"/>
      <c r="AJ3186" s="12"/>
      <c r="AK3186" s="1"/>
      <c r="AL3186" s="12"/>
      <c r="AM3186" s="12"/>
      <c r="AN3186" s="1"/>
      <c r="AO3186" s="12"/>
    </row>
    <row r="3187" spans="1:41" ht="15" x14ac:dyDescent="0.25">
      <c r="A3187" s="1"/>
      <c r="B3187" s="1"/>
      <c r="C3187" s="1"/>
      <c r="D3187" s="1"/>
      <c r="E3187" s="6"/>
      <c r="F3187" s="1"/>
      <c r="G3187" s="6"/>
      <c r="H3187" s="6"/>
      <c r="I3187" s="6"/>
      <c r="J3187" s="6"/>
      <c r="K3187" s="6"/>
      <c r="L3187" s="6"/>
      <c r="M3187" s="6"/>
      <c r="N3187" s="6"/>
      <c r="O3187" s="7"/>
      <c r="P3187" s="6"/>
      <c r="Q3187" s="7"/>
      <c r="R3187" s="6"/>
      <c r="S3187" s="12"/>
      <c r="T3187" s="6"/>
      <c r="U3187" s="6"/>
      <c r="V3187" s="7"/>
      <c r="W3187" s="6"/>
      <c r="X3187" s="6"/>
      <c r="Y3187" s="6"/>
      <c r="Z3187" s="6"/>
      <c r="AA3187" s="1"/>
      <c r="AB3187" s="12"/>
      <c r="AC3187" s="12"/>
      <c r="AD3187" s="12"/>
      <c r="AE3187" s="12"/>
      <c r="AF3187" s="6"/>
      <c r="AG3187" s="12"/>
      <c r="AH3187" s="6"/>
      <c r="AI3187" s="6"/>
      <c r="AJ3187" s="12"/>
      <c r="AK3187" s="12"/>
      <c r="AL3187" s="12"/>
      <c r="AM3187" s="12"/>
      <c r="AN3187" s="1"/>
      <c r="AO3187" s="6"/>
    </row>
    <row r="3188" spans="1:41" ht="15" x14ac:dyDescent="0.25">
      <c r="A3188" s="1"/>
      <c r="B3188" s="1"/>
      <c r="C3188" s="1"/>
      <c r="D3188" s="1"/>
      <c r="E3188" s="6"/>
      <c r="F3188" s="1"/>
      <c r="G3188" s="6"/>
      <c r="H3188" s="6"/>
      <c r="I3188" s="6"/>
      <c r="J3188" s="6"/>
      <c r="K3188" s="6"/>
      <c r="L3188" s="6"/>
      <c r="M3188" s="6"/>
      <c r="N3188" s="6"/>
      <c r="O3188" s="7"/>
      <c r="P3188" s="12"/>
      <c r="Q3188" s="6"/>
      <c r="R3188" s="7"/>
      <c r="S3188" s="6"/>
      <c r="T3188" s="6"/>
      <c r="U3188" s="7"/>
      <c r="V3188" s="6"/>
      <c r="W3188" s="6"/>
      <c r="X3188" s="6"/>
      <c r="Y3188" s="6"/>
      <c r="Z3188" s="6"/>
      <c r="AA3188" s="7"/>
      <c r="AB3188" s="6"/>
      <c r="AC3188" s="6"/>
      <c r="AD3188" s="6"/>
      <c r="AE3188" s="12"/>
      <c r="AF3188" s="6"/>
      <c r="AG3188" s="12"/>
      <c r="AH3188" s="6"/>
      <c r="AI3188" s="6"/>
      <c r="AJ3188" s="12"/>
      <c r="AK3188" s="1"/>
      <c r="AL3188" s="12"/>
      <c r="AM3188" s="12"/>
      <c r="AN3188" s="1"/>
      <c r="AO3188" s="6"/>
    </row>
    <row r="3189" spans="1:41" ht="15" x14ac:dyDescent="0.25">
      <c r="A3189" s="1"/>
      <c r="B3189" s="1"/>
      <c r="C3189" s="1"/>
      <c r="D3189" s="1"/>
      <c r="E3189" s="6"/>
      <c r="F3189" s="1"/>
      <c r="G3189" s="6"/>
      <c r="H3189" s="6"/>
      <c r="I3189" s="6"/>
      <c r="J3189" s="6"/>
      <c r="K3189" s="6"/>
      <c r="L3189" s="6"/>
      <c r="M3189" s="6"/>
      <c r="N3189" s="6"/>
      <c r="O3189" s="7"/>
      <c r="P3189" s="6"/>
      <c r="Q3189" s="6"/>
      <c r="R3189" s="7"/>
      <c r="S3189" s="6"/>
      <c r="T3189" s="6"/>
      <c r="U3189" s="7"/>
      <c r="V3189" s="6"/>
      <c r="W3189" s="6"/>
      <c r="X3189" s="6"/>
      <c r="Y3189" s="6"/>
      <c r="Z3189" s="6"/>
      <c r="AA3189" s="7"/>
      <c r="AB3189" s="6"/>
      <c r="AC3189" s="6"/>
      <c r="AD3189" s="6"/>
      <c r="AE3189" s="12"/>
      <c r="AF3189" s="6"/>
      <c r="AG3189" s="12"/>
      <c r="AH3189" s="6"/>
      <c r="AI3189" s="6"/>
      <c r="AJ3189" s="12"/>
      <c r="AK3189" s="24"/>
      <c r="AL3189" s="25"/>
      <c r="AM3189" s="12"/>
      <c r="AN3189" s="1"/>
      <c r="AO3189" s="6"/>
    </row>
    <row r="3190" spans="1:41" ht="15" x14ac:dyDescent="0.25">
      <c r="A3190" s="1"/>
      <c r="B3190" s="1"/>
      <c r="C3190" s="1"/>
      <c r="D3190" s="1"/>
      <c r="E3190" s="6"/>
      <c r="F3190" s="1"/>
      <c r="G3190" s="6"/>
      <c r="H3190" s="6"/>
      <c r="I3190" s="6"/>
      <c r="J3190" s="6"/>
      <c r="K3190" s="6"/>
      <c r="L3190" s="6"/>
      <c r="M3190" s="6"/>
      <c r="N3190" s="6"/>
      <c r="O3190" s="7"/>
      <c r="P3190" s="6"/>
      <c r="Q3190" s="6"/>
      <c r="R3190" s="7"/>
      <c r="S3190" s="6"/>
      <c r="T3190" s="6"/>
      <c r="U3190" s="7"/>
      <c r="V3190" s="6"/>
      <c r="W3190" s="6"/>
      <c r="X3190" s="12"/>
      <c r="Y3190" s="6"/>
      <c r="Z3190" s="6"/>
      <c r="AA3190" s="7"/>
      <c r="AB3190" s="6"/>
      <c r="AC3190" s="6"/>
      <c r="AD3190" s="6"/>
      <c r="AE3190" s="12"/>
      <c r="AF3190" s="6"/>
      <c r="AG3190" s="12"/>
      <c r="AH3190" s="6"/>
      <c r="AI3190" s="6"/>
      <c r="AJ3190" s="12"/>
      <c r="AK3190" s="24"/>
      <c r="AL3190" s="25"/>
      <c r="AM3190" s="12"/>
      <c r="AN3190" s="1"/>
      <c r="AO3190" s="6"/>
    </row>
    <row r="3191" spans="1:41" ht="15" x14ac:dyDescent="0.25">
      <c r="A3191" s="1"/>
      <c r="B3191" s="1"/>
      <c r="C3191" s="1"/>
      <c r="D3191" s="1"/>
      <c r="E3191" s="6"/>
      <c r="F3191" s="1"/>
      <c r="G3191" s="6"/>
      <c r="H3191" s="6"/>
      <c r="I3191" s="6"/>
      <c r="J3191" s="6"/>
      <c r="K3191" s="6"/>
      <c r="L3191" s="6"/>
      <c r="M3191" s="6"/>
      <c r="N3191" s="6"/>
      <c r="O3191" s="7"/>
      <c r="P3191" s="6"/>
      <c r="Q3191" s="6"/>
      <c r="R3191" s="7"/>
      <c r="S3191" s="6"/>
      <c r="T3191" s="6"/>
      <c r="U3191" s="7"/>
      <c r="V3191" s="6"/>
      <c r="W3191" s="6"/>
      <c r="X3191" s="12"/>
      <c r="Y3191" s="6"/>
      <c r="Z3191" s="6"/>
      <c r="AA3191" s="7"/>
      <c r="AB3191" s="6"/>
      <c r="AC3191" s="6"/>
      <c r="AD3191" s="6"/>
      <c r="AE3191" s="12"/>
      <c r="AF3191" s="6"/>
      <c r="AG3191" s="12"/>
      <c r="AH3191" s="6"/>
      <c r="AI3191" s="6"/>
      <c r="AJ3191" s="12"/>
      <c r="AK3191" s="1"/>
      <c r="AL3191" s="12"/>
      <c r="AM3191" s="12"/>
      <c r="AN3191" s="1"/>
      <c r="AO3191" s="6"/>
    </row>
    <row r="3192" spans="1:41" ht="15" x14ac:dyDescent="0.25">
      <c r="A3192" s="1"/>
      <c r="B3192" s="1"/>
      <c r="C3192" s="1"/>
      <c r="D3192" s="1"/>
      <c r="E3192" s="6"/>
      <c r="F3192" s="1"/>
      <c r="G3192" s="6"/>
      <c r="H3192" s="6"/>
      <c r="I3192" s="6"/>
      <c r="J3192" s="6"/>
      <c r="K3192" s="6"/>
      <c r="L3192" s="6"/>
      <c r="M3192" s="6"/>
      <c r="N3192" s="6"/>
      <c r="O3192" s="7"/>
      <c r="P3192" s="6"/>
      <c r="Q3192" s="7"/>
      <c r="R3192" s="6"/>
      <c r="S3192" s="12"/>
      <c r="T3192" s="6"/>
      <c r="U3192" s="6"/>
      <c r="V3192" s="7"/>
      <c r="W3192" s="7"/>
      <c r="X3192" s="6"/>
      <c r="Y3192" s="6"/>
      <c r="Z3192" s="6"/>
      <c r="AA3192" s="1"/>
      <c r="AB3192" s="12"/>
      <c r="AC3192" s="12"/>
      <c r="AD3192" s="12"/>
      <c r="AE3192" s="12"/>
      <c r="AF3192" s="12"/>
      <c r="AG3192" s="12"/>
      <c r="AH3192" s="12"/>
      <c r="AI3192" s="6"/>
      <c r="AJ3192" s="12"/>
      <c r="AK3192" s="12"/>
      <c r="AL3192" s="12"/>
      <c r="AM3192" s="12"/>
      <c r="AN3192" s="1"/>
      <c r="AO3192" s="6"/>
    </row>
    <row r="3193" spans="1:41" ht="15" x14ac:dyDescent="0.25">
      <c r="A3193" s="1"/>
      <c r="B3193" s="1"/>
      <c r="C3193" s="1"/>
      <c r="D3193" s="1"/>
      <c r="E3193" s="6"/>
      <c r="F3193" s="1"/>
      <c r="G3193" s="6"/>
      <c r="H3193" s="6"/>
      <c r="I3193" s="6"/>
      <c r="J3193" s="6"/>
      <c r="K3193" s="6"/>
      <c r="L3193" s="6"/>
      <c r="M3193" s="6"/>
      <c r="N3193" s="6"/>
      <c r="O3193" s="7"/>
      <c r="P3193" s="6"/>
      <c r="Q3193" s="6"/>
      <c r="R3193" s="7"/>
      <c r="S3193" s="6"/>
      <c r="T3193" s="6"/>
      <c r="U3193" s="7"/>
      <c r="V3193" s="6"/>
      <c r="W3193" s="6"/>
      <c r="X3193" s="6"/>
      <c r="Y3193" s="6"/>
      <c r="Z3193" s="6"/>
      <c r="AA3193" s="7"/>
      <c r="AB3193" s="6"/>
      <c r="AC3193" s="6"/>
      <c r="AD3193" s="6"/>
      <c r="AE3193" s="12"/>
      <c r="AF3193" s="12"/>
      <c r="AG3193" s="12"/>
      <c r="AH3193" s="12"/>
      <c r="AI3193" s="6"/>
      <c r="AJ3193" s="12"/>
      <c r="AK3193" s="1"/>
      <c r="AL3193" s="12"/>
      <c r="AM3193" s="12"/>
      <c r="AN3193" s="1"/>
      <c r="AO3193" s="6"/>
    </row>
    <row r="3194" spans="1:41" ht="15" x14ac:dyDescent="0.25">
      <c r="A3194" s="1"/>
      <c r="B3194" s="1"/>
      <c r="C3194" s="1"/>
      <c r="D3194" s="1"/>
      <c r="E3194" s="6"/>
      <c r="F3194" s="1"/>
      <c r="G3194" s="6"/>
      <c r="H3194" s="6"/>
      <c r="I3194" s="6"/>
      <c r="J3194" s="6"/>
      <c r="K3194" s="6"/>
      <c r="L3194" s="6"/>
      <c r="M3194" s="6"/>
      <c r="N3194" s="6"/>
      <c r="O3194" s="7"/>
      <c r="P3194" s="6"/>
      <c r="Q3194" s="7"/>
      <c r="R3194" s="6"/>
      <c r="S3194" s="6"/>
      <c r="T3194" s="6"/>
      <c r="U3194" s="6"/>
      <c r="V3194" s="7"/>
      <c r="W3194" s="6"/>
      <c r="X3194" s="6"/>
      <c r="Y3194" s="6"/>
      <c r="Z3194" s="6"/>
      <c r="AA3194" s="24"/>
      <c r="AB3194" s="25"/>
      <c r="AC3194" s="12"/>
      <c r="AD3194" s="12"/>
      <c r="AE3194" s="12"/>
      <c r="AF3194" s="6"/>
      <c r="AG3194" s="12"/>
      <c r="AH3194" s="6"/>
      <c r="AI3194" s="6"/>
      <c r="AJ3194" s="12"/>
      <c r="AK3194" s="12"/>
      <c r="AL3194" s="12"/>
      <c r="AM3194" s="12"/>
      <c r="AN3194" s="1"/>
      <c r="AO3194" s="6"/>
    </row>
    <row r="3195" spans="1:41" ht="15" x14ac:dyDescent="0.25">
      <c r="A3195" s="1"/>
      <c r="B3195" s="1"/>
      <c r="C3195" s="1"/>
      <c r="D3195" s="1"/>
      <c r="E3195" s="6"/>
      <c r="F3195" s="1"/>
      <c r="G3195" s="6"/>
      <c r="H3195" s="6"/>
      <c r="I3195" s="6"/>
      <c r="J3195" s="6"/>
      <c r="K3195" s="6"/>
      <c r="L3195" s="6"/>
      <c r="M3195" s="6"/>
      <c r="N3195" s="6"/>
      <c r="O3195" s="7"/>
      <c r="P3195" s="6"/>
      <c r="Q3195" s="6"/>
      <c r="R3195" s="7"/>
      <c r="S3195" s="6"/>
      <c r="T3195" s="6"/>
      <c r="U3195" s="7"/>
      <c r="V3195" s="6"/>
      <c r="W3195" s="6"/>
      <c r="X3195" s="6"/>
      <c r="Y3195" s="6"/>
      <c r="Z3195" s="6"/>
      <c r="AA3195" s="7"/>
      <c r="AB3195" s="6"/>
      <c r="AC3195" s="6"/>
      <c r="AD3195" s="6"/>
      <c r="AE3195" s="12"/>
      <c r="AF3195" s="12"/>
      <c r="AG3195" s="12"/>
      <c r="AH3195" s="12"/>
      <c r="AI3195" s="6"/>
      <c r="AJ3195" s="12"/>
      <c r="AK3195" s="1"/>
      <c r="AL3195" s="12"/>
      <c r="AM3195" s="12"/>
      <c r="AN3195" s="1"/>
      <c r="AO3195" s="6"/>
    </row>
    <row r="3196" spans="1:41" ht="15" x14ac:dyDescent="0.25">
      <c r="A3196" s="1"/>
      <c r="B3196" s="1"/>
      <c r="C3196" s="1"/>
      <c r="D3196" s="1"/>
      <c r="E3196" s="6"/>
      <c r="F3196" s="1"/>
      <c r="G3196" s="6"/>
      <c r="H3196" s="6"/>
      <c r="I3196" s="6"/>
      <c r="J3196" s="6"/>
      <c r="K3196" s="6"/>
      <c r="L3196" s="6"/>
      <c r="M3196" s="6"/>
      <c r="N3196" s="6"/>
      <c r="O3196" s="7"/>
      <c r="P3196" s="6"/>
      <c r="Q3196" s="6"/>
      <c r="R3196" s="7"/>
      <c r="S3196" s="6"/>
      <c r="T3196" s="6"/>
      <c r="U3196" s="7"/>
      <c r="V3196" s="6"/>
      <c r="W3196" s="6"/>
      <c r="X3196" s="6"/>
      <c r="Y3196" s="6"/>
      <c r="Z3196" s="6"/>
      <c r="AA3196" s="7"/>
      <c r="AB3196" s="6"/>
      <c r="AC3196" s="6"/>
      <c r="AD3196" s="6"/>
      <c r="AE3196" s="12"/>
      <c r="AF3196" s="12"/>
      <c r="AG3196" s="12"/>
      <c r="AH3196" s="12"/>
      <c r="AI3196" s="6"/>
      <c r="AJ3196" s="12"/>
      <c r="AK3196" s="1"/>
      <c r="AL3196" s="12"/>
      <c r="AM3196" s="12"/>
      <c r="AN3196" s="1"/>
      <c r="AO3196" s="6"/>
    </row>
    <row r="3197" spans="1:41" ht="15" x14ac:dyDescent="0.25">
      <c r="A3197" s="1"/>
      <c r="B3197" s="1"/>
      <c r="C3197" s="1"/>
      <c r="D3197" s="1"/>
      <c r="E3197" s="6"/>
      <c r="F3197" s="1"/>
      <c r="G3197" s="6"/>
      <c r="H3197" s="6"/>
      <c r="I3197" s="6"/>
      <c r="J3197" s="6"/>
      <c r="K3197" s="6"/>
      <c r="L3197" s="6"/>
      <c r="M3197" s="6"/>
      <c r="N3197" s="6"/>
      <c r="O3197" s="7"/>
      <c r="P3197" s="6"/>
      <c r="Q3197" s="6"/>
      <c r="R3197" s="7"/>
      <c r="S3197" s="6"/>
      <c r="T3197" s="6"/>
      <c r="U3197" s="7"/>
      <c r="V3197" s="6"/>
      <c r="W3197" s="6"/>
      <c r="X3197" s="12"/>
      <c r="Y3197" s="6"/>
      <c r="Z3197" s="6"/>
      <c r="AA3197" s="7"/>
      <c r="AB3197" s="6"/>
      <c r="AC3197" s="6"/>
      <c r="AD3197" s="6"/>
      <c r="AE3197" s="12"/>
      <c r="AF3197" s="6"/>
      <c r="AG3197" s="12"/>
      <c r="AH3197" s="6"/>
      <c r="AI3197" s="6"/>
      <c r="AJ3197" s="12"/>
      <c r="AK3197" s="24"/>
      <c r="AL3197" s="25"/>
      <c r="AM3197" s="12"/>
      <c r="AN3197" s="1"/>
      <c r="AO3197" s="6"/>
    </row>
    <row r="3198" spans="1:41" ht="15" x14ac:dyDescent="0.25">
      <c r="A3198" s="1"/>
      <c r="B3198" s="1"/>
      <c r="C3198" s="1"/>
      <c r="D3198" s="1"/>
      <c r="E3198" s="6"/>
      <c r="F3198" s="1"/>
      <c r="G3198" s="6"/>
      <c r="H3198" s="6"/>
      <c r="I3198" s="6"/>
      <c r="J3198" s="6"/>
      <c r="K3198" s="6"/>
      <c r="L3198" s="6"/>
      <c r="M3198" s="6"/>
      <c r="N3198" s="6"/>
      <c r="O3198" s="7"/>
      <c r="P3198" s="6"/>
      <c r="Q3198" s="6"/>
      <c r="R3198" s="15"/>
      <c r="S3198" s="6"/>
      <c r="T3198" s="6"/>
      <c r="U3198" s="7"/>
      <c r="V3198" s="6"/>
      <c r="W3198" s="6"/>
      <c r="X3198" s="12"/>
      <c r="Y3198" s="6"/>
      <c r="Z3198" s="6"/>
      <c r="AA3198" s="7"/>
      <c r="AB3198" s="6"/>
      <c r="AC3198" s="6"/>
      <c r="AD3198" s="6"/>
      <c r="AE3198" s="12"/>
      <c r="AF3198" s="12"/>
      <c r="AG3198" s="12"/>
      <c r="AH3198" s="12"/>
      <c r="AI3198" s="6"/>
      <c r="AJ3198" s="12"/>
      <c r="AK3198" s="1"/>
      <c r="AL3198" s="12"/>
      <c r="AM3198" s="12"/>
      <c r="AN3198" s="1"/>
      <c r="AO3198" s="6"/>
    </row>
    <row r="3199" spans="1:41" ht="15" x14ac:dyDescent="0.25">
      <c r="A3199" s="1"/>
      <c r="B3199" s="1"/>
      <c r="C3199" s="1"/>
      <c r="D3199" s="1"/>
      <c r="E3199" s="6"/>
      <c r="F3199" s="1"/>
      <c r="G3199" s="6"/>
      <c r="H3199" s="6"/>
      <c r="I3199" s="6"/>
      <c r="J3199" s="6"/>
      <c r="K3199" s="6"/>
      <c r="L3199" s="6"/>
      <c r="M3199" s="6"/>
      <c r="N3199" s="6"/>
      <c r="O3199" s="7"/>
      <c r="P3199" s="6"/>
      <c r="Q3199" s="6"/>
      <c r="R3199" s="7"/>
      <c r="S3199" s="6"/>
      <c r="T3199" s="6"/>
      <c r="U3199" s="7"/>
      <c r="V3199" s="6"/>
      <c r="W3199" s="6"/>
      <c r="X3199" s="6"/>
      <c r="Y3199" s="6"/>
      <c r="Z3199" s="6"/>
      <c r="AA3199" s="7"/>
      <c r="AB3199" s="6"/>
      <c r="AC3199" s="6"/>
      <c r="AD3199" s="6"/>
      <c r="AE3199" s="12"/>
      <c r="AF3199" s="6"/>
      <c r="AG3199" s="12"/>
      <c r="AH3199" s="6"/>
      <c r="AI3199" s="6"/>
      <c r="AJ3199" s="12"/>
      <c r="AK3199" s="1"/>
      <c r="AL3199" s="12"/>
      <c r="AM3199" s="12"/>
      <c r="AN3199" s="1"/>
      <c r="AO3199" s="6"/>
    </row>
    <row r="3200" spans="1:41" ht="15" x14ac:dyDescent="0.25">
      <c r="A3200" s="1"/>
      <c r="B3200" s="1"/>
      <c r="C3200" s="1"/>
      <c r="D3200" s="1"/>
      <c r="E3200" s="6"/>
      <c r="F3200" s="1"/>
      <c r="G3200" s="6"/>
      <c r="H3200" s="6"/>
      <c r="I3200" s="6"/>
      <c r="J3200" s="6"/>
      <c r="K3200" s="6"/>
      <c r="L3200" s="6"/>
      <c r="M3200" s="6"/>
      <c r="N3200" s="6"/>
      <c r="O3200" s="7"/>
      <c r="P3200" s="6"/>
      <c r="Q3200" s="7"/>
      <c r="R3200" s="6"/>
      <c r="S3200" s="6"/>
      <c r="T3200" s="6"/>
      <c r="U3200" s="6"/>
      <c r="V3200" s="7"/>
      <c r="W3200" s="6"/>
      <c r="X3200" s="6"/>
      <c r="Y3200" s="6"/>
      <c r="Z3200" s="6"/>
      <c r="AA3200" s="24"/>
      <c r="AB3200" s="25"/>
      <c r="AC3200" s="12"/>
      <c r="AD3200" s="12"/>
      <c r="AE3200" s="12"/>
      <c r="AF3200" s="6"/>
      <c r="AG3200" s="12"/>
      <c r="AH3200" s="6"/>
      <c r="AI3200" s="6"/>
      <c r="AJ3200" s="12"/>
      <c r="AK3200" s="12"/>
      <c r="AL3200" s="12"/>
      <c r="AM3200" s="12"/>
      <c r="AN3200" s="1"/>
      <c r="AO3200" s="6"/>
    </row>
    <row r="3201" spans="1:41" ht="15" x14ac:dyDescent="0.25">
      <c r="A3201" s="1"/>
      <c r="B3201" s="1"/>
      <c r="C3201" s="1"/>
      <c r="D3201" s="1"/>
      <c r="E3201" s="6"/>
      <c r="F3201" s="1"/>
      <c r="G3201" s="6"/>
      <c r="H3201" s="6"/>
      <c r="I3201" s="6"/>
      <c r="J3201" s="6"/>
      <c r="K3201" s="6"/>
      <c r="L3201" s="6"/>
      <c r="M3201" s="6"/>
      <c r="N3201" s="6"/>
      <c r="O3201" s="7"/>
      <c r="P3201" s="6"/>
      <c r="Q3201" s="6"/>
      <c r="R3201" s="7"/>
      <c r="S3201" s="6"/>
      <c r="T3201" s="6"/>
      <c r="U3201" s="7"/>
      <c r="V3201" s="6"/>
      <c r="W3201" s="6"/>
      <c r="X3201" s="6"/>
      <c r="Y3201" s="6"/>
      <c r="Z3201" s="6"/>
      <c r="AA3201" s="7"/>
      <c r="AB3201" s="6"/>
      <c r="AC3201" s="6"/>
      <c r="AD3201" s="6"/>
      <c r="AE3201" s="12"/>
      <c r="AF3201" s="6"/>
      <c r="AG3201" s="12"/>
      <c r="AH3201" s="6"/>
      <c r="AI3201" s="6"/>
      <c r="AJ3201" s="12"/>
      <c r="AK3201" s="1"/>
      <c r="AL3201" s="12"/>
      <c r="AM3201" s="12"/>
      <c r="AN3201" s="1"/>
      <c r="AO3201" s="6"/>
    </row>
    <row r="3202" spans="1:41" ht="15" x14ac:dyDescent="0.25">
      <c r="A3202" s="1"/>
      <c r="B3202" s="1"/>
      <c r="C3202" s="1"/>
      <c r="D3202" s="1"/>
      <c r="E3202" s="6"/>
      <c r="F3202" s="1"/>
      <c r="G3202" s="6"/>
      <c r="H3202" s="6"/>
      <c r="I3202" s="6"/>
      <c r="J3202" s="6"/>
      <c r="K3202" s="6"/>
      <c r="L3202" s="6"/>
      <c r="M3202" s="6"/>
      <c r="N3202" s="6"/>
      <c r="O3202" s="7"/>
      <c r="P3202" s="6"/>
      <c r="Q3202" s="6"/>
      <c r="R3202" s="7"/>
      <c r="S3202" s="6"/>
      <c r="T3202" s="6"/>
      <c r="U3202" s="7"/>
      <c r="V3202" s="6"/>
      <c r="W3202" s="6"/>
      <c r="X3202" s="12"/>
      <c r="Y3202" s="6"/>
      <c r="Z3202" s="6"/>
      <c r="AA3202" s="7"/>
      <c r="AB3202" s="6"/>
      <c r="AC3202" s="6"/>
      <c r="AD3202" s="6"/>
      <c r="AE3202" s="12"/>
      <c r="AF3202" s="12"/>
      <c r="AG3202" s="12"/>
      <c r="AH3202" s="12"/>
      <c r="AI3202" s="6"/>
      <c r="AJ3202" s="12"/>
      <c r="AK3202" s="1"/>
      <c r="AL3202" s="12"/>
      <c r="AM3202" s="12"/>
      <c r="AN3202" s="1"/>
      <c r="AO3202" s="6"/>
    </row>
    <row r="3203" spans="1:41" ht="15" x14ac:dyDescent="0.25">
      <c r="A3203" s="1"/>
      <c r="B3203" s="1"/>
      <c r="C3203" s="1"/>
      <c r="D3203" s="1"/>
      <c r="E3203" s="6"/>
      <c r="F3203" s="1"/>
      <c r="G3203" s="6"/>
      <c r="H3203" s="6"/>
      <c r="I3203" s="6"/>
      <c r="J3203" s="6"/>
      <c r="K3203" s="6"/>
      <c r="L3203" s="6"/>
      <c r="M3203" s="6"/>
      <c r="N3203" s="6"/>
      <c r="O3203" s="7"/>
      <c r="P3203" s="6"/>
      <c r="Q3203" s="6"/>
      <c r="R3203" s="7"/>
      <c r="S3203" s="6"/>
      <c r="T3203" s="6"/>
      <c r="U3203" s="7"/>
      <c r="V3203" s="6"/>
      <c r="W3203" s="6"/>
      <c r="X3203" s="6"/>
      <c r="Y3203" s="6"/>
      <c r="Z3203" s="6"/>
      <c r="AA3203" s="7"/>
      <c r="AB3203" s="6"/>
      <c r="AC3203" s="6"/>
      <c r="AD3203" s="6"/>
      <c r="AE3203" s="12"/>
      <c r="AF3203" s="12"/>
      <c r="AG3203" s="12"/>
      <c r="AH3203" s="12"/>
      <c r="AI3203" s="6"/>
      <c r="AJ3203" s="12"/>
      <c r="AK3203" s="1"/>
      <c r="AL3203" s="12"/>
      <c r="AM3203" s="12"/>
      <c r="AN3203" s="1"/>
      <c r="AO3203" s="6"/>
    </row>
    <row r="3204" spans="1:41" ht="15" x14ac:dyDescent="0.25">
      <c r="A3204" s="1"/>
      <c r="B3204" s="1"/>
      <c r="C3204" s="1"/>
      <c r="D3204" s="1"/>
      <c r="E3204" s="6"/>
      <c r="F3204" s="1"/>
      <c r="G3204" s="6"/>
      <c r="H3204" s="6"/>
      <c r="I3204" s="6"/>
      <c r="J3204" s="6"/>
      <c r="K3204" s="6"/>
      <c r="L3204" s="6"/>
      <c r="M3204" s="6"/>
      <c r="N3204" s="6"/>
      <c r="O3204" s="7"/>
      <c r="P3204" s="6"/>
      <c r="Q3204" s="6"/>
      <c r="R3204" s="7"/>
      <c r="S3204" s="6"/>
      <c r="T3204" s="6"/>
      <c r="U3204" s="7"/>
      <c r="V3204" s="6"/>
      <c r="W3204" s="6"/>
      <c r="X3204" s="12"/>
      <c r="Y3204" s="6"/>
      <c r="Z3204" s="6"/>
      <c r="AA3204" s="7"/>
      <c r="AB3204" s="6"/>
      <c r="AC3204" s="6"/>
      <c r="AD3204" s="6"/>
      <c r="AE3204" s="12"/>
      <c r="AF3204" s="12"/>
      <c r="AG3204" s="12"/>
      <c r="AH3204" s="12"/>
      <c r="AI3204" s="6"/>
      <c r="AJ3204" s="12"/>
      <c r="AK3204" s="1"/>
      <c r="AL3204" s="12"/>
      <c r="AM3204" s="12"/>
      <c r="AN3204" s="1"/>
      <c r="AO3204" s="6"/>
    </row>
    <row r="3205" spans="1:41" ht="15" x14ac:dyDescent="0.25">
      <c r="A3205" s="1"/>
      <c r="B3205" s="1"/>
      <c r="C3205" s="1"/>
      <c r="D3205" s="1"/>
      <c r="E3205" s="6"/>
      <c r="F3205" s="1"/>
      <c r="G3205" s="6"/>
      <c r="H3205" s="6"/>
      <c r="I3205" s="6"/>
      <c r="J3205" s="6"/>
      <c r="K3205" s="6"/>
      <c r="L3205" s="6"/>
      <c r="M3205" s="6"/>
      <c r="N3205" s="6"/>
      <c r="O3205" s="7"/>
      <c r="P3205" s="6"/>
      <c r="Q3205" s="6"/>
      <c r="R3205" s="7"/>
      <c r="S3205" s="6"/>
      <c r="T3205" s="6"/>
      <c r="U3205" s="7"/>
      <c r="V3205" s="6"/>
      <c r="W3205" s="6"/>
      <c r="X3205" s="6"/>
      <c r="Y3205" s="6"/>
      <c r="Z3205" s="6"/>
      <c r="AA3205" s="7"/>
      <c r="AB3205" s="6"/>
      <c r="AC3205" s="6"/>
      <c r="AD3205" s="6"/>
      <c r="AE3205" s="12"/>
      <c r="AF3205" s="6"/>
      <c r="AG3205" s="12"/>
      <c r="AH3205" s="6"/>
      <c r="AI3205" s="6"/>
      <c r="AJ3205" s="12"/>
      <c r="AK3205" s="24"/>
      <c r="AL3205" s="25"/>
      <c r="AM3205" s="12"/>
      <c r="AN3205" s="1"/>
      <c r="AO3205" s="6"/>
    </row>
    <row r="3206" spans="1:41" ht="15" x14ac:dyDescent="0.25">
      <c r="A3206" s="1"/>
      <c r="B3206" s="1"/>
      <c r="C3206" s="1"/>
      <c r="D3206" s="1"/>
      <c r="E3206" s="6"/>
      <c r="F3206" s="1"/>
      <c r="G3206" s="6"/>
      <c r="H3206" s="6"/>
      <c r="I3206" s="6"/>
      <c r="J3206" s="6"/>
      <c r="K3206" s="6"/>
      <c r="L3206" s="6"/>
      <c r="M3206" s="6"/>
      <c r="N3206" s="6"/>
      <c r="O3206" s="7"/>
      <c r="P3206" s="6"/>
      <c r="Q3206" s="6"/>
      <c r="R3206" s="7"/>
      <c r="S3206" s="6"/>
      <c r="T3206" s="6"/>
      <c r="U3206" s="7"/>
      <c r="V3206" s="6"/>
      <c r="W3206" s="6"/>
      <c r="X3206" s="12"/>
      <c r="Y3206" s="6"/>
      <c r="Z3206" s="6"/>
      <c r="AA3206" s="7"/>
      <c r="AB3206" s="6"/>
      <c r="AC3206" s="6"/>
      <c r="AD3206" s="6"/>
      <c r="AE3206" s="12"/>
      <c r="AF3206" s="6"/>
      <c r="AG3206" s="12"/>
      <c r="AH3206" s="6"/>
      <c r="AI3206" s="6"/>
      <c r="AJ3206" s="12"/>
      <c r="AK3206" s="1"/>
      <c r="AL3206" s="12"/>
      <c r="AM3206" s="12"/>
      <c r="AN3206" s="1"/>
      <c r="AO3206" s="6"/>
    </row>
    <row r="3207" spans="1:41" ht="15" x14ac:dyDescent="0.25">
      <c r="A3207" s="1"/>
      <c r="B3207" s="1"/>
      <c r="C3207" s="1"/>
      <c r="D3207" s="1"/>
      <c r="E3207" s="6"/>
      <c r="F3207" s="1"/>
      <c r="G3207" s="6"/>
      <c r="H3207" s="6"/>
      <c r="I3207" s="6"/>
      <c r="J3207" s="6"/>
      <c r="K3207" s="6"/>
      <c r="L3207" s="6"/>
      <c r="M3207" s="6"/>
      <c r="N3207" s="6"/>
      <c r="O3207" s="7"/>
      <c r="P3207" s="6"/>
      <c r="Q3207" s="6"/>
      <c r="R3207" s="7"/>
      <c r="S3207" s="6"/>
      <c r="T3207" s="6"/>
      <c r="U3207" s="7"/>
      <c r="V3207" s="6"/>
      <c r="W3207" s="6"/>
      <c r="X3207" s="6"/>
      <c r="Y3207" s="6"/>
      <c r="Z3207" s="6"/>
      <c r="AA3207" s="7"/>
      <c r="AB3207" s="6"/>
      <c r="AC3207" s="6"/>
      <c r="AD3207" s="6"/>
      <c r="AE3207" s="12"/>
      <c r="AF3207" s="12"/>
      <c r="AG3207" s="12"/>
      <c r="AH3207" s="12"/>
      <c r="AI3207" s="6"/>
      <c r="AJ3207" s="12"/>
      <c r="AK3207" s="1"/>
      <c r="AL3207" s="12"/>
      <c r="AM3207" s="12"/>
      <c r="AN3207" s="1"/>
      <c r="AO3207" s="6"/>
    </row>
    <row r="3208" spans="1:41" ht="15" x14ac:dyDescent="0.25">
      <c r="A3208" s="1"/>
      <c r="B3208" s="1"/>
      <c r="C3208" s="1"/>
      <c r="D3208" s="1"/>
      <c r="E3208" s="6"/>
      <c r="F3208" s="1"/>
      <c r="G3208" s="6"/>
      <c r="H3208" s="6"/>
      <c r="I3208" s="6"/>
      <c r="J3208" s="6"/>
      <c r="K3208" s="12"/>
      <c r="L3208" s="12"/>
      <c r="M3208" s="6"/>
      <c r="N3208" s="6"/>
      <c r="O3208" s="7"/>
      <c r="P3208" s="6"/>
      <c r="Q3208" s="6"/>
      <c r="R3208" s="7"/>
      <c r="S3208" s="6"/>
      <c r="T3208" s="6"/>
      <c r="U3208" s="7"/>
      <c r="V3208" s="6"/>
      <c r="W3208" s="6"/>
      <c r="X3208" s="12"/>
      <c r="Y3208" s="6"/>
      <c r="Z3208" s="6"/>
      <c r="AA3208" s="7"/>
      <c r="AB3208" s="6"/>
      <c r="AC3208" s="6"/>
      <c r="AD3208" s="6"/>
      <c r="AE3208" s="12"/>
      <c r="AF3208" s="12"/>
      <c r="AG3208" s="12"/>
      <c r="AH3208" s="12"/>
      <c r="AI3208" s="6"/>
      <c r="AJ3208" s="12"/>
      <c r="AK3208" s="1"/>
      <c r="AL3208" s="12"/>
      <c r="AM3208" s="12"/>
      <c r="AN3208" s="1"/>
      <c r="AO3208" s="6"/>
    </row>
    <row r="3209" spans="1:41" ht="15" x14ac:dyDescent="0.25">
      <c r="A3209" s="1"/>
      <c r="B3209" s="1"/>
      <c r="C3209" s="1"/>
      <c r="D3209" s="1"/>
      <c r="E3209" s="6"/>
      <c r="F3209" s="1"/>
      <c r="G3209" s="6"/>
      <c r="H3209" s="6"/>
      <c r="I3209" s="6"/>
      <c r="J3209" s="6"/>
      <c r="K3209" s="6"/>
      <c r="L3209" s="6"/>
      <c r="M3209" s="6"/>
      <c r="N3209" s="6"/>
      <c r="O3209" s="7"/>
      <c r="P3209" s="6"/>
      <c r="Q3209" s="6"/>
      <c r="R3209" s="7"/>
      <c r="S3209" s="6"/>
      <c r="T3209" s="6"/>
      <c r="U3209" s="7"/>
      <c r="V3209" s="6"/>
      <c r="W3209" s="6"/>
      <c r="X3209" s="6"/>
      <c r="Y3209" s="6"/>
      <c r="Z3209" s="6"/>
      <c r="AA3209" s="7"/>
      <c r="AB3209" s="6"/>
      <c r="AC3209" s="6"/>
      <c r="AD3209" s="6"/>
      <c r="AE3209" s="12"/>
      <c r="AF3209" s="12"/>
      <c r="AG3209" s="12"/>
      <c r="AH3209" s="12"/>
      <c r="AI3209" s="6"/>
      <c r="AJ3209" s="12"/>
      <c r="AK3209" s="1"/>
      <c r="AL3209" s="12"/>
      <c r="AM3209" s="12"/>
      <c r="AN3209" s="1"/>
      <c r="AO3209" s="6"/>
    </row>
    <row r="3210" spans="1:41" ht="15" x14ac:dyDescent="0.25">
      <c r="A3210" s="1"/>
      <c r="B3210" s="1"/>
      <c r="C3210" s="1"/>
      <c r="D3210" s="1"/>
      <c r="E3210" s="6"/>
      <c r="F3210" s="1"/>
      <c r="G3210" s="6"/>
      <c r="H3210" s="6"/>
      <c r="I3210" s="6"/>
      <c r="J3210" s="6"/>
      <c r="K3210" s="6"/>
      <c r="L3210" s="6"/>
      <c r="M3210" s="6"/>
      <c r="N3210" s="6"/>
      <c r="O3210" s="7"/>
      <c r="P3210" s="6"/>
      <c r="Q3210" s="6"/>
      <c r="R3210" s="12"/>
      <c r="S3210" s="12"/>
      <c r="T3210" s="12"/>
      <c r="U3210" s="7"/>
      <c r="V3210" s="6"/>
      <c r="W3210" s="6"/>
      <c r="X3210" s="12"/>
      <c r="Y3210" s="6"/>
      <c r="Z3210" s="6"/>
      <c r="AA3210" s="7"/>
      <c r="AB3210" s="6"/>
      <c r="AC3210" s="6"/>
      <c r="AD3210" s="6"/>
      <c r="AE3210" s="12"/>
      <c r="AF3210" s="6"/>
      <c r="AG3210" s="12"/>
      <c r="AH3210" s="6"/>
      <c r="AI3210" s="6"/>
      <c r="AJ3210" s="12"/>
      <c r="AK3210" s="1"/>
      <c r="AL3210" s="12"/>
      <c r="AM3210" s="12"/>
      <c r="AN3210" s="1"/>
      <c r="AO3210" s="6"/>
    </row>
    <row r="3211" spans="1:41" ht="15" x14ac:dyDescent="0.25">
      <c r="A3211" s="1"/>
      <c r="B3211" s="1"/>
      <c r="C3211" s="1"/>
      <c r="D3211" s="1"/>
      <c r="E3211" s="6"/>
      <c r="F3211" s="1"/>
      <c r="G3211" s="6"/>
      <c r="H3211" s="6"/>
      <c r="I3211" s="6"/>
      <c r="J3211" s="6"/>
      <c r="K3211" s="12"/>
      <c r="L3211" s="12"/>
      <c r="M3211" s="6"/>
      <c r="N3211" s="6"/>
      <c r="O3211" s="7"/>
      <c r="P3211" s="6"/>
      <c r="Q3211" s="6"/>
      <c r="R3211" s="7"/>
      <c r="S3211" s="6"/>
      <c r="T3211" s="6"/>
      <c r="U3211" s="7"/>
      <c r="V3211" s="6"/>
      <c r="W3211" s="6"/>
      <c r="X3211" s="12"/>
      <c r="Y3211" s="6"/>
      <c r="Z3211" s="6"/>
      <c r="AA3211" s="7"/>
      <c r="AB3211" s="6"/>
      <c r="AC3211" s="6"/>
      <c r="AD3211" s="6"/>
      <c r="AE3211" s="12"/>
      <c r="AF3211" s="12"/>
      <c r="AG3211" s="12"/>
      <c r="AH3211" s="12"/>
      <c r="AI3211" s="6"/>
      <c r="AJ3211" s="12"/>
      <c r="AK3211" s="24"/>
      <c r="AL3211" s="25"/>
      <c r="AM3211" s="12"/>
      <c r="AN3211" s="1"/>
      <c r="AO3211" s="6"/>
    </row>
    <row r="3212" spans="1:41" ht="15" x14ac:dyDescent="0.25">
      <c r="A3212" s="1"/>
      <c r="B3212" s="1"/>
      <c r="C3212" s="1"/>
      <c r="D3212" s="1"/>
      <c r="E3212" s="6"/>
      <c r="F3212" s="1"/>
      <c r="G3212" s="6"/>
      <c r="H3212" s="6"/>
      <c r="I3212" s="6"/>
      <c r="J3212" s="6"/>
      <c r="K3212" s="6"/>
      <c r="L3212" s="6"/>
      <c r="M3212" s="6"/>
      <c r="N3212" s="6"/>
      <c r="O3212" s="7"/>
      <c r="P3212" s="6"/>
      <c r="Q3212" s="6"/>
      <c r="R3212" s="7"/>
      <c r="S3212" s="6"/>
      <c r="T3212" s="6"/>
      <c r="U3212" s="7"/>
      <c r="V3212" s="6"/>
      <c r="W3212" s="6"/>
      <c r="X3212" s="6"/>
      <c r="Y3212" s="6"/>
      <c r="Z3212" s="6"/>
      <c r="AA3212" s="7"/>
      <c r="AB3212" s="6"/>
      <c r="AC3212" s="6"/>
      <c r="AD3212" s="6"/>
      <c r="AE3212" s="12"/>
      <c r="AF3212" s="12"/>
      <c r="AG3212" s="12"/>
      <c r="AH3212" s="12"/>
      <c r="AI3212" s="6"/>
      <c r="AJ3212" s="12"/>
      <c r="AK3212" s="1"/>
      <c r="AL3212" s="12"/>
      <c r="AM3212" s="12"/>
      <c r="AN3212" s="1"/>
      <c r="AO3212" s="6"/>
    </row>
    <row r="3213" spans="1:41" ht="15" x14ac:dyDescent="0.25">
      <c r="A3213" s="1"/>
      <c r="B3213" s="1"/>
      <c r="C3213" s="1"/>
      <c r="D3213" s="1"/>
      <c r="E3213" s="6"/>
      <c r="F3213" s="1"/>
      <c r="G3213" s="6"/>
      <c r="H3213" s="6"/>
      <c r="I3213" s="6"/>
      <c r="J3213" s="6"/>
      <c r="K3213" s="6"/>
      <c r="L3213" s="6"/>
      <c r="M3213" s="6"/>
      <c r="N3213" s="6"/>
      <c r="O3213" s="7"/>
      <c r="P3213" s="6"/>
      <c r="Q3213" s="7"/>
      <c r="R3213" s="6"/>
      <c r="S3213" s="6"/>
      <c r="T3213" s="6"/>
      <c r="U3213" s="6"/>
      <c r="V3213" s="7"/>
      <c r="W3213" s="7"/>
      <c r="X3213" s="6"/>
      <c r="Y3213" s="6"/>
      <c r="Z3213" s="6"/>
      <c r="AA3213" s="1"/>
      <c r="AB3213" s="12"/>
      <c r="AC3213" s="12"/>
      <c r="AD3213" s="12"/>
      <c r="AE3213" s="12"/>
      <c r="AF3213" s="12"/>
      <c r="AG3213" s="12"/>
      <c r="AH3213" s="12"/>
      <c r="AI3213" s="6"/>
      <c r="AJ3213" s="12"/>
      <c r="AK3213" s="12"/>
      <c r="AL3213" s="12"/>
      <c r="AM3213" s="12"/>
      <c r="AN3213" s="1"/>
      <c r="AO3213" s="6"/>
    </row>
    <row r="3214" spans="1:41" ht="15" x14ac:dyDescent="0.25">
      <c r="A3214" s="1"/>
      <c r="B3214" s="1"/>
      <c r="C3214" s="1"/>
      <c r="D3214" s="1"/>
      <c r="E3214" s="6"/>
      <c r="F3214" s="1"/>
      <c r="G3214" s="6"/>
      <c r="H3214" s="6"/>
      <c r="I3214" s="6"/>
      <c r="J3214" s="6"/>
      <c r="K3214" s="6"/>
      <c r="L3214" s="6"/>
      <c r="M3214" s="6"/>
      <c r="N3214" s="6"/>
      <c r="O3214" s="7"/>
      <c r="P3214" s="6"/>
      <c r="Q3214" s="6"/>
      <c r="R3214" s="7"/>
      <c r="S3214" s="6"/>
      <c r="T3214" s="6"/>
      <c r="U3214" s="7"/>
      <c r="V3214" s="6"/>
      <c r="W3214" s="6"/>
      <c r="X3214" s="12"/>
      <c r="Y3214" s="6"/>
      <c r="Z3214" s="6"/>
      <c r="AA3214" s="7"/>
      <c r="AB3214" s="6"/>
      <c r="AC3214" s="6"/>
      <c r="AD3214" s="6"/>
      <c r="AE3214" s="12"/>
      <c r="AF3214" s="12"/>
      <c r="AG3214" s="12"/>
      <c r="AH3214" s="12"/>
      <c r="AI3214" s="6"/>
      <c r="AJ3214" s="12"/>
      <c r="AK3214" s="1"/>
      <c r="AL3214" s="12"/>
      <c r="AM3214" s="12"/>
      <c r="AN3214" s="1"/>
      <c r="AO3214" s="6"/>
    </row>
    <row r="3215" spans="1:41" ht="15" x14ac:dyDescent="0.25">
      <c r="A3215" s="1"/>
      <c r="B3215" s="1"/>
      <c r="C3215" s="1"/>
      <c r="D3215" s="1"/>
      <c r="E3215" s="6"/>
      <c r="F3215" s="1"/>
      <c r="G3215" s="6"/>
      <c r="H3215" s="6"/>
      <c r="I3215" s="6"/>
      <c r="J3215" s="6"/>
      <c r="K3215" s="6"/>
      <c r="L3215" s="6"/>
      <c r="M3215" s="6"/>
      <c r="N3215" s="6"/>
      <c r="O3215" s="7"/>
      <c r="P3215" s="6"/>
      <c r="Q3215" s="6"/>
      <c r="R3215" s="7"/>
      <c r="S3215" s="6"/>
      <c r="T3215" s="6"/>
      <c r="U3215" s="7"/>
      <c r="V3215" s="6"/>
      <c r="W3215" s="6"/>
      <c r="X3215" s="6"/>
      <c r="Y3215" s="6"/>
      <c r="Z3215" s="6"/>
      <c r="AA3215" s="7"/>
      <c r="AB3215" s="6"/>
      <c r="AC3215" s="6"/>
      <c r="AD3215" s="6"/>
      <c r="AE3215" s="12"/>
      <c r="AF3215" s="6"/>
      <c r="AG3215" s="12"/>
      <c r="AH3215" s="6"/>
      <c r="AI3215" s="6"/>
      <c r="AJ3215" s="12"/>
      <c r="AK3215" s="1"/>
      <c r="AL3215" s="12"/>
      <c r="AM3215" s="12"/>
      <c r="AN3215" s="1"/>
      <c r="AO3215" s="6"/>
    </row>
    <row r="3216" spans="1:41" ht="15" x14ac:dyDescent="0.25">
      <c r="A3216" s="1"/>
      <c r="B3216" s="1"/>
      <c r="C3216" s="1"/>
      <c r="D3216" s="1"/>
      <c r="E3216" s="6"/>
      <c r="F3216" s="1"/>
      <c r="G3216" s="6"/>
      <c r="H3216" s="6"/>
      <c r="I3216" s="6"/>
      <c r="J3216" s="6"/>
      <c r="K3216" s="6"/>
      <c r="L3216" s="6"/>
      <c r="M3216" s="6"/>
      <c r="N3216" s="6"/>
      <c r="O3216" s="7"/>
      <c r="P3216" s="6"/>
      <c r="Q3216" s="6"/>
      <c r="R3216" s="7"/>
      <c r="S3216" s="6"/>
      <c r="T3216" s="6"/>
      <c r="U3216" s="7"/>
      <c r="V3216" s="6"/>
      <c r="W3216" s="6"/>
      <c r="X3216" s="6"/>
      <c r="Y3216" s="6"/>
      <c r="Z3216" s="6"/>
      <c r="AA3216" s="7"/>
      <c r="AB3216" s="6"/>
      <c r="AC3216" s="6"/>
      <c r="AD3216" s="6"/>
      <c r="AE3216" s="12"/>
      <c r="AF3216" s="12"/>
      <c r="AG3216" s="12"/>
      <c r="AH3216" s="12"/>
      <c r="AI3216" s="6"/>
      <c r="AJ3216" s="12"/>
      <c r="AK3216" s="1"/>
      <c r="AL3216" s="12"/>
      <c r="AM3216" s="12"/>
      <c r="AN3216" s="1"/>
      <c r="AO3216" s="6"/>
    </row>
    <row r="3217" spans="1:41" ht="15" x14ac:dyDescent="0.25">
      <c r="A3217" s="1"/>
      <c r="B3217" s="1"/>
      <c r="C3217" s="1"/>
      <c r="D3217" s="1"/>
      <c r="E3217" s="6"/>
      <c r="F3217" s="1"/>
      <c r="G3217" s="6"/>
      <c r="H3217" s="6"/>
      <c r="I3217" s="6"/>
      <c r="J3217" s="6"/>
      <c r="K3217" s="6"/>
      <c r="L3217" s="6"/>
      <c r="M3217" s="6"/>
      <c r="N3217" s="6"/>
      <c r="O3217" s="7"/>
      <c r="P3217" s="6"/>
      <c r="Q3217" s="7"/>
      <c r="R3217" s="6"/>
      <c r="S3217" s="12"/>
      <c r="T3217" s="6"/>
      <c r="U3217" s="6"/>
      <c r="V3217" s="7"/>
      <c r="W3217" s="7"/>
      <c r="X3217" s="6"/>
      <c r="Y3217" s="6"/>
      <c r="Z3217" s="6"/>
      <c r="AA3217" s="1"/>
      <c r="AB3217" s="12"/>
      <c r="AC3217" s="12"/>
      <c r="AD3217" s="12"/>
      <c r="AE3217" s="12"/>
      <c r="AF3217" s="12"/>
      <c r="AG3217" s="12"/>
      <c r="AH3217" s="12"/>
      <c r="AI3217" s="6"/>
      <c r="AJ3217" s="12"/>
      <c r="AK3217" s="12"/>
      <c r="AL3217" s="12"/>
      <c r="AM3217" s="12"/>
      <c r="AN3217" s="1"/>
      <c r="AO3217" s="6"/>
    </row>
    <row r="3218" spans="1:41" ht="15" x14ac:dyDescent="0.25">
      <c r="A3218" s="1"/>
      <c r="B3218" s="1"/>
      <c r="C3218" s="1"/>
      <c r="D3218" s="1"/>
      <c r="E3218" s="6"/>
      <c r="F3218" s="1"/>
      <c r="G3218" s="6"/>
      <c r="H3218" s="6"/>
      <c r="I3218" s="6"/>
      <c r="J3218" s="6"/>
      <c r="K3218" s="6"/>
      <c r="L3218" s="6"/>
      <c r="M3218" s="6"/>
      <c r="N3218" s="6"/>
      <c r="O3218" s="7"/>
      <c r="P3218" s="6"/>
      <c r="Q3218" s="6"/>
      <c r="R3218" s="7"/>
      <c r="S3218" s="6"/>
      <c r="T3218" s="6"/>
      <c r="U3218" s="7"/>
      <c r="V3218" s="6"/>
      <c r="W3218" s="6"/>
      <c r="X3218" s="12"/>
      <c r="Y3218" s="6"/>
      <c r="Z3218" s="6"/>
      <c r="AA3218" s="7"/>
      <c r="AB3218" s="6"/>
      <c r="AC3218" s="6"/>
      <c r="AD3218" s="6"/>
      <c r="AE3218" s="12"/>
      <c r="AF3218" s="12"/>
      <c r="AG3218" s="12"/>
      <c r="AH3218" s="12"/>
      <c r="AI3218" s="6"/>
      <c r="AJ3218" s="12"/>
      <c r="AK3218" s="1"/>
      <c r="AL3218" s="12"/>
      <c r="AM3218" s="12"/>
      <c r="AN3218" s="1"/>
      <c r="AO3218" s="6"/>
    </row>
    <row r="3219" spans="1:41" ht="15" x14ac:dyDescent="0.25">
      <c r="A3219" s="1"/>
      <c r="B3219" s="1"/>
      <c r="C3219" s="1"/>
      <c r="D3219" s="1"/>
      <c r="E3219" s="6"/>
      <c r="F3219" s="1"/>
      <c r="G3219" s="6"/>
      <c r="H3219" s="6"/>
      <c r="I3219" s="6"/>
      <c r="J3219" s="6"/>
      <c r="K3219" s="12"/>
      <c r="L3219" s="12"/>
      <c r="M3219" s="6"/>
      <c r="N3219" s="6"/>
      <c r="O3219" s="7"/>
      <c r="P3219" s="6"/>
      <c r="Q3219" s="6"/>
      <c r="R3219" s="7"/>
      <c r="S3219" s="6"/>
      <c r="T3219" s="6"/>
      <c r="U3219" s="7"/>
      <c r="V3219" s="6"/>
      <c r="W3219" s="6"/>
      <c r="X3219" s="12"/>
      <c r="Y3219" s="6"/>
      <c r="Z3219" s="6"/>
      <c r="AA3219" s="7"/>
      <c r="AB3219" s="6"/>
      <c r="AC3219" s="6"/>
      <c r="AD3219" s="6"/>
      <c r="AE3219" s="12"/>
      <c r="AF3219" s="12"/>
      <c r="AG3219" s="12"/>
      <c r="AH3219" s="12"/>
      <c r="AI3219" s="6"/>
      <c r="AJ3219" s="12"/>
      <c r="AK3219" s="1"/>
      <c r="AL3219" s="12"/>
      <c r="AM3219" s="12"/>
      <c r="AN3219" s="1"/>
      <c r="AO3219" s="12"/>
    </row>
    <row r="3220" spans="1:41" ht="15" x14ac:dyDescent="0.25">
      <c r="A3220" s="1"/>
      <c r="B3220" s="1"/>
      <c r="C3220" s="1"/>
      <c r="D3220" s="1"/>
      <c r="E3220" s="6"/>
      <c r="F3220" s="1"/>
      <c r="G3220" s="6"/>
      <c r="H3220" s="6"/>
      <c r="I3220" s="6"/>
      <c r="J3220" s="6"/>
      <c r="K3220" s="12"/>
      <c r="L3220" s="12"/>
      <c r="M3220" s="6"/>
      <c r="N3220" s="6"/>
      <c r="O3220" s="7"/>
      <c r="P3220" s="6"/>
      <c r="Q3220" s="7"/>
      <c r="R3220" s="6"/>
      <c r="S3220" s="6"/>
      <c r="T3220" s="6"/>
      <c r="U3220" s="6"/>
      <c r="V3220" s="7"/>
      <c r="W3220" s="7"/>
      <c r="X3220" s="6"/>
      <c r="Y3220" s="6"/>
      <c r="Z3220" s="6"/>
      <c r="AA3220" s="1"/>
      <c r="AB3220" s="12"/>
      <c r="AC3220" s="12"/>
      <c r="AD3220" s="12"/>
      <c r="AE3220" s="12"/>
      <c r="AF3220" s="12"/>
      <c r="AG3220" s="12"/>
      <c r="AH3220" s="12"/>
      <c r="AI3220" s="6"/>
      <c r="AJ3220" s="12"/>
      <c r="AK3220" s="12"/>
      <c r="AL3220" s="12"/>
      <c r="AM3220" s="12"/>
      <c r="AN3220" s="1"/>
      <c r="AO3220" s="6"/>
    </row>
    <row r="3221" spans="1:41" ht="15" x14ac:dyDescent="0.25">
      <c r="A3221" s="1"/>
      <c r="B3221" s="1"/>
      <c r="C3221" s="1"/>
      <c r="D3221" s="1"/>
      <c r="E3221" s="6"/>
      <c r="F3221" s="1"/>
      <c r="G3221" s="6"/>
      <c r="H3221" s="6"/>
      <c r="I3221" s="6"/>
      <c r="J3221" s="6"/>
      <c r="K3221" s="6"/>
      <c r="L3221" s="6"/>
      <c r="M3221" s="6"/>
      <c r="N3221" s="6"/>
      <c r="O3221" s="7"/>
      <c r="P3221" s="6"/>
      <c r="Q3221" s="6"/>
      <c r="R3221" s="7"/>
      <c r="S3221" s="6"/>
      <c r="T3221" s="6"/>
      <c r="U3221" s="7"/>
      <c r="V3221" s="6"/>
      <c r="W3221" s="6"/>
      <c r="X3221" s="6"/>
      <c r="Y3221" s="6"/>
      <c r="Z3221" s="6"/>
      <c r="AA3221" s="7"/>
      <c r="AB3221" s="6"/>
      <c r="AC3221" s="6"/>
      <c r="AD3221" s="6"/>
      <c r="AE3221" s="12"/>
      <c r="AF3221" s="6"/>
      <c r="AG3221" s="12"/>
      <c r="AH3221" s="6"/>
      <c r="AI3221" s="6"/>
      <c r="AJ3221" s="12"/>
      <c r="AK3221" s="24"/>
      <c r="AL3221" s="25"/>
      <c r="AM3221" s="12"/>
      <c r="AN3221" s="1"/>
      <c r="AO3221" s="6"/>
    </row>
    <row r="3222" spans="1:41" ht="15" x14ac:dyDescent="0.25">
      <c r="A3222" s="1"/>
      <c r="B3222" s="1"/>
      <c r="C3222" s="1"/>
      <c r="D3222" s="1"/>
      <c r="E3222" s="6"/>
      <c r="F3222" s="1"/>
      <c r="G3222" s="6"/>
      <c r="H3222" s="6"/>
      <c r="I3222" s="6"/>
      <c r="J3222" s="6"/>
      <c r="K3222" s="6"/>
      <c r="L3222" s="6"/>
      <c r="M3222" s="6"/>
      <c r="N3222" s="6"/>
      <c r="O3222" s="7"/>
      <c r="P3222" s="6"/>
      <c r="Q3222" s="6"/>
      <c r="R3222" s="7"/>
      <c r="S3222" s="6"/>
      <c r="T3222" s="6"/>
      <c r="U3222" s="7"/>
      <c r="V3222" s="6"/>
      <c r="W3222" s="6"/>
      <c r="X3222" s="6"/>
      <c r="Y3222" s="6"/>
      <c r="Z3222" s="6"/>
      <c r="AA3222" s="7"/>
      <c r="AB3222" s="6"/>
      <c r="AC3222" s="6"/>
      <c r="AD3222" s="6"/>
      <c r="AE3222" s="12"/>
      <c r="AF3222" s="12"/>
      <c r="AG3222" s="12"/>
      <c r="AH3222" s="12"/>
      <c r="AI3222" s="6"/>
      <c r="AJ3222" s="12"/>
      <c r="AK3222" s="1"/>
      <c r="AL3222" s="12"/>
      <c r="AM3222" s="12"/>
      <c r="AN3222" s="1"/>
      <c r="AO3222" s="6"/>
    </row>
    <row r="3223" spans="1:41" ht="15" x14ac:dyDescent="0.25">
      <c r="A3223" s="1"/>
      <c r="B3223" s="1"/>
      <c r="C3223" s="1"/>
      <c r="D3223" s="1"/>
      <c r="E3223" s="6"/>
      <c r="F3223" s="1"/>
      <c r="G3223" s="6"/>
      <c r="H3223" s="6"/>
      <c r="I3223" s="6"/>
      <c r="J3223" s="6"/>
      <c r="K3223" s="6"/>
      <c r="L3223" s="6"/>
      <c r="M3223" s="6"/>
      <c r="N3223" s="6"/>
      <c r="O3223" s="7"/>
      <c r="P3223" s="6"/>
      <c r="Q3223" s="6"/>
      <c r="R3223" s="7"/>
      <c r="S3223" s="6"/>
      <c r="T3223" s="6"/>
      <c r="U3223" s="7"/>
      <c r="V3223" s="6"/>
      <c r="W3223" s="6"/>
      <c r="X3223" s="6"/>
      <c r="Y3223" s="6"/>
      <c r="Z3223" s="6"/>
      <c r="AA3223" s="7"/>
      <c r="AB3223" s="6"/>
      <c r="AC3223" s="6"/>
      <c r="AD3223" s="6"/>
      <c r="AE3223" s="12"/>
      <c r="AF3223" s="12"/>
      <c r="AG3223" s="12"/>
      <c r="AH3223" s="12"/>
      <c r="AI3223" s="6"/>
      <c r="AJ3223" s="12"/>
      <c r="AK3223" s="1"/>
      <c r="AL3223" s="12"/>
      <c r="AM3223" s="12"/>
      <c r="AN3223" s="1"/>
      <c r="AO3223" s="6"/>
    </row>
    <row r="3224" spans="1:41" ht="15" x14ac:dyDescent="0.25">
      <c r="A3224" s="1"/>
      <c r="B3224" s="1"/>
      <c r="C3224" s="1"/>
      <c r="D3224" s="1"/>
      <c r="E3224" s="6"/>
      <c r="F3224" s="1"/>
      <c r="G3224" s="6"/>
      <c r="H3224" s="6"/>
      <c r="I3224" s="6"/>
      <c r="J3224" s="6"/>
      <c r="K3224" s="6"/>
      <c r="L3224" s="6"/>
      <c r="M3224" s="6"/>
      <c r="N3224" s="6"/>
      <c r="O3224" s="7"/>
      <c r="P3224" s="6"/>
      <c r="Q3224" s="6"/>
      <c r="R3224" s="7"/>
      <c r="S3224" s="6"/>
      <c r="T3224" s="6"/>
      <c r="U3224" s="7"/>
      <c r="V3224" s="6"/>
      <c r="W3224" s="6"/>
      <c r="X3224" s="12"/>
      <c r="Y3224" s="6"/>
      <c r="Z3224" s="6"/>
      <c r="AA3224" s="7"/>
      <c r="AB3224" s="6"/>
      <c r="AC3224" s="6"/>
      <c r="AD3224" s="6"/>
      <c r="AE3224" s="12"/>
      <c r="AF3224" s="6"/>
      <c r="AG3224" s="12"/>
      <c r="AH3224" s="6"/>
      <c r="AI3224" s="6"/>
      <c r="AJ3224" s="12"/>
      <c r="AK3224" s="1"/>
      <c r="AL3224" s="12"/>
      <c r="AM3224" s="12"/>
      <c r="AN3224" s="1"/>
      <c r="AO3224" s="6"/>
    </row>
    <row r="3225" spans="1:41" ht="15" x14ac:dyDescent="0.25">
      <c r="A3225" s="1"/>
      <c r="B3225" s="1"/>
      <c r="C3225" s="1"/>
      <c r="D3225" s="1"/>
      <c r="E3225" s="6"/>
      <c r="F3225" s="1"/>
      <c r="G3225" s="6"/>
      <c r="H3225" s="6"/>
      <c r="I3225" s="6"/>
      <c r="J3225" s="6"/>
      <c r="K3225" s="6"/>
      <c r="L3225" s="6"/>
      <c r="M3225" s="6"/>
      <c r="N3225" s="6"/>
      <c r="O3225" s="7"/>
      <c r="P3225" s="6"/>
      <c r="Q3225" s="6"/>
      <c r="R3225" s="7"/>
      <c r="S3225" s="6"/>
      <c r="T3225" s="6"/>
      <c r="U3225" s="7"/>
      <c r="V3225" s="6"/>
      <c r="W3225" s="6"/>
      <c r="X3225" s="12"/>
      <c r="Y3225" s="6"/>
      <c r="Z3225" s="6"/>
      <c r="AA3225" s="7"/>
      <c r="AB3225" s="6"/>
      <c r="AC3225" s="6"/>
      <c r="AD3225" s="6"/>
      <c r="AE3225" s="12"/>
      <c r="AF3225" s="12"/>
      <c r="AG3225" s="12"/>
      <c r="AH3225" s="12"/>
      <c r="AI3225" s="6"/>
      <c r="AJ3225" s="12"/>
      <c r="AK3225" s="1"/>
      <c r="AL3225" s="12"/>
      <c r="AM3225" s="12"/>
      <c r="AN3225" s="1"/>
      <c r="AO3225" s="6"/>
    </row>
    <row r="3226" spans="1:41" ht="15" x14ac:dyDescent="0.25">
      <c r="A3226" s="1"/>
      <c r="B3226" s="1"/>
      <c r="C3226" s="1"/>
      <c r="D3226" s="1"/>
      <c r="E3226" s="6"/>
      <c r="F3226" s="1"/>
      <c r="G3226" s="6"/>
      <c r="H3226" s="6"/>
      <c r="I3226" s="6"/>
      <c r="J3226" s="6"/>
      <c r="K3226" s="6"/>
      <c r="L3226" s="6"/>
      <c r="M3226" s="6"/>
      <c r="N3226" s="6"/>
      <c r="O3226" s="7"/>
      <c r="P3226" s="6"/>
      <c r="Q3226" s="6"/>
      <c r="R3226" s="7"/>
      <c r="S3226" s="6"/>
      <c r="T3226" s="6"/>
      <c r="U3226" s="7"/>
      <c r="V3226" s="6"/>
      <c r="W3226" s="6"/>
      <c r="X3226" s="6"/>
      <c r="Y3226" s="6"/>
      <c r="Z3226" s="6"/>
      <c r="AA3226" s="7"/>
      <c r="AB3226" s="6"/>
      <c r="AC3226" s="6"/>
      <c r="AD3226" s="6"/>
      <c r="AE3226" s="12"/>
      <c r="AF3226" s="12"/>
      <c r="AG3226" s="12"/>
      <c r="AH3226" s="12"/>
      <c r="AI3226" s="6"/>
      <c r="AJ3226" s="12"/>
      <c r="AK3226" s="1"/>
      <c r="AL3226" s="12"/>
      <c r="AM3226" s="12"/>
      <c r="AN3226" s="1"/>
      <c r="AO3226" s="6"/>
    </row>
    <row r="3227" spans="1:41" ht="15" x14ac:dyDescent="0.25">
      <c r="A3227" s="1"/>
      <c r="B3227" s="1"/>
      <c r="C3227" s="1"/>
      <c r="D3227" s="1"/>
      <c r="E3227" s="6"/>
      <c r="F3227" s="1"/>
      <c r="G3227" s="6"/>
      <c r="H3227" s="6"/>
      <c r="I3227" s="6"/>
      <c r="J3227" s="6"/>
      <c r="K3227" s="6"/>
      <c r="L3227" s="6"/>
      <c r="M3227" s="6"/>
      <c r="N3227" s="6"/>
      <c r="O3227" s="7"/>
      <c r="P3227" s="6"/>
      <c r="Q3227" s="6"/>
      <c r="R3227" s="7"/>
      <c r="S3227" s="6"/>
      <c r="T3227" s="6"/>
      <c r="U3227" s="7"/>
      <c r="V3227" s="6"/>
      <c r="W3227" s="6"/>
      <c r="X3227" s="12"/>
      <c r="Y3227" s="6"/>
      <c r="Z3227" s="6"/>
      <c r="AA3227" s="7"/>
      <c r="AB3227" s="6"/>
      <c r="AC3227" s="6"/>
      <c r="AD3227" s="6"/>
      <c r="AE3227" s="12"/>
      <c r="AF3227" s="6"/>
      <c r="AG3227" s="12"/>
      <c r="AH3227" s="6"/>
      <c r="AI3227" s="6"/>
      <c r="AJ3227" s="12"/>
      <c r="AK3227" s="1"/>
      <c r="AL3227" s="12"/>
      <c r="AM3227" s="12"/>
      <c r="AN3227" s="1"/>
      <c r="AO3227" s="6"/>
    </row>
    <row r="3228" spans="1:41" ht="15" x14ac:dyDescent="0.25">
      <c r="A3228" s="1"/>
      <c r="B3228" s="1"/>
      <c r="C3228" s="1"/>
      <c r="D3228" s="1"/>
      <c r="E3228" s="6"/>
      <c r="F3228" s="1"/>
      <c r="G3228" s="6"/>
      <c r="H3228" s="6"/>
      <c r="I3228" s="6"/>
      <c r="J3228" s="6"/>
      <c r="K3228" s="6"/>
      <c r="L3228" s="6"/>
      <c r="M3228" s="6"/>
      <c r="N3228" s="6"/>
      <c r="O3228" s="7"/>
      <c r="P3228" s="6"/>
      <c r="Q3228" s="6"/>
      <c r="R3228" s="7"/>
      <c r="S3228" s="6"/>
      <c r="T3228" s="6"/>
      <c r="U3228" s="7"/>
      <c r="V3228" s="6"/>
      <c r="W3228" s="6"/>
      <c r="X3228" s="6"/>
      <c r="Y3228" s="6"/>
      <c r="Z3228" s="6"/>
      <c r="AA3228" s="7"/>
      <c r="AB3228" s="6"/>
      <c r="AC3228" s="6"/>
      <c r="AD3228" s="6"/>
      <c r="AE3228" s="12"/>
      <c r="AF3228" s="12"/>
      <c r="AG3228" s="12"/>
      <c r="AH3228" s="12"/>
      <c r="AI3228" s="6"/>
      <c r="AJ3228" s="12"/>
      <c r="AK3228" s="1"/>
      <c r="AL3228" s="12"/>
      <c r="AM3228" s="12"/>
      <c r="AN3228" s="1"/>
      <c r="AO3228" s="6"/>
    </row>
    <row r="3229" spans="1:41" ht="15" x14ac:dyDescent="0.25">
      <c r="A3229" s="1"/>
      <c r="B3229" s="1"/>
      <c r="C3229" s="1"/>
      <c r="D3229" s="1"/>
      <c r="E3229" s="6"/>
      <c r="F3229" s="1"/>
      <c r="G3229" s="6"/>
      <c r="H3229" s="6"/>
      <c r="I3229" s="6"/>
      <c r="J3229" s="6"/>
      <c r="K3229" s="6"/>
      <c r="L3229" s="6"/>
      <c r="M3229" s="6"/>
      <c r="N3229" s="6"/>
      <c r="O3229" s="7"/>
      <c r="P3229" s="6"/>
      <c r="Q3229" s="6"/>
      <c r="R3229" s="7"/>
      <c r="S3229" s="6"/>
      <c r="T3229" s="6"/>
      <c r="U3229" s="7"/>
      <c r="V3229" s="6"/>
      <c r="W3229" s="6"/>
      <c r="X3229" s="6"/>
      <c r="Y3229" s="6"/>
      <c r="Z3229" s="6"/>
      <c r="AA3229" s="7"/>
      <c r="AB3229" s="6"/>
      <c r="AC3229" s="6"/>
      <c r="AD3229" s="6"/>
      <c r="AE3229" s="12"/>
      <c r="AF3229" s="12"/>
      <c r="AG3229" s="12"/>
      <c r="AH3229" s="12"/>
      <c r="AI3229" s="6"/>
      <c r="AJ3229" s="12"/>
      <c r="AK3229" s="1"/>
      <c r="AL3229" s="12"/>
      <c r="AM3229" s="12"/>
      <c r="AN3229" s="1"/>
      <c r="AO3229" s="6"/>
    </row>
    <row r="3230" spans="1:41" ht="15" x14ac:dyDescent="0.25">
      <c r="A3230" s="1"/>
      <c r="B3230" s="1"/>
      <c r="C3230" s="1"/>
      <c r="D3230" s="1"/>
      <c r="E3230" s="6"/>
      <c r="F3230" s="1"/>
      <c r="G3230" s="6"/>
      <c r="H3230" s="6"/>
      <c r="I3230" s="6"/>
      <c r="J3230" s="6"/>
      <c r="K3230" s="6"/>
      <c r="L3230" s="6"/>
      <c r="M3230" s="6"/>
      <c r="N3230" s="6"/>
      <c r="O3230" s="7"/>
      <c r="P3230" s="12"/>
      <c r="Q3230" s="6"/>
      <c r="R3230" s="7"/>
      <c r="S3230" s="6"/>
      <c r="T3230" s="6"/>
      <c r="U3230" s="7"/>
      <c r="V3230" s="6"/>
      <c r="W3230" s="6"/>
      <c r="X3230" s="6"/>
      <c r="Y3230" s="6"/>
      <c r="Z3230" s="6"/>
      <c r="AA3230" s="7"/>
      <c r="AB3230" s="6"/>
      <c r="AC3230" s="6"/>
      <c r="AD3230" s="6"/>
      <c r="AE3230" s="12"/>
      <c r="AF3230" s="12"/>
      <c r="AG3230" s="12"/>
      <c r="AH3230" s="12"/>
      <c r="AI3230" s="6"/>
      <c r="AJ3230" s="12"/>
      <c r="AK3230" s="1"/>
      <c r="AL3230" s="12"/>
      <c r="AM3230" s="12"/>
      <c r="AN3230" s="1"/>
      <c r="AO3230" s="6"/>
    </row>
    <row r="3231" spans="1:41" ht="15" x14ac:dyDescent="0.25">
      <c r="A3231" s="1"/>
      <c r="B3231" s="1"/>
      <c r="C3231" s="1"/>
      <c r="D3231" s="1"/>
      <c r="E3231" s="6"/>
      <c r="F3231" s="1"/>
      <c r="G3231" s="6"/>
      <c r="H3231" s="6"/>
      <c r="I3231" s="6"/>
      <c r="J3231" s="6"/>
      <c r="K3231" s="12"/>
      <c r="L3231" s="12"/>
      <c r="M3231" s="6"/>
      <c r="N3231" s="6"/>
      <c r="O3231" s="7"/>
      <c r="P3231" s="6"/>
      <c r="Q3231" s="7"/>
      <c r="R3231" s="6"/>
      <c r="S3231" s="12"/>
      <c r="T3231" s="6"/>
      <c r="U3231" s="6"/>
      <c r="V3231" s="7"/>
      <c r="W3231" s="7"/>
      <c r="X3231" s="6"/>
      <c r="Y3231" s="6"/>
      <c r="Z3231" s="6"/>
      <c r="AA3231" s="1"/>
      <c r="AB3231" s="12"/>
      <c r="AC3231" s="12"/>
      <c r="AD3231" s="12"/>
      <c r="AE3231" s="12"/>
      <c r="AF3231" s="12"/>
      <c r="AG3231" s="12"/>
      <c r="AH3231" s="12"/>
      <c r="AI3231" s="6"/>
      <c r="AJ3231" s="12"/>
      <c r="AK3231" s="12"/>
      <c r="AL3231" s="12"/>
      <c r="AM3231" s="12"/>
      <c r="AN3231" s="1"/>
      <c r="AO3231" s="6"/>
    </row>
    <row r="3232" spans="1:41" ht="15" x14ac:dyDescent="0.25">
      <c r="A3232" s="1"/>
      <c r="B3232" s="1"/>
      <c r="C3232" s="1"/>
      <c r="D3232" s="1"/>
      <c r="E3232" s="6"/>
      <c r="F3232" s="1"/>
      <c r="G3232" s="6"/>
      <c r="H3232" s="6"/>
      <c r="I3232" s="6"/>
      <c r="J3232" s="6"/>
      <c r="K3232" s="6"/>
      <c r="L3232" s="6"/>
      <c r="M3232" s="6"/>
      <c r="N3232" s="6"/>
      <c r="O3232" s="7"/>
      <c r="P3232" s="6"/>
      <c r="Q3232" s="6"/>
      <c r="R3232" s="7"/>
      <c r="S3232" s="6"/>
      <c r="T3232" s="6"/>
      <c r="U3232" s="7"/>
      <c r="V3232" s="6"/>
      <c r="W3232" s="6"/>
      <c r="X3232" s="12"/>
      <c r="Y3232" s="6"/>
      <c r="Z3232" s="6"/>
      <c r="AA3232" s="7"/>
      <c r="AB3232" s="6"/>
      <c r="AC3232" s="6"/>
      <c r="AD3232" s="6"/>
      <c r="AE3232" s="12"/>
      <c r="AF3232" s="6"/>
      <c r="AG3232" s="12"/>
      <c r="AH3232" s="6"/>
      <c r="AI3232" s="6"/>
      <c r="AJ3232" s="12"/>
      <c r="AK3232" s="1"/>
      <c r="AL3232" s="12"/>
      <c r="AM3232" s="12"/>
      <c r="AN3232" s="1"/>
      <c r="AO3232" s="6"/>
    </row>
    <row r="3233" spans="1:41" ht="15" x14ac:dyDescent="0.25">
      <c r="A3233" s="1"/>
      <c r="B3233" s="1"/>
      <c r="C3233" s="1"/>
      <c r="D3233" s="1"/>
      <c r="E3233" s="6"/>
      <c r="F3233" s="1"/>
      <c r="G3233" s="6"/>
      <c r="H3233" s="6"/>
      <c r="I3233" s="6"/>
      <c r="J3233" s="6"/>
      <c r="K3233" s="6"/>
      <c r="L3233" s="6"/>
      <c r="M3233" s="6"/>
      <c r="N3233" s="6"/>
      <c r="O3233" s="7"/>
      <c r="P3233" s="6"/>
      <c r="Q3233" s="6"/>
      <c r="R3233" s="7"/>
      <c r="S3233" s="6"/>
      <c r="T3233" s="6"/>
      <c r="U3233" s="7"/>
      <c r="V3233" s="6"/>
      <c r="W3233" s="6"/>
      <c r="X3233" s="12"/>
      <c r="Y3233" s="6"/>
      <c r="Z3233" s="6"/>
      <c r="AA3233" s="7"/>
      <c r="AB3233" s="6"/>
      <c r="AC3233" s="6"/>
      <c r="AD3233" s="6"/>
      <c r="AE3233" s="12"/>
      <c r="AF3233" s="12"/>
      <c r="AG3233" s="12"/>
      <c r="AH3233" s="12"/>
      <c r="AI3233" s="6"/>
      <c r="AJ3233" s="12"/>
      <c r="AK3233" s="24"/>
      <c r="AL3233" s="25"/>
      <c r="AM3233" s="12"/>
      <c r="AN3233" s="1"/>
      <c r="AO3233" s="12"/>
    </row>
    <row r="3234" spans="1:41" ht="15" x14ac:dyDescent="0.25">
      <c r="A3234" s="1"/>
      <c r="B3234" s="1"/>
      <c r="C3234" s="1"/>
      <c r="D3234" s="1"/>
      <c r="E3234" s="6"/>
      <c r="F3234" s="1"/>
      <c r="G3234" s="6"/>
      <c r="H3234" s="6"/>
      <c r="I3234" s="6"/>
      <c r="J3234" s="6"/>
      <c r="K3234" s="6"/>
      <c r="L3234" s="6"/>
      <c r="M3234" s="6"/>
      <c r="N3234" s="6"/>
      <c r="O3234" s="7"/>
      <c r="P3234" s="12"/>
      <c r="Q3234" s="6"/>
      <c r="R3234" s="7"/>
      <c r="S3234" s="6"/>
      <c r="T3234" s="6"/>
      <c r="U3234" s="7"/>
      <c r="V3234" s="6"/>
      <c r="W3234" s="6"/>
      <c r="X3234" s="6"/>
      <c r="Y3234" s="6"/>
      <c r="Z3234" s="6"/>
      <c r="AA3234" s="7"/>
      <c r="AB3234" s="6"/>
      <c r="AC3234" s="6"/>
      <c r="AD3234" s="6"/>
      <c r="AE3234" s="12"/>
      <c r="AF3234" s="6"/>
      <c r="AG3234" s="12"/>
      <c r="AH3234" s="6"/>
      <c r="AI3234" s="6"/>
      <c r="AJ3234" s="12"/>
      <c r="AK3234" s="1"/>
      <c r="AL3234" s="12"/>
      <c r="AM3234" s="12"/>
      <c r="AN3234" s="1"/>
      <c r="AO3234" s="6"/>
    </row>
    <row r="3235" spans="1:41" ht="15" x14ac:dyDescent="0.25">
      <c r="A3235" s="1"/>
      <c r="B3235" s="1"/>
      <c r="C3235" s="1"/>
      <c r="D3235" s="1"/>
      <c r="E3235" s="6"/>
      <c r="F3235" s="1"/>
      <c r="G3235" s="6"/>
      <c r="H3235" s="6"/>
      <c r="I3235" s="6"/>
      <c r="J3235" s="6"/>
      <c r="K3235" s="6"/>
      <c r="L3235" s="6"/>
      <c r="M3235" s="6"/>
      <c r="N3235" s="6"/>
      <c r="O3235" s="7"/>
      <c r="P3235" s="6"/>
      <c r="Q3235" s="6"/>
      <c r="R3235" s="15"/>
      <c r="S3235" s="6"/>
      <c r="T3235" s="6"/>
      <c r="U3235" s="15"/>
      <c r="V3235" s="6"/>
      <c r="W3235" s="6"/>
      <c r="X3235" s="6"/>
      <c r="Y3235" s="6"/>
      <c r="Z3235" s="6"/>
      <c r="AA3235" s="7"/>
      <c r="AB3235" s="6"/>
      <c r="AC3235" s="6"/>
      <c r="AD3235" s="6"/>
      <c r="AE3235" s="12"/>
      <c r="AF3235" s="12"/>
      <c r="AG3235" s="12"/>
      <c r="AH3235" s="12"/>
      <c r="AI3235" s="6"/>
      <c r="AJ3235" s="12"/>
      <c r="AK3235" s="1"/>
      <c r="AL3235" s="12"/>
      <c r="AM3235" s="12"/>
      <c r="AN3235" s="1"/>
      <c r="AO3235" s="6"/>
    </row>
    <row r="3236" spans="1:41" ht="15" x14ac:dyDescent="0.25">
      <c r="A3236" s="1"/>
      <c r="B3236" s="1"/>
      <c r="C3236" s="1"/>
      <c r="D3236" s="1"/>
      <c r="E3236" s="6"/>
      <c r="F3236" s="1"/>
      <c r="G3236" s="6"/>
      <c r="H3236" s="6"/>
      <c r="I3236" s="6"/>
      <c r="J3236" s="6"/>
      <c r="K3236" s="12"/>
      <c r="L3236" s="12"/>
      <c r="M3236" s="6"/>
      <c r="N3236" s="6"/>
      <c r="O3236" s="7"/>
      <c r="P3236" s="6"/>
      <c r="Q3236" s="6"/>
      <c r="R3236" s="7"/>
      <c r="S3236" s="6"/>
      <c r="T3236" s="6"/>
      <c r="U3236" s="7"/>
      <c r="V3236" s="6"/>
      <c r="W3236" s="6"/>
      <c r="X3236" s="6"/>
      <c r="Y3236" s="6"/>
      <c r="Z3236" s="6"/>
      <c r="AA3236" s="7"/>
      <c r="AB3236" s="6"/>
      <c r="AC3236" s="6"/>
      <c r="AD3236" s="6"/>
      <c r="AE3236" s="12"/>
      <c r="AF3236" s="12"/>
      <c r="AG3236" s="12"/>
      <c r="AH3236" s="12"/>
      <c r="AI3236" s="6"/>
      <c r="AJ3236" s="12"/>
      <c r="AK3236" s="1"/>
      <c r="AL3236" s="12"/>
      <c r="AM3236" s="12"/>
      <c r="AN3236" s="1"/>
      <c r="AO3236" s="12"/>
    </row>
    <row r="3237" spans="1:41" ht="15" x14ac:dyDescent="0.25">
      <c r="A3237" s="1"/>
      <c r="B3237" s="1"/>
      <c r="C3237" s="1"/>
      <c r="D3237" s="1"/>
      <c r="E3237" s="6"/>
      <c r="F3237" s="1"/>
      <c r="G3237" s="6"/>
      <c r="H3237" s="6"/>
      <c r="I3237" s="6"/>
      <c r="J3237" s="6"/>
      <c r="K3237" s="6"/>
      <c r="L3237" s="6"/>
      <c r="M3237" s="6"/>
      <c r="N3237" s="6"/>
      <c r="O3237" s="7"/>
      <c r="P3237" s="12"/>
      <c r="Q3237" s="6"/>
      <c r="R3237" s="7"/>
      <c r="S3237" s="6"/>
      <c r="T3237" s="6"/>
      <c r="U3237" s="7"/>
      <c r="V3237" s="6"/>
      <c r="W3237" s="6"/>
      <c r="X3237" s="12"/>
      <c r="Y3237" s="6"/>
      <c r="Z3237" s="6"/>
      <c r="AA3237" s="7"/>
      <c r="AB3237" s="6"/>
      <c r="AC3237" s="6"/>
      <c r="AD3237" s="6"/>
      <c r="AE3237" s="12"/>
      <c r="AF3237" s="6"/>
      <c r="AG3237" s="12"/>
      <c r="AH3237" s="6"/>
      <c r="AI3237" s="6"/>
      <c r="AJ3237" s="12"/>
      <c r="AK3237" s="24"/>
      <c r="AL3237" s="25"/>
      <c r="AM3237" s="12"/>
      <c r="AN3237" s="1"/>
      <c r="AO3237" s="6"/>
    </row>
    <row r="3238" spans="1:41" ht="15" x14ac:dyDescent="0.25">
      <c r="A3238" s="1"/>
      <c r="B3238" s="1"/>
      <c r="C3238" s="1"/>
      <c r="D3238" s="1"/>
      <c r="E3238" s="6"/>
      <c r="F3238" s="1"/>
      <c r="G3238" s="6"/>
      <c r="H3238" s="6"/>
      <c r="I3238" s="6"/>
      <c r="J3238" s="6"/>
      <c r="K3238" s="6"/>
      <c r="L3238" s="6"/>
      <c r="M3238" s="6"/>
      <c r="N3238" s="6"/>
      <c r="O3238" s="7"/>
      <c r="P3238" s="6"/>
      <c r="Q3238" s="7"/>
      <c r="R3238" s="6"/>
      <c r="S3238" s="6"/>
      <c r="T3238" s="6"/>
      <c r="U3238" s="6"/>
      <c r="V3238" s="7"/>
      <c r="W3238" s="7"/>
      <c r="X3238" s="6"/>
      <c r="Y3238" s="6"/>
      <c r="Z3238" s="6"/>
      <c r="AA3238" s="1"/>
      <c r="AB3238" s="12"/>
      <c r="AC3238" s="12"/>
      <c r="AD3238" s="12"/>
      <c r="AE3238" s="12"/>
      <c r="AF3238" s="12"/>
      <c r="AG3238" s="12"/>
      <c r="AH3238" s="12"/>
      <c r="AI3238" s="6"/>
      <c r="AJ3238" s="12"/>
      <c r="AK3238" s="12"/>
      <c r="AL3238" s="12"/>
      <c r="AM3238" s="12"/>
      <c r="AN3238" s="1"/>
      <c r="AO3238" s="6"/>
    </row>
    <row r="3239" spans="1:41" ht="15" x14ac:dyDescent="0.25">
      <c r="A3239" s="1"/>
      <c r="B3239" s="1"/>
      <c r="C3239" s="1"/>
      <c r="D3239" s="1"/>
      <c r="E3239" s="6"/>
      <c r="F3239" s="1"/>
      <c r="G3239" s="6"/>
      <c r="H3239" s="6"/>
      <c r="I3239" s="6"/>
      <c r="J3239" s="6"/>
      <c r="K3239" s="6"/>
      <c r="L3239" s="6"/>
      <c r="M3239" s="6"/>
      <c r="N3239" s="6"/>
      <c r="O3239" s="7"/>
      <c r="P3239" s="6"/>
      <c r="Q3239" s="6"/>
      <c r="R3239" s="7"/>
      <c r="S3239" s="6"/>
      <c r="T3239" s="6"/>
      <c r="U3239" s="7"/>
      <c r="V3239" s="6"/>
      <c r="W3239" s="6"/>
      <c r="X3239" s="6"/>
      <c r="Y3239" s="6"/>
      <c r="Z3239" s="6"/>
      <c r="AA3239" s="7"/>
      <c r="AB3239" s="6"/>
      <c r="AC3239" s="6"/>
      <c r="AD3239" s="6"/>
      <c r="AE3239" s="12"/>
      <c r="AF3239" s="6"/>
      <c r="AG3239" s="12"/>
      <c r="AH3239" s="6"/>
      <c r="AI3239" s="6"/>
      <c r="AJ3239" s="12"/>
      <c r="AK3239" s="1"/>
      <c r="AL3239" s="12"/>
      <c r="AM3239" s="12"/>
      <c r="AN3239" s="1"/>
      <c r="AO3239" s="6"/>
    </row>
    <row r="3240" spans="1:41" ht="15" x14ac:dyDescent="0.25">
      <c r="A3240" s="1"/>
      <c r="B3240" s="1"/>
      <c r="C3240" s="1"/>
      <c r="D3240" s="1"/>
      <c r="E3240" s="6"/>
      <c r="F3240" s="1"/>
      <c r="G3240" s="6"/>
      <c r="H3240" s="6"/>
      <c r="I3240" s="6"/>
      <c r="J3240" s="6"/>
      <c r="K3240" s="6"/>
      <c r="L3240" s="6"/>
      <c r="M3240" s="6"/>
      <c r="N3240" s="6"/>
      <c r="O3240" s="7"/>
      <c r="P3240" s="6"/>
      <c r="Q3240" s="6"/>
      <c r="R3240" s="7"/>
      <c r="S3240" s="6"/>
      <c r="T3240" s="6"/>
      <c r="U3240" s="7"/>
      <c r="V3240" s="6"/>
      <c r="W3240" s="6"/>
      <c r="X3240" s="6"/>
      <c r="Y3240" s="6"/>
      <c r="Z3240" s="6"/>
      <c r="AA3240" s="7"/>
      <c r="AB3240" s="6"/>
      <c r="AC3240" s="6"/>
      <c r="AD3240" s="6"/>
      <c r="AE3240" s="12"/>
      <c r="AF3240" s="6"/>
      <c r="AG3240" s="12"/>
      <c r="AH3240" s="6"/>
      <c r="AI3240" s="6"/>
      <c r="AJ3240" s="12"/>
      <c r="AK3240" s="1"/>
      <c r="AL3240" s="12"/>
      <c r="AM3240" s="12"/>
      <c r="AN3240" s="1"/>
      <c r="AO3240" s="6"/>
    </row>
    <row r="3241" spans="1:41" ht="15" x14ac:dyDescent="0.25">
      <c r="A3241" s="1"/>
      <c r="B3241" s="1"/>
      <c r="C3241" s="1"/>
      <c r="D3241" s="1"/>
      <c r="E3241" s="6"/>
      <c r="F3241" s="1"/>
      <c r="G3241" s="6"/>
      <c r="H3241" s="6"/>
      <c r="I3241" s="6"/>
      <c r="J3241" s="6"/>
      <c r="K3241" s="6"/>
      <c r="L3241" s="6"/>
      <c r="M3241" s="6"/>
      <c r="N3241" s="6"/>
      <c r="O3241" s="7"/>
      <c r="P3241" s="6"/>
      <c r="Q3241" s="6"/>
      <c r="R3241" s="7"/>
      <c r="S3241" s="6"/>
      <c r="T3241" s="6"/>
      <c r="U3241" s="7"/>
      <c r="V3241" s="6"/>
      <c r="W3241" s="6"/>
      <c r="X3241" s="6"/>
      <c r="Y3241" s="6"/>
      <c r="Z3241" s="6"/>
      <c r="AA3241" s="7"/>
      <c r="AB3241" s="6"/>
      <c r="AC3241" s="6"/>
      <c r="AD3241" s="6"/>
      <c r="AE3241" s="12"/>
      <c r="AF3241" s="12"/>
      <c r="AG3241" s="12"/>
      <c r="AH3241" s="12"/>
      <c r="AI3241" s="6"/>
      <c r="AJ3241" s="12"/>
      <c r="AK3241" s="1"/>
      <c r="AL3241" s="12"/>
      <c r="AM3241" s="12"/>
      <c r="AN3241" s="1"/>
      <c r="AO3241" s="12"/>
    </row>
    <row r="3242" spans="1:41" ht="15" x14ac:dyDescent="0.25">
      <c r="A3242" s="1"/>
      <c r="B3242" s="1"/>
      <c r="C3242" s="1"/>
      <c r="D3242" s="1"/>
      <c r="E3242" s="6"/>
      <c r="F3242" s="1"/>
      <c r="G3242" s="6"/>
      <c r="H3242" s="6"/>
      <c r="I3242" s="6"/>
      <c r="J3242" s="6"/>
      <c r="K3242" s="6"/>
      <c r="L3242" s="6"/>
      <c r="M3242" s="6"/>
      <c r="N3242" s="6"/>
      <c r="O3242" s="7"/>
      <c r="P3242" s="6"/>
      <c r="Q3242" s="6"/>
      <c r="R3242" s="7"/>
      <c r="S3242" s="6"/>
      <c r="T3242" s="6"/>
      <c r="U3242" s="7"/>
      <c r="V3242" s="6"/>
      <c r="W3242" s="6"/>
      <c r="X3242" s="6"/>
      <c r="Y3242" s="6"/>
      <c r="Z3242" s="6"/>
      <c r="AA3242" s="7"/>
      <c r="AB3242" s="6"/>
      <c r="AC3242" s="6"/>
      <c r="AD3242" s="6"/>
      <c r="AE3242" s="12"/>
      <c r="AF3242" s="6"/>
      <c r="AG3242" s="12"/>
      <c r="AH3242" s="6"/>
      <c r="AI3242" s="6"/>
      <c r="AJ3242" s="12"/>
      <c r="AK3242" s="1"/>
      <c r="AL3242" s="12"/>
      <c r="AM3242" s="12"/>
      <c r="AN3242" s="1"/>
      <c r="AO3242" s="6"/>
    </row>
    <row r="3243" spans="1:41" ht="15" x14ac:dyDescent="0.25">
      <c r="A3243" s="1"/>
      <c r="B3243" s="1"/>
      <c r="C3243" s="1"/>
      <c r="D3243" s="1"/>
      <c r="E3243" s="6"/>
      <c r="F3243" s="1"/>
      <c r="G3243" s="6"/>
      <c r="H3243" s="6"/>
      <c r="I3243" s="6"/>
      <c r="J3243" s="6"/>
      <c r="K3243" s="6"/>
      <c r="L3243" s="6"/>
      <c r="M3243" s="6"/>
      <c r="N3243" s="6"/>
      <c r="O3243" s="7"/>
      <c r="P3243" s="6"/>
      <c r="Q3243" s="6"/>
      <c r="R3243" s="12"/>
      <c r="S3243" s="12"/>
      <c r="T3243" s="12"/>
      <c r="U3243" s="6"/>
      <c r="V3243" s="12"/>
      <c r="W3243" s="12"/>
      <c r="X3243" s="12"/>
      <c r="Y3243" s="6"/>
      <c r="Z3243" s="6"/>
      <c r="AA3243" s="7"/>
      <c r="AB3243" s="6"/>
      <c r="AC3243" s="6"/>
      <c r="AD3243" s="6"/>
      <c r="AE3243" s="12"/>
      <c r="AF3243" s="12"/>
      <c r="AG3243" s="12"/>
      <c r="AH3243" s="12"/>
      <c r="AI3243" s="6"/>
      <c r="AJ3243" s="12"/>
      <c r="AK3243" s="1"/>
      <c r="AL3243" s="12"/>
      <c r="AM3243" s="12"/>
      <c r="AN3243" s="1"/>
      <c r="AO3243" s="6"/>
    </row>
    <row r="3244" spans="1:41" ht="15" x14ac:dyDescent="0.25">
      <c r="A3244" s="1"/>
      <c r="B3244" s="1"/>
      <c r="C3244" s="1"/>
      <c r="D3244" s="1"/>
      <c r="E3244" s="6"/>
      <c r="F3244" s="1"/>
      <c r="G3244" s="6"/>
      <c r="H3244" s="6"/>
      <c r="I3244" s="6"/>
      <c r="J3244" s="6"/>
      <c r="K3244" s="6"/>
      <c r="L3244" s="6"/>
      <c r="M3244" s="6"/>
      <c r="N3244" s="6"/>
      <c r="O3244" s="7"/>
      <c r="P3244" s="6"/>
      <c r="Q3244" s="6"/>
      <c r="R3244" s="7"/>
      <c r="S3244" s="6"/>
      <c r="T3244" s="6"/>
      <c r="U3244" s="7"/>
      <c r="V3244" s="6"/>
      <c r="W3244" s="6"/>
      <c r="X3244" s="6"/>
      <c r="Y3244" s="6"/>
      <c r="Z3244" s="6"/>
      <c r="AA3244" s="7"/>
      <c r="AB3244" s="6"/>
      <c r="AC3244" s="6"/>
      <c r="AD3244" s="6"/>
      <c r="AE3244" s="12"/>
      <c r="AF3244" s="12"/>
      <c r="AG3244" s="12"/>
      <c r="AH3244" s="12"/>
      <c r="AI3244" s="6"/>
      <c r="AJ3244" s="12"/>
      <c r="AK3244" s="1"/>
      <c r="AL3244" s="12"/>
      <c r="AM3244" s="12"/>
      <c r="AN3244" s="1"/>
      <c r="AO3244" s="6"/>
    </row>
    <row r="3245" spans="1:41" ht="15" x14ac:dyDescent="0.25">
      <c r="A3245" s="1"/>
      <c r="B3245" s="1"/>
      <c r="C3245" s="1"/>
      <c r="D3245" s="1"/>
      <c r="E3245" s="6"/>
      <c r="F3245" s="1"/>
      <c r="G3245" s="6"/>
      <c r="H3245" s="6"/>
      <c r="I3245" s="6"/>
      <c r="J3245" s="6"/>
      <c r="K3245" s="12"/>
      <c r="L3245" s="6"/>
      <c r="M3245" s="6"/>
      <c r="N3245" s="6"/>
      <c r="O3245" s="7"/>
      <c r="P3245" s="6"/>
      <c r="Q3245" s="6"/>
      <c r="R3245" s="7"/>
      <c r="S3245" s="6"/>
      <c r="T3245" s="6"/>
      <c r="U3245" s="7"/>
      <c r="V3245" s="6"/>
      <c r="W3245" s="6"/>
      <c r="X3245" s="12"/>
      <c r="Y3245" s="6"/>
      <c r="Z3245" s="6"/>
      <c r="AA3245" s="7"/>
      <c r="AB3245" s="6"/>
      <c r="AC3245" s="6"/>
      <c r="AD3245" s="6"/>
      <c r="AE3245" s="12"/>
      <c r="AF3245" s="6"/>
      <c r="AG3245" s="12"/>
      <c r="AH3245" s="6"/>
      <c r="AI3245" s="6"/>
      <c r="AJ3245" s="12"/>
      <c r="AK3245" s="1"/>
      <c r="AL3245" s="12"/>
      <c r="AM3245" s="12"/>
      <c r="AN3245" s="1"/>
      <c r="AO3245" s="6"/>
    </row>
    <row r="3246" spans="1:41" ht="15" x14ac:dyDescent="0.25">
      <c r="A3246" s="1"/>
      <c r="B3246" s="1"/>
      <c r="C3246" s="1"/>
      <c r="D3246" s="1"/>
      <c r="E3246" s="6"/>
      <c r="F3246" s="1"/>
      <c r="G3246" s="6"/>
      <c r="H3246" s="6"/>
      <c r="I3246" s="6"/>
      <c r="J3246" s="6"/>
      <c r="K3246" s="6"/>
      <c r="L3246" s="6"/>
      <c r="M3246" s="6"/>
      <c r="N3246" s="6"/>
      <c r="O3246" s="7"/>
      <c r="P3246" s="6"/>
      <c r="Q3246" s="6"/>
      <c r="R3246" s="7"/>
      <c r="S3246" s="6"/>
      <c r="T3246" s="6"/>
      <c r="U3246" s="7"/>
      <c r="V3246" s="6"/>
      <c r="W3246" s="6"/>
      <c r="X3246" s="12"/>
      <c r="Y3246" s="6"/>
      <c r="Z3246" s="6"/>
      <c r="AA3246" s="7"/>
      <c r="AB3246" s="6"/>
      <c r="AC3246" s="6"/>
      <c r="AD3246" s="6"/>
      <c r="AE3246" s="12"/>
      <c r="AF3246" s="12"/>
      <c r="AG3246" s="12"/>
      <c r="AH3246" s="12"/>
      <c r="AI3246" s="6"/>
      <c r="AJ3246" s="12"/>
      <c r="AK3246" s="24"/>
      <c r="AL3246" s="25"/>
      <c r="AM3246" s="12"/>
      <c r="AN3246" s="1"/>
      <c r="AO3246" s="6"/>
    </row>
    <row r="3247" spans="1:41" ht="15" x14ac:dyDescent="0.25">
      <c r="A3247" s="1"/>
      <c r="B3247" s="1"/>
      <c r="C3247" s="1"/>
      <c r="D3247" s="1"/>
      <c r="E3247" s="6"/>
      <c r="F3247" s="1"/>
      <c r="G3247" s="6"/>
      <c r="H3247" s="6"/>
      <c r="I3247" s="6"/>
      <c r="J3247" s="6"/>
      <c r="K3247" s="6"/>
      <c r="L3247" s="6"/>
      <c r="M3247" s="6"/>
      <c r="N3247" s="6"/>
      <c r="O3247" s="7"/>
      <c r="P3247" s="6"/>
      <c r="Q3247" s="6"/>
      <c r="R3247" s="7"/>
      <c r="S3247" s="6"/>
      <c r="T3247" s="6"/>
      <c r="U3247" s="7"/>
      <c r="V3247" s="6"/>
      <c r="W3247" s="6"/>
      <c r="X3247" s="6"/>
      <c r="Y3247" s="6"/>
      <c r="Z3247" s="6"/>
      <c r="AA3247" s="7"/>
      <c r="AB3247" s="6"/>
      <c r="AC3247" s="6"/>
      <c r="AD3247" s="6"/>
      <c r="AE3247" s="12"/>
      <c r="AF3247" s="12"/>
      <c r="AG3247" s="12"/>
      <c r="AH3247" s="12"/>
      <c r="AI3247" s="6"/>
      <c r="AJ3247" s="12"/>
      <c r="AK3247" s="1"/>
      <c r="AL3247" s="12"/>
      <c r="AM3247" s="12"/>
      <c r="AN3247" s="1"/>
      <c r="AO3247" s="12"/>
    </row>
    <row r="3248" spans="1:41" ht="15" x14ac:dyDescent="0.25">
      <c r="A3248" s="1"/>
      <c r="B3248" s="1"/>
      <c r="C3248" s="1"/>
      <c r="D3248" s="1"/>
      <c r="E3248" s="6"/>
      <c r="F3248" s="1"/>
      <c r="G3248" s="6"/>
      <c r="H3248" s="6"/>
      <c r="I3248" s="6"/>
      <c r="J3248" s="6"/>
      <c r="K3248" s="6"/>
      <c r="L3248" s="6"/>
      <c r="M3248" s="6"/>
      <c r="N3248" s="6"/>
      <c r="O3248" s="7"/>
      <c r="P3248" s="6"/>
      <c r="Q3248" s="6"/>
      <c r="R3248" s="7"/>
      <c r="S3248" s="6"/>
      <c r="T3248" s="6"/>
      <c r="U3248" s="7"/>
      <c r="V3248" s="6"/>
      <c r="W3248" s="6"/>
      <c r="X3248" s="12"/>
      <c r="Y3248" s="6"/>
      <c r="Z3248" s="6"/>
      <c r="AA3248" s="7"/>
      <c r="AB3248" s="6"/>
      <c r="AC3248" s="6"/>
      <c r="AD3248" s="6"/>
      <c r="AE3248" s="12"/>
      <c r="AF3248" s="6"/>
      <c r="AG3248" s="12"/>
      <c r="AH3248" s="6"/>
      <c r="AI3248" s="6"/>
      <c r="AJ3248" s="12"/>
      <c r="AK3248" s="24"/>
      <c r="AL3248" s="25"/>
      <c r="AM3248" s="12"/>
      <c r="AN3248" s="1"/>
      <c r="AO3248" s="6"/>
    </row>
    <row r="3249" spans="1:41" ht="15" x14ac:dyDescent="0.25">
      <c r="A3249" s="1"/>
      <c r="B3249" s="1"/>
      <c r="C3249" s="1"/>
      <c r="D3249" s="1"/>
      <c r="E3249" s="6"/>
      <c r="F3249" s="1"/>
      <c r="G3249" s="6"/>
      <c r="H3249" s="6"/>
      <c r="I3249" s="6"/>
      <c r="J3249" s="6"/>
      <c r="K3249" s="6"/>
      <c r="L3249" s="6"/>
      <c r="M3249" s="6"/>
      <c r="N3249" s="6"/>
      <c r="O3249" s="7"/>
      <c r="P3249" s="6"/>
      <c r="Q3249" s="6"/>
      <c r="R3249" s="7"/>
      <c r="S3249" s="6"/>
      <c r="T3249" s="6"/>
      <c r="U3249" s="7"/>
      <c r="V3249" s="6"/>
      <c r="W3249" s="6"/>
      <c r="X3249" s="6"/>
      <c r="Y3249" s="6"/>
      <c r="Z3249" s="6"/>
      <c r="AA3249" s="7"/>
      <c r="AB3249" s="6"/>
      <c r="AC3249" s="6"/>
      <c r="AD3249" s="6"/>
      <c r="AE3249" s="12"/>
      <c r="AF3249" s="6"/>
      <c r="AG3249" s="12"/>
      <c r="AH3249" s="6"/>
      <c r="AI3249" s="6"/>
      <c r="AJ3249" s="12"/>
      <c r="AK3249" s="1"/>
      <c r="AL3249" s="12"/>
      <c r="AM3249" s="12"/>
      <c r="AN3249" s="1"/>
      <c r="AO3249" s="6"/>
    </row>
    <row r="3250" spans="1:41" ht="15" x14ac:dyDescent="0.25">
      <c r="A3250" s="1"/>
      <c r="B3250" s="1"/>
      <c r="C3250" s="1"/>
      <c r="D3250" s="1"/>
      <c r="E3250" s="6"/>
      <c r="F3250" s="1"/>
      <c r="G3250" s="6"/>
      <c r="H3250" s="6"/>
      <c r="I3250" s="6"/>
      <c r="J3250" s="6"/>
      <c r="K3250" s="6"/>
      <c r="L3250" s="6"/>
      <c r="M3250" s="6"/>
      <c r="N3250" s="6"/>
      <c r="O3250" s="7"/>
      <c r="P3250" s="6"/>
      <c r="Q3250" s="6"/>
      <c r="R3250" s="7"/>
      <c r="S3250" s="6"/>
      <c r="T3250" s="6"/>
      <c r="U3250" s="7"/>
      <c r="V3250" s="6"/>
      <c r="W3250" s="6"/>
      <c r="X3250" s="12"/>
      <c r="Y3250" s="6"/>
      <c r="Z3250" s="6"/>
      <c r="AA3250" s="7"/>
      <c r="AB3250" s="6"/>
      <c r="AC3250" s="6"/>
      <c r="AD3250" s="6"/>
      <c r="AE3250" s="12"/>
      <c r="AF3250" s="6"/>
      <c r="AG3250" s="12"/>
      <c r="AH3250" s="6"/>
      <c r="AI3250" s="6"/>
      <c r="AJ3250" s="12"/>
      <c r="AK3250" s="1"/>
      <c r="AL3250" s="12"/>
      <c r="AM3250" s="12"/>
      <c r="AN3250" s="1"/>
      <c r="AO3250" s="12"/>
    </row>
    <row r="3251" spans="1:41" ht="15" x14ac:dyDescent="0.25">
      <c r="A3251" s="1"/>
      <c r="B3251" s="1"/>
      <c r="C3251" s="1"/>
      <c r="D3251" s="1"/>
      <c r="E3251" s="6"/>
      <c r="F3251" s="1"/>
      <c r="G3251" s="6"/>
      <c r="H3251" s="6"/>
      <c r="I3251" s="6"/>
      <c r="J3251" s="6"/>
      <c r="K3251" s="6"/>
      <c r="L3251" s="6"/>
      <c r="M3251" s="6"/>
      <c r="N3251" s="6"/>
      <c r="O3251" s="7"/>
      <c r="P3251" s="6"/>
      <c r="Q3251" s="6"/>
      <c r="R3251" s="7"/>
      <c r="S3251" s="6"/>
      <c r="T3251" s="6"/>
      <c r="U3251" s="7"/>
      <c r="V3251" s="6"/>
      <c r="W3251" s="6"/>
      <c r="X3251" s="6"/>
      <c r="Y3251" s="6"/>
      <c r="Z3251" s="6"/>
      <c r="AA3251" s="7"/>
      <c r="AB3251" s="6"/>
      <c r="AC3251" s="6"/>
      <c r="AD3251" s="6"/>
      <c r="AE3251" s="12"/>
      <c r="AF3251" s="12"/>
      <c r="AG3251" s="12"/>
      <c r="AH3251" s="12"/>
      <c r="AI3251" s="6"/>
      <c r="AJ3251" s="12"/>
      <c r="AK3251" s="1"/>
      <c r="AL3251" s="12"/>
      <c r="AM3251" s="12"/>
      <c r="AN3251" s="1"/>
      <c r="AO3251" s="6"/>
    </row>
    <row r="3252" spans="1:41" ht="15" x14ac:dyDescent="0.25">
      <c r="A3252" s="1"/>
      <c r="B3252" s="1"/>
      <c r="C3252" s="1"/>
      <c r="D3252" s="1"/>
      <c r="E3252" s="6"/>
      <c r="F3252" s="1"/>
      <c r="G3252" s="6"/>
      <c r="H3252" s="6"/>
      <c r="I3252" s="6"/>
      <c r="J3252" s="6"/>
      <c r="K3252" s="6"/>
      <c r="L3252" s="6"/>
      <c r="M3252" s="6"/>
      <c r="N3252" s="6"/>
      <c r="O3252" s="7"/>
      <c r="P3252" s="6"/>
      <c r="Q3252" s="6"/>
      <c r="R3252" s="12"/>
      <c r="S3252" s="12"/>
      <c r="T3252" s="12"/>
      <c r="U3252" s="7"/>
      <c r="V3252" s="6"/>
      <c r="W3252" s="6"/>
      <c r="X3252" s="12"/>
      <c r="Y3252" s="6"/>
      <c r="Z3252" s="6"/>
      <c r="AA3252" s="7"/>
      <c r="AB3252" s="6"/>
      <c r="AC3252" s="6"/>
      <c r="AD3252" s="6"/>
      <c r="AE3252" s="12"/>
      <c r="AF3252" s="12"/>
      <c r="AG3252" s="12"/>
      <c r="AH3252" s="12"/>
      <c r="AI3252" s="6"/>
      <c r="AJ3252" s="12"/>
      <c r="AK3252" s="1"/>
      <c r="AL3252" s="12"/>
      <c r="AM3252" s="12"/>
      <c r="AN3252" s="1"/>
      <c r="AO3252" s="6"/>
    </row>
    <row r="3253" spans="1:41" ht="15" x14ac:dyDescent="0.25">
      <c r="A3253" s="1"/>
      <c r="B3253" s="1"/>
      <c r="C3253" s="1"/>
      <c r="D3253" s="1"/>
      <c r="E3253" s="6"/>
      <c r="F3253" s="1"/>
      <c r="G3253" s="6"/>
      <c r="H3253" s="6"/>
      <c r="I3253" s="6"/>
      <c r="J3253" s="6"/>
      <c r="K3253" s="12"/>
      <c r="L3253" s="12"/>
      <c r="M3253" s="6"/>
      <c r="N3253" s="6"/>
      <c r="O3253" s="7"/>
      <c r="P3253" s="6"/>
      <c r="Q3253" s="7"/>
      <c r="R3253" s="6"/>
      <c r="S3253" s="6"/>
      <c r="T3253" s="6"/>
      <c r="U3253" s="6"/>
      <c r="V3253" s="7"/>
      <c r="W3253" s="7"/>
      <c r="X3253" s="6"/>
      <c r="Y3253" s="6"/>
      <c r="Z3253" s="6"/>
      <c r="AA3253" s="1"/>
      <c r="AB3253" s="12"/>
      <c r="AC3253" s="12"/>
      <c r="AD3253" s="12"/>
      <c r="AE3253" s="12"/>
      <c r="AF3253" s="12"/>
      <c r="AG3253" s="12"/>
      <c r="AH3253" s="12"/>
      <c r="AI3253" s="6"/>
      <c r="AJ3253" s="12"/>
      <c r="AK3253" s="12"/>
      <c r="AL3253" s="12"/>
      <c r="AM3253" s="12"/>
      <c r="AN3253" s="1"/>
      <c r="AO3253" s="6"/>
    </row>
    <row r="3254" spans="1:41" ht="15" x14ac:dyDescent="0.25">
      <c r="A3254" s="1"/>
      <c r="B3254" s="1"/>
      <c r="C3254" s="1"/>
      <c r="D3254" s="1"/>
      <c r="E3254" s="6"/>
      <c r="F3254" s="1"/>
      <c r="G3254" s="6"/>
      <c r="H3254" s="6"/>
      <c r="I3254" s="6"/>
      <c r="J3254" s="6"/>
      <c r="K3254" s="6"/>
      <c r="L3254" s="6"/>
      <c r="M3254" s="6"/>
      <c r="N3254" s="6"/>
      <c r="O3254" s="7"/>
      <c r="P3254" s="6"/>
      <c r="Q3254" s="6"/>
      <c r="R3254" s="7"/>
      <c r="S3254" s="6"/>
      <c r="T3254" s="6"/>
      <c r="U3254" s="7"/>
      <c r="V3254" s="6"/>
      <c r="W3254" s="6"/>
      <c r="X3254" s="12"/>
      <c r="Y3254" s="6"/>
      <c r="Z3254" s="6"/>
      <c r="AA3254" s="7"/>
      <c r="AB3254" s="6"/>
      <c r="AC3254" s="6"/>
      <c r="AD3254" s="6"/>
      <c r="AE3254" s="12"/>
      <c r="AF3254" s="6"/>
      <c r="AG3254" s="12"/>
      <c r="AH3254" s="6"/>
      <c r="AI3254" s="6"/>
      <c r="AJ3254" s="12"/>
      <c r="AK3254" s="1"/>
      <c r="AL3254" s="12"/>
      <c r="AM3254" s="12"/>
      <c r="AN3254" s="1"/>
      <c r="AO3254" s="6"/>
    </row>
    <row r="3255" spans="1:41" ht="15" x14ac:dyDescent="0.25">
      <c r="A3255" s="1"/>
      <c r="B3255" s="1"/>
      <c r="C3255" s="1"/>
      <c r="D3255" s="1"/>
      <c r="E3255" s="6"/>
      <c r="F3255" s="1"/>
      <c r="G3255" s="6"/>
      <c r="H3255" s="6"/>
      <c r="I3255" s="6"/>
      <c r="J3255" s="6"/>
      <c r="K3255" s="6"/>
      <c r="L3255" s="6"/>
      <c r="M3255" s="6"/>
      <c r="N3255" s="6"/>
      <c r="O3255" s="7"/>
      <c r="P3255" s="6"/>
      <c r="Q3255" s="6"/>
      <c r="R3255" s="7"/>
      <c r="S3255" s="6"/>
      <c r="T3255" s="6"/>
      <c r="U3255" s="7"/>
      <c r="V3255" s="6"/>
      <c r="W3255" s="6"/>
      <c r="X3255" s="12"/>
      <c r="Y3255" s="6"/>
      <c r="Z3255" s="6"/>
      <c r="AA3255" s="7"/>
      <c r="AB3255" s="6"/>
      <c r="AC3255" s="6"/>
      <c r="AD3255" s="6"/>
      <c r="AE3255" s="12"/>
      <c r="AF3255" s="6"/>
      <c r="AG3255" s="12"/>
      <c r="AH3255" s="6"/>
      <c r="AI3255" s="6"/>
      <c r="AJ3255" s="12"/>
      <c r="AK3255" s="24"/>
      <c r="AL3255" s="25"/>
      <c r="AM3255" s="12"/>
      <c r="AN3255" s="1"/>
      <c r="AO3255" s="6"/>
    </row>
    <row r="3256" spans="1:41" ht="15" x14ac:dyDescent="0.25">
      <c r="A3256" s="1"/>
      <c r="B3256" s="1"/>
      <c r="C3256" s="1"/>
      <c r="D3256" s="1"/>
      <c r="E3256" s="6"/>
      <c r="F3256" s="1"/>
      <c r="G3256" s="6"/>
      <c r="H3256" s="6"/>
      <c r="I3256" s="6"/>
      <c r="J3256" s="6"/>
      <c r="K3256" s="6"/>
      <c r="L3256" s="6"/>
      <c r="M3256" s="6"/>
      <c r="N3256" s="6"/>
      <c r="O3256" s="7"/>
      <c r="P3256" s="6"/>
      <c r="Q3256" s="6"/>
      <c r="R3256" s="12"/>
      <c r="S3256" s="12"/>
      <c r="T3256" s="12"/>
      <c r="U3256" s="7"/>
      <c r="V3256" s="6"/>
      <c r="W3256" s="6"/>
      <c r="X3256" s="12"/>
      <c r="Y3256" s="6"/>
      <c r="Z3256" s="6"/>
      <c r="AA3256" s="7"/>
      <c r="AB3256" s="6"/>
      <c r="AC3256" s="6"/>
      <c r="AD3256" s="6"/>
      <c r="AE3256" s="12"/>
      <c r="AF3256" s="6"/>
      <c r="AG3256" s="12"/>
      <c r="AH3256" s="6"/>
      <c r="AI3256" s="6"/>
      <c r="AJ3256" s="12"/>
      <c r="AK3256" s="24"/>
      <c r="AL3256" s="25"/>
      <c r="AM3256" s="12"/>
      <c r="AN3256" s="1"/>
      <c r="AO3256" s="6"/>
    </row>
    <row r="3257" spans="1:41" ht="15" x14ac:dyDescent="0.25">
      <c r="A3257" s="1"/>
      <c r="B3257" s="1"/>
      <c r="C3257" s="1"/>
      <c r="D3257" s="1"/>
      <c r="E3257" s="6"/>
      <c r="F3257" s="1"/>
      <c r="G3257" s="6"/>
      <c r="H3257" s="6"/>
      <c r="I3257" s="6"/>
      <c r="J3257" s="6"/>
      <c r="K3257" s="6"/>
      <c r="L3257" s="6"/>
      <c r="M3257" s="6"/>
      <c r="N3257" s="6"/>
      <c r="O3257" s="7"/>
      <c r="P3257" s="6"/>
      <c r="Q3257" s="6"/>
      <c r="R3257" s="7"/>
      <c r="S3257" s="6"/>
      <c r="T3257" s="6"/>
      <c r="U3257" s="7"/>
      <c r="V3257" s="6"/>
      <c r="W3257" s="6"/>
      <c r="X3257" s="6"/>
      <c r="Y3257" s="6"/>
      <c r="Z3257" s="6"/>
      <c r="AA3257" s="7"/>
      <c r="AB3257" s="6"/>
      <c r="AC3257" s="6"/>
      <c r="AD3257" s="6"/>
      <c r="AE3257" s="12"/>
      <c r="AF3257" s="6"/>
      <c r="AG3257" s="12"/>
      <c r="AH3257" s="6"/>
      <c r="AI3257" s="6"/>
      <c r="AJ3257" s="12"/>
      <c r="AK3257" s="1"/>
      <c r="AL3257" s="12"/>
      <c r="AM3257" s="12"/>
      <c r="AN3257" s="1"/>
      <c r="AO3257" s="6"/>
    </row>
    <row r="3258" spans="1:41" ht="15" x14ac:dyDescent="0.25">
      <c r="A3258" s="1"/>
      <c r="B3258" s="1"/>
      <c r="C3258" s="1"/>
      <c r="D3258" s="1"/>
      <c r="E3258" s="6"/>
      <c r="F3258" s="1"/>
      <c r="G3258" s="6"/>
      <c r="H3258" s="6"/>
      <c r="I3258" s="6"/>
      <c r="J3258" s="6"/>
      <c r="K3258" s="6"/>
      <c r="L3258" s="6"/>
      <c r="M3258" s="6"/>
      <c r="N3258" s="6"/>
      <c r="O3258" s="7"/>
      <c r="P3258" s="6"/>
      <c r="Q3258" s="6"/>
      <c r="R3258" s="7"/>
      <c r="S3258" s="6"/>
      <c r="T3258" s="6"/>
      <c r="U3258" s="7"/>
      <c r="V3258" s="6"/>
      <c r="W3258" s="6"/>
      <c r="X3258" s="12"/>
      <c r="Y3258" s="6"/>
      <c r="Z3258" s="6"/>
      <c r="AA3258" s="7"/>
      <c r="AB3258" s="6"/>
      <c r="AC3258" s="6"/>
      <c r="AD3258" s="6"/>
      <c r="AE3258" s="12"/>
      <c r="AF3258" s="6"/>
      <c r="AG3258" s="12"/>
      <c r="AH3258" s="6"/>
      <c r="AI3258" s="6"/>
      <c r="AJ3258" s="12"/>
      <c r="AK3258" s="1"/>
      <c r="AL3258" s="12"/>
      <c r="AM3258" s="12"/>
      <c r="AN3258" s="1"/>
      <c r="AO3258" s="6"/>
    </row>
    <row r="3259" spans="1:41" ht="15" x14ac:dyDescent="0.25">
      <c r="A3259" s="1"/>
      <c r="B3259" s="1"/>
      <c r="C3259" s="1"/>
      <c r="D3259" s="1"/>
      <c r="E3259" s="6"/>
      <c r="F3259" s="1"/>
      <c r="G3259" s="6"/>
      <c r="H3259" s="6"/>
      <c r="I3259" s="6"/>
      <c r="J3259" s="6"/>
      <c r="K3259" s="6"/>
      <c r="L3259" s="6"/>
      <c r="M3259" s="6"/>
      <c r="N3259" s="6"/>
      <c r="O3259" s="7"/>
      <c r="P3259" s="6"/>
      <c r="Q3259" s="6"/>
      <c r="R3259" s="7"/>
      <c r="S3259" s="6"/>
      <c r="T3259" s="6"/>
      <c r="U3259" s="7"/>
      <c r="V3259" s="6"/>
      <c r="W3259" s="6"/>
      <c r="X3259" s="12"/>
      <c r="Y3259" s="6"/>
      <c r="Z3259" s="6"/>
      <c r="AA3259" s="7"/>
      <c r="AB3259" s="6"/>
      <c r="AC3259" s="6"/>
      <c r="AD3259" s="6"/>
      <c r="AE3259" s="12"/>
      <c r="AF3259" s="12"/>
      <c r="AG3259" s="12"/>
      <c r="AH3259" s="12"/>
      <c r="AI3259" s="6"/>
      <c r="AJ3259" s="12"/>
      <c r="AK3259" s="24"/>
      <c r="AL3259" s="25"/>
      <c r="AM3259" s="12"/>
      <c r="AN3259" s="1"/>
      <c r="AO3259" s="6"/>
    </row>
    <row r="3260" spans="1:41" ht="15" x14ac:dyDescent="0.25">
      <c r="A3260" s="1"/>
      <c r="B3260" s="1"/>
      <c r="C3260" s="1"/>
      <c r="D3260" s="1"/>
      <c r="E3260" s="6"/>
      <c r="F3260" s="1"/>
      <c r="G3260" s="6"/>
      <c r="H3260" s="6"/>
      <c r="I3260" s="6"/>
      <c r="J3260" s="6"/>
      <c r="K3260" s="6"/>
      <c r="L3260" s="6"/>
      <c r="M3260" s="6"/>
      <c r="N3260" s="6"/>
      <c r="O3260" s="7"/>
      <c r="P3260" s="6"/>
      <c r="Q3260" s="6"/>
      <c r="R3260" s="15"/>
      <c r="S3260" s="6"/>
      <c r="T3260" s="6"/>
      <c r="U3260" s="7"/>
      <c r="V3260" s="6"/>
      <c r="W3260" s="6"/>
      <c r="X3260" s="6"/>
      <c r="Y3260" s="6"/>
      <c r="Z3260" s="6"/>
      <c r="AA3260" s="7"/>
      <c r="AB3260" s="6"/>
      <c r="AC3260" s="6"/>
      <c r="AD3260" s="6"/>
      <c r="AE3260" s="12"/>
      <c r="AF3260" s="12"/>
      <c r="AG3260" s="12"/>
      <c r="AH3260" s="12"/>
      <c r="AI3260" s="6"/>
      <c r="AJ3260" s="12"/>
      <c r="AK3260" s="1"/>
      <c r="AL3260" s="12"/>
      <c r="AM3260" s="12"/>
      <c r="AN3260" s="1"/>
      <c r="AO3260" s="6"/>
    </row>
    <row r="3261" spans="1:41" ht="15" x14ac:dyDescent="0.25">
      <c r="A3261" s="1"/>
      <c r="B3261" s="1"/>
      <c r="C3261" s="1"/>
      <c r="D3261" s="1"/>
      <c r="E3261" s="6"/>
      <c r="F3261" s="1"/>
      <c r="G3261" s="6"/>
      <c r="H3261" s="6"/>
      <c r="I3261" s="6"/>
      <c r="J3261" s="6"/>
      <c r="K3261" s="12"/>
      <c r="L3261" s="12"/>
      <c r="M3261" s="6"/>
      <c r="N3261" s="6"/>
      <c r="O3261" s="7"/>
      <c r="P3261" s="6"/>
      <c r="Q3261" s="6"/>
      <c r="R3261" s="7"/>
      <c r="S3261" s="6"/>
      <c r="T3261" s="6"/>
      <c r="U3261" s="7"/>
      <c r="V3261" s="6"/>
      <c r="W3261" s="6"/>
      <c r="X3261" s="6"/>
      <c r="Y3261" s="6"/>
      <c r="Z3261" s="6"/>
      <c r="AA3261" s="7"/>
      <c r="AB3261" s="6"/>
      <c r="AC3261" s="6"/>
      <c r="AD3261" s="6"/>
      <c r="AE3261" s="12"/>
      <c r="AF3261" s="12"/>
      <c r="AG3261" s="12"/>
      <c r="AH3261" s="12"/>
      <c r="AI3261" s="6"/>
      <c r="AJ3261" s="12"/>
      <c r="AK3261" s="1"/>
      <c r="AL3261" s="12"/>
      <c r="AM3261" s="12"/>
      <c r="AN3261" s="1"/>
      <c r="AO3261" s="6"/>
    </row>
    <row r="3262" spans="1:41" ht="15" x14ac:dyDescent="0.25">
      <c r="A3262" s="1"/>
      <c r="B3262" s="1"/>
      <c r="C3262" s="1"/>
      <c r="D3262" s="1"/>
      <c r="E3262" s="6"/>
      <c r="F3262" s="1"/>
      <c r="G3262" s="6"/>
      <c r="H3262" s="6"/>
      <c r="I3262" s="6"/>
      <c r="J3262" s="6"/>
      <c r="K3262" s="6"/>
      <c r="L3262" s="6"/>
      <c r="M3262" s="6"/>
      <c r="N3262" s="6"/>
      <c r="O3262" s="7"/>
      <c r="P3262" s="6"/>
      <c r="Q3262" s="6"/>
      <c r="R3262" s="7"/>
      <c r="S3262" s="6"/>
      <c r="T3262" s="6"/>
      <c r="U3262" s="7"/>
      <c r="V3262" s="6"/>
      <c r="W3262" s="6"/>
      <c r="X3262" s="6"/>
      <c r="Y3262" s="6"/>
      <c r="Z3262" s="6"/>
      <c r="AA3262" s="7"/>
      <c r="AB3262" s="6"/>
      <c r="AC3262" s="6"/>
      <c r="AD3262" s="6"/>
      <c r="AE3262" s="12"/>
      <c r="AF3262" s="6"/>
      <c r="AG3262" s="12"/>
      <c r="AH3262" s="6"/>
      <c r="AI3262" s="6"/>
      <c r="AJ3262" s="12"/>
      <c r="AK3262" s="1"/>
      <c r="AL3262" s="12"/>
      <c r="AM3262" s="12"/>
      <c r="AN3262" s="1"/>
      <c r="AO3262" s="6"/>
    </row>
    <row r="3263" spans="1:41" ht="15" x14ac:dyDescent="0.25">
      <c r="A3263" s="1"/>
      <c r="B3263" s="1"/>
      <c r="C3263" s="1"/>
      <c r="D3263" s="1"/>
      <c r="E3263" s="6"/>
      <c r="F3263" s="1"/>
      <c r="G3263" s="6"/>
      <c r="H3263" s="6"/>
      <c r="I3263" s="6"/>
      <c r="J3263" s="6"/>
      <c r="K3263" s="12"/>
      <c r="L3263" s="12"/>
      <c r="M3263" s="6"/>
      <c r="N3263" s="6"/>
      <c r="O3263" s="7"/>
      <c r="P3263" s="6"/>
      <c r="Q3263" s="6"/>
      <c r="R3263" s="7"/>
      <c r="S3263" s="6"/>
      <c r="T3263" s="6"/>
      <c r="U3263" s="7"/>
      <c r="V3263" s="6"/>
      <c r="W3263" s="6"/>
      <c r="X3263" s="12"/>
      <c r="Y3263" s="6"/>
      <c r="Z3263" s="6"/>
      <c r="AA3263" s="7"/>
      <c r="AB3263" s="6"/>
      <c r="AC3263" s="6"/>
      <c r="AD3263" s="6"/>
      <c r="AE3263" s="12"/>
      <c r="AF3263" s="6"/>
      <c r="AG3263" s="12"/>
      <c r="AH3263" s="6"/>
      <c r="AI3263" s="6"/>
      <c r="AJ3263" s="12"/>
      <c r="AK3263" s="1"/>
      <c r="AL3263" s="12"/>
      <c r="AM3263" s="12"/>
      <c r="AN3263" s="1"/>
      <c r="AO3263" s="6"/>
    </row>
    <row r="3264" spans="1:41" ht="15" x14ac:dyDescent="0.25">
      <c r="A3264" s="1"/>
      <c r="B3264" s="1"/>
      <c r="C3264" s="1"/>
      <c r="D3264" s="1"/>
      <c r="E3264" s="6"/>
      <c r="F3264" s="1"/>
      <c r="G3264" s="6"/>
      <c r="H3264" s="6"/>
      <c r="I3264" s="6"/>
      <c r="J3264" s="6"/>
      <c r="K3264" s="6"/>
      <c r="L3264" s="6"/>
      <c r="M3264" s="6"/>
      <c r="N3264" s="6"/>
      <c r="O3264" s="7"/>
      <c r="P3264" s="6"/>
      <c r="Q3264" s="6"/>
      <c r="R3264" s="7"/>
      <c r="S3264" s="6"/>
      <c r="T3264" s="6"/>
      <c r="U3264" s="7"/>
      <c r="V3264" s="6"/>
      <c r="W3264" s="6"/>
      <c r="X3264" s="6"/>
      <c r="Y3264" s="6"/>
      <c r="Z3264" s="6"/>
      <c r="AA3264" s="7"/>
      <c r="AB3264" s="6"/>
      <c r="AC3264" s="6"/>
      <c r="AD3264" s="6"/>
      <c r="AE3264" s="12"/>
      <c r="AF3264" s="12"/>
      <c r="AG3264" s="12"/>
      <c r="AH3264" s="12"/>
      <c r="AI3264" s="6"/>
      <c r="AJ3264" s="12"/>
      <c r="AK3264" s="1"/>
      <c r="AL3264" s="12"/>
      <c r="AM3264" s="12"/>
      <c r="AN3264" s="1"/>
      <c r="AO3264" s="6"/>
    </row>
    <row r="3265" spans="1:41" ht="15" x14ac:dyDescent="0.25">
      <c r="A3265" s="1"/>
      <c r="B3265" s="1"/>
      <c r="C3265" s="1"/>
      <c r="D3265" s="1"/>
      <c r="E3265" s="6"/>
      <c r="F3265" s="1"/>
      <c r="G3265" s="6"/>
      <c r="H3265" s="6"/>
      <c r="I3265" s="6"/>
      <c r="J3265" s="6"/>
      <c r="K3265" s="6"/>
      <c r="L3265" s="6"/>
      <c r="M3265" s="6"/>
      <c r="N3265" s="6"/>
      <c r="O3265" s="7"/>
      <c r="P3265" s="12"/>
      <c r="Q3265" s="6"/>
      <c r="R3265" s="7"/>
      <c r="S3265" s="6"/>
      <c r="T3265" s="6"/>
      <c r="U3265" s="7"/>
      <c r="V3265" s="6"/>
      <c r="W3265" s="6"/>
      <c r="X3265" s="6"/>
      <c r="Y3265" s="6"/>
      <c r="Z3265" s="6"/>
      <c r="AA3265" s="7"/>
      <c r="AB3265" s="6"/>
      <c r="AC3265" s="6"/>
      <c r="AD3265" s="6"/>
      <c r="AE3265" s="12"/>
      <c r="AF3265" s="6"/>
      <c r="AG3265" s="12"/>
      <c r="AH3265" s="6"/>
      <c r="AI3265" s="6"/>
      <c r="AJ3265" s="12"/>
      <c r="AK3265" s="1"/>
      <c r="AL3265" s="12"/>
      <c r="AM3265" s="12"/>
      <c r="AN3265" s="1"/>
      <c r="AO3265" s="6"/>
    </row>
    <row r="3266" spans="1:41" ht="15" x14ac:dyDescent="0.25">
      <c r="A3266" s="1"/>
      <c r="B3266" s="1"/>
      <c r="C3266" s="1"/>
      <c r="D3266" s="1"/>
      <c r="E3266" s="6"/>
      <c r="F3266" s="1"/>
      <c r="G3266" s="6"/>
      <c r="H3266" s="6"/>
      <c r="I3266" s="6"/>
      <c r="J3266" s="6"/>
      <c r="K3266" s="6"/>
      <c r="L3266" s="6"/>
      <c r="M3266" s="6"/>
      <c r="N3266" s="6"/>
      <c r="O3266" s="7"/>
      <c r="P3266" s="6"/>
      <c r="Q3266" s="6"/>
      <c r="R3266" s="7"/>
      <c r="S3266" s="6"/>
      <c r="T3266" s="6"/>
      <c r="U3266" s="7"/>
      <c r="V3266" s="6"/>
      <c r="W3266" s="6"/>
      <c r="X3266" s="12"/>
      <c r="Y3266" s="6"/>
      <c r="Z3266" s="6"/>
      <c r="AA3266" s="7"/>
      <c r="AB3266" s="6"/>
      <c r="AC3266" s="6"/>
      <c r="AD3266" s="6"/>
      <c r="AE3266" s="12"/>
      <c r="AF3266" s="6"/>
      <c r="AG3266" s="12"/>
      <c r="AH3266" s="6"/>
      <c r="AI3266" s="6"/>
      <c r="AJ3266" s="12"/>
      <c r="AK3266" s="24"/>
      <c r="AL3266" s="25"/>
      <c r="AM3266" s="12"/>
      <c r="AN3266" s="1"/>
      <c r="AO3266" s="6"/>
    </row>
    <row r="3267" spans="1:41" ht="15" x14ac:dyDescent="0.25">
      <c r="A3267" s="1"/>
      <c r="B3267" s="1"/>
      <c r="C3267" s="1"/>
      <c r="D3267" s="1"/>
      <c r="E3267" s="6"/>
      <c r="F3267" s="1"/>
      <c r="G3267" s="6"/>
      <c r="H3267" s="6"/>
      <c r="I3267" s="6"/>
      <c r="J3267" s="6"/>
      <c r="K3267" s="6"/>
      <c r="L3267" s="6"/>
      <c r="M3267" s="6"/>
      <c r="N3267" s="6"/>
      <c r="O3267" s="7"/>
      <c r="P3267" s="6"/>
      <c r="Q3267" s="7"/>
      <c r="R3267" s="6"/>
      <c r="S3267" s="6"/>
      <c r="T3267" s="6"/>
      <c r="U3267" s="6"/>
      <c r="V3267" s="7"/>
      <c r="W3267" s="7"/>
      <c r="X3267" s="6"/>
      <c r="Y3267" s="6"/>
      <c r="Z3267" s="6"/>
      <c r="AA3267" s="1"/>
      <c r="AB3267" s="12"/>
      <c r="AC3267" s="12"/>
      <c r="AD3267" s="12"/>
      <c r="AE3267" s="12"/>
      <c r="AF3267" s="12"/>
      <c r="AG3267" s="12"/>
      <c r="AH3267" s="12"/>
      <c r="AI3267" s="6"/>
      <c r="AJ3267" s="12"/>
      <c r="AK3267" s="12"/>
      <c r="AL3267" s="12"/>
      <c r="AM3267" s="12"/>
      <c r="AN3267" s="1"/>
      <c r="AO3267" s="6"/>
    </row>
    <row r="3268" spans="1:41" ht="15" x14ac:dyDescent="0.25">
      <c r="A3268" s="1"/>
      <c r="B3268" s="1"/>
      <c r="C3268" s="1"/>
      <c r="D3268" s="1"/>
      <c r="E3268" s="6"/>
      <c r="F3268" s="1"/>
      <c r="G3268" s="6"/>
      <c r="H3268" s="6"/>
      <c r="I3268" s="6"/>
      <c r="J3268" s="6"/>
      <c r="K3268" s="6"/>
      <c r="L3268" s="6"/>
      <c r="M3268" s="6"/>
      <c r="N3268" s="6"/>
      <c r="O3268" s="7"/>
      <c r="P3268" s="6"/>
      <c r="Q3268" s="6"/>
      <c r="R3268" s="7"/>
      <c r="S3268" s="6"/>
      <c r="T3268" s="6"/>
      <c r="U3268" s="7"/>
      <c r="V3268" s="6"/>
      <c r="W3268" s="6"/>
      <c r="X3268" s="12"/>
      <c r="Y3268" s="6"/>
      <c r="Z3268" s="6"/>
      <c r="AA3268" s="7"/>
      <c r="AB3268" s="6"/>
      <c r="AC3268" s="6"/>
      <c r="AD3268" s="6"/>
      <c r="AE3268" s="12"/>
      <c r="AF3268" s="6"/>
      <c r="AG3268" s="12"/>
      <c r="AH3268" s="6"/>
      <c r="AI3268" s="6"/>
      <c r="AJ3268" s="12"/>
      <c r="AK3268" s="1"/>
      <c r="AL3268" s="12"/>
      <c r="AM3268" s="12"/>
      <c r="AN3268" s="1"/>
      <c r="AO3268" s="6"/>
    </row>
    <row r="3269" spans="1:41" ht="15" x14ac:dyDescent="0.25">
      <c r="A3269" s="1"/>
      <c r="B3269" s="1"/>
      <c r="C3269" s="1"/>
      <c r="D3269" s="1"/>
      <c r="E3269" s="6"/>
      <c r="F3269" s="1"/>
      <c r="G3269" s="6"/>
      <c r="H3269" s="6"/>
      <c r="I3269" s="6"/>
      <c r="J3269" s="6"/>
      <c r="K3269" s="6"/>
      <c r="L3269" s="6"/>
      <c r="M3269" s="6"/>
      <c r="N3269" s="6"/>
      <c r="O3269" s="7"/>
      <c r="P3269" s="6"/>
      <c r="Q3269" s="6"/>
      <c r="R3269" s="7"/>
      <c r="S3269" s="6"/>
      <c r="T3269" s="6"/>
      <c r="U3269" s="7"/>
      <c r="V3269" s="6"/>
      <c r="W3269" s="6"/>
      <c r="X3269" s="12"/>
      <c r="Y3269" s="6"/>
      <c r="Z3269" s="6"/>
      <c r="AA3269" s="7"/>
      <c r="AB3269" s="6"/>
      <c r="AC3269" s="6"/>
      <c r="AD3269" s="6"/>
      <c r="AE3269" s="12"/>
      <c r="AF3269" s="12"/>
      <c r="AG3269" s="12"/>
      <c r="AH3269" s="12"/>
      <c r="AI3269" s="6"/>
      <c r="AJ3269" s="12"/>
      <c r="AK3269" s="1"/>
      <c r="AL3269" s="12"/>
      <c r="AM3269" s="12"/>
      <c r="AN3269" s="1"/>
      <c r="AO3269" s="6"/>
    </row>
    <row r="3270" spans="1:41" ht="15" x14ac:dyDescent="0.25">
      <c r="A3270" s="1"/>
      <c r="B3270" s="1"/>
      <c r="C3270" s="1"/>
      <c r="D3270" s="1"/>
      <c r="E3270" s="6"/>
      <c r="F3270" s="1"/>
      <c r="G3270" s="6"/>
      <c r="H3270" s="6"/>
      <c r="I3270" s="6"/>
      <c r="J3270" s="6"/>
      <c r="K3270" s="6"/>
      <c r="L3270" s="6"/>
      <c r="M3270" s="6"/>
      <c r="N3270" s="6"/>
      <c r="O3270" s="7"/>
      <c r="P3270" s="6"/>
      <c r="Q3270" s="7"/>
      <c r="R3270" s="6"/>
      <c r="S3270" s="12"/>
      <c r="T3270" s="6"/>
      <c r="U3270" s="6"/>
      <c r="V3270" s="7"/>
      <c r="W3270" s="7"/>
      <c r="X3270" s="6"/>
      <c r="Y3270" s="6"/>
      <c r="Z3270" s="6"/>
      <c r="AA3270" s="1"/>
      <c r="AB3270" s="12"/>
      <c r="AC3270" s="12"/>
      <c r="AD3270" s="12"/>
      <c r="AE3270" s="12"/>
      <c r="AF3270" s="12"/>
      <c r="AG3270" s="12"/>
      <c r="AH3270" s="12"/>
      <c r="AI3270" s="6"/>
      <c r="AJ3270" s="12"/>
      <c r="AK3270" s="12"/>
      <c r="AL3270" s="12"/>
      <c r="AM3270" s="12"/>
      <c r="AN3270" s="1"/>
      <c r="AO3270" s="6"/>
    </row>
    <row r="3271" spans="1:41" ht="15" x14ac:dyDescent="0.25">
      <c r="A3271" s="1"/>
      <c r="B3271" s="1"/>
      <c r="C3271" s="1"/>
      <c r="D3271" s="1"/>
      <c r="E3271" s="6"/>
      <c r="F3271" s="1"/>
      <c r="G3271" s="6"/>
      <c r="H3271" s="6"/>
      <c r="I3271" s="6"/>
      <c r="J3271" s="6"/>
      <c r="K3271" s="6"/>
      <c r="L3271" s="6"/>
      <c r="M3271" s="6"/>
      <c r="N3271" s="6"/>
      <c r="O3271" s="7"/>
      <c r="P3271" s="12"/>
      <c r="Q3271" s="6"/>
      <c r="R3271" s="7"/>
      <c r="S3271" s="6"/>
      <c r="T3271" s="6"/>
      <c r="U3271" s="7"/>
      <c r="V3271" s="6"/>
      <c r="W3271" s="6"/>
      <c r="X3271" s="6"/>
      <c r="Y3271" s="6"/>
      <c r="Z3271" s="6"/>
      <c r="AA3271" s="7"/>
      <c r="AB3271" s="6"/>
      <c r="AC3271" s="6"/>
      <c r="AD3271" s="6"/>
      <c r="AE3271" s="12"/>
      <c r="AF3271" s="6"/>
      <c r="AG3271" s="12"/>
      <c r="AH3271" s="6"/>
      <c r="AI3271" s="6"/>
      <c r="AJ3271" s="12"/>
      <c r="AK3271" s="24"/>
      <c r="AL3271" s="25"/>
      <c r="AM3271" s="12"/>
      <c r="AN3271" s="1"/>
      <c r="AO3271" s="6"/>
    </row>
    <row r="3272" spans="1:41" ht="15" x14ac:dyDescent="0.25">
      <c r="A3272" s="1"/>
      <c r="B3272" s="1"/>
      <c r="C3272" s="1"/>
      <c r="D3272" s="1"/>
      <c r="E3272" s="6"/>
      <c r="F3272" s="1"/>
      <c r="G3272" s="6"/>
      <c r="H3272" s="6"/>
      <c r="I3272" s="6"/>
      <c r="J3272" s="6"/>
      <c r="K3272" s="6"/>
      <c r="L3272" s="6"/>
      <c r="M3272" s="6"/>
      <c r="N3272" s="6"/>
      <c r="O3272" s="7"/>
      <c r="P3272" s="6"/>
      <c r="Q3272" s="7"/>
      <c r="R3272" s="6"/>
      <c r="S3272" s="6"/>
      <c r="T3272" s="6"/>
      <c r="U3272" s="6"/>
      <c r="V3272" s="7"/>
      <c r="W3272" s="7"/>
      <c r="X3272" s="6"/>
      <c r="Y3272" s="6"/>
      <c r="Z3272" s="6"/>
      <c r="AA3272" s="1"/>
      <c r="AB3272" s="12"/>
      <c r="AC3272" s="12"/>
      <c r="AD3272" s="12"/>
      <c r="AE3272" s="12"/>
      <c r="AF3272" s="12"/>
      <c r="AG3272" s="12"/>
      <c r="AH3272" s="12"/>
      <c r="AI3272" s="6"/>
      <c r="AJ3272" s="12"/>
      <c r="AK3272" s="12"/>
      <c r="AL3272" s="12"/>
      <c r="AM3272" s="12"/>
      <c r="AN3272" s="1"/>
      <c r="AO3272" s="6"/>
    </row>
    <row r="3273" spans="1:41" ht="15" x14ac:dyDescent="0.25">
      <c r="A3273" s="1"/>
      <c r="B3273" s="1"/>
      <c r="C3273" s="1"/>
      <c r="D3273" s="1"/>
      <c r="E3273" s="6"/>
      <c r="F3273" s="1"/>
      <c r="G3273" s="6"/>
      <c r="H3273" s="6"/>
      <c r="I3273" s="6"/>
      <c r="J3273" s="6"/>
      <c r="K3273" s="6"/>
      <c r="L3273" s="6"/>
      <c r="M3273" s="6"/>
      <c r="N3273" s="6"/>
      <c r="O3273" s="7"/>
      <c r="P3273" s="6"/>
      <c r="Q3273" s="6"/>
      <c r="R3273" s="7"/>
      <c r="S3273" s="6"/>
      <c r="T3273" s="6"/>
      <c r="U3273" s="7"/>
      <c r="V3273" s="6"/>
      <c r="W3273" s="6"/>
      <c r="X3273" s="12"/>
      <c r="Y3273" s="6"/>
      <c r="Z3273" s="6"/>
      <c r="AA3273" s="7"/>
      <c r="AB3273" s="6"/>
      <c r="AC3273" s="6"/>
      <c r="AD3273" s="6"/>
      <c r="AE3273" s="12"/>
      <c r="AF3273" s="6"/>
      <c r="AG3273" s="12"/>
      <c r="AH3273" s="6"/>
      <c r="AI3273" s="6"/>
      <c r="AJ3273" s="12"/>
      <c r="AK3273" s="1"/>
      <c r="AL3273" s="12"/>
      <c r="AM3273" s="12"/>
      <c r="AN3273" s="1"/>
      <c r="AO3273" s="6"/>
    </row>
    <row r="3274" spans="1:41" ht="15" x14ac:dyDescent="0.25">
      <c r="A3274" s="1"/>
      <c r="B3274" s="1"/>
      <c r="C3274" s="1"/>
      <c r="D3274" s="1"/>
      <c r="E3274" s="6"/>
      <c r="F3274" s="1"/>
      <c r="G3274" s="6"/>
      <c r="H3274" s="6"/>
      <c r="I3274" s="6"/>
      <c r="J3274" s="6"/>
      <c r="K3274" s="6"/>
      <c r="L3274" s="6"/>
      <c r="M3274" s="6"/>
      <c r="N3274" s="6"/>
      <c r="O3274" s="7"/>
      <c r="P3274" s="6"/>
      <c r="Q3274" s="6"/>
      <c r="R3274" s="7"/>
      <c r="S3274" s="6"/>
      <c r="T3274" s="6"/>
      <c r="U3274" s="7"/>
      <c r="V3274" s="6"/>
      <c r="W3274" s="6"/>
      <c r="X3274" s="6"/>
      <c r="Y3274" s="6"/>
      <c r="Z3274" s="6"/>
      <c r="AA3274" s="7"/>
      <c r="AB3274" s="6"/>
      <c r="AC3274" s="6"/>
      <c r="AD3274" s="6"/>
      <c r="AE3274" s="12"/>
      <c r="AF3274" s="12"/>
      <c r="AG3274" s="12"/>
      <c r="AH3274" s="12"/>
      <c r="AI3274" s="6"/>
      <c r="AJ3274" s="12"/>
      <c r="AK3274" s="1"/>
      <c r="AL3274" s="12"/>
      <c r="AM3274" s="12"/>
      <c r="AN3274" s="1"/>
      <c r="AO3274" s="6"/>
    </row>
    <row r="3275" spans="1:41" ht="15" x14ac:dyDescent="0.25">
      <c r="A3275" s="1"/>
      <c r="B3275" s="1"/>
      <c r="C3275" s="1"/>
      <c r="D3275" s="1"/>
      <c r="E3275" s="6"/>
      <c r="F3275" s="1"/>
      <c r="G3275" s="6"/>
      <c r="H3275" s="6"/>
      <c r="I3275" s="6"/>
      <c r="J3275" s="6"/>
      <c r="K3275" s="6"/>
      <c r="L3275" s="6"/>
      <c r="M3275" s="6"/>
      <c r="N3275" s="6"/>
      <c r="O3275" s="7"/>
      <c r="P3275" s="6"/>
      <c r="Q3275" s="6"/>
      <c r="R3275" s="7"/>
      <c r="S3275" s="6"/>
      <c r="T3275" s="6"/>
      <c r="U3275" s="7"/>
      <c r="V3275" s="6"/>
      <c r="W3275" s="6"/>
      <c r="X3275" s="6"/>
      <c r="Y3275" s="6"/>
      <c r="Z3275" s="6"/>
      <c r="AA3275" s="7"/>
      <c r="AB3275" s="6"/>
      <c r="AC3275" s="6"/>
      <c r="AD3275" s="6"/>
      <c r="AE3275" s="12"/>
      <c r="AF3275" s="12"/>
      <c r="AG3275" s="12"/>
      <c r="AH3275" s="12"/>
      <c r="AI3275" s="6"/>
      <c r="AJ3275" s="12"/>
      <c r="AK3275" s="1"/>
      <c r="AL3275" s="12"/>
      <c r="AM3275" s="12"/>
      <c r="AN3275" s="1"/>
      <c r="AO3275" s="6"/>
    </row>
    <row r="3276" spans="1:41" ht="15" x14ac:dyDescent="0.25">
      <c r="A3276" s="1"/>
      <c r="B3276" s="1"/>
      <c r="C3276" s="1"/>
      <c r="D3276" s="1"/>
      <c r="E3276" s="6"/>
      <c r="F3276" s="1"/>
      <c r="G3276" s="6"/>
      <c r="H3276" s="6"/>
      <c r="I3276" s="6"/>
      <c r="J3276" s="6"/>
      <c r="K3276" s="6"/>
      <c r="L3276" s="6"/>
      <c r="M3276" s="6"/>
      <c r="N3276" s="6"/>
      <c r="O3276" s="7"/>
      <c r="P3276" s="12"/>
      <c r="Q3276" s="6"/>
      <c r="R3276" s="7"/>
      <c r="S3276" s="6"/>
      <c r="T3276" s="6"/>
      <c r="U3276" s="7"/>
      <c r="V3276" s="6"/>
      <c r="W3276" s="6"/>
      <c r="X3276" s="6"/>
      <c r="Y3276" s="6"/>
      <c r="Z3276" s="6"/>
      <c r="AA3276" s="7"/>
      <c r="AB3276" s="6"/>
      <c r="AC3276" s="6"/>
      <c r="AD3276" s="6"/>
      <c r="AE3276" s="12"/>
      <c r="AF3276" s="6"/>
      <c r="AG3276" s="12"/>
      <c r="AH3276" s="6"/>
      <c r="AI3276" s="6"/>
      <c r="AJ3276" s="12"/>
      <c r="AK3276" s="1"/>
      <c r="AL3276" s="12"/>
      <c r="AM3276" s="12"/>
      <c r="AN3276" s="1"/>
      <c r="AO3276" s="6"/>
    </row>
    <row r="3277" spans="1:41" ht="15" x14ac:dyDescent="0.25">
      <c r="A3277" s="1"/>
      <c r="B3277" s="1"/>
      <c r="C3277" s="1"/>
      <c r="D3277" s="1"/>
      <c r="E3277" s="6"/>
      <c r="F3277" s="1"/>
      <c r="G3277" s="6"/>
      <c r="H3277" s="6"/>
      <c r="I3277" s="6"/>
      <c r="J3277" s="6"/>
      <c r="K3277" s="6"/>
      <c r="L3277" s="6"/>
      <c r="M3277" s="6"/>
      <c r="N3277" s="6"/>
      <c r="O3277" s="7"/>
      <c r="P3277" s="6"/>
      <c r="Q3277" s="6"/>
      <c r="R3277" s="7"/>
      <c r="S3277" s="6"/>
      <c r="T3277" s="6"/>
      <c r="U3277" s="7"/>
      <c r="V3277" s="6"/>
      <c r="W3277" s="6"/>
      <c r="X3277" s="6"/>
      <c r="Y3277" s="6"/>
      <c r="Z3277" s="6"/>
      <c r="AA3277" s="7"/>
      <c r="AB3277" s="6"/>
      <c r="AC3277" s="6"/>
      <c r="AD3277" s="6"/>
      <c r="AE3277" s="12"/>
      <c r="AF3277" s="6"/>
      <c r="AG3277" s="12"/>
      <c r="AH3277" s="6"/>
      <c r="AI3277" s="6"/>
      <c r="AJ3277" s="12"/>
      <c r="AK3277" s="24"/>
      <c r="AL3277" s="25"/>
      <c r="AM3277" s="12"/>
      <c r="AN3277" s="1"/>
      <c r="AO3277" s="6"/>
    </row>
    <row r="3278" spans="1:41" ht="15" x14ac:dyDescent="0.25">
      <c r="A3278" s="1"/>
      <c r="B3278" s="1"/>
      <c r="C3278" s="1"/>
      <c r="D3278" s="1"/>
      <c r="E3278" s="6"/>
      <c r="F3278" s="1"/>
      <c r="G3278" s="6"/>
      <c r="H3278" s="6"/>
      <c r="I3278" s="6"/>
      <c r="J3278" s="6"/>
      <c r="K3278" s="6"/>
      <c r="L3278" s="6"/>
      <c r="M3278" s="6"/>
      <c r="N3278" s="6"/>
      <c r="O3278" s="7"/>
      <c r="P3278" s="6"/>
      <c r="Q3278" s="6"/>
      <c r="R3278" s="7"/>
      <c r="S3278" s="6"/>
      <c r="T3278" s="6"/>
      <c r="U3278" s="7"/>
      <c r="V3278" s="6"/>
      <c r="W3278" s="6"/>
      <c r="X3278" s="6"/>
      <c r="Y3278" s="6"/>
      <c r="Z3278" s="6"/>
      <c r="AA3278" s="7"/>
      <c r="AB3278" s="6"/>
      <c r="AC3278" s="6"/>
      <c r="AD3278" s="6"/>
      <c r="AE3278" s="12"/>
      <c r="AF3278" s="6"/>
      <c r="AG3278" s="12"/>
      <c r="AH3278" s="6"/>
      <c r="AI3278" s="6"/>
      <c r="AJ3278" s="12"/>
      <c r="AK3278" s="1"/>
      <c r="AL3278" s="12"/>
      <c r="AM3278" s="12"/>
      <c r="AN3278" s="1"/>
      <c r="AO3278" s="6"/>
    </row>
    <row r="3279" spans="1:41" ht="15" x14ac:dyDescent="0.25">
      <c r="A3279" s="1"/>
      <c r="B3279" s="1"/>
      <c r="C3279" s="1"/>
      <c r="D3279" s="1"/>
      <c r="E3279" s="6"/>
      <c r="F3279" s="1"/>
      <c r="G3279" s="6"/>
      <c r="H3279" s="6"/>
      <c r="I3279" s="6"/>
      <c r="J3279" s="6"/>
      <c r="K3279" s="6"/>
      <c r="L3279" s="6"/>
      <c r="M3279" s="6"/>
      <c r="N3279" s="6"/>
      <c r="O3279" s="7"/>
      <c r="P3279" s="6"/>
      <c r="Q3279" s="6"/>
      <c r="R3279" s="7"/>
      <c r="S3279" s="6"/>
      <c r="T3279" s="6"/>
      <c r="U3279" s="7"/>
      <c r="V3279" s="6"/>
      <c r="W3279" s="6"/>
      <c r="X3279" s="12"/>
      <c r="Y3279" s="6"/>
      <c r="Z3279" s="6"/>
      <c r="AA3279" s="7"/>
      <c r="AB3279" s="6"/>
      <c r="AC3279" s="6"/>
      <c r="AD3279" s="6"/>
      <c r="AE3279" s="12"/>
      <c r="AF3279" s="12"/>
      <c r="AG3279" s="12"/>
      <c r="AH3279" s="12"/>
      <c r="AI3279" s="6"/>
      <c r="AJ3279" s="12"/>
      <c r="AK3279" s="1"/>
      <c r="AL3279" s="12"/>
      <c r="AM3279" s="12"/>
      <c r="AN3279" s="1"/>
      <c r="AO3279" s="6"/>
    </row>
    <row r="3280" spans="1:41" ht="15" x14ac:dyDescent="0.25">
      <c r="A3280" s="1"/>
      <c r="B3280" s="1"/>
      <c r="C3280" s="1"/>
      <c r="D3280" s="1"/>
      <c r="E3280" s="6"/>
      <c r="F3280" s="1"/>
      <c r="G3280" s="6"/>
      <c r="H3280" s="6"/>
      <c r="I3280" s="6"/>
      <c r="J3280" s="6"/>
      <c r="K3280" s="12"/>
      <c r="L3280" s="12"/>
      <c r="M3280" s="6"/>
      <c r="N3280" s="6"/>
      <c r="O3280" s="7"/>
      <c r="P3280" s="6"/>
      <c r="Q3280" s="6"/>
      <c r="R3280" s="7"/>
      <c r="S3280" s="6"/>
      <c r="T3280" s="6"/>
      <c r="U3280" s="7"/>
      <c r="V3280" s="6"/>
      <c r="W3280" s="6"/>
      <c r="X3280" s="12"/>
      <c r="Y3280" s="6"/>
      <c r="Z3280" s="6"/>
      <c r="AA3280" s="7"/>
      <c r="AB3280" s="6"/>
      <c r="AC3280" s="6"/>
      <c r="AD3280" s="6"/>
      <c r="AE3280" s="12"/>
      <c r="AF3280" s="12"/>
      <c r="AG3280" s="12"/>
      <c r="AH3280" s="12"/>
      <c r="AI3280" s="6"/>
      <c r="AJ3280" s="12"/>
      <c r="AK3280" s="1"/>
      <c r="AL3280" s="12"/>
      <c r="AM3280" s="12"/>
      <c r="AN3280" s="1"/>
      <c r="AO3280" s="6"/>
    </row>
    <row r="3281" spans="1:41" ht="15" x14ac:dyDescent="0.25">
      <c r="A3281" s="1"/>
      <c r="B3281" s="1"/>
      <c r="C3281" s="1"/>
      <c r="D3281" s="1"/>
      <c r="E3281" s="6"/>
      <c r="F3281" s="1"/>
      <c r="G3281" s="6"/>
      <c r="H3281" s="6"/>
      <c r="I3281" s="6"/>
      <c r="J3281" s="6"/>
      <c r="K3281" s="6"/>
      <c r="L3281" s="6"/>
      <c r="M3281" s="6"/>
      <c r="N3281" s="6"/>
      <c r="O3281" s="7"/>
      <c r="P3281" s="6"/>
      <c r="Q3281" s="6"/>
      <c r="R3281" s="7"/>
      <c r="S3281" s="6"/>
      <c r="T3281" s="6"/>
      <c r="U3281" s="7"/>
      <c r="V3281" s="6"/>
      <c r="W3281" s="6"/>
      <c r="X3281" s="6"/>
      <c r="Y3281" s="6"/>
      <c r="Z3281" s="6"/>
      <c r="AA3281" s="7"/>
      <c r="AB3281" s="6"/>
      <c r="AC3281" s="6"/>
      <c r="AD3281" s="6"/>
      <c r="AE3281" s="12"/>
      <c r="AF3281" s="12"/>
      <c r="AG3281" s="12"/>
      <c r="AH3281" s="12"/>
      <c r="AI3281" s="6"/>
      <c r="AJ3281" s="12"/>
      <c r="AK3281" s="1"/>
      <c r="AL3281" s="12"/>
      <c r="AM3281" s="12"/>
      <c r="AN3281" s="1"/>
      <c r="AO3281" s="6"/>
    </row>
    <row r="3282" spans="1:41" ht="15" x14ac:dyDescent="0.25">
      <c r="A3282" s="1"/>
      <c r="B3282" s="1"/>
      <c r="C3282" s="1"/>
      <c r="D3282" s="1"/>
      <c r="E3282" s="6"/>
      <c r="F3282" s="1"/>
      <c r="G3282" s="6"/>
      <c r="H3282" s="6"/>
      <c r="I3282" s="6"/>
      <c r="J3282" s="6"/>
      <c r="K3282" s="6"/>
      <c r="L3282" s="6"/>
      <c r="M3282" s="6"/>
      <c r="N3282" s="6"/>
      <c r="O3282" s="7"/>
      <c r="P3282" s="6"/>
      <c r="Q3282" s="6"/>
      <c r="R3282" s="7"/>
      <c r="S3282" s="6"/>
      <c r="T3282" s="6"/>
      <c r="U3282" s="7"/>
      <c r="V3282" s="6"/>
      <c r="W3282" s="6"/>
      <c r="X3282" s="6"/>
      <c r="Y3282" s="6"/>
      <c r="Z3282" s="6"/>
      <c r="AA3282" s="7"/>
      <c r="AB3282" s="6"/>
      <c r="AC3282" s="6"/>
      <c r="AD3282" s="6"/>
      <c r="AE3282" s="12"/>
      <c r="AF3282" s="6"/>
      <c r="AG3282" s="12"/>
      <c r="AH3282" s="6"/>
      <c r="AI3282" s="6"/>
      <c r="AJ3282" s="12"/>
      <c r="AK3282" s="1"/>
      <c r="AL3282" s="12"/>
      <c r="AM3282" s="12"/>
      <c r="AN3282" s="1"/>
      <c r="AO3282" s="6"/>
    </row>
    <row r="3283" spans="1:41" ht="15" x14ac:dyDescent="0.25">
      <c r="A3283" s="1"/>
      <c r="B3283" s="1"/>
      <c r="C3283" s="1"/>
      <c r="D3283" s="1"/>
      <c r="E3283" s="6"/>
      <c r="F3283" s="1"/>
      <c r="G3283" s="6"/>
      <c r="H3283" s="6"/>
      <c r="I3283" s="6"/>
      <c r="J3283" s="6"/>
      <c r="K3283" s="6"/>
      <c r="L3283" s="6"/>
      <c r="M3283" s="6"/>
      <c r="N3283" s="6"/>
      <c r="O3283" s="7"/>
      <c r="P3283" s="6"/>
      <c r="Q3283" s="6"/>
      <c r="R3283" s="7"/>
      <c r="S3283" s="6"/>
      <c r="T3283" s="6"/>
      <c r="U3283" s="7"/>
      <c r="V3283" s="6"/>
      <c r="W3283" s="6"/>
      <c r="X3283" s="12"/>
      <c r="Y3283" s="6"/>
      <c r="Z3283" s="6"/>
      <c r="AA3283" s="7"/>
      <c r="AB3283" s="6"/>
      <c r="AC3283" s="6"/>
      <c r="AD3283" s="6"/>
      <c r="AE3283" s="12"/>
      <c r="AF3283" s="12"/>
      <c r="AG3283" s="12"/>
      <c r="AH3283" s="12"/>
      <c r="AI3283" s="6"/>
      <c r="AJ3283" s="12"/>
      <c r="AK3283" s="1"/>
      <c r="AL3283" s="12"/>
      <c r="AM3283" s="12"/>
      <c r="AN3283" s="1"/>
      <c r="AO3283" s="6"/>
    </row>
    <row r="3284" spans="1:41" ht="15" x14ac:dyDescent="0.25">
      <c r="A3284" s="1"/>
      <c r="B3284" s="1"/>
      <c r="C3284" s="1"/>
      <c r="D3284" s="1"/>
      <c r="E3284" s="6"/>
      <c r="F3284" s="1"/>
      <c r="G3284" s="6"/>
      <c r="H3284" s="6"/>
      <c r="I3284" s="6"/>
      <c r="J3284" s="6"/>
      <c r="K3284" s="6"/>
      <c r="L3284" s="6"/>
      <c r="M3284" s="6"/>
      <c r="N3284" s="6"/>
      <c r="O3284" s="7"/>
      <c r="P3284" s="6"/>
      <c r="Q3284" s="6"/>
      <c r="R3284" s="7"/>
      <c r="S3284" s="6"/>
      <c r="T3284" s="6"/>
      <c r="U3284" s="7"/>
      <c r="V3284" s="6"/>
      <c r="W3284" s="6"/>
      <c r="X3284" s="6"/>
      <c r="Y3284" s="6"/>
      <c r="Z3284" s="6"/>
      <c r="AA3284" s="7"/>
      <c r="AB3284" s="6"/>
      <c r="AC3284" s="6"/>
      <c r="AD3284" s="6"/>
      <c r="AE3284" s="12"/>
      <c r="AF3284" s="12"/>
      <c r="AG3284" s="12"/>
      <c r="AH3284" s="12"/>
      <c r="AI3284" s="6"/>
      <c r="AJ3284" s="12"/>
      <c r="AK3284" s="1"/>
      <c r="AL3284" s="12"/>
      <c r="AM3284" s="12"/>
      <c r="AN3284" s="1"/>
      <c r="AO3284" s="6"/>
    </row>
    <row r="3285" spans="1:41" ht="15" x14ac:dyDescent="0.25">
      <c r="A3285" s="1"/>
      <c r="B3285" s="1"/>
      <c r="C3285" s="1"/>
      <c r="D3285" s="1"/>
      <c r="E3285" s="6"/>
      <c r="F3285" s="1"/>
      <c r="G3285" s="6"/>
      <c r="H3285" s="6"/>
      <c r="I3285" s="6"/>
      <c r="J3285" s="6"/>
      <c r="K3285" s="6"/>
      <c r="L3285" s="6"/>
      <c r="M3285" s="6"/>
      <c r="N3285" s="6"/>
      <c r="O3285" s="7"/>
      <c r="P3285" s="6"/>
      <c r="Q3285" s="6"/>
      <c r="R3285" s="7"/>
      <c r="S3285" s="6"/>
      <c r="T3285" s="6"/>
      <c r="U3285" s="7"/>
      <c r="V3285" s="6"/>
      <c r="W3285" s="6"/>
      <c r="X3285" s="6"/>
      <c r="Y3285" s="6"/>
      <c r="Z3285" s="6"/>
      <c r="AA3285" s="7"/>
      <c r="AB3285" s="6"/>
      <c r="AC3285" s="6"/>
      <c r="AD3285" s="6"/>
      <c r="AE3285" s="12"/>
      <c r="AF3285" s="6"/>
      <c r="AG3285" s="12"/>
      <c r="AH3285" s="6"/>
      <c r="AI3285" s="6"/>
      <c r="AJ3285" s="12"/>
      <c r="AK3285" s="1"/>
      <c r="AL3285" s="12"/>
      <c r="AM3285" s="12"/>
      <c r="AN3285" s="1"/>
      <c r="AO3285" s="6"/>
    </row>
    <row r="3286" spans="1:41" ht="15" x14ac:dyDescent="0.25">
      <c r="A3286" s="1"/>
      <c r="B3286" s="1"/>
      <c r="C3286" s="1"/>
      <c r="D3286" s="1"/>
      <c r="E3286" s="6"/>
      <c r="F3286" s="1"/>
      <c r="G3286" s="6"/>
      <c r="H3286" s="6"/>
      <c r="I3286" s="6"/>
      <c r="J3286" s="6"/>
      <c r="K3286" s="6"/>
      <c r="L3286" s="6"/>
      <c r="M3286" s="6"/>
      <c r="N3286" s="6"/>
      <c r="O3286" s="7"/>
      <c r="P3286" s="6"/>
      <c r="Q3286" s="6"/>
      <c r="R3286" s="7"/>
      <c r="S3286" s="6"/>
      <c r="T3286" s="6"/>
      <c r="U3286" s="7"/>
      <c r="V3286" s="6"/>
      <c r="W3286" s="6"/>
      <c r="X3286" s="6"/>
      <c r="Y3286" s="6"/>
      <c r="Z3286" s="6"/>
      <c r="AA3286" s="7"/>
      <c r="AB3286" s="6"/>
      <c r="AC3286" s="6"/>
      <c r="AD3286" s="6"/>
      <c r="AE3286" s="12"/>
      <c r="AF3286" s="6"/>
      <c r="AG3286" s="12"/>
      <c r="AH3286" s="6"/>
      <c r="AI3286" s="6"/>
      <c r="AJ3286" s="12"/>
      <c r="AK3286" s="1"/>
      <c r="AL3286" s="12"/>
      <c r="AM3286" s="12"/>
      <c r="AN3286" s="1"/>
      <c r="AO3286" s="6"/>
    </row>
    <row r="3287" spans="1:41" ht="15" x14ac:dyDescent="0.25">
      <c r="A3287" s="1"/>
      <c r="B3287" s="1"/>
      <c r="C3287" s="1"/>
      <c r="D3287" s="1"/>
      <c r="E3287" s="6"/>
      <c r="F3287" s="1"/>
      <c r="G3287" s="6"/>
      <c r="H3287" s="6"/>
      <c r="I3287" s="6"/>
      <c r="J3287" s="6"/>
      <c r="K3287" s="6"/>
      <c r="L3287" s="6"/>
      <c r="M3287" s="6"/>
      <c r="N3287" s="6"/>
      <c r="O3287" s="7"/>
      <c r="P3287" s="6"/>
      <c r="Q3287" s="6"/>
      <c r="R3287" s="7"/>
      <c r="S3287" s="6"/>
      <c r="T3287" s="6"/>
      <c r="U3287" s="7"/>
      <c r="V3287" s="6"/>
      <c r="W3287" s="6"/>
      <c r="X3287" s="6"/>
      <c r="Y3287" s="6"/>
      <c r="Z3287" s="6"/>
      <c r="AA3287" s="7"/>
      <c r="AB3287" s="6"/>
      <c r="AC3287" s="6"/>
      <c r="AD3287" s="6"/>
      <c r="AE3287" s="12"/>
      <c r="AF3287" s="6"/>
      <c r="AG3287" s="12"/>
      <c r="AH3287" s="6"/>
      <c r="AI3287" s="6"/>
      <c r="AJ3287" s="12"/>
      <c r="AK3287" s="1"/>
      <c r="AL3287" s="12"/>
      <c r="AM3287" s="12"/>
      <c r="AN3287" s="1"/>
      <c r="AO3287" s="6"/>
    </row>
    <row r="3288" spans="1:41" ht="15" x14ac:dyDescent="0.25">
      <c r="A3288" s="1"/>
      <c r="B3288" s="1"/>
      <c r="C3288" s="1"/>
      <c r="D3288" s="1"/>
      <c r="E3288" s="6"/>
      <c r="F3288" s="1"/>
      <c r="G3288" s="6"/>
      <c r="H3288" s="6"/>
      <c r="I3288" s="6"/>
      <c r="J3288" s="6"/>
      <c r="K3288" s="6"/>
      <c r="L3288" s="6"/>
      <c r="M3288" s="6"/>
      <c r="N3288" s="6"/>
      <c r="O3288" s="7"/>
      <c r="P3288" s="6"/>
      <c r="Q3288" s="6"/>
      <c r="R3288" s="7"/>
      <c r="S3288" s="6"/>
      <c r="T3288" s="6"/>
      <c r="U3288" s="7"/>
      <c r="V3288" s="6"/>
      <c r="W3288" s="6"/>
      <c r="X3288" s="6"/>
      <c r="Y3288" s="6"/>
      <c r="Z3288" s="6"/>
      <c r="AA3288" s="7"/>
      <c r="AB3288" s="6"/>
      <c r="AC3288" s="6"/>
      <c r="AD3288" s="6"/>
      <c r="AE3288" s="12"/>
      <c r="AF3288" s="6"/>
      <c r="AG3288" s="12"/>
      <c r="AH3288" s="6"/>
      <c r="AI3288" s="6"/>
      <c r="AJ3288" s="12"/>
      <c r="AK3288" s="1"/>
      <c r="AL3288" s="12"/>
      <c r="AM3288" s="12"/>
      <c r="AN3288" s="1"/>
      <c r="AO3288" s="6"/>
    </row>
    <row r="3289" spans="1:41" ht="15" x14ac:dyDescent="0.25">
      <c r="A3289" s="1"/>
      <c r="B3289" s="1"/>
      <c r="C3289" s="1"/>
      <c r="D3289" s="1"/>
      <c r="E3289" s="6"/>
      <c r="F3289" s="1"/>
      <c r="G3289" s="6"/>
      <c r="H3289" s="6"/>
      <c r="I3289" s="6"/>
      <c r="J3289" s="6"/>
      <c r="K3289" s="6"/>
      <c r="L3289" s="6"/>
      <c r="M3289" s="6"/>
      <c r="N3289" s="6"/>
      <c r="O3289" s="7"/>
      <c r="P3289" s="6"/>
      <c r="Q3289" s="6"/>
      <c r="R3289" s="7"/>
      <c r="S3289" s="6"/>
      <c r="T3289" s="6"/>
      <c r="U3289" s="7"/>
      <c r="V3289" s="6"/>
      <c r="W3289" s="6"/>
      <c r="X3289" s="6"/>
      <c r="Y3289" s="6"/>
      <c r="Z3289" s="6"/>
      <c r="AA3289" s="7"/>
      <c r="AB3289" s="6"/>
      <c r="AC3289" s="6"/>
      <c r="AD3289" s="6"/>
      <c r="AE3289" s="12"/>
      <c r="AF3289" s="6"/>
      <c r="AG3289" s="12"/>
      <c r="AH3289" s="6"/>
      <c r="AI3289" s="6"/>
      <c r="AJ3289" s="12"/>
      <c r="AK3289" s="1"/>
      <c r="AL3289" s="12"/>
      <c r="AM3289" s="12"/>
      <c r="AN3289" s="1"/>
      <c r="AO3289" s="6"/>
    </row>
    <row r="3290" spans="1:41" ht="15" x14ac:dyDescent="0.25">
      <c r="A3290" s="1"/>
      <c r="B3290" s="1"/>
      <c r="C3290" s="1"/>
      <c r="D3290" s="1"/>
      <c r="E3290" s="6"/>
      <c r="F3290" s="1"/>
      <c r="G3290" s="6"/>
      <c r="H3290" s="6"/>
      <c r="I3290" s="6"/>
      <c r="J3290" s="6"/>
      <c r="K3290" s="6"/>
      <c r="L3290" s="6"/>
      <c r="M3290" s="6"/>
      <c r="N3290" s="6"/>
      <c r="O3290" s="7"/>
      <c r="P3290" s="6"/>
      <c r="Q3290" s="6"/>
      <c r="R3290" s="7"/>
      <c r="S3290" s="6"/>
      <c r="T3290" s="6"/>
      <c r="U3290" s="7"/>
      <c r="V3290" s="6"/>
      <c r="W3290" s="6"/>
      <c r="X3290" s="12"/>
      <c r="Y3290" s="6"/>
      <c r="Z3290" s="6"/>
      <c r="AA3290" s="7"/>
      <c r="AB3290" s="6"/>
      <c r="AC3290" s="6"/>
      <c r="AD3290" s="6"/>
      <c r="AE3290" s="12"/>
      <c r="AF3290" s="12"/>
      <c r="AG3290" s="12"/>
      <c r="AH3290" s="12"/>
      <c r="AI3290" s="6"/>
      <c r="AJ3290" s="12"/>
      <c r="AK3290" s="1"/>
      <c r="AL3290" s="12"/>
      <c r="AM3290" s="12"/>
      <c r="AN3290" s="1"/>
      <c r="AO3290" s="6"/>
    </row>
    <row r="3291" spans="1:41" ht="15" x14ac:dyDescent="0.25">
      <c r="A3291" s="1"/>
      <c r="B3291" s="1"/>
      <c r="C3291" s="1"/>
      <c r="D3291" s="1"/>
      <c r="E3291" s="6"/>
      <c r="F3291" s="1"/>
      <c r="G3291" s="6"/>
      <c r="H3291" s="6"/>
      <c r="I3291" s="6"/>
      <c r="J3291" s="6"/>
      <c r="K3291" s="6"/>
      <c r="L3291" s="6"/>
      <c r="M3291" s="6"/>
      <c r="N3291" s="6"/>
      <c r="O3291" s="7"/>
      <c r="P3291" s="6"/>
      <c r="Q3291" s="6"/>
      <c r="R3291" s="7"/>
      <c r="S3291" s="6"/>
      <c r="T3291" s="6"/>
      <c r="U3291" s="7"/>
      <c r="V3291" s="6"/>
      <c r="W3291" s="6"/>
      <c r="X3291" s="6"/>
      <c r="Y3291" s="6"/>
      <c r="Z3291" s="6"/>
      <c r="AA3291" s="7"/>
      <c r="AB3291" s="6"/>
      <c r="AC3291" s="6"/>
      <c r="AD3291" s="6"/>
      <c r="AE3291" s="12"/>
      <c r="AF3291" s="6"/>
      <c r="AG3291" s="12"/>
      <c r="AH3291" s="6"/>
      <c r="AI3291" s="6"/>
      <c r="AJ3291" s="12"/>
      <c r="AK3291" s="24"/>
      <c r="AL3291" s="25"/>
      <c r="AM3291" s="12"/>
      <c r="AN3291" s="1"/>
      <c r="AO3291" s="6"/>
    </row>
    <row r="3292" spans="1:41" ht="15" x14ac:dyDescent="0.25">
      <c r="A3292" s="1"/>
      <c r="B3292" s="1"/>
      <c r="C3292" s="1"/>
      <c r="D3292" s="1"/>
      <c r="E3292" s="6"/>
      <c r="F3292" s="1"/>
      <c r="G3292" s="6"/>
      <c r="H3292" s="6"/>
      <c r="I3292" s="6"/>
      <c r="J3292" s="6"/>
      <c r="K3292" s="6"/>
      <c r="L3292" s="6"/>
      <c r="M3292" s="6"/>
      <c r="N3292" s="6"/>
      <c r="O3292" s="7"/>
      <c r="P3292" s="12"/>
      <c r="Q3292" s="6"/>
      <c r="R3292" s="7"/>
      <c r="S3292" s="6"/>
      <c r="T3292" s="6"/>
      <c r="U3292" s="7"/>
      <c r="V3292" s="6"/>
      <c r="W3292" s="6"/>
      <c r="X3292" s="12"/>
      <c r="Y3292" s="6"/>
      <c r="Z3292" s="6"/>
      <c r="AA3292" s="7"/>
      <c r="AB3292" s="6"/>
      <c r="AC3292" s="6"/>
      <c r="AD3292" s="6"/>
      <c r="AE3292" s="12"/>
      <c r="AF3292" s="12"/>
      <c r="AG3292" s="12"/>
      <c r="AH3292" s="12"/>
      <c r="AI3292" s="6"/>
      <c r="AJ3292" s="12"/>
      <c r="AK3292" s="1"/>
      <c r="AL3292" s="12"/>
      <c r="AM3292" s="12"/>
      <c r="AN3292" s="1"/>
      <c r="AO3292" s="6"/>
    </row>
    <row r="3293" spans="1:41" ht="15" x14ac:dyDescent="0.25">
      <c r="A3293" s="1"/>
      <c r="B3293" s="1"/>
      <c r="C3293" s="1"/>
      <c r="D3293" s="1"/>
      <c r="E3293" s="6"/>
      <c r="F3293" s="1"/>
      <c r="G3293" s="6"/>
      <c r="H3293" s="6"/>
      <c r="I3293" s="6"/>
      <c r="J3293" s="6"/>
      <c r="K3293" s="6"/>
      <c r="L3293" s="6"/>
      <c r="M3293" s="6"/>
      <c r="N3293" s="6"/>
      <c r="O3293" s="7"/>
      <c r="P3293" s="6"/>
      <c r="Q3293" s="6"/>
      <c r="R3293" s="12"/>
      <c r="S3293" s="12"/>
      <c r="T3293" s="12"/>
      <c r="U3293" s="7"/>
      <c r="V3293" s="6"/>
      <c r="W3293" s="6"/>
      <c r="X3293" s="12"/>
      <c r="Y3293" s="6"/>
      <c r="Z3293" s="6"/>
      <c r="AA3293" s="7"/>
      <c r="AB3293" s="6"/>
      <c r="AC3293" s="6"/>
      <c r="AD3293" s="6"/>
      <c r="AE3293" s="12"/>
      <c r="AF3293" s="12"/>
      <c r="AG3293" s="12"/>
      <c r="AH3293" s="12"/>
      <c r="AI3293" s="6"/>
      <c r="AJ3293" s="12"/>
      <c r="AK3293" s="1"/>
      <c r="AL3293" s="12"/>
      <c r="AM3293" s="12"/>
      <c r="AN3293" s="1"/>
      <c r="AO3293" s="6"/>
    </row>
    <row r="3294" spans="1:41" ht="15" x14ac:dyDescent="0.25">
      <c r="A3294" s="1"/>
      <c r="B3294" s="1"/>
      <c r="C3294" s="1"/>
      <c r="D3294" s="1"/>
      <c r="E3294" s="6"/>
      <c r="F3294" s="1"/>
      <c r="G3294" s="6"/>
      <c r="H3294" s="6"/>
      <c r="I3294" s="6"/>
      <c r="J3294" s="6"/>
      <c r="K3294" s="6"/>
      <c r="L3294" s="6"/>
      <c r="M3294" s="6"/>
      <c r="N3294" s="6"/>
      <c r="O3294" s="7"/>
      <c r="P3294" s="6"/>
      <c r="Q3294" s="6"/>
      <c r="R3294" s="7"/>
      <c r="S3294" s="6"/>
      <c r="T3294" s="6"/>
      <c r="U3294" s="7"/>
      <c r="V3294" s="6"/>
      <c r="W3294" s="6"/>
      <c r="X3294" s="12"/>
      <c r="Y3294" s="6"/>
      <c r="Z3294" s="6"/>
      <c r="AA3294" s="7"/>
      <c r="AB3294" s="6"/>
      <c r="AC3294" s="6"/>
      <c r="AD3294" s="6"/>
      <c r="AE3294" s="12"/>
      <c r="AF3294" s="12"/>
      <c r="AG3294" s="12"/>
      <c r="AH3294" s="12"/>
      <c r="AI3294" s="6"/>
      <c r="AJ3294" s="12"/>
      <c r="AK3294" s="1"/>
      <c r="AL3294" s="12"/>
      <c r="AM3294" s="12"/>
      <c r="AN3294" s="1"/>
      <c r="AO3294" s="6"/>
    </row>
    <row r="3295" spans="1:41" ht="15" x14ac:dyDescent="0.25">
      <c r="A3295" s="1"/>
      <c r="B3295" s="1"/>
      <c r="C3295" s="1"/>
      <c r="D3295" s="1"/>
      <c r="E3295" s="6"/>
      <c r="F3295" s="1"/>
      <c r="G3295" s="6"/>
      <c r="H3295" s="6"/>
      <c r="I3295" s="6"/>
      <c r="J3295" s="6"/>
      <c r="K3295" s="6"/>
      <c r="L3295" s="6"/>
      <c r="M3295" s="6"/>
      <c r="N3295" s="6"/>
      <c r="O3295" s="7"/>
      <c r="P3295" s="6"/>
      <c r="Q3295" s="6"/>
      <c r="R3295" s="7"/>
      <c r="S3295" s="6"/>
      <c r="T3295" s="6"/>
      <c r="U3295" s="7"/>
      <c r="V3295" s="6"/>
      <c r="W3295" s="6"/>
      <c r="X3295" s="6"/>
      <c r="Y3295" s="6"/>
      <c r="Z3295" s="6"/>
      <c r="AA3295" s="7"/>
      <c r="AB3295" s="6"/>
      <c r="AC3295" s="6"/>
      <c r="AD3295" s="6"/>
      <c r="AE3295" s="12"/>
      <c r="AF3295" s="6"/>
      <c r="AG3295" s="12"/>
      <c r="AH3295" s="6"/>
      <c r="AI3295" s="6"/>
      <c r="AJ3295" s="12"/>
      <c r="AK3295" s="24"/>
      <c r="AL3295" s="25"/>
      <c r="AM3295" s="12"/>
      <c r="AN3295" s="1"/>
      <c r="AO3295" s="6"/>
    </row>
    <row r="3296" spans="1:41" ht="15" x14ac:dyDescent="0.25">
      <c r="A3296" s="1"/>
      <c r="B3296" s="1"/>
      <c r="C3296" s="1"/>
      <c r="D3296" s="1"/>
      <c r="E3296" s="6"/>
      <c r="F3296" s="1"/>
      <c r="G3296" s="6"/>
      <c r="H3296" s="6"/>
      <c r="I3296" s="6"/>
      <c r="J3296" s="6"/>
      <c r="K3296" s="6"/>
      <c r="L3296" s="6"/>
      <c r="M3296" s="6"/>
      <c r="N3296" s="6"/>
      <c r="O3296" s="7"/>
      <c r="P3296" s="6"/>
      <c r="Q3296" s="6"/>
      <c r="R3296" s="7"/>
      <c r="S3296" s="6"/>
      <c r="T3296" s="6"/>
      <c r="U3296" s="7"/>
      <c r="V3296" s="6"/>
      <c r="W3296" s="6"/>
      <c r="X3296" s="6"/>
      <c r="Y3296" s="6"/>
      <c r="Z3296" s="6"/>
      <c r="AA3296" s="7"/>
      <c r="AB3296" s="6"/>
      <c r="AC3296" s="6"/>
      <c r="AD3296" s="6"/>
      <c r="AE3296" s="12"/>
      <c r="AF3296" s="6"/>
      <c r="AG3296" s="12"/>
      <c r="AH3296" s="6"/>
      <c r="AI3296" s="6"/>
      <c r="AJ3296" s="12"/>
      <c r="AK3296" s="1"/>
      <c r="AL3296" s="12"/>
      <c r="AM3296" s="12"/>
      <c r="AN3296" s="1"/>
      <c r="AO3296" s="6"/>
    </row>
    <row r="3297" spans="1:41" ht="15" x14ac:dyDescent="0.25">
      <c r="A3297" s="1"/>
      <c r="B3297" s="1"/>
      <c r="C3297" s="1"/>
      <c r="D3297" s="1"/>
      <c r="E3297" s="6"/>
      <c r="F3297" s="1"/>
      <c r="G3297" s="6"/>
      <c r="H3297" s="6"/>
      <c r="I3297" s="6"/>
      <c r="J3297" s="6"/>
      <c r="K3297" s="12"/>
      <c r="L3297" s="12"/>
      <c r="M3297" s="6"/>
      <c r="N3297" s="6"/>
      <c r="O3297" s="7"/>
      <c r="P3297" s="6"/>
      <c r="Q3297" s="6"/>
      <c r="R3297" s="7"/>
      <c r="S3297" s="6"/>
      <c r="T3297" s="6"/>
      <c r="U3297" s="7"/>
      <c r="V3297" s="6"/>
      <c r="W3297" s="6"/>
      <c r="X3297" s="12"/>
      <c r="Y3297" s="6"/>
      <c r="Z3297" s="6"/>
      <c r="AA3297" s="7"/>
      <c r="AB3297" s="6"/>
      <c r="AC3297" s="6"/>
      <c r="AD3297" s="6"/>
      <c r="AE3297" s="12"/>
      <c r="AF3297" s="12"/>
      <c r="AG3297" s="12"/>
      <c r="AH3297" s="12"/>
      <c r="AI3297" s="6"/>
      <c r="AJ3297" s="12"/>
      <c r="AK3297" s="1"/>
      <c r="AL3297" s="12"/>
      <c r="AM3297" s="12"/>
      <c r="AN3297" s="1"/>
      <c r="AO3297" s="6"/>
    </row>
    <row r="3298" spans="1:41" ht="15" x14ac:dyDescent="0.25">
      <c r="A3298" s="1"/>
      <c r="B3298" s="1"/>
      <c r="C3298" s="1"/>
      <c r="D3298" s="1"/>
      <c r="E3298" s="6"/>
      <c r="F3298" s="1"/>
      <c r="G3298" s="6"/>
      <c r="H3298" s="6"/>
      <c r="I3298" s="6"/>
      <c r="J3298" s="6"/>
      <c r="K3298" s="6"/>
      <c r="L3298" s="6"/>
      <c r="M3298" s="6"/>
      <c r="N3298" s="6"/>
      <c r="O3298" s="7"/>
      <c r="P3298" s="6"/>
      <c r="Q3298" s="6"/>
      <c r="R3298" s="7"/>
      <c r="S3298" s="6"/>
      <c r="T3298" s="6"/>
      <c r="U3298" s="7"/>
      <c r="V3298" s="6"/>
      <c r="W3298" s="6"/>
      <c r="X3298" s="6"/>
      <c r="Y3298" s="6"/>
      <c r="Z3298" s="6"/>
      <c r="AA3298" s="7"/>
      <c r="AB3298" s="6"/>
      <c r="AC3298" s="6"/>
      <c r="AD3298" s="6"/>
      <c r="AE3298" s="12"/>
      <c r="AF3298" s="12"/>
      <c r="AG3298" s="12"/>
      <c r="AH3298" s="12"/>
      <c r="AI3298" s="6"/>
      <c r="AJ3298" s="12"/>
      <c r="AK3298" s="1"/>
      <c r="AL3298" s="12"/>
      <c r="AM3298" s="12"/>
      <c r="AN3298" s="1"/>
      <c r="AO3298" s="6"/>
    </row>
    <row r="3299" spans="1:41" ht="15" x14ac:dyDescent="0.25">
      <c r="A3299" s="1"/>
      <c r="B3299" s="1"/>
      <c r="C3299" s="1"/>
      <c r="D3299" s="1"/>
      <c r="E3299" s="6"/>
      <c r="F3299" s="1"/>
      <c r="G3299" s="6"/>
      <c r="H3299" s="6"/>
      <c r="I3299" s="6"/>
      <c r="J3299" s="6"/>
      <c r="K3299" s="6"/>
      <c r="L3299" s="6"/>
      <c r="M3299" s="6"/>
      <c r="N3299" s="6"/>
      <c r="O3299" s="7"/>
      <c r="P3299" s="12"/>
      <c r="Q3299" s="6"/>
      <c r="R3299" s="7"/>
      <c r="S3299" s="6"/>
      <c r="T3299" s="6"/>
      <c r="U3299" s="7"/>
      <c r="V3299" s="6"/>
      <c r="W3299" s="6"/>
      <c r="X3299" s="6"/>
      <c r="Y3299" s="6"/>
      <c r="Z3299" s="6"/>
      <c r="AA3299" s="7"/>
      <c r="AB3299" s="6"/>
      <c r="AC3299" s="6"/>
      <c r="AD3299" s="6"/>
      <c r="AE3299" s="12"/>
      <c r="AF3299" s="12"/>
      <c r="AG3299" s="12"/>
      <c r="AH3299" s="12"/>
      <c r="AI3299" s="6"/>
      <c r="AJ3299" s="12"/>
      <c r="AK3299" s="1"/>
      <c r="AL3299" s="12"/>
      <c r="AM3299" s="12"/>
      <c r="AN3299" s="1"/>
      <c r="AO3299" s="6"/>
    </row>
    <row r="3300" spans="1:41" ht="15" x14ac:dyDescent="0.25">
      <c r="A3300" s="1"/>
      <c r="B3300" s="1"/>
      <c r="C3300" s="1"/>
      <c r="D3300" s="1"/>
      <c r="E3300" s="6"/>
      <c r="F3300" s="1"/>
      <c r="G3300" s="6"/>
      <c r="H3300" s="6"/>
      <c r="I3300" s="6"/>
      <c r="J3300" s="6"/>
      <c r="K3300" s="6"/>
      <c r="L3300" s="6"/>
      <c r="M3300" s="6"/>
      <c r="N3300" s="6"/>
      <c r="O3300" s="7"/>
      <c r="P3300" s="6"/>
      <c r="Q3300" s="6"/>
      <c r="R3300" s="7"/>
      <c r="S3300" s="6"/>
      <c r="T3300" s="6"/>
      <c r="U3300" s="7"/>
      <c r="V3300" s="6"/>
      <c r="W3300" s="6"/>
      <c r="X3300" s="6"/>
      <c r="Y3300" s="6"/>
      <c r="Z3300" s="6"/>
      <c r="AA3300" s="7"/>
      <c r="AB3300" s="6"/>
      <c r="AC3300" s="6"/>
      <c r="AD3300" s="6"/>
      <c r="AE3300" s="12"/>
      <c r="AF3300" s="12"/>
      <c r="AG3300" s="12"/>
      <c r="AH3300" s="12"/>
      <c r="AI3300" s="6"/>
      <c r="AJ3300" s="12"/>
      <c r="AK3300" s="1"/>
      <c r="AL3300" s="12"/>
      <c r="AM3300" s="12"/>
      <c r="AN3300" s="1"/>
      <c r="AO3300" s="6"/>
    </row>
    <row r="3301" spans="1:41" ht="15" x14ac:dyDescent="0.25">
      <c r="A3301" s="1"/>
      <c r="B3301" s="1"/>
      <c r="C3301" s="1"/>
      <c r="D3301" s="1"/>
      <c r="E3301" s="6"/>
      <c r="F3301" s="1"/>
      <c r="G3301" s="6"/>
      <c r="H3301" s="6"/>
      <c r="I3301" s="6"/>
      <c r="J3301" s="6"/>
      <c r="K3301" s="6"/>
      <c r="L3301" s="6"/>
      <c r="M3301" s="6"/>
      <c r="N3301" s="6"/>
      <c r="O3301" s="7"/>
      <c r="P3301" s="6"/>
      <c r="Q3301" s="6"/>
      <c r="R3301" s="7"/>
      <c r="S3301" s="6"/>
      <c r="T3301" s="6"/>
      <c r="U3301" s="7"/>
      <c r="V3301" s="6"/>
      <c r="W3301" s="6"/>
      <c r="X3301" s="12"/>
      <c r="Y3301" s="6"/>
      <c r="Z3301" s="6"/>
      <c r="AA3301" s="7"/>
      <c r="AB3301" s="6"/>
      <c r="AC3301" s="6"/>
      <c r="AD3301" s="6"/>
      <c r="AE3301" s="12"/>
      <c r="AF3301" s="6"/>
      <c r="AG3301" s="12"/>
      <c r="AH3301" s="6"/>
      <c r="AI3301" s="6"/>
      <c r="AJ3301" s="12"/>
      <c r="AK3301" s="24"/>
      <c r="AL3301" s="25"/>
      <c r="AM3301" s="12"/>
      <c r="AN3301" s="1"/>
      <c r="AO3301" s="6"/>
    </row>
    <row r="3302" spans="1:41" ht="15" x14ac:dyDescent="0.25">
      <c r="A3302" s="1"/>
      <c r="B3302" s="1"/>
      <c r="C3302" s="1"/>
      <c r="D3302" s="1"/>
      <c r="E3302" s="6"/>
      <c r="F3302" s="1"/>
      <c r="G3302" s="6"/>
      <c r="H3302" s="6"/>
      <c r="I3302" s="6"/>
      <c r="J3302" s="6"/>
      <c r="K3302" s="6"/>
      <c r="L3302" s="6"/>
      <c r="M3302" s="6"/>
      <c r="N3302" s="6"/>
      <c r="O3302" s="7"/>
      <c r="P3302" s="6"/>
      <c r="Q3302" s="6"/>
      <c r="R3302" s="7"/>
      <c r="S3302" s="6"/>
      <c r="T3302" s="6"/>
      <c r="U3302" s="7"/>
      <c r="V3302" s="6"/>
      <c r="W3302" s="6"/>
      <c r="X3302" s="6"/>
      <c r="Y3302" s="6"/>
      <c r="Z3302" s="6"/>
      <c r="AA3302" s="7"/>
      <c r="AB3302" s="6"/>
      <c r="AC3302" s="6"/>
      <c r="AD3302" s="6"/>
      <c r="AE3302" s="12"/>
      <c r="AF3302" s="6"/>
      <c r="AG3302" s="12"/>
      <c r="AH3302" s="6"/>
      <c r="AI3302" s="6"/>
      <c r="AJ3302" s="12"/>
      <c r="AK3302" s="24"/>
      <c r="AL3302" s="25"/>
      <c r="AM3302" s="12"/>
      <c r="AN3302" s="1"/>
      <c r="AO3302" s="6"/>
    </row>
    <row r="3303" spans="1:41" ht="15" x14ac:dyDescent="0.25">
      <c r="A3303" s="1"/>
      <c r="B3303" s="1"/>
      <c r="C3303" s="1"/>
      <c r="D3303" s="1"/>
      <c r="E3303" s="6"/>
      <c r="F3303" s="1"/>
      <c r="G3303" s="6"/>
      <c r="H3303" s="6"/>
      <c r="I3303" s="6"/>
      <c r="J3303" s="6"/>
      <c r="K3303" s="6"/>
      <c r="L3303" s="6"/>
      <c r="M3303" s="6"/>
      <c r="N3303" s="6"/>
      <c r="O3303" s="7"/>
      <c r="P3303" s="6"/>
      <c r="Q3303" s="6"/>
      <c r="R3303" s="7"/>
      <c r="S3303" s="6"/>
      <c r="T3303" s="6"/>
      <c r="U3303" s="7"/>
      <c r="V3303" s="6"/>
      <c r="W3303" s="6"/>
      <c r="X3303" s="6"/>
      <c r="Y3303" s="6"/>
      <c r="Z3303" s="6"/>
      <c r="AA3303" s="7"/>
      <c r="AB3303" s="6"/>
      <c r="AC3303" s="6"/>
      <c r="AD3303" s="6"/>
      <c r="AE3303" s="12"/>
      <c r="AF3303" s="6"/>
      <c r="AG3303" s="12"/>
      <c r="AH3303" s="6"/>
      <c r="AI3303" s="6"/>
      <c r="AJ3303" s="12"/>
      <c r="AK3303" s="24"/>
      <c r="AL3303" s="25"/>
      <c r="AM3303" s="12"/>
      <c r="AN3303" s="1"/>
      <c r="AO3303" s="6"/>
    </row>
    <row r="3304" spans="1:41" ht="15" x14ac:dyDescent="0.25">
      <c r="A3304" s="1"/>
      <c r="B3304" s="1"/>
      <c r="C3304" s="1"/>
      <c r="D3304" s="1"/>
      <c r="E3304" s="6"/>
      <c r="F3304" s="1"/>
      <c r="G3304" s="6"/>
      <c r="H3304" s="6"/>
      <c r="I3304" s="6"/>
      <c r="J3304" s="6"/>
      <c r="K3304" s="6"/>
      <c r="L3304" s="6"/>
      <c r="M3304" s="6"/>
      <c r="N3304" s="6"/>
      <c r="O3304" s="7"/>
      <c r="P3304" s="6"/>
      <c r="Q3304" s="6"/>
      <c r="R3304" s="7"/>
      <c r="S3304" s="6"/>
      <c r="T3304" s="6"/>
      <c r="U3304" s="7"/>
      <c r="V3304" s="6"/>
      <c r="W3304" s="6"/>
      <c r="X3304" s="12"/>
      <c r="Y3304" s="6"/>
      <c r="Z3304" s="6"/>
      <c r="AA3304" s="7"/>
      <c r="AB3304" s="6"/>
      <c r="AC3304" s="6"/>
      <c r="AD3304" s="6"/>
      <c r="AE3304" s="12"/>
      <c r="AF3304" s="12"/>
      <c r="AG3304" s="12"/>
      <c r="AH3304" s="12"/>
      <c r="AI3304" s="6"/>
      <c r="AJ3304" s="12"/>
      <c r="AK3304" s="1"/>
      <c r="AL3304" s="12"/>
      <c r="AM3304" s="12"/>
      <c r="AN3304" s="1"/>
      <c r="AO3304" s="6"/>
    </row>
    <row r="3305" spans="1:41" ht="15" x14ac:dyDescent="0.25">
      <c r="A3305" s="1"/>
      <c r="B3305" s="1"/>
      <c r="C3305" s="1"/>
      <c r="D3305" s="1"/>
      <c r="E3305" s="6"/>
      <c r="F3305" s="1"/>
      <c r="G3305" s="6"/>
      <c r="H3305" s="6"/>
      <c r="I3305" s="6"/>
      <c r="J3305" s="6"/>
      <c r="K3305" s="6"/>
      <c r="L3305" s="6"/>
      <c r="M3305" s="6"/>
      <c r="N3305" s="6"/>
      <c r="O3305" s="7"/>
      <c r="P3305" s="6"/>
      <c r="Q3305" s="6"/>
      <c r="R3305" s="7"/>
      <c r="S3305" s="6"/>
      <c r="T3305" s="6"/>
      <c r="U3305" s="7"/>
      <c r="V3305" s="6"/>
      <c r="W3305" s="6"/>
      <c r="X3305" s="6"/>
      <c r="Y3305" s="6"/>
      <c r="Z3305" s="6"/>
      <c r="AA3305" s="7"/>
      <c r="AB3305" s="6"/>
      <c r="AC3305" s="6"/>
      <c r="AD3305" s="6"/>
      <c r="AE3305" s="12"/>
      <c r="AF3305" s="12"/>
      <c r="AG3305" s="12"/>
      <c r="AH3305" s="12"/>
      <c r="AI3305" s="6"/>
      <c r="AJ3305" s="12"/>
      <c r="AK3305" s="1"/>
      <c r="AL3305" s="12"/>
      <c r="AM3305" s="12"/>
      <c r="AN3305" s="1"/>
      <c r="AO3305" s="6"/>
    </row>
    <row r="3306" spans="1:41" ht="15" x14ac:dyDescent="0.25">
      <c r="A3306" s="1"/>
      <c r="B3306" s="1"/>
      <c r="C3306" s="1"/>
      <c r="D3306" s="1"/>
      <c r="E3306" s="6"/>
      <c r="F3306" s="1"/>
      <c r="G3306" s="6"/>
      <c r="H3306" s="6"/>
      <c r="I3306" s="6"/>
      <c r="J3306" s="6"/>
      <c r="K3306" s="6"/>
      <c r="L3306" s="6"/>
      <c r="M3306" s="6"/>
      <c r="N3306" s="6"/>
      <c r="O3306" s="7"/>
      <c r="P3306" s="6"/>
      <c r="Q3306" s="6"/>
      <c r="R3306" s="7"/>
      <c r="S3306" s="6"/>
      <c r="T3306" s="6"/>
      <c r="U3306" s="7"/>
      <c r="V3306" s="6"/>
      <c r="W3306" s="6"/>
      <c r="X3306" s="6"/>
      <c r="Y3306" s="6"/>
      <c r="Z3306" s="6"/>
      <c r="AA3306" s="7"/>
      <c r="AB3306" s="6"/>
      <c r="AC3306" s="6"/>
      <c r="AD3306" s="6"/>
      <c r="AE3306" s="12"/>
      <c r="AF3306" s="12"/>
      <c r="AG3306" s="12"/>
      <c r="AH3306" s="12"/>
      <c r="AI3306" s="6"/>
      <c r="AJ3306" s="12"/>
      <c r="AK3306" s="1"/>
      <c r="AL3306" s="12"/>
      <c r="AM3306" s="12"/>
      <c r="AN3306" s="1"/>
      <c r="AO3306" s="6"/>
    </row>
    <row r="3307" spans="1:41" ht="15" x14ac:dyDescent="0.25">
      <c r="A3307" s="1"/>
      <c r="B3307" s="1"/>
      <c r="C3307" s="1"/>
      <c r="D3307" s="1"/>
      <c r="E3307" s="6"/>
      <c r="F3307" s="1"/>
      <c r="G3307" s="6"/>
      <c r="H3307" s="6"/>
      <c r="I3307" s="6"/>
      <c r="J3307" s="6"/>
      <c r="K3307" s="6"/>
      <c r="L3307" s="6"/>
      <c r="M3307" s="6"/>
      <c r="N3307" s="6"/>
      <c r="O3307" s="7"/>
      <c r="P3307" s="6"/>
      <c r="Q3307" s="6"/>
      <c r="R3307" s="7"/>
      <c r="S3307" s="6"/>
      <c r="T3307" s="6"/>
      <c r="U3307" s="7"/>
      <c r="V3307" s="6"/>
      <c r="W3307" s="6"/>
      <c r="X3307" s="12"/>
      <c r="Y3307" s="6"/>
      <c r="Z3307" s="6"/>
      <c r="AA3307" s="7"/>
      <c r="AB3307" s="6"/>
      <c r="AC3307" s="6"/>
      <c r="AD3307" s="6"/>
      <c r="AE3307" s="12"/>
      <c r="AF3307" s="12"/>
      <c r="AG3307" s="12"/>
      <c r="AH3307" s="12"/>
      <c r="AI3307" s="6"/>
      <c r="AJ3307" s="12"/>
      <c r="AK3307" s="1"/>
      <c r="AL3307" s="12"/>
      <c r="AM3307" s="12"/>
      <c r="AN3307" s="1"/>
      <c r="AO3307" s="6"/>
    </row>
    <row r="3308" spans="1:41" ht="15" x14ac:dyDescent="0.25">
      <c r="A3308" s="1"/>
      <c r="B3308" s="1"/>
      <c r="C3308" s="1"/>
      <c r="D3308" s="1"/>
      <c r="E3308" s="6"/>
      <c r="F3308" s="1"/>
      <c r="G3308" s="6"/>
      <c r="H3308" s="6"/>
      <c r="I3308" s="6"/>
      <c r="J3308" s="6"/>
      <c r="K3308" s="6"/>
      <c r="L3308" s="6"/>
      <c r="M3308" s="6"/>
      <c r="N3308" s="6"/>
      <c r="O3308" s="7"/>
      <c r="P3308" s="6"/>
      <c r="Q3308" s="6"/>
      <c r="R3308" s="7"/>
      <c r="S3308" s="6"/>
      <c r="T3308" s="6"/>
      <c r="U3308" s="7"/>
      <c r="V3308" s="6"/>
      <c r="W3308" s="6"/>
      <c r="X3308" s="12"/>
      <c r="Y3308" s="6"/>
      <c r="Z3308" s="6"/>
      <c r="AA3308" s="7"/>
      <c r="AB3308" s="6"/>
      <c r="AC3308" s="6"/>
      <c r="AD3308" s="6"/>
      <c r="AE3308" s="12"/>
      <c r="AF3308" s="6"/>
      <c r="AG3308" s="12"/>
      <c r="AH3308" s="6"/>
      <c r="AI3308" s="6"/>
      <c r="AJ3308" s="12"/>
      <c r="AK3308" s="1"/>
      <c r="AL3308" s="12"/>
      <c r="AM3308" s="12"/>
      <c r="AN3308" s="1"/>
      <c r="AO3308" s="6"/>
    </row>
    <row r="3309" spans="1:41" ht="15" x14ac:dyDescent="0.25">
      <c r="A3309" s="1"/>
      <c r="B3309" s="1"/>
      <c r="C3309" s="1"/>
      <c r="D3309" s="1"/>
      <c r="E3309" s="6"/>
      <c r="F3309" s="1"/>
      <c r="G3309" s="6"/>
      <c r="H3309" s="6"/>
      <c r="I3309" s="6"/>
      <c r="J3309" s="6"/>
      <c r="K3309" s="6"/>
      <c r="L3309" s="6"/>
      <c r="M3309" s="6"/>
      <c r="N3309" s="6"/>
      <c r="O3309" s="7"/>
      <c r="P3309" s="6"/>
      <c r="Q3309" s="6"/>
      <c r="R3309" s="7"/>
      <c r="S3309" s="6"/>
      <c r="T3309" s="6"/>
      <c r="U3309" s="7"/>
      <c r="V3309" s="6"/>
      <c r="W3309" s="6"/>
      <c r="X3309" s="6"/>
      <c r="Y3309" s="6"/>
      <c r="Z3309" s="6"/>
      <c r="AA3309" s="7"/>
      <c r="AB3309" s="6"/>
      <c r="AC3309" s="6"/>
      <c r="AD3309" s="6"/>
      <c r="AE3309" s="12"/>
      <c r="AF3309" s="6"/>
      <c r="AG3309" s="12"/>
      <c r="AH3309" s="6"/>
      <c r="AI3309" s="6"/>
      <c r="AJ3309" s="12"/>
      <c r="AK3309" s="24"/>
      <c r="AL3309" s="25"/>
      <c r="AM3309" s="12"/>
      <c r="AN3309" s="1"/>
      <c r="AO3309" s="6"/>
    </row>
    <row r="3310" spans="1:41" ht="15" x14ac:dyDescent="0.25">
      <c r="A3310" s="1"/>
      <c r="B3310" s="1"/>
      <c r="C3310" s="1"/>
      <c r="D3310" s="1"/>
      <c r="E3310" s="6"/>
      <c r="F3310" s="1"/>
      <c r="G3310" s="6"/>
      <c r="H3310" s="6"/>
      <c r="I3310" s="6"/>
      <c r="J3310" s="6"/>
      <c r="K3310" s="12"/>
      <c r="L3310" s="12"/>
      <c r="M3310" s="6"/>
      <c r="N3310" s="6"/>
      <c r="O3310" s="7"/>
      <c r="P3310" s="6"/>
      <c r="Q3310" s="6"/>
      <c r="R3310" s="7"/>
      <c r="S3310" s="6"/>
      <c r="T3310" s="6"/>
      <c r="U3310" s="7"/>
      <c r="V3310" s="6"/>
      <c r="W3310" s="6"/>
      <c r="X3310" s="12"/>
      <c r="Y3310" s="6"/>
      <c r="Z3310" s="6"/>
      <c r="AA3310" s="7"/>
      <c r="AB3310" s="6"/>
      <c r="AC3310" s="6"/>
      <c r="AD3310" s="6"/>
      <c r="AE3310" s="12"/>
      <c r="AF3310" s="12"/>
      <c r="AG3310" s="12"/>
      <c r="AH3310" s="12"/>
      <c r="AI3310" s="6"/>
      <c r="AJ3310" s="12"/>
      <c r="AK3310" s="1"/>
      <c r="AL3310" s="12"/>
      <c r="AM3310" s="12"/>
      <c r="AN3310" s="1"/>
      <c r="AO3310" s="6"/>
    </row>
    <row r="3311" spans="1:41" ht="15" x14ac:dyDescent="0.25">
      <c r="A3311" s="1"/>
      <c r="B3311" s="1"/>
      <c r="C3311" s="1"/>
      <c r="D3311" s="1"/>
      <c r="E3311" s="6"/>
      <c r="F3311" s="1"/>
      <c r="G3311" s="6"/>
      <c r="H3311" s="6"/>
      <c r="I3311" s="6"/>
      <c r="J3311" s="6"/>
      <c r="K3311" s="6"/>
      <c r="L3311" s="6"/>
      <c r="M3311" s="6"/>
      <c r="N3311" s="6"/>
      <c r="O3311" s="7"/>
      <c r="P3311" s="6"/>
      <c r="Q3311" s="6"/>
      <c r="R3311" s="12"/>
      <c r="S3311" s="12"/>
      <c r="T3311" s="12"/>
      <c r="U3311" s="7"/>
      <c r="V3311" s="6"/>
      <c r="W3311" s="6"/>
      <c r="X3311" s="12"/>
      <c r="Y3311" s="6"/>
      <c r="Z3311" s="6"/>
      <c r="AA3311" s="7"/>
      <c r="AB3311" s="6"/>
      <c r="AC3311" s="6"/>
      <c r="AD3311" s="6"/>
      <c r="AE3311" s="12"/>
      <c r="AF3311" s="6"/>
      <c r="AG3311" s="12"/>
      <c r="AH3311" s="6"/>
      <c r="AI3311" s="6"/>
      <c r="AJ3311" s="12"/>
      <c r="AK3311" s="1"/>
      <c r="AL3311" s="12"/>
      <c r="AM3311" s="12"/>
      <c r="AN3311" s="1"/>
      <c r="AO3311" s="6"/>
    </row>
    <row r="3312" spans="1:41" ht="15" x14ac:dyDescent="0.25">
      <c r="A3312" s="1"/>
      <c r="B3312" s="1"/>
      <c r="C3312" s="1"/>
      <c r="D3312" s="1"/>
      <c r="E3312" s="6"/>
      <c r="F3312" s="1"/>
      <c r="G3312" s="6"/>
      <c r="H3312" s="6"/>
      <c r="I3312" s="6"/>
      <c r="J3312" s="6"/>
      <c r="K3312" s="6"/>
      <c r="L3312" s="6"/>
      <c r="M3312" s="6"/>
      <c r="N3312" s="6"/>
      <c r="O3312" s="7"/>
      <c r="P3312" s="6"/>
      <c r="Q3312" s="6"/>
      <c r="R3312" s="7"/>
      <c r="S3312" s="6"/>
      <c r="T3312" s="6"/>
      <c r="U3312" s="7"/>
      <c r="V3312" s="6"/>
      <c r="W3312" s="6"/>
      <c r="X3312" s="12"/>
      <c r="Y3312" s="6"/>
      <c r="Z3312" s="6"/>
      <c r="AA3312" s="7"/>
      <c r="AB3312" s="6"/>
      <c r="AC3312" s="6"/>
      <c r="AD3312" s="6"/>
      <c r="AE3312" s="12"/>
      <c r="AF3312" s="6"/>
      <c r="AG3312" s="12"/>
      <c r="AH3312" s="6"/>
      <c r="AI3312" s="6"/>
      <c r="AJ3312" s="12"/>
      <c r="AK3312" s="1"/>
      <c r="AL3312" s="12"/>
      <c r="AM3312" s="12"/>
      <c r="AN3312" s="1"/>
      <c r="AO3312" s="6"/>
    </row>
    <row r="3313" spans="1:41" ht="15" x14ac:dyDescent="0.25">
      <c r="A3313" s="1"/>
      <c r="B3313" s="1"/>
      <c r="C3313" s="1"/>
      <c r="D3313" s="1"/>
      <c r="E3313" s="6"/>
      <c r="F3313" s="1"/>
      <c r="G3313" s="6"/>
      <c r="H3313" s="6"/>
      <c r="I3313" s="6"/>
      <c r="J3313" s="6"/>
      <c r="K3313" s="12"/>
      <c r="L3313" s="12"/>
      <c r="M3313" s="6"/>
      <c r="N3313" s="6"/>
      <c r="O3313" s="7"/>
      <c r="P3313" s="6"/>
      <c r="Q3313" s="6"/>
      <c r="R3313" s="7"/>
      <c r="S3313" s="6"/>
      <c r="T3313" s="6"/>
      <c r="U3313" s="7"/>
      <c r="V3313" s="6"/>
      <c r="W3313" s="6"/>
      <c r="X3313" s="12"/>
      <c r="Y3313" s="6"/>
      <c r="Z3313" s="6"/>
      <c r="AA3313" s="7"/>
      <c r="AB3313" s="6"/>
      <c r="AC3313" s="6"/>
      <c r="AD3313" s="6"/>
      <c r="AE3313" s="12"/>
      <c r="AF3313" s="12"/>
      <c r="AG3313" s="12"/>
      <c r="AH3313" s="12"/>
      <c r="AI3313" s="6"/>
      <c r="AJ3313" s="12"/>
      <c r="AK3313" s="1"/>
      <c r="AL3313" s="12"/>
      <c r="AM3313" s="12"/>
      <c r="AN3313" s="1"/>
      <c r="AO3313" s="12"/>
    </row>
    <row r="3314" spans="1:41" ht="15" x14ac:dyDescent="0.25">
      <c r="A3314" s="1"/>
      <c r="B3314" s="1"/>
      <c r="C3314" s="1"/>
      <c r="D3314" s="1"/>
      <c r="E3314" s="6"/>
      <c r="F3314" s="1"/>
      <c r="G3314" s="6"/>
      <c r="H3314" s="6"/>
      <c r="I3314" s="6"/>
      <c r="J3314" s="6"/>
      <c r="K3314" s="6"/>
      <c r="L3314" s="6"/>
      <c r="M3314" s="6"/>
      <c r="N3314" s="6"/>
      <c r="O3314" s="7"/>
      <c r="P3314" s="6"/>
      <c r="Q3314" s="6"/>
      <c r="R3314" s="12"/>
      <c r="S3314" s="12"/>
      <c r="T3314" s="12"/>
      <c r="U3314" s="7"/>
      <c r="V3314" s="6"/>
      <c r="W3314" s="6"/>
      <c r="X3314" s="12"/>
      <c r="Y3314" s="6"/>
      <c r="Z3314" s="6"/>
      <c r="AA3314" s="7"/>
      <c r="AB3314" s="6"/>
      <c r="AC3314" s="6"/>
      <c r="AD3314" s="6"/>
      <c r="AE3314" s="12"/>
      <c r="AF3314" s="12"/>
      <c r="AG3314" s="12"/>
      <c r="AH3314" s="12"/>
      <c r="AI3314" s="6"/>
      <c r="AJ3314" s="12"/>
      <c r="AK3314" s="24"/>
      <c r="AL3314" s="25"/>
      <c r="AM3314" s="12"/>
      <c r="AN3314" s="1"/>
      <c r="AO3314" s="6"/>
    </row>
    <row r="3315" spans="1:41" ht="15" x14ac:dyDescent="0.25">
      <c r="A3315" s="1"/>
      <c r="B3315" s="1"/>
      <c r="C3315" s="1"/>
      <c r="D3315" s="1"/>
      <c r="E3315" s="6"/>
      <c r="F3315" s="1"/>
      <c r="G3315" s="6"/>
      <c r="H3315" s="6"/>
      <c r="I3315" s="6"/>
      <c r="J3315" s="6"/>
      <c r="K3315" s="6"/>
      <c r="L3315" s="6"/>
      <c r="M3315" s="6"/>
      <c r="N3315" s="6"/>
      <c r="O3315" s="7"/>
      <c r="P3315" s="6"/>
      <c r="Q3315" s="6"/>
      <c r="R3315" s="7"/>
      <c r="S3315" s="6"/>
      <c r="T3315" s="6"/>
      <c r="U3315" s="7"/>
      <c r="V3315" s="6"/>
      <c r="W3315" s="6"/>
      <c r="X3315" s="12"/>
      <c r="Y3315" s="6"/>
      <c r="Z3315" s="6"/>
      <c r="AA3315" s="7"/>
      <c r="AB3315" s="6"/>
      <c r="AC3315" s="6"/>
      <c r="AD3315" s="6"/>
      <c r="AE3315" s="12"/>
      <c r="AF3315" s="12"/>
      <c r="AG3315" s="12"/>
      <c r="AH3315" s="12"/>
      <c r="AI3315" s="6"/>
      <c r="AJ3315" s="12"/>
      <c r="AK3315" s="1"/>
      <c r="AL3315" s="12"/>
      <c r="AM3315" s="12"/>
      <c r="AN3315" s="1"/>
      <c r="AO3315" s="6"/>
    </row>
    <row r="3316" spans="1:41" ht="15" x14ac:dyDescent="0.25">
      <c r="A3316" s="1"/>
      <c r="B3316" s="1"/>
      <c r="C3316" s="1"/>
      <c r="D3316" s="1"/>
      <c r="E3316" s="6"/>
      <c r="F3316" s="1"/>
      <c r="G3316" s="6"/>
      <c r="H3316" s="6"/>
      <c r="I3316" s="6"/>
      <c r="J3316" s="6"/>
      <c r="K3316" s="6"/>
      <c r="L3316" s="6"/>
      <c r="M3316" s="6"/>
      <c r="N3316" s="6"/>
      <c r="O3316" s="7"/>
      <c r="P3316" s="6"/>
      <c r="Q3316" s="7"/>
      <c r="R3316" s="6"/>
      <c r="S3316" s="6"/>
      <c r="T3316" s="6"/>
      <c r="U3316" s="6"/>
      <c r="V3316" s="7"/>
      <c r="W3316" s="7"/>
      <c r="X3316" s="6"/>
      <c r="Y3316" s="6"/>
      <c r="Z3316" s="6"/>
      <c r="AA3316" s="1"/>
      <c r="AB3316" s="12"/>
      <c r="AC3316" s="12"/>
      <c r="AD3316" s="12"/>
      <c r="AE3316" s="12"/>
      <c r="AF3316" s="12"/>
      <c r="AG3316" s="12"/>
      <c r="AH3316" s="12"/>
      <c r="AI3316" s="6"/>
      <c r="AJ3316" s="12"/>
      <c r="AK3316" s="12"/>
      <c r="AL3316" s="12"/>
      <c r="AM3316" s="12"/>
      <c r="AN3316" s="1"/>
      <c r="AO3316" s="6"/>
    </row>
    <row r="3317" spans="1:41" ht="15" x14ac:dyDescent="0.25">
      <c r="A3317" s="1"/>
      <c r="B3317" s="1"/>
      <c r="C3317" s="1"/>
      <c r="D3317" s="1"/>
      <c r="E3317" s="6"/>
      <c r="F3317" s="1"/>
      <c r="G3317" s="6"/>
      <c r="H3317" s="6"/>
      <c r="I3317" s="6"/>
      <c r="J3317" s="6"/>
      <c r="K3317" s="6"/>
      <c r="L3317" s="6"/>
      <c r="M3317" s="6"/>
      <c r="N3317" s="6"/>
      <c r="O3317" s="7"/>
      <c r="P3317" s="6"/>
      <c r="Q3317" s="6"/>
      <c r="R3317" s="12"/>
      <c r="S3317" s="12"/>
      <c r="T3317" s="12"/>
      <c r="U3317" s="7"/>
      <c r="V3317" s="6"/>
      <c r="W3317" s="6"/>
      <c r="X3317" s="12"/>
      <c r="Y3317" s="6"/>
      <c r="Z3317" s="6"/>
      <c r="AA3317" s="7"/>
      <c r="AB3317" s="6"/>
      <c r="AC3317" s="6"/>
      <c r="AD3317" s="6"/>
      <c r="AE3317" s="12"/>
      <c r="AF3317" s="12"/>
      <c r="AG3317" s="12"/>
      <c r="AH3317" s="12"/>
      <c r="AI3317" s="6"/>
      <c r="AJ3317" s="12"/>
      <c r="AK3317" s="24"/>
      <c r="AL3317" s="25"/>
      <c r="AM3317" s="12"/>
      <c r="AN3317" s="1"/>
      <c r="AO3317" s="6"/>
    </row>
    <row r="3318" spans="1:41" ht="15" x14ac:dyDescent="0.25">
      <c r="A3318" s="1"/>
      <c r="B3318" s="1"/>
      <c r="C3318" s="1"/>
      <c r="D3318" s="1"/>
      <c r="E3318" s="6"/>
      <c r="F3318" s="1"/>
      <c r="G3318" s="6"/>
      <c r="H3318" s="6"/>
      <c r="I3318" s="6"/>
      <c r="J3318" s="6"/>
      <c r="K3318" s="6"/>
      <c r="L3318" s="6"/>
      <c r="M3318" s="6"/>
      <c r="N3318" s="6"/>
      <c r="O3318" s="7"/>
      <c r="P3318" s="6"/>
      <c r="Q3318" s="6"/>
      <c r="R3318" s="7"/>
      <c r="S3318" s="6"/>
      <c r="T3318" s="6"/>
      <c r="U3318" s="7"/>
      <c r="V3318" s="6"/>
      <c r="W3318" s="6"/>
      <c r="X3318" s="6"/>
      <c r="Y3318" s="6"/>
      <c r="Z3318" s="6"/>
      <c r="AA3318" s="7"/>
      <c r="AB3318" s="6"/>
      <c r="AC3318" s="6"/>
      <c r="AD3318" s="6"/>
      <c r="AE3318" s="12"/>
      <c r="AF3318" s="6"/>
      <c r="AG3318" s="12"/>
      <c r="AH3318" s="6"/>
      <c r="AI3318" s="6"/>
      <c r="AJ3318" s="12"/>
      <c r="AK3318" s="24"/>
      <c r="AL3318" s="25"/>
      <c r="AM3318" s="12"/>
      <c r="AN3318" s="1"/>
      <c r="AO3318" s="6"/>
    </row>
    <row r="3319" spans="1:41" ht="15" x14ac:dyDescent="0.25">
      <c r="A3319" s="1"/>
      <c r="B3319" s="1"/>
      <c r="C3319" s="1"/>
      <c r="D3319" s="1"/>
      <c r="E3319" s="6"/>
      <c r="F3319" s="1"/>
      <c r="G3319" s="6"/>
      <c r="H3319" s="6"/>
      <c r="I3319" s="6"/>
      <c r="J3319" s="6"/>
      <c r="K3319" s="6"/>
      <c r="L3319" s="6"/>
      <c r="M3319" s="6"/>
      <c r="N3319" s="6"/>
      <c r="O3319" s="7"/>
      <c r="P3319" s="6"/>
      <c r="Q3319" s="7"/>
      <c r="R3319" s="6"/>
      <c r="S3319" s="12"/>
      <c r="T3319" s="6"/>
      <c r="U3319" s="6"/>
      <c r="V3319" s="7"/>
      <c r="W3319" s="7"/>
      <c r="X3319" s="6"/>
      <c r="Y3319" s="6"/>
      <c r="Z3319" s="6"/>
      <c r="AA3319" s="1"/>
      <c r="AB3319" s="12"/>
      <c r="AC3319" s="12"/>
      <c r="AD3319" s="12"/>
      <c r="AE3319" s="12"/>
      <c r="AF3319" s="12"/>
      <c r="AG3319" s="12"/>
      <c r="AH3319" s="12"/>
      <c r="AI3319" s="6"/>
      <c r="AJ3319" s="12"/>
      <c r="AK3319" s="12"/>
      <c r="AL3319" s="12"/>
      <c r="AM3319" s="12"/>
      <c r="AN3319" s="1"/>
      <c r="AO3319" s="6"/>
    </row>
    <row r="3320" spans="1:41" ht="15" x14ac:dyDescent="0.25">
      <c r="A3320" s="1"/>
      <c r="B3320" s="1"/>
      <c r="C3320" s="1"/>
      <c r="D3320" s="1"/>
      <c r="E3320" s="6"/>
      <c r="F3320" s="1"/>
      <c r="G3320" s="6"/>
      <c r="H3320" s="6"/>
      <c r="I3320" s="6"/>
      <c r="J3320" s="6"/>
      <c r="K3320" s="6"/>
      <c r="L3320" s="6"/>
      <c r="M3320" s="6"/>
      <c r="N3320" s="6"/>
      <c r="O3320" s="7"/>
      <c r="P3320" s="6"/>
      <c r="Q3320" s="6"/>
      <c r="R3320" s="12"/>
      <c r="S3320" s="12"/>
      <c r="T3320" s="12"/>
      <c r="U3320" s="7"/>
      <c r="V3320" s="6"/>
      <c r="W3320" s="6"/>
      <c r="X3320" s="12"/>
      <c r="Y3320" s="6"/>
      <c r="Z3320" s="6"/>
      <c r="AA3320" s="7"/>
      <c r="AB3320" s="6"/>
      <c r="AC3320" s="6"/>
      <c r="AD3320" s="6"/>
      <c r="AE3320" s="12"/>
      <c r="AF3320" s="6"/>
      <c r="AG3320" s="12"/>
      <c r="AH3320" s="6"/>
      <c r="AI3320" s="6"/>
      <c r="AJ3320" s="12"/>
      <c r="AK3320" s="1"/>
      <c r="AL3320" s="12"/>
      <c r="AM3320" s="12"/>
      <c r="AN3320" s="1"/>
      <c r="AO3320" s="6"/>
    </row>
    <row r="3321" spans="1:41" ht="15" x14ac:dyDescent="0.25">
      <c r="A3321" s="1"/>
      <c r="B3321" s="1"/>
      <c r="C3321" s="1"/>
      <c r="D3321" s="1"/>
      <c r="E3321" s="6"/>
      <c r="F3321" s="1"/>
      <c r="G3321" s="6"/>
      <c r="H3321" s="6"/>
      <c r="I3321" s="6"/>
      <c r="J3321" s="6"/>
      <c r="K3321" s="6"/>
      <c r="L3321" s="6"/>
      <c r="M3321" s="6"/>
      <c r="N3321" s="6"/>
      <c r="O3321" s="7"/>
      <c r="P3321" s="6"/>
      <c r="Q3321" s="6"/>
      <c r="R3321" s="7"/>
      <c r="S3321" s="6"/>
      <c r="T3321" s="6"/>
      <c r="U3321" s="7"/>
      <c r="V3321" s="6"/>
      <c r="W3321" s="6"/>
      <c r="X3321" s="12"/>
      <c r="Y3321" s="6"/>
      <c r="Z3321" s="6"/>
      <c r="AA3321" s="7"/>
      <c r="AB3321" s="6"/>
      <c r="AC3321" s="6"/>
      <c r="AD3321" s="6"/>
      <c r="AE3321" s="12"/>
      <c r="AF3321" s="6"/>
      <c r="AG3321" s="12"/>
      <c r="AH3321" s="6"/>
      <c r="AI3321" s="6"/>
      <c r="AJ3321" s="12"/>
      <c r="AK3321" s="24"/>
      <c r="AL3321" s="25"/>
      <c r="AM3321" s="12"/>
      <c r="AN3321" s="1"/>
      <c r="AO3321" s="6"/>
    </row>
    <row r="3322" spans="1:41" ht="15" x14ac:dyDescent="0.25">
      <c r="A3322" s="1"/>
      <c r="B3322" s="1"/>
      <c r="C3322" s="1"/>
      <c r="D3322" s="1"/>
      <c r="E3322" s="6"/>
      <c r="F3322" s="1"/>
      <c r="G3322" s="6"/>
      <c r="H3322" s="6"/>
      <c r="I3322" s="6"/>
      <c r="J3322" s="6"/>
      <c r="K3322" s="6"/>
      <c r="L3322" s="6"/>
      <c r="M3322" s="6"/>
      <c r="N3322" s="6"/>
      <c r="O3322" s="7"/>
      <c r="P3322" s="6"/>
      <c r="Q3322" s="6"/>
      <c r="R3322" s="7"/>
      <c r="S3322" s="6"/>
      <c r="T3322" s="6"/>
      <c r="U3322" s="7"/>
      <c r="V3322" s="6"/>
      <c r="W3322" s="6"/>
      <c r="X3322" s="12"/>
      <c r="Y3322" s="6"/>
      <c r="Z3322" s="6"/>
      <c r="AA3322" s="7"/>
      <c r="AB3322" s="6"/>
      <c r="AC3322" s="6"/>
      <c r="AD3322" s="6"/>
      <c r="AE3322" s="12"/>
      <c r="AF3322" s="6"/>
      <c r="AG3322" s="12"/>
      <c r="AH3322" s="6"/>
      <c r="AI3322" s="6"/>
      <c r="AJ3322" s="12"/>
      <c r="AK3322" s="1"/>
      <c r="AL3322" s="12"/>
      <c r="AM3322" s="12"/>
      <c r="AN3322" s="1"/>
      <c r="AO3322" s="6"/>
    </row>
    <row r="3323" spans="1:41" ht="15" x14ac:dyDescent="0.25">
      <c r="A3323" s="1"/>
      <c r="B3323" s="1"/>
      <c r="C3323" s="1"/>
      <c r="D3323" s="1"/>
      <c r="E3323" s="6"/>
      <c r="F3323" s="1"/>
      <c r="G3323" s="6"/>
      <c r="H3323" s="6"/>
      <c r="I3323" s="6"/>
      <c r="J3323" s="6"/>
      <c r="K3323" s="6"/>
      <c r="L3323" s="6"/>
      <c r="M3323" s="6"/>
      <c r="N3323" s="6"/>
      <c r="O3323" s="7"/>
      <c r="P3323" s="12"/>
      <c r="Q3323" s="6"/>
      <c r="R3323" s="7"/>
      <c r="S3323" s="6"/>
      <c r="T3323" s="6"/>
      <c r="U3323" s="7"/>
      <c r="V3323" s="6"/>
      <c r="W3323" s="6"/>
      <c r="X3323" s="6"/>
      <c r="Y3323" s="6"/>
      <c r="Z3323" s="6"/>
      <c r="AA3323" s="7"/>
      <c r="AB3323" s="6"/>
      <c r="AC3323" s="6"/>
      <c r="AD3323" s="6"/>
      <c r="AE3323" s="12"/>
      <c r="AF3323" s="12"/>
      <c r="AG3323" s="12"/>
      <c r="AH3323" s="12"/>
      <c r="AI3323" s="6"/>
      <c r="AJ3323" s="12"/>
      <c r="AK3323" s="1"/>
      <c r="AL3323" s="12"/>
      <c r="AM3323" s="12"/>
      <c r="AN3323" s="1"/>
      <c r="AO3323" s="6"/>
    </row>
    <row r="3324" spans="1:41" ht="15" x14ac:dyDescent="0.25">
      <c r="A3324" s="1"/>
      <c r="B3324" s="1"/>
      <c r="C3324" s="1"/>
      <c r="D3324" s="1"/>
      <c r="E3324" s="6"/>
      <c r="F3324" s="1"/>
      <c r="G3324" s="6"/>
      <c r="H3324" s="6"/>
      <c r="I3324" s="6"/>
      <c r="J3324" s="6"/>
      <c r="K3324" s="6"/>
      <c r="L3324" s="6"/>
      <c r="M3324" s="6"/>
      <c r="N3324" s="6"/>
      <c r="O3324" s="7"/>
      <c r="P3324" s="6"/>
      <c r="Q3324" s="6"/>
      <c r="R3324" s="7"/>
      <c r="S3324" s="6"/>
      <c r="T3324" s="6"/>
      <c r="U3324" s="7"/>
      <c r="V3324" s="6"/>
      <c r="W3324" s="6"/>
      <c r="X3324" s="12"/>
      <c r="Y3324" s="6"/>
      <c r="Z3324" s="6"/>
      <c r="AA3324" s="7"/>
      <c r="AB3324" s="6"/>
      <c r="AC3324" s="6"/>
      <c r="AD3324" s="6"/>
      <c r="AE3324" s="12"/>
      <c r="AF3324" s="12"/>
      <c r="AG3324" s="12"/>
      <c r="AH3324" s="12"/>
      <c r="AI3324" s="6"/>
      <c r="AJ3324" s="12"/>
      <c r="AK3324" s="1"/>
      <c r="AL3324" s="12"/>
      <c r="AM3324" s="12"/>
      <c r="AN3324" s="1"/>
      <c r="AO3324" s="12"/>
    </row>
    <row r="3325" spans="1:41" ht="15" x14ac:dyDescent="0.25">
      <c r="A3325" s="1"/>
      <c r="B3325" s="1"/>
      <c r="C3325" s="1"/>
      <c r="D3325" s="1"/>
      <c r="E3325" s="6"/>
      <c r="F3325" s="1"/>
      <c r="G3325" s="6"/>
      <c r="H3325" s="6"/>
      <c r="I3325" s="6"/>
      <c r="J3325" s="6"/>
      <c r="K3325" s="6"/>
      <c r="L3325" s="6"/>
      <c r="M3325" s="6"/>
      <c r="N3325" s="6"/>
      <c r="O3325" s="7"/>
      <c r="P3325" s="6"/>
      <c r="Q3325" s="7"/>
      <c r="R3325" s="6"/>
      <c r="S3325" s="6"/>
      <c r="T3325" s="6"/>
      <c r="U3325" s="6"/>
      <c r="V3325" s="7"/>
      <c r="W3325" s="7"/>
      <c r="X3325" s="6"/>
      <c r="Y3325" s="6"/>
      <c r="Z3325" s="6"/>
      <c r="AA3325" s="1"/>
      <c r="AB3325" s="12"/>
      <c r="AC3325" s="12"/>
      <c r="AD3325" s="12"/>
      <c r="AE3325" s="12"/>
      <c r="AF3325" s="12"/>
      <c r="AG3325" s="12"/>
      <c r="AH3325" s="12"/>
      <c r="AI3325" s="6"/>
      <c r="AJ3325" s="12"/>
      <c r="AK3325" s="12"/>
      <c r="AL3325" s="12"/>
      <c r="AM3325" s="12"/>
      <c r="AN3325" s="1"/>
      <c r="AO3325" s="6"/>
    </row>
    <row r="3326" spans="1:41" ht="15" x14ac:dyDescent="0.25">
      <c r="A3326" s="1"/>
      <c r="B3326" s="1"/>
      <c r="C3326" s="1"/>
      <c r="D3326" s="1"/>
      <c r="E3326" s="6"/>
      <c r="F3326" s="1"/>
      <c r="G3326" s="6"/>
      <c r="H3326" s="6"/>
      <c r="I3326" s="6"/>
      <c r="J3326" s="6"/>
      <c r="K3326" s="6"/>
      <c r="L3326" s="6"/>
      <c r="M3326" s="6"/>
      <c r="N3326" s="6"/>
      <c r="O3326" s="7"/>
      <c r="P3326" s="12"/>
      <c r="Q3326" s="6"/>
      <c r="R3326" s="7"/>
      <c r="S3326" s="6"/>
      <c r="T3326" s="6"/>
      <c r="U3326" s="7"/>
      <c r="V3326" s="6"/>
      <c r="W3326" s="6"/>
      <c r="X3326" s="6"/>
      <c r="Y3326" s="6"/>
      <c r="Z3326" s="6"/>
      <c r="AA3326" s="7"/>
      <c r="AB3326" s="6"/>
      <c r="AC3326" s="6"/>
      <c r="AD3326" s="6"/>
      <c r="AE3326" s="12"/>
      <c r="AF3326" s="12"/>
      <c r="AG3326" s="12"/>
      <c r="AH3326" s="12"/>
      <c r="AI3326" s="6"/>
      <c r="AJ3326" s="12"/>
      <c r="AK3326" s="1"/>
      <c r="AL3326" s="12"/>
      <c r="AM3326" s="12"/>
      <c r="AN3326" s="1"/>
      <c r="AO3326" s="6"/>
    </row>
    <row r="3327" spans="1:41" ht="15" x14ac:dyDescent="0.25">
      <c r="A3327" s="1"/>
      <c r="B3327" s="1"/>
      <c r="C3327" s="1"/>
      <c r="D3327" s="1"/>
      <c r="E3327" s="6"/>
      <c r="F3327" s="1"/>
      <c r="G3327" s="6"/>
      <c r="H3327" s="6"/>
      <c r="I3327" s="6"/>
      <c r="J3327" s="6"/>
      <c r="K3327" s="12"/>
      <c r="L3327" s="12"/>
      <c r="M3327" s="6"/>
      <c r="N3327" s="6"/>
      <c r="O3327" s="7"/>
      <c r="P3327" s="6"/>
      <c r="Q3327" s="6"/>
      <c r="R3327" s="12"/>
      <c r="S3327" s="12"/>
      <c r="T3327" s="12"/>
      <c r="U3327" s="7"/>
      <c r="V3327" s="6"/>
      <c r="W3327" s="6"/>
      <c r="X3327" s="12"/>
      <c r="Y3327" s="6"/>
      <c r="Z3327" s="6"/>
      <c r="AA3327" s="7"/>
      <c r="AB3327" s="6"/>
      <c r="AC3327" s="6"/>
      <c r="AD3327" s="6"/>
      <c r="AE3327" s="12"/>
      <c r="AF3327" s="12"/>
      <c r="AG3327" s="12"/>
      <c r="AH3327" s="12"/>
      <c r="AI3327" s="6"/>
      <c r="AJ3327" s="12"/>
      <c r="AK3327" s="24"/>
      <c r="AL3327" s="25"/>
      <c r="AM3327" s="12"/>
      <c r="AN3327" s="1"/>
      <c r="AO3327" s="6"/>
    </row>
    <row r="3328" spans="1:41" ht="15" x14ac:dyDescent="0.25">
      <c r="A3328" s="1"/>
      <c r="B3328" s="1"/>
      <c r="C3328" s="1"/>
      <c r="D3328" s="1"/>
      <c r="E3328" s="6"/>
      <c r="F3328" s="1"/>
      <c r="G3328" s="6"/>
      <c r="H3328" s="6"/>
      <c r="I3328" s="6"/>
      <c r="J3328" s="6"/>
      <c r="K3328" s="6"/>
      <c r="L3328" s="6"/>
      <c r="M3328" s="6"/>
      <c r="N3328" s="6"/>
      <c r="O3328" s="7"/>
      <c r="P3328" s="6"/>
      <c r="Q3328" s="6"/>
      <c r="R3328" s="7"/>
      <c r="S3328" s="6"/>
      <c r="T3328" s="6"/>
      <c r="U3328" s="7"/>
      <c r="V3328" s="6"/>
      <c r="W3328" s="6"/>
      <c r="X3328" s="12"/>
      <c r="Y3328" s="6"/>
      <c r="Z3328" s="6"/>
      <c r="AA3328" s="7"/>
      <c r="AB3328" s="6"/>
      <c r="AC3328" s="6"/>
      <c r="AD3328" s="6"/>
      <c r="AE3328" s="12"/>
      <c r="AF3328" s="6"/>
      <c r="AG3328" s="12"/>
      <c r="AH3328" s="6"/>
      <c r="AI3328" s="6"/>
      <c r="AJ3328" s="12"/>
      <c r="AK3328" s="1"/>
      <c r="AL3328" s="12"/>
      <c r="AM3328" s="12"/>
      <c r="AN3328" s="1"/>
      <c r="AO3328" s="6"/>
    </row>
    <row r="3329" spans="1:41" ht="15" x14ac:dyDescent="0.25">
      <c r="A3329" s="1"/>
      <c r="B3329" s="1"/>
      <c r="C3329" s="1"/>
      <c r="D3329" s="1"/>
      <c r="E3329" s="6"/>
      <c r="F3329" s="1"/>
      <c r="G3329" s="6"/>
      <c r="H3329" s="6"/>
      <c r="I3329" s="6"/>
      <c r="J3329" s="6"/>
      <c r="K3329" s="6"/>
      <c r="L3329" s="6"/>
      <c r="M3329" s="6"/>
      <c r="N3329" s="6"/>
      <c r="O3329" s="7"/>
      <c r="P3329" s="6"/>
      <c r="Q3329" s="6"/>
      <c r="R3329" s="7"/>
      <c r="S3329" s="6"/>
      <c r="T3329" s="6"/>
      <c r="U3329" s="7"/>
      <c r="V3329" s="6"/>
      <c r="W3329" s="6"/>
      <c r="X3329" s="6"/>
      <c r="Y3329" s="6"/>
      <c r="Z3329" s="6"/>
      <c r="AA3329" s="7"/>
      <c r="AB3329" s="6"/>
      <c r="AC3329" s="6"/>
      <c r="AD3329" s="6"/>
      <c r="AE3329" s="12"/>
      <c r="AF3329" s="6"/>
      <c r="AG3329" s="12"/>
      <c r="AH3329" s="6"/>
      <c r="AI3329" s="6"/>
      <c r="AJ3329" s="12"/>
      <c r="AK3329" s="1"/>
      <c r="AL3329" s="12"/>
      <c r="AM3329" s="12"/>
      <c r="AN3329" s="1"/>
      <c r="AO3329" s="6"/>
    </row>
    <row r="3330" spans="1:41" ht="15" x14ac:dyDescent="0.25">
      <c r="A3330" s="1"/>
      <c r="B3330" s="1"/>
      <c r="C3330" s="1"/>
      <c r="D3330" s="1"/>
      <c r="E3330" s="6"/>
      <c r="F3330" s="1"/>
      <c r="G3330" s="6"/>
      <c r="H3330" s="6"/>
      <c r="I3330" s="6"/>
      <c r="J3330" s="6"/>
      <c r="K3330" s="6"/>
      <c r="L3330" s="6"/>
      <c r="M3330" s="6"/>
      <c r="N3330" s="6"/>
      <c r="O3330" s="7"/>
      <c r="P3330" s="6"/>
      <c r="Q3330" s="7"/>
      <c r="R3330" s="6"/>
      <c r="S3330" s="6"/>
      <c r="T3330" s="6"/>
      <c r="U3330" s="6"/>
      <c r="V3330" s="7"/>
      <c r="W3330" s="7"/>
      <c r="X3330" s="6"/>
      <c r="Y3330" s="6"/>
      <c r="Z3330" s="6"/>
      <c r="AA3330" s="1"/>
      <c r="AB3330" s="12"/>
      <c r="AC3330" s="12"/>
      <c r="AD3330" s="12"/>
      <c r="AE3330" s="12"/>
      <c r="AF3330" s="12"/>
      <c r="AG3330" s="12"/>
      <c r="AH3330" s="12"/>
      <c r="AI3330" s="6"/>
      <c r="AJ3330" s="12"/>
      <c r="AK3330" s="12"/>
      <c r="AL3330" s="12"/>
      <c r="AM3330" s="12"/>
      <c r="AN3330" s="1"/>
      <c r="AO3330" s="6"/>
    </row>
    <row r="3331" spans="1:41" ht="15" x14ac:dyDescent="0.25">
      <c r="A3331" s="1"/>
      <c r="B3331" s="1"/>
      <c r="C3331" s="1"/>
      <c r="D3331" s="1"/>
      <c r="E3331" s="6"/>
      <c r="F3331" s="1"/>
      <c r="G3331" s="6"/>
      <c r="H3331" s="6"/>
      <c r="I3331" s="6"/>
      <c r="J3331" s="6"/>
      <c r="K3331" s="6"/>
      <c r="L3331" s="6"/>
      <c r="M3331" s="6"/>
      <c r="N3331" s="6"/>
      <c r="O3331" s="7"/>
      <c r="P3331" s="6"/>
      <c r="Q3331" s="6"/>
      <c r="R3331" s="7"/>
      <c r="S3331" s="6"/>
      <c r="T3331" s="6"/>
      <c r="U3331" s="7"/>
      <c r="V3331" s="6"/>
      <c r="W3331" s="6"/>
      <c r="X3331" s="6"/>
      <c r="Y3331" s="6"/>
      <c r="Z3331" s="6"/>
      <c r="AA3331" s="7"/>
      <c r="AB3331" s="6"/>
      <c r="AC3331" s="6"/>
      <c r="AD3331" s="6"/>
      <c r="AE3331" s="12"/>
      <c r="AF3331" s="6"/>
      <c r="AG3331" s="12"/>
      <c r="AH3331" s="6"/>
      <c r="AI3331" s="6"/>
      <c r="AJ3331" s="12"/>
      <c r="AK3331" s="24"/>
      <c r="AL3331" s="25"/>
      <c r="AM3331" s="12"/>
      <c r="AN3331" s="1"/>
      <c r="AO3331" s="6"/>
    </row>
    <row r="3332" spans="1:41" ht="15" x14ac:dyDescent="0.25">
      <c r="A3332" s="1"/>
      <c r="B3332" s="1"/>
      <c r="C3332" s="1"/>
      <c r="D3332" s="1"/>
      <c r="E3332" s="6"/>
      <c r="F3332" s="1"/>
      <c r="G3332" s="6"/>
      <c r="H3332" s="6"/>
      <c r="I3332" s="6"/>
      <c r="J3332" s="6"/>
      <c r="K3332" s="6"/>
      <c r="L3332" s="6"/>
      <c r="M3332" s="6"/>
      <c r="N3332" s="6"/>
      <c r="O3332" s="7"/>
      <c r="P3332" s="6"/>
      <c r="Q3332" s="6"/>
      <c r="R3332" s="7"/>
      <c r="S3332" s="6"/>
      <c r="T3332" s="6"/>
      <c r="U3332" s="7"/>
      <c r="V3332" s="6"/>
      <c r="W3332" s="6"/>
      <c r="X3332" s="6"/>
      <c r="Y3332" s="6"/>
      <c r="Z3332" s="6"/>
      <c r="AA3332" s="7"/>
      <c r="AB3332" s="6"/>
      <c r="AC3332" s="6"/>
      <c r="AD3332" s="6"/>
      <c r="AE3332" s="12"/>
      <c r="AF3332" s="6"/>
      <c r="AG3332" s="12"/>
      <c r="AH3332" s="6"/>
      <c r="AI3332" s="6"/>
      <c r="AJ3332" s="12"/>
      <c r="AK3332" s="1"/>
      <c r="AL3332" s="12"/>
      <c r="AM3332" s="12"/>
      <c r="AN3332" s="1"/>
      <c r="AO3332" s="6"/>
    </row>
    <row r="3333" spans="1:41" ht="15" x14ac:dyDescent="0.25">
      <c r="A3333" s="1"/>
      <c r="B3333" s="1"/>
      <c r="C3333" s="1"/>
      <c r="D3333" s="1"/>
      <c r="E3333" s="6"/>
      <c r="F3333" s="1"/>
      <c r="G3333" s="6"/>
      <c r="H3333" s="6"/>
      <c r="I3333" s="6"/>
      <c r="J3333" s="6"/>
      <c r="K3333" s="6"/>
      <c r="L3333" s="6"/>
      <c r="M3333" s="6"/>
      <c r="N3333" s="6"/>
      <c r="O3333" s="7"/>
      <c r="P3333" s="6"/>
      <c r="Q3333" s="6"/>
      <c r="R3333" s="7"/>
      <c r="S3333" s="6"/>
      <c r="T3333" s="6"/>
      <c r="U3333" s="7"/>
      <c r="V3333" s="6"/>
      <c r="W3333" s="6"/>
      <c r="X3333" s="6"/>
      <c r="Y3333" s="6"/>
      <c r="Z3333" s="6"/>
      <c r="AA3333" s="7"/>
      <c r="AB3333" s="6"/>
      <c r="AC3333" s="6"/>
      <c r="AD3333" s="6"/>
      <c r="AE3333" s="12"/>
      <c r="AF3333" s="12"/>
      <c r="AG3333" s="12"/>
      <c r="AH3333" s="12"/>
      <c r="AI3333" s="6"/>
      <c r="AJ3333" s="12"/>
      <c r="AK3333" s="1"/>
      <c r="AL3333" s="12"/>
      <c r="AM3333" s="12"/>
      <c r="AN3333" s="1"/>
      <c r="AO3333" s="6"/>
    </row>
    <row r="3334" spans="1:41" ht="15" x14ac:dyDescent="0.25">
      <c r="A3334" s="1"/>
      <c r="B3334" s="1"/>
      <c r="C3334" s="1"/>
      <c r="D3334" s="1"/>
      <c r="E3334" s="6"/>
      <c r="F3334" s="1"/>
      <c r="G3334" s="6"/>
      <c r="H3334" s="6"/>
      <c r="I3334" s="6"/>
      <c r="J3334" s="6"/>
      <c r="K3334" s="6"/>
      <c r="L3334" s="6"/>
      <c r="M3334" s="6"/>
      <c r="N3334" s="6"/>
      <c r="O3334" s="7"/>
      <c r="P3334" s="6"/>
      <c r="Q3334" s="6"/>
      <c r="R3334" s="7"/>
      <c r="S3334" s="6"/>
      <c r="T3334" s="6"/>
      <c r="U3334" s="7"/>
      <c r="V3334" s="6"/>
      <c r="W3334" s="6"/>
      <c r="X3334" s="6"/>
      <c r="Y3334" s="6"/>
      <c r="Z3334" s="6"/>
      <c r="AA3334" s="7"/>
      <c r="AB3334" s="6"/>
      <c r="AC3334" s="6"/>
      <c r="AD3334" s="6"/>
      <c r="AE3334" s="12"/>
      <c r="AF3334" s="6"/>
      <c r="AG3334" s="12"/>
      <c r="AH3334" s="6"/>
      <c r="AI3334" s="6"/>
      <c r="AJ3334" s="12"/>
      <c r="AK3334" s="24"/>
      <c r="AL3334" s="25"/>
      <c r="AM3334" s="12"/>
      <c r="AN3334" s="1"/>
      <c r="AO3334" s="6"/>
    </row>
    <row r="3335" spans="1:41" ht="15" x14ac:dyDescent="0.25">
      <c r="A3335" s="1"/>
      <c r="B3335" s="1"/>
      <c r="C3335" s="1"/>
      <c r="D3335" s="1"/>
      <c r="E3335" s="6"/>
      <c r="F3335" s="1"/>
      <c r="G3335" s="6"/>
      <c r="H3335" s="6"/>
      <c r="I3335" s="6"/>
      <c r="J3335" s="6"/>
      <c r="K3335" s="12"/>
      <c r="L3335" s="12"/>
      <c r="M3335" s="6"/>
      <c r="N3335" s="6"/>
      <c r="O3335" s="7"/>
      <c r="P3335" s="6"/>
      <c r="Q3335" s="6"/>
      <c r="R3335" s="7"/>
      <c r="S3335" s="6"/>
      <c r="T3335" s="6"/>
      <c r="U3335" s="7"/>
      <c r="V3335" s="6"/>
      <c r="W3335" s="6"/>
      <c r="X3335" s="12"/>
      <c r="Y3335" s="6"/>
      <c r="Z3335" s="6"/>
      <c r="AA3335" s="7"/>
      <c r="AB3335" s="6"/>
      <c r="AC3335" s="6"/>
      <c r="AD3335" s="6"/>
      <c r="AE3335" s="12"/>
      <c r="AF3335" s="12"/>
      <c r="AG3335" s="12"/>
      <c r="AH3335" s="12"/>
      <c r="AI3335" s="6"/>
      <c r="AJ3335" s="12"/>
      <c r="AK3335" s="1"/>
      <c r="AL3335" s="12"/>
      <c r="AM3335" s="12"/>
      <c r="AN3335" s="1"/>
      <c r="AO3335" s="12"/>
    </row>
    <row r="3336" spans="1:41" ht="15" x14ac:dyDescent="0.25">
      <c r="A3336" s="1"/>
      <c r="B3336" s="1"/>
      <c r="C3336" s="1"/>
      <c r="D3336" s="1"/>
      <c r="E3336" s="6"/>
      <c r="F3336" s="1"/>
      <c r="G3336" s="6"/>
      <c r="H3336" s="6"/>
      <c r="I3336" s="6"/>
      <c r="J3336" s="6"/>
      <c r="K3336" s="6"/>
      <c r="L3336" s="6"/>
      <c r="M3336" s="6"/>
      <c r="N3336" s="6"/>
      <c r="O3336" s="7"/>
      <c r="P3336" s="6"/>
      <c r="Q3336" s="6"/>
      <c r="R3336" s="7"/>
      <c r="S3336" s="6"/>
      <c r="T3336" s="6"/>
      <c r="U3336" s="7"/>
      <c r="V3336" s="6"/>
      <c r="W3336" s="6"/>
      <c r="X3336" s="6"/>
      <c r="Y3336" s="6"/>
      <c r="Z3336" s="6"/>
      <c r="AA3336" s="7"/>
      <c r="AB3336" s="6"/>
      <c r="AC3336" s="6"/>
      <c r="AD3336" s="6"/>
      <c r="AE3336" s="12"/>
      <c r="AF3336" s="6"/>
      <c r="AG3336" s="12"/>
      <c r="AH3336" s="6"/>
      <c r="AI3336" s="6"/>
      <c r="AJ3336" s="12"/>
      <c r="AK3336" s="1"/>
      <c r="AL3336" s="12"/>
      <c r="AM3336" s="12"/>
      <c r="AN3336" s="1"/>
      <c r="AO3336" s="6"/>
    </row>
    <row r="3337" spans="1:41" ht="15" x14ac:dyDescent="0.25">
      <c r="A3337" s="1"/>
      <c r="B3337" s="1"/>
      <c r="C3337" s="1"/>
      <c r="D3337" s="1"/>
      <c r="E3337" s="6"/>
      <c r="F3337" s="1"/>
      <c r="G3337" s="6"/>
      <c r="H3337" s="6"/>
      <c r="I3337" s="6"/>
      <c r="J3337" s="6"/>
      <c r="K3337" s="6"/>
      <c r="L3337" s="6"/>
      <c r="M3337" s="6"/>
      <c r="N3337" s="6"/>
      <c r="O3337" s="7"/>
      <c r="P3337" s="6"/>
      <c r="Q3337" s="7"/>
      <c r="R3337" s="6"/>
      <c r="S3337" s="12"/>
      <c r="T3337" s="6"/>
      <c r="U3337" s="6"/>
      <c r="V3337" s="7"/>
      <c r="W3337" s="7"/>
      <c r="X3337" s="6"/>
      <c r="Y3337" s="6"/>
      <c r="Z3337" s="6"/>
      <c r="AA3337" s="1"/>
      <c r="AB3337" s="12"/>
      <c r="AC3337" s="12"/>
      <c r="AD3337" s="12"/>
      <c r="AE3337" s="12"/>
      <c r="AF3337" s="12"/>
      <c r="AG3337" s="12"/>
      <c r="AH3337" s="12"/>
      <c r="AI3337" s="6"/>
      <c r="AJ3337" s="12"/>
      <c r="AK3337" s="12"/>
      <c r="AL3337" s="12"/>
      <c r="AM3337" s="12"/>
      <c r="AN3337" s="1"/>
      <c r="AO3337" s="6"/>
    </row>
    <row r="3338" spans="1:41" ht="15" x14ac:dyDescent="0.25">
      <c r="A3338" s="1"/>
      <c r="B3338" s="1"/>
      <c r="C3338" s="1"/>
      <c r="D3338" s="1"/>
      <c r="E3338" s="6"/>
      <c r="F3338" s="1"/>
      <c r="G3338" s="6"/>
      <c r="H3338" s="6"/>
      <c r="I3338" s="6"/>
      <c r="J3338" s="6"/>
      <c r="K3338" s="6"/>
      <c r="L3338" s="6"/>
      <c r="M3338" s="6"/>
      <c r="N3338" s="6"/>
      <c r="O3338" s="7"/>
      <c r="P3338" s="6"/>
      <c r="Q3338" s="6"/>
      <c r="R3338" s="7"/>
      <c r="S3338" s="6"/>
      <c r="T3338" s="6"/>
      <c r="U3338" s="7"/>
      <c r="V3338" s="6"/>
      <c r="W3338" s="6"/>
      <c r="X3338" s="6"/>
      <c r="Y3338" s="6"/>
      <c r="Z3338" s="6"/>
      <c r="AA3338" s="7"/>
      <c r="AB3338" s="6"/>
      <c r="AC3338" s="6"/>
      <c r="AD3338" s="6"/>
      <c r="AE3338" s="12"/>
      <c r="AF3338" s="6"/>
      <c r="AG3338" s="12"/>
      <c r="AH3338" s="6"/>
      <c r="AI3338" s="6"/>
      <c r="AJ3338" s="12"/>
      <c r="AK3338" s="1"/>
      <c r="AL3338" s="12"/>
      <c r="AM3338" s="12"/>
      <c r="AN3338" s="1"/>
      <c r="AO3338" s="6"/>
    </row>
    <row r="3339" spans="1:41" ht="15" x14ac:dyDescent="0.25">
      <c r="A3339" s="1"/>
      <c r="B3339" s="1"/>
      <c r="C3339" s="1"/>
      <c r="D3339" s="1"/>
      <c r="E3339" s="6"/>
      <c r="F3339" s="1"/>
      <c r="G3339" s="6"/>
      <c r="H3339" s="6"/>
      <c r="I3339" s="6"/>
      <c r="J3339" s="6"/>
      <c r="K3339" s="6"/>
      <c r="L3339" s="6"/>
      <c r="M3339" s="6"/>
      <c r="N3339" s="6"/>
      <c r="O3339" s="7"/>
      <c r="P3339" s="6"/>
      <c r="Q3339" s="6"/>
      <c r="R3339" s="7"/>
      <c r="S3339" s="6"/>
      <c r="T3339" s="6"/>
      <c r="U3339" s="7"/>
      <c r="V3339" s="6"/>
      <c r="W3339" s="6"/>
      <c r="X3339" s="6"/>
      <c r="Y3339" s="6"/>
      <c r="Z3339" s="6"/>
      <c r="AA3339" s="7"/>
      <c r="AB3339" s="6"/>
      <c r="AC3339" s="6"/>
      <c r="AD3339" s="6"/>
      <c r="AE3339" s="12"/>
      <c r="AF3339" s="12"/>
      <c r="AG3339" s="12"/>
      <c r="AH3339" s="12"/>
      <c r="AI3339" s="6"/>
      <c r="AJ3339" s="12"/>
      <c r="AK3339" s="1"/>
      <c r="AL3339" s="12"/>
      <c r="AM3339" s="12"/>
      <c r="AN3339" s="1"/>
      <c r="AO3339" s="6"/>
    </row>
    <row r="3340" spans="1:41" ht="15" x14ac:dyDescent="0.25">
      <c r="A3340" s="1"/>
      <c r="B3340" s="1"/>
      <c r="C3340" s="1"/>
      <c r="D3340" s="1"/>
      <c r="E3340" s="6"/>
      <c r="F3340" s="1"/>
      <c r="G3340" s="6"/>
      <c r="H3340" s="6"/>
      <c r="I3340" s="6"/>
      <c r="J3340" s="6"/>
      <c r="K3340" s="6"/>
      <c r="L3340" s="6"/>
      <c r="M3340" s="6"/>
      <c r="N3340" s="6"/>
      <c r="O3340" s="7"/>
      <c r="P3340" s="6"/>
      <c r="Q3340" s="6"/>
      <c r="R3340" s="7"/>
      <c r="S3340" s="6"/>
      <c r="T3340" s="6"/>
      <c r="U3340" s="7"/>
      <c r="V3340" s="6"/>
      <c r="W3340" s="6"/>
      <c r="X3340" s="12"/>
      <c r="Y3340" s="6"/>
      <c r="Z3340" s="6"/>
      <c r="AA3340" s="7"/>
      <c r="AB3340" s="6"/>
      <c r="AC3340" s="6"/>
      <c r="AD3340" s="6"/>
      <c r="AE3340" s="12"/>
      <c r="AF3340" s="6"/>
      <c r="AG3340" s="12"/>
      <c r="AH3340" s="6"/>
      <c r="AI3340" s="6"/>
      <c r="AJ3340" s="12"/>
      <c r="AK3340" s="24"/>
      <c r="AL3340" s="25"/>
      <c r="AM3340" s="12"/>
      <c r="AN3340" s="1"/>
      <c r="AO3340" s="6"/>
    </row>
    <row r="3341" spans="1:41" ht="15" x14ac:dyDescent="0.25">
      <c r="A3341" s="1"/>
      <c r="B3341" s="1"/>
      <c r="C3341" s="1"/>
      <c r="D3341" s="1"/>
      <c r="E3341" s="6"/>
      <c r="F3341" s="1"/>
      <c r="G3341" s="6"/>
      <c r="H3341" s="6"/>
      <c r="I3341" s="6"/>
      <c r="J3341" s="6"/>
      <c r="K3341" s="12"/>
      <c r="L3341" s="12"/>
      <c r="M3341" s="6"/>
      <c r="N3341" s="6"/>
      <c r="O3341" s="7"/>
      <c r="P3341" s="6"/>
      <c r="Q3341" s="6"/>
      <c r="R3341" s="7"/>
      <c r="S3341" s="6"/>
      <c r="T3341" s="6"/>
      <c r="U3341" s="7"/>
      <c r="V3341" s="6"/>
      <c r="W3341" s="6"/>
      <c r="X3341" s="6"/>
      <c r="Y3341" s="6"/>
      <c r="Z3341" s="6"/>
      <c r="AA3341" s="7"/>
      <c r="AB3341" s="6"/>
      <c r="AC3341" s="6"/>
      <c r="AD3341" s="6"/>
      <c r="AE3341" s="12"/>
      <c r="AF3341" s="12"/>
      <c r="AG3341" s="12"/>
      <c r="AH3341" s="12"/>
      <c r="AI3341" s="6"/>
      <c r="AJ3341" s="12"/>
      <c r="AK3341" s="1"/>
      <c r="AL3341" s="12"/>
      <c r="AM3341" s="12"/>
      <c r="AN3341" s="1"/>
      <c r="AO3341" s="6"/>
    </row>
    <row r="3342" spans="1:41" ht="15" x14ac:dyDescent="0.25">
      <c r="A3342" s="1"/>
      <c r="B3342" s="1"/>
      <c r="C3342" s="1"/>
      <c r="D3342" s="1"/>
      <c r="E3342" s="6"/>
      <c r="F3342" s="1"/>
      <c r="G3342" s="6"/>
      <c r="H3342" s="6"/>
      <c r="I3342" s="6"/>
      <c r="J3342" s="6"/>
      <c r="K3342" s="12"/>
      <c r="L3342" s="12"/>
      <c r="M3342" s="6"/>
      <c r="N3342" s="6"/>
      <c r="O3342" s="7"/>
      <c r="P3342" s="6"/>
      <c r="Q3342" s="6"/>
      <c r="R3342" s="7"/>
      <c r="S3342" s="6"/>
      <c r="T3342" s="6"/>
      <c r="U3342" s="7"/>
      <c r="V3342" s="6"/>
      <c r="W3342" s="6"/>
      <c r="X3342" s="12"/>
      <c r="Y3342" s="6"/>
      <c r="Z3342" s="6"/>
      <c r="AA3342" s="7"/>
      <c r="AB3342" s="6"/>
      <c r="AC3342" s="6"/>
      <c r="AD3342" s="6"/>
      <c r="AE3342" s="12"/>
      <c r="AF3342" s="12"/>
      <c r="AG3342" s="12"/>
      <c r="AH3342" s="12"/>
      <c r="AI3342" s="6"/>
      <c r="AJ3342" s="12"/>
      <c r="AK3342" s="1"/>
      <c r="AL3342" s="12"/>
      <c r="AM3342" s="12"/>
      <c r="AN3342" s="1"/>
      <c r="AO3342" s="6"/>
    </row>
    <row r="3343" spans="1:41" ht="15" x14ac:dyDescent="0.25">
      <c r="A3343" s="1"/>
      <c r="B3343" s="1"/>
      <c r="C3343" s="1"/>
      <c r="D3343" s="1"/>
      <c r="E3343" s="6"/>
      <c r="F3343" s="1"/>
      <c r="G3343" s="6"/>
      <c r="H3343" s="6"/>
      <c r="I3343" s="6"/>
      <c r="J3343" s="6"/>
      <c r="K3343" s="6"/>
      <c r="L3343" s="6"/>
      <c r="M3343" s="6"/>
      <c r="N3343" s="6"/>
      <c r="O3343" s="7"/>
      <c r="P3343" s="6"/>
      <c r="Q3343" s="6"/>
      <c r="R3343" s="7"/>
      <c r="S3343" s="6"/>
      <c r="T3343" s="6"/>
      <c r="U3343" s="7"/>
      <c r="V3343" s="6"/>
      <c r="W3343" s="6"/>
      <c r="X3343" s="6"/>
      <c r="Y3343" s="6"/>
      <c r="Z3343" s="6"/>
      <c r="AA3343" s="7"/>
      <c r="AB3343" s="6"/>
      <c r="AC3343" s="6"/>
      <c r="AD3343" s="6"/>
      <c r="AE3343" s="12"/>
      <c r="AF3343" s="6"/>
      <c r="AG3343" s="12"/>
      <c r="AH3343" s="6"/>
      <c r="AI3343" s="6"/>
      <c r="AJ3343" s="12"/>
      <c r="AK3343" s="24"/>
      <c r="AL3343" s="25"/>
      <c r="AM3343" s="12"/>
      <c r="AN3343" s="1"/>
      <c r="AO3343" s="6"/>
    </row>
    <row r="3344" spans="1:41" ht="15" x14ac:dyDescent="0.25">
      <c r="A3344" s="1"/>
      <c r="B3344" s="1"/>
      <c r="C3344" s="1"/>
      <c r="D3344" s="1"/>
      <c r="E3344" s="6"/>
      <c r="F3344" s="1"/>
      <c r="G3344" s="6"/>
      <c r="H3344" s="6"/>
      <c r="I3344" s="6"/>
      <c r="J3344" s="6"/>
      <c r="K3344" s="6"/>
      <c r="L3344" s="6"/>
      <c r="M3344" s="6"/>
      <c r="N3344" s="6"/>
      <c r="O3344" s="7"/>
      <c r="P3344" s="6"/>
      <c r="Q3344" s="6"/>
      <c r="R3344" s="7"/>
      <c r="S3344" s="6"/>
      <c r="T3344" s="6"/>
      <c r="U3344" s="7"/>
      <c r="V3344" s="6"/>
      <c r="W3344" s="6"/>
      <c r="X3344" s="12"/>
      <c r="Y3344" s="6"/>
      <c r="Z3344" s="6"/>
      <c r="AA3344" s="7"/>
      <c r="AB3344" s="6"/>
      <c r="AC3344" s="6"/>
      <c r="AD3344" s="6"/>
      <c r="AE3344" s="12"/>
      <c r="AF3344" s="12"/>
      <c r="AG3344" s="12"/>
      <c r="AH3344" s="12"/>
      <c r="AI3344" s="6"/>
      <c r="AJ3344" s="12"/>
      <c r="AK3344" s="1"/>
      <c r="AL3344" s="12"/>
      <c r="AM3344" s="12"/>
      <c r="AN3344" s="1"/>
      <c r="AO3344" s="6"/>
    </row>
    <row r="3345" spans="1:41" ht="15" x14ac:dyDescent="0.25">
      <c r="A3345" s="1"/>
      <c r="B3345" s="1"/>
      <c r="C3345" s="1"/>
      <c r="D3345" s="1"/>
      <c r="E3345" s="6"/>
      <c r="F3345" s="1"/>
      <c r="G3345" s="6"/>
      <c r="H3345" s="6"/>
      <c r="I3345" s="6"/>
      <c r="J3345" s="6"/>
      <c r="K3345" s="6"/>
      <c r="L3345" s="6"/>
      <c r="M3345" s="6"/>
      <c r="N3345" s="6"/>
      <c r="O3345" s="7"/>
      <c r="P3345" s="6"/>
      <c r="Q3345" s="6"/>
      <c r="R3345" s="7"/>
      <c r="S3345" s="6"/>
      <c r="T3345" s="6"/>
      <c r="U3345" s="7"/>
      <c r="V3345" s="6"/>
      <c r="W3345" s="6"/>
      <c r="X3345" s="12"/>
      <c r="Y3345" s="6"/>
      <c r="Z3345" s="6"/>
      <c r="AA3345" s="7"/>
      <c r="AB3345" s="6"/>
      <c r="AC3345" s="6"/>
      <c r="AD3345" s="6"/>
      <c r="AE3345" s="12"/>
      <c r="AF3345" s="6"/>
      <c r="AG3345" s="12"/>
      <c r="AH3345" s="6"/>
      <c r="AI3345" s="6"/>
      <c r="AJ3345" s="12"/>
      <c r="AK3345" s="1"/>
      <c r="AL3345" s="12"/>
      <c r="AM3345" s="12"/>
      <c r="AN3345" s="1"/>
      <c r="AO3345" s="6"/>
    </row>
    <row r="3346" spans="1:41" ht="15" x14ac:dyDescent="0.25">
      <c r="A3346" s="1"/>
      <c r="B3346" s="1"/>
      <c r="C3346" s="1"/>
      <c r="D3346" s="1"/>
      <c r="E3346" s="6"/>
      <c r="F3346" s="1"/>
      <c r="G3346" s="6"/>
      <c r="H3346" s="6"/>
      <c r="I3346" s="6"/>
      <c r="J3346" s="6"/>
      <c r="K3346" s="6"/>
      <c r="L3346" s="6"/>
      <c r="M3346" s="6"/>
      <c r="N3346" s="6"/>
      <c r="O3346" s="7"/>
      <c r="P3346" s="6"/>
      <c r="Q3346" s="6"/>
      <c r="R3346" s="7"/>
      <c r="S3346" s="6"/>
      <c r="T3346" s="6"/>
      <c r="U3346" s="7"/>
      <c r="V3346" s="6"/>
      <c r="W3346" s="6"/>
      <c r="X3346" s="6"/>
      <c r="Y3346" s="6"/>
      <c r="Z3346" s="6"/>
      <c r="AA3346" s="7"/>
      <c r="AB3346" s="6"/>
      <c r="AC3346" s="6"/>
      <c r="AD3346" s="6"/>
      <c r="AE3346" s="12"/>
      <c r="AF3346" s="12"/>
      <c r="AG3346" s="12"/>
      <c r="AH3346" s="12"/>
      <c r="AI3346" s="6"/>
      <c r="AJ3346" s="12"/>
      <c r="AK3346" s="1"/>
      <c r="AL3346" s="12"/>
      <c r="AM3346" s="12"/>
      <c r="AN3346" s="1"/>
      <c r="AO3346" s="6"/>
    </row>
    <row r="3347" spans="1:41" ht="15" x14ac:dyDescent="0.25">
      <c r="A3347" s="1"/>
      <c r="B3347" s="1"/>
      <c r="C3347" s="1"/>
      <c r="D3347" s="1"/>
      <c r="E3347" s="6"/>
      <c r="F3347" s="1"/>
      <c r="G3347" s="6"/>
      <c r="H3347" s="6"/>
      <c r="I3347" s="6"/>
      <c r="J3347" s="6"/>
      <c r="K3347" s="6"/>
      <c r="L3347" s="6"/>
      <c r="M3347" s="6"/>
      <c r="N3347" s="6"/>
      <c r="O3347" s="7"/>
      <c r="P3347" s="6"/>
      <c r="Q3347" s="7"/>
      <c r="R3347" s="6"/>
      <c r="S3347" s="6"/>
      <c r="T3347" s="6"/>
      <c r="U3347" s="6"/>
      <c r="V3347" s="7"/>
      <c r="W3347" s="6"/>
      <c r="X3347" s="6"/>
      <c r="Y3347" s="6"/>
      <c r="Z3347" s="6"/>
      <c r="AA3347" s="24"/>
      <c r="AB3347" s="25"/>
      <c r="AC3347" s="12"/>
      <c r="AD3347" s="12"/>
      <c r="AE3347" s="12"/>
      <c r="AF3347" s="6"/>
      <c r="AG3347" s="12"/>
      <c r="AH3347" s="6"/>
      <c r="AI3347" s="6"/>
      <c r="AJ3347" s="12"/>
      <c r="AK3347" s="12"/>
      <c r="AL3347" s="12"/>
      <c r="AM3347" s="12"/>
      <c r="AN3347" s="1"/>
      <c r="AO3347" s="6"/>
    </row>
    <row r="3348" spans="1:41" ht="15" x14ac:dyDescent="0.25">
      <c r="A3348" s="1"/>
      <c r="B3348" s="1"/>
      <c r="C3348" s="1"/>
      <c r="D3348" s="1"/>
      <c r="E3348" s="6"/>
      <c r="F3348" s="1"/>
      <c r="G3348" s="6"/>
      <c r="H3348" s="6"/>
      <c r="I3348" s="6"/>
      <c r="J3348" s="6"/>
      <c r="K3348" s="6"/>
      <c r="L3348" s="6"/>
      <c r="M3348" s="6"/>
      <c r="N3348" s="6"/>
      <c r="O3348" s="7"/>
      <c r="P3348" s="6"/>
      <c r="Q3348" s="6"/>
      <c r="R3348" s="7"/>
      <c r="S3348" s="6"/>
      <c r="T3348" s="6"/>
      <c r="U3348" s="7"/>
      <c r="V3348" s="6"/>
      <c r="W3348" s="6"/>
      <c r="X3348" s="12"/>
      <c r="Y3348" s="6"/>
      <c r="Z3348" s="6"/>
      <c r="AA3348" s="7"/>
      <c r="AB3348" s="6"/>
      <c r="AC3348" s="6"/>
      <c r="AD3348" s="6"/>
      <c r="AE3348" s="12"/>
      <c r="AF3348" s="12"/>
      <c r="AG3348" s="12"/>
      <c r="AH3348" s="12"/>
      <c r="AI3348" s="6"/>
      <c r="AJ3348" s="12"/>
      <c r="AK3348" s="1"/>
      <c r="AL3348" s="12"/>
      <c r="AM3348" s="12"/>
      <c r="AN3348" s="1"/>
      <c r="AO3348" s="6"/>
    </row>
    <row r="3349" spans="1:41" ht="15" x14ac:dyDescent="0.25">
      <c r="A3349" s="1"/>
      <c r="B3349" s="1"/>
      <c r="C3349" s="1"/>
      <c r="D3349" s="1"/>
      <c r="E3349" s="6"/>
      <c r="F3349" s="1"/>
      <c r="G3349" s="6"/>
      <c r="H3349" s="6"/>
      <c r="I3349" s="6"/>
      <c r="J3349" s="6"/>
      <c r="K3349" s="6"/>
      <c r="L3349" s="6"/>
      <c r="M3349" s="6"/>
      <c r="N3349" s="6"/>
      <c r="O3349" s="7"/>
      <c r="P3349" s="6"/>
      <c r="Q3349" s="6"/>
      <c r="R3349" s="7"/>
      <c r="S3349" s="6"/>
      <c r="T3349" s="6"/>
      <c r="U3349" s="7"/>
      <c r="V3349" s="6"/>
      <c r="W3349" s="6"/>
      <c r="X3349" s="6"/>
      <c r="Y3349" s="6"/>
      <c r="Z3349" s="6"/>
      <c r="AA3349" s="7"/>
      <c r="AB3349" s="6"/>
      <c r="AC3349" s="6"/>
      <c r="AD3349" s="6"/>
      <c r="AE3349" s="12"/>
      <c r="AF3349" s="6"/>
      <c r="AG3349" s="12"/>
      <c r="AH3349" s="6"/>
      <c r="AI3349" s="6"/>
      <c r="AJ3349" s="12"/>
      <c r="AK3349" s="24"/>
      <c r="AL3349" s="25"/>
      <c r="AM3349" s="12"/>
      <c r="AN3349" s="1"/>
      <c r="AO3349" s="6"/>
    </row>
    <row r="3350" spans="1:41" ht="15" x14ac:dyDescent="0.25">
      <c r="A3350" s="1"/>
      <c r="B3350" s="1"/>
      <c r="C3350" s="1"/>
      <c r="D3350" s="1"/>
      <c r="E3350" s="6"/>
      <c r="F3350" s="1"/>
      <c r="G3350" s="6"/>
      <c r="H3350" s="6"/>
      <c r="I3350" s="6"/>
      <c r="J3350" s="6"/>
      <c r="K3350" s="6"/>
      <c r="L3350" s="6"/>
      <c r="M3350" s="6"/>
      <c r="N3350" s="6"/>
      <c r="O3350" s="7"/>
      <c r="P3350" s="6"/>
      <c r="Q3350" s="6"/>
      <c r="R3350" s="7"/>
      <c r="S3350" s="6"/>
      <c r="T3350" s="6"/>
      <c r="U3350" s="7"/>
      <c r="V3350" s="6"/>
      <c r="W3350" s="6"/>
      <c r="X3350" s="12"/>
      <c r="Y3350" s="6"/>
      <c r="Z3350" s="6"/>
      <c r="AA3350" s="7"/>
      <c r="AB3350" s="6"/>
      <c r="AC3350" s="6"/>
      <c r="AD3350" s="6"/>
      <c r="AE3350" s="12"/>
      <c r="AF3350" s="12"/>
      <c r="AG3350" s="12"/>
      <c r="AH3350" s="12"/>
      <c r="AI3350" s="6"/>
      <c r="AJ3350" s="12"/>
      <c r="AK3350" s="1"/>
      <c r="AL3350" s="12"/>
      <c r="AM3350" s="12"/>
      <c r="AN3350" s="1"/>
      <c r="AO3350" s="6"/>
    </row>
    <row r="3351" spans="1:41" ht="15" x14ac:dyDescent="0.25">
      <c r="A3351" s="1"/>
      <c r="B3351" s="1"/>
      <c r="C3351" s="1"/>
      <c r="D3351" s="1"/>
      <c r="E3351" s="6"/>
      <c r="F3351" s="1"/>
      <c r="G3351" s="6"/>
      <c r="H3351" s="6"/>
      <c r="I3351" s="6"/>
      <c r="J3351" s="6"/>
      <c r="K3351" s="12"/>
      <c r="L3351" s="12"/>
      <c r="M3351" s="6"/>
      <c r="N3351" s="6"/>
      <c r="O3351" s="7"/>
      <c r="P3351" s="6"/>
      <c r="Q3351" s="6"/>
      <c r="R3351" s="7"/>
      <c r="S3351" s="6"/>
      <c r="T3351" s="6"/>
      <c r="U3351" s="7"/>
      <c r="V3351" s="6"/>
      <c r="W3351" s="6"/>
      <c r="X3351" s="12"/>
      <c r="Y3351" s="6"/>
      <c r="Z3351" s="6"/>
      <c r="AA3351" s="7"/>
      <c r="AB3351" s="6"/>
      <c r="AC3351" s="6"/>
      <c r="AD3351" s="6"/>
      <c r="AE3351" s="12"/>
      <c r="AF3351" s="12"/>
      <c r="AG3351" s="12"/>
      <c r="AH3351" s="12"/>
      <c r="AI3351" s="6"/>
      <c r="AJ3351" s="12"/>
      <c r="AK3351" s="1"/>
      <c r="AL3351" s="12"/>
      <c r="AM3351" s="12"/>
      <c r="AN3351" s="1"/>
      <c r="AO3351" s="6"/>
    </row>
    <row r="3352" spans="1:41" ht="15" x14ac:dyDescent="0.25">
      <c r="A3352" s="1"/>
      <c r="B3352" s="1"/>
      <c r="C3352" s="1"/>
      <c r="D3352" s="1"/>
      <c r="E3352" s="6"/>
      <c r="F3352" s="1"/>
      <c r="G3352" s="6"/>
      <c r="H3352" s="6"/>
      <c r="I3352" s="6"/>
      <c r="J3352" s="6"/>
      <c r="K3352" s="6"/>
      <c r="L3352" s="6"/>
      <c r="M3352" s="6"/>
      <c r="N3352" s="6"/>
      <c r="O3352" s="7"/>
      <c r="P3352" s="6"/>
      <c r="Q3352" s="6"/>
      <c r="R3352" s="7"/>
      <c r="S3352" s="6"/>
      <c r="T3352" s="6"/>
      <c r="U3352" s="7"/>
      <c r="V3352" s="6"/>
      <c r="W3352" s="6"/>
      <c r="X3352" s="6"/>
      <c r="Y3352" s="6"/>
      <c r="Z3352" s="6"/>
      <c r="AA3352" s="7"/>
      <c r="AB3352" s="6"/>
      <c r="AC3352" s="6"/>
      <c r="AD3352" s="6"/>
      <c r="AE3352" s="12"/>
      <c r="AF3352" s="12"/>
      <c r="AG3352" s="12"/>
      <c r="AH3352" s="12"/>
      <c r="AI3352" s="6"/>
      <c r="AJ3352" s="12"/>
      <c r="AK3352" s="1"/>
      <c r="AL3352" s="12"/>
      <c r="AM3352" s="12"/>
      <c r="AN3352" s="1"/>
      <c r="AO3352" s="6"/>
    </row>
    <row r="3353" spans="1:41" ht="15" x14ac:dyDescent="0.25">
      <c r="A3353" s="1"/>
      <c r="B3353" s="1"/>
      <c r="C3353" s="1"/>
      <c r="D3353" s="1"/>
      <c r="E3353" s="6"/>
      <c r="F3353" s="1"/>
      <c r="G3353" s="6"/>
      <c r="H3353" s="6"/>
      <c r="I3353" s="6"/>
      <c r="J3353" s="6"/>
      <c r="K3353" s="6"/>
      <c r="L3353" s="6"/>
      <c r="M3353" s="6"/>
      <c r="N3353" s="6"/>
      <c r="O3353" s="7"/>
      <c r="P3353" s="6"/>
      <c r="Q3353" s="6"/>
      <c r="R3353" s="7"/>
      <c r="S3353" s="6"/>
      <c r="T3353" s="6"/>
      <c r="U3353" s="7"/>
      <c r="V3353" s="6"/>
      <c r="W3353" s="6"/>
      <c r="X3353" s="12"/>
      <c r="Y3353" s="6"/>
      <c r="Z3353" s="6"/>
      <c r="AA3353" s="7"/>
      <c r="AB3353" s="6"/>
      <c r="AC3353" s="6"/>
      <c r="AD3353" s="6"/>
      <c r="AE3353" s="12"/>
      <c r="AF3353" s="12"/>
      <c r="AG3353" s="12"/>
      <c r="AH3353" s="12"/>
      <c r="AI3353" s="6"/>
      <c r="AJ3353" s="12"/>
      <c r="AK3353" s="1"/>
      <c r="AL3353" s="12"/>
      <c r="AM3353" s="12"/>
      <c r="AN3353" s="1"/>
      <c r="AO3353" s="6"/>
    </row>
    <row r="3354" spans="1:41" ht="15" x14ac:dyDescent="0.25">
      <c r="A3354" s="1"/>
      <c r="B3354" s="1"/>
      <c r="C3354" s="1"/>
      <c r="D3354" s="1"/>
      <c r="E3354" s="6"/>
      <c r="F3354" s="1"/>
      <c r="G3354" s="6"/>
      <c r="H3354" s="6"/>
      <c r="I3354" s="6"/>
      <c r="J3354" s="6"/>
      <c r="K3354" s="6"/>
      <c r="L3354" s="6"/>
      <c r="M3354" s="6"/>
      <c r="N3354" s="6"/>
      <c r="O3354" s="7"/>
      <c r="P3354" s="6"/>
      <c r="Q3354" s="6"/>
      <c r="R3354" s="7"/>
      <c r="S3354" s="6"/>
      <c r="T3354" s="6"/>
      <c r="U3354" s="7"/>
      <c r="V3354" s="6"/>
      <c r="W3354" s="6"/>
      <c r="X3354" s="6"/>
      <c r="Y3354" s="6"/>
      <c r="Z3354" s="6"/>
      <c r="AA3354" s="7"/>
      <c r="AB3354" s="6"/>
      <c r="AC3354" s="6"/>
      <c r="AD3354" s="6"/>
      <c r="AE3354" s="12"/>
      <c r="AF3354" s="12"/>
      <c r="AG3354" s="12"/>
      <c r="AH3354" s="12"/>
      <c r="AI3354" s="6"/>
      <c r="AJ3354" s="12"/>
      <c r="AK3354" s="1"/>
      <c r="AL3354" s="12"/>
      <c r="AM3354" s="12"/>
      <c r="AN3354" s="1"/>
      <c r="AO3354" s="6"/>
    </row>
    <row r="3355" spans="1:41" ht="15" x14ac:dyDescent="0.25">
      <c r="A3355" s="1"/>
      <c r="B3355" s="1"/>
      <c r="C3355" s="1"/>
      <c r="D3355" s="1"/>
      <c r="E3355" s="6"/>
      <c r="F3355" s="1"/>
      <c r="G3355" s="6"/>
      <c r="H3355" s="6"/>
      <c r="I3355" s="6"/>
      <c r="J3355" s="6"/>
      <c r="K3355" s="6"/>
      <c r="L3355" s="6"/>
      <c r="M3355" s="6"/>
      <c r="N3355" s="6"/>
      <c r="O3355" s="7"/>
      <c r="P3355" s="6"/>
      <c r="Q3355" s="6"/>
      <c r="R3355" s="7"/>
      <c r="S3355" s="6"/>
      <c r="T3355" s="6"/>
      <c r="U3355" s="7"/>
      <c r="V3355" s="6"/>
      <c r="W3355" s="6"/>
      <c r="X3355" s="6"/>
      <c r="Y3355" s="6"/>
      <c r="Z3355" s="6"/>
      <c r="AA3355" s="7"/>
      <c r="AB3355" s="6"/>
      <c r="AC3355" s="6"/>
      <c r="AD3355" s="6"/>
      <c r="AE3355" s="12"/>
      <c r="AF3355" s="6"/>
      <c r="AG3355" s="12"/>
      <c r="AH3355" s="6"/>
      <c r="AI3355" s="6"/>
      <c r="AJ3355" s="12"/>
      <c r="AK3355" s="24"/>
      <c r="AL3355" s="25"/>
      <c r="AM3355" s="12"/>
      <c r="AN3355" s="1"/>
      <c r="AO3355" s="6"/>
    </row>
    <row r="3356" spans="1:41" ht="15" x14ac:dyDescent="0.25">
      <c r="A3356" s="1"/>
      <c r="B3356" s="1"/>
      <c r="C3356" s="1"/>
      <c r="D3356" s="1"/>
      <c r="E3356" s="6"/>
      <c r="F3356" s="1"/>
      <c r="G3356" s="6"/>
      <c r="H3356" s="6"/>
      <c r="I3356" s="6"/>
      <c r="J3356" s="6"/>
      <c r="K3356" s="6"/>
      <c r="L3356" s="6"/>
      <c r="M3356" s="6"/>
      <c r="N3356" s="6"/>
      <c r="O3356" s="7"/>
      <c r="P3356" s="6"/>
      <c r="Q3356" s="6"/>
      <c r="R3356" s="7"/>
      <c r="S3356" s="6"/>
      <c r="T3356" s="6"/>
      <c r="U3356" s="7"/>
      <c r="V3356" s="6"/>
      <c r="W3356" s="6"/>
      <c r="X3356" s="6"/>
      <c r="Y3356" s="6"/>
      <c r="Z3356" s="6"/>
      <c r="AA3356" s="7"/>
      <c r="AB3356" s="6"/>
      <c r="AC3356" s="6"/>
      <c r="AD3356" s="6"/>
      <c r="AE3356" s="12"/>
      <c r="AF3356" s="12"/>
      <c r="AG3356" s="12"/>
      <c r="AH3356" s="12"/>
      <c r="AI3356" s="6"/>
      <c r="AJ3356" s="12"/>
      <c r="AK3356" s="1"/>
      <c r="AL3356" s="12"/>
      <c r="AM3356" s="12"/>
      <c r="AN3356" s="1"/>
      <c r="AO3356" s="6"/>
    </row>
    <row r="3357" spans="1:41" ht="15" x14ac:dyDescent="0.25">
      <c r="A3357" s="1"/>
      <c r="B3357" s="1"/>
      <c r="C3357" s="1"/>
      <c r="D3357" s="1"/>
      <c r="E3357" s="6"/>
      <c r="F3357" s="1"/>
      <c r="G3357" s="6"/>
      <c r="H3357" s="6"/>
      <c r="I3357" s="6"/>
      <c r="J3357" s="6"/>
      <c r="K3357" s="6"/>
      <c r="L3357" s="6"/>
      <c r="M3357" s="6"/>
      <c r="N3357" s="6"/>
      <c r="O3357" s="7"/>
      <c r="P3357" s="6"/>
      <c r="Q3357" s="6"/>
      <c r="R3357" s="12"/>
      <c r="S3357" s="12"/>
      <c r="T3357" s="12"/>
      <c r="U3357" s="7"/>
      <c r="V3357" s="6"/>
      <c r="W3357" s="6"/>
      <c r="X3357" s="12"/>
      <c r="Y3357" s="6"/>
      <c r="Z3357" s="6"/>
      <c r="AA3357" s="7"/>
      <c r="AB3357" s="6"/>
      <c r="AC3357" s="6"/>
      <c r="AD3357" s="6"/>
      <c r="AE3357" s="12"/>
      <c r="AF3357" s="6"/>
      <c r="AG3357" s="12"/>
      <c r="AH3357" s="6"/>
      <c r="AI3357" s="6"/>
      <c r="AJ3357" s="12"/>
      <c r="AK3357" s="24"/>
      <c r="AL3357" s="25"/>
      <c r="AM3357" s="12"/>
      <c r="AN3357" s="1"/>
      <c r="AO3357" s="6"/>
    </row>
    <row r="3358" spans="1:41" ht="15" x14ac:dyDescent="0.25">
      <c r="A3358" s="1"/>
      <c r="B3358" s="1"/>
      <c r="C3358" s="1"/>
      <c r="D3358" s="1"/>
      <c r="E3358" s="6"/>
      <c r="F3358" s="1"/>
      <c r="G3358" s="6"/>
      <c r="H3358" s="6"/>
      <c r="I3358" s="6"/>
      <c r="J3358" s="6"/>
      <c r="K3358" s="6"/>
      <c r="L3358" s="6"/>
      <c r="M3358" s="6"/>
      <c r="N3358" s="6"/>
      <c r="O3358" s="7"/>
      <c r="P3358" s="6"/>
      <c r="Q3358" s="6"/>
      <c r="R3358" s="7"/>
      <c r="S3358" s="6"/>
      <c r="T3358" s="6"/>
      <c r="U3358" s="7"/>
      <c r="V3358" s="6"/>
      <c r="W3358" s="6"/>
      <c r="X3358" s="6"/>
      <c r="Y3358" s="6"/>
      <c r="Z3358" s="6"/>
      <c r="AA3358" s="7"/>
      <c r="AB3358" s="6"/>
      <c r="AC3358" s="6"/>
      <c r="AD3358" s="6"/>
      <c r="AE3358" s="12"/>
      <c r="AF3358" s="6"/>
      <c r="AG3358" s="12"/>
      <c r="AH3358" s="6"/>
      <c r="AI3358" s="6"/>
      <c r="AJ3358" s="12"/>
      <c r="AK3358" s="1"/>
      <c r="AL3358" s="12"/>
      <c r="AM3358" s="12"/>
      <c r="AN3358" s="1"/>
      <c r="AO3358" s="6"/>
    </row>
    <row r="3359" spans="1:41" ht="15" x14ac:dyDescent="0.25">
      <c r="A3359" s="1"/>
      <c r="B3359" s="1"/>
      <c r="C3359" s="1"/>
      <c r="D3359" s="1"/>
      <c r="E3359" s="6"/>
      <c r="F3359" s="1"/>
      <c r="G3359" s="6"/>
      <c r="H3359" s="6"/>
      <c r="I3359" s="6"/>
      <c r="J3359" s="6"/>
      <c r="K3359" s="6"/>
      <c r="L3359" s="6"/>
      <c r="M3359" s="6"/>
      <c r="N3359" s="6"/>
      <c r="O3359" s="7"/>
      <c r="P3359" s="12"/>
      <c r="Q3359" s="6"/>
      <c r="R3359" s="7"/>
      <c r="S3359" s="6"/>
      <c r="T3359" s="6"/>
      <c r="U3359" s="7"/>
      <c r="V3359" s="6"/>
      <c r="W3359" s="6"/>
      <c r="X3359" s="6"/>
      <c r="Y3359" s="6"/>
      <c r="Z3359" s="6"/>
      <c r="AA3359" s="7"/>
      <c r="AB3359" s="6"/>
      <c r="AC3359" s="6"/>
      <c r="AD3359" s="6"/>
      <c r="AE3359" s="12"/>
      <c r="AF3359" s="12"/>
      <c r="AG3359" s="12"/>
      <c r="AH3359" s="12"/>
      <c r="AI3359" s="6"/>
      <c r="AJ3359" s="12"/>
      <c r="AK3359" s="1"/>
      <c r="AL3359" s="12"/>
      <c r="AM3359" s="12"/>
      <c r="AN3359" s="1"/>
      <c r="AO3359" s="6"/>
    </row>
    <row r="3360" spans="1:41" ht="15" x14ac:dyDescent="0.25">
      <c r="A3360" s="1"/>
      <c r="B3360" s="1"/>
      <c r="C3360" s="1"/>
      <c r="D3360" s="1"/>
      <c r="E3360" s="6"/>
      <c r="F3360" s="1"/>
      <c r="G3360" s="6"/>
      <c r="H3360" s="6"/>
      <c r="I3360" s="6"/>
      <c r="J3360" s="6"/>
      <c r="K3360" s="6"/>
      <c r="L3360" s="6"/>
      <c r="M3360" s="6"/>
      <c r="N3360" s="6"/>
      <c r="O3360" s="7"/>
      <c r="P3360" s="6"/>
      <c r="Q3360" s="6"/>
      <c r="R3360" s="7"/>
      <c r="S3360" s="6"/>
      <c r="T3360" s="6"/>
      <c r="U3360" s="7"/>
      <c r="V3360" s="6"/>
      <c r="W3360" s="6"/>
      <c r="X3360" s="12"/>
      <c r="Y3360" s="6"/>
      <c r="Z3360" s="6"/>
      <c r="AA3360" s="7"/>
      <c r="AB3360" s="6"/>
      <c r="AC3360" s="6"/>
      <c r="AD3360" s="6"/>
      <c r="AE3360" s="12"/>
      <c r="AF3360" s="6"/>
      <c r="AG3360" s="12"/>
      <c r="AH3360" s="6"/>
      <c r="AI3360" s="6"/>
      <c r="AJ3360" s="12"/>
      <c r="AK3360" s="1"/>
      <c r="AL3360" s="12"/>
      <c r="AM3360" s="12"/>
      <c r="AN3360" s="1"/>
      <c r="AO3360" s="6"/>
    </row>
    <row r="3361" spans="1:41" ht="15" x14ac:dyDescent="0.25">
      <c r="A3361" s="1"/>
      <c r="B3361" s="1"/>
      <c r="C3361" s="1"/>
      <c r="D3361" s="1"/>
      <c r="E3361" s="6"/>
      <c r="F3361" s="1"/>
      <c r="G3361" s="6"/>
      <c r="H3361" s="6"/>
      <c r="I3361" s="6"/>
      <c r="J3361" s="6"/>
      <c r="K3361" s="6"/>
      <c r="L3361" s="6"/>
      <c r="M3361" s="6"/>
      <c r="N3361" s="6"/>
      <c r="O3361" s="7"/>
      <c r="P3361" s="6"/>
      <c r="Q3361" s="6"/>
      <c r="R3361" s="7"/>
      <c r="S3361" s="6"/>
      <c r="T3361" s="6"/>
      <c r="U3361" s="7"/>
      <c r="V3361" s="6"/>
      <c r="W3361" s="6"/>
      <c r="X3361" s="6"/>
      <c r="Y3361" s="6"/>
      <c r="Z3361" s="6"/>
      <c r="AA3361" s="7"/>
      <c r="AB3361" s="6"/>
      <c r="AC3361" s="6"/>
      <c r="AD3361" s="6"/>
      <c r="AE3361" s="12"/>
      <c r="AF3361" s="12"/>
      <c r="AG3361" s="12"/>
      <c r="AH3361" s="12"/>
      <c r="AI3361" s="6"/>
      <c r="AJ3361" s="12"/>
      <c r="AK3361" s="1"/>
      <c r="AL3361" s="12"/>
      <c r="AM3361" s="12"/>
      <c r="AN3361" s="1"/>
      <c r="AO3361" s="6"/>
    </row>
    <row r="3362" spans="1:41" ht="15" x14ac:dyDescent="0.25">
      <c r="A3362" s="1"/>
      <c r="B3362" s="1"/>
      <c r="C3362" s="1"/>
      <c r="D3362" s="1"/>
      <c r="E3362" s="6"/>
      <c r="F3362" s="1"/>
      <c r="G3362" s="6"/>
      <c r="H3362" s="6"/>
      <c r="I3362" s="6"/>
      <c r="J3362" s="6"/>
      <c r="K3362" s="6"/>
      <c r="L3362" s="6"/>
      <c r="M3362" s="6"/>
      <c r="N3362" s="6"/>
      <c r="O3362" s="7"/>
      <c r="P3362" s="6"/>
      <c r="Q3362" s="6"/>
      <c r="R3362" s="7"/>
      <c r="S3362" s="6"/>
      <c r="T3362" s="6"/>
      <c r="U3362" s="7"/>
      <c r="V3362" s="6"/>
      <c r="W3362" s="6"/>
      <c r="X3362" s="6"/>
      <c r="Y3362" s="6"/>
      <c r="Z3362" s="6"/>
      <c r="AA3362" s="7"/>
      <c r="AB3362" s="6"/>
      <c r="AC3362" s="6"/>
      <c r="AD3362" s="6"/>
      <c r="AE3362" s="12"/>
      <c r="AF3362" s="6"/>
      <c r="AG3362" s="12"/>
      <c r="AH3362" s="6"/>
      <c r="AI3362" s="6"/>
      <c r="AJ3362" s="12"/>
      <c r="AK3362" s="24"/>
      <c r="AL3362" s="25"/>
      <c r="AM3362" s="12"/>
      <c r="AN3362" s="1"/>
      <c r="AO3362" s="6"/>
    </row>
    <row r="3363" spans="1:41" ht="15" x14ac:dyDescent="0.25">
      <c r="A3363" s="1"/>
      <c r="B3363" s="1"/>
      <c r="C3363" s="1"/>
      <c r="D3363" s="1"/>
      <c r="E3363" s="6"/>
      <c r="F3363" s="1"/>
      <c r="G3363" s="6"/>
      <c r="H3363" s="6"/>
      <c r="I3363" s="6"/>
      <c r="J3363" s="6"/>
      <c r="K3363" s="6"/>
      <c r="L3363" s="6"/>
      <c r="M3363" s="6"/>
      <c r="N3363" s="6"/>
      <c r="O3363" s="7"/>
      <c r="P3363" s="12"/>
      <c r="Q3363" s="6"/>
      <c r="R3363" s="7"/>
      <c r="S3363" s="6"/>
      <c r="T3363" s="6"/>
      <c r="U3363" s="7"/>
      <c r="V3363" s="6"/>
      <c r="W3363" s="6"/>
      <c r="X3363" s="12"/>
      <c r="Y3363" s="6"/>
      <c r="Z3363" s="6"/>
      <c r="AA3363" s="7"/>
      <c r="AB3363" s="6"/>
      <c r="AC3363" s="6"/>
      <c r="AD3363" s="6"/>
      <c r="AE3363" s="12"/>
      <c r="AF3363" s="12"/>
      <c r="AG3363" s="12"/>
      <c r="AH3363" s="12"/>
      <c r="AI3363" s="6"/>
      <c r="AJ3363" s="12"/>
      <c r="AK3363" s="1"/>
      <c r="AL3363" s="12"/>
      <c r="AM3363" s="12"/>
      <c r="AN3363" s="1"/>
      <c r="AO3363" s="6"/>
    </row>
    <row r="3364" spans="1:41" ht="15" x14ac:dyDescent="0.25">
      <c r="A3364" s="1"/>
      <c r="B3364" s="1"/>
      <c r="C3364" s="1"/>
      <c r="D3364" s="1"/>
      <c r="E3364" s="6"/>
      <c r="F3364" s="1"/>
      <c r="G3364" s="6"/>
      <c r="H3364" s="6"/>
      <c r="I3364" s="6"/>
      <c r="J3364" s="6"/>
      <c r="K3364" s="6"/>
      <c r="L3364" s="6"/>
      <c r="M3364" s="6"/>
      <c r="N3364" s="6"/>
      <c r="O3364" s="7"/>
      <c r="P3364" s="6"/>
      <c r="Q3364" s="6"/>
      <c r="R3364" s="7"/>
      <c r="S3364" s="6"/>
      <c r="T3364" s="6"/>
      <c r="U3364" s="7"/>
      <c r="V3364" s="6"/>
      <c r="W3364" s="6"/>
      <c r="X3364" s="6"/>
      <c r="Y3364" s="6"/>
      <c r="Z3364" s="6"/>
      <c r="AA3364" s="7"/>
      <c r="AB3364" s="6"/>
      <c r="AC3364" s="6"/>
      <c r="AD3364" s="6"/>
      <c r="AE3364" s="12"/>
      <c r="AF3364" s="6"/>
      <c r="AG3364" s="12"/>
      <c r="AH3364" s="6"/>
      <c r="AI3364" s="6"/>
      <c r="AJ3364" s="12"/>
      <c r="AK3364" s="24"/>
      <c r="AL3364" s="25"/>
      <c r="AM3364" s="12"/>
      <c r="AN3364" s="1"/>
      <c r="AO3364" s="6"/>
    </row>
    <row r="3365" spans="1:41" ht="15" x14ac:dyDescent="0.25">
      <c r="A3365" s="1"/>
      <c r="B3365" s="1"/>
      <c r="C3365" s="1"/>
      <c r="D3365" s="1"/>
      <c r="E3365" s="6"/>
      <c r="F3365" s="1"/>
      <c r="G3365" s="6"/>
      <c r="H3365" s="6"/>
      <c r="I3365" s="6"/>
      <c r="J3365" s="6"/>
      <c r="K3365" s="12"/>
      <c r="L3365" s="12"/>
      <c r="M3365" s="6"/>
      <c r="N3365" s="6"/>
      <c r="O3365" s="7"/>
      <c r="P3365" s="6"/>
      <c r="Q3365" s="6"/>
      <c r="R3365" s="7"/>
      <c r="S3365" s="6"/>
      <c r="T3365" s="6"/>
      <c r="U3365" s="7"/>
      <c r="V3365" s="6"/>
      <c r="W3365" s="6"/>
      <c r="X3365" s="6"/>
      <c r="Y3365" s="6"/>
      <c r="Z3365" s="6"/>
      <c r="AA3365" s="7"/>
      <c r="AB3365" s="6"/>
      <c r="AC3365" s="6"/>
      <c r="AD3365" s="6"/>
      <c r="AE3365" s="12"/>
      <c r="AF3365" s="12"/>
      <c r="AG3365" s="12"/>
      <c r="AH3365" s="12"/>
      <c r="AI3365" s="6"/>
      <c r="AJ3365" s="12"/>
      <c r="AK3365" s="1"/>
      <c r="AL3365" s="12"/>
      <c r="AM3365" s="12"/>
      <c r="AN3365" s="1"/>
      <c r="AO3365" s="6"/>
    </row>
    <row r="3366" spans="1:41" ht="15" x14ac:dyDescent="0.25">
      <c r="A3366" s="1"/>
      <c r="B3366" s="1"/>
      <c r="C3366" s="1"/>
      <c r="D3366" s="1"/>
      <c r="E3366" s="6"/>
      <c r="F3366" s="1"/>
      <c r="G3366" s="6"/>
      <c r="H3366" s="6"/>
      <c r="I3366" s="6"/>
      <c r="J3366" s="6"/>
      <c r="K3366" s="6"/>
      <c r="L3366" s="6"/>
      <c r="M3366" s="6"/>
      <c r="N3366" s="6"/>
      <c r="O3366" s="7"/>
      <c r="P3366" s="6"/>
      <c r="Q3366" s="6"/>
      <c r="R3366" s="7"/>
      <c r="S3366" s="6"/>
      <c r="T3366" s="6"/>
      <c r="U3366" s="7"/>
      <c r="V3366" s="6"/>
      <c r="W3366" s="6"/>
      <c r="X3366" s="6"/>
      <c r="Y3366" s="6"/>
      <c r="Z3366" s="6"/>
      <c r="AA3366" s="7"/>
      <c r="AB3366" s="6"/>
      <c r="AC3366" s="6"/>
      <c r="AD3366" s="6"/>
      <c r="AE3366" s="12"/>
      <c r="AF3366" s="6"/>
      <c r="AG3366" s="12"/>
      <c r="AH3366" s="6"/>
      <c r="AI3366" s="6"/>
      <c r="AJ3366" s="12"/>
      <c r="AK3366" s="24"/>
      <c r="AL3366" s="25"/>
      <c r="AM3366" s="12"/>
      <c r="AN3366" s="1"/>
      <c r="AO3366" s="6"/>
    </row>
    <row r="3367" spans="1:41" ht="15" x14ac:dyDescent="0.25">
      <c r="A3367" s="1"/>
      <c r="B3367" s="1"/>
      <c r="C3367" s="1"/>
      <c r="D3367" s="1"/>
      <c r="E3367" s="6"/>
      <c r="F3367" s="1"/>
      <c r="G3367" s="6"/>
      <c r="H3367" s="6"/>
      <c r="I3367" s="6"/>
      <c r="J3367" s="6"/>
      <c r="K3367" s="6"/>
      <c r="L3367" s="6"/>
      <c r="M3367" s="6"/>
      <c r="N3367" s="6"/>
      <c r="O3367" s="7"/>
      <c r="P3367" s="6"/>
      <c r="Q3367" s="7"/>
      <c r="R3367" s="6"/>
      <c r="S3367" s="6"/>
      <c r="T3367" s="6"/>
      <c r="U3367" s="6"/>
      <c r="V3367" s="7"/>
      <c r="W3367" s="7"/>
      <c r="X3367" s="6"/>
      <c r="Y3367" s="6"/>
      <c r="Z3367" s="6"/>
      <c r="AA3367" s="1"/>
      <c r="AB3367" s="12"/>
      <c r="AC3367" s="12"/>
      <c r="AD3367" s="12"/>
      <c r="AE3367" s="12"/>
      <c r="AF3367" s="12"/>
      <c r="AG3367" s="12"/>
      <c r="AH3367" s="12"/>
      <c r="AI3367" s="6"/>
      <c r="AJ3367" s="12"/>
      <c r="AK3367" s="12"/>
      <c r="AL3367" s="12"/>
      <c r="AM3367" s="12"/>
      <c r="AN3367" s="1"/>
      <c r="AO3367" s="6"/>
    </row>
    <row r="3368" spans="1:41" ht="15" x14ac:dyDescent="0.25">
      <c r="A3368" s="1"/>
      <c r="B3368" s="1"/>
      <c r="C3368" s="1"/>
      <c r="D3368" s="1"/>
      <c r="E3368" s="6"/>
      <c r="F3368" s="1"/>
      <c r="G3368" s="6"/>
      <c r="H3368" s="6"/>
      <c r="I3368" s="6"/>
      <c r="J3368" s="6"/>
      <c r="K3368" s="12"/>
      <c r="L3368" s="12"/>
      <c r="M3368" s="6"/>
      <c r="N3368" s="6"/>
      <c r="O3368" s="7"/>
      <c r="P3368" s="12"/>
      <c r="Q3368" s="6"/>
      <c r="R3368" s="7"/>
      <c r="S3368" s="6"/>
      <c r="T3368" s="6"/>
      <c r="U3368" s="7"/>
      <c r="V3368" s="6"/>
      <c r="W3368" s="6"/>
      <c r="X3368" s="12"/>
      <c r="Y3368" s="6"/>
      <c r="Z3368" s="6"/>
      <c r="AA3368" s="7"/>
      <c r="AB3368" s="6"/>
      <c r="AC3368" s="6"/>
      <c r="AD3368" s="6"/>
      <c r="AE3368" s="12"/>
      <c r="AF3368" s="12"/>
      <c r="AG3368" s="12"/>
      <c r="AH3368" s="12"/>
      <c r="AI3368" s="6"/>
      <c r="AJ3368" s="12"/>
      <c r="AK3368" s="24"/>
      <c r="AL3368" s="25"/>
      <c r="AM3368" s="12"/>
      <c r="AN3368" s="1"/>
      <c r="AO3368" s="6"/>
    </row>
    <row r="3369" spans="1:41" ht="15" x14ac:dyDescent="0.25">
      <c r="A3369" s="1"/>
      <c r="B3369" s="1"/>
      <c r="C3369" s="1"/>
      <c r="D3369" s="1"/>
      <c r="E3369" s="6"/>
      <c r="F3369" s="1"/>
      <c r="G3369" s="6"/>
      <c r="H3369" s="6"/>
      <c r="I3369" s="6"/>
      <c r="J3369" s="6"/>
      <c r="K3369" s="6"/>
      <c r="L3369" s="6"/>
      <c r="M3369" s="6"/>
      <c r="N3369" s="6"/>
      <c r="O3369" s="7"/>
      <c r="P3369" s="6"/>
      <c r="Q3369" s="6"/>
      <c r="R3369" s="7"/>
      <c r="S3369" s="6"/>
      <c r="T3369" s="6"/>
      <c r="U3369" s="7"/>
      <c r="V3369" s="6"/>
      <c r="W3369" s="6"/>
      <c r="X3369" s="12"/>
      <c r="Y3369" s="6"/>
      <c r="Z3369" s="6"/>
      <c r="AA3369" s="7"/>
      <c r="AB3369" s="6"/>
      <c r="AC3369" s="6"/>
      <c r="AD3369" s="6"/>
      <c r="AE3369" s="12"/>
      <c r="AF3369" s="6"/>
      <c r="AG3369" s="12"/>
      <c r="AH3369" s="6"/>
      <c r="AI3369" s="6"/>
      <c r="AJ3369" s="12"/>
      <c r="AK3369" s="24"/>
      <c r="AL3369" s="25"/>
      <c r="AM3369" s="12"/>
      <c r="AN3369" s="1"/>
      <c r="AO3369" s="6"/>
    </row>
    <row r="3370" spans="1:41" ht="15" x14ac:dyDescent="0.25">
      <c r="A3370" s="1"/>
      <c r="B3370" s="1"/>
      <c r="C3370" s="1"/>
      <c r="D3370" s="1"/>
      <c r="E3370" s="6"/>
      <c r="F3370" s="1"/>
      <c r="G3370" s="6"/>
      <c r="H3370" s="6"/>
      <c r="I3370" s="6"/>
      <c r="J3370" s="6"/>
      <c r="K3370" s="12"/>
      <c r="L3370" s="12"/>
      <c r="M3370" s="6"/>
      <c r="N3370" s="6"/>
      <c r="O3370" s="7"/>
      <c r="P3370" s="12"/>
      <c r="Q3370" s="6"/>
      <c r="R3370" s="7"/>
      <c r="S3370" s="6"/>
      <c r="T3370" s="6"/>
      <c r="U3370" s="7"/>
      <c r="V3370" s="6"/>
      <c r="W3370" s="6"/>
      <c r="X3370" s="6"/>
      <c r="Y3370" s="6"/>
      <c r="Z3370" s="6"/>
      <c r="AA3370" s="7"/>
      <c r="AB3370" s="6"/>
      <c r="AC3370" s="6"/>
      <c r="AD3370" s="6"/>
      <c r="AE3370" s="12"/>
      <c r="AF3370" s="12"/>
      <c r="AG3370" s="12"/>
      <c r="AH3370" s="12"/>
      <c r="AI3370" s="6"/>
      <c r="AJ3370" s="12"/>
      <c r="AK3370" s="1"/>
      <c r="AL3370" s="12"/>
      <c r="AM3370" s="12"/>
      <c r="AN3370" s="1"/>
      <c r="AO3370" s="12"/>
    </row>
    <row r="3371" spans="1:41" ht="15" x14ac:dyDescent="0.25">
      <c r="A3371" s="1"/>
      <c r="B3371" s="1"/>
      <c r="C3371" s="1"/>
      <c r="D3371" s="1"/>
      <c r="E3371" s="6"/>
      <c r="F3371" s="1"/>
      <c r="G3371" s="6"/>
      <c r="H3371" s="6"/>
      <c r="I3371" s="6"/>
      <c r="J3371" s="6"/>
      <c r="K3371" s="6"/>
      <c r="L3371" s="6"/>
      <c r="M3371" s="6"/>
      <c r="N3371" s="6"/>
      <c r="O3371" s="7"/>
      <c r="P3371" s="6"/>
      <c r="Q3371" s="6"/>
      <c r="R3371" s="15"/>
      <c r="S3371" s="6"/>
      <c r="T3371" s="6"/>
      <c r="U3371" s="15"/>
      <c r="V3371" s="6"/>
      <c r="W3371" s="6"/>
      <c r="X3371" s="12"/>
      <c r="Y3371" s="6"/>
      <c r="Z3371" s="6"/>
      <c r="AA3371" s="7"/>
      <c r="AB3371" s="6"/>
      <c r="AC3371" s="6"/>
      <c r="AD3371" s="6"/>
      <c r="AE3371" s="12"/>
      <c r="AF3371" s="6"/>
      <c r="AG3371" s="12"/>
      <c r="AH3371" s="6"/>
      <c r="AI3371" s="6"/>
      <c r="AJ3371" s="12"/>
      <c r="AK3371" s="24"/>
      <c r="AL3371" s="25"/>
      <c r="AM3371" s="12"/>
      <c r="AN3371" s="1"/>
      <c r="AO3371" s="6"/>
    </row>
    <row r="3372" spans="1:41" ht="15" x14ac:dyDescent="0.25">
      <c r="A3372" s="1"/>
      <c r="B3372" s="1"/>
      <c r="C3372" s="1"/>
      <c r="D3372" s="1"/>
      <c r="E3372" s="6"/>
      <c r="F3372" s="1"/>
      <c r="G3372" s="6"/>
      <c r="H3372" s="6"/>
      <c r="I3372" s="6"/>
      <c r="J3372" s="6"/>
      <c r="K3372" s="6"/>
      <c r="L3372" s="6"/>
      <c r="M3372" s="6"/>
      <c r="N3372" s="6"/>
      <c r="O3372" s="7"/>
      <c r="P3372" s="6"/>
      <c r="Q3372" s="6"/>
      <c r="R3372" s="7"/>
      <c r="S3372" s="6"/>
      <c r="T3372" s="6"/>
      <c r="U3372" s="7"/>
      <c r="V3372" s="6"/>
      <c r="W3372" s="6"/>
      <c r="X3372" s="6"/>
      <c r="Y3372" s="6"/>
      <c r="Z3372" s="6"/>
      <c r="AA3372" s="7"/>
      <c r="AB3372" s="6"/>
      <c r="AC3372" s="6"/>
      <c r="AD3372" s="6"/>
      <c r="AE3372" s="12"/>
      <c r="AF3372" s="6"/>
      <c r="AG3372" s="12"/>
      <c r="AH3372" s="6"/>
      <c r="AI3372" s="6"/>
      <c r="AJ3372" s="12"/>
      <c r="AK3372" s="24"/>
      <c r="AL3372" s="25"/>
      <c r="AM3372" s="12"/>
      <c r="AN3372" s="1"/>
      <c r="AO3372" s="6"/>
    </row>
    <row r="3373" spans="1:41" ht="15" x14ac:dyDescent="0.25">
      <c r="A3373" s="1"/>
      <c r="B3373" s="1"/>
      <c r="C3373" s="1"/>
      <c r="D3373" s="1"/>
      <c r="E3373" s="6"/>
      <c r="F3373" s="1"/>
      <c r="G3373" s="6"/>
      <c r="H3373" s="6"/>
      <c r="I3373" s="6"/>
      <c r="J3373" s="6"/>
      <c r="K3373" s="6"/>
      <c r="L3373" s="6"/>
      <c r="M3373" s="6"/>
      <c r="N3373" s="6"/>
      <c r="O3373" s="7"/>
      <c r="P3373" s="6"/>
      <c r="Q3373" s="6"/>
      <c r="R3373" s="7"/>
      <c r="S3373" s="6"/>
      <c r="T3373" s="6"/>
      <c r="U3373" s="7"/>
      <c r="V3373" s="6"/>
      <c r="W3373" s="6"/>
      <c r="X3373" s="6"/>
      <c r="Y3373" s="6"/>
      <c r="Z3373" s="6"/>
      <c r="AA3373" s="7"/>
      <c r="AB3373" s="6"/>
      <c r="AC3373" s="6"/>
      <c r="AD3373" s="6"/>
      <c r="AE3373" s="12"/>
      <c r="AF3373" s="12"/>
      <c r="AG3373" s="12"/>
      <c r="AH3373" s="12"/>
      <c r="AI3373" s="6"/>
      <c r="AJ3373" s="12"/>
      <c r="AK3373" s="1"/>
      <c r="AL3373" s="12"/>
      <c r="AM3373" s="12"/>
      <c r="AN3373" s="1"/>
      <c r="AO3373" s="6"/>
    </row>
    <row r="3374" spans="1:41" ht="15" x14ac:dyDescent="0.25">
      <c r="A3374" s="1"/>
      <c r="B3374" s="1"/>
      <c r="C3374" s="1"/>
      <c r="D3374" s="1"/>
      <c r="E3374" s="6"/>
      <c r="F3374" s="1"/>
      <c r="G3374" s="6"/>
      <c r="H3374" s="6"/>
      <c r="I3374" s="6"/>
      <c r="J3374" s="6"/>
      <c r="K3374" s="6"/>
      <c r="L3374" s="6"/>
      <c r="M3374" s="6"/>
      <c r="N3374" s="6"/>
      <c r="O3374" s="7"/>
      <c r="P3374" s="6"/>
      <c r="Q3374" s="6"/>
      <c r="R3374" s="7"/>
      <c r="S3374" s="6"/>
      <c r="T3374" s="6"/>
      <c r="U3374" s="7"/>
      <c r="V3374" s="6"/>
      <c r="W3374" s="6"/>
      <c r="X3374" s="6"/>
      <c r="Y3374" s="6"/>
      <c r="Z3374" s="6"/>
      <c r="AA3374" s="7"/>
      <c r="AB3374" s="6"/>
      <c r="AC3374" s="6"/>
      <c r="AD3374" s="6"/>
      <c r="AE3374" s="12"/>
      <c r="AF3374" s="12"/>
      <c r="AG3374" s="12"/>
      <c r="AH3374" s="12"/>
      <c r="AI3374" s="6"/>
      <c r="AJ3374" s="12"/>
      <c r="AK3374" s="1"/>
      <c r="AL3374" s="12"/>
      <c r="AM3374" s="12"/>
      <c r="AN3374" s="1"/>
      <c r="AO3374" s="6"/>
    </row>
    <row r="3375" spans="1:41" ht="15" x14ac:dyDescent="0.25">
      <c r="A3375" s="1"/>
      <c r="B3375" s="1"/>
      <c r="C3375" s="1"/>
      <c r="D3375" s="1"/>
      <c r="E3375" s="6"/>
      <c r="F3375" s="1"/>
      <c r="G3375" s="6"/>
      <c r="H3375" s="6"/>
      <c r="I3375" s="6"/>
      <c r="J3375" s="6"/>
      <c r="K3375" s="6"/>
      <c r="L3375" s="6"/>
      <c r="M3375" s="6"/>
      <c r="N3375" s="6"/>
      <c r="O3375" s="12"/>
      <c r="P3375" s="12"/>
      <c r="Q3375" s="6"/>
      <c r="R3375" s="12"/>
      <c r="S3375" s="12"/>
      <c r="T3375" s="12"/>
      <c r="U3375" s="6"/>
      <c r="V3375" s="12"/>
      <c r="W3375" s="12"/>
      <c r="X3375" s="12"/>
      <c r="Y3375" s="12"/>
      <c r="Z3375" s="6"/>
      <c r="AA3375" s="6"/>
      <c r="AB3375" s="12"/>
      <c r="AC3375" s="12"/>
      <c r="AD3375" s="12"/>
      <c r="AE3375" s="12"/>
      <c r="AF3375" s="6"/>
      <c r="AG3375" s="12"/>
      <c r="AH3375" s="6"/>
      <c r="AI3375" s="6"/>
      <c r="AJ3375" s="12"/>
      <c r="AK3375" s="24"/>
      <c r="AL3375" s="25"/>
      <c r="AM3375" s="12"/>
      <c r="AN3375" s="1"/>
      <c r="AO3375" s="6"/>
    </row>
    <row r="3376" spans="1:41" ht="15" x14ac:dyDescent="0.25">
      <c r="A3376" s="1"/>
      <c r="B3376" s="1"/>
      <c r="C3376" s="1"/>
      <c r="D3376" s="1"/>
      <c r="E3376" s="6"/>
      <c r="F3376" s="1"/>
      <c r="G3376" s="6"/>
      <c r="H3376" s="6"/>
      <c r="I3376" s="6"/>
      <c r="J3376" s="6"/>
      <c r="K3376" s="6"/>
      <c r="L3376" s="6"/>
      <c r="M3376" s="6"/>
      <c r="N3376" s="6"/>
      <c r="O3376" s="7"/>
      <c r="P3376" s="12"/>
      <c r="Q3376" s="6"/>
      <c r="R3376" s="7"/>
      <c r="S3376" s="6"/>
      <c r="T3376" s="6"/>
      <c r="U3376" s="7"/>
      <c r="V3376" s="6"/>
      <c r="W3376" s="6"/>
      <c r="X3376" s="12"/>
      <c r="Y3376" s="6"/>
      <c r="Z3376" s="6"/>
      <c r="AA3376" s="15"/>
      <c r="AB3376" s="6"/>
      <c r="AC3376" s="6"/>
      <c r="AD3376" s="6"/>
      <c r="AE3376" s="12"/>
      <c r="AF3376" s="6"/>
      <c r="AG3376" s="12"/>
      <c r="AH3376" s="6"/>
      <c r="AI3376" s="6"/>
      <c r="AJ3376" s="12"/>
      <c r="AK3376" s="1"/>
      <c r="AL3376" s="12"/>
      <c r="AM3376" s="12"/>
      <c r="AN3376" s="1"/>
      <c r="AO3376" s="6"/>
    </row>
    <row r="3377" spans="1:41" ht="15" x14ac:dyDescent="0.25">
      <c r="A3377" s="1"/>
      <c r="B3377" s="1"/>
      <c r="C3377" s="1"/>
      <c r="D3377" s="1"/>
      <c r="E3377" s="6"/>
      <c r="F3377" s="1"/>
      <c r="G3377" s="6"/>
      <c r="H3377" s="6"/>
      <c r="I3377" s="6"/>
      <c r="J3377" s="6"/>
      <c r="K3377" s="12"/>
      <c r="L3377" s="12"/>
      <c r="M3377" s="6"/>
      <c r="N3377" s="6"/>
      <c r="O3377" s="7"/>
      <c r="P3377" s="6"/>
      <c r="Q3377" s="6"/>
      <c r="R3377" s="7"/>
      <c r="S3377" s="6"/>
      <c r="T3377" s="6"/>
      <c r="U3377" s="7"/>
      <c r="V3377" s="6"/>
      <c r="W3377" s="6"/>
      <c r="X3377" s="6"/>
      <c r="Y3377" s="6"/>
      <c r="Z3377" s="6"/>
      <c r="AA3377" s="7"/>
      <c r="AB3377" s="6"/>
      <c r="AC3377" s="6"/>
      <c r="AD3377" s="6"/>
      <c r="AE3377" s="12"/>
      <c r="AF3377" s="12"/>
      <c r="AG3377" s="12"/>
      <c r="AH3377" s="12"/>
      <c r="AI3377" s="6"/>
      <c r="AJ3377" s="12"/>
      <c r="AK3377" s="1"/>
      <c r="AL3377" s="12"/>
      <c r="AM3377" s="12"/>
      <c r="AN3377" s="1"/>
      <c r="AO3377" s="6"/>
    </row>
    <row r="3378" spans="1:41" ht="15" x14ac:dyDescent="0.25">
      <c r="A3378" s="1"/>
      <c r="B3378" s="1"/>
      <c r="C3378" s="1"/>
      <c r="D3378" s="1"/>
      <c r="E3378" s="6"/>
      <c r="F3378" s="1"/>
      <c r="G3378" s="6"/>
      <c r="H3378" s="6"/>
      <c r="I3378" s="6"/>
      <c r="J3378" s="6"/>
      <c r="K3378" s="6"/>
      <c r="L3378" s="6"/>
      <c r="M3378" s="6"/>
      <c r="N3378" s="6"/>
      <c r="O3378" s="7"/>
      <c r="P3378" s="6"/>
      <c r="Q3378" s="6"/>
      <c r="R3378" s="7"/>
      <c r="S3378" s="6"/>
      <c r="T3378" s="6"/>
      <c r="U3378" s="7"/>
      <c r="V3378" s="6"/>
      <c r="W3378" s="6"/>
      <c r="X3378" s="12"/>
      <c r="Y3378" s="6"/>
      <c r="Z3378" s="6"/>
      <c r="AA3378" s="7"/>
      <c r="AB3378" s="6"/>
      <c r="AC3378" s="6"/>
      <c r="AD3378" s="6"/>
      <c r="AE3378" s="12"/>
      <c r="AF3378" s="6"/>
      <c r="AG3378" s="12"/>
      <c r="AH3378" s="6"/>
      <c r="AI3378" s="6"/>
      <c r="AJ3378" s="12"/>
      <c r="AK3378" s="24"/>
      <c r="AL3378" s="25"/>
      <c r="AM3378" s="12"/>
      <c r="AN3378" s="1"/>
      <c r="AO3378" s="6"/>
    </row>
    <row r="3379" spans="1:41" ht="15" x14ac:dyDescent="0.25">
      <c r="A3379" s="1"/>
      <c r="B3379" s="1"/>
      <c r="C3379" s="1"/>
      <c r="D3379" s="1"/>
      <c r="E3379" s="6"/>
      <c r="F3379" s="1"/>
      <c r="G3379" s="6"/>
      <c r="H3379" s="6"/>
      <c r="I3379" s="6"/>
      <c r="J3379" s="6"/>
      <c r="K3379" s="6"/>
      <c r="L3379" s="6"/>
      <c r="M3379" s="6"/>
      <c r="N3379" s="6"/>
      <c r="O3379" s="7"/>
      <c r="P3379" s="6"/>
      <c r="Q3379" s="6"/>
      <c r="R3379" s="12"/>
      <c r="S3379" s="12"/>
      <c r="T3379" s="12"/>
      <c r="U3379" s="7"/>
      <c r="V3379" s="6"/>
      <c r="W3379" s="6"/>
      <c r="X3379" s="12"/>
      <c r="Y3379" s="6"/>
      <c r="Z3379" s="6"/>
      <c r="AA3379" s="7"/>
      <c r="AB3379" s="6"/>
      <c r="AC3379" s="6"/>
      <c r="AD3379" s="6"/>
      <c r="AE3379" s="12"/>
      <c r="AF3379" s="6"/>
      <c r="AG3379" s="12"/>
      <c r="AH3379" s="6"/>
      <c r="AI3379" s="6"/>
      <c r="AJ3379" s="12"/>
      <c r="AK3379" s="24"/>
      <c r="AL3379" s="25"/>
      <c r="AM3379" s="12"/>
      <c r="AN3379" s="1"/>
      <c r="AO3379" s="6"/>
    </row>
    <row r="3380" spans="1:41" ht="15" x14ac:dyDescent="0.25">
      <c r="A3380" s="1"/>
      <c r="B3380" s="1"/>
      <c r="C3380" s="1"/>
      <c r="D3380" s="1"/>
      <c r="E3380" s="6"/>
      <c r="F3380" s="1"/>
      <c r="G3380" s="6"/>
      <c r="H3380" s="6"/>
      <c r="I3380" s="6"/>
      <c r="J3380" s="6"/>
      <c r="K3380" s="6"/>
      <c r="L3380" s="6"/>
      <c r="M3380" s="6"/>
      <c r="N3380" s="6"/>
      <c r="O3380" s="7"/>
      <c r="P3380" s="6"/>
      <c r="Q3380" s="6"/>
      <c r="R3380" s="7"/>
      <c r="S3380" s="6"/>
      <c r="T3380" s="6"/>
      <c r="U3380" s="7"/>
      <c r="V3380" s="6"/>
      <c r="W3380" s="6"/>
      <c r="X3380" s="12"/>
      <c r="Y3380" s="6"/>
      <c r="Z3380" s="6"/>
      <c r="AA3380" s="7"/>
      <c r="AB3380" s="6"/>
      <c r="AC3380" s="6"/>
      <c r="AD3380" s="6"/>
      <c r="AE3380" s="12"/>
      <c r="AF3380" s="6"/>
      <c r="AG3380" s="12"/>
      <c r="AH3380" s="6"/>
      <c r="AI3380" s="6"/>
      <c r="AJ3380" s="12"/>
      <c r="AK3380" s="24"/>
      <c r="AL3380" s="25"/>
      <c r="AM3380" s="12"/>
      <c r="AN3380" s="1"/>
      <c r="AO3380" s="6"/>
    </row>
    <row r="3381" spans="1:41" ht="15" x14ac:dyDescent="0.25">
      <c r="A3381" s="1"/>
      <c r="B3381" s="1"/>
      <c r="C3381" s="1"/>
      <c r="D3381" s="1"/>
      <c r="E3381" s="6"/>
      <c r="F3381" s="1"/>
      <c r="G3381" s="6"/>
      <c r="H3381" s="6"/>
      <c r="I3381" s="6"/>
      <c r="J3381" s="6"/>
      <c r="K3381" s="6"/>
      <c r="L3381" s="6"/>
      <c r="M3381" s="6"/>
      <c r="N3381" s="6"/>
      <c r="O3381" s="7"/>
      <c r="P3381" s="6"/>
      <c r="Q3381" s="6"/>
      <c r="R3381" s="7"/>
      <c r="S3381" s="6"/>
      <c r="T3381" s="6"/>
      <c r="U3381" s="7"/>
      <c r="V3381" s="6"/>
      <c r="W3381" s="6"/>
      <c r="X3381" s="12"/>
      <c r="Y3381" s="6"/>
      <c r="Z3381" s="6"/>
      <c r="AA3381" s="7"/>
      <c r="AB3381" s="6"/>
      <c r="AC3381" s="6"/>
      <c r="AD3381" s="6"/>
      <c r="AE3381" s="12"/>
      <c r="AF3381" s="6"/>
      <c r="AG3381" s="12"/>
      <c r="AH3381" s="6"/>
      <c r="AI3381" s="6"/>
      <c r="AJ3381" s="12"/>
      <c r="AK3381" s="24"/>
      <c r="AL3381" s="25"/>
      <c r="AM3381" s="12"/>
      <c r="AN3381" s="1"/>
      <c r="AO3381" s="6"/>
    </row>
    <row r="3382" spans="1:41" ht="15" x14ac:dyDescent="0.25">
      <c r="A3382" s="1"/>
      <c r="B3382" s="1"/>
      <c r="C3382" s="1"/>
      <c r="D3382" s="1"/>
      <c r="E3382" s="6"/>
      <c r="F3382" s="1"/>
      <c r="G3382" s="6"/>
      <c r="H3382" s="6"/>
      <c r="I3382" s="6"/>
      <c r="J3382" s="6"/>
      <c r="K3382" s="6"/>
      <c r="L3382" s="6"/>
      <c r="M3382" s="6"/>
      <c r="N3382" s="6"/>
      <c r="O3382" s="7"/>
      <c r="P3382" s="6"/>
      <c r="Q3382" s="6"/>
      <c r="R3382" s="7"/>
      <c r="S3382" s="6"/>
      <c r="T3382" s="6"/>
      <c r="U3382" s="7"/>
      <c r="V3382" s="6"/>
      <c r="W3382" s="6"/>
      <c r="X3382" s="12"/>
      <c r="Y3382" s="6"/>
      <c r="Z3382" s="6"/>
      <c r="AA3382" s="7"/>
      <c r="AB3382" s="6"/>
      <c r="AC3382" s="6"/>
      <c r="AD3382" s="6"/>
      <c r="AE3382" s="12"/>
      <c r="AF3382" s="12"/>
      <c r="AG3382" s="12"/>
      <c r="AH3382" s="12"/>
      <c r="AI3382" s="6"/>
      <c r="AJ3382" s="12"/>
      <c r="AK3382" s="1"/>
      <c r="AL3382" s="12"/>
      <c r="AM3382" s="12"/>
      <c r="AN3382" s="1"/>
      <c r="AO3382" s="6"/>
    </row>
    <row r="3383" spans="1:41" ht="15" x14ac:dyDescent="0.25">
      <c r="A3383" s="1"/>
      <c r="B3383" s="1"/>
      <c r="C3383" s="1"/>
      <c r="D3383" s="1"/>
      <c r="E3383" s="6"/>
      <c r="F3383" s="1"/>
      <c r="G3383" s="6"/>
      <c r="H3383" s="6"/>
      <c r="I3383" s="6"/>
      <c r="J3383" s="6"/>
      <c r="K3383" s="6"/>
      <c r="L3383" s="6"/>
      <c r="M3383" s="6"/>
      <c r="N3383" s="6"/>
      <c r="O3383" s="7"/>
      <c r="P3383" s="6"/>
      <c r="Q3383" s="6"/>
      <c r="R3383" s="7"/>
      <c r="S3383" s="6"/>
      <c r="T3383" s="6"/>
      <c r="U3383" s="7"/>
      <c r="V3383" s="6"/>
      <c r="W3383" s="6"/>
      <c r="X3383" s="6"/>
      <c r="Y3383" s="6"/>
      <c r="Z3383" s="6"/>
      <c r="AA3383" s="7"/>
      <c r="AB3383" s="6"/>
      <c r="AC3383" s="6"/>
      <c r="AD3383" s="6"/>
      <c r="AE3383" s="12"/>
      <c r="AF3383" s="12"/>
      <c r="AG3383" s="12"/>
      <c r="AH3383" s="12"/>
      <c r="AI3383" s="6"/>
      <c r="AJ3383" s="12"/>
      <c r="AK3383" s="1"/>
      <c r="AL3383" s="12"/>
      <c r="AM3383" s="12"/>
      <c r="AN3383" s="1"/>
      <c r="AO3383" s="6"/>
    </row>
    <row r="3384" spans="1:41" ht="15" x14ac:dyDescent="0.25">
      <c r="A3384" s="1"/>
      <c r="B3384" s="1"/>
      <c r="C3384" s="1"/>
      <c r="D3384" s="1"/>
      <c r="E3384" s="6"/>
      <c r="F3384" s="1"/>
      <c r="G3384" s="6"/>
      <c r="H3384" s="6"/>
      <c r="I3384" s="6"/>
      <c r="J3384" s="6"/>
      <c r="K3384" s="6"/>
      <c r="L3384" s="6"/>
      <c r="M3384" s="6"/>
      <c r="N3384" s="6"/>
      <c r="O3384" s="7"/>
      <c r="P3384" s="6"/>
      <c r="Q3384" s="6"/>
      <c r="R3384" s="7"/>
      <c r="S3384" s="6"/>
      <c r="T3384" s="6"/>
      <c r="U3384" s="7"/>
      <c r="V3384" s="6"/>
      <c r="W3384" s="6"/>
      <c r="X3384" s="12"/>
      <c r="Y3384" s="6"/>
      <c r="Z3384" s="6"/>
      <c r="AA3384" s="7"/>
      <c r="AB3384" s="6"/>
      <c r="AC3384" s="6"/>
      <c r="AD3384" s="6"/>
      <c r="AE3384" s="12"/>
      <c r="AF3384" s="12"/>
      <c r="AG3384" s="12"/>
      <c r="AH3384" s="12"/>
      <c r="AI3384" s="6"/>
      <c r="AJ3384" s="12"/>
      <c r="AK3384" s="1"/>
      <c r="AL3384" s="12"/>
      <c r="AM3384" s="12"/>
      <c r="AN3384" s="1"/>
      <c r="AO3384" s="6"/>
    </row>
    <row r="3385" spans="1:41" ht="15" x14ac:dyDescent="0.25">
      <c r="A3385" s="1"/>
      <c r="B3385" s="1"/>
      <c r="C3385" s="1"/>
      <c r="D3385" s="1"/>
      <c r="E3385" s="6"/>
      <c r="F3385" s="1"/>
      <c r="G3385" s="6"/>
      <c r="H3385" s="6"/>
      <c r="I3385" s="6"/>
      <c r="J3385" s="6"/>
      <c r="K3385" s="6"/>
      <c r="L3385" s="6"/>
      <c r="M3385" s="6"/>
      <c r="N3385" s="6"/>
      <c r="O3385" s="7"/>
      <c r="P3385" s="6"/>
      <c r="Q3385" s="7"/>
      <c r="R3385" s="6"/>
      <c r="S3385" s="6"/>
      <c r="T3385" s="6"/>
      <c r="U3385" s="6"/>
      <c r="V3385" s="7"/>
      <c r="W3385" s="7"/>
      <c r="X3385" s="6"/>
      <c r="Y3385" s="6"/>
      <c r="Z3385" s="6"/>
      <c r="AA3385" s="1"/>
      <c r="AB3385" s="12"/>
      <c r="AC3385" s="12"/>
      <c r="AD3385" s="12"/>
      <c r="AE3385" s="12"/>
      <c r="AF3385" s="12"/>
      <c r="AG3385" s="12"/>
      <c r="AH3385" s="12"/>
      <c r="AI3385" s="6"/>
      <c r="AJ3385" s="12"/>
      <c r="AK3385" s="12"/>
      <c r="AL3385" s="12"/>
      <c r="AM3385" s="12"/>
      <c r="AN3385" s="1"/>
      <c r="AO3385" s="6"/>
    </row>
    <row r="3386" spans="1:41" ht="15" x14ac:dyDescent="0.25">
      <c r="A3386" s="1"/>
      <c r="B3386" s="1"/>
      <c r="C3386" s="1"/>
      <c r="D3386" s="1"/>
      <c r="E3386" s="6"/>
      <c r="F3386" s="1"/>
      <c r="G3386" s="6"/>
      <c r="H3386" s="6"/>
      <c r="I3386" s="6"/>
      <c r="J3386" s="6"/>
      <c r="K3386" s="6"/>
      <c r="L3386" s="6"/>
      <c r="M3386" s="6"/>
      <c r="N3386" s="6"/>
      <c r="O3386" s="7"/>
      <c r="P3386" s="12"/>
      <c r="Q3386" s="6"/>
      <c r="R3386" s="12"/>
      <c r="S3386" s="12"/>
      <c r="T3386" s="12"/>
      <c r="U3386" s="7"/>
      <c r="V3386" s="6"/>
      <c r="W3386" s="6"/>
      <c r="X3386" s="12"/>
      <c r="Y3386" s="12"/>
      <c r="Z3386" s="6"/>
      <c r="AA3386" s="7"/>
      <c r="AB3386" s="6"/>
      <c r="AC3386" s="6"/>
      <c r="AD3386" s="6"/>
      <c r="AE3386" s="12"/>
      <c r="AF3386" s="6"/>
      <c r="AG3386" s="12"/>
      <c r="AH3386" s="6"/>
      <c r="AI3386" s="6"/>
      <c r="AJ3386" s="12"/>
      <c r="AK3386" s="1"/>
      <c r="AL3386" s="12"/>
      <c r="AM3386" s="12"/>
      <c r="AN3386" s="1"/>
      <c r="AO3386" s="6"/>
    </row>
    <row r="3387" spans="1:41" ht="15" x14ac:dyDescent="0.25">
      <c r="A3387" s="1"/>
      <c r="B3387" s="1"/>
      <c r="C3387" s="1"/>
      <c r="D3387" s="1"/>
      <c r="E3387" s="6"/>
      <c r="F3387" s="1"/>
      <c r="G3387" s="6"/>
      <c r="H3387" s="6"/>
      <c r="I3387" s="6"/>
      <c r="J3387" s="6"/>
      <c r="K3387" s="6"/>
      <c r="L3387" s="6"/>
      <c r="M3387" s="6"/>
      <c r="N3387" s="6"/>
      <c r="O3387" s="7"/>
      <c r="P3387" s="12"/>
      <c r="Q3387" s="6"/>
      <c r="R3387" s="12"/>
      <c r="S3387" s="12"/>
      <c r="T3387" s="12"/>
      <c r="U3387" s="7"/>
      <c r="V3387" s="6"/>
      <c r="W3387" s="6"/>
      <c r="X3387" s="12"/>
      <c r="Y3387" s="12"/>
      <c r="Z3387" s="6"/>
      <c r="AA3387" s="7"/>
      <c r="AB3387" s="6"/>
      <c r="AC3387" s="6"/>
      <c r="AD3387" s="6"/>
      <c r="AE3387" s="12"/>
      <c r="AF3387" s="6"/>
      <c r="AG3387" s="12"/>
      <c r="AH3387" s="6"/>
      <c r="AI3387" s="6"/>
      <c r="AJ3387" s="12"/>
      <c r="AK3387" s="1"/>
      <c r="AL3387" s="12"/>
      <c r="AM3387" s="12"/>
      <c r="AN3387" s="1"/>
      <c r="AO3387" s="6"/>
    </row>
    <row r="3388" spans="1:41" ht="15" x14ac:dyDescent="0.25">
      <c r="A3388" s="1"/>
      <c r="B3388" s="1"/>
      <c r="C3388" s="1"/>
      <c r="D3388" s="1"/>
      <c r="E3388" s="6"/>
      <c r="F3388" s="1"/>
      <c r="G3388" s="6"/>
      <c r="H3388" s="6"/>
      <c r="I3388" s="6"/>
      <c r="J3388" s="6"/>
      <c r="K3388" s="6"/>
      <c r="L3388" s="6"/>
      <c r="M3388" s="6"/>
      <c r="N3388" s="6"/>
      <c r="O3388" s="7"/>
      <c r="P3388" s="6"/>
      <c r="Q3388" s="6"/>
      <c r="R3388" s="7"/>
      <c r="S3388" s="6"/>
      <c r="T3388" s="6"/>
      <c r="U3388" s="7"/>
      <c r="V3388" s="6"/>
      <c r="W3388" s="6"/>
      <c r="X3388" s="6"/>
      <c r="Y3388" s="6"/>
      <c r="Z3388" s="6"/>
      <c r="AA3388" s="7"/>
      <c r="AB3388" s="6"/>
      <c r="AC3388" s="6"/>
      <c r="AD3388" s="6"/>
      <c r="AE3388" s="12"/>
      <c r="AF3388" s="6"/>
      <c r="AG3388" s="12"/>
      <c r="AH3388" s="6"/>
      <c r="AI3388" s="6"/>
      <c r="AJ3388" s="12"/>
      <c r="AK3388" s="24"/>
      <c r="AL3388" s="25"/>
      <c r="AM3388" s="12"/>
      <c r="AN3388" s="1"/>
      <c r="AO3388" s="6"/>
    </row>
    <row r="3389" spans="1:41" ht="15" x14ac:dyDescent="0.25">
      <c r="A3389" s="1"/>
      <c r="B3389" s="1"/>
      <c r="C3389" s="1"/>
      <c r="D3389" s="1"/>
      <c r="E3389" s="6"/>
      <c r="F3389" s="1"/>
      <c r="G3389" s="6"/>
      <c r="H3389" s="6"/>
      <c r="I3389" s="6"/>
      <c r="J3389" s="6"/>
      <c r="K3389" s="6"/>
      <c r="L3389" s="6"/>
      <c r="M3389" s="6"/>
      <c r="N3389" s="6"/>
      <c r="O3389" s="7"/>
      <c r="P3389" s="6"/>
      <c r="Q3389" s="6"/>
      <c r="R3389" s="7"/>
      <c r="S3389" s="6"/>
      <c r="T3389" s="6"/>
      <c r="U3389" s="7"/>
      <c r="V3389" s="6"/>
      <c r="W3389" s="6"/>
      <c r="X3389" s="6"/>
      <c r="Y3389" s="6"/>
      <c r="Z3389" s="6"/>
      <c r="AA3389" s="7"/>
      <c r="AB3389" s="6"/>
      <c r="AC3389" s="6"/>
      <c r="AD3389" s="6"/>
      <c r="AE3389" s="12"/>
      <c r="AF3389" s="6"/>
      <c r="AG3389" s="12"/>
      <c r="AH3389" s="6"/>
      <c r="AI3389" s="6"/>
      <c r="AJ3389" s="12"/>
      <c r="AK3389" s="24"/>
      <c r="AL3389" s="25"/>
      <c r="AM3389" s="12"/>
      <c r="AN3389" s="1"/>
      <c r="AO3389" s="6"/>
    </row>
    <row r="3390" spans="1:41" ht="15" x14ac:dyDescent="0.25">
      <c r="A3390" s="1"/>
      <c r="B3390" s="1"/>
      <c r="C3390" s="1"/>
      <c r="D3390" s="1"/>
      <c r="E3390" s="6"/>
      <c r="F3390" s="1"/>
      <c r="G3390" s="6"/>
      <c r="H3390" s="6"/>
      <c r="I3390" s="6"/>
      <c r="J3390" s="6"/>
      <c r="K3390" s="6"/>
      <c r="L3390" s="6"/>
      <c r="M3390" s="6"/>
      <c r="N3390" s="6"/>
      <c r="O3390" s="7"/>
      <c r="P3390" s="6"/>
      <c r="Q3390" s="6"/>
      <c r="R3390" s="7"/>
      <c r="S3390" s="6"/>
      <c r="T3390" s="6"/>
      <c r="U3390" s="7"/>
      <c r="V3390" s="6"/>
      <c r="W3390" s="6"/>
      <c r="X3390" s="6"/>
      <c r="Y3390" s="6"/>
      <c r="Z3390" s="6"/>
      <c r="AA3390" s="7"/>
      <c r="AB3390" s="6"/>
      <c r="AC3390" s="6"/>
      <c r="AD3390" s="6"/>
      <c r="AE3390" s="12"/>
      <c r="AF3390" s="6"/>
      <c r="AG3390" s="12"/>
      <c r="AH3390" s="6"/>
      <c r="AI3390" s="6"/>
      <c r="AJ3390" s="12"/>
      <c r="AK3390" s="24"/>
      <c r="AL3390" s="25"/>
      <c r="AM3390" s="12"/>
      <c r="AN3390" s="1"/>
      <c r="AO3390" s="6"/>
    </row>
    <row r="3391" spans="1:41" ht="15" x14ac:dyDescent="0.25">
      <c r="A3391" s="1"/>
      <c r="B3391" s="1"/>
      <c r="C3391" s="1"/>
      <c r="D3391" s="1"/>
      <c r="E3391" s="6"/>
      <c r="F3391" s="1"/>
      <c r="G3391" s="6"/>
      <c r="H3391" s="6"/>
      <c r="I3391" s="6"/>
      <c r="J3391" s="6"/>
      <c r="K3391" s="12"/>
      <c r="L3391" s="12"/>
      <c r="M3391" s="6"/>
      <c r="N3391" s="6"/>
      <c r="O3391" s="7"/>
      <c r="P3391" s="6"/>
      <c r="Q3391" s="6"/>
      <c r="R3391" s="7"/>
      <c r="S3391" s="6"/>
      <c r="T3391" s="6"/>
      <c r="U3391" s="7"/>
      <c r="V3391" s="6"/>
      <c r="W3391" s="6"/>
      <c r="X3391" s="12"/>
      <c r="Y3391" s="6"/>
      <c r="Z3391" s="6"/>
      <c r="AA3391" s="7"/>
      <c r="AB3391" s="6"/>
      <c r="AC3391" s="6"/>
      <c r="AD3391" s="6"/>
      <c r="AE3391" s="12"/>
      <c r="AF3391" s="12"/>
      <c r="AG3391" s="12"/>
      <c r="AH3391" s="12"/>
      <c r="AI3391" s="6"/>
      <c r="AJ3391" s="12"/>
      <c r="AK3391" s="1"/>
      <c r="AL3391" s="12"/>
      <c r="AM3391" s="12"/>
      <c r="AN3391" s="1"/>
      <c r="AO3391" s="12"/>
    </row>
    <row r="3392" spans="1:41" ht="15" x14ac:dyDescent="0.25">
      <c r="A3392" s="1"/>
      <c r="B3392" s="1"/>
      <c r="C3392" s="1"/>
      <c r="D3392" s="1"/>
      <c r="E3392" s="6"/>
      <c r="F3392" s="1"/>
      <c r="G3392" s="6"/>
      <c r="H3392" s="6"/>
      <c r="I3392" s="6"/>
      <c r="J3392" s="6"/>
      <c r="K3392" s="6"/>
      <c r="L3392" s="6"/>
      <c r="M3392" s="6"/>
      <c r="N3392" s="6"/>
      <c r="O3392" s="7"/>
      <c r="P3392" s="6"/>
      <c r="Q3392" s="6"/>
      <c r="R3392" s="7"/>
      <c r="S3392" s="6"/>
      <c r="T3392" s="6"/>
      <c r="U3392" s="7"/>
      <c r="V3392" s="6"/>
      <c r="W3392" s="6"/>
      <c r="X3392" s="6"/>
      <c r="Y3392" s="6"/>
      <c r="Z3392" s="6"/>
      <c r="AA3392" s="7"/>
      <c r="AB3392" s="6"/>
      <c r="AC3392" s="6"/>
      <c r="AD3392" s="6"/>
      <c r="AE3392" s="12"/>
      <c r="AF3392" s="12"/>
      <c r="AG3392" s="12"/>
      <c r="AH3392" s="12"/>
      <c r="AI3392" s="6"/>
      <c r="AJ3392" s="12"/>
      <c r="AK3392" s="1"/>
      <c r="AL3392" s="12"/>
      <c r="AM3392" s="12"/>
      <c r="AN3392" s="1"/>
      <c r="AO3392" s="6"/>
    </row>
    <row r="3393" spans="1:41" ht="15" x14ac:dyDescent="0.25">
      <c r="A3393" s="1"/>
      <c r="B3393" s="1"/>
      <c r="C3393" s="1"/>
      <c r="D3393" s="1"/>
      <c r="E3393" s="6"/>
      <c r="F3393" s="1"/>
      <c r="G3393" s="6"/>
      <c r="H3393" s="6"/>
      <c r="I3393" s="6"/>
      <c r="J3393" s="6"/>
      <c r="K3393" s="6"/>
      <c r="L3393" s="6"/>
      <c r="M3393" s="6"/>
      <c r="N3393" s="6"/>
      <c r="O3393" s="7"/>
      <c r="P3393" s="12"/>
      <c r="Q3393" s="6"/>
      <c r="R3393" s="7"/>
      <c r="S3393" s="6"/>
      <c r="T3393" s="6"/>
      <c r="U3393" s="7"/>
      <c r="V3393" s="6"/>
      <c r="W3393" s="6"/>
      <c r="X3393" s="6"/>
      <c r="Y3393" s="6"/>
      <c r="Z3393" s="6"/>
      <c r="AA3393" s="7"/>
      <c r="AB3393" s="6"/>
      <c r="AC3393" s="6"/>
      <c r="AD3393" s="6"/>
      <c r="AE3393" s="12"/>
      <c r="AF3393" s="6"/>
      <c r="AG3393" s="12"/>
      <c r="AH3393" s="6"/>
      <c r="AI3393" s="6"/>
      <c r="AJ3393" s="12"/>
      <c r="AK3393" s="1"/>
      <c r="AL3393" s="12"/>
      <c r="AM3393" s="12"/>
      <c r="AN3393" s="1"/>
      <c r="AO3393" s="6"/>
    </row>
    <row r="3394" spans="1:41" ht="15" x14ac:dyDescent="0.25">
      <c r="A3394" s="1"/>
      <c r="B3394" s="1"/>
      <c r="C3394" s="1"/>
      <c r="D3394" s="1"/>
      <c r="E3394" s="6"/>
      <c r="F3394" s="1"/>
      <c r="G3394" s="6"/>
      <c r="H3394" s="6"/>
      <c r="I3394" s="6"/>
      <c r="J3394" s="6"/>
      <c r="K3394" s="6"/>
      <c r="L3394" s="6"/>
      <c r="M3394" s="6"/>
      <c r="N3394" s="6"/>
      <c r="O3394" s="7"/>
      <c r="P3394" s="12"/>
      <c r="Q3394" s="6"/>
      <c r="R3394" s="7"/>
      <c r="S3394" s="6"/>
      <c r="T3394" s="6"/>
      <c r="U3394" s="7"/>
      <c r="V3394" s="6"/>
      <c r="W3394" s="6"/>
      <c r="X3394" s="6"/>
      <c r="Y3394" s="6"/>
      <c r="Z3394" s="6"/>
      <c r="AA3394" s="7"/>
      <c r="AB3394" s="6"/>
      <c r="AC3394" s="6"/>
      <c r="AD3394" s="6"/>
      <c r="AE3394" s="12"/>
      <c r="AF3394" s="6"/>
      <c r="AG3394" s="12"/>
      <c r="AH3394" s="6"/>
      <c r="AI3394" s="6"/>
      <c r="AJ3394" s="12"/>
      <c r="AK3394" s="1"/>
      <c r="AL3394" s="12"/>
      <c r="AM3394" s="12"/>
      <c r="AN3394" s="1"/>
      <c r="AO3394" s="6"/>
    </row>
    <row r="3395" spans="1:41" ht="15" x14ac:dyDescent="0.25">
      <c r="A3395" s="1"/>
      <c r="B3395" s="1"/>
      <c r="C3395" s="1"/>
      <c r="D3395" s="1"/>
      <c r="E3395" s="6"/>
      <c r="F3395" s="1"/>
      <c r="G3395" s="6"/>
      <c r="H3395" s="6"/>
      <c r="I3395" s="6"/>
      <c r="J3395" s="6"/>
      <c r="K3395" s="6"/>
      <c r="L3395" s="6"/>
      <c r="M3395" s="6"/>
      <c r="N3395" s="6"/>
      <c r="O3395" s="7"/>
      <c r="P3395" s="6"/>
      <c r="Q3395" s="6"/>
      <c r="R3395" s="7"/>
      <c r="S3395" s="6"/>
      <c r="T3395" s="6"/>
      <c r="U3395" s="7"/>
      <c r="V3395" s="6"/>
      <c r="W3395" s="6"/>
      <c r="X3395" s="6"/>
      <c r="Y3395" s="6"/>
      <c r="Z3395" s="6"/>
      <c r="AA3395" s="7"/>
      <c r="AB3395" s="6"/>
      <c r="AC3395" s="6"/>
      <c r="AD3395" s="6"/>
      <c r="AE3395" s="12"/>
      <c r="AF3395" s="12"/>
      <c r="AG3395" s="12"/>
      <c r="AH3395" s="12"/>
      <c r="AI3395" s="6"/>
      <c r="AJ3395" s="12"/>
      <c r="AK3395" s="1"/>
      <c r="AL3395" s="12"/>
      <c r="AM3395" s="12"/>
      <c r="AN3395" s="1"/>
      <c r="AO3395" s="6"/>
    </row>
    <row r="3396" spans="1:41" ht="15" x14ac:dyDescent="0.25">
      <c r="A3396" s="1"/>
      <c r="B3396" s="1"/>
      <c r="C3396" s="1"/>
      <c r="D3396" s="1"/>
      <c r="E3396" s="6"/>
      <c r="F3396" s="1"/>
      <c r="G3396" s="6"/>
      <c r="H3396" s="6"/>
      <c r="I3396" s="6"/>
      <c r="J3396" s="6"/>
      <c r="K3396" s="6"/>
      <c r="L3396" s="6"/>
      <c r="M3396" s="6"/>
      <c r="N3396" s="6"/>
      <c r="O3396" s="7"/>
      <c r="P3396" s="6"/>
      <c r="Q3396" s="6"/>
      <c r="R3396" s="7"/>
      <c r="S3396" s="6"/>
      <c r="T3396" s="6"/>
      <c r="U3396" s="7"/>
      <c r="V3396" s="6"/>
      <c r="W3396" s="6"/>
      <c r="X3396" s="6"/>
      <c r="Y3396" s="6"/>
      <c r="Z3396" s="6"/>
      <c r="AA3396" s="7"/>
      <c r="AB3396" s="6"/>
      <c r="AC3396" s="6"/>
      <c r="AD3396" s="6"/>
      <c r="AE3396" s="12"/>
      <c r="AF3396" s="6"/>
      <c r="AG3396" s="12"/>
      <c r="AH3396" s="6"/>
      <c r="AI3396" s="6"/>
      <c r="AJ3396" s="12"/>
      <c r="AK3396" s="24"/>
      <c r="AL3396" s="25"/>
      <c r="AM3396" s="12"/>
      <c r="AN3396" s="1"/>
      <c r="AO3396" s="6"/>
    </row>
    <row r="3397" spans="1:41" ht="15" x14ac:dyDescent="0.25">
      <c r="A3397" s="1"/>
      <c r="B3397" s="1"/>
      <c r="C3397" s="1"/>
      <c r="D3397" s="1"/>
      <c r="E3397" s="6"/>
      <c r="F3397" s="1"/>
      <c r="G3397" s="6"/>
      <c r="H3397" s="6"/>
      <c r="I3397" s="6"/>
      <c r="J3397" s="6"/>
      <c r="K3397" s="6"/>
      <c r="L3397" s="6"/>
      <c r="M3397" s="6"/>
      <c r="N3397" s="6"/>
      <c r="O3397" s="7"/>
      <c r="P3397" s="6"/>
      <c r="Q3397" s="7"/>
      <c r="R3397" s="6"/>
      <c r="S3397" s="6"/>
      <c r="T3397" s="6"/>
      <c r="U3397" s="6"/>
      <c r="V3397" s="7"/>
      <c r="W3397" s="7"/>
      <c r="X3397" s="6"/>
      <c r="Y3397" s="6"/>
      <c r="Z3397" s="6"/>
      <c r="AA3397" s="1"/>
      <c r="AB3397" s="12"/>
      <c r="AC3397" s="12"/>
      <c r="AD3397" s="12"/>
      <c r="AE3397" s="12"/>
      <c r="AF3397" s="12"/>
      <c r="AG3397" s="12"/>
      <c r="AH3397" s="12"/>
      <c r="AI3397" s="6"/>
      <c r="AJ3397" s="12"/>
      <c r="AK3397" s="12"/>
      <c r="AL3397" s="12"/>
      <c r="AM3397" s="12"/>
      <c r="AN3397" s="1"/>
      <c r="AO3397" s="6"/>
    </row>
    <row r="3398" spans="1:41" ht="15" x14ac:dyDescent="0.25">
      <c r="A3398" s="1"/>
      <c r="B3398" s="1"/>
      <c r="C3398" s="1"/>
      <c r="D3398" s="1"/>
      <c r="E3398" s="6"/>
      <c r="F3398" s="1"/>
      <c r="G3398" s="6"/>
      <c r="H3398" s="6"/>
      <c r="I3398" s="6"/>
      <c r="J3398" s="6"/>
      <c r="K3398" s="6"/>
      <c r="L3398" s="6"/>
      <c r="M3398" s="6"/>
      <c r="N3398" s="6"/>
      <c r="O3398" s="7"/>
      <c r="P3398" s="12"/>
      <c r="Q3398" s="6"/>
      <c r="R3398" s="7"/>
      <c r="S3398" s="6"/>
      <c r="T3398" s="6"/>
      <c r="U3398" s="7"/>
      <c r="V3398" s="6"/>
      <c r="W3398" s="6"/>
      <c r="X3398" s="6"/>
      <c r="Y3398" s="6"/>
      <c r="Z3398" s="6"/>
      <c r="AA3398" s="7"/>
      <c r="AB3398" s="6"/>
      <c r="AC3398" s="6"/>
      <c r="AD3398" s="6"/>
      <c r="AE3398" s="12"/>
      <c r="AF3398" s="6"/>
      <c r="AG3398" s="12"/>
      <c r="AH3398" s="6"/>
      <c r="AI3398" s="6"/>
      <c r="AJ3398" s="12"/>
      <c r="AK3398" s="1"/>
      <c r="AL3398" s="12"/>
      <c r="AM3398" s="12"/>
      <c r="AN3398" s="1"/>
      <c r="AO3398" s="6"/>
    </row>
    <row r="3399" spans="1:41" ht="15" x14ac:dyDescent="0.25">
      <c r="A3399" s="1"/>
      <c r="B3399" s="1"/>
      <c r="C3399" s="1"/>
      <c r="D3399" s="1"/>
      <c r="E3399" s="6"/>
      <c r="F3399" s="1"/>
      <c r="G3399" s="6"/>
      <c r="H3399" s="6"/>
      <c r="I3399" s="6"/>
      <c r="J3399" s="6"/>
      <c r="K3399" s="6"/>
      <c r="L3399" s="6"/>
      <c r="M3399" s="6"/>
      <c r="N3399" s="6"/>
      <c r="O3399" s="7"/>
      <c r="P3399" s="6"/>
      <c r="Q3399" s="7"/>
      <c r="R3399" s="6"/>
      <c r="S3399" s="6"/>
      <c r="T3399" s="6"/>
      <c r="U3399" s="6"/>
      <c r="V3399" s="7"/>
      <c r="W3399" s="7"/>
      <c r="X3399" s="6"/>
      <c r="Y3399" s="6"/>
      <c r="Z3399" s="6"/>
      <c r="AA3399" s="24"/>
      <c r="AB3399" s="25"/>
      <c r="AC3399" s="12"/>
      <c r="AD3399" s="12"/>
      <c r="AE3399" s="12"/>
      <c r="AF3399" s="6"/>
      <c r="AG3399" s="12"/>
      <c r="AH3399" s="6"/>
      <c r="AI3399" s="6"/>
      <c r="AJ3399" s="12"/>
      <c r="AK3399" s="12"/>
      <c r="AL3399" s="12"/>
      <c r="AM3399" s="12"/>
      <c r="AN3399" s="1"/>
      <c r="AO3399" s="6"/>
    </row>
    <row r="3400" spans="1:41" ht="15" x14ac:dyDescent="0.25">
      <c r="A3400" s="1"/>
      <c r="B3400" s="1"/>
      <c r="C3400" s="1"/>
      <c r="D3400" s="1"/>
      <c r="E3400" s="6"/>
      <c r="F3400" s="1"/>
      <c r="G3400" s="6"/>
      <c r="H3400" s="6"/>
      <c r="I3400" s="6"/>
      <c r="J3400" s="6"/>
      <c r="K3400" s="6"/>
      <c r="L3400" s="6"/>
      <c r="M3400" s="6"/>
      <c r="N3400" s="6"/>
      <c r="O3400" s="7"/>
      <c r="P3400" s="6"/>
      <c r="Q3400" s="7"/>
      <c r="R3400" s="6"/>
      <c r="S3400" s="6"/>
      <c r="T3400" s="6"/>
      <c r="U3400" s="6"/>
      <c r="V3400" s="7"/>
      <c r="W3400" s="6"/>
      <c r="X3400" s="6"/>
      <c r="Y3400" s="6"/>
      <c r="Z3400" s="6"/>
      <c r="AA3400" s="24"/>
      <c r="AB3400" s="25"/>
      <c r="AC3400" s="12"/>
      <c r="AD3400" s="12"/>
      <c r="AE3400" s="12"/>
      <c r="AF3400" s="6"/>
      <c r="AG3400" s="12"/>
      <c r="AH3400" s="6"/>
      <c r="AI3400" s="6"/>
      <c r="AJ3400" s="12"/>
      <c r="AK3400" s="12"/>
      <c r="AL3400" s="12"/>
      <c r="AM3400" s="12"/>
      <c r="AN3400" s="1"/>
      <c r="AO3400" s="6"/>
    </row>
    <row r="3401" spans="1:41" ht="15" x14ac:dyDescent="0.25">
      <c r="A3401" s="1"/>
      <c r="B3401" s="1"/>
      <c r="C3401" s="1"/>
      <c r="D3401" s="1"/>
      <c r="E3401" s="6"/>
      <c r="F3401" s="1"/>
      <c r="G3401" s="6"/>
      <c r="H3401" s="6"/>
      <c r="I3401" s="6"/>
      <c r="J3401" s="6"/>
      <c r="K3401" s="6"/>
      <c r="L3401" s="6"/>
      <c r="M3401" s="6"/>
      <c r="N3401" s="6"/>
      <c r="O3401" s="7"/>
      <c r="P3401" s="6"/>
      <c r="Q3401" s="6"/>
      <c r="R3401" s="7"/>
      <c r="S3401" s="6"/>
      <c r="T3401" s="6"/>
      <c r="U3401" s="7"/>
      <c r="V3401" s="6"/>
      <c r="W3401" s="6"/>
      <c r="X3401" s="6"/>
      <c r="Y3401" s="6"/>
      <c r="Z3401" s="6"/>
      <c r="AA3401" s="7"/>
      <c r="AB3401" s="6"/>
      <c r="AC3401" s="6"/>
      <c r="AD3401" s="6"/>
      <c r="AE3401" s="12"/>
      <c r="AF3401" s="12"/>
      <c r="AG3401" s="12"/>
      <c r="AH3401" s="12"/>
      <c r="AI3401" s="6"/>
      <c r="AJ3401" s="12"/>
      <c r="AK3401" s="1"/>
      <c r="AL3401" s="12"/>
      <c r="AM3401" s="12"/>
      <c r="AN3401" s="1"/>
      <c r="AO3401" s="6"/>
    </row>
    <row r="3402" spans="1:41" ht="15" x14ac:dyDescent="0.25">
      <c r="A3402" s="1"/>
      <c r="B3402" s="1"/>
      <c r="C3402" s="1"/>
      <c r="D3402" s="1"/>
      <c r="E3402" s="6"/>
      <c r="F3402" s="1"/>
      <c r="G3402" s="6"/>
      <c r="H3402" s="6"/>
      <c r="I3402" s="6"/>
      <c r="J3402" s="6"/>
      <c r="K3402" s="6"/>
      <c r="L3402" s="6"/>
      <c r="M3402" s="6"/>
      <c r="N3402" s="6"/>
      <c r="O3402" s="7"/>
      <c r="P3402" s="12"/>
      <c r="Q3402" s="6"/>
      <c r="R3402" s="12"/>
      <c r="S3402" s="12"/>
      <c r="T3402" s="12"/>
      <c r="U3402" s="7"/>
      <c r="V3402" s="6"/>
      <c r="W3402" s="6"/>
      <c r="X3402" s="12"/>
      <c r="Y3402" s="6"/>
      <c r="Z3402" s="6"/>
      <c r="AA3402" s="7"/>
      <c r="AB3402" s="6"/>
      <c r="AC3402" s="6"/>
      <c r="AD3402" s="6"/>
      <c r="AE3402" s="12"/>
      <c r="AF3402" s="12"/>
      <c r="AG3402" s="12"/>
      <c r="AH3402" s="12"/>
      <c r="AI3402" s="6"/>
      <c r="AJ3402" s="12"/>
      <c r="AK3402" s="1"/>
      <c r="AL3402" s="12"/>
      <c r="AM3402" s="12"/>
      <c r="AN3402" s="1"/>
      <c r="AO3402" s="6"/>
    </row>
    <row r="3403" spans="1:41" ht="15" x14ac:dyDescent="0.25">
      <c r="A3403" s="1"/>
      <c r="B3403" s="1"/>
      <c r="C3403" s="1"/>
      <c r="D3403" s="1"/>
      <c r="E3403" s="6"/>
      <c r="F3403" s="1"/>
      <c r="G3403" s="6"/>
      <c r="H3403" s="6"/>
      <c r="I3403" s="6"/>
      <c r="J3403" s="6"/>
      <c r="K3403" s="6"/>
      <c r="L3403" s="6"/>
      <c r="M3403" s="6"/>
      <c r="N3403" s="6"/>
      <c r="O3403" s="7"/>
      <c r="P3403" s="12"/>
      <c r="Q3403" s="6"/>
      <c r="R3403" s="12"/>
      <c r="S3403" s="12"/>
      <c r="T3403" s="12"/>
      <c r="U3403" s="7"/>
      <c r="V3403" s="6"/>
      <c r="W3403" s="6"/>
      <c r="X3403" s="12"/>
      <c r="Y3403" s="6"/>
      <c r="Z3403" s="6"/>
      <c r="AA3403" s="7"/>
      <c r="AB3403" s="6"/>
      <c r="AC3403" s="6"/>
      <c r="AD3403" s="6"/>
      <c r="AE3403" s="12"/>
      <c r="AF3403" s="12"/>
      <c r="AG3403" s="12"/>
      <c r="AH3403" s="12"/>
      <c r="AI3403" s="6"/>
      <c r="AJ3403" s="12"/>
      <c r="AK3403" s="1"/>
      <c r="AL3403" s="12"/>
      <c r="AM3403" s="12"/>
      <c r="AN3403" s="1"/>
      <c r="AO3403" s="6"/>
    </row>
    <row r="3404" spans="1:41" ht="15" x14ac:dyDescent="0.25">
      <c r="A3404" s="1"/>
      <c r="B3404" s="1"/>
      <c r="C3404" s="1"/>
      <c r="D3404" s="1"/>
      <c r="E3404" s="6"/>
      <c r="F3404" s="1"/>
      <c r="G3404" s="6"/>
      <c r="H3404" s="6"/>
      <c r="I3404" s="6"/>
      <c r="J3404" s="6"/>
      <c r="K3404" s="6"/>
      <c r="L3404" s="6"/>
      <c r="M3404" s="6"/>
      <c r="N3404" s="6"/>
      <c r="O3404" s="7"/>
      <c r="P3404" s="6"/>
      <c r="Q3404" s="6"/>
      <c r="R3404" s="12"/>
      <c r="S3404" s="12"/>
      <c r="T3404" s="12"/>
      <c r="U3404" s="7"/>
      <c r="V3404" s="6"/>
      <c r="W3404" s="6"/>
      <c r="X3404" s="12"/>
      <c r="Y3404" s="6"/>
      <c r="Z3404" s="6"/>
      <c r="AA3404" s="7"/>
      <c r="AB3404" s="6"/>
      <c r="AC3404" s="6"/>
      <c r="AD3404" s="6"/>
      <c r="AE3404" s="12"/>
      <c r="AF3404" s="12"/>
      <c r="AG3404" s="12"/>
      <c r="AH3404" s="12"/>
      <c r="AI3404" s="6"/>
      <c r="AJ3404" s="12"/>
      <c r="AK3404" s="24"/>
      <c r="AL3404" s="25"/>
      <c r="AM3404" s="12"/>
      <c r="AN3404" s="1"/>
      <c r="AO3404" s="6"/>
    </row>
    <row r="3405" spans="1:41" ht="15" x14ac:dyDescent="0.25">
      <c r="A3405" s="1"/>
      <c r="B3405" s="1"/>
      <c r="C3405" s="1"/>
      <c r="D3405" s="1"/>
      <c r="E3405" s="6"/>
      <c r="F3405" s="1"/>
      <c r="G3405" s="6"/>
      <c r="H3405" s="6"/>
      <c r="I3405" s="6"/>
      <c r="J3405" s="6"/>
      <c r="K3405" s="6"/>
      <c r="L3405" s="6"/>
      <c r="M3405" s="6"/>
      <c r="N3405" s="6"/>
      <c r="O3405" s="7"/>
      <c r="P3405" s="6"/>
      <c r="Q3405" s="6"/>
      <c r="R3405" s="7"/>
      <c r="S3405" s="6"/>
      <c r="T3405" s="6"/>
      <c r="U3405" s="7"/>
      <c r="V3405" s="6"/>
      <c r="W3405" s="6"/>
      <c r="X3405" s="6"/>
      <c r="Y3405" s="6"/>
      <c r="Z3405" s="6"/>
      <c r="AA3405" s="7"/>
      <c r="AB3405" s="6"/>
      <c r="AC3405" s="6"/>
      <c r="AD3405" s="6"/>
      <c r="AE3405" s="12"/>
      <c r="AF3405" s="6"/>
      <c r="AG3405" s="12"/>
      <c r="AH3405" s="6"/>
      <c r="AI3405" s="6"/>
      <c r="AJ3405" s="12"/>
      <c r="AK3405" s="1"/>
      <c r="AL3405" s="12"/>
      <c r="AM3405" s="12"/>
      <c r="AN3405" s="1"/>
      <c r="AO3405" s="6"/>
    </row>
    <row r="3406" spans="1:41" ht="15" x14ac:dyDescent="0.25">
      <c r="A3406" s="1"/>
      <c r="B3406" s="1"/>
      <c r="C3406" s="1"/>
      <c r="D3406" s="1"/>
      <c r="E3406" s="6"/>
      <c r="F3406" s="1"/>
      <c r="G3406" s="6"/>
      <c r="H3406" s="6"/>
      <c r="I3406" s="6"/>
      <c r="J3406" s="6"/>
      <c r="K3406" s="6"/>
      <c r="L3406" s="6"/>
      <c r="M3406" s="6"/>
      <c r="N3406" s="6"/>
      <c r="O3406" s="7"/>
      <c r="P3406" s="6"/>
      <c r="Q3406" s="7"/>
      <c r="R3406" s="6"/>
      <c r="S3406" s="6"/>
      <c r="T3406" s="6"/>
      <c r="U3406" s="6"/>
      <c r="V3406" s="7"/>
      <c r="W3406" s="6"/>
      <c r="X3406" s="6"/>
      <c r="Y3406" s="6"/>
      <c r="Z3406" s="6"/>
      <c r="AA3406" s="1"/>
      <c r="AB3406" s="12"/>
      <c r="AC3406" s="12"/>
      <c r="AD3406" s="12"/>
      <c r="AE3406" s="12"/>
      <c r="AF3406" s="6"/>
      <c r="AG3406" s="12"/>
      <c r="AH3406" s="6"/>
      <c r="AI3406" s="6"/>
      <c r="AJ3406" s="12"/>
      <c r="AK3406" s="12"/>
      <c r="AL3406" s="12"/>
      <c r="AM3406" s="12"/>
      <c r="AN3406" s="1"/>
      <c r="AO3406" s="6"/>
    </row>
    <row r="3407" spans="1:41" ht="15" x14ac:dyDescent="0.25">
      <c r="A3407" s="1"/>
      <c r="B3407" s="1"/>
      <c r="C3407" s="1"/>
      <c r="D3407" s="1"/>
      <c r="E3407" s="6"/>
      <c r="F3407" s="1"/>
      <c r="G3407" s="6"/>
      <c r="H3407" s="6"/>
      <c r="I3407" s="6"/>
      <c r="J3407" s="6"/>
      <c r="K3407" s="12"/>
      <c r="L3407" s="12"/>
      <c r="M3407" s="6"/>
      <c r="N3407" s="6"/>
      <c r="O3407" s="7"/>
      <c r="P3407" s="6"/>
      <c r="Q3407" s="6"/>
      <c r="R3407" s="7"/>
      <c r="S3407" s="6"/>
      <c r="T3407" s="6"/>
      <c r="U3407" s="7"/>
      <c r="V3407" s="6"/>
      <c r="W3407" s="6"/>
      <c r="X3407" s="12"/>
      <c r="Y3407" s="6"/>
      <c r="Z3407" s="6"/>
      <c r="AA3407" s="7"/>
      <c r="AB3407" s="6"/>
      <c r="AC3407" s="6"/>
      <c r="AD3407" s="6"/>
      <c r="AE3407" s="12"/>
      <c r="AF3407" s="12"/>
      <c r="AG3407" s="12"/>
      <c r="AH3407" s="12"/>
      <c r="AI3407" s="6"/>
      <c r="AJ3407" s="12"/>
      <c r="AK3407" s="1"/>
      <c r="AL3407" s="12"/>
      <c r="AM3407" s="12"/>
      <c r="AN3407" s="1"/>
      <c r="AO3407" s="6"/>
    </row>
    <row r="3408" spans="1:41" ht="15" x14ac:dyDescent="0.25">
      <c r="A3408" s="1"/>
      <c r="B3408" s="1"/>
      <c r="C3408" s="1"/>
      <c r="D3408" s="1"/>
      <c r="E3408" s="6"/>
      <c r="F3408" s="1"/>
      <c r="G3408" s="6"/>
      <c r="H3408" s="6"/>
      <c r="I3408" s="6"/>
      <c r="J3408" s="6"/>
      <c r="K3408" s="6"/>
      <c r="L3408" s="6"/>
      <c r="M3408" s="6"/>
      <c r="N3408" s="6"/>
      <c r="O3408" s="7"/>
      <c r="P3408" s="6"/>
      <c r="Q3408" s="6"/>
      <c r="R3408" s="7"/>
      <c r="S3408" s="6"/>
      <c r="T3408" s="6"/>
      <c r="U3408" s="7"/>
      <c r="V3408" s="6"/>
      <c r="W3408" s="6"/>
      <c r="X3408" s="12"/>
      <c r="Y3408" s="6"/>
      <c r="Z3408" s="6"/>
      <c r="AA3408" s="7"/>
      <c r="AB3408" s="6"/>
      <c r="AC3408" s="6"/>
      <c r="AD3408" s="6"/>
      <c r="AE3408" s="12"/>
      <c r="AF3408" s="12"/>
      <c r="AG3408" s="12"/>
      <c r="AH3408" s="12"/>
      <c r="AI3408" s="6"/>
      <c r="AJ3408" s="12"/>
      <c r="AK3408" s="1"/>
      <c r="AL3408" s="12"/>
      <c r="AM3408" s="12"/>
      <c r="AN3408" s="1"/>
      <c r="AO3408" s="12"/>
    </row>
    <row r="3409" spans="1:41" ht="15" x14ac:dyDescent="0.25">
      <c r="A3409" s="1"/>
      <c r="B3409" s="1"/>
      <c r="C3409" s="1"/>
      <c r="D3409" s="1"/>
      <c r="E3409" s="6"/>
      <c r="F3409" s="1"/>
      <c r="G3409" s="6"/>
      <c r="H3409" s="6"/>
      <c r="I3409" s="6"/>
      <c r="J3409" s="6"/>
      <c r="K3409" s="6"/>
      <c r="L3409" s="6"/>
      <c r="M3409" s="6"/>
      <c r="N3409" s="6"/>
      <c r="O3409" s="7"/>
      <c r="P3409" s="6"/>
      <c r="Q3409" s="7"/>
      <c r="R3409" s="6"/>
      <c r="S3409" s="6"/>
      <c r="T3409" s="6"/>
      <c r="U3409" s="6"/>
      <c r="V3409" s="7"/>
      <c r="W3409" s="7"/>
      <c r="X3409" s="6"/>
      <c r="Y3409" s="6"/>
      <c r="Z3409" s="6"/>
      <c r="AA3409" s="1"/>
      <c r="AB3409" s="12"/>
      <c r="AC3409" s="12"/>
      <c r="AD3409" s="12"/>
      <c r="AE3409" s="12"/>
      <c r="AF3409" s="12"/>
      <c r="AG3409" s="12"/>
      <c r="AH3409" s="12"/>
      <c r="AI3409" s="6"/>
      <c r="AJ3409" s="12"/>
      <c r="AK3409" s="12"/>
      <c r="AL3409" s="12"/>
      <c r="AM3409" s="12"/>
      <c r="AN3409" s="1"/>
      <c r="AO3409" s="6"/>
    </row>
    <row r="3410" spans="1:41" ht="15" x14ac:dyDescent="0.25">
      <c r="A3410" s="1"/>
      <c r="B3410" s="1"/>
      <c r="C3410" s="1"/>
      <c r="D3410" s="1"/>
      <c r="E3410" s="6"/>
      <c r="F3410" s="1"/>
      <c r="G3410" s="6"/>
      <c r="H3410" s="6"/>
      <c r="I3410" s="6"/>
      <c r="J3410" s="6"/>
      <c r="K3410" s="6"/>
      <c r="L3410" s="6"/>
      <c r="M3410" s="6"/>
      <c r="N3410" s="6"/>
      <c r="O3410" s="7"/>
      <c r="P3410" s="6"/>
      <c r="Q3410" s="6"/>
      <c r="R3410" s="7"/>
      <c r="S3410" s="6"/>
      <c r="T3410" s="6"/>
      <c r="U3410" s="7"/>
      <c r="V3410" s="6"/>
      <c r="W3410" s="6"/>
      <c r="X3410" s="6"/>
      <c r="Y3410" s="6"/>
      <c r="Z3410" s="6"/>
      <c r="AA3410" s="7"/>
      <c r="AB3410" s="6"/>
      <c r="AC3410" s="6"/>
      <c r="AD3410" s="6"/>
      <c r="AE3410" s="12"/>
      <c r="AF3410" s="6"/>
      <c r="AG3410" s="12"/>
      <c r="AH3410" s="6"/>
      <c r="AI3410" s="6"/>
      <c r="AJ3410" s="12"/>
      <c r="AK3410" s="24"/>
      <c r="AL3410" s="25"/>
      <c r="AM3410" s="12"/>
      <c r="AN3410" s="1"/>
      <c r="AO3410" s="6"/>
    </row>
    <row r="3411" spans="1:41" ht="15" x14ac:dyDescent="0.25">
      <c r="A3411" s="1"/>
      <c r="B3411" s="1"/>
      <c r="C3411" s="1"/>
      <c r="D3411" s="1"/>
      <c r="E3411" s="6"/>
      <c r="F3411" s="1"/>
      <c r="G3411" s="6"/>
      <c r="H3411" s="6"/>
      <c r="I3411" s="6"/>
      <c r="J3411" s="6"/>
      <c r="K3411" s="6"/>
      <c r="L3411" s="6"/>
      <c r="M3411" s="6"/>
      <c r="N3411" s="6"/>
      <c r="O3411" s="7"/>
      <c r="P3411" s="6"/>
      <c r="Q3411" s="7"/>
      <c r="R3411" s="6"/>
      <c r="S3411" s="12"/>
      <c r="T3411" s="6"/>
      <c r="U3411" s="6"/>
      <c r="V3411" s="7"/>
      <c r="W3411" s="7"/>
      <c r="X3411" s="6"/>
      <c r="Y3411" s="6"/>
      <c r="Z3411" s="6"/>
      <c r="AA3411" s="1"/>
      <c r="AB3411" s="12"/>
      <c r="AC3411" s="12"/>
      <c r="AD3411" s="12"/>
      <c r="AE3411" s="12"/>
      <c r="AF3411" s="12"/>
      <c r="AG3411" s="12"/>
      <c r="AH3411" s="12"/>
      <c r="AI3411" s="6"/>
      <c r="AJ3411" s="12"/>
      <c r="AK3411" s="12"/>
      <c r="AL3411" s="12"/>
      <c r="AM3411" s="12"/>
      <c r="AN3411" s="1"/>
      <c r="AO3411" s="6"/>
    </row>
    <row r="3412" spans="1:41" ht="15" x14ac:dyDescent="0.25">
      <c r="A3412" s="1"/>
      <c r="B3412" s="1"/>
      <c r="C3412" s="1"/>
      <c r="D3412" s="1"/>
      <c r="E3412" s="6"/>
      <c r="F3412" s="1"/>
      <c r="G3412" s="6"/>
      <c r="H3412" s="6"/>
      <c r="I3412" s="6"/>
      <c r="J3412" s="6"/>
      <c r="K3412" s="6"/>
      <c r="L3412" s="6"/>
      <c r="M3412" s="6"/>
      <c r="N3412" s="6"/>
      <c r="O3412" s="7"/>
      <c r="P3412" s="12"/>
      <c r="Q3412" s="6"/>
      <c r="R3412" s="7"/>
      <c r="S3412" s="6"/>
      <c r="T3412" s="6"/>
      <c r="U3412" s="7"/>
      <c r="V3412" s="6"/>
      <c r="W3412" s="6"/>
      <c r="X3412" s="6"/>
      <c r="Y3412" s="6"/>
      <c r="Z3412" s="6"/>
      <c r="AA3412" s="7"/>
      <c r="AB3412" s="6"/>
      <c r="AC3412" s="6"/>
      <c r="AD3412" s="6"/>
      <c r="AE3412" s="12"/>
      <c r="AF3412" s="12"/>
      <c r="AG3412" s="12"/>
      <c r="AH3412" s="12"/>
      <c r="AI3412" s="6"/>
      <c r="AJ3412" s="12"/>
      <c r="AK3412" s="1"/>
      <c r="AL3412" s="12"/>
      <c r="AM3412" s="12"/>
      <c r="AN3412" s="1"/>
      <c r="AO3412" s="6"/>
    </row>
    <row r="3413" spans="1:41" ht="15" x14ac:dyDescent="0.25">
      <c r="A3413" s="1"/>
      <c r="B3413" s="1"/>
      <c r="C3413" s="1"/>
      <c r="D3413" s="1"/>
      <c r="E3413" s="6"/>
      <c r="F3413" s="1"/>
      <c r="G3413" s="6"/>
      <c r="H3413" s="6"/>
      <c r="I3413" s="6"/>
      <c r="J3413" s="6"/>
      <c r="K3413" s="6"/>
      <c r="L3413" s="6"/>
      <c r="M3413" s="6"/>
      <c r="N3413" s="6"/>
      <c r="O3413" s="7"/>
      <c r="P3413" s="6"/>
      <c r="Q3413" s="6"/>
      <c r="R3413" s="7"/>
      <c r="S3413" s="6"/>
      <c r="T3413" s="6"/>
      <c r="U3413" s="7"/>
      <c r="V3413" s="6"/>
      <c r="W3413" s="6"/>
      <c r="X3413" s="6"/>
      <c r="Y3413" s="6"/>
      <c r="Z3413" s="6"/>
      <c r="AA3413" s="7"/>
      <c r="AB3413" s="6"/>
      <c r="AC3413" s="6"/>
      <c r="AD3413" s="6"/>
      <c r="AE3413" s="12"/>
      <c r="AF3413" s="12"/>
      <c r="AG3413" s="12"/>
      <c r="AH3413" s="12"/>
      <c r="AI3413" s="6"/>
      <c r="AJ3413" s="12"/>
      <c r="AK3413" s="1"/>
      <c r="AL3413" s="12"/>
      <c r="AM3413" s="12"/>
      <c r="AN3413" s="1"/>
      <c r="AO3413" s="6"/>
    </row>
    <row r="3414" spans="1:41" ht="15" x14ac:dyDescent="0.25">
      <c r="A3414" s="1"/>
      <c r="B3414" s="1"/>
      <c r="C3414" s="1"/>
      <c r="D3414" s="1"/>
      <c r="E3414" s="6"/>
      <c r="F3414" s="1"/>
      <c r="G3414" s="6"/>
      <c r="H3414" s="6"/>
      <c r="I3414" s="6"/>
      <c r="J3414" s="6"/>
      <c r="K3414" s="6"/>
      <c r="L3414" s="6"/>
      <c r="M3414" s="6"/>
      <c r="N3414" s="6"/>
      <c r="O3414" s="7"/>
      <c r="P3414" s="12"/>
      <c r="Q3414" s="6"/>
      <c r="R3414" s="7"/>
      <c r="S3414" s="6"/>
      <c r="T3414" s="6"/>
      <c r="U3414" s="7"/>
      <c r="V3414" s="6"/>
      <c r="W3414" s="6"/>
      <c r="X3414" s="12"/>
      <c r="Y3414" s="6"/>
      <c r="Z3414" s="6"/>
      <c r="AA3414" s="7"/>
      <c r="AB3414" s="6"/>
      <c r="AC3414" s="6"/>
      <c r="AD3414" s="6"/>
      <c r="AE3414" s="12"/>
      <c r="AF3414" s="6"/>
      <c r="AG3414" s="12"/>
      <c r="AH3414" s="6"/>
      <c r="AI3414" s="6"/>
      <c r="AJ3414" s="12"/>
      <c r="AK3414" s="1"/>
      <c r="AL3414" s="12"/>
      <c r="AM3414" s="12"/>
      <c r="AN3414" s="1"/>
      <c r="AO3414" s="6"/>
    </row>
    <row r="3415" spans="1:41" ht="15" x14ac:dyDescent="0.25">
      <c r="A3415" s="1"/>
      <c r="B3415" s="1"/>
      <c r="C3415" s="1"/>
      <c r="D3415" s="1"/>
      <c r="E3415" s="6"/>
      <c r="F3415" s="1"/>
      <c r="G3415" s="6"/>
      <c r="H3415" s="6"/>
      <c r="I3415" s="6"/>
      <c r="J3415" s="6"/>
      <c r="K3415" s="6"/>
      <c r="L3415" s="6"/>
      <c r="M3415" s="6"/>
      <c r="N3415" s="6"/>
      <c r="O3415" s="7"/>
      <c r="P3415" s="12"/>
      <c r="Q3415" s="6"/>
      <c r="R3415" s="7"/>
      <c r="S3415" s="6"/>
      <c r="T3415" s="6"/>
      <c r="U3415" s="7"/>
      <c r="V3415" s="6"/>
      <c r="W3415" s="6"/>
      <c r="X3415" s="12"/>
      <c r="Y3415" s="6"/>
      <c r="Z3415" s="6"/>
      <c r="AA3415" s="7"/>
      <c r="AB3415" s="6"/>
      <c r="AC3415" s="6"/>
      <c r="AD3415" s="6"/>
      <c r="AE3415" s="12"/>
      <c r="AF3415" s="6"/>
      <c r="AG3415" s="12"/>
      <c r="AH3415" s="6"/>
      <c r="AI3415" s="6"/>
      <c r="AJ3415" s="12"/>
      <c r="AK3415" s="1"/>
      <c r="AL3415" s="12"/>
      <c r="AM3415" s="12"/>
      <c r="AN3415" s="1"/>
      <c r="AO3415" s="6"/>
    </row>
    <row r="3416" spans="1:41" ht="15" x14ac:dyDescent="0.25">
      <c r="A3416" s="1"/>
      <c r="B3416" s="1"/>
      <c r="C3416" s="1"/>
      <c r="D3416" s="1"/>
      <c r="E3416" s="6"/>
      <c r="F3416" s="1"/>
      <c r="G3416" s="6"/>
      <c r="H3416" s="6"/>
      <c r="I3416" s="6"/>
      <c r="J3416" s="6"/>
      <c r="K3416" s="6"/>
      <c r="L3416" s="6"/>
      <c r="M3416" s="6"/>
      <c r="N3416" s="6"/>
      <c r="O3416" s="7"/>
      <c r="P3416" s="12"/>
      <c r="Q3416" s="6"/>
      <c r="R3416" s="7"/>
      <c r="S3416" s="6"/>
      <c r="T3416" s="6"/>
      <c r="U3416" s="7"/>
      <c r="V3416" s="6"/>
      <c r="W3416" s="6"/>
      <c r="X3416" s="6"/>
      <c r="Y3416" s="6"/>
      <c r="Z3416" s="6"/>
      <c r="AA3416" s="7"/>
      <c r="AB3416" s="6"/>
      <c r="AC3416" s="6"/>
      <c r="AD3416" s="6"/>
      <c r="AE3416" s="12"/>
      <c r="AF3416" s="12"/>
      <c r="AG3416" s="12"/>
      <c r="AH3416" s="12"/>
      <c r="AI3416" s="6"/>
      <c r="AJ3416" s="12"/>
      <c r="AK3416" s="1"/>
      <c r="AL3416" s="12"/>
      <c r="AM3416" s="12"/>
      <c r="AN3416" s="1"/>
      <c r="AO3416" s="12"/>
    </row>
    <row r="3417" spans="1:41" ht="15" x14ac:dyDescent="0.25">
      <c r="A3417" s="1"/>
      <c r="B3417" s="1"/>
      <c r="C3417" s="1"/>
      <c r="D3417" s="1"/>
      <c r="E3417" s="6"/>
      <c r="F3417" s="1"/>
      <c r="G3417" s="6"/>
      <c r="H3417" s="6"/>
      <c r="I3417" s="6"/>
      <c r="J3417" s="6"/>
      <c r="K3417" s="6"/>
      <c r="L3417" s="6"/>
      <c r="M3417" s="6"/>
      <c r="N3417" s="6"/>
      <c r="O3417" s="7"/>
      <c r="P3417" s="6"/>
      <c r="Q3417" s="6"/>
      <c r="R3417" s="7"/>
      <c r="S3417" s="6"/>
      <c r="T3417" s="6"/>
      <c r="U3417" s="7"/>
      <c r="V3417" s="6"/>
      <c r="W3417" s="6"/>
      <c r="X3417" s="12"/>
      <c r="Y3417" s="6"/>
      <c r="Z3417" s="6"/>
      <c r="AA3417" s="7"/>
      <c r="AB3417" s="6"/>
      <c r="AC3417" s="6"/>
      <c r="AD3417" s="6"/>
      <c r="AE3417" s="12"/>
      <c r="AF3417" s="12"/>
      <c r="AG3417" s="12"/>
      <c r="AH3417" s="12"/>
      <c r="AI3417" s="6"/>
      <c r="AJ3417" s="12"/>
      <c r="AK3417" s="1"/>
      <c r="AL3417" s="12"/>
      <c r="AM3417" s="12"/>
      <c r="AN3417" s="1"/>
      <c r="AO3417" s="6"/>
    </row>
    <row r="3418" spans="1:41" ht="15" x14ac:dyDescent="0.25">
      <c r="A3418" s="1"/>
      <c r="B3418" s="1"/>
      <c r="C3418" s="1"/>
      <c r="D3418" s="1"/>
      <c r="E3418" s="6"/>
      <c r="F3418" s="1"/>
      <c r="G3418" s="6"/>
      <c r="H3418" s="6"/>
      <c r="I3418" s="6"/>
      <c r="J3418" s="6"/>
      <c r="K3418" s="6"/>
      <c r="L3418" s="6"/>
      <c r="M3418" s="6"/>
      <c r="N3418" s="6"/>
      <c r="O3418" s="7"/>
      <c r="P3418" s="6"/>
      <c r="Q3418" s="6"/>
      <c r="R3418" s="7"/>
      <c r="S3418" s="6"/>
      <c r="T3418" s="6"/>
      <c r="U3418" s="7"/>
      <c r="V3418" s="6"/>
      <c r="W3418" s="6"/>
      <c r="X3418" s="12"/>
      <c r="Y3418" s="6"/>
      <c r="Z3418" s="6"/>
      <c r="AA3418" s="7"/>
      <c r="AB3418" s="6"/>
      <c r="AC3418" s="6"/>
      <c r="AD3418" s="6"/>
      <c r="AE3418" s="12"/>
      <c r="AF3418" s="12"/>
      <c r="AG3418" s="12"/>
      <c r="AH3418" s="12"/>
      <c r="AI3418" s="6"/>
      <c r="AJ3418" s="12"/>
      <c r="AK3418" s="1"/>
      <c r="AL3418" s="12"/>
      <c r="AM3418" s="12"/>
      <c r="AN3418" s="1"/>
      <c r="AO3418" s="6"/>
    </row>
    <row r="3419" spans="1:41" ht="15" x14ac:dyDescent="0.25">
      <c r="A3419" s="1"/>
      <c r="B3419" s="1"/>
      <c r="C3419" s="1"/>
      <c r="D3419" s="1"/>
      <c r="E3419" s="6"/>
      <c r="F3419" s="1"/>
      <c r="G3419" s="6"/>
      <c r="H3419" s="6"/>
      <c r="I3419" s="6"/>
      <c r="J3419" s="6"/>
      <c r="K3419" s="6"/>
      <c r="L3419" s="6"/>
      <c r="M3419" s="6"/>
      <c r="N3419" s="6"/>
      <c r="O3419" s="7"/>
      <c r="P3419" s="6"/>
      <c r="Q3419" s="6"/>
      <c r="R3419" s="7"/>
      <c r="S3419" s="6"/>
      <c r="T3419" s="6"/>
      <c r="U3419" s="7"/>
      <c r="V3419" s="6"/>
      <c r="W3419" s="6"/>
      <c r="X3419" s="6"/>
      <c r="Y3419" s="6"/>
      <c r="Z3419" s="6"/>
      <c r="AA3419" s="7"/>
      <c r="AB3419" s="6"/>
      <c r="AC3419" s="6"/>
      <c r="AD3419" s="6"/>
      <c r="AE3419" s="12"/>
      <c r="AF3419" s="12"/>
      <c r="AG3419" s="12"/>
      <c r="AH3419" s="12"/>
      <c r="AI3419" s="6"/>
      <c r="AJ3419" s="12"/>
      <c r="AK3419" s="1"/>
      <c r="AL3419" s="12"/>
      <c r="AM3419" s="12"/>
      <c r="AN3419" s="1"/>
      <c r="AO3419" s="6"/>
    </row>
    <row r="3420" spans="1:41" ht="15" x14ac:dyDescent="0.25">
      <c r="A3420" s="1"/>
      <c r="B3420" s="1"/>
      <c r="C3420" s="1"/>
      <c r="D3420" s="1"/>
      <c r="E3420" s="6"/>
      <c r="F3420" s="1"/>
      <c r="G3420" s="6"/>
      <c r="H3420" s="6"/>
      <c r="I3420" s="6"/>
      <c r="J3420" s="6"/>
      <c r="K3420" s="12"/>
      <c r="L3420" s="12"/>
      <c r="M3420" s="6"/>
      <c r="N3420" s="6"/>
      <c r="O3420" s="7"/>
      <c r="P3420" s="6"/>
      <c r="Q3420" s="6"/>
      <c r="R3420" s="7"/>
      <c r="S3420" s="6"/>
      <c r="T3420" s="6"/>
      <c r="U3420" s="7"/>
      <c r="V3420" s="6"/>
      <c r="W3420" s="6"/>
      <c r="X3420" s="12"/>
      <c r="Y3420" s="6"/>
      <c r="Z3420" s="6"/>
      <c r="AA3420" s="7"/>
      <c r="AB3420" s="6"/>
      <c r="AC3420" s="6"/>
      <c r="AD3420" s="6"/>
      <c r="AE3420" s="12"/>
      <c r="AF3420" s="12"/>
      <c r="AG3420" s="12"/>
      <c r="AH3420" s="12"/>
      <c r="AI3420" s="6"/>
      <c r="AJ3420" s="12"/>
      <c r="AK3420" s="1"/>
      <c r="AL3420" s="12"/>
      <c r="AM3420" s="12"/>
      <c r="AN3420" s="1"/>
      <c r="AO3420" s="6"/>
    </row>
    <row r="3421" spans="1:41" ht="15" x14ac:dyDescent="0.25">
      <c r="A3421" s="1"/>
      <c r="B3421" s="1"/>
      <c r="C3421" s="1"/>
      <c r="D3421" s="1"/>
      <c r="E3421" s="6"/>
      <c r="F3421" s="1"/>
      <c r="G3421" s="6"/>
      <c r="H3421" s="6"/>
      <c r="I3421" s="6"/>
      <c r="J3421" s="6"/>
      <c r="K3421" s="6"/>
      <c r="L3421" s="6"/>
      <c r="M3421" s="6"/>
      <c r="N3421" s="6"/>
      <c r="O3421" s="7"/>
      <c r="P3421" s="6"/>
      <c r="Q3421" s="6"/>
      <c r="R3421" s="7"/>
      <c r="S3421" s="6"/>
      <c r="T3421" s="6"/>
      <c r="U3421" s="7"/>
      <c r="V3421" s="6"/>
      <c r="W3421" s="6"/>
      <c r="X3421" s="12"/>
      <c r="Y3421" s="6"/>
      <c r="Z3421" s="6"/>
      <c r="AA3421" s="7"/>
      <c r="AB3421" s="6"/>
      <c r="AC3421" s="6"/>
      <c r="AD3421" s="6"/>
      <c r="AE3421" s="12"/>
      <c r="AF3421" s="6"/>
      <c r="AG3421" s="12"/>
      <c r="AH3421" s="6"/>
      <c r="AI3421" s="6"/>
      <c r="AJ3421" s="12"/>
      <c r="AK3421" s="1"/>
      <c r="AL3421" s="12"/>
      <c r="AM3421" s="12"/>
      <c r="AN3421" s="1"/>
      <c r="AO3421" s="6"/>
    </row>
    <row r="3422" spans="1:41" ht="15" x14ac:dyDescent="0.25">
      <c r="A3422" s="1"/>
      <c r="B3422" s="1"/>
      <c r="C3422" s="1"/>
      <c r="D3422" s="1"/>
      <c r="E3422" s="6"/>
      <c r="F3422" s="1"/>
      <c r="G3422" s="6"/>
      <c r="H3422" s="6"/>
      <c r="I3422" s="6"/>
      <c r="J3422" s="6"/>
      <c r="K3422" s="12"/>
      <c r="L3422" s="12"/>
      <c r="M3422" s="6"/>
      <c r="N3422" s="6"/>
      <c r="O3422" s="7"/>
      <c r="P3422" s="6"/>
      <c r="Q3422" s="6"/>
      <c r="R3422" s="7"/>
      <c r="S3422" s="6"/>
      <c r="T3422" s="6"/>
      <c r="U3422" s="7"/>
      <c r="V3422" s="6"/>
      <c r="W3422" s="6"/>
      <c r="X3422" s="6"/>
      <c r="Y3422" s="6"/>
      <c r="Z3422" s="6"/>
      <c r="AA3422" s="7"/>
      <c r="AB3422" s="6"/>
      <c r="AC3422" s="6"/>
      <c r="AD3422" s="6"/>
      <c r="AE3422" s="12"/>
      <c r="AF3422" s="12"/>
      <c r="AG3422" s="12"/>
      <c r="AH3422" s="12"/>
      <c r="AI3422" s="6"/>
      <c r="AJ3422" s="12"/>
      <c r="AK3422" s="1"/>
      <c r="AL3422" s="12"/>
      <c r="AM3422" s="12"/>
      <c r="AN3422" s="1"/>
      <c r="AO3422" s="6"/>
    </row>
    <row r="3423" spans="1:41" ht="15" x14ac:dyDescent="0.25">
      <c r="A3423" s="1"/>
      <c r="B3423" s="1"/>
      <c r="C3423" s="1"/>
      <c r="D3423" s="1"/>
      <c r="E3423" s="6"/>
      <c r="F3423" s="1"/>
      <c r="G3423" s="6"/>
      <c r="H3423" s="6"/>
      <c r="I3423" s="6"/>
      <c r="J3423" s="6"/>
      <c r="K3423" s="6"/>
      <c r="L3423" s="6"/>
      <c r="M3423" s="6"/>
      <c r="N3423" s="6"/>
      <c r="O3423" s="7"/>
      <c r="P3423" s="6"/>
      <c r="Q3423" s="6"/>
      <c r="R3423" s="7"/>
      <c r="S3423" s="6"/>
      <c r="T3423" s="6"/>
      <c r="U3423" s="7"/>
      <c r="V3423" s="6"/>
      <c r="W3423" s="6"/>
      <c r="X3423" s="6"/>
      <c r="Y3423" s="6"/>
      <c r="Z3423" s="6"/>
      <c r="AA3423" s="7"/>
      <c r="AB3423" s="6"/>
      <c r="AC3423" s="6"/>
      <c r="AD3423" s="6"/>
      <c r="AE3423" s="12"/>
      <c r="AF3423" s="12"/>
      <c r="AG3423" s="12"/>
      <c r="AH3423" s="12"/>
      <c r="AI3423" s="6"/>
      <c r="AJ3423" s="12"/>
      <c r="AK3423" s="1"/>
      <c r="AL3423" s="12"/>
      <c r="AM3423" s="12"/>
      <c r="AN3423" s="1"/>
      <c r="AO3423" s="6"/>
    </row>
    <row r="3424" spans="1:41" ht="15" x14ac:dyDescent="0.25">
      <c r="A3424" s="1"/>
      <c r="B3424" s="1"/>
      <c r="C3424" s="1"/>
      <c r="D3424" s="1"/>
      <c r="E3424" s="6"/>
      <c r="F3424" s="1"/>
      <c r="G3424" s="6"/>
      <c r="H3424" s="6"/>
      <c r="I3424" s="6"/>
      <c r="J3424" s="6"/>
      <c r="K3424" s="6"/>
      <c r="L3424" s="6"/>
      <c r="M3424" s="6"/>
      <c r="N3424" s="6"/>
      <c r="O3424" s="7"/>
      <c r="P3424" s="6"/>
      <c r="Q3424" s="7"/>
      <c r="R3424" s="6"/>
      <c r="S3424" s="12"/>
      <c r="T3424" s="6"/>
      <c r="U3424" s="6"/>
      <c r="V3424" s="7"/>
      <c r="W3424" s="6"/>
      <c r="X3424" s="6"/>
      <c r="Y3424" s="6"/>
      <c r="Z3424" s="6"/>
      <c r="AA3424" s="1"/>
      <c r="AB3424" s="12"/>
      <c r="AC3424" s="12"/>
      <c r="AD3424" s="12"/>
      <c r="AE3424" s="12"/>
      <c r="AF3424" s="6"/>
      <c r="AG3424" s="12"/>
      <c r="AH3424" s="6"/>
      <c r="AI3424" s="6"/>
      <c r="AJ3424" s="12"/>
      <c r="AK3424" s="12"/>
      <c r="AL3424" s="12"/>
      <c r="AM3424" s="12"/>
      <c r="AN3424" s="1"/>
      <c r="AO3424" s="6"/>
    </row>
    <row r="3425" spans="1:41" ht="15" x14ac:dyDescent="0.25">
      <c r="A3425" s="1"/>
      <c r="B3425" s="1"/>
      <c r="C3425" s="1"/>
      <c r="D3425" s="1"/>
      <c r="E3425" s="6"/>
      <c r="F3425" s="1"/>
      <c r="G3425" s="6"/>
      <c r="H3425" s="6"/>
      <c r="I3425" s="6"/>
      <c r="J3425" s="6"/>
      <c r="K3425" s="6"/>
      <c r="L3425" s="6"/>
      <c r="M3425" s="6"/>
      <c r="N3425" s="6"/>
      <c r="O3425" s="7"/>
      <c r="P3425" s="6"/>
      <c r="Q3425" s="7"/>
      <c r="R3425" s="6"/>
      <c r="S3425" s="6"/>
      <c r="T3425" s="6"/>
      <c r="U3425" s="6"/>
      <c r="V3425" s="7"/>
      <c r="W3425" s="6"/>
      <c r="X3425" s="6"/>
      <c r="Y3425" s="6"/>
      <c r="Z3425" s="6"/>
      <c r="AA3425" s="1"/>
      <c r="AB3425" s="12"/>
      <c r="AC3425" s="12"/>
      <c r="AD3425" s="12"/>
      <c r="AE3425" s="12"/>
      <c r="AF3425" s="6"/>
      <c r="AG3425" s="12"/>
      <c r="AH3425" s="6"/>
      <c r="AI3425" s="6"/>
      <c r="AJ3425" s="12"/>
      <c r="AK3425" s="12"/>
      <c r="AL3425" s="12"/>
      <c r="AM3425" s="12"/>
      <c r="AN3425" s="1"/>
      <c r="AO3425" s="6"/>
    </row>
    <row r="3426" spans="1:41" ht="15" x14ac:dyDescent="0.25">
      <c r="A3426" s="1"/>
      <c r="B3426" s="1"/>
      <c r="C3426" s="1"/>
      <c r="D3426" s="1"/>
      <c r="E3426" s="6"/>
      <c r="F3426" s="1"/>
      <c r="G3426" s="6"/>
      <c r="H3426" s="6"/>
      <c r="I3426" s="6"/>
      <c r="J3426" s="6"/>
      <c r="K3426" s="6"/>
      <c r="L3426" s="6"/>
      <c r="M3426" s="6"/>
      <c r="N3426" s="6"/>
      <c r="O3426" s="7"/>
      <c r="P3426" s="6"/>
      <c r="Q3426" s="7"/>
      <c r="R3426" s="6"/>
      <c r="S3426" s="6"/>
      <c r="T3426" s="6"/>
      <c r="U3426" s="6"/>
      <c r="V3426" s="7"/>
      <c r="W3426" s="6"/>
      <c r="X3426" s="6"/>
      <c r="Y3426" s="6"/>
      <c r="Z3426" s="6"/>
      <c r="AA3426" s="1"/>
      <c r="AB3426" s="12"/>
      <c r="AC3426" s="12"/>
      <c r="AD3426" s="12"/>
      <c r="AE3426" s="12"/>
      <c r="AF3426" s="6"/>
      <c r="AG3426" s="12"/>
      <c r="AH3426" s="6"/>
      <c r="AI3426" s="6"/>
      <c r="AJ3426" s="12"/>
      <c r="AK3426" s="12"/>
      <c r="AL3426" s="12"/>
      <c r="AM3426" s="12"/>
      <c r="AN3426" s="1"/>
      <c r="AO3426" s="6"/>
    </row>
    <row r="3427" spans="1:41" ht="15" x14ac:dyDescent="0.25">
      <c r="A3427" s="1"/>
      <c r="B3427" s="1"/>
      <c r="C3427" s="1"/>
      <c r="D3427" s="1"/>
      <c r="E3427" s="6"/>
      <c r="F3427" s="1"/>
      <c r="G3427" s="6"/>
      <c r="H3427" s="6"/>
      <c r="I3427" s="6"/>
      <c r="J3427" s="6"/>
      <c r="K3427" s="6"/>
      <c r="L3427" s="6"/>
      <c r="M3427" s="6"/>
      <c r="N3427" s="6"/>
      <c r="O3427" s="7"/>
      <c r="P3427" s="6"/>
      <c r="Q3427" s="6"/>
      <c r="R3427" s="7"/>
      <c r="S3427" s="6"/>
      <c r="T3427" s="6"/>
      <c r="U3427" s="7"/>
      <c r="V3427" s="6"/>
      <c r="W3427" s="6"/>
      <c r="X3427" s="12"/>
      <c r="Y3427" s="6"/>
      <c r="Z3427" s="6"/>
      <c r="AA3427" s="7"/>
      <c r="AB3427" s="6"/>
      <c r="AC3427" s="6"/>
      <c r="AD3427" s="6"/>
      <c r="AE3427" s="12"/>
      <c r="AF3427" s="12"/>
      <c r="AG3427" s="12"/>
      <c r="AH3427" s="12"/>
      <c r="AI3427" s="6"/>
      <c r="AJ3427" s="12"/>
      <c r="AK3427" s="1"/>
      <c r="AL3427" s="12"/>
      <c r="AM3427" s="12"/>
      <c r="AN3427" s="1"/>
      <c r="AO3427" s="6"/>
    </row>
    <row r="3428" spans="1:41" ht="15" x14ac:dyDescent="0.25">
      <c r="A3428" s="1"/>
      <c r="B3428" s="1"/>
      <c r="C3428" s="1"/>
      <c r="D3428" s="1"/>
      <c r="E3428" s="6"/>
      <c r="F3428" s="1"/>
      <c r="G3428" s="6"/>
      <c r="H3428" s="6"/>
      <c r="I3428" s="6"/>
      <c r="J3428" s="6"/>
      <c r="K3428" s="6"/>
      <c r="L3428" s="6"/>
      <c r="M3428" s="6"/>
      <c r="N3428" s="6"/>
      <c r="O3428" s="7"/>
      <c r="P3428" s="12"/>
      <c r="Q3428" s="6"/>
      <c r="R3428" s="7"/>
      <c r="S3428" s="6"/>
      <c r="T3428" s="6"/>
      <c r="U3428" s="7"/>
      <c r="V3428" s="6"/>
      <c r="W3428" s="6"/>
      <c r="X3428" s="6"/>
      <c r="Y3428" s="6"/>
      <c r="Z3428" s="6"/>
      <c r="AA3428" s="7"/>
      <c r="AB3428" s="6"/>
      <c r="AC3428" s="6"/>
      <c r="AD3428" s="6"/>
      <c r="AE3428" s="12"/>
      <c r="AF3428" s="12"/>
      <c r="AG3428" s="12"/>
      <c r="AH3428" s="12"/>
      <c r="AI3428" s="6"/>
      <c r="AJ3428" s="12"/>
      <c r="AK3428" s="1"/>
      <c r="AL3428" s="12"/>
      <c r="AM3428" s="12"/>
      <c r="AN3428" s="1"/>
      <c r="AO3428" s="6"/>
    </row>
    <row r="3429" spans="1:41" ht="15" x14ac:dyDescent="0.25">
      <c r="A3429" s="1"/>
      <c r="B3429" s="1"/>
      <c r="C3429" s="1"/>
      <c r="D3429" s="1"/>
      <c r="E3429" s="6"/>
      <c r="F3429" s="1"/>
      <c r="G3429" s="6"/>
      <c r="H3429" s="6"/>
      <c r="I3429" s="6"/>
      <c r="J3429" s="6"/>
      <c r="K3429" s="6"/>
      <c r="L3429" s="6"/>
      <c r="M3429" s="6"/>
      <c r="N3429" s="6"/>
      <c r="O3429" s="7"/>
      <c r="P3429" s="6"/>
      <c r="Q3429" s="6"/>
      <c r="R3429" s="7"/>
      <c r="S3429" s="6"/>
      <c r="T3429" s="6"/>
      <c r="U3429" s="7"/>
      <c r="V3429" s="6"/>
      <c r="W3429" s="6"/>
      <c r="X3429" s="6"/>
      <c r="Y3429" s="6"/>
      <c r="Z3429" s="6"/>
      <c r="AA3429" s="7"/>
      <c r="AB3429" s="6"/>
      <c r="AC3429" s="6"/>
      <c r="AD3429" s="6"/>
      <c r="AE3429" s="12"/>
      <c r="AF3429" s="12"/>
      <c r="AG3429" s="12"/>
      <c r="AH3429" s="12"/>
      <c r="AI3429" s="6"/>
      <c r="AJ3429" s="12"/>
      <c r="AK3429" s="1"/>
      <c r="AL3429" s="12"/>
      <c r="AM3429" s="12"/>
      <c r="AN3429" s="1"/>
      <c r="AO3429" s="6"/>
    </row>
    <row r="3430" spans="1:41" ht="15" x14ac:dyDescent="0.25">
      <c r="A3430" s="1"/>
      <c r="B3430" s="1"/>
      <c r="C3430" s="1"/>
      <c r="D3430" s="1"/>
      <c r="E3430" s="6"/>
      <c r="F3430" s="1"/>
      <c r="G3430" s="6"/>
      <c r="H3430" s="6"/>
      <c r="I3430" s="6"/>
      <c r="J3430" s="6"/>
      <c r="K3430" s="6"/>
      <c r="L3430" s="6"/>
      <c r="M3430" s="6"/>
      <c r="N3430" s="6"/>
      <c r="O3430" s="7"/>
      <c r="P3430" s="6"/>
      <c r="Q3430" s="6"/>
      <c r="R3430" s="7"/>
      <c r="S3430" s="6"/>
      <c r="T3430" s="6"/>
      <c r="U3430" s="7"/>
      <c r="V3430" s="6"/>
      <c r="W3430" s="6"/>
      <c r="X3430" s="12"/>
      <c r="Y3430" s="6"/>
      <c r="Z3430" s="6"/>
      <c r="AA3430" s="7"/>
      <c r="AB3430" s="6"/>
      <c r="AC3430" s="6"/>
      <c r="AD3430" s="6"/>
      <c r="AE3430" s="12"/>
      <c r="AF3430" s="12"/>
      <c r="AG3430" s="12"/>
      <c r="AH3430" s="12"/>
      <c r="AI3430" s="6"/>
      <c r="AJ3430" s="12"/>
      <c r="AK3430" s="1"/>
      <c r="AL3430" s="12"/>
      <c r="AM3430" s="12"/>
      <c r="AN3430" s="1"/>
      <c r="AO3430" s="6"/>
    </row>
    <row r="3431" spans="1:41" ht="15" x14ac:dyDescent="0.25">
      <c r="A3431" s="1"/>
      <c r="B3431" s="1"/>
      <c r="C3431" s="1"/>
      <c r="D3431" s="1"/>
      <c r="E3431" s="6"/>
      <c r="F3431" s="1"/>
      <c r="G3431" s="6"/>
      <c r="H3431" s="6"/>
      <c r="I3431" s="6"/>
      <c r="J3431" s="6"/>
      <c r="K3431" s="6"/>
      <c r="L3431" s="6"/>
      <c r="M3431" s="6"/>
      <c r="N3431" s="6"/>
      <c r="O3431" s="7"/>
      <c r="P3431" s="12"/>
      <c r="Q3431" s="6"/>
      <c r="R3431" s="7"/>
      <c r="S3431" s="6"/>
      <c r="T3431" s="6"/>
      <c r="U3431" s="7"/>
      <c r="V3431" s="6"/>
      <c r="W3431" s="6"/>
      <c r="X3431" s="12"/>
      <c r="Y3431" s="6"/>
      <c r="Z3431" s="6"/>
      <c r="AA3431" s="15"/>
      <c r="AB3431" s="6"/>
      <c r="AC3431" s="6"/>
      <c r="AD3431" s="6"/>
      <c r="AE3431" s="12"/>
      <c r="AF3431" s="6"/>
      <c r="AG3431" s="12"/>
      <c r="AH3431" s="6"/>
      <c r="AI3431" s="6"/>
      <c r="AJ3431" s="12"/>
      <c r="AK3431" s="24"/>
      <c r="AL3431" s="25"/>
      <c r="AM3431" s="12"/>
      <c r="AN3431" s="1"/>
      <c r="AO3431" s="6"/>
    </row>
    <row r="3432" spans="1:41" ht="15" x14ac:dyDescent="0.25">
      <c r="A3432" s="1"/>
      <c r="B3432" s="1"/>
      <c r="C3432" s="1"/>
      <c r="D3432" s="1"/>
      <c r="E3432" s="6"/>
      <c r="F3432" s="1"/>
      <c r="G3432" s="6"/>
      <c r="H3432" s="6"/>
      <c r="I3432" s="6"/>
      <c r="J3432" s="6"/>
      <c r="K3432" s="6"/>
      <c r="L3432" s="6"/>
      <c r="M3432" s="6"/>
      <c r="N3432" s="6"/>
      <c r="O3432" s="7"/>
      <c r="P3432" s="6"/>
      <c r="Q3432" s="6"/>
      <c r="R3432" s="7"/>
      <c r="S3432" s="6"/>
      <c r="T3432" s="6"/>
      <c r="U3432" s="7"/>
      <c r="V3432" s="6"/>
      <c r="W3432" s="6"/>
      <c r="X3432" s="6"/>
      <c r="Y3432" s="6"/>
      <c r="Z3432" s="6"/>
      <c r="AA3432" s="7"/>
      <c r="AB3432" s="6"/>
      <c r="AC3432" s="6"/>
      <c r="AD3432" s="6"/>
      <c r="AE3432" s="12"/>
      <c r="AF3432" s="6"/>
      <c r="AG3432" s="12"/>
      <c r="AH3432" s="6"/>
      <c r="AI3432" s="6"/>
      <c r="AJ3432" s="12"/>
      <c r="AK3432" s="24"/>
      <c r="AL3432" s="25"/>
      <c r="AM3432" s="12"/>
      <c r="AN3432" s="1"/>
      <c r="AO3432" s="6"/>
    </row>
    <row r="3433" spans="1:41" ht="15" x14ac:dyDescent="0.25">
      <c r="A3433" s="1"/>
      <c r="B3433" s="1"/>
      <c r="C3433" s="1"/>
      <c r="D3433" s="1"/>
      <c r="E3433" s="6"/>
      <c r="F3433" s="1"/>
      <c r="G3433" s="6"/>
      <c r="H3433" s="6"/>
      <c r="I3433" s="6"/>
      <c r="J3433" s="6"/>
      <c r="K3433" s="6"/>
      <c r="L3433" s="6"/>
      <c r="M3433" s="6"/>
      <c r="N3433" s="6"/>
      <c r="O3433" s="7"/>
      <c r="P3433" s="6"/>
      <c r="Q3433" s="6"/>
      <c r="R3433" s="7"/>
      <c r="S3433" s="6"/>
      <c r="T3433" s="6"/>
      <c r="U3433" s="7"/>
      <c r="V3433" s="6"/>
      <c r="W3433" s="6"/>
      <c r="X3433" s="6"/>
      <c r="Y3433" s="6"/>
      <c r="Z3433" s="6"/>
      <c r="AA3433" s="7"/>
      <c r="AB3433" s="6"/>
      <c r="AC3433" s="6"/>
      <c r="AD3433" s="6"/>
      <c r="AE3433" s="12"/>
      <c r="AF3433" s="12"/>
      <c r="AG3433" s="12"/>
      <c r="AH3433" s="12"/>
      <c r="AI3433" s="6"/>
      <c r="AJ3433" s="12"/>
      <c r="AK3433" s="1"/>
      <c r="AL3433" s="12"/>
      <c r="AM3433" s="12"/>
      <c r="AN3433" s="1"/>
      <c r="AO3433" s="6"/>
    </row>
    <row r="3434" spans="1:41" ht="15" x14ac:dyDescent="0.25">
      <c r="A3434" s="1"/>
      <c r="B3434" s="1"/>
      <c r="C3434" s="1"/>
      <c r="D3434" s="1"/>
      <c r="E3434" s="6"/>
      <c r="F3434" s="1"/>
      <c r="G3434" s="6"/>
      <c r="H3434" s="6"/>
      <c r="I3434" s="6"/>
      <c r="J3434" s="6"/>
      <c r="K3434" s="6"/>
      <c r="L3434" s="6"/>
      <c r="M3434" s="6"/>
      <c r="N3434" s="6"/>
      <c r="O3434" s="7"/>
      <c r="P3434" s="6"/>
      <c r="Q3434" s="6"/>
      <c r="R3434" s="12"/>
      <c r="S3434" s="12"/>
      <c r="T3434" s="12"/>
      <c r="U3434" s="7"/>
      <c r="V3434" s="6"/>
      <c r="W3434" s="6"/>
      <c r="X3434" s="12"/>
      <c r="Y3434" s="6"/>
      <c r="Z3434" s="6"/>
      <c r="AA3434" s="7"/>
      <c r="AB3434" s="6"/>
      <c r="AC3434" s="6"/>
      <c r="AD3434" s="6"/>
      <c r="AE3434" s="12"/>
      <c r="AF3434" s="12"/>
      <c r="AG3434" s="12"/>
      <c r="AH3434" s="12"/>
      <c r="AI3434" s="6"/>
      <c r="AJ3434" s="12"/>
      <c r="AK3434" s="24"/>
      <c r="AL3434" s="25"/>
      <c r="AM3434" s="12"/>
      <c r="AN3434" s="1"/>
      <c r="AO3434" s="6"/>
    </row>
    <row r="3435" spans="1:41" ht="15" x14ac:dyDescent="0.25">
      <c r="A3435" s="1"/>
      <c r="B3435" s="1"/>
      <c r="C3435" s="1"/>
      <c r="D3435" s="1"/>
      <c r="E3435" s="6"/>
      <c r="F3435" s="1"/>
      <c r="G3435" s="6"/>
      <c r="H3435" s="6"/>
      <c r="I3435" s="6"/>
      <c r="J3435" s="6"/>
      <c r="K3435" s="12"/>
      <c r="L3435" s="12"/>
      <c r="M3435" s="6"/>
      <c r="N3435" s="6"/>
      <c r="O3435" s="7"/>
      <c r="P3435" s="6"/>
      <c r="Q3435" s="6"/>
      <c r="R3435" s="7"/>
      <c r="S3435" s="6"/>
      <c r="T3435" s="6"/>
      <c r="U3435" s="7"/>
      <c r="V3435" s="6"/>
      <c r="W3435" s="6"/>
      <c r="X3435" s="12"/>
      <c r="Y3435" s="6"/>
      <c r="Z3435" s="6"/>
      <c r="AA3435" s="7"/>
      <c r="AB3435" s="6"/>
      <c r="AC3435" s="6"/>
      <c r="AD3435" s="6"/>
      <c r="AE3435" s="12"/>
      <c r="AF3435" s="12"/>
      <c r="AG3435" s="12"/>
      <c r="AH3435" s="12"/>
      <c r="AI3435" s="6"/>
      <c r="AJ3435" s="12"/>
      <c r="AK3435" s="1"/>
      <c r="AL3435" s="12"/>
      <c r="AM3435" s="12"/>
      <c r="AN3435" s="1"/>
      <c r="AO3435" s="12"/>
    </row>
    <row r="3436" spans="1:41" ht="15" x14ac:dyDescent="0.25">
      <c r="A3436" s="1"/>
      <c r="B3436" s="1"/>
      <c r="C3436" s="1"/>
      <c r="D3436" s="1"/>
      <c r="E3436" s="6"/>
      <c r="F3436" s="1"/>
      <c r="G3436" s="6"/>
      <c r="H3436" s="6"/>
      <c r="I3436" s="6"/>
      <c r="J3436" s="6"/>
      <c r="K3436" s="6"/>
      <c r="L3436" s="6"/>
      <c r="M3436" s="6"/>
      <c r="N3436" s="6"/>
      <c r="O3436" s="7"/>
      <c r="P3436" s="6"/>
      <c r="Q3436" s="6"/>
      <c r="R3436" s="7"/>
      <c r="S3436" s="6"/>
      <c r="T3436" s="6"/>
      <c r="U3436" s="7"/>
      <c r="V3436" s="6"/>
      <c r="W3436" s="6"/>
      <c r="X3436" s="6"/>
      <c r="Y3436" s="6"/>
      <c r="Z3436" s="6"/>
      <c r="AA3436" s="7"/>
      <c r="AB3436" s="6"/>
      <c r="AC3436" s="6"/>
      <c r="AD3436" s="6"/>
      <c r="AE3436" s="12"/>
      <c r="AF3436" s="12"/>
      <c r="AG3436" s="12"/>
      <c r="AH3436" s="12"/>
      <c r="AI3436" s="6"/>
      <c r="AJ3436" s="12"/>
      <c r="AK3436" s="1"/>
      <c r="AL3436" s="12"/>
      <c r="AM3436" s="12"/>
      <c r="AN3436" s="1"/>
      <c r="AO3436" s="6"/>
    </row>
    <row r="3437" spans="1:41" ht="15" x14ac:dyDescent="0.25">
      <c r="A3437" s="1"/>
      <c r="B3437" s="1"/>
      <c r="C3437" s="1"/>
      <c r="D3437" s="1"/>
      <c r="E3437" s="6"/>
      <c r="F3437" s="1"/>
      <c r="G3437" s="6"/>
      <c r="H3437" s="6"/>
      <c r="I3437" s="6"/>
      <c r="J3437" s="6"/>
      <c r="K3437" s="6"/>
      <c r="L3437" s="6"/>
      <c r="M3437" s="6"/>
      <c r="N3437" s="6"/>
      <c r="O3437" s="7"/>
      <c r="P3437" s="6"/>
      <c r="Q3437" s="6"/>
      <c r="R3437" s="7"/>
      <c r="S3437" s="6"/>
      <c r="T3437" s="6"/>
      <c r="U3437" s="7"/>
      <c r="V3437" s="6"/>
      <c r="W3437" s="6"/>
      <c r="X3437" s="6"/>
      <c r="Y3437" s="6"/>
      <c r="Z3437" s="6"/>
      <c r="AA3437" s="7"/>
      <c r="AB3437" s="6"/>
      <c r="AC3437" s="6"/>
      <c r="AD3437" s="6"/>
      <c r="AE3437" s="12"/>
      <c r="AF3437" s="12"/>
      <c r="AG3437" s="12"/>
      <c r="AH3437" s="12"/>
      <c r="AI3437" s="6"/>
      <c r="AJ3437" s="12"/>
      <c r="AK3437" s="1"/>
      <c r="AL3437" s="12"/>
      <c r="AM3437" s="12"/>
      <c r="AN3437" s="1"/>
      <c r="AO3437" s="6"/>
    </row>
    <row r="3438" spans="1:41" ht="15" x14ac:dyDescent="0.25">
      <c r="A3438" s="1"/>
      <c r="B3438" s="1"/>
      <c r="C3438" s="1"/>
      <c r="D3438" s="1"/>
      <c r="E3438" s="6"/>
      <c r="F3438" s="1"/>
      <c r="G3438" s="6"/>
      <c r="H3438" s="6"/>
      <c r="I3438" s="6"/>
      <c r="J3438" s="6"/>
      <c r="K3438" s="6"/>
      <c r="L3438" s="6"/>
      <c r="M3438" s="6"/>
      <c r="N3438" s="6"/>
      <c r="O3438" s="7"/>
      <c r="P3438" s="6"/>
      <c r="Q3438" s="6"/>
      <c r="R3438" s="7"/>
      <c r="S3438" s="6"/>
      <c r="T3438" s="6"/>
      <c r="U3438" s="7"/>
      <c r="V3438" s="6"/>
      <c r="W3438" s="6"/>
      <c r="X3438" s="12"/>
      <c r="Y3438" s="6"/>
      <c r="Z3438" s="6"/>
      <c r="AA3438" s="7"/>
      <c r="AB3438" s="6"/>
      <c r="AC3438" s="6"/>
      <c r="AD3438" s="6"/>
      <c r="AE3438" s="12"/>
      <c r="AF3438" s="12"/>
      <c r="AG3438" s="12"/>
      <c r="AH3438" s="12"/>
      <c r="AI3438" s="6"/>
      <c r="AJ3438" s="12"/>
      <c r="AK3438" s="1"/>
      <c r="AL3438" s="12"/>
      <c r="AM3438" s="12"/>
      <c r="AN3438" s="1"/>
      <c r="AO3438" s="6"/>
    </row>
    <row r="3439" spans="1:41" ht="15" x14ac:dyDescent="0.25">
      <c r="A3439" s="1"/>
      <c r="B3439" s="1"/>
      <c r="C3439" s="1"/>
      <c r="D3439" s="1"/>
      <c r="E3439" s="6"/>
      <c r="F3439" s="1"/>
      <c r="G3439" s="6"/>
      <c r="H3439" s="6"/>
      <c r="I3439" s="6"/>
      <c r="J3439" s="6"/>
      <c r="K3439" s="6"/>
      <c r="L3439" s="6"/>
      <c r="M3439" s="6"/>
      <c r="N3439" s="6"/>
      <c r="O3439" s="7"/>
      <c r="P3439" s="6"/>
      <c r="Q3439" s="6"/>
      <c r="R3439" s="7"/>
      <c r="S3439" s="6"/>
      <c r="T3439" s="6"/>
      <c r="U3439" s="7"/>
      <c r="V3439" s="6"/>
      <c r="W3439" s="6"/>
      <c r="X3439" s="6"/>
      <c r="Y3439" s="6"/>
      <c r="Z3439" s="6"/>
      <c r="AA3439" s="7"/>
      <c r="AB3439" s="6"/>
      <c r="AC3439" s="6"/>
      <c r="AD3439" s="6"/>
      <c r="AE3439" s="12"/>
      <c r="AF3439" s="6"/>
      <c r="AG3439" s="12"/>
      <c r="AH3439" s="6"/>
      <c r="AI3439" s="6"/>
      <c r="AJ3439" s="12"/>
      <c r="AK3439" s="24"/>
      <c r="AL3439" s="25"/>
      <c r="AM3439" s="12"/>
      <c r="AN3439" s="1"/>
      <c r="AO3439" s="6"/>
    </row>
    <row r="3440" spans="1:41" ht="15" x14ac:dyDescent="0.25">
      <c r="A3440" s="1"/>
      <c r="B3440" s="1"/>
      <c r="C3440" s="1"/>
      <c r="D3440" s="1"/>
      <c r="E3440" s="6"/>
      <c r="F3440" s="1"/>
      <c r="G3440" s="6"/>
      <c r="H3440" s="6"/>
      <c r="I3440" s="6"/>
      <c r="J3440" s="6"/>
      <c r="K3440" s="6"/>
      <c r="L3440" s="6"/>
      <c r="M3440" s="6"/>
      <c r="N3440" s="6"/>
      <c r="O3440" s="7"/>
      <c r="P3440" s="6"/>
      <c r="Q3440" s="6"/>
      <c r="R3440" s="7"/>
      <c r="S3440" s="6"/>
      <c r="T3440" s="6"/>
      <c r="U3440" s="7"/>
      <c r="V3440" s="6"/>
      <c r="W3440" s="6"/>
      <c r="X3440" s="12"/>
      <c r="Y3440" s="6"/>
      <c r="Z3440" s="6"/>
      <c r="AA3440" s="7"/>
      <c r="AB3440" s="6"/>
      <c r="AC3440" s="6"/>
      <c r="AD3440" s="6"/>
      <c r="AE3440" s="12"/>
      <c r="AF3440" s="12"/>
      <c r="AG3440" s="12"/>
      <c r="AH3440" s="12"/>
      <c r="AI3440" s="6"/>
      <c r="AJ3440" s="12"/>
      <c r="AK3440" s="1"/>
      <c r="AL3440" s="12"/>
      <c r="AM3440" s="12"/>
      <c r="AN3440" s="1"/>
      <c r="AO3440" s="6"/>
    </row>
    <row r="3441" spans="1:41" ht="15" x14ac:dyDescent="0.25">
      <c r="A3441" s="1"/>
      <c r="B3441" s="1"/>
      <c r="C3441" s="1"/>
      <c r="D3441" s="1"/>
      <c r="E3441" s="6"/>
      <c r="F3441" s="1"/>
      <c r="G3441" s="6"/>
      <c r="H3441" s="6"/>
      <c r="I3441" s="6"/>
      <c r="J3441" s="6"/>
      <c r="K3441" s="12"/>
      <c r="L3441" s="6"/>
      <c r="M3441" s="6"/>
      <c r="N3441" s="6"/>
      <c r="O3441" s="7"/>
      <c r="P3441" s="6"/>
      <c r="Q3441" s="6"/>
      <c r="R3441" s="7"/>
      <c r="S3441" s="6"/>
      <c r="T3441" s="6"/>
      <c r="U3441" s="7"/>
      <c r="V3441" s="6"/>
      <c r="W3441" s="6"/>
      <c r="X3441" s="12"/>
      <c r="Y3441" s="6"/>
      <c r="Z3441" s="6"/>
      <c r="AA3441" s="7"/>
      <c r="AB3441" s="6"/>
      <c r="AC3441" s="6"/>
      <c r="AD3441" s="6"/>
      <c r="AE3441" s="12"/>
      <c r="AF3441" s="6"/>
      <c r="AG3441" s="12"/>
      <c r="AH3441" s="6"/>
      <c r="AI3441" s="6"/>
      <c r="AJ3441" s="12"/>
      <c r="AK3441" s="24"/>
      <c r="AL3441" s="25"/>
      <c r="AM3441" s="12"/>
      <c r="AN3441" s="1"/>
      <c r="AO3441" s="6"/>
    </row>
    <row r="3442" spans="1:41" ht="15" x14ac:dyDescent="0.25">
      <c r="A3442" s="1"/>
      <c r="B3442" s="1"/>
      <c r="C3442" s="1"/>
      <c r="D3442" s="1"/>
      <c r="E3442" s="6"/>
      <c r="F3442" s="1"/>
      <c r="G3442" s="6"/>
      <c r="H3442" s="6"/>
      <c r="I3442" s="6"/>
      <c r="J3442" s="6"/>
      <c r="K3442" s="12"/>
      <c r="L3442" s="6"/>
      <c r="M3442" s="6"/>
      <c r="N3442" s="6"/>
      <c r="O3442" s="7"/>
      <c r="P3442" s="6"/>
      <c r="Q3442" s="6"/>
      <c r="R3442" s="15"/>
      <c r="S3442" s="6"/>
      <c r="T3442" s="6"/>
      <c r="U3442" s="15"/>
      <c r="V3442" s="6"/>
      <c r="W3442" s="6"/>
      <c r="X3442" s="6"/>
      <c r="Y3442" s="6"/>
      <c r="Z3442" s="6"/>
      <c r="AA3442" s="7"/>
      <c r="AB3442" s="6"/>
      <c r="AC3442" s="6"/>
      <c r="AD3442" s="6"/>
      <c r="AE3442" s="12"/>
      <c r="AF3442" s="6"/>
      <c r="AG3442" s="12"/>
      <c r="AH3442" s="6"/>
      <c r="AI3442" s="6"/>
      <c r="AJ3442" s="12"/>
      <c r="AK3442" s="24"/>
      <c r="AL3442" s="25"/>
      <c r="AM3442" s="12"/>
      <c r="AN3442" s="1"/>
      <c r="AO3442" s="12"/>
    </row>
    <row r="3443" spans="1:41" ht="15" x14ac:dyDescent="0.25">
      <c r="A3443" s="1"/>
      <c r="B3443" s="1"/>
      <c r="C3443" s="1"/>
      <c r="D3443" s="1"/>
      <c r="E3443" s="6"/>
      <c r="F3443" s="1"/>
      <c r="G3443" s="6"/>
      <c r="H3443" s="6"/>
      <c r="I3443" s="6"/>
      <c r="J3443" s="6"/>
      <c r="K3443" s="6"/>
      <c r="L3443" s="6"/>
      <c r="M3443" s="6"/>
      <c r="N3443" s="6"/>
      <c r="O3443" s="7"/>
      <c r="P3443" s="6"/>
      <c r="Q3443" s="6"/>
      <c r="R3443" s="7"/>
      <c r="S3443" s="6"/>
      <c r="T3443" s="6"/>
      <c r="U3443" s="7"/>
      <c r="V3443" s="6"/>
      <c r="W3443" s="6"/>
      <c r="X3443" s="12"/>
      <c r="Y3443" s="6"/>
      <c r="Z3443" s="6"/>
      <c r="AA3443" s="7"/>
      <c r="AB3443" s="6"/>
      <c r="AC3443" s="6"/>
      <c r="AD3443" s="6"/>
      <c r="AE3443" s="12"/>
      <c r="AF3443" s="6"/>
      <c r="AG3443" s="12"/>
      <c r="AH3443" s="6"/>
      <c r="AI3443" s="6"/>
      <c r="AJ3443" s="12"/>
      <c r="AK3443" s="24"/>
      <c r="AL3443" s="25"/>
      <c r="AM3443" s="12"/>
      <c r="AN3443" s="1"/>
      <c r="AO3443" s="6"/>
    </row>
    <row r="3444" spans="1:41" ht="15" x14ac:dyDescent="0.25">
      <c r="A3444" s="1"/>
      <c r="B3444" s="1"/>
      <c r="C3444" s="1"/>
      <c r="D3444" s="1"/>
      <c r="E3444" s="6"/>
      <c r="F3444" s="1"/>
      <c r="G3444" s="6"/>
      <c r="H3444" s="6"/>
      <c r="I3444" s="6"/>
      <c r="J3444" s="6"/>
      <c r="K3444" s="6"/>
      <c r="L3444" s="6"/>
      <c r="M3444" s="6"/>
      <c r="N3444" s="6"/>
      <c r="O3444" s="7"/>
      <c r="P3444" s="6"/>
      <c r="Q3444" s="6"/>
      <c r="R3444" s="7"/>
      <c r="S3444" s="6"/>
      <c r="T3444" s="6"/>
      <c r="U3444" s="7"/>
      <c r="V3444" s="6"/>
      <c r="W3444" s="6"/>
      <c r="X3444" s="6"/>
      <c r="Y3444" s="6"/>
      <c r="Z3444" s="6"/>
      <c r="AA3444" s="7"/>
      <c r="AB3444" s="6"/>
      <c r="AC3444" s="6"/>
      <c r="AD3444" s="6"/>
      <c r="AE3444" s="12"/>
      <c r="AF3444" s="6"/>
      <c r="AG3444" s="12"/>
      <c r="AH3444" s="6"/>
      <c r="AI3444" s="6"/>
      <c r="AJ3444" s="12"/>
      <c r="AK3444" s="24"/>
      <c r="AL3444" s="25"/>
      <c r="AM3444" s="12"/>
      <c r="AN3444" s="1"/>
      <c r="AO3444" s="6"/>
    </row>
    <row r="3445" spans="1:41" ht="15" x14ac:dyDescent="0.25">
      <c r="A3445" s="1"/>
      <c r="B3445" s="1"/>
      <c r="C3445" s="1"/>
      <c r="D3445" s="1"/>
      <c r="E3445" s="6"/>
      <c r="F3445" s="1"/>
      <c r="G3445" s="6"/>
      <c r="H3445" s="6"/>
      <c r="I3445" s="6"/>
      <c r="J3445" s="6"/>
      <c r="K3445" s="6"/>
      <c r="L3445" s="6"/>
      <c r="M3445" s="6"/>
      <c r="N3445" s="6"/>
      <c r="O3445" s="7"/>
      <c r="P3445" s="6"/>
      <c r="Q3445" s="6"/>
      <c r="R3445" s="7"/>
      <c r="S3445" s="6"/>
      <c r="T3445" s="6"/>
      <c r="U3445" s="7"/>
      <c r="V3445" s="6"/>
      <c r="W3445" s="6"/>
      <c r="X3445" s="6"/>
      <c r="Y3445" s="6"/>
      <c r="Z3445" s="6"/>
      <c r="AA3445" s="7"/>
      <c r="AB3445" s="6"/>
      <c r="AC3445" s="6"/>
      <c r="AD3445" s="6"/>
      <c r="AE3445" s="12"/>
      <c r="AF3445" s="6"/>
      <c r="AG3445" s="12"/>
      <c r="AH3445" s="6"/>
      <c r="AI3445" s="6"/>
      <c r="AJ3445" s="12"/>
      <c r="AK3445" s="1"/>
      <c r="AL3445" s="12"/>
      <c r="AM3445" s="12"/>
      <c r="AN3445" s="1"/>
      <c r="AO3445" s="6"/>
    </row>
    <row r="3446" spans="1:41" ht="15" x14ac:dyDescent="0.25">
      <c r="A3446" s="1"/>
      <c r="B3446" s="1"/>
      <c r="C3446" s="1"/>
      <c r="D3446" s="1"/>
      <c r="E3446" s="6"/>
      <c r="F3446" s="1"/>
      <c r="G3446" s="6"/>
      <c r="H3446" s="6"/>
      <c r="I3446" s="6"/>
      <c r="J3446" s="6"/>
      <c r="K3446" s="6"/>
      <c r="L3446" s="6"/>
      <c r="M3446" s="6"/>
      <c r="N3446" s="6"/>
      <c r="O3446" s="7"/>
      <c r="P3446" s="12"/>
      <c r="Q3446" s="6"/>
      <c r="R3446" s="7"/>
      <c r="S3446" s="6"/>
      <c r="T3446" s="6"/>
      <c r="U3446" s="7"/>
      <c r="V3446" s="6"/>
      <c r="W3446" s="6"/>
      <c r="X3446" s="6"/>
      <c r="Y3446" s="6"/>
      <c r="Z3446" s="6"/>
      <c r="AA3446" s="7"/>
      <c r="AB3446" s="6"/>
      <c r="AC3446" s="6"/>
      <c r="AD3446" s="6"/>
      <c r="AE3446" s="12"/>
      <c r="AF3446" s="6"/>
      <c r="AG3446" s="12"/>
      <c r="AH3446" s="6"/>
      <c r="AI3446" s="6"/>
      <c r="AJ3446" s="12"/>
      <c r="AK3446" s="1"/>
      <c r="AL3446" s="12"/>
      <c r="AM3446" s="12"/>
      <c r="AN3446" s="1"/>
      <c r="AO3446" s="6"/>
    </row>
    <row r="3447" spans="1:41" ht="15" x14ac:dyDescent="0.25">
      <c r="A3447" s="1"/>
      <c r="B3447" s="1"/>
      <c r="C3447" s="1"/>
      <c r="D3447" s="1"/>
      <c r="E3447" s="6"/>
      <c r="F3447" s="1"/>
      <c r="G3447" s="6"/>
      <c r="H3447" s="6"/>
      <c r="I3447" s="6"/>
      <c r="J3447" s="6"/>
      <c r="K3447" s="6"/>
      <c r="L3447" s="6"/>
      <c r="M3447" s="6"/>
      <c r="N3447" s="6"/>
      <c r="O3447" s="7"/>
      <c r="P3447" s="6"/>
      <c r="Q3447" s="7"/>
      <c r="R3447" s="6"/>
      <c r="S3447" s="12"/>
      <c r="T3447" s="6"/>
      <c r="U3447" s="6"/>
      <c r="V3447" s="7"/>
      <c r="W3447" s="7"/>
      <c r="X3447" s="6"/>
      <c r="Y3447" s="6"/>
      <c r="Z3447" s="6"/>
      <c r="AA3447" s="1"/>
      <c r="AB3447" s="12"/>
      <c r="AC3447" s="12"/>
      <c r="AD3447" s="12"/>
      <c r="AE3447" s="12"/>
      <c r="AF3447" s="12"/>
      <c r="AG3447" s="12"/>
      <c r="AH3447" s="12"/>
      <c r="AI3447" s="6"/>
      <c r="AJ3447" s="12"/>
      <c r="AK3447" s="12"/>
      <c r="AL3447" s="12"/>
      <c r="AM3447" s="12"/>
      <c r="AN3447" s="1"/>
      <c r="AO3447" s="6"/>
    </row>
    <row r="3448" spans="1:41" ht="15" x14ac:dyDescent="0.25">
      <c r="A3448" s="1"/>
      <c r="B3448" s="1"/>
      <c r="C3448" s="1"/>
      <c r="D3448" s="1"/>
      <c r="E3448" s="6"/>
      <c r="F3448" s="1"/>
      <c r="G3448" s="6"/>
      <c r="H3448" s="6"/>
      <c r="I3448" s="6"/>
      <c r="J3448" s="6"/>
      <c r="K3448" s="6"/>
      <c r="L3448" s="6"/>
      <c r="M3448" s="6"/>
      <c r="N3448" s="6"/>
      <c r="O3448" s="7"/>
      <c r="P3448" s="6"/>
      <c r="Q3448" s="6"/>
      <c r="R3448" s="7"/>
      <c r="S3448" s="6"/>
      <c r="T3448" s="6"/>
      <c r="U3448" s="7"/>
      <c r="V3448" s="6"/>
      <c r="W3448" s="6"/>
      <c r="X3448" s="12"/>
      <c r="Y3448" s="6"/>
      <c r="Z3448" s="6"/>
      <c r="AA3448" s="7"/>
      <c r="AB3448" s="6"/>
      <c r="AC3448" s="6"/>
      <c r="AD3448" s="6"/>
      <c r="AE3448" s="12"/>
      <c r="AF3448" s="6"/>
      <c r="AG3448" s="12"/>
      <c r="AH3448" s="6"/>
      <c r="AI3448" s="6"/>
      <c r="AJ3448" s="12"/>
      <c r="AK3448" s="1"/>
      <c r="AL3448" s="12"/>
      <c r="AM3448" s="12"/>
      <c r="AN3448" s="1"/>
      <c r="AO3448" s="6"/>
    </row>
    <row r="3449" spans="1:41" ht="15" x14ac:dyDescent="0.25">
      <c r="A3449" s="1"/>
      <c r="B3449" s="1"/>
      <c r="C3449" s="1"/>
      <c r="D3449" s="1"/>
      <c r="E3449" s="6"/>
      <c r="F3449" s="1"/>
      <c r="G3449" s="6"/>
      <c r="H3449" s="6"/>
      <c r="I3449" s="6"/>
      <c r="J3449" s="6"/>
      <c r="K3449" s="6"/>
      <c r="L3449" s="6"/>
      <c r="M3449" s="6"/>
      <c r="N3449" s="6"/>
      <c r="O3449" s="7"/>
      <c r="P3449" s="6"/>
      <c r="Q3449" s="6"/>
      <c r="R3449" s="7"/>
      <c r="S3449" s="6"/>
      <c r="T3449" s="6"/>
      <c r="U3449" s="7"/>
      <c r="V3449" s="6"/>
      <c r="W3449" s="6"/>
      <c r="X3449" s="12"/>
      <c r="Y3449" s="6"/>
      <c r="Z3449" s="6"/>
      <c r="AA3449" s="7"/>
      <c r="AB3449" s="6"/>
      <c r="AC3449" s="6"/>
      <c r="AD3449" s="6"/>
      <c r="AE3449" s="12"/>
      <c r="AF3449" s="6"/>
      <c r="AG3449" s="12"/>
      <c r="AH3449" s="6"/>
      <c r="AI3449" s="6"/>
      <c r="AJ3449" s="12"/>
      <c r="AK3449" s="1"/>
      <c r="AL3449" s="12"/>
      <c r="AM3449" s="12"/>
      <c r="AN3449" s="1"/>
      <c r="AO3449" s="6"/>
    </row>
    <row r="3450" spans="1:41" ht="15" x14ac:dyDescent="0.25">
      <c r="A3450" s="1"/>
      <c r="B3450" s="1"/>
      <c r="C3450" s="1"/>
      <c r="D3450" s="1"/>
      <c r="E3450" s="6"/>
      <c r="F3450" s="1"/>
      <c r="G3450" s="6"/>
      <c r="H3450" s="6"/>
      <c r="I3450" s="6"/>
      <c r="J3450" s="6"/>
      <c r="K3450" s="6"/>
      <c r="L3450" s="6"/>
      <c r="M3450" s="6"/>
      <c r="N3450" s="6"/>
      <c r="O3450" s="7"/>
      <c r="P3450" s="6"/>
      <c r="Q3450" s="6"/>
      <c r="R3450" s="12"/>
      <c r="S3450" s="12"/>
      <c r="T3450" s="12"/>
      <c r="U3450" s="7"/>
      <c r="V3450" s="6"/>
      <c r="W3450" s="6"/>
      <c r="X3450" s="12"/>
      <c r="Y3450" s="6"/>
      <c r="Z3450" s="6"/>
      <c r="AA3450" s="7"/>
      <c r="AB3450" s="6"/>
      <c r="AC3450" s="6"/>
      <c r="AD3450" s="6"/>
      <c r="AE3450" s="12"/>
      <c r="AF3450" s="6"/>
      <c r="AG3450" s="12"/>
      <c r="AH3450" s="6"/>
      <c r="AI3450" s="6"/>
      <c r="AJ3450" s="12"/>
      <c r="AK3450" s="24"/>
      <c r="AL3450" s="25"/>
      <c r="AM3450" s="12"/>
      <c r="AN3450" s="1"/>
      <c r="AO3450" s="6"/>
    </row>
    <row r="3451" spans="1:41" ht="15" x14ac:dyDescent="0.25">
      <c r="A3451" s="1"/>
      <c r="B3451" s="1"/>
      <c r="C3451" s="1"/>
      <c r="D3451" s="1"/>
      <c r="E3451" s="6"/>
      <c r="F3451" s="1"/>
      <c r="G3451" s="6"/>
      <c r="H3451" s="6"/>
      <c r="I3451" s="6"/>
      <c r="J3451" s="6"/>
      <c r="K3451" s="6"/>
      <c r="L3451" s="6"/>
      <c r="M3451" s="6"/>
      <c r="N3451" s="6"/>
      <c r="O3451" s="7"/>
      <c r="P3451" s="6"/>
      <c r="Q3451" s="6"/>
      <c r="R3451" s="7"/>
      <c r="S3451" s="6"/>
      <c r="T3451" s="6"/>
      <c r="U3451" s="7"/>
      <c r="V3451" s="6"/>
      <c r="W3451" s="6"/>
      <c r="X3451" s="6"/>
      <c r="Y3451" s="6"/>
      <c r="Z3451" s="6"/>
      <c r="AA3451" s="7"/>
      <c r="AB3451" s="6"/>
      <c r="AC3451" s="6"/>
      <c r="AD3451" s="6"/>
      <c r="AE3451" s="12"/>
      <c r="AF3451" s="6"/>
      <c r="AG3451" s="12"/>
      <c r="AH3451" s="6"/>
      <c r="AI3451" s="6"/>
      <c r="AJ3451" s="12"/>
      <c r="AK3451" s="1"/>
      <c r="AL3451" s="12"/>
      <c r="AM3451" s="12"/>
      <c r="AN3451" s="1"/>
      <c r="AO3451" s="6"/>
    </row>
    <row r="3452" spans="1:41" ht="15" x14ac:dyDescent="0.25">
      <c r="A3452" s="1"/>
      <c r="B3452" s="1"/>
      <c r="C3452" s="1"/>
      <c r="D3452" s="1"/>
      <c r="E3452" s="6"/>
      <c r="F3452" s="1"/>
      <c r="G3452" s="6"/>
      <c r="H3452" s="6"/>
      <c r="I3452" s="6"/>
      <c r="J3452" s="6"/>
      <c r="K3452" s="6"/>
      <c r="L3452" s="6"/>
      <c r="M3452" s="6"/>
      <c r="N3452" s="6"/>
      <c r="O3452" s="7"/>
      <c r="P3452" s="6"/>
      <c r="Q3452" s="6"/>
      <c r="R3452" s="7"/>
      <c r="S3452" s="6"/>
      <c r="T3452" s="6"/>
      <c r="U3452" s="7"/>
      <c r="V3452" s="6"/>
      <c r="W3452" s="6"/>
      <c r="X3452" s="12"/>
      <c r="Y3452" s="6"/>
      <c r="Z3452" s="6"/>
      <c r="AA3452" s="7"/>
      <c r="AB3452" s="6"/>
      <c r="AC3452" s="6"/>
      <c r="AD3452" s="6"/>
      <c r="AE3452" s="12"/>
      <c r="AF3452" s="6"/>
      <c r="AG3452" s="12"/>
      <c r="AH3452" s="6"/>
      <c r="AI3452" s="6"/>
      <c r="AJ3452" s="12"/>
      <c r="AK3452" s="24"/>
      <c r="AL3452" s="25"/>
      <c r="AM3452" s="12"/>
      <c r="AN3452" s="1"/>
      <c r="AO3452" s="6"/>
    </row>
    <row r="3453" spans="1:41" ht="15" x14ac:dyDescent="0.25">
      <c r="A3453" s="1"/>
      <c r="B3453" s="1"/>
      <c r="C3453" s="1"/>
      <c r="D3453" s="1"/>
      <c r="E3453" s="6"/>
      <c r="F3453" s="1"/>
      <c r="G3453" s="6"/>
      <c r="H3453" s="6"/>
      <c r="I3453" s="6"/>
      <c r="J3453" s="6"/>
      <c r="K3453" s="6"/>
      <c r="L3453" s="6"/>
      <c r="M3453" s="6"/>
      <c r="N3453" s="6"/>
      <c r="O3453" s="7"/>
      <c r="P3453" s="6"/>
      <c r="Q3453" s="7"/>
      <c r="R3453" s="6"/>
      <c r="S3453" s="6"/>
      <c r="T3453" s="6"/>
      <c r="U3453" s="6"/>
      <c r="V3453" s="7"/>
      <c r="W3453" s="7"/>
      <c r="X3453" s="6"/>
      <c r="Y3453" s="6"/>
      <c r="Z3453" s="6"/>
      <c r="AA3453" s="1"/>
      <c r="AB3453" s="12"/>
      <c r="AC3453" s="12"/>
      <c r="AD3453" s="12"/>
      <c r="AE3453" s="12"/>
      <c r="AF3453" s="6"/>
      <c r="AG3453" s="12"/>
      <c r="AH3453" s="6"/>
      <c r="AI3453" s="6"/>
      <c r="AJ3453" s="12"/>
      <c r="AK3453" s="12"/>
      <c r="AL3453" s="12"/>
      <c r="AM3453" s="12"/>
      <c r="AN3453" s="1"/>
      <c r="AO3453" s="6"/>
    </row>
    <row r="3454" spans="1:41" ht="15" x14ac:dyDescent="0.25">
      <c r="A3454" s="1"/>
      <c r="B3454" s="1"/>
      <c r="C3454" s="1"/>
      <c r="D3454" s="1"/>
      <c r="E3454" s="6"/>
      <c r="F3454" s="1"/>
      <c r="G3454" s="6"/>
      <c r="H3454" s="6"/>
      <c r="I3454" s="6"/>
      <c r="J3454" s="6"/>
      <c r="K3454" s="6"/>
      <c r="L3454" s="6"/>
      <c r="M3454" s="6"/>
      <c r="N3454" s="6"/>
      <c r="O3454" s="7"/>
      <c r="P3454" s="12"/>
      <c r="Q3454" s="6"/>
      <c r="R3454" s="7"/>
      <c r="S3454" s="6"/>
      <c r="T3454" s="6"/>
      <c r="U3454" s="7"/>
      <c r="V3454" s="6"/>
      <c r="W3454" s="6"/>
      <c r="X3454" s="12"/>
      <c r="Y3454" s="6"/>
      <c r="Z3454" s="6"/>
      <c r="AA3454" s="7"/>
      <c r="AB3454" s="6"/>
      <c r="AC3454" s="6"/>
      <c r="AD3454" s="6"/>
      <c r="AE3454" s="12"/>
      <c r="AF3454" s="12"/>
      <c r="AG3454" s="12"/>
      <c r="AH3454" s="12"/>
      <c r="AI3454" s="6"/>
      <c r="AJ3454" s="12"/>
      <c r="AK3454" s="1"/>
      <c r="AL3454" s="12"/>
      <c r="AM3454" s="12"/>
      <c r="AN3454" s="1"/>
      <c r="AO3454" s="6"/>
    </row>
    <row r="3455" spans="1:41" ht="15" x14ac:dyDescent="0.25">
      <c r="A3455" s="1"/>
      <c r="B3455" s="1"/>
      <c r="C3455" s="1"/>
      <c r="D3455" s="1"/>
      <c r="E3455" s="6"/>
      <c r="F3455" s="1"/>
      <c r="G3455" s="6"/>
      <c r="H3455" s="6"/>
      <c r="I3455" s="6"/>
      <c r="J3455" s="6"/>
      <c r="K3455" s="6"/>
      <c r="L3455" s="6"/>
      <c r="M3455" s="6"/>
      <c r="N3455" s="6"/>
      <c r="O3455" s="7"/>
      <c r="P3455" s="6"/>
      <c r="Q3455" s="6"/>
      <c r="R3455" s="7"/>
      <c r="S3455" s="6"/>
      <c r="T3455" s="6"/>
      <c r="U3455" s="7"/>
      <c r="V3455" s="6"/>
      <c r="W3455" s="6"/>
      <c r="X3455" s="12"/>
      <c r="Y3455" s="6"/>
      <c r="Z3455" s="6"/>
      <c r="AA3455" s="7"/>
      <c r="AB3455" s="6"/>
      <c r="AC3455" s="6"/>
      <c r="AD3455" s="6"/>
      <c r="AE3455" s="12"/>
      <c r="AF3455" s="6"/>
      <c r="AG3455" s="12"/>
      <c r="AH3455" s="6"/>
      <c r="AI3455" s="6"/>
      <c r="AJ3455" s="12"/>
      <c r="AK3455" s="24"/>
      <c r="AL3455" s="25"/>
      <c r="AM3455" s="12"/>
      <c r="AN3455" s="1"/>
      <c r="AO3455" s="6"/>
    </row>
    <row r="3456" spans="1:41" ht="15" x14ac:dyDescent="0.25">
      <c r="A3456" s="1"/>
      <c r="B3456" s="1"/>
      <c r="C3456" s="1"/>
      <c r="D3456" s="1"/>
      <c r="E3456" s="6"/>
      <c r="F3456" s="1"/>
      <c r="G3456" s="6"/>
      <c r="H3456" s="6"/>
      <c r="I3456" s="6"/>
      <c r="J3456" s="6"/>
      <c r="K3456" s="6"/>
      <c r="L3456" s="6"/>
      <c r="M3456" s="6"/>
      <c r="N3456" s="6"/>
      <c r="O3456" s="7"/>
      <c r="P3456" s="6"/>
      <c r="Q3456" s="6"/>
      <c r="R3456" s="7"/>
      <c r="S3456" s="6"/>
      <c r="T3456" s="6"/>
      <c r="U3456" s="7"/>
      <c r="V3456" s="6"/>
      <c r="W3456" s="6"/>
      <c r="X3456" s="6"/>
      <c r="Y3456" s="6"/>
      <c r="Z3456" s="6"/>
      <c r="AA3456" s="7"/>
      <c r="AB3456" s="6"/>
      <c r="AC3456" s="6"/>
      <c r="AD3456" s="6"/>
      <c r="AE3456" s="12"/>
      <c r="AF3456" s="6"/>
      <c r="AG3456" s="12"/>
      <c r="AH3456" s="6"/>
      <c r="AI3456" s="6"/>
      <c r="AJ3456" s="12"/>
      <c r="AK3456" s="24"/>
      <c r="AL3456" s="25"/>
      <c r="AM3456" s="12"/>
      <c r="AN3456" s="1"/>
      <c r="AO3456" s="6"/>
    </row>
    <row r="3457" spans="1:41" ht="15" x14ac:dyDescent="0.25">
      <c r="A3457" s="1"/>
      <c r="B3457" s="1"/>
      <c r="C3457" s="1"/>
      <c r="D3457" s="1"/>
      <c r="E3457" s="6"/>
      <c r="F3457" s="1"/>
      <c r="G3457" s="6"/>
      <c r="H3457" s="6"/>
      <c r="I3457" s="6"/>
      <c r="J3457" s="6"/>
      <c r="K3457" s="6"/>
      <c r="L3457" s="6"/>
      <c r="M3457" s="6"/>
      <c r="N3457" s="6"/>
      <c r="O3457" s="7"/>
      <c r="P3457" s="6"/>
      <c r="Q3457" s="6"/>
      <c r="R3457" s="7"/>
      <c r="S3457" s="6"/>
      <c r="T3457" s="6"/>
      <c r="U3457" s="7"/>
      <c r="V3457" s="6"/>
      <c r="W3457" s="6"/>
      <c r="X3457" s="12"/>
      <c r="Y3457" s="6"/>
      <c r="Z3457" s="6"/>
      <c r="AA3457" s="7"/>
      <c r="AB3457" s="6"/>
      <c r="AC3457" s="6"/>
      <c r="AD3457" s="6"/>
      <c r="AE3457" s="12"/>
      <c r="AF3457" s="6"/>
      <c r="AG3457" s="12"/>
      <c r="AH3457" s="6"/>
      <c r="AI3457" s="6"/>
      <c r="AJ3457" s="12"/>
      <c r="AK3457" s="1"/>
      <c r="AL3457" s="12"/>
      <c r="AM3457" s="12"/>
      <c r="AN3457" s="1"/>
      <c r="AO3457" s="6"/>
    </row>
    <row r="3458" spans="1:41" ht="15" x14ac:dyDescent="0.25">
      <c r="A3458" s="1"/>
      <c r="B3458" s="1"/>
      <c r="C3458" s="1"/>
      <c r="D3458" s="1"/>
      <c r="E3458" s="6"/>
      <c r="F3458" s="1"/>
      <c r="G3458" s="6"/>
      <c r="H3458" s="6"/>
      <c r="I3458" s="6"/>
      <c r="J3458" s="6"/>
      <c r="K3458" s="6"/>
      <c r="L3458" s="6"/>
      <c r="M3458" s="6"/>
      <c r="N3458" s="6"/>
      <c r="O3458" s="7"/>
      <c r="P3458" s="6"/>
      <c r="Q3458" s="6"/>
      <c r="R3458" s="15"/>
      <c r="S3458" s="6"/>
      <c r="T3458" s="6"/>
      <c r="U3458" s="7"/>
      <c r="V3458" s="6"/>
      <c r="W3458" s="6"/>
      <c r="X3458" s="12"/>
      <c r="Y3458" s="12"/>
      <c r="Z3458" s="6"/>
      <c r="AA3458" s="7"/>
      <c r="AB3458" s="6"/>
      <c r="AC3458" s="6"/>
      <c r="AD3458" s="6"/>
      <c r="AE3458" s="12"/>
      <c r="AF3458" s="6"/>
      <c r="AG3458" s="12"/>
      <c r="AH3458" s="6"/>
      <c r="AI3458" s="6"/>
      <c r="AJ3458" s="12"/>
      <c r="AK3458" s="24"/>
      <c r="AL3458" s="25"/>
      <c r="AM3458" s="12"/>
      <c r="AN3458" s="1"/>
      <c r="AO3458" s="6"/>
    </row>
    <row r="3459" spans="1:41" ht="15" x14ac:dyDescent="0.25">
      <c r="A3459" s="1"/>
      <c r="B3459" s="1"/>
      <c r="C3459" s="1"/>
      <c r="D3459" s="1"/>
      <c r="E3459" s="6"/>
      <c r="F3459" s="1"/>
      <c r="G3459" s="6"/>
      <c r="H3459" s="6"/>
      <c r="I3459" s="6"/>
      <c r="J3459" s="6"/>
      <c r="K3459" s="6"/>
      <c r="L3459" s="6"/>
      <c r="M3459" s="6"/>
      <c r="N3459" s="6"/>
      <c r="O3459" s="7"/>
      <c r="P3459" s="6"/>
      <c r="Q3459" s="7"/>
      <c r="R3459" s="6"/>
      <c r="S3459" s="6"/>
      <c r="T3459" s="6"/>
      <c r="U3459" s="6"/>
      <c r="V3459" s="7"/>
      <c r="W3459" s="7"/>
      <c r="X3459" s="6"/>
      <c r="Y3459" s="6"/>
      <c r="Z3459" s="6"/>
      <c r="AA3459" s="1"/>
      <c r="AB3459" s="12"/>
      <c r="AC3459" s="12"/>
      <c r="AD3459" s="12"/>
      <c r="AE3459" s="12"/>
      <c r="AF3459" s="12"/>
      <c r="AG3459" s="12"/>
      <c r="AH3459" s="12"/>
      <c r="AI3459" s="6"/>
      <c r="AJ3459" s="12"/>
      <c r="AK3459" s="12"/>
      <c r="AL3459" s="12"/>
      <c r="AM3459" s="12"/>
      <c r="AN3459" s="1"/>
      <c r="AO3459" s="6"/>
    </row>
    <row r="3460" spans="1:41" ht="15" x14ac:dyDescent="0.25">
      <c r="A3460" s="1"/>
      <c r="B3460" s="1"/>
      <c r="C3460" s="1"/>
      <c r="D3460" s="1"/>
      <c r="E3460" s="6"/>
      <c r="F3460" s="1"/>
      <c r="G3460" s="6"/>
      <c r="H3460" s="6"/>
      <c r="I3460" s="6"/>
      <c r="J3460" s="6"/>
      <c r="K3460" s="6"/>
      <c r="L3460" s="6"/>
      <c r="M3460" s="6"/>
      <c r="N3460" s="6"/>
      <c r="O3460" s="7"/>
      <c r="P3460" s="6"/>
      <c r="Q3460" s="6"/>
      <c r="R3460" s="7"/>
      <c r="S3460" s="6"/>
      <c r="T3460" s="6"/>
      <c r="U3460" s="7"/>
      <c r="V3460" s="6"/>
      <c r="W3460" s="6"/>
      <c r="X3460" s="12"/>
      <c r="Y3460" s="6"/>
      <c r="Z3460" s="6"/>
      <c r="AA3460" s="7"/>
      <c r="AB3460" s="6"/>
      <c r="AC3460" s="6"/>
      <c r="AD3460" s="6"/>
      <c r="AE3460" s="12"/>
      <c r="AF3460" s="6"/>
      <c r="AG3460" s="12"/>
      <c r="AH3460" s="6"/>
      <c r="AI3460" s="6"/>
      <c r="AJ3460" s="12"/>
      <c r="AK3460" s="1"/>
      <c r="AL3460" s="12"/>
      <c r="AM3460" s="12"/>
      <c r="AN3460" s="1"/>
      <c r="AO3460" s="12"/>
    </row>
    <row r="3461" spans="1:41" ht="15" x14ac:dyDescent="0.25">
      <c r="A3461" s="1"/>
      <c r="B3461" s="1"/>
      <c r="C3461" s="1"/>
      <c r="D3461" s="1"/>
      <c r="E3461" s="6"/>
      <c r="F3461" s="1"/>
      <c r="G3461" s="6"/>
      <c r="H3461" s="6"/>
      <c r="I3461" s="6"/>
      <c r="J3461" s="6"/>
      <c r="K3461" s="6"/>
      <c r="L3461" s="6"/>
      <c r="M3461" s="6"/>
      <c r="N3461" s="6"/>
      <c r="O3461" s="7"/>
      <c r="P3461" s="6"/>
      <c r="Q3461" s="7"/>
      <c r="R3461" s="6"/>
      <c r="S3461" s="6"/>
      <c r="T3461" s="6"/>
      <c r="U3461" s="6"/>
      <c r="V3461" s="7"/>
      <c r="W3461" s="7"/>
      <c r="X3461" s="6"/>
      <c r="Y3461" s="6"/>
      <c r="Z3461" s="6"/>
      <c r="AA3461" s="1"/>
      <c r="AB3461" s="12"/>
      <c r="AC3461" s="12"/>
      <c r="AD3461" s="12"/>
      <c r="AE3461" s="12"/>
      <c r="AF3461" s="12"/>
      <c r="AG3461" s="12"/>
      <c r="AH3461" s="12"/>
      <c r="AI3461" s="6"/>
      <c r="AJ3461" s="12"/>
      <c r="AK3461" s="12"/>
      <c r="AL3461" s="12"/>
      <c r="AM3461" s="12"/>
      <c r="AN3461" s="1"/>
      <c r="AO3461" s="6"/>
    </row>
    <row r="3462" spans="1:41" ht="15" x14ac:dyDescent="0.25">
      <c r="A3462" s="1"/>
      <c r="B3462" s="1"/>
      <c r="C3462" s="1"/>
      <c r="D3462" s="1"/>
      <c r="E3462" s="6"/>
      <c r="F3462" s="1"/>
      <c r="G3462" s="6"/>
      <c r="H3462" s="6"/>
      <c r="I3462" s="6"/>
      <c r="J3462" s="6"/>
      <c r="K3462" s="6"/>
      <c r="L3462" s="6"/>
      <c r="M3462" s="6"/>
      <c r="N3462" s="6"/>
      <c r="O3462" s="7"/>
      <c r="P3462" s="6"/>
      <c r="Q3462" s="6"/>
      <c r="R3462" s="7"/>
      <c r="S3462" s="6"/>
      <c r="T3462" s="6"/>
      <c r="U3462" s="7"/>
      <c r="V3462" s="6"/>
      <c r="W3462" s="6"/>
      <c r="X3462" s="6"/>
      <c r="Y3462" s="6"/>
      <c r="Z3462" s="6"/>
      <c r="AA3462" s="7"/>
      <c r="AB3462" s="6"/>
      <c r="AC3462" s="6"/>
      <c r="AD3462" s="6"/>
      <c r="AE3462" s="12"/>
      <c r="AF3462" s="12"/>
      <c r="AG3462" s="12"/>
      <c r="AH3462" s="12"/>
      <c r="AI3462" s="6"/>
      <c r="AJ3462" s="12"/>
      <c r="AK3462" s="1"/>
      <c r="AL3462" s="12"/>
      <c r="AM3462" s="12"/>
      <c r="AN3462" s="1"/>
      <c r="AO3462" s="6"/>
    </row>
    <row r="3463" spans="1:41" ht="15" x14ac:dyDescent="0.25">
      <c r="A3463" s="1"/>
      <c r="B3463" s="1"/>
      <c r="C3463" s="1"/>
      <c r="D3463" s="1"/>
      <c r="E3463" s="6"/>
      <c r="F3463" s="1"/>
      <c r="G3463" s="6"/>
      <c r="H3463" s="6"/>
      <c r="I3463" s="6"/>
      <c r="J3463" s="6"/>
      <c r="K3463" s="6"/>
      <c r="L3463" s="6"/>
      <c r="M3463" s="6"/>
      <c r="N3463" s="6"/>
      <c r="O3463" s="7"/>
      <c r="P3463" s="6"/>
      <c r="Q3463" s="6"/>
      <c r="R3463" s="7"/>
      <c r="S3463" s="6"/>
      <c r="T3463" s="6"/>
      <c r="U3463" s="7"/>
      <c r="V3463" s="6"/>
      <c r="W3463" s="6"/>
      <c r="X3463" s="6"/>
      <c r="Y3463" s="6"/>
      <c r="Z3463" s="6"/>
      <c r="AA3463" s="7"/>
      <c r="AB3463" s="6"/>
      <c r="AC3463" s="6"/>
      <c r="AD3463" s="6"/>
      <c r="AE3463" s="12"/>
      <c r="AF3463" s="12"/>
      <c r="AG3463" s="12"/>
      <c r="AH3463" s="12"/>
      <c r="AI3463" s="6"/>
      <c r="AJ3463" s="12"/>
      <c r="AK3463" s="1"/>
      <c r="AL3463" s="12"/>
      <c r="AM3463" s="12"/>
      <c r="AN3463" s="1"/>
      <c r="AO3463" s="6"/>
    </row>
    <row r="3464" spans="1:41" ht="15" x14ac:dyDescent="0.25">
      <c r="A3464" s="1"/>
      <c r="B3464" s="1"/>
      <c r="C3464" s="1"/>
      <c r="D3464" s="1"/>
      <c r="E3464" s="6"/>
      <c r="F3464" s="1"/>
      <c r="G3464" s="6"/>
      <c r="H3464" s="6"/>
      <c r="I3464" s="6"/>
      <c r="J3464" s="6"/>
      <c r="K3464" s="6"/>
      <c r="L3464" s="6"/>
      <c r="M3464" s="6"/>
      <c r="N3464" s="6"/>
      <c r="O3464" s="7"/>
      <c r="P3464" s="12"/>
      <c r="Q3464" s="6"/>
      <c r="R3464" s="7"/>
      <c r="S3464" s="6"/>
      <c r="T3464" s="6"/>
      <c r="U3464" s="7"/>
      <c r="V3464" s="6"/>
      <c r="W3464" s="6"/>
      <c r="X3464" s="6"/>
      <c r="Y3464" s="6"/>
      <c r="Z3464" s="6"/>
      <c r="AA3464" s="7"/>
      <c r="AB3464" s="6"/>
      <c r="AC3464" s="6"/>
      <c r="AD3464" s="6"/>
      <c r="AE3464" s="12"/>
      <c r="AF3464" s="12"/>
      <c r="AG3464" s="12"/>
      <c r="AH3464" s="12"/>
      <c r="AI3464" s="6"/>
      <c r="AJ3464" s="12"/>
      <c r="AK3464" s="1"/>
      <c r="AL3464" s="12"/>
      <c r="AM3464" s="12"/>
      <c r="AN3464" s="1"/>
      <c r="AO3464" s="6"/>
    </row>
    <row r="3465" spans="1:41" ht="15" x14ac:dyDescent="0.25">
      <c r="A3465" s="1"/>
      <c r="B3465" s="1"/>
      <c r="C3465" s="1"/>
      <c r="D3465" s="1"/>
      <c r="E3465" s="6"/>
      <c r="F3465" s="1"/>
      <c r="G3465" s="6"/>
      <c r="H3465" s="6"/>
      <c r="I3465" s="6"/>
      <c r="J3465" s="6"/>
      <c r="K3465" s="6"/>
      <c r="L3465" s="6"/>
      <c r="M3465" s="6"/>
      <c r="N3465" s="6"/>
      <c r="O3465" s="7"/>
      <c r="P3465" s="6"/>
      <c r="Q3465" s="6"/>
      <c r="R3465" s="7"/>
      <c r="S3465" s="6"/>
      <c r="T3465" s="6"/>
      <c r="U3465" s="7"/>
      <c r="V3465" s="6"/>
      <c r="W3465" s="6"/>
      <c r="X3465" s="6"/>
      <c r="Y3465" s="6"/>
      <c r="Z3465" s="6"/>
      <c r="AA3465" s="7"/>
      <c r="AB3465" s="6"/>
      <c r="AC3465" s="6"/>
      <c r="AD3465" s="6"/>
      <c r="AE3465" s="12"/>
      <c r="AF3465" s="6"/>
      <c r="AG3465" s="12"/>
      <c r="AH3465" s="6"/>
      <c r="AI3465" s="6"/>
      <c r="AJ3465" s="12"/>
      <c r="AK3465" s="1"/>
      <c r="AL3465" s="12"/>
      <c r="AM3465" s="12"/>
      <c r="AN3465" s="1"/>
      <c r="AO3465" s="6"/>
    </row>
    <row r="3466" spans="1:41" ht="15" x14ac:dyDescent="0.25">
      <c r="A3466" s="1"/>
      <c r="B3466" s="1"/>
      <c r="C3466" s="1"/>
      <c r="D3466" s="1"/>
      <c r="E3466" s="6"/>
      <c r="F3466" s="1"/>
      <c r="G3466" s="6"/>
      <c r="H3466" s="6"/>
      <c r="I3466" s="6"/>
      <c r="J3466" s="6"/>
      <c r="K3466" s="12"/>
      <c r="L3466" s="6"/>
      <c r="M3466" s="6"/>
      <c r="N3466" s="6"/>
      <c r="O3466" s="7"/>
      <c r="P3466" s="6"/>
      <c r="Q3466" s="6"/>
      <c r="R3466" s="7"/>
      <c r="S3466" s="6"/>
      <c r="T3466" s="6"/>
      <c r="U3466" s="7"/>
      <c r="V3466" s="6"/>
      <c r="W3466" s="6"/>
      <c r="X3466" s="12"/>
      <c r="Y3466" s="6"/>
      <c r="Z3466" s="6"/>
      <c r="AA3466" s="7"/>
      <c r="AB3466" s="6"/>
      <c r="AC3466" s="6"/>
      <c r="AD3466" s="6"/>
      <c r="AE3466" s="12"/>
      <c r="AF3466" s="6"/>
      <c r="AG3466" s="12"/>
      <c r="AH3466" s="6"/>
      <c r="AI3466" s="6"/>
      <c r="AJ3466" s="12"/>
      <c r="AK3466" s="24"/>
      <c r="AL3466" s="25"/>
      <c r="AM3466" s="12"/>
      <c r="AN3466" s="1"/>
      <c r="AO3466" s="6"/>
    </row>
    <row r="3467" spans="1:41" ht="15" x14ac:dyDescent="0.25">
      <c r="A3467" s="1"/>
      <c r="B3467" s="1"/>
      <c r="C3467" s="1"/>
      <c r="D3467" s="1"/>
      <c r="E3467" s="6"/>
      <c r="F3467" s="1"/>
      <c r="G3467" s="6"/>
      <c r="H3467" s="6"/>
      <c r="I3467" s="6"/>
      <c r="J3467" s="6"/>
      <c r="K3467" s="6"/>
      <c r="L3467" s="6"/>
      <c r="M3467" s="6"/>
      <c r="N3467" s="6"/>
      <c r="O3467" s="7"/>
      <c r="P3467" s="6"/>
      <c r="Q3467" s="6"/>
      <c r="R3467" s="7"/>
      <c r="S3467" s="6"/>
      <c r="T3467" s="6"/>
      <c r="U3467" s="7"/>
      <c r="V3467" s="6"/>
      <c r="W3467" s="6"/>
      <c r="X3467" s="6"/>
      <c r="Y3467" s="6"/>
      <c r="Z3467" s="6"/>
      <c r="AA3467" s="7"/>
      <c r="AB3467" s="6"/>
      <c r="AC3467" s="6"/>
      <c r="AD3467" s="6"/>
      <c r="AE3467" s="12"/>
      <c r="AF3467" s="6"/>
      <c r="AG3467" s="12"/>
      <c r="AH3467" s="6"/>
      <c r="AI3467" s="6"/>
      <c r="AJ3467" s="12"/>
      <c r="AK3467" s="1"/>
      <c r="AL3467" s="12"/>
      <c r="AM3467" s="12"/>
      <c r="AN3467" s="1"/>
      <c r="AO3467" s="6"/>
    </row>
    <row r="3468" spans="1:41" ht="15" x14ac:dyDescent="0.25">
      <c r="A3468" s="1"/>
      <c r="B3468" s="1"/>
      <c r="C3468" s="1"/>
      <c r="D3468" s="1"/>
      <c r="E3468" s="6"/>
      <c r="F3468" s="1"/>
      <c r="G3468" s="6"/>
      <c r="H3468" s="6"/>
      <c r="I3468" s="6"/>
      <c r="J3468" s="6"/>
      <c r="K3468" s="6"/>
      <c r="L3468" s="6"/>
      <c r="M3468" s="6"/>
      <c r="N3468" s="6"/>
      <c r="O3468" s="7"/>
      <c r="P3468" s="6"/>
      <c r="Q3468" s="6"/>
      <c r="R3468" s="7"/>
      <c r="S3468" s="6"/>
      <c r="T3468" s="6"/>
      <c r="U3468" s="7"/>
      <c r="V3468" s="6"/>
      <c r="W3468" s="6"/>
      <c r="X3468" s="6"/>
      <c r="Y3468" s="6"/>
      <c r="Z3468" s="6"/>
      <c r="AA3468" s="7"/>
      <c r="AB3468" s="6"/>
      <c r="AC3468" s="6"/>
      <c r="AD3468" s="6"/>
      <c r="AE3468" s="12"/>
      <c r="AF3468" s="12"/>
      <c r="AG3468" s="12"/>
      <c r="AH3468" s="12"/>
      <c r="AI3468" s="6"/>
      <c r="AJ3468" s="12"/>
      <c r="AK3468" s="1"/>
      <c r="AL3468" s="12"/>
      <c r="AM3468" s="12"/>
      <c r="AN3468" s="1"/>
      <c r="AO3468" s="6"/>
    </row>
    <row r="3469" spans="1:41" ht="15" x14ac:dyDescent="0.25">
      <c r="A3469" s="1"/>
      <c r="B3469" s="1"/>
      <c r="C3469" s="1"/>
      <c r="D3469" s="1"/>
      <c r="E3469" s="6"/>
      <c r="F3469" s="1"/>
      <c r="G3469" s="6"/>
      <c r="H3469" s="6"/>
      <c r="I3469" s="6"/>
      <c r="J3469" s="6"/>
      <c r="K3469" s="6"/>
      <c r="L3469" s="6"/>
      <c r="M3469" s="6"/>
      <c r="N3469" s="6"/>
      <c r="O3469" s="7"/>
      <c r="P3469" s="6"/>
      <c r="Q3469" s="6"/>
      <c r="R3469" s="7"/>
      <c r="S3469" s="6"/>
      <c r="T3469" s="6"/>
      <c r="U3469" s="7"/>
      <c r="V3469" s="6"/>
      <c r="W3469" s="6"/>
      <c r="X3469" s="6"/>
      <c r="Y3469" s="6"/>
      <c r="Z3469" s="6"/>
      <c r="AA3469" s="7"/>
      <c r="AB3469" s="6"/>
      <c r="AC3469" s="6"/>
      <c r="AD3469" s="6"/>
      <c r="AE3469" s="12"/>
      <c r="AF3469" s="12"/>
      <c r="AG3469" s="12"/>
      <c r="AH3469" s="12"/>
      <c r="AI3469" s="6"/>
      <c r="AJ3469" s="12"/>
      <c r="AK3469" s="1"/>
      <c r="AL3469" s="12"/>
      <c r="AM3469" s="12"/>
      <c r="AN3469" s="1"/>
      <c r="AO3469" s="6"/>
    </row>
    <row r="3470" spans="1:41" ht="15" x14ac:dyDescent="0.25">
      <c r="A3470" s="1"/>
      <c r="B3470" s="1"/>
      <c r="C3470" s="1"/>
      <c r="D3470" s="1"/>
      <c r="E3470" s="6"/>
      <c r="F3470" s="1"/>
      <c r="G3470" s="6"/>
      <c r="H3470" s="6"/>
      <c r="I3470" s="6"/>
      <c r="J3470" s="6"/>
      <c r="K3470" s="6"/>
      <c r="L3470" s="6"/>
      <c r="M3470" s="6"/>
      <c r="N3470" s="6"/>
      <c r="O3470" s="7"/>
      <c r="P3470" s="6"/>
      <c r="Q3470" s="6"/>
      <c r="R3470" s="7"/>
      <c r="S3470" s="6"/>
      <c r="T3470" s="6"/>
      <c r="U3470" s="7"/>
      <c r="V3470" s="6"/>
      <c r="W3470" s="6"/>
      <c r="X3470" s="12"/>
      <c r="Y3470" s="6"/>
      <c r="Z3470" s="6"/>
      <c r="AA3470" s="7"/>
      <c r="AB3470" s="6"/>
      <c r="AC3470" s="6"/>
      <c r="AD3470" s="6"/>
      <c r="AE3470" s="12"/>
      <c r="AF3470" s="6"/>
      <c r="AG3470" s="12"/>
      <c r="AH3470" s="6"/>
      <c r="AI3470" s="6"/>
      <c r="AJ3470" s="12"/>
      <c r="AK3470" s="1"/>
      <c r="AL3470" s="12"/>
      <c r="AM3470" s="12"/>
      <c r="AN3470" s="1"/>
      <c r="AO3470" s="6"/>
    </row>
    <row r="3471" spans="1:41" ht="15" x14ac:dyDescent="0.25">
      <c r="A3471" s="1"/>
      <c r="B3471" s="1"/>
      <c r="C3471" s="1"/>
      <c r="D3471" s="1"/>
      <c r="E3471" s="6"/>
      <c r="F3471" s="1"/>
      <c r="G3471" s="6"/>
      <c r="H3471" s="6"/>
      <c r="I3471" s="6"/>
      <c r="J3471" s="6"/>
      <c r="K3471" s="12"/>
      <c r="L3471" s="12"/>
      <c r="M3471" s="6"/>
      <c r="N3471" s="6"/>
      <c r="O3471" s="7"/>
      <c r="P3471" s="12"/>
      <c r="Q3471" s="6"/>
      <c r="R3471" s="7"/>
      <c r="S3471" s="6"/>
      <c r="T3471" s="6"/>
      <c r="U3471" s="7"/>
      <c r="V3471" s="6"/>
      <c r="W3471" s="6"/>
      <c r="X3471" s="6"/>
      <c r="Y3471" s="6"/>
      <c r="Z3471" s="6"/>
      <c r="AA3471" s="7"/>
      <c r="AB3471" s="6"/>
      <c r="AC3471" s="6"/>
      <c r="AD3471" s="6"/>
      <c r="AE3471" s="12"/>
      <c r="AF3471" s="12"/>
      <c r="AG3471" s="12"/>
      <c r="AH3471" s="12"/>
      <c r="AI3471" s="6"/>
      <c r="AJ3471" s="12"/>
      <c r="AK3471" s="1"/>
      <c r="AL3471" s="12"/>
      <c r="AM3471" s="12"/>
      <c r="AN3471" s="1"/>
      <c r="AO3471" s="12"/>
    </row>
    <row r="3472" spans="1:41" ht="15" x14ac:dyDescent="0.25">
      <c r="A3472" s="1"/>
      <c r="B3472" s="1"/>
      <c r="C3472" s="1"/>
      <c r="D3472" s="1"/>
      <c r="E3472" s="6"/>
      <c r="F3472" s="1"/>
      <c r="G3472" s="6"/>
      <c r="H3472" s="6"/>
      <c r="I3472" s="6"/>
      <c r="J3472" s="6"/>
      <c r="K3472" s="6"/>
      <c r="L3472" s="6"/>
      <c r="M3472" s="6"/>
      <c r="N3472" s="6"/>
      <c r="O3472" s="7"/>
      <c r="P3472" s="6"/>
      <c r="Q3472" s="6"/>
      <c r="R3472" s="7"/>
      <c r="S3472" s="6"/>
      <c r="T3472" s="6"/>
      <c r="U3472" s="7"/>
      <c r="V3472" s="6"/>
      <c r="W3472" s="6"/>
      <c r="X3472" s="6"/>
      <c r="Y3472" s="6"/>
      <c r="Z3472" s="6"/>
      <c r="AA3472" s="7"/>
      <c r="AB3472" s="6"/>
      <c r="AC3472" s="6"/>
      <c r="AD3472" s="6"/>
      <c r="AE3472" s="12"/>
      <c r="AF3472" s="12"/>
      <c r="AG3472" s="12"/>
      <c r="AH3472" s="12"/>
      <c r="AI3472" s="6"/>
      <c r="AJ3472" s="12"/>
      <c r="AK3472" s="1"/>
      <c r="AL3472" s="12"/>
      <c r="AM3472" s="12"/>
      <c r="AN3472" s="1"/>
      <c r="AO3472" s="6"/>
    </row>
    <row r="3473" spans="1:41" ht="15" x14ac:dyDescent="0.25">
      <c r="A3473" s="1"/>
      <c r="B3473" s="1"/>
      <c r="C3473" s="1"/>
      <c r="D3473" s="1"/>
      <c r="E3473" s="6"/>
      <c r="F3473" s="1"/>
      <c r="G3473" s="6"/>
      <c r="H3473" s="6"/>
      <c r="I3473" s="6"/>
      <c r="J3473" s="6"/>
      <c r="K3473" s="6"/>
      <c r="L3473" s="6"/>
      <c r="M3473" s="6"/>
      <c r="N3473" s="6"/>
      <c r="O3473" s="7"/>
      <c r="P3473" s="6"/>
      <c r="Q3473" s="6"/>
      <c r="R3473" s="7"/>
      <c r="S3473" s="6"/>
      <c r="T3473" s="6"/>
      <c r="U3473" s="7"/>
      <c r="V3473" s="6"/>
      <c r="W3473" s="6"/>
      <c r="X3473" s="6"/>
      <c r="Y3473" s="6"/>
      <c r="Z3473" s="6"/>
      <c r="AA3473" s="7"/>
      <c r="AB3473" s="6"/>
      <c r="AC3473" s="6"/>
      <c r="AD3473" s="6"/>
      <c r="AE3473" s="12"/>
      <c r="AF3473" s="6"/>
      <c r="AG3473" s="12"/>
      <c r="AH3473" s="6"/>
      <c r="AI3473" s="6"/>
      <c r="AJ3473" s="12"/>
      <c r="AK3473" s="24"/>
      <c r="AL3473" s="25"/>
      <c r="AM3473" s="12"/>
      <c r="AN3473" s="1"/>
      <c r="AO3473" s="6"/>
    </row>
    <row r="3474" spans="1:41" ht="15" x14ac:dyDescent="0.25">
      <c r="A3474" s="1"/>
      <c r="B3474" s="1"/>
      <c r="C3474" s="1"/>
      <c r="D3474" s="1"/>
      <c r="E3474" s="6"/>
      <c r="F3474" s="1"/>
      <c r="G3474" s="6"/>
      <c r="H3474" s="6"/>
      <c r="I3474" s="6"/>
      <c r="J3474" s="6"/>
      <c r="K3474" s="6"/>
      <c r="L3474" s="6"/>
      <c r="M3474" s="6"/>
      <c r="N3474" s="6"/>
      <c r="O3474" s="7"/>
      <c r="P3474" s="6"/>
      <c r="Q3474" s="6"/>
      <c r="R3474" s="7"/>
      <c r="S3474" s="6"/>
      <c r="T3474" s="6"/>
      <c r="U3474" s="7"/>
      <c r="V3474" s="6"/>
      <c r="W3474" s="6"/>
      <c r="X3474" s="6"/>
      <c r="Y3474" s="6"/>
      <c r="Z3474" s="6"/>
      <c r="AA3474" s="7"/>
      <c r="AB3474" s="6"/>
      <c r="AC3474" s="6"/>
      <c r="AD3474" s="6"/>
      <c r="AE3474" s="12"/>
      <c r="AF3474" s="6"/>
      <c r="AG3474" s="12"/>
      <c r="AH3474" s="6"/>
      <c r="AI3474" s="6"/>
      <c r="AJ3474" s="12"/>
      <c r="AK3474" s="1"/>
      <c r="AL3474" s="12"/>
      <c r="AM3474" s="12"/>
      <c r="AN3474" s="1"/>
      <c r="AO3474" s="6"/>
    </row>
    <row r="3475" spans="1:41" ht="15" x14ac:dyDescent="0.25">
      <c r="A3475" s="1"/>
      <c r="B3475" s="1"/>
      <c r="C3475" s="1"/>
      <c r="D3475" s="1"/>
      <c r="E3475" s="6"/>
      <c r="F3475" s="1"/>
      <c r="G3475" s="6"/>
      <c r="H3475" s="6"/>
      <c r="I3475" s="6"/>
      <c r="J3475" s="6"/>
      <c r="K3475" s="6"/>
      <c r="L3475" s="6"/>
      <c r="M3475" s="6"/>
      <c r="N3475" s="6"/>
      <c r="O3475" s="7"/>
      <c r="P3475" s="6"/>
      <c r="Q3475" s="7"/>
      <c r="R3475" s="6"/>
      <c r="S3475" s="6"/>
      <c r="T3475" s="6"/>
      <c r="U3475" s="6"/>
      <c r="V3475" s="7"/>
      <c r="W3475" s="7"/>
      <c r="X3475" s="6"/>
      <c r="Y3475" s="6"/>
      <c r="Z3475" s="6"/>
      <c r="AA3475" s="1"/>
      <c r="AB3475" s="12"/>
      <c r="AC3475" s="12"/>
      <c r="AD3475" s="12"/>
      <c r="AE3475" s="12"/>
      <c r="AF3475" s="12"/>
      <c r="AG3475" s="12"/>
      <c r="AH3475" s="12"/>
      <c r="AI3475" s="6"/>
      <c r="AJ3475" s="12"/>
      <c r="AK3475" s="12"/>
      <c r="AL3475" s="12"/>
      <c r="AM3475" s="12"/>
      <c r="AN3475" s="1"/>
      <c r="AO3475" s="6"/>
    </row>
    <row r="3476" spans="1:41" ht="15" x14ac:dyDescent="0.25">
      <c r="A3476" s="1"/>
      <c r="B3476" s="1"/>
      <c r="C3476" s="1"/>
      <c r="D3476" s="1"/>
      <c r="E3476" s="6"/>
      <c r="F3476" s="1"/>
      <c r="G3476" s="6"/>
      <c r="H3476" s="6"/>
      <c r="I3476" s="6"/>
      <c r="J3476" s="6"/>
      <c r="K3476" s="6"/>
      <c r="L3476" s="6"/>
      <c r="M3476" s="6"/>
      <c r="N3476" s="6"/>
      <c r="O3476" s="7"/>
      <c r="P3476" s="6"/>
      <c r="Q3476" s="7"/>
      <c r="R3476" s="6"/>
      <c r="S3476" s="6"/>
      <c r="T3476" s="6"/>
      <c r="U3476" s="6"/>
      <c r="V3476" s="7"/>
      <c r="W3476" s="7"/>
      <c r="X3476" s="6"/>
      <c r="Y3476" s="6"/>
      <c r="Z3476" s="6"/>
      <c r="AA3476" s="1"/>
      <c r="AB3476" s="12"/>
      <c r="AC3476" s="12"/>
      <c r="AD3476" s="12"/>
      <c r="AE3476" s="12"/>
      <c r="AF3476" s="12"/>
      <c r="AG3476" s="12"/>
      <c r="AH3476" s="12"/>
      <c r="AI3476" s="6"/>
      <c r="AJ3476" s="12"/>
      <c r="AK3476" s="12"/>
      <c r="AL3476" s="12"/>
      <c r="AM3476" s="12"/>
      <c r="AN3476" s="1"/>
      <c r="AO3476" s="6"/>
    </row>
    <row r="3477" spans="1:41" ht="15" x14ac:dyDescent="0.25">
      <c r="A3477" s="1"/>
      <c r="B3477" s="1"/>
      <c r="C3477" s="1"/>
      <c r="D3477" s="1"/>
      <c r="E3477" s="6"/>
      <c r="F3477" s="1"/>
      <c r="G3477" s="6"/>
      <c r="H3477" s="6"/>
      <c r="I3477" s="6"/>
      <c r="J3477" s="6"/>
      <c r="K3477" s="6"/>
      <c r="L3477" s="6"/>
      <c r="M3477" s="6"/>
      <c r="N3477" s="6"/>
      <c r="O3477" s="7"/>
      <c r="P3477" s="6"/>
      <c r="Q3477" s="6"/>
      <c r="R3477" s="7"/>
      <c r="S3477" s="6"/>
      <c r="T3477" s="6"/>
      <c r="U3477" s="7"/>
      <c r="V3477" s="6"/>
      <c r="W3477" s="6"/>
      <c r="X3477" s="6"/>
      <c r="Y3477" s="6"/>
      <c r="Z3477" s="6"/>
      <c r="AA3477" s="7"/>
      <c r="AB3477" s="6"/>
      <c r="AC3477" s="6"/>
      <c r="AD3477" s="6"/>
      <c r="AE3477" s="12"/>
      <c r="AF3477" s="6"/>
      <c r="AG3477" s="12"/>
      <c r="AH3477" s="6"/>
      <c r="AI3477" s="6"/>
      <c r="AJ3477" s="12"/>
      <c r="AK3477" s="24"/>
      <c r="AL3477" s="25"/>
      <c r="AM3477" s="12"/>
      <c r="AN3477" s="1"/>
      <c r="AO3477" s="6"/>
    </row>
    <row r="3478" spans="1:41" ht="15" x14ac:dyDescent="0.25">
      <c r="A3478" s="1"/>
      <c r="B3478" s="1"/>
      <c r="C3478" s="1"/>
      <c r="D3478" s="1"/>
      <c r="E3478" s="6"/>
      <c r="F3478" s="1"/>
      <c r="G3478" s="6"/>
      <c r="H3478" s="6"/>
      <c r="I3478" s="6"/>
      <c r="J3478" s="6"/>
      <c r="K3478" s="6"/>
      <c r="L3478" s="6"/>
      <c r="M3478" s="6"/>
      <c r="N3478" s="6"/>
      <c r="O3478" s="7"/>
      <c r="P3478" s="6"/>
      <c r="Q3478" s="6"/>
      <c r="R3478" s="7"/>
      <c r="S3478" s="6"/>
      <c r="T3478" s="6"/>
      <c r="U3478" s="7"/>
      <c r="V3478" s="6"/>
      <c r="W3478" s="6"/>
      <c r="X3478" s="6"/>
      <c r="Y3478" s="6"/>
      <c r="Z3478" s="6"/>
      <c r="AA3478" s="7"/>
      <c r="AB3478" s="6"/>
      <c r="AC3478" s="6"/>
      <c r="AD3478" s="6"/>
      <c r="AE3478" s="12"/>
      <c r="AF3478" s="12"/>
      <c r="AG3478" s="12"/>
      <c r="AH3478" s="12"/>
      <c r="AI3478" s="6"/>
      <c r="AJ3478" s="12"/>
      <c r="AK3478" s="1"/>
      <c r="AL3478" s="12"/>
      <c r="AM3478" s="12"/>
      <c r="AN3478" s="1"/>
      <c r="AO3478" s="6"/>
    </row>
    <row r="3479" spans="1:41" ht="15" x14ac:dyDescent="0.25">
      <c r="A3479" s="1"/>
      <c r="B3479" s="1"/>
      <c r="C3479" s="1"/>
      <c r="D3479" s="1"/>
      <c r="E3479" s="6"/>
      <c r="F3479" s="1"/>
      <c r="G3479" s="6"/>
      <c r="H3479" s="6"/>
      <c r="I3479" s="6"/>
      <c r="J3479" s="6"/>
      <c r="K3479" s="6"/>
      <c r="L3479" s="6"/>
      <c r="M3479" s="6"/>
      <c r="N3479" s="6"/>
      <c r="O3479" s="7"/>
      <c r="P3479" s="6"/>
      <c r="Q3479" s="6"/>
      <c r="R3479" s="7"/>
      <c r="S3479" s="6"/>
      <c r="T3479" s="6"/>
      <c r="U3479" s="7"/>
      <c r="V3479" s="6"/>
      <c r="W3479" s="6"/>
      <c r="X3479" s="6"/>
      <c r="Y3479" s="6"/>
      <c r="Z3479" s="6"/>
      <c r="AA3479" s="7"/>
      <c r="AB3479" s="6"/>
      <c r="AC3479" s="6"/>
      <c r="AD3479" s="6"/>
      <c r="AE3479" s="12"/>
      <c r="AF3479" s="12"/>
      <c r="AG3479" s="12"/>
      <c r="AH3479" s="12"/>
      <c r="AI3479" s="6"/>
      <c r="AJ3479" s="12"/>
      <c r="AK3479" s="1"/>
      <c r="AL3479" s="12"/>
      <c r="AM3479" s="12"/>
      <c r="AN3479" s="1"/>
      <c r="AO3479" s="6"/>
    </row>
    <row r="3480" spans="1:41" ht="15" x14ac:dyDescent="0.25">
      <c r="A3480" s="1"/>
      <c r="B3480" s="1"/>
      <c r="C3480" s="1"/>
      <c r="D3480" s="1"/>
      <c r="E3480" s="6"/>
      <c r="F3480" s="1"/>
      <c r="G3480" s="6"/>
      <c r="H3480" s="6"/>
      <c r="I3480" s="6"/>
      <c r="J3480" s="6"/>
      <c r="K3480" s="12"/>
      <c r="L3480" s="12"/>
      <c r="M3480" s="6"/>
      <c r="N3480" s="6"/>
      <c r="O3480" s="7"/>
      <c r="P3480" s="12"/>
      <c r="Q3480" s="6"/>
      <c r="R3480" s="7"/>
      <c r="S3480" s="6"/>
      <c r="T3480" s="6"/>
      <c r="U3480" s="7"/>
      <c r="V3480" s="6"/>
      <c r="W3480" s="6"/>
      <c r="X3480" s="6"/>
      <c r="Y3480" s="6"/>
      <c r="Z3480" s="6"/>
      <c r="AA3480" s="7"/>
      <c r="AB3480" s="6"/>
      <c r="AC3480" s="6"/>
      <c r="AD3480" s="6"/>
      <c r="AE3480" s="12"/>
      <c r="AF3480" s="12"/>
      <c r="AG3480" s="12"/>
      <c r="AH3480" s="12"/>
      <c r="AI3480" s="6"/>
      <c r="AJ3480" s="12"/>
      <c r="AK3480" s="1"/>
      <c r="AL3480" s="12"/>
      <c r="AM3480" s="12"/>
      <c r="AN3480" s="1"/>
      <c r="AO3480" s="6"/>
    </row>
    <row r="3481" spans="1:41" ht="15" x14ac:dyDescent="0.25">
      <c r="A3481" s="1"/>
      <c r="B3481" s="1"/>
      <c r="C3481" s="1"/>
      <c r="D3481" s="1"/>
      <c r="E3481" s="6"/>
      <c r="F3481" s="1"/>
      <c r="G3481" s="6"/>
      <c r="H3481" s="6"/>
      <c r="I3481" s="6"/>
      <c r="J3481" s="6"/>
      <c r="K3481" s="6"/>
      <c r="L3481" s="6"/>
      <c r="M3481" s="6"/>
      <c r="N3481" s="6"/>
      <c r="O3481" s="7"/>
      <c r="P3481" s="6"/>
      <c r="Q3481" s="6"/>
      <c r="R3481" s="7"/>
      <c r="S3481" s="6"/>
      <c r="T3481" s="6"/>
      <c r="U3481" s="7"/>
      <c r="V3481" s="6"/>
      <c r="W3481" s="6"/>
      <c r="X3481" s="6"/>
      <c r="Y3481" s="6"/>
      <c r="Z3481" s="6"/>
      <c r="AA3481" s="7"/>
      <c r="AB3481" s="6"/>
      <c r="AC3481" s="6"/>
      <c r="AD3481" s="6"/>
      <c r="AE3481" s="12"/>
      <c r="AF3481" s="12"/>
      <c r="AG3481" s="12"/>
      <c r="AH3481" s="12"/>
      <c r="AI3481" s="6"/>
      <c r="AJ3481" s="12"/>
      <c r="AK3481" s="1"/>
      <c r="AL3481" s="12"/>
      <c r="AM3481" s="12"/>
      <c r="AN3481" s="1"/>
      <c r="AO3481" s="6"/>
    </row>
    <row r="3482" spans="1:41" ht="15" x14ac:dyDescent="0.25">
      <c r="A3482" s="1"/>
      <c r="B3482" s="1"/>
      <c r="C3482" s="1"/>
      <c r="D3482" s="1"/>
      <c r="E3482" s="6"/>
      <c r="F3482" s="1"/>
      <c r="G3482" s="6"/>
      <c r="H3482" s="6"/>
      <c r="I3482" s="6"/>
      <c r="J3482" s="6"/>
      <c r="K3482" s="6"/>
      <c r="L3482" s="6"/>
      <c r="M3482" s="6"/>
      <c r="N3482" s="6"/>
      <c r="O3482" s="7"/>
      <c r="P3482" s="6"/>
      <c r="Q3482" s="6"/>
      <c r="R3482" s="7"/>
      <c r="S3482" s="6"/>
      <c r="T3482" s="6"/>
      <c r="U3482" s="7"/>
      <c r="V3482" s="6"/>
      <c r="W3482" s="6"/>
      <c r="X3482" s="6"/>
      <c r="Y3482" s="6"/>
      <c r="Z3482" s="6"/>
      <c r="AA3482" s="7"/>
      <c r="AB3482" s="6"/>
      <c r="AC3482" s="6"/>
      <c r="AD3482" s="6"/>
      <c r="AE3482" s="12"/>
      <c r="AF3482" s="6"/>
      <c r="AG3482" s="12"/>
      <c r="AH3482" s="6"/>
      <c r="AI3482" s="6"/>
      <c r="AJ3482" s="12"/>
      <c r="AK3482" s="1"/>
      <c r="AL3482" s="12"/>
      <c r="AM3482" s="12"/>
      <c r="AN3482" s="1"/>
      <c r="AO3482" s="6"/>
    </row>
    <row r="3483" spans="1:41" ht="15" x14ac:dyDescent="0.25">
      <c r="A3483" s="1"/>
      <c r="B3483" s="1"/>
      <c r="C3483" s="1"/>
      <c r="D3483" s="1"/>
      <c r="E3483" s="6"/>
      <c r="F3483" s="1"/>
      <c r="G3483" s="6"/>
      <c r="H3483" s="6"/>
      <c r="I3483" s="6"/>
      <c r="J3483" s="6"/>
      <c r="K3483" s="6"/>
      <c r="L3483" s="6"/>
      <c r="M3483" s="6"/>
      <c r="N3483" s="6"/>
      <c r="O3483" s="7"/>
      <c r="P3483" s="6"/>
      <c r="Q3483" s="6"/>
      <c r="R3483" s="7"/>
      <c r="S3483" s="6"/>
      <c r="T3483" s="6"/>
      <c r="U3483" s="7"/>
      <c r="V3483" s="6"/>
      <c r="W3483" s="6"/>
      <c r="X3483" s="6"/>
      <c r="Y3483" s="6"/>
      <c r="Z3483" s="6"/>
      <c r="AA3483" s="7"/>
      <c r="AB3483" s="6"/>
      <c r="AC3483" s="6"/>
      <c r="AD3483" s="6"/>
      <c r="AE3483" s="12"/>
      <c r="AF3483" s="6"/>
      <c r="AG3483" s="12"/>
      <c r="AH3483" s="6"/>
      <c r="AI3483" s="6"/>
      <c r="AJ3483" s="12"/>
      <c r="AK3483" s="1"/>
      <c r="AL3483" s="12"/>
      <c r="AM3483" s="12"/>
      <c r="AN3483" s="1"/>
      <c r="AO3483" s="6"/>
    </row>
    <row r="3484" spans="1:41" ht="15" x14ac:dyDescent="0.25">
      <c r="A3484" s="1"/>
      <c r="B3484" s="1"/>
      <c r="C3484" s="1"/>
      <c r="D3484" s="1"/>
      <c r="E3484" s="6"/>
      <c r="F3484" s="1"/>
      <c r="G3484" s="6"/>
      <c r="H3484" s="6"/>
      <c r="I3484" s="6"/>
      <c r="J3484" s="6"/>
      <c r="K3484" s="6"/>
      <c r="L3484" s="6"/>
      <c r="M3484" s="6"/>
      <c r="N3484" s="6"/>
      <c r="O3484" s="7"/>
      <c r="P3484" s="6"/>
      <c r="Q3484" s="6"/>
      <c r="R3484" s="7"/>
      <c r="S3484" s="6"/>
      <c r="T3484" s="6"/>
      <c r="U3484" s="7"/>
      <c r="V3484" s="6"/>
      <c r="W3484" s="6"/>
      <c r="X3484" s="6"/>
      <c r="Y3484" s="6"/>
      <c r="Z3484" s="6"/>
      <c r="AA3484" s="7"/>
      <c r="AB3484" s="6"/>
      <c r="AC3484" s="6"/>
      <c r="AD3484" s="6"/>
      <c r="AE3484" s="12"/>
      <c r="AF3484" s="6"/>
      <c r="AG3484" s="12"/>
      <c r="AH3484" s="6"/>
      <c r="AI3484" s="6"/>
      <c r="AJ3484" s="12"/>
      <c r="AK3484" s="24"/>
      <c r="AL3484" s="25"/>
      <c r="AM3484" s="12"/>
      <c r="AN3484" s="1"/>
      <c r="AO3484" s="6"/>
    </row>
    <row r="3485" spans="1:41" ht="15" x14ac:dyDescent="0.25">
      <c r="A3485" s="1"/>
      <c r="B3485" s="1"/>
      <c r="C3485" s="1"/>
      <c r="D3485" s="1"/>
      <c r="E3485" s="6"/>
      <c r="F3485" s="1"/>
      <c r="G3485" s="6"/>
      <c r="H3485" s="6"/>
      <c r="I3485" s="6"/>
      <c r="J3485" s="6"/>
      <c r="K3485" s="12"/>
      <c r="L3485" s="12"/>
      <c r="M3485" s="6"/>
      <c r="N3485" s="6"/>
      <c r="O3485" s="7"/>
      <c r="P3485" s="6"/>
      <c r="Q3485" s="6"/>
      <c r="R3485" s="7"/>
      <c r="S3485" s="6"/>
      <c r="T3485" s="6"/>
      <c r="U3485" s="7"/>
      <c r="V3485" s="6"/>
      <c r="W3485" s="6"/>
      <c r="X3485" s="12"/>
      <c r="Y3485" s="6"/>
      <c r="Z3485" s="6"/>
      <c r="AA3485" s="7"/>
      <c r="AB3485" s="6"/>
      <c r="AC3485" s="6"/>
      <c r="AD3485" s="6"/>
      <c r="AE3485" s="12"/>
      <c r="AF3485" s="12"/>
      <c r="AG3485" s="12"/>
      <c r="AH3485" s="12"/>
      <c r="AI3485" s="6"/>
      <c r="AJ3485" s="12"/>
      <c r="AK3485" s="24"/>
      <c r="AL3485" s="25"/>
      <c r="AM3485" s="12"/>
      <c r="AN3485" s="1"/>
      <c r="AO3485" s="12"/>
    </row>
    <row r="3486" spans="1:41" ht="15" x14ac:dyDescent="0.25">
      <c r="A3486" s="1"/>
      <c r="B3486" s="1"/>
      <c r="C3486" s="1"/>
      <c r="D3486" s="1"/>
      <c r="E3486" s="6"/>
      <c r="F3486" s="1"/>
      <c r="G3486" s="6"/>
      <c r="H3486" s="6"/>
      <c r="I3486" s="6"/>
      <c r="J3486" s="6"/>
      <c r="K3486" s="6"/>
      <c r="L3486" s="6"/>
      <c r="M3486" s="6"/>
      <c r="N3486" s="6"/>
      <c r="O3486" s="7"/>
      <c r="P3486" s="12"/>
      <c r="Q3486" s="6"/>
      <c r="R3486" s="7"/>
      <c r="S3486" s="6"/>
      <c r="T3486" s="6"/>
      <c r="U3486" s="7"/>
      <c r="V3486" s="6"/>
      <c r="W3486" s="6"/>
      <c r="X3486" s="6"/>
      <c r="Y3486" s="6"/>
      <c r="Z3486" s="6"/>
      <c r="AA3486" s="7"/>
      <c r="AB3486" s="6"/>
      <c r="AC3486" s="6"/>
      <c r="AD3486" s="6"/>
      <c r="AE3486" s="12"/>
      <c r="AF3486" s="6"/>
      <c r="AG3486" s="12"/>
      <c r="AH3486" s="6"/>
      <c r="AI3486" s="6"/>
      <c r="AJ3486" s="12"/>
      <c r="AK3486" s="24"/>
      <c r="AL3486" s="25"/>
      <c r="AM3486" s="12"/>
      <c r="AN3486" s="1"/>
      <c r="AO3486" s="6"/>
    </row>
    <row r="3487" spans="1:41" ht="15" x14ac:dyDescent="0.25">
      <c r="A3487" s="1"/>
      <c r="B3487" s="1"/>
      <c r="C3487" s="1"/>
      <c r="D3487" s="1"/>
      <c r="E3487" s="6"/>
      <c r="F3487" s="1"/>
      <c r="G3487" s="6"/>
      <c r="H3487" s="6"/>
      <c r="I3487" s="6"/>
      <c r="J3487" s="6"/>
      <c r="K3487" s="6"/>
      <c r="L3487" s="6"/>
      <c r="M3487" s="6"/>
      <c r="N3487" s="6"/>
      <c r="O3487" s="7"/>
      <c r="P3487" s="6"/>
      <c r="Q3487" s="6"/>
      <c r="R3487" s="7"/>
      <c r="S3487" s="6"/>
      <c r="T3487" s="6"/>
      <c r="U3487" s="7"/>
      <c r="V3487" s="6"/>
      <c r="W3487" s="6"/>
      <c r="X3487" s="12"/>
      <c r="Y3487" s="6"/>
      <c r="Z3487" s="6"/>
      <c r="AA3487" s="7"/>
      <c r="AB3487" s="6"/>
      <c r="AC3487" s="6"/>
      <c r="AD3487" s="6"/>
      <c r="AE3487" s="12"/>
      <c r="AF3487" s="12"/>
      <c r="AG3487" s="12"/>
      <c r="AH3487" s="12"/>
      <c r="AI3487" s="6"/>
      <c r="AJ3487" s="12"/>
      <c r="AK3487" s="1"/>
      <c r="AL3487" s="12"/>
      <c r="AM3487" s="12"/>
      <c r="AN3487" s="1"/>
      <c r="AO3487" s="6"/>
    </row>
    <row r="3488" spans="1:41" ht="15" x14ac:dyDescent="0.25">
      <c r="A3488" s="1"/>
      <c r="B3488" s="1"/>
      <c r="C3488" s="1"/>
      <c r="D3488" s="1"/>
      <c r="E3488" s="6"/>
      <c r="F3488" s="1"/>
      <c r="G3488" s="6"/>
      <c r="H3488" s="6"/>
      <c r="I3488" s="6"/>
      <c r="J3488" s="6"/>
      <c r="K3488" s="6"/>
      <c r="L3488" s="6"/>
      <c r="M3488" s="6"/>
      <c r="N3488" s="6"/>
      <c r="O3488" s="7"/>
      <c r="P3488" s="6"/>
      <c r="Q3488" s="6"/>
      <c r="R3488" s="7"/>
      <c r="S3488" s="6"/>
      <c r="T3488" s="6"/>
      <c r="U3488" s="7"/>
      <c r="V3488" s="6"/>
      <c r="W3488" s="6"/>
      <c r="X3488" s="12"/>
      <c r="Y3488" s="6"/>
      <c r="Z3488" s="6"/>
      <c r="AA3488" s="7"/>
      <c r="AB3488" s="6"/>
      <c r="AC3488" s="6"/>
      <c r="AD3488" s="6"/>
      <c r="AE3488" s="12"/>
      <c r="AF3488" s="6"/>
      <c r="AG3488" s="12"/>
      <c r="AH3488" s="6"/>
      <c r="AI3488" s="6"/>
      <c r="AJ3488" s="12"/>
      <c r="AK3488" s="1"/>
      <c r="AL3488" s="12"/>
      <c r="AM3488" s="12"/>
      <c r="AN3488" s="1"/>
      <c r="AO3488" s="6"/>
    </row>
    <row r="3489" spans="1:41" ht="15" x14ac:dyDescent="0.25">
      <c r="A3489" s="1"/>
      <c r="B3489" s="1"/>
      <c r="C3489" s="1"/>
      <c r="D3489" s="1"/>
      <c r="E3489" s="6"/>
      <c r="F3489" s="1"/>
      <c r="G3489" s="6"/>
      <c r="H3489" s="6"/>
      <c r="I3489" s="6"/>
      <c r="J3489" s="6"/>
      <c r="K3489" s="12"/>
      <c r="L3489" s="12"/>
      <c r="M3489" s="6"/>
      <c r="N3489" s="6"/>
      <c r="O3489" s="7"/>
      <c r="P3489" s="6"/>
      <c r="Q3489" s="6"/>
      <c r="R3489" s="7"/>
      <c r="S3489" s="6"/>
      <c r="T3489" s="6"/>
      <c r="U3489" s="7"/>
      <c r="V3489" s="6"/>
      <c r="W3489" s="6"/>
      <c r="X3489" s="12"/>
      <c r="Y3489" s="6"/>
      <c r="Z3489" s="6"/>
      <c r="AA3489" s="7"/>
      <c r="AB3489" s="6"/>
      <c r="AC3489" s="6"/>
      <c r="AD3489" s="6"/>
      <c r="AE3489" s="12"/>
      <c r="AF3489" s="12"/>
      <c r="AG3489" s="12"/>
      <c r="AH3489" s="12"/>
      <c r="AI3489" s="6"/>
      <c r="AJ3489" s="12"/>
      <c r="AK3489" s="1"/>
      <c r="AL3489" s="12"/>
      <c r="AM3489" s="12"/>
      <c r="AN3489" s="1"/>
      <c r="AO3489" s="6"/>
    </row>
    <row r="3490" spans="1:41" ht="15" x14ac:dyDescent="0.25">
      <c r="A3490" s="1"/>
      <c r="B3490" s="1"/>
      <c r="C3490" s="1"/>
      <c r="D3490" s="1"/>
      <c r="E3490" s="6"/>
      <c r="F3490" s="1"/>
      <c r="G3490" s="6"/>
      <c r="H3490" s="6"/>
      <c r="I3490" s="6"/>
      <c r="J3490" s="6"/>
      <c r="K3490" s="6"/>
      <c r="L3490" s="6"/>
      <c r="M3490" s="6"/>
      <c r="N3490" s="6"/>
      <c r="O3490" s="7"/>
      <c r="P3490" s="6"/>
      <c r="Q3490" s="6"/>
      <c r="R3490" s="7"/>
      <c r="S3490" s="6"/>
      <c r="T3490" s="6"/>
      <c r="U3490" s="7"/>
      <c r="V3490" s="6"/>
      <c r="W3490" s="6"/>
      <c r="X3490" s="12"/>
      <c r="Y3490" s="6"/>
      <c r="Z3490" s="6"/>
      <c r="AA3490" s="7"/>
      <c r="AB3490" s="6"/>
      <c r="AC3490" s="6"/>
      <c r="AD3490" s="6"/>
      <c r="AE3490" s="12"/>
      <c r="AF3490" s="12"/>
      <c r="AG3490" s="12"/>
      <c r="AH3490" s="12"/>
      <c r="AI3490" s="6"/>
      <c r="AJ3490" s="12"/>
      <c r="AK3490" s="1"/>
      <c r="AL3490" s="12"/>
      <c r="AM3490" s="12"/>
      <c r="AN3490" s="1"/>
      <c r="AO3490" s="6"/>
    </row>
    <row r="3491" spans="1:41" ht="15" x14ac:dyDescent="0.25">
      <c r="A3491" s="1"/>
      <c r="B3491" s="1"/>
      <c r="C3491" s="1"/>
      <c r="D3491" s="1"/>
      <c r="E3491" s="6"/>
      <c r="F3491" s="1"/>
      <c r="G3491" s="6"/>
      <c r="H3491" s="6"/>
      <c r="I3491" s="6"/>
      <c r="J3491" s="6"/>
      <c r="K3491" s="6"/>
      <c r="L3491" s="6"/>
      <c r="M3491" s="6"/>
      <c r="N3491" s="6"/>
      <c r="O3491" s="7"/>
      <c r="P3491" s="6"/>
      <c r="Q3491" s="6"/>
      <c r="R3491" s="7"/>
      <c r="S3491" s="6"/>
      <c r="T3491" s="6"/>
      <c r="U3491" s="7"/>
      <c r="V3491" s="6"/>
      <c r="W3491" s="6"/>
      <c r="X3491" s="6"/>
      <c r="Y3491" s="6"/>
      <c r="Z3491" s="6"/>
      <c r="AA3491" s="7"/>
      <c r="AB3491" s="6"/>
      <c r="AC3491" s="6"/>
      <c r="AD3491" s="6"/>
      <c r="AE3491" s="12"/>
      <c r="AF3491" s="12"/>
      <c r="AG3491" s="12"/>
      <c r="AH3491" s="12"/>
      <c r="AI3491" s="6"/>
      <c r="AJ3491" s="12"/>
      <c r="AK3491" s="1"/>
      <c r="AL3491" s="12"/>
      <c r="AM3491" s="12"/>
      <c r="AN3491" s="1"/>
      <c r="AO3491" s="6"/>
    </row>
    <row r="3492" spans="1:41" ht="15" x14ac:dyDescent="0.25">
      <c r="A3492" s="1"/>
      <c r="B3492" s="1"/>
      <c r="C3492" s="1"/>
      <c r="D3492" s="1"/>
      <c r="E3492" s="6"/>
      <c r="F3492" s="1"/>
      <c r="G3492" s="6"/>
      <c r="H3492" s="6"/>
      <c r="I3492" s="6"/>
      <c r="J3492" s="6"/>
      <c r="K3492" s="6"/>
      <c r="L3492" s="6"/>
      <c r="M3492" s="6"/>
      <c r="N3492" s="6"/>
      <c r="O3492" s="7"/>
      <c r="P3492" s="6"/>
      <c r="Q3492" s="6"/>
      <c r="R3492" s="7"/>
      <c r="S3492" s="6"/>
      <c r="T3492" s="6"/>
      <c r="U3492" s="7"/>
      <c r="V3492" s="6"/>
      <c r="W3492" s="6"/>
      <c r="X3492" s="12"/>
      <c r="Y3492" s="6"/>
      <c r="Z3492" s="6"/>
      <c r="AA3492" s="7"/>
      <c r="AB3492" s="6"/>
      <c r="AC3492" s="6"/>
      <c r="AD3492" s="6"/>
      <c r="AE3492" s="12"/>
      <c r="AF3492" s="12"/>
      <c r="AG3492" s="12"/>
      <c r="AH3492" s="12"/>
      <c r="AI3492" s="6"/>
      <c r="AJ3492" s="12"/>
      <c r="AK3492" s="1"/>
      <c r="AL3492" s="12"/>
      <c r="AM3492" s="12"/>
      <c r="AN3492" s="1"/>
      <c r="AO3492" s="6"/>
    </row>
    <row r="3493" spans="1:41" ht="15" x14ac:dyDescent="0.25">
      <c r="A3493" s="1"/>
      <c r="B3493" s="1"/>
      <c r="C3493" s="1"/>
      <c r="D3493" s="1"/>
      <c r="E3493" s="6"/>
      <c r="F3493" s="1"/>
      <c r="G3493" s="6"/>
      <c r="H3493" s="6"/>
      <c r="I3493" s="6"/>
      <c r="J3493" s="6"/>
      <c r="K3493" s="6"/>
      <c r="L3493" s="6"/>
      <c r="M3493" s="6"/>
      <c r="N3493" s="6"/>
      <c r="O3493" s="7"/>
      <c r="P3493" s="6"/>
      <c r="Q3493" s="6"/>
      <c r="R3493" s="7"/>
      <c r="S3493" s="6"/>
      <c r="T3493" s="6"/>
      <c r="U3493" s="7"/>
      <c r="V3493" s="6"/>
      <c r="W3493" s="6"/>
      <c r="X3493" s="6"/>
      <c r="Y3493" s="6"/>
      <c r="Z3493" s="6"/>
      <c r="AA3493" s="7"/>
      <c r="AB3493" s="6"/>
      <c r="AC3493" s="6"/>
      <c r="AD3493" s="6"/>
      <c r="AE3493" s="12"/>
      <c r="AF3493" s="6"/>
      <c r="AG3493" s="12"/>
      <c r="AH3493" s="6"/>
      <c r="AI3493" s="6"/>
      <c r="AJ3493" s="12"/>
      <c r="AK3493" s="24"/>
      <c r="AL3493" s="25"/>
      <c r="AM3493" s="12"/>
      <c r="AN3493" s="1"/>
      <c r="AO3493" s="6"/>
    </row>
    <row r="3494" spans="1:41" ht="15" x14ac:dyDescent="0.25">
      <c r="A3494" s="1"/>
      <c r="B3494" s="1"/>
      <c r="C3494" s="1"/>
      <c r="D3494" s="1"/>
      <c r="E3494" s="6"/>
      <c r="F3494" s="1"/>
      <c r="G3494" s="6"/>
      <c r="H3494" s="6"/>
      <c r="I3494" s="6"/>
      <c r="J3494" s="6"/>
      <c r="K3494" s="6"/>
      <c r="L3494" s="6"/>
      <c r="M3494" s="6"/>
      <c r="N3494" s="6"/>
      <c r="O3494" s="7"/>
      <c r="P3494" s="6"/>
      <c r="Q3494" s="6"/>
      <c r="R3494" s="7"/>
      <c r="S3494" s="6"/>
      <c r="T3494" s="6"/>
      <c r="U3494" s="7"/>
      <c r="V3494" s="6"/>
      <c r="W3494" s="6"/>
      <c r="X3494" s="6"/>
      <c r="Y3494" s="6"/>
      <c r="Z3494" s="6"/>
      <c r="AA3494" s="7"/>
      <c r="AB3494" s="6"/>
      <c r="AC3494" s="6"/>
      <c r="AD3494" s="6"/>
      <c r="AE3494" s="12"/>
      <c r="AF3494" s="12"/>
      <c r="AG3494" s="12"/>
      <c r="AH3494" s="12"/>
      <c r="AI3494" s="6"/>
      <c r="AJ3494" s="12"/>
      <c r="AK3494" s="1"/>
      <c r="AL3494" s="12"/>
      <c r="AM3494" s="12"/>
      <c r="AN3494" s="1"/>
      <c r="AO3494" s="6"/>
    </row>
    <row r="3495" spans="1:41" ht="15" x14ac:dyDescent="0.25">
      <c r="A3495" s="1"/>
      <c r="B3495" s="1"/>
      <c r="C3495" s="1"/>
      <c r="D3495" s="1"/>
      <c r="E3495" s="6"/>
      <c r="F3495" s="1"/>
      <c r="G3495" s="6"/>
      <c r="H3495" s="6"/>
      <c r="I3495" s="6"/>
      <c r="J3495" s="6"/>
      <c r="K3495" s="6"/>
      <c r="L3495" s="6"/>
      <c r="M3495" s="6"/>
      <c r="N3495" s="6"/>
      <c r="O3495" s="7"/>
      <c r="P3495" s="12"/>
      <c r="Q3495" s="6"/>
      <c r="R3495" s="7"/>
      <c r="S3495" s="6"/>
      <c r="T3495" s="6"/>
      <c r="U3495" s="7"/>
      <c r="V3495" s="6"/>
      <c r="W3495" s="6"/>
      <c r="X3495" s="6"/>
      <c r="Y3495" s="6"/>
      <c r="Z3495" s="6"/>
      <c r="AA3495" s="7"/>
      <c r="AB3495" s="6"/>
      <c r="AC3495" s="6"/>
      <c r="AD3495" s="6"/>
      <c r="AE3495" s="12"/>
      <c r="AF3495" s="6"/>
      <c r="AG3495" s="12"/>
      <c r="AH3495" s="6"/>
      <c r="AI3495" s="6"/>
      <c r="AJ3495" s="12"/>
      <c r="AK3495" s="24"/>
      <c r="AL3495" s="25"/>
      <c r="AM3495" s="12"/>
      <c r="AN3495" s="1"/>
      <c r="AO3495" s="6"/>
    </row>
    <row r="3496" spans="1:41" ht="15" x14ac:dyDescent="0.25">
      <c r="A3496" s="1"/>
      <c r="B3496" s="1"/>
      <c r="C3496" s="1"/>
      <c r="D3496" s="1"/>
      <c r="E3496" s="6"/>
      <c r="F3496" s="1"/>
      <c r="G3496" s="6"/>
      <c r="H3496" s="6"/>
      <c r="I3496" s="6"/>
      <c r="J3496" s="6"/>
      <c r="K3496" s="6"/>
      <c r="L3496" s="6"/>
      <c r="M3496" s="6"/>
      <c r="N3496" s="6"/>
      <c r="O3496" s="7"/>
      <c r="P3496" s="6"/>
      <c r="Q3496" s="7"/>
      <c r="R3496" s="6"/>
      <c r="S3496" s="6"/>
      <c r="T3496" s="6"/>
      <c r="U3496" s="6"/>
      <c r="V3496" s="7"/>
      <c r="W3496" s="7"/>
      <c r="X3496" s="6"/>
      <c r="Y3496" s="6"/>
      <c r="Z3496" s="6"/>
      <c r="AA3496" s="1"/>
      <c r="AB3496" s="12"/>
      <c r="AC3496" s="12"/>
      <c r="AD3496" s="12"/>
      <c r="AE3496" s="12"/>
      <c r="AF3496" s="12"/>
      <c r="AG3496" s="12"/>
      <c r="AH3496" s="12"/>
      <c r="AI3496" s="6"/>
      <c r="AJ3496" s="12"/>
      <c r="AK3496" s="12"/>
      <c r="AL3496" s="12"/>
      <c r="AM3496" s="12"/>
      <c r="AN3496" s="1"/>
      <c r="AO3496" s="6"/>
    </row>
    <row r="3497" spans="1:41" ht="15" x14ac:dyDescent="0.25">
      <c r="A3497" s="1"/>
      <c r="B3497" s="1"/>
      <c r="C3497" s="1"/>
      <c r="D3497" s="1"/>
      <c r="E3497" s="6"/>
      <c r="F3497" s="1"/>
      <c r="G3497" s="6"/>
      <c r="H3497" s="6"/>
      <c r="I3497" s="6"/>
      <c r="J3497" s="6"/>
      <c r="K3497" s="6"/>
      <c r="L3497" s="6"/>
      <c r="M3497" s="6"/>
      <c r="N3497" s="6"/>
      <c r="O3497" s="7"/>
      <c r="P3497" s="6"/>
      <c r="Q3497" s="7"/>
      <c r="R3497" s="6"/>
      <c r="S3497" s="6"/>
      <c r="T3497" s="6"/>
      <c r="U3497" s="6"/>
      <c r="V3497" s="7"/>
      <c r="W3497" s="6"/>
      <c r="X3497" s="6"/>
      <c r="Y3497" s="6"/>
      <c r="Z3497" s="6"/>
      <c r="AA3497" s="24"/>
      <c r="AB3497" s="25"/>
      <c r="AC3497" s="12"/>
      <c r="AD3497" s="12"/>
      <c r="AE3497" s="12"/>
      <c r="AF3497" s="6"/>
      <c r="AG3497" s="12"/>
      <c r="AH3497" s="6"/>
      <c r="AI3497" s="6"/>
      <c r="AJ3497" s="12"/>
      <c r="AK3497" s="12"/>
      <c r="AL3497" s="12"/>
      <c r="AM3497" s="12"/>
      <c r="AN3497" s="1"/>
      <c r="AO3497" s="6"/>
    </row>
    <row r="3498" spans="1:41" ht="15" x14ac:dyDescent="0.25">
      <c r="A3498" s="1"/>
      <c r="B3498" s="1"/>
      <c r="C3498" s="1"/>
      <c r="D3498" s="1"/>
      <c r="E3498" s="6"/>
      <c r="F3498" s="1"/>
      <c r="G3498" s="6"/>
      <c r="H3498" s="6"/>
      <c r="I3498" s="6"/>
      <c r="J3498" s="6"/>
      <c r="K3498" s="6"/>
      <c r="L3498" s="6"/>
      <c r="M3498" s="6"/>
      <c r="N3498" s="6"/>
      <c r="O3498" s="7"/>
      <c r="P3498" s="12"/>
      <c r="Q3498" s="6"/>
      <c r="R3498" s="12"/>
      <c r="S3498" s="12"/>
      <c r="T3498" s="12"/>
      <c r="U3498" s="7"/>
      <c r="V3498" s="6"/>
      <c r="W3498" s="6"/>
      <c r="X3498" s="12"/>
      <c r="Y3498" s="6"/>
      <c r="Z3498" s="6"/>
      <c r="AA3498" s="7"/>
      <c r="AB3498" s="6"/>
      <c r="AC3498" s="6"/>
      <c r="AD3498" s="6"/>
      <c r="AE3498" s="12"/>
      <c r="AF3498" s="6"/>
      <c r="AG3498" s="12"/>
      <c r="AH3498" s="6"/>
      <c r="AI3498" s="6"/>
      <c r="AJ3498" s="12"/>
      <c r="AK3498" s="1"/>
      <c r="AL3498" s="12"/>
      <c r="AM3498" s="12"/>
      <c r="AN3498" s="1"/>
      <c r="AO3498" s="6"/>
    </row>
    <row r="3499" spans="1:41" ht="15" x14ac:dyDescent="0.25">
      <c r="A3499" s="1"/>
      <c r="B3499" s="1"/>
      <c r="C3499" s="1"/>
      <c r="D3499" s="1"/>
      <c r="E3499" s="6"/>
      <c r="F3499" s="1"/>
      <c r="G3499" s="6"/>
      <c r="H3499" s="6"/>
      <c r="I3499" s="6"/>
      <c r="J3499" s="6"/>
      <c r="K3499" s="6"/>
      <c r="L3499" s="6"/>
      <c r="M3499" s="6"/>
      <c r="N3499" s="6"/>
      <c r="O3499" s="7"/>
      <c r="P3499" s="6"/>
      <c r="Q3499" s="6"/>
      <c r="R3499" s="7"/>
      <c r="S3499" s="6"/>
      <c r="T3499" s="6"/>
      <c r="U3499" s="7"/>
      <c r="V3499" s="6"/>
      <c r="W3499" s="6"/>
      <c r="X3499" s="6"/>
      <c r="Y3499" s="6"/>
      <c r="Z3499" s="6"/>
      <c r="AA3499" s="7"/>
      <c r="AB3499" s="6"/>
      <c r="AC3499" s="6"/>
      <c r="AD3499" s="6"/>
      <c r="AE3499" s="12"/>
      <c r="AF3499" s="12"/>
      <c r="AG3499" s="12"/>
      <c r="AH3499" s="12"/>
      <c r="AI3499" s="6"/>
      <c r="AJ3499" s="12"/>
      <c r="AK3499" s="1"/>
      <c r="AL3499" s="12"/>
      <c r="AM3499" s="12"/>
      <c r="AN3499" s="1"/>
      <c r="AO3499" s="6"/>
    </row>
    <row r="3500" spans="1:41" ht="15" x14ac:dyDescent="0.25">
      <c r="A3500" s="1"/>
      <c r="B3500" s="1"/>
      <c r="C3500" s="1"/>
      <c r="D3500" s="1"/>
      <c r="E3500" s="6"/>
      <c r="F3500" s="1"/>
      <c r="G3500" s="6"/>
      <c r="H3500" s="6"/>
      <c r="I3500" s="6"/>
      <c r="J3500" s="6"/>
      <c r="K3500" s="6"/>
      <c r="L3500" s="6"/>
      <c r="M3500" s="6"/>
      <c r="N3500" s="6"/>
      <c r="O3500" s="7"/>
      <c r="P3500" s="6"/>
      <c r="Q3500" s="6"/>
      <c r="R3500" s="7"/>
      <c r="S3500" s="6"/>
      <c r="T3500" s="6"/>
      <c r="U3500" s="7"/>
      <c r="V3500" s="6"/>
      <c r="W3500" s="6"/>
      <c r="X3500" s="6"/>
      <c r="Y3500" s="6"/>
      <c r="Z3500" s="6"/>
      <c r="AA3500" s="7"/>
      <c r="AB3500" s="6"/>
      <c r="AC3500" s="6"/>
      <c r="AD3500" s="6"/>
      <c r="AE3500" s="12"/>
      <c r="AF3500" s="12"/>
      <c r="AG3500" s="12"/>
      <c r="AH3500" s="12"/>
      <c r="AI3500" s="6"/>
      <c r="AJ3500" s="12"/>
      <c r="AK3500" s="1"/>
      <c r="AL3500" s="12"/>
      <c r="AM3500" s="12"/>
      <c r="AN3500" s="1"/>
      <c r="AO3500" s="6"/>
    </row>
    <row r="3501" spans="1:41" ht="15" x14ac:dyDescent="0.25">
      <c r="A3501" s="1"/>
      <c r="B3501" s="1"/>
      <c r="C3501" s="1"/>
      <c r="D3501" s="1"/>
      <c r="E3501" s="6"/>
      <c r="F3501" s="1"/>
      <c r="G3501" s="6"/>
      <c r="H3501" s="6"/>
      <c r="I3501" s="6"/>
      <c r="J3501" s="6"/>
      <c r="K3501" s="12"/>
      <c r="L3501" s="12"/>
      <c r="M3501" s="6"/>
      <c r="N3501" s="6"/>
      <c r="O3501" s="7"/>
      <c r="P3501" s="6"/>
      <c r="Q3501" s="6"/>
      <c r="R3501" s="7"/>
      <c r="S3501" s="6"/>
      <c r="T3501" s="6"/>
      <c r="U3501" s="7"/>
      <c r="V3501" s="6"/>
      <c r="W3501" s="6"/>
      <c r="X3501" s="12"/>
      <c r="Y3501" s="6"/>
      <c r="Z3501" s="6"/>
      <c r="AA3501" s="7"/>
      <c r="AB3501" s="6"/>
      <c r="AC3501" s="6"/>
      <c r="AD3501" s="6"/>
      <c r="AE3501" s="12"/>
      <c r="AF3501" s="12"/>
      <c r="AG3501" s="12"/>
      <c r="AH3501" s="12"/>
      <c r="AI3501" s="6"/>
      <c r="AJ3501" s="12"/>
      <c r="AK3501" s="1"/>
      <c r="AL3501" s="12"/>
      <c r="AM3501" s="12"/>
      <c r="AN3501" s="1"/>
      <c r="AO3501" s="6"/>
    </row>
    <row r="3502" spans="1:41" ht="15" x14ac:dyDescent="0.25">
      <c r="A3502" s="1"/>
      <c r="B3502" s="1"/>
      <c r="C3502" s="1"/>
      <c r="D3502" s="1"/>
      <c r="E3502" s="6"/>
      <c r="F3502" s="1"/>
      <c r="G3502" s="6"/>
      <c r="H3502" s="6"/>
      <c r="I3502" s="6"/>
      <c r="J3502" s="6"/>
      <c r="K3502" s="6"/>
      <c r="L3502" s="6"/>
      <c r="M3502" s="6"/>
      <c r="N3502" s="6"/>
      <c r="O3502" s="7"/>
      <c r="P3502" s="6"/>
      <c r="Q3502" s="7"/>
      <c r="R3502" s="6"/>
      <c r="S3502" s="6"/>
      <c r="T3502" s="6"/>
      <c r="U3502" s="6"/>
      <c r="V3502" s="7"/>
      <c r="W3502" s="7"/>
      <c r="X3502" s="6"/>
      <c r="Y3502" s="6"/>
      <c r="Z3502" s="6"/>
      <c r="AA3502" s="1"/>
      <c r="AB3502" s="12"/>
      <c r="AC3502" s="12"/>
      <c r="AD3502" s="12"/>
      <c r="AE3502" s="12"/>
      <c r="AF3502" s="12"/>
      <c r="AG3502" s="12"/>
      <c r="AH3502" s="12"/>
      <c r="AI3502" s="6"/>
      <c r="AJ3502" s="12"/>
      <c r="AK3502" s="12"/>
      <c r="AL3502" s="12"/>
      <c r="AM3502" s="12"/>
      <c r="AN3502" s="1"/>
      <c r="AO3502" s="6"/>
    </row>
    <row r="3503" spans="1:41" ht="15" x14ac:dyDescent="0.25">
      <c r="A3503" s="1"/>
      <c r="B3503" s="1"/>
      <c r="C3503" s="1"/>
      <c r="D3503" s="1"/>
      <c r="E3503" s="6"/>
      <c r="F3503" s="1"/>
      <c r="G3503" s="6"/>
      <c r="H3503" s="6"/>
      <c r="I3503" s="6"/>
      <c r="J3503" s="6"/>
      <c r="K3503" s="6"/>
      <c r="L3503" s="6"/>
      <c r="M3503" s="6"/>
      <c r="N3503" s="6"/>
      <c r="O3503" s="7"/>
      <c r="P3503" s="6"/>
      <c r="Q3503" s="6"/>
      <c r="R3503" s="7"/>
      <c r="S3503" s="6"/>
      <c r="T3503" s="6"/>
      <c r="U3503" s="7"/>
      <c r="V3503" s="6"/>
      <c r="W3503" s="6"/>
      <c r="X3503" s="12"/>
      <c r="Y3503" s="6"/>
      <c r="Z3503" s="6"/>
      <c r="AA3503" s="7"/>
      <c r="AB3503" s="6"/>
      <c r="AC3503" s="6"/>
      <c r="AD3503" s="6"/>
      <c r="AE3503" s="12"/>
      <c r="AF3503" s="12"/>
      <c r="AG3503" s="12"/>
      <c r="AH3503" s="12"/>
      <c r="AI3503" s="6"/>
      <c r="AJ3503" s="12"/>
      <c r="AK3503" s="1"/>
      <c r="AL3503" s="12"/>
      <c r="AM3503" s="12"/>
      <c r="AN3503" s="1"/>
      <c r="AO3503" s="6"/>
    </row>
    <row r="3504" spans="1:41" ht="15" x14ac:dyDescent="0.25">
      <c r="A3504" s="1"/>
      <c r="B3504" s="1"/>
      <c r="C3504" s="1"/>
      <c r="D3504" s="1"/>
      <c r="E3504" s="6"/>
      <c r="F3504" s="1"/>
      <c r="G3504" s="6"/>
      <c r="H3504" s="6"/>
      <c r="I3504" s="6"/>
      <c r="J3504" s="6"/>
      <c r="K3504" s="6"/>
      <c r="L3504" s="6"/>
      <c r="M3504" s="6"/>
      <c r="N3504" s="6"/>
      <c r="O3504" s="7"/>
      <c r="P3504" s="6"/>
      <c r="Q3504" s="6"/>
      <c r="R3504" s="7"/>
      <c r="S3504" s="6"/>
      <c r="T3504" s="6"/>
      <c r="U3504" s="7"/>
      <c r="V3504" s="6"/>
      <c r="W3504" s="6"/>
      <c r="X3504" s="12"/>
      <c r="Y3504" s="6"/>
      <c r="Z3504" s="6"/>
      <c r="AA3504" s="7"/>
      <c r="AB3504" s="6"/>
      <c r="AC3504" s="6"/>
      <c r="AD3504" s="6"/>
      <c r="AE3504" s="12"/>
      <c r="AF3504" s="12"/>
      <c r="AG3504" s="12"/>
      <c r="AH3504" s="12"/>
      <c r="AI3504" s="6"/>
      <c r="AJ3504" s="12"/>
      <c r="AK3504" s="1"/>
      <c r="AL3504" s="12"/>
      <c r="AM3504" s="12"/>
      <c r="AN3504" s="1"/>
      <c r="AO3504" s="6"/>
    </row>
    <row r="3505" spans="1:41" ht="15" x14ac:dyDescent="0.25">
      <c r="A3505" s="1"/>
      <c r="B3505" s="1"/>
      <c r="C3505" s="1"/>
      <c r="D3505" s="1"/>
      <c r="E3505" s="6"/>
      <c r="F3505" s="1"/>
      <c r="G3505" s="6"/>
      <c r="H3505" s="6"/>
      <c r="I3505" s="6"/>
      <c r="J3505" s="6"/>
      <c r="K3505" s="6"/>
      <c r="L3505" s="6"/>
      <c r="M3505" s="6"/>
      <c r="N3505" s="6"/>
      <c r="O3505" s="7"/>
      <c r="P3505" s="6"/>
      <c r="Q3505" s="6"/>
      <c r="R3505" s="7"/>
      <c r="S3505" s="6"/>
      <c r="T3505" s="6"/>
      <c r="U3505" s="7"/>
      <c r="V3505" s="6"/>
      <c r="W3505" s="6"/>
      <c r="X3505" s="6"/>
      <c r="Y3505" s="6"/>
      <c r="Z3505" s="6"/>
      <c r="AA3505" s="15"/>
      <c r="AB3505" s="6"/>
      <c r="AC3505" s="6"/>
      <c r="AD3505" s="6"/>
      <c r="AE3505" s="12"/>
      <c r="AF3505" s="6"/>
      <c r="AG3505" s="12"/>
      <c r="AH3505" s="6"/>
      <c r="AI3505" s="6"/>
      <c r="AJ3505" s="12"/>
      <c r="AK3505" s="1"/>
      <c r="AL3505" s="12"/>
      <c r="AM3505" s="12"/>
      <c r="AN3505" s="1"/>
      <c r="AO3505" s="6"/>
    </row>
    <row r="3506" spans="1:41" ht="15" x14ac:dyDescent="0.25">
      <c r="A3506" s="1"/>
      <c r="B3506" s="1"/>
      <c r="C3506" s="1"/>
      <c r="D3506" s="1"/>
      <c r="E3506" s="6"/>
      <c r="F3506" s="1"/>
      <c r="G3506" s="6"/>
      <c r="H3506" s="6"/>
      <c r="I3506" s="6"/>
      <c r="J3506" s="6"/>
      <c r="K3506" s="6"/>
      <c r="L3506" s="6"/>
      <c r="M3506" s="6"/>
      <c r="N3506" s="6"/>
      <c r="O3506" s="7"/>
      <c r="P3506" s="6"/>
      <c r="Q3506" s="6"/>
      <c r="R3506" s="7"/>
      <c r="S3506" s="6"/>
      <c r="T3506" s="6"/>
      <c r="U3506" s="7"/>
      <c r="V3506" s="6"/>
      <c r="W3506" s="6"/>
      <c r="X3506" s="6"/>
      <c r="Y3506" s="6"/>
      <c r="Z3506" s="6"/>
      <c r="AA3506" s="7"/>
      <c r="AB3506" s="6"/>
      <c r="AC3506" s="6"/>
      <c r="AD3506" s="6"/>
      <c r="AE3506" s="12"/>
      <c r="AF3506" s="6"/>
      <c r="AG3506" s="12"/>
      <c r="AH3506" s="6"/>
      <c r="AI3506" s="6"/>
      <c r="AJ3506" s="12"/>
      <c r="AK3506" s="1"/>
      <c r="AL3506" s="12"/>
      <c r="AM3506" s="12"/>
      <c r="AN3506" s="1"/>
      <c r="AO3506" s="6"/>
    </row>
    <row r="3507" spans="1:41" ht="15" x14ac:dyDescent="0.25">
      <c r="A3507" s="1"/>
      <c r="B3507" s="1"/>
      <c r="C3507" s="1"/>
      <c r="D3507" s="1"/>
      <c r="E3507" s="6"/>
      <c r="F3507" s="1"/>
      <c r="G3507" s="6"/>
      <c r="H3507" s="6"/>
      <c r="I3507" s="6"/>
      <c r="J3507" s="6"/>
      <c r="K3507" s="6"/>
      <c r="L3507" s="6"/>
      <c r="M3507" s="6"/>
      <c r="N3507" s="6"/>
      <c r="O3507" s="7"/>
      <c r="P3507" s="6"/>
      <c r="Q3507" s="6"/>
      <c r="R3507" s="7"/>
      <c r="S3507" s="6"/>
      <c r="T3507" s="6"/>
      <c r="U3507" s="7"/>
      <c r="V3507" s="6"/>
      <c r="W3507" s="6"/>
      <c r="X3507" s="12"/>
      <c r="Y3507" s="6"/>
      <c r="Z3507" s="6"/>
      <c r="AA3507" s="7"/>
      <c r="AB3507" s="6"/>
      <c r="AC3507" s="6"/>
      <c r="AD3507" s="6"/>
      <c r="AE3507" s="12"/>
      <c r="AF3507" s="12"/>
      <c r="AG3507" s="12"/>
      <c r="AH3507" s="12"/>
      <c r="AI3507" s="6"/>
      <c r="AJ3507" s="12"/>
      <c r="AK3507" s="1"/>
      <c r="AL3507" s="12"/>
      <c r="AM3507" s="12"/>
      <c r="AN3507" s="1"/>
      <c r="AO3507" s="6"/>
    </row>
    <row r="3508" spans="1:41" ht="15" x14ac:dyDescent="0.25">
      <c r="A3508" s="1"/>
      <c r="B3508" s="1"/>
      <c r="C3508" s="1"/>
      <c r="D3508" s="1"/>
      <c r="E3508" s="6"/>
      <c r="F3508" s="1"/>
      <c r="G3508" s="6"/>
      <c r="H3508" s="6"/>
      <c r="I3508" s="6"/>
      <c r="J3508" s="6"/>
      <c r="K3508" s="6"/>
      <c r="L3508" s="6"/>
      <c r="M3508" s="6"/>
      <c r="N3508" s="6"/>
      <c r="O3508" s="7"/>
      <c r="P3508" s="12"/>
      <c r="Q3508" s="6"/>
      <c r="R3508" s="7"/>
      <c r="S3508" s="6"/>
      <c r="T3508" s="6"/>
      <c r="U3508" s="7"/>
      <c r="V3508" s="6"/>
      <c r="W3508" s="6"/>
      <c r="X3508" s="6"/>
      <c r="Y3508" s="6"/>
      <c r="Z3508" s="6"/>
      <c r="AA3508" s="7"/>
      <c r="AB3508" s="6"/>
      <c r="AC3508" s="6"/>
      <c r="AD3508" s="6"/>
      <c r="AE3508" s="12"/>
      <c r="AF3508" s="6"/>
      <c r="AG3508" s="12"/>
      <c r="AH3508" s="6"/>
      <c r="AI3508" s="6"/>
      <c r="AJ3508" s="12"/>
      <c r="AK3508" s="24"/>
      <c r="AL3508" s="25"/>
      <c r="AM3508" s="12"/>
      <c r="AN3508" s="1"/>
      <c r="AO3508" s="6"/>
    </row>
    <row r="3509" spans="1:41" ht="15" x14ac:dyDescent="0.25">
      <c r="A3509" s="1"/>
      <c r="B3509" s="1"/>
      <c r="C3509" s="1"/>
      <c r="D3509" s="1"/>
      <c r="E3509" s="6"/>
      <c r="F3509" s="1"/>
      <c r="G3509" s="6"/>
      <c r="H3509" s="6"/>
      <c r="I3509" s="6"/>
      <c r="J3509" s="6"/>
      <c r="K3509" s="6"/>
      <c r="L3509" s="6"/>
      <c r="M3509" s="6"/>
      <c r="N3509" s="6"/>
      <c r="O3509" s="7"/>
      <c r="P3509" s="6"/>
      <c r="Q3509" s="6"/>
      <c r="R3509" s="7"/>
      <c r="S3509" s="6"/>
      <c r="T3509" s="6"/>
      <c r="U3509" s="7"/>
      <c r="V3509" s="6"/>
      <c r="W3509" s="6"/>
      <c r="X3509" s="12"/>
      <c r="Y3509" s="6"/>
      <c r="Z3509" s="6"/>
      <c r="AA3509" s="7"/>
      <c r="AB3509" s="6"/>
      <c r="AC3509" s="6"/>
      <c r="AD3509" s="6"/>
      <c r="AE3509" s="12"/>
      <c r="AF3509" s="12"/>
      <c r="AG3509" s="12"/>
      <c r="AH3509" s="12"/>
      <c r="AI3509" s="6"/>
      <c r="AJ3509" s="12"/>
      <c r="AK3509" s="1"/>
      <c r="AL3509" s="12"/>
      <c r="AM3509" s="12"/>
      <c r="AN3509" s="1"/>
      <c r="AO3509" s="6"/>
    </row>
    <row r="3510" spans="1:41" ht="15" x14ac:dyDescent="0.25">
      <c r="A3510" s="1"/>
      <c r="B3510" s="1"/>
      <c r="C3510" s="1"/>
      <c r="D3510" s="1"/>
      <c r="E3510" s="6"/>
      <c r="F3510" s="1"/>
      <c r="G3510" s="6"/>
      <c r="H3510" s="6"/>
      <c r="I3510" s="6"/>
      <c r="J3510" s="6"/>
      <c r="K3510" s="6"/>
      <c r="L3510" s="6"/>
      <c r="M3510" s="6"/>
      <c r="N3510" s="6"/>
      <c r="O3510" s="7"/>
      <c r="P3510" s="6"/>
      <c r="Q3510" s="6"/>
      <c r="R3510" s="7"/>
      <c r="S3510" s="6"/>
      <c r="T3510" s="6"/>
      <c r="U3510" s="7"/>
      <c r="V3510" s="6"/>
      <c r="W3510" s="6"/>
      <c r="X3510" s="12"/>
      <c r="Y3510" s="6"/>
      <c r="Z3510" s="6"/>
      <c r="AA3510" s="7"/>
      <c r="AB3510" s="6"/>
      <c r="AC3510" s="6"/>
      <c r="AD3510" s="6"/>
      <c r="AE3510" s="12"/>
      <c r="AF3510" s="12"/>
      <c r="AG3510" s="12"/>
      <c r="AH3510" s="12"/>
      <c r="AI3510" s="6"/>
      <c r="AJ3510" s="12"/>
      <c r="AK3510" s="1"/>
      <c r="AL3510" s="12"/>
      <c r="AM3510" s="12"/>
      <c r="AN3510" s="1"/>
      <c r="AO3510" s="6"/>
    </row>
    <row r="3511" spans="1:41" ht="15" x14ac:dyDescent="0.25">
      <c r="A3511" s="1"/>
      <c r="B3511" s="1"/>
      <c r="C3511" s="1"/>
      <c r="D3511" s="1"/>
      <c r="E3511" s="6"/>
      <c r="F3511" s="1"/>
      <c r="G3511" s="6"/>
      <c r="H3511" s="6"/>
      <c r="I3511" s="6"/>
      <c r="J3511" s="6"/>
      <c r="K3511" s="6"/>
      <c r="L3511" s="6"/>
      <c r="M3511" s="6"/>
      <c r="N3511" s="6"/>
      <c r="O3511" s="7"/>
      <c r="P3511" s="6"/>
      <c r="Q3511" s="6"/>
      <c r="R3511" s="7"/>
      <c r="S3511" s="6"/>
      <c r="T3511" s="6"/>
      <c r="U3511" s="7"/>
      <c r="V3511" s="6"/>
      <c r="W3511" s="6"/>
      <c r="X3511" s="12"/>
      <c r="Y3511" s="6"/>
      <c r="Z3511" s="6"/>
      <c r="AA3511" s="7"/>
      <c r="AB3511" s="6"/>
      <c r="AC3511" s="6"/>
      <c r="AD3511" s="6"/>
      <c r="AE3511" s="12"/>
      <c r="AF3511" s="6"/>
      <c r="AG3511" s="12"/>
      <c r="AH3511" s="6"/>
      <c r="AI3511" s="6"/>
      <c r="AJ3511" s="12"/>
      <c r="AK3511" s="24"/>
      <c r="AL3511" s="25"/>
      <c r="AM3511" s="12"/>
      <c r="AN3511" s="1"/>
      <c r="AO3511" s="6"/>
    </row>
    <row r="3512" spans="1:41" ht="15" x14ac:dyDescent="0.25">
      <c r="A3512" s="1"/>
      <c r="B3512" s="1"/>
      <c r="C3512" s="1"/>
      <c r="D3512" s="1"/>
      <c r="E3512" s="6"/>
      <c r="F3512" s="1"/>
      <c r="G3512" s="6"/>
      <c r="H3512" s="6"/>
      <c r="I3512" s="6"/>
      <c r="J3512" s="6"/>
      <c r="K3512" s="6"/>
      <c r="L3512" s="6"/>
      <c r="M3512" s="6"/>
      <c r="N3512" s="6"/>
      <c r="O3512" s="7"/>
      <c r="P3512" s="6"/>
      <c r="Q3512" s="6"/>
      <c r="R3512" s="7"/>
      <c r="S3512" s="6"/>
      <c r="T3512" s="6"/>
      <c r="U3512" s="7"/>
      <c r="V3512" s="6"/>
      <c r="W3512" s="6"/>
      <c r="X3512" s="12"/>
      <c r="Y3512" s="6"/>
      <c r="Z3512" s="6"/>
      <c r="AA3512" s="7"/>
      <c r="AB3512" s="6"/>
      <c r="AC3512" s="6"/>
      <c r="AD3512" s="6"/>
      <c r="AE3512" s="12"/>
      <c r="AF3512" s="12"/>
      <c r="AG3512" s="12"/>
      <c r="AH3512" s="12"/>
      <c r="AI3512" s="6"/>
      <c r="AJ3512" s="12"/>
      <c r="AK3512" s="1"/>
      <c r="AL3512" s="12"/>
      <c r="AM3512" s="12"/>
      <c r="AN3512" s="1"/>
      <c r="AO3512" s="6"/>
    </row>
    <row r="3513" spans="1:41" ht="15" x14ac:dyDescent="0.25">
      <c r="A3513" s="1"/>
      <c r="B3513" s="1"/>
      <c r="C3513" s="1"/>
      <c r="D3513" s="1"/>
      <c r="E3513" s="6"/>
      <c r="F3513" s="1"/>
      <c r="G3513" s="6"/>
      <c r="H3513" s="6"/>
      <c r="I3513" s="6"/>
      <c r="J3513" s="6"/>
      <c r="K3513" s="6"/>
      <c r="L3513" s="6"/>
      <c r="M3513" s="6"/>
      <c r="N3513" s="6"/>
      <c r="O3513" s="7"/>
      <c r="P3513" s="6"/>
      <c r="Q3513" s="6"/>
      <c r="R3513" s="7"/>
      <c r="S3513" s="6"/>
      <c r="T3513" s="6"/>
      <c r="U3513" s="7"/>
      <c r="V3513" s="6"/>
      <c r="W3513" s="6"/>
      <c r="X3513" s="6"/>
      <c r="Y3513" s="6"/>
      <c r="Z3513" s="6"/>
      <c r="AA3513" s="7"/>
      <c r="AB3513" s="6"/>
      <c r="AC3513" s="6"/>
      <c r="AD3513" s="6"/>
      <c r="AE3513" s="12"/>
      <c r="AF3513" s="12"/>
      <c r="AG3513" s="12"/>
      <c r="AH3513" s="12"/>
      <c r="AI3513" s="6"/>
      <c r="AJ3513" s="12"/>
      <c r="AK3513" s="1"/>
      <c r="AL3513" s="12"/>
      <c r="AM3513" s="12"/>
      <c r="AN3513" s="1"/>
      <c r="AO3513" s="6"/>
    </row>
    <row r="3514" spans="1:41" ht="15" x14ac:dyDescent="0.25">
      <c r="A3514" s="1"/>
      <c r="B3514" s="1"/>
      <c r="C3514" s="1"/>
      <c r="D3514" s="1"/>
      <c r="E3514" s="6"/>
      <c r="F3514" s="1"/>
      <c r="G3514" s="6"/>
      <c r="H3514" s="6"/>
      <c r="I3514" s="6"/>
      <c r="J3514" s="6"/>
      <c r="K3514" s="6"/>
      <c r="L3514" s="6"/>
      <c r="M3514" s="6"/>
      <c r="N3514" s="6"/>
      <c r="O3514" s="7"/>
      <c r="P3514" s="6"/>
      <c r="Q3514" s="6"/>
      <c r="R3514" s="7"/>
      <c r="S3514" s="6"/>
      <c r="T3514" s="6"/>
      <c r="U3514" s="7"/>
      <c r="V3514" s="6"/>
      <c r="W3514" s="6"/>
      <c r="X3514" s="6"/>
      <c r="Y3514" s="6"/>
      <c r="Z3514" s="6"/>
      <c r="AA3514" s="7"/>
      <c r="AB3514" s="6"/>
      <c r="AC3514" s="6"/>
      <c r="AD3514" s="6"/>
      <c r="AE3514" s="12"/>
      <c r="AF3514" s="12"/>
      <c r="AG3514" s="12"/>
      <c r="AH3514" s="12"/>
      <c r="AI3514" s="6"/>
      <c r="AJ3514" s="12"/>
      <c r="AK3514" s="1"/>
      <c r="AL3514" s="12"/>
      <c r="AM3514" s="12"/>
      <c r="AN3514" s="1"/>
      <c r="AO3514" s="12"/>
    </row>
    <row r="3515" spans="1:41" ht="15" x14ac:dyDescent="0.25">
      <c r="A3515" s="1"/>
      <c r="B3515" s="1"/>
      <c r="C3515" s="1"/>
      <c r="D3515" s="1"/>
      <c r="E3515" s="6"/>
      <c r="F3515" s="1"/>
      <c r="G3515" s="6"/>
      <c r="H3515" s="6"/>
      <c r="I3515" s="6"/>
      <c r="J3515" s="6"/>
      <c r="K3515" s="6"/>
      <c r="L3515" s="6"/>
      <c r="M3515" s="6"/>
      <c r="N3515" s="6"/>
      <c r="O3515" s="7"/>
      <c r="P3515" s="6"/>
      <c r="Q3515" s="6"/>
      <c r="R3515" s="7"/>
      <c r="S3515" s="6"/>
      <c r="T3515" s="6"/>
      <c r="U3515" s="7"/>
      <c r="V3515" s="6"/>
      <c r="W3515" s="6"/>
      <c r="X3515" s="6"/>
      <c r="Y3515" s="6"/>
      <c r="Z3515" s="6"/>
      <c r="AA3515" s="7"/>
      <c r="AB3515" s="6"/>
      <c r="AC3515" s="6"/>
      <c r="AD3515" s="6"/>
      <c r="AE3515" s="12"/>
      <c r="AF3515" s="12"/>
      <c r="AG3515" s="12"/>
      <c r="AH3515" s="12"/>
      <c r="AI3515" s="6"/>
      <c r="AJ3515" s="12"/>
      <c r="AK3515" s="1"/>
      <c r="AL3515" s="12"/>
      <c r="AM3515" s="12"/>
      <c r="AN3515" s="1"/>
      <c r="AO3515" s="6"/>
    </row>
    <row r="3516" spans="1:41" ht="15" x14ac:dyDescent="0.25">
      <c r="A3516" s="1"/>
      <c r="B3516" s="1"/>
      <c r="C3516" s="1"/>
      <c r="D3516" s="1"/>
      <c r="E3516" s="6"/>
      <c r="F3516" s="1"/>
      <c r="G3516" s="6"/>
      <c r="H3516" s="6"/>
      <c r="I3516" s="6"/>
      <c r="J3516" s="6"/>
      <c r="K3516" s="12"/>
      <c r="L3516" s="12"/>
      <c r="M3516" s="6"/>
      <c r="N3516" s="6"/>
      <c r="O3516" s="7"/>
      <c r="P3516" s="6"/>
      <c r="Q3516" s="6"/>
      <c r="R3516" s="7"/>
      <c r="S3516" s="6"/>
      <c r="T3516" s="6"/>
      <c r="U3516" s="7"/>
      <c r="V3516" s="6"/>
      <c r="W3516" s="6"/>
      <c r="X3516" s="12"/>
      <c r="Y3516" s="6"/>
      <c r="Z3516" s="6"/>
      <c r="AA3516" s="7"/>
      <c r="AB3516" s="6"/>
      <c r="AC3516" s="6"/>
      <c r="AD3516" s="6"/>
      <c r="AE3516" s="12"/>
      <c r="AF3516" s="12"/>
      <c r="AG3516" s="12"/>
      <c r="AH3516" s="12"/>
      <c r="AI3516" s="6"/>
      <c r="AJ3516" s="12"/>
      <c r="AK3516" s="1"/>
      <c r="AL3516" s="12"/>
      <c r="AM3516" s="12"/>
      <c r="AN3516" s="1"/>
      <c r="AO3516" s="6"/>
    </row>
    <row r="3517" spans="1:41" ht="15" x14ac:dyDescent="0.25">
      <c r="A3517" s="1"/>
      <c r="B3517" s="1"/>
      <c r="C3517" s="1"/>
      <c r="D3517" s="1"/>
      <c r="E3517" s="6"/>
      <c r="F3517" s="1"/>
      <c r="G3517" s="6"/>
      <c r="H3517" s="6"/>
      <c r="I3517" s="6"/>
      <c r="J3517" s="6"/>
      <c r="K3517" s="6"/>
      <c r="L3517" s="6"/>
      <c r="M3517" s="6"/>
      <c r="N3517" s="6"/>
      <c r="O3517" s="7"/>
      <c r="P3517" s="12"/>
      <c r="Q3517" s="6"/>
      <c r="R3517" s="7"/>
      <c r="S3517" s="6"/>
      <c r="T3517" s="6"/>
      <c r="U3517" s="7"/>
      <c r="V3517" s="6"/>
      <c r="W3517" s="6"/>
      <c r="X3517" s="6"/>
      <c r="Y3517" s="6"/>
      <c r="Z3517" s="6"/>
      <c r="AA3517" s="7"/>
      <c r="AB3517" s="6"/>
      <c r="AC3517" s="6"/>
      <c r="AD3517" s="6"/>
      <c r="AE3517" s="12"/>
      <c r="AF3517" s="12"/>
      <c r="AG3517" s="12"/>
      <c r="AH3517" s="12"/>
      <c r="AI3517" s="6"/>
      <c r="AJ3517" s="12"/>
      <c r="AK3517" s="1"/>
      <c r="AL3517" s="12"/>
      <c r="AM3517" s="12"/>
      <c r="AN3517" s="1"/>
      <c r="AO3517" s="6"/>
    </row>
    <row r="3518" spans="1:41" ht="15" x14ac:dyDescent="0.25">
      <c r="A3518" s="1"/>
      <c r="B3518" s="1"/>
      <c r="C3518" s="1"/>
      <c r="D3518" s="1"/>
      <c r="E3518" s="6"/>
      <c r="F3518" s="1"/>
      <c r="G3518" s="6"/>
      <c r="H3518" s="6"/>
      <c r="I3518" s="6"/>
      <c r="J3518" s="6"/>
      <c r="K3518" s="6"/>
      <c r="L3518" s="6"/>
      <c r="M3518" s="6"/>
      <c r="N3518" s="6"/>
      <c r="O3518" s="7"/>
      <c r="P3518" s="6"/>
      <c r="Q3518" s="6"/>
      <c r="R3518" s="7"/>
      <c r="S3518" s="6"/>
      <c r="T3518" s="6"/>
      <c r="U3518" s="7"/>
      <c r="V3518" s="6"/>
      <c r="W3518" s="6"/>
      <c r="X3518" s="12"/>
      <c r="Y3518" s="6"/>
      <c r="Z3518" s="6"/>
      <c r="AA3518" s="7"/>
      <c r="AB3518" s="6"/>
      <c r="AC3518" s="6"/>
      <c r="AD3518" s="6"/>
      <c r="AE3518" s="12"/>
      <c r="AF3518" s="12"/>
      <c r="AG3518" s="12"/>
      <c r="AH3518" s="12"/>
      <c r="AI3518" s="6"/>
      <c r="AJ3518" s="12"/>
      <c r="AK3518" s="1"/>
      <c r="AL3518" s="12"/>
      <c r="AM3518" s="12"/>
      <c r="AN3518" s="1"/>
      <c r="AO3518" s="6"/>
    </row>
    <row r="3519" spans="1:41" ht="15" x14ac:dyDescent="0.25">
      <c r="A3519" s="1"/>
      <c r="B3519" s="1"/>
      <c r="C3519" s="1"/>
      <c r="D3519" s="1"/>
      <c r="E3519" s="6"/>
      <c r="F3519" s="1"/>
      <c r="G3519" s="6"/>
      <c r="H3519" s="6"/>
      <c r="I3519" s="6"/>
      <c r="J3519" s="6"/>
      <c r="K3519" s="6"/>
      <c r="L3519" s="6"/>
      <c r="M3519" s="6"/>
      <c r="N3519" s="6"/>
      <c r="O3519" s="7"/>
      <c r="P3519" s="6"/>
      <c r="Q3519" s="6"/>
      <c r="R3519" s="7"/>
      <c r="S3519" s="6"/>
      <c r="T3519" s="6"/>
      <c r="U3519" s="7"/>
      <c r="V3519" s="6"/>
      <c r="W3519" s="6"/>
      <c r="X3519" s="6"/>
      <c r="Y3519" s="6"/>
      <c r="Z3519" s="6"/>
      <c r="AA3519" s="7"/>
      <c r="AB3519" s="6"/>
      <c r="AC3519" s="6"/>
      <c r="AD3519" s="6"/>
      <c r="AE3519" s="12"/>
      <c r="AF3519" s="6"/>
      <c r="AG3519" s="12"/>
      <c r="AH3519" s="6"/>
      <c r="AI3519" s="6"/>
      <c r="AJ3519" s="12"/>
      <c r="AK3519" s="24"/>
      <c r="AL3519" s="25"/>
      <c r="AM3519" s="12"/>
      <c r="AN3519" s="1"/>
      <c r="AO3519" s="6"/>
    </row>
    <row r="3520" spans="1:41" ht="15" x14ac:dyDescent="0.25">
      <c r="A3520" s="1"/>
      <c r="B3520" s="1"/>
      <c r="C3520" s="1"/>
      <c r="D3520" s="1"/>
      <c r="E3520" s="6"/>
      <c r="F3520" s="1"/>
      <c r="G3520" s="6"/>
      <c r="H3520" s="6"/>
      <c r="I3520" s="6"/>
      <c r="J3520" s="6"/>
      <c r="K3520" s="6"/>
      <c r="L3520" s="6"/>
      <c r="M3520" s="6"/>
      <c r="N3520" s="6"/>
      <c r="O3520" s="7"/>
      <c r="P3520" s="12"/>
      <c r="Q3520" s="6"/>
      <c r="R3520" s="7"/>
      <c r="S3520" s="6"/>
      <c r="T3520" s="6"/>
      <c r="U3520" s="7"/>
      <c r="V3520" s="6"/>
      <c r="W3520" s="6"/>
      <c r="X3520" s="12"/>
      <c r="Y3520" s="6"/>
      <c r="Z3520" s="6"/>
      <c r="AA3520" s="7"/>
      <c r="AB3520" s="6"/>
      <c r="AC3520" s="6"/>
      <c r="AD3520" s="6"/>
      <c r="AE3520" s="12"/>
      <c r="AF3520" s="6"/>
      <c r="AG3520" s="12"/>
      <c r="AH3520" s="6"/>
      <c r="AI3520" s="6"/>
      <c r="AJ3520" s="12"/>
      <c r="AK3520" s="1"/>
      <c r="AL3520" s="12"/>
      <c r="AM3520" s="12"/>
      <c r="AN3520" s="1"/>
      <c r="AO3520" s="6"/>
    </row>
    <row r="3521" spans="1:41" ht="15" x14ac:dyDescent="0.25">
      <c r="A3521" s="1"/>
      <c r="B3521" s="1"/>
      <c r="C3521" s="1"/>
      <c r="D3521" s="1"/>
      <c r="E3521" s="6"/>
      <c r="F3521" s="1"/>
      <c r="G3521" s="6"/>
      <c r="H3521" s="6"/>
      <c r="I3521" s="6"/>
      <c r="J3521" s="6"/>
      <c r="K3521" s="6"/>
      <c r="L3521" s="6"/>
      <c r="M3521" s="6"/>
      <c r="N3521" s="6"/>
      <c r="O3521" s="7"/>
      <c r="P3521" s="6"/>
      <c r="Q3521" s="6"/>
      <c r="R3521" s="7"/>
      <c r="S3521" s="6"/>
      <c r="T3521" s="6"/>
      <c r="U3521" s="7"/>
      <c r="V3521" s="6"/>
      <c r="W3521" s="6"/>
      <c r="X3521" s="6"/>
      <c r="Y3521" s="6"/>
      <c r="Z3521" s="6"/>
      <c r="AA3521" s="7"/>
      <c r="AB3521" s="6"/>
      <c r="AC3521" s="6"/>
      <c r="AD3521" s="6"/>
      <c r="AE3521" s="12"/>
      <c r="AF3521" s="6"/>
      <c r="AG3521" s="12"/>
      <c r="AH3521" s="6"/>
      <c r="AI3521" s="6"/>
      <c r="AJ3521" s="12"/>
      <c r="AK3521" s="1"/>
      <c r="AL3521" s="12"/>
      <c r="AM3521" s="12"/>
      <c r="AN3521" s="1"/>
      <c r="AO3521" s="6"/>
    </row>
    <row r="3522" spans="1:41" ht="15" x14ac:dyDescent="0.25">
      <c r="A3522" s="1"/>
      <c r="B3522" s="1"/>
      <c r="C3522" s="1"/>
      <c r="D3522" s="1"/>
      <c r="E3522" s="6"/>
      <c r="F3522" s="1"/>
      <c r="G3522" s="6"/>
      <c r="H3522" s="6"/>
      <c r="I3522" s="6"/>
      <c r="J3522" s="6"/>
      <c r="K3522" s="6"/>
      <c r="L3522" s="6"/>
      <c r="M3522" s="6"/>
      <c r="N3522" s="6"/>
      <c r="O3522" s="7"/>
      <c r="P3522" s="6"/>
      <c r="Q3522" s="6"/>
      <c r="R3522" s="7"/>
      <c r="S3522" s="6"/>
      <c r="T3522" s="6"/>
      <c r="U3522" s="7"/>
      <c r="V3522" s="6"/>
      <c r="W3522" s="6"/>
      <c r="X3522" s="12"/>
      <c r="Y3522" s="6"/>
      <c r="Z3522" s="6"/>
      <c r="AA3522" s="7"/>
      <c r="AB3522" s="6"/>
      <c r="AC3522" s="6"/>
      <c r="AD3522" s="6"/>
      <c r="AE3522" s="12"/>
      <c r="AF3522" s="12"/>
      <c r="AG3522" s="12"/>
      <c r="AH3522" s="12"/>
      <c r="AI3522" s="6"/>
      <c r="AJ3522" s="12"/>
      <c r="AK3522" s="1"/>
      <c r="AL3522" s="12"/>
      <c r="AM3522" s="12"/>
      <c r="AN3522" s="1"/>
      <c r="AO3522" s="6"/>
    </row>
    <row r="3523" spans="1:41" ht="15" x14ac:dyDescent="0.25">
      <c r="A3523" s="1"/>
      <c r="B3523" s="1"/>
      <c r="C3523" s="1"/>
      <c r="D3523" s="1"/>
      <c r="E3523" s="6"/>
      <c r="F3523" s="1"/>
      <c r="G3523" s="6"/>
      <c r="H3523" s="6"/>
      <c r="I3523" s="6"/>
      <c r="J3523" s="6"/>
      <c r="K3523" s="12"/>
      <c r="L3523" s="12"/>
      <c r="M3523" s="6"/>
      <c r="N3523" s="6"/>
      <c r="O3523" s="7"/>
      <c r="P3523" s="6"/>
      <c r="Q3523" s="6"/>
      <c r="R3523" s="7"/>
      <c r="S3523" s="6"/>
      <c r="T3523" s="6"/>
      <c r="U3523" s="7"/>
      <c r="V3523" s="6"/>
      <c r="W3523" s="6"/>
      <c r="X3523" s="6"/>
      <c r="Y3523" s="6"/>
      <c r="Z3523" s="6"/>
      <c r="AA3523" s="7"/>
      <c r="AB3523" s="6"/>
      <c r="AC3523" s="6"/>
      <c r="AD3523" s="6"/>
      <c r="AE3523" s="12"/>
      <c r="AF3523" s="12"/>
      <c r="AG3523" s="12"/>
      <c r="AH3523" s="12"/>
      <c r="AI3523" s="6"/>
      <c r="AJ3523" s="12"/>
      <c r="AK3523" s="24"/>
      <c r="AL3523" s="25"/>
      <c r="AM3523" s="12"/>
      <c r="AN3523" s="1"/>
      <c r="AO3523" s="12"/>
    </row>
    <row r="3524" spans="1:41" ht="15" x14ac:dyDescent="0.25">
      <c r="A3524" s="1"/>
      <c r="B3524" s="1"/>
      <c r="C3524" s="1"/>
      <c r="D3524" s="1"/>
      <c r="E3524" s="6"/>
      <c r="F3524" s="1"/>
      <c r="G3524" s="6"/>
      <c r="H3524" s="6"/>
      <c r="I3524" s="6"/>
      <c r="J3524" s="6"/>
      <c r="K3524" s="6"/>
      <c r="L3524" s="6"/>
      <c r="M3524" s="6"/>
      <c r="N3524" s="6"/>
      <c r="O3524" s="7"/>
      <c r="P3524" s="6"/>
      <c r="Q3524" s="6"/>
      <c r="R3524" s="12"/>
      <c r="S3524" s="12"/>
      <c r="T3524" s="12"/>
      <c r="U3524" s="7"/>
      <c r="V3524" s="6"/>
      <c r="W3524" s="6"/>
      <c r="X3524" s="12"/>
      <c r="Y3524" s="6"/>
      <c r="Z3524" s="6"/>
      <c r="AA3524" s="7"/>
      <c r="AB3524" s="6"/>
      <c r="AC3524" s="6"/>
      <c r="AD3524" s="6"/>
      <c r="AE3524" s="12"/>
      <c r="AF3524" s="12"/>
      <c r="AG3524" s="12"/>
      <c r="AH3524" s="12"/>
      <c r="AI3524" s="6"/>
      <c r="AJ3524" s="12"/>
      <c r="AK3524" s="1"/>
      <c r="AL3524" s="12"/>
      <c r="AM3524" s="12"/>
      <c r="AN3524" s="1"/>
      <c r="AO3524" s="6"/>
    </row>
    <row r="3525" spans="1:41" ht="15" x14ac:dyDescent="0.25">
      <c r="A3525" s="1"/>
      <c r="B3525" s="1"/>
      <c r="C3525" s="1"/>
      <c r="D3525" s="1"/>
      <c r="E3525" s="6"/>
      <c r="F3525" s="1"/>
      <c r="G3525" s="6"/>
      <c r="H3525" s="6"/>
      <c r="I3525" s="6"/>
      <c r="J3525" s="6"/>
      <c r="K3525" s="6"/>
      <c r="L3525" s="6"/>
      <c r="M3525" s="6"/>
      <c r="N3525" s="6"/>
      <c r="O3525" s="7"/>
      <c r="P3525" s="6"/>
      <c r="Q3525" s="6"/>
      <c r="R3525" s="7"/>
      <c r="S3525" s="6"/>
      <c r="T3525" s="6"/>
      <c r="U3525" s="7"/>
      <c r="V3525" s="6"/>
      <c r="W3525" s="6"/>
      <c r="X3525" s="12"/>
      <c r="Y3525" s="6"/>
      <c r="Z3525" s="6"/>
      <c r="AA3525" s="7"/>
      <c r="AB3525" s="6"/>
      <c r="AC3525" s="6"/>
      <c r="AD3525" s="6"/>
      <c r="AE3525" s="12"/>
      <c r="AF3525" s="12"/>
      <c r="AG3525" s="12"/>
      <c r="AH3525" s="12"/>
      <c r="AI3525" s="6"/>
      <c r="AJ3525" s="12"/>
      <c r="AK3525" s="1"/>
      <c r="AL3525" s="12"/>
      <c r="AM3525" s="12"/>
      <c r="AN3525" s="1"/>
      <c r="AO3525" s="6"/>
    </row>
    <row r="3526" spans="1:41" ht="15" x14ac:dyDescent="0.25">
      <c r="A3526" s="1"/>
      <c r="B3526" s="1"/>
      <c r="C3526" s="1"/>
      <c r="D3526" s="1"/>
      <c r="E3526" s="6"/>
      <c r="F3526" s="1"/>
      <c r="G3526" s="6"/>
      <c r="H3526" s="6"/>
      <c r="I3526" s="6"/>
      <c r="J3526" s="6"/>
      <c r="K3526" s="6"/>
      <c r="L3526" s="6"/>
      <c r="M3526" s="6"/>
      <c r="N3526" s="6"/>
      <c r="O3526" s="7"/>
      <c r="P3526" s="6"/>
      <c r="Q3526" s="6"/>
      <c r="R3526" s="7"/>
      <c r="S3526" s="6"/>
      <c r="T3526" s="6"/>
      <c r="U3526" s="7"/>
      <c r="V3526" s="6"/>
      <c r="W3526" s="6"/>
      <c r="X3526" s="12"/>
      <c r="Y3526" s="6"/>
      <c r="Z3526" s="6"/>
      <c r="AA3526" s="7"/>
      <c r="AB3526" s="6"/>
      <c r="AC3526" s="6"/>
      <c r="AD3526" s="6"/>
      <c r="AE3526" s="12"/>
      <c r="AF3526" s="12"/>
      <c r="AG3526" s="12"/>
      <c r="AH3526" s="12"/>
      <c r="AI3526" s="6"/>
      <c r="AJ3526" s="12"/>
      <c r="AK3526" s="1"/>
      <c r="AL3526" s="12"/>
      <c r="AM3526" s="12"/>
      <c r="AN3526" s="1"/>
      <c r="AO3526" s="6"/>
    </row>
    <row r="3527" spans="1:41" ht="15" x14ac:dyDescent="0.25">
      <c r="A3527" s="1"/>
      <c r="B3527" s="1"/>
      <c r="C3527" s="1"/>
      <c r="D3527" s="1"/>
      <c r="E3527" s="6"/>
      <c r="F3527" s="1"/>
      <c r="G3527" s="6"/>
      <c r="H3527" s="6"/>
      <c r="I3527" s="6"/>
      <c r="J3527" s="6"/>
      <c r="K3527" s="12"/>
      <c r="L3527" s="12"/>
      <c r="M3527" s="6"/>
      <c r="N3527" s="6"/>
      <c r="O3527" s="7"/>
      <c r="P3527" s="6"/>
      <c r="Q3527" s="6"/>
      <c r="R3527" s="7"/>
      <c r="S3527" s="6"/>
      <c r="T3527" s="6"/>
      <c r="U3527" s="7"/>
      <c r="V3527" s="6"/>
      <c r="W3527" s="6"/>
      <c r="X3527" s="6"/>
      <c r="Y3527" s="6"/>
      <c r="Z3527" s="6"/>
      <c r="AA3527" s="7"/>
      <c r="AB3527" s="6"/>
      <c r="AC3527" s="6"/>
      <c r="AD3527" s="6"/>
      <c r="AE3527" s="12"/>
      <c r="AF3527" s="12"/>
      <c r="AG3527" s="12"/>
      <c r="AH3527" s="12"/>
      <c r="AI3527" s="6"/>
      <c r="AJ3527" s="12"/>
      <c r="AK3527" s="1"/>
      <c r="AL3527" s="12"/>
      <c r="AM3527" s="12"/>
      <c r="AN3527" s="1"/>
      <c r="AO3527" s="6"/>
    </row>
    <row r="3528" spans="1:41" ht="15" x14ac:dyDescent="0.25">
      <c r="A3528" s="1"/>
      <c r="B3528" s="1"/>
      <c r="C3528" s="1"/>
      <c r="D3528" s="1"/>
      <c r="E3528" s="6"/>
      <c r="F3528" s="1"/>
      <c r="G3528" s="6"/>
      <c r="H3528" s="6"/>
      <c r="I3528" s="6"/>
      <c r="J3528" s="6"/>
      <c r="K3528" s="6"/>
      <c r="L3528" s="6"/>
      <c r="M3528" s="6"/>
      <c r="N3528" s="6"/>
      <c r="O3528" s="7"/>
      <c r="P3528" s="6"/>
      <c r="Q3528" s="6"/>
      <c r="R3528" s="7"/>
      <c r="S3528" s="6"/>
      <c r="T3528" s="6"/>
      <c r="U3528" s="7"/>
      <c r="V3528" s="6"/>
      <c r="W3528" s="6"/>
      <c r="X3528" s="12"/>
      <c r="Y3528" s="6"/>
      <c r="Z3528" s="6"/>
      <c r="AA3528" s="7"/>
      <c r="AB3528" s="6"/>
      <c r="AC3528" s="6"/>
      <c r="AD3528" s="6"/>
      <c r="AE3528" s="12"/>
      <c r="AF3528" s="6"/>
      <c r="AG3528" s="12"/>
      <c r="AH3528" s="6"/>
      <c r="AI3528" s="6"/>
      <c r="AJ3528" s="12"/>
      <c r="AK3528" s="24"/>
      <c r="AL3528" s="25"/>
      <c r="AM3528" s="12"/>
      <c r="AN3528" s="1"/>
      <c r="AO3528" s="6"/>
    </row>
    <row r="3529" spans="1:41" ht="15" x14ac:dyDescent="0.25">
      <c r="A3529" s="1"/>
      <c r="B3529" s="1"/>
      <c r="C3529" s="1"/>
      <c r="D3529" s="1"/>
      <c r="E3529" s="6"/>
      <c r="F3529" s="1"/>
      <c r="G3529" s="6"/>
      <c r="H3529" s="6"/>
      <c r="I3529" s="6"/>
      <c r="J3529" s="6"/>
      <c r="K3529" s="6"/>
      <c r="L3529" s="6"/>
      <c r="M3529" s="6"/>
      <c r="N3529" s="6"/>
      <c r="O3529" s="7"/>
      <c r="P3529" s="6"/>
      <c r="Q3529" s="6"/>
      <c r="R3529" s="7"/>
      <c r="S3529" s="6"/>
      <c r="T3529" s="6"/>
      <c r="U3529" s="7"/>
      <c r="V3529" s="6"/>
      <c r="W3529" s="6"/>
      <c r="X3529" s="12"/>
      <c r="Y3529" s="6"/>
      <c r="Z3529" s="6"/>
      <c r="AA3529" s="7"/>
      <c r="AB3529" s="6"/>
      <c r="AC3529" s="6"/>
      <c r="AD3529" s="6"/>
      <c r="AE3529" s="12"/>
      <c r="AF3529" s="6"/>
      <c r="AG3529" s="12"/>
      <c r="AH3529" s="6"/>
      <c r="AI3529" s="6"/>
      <c r="AJ3529" s="12"/>
      <c r="AK3529" s="24"/>
      <c r="AL3529" s="25"/>
      <c r="AM3529" s="12"/>
      <c r="AN3529" s="1"/>
      <c r="AO3529" s="6"/>
    </row>
    <row r="3530" spans="1:41" ht="15" x14ac:dyDescent="0.25">
      <c r="A3530" s="1"/>
      <c r="B3530" s="1"/>
      <c r="C3530" s="1"/>
      <c r="D3530" s="1"/>
      <c r="E3530" s="6"/>
      <c r="F3530" s="1"/>
      <c r="G3530" s="6"/>
      <c r="H3530" s="6"/>
      <c r="I3530" s="6"/>
      <c r="J3530" s="6"/>
      <c r="K3530" s="6"/>
      <c r="L3530" s="6"/>
      <c r="M3530" s="6"/>
      <c r="N3530" s="6"/>
      <c r="O3530" s="7"/>
      <c r="P3530" s="6"/>
      <c r="Q3530" s="6"/>
      <c r="R3530" s="7"/>
      <c r="S3530" s="6"/>
      <c r="T3530" s="6"/>
      <c r="U3530" s="7"/>
      <c r="V3530" s="6"/>
      <c r="W3530" s="6"/>
      <c r="X3530" s="6"/>
      <c r="Y3530" s="6"/>
      <c r="Z3530" s="6"/>
      <c r="AA3530" s="7"/>
      <c r="AB3530" s="6"/>
      <c r="AC3530" s="6"/>
      <c r="AD3530" s="6"/>
      <c r="AE3530" s="12"/>
      <c r="AF3530" s="12"/>
      <c r="AG3530" s="12"/>
      <c r="AH3530" s="12"/>
      <c r="AI3530" s="6"/>
      <c r="AJ3530" s="12"/>
      <c r="AK3530" s="1"/>
      <c r="AL3530" s="12"/>
      <c r="AM3530" s="12"/>
      <c r="AN3530" s="1"/>
      <c r="AO3530" s="6"/>
    </row>
    <row r="3531" spans="1:41" ht="15" x14ac:dyDescent="0.25">
      <c r="A3531" s="1"/>
      <c r="B3531" s="1"/>
      <c r="C3531" s="1"/>
      <c r="D3531" s="1"/>
      <c r="E3531" s="6"/>
      <c r="F3531" s="1"/>
      <c r="G3531" s="6"/>
      <c r="H3531" s="6"/>
      <c r="I3531" s="6"/>
      <c r="J3531" s="6"/>
      <c r="K3531" s="6"/>
      <c r="L3531" s="6"/>
      <c r="M3531" s="6"/>
      <c r="N3531" s="6"/>
      <c r="O3531" s="7"/>
      <c r="P3531" s="6"/>
      <c r="Q3531" s="6"/>
      <c r="R3531" s="7"/>
      <c r="S3531" s="6"/>
      <c r="T3531" s="6"/>
      <c r="U3531" s="7"/>
      <c r="V3531" s="6"/>
      <c r="W3531" s="6"/>
      <c r="X3531" s="12"/>
      <c r="Y3531" s="6"/>
      <c r="Z3531" s="6"/>
      <c r="AA3531" s="7"/>
      <c r="AB3531" s="6"/>
      <c r="AC3531" s="6"/>
      <c r="AD3531" s="6"/>
      <c r="AE3531" s="12"/>
      <c r="AF3531" s="12"/>
      <c r="AG3531" s="12"/>
      <c r="AH3531" s="12"/>
      <c r="AI3531" s="6"/>
      <c r="AJ3531" s="12"/>
      <c r="AK3531" s="1"/>
      <c r="AL3531" s="12"/>
      <c r="AM3531" s="12"/>
      <c r="AN3531" s="1"/>
      <c r="AO3531" s="6"/>
    </row>
    <row r="3532" spans="1:41" ht="15" x14ac:dyDescent="0.25">
      <c r="A3532" s="1"/>
      <c r="B3532" s="1"/>
      <c r="C3532" s="1"/>
      <c r="D3532" s="1"/>
      <c r="E3532" s="6"/>
      <c r="F3532" s="1"/>
      <c r="G3532" s="6"/>
      <c r="H3532" s="6"/>
      <c r="I3532" s="6"/>
      <c r="J3532" s="6"/>
      <c r="K3532" s="6"/>
      <c r="L3532" s="6"/>
      <c r="M3532" s="6"/>
      <c r="N3532" s="6"/>
      <c r="O3532" s="7"/>
      <c r="P3532" s="6"/>
      <c r="Q3532" s="6"/>
      <c r="R3532" s="7"/>
      <c r="S3532" s="6"/>
      <c r="T3532" s="6"/>
      <c r="U3532" s="7"/>
      <c r="V3532" s="6"/>
      <c r="W3532" s="6"/>
      <c r="X3532" s="12"/>
      <c r="Y3532" s="6"/>
      <c r="Z3532" s="6"/>
      <c r="AA3532" s="7"/>
      <c r="AB3532" s="6"/>
      <c r="AC3532" s="6"/>
      <c r="AD3532" s="6"/>
      <c r="AE3532" s="12"/>
      <c r="AF3532" s="12"/>
      <c r="AG3532" s="12"/>
      <c r="AH3532" s="12"/>
      <c r="AI3532" s="6"/>
      <c r="AJ3532" s="12"/>
      <c r="AK3532" s="1"/>
      <c r="AL3532" s="12"/>
      <c r="AM3532" s="12"/>
      <c r="AN3532" s="1"/>
      <c r="AO3532" s="6"/>
    </row>
    <row r="3533" spans="1:41" ht="15" x14ac:dyDescent="0.25">
      <c r="A3533" s="1"/>
      <c r="B3533" s="1"/>
      <c r="C3533" s="1"/>
      <c r="D3533" s="1"/>
      <c r="E3533" s="6"/>
      <c r="F3533" s="1"/>
      <c r="G3533" s="6"/>
      <c r="H3533" s="6"/>
      <c r="I3533" s="6"/>
      <c r="J3533" s="6"/>
      <c r="K3533" s="6"/>
      <c r="L3533" s="6"/>
      <c r="M3533" s="6"/>
      <c r="N3533" s="6"/>
      <c r="O3533" s="7"/>
      <c r="P3533" s="6"/>
      <c r="Q3533" s="6"/>
      <c r="R3533" s="7"/>
      <c r="S3533" s="6"/>
      <c r="T3533" s="6"/>
      <c r="U3533" s="7"/>
      <c r="V3533" s="6"/>
      <c r="W3533" s="6"/>
      <c r="X3533" s="6"/>
      <c r="Y3533" s="6"/>
      <c r="Z3533" s="6"/>
      <c r="AA3533" s="7"/>
      <c r="AB3533" s="6"/>
      <c r="AC3533" s="6"/>
      <c r="AD3533" s="6"/>
      <c r="AE3533" s="12"/>
      <c r="AF3533" s="6"/>
      <c r="AG3533" s="12"/>
      <c r="AH3533" s="6"/>
      <c r="AI3533" s="6"/>
      <c r="AJ3533" s="12"/>
      <c r="AK3533" s="1"/>
      <c r="AL3533" s="12"/>
      <c r="AM3533" s="12"/>
      <c r="AN3533" s="1"/>
      <c r="AO3533" s="6"/>
    </row>
    <row r="3534" spans="1:41" ht="15" x14ac:dyDescent="0.25">
      <c r="A3534" s="1"/>
      <c r="B3534" s="1"/>
      <c r="C3534" s="1"/>
      <c r="D3534" s="1"/>
      <c r="E3534" s="6"/>
      <c r="F3534" s="1"/>
      <c r="G3534" s="6"/>
      <c r="H3534" s="6"/>
      <c r="I3534" s="6"/>
      <c r="J3534" s="6"/>
      <c r="K3534" s="6"/>
      <c r="L3534" s="6"/>
      <c r="M3534" s="6"/>
      <c r="N3534" s="6"/>
      <c r="O3534" s="7"/>
      <c r="P3534" s="6"/>
      <c r="Q3534" s="6"/>
      <c r="R3534" s="7"/>
      <c r="S3534" s="6"/>
      <c r="T3534" s="6"/>
      <c r="U3534" s="7"/>
      <c r="V3534" s="6"/>
      <c r="W3534" s="6"/>
      <c r="X3534" s="6"/>
      <c r="Y3534" s="6"/>
      <c r="Z3534" s="6"/>
      <c r="AA3534" s="7"/>
      <c r="AB3534" s="6"/>
      <c r="AC3534" s="6"/>
      <c r="AD3534" s="6"/>
      <c r="AE3534" s="12"/>
      <c r="AF3534" s="6"/>
      <c r="AG3534" s="12"/>
      <c r="AH3534" s="6"/>
      <c r="AI3534" s="6"/>
      <c r="AJ3534" s="12"/>
      <c r="AK3534" s="24"/>
      <c r="AL3534" s="25"/>
      <c r="AM3534" s="12"/>
      <c r="AN3534" s="1"/>
      <c r="AO3534" s="6"/>
    </row>
    <row r="3535" spans="1:41" ht="15" x14ac:dyDescent="0.25">
      <c r="A3535" s="1"/>
      <c r="B3535" s="1"/>
      <c r="C3535" s="1"/>
      <c r="D3535" s="1"/>
      <c r="E3535" s="6"/>
      <c r="F3535" s="1"/>
      <c r="G3535" s="6"/>
      <c r="H3535" s="6"/>
      <c r="I3535" s="6"/>
      <c r="J3535" s="6"/>
      <c r="K3535" s="6"/>
      <c r="L3535" s="6"/>
      <c r="M3535" s="6"/>
      <c r="N3535" s="6"/>
      <c r="O3535" s="7"/>
      <c r="P3535" s="6"/>
      <c r="Q3535" s="6"/>
      <c r="R3535" s="7"/>
      <c r="S3535" s="6"/>
      <c r="T3535" s="6"/>
      <c r="U3535" s="7"/>
      <c r="V3535" s="6"/>
      <c r="W3535" s="6"/>
      <c r="X3535" s="12"/>
      <c r="Y3535" s="6"/>
      <c r="Z3535" s="6"/>
      <c r="AA3535" s="7"/>
      <c r="AB3535" s="6"/>
      <c r="AC3535" s="6"/>
      <c r="AD3535" s="6"/>
      <c r="AE3535" s="12"/>
      <c r="AF3535" s="6"/>
      <c r="AG3535" s="12"/>
      <c r="AH3535" s="6"/>
      <c r="AI3535" s="6"/>
      <c r="AJ3535" s="12"/>
      <c r="AK3535" s="24"/>
      <c r="AL3535" s="25"/>
      <c r="AM3535" s="12"/>
      <c r="AN3535" s="1"/>
      <c r="AO3535" s="6"/>
    </row>
    <row r="3536" spans="1:41" ht="15" x14ac:dyDescent="0.25">
      <c r="A3536" s="1"/>
      <c r="B3536" s="1"/>
      <c r="C3536" s="1"/>
      <c r="D3536" s="1"/>
      <c r="E3536" s="6"/>
      <c r="F3536" s="1"/>
      <c r="G3536" s="6"/>
      <c r="H3536" s="6"/>
      <c r="I3536" s="6"/>
      <c r="J3536" s="6"/>
      <c r="K3536" s="12"/>
      <c r="L3536" s="12"/>
      <c r="M3536" s="6"/>
      <c r="N3536" s="6"/>
      <c r="O3536" s="7"/>
      <c r="P3536" s="6"/>
      <c r="Q3536" s="6"/>
      <c r="R3536" s="7"/>
      <c r="S3536" s="6"/>
      <c r="T3536" s="6"/>
      <c r="U3536" s="7"/>
      <c r="V3536" s="6"/>
      <c r="W3536" s="6"/>
      <c r="X3536" s="12"/>
      <c r="Y3536" s="6"/>
      <c r="Z3536" s="6"/>
      <c r="AA3536" s="7"/>
      <c r="AB3536" s="6"/>
      <c r="AC3536" s="6"/>
      <c r="AD3536" s="6"/>
      <c r="AE3536" s="12"/>
      <c r="AF3536" s="12"/>
      <c r="AG3536" s="12"/>
      <c r="AH3536" s="12"/>
      <c r="AI3536" s="6"/>
      <c r="AJ3536" s="12"/>
      <c r="AK3536" s="1"/>
      <c r="AL3536" s="12"/>
      <c r="AM3536" s="12"/>
      <c r="AN3536" s="1"/>
      <c r="AO3536" s="6"/>
    </row>
    <row r="3537" spans="1:41" ht="15" x14ac:dyDescent="0.25">
      <c r="A3537" s="1"/>
      <c r="B3537" s="1"/>
      <c r="C3537" s="1"/>
      <c r="D3537" s="1"/>
      <c r="E3537" s="6"/>
      <c r="F3537" s="1"/>
      <c r="G3537" s="6"/>
      <c r="H3537" s="6"/>
      <c r="I3537" s="6"/>
      <c r="J3537" s="6"/>
      <c r="K3537" s="6"/>
      <c r="L3537" s="6"/>
      <c r="M3537" s="6"/>
      <c r="N3537" s="6"/>
      <c r="O3537" s="7"/>
      <c r="P3537" s="6"/>
      <c r="Q3537" s="6"/>
      <c r="R3537" s="7"/>
      <c r="S3537" s="6"/>
      <c r="T3537" s="6"/>
      <c r="U3537" s="7"/>
      <c r="V3537" s="6"/>
      <c r="W3537" s="6"/>
      <c r="X3537" s="12"/>
      <c r="Y3537" s="6"/>
      <c r="Z3537" s="6"/>
      <c r="AA3537" s="7"/>
      <c r="AB3537" s="6"/>
      <c r="AC3537" s="6"/>
      <c r="AD3537" s="6"/>
      <c r="AE3537" s="12"/>
      <c r="AF3537" s="12"/>
      <c r="AG3537" s="12"/>
      <c r="AH3537" s="12"/>
      <c r="AI3537" s="6"/>
      <c r="AJ3537" s="12"/>
      <c r="AK3537" s="1"/>
      <c r="AL3537" s="12"/>
      <c r="AM3537" s="12"/>
      <c r="AN3537" s="1"/>
      <c r="AO3537" s="6"/>
    </row>
    <row r="3538" spans="1:41" ht="15" x14ac:dyDescent="0.25">
      <c r="A3538" s="1"/>
      <c r="B3538" s="1"/>
      <c r="C3538" s="1"/>
      <c r="D3538" s="1"/>
      <c r="E3538" s="6"/>
      <c r="F3538" s="1"/>
      <c r="G3538" s="6"/>
      <c r="H3538" s="6"/>
      <c r="I3538" s="6"/>
      <c r="J3538" s="6"/>
      <c r="K3538" s="6"/>
      <c r="L3538" s="6"/>
      <c r="M3538" s="6"/>
      <c r="N3538" s="6"/>
      <c r="O3538" s="7"/>
      <c r="P3538" s="6"/>
      <c r="Q3538" s="6"/>
      <c r="R3538" s="7"/>
      <c r="S3538" s="6"/>
      <c r="T3538" s="6"/>
      <c r="U3538" s="7"/>
      <c r="V3538" s="6"/>
      <c r="W3538" s="6"/>
      <c r="X3538" s="6"/>
      <c r="Y3538" s="6"/>
      <c r="Z3538" s="6"/>
      <c r="AA3538" s="7"/>
      <c r="AB3538" s="6"/>
      <c r="AC3538" s="6"/>
      <c r="AD3538" s="6"/>
      <c r="AE3538" s="12"/>
      <c r="AF3538" s="6"/>
      <c r="AG3538" s="12"/>
      <c r="AH3538" s="6"/>
      <c r="AI3538" s="6"/>
      <c r="AJ3538" s="12"/>
      <c r="AK3538" s="24"/>
      <c r="AL3538" s="25"/>
      <c r="AM3538" s="12"/>
      <c r="AN3538" s="1"/>
      <c r="AO3538" s="6"/>
    </row>
    <row r="3539" spans="1:41" ht="15" x14ac:dyDescent="0.25">
      <c r="A3539" s="1"/>
      <c r="B3539" s="1"/>
      <c r="C3539" s="1"/>
      <c r="D3539" s="1"/>
      <c r="E3539" s="6"/>
      <c r="F3539" s="1"/>
      <c r="G3539" s="6"/>
      <c r="H3539" s="6"/>
      <c r="I3539" s="6"/>
      <c r="J3539" s="6"/>
      <c r="K3539" s="6"/>
      <c r="L3539" s="6"/>
      <c r="M3539" s="6"/>
      <c r="N3539" s="6"/>
      <c r="O3539" s="7"/>
      <c r="P3539" s="6"/>
      <c r="Q3539" s="6"/>
      <c r="R3539" s="7"/>
      <c r="S3539" s="6"/>
      <c r="T3539" s="6"/>
      <c r="U3539" s="7"/>
      <c r="V3539" s="6"/>
      <c r="W3539" s="6"/>
      <c r="X3539" s="12"/>
      <c r="Y3539" s="6"/>
      <c r="Z3539" s="6"/>
      <c r="AA3539" s="7"/>
      <c r="AB3539" s="6"/>
      <c r="AC3539" s="6"/>
      <c r="AD3539" s="6"/>
      <c r="AE3539" s="12"/>
      <c r="AF3539" s="12"/>
      <c r="AG3539" s="12"/>
      <c r="AH3539" s="12"/>
      <c r="AI3539" s="6"/>
      <c r="AJ3539" s="12"/>
      <c r="AK3539" s="1"/>
      <c r="AL3539" s="12"/>
      <c r="AM3539" s="12"/>
      <c r="AN3539" s="1"/>
      <c r="AO3539" s="6"/>
    </row>
    <row r="3540" spans="1:41" ht="15" x14ac:dyDescent="0.25">
      <c r="A3540" s="1"/>
      <c r="B3540" s="1"/>
      <c r="C3540" s="1"/>
      <c r="D3540" s="1"/>
      <c r="E3540" s="6"/>
      <c r="F3540" s="1"/>
      <c r="G3540" s="6"/>
      <c r="H3540" s="6"/>
      <c r="I3540" s="6"/>
      <c r="J3540" s="6"/>
      <c r="K3540" s="6"/>
      <c r="L3540" s="6"/>
      <c r="M3540" s="6"/>
      <c r="N3540" s="6"/>
      <c r="O3540" s="7"/>
      <c r="P3540" s="12"/>
      <c r="Q3540" s="6"/>
      <c r="R3540" s="7"/>
      <c r="S3540" s="6"/>
      <c r="T3540" s="6"/>
      <c r="U3540" s="7"/>
      <c r="V3540" s="6"/>
      <c r="W3540" s="6"/>
      <c r="X3540" s="12"/>
      <c r="Y3540" s="6"/>
      <c r="Z3540" s="6"/>
      <c r="AA3540" s="7"/>
      <c r="AB3540" s="6"/>
      <c r="AC3540" s="6"/>
      <c r="AD3540" s="6"/>
      <c r="AE3540" s="12"/>
      <c r="AF3540" s="12"/>
      <c r="AG3540" s="12"/>
      <c r="AH3540" s="12"/>
      <c r="AI3540" s="6"/>
      <c r="AJ3540" s="12"/>
      <c r="AK3540" s="1"/>
      <c r="AL3540" s="12"/>
      <c r="AM3540" s="12"/>
      <c r="AN3540" s="1"/>
      <c r="AO3540" s="6"/>
    </row>
    <row r="3541" spans="1:41" ht="15" x14ac:dyDescent="0.25">
      <c r="A3541" s="1"/>
      <c r="B3541" s="1"/>
      <c r="C3541" s="1"/>
      <c r="D3541" s="1"/>
      <c r="E3541" s="6"/>
      <c r="F3541" s="1"/>
      <c r="G3541" s="6"/>
      <c r="H3541" s="6"/>
      <c r="I3541" s="6"/>
      <c r="J3541" s="6"/>
      <c r="K3541" s="6"/>
      <c r="L3541" s="6"/>
      <c r="M3541" s="6"/>
      <c r="N3541" s="6"/>
      <c r="O3541" s="7"/>
      <c r="P3541" s="6"/>
      <c r="Q3541" s="6"/>
      <c r="R3541" s="7"/>
      <c r="S3541" s="6"/>
      <c r="T3541" s="6"/>
      <c r="U3541" s="7"/>
      <c r="V3541" s="6"/>
      <c r="W3541" s="6"/>
      <c r="X3541" s="6"/>
      <c r="Y3541" s="6"/>
      <c r="Z3541" s="6"/>
      <c r="AA3541" s="7"/>
      <c r="AB3541" s="6"/>
      <c r="AC3541" s="6"/>
      <c r="AD3541" s="6"/>
      <c r="AE3541" s="12"/>
      <c r="AF3541" s="6"/>
      <c r="AG3541" s="12"/>
      <c r="AH3541" s="6"/>
      <c r="AI3541" s="6"/>
      <c r="AJ3541" s="12"/>
      <c r="AK3541" s="24"/>
      <c r="AL3541" s="25"/>
      <c r="AM3541" s="12"/>
      <c r="AN3541" s="1"/>
      <c r="AO3541" s="6"/>
    </row>
    <row r="3542" spans="1:41" ht="15" x14ac:dyDescent="0.25">
      <c r="A3542" s="1"/>
      <c r="B3542" s="1"/>
      <c r="C3542" s="1"/>
      <c r="D3542" s="1"/>
      <c r="E3542" s="6"/>
      <c r="F3542" s="1"/>
      <c r="G3542" s="6"/>
      <c r="H3542" s="6"/>
      <c r="I3542" s="6"/>
      <c r="J3542" s="6"/>
      <c r="K3542" s="6"/>
      <c r="L3542" s="6"/>
      <c r="M3542" s="6"/>
      <c r="N3542" s="6"/>
      <c r="O3542" s="7"/>
      <c r="P3542" s="6"/>
      <c r="Q3542" s="6"/>
      <c r="R3542" s="7"/>
      <c r="S3542" s="6"/>
      <c r="T3542" s="6"/>
      <c r="U3542" s="7"/>
      <c r="V3542" s="6"/>
      <c r="W3542" s="6"/>
      <c r="X3542" s="6"/>
      <c r="Y3542" s="6"/>
      <c r="Z3542" s="6"/>
      <c r="AA3542" s="7"/>
      <c r="AB3542" s="6"/>
      <c r="AC3542" s="6"/>
      <c r="AD3542" s="6"/>
      <c r="AE3542" s="12"/>
      <c r="AF3542" s="12"/>
      <c r="AG3542" s="12"/>
      <c r="AH3542" s="12"/>
      <c r="AI3542" s="6"/>
      <c r="AJ3542" s="12"/>
      <c r="AK3542" s="1"/>
      <c r="AL3542" s="12"/>
      <c r="AM3542" s="12"/>
      <c r="AN3542" s="1"/>
      <c r="AO3542" s="12"/>
    </row>
    <row r="3543" spans="1:41" ht="15" x14ac:dyDescent="0.25">
      <c r="A3543" s="1"/>
      <c r="B3543" s="1"/>
      <c r="C3543" s="1"/>
      <c r="D3543" s="1"/>
      <c r="E3543" s="6"/>
      <c r="F3543" s="1"/>
      <c r="G3543" s="6"/>
      <c r="H3543" s="6"/>
      <c r="I3543" s="6"/>
      <c r="J3543" s="6"/>
      <c r="K3543" s="6"/>
      <c r="L3543" s="6"/>
      <c r="M3543" s="6"/>
      <c r="N3543" s="6"/>
      <c r="O3543" s="7"/>
      <c r="P3543" s="6"/>
      <c r="Q3543" s="6"/>
      <c r="R3543" s="7"/>
      <c r="S3543" s="6"/>
      <c r="T3543" s="6"/>
      <c r="U3543" s="7"/>
      <c r="V3543" s="6"/>
      <c r="W3543" s="6"/>
      <c r="X3543" s="6"/>
      <c r="Y3543" s="6"/>
      <c r="Z3543" s="6"/>
      <c r="AA3543" s="7"/>
      <c r="AB3543" s="6"/>
      <c r="AC3543" s="6"/>
      <c r="AD3543" s="6"/>
      <c r="AE3543" s="12"/>
      <c r="AF3543" s="12"/>
      <c r="AG3543" s="12"/>
      <c r="AH3543" s="12"/>
      <c r="AI3543" s="6"/>
      <c r="AJ3543" s="12"/>
      <c r="AK3543" s="1"/>
      <c r="AL3543" s="12"/>
      <c r="AM3543" s="12"/>
      <c r="AN3543" s="1"/>
      <c r="AO3543" s="6"/>
    </row>
    <row r="3544" spans="1:41" ht="15" x14ac:dyDescent="0.25">
      <c r="A3544" s="1"/>
      <c r="B3544" s="1"/>
      <c r="C3544" s="1"/>
      <c r="D3544" s="1"/>
      <c r="E3544" s="6"/>
      <c r="F3544" s="1"/>
      <c r="G3544" s="6"/>
      <c r="H3544" s="6"/>
      <c r="I3544" s="6"/>
      <c r="J3544" s="6"/>
      <c r="K3544" s="6"/>
      <c r="L3544" s="6"/>
      <c r="M3544" s="6"/>
      <c r="N3544" s="6"/>
      <c r="O3544" s="7"/>
      <c r="P3544" s="6"/>
      <c r="Q3544" s="6"/>
      <c r="R3544" s="7"/>
      <c r="S3544" s="6"/>
      <c r="T3544" s="6"/>
      <c r="U3544" s="7"/>
      <c r="V3544" s="6"/>
      <c r="W3544" s="6"/>
      <c r="X3544" s="6"/>
      <c r="Y3544" s="6"/>
      <c r="Z3544" s="6"/>
      <c r="AA3544" s="7"/>
      <c r="AB3544" s="6"/>
      <c r="AC3544" s="6"/>
      <c r="AD3544" s="6"/>
      <c r="AE3544" s="12"/>
      <c r="AF3544" s="6"/>
      <c r="AG3544" s="12"/>
      <c r="AH3544" s="6"/>
      <c r="AI3544" s="6"/>
      <c r="AJ3544" s="12"/>
      <c r="AK3544" s="24"/>
      <c r="AL3544" s="25"/>
      <c r="AM3544" s="12"/>
      <c r="AN3544" s="1"/>
      <c r="AO3544" s="6"/>
    </row>
    <row r="3545" spans="1:41" ht="15" x14ac:dyDescent="0.25">
      <c r="A3545" s="1"/>
      <c r="B3545" s="1"/>
      <c r="C3545" s="1"/>
      <c r="D3545" s="1"/>
      <c r="E3545" s="6"/>
      <c r="F3545" s="1"/>
      <c r="G3545" s="6"/>
      <c r="H3545" s="6"/>
      <c r="I3545" s="6"/>
      <c r="J3545" s="6"/>
      <c r="K3545" s="6"/>
      <c r="L3545" s="6"/>
      <c r="M3545" s="6"/>
      <c r="N3545" s="6"/>
      <c r="O3545" s="7"/>
      <c r="P3545" s="6"/>
      <c r="Q3545" s="6"/>
      <c r="R3545" s="7"/>
      <c r="S3545" s="6"/>
      <c r="T3545" s="6"/>
      <c r="U3545" s="7"/>
      <c r="V3545" s="6"/>
      <c r="W3545" s="6"/>
      <c r="X3545" s="12"/>
      <c r="Y3545" s="6"/>
      <c r="Z3545" s="6"/>
      <c r="AA3545" s="7"/>
      <c r="AB3545" s="6"/>
      <c r="AC3545" s="6"/>
      <c r="AD3545" s="6"/>
      <c r="AE3545" s="12"/>
      <c r="AF3545" s="6"/>
      <c r="AG3545" s="12"/>
      <c r="AH3545" s="6"/>
      <c r="AI3545" s="6"/>
      <c r="AJ3545" s="12"/>
      <c r="AK3545" s="24"/>
      <c r="AL3545" s="25"/>
      <c r="AM3545" s="12"/>
      <c r="AN3545" s="1"/>
      <c r="AO3545" s="6"/>
    </row>
    <row r="3546" spans="1:41" ht="15" x14ac:dyDescent="0.25">
      <c r="A3546" s="1"/>
      <c r="B3546" s="1"/>
      <c r="C3546" s="1"/>
      <c r="D3546" s="1"/>
      <c r="E3546" s="6"/>
      <c r="F3546" s="1"/>
      <c r="G3546" s="6"/>
      <c r="H3546" s="6"/>
      <c r="I3546" s="6"/>
      <c r="J3546" s="6"/>
      <c r="K3546" s="6"/>
      <c r="L3546" s="6"/>
      <c r="M3546" s="6"/>
      <c r="N3546" s="6"/>
      <c r="O3546" s="7"/>
      <c r="P3546" s="12"/>
      <c r="Q3546" s="6"/>
      <c r="R3546" s="7"/>
      <c r="S3546" s="6"/>
      <c r="T3546" s="6"/>
      <c r="U3546" s="7"/>
      <c r="V3546" s="6"/>
      <c r="W3546" s="6"/>
      <c r="X3546" s="6"/>
      <c r="Y3546" s="6"/>
      <c r="Z3546" s="6"/>
      <c r="AA3546" s="7"/>
      <c r="AB3546" s="6"/>
      <c r="AC3546" s="6"/>
      <c r="AD3546" s="6"/>
      <c r="AE3546" s="12"/>
      <c r="AF3546" s="12"/>
      <c r="AG3546" s="12"/>
      <c r="AH3546" s="12"/>
      <c r="AI3546" s="6"/>
      <c r="AJ3546" s="12"/>
      <c r="AK3546" s="1"/>
      <c r="AL3546" s="12"/>
      <c r="AM3546" s="12"/>
      <c r="AN3546" s="1"/>
      <c r="AO3546" s="6"/>
    </row>
    <row r="3547" spans="1:41" ht="15" x14ac:dyDescent="0.25">
      <c r="A3547" s="1"/>
      <c r="B3547" s="1"/>
      <c r="C3547" s="1"/>
      <c r="D3547" s="1"/>
      <c r="E3547" s="6"/>
      <c r="F3547" s="1"/>
      <c r="G3547" s="6"/>
      <c r="H3547" s="6"/>
      <c r="I3547" s="6"/>
      <c r="J3547" s="6"/>
      <c r="K3547" s="12"/>
      <c r="L3547" s="12"/>
      <c r="M3547" s="6"/>
      <c r="N3547" s="6"/>
      <c r="O3547" s="7"/>
      <c r="P3547" s="6"/>
      <c r="Q3547" s="6"/>
      <c r="R3547" s="7"/>
      <c r="S3547" s="6"/>
      <c r="T3547" s="6"/>
      <c r="U3547" s="7"/>
      <c r="V3547" s="6"/>
      <c r="W3547" s="6"/>
      <c r="X3547" s="6"/>
      <c r="Y3547" s="6"/>
      <c r="Z3547" s="6"/>
      <c r="AA3547" s="7"/>
      <c r="AB3547" s="6"/>
      <c r="AC3547" s="6"/>
      <c r="AD3547" s="6"/>
      <c r="AE3547" s="12"/>
      <c r="AF3547" s="12"/>
      <c r="AG3547" s="12"/>
      <c r="AH3547" s="12"/>
      <c r="AI3547" s="6"/>
      <c r="AJ3547" s="12"/>
      <c r="AK3547" s="1"/>
      <c r="AL3547" s="12"/>
      <c r="AM3547" s="12"/>
      <c r="AN3547" s="1"/>
      <c r="AO3547" s="6"/>
    </row>
    <row r="3548" spans="1:41" ht="15" x14ac:dyDescent="0.25">
      <c r="A3548" s="1"/>
      <c r="B3548" s="1"/>
      <c r="C3548" s="1"/>
      <c r="D3548" s="1"/>
      <c r="E3548" s="6"/>
      <c r="F3548" s="1"/>
      <c r="G3548" s="6"/>
      <c r="H3548" s="6"/>
      <c r="I3548" s="6"/>
      <c r="J3548" s="6"/>
      <c r="K3548" s="6"/>
      <c r="L3548" s="6"/>
      <c r="M3548" s="6"/>
      <c r="N3548" s="6"/>
      <c r="O3548" s="7"/>
      <c r="P3548" s="6"/>
      <c r="Q3548" s="6"/>
      <c r="R3548" s="7"/>
      <c r="S3548" s="6"/>
      <c r="T3548" s="6"/>
      <c r="U3548" s="7"/>
      <c r="V3548" s="6"/>
      <c r="W3548" s="6"/>
      <c r="X3548" s="6"/>
      <c r="Y3548" s="6"/>
      <c r="Z3548" s="6"/>
      <c r="AA3548" s="7"/>
      <c r="AB3548" s="6"/>
      <c r="AC3548" s="6"/>
      <c r="AD3548" s="6"/>
      <c r="AE3548" s="12"/>
      <c r="AF3548" s="12"/>
      <c r="AG3548" s="12"/>
      <c r="AH3548" s="12"/>
      <c r="AI3548" s="6"/>
      <c r="AJ3548" s="12"/>
      <c r="AK3548" s="1"/>
      <c r="AL3548" s="12"/>
      <c r="AM3548" s="12"/>
      <c r="AN3548" s="1"/>
      <c r="AO3548" s="6"/>
    </row>
    <row r="3549" spans="1:41" ht="15" x14ac:dyDescent="0.25">
      <c r="A3549" s="1"/>
      <c r="B3549" s="1"/>
      <c r="C3549" s="1"/>
      <c r="D3549" s="1"/>
      <c r="E3549" s="6"/>
      <c r="F3549" s="1"/>
      <c r="G3549" s="6"/>
      <c r="H3549" s="6"/>
      <c r="I3549" s="6"/>
      <c r="J3549" s="6"/>
      <c r="K3549" s="6"/>
      <c r="L3549" s="6"/>
      <c r="M3549" s="6"/>
      <c r="N3549" s="6"/>
      <c r="O3549" s="7"/>
      <c r="P3549" s="6"/>
      <c r="Q3549" s="6"/>
      <c r="R3549" s="7"/>
      <c r="S3549" s="6"/>
      <c r="T3549" s="6"/>
      <c r="U3549" s="7"/>
      <c r="V3549" s="6"/>
      <c r="W3549" s="6"/>
      <c r="X3549" s="6"/>
      <c r="Y3549" s="6"/>
      <c r="Z3549" s="6"/>
      <c r="AA3549" s="7"/>
      <c r="AB3549" s="6"/>
      <c r="AC3549" s="6"/>
      <c r="AD3549" s="6"/>
      <c r="AE3549" s="12"/>
      <c r="AF3549" s="12"/>
      <c r="AG3549" s="12"/>
      <c r="AH3549" s="12"/>
      <c r="AI3549" s="6"/>
      <c r="AJ3549" s="12"/>
      <c r="AK3549" s="1"/>
      <c r="AL3549" s="12"/>
      <c r="AM3549" s="12"/>
      <c r="AN3549" s="1"/>
      <c r="AO3549" s="6"/>
    </row>
    <row r="3550" spans="1:41" ht="15" x14ac:dyDescent="0.25">
      <c r="A3550" s="1"/>
      <c r="B3550" s="1"/>
      <c r="C3550" s="1"/>
      <c r="D3550" s="1"/>
      <c r="E3550" s="6"/>
      <c r="F3550" s="1"/>
      <c r="G3550" s="6"/>
      <c r="H3550" s="6"/>
      <c r="I3550" s="6"/>
      <c r="J3550" s="6"/>
      <c r="K3550" s="6"/>
      <c r="L3550" s="6"/>
      <c r="M3550" s="6"/>
      <c r="N3550" s="6"/>
      <c r="O3550" s="7"/>
      <c r="P3550" s="6"/>
      <c r="Q3550" s="6"/>
      <c r="R3550" s="7"/>
      <c r="S3550" s="6"/>
      <c r="T3550" s="6"/>
      <c r="U3550" s="7"/>
      <c r="V3550" s="6"/>
      <c r="W3550" s="6"/>
      <c r="X3550" s="6"/>
      <c r="Y3550" s="6"/>
      <c r="Z3550" s="6"/>
      <c r="AA3550" s="7"/>
      <c r="AB3550" s="6"/>
      <c r="AC3550" s="6"/>
      <c r="AD3550" s="6"/>
      <c r="AE3550" s="12"/>
      <c r="AF3550" s="12"/>
      <c r="AG3550" s="12"/>
      <c r="AH3550" s="12"/>
      <c r="AI3550" s="6"/>
      <c r="AJ3550" s="12"/>
      <c r="AK3550" s="1"/>
      <c r="AL3550" s="12"/>
      <c r="AM3550" s="12"/>
      <c r="AN3550" s="1"/>
      <c r="AO3550" s="6"/>
    </row>
    <row r="3551" spans="1:41" ht="15" x14ac:dyDescent="0.25">
      <c r="A3551" s="1"/>
      <c r="B3551" s="1"/>
      <c r="C3551" s="1"/>
      <c r="D3551" s="1"/>
      <c r="E3551" s="6"/>
      <c r="F3551" s="1"/>
      <c r="G3551" s="6"/>
      <c r="H3551" s="6"/>
      <c r="I3551" s="6"/>
      <c r="J3551" s="6"/>
      <c r="K3551" s="6"/>
      <c r="L3551" s="6"/>
      <c r="M3551" s="6"/>
      <c r="N3551" s="6"/>
      <c r="O3551" s="7"/>
      <c r="P3551" s="6"/>
      <c r="Q3551" s="6"/>
      <c r="R3551" s="7"/>
      <c r="S3551" s="6"/>
      <c r="T3551" s="6"/>
      <c r="U3551" s="7"/>
      <c r="V3551" s="6"/>
      <c r="W3551" s="6"/>
      <c r="X3551" s="12"/>
      <c r="Y3551" s="6"/>
      <c r="Z3551" s="6"/>
      <c r="AA3551" s="7"/>
      <c r="AB3551" s="6"/>
      <c r="AC3551" s="6"/>
      <c r="AD3551" s="6"/>
      <c r="AE3551" s="12"/>
      <c r="AF3551" s="12"/>
      <c r="AG3551" s="12"/>
      <c r="AH3551" s="12"/>
      <c r="AI3551" s="6"/>
      <c r="AJ3551" s="12"/>
      <c r="AK3551" s="24"/>
      <c r="AL3551" s="25"/>
      <c r="AM3551" s="12"/>
      <c r="AN3551" s="1"/>
      <c r="AO3551" s="6"/>
    </row>
    <row r="3552" spans="1:41" ht="15" x14ac:dyDescent="0.25">
      <c r="A3552" s="1"/>
      <c r="B3552" s="1"/>
      <c r="C3552" s="1"/>
      <c r="D3552" s="1"/>
      <c r="E3552" s="6"/>
      <c r="F3552" s="1"/>
      <c r="G3552" s="6"/>
      <c r="H3552" s="6"/>
      <c r="I3552" s="6"/>
      <c r="J3552" s="6"/>
      <c r="K3552" s="6"/>
      <c r="L3552" s="6"/>
      <c r="M3552" s="6"/>
      <c r="N3552" s="6"/>
      <c r="O3552" s="7"/>
      <c r="P3552" s="6"/>
      <c r="Q3552" s="6"/>
      <c r="R3552" s="7"/>
      <c r="S3552" s="6"/>
      <c r="T3552" s="6"/>
      <c r="U3552" s="7"/>
      <c r="V3552" s="6"/>
      <c r="W3552" s="6"/>
      <c r="X3552" s="6"/>
      <c r="Y3552" s="6"/>
      <c r="Z3552" s="6"/>
      <c r="AA3552" s="7"/>
      <c r="AB3552" s="6"/>
      <c r="AC3552" s="6"/>
      <c r="AD3552" s="6"/>
      <c r="AE3552" s="12"/>
      <c r="AF3552" s="12"/>
      <c r="AG3552" s="12"/>
      <c r="AH3552" s="12"/>
      <c r="AI3552" s="6"/>
      <c r="AJ3552" s="12"/>
      <c r="AK3552" s="1"/>
      <c r="AL3552" s="12"/>
      <c r="AM3552" s="12"/>
      <c r="AN3552" s="1"/>
      <c r="AO3552" s="6"/>
    </row>
    <row r="3553" spans="1:41" ht="15" x14ac:dyDescent="0.25">
      <c r="A3553" s="1"/>
      <c r="B3553" s="1"/>
      <c r="C3553" s="1"/>
      <c r="D3553" s="1"/>
      <c r="E3553" s="6"/>
      <c r="F3553" s="1"/>
      <c r="G3553" s="6"/>
      <c r="H3553" s="6"/>
      <c r="I3553" s="6"/>
      <c r="J3553" s="6"/>
      <c r="K3553" s="12"/>
      <c r="L3553" s="12"/>
      <c r="M3553" s="6"/>
      <c r="N3553" s="6"/>
      <c r="O3553" s="7"/>
      <c r="P3553" s="6"/>
      <c r="Q3553" s="6"/>
      <c r="R3553" s="7"/>
      <c r="S3553" s="6"/>
      <c r="T3553" s="6"/>
      <c r="U3553" s="7"/>
      <c r="V3553" s="6"/>
      <c r="W3553" s="6"/>
      <c r="X3553" s="6"/>
      <c r="Y3553" s="6"/>
      <c r="Z3553" s="6"/>
      <c r="AA3553" s="7"/>
      <c r="AB3553" s="6"/>
      <c r="AC3553" s="6"/>
      <c r="AD3553" s="6"/>
      <c r="AE3553" s="12"/>
      <c r="AF3553" s="12"/>
      <c r="AG3553" s="12"/>
      <c r="AH3553" s="12"/>
      <c r="AI3553" s="6"/>
      <c r="AJ3553" s="12"/>
      <c r="AK3553" s="1"/>
      <c r="AL3553" s="12"/>
      <c r="AM3553" s="12"/>
      <c r="AN3553" s="1"/>
      <c r="AO3553" s="12"/>
    </row>
    <row r="3554" spans="1:41" ht="15" x14ac:dyDescent="0.25">
      <c r="A3554" s="1"/>
      <c r="B3554" s="1"/>
      <c r="C3554" s="1"/>
      <c r="D3554" s="1"/>
      <c r="E3554" s="6"/>
      <c r="F3554" s="1"/>
      <c r="G3554" s="6"/>
      <c r="H3554" s="6"/>
      <c r="I3554" s="6"/>
      <c r="J3554" s="6"/>
      <c r="K3554" s="12"/>
      <c r="L3554" s="12"/>
      <c r="M3554" s="6"/>
      <c r="N3554" s="6"/>
      <c r="O3554" s="7"/>
      <c r="P3554" s="6"/>
      <c r="Q3554" s="6"/>
      <c r="R3554" s="7"/>
      <c r="S3554" s="6"/>
      <c r="T3554" s="6"/>
      <c r="U3554" s="7"/>
      <c r="V3554" s="6"/>
      <c r="W3554" s="6"/>
      <c r="X3554" s="6"/>
      <c r="Y3554" s="6"/>
      <c r="Z3554" s="6"/>
      <c r="AA3554" s="7"/>
      <c r="AB3554" s="6"/>
      <c r="AC3554" s="6"/>
      <c r="AD3554" s="6"/>
      <c r="AE3554" s="12"/>
      <c r="AF3554" s="12"/>
      <c r="AG3554" s="12"/>
      <c r="AH3554" s="12"/>
      <c r="AI3554" s="6"/>
      <c r="AJ3554" s="12"/>
      <c r="AK3554" s="1"/>
      <c r="AL3554" s="12"/>
      <c r="AM3554" s="12"/>
      <c r="AN3554" s="1"/>
      <c r="AO3554" s="6"/>
    </row>
    <row r="3555" spans="1:41" ht="15" x14ac:dyDescent="0.25">
      <c r="A3555" s="1"/>
      <c r="B3555" s="1"/>
      <c r="C3555" s="1"/>
      <c r="D3555" s="1"/>
      <c r="E3555" s="6"/>
      <c r="F3555" s="1"/>
      <c r="G3555" s="6"/>
      <c r="H3555" s="6"/>
      <c r="I3555" s="6"/>
      <c r="J3555" s="6"/>
      <c r="K3555" s="6"/>
      <c r="L3555" s="6"/>
      <c r="M3555" s="6"/>
      <c r="N3555" s="6"/>
      <c r="O3555" s="7"/>
      <c r="P3555" s="6"/>
      <c r="Q3555" s="6"/>
      <c r="R3555" s="7"/>
      <c r="S3555" s="6"/>
      <c r="T3555" s="6"/>
      <c r="U3555" s="7"/>
      <c r="V3555" s="6"/>
      <c r="W3555" s="6"/>
      <c r="X3555" s="12"/>
      <c r="Y3555" s="6"/>
      <c r="Z3555" s="6"/>
      <c r="AA3555" s="7"/>
      <c r="AB3555" s="6"/>
      <c r="AC3555" s="6"/>
      <c r="AD3555" s="6"/>
      <c r="AE3555" s="12"/>
      <c r="AF3555" s="12"/>
      <c r="AG3555" s="12"/>
      <c r="AH3555" s="12"/>
      <c r="AI3555" s="6"/>
      <c r="AJ3555" s="12"/>
      <c r="AK3555" s="1"/>
      <c r="AL3555" s="12"/>
      <c r="AM3555" s="12"/>
      <c r="AN3555" s="1"/>
      <c r="AO3555" s="6"/>
    </row>
    <row r="3556" spans="1:41" ht="15" x14ac:dyDescent="0.25">
      <c r="A3556" s="1"/>
      <c r="B3556" s="1"/>
      <c r="C3556" s="1"/>
      <c r="D3556" s="1"/>
      <c r="E3556" s="6"/>
      <c r="F3556" s="1"/>
      <c r="G3556" s="6"/>
      <c r="H3556" s="6"/>
      <c r="I3556" s="6"/>
      <c r="J3556" s="6"/>
      <c r="K3556" s="6"/>
      <c r="L3556" s="6"/>
      <c r="M3556" s="6"/>
      <c r="N3556" s="6"/>
      <c r="O3556" s="7"/>
      <c r="P3556" s="6"/>
      <c r="Q3556" s="6"/>
      <c r="R3556" s="7"/>
      <c r="S3556" s="6"/>
      <c r="T3556" s="6"/>
      <c r="U3556" s="7"/>
      <c r="V3556" s="6"/>
      <c r="W3556" s="6"/>
      <c r="X3556" s="6"/>
      <c r="Y3556" s="6"/>
      <c r="Z3556" s="6"/>
      <c r="AA3556" s="7"/>
      <c r="AB3556" s="6"/>
      <c r="AC3556" s="6"/>
      <c r="AD3556" s="6"/>
      <c r="AE3556" s="12"/>
      <c r="AF3556" s="12"/>
      <c r="AG3556" s="12"/>
      <c r="AH3556" s="12"/>
      <c r="AI3556" s="6"/>
      <c r="AJ3556" s="12"/>
      <c r="AK3556" s="1"/>
      <c r="AL3556" s="12"/>
      <c r="AM3556" s="12"/>
      <c r="AN3556" s="1"/>
      <c r="AO3556" s="6"/>
    </row>
    <row r="3557" spans="1:41" ht="15" x14ac:dyDescent="0.25">
      <c r="A3557" s="1"/>
      <c r="B3557" s="1"/>
      <c r="C3557" s="1"/>
      <c r="D3557" s="1"/>
      <c r="E3557" s="6"/>
      <c r="F3557" s="1"/>
      <c r="G3557" s="6"/>
      <c r="H3557" s="6"/>
      <c r="I3557" s="6"/>
      <c r="J3557" s="6"/>
      <c r="K3557" s="12"/>
      <c r="L3557" s="12"/>
      <c r="M3557" s="6"/>
      <c r="N3557" s="6"/>
      <c r="O3557" s="7"/>
      <c r="P3557" s="6"/>
      <c r="Q3557" s="6"/>
      <c r="R3557" s="7"/>
      <c r="S3557" s="6"/>
      <c r="T3557" s="6"/>
      <c r="U3557" s="7"/>
      <c r="V3557" s="6"/>
      <c r="W3557" s="6"/>
      <c r="X3557" s="12"/>
      <c r="Y3557" s="6"/>
      <c r="Z3557" s="6"/>
      <c r="AA3557" s="7"/>
      <c r="AB3557" s="6"/>
      <c r="AC3557" s="6"/>
      <c r="AD3557" s="6"/>
      <c r="AE3557" s="12"/>
      <c r="AF3557" s="12"/>
      <c r="AG3557" s="12"/>
      <c r="AH3557" s="12"/>
      <c r="AI3557" s="6"/>
      <c r="AJ3557" s="12"/>
      <c r="AK3557" s="24"/>
      <c r="AL3557" s="25"/>
      <c r="AM3557" s="12"/>
      <c r="AN3557" s="1"/>
      <c r="AO3557" s="6"/>
    </row>
    <row r="3558" spans="1:41" ht="15" x14ac:dyDescent="0.25">
      <c r="A3558" s="1"/>
      <c r="B3558" s="1"/>
      <c r="C3558" s="1"/>
      <c r="D3558" s="1"/>
      <c r="E3558" s="6"/>
      <c r="F3558" s="1"/>
      <c r="G3558" s="6"/>
      <c r="H3558" s="6"/>
      <c r="I3558" s="6"/>
      <c r="J3558" s="6"/>
      <c r="K3558" s="6"/>
      <c r="L3558" s="6"/>
      <c r="M3558" s="6"/>
      <c r="N3558" s="6"/>
      <c r="O3558" s="7"/>
      <c r="P3558" s="6"/>
      <c r="Q3558" s="6"/>
      <c r="R3558" s="7"/>
      <c r="S3558" s="6"/>
      <c r="T3558" s="6"/>
      <c r="U3558" s="7"/>
      <c r="V3558" s="6"/>
      <c r="W3558" s="6"/>
      <c r="X3558" s="12"/>
      <c r="Y3558" s="6"/>
      <c r="Z3558" s="6"/>
      <c r="AA3558" s="7"/>
      <c r="AB3558" s="6"/>
      <c r="AC3558" s="6"/>
      <c r="AD3558" s="6"/>
      <c r="AE3558" s="12"/>
      <c r="AF3558" s="6"/>
      <c r="AG3558" s="12"/>
      <c r="AH3558" s="6"/>
      <c r="AI3558" s="6"/>
      <c r="AJ3558" s="12"/>
      <c r="AK3558" s="24"/>
      <c r="AL3558" s="25"/>
      <c r="AM3558" s="12"/>
      <c r="AN3558" s="1"/>
      <c r="AO3558" s="6"/>
    </row>
    <row r="3559" spans="1:41" ht="15" x14ac:dyDescent="0.25">
      <c r="A3559" s="1"/>
      <c r="B3559" s="1"/>
      <c r="C3559" s="1"/>
      <c r="D3559" s="1"/>
      <c r="E3559" s="6"/>
      <c r="F3559" s="1"/>
      <c r="G3559" s="6"/>
      <c r="H3559" s="6"/>
      <c r="I3559" s="6"/>
      <c r="J3559" s="6"/>
      <c r="K3559" s="6"/>
      <c r="L3559" s="6"/>
      <c r="M3559" s="6"/>
      <c r="N3559" s="6"/>
      <c r="O3559" s="7"/>
      <c r="P3559" s="6"/>
      <c r="Q3559" s="6"/>
      <c r="R3559" s="7"/>
      <c r="S3559" s="6"/>
      <c r="T3559" s="6"/>
      <c r="U3559" s="7"/>
      <c r="V3559" s="6"/>
      <c r="W3559" s="6"/>
      <c r="X3559" s="6"/>
      <c r="Y3559" s="6"/>
      <c r="Z3559" s="6"/>
      <c r="AA3559" s="7"/>
      <c r="AB3559" s="6"/>
      <c r="AC3559" s="6"/>
      <c r="AD3559" s="6"/>
      <c r="AE3559" s="12"/>
      <c r="AF3559" s="12"/>
      <c r="AG3559" s="12"/>
      <c r="AH3559" s="12"/>
      <c r="AI3559" s="6"/>
      <c r="AJ3559" s="12"/>
      <c r="AK3559" s="1"/>
      <c r="AL3559" s="12"/>
      <c r="AM3559" s="12"/>
      <c r="AN3559" s="1"/>
      <c r="AO3559" s="6"/>
    </row>
    <row r="3560" spans="1:41" ht="15" x14ac:dyDescent="0.25">
      <c r="A3560" s="1"/>
      <c r="B3560" s="1"/>
      <c r="C3560" s="1"/>
      <c r="D3560" s="1"/>
      <c r="E3560" s="6"/>
      <c r="F3560" s="1"/>
      <c r="G3560" s="6"/>
      <c r="H3560" s="6"/>
      <c r="I3560" s="6"/>
      <c r="J3560" s="6"/>
      <c r="K3560" s="6"/>
      <c r="L3560" s="6"/>
      <c r="M3560" s="6"/>
      <c r="N3560" s="6"/>
      <c r="O3560" s="7"/>
      <c r="P3560" s="12"/>
      <c r="Q3560" s="6"/>
      <c r="R3560" s="7"/>
      <c r="S3560" s="6"/>
      <c r="T3560" s="6"/>
      <c r="U3560" s="7"/>
      <c r="V3560" s="6"/>
      <c r="W3560" s="6"/>
      <c r="X3560" s="12"/>
      <c r="Y3560" s="6"/>
      <c r="Z3560" s="6"/>
      <c r="AA3560" s="7"/>
      <c r="AB3560" s="6"/>
      <c r="AC3560" s="6"/>
      <c r="AD3560" s="6"/>
      <c r="AE3560" s="12"/>
      <c r="AF3560" s="12"/>
      <c r="AG3560" s="12"/>
      <c r="AH3560" s="12"/>
      <c r="AI3560" s="6"/>
      <c r="AJ3560" s="12"/>
      <c r="AK3560" s="1"/>
      <c r="AL3560" s="12"/>
      <c r="AM3560" s="12"/>
      <c r="AN3560" s="1"/>
      <c r="AO3560" s="6"/>
    </row>
    <row r="3561" spans="1:41" ht="15" x14ac:dyDescent="0.25">
      <c r="A3561" s="1"/>
      <c r="B3561" s="1"/>
      <c r="C3561" s="1"/>
      <c r="D3561" s="1"/>
      <c r="E3561" s="6"/>
      <c r="F3561" s="1"/>
      <c r="G3561" s="6"/>
      <c r="H3561" s="6"/>
      <c r="I3561" s="6"/>
      <c r="J3561" s="6"/>
      <c r="K3561" s="6"/>
      <c r="L3561" s="6"/>
      <c r="M3561" s="6"/>
      <c r="N3561" s="6"/>
      <c r="O3561" s="7"/>
      <c r="P3561" s="6"/>
      <c r="Q3561" s="6"/>
      <c r="R3561" s="7"/>
      <c r="S3561" s="6"/>
      <c r="T3561" s="6"/>
      <c r="U3561" s="7"/>
      <c r="V3561" s="6"/>
      <c r="W3561" s="6"/>
      <c r="X3561" s="6"/>
      <c r="Y3561" s="6"/>
      <c r="Z3561" s="6"/>
      <c r="AA3561" s="7"/>
      <c r="AB3561" s="6"/>
      <c r="AC3561" s="6"/>
      <c r="AD3561" s="6"/>
      <c r="AE3561" s="12"/>
      <c r="AF3561" s="6"/>
      <c r="AG3561" s="12"/>
      <c r="AH3561" s="6"/>
      <c r="AI3561" s="6"/>
      <c r="AJ3561" s="12"/>
      <c r="AK3561" s="24"/>
      <c r="AL3561" s="25"/>
      <c r="AM3561" s="12"/>
      <c r="AN3561" s="1"/>
      <c r="AO3561" s="6"/>
    </row>
    <row r="3562" spans="1:41" ht="15" x14ac:dyDescent="0.25">
      <c r="A3562" s="1"/>
      <c r="B3562" s="1"/>
      <c r="C3562" s="1"/>
      <c r="D3562" s="1"/>
      <c r="E3562" s="6"/>
      <c r="F3562" s="1"/>
      <c r="G3562" s="6"/>
      <c r="H3562" s="6"/>
      <c r="I3562" s="6"/>
      <c r="J3562" s="6"/>
      <c r="K3562" s="12"/>
      <c r="L3562" s="12"/>
      <c r="M3562" s="6"/>
      <c r="N3562" s="6"/>
      <c r="O3562" s="7"/>
      <c r="P3562" s="6"/>
      <c r="Q3562" s="6"/>
      <c r="R3562" s="7"/>
      <c r="S3562" s="6"/>
      <c r="T3562" s="6"/>
      <c r="U3562" s="7"/>
      <c r="V3562" s="6"/>
      <c r="W3562" s="6"/>
      <c r="X3562" s="6"/>
      <c r="Y3562" s="6"/>
      <c r="Z3562" s="6"/>
      <c r="AA3562" s="7"/>
      <c r="AB3562" s="6"/>
      <c r="AC3562" s="6"/>
      <c r="AD3562" s="6"/>
      <c r="AE3562" s="12"/>
      <c r="AF3562" s="12"/>
      <c r="AG3562" s="12"/>
      <c r="AH3562" s="12"/>
      <c r="AI3562" s="6"/>
      <c r="AJ3562" s="12"/>
      <c r="AK3562" s="1"/>
      <c r="AL3562" s="12"/>
      <c r="AM3562" s="12"/>
      <c r="AN3562" s="1"/>
      <c r="AO3562" s="6"/>
    </row>
    <row r="3563" spans="1:41" ht="15" x14ac:dyDescent="0.25">
      <c r="A3563" s="1"/>
      <c r="B3563" s="1"/>
      <c r="C3563" s="1"/>
      <c r="D3563" s="1"/>
      <c r="E3563" s="6"/>
      <c r="F3563" s="1"/>
      <c r="G3563" s="6"/>
      <c r="H3563" s="6"/>
      <c r="I3563" s="6"/>
      <c r="J3563" s="6"/>
      <c r="K3563" s="6"/>
      <c r="L3563" s="6"/>
      <c r="M3563" s="6"/>
      <c r="N3563" s="6"/>
      <c r="O3563" s="15"/>
      <c r="P3563" s="6"/>
      <c r="Q3563" s="6"/>
      <c r="R3563" s="7"/>
      <c r="S3563" s="6"/>
      <c r="T3563" s="6"/>
      <c r="U3563" s="7"/>
      <c r="V3563" s="6"/>
      <c r="W3563" s="6"/>
      <c r="X3563" s="6"/>
      <c r="Y3563" s="6"/>
      <c r="Z3563" s="6"/>
      <c r="AA3563" s="7"/>
      <c r="AB3563" s="6"/>
      <c r="AC3563" s="6"/>
      <c r="AD3563" s="6"/>
      <c r="AE3563" s="12"/>
      <c r="AF3563" s="12"/>
      <c r="AG3563" s="12"/>
      <c r="AH3563" s="12"/>
      <c r="AI3563" s="6"/>
      <c r="AJ3563" s="12"/>
      <c r="AK3563" s="1"/>
      <c r="AL3563" s="12"/>
      <c r="AM3563" s="12"/>
      <c r="AN3563" s="1"/>
      <c r="AO3563" s="6"/>
    </row>
    <row r="3564" spans="1:41" ht="15" x14ac:dyDescent="0.25">
      <c r="A3564" s="1"/>
      <c r="B3564" s="1"/>
      <c r="C3564" s="1"/>
      <c r="D3564" s="1"/>
      <c r="E3564" s="6"/>
      <c r="F3564" s="1"/>
      <c r="G3564" s="6"/>
      <c r="H3564" s="6"/>
      <c r="I3564" s="6"/>
      <c r="J3564" s="6"/>
      <c r="K3564" s="6"/>
      <c r="L3564" s="6"/>
      <c r="M3564" s="6"/>
      <c r="N3564" s="6"/>
      <c r="O3564" s="7"/>
      <c r="P3564" s="6"/>
      <c r="Q3564" s="6"/>
      <c r="R3564" s="7"/>
      <c r="S3564" s="6"/>
      <c r="T3564" s="6"/>
      <c r="U3564" s="7"/>
      <c r="V3564" s="6"/>
      <c r="W3564" s="6"/>
      <c r="X3564" s="12"/>
      <c r="Y3564" s="6"/>
      <c r="Z3564" s="6"/>
      <c r="AA3564" s="7"/>
      <c r="AB3564" s="6"/>
      <c r="AC3564" s="6"/>
      <c r="AD3564" s="6"/>
      <c r="AE3564" s="12"/>
      <c r="AF3564" s="6"/>
      <c r="AG3564" s="12"/>
      <c r="AH3564" s="6"/>
      <c r="AI3564" s="6"/>
      <c r="AJ3564" s="12"/>
      <c r="AK3564" s="1"/>
      <c r="AL3564" s="12"/>
      <c r="AM3564" s="12"/>
      <c r="AN3564" s="1"/>
      <c r="AO3564" s="6"/>
    </row>
    <row r="3565" spans="1:41" ht="15" x14ac:dyDescent="0.25">
      <c r="A3565" s="1"/>
      <c r="B3565" s="1"/>
      <c r="C3565" s="1"/>
      <c r="D3565" s="1"/>
      <c r="E3565" s="6"/>
      <c r="F3565" s="1"/>
      <c r="G3565" s="6"/>
      <c r="H3565" s="6"/>
      <c r="I3565" s="6"/>
      <c r="J3565" s="6"/>
      <c r="K3565" s="6"/>
      <c r="L3565" s="6"/>
      <c r="M3565" s="6"/>
      <c r="N3565" s="6"/>
      <c r="O3565" s="7"/>
      <c r="P3565" s="6"/>
      <c r="Q3565" s="6"/>
      <c r="R3565" s="7"/>
      <c r="S3565" s="6"/>
      <c r="T3565" s="6"/>
      <c r="U3565" s="7"/>
      <c r="V3565" s="6"/>
      <c r="W3565" s="6"/>
      <c r="X3565" s="12"/>
      <c r="Y3565" s="6"/>
      <c r="Z3565" s="6"/>
      <c r="AA3565" s="7"/>
      <c r="AB3565" s="6"/>
      <c r="AC3565" s="6"/>
      <c r="AD3565" s="6"/>
      <c r="AE3565" s="12"/>
      <c r="AF3565" s="6"/>
      <c r="AG3565" s="12"/>
      <c r="AH3565" s="6"/>
      <c r="AI3565" s="6"/>
      <c r="AJ3565" s="12"/>
      <c r="AK3565" s="1"/>
      <c r="AL3565" s="12"/>
      <c r="AM3565" s="12"/>
      <c r="AN3565" s="1"/>
      <c r="AO3565" s="6"/>
    </row>
    <row r="3566" spans="1:41" ht="15" x14ac:dyDescent="0.25">
      <c r="A3566" s="1"/>
      <c r="B3566" s="1"/>
      <c r="C3566" s="1"/>
      <c r="D3566" s="1"/>
      <c r="E3566" s="6"/>
      <c r="F3566" s="1"/>
      <c r="G3566" s="6"/>
      <c r="H3566" s="6"/>
      <c r="I3566" s="6"/>
      <c r="J3566" s="6"/>
      <c r="K3566" s="6"/>
      <c r="L3566" s="6"/>
      <c r="M3566" s="6"/>
      <c r="N3566" s="6"/>
      <c r="O3566" s="7"/>
      <c r="P3566" s="6"/>
      <c r="Q3566" s="6"/>
      <c r="R3566" s="7"/>
      <c r="S3566" s="6"/>
      <c r="T3566" s="6"/>
      <c r="U3566" s="7"/>
      <c r="V3566" s="6"/>
      <c r="W3566" s="6"/>
      <c r="X3566" s="6"/>
      <c r="Y3566" s="6"/>
      <c r="Z3566" s="6"/>
      <c r="AA3566" s="7"/>
      <c r="AB3566" s="6"/>
      <c r="AC3566" s="6"/>
      <c r="AD3566" s="6"/>
      <c r="AE3566" s="12"/>
      <c r="AF3566" s="6"/>
      <c r="AG3566" s="12"/>
      <c r="AH3566" s="6"/>
      <c r="AI3566" s="6"/>
      <c r="AJ3566" s="12"/>
      <c r="AK3566" s="24"/>
      <c r="AL3566" s="25"/>
      <c r="AM3566" s="12"/>
      <c r="AN3566" s="1"/>
      <c r="AO3566" s="6"/>
    </row>
    <row r="3567" spans="1:41" ht="15" x14ac:dyDescent="0.25">
      <c r="A3567" s="1"/>
      <c r="B3567" s="1"/>
      <c r="C3567" s="1"/>
      <c r="D3567" s="1"/>
      <c r="E3567" s="6"/>
      <c r="F3567" s="1"/>
      <c r="G3567" s="6"/>
      <c r="H3567" s="6"/>
      <c r="I3567" s="6"/>
      <c r="J3567" s="6"/>
      <c r="K3567" s="6"/>
      <c r="L3567" s="6"/>
      <c r="M3567" s="6"/>
      <c r="N3567" s="6"/>
      <c r="O3567" s="7"/>
      <c r="P3567" s="6"/>
      <c r="Q3567" s="6"/>
      <c r="R3567" s="7"/>
      <c r="S3567" s="6"/>
      <c r="T3567" s="6"/>
      <c r="U3567" s="7"/>
      <c r="V3567" s="6"/>
      <c r="W3567" s="6"/>
      <c r="X3567" s="12"/>
      <c r="Y3567" s="6"/>
      <c r="Z3567" s="6"/>
      <c r="AA3567" s="7"/>
      <c r="AB3567" s="6"/>
      <c r="AC3567" s="6"/>
      <c r="AD3567" s="6"/>
      <c r="AE3567" s="12"/>
      <c r="AF3567" s="6"/>
      <c r="AG3567" s="12"/>
      <c r="AH3567" s="6"/>
      <c r="AI3567" s="6"/>
      <c r="AJ3567" s="12"/>
      <c r="AK3567" s="24"/>
      <c r="AL3567" s="25"/>
      <c r="AM3567" s="12"/>
      <c r="AN3567" s="1"/>
      <c r="AO3567" s="6"/>
    </row>
    <row r="3568" spans="1:41" ht="15" x14ac:dyDescent="0.25">
      <c r="A3568" s="1"/>
      <c r="B3568" s="1"/>
      <c r="C3568" s="1"/>
      <c r="D3568" s="1"/>
      <c r="E3568" s="6"/>
      <c r="F3568" s="1"/>
      <c r="G3568" s="6"/>
      <c r="H3568" s="6"/>
      <c r="I3568" s="6"/>
      <c r="J3568" s="6"/>
      <c r="K3568" s="6"/>
      <c r="L3568" s="6"/>
      <c r="M3568" s="6"/>
      <c r="N3568" s="6"/>
      <c r="O3568" s="7"/>
      <c r="P3568" s="6"/>
      <c r="Q3568" s="6"/>
      <c r="R3568" s="7"/>
      <c r="S3568" s="6"/>
      <c r="T3568" s="6"/>
      <c r="U3568" s="7"/>
      <c r="V3568" s="6"/>
      <c r="W3568" s="6"/>
      <c r="X3568" s="6"/>
      <c r="Y3568" s="6"/>
      <c r="Z3568" s="6"/>
      <c r="AA3568" s="7"/>
      <c r="AB3568" s="6"/>
      <c r="AC3568" s="6"/>
      <c r="AD3568" s="6"/>
      <c r="AE3568" s="12"/>
      <c r="AF3568" s="6"/>
      <c r="AG3568" s="12"/>
      <c r="AH3568" s="6"/>
      <c r="AI3568" s="6"/>
      <c r="AJ3568" s="12"/>
      <c r="AK3568" s="1"/>
      <c r="AL3568" s="12"/>
      <c r="AM3568" s="12"/>
      <c r="AN3568" s="1"/>
      <c r="AO3568" s="6"/>
    </row>
    <row r="3569" spans="1:41" ht="15" x14ac:dyDescent="0.25">
      <c r="A3569" s="1"/>
      <c r="B3569" s="1"/>
      <c r="C3569" s="1"/>
      <c r="D3569" s="1"/>
      <c r="E3569" s="6"/>
      <c r="F3569" s="1"/>
      <c r="G3569" s="6"/>
      <c r="H3569" s="6"/>
      <c r="I3569" s="6"/>
      <c r="J3569" s="6"/>
      <c r="K3569" s="6"/>
      <c r="L3569" s="6"/>
      <c r="M3569" s="6"/>
      <c r="N3569" s="6"/>
      <c r="O3569" s="7"/>
      <c r="P3569" s="6"/>
      <c r="Q3569" s="7"/>
      <c r="R3569" s="6"/>
      <c r="S3569" s="12"/>
      <c r="T3569" s="6"/>
      <c r="U3569" s="6"/>
      <c r="V3569" s="7"/>
      <c r="W3569" s="7"/>
      <c r="X3569" s="6"/>
      <c r="Y3569" s="6"/>
      <c r="Z3569" s="6"/>
      <c r="AA3569" s="1"/>
      <c r="AB3569" s="12"/>
      <c r="AC3569" s="12"/>
      <c r="AD3569" s="12"/>
      <c r="AE3569" s="12"/>
      <c r="AF3569" s="12"/>
      <c r="AG3569" s="12"/>
      <c r="AH3569" s="12"/>
      <c r="AI3569" s="6"/>
      <c r="AJ3569" s="12"/>
      <c r="AK3569" s="12"/>
      <c r="AL3569" s="12"/>
      <c r="AM3569" s="12"/>
      <c r="AN3569" s="1"/>
      <c r="AO3569" s="6"/>
    </row>
    <row r="3570" spans="1:41" ht="15" x14ac:dyDescent="0.25">
      <c r="A3570" s="1"/>
      <c r="B3570" s="1"/>
      <c r="C3570" s="1"/>
      <c r="D3570" s="1"/>
      <c r="E3570" s="6"/>
      <c r="F3570" s="1"/>
      <c r="G3570" s="6"/>
      <c r="H3570" s="6"/>
      <c r="I3570" s="6"/>
      <c r="J3570" s="6"/>
      <c r="K3570" s="12"/>
      <c r="L3570" s="12"/>
      <c r="M3570" s="6"/>
      <c r="N3570" s="6"/>
      <c r="O3570" s="7"/>
      <c r="P3570" s="12"/>
      <c r="Q3570" s="6"/>
      <c r="R3570" s="7"/>
      <c r="S3570" s="6"/>
      <c r="T3570" s="6"/>
      <c r="U3570" s="7"/>
      <c r="V3570" s="6"/>
      <c r="W3570" s="6"/>
      <c r="X3570" s="12"/>
      <c r="Y3570" s="6"/>
      <c r="Z3570" s="6"/>
      <c r="AA3570" s="7"/>
      <c r="AB3570" s="6"/>
      <c r="AC3570" s="6"/>
      <c r="AD3570" s="6"/>
      <c r="AE3570" s="12"/>
      <c r="AF3570" s="12"/>
      <c r="AG3570" s="12"/>
      <c r="AH3570" s="12"/>
      <c r="AI3570" s="6"/>
      <c r="AJ3570" s="12"/>
      <c r="AK3570" s="1"/>
      <c r="AL3570" s="12"/>
      <c r="AM3570" s="12"/>
      <c r="AN3570" s="1"/>
      <c r="AO3570" s="6"/>
    </row>
    <row r="3571" spans="1:41" ht="15" x14ac:dyDescent="0.25">
      <c r="A3571" s="1"/>
      <c r="B3571" s="1"/>
      <c r="C3571" s="1"/>
      <c r="D3571" s="1"/>
      <c r="E3571" s="6"/>
      <c r="F3571" s="1"/>
      <c r="G3571" s="6"/>
      <c r="H3571" s="6"/>
      <c r="I3571" s="6"/>
      <c r="J3571" s="6"/>
      <c r="K3571" s="6"/>
      <c r="L3571" s="6"/>
      <c r="M3571" s="6"/>
      <c r="N3571" s="6"/>
      <c r="O3571" s="7"/>
      <c r="P3571" s="6"/>
      <c r="Q3571" s="6"/>
      <c r="R3571" s="12"/>
      <c r="S3571" s="12"/>
      <c r="T3571" s="12"/>
      <c r="U3571" s="7"/>
      <c r="V3571" s="6"/>
      <c r="W3571" s="6"/>
      <c r="X3571" s="12"/>
      <c r="Y3571" s="6"/>
      <c r="Z3571" s="6"/>
      <c r="AA3571" s="7"/>
      <c r="AB3571" s="6"/>
      <c r="AC3571" s="6"/>
      <c r="AD3571" s="6"/>
      <c r="AE3571" s="12"/>
      <c r="AF3571" s="6"/>
      <c r="AG3571" s="12"/>
      <c r="AH3571" s="6"/>
      <c r="AI3571" s="6"/>
      <c r="AJ3571" s="12"/>
      <c r="AK3571" s="1"/>
      <c r="AL3571" s="12"/>
      <c r="AM3571" s="12"/>
      <c r="AN3571" s="1"/>
      <c r="AO3571" s="6"/>
    </row>
    <row r="3572" spans="1:41" ht="15" x14ac:dyDescent="0.25">
      <c r="A3572" s="1"/>
      <c r="B3572" s="1"/>
      <c r="C3572" s="1"/>
      <c r="D3572" s="1"/>
      <c r="E3572" s="6"/>
      <c r="F3572" s="1"/>
      <c r="G3572" s="6"/>
      <c r="H3572" s="6"/>
      <c r="I3572" s="6"/>
      <c r="J3572" s="6"/>
      <c r="K3572" s="12"/>
      <c r="L3572" s="12"/>
      <c r="M3572" s="6"/>
      <c r="N3572" s="6"/>
      <c r="O3572" s="7"/>
      <c r="P3572" s="6"/>
      <c r="Q3572" s="6"/>
      <c r="R3572" s="7"/>
      <c r="S3572" s="6"/>
      <c r="T3572" s="6"/>
      <c r="U3572" s="7"/>
      <c r="V3572" s="6"/>
      <c r="W3572" s="6"/>
      <c r="X3572" s="12"/>
      <c r="Y3572" s="6"/>
      <c r="Z3572" s="6"/>
      <c r="AA3572" s="7"/>
      <c r="AB3572" s="6"/>
      <c r="AC3572" s="6"/>
      <c r="AD3572" s="6"/>
      <c r="AE3572" s="12"/>
      <c r="AF3572" s="12"/>
      <c r="AG3572" s="12"/>
      <c r="AH3572" s="12"/>
      <c r="AI3572" s="6"/>
      <c r="AJ3572" s="12"/>
      <c r="AK3572" s="24"/>
      <c r="AL3572" s="25"/>
      <c r="AM3572" s="12"/>
      <c r="AN3572" s="1"/>
      <c r="AO3572" s="12"/>
    </row>
    <row r="3573" spans="1:41" ht="15" x14ac:dyDescent="0.25">
      <c r="A3573" s="1"/>
      <c r="B3573" s="1"/>
      <c r="C3573" s="1"/>
      <c r="D3573" s="1"/>
      <c r="E3573" s="6"/>
      <c r="F3573" s="1"/>
      <c r="G3573" s="6"/>
      <c r="H3573" s="6"/>
      <c r="I3573" s="6"/>
      <c r="J3573" s="6"/>
      <c r="K3573" s="12"/>
      <c r="L3573" s="12"/>
      <c r="M3573" s="6"/>
      <c r="N3573" s="6"/>
      <c r="O3573" s="7"/>
      <c r="P3573" s="6"/>
      <c r="Q3573" s="6"/>
      <c r="R3573" s="7"/>
      <c r="S3573" s="6"/>
      <c r="T3573" s="6"/>
      <c r="U3573" s="7"/>
      <c r="V3573" s="6"/>
      <c r="W3573" s="6"/>
      <c r="X3573" s="12"/>
      <c r="Y3573" s="6"/>
      <c r="Z3573" s="6"/>
      <c r="AA3573" s="7"/>
      <c r="AB3573" s="6"/>
      <c r="AC3573" s="6"/>
      <c r="AD3573" s="6"/>
      <c r="AE3573" s="12"/>
      <c r="AF3573" s="12"/>
      <c r="AG3573" s="12"/>
      <c r="AH3573" s="12"/>
      <c r="AI3573" s="6"/>
      <c r="AJ3573" s="12"/>
      <c r="AK3573" s="24"/>
      <c r="AL3573" s="25"/>
      <c r="AM3573" s="12"/>
      <c r="AN3573" s="1"/>
      <c r="AO3573" s="12"/>
    </row>
    <row r="3574" spans="1:41" ht="15" x14ac:dyDescent="0.25">
      <c r="A3574" s="1"/>
      <c r="B3574" s="1"/>
      <c r="C3574" s="1"/>
      <c r="D3574" s="1"/>
      <c r="E3574" s="6"/>
      <c r="F3574" s="1"/>
      <c r="G3574" s="6"/>
      <c r="H3574" s="6"/>
      <c r="I3574" s="6"/>
      <c r="J3574" s="6"/>
      <c r="K3574" s="6"/>
      <c r="L3574" s="6"/>
      <c r="M3574" s="6"/>
      <c r="N3574" s="6"/>
      <c r="O3574" s="7"/>
      <c r="P3574" s="6"/>
      <c r="Q3574" s="6"/>
      <c r="R3574" s="7"/>
      <c r="S3574" s="6"/>
      <c r="T3574" s="6"/>
      <c r="U3574" s="7"/>
      <c r="V3574" s="6"/>
      <c r="W3574" s="6"/>
      <c r="X3574" s="6"/>
      <c r="Y3574" s="6"/>
      <c r="Z3574" s="6"/>
      <c r="AA3574" s="7"/>
      <c r="AB3574" s="6"/>
      <c r="AC3574" s="6"/>
      <c r="AD3574" s="6"/>
      <c r="AE3574" s="12"/>
      <c r="AF3574" s="6"/>
      <c r="AG3574" s="12"/>
      <c r="AH3574" s="6"/>
      <c r="AI3574" s="6"/>
      <c r="AJ3574" s="12"/>
      <c r="AK3574" s="1"/>
      <c r="AL3574" s="12"/>
      <c r="AM3574" s="12"/>
      <c r="AN3574" s="1"/>
      <c r="AO3574" s="6"/>
    </row>
    <row r="3575" spans="1:41" ht="15" x14ac:dyDescent="0.25">
      <c r="A3575" s="1"/>
      <c r="B3575" s="1"/>
      <c r="C3575" s="1"/>
      <c r="D3575" s="1"/>
      <c r="E3575" s="6"/>
      <c r="F3575" s="1"/>
      <c r="G3575" s="6"/>
      <c r="H3575" s="6"/>
      <c r="I3575" s="6"/>
      <c r="J3575" s="6"/>
      <c r="K3575" s="6"/>
      <c r="L3575" s="6"/>
      <c r="M3575" s="6"/>
      <c r="N3575" s="6"/>
      <c r="O3575" s="7"/>
      <c r="P3575" s="6"/>
      <c r="Q3575" s="6"/>
      <c r="R3575" s="7"/>
      <c r="S3575" s="6"/>
      <c r="T3575" s="6"/>
      <c r="U3575" s="7"/>
      <c r="V3575" s="6"/>
      <c r="W3575" s="6"/>
      <c r="X3575" s="6"/>
      <c r="Y3575" s="6"/>
      <c r="Z3575" s="6"/>
      <c r="AA3575" s="7"/>
      <c r="AB3575" s="6"/>
      <c r="AC3575" s="6"/>
      <c r="AD3575" s="6"/>
      <c r="AE3575" s="12"/>
      <c r="AF3575" s="6"/>
      <c r="AG3575" s="12"/>
      <c r="AH3575" s="6"/>
      <c r="AI3575" s="6"/>
      <c r="AJ3575" s="12"/>
      <c r="AK3575" s="1"/>
      <c r="AL3575" s="12"/>
      <c r="AM3575" s="12"/>
      <c r="AN3575" s="1"/>
      <c r="AO3575" s="6"/>
    </row>
    <row r="3576" spans="1:41" ht="15" x14ac:dyDescent="0.25">
      <c r="A3576" s="1"/>
      <c r="B3576" s="1"/>
      <c r="C3576" s="1"/>
      <c r="D3576" s="1"/>
      <c r="E3576" s="6"/>
      <c r="F3576" s="1"/>
      <c r="G3576" s="6"/>
      <c r="H3576" s="6"/>
      <c r="I3576" s="6"/>
      <c r="J3576" s="6"/>
      <c r="K3576" s="6"/>
      <c r="L3576" s="6"/>
      <c r="M3576" s="6"/>
      <c r="N3576" s="6"/>
      <c r="O3576" s="7"/>
      <c r="P3576" s="6"/>
      <c r="Q3576" s="6"/>
      <c r="R3576" s="7"/>
      <c r="S3576" s="6"/>
      <c r="T3576" s="6"/>
      <c r="U3576" s="7"/>
      <c r="V3576" s="6"/>
      <c r="W3576" s="6"/>
      <c r="X3576" s="6"/>
      <c r="Y3576" s="6"/>
      <c r="Z3576" s="6"/>
      <c r="AA3576" s="7"/>
      <c r="AB3576" s="6"/>
      <c r="AC3576" s="6"/>
      <c r="AD3576" s="6"/>
      <c r="AE3576" s="12"/>
      <c r="AF3576" s="12"/>
      <c r="AG3576" s="12"/>
      <c r="AH3576" s="12"/>
      <c r="AI3576" s="6"/>
      <c r="AJ3576" s="12"/>
      <c r="AK3576" s="1"/>
      <c r="AL3576" s="12"/>
      <c r="AM3576" s="12"/>
      <c r="AN3576" s="1"/>
      <c r="AO3576" s="6"/>
    </row>
    <row r="3577" spans="1:41" ht="15" x14ac:dyDescent="0.25">
      <c r="A3577" s="1"/>
      <c r="B3577" s="1"/>
      <c r="C3577" s="1"/>
      <c r="D3577" s="1"/>
      <c r="E3577" s="6"/>
      <c r="F3577" s="1"/>
      <c r="G3577" s="6"/>
      <c r="H3577" s="6"/>
      <c r="I3577" s="6"/>
      <c r="J3577" s="6"/>
      <c r="K3577" s="12"/>
      <c r="L3577" s="12"/>
      <c r="M3577" s="6"/>
      <c r="N3577" s="6"/>
      <c r="O3577" s="7"/>
      <c r="P3577" s="6"/>
      <c r="Q3577" s="7"/>
      <c r="R3577" s="6"/>
      <c r="S3577" s="6"/>
      <c r="T3577" s="6"/>
      <c r="U3577" s="6"/>
      <c r="V3577" s="7"/>
      <c r="W3577" s="7"/>
      <c r="X3577" s="6"/>
      <c r="Y3577" s="6"/>
      <c r="Z3577" s="6"/>
      <c r="AA3577" s="1"/>
      <c r="AB3577" s="12"/>
      <c r="AC3577" s="12"/>
      <c r="AD3577" s="12"/>
      <c r="AE3577" s="12"/>
      <c r="AF3577" s="12"/>
      <c r="AG3577" s="12"/>
      <c r="AH3577" s="12"/>
      <c r="AI3577" s="6"/>
      <c r="AJ3577" s="12"/>
      <c r="AK3577" s="12"/>
      <c r="AL3577" s="12"/>
      <c r="AM3577" s="12"/>
      <c r="AN3577" s="1"/>
      <c r="AO3577" s="6"/>
    </row>
    <row r="3578" spans="1:41" ht="15" x14ac:dyDescent="0.25">
      <c r="A3578" s="1"/>
      <c r="B3578" s="1"/>
      <c r="C3578" s="1"/>
      <c r="D3578" s="1"/>
      <c r="E3578" s="6"/>
      <c r="F3578" s="1"/>
      <c r="G3578" s="6"/>
      <c r="H3578" s="6"/>
      <c r="I3578" s="6"/>
      <c r="J3578" s="6"/>
      <c r="K3578" s="12"/>
      <c r="L3578" s="12"/>
      <c r="M3578" s="6"/>
      <c r="N3578" s="6"/>
      <c r="O3578" s="12"/>
      <c r="P3578" s="12"/>
      <c r="Q3578" s="7"/>
      <c r="R3578" s="12"/>
      <c r="S3578" s="12"/>
      <c r="T3578" s="12"/>
      <c r="U3578" s="6"/>
      <c r="V3578" s="7"/>
      <c r="W3578" s="7"/>
      <c r="X3578" s="6"/>
      <c r="Y3578" s="6"/>
      <c r="Z3578" s="6"/>
      <c r="AA3578" s="24"/>
      <c r="AB3578" s="25"/>
      <c r="AC3578" s="12"/>
      <c r="AD3578" s="12"/>
      <c r="AE3578" s="12"/>
      <c r="AF3578" s="12"/>
      <c r="AG3578" s="12"/>
      <c r="AH3578" s="12"/>
      <c r="AI3578" s="6"/>
      <c r="AJ3578" s="12"/>
      <c r="AK3578" s="12"/>
      <c r="AL3578" s="12"/>
      <c r="AM3578" s="12"/>
      <c r="AN3578" s="1"/>
      <c r="AO3578" s="12"/>
    </row>
    <row r="3579" spans="1:41" ht="15" x14ac:dyDescent="0.25">
      <c r="A3579" s="1"/>
      <c r="B3579" s="1"/>
      <c r="C3579" s="1"/>
      <c r="D3579" s="1"/>
      <c r="E3579" s="6"/>
      <c r="F3579" s="1"/>
      <c r="G3579" s="6"/>
      <c r="H3579" s="6"/>
      <c r="I3579" s="6"/>
      <c r="J3579" s="6"/>
      <c r="K3579" s="6"/>
      <c r="L3579" s="6"/>
      <c r="M3579" s="6"/>
      <c r="N3579" s="6"/>
      <c r="O3579" s="7"/>
      <c r="P3579" s="6"/>
      <c r="Q3579" s="6"/>
      <c r="R3579" s="7"/>
      <c r="S3579" s="6"/>
      <c r="T3579" s="6"/>
      <c r="U3579" s="7"/>
      <c r="V3579" s="6"/>
      <c r="W3579" s="6"/>
      <c r="X3579" s="12"/>
      <c r="Y3579" s="6"/>
      <c r="Z3579" s="6"/>
      <c r="AA3579" s="7"/>
      <c r="AB3579" s="6"/>
      <c r="AC3579" s="6"/>
      <c r="AD3579" s="6"/>
      <c r="AE3579" s="12"/>
      <c r="AF3579" s="6"/>
      <c r="AG3579" s="12"/>
      <c r="AH3579" s="6"/>
      <c r="AI3579" s="6"/>
      <c r="AJ3579" s="12"/>
      <c r="AK3579" s="1"/>
      <c r="AL3579" s="12"/>
      <c r="AM3579" s="12"/>
      <c r="AN3579" s="1"/>
      <c r="AO3579" s="6"/>
    </row>
    <row r="3580" spans="1:41" ht="15" x14ac:dyDescent="0.25">
      <c r="A3580" s="1"/>
      <c r="B3580" s="1"/>
      <c r="C3580" s="1"/>
      <c r="D3580" s="1"/>
      <c r="E3580" s="6"/>
      <c r="F3580" s="1"/>
      <c r="G3580" s="6"/>
      <c r="H3580" s="6"/>
      <c r="I3580" s="6"/>
      <c r="J3580" s="6"/>
      <c r="K3580" s="6"/>
      <c r="L3580" s="6"/>
      <c r="M3580" s="6"/>
      <c r="N3580" s="6"/>
      <c r="O3580" s="7"/>
      <c r="P3580" s="6"/>
      <c r="Q3580" s="6"/>
      <c r="R3580" s="7"/>
      <c r="S3580" s="6"/>
      <c r="T3580" s="6"/>
      <c r="U3580" s="7"/>
      <c r="V3580" s="6"/>
      <c r="W3580" s="6"/>
      <c r="X3580" s="6"/>
      <c r="Y3580" s="6"/>
      <c r="Z3580" s="6"/>
      <c r="AA3580" s="7"/>
      <c r="AB3580" s="6"/>
      <c r="AC3580" s="6"/>
      <c r="AD3580" s="6"/>
      <c r="AE3580" s="12"/>
      <c r="AF3580" s="6"/>
      <c r="AG3580" s="12"/>
      <c r="AH3580" s="6"/>
      <c r="AI3580" s="6"/>
      <c r="AJ3580" s="12"/>
      <c r="AK3580" s="24"/>
      <c r="AL3580" s="25"/>
      <c r="AM3580" s="12"/>
      <c r="AN3580" s="1"/>
      <c r="AO3580" s="6"/>
    </row>
    <row r="3581" spans="1:41" ht="15" x14ac:dyDescent="0.25">
      <c r="A3581" s="1"/>
      <c r="B3581" s="1"/>
      <c r="C3581" s="1"/>
      <c r="D3581" s="1"/>
      <c r="E3581" s="6"/>
      <c r="F3581" s="1"/>
      <c r="G3581" s="6"/>
      <c r="H3581" s="6"/>
      <c r="I3581" s="6"/>
      <c r="J3581" s="6"/>
      <c r="K3581" s="6"/>
      <c r="L3581" s="6"/>
      <c r="M3581" s="6"/>
      <c r="N3581" s="6"/>
      <c r="O3581" s="7"/>
      <c r="P3581" s="6"/>
      <c r="Q3581" s="6"/>
      <c r="R3581" s="7"/>
      <c r="S3581" s="6"/>
      <c r="T3581" s="6"/>
      <c r="U3581" s="7"/>
      <c r="V3581" s="6"/>
      <c r="W3581" s="6"/>
      <c r="X3581" s="6"/>
      <c r="Y3581" s="6"/>
      <c r="Z3581" s="6"/>
      <c r="AA3581" s="7"/>
      <c r="AB3581" s="6"/>
      <c r="AC3581" s="6"/>
      <c r="AD3581" s="6"/>
      <c r="AE3581" s="12"/>
      <c r="AF3581" s="12"/>
      <c r="AG3581" s="12"/>
      <c r="AH3581" s="12"/>
      <c r="AI3581" s="6"/>
      <c r="AJ3581" s="12"/>
      <c r="AK3581" s="1"/>
      <c r="AL3581" s="12"/>
      <c r="AM3581" s="12"/>
      <c r="AN3581" s="1"/>
      <c r="AO3581" s="6"/>
    </row>
    <row r="3582" spans="1:41" ht="15" x14ac:dyDescent="0.25">
      <c r="A3582" s="1"/>
      <c r="B3582" s="1"/>
      <c r="C3582" s="1"/>
      <c r="D3582" s="1"/>
      <c r="E3582" s="6"/>
      <c r="F3582" s="1"/>
      <c r="G3582" s="6"/>
      <c r="H3582" s="6"/>
      <c r="I3582" s="6"/>
      <c r="J3582" s="6"/>
      <c r="K3582" s="6"/>
      <c r="L3582" s="6"/>
      <c r="M3582" s="6"/>
      <c r="N3582" s="6"/>
      <c r="O3582" s="7"/>
      <c r="P3582" s="6"/>
      <c r="Q3582" s="6"/>
      <c r="R3582" s="7"/>
      <c r="S3582" s="6"/>
      <c r="T3582" s="6"/>
      <c r="U3582" s="7"/>
      <c r="V3582" s="6"/>
      <c r="W3582" s="6"/>
      <c r="X3582" s="6"/>
      <c r="Y3582" s="6"/>
      <c r="Z3582" s="6"/>
      <c r="AA3582" s="7"/>
      <c r="AB3582" s="6"/>
      <c r="AC3582" s="6"/>
      <c r="AD3582" s="6"/>
      <c r="AE3582" s="12"/>
      <c r="AF3582" s="12"/>
      <c r="AG3582" s="12"/>
      <c r="AH3582" s="12"/>
      <c r="AI3582" s="6"/>
      <c r="AJ3582" s="12"/>
      <c r="AK3582" s="1"/>
      <c r="AL3582" s="12"/>
      <c r="AM3582" s="12"/>
      <c r="AN3582" s="1"/>
      <c r="AO3582" s="6"/>
    </row>
    <row r="3583" spans="1:41" ht="15" x14ac:dyDescent="0.25">
      <c r="A3583" s="1"/>
      <c r="B3583" s="1"/>
      <c r="C3583" s="1"/>
      <c r="D3583" s="1"/>
      <c r="E3583" s="6"/>
      <c r="F3583" s="1"/>
      <c r="G3583" s="6"/>
      <c r="H3583" s="6"/>
      <c r="I3583" s="6"/>
      <c r="J3583" s="6"/>
      <c r="K3583" s="12"/>
      <c r="L3583" s="12"/>
      <c r="M3583" s="6"/>
      <c r="N3583" s="6"/>
      <c r="O3583" s="7"/>
      <c r="P3583" s="6"/>
      <c r="Q3583" s="6"/>
      <c r="R3583" s="7"/>
      <c r="S3583" s="6"/>
      <c r="T3583" s="6"/>
      <c r="U3583" s="7"/>
      <c r="V3583" s="6"/>
      <c r="W3583" s="6"/>
      <c r="X3583" s="12"/>
      <c r="Y3583" s="6"/>
      <c r="Z3583" s="6"/>
      <c r="AA3583" s="7"/>
      <c r="AB3583" s="6"/>
      <c r="AC3583" s="6"/>
      <c r="AD3583" s="6"/>
      <c r="AE3583" s="12"/>
      <c r="AF3583" s="12"/>
      <c r="AG3583" s="12"/>
      <c r="AH3583" s="12"/>
      <c r="AI3583" s="6"/>
      <c r="AJ3583" s="12"/>
      <c r="AK3583" s="1"/>
      <c r="AL3583" s="12"/>
      <c r="AM3583" s="12"/>
      <c r="AN3583" s="1"/>
      <c r="AO3583" s="6"/>
    </row>
    <row r="3584" spans="1:41" ht="15" x14ac:dyDescent="0.25">
      <c r="A3584" s="1"/>
      <c r="B3584" s="1"/>
      <c r="C3584" s="1"/>
      <c r="D3584" s="1"/>
      <c r="E3584" s="6"/>
      <c r="F3584" s="1"/>
      <c r="G3584" s="6"/>
      <c r="H3584" s="6"/>
      <c r="I3584" s="6"/>
      <c r="J3584" s="6"/>
      <c r="K3584" s="6"/>
      <c r="L3584" s="6"/>
      <c r="M3584" s="6"/>
      <c r="N3584" s="6"/>
      <c r="O3584" s="7"/>
      <c r="P3584" s="6"/>
      <c r="Q3584" s="6"/>
      <c r="R3584" s="7"/>
      <c r="S3584" s="6"/>
      <c r="T3584" s="6"/>
      <c r="U3584" s="7"/>
      <c r="V3584" s="6"/>
      <c r="W3584" s="6"/>
      <c r="X3584" s="6"/>
      <c r="Y3584" s="6"/>
      <c r="Z3584" s="6"/>
      <c r="AA3584" s="7"/>
      <c r="AB3584" s="6"/>
      <c r="AC3584" s="6"/>
      <c r="AD3584" s="6"/>
      <c r="AE3584" s="12"/>
      <c r="AF3584" s="12"/>
      <c r="AG3584" s="12"/>
      <c r="AH3584" s="12"/>
      <c r="AI3584" s="6"/>
      <c r="AJ3584" s="12"/>
      <c r="AK3584" s="1"/>
      <c r="AL3584" s="12"/>
      <c r="AM3584" s="12"/>
      <c r="AN3584" s="1"/>
      <c r="AO3584" s="6"/>
    </row>
    <row r="3585" spans="1:41" ht="15" x14ac:dyDescent="0.25">
      <c r="A3585" s="1"/>
      <c r="B3585" s="1"/>
      <c r="C3585" s="1"/>
      <c r="D3585" s="1"/>
      <c r="E3585" s="6"/>
      <c r="F3585" s="1"/>
      <c r="G3585" s="6"/>
      <c r="H3585" s="6"/>
      <c r="I3585" s="6"/>
      <c r="J3585" s="6"/>
      <c r="K3585" s="6"/>
      <c r="L3585" s="6"/>
      <c r="M3585" s="6"/>
      <c r="N3585" s="6"/>
      <c r="O3585" s="7"/>
      <c r="P3585" s="6"/>
      <c r="Q3585" s="6"/>
      <c r="R3585" s="7"/>
      <c r="S3585" s="6"/>
      <c r="T3585" s="6"/>
      <c r="U3585" s="7"/>
      <c r="V3585" s="6"/>
      <c r="W3585" s="6"/>
      <c r="X3585" s="6"/>
      <c r="Y3585" s="6"/>
      <c r="Z3585" s="6"/>
      <c r="AA3585" s="7"/>
      <c r="AB3585" s="6"/>
      <c r="AC3585" s="6"/>
      <c r="AD3585" s="6"/>
      <c r="AE3585" s="12"/>
      <c r="AF3585" s="12"/>
      <c r="AG3585" s="12"/>
      <c r="AH3585" s="12"/>
      <c r="AI3585" s="6"/>
      <c r="AJ3585" s="12"/>
      <c r="AK3585" s="1"/>
      <c r="AL3585" s="12"/>
      <c r="AM3585" s="12"/>
      <c r="AN3585" s="1"/>
      <c r="AO3585" s="6"/>
    </row>
    <row r="3586" spans="1:41" ht="15" x14ac:dyDescent="0.25">
      <c r="A3586" s="1"/>
      <c r="B3586" s="1"/>
      <c r="C3586" s="1"/>
      <c r="D3586" s="1"/>
      <c r="E3586" s="6"/>
      <c r="F3586" s="1"/>
      <c r="G3586" s="6"/>
      <c r="H3586" s="6"/>
      <c r="I3586" s="6"/>
      <c r="J3586" s="6"/>
      <c r="K3586" s="6"/>
      <c r="L3586" s="6"/>
      <c r="M3586" s="6"/>
      <c r="N3586" s="6"/>
      <c r="O3586" s="7"/>
      <c r="P3586" s="6"/>
      <c r="Q3586" s="6"/>
      <c r="R3586" s="7"/>
      <c r="S3586" s="6"/>
      <c r="T3586" s="6"/>
      <c r="U3586" s="7"/>
      <c r="V3586" s="6"/>
      <c r="W3586" s="6"/>
      <c r="X3586" s="6"/>
      <c r="Y3586" s="6"/>
      <c r="Z3586" s="6"/>
      <c r="AA3586" s="7"/>
      <c r="AB3586" s="6"/>
      <c r="AC3586" s="6"/>
      <c r="AD3586" s="6"/>
      <c r="AE3586" s="12"/>
      <c r="AF3586" s="12"/>
      <c r="AG3586" s="12"/>
      <c r="AH3586" s="12"/>
      <c r="AI3586" s="6"/>
      <c r="AJ3586" s="12"/>
      <c r="AK3586" s="1"/>
      <c r="AL3586" s="12"/>
      <c r="AM3586" s="12"/>
      <c r="AN3586" s="1"/>
      <c r="AO3586" s="6"/>
    </row>
    <row r="3587" spans="1:41" ht="15" x14ac:dyDescent="0.25">
      <c r="A3587" s="1"/>
      <c r="B3587" s="1"/>
      <c r="C3587" s="1"/>
      <c r="D3587" s="1"/>
      <c r="E3587" s="6"/>
      <c r="F3587" s="1"/>
      <c r="G3587" s="6"/>
      <c r="H3587" s="6"/>
      <c r="I3587" s="6"/>
      <c r="J3587" s="6"/>
      <c r="K3587" s="6"/>
      <c r="L3587" s="6"/>
      <c r="M3587" s="6"/>
      <c r="N3587" s="6"/>
      <c r="O3587" s="7"/>
      <c r="P3587" s="6"/>
      <c r="Q3587" s="6"/>
      <c r="R3587" s="7"/>
      <c r="S3587" s="6"/>
      <c r="T3587" s="6"/>
      <c r="U3587" s="7"/>
      <c r="V3587" s="6"/>
      <c r="W3587" s="6"/>
      <c r="X3587" s="6"/>
      <c r="Y3587" s="6"/>
      <c r="Z3587" s="6"/>
      <c r="AA3587" s="7"/>
      <c r="AB3587" s="6"/>
      <c r="AC3587" s="6"/>
      <c r="AD3587" s="6"/>
      <c r="AE3587" s="12"/>
      <c r="AF3587" s="12"/>
      <c r="AG3587" s="12"/>
      <c r="AH3587" s="12"/>
      <c r="AI3587" s="6"/>
      <c r="AJ3587" s="12"/>
      <c r="AK3587" s="1"/>
      <c r="AL3587" s="12"/>
      <c r="AM3587" s="12"/>
      <c r="AN3587" s="1"/>
      <c r="AO3587" s="6"/>
    </row>
    <row r="3588" spans="1:41" ht="15" x14ac:dyDescent="0.25">
      <c r="A3588" s="1"/>
      <c r="B3588" s="1"/>
      <c r="C3588" s="1"/>
      <c r="D3588" s="1"/>
      <c r="E3588" s="6"/>
      <c r="F3588" s="1"/>
      <c r="G3588" s="6"/>
      <c r="H3588" s="6"/>
      <c r="I3588" s="6"/>
      <c r="J3588" s="6"/>
      <c r="K3588" s="6"/>
      <c r="L3588" s="6"/>
      <c r="M3588" s="6"/>
      <c r="N3588" s="6"/>
      <c r="O3588" s="7"/>
      <c r="P3588" s="6"/>
      <c r="Q3588" s="6"/>
      <c r="R3588" s="7"/>
      <c r="S3588" s="6"/>
      <c r="T3588" s="6"/>
      <c r="U3588" s="7"/>
      <c r="V3588" s="6"/>
      <c r="W3588" s="6"/>
      <c r="X3588" s="6"/>
      <c r="Y3588" s="6"/>
      <c r="Z3588" s="6"/>
      <c r="AA3588" s="7"/>
      <c r="AB3588" s="6"/>
      <c r="AC3588" s="6"/>
      <c r="AD3588" s="6"/>
      <c r="AE3588" s="12"/>
      <c r="AF3588" s="12"/>
      <c r="AG3588" s="12"/>
      <c r="AH3588" s="12"/>
      <c r="AI3588" s="6"/>
      <c r="AJ3588" s="12"/>
      <c r="AK3588" s="1"/>
      <c r="AL3588" s="12"/>
      <c r="AM3588" s="12"/>
      <c r="AN3588" s="1"/>
      <c r="AO3588" s="6"/>
    </row>
    <row r="3589" spans="1:41" ht="15" x14ac:dyDescent="0.25">
      <c r="A3589" s="1"/>
      <c r="B3589" s="1"/>
      <c r="C3589" s="1"/>
      <c r="D3589" s="1"/>
      <c r="E3589" s="6"/>
      <c r="F3589" s="1"/>
      <c r="G3589" s="6"/>
      <c r="H3589" s="6"/>
      <c r="I3589" s="6"/>
      <c r="J3589" s="6"/>
      <c r="K3589" s="12"/>
      <c r="L3589" s="12"/>
      <c r="M3589" s="6"/>
      <c r="N3589" s="6"/>
      <c r="O3589" s="7"/>
      <c r="P3589" s="6"/>
      <c r="Q3589" s="6"/>
      <c r="R3589" s="7"/>
      <c r="S3589" s="6"/>
      <c r="T3589" s="6"/>
      <c r="U3589" s="7"/>
      <c r="V3589" s="6"/>
      <c r="W3589" s="6"/>
      <c r="X3589" s="12"/>
      <c r="Y3589" s="6"/>
      <c r="Z3589" s="6"/>
      <c r="AA3589" s="7"/>
      <c r="AB3589" s="6"/>
      <c r="AC3589" s="6"/>
      <c r="AD3589" s="6"/>
      <c r="AE3589" s="12"/>
      <c r="AF3589" s="12"/>
      <c r="AG3589" s="12"/>
      <c r="AH3589" s="12"/>
      <c r="AI3589" s="6"/>
      <c r="AJ3589" s="12"/>
      <c r="AK3589" s="1"/>
      <c r="AL3589" s="12"/>
      <c r="AM3589" s="12"/>
      <c r="AN3589" s="1"/>
      <c r="AO3589" s="12"/>
    </row>
    <row r="3590" spans="1:41" ht="15" x14ac:dyDescent="0.25">
      <c r="A3590" s="1"/>
      <c r="B3590" s="1"/>
      <c r="C3590" s="1"/>
      <c r="D3590" s="1"/>
      <c r="E3590" s="6"/>
      <c r="F3590" s="1"/>
      <c r="G3590" s="6"/>
      <c r="H3590" s="6"/>
      <c r="I3590" s="6"/>
      <c r="J3590" s="6"/>
      <c r="K3590" s="12"/>
      <c r="L3590" s="12"/>
      <c r="M3590" s="6"/>
      <c r="N3590" s="6"/>
      <c r="O3590" s="7"/>
      <c r="P3590" s="6"/>
      <c r="Q3590" s="6"/>
      <c r="R3590" s="7"/>
      <c r="S3590" s="6"/>
      <c r="T3590" s="6"/>
      <c r="U3590" s="7"/>
      <c r="V3590" s="6"/>
      <c r="W3590" s="6"/>
      <c r="X3590" s="12"/>
      <c r="Y3590" s="6"/>
      <c r="Z3590" s="6"/>
      <c r="AA3590" s="7"/>
      <c r="AB3590" s="6"/>
      <c r="AC3590" s="6"/>
      <c r="AD3590" s="6"/>
      <c r="AE3590" s="12"/>
      <c r="AF3590" s="12"/>
      <c r="AG3590" s="12"/>
      <c r="AH3590" s="12"/>
      <c r="AI3590" s="6"/>
      <c r="AJ3590" s="12"/>
      <c r="AK3590" s="1"/>
      <c r="AL3590" s="12"/>
      <c r="AM3590" s="12"/>
      <c r="AN3590" s="1"/>
      <c r="AO3590" s="12"/>
    </row>
    <row r="3591" spans="1:41" ht="15" x14ac:dyDescent="0.25">
      <c r="A3591" s="1"/>
      <c r="B3591" s="1"/>
      <c r="C3591" s="1"/>
      <c r="D3591" s="1"/>
      <c r="E3591" s="6"/>
      <c r="F3591" s="1"/>
      <c r="G3591" s="6"/>
      <c r="H3591" s="6"/>
      <c r="I3591" s="6"/>
      <c r="J3591" s="6"/>
      <c r="K3591" s="6"/>
      <c r="L3591" s="6"/>
      <c r="M3591" s="6"/>
      <c r="N3591" s="6"/>
      <c r="O3591" s="7"/>
      <c r="P3591" s="6"/>
      <c r="Q3591" s="6"/>
      <c r="R3591" s="7"/>
      <c r="S3591" s="6"/>
      <c r="T3591" s="6"/>
      <c r="U3591" s="7"/>
      <c r="V3591" s="6"/>
      <c r="W3591" s="6"/>
      <c r="X3591" s="12"/>
      <c r="Y3591" s="6"/>
      <c r="Z3591" s="6"/>
      <c r="AA3591" s="7"/>
      <c r="AB3591" s="6"/>
      <c r="AC3591" s="6"/>
      <c r="AD3591" s="6"/>
      <c r="AE3591" s="12"/>
      <c r="AF3591" s="12"/>
      <c r="AG3591" s="12"/>
      <c r="AH3591" s="12"/>
      <c r="AI3591" s="6"/>
      <c r="AJ3591" s="12"/>
      <c r="AK3591" s="24"/>
      <c r="AL3591" s="25"/>
      <c r="AM3591" s="12"/>
      <c r="AN3591" s="1"/>
      <c r="AO3591" s="6"/>
    </row>
    <row r="3592" spans="1:41" ht="15" x14ac:dyDescent="0.25">
      <c r="A3592" s="1"/>
      <c r="B3592" s="1"/>
      <c r="C3592" s="1"/>
      <c r="D3592" s="1"/>
      <c r="E3592" s="6"/>
      <c r="F3592" s="1"/>
      <c r="G3592" s="6"/>
      <c r="H3592" s="6"/>
      <c r="I3592" s="6"/>
      <c r="J3592" s="6"/>
      <c r="K3592" s="6"/>
      <c r="L3592" s="6"/>
      <c r="M3592" s="6"/>
      <c r="N3592" s="6"/>
      <c r="O3592" s="7"/>
      <c r="P3592" s="6"/>
      <c r="Q3592" s="6"/>
      <c r="R3592" s="7"/>
      <c r="S3592" s="6"/>
      <c r="T3592" s="6"/>
      <c r="U3592" s="7"/>
      <c r="V3592" s="6"/>
      <c r="W3592" s="6"/>
      <c r="X3592" s="6"/>
      <c r="Y3592" s="6"/>
      <c r="Z3592" s="6"/>
      <c r="AA3592" s="7"/>
      <c r="AB3592" s="6"/>
      <c r="AC3592" s="6"/>
      <c r="AD3592" s="6"/>
      <c r="AE3592" s="12"/>
      <c r="AF3592" s="12"/>
      <c r="AG3592" s="12"/>
      <c r="AH3592" s="12"/>
      <c r="AI3592" s="6"/>
      <c r="AJ3592" s="12"/>
      <c r="AK3592" s="1"/>
      <c r="AL3592" s="12"/>
      <c r="AM3592" s="12"/>
      <c r="AN3592" s="1"/>
      <c r="AO3592" s="6"/>
    </row>
    <row r="3593" spans="1:41" ht="15" x14ac:dyDescent="0.25">
      <c r="A3593" s="1"/>
      <c r="B3593" s="1"/>
      <c r="C3593" s="1"/>
      <c r="D3593" s="1"/>
      <c r="E3593" s="6"/>
      <c r="F3593" s="1"/>
      <c r="G3593" s="6"/>
      <c r="H3593" s="6"/>
      <c r="I3593" s="6"/>
      <c r="J3593" s="6"/>
      <c r="K3593" s="6"/>
      <c r="L3593" s="6"/>
      <c r="M3593" s="6"/>
      <c r="N3593" s="6"/>
      <c r="O3593" s="7"/>
      <c r="P3593" s="6"/>
      <c r="Q3593" s="6"/>
      <c r="R3593" s="7"/>
      <c r="S3593" s="6"/>
      <c r="T3593" s="6"/>
      <c r="U3593" s="7"/>
      <c r="V3593" s="6"/>
      <c r="W3593" s="6"/>
      <c r="X3593" s="12"/>
      <c r="Y3593" s="6"/>
      <c r="Z3593" s="6"/>
      <c r="AA3593" s="7"/>
      <c r="AB3593" s="6"/>
      <c r="AC3593" s="6"/>
      <c r="AD3593" s="6"/>
      <c r="AE3593" s="12"/>
      <c r="AF3593" s="12"/>
      <c r="AG3593" s="12"/>
      <c r="AH3593" s="12"/>
      <c r="AI3593" s="6"/>
      <c r="AJ3593" s="12"/>
      <c r="AK3593" s="1"/>
      <c r="AL3593" s="12"/>
      <c r="AM3593" s="12"/>
      <c r="AN3593" s="1"/>
      <c r="AO3593" s="6"/>
    </row>
    <row r="3594" spans="1:41" ht="15" x14ac:dyDescent="0.25">
      <c r="A3594" s="1"/>
      <c r="B3594" s="1"/>
      <c r="C3594" s="1"/>
      <c r="D3594" s="1"/>
      <c r="E3594" s="6"/>
      <c r="F3594" s="1"/>
      <c r="G3594" s="6"/>
      <c r="H3594" s="6"/>
      <c r="I3594" s="6"/>
      <c r="J3594" s="6"/>
      <c r="K3594" s="6"/>
      <c r="L3594" s="6"/>
      <c r="M3594" s="6"/>
      <c r="N3594" s="6"/>
      <c r="O3594" s="7"/>
      <c r="P3594" s="6"/>
      <c r="Q3594" s="7"/>
      <c r="R3594" s="6"/>
      <c r="S3594" s="12"/>
      <c r="T3594" s="6"/>
      <c r="U3594" s="6"/>
      <c r="V3594" s="7"/>
      <c r="W3594" s="7"/>
      <c r="X3594" s="6"/>
      <c r="Y3594" s="6"/>
      <c r="Z3594" s="6"/>
      <c r="AA3594" s="1"/>
      <c r="AB3594" s="12"/>
      <c r="AC3594" s="12"/>
      <c r="AD3594" s="12"/>
      <c r="AE3594" s="12"/>
      <c r="AF3594" s="12"/>
      <c r="AG3594" s="12"/>
      <c r="AH3594" s="12"/>
      <c r="AI3594" s="6"/>
      <c r="AJ3594" s="12"/>
      <c r="AK3594" s="12"/>
      <c r="AL3594" s="12"/>
      <c r="AM3594" s="12"/>
      <c r="AN3594" s="1"/>
      <c r="AO3594" s="6"/>
    </row>
    <row r="3595" spans="1:41" ht="15" x14ac:dyDescent="0.25">
      <c r="A3595" s="1"/>
      <c r="B3595" s="1"/>
      <c r="C3595" s="1"/>
      <c r="D3595" s="1"/>
      <c r="E3595" s="6"/>
      <c r="F3595" s="1"/>
      <c r="G3595" s="6"/>
      <c r="H3595" s="6"/>
      <c r="I3595" s="6"/>
      <c r="J3595" s="6"/>
      <c r="K3595" s="6"/>
      <c r="L3595" s="6"/>
      <c r="M3595" s="6"/>
      <c r="N3595" s="6"/>
      <c r="O3595" s="7"/>
      <c r="P3595" s="6"/>
      <c r="Q3595" s="7"/>
      <c r="R3595" s="6"/>
      <c r="S3595" s="6"/>
      <c r="T3595" s="6"/>
      <c r="U3595" s="6"/>
      <c r="V3595" s="7"/>
      <c r="W3595" s="6"/>
      <c r="X3595" s="6"/>
      <c r="Y3595" s="6"/>
      <c r="Z3595" s="6"/>
      <c r="AA3595" s="24"/>
      <c r="AB3595" s="25"/>
      <c r="AC3595" s="12"/>
      <c r="AD3595" s="12"/>
      <c r="AE3595" s="12"/>
      <c r="AF3595" s="6"/>
      <c r="AG3595" s="12"/>
      <c r="AH3595" s="6"/>
      <c r="AI3595" s="6"/>
      <c r="AJ3595" s="12"/>
      <c r="AK3595" s="12"/>
      <c r="AL3595" s="12"/>
      <c r="AM3595" s="12"/>
      <c r="AN3595" s="1"/>
      <c r="AO3595" s="6"/>
    </row>
    <row r="3596" spans="1:41" ht="15" x14ac:dyDescent="0.25">
      <c r="A3596" s="1"/>
      <c r="B3596" s="1"/>
      <c r="C3596" s="1"/>
      <c r="D3596" s="1"/>
      <c r="E3596" s="6"/>
      <c r="F3596" s="1"/>
      <c r="G3596" s="6"/>
      <c r="H3596" s="6"/>
      <c r="I3596" s="6"/>
      <c r="J3596" s="6"/>
      <c r="K3596" s="6"/>
      <c r="L3596" s="6"/>
      <c r="M3596" s="6"/>
      <c r="N3596" s="6"/>
      <c r="O3596" s="7"/>
      <c r="P3596" s="6"/>
      <c r="Q3596" s="6"/>
      <c r="R3596" s="7"/>
      <c r="S3596" s="6"/>
      <c r="T3596" s="6"/>
      <c r="U3596" s="7"/>
      <c r="V3596" s="6"/>
      <c r="W3596" s="6"/>
      <c r="X3596" s="6"/>
      <c r="Y3596" s="6"/>
      <c r="Z3596" s="6"/>
      <c r="AA3596" s="7"/>
      <c r="AB3596" s="6"/>
      <c r="AC3596" s="6"/>
      <c r="AD3596" s="6"/>
      <c r="AE3596" s="12"/>
      <c r="AF3596" s="6"/>
      <c r="AG3596" s="12"/>
      <c r="AH3596" s="6"/>
      <c r="AI3596" s="6"/>
      <c r="AJ3596" s="12"/>
      <c r="AK3596" s="24"/>
      <c r="AL3596" s="25"/>
      <c r="AM3596" s="12"/>
      <c r="AN3596" s="1"/>
      <c r="AO3596" s="6"/>
    </row>
    <row r="3597" spans="1:41" ht="15" x14ac:dyDescent="0.25">
      <c r="A3597" s="1"/>
      <c r="B3597" s="1"/>
      <c r="C3597" s="1"/>
      <c r="D3597" s="1"/>
      <c r="E3597" s="6"/>
      <c r="F3597" s="1"/>
      <c r="G3597" s="6"/>
      <c r="H3597" s="6"/>
      <c r="I3597" s="6"/>
      <c r="J3597" s="6"/>
      <c r="K3597" s="6"/>
      <c r="L3597" s="6"/>
      <c r="M3597" s="6"/>
      <c r="N3597" s="6"/>
      <c r="O3597" s="7"/>
      <c r="P3597" s="6"/>
      <c r="Q3597" s="6"/>
      <c r="R3597" s="7"/>
      <c r="S3597" s="6"/>
      <c r="T3597" s="6"/>
      <c r="U3597" s="7"/>
      <c r="V3597" s="6"/>
      <c r="W3597" s="6"/>
      <c r="X3597" s="12"/>
      <c r="Y3597" s="6"/>
      <c r="Z3597" s="6"/>
      <c r="AA3597" s="7"/>
      <c r="AB3597" s="6"/>
      <c r="AC3597" s="6"/>
      <c r="AD3597" s="6"/>
      <c r="AE3597" s="12"/>
      <c r="AF3597" s="6"/>
      <c r="AG3597" s="12"/>
      <c r="AH3597" s="6"/>
      <c r="AI3597" s="6"/>
      <c r="AJ3597" s="12"/>
      <c r="AK3597" s="24"/>
      <c r="AL3597" s="25"/>
      <c r="AM3597" s="12"/>
      <c r="AN3597" s="1"/>
      <c r="AO3597" s="6"/>
    </row>
    <row r="3598" spans="1:41" ht="15" x14ac:dyDescent="0.25">
      <c r="A3598" s="1"/>
      <c r="B3598" s="1"/>
      <c r="C3598" s="1"/>
      <c r="D3598" s="1"/>
      <c r="E3598" s="6"/>
      <c r="F3598" s="1"/>
      <c r="G3598" s="6"/>
      <c r="H3598" s="6"/>
      <c r="I3598" s="6"/>
      <c r="J3598" s="6"/>
      <c r="K3598" s="12"/>
      <c r="L3598" s="12"/>
      <c r="M3598" s="6"/>
      <c r="N3598" s="6"/>
      <c r="O3598" s="7"/>
      <c r="P3598" s="6"/>
      <c r="Q3598" s="6"/>
      <c r="R3598" s="7"/>
      <c r="S3598" s="6"/>
      <c r="T3598" s="6"/>
      <c r="U3598" s="7"/>
      <c r="V3598" s="6"/>
      <c r="W3598" s="6"/>
      <c r="X3598" s="12"/>
      <c r="Y3598" s="6"/>
      <c r="Z3598" s="6"/>
      <c r="AA3598" s="7"/>
      <c r="AB3598" s="6"/>
      <c r="AC3598" s="6"/>
      <c r="AD3598" s="6"/>
      <c r="AE3598" s="12"/>
      <c r="AF3598" s="12"/>
      <c r="AG3598" s="12"/>
      <c r="AH3598" s="12"/>
      <c r="AI3598" s="6"/>
      <c r="AJ3598" s="12"/>
      <c r="AK3598" s="1"/>
      <c r="AL3598" s="12"/>
      <c r="AM3598" s="12"/>
      <c r="AN3598" s="1"/>
      <c r="AO3598" s="6"/>
    </row>
    <row r="3599" spans="1:41" ht="15" x14ac:dyDescent="0.25">
      <c r="A3599" s="1"/>
      <c r="B3599" s="1"/>
      <c r="C3599" s="1"/>
      <c r="D3599" s="1"/>
      <c r="E3599" s="6"/>
      <c r="F3599" s="1"/>
      <c r="G3599" s="6"/>
      <c r="H3599" s="6"/>
      <c r="I3599" s="6"/>
      <c r="J3599" s="6"/>
      <c r="K3599" s="6"/>
      <c r="L3599" s="6"/>
      <c r="M3599" s="6"/>
      <c r="N3599" s="6"/>
      <c r="O3599" s="7"/>
      <c r="P3599" s="6"/>
      <c r="Q3599" s="7"/>
      <c r="R3599" s="6"/>
      <c r="S3599" s="6"/>
      <c r="T3599" s="6"/>
      <c r="U3599" s="6"/>
      <c r="V3599" s="7"/>
      <c r="W3599" s="7"/>
      <c r="X3599" s="6"/>
      <c r="Y3599" s="6"/>
      <c r="Z3599" s="6"/>
      <c r="AA3599" s="1"/>
      <c r="AB3599" s="12"/>
      <c r="AC3599" s="12"/>
      <c r="AD3599" s="12"/>
      <c r="AE3599" s="12"/>
      <c r="AF3599" s="12"/>
      <c r="AG3599" s="12"/>
      <c r="AH3599" s="12"/>
      <c r="AI3599" s="6"/>
      <c r="AJ3599" s="12"/>
      <c r="AK3599" s="12"/>
      <c r="AL3599" s="12"/>
      <c r="AM3599" s="12"/>
      <c r="AN3599" s="1"/>
      <c r="AO3599" s="6"/>
    </row>
    <row r="3600" spans="1:41" ht="15" x14ac:dyDescent="0.25">
      <c r="A3600" s="1"/>
      <c r="B3600" s="1"/>
      <c r="C3600" s="1"/>
      <c r="D3600" s="1"/>
      <c r="E3600" s="6"/>
      <c r="F3600" s="1"/>
      <c r="G3600" s="6"/>
      <c r="H3600" s="6"/>
      <c r="I3600" s="6"/>
      <c r="J3600" s="6"/>
      <c r="K3600" s="6"/>
      <c r="L3600" s="6"/>
      <c r="M3600" s="6"/>
      <c r="N3600" s="6"/>
      <c r="O3600" s="7"/>
      <c r="P3600" s="6"/>
      <c r="Q3600" s="6"/>
      <c r="R3600" s="7"/>
      <c r="S3600" s="6"/>
      <c r="T3600" s="6"/>
      <c r="U3600" s="7"/>
      <c r="V3600" s="6"/>
      <c r="W3600" s="6"/>
      <c r="X3600" s="6"/>
      <c r="Y3600" s="6"/>
      <c r="Z3600" s="6"/>
      <c r="AA3600" s="7"/>
      <c r="AB3600" s="6"/>
      <c r="AC3600" s="6"/>
      <c r="AD3600" s="6"/>
      <c r="AE3600" s="12"/>
      <c r="AF3600" s="12"/>
      <c r="AG3600" s="12"/>
      <c r="AH3600" s="12"/>
      <c r="AI3600" s="6"/>
      <c r="AJ3600" s="12"/>
      <c r="AK3600" s="1"/>
      <c r="AL3600" s="12"/>
      <c r="AM3600" s="12"/>
      <c r="AN3600" s="1"/>
      <c r="AO3600" s="6"/>
    </row>
    <row r="3601" spans="1:41" ht="15" x14ac:dyDescent="0.25">
      <c r="A3601" s="1"/>
      <c r="B3601" s="1"/>
      <c r="C3601" s="1"/>
      <c r="D3601" s="1"/>
      <c r="E3601" s="6"/>
      <c r="F3601" s="1"/>
      <c r="G3601" s="6"/>
      <c r="H3601" s="6"/>
      <c r="I3601" s="6"/>
      <c r="J3601" s="6"/>
      <c r="K3601" s="12"/>
      <c r="L3601" s="12"/>
      <c r="M3601" s="6"/>
      <c r="N3601" s="6"/>
      <c r="O3601" s="7"/>
      <c r="P3601" s="6"/>
      <c r="Q3601" s="6"/>
      <c r="R3601" s="7"/>
      <c r="S3601" s="6"/>
      <c r="T3601" s="6"/>
      <c r="U3601" s="7"/>
      <c r="V3601" s="6"/>
      <c r="W3601" s="6"/>
      <c r="X3601" s="6"/>
      <c r="Y3601" s="6"/>
      <c r="Z3601" s="6"/>
      <c r="AA3601" s="7"/>
      <c r="AB3601" s="6"/>
      <c r="AC3601" s="6"/>
      <c r="AD3601" s="6"/>
      <c r="AE3601" s="12"/>
      <c r="AF3601" s="12"/>
      <c r="AG3601" s="12"/>
      <c r="AH3601" s="12"/>
      <c r="AI3601" s="6"/>
      <c r="AJ3601" s="12"/>
      <c r="AK3601" s="24"/>
      <c r="AL3601" s="25"/>
      <c r="AM3601" s="12"/>
      <c r="AN3601" s="1"/>
      <c r="AO3601" s="6"/>
    </row>
    <row r="3602" spans="1:41" ht="15" x14ac:dyDescent="0.25">
      <c r="A3602" s="1"/>
      <c r="B3602" s="1"/>
      <c r="C3602" s="1"/>
      <c r="D3602" s="1"/>
      <c r="E3602" s="6"/>
      <c r="F3602" s="1"/>
      <c r="G3602" s="6"/>
      <c r="H3602" s="6"/>
      <c r="I3602" s="6"/>
      <c r="J3602" s="6"/>
      <c r="K3602" s="6"/>
      <c r="L3602" s="6"/>
      <c r="M3602" s="6"/>
      <c r="N3602" s="6"/>
      <c r="O3602" s="7"/>
      <c r="P3602" s="6"/>
      <c r="Q3602" s="6"/>
      <c r="R3602" s="12"/>
      <c r="S3602" s="12"/>
      <c r="T3602" s="12"/>
      <c r="U3602" s="7"/>
      <c r="V3602" s="6"/>
      <c r="W3602" s="6"/>
      <c r="X3602" s="12"/>
      <c r="Y3602" s="6"/>
      <c r="Z3602" s="6"/>
      <c r="AA3602" s="7"/>
      <c r="AB3602" s="6"/>
      <c r="AC3602" s="6"/>
      <c r="AD3602" s="6"/>
      <c r="AE3602" s="12"/>
      <c r="AF3602" s="12"/>
      <c r="AG3602" s="12"/>
      <c r="AH3602" s="12"/>
      <c r="AI3602" s="6"/>
      <c r="AJ3602" s="12"/>
      <c r="AK3602" s="24"/>
      <c r="AL3602" s="25"/>
      <c r="AM3602" s="12"/>
      <c r="AN3602" s="1"/>
      <c r="AO3602" s="6"/>
    </row>
    <row r="3603" spans="1:41" ht="15" x14ac:dyDescent="0.25">
      <c r="A3603" s="1"/>
      <c r="B3603" s="1"/>
      <c r="C3603" s="1"/>
      <c r="D3603" s="1"/>
      <c r="E3603" s="6"/>
      <c r="F3603" s="1"/>
      <c r="G3603" s="6"/>
      <c r="H3603" s="6"/>
      <c r="I3603" s="6"/>
      <c r="J3603" s="6"/>
      <c r="K3603" s="12"/>
      <c r="L3603" s="12"/>
      <c r="M3603" s="6"/>
      <c r="N3603" s="6"/>
      <c r="O3603" s="7"/>
      <c r="P3603" s="12"/>
      <c r="Q3603" s="6"/>
      <c r="R3603" s="7"/>
      <c r="S3603" s="6"/>
      <c r="T3603" s="6"/>
      <c r="U3603" s="7"/>
      <c r="V3603" s="6"/>
      <c r="W3603" s="6"/>
      <c r="X3603" s="6"/>
      <c r="Y3603" s="6"/>
      <c r="Z3603" s="6"/>
      <c r="AA3603" s="7"/>
      <c r="AB3603" s="6"/>
      <c r="AC3603" s="6"/>
      <c r="AD3603" s="6"/>
      <c r="AE3603" s="12"/>
      <c r="AF3603" s="12"/>
      <c r="AG3603" s="12"/>
      <c r="AH3603" s="12"/>
      <c r="AI3603" s="6"/>
      <c r="AJ3603" s="12"/>
      <c r="AK3603" s="1"/>
      <c r="AL3603" s="12"/>
      <c r="AM3603" s="12"/>
      <c r="AN3603" s="1"/>
      <c r="AO3603" s="6"/>
    </row>
    <row r="3604" spans="1:41" ht="15" x14ac:dyDescent="0.25">
      <c r="A3604" s="1"/>
      <c r="B3604" s="1"/>
      <c r="C3604" s="1"/>
      <c r="D3604" s="1"/>
      <c r="E3604" s="6"/>
      <c r="F3604" s="1"/>
      <c r="G3604" s="6"/>
      <c r="H3604" s="6"/>
      <c r="I3604" s="6"/>
      <c r="J3604" s="6"/>
      <c r="K3604" s="12"/>
      <c r="L3604" s="12"/>
      <c r="M3604" s="6"/>
      <c r="N3604" s="6"/>
      <c r="O3604" s="7"/>
      <c r="P3604" s="6"/>
      <c r="Q3604" s="6"/>
      <c r="R3604" s="7"/>
      <c r="S3604" s="6"/>
      <c r="T3604" s="6"/>
      <c r="U3604" s="7"/>
      <c r="V3604" s="6"/>
      <c r="W3604" s="6"/>
      <c r="X3604" s="6"/>
      <c r="Y3604" s="6"/>
      <c r="Z3604" s="6"/>
      <c r="AA3604" s="7"/>
      <c r="AB3604" s="6"/>
      <c r="AC3604" s="6"/>
      <c r="AD3604" s="6"/>
      <c r="AE3604" s="12"/>
      <c r="AF3604" s="12"/>
      <c r="AG3604" s="12"/>
      <c r="AH3604" s="12"/>
      <c r="AI3604" s="6"/>
      <c r="AJ3604" s="12"/>
      <c r="AK3604" s="1"/>
      <c r="AL3604" s="12"/>
      <c r="AM3604" s="12"/>
      <c r="AN3604" s="1"/>
      <c r="AO3604" s="12"/>
    </row>
    <row r="3605" spans="1:41" ht="15" x14ac:dyDescent="0.25">
      <c r="A3605" s="1"/>
      <c r="B3605" s="1"/>
      <c r="C3605" s="1"/>
      <c r="D3605" s="1"/>
      <c r="E3605" s="6"/>
      <c r="F3605" s="1"/>
      <c r="G3605" s="6"/>
      <c r="H3605" s="6"/>
      <c r="I3605" s="6"/>
      <c r="J3605" s="6"/>
      <c r="K3605" s="6"/>
      <c r="L3605" s="6"/>
      <c r="M3605" s="6"/>
      <c r="N3605" s="6"/>
      <c r="O3605" s="7"/>
      <c r="P3605" s="6"/>
      <c r="Q3605" s="6"/>
      <c r="R3605" s="7"/>
      <c r="S3605" s="6"/>
      <c r="T3605" s="6"/>
      <c r="U3605" s="7"/>
      <c r="V3605" s="6"/>
      <c r="W3605" s="6"/>
      <c r="X3605" s="6"/>
      <c r="Y3605" s="6"/>
      <c r="Z3605" s="6"/>
      <c r="AA3605" s="7"/>
      <c r="AB3605" s="6"/>
      <c r="AC3605" s="6"/>
      <c r="AD3605" s="6"/>
      <c r="AE3605" s="12"/>
      <c r="AF3605" s="12"/>
      <c r="AG3605" s="12"/>
      <c r="AH3605" s="12"/>
      <c r="AI3605" s="6"/>
      <c r="AJ3605" s="12"/>
      <c r="AK3605" s="1"/>
      <c r="AL3605" s="12"/>
      <c r="AM3605" s="12"/>
      <c r="AN3605" s="1"/>
      <c r="AO3605" s="6"/>
    </row>
    <row r="3606" spans="1:41" ht="15" x14ac:dyDescent="0.25">
      <c r="A3606" s="1"/>
      <c r="B3606" s="1"/>
      <c r="C3606" s="1"/>
      <c r="D3606" s="1"/>
      <c r="E3606" s="6"/>
      <c r="F3606" s="1"/>
      <c r="G3606" s="6"/>
      <c r="H3606" s="6"/>
      <c r="I3606" s="6"/>
      <c r="J3606" s="6"/>
      <c r="K3606" s="6"/>
      <c r="L3606" s="6"/>
      <c r="M3606" s="6"/>
      <c r="N3606" s="6"/>
      <c r="O3606" s="7"/>
      <c r="P3606" s="6"/>
      <c r="Q3606" s="6"/>
      <c r="R3606" s="7"/>
      <c r="S3606" s="6"/>
      <c r="T3606" s="6"/>
      <c r="U3606" s="7"/>
      <c r="V3606" s="6"/>
      <c r="W3606" s="6"/>
      <c r="X3606" s="12"/>
      <c r="Y3606" s="6"/>
      <c r="Z3606" s="6"/>
      <c r="AA3606" s="7"/>
      <c r="AB3606" s="6"/>
      <c r="AC3606" s="6"/>
      <c r="AD3606" s="6"/>
      <c r="AE3606" s="12"/>
      <c r="AF3606" s="6"/>
      <c r="AG3606" s="12"/>
      <c r="AH3606" s="6"/>
      <c r="AI3606" s="6"/>
      <c r="AJ3606" s="12"/>
      <c r="AK3606" s="24"/>
      <c r="AL3606" s="25"/>
      <c r="AM3606" s="12"/>
      <c r="AN3606" s="1"/>
      <c r="AO3606" s="6"/>
    </row>
    <row r="3607" spans="1:41" ht="15" x14ac:dyDescent="0.25">
      <c r="A3607" s="1"/>
      <c r="B3607" s="1"/>
      <c r="C3607" s="1"/>
      <c r="D3607" s="1"/>
      <c r="E3607" s="6"/>
      <c r="F3607" s="1"/>
      <c r="G3607" s="6"/>
      <c r="H3607" s="6"/>
      <c r="I3607" s="6"/>
      <c r="J3607" s="6"/>
      <c r="K3607" s="6"/>
      <c r="L3607" s="6"/>
      <c r="M3607" s="6"/>
      <c r="N3607" s="6"/>
      <c r="O3607" s="7"/>
      <c r="P3607" s="12"/>
      <c r="Q3607" s="6"/>
      <c r="R3607" s="7"/>
      <c r="S3607" s="6"/>
      <c r="T3607" s="6"/>
      <c r="U3607" s="7"/>
      <c r="V3607" s="6"/>
      <c r="W3607" s="6"/>
      <c r="X3607" s="6"/>
      <c r="Y3607" s="6"/>
      <c r="Z3607" s="6"/>
      <c r="AA3607" s="7"/>
      <c r="AB3607" s="6"/>
      <c r="AC3607" s="6"/>
      <c r="AD3607" s="6"/>
      <c r="AE3607" s="12"/>
      <c r="AF3607" s="6"/>
      <c r="AG3607" s="12"/>
      <c r="AH3607" s="6"/>
      <c r="AI3607" s="6"/>
      <c r="AJ3607" s="12"/>
      <c r="AK3607" s="24"/>
      <c r="AL3607" s="25"/>
      <c r="AM3607" s="12"/>
      <c r="AN3607" s="1"/>
      <c r="AO3607" s="6"/>
    </row>
    <row r="3608" spans="1:41" ht="15" x14ac:dyDescent="0.25">
      <c r="A3608" s="1"/>
      <c r="B3608" s="1"/>
      <c r="C3608" s="1"/>
      <c r="D3608" s="1"/>
      <c r="E3608" s="6"/>
      <c r="F3608" s="1"/>
      <c r="G3608" s="6"/>
      <c r="H3608" s="6"/>
      <c r="I3608" s="6"/>
      <c r="J3608" s="6"/>
      <c r="K3608" s="6"/>
      <c r="L3608" s="6"/>
      <c r="M3608" s="6"/>
      <c r="N3608" s="6"/>
      <c r="O3608" s="7"/>
      <c r="P3608" s="12"/>
      <c r="Q3608" s="6"/>
      <c r="R3608" s="15"/>
      <c r="S3608" s="6"/>
      <c r="T3608" s="6"/>
      <c r="U3608" s="7"/>
      <c r="V3608" s="6"/>
      <c r="W3608" s="6"/>
      <c r="X3608" s="12"/>
      <c r="Y3608" s="6"/>
      <c r="Z3608" s="6"/>
      <c r="AA3608" s="7"/>
      <c r="AB3608" s="6"/>
      <c r="AC3608" s="6"/>
      <c r="AD3608" s="6"/>
      <c r="AE3608" s="12"/>
      <c r="AF3608" s="12"/>
      <c r="AG3608" s="12"/>
      <c r="AH3608" s="12"/>
      <c r="AI3608" s="6"/>
      <c r="AJ3608" s="12"/>
      <c r="AK3608" s="1"/>
      <c r="AL3608" s="12"/>
      <c r="AM3608" s="12"/>
      <c r="AN3608" s="1"/>
      <c r="AO3608" s="12"/>
    </row>
    <row r="3609" spans="1:41" ht="15" x14ac:dyDescent="0.25">
      <c r="A3609" s="1"/>
      <c r="B3609" s="1"/>
      <c r="C3609" s="1"/>
      <c r="D3609" s="1"/>
      <c r="E3609" s="6"/>
      <c r="F3609" s="1"/>
      <c r="G3609" s="6"/>
      <c r="H3609" s="6"/>
      <c r="I3609" s="6"/>
      <c r="J3609" s="6"/>
      <c r="K3609" s="6"/>
      <c r="L3609" s="6"/>
      <c r="M3609" s="6"/>
      <c r="N3609" s="6"/>
      <c r="O3609" s="7"/>
      <c r="P3609" s="6"/>
      <c r="Q3609" s="7"/>
      <c r="R3609" s="6"/>
      <c r="S3609" s="6"/>
      <c r="T3609" s="6"/>
      <c r="U3609" s="6"/>
      <c r="V3609" s="7"/>
      <c r="W3609" s="7"/>
      <c r="X3609" s="6"/>
      <c r="Y3609" s="6"/>
      <c r="Z3609" s="6"/>
      <c r="AA3609" s="1"/>
      <c r="AB3609" s="12"/>
      <c r="AC3609" s="12"/>
      <c r="AD3609" s="12"/>
      <c r="AE3609" s="12"/>
      <c r="AF3609" s="12"/>
      <c r="AG3609" s="12"/>
      <c r="AH3609" s="12"/>
      <c r="AI3609" s="6"/>
      <c r="AJ3609" s="12"/>
      <c r="AK3609" s="12"/>
      <c r="AL3609" s="12"/>
      <c r="AM3609" s="12"/>
      <c r="AN3609" s="1"/>
      <c r="AO3609" s="6"/>
    </row>
    <row r="3610" spans="1:41" ht="15" x14ac:dyDescent="0.25">
      <c r="A3610" s="1"/>
      <c r="B3610" s="1"/>
      <c r="C3610" s="1"/>
      <c r="D3610" s="1"/>
      <c r="E3610" s="6"/>
      <c r="F3610" s="1"/>
      <c r="G3610" s="6"/>
      <c r="H3610" s="6"/>
      <c r="I3610" s="6"/>
      <c r="J3610" s="6"/>
      <c r="K3610" s="6"/>
      <c r="L3610" s="6"/>
      <c r="M3610" s="6"/>
      <c r="N3610" s="6"/>
      <c r="O3610" s="7"/>
      <c r="P3610" s="6"/>
      <c r="Q3610" s="6"/>
      <c r="R3610" s="7"/>
      <c r="S3610" s="6"/>
      <c r="T3610" s="6"/>
      <c r="U3610" s="7"/>
      <c r="V3610" s="6"/>
      <c r="W3610" s="6"/>
      <c r="X3610" s="6"/>
      <c r="Y3610" s="6"/>
      <c r="Z3610" s="6"/>
      <c r="AA3610" s="7"/>
      <c r="AB3610" s="6"/>
      <c r="AC3610" s="6"/>
      <c r="AD3610" s="6"/>
      <c r="AE3610" s="12"/>
      <c r="AF3610" s="12"/>
      <c r="AG3610" s="12"/>
      <c r="AH3610" s="12"/>
      <c r="AI3610" s="6"/>
      <c r="AJ3610" s="12"/>
      <c r="AK3610" s="1"/>
      <c r="AL3610" s="12"/>
      <c r="AM3610" s="12"/>
      <c r="AN3610" s="1"/>
      <c r="AO3610" s="6"/>
    </row>
    <row r="3611" spans="1:41" ht="15" x14ac:dyDescent="0.25">
      <c r="A3611" s="1"/>
      <c r="B3611" s="1"/>
      <c r="C3611" s="1"/>
      <c r="D3611" s="1"/>
      <c r="E3611" s="6"/>
      <c r="F3611" s="1"/>
      <c r="G3611" s="6"/>
      <c r="H3611" s="6"/>
      <c r="I3611" s="6"/>
      <c r="J3611" s="6"/>
      <c r="K3611" s="6"/>
      <c r="L3611" s="6"/>
      <c r="M3611" s="6"/>
      <c r="N3611" s="6"/>
      <c r="O3611" s="7"/>
      <c r="P3611" s="6"/>
      <c r="Q3611" s="6"/>
      <c r="R3611" s="7"/>
      <c r="S3611" s="6"/>
      <c r="T3611" s="6"/>
      <c r="U3611" s="7"/>
      <c r="V3611" s="6"/>
      <c r="W3611" s="6"/>
      <c r="X3611" s="6"/>
      <c r="Y3611" s="6"/>
      <c r="Z3611" s="6"/>
      <c r="AA3611" s="7"/>
      <c r="AB3611" s="6"/>
      <c r="AC3611" s="6"/>
      <c r="AD3611" s="6"/>
      <c r="AE3611" s="12"/>
      <c r="AF3611" s="12"/>
      <c r="AG3611" s="12"/>
      <c r="AH3611" s="12"/>
      <c r="AI3611" s="6"/>
      <c r="AJ3611" s="12"/>
      <c r="AK3611" s="1"/>
      <c r="AL3611" s="12"/>
      <c r="AM3611" s="12"/>
      <c r="AN3611" s="1"/>
      <c r="AO3611" s="6"/>
    </row>
    <row r="3612" spans="1:41" ht="15" x14ac:dyDescent="0.25">
      <c r="A3612" s="1"/>
      <c r="B3612" s="1"/>
      <c r="C3612" s="1"/>
      <c r="D3612" s="1"/>
      <c r="E3612" s="6"/>
      <c r="F3612" s="1"/>
      <c r="G3612" s="6"/>
      <c r="H3612" s="6"/>
      <c r="I3612" s="6"/>
      <c r="J3612" s="6"/>
      <c r="K3612" s="6"/>
      <c r="L3612" s="6"/>
      <c r="M3612" s="6"/>
      <c r="N3612" s="6"/>
      <c r="O3612" s="7"/>
      <c r="P3612" s="6"/>
      <c r="Q3612" s="6"/>
      <c r="R3612" s="7"/>
      <c r="S3612" s="6"/>
      <c r="T3612" s="6"/>
      <c r="U3612" s="7"/>
      <c r="V3612" s="6"/>
      <c r="W3612" s="6"/>
      <c r="X3612" s="12"/>
      <c r="Y3612" s="6"/>
      <c r="Z3612" s="6"/>
      <c r="AA3612" s="7"/>
      <c r="AB3612" s="6"/>
      <c r="AC3612" s="6"/>
      <c r="AD3612" s="6"/>
      <c r="AE3612" s="12"/>
      <c r="AF3612" s="6"/>
      <c r="AG3612" s="12"/>
      <c r="AH3612" s="6"/>
      <c r="AI3612" s="6"/>
      <c r="AJ3612" s="12"/>
      <c r="AK3612" s="24"/>
      <c r="AL3612" s="25"/>
      <c r="AM3612" s="12"/>
      <c r="AN3612" s="1"/>
      <c r="AO3612" s="6"/>
    </row>
    <row r="3613" spans="1:41" ht="15" x14ac:dyDescent="0.25">
      <c r="A3613" s="1"/>
      <c r="B3613" s="1"/>
      <c r="C3613" s="1"/>
      <c r="D3613" s="1"/>
      <c r="E3613" s="6"/>
      <c r="F3613" s="1"/>
      <c r="G3613" s="6"/>
      <c r="H3613" s="6"/>
      <c r="I3613" s="6"/>
      <c r="J3613" s="6"/>
      <c r="K3613" s="6"/>
      <c r="L3613" s="6"/>
      <c r="M3613" s="6"/>
      <c r="N3613" s="6"/>
      <c r="O3613" s="7"/>
      <c r="P3613" s="6"/>
      <c r="Q3613" s="7"/>
      <c r="R3613" s="6"/>
      <c r="S3613" s="6"/>
      <c r="T3613" s="6"/>
      <c r="U3613" s="6"/>
      <c r="V3613" s="7"/>
      <c r="W3613" s="7"/>
      <c r="X3613" s="6"/>
      <c r="Y3613" s="6"/>
      <c r="Z3613" s="6"/>
      <c r="AA3613" s="1"/>
      <c r="AB3613" s="12"/>
      <c r="AC3613" s="12"/>
      <c r="AD3613" s="12"/>
      <c r="AE3613" s="12"/>
      <c r="AF3613" s="12"/>
      <c r="AG3613" s="12"/>
      <c r="AH3613" s="12"/>
      <c r="AI3613" s="6"/>
      <c r="AJ3613" s="12"/>
      <c r="AK3613" s="12"/>
      <c r="AL3613" s="12"/>
      <c r="AM3613" s="12"/>
      <c r="AN3613" s="1"/>
      <c r="AO3613" s="6"/>
    </row>
    <row r="3614" spans="1:41" ht="15" x14ac:dyDescent="0.25">
      <c r="A3614" s="1"/>
      <c r="B3614" s="1"/>
      <c r="C3614" s="1"/>
      <c r="D3614" s="1"/>
      <c r="E3614" s="6"/>
      <c r="F3614" s="1"/>
      <c r="G3614" s="6"/>
      <c r="H3614" s="6"/>
      <c r="I3614" s="6"/>
      <c r="J3614" s="6"/>
      <c r="K3614" s="12"/>
      <c r="L3614" s="12"/>
      <c r="M3614" s="6"/>
      <c r="N3614" s="6"/>
      <c r="O3614" s="7"/>
      <c r="P3614" s="12"/>
      <c r="Q3614" s="6"/>
      <c r="R3614" s="7"/>
      <c r="S3614" s="6"/>
      <c r="T3614" s="6"/>
      <c r="U3614" s="7"/>
      <c r="V3614" s="6"/>
      <c r="W3614" s="6"/>
      <c r="X3614" s="6"/>
      <c r="Y3614" s="6"/>
      <c r="Z3614" s="6"/>
      <c r="AA3614" s="7"/>
      <c r="AB3614" s="6"/>
      <c r="AC3614" s="6"/>
      <c r="AD3614" s="6"/>
      <c r="AE3614" s="12"/>
      <c r="AF3614" s="12"/>
      <c r="AG3614" s="12"/>
      <c r="AH3614" s="12"/>
      <c r="AI3614" s="6"/>
      <c r="AJ3614" s="12"/>
      <c r="AK3614" s="1"/>
      <c r="AL3614" s="12"/>
      <c r="AM3614" s="12"/>
      <c r="AN3614" s="1"/>
      <c r="AO3614" s="6"/>
    </row>
    <row r="3615" spans="1:41" ht="15" x14ac:dyDescent="0.25">
      <c r="A3615" s="1"/>
      <c r="B3615" s="1"/>
      <c r="C3615" s="1"/>
      <c r="D3615" s="1"/>
      <c r="E3615" s="6"/>
      <c r="F3615" s="1"/>
      <c r="G3615" s="6"/>
      <c r="H3615" s="6"/>
      <c r="I3615" s="6"/>
      <c r="J3615" s="6"/>
      <c r="K3615" s="6"/>
      <c r="L3615" s="6"/>
      <c r="M3615" s="6"/>
      <c r="N3615" s="6"/>
      <c r="O3615" s="7"/>
      <c r="P3615" s="12"/>
      <c r="Q3615" s="6"/>
      <c r="R3615" s="7"/>
      <c r="S3615" s="6"/>
      <c r="T3615" s="6"/>
      <c r="U3615" s="7"/>
      <c r="V3615" s="6"/>
      <c r="W3615" s="6"/>
      <c r="X3615" s="12"/>
      <c r="Y3615" s="6"/>
      <c r="Z3615" s="6"/>
      <c r="AA3615" s="7"/>
      <c r="AB3615" s="6"/>
      <c r="AC3615" s="6"/>
      <c r="AD3615" s="6"/>
      <c r="AE3615" s="12"/>
      <c r="AF3615" s="12"/>
      <c r="AG3615" s="12"/>
      <c r="AH3615" s="12"/>
      <c r="AI3615" s="6"/>
      <c r="AJ3615" s="12"/>
      <c r="AK3615" s="24"/>
      <c r="AL3615" s="25"/>
      <c r="AM3615" s="12"/>
      <c r="AN3615" s="1"/>
      <c r="AO3615" s="6"/>
    </row>
    <row r="3616" spans="1:41" ht="15" x14ac:dyDescent="0.25">
      <c r="A3616" s="1"/>
      <c r="B3616" s="1"/>
      <c r="C3616" s="1"/>
      <c r="D3616" s="1"/>
      <c r="E3616" s="6"/>
      <c r="F3616" s="1"/>
      <c r="G3616" s="6"/>
      <c r="H3616" s="6"/>
      <c r="I3616" s="6"/>
      <c r="J3616" s="6"/>
      <c r="K3616" s="6"/>
      <c r="L3616" s="6"/>
      <c r="M3616" s="6"/>
      <c r="N3616" s="6"/>
      <c r="O3616" s="7"/>
      <c r="P3616" s="12"/>
      <c r="Q3616" s="6"/>
      <c r="R3616" s="7"/>
      <c r="S3616" s="6"/>
      <c r="T3616" s="6"/>
      <c r="U3616" s="7"/>
      <c r="V3616" s="6"/>
      <c r="W3616" s="6"/>
      <c r="X3616" s="6"/>
      <c r="Y3616" s="6"/>
      <c r="Z3616" s="6"/>
      <c r="AA3616" s="7"/>
      <c r="AB3616" s="6"/>
      <c r="AC3616" s="6"/>
      <c r="AD3616" s="6"/>
      <c r="AE3616" s="12"/>
      <c r="AF3616" s="6"/>
      <c r="AG3616" s="12"/>
      <c r="AH3616" s="6"/>
      <c r="AI3616" s="6"/>
      <c r="AJ3616" s="12"/>
      <c r="AK3616" s="1"/>
      <c r="AL3616" s="12"/>
      <c r="AM3616" s="12"/>
      <c r="AN3616" s="1"/>
      <c r="AO3616" s="6"/>
    </row>
    <row r="3617" spans="1:41" ht="15" x14ac:dyDescent="0.25">
      <c r="A3617" s="1"/>
      <c r="B3617" s="1"/>
      <c r="C3617" s="1"/>
      <c r="D3617" s="1"/>
      <c r="E3617" s="6"/>
      <c r="F3617" s="1"/>
      <c r="G3617" s="6"/>
      <c r="H3617" s="6"/>
      <c r="I3617" s="6"/>
      <c r="J3617" s="6"/>
      <c r="K3617" s="6"/>
      <c r="L3617" s="6"/>
      <c r="M3617" s="6"/>
      <c r="N3617" s="6"/>
      <c r="O3617" s="7"/>
      <c r="P3617" s="6"/>
      <c r="Q3617" s="6"/>
      <c r="R3617" s="7"/>
      <c r="S3617" s="6"/>
      <c r="T3617" s="6"/>
      <c r="U3617" s="7"/>
      <c r="V3617" s="6"/>
      <c r="W3617" s="6"/>
      <c r="X3617" s="12"/>
      <c r="Y3617" s="6"/>
      <c r="Z3617" s="6"/>
      <c r="AA3617" s="7"/>
      <c r="AB3617" s="6"/>
      <c r="AC3617" s="6"/>
      <c r="AD3617" s="6"/>
      <c r="AE3617" s="12"/>
      <c r="AF3617" s="6"/>
      <c r="AG3617" s="12"/>
      <c r="AH3617" s="6"/>
      <c r="AI3617" s="6"/>
      <c r="AJ3617" s="12"/>
      <c r="AK3617" s="1"/>
      <c r="AL3617" s="12"/>
      <c r="AM3617" s="12"/>
      <c r="AN3617" s="1"/>
      <c r="AO3617" s="6"/>
    </row>
    <row r="3618" spans="1:41" ht="15" x14ac:dyDescent="0.25">
      <c r="A3618" s="1"/>
      <c r="B3618" s="1"/>
      <c r="C3618" s="1"/>
      <c r="D3618" s="1"/>
      <c r="E3618" s="6"/>
      <c r="F3618" s="1"/>
      <c r="G3618" s="6"/>
      <c r="H3618" s="6"/>
      <c r="I3618" s="6"/>
      <c r="J3618" s="6"/>
      <c r="K3618" s="6"/>
      <c r="L3618" s="6"/>
      <c r="M3618" s="6"/>
      <c r="N3618" s="6"/>
      <c r="O3618" s="7"/>
      <c r="P3618" s="6"/>
      <c r="Q3618" s="6"/>
      <c r="R3618" s="7"/>
      <c r="S3618" s="6"/>
      <c r="T3618" s="6"/>
      <c r="U3618" s="7"/>
      <c r="V3618" s="6"/>
      <c r="W3618" s="6"/>
      <c r="X3618" s="12"/>
      <c r="Y3618" s="6"/>
      <c r="Z3618" s="6"/>
      <c r="AA3618" s="7"/>
      <c r="AB3618" s="6"/>
      <c r="AC3618" s="6"/>
      <c r="AD3618" s="6"/>
      <c r="AE3618" s="12"/>
      <c r="AF3618" s="6"/>
      <c r="AG3618" s="12"/>
      <c r="AH3618" s="6"/>
      <c r="AI3618" s="6"/>
      <c r="AJ3618" s="12"/>
      <c r="AK3618" s="1"/>
      <c r="AL3618" s="12"/>
      <c r="AM3618" s="12"/>
      <c r="AN3618" s="1"/>
      <c r="AO3618" s="6"/>
    </row>
    <row r="3619" spans="1:41" ht="15" x14ac:dyDescent="0.25">
      <c r="A3619" s="1"/>
      <c r="B3619" s="1"/>
      <c r="C3619" s="1"/>
      <c r="D3619" s="1"/>
      <c r="E3619" s="6"/>
      <c r="F3619" s="1"/>
      <c r="G3619" s="6"/>
      <c r="H3619" s="6"/>
      <c r="I3619" s="6"/>
      <c r="J3619" s="6"/>
      <c r="K3619" s="6"/>
      <c r="L3619" s="6"/>
      <c r="M3619" s="6"/>
      <c r="N3619" s="6"/>
      <c r="O3619" s="7"/>
      <c r="P3619" s="6"/>
      <c r="Q3619" s="6"/>
      <c r="R3619" s="7"/>
      <c r="S3619" s="6"/>
      <c r="T3619" s="6"/>
      <c r="U3619" s="7"/>
      <c r="V3619" s="6"/>
      <c r="W3619" s="6"/>
      <c r="X3619" s="12"/>
      <c r="Y3619" s="6"/>
      <c r="Z3619" s="6"/>
      <c r="AA3619" s="7"/>
      <c r="AB3619" s="6"/>
      <c r="AC3619" s="6"/>
      <c r="AD3619" s="6"/>
      <c r="AE3619" s="12"/>
      <c r="AF3619" s="6"/>
      <c r="AG3619" s="12"/>
      <c r="AH3619" s="6"/>
      <c r="AI3619" s="6"/>
      <c r="AJ3619" s="12"/>
      <c r="AK3619" s="24"/>
      <c r="AL3619" s="25"/>
      <c r="AM3619" s="12"/>
      <c r="AN3619" s="1"/>
      <c r="AO3619" s="6"/>
    </row>
    <row r="3620" spans="1:41" ht="15" x14ac:dyDescent="0.25">
      <c r="A3620" s="1"/>
      <c r="B3620" s="1"/>
      <c r="C3620" s="1"/>
      <c r="D3620" s="1"/>
      <c r="E3620" s="6"/>
      <c r="F3620" s="1"/>
      <c r="G3620" s="6"/>
      <c r="H3620" s="6"/>
      <c r="I3620" s="6"/>
      <c r="J3620" s="6"/>
      <c r="K3620" s="6"/>
      <c r="L3620" s="6"/>
      <c r="M3620" s="6"/>
      <c r="N3620" s="6"/>
      <c r="O3620" s="7"/>
      <c r="P3620" s="6"/>
      <c r="Q3620" s="6"/>
      <c r="R3620" s="7"/>
      <c r="S3620" s="6"/>
      <c r="T3620" s="6"/>
      <c r="U3620" s="7"/>
      <c r="V3620" s="6"/>
      <c r="W3620" s="6"/>
      <c r="X3620" s="6"/>
      <c r="Y3620" s="6"/>
      <c r="Z3620" s="6"/>
      <c r="AA3620" s="7"/>
      <c r="AB3620" s="6"/>
      <c r="AC3620" s="6"/>
      <c r="AD3620" s="6"/>
      <c r="AE3620" s="12"/>
      <c r="AF3620" s="6"/>
      <c r="AG3620" s="12"/>
      <c r="AH3620" s="6"/>
      <c r="AI3620" s="6"/>
      <c r="AJ3620" s="12"/>
      <c r="AK3620" s="1"/>
      <c r="AL3620" s="12"/>
      <c r="AM3620" s="12"/>
      <c r="AN3620" s="1"/>
      <c r="AO3620" s="6"/>
    </row>
    <row r="3621" spans="1:41" ht="15" x14ac:dyDescent="0.25">
      <c r="A3621" s="1"/>
      <c r="B3621" s="1"/>
      <c r="C3621" s="1"/>
      <c r="D3621" s="1"/>
      <c r="E3621" s="6"/>
      <c r="F3621" s="1"/>
      <c r="G3621" s="6"/>
      <c r="H3621" s="6"/>
      <c r="I3621" s="6"/>
      <c r="J3621" s="6"/>
      <c r="K3621" s="12"/>
      <c r="L3621" s="12"/>
      <c r="M3621" s="6"/>
      <c r="N3621" s="6"/>
      <c r="O3621" s="7"/>
      <c r="P3621" s="6"/>
      <c r="Q3621" s="6"/>
      <c r="R3621" s="7"/>
      <c r="S3621" s="6"/>
      <c r="T3621" s="6"/>
      <c r="U3621" s="7"/>
      <c r="V3621" s="6"/>
      <c r="W3621" s="6"/>
      <c r="X3621" s="12"/>
      <c r="Y3621" s="6"/>
      <c r="Z3621" s="6"/>
      <c r="AA3621" s="7"/>
      <c r="AB3621" s="6"/>
      <c r="AC3621" s="6"/>
      <c r="AD3621" s="6"/>
      <c r="AE3621" s="12"/>
      <c r="AF3621" s="12"/>
      <c r="AG3621" s="12"/>
      <c r="AH3621" s="12"/>
      <c r="AI3621" s="6"/>
      <c r="AJ3621" s="12"/>
      <c r="AK3621" s="24"/>
      <c r="AL3621" s="25"/>
      <c r="AM3621" s="12"/>
      <c r="AN3621" s="1"/>
      <c r="AO3621" s="6"/>
    </row>
    <row r="3622" spans="1:41" ht="15" x14ac:dyDescent="0.25">
      <c r="A3622" s="1"/>
      <c r="B3622" s="1"/>
      <c r="C3622" s="1"/>
      <c r="D3622" s="1"/>
      <c r="E3622" s="6"/>
      <c r="F3622" s="1"/>
      <c r="G3622" s="6"/>
      <c r="H3622" s="6"/>
      <c r="I3622" s="6"/>
      <c r="J3622" s="6"/>
      <c r="K3622" s="6"/>
      <c r="L3622" s="6"/>
      <c r="M3622" s="6"/>
      <c r="N3622" s="6"/>
      <c r="O3622" s="7"/>
      <c r="P3622" s="6"/>
      <c r="Q3622" s="6"/>
      <c r="R3622" s="7"/>
      <c r="S3622" s="6"/>
      <c r="T3622" s="6"/>
      <c r="U3622" s="7"/>
      <c r="V3622" s="6"/>
      <c r="W3622" s="6"/>
      <c r="X3622" s="12"/>
      <c r="Y3622" s="6"/>
      <c r="Z3622" s="6"/>
      <c r="AA3622" s="7"/>
      <c r="AB3622" s="6"/>
      <c r="AC3622" s="6"/>
      <c r="AD3622" s="6"/>
      <c r="AE3622" s="12"/>
      <c r="AF3622" s="6"/>
      <c r="AG3622" s="12"/>
      <c r="AH3622" s="6"/>
      <c r="AI3622" s="6"/>
      <c r="AJ3622" s="12"/>
      <c r="AK3622" s="24"/>
      <c r="AL3622" s="25"/>
      <c r="AM3622" s="12"/>
      <c r="AN3622" s="1"/>
      <c r="AO3622" s="6"/>
    </row>
    <row r="3623" spans="1:41" ht="15" x14ac:dyDescent="0.25">
      <c r="A3623" s="1"/>
      <c r="B3623" s="1"/>
      <c r="C3623" s="1"/>
      <c r="D3623" s="1"/>
      <c r="E3623" s="6"/>
      <c r="F3623" s="1"/>
      <c r="G3623" s="6"/>
      <c r="H3623" s="6"/>
      <c r="I3623" s="6"/>
      <c r="J3623" s="6"/>
      <c r="K3623" s="6"/>
      <c r="L3623" s="6"/>
      <c r="M3623" s="6"/>
      <c r="N3623" s="6"/>
      <c r="O3623" s="7"/>
      <c r="P3623" s="12"/>
      <c r="Q3623" s="6"/>
      <c r="R3623" s="7"/>
      <c r="S3623" s="6"/>
      <c r="T3623" s="6"/>
      <c r="U3623" s="7"/>
      <c r="V3623" s="6"/>
      <c r="W3623" s="6"/>
      <c r="X3623" s="6"/>
      <c r="Y3623" s="6"/>
      <c r="Z3623" s="6"/>
      <c r="AA3623" s="7"/>
      <c r="AB3623" s="6"/>
      <c r="AC3623" s="6"/>
      <c r="AD3623" s="6"/>
      <c r="AE3623" s="12"/>
      <c r="AF3623" s="6"/>
      <c r="AG3623" s="12"/>
      <c r="AH3623" s="6"/>
      <c r="AI3623" s="6"/>
      <c r="AJ3623" s="12"/>
      <c r="AK3623" s="1"/>
      <c r="AL3623" s="12"/>
      <c r="AM3623" s="12"/>
      <c r="AN3623" s="1"/>
      <c r="AO3623" s="6"/>
    </row>
    <row r="3624" spans="1:41" ht="15" x14ac:dyDescent="0.25">
      <c r="A3624" s="1"/>
      <c r="B3624" s="1"/>
      <c r="C3624" s="1"/>
      <c r="D3624" s="1"/>
      <c r="E3624" s="6"/>
      <c r="F3624" s="1"/>
      <c r="G3624" s="6"/>
      <c r="H3624" s="6"/>
      <c r="I3624" s="6"/>
      <c r="J3624" s="6"/>
      <c r="K3624" s="6"/>
      <c r="L3624" s="6"/>
      <c r="M3624" s="6"/>
      <c r="N3624" s="6"/>
      <c r="O3624" s="7"/>
      <c r="P3624" s="6"/>
      <c r="Q3624" s="6"/>
      <c r="R3624" s="7"/>
      <c r="S3624" s="6"/>
      <c r="T3624" s="6"/>
      <c r="U3624" s="7"/>
      <c r="V3624" s="6"/>
      <c r="W3624" s="6"/>
      <c r="X3624" s="6"/>
      <c r="Y3624" s="6"/>
      <c r="Z3624" s="6"/>
      <c r="AA3624" s="7"/>
      <c r="AB3624" s="6"/>
      <c r="AC3624" s="6"/>
      <c r="AD3624" s="6"/>
      <c r="AE3624" s="12"/>
      <c r="AF3624" s="6"/>
      <c r="AG3624" s="12"/>
      <c r="AH3624" s="6"/>
      <c r="AI3624" s="6"/>
      <c r="AJ3624" s="12"/>
      <c r="AK3624" s="1"/>
      <c r="AL3624" s="12"/>
      <c r="AM3624" s="12"/>
      <c r="AN3624" s="1"/>
      <c r="AO3624" s="6"/>
    </row>
    <row r="3625" spans="1:41" ht="15" x14ac:dyDescent="0.25">
      <c r="A3625" s="1"/>
      <c r="B3625" s="1"/>
      <c r="C3625" s="1"/>
      <c r="D3625" s="1"/>
      <c r="E3625" s="6"/>
      <c r="F3625" s="1"/>
      <c r="G3625" s="6"/>
      <c r="H3625" s="6"/>
      <c r="I3625" s="6"/>
      <c r="J3625" s="6"/>
      <c r="K3625" s="6"/>
      <c r="L3625" s="6"/>
      <c r="M3625" s="6"/>
      <c r="N3625" s="6"/>
      <c r="O3625" s="7"/>
      <c r="P3625" s="6"/>
      <c r="Q3625" s="6"/>
      <c r="R3625" s="7"/>
      <c r="S3625" s="6"/>
      <c r="T3625" s="6"/>
      <c r="U3625" s="7"/>
      <c r="V3625" s="6"/>
      <c r="W3625" s="6"/>
      <c r="X3625" s="6"/>
      <c r="Y3625" s="6"/>
      <c r="Z3625" s="6"/>
      <c r="AA3625" s="7"/>
      <c r="AB3625" s="6"/>
      <c r="AC3625" s="6"/>
      <c r="AD3625" s="6"/>
      <c r="AE3625" s="12"/>
      <c r="AF3625" s="12"/>
      <c r="AG3625" s="12"/>
      <c r="AH3625" s="12"/>
      <c r="AI3625" s="6"/>
      <c r="AJ3625" s="12"/>
      <c r="AK3625" s="1"/>
      <c r="AL3625" s="12"/>
      <c r="AM3625" s="12"/>
      <c r="AN3625" s="1"/>
      <c r="AO3625" s="6"/>
    </row>
    <row r="3626" spans="1:41" ht="15" x14ac:dyDescent="0.25">
      <c r="A3626" s="1"/>
      <c r="B3626" s="1"/>
      <c r="C3626" s="1"/>
      <c r="D3626" s="1"/>
      <c r="E3626" s="6"/>
      <c r="F3626" s="1"/>
      <c r="G3626" s="6"/>
      <c r="H3626" s="6"/>
      <c r="I3626" s="6"/>
      <c r="J3626" s="6"/>
      <c r="K3626" s="6"/>
      <c r="L3626" s="6"/>
      <c r="M3626" s="6"/>
      <c r="N3626" s="6"/>
      <c r="O3626" s="7"/>
      <c r="P3626" s="6"/>
      <c r="Q3626" s="7"/>
      <c r="R3626" s="6"/>
      <c r="S3626" s="6"/>
      <c r="T3626" s="6"/>
      <c r="U3626" s="6"/>
      <c r="V3626" s="7"/>
      <c r="W3626" s="6"/>
      <c r="X3626" s="6"/>
      <c r="Y3626" s="6"/>
      <c r="Z3626" s="6"/>
      <c r="AA3626" s="1"/>
      <c r="AB3626" s="12"/>
      <c r="AC3626" s="12"/>
      <c r="AD3626" s="12"/>
      <c r="AE3626" s="12"/>
      <c r="AF3626" s="6"/>
      <c r="AG3626" s="12"/>
      <c r="AH3626" s="6"/>
      <c r="AI3626" s="6"/>
      <c r="AJ3626" s="12"/>
      <c r="AK3626" s="12"/>
      <c r="AL3626" s="12"/>
      <c r="AM3626" s="12"/>
      <c r="AN3626" s="1"/>
      <c r="AO3626" s="6"/>
    </row>
    <row r="3627" spans="1:41" ht="15" x14ac:dyDescent="0.25">
      <c r="A3627" s="1"/>
      <c r="B3627" s="1"/>
      <c r="C3627" s="1"/>
      <c r="D3627" s="1"/>
      <c r="E3627" s="6"/>
      <c r="F3627" s="1"/>
      <c r="G3627" s="6"/>
      <c r="H3627" s="6"/>
      <c r="I3627" s="6"/>
      <c r="J3627" s="6"/>
      <c r="K3627" s="6"/>
      <c r="L3627" s="6"/>
      <c r="M3627" s="6"/>
      <c r="N3627" s="6"/>
      <c r="O3627" s="7"/>
      <c r="P3627" s="12"/>
      <c r="Q3627" s="6"/>
      <c r="R3627" s="7"/>
      <c r="S3627" s="6"/>
      <c r="T3627" s="6"/>
      <c r="U3627" s="7"/>
      <c r="V3627" s="6"/>
      <c r="W3627" s="6"/>
      <c r="X3627" s="6"/>
      <c r="Y3627" s="6"/>
      <c r="Z3627" s="6"/>
      <c r="AA3627" s="7"/>
      <c r="AB3627" s="6"/>
      <c r="AC3627" s="6"/>
      <c r="AD3627" s="6"/>
      <c r="AE3627" s="12"/>
      <c r="AF3627" s="6"/>
      <c r="AG3627" s="12"/>
      <c r="AH3627" s="6"/>
      <c r="AI3627" s="6"/>
      <c r="AJ3627" s="12"/>
      <c r="AK3627" s="1"/>
      <c r="AL3627" s="12"/>
      <c r="AM3627" s="12"/>
      <c r="AN3627" s="1"/>
      <c r="AO3627" s="6"/>
    </row>
    <row r="3628" spans="1:41" ht="15" x14ac:dyDescent="0.25">
      <c r="A3628" s="1"/>
      <c r="B3628" s="1"/>
      <c r="C3628" s="1"/>
      <c r="D3628" s="1"/>
      <c r="E3628" s="6"/>
      <c r="F3628" s="1"/>
      <c r="G3628" s="6"/>
      <c r="H3628" s="6"/>
      <c r="I3628" s="6"/>
      <c r="J3628" s="6"/>
      <c r="K3628" s="6"/>
      <c r="L3628" s="6"/>
      <c r="M3628" s="6"/>
      <c r="N3628" s="6"/>
      <c r="O3628" s="7"/>
      <c r="P3628" s="6"/>
      <c r="Q3628" s="6"/>
      <c r="R3628" s="7"/>
      <c r="S3628" s="6"/>
      <c r="T3628" s="6"/>
      <c r="U3628" s="7"/>
      <c r="V3628" s="6"/>
      <c r="W3628" s="6"/>
      <c r="X3628" s="12"/>
      <c r="Y3628" s="6"/>
      <c r="Z3628" s="6"/>
      <c r="AA3628" s="7"/>
      <c r="AB3628" s="6"/>
      <c r="AC3628" s="6"/>
      <c r="AD3628" s="6"/>
      <c r="AE3628" s="12"/>
      <c r="AF3628" s="12"/>
      <c r="AG3628" s="12"/>
      <c r="AH3628" s="12"/>
      <c r="AI3628" s="6"/>
      <c r="AJ3628" s="12"/>
      <c r="AK3628" s="1"/>
      <c r="AL3628" s="12"/>
      <c r="AM3628" s="12"/>
      <c r="AN3628" s="1"/>
      <c r="AO3628" s="6"/>
    </row>
    <row r="3629" spans="1:41" ht="15" x14ac:dyDescent="0.25">
      <c r="A3629" s="1"/>
      <c r="B3629" s="1"/>
      <c r="C3629" s="1"/>
      <c r="D3629" s="1"/>
      <c r="E3629" s="6"/>
      <c r="F3629" s="1"/>
      <c r="G3629" s="6"/>
      <c r="H3629" s="6"/>
      <c r="I3629" s="6"/>
      <c r="J3629" s="6"/>
      <c r="K3629" s="6"/>
      <c r="L3629" s="6"/>
      <c r="M3629" s="6"/>
      <c r="N3629" s="6"/>
      <c r="O3629" s="7"/>
      <c r="P3629" s="6"/>
      <c r="Q3629" s="6"/>
      <c r="R3629" s="7"/>
      <c r="S3629" s="6"/>
      <c r="T3629" s="6"/>
      <c r="U3629" s="7"/>
      <c r="V3629" s="6"/>
      <c r="W3629" s="6"/>
      <c r="X3629" s="12"/>
      <c r="Y3629" s="6"/>
      <c r="Z3629" s="6"/>
      <c r="AA3629" s="7"/>
      <c r="AB3629" s="6"/>
      <c r="AC3629" s="6"/>
      <c r="AD3629" s="6"/>
      <c r="AE3629" s="12"/>
      <c r="AF3629" s="12"/>
      <c r="AG3629" s="12"/>
      <c r="AH3629" s="12"/>
      <c r="AI3629" s="6"/>
      <c r="AJ3629" s="12"/>
      <c r="AK3629" s="1"/>
      <c r="AL3629" s="12"/>
      <c r="AM3629" s="12"/>
      <c r="AN3629" s="1"/>
      <c r="AO3629" s="6"/>
    </row>
    <row r="3630" spans="1:41" ht="15" x14ac:dyDescent="0.25">
      <c r="A3630" s="1"/>
      <c r="B3630" s="1"/>
      <c r="C3630" s="1"/>
      <c r="D3630" s="1"/>
      <c r="E3630" s="6"/>
      <c r="F3630" s="1"/>
      <c r="G3630" s="6"/>
      <c r="H3630" s="6"/>
      <c r="I3630" s="6"/>
      <c r="J3630" s="6"/>
      <c r="K3630" s="6"/>
      <c r="L3630" s="6"/>
      <c r="M3630" s="6"/>
      <c r="N3630" s="6"/>
      <c r="O3630" s="7"/>
      <c r="P3630" s="6"/>
      <c r="Q3630" s="6"/>
      <c r="R3630" s="7"/>
      <c r="S3630" s="6"/>
      <c r="T3630" s="6"/>
      <c r="U3630" s="7"/>
      <c r="V3630" s="6"/>
      <c r="W3630" s="6"/>
      <c r="X3630" s="12"/>
      <c r="Y3630" s="6"/>
      <c r="Z3630" s="6"/>
      <c r="AA3630" s="7"/>
      <c r="AB3630" s="6"/>
      <c r="AC3630" s="6"/>
      <c r="AD3630" s="6"/>
      <c r="AE3630" s="12"/>
      <c r="AF3630" s="6"/>
      <c r="AG3630" s="12"/>
      <c r="AH3630" s="6"/>
      <c r="AI3630" s="6"/>
      <c r="AJ3630" s="12"/>
      <c r="AK3630" s="24"/>
      <c r="AL3630" s="25"/>
      <c r="AM3630" s="12"/>
      <c r="AN3630" s="1"/>
      <c r="AO3630" s="6"/>
    </row>
    <row r="3631" spans="1:41" ht="15" x14ac:dyDescent="0.25">
      <c r="A3631" s="1"/>
      <c r="B3631" s="1"/>
      <c r="C3631" s="1"/>
      <c r="D3631" s="1"/>
      <c r="E3631" s="6"/>
      <c r="F3631" s="1"/>
      <c r="G3631" s="6"/>
      <c r="H3631" s="6"/>
      <c r="I3631" s="6"/>
      <c r="J3631" s="6"/>
      <c r="K3631" s="6"/>
      <c r="L3631" s="6"/>
      <c r="M3631" s="6"/>
      <c r="N3631" s="6"/>
      <c r="O3631" s="7"/>
      <c r="P3631" s="6"/>
      <c r="Q3631" s="6"/>
      <c r="R3631" s="7"/>
      <c r="S3631" s="6"/>
      <c r="T3631" s="6"/>
      <c r="U3631" s="7"/>
      <c r="V3631" s="6"/>
      <c r="W3631" s="6"/>
      <c r="X3631" s="6"/>
      <c r="Y3631" s="6"/>
      <c r="Z3631" s="6"/>
      <c r="AA3631" s="7"/>
      <c r="AB3631" s="6"/>
      <c r="AC3631" s="6"/>
      <c r="AD3631" s="6"/>
      <c r="AE3631" s="12"/>
      <c r="AF3631" s="12"/>
      <c r="AG3631" s="12"/>
      <c r="AH3631" s="12"/>
      <c r="AI3631" s="6"/>
      <c r="AJ3631" s="12"/>
      <c r="AK3631" s="1"/>
      <c r="AL3631" s="12"/>
      <c r="AM3631" s="12"/>
      <c r="AN3631" s="1"/>
      <c r="AO3631" s="6"/>
    </row>
    <row r="3632" spans="1:41" ht="15" x14ac:dyDescent="0.25">
      <c r="A3632" s="1"/>
      <c r="B3632" s="1"/>
      <c r="C3632" s="1"/>
      <c r="D3632" s="1"/>
      <c r="E3632" s="6"/>
      <c r="F3632" s="1"/>
      <c r="G3632" s="6"/>
      <c r="H3632" s="6"/>
      <c r="I3632" s="6"/>
      <c r="J3632" s="6"/>
      <c r="K3632" s="12"/>
      <c r="L3632" s="12"/>
      <c r="M3632" s="6"/>
      <c r="N3632" s="6"/>
      <c r="O3632" s="7"/>
      <c r="P3632" s="12"/>
      <c r="Q3632" s="6"/>
      <c r="R3632" s="7"/>
      <c r="S3632" s="6"/>
      <c r="T3632" s="6"/>
      <c r="U3632" s="7"/>
      <c r="V3632" s="6"/>
      <c r="W3632" s="6"/>
      <c r="X3632" s="12"/>
      <c r="Y3632" s="6"/>
      <c r="Z3632" s="6"/>
      <c r="AA3632" s="7"/>
      <c r="AB3632" s="6"/>
      <c r="AC3632" s="6"/>
      <c r="AD3632" s="6"/>
      <c r="AE3632" s="12"/>
      <c r="AF3632" s="12"/>
      <c r="AG3632" s="12"/>
      <c r="AH3632" s="12"/>
      <c r="AI3632" s="6"/>
      <c r="AJ3632" s="12"/>
      <c r="AK3632" s="1"/>
      <c r="AL3632" s="12"/>
      <c r="AM3632" s="12"/>
      <c r="AN3632" s="1"/>
      <c r="AO3632" s="12"/>
    </row>
    <row r="3633" spans="1:41" ht="15" x14ac:dyDescent="0.25">
      <c r="A3633" s="1"/>
      <c r="B3633" s="1"/>
      <c r="C3633" s="1"/>
      <c r="D3633" s="1"/>
      <c r="E3633" s="6"/>
      <c r="F3633" s="1"/>
      <c r="G3633" s="6"/>
      <c r="H3633" s="6"/>
      <c r="I3633" s="6"/>
      <c r="J3633" s="6"/>
      <c r="K3633" s="6"/>
      <c r="L3633" s="6"/>
      <c r="M3633" s="6"/>
      <c r="N3633" s="6"/>
      <c r="O3633" s="7"/>
      <c r="P3633" s="6"/>
      <c r="Q3633" s="6"/>
      <c r="R3633" s="7"/>
      <c r="S3633" s="6"/>
      <c r="T3633" s="6"/>
      <c r="U3633" s="7"/>
      <c r="V3633" s="6"/>
      <c r="W3633" s="6"/>
      <c r="X3633" s="6"/>
      <c r="Y3633" s="6"/>
      <c r="Z3633" s="6"/>
      <c r="AA3633" s="7"/>
      <c r="AB3633" s="6"/>
      <c r="AC3633" s="6"/>
      <c r="AD3633" s="6"/>
      <c r="AE3633" s="12"/>
      <c r="AF3633" s="6"/>
      <c r="AG3633" s="12"/>
      <c r="AH3633" s="6"/>
      <c r="AI3633" s="6"/>
      <c r="AJ3633" s="12"/>
      <c r="AK3633" s="24"/>
      <c r="AL3633" s="25"/>
      <c r="AM3633" s="12"/>
      <c r="AN3633" s="1"/>
      <c r="AO3633" s="6"/>
    </row>
    <row r="3634" spans="1:41" ht="15" x14ac:dyDescent="0.25">
      <c r="A3634" s="1"/>
      <c r="B3634" s="1"/>
      <c r="C3634" s="1"/>
      <c r="D3634" s="1"/>
      <c r="E3634" s="6"/>
      <c r="F3634" s="1"/>
      <c r="G3634" s="6"/>
      <c r="H3634" s="6"/>
      <c r="I3634" s="6"/>
      <c r="J3634" s="6"/>
      <c r="K3634" s="6"/>
      <c r="L3634" s="6"/>
      <c r="M3634" s="6"/>
      <c r="N3634" s="6"/>
      <c r="O3634" s="7"/>
      <c r="P3634" s="6"/>
      <c r="Q3634" s="6"/>
      <c r="R3634" s="7"/>
      <c r="S3634" s="6"/>
      <c r="T3634" s="6"/>
      <c r="U3634" s="7"/>
      <c r="V3634" s="6"/>
      <c r="W3634" s="6"/>
      <c r="X3634" s="6"/>
      <c r="Y3634" s="6"/>
      <c r="Z3634" s="6"/>
      <c r="AA3634" s="7"/>
      <c r="AB3634" s="6"/>
      <c r="AC3634" s="6"/>
      <c r="AD3634" s="6"/>
      <c r="AE3634" s="12"/>
      <c r="AF3634" s="12"/>
      <c r="AG3634" s="12"/>
      <c r="AH3634" s="12"/>
      <c r="AI3634" s="6"/>
      <c r="AJ3634" s="12"/>
      <c r="AK3634" s="1"/>
      <c r="AL3634" s="12"/>
      <c r="AM3634" s="12"/>
      <c r="AN3634" s="1"/>
      <c r="AO3634" s="6"/>
    </row>
    <row r="3635" spans="1:41" ht="15" x14ac:dyDescent="0.25">
      <c r="A3635" s="1"/>
      <c r="B3635" s="1"/>
      <c r="C3635" s="1"/>
      <c r="D3635" s="1"/>
      <c r="E3635" s="6"/>
      <c r="F3635" s="1"/>
      <c r="G3635" s="6"/>
      <c r="H3635" s="6"/>
      <c r="I3635" s="6"/>
      <c r="J3635" s="6"/>
      <c r="K3635" s="6"/>
      <c r="L3635" s="6"/>
      <c r="M3635" s="6"/>
      <c r="N3635" s="6"/>
      <c r="O3635" s="7"/>
      <c r="P3635" s="6"/>
      <c r="Q3635" s="6"/>
      <c r="R3635" s="7"/>
      <c r="S3635" s="6"/>
      <c r="T3635" s="6"/>
      <c r="U3635" s="7"/>
      <c r="V3635" s="6"/>
      <c r="W3635" s="6"/>
      <c r="X3635" s="6"/>
      <c r="Y3635" s="6"/>
      <c r="Z3635" s="6"/>
      <c r="AA3635" s="7"/>
      <c r="AB3635" s="6"/>
      <c r="AC3635" s="6"/>
      <c r="AD3635" s="6"/>
      <c r="AE3635" s="12"/>
      <c r="AF3635" s="6"/>
      <c r="AG3635" s="12"/>
      <c r="AH3635" s="6"/>
      <c r="AI3635" s="6"/>
      <c r="AJ3635" s="12"/>
      <c r="AK3635" s="24"/>
      <c r="AL3635" s="25"/>
      <c r="AM3635" s="12"/>
      <c r="AN3635" s="1"/>
      <c r="AO3635" s="6"/>
    </row>
    <row r="3636" spans="1:41" ht="15" x14ac:dyDescent="0.25">
      <c r="A3636" s="1"/>
      <c r="B3636" s="1"/>
      <c r="C3636" s="1"/>
      <c r="D3636" s="1"/>
      <c r="E3636" s="6"/>
      <c r="F3636" s="1"/>
      <c r="G3636" s="6"/>
      <c r="H3636" s="6"/>
      <c r="I3636" s="6"/>
      <c r="J3636" s="6"/>
      <c r="K3636" s="6"/>
      <c r="L3636" s="6"/>
      <c r="M3636" s="6"/>
      <c r="N3636" s="6"/>
      <c r="O3636" s="7"/>
      <c r="P3636" s="6"/>
      <c r="Q3636" s="6"/>
      <c r="R3636" s="7"/>
      <c r="S3636" s="6"/>
      <c r="T3636" s="6"/>
      <c r="U3636" s="7"/>
      <c r="V3636" s="6"/>
      <c r="W3636" s="6"/>
      <c r="X3636" s="6"/>
      <c r="Y3636" s="6"/>
      <c r="Z3636" s="6"/>
      <c r="AA3636" s="7"/>
      <c r="AB3636" s="6"/>
      <c r="AC3636" s="6"/>
      <c r="AD3636" s="6"/>
      <c r="AE3636" s="12"/>
      <c r="AF3636" s="6"/>
      <c r="AG3636" s="12"/>
      <c r="AH3636" s="6"/>
      <c r="AI3636" s="6"/>
      <c r="AJ3636" s="12"/>
      <c r="AK3636" s="24"/>
      <c r="AL3636" s="25"/>
      <c r="AM3636" s="12"/>
      <c r="AN3636" s="1"/>
      <c r="AO3636" s="6"/>
    </row>
    <row r="3637" spans="1:41" ht="15" x14ac:dyDescent="0.25">
      <c r="A3637" s="1"/>
      <c r="B3637" s="1"/>
      <c r="C3637" s="1"/>
      <c r="D3637" s="1"/>
      <c r="E3637" s="6"/>
      <c r="F3637" s="1"/>
      <c r="G3637" s="6"/>
      <c r="H3637" s="6"/>
      <c r="I3637" s="6"/>
      <c r="J3637" s="6"/>
      <c r="K3637" s="6"/>
      <c r="L3637" s="6"/>
      <c r="M3637" s="6"/>
      <c r="N3637" s="6"/>
      <c r="O3637" s="7"/>
      <c r="P3637" s="6"/>
      <c r="Q3637" s="6"/>
      <c r="R3637" s="7"/>
      <c r="S3637" s="6"/>
      <c r="T3637" s="6"/>
      <c r="U3637" s="7"/>
      <c r="V3637" s="6"/>
      <c r="W3637" s="6"/>
      <c r="X3637" s="6"/>
      <c r="Y3637" s="6"/>
      <c r="Z3637" s="6"/>
      <c r="AA3637" s="7"/>
      <c r="AB3637" s="6"/>
      <c r="AC3637" s="6"/>
      <c r="AD3637" s="6"/>
      <c r="AE3637" s="12"/>
      <c r="AF3637" s="12"/>
      <c r="AG3637" s="12"/>
      <c r="AH3637" s="12"/>
      <c r="AI3637" s="6"/>
      <c r="AJ3637" s="12"/>
      <c r="AK3637" s="1"/>
      <c r="AL3637" s="12"/>
      <c r="AM3637" s="12"/>
      <c r="AN3637" s="1"/>
      <c r="AO3637" s="6"/>
    </row>
    <row r="3638" spans="1:41" ht="15" x14ac:dyDescent="0.25">
      <c r="A3638" s="1"/>
      <c r="B3638" s="1"/>
      <c r="C3638" s="1"/>
      <c r="D3638" s="1"/>
      <c r="E3638" s="6"/>
      <c r="F3638" s="1"/>
      <c r="G3638" s="6"/>
      <c r="H3638" s="6"/>
      <c r="I3638" s="6"/>
      <c r="J3638" s="6"/>
      <c r="K3638" s="6"/>
      <c r="L3638" s="6"/>
      <c r="M3638" s="6"/>
      <c r="N3638" s="6"/>
      <c r="O3638" s="7"/>
      <c r="P3638" s="6"/>
      <c r="Q3638" s="6"/>
      <c r="R3638" s="7"/>
      <c r="S3638" s="6"/>
      <c r="T3638" s="6"/>
      <c r="U3638" s="7"/>
      <c r="V3638" s="6"/>
      <c r="W3638" s="6"/>
      <c r="X3638" s="6"/>
      <c r="Y3638" s="6"/>
      <c r="Z3638" s="6"/>
      <c r="AA3638" s="7"/>
      <c r="AB3638" s="6"/>
      <c r="AC3638" s="6"/>
      <c r="AD3638" s="6"/>
      <c r="AE3638" s="12"/>
      <c r="AF3638" s="12"/>
      <c r="AG3638" s="12"/>
      <c r="AH3638" s="12"/>
      <c r="AI3638" s="6"/>
      <c r="AJ3638" s="12"/>
      <c r="AK3638" s="1"/>
      <c r="AL3638" s="12"/>
      <c r="AM3638" s="12"/>
      <c r="AN3638" s="1"/>
      <c r="AO3638" s="6"/>
    </row>
    <row r="3639" spans="1:41" ht="15" x14ac:dyDescent="0.25">
      <c r="A3639" s="1"/>
      <c r="B3639" s="1"/>
      <c r="C3639" s="1"/>
      <c r="D3639" s="1"/>
      <c r="E3639" s="6"/>
      <c r="F3639" s="1"/>
      <c r="G3639" s="6"/>
      <c r="H3639" s="6"/>
      <c r="I3639" s="6"/>
      <c r="J3639" s="6"/>
      <c r="K3639" s="6"/>
      <c r="L3639" s="6"/>
      <c r="M3639" s="6"/>
      <c r="N3639" s="6"/>
      <c r="O3639" s="7"/>
      <c r="P3639" s="6"/>
      <c r="Q3639" s="6"/>
      <c r="R3639" s="7"/>
      <c r="S3639" s="6"/>
      <c r="T3639" s="6"/>
      <c r="U3639" s="7"/>
      <c r="V3639" s="6"/>
      <c r="W3639" s="6"/>
      <c r="X3639" s="12"/>
      <c r="Y3639" s="6"/>
      <c r="Z3639" s="6"/>
      <c r="AA3639" s="7"/>
      <c r="AB3639" s="6"/>
      <c r="AC3639" s="6"/>
      <c r="AD3639" s="6"/>
      <c r="AE3639" s="12"/>
      <c r="AF3639" s="6"/>
      <c r="AG3639" s="12"/>
      <c r="AH3639" s="6"/>
      <c r="AI3639" s="6"/>
      <c r="AJ3639" s="12"/>
      <c r="AK3639" s="24"/>
      <c r="AL3639" s="25"/>
      <c r="AM3639" s="12"/>
      <c r="AN3639" s="1"/>
      <c r="AO3639" s="6"/>
    </row>
    <row r="3640" spans="1:41" ht="15" x14ac:dyDescent="0.25">
      <c r="A3640" s="1"/>
      <c r="B3640" s="1"/>
      <c r="C3640" s="1"/>
      <c r="D3640" s="1"/>
      <c r="E3640" s="6"/>
      <c r="F3640" s="1"/>
      <c r="G3640" s="6"/>
      <c r="H3640" s="6"/>
      <c r="I3640" s="6"/>
      <c r="J3640" s="6"/>
      <c r="K3640" s="6"/>
      <c r="L3640" s="6"/>
      <c r="M3640" s="6"/>
      <c r="N3640" s="6"/>
      <c r="O3640" s="7"/>
      <c r="P3640" s="6"/>
      <c r="Q3640" s="6"/>
      <c r="R3640" s="7"/>
      <c r="S3640" s="6"/>
      <c r="T3640" s="6"/>
      <c r="U3640" s="7"/>
      <c r="V3640" s="6"/>
      <c r="W3640" s="6"/>
      <c r="X3640" s="12"/>
      <c r="Y3640" s="6"/>
      <c r="Z3640" s="6"/>
      <c r="AA3640" s="7"/>
      <c r="AB3640" s="6"/>
      <c r="AC3640" s="6"/>
      <c r="AD3640" s="6"/>
      <c r="AE3640" s="12"/>
      <c r="AF3640" s="6"/>
      <c r="AG3640" s="12"/>
      <c r="AH3640" s="6"/>
      <c r="AI3640" s="6"/>
      <c r="AJ3640" s="12"/>
      <c r="AK3640" s="24"/>
      <c r="AL3640" s="25"/>
      <c r="AM3640" s="12"/>
      <c r="AN3640" s="1"/>
      <c r="AO3640" s="6"/>
    </row>
    <row r="3641" spans="1:41" ht="15" x14ac:dyDescent="0.25">
      <c r="A3641" s="1"/>
      <c r="B3641" s="1"/>
      <c r="C3641" s="1"/>
      <c r="D3641" s="1"/>
      <c r="E3641" s="6"/>
      <c r="F3641" s="1"/>
      <c r="G3641" s="6"/>
      <c r="H3641" s="6"/>
      <c r="I3641" s="6"/>
      <c r="J3641" s="6"/>
      <c r="K3641" s="6"/>
      <c r="L3641" s="6"/>
      <c r="M3641" s="6"/>
      <c r="N3641" s="6"/>
      <c r="O3641" s="7"/>
      <c r="P3641" s="6"/>
      <c r="Q3641" s="6"/>
      <c r="R3641" s="7"/>
      <c r="S3641" s="6"/>
      <c r="T3641" s="6"/>
      <c r="U3641" s="7"/>
      <c r="V3641" s="6"/>
      <c r="W3641" s="6"/>
      <c r="X3641" s="12"/>
      <c r="Y3641" s="6"/>
      <c r="Z3641" s="6"/>
      <c r="AA3641" s="7"/>
      <c r="AB3641" s="6"/>
      <c r="AC3641" s="6"/>
      <c r="AD3641" s="6"/>
      <c r="AE3641" s="12"/>
      <c r="AF3641" s="12"/>
      <c r="AG3641" s="12"/>
      <c r="AH3641" s="12"/>
      <c r="AI3641" s="6"/>
      <c r="AJ3641" s="12"/>
      <c r="AK3641" s="1"/>
      <c r="AL3641" s="12"/>
      <c r="AM3641" s="12"/>
      <c r="AN3641" s="1"/>
      <c r="AO3641" s="12"/>
    </row>
    <row r="3642" spans="1:41" ht="15" x14ac:dyDescent="0.25">
      <c r="A3642" s="1"/>
      <c r="B3642" s="1"/>
      <c r="C3642" s="1"/>
      <c r="D3642" s="1"/>
      <c r="E3642" s="6"/>
      <c r="F3642" s="1"/>
      <c r="G3642" s="6"/>
      <c r="H3642" s="6"/>
      <c r="I3642" s="6"/>
      <c r="J3642" s="6"/>
      <c r="K3642" s="6"/>
      <c r="L3642" s="6"/>
      <c r="M3642" s="6"/>
      <c r="N3642" s="6"/>
      <c r="O3642" s="7"/>
      <c r="P3642" s="6"/>
      <c r="Q3642" s="6"/>
      <c r="R3642" s="7"/>
      <c r="S3642" s="6"/>
      <c r="T3642" s="6"/>
      <c r="U3642" s="7"/>
      <c r="V3642" s="6"/>
      <c r="W3642" s="6"/>
      <c r="X3642" s="6"/>
      <c r="Y3642" s="6"/>
      <c r="Z3642" s="6"/>
      <c r="AA3642" s="7"/>
      <c r="AB3642" s="6"/>
      <c r="AC3642" s="6"/>
      <c r="AD3642" s="6"/>
      <c r="AE3642" s="12"/>
      <c r="AF3642" s="12"/>
      <c r="AG3642" s="12"/>
      <c r="AH3642" s="12"/>
      <c r="AI3642" s="6"/>
      <c r="AJ3642" s="12"/>
      <c r="AK3642" s="1"/>
      <c r="AL3642" s="12"/>
      <c r="AM3642" s="12"/>
      <c r="AN3642" s="1"/>
      <c r="AO3642" s="6"/>
    </row>
    <row r="3643" spans="1:41" ht="15" x14ac:dyDescent="0.25">
      <c r="A3643" s="1"/>
      <c r="B3643" s="1"/>
      <c r="C3643" s="1"/>
      <c r="D3643" s="1"/>
      <c r="E3643" s="6"/>
      <c r="F3643" s="1"/>
      <c r="G3643" s="6"/>
      <c r="H3643" s="6"/>
      <c r="I3643" s="6"/>
      <c r="J3643" s="6"/>
      <c r="K3643" s="6"/>
      <c r="L3643" s="6"/>
      <c r="M3643" s="6"/>
      <c r="N3643" s="6"/>
      <c r="O3643" s="7"/>
      <c r="P3643" s="12"/>
      <c r="Q3643" s="6"/>
      <c r="R3643" s="7"/>
      <c r="S3643" s="6"/>
      <c r="T3643" s="6"/>
      <c r="U3643" s="7"/>
      <c r="V3643" s="6"/>
      <c r="W3643" s="6"/>
      <c r="X3643" s="6"/>
      <c r="Y3643" s="6"/>
      <c r="Z3643" s="6"/>
      <c r="AA3643" s="7"/>
      <c r="AB3643" s="6"/>
      <c r="AC3643" s="6"/>
      <c r="AD3643" s="6"/>
      <c r="AE3643" s="12"/>
      <c r="AF3643" s="6"/>
      <c r="AG3643" s="12"/>
      <c r="AH3643" s="6"/>
      <c r="AI3643" s="6"/>
      <c r="AJ3643" s="12"/>
      <c r="AK3643" s="24"/>
      <c r="AL3643" s="25"/>
      <c r="AM3643" s="12"/>
      <c r="AN3643" s="1"/>
      <c r="AO3643" s="6"/>
    </row>
    <row r="3644" spans="1:41" ht="15" x14ac:dyDescent="0.25">
      <c r="A3644" s="1"/>
      <c r="B3644" s="1"/>
      <c r="C3644" s="1"/>
      <c r="D3644" s="1"/>
      <c r="E3644" s="6"/>
      <c r="F3644" s="1"/>
      <c r="G3644" s="6"/>
      <c r="H3644" s="6"/>
      <c r="I3644" s="6"/>
      <c r="J3644" s="6"/>
      <c r="K3644" s="6"/>
      <c r="L3644" s="6"/>
      <c r="M3644" s="6"/>
      <c r="N3644" s="6"/>
      <c r="O3644" s="7"/>
      <c r="P3644" s="12"/>
      <c r="Q3644" s="6"/>
      <c r="R3644" s="7"/>
      <c r="S3644" s="6"/>
      <c r="T3644" s="6"/>
      <c r="U3644" s="7"/>
      <c r="V3644" s="6"/>
      <c r="W3644" s="6"/>
      <c r="X3644" s="6"/>
      <c r="Y3644" s="6"/>
      <c r="Z3644" s="6"/>
      <c r="AA3644" s="7"/>
      <c r="AB3644" s="6"/>
      <c r="AC3644" s="6"/>
      <c r="AD3644" s="6"/>
      <c r="AE3644" s="12"/>
      <c r="AF3644" s="6"/>
      <c r="AG3644" s="12"/>
      <c r="AH3644" s="6"/>
      <c r="AI3644" s="6"/>
      <c r="AJ3644" s="12"/>
      <c r="AK3644" s="24"/>
      <c r="AL3644" s="25"/>
      <c r="AM3644" s="12"/>
      <c r="AN3644" s="1"/>
      <c r="AO3644" s="6"/>
    </row>
    <row r="3645" spans="1:41" ht="15" x14ac:dyDescent="0.25">
      <c r="A3645" s="1"/>
      <c r="B3645" s="1"/>
      <c r="C3645" s="1"/>
      <c r="D3645" s="1"/>
      <c r="E3645" s="6"/>
      <c r="F3645" s="1"/>
      <c r="G3645" s="6"/>
      <c r="H3645" s="6"/>
      <c r="I3645" s="6"/>
      <c r="J3645" s="6"/>
      <c r="K3645" s="6"/>
      <c r="L3645" s="6"/>
      <c r="M3645" s="6"/>
      <c r="N3645" s="6"/>
      <c r="O3645" s="7"/>
      <c r="P3645" s="6"/>
      <c r="Q3645" s="7"/>
      <c r="R3645" s="6"/>
      <c r="S3645" s="12"/>
      <c r="T3645" s="6"/>
      <c r="U3645" s="6"/>
      <c r="V3645" s="7"/>
      <c r="W3645" s="6"/>
      <c r="X3645" s="6"/>
      <c r="Y3645" s="6"/>
      <c r="Z3645" s="6"/>
      <c r="AA3645" s="24"/>
      <c r="AB3645" s="25"/>
      <c r="AC3645" s="12"/>
      <c r="AD3645" s="12"/>
      <c r="AE3645" s="12"/>
      <c r="AF3645" s="6"/>
      <c r="AG3645" s="12"/>
      <c r="AH3645" s="6"/>
      <c r="AI3645" s="6"/>
      <c r="AJ3645" s="12"/>
      <c r="AK3645" s="12"/>
      <c r="AL3645" s="12"/>
      <c r="AM3645" s="12"/>
      <c r="AN3645" s="1"/>
      <c r="AO3645" s="6"/>
    </row>
    <row r="3646" spans="1:41" ht="15" x14ac:dyDescent="0.25">
      <c r="A3646" s="1"/>
      <c r="B3646" s="1"/>
      <c r="C3646" s="1"/>
      <c r="D3646" s="1"/>
      <c r="E3646" s="6"/>
      <c r="F3646" s="1"/>
      <c r="G3646" s="6"/>
      <c r="H3646" s="6"/>
      <c r="I3646" s="6"/>
      <c r="J3646" s="6"/>
      <c r="K3646" s="6"/>
      <c r="L3646" s="6"/>
      <c r="M3646" s="6"/>
      <c r="N3646" s="6"/>
      <c r="O3646" s="7"/>
      <c r="P3646" s="6"/>
      <c r="Q3646" s="7"/>
      <c r="R3646" s="6"/>
      <c r="S3646" s="12"/>
      <c r="T3646" s="6"/>
      <c r="U3646" s="6"/>
      <c r="V3646" s="7"/>
      <c r="W3646" s="6"/>
      <c r="X3646" s="6"/>
      <c r="Y3646" s="6"/>
      <c r="Z3646" s="6"/>
      <c r="AA3646" s="24"/>
      <c r="AB3646" s="25"/>
      <c r="AC3646" s="12"/>
      <c r="AD3646" s="12"/>
      <c r="AE3646" s="12"/>
      <c r="AF3646" s="6"/>
      <c r="AG3646" s="12"/>
      <c r="AH3646" s="6"/>
      <c r="AI3646" s="6"/>
      <c r="AJ3646" s="12"/>
      <c r="AK3646" s="12"/>
      <c r="AL3646" s="12"/>
      <c r="AM3646" s="12"/>
      <c r="AN3646" s="1"/>
      <c r="AO3646" s="6"/>
    </row>
    <row r="3647" spans="1:41" ht="15" x14ac:dyDescent="0.25">
      <c r="A3647" s="1"/>
      <c r="B3647" s="1"/>
      <c r="C3647" s="1"/>
      <c r="D3647" s="1"/>
      <c r="E3647" s="6"/>
      <c r="F3647" s="1"/>
      <c r="G3647" s="6"/>
      <c r="H3647" s="6"/>
      <c r="I3647" s="6"/>
      <c r="J3647" s="6"/>
      <c r="K3647" s="6"/>
      <c r="L3647" s="6"/>
      <c r="M3647" s="6"/>
      <c r="N3647" s="6"/>
      <c r="O3647" s="7"/>
      <c r="P3647" s="12"/>
      <c r="Q3647" s="6"/>
      <c r="R3647" s="7"/>
      <c r="S3647" s="6"/>
      <c r="T3647" s="6"/>
      <c r="U3647" s="7"/>
      <c r="V3647" s="6"/>
      <c r="W3647" s="6"/>
      <c r="X3647" s="6"/>
      <c r="Y3647" s="6"/>
      <c r="Z3647" s="6"/>
      <c r="AA3647" s="7"/>
      <c r="AB3647" s="6"/>
      <c r="AC3647" s="6"/>
      <c r="AD3647" s="6"/>
      <c r="AE3647" s="12"/>
      <c r="AF3647" s="12"/>
      <c r="AG3647" s="12"/>
      <c r="AH3647" s="12"/>
      <c r="AI3647" s="6"/>
      <c r="AJ3647" s="12"/>
      <c r="AK3647" s="1"/>
      <c r="AL3647" s="12"/>
      <c r="AM3647" s="12"/>
      <c r="AN3647" s="1"/>
      <c r="AO3647" s="6"/>
    </row>
    <row r="3648" spans="1:41" ht="15" x14ac:dyDescent="0.25">
      <c r="A3648" s="1"/>
      <c r="B3648" s="1"/>
      <c r="C3648" s="1"/>
      <c r="D3648" s="1"/>
      <c r="E3648" s="6"/>
      <c r="F3648" s="1"/>
      <c r="G3648" s="6"/>
      <c r="H3648" s="6"/>
      <c r="I3648" s="6"/>
      <c r="J3648" s="6"/>
      <c r="K3648" s="6"/>
      <c r="L3648" s="6"/>
      <c r="M3648" s="6"/>
      <c r="N3648" s="6"/>
      <c r="O3648" s="7"/>
      <c r="P3648" s="6"/>
      <c r="Q3648" s="6"/>
      <c r="R3648" s="7"/>
      <c r="S3648" s="6"/>
      <c r="T3648" s="6"/>
      <c r="U3648" s="7"/>
      <c r="V3648" s="6"/>
      <c r="W3648" s="6"/>
      <c r="X3648" s="6"/>
      <c r="Y3648" s="6"/>
      <c r="Z3648" s="6"/>
      <c r="AA3648" s="7"/>
      <c r="AB3648" s="6"/>
      <c r="AC3648" s="6"/>
      <c r="AD3648" s="6"/>
      <c r="AE3648" s="12"/>
      <c r="AF3648" s="6"/>
      <c r="AG3648" s="12"/>
      <c r="AH3648" s="6"/>
      <c r="AI3648" s="6"/>
      <c r="AJ3648" s="12"/>
      <c r="AK3648" s="24"/>
      <c r="AL3648" s="25"/>
      <c r="AM3648" s="12"/>
      <c r="AN3648" s="1"/>
      <c r="AO3648" s="6"/>
    </row>
    <row r="3649" spans="1:41" ht="15" x14ac:dyDescent="0.25">
      <c r="A3649" s="1"/>
      <c r="B3649" s="1"/>
      <c r="C3649" s="1"/>
      <c r="D3649" s="1"/>
      <c r="E3649" s="6"/>
      <c r="F3649" s="1"/>
      <c r="G3649" s="6"/>
      <c r="H3649" s="6"/>
      <c r="I3649" s="6"/>
      <c r="J3649" s="6"/>
      <c r="K3649" s="6"/>
      <c r="L3649" s="6"/>
      <c r="M3649" s="6"/>
      <c r="N3649" s="6"/>
      <c r="O3649" s="7"/>
      <c r="P3649" s="6"/>
      <c r="Q3649" s="6"/>
      <c r="R3649" s="7"/>
      <c r="S3649" s="6"/>
      <c r="T3649" s="6"/>
      <c r="U3649" s="7"/>
      <c r="V3649" s="6"/>
      <c r="W3649" s="6"/>
      <c r="X3649" s="6"/>
      <c r="Y3649" s="6"/>
      <c r="Z3649" s="6"/>
      <c r="AA3649" s="7"/>
      <c r="AB3649" s="6"/>
      <c r="AC3649" s="6"/>
      <c r="AD3649" s="6"/>
      <c r="AE3649" s="12"/>
      <c r="AF3649" s="6"/>
      <c r="AG3649" s="12"/>
      <c r="AH3649" s="6"/>
      <c r="AI3649" s="6"/>
      <c r="AJ3649" s="12"/>
      <c r="AK3649" s="24"/>
      <c r="AL3649" s="25"/>
      <c r="AM3649" s="12"/>
      <c r="AN3649" s="1"/>
      <c r="AO3649" s="6"/>
    </row>
    <row r="3650" spans="1:41" ht="15" x14ac:dyDescent="0.25">
      <c r="A3650" s="1"/>
      <c r="B3650" s="1"/>
      <c r="C3650" s="1"/>
      <c r="D3650" s="1"/>
      <c r="E3650" s="6"/>
      <c r="F3650" s="1"/>
      <c r="G3650" s="6"/>
      <c r="H3650" s="6"/>
      <c r="I3650" s="6"/>
      <c r="J3650" s="6"/>
      <c r="K3650" s="6"/>
      <c r="L3650" s="6"/>
      <c r="M3650" s="6"/>
      <c r="N3650" s="6"/>
      <c r="O3650" s="7"/>
      <c r="P3650" s="6"/>
      <c r="Q3650" s="6"/>
      <c r="R3650" s="7"/>
      <c r="S3650" s="6"/>
      <c r="T3650" s="6"/>
      <c r="U3650" s="7"/>
      <c r="V3650" s="6"/>
      <c r="W3650" s="6"/>
      <c r="X3650" s="6"/>
      <c r="Y3650" s="6"/>
      <c r="Z3650" s="6"/>
      <c r="AA3650" s="7"/>
      <c r="AB3650" s="6"/>
      <c r="AC3650" s="6"/>
      <c r="AD3650" s="6"/>
      <c r="AE3650" s="12"/>
      <c r="AF3650" s="12"/>
      <c r="AG3650" s="12"/>
      <c r="AH3650" s="12"/>
      <c r="AI3650" s="6"/>
      <c r="AJ3650" s="12"/>
      <c r="AK3650" s="1"/>
      <c r="AL3650" s="12"/>
      <c r="AM3650" s="12"/>
      <c r="AN3650" s="1"/>
      <c r="AO3650" s="6"/>
    </row>
    <row r="3651" spans="1:41" ht="15" x14ac:dyDescent="0.25">
      <c r="A3651" s="1"/>
      <c r="B3651" s="1"/>
      <c r="C3651" s="1"/>
      <c r="D3651" s="1"/>
      <c r="E3651" s="6"/>
      <c r="F3651" s="1"/>
      <c r="G3651" s="6"/>
      <c r="H3651" s="6"/>
      <c r="I3651" s="6"/>
      <c r="J3651" s="6"/>
      <c r="K3651" s="6"/>
      <c r="L3651" s="6"/>
      <c r="M3651" s="6"/>
      <c r="N3651" s="6"/>
      <c r="O3651" s="7"/>
      <c r="P3651" s="12"/>
      <c r="Q3651" s="6"/>
      <c r="R3651" s="7"/>
      <c r="S3651" s="6"/>
      <c r="T3651" s="6"/>
      <c r="U3651" s="7"/>
      <c r="V3651" s="6"/>
      <c r="W3651" s="6"/>
      <c r="X3651" s="12"/>
      <c r="Y3651" s="6"/>
      <c r="Z3651" s="6"/>
      <c r="AA3651" s="7"/>
      <c r="AB3651" s="6"/>
      <c r="AC3651" s="6"/>
      <c r="AD3651" s="6"/>
      <c r="AE3651" s="12"/>
      <c r="AF3651" s="6"/>
      <c r="AG3651" s="12"/>
      <c r="AH3651" s="6"/>
      <c r="AI3651" s="6"/>
      <c r="AJ3651" s="12"/>
      <c r="AK3651" s="1"/>
      <c r="AL3651" s="12"/>
      <c r="AM3651" s="12"/>
      <c r="AN3651" s="1"/>
      <c r="AO3651" s="6"/>
    </row>
    <row r="3652" spans="1:41" ht="15" x14ac:dyDescent="0.25">
      <c r="A3652" s="1"/>
      <c r="B3652" s="1"/>
      <c r="C3652" s="1"/>
      <c r="D3652" s="1"/>
      <c r="E3652" s="6"/>
      <c r="F3652" s="1"/>
      <c r="G3652" s="6"/>
      <c r="H3652" s="6"/>
      <c r="I3652" s="6"/>
      <c r="J3652" s="6"/>
      <c r="K3652" s="6"/>
      <c r="L3652" s="6"/>
      <c r="M3652" s="6"/>
      <c r="N3652" s="6"/>
      <c r="O3652" s="7"/>
      <c r="P3652" s="12"/>
      <c r="Q3652" s="6"/>
      <c r="R3652" s="7"/>
      <c r="S3652" s="6"/>
      <c r="T3652" s="6"/>
      <c r="U3652" s="7"/>
      <c r="V3652" s="6"/>
      <c r="W3652" s="6"/>
      <c r="X3652" s="12"/>
      <c r="Y3652" s="6"/>
      <c r="Z3652" s="6"/>
      <c r="AA3652" s="7"/>
      <c r="AB3652" s="6"/>
      <c r="AC3652" s="6"/>
      <c r="AD3652" s="6"/>
      <c r="AE3652" s="12"/>
      <c r="AF3652" s="6"/>
      <c r="AG3652" s="12"/>
      <c r="AH3652" s="6"/>
      <c r="AI3652" s="6"/>
      <c r="AJ3652" s="12"/>
      <c r="AK3652" s="1"/>
      <c r="AL3652" s="12"/>
      <c r="AM3652" s="12"/>
      <c r="AN3652" s="1"/>
      <c r="AO3652" s="6"/>
    </row>
    <row r="3653" spans="1:41" ht="15" x14ac:dyDescent="0.25">
      <c r="A3653" s="1"/>
      <c r="B3653" s="1"/>
      <c r="C3653" s="1"/>
      <c r="D3653" s="1"/>
      <c r="E3653" s="6"/>
      <c r="F3653" s="1"/>
      <c r="G3653" s="6"/>
      <c r="H3653" s="6"/>
      <c r="I3653" s="6"/>
      <c r="J3653" s="6"/>
      <c r="K3653" s="6"/>
      <c r="L3653" s="6"/>
      <c r="M3653" s="6"/>
      <c r="N3653" s="6"/>
      <c r="O3653" s="7"/>
      <c r="P3653" s="6"/>
      <c r="Q3653" s="6"/>
      <c r="R3653" s="7"/>
      <c r="S3653" s="6"/>
      <c r="T3653" s="6"/>
      <c r="U3653" s="7"/>
      <c r="V3653" s="6"/>
      <c r="W3653" s="6"/>
      <c r="X3653" s="6"/>
      <c r="Y3653" s="6"/>
      <c r="Z3653" s="6"/>
      <c r="AA3653" s="7"/>
      <c r="AB3653" s="6"/>
      <c r="AC3653" s="6"/>
      <c r="AD3653" s="6"/>
      <c r="AE3653" s="12"/>
      <c r="AF3653" s="6"/>
      <c r="AG3653" s="12"/>
      <c r="AH3653" s="6"/>
      <c r="AI3653" s="6"/>
      <c r="AJ3653" s="12"/>
      <c r="AK3653" s="1"/>
      <c r="AL3653" s="12"/>
      <c r="AM3653" s="12"/>
      <c r="AN3653" s="1"/>
      <c r="AO3653" s="6"/>
    </row>
    <row r="3654" spans="1:41" ht="15" x14ac:dyDescent="0.25">
      <c r="A3654" s="1"/>
      <c r="B3654" s="1"/>
      <c r="C3654" s="1"/>
      <c r="D3654" s="1"/>
      <c r="E3654" s="6"/>
      <c r="F3654" s="1"/>
      <c r="G3654" s="6"/>
      <c r="H3654" s="6"/>
      <c r="I3654" s="6"/>
      <c r="J3654" s="6"/>
      <c r="K3654" s="6"/>
      <c r="L3654" s="6"/>
      <c r="M3654" s="6"/>
      <c r="N3654" s="6"/>
      <c r="O3654" s="7"/>
      <c r="P3654" s="6"/>
      <c r="Q3654" s="6"/>
      <c r="R3654" s="7"/>
      <c r="S3654" s="6"/>
      <c r="T3654" s="6"/>
      <c r="U3654" s="7"/>
      <c r="V3654" s="6"/>
      <c r="W3654" s="6"/>
      <c r="X3654" s="6"/>
      <c r="Y3654" s="6"/>
      <c r="Z3654" s="6"/>
      <c r="AA3654" s="7"/>
      <c r="AB3654" s="6"/>
      <c r="AC3654" s="6"/>
      <c r="AD3654" s="6"/>
      <c r="AE3654" s="12"/>
      <c r="AF3654" s="6"/>
      <c r="AG3654" s="12"/>
      <c r="AH3654" s="6"/>
      <c r="AI3654" s="6"/>
      <c r="AJ3654" s="12"/>
      <c r="AK3654" s="1"/>
      <c r="AL3654" s="12"/>
      <c r="AM3654" s="12"/>
      <c r="AN3654" s="1"/>
      <c r="AO3654" s="6"/>
    </row>
    <row r="3655" spans="1:41" ht="15" x14ac:dyDescent="0.25">
      <c r="A3655" s="1"/>
      <c r="B3655" s="1"/>
      <c r="C3655" s="1"/>
      <c r="D3655" s="1"/>
      <c r="E3655" s="6"/>
      <c r="F3655" s="1"/>
      <c r="G3655" s="6"/>
      <c r="H3655" s="6"/>
      <c r="I3655" s="6"/>
      <c r="J3655" s="6"/>
      <c r="K3655" s="6"/>
      <c r="L3655" s="6"/>
      <c r="M3655" s="6"/>
      <c r="N3655" s="6"/>
      <c r="O3655" s="7"/>
      <c r="P3655" s="6"/>
      <c r="Q3655" s="7"/>
      <c r="R3655" s="6"/>
      <c r="S3655" s="6"/>
      <c r="T3655" s="6"/>
      <c r="U3655" s="6"/>
      <c r="V3655" s="7"/>
      <c r="W3655" s="7"/>
      <c r="X3655" s="6"/>
      <c r="Y3655" s="6"/>
      <c r="Z3655" s="6"/>
      <c r="AA3655" s="1"/>
      <c r="AB3655" s="12"/>
      <c r="AC3655" s="12"/>
      <c r="AD3655" s="12"/>
      <c r="AE3655" s="12"/>
      <c r="AF3655" s="12"/>
      <c r="AG3655" s="12"/>
      <c r="AH3655" s="12"/>
      <c r="AI3655" s="6"/>
      <c r="AJ3655" s="12"/>
      <c r="AK3655" s="12"/>
      <c r="AL3655" s="12"/>
      <c r="AM3655" s="12"/>
      <c r="AN3655" s="1"/>
      <c r="AO3655" s="6"/>
    </row>
    <row r="3656" spans="1:41" ht="15" x14ac:dyDescent="0.25">
      <c r="A3656" s="1"/>
      <c r="B3656" s="1"/>
      <c r="C3656" s="1"/>
      <c r="D3656" s="1"/>
      <c r="E3656" s="6"/>
      <c r="F3656" s="1"/>
      <c r="G3656" s="6"/>
      <c r="H3656" s="6"/>
      <c r="I3656" s="6"/>
      <c r="J3656" s="6"/>
      <c r="K3656" s="6"/>
      <c r="L3656" s="6"/>
      <c r="M3656" s="6"/>
      <c r="N3656" s="6"/>
      <c r="O3656" s="7"/>
      <c r="P3656" s="6"/>
      <c r="Q3656" s="6"/>
      <c r="R3656" s="7"/>
      <c r="S3656" s="6"/>
      <c r="T3656" s="6"/>
      <c r="U3656" s="7"/>
      <c r="V3656" s="6"/>
      <c r="W3656" s="6"/>
      <c r="X3656" s="6"/>
      <c r="Y3656" s="6"/>
      <c r="Z3656" s="6"/>
      <c r="AA3656" s="7"/>
      <c r="AB3656" s="6"/>
      <c r="AC3656" s="6"/>
      <c r="AD3656" s="6"/>
      <c r="AE3656" s="12"/>
      <c r="AF3656" s="6"/>
      <c r="AG3656" s="12"/>
      <c r="AH3656" s="6"/>
      <c r="AI3656" s="6"/>
      <c r="AJ3656" s="12"/>
      <c r="AK3656" s="1"/>
      <c r="AL3656" s="12"/>
      <c r="AM3656" s="12"/>
      <c r="AN3656" s="1"/>
      <c r="AO3656" s="6"/>
    </row>
    <row r="3657" spans="1:41" ht="15" x14ac:dyDescent="0.25">
      <c r="A3657" s="1"/>
      <c r="B3657" s="1"/>
      <c r="C3657" s="1"/>
      <c r="D3657" s="1"/>
      <c r="E3657" s="6"/>
      <c r="F3657" s="1"/>
      <c r="G3657" s="6"/>
      <c r="H3657" s="6"/>
      <c r="I3657" s="6"/>
      <c r="J3657" s="6"/>
      <c r="K3657" s="6"/>
      <c r="L3657" s="6"/>
      <c r="M3657" s="6"/>
      <c r="N3657" s="6"/>
      <c r="O3657" s="7"/>
      <c r="P3657" s="6"/>
      <c r="Q3657" s="6"/>
      <c r="R3657" s="7"/>
      <c r="S3657" s="6"/>
      <c r="T3657" s="6"/>
      <c r="U3657" s="7"/>
      <c r="V3657" s="6"/>
      <c r="W3657" s="6"/>
      <c r="X3657" s="6"/>
      <c r="Y3657" s="6"/>
      <c r="Z3657" s="6"/>
      <c r="AA3657" s="7"/>
      <c r="AB3657" s="6"/>
      <c r="AC3657" s="6"/>
      <c r="AD3657" s="6"/>
      <c r="AE3657" s="12"/>
      <c r="AF3657" s="6"/>
      <c r="AG3657" s="12"/>
      <c r="AH3657" s="6"/>
      <c r="AI3657" s="6"/>
      <c r="AJ3657" s="12"/>
      <c r="AK3657" s="1"/>
      <c r="AL3657" s="12"/>
      <c r="AM3657" s="12"/>
      <c r="AN3657" s="1"/>
      <c r="AO3657" s="6"/>
    </row>
    <row r="3658" spans="1:41" ht="15" x14ac:dyDescent="0.25">
      <c r="A3658" s="1"/>
      <c r="B3658" s="1"/>
      <c r="C3658" s="1"/>
      <c r="D3658" s="1"/>
      <c r="E3658" s="6"/>
      <c r="F3658" s="1"/>
      <c r="G3658" s="6"/>
      <c r="H3658" s="6"/>
      <c r="I3658" s="6"/>
      <c r="J3658" s="6"/>
      <c r="K3658" s="6"/>
      <c r="L3658" s="6"/>
      <c r="M3658" s="6"/>
      <c r="N3658" s="6"/>
      <c r="O3658" s="7"/>
      <c r="P3658" s="6"/>
      <c r="Q3658" s="6"/>
      <c r="R3658" s="7"/>
      <c r="S3658" s="6"/>
      <c r="T3658" s="6"/>
      <c r="U3658" s="7"/>
      <c r="V3658" s="6"/>
      <c r="W3658" s="6"/>
      <c r="X3658" s="12"/>
      <c r="Y3658" s="6"/>
      <c r="Z3658" s="6"/>
      <c r="AA3658" s="7"/>
      <c r="AB3658" s="6"/>
      <c r="AC3658" s="6"/>
      <c r="AD3658" s="6"/>
      <c r="AE3658" s="12"/>
      <c r="AF3658" s="12"/>
      <c r="AG3658" s="12"/>
      <c r="AH3658" s="12"/>
      <c r="AI3658" s="6"/>
      <c r="AJ3658" s="12"/>
      <c r="AK3658" s="1"/>
      <c r="AL3658" s="12"/>
      <c r="AM3658" s="12"/>
      <c r="AN3658" s="1"/>
      <c r="AO3658" s="6"/>
    </row>
    <row r="3659" spans="1:41" ht="15" x14ac:dyDescent="0.25">
      <c r="A3659" s="1"/>
      <c r="B3659" s="1"/>
      <c r="C3659" s="1"/>
      <c r="D3659" s="1"/>
      <c r="E3659" s="6"/>
      <c r="F3659" s="1"/>
      <c r="G3659" s="6"/>
      <c r="H3659" s="6"/>
      <c r="I3659" s="6"/>
      <c r="J3659" s="6"/>
      <c r="K3659" s="6"/>
      <c r="L3659" s="6"/>
      <c r="M3659" s="6"/>
      <c r="N3659" s="6"/>
      <c r="O3659" s="7"/>
      <c r="P3659" s="6"/>
      <c r="Q3659" s="6"/>
      <c r="R3659" s="7"/>
      <c r="S3659" s="6"/>
      <c r="T3659" s="6"/>
      <c r="U3659" s="7"/>
      <c r="V3659" s="6"/>
      <c r="W3659" s="6"/>
      <c r="X3659" s="6"/>
      <c r="Y3659" s="6"/>
      <c r="Z3659" s="6"/>
      <c r="AA3659" s="7"/>
      <c r="AB3659" s="6"/>
      <c r="AC3659" s="6"/>
      <c r="AD3659" s="6"/>
      <c r="AE3659" s="12"/>
      <c r="AF3659" s="6"/>
      <c r="AG3659" s="12"/>
      <c r="AH3659" s="6"/>
      <c r="AI3659" s="6"/>
      <c r="AJ3659" s="12"/>
      <c r="AK3659" s="1"/>
      <c r="AL3659" s="12"/>
      <c r="AM3659" s="12"/>
      <c r="AN3659" s="1"/>
      <c r="AO3659" s="6"/>
    </row>
    <row r="3660" spans="1:41" ht="15" x14ac:dyDescent="0.25">
      <c r="A3660" s="1"/>
      <c r="B3660" s="1"/>
      <c r="C3660" s="1"/>
      <c r="D3660" s="1"/>
      <c r="E3660" s="6"/>
      <c r="F3660" s="1"/>
      <c r="G3660" s="6"/>
      <c r="H3660" s="6"/>
      <c r="I3660" s="6"/>
      <c r="J3660" s="6"/>
      <c r="K3660" s="6"/>
      <c r="L3660" s="6"/>
      <c r="M3660" s="6"/>
      <c r="N3660" s="6"/>
      <c r="O3660" s="7"/>
      <c r="P3660" s="6"/>
      <c r="Q3660" s="6"/>
      <c r="R3660" s="7"/>
      <c r="S3660" s="6"/>
      <c r="T3660" s="6"/>
      <c r="U3660" s="7"/>
      <c r="V3660" s="6"/>
      <c r="W3660" s="6"/>
      <c r="X3660" s="6"/>
      <c r="Y3660" s="6"/>
      <c r="Z3660" s="6"/>
      <c r="AA3660" s="7"/>
      <c r="AB3660" s="6"/>
      <c r="AC3660" s="6"/>
      <c r="AD3660" s="6"/>
      <c r="AE3660" s="12"/>
      <c r="AF3660" s="6"/>
      <c r="AG3660" s="12"/>
      <c r="AH3660" s="6"/>
      <c r="AI3660" s="6"/>
      <c r="AJ3660" s="12"/>
      <c r="AK3660" s="1"/>
      <c r="AL3660" s="12"/>
      <c r="AM3660" s="12"/>
      <c r="AN3660" s="1"/>
      <c r="AO3660" s="6"/>
    </row>
    <row r="3661" spans="1:41" ht="15" x14ac:dyDescent="0.25">
      <c r="A3661" s="1"/>
      <c r="B3661" s="1"/>
      <c r="C3661" s="1"/>
      <c r="D3661" s="1"/>
      <c r="E3661" s="6"/>
      <c r="F3661" s="1"/>
      <c r="G3661" s="6"/>
      <c r="H3661" s="6"/>
      <c r="I3661" s="6"/>
      <c r="J3661" s="6"/>
      <c r="K3661" s="12"/>
      <c r="L3661" s="12"/>
      <c r="M3661" s="6"/>
      <c r="N3661" s="6"/>
      <c r="O3661" s="7"/>
      <c r="P3661" s="6"/>
      <c r="Q3661" s="6"/>
      <c r="R3661" s="7"/>
      <c r="S3661" s="6"/>
      <c r="T3661" s="6"/>
      <c r="U3661" s="7"/>
      <c r="V3661" s="6"/>
      <c r="W3661" s="6"/>
      <c r="X3661" s="12"/>
      <c r="Y3661" s="6"/>
      <c r="Z3661" s="6"/>
      <c r="AA3661" s="7"/>
      <c r="AB3661" s="6"/>
      <c r="AC3661" s="6"/>
      <c r="AD3661" s="6"/>
      <c r="AE3661" s="12"/>
      <c r="AF3661" s="12"/>
      <c r="AG3661" s="12"/>
      <c r="AH3661" s="12"/>
      <c r="AI3661" s="6"/>
      <c r="AJ3661" s="12"/>
      <c r="AK3661" s="1"/>
      <c r="AL3661" s="12"/>
      <c r="AM3661" s="12"/>
      <c r="AN3661" s="1"/>
      <c r="AO3661" s="6"/>
    </row>
    <row r="3662" spans="1:41" ht="15" x14ac:dyDescent="0.25">
      <c r="A3662" s="1"/>
      <c r="B3662" s="1"/>
      <c r="C3662" s="1"/>
      <c r="D3662" s="1"/>
      <c r="E3662" s="6"/>
      <c r="F3662" s="1"/>
      <c r="G3662" s="6"/>
      <c r="H3662" s="6"/>
      <c r="I3662" s="6"/>
      <c r="J3662" s="6"/>
      <c r="K3662" s="6"/>
      <c r="L3662" s="6"/>
      <c r="M3662" s="6"/>
      <c r="N3662" s="6"/>
      <c r="O3662" s="7"/>
      <c r="P3662" s="6"/>
      <c r="Q3662" s="6"/>
      <c r="R3662" s="7"/>
      <c r="S3662" s="6"/>
      <c r="T3662" s="6"/>
      <c r="U3662" s="7"/>
      <c r="V3662" s="6"/>
      <c r="W3662" s="6"/>
      <c r="X3662" s="12"/>
      <c r="Y3662" s="6"/>
      <c r="Z3662" s="6"/>
      <c r="AA3662" s="7"/>
      <c r="AB3662" s="6"/>
      <c r="AC3662" s="6"/>
      <c r="AD3662" s="6"/>
      <c r="AE3662" s="12"/>
      <c r="AF3662" s="12"/>
      <c r="AG3662" s="12"/>
      <c r="AH3662" s="12"/>
      <c r="AI3662" s="6"/>
      <c r="AJ3662" s="12"/>
      <c r="AK3662" s="24"/>
      <c r="AL3662" s="25"/>
      <c r="AM3662" s="12"/>
      <c r="AN3662" s="1"/>
      <c r="AO3662" s="6"/>
    </row>
    <row r="3663" spans="1:41" ht="15" x14ac:dyDescent="0.25">
      <c r="A3663" s="1"/>
      <c r="B3663" s="1"/>
      <c r="C3663" s="1"/>
      <c r="D3663" s="1"/>
      <c r="E3663" s="6"/>
      <c r="F3663" s="1"/>
      <c r="G3663" s="6"/>
      <c r="H3663" s="6"/>
      <c r="I3663" s="6"/>
      <c r="J3663" s="6"/>
      <c r="K3663" s="6"/>
      <c r="L3663" s="6"/>
      <c r="M3663" s="6"/>
      <c r="N3663" s="6"/>
      <c r="O3663" s="7"/>
      <c r="P3663" s="6"/>
      <c r="Q3663" s="6"/>
      <c r="R3663" s="7"/>
      <c r="S3663" s="6"/>
      <c r="T3663" s="6"/>
      <c r="U3663" s="7"/>
      <c r="V3663" s="6"/>
      <c r="W3663" s="6"/>
      <c r="X3663" s="12"/>
      <c r="Y3663" s="6"/>
      <c r="Z3663" s="6"/>
      <c r="AA3663" s="7"/>
      <c r="AB3663" s="6"/>
      <c r="AC3663" s="6"/>
      <c r="AD3663" s="6"/>
      <c r="AE3663" s="12"/>
      <c r="AF3663" s="12"/>
      <c r="AG3663" s="12"/>
      <c r="AH3663" s="12"/>
      <c r="AI3663" s="6"/>
      <c r="AJ3663" s="12"/>
      <c r="AK3663" s="24"/>
      <c r="AL3663" s="25"/>
      <c r="AM3663" s="12"/>
      <c r="AN3663" s="1"/>
      <c r="AO3663" s="6"/>
    </row>
    <row r="3664" spans="1:41" ht="15" x14ac:dyDescent="0.25">
      <c r="A3664" s="1"/>
      <c r="B3664" s="1"/>
      <c r="C3664" s="1"/>
      <c r="D3664" s="1"/>
      <c r="E3664" s="6"/>
      <c r="F3664" s="1"/>
      <c r="G3664" s="6"/>
      <c r="H3664" s="6"/>
      <c r="I3664" s="6"/>
      <c r="J3664" s="6"/>
      <c r="K3664" s="6"/>
      <c r="L3664" s="6"/>
      <c r="M3664" s="6"/>
      <c r="N3664" s="6"/>
      <c r="O3664" s="7"/>
      <c r="P3664" s="6"/>
      <c r="Q3664" s="6"/>
      <c r="R3664" s="7"/>
      <c r="S3664" s="6"/>
      <c r="T3664" s="6"/>
      <c r="U3664" s="7"/>
      <c r="V3664" s="6"/>
      <c r="W3664" s="6"/>
      <c r="X3664" s="12"/>
      <c r="Y3664" s="6"/>
      <c r="Z3664" s="6"/>
      <c r="AA3664" s="7"/>
      <c r="AB3664" s="6"/>
      <c r="AC3664" s="6"/>
      <c r="AD3664" s="6"/>
      <c r="AE3664" s="12"/>
      <c r="AF3664" s="6"/>
      <c r="AG3664" s="12"/>
      <c r="AH3664" s="6"/>
      <c r="AI3664" s="6"/>
      <c r="AJ3664" s="12"/>
      <c r="AK3664" s="1"/>
      <c r="AL3664" s="12"/>
      <c r="AM3664" s="12"/>
      <c r="AN3664" s="1"/>
      <c r="AO3664" s="6"/>
    </row>
    <row r="3665" spans="1:41" ht="15" x14ac:dyDescent="0.25">
      <c r="A3665" s="1"/>
      <c r="B3665" s="1"/>
      <c r="C3665" s="1"/>
      <c r="D3665" s="1"/>
      <c r="E3665" s="6"/>
      <c r="F3665" s="1"/>
      <c r="G3665" s="6"/>
      <c r="H3665" s="6"/>
      <c r="I3665" s="6"/>
      <c r="J3665" s="6"/>
      <c r="K3665" s="6"/>
      <c r="L3665" s="6"/>
      <c r="M3665" s="6"/>
      <c r="N3665" s="6"/>
      <c r="O3665" s="7"/>
      <c r="P3665" s="6"/>
      <c r="Q3665" s="6"/>
      <c r="R3665" s="7"/>
      <c r="S3665" s="6"/>
      <c r="T3665" s="6"/>
      <c r="U3665" s="7"/>
      <c r="V3665" s="6"/>
      <c r="W3665" s="6"/>
      <c r="X3665" s="12"/>
      <c r="Y3665" s="6"/>
      <c r="Z3665" s="6"/>
      <c r="AA3665" s="7"/>
      <c r="AB3665" s="6"/>
      <c r="AC3665" s="6"/>
      <c r="AD3665" s="6"/>
      <c r="AE3665" s="12"/>
      <c r="AF3665" s="6"/>
      <c r="AG3665" s="12"/>
      <c r="AH3665" s="6"/>
      <c r="AI3665" s="6"/>
      <c r="AJ3665" s="12"/>
      <c r="AK3665" s="1"/>
      <c r="AL3665" s="12"/>
      <c r="AM3665" s="12"/>
      <c r="AN3665" s="1"/>
      <c r="AO3665" s="6"/>
    </row>
    <row r="3666" spans="1:41" ht="15" x14ac:dyDescent="0.25">
      <c r="A3666" s="1"/>
      <c r="B3666" s="1"/>
      <c r="C3666" s="1"/>
      <c r="D3666" s="1"/>
      <c r="E3666" s="6"/>
      <c r="F3666" s="1"/>
      <c r="G3666" s="6"/>
      <c r="H3666" s="6"/>
      <c r="I3666" s="6"/>
      <c r="J3666" s="6"/>
      <c r="K3666" s="6"/>
      <c r="L3666" s="6"/>
      <c r="M3666" s="6"/>
      <c r="N3666" s="6"/>
      <c r="O3666" s="7"/>
      <c r="P3666" s="6"/>
      <c r="Q3666" s="6"/>
      <c r="R3666" s="7"/>
      <c r="S3666" s="6"/>
      <c r="T3666" s="6"/>
      <c r="U3666" s="7"/>
      <c r="V3666" s="6"/>
      <c r="W3666" s="6"/>
      <c r="X3666" s="6"/>
      <c r="Y3666" s="6"/>
      <c r="Z3666" s="6"/>
      <c r="AA3666" s="7"/>
      <c r="AB3666" s="6"/>
      <c r="AC3666" s="6"/>
      <c r="AD3666" s="6"/>
      <c r="AE3666" s="12"/>
      <c r="AF3666" s="6"/>
      <c r="AG3666" s="12"/>
      <c r="AH3666" s="6"/>
      <c r="AI3666" s="6"/>
      <c r="AJ3666" s="12"/>
      <c r="AK3666" s="1"/>
      <c r="AL3666" s="12"/>
      <c r="AM3666" s="12"/>
      <c r="AN3666" s="1"/>
      <c r="AO3666" s="6"/>
    </row>
    <row r="3667" spans="1:41" ht="15" x14ac:dyDescent="0.25">
      <c r="A3667" s="1"/>
      <c r="B3667" s="1"/>
      <c r="C3667" s="1"/>
      <c r="D3667" s="1"/>
      <c r="E3667" s="6"/>
      <c r="F3667" s="1"/>
      <c r="G3667" s="6"/>
      <c r="H3667" s="6"/>
      <c r="I3667" s="6"/>
      <c r="J3667" s="6"/>
      <c r="K3667" s="6"/>
      <c r="L3667" s="6"/>
      <c r="M3667" s="6"/>
      <c r="N3667" s="6"/>
      <c r="O3667" s="7"/>
      <c r="P3667" s="6"/>
      <c r="Q3667" s="6"/>
      <c r="R3667" s="7"/>
      <c r="S3667" s="6"/>
      <c r="T3667" s="6"/>
      <c r="U3667" s="7"/>
      <c r="V3667" s="6"/>
      <c r="W3667" s="6"/>
      <c r="X3667" s="6"/>
      <c r="Y3667" s="6"/>
      <c r="Z3667" s="6"/>
      <c r="AA3667" s="7"/>
      <c r="AB3667" s="6"/>
      <c r="AC3667" s="6"/>
      <c r="AD3667" s="6"/>
      <c r="AE3667" s="12"/>
      <c r="AF3667" s="6"/>
      <c r="AG3667" s="12"/>
      <c r="AH3667" s="6"/>
      <c r="AI3667" s="6"/>
      <c r="AJ3667" s="12"/>
      <c r="AK3667" s="1"/>
      <c r="AL3667" s="12"/>
      <c r="AM3667" s="12"/>
      <c r="AN3667" s="1"/>
      <c r="AO3667" s="6"/>
    </row>
    <row r="3668" spans="1:41" ht="15" x14ac:dyDescent="0.25">
      <c r="A3668" s="1"/>
      <c r="B3668" s="1"/>
      <c r="C3668" s="1"/>
      <c r="D3668" s="1"/>
      <c r="E3668" s="6"/>
      <c r="F3668" s="1"/>
      <c r="G3668" s="6"/>
      <c r="H3668" s="6"/>
      <c r="I3668" s="6"/>
      <c r="J3668" s="6"/>
      <c r="K3668" s="6"/>
      <c r="L3668" s="6"/>
      <c r="M3668" s="6"/>
      <c r="N3668" s="6"/>
      <c r="O3668" s="7"/>
      <c r="P3668" s="12"/>
      <c r="Q3668" s="6"/>
      <c r="R3668" s="7"/>
      <c r="S3668" s="6"/>
      <c r="T3668" s="6"/>
      <c r="U3668" s="7"/>
      <c r="V3668" s="6"/>
      <c r="W3668" s="6"/>
      <c r="X3668" s="12"/>
      <c r="Y3668" s="6"/>
      <c r="Z3668" s="6"/>
      <c r="AA3668" s="7"/>
      <c r="AB3668" s="6"/>
      <c r="AC3668" s="6"/>
      <c r="AD3668" s="6"/>
      <c r="AE3668" s="12"/>
      <c r="AF3668" s="6"/>
      <c r="AG3668" s="12"/>
      <c r="AH3668" s="6"/>
      <c r="AI3668" s="6"/>
      <c r="AJ3668" s="12"/>
      <c r="AK3668" s="24"/>
      <c r="AL3668" s="25"/>
      <c r="AM3668" s="12"/>
      <c r="AN3668" s="1"/>
      <c r="AO3668" s="6"/>
    </row>
    <row r="3669" spans="1:41" ht="15" x14ac:dyDescent="0.25">
      <c r="A3669" s="1"/>
      <c r="B3669" s="1"/>
      <c r="C3669" s="1"/>
      <c r="D3669" s="1"/>
      <c r="E3669" s="6"/>
      <c r="F3669" s="1"/>
      <c r="G3669" s="6"/>
      <c r="H3669" s="6"/>
      <c r="I3669" s="6"/>
      <c r="J3669" s="6"/>
      <c r="K3669" s="6"/>
      <c r="L3669" s="6"/>
      <c r="M3669" s="6"/>
      <c r="N3669" s="6"/>
      <c r="O3669" s="7"/>
      <c r="P3669" s="12"/>
      <c r="Q3669" s="6"/>
      <c r="R3669" s="15"/>
      <c r="S3669" s="6"/>
      <c r="T3669" s="6"/>
      <c r="U3669" s="7"/>
      <c r="V3669" s="6"/>
      <c r="W3669" s="6"/>
      <c r="X3669" s="12"/>
      <c r="Y3669" s="6"/>
      <c r="Z3669" s="6"/>
      <c r="AA3669" s="7"/>
      <c r="AB3669" s="6"/>
      <c r="AC3669" s="6"/>
      <c r="AD3669" s="6"/>
      <c r="AE3669" s="12"/>
      <c r="AF3669" s="6"/>
      <c r="AG3669" s="12"/>
      <c r="AH3669" s="6"/>
      <c r="AI3669" s="6"/>
      <c r="AJ3669" s="12"/>
      <c r="AK3669" s="24"/>
      <c r="AL3669" s="25"/>
      <c r="AM3669" s="12"/>
      <c r="AN3669" s="1"/>
      <c r="AO3669" s="6"/>
    </row>
    <row r="3670" spans="1:41" ht="15" x14ac:dyDescent="0.25">
      <c r="A3670" s="1"/>
      <c r="B3670" s="1"/>
      <c r="C3670" s="1"/>
      <c r="D3670" s="1"/>
      <c r="E3670" s="6"/>
      <c r="F3670" s="1"/>
      <c r="G3670" s="6"/>
      <c r="H3670" s="6"/>
      <c r="I3670" s="6"/>
      <c r="J3670" s="6"/>
      <c r="K3670" s="12"/>
      <c r="L3670" s="6"/>
      <c r="M3670" s="6"/>
      <c r="N3670" s="6"/>
      <c r="O3670" s="7"/>
      <c r="P3670" s="6"/>
      <c r="Q3670" s="6"/>
      <c r="R3670" s="7"/>
      <c r="S3670" s="6"/>
      <c r="T3670" s="6"/>
      <c r="U3670" s="7"/>
      <c r="V3670" s="6"/>
      <c r="W3670" s="6"/>
      <c r="X3670" s="6"/>
      <c r="Y3670" s="6"/>
      <c r="Z3670" s="6"/>
      <c r="AA3670" s="7"/>
      <c r="AB3670" s="6"/>
      <c r="AC3670" s="6"/>
      <c r="AD3670" s="6"/>
      <c r="AE3670" s="12"/>
      <c r="AF3670" s="6"/>
      <c r="AG3670" s="12"/>
      <c r="AH3670" s="6"/>
      <c r="AI3670" s="6"/>
      <c r="AJ3670" s="12"/>
      <c r="AK3670" s="1"/>
      <c r="AL3670" s="12"/>
      <c r="AM3670" s="12"/>
      <c r="AN3670" s="1"/>
      <c r="AO3670" s="12"/>
    </row>
    <row r="3671" spans="1:41" ht="15" x14ac:dyDescent="0.25">
      <c r="A3671" s="1"/>
      <c r="B3671" s="1"/>
      <c r="C3671" s="1"/>
      <c r="D3671" s="1"/>
      <c r="E3671" s="6"/>
      <c r="F3671" s="1"/>
      <c r="G3671" s="6"/>
      <c r="H3671" s="6"/>
      <c r="I3671" s="6"/>
      <c r="J3671" s="6"/>
      <c r="K3671" s="12"/>
      <c r="L3671" s="6"/>
      <c r="M3671" s="6"/>
      <c r="N3671" s="6"/>
      <c r="O3671" s="7"/>
      <c r="P3671" s="6"/>
      <c r="Q3671" s="6"/>
      <c r="R3671" s="7"/>
      <c r="S3671" s="6"/>
      <c r="T3671" s="6"/>
      <c r="U3671" s="7"/>
      <c r="V3671" s="6"/>
      <c r="W3671" s="6"/>
      <c r="X3671" s="6"/>
      <c r="Y3671" s="6"/>
      <c r="Z3671" s="6"/>
      <c r="AA3671" s="7"/>
      <c r="AB3671" s="6"/>
      <c r="AC3671" s="6"/>
      <c r="AD3671" s="6"/>
      <c r="AE3671" s="12"/>
      <c r="AF3671" s="6"/>
      <c r="AG3671" s="12"/>
      <c r="AH3671" s="6"/>
      <c r="AI3671" s="6"/>
      <c r="AJ3671" s="12"/>
      <c r="AK3671" s="1"/>
      <c r="AL3671" s="12"/>
      <c r="AM3671" s="12"/>
      <c r="AN3671" s="1"/>
      <c r="AO3671" s="12"/>
    </row>
    <row r="3672" spans="1:41" ht="15" x14ac:dyDescent="0.25">
      <c r="A3672" s="1"/>
      <c r="B3672" s="1"/>
      <c r="C3672" s="1"/>
      <c r="D3672" s="1"/>
      <c r="E3672" s="6"/>
      <c r="F3672" s="1"/>
      <c r="G3672" s="6"/>
      <c r="H3672" s="6"/>
      <c r="I3672" s="6"/>
      <c r="J3672" s="6"/>
      <c r="K3672" s="6"/>
      <c r="L3672" s="6"/>
      <c r="M3672" s="6"/>
      <c r="N3672" s="6"/>
      <c r="O3672" s="7"/>
      <c r="P3672" s="6"/>
      <c r="Q3672" s="6"/>
      <c r="R3672" s="7"/>
      <c r="S3672" s="6"/>
      <c r="T3672" s="6"/>
      <c r="U3672" s="7"/>
      <c r="V3672" s="6"/>
      <c r="W3672" s="6"/>
      <c r="X3672" s="6"/>
      <c r="Y3672" s="6"/>
      <c r="Z3672" s="6"/>
      <c r="AA3672" s="7"/>
      <c r="AB3672" s="6"/>
      <c r="AC3672" s="6"/>
      <c r="AD3672" s="6"/>
      <c r="AE3672" s="12"/>
      <c r="AF3672" s="6"/>
      <c r="AG3672" s="12"/>
      <c r="AH3672" s="6"/>
      <c r="AI3672" s="6"/>
      <c r="AJ3672" s="12"/>
      <c r="AK3672" s="1"/>
      <c r="AL3672" s="12"/>
      <c r="AM3672" s="12"/>
      <c r="AN3672" s="1"/>
      <c r="AO3672" s="6"/>
    </row>
    <row r="3673" spans="1:41" ht="15" x14ac:dyDescent="0.25">
      <c r="A3673" s="1"/>
      <c r="B3673" s="1"/>
      <c r="C3673" s="1"/>
      <c r="D3673" s="1"/>
      <c r="E3673" s="6"/>
      <c r="F3673" s="1"/>
      <c r="G3673" s="6"/>
      <c r="H3673" s="6"/>
      <c r="I3673" s="6"/>
      <c r="J3673" s="6"/>
      <c r="K3673" s="6"/>
      <c r="L3673" s="6"/>
      <c r="M3673" s="6"/>
      <c r="N3673" s="6"/>
      <c r="O3673" s="7"/>
      <c r="P3673" s="6"/>
      <c r="Q3673" s="6"/>
      <c r="R3673" s="7"/>
      <c r="S3673" s="6"/>
      <c r="T3673" s="6"/>
      <c r="U3673" s="7"/>
      <c r="V3673" s="6"/>
      <c r="W3673" s="6"/>
      <c r="X3673" s="6"/>
      <c r="Y3673" s="6"/>
      <c r="Z3673" s="6"/>
      <c r="AA3673" s="7"/>
      <c r="AB3673" s="6"/>
      <c r="AC3673" s="6"/>
      <c r="AD3673" s="6"/>
      <c r="AE3673" s="12"/>
      <c r="AF3673" s="6"/>
      <c r="AG3673" s="12"/>
      <c r="AH3673" s="6"/>
      <c r="AI3673" s="6"/>
      <c r="AJ3673" s="12"/>
      <c r="AK3673" s="1"/>
      <c r="AL3673" s="12"/>
      <c r="AM3673" s="12"/>
      <c r="AN3673" s="1"/>
      <c r="AO3673" s="6"/>
    </row>
    <row r="3674" spans="1:41" ht="15" x14ac:dyDescent="0.25">
      <c r="A3674" s="1"/>
      <c r="B3674" s="1"/>
      <c r="C3674" s="1"/>
      <c r="D3674" s="1"/>
      <c r="E3674" s="6"/>
      <c r="F3674" s="1"/>
      <c r="G3674" s="6"/>
      <c r="H3674" s="6"/>
      <c r="I3674" s="6"/>
      <c r="J3674" s="6"/>
      <c r="K3674" s="6"/>
      <c r="L3674" s="6"/>
      <c r="M3674" s="6"/>
      <c r="N3674" s="6"/>
      <c r="O3674" s="7"/>
      <c r="P3674" s="6"/>
      <c r="Q3674" s="6"/>
      <c r="R3674" s="7"/>
      <c r="S3674" s="6"/>
      <c r="T3674" s="6"/>
      <c r="U3674" s="7"/>
      <c r="V3674" s="6"/>
      <c r="W3674" s="6"/>
      <c r="X3674" s="6"/>
      <c r="Y3674" s="6"/>
      <c r="Z3674" s="6"/>
      <c r="AA3674" s="7"/>
      <c r="AB3674" s="6"/>
      <c r="AC3674" s="6"/>
      <c r="AD3674" s="6"/>
      <c r="AE3674" s="12"/>
      <c r="AF3674" s="6"/>
      <c r="AG3674" s="12"/>
      <c r="AH3674" s="6"/>
      <c r="AI3674" s="6"/>
      <c r="AJ3674" s="12"/>
      <c r="AK3674" s="24"/>
      <c r="AL3674" s="25"/>
      <c r="AM3674" s="12"/>
      <c r="AN3674" s="1"/>
      <c r="AO3674" s="6"/>
    </row>
    <row r="3675" spans="1:41" ht="15" x14ac:dyDescent="0.25">
      <c r="A3675" s="1"/>
      <c r="B3675" s="1"/>
      <c r="C3675" s="1"/>
      <c r="D3675" s="1"/>
      <c r="E3675" s="6"/>
      <c r="F3675" s="1"/>
      <c r="G3675" s="6"/>
      <c r="H3675" s="6"/>
      <c r="I3675" s="6"/>
      <c r="J3675" s="6"/>
      <c r="K3675" s="6"/>
      <c r="L3675" s="6"/>
      <c r="M3675" s="6"/>
      <c r="N3675" s="6"/>
      <c r="O3675" s="7"/>
      <c r="P3675" s="6"/>
      <c r="Q3675" s="6"/>
      <c r="R3675" s="7"/>
      <c r="S3675" s="6"/>
      <c r="T3675" s="6"/>
      <c r="U3675" s="7"/>
      <c r="V3675" s="6"/>
      <c r="W3675" s="6"/>
      <c r="X3675" s="6"/>
      <c r="Y3675" s="6"/>
      <c r="Z3675" s="6"/>
      <c r="AA3675" s="7"/>
      <c r="AB3675" s="6"/>
      <c r="AC3675" s="6"/>
      <c r="AD3675" s="6"/>
      <c r="AE3675" s="12"/>
      <c r="AF3675" s="6"/>
      <c r="AG3675" s="12"/>
      <c r="AH3675" s="6"/>
      <c r="AI3675" s="6"/>
      <c r="AJ3675" s="12"/>
      <c r="AK3675" s="24"/>
      <c r="AL3675" s="25"/>
      <c r="AM3675" s="12"/>
      <c r="AN3675" s="1"/>
      <c r="AO3675" s="6"/>
    </row>
    <row r="3676" spans="1:41" ht="15" x14ac:dyDescent="0.25">
      <c r="A3676" s="1"/>
      <c r="B3676" s="1"/>
      <c r="C3676" s="1"/>
      <c r="D3676" s="1"/>
      <c r="E3676" s="6"/>
      <c r="F3676" s="1"/>
      <c r="G3676" s="6"/>
      <c r="H3676" s="6"/>
      <c r="I3676" s="6"/>
      <c r="J3676" s="6"/>
      <c r="K3676" s="6"/>
      <c r="L3676" s="6"/>
      <c r="M3676" s="6"/>
      <c r="N3676" s="6"/>
      <c r="O3676" s="7"/>
      <c r="P3676" s="6"/>
      <c r="Q3676" s="6"/>
      <c r="R3676" s="7"/>
      <c r="S3676" s="6"/>
      <c r="T3676" s="6"/>
      <c r="U3676" s="7"/>
      <c r="V3676" s="6"/>
      <c r="W3676" s="6"/>
      <c r="X3676" s="12"/>
      <c r="Y3676" s="6"/>
      <c r="Z3676" s="6"/>
      <c r="AA3676" s="7"/>
      <c r="AB3676" s="6"/>
      <c r="AC3676" s="6"/>
      <c r="AD3676" s="6"/>
      <c r="AE3676" s="12"/>
      <c r="AF3676" s="6"/>
      <c r="AG3676" s="12"/>
      <c r="AH3676" s="6"/>
      <c r="AI3676" s="6"/>
      <c r="AJ3676" s="12"/>
      <c r="AK3676" s="1"/>
      <c r="AL3676" s="12"/>
      <c r="AM3676" s="12"/>
      <c r="AN3676" s="1"/>
      <c r="AO3676" s="6"/>
    </row>
    <row r="3677" spans="1:41" ht="15" x14ac:dyDescent="0.25">
      <c r="A3677" s="1"/>
      <c r="B3677" s="1"/>
      <c r="C3677" s="1"/>
      <c r="D3677" s="1"/>
      <c r="E3677" s="6"/>
      <c r="F3677" s="1"/>
      <c r="G3677" s="6"/>
      <c r="H3677" s="6"/>
      <c r="I3677" s="6"/>
      <c r="J3677" s="6"/>
      <c r="K3677" s="6"/>
      <c r="L3677" s="6"/>
      <c r="M3677" s="6"/>
      <c r="N3677" s="6"/>
      <c r="O3677" s="7"/>
      <c r="P3677" s="6"/>
      <c r="Q3677" s="6"/>
      <c r="R3677" s="7"/>
      <c r="S3677" s="6"/>
      <c r="T3677" s="6"/>
      <c r="U3677" s="7"/>
      <c r="V3677" s="6"/>
      <c r="W3677" s="6"/>
      <c r="X3677" s="12"/>
      <c r="Y3677" s="6"/>
      <c r="Z3677" s="6"/>
      <c r="AA3677" s="7"/>
      <c r="AB3677" s="6"/>
      <c r="AC3677" s="6"/>
      <c r="AD3677" s="6"/>
      <c r="AE3677" s="12"/>
      <c r="AF3677" s="6"/>
      <c r="AG3677" s="12"/>
      <c r="AH3677" s="6"/>
      <c r="AI3677" s="6"/>
      <c r="AJ3677" s="12"/>
      <c r="AK3677" s="1"/>
      <c r="AL3677" s="12"/>
      <c r="AM3677" s="12"/>
      <c r="AN3677" s="1"/>
      <c r="AO3677" s="6"/>
    </row>
    <row r="3678" spans="1:41" ht="15" x14ac:dyDescent="0.25">
      <c r="A3678" s="1"/>
      <c r="B3678" s="1"/>
      <c r="C3678" s="1"/>
      <c r="D3678" s="1"/>
      <c r="E3678" s="6"/>
      <c r="F3678" s="1"/>
      <c r="G3678" s="6"/>
      <c r="H3678" s="6"/>
      <c r="I3678" s="6"/>
      <c r="J3678" s="6"/>
      <c r="K3678" s="6"/>
      <c r="L3678" s="6"/>
      <c r="M3678" s="6"/>
      <c r="N3678" s="6"/>
      <c r="O3678" s="7"/>
      <c r="P3678" s="6"/>
      <c r="Q3678" s="7"/>
      <c r="R3678" s="6"/>
      <c r="S3678" s="6"/>
      <c r="T3678" s="6"/>
      <c r="U3678" s="6"/>
      <c r="V3678" s="7"/>
      <c r="W3678" s="7"/>
      <c r="X3678" s="6"/>
      <c r="Y3678" s="6"/>
      <c r="Z3678" s="6"/>
      <c r="AA3678" s="1"/>
      <c r="AB3678" s="12"/>
      <c r="AC3678" s="12"/>
      <c r="AD3678" s="12"/>
      <c r="AE3678" s="12"/>
      <c r="AF3678" s="12"/>
      <c r="AG3678" s="12"/>
      <c r="AH3678" s="12"/>
      <c r="AI3678" s="6"/>
      <c r="AJ3678" s="12"/>
      <c r="AK3678" s="12"/>
      <c r="AL3678" s="12"/>
      <c r="AM3678" s="12"/>
      <c r="AN3678" s="1"/>
      <c r="AO3678" s="6"/>
    </row>
    <row r="3679" spans="1:41" ht="15" x14ac:dyDescent="0.25">
      <c r="A3679" s="1"/>
      <c r="B3679" s="1"/>
      <c r="C3679" s="1"/>
      <c r="D3679" s="1"/>
      <c r="E3679" s="6"/>
      <c r="F3679" s="1"/>
      <c r="G3679" s="6"/>
      <c r="H3679" s="6"/>
      <c r="I3679" s="6"/>
      <c r="J3679" s="6"/>
      <c r="K3679" s="6"/>
      <c r="L3679" s="6"/>
      <c r="M3679" s="6"/>
      <c r="N3679" s="6"/>
      <c r="O3679" s="7"/>
      <c r="P3679" s="6"/>
      <c r="Q3679" s="6"/>
      <c r="R3679" s="7"/>
      <c r="S3679" s="6"/>
      <c r="T3679" s="6"/>
      <c r="U3679" s="7"/>
      <c r="V3679" s="6"/>
      <c r="W3679" s="6"/>
      <c r="X3679" s="12"/>
      <c r="Y3679" s="6"/>
      <c r="Z3679" s="6"/>
      <c r="AA3679" s="7"/>
      <c r="AB3679" s="6"/>
      <c r="AC3679" s="6"/>
      <c r="AD3679" s="6"/>
      <c r="AE3679" s="12"/>
      <c r="AF3679" s="6"/>
      <c r="AG3679" s="12"/>
      <c r="AH3679" s="6"/>
      <c r="AI3679" s="6"/>
      <c r="AJ3679" s="12"/>
      <c r="AK3679" s="24"/>
      <c r="AL3679" s="25"/>
      <c r="AM3679" s="12"/>
      <c r="AN3679" s="1"/>
      <c r="AO3679" s="6"/>
    </row>
    <row r="3680" spans="1:41" ht="15" x14ac:dyDescent="0.25">
      <c r="A3680" s="1"/>
      <c r="B3680" s="1"/>
      <c r="C3680" s="1"/>
      <c r="D3680" s="1"/>
      <c r="E3680" s="6"/>
      <c r="F3680" s="1"/>
      <c r="G3680" s="6"/>
      <c r="H3680" s="6"/>
      <c r="I3680" s="6"/>
      <c r="J3680" s="6"/>
      <c r="K3680" s="6"/>
      <c r="L3680" s="6"/>
      <c r="M3680" s="6"/>
      <c r="N3680" s="6"/>
      <c r="O3680" s="7"/>
      <c r="P3680" s="6"/>
      <c r="Q3680" s="6"/>
      <c r="R3680" s="7"/>
      <c r="S3680" s="6"/>
      <c r="T3680" s="6"/>
      <c r="U3680" s="7"/>
      <c r="V3680" s="6"/>
      <c r="W3680" s="6"/>
      <c r="X3680" s="12"/>
      <c r="Y3680" s="6"/>
      <c r="Z3680" s="6"/>
      <c r="AA3680" s="7"/>
      <c r="AB3680" s="6"/>
      <c r="AC3680" s="6"/>
      <c r="AD3680" s="6"/>
      <c r="AE3680" s="12"/>
      <c r="AF3680" s="6"/>
      <c r="AG3680" s="12"/>
      <c r="AH3680" s="6"/>
      <c r="AI3680" s="6"/>
      <c r="AJ3680" s="12"/>
      <c r="AK3680" s="24"/>
      <c r="AL3680" s="25"/>
      <c r="AM3680" s="12"/>
      <c r="AN3680" s="1"/>
      <c r="AO3680" s="6"/>
    </row>
    <row r="3681" spans="1:41" ht="15" x14ac:dyDescent="0.25">
      <c r="A3681" s="1"/>
      <c r="B3681" s="1"/>
      <c r="C3681" s="1"/>
      <c r="D3681" s="1"/>
      <c r="E3681" s="6"/>
      <c r="F3681" s="1"/>
      <c r="G3681" s="6"/>
      <c r="H3681" s="6"/>
      <c r="I3681" s="6"/>
      <c r="J3681" s="6"/>
      <c r="K3681" s="6"/>
      <c r="L3681" s="6"/>
      <c r="M3681" s="6"/>
      <c r="N3681" s="6"/>
      <c r="O3681" s="7"/>
      <c r="P3681" s="6"/>
      <c r="Q3681" s="6"/>
      <c r="R3681" s="7"/>
      <c r="S3681" s="6"/>
      <c r="T3681" s="6"/>
      <c r="U3681" s="7"/>
      <c r="V3681" s="6"/>
      <c r="W3681" s="6"/>
      <c r="X3681" s="12"/>
      <c r="Y3681" s="6"/>
      <c r="Z3681" s="6"/>
      <c r="AA3681" s="7"/>
      <c r="AB3681" s="6"/>
      <c r="AC3681" s="6"/>
      <c r="AD3681" s="6"/>
      <c r="AE3681" s="12"/>
      <c r="AF3681" s="12"/>
      <c r="AG3681" s="12"/>
      <c r="AH3681" s="12"/>
      <c r="AI3681" s="6"/>
      <c r="AJ3681" s="12"/>
      <c r="AK3681" s="1"/>
      <c r="AL3681" s="12"/>
      <c r="AM3681" s="12"/>
      <c r="AN3681" s="1"/>
      <c r="AO3681" s="6"/>
    </row>
    <row r="3682" spans="1:41" ht="15" x14ac:dyDescent="0.25">
      <c r="A3682" s="1"/>
      <c r="B3682" s="1"/>
      <c r="C3682" s="1"/>
      <c r="D3682" s="1"/>
      <c r="E3682" s="6"/>
      <c r="F3682" s="1"/>
      <c r="G3682" s="6"/>
      <c r="H3682" s="6"/>
      <c r="I3682" s="6"/>
      <c r="J3682" s="6"/>
      <c r="K3682" s="6"/>
      <c r="L3682" s="6"/>
      <c r="M3682" s="6"/>
      <c r="N3682" s="6"/>
      <c r="O3682" s="7"/>
      <c r="P3682" s="12"/>
      <c r="Q3682" s="6"/>
      <c r="R3682" s="7"/>
      <c r="S3682" s="6"/>
      <c r="T3682" s="6"/>
      <c r="U3682" s="7"/>
      <c r="V3682" s="6"/>
      <c r="W3682" s="6"/>
      <c r="X3682" s="12"/>
      <c r="Y3682" s="6"/>
      <c r="Z3682" s="6"/>
      <c r="AA3682" s="7"/>
      <c r="AB3682" s="6"/>
      <c r="AC3682" s="6"/>
      <c r="AD3682" s="6"/>
      <c r="AE3682" s="12"/>
      <c r="AF3682" s="12"/>
      <c r="AG3682" s="12"/>
      <c r="AH3682" s="12"/>
      <c r="AI3682" s="6"/>
      <c r="AJ3682" s="12"/>
      <c r="AK3682" s="1"/>
      <c r="AL3682" s="12"/>
      <c r="AM3682" s="12"/>
      <c r="AN3682" s="1"/>
      <c r="AO3682" s="6"/>
    </row>
    <row r="3683" spans="1:41" ht="15" x14ac:dyDescent="0.25">
      <c r="A3683" s="1"/>
      <c r="B3683" s="1"/>
      <c r="C3683" s="1"/>
      <c r="D3683" s="1"/>
      <c r="E3683" s="6"/>
      <c r="F3683" s="1"/>
      <c r="G3683" s="6"/>
      <c r="H3683" s="6"/>
      <c r="I3683" s="6"/>
      <c r="J3683" s="6"/>
      <c r="K3683" s="6"/>
      <c r="L3683" s="6"/>
      <c r="M3683" s="6"/>
      <c r="N3683" s="6"/>
      <c r="O3683" s="7"/>
      <c r="P3683" s="6"/>
      <c r="Q3683" s="6"/>
      <c r="R3683" s="7"/>
      <c r="S3683" s="6"/>
      <c r="T3683" s="6"/>
      <c r="U3683" s="7"/>
      <c r="V3683" s="6"/>
      <c r="W3683" s="6"/>
      <c r="X3683" s="6"/>
      <c r="Y3683" s="6"/>
      <c r="Z3683" s="6"/>
      <c r="AA3683" s="7"/>
      <c r="AB3683" s="6"/>
      <c r="AC3683" s="6"/>
      <c r="AD3683" s="6"/>
      <c r="AE3683" s="12"/>
      <c r="AF3683" s="12"/>
      <c r="AG3683" s="12"/>
      <c r="AH3683" s="12"/>
      <c r="AI3683" s="6"/>
      <c r="AJ3683" s="12"/>
      <c r="AK3683" s="1"/>
      <c r="AL3683" s="12"/>
      <c r="AM3683" s="12"/>
      <c r="AN3683" s="1"/>
      <c r="AO3683" s="6"/>
    </row>
    <row r="3684" spans="1:41" ht="15" x14ac:dyDescent="0.25">
      <c r="A3684" s="1"/>
      <c r="B3684" s="1"/>
      <c r="C3684" s="1"/>
      <c r="D3684" s="1"/>
      <c r="E3684" s="6"/>
      <c r="F3684" s="1"/>
      <c r="G3684" s="6"/>
      <c r="H3684" s="6"/>
      <c r="I3684" s="6"/>
      <c r="J3684" s="6"/>
      <c r="K3684" s="6"/>
      <c r="L3684" s="6"/>
      <c r="M3684" s="6"/>
      <c r="N3684" s="6"/>
      <c r="O3684" s="7"/>
      <c r="P3684" s="6"/>
      <c r="Q3684" s="6"/>
      <c r="R3684" s="7"/>
      <c r="S3684" s="6"/>
      <c r="T3684" s="6"/>
      <c r="U3684" s="7"/>
      <c r="V3684" s="6"/>
      <c r="W3684" s="6"/>
      <c r="X3684" s="12"/>
      <c r="Y3684" s="6"/>
      <c r="Z3684" s="6"/>
      <c r="AA3684" s="7"/>
      <c r="AB3684" s="6"/>
      <c r="AC3684" s="6"/>
      <c r="AD3684" s="6"/>
      <c r="AE3684" s="12"/>
      <c r="AF3684" s="12"/>
      <c r="AG3684" s="12"/>
      <c r="AH3684" s="12"/>
      <c r="AI3684" s="6"/>
      <c r="AJ3684" s="12"/>
      <c r="AK3684" s="1"/>
      <c r="AL3684" s="12"/>
      <c r="AM3684" s="12"/>
      <c r="AN3684" s="1"/>
      <c r="AO3684" s="6"/>
    </row>
    <row r="3685" spans="1:41" ht="15" x14ac:dyDescent="0.25">
      <c r="A3685" s="1"/>
      <c r="B3685" s="1"/>
      <c r="C3685" s="1"/>
      <c r="D3685" s="1"/>
      <c r="E3685" s="6"/>
      <c r="F3685" s="1"/>
      <c r="G3685" s="6"/>
      <c r="H3685" s="6"/>
      <c r="I3685" s="6"/>
      <c r="J3685" s="6"/>
      <c r="K3685" s="6"/>
      <c r="L3685" s="6"/>
      <c r="M3685" s="6"/>
      <c r="N3685" s="6"/>
      <c r="O3685" s="7"/>
      <c r="P3685" s="6"/>
      <c r="Q3685" s="6"/>
      <c r="R3685" s="7"/>
      <c r="S3685" s="6"/>
      <c r="T3685" s="6"/>
      <c r="U3685" s="7"/>
      <c r="V3685" s="6"/>
      <c r="W3685" s="6"/>
      <c r="X3685" s="12"/>
      <c r="Y3685" s="6"/>
      <c r="Z3685" s="6"/>
      <c r="AA3685" s="7"/>
      <c r="AB3685" s="6"/>
      <c r="AC3685" s="6"/>
      <c r="AD3685" s="6"/>
      <c r="AE3685" s="12"/>
      <c r="AF3685" s="12"/>
      <c r="AG3685" s="12"/>
      <c r="AH3685" s="12"/>
      <c r="AI3685" s="6"/>
      <c r="AJ3685" s="12"/>
      <c r="AK3685" s="1"/>
      <c r="AL3685" s="12"/>
      <c r="AM3685" s="12"/>
      <c r="AN3685" s="1"/>
      <c r="AO3685" s="6"/>
    </row>
    <row r="3686" spans="1:41" ht="15" x14ac:dyDescent="0.25">
      <c r="A3686" s="1"/>
      <c r="B3686" s="1"/>
      <c r="C3686" s="1"/>
      <c r="D3686" s="1"/>
      <c r="E3686" s="6"/>
      <c r="F3686" s="1"/>
      <c r="G3686" s="6"/>
      <c r="H3686" s="6"/>
      <c r="I3686" s="6"/>
      <c r="J3686" s="6"/>
      <c r="K3686" s="12"/>
      <c r="L3686" s="12"/>
      <c r="M3686" s="6"/>
      <c r="N3686" s="6"/>
      <c r="O3686" s="7"/>
      <c r="P3686" s="6"/>
      <c r="Q3686" s="6"/>
      <c r="R3686" s="7"/>
      <c r="S3686" s="6"/>
      <c r="T3686" s="6"/>
      <c r="U3686" s="7"/>
      <c r="V3686" s="6"/>
      <c r="W3686" s="6"/>
      <c r="X3686" s="12"/>
      <c r="Y3686" s="6"/>
      <c r="Z3686" s="6"/>
      <c r="AA3686" s="7"/>
      <c r="AB3686" s="6"/>
      <c r="AC3686" s="6"/>
      <c r="AD3686" s="6"/>
      <c r="AE3686" s="12"/>
      <c r="AF3686" s="12"/>
      <c r="AG3686" s="12"/>
      <c r="AH3686" s="12"/>
      <c r="AI3686" s="6"/>
      <c r="AJ3686" s="12"/>
      <c r="AK3686" s="1"/>
      <c r="AL3686" s="12"/>
      <c r="AM3686" s="12"/>
      <c r="AN3686" s="1"/>
      <c r="AO3686" s="6"/>
    </row>
    <row r="3687" spans="1:41" ht="15" x14ac:dyDescent="0.25">
      <c r="A3687" s="1"/>
      <c r="B3687" s="1"/>
      <c r="C3687" s="1"/>
      <c r="D3687" s="1"/>
      <c r="E3687" s="6"/>
      <c r="F3687" s="1"/>
      <c r="G3687" s="6"/>
      <c r="H3687" s="6"/>
      <c r="I3687" s="6"/>
      <c r="J3687" s="6"/>
      <c r="K3687" s="12"/>
      <c r="L3687" s="12"/>
      <c r="M3687" s="6"/>
      <c r="N3687" s="6"/>
      <c r="O3687" s="7"/>
      <c r="P3687" s="6"/>
      <c r="Q3687" s="6"/>
      <c r="R3687" s="7"/>
      <c r="S3687" s="6"/>
      <c r="T3687" s="6"/>
      <c r="U3687" s="7"/>
      <c r="V3687" s="6"/>
      <c r="W3687" s="6"/>
      <c r="X3687" s="6"/>
      <c r="Y3687" s="6"/>
      <c r="Z3687" s="6"/>
      <c r="AA3687" s="7"/>
      <c r="AB3687" s="6"/>
      <c r="AC3687" s="6"/>
      <c r="AD3687" s="6"/>
      <c r="AE3687" s="12"/>
      <c r="AF3687" s="12"/>
      <c r="AG3687" s="12"/>
      <c r="AH3687" s="12"/>
      <c r="AI3687" s="6"/>
      <c r="AJ3687" s="12"/>
      <c r="AK3687" s="1"/>
      <c r="AL3687" s="12"/>
      <c r="AM3687" s="12"/>
      <c r="AN3687" s="1"/>
      <c r="AO3687" s="6"/>
    </row>
    <row r="3688" spans="1:41" ht="15" x14ac:dyDescent="0.25">
      <c r="A3688" s="1"/>
      <c r="B3688" s="1"/>
      <c r="C3688" s="1"/>
      <c r="D3688" s="1"/>
      <c r="E3688" s="6"/>
      <c r="F3688" s="1"/>
      <c r="G3688" s="6"/>
      <c r="H3688" s="6"/>
      <c r="I3688" s="6"/>
      <c r="J3688" s="6"/>
      <c r="K3688" s="6"/>
      <c r="L3688" s="6"/>
      <c r="M3688" s="6"/>
      <c r="N3688" s="6"/>
      <c r="O3688" s="7"/>
      <c r="P3688" s="6"/>
      <c r="Q3688" s="7"/>
      <c r="R3688" s="6"/>
      <c r="S3688" s="6"/>
      <c r="T3688" s="6"/>
      <c r="U3688" s="6"/>
      <c r="V3688" s="7"/>
      <c r="W3688" s="7"/>
      <c r="X3688" s="6"/>
      <c r="Y3688" s="6"/>
      <c r="Z3688" s="6"/>
      <c r="AA3688" s="1"/>
      <c r="AB3688" s="12"/>
      <c r="AC3688" s="12"/>
      <c r="AD3688" s="12"/>
      <c r="AE3688" s="12"/>
      <c r="AF3688" s="12"/>
      <c r="AG3688" s="12"/>
      <c r="AH3688" s="12"/>
      <c r="AI3688" s="6"/>
      <c r="AJ3688" s="12"/>
      <c r="AK3688" s="12"/>
      <c r="AL3688" s="12"/>
      <c r="AM3688" s="12"/>
      <c r="AN3688" s="1"/>
      <c r="AO3688" s="6"/>
    </row>
    <row r="3689" spans="1:41" ht="15" x14ac:dyDescent="0.25">
      <c r="A3689" s="1"/>
      <c r="B3689" s="1"/>
      <c r="C3689" s="1"/>
      <c r="D3689" s="1"/>
      <c r="E3689" s="6"/>
      <c r="F3689" s="1"/>
      <c r="G3689" s="6"/>
      <c r="H3689" s="6"/>
      <c r="I3689" s="6"/>
      <c r="J3689" s="6"/>
      <c r="K3689" s="6"/>
      <c r="L3689" s="6"/>
      <c r="M3689" s="6"/>
      <c r="N3689" s="6"/>
      <c r="O3689" s="7"/>
      <c r="P3689" s="12"/>
      <c r="Q3689" s="6"/>
      <c r="R3689" s="7"/>
      <c r="S3689" s="6"/>
      <c r="T3689" s="6"/>
      <c r="U3689" s="7"/>
      <c r="V3689" s="6"/>
      <c r="W3689" s="6"/>
      <c r="X3689" s="6"/>
      <c r="Y3689" s="6"/>
      <c r="Z3689" s="6"/>
      <c r="AA3689" s="7"/>
      <c r="AB3689" s="6"/>
      <c r="AC3689" s="6"/>
      <c r="AD3689" s="6"/>
      <c r="AE3689" s="12"/>
      <c r="AF3689" s="6"/>
      <c r="AG3689" s="12"/>
      <c r="AH3689" s="6"/>
      <c r="AI3689" s="6"/>
      <c r="AJ3689" s="12"/>
      <c r="AK3689" s="24"/>
      <c r="AL3689" s="25"/>
      <c r="AM3689" s="12"/>
      <c r="AN3689" s="1"/>
      <c r="AO3689" s="6"/>
    </row>
    <row r="3690" spans="1:41" ht="15" x14ac:dyDescent="0.25">
      <c r="A3690" s="1"/>
      <c r="B3690" s="1"/>
      <c r="C3690" s="1"/>
      <c r="D3690" s="1"/>
      <c r="E3690" s="6"/>
      <c r="F3690" s="1"/>
      <c r="G3690" s="6"/>
      <c r="H3690" s="6"/>
      <c r="I3690" s="6"/>
      <c r="J3690" s="6"/>
      <c r="K3690" s="6"/>
      <c r="L3690" s="6"/>
      <c r="M3690" s="6"/>
      <c r="N3690" s="6"/>
      <c r="O3690" s="7"/>
      <c r="P3690" s="12"/>
      <c r="Q3690" s="6"/>
      <c r="R3690" s="7"/>
      <c r="S3690" s="6"/>
      <c r="T3690" s="6"/>
      <c r="U3690" s="7"/>
      <c r="V3690" s="6"/>
      <c r="W3690" s="6"/>
      <c r="X3690" s="6"/>
      <c r="Y3690" s="6"/>
      <c r="Z3690" s="6"/>
      <c r="AA3690" s="7"/>
      <c r="AB3690" s="6"/>
      <c r="AC3690" s="6"/>
      <c r="AD3690" s="6"/>
      <c r="AE3690" s="12"/>
      <c r="AF3690" s="6"/>
      <c r="AG3690" s="12"/>
      <c r="AH3690" s="6"/>
      <c r="AI3690" s="6"/>
      <c r="AJ3690" s="12"/>
      <c r="AK3690" s="24"/>
      <c r="AL3690" s="25"/>
      <c r="AM3690" s="12"/>
      <c r="AN3690" s="1"/>
      <c r="AO3690" s="6"/>
    </row>
    <row r="3691" spans="1:41" ht="15" x14ac:dyDescent="0.25">
      <c r="A3691" s="1"/>
      <c r="B3691" s="1"/>
      <c r="C3691" s="1"/>
      <c r="D3691" s="1"/>
      <c r="E3691" s="6"/>
      <c r="F3691" s="1"/>
      <c r="G3691" s="6"/>
      <c r="H3691" s="6"/>
      <c r="I3691" s="6"/>
      <c r="J3691" s="6"/>
      <c r="K3691" s="6"/>
      <c r="L3691" s="6"/>
      <c r="M3691" s="6"/>
      <c r="N3691" s="6"/>
      <c r="O3691" s="7"/>
      <c r="P3691" s="6"/>
      <c r="Q3691" s="7"/>
      <c r="R3691" s="6"/>
      <c r="S3691" s="12"/>
      <c r="T3691" s="6"/>
      <c r="U3691" s="6"/>
      <c r="V3691" s="7"/>
      <c r="W3691" s="6"/>
      <c r="X3691" s="6"/>
      <c r="Y3691" s="6"/>
      <c r="Z3691" s="6"/>
      <c r="AA3691" s="24"/>
      <c r="AB3691" s="25"/>
      <c r="AC3691" s="12"/>
      <c r="AD3691" s="12"/>
      <c r="AE3691" s="12"/>
      <c r="AF3691" s="6"/>
      <c r="AG3691" s="12"/>
      <c r="AH3691" s="6"/>
      <c r="AI3691" s="6"/>
      <c r="AJ3691" s="12"/>
      <c r="AK3691" s="12"/>
      <c r="AL3691" s="12"/>
      <c r="AM3691" s="12"/>
      <c r="AN3691" s="1"/>
      <c r="AO3691" s="6"/>
    </row>
    <row r="3692" spans="1:41" ht="15" x14ac:dyDescent="0.25">
      <c r="A3692" s="1"/>
      <c r="B3692" s="1"/>
      <c r="C3692" s="1"/>
      <c r="D3692" s="1"/>
      <c r="E3692" s="6"/>
      <c r="F3692" s="1"/>
      <c r="G3692" s="6"/>
      <c r="H3692" s="6"/>
      <c r="I3692" s="6"/>
      <c r="J3692" s="6"/>
      <c r="K3692" s="6"/>
      <c r="L3692" s="6"/>
      <c r="M3692" s="6"/>
      <c r="N3692" s="6"/>
      <c r="O3692" s="7"/>
      <c r="P3692" s="6"/>
      <c r="Q3692" s="7"/>
      <c r="R3692" s="6"/>
      <c r="S3692" s="12"/>
      <c r="T3692" s="6"/>
      <c r="U3692" s="6"/>
      <c r="V3692" s="7"/>
      <c r="W3692" s="6"/>
      <c r="X3692" s="6"/>
      <c r="Y3692" s="6"/>
      <c r="Z3692" s="6"/>
      <c r="AA3692" s="24"/>
      <c r="AB3692" s="25"/>
      <c r="AC3692" s="12"/>
      <c r="AD3692" s="12"/>
      <c r="AE3692" s="12"/>
      <c r="AF3692" s="6"/>
      <c r="AG3692" s="12"/>
      <c r="AH3692" s="6"/>
      <c r="AI3692" s="6"/>
      <c r="AJ3692" s="12"/>
      <c r="AK3692" s="12"/>
      <c r="AL3692" s="12"/>
      <c r="AM3692" s="12"/>
      <c r="AN3692" s="1"/>
      <c r="AO3692" s="6"/>
    </row>
    <row r="3693" spans="1:41" ht="15" x14ac:dyDescent="0.25">
      <c r="A3693" s="1"/>
      <c r="B3693" s="1"/>
      <c r="C3693" s="1"/>
      <c r="D3693" s="1"/>
      <c r="E3693" s="6"/>
      <c r="F3693" s="1"/>
      <c r="G3693" s="6"/>
      <c r="H3693" s="6"/>
      <c r="I3693" s="6"/>
      <c r="J3693" s="6"/>
      <c r="K3693" s="6"/>
      <c r="L3693" s="6"/>
      <c r="M3693" s="6"/>
      <c r="N3693" s="6"/>
      <c r="O3693" s="7"/>
      <c r="P3693" s="6"/>
      <c r="Q3693" s="7"/>
      <c r="R3693" s="6"/>
      <c r="S3693" s="6"/>
      <c r="T3693" s="6"/>
      <c r="U3693" s="6"/>
      <c r="V3693" s="7"/>
      <c r="W3693" s="7"/>
      <c r="X3693" s="6"/>
      <c r="Y3693" s="6"/>
      <c r="Z3693" s="6"/>
      <c r="AA3693" s="1"/>
      <c r="AB3693" s="12"/>
      <c r="AC3693" s="12"/>
      <c r="AD3693" s="12"/>
      <c r="AE3693" s="12"/>
      <c r="AF3693" s="12"/>
      <c r="AG3693" s="12"/>
      <c r="AH3693" s="12"/>
      <c r="AI3693" s="6"/>
      <c r="AJ3693" s="12"/>
      <c r="AK3693" s="12"/>
      <c r="AL3693" s="12"/>
      <c r="AM3693" s="12"/>
      <c r="AN3693" s="1"/>
      <c r="AO3693" s="6"/>
    </row>
    <row r="3694" spans="1:41" ht="15" x14ac:dyDescent="0.25">
      <c r="A3694" s="1"/>
      <c r="B3694" s="1"/>
      <c r="C3694" s="1"/>
      <c r="D3694" s="1"/>
      <c r="E3694" s="6"/>
      <c r="F3694" s="1"/>
      <c r="G3694" s="6"/>
      <c r="H3694" s="6"/>
      <c r="I3694" s="6"/>
      <c r="J3694" s="6"/>
      <c r="K3694" s="6"/>
      <c r="L3694" s="6"/>
      <c r="M3694" s="6"/>
      <c r="N3694" s="6"/>
      <c r="O3694" s="7"/>
      <c r="P3694" s="6"/>
      <c r="Q3694" s="6"/>
      <c r="R3694" s="7"/>
      <c r="S3694" s="6"/>
      <c r="T3694" s="6"/>
      <c r="U3694" s="7"/>
      <c r="V3694" s="6"/>
      <c r="W3694" s="6"/>
      <c r="X3694" s="6"/>
      <c r="Y3694" s="6"/>
      <c r="Z3694" s="6"/>
      <c r="AA3694" s="7"/>
      <c r="AB3694" s="6"/>
      <c r="AC3694" s="6"/>
      <c r="AD3694" s="6"/>
      <c r="AE3694" s="12"/>
      <c r="AF3694" s="12"/>
      <c r="AG3694" s="12"/>
      <c r="AH3694" s="12"/>
      <c r="AI3694" s="6"/>
      <c r="AJ3694" s="12"/>
      <c r="AK3694" s="1"/>
      <c r="AL3694" s="12"/>
      <c r="AM3694" s="12"/>
      <c r="AN3694" s="1"/>
      <c r="AO3694" s="6"/>
    </row>
    <row r="3695" spans="1:41" ht="15" x14ac:dyDescent="0.25">
      <c r="A3695" s="1"/>
      <c r="B3695" s="1"/>
      <c r="C3695" s="1"/>
      <c r="D3695" s="1"/>
      <c r="E3695" s="6"/>
      <c r="F3695" s="1"/>
      <c r="G3695" s="6"/>
      <c r="H3695" s="6"/>
      <c r="I3695" s="6"/>
      <c r="J3695" s="6"/>
      <c r="K3695" s="6"/>
      <c r="L3695" s="6"/>
      <c r="M3695" s="6"/>
      <c r="N3695" s="6"/>
      <c r="O3695" s="7"/>
      <c r="P3695" s="6"/>
      <c r="Q3695" s="6"/>
      <c r="R3695" s="7"/>
      <c r="S3695" s="6"/>
      <c r="T3695" s="6"/>
      <c r="U3695" s="7"/>
      <c r="V3695" s="6"/>
      <c r="W3695" s="6"/>
      <c r="X3695" s="6"/>
      <c r="Y3695" s="6"/>
      <c r="Z3695" s="6"/>
      <c r="AA3695" s="7"/>
      <c r="AB3695" s="6"/>
      <c r="AC3695" s="6"/>
      <c r="AD3695" s="6"/>
      <c r="AE3695" s="12"/>
      <c r="AF3695" s="6"/>
      <c r="AG3695" s="12"/>
      <c r="AH3695" s="6"/>
      <c r="AI3695" s="6"/>
      <c r="AJ3695" s="12"/>
      <c r="AK3695" s="24"/>
      <c r="AL3695" s="25"/>
      <c r="AM3695" s="12"/>
      <c r="AN3695" s="1"/>
      <c r="AO3695" s="6"/>
    </row>
    <row r="3696" spans="1:41" ht="15" x14ac:dyDescent="0.25">
      <c r="A3696" s="1"/>
      <c r="B3696" s="1"/>
      <c r="C3696" s="1"/>
      <c r="D3696" s="1"/>
      <c r="E3696" s="6"/>
      <c r="F3696" s="1"/>
      <c r="G3696" s="6"/>
      <c r="H3696" s="6"/>
      <c r="I3696" s="6"/>
      <c r="J3696" s="6"/>
      <c r="K3696" s="6"/>
      <c r="L3696" s="6"/>
      <c r="M3696" s="6"/>
      <c r="N3696" s="6"/>
      <c r="O3696" s="7"/>
      <c r="P3696" s="6"/>
      <c r="Q3696" s="6"/>
      <c r="R3696" s="7"/>
      <c r="S3696" s="6"/>
      <c r="T3696" s="6"/>
      <c r="U3696" s="7"/>
      <c r="V3696" s="6"/>
      <c r="W3696" s="6"/>
      <c r="X3696" s="6"/>
      <c r="Y3696" s="6"/>
      <c r="Z3696" s="6"/>
      <c r="AA3696" s="7"/>
      <c r="AB3696" s="6"/>
      <c r="AC3696" s="6"/>
      <c r="AD3696" s="6"/>
      <c r="AE3696" s="12"/>
      <c r="AF3696" s="6"/>
      <c r="AG3696" s="12"/>
      <c r="AH3696" s="6"/>
      <c r="AI3696" s="6"/>
      <c r="AJ3696" s="12"/>
      <c r="AK3696" s="24"/>
      <c r="AL3696" s="25"/>
      <c r="AM3696" s="12"/>
      <c r="AN3696" s="1"/>
      <c r="AO3696" s="6"/>
    </row>
    <row r="3697" spans="1:41" ht="15" x14ac:dyDescent="0.25">
      <c r="A3697" s="1"/>
      <c r="B3697" s="1"/>
      <c r="C3697" s="1"/>
      <c r="D3697" s="1"/>
      <c r="E3697" s="6"/>
      <c r="F3697" s="1"/>
      <c r="G3697" s="6"/>
      <c r="H3697" s="6"/>
      <c r="I3697" s="6"/>
      <c r="J3697" s="6"/>
      <c r="K3697" s="6"/>
      <c r="L3697" s="6"/>
      <c r="M3697" s="6"/>
      <c r="N3697" s="6"/>
      <c r="O3697" s="7"/>
      <c r="P3697" s="6"/>
      <c r="Q3697" s="6"/>
      <c r="R3697" s="7"/>
      <c r="S3697" s="6"/>
      <c r="T3697" s="6"/>
      <c r="U3697" s="7"/>
      <c r="V3697" s="6"/>
      <c r="W3697" s="6"/>
      <c r="X3697" s="6"/>
      <c r="Y3697" s="6"/>
      <c r="Z3697" s="6"/>
      <c r="AA3697" s="7"/>
      <c r="AB3697" s="6"/>
      <c r="AC3697" s="6"/>
      <c r="AD3697" s="6"/>
      <c r="AE3697" s="12"/>
      <c r="AF3697" s="12"/>
      <c r="AG3697" s="12"/>
      <c r="AH3697" s="12"/>
      <c r="AI3697" s="6"/>
      <c r="AJ3697" s="12"/>
      <c r="AK3697" s="1"/>
      <c r="AL3697" s="12"/>
      <c r="AM3697" s="12"/>
      <c r="AN3697" s="1"/>
      <c r="AO3697" s="6"/>
    </row>
    <row r="3698" spans="1:41" ht="15" x14ac:dyDescent="0.25">
      <c r="A3698" s="1"/>
      <c r="B3698" s="1"/>
      <c r="C3698" s="1"/>
      <c r="D3698" s="1"/>
      <c r="E3698" s="6"/>
      <c r="F3698" s="1"/>
      <c r="G3698" s="6"/>
      <c r="H3698" s="6"/>
      <c r="I3698" s="6"/>
      <c r="J3698" s="6"/>
      <c r="K3698" s="6"/>
      <c r="L3698" s="6"/>
      <c r="M3698" s="6"/>
      <c r="N3698" s="6"/>
      <c r="O3698" s="7"/>
      <c r="P3698" s="6"/>
      <c r="Q3698" s="6"/>
      <c r="R3698" s="7"/>
      <c r="S3698" s="6"/>
      <c r="T3698" s="6"/>
      <c r="U3698" s="7"/>
      <c r="V3698" s="6"/>
      <c r="W3698" s="6"/>
      <c r="X3698" s="6"/>
      <c r="Y3698" s="6"/>
      <c r="Z3698" s="6"/>
      <c r="AA3698" s="7"/>
      <c r="AB3698" s="6"/>
      <c r="AC3698" s="6"/>
      <c r="AD3698" s="6"/>
      <c r="AE3698" s="12"/>
      <c r="AF3698" s="6"/>
      <c r="AG3698" s="12"/>
      <c r="AH3698" s="6"/>
      <c r="AI3698" s="6"/>
      <c r="AJ3698" s="12"/>
      <c r="AK3698" s="1"/>
      <c r="AL3698" s="12"/>
      <c r="AM3698" s="12"/>
      <c r="AN3698" s="1"/>
      <c r="AO3698" s="6"/>
    </row>
    <row r="3699" spans="1:41" ht="15" x14ac:dyDescent="0.25">
      <c r="A3699" s="1"/>
      <c r="B3699" s="1"/>
      <c r="C3699" s="1"/>
      <c r="D3699" s="1"/>
      <c r="E3699" s="6"/>
      <c r="F3699" s="1"/>
      <c r="G3699" s="6"/>
      <c r="H3699" s="6"/>
      <c r="I3699" s="6"/>
      <c r="J3699" s="6"/>
      <c r="K3699" s="6"/>
      <c r="L3699" s="6"/>
      <c r="M3699" s="6"/>
      <c r="N3699" s="6"/>
      <c r="O3699" s="7"/>
      <c r="P3699" s="6"/>
      <c r="Q3699" s="6"/>
      <c r="R3699" s="7"/>
      <c r="S3699" s="6"/>
      <c r="T3699" s="6"/>
      <c r="U3699" s="7"/>
      <c r="V3699" s="6"/>
      <c r="W3699" s="6"/>
      <c r="X3699" s="6"/>
      <c r="Y3699" s="6"/>
      <c r="Z3699" s="6"/>
      <c r="AA3699" s="7"/>
      <c r="AB3699" s="6"/>
      <c r="AC3699" s="6"/>
      <c r="AD3699" s="6"/>
      <c r="AE3699" s="12"/>
      <c r="AF3699" s="6"/>
      <c r="AG3699" s="12"/>
      <c r="AH3699" s="6"/>
      <c r="AI3699" s="6"/>
      <c r="AJ3699" s="12"/>
      <c r="AK3699" s="1"/>
      <c r="AL3699" s="12"/>
      <c r="AM3699" s="12"/>
      <c r="AN3699" s="1"/>
      <c r="AO3699" s="6"/>
    </row>
    <row r="3700" spans="1:41" ht="15" x14ac:dyDescent="0.25">
      <c r="A3700" s="1"/>
      <c r="B3700" s="1"/>
      <c r="C3700" s="1"/>
      <c r="D3700" s="1"/>
      <c r="E3700" s="6"/>
      <c r="F3700" s="1"/>
      <c r="G3700" s="6"/>
      <c r="H3700" s="6"/>
      <c r="I3700" s="6"/>
      <c r="J3700" s="6"/>
      <c r="K3700" s="6"/>
      <c r="L3700" s="6"/>
      <c r="M3700" s="6"/>
      <c r="N3700" s="6"/>
      <c r="O3700" s="7"/>
      <c r="P3700" s="6"/>
      <c r="Q3700" s="6"/>
      <c r="R3700" s="7"/>
      <c r="S3700" s="6"/>
      <c r="T3700" s="6"/>
      <c r="U3700" s="7"/>
      <c r="V3700" s="6"/>
      <c r="W3700" s="6"/>
      <c r="X3700" s="6"/>
      <c r="Y3700" s="6"/>
      <c r="Z3700" s="6"/>
      <c r="AA3700" s="7"/>
      <c r="AB3700" s="6"/>
      <c r="AC3700" s="6"/>
      <c r="AD3700" s="6"/>
      <c r="AE3700" s="12"/>
      <c r="AF3700" s="6"/>
      <c r="AG3700" s="12"/>
      <c r="AH3700" s="6"/>
      <c r="AI3700" s="6"/>
      <c r="AJ3700" s="12"/>
      <c r="AK3700" s="24"/>
      <c r="AL3700" s="25"/>
      <c r="AM3700" s="12"/>
      <c r="AN3700" s="1"/>
      <c r="AO3700" s="6"/>
    </row>
    <row r="3701" spans="1:41" ht="15" x14ac:dyDescent="0.25">
      <c r="A3701" s="1"/>
      <c r="B3701" s="1"/>
      <c r="C3701" s="1"/>
      <c r="D3701" s="1"/>
      <c r="E3701" s="6"/>
      <c r="F3701" s="1"/>
      <c r="G3701" s="6"/>
      <c r="H3701" s="6"/>
      <c r="I3701" s="6"/>
      <c r="J3701" s="6"/>
      <c r="K3701" s="6"/>
      <c r="L3701" s="6"/>
      <c r="M3701" s="6"/>
      <c r="N3701" s="6"/>
      <c r="O3701" s="7"/>
      <c r="P3701" s="6"/>
      <c r="Q3701" s="6"/>
      <c r="R3701" s="7"/>
      <c r="S3701" s="6"/>
      <c r="T3701" s="6"/>
      <c r="U3701" s="7"/>
      <c r="V3701" s="6"/>
      <c r="W3701" s="6"/>
      <c r="X3701" s="6"/>
      <c r="Y3701" s="6"/>
      <c r="Z3701" s="6"/>
      <c r="AA3701" s="7"/>
      <c r="AB3701" s="6"/>
      <c r="AC3701" s="6"/>
      <c r="AD3701" s="6"/>
      <c r="AE3701" s="12"/>
      <c r="AF3701" s="6"/>
      <c r="AG3701" s="12"/>
      <c r="AH3701" s="6"/>
      <c r="AI3701" s="6"/>
      <c r="AJ3701" s="12"/>
      <c r="AK3701" s="24"/>
      <c r="AL3701" s="25"/>
      <c r="AM3701" s="12"/>
      <c r="AN3701" s="1"/>
      <c r="AO3701" s="6"/>
    </row>
    <row r="3702" spans="1:41" ht="15" x14ac:dyDescent="0.25">
      <c r="A3702" s="1"/>
      <c r="B3702" s="1"/>
      <c r="C3702" s="1"/>
      <c r="D3702" s="1"/>
      <c r="E3702" s="6"/>
      <c r="F3702" s="1"/>
      <c r="G3702" s="6"/>
      <c r="H3702" s="6"/>
      <c r="I3702" s="6"/>
      <c r="J3702" s="6"/>
      <c r="K3702" s="12"/>
      <c r="L3702" s="12"/>
      <c r="M3702" s="6"/>
      <c r="N3702" s="6"/>
      <c r="O3702" s="7"/>
      <c r="P3702" s="6"/>
      <c r="Q3702" s="6"/>
      <c r="R3702" s="7"/>
      <c r="S3702" s="6"/>
      <c r="T3702" s="6"/>
      <c r="U3702" s="7"/>
      <c r="V3702" s="6"/>
      <c r="W3702" s="6"/>
      <c r="X3702" s="12"/>
      <c r="Y3702" s="6"/>
      <c r="Z3702" s="6"/>
      <c r="AA3702" s="7"/>
      <c r="AB3702" s="6"/>
      <c r="AC3702" s="6"/>
      <c r="AD3702" s="6"/>
      <c r="AE3702" s="12"/>
      <c r="AF3702" s="12"/>
      <c r="AG3702" s="12"/>
      <c r="AH3702" s="12"/>
      <c r="AI3702" s="6"/>
      <c r="AJ3702" s="12"/>
      <c r="AK3702" s="1"/>
      <c r="AL3702" s="12"/>
      <c r="AM3702" s="12"/>
      <c r="AN3702" s="1"/>
      <c r="AO3702" s="6"/>
    </row>
    <row r="3703" spans="1:41" ht="15" x14ac:dyDescent="0.25">
      <c r="A3703" s="1"/>
      <c r="B3703" s="1"/>
      <c r="C3703" s="1"/>
      <c r="D3703" s="1"/>
      <c r="E3703" s="6"/>
      <c r="F3703" s="1"/>
      <c r="G3703" s="6"/>
      <c r="H3703" s="6"/>
      <c r="I3703" s="6"/>
      <c r="J3703" s="6"/>
      <c r="K3703" s="12"/>
      <c r="L3703" s="12"/>
      <c r="M3703" s="6"/>
      <c r="N3703" s="6"/>
      <c r="O3703" s="7"/>
      <c r="P3703" s="6"/>
      <c r="Q3703" s="6"/>
      <c r="R3703" s="7"/>
      <c r="S3703" s="6"/>
      <c r="T3703" s="6"/>
      <c r="U3703" s="7"/>
      <c r="V3703" s="6"/>
      <c r="W3703" s="6"/>
      <c r="X3703" s="12"/>
      <c r="Y3703" s="6"/>
      <c r="Z3703" s="6"/>
      <c r="AA3703" s="7"/>
      <c r="AB3703" s="6"/>
      <c r="AC3703" s="6"/>
      <c r="AD3703" s="6"/>
      <c r="AE3703" s="12"/>
      <c r="AF3703" s="12"/>
      <c r="AG3703" s="12"/>
      <c r="AH3703" s="12"/>
      <c r="AI3703" s="6"/>
      <c r="AJ3703" s="12"/>
      <c r="AK3703" s="1"/>
      <c r="AL3703" s="12"/>
      <c r="AM3703" s="12"/>
      <c r="AN3703" s="1"/>
      <c r="AO3703" s="6"/>
    </row>
    <row r="3704" spans="1:41" ht="15" x14ac:dyDescent="0.25">
      <c r="A3704" s="1"/>
      <c r="B3704" s="1"/>
      <c r="C3704" s="1"/>
      <c r="D3704" s="1"/>
      <c r="E3704" s="6"/>
      <c r="F3704" s="1"/>
      <c r="G3704" s="6"/>
      <c r="H3704" s="6"/>
      <c r="I3704" s="6"/>
      <c r="J3704" s="6"/>
      <c r="K3704" s="6"/>
      <c r="L3704" s="6"/>
      <c r="M3704" s="6"/>
      <c r="N3704" s="6"/>
      <c r="O3704" s="7"/>
      <c r="P3704" s="6"/>
      <c r="Q3704" s="6"/>
      <c r="R3704" s="7"/>
      <c r="S3704" s="6"/>
      <c r="T3704" s="6"/>
      <c r="U3704" s="7"/>
      <c r="V3704" s="6"/>
      <c r="W3704" s="6"/>
      <c r="X3704" s="6"/>
      <c r="Y3704" s="6"/>
      <c r="Z3704" s="6"/>
      <c r="AA3704" s="7"/>
      <c r="AB3704" s="6"/>
      <c r="AC3704" s="6"/>
      <c r="AD3704" s="6"/>
      <c r="AE3704" s="12"/>
      <c r="AF3704" s="6"/>
      <c r="AG3704" s="12"/>
      <c r="AH3704" s="6"/>
      <c r="AI3704" s="6"/>
      <c r="AJ3704" s="12"/>
      <c r="AK3704" s="1"/>
      <c r="AL3704" s="12"/>
      <c r="AM3704" s="12"/>
      <c r="AN3704" s="1"/>
      <c r="AO3704" s="6"/>
    </row>
    <row r="3705" spans="1:41" ht="15" x14ac:dyDescent="0.25">
      <c r="A3705" s="1"/>
      <c r="B3705" s="1"/>
      <c r="C3705" s="1"/>
      <c r="D3705" s="1"/>
      <c r="E3705" s="6"/>
      <c r="F3705" s="1"/>
      <c r="G3705" s="6"/>
      <c r="H3705" s="6"/>
      <c r="I3705" s="6"/>
      <c r="J3705" s="6"/>
      <c r="K3705" s="6"/>
      <c r="L3705" s="6"/>
      <c r="M3705" s="6"/>
      <c r="N3705" s="6"/>
      <c r="O3705" s="7"/>
      <c r="P3705" s="6"/>
      <c r="Q3705" s="6"/>
      <c r="R3705" s="7"/>
      <c r="S3705" s="6"/>
      <c r="T3705" s="6"/>
      <c r="U3705" s="7"/>
      <c r="V3705" s="6"/>
      <c r="W3705" s="6"/>
      <c r="X3705" s="6"/>
      <c r="Y3705" s="6"/>
      <c r="Z3705" s="6"/>
      <c r="AA3705" s="7"/>
      <c r="AB3705" s="6"/>
      <c r="AC3705" s="6"/>
      <c r="AD3705" s="6"/>
      <c r="AE3705" s="12"/>
      <c r="AF3705" s="6"/>
      <c r="AG3705" s="12"/>
      <c r="AH3705" s="6"/>
      <c r="AI3705" s="6"/>
      <c r="AJ3705" s="12"/>
      <c r="AK3705" s="24"/>
      <c r="AL3705" s="25"/>
      <c r="AM3705" s="12"/>
      <c r="AN3705" s="1"/>
      <c r="AO3705" s="6"/>
    </row>
    <row r="3706" spans="1:41" ht="15" x14ac:dyDescent="0.25">
      <c r="A3706" s="1"/>
      <c r="B3706" s="1"/>
      <c r="C3706" s="1"/>
      <c r="D3706" s="1"/>
      <c r="E3706" s="6"/>
      <c r="F3706" s="1"/>
      <c r="G3706" s="6"/>
      <c r="H3706" s="6"/>
      <c r="I3706" s="6"/>
      <c r="J3706" s="6"/>
      <c r="K3706" s="6"/>
      <c r="L3706" s="6"/>
      <c r="M3706" s="6"/>
      <c r="N3706" s="6"/>
      <c r="O3706" s="7"/>
      <c r="P3706" s="6"/>
      <c r="Q3706" s="6"/>
      <c r="R3706" s="7"/>
      <c r="S3706" s="6"/>
      <c r="T3706" s="6"/>
      <c r="U3706" s="7"/>
      <c r="V3706" s="6"/>
      <c r="W3706" s="6"/>
      <c r="X3706" s="6"/>
      <c r="Y3706" s="6"/>
      <c r="Z3706" s="6"/>
      <c r="AA3706" s="7"/>
      <c r="AB3706" s="6"/>
      <c r="AC3706" s="6"/>
      <c r="AD3706" s="6"/>
      <c r="AE3706" s="12"/>
      <c r="AF3706" s="6"/>
      <c r="AG3706" s="12"/>
      <c r="AH3706" s="6"/>
      <c r="AI3706" s="6"/>
      <c r="AJ3706" s="12"/>
      <c r="AK3706" s="24"/>
      <c r="AL3706" s="25"/>
      <c r="AM3706" s="12"/>
      <c r="AN3706" s="1"/>
      <c r="AO3706" s="6"/>
    </row>
    <row r="3707" spans="1:41" ht="15" x14ac:dyDescent="0.25">
      <c r="A3707" s="1"/>
      <c r="B3707" s="1"/>
      <c r="C3707" s="1"/>
      <c r="D3707" s="1"/>
      <c r="E3707" s="6"/>
      <c r="F3707" s="1"/>
      <c r="G3707" s="6"/>
      <c r="H3707" s="6"/>
      <c r="I3707" s="6"/>
      <c r="J3707" s="6"/>
      <c r="K3707" s="6"/>
      <c r="L3707" s="6"/>
      <c r="M3707" s="6"/>
      <c r="N3707" s="6"/>
      <c r="O3707" s="7"/>
      <c r="P3707" s="6"/>
      <c r="Q3707" s="6"/>
      <c r="R3707" s="7"/>
      <c r="S3707" s="6"/>
      <c r="T3707" s="6"/>
      <c r="U3707" s="7"/>
      <c r="V3707" s="6"/>
      <c r="W3707" s="6"/>
      <c r="X3707" s="6"/>
      <c r="Y3707" s="6"/>
      <c r="Z3707" s="6"/>
      <c r="AA3707" s="7"/>
      <c r="AB3707" s="6"/>
      <c r="AC3707" s="6"/>
      <c r="AD3707" s="6"/>
      <c r="AE3707" s="12"/>
      <c r="AF3707" s="6"/>
      <c r="AG3707" s="12"/>
      <c r="AH3707" s="6"/>
      <c r="AI3707" s="6"/>
      <c r="AJ3707" s="12"/>
      <c r="AK3707" s="1"/>
      <c r="AL3707" s="12"/>
      <c r="AM3707" s="12"/>
      <c r="AN3707" s="1"/>
      <c r="AO3707" s="6"/>
    </row>
    <row r="3708" spans="1:41" ht="15" x14ac:dyDescent="0.25">
      <c r="A3708" s="1"/>
      <c r="B3708" s="1"/>
      <c r="C3708" s="1"/>
      <c r="D3708" s="1"/>
      <c r="E3708" s="6"/>
      <c r="F3708" s="1"/>
      <c r="G3708" s="6"/>
      <c r="H3708" s="6"/>
      <c r="I3708" s="6"/>
      <c r="J3708" s="6"/>
      <c r="K3708" s="6"/>
      <c r="L3708" s="6"/>
      <c r="M3708" s="6"/>
      <c r="N3708" s="6"/>
      <c r="O3708" s="7"/>
      <c r="P3708" s="6"/>
      <c r="Q3708" s="6"/>
      <c r="R3708" s="7"/>
      <c r="S3708" s="6"/>
      <c r="T3708" s="6"/>
      <c r="U3708" s="7"/>
      <c r="V3708" s="6"/>
      <c r="W3708" s="6"/>
      <c r="X3708" s="6"/>
      <c r="Y3708" s="6"/>
      <c r="Z3708" s="6"/>
      <c r="AA3708" s="7"/>
      <c r="AB3708" s="6"/>
      <c r="AC3708" s="6"/>
      <c r="AD3708" s="6"/>
      <c r="AE3708" s="12"/>
      <c r="AF3708" s="6"/>
      <c r="AG3708" s="12"/>
      <c r="AH3708" s="6"/>
      <c r="AI3708" s="6"/>
      <c r="AJ3708" s="12"/>
      <c r="AK3708" s="1"/>
      <c r="AL3708" s="12"/>
      <c r="AM3708" s="12"/>
      <c r="AN3708" s="1"/>
      <c r="AO3708" s="6"/>
    </row>
    <row r="3709" spans="1:41" ht="15" x14ac:dyDescent="0.25">
      <c r="A3709" s="1"/>
      <c r="B3709" s="1"/>
      <c r="C3709" s="1"/>
      <c r="D3709" s="1"/>
      <c r="E3709" s="6"/>
      <c r="F3709" s="1"/>
      <c r="G3709" s="6"/>
      <c r="H3709" s="6"/>
      <c r="I3709" s="6"/>
      <c r="J3709" s="6"/>
      <c r="K3709" s="6"/>
      <c r="L3709" s="6"/>
      <c r="M3709" s="6"/>
      <c r="N3709" s="6"/>
      <c r="O3709" s="7"/>
      <c r="P3709" s="6"/>
      <c r="Q3709" s="6"/>
      <c r="R3709" s="7"/>
      <c r="S3709" s="6"/>
      <c r="T3709" s="6"/>
      <c r="U3709" s="7"/>
      <c r="V3709" s="6"/>
      <c r="W3709" s="6"/>
      <c r="X3709" s="6"/>
      <c r="Y3709" s="6"/>
      <c r="Z3709" s="6"/>
      <c r="AA3709" s="7"/>
      <c r="AB3709" s="6"/>
      <c r="AC3709" s="6"/>
      <c r="AD3709" s="6"/>
      <c r="AE3709" s="12"/>
      <c r="AF3709" s="12"/>
      <c r="AG3709" s="12"/>
      <c r="AH3709" s="12"/>
      <c r="AI3709" s="6"/>
      <c r="AJ3709" s="12"/>
      <c r="AK3709" s="1"/>
      <c r="AL3709" s="12"/>
      <c r="AM3709" s="12"/>
      <c r="AN3709" s="1"/>
      <c r="AO3709" s="6"/>
    </row>
    <row r="3710" spans="1:41" ht="15" x14ac:dyDescent="0.25">
      <c r="A3710" s="1"/>
      <c r="B3710" s="1"/>
      <c r="C3710" s="1"/>
      <c r="D3710" s="1"/>
      <c r="E3710" s="6"/>
      <c r="F3710" s="1"/>
      <c r="G3710" s="6"/>
      <c r="H3710" s="6"/>
      <c r="I3710" s="6"/>
      <c r="J3710" s="6"/>
      <c r="K3710" s="6"/>
      <c r="L3710" s="6"/>
      <c r="M3710" s="6"/>
      <c r="N3710" s="6"/>
      <c r="O3710" s="7"/>
      <c r="P3710" s="12"/>
      <c r="Q3710" s="6"/>
      <c r="R3710" s="12"/>
      <c r="S3710" s="12"/>
      <c r="T3710" s="12"/>
      <c r="U3710" s="7"/>
      <c r="V3710" s="6"/>
      <c r="W3710" s="6"/>
      <c r="X3710" s="12"/>
      <c r="Y3710" s="6"/>
      <c r="Z3710" s="6"/>
      <c r="AA3710" s="7"/>
      <c r="AB3710" s="6"/>
      <c r="AC3710" s="6"/>
      <c r="AD3710" s="6"/>
      <c r="AE3710" s="12"/>
      <c r="AF3710" s="6"/>
      <c r="AG3710" s="12"/>
      <c r="AH3710" s="6"/>
      <c r="AI3710" s="6"/>
      <c r="AJ3710" s="12"/>
      <c r="AK3710" s="1"/>
      <c r="AL3710" s="12"/>
      <c r="AM3710" s="12"/>
      <c r="AN3710" s="1"/>
      <c r="AO3710" s="6"/>
    </row>
    <row r="3711" spans="1:41" ht="15" x14ac:dyDescent="0.25">
      <c r="A3711" s="1"/>
      <c r="B3711" s="1"/>
      <c r="C3711" s="1"/>
      <c r="D3711" s="1"/>
      <c r="E3711" s="6"/>
      <c r="F3711" s="1"/>
      <c r="G3711" s="6"/>
      <c r="H3711" s="6"/>
      <c r="I3711" s="6"/>
      <c r="J3711" s="6"/>
      <c r="K3711" s="6"/>
      <c r="L3711" s="6"/>
      <c r="M3711" s="6"/>
      <c r="N3711" s="6"/>
      <c r="O3711" s="7"/>
      <c r="P3711" s="6"/>
      <c r="Q3711" s="6"/>
      <c r="R3711" s="7"/>
      <c r="S3711" s="6"/>
      <c r="T3711" s="6"/>
      <c r="U3711" s="7"/>
      <c r="V3711" s="6"/>
      <c r="W3711" s="6"/>
      <c r="X3711" s="6"/>
      <c r="Y3711" s="6"/>
      <c r="Z3711" s="6"/>
      <c r="AA3711" s="7"/>
      <c r="AB3711" s="6"/>
      <c r="AC3711" s="6"/>
      <c r="AD3711" s="6"/>
      <c r="AE3711" s="12"/>
      <c r="AF3711" s="12"/>
      <c r="AG3711" s="12"/>
      <c r="AH3711" s="12"/>
      <c r="AI3711" s="6"/>
      <c r="AJ3711" s="12"/>
      <c r="AK3711" s="1"/>
      <c r="AL3711" s="12"/>
      <c r="AM3711" s="12"/>
      <c r="AN3711" s="1"/>
      <c r="AO3711" s="6"/>
    </row>
    <row r="3712" spans="1:41" ht="15" x14ac:dyDescent="0.25">
      <c r="A3712" s="1"/>
      <c r="B3712" s="1"/>
      <c r="C3712" s="1"/>
      <c r="D3712" s="1"/>
      <c r="E3712" s="6"/>
      <c r="F3712" s="1"/>
      <c r="G3712" s="6"/>
      <c r="H3712" s="6"/>
      <c r="I3712" s="6"/>
      <c r="J3712" s="6"/>
      <c r="K3712" s="6"/>
      <c r="L3712" s="6"/>
      <c r="M3712" s="6"/>
      <c r="N3712" s="6"/>
      <c r="O3712" s="7"/>
      <c r="P3712" s="6"/>
      <c r="Q3712" s="7"/>
      <c r="R3712" s="6"/>
      <c r="S3712" s="12"/>
      <c r="T3712" s="6"/>
      <c r="U3712" s="6"/>
      <c r="V3712" s="7"/>
      <c r="W3712" s="7"/>
      <c r="X3712" s="6"/>
      <c r="Y3712" s="6"/>
      <c r="Z3712" s="6"/>
      <c r="AA3712" s="1"/>
      <c r="AB3712" s="12"/>
      <c r="AC3712" s="12"/>
      <c r="AD3712" s="12"/>
      <c r="AE3712" s="12"/>
      <c r="AF3712" s="12"/>
      <c r="AG3712" s="12"/>
      <c r="AH3712" s="12"/>
      <c r="AI3712" s="6"/>
      <c r="AJ3712" s="12"/>
      <c r="AK3712" s="12"/>
      <c r="AL3712" s="12"/>
      <c r="AM3712" s="12"/>
      <c r="AN3712" s="1"/>
      <c r="AO3712" s="6"/>
    </row>
    <row r="3713" spans="1:41" ht="15" x14ac:dyDescent="0.25">
      <c r="A3713" s="1"/>
      <c r="B3713" s="1"/>
      <c r="C3713" s="1"/>
      <c r="D3713" s="1"/>
      <c r="E3713" s="6"/>
      <c r="F3713" s="1"/>
      <c r="G3713" s="6"/>
      <c r="H3713" s="6"/>
      <c r="I3713" s="6"/>
      <c r="J3713" s="6"/>
      <c r="K3713" s="6"/>
      <c r="L3713" s="6"/>
      <c r="M3713" s="6"/>
      <c r="N3713" s="6"/>
      <c r="O3713" s="7"/>
      <c r="P3713" s="12"/>
      <c r="Q3713" s="6"/>
      <c r="R3713" s="7"/>
      <c r="S3713" s="6"/>
      <c r="T3713" s="6"/>
      <c r="U3713" s="7"/>
      <c r="V3713" s="6"/>
      <c r="W3713" s="6"/>
      <c r="X3713" s="6"/>
      <c r="Y3713" s="6"/>
      <c r="Z3713" s="6"/>
      <c r="AA3713" s="7"/>
      <c r="AB3713" s="6"/>
      <c r="AC3713" s="6"/>
      <c r="AD3713" s="6"/>
      <c r="AE3713" s="12"/>
      <c r="AF3713" s="12"/>
      <c r="AG3713" s="12"/>
      <c r="AH3713" s="12"/>
      <c r="AI3713" s="6"/>
      <c r="AJ3713" s="12"/>
      <c r="AK3713" s="1"/>
      <c r="AL3713" s="12"/>
      <c r="AM3713" s="12"/>
      <c r="AN3713" s="1"/>
      <c r="AO3713" s="6"/>
    </row>
    <row r="3714" spans="1:41" ht="15" x14ac:dyDescent="0.25">
      <c r="A3714" s="1"/>
      <c r="B3714" s="1"/>
      <c r="C3714" s="1"/>
      <c r="D3714" s="1"/>
      <c r="E3714" s="6"/>
      <c r="F3714" s="1"/>
      <c r="G3714" s="6"/>
      <c r="H3714" s="6"/>
      <c r="I3714" s="6"/>
      <c r="J3714" s="6"/>
      <c r="K3714" s="6"/>
      <c r="L3714" s="6"/>
      <c r="M3714" s="6"/>
      <c r="N3714" s="6"/>
      <c r="O3714" s="7"/>
      <c r="P3714" s="6"/>
      <c r="Q3714" s="6"/>
      <c r="R3714" s="7"/>
      <c r="S3714" s="6"/>
      <c r="T3714" s="6"/>
      <c r="U3714" s="7"/>
      <c r="V3714" s="6"/>
      <c r="W3714" s="6"/>
      <c r="X3714" s="6"/>
      <c r="Y3714" s="6"/>
      <c r="Z3714" s="6"/>
      <c r="AA3714" s="7"/>
      <c r="AB3714" s="6"/>
      <c r="AC3714" s="6"/>
      <c r="AD3714" s="6"/>
      <c r="AE3714" s="12"/>
      <c r="AF3714" s="6"/>
      <c r="AG3714" s="12"/>
      <c r="AH3714" s="6"/>
      <c r="AI3714" s="6"/>
      <c r="AJ3714" s="12"/>
      <c r="AK3714" s="24"/>
      <c r="AL3714" s="25"/>
      <c r="AM3714" s="12"/>
      <c r="AN3714" s="1"/>
      <c r="AO3714" s="6"/>
    </row>
    <row r="3715" spans="1:41" ht="15" x14ac:dyDescent="0.25">
      <c r="A3715" s="1"/>
      <c r="B3715" s="1"/>
      <c r="C3715" s="1"/>
      <c r="D3715" s="1"/>
      <c r="E3715" s="6"/>
      <c r="F3715" s="1"/>
      <c r="G3715" s="6"/>
      <c r="H3715" s="6"/>
      <c r="I3715" s="6"/>
      <c r="J3715" s="6"/>
      <c r="K3715" s="6"/>
      <c r="L3715" s="6"/>
      <c r="M3715" s="6"/>
      <c r="N3715" s="6"/>
      <c r="O3715" s="7"/>
      <c r="P3715" s="6"/>
      <c r="Q3715" s="6"/>
      <c r="R3715" s="7"/>
      <c r="S3715" s="6"/>
      <c r="T3715" s="6"/>
      <c r="U3715" s="7"/>
      <c r="V3715" s="6"/>
      <c r="W3715" s="6"/>
      <c r="X3715" s="6"/>
      <c r="Y3715" s="6"/>
      <c r="Z3715" s="6"/>
      <c r="AA3715" s="7"/>
      <c r="AB3715" s="6"/>
      <c r="AC3715" s="6"/>
      <c r="AD3715" s="6"/>
      <c r="AE3715" s="12"/>
      <c r="AF3715" s="6"/>
      <c r="AG3715" s="12"/>
      <c r="AH3715" s="6"/>
      <c r="AI3715" s="6"/>
      <c r="AJ3715" s="12"/>
      <c r="AK3715" s="24"/>
      <c r="AL3715" s="25"/>
      <c r="AM3715" s="12"/>
      <c r="AN3715" s="1"/>
      <c r="AO3715" s="6"/>
    </row>
    <row r="3716" spans="1:41" ht="15" x14ac:dyDescent="0.25">
      <c r="A3716" s="1"/>
      <c r="B3716" s="1"/>
      <c r="C3716" s="1"/>
      <c r="D3716" s="1"/>
      <c r="E3716" s="6"/>
      <c r="F3716" s="1"/>
      <c r="G3716" s="6"/>
      <c r="H3716" s="6"/>
      <c r="I3716" s="6"/>
      <c r="J3716" s="6"/>
      <c r="K3716" s="6"/>
      <c r="L3716" s="6"/>
      <c r="M3716" s="6"/>
      <c r="N3716" s="6"/>
      <c r="O3716" s="7"/>
      <c r="P3716" s="6"/>
      <c r="Q3716" s="6"/>
      <c r="R3716" s="7"/>
      <c r="S3716" s="6"/>
      <c r="T3716" s="6"/>
      <c r="U3716" s="7"/>
      <c r="V3716" s="6"/>
      <c r="W3716" s="6"/>
      <c r="X3716" s="6"/>
      <c r="Y3716" s="6"/>
      <c r="Z3716" s="6"/>
      <c r="AA3716" s="7"/>
      <c r="AB3716" s="6"/>
      <c r="AC3716" s="6"/>
      <c r="AD3716" s="6"/>
      <c r="AE3716" s="12"/>
      <c r="AF3716" s="6"/>
      <c r="AG3716" s="12"/>
      <c r="AH3716" s="6"/>
      <c r="AI3716" s="6"/>
      <c r="AJ3716" s="12"/>
      <c r="AK3716" s="24"/>
      <c r="AL3716" s="25"/>
      <c r="AM3716" s="12"/>
      <c r="AN3716" s="1"/>
      <c r="AO3716" s="6"/>
    </row>
    <row r="3717" spans="1:41" ht="15" x14ac:dyDescent="0.25">
      <c r="A3717" s="1"/>
      <c r="B3717" s="1"/>
      <c r="C3717" s="1"/>
      <c r="D3717" s="1"/>
      <c r="E3717" s="6"/>
      <c r="F3717" s="1"/>
      <c r="G3717" s="6"/>
      <c r="H3717" s="6"/>
      <c r="I3717" s="6"/>
      <c r="J3717" s="6"/>
      <c r="K3717" s="6"/>
      <c r="L3717" s="6"/>
      <c r="M3717" s="6"/>
      <c r="N3717" s="6"/>
      <c r="O3717" s="7"/>
      <c r="P3717" s="6"/>
      <c r="Q3717" s="6"/>
      <c r="R3717" s="7"/>
      <c r="S3717" s="6"/>
      <c r="T3717" s="6"/>
      <c r="U3717" s="7"/>
      <c r="V3717" s="6"/>
      <c r="W3717" s="6"/>
      <c r="X3717" s="6"/>
      <c r="Y3717" s="6"/>
      <c r="Z3717" s="6"/>
      <c r="AA3717" s="7"/>
      <c r="AB3717" s="6"/>
      <c r="AC3717" s="6"/>
      <c r="AD3717" s="6"/>
      <c r="AE3717" s="12"/>
      <c r="AF3717" s="6"/>
      <c r="AG3717" s="12"/>
      <c r="AH3717" s="6"/>
      <c r="AI3717" s="6"/>
      <c r="AJ3717" s="12"/>
      <c r="AK3717" s="24"/>
      <c r="AL3717" s="25"/>
      <c r="AM3717" s="12"/>
      <c r="AN3717" s="1"/>
      <c r="AO3717" s="6"/>
    </row>
    <row r="3718" spans="1:41" ht="15" x14ac:dyDescent="0.25">
      <c r="A3718" s="1"/>
      <c r="B3718" s="1"/>
      <c r="C3718" s="1"/>
      <c r="D3718" s="1"/>
      <c r="E3718" s="6"/>
      <c r="F3718" s="1"/>
      <c r="G3718" s="6"/>
      <c r="H3718" s="6"/>
      <c r="I3718" s="6"/>
      <c r="J3718" s="6"/>
      <c r="K3718" s="6"/>
      <c r="L3718" s="6"/>
      <c r="M3718" s="6"/>
      <c r="N3718" s="6"/>
      <c r="O3718" s="7"/>
      <c r="P3718" s="6"/>
      <c r="Q3718" s="6"/>
      <c r="R3718" s="7"/>
      <c r="S3718" s="6"/>
      <c r="T3718" s="6"/>
      <c r="U3718" s="7"/>
      <c r="V3718" s="6"/>
      <c r="W3718" s="6"/>
      <c r="X3718" s="12"/>
      <c r="Y3718" s="6"/>
      <c r="Z3718" s="6"/>
      <c r="AA3718" s="7"/>
      <c r="AB3718" s="6"/>
      <c r="AC3718" s="6"/>
      <c r="AD3718" s="6"/>
      <c r="AE3718" s="12"/>
      <c r="AF3718" s="6"/>
      <c r="AG3718" s="12"/>
      <c r="AH3718" s="6"/>
      <c r="AI3718" s="6"/>
      <c r="AJ3718" s="12"/>
      <c r="AK3718" s="1"/>
      <c r="AL3718" s="12"/>
      <c r="AM3718" s="12"/>
      <c r="AN3718" s="1"/>
      <c r="AO3718" s="6"/>
    </row>
    <row r="3719" spans="1:41" ht="15" x14ac:dyDescent="0.25">
      <c r="A3719" s="1"/>
      <c r="B3719" s="1"/>
      <c r="C3719" s="1"/>
      <c r="D3719" s="1"/>
      <c r="E3719" s="6"/>
      <c r="F3719" s="1"/>
      <c r="G3719" s="6"/>
      <c r="H3719" s="6"/>
      <c r="I3719" s="6"/>
      <c r="J3719" s="6"/>
      <c r="K3719" s="6"/>
      <c r="L3719" s="6"/>
      <c r="M3719" s="6"/>
      <c r="N3719" s="6"/>
      <c r="O3719" s="7"/>
      <c r="P3719" s="6"/>
      <c r="Q3719" s="6"/>
      <c r="R3719" s="7"/>
      <c r="S3719" s="6"/>
      <c r="T3719" s="6"/>
      <c r="U3719" s="7"/>
      <c r="V3719" s="6"/>
      <c r="W3719" s="6"/>
      <c r="X3719" s="12"/>
      <c r="Y3719" s="6"/>
      <c r="Z3719" s="6"/>
      <c r="AA3719" s="7"/>
      <c r="AB3719" s="6"/>
      <c r="AC3719" s="6"/>
      <c r="AD3719" s="6"/>
      <c r="AE3719" s="12"/>
      <c r="AF3719" s="6"/>
      <c r="AG3719" s="12"/>
      <c r="AH3719" s="6"/>
      <c r="AI3719" s="6"/>
      <c r="AJ3719" s="12"/>
      <c r="AK3719" s="1"/>
      <c r="AL3719" s="12"/>
      <c r="AM3719" s="12"/>
      <c r="AN3719" s="1"/>
      <c r="AO3719" s="6"/>
    </row>
    <row r="3720" spans="1:41" ht="15" x14ac:dyDescent="0.25">
      <c r="A3720" s="1"/>
      <c r="B3720" s="1"/>
      <c r="C3720" s="1"/>
      <c r="D3720" s="1"/>
      <c r="E3720" s="6"/>
      <c r="F3720" s="1"/>
      <c r="G3720" s="6"/>
      <c r="H3720" s="6"/>
      <c r="I3720" s="6"/>
      <c r="J3720" s="6"/>
      <c r="K3720" s="6"/>
      <c r="L3720" s="6"/>
      <c r="M3720" s="6"/>
      <c r="N3720" s="6"/>
      <c r="O3720" s="7"/>
      <c r="P3720" s="6"/>
      <c r="Q3720" s="6"/>
      <c r="R3720" s="7"/>
      <c r="S3720" s="6"/>
      <c r="T3720" s="6"/>
      <c r="U3720" s="7"/>
      <c r="V3720" s="6"/>
      <c r="W3720" s="6"/>
      <c r="X3720" s="6"/>
      <c r="Y3720" s="6"/>
      <c r="Z3720" s="6"/>
      <c r="AA3720" s="7"/>
      <c r="AB3720" s="6"/>
      <c r="AC3720" s="6"/>
      <c r="AD3720" s="6"/>
      <c r="AE3720" s="12"/>
      <c r="AF3720" s="6"/>
      <c r="AG3720" s="12"/>
      <c r="AH3720" s="6"/>
      <c r="AI3720" s="6"/>
      <c r="AJ3720" s="12"/>
      <c r="AK3720" s="1"/>
      <c r="AL3720" s="12"/>
      <c r="AM3720" s="12"/>
      <c r="AN3720" s="1"/>
      <c r="AO3720" s="6"/>
    </row>
    <row r="3721" spans="1:41" ht="15" x14ac:dyDescent="0.25">
      <c r="A3721" s="1"/>
      <c r="B3721" s="1"/>
      <c r="C3721" s="1"/>
      <c r="D3721" s="1"/>
      <c r="E3721" s="6"/>
      <c r="F3721" s="1"/>
      <c r="G3721" s="6"/>
      <c r="H3721" s="6"/>
      <c r="I3721" s="6"/>
      <c r="J3721" s="6"/>
      <c r="K3721" s="6"/>
      <c r="L3721" s="6"/>
      <c r="M3721" s="6"/>
      <c r="N3721" s="6"/>
      <c r="O3721" s="7"/>
      <c r="P3721" s="6"/>
      <c r="Q3721" s="6"/>
      <c r="R3721" s="7"/>
      <c r="S3721" s="6"/>
      <c r="T3721" s="6"/>
      <c r="U3721" s="7"/>
      <c r="V3721" s="6"/>
      <c r="W3721" s="6"/>
      <c r="X3721" s="6"/>
      <c r="Y3721" s="6"/>
      <c r="Z3721" s="6"/>
      <c r="AA3721" s="7"/>
      <c r="AB3721" s="6"/>
      <c r="AC3721" s="6"/>
      <c r="AD3721" s="6"/>
      <c r="AE3721" s="12"/>
      <c r="AF3721" s="6"/>
      <c r="AG3721" s="12"/>
      <c r="AH3721" s="6"/>
      <c r="AI3721" s="6"/>
      <c r="AJ3721" s="12"/>
      <c r="AK3721" s="1"/>
      <c r="AL3721" s="12"/>
      <c r="AM3721" s="12"/>
      <c r="AN3721" s="1"/>
      <c r="AO3721" s="6"/>
    </row>
    <row r="3722" spans="1:41" ht="15" x14ac:dyDescent="0.25">
      <c r="A3722" s="1"/>
      <c r="B3722" s="1"/>
      <c r="C3722" s="1"/>
      <c r="D3722" s="1"/>
      <c r="E3722" s="6"/>
      <c r="F3722" s="1"/>
      <c r="G3722" s="6"/>
      <c r="H3722" s="6"/>
      <c r="I3722" s="6"/>
      <c r="J3722" s="6"/>
      <c r="K3722" s="6"/>
      <c r="L3722" s="6"/>
      <c r="M3722" s="6"/>
      <c r="N3722" s="6"/>
      <c r="O3722" s="7"/>
      <c r="P3722" s="6"/>
      <c r="Q3722" s="6"/>
      <c r="R3722" s="7"/>
      <c r="S3722" s="6"/>
      <c r="T3722" s="6"/>
      <c r="U3722" s="7"/>
      <c r="V3722" s="6"/>
      <c r="W3722" s="6"/>
      <c r="X3722" s="6"/>
      <c r="Y3722" s="6"/>
      <c r="Z3722" s="6"/>
      <c r="AA3722" s="7"/>
      <c r="AB3722" s="6"/>
      <c r="AC3722" s="6"/>
      <c r="AD3722" s="6"/>
      <c r="AE3722" s="12"/>
      <c r="AF3722" s="12"/>
      <c r="AG3722" s="12"/>
      <c r="AH3722" s="12"/>
      <c r="AI3722" s="6"/>
      <c r="AJ3722" s="12"/>
      <c r="AK3722" s="1"/>
      <c r="AL3722" s="12"/>
      <c r="AM3722" s="12"/>
      <c r="AN3722" s="1"/>
      <c r="AO3722" s="6"/>
    </row>
    <row r="3723" spans="1:41" ht="15" x14ac:dyDescent="0.25">
      <c r="A3723" s="1"/>
      <c r="B3723" s="1"/>
      <c r="C3723" s="1"/>
      <c r="D3723" s="1"/>
      <c r="E3723" s="6"/>
      <c r="F3723" s="1"/>
      <c r="G3723" s="6"/>
      <c r="H3723" s="6"/>
      <c r="I3723" s="6"/>
      <c r="J3723" s="6"/>
      <c r="K3723" s="6"/>
      <c r="L3723" s="6"/>
      <c r="M3723" s="6"/>
      <c r="N3723" s="6"/>
      <c r="O3723" s="7"/>
      <c r="P3723" s="6"/>
      <c r="Q3723" s="6"/>
      <c r="R3723" s="7"/>
      <c r="S3723" s="6"/>
      <c r="T3723" s="6"/>
      <c r="U3723" s="7"/>
      <c r="V3723" s="6"/>
      <c r="W3723" s="6"/>
      <c r="X3723" s="6"/>
      <c r="Y3723" s="6"/>
      <c r="Z3723" s="6"/>
      <c r="AA3723" s="7"/>
      <c r="AB3723" s="6"/>
      <c r="AC3723" s="6"/>
      <c r="AD3723" s="6"/>
      <c r="AE3723" s="12"/>
      <c r="AF3723" s="12"/>
      <c r="AG3723" s="12"/>
      <c r="AH3723" s="12"/>
      <c r="AI3723" s="6"/>
      <c r="AJ3723" s="12"/>
      <c r="AK3723" s="1"/>
      <c r="AL3723" s="12"/>
      <c r="AM3723" s="12"/>
      <c r="AN3723" s="1"/>
      <c r="AO3723" s="6"/>
    </row>
    <row r="3724" spans="1:41" ht="15" x14ac:dyDescent="0.25">
      <c r="A3724" s="1"/>
      <c r="B3724" s="1"/>
      <c r="C3724" s="1"/>
      <c r="D3724" s="1"/>
      <c r="E3724" s="6"/>
      <c r="F3724" s="1"/>
      <c r="G3724" s="6"/>
      <c r="H3724" s="6"/>
      <c r="I3724" s="6"/>
      <c r="J3724" s="6"/>
      <c r="K3724" s="6"/>
      <c r="L3724" s="6"/>
      <c r="M3724" s="6"/>
      <c r="N3724" s="6"/>
      <c r="O3724" s="7"/>
      <c r="P3724" s="6"/>
      <c r="Q3724" s="6"/>
      <c r="R3724" s="12"/>
      <c r="S3724" s="12"/>
      <c r="T3724" s="12"/>
      <c r="U3724" s="7"/>
      <c r="V3724" s="6"/>
      <c r="W3724" s="6"/>
      <c r="X3724" s="12"/>
      <c r="Y3724" s="6"/>
      <c r="Z3724" s="6"/>
      <c r="AA3724" s="7"/>
      <c r="AB3724" s="6"/>
      <c r="AC3724" s="6"/>
      <c r="AD3724" s="6"/>
      <c r="AE3724" s="12"/>
      <c r="AF3724" s="6"/>
      <c r="AG3724" s="12"/>
      <c r="AH3724" s="6"/>
      <c r="AI3724" s="6"/>
      <c r="AJ3724" s="12"/>
      <c r="AK3724" s="1"/>
      <c r="AL3724" s="12"/>
      <c r="AM3724" s="12"/>
      <c r="AN3724" s="1"/>
      <c r="AO3724" s="6"/>
    </row>
    <row r="3725" spans="1:41" ht="15" x14ac:dyDescent="0.25">
      <c r="A3725" s="1"/>
      <c r="B3725" s="1"/>
      <c r="C3725" s="1"/>
      <c r="D3725" s="1"/>
      <c r="E3725" s="6"/>
      <c r="F3725" s="1"/>
      <c r="G3725" s="6"/>
      <c r="H3725" s="6"/>
      <c r="I3725" s="6"/>
      <c r="J3725" s="6"/>
      <c r="K3725" s="6"/>
      <c r="L3725" s="6"/>
      <c r="M3725" s="6"/>
      <c r="N3725" s="6"/>
      <c r="O3725" s="7"/>
      <c r="P3725" s="6"/>
      <c r="Q3725" s="7"/>
      <c r="R3725" s="6"/>
      <c r="S3725" s="6"/>
      <c r="T3725" s="6"/>
      <c r="U3725" s="6"/>
      <c r="V3725" s="7"/>
      <c r="W3725" s="7"/>
      <c r="X3725" s="6"/>
      <c r="Y3725" s="6"/>
      <c r="Z3725" s="6"/>
      <c r="AA3725" s="1"/>
      <c r="AB3725" s="12"/>
      <c r="AC3725" s="12"/>
      <c r="AD3725" s="12"/>
      <c r="AE3725" s="12"/>
      <c r="AF3725" s="12"/>
      <c r="AG3725" s="12"/>
      <c r="AH3725" s="12"/>
      <c r="AI3725" s="6"/>
      <c r="AJ3725" s="12"/>
      <c r="AK3725" s="12"/>
      <c r="AL3725" s="12"/>
      <c r="AM3725" s="12"/>
      <c r="AN3725" s="1"/>
      <c r="AO3725" s="6"/>
    </row>
    <row r="3726" spans="1:41" ht="15" x14ac:dyDescent="0.25">
      <c r="A3726" s="1"/>
      <c r="B3726" s="1"/>
      <c r="C3726" s="1"/>
      <c r="D3726" s="1"/>
      <c r="E3726" s="6"/>
      <c r="F3726" s="1"/>
      <c r="G3726" s="6"/>
      <c r="H3726" s="6"/>
      <c r="I3726" s="6"/>
      <c r="J3726" s="6"/>
      <c r="K3726" s="6"/>
      <c r="L3726" s="6"/>
      <c r="M3726" s="6"/>
      <c r="N3726" s="6"/>
      <c r="O3726" s="7"/>
      <c r="P3726" s="6"/>
      <c r="Q3726" s="6"/>
      <c r="R3726" s="7"/>
      <c r="S3726" s="6"/>
      <c r="T3726" s="6"/>
      <c r="U3726" s="7"/>
      <c r="V3726" s="6"/>
      <c r="W3726" s="6"/>
      <c r="X3726" s="6"/>
      <c r="Y3726" s="6"/>
      <c r="Z3726" s="6"/>
      <c r="AA3726" s="7"/>
      <c r="AB3726" s="6"/>
      <c r="AC3726" s="6"/>
      <c r="AD3726" s="6"/>
      <c r="AE3726" s="12"/>
      <c r="AF3726" s="6"/>
      <c r="AG3726" s="12"/>
      <c r="AH3726" s="6"/>
      <c r="AI3726" s="6"/>
      <c r="AJ3726" s="12"/>
      <c r="AK3726" s="1"/>
      <c r="AL3726" s="12"/>
      <c r="AM3726" s="12"/>
      <c r="AN3726" s="1"/>
      <c r="AO3726" s="6"/>
    </row>
    <row r="3727" spans="1:41" ht="15" x14ac:dyDescent="0.25">
      <c r="A3727" s="1"/>
      <c r="B3727" s="1"/>
      <c r="C3727" s="1"/>
      <c r="D3727" s="1"/>
      <c r="E3727" s="6"/>
      <c r="F3727" s="1"/>
      <c r="G3727" s="6"/>
      <c r="H3727" s="6"/>
      <c r="I3727" s="6"/>
      <c r="J3727" s="6"/>
      <c r="K3727" s="6"/>
      <c r="L3727" s="6"/>
      <c r="M3727" s="6"/>
      <c r="N3727" s="6"/>
      <c r="O3727" s="7"/>
      <c r="P3727" s="6"/>
      <c r="Q3727" s="6"/>
      <c r="R3727" s="7"/>
      <c r="S3727" s="6"/>
      <c r="T3727" s="6"/>
      <c r="U3727" s="7"/>
      <c r="V3727" s="6"/>
      <c r="W3727" s="6"/>
      <c r="X3727" s="6"/>
      <c r="Y3727" s="6"/>
      <c r="Z3727" s="6"/>
      <c r="AA3727" s="7"/>
      <c r="AB3727" s="6"/>
      <c r="AC3727" s="6"/>
      <c r="AD3727" s="6"/>
      <c r="AE3727" s="12"/>
      <c r="AF3727" s="6"/>
      <c r="AG3727" s="12"/>
      <c r="AH3727" s="6"/>
      <c r="AI3727" s="6"/>
      <c r="AJ3727" s="12"/>
      <c r="AK3727" s="24"/>
      <c r="AL3727" s="25"/>
      <c r="AM3727" s="12"/>
      <c r="AN3727" s="1"/>
      <c r="AO3727" s="6"/>
    </row>
    <row r="3728" spans="1:41" ht="15" x14ac:dyDescent="0.25">
      <c r="A3728" s="1"/>
      <c r="B3728" s="1"/>
      <c r="C3728" s="1"/>
      <c r="D3728" s="1"/>
      <c r="E3728" s="6"/>
      <c r="F3728" s="1"/>
      <c r="G3728" s="6"/>
      <c r="H3728" s="6"/>
      <c r="I3728" s="6"/>
      <c r="J3728" s="6"/>
      <c r="K3728" s="6"/>
      <c r="L3728" s="6"/>
      <c r="M3728" s="6"/>
      <c r="N3728" s="6"/>
      <c r="O3728" s="7"/>
      <c r="P3728" s="6"/>
      <c r="Q3728" s="6"/>
      <c r="R3728" s="7"/>
      <c r="S3728" s="6"/>
      <c r="T3728" s="6"/>
      <c r="U3728" s="7"/>
      <c r="V3728" s="6"/>
      <c r="W3728" s="6"/>
      <c r="X3728" s="6"/>
      <c r="Y3728" s="6"/>
      <c r="Z3728" s="6"/>
      <c r="AA3728" s="7"/>
      <c r="AB3728" s="6"/>
      <c r="AC3728" s="6"/>
      <c r="AD3728" s="6"/>
      <c r="AE3728" s="12"/>
      <c r="AF3728" s="6"/>
      <c r="AG3728" s="12"/>
      <c r="AH3728" s="6"/>
      <c r="AI3728" s="6"/>
      <c r="AJ3728" s="12"/>
      <c r="AK3728" s="24"/>
      <c r="AL3728" s="25"/>
      <c r="AM3728" s="12"/>
      <c r="AN3728" s="1"/>
      <c r="AO3728" s="6"/>
    </row>
    <row r="3729" spans="1:41" ht="15" x14ac:dyDescent="0.25">
      <c r="A3729" s="1"/>
      <c r="B3729" s="1"/>
      <c r="C3729" s="1"/>
      <c r="D3729" s="1"/>
      <c r="E3729" s="6"/>
      <c r="F3729" s="1"/>
      <c r="G3729" s="6"/>
      <c r="H3729" s="6"/>
      <c r="I3729" s="6"/>
      <c r="J3729" s="6"/>
      <c r="K3729" s="6"/>
      <c r="L3729" s="6"/>
      <c r="M3729" s="6"/>
      <c r="N3729" s="6"/>
      <c r="O3729" s="7"/>
      <c r="P3729" s="6"/>
      <c r="Q3729" s="6"/>
      <c r="R3729" s="7"/>
      <c r="S3729" s="6"/>
      <c r="T3729" s="6"/>
      <c r="U3729" s="7"/>
      <c r="V3729" s="6"/>
      <c r="W3729" s="6"/>
      <c r="X3729" s="6"/>
      <c r="Y3729" s="6"/>
      <c r="Z3729" s="6"/>
      <c r="AA3729" s="7"/>
      <c r="AB3729" s="6"/>
      <c r="AC3729" s="6"/>
      <c r="AD3729" s="6"/>
      <c r="AE3729" s="12"/>
      <c r="AF3729" s="6"/>
      <c r="AG3729" s="12"/>
      <c r="AH3729" s="6"/>
      <c r="AI3729" s="6"/>
      <c r="AJ3729" s="12"/>
      <c r="AK3729" s="24"/>
      <c r="AL3729" s="25"/>
      <c r="AM3729" s="12"/>
      <c r="AN3729" s="1"/>
      <c r="AO3729" s="6"/>
    </row>
    <row r="3730" spans="1:41" ht="15" x14ac:dyDescent="0.25">
      <c r="A3730" s="1"/>
      <c r="B3730" s="1"/>
      <c r="C3730" s="1"/>
      <c r="D3730" s="1"/>
      <c r="E3730" s="6"/>
      <c r="F3730" s="1"/>
      <c r="G3730" s="6"/>
      <c r="H3730" s="6"/>
      <c r="I3730" s="6"/>
      <c r="J3730" s="6"/>
      <c r="K3730" s="6"/>
      <c r="L3730" s="6"/>
      <c r="M3730" s="6"/>
      <c r="N3730" s="6"/>
      <c r="O3730" s="7"/>
      <c r="P3730" s="6"/>
      <c r="Q3730" s="6"/>
      <c r="R3730" s="7"/>
      <c r="S3730" s="6"/>
      <c r="T3730" s="6"/>
      <c r="U3730" s="7"/>
      <c r="V3730" s="6"/>
      <c r="W3730" s="6"/>
      <c r="X3730" s="6"/>
      <c r="Y3730" s="6"/>
      <c r="Z3730" s="6"/>
      <c r="AA3730" s="7"/>
      <c r="AB3730" s="6"/>
      <c r="AC3730" s="6"/>
      <c r="AD3730" s="6"/>
      <c r="AE3730" s="12"/>
      <c r="AF3730" s="6"/>
      <c r="AG3730" s="12"/>
      <c r="AH3730" s="6"/>
      <c r="AI3730" s="6"/>
      <c r="AJ3730" s="12"/>
      <c r="AK3730" s="24"/>
      <c r="AL3730" s="25"/>
      <c r="AM3730" s="12"/>
      <c r="AN3730" s="1"/>
      <c r="AO3730" s="6"/>
    </row>
    <row r="3731" spans="1:41" ht="15" x14ac:dyDescent="0.25">
      <c r="A3731" s="1"/>
      <c r="B3731" s="1"/>
      <c r="C3731" s="1"/>
      <c r="D3731" s="1"/>
      <c r="E3731" s="6"/>
      <c r="F3731" s="1"/>
      <c r="G3731" s="6"/>
      <c r="H3731" s="6"/>
      <c r="I3731" s="6"/>
      <c r="J3731" s="6"/>
      <c r="K3731" s="6"/>
      <c r="L3731" s="6"/>
      <c r="M3731" s="6"/>
      <c r="N3731" s="6"/>
      <c r="O3731" s="7"/>
      <c r="P3731" s="6"/>
      <c r="Q3731" s="6"/>
      <c r="R3731" s="7"/>
      <c r="S3731" s="6"/>
      <c r="T3731" s="6"/>
      <c r="U3731" s="7"/>
      <c r="V3731" s="6"/>
      <c r="W3731" s="6"/>
      <c r="X3731" s="6"/>
      <c r="Y3731" s="6"/>
      <c r="Z3731" s="6"/>
      <c r="AA3731" s="7"/>
      <c r="AB3731" s="6"/>
      <c r="AC3731" s="6"/>
      <c r="AD3731" s="6"/>
      <c r="AE3731" s="12"/>
      <c r="AF3731" s="6"/>
      <c r="AG3731" s="12"/>
      <c r="AH3731" s="6"/>
      <c r="AI3731" s="6"/>
      <c r="AJ3731" s="12"/>
      <c r="AK3731" s="24"/>
      <c r="AL3731" s="25"/>
      <c r="AM3731" s="12"/>
      <c r="AN3731" s="1"/>
      <c r="AO3731" s="6"/>
    </row>
    <row r="3732" spans="1:41" ht="15" x14ac:dyDescent="0.25">
      <c r="A3732" s="1"/>
      <c r="B3732" s="1"/>
      <c r="C3732" s="1"/>
      <c r="D3732" s="1"/>
      <c r="E3732" s="6"/>
      <c r="F3732" s="1"/>
      <c r="G3732" s="6"/>
      <c r="H3732" s="6"/>
      <c r="I3732" s="6"/>
      <c r="J3732" s="6"/>
      <c r="K3732" s="6"/>
      <c r="L3732" s="6"/>
      <c r="M3732" s="6"/>
      <c r="N3732" s="6"/>
      <c r="O3732" s="7"/>
      <c r="P3732" s="6"/>
      <c r="Q3732" s="6"/>
      <c r="R3732" s="7"/>
      <c r="S3732" s="6"/>
      <c r="T3732" s="6"/>
      <c r="U3732" s="7"/>
      <c r="V3732" s="6"/>
      <c r="W3732" s="6"/>
      <c r="X3732" s="6"/>
      <c r="Y3732" s="6"/>
      <c r="Z3732" s="6"/>
      <c r="AA3732" s="7"/>
      <c r="AB3732" s="6"/>
      <c r="AC3732" s="6"/>
      <c r="AD3732" s="6"/>
      <c r="AE3732" s="12"/>
      <c r="AF3732" s="6"/>
      <c r="AG3732" s="12"/>
      <c r="AH3732" s="6"/>
      <c r="AI3732" s="6"/>
      <c r="AJ3732" s="12"/>
      <c r="AK3732" s="24"/>
      <c r="AL3732" s="25"/>
      <c r="AM3732" s="12"/>
      <c r="AN3732" s="1"/>
      <c r="AO3732" s="6"/>
    </row>
    <row r="3733" spans="1:41" ht="15" x14ac:dyDescent="0.25">
      <c r="A3733" s="1"/>
      <c r="B3733" s="1"/>
      <c r="C3733" s="1"/>
      <c r="D3733" s="1"/>
      <c r="E3733" s="6"/>
      <c r="F3733" s="1"/>
      <c r="G3733" s="6"/>
      <c r="H3733" s="6"/>
      <c r="I3733" s="6"/>
      <c r="J3733" s="6"/>
      <c r="K3733" s="6"/>
      <c r="L3733" s="6"/>
      <c r="M3733" s="6"/>
      <c r="N3733" s="6"/>
      <c r="O3733" s="7"/>
      <c r="P3733" s="6"/>
      <c r="Q3733" s="6"/>
      <c r="R3733" s="7"/>
      <c r="S3733" s="6"/>
      <c r="T3733" s="6"/>
      <c r="U3733" s="7"/>
      <c r="V3733" s="6"/>
      <c r="W3733" s="6"/>
      <c r="X3733" s="12"/>
      <c r="Y3733" s="6"/>
      <c r="Z3733" s="6"/>
      <c r="AA3733" s="7"/>
      <c r="AB3733" s="6"/>
      <c r="AC3733" s="6"/>
      <c r="AD3733" s="6"/>
      <c r="AE3733" s="12"/>
      <c r="AF3733" s="6"/>
      <c r="AG3733" s="12"/>
      <c r="AH3733" s="6"/>
      <c r="AI3733" s="6"/>
      <c r="AJ3733" s="12"/>
      <c r="AK3733" s="24"/>
      <c r="AL3733" s="25"/>
      <c r="AM3733" s="12"/>
      <c r="AN3733" s="1"/>
      <c r="AO3733" s="6"/>
    </row>
    <row r="3734" spans="1:41" ht="15" x14ac:dyDescent="0.25">
      <c r="A3734" s="1"/>
      <c r="B3734" s="1"/>
      <c r="C3734" s="1"/>
      <c r="D3734" s="1"/>
      <c r="E3734" s="6"/>
      <c r="F3734" s="1"/>
      <c r="G3734" s="6"/>
      <c r="H3734" s="6"/>
      <c r="I3734" s="6"/>
      <c r="J3734" s="6"/>
      <c r="K3734" s="6"/>
      <c r="L3734" s="6"/>
      <c r="M3734" s="6"/>
      <c r="N3734" s="6"/>
      <c r="O3734" s="7"/>
      <c r="P3734" s="6"/>
      <c r="Q3734" s="6"/>
      <c r="R3734" s="7"/>
      <c r="S3734" s="6"/>
      <c r="T3734" s="6"/>
      <c r="U3734" s="7"/>
      <c r="V3734" s="6"/>
      <c r="W3734" s="6"/>
      <c r="X3734" s="12"/>
      <c r="Y3734" s="6"/>
      <c r="Z3734" s="6"/>
      <c r="AA3734" s="7"/>
      <c r="AB3734" s="6"/>
      <c r="AC3734" s="6"/>
      <c r="AD3734" s="6"/>
      <c r="AE3734" s="12"/>
      <c r="AF3734" s="6"/>
      <c r="AG3734" s="12"/>
      <c r="AH3734" s="6"/>
      <c r="AI3734" s="6"/>
      <c r="AJ3734" s="12"/>
      <c r="AK3734" s="24"/>
      <c r="AL3734" s="25"/>
      <c r="AM3734" s="12"/>
      <c r="AN3734" s="1"/>
      <c r="AO3734" s="6"/>
    </row>
    <row r="3735" spans="1:41" ht="15" x14ac:dyDescent="0.25">
      <c r="A3735" s="1"/>
      <c r="B3735" s="1"/>
      <c r="C3735" s="1"/>
      <c r="D3735" s="1"/>
      <c r="E3735" s="6"/>
      <c r="F3735" s="1"/>
      <c r="G3735" s="6"/>
      <c r="H3735" s="6"/>
      <c r="I3735" s="6"/>
      <c r="J3735" s="6"/>
      <c r="K3735" s="6"/>
      <c r="L3735" s="6"/>
      <c r="M3735" s="6"/>
      <c r="N3735" s="6"/>
      <c r="O3735" s="7"/>
      <c r="P3735" s="6"/>
      <c r="Q3735" s="6"/>
      <c r="R3735" s="7"/>
      <c r="S3735" s="6"/>
      <c r="T3735" s="6"/>
      <c r="U3735" s="7"/>
      <c r="V3735" s="6"/>
      <c r="W3735" s="6"/>
      <c r="X3735" s="12"/>
      <c r="Y3735" s="6"/>
      <c r="Z3735" s="6"/>
      <c r="AA3735" s="7"/>
      <c r="AB3735" s="6"/>
      <c r="AC3735" s="6"/>
      <c r="AD3735" s="6"/>
      <c r="AE3735" s="12"/>
      <c r="AF3735" s="12"/>
      <c r="AG3735" s="12"/>
      <c r="AH3735" s="12"/>
      <c r="AI3735" s="6"/>
      <c r="AJ3735" s="12"/>
      <c r="AK3735" s="24"/>
      <c r="AL3735" s="25"/>
      <c r="AM3735" s="12"/>
      <c r="AN3735" s="1"/>
      <c r="AO3735" s="6"/>
    </row>
    <row r="3736" spans="1:41" ht="15" x14ac:dyDescent="0.25">
      <c r="A3736" s="1"/>
      <c r="B3736" s="1"/>
      <c r="C3736" s="1"/>
      <c r="D3736" s="1"/>
      <c r="E3736" s="6"/>
      <c r="F3736" s="1"/>
      <c r="G3736" s="6"/>
      <c r="H3736" s="6"/>
      <c r="I3736" s="6"/>
      <c r="J3736" s="6"/>
      <c r="K3736" s="6"/>
      <c r="L3736" s="6"/>
      <c r="M3736" s="6"/>
      <c r="N3736" s="6"/>
      <c r="O3736" s="7"/>
      <c r="P3736" s="6"/>
      <c r="Q3736" s="6"/>
      <c r="R3736" s="7"/>
      <c r="S3736" s="6"/>
      <c r="T3736" s="6"/>
      <c r="U3736" s="7"/>
      <c r="V3736" s="6"/>
      <c r="W3736" s="6"/>
      <c r="X3736" s="12"/>
      <c r="Y3736" s="6"/>
      <c r="Z3736" s="6"/>
      <c r="AA3736" s="7"/>
      <c r="AB3736" s="6"/>
      <c r="AC3736" s="6"/>
      <c r="AD3736" s="6"/>
      <c r="AE3736" s="12"/>
      <c r="AF3736" s="12"/>
      <c r="AG3736" s="12"/>
      <c r="AH3736" s="12"/>
      <c r="AI3736" s="6"/>
      <c r="AJ3736" s="12"/>
      <c r="AK3736" s="24"/>
      <c r="AL3736" s="25"/>
      <c r="AM3736" s="12"/>
      <c r="AN3736" s="1"/>
      <c r="AO3736" s="6"/>
    </row>
    <row r="3737" spans="1:41" ht="15" x14ac:dyDescent="0.25">
      <c r="A3737" s="1"/>
      <c r="B3737" s="1"/>
      <c r="C3737" s="1"/>
      <c r="D3737" s="1"/>
      <c r="E3737" s="6"/>
      <c r="F3737" s="1"/>
      <c r="G3737" s="6"/>
      <c r="H3737" s="6"/>
      <c r="I3737" s="6"/>
      <c r="J3737" s="6"/>
      <c r="K3737" s="6"/>
      <c r="L3737" s="6"/>
      <c r="M3737" s="6"/>
      <c r="N3737" s="6"/>
      <c r="O3737" s="7"/>
      <c r="P3737" s="6"/>
      <c r="Q3737" s="6"/>
      <c r="R3737" s="7"/>
      <c r="S3737" s="6"/>
      <c r="T3737" s="6"/>
      <c r="U3737" s="7"/>
      <c r="V3737" s="6"/>
      <c r="W3737" s="6"/>
      <c r="X3737" s="6"/>
      <c r="Y3737" s="6"/>
      <c r="Z3737" s="6"/>
      <c r="AA3737" s="7"/>
      <c r="AB3737" s="6"/>
      <c r="AC3737" s="6"/>
      <c r="AD3737" s="6"/>
      <c r="AE3737" s="12"/>
      <c r="AF3737" s="12"/>
      <c r="AG3737" s="12"/>
      <c r="AH3737" s="12"/>
      <c r="AI3737" s="6"/>
      <c r="AJ3737" s="12"/>
      <c r="AK3737" s="1"/>
      <c r="AL3737" s="12"/>
      <c r="AM3737" s="12"/>
      <c r="AN3737" s="1"/>
      <c r="AO3737" s="6"/>
    </row>
    <row r="3738" spans="1:41" ht="15" x14ac:dyDescent="0.25">
      <c r="A3738" s="1"/>
      <c r="B3738" s="1"/>
      <c r="C3738" s="1"/>
      <c r="D3738" s="1"/>
      <c r="E3738" s="6"/>
      <c r="F3738" s="1"/>
      <c r="G3738" s="6"/>
      <c r="H3738" s="6"/>
      <c r="I3738" s="6"/>
      <c r="J3738" s="6"/>
      <c r="K3738" s="6"/>
      <c r="L3738" s="6"/>
      <c r="M3738" s="6"/>
      <c r="N3738" s="6"/>
      <c r="O3738" s="7"/>
      <c r="P3738" s="6"/>
      <c r="Q3738" s="7"/>
      <c r="R3738" s="6"/>
      <c r="S3738" s="6"/>
      <c r="T3738" s="6"/>
      <c r="U3738" s="6"/>
      <c r="V3738" s="7"/>
      <c r="W3738" s="7"/>
      <c r="X3738" s="6"/>
      <c r="Y3738" s="6"/>
      <c r="Z3738" s="6"/>
      <c r="AA3738" s="1"/>
      <c r="AB3738" s="12"/>
      <c r="AC3738" s="12"/>
      <c r="AD3738" s="12"/>
      <c r="AE3738" s="12"/>
      <c r="AF3738" s="12"/>
      <c r="AG3738" s="12"/>
      <c r="AH3738" s="12"/>
      <c r="AI3738" s="6"/>
      <c r="AJ3738" s="12"/>
      <c r="AK3738" s="12"/>
      <c r="AL3738" s="12"/>
      <c r="AM3738" s="12"/>
      <c r="AN3738" s="1"/>
      <c r="AO3738" s="6"/>
    </row>
    <row r="3739" spans="1:41" ht="15" x14ac:dyDescent="0.25">
      <c r="A3739" s="1"/>
      <c r="B3739" s="1"/>
      <c r="C3739" s="1"/>
      <c r="D3739" s="1"/>
      <c r="E3739" s="6"/>
      <c r="F3739" s="1"/>
      <c r="G3739" s="6"/>
      <c r="H3739" s="6"/>
      <c r="I3739" s="6"/>
      <c r="J3739" s="6"/>
      <c r="K3739" s="12"/>
      <c r="L3739" s="12"/>
      <c r="M3739" s="6"/>
      <c r="N3739" s="6"/>
      <c r="O3739" s="7"/>
      <c r="P3739" s="6"/>
      <c r="Q3739" s="6"/>
      <c r="R3739" s="7"/>
      <c r="S3739" s="6"/>
      <c r="T3739" s="6"/>
      <c r="U3739" s="7"/>
      <c r="V3739" s="6"/>
      <c r="W3739" s="6"/>
      <c r="X3739" s="12"/>
      <c r="Y3739" s="6"/>
      <c r="Z3739" s="6"/>
      <c r="AA3739" s="7"/>
      <c r="AB3739" s="6"/>
      <c r="AC3739" s="6"/>
      <c r="AD3739" s="6"/>
      <c r="AE3739" s="12"/>
      <c r="AF3739" s="12"/>
      <c r="AG3739" s="12"/>
      <c r="AH3739" s="12"/>
      <c r="AI3739" s="6"/>
      <c r="AJ3739" s="12"/>
      <c r="AK3739" s="1"/>
      <c r="AL3739" s="12"/>
      <c r="AM3739" s="12"/>
      <c r="AN3739" s="1"/>
      <c r="AO3739" s="12"/>
    </row>
    <row r="3740" spans="1:41" ht="15" x14ac:dyDescent="0.25">
      <c r="A3740" s="1"/>
      <c r="B3740" s="1"/>
      <c r="C3740" s="1"/>
      <c r="D3740" s="1"/>
      <c r="E3740" s="6"/>
      <c r="F3740" s="1"/>
      <c r="G3740" s="6"/>
      <c r="H3740" s="6"/>
      <c r="I3740" s="6"/>
      <c r="J3740" s="6"/>
      <c r="K3740" s="6"/>
      <c r="L3740" s="6"/>
      <c r="M3740" s="6"/>
      <c r="N3740" s="6"/>
      <c r="O3740" s="7"/>
      <c r="P3740" s="6"/>
      <c r="Q3740" s="6"/>
      <c r="R3740" s="7"/>
      <c r="S3740" s="6"/>
      <c r="T3740" s="6"/>
      <c r="U3740" s="7"/>
      <c r="V3740" s="6"/>
      <c r="W3740" s="6"/>
      <c r="X3740" s="6"/>
      <c r="Y3740" s="6"/>
      <c r="Z3740" s="6"/>
      <c r="AA3740" s="7"/>
      <c r="AB3740" s="6"/>
      <c r="AC3740" s="6"/>
      <c r="AD3740" s="6"/>
      <c r="AE3740" s="12"/>
      <c r="AF3740" s="6"/>
      <c r="AG3740" s="12"/>
      <c r="AH3740" s="6"/>
      <c r="AI3740" s="6"/>
      <c r="AJ3740" s="12"/>
      <c r="AK3740" s="24"/>
      <c r="AL3740" s="25"/>
      <c r="AM3740" s="12"/>
      <c r="AN3740" s="1"/>
      <c r="AO3740" s="6"/>
    </row>
    <row r="3741" spans="1:41" ht="15" x14ac:dyDescent="0.25">
      <c r="A3741" s="1"/>
      <c r="B3741" s="1"/>
      <c r="C3741" s="1"/>
      <c r="D3741" s="1"/>
      <c r="E3741" s="6"/>
      <c r="F3741" s="1"/>
      <c r="G3741" s="6"/>
      <c r="H3741" s="6"/>
      <c r="I3741" s="6"/>
      <c r="J3741" s="6"/>
      <c r="K3741" s="6"/>
      <c r="L3741" s="6"/>
      <c r="M3741" s="6"/>
      <c r="N3741" s="6"/>
      <c r="O3741" s="7"/>
      <c r="P3741" s="6"/>
      <c r="Q3741" s="6"/>
      <c r="R3741" s="7"/>
      <c r="S3741" s="6"/>
      <c r="T3741" s="6"/>
      <c r="U3741" s="7"/>
      <c r="V3741" s="6"/>
      <c r="W3741" s="6"/>
      <c r="X3741" s="6"/>
      <c r="Y3741" s="6"/>
      <c r="Z3741" s="6"/>
      <c r="AA3741" s="7"/>
      <c r="AB3741" s="6"/>
      <c r="AC3741" s="6"/>
      <c r="AD3741" s="6"/>
      <c r="AE3741" s="12"/>
      <c r="AF3741" s="6"/>
      <c r="AG3741" s="12"/>
      <c r="AH3741" s="6"/>
      <c r="AI3741" s="6"/>
      <c r="AJ3741" s="12"/>
      <c r="AK3741" s="24"/>
      <c r="AL3741" s="25"/>
      <c r="AM3741" s="12"/>
      <c r="AN3741" s="1"/>
      <c r="AO3741" s="6"/>
    </row>
    <row r="3742" spans="1:41" ht="15" x14ac:dyDescent="0.25">
      <c r="A3742" s="1"/>
      <c r="B3742" s="1"/>
      <c r="C3742" s="1"/>
      <c r="D3742" s="1"/>
      <c r="E3742" s="6"/>
      <c r="F3742" s="1"/>
      <c r="G3742" s="6"/>
      <c r="H3742" s="6"/>
      <c r="I3742" s="6"/>
      <c r="J3742" s="6"/>
      <c r="K3742" s="6"/>
      <c r="L3742" s="6"/>
      <c r="M3742" s="6"/>
      <c r="N3742" s="6"/>
      <c r="O3742" s="7"/>
      <c r="P3742" s="6"/>
      <c r="Q3742" s="6"/>
      <c r="R3742" s="7"/>
      <c r="S3742" s="6"/>
      <c r="T3742" s="6"/>
      <c r="U3742" s="7"/>
      <c r="V3742" s="6"/>
      <c r="W3742" s="6"/>
      <c r="X3742" s="6"/>
      <c r="Y3742" s="6"/>
      <c r="Z3742" s="6"/>
      <c r="AA3742" s="7"/>
      <c r="AB3742" s="6"/>
      <c r="AC3742" s="6"/>
      <c r="AD3742" s="6"/>
      <c r="AE3742" s="12"/>
      <c r="AF3742" s="6"/>
      <c r="AG3742" s="12"/>
      <c r="AH3742" s="6"/>
      <c r="AI3742" s="6"/>
      <c r="AJ3742" s="12"/>
      <c r="AK3742" s="24"/>
      <c r="AL3742" s="25"/>
      <c r="AM3742" s="12"/>
      <c r="AN3742" s="1"/>
      <c r="AO3742" s="6"/>
    </row>
    <row r="3743" spans="1:41" ht="15" x14ac:dyDescent="0.25">
      <c r="A3743" s="1"/>
      <c r="B3743" s="1"/>
      <c r="C3743" s="1"/>
      <c r="D3743" s="1"/>
      <c r="E3743" s="6"/>
      <c r="F3743" s="1"/>
      <c r="G3743" s="6"/>
      <c r="H3743" s="6"/>
      <c r="I3743" s="6"/>
      <c r="J3743" s="6"/>
      <c r="K3743" s="6"/>
      <c r="L3743" s="6"/>
      <c r="M3743" s="6"/>
      <c r="N3743" s="6"/>
      <c r="O3743" s="7"/>
      <c r="P3743" s="6"/>
      <c r="Q3743" s="6"/>
      <c r="R3743" s="7"/>
      <c r="S3743" s="6"/>
      <c r="T3743" s="6"/>
      <c r="U3743" s="7"/>
      <c r="V3743" s="6"/>
      <c r="W3743" s="6"/>
      <c r="X3743" s="6"/>
      <c r="Y3743" s="6"/>
      <c r="Z3743" s="6"/>
      <c r="AA3743" s="7"/>
      <c r="AB3743" s="6"/>
      <c r="AC3743" s="6"/>
      <c r="AD3743" s="6"/>
      <c r="AE3743" s="12"/>
      <c r="AF3743" s="6"/>
      <c r="AG3743" s="12"/>
      <c r="AH3743" s="6"/>
      <c r="AI3743" s="6"/>
      <c r="AJ3743" s="12"/>
      <c r="AK3743" s="24"/>
      <c r="AL3743" s="25"/>
      <c r="AM3743" s="12"/>
      <c r="AN3743" s="1"/>
      <c r="AO3743" s="6"/>
    </row>
    <row r="3744" spans="1:41" ht="15" x14ac:dyDescent="0.25">
      <c r="A3744" s="1"/>
      <c r="B3744" s="1"/>
      <c r="C3744" s="1"/>
      <c r="D3744" s="1"/>
      <c r="E3744" s="6"/>
      <c r="F3744" s="1"/>
      <c r="G3744" s="6"/>
      <c r="H3744" s="6"/>
      <c r="I3744" s="6"/>
      <c r="J3744" s="6"/>
      <c r="K3744" s="12"/>
      <c r="L3744" s="6"/>
      <c r="M3744" s="6"/>
      <c r="N3744" s="6"/>
      <c r="O3744" s="7"/>
      <c r="P3744" s="6"/>
      <c r="Q3744" s="6"/>
      <c r="R3744" s="7"/>
      <c r="S3744" s="6"/>
      <c r="T3744" s="6"/>
      <c r="U3744" s="7"/>
      <c r="V3744" s="6"/>
      <c r="W3744" s="6"/>
      <c r="X3744" s="12"/>
      <c r="Y3744" s="6"/>
      <c r="Z3744" s="6"/>
      <c r="AA3744" s="7"/>
      <c r="AB3744" s="6"/>
      <c r="AC3744" s="6"/>
      <c r="AD3744" s="6"/>
      <c r="AE3744" s="12"/>
      <c r="AF3744" s="6"/>
      <c r="AG3744" s="12"/>
      <c r="AH3744" s="6"/>
      <c r="AI3744" s="6"/>
      <c r="AJ3744" s="12"/>
      <c r="AK3744" s="1"/>
      <c r="AL3744" s="12"/>
      <c r="AM3744" s="12"/>
      <c r="AN3744" s="1"/>
      <c r="AO3744" s="6"/>
    </row>
    <row r="3745" spans="1:41" ht="15" x14ac:dyDescent="0.25">
      <c r="A3745" s="1"/>
      <c r="B3745" s="1"/>
      <c r="C3745" s="1"/>
      <c r="D3745" s="1"/>
      <c r="E3745" s="6"/>
      <c r="F3745" s="1"/>
      <c r="G3745" s="6"/>
      <c r="H3745" s="6"/>
      <c r="I3745" s="6"/>
      <c r="J3745" s="6"/>
      <c r="K3745" s="12"/>
      <c r="L3745" s="12"/>
      <c r="M3745" s="6"/>
      <c r="N3745" s="6"/>
      <c r="O3745" s="7"/>
      <c r="P3745" s="6"/>
      <c r="Q3745" s="6"/>
      <c r="R3745" s="7"/>
      <c r="S3745" s="6"/>
      <c r="T3745" s="6"/>
      <c r="U3745" s="7"/>
      <c r="V3745" s="6"/>
      <c r="W3745" s="6"/>
      <c r="X3745" s="12"/>
      <c r="Y3745" s="6"/>
      <c r="Z3745" s="6"/>
      <c r="AA3745" s="7"/>
      <c r="AB3745" s="6"/>
      <c r="AC3745" s="6"/>
      <c r="AD3745" s="6"/>
      <c r="AE3745" s="12"/>
      <c r="AF3745" s="12"/>
      <c r="AG3745" s="12"/>
      <c r="AH3745" s="12"/>
      <c r="AI3745" s="6"/>
      <c r="AJ3745" s="12"/>
      <c r="AK3745" s="24"/>
      <c r="AL3745" s="25"/>
      <c r="AM3745" s="12"/>
      <c r="AN3745" s="1"/>
      <c r="AO3745" s="6"/>
    </row>
    <row r="3746" spans="1:41" ht="15" x14ac:dyDescent="0.25">
      <c r="A3746" s="1"/>
      <c r="B3746" s="1"/>
      <c r="C3746" s="1"/>
      <c r="D3746" s="1"/>
      <c r="E3746" s="6"/>
      <c r="F3746" s="1"/>
      <c r="G3746" s="6"/>
      <c r="H3746" s="6"/>
      <c r="I3746" s="6"/>
      <c r="J3746" s="6"/>
      <c r="K3746" s="12"/>
      <c r="L3746" s="12"/>
      <c r="M3746" s="6"/>
      <c r="N3746" s="6"/>
      <c r="O3746" s="7"/>
      <c r="P3746" s="6"/>
      <c r="Q3746" s="6"/>
      <c r="R3746" s="7"/>
      <c r="S3746" s="6"/>
      <c r="T3746" s="6"/>
      <c r="U3746" s="7"/>
      <c r="V3746" s="6"/>
      <c r="W3746" s="6"/>
      <c r="X3746" s="12"/>
      <c r="Y3746" s="6"/>
      <c r="Z3746" s="6"/>
      <c r="AA3746" s="7"/>
      <c r="AB3746" s="6"/>
      <c r="AC3746" s="6"/>
      <c r="AD3746" s="6"/>
      <c r="AE3746" s="12"/>
      <c r="AF3746" s="12"/>
      <c r="AG3746" s="12"/>
      <c r="AH3746" s="12"/>
      <c r="AI3746" s="6"/>
      <c r="AJ3746" s="12"/>
      <c r="AK3746" s="24"/>
      <c r="AL3746" s="25"/>
      <c r="AM3746" s="12"/>
      <c r="AN3746" s="1"/>
      <c r="AO3746" s="6"/>
    </row>
    <row r="3747" spans="1:41" ht="15" x14ac:dyDescent="0.25">
      <c r="A3747" s="1"/>
      <c r="B3747" s="1"/>
      <c r="C3747" s="1"/>
      <c r="D3747" s="1"/>
      <c r="E3747" s="6"/>
      <c r="F3747" s="1"/>
      <c r="G3747" s="6"/>
      <c r="H3747" s="6"/>
      <c r="I3747" s="6"/>
      <c r="J3747" s="6"/>
      <c r="K3747" s="6"/>
      <c r="L3747" s="6"/>
      <c r="M3747" s="6"/>
      <c r="N3747" s="6"/>
      <c r="O3747" s="7"/>
      <c r="P3747" s="6"/>
      <c r="Q3747" s="6"/>
      <c r="R3747" s="7"/>
      <c r="S3747" s="6"/>
      <c r="T3747" s="6"/>
      <c r="U3747" s="7"/>
      <c r="V3747" s="6"/>
      <c r="W3747" s="6"/>
      <c r="X3747" s="12"/>
      <c r="Y3747" s="6"/>
      <c r="Z3747" s="6"/>
      <c r="AA3747" s="7"/>
      <c r="AB3747" s="6"/>
      <c r="AC3747" s="6"/>
      <c r="AD3747" s="6"/>
      <c r="AE3747" s="12"/>
      <c r="AF3747" s="12"/>
      <c r="AG3747" s="12"/>
      <c r="AH3747" s="12"/>
      <c r="AI3747" s="6"/>
      <c r="AJ3747" s="12"/>
      <c r="AK3747" s="1"/>
      <c r="AL3747" s="12"/>
      <c r="AM3747" s="12"/>
      <c r="AN3747" s="1"/>
      <c r="AO3747" s="6"/>
    </row>
    <row r="3748" spans="1:41" ht="15" x14ac:dyDescent="0.25">
      <c r="A3748" s="1"/>
      <c r="B3748" s="1"/>
      <c r="C3748" s="1"/>
      <c r="D3748" s="1"/>
      <c r="E3748" s="6"/>
      <c r="F3748" s="1"/>
      <c r="G3748" s="6"/>
      <c r="H3748" s="6"/>
      <c r="I3748" s="6"/>
      <c r="J3748" s="6"/>
      <c r="K3748" s="6"/>
      <c r="L3748" s="6"/>
      <c r="M3748" s="6"/>
      <c r="N3748" s="6"/>
      <c r="O3748" s="7"/>
      <c r="P3748" s="6"/>
      <c r="Q3748" s="6"/>
      <c r="R3748" s="7"/>
      <c r="S3748" s="6"/>
      <c r="T3748" s="6"/>
      <c r="U3748" s="7"/>
      <c r="V3748" s="6"/>
      <c r="W3748" s="6"/>
      <c r="X3748" s="12"/>
      <c r="Y3748" s="6"/>
      <c r="Z3748" s="6"/>
      <c r="AA3748" s="7"/>
      <c r="AB3748" s="6"/>
      <c r="AC3748" s="6"/>
      <c r="AD3748" s="6"/>
      <c r="AE3748" s="12"/>
      <c r="AF3748" s="12"/>
      <c r="AG3748" s="12"/>
      <c r="AH3748" s="12"/>
      <c r="AI3748" s="6"/>
      <c r="AJ3748" s="12"/>
      <c r="AK3748" s="1"/>
      <c r="AL3748" s="12"/>
      <c r="AM3748" s="12"/>
      <c r="AN3748" s="1"/>
      <c r="AO3748" s="6"/>
    </row>
    <row r="3749" spans="1:41" ht="15" x14ac:dyDescent="0.25">
      <c r="A3749" s="1"/>
      <c r="B3749" s="1"/>
      <c r="C3749" s="1"/>
      <c r="D3749" s="1"/>
      <c r="E3749" s="6"/>
      <c r="F3749" s="1"/>
      <c r="G3749" s="6"/>
      <c r="H3749" s="6"/>
      <c r="I3749" s="6"/>
      <c r="J3749" s="6"/>
      <c r="K3749" s="6"/>
      <c r="L3749" s="6"/>
      <c r="M3749" s="6"/>
      <c r="N3749" s="6"/>
      <c r="O3749" s="7"/>
      <c r="P3749" s="6"/>
      <c r="Q3749" s="6"/>
      <c r="R3749" s="7"/>
      <c r="S3749" s="6"/>
      <c r="T3749" s="6"/>
      <c r="U3749" s="7"/>
      <c r="V3749" s="6"/>
      <c r="W3749" s="6"/>
      <c r="X3749" s="6"/>
      <c r="Y3749" s="6"/>
      <c r="Z3749" s="6"/>
      <c r="AA3749" s="7"/>
      <c r="AB3749" s="6"/>
      <c r="AC3749" s="6"/>
      <c r="AD3749" s="6"/>
      <c r="AE3749" s="12"/>
      <c r="AF3749" s="12"/>
      <c r="AG3749" s="12"/>
      <c r="AH3749" s="12"/>
      <c r="AI3749" s="6"/>
      <c r="AJ3749" s="12"/>
      <c r="AK3749" s="1"/>
      <c r="AL3749" s="12"/>
      <c r="AM3749" s="12"/>
      <c r="AN3749" s="1"/>
      <c r="AO3749" s="6"/>
    </row>
    <row r="3750" spans="1:41" ht="15" x14ac:dyDescent="0.25">
      <c r="A3750" s="1"/>
      <c r="B3750" s="1"/>
      <c r="C3750" s="1"/>
      <c r="D3750" s="1"/>
      <c r="E3750" s="6"/>
      <c r="F3750" s="1"/>
      <c r="G3750" s="6"/>
      <c r="H3750" s="6"/>
      <c r="I3750" s="6"/>
      <c r="J3750" s="6"/>
      <c r="K3750" s="6"/>
      <c r="L3750" s="6"/>
      <c r="M3750" s="6"/>
      <c r="N3750" s="6"/>
      <c r="O3750" s="7"/>
      <c r="P3750" s="6"/>
      <c r="Q3750" s="6"/>
      <c r="R3750" s="7"/>
      <c r="S3750" s="6"/>
      <c r="T3750" s="6"/>
      <c r="U3750" s="7"/>
      <c r="V3750" s="6"/>
      <c r="W3750" s="6"/>
      <c r="X3750" s="12"/>
      <c r="Y3750" s="6"/>
      <c r="Z3750" s="6"/>
      <c r="AA3750" s="7"/>
      <c r="AB3750" s="6"/>
      <c r="AC3750" s="6"/>
      <c r="AD3750" s="6"/>
      <c r="AE3750" s="12"/>
      <c r="AF3750" s="12"/>
      <c r="AG3750" s="12"/>
      <c r="AH3750" s="12"/>
      <c r="AI3750" s="6"/>
      <c r="AJ3750" s="12"/>
      <c r="AK3750" s="1"/>
      <c r="AL3750" s="12"/>
      <c r="AM3750" s="12"/>
      <c r="AN3750" s="1"/>
      <c r="AO3750" s="6"/>
    </row>
    <row r="3751" spans="1:41" ht="15" x14ac:dyDescent="0.25">
      <c r="A3751" s="1"/>
      <c r="B3751" s="1"/>
      <c r="C3751" s="1"/>
      <c r="D3751" s="1"/>
      <c r="E3751" s="6"/>
      <c r="F3751" s="1"/>
      <c r="G3751" s="6"/>
      <c r="H3751" s="6"/>
      <c r="I3751" s="6"/>
      <c r="J3751" s="6"/>
      <c r="K3751" s="6"/>
      <c r="L3751" s="6"/>
      <c r="M3751" s="6"/>
      <c r="N3751" s="6"/>
      <c r="O3751" s="7"/>
      <c r="P3751" s="6"/>
      <c r="Q3751" s="6"/>
      <c r="R3751" s="7"/>
      <c r="S3751" s="6"/>
      <c r="T3751" s="6"/>
      <c r="U3751" s="7"/>
      <c r="V3751" s="6"/>
      <c r="W3751" s="6"/>
      <c r="X3751" s="6"/>
      <c r="Y3751" s="6"/>
      <c r="Z3751" s="6"/>
      <c r="AA3751" s="7"/>
      <c r="AB3751" s="6"/>
      <c r="AC3751" s="6"/>
      <c r="AD3751" s="6"/>
      <c r="AE3751" s="12"/>
      <c r="AF3751" s="6"/>
      <c r="AG3751" s="12"/>
      <c r="AH3751" s="6"/>
      <c r="AI3751" s="6"/>
      <c r="AJ3751" s="12"/>
      <c r="AK3751" s="24"/>
      <c r="AL3751" s="25"/>
      <c r="AM3751" s="12"/>
      <c r="AN3751" s="1"/>
      <c r="AO3751" s="6"/>
    </row>
    <row r="3752" spans="1:41" ht="15" x14ac:dyDescent="0.25">
      <c r="A3752" s="1"/>
      <c r="B3752" s="1"/>
      <c r="C3752" s="1"/>
      <c r="D3752" s="1"/>
      <c r="E3752" s="6"/>
      <c r="F3752" s="1"/>
      <c r="G3752" s="6"/>
      <c r="H3752" s="6"/>
      <c r="I3752" s="6"/>
      <c r="J3752" s="6"/>
      <c r="K3752" s="6"/>
      <c r="L3752" s="6"/>
      <c r="M3752" s="6"/>
      <c r="N3752" s="6"/>
      <c r="O3752" s="7"/>
      <c r="P3752" s="6"/>
      <c r="Q3752" s="6"/>
      <c r="R3752" s="7"/>
      <c r="S3752" s="6"/>
      <c r="T3752" s="6"/>
      <c r="U3752" s="7"/>
      <c r="V3752" s="6"/>
      <c r="W3752" s="6"/>
      <c r="X3752" s="6"/>
      <c r="Y3752" s="6"/>
      <c r="Z3752" s="6"/>
      <c r="AA3752" s="7"/>
      <c r="AB3752" s="6"/>
      <c r="AC3752" s="6"/>
      <c r="AD3752" s="6"/>
      <c r="AE3752" s="12"/>
      <c r="AF3752" s="6"/>
      <c r="AG3752" s="12"/>
      <c r="AH3752" s="6"/>
      <c r="AI3752" s="6"/>
      <c r="AJ3752" s="12"/>
      <c r="AK3752" s="24"/>
      <c r="AL3752" s="25"/>
      <c r="AM3752" s="12"/>
      <c r="AN3752" s="1"/>
      <c r="AO3752" s="6"/>
    </row>
    <row r="3753" spans="1:41" ht="15" x14ac:dyDescent="0.25">
      <c r="A3753" s="1"/>
      <c r="B3753" s="1"/>
      <c r="C3753" s="1"/>
      <c r="D3753" s="1"/>
      <c r="E3753" s="6"/>
      <c r="F3753" s="1"/>
      <c r="G3753" s="6"/>
      <c r="H3753" s="6"/>
      <c r="I3753" s="6"/>
      <c r="J3753" s="6"/>
      <c r="K3753" s="6"/>
      <c r="L3753" s="6"/>
      <c r="M3753" s="6"/>
      <c r="N3753" s="6"/>
      <c r="O3753" s="7"/>
      <c r="P3753" s="12"/>
      <c r="Q3753" s="6"/>
      <c r="R3753" s="7"/>
      <c r="S3753" s="6"/>
      <c r="T3753" s="6"/>
      <c r="U3753" s="7"/>
      <c r="V3753" s="6"/>
      <c r="W3753" s="6"/>
      <c r="X3753" s="6"/>
      <c r="Y3753" s="6"/>
      <c r="Z3753" s="6"/>
      <c r="AA3753" s="7"/>
      <c r="AB3753" s="6"/>
      <c r="AC3753" s="6"/>
      <c r="AD3753" s="6"/>
      <c r="AE3753" s="12"/>
      <c r="AF3753" s="12"/>
      <c r="AG3753" s="12"/>
      <c r="AH3753" s="12"/>
      <c r="AI3753" s="6"/>
      <c r="AJ3753" s="12"/>
      <c r="AK3753" s="1"/>
      <c r="AL3753" s="12"/>
      <c r="AM3753" s="12"/>
      <c r="AN3753" s="1"/>
      <c r="AO3753" s="6"/>
    </row>
    <row r="3754" spans="1:41" ht="15" x14ac:dyDescent="0.25">
      <c r="A3754" s="1"/>
      <c r="B3754" s="1"/>
      <c r="C3754" s="1"/>
      <c r="D3754" s="1"/>
      <c r="E3754" s="6"/>
      <c r="F3754" s="1"/>
      <c r="G3754" s="6"/>
      <c r="H3754" s="6"/>
      <c r="I3754" s="6"/>
      <c r="J3754" s="6"/>
      <c r="K3754" s="12"/>
      <c r="L3754" s="12"/>
      <c r="M3754" s="6"/>
      <c r="N3754" s="6"/>
      <c r="O3754" s="7"/>
      <c r="P3754" s="6"/>
      <c r="Q3754" s="6"/>
      <c r="R3754" s="7"/>
      <c r="S3754" s="6"/>
      <c r="T3754" s="6"/>
      <c r="U3754" s="7"/>
      <c r="V3754" s="6"/>
      <c r="W3754" s="6"/>
      <c r="X3754" s="6"/>
      <c r="Y3754" s="6"/>
      <c r="Z3754" s="6"/>
      <c r="AA3754" s="7"/>
      <c r="AB3754" s="6"/>
      <c r="AC3754" s="6"/>
      <c r="AD3754" s="6"/>
      <c r="AE3754" s="12"/>
      <c r="AF3754" s="12"/>
      <c r="AG3754" s="12"/>
      <c r="AH3754" s="12"/>
      <c r="AI3754" s="6"/>
      <c r="AJ3754" s="12"/>
      <c r="AK3754" s="1"/>
      <c r="AL3754" s="12"/>
      <c r="AM3754" s="12"/>
      <c r="AN3754" s="1"/>
      <c r="AO3754" s="12"/>
    </row>
    <row r="3755" spans="1:41" ht="15" x14ac:dyDescent="0.25">
      <c r="A3755" s="1"/>
      <c r="B3755" s="1"/>
      <c r="C3755" s="1"/>
      <c r="D3755" s="1"/>
      <c r="E3755" s="6"/>
      <c r="F3755" s="1"/>
      <c r="G3755" s="6"/>
      <c r="H3755" s="6"/>
      <c r="I3755" s="6"/>
      <c r="J3755" s="6"/>
      <c r="K3755" s="6"/>
      <c r="L3755" s="6"/>
      <c r="M3755" s="6"/>
      <c r="N3755" s="6"/>
      <c r="O3755" s="7"/>
      <c r="P3755" s="6"/>
      <c r="Q3755" s="6"/>
      <c r="R3755" s="7"/>
      <c r="S3755" s="6"/>
      <c r="T3755" s="6"/>
      <c r="U3755" s="7"/>
      <c r="V3755" s="6"/>
      <c r="W3755" s="6"/>
      <c r="X3755" s="6"/>
      <c r="Y3755" s="6"/>
      <c r="Z3755" s="6"/>
      <c r="AA3755" s="7"/>
      <c r="AB3755" s="6"/>
      <c r="AC3755" s="6"/>
      <c r="AD3755" s="6"/>
      <c r="AE3755" s="12"/>
      <c r="AF3755" s="12"/>
      <c r="AG3755" s="12"/>
      <c r="AH3755" s="12"/>
      <c r="AI3755" s="6"/>
      <c r="AJ3755" s="12"/>
      <c r="AK3755" s="1"/>
      <c r="AL3755" s="12"/>
      <c r="AM3755" s="12"/>
      <c r="AN3755" s="1"/>
      <c r="AO3755" s="6"/>
    </row>
    <row r="3756" spans="1:41" ht="15" x14ac:dyDescent="0.25">
      <c r="A3756" s="1"/>
      <c r="B3756" s="1"/>
      <c r="C3756" s="1"/>
      <c r="D3756" s="1"/>
      <c r="E3756" s="6"/>
      <c r="F3756" s="1"/>
      <c r="G3756" s="6"/>
      <c r="H3756" s="6"/>
      <c r="I3756" s="6"/>
      <c r="J3756" s="6"/>
      <c r="K3756" s="6"/>
      <c r="L3756" s="6"/>
      <c r="M3756" s="6"/>
      <c r="N3756" s="6"/>
      <c r="O3756" s="7"/>
      <c r="P3756" s="6"/>
      <c r="Q3756" s="6"/>
      <c r="R3756" s="7"/>
      <c r="S3756" s="6"/>
      <c r="T3756" s="6"/>
      <c r="U3756" s="7"/>
      <c r="V3756" s="6"/>
      <c r="W3756" s="6"/>
      <c r="X3756" s="6"/>
      <c r="Y3756" s="6"/>
      <c r="Z3756" s="6"/>
      <c r="AA3756" s="7"/>
      <c r="AB3756" s="6"/>
      <c r="AC3756" s="6"/>
      <c r="AD3756" s="6"/>
      <c r="AE3756" s="12"/>
      <c r="AF3756" s="6"/>
      <c r="AG3756" s="12"/>
      <c r="AH3756" s="6"/>
      <c r="AI3756" s="6"/>
      <c r="AJ3756" s="12"/>
      <c r="AK3756" s="1"/>
      <c r="AL3756" s="12"/>
      <c r="AM3756" s="12"/>
      <c r="AN3756" s="1"/>
      <c r="AO3756" s="6"/>
    </row>
    <row r="3757" spans="1:41" ht="15" x14ac:dyDescent="0.25">
      <c r="A3757" s="1"/>
      <c r="B3757" s="1"/>
      <c r="C3757" s="1"/>
      <c r="D3757" s="1"/>
      <c r="E3757" s="6"/>
      <c r="F3757" s="1"/>
      <c r="G3757" s="6"/>
      <c r="H3757" s="6"/>
      <c r="I3757" s="6"/>
      <c r="J3757" s="6"/>
      <c r="K3757" s="6"/>
      <c r="L3757" s="6"/>
      <c r="M3757" s="6"/>
      <c r="N3757" s="6"/>
      <c r="O3757" s="7"/>
      <c r="P3757" s="6"/>
      <c r="Q3757" s="6"/>
      <c r="R3757" s="7"/>
      <c r="S3757" s="6"/>
      <c r="T3757" s="6"/>
      <c r="U3757" s="7"/>
      <c r="V3757" s="6"/>
      <c r="W3757" s="6"/>
      <c r="X3757" s="6"/>
      <c r="Y3757" s="6"/>
      <c r="Z3757" s="6"/>
      <c r="AA3757" s="7"/>
      <c r="AB3757" s="6"/>
      <c r="AC3757" s="6"/>
      <c r="AD3757" s="6"/>
      <c r="AE3757" s="12"/>
      <c r="AF3757" s="6"/>
      <c r="AG3757" s="12"/>
      <c r="AH3757" s="6"/>
      <c r="AI3757" s="6"/>
      <c r="AJ3757" s="12"/>
      <c r="AK3757" s="1"/>
      <c r="AL3757" s="12"/>
      <c r="AM3757" s="12"/>
      <c r="AN3757" s="1"/>
      <c r="AO3757" s="6"/>
    </row>
    <row r="3758" spans="1:41" ht="15" x14ac:dyDescent="0.25">
      <c r="A3758" s="1"/>
      <c r="B3758" s="1"/>
      <c r="C3758" s="1"/>
      <c r="D3758" s="1"/>
      <c r="E3758" s="6"/>
      <c r="F3758" s="1"/>
      <c r="G3758" s="6"/>
      <c r="H3758" s="6"/>
      <c r="I3758" s="6"/>
      <c r="J3758" s="6"/>
      <c r="K3758" s="12"/>
      <c r="L3758" s="12"/>
      <c r="M3758" s="6"/>
      <c r="N3758" s="6"/>
      <c r="O3758" s="7"/>
      <c r="P3758" s="6"/>
      <c r="Q3758" s="6"/>
      <c r="R3758" s="7"/>
      <c r="S3758" s="6"/>
      <c r="T3758" s="6"/>
      <c r="U3758" s="7"/>
      <c r="V3758" s="6"/>
      <c r="W3758" s="6"/>
      <c r="X3758" s="6"/>
      <c r="Y3758" s="6"/>
      <c r="Z3758" s="6"/>
      <c r="AA3758" s="7"/>
      <c r="AB3758" s="6"/>
      <c r="AC3758" s="6"/>
      <c r="AD3758" s="6"/>
      <c r="AE3758" s="12"/>
      <c r="AF3758" s="12"/>
      <c r="AG3758" s="12"/>
      <c r="AH3758" s="12"/>
      <c r="AI3758" s="6"/>
      <c r="AJ3758" s="12"/>
      <c r="AK3758" s="1"/>
      <c r="AL3758" s="12"/>
      <c r="AM3758" s="12"/>
      <c r="AN3758" s="1"/>
      <c r="AO3758" s="6"/>
    </row>
    <row r="3759" spans="1:41" ht="15" x14ac:dyDescent="0.25">
      <c r="A3759" s="1"/>
      <c r="B3759" s="1"/>
      <c r="C3759" s="1"/>
      <c r="D3759" s="1"/>
      <c r="E3759" s="6"/>
      <c r="F3759" s="1"/>
      <c r="G3759" s="6"/>
      <c r="H3759" s="6"/>
      <c r="I3759" s="6"/>
      <c r="J3759" s="6"/>
      <c r="K3759" s="6"/>
      <c r="L3759" s="6"/>
      <c r="M3759" s="6"/>
      <c r="N3759" s="6"/>
      <c r="O3759" s="7"/>
      <c r="P3759" s="6"/>
      <c r="Q3759" s="7"/>
      <c r="R3759" s="6"/>
      <c r="S3759" s="6"/>
      <c r="T3759" s="6"/>
      <c r="U3759" s="6"/>
      <c r="V3759" s="7"/>
      <c r="W3759" s="7"/>
      <c r="X3759" s="6"/>
      <c r="Y3759" s="6"/>
      <c r="Z3759" s="6"/>
      <c r="AA3759" s="1"/>
      <c r="AB3759" s="12"/>
      <c r="AC3759" s="12"/>
      <c r="AD3759" s="12"/>
      <c r="AE3759" s="12"/>
      <c r="AF3759" s="12"/>
      <c r="AG3759" s="12"/>
      <c r="AH3759" s="12"/>
      <c r="AI3759" s="6"/>
      <c r="AJ3759" s="12"/>
      <c r="AK3759" s="12"/>
      <c r="AL3759" s="12"/>
      <c r="AM3759" s="12"/>
      <c r="AN3759" s="1"/>
      <c r="AO3759" s="12"/>
    </row>
    <row r="3760" spans="1:41" ht="15" x14ac:dyDescent="0.25">
      <c r="A3760" s="1"/>
      <c r="B3760" s="1"/>
      <c r="C3760" s="1"/>
      <c r="D3760" s="1"/>
      <c r="E3760" s="6"/>
      <c r="F3760" s="1"/>
      <c r="G3760" s="6"/>
      <c r="H3760" s="6"/>
      <c r="I3760" s="6"/>
      <c r="J3760" s="6"/>
      <c r="K3760" s="12"/>
      <c r="L3760" s="6"/>
      <c r="M3760" s="6"/>
      <c r="N3760" s="6"/>
      <c r="O3760" s="7"/>
      <c r="P3760" s="6"/>
      <c r="Q3760" s="6"/>
      <c r="R3760" s="7"/>
      <c r="S3760" s="6"/>
      <c r="T3760" s="6"/>
      <c r="U3760" s="7"/>
      <c r="V3760" s="6"/>
      <c r="W3760" s="6"/>
      <c r="X3760" s="12"/>
      <c r="Y3760" s="6"/>
      <c r="Z3760" s="6"/>
      <c r="AA3760" s="7"/>
      <c r="AB3760" s="6"/>
      <c r="AC3760" s="6"/>
      <c r="AD3760" s="6"/>
      <c r="AE3760" s="12"/>
      <c r="AF3760" s="6"/>
      <c r="AG3760" s="12"/>
      <c r="AH3760" s="6"/>
      <c r="AI3760" s="6"/>
      <c r="AJ3760" s="12"/>
      <c r="AK3760" s="1"/>
      <c r="AL3760" s="12"/>
      <c r="AM3760" s="12"/>
      <c r="AN3760" s="1"/>
      <c r="AO3760" s="12"/>
    </row>
    <row r="3761" spans="1:41" ht="15" x14ac:dyDescent="0.25">
      <c r="A3761" s="1"/>
      <c r="B3761" s="1"/>
      <c r="C3761" s="1"/>
      <c r="D3761" s="1"/>
      <c r="E3761" s="6"/>
      <c r="F3761" s="1"/>
      <c r="G3761" s="6"/>
      <c r="H3761" s="6"/>
      <c r="I3761" s="6"/>
      <c r="J3761" s="6"/>
      <c r="K3761" s="12"/>
      <c r="L3761" s="6"/>
      <c r="M3761" s="6"/>
      <c r="N3761" s="6"/>
      <c r="O3761" s="7"/>
      <c r="P3761" s="6"/>
      <c r="Q3761" s="6"/>
      <c r="R3761" s="7"/>
      <c r="S3761" s="6"/>
      <c r="T3761" s="6"/>
      <c r="U3761" s="7"/>
      <c r="V3761" s="6"/>
      <c r="W3761" s="6"/>
      <c r="X3761" s="12"/>
      <c r="Y3761" s="6"/>
      <c r="Z3761" s="6"/>
      <c r="AA3761" s="7"/>
      <c r="AB3761" s="6"/>
      <c r="AC3761" s="6"/>
      <c r="AD3761" s="6"/>
      <c r="AE3761" s="12"/>
      <c r="AF3761" s="6"/>
      <c r="AG3761" s="12"/>
      <c r="AH3761" s="6"/>
      <c r="AI3761" s="6"/>
      <c r="AJ3761" s="12"/>
      <c r="AK3761" s="1"/>
      <c r="AL3761" s="12"/>
      <c r="AM3761" s="12"/>
      <c r="AN3761" s="1"/>
      <c r="AO3761" s="12"/>
    </row>
    <row r="3762" spans="1:41" ht="15" x14ac:dyDescent="0.25">
      <c r="A3762" s="1"/>
      <c r="B3762" s="1"/>
      <c r="C3762" s="1"/>
      <c r="D3762" s="1"/>
      <c r="E3762" s="6"/>
      <c r="F3762" s="1"/>
      <c r="G3762" s="6"/>
      <c r="H3762" s="6"/>
      <c r="I3762" s="6"/>
      <c r="J3762" s="6"/>
      <c r="K3762" s="6"/>
      <c r="L3762" s="6"/>
      <c r="M3762" s="6"/>
      <c r="N3762" s="6"/>
      <c r="O3762" s="7"/>
      <c r="P3762" s="6"/>
      <c r="Q3762" s="6"/>
      <c r="R3762" s="7"/>
      <c r="S3762" s="6"/>
      <c r="T3762" s="6"/>
      <c r="U3762" s="7"/>
      <c r="V3762" s="6"/>
      <c r="W3762" s="6"/>
      <c r="X3762" s="6"/>
      <c r="Y3762" s="6"/>
      <c r="Z3762" s="6"/>
      <c r="AA3762" s="7"/>
      <c r="AB3762" s="6"/>
      <c r="AC3762" s="6"/>
      <c r="AD3762" s="6"/>
      <c r="AE3762" s="12"/>
      <c r="AF3762" s="12"/>
      <c r="AG3762" s="12"/>
      <c r="AH3762" s="12"/>
      <c r="AI3762" s="6"/>
      <c r="AJ3762" s="12"/>
      <c r="AK3762" s="1"/>
      <c r="AL3762" s="12"/>
      <c r="AM3762" s="12"/>
      <c r="AN3762" s="1"/>
      <c r="AO3762" s="6"/>
    </row>
    <row r="3763" spans="1:41" ht="15" x14ac:dyDescent="0.25">
      <c r="A3763" s="1"/>
      <c r="B3763" s="1"/>
      <c r="C3763" s="1"/>
      <c r="D3763" s="1"/>
      <c r="E3763" s="6"/>
      <c r="F3763" s="1"/>
      <c r="G3763" s="6"/>
      <c r="H3763" s="6"/>
      <c r="I3763" s="6"/>
      <c r="J3763" s="6"/>
      <c r="K3763" s="6"/>
      <c r="L3763" s="6"/>
      <c r="M3763" s="6"/>
      <c r="N3763" s="6"/>
      <c r="O3763" s="7"/>
      <c r="P3763" s="6"/>
      <c r="Q3763" s="6"/>
      <c r="R3763" s="7"/>
      <c r="S3763" s="6"/>
      <c r="T3763" s="6"/>
      <c r="U3763" s="7"/>
      <c r="V3763" s="6"/>
      <c r="W3763" s="6"/>
      <c r="X3763" s="12"/>
      <c r="Y3763" s="6"/>
      <c r="Z3763" s="6"/>
      <c r="AA3763" s="7"/>
      <c r="AB3763" s="6"/>
      <c r="AC3763" s="6"/>
      <c r="AD3763" s="6"/>
      <c r="AE3763" s="12"/>
      <c r="AF3763" s="6"/>
      <c r="AG3763" s="12"/>
      <c r="AH3763" s="6"/>
      <c r="AI3763" s="6"/>
      <c r="AJ3763" s="12"/>
      <c r="AK3763" s="1"/>
      <c r="AL3763" s="12"/>
      <c r="AM3763" s="12"/>
      <c r="AN3763" s="1"/>
      <c r="AO3763" s="6"/>
    </row>
    <row r="3764" spans="1:41" ht="15" x14ac:dyDescent="0.25">
      <c r="A3764" s="1"/>
      <c r="B3764" s="1"/>
      <c r="C3764" s="1"/>
      <c r="D3764" s="1"/>
      <c r="E3764" s="6"/>
      <c r="F3764" s="1"/>
      <c r="G3764" s="6"/>
      <c r="H3764" s="6"/>
      <c r="I3764" s="6"/>
      <c r="J3764" s="6"/>
      <c r="K3764" s="6"/>
      <c r="L3764" s="6"/>
      <c r="M3764" s="6"/>
      <c r="N3764" s="6"/>
      <c r="O3764" s="7"/>
      <c r="P3764" s="6"/>
      <c r="Q3764" s="6"/>
      <c r="R3764" s="7"/>
      <c r="S3764" s="6"/>
      <c r="T3764" s="6"/>
      <c r="U3764" s="7"/>
      <c r="V3764" s="6"/>
      <c r="W3764" s="6"/>
      <c r="X3764" s="12"/>
      <c r="Y3764" s="6"/>
      <c r="Z3764" s="6"/>
      <c r="AA3764" s="7"/>
      <c r="AB3764" s="6"/>
      <c r="AC3764" s="6"/>
      <c r="AD3764" s="6"/>
      <c r="AE3764" s="12"/>
      <c r="AF3764" s="6"/>
      <c r="AG3764" s="12"/>
      <c r="AH3764" s="6"/>
      <c r="AI3764" s="6"/>
      <c r="AJ3764" s="12"/>
      <c r="AK3764" s="1"/>
      <c r="AL3764" s="12"/>
      <c r="AM3764" s="12"/>
      <c r="AN3764" s="1"/>
      <c r="AO3764" s="6"/>
    </row>
    <row r="3765" spans="1:41" ht="15" x14ac:dyDescent="0.25">
      <c r="A3765" s="1"/>
      <c r="B3765" s="1"/>
      <c r="C3765" s="1"/>
      <c r="D3765" s="1"/>
      <c r="E3765" s="6"/>
      <c r="F3765" s="1"/>
      <c r="G3765" s="6"/>
      <c r="H3765" s="6"/>
      <c r="I3765" s="6"/>
      <c r="J3765" s="6"/>
      <c r="K3765" s="12"/>
      <c r="L3765" s="6"/>
      <c r="M3765" s="6"/>
      <c r="N3765" s="6"/>
      <c r="O3765" s="7"/>
      <c r="P3765" s="6"/>
      <c r="Q3765" s="6"/>
      <c r="R3765" s="7"/>
      <c r="S3765" s="6"/>
      <c r="T3765" s="6"/>
      <c r="U3765" s="7"/>
      <c r="V3765" s="6"/>
      <c r="W3765" s="6"/>
      <c r="X3765" s="6"/>
      <c r="Y3765" s="6"/>
      <c r="Z3765" s="6"/>
      <c r="AA3765" s="7"/>
      <c r="AB3765" s="6"/>
      <c r="AC3765" s="6"/>
      <c r="AD3765" s="6"/>
      <c r="AE3765" s="12"/>
      <c r="AF3765" s="6"/>
      <c r="AG3765" s="12"/>
      <c r="AH3765" s="6"/>
      <c r="AI3765" s="6"/>
      <c r="AJ3765" s="12"/>
      <c r="AK3765" s="1"/>
      <c r="AL3765" s="12"/>
      <c r="AM3765" s="12"/>
      <c r="AN3765" s="1"/>
      <c r="AO3765" s="6"/>
    </row>
    <row r="3766" spans="1:41" ht="15" x14ac:dyDescent="0.25">
      <c r="A3766" s="1"/>
      <c r="B3766" s="1"/>
      <c r="C3766" s="1"/>
      <c r="D3766" s="1"/>
      <c r="E3766" s="6"/>
      <c r="F3766" s="1"/>
      <c r="G3766" s="6"/>
      <c r="H3766" s="6"/>
      <c r="I3766" s="6"/>
      <c r="J3766" s="6"/>
      <c r="K3766" s="6"/>
      <c r="L3766" s="6"/>
      <c r="M3766" s="6"/>
      <c r="N3766" s="6"/>
      <c r="O3766" s="7"/>
      <c r="P3766" s="6"/>
      <c r="Q3766" s="7"/>
      <c r="R3766" s="6"/>
      <c r="S3766" s="6"/>
      <c r="T3766" s="6"/>
      <c r="U3766" s="6"/>
      <c r="V3766" s="7"/>
      <c r="W3766" s="6"/>
      <c r="X3766" s="6"/>
      <c r="Y3766" s="6"/>
      <c r="Z3766" s="6"/>
      <c r="AA3766" s="24"/>
      <c r="AB3766" s="25"/>
      <c r="AC3766" s="12"/>
      <c r="AD3766" s="12"/>
      <c r="AE3766" s="12"/>
      <c r="AF3766" s="6"/>
      <c r="AG3766" s="12"/>
      <c r="AH3766" s="6"/>
      <c r="AI3766" s="6"/>
      <c r="AJ3766" s="12"/>
      <c r="AK3766" s="12"/>
      <c r="AL3766" s="12"/>
      <c r="AM3766" s="12"/>
      <c r="AN3766" s="1"/>
      <c r="AO3766" s="6"/>
    </row>
    <row r="3767" spans="1:41" ht="15" x14ac:dyDescent="0.25">
      <c r="A3767" s="1"/>
      <c r="B3767" s="1"/>
      <c r="C3767" s="1"/>
      <c r="D3767" s="1"/>
      <c r="E3767" s="6"/>
      <c r="F3767" s="1"/>
      <c r="G3767" s="6"/>
      <c r="H3767" s="6"/>
      <c r="I3767" s="6"/>
      <c r="J3767" s="6"/>
      <c r="K3767" s="6"/>
      <c r="L3767" s="6"/>
      <c r="M3767" s="6"/>
      <c r="N3767" s="6"/>
      <c r="O3767" s="7"/>
      <c r="P3767" s="6"/>
      <c r="Q3767" s="7"/>
      <c r="R3767" s="6"/>
      <c r="S3767" s="6"/>
      <c r="T3767" s="6"/>
      <c r="U3767" s="6"/>
      <c r="V3767" s="7"/>
      <c r="W3767" s="6"/>
      <c r="X3767" s="6"/>
      <c r="Y3767" s="6"/>
      <c r="Z3767" s="6"/>
      <c r="AA3767" s="24"/>
      <c r="AB3767" s="25"/>
      <c r="AC3767" s="12"/>
      <c r="AD3767" s="12"/>
      <c r="AE3767" s="12"/>
      <c r="AF3767" s="6"/>
      <c r="AG3767" s="12"/>
      <c r="AH3767" s="6"/>
      <c r="AI3767" s="6"/>
      <c r="AJ3767" s="12"/>
      <c r="AK3767" s="12"/>
      <c r="AL3767" s="12"/>
      <c r="AM3767" s="12"/>
      <c r="AN3767" s="1"/>
      <c r="AO3767" s="6"/>
    </row>
    <row r="3768" spans="1:41" ht="15" x14ac:dyDescent="0.25">
      <c r="A3768" s="1"/>
      <c r="B3768" s="1"/>
      <c r="C3768" s="1"/>
      <c r="D3768" s="1"/>
      <c r="E3768" s="6"/>
      <c r="F3768" s="1"/>
      <c r="G3768" s="6"/>
      <c r="H3768" s="6"/>
      <c r="I3768" s="6"/>
      <c r="J3768" s="6"/>
      <c r="K3768" s="6"/>
      <c r="L3768" s="6"/>
      <c r="M3768" s="6"/>
      <c r="N3768" s="6"/>
      <c r="O3768" s="7"/>
      <c r="P3768" s="6"/>
      <c r="Q3768" s="6"/>
      <c r="R3768" s="7"/>
      <c r="S3768" s="6"/>
      <c r="T3768" s="6"/>
      <c r="U3768" s="7"/>
      <c r="V3768" s="6"/>
      <c r="W3768" s="6"/>
      <c r="X3768" s="6"/>
      <c r="Y3768" s="6"/>
      <c r="Z3768" s="6"/>
      <c r="AA3768" s="7"/>
      <c r="AB3768" s="6"/>
      <c r="AC3768" s="6"/>
      <c r="AD3768" s="6"/>
      <c r="AE3768" s="12"/>
      <c r="AF3768" s="12"/>
      <c r="AG3768" s="12"/>
      <c r="AH3768" s="12"/>
      <c r="AI3768" s="6"/>
      <c r="AJ3768" s="12"/>
      <c r="AK3768" s="1"/>
      <c r="AL3768" s="12"/>
      <c r="AM3768" s="12"/>
      <c r="AN3768" s="1"/>
      <c r="AO3768" s="6"/>
    </row>
    <row r="3769" spans="1:41" ht="15" x14ac:dyDescent="0.25">
      <c r="A3769" s="1"/>
      <c r="B3769" s="1"/>
      <c r="C3769" s="1"/>
      <c r="D3769" s="1"/>
      <c r="E3769" s="6"/>
      <c r="F3769" s="1"/>
      <c r="G3769" s="6"/>
      <c r="H3769" s="6"/>
      <c r="I3769" s="6"/>
      <c r="J3769" s="6"/>
      <c r="K3769" s="6"/>
      <c r="L3769" s="6"/>
      <c r="M3769" s="6"/>
      <c r="N3769" s="6"/>
      <c r="O3769" s="7"/>
      <c r="P3769" s="12"/>
      <c r="Q3769" s="6"/>
      <c r="R3769" s="7"/>
      <c r="S3769" s="6"/>
      <c r="T3769" s="6"/>
      <c r="U3769" s="7"/>
      <c r="V3769" s="6"/>
      <c r="W3769" s="6"/>
      <c r="X3769" s="6"/>
      <c r="Y3769" s="6"/>
      <c r="Z3769" s="6"/>
      <c r="AA3769" s="7"/>
      <c r="AB3769" s="6"/>
      <c r="AC3769" s="6"/>
      <c r="AD3769" s="6"/>
      <c r="AE3769" s="12"/>
      <c r="AF3769" s="6"/>
      <c r="AG3769" s="12"/>
      <c r="AH3769" s="6"/>
      <c r="AI3769" s="6"/>
      <c r="AJ3769" s="12"/>
      <c r="AK3769" s="24"/>
      <c r="AL3769" s="25"/>
      <c r="AM3769" s="12"/>
      <c r="AN3769" s="1"/>
      <c r="AO3769" s="6"/>
    </row>
    <row r="3770" spans="1:41" ht="15" x14ac:dyDescent="0.25">
      <c r="A3770" s="1"/>
      <c r="B3770" s="1"/>
      <c r="C3770" s="1"/>
      <c r="D3770" s="1"/>
      <c r="E3770" s="6"/>
      <c r="F3770" s="1"/>
      <c r="G3770" s="6"/>
      <c r="H3770" s="6"/>
      <c r="I3770" s="6"/>
      <c r="J3770" s="6"/>
      <c r="K3770" s="6"/>
      <c r="L3770" s="6"/>
      <c r="M3770" s="6"/>
      <c r="N3770" s="6"/>
      <c r="O3770" s="7"/>
      <c r="P3770" s="12"/>
      <c r="Q3770" s="6"/>
      <c r="R3770" s="7"/>
      <c r="S3770" s="6"/>
      <c r="T3770" s="6"/>
      <c r="U3770" s="7"/>
      <c r="V3770" s="6"/>
      <c r="W3770" s="6"/>
      <c r="X3770" s="6"/>
      <c r="Y3770" s="6"/>
      <c r="Z3770" s="6"/>
      <c r="AA3770" s="7"/>
      <c r="AB3770" s="6"/>
      <c r="AC3770" s="6"/>
      <c r="AD3770" s="6"/>
      <c r="AE3770" s="12"/>
      <c r="AF3770" s="6"/>
      <c r="AG3770" s="12"/>
      <c r="AH3770" s="6"/>
      <c r="AI3770" s="6"/>
      <c r="AJ3770" s="12"/>
      <c r="AK3770" s="24"/>
      <c r="AL3770" s="25"/>
      <c r="AM3770" s="12"/>
      <c r="AN3770" s="1"/>
      <c r="AO3770" s="6"/>
    </row>
    <row r="3771" spans="1:41" ht="15" x14ac:dyDescent="0.25">
      <c r="A3771" s="1"/>
      <c r="B3771" s="1"/>
      <c r="C3771" s="1"/>
      <c r="D3771" s="1"/>
      <c r="E3771" s="6"/>
      <c r="F3771" s="1"/>
      <c r="G3771" s="6"/>
      <c r="H3771" s="6"/>
      <c r="I3771" s="6"/>
      <c r="J3771" s="6"/>
      <c r="K3771" s="12"/>
      <c r="L3771" s="12"/>
      <c r="M3771" s="6"/>
      <c r="N3771" s="6"/>
      <c r="O3771" s="15"/>
      <c r="P3771" s="6"/>
      <c r="Q3771" s="6"/>
      <c r="R3771" s="15"/>
      <c r="S3771" s="6"/>
      <c r="T3771" s="6"/>
      <c r="U3771" s="15"/>
      <c r="V3771" s="6"/>
      <c r="W3771" s="6"/>
      <c r="X3771" s="6"/>
      <c r="Y3771" s="6"/>
      <c r="Z3771" s="6"/>
      <c r="AA3771" s="7"/>
      <c r="AB3771" s="6"/>
      <c r="AC3771" s="6"/>
      <c r="AD3771" s="6"/>
      <c r="AE3771" s="12"/>
      <c r="AF3771" s="12"/>
      <c r="AG3771" s="12"/>
      <c r="AH3771" s="12"/>
      <c r="AI3771" s="6"/>
      <c r="AJ3771" s="12"/>
      <c r="AK3771" s="1"/>
      <c r="AL3771" s="12"/>
      <c r="AM3771" s="12"/>
      <c r="AN3771" s="1"/>
      <c r="AO3771" s="6"/>
    </row>
    <row r="3772" spans="1:41" ht="15" x14ac:dyDescent="0.25">
      <c r="A3772" s="1"/>
      <c r="B3772" s="1"/>
      <c r="C3772" s="1"/>
      <c r="D3772" s="1"/>
      <c r="E3772" s="6"/>
      <c r="F3772" s="1"/>
      <c r="G3772" s="6"/>
      <c r="H3772" s="6"/>
      <c r="I3772" s="6"/>
      <c r="J3772" s="6"/>
      <c r="K3772" s="6"/>
      <c r="L3772" s="6"/>
      <c r="M3772" s="6"/>
      <c r="N3772" s="6"/>
      <c r="O3772" s="7"/>
      <c r="P3772" s="6"/>
      <c r="Q3772" s="6"/>
      <c r="R3772" s="7"/>
      <c r="S3772" s="6"/>
      <c r="T3772" s="6"/>
      <c r="U3772" s="7"/>
      <c r="V3772" s="6"/>
      <c r="W3772" s="6"/>
      <c r="X3772" s="12"/>
      <c r="Y3772" s="6"/>
      <c r="Z3772" s="6"/>
      <c r="AA3772" s="7"/>
      <c r="AB3772" s="6"/>
      <c r="AC3772" s="6"/>
      <c r="AD3772" s="6"/>
      <c r="AE3772" s="12"/>
      <c r="AF3772" s="12"/>
      <c r="AG3772" s="12"/>
      <c r="AH3772" s="12"/>
      <c r="AI3772" s="6"/>
      <c r="AJ3772" s="12"/>
      <c r="AK3772" s="24"/>
      <c r="AL3772" s="25"/>
      <c r="AM3772" s="12"/>
      <c r="AN3772" s="1"/>
      <c r="AO3772" s="6"/>
    </row>
    <row r="3773" spans="1:41" ht="15" x14ac:dyDescent="0.25">
      <c r="A3773" s="1"/>
      <c r="B3773" s="1"/>
      <c r="C3773" s="1"/>
      <c r="D3773" s="1"/>
      <c r="E3773" s="6"/>
      <c r="F3773" s="1"/>
      <c r="G3773" s="6"/>
      <c r="H3773" s="6"/>
      <c r="I3773" s="6"/>
      <c r="J3773" s="6"/>
      <c r="K3773" s="6"/>
      <c r="L3773" s="6"/>
      <c r="M3773" s="6"/>
      <c r="N3773" s="6"/>
      <c r="O3773" s="7"/>
      <c r="P3773" s="6"/>
      <c r="Q3773" s="6"/>
      <c r="R3773" s="7"/>
      <c r="S3773" s="6"/>
      <c r="T3773" s="6"/>
      <c r="U3773" s="7"/>
      <c r="V3773" s="6"/>
      <c r="W3773" s="6"/>
      <c r="X3773" s="12"/>
      <c r="Y3773" s="6"/>
      <c r="Z3773" s="6"/>
      <c r="AA3773" s="7"/>
      <c r="AB3773" s="6"/>
      <c r="AC3773" s="6"/>
      <c r="AD3773" s="6"/>
      <c r="AE3773" s="12"/>
      <c r="AF3773" s="12"/>
      <c r="AG3773" s="12"/>
      <c r="AH3773" s="12"/>
      <c r="AI3773" s="6"/>
      <c r="AJ3773" s="12"/>
      <c r="AK3773" s="24"/>
      <c r="AL3773" s="25"/>
      <c r="AM3773" s="12"/>
      <c r="AN3773" s="1"/>
      <c r="AO3773" s="6"/>
    </row>
    <row r="3774" spans="1:41" ht="15" x14ac:dyDescent="0.25">
      <c r="A3774" s="1"/>
      <c r="B3774" s="1"/>
      <c r="C3774" s="1"/>
      <c r="D3774" s="1"/>
      <c r="E3774" s="6"/>
      <c r="F3774" s="1"/>
      <c r="G3774" s="6"/>
      <c r="H3774" s="6"/>
      <c r="I3774" s="6"/>
      <c r="J3774" s="6"/>
      <c r="K3774" s="6"/>
      <c r="L3774" s="6"/>
      <c r="M3774" s="6"/>
      <c r="N3774" s="6"/>
      <c r="O3774" s="7"/>
      <c r="P3774" s="6"/>
      <c r="Q3774" s="6"/>
      <c r="R3774" s="7"/>
      <c r="S3774" s="6"/>
      <c r="T3774" s="6"/>
      <c r="U3774" s="7"/>
      <c r="V3774" s="6"/>
      <c r="W3774" s="6"/>
      <c r="X3774" s="6"/>
      <c r="Y3774" s="6"/>
      <c r="Z3774" s="6"/>
      <c r="AA3774" s="7"/>
      <c r="AB3774" s="6"/>
      <c r="AC3774" s="6"/>
      <c r="AD3774" s="6"/>
      <c r="AE3774" s="12"/>
      <c r="AF3774" s="12"/>
      <c r="AG3774" s="12"/>
      <c r="AH3774" s="12"/>
      <c r="AI3774" s="6"/>
      <c r="AJ3774" s="12"/>
      <c r="AK3774" s="1"/>
      <c r="AL3774" s="12"/>
      <c r="AM3774" s="12"/>
      <c r="AN3774" s="1"/>
      <c r="AO3774" s="6"/>
    </row>
    <row r="3775" spans="1:41" ht="15" x14ac:dyDescent="0.25">
      <c r="A3775" s="1"/>
      <c r="B3775" s="1"/>
      <c r="C3775" s="1"/>
      <c r="D3775" s="1"/>
      <c r="E3775" s="6"/>
      <c r="F3775" s="1"/>
      <c r="G3775" s="6"/>
      <c r="H3775" s="6"/>
      <c r="I3775" s="6"/>
      <c r="J3775" s="6"/>
      <c r="K3775" s="12"/>
      <c r="L3775" s="12"/>
      <c r="M3775" s="6"/>
      <c r="N3775" s="6"/>
      <c r="O3775" s="7"/>
      <c r="P3775" s="6"/>
      <c r="Q3775" s="6"/>
      <c r="R3775" s="7"/>
      <c r="S3775" s="6"/>
      <c r="T3775" s="6"/>
      <c r="U3775" s="7"/>
      <c r="V3775" s="6"/>
      <c r="W3775" s="6"/>
      <c r="X3775" s="12"/>
      <c r="Y3775" s="6"/>
      <c r="Z3775" s="6"/>
      <c r="AA3775" s="7"/>
      <c r="AB3775" s="6"/>
      <c r="AC3775" s="6"/>
      <c r="AD3775" s="6"/>
      <c r="AE3775" s="12"/>
      <c r="AF3775" s="12"/>
      <c r="AG3775" s="12"/>
      <c r="AH3775" s="12"/>
      <c r="AI3775" s="6"/>
      <c r="AJ3775" s="12"/>
      <c r="AK3775" s="24"/>
      <c r="AL3775" s="25"/>
      <c r="AM3775" s="12"/>
      <c r="AN3775" s="1"/>
      <c r="AO3775" s="6"/>
    </row>
    <row r="3776" spans="1:41" ht="15" x14ac:dyDescent="0.25">
      <c r="A3776" s="1"/>
      <c r="B3776" s="1"/>
      <c r="C3776" s="1"/>
      <c r="D3776" s="1"/>
      <c r="E3776" s="6"/>
      <c r="F3776" s="1"/>
      <c r="G3776" s="6"/>
      <c r="H3776" s="6"/>
      <c r="I3776" s="6"/>
      <c r="J3776" s="6"/>
      <c r="K3776" s="12"/>
      <c r="L3776" s="12"/>
      <c r="M3776" s="6"/>
      <c r="N3776" s="6"/>
      <c r="O3776" s="7"/>
      <c r="P3776" s="6"/>
      <c r="Q3776" s="6"/>
      <c r="R3776" s="7"/>
      <c r="S3776" s="6"/>
      <c r="T3776" s="6"/>
      <c r="U3776" s="7"/>
      <c r="V3776" s="6"/>
      <c r="W3776" s="6"/>
      <c r="X3776" s="12"/>
      <c r="Y3776" s="6"/>
      <c r="Z3776" s="6"/>
      <c r="AA3776" s="7"/>
      <c r="AB3776" s="6"/>
      <c r="AC3776" s="6"/>
      <c r="AD3776" s="6"/>
      <c r="AE3776" s="12"/>
      <c r="AF3776" s="12"/>
      <c r="AG3776" s="12"/>
      <c r="AH3776" s="12"/>
      <c r="AI3776" s="6"/>
      <c r="AJ3776" s="12"/>
      <c r="AK3776" s="24"/>
      <c r="AL3776" s="25"/>
      <c r="AM3776" s="12"/>
      <c r="AN3776" s="1"/>
      <c r="AO3776" s="6"/>
    </row>
    <row r="3777" spans="1:41" ht="15" x14ac:dyDescent="0.25">
      <c r="A3777" s="1"/>
      <c r="B3777" s="1"/>
      <c r="C3777" s="1"/>
      <c r="D3777" s="1"/>
      <c r="E3777" s="6"/>
      <c r="F3777" s="1"/>
      <c r="G3777" s="6"/>
      <c r="H3777" s="6"/>
      <c r="I3777" s="6"/>
      <c r="J3777" s="6"/>
      <c r="K3777" s="6"/>
      <c r="L3777" s="6"/>
      <c r="M3777" s="6"/>
      <c r="N3777" s="6"/>
      <c r="O3777" s="7"/>
      <c r="P3777" s="6"/>
      <c r="Q3777" s="6"/>
      <c r="R3777" s="7"/>
      <c r="S3777" s="6"/>
      <c r="T3777" s="6"/>
      <c r="U3777" s="7"/>
      <c r="V3777" s="6"/>
      <c r="W3777" s="6"/>
      <c r="X3777" s="6"/>
      <c r="Y3777" s="6"/>
      <c r="Z3777" s="6"/>
      <c r="AA3777" s="7"/>
      <c r="AB3777" s="6"/>
      <c r="AC3777" s="6"/>
      <c r="AD3777" s="6"/>
      <c r="AE3777" s="12"/>
      <c r="AF3777" s="12"/>
      <c r="AG3777" s="12"/>
      <c r="AH3777" s="12"/>
      <c r="AI3777" s="6"/>
      <c r="AJ3777" s="12"/>
      <c r="AK3777" s="1"/>
      <c r="AL3777" s="12"/>
      <c r="AM3777" s="12"/>
      <c r="AN3777" s="1"/>
      <c r="AO3777" s="6"/>
    </row>
    <row r="3778" spans="1:41" ht="15" x14ac:dyDescent="0.25">
      <c r="A3778" s="1"/>
      <c r="B3778" s="1"/>
      <c r="C3778" s="1"/>
      <c r="D3778" s="1"/>
      <c r="E3778" s="6"/>
      <c r="F3778" s="1"/>
      <c r="G3778" s="6"/>
      <c r="H3778" s="6"/>
      <c r="I3778" s="6"/>
      <c r="J3778" s="6"/>
      <c r="K3778" s="6"/>
      <c r="L3778" s="6"/>
      <c r="M3778" s="6"/>
      <c r="N3778" s="6"/>
      <c r="O3778" s="7"/>
      <c r="P3778" s="6"/>
      <c r="Q3778" s="6"/>
      <c r="R3778" s="7"/>
      <c r="S3778" s="6"/>
      <c r="T3778" s="6"/>
      <c r="U3778" s="7"/>
      <c r="V3778" s="6"/>
      <c r="W3778" s="6"/>
      <c r="X3778" s="12"/>
      <c r="Y3778" s="6"/>
      <c r="Z3778" s="6"/>
      <c r="AA3778" s="7"/>
      <c r="AB3778" s="6"/>
      <c r="AC3778" s="6"/>
      <c r="AD3778" s="6"/>
      <c r="AE3778" s="12"/>
      <c r="AF3778" s="6"/>
      <c r="AG3778" s="12"/>
      <c r="AH3778" s="6"/>
      <c r="AI3778" s="6"/>
      <c r="AJ3778" s="12"/>
      <c r="AK3778" s="24"/>
      <c r="AL3778" s="25"/>
      <c r="AM3778" s="12"/>
      <c r="AN3778" s="1"/>
      <c r="AO3778" s="6"/>
    </row>
    <row r="3779" spans="1:41" ht="15" x14ac:dyDescent="0.25">
      <c r="A3779" s="1"/>
      <c r="B3779" s="1"/>
      <c r="C3779" s="1"/>
      <c r="D3779" s="1"/>
      <c r="E3779" s="6"/>
      <c r="F3779" s="1"/>
      <c r="G3779" s="6"/>
      <c r="H3779" s="6"/>
      <c r="I3779" s="6"/>
      <c r="J3779" s="6"/>
      <c r="K3779" s="6"/>
      <c r="L3779" s="6"/>
      <c r="M3779" s="6"/>
      <c r="N3779" s="6"/>
      <c r="O3779" s="7"/>
      <c r="P3779" s="6"/>
      <c r="Q3779" s="6"/>
      <c r="R3779" s="7"/>
      <c r="S3779" s="6"/>
      <c r="T3779" s="6"/>
      <c r="U3779" s="7"/>
      <c r="V3779" s="6"/>
      <c r="W3779" s="6"/>
      <c r="X3779" s="12"/>
      <c r="Y3779" s="6"/>
      <c r="Z3779" s="6"/>
      <c r="AA3779" s="7"/>
      <c r="AB3779" s="6"/>
      <c r="AC3779" s="6"/>
      <c r="AD3779" s="6"/>
      <c r="AE3779" s="12"/>
      <c r="AF3779" s="6"/>
      <c r="AG3779" s="12"/>
      <c r="AH3779" s="6"/>
      <c r="AI3779" s="6"/>
      <c r="AJ3779" s="12"/>
      <c r="AK3779" s="24"/>
      <c r="AL3779" s="25"/>
      <c r="AM3779" s="12"/>
      <c r="AN3779" s="1"/>
      <c r="AO3779" s="6"/>
    </row>
    <row r="3780" spans="1:41" ht="15" x14ac:dyDescent="0.25">
      <c r="A3780" s="1"/>
      <c r="B3780" s="1"/>
      <c r="C3780" s="1"/>
      <c r="D3780" s="1"/>
      <c r="E3780" s="6"/>
      <c r="F3780" s="1"/>
      <c r="G3780" s="6"/>
      <c r="H3780" s="6"/>
      <c r="I3780" s="6"/>
      <c r="J3780" s="6"/>
      <c r="K3780" s="6"/>
      <c r="L3780" s="6"/>
      <c r="M3780" s="6"/>
      <c r="N3780" s="6"/>
      <c r="O3780" s="7"/>
      <c r="P3780" s="6"/>
      <c r="Q3780" s="6"/>
      <c r="R3780" s="7"/>
      <c r="S3780" s="6"/>
      <c r="T3780" s="6"/>
      <c r="U3780" s="7"/>
      <c r="V3780" s="6"/>
      <c r="W3780" s="6"/>
      <c r="X3780" s="6"/>
      <c r="Y3780" s="6"/>
      <c r="Z3780" s="6"/>
      <c r="AA3780" s="7"/>
      <c r="AB3780" s="6"/>
      <c r="AC3780" s="6"/>
      <c r="AD3780" s="6"/>
      <c r="AE3780" s="12"/>
      <c r="AF3780" s="12"/>
      <c r="AG3780" s="12"/>
      <c r="AH3780" s="12"/>
      <c r="AI3780" s="6"/>
      <c r="AJ3780" s="12"/>
      <c r="AK3780" s="1"/>
      <c r="AL3780" s="12"/>
      <c r="AM3780" s="12"/>
      <c r="AN3780" s="1"/>
      <c r="AO3780" s="6"/>
    </row>
    <row r="3781" spans="1:41" ht="15" x14ac:dyDescent="0.25">
      <c r="A3781" s="1"/>
      <c r="B3781" s="1"/>
      <c r="C3781" s="1"/>
      <c r="D3781" s="1"/>
      <c r="E3781" s="6"/>
      <c r="F3781" s="1"/>
      <c r="G3781" s="6"/>
      <c r="H3781" s="6"/>
      <c r="I3781" s="6"/>
      <c r="J3781" s="6"/>
      <c r="K3781" s="12"/>
      <c r="L3781" s="12"/>
      <c r="M3781" s="6"/>
      <c r="N3781" s="6"/>
      <c r="O3781" s="7"/>
      <c r="P3781" s="6"/>
      <c r="Q3781" s="6"/>
      <c r="R3781" s="7"/>
      <c r="S3781" s="6"/>
      <c r="T3781" s="6"/>
      <c r="U3781" s="7"/>
      <c r="V3781" s="6"/>
      <c r="W3781" s="6"/>
      <c r="X3781" s="6"/>
      <c r="Y3781" s="6"/>
      <c r="Z3781" s="6"/>
      <c r="AA3781" s="7"/>
      <c r="AB3781" s="6"/>
      <c r="AC3781" s="6"/>
      <c r="AD3781" s="6"/>
      <c r="AE3781" s="12"/>
      <c r="AF3781" s="12"/>
      <c r="AG3781" s="12"/>
      <c r="AH3781" s="12"/>
      <c r="AI3781" s="6"/>
      <c r="AJ3781" s="12"/>
      <c r="AK3781" s="1"/>
      <c r="AL3781" s="12"/>
      <c r="AM3781" s="12"/>
      <c r="AN3781" s="1"/>
      <c r="AO3781" s="6"/>
    </row>
    <row r="3782" spans="1:41" ht="15" x14ac:dyDescent="0.25">
      <c r="A3782" s="1"/>
      <c r="B3782" s="1"/>
      <c r="C3782" s="1"/>
      <c r="D3782" s="1"/>
      <c r="E3782" s="6"/>
      <c r="F3782" s="1"/>
      <c r="G3782" s="6"/>
      <c r="H3782" s="6"/>
      <c r="I3782" s="6"/>
      <c r="J3782" s="6"/>
      <c r="K3782" s="6"/>
      <c r="L3782" s="6"/>
      <c r="M3782" s="6"/>
      <c r="N3782" s="6"/>
      <c r="O3782" s="7"/>
      <c r="P3782" s="6"/>
      <c r="Q3782" s="6"/>
      <c r="R3782" s="7"/>
      <c r="S3782" s="6"/>
      <c r="T3782" s="6"/>
      <c r="U3782" s="7"/>
      <c r="V3782" s="6"/>
      <c r="W3782" s="6"/>
      <c r="X3782" s="6"/>
      <c r="Y3782" s="6"/>
      <c r="Z3782" s="6"/>
      <c r="AA3782" s="7"/>
      <c r="AB3782" s="6"/>
      <c r="AC3782" s="6"/>
      <c r="AD3782" s="6"/>
      <c r="AE3782" s="12"/>
      <c r="AF3782" s="12"/>
      <c r="AG3782" s="12"/>
      <c r="AH3782" s="12"/>
      <c r="AI3782" s="6"/>
      <c r="AJ3782" s="12"/>
      <c r="AK3782" s="1"/>
      <c r="AL3782" s="12"/>
      <c r="AM3782" s="12"/>
      <c r="AN3782" s="1"/>
      <c r="AO3782" s="6"/>
    </row>
    <row r="3783" spans="1:41" ht="15" x14ac:dyDescent="0.25">
      <c r="A3783" s="1"/>
      <c r="B3783" s="1"/>
      <c r="C3783" s="1"/>
      <c r="D3783" s="1"/>
      <c r="E3783" s="6"/>
      <c r="F3783" s="1"/>
      <c r="G3783" s="6"/>
      <c r="H3783" s="6"/>
      <c r="I3783" s="6"/>
      <c r="J3783" s="6"/>
      <c r="K3783" s="6"/>
      <c r="L3783" s="6"/>
      <c r="M3783" s="6"/>
      <c r="N3783" s="6"/>
      <c r="O3783" s="7"/>
      <c r="P3783" s="12"/>
      <c r="Q3783" s="6"/>
      <c r="R3783" s="7"/>
      <c r="S3783" s="6"/>
      <c r="T3783" s="6"/>
      <c r="U3783" s="7"/>
      <c r="V3783" s="6"/>
      <c r="W3783" s="6"/>
      <c r="X3783" s="6"/>
      <c r="Y3783" s="6"/>
      <c r="Z3783" s="6"/>
      <c r="AA3783" s="7"/>
      <c r="AB3783" s="6"/>
      <c r="AC3783" s="6"/>
      <c r="AD3783" s="6"/>
      <c r="AE3783" s="12"/>
      <c r="AF3783" s="6"/>
      <c r="AG3783" s="12"/>
      <c r="AH3783" s="6"/>
      <c r="AI3783" s="6"/>
      <c r="AJ3783" s="12"/>
      <c r="AK3783" s="1"/>
      <c r="AL3783" s="12"/>
      <c r="AM3783" s="12"/>
      <c r="AN3783" s="1"/>
      <c r="AO3783" s="6"/>
    </row>
    <row r="3784" spans="1:41" ht="15" x14ac:dyDescent="0.25">
      <c r="A3784" s="1"/>
      <c r="B3784" s="1"/>
      <c r="C3784" s="1"/>
      <c r="D3784" s="1"/>
      <c r="E3784" s="6"/>
      <c r="F3784" s="1"/>
      <c r="G3784" s="6"/>
      <c r="H3784" s="6"/>
      <c r="I3784" s="6"/>
      <c r="J3784" s="6"/>
      <c r="K3784" s="6"/>
      <c r="L3784" s="6"/>
      <c r="M3784" s="6"/>
      <c r="N3784" s="6"/>
      <c r="O3784" s="7"/>
      <c r="P3784" s="12"/>
      <c r="Q3784" s="6"/>
      <c r="R3784" s="7"/>
      <c r="S3784" s="6"/>
      <c r="T3784" s="6"/>
      <c r="U3784" s="7"/>
      <c r="V3784" s="6"/>
      <c r="W3784" s="6"/>
      <c r="X3784" s="6"/>
      <c r="Y3784" s="6"/>
      <c r="Z3784" s="6"/>
      <c r="AA3784" s="7"/>
      <c r="AB3784" s="6"/>
      <c r="AC3784" s="6"/>
      <c r="AD3784" s="6"/>
      <c r="AE3784" s="12"/>
      <c r="AF3784" s="6"/>
      <c r="AG3784" s="12"/>
      <c r="AH3784" s="6"/>
      <c r="AI3784" s="6"/>
      <c r="AJ3784" s="12"/>
      <c r="AK3784" s="1"/>
      <c r="AL3784" s="12"/>
      <c r="AM3784" s="12"/>
      <c r="AN3784" s="1"/>
      <c r="AO3784" s="6"/>
    </row>
    <row r="3785" spans="1:41" ht="15" x14ac:dyDescent="0.25">
      <c r="A3785" s="1"/>
      <c r="B3785" s="1"/>
      <c r="C3785" s="1"/>
      <c r="D3785" s="1"/>
      <c r="E3785" s="6"/>
      <c r="F3785" s="1"/>
      <c r="G3785" s="6"/>
      <c r="H3785" s="6"/>
      <c r="I3785" s="6"/>
      <c r="J3785" s="6"/>
      <c r="K3785" s="6"/>
      <c r="L3785" s="6"/>
      <c r="M3785" s="6"/>
      <c r="N3785" s="6"/>
      <c r="O3785" s="7"/>
      <c r="P3785" s="6"/>
      <c r="Q3785" s="6"/>
      <c r="R3785" s="7"/>
      <c r="S3785" s="6"/>
      <c r="T3785" s="6"/>
      <c r="U3785" s="7"/>
      <c r="V3785" s="6"/>
      <c r="W3785" s="6"/>
      <c r="X3785" s="12"/>
      <c r="Y3785" s="6"/>
      <c r="Z3785" s="6"/>
      <c r="AA3785" s="7"/>
      <c r="AB3785" s="6"/>
      <c r="AC3785" s="6"/>
      <c r="AD3785" s="6"/>
      <c r="AE3785" s="12"/>
      <c r="AF3785" s="6"/>
      <c r="AG3785" s="12"/>
      <c r="AH3785" s="6"/>
      <c r="AI3785" s="6"/>
      <c r="AJ3785" s="12"/>
      <c r="AK3785" s="24"/>
      <c r="AL3785" s="25"/>
      <c r="AM3785" s="12"/>
      <c r="AN3785" s="1"/>
      <c r="AO3785" s="6"/>
    </row>
    <row r="3786" spans="1:41" ht="15" x14ac:dyDescent="0.25">
      <c r="A3786" s="1"/>
      <c r="B3786" s="1"/>
      <c r="C3786" s="1"/>
      <c r="D3786" s="1"/>
      <c r="E3786" s="6"/>
      <c r="F3786" s="1"/>
      <c r="G3786" s="6"/>
      <c r="H3786" s="6"/>
      <c r="I3786" s="6"/>
      <c r="J3786" s="6"/>
      <c r="K3786" s="6"/>
      <c r="L3786" s="6"/>
      <c r="M3786" s="6"/>
      <c r="N3786" s="6"/>
      <c r="O3786" s="7"/>
      <c r="P3786" s="6"/>
      <c r="Q3786" s="6"/>
      <c r="R3786" s="7"/>
      <c r="S3786" s="6"/>
      <c r="T3786" s="6"/>
      <c r="U3786" s="7"/>
      <c r="V3786" s="6"/>
      <c r="W3786" s="6"/>
      <c r="X3786" s="12"/>
      <c r="Y3786" s="6"/>
      <c r="Z3786" s="6"/>
      <c r="AA3786" s="7"/>
      <c r="AB3786" s="6"/>
      <c r="AC3786" s="6"/>
      <c r="AD3786" s="6"/>
      <c r="AE3786" s="12"/>
      <c r="AF3786" s="6"/>
      <c r="AG3786" s="12"/>
      <c r="AH3786" s="6"/>
      <c r="AI3786" s="6"/>
      <c r="AJ3786" s="12"/>
      <c r="AK3786" s="24"/>
      <c r="AL3786" s="25"/>
      <c r="AM3786" s="12"/>
      <c r="AN3786" s="1"/>
      <c r="AO3786" s="6"/>
    </row>
    <row r="3787" spans="1:41" ht="15" x14ac:dyDescent="0.25">
      <c r="A3787" s="1"/>
      <c r="B3787" s="1"/>
      <c r="C3787" s="1"/>
      <c r="D3787" s="1"/>
      <c r="E3787" s="6"/>
      <c r="F3787" s="1"/>
      <c r="G3787" s="6"/>
      <c r="H3787" s="6"/>
      <c r="I3787" s="6"/>
      <c r="J3787" s="6"/>
      <c r="K3787" s="6"/>
      <c r="L3787" s="6"/>
      <c r="M3787" s="6"/>
      <c r="N3787" s="6"/>
      <c r="O3787" s="7"/>
      <c r="P3787" s="6"/>
      <c r="Q3787" s="6"/>
      <c r="R3787" s="7"/>
      <c r="S3787" s="6"/>
      <c r="T3787" s="6"/>
      <c r="U3787" s="7"/>
      <c r="V3787" s="6"/>
      <c r="W3787" s="6"/>
      <c r="X3787" s="6"/>
      <c r="Y3787" s="6"/>
      <c r="Z3787" s="6"/>
      <c r="AA3787" s="7"/>
      <c r="AB3787" s="6"/>
      <c r="AC3787" s="6"/>
      <c r="AD3787" s="6"/>
      <c r="AE3787" s="12"/>
      <c r="AF3787" s="6"/>
      <c r="AG3787" s="12"/>
      <c r="AH3787" s="6"/>
      <c r="AI3787" s="6"/>
      <c r="AJ3787" s="12"/>
      <c r="AK3787" s="24"/>
      <c r="AL3787" s="25"/>
      <c r="AM3787" s="12"/>
      <c r="AN3787" s="1"/>
      <c r="AO3787" s="6"/>
    </row>
    <row r="3788" spans="1:41" ht="15" x14ac:dyDescent="0.25">
      <c r="A3788" s="1"/>
      <c r="B3788" s="1"/>
      <c r="C3788" s="1"/>
      <c r="D3788" s="1"/>
      <c r="E3788" s="6"/>
      <c r="F3788" s="1"/>
      <c r="G3788" s="6"/>
      <c r="H3788" s="6"/>
      <c r="I3788" s="6"/>
      <c r="J3788" s="6"/>
      <c r="K3788" s="6"/>
      <c r="L3788" s="6"/>
      <c r="M3788" s="6"/>
      <c r="N3788" s="6"/>
      <c r="O3788" s="7"/>
      <c r="P3788" s="6"/>
      <c r="Q3788" s="6"/>
      <c r="R3788" s="7"/>
      <c r="S3788" s="6"/>
      <c r="T3788" s="6"/>
      <c r="U3788" s="7"/>
      <c r="V3788" s="6"/>
      <c r="W3788" s="6"/>
      <c r="X3788" s="6"/>
      <c r="Y3788" s="6"/>
      <c r="Z3788" s="6"/>
      <c r="AA3788" s="7"/>
      <c r="AB3788" s="6"/>
      <c r="AC3788" s="6"/>
      <c r="AD3788" s="6"/>
      <c r="AE3788" s="12"/>
      <c r="AF3788" s="6"/>
      <c r="AG3788" s="12"/>
      <c r="AH3788" s="6"/>
      <c r="AI3788" s="6"/>
      <c r="AJ3788" s="12"/>
      <c r="AK3788" s="24"/>
      <c r="AL3788" s="25"/>
      <c r="AM3788" s="12"/>
      <c r="AN3788" s="1"/>
      <c r="AO3788" s="6"/>
    </row>
    <row r="3789" spans="1:41" ht="15" x14ac:dyDescent="0.25">
      <c r="A3789" s="1"/>
      <c r="B3789" s="1"/>
      <c r="C3789" s="1"/>
      <c r="D3789" s="1"/>
      <c r="E3789" s="6"/>
      <c r="F3789" s="1"/>
      <c r="G3789" s="6"/>
      <c r="H3789" s="6"/>
      <c r="I3789" s="6"/>
      <c r="J3789" s="6"/>
      <c r="K3789" s="12"/>
      <c r="L3789" s="12"/>
      <c r="M3789" s="6"/>
      <c r="N3789" s="6"/>
      <c r="O3789" s="7"/>
      <c r="P3789" s="6"/>
      <c r="Q3789" s="6"/>
      <c r="R3789" s="12"/>
      <c r="S3789" s="12"/>
      <c r="T3789" s="12"/>
      <c r="U3789" s="7"/>
      <c r="V3789" s="6"/>
      <c r="W3789" s="6"/>
      <c r="X3789" s="12"/>
      <c r="Y3789" s="6"/>
      <c r="Z3789" s="6"/>
      <c r="AA3789" s="7"/>
      <c r="AB3789" s="6"/>
      <c r="AC3789" s="6"/>
      <c r="AD3789" s="6"/>
      <c r="AE3789" s="12"/>
      <c r="AF3789" s="12"/>
      <c r="AG3789" s="12"/>
      <c r="AH3789" s="12"/>
      <c r="AI3789" s="6"/>
      <c r="AJ3789" s="12"/>
      <c r="AK3789" s="1"/>
      <c r="AL3789" s="12"/>
      <c r="AM3789" s="12"/>
      <c r="AN3789" s="1"/>
      <c r="AO3789" s="6"/>
    </row>
    <row r="3790" spans="1:41" ht="15" x14ac:dyDescent="0.25">
      <c r="A3790" s="1"/>
      <c r="B3790" s="1"/>
      <c r="C3790" s="1"/>
      <c r="D3790" s="1"/>
      <c r="E3790" s="6"/>
      <c r="F3790" s="1"/>
      <c r="G3790" s="6"/>
      <c r="H3790" s="6"/>
      <c r="I3790" s="6"/>
      <c r="J3790" s="6"/>
      <c r="K3790" s="12"/>
      <c r="L3790" s="12"/>
      <c r="M3790" s="6"/>
      <c r="N3790" s="6"/>
      <c r="O3790" s="7"/>
      <c r="P3790" s="6"/>
      <c r="Q3790" s="6"/>
      <c r="R3790" s="12"/>
      <c r="S3790" s="12"/>
      <c r="T3790" s="12"/>
      <c r="U3790" s="7"/>
      <c r="V3790" s="6"/>
      <c r="W3790" s="6"/>
      <c r="X3790" s="12"/>
      <c r="Y3790" s="6"/>
      <c r="Z3790" s="6"/>
      <c r="AA3790" s="7"/>
      <c r="AB3790" s="6"/>
      <c r="AC3790" s="6"/>
      <c r="AD3790" s="6"/>
      <c r="AE3790" s="12"/>
      <c r="AF3790" s="12"/>
      <c r="AG3790" s="12"/>
      <c r="AH3790" s="12"/>
      <c r="AI3790" s="6"/>
      <c r="AJ3790" s="12"/>
      <c r="AK3790" s="1"/>
      <c r="AL3790" s="12"/>
      <c r="AM3790" s="12"/>
      <c r="AN3790" s="1"/>
      <c r="AO3790" s="6"/>
    </row>
    <row r="3791" spans="1:41" ht="15" x14ac:dyDescent="0.25">
      <c r="A3791" s="1"/>
      <c r="B3791" s="1"/>
      <c r="C3791" s="1"/>
      <c r="D3791" s="1"/>
      <c r="E3791" s="6"/>
      <c r="F3791" s="1"/>
      <c r="G3791" s="6"/>
      <c r="H3791" s="6"/>
      <c r="I3791" s="6"/>
      <c r="J3791" s="6"/>
      <c r="K3791" s="6"/>
      <c r="L3791" s="6"/>
      <c r="M3791" s="6"/>
      <c r="N3791" s="6"/>
      <c r="O3791" s="7"/>
      <c r="P3791" s="6"/>
      <c r="Q3791" s="6"/>
      <c r="R3791" s="7"/>
      <c r="S3791" s="6"/>
      <c r="T3791" s="6"/>
      <c r="U3791" s="7"/>
      <c r="V3791" s="6"/>
      <c r="W3791" s="6"/>
      <c r="X3791" s="12"/>
      <c r="Y3791" s="6"/>
      <c r="Z3791" s="6"/>
      <c r="AA3791" s="7"/>
      <c r="AB3791" s="6"/>
      <c r="AC3791" s="6"/>
      <c r="AD3791" s="6"/>
      <c r="AE3791" s="12"/>
      <c r="AF3791" s="12"/>
      <c r="AG3791" s="12"/>
      <c r="AH3791" s="12"/>
      <c r="AI3791" s="6"/>
      <c r="AJ3791" s="12"/>
      <c r="AK3791" s="1"/>
      <c r="AL3791" s="12"/>
      <c r="AM3791" s="12"/>
      <c r="AN3791" s="1"/>
      <c r="AO3791" s="6"/>
    </row>
    <row r="3792" spans="1:41" ht="15" x14ac:dyDescent="0.25">
      <c r="A3792" s="1"/>
      <c r="B3792" s="1"/>
      <c r="C3792" s="1"/>
      <c r="D3792" s="1"/>
      <c r="E3792" s="6"/>
      <c r="F3792" s="1"/>
      <c r="G3792" s="6"/>
      <c r="H3792" s="6"/>
      <c r="I3792" s="6"/>
      <c r="J3792" s="6"/>
      <c r="K3792" s="6"/>
      <c r="L3792" s="6"/>
      <c r="M3792" s="6"/>
      <c r="N3792" s="6"/>
      <c r="O3792" s="7"/>
      <c r="P3792" s="6"/>
      <c r="Q3792" s="6"/>
      <c r="R3792" s="7"/>
      <c r="S3792" s="6"/>
      <c r="T3792" s="6"/>
      <c r="U3792" s="7"/>
      <c r="V3792" s="6"/>
      <c r="W3792" s="6"/>
      <c r="X3792" s="6"/>
      <c r="Y3792" s="6"/>
      <c r="Z3792" s="6"/>
      <c r="AA3792" s="7"/>
      <c r="AB3792" s="6"/>
      <c r="AC3792" s="6"/>
      <c r="AD3792" s="6"/>
      <c r="AE3792" s="12"/>
      <c r="AF3792" s="12"/>
      <c r="AG3792" s="12"/>
      <c r="AH3792" s="12"/>
      <c r="AI3792" s="6"/>
      <c r="AJ3792" s="12"/>
      <c r="AK3792" s="1"/>
      <c r="AL3792" s="12"/>
      <c r="AM3792" s="12"/>
      <c r="AN3792" s="1"/>
      <c r="AO3792" s="6"/>
    </row>
    <row r="3793" spans="1:41" ht="15" x14ac:dyDescent="0.25">
      <c r="A3793" s="1"/>
      <c r="B3793" s="1"/>
      <c r="C3793" s="1"/>
      <c r="D3793" s="1"/>
      <c r="E3793" s="6"/>
      <c r="F3793" s="1"/>
      <c r="G3793" s="6"/>
      <c r="H3793" s="6"/>
      <c r="I3793" s="6"/>
      <c r="J3793" s="6"/>
      <c r="K3793" s="6"/>
      <c r="L3793" s="6"/>
      <c r="M3793" s="6"/>
      <c r="N3793" s="6"/>
      <c r="O3793" s="7"/>
      <c r="P3793" s="6"/>
      <c r="Q3793" s="6"/>
      <c r="R3793" s="7"/>
      <c r="S3793" s="6"/>
      <c r="T3793" s="6"/>
      <c r="U3793" s="7"/>
      <c r="V3793" s="6"/>
      <c r="W3793" s="6"/>
      <c r="X3793" s="6"/>
      <c r="Y3793" s="6"/>
      <c r="Z3793" s="6"/>
      <c r="AA3793" s="7"/>
      <c r="AB3793" s="6"/>
      <c r="AC3793" s="6"/>
      <c r="AD3793" s="6"/>
      <c r="AE3793" s="12"/>
      <c r="AF3793" s="12"/>
      <c r="AG3793" s="12"/>
      <c r="AH3793" s="12"/>
      <c r="AI3793" s="6"/>
      <c r="AJ3793" s="12"/>
      <c r="AK3793" s="1"/>
      <c r="AL3793" s="12"/>
      <c r="AM3793" s="12"/>
      <c r="AN3793" s="1"/>
      <c r="AO3793" s="6"/>
    </row>
    <row r="3794" spans="1:41" ht="15" x14ac:dyDescent="0.25">
      <c r="A3794" s="1"/>
      <c r="B3794" s="1"/>
      <c r="C3794" s="1"/>
      <c r="D3794" s="1"/>
      <c r="E3794" s="6"/>
      <c r="F3794" s="1"/>
      <c r="G3794" s="6"/>
      <c r="H3794" s="6"/>
      <c r="I3794" s="6"/>
      <c r="J3794" s="6"/>
      <c r="K3794" s="6"/>
      <c r="L3794" s="6"/>
      <c r="M3794" s="6"/>
      <c r="N3794" s="6"/>
      <c r="O3794" s="7"/>
      <c r="P3794" s="6"/>
      <c r="Q3794" s="6"/>
      <c r="R3794" s="7"/>
      <c r="S3794" s="6"/>
      <c r="T3794" s="6"/>
      <c r="U3794" s="7"/>
      <c r="V3794" s="6"/>
      <c r="W3794" s="6"/>
      <c r="X3794" s="6"/>
      <c r="Y3794" s="6"/>
      <c r="Z3794" s="6"/>
      <c r="AA3794" s="7"/>
      <c r="AB3794" s="6"/>
      <c r="AC3794" s="6"/>
      <c r="AD3794" s="6"/>
      <c r="AE3794" s="12"/>
      <c r="AF3794" s="12"/>
      <c r="AG3794" s="12"/>
      <c r="AH3794" s="12"/>
      <c r="AI3794" s="6"/>
      <c r="AJ3794" s="12"/>
      <c r="AK3794" s="1"/>
      <c r="AL3794" s="12"/>
      <c r="AM3794" s="12"/>
      <c r="AN3794" s="1"/>
      <c r="AO3794" s="6"/>
    </row>
    <row r="3795" spans="1:41" ht="15" x14ac:dyDescent="0.25">
      <c r="A3795" s="1"/>
      <c r="B3795" s="1"/>
      <c r="C3795" s="1"/>
      <c r="D3795" s="1"/>
      <c r="E3795" s="6"/>
      <c r="F3795" s="1"/>
      <c r="G3795" s="6"/>
      <c r="H3795" s="6"/>
      <c r="I3795" s="6"/>
      <c r="J3795" s="6"/>
      <c r="K3795" s="6"/>
      <c r="L3795" s="6"/>
      <c r="M3795" s="6"/>
      <c r="N3795" s="6"/>
      <c r="O3795" s="7"/>
      <c r="P3795" s="12"/>
      <c r="Q3795" s="6"/>
      <c r="R3795" s="7"/>
      <c r="S3795" s="6"/>
      <c r="T3795" s="6"/>
      <c r="U3795" s="7"/>
      <c r="V3795" s="6"/>
      <c r="W3795" s="6"/>
      <c r="X3795" s="12"/>
      <c r="Y3795" s="6"/>
      <c r="Z3795" s="6"/>
      <c r="AA3795" s="7"/>
      <c r="AB3795" s="6"/>
      <c r="AC3795" s="6"/>
      <c r="AD3795" s="6"/>
      <c r="AE3795" s="12"/>
      <c r="AF3795" s="6"/>
      <c r="AG3795" s="12"/>
      <c r="AH3795" s="6"/>
      <c r="AI3795" s="6"/>
      <c r="AJ3795" s="12"/>
      <c r="AK3795" s="24"/>
      <c r="AL3795" s="25"/>
      <c r="AM3795" s="12"/>
      <c r="AN3795" s="1"/>
      <c r="AO3795" s="6"/>
    </row>
    <row r="3796" spans="1:41" ht="15" x14ac:dyDescent="0.25">
      <c r="A3796" s="1"/>
      <c r="B3796" s="1"/>
      <c r="C3796" s="1"/>
      <c r="D3796" s="1"/>
      <c r="E3796" s="6"/>
      <c r="F3796" s="1"/>
      <c r="G3796" s="6"/>
      <c r="H3796" s="6"/>
      <c r="I3796" s="6"/>
      <c r="J3796" s="6"/>
      <c r="K3796" s="6"/>
      <c r="L3796" s="6"/>
      <c r="M3796" s="6"/>
      <c r="N3796" s="6"/>
      <c r="O3796" s="7"/>
      <c r="P3796" s="12"/>
      <c r="Q3796" s="6"/>
      <c r="R3796" s="7"/>
      <c r="S3796" s="6"/>
      <c r="T3796" s="6"/>
      <c r="U3796" s="7"/>
      <c r="V3796" s="6"/>
      <c r="W3796" s="6"/>
      <c r="X3796" s="12"/>
      <c r="Y3796" s="6"/>
      <c r="Z3796" s="6"/>
      <c r="AA3796" s="7"/>
      <c r="AB3796" s="6"/>
      <c r="AC3796" s="6"/>
      <c r="AD3796" s="6"/>
      <c r="AE3796" s="12"/>
      <c r="AF3796" s="6"/>
      <c r="AG3796" s="12"/>
      <c r="AH3796" s="6"/>
      <c r="AI3796" s="6"/>
      <c r="AJ3796" s="12"/>
      <c r="AK3796" s="24"/>
      <c r="AL3796" s="25"/>
      <c r="AM3796" s="12"/>
      <c r="AN3796" s="1"/>
      <c r="AO3796" s="6"/>
    </row>
    <row r="3797" spans="1:41" ht="15" x14ac:dyDescent="0.25">
      <c r="A3797" s="1"/>
      <c r="B3797" s="1"/>
      <c r="C3797" s="1"/>
      <c r="D3797" s="1"/>
      <c r="E3797" s="6"/>
      <c r="F3797" s="1"/>
      <c r="G3797" s="6"/>
      <c r="H3797" s="6"/>
      <c r="I3797" s="6"/>
      <c r="J3797" s="6"/>
      <c r="K3797" s="12"/>
      <c r="L3797" s="12"/>
      <c r="M3797" s="6"/>
      <c r="N3797" s="6"/>
      <c r="O3797" s="7"/>
      <c r="P3797" s="6"/>
      <c r="Q3797" s="6"/>
      <c r="R3797" s="7"/>
      <c r="S3797" s="6"/>
      <c r="T3797" s="6"/>
      <c r="U3797" s="7"/>
      <c r="V3797" s="6"/>
      <c r="W3797" s="6"/>
      <c r="X3797" s="6"/>
      <c r="Y3797" s="6"/>
      <c r="Z3797" s="6"/>
      <c r="AA3797" s="7"/>
      <c r="AB3797" s="6"/>
      <c r="AC3797" s="6"/>
      <c r="AD3797" s="6"/>
      <c r="AE3797" s="12"/>
      <c r="AF3797" s="12"/>
      <c r="AG3797" s="12"/>
      <c r="AH3797" s="12"/>
      <c r="AI3797" s="6"/>
      <c r="AJ3797" s="12"/>
      <c r="AK3797" s="1"/>
      <c r="AL3797" s="12"/>
      <c r="AM3797" s="12"/>
      <c r="AN3797" s="1"/>
      <c r="AO3797" s="6"/>
    </row>
    <row r="3798" spans="1:41" ht="15" x14ac:dyDescent="0.25">
      <c r="A3798" s="1"/>
      <c r="B3798" s="1"/>
      <c r="C3798" s="1"/>
      <c r="D3798" s="1"/>
      <c r="E3798" s="6"/>
      <c r="F3798" s="1"/>
      <c r="G3798" s="6"/>
      <c r="H3798" s="6"/>
      <c r="I3798" s="6"/>
      <c r="J3798" s="6"/>
      <c r="K3798" s="6"/>
      <c r="L3798" s="6"/>
      <c r="M3798" s="6"/>
      <c r="N3798" s="6"/>
      <c r="O3798" s="7"/>
      <c r="P3798" s="12"/>
      <c r="Q3798" s="6"/>
      <c r="R3798" s="7"/>
      <c r="S3798" s="6"/>
      <c r="T3798" s="6"/>
      <c r="U3798" s="7"/>
      <c r="V3798" s="6"/>
      <c r="W3798" s="6"/>
      <c r="X3798" s="6"/>
      <c r="Y3798" s="6"/>
      <c r="Z3798" s="6"/>
      <c r="AA3798" s="15"/>
      <c r="AB3798" s="6"/>
      <c r="AC3798" s="6"/>
      <c r="AD3798" s="6"/>
      <c r="AE3798" s="12"/>
      <c r="AF3798" s="6"/>
      <c r="AG3798" s="12"/>
      <c r="AH3798" s="6"/>
      <c r="AI3798" s="6"/>
      <c r="AJ3798" s="12"/>
      <c r="AK3798" s="1"/>
      <c r="AL3798" s="12"/>
      <c r="AM3798" s="12"/>
      <c r="AN3798" s="1"/>
      <c r="AO3798" s="6"/>
    </row>
    <row r="3799" spans="1:41" ht="15" x14ac:dyDescent="0.25">
      <c r="A3799" s="1"/>
      <c r="B3799" s="1"/>
      <c r="C3799" s="1"/>
      <c r="D3799" s="1"/>
      <c r="E3799" s="6"/>
      <c r="F3799" s="1"/>
      <c r="G3799" s="6"/>
      <c r="H3799" s="6"/>
      <c r="I3799" s="6"/>
      <c r="J3799" s="6"/>
      <c r="K3799" s="6"/>
      <c r="L3799" s="6"/>
      <c r="M3799" s="6"/>
      <c r="N3799" s="6"/>
      <c r="O3799" s="7"/>
      <c r="P3799" s="12"/>
      <c r="Q3799" s="6"/>
      <c r="R3799" s="7"/>
      <c r="S3799" s="6"/>
      <c r="T3799" s="6"/>
      <c r="U3799" s="7"/>
      <c r="V3799" s="6"/>
      <c r="W3799" s="6"/>
      <c r="X3799" s="6"/>
      <c r="Y3799" s="6"/>
      <c r="Z3799" s="6"/>
      <c r="AA3799" s="7"/>
      <c r="AB3799" s="6"/>
      <c r="AC3799" s="6"/>
      <c r="AD3799" s="6"/>
      <c r="AE3799" s="12"/>
      <c r="AF3799" s="6"/>
      <c r="AG3799" s="12"/>
      <c r="AH3799" s="6"/>
      <c r="AI3799" s="6"/>
      <c r="AJ3799" s="12"/>
      <c r="AK3799" s="1"/>
      <c r="AL3799" s="12"/>
      <c r="AM3799" s="12"/>
      <c r="AN3799" s="1"/>
      <c r="AO3799" s="6"/>
    </row>
    <row r="3800" spans="1:41" ht="15" x14ac:dyDescent="0.25">
      <c r="A3800" s="1"/>
      <c r="B3800" s="1"/>
      <c r="C3800" s="1"/>
      <c r="D3800" s="1"/>
      <c r="E3800" s="6"/>
      <c r="F3800" s="1"/>
      <c r="G3800" s="6"/>
      <c r="H3800" s="6"/>
      <c r="I3800" s="6"/>
      <c r="J3800" s="6"/>
      <c r="K3800" s="6"/>
      <c r="L3800" s="6"/>
      <c r="M3800" s="6"/>
      <c r="N3800" s="6"/>
      <c r="O3800" s="7"/>
      <c r="P3800" s="6"/>
      <c r="Q3800" s="7"/>
      <c r="R3800" s="6"/>
      <c r="S3800" s="6"/>
      <c r="T3800" s="6"/>
      <c r="U3800" s="6"/>
      <c r="V3800" s="7"/>
      <c r="W3800" s="7"/>
      <c r="X3800" s="6"/>
      <c r="Y3800" s="6"/>
      <c r="Z3800" s="6"/>
      <c r="AA3800" s="1"/>
      <c r="AB3800" s="12"/>
      <c r="AC3800" s="12"/>
      <c r="AD3800" s="12"/>
      <c r="AE3800" s="12"/>
      <c r="AF3800" s="12"/>
      <c r="AG3800" s="12"/>
      <c r="AH3800" s="12"/>
      <c r="AI3800" s="6"/>
      <c r="AJ3800" s="12"/>
      <c r="AK3800" s="12"/>
      <c r="AL3800" s="12"/>
      <c r="AM3800" s="12"/>
      <c r="AN3800" s="1"/>
      <c r="AO3800" s="6"/>
    </row>
    <row r="3801" spans="1:41" ht="15" x14ac:dyDescent="0.25">
      <c r="A3801" s="1"/>
      <c r="B3801" s="1"/>
      <c r="C3801" s="1"/>
      <c r="D3801" s="1"/>
      <c r="E3801" s="6"/>
      <c r="F3801" s="1"/>
      <c r="G3801" s="6"/>
      <c r="H3801" s="6"/>
      <c r="I3801" s="6"/>
      <c r="J3801" s="6"/>
      <c r="K3801" s="6"/>
      <c r="L3801" s="6"/>
      <c r="M3801" s="6"/>
      <c r="N3801" s="6"/>
      <c r="O3801" s="7"/>
      <c r="P3801" s="6"/>
      <c r="Q3801" s="6"/>
      <c r="R3801" s="7"/>
      <c r="S3801" s="6"/>
      <c r="T3801" s="6"/>
      <c r="U3801" s="7"/>
      <c r="V3801" s="6"/>
      <c r="W3801" s="6"/>
      <c r="X3801" s="6"/>
      <c r="Y3801" s="6"/>
      <c r="Z3801" s="6"/>
      <c r="AA3801" s="7"/>
      <c r="AB3801" s="6"/>
      <c r="AC3801" s="6"/>
      <c r="AD3801" s="6"/>
      <c r="AE3801" s="12"/>
      <c r="AF3801" s="6"/>
      <c r="AG3801" s="12"/>
      <c r="AH3801" s="6"/>
      <c r="AI3801" s="6"/>
      <c r="AJ3801" s="12"/>
      <c r="AK3801" s="1"/>
      <c r="AL3801" s="12"/>
      <c r="AM3801" s="12"/>
      <c r="AN3801" s="1"/>
      <c r="AO3801" s="6"/>
    </row>
    <row r="3802" spans="1:41" ht="15" x14ac:dyDescent="0.25">
      <c r="A3802" s="1"/>
      <c r="B3802" s="1"/>
      <c r="C3802" s="1"/>
      <c r="D3802" s="1"/>
      <c r="E3802" s="6"/>
      <c r="F3802" s="1"/>
      <c r="G3802" s="6"/>
      <c r="H3802" s="6"/>
      <c r="I3802" s="6"/>
      <c r="J3802" s="6"/>
      <c r="K3802" s="6"/>
      <c r="L3802" s="6"/>
      <c r="M3802" s="6"/>
      <c r="N3802" s="6"/>
      <c r="O3802" s="7"/>
      <c r="P3802" s="6"/>
      <c r="Q3802" s="6"/>
      <c r="R3802" s="7"/>
      <c r="S3802" s="6"/>
      <c r="T3802" s="6"/>
      <c r="U3802" s="7"/>
      <c r="V3802" s="6"/>
      <c r="W3802" s="6"/>
      <c r="X3802" s="6"/>
      <c r="Y3802" s="6"/>
      <c r="Z3802" s="6"/>
      <c r="AA3802" s="7"/>
      <c r="AB3802" s="6"/>
      <c r="AC3802" s="6"/>
      <c r="AD3802" s="6"/>
      <c r="AE3802" s="12"/>
      <c r="AF3802" s="6"/>
      <c r="AG3802" s="12"/>
      <c r="AH3802" s="6"/>
      <c r="AI3802" s="6"/>
      <c r="AJ3802" s="12"/>
      <c r="AK3802" s="1"/>
      <c r="AL3802" s="12"/>
      <c r="AM3802" s="12"/>
      <c r="AN3802" s="1"/>
      <c r="AO3802" s="6"/>
    </row>
    <row r="3803" spans="1:41" ht="15" x14ac:dyDescent="0.25">
      <c r="A3803" s="1"/>
      <c r="B3803" s="1"/>
      <c r="C3803" s="1"/>
      <c r="D3803" s="1"/>
      <c r="E3803" s="6"/>
      <c r="F3803" s="1"/>
      <c r="G3803" s="6"/>
      <c r="H3803" s="6"/>
      <c r="I3803" s="6"/>
      <c r="J3803" s="6"/>
      <c r="K3803" s="6"/>
      <c r="L3803" s="6"/>
      <c r="M3803" s="6"/>
      <c r="N3803" s="6"/>
      <c r="O3803" s="7"/>
      <c r="P3803" s="6"/>
      <c r="Q3803" s="7"/>
      <c r="R3803" s="6"/>
      <c r="S3803" s="6"/>
      <c r="T3803" s="6"/>
      <c r="U3803" s="6"/>
      <c r="V3803" s="7"/>
      <c r="W3803" s="6"/>
      <c r="X3803" s="6"/>
      <c r="Y3803" s="6"/>
      <c r="Z3803" s="6"/>
      <c r="AA3803" s="1"/>
      <c r="AB3803" s="12"/>
      <c r="AC3803" s="12"/>
      <c r="AD3803" s="12"/>
      <c r="AE3803" s="12"/>
      <c r="AF3803" s="6"/>
      <c r="AG3803" s="12"/>
      <c r="AH3803" s="6"/>
      <c r="AI3803" s="6"/>
      <c r="AJ3803" s="12"/>
      <c r="AK3803" s="12"/>
      <c r="AL3803" s="12"/>
      <c r="AM3803" s="12"/>
      <c r="AN3803" s="1"/>
      <c r="AO3803" s="6"/>
    </row>
    <row r="3804" spans="1:41" ht="15" x14ac:dyDescent="0.25">
      <c r="A3804" s="1"/>
      <c r="B3804" s="1"/>
      <c r="C3804" s="1"/>
      <c r="D3804" s="1"/>
      <c r="E3804" s="6"/>
      <c r="F3804" s="1"/>
      <c r="G3804" s="6"/>
      <c r="H3804" s="6"/>
      <c r="I3804" s="6"/>
      <c r="J3804" s="6"/>
      <c r="K3804" s="6"/>
      <c r="L3804" s="6"/>
      <c r="M3804" s="6"/>
      <c r="N3804" s="6"/>
      <c r="O3804" s="7"/>
      <c r="P3804" s="6"/>
      <c r="Q3804" s="7"/>
      <c r="R3804" s="6"/>
      <c r="S3804" s="6"/>
      <c r="T3804" s="6"/>
      <c r="U3804" s="6"/>
      <c r="V3804" s="7"/>
      <c r="W3804" s="6"/>
      <c r="X3804" s="6"/>
      <c r="Y3804" s="6"/>
      <c r="Z3804" s="6"/>
      <c r="AA3804" s="1"/>
      <c r="AB3804" s="12"/>
      <c r="AC3804" s="12"/>
      <c r="AD3804" s="12"/>
      <c r="AE3804" s="12"/>
      <c r="AF3804" s="6"/>
      <c r="AG3804" s="12"/>
      <c r="AH3804" s="6"/>
      <c r="AI3804" s="6"/>
      <c r="AJ3804" s="12"/>
      <c r="AK3804" s="12"/>
      <c r="AL3804" s="12"/>
      <c r="AM3804" s="12"/>
      <c r="AN3804" s="1"/>
      <c r="AO3804" s="6"/>
    </row>
    <row r="3805" spans="1:41" ht="15" x14ac:dyDescent="0.25">
      <c r="A3805" s="1"/>
      <c r="B3805" s="1"/>
      <c r="C3805" s="1"/>
      <c r="D3805" s="1"/>
      <c r="E3805" s="6"/>
      <c r="F3805" s="1"/>
      <c r="G3805" s="6"/>
      <c r="H3805" s="6"/>
      <c r="I3805" s="6"/>
      <c r="J3805" s="6"/>
      <c r="K3805" s="6"/>
      <c r="L3805" s="6"/>
      <c r="M3805" s="6"/>
      <c r="N3805" s="6"/>
      <c r="O3805" s="7"/>
      <c r="P3805" s="6"/>
      <c r="Q3805" s="6"/>
      <c r="R3805" s="7"/>
      <c r="S3805" s="6"/>
      <c r="T3805" s="6"/>
      <c r="U3805" s="7"/>
      <c r="V3805" s="6"/>
      <c r="W3805" s="6"/>
      <c r="X3805" s="6"/>
      <c r="Y3805" s="6"/>
      <c r="Z3805" s="6"/>
      <c r="AA3805" s="7"/>
      <c r="AB3805" s="6"/>
      <c r="AC3805" s="6"/>
      <c r="AD3805" s="6"/>
      <c r="AE3805" s="12"/>
      <c r="AF3805" s="6"/>
      <c r="AG3805" s="12"/>
      <c r="AH3805" s="6"/>
      <c r="AI3805" s="6"/>
      <c r="AJ3805" s="12"/>
      <c r="AK3805" s="1"/>
      <c r="AL3805" s="12"/>
      <c r="AM3805" s="12"/>
      <c r="AN3805" s="1"/>
      <c r="AO3805" s="6"/>
    </row>
    <row r="3806" spans="1:41" ht="15" x14ac:dyDescent="0.25">
      <c r="A3806" s="1"/>
      <c r="B3806" s="1"/>
      <c r="C3806" s="1"/>
      <c r="D3806" s="1"/>
      <c r="E3806" s="6"/>
      <c r="F3806" s="1"/>
      <c r="G3806" s="6"/>
      <c r="H3806" s="6"/>
      <c r="I3806" s="6"/>
      <c r="J3806" s="6"/>
      <c r="K3806" s="6"/>
      <c r="L3806" s="6"/>
      <c r="M3806" s="6"/>
      <c r="N3806" s="6"/>
      <c r="O3806" s="7"/>
      <c r="P3806" s="6"/>
      <c r="Q3806" s="6"/>
      <c r="R3806" s="7"/>
      <c r="S3806" s="6"/>
      <c r="T3806" s="6"/>
      <c r="U3806" s="7"/>
      <c r="V3806" s="6"/>
      <c r="W3806" s="6"/>
      <c r="X3806" s="12"/>
      <c r="Y3806" s="6"/>
      <c r="Z3806" s="6"/>
      <c r="AA3806" s="7"/>
      <c r="AB3806" s="6"/>
      <c r="AC3806" s="6"/>
      <c r="AD3806" s="6"/>
      <c r="AE3806" s="12"/>
      <c r="AF3806" s="6"/>
      <c r="AG3806" s="12"/>
      <c r="AH3806" s="6"/>
      <c r="AI3806" s="6"/>
      <c r="AJ3806" s="12"/>
      <c r="AK3806" s="24"/>
      <c r="AL3806" s="25"/>
      <c r="AM3806" s="12"/>
      <c r="AN3806" s="1"/>
      <c r="AO3806" s="6"/>
    </row>
    <row r="3807" spans="1:41" ht="15" x14ac:dyDescent="0.25">
      <c r="A3807" s="1"/>
      <c r="B3807" s="1"/>
      <c r="C3807" s="1"/>
      <c r="D3807" s="1"/>
      <c r="E3807" s="6"/>
      <c r="F3807" s="1"/>
      <c r="G3807" s="6"/>
      <c r="H3807" s="6"/>
      <c r="I3807" s="6"/>
      <c r="J3807" s="6"/>
      <c r="K3807" s="6"/>
      <c r="L3807" s="6"/>
      <c r="M3807" s="6"/>
      <c r="N3807" s="6"/>
      <c r="O3807" s="7"/>
      <c r="P3807" s="12"/>
      <c r="Q3807" s="6"/>
      <c r="R3807" s="15"/>
      <c r="S3807" s="6"/>
      <c r="T3807" s="6"/>
      <c r="U3807" s="15"/>
      <c r="V3807" s="6"/>
      <c r="W3807" s="6"/>
      <c r="X3807" s="6"/>
      <c r="Y3807" s="6"/>
      <c r="Z3807" s="6"/>
      <c r="AA3807" s="7"/>
      <c r="AB3807" s="6"/>
      <c r="AC3807" s="6"/>
      <c r="AD3807" s="6"/>
      <c r="AE3807" s="12"/>
      <c r="AF3807" s="12"/>
      <c r="AG3807" s="12"/>
      <c r="AH3807" s="12"/>
      <c r="AI3807" s="6"/>
      <c r="AJ3807" s="12"/>
      <c r="AK3807" s="1"/>
      <c r="AL3807" s="12"/>
      <c r="AM3807" s="12"/>
      <c r="AN3807" s="1"/>
      <c r="AO3807" s="6"/>
    </row>
    <row r="3808" spans="1:41" ht="15" x14ac:dyDescent="0.25">
      <c r="A3808" s="1"/>
      <c r="B3808" s="1"/>
      <c r="C3808" s="1"/>
      <c r="D3808" s="1"/>
      <c r="E3808" s="6"/>
      <c r="F3808" s="1"/>
      <c r="G3808" s="6"/>
      <c r="H3808" s="6"/>
      <c r="I3808" s="6"/>
      <c r="J3808" s="6"/>
      <c r="K3808" s="6"/>
      <c r="L3808" s="6"/>
      <c r="M3808" s="6"/>
      <c r="N3808" s="6"/>
      <c r="O3808" s="7"/>
      <c r="P3808" s="6"/>
      <c r="Q3808" s="6"/>
      <c r="R3808" s="7"/>
      <c r="S3808" s="6"/>
      <c r="T3808" s="6"/>
      <c r="U3808" s="7"/>
      <c r="V3808" s="6"/>
      <c r="W3808" s="6"/>
      <c r="X3808" s="12"/>
      <c r="Y3808" s="6"/>
      <c r="Z3808" s="6"/>
      <c r="AA3808" s="7"/>
      <c r="AB3808" s="6"/>
      <c r="AC3808" s="6"/>
      <c r="AD3808" s="6"/>
      <c r="AE3808" s="12"/>
      <c r="AF3808" s="12"/>
      <c r="AG3808" s="12"/>
      <c r="AH3808" s="12"/>
      <c r="AI3808" s="6"/>
      <c r="AJ3808" s="12"/>
      <c r="AK3808" s="1"/>
      <c r="AL3808" s="12"/>
      <c r="AM3808" s="12"/>
      <c r="AN3808" s="1"/>
      <c r="AO3808" s="12"/>
    </row>
    <row r="3809" spans="1:41" ht="15" x14ac:dyDescent="0.25">
      <c r="A3809" s="1"/>
      <c r="B3809" s="1"/>
      <c r="C3809" s="1"/>
      <c r="D3809" s="1"/>
      <c r="E3809" s="6"/>
      <c r="F3809" s="1"/>
      <c r="G3809" s="6"/>
      <c r="H3809" s="6"/>
      <c r="I3809" s="6"/>
      <c r="J3809" s="6"/>
      <c r="K3809" s="6"/>
      <c r="L3809" s="6"/>
      <c r="M3809" s="6"/>
      <c r="N3809" s="6"/>
      <c r="O3809" s="7"/>
      <c r="P3809" s="6"/>
      <c r="Q3809" s="6"/>
      <c r="R3809" s="7"/>
      <c r="S3809" s="6"/>
      <c r="T3809" s="6"/>
      <c r="U3809" s="7"/>
      <c r="V3809" s="6"/>
      <c r="W3809" s="6"/>
      <c r="X3809" s="12"/>
      <c r="Y3809" s="6"/>
      <c r="Z3809" s="6"/>
      <c r="AA3809" s="7"/>
      <c r="AB3809" s="6"/>
      <c r="AC3809" s="6"/>
      <c r="AD3809" s="6"/>
      <c r="AE3809" s="12"/>
      <c r="AF3809" s="12"/>
      <c r="AG3809" s="12"/>
      <c r="AH3809" s="12"/>
      <c r="AI3809" s="6"/>
      <c r="AJ3809" s="12"/>
      <c r="AK3809" s="1"/>
      <c r="AL3809" s="12"/>
      <c r="AM3809" s="12"/>
      <c r="AN3809" s="1"/>
      <c r="AO3809" s="6"/>
    </row>
    <row r="3810" spans="1:41" ht="15" x14ac:dyDescent="0.25">
      <c r="A3810" s="1"/>
      <c r="B3810" s="1"/>
      <c r="C3810" s="1"/>
      <c r="D3810" s="1"/>
      <c r="E3810" s="6"/>
      <c r="F3810" s="1"/>
      <c r="G3810" s="6"/>
      <c r="H3810" s="6"/>
      <c r="I3810" s="6"/>
      <c r="J3810" s="6"/>
      <c r="K3810" s="6"/>
      <c r="L3810" s="6"/>
      <c r="M3810" s="6"/>
      <c r="N3810" s="6"/>
      <c r="O3810" s="7"/>
      <c r="P3810" s="6"/>
      <c r="Q3810" s="6"/>
      <c r="R3810" s="7"/>
      <c r="S3810" s="6"/>
      <c r="T3810" s="6"/>
      <c r="U3810" s="7"/>
      <c r="V3810" s="6"/>
      <c r="W3810" s="6"/>
      <c r="X3810" s="6"/>
      <c r="Y3810" s="6"/>
      <c r="Z3810" s="6"/>
      <c r="AA3810" s="7"/>
      <c r="AB3810" s="6"/>
      <c r="AC3810" s="6"/>
      <c r="AD3810" s="6"/>
      <c r="AE3810" s="12"/>
      <c r="AF3810" s="12"/>
      <c r="AG3810" s="12"/>
      <c r="AH3810" s="12"/>
      <c r="AI3810" s="6"/>
      <c r="AJ3810" s="12"/>
      <c r="AK3810" s="1"/>
      <c r="AL3810" s="12"/>
      <c r="AM3810" s="12"/>
      <c r="AN3810" s="1"/>
      <c r="AO3810" s="6"/>
    </row>
    <row r="3811" spans="1:41" ht="15" x14ac:dyDescent="0.25">
      <c r="A3811" s="1"/>
      <c r="B3811" s="1"/>
      <c r="C3811" s="1"/>
      <c r="D3811" s="1"/>
      <c r="E3811" s="6"/>
      <c r="F3811" s="1"/>
      <c r="G3811" s="6"/>
      <c r="H3811" s="6"/>
      <c r="I3811" s="6"/>
      <c r="J3811" s="6"/>
      <c r="K3811" s="12"/>
      <c r="L3811" s="12"/>
      <c r="M3811" s="6"/>
      <c r="N3811" s="6"/>
      <c r="O3811" s="7"/>
      <c r="P3811" s="6"/>
      <c r="Q3811" s="6"/>
      <c r="R3811" s="7"/>
      <c r="S3811" s="6"/>
      <c r="T3811" s="6"/>
      <c r="U3811" s="7"/>
      <c r="V3811" s="6"/>
      <c r="W3811" s="6"/>
      <c r="X3811" s="6"/>
      <c r="Y3811" s="6"/>
      <c r="Z3811" s="6"/>
      <c r="AA3811" s="7"/>
      <c r="AB3811" s="6"/>
      <c r="AC3811" s="6"/>
      <c r="AD3811" s="6"/>
      <c r="AE3811" s="12"/>
      <c r="AF3811" s="12"/>
      <c r="AG3811" s="12"/>
      <c r="AH3811" s="12"/>
      <c r="AI3811" s="6"/>
      <c r="AJ3811" s="12"/>
      <c r="AK3811" s="1"/>
      <c r="AL3811" s="12"/>
      <c r="AM3811" s="12"/>
      <c r="AN3811" s="1"/>
      <c r="AO3811" s="6"/>
    </row>
    <row r="3812" spans="1:41" ht="15" x14ac:dyDescent="0.25">
      <c r="A3812" s="1"/>
      <c r="B3812" s="1"/>
      <c r="C3812" s="1"/>
      <c r="D3812" s="1"/>
      <c r="E3812" s="6"/>
      <c r="F3812" s="1"/>
      <c r="G3812" s="6"/>
      <c r="H3812" s="6"/>
      <c r="I3812" s="6"/>
      <c r="J3812" s="6"/>
      <c r="K3812" s="6"/>
      <c r="L3812" s="6"/>
      <c r="M3812" s="6"/>
      <c r="N3812" s="6"/>
      <c r="O3812" s="7"/>
      <c r="P3812" s="6"/>
      <c r="Q3812" s="6"/>
      <c r="R3812" s="7"/>
      <c r="S3812" s="6"/>
      <c r="T3812" s="6"/>
      <c r="U3812" s="7"/>
      <c r="V3812" s="6"/>
      <c r="W3812" s="6"/>
      <c r="X3812" s="12"/>
      <c r="Y3812" s="6"/>
      <c r="Z3812" s="6"/>
      <c r="AA3812" s="7"/>
      <c r="AB3812" s="6"/>
      <c r="AC3812" s="6"/>
      <c r="AD3812" s="6"/>
      <c r="AE3812" s="12"/>
      <c r="AF3812" s="12"/>
      <c r="AG3812" s="12"/>
      <c r="AH3812" s="12"/>
      <c r="AI3812" s="6"/>
      <c r="AJ3812" s="12"/>
      <c r="AK3812" s="1"/>
      <c r="AL3812" s="12"/>
      <c r="AM3812" s="12"/>
      <c r="AN3812" s="1"/>
      <c r="AO3812" s="6"/>
    </row>
    <row r="3813" spans="1:41" ht="15" x14ac:dyDescent="0.25">
      <c r="A3813" s="1"/>
      <c r="B3813" s="1"/>
      <c r="C3813" s="1"/>
      <c r="D3813" s="1"/>
      <c r="E3813" s="6"/>
      <c r="F3813" s="1"/>
      <c r="G3813" s="6"/>
      <c r="H3813" s="6"/>
      <c r="I3813" s="6"/>
      <c r="J3813" s="6"/>
      <c r="K3813" s="6"/>
      <c r="L3813" s="6"/>
      <c r="M3813" s="6"/>
      <c r="N3813" s="6"/>
      <c r="O3813" s="7"/>
      <c r="P3813" s="6"/>
      <c r="Q3813" s="6"/>
      <c r="R3813" s="7"/>
      <c r="S3813" s="6"/>
      <c r="T3813" s="6"/>
      <c r="U3813" s="7"/>
      <c r="V3813" s="6"/>
      <c r="W3813" s="6"/>
      <c r="X3813" s="12"/>
      <c r="Y3813" s="6"/>
      <c r="Z3813" s="6"/>
      <c r="AA3813" s="7"/>
      <c r="AB3813" s="6"/>
      <c r="AC3813" s="6"/>
      <c r="AD3813" s="6"/>
      <c r="AE3813" s="12"/>
      <c r="AF3813" s="12"/>
      <c r="AG3813" s="12"/>
      <c r="AH3813" s="12"/>
      <c r="AI3813" s="6"/>
      <c r="AJ3813" s="12"/>
      <c r="AK3813" s="1"/>
      <c r="AL3813" s="12"/>
      <c r="AM3813" s="12"/>
      <c r="AN3813" s="1"/>
      <c r="AO3813" s="6"/>
    </row>
    <row r="3814" spans="1:41" ht="15" x14ac:dyDescent="0.25">
      <c r="A3814" s="1"/>
      <c r="B3814" s="1"/>
      <c r="C3814" s="1"/>
      <c r="D3814" s="1"/>
      <c r="E3814" s="6"/>
      <c r="F3814" s="1"/>
      <c r="G3814" s="6"/>
      <c r="H3814" s="6"/>
      <c r="I3814" s="6"/>
      <c r="J3814" s="6"/>
      <c r="K3814" s="6"/>
      <c r="L3814" s="6"/>
      <c r="M3814" s="6"/>
      <c r="N3814" s="6"/>
      <c r="O3814" s="7"/>
      <c r="P3814" s="6"/>
      <c r="Q3814" s="6"/>
      <c r="R3814" s="7"/>
      <c r="S3814" s="6"/>
      <c r="T3814" s="6"/>
      <c r="U3814" s="7"/>
      <c r="V3814" s="6"/>
      <c r="W3814" s="6"/>
      <c r="X3814" s="12"/>
      <c r="Y3814" s="6"/>
      <c r="Z3814" s="6"/>
      <c r="AA3814" s="7"/>
      <c r="AB3814" s="6"/>
      <c r="AC3814" s="6"/>
      <c r="AD3814" s="6"/>
      <c r="AE3814" s="12"/>
      <c r="AF3814" s="12"/>
      <c r="AG3814" s="12"/>
      <c r="AH3814" s="12"/>
      <c r="AI3814" s="6"/>
      <c r="AJ3814" s="12"/>
      <c r="AK3814" s="24"/>
      <c r="AL3814" s="25"/>
      <c r="AM3814" s="12"/>
      <c r="AN3814" s="1"/>
      <c r="AO3814" s="6"/>
    </row>
    <row r="3815" spans="1:41" ht="15" x14ac:dyDescent="0.25">
      <c r="A3815" s="1"/>
      <c r="B3815" s="1"/>
      <c r="C3815" s="1"/>
      <c r="D3815" s="1"/>
      <c r="E3815" s="6"/>
      <c r="F3815" s="1"/>
      <c r="G3815" s="6"/>
      <c r="H3815" s="6"/>
      <c r="I3815" s="6"/>
      <c r="J3815" s="6"/>
      <c r="K3815" s="6"/>
      <c r="L3815" s="6"/>
      <c r="M3815" s="6"/>
      <c r="N3815" s="6"/>
      <c r="O3815" s="7"/>
      <c r="P3815" s="6"/>
      <c r="Q3815" s="6"/>
      <c r="R3815" s="7"/>
      <c r="S3815" s="6"/>
      <c r="T3815" s="6"/>
      <c r="U3815" s="7"/>
      <c r="V3815" s="6"/>
      <c r="W3815" s="6"/>
      <c r="X3815" s="12"/>
      <c r="Y3815" s="6"/>
      <c r="Z3815" s="6"/>
      <c r="AA3815" s="7"/>
      <c r="AB3815" s="6"/>
      <c r="AC3815" s="6"/>
      <c r="AD3815" s="6"/>
      <c r="AE3815" s="12"/>
      <c r="AF3815" s="12"/>
      <c r="AG3815" s="12"/>
      <c r="AH3815" s="12"/>
      <c r="AI3815" s="6"/>
      <c r="AJ3815" s="12"/>
      <c r="AK3815" s="24"/>
      <c r="AL3815" s="25"/>
      <c r="AM3815" s="12"/>
      <c r="AN3815" s="1"/>
      <c r="AO3815" s="6"/>
    </row>
    <row r="3816" spans="1:41" ht="15" x14ac:dyDescent="0.25">
      <c r="A3816" s="1"/>
      <c r="B3816" s="1"/>
      <c r="C3816" s="1"/>
      <c r="D3816" s="1"/>
      <c r="E3816" s="6"/>
      <c r="F3816" s="1"/>
      <c r="G3816" s="6"/>
      <c r="H3816" s="6"/>
      <c r="I3816" s="6"/>
      <c r="J3816" s="6"/>
      <c r="K3816" s="6"/>
      <c r="L3816" s="6"/>
      <c r="M3816" s="6"/>
      <c r="N3816" s="6"/>
      <c r="O3816" s="7"/>
      <c r="P3816" s="6"/>
      <c r="Q3816" s="6"/>
      <c r="R3816" s="7"/>
      <c r="S3816" s="6"/>
      <c r="T3816" s="6"/>
      <c r="U3816" s="7"/>
      <c r="V3816" s="6"/>
      <c r="W3816" s="6"/>
      <c r="X3816" s="12"/>
      <c r="Y3816" s="6"/>
      <c r="Z3816" s="6"/>
      <c r="AA3816" s="7"/>
      <c r="AB3816" s="6"/>
      <c r="AC3816" s="6"/>
      <c r="AD3816" s="6"/>
      <c r="AE3816" s="12"/>
      <c r="AF3816" s="6"/>
      <c r="AG3816" s="12"/>
      <c r="AH3816" s="6"/>
      <c r="AI3816" s="6"/>
      <c r="AJ3816" s="12"/>
      <c r="AK3816" s="1"/>
      <c r="AL3816" s="12"/>
      <c r="AM3816" s="12"/>
      <c r="AN3816" s="1"/>
      <c r="AO3816" s="6"/>
    </row>
    <row r="3817" spans="1:41" ht="15" x14ac:dyDescent="0.25">
      <c r="A3817" s="1"/>
      <c r="B3817" s="1"/>
      <c r="C3817" s="1"/>
      <c r="D3817" s="1"/>
      <c r="E3817" s="6"/>
      <c r="F3817" s="1"/>
      <c r="G3817" s="6"/>
      <c r="H3817" s="6"/>
      <c r="I3817" s="6"/>
      <c r="J3817" s="6"/>
      <c r="K3817" s="6"/>
      <c r="L3817" s="6"/>
      <c r="M3817" s="6"/>
      <c r="N3817" s="6"/>
      <c r="O3817" s="7"/>
      <c r="P3817" s="6"/>
      <c r="Q3817" s="6"/>
      <c r="R3817" s="7"/>
      <c r="S3817" s="6"/>
      <c r="T3817" s="6"/>
      <c r="U3817" s="7"/>
      <c r="V3817" s="6"/>
      <c r="W3817" s="6"/>
      <c r="X3817" s="12"/>
      <c r="Y3817" s="6"/>
      <c r="Z3817" s="6"/>
      <c r="AA3817" s="7"/>
      <c r="AB3817" s="6"/>
      <c r="AC3817" s="6"/>
      <c r="AD3817" s="6"/>
      <c r="AE3817" s="12"/>
      <c r="AF3817" s="6"/>
      <c r="AG3817" s="12"/>
      <c r="AH3817" s="6"/>
      <c r="AI3817" s="6"/>
      <c r="AJ3817" s="12"/>
      <c r="AK3817" s="1"/>
      <c r="AL3817" s="12"/>
      <c r="AM3817" s="12"/>
      <c r="AN3817" s="1"/>
      <c r="AO3817" s="6"/>
    </row>
    <row r="3818" spans="1:41" ht="15" x14ac:dyDescent="0.25">
      <c r="A3818" s="1"/>
      <c r="B3818" s="1"/>
      <c r="C3818" s="1"/>
      <c r="D3818" s="1"/>
      <c r="E3818" s="6"/>
      <c r="F3818" s="1"/>
      <c r="G3818" s="6"/>
      <c r="H3818" s="6"/>
      <c r="I3818" s="6"/>
      <c r="J3818" s="6"/>
      <c r="K3818" s="6"/>
      <c r="L3818" s="6"/>
      <c r="M3818" s="6"/>
      <c r="N3818" s="6"/>
      <c r="O3818" s="7"/>
      <c r="P3818" s="12"/>
      <c r="Q3818" s="6"/>
      <c r="R3818" s="7"/>
      <c r="S3818" s="6"/>
      <c r="T3818" s="6"/>
      <c r="U3818" s="7"/>
      <c r="V3818" s="6"/>
      <c r="W3818" s="6"/>
      <c r="X3818" s="6"/>
      <c r="Y3818" s="6"/>
      <c r="Z3818" s="6"/>
      <c r="AA3818" s="7"/>
      <c r="AB3818" s="6"/>
      <c r="AC3818" s="6"/>
      <c r="AD3818" s="6"/>
      <c r="AE3818" s="12"/>
      <c r="AF3818" s="12"/>
      <c r="AG3818" s="12"/>
      <c r="AH3818" s="12"/>
      <c r="AI3818" s="6"/>
      <c r="AJ3818" s="12"/>
      <c r="AK3818" s="1"/>
      <c r="AL3818" s="12"/>
      <c r="AM3818" s="12"/>
      <c r="AN3818" s="1"/>
      <c r="AO3818" s="6"/>
    </row>
    <row r="3819" spans="1:41" ht="15" x14ac:dyDescent="0.25">
      <c r="A3819" s="1"/>
      <c r="B3819" s="1"/>
      <c r="C3819" s="1"/>
      <c r="D3819" s="1"/>
      <c r="E3819" s="6"/>
      <c r="F3819" s="1"/>
      <c r="G3819" s="6"/>
      <c r="H3819" s="6"/>
      <c r="I3819" s="6"/>
      <c r="J3819" s="6"/>
      <c r="K3819" s="12"/>
      <c r="L3819" s="12"/>
      <c r="M3819" s="6"/>
      <c r="N3819" s="6"/>
      <c r="O3819" s="7"/>
      <c r="P3819" s="6"/>
      <c r="Q3819" s="6"/>
      <c r="R3819" s="7"/>
      <c r="S3819" s="6"/>
      <c r="T3819" s="6"/>
      <c r="U3819" s="7"/>
      <c r="V3819" s="6"/>
      <c r="W3819" s="6"/>
      <c r="X3819" s="6"/>
      <c r="Y3819" s="6"/>
      <c r="Z3819" s="6"/>
      <c r="AA3819" s="7"/>
      <c r="AB3819" s="6"/>
      <c r="AC3819" s="6"/>
      <c r="AD3819" s="6"/>
      <c r="AE3819" s="12"/>
      <c r="AF3819" s="12"/>
      <c r="AG3819" s="12"/>
      <c r="AH3819" s="12"/>
      <c r="AI3819" s="6"/>
      <c r="AJ3819" s="12"/>
      <c r="AK3819" s="1"/>
      <c r="AL3819" s="12"/>
      <c r="AM3819" s="12"/>
      <c r="AN3819" s="1"/>
      <c r="AO3819" s="6"/>
    </row>
    <row r="3820" spans="1:41" ht="15" x14ac:dyDescent="0.25">
      <c r="A3820" s="1"/>
      <c r="B3820" s="1"/>
      <c r="C3820" s="1"/>
      <c r="D3820" s="1"/>
      <c r="E3820" s="6"/>
      <c r="F3820" s="1"/>
      <c r="G3820" s="6"/>
      <c r="H3820" s="6"/>
      <c r="I3820" s="6"/>
      <c r="J3820" s="6"/>
      <c r="K3820" s="6"/>
      <c r="L3820" s="6"/>
      <c r="M3820" s="6"/>
      <c r="N3820" s="6"/>
      <c r="O3820" s="7"/>
      <c r="P3820" s="12"/>
      <c r="Q3820" s="6"/>
      <c r="R3820" s="7"/>
      <c r="S3820" s="6"/>
      <c r="T3820" s="6"/>
      <c r="U3820" s="7"/>
      <c r="V3820" s="6"/>
      <c r="W3820" s="6"/>
      <c r="X3820" s="12"/>
      <c r="Y3820" s="6"/>
      <c r="Z3820" s="6"/>
      <c r="AA3820" s="7"/>
      <c r="AB3820" s="6"/>
      <c r="AC3820" s="6"/>
      <c r="AD3820" s="6"/>
      <c r="AE3820" s="12"/>
      <c r="AF3820" s="12"/>
      <c r="AG3820" s="12"/>
      <c r="AH3820" s="12"/>
      <c r="AI3820" s="6"/>
      <c r="AJ3820" s="12"/>
      <c r="AK3820" s="1"/>
      <c r="AL3820" s="12"/>
      <c r="AM3820" s="12"/>
      <c r="AN3820" s="1"/>
      <c r="AO3820" s="6"/>
    </row>
    <row r="3821" spans="1:41" ht="15" x14ac:dyDescent="0.25">
      <c r="A3821" s="1"/>
      <c r="B3821" s="1"/>
      <c r="C3821" s="1"/>
      <c r="D3821" s="1"/>
      <c r="E3821" s="6"/>
      <c r="F3821" s="1"/>
      <c r="G3821" s="6"/>
      <c r="H3821" s="6"/>
      <c r="I3821" s="6"/>
      <c r="J3821" s="6"/>
      <c r="K3821" s="6"/>
      <c r="L3821" s="6"/>
      <c r="M3821" s="6"/>
      <c r="N3821" s="6"/>
      <c r="O3821" s="7"/>
      <c r="P3821" s="6"/>
      <c r="Q3821" s="7"/>
      <c r="R3821" s="6"/>
      <c r="S3821" s="12"/>
      <c r="T3821" s="6"/>
      <c r="U3821" s="6"/>
      <c r="V3821" s="7"/>
      <c r="W3821" s="7"/>
      <c r="X3821" s="6"/>
      <c r="Y3821" s="6"/>
      <c r="Z3821" s="6"/>
      <c r="AA3821" s="1"/>
      <c r="AB3821" s="12"/>
      <c r="AC3821" s="12"/>
      <c r="AD3821" s="12"/>
      <c r="AE3821" s="12"/>
      <c r="AF3821" s="12"/>
      <c r="AG3821" s="12"/>
      <c r="AH3821" s="12"/>
      <c r="AI3821" s="6"/>
      <c r="AJ3821" s="12"/>
      <c r="AK3821" s="12"/>
      <c r="AL3821" s="12"/>
      <c r="AM3821" s="12"/>
      <c r="AN3821" s="1"/>
      <c r="AO3821" s="6"/>
    </row>
    <row r="3822" spans="1:41" ht="15" x14ac:dyDescent="0.25">
      <c r="A3822" s="1"/>
      <c r="B3822" s="1"/>
      <c r="C3822" s="1"/>
      <c r="D3822" s="1"/>
      <c r="E3822" s="6"/>
      <c r="F3822" s="1"/>
      <c r="G3822" s="6"/>
      <c r="H3822" s="6"/>
      <c r="I3822" s="6"/>
      <c r="J3822" s="6"/>
      <c r="K3822" s="6"/>
      <c r="L3822" s="6"/>
      <c r="M3822" s="6"/>
      <c r="N3822" s="6"/>
      <c r="O3822" s="7"/>
      <c r="P3822" s="6"/>
      <c r="Q3822" s="6"/>
      <c r="R3822" s="7"/>
      <c r="S3822" s="6"/>
      <c r="T3822" s="6"/>
      <c r="U3822" s="7"/>
      <c r="V3822" s="6"/>
      <c r="W3822" s="6"/>
      <c r="X3822" s="6"/>
      <c r="Y3822" s="6"/>
      <c r="Z3822" s="6"/>
      <c r="AA3822" s="7"/>
      <c r="AB3822" s="6"/>
      <c r="AC3822" s="6"/>
      <c r="AD3822" s="6"/>
      <c r="AE3822" s="12"/>
      <c r="AF3822" s="6"/>
      <c r="AG3822" s="12"/>
      <c r="AH3822" s="6"/>
      <c r="AI3822" s="6"/>
      <c r="AJ3822" s="12"/>
      <c r="AK3822" s="1"/>
      <c r="AL3822" s="12"/>
      <c r="AM3822" s="12"/>
      <c r="AN3822" s="1"/>
      <c r="AO3822" s="6"/>
    </row>
    <row r="3823" spans="1:41" ht="15" x14ac:dyDescent="0.25">
      <c r="A3823" s="1"/>
      <c r="B3823" s="1"/>
      <c r="C3823" s="1"/>
      <c r="D3823" s="1"/>
      <c r="E3823" s="6"/>
      <c r="F3823" s="1"/>
      <c r="G3823" s="6"/>
      <c r="H3823" s="6"/>
      <c r="I3823" s="6"/>
      <c r="J3823" s="6"/>
      <c r="K3823" s="6"/>
      <c r="L3823" s="6"/>
      <c r="M3823" s="6"/>
      <c r="N3823" s="6"/>
      <c r="O3823" s="7"/>
      <c r="P3823" s="6"/>
      <c r="Q3823" s="6"/>
      <c r="R3823" s="7"/>
      <c r="S3823" s="6"/>
      <c r="T3823" s="6"/>
      <c r="U3823" s="7"/>
      <c r="V3823" s="6"/>
      <c r="W3823" s="6"/>
      <c r="X3823" s="6"/>
      <c r="Y3823" s="6"/>
      <c r="Z3823" s="6"/>
      <c r="AA3823" s="7"/>
      <c r="AB3823" s="6"/>
      <c r="AC3823" s="6"/>
      <c r="AD3823" s="6"/>
      <c r="AE3823" s="12"/>
      <c r="AF3823" s="12"/>
      <c r="AG3823" s="12"/>
      <c r="AH3823" s="12"/>
      <c r="AI3823" s="6"/>
      <c r="AJ3823" s="12"/>
      <c r="AK3823" s="1"/>
      <c r="AL3823" s="12"/>
      <c r="AM3823" s="12"/>
      <c r="AN3823" s="1"/>
      <c r="AO3823" s="6"/>
    </row>
    <row r="3824" spans="1:41" ht="15" x14ac:dyDescent="0.25">
      <c r="A3824" s="1"/>
      <c r="B3824" s="1"/>
      <c r="C3824" s="1"/>
      <c r="D3824" s="1"/>
      <c r="E3824" s="6"/>
      <c r="F3824" s="1"/>
      <c r="G3824" s="6"/>
      <c r="H3824" s="6"/>
      <c r="I3824" s="6"/>
      <c r="J3824" s="6"/>
      <c r="K3824" s="6"/>
      <c r="L3824" s="6"/>
      <c r="M3824" s="6"/>
      <c r="N3824" s="6"/>
      <c r="O3824" s="7"/>
      <c r="P3824" s="6"/>
      <c r="Q3824" s="6"/>
      <c r="R3824" s="7"/>
      <c r="S3824" s="6"/>
      <c r="T3824" s="6"/>
      <c r="U3824" s="7"/>
      <c r="V3824" s="6"/>
      <c r="W3824" s="6"/>
      <c r="X3824" s="12"/>
      <c r="Y3824" s="6"/>
      <c r="Z3824" s="6"/>
      <c r="AA3824" s="7"/>
      <c r="AB3824" s="6"/>
      <c r="AC3824" s="6"/>
      <c r="AD3824" s="6"/>
      <c r="AE3824" s="12"/>
      <c r="AF3824" s="6"/>
      <c r="AG3824" s="12"/>
      <c r="AH3824" s="6"/>
      <c r="AI3824" s="6"/>
      <c r="AJ3824" s="12"/>
      <c r="AK3824" s="1"/>
      <c r="AL3824" s="12"/>
      <c r="AM3824" s="12"/>
      <c r="AN3824" s="1"/>
      <c r="AO3824" s="6"/>
    </row>
    <row r="3825" spans="1:41" ht="15" x14ac:dyDescent="0.25">
      <c r="A3825" s="1"/>
      <c r="B3825" s="1"/>
      <c r="C3825" s="1"/>
      <c r="D3825" s="1"/>
      <c r="E3825" s="6"/>
      <c r="F3825" s="1"/>
      <c r="G3825" s="6"/>
      <c r="H3825" s="6"/>
      <c r="I3825" s="6"/>
      <c r="J3825" s="6"/>
      <c r="K3825" s="6"/>
      <c r="L3825" s="6"/>
      <c r="M3825" s="6"/>
      <c r="N3825" s="6"/>
      <c r="O3825" s="7"/>
      <c r="P3825" s="6"/>
      <c r="Q3825" s="6"/>
      <c r="R3825" s="7"/>
      <c r="S3825" s="6"/>
      <c r="T3825" s="6"/>
      <c r="U3825" s="7"/>
      <c r="V3825" s="6"/>
      <c r="W3825" s="6"/>
      <c r="X3825" s="12"/>
      <c r="Y3825" s="6"/>
      <c r="Z3825" s="6"/>
      <c r="AA3825" s="7"/>
      <c r="AB3825" s="6"/>
      <c r="AC3825" s="6"/>
      <c r="AD3825" s="6"/>
      <c r="AE3825" s="12"/>
      <c r="AF3825" s="6"/>
      <c r="AG3825" s="12"/>
      <c r="AH3825" s="6"/>
      <c r="AI3825" s="6"/>
      <c r="AJ3825" s="12"/>
      <c r="AK3825" s="1"/>
      <c r="AL3825" s="12"/>
      <c r="AM3825" s="12"/>
      <c r="AN3825" s="1"/>
      <c r="AO3825" s="6"/>
    </row>
    <row r="3826" spans="1:41" ht="15" x14ac:dyDescent="0.25">
      <c r="A3826" s="1"/>
      <c r="B3826" s="1"/>
      <c r="C3826" s="1"/>
      <c r="D3826" s="1"/>
      <c r="E3826" s="6"/>
      <c r="F3826" s="1"/>
      <c r="G3826" s="6"/>
      <c r="H3826" s="6"/>
      <c r="I3826" s="6"/>
      <c r="J3826" s="6"/>
      <c r="K3826" s="6"/>
      <c r="L3826" s="6"/>
      <c r="M3826" s="6"/>
      <c r="N3826" s="6"/>
      <c r="O3826" s="7"/>
      <c r="P3826" s="6"/>
      <c r="Q3826" s="6"/>
      <c r="R3826" s="7"/>
      <c r="S3826" s="6"/>
      <c r="T3826" s="6"/>
      <c r="U3826" s="7"/>
      <c r="V3826" s="6"/>
      <c r="W3826" s="6"/>
      <c r="X3826" s="6"/>
      <c r="Y3826" s="6"/>
      <c r="Z3826" s="6"/>
      <c r="AA3826" s="7"/>
      <c r="AB3826" s="6"/>
      <c r="AC3826" s="6"/>
      <c r="AD3826" s="6"/>
      <c r="AE3826" s="12"/>
      <c r="AF3826" s="12"/>
      <c r="AG3826" s="12"/>
      <c r="AH3826" s="12"/>
      <c r="AI3826" s="6"/>
      <c r="AJ3826" s="12"/>
      <c r="AK3826" s="1"/>
      <c r="AL3826" s="12"/>
      <c r="AM3826" s="12"/>
      <c r="AN3826" s="1"/>
      <c r="AO3826" s="6"/>
    </row>
    <row r="3827" spans="1:41" ht="15" x14ac:dyDescent="0.25">
      <c r="A3827" s="1"/>
      <c r="B3827" s="1"/>
      <c r="C3827" s="1"/>
      <c r="D3827" s="1"/>
      <c r="E3827" s="6"/>
      <c r="F3827" s="1"/>
      <c r="G3827" s="6"/>
      <c r="H3827" s="6"/>
      <c r="I3827" s="6"/>
      <c r="J3827" s="6"/>
      <c r="K3827" s="6"/>
      <c r="L3827" s="6"/>
      <c r="M3827" s="6"/>
      <c r="N3827" s="6"/>
      <c r="O3827" s="7"/>
      <c r="P3827" s="6"/>
      <c r="Q3827" s="7"/>
      <c r="R3827" s="6"/>
      <c r="S3827" s="6"/>
      <c r="T3827" s="6"/>
      <c r="U3827" s="6"/>
      <c r="V3827" s="7"/>
      <c r="W3827" s="7"/>
      <c r="X3827" s="6"/>
      <c r="Y3827" s="6"/>
      <c r="Z3827" s="6"/>
      <c r="AA3827" s="1"/>
      <c r="AB3827" s="12"/>
      <c r="AC3827" s="12"/>
      <c r="AD3827" s="12"/>
      <c r="AE3827" s="12"/>
      <c r="AF3827" s="12"/>
      <c r="AG3827" s="12"/>
      <c r="AH3827" s="12"/>
      <c r="AI3827" s="6"/>
      <c r="AJ3827" s="12"/>
      <c r="AK3827" s="12"/>
      <c r="AL3827" s="12"/>
      <c r="AM3827" s="12"/>
      <c r="AN3827" s="1"/>
      <c r="AO3827" s="6"/>
    </row>
    <row r="3828" spans="1:41" ht="15" x14ac:dyDescent="0.25">
      <c r="A3828" s="1"/>
      <c r="B3828" s="1"/>
      <c r="C3828" s="1"/>
      <c r="D3828" s="1"/>
      <c r="E3828" s="6"/>
      <c r="F3828" s="1"/>
      <c r="G3828" s="6"/>
      <c r="H3828" s="6"/>
      <c r="I3828" s="6"/>
      <c r="J3828" s="6"/>
      <c r="K3828" s="6"/>
      <c r="L3828" s="6"/>
      <c r="M3828" s="6"/>
      <c r="N3828" s="6"/>
      <c r="O3828" s="7"/>
      <c r="P3828" s="6"/>
      <c r="Q3828" s="6"/>
      <c r="R3828" s="7"/>
      <c r="S3828" s="6"/>
      <c r="T3828" s="6"/>
      <c r="U3828" s="7"/>
      <c r="V3828" s="6"/>
      <c r="W3828" s="6"/>
      <c r="X3828" s="6"/>
      <c r="Y3828" s="6"/>
      <c r="Z3828" s="6"/>
      <c r="AA3828" s="7"/>
      <c r="AB3828" s="6"/>
      <c r="AC3828" s="6"/>
      <c r="AD3828" s="6"/>
      <c r="AE3828" s="12"/>
      <c r="AF3828" s="6"/>
      <c r="AG3828" s="12"/>
      <c r="AH3828" s="6"/>
      <c r="AI3828" s="6"/>
      <c r="AJ3828" s="12"/>
      <c r="AK3828" s="24"/>
      <c r="AL3828" s="25"/>
      <c r="AM3828" s="12"/>
      <c r="AN3828" s="1"/>
      <c r="AO3828" s="6"/>
    </row>
    <row r="3829" spans="1:41" ht="15" x14ac:dyDescent="0.25">
      <c r="A3829" s="1"/>
      <c r="B3829" s="1"/>
      <c r="C3829" s="1"/>
      <c r="D3829" s="1"/>
      <c r="E3829" s="6"/>
      <c r="F3829" s="1"/>
      <c r="G3829" s="6"/>
      <c r="H3829" s="6"/>
      <c r="I3829" s="6"/>
      <c r="J3829" s="6"/>
      <c r="K3829" s="6"/>
      <c r="L3829" s="6"/>
      <c r="M3829" s="6"/>
      <c r="N3829" s="6"/>
      <c r="O3829" s="7"/>
      <c r="P3829" s="6"/>
      <c r="Q3829" s="6"/>
      <c r="R3829" s="7"/>
      <c r="S3829" s="6"/>
      <c r="T3829" s="6"/>
      <c r="U3829" s="7"/>
      <c r="V3829" s="6"/>
      <c r="W3829" s="6"/>
      <c r="X3829" s="6"/>
      <c r="Y3829" s="6"/>
      <c r="Z3829" s="6"/>
      <c r="AA3829" s="7"/>
      <c r="AB3829" s="6"/>
      <c r="AC3829" s="6"/>
      <c r="AD3829" s="6"/>
      <c r="AE3829" s="12"/>
      <c r="AF3829" s="6"/>
      <c r="AG3829" s="12"/>
      <c r="AH3829" s="6"/>
      <c r="AI3829" s="6"/>
      <c r="AJ3829" s="12"/>
      <c r="AK3829" s="24"/>
      <c r="AL3829" s="25"/>
      <c r="AM3829" s="12"/>
      <c r="AN3829" s="1"/>
      <c r="AO3829" s="6"/>
    </row>
    <row r="3830" spans="1:41" ht="15" x14ac:dyDescent="0.25">
      <c r="A3830" s="1"/>
      <c r="B3830" s="1"/>
      <c r="C3830" s="1"/>
      <c r="D3830" s="1"/>
      <c r="E3830" s="6"/>
      <c r="F3830" s="1"/>
      <c r="G3830" s="6"/>
      <c r="H3830" s="6"/>
      <c r="I3830" s="6"/>
      <c r="J3830" s="6"/>
      <c r="K3830" s="6"/>
      <c r="L3830" s="6"/>
      <c r="M3830" s="6"/>
      <c r="N3830" s="6"/>
      <c r="O3830" s="7"/>
      <c r="P3830" s="6"/>
      <c r="Q3830" s="6"/>
      <c r="R3830" s="7"/>
      <c r="S3830" s="6"/>
      <c r="T3830" s="6"/>
      <c r="U3830" s="7"/>
      <c r="V3830" s="6"/>
      <c r="W3830" s="6"/>
      <c r="X3830" s="6"/>
      <c r="Y3830" s="6"/>
      <c r="Z3830" s="6"/>
      <c r="AA3830" s="7"/>
      <c r="AB3830" s="6"/>
      <c r="AC3830" s="6"/>
      <c r="AD3830" s="6"/>
      <c r="AE3830" s="12"/>
      <c r="AF3830" s="12"/>
      <c r="AG3830" s="12"/>
      <c r="AH3830" s="12"/>
      <c r="AI3830" s="6"/>
      <c r="AJ3830" s="12"/>
      <c r="AK3830" s="1"/>
      <c r="AL3830" s="12"/>
      <c r="AM3830" s="12"/>
      <c r="AN3830" s="1"/>
      <c r="AO3830" s="6"/>
    </row>
    <row r="3831" spans="1:41" ht="15" x14ac:dyDescent="0.25">
      <c r="A3831" s="1"/>
      <c r="B3831" s="1"/>
      <c r="C3831" s="1"/>
      <c r="D3831" s="1"/>
      <c r="E3831" s="6"/>
      <c r="F3831" s="1"/>
      <c r="G3831" s="6"/>
      <c r="H3831" s="6"/>
      <c r="I3831" s="6"/>
      <c r="J3831" s="6"/>
      <c r="K3831" s="6"/>
      <c r="L3831" s="6"/>
      <c r="M3831" s="6"/>
      <c r="N3831" s="6"/>
      <c r="O3831" s="7"/>
      <c r="P3831" s="6"/>
      <c r="Q3831" s="7"/>
      <c r="R3831" s="6"/>
      <c r="S3831" s="12"/>
      <c r="T3831" s="6"/>
      <c r="U3831" s="6"/>
      <c r="V3831" s="7"/>
      <c r="W3831" s="6"/>
      <c r="X3831" s="6"/>
      <c r="Y3831" s="6"/>
      <c r="Z3831" s="6"/>
      <c r="AA3831" s="24"/>
      <c r="AB3831" s="25"/>
      <c r="AC3831" s="12"/>
      <c r="AD3831" s="12"/>
      <c r="AE3831" s="12"/>
      <c r="AF3831" s="6"/>
      <c r="AG3831" s="12"/>
      <c r="AH3831" s="6"/>
      <c r="AI3831" s="6"/>
      <c r="AJ3831" s="12"/>
      <c r="AK3831" s="12"/>
      <c r="AL3831" s="12"/>
      <c r="AM3831" s="12"/>
      <c r="AN3831" s="1"/>
      <c r="AO3831" s="6"/>
    </row>
    <row r="3832" spans="1:41" ht="15" x14ac:dyDescent="0.25">
      <c r="A3832" s="1"/>
      <c r="B3832" s="1"/>
      <c r="C3832" s="1"/>
      <c r="D3832" s="1"/>
      <c r="E3832" s="6"/>
      <c r="F3832" s="1"/>
      <c r="G3832" s="6"/>
      <c r="H3832" s="6"/>
      <c r="I3832" s="6"/>
      <c r="J3832" s="6"/>
      <c r="K3832" s="6"/>
      <c r="L3832" s="6"/>
      <c r="M3832" s="6"/>
      <c r="N3832" s="6"/>
      <c r="O3832" s="7"/>
      <c r="P3832" s="6"/>
      <c r="Q3832" s="7"/>
      <c r="R3832" s="6"/>
      <c r="S3832" s="12"/>
      <c r="T3832" s="6"/>
      <c r="U3832" s="6"/>
      <c r="V3832" s="7"/>
      <c r="W3832" s="6"/>
      <c r="X3832" s="6"/>
      <c r="Y3832" s="6"/>
      <c r="Z3832" s="6"/>
      <c r="AA3832" s="24"/>
      <c r="AB3832" s="25"/>
      <c r="AC3832" s="12"/>
      <c r="AD3832" s="12"/>
      <c r="AE3832" s="12"/>
      <c r="AF3832" s="6"/>
      <c r="AG3832" s="12"/>
      <c r="AH3832" s="6"/>
      <c r="AI3832" s="6"/>
      <c r="AJ3832" s="12"/>
      <c r="AK3832" s="12"/>
      <c r="AL3832" s="12"/>
      <c r="AM3832" s="12"/>
      <c r="AN3832" s="1"/>
      <c r="AO3832" s="6"/>
    </row>
    <row r="3833" spans="1:41" ht="15" x14ac:dyDescent="0.25">
      <c r="A3833" s="1"/>
      <c r="B3833" s="1"/>
      <c r="C3833" s="1"/>
      <c r="D3833" s="1"/>
      <c r="E3833" s="6"/>
      <c r="F3833" s="1"/>
      <c r="G3833" s="6"/>
      <c r="H3833" s="6"/>
      <c r="I3833" s="6"/>
      <c r="J3833" s="6"/>
      <c r="K3833" s="6"/>
      <c r="L3833" s="6"/>
      <c r="M3833" s="6"/>
      <c r="N3833" s="6"/>
      <c r="O3833" s="7"/>
      <c r="P3833" s="6"/>
      <c r="Q3833" s="7"/>
      <c r="R3833" s="6"/>
      <c r="S3833" s="6"/>
      <c r="T3833" s="6"/>
      <c r="U3833" s="6"/>
      <c r="V3833" s="7"/>
      <c r="W3833" s="7"/>
      <c r="X3833" s="6"/>
      <c r="Y3833" s="6"/>
      <c r="Z3833" s="6"/>
      <c r="AA3833" s="1"/>
      <c r="AB3833" s="12"/>
      <c r="AC3833" s="12"/>
      <c r="AD3833" s="12"/>
      <c r="AE3833" s="12"/>
      <c r="AF3833" s="12"/>
      <c r="AG3833" s="12"/>
      <c r="AH3833" s="12"/>
      <c r="AI3833" s="6"/>
      <c r="AJ3833" s="12"/>
      <c r="AK3833" s="12"/>
      <c r="AL3833" s="12"/>
      <c r="AM3833" s="12"/>
      <c r="AN3833" s="1"/>
      <c r="AO3833" s="6"/>
    </row>
    <row r="3834" spans="1:41" ht="15" x14ac:dyDescent="0.25">
      <c r="A3834" s="1"/>
      <c r="B3834" s="1"/>
      <c r="C3834" s="1"/>
      <c r="D3834" s="1"/>
      <c r="E3834" s="6"/>
      <c r="F3834" s="1"/>
      <c r="G3834" s="6"/>
      <c r="H3834" s="6"/>
      <c r="I3834" s="6"/>
      <c r="J3834" s="6"/>
      <c r="K3834" s="6"/>
      <c r="L3834" s="6"/>
      <c r="M3834" s="6"/>
      <c r="N3834" s="6"/>
      <c r="O3834" s="7"/>
      <c r="P3834" s="12"/>
      <c r="Q3834" s="6"/>
      <c r="R3834" s="7"/>
      <c r="S3834" s="6"/>
      <c r="T3834" s="6"/>
      <c r="U3834" s="7"/>
      <c r="V3834" s="6"/>
      <c r="W3834" s="6"/>
      <c r="X3834" s="6"/>
      <c r="Y3834" s="6"/>
      <c r="Z3834" s="6"/>
      <c r="AA3834" s="7"/>
      <c r="AB3834" s="6"/>
      <c r="AC3834" s="6"/>
      <c r="AD3834" s="6"/>
      <c r="AE3834" s="12"/>
      <c r="AF3834" s="6"/>
      <c r="AG3834" s="12"/>
      <c r="AH3834" s="6"/>
      <c r="AI3834" s="6"/>
      <c r="AJ3834" s="12"/>
      <c r="AK3834" s="24"/>
      <c r="AL3834" s="25"/>
      <c r="AM3834" s="12"/>
      <c r="AN3834" s="1"/>
      <c r="AO3834" s="6"/>
    </row>
    <row r="3835" spans="1:41" ht="15" x14ac:dyDescent="0.25">
      <c r="A3835" s="1"/>
      <c r="B3835" s="1"/>
      <c r="C3835" s="1"/>
      <c r="D3835" s="1"/>
      <c r="E3835" s="6"/>
      <c r="F3835" s="1"/>
      <c r="G3835" s="6"/>
      <c r="H3835" s="6"/>
      <c r="I3835" s="6"/>
      <c r="J3835" s="6"/>
      <c r="K3835" s="6"/>
      <c r="L3835" s="6"/>
      <c r="M3835" s="6"/>
      <c r="N3835" s="6"/>
      <c r="O3835" s="7"/>
      <c r="P3835" s="12"/>
      <c r="Q3835" s="6"/>
      <c r="R3835" s="7"/>
      <c r="S3835" s="6"/>
      <c r="T3835" s="6"/>
      <c r="U3835" s="7"/>
      <c r="V3835" s="6"/>
      <c r="W3835" s="6"/>
      <c r="X3835" s="6"/>
      <c r="Y3835" s="6"/>
      <c r="Z3835" s="6"/>
      <c r="AA3835" s="7"/>
      <c r="AB3835" s="6"/>
      <c r="AC3835" s="6"/>
      <c r="AD3835" s="6"/>
      <c r="AE3835" s="12"/>
      <c r="AF3835" s="6"/>
      <c r="AG3835" s="12"/>
      <c r="AH3835" s="6"/>
      <c r="AI3835" s="6"/>
      <c r="AJ3835" s="12"/>
      <c r="AK3835" s="24"/>
      <c r="AL3835" s="25"/>
      <c r="AM3835" s="12"/>
      <c r="AN3835" s="1"/>
      <c r="AO3835" s="6"/>
    </row>
    <row r="3836" spans="1:41" ht="15" x14ac:dyDescent="0.25">
      <c r="A3836" s="1"/>
      <c r="B3836" s="1"/>
      <c r="C3836" s="1"/>
      <c r="D3836" s="1"/>
      <c r="E3836" s="6"/>
      <c r="F3836" s="1"/>
      <c r="G3836" s="6"/>
      <c r="H3836" s="6"/>
      <c r="I3836" s="6"/>
      <c r="J3836" s="6"/>
      <c r="K3836" s="6"/>
      <c r="L3836" s="6"/>
      <c r="M3836" s="6"/>
      <c r="N3836" s="6"/>
      <c r="O3836" s="7"/>
      <c r="P3836" s="6"/>
      <c r="Q3836" s="6"/>
      <c r="R3836" s="7"/>
      <c r="S3836" s="6"/>
      <c r="T3836" s="6"/>
      <c r="U3836" s="7"/>
      <c r="V3836" s="6"/>
      <c r="W3836" s="6"/>
      <c r="X3836" s="12"/>
      <c r="Y3836" s="6"/>
      <c r="Z3836" s="6"/>
      <c r="AA3836" s="7"/>
      <c r="AB3836" s="6"/>
      <c r="AC3836" s="6"/>
      <c r="AD3836" s="6"/>
      <c r="AE3836" s="12"/>
      <c r="AF3836" s="12"/>
      <c r="AG3836" s="12"/>
      <c r="AH3836" s="12"/>
      <c r="AI3836" s="6"/>
      <c r="AJ3836" s="12"/>
      <c r="AK3836" s="1"/>
      <c r="AL3836" s="12"/>
      <c r="AM3836" s="12"/>
      <c r="AN3836" s="1"/>
      <c r="AO3836" s="6"/>
    </row>
    <row r="3837" spans="1:41" ht="15" x14ac:dyDescent="0.25">
      <c r="A3837" s="1"/>
      <c r="B3837" s="1"/>
      <c r="C3837" s="1"/>
      <c r="D3837" s="1"/>
      <c r="E3837" s="6"/>
      <c r="F3837" s="1"/>
      <c r="G3837" s="6"/>
      <c r="H3837" s="6"/>
      <c r="I3837" s="6"/>
      <c r="J3837" s="6"/>
      <c r="K3837" s="6"/>
      <c r="L3837" s="6"/>
      <c r="M3837" s="6"/>
      <c r="N3837" s="6"/>
      <c r="O3837" s="7"/>
      <c r="P3837" s="12"/>
      <c r="Q3837" s="6"/>
      <c r="R3837" s="7"/>
      <c r="S3837" s="6"/>
      <c r="T3837" s="6"/>
      <c r="U3837" s="7"/>
      <c r="V3837" s="6"/>
      <c r="W3837" s="6"/>
      <c r="X3837" s="6"/>
      <c r="Y3837" s="6"/>
      <c r="Z3837" s="6"/>
      <c r="AA3837" s="7"/>
      <c r="AB3837" s="6"/>
      <c r="AC3837" s="6"/>
      <c r="AD3837" s="6"/>
      <c r="AE3837" s="12"/>
      <c r="AF3837" s="12"/>
      <c r="AG3837" s="12"/>
      <c r="AH3837" s="12"/>
      <c r="AI3837" s="6"/>
      <c r="AJ3837" s="12"/>
      <c r="AK3837" s="1"/>
      <c r="AL3837" s="12"/>
      <c r="AM3837" s="12"/>
      <c r="AN3837" s="1"/>
      <c r="AO3837" s="6"/>
    </row>
    <row r="3838" spans="1:41" ht="15" x14ac:dyDescent="0.25">
      <c r="A3838" s="1"/>
      <c r="B3838" s="1"/>
      <c r="C3838" s="1"/>
      <c r="D3838" s="1"/>
      <c r="E3838" s="6"/>
      <c r="F3838" s="1"/>
      <c r="G3838" s="6"/>
      <c r="H3838" s="6"/>
      <c r="I3838" s="6"/>
      <c r="J3838" s="6"/>
      <c r="K3838" s="6"/>
      <c r="L3838" s="6"/>
      <c r="M3838" s="6"/>
      <c r="N3838" s="6"/>
      <c r="O3838" s="7"/>
      <c r="P3838" s="6"/>
      <c r="Q3838" s="6"/>
      <c r="R3838" s="7"/>
      <c r="S3838" s="6"/>
      <c r="T3838" s="6"/>
      <c r="U3838" s="7"/>
      <c r="V3838" s="6"/>
      <c r="W3838" s="6"/>
      <c r="X3838" s="6"/>
      <c r="Y3838" s="6"/>
      <c r="Z3838" s="6"/>
      <c r="AA3838" s="7"/>
      <c r="AB3838" s="6"/>
      <c r="AC3838" s="6"/>
      <c r="AD3838" s="6"/>
      <c r="AE3838" s="12"/>
      <c r="AF3838" s="12"/>
      <c r="AG3838" s="12"/>
      <c r="AH3838" s="12"/>
      <c r="AI3838" s="6"/>
      <c r="AJ3838" s="12"/>
      <c r="AK3838" s="1"/>
      <c r="AL3838" s="12"/>
      <c r="AM3838" s="12"/>
      <c r="AN3838" s="1"/>
      <c r="AO3838" s="6"/>
    </row>
    <row r="3839" spans="1:41" ht="15" x14ac:dyDescent="0.25">
      <c r="A3839" s="1"/>
      <c r="B3839" s="1"/>
      <c r="C3839" s="1"/>
      <c r="D3839" s="1"/>
      <c r="E3839" s="6"/>
      <c r="F3839" s="1"/>
      <c r="G3839" s="6"/>
      <c r="H3839" s="6"/>
      <c r="I3839" s="6"/>
      <c r="J3839" s="6"/>
      <c r="K3839" s="6"/>
      <c r="L3839" s="6"/>
      <c r="M3839" s="6"/>
      <c r="N3839" s="6"/>
      <c r="O3839" s="7"/>
      <c r="P3839" s="6"/>
      <c r="Q3839" s="7"/>
      <c r="R3839" s="6"/>
      <c r="S3839" s="6"/>
      <c r="T3839" s="6"/>
      <c r="U3839" s="6"/>
      <c r="V3839" s="7"/>
      <c r="W3839" s="6"/>
      <c r="X3839" s="6"/>
      <c r="Y3839" s="6"/>
      <c r="Z3839" s="6"/>
      <c r="AA3839" s="24"/>
      <c r="AB3839" s="25"/>
      <c r="AC3839" s="12"/>
      <c r="AD3839" s="12"/>
      <c r="AE3839" s="12"/>
      <c r="AF3839" s="6"/>
      <c r="AG3839" s="12"/>
      <c r="AH3839" s="6"/>
      <c r="AI3839" s="6"/>
      <c r="AJ3839" s="12"/>
      <c r="AK3839" s="12"/>
      <c r="AL3839" s="12"/>
      <c r="AM3839" s="12"/>
      <c r="AN3839" s="1"/>
      <c r="AO3839" s="6"/>
    </row>
    <row r="3840" spans="1:41" ht="15" x14ac:dyDescent="0.25">
      <c r="A3840" s="1"/>
      <c r="B3840" s="1"/>
      <c r="C3840" s="1"/>
      <c r="D3840" s="1"/>
      <c r="E3840" s="6"/>
      <c r="F3840" s="1"/>
      <c r="G3840" s="6"/>
      <c r="H3840" s="6"/>
      <c r="I3840" s="6"/>
      <c r="J3840" s="6"/>
      <c r="K3840" s="6"/>
      <c r="L3840" s="6"/>
      <c r="M3840" s="6"/>
      <c r="N3840" s="6"/>
      <c r="O3840" s="7"/>
      <c r="P3840" s="6"/>
      <c r="Q3840" s="7"/>
      <c r="R3840" s="6"/>
      <c r="S3840" s="6"/>
      <c r="T3840" s="6"/>
      <c r="U3840" s="6"/>
      <c r="V3840" s="7"/>
      <c r="W3840" s="6"/>
      <c r="X3840" s="6"/>
      <c r="Y3840" s="6"/>
      <c r="Z3840" s="6"/>
      <c r="AA3840" s="24"/>
      <c r="AB3840" s="25"/>
      <c r="AC3840" s="12"/>
      <c r="AD3840" s="12"/>
      <c r="AE3840" s="12"/>
      <c r="AF3840" s="6"/>
      <c r="AG3840" s="12"/>
      <c r="AH3840" s="6"/>
      <c r="AI3840" s="6"/>
      <c r="AJ3840" s="12"/>
      <c r="AK3840" s="12"/>
      <c r="AL3840" s="12"/>
      <c r="AM3840" s="12"/>
      <c r="AN3840" s="1"/>
      <c r="AO3840" s="6"/>
    </row>
    <row r="3841" spans="1:41" ht="15" x14ac:dyDescent="0.25">
      <c r="A3841" s="1"/>
      <c r="B3841" s="1"/>
      <c r="C3841" s="1"/>
      <c r="D3841" s="1"/>
      <c r="E3841" s="6"/>
      <c r="F3841" s="1"/>
      <c r="G3841" s="6"/>
      <c r="H3841" s="6"/>
      <c r="I3841" s="6"/>
      <c r="J3841" s="6"/>
      <c r="K3841" s="6"/>
      <c r="L3841" s="6"/>
      <c r="M3841" s="6"/>
      <c r="N3841" s="6"/>
      <c r="O3841" s="7"/>
      <c r="P3841" s="6"/>
      <c r="Q3841" s="6"/>
      <c r="R3841" s="7"/>
      <c r="S3841" s="6"/>
      <c r="T3841" s="6"/>
      <c r="U3841" s="6"/>
      <c r="V3841" s="6"/>
      <c r="W3841" s="6"/>
      <c r="X3841" s="7"/>
      <c r="Y3841" s="6"/>
      <c r="Z3841" s="6"/>
      <c r="AA3841" s="7"/>
      <c r="AB3841" s="6"/>
      <c r="AC3841" s="6"/>
      <c r="AD3841" s="6"/>
      <c r="AE3841" s="12"/>
      <c r="AF3841" s="6"/>
      <c r="AG3841" s="12"/>
      <c r="AH3841" s="6"/>
      <c r="AI3841" s="6"/>
      <c r="AJ3841" s="12"/>
      <c r="AK3841" s="6"/>
      <c r="AL3841" s="12"/>
      <c r="AM3841" s="12"/>
      <c r="AN3841" s="1"/>
      <c r="AO3841" s="6"/>
    </row>
    <row r="3842" spans="1:41" ht="15" x14ac:dyDescent="0.25">
      <c r="A3842" s="1"/>
      <c r="B3842" s="1"/>
      <c r="C3842" s="1"/>
      <c r="D3842" s="1"/>
      <c r="E3842" s="6"/>
      <c r="F3842" s="1"/>
      <c r="G3842" s="6"/>
      <c r="H3842" s="6"/>
      <c r="I3842" s="6"/>
      <c r="J3842" s="6"/>
      <c r="K3842" s="6"/>
      <c r="L3842" s="6"/>
      <c r="M3842" s="6"/>
      <c r="N3842" s="6"/>
      <c r="O3842" s="7"/>
      <c r="P3842" s="6"/>
      <c r="Q3842" s="6"/>
      <c r="R3842" s="7"/>
      <c r="S3842" s="6"/>
      <c r="T3842" s="6"/>
      <c r="U3842" s="7"/>
      <c r="V3842" s="6"/>
      <c r="W3842" s="6"/>
      <c r="X3842" s="6"/>
      <c r="Y3842" s="6"/>
      <c r="Z3842" s="6"/>
      <c r="AA3842" s="7"/>
      <c r="AB3842" s="6"/>
      <c r="AC3842" s="6"/>
      <c r="AD3842" s="6"/>
      <c r="AE3842" s="12"/>
      <c r="AF3842" s="6"/>
      <c r="AG3842" s="12"/>
      <c r="AH3842" s="6"/>
      <c r="AI3842" s="6"/>
      <c r="AJ3842" s="12"/>
      <c r="AK3842" s="1"/>
      <c r="AL3842" s="12"/>
      <c r="AM3842" s="12"/>
      <c r="AN3842" s="1"/>
      <c r="AO3842" s="6"/>
    </row>
    <row r="3843" spans="1:41" ht="15" x14ac:dyDescent="0.25">
      <c r="A3843" s="1"/>
      <c r="B3843" s="1"/>
      <c r="C3843" s="1"/>
      <c r="D3843" s="1"/>
      <c r="E3843" s="6"/>
      <c r="F3843" s="1"/>
      <c r="G3843" s="6"/>
      <c r="H3843" s="6"/>
      <c r="I3843" s="6"/>
      <c r="J3843" s="6"/>
      <c r="K3843" s="6"/>
      <c r="L3843" s="6"/>
      <c r="M3843" s="6"/>
      <c r="N3843" s="6"/>
      <c r="O3843" s="7"/>
      <c r="P3843" s="6"/>
      <c r="Q3843" s="7"/>
      <c r="R3843" s="6"/>
      <c r="S3843" s="6"/>
      <c r="T3843" s="6"/>
      <c r="U3843" s="6"/>
      <c r="V3843" s="7"/>
      <c r="W3843" s="6"/>
      <c r="X3843" s="6"/>
      <c r="Y3843" s="6"/>
      <c r="Z3843" s="6"/>
      <c r="AA3843" s="24"/>
      <c r="AB3843" s="25"/>
      <c r="AC3843" s="12"/>
      <c r="AD3843" s="12"/>
      <c r="AE3843" s="12"/>
      <c r="AF3843" s="6"/>
      <c r="AG3843" s="12"/>
      <c r="AH3843" s="6"/>
      <c r="AI3843" s="6"/>
      <c r="AJ3843" s="12"/>
      <c r="AK3843" s="12"/>
      <c r="AL3843" s="12"/>
      <c r="AM3843" s="12"/>
      <c r="AN3843" s="1"/>
      <c r="AO3843" s="6"/>
    </row>
    <row r="3844" spans="1:41" ht="15" x14ac:dyDescent="0.25">
      <c r="A3844" s="1"/>
      <c r="B3844" s="1"/>
      <c r="C3844" s="1"/>
      <c r="D3844" s="1"/>
      <c r="E3844" s="6"/>
      <c r="F3844" s="1"/>
      <c r="G3844" s="6"/>
      <c r="H3844" s="6"/>
      <c r="I3844" s="6"/>
      <c r="J3844" s="6"/>
      <c r="K3844" s="6"/>
      <c r="L3844" s="6"/>
      <c r="M3844" s="6"/>
      <c r="N3844" s="6"/>
      <c r="O3844" s="7"/>
      <c r="P3844" s="6"/>
      <c r="Q3844" s="7"/>
      <c r="R3844" s="6"/>
      <c r="S3844" s="6"/>
      <c r="T3844" s="6"/>
      <c r="U3844" s="6"/>
      <c r="V3844" s="7"/>
      <c r="W3844" s="6"/>
      <c r="X3844" s="6"/>
      <c r="Y3844" s="6"/>
      <c r="Z3844" s="6"/>
      <c r="AA3844" s="24"/>
      <c r="AB3844" s="25"/>
      <c r="AC3844" s="12"/>
      <c r="AD3844" s="12"/>
      <c r="AE3844" s="12"/>
      <c r="AF3844" s="6"/>
      <c r="AG3844" s="12"/>
      <c r="AH3844" s="6"/>
      <c r="AI3844" s="6"/>
      <c r="AJ3844" s="12"/>
      <c r="AK3844" s="12"/>
      <c r="AL3844" s="12"/>
      <c r="AM3844" s="12"/>
      <c r="AN3844" s="1"/>
      <c r="AO3844" s="6"/>
    </row>
    <row r="3845" spans="1:41" ht="15" x14ac:dyDescent="0.25">
      <c r="A3845" s="1"/>
      <c r="B3845" s="1"/>
      <c r="C3845" s="1"/>
      <c r="D3845" s="1"/>
      <c r="E3845" s="6"/>
      <c r="F3845" s="1"/>
      <c r="G3845" s="6"/>
      <c r="H3845" s="6"/>
      <c r="I3845" s="6"/>
      <c r="J3845" s="6"/>
      <c r="K3845" s="6"/>
      <c r="L3845" s="6"/>
      <c r="M3845" s="6"/>
      <c r="N3845" s="6"/>
      <c r="O3845" s="7"/>
      <c r="P3845" s="6"/>
      <c r="Q3845" s="6"/>
      <c r="R3845" s="7"/>
      <c r="S3845" s="6"/>
      <c r="T3845" s="6"/>
      <c r="U3845" s="7"/>
      <c r="V3845" s="6"/>
      <c r="W3845" s="6"/>
      <c r="X3845" s="6"/>
      <c r="Y3845" s="6"/>
      <c r="Z3845" s="6"/>
      <c r="AA3845" s="7"/>
      <c r="AB3845" s="6"/>
      <c r="AC3845" s="6"/>
      <c r="AD3845" s="6"/>
      <c r="AE3845" s="12"/>
      <c r="AF3845" s="6"/>
      <c r="AG3845" s="12"/>
      <c r="AH3845" s="6"/>
      <c r="AI3845" s="6"/>
      <c r="AJ3845" s="12"/>
      <c r="AK3845" s="24"/>
      <c r="AL3845" s="25"/>
      <c r="AM3845" s="12"/>
      <c r="AN3845" s="1"/>
      <c r="AO3845" s="6"/>
    </row>
    <row r="3846" spans="1:41" ht="15" x14ac:dyDescent="0.25">
      <c r="A3846" s="1"/>
      <c r="B3846" s="1"/>
      <c r="C3846" s="1"/>
      <c r="D3846" s="1"/>
      <c r="E3846" s="6"/>
      <c r="F3846" s="1"/>
      <c r="G3846" s="6"/>
      <c r="H3846" s="6"/>
      <c r="I3846" s="6"/>
      <c r="J3846" s="6"/>
      <c r="K3846" s="6"/>
      <c r="L3846" s="6"/>
      <c r="M3846" s="6"/>
      <c r="N3846" s="6"/>
      <c r="O3846" s="7"/>
      <c r="P3846" s="6"/>
      <c r="Q3846" s="6"/>
      <c r="R3846" s="7"/>
      <c r="S3846" s="6"/>
      <c r="T3846" s="6"/>
      <c r="U3846" s="7"/>
      <c r="V3846" s="6"/>
      <c r="W3846" s="6"/>
      <c r="X3846" s="6"/>
      <c r="Y3846" s="6"/>
      <c r="Z3846" s="6"/>
      <c r="AA3846" s="7"/>
      <c r="AB3846" s="6"/>
      <c r="AC3846" s="6"/>
      <c r="AD3846" s="6"/>
      <c r="AE3846" s="12"/>
      <c r="AF3846" s="6"/>
      <c r="AG3846" s="12"/>
      <c r="AH3846" s="6"/>
      <c r="AI3846" s="6"/>
      <c r="AJ3846" s="12"/>
      <c r="AK3846" s="24"/>
      <c r="AL3846" s="25"/>
      <c r="AM3846" s="12"/>
      <c r="AN3846" s="1"/>
      <c r="AO3846" s="6"/>
    </row>
    <row r="3847" spans="1:41" ht="15" x14ac:dyDescent="0.25">
      <c r="A3847" s="1"/>
      <c r="B3847" s="1"/>
      <c r="C3847" s="1"/>
      <c r="D3847" s="1"/>
      <c r="E3847" s="6"/>
      <c r="F3847" s="1"/>
      <c r="G3847" s="6"/>
      <c r="H3847" s="6"/>
      <c r="I3847" s="6"/>
      <c r="J3847" s="6"/>
      <c r="K3847" s="6"/>
      <c r="L3847" s="6"/>
      <c r="M3847" s="6"/>
      <c r="N3847" s="6"/>
      <c r="O3847" s="7"/>
      <c r="P3847" s="6"/>
      <c r="Q3847" s="6"/>
      <c r="R3847" s="7"/>
      <c r="S3847" s="6"/>
      <c r="T3847" s="6"/>
      <c r="U3847" s="7"/>
      <c r="V3847" s="6"/>
      <c r="W3847" s="6"/>
      <c r="X3847" s="6"/>
      <c r="Y3847" s="6"/>
      <c r="Z3847" s="6"/>
      <c r="AA3847" s="7"/>
      <c r="AB3847" s="6"/>
      <c r="AC3847" s="6"/>
      <c r="AD3847" s="6"/>
      <c r="AE3847" s="12"/>
      <c r="AF3847" s="12"/>
      <c r="AG3847" s="12"/>
      <c r="AH3847" s="12"/>
      <c r="AI3847" s="6"/>
      <c r="AJ3847" s="12"/>
      <c r="AK3847" s="1"/>
      <c r="AL3847" s="12"/>
      <c r="AM3847" s="12"/>
      <c r="AN3847" s="1"/>
      <c r="AO3847" s="6"/>
    </row>
    <row r="3848" spans="1:41" ht="15" x14ac:dyDescent="0.25">
      <c r="A3848" s="1"/>
      <c r="B3848" s="1"/>
      <c r="C3848" s="1"/>
      <c r="D3848" s="1"/>
      <c r="E3848" s="6"/>
      <c r="F3848" s="1"/>
      <c r="G3848" s="6"/>
      <c r="H3848" s="6"/>
      <c r="I3848" s="6"/>
      <c r="J3848" s="6"/>
      <c r="K3848" s="6"/>
      <c r="L3848" s="6"/>
      <c r="M3848" s="6"/>
      <c r="N3848" s="6"/>
      <c r="O3848" s="7"/>
      <c r="P3848" s="6"/>
      <c r="Q3848" s="6"/>
      <c r="R3848" s="7"/>
      <c r="S3848" s="6"/>
      <c r="T3848" s="6"/>
      <c r="U3848" s="7"/>
      <c r="V3848" s="6"/>
      <c r="W3848" s="6"/>
      <c r="X3848" s="12"/>
      <c r="Y3848" s="6"/>
      <c r="Z3848" s="6"/>
      <c r="AA3848" s="7"/>
      <c r="AB3848" s="6"/>
      <c r="AC3848" s="6"/>
      <c r="AD3848" s="6"/>
      <c r="AE3848" s="12"/>
      <c r="AF3848" s="6"/>
      <c r="AG3848" s="12"/>
      <c r="AH3848" s="6"/>
      <c r="AI3848" s="6"/>
      <c r="AJ3848" s="12"/>
      <c r="AK3848" s="1"/>
      <c r="AL3848" s="12"/>
      <c r="AM3848" s="12"/>
      <c r="AN3848" s="1"/>
      <c r="AO3848" s="6"/>
    </row>
    <row r="3849" spans="1:41" ht="15" x14ac:dyDescent="0.25">
      <c r="A3849" s="1"/>
      <c r="B3849" s="1"/>
      <c r="C3849" s="1"/>
      <c r="D3849" s="1"/>
      <c r="E3849" s="6"/>
      <c r="F3849" s="1"/>
      <c r="G3849" s="6"/>
      <c r="H3849" s="6"/>
      <c r="I3849" s="6"/>
      <c r="J3849" s="6"/>
      <c r="K3849" s="6"/>
      <c r="L3849" s="6"/>
      <c r="M3849" s="6"/>
      <c r="N3849" s="6"/>
      <c r="O3849" s="7"/>
      <c r="P3849" s="6"/>
      <c r="Q3849" s="6"/>
      <c r="R3849" s="7"/>
      <c r="S3849" s="6"/>
      <c r="T3849" s="6"/>
      <c r="U3849" s="7"/>
      <c r="V3849" s="6"/>
      <c r="W3849" s="6"/>
      <c r="X3849" s="12"/>
      <c r="Y3849" s="6"/>
      <c r="Z3849" s="6"/>
      <c r="AA3849" s="7"/>
      <c r="AB3849" s="6"/>
      <c r="AC3849" s="6"/>
      <c r="AD3849" s="6"/>
      <c r="AE3849" s="12"/>
      <c r="AF3849" s="6"/>
      <c r="AG3849" s="12"/>
      <c r="AH3849" s="6"/>
      <c r="AI3849" s="6"/>
      <c r="AJ3849" s="12"/>
      <c r="AK3849" s="1"/>
      <c r="AL3849" s="12"/>
      <c r="AM3849" s="12"/>
      <c r="AN3849" s="1"/>
      <c r="AO3849" s="6"/>
    </row>
    <row r="3850" spans="1:41" ht="15" x14ac:dyDescent="0.25">
      <c r="A3850" s="1"/>
      <c r="B3850" s="1"/>
      <c r="C3850" s="1"/>
      <c r="D3850" s="1"/>
      <c r="E3850" s="6"/>
      <c r="F3850" s="1"/>
      <c r="G3850" s="6"/>
      <c r="H3850" s="6"/>
      <c r="I3850" s="6"/>
      <c r="J3850" s="6"/>
      <c r="K3850" s="6"/>
      <c r="L3850" s="6"/>
      <c r="M3850" s="6"/>
      <c r="N3850" s="6"/>
      <c r="O3850" s="7"/>
      <c r="P3850" s="12"/>
      <c r="Q3850" s="6"/>
      <c r="R3850" s="7"/>
      <c r="S3850" s="6"/>
      <c r="T3850" s="6"/>
      <c r="U3850" s="7"/>
      <c r="V3850" s="6"/>
      <c r="W3850" s="6"/>
      <c r="X3850" s="6"/>
      <c r="Y3850" s="6"/>
      <c r="Z3850" s="6"/>
      <c r="AA3850" s="7"/>
      <c r="AB3850" s="6"/>
      <c r="AC3850" s="6"/>
      <c r="AD3850" s="6"/>
      <c r="AE3850" s="12"/>
      <c r="AF3850" s="6"/>
      <c r="AG3850" s="12"/>
      <c r="AH3850" s="6"/>
      <c r="AI3850" s="6"/>
      <c r="AJ3850" s="12"/>
      <c r="AK3850" s="24"/>
      <c r="AL3850" s="25"/>
      <c r="AM3850" s="12"/>
      <c r="AN3850" s="1"/>
      <c r="AO3850" s="6"/>
    </row>
    <row r="3851" spans="1:41" ht="15" x14ac:dyDescent="0.25">
      <c r="A3851" s="1"/>
      <c r="B3851" s="1"/>
      <c r="C3851" s="1"/>
      <c r="D3851" s="1"/>
      <c r="E3851" s="6"/>
      <c r="F3851" s="1"/>
      <c r="G3851" s="6"/>
      <c r="H3851" s="6"/>
      <c r="I3851" s="6"/>
      <c r="J3851" s="6"/>
      <c r="K3851" s="6"/>
      <c r="L3851" s="6"/>
      <c r="M3851" s="6"/>
      <c r="N3851" s="6"/>
      <c r="O3851" s="7"/>
      <c r="P3851" s="12"/>
      <c r="Q3851" s="6"/>
      <c r="R3851" s="7"/>
      <c r="S3851" s="6"/>
      <c r="T3851" s="6"/>
      <c r="U3851" s="7"/>
      <c r="V3851" s="6"/>
      <c r="W3851" s="6"/>
      <c r="X3851" s="6"/>
      <c r="Y3851" s="6"/>
      <c r="Z3851" s="6"/>
      <c r="AA3851" s="7"/>
      <c r="AB3851" s="6"/>
      <c r="AC3851" s="6"/>
      <c r="AD3851" s="6"/>
      <c r="AE3851" s="12"/>
      <c r="AF3851" s="6"/>
      <c r="AG3851" s="12"/>
      <c r="AH3851" s="6"/>
      <c r="AI3851" s="6"/>
      <c r="AJ3851" s="12"/>
      <c r="AK3851" s="24"/>
      <c r="AL3851" s="25"/>
      <c r="AM3851" s="12"/>
      <c r="AN3851" s="1"/>
      <c r="AO3851" s="6"/>
    </row>
    <row r="3852" spans="1:41" ht="15" x14ac:dyDescent="0.25">
      <c r="A3852" s="1"/>
      <c r="B3852" s="1"/>
      <c r="C3852" s="1"/>
      <c r="D3852" s="1"/>
      <c r="E3852" s="6"/>
      <c r="F3852" s="1"/>
      <c r="G3852" s="6"/>
      <c r="H3852" s="6"/>
      <c r="I3852" s="6"/>
      <c r="J3852" s="6"/>
      <c r="K3852" s="12"/>
      <c r="L3852" s="12"/>
      <c r="M3852" s="6"/>
      <c r="N3852" s="6"/>
      <c r="O3852" s="7"/>
      <c r="P3852" s="6"/>
      <c r="Q3852" s="6"/>
      <c r="R3852" s="7"/>
      <c r="S3852" s="6"/>
      <c r="T3852" s="6"/>
      <c r="U3852" s="7"/>
      <c r="V3852" s="6"/>
      <c r="W3852" s="6"/>
      <c r="X3852" s="12"/>
      <c r="Y3852" s="6"/>
      <c r="Z3852" s="6"/>
      <c r="AA3852" s="7"/>
      <c r="AB3852" s="6"/>
      <c r="AC3852" s="6"/>
      <c r="AD3852" s="6"/>
      <c r="AE3852" s="12"/>
      <c r="AF3852" s="12"/>
      <c r="AG3852" s="12"/>
      <c r="AH3852" s="12"/>
      <c r="AI3852" s="6"/>
      <c r="AJ3852" s="12"/>
      <c r="AK3852" s="1"/>
      <c r="AL3852" s="12"/>
      <c r="AM3852" s="12"/>
      <c r="AN3852" s="1"/>
      <c r="AO3852" s="6"/>
    </row>
    <row r="3853" spans="1:41" ht="15" x14ac:dyDescent="0.25">
      <c r="A3853" s="1"/>
      <c r="B3853" s="1"/>
      <c r="C3853" s="1"/>
      <c r="D3853" s="1"/>
      <c r="E3853" s="6"/>
      <c r="F3853" s="1"/>
      <c r="G3853" s="6"/>
      <c r="H3853" s="6"/>
      <c r="I3853" s="6"/>
      <c r="J3853" s="6"/>
      <c r="K3853" s="6"/>
      <c r="L3853" s="6"/>
      <c r="M3853" s="6"/>
      <c r="N3853" s="6"/>
      <c r="O3853" s="7"/>
      <c r="P3853" s="6"/>
      <c r="Q3853" s="7"/>
      <c r="R3853" s="6"/>
      <c r="S3853" s="6"/>
      <c r="T3853" s="6"/>
      <c r="U3853" s="6"/>
      <c r="V3853" s="7"/>
      <c r="W3853" s="6"/>
      <c r="X3853" s="6"/>
      <c r="Y3853" s="6"/>
      <c r="Z3853" s="6"/>
      <c r="AA3853" s="1"/>
      <c r="AB3853" s="12"/>
      <c r="AC3853" s="12"/>
      <c r="AD3853" s="12"/>
      <c r="AE3853" s="12"/>
      <c r="AF3853" s="6"/>
      <c r="AG3853" s="12"/>
      <c r="AH3853" s="6"/>
      <c r="AI3853" s="6"/>
      <c r="AJ3853" s="12"/>
      <c r="AK3853" s="12"/>
      <c r="AL3853" s="12"/>
      <c r="AM3853" s="12"/>
      <c r="AN3853" s="1"/>
      <c r="AO3853" s="6"/>
    </row>
    <row r="3854" spans="1:41" ht="15" x14ac:dyDescent="0.25">
      <c r="A3854" s="1"/>
      <c r="B3854" s="1"/>
      <c r="C3854" s="1"/>
      <c r="D3854" s="1"/>
      <c r="E3854" s="6"/>
      <c r="F3854" s="1"/>
      <c r="G3854" s="6"/>
      <c r="H3854" s="6"/>
      <c r="I3854" s="6"/>
      <c r="J3854" s="6"/>
      <c r="K3854" s="6"/>
      <c r="L3854" s="6"/>
      <c r="M3854" s="6"/>
      <c r="N3854" s="6"/>
      <c r="O3854" s="7"/>
      <c r="P3854" s="6"/>
      <c r="Q3854" s="7"/>
      <c r="R3854" s="6"/>
      <c r="S3854" s="6"/>
      <c r="T3854" s="6"/>
      <c r="U3854" s="6"/>
      <c r="V3854" s="7"/>
      <c r="W3854" s="6"/>
      <c r="X3854" s="6"/>
      <c r="Y3854" s="6"/>
      <c r="Z3854" s="6"/>
      <c r="AA3854" s="1"/>
      <c r="AB3854" s="12"/>
      <c r="AC3854" s="12"/>
      <c r="AD3854" s="12"/>
      <c r="AE3854" s="12"/>
      <c r="AF3854" s="6"/>
      <c r="AG3854" s="12"/>
      <c r="AH3854" s="6"/>
      <c r="AI3854" s="6"/>
      <c r="AJ3854" s="12"/>
      <c r="AK3854" s="12"/>
      <c r="AL3854" s="12"/>
      <c r="AM3854" s="12"/>
      <c r="AN3854" s="1"/>
      <c r="AO3854" s="6"/>
    </row>
    <row r="3855" spans="1:41" ht="15" x14ac:dyDescent="0.25">
      <c r="A3855" s="1"/>
      <c r="B3855" s="1"/>
      <c r="C3855" s="1"/>
      <c r="D3855" s="1"/>
      <c r="E3855" s="6"/>
      <c r="F3855" s="1"/>
      <c r="G3855" s="6"/>
      <c r="H3855" s="6"/>
      <c r="I3855" s="6"/>
      <c r="J3855" s="6"/>
      <c r="K3855" s="6"/>
      <c r="L3855" s="6"/>
      <c r="M3855" s="6"/>
      <c r="N3855" s="6"/>
      <c r="O3855" s="7"/>
      <c r="P3855" s="6"/>
      <c r="Q3855" s="7"/>
      <c r="R3855" s="6"/>
      <c r="S3855" s="6"/>
      <c r="T3855" s="6"/>
      <c r="U3855" s="6"/>
      <c r="V3855" s="7"/>
      <c r="W3855" s="7"/>
      <c r="X3855" s="6"/>
      <c r="Y3855" s="6"/>
      <c r="Z3855" s="6"/>
      <c r="AA3855" s="1"/>
      <c r="AB3855" s="12"/>
      <c r="AC3855" s="12"/>
      <c r="AD3855" s="12"/>
      <c r="AE3855" s="12"/>
      <c r="AF3855" s="12"/>
      <c r="AG3855" s="12"/>
      <c r="AH3855" s="12"/>
      <c r="AI3855" s="6"/>
      <c r="AJ3855" s="12"/>
      <c r="AK3855" s="12"/>
      <c r="AL3855" s="12"/>
      <c r="AM3855" s="12"/>
      <c r="AN3855" s="1"/>
      <c r="AO3855" s="6"/>
    </row>
    <row r="3856" spans="1:41" ht="15" x14ac:dyDescent="0.25">
      <c r="A3856" s="1"/>
      <c r="B3856" s="1"/>
      <c r="C3856" s="1"/>
      <c r="D3856" s="1"/>
      <c r="E3856" s="6"/>
      <c r="F3856" s="1"/>
      <c r="G3856" s="6"/>
      <c r="H3856" s="6"/>
      <c r="I3856" s="6"/>
      <c r="J3856" s="6"/>
      <c r="K3856" s="12"/>
      <c r="L3856" s="12"/>
      <c r="M3856" s="6"/>
      <c r="N3856" s="6"/>
      <c r="O3856" s="7"/>
      <c r="P3856" s="6"/>
      <c r="Q3856" s="7"/>
      <c r="R3856" s="6"/>
      <c r="S3856" s="12"/>
      <c r="T3856" s="6"/>
      <c r="U3856" s="6"/>
      <c r="V3856" s="7"/>
      <c r="W3856" s="7"/>
      <c r="X3856" s="6"/>
      <c r="Y3856" s="6"/>
      <c r="Z3856" s="6"/>
      <c r="AA3856" s="1"/>
      <c r="AB3856" s="12"/>
      <c r="AC3856" s="12"/>
      <c r="AD3856" s="12"/>
      <c r="AE3856" s="12"/>
      <c r="AF3856" s="12"/>
      <c r="AG3856" s="12"/>
      <c r="AH3856" s="12"/>
      <c r="AI3856" s="6"/>
      <c r="AJ3856" s="12"/>
      <c r="AK3856" s="12"/>
      <c r="AL3856" s="12"/>
      <c r="AM3856" s="12"/>
      <c r="AN3856" s="1"/>
      <c r="AO3856" s="12"/>
    </row>
    <row r="3857" spans="1:41" ht="15" x14ac:dyDescent="0.25">
      <c r="A3857" s="1"/>
      <c r="B3857" s="1"/>
      <c r="C3857" s="1"/>
      <c r="D3857" s="1"/>
      <c r="E3857" s="6"/>
      <c r="F3857" s="1"/>
      <c r="G3857" s="6"/>
      <c r="H3857" s="6"/>
      <c r="I3857" s="6"/>
      <c r="J3857" s="6"/>
      <c r="K3857" s="12"/>
      <c r="L3857" s="12"/>
      <c r="M3857" s="6"/>
      <c r="N3857" s="6"/>
      <c r="O3857" s="7"/>
      <c r="P3857" s="6"/>
      <c r="Q3857" s="7"/>
      <c r="R3857" s="6"/>
      <c r="S3857" s="12"/>
      <c r="T3857" s="6"/>
      <c r="U3857" s="6"/>
      <c r="V3857" s="7"/>
      <c r="W3857" s="7"/>
      <c r="X3857" s="6"/>
      <c r="Y3857" s="6"/>
      <c r="Z3857" s="6"/>
      <c r="AA3857" s="1"/>
      <c r="AB3857" s="12"/>
      <c r="AC3857" s="12"/>
      <c r="AD3857" s="12"/>
      <c r="AE3857" s="12"/>
      <c r="AF3857" s="12"/>
      <c r="AG3857" s="12"/>
      <c r="AH3857" s="12"/>
      <c r="AI3857" s="6"/>
      <c r="AJ3857" s="12"/>
      <c r="AK3857" s="12"/>
      <c r="AL3857" s="12"/>
      <c r="AM3857" s="12"/>
      <c r="AN3857" s="1"/>
      <c r="AO3857" s="6"/>
    </row>
    <row r="3858" spans="1:41" ht="15" x14ac:dyDescent="0.25">
      <c r="A3858" s="1"/>
      <c r="B3858" s="1"/>
      <c r="C3858" s="1"/>
      <c r="D3858" s="1"/>
      <c r="E3858" s="6"/>
      <c r="F3858" s="1"/>
      <c r="G3858" s="6"/>
      <c r="H3858" s="6"/>
      <c r="I3858" s="6"/>
      <c r="J3858" s="6"/>
      <c r="K3858" s="6"/>
      <c r="L3858" s="6"/>
      <c r="M3858" s="6"/>
      <c r="N3858" s="6"/>
      <c r="O3858" s="7"/>
      <c r="P3858" s="6"/>
      <c r="Q3858" s="6"/>
      <c r="R3858" s="7"/>
      <c r="S3858" s="6"/>
      <c r="T3858" s="6"/>
      <c r="U3858" s="7"/>
      <c r="V3858" s="6"/>
      <c r="W3858" s="6"/>
      <c r="X3858" s="12"/>
      <c r="Y3858" s="6"/>
      <c r="Z3858" s="6"/>
      <c r="AA3858" s="7"/>
      <c r="AB3858" s="6"/>
      <c r="AC3858" s="6"/>
      <c r="AD3858" s="6"/>
      <c r="AE3858" s="12"/>
      <c r="AF3858" s="6"/>
      <c r="AG3858" s="12"/>
      <c r="AH3858" s="6"/>
      <c r="AI3858" s="6"/>
      <c r="AJ3858" s="12"/>
      <c r="AK3858" s="24"/>
      <c r="AL3858" s="25"/>
      <c r="AM3858" s="12"/>
      <c r="AN3858" s="1"/>
      <c r="AO3858" s="6"/>
    </row>
    <row r="3859" spans="1:41" ht="15" x14ac:dyDescent="0.25">
      <c r="A3859" s="1"/>
      <c r="B3859" s="1"/>
      <c r="C3859" s="1"/>
      <c r="D3859" s="1"/>
      <c r="E3859" s="6"/>
      <c r="F3859" s="1"/>
      <c r="G3859" s="6"/>
      <c r="H3859" s="6"/>
      <c r="I3859" s="6"/>
      <c r="J3859" s="6"/>
      <c r="K3859" s="6"/>
      <c r="L3859" s="6"/>
      <c r="M3859" s="6"/>
      <c r="N3859" s="6"/>
      <c r="O3859" s="7"/>
      <c r="P3859" s="6"/>
      <c r="Q3859" s="6"/>
      <c r="R3859" s="7"/>
      <c r="S3859" s="6"/>
      <c r="T3859" s="6"/>
      <c r="U3859" s="7"/>
      <c r="V3859" s="6"/>
      <c r="W3859" s="6"/>
      <c r="X3859" s="12"/>
      <c r="Y3859" s="6"/>
      <c r="Z3859" s="6"/>
      <c r="AA3859" s="7"/>
      <c r="AB3859" s="6"/>
      <c r="AC3859" s="6"/>
      <c r="AD3859" s="6"/>
      <c r="AE3859" s="12"/>
      <c r="AF3859" s="6"/>
      <c r="AG3859" s="12"/>
      <c r="AH3859" s="6"/>
      <c r="AI3859" s="6"/>
      <c r="AJ3859" s="12"/>
      <c r="AK3859" s="24"/>
      <c r="AL3859" s="25"/>
      <c r="AM3859" s="12"/>
      <c r="AN3859" s="1"/>
      <c r="AO3859" s="6"/>
    </row>
    <row r="3860" spans="1:41" ht="15" x14ac:dyDescent="0.25">
      <c r="A3860" s="1"/>
      <c r="B3860" s="1"/>
      <c r="C3860" s="1"/>
      <c r="D3860" s="1"/>
      <c r="E3860" s="6"/>
      <c r="F3860" s="1"/>
      <c r="G3860" s="6"/>
      <c r="H3860" s="6"/>
      <c r="I3860" s="6"/>
      <c r="J3860" s="6"/>
      <c r="K3860" s="12"/>
      <c r="L3860" s="12"/>
      <c r="M3860" s="6"/>
      <c r="N3860" s="6"/>
      <c r="O3860" s="7"/>
      <c r="P3860" s="6"/>
      <c r="Q3860" s="6"/>
      <c r="R3860" s="7"/>
      <c r="S3860" s="6"/>
      <c r="T3860" s="6"/>
      <c r="U3860" s="7"/>
      <c r="V3860" s="6"/>
      <c r="W3860" s="6"/>
      <c r="X3860" s="12"/>
      <c r="Y3860" s="6"/>
      <c r="Z3860" s="6"/>
      <c r="AA3860" s="7"/>
      <c r="AB3860" s="6"/>
      <c r="AC3860" s="6"/>
      <c r="AD3860" s="6"/>
      <c r="AE3860" s="12"/>
      <c r="AF3860" s="12"/>
      <c r="AG3860" s="12"/>
      <c r="AH3860" s="12"/>
      <c r="AI3860" s="6"/>
      <c r="AJ3860" s="12"/>
      <c r="AK3860" s="1"/>
      <c r="AL3860" s="12"/>
      <c r="AM3860" s="12"/>
      <c r="AN3860" s="1"/>
      <c r="AO3860" s="6"/>
    </row>
    <row r="3861" spans="1:41" ht="15" x14ac:dyDescent="0.25">
      <c r="A3861" s="1"/>
      <c r="B3861" s="1"/>
      <c r="C3861" s="1"/>
      <c r="D3861" s="1"/>
      <c r="E3861" s="6"/>
      <c r="F3861" s="1"/>
      <c r="G3861" s="6"/>
      <c r="H3861" s="6"/>
      <c r="I3861" s="6"/>
      <c r="J3861" s="6"/>
      <c r="K3861" s="6"/>
      <c r="L3861" s="6"/>
      <c r="M3861" s="6"/>
      <c r="N3861" s="6"/>
      <c r="O3861" s="7"/>
      <c r="P3861" s="6"/>
      <c r="Q3861" s="6"/>
      <c r="R3861" s="7"/>
      <c r="S3861" s="6"/>
      <c r="T3861" s="6"/>
      <c r="U3861" s="7"/>
      <c r="V3861" s="6"/>
      <c r="W3861" s="6"/>
      <c r="X3861" s="6"/>
      <c r="Y3861" s="6"/>
      <c r="Z3861" s="6"/>
      <c r="AA3861" s="7"/>
      <c r="AB3861" s="6"/>
      <c r="AC3861" s="6"/>
      <c r="AD3861" s="6"/>
      <c r="AE3861" s="12"/>
      <c r="AF3861" s="12"/>
      <c r="AG3861" s="12"/>
      <c r="AH3861" s="12"/>
      <c r="AI3861" s="6"/>
      <c r="AJ3861" s="12"/>
      <c r="AK3861" s="1"/>
      <c r="AL3861" s="12"/>
      <c r="AM3861" s="12"/>
      <c r="AN3861" s="1"/>
      <c r="AO3861" s="6"/>
    </row>
    <row r="3862" spans="1:41" ht="15" x14ac:dyDescent="0.25">
      <c r="A3862" s="1"/>
      <c r="B3862" s="1"/>
      <c r="C3862" s="1"/>
      <c r="D3862" s="1"/>
      <c r="E3862" s="6"/>
      <c r="F3862" s="1"/>
      <c r="G3862" s="6"/>
      <c r="H3862" s="6"/>
      <c r="I3862" s="6"/>
      <c r="J3862" s="6"/>
      <c r="K3862" s="6"/>
      <c r="L3862" s="6"/>
      <c r="M3862" s="6"/>
      <c r="N3862" s="6"/>
      <c r="O3862" s="7"/>
      <c r="P3862" s="6"/>
      <c r="Q3862" s="6"/>
      <c r="R3862" s="7"/>
      <c r="S3862" s="6"/>
      <c r="T3862" s="6"/>
      <c r="U3862" s="7"/>
      <c r="V3862" s="6"/>
      <c r="W3862" s="6"/>
      <c r="X3862" s="6"/>
      <c r="Y3862" s="6"/>
      <c r="Z3862" s="6"/>
      <c r="AA3862" s="7"/>
      <c r="AB3862" s="6"/>
      <c r="AC3862" s="6"/>
      <c r="AD3862" s="6"/>
      <c r="AE3862" s="12"/>
      <c r="AF3862" s="6"/>
      <c r="AG3862" s="12"/>
      <c r="AH3862" s="6"/>
      <c r="AI3862" s="6"/>
      <c r="AJ3862" s="12"/>
      <c r="AK3862" s="24"/>
      <c r="AL3862" s="25"/>
      <c r="AM3862" s="12"/>
      <c r="AN3862" s="1"/>
      <c r="AO3862" s="6"/>
    </row>
    <row r="3863" spans="1:41" ht="15" x14ac:dyDescent="0.25">
      <c r="A3863" s="1"/>
      <c r="B3863" s="1"/>
      <c r="C3863" s="1"/>
      <c r="D3863" s="1"/>
      <c r="E3863" s="6"/>
      <c r="F3863" s="1"/>
      <c r="G3863" s="6"/>
      <c r="H3863" s="6"/>
      <c r="I3863" s="6"/>
      <c r="J3863" s="6"/>
      <c r="K3863" s="6"/>
      <c r="L3863" s="6"/>
      <c r="M3863" s="6"/>
      <c r="N3863" s="6"/>
      <c r="O3863" s="7"/>
      <c r="P3863" s="6"/>
      <c r="Q3863" s="6"/>
      <c r="R3863" s="7"/>
      <c r="S3863" s="6"/>
      <c r="T3863" s="6"/>
      <c r="U3863" s="7"/>
      <c r="V3863" s="6"/>
      <c r="W3863" s="6"/>
      <c r="X3863" s="6"/>
      <c r="Y3863" s="6"/>
      <c r="Z3863" s="6"/>
      <c r="AA3863" s="7"/>
      <c r="AB3863" s="6"/>
      <c r="AC3863" s="6"/>
      <c r="AD3863" s="6"/>
      <c r="AE3863" s="12"/>
      <c r="AF3863" s="6"/>
      <c r="AG3863" s="12"/>
      <c r="AH3863" s="6"/>
      <c r="AI3863" s="6"/>
      <c r="AJ3863" s="12"/>
      <c r="AK3863" s="24"/>
      <c r="AL3863" s="25"/>
      <c r="AM3863" s="12"/>
      <c r="AN3863" s="1"/>
      <c r="AO3863" s="6"/>
    </row>
    <row r="3864" spans="1:41" ht="15" x14ac:dyDescent="0.25">
      <c r="A3864" s="1"/>
      <c r="B3864" s="1"/>
      <c r="C3864" s="1"/>
      <c r="D3864" s="1"/>
      <c r="E3864" s="6"/>
      <c r="F3864" s="1"/>
      <c r="G3864" s="6"/>
      <c r="H3864" s="6"/>
      <c r="I3864" s="6"/>
      <c r="J3864" s="6"/>
      <c r="K3864" s="6"/>
      <c r="L3864" s="6"/>
      <c r="M3864" s="6"/>
      <c r="N3864" s="6"/>
      <c r="O3864" s="7"/>
      <c r="P3864" s="6"/>
      <c r="Q3864" s="6"/>
      <c r="R3864" s="7"/>
      <c r="S3864" s="6"/>
      <c r="T3864" s="6"/>
      <c r="U3864" s="7"/>
      <c r="V3864" s="6"/>
      <c r="W3864" s="6"/>
      <c r="X3864" s="12"/>
      <c r="Y3864" s="6"/>
      <c r="Z3864" s="6"/>
      <c r="AA3864" s="7"/>
      <c r="AB3864" s="6"/>
      <c r="AC3864" s="6"/>
      <c r="AD3864" s="6"/>
      <c r="AE3864" s="12"/>
      <c r="AF3864" s="6"/>
      <c r="AG3864" s="12"/>
      <c r="AH3864" s="6"/>
      <c r="AI3864" s="6"/>
      <c r="AJ3864" s="12"/>
      <c r="AK3864" s="1"/>
      <c r="AL3864" s="12"/>
      <c r="AM3864" s="12"/>
      <c r="AN3864" s="1"/>
      <c r="AO3864" s="6"/>
    </row>
    <row r="3865" spans="1:41" ht="15" x14ac:dyDescent="0.25">
      <c r="A3865" s="1"/>
      <c r="B3865" s="1"/>
      <c r="C3865" s="1"/>
      <c r="D3865" s="1"/>
      <c r="E3865" s="6"/>
      <c r="F3865" s="1"/>
      <c r="G3865" s="6"/>
      <c r="H3865" s="6"/>
      <c r="I3865" s="6"/>
      <c r="J3865" s="6"/>
      <c r="K3865" s="6"/>
      <c r="L3865" s="6"/>
      <c r="M3865" s="6"/>
      <c r="N3865" s="6"/>
      <c r="O3865" s="7"/>
      <c r="P3865" s="6"/>
      <c r="Q3865" s="6"/>
      <c r="R3865" s="7"/>
      <c r="S3865" s="6"/>
      <c r="T3865" s="6"/>
      <c r="U3865" s="7"/>
      <c r="V3865" s="6"/>
      <c r="W3865" s="6"/>
      <c r="X3865" s="12"/>
      <c r="Y3865" s="6"/>
      <c r="Z3865" s="6"/>
      <c r="AA3865" s="7"/>
      <c r="AB3865" s="6"/>
      <c r="AC3865" s="6"/>
      <c r="AD3865" s="6"/>
      <c r="AE3865" s="12"/>
      <c r="AF3865" s="6"/>
      <c r="AG3865" s="12"/>
      <c r="AH3865" s="6"/>
      <c r="AI3865" s="6"/>
      <c r="AJ3865" s="12"/>
      <c r="AK3865" s="1"/>
      <c r="AL3865" s="12"/>
      <c r="AM3865" s="12"/>
      <c r="AN3865" s="1"/>
      <c r="AO3865" s="6"/>
    </row>
    <row r="3866" spans="1:41" ht="15" x14ac:dyDescent="0.25">
      <c r="A3866" s="1"/>
      <c r="B3866" s="1"/>
      <c r="C3866" s="1"/>
      <c r="D3866" s="1"/>
      <c r="E3866" s="6"/>
      <c r="F3866" s="1"/>
      <c r="G3866" s="6"/>
      <c r="H3866" s="6"/>
      <c r="I3866" s="6"/>
      <c r="J3866" s="6"/>
      <c r="K3866" s="6"/>
      <c r="L3866" s="6"/>
      <c r="M3866" s="6"/>
      <c r="N3866" s="6"/>
      <c r="O3866" s="7"/>
      <c r="P3866" s="6"/>
      <c r="Q3866" s="6"/>
      <c r="R3866" s="7"/>
      <c r="S3866" s="6"/>
      <c r="T3866" s="6"/>
      <c r="U3866" s="7"/>
      <c r="V3866" s="6"/>
      <c r="W3866" s="6"/>
      <c r="X3866" s="12"/>
      <c r="Y3866" s="6"/>
      <c r="Z3866" s="6"/>
      <c r="AA3866" s="7"/>
      <c r="AB3866" s="6"/>
      <c r="AC3866" s="6"/>
      <c r="AD3866" s="6"/>
      <c r="AE3866" s="12"/>
      <c r="AF3866" s="6"/>
      <c r="AG3866" s="12"/>
      <c r="AH3866" s="6"/>
      <c r="AI3866" s="6"/>
      <c r="AJ3866" s="12"/>
      <c r="AK3866" s="1"/>
      <c r="AL3866" s="12"/>
      <c r="AM3866" s="12"/>
      <c r="AN3866" s="1"/>
      <c r="AO3866" s="6"/>
    </row>
    <row r="3867" spans="1:41" ht="15" x14ac:dyDescent="0.25">
      <c r="A3867" s="1"/>
      <c r="B3867" s="1"/>
      <c r="C3867" s="1"/>
      <c r="D3867" s="1"/>
      <c r="E3867" s="6"/>
      <c r="F3867" s="1"/>
      <c r="G3867" s="6"/>
      <c r="H3867" s="6"/>
      <c r="I3867" s="6"/>
      <c r="J3867" s="6"/>
      <c r="K3867" s="12"/>
      <c r="L3867" s="6"/>
      <c r="M3867" s="6"/>
      <c r="N3867" s="6"/>
      <c r="O3867" s="7"/>
      <c r="P3867" s="6"/>
      <c r="Q3867" s="6"/>
      <c r="R3867" s="7"/>
      <c r="S3867" s="6"/>
      <c r="T3867" s="6"/>
      <c r="U3867" s="7"/>
      <c r="V3867" s="6"/>
      <c r="W3867" s="6"/>
      <c r="X3867" s="12"/>
      <c r="Y3867" s="6"/>
      <c r="Z3867" s="6"/>
      <c r="AA3867" s="7"/>
      <c r="AB3867" s="6"/>
      <c r="AC3867" s="6"/>
      <c r="AD3867" s="6"/>
      <c r="AE3867" s="12"/>
      <c r="AF3867" s="6"/>
      <c r="AG3867" s="12"/>
      <c r="AH3867" s="6"/>
      <c r="AI3867" s="6"/>
      <c r="AJ3867" s="12"/>
      <c r="AK3867" s="1"/>
      <c r="AL3867" s="12"/>
      <c r="AM3867" s="12"/>
      <c r="AN3867" s="1"/>
      <c r="AO3867" s="6"/>
    </row>
    <row r="3868" spans="1:41" ht="15" x14ac:dyDescent="0.25">
      <c r="A3868" s="1"/>
      <c r="B3868" s="1"/>
      <c r="C3868" s="1"/>
      <c r="D3868" s="1"/>
      <c r="E3868" s="6"/>
      <c r="F3868" s="1"/>
      <c r="G3868" s="6"/>
      <c r="H3868" s="6"/>
      <c r="I3868" s="6"/>
      <c r="J3868" s="6"/>
      <c r="K3868" s="6"/>
      <c r="L3868" s="6"/>
      <c r="M3868" s="6"/>
      <c r="N3868" s="6"/>
      <c r="O3868" s="7"/>
      <c r="P3868" s="6"/>
      <c r="Q3868" s="6"/>
      <c r="R3868" s="7"/>
      <c r="S3868" s="6"/>
      <c r="T3868" s="6"/>
      <c r="U3868" s="7"/>
      <c r="V3868" s="6"/>
      <c r="W3868" s="6"/>
      <c r="X3868" s="12"/>
      <c r="Y3868" s="6"/>
      <c r="Z3868" s="6"/>
      <c r="AA3868" s="7"/>
      <c r="AB3868" s="6"/>
      <c r="AC3868" s="6"/>
      <c r="AD3868" s="6"/>
      <c r="AE3868" s="12"/>
      <c r="AF3868" s="6"/>
      <c r="AG3868" s="12"/>
      <c r="AH3868" s="6"/>
      <c r="AI3868" s="6"/>
      <c r="AJ3868" s="12"/>
      <c r="AK3868" s="24"/>
      <c r="AL3868" s="25"/>
      <c r="AM3868" s="12"/>
      <c r="AN3868" s="1"/>
      <c r="AO3868" s="6"/>
    </row>
    <row r="3869" spans="1:41" ht="15" x14ac:dyDescent="0.25">
      <c r="A3869" s="1"/>
      <c r="B3869" s="1"/>
      <c r="C3869" s="1"/>
      <c r="D3869" s="1"/>
      <c r="E3869" s="6"/>
      <c r="F3869" s="1"/>
      <c r="G3869" s="6"/>
      <c r="H3869" s="6"/>
      <c r="I3869" s="6"/>
      <c r="J3869" s="6"/>
      <c r="K3869" s="6"/>
      <c r="L3869" s="6"/>
      <c r="M3869" s="6"/>
      <c r="N3869" s="6"/>
      <c r="O3869" s="7"/>
      <c r="P3869" s="6"/>
      <c r="Q3869" s="6"/>
      <c r="R3869" s="7"/>
      <c r="S3869" s="6"/>
      <c r="T3869" s="6"/>
      <c r="U3869" s="7"/>
      <c r="V3869" s="6"/>
      <c r="W3869" s="6"/>
      <c r="X3869" s="12"/>
      <c r="Y3869" s="6"/>
      <c r="Z3869" s="6"/>
      <c r="AA3869" s="7"/>
      <c r="AB3869" s="6"/>
      <c r="AC3869" s="6"/>
      <c r="AD3869" s="6"/>
      <c r="AE3869" s="12"/>
      <c r="AF3869" s="6"/>
      <c r="AG3869" s="12"/>
      <c r="AH3869" s="6"/>
      <c r="AI3869" s="6"/>
      <c r="AJ3869" s="12"/>
      <c r="AK3869" s="24"/>
      <c r="AL3869" s="25"/>
      <c r="AM3869" s="12"/>
      <c r="AN3869" s="1"/>
      <c r="AO3869" s="6"/>
    </row>
    <row r="3870" spans="1:41" ht="15" x14ac:dyDescent="0.25">
      <c r="A3870" s="1"/>
      <c r="B3870" s="1"/>
      <c r="C3870" s="1"/>
      <c r="D3870" s="1"/>
      <c r="E3870" s="6"/>
      <c r="F3870" s="1"/>
      <c r="G3870" s="6"/>
      <c r="H3870" s="6"/>
      <c r="I3870" s="6"/>
      <c r="J3870" s="6"/>
      <c r="K3870" s="6"/>
      <c r="L3870" s="6"/>
      <c r="M3870" s="6"/>
      <c r="N3870" s="6"/>
      <c r="O3870" s="7"/>
      <c r="P3870" s="12"/>
      <c r="Q3870" s="6"/>
      <c r="R3870" s="7"/>
      <c r="S3870" s="6"/>
      <c r="T3870" s="6"/>
      <c r="U3870" s="7"/>
      <c r="V3870" s="6"/>
      <c r="W3870" s="6"/>
      <c r="X3870" s="6"/>
      <c r="Y3870" s="6"/>
      <c r="Z3870" s="6"/>
      <c r="AA3870" s="15"/>
      <c r="AB3870" s="6"/>
      <c r="AC3870" s="6"/>
      <c r="AD3870" s="6"/>
      <c r="AE3870" s="12"/>
      <c r="AF3870" s="12"/>
      <c r="AG3870" s="12"/>
      <c r="AH3870" s="12"/>
      <c r="AI3870" s="6"/>
      <c r="AJ3870" s="12"/>
      <c r="AK3870" s="1"/>
      <c r="AL3870" s="12"/>
      <c r="AM3870" s="12"/>
      <c r="AN3870" s="1"/>
      <c r="AO3870" s="6"/>
    </row>
    <row r="3871" spans="1:41" ht="15" x14ac:dyDescent="0.25">
      <c r="A3871" s="1"/>
      <c r="B3871" s="1"/>
      <c r="C3871" s="1"/>
      <c r="D3871" s="1"/>
      <c r="E3871" s="6"/>
      <c r="F3871" s="1"/>
      <c r="G3871" s="6"/>
      <c r="H3871" s="6"/>
      <c r="I3871" s="6"/>
      <c r="J3871" s="6"/>
      <c r="K3871" s="6"/>
      <c r="L3871" s="6"/>
      <c r="M3871" s="6"/>
      <c r="N3871" s="6"/>
      <c r="O3871" s="7"/>
      <c r="P3871" s="6"/>
      <c r="Q3871" s="6"/>
      <c r="R3871" s="7"/>
      <c r="S3871" s="6"/>
      <c r="T3871" s="6"/>
      <c r="U3871" s="7"/>
      <c r="V3871" s="6"/>
      <c r="W3871" s="6"/>
      <c r="X3871" s="6"/>
      <c r="Y3871" s="6"/>
      <c r="Z3871" s="6"/>
      <c r="AA3871" s="7"/>
      <c r="AB3871" s="6"/>
      <c r="AC3871" s="6"/>
      <c r="AD3871" s="6"/>
      <c r="AE3871" s="12"/>
      <c r="AF3871" s="12"/>
      <c r="AG3871" s="12"/>
      <c r="AH3871" s="12"/>
      <c r="AI3871" s="6"/>
      <c r="AJ3871" s="12"/>
      <c r="AK3871" s="1"/>
      <c r="AL3871" s="12"/>
      <c r="AM3871" s="12"/>
      <c r="AN3871" s="1"/>
      <c r="AO3871" s="6"/>
    </row>
    <row r="3872" spans="1:41" ht="15" x14ac:dyDescent="0.25">
      <c r="A3872" s="1"/>
      <c r="B3872" s="1"/>
      <c r="C3872" s="1"/>
      <c r="D3872" s="1"/>
      <c r="E3872" s="6"/>
      <c r="F3872" s="1"/>
      <c r="G3872" s="6"/>
      <c r="H3872" s="6"/>
      <c r="I3872" s="6"/>
      <c r="J3872" s="6"/>
      <c r="K3872" s="6"/>
      <c r="L3872" s="6"/>
      <c r="M3872" s="6"/>
      <c r="N3872" s="6"/>
      <c r="O3872" s="7"/>
      <c r="P3872" s="6"/>
      <c r="Q3872" s="6"/>
      <c r="R3872" s="7"/>
      <c r="S3872" s="6"/>
      <c r="T3872" s="6"/>
      <c r="U3872" s="7"/>
      <c r="V3872" s="6"/>
      <c r="W3872" s="6"/>
      <c r="X3872" s="6"/>
      <c r="Y3872" s="6"/>
      <c r="Z3872" s="6"/>
      <c r="AA3872" s="7"/>
      <c r="AB3872" s="6"/>
      <c r="AC3872" s="6"/>
      <c r="AD3872" s="6"/>
      <c r="AE3872" s="12"/>
      <c r="AF3872" s="6"/>
      <c r="AG3872" s="12"/>
      <c r="AH3872" s="6"/>
      <c r="AI3872" s="6"/>
      <c r="AJ3872" s="12"/>
      <c r="AK3872" s="1"/>
      <c r="AL3872" s="12"/>
      <c r="AM3872" s="12"/>
      <c r="AN3872" s="1"/>
      <c r="AO3872" s="6"/>
    </row>
    <row r="3873" spans="1:41" ht="15" x14ac:dyDescent="0.25">
      <c r="A3873" s="1"/>
      <c r="B3873" s="1"/>
      <c r="C3873" s="1"/>
      <c r="D3873" s="1"/>
      <c r="E3873" s="6"/>
      <c r="F3873" s="1"/>
      <c r="G3873" s="6"/>
      <c r="H3873" s="6"/>
      <c r="I3873" s="6"/>
      <c r="J3873" s="6"/>
      <c r="K3873" s="6"/>
      <c r="L3873" s="6"/>
      <c r="M3873" s="6"/>
      <c r="N3873" s="6"/>
      <c r="O3873" s="7"/>
      <c r="P3873" s="6"/>
      <c r="Q3873" s="6"/>
      <c r="R3873" s="7"/>
      <c r="S3873" s="6"/>
      <c r="T3873" s="6"/>
      <c r="U3873" s="7"/>
      <c r="V3873" s="6"/>
      <c r="W3873" s="6"/>
      <c r="X3873" s="6"/>
      <c r="Y3873" s="6"/>
      <c r="Z3873" s="6"/>
      <c r="AA3873" s="7"/>
      <c r="AB3873" s="6"/>
      <c r="AC3873" s="6"/>
      <c r="AD3873" s="6"/>
      <c r="AE3873" s="12"/>
      <c r="AF3873" s="6"/>
      <c r="AG3873" s="12"/>
      <c r="AH3873" s="6"/>
      <c r="AI3873" s="6"/>
      <c r="AJ3873" s="12"/>
      <c r="AK3873" s="1"/>
      <c r="AL3873" s="12"/>
      <c r="AM3873" s="12"/>
      <c r="AN3873" s="1"/>
      <c r="AO3873" s="6"/>
    </row>
    <row r="3874" spans="1:41" ht="15" x14ac:dyDescent="0.25">
      <c r="A3874" s="1"/>
      <c r="B3874" s="1"/>
      <c r="C3874" s="1"/>
      <c r="D3874" s="1"/>
      <c r="E3874" s="6"/>
      <c r="F3874" s="1"/>
      <c r="G3874" s="6"/>
      <c r="H3874" s="6"/>
      <c r="I3874" s="6"/>
      <c r="J3874" s="6"/>
      <c r="K3874" s="6"/>
      <c r="L3874" s="6"/>
      <c r="M3874" s="6"/>
      <c r="N3874" s="6"/>
      <c r="O3874" s="7"/>
      <c r="P3874" s="6"/>
      <c r="Q3874" s="6"/>
      <c r="R3874" s="7"/>
      <c r="S3874" s="6"/>
      <c r="T3874" s="6"/>
      <c r="U3874" s="7"/>
      <c r="V3874" s="6"/>
      <c r="W3874" s="6"/>
      <c r="X3874" s="6"/>
      <c r="Y3874" s="6"/>
      <c r="Z3874" s="6"/>
      <c r="AA3874" s="7"/>
      <c r="AB3874" s="6"/>
      <c r="AC3874" s="6"/>
      <c r="AD3874" s="6"/>
      <c r="AE3874" s="12"/>
      <c r="AF3874" s="6"/>
      <c r="AG3874" s="12"/>
      <c r="AH3874" s="6"/>
      <c r="AI3874" s="6"/>
      <c r="AJ3874" s="12"/>
      <c r="AK3874" s="24"/>
      <c r="AL3874" s="25"/>
      <c r="AM3874" s="12"/>
      <c r="AN3874" s="1"/>
      <c r="AO3874" s="6"/>
    </row>
    <row r="3875" spans="1:41" ht="15" x14ac:dyDescent="0.25">
      <c r="A3875" s="1"/>
      <c r="B3875" s="1"/>
      <c r="C3875" s="1"/>
      <c r="D3875" s="1"/>
      <c r="E3875" s="6"/>
      <c r="F3875" s="1"/>
      <c r="G3875" s="6"/>
      <c r="H3875" s="6"/>
      <c r="I3875" s="6"/>
      <c r="J3875" s="6"/>
      <c r="K3875" s="6"/>
      <c r="L3875" s="6"/>
      <c r="M3875" s="6"/>
      <c r="N3875" s="6"/>
      <c r="O3875" s="7"/>
      <c r="P3875" s="6"/>
      <c r="Q3875" s="6"/>
      <c r="R3875" s="7"/>
      <c r="S3875" s="6"/>
      <c r="T3875" s="6"/>
      <c r="U3875" s="7"/>
      <c r="V3875" s="6"/>
      <c r="W3875" s="6"/>
      <c r="X3875" s="6"/>
      <c r="Y3875" s="6"/>
      <c r="Z3875" s="6"/>
      <c r="AA3875" s="7"/>
      <c r="AB3875" s="6"/>
      <c r="AC3875" s="6"/>
      <c r="AD3875" s="6"/>
      <c r="AE3875" s="12"/>
      <c r="AF3875" s="6"/>
      <c r="AG3875" s="12"/>
      <c r="AH3875" s="6"/>
      <c r="AI3875" s="6"/>
      <c r="AJ3875" s="12"/>
      <c r="AK3875" s="24"/>
      <c r="AL3875" s="25"/>
      <c r="AM3875" s="12"/>
      <c r="AN3875" s="1"/>
      <c r="AO3875" s="6"/>
    </row>
    <row r="3876" spans="1:41" ht="15" x14ac:dyDescent="0.25">
      <c r="A3876" s="1"/>
      <c r="B3876" s="1"/>
      <c r="C3876" s="1"/>
      <c r="D3876" s="1"/>
      <c r="E3876" s="6"/>
      <c r="F3876" s="1"/>
      <c r="G3876" s="6"/>
      <c r="H3876" s="6"/>
      <c r="I3876" s="6"/>
      <c r="J3876" s="6"/>
      <c r="K3876" s="6"/>
      <c r="L3876" s="6"/>
      <c r="M3876" s="6"/>
      <c r="N3876" s="6"/>
      <c r="O3876" s="7"/>
      <c r="P3876" s="6"/>
      <c r="Q3876" s="6"/>
      <c r="R3876" s="15"/>
      <c r="S3876" s="6"/>
      <c r="T3876" s="6"/>
      <c r="U3876" s="15"/>
      <c r="V3876" s="6"/>
      <c r="W3876" s="6"/>
      <c r="X3876" s="6"/>
      <c r="Y3876" s="12"/>
      <c r="Z3876" s="6"/>
      <c r="AA3876" s="7"/>
      <c r="AB3876" s="6"/>
      <c r="AC3876" s="6"/>
      <c r="AD3876" s="6"/>
      <c r="AE3876" s="12"/>
      <c r="AF3876" s="6"/>
      <c r="AG3876" s="12"/>
      <c r="AH3876" s="6"/>
      <c r="AI3876" s="6"/>
      <c r="AJ3876" s="12"/>
      <c r="AK3876" s="24"/>
      <c r="AL3876" s="25"/>
      <c r="AM3876" s="12"/>
      <c r="AN3876" s="1"/>
      <c r="AO3876" s="6"/>
    </row>
    <row r="3877" spans="1:41" ht="15" x14ac:dyDescent="0.25">
      <c r="A3877" s="1"/>
      <c r="B3877" s="1"/>
      <c r="C3877" s="1"/>
      <c r="D3877" s="1"/>
      <c r="E3877" s="6"/>
      <c r="F3877" s="1"/>
      <c r="G3877" s="6"/>
      <c r="H3877" s="6"/>
      <c r="I3877" s="6"/>
      <c r="J3877" s="6"/>
      <c r="K3877" s="6"/>
      <c r="L3877" s="6"/>
      <c r="M3877" s="6"/>
      <c r="N3877" s="6"/>
      <c r="O3877" s="7"/>
      <c r="P3877" s="6"/>
      <c r="Q3877" s="6"/>
      <c r="R3877" s="7"/>
      <c r="S3877" s="6"/>
      <c r="T3877" s="6"/>
      <c r="U3877" s="7"/>
      <c r="V3877" s="6"/>
      <c r="W3877" s="6"/>
      <c r="X3877" s="6"/>
      <c r="Y3877" s="12"/>
      <c r="Z3877" s="6"/>
      <c r="AA3877" s="7"/>
      <c r="AB3877" s="6"/>
      <c r="AC3877" s="6"/>
      <c r="AD3877" s="6"/>
      <c r="AE3877" s="12"/>
      <c r="AF3877" s="6"/>
      <c r="AG3877" s="12"/>
      <c r="AH3877" s="6"/>
      <c r="AI3877" s="6"/>
      <c r="AJ3877" s="12"/>
      <c r="AK3877" s="24"/>
      <c r="AL3877" s="25"/>
      <c r="AM3877" s="12"/>
      <c r="AN3877" s="1"/>
      <c r="AO3877" s="6"/>
    </row>
    <row r="3878" spans="1:41" ht="15" x14ac:dyDescent="0.25">
      <c r="A3878" s="1"/>
      <c r="B3878" s="1"/>
      <c r="C3878" s="1"/>
      <c r="D3878" s="1"/>
      <c r="E3878" s="6"/>
      <c r="F3878" s="1"/>
      <c r="G3878" s="6"/>
      <c r="H3878" s="6"/>
      <c r="I3878" s="6"/>
      <c r="J3878" s="6"/>
      <c r="K3878" s="6"/>
      <c r="L3878" s="6"/>
      <c r="M3878" s="6"/>
      <c r="N3878" s="6"/>
      <c r="O3878" s="7"/>
      <c r="P3878" s="6"/>
      <c r="Q3878" s="6"/>
      <c r="R3878" s="12"/>
      <c r="S3878" s="12"/>
      <c r="T3878" s="12"/>
      <c r="U3878" s="7"/>
      <c r="V3878" s="6"/>
      <c r="W3878" s="6"/>
      <c r="X3878" s="12"/>
      <c r="Y3878" s="6"/>
      <c r="Z3878" s="6"/>
      <c r="AA3878" s="7"/>
      <c r="AB3878" s="6"/>
      <c r="AC3878" s="6"/>
      <c r="AD3878" s="6"/>
      <c r="AE3878" s="12"/>
      <c r="AF3878" s="12"/>
      <c r="AG3878" s="12"/>
      <c r="AH3878" s="12"/>
      <c r="AI3878" s="6"/>
      <c r="AJ3878" s="12"/>
      <c r="AK3878" s="1"/>
      <c r="AL3878" s="12"/>
      <c r="AM3878" s="12"/>
      <c r="AN3878" s="1"/>
      <c r="AO3878" s="6"/>
    </row>
    <row r="3879" spans="1:41" ht="15" x14ac:dyDescent="0.25">
      <c r="A3879" s="1"/>
      <c r="B3879" s="1"/>
      <c r="C3879" s="1"/>
      <c r="D3879" s="1"/>
      <c r="E3879" s="6"/>
      <c r="F3879" s="1"/>
      <c r="G3879" s="6"/>
      <c r="H3879" s="6"/>
      <c r="I3879" s="6"/>
      <c r="J3879" s="6"/>
      <c r="K3879" s="6"/>
      <c r="L3879" s="6"/>
      <c r="M3879" s="6"/>
      <c r="N3879" s="6"/>
      <c r="O3879" s="7"/>
      <c r="P3879" s="12"/>
      <c r="Q3879" s="6"/>
      <c r="R3879" s="7"/>
      <c r="S3879" s="6"/>
      <c r="T3879" s="6"/>
      <c r="U3879" s="7"/>
      <c r="V3879" s="6"/>
      <c r="W3879" s="6"/>
      <c r="X3879" s="12"/>
      <c r="Y3879" s="6"/>
      <c r="Z3879" s="6"/>
      <c r="AA3879" s="7"/>
      <c r="AB3879" s="6"/>
      <c r="AC3879" s="6"/>
      <c r="AD3879" s="6"/>
      <c r="AE3879" s="12"/>
      <c r="AF3879" s="6"/>
      <c r="AG3879" s="12"/>
      <c r="AH3879" s="6"/>
      <c r="AI3879" s="6"/>
      <c r="AJ3879" s="12"/>
      <c r="AK3879" s="24"/>
      <c r="AL3879" s="25"/>
      <c r="AM3879" s="12"/>
      <c r="AN3879" s="1"/>
      <c r="AO3879" s="6"/>
    </row>
    <row r="3880" spans="1:41" ht="15" x14ac:dyDescent="0.25">
      <c r="A3880" s="1"/>
      <c r="B3880" s="1"/>
      <c r="C3880" s="1"/>
      <c r="D3880" s="1"/>
      <c r="E3880" s="6"/>
      <c r="F3880" s="1"/>
      <c r="G3880" s="6"/>
      <c r="H3880" s="6"/>
      <c r="I3880" s="6"/>
      <c r="J3880" s="6"/>
      <c r="K3880" s="6"/>
      <c r="L3880" s="6"/>
      <c r="M3880" s="6"/>
      <c r="N3880" s="6"/>
      <c r="O3880" s="7"/>
      <c r="P3880" s="12"/>
      <c r="Q3880" s="6"/>
      <c r="R3880" s="7"/>
      <c r="S3880" s="6"/>
      <c r="T3880" s="6"/>
      <c r="U3880" s="7"/>
      <c r="V3880" s="6"/>
      <c r="W3880" s="6"/>
      <c r="X3880" s="12"/>
      <c r="Y3880" s="6"/>
      <c r="Z3880" s="6"/>
      <c r="AA3880" s="7"/>
      <c r="AB3880" s="6"/>
      <c r="AC3880" s="6"/>
      <c r="AD3880" s="6"/>
      <c r="AE3880" s="12"/>
      <c r="AF3880" s="6"/>
      <c r="AG3880" s="12"/>
      <c r="AH3880" s="6"/>
      <c r="AI3880" s="6"/>
      <c r="AJ3880" s="12"/>
      <c r="AK3880" s="24"/>
      <c r="AL3880" s="25"/>
      <c r="AM3880" s="12"/>
      <c r="AN3880" s="1"/>
      <c r="AO3880" s="6"/>
    </row>
    <row r="3881" spans="1:41" ht="15" x14ac:dyDescent="0.25">
      <c r="A3881" s="1"/>
      <c r="B3881" s="1"/>
      <c r="C3881" s="1"/>
      <c r="D3881" s="1"/>
      <c r="E3881" s="6"/>
      <c r="F3881" s="1"/>
      <c r="G3881" s="6"/>
      <c r="H3881" s="6"/>
      <c r="I3881" s="6"/>
      <c r="J3881" s="6"/>
      <c r="K3881" s="6"/>
      <c r="L3881" s="6"/>
      <c r="M3881" s="6"/>
      <c r="N3881" s="6"/>
      <c r="O3881" s="7"/>
      <c r="P3881" s="6"/>
      <c r="Q3881" s="6"/>
      <c r="R3881" s="7"/>
      <c r="S3881" s="6"/>
      <c r="T3881" s="6"/>
      <c r="U3881" s="7"/>
      <c r="V3881" s="6"/>
      <c r="W3881" s="6"/>
      <c r="X3881" s="6"/>
      <c r="Y3881" s="6"/>
      <c r="Z3881" s="6"/>
      <c r="AA3881" s="7"/>
      <c r="AB3881" s="6"/>
      <c r="AC3881" s="6"/>
      <c r="AD3881" s="6"/>
      <c r="AE3881" s="12"/>
      <c r="AF3881" s="12"/>
      <c r="AG3881" s="12"/>
      <c r="AH3881" s="12"/>
      <c r="AI3881" s="6"/>
      <c r="AJ3881" s="12"/>
      <c r="AK3881" s="1"/>
      <c r="AL3881" s="12"/>
      <c r="AM3881" s="12"/>
      <c r="AN3881" s="1"/>
      <c r="AO3881" s="6"/>
    </row>
    <row r="3882" spans="1:41" ht="15" x14ac:dyDescent="0.25">
      <c r="A3882" s="1"/>
      <c r="B3882" s="1"/>
      <c r="C3882" s="1"/>
      <c r="D3882" s="1"/>
      <c r="E3882" s="6"/>
      <c r="F3882" s="1"/>
      <c r="G3882" s="6"/>
      <c r="H3882" s="6"/>
      <c r="I3882" s="6"/>
      <c r="J3882" s="6"/>
      <c r="K3882" s="6"/>
      <c r="L3882" s="6"/>
      <c r="M3882" s="6"/>
      <c r="N3882" s="6"/>
      <c r="O3882" s="7"/>
      <c r="P3882" s="6"/>
      <c r="Q3882" s="6"/>
      <c r="R3882" s="7"/>
      <c r="S3882" s="6"/>
      <c r="T3882" s="6"/>
      <c r="U3882" s="7"/>
      <c r="V3882" s="6"/>
      <c r="W3882" s="6"/>
      <c r="X3882" s="6"/>
      <c r="Y3882" s="6"/>
      <c r="Z3882" s="6"/>
      <c r="AA3882" s="7"/>
      <c r="AB3882" s="6"/>
      <c r="AC3882" s="6"/>
      <c r="AD3882" s="6"/>
      <c r="AE3882" s="12"/>
      <c r="AF3882" s="6"/>
      <c r="AG3882" s="12"/>
      <c r="AH3882" s="6"/>
      <c r="AI3882" s="6"/>
      <c r="AJ3882" s="12"/>
      <c r="AK3882" s="1"/>
      <c r="AL3882" s="12"/>
      <c r="AM3882" s="12"/>
      <c r="AN3882" s="1"/>
      <c r="AO3882" s="6"/>
    </row>
    <row r="3883" spans="1:41" ht="15" x14ac:dyDescent="0.25">
      <c r="A3883" s="1"/>
      <c r="B3883" s="1"/>
      <c r="C3883" s="1"/>
      <c r="D3883" s="1"/>
      <c r="E3883" s="6"/>
      <c r="F3883" s="1"/>
      <c r="G3883" s="6"/>
      <c r="H3883" s="6"/>
      <c r="I3883" s="6"/>
      <c r="J3883" s="6"/>
      <c r="K3883" s="6"/>
      <c r="L3883" s="6"/>
      <c r="M3883" s="6"/>
      <c r="N3883" s="6"/>
      <c r="O3883" s="7"/>
      <c r="P3883" s="6"/>
      <c r="Q3883" s="6"/>
      <c r="R3883" s="7"/>
      <c r="S3883" s="6"/>
      <c r="T3883" s="6"/>
      <c r="U3883" s="7"/>
      <c r="V3883" s="6"/>
      <c r="W3883" s="6"/>
      <c r="X3883" s="6"/>
      <c r="Y3883" s="6"/>
      <c r="Z3883" s="6"/>
      <c r="AA3883" s="7"/>
      <c r="AB3883" s="6"/>
      <c r="AC3883" s="6"/>
      <c r="AD3883" s="6"/>
      <c r="AE3883" s="12"/>
      <c r="AF3883" s="6"/>
      <c r="AG3883" s="12"/>
      <c r="AH3883" s="6"/>
      <c r="AI3883" s="6"/>
      <c r="AJ3883" s="12"/>
      <c r="AK3883" s="1"/>
      <c r="AL3883" s="12"/>
      <c r="AM3883" s="12"/>
      <c r="AN3883" s="1"/>
      <c r="AO3883" s="6"/>
    </row>
    <row r="3884" spans="1:41" ht="15" x14ac:dyDescent="0.25">
      <c r="A3884" s="1"/>
      <c r="B3884" s="1"/>
      <c r="C3884" s="1"/>
      <c r="D3884" s="1"/>
      <c r="E3884" s="6"/>
      <c r="F3884" s="1"/>
      <c r="G3884" s="6"/>
      <c r="H3884" s="6"/>
      <c r="I3884" s="6"/>
      <c r="J3884" s="6"/>
      <c r="K3884" s="12"/>
      <c r="L3884" s="12"/>
      <c r="M3884" s="6"/>
      <c r="N3884" s="6"/>
      <c r="O3884" s="7"/>
      <c r="P3884" s="6"/>
      <c r="Q3884" s="6"/>
      <c r="R3884" s="7"/>
      <c r="S3884" s="6"/>
      <c r="T3884" s="6"/>
      <c r="U3884" s="7"/>
      <c r="V3884" s="6"/>
      <c r="W3884" s="6"/>
      <c r="X3884" s="6"/>
      <c r="Y3884" s="6"/>
      <c r="Z3884" s="6"/>
      <c r="AA3884" s="7"/>
      <c r="AB3884" s="6"/>
      <c r="AC3884" s="6"/>
      <c r="AD3884" s="6"/>
      <c r="AE3884" s="12"/>
      <c r="AF3884" s="12"/>
      <c r="AG3884" s="12"/>
      <c r="AH3884" s="12"/>
      <c r="AI3884" s="6"/>
      <c r="AJ3884" s="12"/>
      <c r="AK3884" s="1"/>
      <c r="AL3884" s="12"/>
      <c r="AM3884" s="12"/>
      <c r="AN3884" s="1"/>
      <c r="AO3884" s="6"/>
    </row>
    <row r="3885" spans="1:41" ht="15" x14ac:dyDescent="0.25">
      <c r="A3885" s="1"/>
      <c r="B3885" s="1"/>
      <c r="C3885" s="1"/>
      <c r="D3885" s="1"/>
      <c r="E3885" s="6"/>
      <c r="F3885" s="1"/>
      <c r="G3885" s="6"/>
      <c r="H3885" s="6"/>
      <c r="I3885" s="6"/>
      <c r="J3885" s="6"/>
      <c r="K3885" s="6"/>
      <c r="L3885" s="6"/>
      <c r="M3885" s="6"/>
      <c r="N3885" s="6"/>
      <c r="O3885" s="7"/>
      <c r="P3885" s="6"/>
      <c r="Q3885" s="6"/>
      <c r="R3885" s="7"/>
      <c r="S3885" s="6"/>
      <c r="T3885" s="6"/>
      <c r="U3885" s="7"/>
      <c r="V3885" s="6"/>
      <c r="W3885" s="6"/>
      <c r="X3885" s="6"/>
      <c r="Y3885" s="6"/>
      <c r="Z3885" s="6"/>
      <c r="AA3885" s="7"/>
      <c r="AB3885" s="6"/>
      <c r="AC3885" s="6"/>
      <c r="AD3885" s="6"/>
      <c r="AE3885" s="12"/>
      <c r="AF3885" s="6"/>
      <c r="AG3885" s="12"/>
      <c r="AH3885" s="6"/>
      <c r="AI3885" s="6"/>
      <c r="AJ3885" s="12"/>
      <c r="AK3885" s="24"/>
      <c r="AL3885" s="25"/>
      <c r="AM3885" s="12"/>
      <c r="AN3885" s="1"/>
      <c r="AO3885" s="6"/>
    </row>
    <row r="3886" spans="1:41" ht="15" x14ac:dyDescent="0.25">
      <c r="A3886" s="1"/>
      <c r="B3886" s="1"/>
      <c r="C3886" s="1"/>
      <c r="D3886" s="1"/>
      <c r="E3886" s="6"/>
      <c r="F3886" s="1"/>
      <c r="G3886" s="6"/>
      <c r="H3886" s="6"/>
      <c r="I3886" s="6"/>
      <c r="J3886" s="6"/>
      <c r="K3886" s="6"/>
      <c r="L3886" s="6"/>
      <c r="M3886" s="6"/>
      <c r="N3886" s="6"/>
      <c r="O3886" s="7"/>
      <c r="P3886" s="6"/>
      <c r="Q3886" s="6"/>
      <c r="R3886" s="7"/>
      <c r="S3886" s="6"/>
      <c r="T3886" s="6"/>
      <c r="U3886" s="7"/>
      <c r="V3886" s="6"/>
      <c r="W3886" s="6"/>
      <c r="X3886" s="6"/>
      <c r="Y3886" s="6"/>
      <c r="Z3886" s="6"/>
      <c r="AA3886" s="7"/>
      <c r="AB3886" s="6"/>
      <c r="AC3886" s="6"/>
      <c r="AD3886" s="6"/>
      <c r="AE3886" s="12"/>
      <c r="AF3886" s="6"/>
      <c r="AG3886" s="12"/>
      <c r="AH3886" s="6"/>
      <c r="AI3886" s="6"/>
      <c r="AJ3886" s="12"/>
      <c r="AK3886" s="24"/>
      <c r="AL3886" s="25"/>
      <c r="AM3886" s="12"/>
      <c r="AN3886" s="1"/>
      <c r="AO3886" s="6"/>
    </row>
    <row r="3887" spans="1:41" ht="15" x14ac:dyDescent="0.25">
      <c r="A3887" s="1"/>
      <c r="B3887" s="1"/>
      <c r="C3887" s="1"/>
      <c r="D3887" s="1"/>
      <c r="E3887" s="6"/>
      <c r="F3887" s="1"/>
      <c r="G3887" s="6"/>
      <c r="H3887" s="6"/>
      <c r="I3887" s="6"/>
      <c r="J3887" s="6"/>
      <c r="K3887" s="6"/>
      <c r="L3887" s="6"/>
      <c r="M3887" s="6"/>
      <c r="N3887" s="6"/>
      <c r="O3887" s="7"/>
      <c r="P3887" s="6"/>
      <c r="Q3887" s="6"/>
      <c r="R3887" s="7"/>
      <c r="S3887" s="6"/>
      <c r="T3887" s="6"/>
      <c r="U3887" s="7"/>
      <c r="V3887" s="6"/>
      <c r="W3887" s="6"/>
      <c r="X3887" s="12"/>
      <c r="Y3887" s="6"/>
      <c r="Z3887" s="6"/>
      <c r="AA3887" s="7"/>
      <c r="AB3887" s="6"/>
      <c r="AC3887" s="6"/>
      <c r="AD3887" s="6"/>
      <c r="AE3887" s="12"/>
      <c r="AF3887" s="12"/>
      <c r="AG3887" s="12"/>
      <c r="AH3887" s="12"/>
      <c r="AI3887" s="6"/>
      <c r="AJ3887" s="12"/>
      <c r="AK3887" s="1"/>
      <c r="AL3887" s="12"/>
      <c r="AM3887" s="12"/>
      <c r="AN3887" s="1"/>
      <c r="AO3887" s="6"/>
    </row>
    <row r="3888" spans="1:41" ht="15" x14ac:dyDescent="0.25">
      <c r="A3888" s="1"/>
      <c r="B3888" s="1"/>
      <c r="C3888" s="1"/>
      <c r="D3888" s="1"/>
      <c r="E3888" s="6"/>
      <c r="F3888" s="1"/>
      <c r="G3888" s="6"/>
      <c r="H3888" s="6"/>
      <c r="I3888" s="6"/>
      <c r="J3888" s="6"/>
      <c r="K3888" s="6"/>
      <c r="L3888" s="6"/>
      <c r="M3888" s="6"/>
      <c r="N3888" s="6"/>
      <c r="O3888" s="15"/>
      <c r="P3888" s="6"/>
      <c r="Q3888" s="6"/>
      <c r="R3888" s="7"/>
      <c r="S3888" s="6"/>
      <c r="T3888" s="6"/>
      <c r="U3888" s="7"/>
      <c r="V3888" s="6"/>
      <c r="W3888" s="6"/>
      <c r="X3888" s="12"/>
      <c r="Y3888" s="6"/>
      <c r="Z3888" s="6"/>
      <c r="AA3888" s="7"/>
      <c r="AB3888" s="6"/>
      <c r="AC3888" s="6"/>
      <c r="AD3888" s="6"/>
      <c r="AE3888" s="12"/>
      <c r="AF3888" s="12"/>
      <c r="AG3888" s="12"/>
      <c r="AH3888" s="12"/>
      <c r="AI3888" s="6"/>
      <c r="AJ3888" s="12"/>
      <c r="AK3888" s="1"/>
      <c r="AL3888" s="12"/>
      <c r="AM3888" s="12"/>
      <c r="AN3888" s="1"/>
      <c r="AO3888" s="6"/>
    </row>
    <row r="3889" spans="1:41" ht="15" x14ac:dyDescent="0.25">
      <c r="A3889" s="1"/>
      <c r="B3889" s="1"/>
      <c r="C3889" s="1"/>
      <c r="D3889" s="1"/>
      <c r="E3889" s="6"/>
      <c r="F3889" s="1"/>
      <c r="G3889" s="6"/>
      <c r="H3889" s="6"/>
      <c r="I3889" s="6"/>
      <c r="J3889" s="6"/>
      <c r="K3889" s="6"/>
      <c r="L3889" s="6"/>
      <c r="M3889" s="6"/>
      <c r="N3889" s="6"/>
      <c r="O3889" s="7"/>
      <c r="P3889" s="6"/>
      <c r="Q3889" s="7"/>
      <c r="R3889" s="6"/>
      <c r="S3889" s="6"/>
      <c r="T3889" s="6"/>
      <c r="U3889" s="6"/>
      <c r="V3889" s="7"/>
      <c r="W3889" s="7"/>
      <c r="X3889" s="6"/>
      <c r="Y3889" s="6"/>
      <c r="Z3889" s="6"/>
      <c r="AA3889" s="1"/>
      <c r="AB3889" s="12"/>
      <c r="AC3889" s="12"/>
      <c r="AD3889" s="12"/>
      <c r="AE3889" s="12"/>
      <c r="AF3889" s="12"/>
      <c r="AG3889" s="12"/>
      <c r="AH3889" s="12"/>
      <c r="AI3889" s="6"/>
      <c r="AJ3889" s="12"/>
      <c r="AK3889" s="12"/>
      <c r="AL3889" s="12"/>
      <c r="AM3889" s="12"/>
      <c r="AN3889" s="1"/>
      <c r="AO3889" s="6"/>
    </row>
    <row r="3890" spans="1:41" ht="15" x14ac:dyDescent="0.25">
      <c r="A3890" s="1"/>
      <c r="B3890" s="1"/>
      <c r="C3890" s="1"/>
      <c r="D3890" s="1"/>
      <c r="E3890" s="6"/>
      <c r="F3890" s="1"/>
      <c r="G3890" s="6"/>
      <c r="H3890" s="6"/>
      <c r="I3890" s="6"/>
      <c r="J3890" s="6"/>
      <c r="K3890" s="6"/>
      <c r="L3890" s="6"/>
      <c r="M3890" s="6"/>
      <c r="N3890" s="6"/>
      <c r="O3890" s="7"/>
      <c r="P3890" s="6"/>
      <c r="Q3890" s="7"/>
      <c r="R3890" s="6"/>
      <c r="S3890" s="12"/>
      <c r="T3890" s="6"/>
      <c r="U3890" s="6"/>
      <c r="V3890" s="7"/>
      <c r="W3890" s="7"/>
      <c r="X3890" s="6"/>
      <c r="Y3890" s="6"/>
      <c r="Z3890" s="6"/>
      <c r="AA3890" s="1"/>
      <c r="AB3890" s="12"/>
      <c r="AC3890" s="12"/>
      <c r="AD3890" s="12"/>
      <c r="AE3890" s="12"/>
      <c r="AF3890" s="12"/>
      <c r="AG3890" s="12"/>
      <c r="AH3890" s="12"/>
      <c r="AI3890" s="6"/>
      <c r="AJ3890" s="12"/>
      <c r="AK3890" s="12"/>
      <c r="AL3890" s="12"/>
      <c r="AM3890" s="12"/>
      <c r="AN3890" s="1"/>
      <c r="AO3890" s="6"/>
    </row>
    <row r="3891" spans="1:41" ht="15" x14ac:dyDescent="0.25">
      <c r="A3891" s="1"/>
      <c r="B3891" s="1"/>
      <c r="C3891" s="1"/>
      <c r="D3891" s="1"/>
      <c r="E3891" s="6"/>
      <c r="F3891" s="1"/>
      <c r="G3891" s="6"/>
      <c r="H3891" s="6"/>
      <c r="I3891" s="6"/>
      <c r="J3891" s="6"/>
      <c r="K3891" s="6"/>
      <c r="L3891" s="6"/>
      <c r="M3891" s="6"/>
      <c r="N3891" s="6"/>
      <c r="O3891" s="7"/>
      <c r="P3891" s="6"/>
      <c r="Q3891" s="6"/>
      <c r="R3891" s="7"/>
      <c r="S3891" s="6"/>
      <c r="T3891" s="6"/>
      <c r="U3891" s="7"/>
      <c r="V3891" s="6"/>
      <c r="W3891" s="6"/>
      <c r="X3891" s="6"/>
      <c r="Y3891" s="6"/>
      <c r="Z3891" s="6"/>
      <c r="AA3891" s="7"/>
      <c r="AB3891" s="6"/>
      <c r="AC3891" s="6"/>
      <c r="AD3891" s="6"/>
      <c r="AE3891" s="12"/>
      <c r="AF3891" s="6"/>
      <c r="AG3891" s="12"/>
      <c r="AH3891" s="6"/>
      <c r="AI3891" s="6"/>
      <c r="AJ3891" s="12"/>
      <c r="AK3891" s="24"/>
      <c r="AL3891" s="25"/>
      <c r="AM3891" s="12"/>
      <c r="AN3891" s="1"/>
      <c r="AO3891" s="6"/>
    </row>
    <row r="3892" spans="1:41" ht="15" x14ac:dyDescent="0.25">
      <c r="A3892" s="1"/>
      <c r="B3892" s="1"/>
      <c r="C3892" s="1"/>
      <c r="D3892" s="1"/>
      <c r="E3892" s="6"/>
      <c r="F3892" s="1"/>
      <c r="G3892" s="6"/>
      <c r="H3892" s="6"/>
      <c r="I3892" s="6"/>
      <c r="J3892" s="6"/>
      <c r="K3892" s="6"/>
      <c r="L3892" s="6"/>
      <c r="M3892" s="6"/>
      <c r="N3892" s="6"/>
      <c r="O3892" s="7"/>
      <c r="P3892" s="6"/>
      <c r="Q3892" s="6"/>
      <c r="R3892" s="7"/>
      <c r="S3892" s="6"/>
      <c r="T3892" s="6"/>
      <c r="U3892" s="7"/>
      <c r="V3892" s="6"/>
      <c r="W3892" s="6"/>
      <c r="X3892" s="6"/>
      <c r="Y3892" s="6"/>
      <c r="Z3892" s="6"/>
      <c r="AA3892" s="7"/>
      <c r="AB3892" s="6"/>
      <c r="AC3892" s="6"/>
      <c r="AD3892" s="6"/>
      <c r="AE3892" s="12"/>
      <c r="AF3892" s="6"/>
      <c r="AG3892" s="12"/>
      <c r="AH3892" s="6"/>
      <c r="AI3892" s="6"/>
      <c r="AJ3892" s="12"/>
      <c r="AK3892" s="24"/>
      <c r="AL3892" s="25"/>
      <c r="AM3892" s="12"/>
      <c r="AN3892" s="1"/>
      <c r="AO3892" s="6"/>
    </row>
    <row r="3893" spans="1:41" ht="15" x14ac:dyDescent="0.25">
      <c r="A3893" s="1"/>
      <c r="B3893" s="1"/>
      <c r="C3893" s="1"/>
      <c r="D3893" s="1"/>
      <c r="E3893" s="6"/>
      <c r="F3893" s="1"/>
      <c r="G3893" s="6"/>
      <c r="H3893" s="6"/>
      <c r="I3893" s="6"/>
      <c r="J3893" s="6"/>
      <c r="K3893" s="6"/>
      <c r="L3893" s="6"/>
      <c r="M3893" s="6"/>
      <c r="N3893" s="6"/>
      <c r="O3893" s="7"/>
      <c r="P3893" s="6"/>
      <c r="Q3893" s="6"/>
      <c r="R3893" s="7"/>
      <c r="S3893" s="6"/>
      <c r="T3893" s="6"/>
      <c r="U3893" s="7"/>
      <c r="V3893" s="6"/>
      <c r="W3893" s="6"/>
      <c r="X3893" s="12"/>
      <c r="Y3893" s="6"/>
      <c r="Z3893" s="6"/>
      <c r="AA3893" s="7"/>
      <c r="AB3893" s="6"/>
      <c r="AC3893" s="6"/>
      <c r="AD3893" s="6"/>
      <c r="AE3893" s="12"/>
      <c r="AF3893" s="6"/>
      <c r="AG3893" s="12"/>
      <c r="AH3893" s="6"/>
      <c r="AI3893" s="6"/>
      <c r="AJ3893" s="12"/>
      <c r="AK3893" s="1"/>
      <c r="AL3893" s="12"/>
      <c r="AM3893" s="12"/>
      <c r="AN3893" s="1"/>
      <c r="AO3893" s="6"/>
    </row>
    <row r="3894" spans="1:41" ht="15" x14ac:dyDescent="0.25">
      <c r="A3894" s="1"/>
      <c r="B3894" s="1"/>
      <c r="C3894" s="1"/>
      <c r="D3894" s="1"/>
      <c r="E3894" s="6"/>
      <c r="F3894" s="1"/>
      <c r="G3894" s="6"/>
      <c r="H3894" s="6"/>
      <c r="I3894" s="6"/>
      <c r="J3894" s="6"/>
      <c r="K3894" s="6"/>
      <c r="L3894" s="6"/>
      <c r="M3894" s="6"/>
      <c r="N3894" s="6"/>
      <c r="O3894" s="7"/>
      <c r="P3894" s="6"/>
      <c r="Q3894" s="6"/>
      <c r="R3894" s="7"/>
      <c r="S3894" s="6"/>
      <c r="T3894" s="6"/>
      <c r="U3894" s="7"/>
      <c r="V3894" s="6"/>
      <c r="W3894" s="6"/>
      <c r="X3894" s="12"/>
      <c r="Y3894" s="6"/>
      <c r="Z3894" s="6"/>
      <c r="AA3894" s="7"/>
      <c r="AB3894" s="6"/>
      <c r="AC3894" s="6"/>
      <c r="AD3894" s="6"/>
      <c r="AE3894" s="12"/>
      <c r="AF3894" s="6"/>
      <c r="AG3894" s="12"/>
      <c r="AH3894" s="6"/>
      <c r="AI3894" s="6"/>
      <c r="AJ3894" s="12"/>
      <c r="AK3894" s="1"/>
      <c r="AL3894" s="12"/>
      <c r="AM3894" s="12"/>
      <c r="AN3894" s="1"/>
      <c r="AO3894" s="6"/>
    </row>
    <row r="3895" spans="1:41" ht="15" x14ac:dyDescent="0.25">
      <c r="A3895" s="1"/>
      <c r="B3895" s="1"/>
      <c r="C3895" s="1"/>
      <c r="D3895" s="1"/>
      <c r="E3895" s="6"/>
      <c r="F3895" s="1"/>
      <c r="G3895" s="6"/>
      <c r="H3895" s="6"/>
      <c r="I3895" s="6"/>
      <c r="J3895" s="6"/>
      <c r="K3895" s="6"/>
      <c r="L3895" s="6"/>
      <c r="M3895" s="6"/>
      <c r="N3895" s="6"/>
      <c r="O3895" s="7"/>
      <c r="P3895" s="6"/>
      <c r="Q3895" s="7"/>
      <c r="R3895" s="6"/>
      <c r="S3895" s="6"/>
      <c r="T3895" s="6"/>
      <c r="U3895" s="6"/>
      <c r="V3895" s="7"/>
      <c r="W3895" s="7"/>
      <c r="X3895" s="6"/>
      <c r="Y3895" s="6"/>
      <c r="Z3895" s="6"/>
      <c r="AA3895" s="1"/>
      <c r="AB3895" s="12"/>
      <c r="AC3895" s="12"/>
      <c r="AD3895" s="12"/>
      <c r="AE3895" s="12"/>
      <c r="AF3895" s="12"/>
      <c r="AG3895" s="12"/>
      <c r="AH3895" s="12"/>
      <c r="AI3895" s="6"/>
      <c r="AJ3895" s="12"/>
      <c r="AK3895" s="12"/>
      <c r="AL3895" s="12"/>
      <c r="AM3895" s="12"/>
      <c r="AN3895" s="1"/>
      <c r="AO3895" s="6"/>
    </row>
    <row r="3896" spans="1:41" ht="15" x14ac:dyDescent="0.25">
      <c r="A3896" s="1"/>
      <c r="B3896" s="1"/>
      <c r="C3896" s="1"/>
      <c r="D3896" s="1"/>
      <c r="E3896" s="6"/>
      <c r="F3896" s="1"/>
      <c r="G3896" s="6"/>
      <c r="H3896" s="6"/>
      <c r="I3896" s="6"/>
      <c r="J3896" s="6"/>
      <c r="K3896" s="6"/>
      <c r="L3896" s="6"/>
      <c r="M3896" s="6"/>
      <c r="N3896" s="6"/>
      <c r="O3896" s="7"/>
      <c r="P3896" s="6"/>
      <c r="Q3896" s="7"/>
      <c r="R3896" s="6"/>
      <c r="S3896" s="6"/>
      <c r="T3896" s="6"/>
      <c r="U3896" s="6"/>
      <c r="V3896" s="7"/>
      <c r="W3896" s="7"/>
      <c r="X3896" s="6"/>
      <c r="Y3896" s="6"/>
      <c r="Z3896" s="6"/>
      <c r="AA3896" s="1"/>
      <c r="AB3896" s="12"/>
      <c r="AC3896" s="12"/>
      <c r="AD3896" s="12"/>
      <c r="AE3896" s="12"/>
      <c r="AF3896" s="12"/>
      <c r="AG3896" s="12"/>
      <c r="AH3896" s="12"/>
      <c r="AI3896" s="6"/>
      <c r="AJ3896" s="12"/>
      <c r="AK3896" s="12"/>
      <c r="AL3896" s="12"/>
      <c r="AM3896" s="12"/>
      <c r="AN3896" s="1"/>
      <c r="AO3896" s="6"/>
    </row>
    <row r="3897" spans="1:41" ht="15" x14ac:dyDescent="0.25">
      <c r="A3897" s="1"/>
      <c r="B3897" s="1"/>
      <c r="C3897" s="1"/>
      <c r="D3897" s="1"/>
      <c r="E3897" s="6"/>
      <c r="F3897" s="1"/>
      <c r="G3897" s="6"/>
      <c r="H3897" s="6"/>
      <c r="I3897" s="6"/>
      <c r="J3897" s="6"/>
      <c r="K3897" s="6"/>
      <c r="L3897" s="6"/>
      <c r="M3897" s="6"/>
      <c r="N3897" s="6"/>
      <c r="O3897" s="7"/>
      <c r="P3897" s="6"/>
      <c r="Q3897" s="7"/>
      <c r="R3897" s="6"/>
      <c r="S3897" s="6"/>
      <c r="T3897" s="6"/>
      <c r="U3897" s="6"/>
      <c r="V3897" s="7"/>
      <c r="W3897" s="7"/>
      <c r="X3897" s="6"/>
      <c r="Y3897" s="6"/>
      <c r="Z3897" s="6"/>
      <c r="AA3897" s="1"/>
      <c r="AB3897" s="12"/>
      <c r="AC3897" s="12"/>
      <c r="AD3897" s="12"/>
      <c r="AE3897" s="12"/>
      <c r="AF3897" s="12"/>
      <c r="AG3897" s="12"/>
      <c r="AH3897" s="12"/>
      <c r="AI3897" s="6"/>
      <c r="AJ3897" s="12"/>
      <c r="AK3897" s="12"/>
      <c r="AL3897" s="12"/>
      <c r="AM3897" s="12"/>
      <c r="AN3897" s="1"/>
      <c r="AO3897" s="6"/>
    </row>
    <row r="3898" spans="1:41" ht="15" x14ac:dyDescent="0.25">
      <c r="A3898" s="1"/>
      <c r="B3898" s="1"/>
      <c r="C3898" s="1"/>
      <c r="D3898" s="1"/>
      <c r="E3898" s="6"/>
      <c r="F3898" s="1"/>
      <c r="G3898" s="6"/>
      <c r="H3898" s="6"/>
      <c r="I3898" s="6"/>
      <c r="J3898" s="6"/>
      <c r="K3898" s="6"/>
      <c r="L3898" s="6"/>
      <c r="M3898" s="6"/>
      <c r="N3898" s="6"/>
      <c r="O3898" s="7"/>
      <c r="P3898" s="6"/>
      <c r="Q3898" s="6"/>
      <c r="R3898" s="7"/>
      <c r="S3898" s="6"/>
      <c r="T3898" s="6"/>
      <c r="U3898" s="7"/>
      <c r="V3898" s="6"/>
      <c r="W3898" s="6"/>
      <c r="X3898" s="6"/>
      <c r="Y3898" s="6"/>
      <c r="Z3898" s="6"/>
      <c r="AA3898" s="7"/>
      <c r="AB3898" s="6"/>
      <c r="AC3898" s="6"/>
      <c r="AD3898" s="6"/>
      <c r="AE3898" s="12"/>
      <c r="AF3898" s="6"/>
      <c r="AG3898" s="12"/>
      <c r="AH3898" s="6"/>
      <c r="AI3898" s="6"/>
      <c r="AJ3898" s="12"/>
      <c r="AK3898" s="1"/>
      <c r="AL3898" s="12"/>
      <c r="AM3898" s="12"/>
      <c r="AN3898" s="1"/>
      <c r="AO3898" s="6"/>
    </row>
    <row r="3899" spans="1:41" ht="15" x14ac:dyDescent="0.25">
      <c r="A3899" s="1"/>
      <c r="B3899" s="1"/>
      <c r="C3899" s="1"/>
      <c r="D3899" s="1"/>
      <c r="E3899" s="6"/>
      <c r="F3899" s="1"/>
      <c r="G3899" s="6"/>
      <c r="H3899" s="6"/>
      <c r="I3899" s="6"/>
      <c r="J3899" s="6"/>
      <c r="K3899" s="6"/>
      <c r="L3899" s="6"/>
      <c r="M3899" s="6"/>
      <c r="N3899" s="6"/>
      <c r="O3899" s="7"/>
      <c r="P3899" s="6"/>
      <c r="Q3899" s="6"/>
      <c r="R3899" s="7"/>
      <c r="S3899" s="6"/>
      <c r="T3899" s="6"/>
      <c r="U3899" s="7"/>
      <c r="V3899" s="6"/>
      <c r="W3899" s="6"/>
      <c r="X3899" s="6"/>
      <c r="Y3899" s="6"/>
      <c r="Z3899" s="6"/>
      <c r="AA3899" s="7"/>
      <c r="AB3899" s="6"/>
      <c r="AC3899" s="6"/>
      <c r="AD3899" s="6"/>
      <c r="AE3899" s="12"/>
      <c r="AF3899" s="6"/>
      <c r="AG3899" s="12"/>
      <c r="AH3899" s="6"/>
      <c r="AI3899" s="6"/>
      <c r="AJ3899" s="12"/>
      <c r="AK3899" s="1"/>
      <c r="AL3899" s="12"/>
      <c r="AM3899" s="12"/>
      <c r="AN3899" s="1"/>
      <c r="AO3899" s="6"/>
    </row>
    <row r="3900" spans="1:41" ht="15" x14ac:dyDescent="0.25">
      <c r="A3900" s="1"/>
      <c r="B3900" s="1"/>
      <c r="C3900" s="1"/>
      <c r="D3900" s="1"/>
      <c r="E3900" s="6"/>
      <c r="F3900" s="1"/>
      <c r="G3900" s="6"/>
      <c r="H3900" s="6"/>
      <c r="I3900" s="6"/>
      <c r="J3900" s="6"/>
      <c r="K3900" s="6"/>
      <c r="L3900" s="6"/>
      <c r="M3900" s="6"/>
      <c r="N3900" s="6"/>
      <c r="O3900" s="7"/>
      <c r="P3900" s="6"/>
      <c r="Q3900" s="6"/>
      <c r="R3900" s="7"/>
      <c r="S3900" s="6"/>
      <c r="T3900" s="6"/>
      <c r="U3900" s="7"/>
      <c r="V3900" s="6"/>
      <c r="W3900" s="6"/>
      <c r="X3900" s="6"/>
      <c r="Y3900" s="6"/>
      <c r="Z3900" s="6"/>
      <c r="AA3900" s="7"/>
      <c r="AB3900" s="6"/>
      <c r="AC3900" s="6"/>
      <c r="AD3900" s="6"/>
      <c r="AE3900" s="12"/>
      <c r="AF3900" s="6"/>
      <c r="AG3900" s="12"/>
      <c r="AH3900" s="6"/>
      <c r="AI3900" s="6"/>
      <c r="AJ3900" s="12"/>
      <c r="AK3900" s="24"/>
      <c r="AL3900" s="25"/>
      <c r="AM3900" s="12"/>
      <c r="AN3900" s="1"/>
      <c r="AO3900" s="6"/>
    </row>
    <row r="3901" spans="1:41" ht="15" x14ac:dyDescent="0.25">
      <c r="A3901" s="1"/>
      <c r="B3901" s="1"/>
      <c r="C3901" s="1"/>
      <c r="D3901" s="1"/>
      <c r="E3901" s="6"/>
      <c r="F3901" s="1"/>
      <c r="G3901" s="6"/>
      <c r="H3901" s="6"/>
      <c r="I3901" s="6"/>
      <c r="J3901" s="6"/>
      <c r="K3901" s="6"/>
      <c r="L3901" s="6"/>
      <c r="M3901" s="6"/>
      <c r="N3901" s="6"/>
      <c r="O3901" s="7"/>
      <c r="P3901" s="6"/>
      <c r="Q3901" s="6"/>
      <c r="R3901" s="7"/>
      <c r="S3901" s="6"/>
      <c r="T3901" s="6"/>
      <c r="U3901" s="7"/>
      <c r="V3901" s="6"/>
      <c r="W3901" s="6"/>
      <c r="X3901" s="6"/>
      <c r="Y3901" s="6"/>
      <c r="Z3901" s="6"/>
      <c r="AA3901" s="7"/>
      <c r="AB3901" s="6"/>
      <c r="AC3901" s="6"/>
      <c r="AD3901" s="6"/>
      <c r="AE3901" s="12"/>
      <c r="AF3901" s="6"/>
      <c r="AG3901" s="12"/>
      <c r="AH3901" s="6"/>
      <c r="AI3901" s="6"/>
      <c r="AJ3901" s="12"/>
      <c r="AK3901" s="24"/>
      <c r="AL3901" s="25"/>
      <c r="AM3901" s="12"/>
      <c r="AN3901" s="1"/>
      <c r="AO3901" s="6"/>
    </row>
    <row r="3902" spans="1:41" ht="15" x14ac:dyDescent="0.25">
      <c r="A3902" s="1"/>
      <c r="B3902" s="1"/>
      <c r="C3902" s="1"/>
      <c r="D3902" s="1"/>
      <c r="E3902" s="6"/>
      <c r="F3902" s="1"/>
      <c r="G3902" s="6"/>
      <c r="H3902" s="6"/>
      <c r="I3902" s="6"/>
      <c r="J3902" s="6"/>
      <c r="K3902" s="6"/>
      <c r="L3902" s="6"/>
      <c r="M3902" s="6"/>
      <c r="N3902" s="6"/>
      <c r="O3902" s="7"/>
      <c r="P3902" s="6"/>
      <c r="Q3902" s="7"/>
      <c r="R3902" s="6"/>
      <c r="S3902" s="6"/>
      <c r="T3902" s="6"/>
      <c r="U3902" s="6"/>
      <c r="V3902" s="7"/>
      <c r="W3902" s="6"/>
      <c r="X3902" s="6"/>
      <c r="Y3902" s="6"/>
      <c r="Z3902" s="6"/>
      <c r="AA3902" s="24"/>
      <c r="AB3902" s="25"/>
      <c r="AC3902" s="12"/>
      <c r="AD3902" s="12"/>
      <c r="AE3902" s="12"/>
      <c r="AF3902" s="6"/>
      <c r="AG3902" s="12"/>
      <c r="AH3902" s="6"/>
      <c r="AI3902" s="6"/>
      <c r="AJ3902" s="12"/>
      <c r="AK3902" s="12"/>
      <c r="AL3902" s="12"/>
      <c r="AM3902" s="12"/>
      <c r="AN3902" s="1"/>
      <c r="AO3902" s="6"/>
    </row>
    <row r="3903" spans="1:41" ht="15" x14ac:dyDescent="0.25">
      <c r="A3903" s="1"/>
      <c r="B3903" s="1"/>
      <c r="C3903" s="1"/>
      <c r="D3903" s="1"/>
      <c r="E3903" s="6"/>
      <c r="F3903" s="1"/>
      <c r="G3903" s="6"/>
      <c r="H3903" s="6"/>
      <c r="I3903" s="6"/>
      <c r="J3903" s="6"/>
      <c r="K3903" s="6"/>
      <c r="L3903" s="6"/>
      <c r="M3903" s="6"/>
      <c r="N3903" s="6"/>
      <c r="O3903" s="7"/>
      <c r="P3903" s="6"/>
      <c r="Q3903" s="7"/>
      <c r="R3903" s="6"/>
      <c r="S3903" s="6"/>
      <c r="T3903" s="6"/>
      <c r="U3903" s="6"/>
      <c r="V3903" s="7"/>
      <c r="W3903" s="6"/>
      <c r="X3903" s="6"/>
      <c r="Y3903" s="6"/>
      <c r="Z3903" s="6"/>
      <c r="AA3903" s="24"/>
      <c r="AB3903" s="25"/>
      <c r="AC3903" s="12"/>
      <c r="AD3903" s="12"/>
      <c r="AE3903" s="12"/>
      <c r="AF3903" s="6"/>
      <c r="AG3903" s="12"/>
      <c r="AH3903" s="6"/>
      <c r="AI3903" s="6"/>
      <c r="AJ3903" s="12"/>
      <c r="AK3903" s="12"/>
      <c r="AL3903" s="12"/>
      <c r="AM3903" s="12"/>
      <c r="AN3903" s="1"/>
      <c r="AO3903" s="6"/>
    </row>
    <row r="3904" spans="1:41" ht="15" x14ac:dyDescent="0.25">
      <c r="A3904" s="1"/>
      <c r="B3904" s="1"/>
      <c r="C3904" s="1"/>
      <c r="D3904" s="1"/>
      <c r="E3904" s="6"/>
      <c r="F3904" s="1"/>
      <c r="G3904" s="6"/>
      <c r="H3904" s="6"/>
      <c r="I3904" s="6"/>
      <c r="J3904" s="6"/>
      <c r="K3904" s="6"/>
      <c r="L3904" s="6"/>
      <c r="M3904" s="6"/>
      <c r="N3904" s="6"/>
      <c r="O3904" s="7"/>
      <c r="P3904" s="6"/>
      <c r="Q3904" s="6"/>
      <c r="R3904" s="7"/>
      <c r="S3904" s="6"/>
      <c r="T3904" s="6"/>
      <c r="U3904" s="7"/>
      <c r="V3904" s="6"/>
      <c r="W3904" s="6"/>
      <c r="X3904" s="6"/>
      <c r="Y3904" s="6"/>
      <c r="Z3904" s="6"/>
      <c r="AA3904" s="7"/>
      <c r="AB3904" s="6"/>
      <c r="AC3904" s="6"/>
      <c r="AD3904" s="6"/>
      <c r="AE3904" s="12"/>
      <c r="AF3904" s="12"/>
      <c r="AG3904" s="12"/>
      <c r="AH3904" s="12"/>
      <c r="AI3904" s="6"/>
      <c r="AJ3904" s="12"/>
      <c r="AK3904" s="1"/>
      <c r="AL3904" s="12"/>
      <c r="AM3904" s="12"/>
      <c r="AN3904" s="1"/>
      <c r="AO3904" s="6"/>
    </row>
    <row r="3905" spans="1:41" ht="15" x14ac:dyDescent="0.25">
      <c r="A3905" s="1"/>
      <c r="B3905" s="1"/>
      <c r="C3905" s="1"/>
      <c r="D3905" s="1"/>
      <c r="E3905" s="6"/>
      <c r="F3905" s="1"/>
      <c r="G3905" s="6"/>
      <c r="H3905" s="6"/>
      <c r="I3905" s="6"/>
      <c r="J3905" s="6"/>
      <c r="K3905" s="6"/>
      <c r="L3905" s="6"/>
      <c r="M3905" s="6"/>
      <c r="N3905" s="6"/>
      <c r="O3905" s="7"/>
      <c r="P3905" s="6"/>
      <c r="Q3905" s="6"/>
      <c r="R3905" s="7"/>
      <c r="S3905" s="6"/>
      <c r="T3905" s="6"/>
      <c r="U3905" s="7"/>
      <c r="V3905" s="6"/>
      <c r="W3905" s="6"/>
      <c r="X3905" s="12"/>
      <c r="Y3905" s="6"/>
      <c r="Z3905" s="6"/>
      <c r="AA3905" s="7"/>
      <c r="AB3905" s="6"/>
      <c r="AC3905" s="6"/>
      <c r="AD3905" s="6"/>
      <c r="AE3905" s="12"/>
      <c r="AF3905" s="6"/>
      <c r="AG3905" s="12"/>
      <c r="AH3905" s="6"/>
      <c r="AI3905" s="6"/>
      <c r="AJ3905" s="12"/>
      <c r="AK3905" s="1"/>
      <c r="AL3905" s="12"/>
      <c r="AM3905" s="12"/>
      <c r="AN3905" s="1"/>
      <c r="AO3905" s="6"/>
    </row>
    <row r="3906" spans="1:41" ht="15" x14ac:dyDescent="0.25">
      <c r="A3906" s="1"/>
      <c r="B3906" s="1"/>
      <c r="C3906" s="1"/>
      <c r="D3906" s="1"/>
      <c r="E3906" s="6"/>
      <c r="F3906" s="1"/>
      <c r="G3906" s="6"/>
      <c r="H3906" s="6"/>
      <c r="I3906" s="6"/>
      <c r="J3906" s="6"/>
      <c r="K3906" s="6"/>
      <c r="L3906" s="6"/>
      <c r="M3906" s="6"/>
      <c r="N3906" s="6"/>
      <c r="O3906" s="7"/>
      <c r="P3906" s="6"/>
      <c r="Q3906" s="6"/>
      <c r="R3906" s="7"/>
      <c r="S3906" s="6"/>
      <c r="T3906" s="6"/>
      <c r="U3906" s="7"/>
      <c r="V3906" s="6"/>
      <c r="W3906" s="6"/>
      <c r="X3906" s="6"/>
      <c r="Y3906" s="6"/>
      <c r="Z3906" s="6"/>
      <c r="AA3906" s="7"/>
      <c r="AB3906" s="6"/>
      <c r="AC3906" s="6"/>
      <c r="AD3906" s="6"/>
      <c r="AE3906" s="12"/>
      <c r="AF3906" s="6"/>
      <c r="AG3906" s="12"/>
      <c r="AH3906" s="6"/>
      <c r="AI3906" s="6"/>
      <c r="AJ3906" s="12"/>
      <c r="AK3906" s="24"/>
      <c r="AL3906" s="25"/>
      <c r="AM3906" s="12"/>
      <c r="AN3906" s="1"/>
      <c r="AO3906" s="6"/>
    </row>
    <row r="3907" spans="1:41" ht="15" x14ac:dyDescent="0.25">
      <c r="A3907" s="1"/>
      <c r="B3907" s="1"/>
      <c r="C3907" s="1"/>
      <c r="D3907" s="1"/>
      <c r="E3907" s="6"/>
      <c r="F3907" s="1"/>
      <c r="G3907" s="6"/>
      <c r="H3907" s="6"/>
      <c r="I3907" s="6"/>
      <c r="J3907" s="6"/>
      <c r="K3907" s="6"/>
      <c r="L3907" s="6"/>
      <c r="M3907" s="6"/>
      <c r="N3907" s="6"/>
      <c r="O3907" s="7"/>
      <c r="P3907" s="6"/>
      <c r="Q3907" s="6"/>
      <c r="R3907" s="7"/>
      <c r="S3907" s="6"/>
      <c r="T3907" s="6"/>
      <c r="U3907" s="7"/>
      <c r="V3907" s="6"/>
      <c r="W3907" s="6"/>
      <c r="X3907" s="6"/>
      <c r="Y3907" s="6"/>
      <c r="Z3907" s="6"/>
      <c r="AA3907" s="7"/>
      <c r="AB3907" s="6"/>
      <c r="AC3907" s="6"/>
      <c r="AD3907" s="6"/>
      <c r="AE3907" s="12"/>
      <c r="AF3907" s="6"/>
      <c r="AG3907" s="12"/>
      <c r="AH3907" s="6"/>
      <c r="AI3907" s="6"/>
      <c r="AJ3907" s="12"/>
      <c r="AK3907" s="24"/>
      <c r="AL3907" s="25"/>
      <c r="AM3907" s="12"/>
      <c r="AN3907" s="1"/>
      <c r="AO3907" s="6"/>
    </row>
    <row r="3908" spans="1:41" ht="15" x14ac:dyDescent="0.25">
      <c r="A3908" s="1"/>
      <c r="B3908" s="1"/>
      <c r="C3908" s="1"/>
      <c r="D3908" s="1"/>
      <c r="E3908" s="6"/>
      <c r="F3908" s="1"/>
      <c r="G3908" s="6"/>
      <c r="H3908" s="6"/>
      <c r="I3908" s="6"/>
      <c r="J3908" s="6"/>
      <c r="K3908" s="6"/>
      <c r="L3908" s="6"/>
      <c r="M3908" s="6"/>
      <c r="N3908" s="6"/>
      <c r="O3908" s="7"/>
      <c r="P3908" s="6"/>
      <c r="Q3908" s="6"/>
      <c r="R3908" s="7"/>
      <c r="S3908" s="6"/>
      <c r="T3908" s="6"/>
      <c r="U3908" s="7"/>
      <c r="V3908" s="6"/>
      <c r="W3908" s="6"/>
      <c r="X3908" s="12"/>
      <c r="Y3908" s="6"/>
      <c r="Z3908" s="6"/>
      <c r="AA3908" s="7"/>
      <c r="AB3908" s="6"/>
      <c r="AC3908" s="6"/>
      <c r="AD3908" s="6"/>
      <c r="AE3908" s="12"/>
      <c r="AF3908" s="12"/>
      <c r="AG3908" s="12"/>
      <c r="AH3908" s="12"/>
      <c r="AI3908" s="6"/>
      <c r="AJ3908" s="12"/>
      <c r="AK3908" s="1"/>
      <c r="AL3908" s="12"/>
      <c r="AM3908" s="12"/>
      <c r="AN3908" s="1"/>
      <c r="AO3908" s="6"/>
    </row>
    <row r="3909" spans="1:41" ht="15" x14ac:dyDescent="0.25">
      <c r="A3909" s="1"/>
      <c r="B3909" s="1"/>
      <c r="C3909" s="1"/>
      <c r="D3909" s="1"/>
      <c r="E3909" s="6"/>
      <c r="F3909" s="1"/>
      <c r="G3909" s="6"/>
      <c r="H3909" s="6"/>
      <c r="I3909" s="6"/>
      <c r="J3909" s="6"/>
      <c r="K3909" s="6"/>
      <c r="L3909" s="6"/>
      <c r="M3909" s="6"/>
      <c r="N3909" s="6"/>
      <c r="O3909" s="7"/>
      <c r="P3909" s="12"/>
      <c r="Q3909" s="6"/>
      <c r="R3909" s="7"/>
      <c r="S3909" s="6"/>
      <c r="T3909" s="6"/>
      <c r="U3909" s="7"/>
      <c r="V3909" s="6"/>
      <c r="W3909" s="6"/>
      <c r="X3909" s="6"/>
      <c r="Y3909" s="6"/>
      <c r="Z3909" s="6"/>
      <c r="AA3909" s="7"/>
      <c r="AB3909" s="6"/>
      <c r="AC3909" s="6"/>
      <c r="AD3909" s="6"/>
      <c r="AE3909" s="12"/>
      <c r="AF3909" s="6"/>
      <c r="AG3909" s="12"/>
      <c r="AH3909" s="6"/>
      <c r="AI3909" s="6"/>
      <c r="AJ3909" s="12"/>
      <c r="AK3909" s="1"/>
      <c r="AL3909" s="12"/>
      <c r="AM3909" s="12"/>
      <c r="AN3909" s="1"/>
      <c r="AO3909" s="6"/>
    </row>
    <row r="3910" spans="1:41" ht="15" x14ac:dyDescent="0.25">
      <c r="A3910" s="1"/>
      <c r="B3910" s="1"/>
      <c r="C3910" s="1"/>
      <c r="D3910" s="1"/>
      <c r="E3910" s="6"/>
      <c r="F3910" s="1"/>
      <c r="G3910" s="6"/>
      <c r="H3910" s="6"/>
      <c r="I3910" s="6"/>
      <c r="J3910" s="6"/>
      <c r="K3910" s="6"/>
      <c r="L3910" s="6"/>
      <c r="M3910" s="6"/>
      <c r="N3910" s="6"/>
      <c r="O3910" s="7"/>
      <c r="P3910" s="12"/>
      <c r="Q3910" s="6"/>
      <c r="R3910" s="7"/>
      <c r="S3910" s="6"/>
      <c r="T3910" s="6"/>
      <c r="U3910" s="7"/>
      <c r="V3910" s="6"/>
      <c r="W3910" s="6"/>
      <c r="X3910" s="6"/>
      <c r="Y3910" s="6"/>
      <c r="Z3910" s="6"/>
      <c r="AA3910" s="7"/>
      <c r="AB3910" s="6"/>
      <c r="AC3910" s="6"/>
      <c r="AD3910" s="6"/>
      <c r="AE3910" s="12"/>
      <c r="AF3910" s="6"/>
      <c r="AG3910" s="12"/>
      <c r="AH3910" s="6"/>
      <c r="AI3910" s="6"/>
      <c r="AJ3910" s="12"/>
      <c r="AK3910" s="1"/>
      <c r="AL3910" s="12"/>
      <c r="AM3910" s="12"/>
      <c r="AN3910" s="1"/>
      <c r="AO3910" s="6"/>
    </row>
    <row r="3911" spans="1:41" ht="15" x14ac:dyDescent="0.25">
      <c r="A3911" s="1"/>
      <c r="B3911" s="1"/>
      <c r="C3911" s="1"/>
      <c r="D3911" s="1"/>
      <c r="E3911" s="6"/>
      <c r="F3911" s="1"/>
      <c r="G3911" s="6"/>
      <c r="H3911" s="6"/>
      <c r="I3911" s="6"/>
      <c r="J3911" s="6"/>
      <c r="K3911" s="6"/>
      <c r="L3911" s="6"/>
      <c r="M3911" s="6"/>
      <c r="N3911" s="6"/>
      <c r="O3911" s="7"/>
      <c r="P3911" s="6"/>
      <c r="Q3911" s="6"/>
      <c r="R3911" s="7"/>
      <c r="S3911" s="6"/>
      <c r="T3911" s="6"/>
      <c r="U3911" s="7"/>
      <c r="V3911" s="6"/>
      <c r="W3911" s="6"/>
      <c r="X3911" s="6"/>
      <c r="Y3911" s="6"/>
      <c r="Z3911" s="6"/>
      <c r="AA3911" s="7"/>
      <c r="AB3911" s="6"/>
      <c r="AC3911" s="6"/>
      <c r="AD3911" s="6"/>
      <c r="AE3911" s="12"/>
      <c r="AF3911" s="12"/>
      <c r="AG3911" s="12"/>
      <c r="AH3911" s="12"/>
      <c r="AI3911" s="6"/>
      <c r="AJ3911" s="12"/>
      <c r="AK3911" s="1"/>
      <c r="AL3911" s="12"/>
      <c r="AM3911" s="12"/>
      <c r="AN3911" s="1"/>
      <c r="AO3911" s="6"/>
    </row>
    <row r="3912" spans="1:41" ht="15" x14ac:dyDescent="0.25">
      <c r="A3912" s="1"/>
      <c r="B3912" s="1"/>
      <c r="C3912" s="1"/>
      <c r="D3912" s="1"/>
      <c r="E3912" s="6"/>
      <c r="F3912" s="1"/>
      <c r="G3912" s="6"/>
      <c r="H3912" s="6"/>
      <c r="I3912" s="6"/>
      <c r="J3912" s="6"/>
      <c r="K3912" s="6"/>
      <c r="L3912" s="6"/>
      <c r="M3912" s="6"/>
      <c r="N3912" s="6"/>
      <c r="O3912" s="7"/>
      <c r="P3912" s="6"/>
      <c r="Q3912" s="6"/>
      <c r="R3912" s="7"/>
      <c r="S3912" s="6"/>
      <c r="T3912" s="6"/>
      <c r="U3912" s="7"/>
      <c r="V3912" s="6"/>
      <c r="W3912" s="6"/>
      <c r="X3912" s="12"/>
      <c r="Y3912" s="6"/>
      <c r="Z3912" s="6"/>
      <c r="AA3912" s="7"/>
      <c r="AB3912" s="6"/>
      <c r="AC3912" s="6"/>
      <c r="AD3912" s="6"/>
      <c r="AE3912" s="12"/>
      <c r="AF3912" s="12"/>
      <c r="AG3912" s="12"/>
      <c r="AH3912" s="12"/>
      <c r="AI3912" s="6"/>
      <c r="AJ3912" s="12"/>
      <c r="AK3912" s="1"/>
      <c r="AL3912" s="12"/>
      <c r="AM3912" s="12"/>
      <c r="AN3912" s="1"/>
      <c r="AO3912" s="6"/>
    </row>
    <row r="3913" spans="1:41" ht="15" x14ac:dyDescent="0.25">
      <c r="A3913" s="1"/>
      <c r="B3913" s="1"/>
      <c r="C3913" s="1"/>
      <c r="D3913" s="1"/>
      <c r="E3913" s="6"/>
      <c r="F3913" s="1"/>
      <c r="G3913" s="6"/>
      <c r="H3913" s="6"/>
      <c r="I3913" s="6"/>
      <c r="J3913" s="6"/>
      <c r="K3913" s="6"/>
      <c r="L3913" s="6"/>
      <c r="M3913" s="6"/>
      <c r="N3913" s="6"/>
      <c r="O3913" s="7"/>
      <c r="P3913" s="6"/>
      <c r="Q3913" s="6"/>
      <c r="R3913" s="7"/>
      <c r="S3913" s="6"/>
      <c r="T3913" s="6"/>
      <c r="U3913" s="7"/>
      <c r="V3913" s="6"/>
      <c r="W3913" s="6"/>
      <c r="X3913" s="6"/>
      <c r="Y3913" s="6"/>
      <c r="Z3913" s="6"/>
      <c r="AA3913" s="7"/>
      <c r="AB3913" s="6"/>
      <c r="AC3913" s="6"/>
      <c r="AD3913" s="6"/>
      <c r="AE3913" s="12"/>
      <c r="AF3913" s="6"/>
      <c r="AG3913" s="12"/>
      <c r="AH3913" s="6"/>
      <c r="AI3913" s="6"/>
      <c r="AJ3913" s="12"/>
      <c r="AK3913" s="24"/>
      <c r="AL3913" s="25"/>
      <c r="AM3913" s="12"/>
      <c r="AN3913" s="1"/>
      <c r="AO3913" s="6"/>
    </row>
    <row r="3914" spans="1:41" ht="15" x14ac:dyDescent="0.25">
      <c r="A3914" s="1"/>
      <c r="B3914" s="1"/>
      <c r="C3914" s="1"/>
      <c r="D3914" s="1"/>
      <c r="E3914" s="6"/>
      <c r="F3914" s="1"/>
      <c r="G3914" s="6"/>
      <c r="H3914" s="6"/>
      <c r="I3914" s="6"/>
      <c r="J3914" s="6"/>
      <c r="K3914" s="6"/>
      <c r="L3914" s="6"/>
      <c r="M3914" s="6"/>
      <c r="N3914" s="6"/>
      <c r="O3914" s="7"/>
      <c r="P3914" s="6"/>
      <c r="Q3914" s="6"/>
      <c r="R3914" s="7"/>
      <c r="S3914" s="6"/>
      <c r="T3914" s="6"/>
      <c r="U3914" s="7"/>
      <c r="V3914" s="6"/>
      <c r="W3914" s="6"/>
      <c r="X3914" s="6"/>
      <c r="Y3914" s="6"/>
      <c r="Z3914" s="6"/>
      <c r="AA3914" s="7"/>
      <c r="AB3914" s="6"/>
      <c r="AC3914" s="6"/>
      <c r="AD3914" s="6"/>
      <c r="AE3914" s="12"/>
      <c r="AF3914" s="6"/>
      <c r="AG3914" s="12"/>
      <c r="AH3914" s="6"/>
      <c r="AI3914" s="6"/>
      <c r="AJ3914" s="12"/>
      <c r="AK3914" s="24"/>
      <c r="AL3914" s="25"/>
      <c r="AM3914" s="12"/>
      <c r="AN3914" s="1"/>
      <c r="AO3914" s="6"/>
    </row>
    <row r="3915" spans="1:41" ht="15" x14ac:dyDescent="0.25">
      <c r="A3915" s="1"/>
      <c r="B3915" s="1"/>
      <c r="C3915" s="1"/>
      <c r="D3915" s="1"/>
      <c r="E3915" s="6"/>
      <c r="F3915" s="1"/>
      <c r="G3915" s="6"/>
      <c r="H3915" s="6"/>
      <c r="I3915" s="6"/>
      <c r="J3915" s="6"/>
      <c r="K3915" s="6"/>
      <c r="L3915" s="6"/>
      <c r="M3915" s="6"/>
      <c r="N3915" s="6"/>
      <c r="O3915" s="7"/>
      <c r="P3915" s="6"/>
      <c r="Q3915" s="7"/>
      <c r="R3915" s="6"/>
      <c r="S3915" s="6"/>
      <c r="T3915" s="6"/>
      <c r="U3915" s="6"/>
      <c r="V3915" s="7"/>
      <c r="W3915" s="6"/>
      <c r="X3915" s="6"/>
      <c r="Y3915" s="6"/>
      <c r="Z3915" s="6"/>
      <c r="AA3915" s="24"/>
      <c r="AB3915" s="25"/>
      <c r="AC3915" s="12"/>
      <c r="AD3915" s="12"/>
      <c r="AE3915" s="12"/>
      <c r="AF3915" s="6"/>
      <c r="AG3915" s="12"/>
      <c r="AH3915" s="6"/>
      <c r="AI3915" s="6"/>
      <c r="AJ3915" s="12"/>
      <c r="AK3915" s="12"/>
      <c r="AL3915" s="12"/>
      <c r="AM3915" s="12"/>
      <c r="AN3915" s="1"/>
      <c r="AO3915" s="6"/>
    </row>
    <row r="3916" spans="1:41" ht="15" x14ac:dyDescent="0.25">
      <c r="A3916" s="1"/>
      <c r="B3916" s="1"/>
      <c r="C3916" s="1"/>
      <c r="D3916" s="1"/>
      <c r="E3916" s="6"/>
      <c r="F3916" s="1"/>
      <c r="G3916" s="6"/>
      <c r="H3916" s="6"/>
      <c r="I3916" s="6"/>
      <c r="J3916" s="6"/>
      <c r="K3916" s="6"/>
      <c r="L3916" s="6"/>
      <c r="M3916" s="6"/>
      <c r="N3916" s="6"/>
      <c r="O3916" s="7"/>
      <c r="P3916" s="6"/>
      <c r="Q3916" s="7"/>
      <c r="R3916" s="6"/>
      <c r="S3916" s="6"/>
      <c r="T3916" s="6"/>
      <c r="U3916" s="6"/>
      <c r="V3916" s="7"/>
      <c r="W3916" s="6"/>
      <c r="X3916" s="6"/>
      <c r="Y3916" s="6"/>
      <c r="Z3916" s="6"/>
      <c r="AA3916" s="24"/>
      <c r="AB3916" s="25"/>
      <c r="AC3916" s="12"/>
      <c r="AD3916" s="12"/>
      <c r="AE3916" s="12"/>
      <c r="AF3916" s="6"/>
      <c r="AG3916" s="12"/>
      <c r="AH3916" s="6"/>
      <c r="AI3916" s="6"/>
      <c r="AJ3916" s="12"/>
      <c r="AK3916" s="12"/>
      <c r="AL3916" s="12"/>
      <c r="AM3916" s="12"/>
      <c r="AN3916" s="1"/>
      <c r="AO3916" s="6"/>
    </row>
    <row r="3917" spans="1:41" ht="15" x14ac:dyDescent="0.25">
      <c r="A3917" s="1"/>
      <c r="B3917" s="1"/>
      <c r="C3917" s="1"/>
      <c r="D3917" s="1"/>
      <c r="E3917" s="6"/>
      <c r="F3917" s="1"/>
      <c r="G3917" s="6"/>
      <c r="H3917" s="6"/>
      <c r="I3917" s="6"/>
      <c r="J3917" s="6"/>
      <c r="K3917" s="6"/>
      <c r="L3917" s="6"/>
      <c r="M3917" s="6"/>
      <c r="N3917" s="6"/>
      <c r="O3917" s="7"/>
      <c r="P3917" s="6"/>
      <c r="Q3917" s="7"/>
      <c r="R3917" s="6"/>
      <c r="S3917" s="6"/>
      <c r="T3917" s="6"/>
      <c r="U3917" s="6"/>
      <c r="V3917" s="7"/>
      <c r="W3917" s="6"/>
      <c r="X3917" s="6"/>
      <c r="Y3917" s="6"/>
      <c r="Z3917" s="6"/>
      <c r="AA3917" s="24"/>
      <c r="AB3917" s="25"/>
      <c r="AC3917" s="12"/>
      <c r="AD3917" s="12"/>
      <c r="AE3917" s="12"/>
      <c r="AF3917" s="6"/>
      <c r="AG3917" s="12"/>
      <c r="AH3917" s="6"/>
      <c r="AI3917" s="6"/>
      <c r="AJ3917" s="12"/>
      <c r="AK3917" s="12"/>
      <c r="AL3917" s="12"/>
      <c r="AM3917" s="12"/>
      <c r="AN3917" s="1"/>
      <c r="AO3917" s="6"/>
    </row>
    <row r="3918" spans="1:41" ht="15" x14ac:dyDescent="0.25">
      <c r="A3918" s="1"/>
      <c r="B3918" s="1"/>
      <c r="C3918" s="1"/>
      <c r="D3918" s="1"/>
      <c r="E3918" s="6"/>
      <c r="F3918" s="1"/>
      <c r="G3918" s="6"/>
      <c r="H3918" s="6"/>
      <c r="I3918" s="6"/>
      <c r="J3918" s="6"/>
      <c r="K3918" s="6"/>
      <c r="L3918" s="6"/>
      <c r="M3918" s="6"/>
      <c r="N3918" s="6"/>
      <c r="O3918" s="7"/>
      <c r="P3918" s="6"/>
      <c r="Q3918" s="7"/>
      <c r="R3918" s="6"/>
      <c r="S3918" s="6"/>
      <c r="T3918" s="6"/>
      <c r="U3918" s="6"/>
      <c r="V3918" s="7"/>
      <c r="W3918" s="6"/>
      <c r="X3918" s="6"/>
      <c r="Y3918" s="6"/>
      <c r="Z3918" s="6"/>
      <c r="AA3918" s="24"/>
      <c r="AB3918" s="25"/>
      <c r="AC3918" s="12"/>
      <c r="AD3918" s="12"/>
      <c r="AE3918" s="12"/>
      <c r="AF3918" s="6"/>
      <c r="AG3918" s="12"/>
      <c r="AH3918" s="6"/>
      <c r="AI3918" s="6"/>
      <c r="AJ3918" s="12"/>
      <c r="AK3918" s="12"/>
      <c r="AL3918" s="12"/>
      <c r="AM3918" s="12"/>
      <c r="AN3918" s="1"/>
      <c r="AO3918" s="6"/>
    </row>
    <row r="3919" spans="1:41" ht="15" x14ac:dyDescent="0.25">
      <c r="A3919" s="1"/>
      <c r="B3919" s="1"/>
      <c r="C3919" s="1"/>
      <c r="D3919" s="1"/>
      <c r="E3919" s="6"/>
      <c r="F3919" s="1"/>
      <c r="G3919" s="6"/>
      <c r="H3919" s="6"/>
      <c r="I3919" s="6"/>
      <c r="J3919" s="6"/>
      <c r="K3919" s="6"/>
      <c r="L3919" s="6"/>
      <c r="M3919" s="6"/>
      <c r="N3919" s="6"/>
      <c r="O3919" s="7"/>
      <c r="P3919" s="6"/>
      <c r="Q3919" s="6"/>
      <c r="R3919" s="7"/>
      <c r="S3919" s="6"/>
      <c r="T3919" s="6"/>
      <c r="U3919" s="7"/>
      <c r="V3919" s="6"/>
      <c r="W3919" s="6"/>
      <c r="X3919" s="12"/>
      <c r="Y3919" s="6"/>
      <c r="Z3919" s="6"/>
      <c r="AA3919" s="7"/>
      <c r="AB3919" s="6"/>
      <c r="AC3919" s="6"/>
      <c r="AD3919" s="6"/>
      <c r="AE3919" s="12"/>
      <c r="AF3919" s="6"/>
      <c r="AG3919" s="12"/>
      <c r="AH3919" s="6"/>
      <c r="AI3919" s="6"/>
      <c r="AJ3919" s="12"/>
      <c r="AK3919" s="24"/>
      <c r="AL3919" s="25"/>
      <c r="AM3919" s="12"/>
      <c r="AN3919" s="1"/>
      <c r="AO3919" s="6"/>
    </row>
    <row r="3920" spans="1:41" ht="15" x14ac:dyDescent="0.25">
      <c r="A3920" s="1"/>
      <c r="B3920" s="1"/>
      <c r="C3920" s="1"/>
      <c r="D3920" s="1"/>
      <c r="E3920" s="6"/>
      <c r="F3920" s="1"/>
      <c r="G3920" s="6"/>
      <c r="H3920" s="6"/>
      <c r="I3920" s="6"/>
      <c r="J3920" s="6"/>
      <c r="K3920" s="6"/>
      <c r="L3920" s="6"/>
      <c r="M3920" s="6"/>
      <c r="N3920" s="6"/>
      <c r="O3920" s="7"/>
      <c r="P3920" s="6"/>
      <c r="Q3920" s="6"/>
      <c r="R3920" s="7"/>
      <c r="S3920" s="6"/>
      <c r="T3920" s="6"/>
      <c r="U3920" s="7"/>
      <c r="V3920" s="6"/>
      <c r="W3920" s="6"/>
      <c r="X3920" s="12"/>
      <c r="Y3920" s="6"/>
      <c r="Z3920" s="6"/>
      <c r="AA3920" s="7"/>
      <c r="AB3920" s="6"/>
      <c r="AC3920" s="6"/>
      <c r="AD3920" s="6"/>
      <c r="AE3920" s="12"/>
      <c r="AF3920" s="6"/>
      <c r="AG3920" s="12"/>
      <c r="AH3920" s="6"/>
      <c r="AI3920" s="6"/>
      <c r="AJ3920" s="12"/>
      <c r="AK3920" s="24"/>
      <c r="AL3920" s="25"/>
      <c r="AM3920" s="12"/>
      <c r="AN3920" s="1"/>
      <c r="AO3920" s="6"/>
    </row>
    <row r="3921" spans="1:41" ht="15" x14ac:dyDescent="0.25">
      <c r="A3921" s="1"/>
      <c r="B3921" s="1"/>
      <c r="C3921" s="1"/>
      <c r="D3921" s="1"/>
      <c r="E3921" s="6"/>
      <c r="F3921" s="1"/>
      <c r="G3921" s="6"/>
      <c r="H3921" s="6"/>
      <c r="I3921" s="6"/>
      <c r="J3921" s="6"/>
      <c r="K3921" s="6"/>
      <c r="L3921" s="6"/>
      <c r="M3921" s="6"/>
      <c r="N3921" s="6"/>
      <c r="O3921" s="7"/>
      <c r="P3921" s="6"/>
      <c r="Q3921" s="6"/>
      <c r="R3921" s="7"/>
      <c r="S3921" s="6"/>
      <c r="T3921" s="6"/>
      <c r="U3921" s="7"/>
      <c r="V3921" s="6"/>
      <c r="W3921" s="6"/>
      <c r="X3921" s="12"/>
      <c r="Y3921" s="6"/>
      <c r="Z3921" s="6"/>
      <c r="AA3921" s="7"/>
      <c r="AB3921" s="6"/>
      <c r="AC3921" s="6"/>
      <c r="AD3921" s="6"/>
      <c r="AE3921" s="12"/>
      <c r="AF3921" s="6"/>
      <c r="AG3921" s="12"/>
      <c r="AH3921" s="6"/>
      <c r="AI3921" s="6"/>
      <c r="AJ3921" s="12"/>
      <c r="AK3921" s="24"/>
      <c r="AL3921" s="25"/>
      <c r="AM3921" s="12"/>
      <c r="AN3921" s="1"/>
      <c r="AO3921" s="6"/>
    </row>
    <row r="3922" spans="1:41" ht="15" x14ac:dyDescent="0.25">
      <c r="A3922" s="1"/>
      <c r="B3922" s="1"/>
      <c r="C3922" s="1"/>
      <c r="D3922" s="1"/>
      <c r="E3922" s="6"/>
      <c r="F3922" s="1"/>
      <c r="G3922" s="6"/>
      <c r="H3922" s="6"/>
      <c r="I3922" s="6"/>
      <c r="J3922" s="6"/>
      <c r="K3922" s="6"/>
      <c r="L3922" s="6"/>
      <c r="M3922" s="6"/>
      <c r="N3922" s="6"/>
      <c r="O3922" s="7"/>
      <c r="P3922" s="6"/>
      <c r="Q3922" s="6"/>
      <c r="R3922" s="7"/>
      <c r="S3922" s="6"/>
      <c r="T3922" s="6"/>
      <c r="U3922" s="7"/>
      <c r="V3922" s="6"/>
      <c r="W3922" s="6"/>
      <c r="X3922" s="12"/>
      <c r="Y3922" s="6"/>
      <c r="Z3922" s="6"/>
      <c r="AA3922" s="7"/>
      <c r="AB3922" s="6"/>
      <c r="AC3922" s="6"/>
      <c r="AD3922" s="6"/>
      <c r="AE3922" s="12"/>
      <c r="AF3922" s="6"/>
      <c r="AG3922" s="12"/>
      <c r="AH3922" s="6"/>
      <c r="AI3922" s="6"/>
      <c r="AJ3922" s="12"/>
      <c r="AK3922" s="24"/>
      <c r="AL3922" s="25"/>
      <c r="AM3922" s="12"/>
      <c r="AN3922" s="1"/>
      <c r="AO3922" s="6"/>
    </row>
    <row r="3923" spans="1:41" ht="15" x14ac:dyDescent="0.25">
      <c r="A3923" s="1"/>
      <c r="B3923" s="1"/>
      <c r="C3923" s="1"/>
      <c r="D3923" s="1"/>
      <c r="E3923" s="6"/>
      <c r="F3923" s="1"/>
      <c r="G3923" s="6"/>
      <c r="H3923" s="6"/>
      <c r="I3923" s="6"/>
      <c r="J3923" s="6"/>
      <c r="K3923" s="6"/>
      <c r="L3923" s="6"/>
      <c r="M3923" s="6"/>
      <c r="N3923" s="6"/>
      <c r="O3923" s="7"/>
      <c r="P3923" s="6"/>
      <c r="Q3923" s="6"/>
      <c r="R3923" s="7"/>
      <c r="S3923" s="6"/>
      <c r="T3923" s="6"/>
      <c r="U3923" s="7"/>
      <c r="V3923" s="6"/>
      <c r="W3923" s="6"/>
      <c r="X3923" s="6"/>
      <c r="Y3923" s="6"/>
      <c r="Z3923" s="6"/>
      <c r="AA3923" s="7"/>
      <c r="AB3923" s="6"/>
      <c r="AC3923" s="6"/>
      <c r="AD3923" s="6"/>
      <c r="AE3923" s="12"/>
      <c r="AF3923" s="6"/>
      <c r="AG3923" s="12"/>
      <c r="AH3923" s="6"/>
      <c r="AI3923" s="6"/>
      <c r="AJ3923" s="12"/>
      <c r="AK3923" s="24"/>
      <c r="AL3923" s="25"/>
      <c r="AM3923" s="12"/>
      <c r="AN3923" s="1"/>
      <c r="AO3923" s="6"/>
    </row>
    <row r="3924" spans="1:41" ht="15" x14ac:dyDescent="0.25">
      <c r="A3924" s="1"/>
      <c r="B3924" s="1"/>
      <c r="C3924" s="1"/>
      <c r="D3924" s="1"/>
      <c r="E3924" s="6"/>
      <c r="F3924" s="1"/>
      <c r="G3924" s="6"/>
      <c r="H3924" s="6"/>
      <c r="I3924" s="6"/>
      <c r="J3924" s="6"/>
      <c r="K3924" s="6"/>
      <c r="L3924" s="6"/>
      <c r="M3924" s="6"/>
      <c r="N3924" s="6"/>
      <c r="O3924" s="7"/>
      <c r="P3924" s="6"/>
      <c r="Q3924" s="6"/>
      <c r="R3924" s="7"/>
      <c r="S3924" s="6"/>
      <c r="T3924" s="6"/>
      <c r="U3924" s="7"/>
      <c r="V3924" s="6"/>
      <c r="W3924" s="6"/>
      <c r="X3924" s="6"/>
      <c r="Y3924" s="6"/>
      <c r="Z3924" s="6"/>
      <c r="AA3924" s="7"/>
      <c r="AB3924" s="6"/>
      <c r="AC3924" s="6"/>
      <c r="AD3924" s="6"/>
      <c r="AE3924" s="12"/>
      <c r="AF3924" s="6"/>
      <c r="AG3924" s="12"/>
      <c r="AH3924" s="6"/>
      <c r="AI3924" s="6"/>
      <c r="AJ3924" s="12"/>
      <c r="AK3924" s="24"/>
      <c r="AL3924" s="25"/>
      <c r="AM3924" s="12"/>
      <c r="AN3924" s="1"/>
      <c r="AO3924" s="6"/>
    </row>
    <row r="3925" spans="1:41" ht="15" x14ac:dyDescent="0.25">
      <c r="A3925" s="1"/>
      <c r="B3925" s="1"/>
      <c r="C3925" s="1"/>
      <c r="D3925" s="1"/>
      <c r="E3925" s="6"/>
      <c r="F3925" s="1"/>
      <c r="G3925" s="6"/>
      <c r="H3925" s="6"/>
      <c r="I3925" s="6"/>
      <c r="J3925" s="6"/>
      <c r="K3925" s="6"/>
      <c r="L3925" s="6"/>
      <c r="M3925" s="6"/>
      <c r="N3925" s="6"/>
      <c r="O3925" s="7"/>
      <c r="P3925" s="6"/>
      <c r="Q3925" s="6"/>
      <c r="R3925" s="7"/>
      <c r="S3925" s="6"/>
      <c r="T3925" s="6"/>
      <c r="U3925" s="7"/>
      <c r="V3925" s="6"/>
      <c r="W3925" s="6"/>
      <c r="X3925" s="6"/>
      <c r="Y3925" s="6"/>
      <c r="Z3925" s="6"/>
      <c r="AA3925" s="7"/>
      <c r="AB3925" s="6"/>
      <c r="AC3925" s="6"/>
      <c r="AD3925" s="6"/>
      <c r="AE3925" s="12"/>
      <c r="AF3925" s="6"/>
      <c r="AG3925" s="12"/>
      <c r="AH3925" s="6"/>
      <c r="AI3925" s="6"/>
      <c r="AJ3925" s="12"/>
      <c r="AK3925" s="24"/>
      <c r="AL3925" s="25"/>
      <c r="AM3925" s="12"/>
      <c r="AN3925" s="1"/>
      <c r="AO3925" s="6"/>
    </row>
    <row r="3926" spans="1:41" ht="15" x14ac:dyDescent="0.25">
      <c r="A3926" s="1"/>
      <c r="B3926" s="1"/>
      <c r="C3926" s="1"/>
      <c r="D3926" s="1"/>
      <c r="E3926" s="6"/>
      <c r="F3926" s="1"/>
      <c r="G3926" s="6"/>
      <c r="H3926" s="6"/>
      <c r="I3926" s="6"/>
      <c r="J3926" s="6"/>
      <c r="K3926" s="6"/>
      <c r="L3926" s="6"/>
      <c r="M3926" s="6"/>
      <c r="N3926" s="6"/>
      <c r="O3926" s="7"/>
      <c r="P3926" s="6"/>
      <c r="Q3926" s="6"/>
      <c r="R3926" s="7"/>
      <c r="S3926" s="6"/>
      <c r="T3926" s="6"/>
      <c r="U3926" s="7"/>
      <c r="V3926" s="6"/>
      <c r="W3926" s="6"/>
      <c r="X3926" s="6"/>
      <c r="Y3926" s="6"/>
      <c r="Z3926" s="6"/>
      <c r="AA3926" s="7"/>
      <c r="AB3926" s="6"/>
      <c r="AC3926" s="6"/>
      <c r="AD3926" s="6"/>
      <c r="AE3926" s="12"/>
      <c r="AF3926" s="6"/>
      <c r="AG3926" s="12"/>
      <c r="AH3926" s="6"/>
      <c r="AI3926" s="6"/>
      <c r="AJ3926" s="12"/>
      <c r="AK3926" s="24"/>
      <c r="AL3926" s="25"/>
      <c r="AM3926" s="12"/>
      <c r="AN3926" s="1"/>
      <c r="AO3926" s="6"/>
    </row>
    <row r="3927" spans="1:41" ht="15" x14ac:dyDescent="0.25">
      <c r="A3927" s="1"/>
      <c r="B3927" s="1"/>
      <c r="C3927" s="1"/>
      <c r="D3927" s="1"/>
      <c r="E3927" s="6"/>
      <c r="F3927" s="1"/>
      <c r="G3927" s="6"/>
      <c r="H3927" s="6"/>
      <c r="I3927" s="6"/>
      <c r="J3927" s="6"/>
      <c r="K3927" s="6"/>
      <c r="L3927" s="6"/>
      <c r="M3927" s="6"/>
      <c r="N3927" s="6"/>
      <c r="O3927" s="7"/>
      <c r="P3927" s="6"/>
      <c r="Q3927" s="6"/>
      <c r="R3927" s="7"/>
      <c r="S3927" s="6"/>
      <c r="T3927" s="6"/>
      <c r="U3927" s="7"/>
      <c r="V3927" s="6"/>
      <c r="W3927" s="6"/>
      <c r="X3927" s="12"/>
      <c r="Y3927" s="6"/>
      <c r="Z3927" s="6"/>
      <c r="AA3927" s="7"/>
      <c r="AB3927" s="6"/>
      <c r="AC3927" s="6"/>
      <c r="AD3927" s="6"/>
      <c r="AE3927" s="12"/>
      <c r="AF3927" s="6"/>
      <c r="AG3927" s="12"/>
      <c r="AH3927" s="6"/>
      <c r="AI3927" s="6"/>
      <c r="AJ3927" s="12"/>
      <c r="AK3927" s="1"/>
      <c r="AL3927" s="12"/>
      <c r="AM3927" s="12"/>
      <c r="AN3927" s="1"/>
      <c r="AO3927" s="6"/>
    </row>
    <row r="3928" spans="1:41" ht="15" x14ac:dyDescent="0.25">
      <c r="A3928" s="1"/>
      <c r="B3928" s="1"/>
      <c r="C3928" s="1"/>
      <c r="D3928" s="1"/>
      <c r="E3928" s="6"/>
      <c r="F3928" s="1"/>
      <c r="G3928" s="6"/>
      <c r="H3928" s="6"/>
      <c r="I3928" s="6"/>
      <c r="J3928" s="6"/>
      <c r="K3928" s="6"/>
      <c r="L3928" s="6"/>
      <c r="M3928" s="6"/>
      <c r="N3928" s="6"/>
      <c r="O3928" s="7"/>
      <c r="P3928" s="6"/>
      <c r="Q3928" s="6"/>
      <c r="R3928" s="7"/>
      <c r="S3928" s="6"/>
      <c r="T3928" s="6"/>
      <c r="U3928" s="7"/>
      <c r="V3928" s="6"/>
      <c r="W3928" s="6"/>
      <c r="X3928" s="6"/>
      <c r="Y3928" s="6"/>
      <c r="Z3928" s="6"/>
      <c r="AA3928" s="7"/>
      <c r="AB3928" s="6"/>
      <c r="AC3928" s="6"/>
      <c r="AD3928" s="6"/>
      <c r="AE3928" s="12"/>
      <c r="AF3928" s="12"/>
      <c r="AG3928" s="12"/>
      <c r="AH3928" s="12"/>
      <c r="AI3928" s="6"/>
      <c r="AJ3928" s="12"/>
      <c r="AK3928" s="1"/>
      <c r="AL3928" s="12"/>
      <c r="AM3928" s="12"/>
      <c r="AN3928" s="1"/>
      <c r="AO3928" s="6"/>
    </row>
    <row r="3929" spans="1:41" ht="15" x14ac:dyDescent="0.25">
      <c r="A3929" s="1"/>
      <c r="B3929" s="1"/>
      <c r="C3929" s="1"/>
      <c r="D3929" s="1"/>
      <c r="E3929" s="6"/>
      <c r="F3929" s="1"/>
      <c r="G3929" s="6"/>
      <c r="H3929" s="6"/>
      <c r="I3929" s="6"/>
      <c r="J3929" s="6"/>
      <c r="K3929" s="6"/>
      <c r="L3929" s="6"/>
      <c r="M3929" s="6"/>
      <c r="N3929" s="6"/>
      <c r="O3929" s="7"/>
      <c r="P3929" s="6"/>
      <c r="Q3929" s="6"/>
      <c r="R3929" s="7"/>
      <c r="S3929" s="6"/>
      <c r="T3929" s="6"/>
      <c r="U3929" s="7"/>
      <c r="V3929" s="6"/>
      <c r="W3929" s="6"/>
      <c r="X3929" s="12"/>
      <c r="Y3929" s="6"/>
      <c r="Z3929" s="6"/>
      <c r="AA3929" s="7"/>
      <c r="AB3929" s="6"/>
      <c r="AC3929" s="6"/>
      <c r="AD3929" s="6"/>
      <c r="AE3929" s="12"/>
      <c r="AF3929" s="12"/>
      <c r="AG3929" s="12"/>
      <c r="AH3929" s="12"/>
      <c r="AI3929" s="6"/>
      <c r="AJ3929" s="12"/>
      <c r="AK3929" s="1"/>
      <c r="AL3929" s="12"/>
      <c r="AM3929" s="12"/>
      <c r="AN3929" s="1"/>
      <c r="AO3929" s="6"/>
    </row>
    <row r="3930" spans="1:41" ht="15" x14ac:dyDescent="0.25">
      <c r="A3930" s="1"/>
      <c r="B3930" s="1"/>
      <c r="C3930" s="1"/>
      <c r="D3930" s="1"/>
      <c r="E3930" s="6"/>
      <c r="F3930" s="1"/>
      <c r="G3930" s="6"/>
      <c r="H3930" s="6"/>
      <c r="I3930" s="6"/>
      <c r="J3930" s="6"/>
      <c r="K3930" s="12"/>
      <c r="L3930" s="12"/>
      <c r="M3930" s="6"/>
      <c r="N3930" s="6"/>
      <c r="O3930" s="7"/>
      <c r="P3930" s="6"/>
      <c r="Q3930" s="6"/>
      <c r="R3930" s="7"/>
      <c r="S3930" s="6"/>
      <c r="T3930" s="6"/>
      <c r="U3930" s="7"/>
      <c r="V3930" s="6"/>
      <c r="W3930" s="6"/>
      <c r="X3930" s="6"/>
      <c r="Y3930" s="6"/>
      <c r="Z3930" s="6"/>
      <c r="AA3930" s="7"/>
      <c r="AB3930" s="6"/>
      <c r="AC3930" s="6"/>
      <c r="AD3930" s="6"/>
      <c r="AE3930" s="12"/>
      <c r="AF3930" s="12"/>
      <c r="AG3930" s="12"/>
      <c r="AH3930" s="12"/>
      <c r="AI3930" s="6"/>
      <c r="AJ3930" s="12"/>
      <c r="AK3930" s="1"/>
      <c r="AL3930" s="12"/>
      <c r="AM3930" s="12"/>
      <c r="AN3930" s="1"/>
      <c r="AO3930" s="12"/>
    </row>
    <row r="3931" spans="1:41" ht="15" x14ac:dyDescent="0.25">
      <c r="A3931" s="1"/>
      <c r="B3931" s="1"/>
      <c r="C3931" s="1"/>
      <c r="D3931" s="1"/>
      <c r="E3931" s="6"/>
      <c r="F3931" s="1"/>
      <c r="G3931" s="6"/>
      <c r="H3931" s="6"/>
      <c r="I3931" s="6"/>
      <c r="J3931" s="6"/>
      <c r="K3931" s="6"/>
      <c r="L3931" s="6"/>
      <c r="M3931" s="6"/>
      <c r="N3931" s="6"/>
      <c r="O3931" s="7"/>
      <c r="P3931" s="6"/>
      <c r="Q3931" s="6"/>
      <c r="R3931" s="7"/>
      <c r="S3931" s="6"/>
      <c r="T3931" s="6"/>
      <c r="U3931" s="7"/>
      <c r="V3931" s="6"/>
      <c r="W3931" s="6"/>
      <c r="X3931" s="12"/>
      <c r="Y3931" s="6"/>
      <c r="Z3931" s="6"/>
      <c r="AA3931" s="7"/>
      <c r="AB3931" s="6"/>
      <c r="AC3931" s="6"/>
      <c r="AD3931" s="6"/>
      <c r="AE3931" s="12"/>
      <c r="AF3931" s="12"/>
      <c r="AG3931" s="12"/>
      <c r="AH3931" s="12"/>
      <c r="AI3931" s="6"/>
      <c r="AJ3931" s="12"/>
      <c r="AK3931" s="1"/>
      <c r="AL3931" s="12"/>
      <c r="AM3931" s="12"/>
      <c r="AN3931" s="1"/>
      <c r="AO3931" s="6"/>
    </row>
    <row r="3932" spans="1:41" ht="15" x14ac:dyDescent="0.25">
      <c r="A3932" s="1"/>
      <c r="B3932" s="1"/>
      <c r="C3932" s="1"/>
      <c r="D3932" s="1"/>
      <c r="E3932" s="6"/>
      <c r="F3932" s="1"/>
      <c r="G3932" s="6"/>
      <c r="H3932" s="6"/>
      <c r="I3932" s="6"/>
      <c r="J3932" s="6"/>
      <c r="K3932" s="6"/>
      <c r="L3932" s="6"/>
      <c r="M3932" s="6"/>
      <c r="N3932" s="6"/>
      <c r="O3932" s="7"/>
      <c r="P3932" s="6"/>
      <c r="Q3932" s="6"/>
      <c r="R3932" s="12"/>
      <c r="S3932" s="12"/>
      <c r="T3932" s="12"/>
      <c r="U3932" s="7"/>
      <c r="V3932" s="6"/>
      <c r="W3932" s="6"/>
      <c r="X3932" s="12"/>
      <c r="Y3932" s="6"/>
      <c r="Z3932" s="6"/>
      <c r="AA3932" s="7"/>
      <c r="AB3932" s="6"/>
      <c r="AC3932" s="6"/>
      <c r="AD3932" s="6"/>
      <c r="AE3932" s="12"/>
      <c r="AF3932" s="12"/>
      <c r="AG3932" s="12"/>
      <c r="AH3932" s="12"/>
      <c r="AI3932" s="6"/>
      <c r="AJ3932" s="12"/>
      <c r="AK3932" s="1"/>
      <c r="AL3932" s="12"/>
      <c r="AM3932" s="12"/>
      <c r="AN3932" s="1"/>
      <c r="AO3932" s="6"/>
    </row>
    <row r="3933" spans="1:41" ht="15" x14ac:dyDescent="0.25">
      <c r="A3933" s="1"/>
      <c r="B3933" s="1"/>
      <c r="C3933" s="1"/>
      <c r="D3933" s="1"/>
      <c r="E3933" s="6"/>
      <c r="F3933" s="1"/>
      <c r="G3933" s="6"/>
      <c r="H3933" s="6"/>
      <c r="I3933" s="6"/>
      <c r="J3933" s="6"/>
      <c r="K3933" s="6"/>
      <c r="L3933" s="6"/>
      <c r="M3933" s="6"/>
      <c r="N3933" s="6"/>
      <c r="O3933" s="7"/>
      <c r="P3933" s="6"/>
      <c r="Q3933" s="6"/>
      <c r="R3933" s="12"/>
      <c r="S3933" s="12"/>
      <c r="T3933" s="12"/>
      <c r="U3933" s="7"/>
      <c r="V3933" s="6"/>
      <c r="W3933" s="6"/>
      <c r="X3933" s="12"/>
      <c r="Y3933" s="6"/>
      <c r="Z3933" s="6"/>
      <c r="AA3933" s="7"/>
      <c r="AB3933" s="6"/>
      <c r="AC3933" s="6"/>
      <c r="AD3933" s="6"/>
      <c r="AE3933" s="12"/>
      <c r="AF3933" s="12"/>
      <c r="AG3933" s="12"/>
      <c r="AH3933" s="12"/>
      <c r="AI3933" s="6"/>
      <c r="AJ3933" s="12"/>
      <c r="AK3933" s="1"/>
      <c r="AL3933" s="12"/>
      <c r="AM3933" s="12"/>
      <c r="AN3933" s="1"/>
      <c r="AO3933" s="6"/>
    </row>
    <row r="3934" spans="1:41" ht="15" x14ac:dyDescent="0.25">
      <c r="A3934" s="1"/>
      <c r="B3934" s="1"/>
      <c r="C3934" s="1"/>
      <c r="D3934" s="1"/>
      <c r="E3934" s="6"/>
      <c r="F3934" s="1"/>
      <c r="G3934" s="6"/>
      <c r="H3934" s="6"/>
      <c r="I3934" s="6"/>
      <c r="J3934" s="6"/>
      <c r="K3934" s="12"/>
      <c r="L3934" s="12"/>
      <c r="M3934" s="6"/>
      <c r="N3934" s="6"/>
      <c r="O3934" s="7"/>
      <c r="P3934" s="6"/>
      <c r="Q3934" s="6"/>
      <c r="R3934" s="7"/>
      <c r="S3934" s="6"/>
      <c r="T3934" s="6"/>
      <c r="U3934" s="7"/>
      <c r="V3934" s="6"/>
      <c r="W3934" s="6"/>
      <c r="X3934" s="12"/>
      <c r="Y3934" s="6"/>
      <c r="Z3934" s="6"/>
      <c r="AA3934" s="7"/>
      <c r="AB3934" s="6"/>
      <c r="AC3934" s="6"/>
      <c r="AD3934" s="6"/>
      <c r="AE3934" s="12"/>
      <c r="AF3934" s="12"/>
      <c r="AG3934" s="12"/>
      <c r="AH3934" s="12"/>
      <c r="AI3934" s="6"/>
      <c r="AJ3934" s="12"/>
      <c r="AK3934" s="1"/>
      <c r="AL3934" s="12"/>
      <c r="AM3934" s="12"/>
      <c r="AN3934" s="1"/>
      <c r="AO3934" s="12"/>
    </row>
    <row r="3935" spans="1:41" ht="15" x14ac:dyDescent="0.25">
      <c r="A3935" s="1"/>
      <c r="B3935" s="1"/>
      <c r="C3935" s="1"/>
      <c r="D3935" s="1"/>
      <c r="E3935" s="6"/>
      <c r="F3935" s="1"/>
      <c r="G3935" s="6"/>
      <c r="H3935" s="6"/>
      <c r="I3935" s="6"/>
      <c r="J3935" s="6"/>
      <c r="K3935" s="12"/>
      <c r="L3935" s="12"/>
      <c r="M3935" s="6"/>
      <c r="N3935" s="6"/>
      <c r="O3935" s="7"/>
      <c r="P3935" s="6"/>
      <c r="Q3935" s="6"/>
      <c r="R3935" s="7"/>
      <c r="S3935" s="6"/>
      <c r="T3935" s="6"/>
      <c r="U3935" s="7"/>
      <c r="V3935" s="6"/>
      <c r="W3935" s="6"/>
      <c r="X3935" s="12"/>
      <c r="Y3935" s="6"/>
      <c r="Z3935" s="6"/>
      <c r="AA3935" s="7"/>
      <c r="AB3935" s="6"/>
      <c r="AC3935" s="6"/>
      <c r="AD3935" s="6"/>
      <c r="AE3935" s="12"/>
      <c r="AF3935" s="12"/>
      <c r="AG3935" s="12"/>
      <c r="AH3935" s="12"/>
      <c r="AI3935" s="6"/>
      <c r="AJ3935" s="12"/>
      <c r="AK3935" s="1"/>
      <c r="AL3935" s="12"/>
      <c r="AM3935" s="12"/>
      <c r="AN3935" s="1"/>
      <c r="AO3935" s="12"/>
    </row>
    <row r="3936" spans="1:41" ht="15" x14ac:dyDescent="0.25">
      <c r="A3936" s="1"/>
      <c r="B3936" s="1"/>
      <c r="C3936" s="1"/>
      <c r="D3936" s="1"/>
      <c r="E3936" s="6"/>
      <c r="F3936" s="1"/>
      <c r="G3936" s="6"/>
      <c r="H3936" s="6"/>
      <c r="I3936" s="6"/>
      <c r="J3936" s="6"/>
      <c r="K3936" s="6"/>
      <c r="L3936" s="6"/>
      <c r="M3936" s="6"/>
      <c r="N3936" s="6"/>
      <c r="O3936" s="7"/>
      <c r="P3936" s="6"/>
      <c r="Q3936" s="6"/>
      <c r="R3936" s="7"/>
      <c r="S3936" s="6"/>
      <c r="T3936" s="6"/>
      <c r="U3936" s="7"/>
      <c r="V3936" s="6"/>
      <c r="W3936" s="6"/>
      <c r="X3936" s="12"/>
      <c r="Y3936" s="6"/>
      <c r="Z3936" s="6"/>
      <c r="AA3936" s="7"/>
      <c r="AB3936" s="6"/>
      <c r="AC3936" s="6"/>
      <c r="AD3936" s="6"/>
      <c r="AE3936" s="12"/>
      <c r="AF3936" s="6"/>
      <c r="AG3936" s="12"/>
      <c r="AH3936" s="6"/>
      <c r="AI3936" s="6"/>
      <c r="AJ3936" s="12"/>
      <c r="AK3936" s="1"/>
      <c r="AL3936" s="12"/>
      <c r="AM3936" s="12"/>
      <c r="AN3936" s="1"/>
      <c r="AO3936" s="6"/>
    </row>
    <row r="3937" spans="1:41" ht="15" x14ac:dyDescent="0.25">
      <c r="A3937" s="1"/>
      <c r="B3937" s="1"/>
      <c r="C3937" s="1"/>
      <c r="D3937" s="1"/>
      <c r="E3937" s="6"/>
      <c r="F3937" s="1"/>
      <c r="G3937" s="6"/>
      <c r="H3937" s="6"/>
      <c r="I3937" s="6"/>
      <c r="J3937" s="6"/>
      <c r="K3937" s="6"/>
      <c r="L3937" s="6"/>
      <c r="M3937" s="6"/>
      <c r="N3937" s="6"/>
      <c r="O3937" s="7"/>
      <c r="P3937" s="6"/>
      <c r="Q3937" s="6"/>
      <c r="R3937" s="7"/>
      <c r="S3937" s="6"/>
      <c r="T3937" s="6"/>
      <c r="U3937" s="7"/>
      <c r="V3937" s="6"/>
      <c r="W3937" s="6"/>
      <c r="X3937" s="6"/>
      <c r="Y3937" s="6"/>
      <c r="Z3937" s="6"/>
      <c r="AA3937" s="7"/>
      <c r="AB3937" s="6"/>
      <c r="AC3937" s="6"/>
      <c r="AD3937" s="6"/>
      <c r="AE3937" s="12"/>
      <c r="AF3937" s="12"/>
      <c r="AG3937" s="12"/>
      <c r="AH3937" s="12"/>
      <c r="AI3937" s="6"/>
      <c r="AJ3937" s="12"/>
      <c r="AK3937" s="1"/>
      <c r="AL3937" s="12"/>
      <c r="AM3937" s="12"/>
      <c r="AN3937" s="1"/>
      <c r="AO3937" s="6"/>
    </row>
    <row r="3938" spans="1:41" ht="15" x14ac:dyDescent="0.25">
      <c r="A3938" s="1"/>
      <c r="B3938" s="1"/>
      <c r="C3938" s="1"/>
      <c r="D3938" s="1"/>
      <c r="E3938" s="6"/>
      <c r="F3938" s="1"/>
      <c r="G3938" s="6"/>
      <c r="H3938" s="6"/>
      <c r="I3938" s="6"/>
      <c r="J3938" s="6"/>
      <c r="K3938" s="6"/>
      <c r="L3938" s="6"/>
      <c r="M3938" s="6"/>
      <c r="N3938" s="6"/>
      <c r="O3938" s="7"/>
      <c r="P3938" s="6"/>
      <c r="Q3938" s="7"/>
      <c r="R3938" s="6"/>
      <c r="S3938" s="12"/>
      <c r="T3938" s="6"/>
      <c r="U3938" s="6"/>
      <c r="V3938" s="7"/>
      <c r="W3938" s="6"/>
      <c r="X3938" s="6"/>
      <c r="Y3938" s="6"/>
      <c r="Z3938" s="6"/>
      <c r="AA3938" s="1"/>
      <c r="AB3938" s="12"/>
      <c r="AC3938" s="12"/>
      <c r="AD3938" s="12"/>
      <c r="AE3938" s="12"/>
      <c r="AF3938" s="6"/>
      <c r="AG3938" s="12"/>
      <c r="AH3938" s="6"/>
      <c r="AI3938" s="6"/>
      <c r="AJ3938" s="12"/>
      <c r="AK3938" s="12"/>
      <c r="AL3938" s="12"/>
      <c r="AM3938" s="12"/>
      <c r="AN3938" s="1"/>
      <c r="AO3938" s="6"/>
    </row>
    <row r="3939" spans="1:41" ht="15" x14ac:dyDescent="0.25">
      <c r="A3939" s="1"/>
      <c r="B3939" s="1"/>
      <c r="C3939" s="1"/>
      <c r="D3939" s="1"/>
      <c r="E3939" s="6"/>
      <c r="F3939" s="1"/>
      <c r="G3939" s="6"/>
      <c r="H3939" s="6"/>
      <c r="I3939" s="6"/>
      <c r="J3939" s="6"/>
      <c r="K3939" s="6"/>
      <c r="L3939" s="6"/>
      <c r="M3939" s="6"/>
      <c r="N3939" s="6"/>
      <c r="O3939" s="7"/>
      <c r="P3939" s="6"/>
      <c r="Q3939" s="6"/>
      <c r="R3939" s="7"/>
      <c r="S3939" s="6"/>
      <c r="T3939" s="6"/>
      <c r="U3939" s="7"/>
      <c r="V3939" s="6"/>
      <c r="W3939" s="6"/>
      <c r="X3939" s="6"/>
      <c r="Y3939" s="6"/>
      <c r="Z3939" s="6"/>
      <c r="AA3939" s="7"/>
      <c r="AB3939" s="6"/>
      <c r="AC3939" s="6"/>
      <c r="AD3939" s="6"/>
      <c r="AE3939" s="12"/>
      <c r="AF3939" s="6"/>
      <c r="AG3939" s="12"/>
      <c r="AH3939" s="6"/>
      <c r="AI3939" s="6"/>
      <c r="AJ3939" s="12"/>
      <c r="AK3939" s="24"/>
      <c r="AL3939" s="25"/>
      <c r="AM3939" s="12"/>
      <c r="AN3939" s="1"/>
      <c r="AO3939" s="6"/>
    </row>
    <row r="3940" spans="1:41" ht="15" x14ac:dyDescent="0.25">
      <c r="A3940" s="1"/>
      <c r="B3940" s="1"/>
      <c r="C3940" s="1"/>
      <c r="D3940" s="1"/>
      <c r="E3940" s="6"/>
      <c r="F3940" s="1"/>
      <c r="G3940" s="6"/>
      <c r="H3940" s="6"/>
      <c r="I3940" s="6"/>
      <c r="J3940" s="6"/>
      <c r="K3940" s="6"/>
      <c r="L3940" s="6"/>
      <c r="M3940" s="6"/>
      <c r="N3940" s="6"/>
      <c r="O3940" s="7"/>
      <c r="P3940" s="6"/>
      <c r="Q3940" s="6"/>
      <c r="R3940" s="15"/>
      <c r="S3940" s="6"/>
      <c r="T3940" s="6"/>
      <c r="U3940" s="15"/>
      <c r="V3940" s="6"/>
      <c r="W3940" s="6"/>
      <c r="X3940" s="6"/>
      <c r="Y3940" s="6"/>
      <c r="Z3940" s="6"/>
      <c r="AA3940" s="7"/>
      <c r="AB3940" s="6"/>
      <c r="AC3940" s="6"/>
      <c r="AD3940" s="6"/>
      <c r="AE3940" s="12"/>
      <c r="AF3940" s="6"/>
      <c r="AG3940" s="12"/>
      <c r="AH3940" s="6"/>
      <c r="AI3940" s="6"/>
      <c r="AJ3940" s="12"/>
      <c r="AK3940" s="24"/>
      <c r="AL3940" s="25"/>
      <c r="AM3940" s="12"/>
      <c r="AN3940" s="1"/>
      <c r="AO3940" s="6"/>
    </row>
    <row r="3941" spans="1:41" ht="15" x14ac:dyDescent="0.25">
      <c r="A3941" s="1"/>
      <c r="B3941" s="1"/>
      <c r="C3941" s="1"/>
      <c r="D3941" s="1"/>
      <c r="E3941" s="6"/>
      <c r="F3941" s="1"/>
      <c r="G3941" s="6"/>
      <c r="H3941" s="6"/>
      <c r="I3941" s="6"/>
      <c r="J3941" s="6"/>
      <c r="K3941" s="6"/>
      <c r="L3941" s="6"/>
      <c r="M3941" s="6"/>
      <c r="N3941" s="6"/>
      <c r="O3941" s="7"/>
      <c r="P3941" s="12"/>
      <c r="Q3941" s="6"/>
      <c r="R3941" s="7"/>
      <c r="S3941" s="6"/>
      <c r="T3941" s="6"/>
      <c r="U3941" s="7"/>
      <c r="V3941" s="6"/>
      <c r="W3941" s="6"/>
      <c r="X3941" s="6"/>
      <c r="Y3941" s="6"/>
      <c r="Z3941" s="6"/>
      <c r="AA3941" s="7"/>
      <c r="AB3941" s="6"/>
      <c r="AC3941" s="6"/>
      <c r="AD3941" s="6"/>
      <c r="AE3941" s="12"/>
      <c r="AF3941" s="12"/>
      <c r="AG3941" s="12"/>
      <c r="AH3941" s="12"/>
      <c r="AI3941" s="6"/>
      <c r="AJ3941" s="12"/>
      <c r="AK3941" s="1"/>
      <c r="AL3941" s="12"/>
      <c r="AM3941" s="12"/>
      <c r="AN3941" s="1"/>
      <c r="AO3941" s="6"/>
    </row>
    <row r="3942" spans="1:41" ht="15" x14ac:dyDescent="0.25">
      <c r="A3942" s="1"/>
      <c r="B3942" s="1"/>
      <c r="C3942" s="1"/>
      <c r="D3942" s="1"/>
      <c r="E3942" s="6"/>
      <c r="F3942" s="1"/>
      <c r="G3942" s="6"/>
      <c r="H3942" s="6"/>
      <c r="I3942" s="6"/>
      <c r="J3942" s="6"/>
      <c r="K3942" s="6"/>
      <c r="L3942" s="6"/>
      <c r="M3942" s="6"/>
      <c r="N3942" s="6"/>
      <c r="O3942" s="7"/>
      <c r="P3942" s="6"/>
      <c r="Q3942" s="6"/>
      <c r="R3942" s="7"/>
      <c r="S3942" s="6"/>
      <c r="T3942" s="6"/>
      <c r="U3942" s="7"/>
      <c r="V3942" s="6"/>
      <c r="W3942" s="6"/>
      <c r="X3942" s="6"/>
      <c r="Y3942" s="6"/>
      <c r="Z3942" s="6"/>
      <c r="AA3942" s="7"/>
      <c r="AB3942" s="6"/>
      <c r="AC3942" s="6"/>
      <c r="AD3942" s="6"/>
      <c r="AE3942" s="12"/>
      <c r="AF3942" s="12"/>
      <c r="AG3942" s="12"/>
      <c r="AH3942" s="12"/>
      <c r="AI3942" s="6"/>
      <c r="AJ3942" s="12"/>
      <c r="AK3942" s="1"/>
      <c r="AL3942" s="12"/>
      <c r="AM3942" s="12"/>
      <c r="AN3942" s="1"/>
      <c r="AO3942" s="6"/>
    </row>
    <row r="3943" spans="1:41" ht="15" x14ac:dyDescent="0.25">
      <c r="A3943" s="1"/>
      <c r="B3943" s="1"/>
      <c r="C3943" s="1"/>
      <c r="D3943" s="1"/>
      <c r="E3943" s="6"/>
      <c r="F3943" s="1"/>
      <c r="G3943" s="6"/>
      <c r="H3943" s="6"/>
      <c r="I3943" s="6"/>
      <c r="J3943" s="6"/>
      <c r="K3943" s="6"/>
      <c r="L3943" s="6"/>
      <c r="M3943" s="6"/>
      <c r="N3943" s="6"/>
      <c r="O3943" s="7"/>
      <c r="P3943" s="6"/>
      <c r="Q3943" s="6"/>
      <c r="R3943" s="7"/>
      <c r="S3943" s="6"/>
      <c r="T3943" s="6"/>
      <c r="U3943" s="7"/>
      <c r="V3943" s="6"/>
      <c r="W3943" s="6"/>
      <c r="X3943" s="6"/>
      <c r="Y3943" s="6"/>
      <c r="Z3943" s="6"/>
      <c r="AA3943" s="7"/>
      <c r="AB3943" s="6"/>
      <c r="AC3943" s="6"/>
      <c r="AD3943" s="6"/>
      <c r="AE3943" s="12"/>
      <c r="AF3943" s="12"/>
      <c r="AG3943" s="12"/>
      <c r="AH3943" s="12"/>
      <c r="AI3943" s="6"/>
      <c r="AJ3943" s="12"/>
      <c r="AK3943" s="1"/>
      <c r="AL3943" s="12"/>
      <c r="AM3943" s="12"/>
      <c r="AN3943" s="1"/>
      <c r="AO3943" s="6"/>
    </row>
    <row r="3944" spans="1:41" ht="15" x14ac:dyDescent="0.25">
      <c r="A3944" s="1"/>
      <c r="B3944" s="1"/>
      <c r="C3944" s="1"/>
      <c r="D3944" s="1"/>
      <c r="E3944" s="6"/>
      <c r="F3944" s="1"/>
      <c r="G3944" s="6"/>
      <c r="H3944" s="6"/>
      <c r="I3944" s="6"/>
      <c r="J3944" s="6"/>
      <c r="K3944" s="6"/>
      <c r="L3944" s="6"/>
      <c r="M3944" s="6"/>
      <c r="N3944" s="6"/>
      <c r="O3944" s="7"/>
      <c r="P3944" s="6"/>
      <c r="Q3944" s="6"/>
      <c r="R3944" s="7"/>
      <c r="S3944" s="6"/>
      <c r="T3944" s="6"/>
      <c r="U3944" s="7"/>
      <c r="V3944" s="6"/>
      <c r="W3944" s="6"/>
      <c r="X3944" s="6"/>
      <c r="Y3944" s="6"/>
      <c r="Z3944" s="6"/>
      <c r="AA3944" s="7"/>
      <c r="AB3944" s="6"/>
      <c r="AC3944" s="6"/>
      <c r="AD3944" s="6"/>
      <c r="AE3944" s="12"/>
      <c r="AF3944" s="6"/>
      <c r="AG3944" s="12"/>
      <c r="AH3944" s="6"/>
      <c r="AI3944" s="6"/>
      <c r="AJ3944" s="12"/>
      <c r="AK3944" s="24"/>
      <c r="AL3944" s="25"/>
      <c r="AM3944" s="12"/>
      <c r="AN3944" s="1"/>
      <c r="AO3944" s="6"/>
    </row>
    <row r="3945" spans="1:41" ht="15" x14ac:dyDescent="0.25">
      <c r="A3945" s="1"/>
      <c r="B3945" s="1"/>
      <c r="C3945" s="1"/>
      <c r="D3945" s="1"/>
      <c r="E3945" s="6"/>
      <c r="F3945" s="1"/>
      <c r="G3945" s="6"/>
      <c r="H3945" s="6"/>
      <c r="I3945" s="6"/>
      <c r="J3945" s="6"/>
      <c r="K3945" s="6"/>
      <c r="L3945" s="6"/>
      <c r="M3945" s="6"/>
      <c r="N3945" s="6"/>
      <c r="O3945" s="7"/>
      <c r="P3945" s="6"/>
      <c r="Q3945" s="6"/>
      <c r="R3945" s="7"/>
      <c r="S3945" s="6"/>
      <c r="T3945" s="6"/>
      <c r="U3945" s="7"/>
      <c r="V3945" s="6"/>
      <c r="W3945" s="6"/>
      <c r="X3945" s="6"/>
      <c r="Y3945" s="6"/>
      <c r="Z3945" s="6"/>
      <c r="AA3945" s="7"/>
      <c r="AB3945" s="6"/>
      <c r="AC3945" s="6"/>
      <c r="AD3945" s="6"/>
      <c r="AE3945" s="12"/>
      <c r="AF3945" s="6"/>
      <c r="AG3945" s="12"/>
      <c r="AH3945" s="6"/>
      <c r="AI3945" s="6"/>
      <c r="AJ3945" s="12"/>
      <c r="AK3945" s="24"/>
      <c r="AL3945" s="25"/>
      <c r="AM3945" s="12"/>
      <c r="AN3945" s="1"/>
      <c r="AO3945" s="6"/>
    </row>
    <row r="3946" spans="1:41" ht="15" x14ac:dyDescent="0.25">
      <c r="A3946" s="1"/>
      <c r="B3946" s="1"/>
      <c r="C3946" s="1"/>
      <c r="D3946" s="1"/>
      <c r="E3946" s="6"/>
      <c r="F3946" s="1"/>
      <c r="G3946" s="6"/>
      <c r="H3946" s="6"/>
      <c r="I3946" s="6"/>
      <c r="J3946" s="6"/>
      <c r="K3946" s="6"/>
      <c r="L3946" s="6"/>
      <c r="M3946" s="6"/>
      <c r="N3946" s="6"/>
      <c r="O3946" s="7"/>
      <c r="P3946" s="6"/>
      <c r="Q3946" s="6"/>
      <c r="R3946" s="7"/>
      <c r="S3946" s="6"/>
      <c r="T3946" s="6"/>
      <c r="U3946" s="7"/>
      <c r="V3946" s="6"/>
      <c r="W3946" s="6"/>
      <c r="X3946" s="6"/>
      <c r="Y3946" s="6"/>
      <c r="Z3946" s="6"/>
      <c r="AA3946" s="7"/>
      <c r="AB3946" s="6"/>
      <c r="AC3946" s="6"/>
      <c r="AD3946" s="6"/>
      <c r="AE3946" s="12"/>
      <c r="AF3946" s="12"/>
      <c r="AG3946" s="12"/>
      <c r="AH3946" s="12"/>
      <c r="AI3946" s="6"/>
      <c r="AJ3946" s="12"/>
      <c r="AK3946" s="1"/>
      <c r="AL3946" s="12"/>
      <c r="AM3946" s="12"/>
      <c r="AN3946" s="1"/>
      <c r="AO3946" s="6"/>
    </row>
    <row r="3947" spans="1:41" ht="15" x14ac:dyDescent="0.25">
      <c r="A3947" s="1"/>
      <c r="B3947" s="1"/>
      <c r="C3947" s="1"/>
      <c r="D3947" s="1"/>
      <c r="E3947" s="6"/>
      <c r="F3947" s="1"/>
      <c r="G3947" s="6"/>
      <c r="H3947" s="6"/>
      <c r="I3947" s="6"/>
      <c r="J3947" s="6"/>
      <c r="K3947" s="6"/>
      <c r="L3947" s="6"/>
      <c r="M3947" s="6"/>
      <c r="N3947" s="6"/>
      <c r="O3947" s="7"/>
      <c r="P3947" s="6"/>
      <c r="Q3947" s="6"/>
      <c r="R3947" s="7"/>
      <c r="S3947" s="6"/>
      <c r="T3947" s="6"/>
      <c r="U3947" s="7"/>
      <c r="V3947" s="6"/>
      <c r="W3947" s="6"/>
      <c r="X3947" s="6"/>
      <c r="Y3947" s="6"/>
      <c r="Z3947" s="6"/>
      <c r="AA3947" s="7"/>
      <c r="AB3947" s="6"/>
      <c r="AC3947" s="6"/>
      <c r="AD3947" s="6"/>
      <c r="AE3947" s="12"/>
      <c r="AF3947" s="6"/>
      <c r="AG3947" s="12"/>
      <c r="AH3947" s="6"/>
      <c r="AI3947" s="6"/>
      <c r="AJ3947" s="12"/>
      <c r="AK3947" s="24"/>
      <c r="AL3947" s="25"/>
      <c r="AM3947" s="12"/>
      <c r="AN3947" s="1"/>
      <c r="AO3947" s="6"/>
    </row>
    <row r="3948" spans="1:41" ht="15" x14ac:dyDescent="0.25">
      <c r="A3948" s="1"/>
      <c r="B3948" s="1"/>
      <c r="C3948" s="1"/>
      <c r="D3948" s="1"/>
      <c r="E3948" s="6"/>
      <c r="F3948" s="1"/>
      <c r="G3948" s="6"/>
      <c r="H3948" s="6"/>
      <c r="I3948" s="6"/>
      <c r="J3948" s="6"/>
      <c r="K3948" s="6"/>
      <c r="L3948" s="6"/>
      <c r="M3948" s="6"/>
      <c r="N3948" s="6"/>
      <c r="O3948" s="7"/>
      <c r="P3948" s="6"/>
      <c r="Q3948" s="6"/>
      <c r="R3948" s="7"/>
      <c r="S3948" s="6"/>
      <c r="T3948" s="6"/>
      <c r="U3948" s="7"/>
      <c r="V3948" s="6"/>
      <c r="W3948" s="6"/>
      <c r="X3948" s="6"/>
      <c r="Y3948" s="6"/>
      <c r="Z3948" s="6"/>
      <c r="AA3948" s="7"/>
      <c r="AB3948" s="6"/>
      <c r="AC3948" s="6"/>
      <c r="AD3948" s="6"/>
      <c r="AE3948" s="12"/>
      <c r="AF3948" s="6"/>
      <c r="AG3948" s="12"/>
      <c r="AH3948" s="6"/>
      <c r="AI3948" s="6"/>
      <c r="AJ3948" s="12"/>
      <c r="AK3948" s="24"/>
      <c r="AL3948" s="25"/>
      <c r="AM3948" s="12"/>
      <c r="AN3948" s="1"/>
      <c r="AO3948" s="6"/>
    </row>
    <row r="3949" spans="1:41" ht="15" x14ac:dyDescent="0.25">
      <c r="A3949" s="1"/>
      <c r="B3949" s="1"/>
      <c r="C3949" s="1"/>
      <c r="D3949" s="1"/>
      <c r="E3949" s="6"/>
      <c r="F3949" s="1"/>
      <c r="G3949" s="6"/>
      <c r="H3949" s="6"/>
      <c r="I3949" s="6"/>
      <c r="J3949" s="6"/>
      <c r="K3949" s="6"/>
      <c r="L3949" s="6"/>
      <c r="M3949" s="6"/>
      <c r="N3949" s="6"/>
      <c r="O3949" s="7"/>
      <c r="P3949" s="6"/>
      <c r="Q3949" s="7"/>
      <c r="R3949" s="6"/>
      <c r="S3949" s="6"/>
      <c r="T3949" s="6"/>
      <c r="U3949" s="6"/>
      <c r="V3949" s="7"/>
      <c r="W3949" s="7"/>
      <c r="X3949" s="6"/>
      <c r="Y3949" s="6"/>
      <c r="Z3949" s="6"/>
      <c r="AA3949" s="1"/>
      <c r="AB3949" s="12"/>
      <c r="AC3949" s="12"/>
      <c r="AD3949" s="12"/>
      <c r="AE3949" s="12"/>
      <c r="AF3949" s="12"/>
      <c r="AG3949" s="12"/>
      <c r="AH3949" s="12"/>
      <c r="AI3949" s="6"/>
      <c r="AJ3949" s="12"/>
      <c r="AK3949" s="12"/>
      <c r="AL3949" s="12"/>
      <c r="AM3949" s="12"/>
      <c r="AN3949" s="1"/>
      <c r="AO3949" s="6"/>
    </row>
    <row r="3950" spans="1:41" ht="15" x14ac:dyDescent="0.25">
      <c r="A3950" s="1"/>
      <c r="B3950" s="1"/>
      <c r="C3950" s="1"/>
      <c r="D3950" s="1"/>
      <c r="E3950" s="6"/>
      <c r="F3950" s="1"/>
      <c r="G3950" s="6"/>
      <c r="H3950" s="6"/>
      <c r="I3950" s="6"/>
      <c r="J3950" s="6"/>
      <c r="K3950" s="6"/>
      <c r="L3950" s="6"/>
      <c r="M3950" s="6"/>
      <c r="N3950" s="6"/>
      <c r="O3950" s="7"/>
      <c r="P3950" s="6"/>
      <c r="Q3950" s="6"/>
      <c r="R3950" s="7"/>
      <c r="S3950" s="6"/>
      <c r="T3950" s="6"/>
      <c r="U3950" s="7"/>
      <c r="V3950" s="6"/>
      <c r="W3950" s="6"/>
      <c r="X3950" s="6"/>
      <c r="Y3950" s="6"/>
      <c r="Z3950" s="6"/>
      <c r="AA3950" s="7"/>
      <c r="AB3950" s="6"/>
      <c r="AC3950" s="6"/>
      <c r="AD3950" s="6"/>
      <c r="AE3950" s="12"/>
      <c r="AF3950" s="12"/>
      <c r="AG3950" s="12"/>
      <c r="AH3950" s="12"/>
      <c r="AI3950" s="6"/>
      <c r="AJ3950" s="12"/>
      <c r="AK3950" s="1"/>
      <c r="AL3950" s="12"/>
      <c r="AM3950" s="12"/>
      <c r="AN3950" s="1"/>
      <c r="AO3950" s="6"/>
    </row>
    <row r="3951" spans="1:41" ht="15" x14ac:dyDescent="0.25">
      <c r="A3951" s="1"/>
      <c r="B3951" s="1"/>
      <c r="C3951" s="1"/>
      <c r="D3951" s="1"/>
      <c r="E3951" s="6"/>
      <c r="F3951" s="1"/>
      <c r="G3951" s="6"/>
      <c r="H3951" s="6"/>
      <c r="I3951" s="6"/>
      <c r="J3951" s="6"/>
      <c r="K3951" s="6"/>
      <c r="L3951" s="6"/>
      <c r="M3951" s="6"/>
      <c r="N3951" s="6"/>
      <c r="O3951" s="7"/>
      <c r="P3951" s="6"/>
      <c r="Q3951" s="6"/>
      <c r="R3951" s="7"/>
      <c r="S3951" s="6"/>
      <c r="T3951" s="6"/>
      <c r="U3951" s="7"/>
      <c r="V3951" s="6"/>
      <c r="W3951" s="6"/>
      <c r="X3951" s="6"/>
      <c r="Y3951" s="6"/>
      <c r="Z3951" s="6"/>
      <c r="AA3951" s="7"/>
      <c r="AB3951" s="6"/>
      <c r="AC3951" s="6"/>
      <c r="AD3951" s="6"/>
      <c r="AE3951" s="12"/>
      <c r="AF3951" s="12"/>
      <c r="AG3951" s="12"/>
      <c r="AH3951" s="12"/>
      <c r="AI3951" s="6"/>
      <c r="AJ3951" s="12"/>
      <c r="AK3951" s="1"/>
      <c r="AL3951" s="12"/>
      <c r="AM3951" s="12"/>
      <c r="AN3951" s="1"/>
      <c r="AO3951" s="6"/>
    </row>
    <row r="3952" spans="1:41" ht="15" x14ac:dyDescent="0.25">
      <c r="A3952" s="1"/>
      <c r="B3952" s="1"/>
      <c r="C3952" s="1"/>
      <c r="D3952" s="1"/>
      <c r="E3952" s="6"/>
      <c r="F3952" s="1"/>
      <c r="G3952" s="6"/>
      <c r="H3952" s="6"/>
      <c r="I3952" s="6"/>
      <c r="J3952" s="6"/>
      <c r="K3952" s="6"/>
      <c r="L3952" s="6"/>
      <c r="M3952" s="6"/>
      <c r="N3952" s="6"/>
      <c r="O3952" s="7"/>
      <c r="P3952" s="6"/>
      <c r="Q3952" s="7"/>
      <c r="R3952" s="6"/>
      <c r="S3952" s="6"/>
      <c r="T3952" s="6"/>
      <c r="U3952" s="6"/>
      <c r="V3952" s="7"/>
      <c r="W3952" s="7"/>
      <c r="X3952" s="6"/>
      <c r="Y3952" s="6"/>
      <c r="Z3952" s="6"/>
      <c r="AA3952" s="1"/>
      <c r="AB3952" s="12"/>
      <c r="AC3952" s="12"/>
      <c r="AD3952" s="12"/>
      <c r="AE3952" s="12"/>
      <c r="AF3952" s="12"/>
      <c r="AG3952" s="12"/>
      <c r="AH3952" s="12"/>
      <c r="AI3952" s="6"/>
      <c r="AJ3952" s="12"/>
      <c r="AK3952" s="12"/>
      <c r="AL3952" s="12"/>
      <c r="AM3952" s="12"/>
      <c r="AN3952" s="1"/>
      <c r="AO3952" s="6"/>
    </row>
    <row r="3953" spans="1:41" ht="15" x14ac:dyDescent="0.25">
      <c r="A3953" s="1"/>
      <c r="B3953" s="1"/>
      <c r="C3953" s="1"/>
      <c r="D3953" s="1"/>
      <c r="E3953" s="6"/>
      <c r="F3953" s="1"/>
      <c r="G3953" s="6"/>
      <c r="H3953" s="6"/>
      <c r="I3953" s="6"/>
      <c r="J3953" s="6"/>
      <c r="K3953" s="6"/>
      <c r="L3953" s="6"/>
      <c r="M3953" s="6"/>
      <c r="N3953" s="6"/>
      <c r="O3953" s="7"/>
      <c r="P3953" s="6"/>
      <c r="Q3953" s="6"/>
      <c r="R3953" s="7"/>
      <c r="S3953" s="6"/>
      <c r="T3953" s="6"/>
      <c r="U3953" s="7"/>
      <c r="V3953" s="6"/>
      <c r="W3953" s="6"/>
      <c r="X3953" s="6"/>
      <c r="Y3953" s="6"/>
      <c r="Z3953" s="6"/>
      <c r="AA3953" s="7"/>
      <c r="AB3953" s="6"/>
      <c r="AC3953" s="6"/>
      <c r="AD3953" s="6"/>
      <c r="AE3953" s="12"/>
      <c r="AF3953" s="6"/>
      <c r="AG3953" s="12"/>
      <c r="AH3953" s="6"/>
      <c r="AI3953" s="6"/>
      <c r="AJ3953" s="12"/>
      <c r="AK3953" s="24"/>
      <c r="AL3953" s="25"/>
      <c r="AM3953" s="12"/>
      <c r="AN3953" s="1"/>
      <c r="AO3953" s="6"/>
    </row>
    <row r="3954" spans="1:41" ht="15" x14ac:dyDescent="0.25">
      <c r="A3954" s="1"/>
      <c r="B3954" s="1"/>
      <c r="C3954" s="1"/>
      <c r="D3954" s="1"/>
      <c r="E3954" s="6"/>
      <c r="F3954" s="1"/>
      <c r="G3954" s="6"/>
      <c r="H3954" s="6"/>
      <c r="I3954" s="6"/>
      <c r="J3954" s="6"/>
      <c r="K3954" s="6"/>
      <c r="L3954" s="6"/>
      <c r="M3954" s="6"/>
      <c r="N3954" s="6"/>
      <c r="O3954" s="7"/>
      <c r="P3954" s="6"/>
      <c r="Q3954" s="6"/>
      <c r="R3954" s="7"/>
      <c r="S3954" s="6"/>
      <c r="T3954" s="6"/>
      <c r="U3954" s="7"/>
      <c r="V3954" s="6"/>
      <c r="W3954" s="6"/>
      <c r="X3954" s="6"/>
      <c r="Y3954" s="6"/>
      <c r="Z3954" s="6"/>
      <c r="AA3954" s="7"/>
      <c r="AB3954" s="6"/>
      <c r="AC3954" s="6"/>
      <c r="AD3954" s="6"/>
      <c r="AE3954" s="12"/>
      <c r="AF3954" s="6"/>
      <c r="AG3954" s="12"/>
      <c r="AH3954" s="6"/>
      <c r="AI3954" s="6"/>
      <c r="AJ3954" s="12"/>
      <c r="AK3954" s="24"/>
      <c r="AL3954" s="25"/>
      <c r="AM3954" s="12"/>
      <c r="AN3954" s="1"/>
      <c r="AO3954" s="6"/>
    </row>
    <row r="3955" spans="1:41" ht="15" x14ac:dyDescent="0.25">
      <c r="A3955" s="1"/>
      <c r="B3955" s="1"/>
      <c r="C3955" s="1"/>
      <c r="D3955" s="1"/>
      <c r="E3955" s="6"/>
      <c r="F3955" s="1"/>
      <c r="G3955" s="6"/>
      <c r="H3955" s="6"/>
      <c r="I3955" s="6"/>
      <c r="J3955" s="6"/>
      <c r="K3955" s="6"/>
      <c r="L3955" s="6"/>
      <c r="M3955" s="6"/>
      <c r="N3955" s="6"/>
      <c r="O3955" s="7"/>
      <c r="P3955" s="6"/>
      <c r="Q3955" s="6"/>
      <c r="R3955" s="7"/>
      <c r="S3955" s="6"/>
      <c r="T3955" s="6"/>
      <c r="U3955" s="7"/>
      <c r="V3955" s="6"/>
      <c r="W3955" s="6"/>
      <c r="X3955" s="12"/>
      <c r="Y3955" s="6"/>
      <c r="Z3955" s="6"/>
      <c r="AA3955" s="7"/>
      <c r="AB3955" s="6"/>
      <c r="AC3955" s="6"/>
      <c r="AD3955" s="6"/>
      <c r="AE3955" s="12"/>
      <c r="AF3955" s="6"/>
      <c r="AG3955" s="12"/>
      <c r="AH3955" s="6"/>
      <c r="AI3955" s="6"/>
      <c r="AJ3955" s="12"/>
      <c r="AK3955" s="24"/>
      <c r="AL3955" s="25"/>
      <c r="AM3955" s="12"/>
      <c r="AN3955" s="1"/>
      <c r="AO3955" s="6"/>
    </row>
    <row r="3956" spans="1:41" ht="15" x14ac:dyDescent="0.25">
      <c r="A3956" s="1"/>
      <c r="B3956" s="1"/>
      <c r="C3956" s="1"/>
      <c r="D3956" s="1"/>
      <c r="E3956" s="6"/>
      <c r="F3956" s="1"/>
      <c r="G3956" s="6"/>
      <c r="H3956" s="6"/>
      <c r="I3956" s="6"/>
      <c r="J3956" s="6"/>
      <c r="K3956" s="6"/>
      <c r="L3956" s="6"/>
      <c r="M3956" s="6"/>
      <c r="N3956" s="6"/>
      <c r="O3956" s="7"/>
      <c r="P3956" s="6"/>
      <c r="Q3956" s="6"/>
      <c r="R3956" s="7"/>
      <c r="S3956" s="6"/>
      <c r="T3956" s="6"/>
      <c r="U3956" s="7"/>
      <c r="V3956" s="6"/>
      <c r="W3956" s="6"/>
      <c r="X3956" s="12"/>
      <c r="Y3956" s="6"/>
      <c r="Z3956" s="6"/>
      <c r="AA3956" s="7"/>
      <c r="AB3956" s="6"/>
      <c r="AC3956" s="6"/>
      <c r="AD3956" s="6"/>
      <c r="AE3956" s="12"/>
      <c r="AF3956" s="6"/>
      <c r="AG3956" s="12"/>
      <c r="AH3956" s="6"/>
      <c r="AI3956" s="6"/>
      <c r="AJ3956" s="12"/>
      <c r="AK3956" s="24"/>
      <c r="AL3956" s="25"/>
      <c r="AM3956" s="12"/>
      <c r="AN3956" s="1"/>
      <c r="AO3956" s="6"/>
    </row>
    <row r="3957" spans="1:41" ht="15" x14ac:dyDescent="0.25">
      <c r="A3957" s="1"/>
      <c r="B3957" s="1"/>
      <c r="C3957" s="1"/>
      <c r="D3957" s="1"/>
      <c r="E3957" s="6"/>
      <c r="F3957" s="1"/>
      <c r="G3957" s="6"/>
      <c r="H3957" s="6"/>
      <c r="I3957" s="6"/>
      <c r="J3957" s="6"/>
      <c r="K3957" s="6"/>
      <c r="L3957" s="6"/>
      <c r="M3957" s="6"/>
      <c r="N3957" s="6"/>
      <c r="O3957" s="7"/>
      <c r="P3957" s="6"/>
      <c r="Q3957" s="6"/>
      <c r="R3957" s="12"/>
      <c r="S3957" s="12"/>
      <c r="T3957" s="12"/>
      <c r="U3957" s="7"/>
      <c r="V3957" s="6"/>
      <c r="W3957" s="6"/>
      <c r="X3957" s="12"/>
      <c r="Y3957" s="6"/>
      <c r="Z3957" s="6"/>
      <c r="AA3957" s="7"/>
      <c r="AB3957" s="6"/>
      <c r="AC3957" s="6"/>
      <c r="AD3957" s="6"/>
      <c r="AE3957" s="12"/>
      <c r="AF3957" s="12"/>
      <c r="AG3957" s="12"/>
      <c r="AH3957" s="12"/>
      <c r="AI3957" s="6"/>
      <c r="AJ3957" s="12"/>
      <c r="AK3957" s="1"/>
      <c r="AL3957" s="12"/>
      <c r="AM3957" s="12"/>
      <c r="AN3957" s="1"/>
      <c r="AO3957" s="6"/>
    </row>
    <row r="3958" spans="1:41" ht="15" x14ac:dyDescent="0.25">
      <c r="A3958" s="1"/>
      <c r="B3958" s="1"/>
      <c r="C3958" s="1"/>
      <c r="D3958" s="1"/>
      <c r="E3958" s="6"/>
      <c r="F3958" s="1"/>
      <c r="G3958" s="6"/>
      <c r="H3958" s="6"/>
      <c r="I3958" s="6"/>
      <c r="J3958" s="6"/>
      <c r="K3958" s="6"/>
      <c r="L3958" s="6"/>
      <c r="M3958" s="6"/>
      <c r="N3958" s="6"/>
      <c r="O3958" s="7"/>
      <c r="P3958" s="6"/>
      <c r="Q3958" s="6"/>
      <c r="R3958" s="7"/>
      <c r="S3958" s="6"/>
      <c r="T3958" s="6"/>
      <c r="U3958" s="7"/>
      <c r="V3958" s="6"/>
      <c r="W3958" s="6"/>
      <c r="X3958" s="6"/>
      <c r="Y3958" s="6"/>
      <c r="Z3958" s="6"/>
      <c r="AA3958" s="7"/>
      <c r="AB3958" s="6"/>
      <c r="AC3958" s="6"/>
      <c r="AD3958" s="6"/>
      <c r="AE3958" s="12"/>
      <c r="AF3958" s="12"/>
      <c r="AG3958" s="12"/>
      <c r="AH3958" s="12"/>
      <c r="AI3958" s="6"/>
      <c r="AJ3958" s="12"/>
      <c r="AK3958" s="1"/>
      <c r="AL3958" s="12"/>
      <c r="AM3958" s="12"/>
      <c r="AN3958" s="1"/>
      <c r="AO3958" s="6"/>
    </row>
    <row r="3959" spans="1:41" ht="15" x14ac:dyDescent="0.25">
      <c r="A3959" s="1"/>
      <c r="B3959" s="1"/>
      <c r="C3959" s="1"/>
      <c r="D3959" s="1"/>
      <c r="E3959" s="6"/>
      <c r="F3959" s="1"/>
      <c r="G3959" s="6"/>
      <c r="H3959" s="6"/>
      <c r="I3959" s="6"/>
      <c r="J3959" s="6"/>
      <c r="K3959" s="6"/>
      <c r="L3959" s="6"/>
      <c r="M3959" s="6"/>
      <c r="N3959" s="6"/>
      <c r="O3959" s="7"/>
      <c r="P3959" s="12"/>
      <c r="Q3959" s="6"/>
      <c r="R3959" s="7"/>
      <c r="S3959" s="6"/>
      <c r="T3959" s="6"/>
      <c r="U3959" s="7"/>
      <c r="V3959" s="6"/>
      <c r="W3959" s="6"/>
      <c r="X3959" s="6"/>
      <c r="Y3959" s="6"/>
      <c r="Z3959" s="6"/>
      <c r="AA3959" s="7"/>
      <c r="AB3959" s="6"/>
      <c r="AC3959" s="6"/>
      <c r="AD3959" s="6"/>
      <c r="AE3959" s="12"/>
      <c r="AF3959" s="6"/>
      <c r="AG3959" s="12"/>
      <c r="AH3959" s="6"/>
      <c r="AI3959" s="6"/>
      <c r="AJ3959" s="12"/>
      <c r="AK3959" s="24"/>
      <c r="AL3959" s="25"/>
      <c r="AM3959" s="12"/>
      <c r="AN3959" s="1"/>
      <c r="AO3959" s="6"/>
    </row>
    <row r="3960" spans="1:41" ht="15" x14ac:dyDescent="0.25">
      <c r="A3960" s="1"/>
      <c r="B3960" s="1"/>
      <c r="C3960" s="1"/>
      <c r="D3960" s="1"/>
      <c r="E3960" s="6"/>
      <c r="F3960" s="1"/>
      <c r="G3960" s="6"/>
      <c r="H3960" s="6"/>
      <c r="I3960" s="6"/>
      <c r="J3960" s="6"/>
      <c r="K3960" s="6"/>
      <c r="L3960" s="6"/>
      <c r="M3960" s="6"/>
      <c r="N3960" s="6"/>
      <c r="O3960" s="7"/>
      <c r="P3960" s="12"/>
      <c r="Q3960" s="6"/>
      <c r="R3960" s="7"/>
      <c r="S3960" s="6"/>
      <c r="T3960" s="6"/>
      <c r="U3960" s="7"/>
      <c r="V3960" s="6"/>
      <c r="W3960" s="6"/>
      <c r="X3960" s="6"/>
      <c r="Y3960" s="6"/>
      <c r="Z3960" s="6"/>
      <c r="AA3960" s="7"/>
      <c r="AB3960" s="6"/>
      <c r="AC3960" s="6"/>
      <c r="AD3960" s="6"/>
      <c r="AE3960" s="12"/>
      <c r="AF3960" s="6"/>
      <c r="AG3960" s="12"/>
      <c r="AH3960" s="6"/>
      <c r="AI3960" s="6"/>
      <c r="AJ3960" s="12"/>
      <c r="AK3960" s="24"/>
      <c r="AL3960" s="25"/>
      <c r="AM3960" s="12"/>
      <c r="AN3960" s="1"/>
      <c r="AO3960" s="6"/>
    </row>
    <row r="3961" spans="1:41" ht="15" x14ac:dyDescent="0.25">
      <c r="A3961" s="1"/>
      <c r="B3961" s="1"/>
      <c r="C3961" s="1"/>
      <c r="D3961" s="1"/>
      <c r="E3961" s="6"/>
      <c r="F3961" s="1"/>
      <c r="G3961" s="6"/>
      <c r="H3961" s="6"/>
      <c r="I3961" s="6"/>
      <c r="J3961" s="6"/>
      <c r="K3961" s="6"/>
      <c r="L3961" s="6"/>
      <c r="M3961" s="6"/>
      <c r="N3961" s="6"/>
      <c r="O3961" s="7"/>
      <c r="P3961" s="6"/>
      <c r="Q3961" s="6"/>
      <c r="R3961" s="7"/>
      <c r="S3961" s="6"/>
      <c r="T3961" s="6"/>
      <c r="U3961" s="7"/>
      <c r="V3961" s="6"/>
      <c r="W3961" s="6"/>
      <c r="X3961" s="6"/>
      <c r="Y3961" s="6"/>
      <c r="Z3961" s="6"/>
      <c r="AA3961" s="7"/>
      <c r="AB3961" s="6"/>
      <c r="AC3961" s="6"/>
      <c r="AD3961" s="6"/>
      <c r="AE3961" s="12"/>
      <c r="AF3961" s="6"/>
      <c r="AG3961" s="12"/>
      <c r="AH3961" s="6"/>
      <c r="AI3961" s="6"/>
      <c r="AJ3961" s="12"/>
      <c r="AK3961" s="24"/>
      <c r="AL3961" s="25"/>
      <c r="AM3961" s="12"/>
      <c r="AN3961" s="1"/>
      <c r="AO3961" s="6"/>
    </row>
    <row r="3962" spans="1:41" ht="15" x14ac:dyDescent="0.25">
      <c r="A3962" s="1"/>
      <c r="B3962" s="1"/>
      <c r="C3962" s="1"/>
      <c r="D3962" s="1"/>
      <c r="E3962" s="6"/>
      <c r="F3962" s="1"/>
      <c r="G3962" s="6"/>
      <c r="H3962" s="6"/>
      <c r="I3962" s="6"/>
      <c r="J3962" s="6"/>
      <c r="K3962" s="6"/>
      <c r="L3962" s="6"/>
      <c r="M3962" s="6"/>
      <c r="N3962" s="6"/>
      <c r="O3962" s="7"/>
      <c r="P3962" s="6"/>
      <c r="Q3962" s="6"/>
      <c r="R3962" s="7"/>
      <c r="S3962" s="6"/>
      <c r="T3962" s="6"/>
      <c r="U3962" s="7"/>
      <c r="V3962" s="6"/>
      <c r="W3962" s="6"/>
      <c r="X3962" s="6"/>
      <c r="Y3962" s="6"/>
      <c r="Z3962" s="6"/>
      <c r="AA3962" s="7"/>
      <c r="AB3962" s="6"/>
      <c r="AC3962" s="6"/>
      <c r="AD3962" s="6"/>
      <c r="AE3962" s="12"/>
      <c r="AF3962" s="6"/>
      <c r="AG3962" s="12"/>
      <c r="AH3962" s="6"/>
      <c r="AI3962" s="6"/>
      <c r="AJ3962" s="12"/>
      <c r="AK3962" s="24"/>
      <c r="AL3962" s="25"/>
      <c r="AM3962" s="12"/>
      <c r="AN3962" s="1"/>
      <c r="AO3962" s="6"/>
    </row>
    <row r="3963" spans="1:41" ht="15" x14ac:dyDescent="0.25">
      <c r="A3963" s="1"/>
      <c r="B3963" s="1"/>
      <c r="C3963" s="1"/>
      <c r="D3963" s="1"/>
      <c r="E3963" s="6"/>
      <c r="F3963" s="1"/>
      <c r="G3963" s="6"/>
      <c r="H3963" s="6"/>
      <c r="I3963" s="6"/>
      <c r="J3963" s="6"/>
      <c r="K3963" s="6"/>
      <c r="L3963" s="6"/>
      <c r="M3963" s="6"/>
      <c r="N3963" s="6"/>
      <c r="O3963" s="7"/>
      <c r="P3963" s="12"/>
      <c r="Q3963" s="6"/>
      <c r="R3963" s="7"/>
      <c r="S3963" s="6"/>
      <c r="T3963" s="6"/>
      <c r="U3963" s="7"/>
      <c r="V3963" s="6"/>
      <c r="W3963" s="6"/>
      <c r="X3963" s="6"/>
      <c r="Y3963" s="6"/>
      <c r="Z3963" s="6"/>
      <c r="AA3963" s="7"/>
      <c r="AB3963" s="6"/>
      <c r="AC3963" s="6"/>
      <c r="AD3963" s="6"/>
      <c r="AE3963" s="12"/>
      <c r="AF3963" s="6"/>
      <c r="AG3963" s="12"/>
      <c r="AH3963" s="6"/>
      <c r="AI3963" s="6"/>
      <c r="AJ3963" s="12"/>
      <c r="AK3963" s="24"/>
      <c r="AL3963" s="25"/>
      <c r="AM3963" s="12"/>
      <c r="AN3963" s="1"/>
      <c r="AO3963" s="6"/>
    </row>
    <row r="3964" spans="1:41" ht="15" x14ac:dyDescent="0.25">
      <c r="A3964" s="1"/>
      <c r="B3964" s="1"/>
      <c r="C3964" s="1"/>
      <c r="D3964" s="1"/>
      <c r="E3964" s="6"/>
      <c r="F3964" s="1"/>
      <c r="G3964" s="6"/>
      <c r="H3964" s="6"/>
      <c r="I3964" s="6"/>
      <c r="J3964" s="6"/>
      <c r="K3964" s="6"/>
      <c r="L3964" s="6"/>
      <c r="M3964" s="6"/>
      <c r="N3964" s="6"/>
      <c r="O3964" s="7"/>
      <c r="P3964" s="12"/>
      <c r="Q3964" s="6"/>
      <c r="R3964" s="7"/>
      <c r="S3964" s="6"/>
      <c r="T3964" s="6"/>
      <c r="U3964" s="7"/>
      <c r="V3964" s="6"/>
      <c r="W3964" s="6"/>
      <c r="X3964" s="6"/>
      <c r="Y3964" s="6"/>
      <c r="Z3964" s="6"/>
      <c r="AA3964" s="7"/>
      <c r="AB3964" s="6"/>
      <c r="AC3964" s="6"/>
      <c r="AD3964" s="6"/>
      <c r="AE3964" s="12"/>
      <c r="AF3964" s="6"/>
      <c r="AG3964" s="12"/>
      <c r="AH3964" s="6"/>
      <c r="AI3964" s="6"/>
      <c r="AJ3964" s="12"/>
      <c r="AK3964" s="24"/>
      <c r="AL3964" s="25"/>
      <c r="AM3964" s="12"/>
      <c r="AN3964" s="1"/>
      <c r="AO3964" s="6"/>
    </row>
    <row r="3965" spans="1:41" ht="15" x14ac:dyDescent="0.25">
      <c r="A3965" s="1"/>
      <c r="B3965" s="1"/>
      <c r="C3965" s="1"/>
      <c r="D3965" s="1"/>
      <c r="E3965" s="6"/>
      <c r="F3965" s="1"/>
      <c r="G3965" s="6"/>
      <c r="H3965" s="6"/>
      <c r="I3965" s="6"/>
      <c r="J3965" s="6"/>
      <c r="K3965" s="6"/>
      <c r="L3965" s="6"/>
      <c r="M3965" s="6"/>
      <c r="N3965" s="6"/>
      <c r="O3965" s="7"/>
      <c r="P3965" s="6"/>
      <c r="Q3965" s="6"/>
      <c r="R3965" s="7"/>
      <c r="S3965" s="6"/>
      <c r="T3965" s="6"/>
      <c r="U3965" s="7"/>
      <c r="V3965" s="6"/>
      <c r="W3965" s="6"/>
      <c r="X3965" s="12"/>
      <c r="Y3965" s="6"/>
      <c r="Z3965" s="6"/>
      <c r="AA3965" s="7"/>
      <c r="AB3965" s="6"/>
      <c r="AC3965" s="6"/>
      <c r="AD3965" s="6"/>
      <c r="AE3965" s="12"/>
      <c r="AF3965" s="12"/>
      <c r="AG3965" s="12"/>
      <c r="AH3965" s="12"/>
      <c r="AI3965" s="6"/>
      <c r="AJ3965" s="12"/>
      <c r="AK3965" s="24"/>
      <c r="AL3965" s="25"/>
      <c r="AM3965" s="12"/>
      <c r="AN3965" s="1"/>
      <c r="AO3965" s="6"/>
    </row>
    <row r="3966" spans="1:41" ht="15" x14ac:dyDescent="0.25">
      <c r="A3966" s="1"/>
      <c r="B3966" s="1"/>
      <c r="C3966" s="1"/>
      <c r="D3966" s="1"/>
      <c r="E3966" s="6"/>
      <c r="F3966" s="1"/>
      <c r="G3966" s="6"/>
      <c r="H3966" s="6"/>
      <c r="I3966" s="6"/>
      <c r="J3966" s="6"/>
      <c r="K3966" s="6"/>
      <c r="L3966" s="6"/>
      <c r="M3966" s="6"/>
      <c r="N3966" s="6"/>
      <c r="O3966" s="7"/>
      <c r="P3966" s="6"/>
      <c r="Q3966" s="6"/>
      <c r="R3966" s="7"/>
      <c r="S3966" s="6"/>
      <c r="T3966" s="6"/>
      <c r="U3966" s="7"/>
      <c r="V3966" s="6"/>
      <c r="W3966" s="6"/>
      <c r="X3966" s="12"/>
      <c r="Y3966" s="6"/>
      <c r="Z3966" s="6"/>
      <c r="AA3966" s="7"/>
      <c r="AB3966" s="6"/>
      <c r="AC3966" s="6"/>
      <c r="AD3966" s="6"/>
      <c r="AE3966" s="12"/>
      <c r="AF3966" s="12"/>
      <c r="AG3966" s="12"/>
      <c r="AH3966" s="12"/>
      <c r="AI3966" s="6"/>
      <c r="AJ3966" s="12"/>
      <c r="AK3966" s="24"/>
      <c r="AL3966" s="25"/>
      <c r="AM3966" s="12"/>
      <c r="AN3966" s="1"/>
      <c r="AO3966" s="6"/>
    </row>
    <row r="3967" spans="1:41" ht="15" x14ac:dyDescent="0.25">
      <c r="A3967" s="1"/>
      <c r="B3967" s="1"/>
      <c r="C3967" s="1"/>
      <c r="D3967" s="1"/>
      <c r="E3967" s="6"/>
      <c r="F3967" s="1"/>
      <c r="G3967" s="6"/>
      <c r="H3967" s="6"/>
      <c r="I3967" s="6"/>
      <c r="J3967" s="6"/>
      <c r="K3967" s="6"/>
      <c r="L3967" s="6"/>
      <c r="M3967" s="6"/>
      <c r="N3967" s="6"/>
      <c r="O3967" s="7"/>
      <c r="P3967" s="12"/>
      <c r="Q3967" s="6"/>
      <c r="R3967" s="7"/>
      <c r="S3967" s="6"/>
      <c r="T3967" s="6"/>
      <c r="U3967" s="7"/>
      <c r="V3967" s="6"/>
      <c r="W3967" s="6"/>
      <c r="X3967" s="12"/>
      <c r="Y3967" s="6"/>
      <c r="Z3967" s="6"/>
      <c r="AA3967" s="7"/>
      <c r="AB3967" s="6"/>
      <c r="AC3967" s="6"/>
      <c r="AD3967" s="6"/>
      <c r="AE3967" s="12"/>
      <c r="AF3967" s="6"/>
      <c r="AG3967" s="12"/>
      <c r="AH3967" s="6"/>
      <c r="AI3967" s="6"/>
      <c r="AJ3967" s="12"/>
      <c r="AK3967" s="1"/>
      <c r="AL3967" s="12"/>
      <c r="AM3967" s="12"/>
      <c r="AN3967" s="1"/>
      <c r="AO3967" s="6"/>
    </row>
    <row r="3968" spans="1:41" ht="15" x14ac:dyDescent="0.25">
      <c r="A3968" s="1"/>
      <c r="B3968" s="1"/>
      <c r="C3968" s="1"/>
      <c r="D3968" s="1"/>
      <c r="E3968" s="6"/>
      <c r="F3968" s="1"/>
      <c r="G3968" s="6"/>
      <c r="H3968" s="6"/>
      <c r="I3968" s="6"/>
      <c r="J3968" s="6"/>
      <c r="K3968" s="6"/>
      <c r="L3968" s="6"/>
      <c r="M3968" s="6"/>
      <c r="N3968" s="6"/>
      <c r="O3968" s="7"/>
      <c r="P3968" s="12"/>
      <c r="Q3968" s="6"/>
      <c r="R3968" s="7"/>
      <c r="S3968" s="6"/>
      <c r="T3968" s="6"/>
      <c r="U3968" s="7"/>
      <c r="V3968" s="6"/>
      <c r="W3968" s="6"/>
      <c r="X3968" s="12"/>
      <c r="Y3968" s="6"/>
      <c r="Z3968" s="6"/>
      <c r="AA3968" s="7"/>
      <c r="AB3968" s="6"/>
      <c r="AC3968" s="6"/>
      <c r="AD3968" s="6"/>
      <c r="AE3968" s="12"/>
      <c r="AF3968" s="6"/>
      <c r="AG3968" s="12"/>
      <c r="AH3968" s="6"/>
      <c r="AI3968" s="6"/>
      <c r="AJ3968" s="12"/>
      <c r="AK3968" s="1"/>
      <c r="AL3968" s="12"/>
      <c r="AM3968" s="12"/>
      <c r="AN3968" s="1"/>
      <c r="AO3968" s="6"/>
    </row>
    <row r="3969" spans="1:41" ht="15" x14ac:dyDescent="0.25">
      <c r="A3969" s="1"/>
      <c r="B3969" s="1"/>
      <c r="C3969" s="1"/>
      <c r="D3969" s="1"/>
      <c r="E3969" s="6"/>
      <c r="F3969" s="1"/>
      <c r="G3969" s="6"/>
      <c r="H3969" s="6"/>
      <c r="I3969" s="6"/>
      <c r="J3969" s="6"/>
      <c r="K3969" s="6"/>
      <c r="L3969" s="6"/>
      <c r="M3969" s="6"/>
      <c r="N3969" s="6"/>
      <c r="O3969" s="7"/>
      <c r="P3969" s="6"/>
      <c r="Q3969" s="6"/>
      <c r="R3969" s="7"/>
      <c r="S3969" s="6"/>
      <c r="T3969" s="6"/>
      <c r="U3969" s="7"/>
      <c r="V3969" s="6"/>
      <c r="W3969" s="6"/>
      <c r="X3969" s="12"/>
      <c r="Y3969" s="6"/>
      <c r="Z3969" s="6"/>
      <c r="AA3969" s="7"/>
      <c r="AB3969" s="6"/>
      <c r="AC3969" s="6"/>
      <c r="AD3969" s="6"/>
      <c r="AE3969" s="12"/>
      <c r="AF3969" s="6"/>
      <c r="AG3969" s="12"/>
      <c r="AH3969" s="6"/>
      <c r="AI3969" s="6"/>
      <c r="AJ3969" s="12"/>
      <c r="AK3969" s="24"/>
      <c r="AL3969" s="25"/>
      <c r="AM3969" s="12"/>
      <c r="AN3969" s="1"/>
      <c r="AO3969" s="6"/>
    </row>
    <row r="3970" spans="1:41" ht="15" x14ac:dyDescent="0.25">
      <c r="A3970" s="1"/>
      <c r="B3970" s="1"/>
      <c r="C3970" s="1"/>
      <c r="D3970" s="1"/>
      <c r="E3970" s="6"/>
      <c r="F3970" s="1"/>
      <c r="G3970" s="6"/>
      <c r="H3970" s="6"/>
      <c r="I3970" s="6"/>
      <c r="J3970" s="6"/>
      <c r="K3970" s="6"/>
      <c r="L3970" s="6"/>
      <c r="M3970" s="6"/>
      <c r="N3970" s="6"/>
      <c r="O3970" s="7"/>
      <c r="P3970" s="6"/>
      <c r="Q3970" s="6"/>
      <c r="R3970" s="7"/>
      <c r="S3970" s="6"/>
      <c r="T3970" s="6"/>
      <c r="U3970" s="7"/>
      <c r="V3970" s="6"/>
      <c r="W3970" s="6"/>
      <c r="X3970" s="12"/>
      <c r="Y3970" s="6"/>
      <c r="Z3970" s="6"/>
      <c r="AA3970" s="7"/>
      <c r="AB3970" s="6"/>
      <c r="AC3970" s="6"/>
      <c r="AD3970" s="6"/>
      <c r="AE3970" s="12"/>
      <c r="AF3970" s="6"/>
      <c r="AG3970" s="12"/>
      <c r="AH3970" s="6"/>
      <c r="AI3970" s="6"/>
      <c r="AJ3970" s="12"/>
      <c r="AK3970" s="24"/>
      <c r="AL3970" s="25"/>
      <c r="AM3970" s="12"/>
      <c r="AN3970" s="1"/>
      <c r="AO3970" s="6"/>
    </row>
    <row r="3971" spans="1:41" ht="15" x14ac:dyDescent="0.25">
      <c r="A3971" s="1"/>
      <c r="B3971" s="1"/>
      <c r="C3971" s="1"/>
      <c r="D3971" s="1"/>
      <c r="E3971" s="6"/>
      <c r="F3971" s="1"/>
      <c r="G3971" s="6"/>
      <c r="H3971" s="6"/>
      <c r="I3971" s="6"/>
      <c r="J3971" s="6"/>
      <c r="K3971" s="6"/>
      <c r="L3971" s="6"/>
      <c r="M3971" s="6"/>
      <c r="N3971" s="6"/>
      <c r="O3971" s="7"/>
      <c r="P3971" s="6"/>
      <c r="Q3971" s="6"/>
      <c r="R3971" s="7"/>
      <c r="S3971" s="6"/>
      <c r="T3971" s="6"/>
      <c r="U3971" s="7"/>
      <c r="V3971" s="6"/>
      <c r="W3971" s="6"/>
      <c r="X3971" s="12"/>
      <c r="Y3971" s="6"/>
      <c r="Z3971" s="6"/>
      <c r="AA3971" s="7"/>
      <c r="AB3971" s="6"/>
      <c r="AC3971" s="6"/>
      <c r="AD3971" s="6"/>
      <c r="AE3971" s="12"/>
      <c r="AF3971" s="12"/>
      <c r="AG3971" s="12"/>
      <c r="AH3971" s="12"/>
      <c r="AI3971" s="6"/>
      <c r="AJ3971" s="12"/>
      <c r="AK3971" s="1"/>
      <c r="AL3971" s="12"/>
      <c r="AM3971" s="12"/>
      <c r="AN3971" s="1"/>
      <c r="AO3971" s="6"/>
    </row>
    <row r="3972" spans="1:41" ht="15" x14ac:dyDescent="0.25">
      <c r="A3972" s="1"/>
      <c r="B3972" s="1"/>
      <c r="C3972" s="1"/>
      <c r="D3972" s="1"/>
      <c r="E3972" s="6"/>
      <c r="F3972" s="1"/>
      <c r="G3972" s="6"/>
      <c r="H3972" s="6"/>
      <c r="I3972" s="6"/>
      <c r="J3972" s="6"/>
      <c r="K3972" s="6"/>
      <c r="L3972" s="6"/>
      <c r="M3972" s="6"/>
      <c r="N3972" s="6"/>
      <c r="O3972" s="7"/>
      <c r="P3972" s="6"/>
      <c r="Q3972" s="6"/>
      <c r="R3972" s="7"/>
      <c r="S3972" s="6"/>
      <c r="T3972" s="6"/>
      <c r="U3972" s="7"/>
      <c r="V3972" s="6"/>
      <c r="W3972" s="6"/>
      <c r="X3972" s="6"/>
      <c r="Y3972" s="6"/>
      <c r="Z3972" s="6"/>
      <c r="AA3972" s="7"/>
      <c r="AB3972" s="6"/>
      <c r="AC3972" s="6"/>
      <c r="AD3972" s="6"/>
      <c r="AE3972" s="12"/>
      <c r="AF3972" s="6"/>
      <c r="AG3972" s="12"/>
      <c r="AH3972" s="6"/>
      <c r="AI3972" s="6"/>
      <c r="AJ3972" s="12"/>
      <c r="AK3972" s="24"/>
      <c r="AL3972" s="25"/>
      <c r="AM3972" s="12"/>
      <c r="AN3972" s="1"/>
      <c r="AO3972" s="6"/>
    </row>
    <row r="3973" spans="1:41" ht="15" x14ac:dyDescent="0.25">
      <c r="A3973" s="1"/>
      <c r="B3973" s="1"/>
      <c r="C3973" s="1"/>
      <c r="D3973" s="1"/>
      <c r="E3973" s="6"/>
      <c r="F3973" s="1"/>
      <c r="G3973" s="6"/>
      <c r="H3973" s="6"/>
      <c r="I3973" s="6"/>
      <c r="J3973" s="6"/>
      <c r="K3973" s="6"/>
      <c r="L3973" s="6"/>
      <c r="M3973" s="6"/>
      <c r="N3973" s="6"/>
      <c r="O3973" s="7"/>
      <c r="P3973" s="6"/>
      <c r="Q3973" s="6"/>
      <c r="R3973" s="7"/>
      <c r="S3973" s="6"/>
      <c r="T3973" s="6"/>
      <c r="U3973" s="7"/>
      <c r="V3973" s="6"/>
      <c r="W3973" s="6"/>
      <c r="X3973" s="6"/>
      <c r="Y3973" s="6"/>
      <c r="Z3973" s="6"/>
      <c r="AA3973" s="7"/>
      <c r="AB3973" s="6"/>
      <c r="AC3973" s="6"/>
      <c r="AD3973" s="6"/>
      <c r="AE3973" s="12"/>
      <c r="AF3973" s="6"/>
      <c r="AG3973" s="12"/>
      <c r="AH3973" s="6"/>
      <c r="AI3973" s="6"/>
      <c r="AJ3973" s="12"/>
      <c r="AK3973" s="24"/>
      <c r="AL3973" s="25"/>
      <c r="AM3973" s="12"/>
      <c r="AN3973" s="1"/>
      <c r="AO3973" s="6"/>
    </row>
    <row r="3974" spans="1:41" ht="15" x14ac:dyDescent="0.25">
      <c r="A3974" s="1"/>
      <c r="B3974" s="1"/>
      <c r="C3974" s="1"/>
      <c r="D3974" s="1"/>
      <c r="E3974" s="6"/>
      <c r="F3974" s="1"/>
      <c r="G3974" s="6"/>
      <c r="H3974" s="6"/>
      <c r="I3974" s="6"/>
      <c r="J3974" s="6"/>
      <c r="K3974" s="6"/>
      <c r="L3974" s="6"/>
      <c r="M3974" s="6"/>
      <c r="N3974" s="6"/>
      <c r="O3974" s="7"/>
      <c r="P3974" s="6"/>
      <c r="Q3974" s="6"/>
      <c r="R3974" s="7"/>
      <c r="S3974" s="6"/>
      <c r="T3974" s="6"/>
      <c r="U3974" s="7"/>
      <c r="V3974" s="6"/>
      <c r="W3974" s="6"/>
      <c r="X3974" s="6"/>
      <c r="Y3974" s="6"/>
      <c r="Z3974" s="6"/>
      <c r="AA3974" s="7"/>
      <c r="AB3974" s="6"/>
      <c r="AC3974" s="6"/>
      <c r="AD3974" s="6"/>
      <c r="AE3974" s="12"/>
      <c r="AF3974" s="12"/>
      <c r="AG3974" s="12"/>
      <c r="AH3974" s="12"/>
      <c r="AI3974" s="6"/>
      <c r="AJ3974" s="12"/>
      <c r="AK3974" s="1"/>
      <c r="AL3974" s="12"/>
      <c r="AM3974" s="12"/>
      <c r="AN3974" s="1"/>
      <c r="AO3974" s="6"/>
    </row>
    <row r="3975" spans="1:41" ht="15" x14ac:dyDescent="0.25">
      <c r="A3975" s="1"/>
      <c r="B3975" s="1"/>
      <c r="C3975" s="1"/>
      <c r="D3975" s="1"/>
      <c r="E3975" s="6"/>
      <c r="F3975" s="1"/>
      <c r="G3975" s="6"/>
      <c r="H3975" s="6"/>
      <c r="I3975" s="6"/>
      <c r="J3975" s="6"/>
      <c r="K3975" s="6"/>
      <c r="L3975" s="6"/>
      <c r="M3975" s="6"/>
      <c r="N3975" s="6"/>
      <c r="O3975" s="7"/>
      <c r="P3975" s="6"/>
      <c r="Q3975" s="6"/>
      <c r="R3975" s="12"/>
      <c r="S3975" s="12"/>
      <c r="T3975" s="12"/>
      <c r="U3975" s="7"/>
      <c r="V3975" s="6"/>
      <c r="W3975" s="6"/>
      <c r="X3975" s="12"/>
      <c r="Y3975" s="6"/>
      <c r="Z3975" s="6"/>
      <c r="AA3975" s="7"/>
      <c r="AB3975" s="6"/>
      <c r="AC3975" s="6"/>
      <c r="AD3975" s="6"/>
      <c r="AE3975" s="12"/>
      <c r="AF3975" s="6"/>
      <c r="AG3975" s="12"/>
      <c r="AH3975" s="6"/>
      <c r="AI3975" s="6"/>
      <c r="AJ3975" s="12"/>
      <c r="AK3975" s="24"/>
      <c r="AL3975" s="25"/>
      <c r="AM3975" s="12"/>
      <c r="AN3975" s="1"/>
      <c r="AO3975" s="6"/>
    </row>
    <row r="3976" spans="1:41" ht="15" x14ac:dyDescent="0.25">
      <c r="A3976" s="1"/>
      <c r="B3976" s="1"/>
      <c r="C3976" s="1"/>
      <c r="D3976" s="1"/>
      <c r="E3976" s="6"/>
      <c r="F3976" s="1"/>
      <c r="G3976" s="6"/>
      <c r="H3976" s="6"/>
      <c r="I3976" s="6"/>
      <c r="J3976" s="6"/>
      <c r="K3976" s="6"/>
      <c r="L3976" s="6"/>
      <c r="M3976" s="6"/>
      <c r="N3976" s="6"/>
      <c r="O3976" s="7"/>
      <c r="P3976" s="6"/>
      <c r="Q3976" s="6"/>
      <c r="R3976" s="12"/>
      <c r="S3976" s="12"/>
      <c r="T3976" s="12"/>
      <c r="U3976" s="7"/>
      <c r="V3976" s="6"/>
      <c r="W3976" s="6"/>
      <c r="X3976" s="12"/>
      <c r="Y3976" s="6"/>
      <c r="Z3976" s="6"/>
      <c r="AA3976" s="7"/>
      <c r="AB3976" s="6"/>
      <c r="AC3976" s="6"/>
      <c r="AD3976" s="6"/>
      <c r="AE3976" s="12"/>
      <c r="AF3976" s="6"/>
      <c r="AG3976" s="12"/>
      <c r="AH3976" s="6"/>
      <c r="AI3976" s="6"/>
      <c r="AJ3976" s="12"/>
      <c r="AK3976" s="24"/>
      <c r="AL3976" s="25"/>
      <c r="AM3976" s="12"/>
      <c r="AN3976" s="1"/>
      <c r="AO3976" s="6"/>
    </row>
    <row r="3977" spans="1:41" ht="15" x14ac:dyDescent="0.25">
      <c r="A3977" s="1"/>
      <c r="B3977" s="1"/>
      <c r="C3977" s="1"/>
      <c r="D3977" s="1"/>
      <c r="E3977" s="6"/>
      <c r="F3977" s="1"/>
      <c r="G3977" s="6"/>
      <c r="H3977" s="6"/>
      <c r="I3977" s="6"/>
      <c r="J3977" s="6"/>
      <c r="K3977" s="6"/>
      <c r="L3977" s="6"/>
      <c r="M3977" s="6"/>
      <c r="N3977" s="6"/>
      <c r="O3977" s="7"/>
      <c r="P3977" s="6"/>
      <c r="Q3977" s="6"/>
      <c r="R3977" s="7"/>
      <c r="S3977" s="6"/>
      <c r="T3977" s="6"/>
      <c r="U3977" s="7"/>
      <c r="V3977" s="6"/>
      <c r="W3977" s="6"/>
      <c r="X3977" s="12"/>
      <c r="Y3977" s="6"/>
      <c r="Z3977" s="6"/>
      <c r="AA3977" s="7"/>
      <c r="AB3977" s="6"/>
      <c r="AC3977" s="6"/>
      <c r="AD3977" s="6"/>
      <c r="AE3977" s="12"/>
      <c r="AF3977" s="6"/>
      <c r="AG3977" s="12"/>
      <c r="AH3977" s="6"/>
      <c r="AI3977" s="6"/>
      <c r="AJ3977" s="12"/>
      <c r="AK3977" s="24"/>
      <c r="AL3977" s="25"/>
      <c r="AM3977" s="12"/>
      <c r="AN3977" s="1"/>
      <c r="AO3977" s="6"/>
    </row>
    <row r="3978" spans="1:41" ht="15" x14ac:dyDescent="0.25">
      <c r="A3978" s="1"/>
      <c r="B3978" s="1"/>
      <c r="C3978" s="1"/>
      <c r="D3978" s="1"/>
      <c r="E3978" s="6"/>
      <c r="F3978" s="1"/>
      <c r="G3978" s="6"/>
      <c r="H3978" s="6"/>
      <c r="I3978" s="6"/>
      <c r="J3978" s="6"/>
      <c r="K3978" s="6"/>
      <c r="L3978" s="6"/>
      <c r="M3978" s="6"/>
      <c r="N3978" s="6"/>
      <c r="O3978" s="7"/>
      <c r="P3978" s="6"/>
      <c r="Q3978" s="6"/>
      <c r="R3978" s="7"/>
      <c r="S3978" s="6"/>
      <c r="T3978" s="6"/>
      <c r="U3978" s="7"/>
      <c r="V3978" s="6"/>
      <c r="W3978" s="6"/>
      <c r="X3978" s="12"/>
      <c r="Y3978" s="6"/>
      <c r="Z3978" s="6"/>
      <c r="AA3978" s="7"/>
      <c r="AB3978" s="6"/>
      <c r="AC3978" s="6"/>
      <c r="AD3978" s="6"/>
      <c r="AE3978" s="12"/>
      <c r="AF3978" s="6"/>
      <c r="AG3978" s="12"/>
      <c r="AH3978" s="6"/>
      <c r="AI3978" s="6"/>
      <c r="AJ3978" s="12"/>
      <c r="AK3978" s="24"/>
      <c r="AL3978" s="25"/>
      <c r="AM3978" s="12"/>
      <c r="AN3978" s="1"/>
      <c r="AO3978" s="6"/>
    </row>
    <row r="3979" spans="1:41" ht="15" x14ac:dyDescent="0.25">
      <c r="A3979" s="1"/>
      <c r="B3979" s="1"/>
      <c r="C3979" s="1"/>
      <c r="D3979" s="1"/>
      <c r="E3979" s="6"/>
      <c r="F3979" s="1"/>
      <c r="G3979" s="6"/>
      <c r="H3979" s="6"/>
      <c r="I3979" s="6"/>
      <c r="J3979" s="6"/>
      <c r="K3979" s="6"/>
      <c r="L3979" s="6"/>
      <c r="M3979" s="6"/>
      <c r="N3979" s="6"/>
      <c r="O3979" s="7"/>
      <c r="P3979" s="6"/>
      <c r="Q3979" s="6"/>
      <c r="R3979" s="7"/>
      <c r="S3979" s="6"/>
      <c r="T3979" s="6"/>
      <c r="U3979" s="7"/>
      <c r="V3979" s="6"/>
      <c r="W3979" s="6"/>
      <c r="X3979" s="6"/>
      <c r="Y3979" s="6"/>
      <c r="Z3979" s="6"/>
      <c r="AA3979" s="7"/>
      <c r="AB3979" s="6"/>
      <c r="AC3979" s="6"/>
      <c r="AD3979" s="6"/>
      <c r="AE3979" s="12"/>
      <c r="AF3979" s="6"/>
      <c r="AG3979" s="12"/>
      <c r="AH3979" s="6"/>
      <c r="AI3979" s="6"/>
      <c r="AJ3979" s="12"/>
      <c r="AK3979" s="24"/>
      <c r="AL3979" s="25"/>
      <c r="AM3979" s="12"/>
      <c r="AN3979" s="1"/>
      <c r="AO3979" s="6"/>
    </row>
    <row r="3980" spans="1:41" ht="15" x14ac:dyDescent="0.25">
      <c r="A3980" s="1"/>
      <c r="B3980" s="1"/>
      <c r="C3980" s="1"/>
      <c r="D3980" s="1"/>
      <c r="E3980" s="6"/>
      <c r="F3980" s="1"/>
      <c r="G3980" s="6"/>
      <c r="H3980" s="6"/>
      <c r="I3980" s="6"/>
      <c r="J3980" s="6"/>
      <c r="K3980" s="6"/>
      <c r="L3980" s="6"/>
      <c r="M3980" s="6"/>
      <c r="N3980" s="6"/>
      <c r="O3980" s="7"/>
      <c r="P3980" s="6"/>
      <c r="Q3980" s="6"/>
      <c r="R3980" s="7"/>
      <c r="S3980" s="6"/>
      <c r="T3980" s="6"/>
      <c r="U3980" s="7"/>
      <c r="V3980" s="6"/>
      <c r="W3980" s="6"/>
      <c r="X3980" s="6"/>
      <c r="Y3980" s="6"/>
      <c r="Z3980" s="6"/>
      <c r="AA3980" s="7"/>
      <c r="AB3980" s="6"/>
      <c r="AC3980" s="6"/>
      <c r="AD3980" s="6"/>
      <c r="AE3980" s="12"/>
      <c r="AF3980" s="6"/>
      <c r="AG3980" s="12"/>
      <c r="AH3980" s="6"/>
      <c r="AI3980" s="6"/>
      <c r="AJ3980" s="12"/>
      <c r="AK3980" s="24"/>
      <c r="AL3980" s="25"/>
      <c r="AM3980" s="12"/>
      <c r="AN3980" s="1"/>
      <c r="AO3980" s="6"/>
    </row>
    <row r="3981" spans="1:41" ht="15" x14ac:dyDescent="0.25">
      <c r="A3981" s="1"/>
      <c r="B3981" s="1"/>
      <c r="C3981" s="1"/>
      <c r="D3981" s="1"/>
      <c r="E3981" s="6"/>
      <c r="F3981" s="1"/>
      <c r="G3981" s="6"/>
      <c r="H3981" s="6"/>
      <c r="I3981" s="6"/>
      <c r="J3981" s="6"/>
      <c r="K3981" s="12"/>
      <c r="L3981" s="12"/>
      <c r="M3981" s="6"/>
      <c r="N3981" s="6"/>
      <c r="O3981" s="7"/>
      <c r="P3981" s="12"/>
      <c r="Q3981" s="6"/>
      <c r="R3981" s="7"/>
      <c r="S3981" s="6"/>
      <c r="T3981" s="6"/>
      <c r="U3981" s="7"/>
      <c r="V3981" s="6"/>
      <c r="W3981" s="6"/>
      <c r="X3981" s="6"/>
      <c r="Y3981" s="6"/>
      <c r="Z3981" s="6"/>
      <c r="AA3981" s="7"/>
      <c r="AB3981" s="6"/>
      <c r="AC3981" s="6"/>
      <c r="AD3981" s="6"/>
      <c r="AE3981" s="12"/>
      <c r="AF3981" s="12"/>
      <c r="AG3981" s="12"/>
      <c r="AH3981" s="12"/>
      <c r="AI3981" s="6"/>
      <c r="AJ3981" s="12"/>
      <c r="AK3981" s="1"/>
      <c r="AL3981" s="12"/>
      <c r="AM3981" s="12"/>
      <c r="AN3981" s="1"/>
      <c r="AO3981" s="6"/>
    </row>
    <row r="3982" spans="1:41" ht="15" x14ac:dyDescent="0.25">
      <c r="A3982" s="1"/>
      <c r="B3982" s="1"/>
      <c r="C3982" s="1"/>
      <c r="D3982" s="1"/>
      <c r="E3982" s="6"/>
      <c r="F3982" s="1"/>
      <c r="G3982" s="6"/>
      <c r="H3982" s="6"/>
      <c r="I3982" s="6"/>
      <c r="J3982" s="6"/>
      <c r="K3982" s="12"/>
      <c r="L3982" s="12"/>
      <c r="M3982" s="6"/>
      <c r="N3982" s="6"/>
      <c r="O3982" s="7"/>
      <c r="P3982" s="12"/>
      <c r="Q3982" s="6"/>
      <c r="R3982" s="7"/>
      <c r="S3982" s="6"/>
      <c r="T3982" s="6"/>
      <c r="U3982" s="7"/>
      <c r="V3982" s="6"/>
      <c r="W3982" s="6"/>
      <c r="X3982" s="6"/>
      <c r="Y3982" s="6"/>
      <c r="Z3982" s="6"/>
      <c r="AA3982" s="7"/>
      <c r="AB3982" s="6"/>
      <c r="AC3982" s="6"/>
      <c r="AD3982" s="6"/>
      <c r="AE3982" s="12"/>
      <c r="AF3982" s="12"/>
      <c r="AG3982" s="12"/>
      <c r="AH3982" s="12"/>
      <c r="AI3982" s="6"/>
      <c r="AJ3982" s="12"/>
      <c r="AK3982" s="1"/>
      <c r="AL3982" s="12"/>
      <c r="AM3982" s="12"/>
      <c r="AN3982" s="1"/>
      <c r="AO3982" s="6"/>
    </row>
    <row r="3983" spans="1:41" ht="15" x14ac:dyDescent="0.25">
      <c r="A3983" s="1"/>
      <c r="B3983" s="1"/>
      <c r="C3983" s="1"/>
      <c r="D3983" s="1"/>
      <c r="E3983" s="6"/>
      <c r="F3983" s="1"/>
      <c r="G3983" s="6"/>
      <c r="H3983" s="6"/>
      <c r="I3983" s="6"/>
      <c r="J3983" s="6"/>
      <c r="K3983" s="6"/>
      <c r="L3983" s="6"/>
      <c r="M3983" s="6"/>
      <c r="N3983" s="6"/>
      <c r="O3983" s="7"/>
      <c r="P3983" s="12"/>
      <c r="Q3983" s="6"/>
      <c r="R3983" s="7"/>
      <c r="S3983" s="6"/>
      <c r="T3983" s="6"/>
      <c r="U3983" s="7"/>
      <c r="V3983" s="6"/>
      <c r="W3983" s="6"/>
      <c r="X3983" s="6"/>
      <c r="Y3983" s="6"/>
      <c r="Z3983" s="6"/>
      <c r="AA3983" s="7"/>
      <c r="AB3983" s="6"/>
      <c r="AC3983" s="6"/>
      <c r="AD3983" s="6"/>
      <c r="AE3983" s="12"/>
      <c r="AF3983" s="12"/>
      <c r="AG3983" s="12"/>
      <c r="AH3983" s="12"/>
      <c r="AI3983" s="6"/>
      <c r="AJ3983" s="12"/>
      <c r="AK3983" s="1"/>
      <c r="AL3983" s="12"/>
      <c r="AM3983" s="12"/>
      <c r="AN3983" s="1"/>
      <c r="AO3983" s="6"/>
    </row>
    <row r="3984" spans="1:41" ht="15" x14ac:dyDescent="0.25">
      <c r="A3984" s="1"/>
      <c r="B3984" s="1"/>
      <c r="C3984" s="1"/>
      <c r="D3984" s="1"/>
      <c r="E3984" s="6"/>
      <c r="F3984" s="1"/>
      <c r="G3984" s="6"/>
      <c r="H3984" s="6"/>
      <c r="I3984" s="6"/>
      <c r="J3984" s="6"/>
      <c r="K3984" s="6"/>
      <c r="L3984" s="6"/>
      <c r="M3984" s="6"/>
      <c r="N3984" s="6"/>
      <c r="O3984" s="7"/>
      <c r="P3984" s="6"/>
      <c r="Q3984" s="6"/>
      <c r="R3984" s="7"/>
      <c r="S3984" s="6"/>
      <c r="T3984" s="6"/>
      <c r="U3984" s="7"/>
      <c r="V3984" s="6"/>
      <c r="W3984" s="6"/>
      <c r="X3984" s="12"/>
      <c r="Y3984" s="6"/>
      <c r="Z3984" s="6"/>
      <c r="AA3984" s="7"/>
      <c r="AB3984" s="6"/>
      <c r="AC3984" s="6"/>
      <c r="AD3984" s="6"/>
      <c r="AE3984" s="12"/>
      <c r="AF3984" s="6"/>
      <c r="AG3984" s="12"/>
      <c r="AH3984" s="6"/>
      <c r="AI3984" s="6"/>
      <c r="AJ3984" s="12"/>
      <c r="AK3984" s="1"/>
      <c r="AL3984" s="12"/>
      <c r="AM3984" s="12"/>
      <c r="AN3984" s="1"/>
      <c r="AO3984" s="6"/>
    </row>
    <row r="3985" spans="1:41" ht="15" x14ac:dyDescent="0.25">
      <c r="A3985" s="1"/>
      <c r="B3985" s="1"/>
      <c r="C3985" s="1"/>
      <c r="D3985" s="1"/>
      <c r="E3985" s="6"/>
      <c r="F3985" s="1"/>
      <c r="G3985" s="6"/>
      <c r="H3985" s="6"/>
      <c r="I3985" s="6"/>
      <c r="J3985" s="6"/>
      <c r="K3985" s="6"/>
      <c r="L3985" s="6"/>
      <c r="M3985" s="6"/>
      <c r="N3985" s="6"/>
      <c r="O3985" s="7"/>
      <c r="P3985" s="6"/>
      <c r="Q3985" s="6"/>
      <c r="R3985" s="7"/>
      <c r="S3985" s="6"/>
      <c r="T3985" s="6"/>
      <c r="U3985" s="7"/>
      <c r="V3985" s="6"/>
      <c r="W3985" s="6"/>
      <c r="X3985" s="6"/>
      <c r="Y3985" s="6"/>
      <c r="Z3985" s="6"/>
      <c r="AA3985" s="7"/>
      <c r="AB3985" s="6"/>
      <c r="AC3985" s="6"/>
      <c r="AD3985" s="6"/>
      <c r="AE3985" s="12"/>
      <c r="AF3985" s="6"/>
      <c r="AG3985" s="12"/>
      <c r="AH3985" s="6"/>
      <c r="AI3985" s="6"/>
      <c r="AJ3985" s="12"/>
      <c r="AK3985" s="24"/>
      <c r="AL3985" s="25"/>
      <c r="AM3985" s="12"/>
      <c r="AN3985" s="1"/>
      <c r="AO3985" s="6"/>
    </row>
    <row r="3986" spans="1:41" ht="15" x14ac:dyDescent="0.25">
      <c r="A3986" s="1"/>
      <c r="B3986" s="1"/>
      <c r="C3986" s="1"/>
      <c r="D3986" s="1"/>
      <c r="E3986" s="6"/>
      <c r="F3986" s="1"/>
      <c r="G3986" s="6"/>
      <c r="H3986" s="6"/>
      <c r="I3986" s="6"/>
      <c r="J3986" s="6"/>
      <c r="K3986" s="6"/>
      <c r="L3986" s="6"/>
      <c r="M3986" s="6"/>
      <c r="N3986" s="6"/>
      <c r="O3986" s="7"/>
      <c r="P3986" s="6"/>
      <c r="Q3986" s="6"/>
      <c r="R3986" s="7"/>
      <c r="S3986" s="6"/>
      <c r="T3986" s="6"/>
      <c r="U3986" s="7"/>
      <c r="V3986" s="6"/>
      <c r="W3986" s="6"/>
      <c r="X3986" s="6"/>
      <c r="Y3986" s="6"/>
      <c r="Z3986" s="6"/>
      <c r="AA3986" s="7"/>
      <c r="AB3986" s="6"/>
      <c r="AC3986" s="6"/>
      <c r="AD3986" s="6"/>
      <c r="AE3986" s="12"/>
      <c r="AF3986" s="6"/>
      <c r="AG3986" s="12"/>
      <c r="AH3986" s="6"/>
      <c r="AI3986" s="6"/>
      <c r="AJ3986" s="12"/>
      <c r="AK3986" s="24"/>
      <c r="AL3986" s="25"/>
      <c r="AM3986" s="12"/>
      <c r="AN3986" s="1"/>
      <c r="AO3986" s="6"/>
    </row>
    <row r="3987" spans="1:41" ht="15" x14ac:dyDescent="0.25">
      <c r="A3987" s="1"/>
      <c r="B3987" s="1"/>
      <c r="C3987" s="1"/>
      <c r="D3987" s="1"/>
      <c r="E3987" s="6"/>
      <c r="F3987" s="1"/>
      <c r="G3987" s="6"/>
      <c r="H3987" s="6"/>
      <c r="I3987" s="6"/>
      <c r="J3987" s="6"/>
      <c r="K3987" s="12"/>
      <c r="L3987" s="12"/>
      <c r="M3987" s="6"/>
      <c r="N3987" s="6"/>
      <c r="O3987" s="7"/>
      <c r="P3987" s="6"/>
      <c r="Q3987" s="6"/>
      <c r="R3987" s="7"/>
      <c r="S3987" s="6"/>
      <c r="T3987" s="6"/>
      <c r="U3987" s="7"/>
      <c r="V3987" s="6"/>
      <c r="W3987" s="6"/>
      <c r="X3987" s="6"/>
      <c r="Y3987" s="6"/>
      <c r="Z3987" s="6"/>
      <c r="AA3987" s="7"/>
      <c r="AB3987" s="6"/>
      <c r="AC3987" s="6"/>
      <c r="AD3987" s="6"/>
      <c r="AE3987" s="12"/>
      <c r="AF3987" s="12"/>
      <c r="AG3987" s="12"/>
      <c r="AH3987" s="12"/>
      <c r="AI3987" s="6"/>
      <c r="AJ3987" s="12"/>
      <c r="AK3987" s="1"/>
      <c r="AL3987" s="12"/>
      <c r="AM3987" s="12"/>
      <c r="AN3987" s="1"/>
      <c r="AO3987" s="6"/>
    </row>
    <row r="3988" spans="1:41" ht="15" x14ac:dyDescent="0.25">
      <c r="A3988" s="1"/>
      <c r="B3988" s="1"/>
      <c r="C3988" s="1"/>
      <c r="D3988" s="1"/>
      <c r="E3988" s="6"/>
      <c r="F3988" s="1"/>
      <c r="G3988" s="6"/>
      <c r="H3988" s="6"/>
      <c r="I3988" s="6"/>
      <c r="J3988" s="6"/>
      <c r="K3988" s="6"/>
      <c r="L3988" s="6"/>
      <c r="M3988" s="6"/>
      <c r="N3988" s="6"/>
      <c r="O3988" s="7"/>
      <c r="P3988" s="6"/>
      <c r="Q3988" s="6"/>
      <c r="R3988" s="7"/>
      <c r="S3988" s="6"/>
      <c r="T3988" s="6"/>
      <c r="U3988" s="7"/>
      <c r="V3988" s="6"/>
      <c r="W3988" s="6"/>
      <c r="X3988" s="6"/>
      <c r="Y3988" s="6"/>
      <c r="Z3988" s="6"/>
      <c r="AA3988" s="7"/>
      <c r="AB3988" s="6"/>
      <c r="AC3988" s="6"/>
      <c r="AD3988" s="6"/>
      <c r="AE3988" s="12"/>
      <c r="AF3988" s="6"/>
      <c r="AG3988" s="12"/>
      <c r="AH3988" s="6"/>
      <c r="AI3988" s="6"/>
      <c r="AJ3988" s="12"/>
      <c r="AK3988" s="24"/>
      <c r="AL3988" s="25"/>
      <c r="AM3988" s="12"/>
      <c r="AN3988" s="1"/>
      <c r="AO3988" s="6"/>
    </row>
    <row r="3989" spans="1:41" ht="15" x14ac:dyDescent="0.25">
      <c r="A3989" s="1"/>
      <c r="B3989" s="1"/>
      <c r="C3989" s="1"/>
      <c r="D3989" s="1"/>
      <c r="E3989" s="6"/>
      <c r="F3989" s="1"/>
      <c r="G3989" s="6"/>
      <c r="H3989" s="6"/>
      <c r="I3989" s="6"/>
      <c r="J3989" s="6"/>
      <c r="K3989" s="6"/>
      <c r="L3989" s="6"/>
      <c r="M3989" s="6"/>
      <c r="N3989" s="6"/>
      <c r="O3989" s="7"/>
      <c r="P3989" s="6"/>
      <c r="Q3989" s="6"/>
      <c r="R3989" s="7"/>
      <c r="S3989" s="6"/>
      <c r="T3989" s="6"/>
      <c r="U3989" s="7"/>
      <c r="V3989" s="6"/>
      <c r="W3989" s="6"/>
      <c r="X3989" s="6"/>
      <c r="Y3989" s="6"/>
      <c r="Z3989" s="6"/>
      <c r="AA3989" s="7"/>
      <c r="AB3989" s="6"/>
      <c r="AC3989" s="6"/>
      <c r="AD3989" s="6"/>
      <c r="AE3989" s="12"/>
      <c r="AF3989" s="6"/>
      <c r="AG3989" s="12"/>
      <c r="AH3989" s="6"/>
      <c r="AI3989" s="6"/>
      <c r="AJ3989" s="12"/>
      <c r="AK3989" s="24"/>
      <c r="AL3989" s="25"/>
      <c r="AM3989" s="12"/>
      <c r="AN3989" s="1"/>
      <c r="AO3989" s="6"/>
    </row>
    <row r="3990" spans="1:41" ht="15" x14ac:dyDescent="0.25">
      <c r="A3990" s="1"/>
      <c r="B3990" s="1"/>
      <c r="C3990" s="1"/>
      <c r="D3990" s="1"/>
      <c r="E3990" s="6"/>
      <c r="F3990" s="1"/>
      <c r="G3990" s="6"/>
      <c r="H3990" s="6"/>
      <c r="I3990" s="6"/>
      <c r="J3990" s="6"/>
      <c r="K3990" s="6"/>
      <c r="L3990" s="6"/>
      <c r="M3990" s="6"/>
      <c r="N3990" s="6"/>
      <c r="O3990" s="7"/>
      <c r="P3990" s="6"/>
      <c r="Q3990" s="6"/>
      <c r="R3990" s="7"/>
      <c r="S3990" s="6"/>
      <c r="T3990" s="6"/>
      <c r="U3990" s="7"/>
      <c r="V3990" s="6"/>
      <c r="W3990" s="6"/>
      <c r="X3990" s="12"/>
      <c r="Y3990" s="6"/>
      <c r="Z3990" s="6"/>
      <c r="AA3990" s="7"/>
      <c r="AB3990" s="6"/>
      <c r="AC3990" s="6"/>
      <c r="AD3990" s="6"/>
      <c r="AE3990" s="12"/>
      <c r="AF3990" s="12"/>
      <c r="AG3990" s="12"/>
      <c r="AH3990" s="12"/>
      <c r="AI3990" s="6"/>
      <c r="AJ3990" s="12"/>
      <c r="AK3990" s="1"/>
      <c r="AL3990" s="12"/>
      <c r="AM3990" s="12"/>
      <c r="AN3990" s="1"/>
      <c r="AO3990" s="6"/>
    </row>
    <row r="3991" spans="1:41" ht="15" x14ac:dyDescent="0.25">
      <c r="A3991" s="1"/>
      <c r="B3991" s="1"/>
      <c r="C3991" s="1"/>
      <c r="D3991" s="1"/>
      <c r="E3991" s="6"/>
      <c r="F3991" s="1"/>
      <c r="G3991" s="6"/>
      <c r="H3991" s="6"/>
      <c r="I3991" s="6"/>
      <c r="J3991" s="6"/>
      <c r="K3991" s="12"/>
      <c r="L3991" s="12"/>
      <c r="M3991" s="6"/>
      <c r="N3991" s="6"/>
      <c r="O3991" s="7"/>
      <c r="P3991" s="6"/>
      <c r="Q3991" s="6"/>
      <c r="R3991" s="7"/>
      <c r="S3991" s="6"/>
      <c r="T3991" s="6"/>
      <c r="U3991" s="7"/>
      <c r="V3991" s="6"/>
      <c r="W3991" s="6"/>
      <c r="X3991" s="6"/>
      <c r="Y3991" s="6"/>
      <c r="Z3991" s="6"/>
      <c r="AA3991" s="7"/>
      <c r="AB3991" s="6"/>
      <c r="AC3991" s="6"/>
      <c r="AD3991" s="6"/>
      <c r="AE3991" s="12"/>
      <c r="AF3991" s="12"/>
      <c r="AG3991" s="12"/>
      <c r="AH3991" s="12"/>
      <c r="AI3991" s="6"/>
      <c r="AJ3991" s="12"/>
      <c r="AK3991" s="1"/>
      <c r="AL3991" s="12"/>
      <c r="AM3991" s="12"/>
      <c r="AN3991" s="1"/>
      <c r="AO3991" s="6"/>
    </row>
    <row r="3992" spans="1:41" ht="15" x14ac:dyDescent="0.25">
      <c r="A3992" s="1"/>
      <c r="B3992" s="1"/>
      <c r="C3992" s="1"/>
      <c r="D3992" s="1"/>
      <c r="E3992" s="6"/>
      <c r="F3992" s="1"/>
      <c r="G3992" s="6"/>
      <c r="H3992" s="6"/>
      <c r="I3992" s="6"/>
      <c r="J3992" s="6"/>
      <c r="K3992" s="6"/>
      <c r="L3992" s="6"/>
      <c r="M3992" s="6"/>
      <c r="N3992" s="6"/>
      <c r="O3992" s="7"/>
      <c r="P3992" s="12"/>
      <c r="Q3992" s="6"/>
      <c r="R3992" s="7"/>
      <c r="S3992" s="6"/>
      <c r="T3992" s="6"/>
      <c r="U3992" s="7"/>
      <c r="V3992" s="6"/>
      <c r="W3992" s="6"/>
      <c r="X3992" s="6"/>
      <c r="Y3992" s="6"/>
      <c r="Z3992" s="6"/>
      <c r="AA3992" s="7"/>
      <c r="AB3992" s="6"/>
      <c r="AC3992" s="6"/>
      <c r="AD3992" s="6"/>
      <c r="AE3992" s="12"/>
      <c r="AF3992" s="12"/>
      <c r="AG3992" s="12"/>
      <c r="AH3992" s="12"/>
      <c r="AI3992" s="6"/>
      <c r="AJ3992" s="12"/>
      <c r="AK3992" s="1"/>
      <c r="AL3992" s="12"/>
      <c r="AM3992" s="12"/>
      <c r="AN3992" s="1"/>
      <c r="AO3992" s="6"/>
    </row>
    <row r="3993" spans="1:41" ht="15" x14ac:dyDescent="0.25">
      <c r="A3993" s="1"/>
      <c r="B3993" s="1"/>
      <c r="C3993" s="1"/>
      <c r="D3993" s="1"/>
      <c r="E3993" s="6"/>
      <c r="F3993" s="1"/>
      <c r="G3993" s="6"/>
      <c r="H3993" s="6"/>
      <c r="I3993" s="6"/>
      <c r="J3993" s="6"/>
      <c r="K3993" s="6"/>
      <c r="L3993" s="6"/>
      <c r="M3993" s="6"/>
      <c r="N3993" s="6"/>
      <c r="O3993" s="7"/>
      <c r="P3993" s="6"/>
      <c r="Q3993" s="6"/>
      <c r="R3993" s="7"/>
      <c r="S3993" s="6"/>
      <c r="T3993" s="12"/>
      <c r="U3993" s="6"/>
      <c r="V3993" s="6"/>
      <c r="W3993" s="6"/>
      <c r="X3993" s="7"/>
      <c r="Y3993" s="6"/>
      <c r="Z3993" s="6"/>
      <c r="AA3993" s="7"/>
      <c r="AB3993" s="6"/>
      <c r="AC3993" s="6"/>
      <c r="AD3993" s="6"/>
      <c r="AE3993" s="12"/>
      <c r="AF3993" s="6"/>
      <c r="AG3993" s="12"/>
      <c r="AH3993" s="6"/>
      <c r="AI3993" s="6"/>
      <c r="AJ3993" s="12"/>
      <c r="AK3993" s="6"/>
      <c r="AL3993" s="12"/>
      <c r="AM3993" s="12"/>
      <c r="AN3993" s="1"/>
      <c r="AO3993" s="6"/>
    </row>
    <row r="3994" spans="1:41" ht="15" x14ac:dyDescent="0.25">
      <c r="A3994" s="1"/>
      <c r="B3994" s="1"/>
      <c r="C3994" s="1"/>
      <c r="D3994" s="1"/>
      <c r="E3994" s="6"/>
      <c r="F3994" s="1"/>
      <c r="G3994" s="6"/>
      <c r="H3994" s="6"/>
      <c r="I3994" s="6"/>
      <c r="J3994" s="6"/>
      <c r="K3994" s="6"/>
      <c r="L3994" s="6"/>
      <c r="M3994" s="6"/>
      <c r="N3994" s="6"/>
      <c r="O3994" s="7"/>
      <c r="P3994" s="6"/>
      <c r="Q3994" s="6"/>
      <c r="R3994" s="7"/>
      <c r="S3994" s="6"/>
      <c r="T3994" s="12"/>
      <c r="U3994" s="6"/>
      <c r="V3994" s="6"/>
      <c r="W3994" s="6"/>
      <c r="X3994" s="7"/>
      <c r="Y3994" s="6"/>
      <c r="Z3994" s="6"/>
      <c r="AA3994" s="7"/>
      <c r="AB3994" s="6"/>
      <c r="AC3994" s="6"/>
      <c r="AD3994" s="6"/>
      <c r="AE3994" s="12"/>
      <c r="AF3994" s="6"/>
      <c r="AG3994" s="12"/>
      <c r="AH3994" s="6"/>
      <c r="AI3994" s="6"/>
      <c r="AJ3994" s="12"/>
      <c r="AK3994" s="6"/>
      <c r="AL3994" s="12"/>
      <c r="AM3994" s="12"/>
      <c r="AN3994" s="1"/>
      <c r="AO3994" s="6"/>
    </row>
    <row r="3995" spans="1:41" ht="15" x14ac:dyDescent="0.25">
      <c r="A3995" s="1"/>
      <c r="B3995" s="1"/>
      <c r="C3995" s="1"/>
      <c r="D3995" s="1"/>
      <c r="E3995" s="6"/>
      <c r="F3995" s="1"/>
      <c r="G3995" s="6"/>
      <c r="H3995" s="6"/>
      <c r="I3995" s="6"/>
      <c r="J3995" s="6"/>
      <c r="K3995" s="6"/>
      <c r="L3995" s="6"/>
      <c r="M3995" s="6"/>
      <c r="N3995" s="6"/>
      <c r="O3995" s="7"/>
      <c r="P3995" s="6"/>
      <c r="Q3995" s="6"/>
      <c r="R3995" s="7"/>
      <c r="S3995" s="6"/>
      <c r="T3995" s="6"/>
      <c r="U3995" s="7"/>
      <c r="V3995" s="6"/>
      <c r="W3995" s="6"/>
      <c r="X3995" s="12"/>
      <c r="Y3995" s="6"/>
      <c r="Z3995" s="6"/>
      <c r="AA3995" s="7"/>
      <c r="AB3995" s="6"/>
      <c r="AC3995" s="6"/>
      <c r="AD3995" s="6"/>
      <c r="AE3995" s="12"/>
      <c r="AF3995" s="6"/>
      <c r="AG3995" s="12"/>
      <c r="AH3995" s="6"/>
      <c r="AI3995" s="6"/>
      <c r="AJ3995" s="12"/>
      <c r="AK3995" s="24"/>
      <c r="AL3995" s="25"/>
      <c r="AM3995" s="12"/>
      <c r="AN3995" s="1"/>
      <c r="AO3995" s="6"/>
    </row>
    <row r="3996" spans="1:41" ht="15" x14ac:dyDescent="0.25">
      <c r="A3996" s="1"/>
      <c r="B3996" s="1"/>
      <c r="C3996" s="1"/>
      <c r="D3996" s="1"/>
      <c r="E3996" s="6"/>
      <c r="F3996" s="1"/>
      <c r="G3996" s="6"/>
      <c r="H3996" s="6"/>
      <c r="I3996" s="6"/>
      <c r="J3996" s="6"/>
      <c r="K3996" s="6"/>
      <c r="L3996" s="6"/>
      <c r="M3996" s="6"/>
      <c r="N3996" s="6"/>
      <c r="O3996" s="7"/>
      <c r="P3996" s="6"/>
      <c r="Q3996" s="6"/>
      <c r="R3996" s="7"/>
      <c r="S3996" s="6"/>
      <c r="T3996" s="6"/>
      <c r="U3996" s="7"/>
      <c r="V3996" s="6"/>
      <c r="W3996" s="6"/>
      <c r="X3996" s="12"/>
      <c r="Y3996" s="6"/>
      <c r="Z3996" s="6"/>
      <c r="AA3996" s="7"/>
      <c r="AB3996" s="6"/>
      <c r="AC3996" s="6"/>
      <c r="AD3996" s="6"/>
      <c r="AE3996" s="12"/>
      <c r="AF3996" s="6"/>
      <c r="AG3996" s="12"/>
      <c r="AH3996" s="6"/>
      <c r="AI3996" s="6"/>
      <c r="AJ3996" s="12"/>
      <c r="AK3996" s="24"/>
      <c r="AL3996" s="25"/>
      <c r="AM3996" s="12"/>
      <c r="AN3996" s="1"/>
      <c r="AO3996" s="6"/>
    </row>
    <row r="3997" spans="1:41" ht="15" x14ac:dyDescent="0.25">
      <c r="A3997" s="1"/>
      <c r="B3997" s="1"/>
      <c r="C3997" s="1"/>
      <c r="D3997" s="1"/>
      <c r="E3997" s="6"/>
      <c r="F3997" s="1"/>
      <c r="G3997" s="6"/>
      <c r="H3997" s="6"/>
      <c r="I3997" s="6"/>
      <c r="J3997" s="6"/>
      <c r="K3997" s="6"/>
      <c r="L3997" s="6"/>
      <c r="M3997" s="6"/>
      <c r="N3997" s="6"/>
      <c r="O3997" s="7"/>
      <c r="P3997" s="6"/>
      <c r="Q3997" s="6"/>
      <c r="R3997" s="7"/>
      <c r="S3997" s="6"/>
      <c r="T3997" s="6"/>
      <c r="U3997" s="7"/>
      <c r="V3997" s="6"/>
      <c r="W3997" s="6"/>
      <c r="X3997" s="12"/>
      <c r="Y3997" s="6"/>
      <c r="Z3997" s="6"/>
      <c r="AA3997" s="7"/>
      <c r="AB3997" s="6"/>
      <c r="AC3997" s="6"/>
      <c r="AD3997" s="6"/>
      <c r="AE3997" s="12"/>
      <c r="AF3997" s="12"/>
      <c r="AG3997" s="12"/>
      <c r="AH3997" s="12"/>
      <c r="AI3997" s="6"/>
      <c r="AJ3997" s="12"/>
      <c r="AK3997" s="1"/>
      <c r="AL3997" s="12"/>
      <c r="AM3997" s="12"/>
      <c r="AN3997" s="1"/>
      <c r="AO3997" s="6"/>
    </row>
    <row r="3998" spans="1:41" ht="15" x14ac:dyDescent="0.25">
      <c r="A3998" s="1"/>
      <c r="B3998" s="1"/>
      <c r="C3998" s="1"/>
      <c r="D3998" s="1"/>
      <c r="E3998" s="6"/>
      <c r="F3998" s="1"/>
      <c r="G3998" s="6"/>
      <c r="H3998" s="6"/>
      <c r="I3998" s="6"/>
      <c r="J3998" s="6"/>
      <c r="K3998" s="6"/>
      <c r="L3998" s="6"/>
      <c r="M3998" s="6"/>
      <c r="N3998" s="6"/>
      <c r="O3998" s="7"/>
      <c r="P3998" s="6"/>
      <c r="Q3998" s="6"/>
      <c r="R3998" s="15"/>
      <c r="S3998" s="6"/>
      <c r="T3998" s="6"/>
      <c r="U3998" s="15"/>
      <c r="V3998" s="6"/>
      <c r="W3998" s="6"/>
      <c r="X3998" s="12"/>
      <c r="Y3998" s="6"/>
      <c r="Z3998" s="6"/>
      <c r="AA3998" s="7"/>
      <c r="AB3998" s="6"/>
      <c r="AC3998" s="6"/>
      <c r="AD3998" s="6"/>
      <c r="AE3998" s="12"/>
      <c r="AF3998" s="6"/>
      <c r="AG3998" s="12"/>
      <c r="AH3998" s="6"/>
      <c r="AI3998" s="6"/>
      <c r="AJ3998" s="12"/>
      <c r="AK3998" s="1"/>
      <c r="AL3998" s="12"/>
      <c r="AM3998" s="12"/>
      <c r="AN3998" s="1"/>
      <c r="AO3998" s="6"/>
    </row>
    <row r="3999" spans="1:41" ht="15" x14ac:dyDescent="0.25">
      <c r="A3999" s="1"/>
      <c r="B3999" s="1"/>
      <c r="C3999" s="1"/>
      <c r="D3999" s="1"/>
      <c r="E3999" s="6"/>
      <c r="F3999" s="1"/>
      <c r="G3999" s="6"/>
      <c r="H3999" s="6"/>
      <c r="I3999" s="6"/>
      <c r="J3999" s="6"/>
      <c r="K3999" s="6"/>
      <c r="L3999" s="6"/>
      <c r="M3999" s="6"/>
      <c r="N3999" s="6"/>
      <c r="O3999" s="7"/>
      <c r="P3999" s="6"/>
      <c r="Q3999" s="6"/>
      <c r="R3999" s="7"/>
      <c r="S3999" s="6"/>
      <c r="T3999" s="6"/>
      <c r="U3999" s="7"/>
      <c r="V3999" s="6"/>
      <c r="W3999" s="6"/>
      <c r="X3999" s="12"/>
      <c r="Y3999" s="6"/>
      <c r="Z3999" s="6"/>
      <c r="AA3999" s="7"/>
      <c r="AB3999" s="6"/>
      <c r="AC3999" s="6"/>
      <c r="AD3999" s="6"/>
      <c r="AE3999" s="12"/>
      <c r="AF3999" s="6"/>
      <c r="AG3999" s="12"/>
      <c r="AH3999" s="6"/>
      <c r="AI3999" s="6"/>
      <c r="AJ3999" s="12"/>
      <c r="AK3999" s="1"/>
      <c r="AL3999" s="12"/>
      <c r="AM3999" s="12"/>
      <c r="AN3999" s="1"/>
      <c r="AO3999" s="6"/>
    </row>
    <row r="4000" spans="1:41" ht="15" x14ac:dyDescent="0.25">
      <c r="A4000" s="1"/>
      <c r="B4000" s="1"/>
      <c r="C4000" s="1"/>
      <c r="D4000" s="1"/>
      <c r="E4000" s="6"/>
      <c r="F4000" s="1"/>
      <c r="G4000" s="6"/>
      <c r="H4000" s="6"/>
      <c r="I4000" s="6"/>
      <c r="J4000" s="6"/>
      <c r="K4000" s="6"/>
      <c r="L4000" s="6"/>
      <c r="M4000" s="6"/>
      <c r="N4000" s="6"/>
      <c r="O4000" s="7"/>
      <c r="P4000" s="12"/>
      <c r="Q4000" s="6"/>
      <c r="R4000" s="7"/>
      <c r="S4000" s="6"/>
      <c r="T4000" s="6"/>
      <c r="U4000" s="7"/>
      <c r="V4000" s="6"/>
      <c r="W4000" s="6"/>
      <c r="X4000" s="12"/>
      <c r="Y4000" s="6"/>
      <c r="Z4000" s="6"/>
      <c r="AA4000" s="7"/>
      <c r="AB4000" s="6"/>
      <c r="AC4000" s="6"/>
      <c r="AD4000" s="6"/>
      <c r="AE4000" s="12"/>
      <c r="AF4000" s="6"/>
      <c r="AG4000" s="12"/>
      <c r="AH4000" s="6"/>
      <c r="AI4000" s="6"/>
      <c r="AJ4000" s="12"/>
      <c r="AK4000" s="1"/>
      <c r="AL4000" s="12"/>
      <c r="AM4000" s="12"/>
      <c r="AN4000" s="1"/>
      <c r="AO4000" s="6"/>
    </row>
    <row r="4001" spans="1:41" ht="15" x14ac:dyDescent="0.25">
      <c r="A4001" s="1"/>
      <c r="B4001" s="1"/>
      <c r="C4001" s="1"/>
      <c r="D4001" s="1"/>
      <c r="E4001" s="6"/>
      <c r="F4001" s="1"/>
      <c r="G4001" s="6"/>
      <c r="H4001" s="6"/>
      <c r="I4001" s="6"/>
      <c r="J4001" s="6"/>
      <c r="K4001" s="6"/>
      <c r="L4001" s="6"/>
      <c r="M4001" s="6"/>
      <c r="N4001" s="6"/>
      <c r="O4001" s="7"/>
      <c r="P4001" s="12"/>
      <c r="Q4001" s="6"/>
      <c r="R4001" s="7"/>
      <c r="S4001" s="6"/>
      <c r="T4001" s="6"/>
      <c r="U4001" s="7"/>
      <c r="V4001" s="6"/>
      <c r="W4001" s="6"/>
      <c r="X4001" s="12"/>
      <c r="Y4001" s="6"/>
      <c r="Z4001" s="6"/>
      <c r="AA4001" s="7"/>
      <c r="AB4001" s="6"/>
      <c r="AC4001" s="6"/>
      <c r="AD4001" s="6"/>
      <c r="AE4001" s="12"/>
      <c r="AF4001" s="6"/>
      <c r="AG4001" s="12"/>
      <c r="AH4001" s="6"/>
      <c r="AI4001" s="6"/>
      <c r="AJ4001" s="12"/>
      <c r="AK4001" s="1"/>
      <c r="AL4001" s="12"/>
      <c r="AM4001" s="12"/>
      <c r="AN4001" s="1"/>
      <c r="AO4001" s="6"/>
    </row>
    <row r="4002" spans="1:41" ht="15" x14ac:dyDescent="0.25">
      <c r="A4002" s="1"/>
      <c r="B4002" s="1"/>
      <c r="C4002" s="1"/>
      <c r="D4002" s="1"/>
      <c r="E4002" s="6"/>
      <c r="F4002" s="1"/>
      <c r="G4002" s="6"/>
      <c r="H4002" s="6"/>
      <c r="I4002" s="6"/>
      <c r="J4002" s="6"/>
      <c r="K4002" s="6"/>
      <c r="L4002" s="6"/>
      <c r="M4002" s="6"/>
      <c r="N4002" s="6"/>
      <c r="O4002" s="7"/>
      <c r="P4002" s="6"/>
      <c r="Q4002" s="6"/>
      <c r="R4002" s="7"/>
      <c r="S4002" s="6"/>
      <c r="T4002" s="6"/>
      <c r="U4002" s="7"/>
      <c r="V4002" s="6"/>
      <c r="W4002" s="6"/>
      <c r="X4002" s="6"/>
      <c r="Y4002" s="6"/>
      <c r="Z4002" s="6"/>
      <c r="AA4002" s="7"/>
      <c r="AB4002" s="6"/>
      <c r="AC4002" s="6"/>
      <c r="AD4002" s="6"/>
      <c r="AE4002" s="12"/>
      <c r="AF4002" s="6"/>
      <c r="AG4002" s="12"/>
      <c r="AH4002" s="6"/>
      <c r="AI4002" s="6"/>
      <c r="AJ4002" s="12"/>
      <c r="AK4002" s="24"/>
      <c r="AL4002" s="25"/>
      <c r="AM4002" s="12"/>
      <c r="AN4002" s="1"/>
      <c r="AO4002" s="6"/>
    </row>
    <row r="4003" spans="1:41" ht="15" x14ac:dyDescent="0.25">
      <c r="A4003" s="1"/>
      <c r="B4003" s="1"/>
      <c r="C4003" s="1"/>
      <c r="D4003" s="1"/>
      <c r="E4003" s="6"/>
      <c r="F4003" s="1"/>
      <c r="G4003" s="6"/>
      <c r="H4003" s="6"/>
      <c r="I4003" s="6"/>
      <c r="J4003" s="6"/>
      <c r="K4003" s="6"/>
      <c r="L4003" s="6"/>
      <c r="M4003" s="6"/>
      <c r="N4003" s="6"/>
      <c r="O4003" s="7"/>
      <c r="P4003" s="6"/>
      <c r="Q4003" s="6"/>
      <c r="R4003" s="7"/>
      <c r="S4003" s="6"/>
      <c r="T4003" s="6"/>
      <c r="U4003" s="7"/>
      <c r="V4003" s="6"/>
      <c r="W4003" s="6"/>
      <c r="X4003" s="6"/>
      <c r="Y4003" s="6"/>
      <c r="Z4003" s="6"/>
      <c r="AA4003" s="7"/>
      <c r="AB4003" s="6"/>
      <c r="AC4003" s="6"/>
      <c r="AD4003" s="6"/>
      <c r="AE4003" s="12"/>
      <c r="AF4003" s="6"/>
      <c r="AG4003" s="12"/>
      <c r="AH4003" s="6"/>
      <c r="AI4003" s="6"/>
      <c r="AJ4003" s="12"/>
      <c r="AK4003" s="24"/>
      <c r="AL4003" s="25"/>
      <c r="AM4003" s="12"/>
      <c r="AN4003" s="1"/>
      <c r="AO4003" s="6"/>
    </row>
    <row r="4004" spans="1:41" ht="15" x14ac:dyDescent="0.25">
      <c r="A4004" s="1"/>
      <c r="B4004" s="1"/>
      <c r="C4004" s="1"/>
      <c r="D4004" s="1"/>
      <c r="E4004" s="6"/>
      <c r="F4004" s="1"/>
      <c r="G4004" s="6"/>
      <c r="H4004" s="6"/>
      <c r="I4004" s="6"/>
      <c r="J4004" s="6"/>
      <c r="K4004" s="6"/>
      <c r="L4004" s="6"/>
      <c r="M4004" s="6"/>
      <c r="N4004" s="6"/>
      <c r="O4004" s="7"/>
      <c r="P4004" s="6"/>
      <c r="Q4004" s="6"/>
      <c r="R4004" s="7"/>
      <c r="S4004" s="6"/>
      <c r="T4004" s="6"/>
      <c r="U4004" s="7"/>
      <c r="V4004" s="6"/>
      <c r="W4004" s="6"/>
      <c r="X4004" s="12"/>
      <c r="Y4004" s="6"/>
      <c r="Z4004" s="6"/>
      <c r="AA4004" s="7"/>
      <c r="AB4004" s="6"/>
      <c r="AC4004" s="6"/>
      <c r="AD4004" s="6"/>
      <c r="AE4004" s="12"/>
      <c r="AF4004" s="6"/>
      <c r="AG4004" s="12"/>
      <c r="AH4004" s="6"/>
      <c r="AI4004" s="6"/>
      <c r="AJ4004" s="12"/>
      <c r="AK4004" s="24"/>
      <c r="AL4004" s="25"/>
      <c r="AM4004" s="12"/>
      <c r="AN4004" s="1"/>
      <c r="AO4004" s="6"/>
    </row>
    <row r="4005" spans="1:41" ht="15" x14ac:dyDescent="0.25">
      <c r="A4005" s="1"/>
      <c r="B4005" s="1"/>
      <c r="C4005" s="1"/>
      <c r="D4005" s="1"/>
      <c r="E4005" s="6"/>
      <c r="F4005" s="1"/>
      <c r="G4005" s="6"/>
      <c r="H4005" s="6"/>
      <c r="I4005" s="6"/>
      <c r="J4005" s="6"/>
      <c r="K4005" s="6"/>
      <c r="L4005" s="6"/>
      <c r="M4005" s="6"/>
      <c r="N4005" s="6"/>
      <c r="O4005" s="7"/>
      <c r="P4005" s="6"/>
      <c r="Q4005" s="6"/>
      <c r="R4005" s="7"/>
      <c r="S4005" s="6"/>
      <c r="T4005" s="6"/>
      <c r="U4005" s="7"/>
      <c r="V4005" s="6"/>
      <c r="W4005" s="6"/>
      <c r="X4005" s="12"/>
      <c r="Y4005" s="6"/>
      <c r="Z4005" s="6"/>
      <c r="AA4005" s="7"/>
      <c r="AB4005" s="6"/>
      <c r="AC4005" s="6"/>
      <c r="AD4005" s="6"/>
      <c r="AE4005" s="12"/>
      <c r="AF4005" s="6"/>
      <c r="AG4005" s="12"/>
      <c r="AH4005" s="6"/>
      <c r="AI4005" s="6"/>
      <c r="AJ4005" s="12"/>
      <c r="AK4005" s="24"/>
      <c r="AL4005" s="25"/>
      <c r="AM4005" s="12"/>
      <c r="AN4005" s="1"/>
      <c r="AO4005" s="6"/>
    </row>
    <row r="4006" spans="1:41" ht="15" x14ac:dyDescent="0.25">
      <c r="A4006" s="1"/>
      <c r="B4006" s="1"/>
      <c r="C4006" s="1"/>
      <c r="D4006" s="1"/>
      <c r="E4006" s="6"/>
      <c r="F4006" s="1"/>
      <c r="G4006" s="6"/>
      <c r="H4006" s="6"/>
      <c r="I4006" s="6"/>
      <c r="J4006" s="6"/>
      <c r="K4006" s="6"/>
      <c r="L4006" s="6"/>
      <c r="M4006" s="6"/>
      <c r="N4006" s="6"/>
      <c r="O4006" s="7"/>
      <c r="P4006" s="6"/>
      <c r="Q4006" s="7"/>
      <c r="R4006" s="6"/>
      <c r="S4006" s="6"/>
      <c r="T4006" s="6"/>
      <c r="U4006" s="6"/>
      <c r="V4006" s="7"/>
      <c r="W4006" s="7"/>
      <c r="X4006" s="6"/>
      <c r="Y4006" s="6"/>
      <c r="Z4006" s="6"/>
      <c r="AA4006" s="1"/>
      <c r="AB4006" s="12"/>
      <c r="AC4006" s="12"/>
      <c r="AD4006" s="12"/>
      <c r="AE4006" s="12"/>
      <c r="AF4006" s="12"/>
      <c r="AG4006" s="12"/>
      <c r="AH4006" s="12"/>
      <c r="AI4006" s="6"/>
      <c r="AJ4006" s="12"/>
      <c r="AK4006" s="12"/>
      <c r="AL4006" s="12"/>
      <c r="AM4006" s="12"/>
      <c r="AN4006" s="1"/>
      <c r="AO4006" s="6"/>
    </row>
    <row r="4007" spans="1:41" ht="15" x14ac:dyDescent="0.25">
      <c r="A4007" s="1"/>
      <c r="B4007" s="1"/>
      <c r="C4007" s="1"/>
      <c r="D4007" s="1"/>
      <c r="E4007" s="6"/>
      <c r="F4007" s="1"/>
      <c r="G4007" s="6"/>
      <c r="H4007" s="6"/>
      <c r="I4007" s="6"/>
      <c r="J4007" s="6"/>
      <c r="K4007" s="12"/>
      <c r="L4007" s="12"/>
      <c r="M4007" s="6"/>
      <c r="N4007" s="6"/>
      <c r="O4007" s="7"/>
      <c r="P4007" s="6"/>
      <c r="Q4007" s="6"/>
      <c r="R4007" s="7"/>
      <c r="S4007" s="6"/>
      <c r="T4007" s="6"/>
      <c r="U4007" s="7"/>
      <c r="V4007" s="6"/>
      <c r="W4007" s="6"/>
      <c r="X4007" s="12"/>
      <c r="Y4007" s="6"/>
      <c r="Z4007" s="6"/>
      <c r="AA4007" s="7"/>
      <c r="AB4007" s="6"/>
      <c r="AC4007" s="6"/>
      <c r="AD4007" s="6"/>
      <c r="AE4007" s="12"/>
      <c r="AF4007" s="12"/>
      <c r="AG4007" s="12"/>
      <c r="AH4007" s="12"/>
      <c r="AI4007" s="6"/>
      <c r="AJ4007" s="12"/>
      <c r="AK4007" s="1"/>
      <c r="AL4007" s="12"/>
      <c r="AM4007" s="12"/>
      <c r="AN4007" s="1"/>
      <c r="AO4007" s="6"/>
    </row>
    <row r="4008" spans="1:41" ht="15" x14ac:dyDescent="0.25">
      <c r="A4008" s="1"/>
      <c r="B4008" s="1"/>
      <c r="C4008" s="1"/>
      <c r="D4008" s="1"/>
      <c r="E4008" s="6"/>
      <c r="F4008" s="1"/>
      <c r="G4008" s="6"/>
      <c r="H4008" s="6"/>
      <c r="I4008" s="6"/>
      <c r="J4008" s="6"/>
      <c r="K4008" s="6"/>
      <c r="L4008" s="6"/>
      <c r="M4008" s="6"/>
      <c r="N4008" s="6"/>
      <c r="O4008" s="7"/>
      <c r="P4008" s="6"/>
      <c r="Q4008" s="6"/>
      <c r="R4008" s="7"/>
      <c r="S4008" s="6"/>
      <c r="T4008" s="6"/>
      <c r="U4008" s="7"/>
      <c r="V4008" s="6"/>
      <c r="W4008" s="6"/>
      <c r="X4008" s="6"/>
      <c r="Y4008" s="6"/>
      <c r="Z4008" s="6"/>
      <c r="AA4008" s="7"/>
      <c r="AB4008" s="6"/>
      <c r="AC4008" s="6"/>
      <c r="AD4008" s="6"/>
      <c r="AE4008" s="12"/>
      <c r="AF4008" s="6"/>
      <c r="AG4008" s="12"/>
      <c r="AH4008" s="6"/>
      <c r="AI4008" s="6"/>
      <c r="AJ4008" s="12"/>
      <c r="AK4008" s="1"/>
      <c r="AL4008" s="12"/>
      <c r="AM4008" s="12"/>
      <c r="AN4008" s="1"/>
      <c r="AO4008" s="6"/>
    </row>
    <row r="4009" spans="1:41" ht="15" x14ac:dyDescent="0.25">
      <c r="A4009" s="1"/>
      <c r="B4009" s="1"/>
      <c r="C4009" s="1"/>
      <c r="D4009" s="1"/>
      <c r="E4009" s="6"/>
      <c r="F4009" s="1"/>
      <c r="G4009" s="6"/>
      <c r="H4009" s="6"/>
      <c r="I4009" s="6"/>
      <c r="J4009" s="6"/>
      <c r="K4009" s="6"/>
      <c r="L4009" s="6"/>
      <c r="M4009" s="6"/>
      <c r="N4009" s="6"/>
      <c r="O4009" s="7"/>
      <c r="P4009" s="6"/>
      <c r="Q4009" s="6"/>
      <c r="R4009" s="7"/>
      <c r="S4009" s="6"/>
      <c r="T4009" s="6"/>
      <c r="U4009" s="7"/>
      <c r="V4009" s="6"/>
      <c r="W4009" s="6"/>
      <c r="X4009" s="6"/>
      <c r="Y4009" s="6"/>
      <c r="Z4009" s="6"/>
      <c r="AA4009" s="7"/>
      <c r="AB4009" s="6"/>
      <c r="AC4009" s="6"/>
      <c r="AD4009" s="6"/>
      <c r="AE4009" s="12"/>
      <c r="AF4009" s="6"/>
      <c r="AG4009" s="12"/>
      <c r="AH4009" s="6"/>
      <c r="AI4009" s="6"/>
      <c r="AJ4009" s="12"/>
      <c r="AK4009" s="1"/>
      <c r="AL4009" s="12"/>
      <c r="AM4009" s="12"/>
      <c r="AN4009" s="1"/>
      <c r="AO4009" s="6"/>
    </row>
    <row r="4010" spans="1:41" ht="15" x14ac:dyDescent="0.25">
      <c r="A4010" s="1"/>
      <c r="B4010" s="1"/>
      <c r="C4010" s="1"/>
      <c r="D4010" s="1"/>
      <c r="E4010" s="6"/>
      <c r="F4010" s="1"/>
      <c r="G4010" s="6"/>
      <c r="H4010" s="6"/>
      <c r="I4010" s="6"/>
      <c r="J4010" s="6"/>
      <c r="K4010" s="6"/>
      <c r="L4010" s="6"/>
      <c r="M4010" s="6"/>
      <c r="N4010" s="6"/>
      <c r="O4010" s="7"/>
      <c r="P4010" s="6"/>
      <c r="Q4010" s="6"/>
      <c r="R4010" s="7"/>
      <c r="S4010" s="6"/>
      <c r="T4010" s="6"/>
      <c r="U4010" s="7"/>
      <c r="V4010" s="6"/>
      <c r="W4010" s="6"/>
      <c r="X4010" s="6"/>
      <c r="Y4010" s="6"/>
      <c r="Z4010" s="6"/>
      <c r="AA4010" s="7"/>
      <c r="AB4010" s="6"/>
      <c r="AC4010" s="6"/>
      <c r="AD4010" s="6"/>
      <c r="AE4010" s="12"/>
      <c r="AF4010" s="6"/>
      <c r="AG4010" s="12"/>
      <c r="AH4010" s="6"/>
      <c r="AI4010" s="6"/>
      <c r="AJ4010" s="12"/>
      <c r="AK4010" s="1"/>
      <c r="AL4010" s="12"/>
      <c r="AM4010" s="12"/>
      <c r="AN4010" s="1"/>
      <c r="AO4010" s="6"/>
    </row>
    <row r="4011" spans="1:41" ht="15" x14ac:dyDescent="0.25">
      <c r="A4011" s="1"/>
      <c r="B4011" s="1"/>
      <c r="C4011" s="1"/>
      <c r="D4011" s="1"/>
      <c r="E4011" s="6"/>
      <c r="F4011" s="1"/>
      <c r="G4011" s="6"/>
      <c r="H4011" s="6"/>
      <c r="I4011" s="6"/>
      <c r="J4011" s="6"/>
      <c r="K4011" s="6"/>
      <c r="L4011" s="6"/>
      <c r="M4011" s="6"/>
      <c r="N4011" s="6"/>
      <c r="O4011" s="7"/>
      <c r="P4011" s="6"/>
      <c r="Q4011" s="6"/>
      <c r="R4011" s="7"/>
      <c r="S4011" s="6"/>
      <c r="T4011" s="6"/>
      <c r="U4011" s="7"/>
      <c r="V4011" s="6"/>
      <c r="W4011" s="6"/>
      <c r="X4011" s="6"/>
      <c r="Y4011" s="6"/>
      <c r="Z4011" s="6"/>
      <c r="AA4011" s="7"/>
      <c r="AB4011" s="6"/>
      <c r="AC4011" s="6"/>
      <c r="AD4011" s="6"/>
      <c r="AE4011" s="12"/>
      <c r="AF4011" s="6"/>
      <c r="AG4011" s="12"/>
      <c r="AH4011" s="6"/>
      <c r="AI4011" s="6"/>
      <c r="AJ4011" s="12"/>
      <c r="AK4011" s="1"/>
      <c r="AL4011" s="12"/>
      <c r="AM4011" s="12"/>
      <c r="AN4011" s="1"/>
      <c r="AO4011" s="6"/>
    </row>
    <row r="4012" spans="1:41" ht="15" x14ac:dyDescent="0.25">
      <c r="A4012" s="1"/>
      <c r="B4012" s="1"/>
      <c r="C4012" s="1"/>
      <c r="D4012" s="1"/>
      <c r="E4012" s="6"/>
      <c r="F4012" s="1"/>
      <c r="G4012" s="6"/>
      <c r="H4012" s="6"/>
      <c r="I4012" s="6"/>
      <c r="J4012" s="6"/>
      <c r="K4012" s="12"/>
      <c r="L4012" s="12"/>
      <c r="M4012" s="6"/>
      <c r="N4012" s="6"/>
      <c r="O4012" s="7"/>
      <c r="P4012" s="6"/>
      <c r="Q4012" s="6"/>
      <c r="R4012" s="7"/>
      <c r="S4012" s="6"/>
      <c r="T4012" s="6"/>
      <c r="U4012" s="7"/>
      <c r="V4012" s="6"/>
      <c r="W4012" s="6"/>
      <c r="X4012" s="6"/>
      <c r="Y4012" s="6"/>
      <c r="Z4012" s="6"/>
      <c r="AA4012" s="7"/>
      <c r="AB4012" s="6"/>
      <c r="AC4012" s="6"/>
      <c r="AD4012" s="6"/>
      <c r="AE4012" s="12"/>
      <c r="AF4012" s="12"/>
      <c r="AG4012" s="12"/>
      <c r="AH4012" s="12"/>
      <c r="AI4012" s="6"/>
      <c r="AJ4012" s="12"/>
      <c r="AK4012" s="1"/>
      <c r="AL4012" s="12"/>
      <c r="AM4012" s="12"/>
      <c r="AN4012" s="1"/>
      <c r="AO4012" s="12"/>
    </row>
    <row r="4013" spans="1:41" ht="15" x14ac:dyDescent="0.25">
      <c r="A4013" s="1"/>
      <c r="B4013" s="1"/>
      <c r="C4013" s="1"/>
      <c r="D4013" s="1"/>
      <c r="E4013" s="6"/>
      <c r="F4013" s="1"/>
      <c r="G4013" s="6"/>
      <c r="H4013" s="6"/>
      <c r="I4013" s="6"/>
      <c r="J4013" s="6"/>
      <c r="K4013" s="6"/>
      <c r="L4013" s="6"/>
      <c r="M4013" s="6"/>
      <c r="N4013" s="6"/>
      <c r="O4013" s="7"/>
      <c r="P4013" s="12"/>
      <c r="Q4013" s="6"/>
      <c r="R4013" s="15"/>
      <c r="S4013" s="6"/>
      <c r="T4013" s="6"/>
      <c r="U4013" s="7"/>
      <c r="V4013" s="6"/>
      <c r="W4013" s="6"/>
      <c r="X4013" s="12"/>
      <c r="Y4013" s="6"/>
      <c r="Z4013" s="6"/>
      <c r="AA4013" s="7"/>
      <c r="AB4013" s="6"/>
      <c r="AC4013" s="6"/>
      <c r="AD4013" s="6"/>
      <c r="AE4013" s="12"/>
      <c r="AF4013" s="12"/>
      <c r="AG4013" s="12"/>
      <c r="AH4013" s="12"/>
      <c r="AI4013" s="6"/>
      <c r="AJ4013" s="12"/>
      <c r="AK4013" s="1"/>
      <c r="AL4013" s="12"/>
      <c r="AM4013" s="12"/>
      <c r="AN4013" s="1"/>
      <c r="AO4013" s="6"/>
    </row>
    <row r="4014" spans="1:41" ht="15" x14ac:dyDescent="0.25">
      <c r="A4014" s="1"/>
      <c r="B4014" s="1"/>
      <c r="C4014" s="1"/>
      <c r="D4014" s="1"/>
      <c r="E4014" s="6"/>
      <c r="F4014" s="1"/>
      <c r="G4014" s="6"/>
      <c r="H4014" s="6"/>
      <c r="I4014" s="6"/>
      <c r="J4014" s="6"/>
      <c r="K4014" s="6"/>
      <c r="L4014" s="6"/>
      <c r="M4014" s="6"/>
      <c r="N4014" s="6"/>
      <c r="O4014" s="7"/>
      <c r="P4014" s="6"/>
      <c r="Q4014" s="7"/>
      <c r="R4014" s="6"/>
      <c r="S4014" s="12"/>
      <c r="T4014" s="6"/>
      <c r="U4014" s="6"/>
      <c r="V4014" s="7"/>
      <c r="W4014" s="7"/>
      <c r="X4014" s="6"/>
      <c r="Y4014" s="6"/>
      <c r="Z4014" s="6"/>
      <c r="AA4014" s="1"/>
      <c r="AB4014" s="12"/>
      <c r="AC4014" s="12"/>
      <c r="AD4014" s="12"/>
      <c r="AE4014" s="12"/>
      <c r="AF4014" s="12"/>
      <c r="AG4014" s="12"/>
      <c r="AH4014" s="12"/>
      <c r="AI4014" s="6"/>
      <c r="AJ4014" s="12"/>
      <c r="AK4014" s="12"/>
      <c r="AL4014" s="12"/>
      <c r="AM4014" s="12"/>
      <c r="AN4014" s="1"/>
      <c r="AO4014" s="6"/>
    </row>
    <row r="4015" spans="1:41" ht="15" x14ac:dyDescent="0.25">
      <c r="A4015" s="1"/>
      <c r="B4015" s="1"/>
      <c r="C4015" s="1"/>
      <c r="D4015" s="1"/>
      <c r="E4015" s="6"/>
      <c r="F4015" s="1"/>
      <c r="G4015" s="6"/>
      <c r="H4015" s="6"/>
      <c r="I4015" s="6"/>
      <c r="J4015" s="6"/>
      <c r="K4015" s="12"/>
      <c r="L4015" s="12"/>
      <c r="M4015" s="6"/>
      <c r="N4015" s="6"/>
      <c r="O4015" s="7"/>
      <c r="P4015" s="6"/>
      <c r="Q4015" s="6"/>
      <c r="R4015" s="7"/>
      <c r="S4015" s="6"/>
      <c r="T4015" s="6"/>
      <c r="U4015" s="7"/>
      <c r="V4015" s="6"/>
      <c r="W4015" s="6"/>
      <c r="X4015" s="12"/>
      <c r="Y4015" s="6"/>
      <c r="Z4015" s="6"/>
      <c r="AA4015" s="7"/>
      <c r="AB4015" s="6"/>
      <c r="AC4015" s="6"/>
      <c r="AD4015" s="6"/>
      <c r="AE4015" s="12"/>
      <c r="AF4015" s="12"/>
      <c r="AG4015" s="12"/>
      <c r="AH4015" s="12"/>
      <c r="AI4015" s="6"/>
      <c r="AJ4015" s="12"/>
      <c r="AK4015" s="1"/>
      <c r="AL4015" s="12"/>
      <c r="AM4015" s="12"/>
      <c r="AN4015" s="1"/>
      <c r="AO4015" s="6"/>
    </row>
    <row r="4016" spans="1:41" ht="15" x14ac:dyDescent="0.25">
      <c r="A4016" s="1"/>
      <c r="B4016" s="1"/>
      <c r="C4016" s="1"/>
      <c r="D4016" s="1"/>
      <c r="E4016" s="6"/>
      <c r="F4016" s="1"/>
      <c r="G4016" s="6"/>
      <c r="H4016" s="6"/>
      <c r="I4016" s="6"/>
      <c r="J4016" s="6"/>
      <c r="K4016" s="6"/>
      <c r="L4016" s="6"/>
      <c r="M4016" s="6"/>
      <c r="N4016" s="6"/>
      <c r="O4016" s="7"/>
      <c r="P4016" s="6"/>
      <c r="Q4016" s="6"/>
      <c r="R4016" s="7"/>
      <c r="S4016" s="6"/>
      <c r="T4016" s="6"/>
      <c r="U4016" s="7"/>
      <c r="V4016" s="6"/>
      <c r="W4016" s="6"/>
      <c r="X4016" s="6"/>
      <c r="Y4016" s="6"/>
      <c r="Z4016" s="6"/>
      <c r="AA4016" s="7"/>
      <c r="AB4016" s="6"/>
      <c r="AC4016" s="6"/>
      <c r="AD4016" s="6"/>
      <c r="AE4016" s="12"/>
      <c r="AF4016" s="12"/>
      <c r="AG4016" s="12"/>
      <c r="AH4016" s="12"/>
      <c r="AI4016" s="6"/>
      <c r="AJ4016" s="12"/>
      <c r="AK4016" s="1"/>
      <c r="AL4016" s="12"/>
      <c r="AM4016" s="12"/>
      <c r="AN4016" s="1"/>
      <c r="AO4016" s="6"/>
    </row>
    <row r="4017" spans="1:41" ht="15" x14ac:dyDescent="0.25">
      <c r="A4017" s="1"/>
      <c r="B4017" s="1"/>
      <c r="C4017" s="1"/>
      <c r="D4017" s="1"/>
      <c r="E4017" s="6"/>
      <c r="F4017" s="1"/>
      <c r="G4017" s="6"/>
      <c r="H4017" s="6"/>
      <c r="I4017" s="6"/>
      <c r="J4017" s="6"/>
      <c r="K4017" s="6"/>
      <c r="L4017" s="6"/>
      <c r="M4017" s="6"/>
      <c r="N4017" s="6"/>
      <c r="O4017" s="7"/>
      <c r="P4017" s="6"/>
      <c r="Q4017" s="6"/>
      <c r="R4017" s="7"/>
      <c r="S4017" s="6"/>
      <c r="T4017" s="6"/>
      <c r="U4017" s="7"/>
      <c r="V4017" s="6"/>
      <c r="W4017" s="6"/>
      <c r="X4017" s="12"/>
      <c r="Y4017" s="6"/>
      <c r="Z4017" s="6"/>
      <c r="AA4017" s="7"/>
      <c r="AB4017" s="6"/>
      <c r="AC4017" s="6"/>
      <c r="AD4017" s="6"/>
      <c r="AE4017" s="12"/>
      <c r="AF4017" s="6"/>
      <c r="AG4017" s="12"/>
      <c r="AH4017" s="6"/>
      <c r="AI4017" s="6"/>
      <c r="AJ4017" s="12"/>
      <c r="AK4017" s="24"/>
      <c r="AL4017" s="25"/>
      <c r="AM4017" s="12"/>
      <c r="AN4017" s="1"/>
      <c r="AO4017" s="6"/>
    </row>
    <row r="4018" spans="1:41" ht="15" x14ac:dyDescent="0.25">
      <c r="A4018" s="1"/>
      <c r="B4018" s="1"/>
      <c r="C4018" s="1"/>
      <c r="D4018" s="1"/>
      <c r="E4018" s="6"/>
      <c r="F4018" s="1"/>
      <c r="G4018" s="6"/>
      <c r="H4018" s="6"/>
      <c r="I4018" s="6"/>
      <c r="J4018" s="6"/>
      <c r="K4018" s="6"/>
      <c r="L4018" s="6"/>
      <c r="M4018" s="6"/>
      <c r="N4018" s="6"/>
      <c r="O4018" s="7"/>
      <c r="P4018" s="6"/>
      <c r="Q4018" s="6"/>
      <c r="R4018" s="7"/>
      <c r="S4018" s="6"/>
      <c r="T4018" s="6"/>
      <c r="U4018" s="7"/>
      <c r="V4018" s="6"/>
      <c r="W4018" s="6"/>
      <c r="X4018" s="12"/>
      <c r="Y4018" s="6"/>
      <c r="Z4018" s="6"/>
      <c r="AA4018" s="7"/>
      <c r="AB4018" s="6"/>
      <c r="AC4018" s="6"/>
      <c r="AD4018" s="6"/>
      <c r="AE4018" s="12"/>
      <c r="AF4018" s="6"/>
      <c r="AG4018" s="12"/>
      <c r="AH4018" s="6"/>
      <c r="AI4018" s="6"/>
      <c r="AJ4018" s="12"/>
      <c r="AK4018" s="24"/>
      <c r="AL4018" s="25"/>
      <c r="AM4018" s="12"/>
      <c r="AN4018" s="1"/>
      <c r="AO4018" s="6"/>
    </row>
    <row r="4019" spans="1:41" ht="15" x14ac:dyDescent="0.25">
      <c r="A4019" s="1"/>
      <c r="B4019" s="1"/>
      <c r="C4019" s="1"/>
      <c r="D4019" s="1"/>
      <c r="E4019" s="6"/>
      <c r="F4019" s="1"/>
      <c r="G4019" s="6"/>
      <c r="H4019" s="6"/>
      <c r="I4019" s="6"/>
      <c r="J4019" s="6"/>
      <c r="K4019" s="12"/>
      <c r="L4019" s="6"/>
      <c r="M4019" s="6"/>
      <c r="N4019" s="6"/>
      <c r="O4019" s="7"/>
      <c r="P4019" s="6"/>
      <c r="Q4019" s="6"/>
      <c r="R4019" s="7"/>
      <c r="S4019" s="6"/>
      <c r="T4019" s="6"/>
      <c r="U4019" s="7"/>
      <c r="V4019" s="6"/>
      <c r="W4019" s="6"/>
      <c r="X4019" s="12"/>
      <c r="Y4019" s="6"/>
      <c r="Z4019" s="6"/>
      <c r="AA4019" s="7"/>
      <c r="AB4019" s="6"/>
      <c r="AC4019" s="6"/>
      <c r="AD4019" s="6"/>
      <c r="AE4019" s="12"/>
      <c r="AF4019" s="6"/>
      <c r="AG4019" s="12"/>
      <c r="AH4019" s="6"/>
      <c r="AI4019" s="6"/>
      <c r="AJ4019" s="12"/>
      <c r="AK4019" s="1"/>
      <c r="AL4019" s="12"/>
      <c r="AM4019" s="12"/>
      <c r="AN4019" s="1"/>
      <c r="AO4019" s="6"/>
    </row>
    <row r="4020" spans="1:41" ht="15" x14ac:dyDescent="0.25">
      <c r="A4020" s="1"/>
      <c r="B4020" s="1"/>
      <c r="C4020" s="1"/>
      <c r="D4020" s="1"/>
      <c r="E4020" s="6"/>
      <c r="F4020" s="1"/>
      <c r="G4020" s="6"/>
      <c r="H4020" s="6"/>
      <c r="I4020" s="6"/>
      <c r="J4020" s="6"/>
      <c r="K4020" s="6"/>
      <c r="L4020" s="6"/>
      <c r="M4020" s="6"/>
      <c r="N4020" s="6"/>
      <c r="O4020" s="7"/>
      <c r="P4020" s="12"/>
      <c r="Q4020" s="6"/>
      <c r="R4020" s="7"/>
      <c r="S4020" s="6"/>
      <c r="T4020" s="6"/>
      <c r="U4020" s="7"/>
      <c r="V4020" s="6"/>
      <c r="W4020" s="6"/>
      <c r="X4020" s="6"/>
      <c r="Y4020" s="6"/>
      <c r="Z4020" s="6"/>
      <c r="AA4020" s="7"/>
      <c r="AB4020" s="6"/>
      <c r="AC4020" s="6"/>
      <c r="AD4020" s="6"/>
      <c r="AE4020" s="12"/>
      <c r="AF4020" s="12"/>
      <c r="AG4020" s="12"/>
      <c r="AH4020" s="12"/>
      <c r="AI4020" s="6"/>
      <c r="AJ4020" s="12"/>
      <c r="AK4020" s="1"/>
      <c r="AL4020" s="12"/>
      <c r="AM4020" s="12"/>
      <c r="AN4020" s="1"/>
      <c r="AO4020" s="6"/>
    </row>
    <row r="4021" spans="1:41" ht="15" x14ac:dyDescent="0.25">
      <c r="A4021" s="1"/>
      <c r="B4021" s="1"/>
      <c r="C4021" s="1"/>
      <c r="D4021" s="1"/>
      <c r="E4021" s="6"/>
      <c r="F4021" s="1"/>
      <c r="G4021" s="6"/>
      <c r="H4021" s="6"/>
      <c r="I4021" s="6"/>
      <c r="J4021" s="6"/>
      <c r="K4021" s="6"/>
      <c r="L4021" s="6"/>
      <c r="M4021" s="6"/>
      <c r="N4021" s="6"/>
      <c r="O4021" s="7"/>
      <c r="P4021" s="12"/>
      <c r="Q4021" s="6"/>
      <c r="R4021" s="7"/>
      <c r="S4021" s="6"/>
      <c r="T4021" s="6"/>
      <c r="U4021" s="7"/>
      <c r="V4021" s="6"/>
      <c r="W4021" s="6"/>
      <c r="X4021" s="6"/>
      <c r="Y4021" s="6"/>
      <c r="Z4021" s="6"/>
      <c r="AA4021" s="7"/>
      <c r="AB4021" s="6"/>
      <c r="AC4021" s="6"/>
      <c r="AD4021" s="6"/>
      <c r="AE4021" s="12"/>
      <c r="AF4021" s="12"/>
      <c r="AG4021" s="12"/>
      <c r="AH4021" s="12"/>
      <c r="AI4021" s="6"/>
      <c r="AJ4021" s="12"/>
      <c r="AK4021" s="1"/>
      <c r="AL4021" s="12"/>
      <c r="AM4021" s="12"/>
      <c r="AN4021" s="1"/>
      <c r="AO4021" s="6"/>
    </row>
    <row r="4022" spans="1:41" ht="15" x14ac:dyDescent="0.25">
      <c r="A4022" s="1"/>
      <c r="B4022" s="1"/>
      <c r="C4022" s="1"/>
      <c r="D4022" s="1"/>
      <c r="E4022" s="6"/>
      <c r="F4022" s="1"/>
      <c r="G4022" s="6"/>
      <c r="H4022" s="6"/>
      <c r="I4022" s="6"/>
      <c r="J4022" s="6"/>
      <c r="K4022" s="6"/>
      <c r="L4022" s="6"/>
      <c r="M4022" s="6"/>
      <c r="N4022" s="6"/>
      <c r="O4022" s="7"/>
      <c r="P4022" s="6"/>
      <c r="Q4022" s="6"/>
      <c r="R4022" s="7"/>
      <c r="S4022" s="6"/>
      <c r="T4022" s="6"/>
      <c r="U4022" s="7"/>
      <c r="V4022" s="6"/>
      <c r="W4022" s="6"/>
      <c r="X4022" s="6"/>
      <c r="Y4022" s="6"/>
      <c r="Z4022" s="6"/>
      <c r="AA4022" s="7"/>
      <c r="AB4022" s="6"/>
      <c r="AC4022" s="6"/>
      <c r="AD4022" s="6"/>
      <c r="AE4022" s="12"/>
      <c r="AF4022" s="6"/>
      <c r="AG4022" s="12"/>
      <c r="AH4022" s="6"/>
      <c r="AI4022" s="6"/>
      <c r="AJ4022" s="12"/>
      <c r="AK4022" s="24"/>
      <c r="AL4022" s="25"/>
      <c r="AM4022" s="12"/>
      <c r="AN4022" s="1"/>
      <c r="AO4022" s="6"/>
    </row>
    <row r="4023" spans="1:41" ht="15" x14ac:dyDescent="0.25">
      <c r="A4023" s="1"/>
      <c r="B4023" s="1"/>
      <c r="C4023" s="1"/>
      <c r="D4023" s="1"/>
      <c r="E4023" s="6"/>
      <c r="F4023" s="1"/>
      <c r="G4023" s="6"/>
      <c r="H4023" s="6"/>
      <c r="I4023" s="6"/>
      <c r="J4023" s="6"/>
      <c r="K4023" s="6"/>
      <c r="L4023" s="6"/>
      <c r="M4023" s="6"/>
      <c r="N4023" s="6"/>
      <c r="O4023" s="7"/>
      <c r="P4023" s="6"/>
      <c r="Q4023" s="6"/>
      <c r="R4023" s="7"/>
      <c r="S4023" s="6"/>
      <c r="T4023" s="6"/>
      <c r="U4023" s="7"/>
      <c r="V4023" s="6"/>
      <c r="W4023" s="6"/>
      <c r="X4023" s="6"/>
      <c r="Y4023" s="6"/>
      <c r="Z4023" s="6"/>
      <c r="AA4023" s="7"/>
      <c r="AB4023" s="6"/>
      <c r="AC4023" s="6"/>
      <c r="AD4023" s="6"/>
      <c r="AE4023" s="12"/>
      <c r="AF4023" s="6"/>
      <c r="AG4023" s="12"/>
      <c r="AH4023" s="6"/>
      <c r="AI4023" s="6"/>
      <c r="AJ4023" s="12"/>
      <c r="AK4023" s="24"/>
      <c r="AL4023" s="25"/>
      <c r="AM4023" s="12"/>
      <c r="AN4023" s="1"/>
      <c r="AO4023" s="6"/>
    </row>
    <row r="4024" spans="1:41" ht="15" x14ac:dyDescent="0.25">
      <c r="A4024" s="1"/>
      <c r="B4024" s="1"/>
      <c r="C4024" s="1"/>
      <c r="D4024" s="1"/>
      <c r="E4024" s="6"/>
      <c r="F4024" s="1"/>
      <c r="G4024" s="6"/>
      <c r="H4024" s="6"/>
      <c r="I4024" s="6"/>
      <c r="J4024" s="6"/>
      <c r="K4024" s="6"/>
      <c r="L4024" s="6"/>
      <c r="M4024" s="6"/>
      <c r="N4024" s="6"/>
      <c r="O4024" s="7"/>
      <c r="P4024" s="12"/>
      <c r="Q4024" s="6"/>
      <c r="R4024" s="7"/>
      <c r="S4024" s="6"/>
      <c r="T4024" s="6"/>
      <c r="U4024" s="7"/>
      <c r="V4024" s="6"/>
      <c r="W4024" s="6"/>
      <c r="X4024" s="6"/>
      <c r="Y4024" s="6"/>
      <c r="Z4024" s="6"/>
      <c r="AA4024" s="7"/>
      <c r="AB4024" s="6"/>
      <c r="AC4024" s="6"/>
      <c r="AD4024" s="6"/>
      <c r="AE4024" s="12"/>
      <c r="AF4024" s="6"/>
      <c r="AG4024" s="12"/>
      <c r="AH4024" s="6"/>
      <c r="AI4024" s="6"/>
      <c r="AJ4024" s="12"/>
      <c r="AK4024" s="24"/>
      <c r="AL4024" s="25"/>
      <c r="AM4024" s="12"/>
      <c r="AN4024" s="1"/>
      <c r="AO4024" s="6"/>
    </row>
    <row r="4025" spans="1:41" ht="15" x14ac:dyDescent="0.25">
      <c r="A4025" s="1"/>
      <c r="B4025" s="1"/>
      <c r="C4025" s="1"/>
      <c r="D4025" s="1"/>
      <c r="E4025" s="6"/>
      <c r="F4025" s="1"/>
      <c r="G4025" s="6"/>
      <c r="H4025" s="6"/>
      <c r="I4025" s="6"/>
      <c r="J4025" s="6"/>
      <c r="K4025" s="6"/>
      <c r="L4025" s="6"/>
      <c r="M4025" s="6"/>
      <c r="N4025" s="6"/>
      <c r="O4025" s="7"/>
      <c r="P4025" s="12"/>
      <c r="Q4025" s="6"/>
      <c r="R4025" s="7"/>
      <c r="S4025" s="6"/>
      <c r="T4025" s="6"/>
      <c r="U4025" s="7"/>
      <c r="V4025" s="6"/>
      <c r="W4025" s="6"/>
      <c r="X4025" s="6"/>
      <c r="Y4025" s="6"/>
      <c r="Z4025" s="6"/>
      <c r="AA4025" s="7"/>
      <c r="AB4025" s="6"/>
      <c r="AC4025" s="6"/>
      <c r="AD4025" s="6"/>
      <c r="AE4025" s="12"/>
      <c r="AF4025" s="6"/>
      <c r="AG4025" s="12"/>
      <c r="AH4025" s="6"/>
      <c r="AI4025" s="6"/>
      <c r="AJ4025" s="12"/>
      <c r="AK4025" s="24"/>
      <c r="AL4025" s="25"/>
      <c r="AM4025" s="12"/>
      <c r="AN4025" s="1"/>
      <c r="AO4025" s="6"/>
    </row>
    <row r="4026" spans="1:41" ht="15" x14ac:dyDescent="0.25">
      <c r="A4026" s="1"/>
      <c r="B4026" s="1"/>
      <c r="C4026" s="1"/>
      <c r="D4026" s="1"/>
      <c r="E4026" s="6"/>
      <c r="F4026" s="1"/>
      <c r="G4026" s="6"/>
      <c r="H4026" s="6"/>
      <c r="I4026" s="6"/>
      <c r="J4026" s="6"/>
      <c r="K4026" s="6"/>
      <c r="L4026" s="6"/>
      <c r="M4026" s="6"/>
      <c r="N4026" s="6"/>
      <c r="O4026" s="7"/>
      <c r="P4026" s="6"/>
      <c r="Q4026" s="6"/>
      <c r="R4026" s="7"/>
      <c r="S4026" s="6"/>
      <c r="T4026" s="6"/>
      <c r="U4026" s="7"/>
      <c r="V4026" s="6"/>
      <c r="W4026" s="6"/>
      <c r="X4026" s="12"/>
      <c r="Y4026" s="6"/>
      <c r="Z4026" s="6"/>
      <c r="AA4026" s="7"/>
      <c r="AB4026" s="6"/>
      <c r="AC4026" s="6"/>
      <c r="AD4026" s="6"/>
      <c r="AE4026" s="12"/>
      <c r="AF4026" s="12"/>
      <c r="AG4026" s="12"/>
      <c r="AH4026" s="12"/>
      <c r="AI4026" s="6"/>
      <c r="AJ4026" s="12"/>
      <c r="AK4026" s="1"/>
      <c r="AL4026" s="12"/>
      <c r="AM4026" s="12"/>
      <c r="AN4026" s="1"/>
      <c r="AO4026" s="6"/>
    </row>
    <row r="4027" spans="1:41" ht="15" x14ac:dyDescent="0.25">
      <c r="A4027" s="1"/>
      <c r="B4027" s="1"/>
      <c r="C4027" s="1"/>
      <c r="D4027" s="1"/>
      <c r="E4027" s="6"/>
      <c r="F4027" s="1"/>
      <c r="G4027" s="6"/>
      <c r="H4027" s="6"/>
      <c r="I4027" s="6"/>
      <c r="J4027" s="6"/>
      <c r="K4027" s="6"/>
      <c r="L4027" s="6"/>
      <c r="M4027" s="6"/>
      <c r="N4027" s="6"/>
      <c r="O4027" s="7"/>
      <c r="P4027" s="6"/>
      <c r="Q4027" s="6"/>
      <c r="R4027" s="7"/>
      <c r="S4027" s="6"/>
      <c r="T4027" s="6"/>
      <c r="U4027" s="7"/>
      <c r="V4027" s="6"/>
      <c r="W4027" s="6"/>
      <c r="X4027" s="12"/>
      <c r="Y4027" s="6"/>
      <c r="Z4027" s="6"/>
      <c r="AA4027" s="7"/>
      <c r="AB4027" s="6"/>
      <c r="AC4027" s="6"/>
      <c r="AD4027" s="6"/>
      <c r="AE4027" s="12"/>
      <c r="AF4027" s="12"/>
      <c r="AG4027" s="12"/>
      <c r="AH4027" s="12"/>
      <c r="AI4027" s="6"/>
      <c r="AJ4027" s="12"/>
      <c r="AK4027" s="1"/>
      <c r="AL4027" s="12"/>
      <c r="AM4027" s="12"/>
      <c r="AN4027" s="1"/>
      <c r="AO4027" s="6"/>
    </row>
    <row r="4028" spans="1:41" ht="15" x14ac:dyDescent="0.25">
      <c r="A4028" s="1"/>
      <c r="B4028" s="1"/>
      <c r="C4028" s="1"/>
      <c r="D4028" s="1"/>
      <c r="E4028" s="6"/>
      <c r="F4028" s="1"/>
      <c r="G4028" s="6"/>
      <c r="H4028" s="6"/>
      <c r="I4028" s="6"/>
      <c r="J4028" s="6"/>
      <c r="K4028" s="6"/>
      <c r="L4028" s="6"/>
      <c r="M4028" s="6"/>
      <c r="N4028" s="6"/>
      <c r="O4028" s="7"/>
      <c r="P4028" s="6"/>
      <c r="Q4028" s="7"/>
      <c r="R4028" s="6"/>
      <c r="S4028" s="6"/>
      <c r="T4028" s="6"/>
      <c r="U4028" s="6"/>
      <c r="V4028" s="7"/>
      <c r="W4028" s="7"/>
      <c r="X4028" s="6"/>
      <c r="Y4028" s="6"/>
      <c r="Z4028" s="6"/>
      <c r="AA4028" s="1"/>
      <c r="AB4028" s="12"/>
      <c r="AC4028" s="12"/>
      <c r="AD4028" s="12"/>
      <c r="AE4028" s="12"/>
      <c r="AF4028" s="12"/>
      <c r="AG4028" s="12"/>
      <c r="AH4028" s="12"/>
      <c r="AI4028" s="6"/>
      <c r="AJ4028" s="12"/>
      <c r="AK4028" s="12"/>
      <c r="AL4028" s="12"/>
      <c r="AM4028" s="12"/>
      <c r="AN4028" s="1"/>
      <c r="AO4028" s="6"/>
    </row>
    <row r="4029" spans="1:41" ht="15" x14ac:dyDescent="0.25">
      <c r="A4029" s="1"/>
      <c r="B4029" s="1"/>
      <c r="C4029" s="1"/>
      <c r="D4029" s="1"/>
      <c r="E4029" s="6"/>
      <c r="F4029" s="1"/>
      <c r="G4029" s="6"/>
      <c r="H4029" s="6"/>
      <c r="I4029" s="6"/>
      <c r="J4029" s="6"/>
      <c r="K4029" s="6"/>
      <c r="L4029" s="6"/>
      <c r="M4029" s="6"/>
      <c r="N4029" s="6"/>
      <c r="O4029" s="7"/>
      <c r="P4029" s="6"/>
      <c r="Q4029" s="6"/>
      <c r="R4029" s="7"/>
      <c r="S4029" s="6"/>
      <c r="T4029" s="6"/>
      <c r="U4029" s="7"/>
      <c r="V4029" s="6"/>
      <c r="W4029" s="6"/>
      <c r="X4029" s="12"/>
      <c r="Y4029" s="6"/>
      <c r="Z4029" s="6"/>
      <c r="AA4029" s="7"/>
      <c r="AB4029" s="6"/>
      <c r="AC4029" s="6"/>
      <c r="AD4029" s="6"/>
      <c r="AE4029" s="12"/>
      <c r="AF4029" s="12"/>
      <c r="AG4029" s="12"/>
      <c r="AH4029" s="12"/>
      <c r="AI4029" s="6"/>
      <c r="AJ4029" s="12"/>
      <c r="AK4029" s="1"/>
      <c r="AL4029" s="12"/>
      <c r="AM4029" s="12"/>
      <c r="AN4029" s="1"/>
      <c r="AO4029" s="6"/>
    </row>
    <row r="4030" spans="1:41" ht="15" x14ac:dyDescent="0.25">
      <c r="A4030" s="1"/>
      <c r="B4030" s="1"/>
      <c r="C4030" s="1"/>
      <c r="D4030" s="1"/>
      <c r="E4030" s="6"/>
      <c r="F4030" s="1"/>
      <c r="G4030" s="6"/>
      <c r="H4030" s="6"/>
      <c r="I4030" s="6"/>
      <c r="J4030" s="6"/>
      <c r="K4030" s="6"/>
      <c r="L4030" s="6"/>
      <c r="M4030" s="6"/>
      <c r="N4030" s="6"/>
      <c r="O4030" s="7"/>
      <c r="P4030" s="6"/>
      <c r="Q4030" s="6"/>
      <c r="R4030" s="7"/>
      <c r="S4030" s="6"/>
      <c r="T4030" s="6"/>
      <c r="U4030" s="7"/>
      <c r="V4030" s="6"/>
      <c r="W4030" s="6"/>
      <c r="X4030" s="12"/>
      <c r="Y4030" s="6"/>
      <c r="Z4030" s="6"/>
      <c r="AA4030" s="7"/>
      <c r="AB4030" s="6"/>
      <c r="AC4030" s="6"/>
      <c r="AD4030" s="6"/>
      <c r="AE4030" s="12"/>
      <c r="AF4030" s="6"/>
      <c r="AG4030" s="12"/>
      <c r="AH4030" s="6"/>
      <c r="AI4030" s="6"/>
      <c r="AJ4030" s="12"/>
      <c r="AK4030" s="1"/>
      <c r="AL4030" s="12"/>
      <c r="AM4030" s="12"/>
      <c r="AN4030" s="1"/>
      <c r="AO4030" s="6"/>
    </row>
    <row r="4031" spans="1:41" ht="15" x14ac:dyDescent="0.25">
      <c r="A4031" s="1"/>
      <c r="B4031" s="1"/>
      <c r="C4031" s="1"/>
      <c r="D4031" s="1"/>
      <c r="E4031" s="6"/>
      <c r="F4031" s="1"/>
      <c r="G4031" s="6"/>
      <c r="H4031" s="6"/>
      <c r="I4031" s="6"/>
      <c r="J4031" s="6"/>
      <c r="K4031" s="6"/>
      <c r="L4031" s="6"/>
      <c r="M4031" s="6"/>
      <c r="N4031" s="6"/>
      <c r="O4031" s="7"/>
      <c r="P4031" s="6"/>
      <c r="Q4031" s="6"/>
      <c r="R4031" s="7"/>
      <c r="S4031" s="6"/>
      <c r="T4031" s="6"/>
      <c r="U4031" s="7"/>
      <c r="V4031" s="6"/>
      <c r="W4031" s="6"/>
      <c r="X4031" s="6"/>
      <c r="Y4031" s="6"/>
      <c r="Z4031" s="6"/>
      <c r="AA4031" s="7"/>
      <c r="AB4031" s="6"/>
      <c r="AC4031" s="6"/>
      <c r="AD4031" s="6"/>
      <c r="AE4031" s="12"/>
      <c r="AF4031" s="12"/>
      <c r="AG4031" s="12"/>
      <c r="AH4031" s="12"/>
      <c r="AI4031" s="6"/>
      <c r="AJ4031" s="12"/>
      <c r="AK4031" s="1"/>
      <c r="AL4031" s="12"/>
      <c r="AM4031" s="12"/>
      <c r="AN4031" s="1"/>
      <c r="AO4031" s="6"/>
    </row>
    <row r="4032" spans="1:41" ht="15" x14ac:dyDescent="0.25">
      <c r="A4032" s="1"/>
      <c r="B4032" s="1"/>
      <c r="C4032" s="1"/>
      <c r="D4032" s="1"/>
      <c r="E4032" s="6"/>
      <c r="F4032" s="1"/>
      <c r="G4032" s="6"/>
      <c r="H4032" s="6"/>
      <c r="I4032" s="6"/>
      <c r="J4032" s="6"/>
      <c r="K4032" s="6"/>
      <c r="L4032" s="6"/>
      <c r="M4032" s="6"/>
      <c r="N4032" s="6"/>
      <c r="O4032" s="7"/>
      <c r="P4032" s="6"/>
      <c r="Q4032" s="6"/>
      <c r="R4032" s="7"/>
      <c r="S4032" s="6"/>
      <c r="T4032" s="6"/>
      <c r="U4032" s="7"/>
      <c r="V4032" s="6"/>
      <c r="W4032" s="6"/>
      <c r="X4032" s="6"/>
      <c r="Y4032" s="6"/>
      <c r="Z4032" s="6"/>
      <c r="AA4032" s="7"/>
      <c r="AB4032" s="6"/>
      <c r="AC4032" s="6"/>
      <c r="AD4032" s="6"/>
      <c r="AE4032" s="12"/>
      <c r="AF4032" s="12"/>
      <c r="AG4032" s="12"/>
      <c r="AH4032" s="12"/>
      <c r="AI4032" s="6"/>
      <c r="AJ4032" s="12"/>
      <c r="AK4032" s="1"/>
      <c r="AL4032" s="12"/>
      <c r="AM4032" s="12"/>
      <c r="AN4032" s="1"/>
      <c r="AO4032" s="6"/>
    </row>
    <row r="4033" spans="1:41" ht="15" x14ac:dyDescent="0.25">
      <c r="A4033" s="1"/>
      <c r="B4033" s="1"/>
      <c r="C4033" s="1"/>
      <c r="D4033" s="1"/>
      <c r="E4033" s="6"/>
      <c r="F4033" s="1"/>
      <c r="G4033" s="6"/>
      <c r="H4033" s="6"/>
      <c r="I4033" s="6"/>
      <c r="J4033" s="6"/>
      <c r="K4033" s="6"/>
      <c r="L4033" s="6"/>
      <c r="M4033" s="6"/>
      <c r="N4033" s="6"/>
      <c r="O4033" s="7"/>
      <c r="P4033" s="6"/>
      <c r="Q4033" s="6"/>
      <c r="R4033" s="7"/>
      <c r="S4033" s="6"/>
      <c r="T4033" s="6"/>
      <c r="U4033" s="7"/>
      <c r="V4033" s="6"/>
      <c r="W4033" s="6"/>
      <c r="X4033" s="12"/>
      <c r="Y4033" s="6"/>
      <c r="Z4033" s="6"/>
      <c r="AA4033" s="7"/>
      <c r="AB4033" s="6"/>
      <c r="AC4033" s="6"/>
      <c r="AD4033" s="6"/>
      <c r="AE4033" s="12"/>
      <c r="AF4033" s="12"/>
      <c r="AG4033" s="12"/>
      <c r="AH4033" s="12"/>
      <c r="AI4033" s="6"/>
      <c r="AJ4033" s="12"/>
      <c r="AK4033" s="1"/>
      <c r="AL4033" s="12"/>
      <c r="AM4033" s="12"/>
      <c r="AN4033" s="1"/>
      <c r="AO4033" s="6"/>
    </row>
    <row r="4034" spans="1:41" ht="15" x14ac:dyDescent="0.25">
      <c r="A4034" s="1"/>
      <c r="B4034" s="1"/>
      <c r="C4034" s="1"/>
      <c r="D4034" s="1"/>
      <c r="E4034" s="6"/>
      <c r="F4034" s="1"/>
      <c r="G4034" s="6"/>
      <c r="H4034" s="6"/>
      <c r="I4034" s="6"/>
      <c r="J4034" s="6"/>
      <c r="K4034" s="6"/>
      <c r="L4034" s="6"/>
      <c r="M4034" s="6"/>
      <c r="N4034" s="6"/>
      <c r="O4034" s="7"/>
      <c r="P4034" s="6"/>
      <c r="Q4034" s="6"/>
      <c r="R4034" s="7"/>
      <c r="S4034" s="6"/>
      <c r="T4034" s="6"/>
      <c r="U4034" s="7"/>
      <c r="V4034" s="6"/>
      <c r="W4034" s="6"/>
      <c r="X4034" s="12"/>
      <c r="Y4034" s="6"/>
      <c r="Z4034" s="6"/>
      <c r="AA4034" s="7"/>
      <c r="AB4034" s="6"/>
      <c r="AC4034" s="6"/>
      <c r="AD4034" s="6"/>
      <c r="AE4034" s="12"/>
      <c r="AF4034" s="12"/>
      <c r="AG4034" s="12"/>
      <c r="AH4034" s="12"/>
      <c r="AI4034" s="6"/>
      <c r="AJ4034" s="12"/>
      <c r="AK4034" s="1"/>
      <c r="AL4034" s="12"/>
      <c r="AM4034" s="12"/>
      <c r="AN4034" s="1"/>
      <c r="AO4034" s="6"/>
    </row>
    <row r="4035" spans="1:41" ht="15" x14ac:dyDescent="0.25">
      <c r="A4035" s="1"/>
      <c r="B4035" s="1"/>
      <c r="C4035" s="1"/>
      <c r="D4035" s="1"/>
      <c r="E4035" s="6"/>
      <c r="F4035" s="1"/>
      <c r="G4035" s="6"/>
      <c r="H4035" s="6"/>
      <c r="I4035" s="6"/>
      <c r="J4035" s="6"/>
      <c r="K4035" s="6"/>
      <c r="L4035" s="6"/>
      <c r="M4035" s="6"/>
      <c r="N4035" s="6"/>
      <c r="O4035" s="7"/>
      <c r="P4035" s="6"/>
      <c r="Q4035" s="7"/>
      <c r="R4035" s="6"/>
      <c r="S4035" s="6"/>
      <c r="T4035" s="6"/>
      <c r="U4035" s="6"/>
      <c r="V4035" s="7"/>
      <c r="W4035" s="7"/>
      <c r="X4035" s="6"/>
      <c r="Y4035" s="6"/>
      <c r="Z4035" s="6"/>
      <c r="AA4035" s="1"/>
      <c r="AB4035" s="12"/>
      <c r="AC4035" s="12"/>
      <c r="AD4035" s="12"/>
      <c r="AE4035" s="12"/>
      <c r="AF4035" s="12"/>
      <c r="AG4035" s="12"/>
      <c r="AH4035" s="12"/>
      <c r="AI4035" s="6"/>
      <c r="AJ4035" s="12"/>
      <c r="AK4035" s="12"/>
      <c r="AL4035" s="12"/>
      <c r="AM4035" s="12"/>
      <c r="AN4035" s="1"/>
      <c r="AO4035" s="6"/>
    </row>
    <row r="4036" spans="1:41" ht="15" x14ac:dyDescent="0.25">
      <c r="A4036" s="1"/>
      <c r="B4036" s="1"/>
      <c r="C4036" s="1"/>
      <c r="D4036" s="1"/>
      <c r="E4036" s="6"/>
      <c r="F4036" s="1"/>
      <c r="G4036" s="6"/>
      <c r="H4036" s="6"/>
      <c r="I4036" s="6"/>
      <c r="J4036" s="6"/>
      <c r="K4036" s="6"/>
      <c r="L4036" s="6"/>
      <c r="M4036" s="6"/>
      <c r="N4036" s="6"/>
      <c r="O4036" s="7"/>
      <c r="P4036" s="6"/>
      <c r="Q4036" s="7"/>
      <c r="R4036" s="6"/>
      <c r="S4036" s="12"/>
      <c r="T4036" s="6"/>
      <c r="U4036" s="6"/>
      <c r="V4036" s="7"/>
      <c r="W4036" s="7"/>
      <c r="X4036" s="6"/>
      <c r="Y4036" s="6"/>
      <c r="Z4036" s="6"/>
      <c r="AA4036" s="1"/>
      <c r="AB4036" s="12"/>
      <c r="AC4036" s="12"/>
      <c r="AD4036" s="12"/>
      <c r="AE4036" s="12"/>
      <c r="AF4036" s="12"/>
      <c r="AG4036" s="12"/>
      <c r="AH4036" s="12"/>
      <c r="AI4036" s="6"/>
      <c r="AJ4036" s="12"/>
      <c r="AK4036" s="12"/>
      <c r="AL4036" s="12"/>
      <c r="AM4036" s="12"/>
      <c r="AN4036" s="1"/>
      <c r="AO4036" s="6"/>
    </row>
    <row r="4037" spans="1:41" ht="15" x14ac:dyDescent="0.25">
      <c r="A4037" s="1"/>
      <c r="B4037" s="1"/>
      <c r="C4037" s="1"/>
      <c r="D4037" s="1"/>
      <c r="E4037" s="6"/>
      <c r="F4037" s="1"/>
      <c r="G4037" s="6"/>
      <c r="H4037" s="6"/>
      <c r="I4037" s="6"/>
      <c r="J4037" s="6"/>
      <c r="K4037" s="6"/>
      <c r="L4037" s="6"/>
      <c r="M4037" s="6"/>
      <c r="N4037" s="6"/>
      <c r="O4037" s="7"/>
      <c r="P4037" s="6"/>
      <c r="Q4037" s="6"/>
      <c r="R4037" s="7"/>
      <c r="S4037" s="6"/>
      <c r="T4037" s="6"/>
      <c r="U4037" s="7"/>
      <c r="V4037" s="6"/>
      <c r="W4037" s="6"/>
      <c r="X4037" s="6"/>
      <c r="Y4037" s="6"/>
      <c r="Z4037" s="6"/>
      <c r="AA4037" s="7"/>
      <c r="AB4037" s="6"/>
      <c r="AC4037" s="6"/>
      <c r="AD4037" s="6"/>
      <c r="AE4037" s="12"/>
      <c r="AF4037" s="6"/>
      <c r="AG4037" s="12"/>
      <c r="AH4037" s="6"/>
      <c r="AI4037" s="6"/>
      <c r="AJ4037" s="12"/>
      <c r="AK4037" s="24"/>
      <c r="AL4037" s="25"/>
      <c r="AM4037" s="12"/>
      <c r="AN4037" s="1"/>
      <c r="AO4037" s="6"/>
    </row>
    <row r="4038" spans="1:41" ht="15" x14ac:dyDescent="0.25">
      <c r="A4038" s="1"/>
      <c r="B4038" s="1"/>
      <c r="C4038" s="1"/>
      <c r="D4038" s="1"/>
      <c r="E4038" s="6"/>
      <c r="F4038" s="1"/>
      <c r="G4038" s="6"/>
      <c r="H4038" s="6"/>
      <c r="I4038" s="6"/>
      <c r="J4038" s="6"/>
      <c r="K4038" s="6"/>
      <c r="L4038" s="6"/>
      <c r="M4038" s="6"/>
      <c r="N4038" s="6"/>
      <c r="O4038" s="7"/>
      <c r="P4038" s="6"/>
      <c r="Q4038" s="6"/>
      <c r="R4038" s="7"/>
      <c r="S4038" s="6"/>
      <c r="T4038" s="6"/>
      <c r="U4038" s="7"/>
      <c r="V4038" s="6"/>
      <c r="W4038" s="6"/>
      <c r="X4038" s="6"/>
      <c r="Y4038" s="6"/>
      <c r="Z4038" s="6"/>
      <c r="AA4038" s="7"/>
      <c r="AB4038" s="6"/>
      <c r="AC4038" s="6"/>
      <c r="AD4038" s="6"/>
      <c r="AE4038" s="12"/>
      <c r="AF4038" s="6"/>
      <c r="AG4038" s="12"/>
      <c r="AH4038" s="6"/>
      <c r="AI4038" s="6"/>
      <c r="AJ4038" s="12"/>
      <c r="AK4038" s="24"/>
      <c r="AL4038" s="25"/>
      <c r="AM4038" s="12"/>
      <c r="AN4038" s="1"/>
      <c r="AO4038" s="6"/>
    </row>
    <row r="4039" spans="1:41" ht="15" x14ac:dyDescent="0.25">
      <c r="A4039" s="1"/>
      <c r="B4039" s="1"/>
      <c r="C4039" s="1"/>
      <c r="D4039" s="1"/>
      <c r="E4039" s="6"/>
      <c r="F4039" s="1"/>
      <c r="G4039" s="6"/>
      <c r="H4039" s="6"/>
      <c r="I4039" s="6"/>
      <c r="J4039" s="6"/>
      <c r="K4039" s="6"/>
      <c r="L4039" s="6"/>
      <c r="M4039" s="6"/>
      <c r="N4039" s="6"/>
      <c r="O4039" s="7"/>
      <c r="P4039" s="6"/>
      <c r="Q4039" s="6"/>
      <c r="R4039" s="12"/>
      <c r="S4039" s="12"/>
      <c r="T4039" s="12"/>
      <c r="U4039" s="7"/>
      <c r="V4039" s="6"/>
      <c r="W4039" s="6"/>
      <c r="X4039" s="12"/>
      <c r="Y4039" s="6"/>
      <c r="Z4039" s="6"/>
      <c r="AA4039" s="7"/>
      <c r="AB4039" s="6"/>
      <c r="AC4039" s="6"/>
      <c r="AD4039" s="6"/>
      <c r="AE4039" s="12"/>
      <c r="AF4039" s="6"/>
      <c r="AG4039" s="12"/>
      <c r="AH4039" s="6"/>
      <c r="AI4039" s="6"/>
      <c r="AJ4039" s="12"/>
      <c r="AK4039" s="1"/>
      <c r="AL4039" s="12"/>
      <c r="AM4039" s="12"/>
      <c r="AN4039" s="1"/>
      <c r="AO4039" s="6"/>
    </row>
    <row r="4040" spans="1:41" ht="15" x14ac:dyDescent="0.25">
      <c r="A4040" s="1"/>
      <c r="B4040" s="1"/>
      <c r="C4040" s="1"/>
      <c r="D4040" s="1"/>
      <c r="E4040" s="6"/>
      <c r="F4040" s="1"/>
      <c r="G4040" s="6"/>
      <c r="H4040" s="6"/>
      <c r="I4040" s="6"/>
      <c r="J4040" s="6"/>
      <c r="K4040" s="6"/>
      <c r="L4040" s="6"/>
      <c r="M4040" s="6"/>
      <c r="N4040" s="6"/>
      <c r="O4040" s="7"/>
      <c r="P4040" s="6"/>
      <c r="Q4040" s="6"/>
      <c r="R4040" s="12"/>
      <c r="S4040" s="12"/>
      <c r="T4040" s="12"/>
      <c r="U4040" s="7"/>
      <c r="V4040" s="6"/>
      <c r="W4040" s="6"/>
      <c r="X4040" s="12"/>
      <c r="Y4040" s="6"/>
      <c r="Z4040" s="6"/>
      <c r="AA4040" s="7"/>
      <c r="AB4040" s="6"/>
      <c r="AC4040" s="6"/>
      <c r="AD4040" s="6"/>
      <c r="AE4040" s="12"/>
      <c r="AF4040" s="6"/>
      <c r="AG4040" s="12"/>
      <c r="AH4040" s="6"/>
      <c r="AI4040" s="6"/>
      <c r="AJ4040" s="12"/>
      <c r="AK4040" s="1"/>
      <c r="AL4040" s="12"/>
      <c r="AM4040" s="12"/>
      <c r="AN4040" s="1"/>
      <c r="AO4040" s="6"/>
    </row>
    <row r="4041" spans="1:41" ht="15" x14ac:dyDescent="0.25">
      <c r="A4041" s="1"/>
      <c r="B4041" s="1"/>
      <c r="C4041" s="1"/>
      <c r="D4041" s="1"/>
      <c r="E4041" s="6"/>
      <c r="F4041" s="1"/>
      <c r="G4041" s="6"/>
      <c r="H4041" s="6"/>
      <c r="I4041" s="6"/>
      <c r="J4041" s="6"/>
      <c r="K4041" s="6"/>
      <c r="L4041" s="6"/>
      <c r="M4041" s="6"/>
      <c r="N4041" s="6"/>
      <c r="O4041" s="7"/>
      <c r="P4041" s="6"/>
      <c r="Q4041" s="6"/>
      <c r="R4041" s="7"/>
      <c r="S4041" s="6"/>
      <c r="T4041" s="6"/>
      <c r="U4041" s="7"/>
      <c r="V4041" s="6"/>
      <c r="W4041" s="6"/>
      <c r="X4041" s="12"/>
      <c r="Y4041" s="6"/>
      <c r="Z4041" s="6"/>
      <c r="AA4041" s="7"/>
      <c r="AB4041" s="6"/>
      <c r="AC4041" s="6"/>
      <c r="AD4041" s="6"/>
      <c r="AE4041" s="12"/>
      <c r="AF4041" s="12"/>
      <c r="AG4041" s="12"/>
      <c r="AH4041" s="12"/>
      <c r="AI4041" s="6"/>
      <c r="AJ4041" s="12"/>
      <c r="AK4041" s="1"/>
      <c r="AL4041" s="12"/>
      <c r="AM4041" s="12"/>
      <c r="AN4041" s="1"/>
      <c r="AO4041" s="6"/>
    </row>
    <row r="4042" spans="1:41" ht="15" x14ac:dyDescent="0.25">
      <c r="A4042" s="1"/>
      <c r="B4042" s="1"/>
      <c r="C4042" s="1"/>
      <c r="D4042" s="1"/>
      <c r="E4042" s="6"/>
      <c r="F4042" s="1"/>
      <c r="G4042" s="6"/>
      <c r="H4042" s="6"/>
      <c r="I4042" s="6"/>
      <c r="J4042" s="6"/>
      <c r="K4042" s="6"/>
      <c r="L4042" s="6"/>
      <c r="M4042" s="6"/>
      <c r="N4042" s="6"/>
      <c r="O4042" s="7"/>
      <c r="P4042" s="6"/>
      <c r="Q4042" s="6"/>
      <c r="R4042" s="7"/>
      <c r="S4042" s="6"/>
      <c r="T4042" s="6"/>
      <c r="U4042" s="7"/>
      <c r="V4042" s="6"/>
      <c r="W4042" s="6"/>
      <c r="X4042" s="6"/>
      <c r="Y4042" s="6"/>
      <c r="Z4042" s="6"/>
      <c r="AA4042" s="7"/>
      <c r="AB4042" s="6"/>
      <c r="AC4042" s="6"/>
      <c r="AD4042" s="6"/>
      <c r="AE4042" s="12"/>
      <c r="AF4042" s="12"/>
      <c r="AG4042" s="12"/>
      <c r="AH4042" s="12"/>
      <c r="AI4042" s="6"/>
      <c r="AJ4042" s="12"/>
      <c r="AK4042" s="1"/>
      <c r="AL4042" s="12"/>
      <c r="AM4042" s="12"/>
      <c r="AN4042" s="1"/>
      <c r="AO4042" s="6"/>
    </row>
    <row r="4043" spans="1:41" ht="15" x14ac:dyDescent="0.25">
      <c r="A4043" s="1"/>
      <c r="B4043" s="1"/>
      <c r="C4043" s="1"/>
      <c r="D4043" s="1"/>
      <c r="E4043" s="6"/>
      <c r="F4043" s="1"/>
      <c r="G4043" s="6"/>
      <c r="H4043" s="6"/>
      <c r="I4043" s="6"/>
      <c r="J4043" s="6"/>
      <c r="K4043" s="6"/>
      <c r="L4043" s="6"/>
      <c r="M4043" s="6"/>
      <c r="N4043" s="6"/>
      <c r="O4043" s="7"/>
      <c r="P4043" s="6"/>
      <c r="Q4043" s="6"/>
      <c r="R4043" s="7"/>
      <c r="S4043" s="6"/>
      <c r="T4043" s="6"/>
      <c r="U4043" s="7"/>
      <c r="V4043" s="6"/>
      <c r="W4043" s="6"/>
      <c r="X4043" s="12"/>
      <c r="Y4043" s="6"/>
      <c r="Z4043" s="6"/>
      <c r="AA4043" s="7"/>
      <c r="AB4043" s="6"/>
      <c r="AC4043" s="6"/>
      <c r="AD4043" s="6"/>
      <c r="AE4043" s="12"/>
      <c r="AF4043" s="12"/>
      <c r="AG4043" s="12"/>
      <c r="AH4043" s="12"/>
      <c r="AI4043" s="6"/>
      <c r="AJ4043" s="12"/>
      <c r="AK4043" s="1"/>
      <c r="AL4043" s="12"/>
      <c r="AM4043" s="12"/>
      <c r="AN4043" s="1"/>
      <c r="AO4043" s="6"/>
    </row>
    <row r="4044" spans="1:41" ht="15" x14ac:dyDescent="0.25">
      <c r="A4044" s="1"/>
      <c r="B4044" s="1"/>
      <c r="C4044" s="1"/>
      <c r="D4044" s="1"/>
      <c r="E4044" s="6"/>
      <c r="F4044" s="1"/>
      <c r="G4044" s="6"/>
      <c r="H4044" s="6"/>
      <c r="I4044" s="6"/>
      <c r="J4044" s="6"/>
      <c r="K4044" s="6"/>
      <c r="L4044" s="6"/>
      <c r="M4044" s="6"/>
      <c r="N4044" s="6"/>
      <c r="O4044" s="7"/>
      <c r="P4044" s="6"/>
      <c r="Q4044" s="6"/>
      <c r="R4044" s="7"/>
      <c r="S4044" s="6"/>
      <c r="T4044" s="6"/>
      <c r="U4044" s="7"/>
      <c r="V4044" s="6"/>
      <c r="W4044" s="6"/>
      <c r="X4044" s="12"/>
      <c r="Y4044" s="6"/>
      <c r="Z4044" s="6"/>
      <c r="AA4044" s="7"/>
      <c r="AB4044" s="6"/>
      <c r="AC4044" s="6"/>
      <c r="AD4044" s="6"/>
      <c r="AE4044" s="12"/>
      <c r="AF4044" s="12"/>
      <c r="AG4044" s="12"/>
      <c r="AH4044" s="12"/>
      <c r="AI4044" s="6"/>
      <c r="AJ4044" s="12"/>
      <c r="AK4044" s="24"/>
      <c r="AL4044" s="25"/>
      <c r="AM4044" s="12"/>
      <c r="AN4044" s="1"/>
      <c r="AO4044" s="6"/>
    </row>
    <row r="4045" spans="1:41" ht="15" x14ac:dyDescent="0.25">
      <c r="A4045" s="1"/>
      <c r="B4045" s="1"/>
      <c r="C4045" s="1"/>
      <c r="D4045" s="1"/>
      <c r="E4045" s="6"/>
      <c r="F4045" s="1"/>
      <c r="G4045" s="6"/>
      <c r="H4045" s="6"/>
      <c r="I4045" s="6"/>
      <c r="J4045" s="6"/>
      <c r="K4045" s="6"/>
      <c r="L4045" s="6"/>
      <c r="M4045" s="6"/>
      <c r="N4045" s="6"/>
      <c r="O4045" s="7"/>
      <c r="P4045" s="6"/>
      <c r="Q4045" s="6"/>
      <c r="R4045" s="7"/>
      <c r="S4045" s="6"/>
      <c r="T4045" s="6"/>
      <c r="U4045" s="7"/>
      <c r="V4045" s="6"/>
      <c r="W4045" s="6"/>
      <c r="X4045" s="12"/>
      <c r="Y4045" s="6"/>
      <c r="Z4045" s="6"/>
      <c r="AA4045" s="7"/>
      <c r="AB4045" s="6"/>
      <c r="AC4045" s="6"/>
      <c r="AD4045" s="6"/>
      <c r="AE4045" s="12"/>
      <c r="AF4045" s="12"/>
      <c r="AG4045" s="12"/>
      <c r="AH4045" s="12"/>
      <c r="AI4045" s="6"/>
      <c r="AJ4045" s="12"/>
      <c r="AK4045" s="24"/>
      <c r="AL4045" s="25"/>
      <c r="AM4045" s="12"/>
      <c r="AN4045" s="1"/>
      <c r="AO4045" s="6"/>
    </row>
    <row r="4046" spans="1:41" ht="15" x14ac:dyDescent="0.25">
      <c r="A4046" s="1"/>
      <c r="B4046" s="1"/>
      <c r="C4046" s="1"/>
      <c r="D4046" s="1"/>
      <c r="E4046" s="6"/>
      <c r="F4046" s="1"/>
      <c r="G4046" s="6"/>
      <c r="H4046" s="6"/>
      <c r="I4046" s="6"/>
      <c r="J4046" s="6"/>
      <c r="K4046" s="6"/>
      <c r="L4046" s="6"/>
      <c r="M4046" s="6"/>
      <c r="N4046" s="6"/>
      <c r="O4046" s="7"/>
      <c r="P4046" s="12"/>
      <c r="Q4046" s="6"/>
      <c r="R4046" s="7"/>
      <c r="S4046" s="6"/>
      <c r="T4046" s="6"/>
      <c r="U4046" s="7"/>
      <c r="V4046" s="6"/>
      <c r="W4046" s="6"/>
      <c r="X4046" s="6"/>
      <c r="Y4046" s="6"/>
      <c r="Z4046" s="6"/>
      <c r="AA4046" s="7"/>
      <c r="AB4046" s="6"/>
      <c r="AC4046" s="6"/>
      <c r="AD4046" s="6"/>
      <c r="AE4046" s="12"/>
      <c r="AF4046" s="12"/>
      <c r="AG4046" s="12"/>
      <c r="AH4046" s="12"/>
      <c r="AI4046" s="6"/>
      <c r="AJ4046" s="12"/>
      <c r="AK4046" s="1"/>
      <c r="AL4046" s="12"/>
      <c r="AM4046" s="12"/>
      <c r="AN4046" s="1"/>
      <c r="AO4046" s="6"/>
    </row>
    <row r="4047" spans="1:41" ht="15" x14ac:dyDescent="0.25">
      <c r="A4047" s="1"/>
      <c r="B4047" s="1"/>
      <c r="C4047" s="1"/>
      <c r="D4047" s="1"/>
      <c r="E4047" s="6"/>
      <c r="F4047" s="1"/>
      <c r="G4047" s="6"/>
      <c r="H4047" s="6"/>
      <c r="I4047" s="6"/>
      <c r="J4047" s="6"/>
      <c r="K4047" s="6"/>
      <c r="L4047" s="6"/>
      <c r="M4047" s="6"/>
      <c r="N4047" s="6"/>
      <c r="O4047" s="7"/>
      <c r="P4047" s="6"/>
      <c r="Q4047" s="6"/>
      <c r="R4047" s="7"/>
      <c r="S4047" s="6"/>
      <c r="T4047" s="6"/>
      <c r="U4047" s="7"/>
      <c r="V4047" s="6"/>
      <c r="W4047" s="6"/>
      <c r="X4047" s="6"/>
      <c r="Y4047" s="6"/>
      <c r="Z4047" s="6"/>
      <c r="AA4047" s="7"/>
      <c r="AB4047" s="6"/>
      <c r="AC4047" s="6"/>
      <c r="AD4047" s="6"/>
      <c r="AE4047" s="12"/>
      <c r="AF4047" s="6"/>
      <c r="AG4047" s="12"/>
      <c r="AH4047" s="6"/>
      <c r="AI4047" s="6"/>
      <c r="AJ4047" s="12"/>
      <c r="AK4047" s="24"/>
      <c r="AL4047" s="25"/>
      <c r="AM4047" s="12"/>
      <c r="AN4047" s="1"/>
      <c r="AO4047" s="6"/>
    </row>
    <row r="4048" spans="1:41" ht="15" x14ac:dyDescent="0.25">
      <c r="A4048" s="1"/>
      <c r="B4048" s="1"/>
      <c r="C4048" s="1"/>
      <c r="D4048" s="1"/>
      <c r="E4048" s="6"/>
      <c r="F4048" s="1"/>
      <c r="G4048" s="6"/>
      <c r="H4048" s="6"/>
      <c r="I4048" s="6"/>
      <c r="J4048" s="6"/>
      <c r="K4048" s="6"/>
      <c r="L4048" s="6"/>
      <c r="M4048" s="6"/>
      <c r="N4048" s="6"/>
      <c r="O4048" s="7"/>
      <c r="P4048" s="6"/>
      <c r="Q4048" s="6"/>
      <c r="R4048" s="7"/>
      <c r="S4048" s="6"/>
      <c r="T4048" s="6"/>
      <c r="U4048" s="7"/>
      <c r="V4048" s="6"/>
      <c r="W4048" s="6"/>
      <c r="X4048" s="6"/>
      <c r="Y4048" s="6"/>
      <c r="Z4048" s="6"/>
      <c r="AA4048" s="7"/>
      <c r="AB4048" s="6"/>
      <c r="AC4048" s="6"/>
      <c r="AD4048" s="6"/>
      <c r="AE4048" s="12"/>
      <c r="AF4048" s="6"/>
      <c r="AG4048" s="12"/>
      <c r="AH4048" s="6"/>
      <c r="AI4048" s="6"/>
      <c r="AJ4048" s="12"/>
      <c r="AK4048" s="24"/>
      <c r="AL4048" s="25"/>
      <c r="AM4048" s="12"/>
      <c r="AN4048" s="1"/>
      <c r="AO4048" s="6"/>
    </row>
    <row r="4049" spans="1:41" ht="15" x14ac:dyDescent="0.25">
      <c r="A4049" s="1"/>
      <c r="B4049" s="1"/>
      <c r="C4049" s="1"/>
      <c r="D4049" s="1"/>
      <c r="E4049" s="6"/>
      <c r="F4049" s="1"/>
      <c r="G4049" s="6"/>
      <c r="H4049" s="6"/>
      <c r="I4049" s="6"/>
      <c r="J4049" s="6"/>
      <c r="K4049" s="6"/>
      <c r="L4049" s="6"/>
      <c r="M4049" s="6"/>
      <c r="N4049" s="6"/>
      <c r="O4049" s="7"/>
      <c r="P4049" s="6"/>
      <c r="Q4049" s="6"/>
      <c r="R4049" s="7"/>
      <c r="S4049" s="6"/>
      <c r="T4049" s="6"/>
      <c r="U4049" s="7"/>
      <c r="V4049" s="6"/>
      <c r="W4049" s="6"/>
      <c r="X4049" s="12"/>
      <c r="Y4049" s="6"/>
      <c r="Z4049" s="6"/>
      <c r="AA4049" s="7"/>
      <c r="AB4049" s="6"/>
      <c r="AC4049" s="6"/>
      <c r="AD4049" s="6"/>
      <c r="AE4049" s="12"/>
      <c r="AF4049" s="6"/>
      <c r="AG4049" s="12"/>
      <c r="AH4049" s="6"/>
      <c r="AI4049" s="6"/>
      <c r="AJ4049" s="12"/>
      <c r="AK4049" s="24"/>
      <c r="AL4049" s="25"/>
      <c r="AM4049" s="12"/>
      <c r="AN4049" s="1"/>
      <c r="AO4049" s="6"/>
    </row>
    <row r="4050" spans="1:41" ht="15" x14ac:dyDescent="0.25">
      <c r="A4050" s="1"/>
      <c r="B4050" s="1"/>
      <c r="C4050" s="1"/>
      <c r="D4050" s="1"/>
      <c r="E4050" s="6"/>
      <c r="F4050" s="1"/>
      <c r="G4050" s="6"/>
      <c r="H4050" s="6"/>
      <c r="I4050" s="6"/>
      <c r="J4050" s="6"/>
      <c r="K4050" s="6"/>
      <c r="L4050" s="6"/>
      <c r="M4050" s="6"/>
      <c r="N4050" s="6"/>
      <c r="O4050" s="7"/>
      <c r="P4050" s="6"/>
      <c r="Q4050" s="6"/>
      <c r="R4050" s="7"/>
      <c r="S4050" s="6"/>
      <c r="T4050" s="6"/>
      <c r="U4050" s="7"/>
      <c r="V4050" s="6"/>
      <c r="W4050" s="6"/>
      <c r="X4050" s="12"/>
      <c r="Y4050" s="6"/>
      <c r="Z4050" s="6"/>
      <c r="AA4050" s="7"/>
      <c r="AB4050" s="6"/>
      <c r="AC4050" s="6"/>
      <c r="AD4050" s="6"/>
      <c r="AE4050" s="12"/>
      <c r="AF4050" s="6"/>
      <c r="AG4050" s="12"/>
      <c r="AH4050" s="6"/>
      <c r="AI4050" s="6"/>
      <c r="AJ4050" s="12"/>
      <c r="AK4050" s="24"/>
      <c r="AL4050" s="25"/>
      <c r="AM4050" s="12"/>
      <c r="AN4050" s="1"/>
      <c r="AO4050" s="6"/>
    </row>
    <row r="4051" spans="1:41" ht="15" x14ac:dyDescent="0.25">
      <c r="A4051" s="1"/>
      <c r="B4051" s="1"/>
      <c r="C4051" s="1"/>
      <c r="D4051" s="1"/>
      <c r="E4051" s="6"/>
      <c r="F4051" s="1"/>
      <c r="G4051" s="6"/>
      <c r="H4051" s="6"/>
      <c r="I4051" s="6"/>
      <c r="J4051" s="6"/>
      <c r="K4051" s="6"/>
      <c r="L4051" s="6"/>
      <c r="M4051" s="6"/>
      <c r="N4051" s="6"/>
      <c r="O4051" s="7"/>
      <c r="P4051" s="6"/>
      <c r="Q4051" s="6"/>
      <c r="R4051" s="7"/>
      <c r="S4051" s="6"/>
      <c r="T4051" s="6"/>
      <c r="U4051" s="7"/>
      <c r="V4051" s="6"/>
      <c r="W4051" s="6"/>
      <c r="X4051" s="6"/>
      <c r="Y4051" s="6"/>
      <c r="Z4051" s="6"/>
      <c r="AA4051" s="7"/>
      <c r="AB4051" s="6"/>
      <c r="AC4051" s="6"/>
      <c r="AD4051" s="6"/>
      <c r="AE4051" s="12"/>
      <c r="AF4051" s="6"/>
      <c r="AG4051" s="12"/>
      <c r="AH4051" s="6"/>
      <c r="AI4051" s="6"/>
      <c r="AJ4051" s="12"/>
      <c r="AK4051" s="1"/>
      <c r="AL4051" s="12"/>
      <c r="AM4051" s="12"/>
      <c r="AN4051" s="1"/>
      <c r="AO4051" s="6"/>
    </row>
    <row r="4052" spans="1:41" ht="15" x14ac:dyDescent="0.25">
      <c r="A4052" s="1"/>
      <c r="B4052" s="1"/>
      <c r="C4052" s="1"/>
      <c r="D4052" s="1"/>
      <c r="E4052" s="6"/>
      <c r="F4052" s="1"/>
      <c r="G4052" s="6"/>
      <c r="H4052" s="6"/>
      <c r="I4052" s="6"/>
      <c r="J4052" s="6"/>
      <c r="K4052" s="6"/>
      <c r="L4052" s="6"/>
      <c r="M4052" s="6"/>
      <c r="N4052" s="6"/>
      <c r="O4052" s="7"/>
      <c r="P4052" s="6"/>
      <c r="Q4052" s="6"/>
      <c r="R4052" s="7"/>
      <c r="S4052" s="6"/>
      <c r="T4052" s="6"/>
      <c r="U4052" s="7"/>
      <c r="V4052" s="6"/>
      <c r="W4052" s="6"/>
      <c r="X4052" s="6"/>
      <c r="Y4052" s="6"/>
      <c r="Z4052" s="6"/>
      <c r="AA4052" s="15"/>
      <c r="AB4052" s="6"/>
      <c r="AC4052" s="6"/>
      <c r="AD4052" s="6"/>
      <c r="AE4052" s="12"/>
      <c r="AF4052" s="6"/>
      <c r="AG4052" s="12"/>
      <c r="AH4052" s="6"/>
      <c r="AI4052" s="6"/>
      <c r="AJ4052" s="12"/>
      <c r="AK4052" s="24"/>
      <c r="AL4052" s="25"/>
      <c r="AM4052" s="12"/>
      <c r="AN4052" s="1"/>
      <c r="AO4052" s="6"/>
    </row>
    <row r="4053" spans="1:41" ht="15" x14ac:dyDescent="0.25">
      <c r="A4053" s="1"/>
      <c r="B4053" s="1"/>
      <c r="C4053" s="1"/>
      <c r="D4053" s="1"/>
      <c r="E4053" s="6"/>
      <c r="F4053" s="1"/>
      <c r="G4053" s="6"/>
      <c r="H4053" s="6"/>
      <c r="I4053" s="6"/>
      <c r="J4053" s="6"/>
      <c r="K4053" s="6"/>
      <c r="L4053" s="6"/>
      <c r="M4053" s="6"/>
      <c r="N4053" s="6"/>
      <c r="O4053" s="7"/>
      <c r="P4053" s="6"/>
      <c r="Q4053" s="6"/>
      <c r="R4053" s="7"/>
      <c r="S4053" s="6"/>
      <c r="T4053" s="6"/>
      <c r="U4053" s="7"/>
      <c r="V4053" s="6"/>
      <c r="W4053" s="6"/>
      <c r="X4053" s="6"/>
      <c r="Y4053" s="6"/>
      <c r="Z4053" s="6"/>
      <c r="AA4053" s="7"/>
      <c r="AB4053" s="6"/>
      <c r="AC4053" s="6"/>
      <c r="AD4053" s="6"/>
      <c r="AE4053" s="12"/>
      <c r="AF4053" s="6"/>
      <c r="AG4053" s="12"/>
      <c r="AH4053" s="6"/>
      <c r="AI4053" s="6"/>
      <c r="AJ4053" s="12"/>
      <c r="AK4053" s="24"/>
      <c r="AL4053" s="25"/>
      <c r="AM4053" s="12"/>
      <c r="AN4053" s="1"/>
      <c r="AO4053" s="6"/>
    </row>
    <row r="4054" spans="1:41" ht="15" x14ac:dyDescent="0.25">
      <c r="A4054" s="1"/>
      <c r="B4054" s="1"/>
      <c r="C4054" s="1"/>
      <c r="D4054" s="1"/>
      <c r="E4054" s="6"/>
      <c r="F4054" s="1"/>
      <c r="G4054" s="6"/>
      <c r="H4054" s="6"/>
      <c r="I4054" s="6"/>
      <c r="J4054" s="6"/>
      <c r="K4054" s="6"/>
      <c r="L4054" s="6"/>
      <c r="M4054" s="6"/>
      <c r="N4054" s="6"/>
      <c r="O4054" s="7"/>
      <c r="P4054" s="6"/>
      <c r="Q4054" s="6"/>
      <c r="R4054" s="7"/>
      <c r="S4054" s="6"/>
      <c r="T4054" s="6"/>
      <c r="U4054" s="7"/>
      <c r="V4054" s="6"/>
      <c r="W4054" s="6"/>
      <c r="X4054" s="12"/>
      <c r="Y4054" s="6"/>
      <c r="Z4054" s="6"/>
      <c r="AA4054" s="7"/>
      <c r="AB4054" s="6"/>
      <c r="AC4054" s="6"/>
      <c r="AD4054" s="6"/>
      <c r="AE4054" s="12"/>
      <c r="AF4054" s="12"/>
      <c r="AG4054" s="12"/>
      <c r="AH4054" s="12"/>
      <c r="AI4054" s="6"/>
      <c r="AJ4054" s="12"/>
      <c r="AK4054" s="24"/>
      <c r="AL4054" s="25"/>
      <c r="AM4054" s="12"/>
      <c r="AN4054" s="1"/>
      <c r="AO4054" s="6"/>
    </row>
    <row r="4055" spans="1:41" ht="15" x14ac:dyDescent="0.25">
      <c r="A4055" s="1"/>
      <c r="B4055" s="1"/>
      <c r="C4055" s="1"/>
      <c r="D4055" s="1"/>
      <c r="E4055" s="6"/>
      <c r="F4055" s="1"/>
      <c r="G4055" s="6"/>
      <c r="H4055" s="6"/>
      <c r="I4055" s="6"/>
      <c r="J4055" s="6"/>
      <c r="K4055" s="6"/>
      <c r="L4055" s="6"/>
      <c r="M4055" s="6"/>
      <c r="N4055" s="6"/>
      <c r="O4055" s="7"/>
      <c r="P4055" s="6"/>
      <c r="Q4055" s="6"/>
      <c r="R4055" s="7"/>
      <c r="S4055" s="6"/>
      <c r="T4055" s="6"/>
      <c r="U4055" s="7"/>
      <c r="V4055" s="6"/>
      <c r="W4055" s="6"/>
      <c r="X4055" s="12"/>
      <c r="Y4055" s="6"/>
      <c r="Z4055" s="6"/>
      <c r="AA4055" s="7"/>
      <c r="AB4055" s="6"/>
      <c r="AC4055" s="6"/>
      <c r="AD4055" s="6"/>
      <c r="AE4055" s="12"/>
      <c r="AF4055" s="12"/>
      <c r="AG4055" s="12"/>
      <c r="AH4055" s="12"/>
      <c r="AI4055" s="6"/>
      <c r="AJ4055" s="12"/>
      <c r="AK4055" s="24"/>
      <c r="AL4055" s="25"/>
      <c r="AM4055" s="12"/>
      <c r="AN4055" s="1"/>
      <c r="AO4055" s="6"/>
    </row>
    <row r="4056" spans="1:41" ht="15" x14ac:dyDescent="0.25">
      <c r="A4056" s="1"/>
      <c r="B4056" s="1"/>
      <c r="C4056" s="1"/>
      <c r="D4056" s="1"/>
      <c r="E4056" s="6"/>
      <c r="F4056" s="1"/>
      <c r="G4056" s="6"/>
      <c r="H4056" s="6"/>
      <c r="I4056" s="6"/>
      <c r="J4056" s="6"/>
      <c r="K4056" s="6"/>
      <c r="L4056" s="6"/>
      <c r="M4056" s="6"/>
      <c r="N4056" s="6"/>
      <c r="O4056" s="7"/>
      <c r="P4056" s="12"/>
      <c r="Q4056" s="6"/>
      <c r="R4056" s="7"/>
      <c r="S4056" s="6"/>
      <c r="T4056" s="6"/>
      <c r="U4056" s="7"/>
      <c r="V4056" s="6"/>
      <c r="W4056" s="6"/>
      <c r="X4056" s="6"/>
      <c r="Y4056" s="6"/>
      <c r="Z4056" s="6"/>
      <c r="AA4056" s="7"/>
      <c r="AB4056" s="6"/>
      <c r="AC4056" s="6"/>
      <c r="AD4056" s="6"/>
      <c r="AE4056" s="12"/>
      <c r="AF4056" s="12"/>
      <c r="AG4056" s="12"/>
      <c r="AH4056" s="12"/>
      <c r="AI4056" s="6"/>
      <c r="AJ4056" s="12"/>
      <c r="AK4056" s="1"/>
      <c r="AL4056" s="12"/>
      <c r="AM4056" s="12"/>
      <c r="AN4056" s="1"/>
      <c r="AO4056" s="6"/>
    </row>
    <row r="4057" spans="1:41" ht="15" x14ac:dyDescent="0.25">
      <c r="A4057" s="1"/>
      <c r="B4057" s="1"/>
      <c r="C4057" s="1"/>
      <c r="D4057" s="1"/>
      <c r="E4057" s="6"/>
      <c r="F4057" s="1"/>
      <c r="G4057" s="6"/>
      <c r="H4057" s="6"/>
      <c r="I4057" s="6"/>
      <c r="J4057" s="6"/>
      <c r="K4057" s="6"/>
      <c r="L4057" s="6"/>
      <c r="M4057" s="6"/>
      <c r="N4057" s="6"/>
      <c r="O4057" s="7"/>
      <c r="P4057" s="6"/>
      <c r="Q4057" s="6"/>
      <c r="R4057" s="7"/>
      <c r="S4057" s="6"/>
      <c r="T4057" s="6"/>
      <c r="U4057" s="7"/>
      <c r="V4057" s="6"/>
      <c r="W4057" s="6"/>
      <c r="X4057" s="12"/>
      <c r="Y4057" s="6"/>
      <c r="Z4057" s="6"/>
      <c r="AA4057" s="7"/>
      <c r="AB4057" s="6"/>
      <c r="AC4057" s="6"/>
      <c r="AD4057" s="6"/>
      <c r="AE4057" s="12"/>
      <c r="AF4057" s="6"/>
      <c r="AG4057" s="12"/>
      <c r="AH4057" s="6"/>
      <c r="AI4057" s="6"/>
      <c r="AJ4057" s="12"/>
      <c r="AK4057" s="1"/>
      <c r="AL4057" s="12"/>
      <c r="AM4057" s="12"/>
      <c r="AN4057" s="1"/>
      <c r="AO4057" s="6"/>
    </row>
    <row r="4058" spans="1:41" ht="15" x14ac:dyDescent="0.25">
      <c r="A4058" s="1"/>
      <c r="B4058" s="1"/>
      <c r="C4058" s="1"/>
      <c r="D4058" s="1"/>
      <c r="E4058" s="6"/>
      <c r="F4058" s="1"/>
      <c r="G4058" s="6"/>
      <c r="H4058" s="6"/>
      <c r="I4058" s="6"/>
      <c r="J4058" s="6"/>
      <c r="K4058" s="6"/>
      <c r="L4058" s="6"/>
      <c r="M4058" s="6"/>
      <c r="N4058" s="6"/>
      <c r="O4058" s="7"/>
      <c r="P4058" s="6"/>
      <c r="Q4058" s="6"/>
      <c r="R4058" s="7"/>
      <c r="S4058" s="6"/>
      <c r="T4058" s="6"/>
      <c r="U4058" s="7"/>
      <c r="V4058" s="6"/>
      <c r="W4058" s="6"/>
      <c r="X4058" s="12"/>
      <c r="Y4058" s="6"/>
      <c r="Z4058" s="6"/>
      <c r="AA4058" s="7"/>
      <c r="AB4058" s="6"/>
      <c r="AC4058" s="6"/>
      <c r="AD4058" s="6"/>
      <c r="AE4058" s="12"/>
      <c r="AF4058" s="6"/>
      <c r="AG4058" s="12"/>
      <c r="AH4058" s="6"/>
      <c r="AI4058" s="6"/>
      <c r="AJ4058" s="12"/>
      <c r="AK4058" s="1"/>
      <c r="AL4058" s="12"/>
      <c r="AM4058" s="12"/>
      <c r="AN4058" s="1"/>
      <c r="AO4058" s="6"/>
    </row>
    <row r="4059" spans="1:41" ht="15" x14ac:dyDescent="0.25">
      <c r="A4059" s="1"/>
      <c r="B4059" s="1"/>
      <c r="C4059" s="1"/>
      <c r="D4059" s="1"/>
      <c r="E4059" s="6"/>
      <c r="F4059" s="1"/>
      <c r="G4059" s="6"/>
      <c r="H4059" s="6"/>
      <c r="I4059" s="6"/>
      <c r="J4059" s="6"/>
      <c r="K4059" s="6"/>
      <c r="L4059" s="6"/>
      <c r="M4059" s="6"/>
      <c r="N4059" s="6"/>
      <c r="O4059" s="7"/>
      <c r="P4059" s="6"/>
      <c r="Q4059" s="6"/>
      <c r="R4059" s="7"/>
      <c r="S4059" s="6"/>
      <c r="T4059" s="6"/>
      <c r="U4059" s="7"/>
      <c r="V4059" s="6"/>
      <c r="W4059" s="6"/>
      <c r="X4059" s="6"/>
      <c r="Y4059" s="6"/>
      <c r="Z4059" s="6"/>
      <c r="AA4059" s="7"/>
      <c r="AB4059" s="6"/>
      <c r="AC4059" s="6"/>
      <c r="AD4059" s="6"/>
      <c r="AE4059" s="12"/>
      <c r="AF4059" s="12"/>
      <c r="AG4059" s="12"/>
      <c r="AH4059" s="12"/>
      <c r="AI4059" s="6"/>
      <c r="AJ4059" s="12"/>
      <c r="AK4059" s="1"/>
      <c r="AL4059" s="12"/>
      <c r="AM4059" s="12"/>
      <c r="AN4059" s="1"/>
      <c r="AO4059" s="6"/>
    </row>
    <row r="4060" spans="1:41" ht="15" x14ac:dyDescent="0.25">
      <c r="A4060" s="1"/>
      <c r="B4060" s="1"/>
      <c r="C4060" s="1"/>
      <c r="D4060" s="1"/>
      <c r="E4060" s="6"/>
      <c r="F4060" s="1"/>
      <c r="G4060" s="6"/>
      <c r="H4060" s="6"/>
      <c r="I4060" s="6"/>
      <c r="J4060" s="6"/>
      <c r="K4060" s="6"/>
      <c r="L4060" s="6"/>
      <c r="M4060" s="6"/>
      <c r="N4060" s="6"/>
      <c r="O4060" s="7"/>
      <c r="P4060" s="12"/>
      <c r="Q4060" s="6"/>
      <c r="R4060" s="7"/>
      <c r="S4060" s="6"/>
      <c r="T4060" s="6"/>
      <c r="U4060" s="7"/>
      <c r="V4060" s="6"/>
      <c r="W4060" s="6"/>
      <c r="X4060" s="12"/>
      <c r="Y4060" s="6"/>
      <c r="Z4060" s="6"/>
      <c r="AA4060" s="7"/>
      <c r="AB4060" s="6"/>
      <c r="AC4060" s="6"/>
      <c r="AD4060" s="6"/>
      <c r="AE4060" s="12"/>
      <c r="AF4060" s="12"/>
      <c r="AG4060" s="12"/>
      <c r="AH4060" s="12"/>
      <c r="AI4060" s="6"/>
      <c r="AJ4060" s="12"/>
      <c r="AK4060" s="24"/>
      <c r="AL4060" s="25"/>
      <c r="AM4060" s="12"/>
      <c r="AN4060" s="1"/>
      <c r="AO4060" s="6"/>
    </row>
    <row r="4061" spans="1:41" ht="15" x14ac:dyDescent="0.25">
      <c r="A4061" s="1"/>
      <c r="B4061" s="1"/>
      <c r="C4061" s="1"/>
      <c r="D4061" s="1"/>
      <c r="E4061" s="6"/>
      <c r="F4061" s="1"/>
      <c r="G4061" s="6"/>
      <c r="H4061" s="6"/>
      <c r="I4061" s="6"/>
      <c r="J4061" s="6"/>
      <c r="K4061" s="6"/>
      <c r="L4061" s="6"/>
      <c r="M4061" s="6"/>
      <c r="N4061" s="6"/>
      <c r="O4061" s="7"/>
      <c r="P4061" s="12"/>
      <c r="Q4061" s="6"/>
      <c r="R4061" s="7"/>
      <c r="S4061" s="6"/>
      <c r="T4061" s="6"/>
      <c r="U4061" s="7"/>
      <c r="V4061" s="6"/>
      <c r="W4061" s="6"/>
      <c r="X4061" s="12"/>
      <c r="Y4061" s="6"/>
      <c r="Z4061" s="6"/>
      <c r="AA4061" s="7"/>
      <c r="AB4061" s="6"/>
      <c r="AC4061" s="6"/>
      <c r="AD4061" s="6"/>
      <c r="AE4061" s="12"/>
      <c r="AF4061" s="12"/>
      <c r="AG4061" s="12"/>
      <c r="AH4061" s="12"/>
      <c r="AI4061" s="6"/>
      <c r="AJ4061" s="12"/>
      <c r="AK4061" s="24"/>
      <c r="AL4061" s="25"/>
      <c r="AM4061" s="12"/>
      <c r="AN4061" s="1"/>
      <c r="AO4061" s="6"/>
    </row>
    <row r="4062" spans="1:41" ht="15" x14ac:dyDescent="0.25">
      <c r="A4062" s="1"/>
      <c r="B4062" s="1"/>
      <c r="C4062" s="1"/>
      <c r="D4062" s="1"/>
      <c r="E4062" s="6"/>
      <c r="F4062" s="1"/>
      <c r="G4062" s="6"/>
      <c r="H4062" s="6"/>
      <c r="I4062" s="6"/>
      <c r="J4062" s="6"/>
      <c r="K4062" s="6"/>
      <c r="L4062" s="6"/>
      <c r="M4062" s="6"/>
      <c r="N4062" s="6"/>
      <c r="O4062" s="7"/>
      <c r="P4062" s="6"/>
      <c r="Q4062" s="7"/>
      <c r="R4062" s="6"/>
      <c r="S4062" s="6"/>
      <c r="T4062" s="6"/>
      <c r="U4062" s="6"/>
      <c r="V4062" s="7"/>
      <c r="W4062" s="7"/>
      <c r="X4062" s="6"/>
      <c r="Y4062" s="6"/>
      <c r="Z4062" s="6"/>
      <c r="AA4062" s="1"/>
      <c r="AB4062" s="12"/>
      <c r="AC4062" s="12"/>
      <c r="AD4062" s="12"/>
      <c r="AE4062" s="12"/>
      <c r="AF4062" s="12"/>
      <c r="AG4062" s="12"/>
      <c r="AH4062" s="12"/>
      <c r="AI4062" s="6"/>
      <c r="AJ4062" s="12"/>
      <c r="AK4062" s="12"/>
      <c r="AL4062" s="12"/>
      <c r="AM4062" s="12"/>
      <c r="AN4062" s="1"/>
      <c r="AO4062" s="6"/>
    </row>
    <row r="4063" spans="1:41" ht="15" x14ac:dyDescent="0.25">
      <c r="A4063" s="1"/>
      <c r="B4063" s="1"/>
      <c r="C4063" s="1"/>
      <c r="D4063" s="1"/>
      <c r="E4063" s="6"/>
      <c r="F4063" s="1"/>
      <c r="G4063" s="6"/>
      <c r="H4063" s="6"/>
      <c r="I4063" s="6"/>
      <c r="J4063" s="6"/>
      <c r="K4063" s="6"/>
      <c r="L4063" s="6"/>
      <c r="M4063" s="6"/>
      <c r="N4063" s="6"/>
      <c r="O4063" s="7"/>
      <c r="P4063" s="6"/>
      <c r="Q4063" s="7"/>
      <c r="R4063" s="6"/>
      <c r="S4063" s="12"/>
      <c r="T4063" s="6"/>
      <c r="U4063" s="6"/>
      <c r="V4063" s="7"/>
      <c r="W4063" s="7"/>
      <c r="X4063" s="6"/>
      <c r="Y4063" s="6"/>
      <c r="Z4063" s="6"/>
      <c r="AA4063" s="1"/>
      <c r="AB4063" s="12"/>
      <c r="AC4063" s="12"/>
      <c r="AD4063" s="12"/>
      <c r="AE4063" s="12"/>
      <c r="AF4063" s="12"/>
      <c r="AG4063" s="12"/>
      <c r="AH4063" s="12"/>
      <c r="AI4063" s="6"/>
      <c r="AJ4063" s="12"/>
      <c r="AK4063" s="12"/>
      <c r="AL4063" s="12"/>
      <c r="AM4063" s="12"/>
      <c r="AN4063" s="1"/>
      <c r="AO4063" s="6"/>
    </row>
    <row r="4064" spans="1:41" ht="15" x14ac:dyDescent="0.25">
      <c r="A4064" s="1"/>
      <c r="B4064" s="1"/>
      <c r="C4064" s="1"/>
      <c r="D4064" s="1"/>
      <c r="E4064" s="6"/>
      <c r="F4064" s="1"/>
      <c r="G4064" s="6"/>
      <c r="H4064" s="6"/>
      <c r="I4064" s="6"/>
      <c r="J4064" s="6"/>
      <c r="K4064" s="12"/>
      <c r="L4064" s="12"/>
      <c r="M4064" s="6"/>
      <c r="N4064" s="6"/>
      <c r="O4064" s="7"/>
      <c r="P4064" s="12"/>
      <c r="Q4064" s="6"/>
      <c r="R4064" s="7"/>
      <c r="S4064" s="6"/>
      <c r="T4064" s="6"/>
      <c r="U4064" s="7"/>
      <c r="V4064" s="6"/>
      <c r="W4064" s="6"/>
      <c r="X4064" s="6"/>
      <c r="Y4064" s="6"/>
      <c r="Z4064" s="6"/>
      <c r="AA4064" s="7"/>
      <c r="AB4064" s="6"/>
      <c r="AC4064" s="6"/>
      <c r="AD4064" s="6"/>
      <c r="AE4064" s="12"/>
      <c r="AF4064" s="12"/>
      <c r="AG4064" s="12"/>
      <c r="AH4064" s="12"/>
      <c r="AI4064" s="6"/>
      <c r="AJ4064" s="12"/>
      <c r="AK4064" s="1"/>
      <c r="AL4064" s="12"/>
      <c r="AM4064" s="12"/>
      <c r="AN4064" s="1"/>
      <c r="AO4064" s="6"/>
    </row>
    <row r="4065" spans="1:41" ht="15" x14ac:dyDescent="0.25">
      <c r="A4065" s="1"/>
      <c r="B4065" s="1"/>
      <c r="C4065" s="1"/>
      <c r="D4065" s="1"/>
      <c r="E4065" s="6"/>
      <c r="F4065" s="1"/>
      <c r="G4065" s="6"/>
      <c r="H4065" s="6"/>
      <c r="I4065" s="6"/>
      <c r="J4065" s="6"/>
      <c r="K4065" s="6"/>
      <c r="L4065" s="6"/>
      <c r="M4065" s="6"/>
      <c r="N4065" s="6"/>
      <c r="O4065" s="7"/>
      <c r="P4065" s="6"/>
      <c r="Q4065" s="6"/>
      <c r="R4065" s="7"/>
      <c r="S4065" s="6"/>
      <c r="T4065" s="6"/>
      <c r="U4065" s="7"/>
      <c r="V4065" s="6"/>
      <c r="W4065" s="6"/>
      <c r="X4065" s="6"/>
      <c r="Y4065" s="6"/>
      <c r="Z4065" s="6"/>
      <c r="AA4065" s="7"/>
      <c r="AB4065" s="6"/>
      <c r="AC4065" s="6"/>
      <c r="AD4065" s="6"/>
      <c r="AE4065" s="12"/>
      <c r="AF4065" s="6"/>
      <c r="AG4065" s="12"/>
      <c r="AH4065" s="6"/>
      <c r="AI4065" s="6"/>
      <c r="AJ4065" s="12"/>
      <c r="AK4065" s="1"/>
      <c r="AL4065" s="12"/>
      <c r="AM4065" s="12"/>
      <c r="AN4065" s="1"/>
      <c r="AO4065" s="6"/>
    </row>
    <row r="4066" spans="1:41" ht="15" x14ac:dyDescent="0.25">
      <c r="A4066" s="1"/>
      <c r="B4066" s="1"/>
      <c r="C4066" s="1"/>
      <c r="D4066" s="1"/>
      <c r="E4066" s="6"/>
      <c r="F4066" s="1"/>
      <c r="G4066" s="6"/>
      <c r="H4066" s="6"/>
      <c r="I4066" s="6"/>
      <c r="J4066" s="6"/>
      <c r="K4066" s="6"/>
      <c r="L4066" s="6"/>
      <c r="M4066" s="6"/>
      <c r="N4066" s="6"/>
      <c r="O4066" s="7"/>
      <c r="P4066" s="6"/>
      <c r="Q4066" s="6"/>
      <c r="R4066" s="7"/>
      <c r="S4066" s="6"/>
      <c r="T4066" s="6"/>
      <c r="U4066" s="7"/>
      <c r="V4066" s="6"/>
      <c r="W4066" s="6"/>
      <c r="X4066" s="6"/>
      <c r="Y4066" s="6"/>
      <c r="Z4066" s="6"/>
      <c r="AA4066" s="7"/>
      <c r="AB4066" s="6"/>
      <c r="AC4066" s="6"/>
      <c r="AD4066" s="6"/>
      <c r="AE4066" s="12"/>
      <c r="AF4066" s="6"/>
      <c r="AG4066" s="12"/>
      <c r="AH4066" s="6"/>
      <c r="AI4066" s="6"/>
      <c r="AJ4066" s="12"/>
      <c r="AK4066" s="1"/>
      <c r="AL4066" s="12"/>
      <c r="AM4066" s="12"/>
      <c r="AN4066" s="1"/>
      <c r="AO4066" s="6"/>
    </row>
    <row r="4067" spans="1:41" ht="15" x14ac:dyDescent="0.25">
      <c r="A4067" s="1"/>
      <c r="B4067" s="1"/>
      <c r="C4067" s="1"/>
      <c r="D4067" s="1"/>
      <c r="E4067" s="6"/>
      <c r="F4067" s="1"/>
      <c r="G4067" s="6"/>
      <c r="H4067" s="6"/>
      <c r="I4067" s="6"/>
      <c r="J4067" s="6"/>
      <c r="K4067" s="6"/>
      <c r="L4067" s="6"/>
      <c r="M4067" s="6"/>
      <c r="N4067" s="6"/>
      <c r="O4067" s="7"/>
      <c r="P4067" s="12"/>
      <c r="Q4067" s="6"/>
      <c r="R4067" s="7"/>
      <c r="S4067" s="6"/>
      <c r="T4067" s="6"/>
      <c r="U4067" s="7"/>
      <c r="V4067" s="6"/>
      <c r="W4067" s="6"/>
      <c r="X4067" s="6"/>
      <c r="Y4067" s="6"/>
      <c r="Z4067" s="6"/>
      <c r="AA4067" s="7"/>
      <c r="AB4067" s="6"/>
      <c r="AC4067" s="6"/>
      <c r="AD4067" s="6"/>
      <c r="AE4067" s="12"/>
      <c r="AF4067" s="12"/>
      <c r="AG4067" s="12"/>
      <c r="AH4067" s="12"/>
      <c r="AI4067" s="6"/>
      <c r="AJ4067" s="12"/>
      <c r="AK4067" s="1"/>
      <c r="AL4067" s="12"/>
      <c r="AM4067" s="12"/>
      <c r="AN4067" s="1"/>
      <c r="AO4067" s="6"/>
    </row>
    <row r="4068" spans="1:41" ht="15" x14ac:dyDescent="0.25">
      <c r="A4068" s="1"/>
      <c r="B4068" s="1"/>
      <c r="C4068" s="1"/>
      <c r="D4068" s="1"/>
      <c r="E4068" s="6"/>
      <c r="F4068" s="1"/>
      <c r="G4068" s="6"/>
      <c r="H4068" s="6"/>
      <c r="I4068" s="6"/>
      <c r="J4068" s="6"/>
      <c r="K4068" s="6"/>
      <c r="L4068" s="6"/>
      <c r="M4068" s="6"/>
      <c r="N4068" s="6"/>
      <c r="O4068" s="7"/>
      <c r="P4068" s="12"/>
      <c r="Q4068" s="6"/>
      <c r="R4068" s="7"/>
      <c r="S4068" s="6"/>
      <c r="T4068" s="6"/>
      <c r="U4068" s="7"/>
      <c r="V4068" s="6"/>
      <c r="W4068" s="6"/>
      <c r="X4068" s="6"/>
      <c r="Y4068" s="6"/>
      <c r="Z4068" s="6"/>
      <c r="AA4068" s="7"/>
      <c r="AB4068" s="6"/>
      <c r="AC4068" s="6"/>
      <c r="AD4068" s="6"/>
      <c r="AE4068" s="12"/>
      <c r="AF4068" s="12"/>
      <c r="AG4068" s="12"/>
      <c r="AH4068" s="12"/>
      <c r="AI4068" s="6"/>
      <c r="AJ4068" s="12"/>
      <c r="AK4068" s="1"/>
      <c r="AL4068" s="12"/>
      <c r="AM4068" s="12"/>
      <c r="AN4068" s="1"/>
      <c r="AO4068" s="6"/>
    </row>
    <row r="4069" spans="1:41" ht="15" x14ac:dyDescent="0.25">
      <c r="A4069" s="1"/>
      <c r="B4069" s="1"/>
      <c r="C4069" s="1"/>
      <c r="D4069" s="1"/>
      <c r="E4069" s="6"/>
      <c r="F4069" s="1"/>
      <c r="G4069" s="6"/>
      <c r="H4069" s="6"/>
      <c r="I4069" s="6"/>
      <c r="J4069" s="6"/>
      <c r="K4069" s="6"/>
      <c r="L4069" s="6"/>
      <c r="M4069" s="6"/>
      <c r="N4069" s="6"/>
      <c r="O4069" s="7"/>
      <c r="P4069" s="6"/>
      <c r="Q4069" s="6"/>
      <c r="R4069" s="7"/>
      <c r="S4069" s="6"/>
      <c r="T4069" s="6"/>
      <c r="U4069" s="7"/>
      <c r="V4069" s="6"/>
      <c r="W4069" s="6"/>
      <c r="X4069" s="12"/>
      <c r="Y4069" s="6"/>
      <c r="Z4069" s="6"/>
      <c r="AA4069" s="7"/>
      <c r="AB4069" s="6"/>
      <c r="AC4069" s="6"/>
      <c r="AD4069" s="6"/>
      <c r="AE4069" s="12"/>
      <c r="AF4069" s="6"/>
      <c r="AG4069" s="12"/>
      <c r="AH4069" s="6"/>
      <c r="AI4069" s="6"/>
      <c r="AJ4069" s="12"/>
      <c r="AK4069" s="1"/>
      <c r="AL4069" s="12"/>
      <c r="AM4069" s="12"/>
      <c r="AN4069" s="1"/>
      <c r="AO4069" s="6"/>
    </row>
    <row r="4070" spans="1:41" ht="15" x14ac:dyDescent="0.25">
      <c r="A4070" s="1"/>
      <c r="B4070" s="1"/>
      <c r="C4070" s="1"/>
      <c r="D4070" s="1"/>
      <c r="E4070" s="6"/>
      <c r="F4070" s="1"/>
      <c r="G4070" s="6"/>
      <c r="H4070" s="6"/>
      <c r="I4070" s="6"/>
      <c r="J4070" s="6"/>
      <c r="K4070" s="6"/>
      <c r="L4070" s="6"/>
      <c r="M4070" s="6"/>
      <c r="N4070" s="6"/>
      <c r="O4070" s="7"/>
      <c r="P4070" s="6"/>
      <c r="Q4070" s="6"/>
      <c r="R4070" s="7"/>
      <c r="S4070" s="6"/>
      <c r="T4070" s="6"/>
      <c r="U4070" s="7"/>
      <c r="V4070" s="6"/>
      <c r="W4070" s="6"/>
      <c r="X4070" s="12"/>
      <c r="Y4070" s="6"/>
      <c r="Z4070" s="6"/>
      <c r="AA4070" s="7"/>
      <c r="AB4070" s="6"/>
      <c r="AC4070" s="6"/>
      <c r="AD4070" s="6"/>
      <c r="AE4070" s="12"/>
      <c r="AF4070" s="6"/>
      <c r="AG4070" s="12"/>
      <c r="AH4070" s="6"/>
      <c r="AI4070" s="6"/>
      <c r="AJ4070" s="12"/>
      <c r="AK4070" s="1"/>
      <c r="AL4070" s="12"/>
      <c r="AM4070" s="12"/>
      <c r="AN4070" s="1"/>
      <c r="AO4070" s="6"/>
    </row>
    <row r="4071" spans="1:41" ht="15" x14ac:dyDescent="0.25">
      <c r="A4071" s="1"/>
      <c r="B4071" s="1"/>
      <c r="C4071" s="1"/>
      <c r="D4071" s="1"/>
      <c r="E4071" s="6"/>
      <c r="F4071" s="1"/>
      <c r="G4071" s="6"/>
      <c r="H4071" s="6"/>
      <c r="I4071" s="6"/>
      <c r="J4071" s="6"/>
      <c r="K4071" s="6"/>
      <c r="L4071" s="6"/>
      <c r="M4071" s="6"/>
      <c r="N4071" s="6"/>
      <c r="O4071" s="7"/>
      <c r="P4071" s="6"/>
      <c r="Q4071" s="6"/>
      <c r="R4071" s="7"/>
      <c r="S4071" s="6"/>
      <c r="T4071" s="6"/>
      <c r="U4071" s="7"/>
      <c r="V4071" s="6"/>
      <c r="W4071" s="6"/>
      <c r="X4071" s="6"/>
      <c r="Y4071" s="6"/>
      <c r="Z4071" s="6"/>
      <c r="AA4071" s="7"/>
      <c r="AB4071" s="6"/>
      <c r="AC4071" s="6"/>
      <c r="AD4071" s="6"/>
      <c r="AE4071" s="12"/>
      <c r="AF4071" s="12"/>
      <c r="AG4071" s="12"/>
      <c r="AH4071" s="12"/>
      <c r="AI4071" s="6"/>
      <c r="AJ4071" s="12"/>
      <c r="AK4071" s="1"/>
      <c r="AL4071" s="12"/>
      <c r="AM4071" s="12"/>
      <c r="AN4071" s="1"/>
      <c r="AO4071" s="6"/>
    </row>
    <row r="4072" spans="1:41" ht="15" x14ac:dyDescent="0.25">
      <c r="A4072" s="1"/>
      <c r="B4072" s="1"/>
      <c r="C4072" s="1"/>
      <c r="D4072" s="1"/>
      <c r="E4072" s="6"/>
      <c r="F4072" s="1"/>
      <c r="G4072" s="6"/>
      <c r="H4072" s="6"/>
      <c r="I4072" s="6"/>
      <c r="J4072" s="6"/>
      <c r="K4072" s="12"/>
      <c r="L4072" s="12"/>
      <c r="M4072" s="6"/>
      <c r="N4072" s="6"/>
      <c r="O4072" s="7"/>
      <c r="P4072" s="6"/>
      <c r="Q4072" s="6"/>
      <c r="R4072" s="7"/>
      <c r="S4072" s="6"/>
      <c r="T4072" s="6"/>
      <c r="U4072" s="7"/>
      <c r="V4072" s="6"/>
      <c r="W4072" s="6"/>
      <c r="X4072" s="6"/>
      <c r="Y4072" s="6"/>
      <c r="Z4072" s="6"/>
      <c r="AA4072" s="7"/>
      <c r="AB4072" s="6"/>
      <c r="AC4072" s="6"/>
      <c r="AD4072" s="6"/>
      <c r="AE4072" s="12"/>
      <c r="AF4072" s="12"/>
      <c r="AG4072" s="12"/>
      <c r="AH4072" s="12"/>
      <c r="AI4072" s="6"/>
      <c r="AJ4072" s="12"/>
      <c r="AK4072" s="1"/>
      <c r="AL4072" s="12"/>
      <c r="AM4072" s="12"/>
      <c r="AN4072" s="1"/>
      <c r="AO4072" s="6"/>
    </row>
    <row r="4073" spans="1:41" ht="15" x14ac:dyDescent="0.25">
      <c r="A4073" s="1"/>
      <c r="B4073" s="1"/>
      <c r="C4073" s="1"/>
      <c r="D4073" s="1"/>
      <c r="E4073" s="6"/>
      <c r="F4073" s="1"/>
      <c r="G4073" s="6"/>
      <c r="H4073" s="6"/>
      <c r="I4073" s="6"/>
      <c r="J4073" s="6"/>
      <c r="K4073" s="6"/>
      <c r="L4073" s="6"/>
      <c r="M4073" s="6"/>
      <c r="N4073" s="6"/>
      <c r="O4073" s="7"/>
      <c r="P4073" s="12"/>
      <c r="Q4073" s="6"/>
      <c r="R4073" s="7"/>
      <c r="S4073" s="6"/>
      <c r="T4073" s="6"/>
      <c r="U4073" s="7"/>
      <c r="V4073" s="6"/>
      <c r="W4073" s="6"/>
      <c r="X4073" s="6"/>
      <c r="Y4073" s="6"/>
      <c r="Z4073" s="6"/>
      <c r="AA4073" s="7"/>
      <c r="AB4073" s="6"/>
      <c r="AC4073" s="6"/>
      <c r="AD4073" s="6"/>
      <c r="AE4073" s="12"/>
      <c r="AF4073" s="6"/>
      <c r="AG4073" s="12"/>
      <c r="AH4073" s="6"/>
      <c r="AI4073" s="6"/>
      <c r="AJ4073" s="12"/>
      <c r="AK4073" s="24"/>
      <c r="AL4073" s="25"/>
      <c r="AM4073" s="12"/>
      <c r="AN4073" s="1"/>
      <c r="AO4073" s="6"/>
    </row>
    <row r="4074" spans="1:41" ht="15" x14ac:dyDescent="0.25">
      <c r="A4074" s="1"/>
      <c r="B4074" s="1"/>
      <c r="C4074" s="1"/>
      <c r="D4074" s="1"/>
      <c r="E4074" s="6"/>
      <c r="F4074" s="1"/>
      <c r="G4074" s="6"/>
      <c r="H4074" s="6"/>
      <c r="I4074" s="6"/>
      <c r="J4074" s="6"/>
      <c r="K4074" s="6"/>
      <c r="L4074" s="6"/>
      <c r="M4074" s="6"/>
      <c r="N4074" s="6"/>
      <c r="O4074" s="7"/>
      <c r="P4074" s="12"/>
      <c r="Q4074" s="6"/>
      <c r="R4074" s="7"/>
      <c r="S4074" s="6"/>
      <c r="T4074" s="6"/>
      <c r="U4074" s="7"/>
      <c r="V4074" s="6"/>
      <c r="W4074" s="6"/>
      <c r="X4074" s="6"/>
      <c r="Y4074" s="6"/>
      <c r="Z4074" s="6"/>
      <c r="AA4074" s="7"/>
      <c r="AB4074" s="6"/>
      <c r="AC4074" s="6"/>
      <c r="AD4074" s="6"/>
      <c r="AE4074" s="12"/>
      <c r="AF4074" s="6"/>
      <c r="AG4074" s="12"/>
      <c r="AH4074" s="6"/>
      <c r="AI4074" s="6"/>
      <c r="AJ4074" s="12"/>
      <c r="AK4074" s="24"/>
      <c r="AL4074" s="25"/>
      <c r="AM4074" s="12"/>
      <c r="AN4074" s="1"/>
      <c r="AO4074" s="6"/>
    </row>
    <row r="4075" spans="1:41" ht="15" x14ac:dyDescent="0.25">
      <c r="A4075" s="1"/>
      <c r="B4075" s="1"/>
      <c r="C4075" s="1"/>
      <c r="D4075" s="1"/>
      <c r="E4075" s="6"/>
      <c r="F4075" s="1"/>
      <c r="G4075" s="6"/>
      <c r="H4075" s="6"/>
      <c r="I4075" s="6"/>
      <c r="J4075" s="6"/>
      <c r="K4075" s="6"/>
      <c r="L4075" s="6"/>
      <c r="M4075" s="6"/>
      <c r="N4075" s="6"/>
      <c r="O4075" s="7"/>
      <c r="P4075" s="6"/>
      <c r="Q4075" s="6"/>
      <c r="R4075" s="7"/>
      <c r="S4075" s="6"/>
      <c r="T4075" s="6"/>
      <c r="U4075" s="7"/>
      <c r="V4075" s="6"/>
      <c r="W4075" s="6"/>
      <c r="X4075" s="6"/>
      <c r="Y4075" s="6"/>
      <c r="Z4075" s="6"/>
      <c r="AA4075" s="7"/>
      <c r="AB4075" s="6"/>
      <c r="AC4075" s="6"/>
      <c r="AD4075" s="6"/>
      <c r="AE4075" s="12"/>
      <c r="AF4075" s="6"/>
      <c r="AG4075" s="12"/>
      <c r="AH4075" s="6"/>
      <c r="AI4075" s="6"/>
      <c r="AJ4075" s="12"/>
      <c r="AK4075" s="1"/>
      <c r="AL4075" s="12"/>
      <c r="AM4075" s="12"/>
      <c r="AN4075" s="1"/>
      <c r="AO4075" s="6"/>
    </row>
    <row r="4076" spans="1:41" ht="15" x14ac:dyDescent="0.25">
      <c r="A4076" s="1"/>
      <c r="B4076" s="1"/>
      <c r="C4076" s="1"/>
      <c r="D4076" s="1"/>
      <c r="E4076" s="6"/>
      <c r="F4076" s="1"/>
      <c r="G4076" s="6"/>
      <c r="H4076" s="6"/>
      <c r="I4076" s="6"/>
      <c r="J4076" s="6"/>
      <c r="K4076" s="6"/>
      <c r="L4076" s="6"/>
      <c r="M4076" s="6"/>
      <c r="N4076" s="6"/>
      <c r="O4076" s="7"/>
      <c r="P4076" s="6"/>
      <c r="Q4076" s="6"/>
      <c r="R4076" s="7"/>
      <c r="S4076" s="6"/>
      <c r="T4076" s="6"/>
      <c r="U4076" s="7"/>
      <c r="V4076" s="6"/>
      <c r="W4076" s="6"/>
      <c r="X4076" s="6"/>
      <c r="Y4076" s="6"/>
      <c r="Z4076" s="6"/>
      <c r="AA4076" s="7"/>
      <c r="AB4076" s="6"/>
      <c r="AC4076" s="6"/>
      <c r="AD4076" s="6"/>
      <c r="AE4076" s="12"/>
      <c r="AF4076" s="6"/>
      <c r="AG4076" s="12"/>
      <c r="AH4076" s="6"/>
      <c r="AI4076" s="6"/>
      <c r="AJ4076" s="12"/>
      <c r="AK4076" s="1"/>
      <c r="AL4076" s="12"/>
      <c r="AM4076" s="12"/>
      <c r="AN4076" s="1"/>
      <c r="AO4076" s="6"/>
    </row>
    <row r="4077" spans="1:41" ht="15" x14ac:dyDescent="0.25">
      <c r="A4077" s="1"/>
      <c r="B4077" s="1"/>
      <c r="C4077" s="1"/>
      <c r="D4077" s="1"/>
      <c r="E4077" s="6"/>
      <c r="F4077" s="1"/>
      <c r="G4077" s="6"/>
      <c r="H4077" s="6"/>
      <c r="I4077" s="6"/>
      <c r="J4077" s="6"/>
      <c r="K4077" s="6"/>
      <c r="L4077" s="6"/>
      <c r="M4077" s="6"/>
      <c r="N4077" s="6"/>
      <c r="O4077" s="7"/>
      <c r="P4077" s="6"/>
      <c r="Q4077" s="6"/>
      <c r="R4077" s="7"/>
      <c r="S4077" s="6"/>
      <c r="T4077" s="6"/>
      <c r="U4077" s="7"/>
      <c r="V4077" s="6"/>
      <c r="W4077" s="6"/>
      <c r="X4077" s="12"/>
      <c r="Y4077" s="6"/>
      <c r="Z4077" s="6"/>
      <c r="AA4077" s="7"/>
      <c r="AB4077" s="6"/>
      <c r="AC4077" s="6"/>
      <c r="AD4077" s="6"/>
      <c r="AE4077" s="12"/>
      <c r="AF4077" s="6"/>
      <c r="AG4077" s="12"/>
      <c r="AH4077" s="6"/>
      <c r="AI4077" s="6"/>
      <c r="AJ4077" s="12"/>
      <c r="AK4077" s="1"/>
      <c r="AL4077" s="12"/>
      <c r="AM4077" s="12"/>
      <c r="AN4077" s="1"/>
      <c r="AO4077" s="6"/>
    </row>
    <row r="4078" spans="1:41" ht="15" x14ac:dyDescent="0.25">
      <c r="A4078" s="1"/>
      <c r="B4078" s="1"/>
      <c r="C4078" s="1"/>
      <c r="D4078" s="1"/>
      <c r="E4078" s="6"/>
      <c r="F4078" s="1"/>
      <c r="G4078" s="6"/>
      <c r="H4078" s="6"/>
      <c r="I4078" s="6"/>
      <c r="J4078" s="6"/>
      <c r="K4078" s="6"/>
      <c r="L4078" s="6"/>
      <c r="M4078" s="6"/>
      <c r="N4078" s="6"/>
      <c r="O4078" s="7"/>
      <c r="P4078" s="6"/>
      <c r="Q4078" s="6"/>
      <c r="R4078" s="7"/>
      <c r="S4078" s="6"/>
      <c r="T4078" s="6"/>
      <c r="U4078" s="7"/>
      <c r="V4078" s="6"/>
      <c r="W4078" s="6"/>
      <c r="X4078" s="12"/>
      <c r="Y4078" s="6"/>
      <c r="Z4078" s="6"/>
      <c r="AA4078" s="7"/>
      <c r="AB4078" s="6"/>
      <c r="AC4078" s="6"/>
      <c r="AD4078" s="6"/>
      <c r="AE4078" s="12"/>
      <c r="AF4078" s="6"/>
      <c r="AG4078" s="12"/>
      <c r="AH4078" s="6"/>
      <c r="AI4078" s="6"/>
      <c r="AJ4078" s="12"/>
      <c r="AK4078" s="1"/>
      <c r="AL4078" s="12"/>
      <c r="AM4078" s="12"/>
      <c r="AN4078" s="1"/>
      <c r="AO4078" s="6"/>
    </row>
    <row r="4079" spans="1:41" ht="15" x14ac:dyDescent="0.25">
      <c r="A4079" s="1"/>
      <c r="B4079" s="1"/>
      <c r="C4079" s="1"/>
      <c r="D4079" s="1"/>
      <c r="E4079" s="6"/>
      <c r="F4079" s="1"/>
      <c r="G4079" s="6"/>
      <c r="H4079" s="6"/>
      <c r="I4079" s="6"/>
      <c r="J4079" s="6"/>
      <c r="K4079" s="6"/>
      <c r="L4079" s="6"/>
      <c r="M4079" s="6"/>
      <c r="N4079" s="6"/>
      <c r="O4079" s="7"/>
      <c r="P4079" s="6"/>
      <c r="Q4079" s="6"/>
      <c r="R4079" s="7"/>
      <c r="S4079" s="6"/>
      <c r="T4079" s="6"/>
      <c r="U4079" s="7"/>
      <c r="V4079" s="6"/>
      <c r="W4079" s="6"/>
      <c r="X4079" s="6"/>
      <c r="Y4079" s="6"/>
      <c r="Z4079" s="6"/>
      <c r="AA4079" s="7"/>
      <c r="AB4079" s="6"/>
      <c r="AC4079" s="6"/>
      <c r="AD4079" s="6"/>
      <c r="AE4079" s="12"/>
      <c r="AF4079" s="6"/>
      <c r="AG4079" s="12"/>
      <c r="AH4079" s="6"/>
      <c r="AI4079" s="6"/>
      <c r="AJ4079" s="12"/>
      <c r="AK4079" s="24"/>
      <c r="AL4079" s="25"/>
      <c r="AM4079" s="12"/>
      <c r="AN4079" s="1"/>
      <c r="AO4079" s="6"/>
    </row>
    <row r="4080" spans="1:41" ht="15" x14ac:dyDescent="0.25">
      <c r="A4080" s="1"/>
      <c r="B4080" s="1"/>
      <c r="C4080" s="1"/>
      <c r="D4080" s="1"/>
      <c r="E4080" s="6"/>
      <c r="F4080" s="1"/>
      <c r="G4080" s="6"/>
      <c r="H4080" s="6"/>
      <c r="I4080" s="6"/>
      <c r="J4080" s="6"/>
      <c r="K4080" s="6"/>
      <c r="L4080" s="6"/>
      <c r="M4080" s="6"/>
      <c r="N4080" s="6"/>
      <c r="O4080" s="7"/>
      <c r="P4080" s="6"/>
      <c r="Q4080" s="6"/>
      <c r="R4080" s="7"/>
      <c r="S4080" s="6"/>
      <c r="T4080" s="6"/>
      <c r="U4080" s="7"/>
      <c r="V4080" s="6"/>
      <c r="W4080" s="6"/>
      <c r="X4080" s="6"/>
      <c r="Y4080" s="6"/>
      <c r="Z4080" s="6"/>
      <c r="AA4080" s="7"/>
      <c r="AB4080" s="6"/>
      <c r="AC4080" s="6"/>
      <c r="AD4080" s="6"/>
      <c r="AE4080" s="12"/>
      <c r="AF4080" s="6"/>
      <c r="AG4080" s="12"/>
      <c r="AH4080" s="6"/>
      <c r="AI4080" s="6"/>
      <c r="AJ4080" s="12"/>
      <c r="AK4080" s="24"/>
      <c r="AL4080" s="25"/>
      <c r="AM4080" s="12"/>
      <c r="AN4080" s="1"/>
      <c r="AO4080" s="6"/>
    </row>
    <row r="4081" spans="1:41" ht="15" x14ac:dyDescent="0.25">
      <c r="A4081" s="1"/>
      <c r="B4081" s="1"/>
      <c r="C4081" s="1"/>
      <c r="D4081" s="1"/>
      <c r="E4081" s="6"/>
      <c r="F4081" s="1"/>
      <c r="G4081" s="6"/>
      <c r="H4081" s="6"/>
      <c r="I4081" s="6"/>
      <c r="J4081" s="6"/>
      <c r="K4081" s="6"/>
      <c r="L4081" s="6"/>
      <c r="M4081" s="6"/>
      <c r="N4081" s="6"/>
      <c r="O4081" s="7"/>
      <c r="P4081" s="6"/>
      <c r="Q4081" s="6"/>
      <c r="R4081" s="7"/>
      <c r="S4081" s="6"/>
      <c r="T4081" s="6"/>
      <c r="U4081" s="7"/>
      <c r="V4081" s="6"/>
      <c r="W4081" s="6"/>
      <c r="X4081" s="6"/>
      <c r="Y4081" s="6"/>
      <c r="Z4081" s="6"/>
      <c r="AA4081" s="7"/>
      <c r="AB4081" s="6"/>
      <c r="AC4081" s="6"/>
      <c r="AD4081" s="6"/>
      <c r="AE4081" s="12"/>
      <c r="AF4081" s="12"/>
      <c r="AG4081" s="12"/>
      <c r="AH4081" s="12"/>
      <c r="AI4081" s="6"/>
      <c r="AJ4081" s="12"/>
      <c r="AK4081" s="1"/>
      <c r="AL4081" s="12"/>
      <c r="AM4081" s="12"/>
      <c r="AN4081" s="1"/>
      <c r="AO4081" s="6"/>
    </row>
    <row r="4082" spans="1:41" ht="15" x14ac:dyDescent="0.25">
      <c r="A4082" s="1"/>
      <c r="B4082" s="1"/>
      <c r="C4082" s="1"/>
      <c r="D4082" s="1"/>
      <c r="E4082" s="6"/>
      <c r="F4082" s="1"/>
      <c r="G4082" s="6"/>
      <c r="H4082" s="6"/>
      <c r="I4082" s="6"/>
      <c r="J4082" s="6"/>
      <c r="K4082" s="6"/>
      <c r="L4082" s="6"/>
      <c r="M4082" s="6"/>
      <c r="N4082" s="6"/>
      <c r="O4082" s="7"/>
      <c r="P4082" s="6"/>
      <c r="Q4082" s="7"/>
      <c r="R4082" s="6"/>
      <c r="S4082" s="6"/>
      <c r="T4082" s="6"/>
      <c r="U4082" s="6"/>
      <c r="V4082" s="7"/>
      <c r="W4082" s="7"/>
      <c r="X4082" s="6"/>
      <c r="Y4082" s="6"/>
      <c r="Z4082" s="6"/>
      <c r="AA4082" s="1"/>
      <c r="AB4082" s="12"/>
      <c r="AC4082" s="12"/>
      <c r="AD4082" s="12"/>
      <c r="AE4082" s="12"/>
      <c r="AF4082" s="12"/>
      <c r="AG4082" s="12"/>
      <c r="AH4082" s="12"/>
      <c r="AI4082" s="6"/>
      <c r="AJ4082" s="12"/>
      <c r="AK4082" s="12"/>
      <c r="AL4082" s="12"/>
      <c r="AM4082" s="12"/>
      <c r="AN4082" s="1"/>
      <c r="AO4082" s="6"/>
    </row>
    <row r="4083" spans="1:41" ht="15" x14ac:dyDescent="0.25">
      <c r="A4083" s="1"/>
      <c r="B4083" s="1"/>
      <c r="C4083" s="1"/>
      <c r="D4083" s="1"/>
      <c r="E4083" s="6"/>
      <c r="F4083" s="1"/>
      <c r="G4083" s="6"/>
      <c r="H4083" s="6"/>
      <c r="I4083" s="6"/>
      <c r="J4083" s="6"/>
      <c r="K4083" s="6"/>
      <c r="L4083" s="6"/>
      <c r="M4083" s="6"/>
      <c r="N4083" s="6"/>
      <c r="O4083" s="7"/>
      <c r="P4083" s="6"/>
      <c r="Q4083" s="6"/>
      <c r="R4083" s="7"/>
      <c r="S4083" s="6"/>
      <c r="T4083" s="6"/>
      <c r="U4083" s="7"/>
      <c r="V4083" s="6"/>
      <c r="W4083" s="6"/>
      <c r="X4083" s="6"/>
      <c r="Y4083" s="6"/>
      <c r="Z4083" s="6"/>
      <c r="AA4083" s="7"/>
      <c r="AB4083" s="6"/>
      <c r="AC4083" s="6"/>
      <c r="AD4083" s="6"/>
      <c r="AE4083" s="12"/>
      <c r="AF4083" s="6"/>
      <c r="AG4083" s="12"/>
      <c r="AH4083" s="6"/>
      <c r="AI4083" s="6"/>
      <c r="AJ4083" s="12"/>
      <c r="AK4083" s="1"/>
      <c r="AL4083" s="12"/>
      <c r="AM4083" s="12"/>
      <c r="AN4083" s="1"/>
      <c r="AO4083" s="6"/>
    </row>
    <row r="4084" spans="1:41" ht="15" x14ac:dyDescent="0.25">
      <c r="A4084" s="1"/>
      <c r="B4084" s="1"/>
      <c r="C4084" s="1"/>
      <c r="D4084" s="1"/>
      <c r="E4084" s="6"/>
      <c r="F4084" s="1"/>
      <c r="G4084" s="6"/>
      <c r="H4084" s="6"/>
      <c r="I4084" s="6"/>
      <c r="J4084" s="6"/>
      <c r="K4084" s="6"/>
      <c r="L4084" s="6"/>
      <c r="M4084" s="6"/>
      <c r="N4084" s="6"/>
      <c r="O4084" s="7"/>
      <c r="P4084" s="6"/>
      <c r="Q4084" s="6"/>
      <c r="R4084" s="7"/>
      <c r="S4084" s="6"/>
      <c r="T4084" s="6"/>
      <c r="U4084" s="7"/>
      <c r="V4084" s="6"/>
      <c r="W4084" s="6"/>
      <c r="X4084" s="6"/>
      <c r="Y4084" s="6"/>
      <c r="Z4084" s="6"/>
      <c r="AA4084" s="7"/>
      <c r="AB4084" s="6"/>
      <c r="AC4084" s="6"/>
      <c r="AD4084" s="6"/>
      <c r="AE4084" s="12"/>
      <c r="AF4084" s="6"/>
      <c r="AG4084" s="12"/>
      <c r="AH4084" s="6"/>
      <c r="AI4084" s="6"/>
      <c r="AJ4084" s="12"/>
      <c r="AK4084" s="1"/>
      <c r="AL4084" s="12"/>
      <c r="AM4084" s="12"/>
      <c r="AN4084" s="1"/>
      <c r="AO4084" s="6"/>
    </row>
    <row r="4085" spans="1:41" ht="15" x14ac:dyDescent="0.25">
      <c r="A4085" s="1"/>
      <c r="B4085" s="1"/>
      <c r="C4085" s="1"/>
      <c r="D4085" s="1"/>
      <c r="E4085" s="6"/>
      <c r="F4085" s="1"/>
      <c r="G4085" s="6"/>
      <c r="H4085" s="6"/>
      <c r="I4085" s="6"/>
      <c r="J4085" s="6"/>
      <c r="K4085" s="6"/>
      <c r="L4085" s="6"/>
      <c r="M4085" s="6"/>
      <c r="N4085" s="6"/>
      <c r="O4085" s="7"/>
      <c r="P4085" s="6"/>
      <c r="Q4085" s="6"/>
      <c r="R4085" s="7"/>
      <c r="S4085" s="6"/>
      <c r="T4085" s="12"/>
      <c r="U4085" s="6"/>
      <c r="V4085" s="6"/>
      <c r="W4085" s="6"/>
      <c r="X4085" s="7"/>
      <c r="Y4085" s="6"/>
      <c r="Z4085" s="6"/>
      <c r="AA4085" s="7"/>
      <c r="AB4085" s="6"/>
      <c r="AC4085" s="6"/>
      <c r="AD4085" s="6"/>
      <c r="AE4085" s="12"/>
      <c r="AF4085" s="6"/>
      <c r="AG4085" s="12"/>
      <c r="AH4085" s="6"/>
      <c r="AI4085" s="6"/>
      <c r="AJ4085" s="12"/>
      <c r="AK4085" s="6"/>
      <c r="AL4085" s="12"/>
      <c r="AM4085" s="12"/>
      <c r="AN4085" s="1"/>
      <c r="AO4085" s="6"/>
    </row>
    <row r="4086" spans="1:41" ht="15" x14ac:dyDescent="0.25">
      <c r="A4086" s="1"/>
      <c r="B4086" s="1"/>
      <c r="C4086" s="1"/>
      <c r="D4086" s="1"/>
      <c r="E4086" s="6"/>
      <c r="F4086" s="1"/>
      <c r="G4086" s="6"/>
      <c r="H4086" s="6"/>
      <c r="I4086" s="6"/>
      <c r="J4086" s="6"/>
      <c r="K4086" s="6"/>
      <c r="L4086" s="6"/>
      <c r="M4086" s="6"/>
      <c r="N4086" s="6"/>
      <c r="O4086" s="7"/>
      <c r="P4086" s="6"/>
      <c r="Q4086" s="6"/>
      <c r="R4086" s="7"/>
      <c r="S4086" s="6"/>
      <c r="T4086" s="12"/>
      <c r="U4086" s="6"/>
      <c r="V4086" s="6"/>
      <c r="W4086" s="6"/>
      <c r="X4086" s="7"/>
      <c r="Y4086" s="6"/>
      <c r="Z4086" s="6"/>
      <c r="AA4086" s="7"/>
      <c r="AB4086" s="6"/>
      <c r="AC4086" s="6"/>
      <c r="AD4086" s="6"/>
      <c r="AE4086" s="12"/>
      <c r="AF4086" s="6"/>
      <c r="AG4086" s="12"/>
      <c r="AH4086" s="6"/>
      <c r="AI4086" s="6"/>
      <c r="AJ4086" s="12"/>
      <c r="AK4086" s="6"/>
      <c r="AL4086" s="12"/>
      <c r="AM4086" s="12"/>
      <c r="AN4086" s="1"/>
      <c r="AO4086" s="6"/>
    </row>
    <row r="4087" spans="1:41" ht="15" x14ac:dyDescent="0.25">
      <c r="A4087" s="1"/>
      <c r="B4087" s="1"/>
      <c r="C4087" s="1"/>
      <c r="D4087" s="1"/>
      <c r="E4087" s="6"/>
      <c r="F4087" s="1"/>
      <c r="G4087" s="6"/>
      <c r="H4087" s="6"/>
      <c r="I4087" s="6"/>
      <c r="J4087" s="6"/>
      <c r="K4087" s="6"/>
      <c r="L4087" s="6"/>
      <c r="M4087" s="6"/>
      <c r="N4087" s="6"/>
      <c r="O4087" s="7"/>
      <c r="P4087" s="6"/>
      <c r="Q4087" s="6"/>
      <c r="R4087" s="7"/>
      <c r="S4087" s="6"/>
      <c r="T4087" s="6"/>
      <c r="U4087" s="7"/>
      <c r="V4087" s="6"/>
      <c r="W4087" s="6"/>
      <c r="X4087" s="6"/>
      <c r="Y4087" s="6"/>
      <c r="Z4087" s="6"/>
      <c r="AA4087" s="7"/>
      <c r="AB4087" s="6"/>
      <c r="AC4087" s="6"/>
      <c r="AD4087" s="6"/>
      <c r="AE4087" s="12"/>
      <c r="AF4087" s="6"/>
      <c r="AG4087" s="12"/>
      <c r="AH4087" s="6"/>
      <c r="AI4087" s="6"/>
      <c r="AJ4087" s="12"/>
      <c r="AK4087" s="24"/>
      <c r="AL4087" s="25"/>
      <c r="AM4087" s="12"/>
      <c r="AN4087" s="1"/>
      <c r="AO4087" s="6"/>
    </row>
    <row r="4088" spans="1:41" ht="15" x14ac:dyDescent="0.25">
      <c r="A4088" s="1"/>
      <c r="B4088" s="1"/>
      <c r="C4088" s="1"/>
      <c r="D4088" s="1"/>
      <c r="E4088" s="6"/>
      <c r="F4088" s="1"/>
      <c r="G4088" s="6"/>
      <c r="H4088" s="6"/>
      <c r="I4088" s="6"/>
      <c r="J4088" s="6"/>
      <c r="K4088" s="6"/>
      <c r="L4088" s="6"/>
      <c r="M4088" s="6"/>
      <c r="N4088" s="6"/>
      <c r="O4088" s="7"/>
      <c r="P4088" s="6"/>
      <c r="Q4088" s="6"/>
      <c r="R4088" s="7"/>
      <c r="S4088" s="6"/>
      <c r="T4088" s="6"/>
      <c r="U4088" s="7"/>
      <c r="V4088" s="6"/>
      <c r="W4088" s="6"/>
      <c r="X4088" s="6"/>
      <c r="Y4088" s="6"/>
      <c r="Z4088" s="6"/>
      <c r="AA4088" s="7"/>
      <c r="AB4088" s="6"/>
      <c r="AC4088" s="6"/>
      <c r="AD4088" s="6"/>
      <c r="AE4088" s="12"/>
      <c r="AF4088" s="6"/>
      <c r="AG4088" s="12"/>
      <c r="AH4088" s="6"/>
      <c r="AI4088" s="6"/>
      <c r="AJ4088" s="12"/>
      <c r="AK4088" s="24"/>
      <c r="AL4088" s="25"/>
      <c r="AM4088" s="12"/>
      <c r="AN4088" s="1"/>
      <c r="AO4088" s="6"/>
    </row>
    <row r="4089" spans="1:41" ht="15" x14ac:dyDescent="0.25">
      <c r="A4089" s="1"/>
      <c r="B4089" s="1"/>
      <c r="C4089" s="1"/>
      <c r="D4089" s="1"/>
      <c r="E4089" s="6"/>
      <c r="F4089" s="1"/>
      <c r="G4089" s="6"/>
      <c r="H4089" s="6"/>
      <c r="I4089" s="6"/>
      <c r="J4089" s="6"/>
      <c r="K4089" s="6"/>
      <c r="L4089" s="6"/>
      <c r="M4089" s="6"/>
      <c r="N4089" s="6"/>
      <c r="O4089" s="7"/>
      <c r="P4089" s="6"/>
      <c r="Q4089" s="6"/>
      <c r="R4089" s="7"/>
      <c r="S4089" s="6"/>
      <c r="T4089" s="6"/>
      <c r="U4089" s="7"/>
      <c r="V4089" s="6"/>
      <c r="W4089" s="6"/>
      <c r="X4089" s="6"/>
      <c r="Y4089" s="6"/>
      <c r="Z4089" s="6"/>
      <c r="AA4089" s="7"/>
      <c r="AB4089" s="6"/>
      <c r="AC4089" s="6"/>
      <c r="AD4089" s="6"/>
      <c r="AE4089" s="12"/>
      <c r="AF4089" s="6"/>
      <c r="AG4089" s="12"/>
      <c r="AH4089" s="6"/>
      <c r="AI4089" s="6"/>
      <c r="AJ4089" s="12"/>
      <c r="AK4089" s="1"/>
      <c r="AL4089" s="12"/>
      <c r="AM4089" s="12"/>
      <c r="AN4089" s="1"/>
      <c r="AO4089" s="6"/>
    </row>
    <row r="4090" spans="1:41" ht="15" x14ac:dyDescent="0.25">
      <c r="A4090" s="1"/>
      <c r="B4090" s="1"/>
      <c r="C4090" s="1"/>
      <c r="D4090" s="1"/>
      <c r="E4090" s="6"/>
      <c r="F4090" s="1"/>
      <c r="G4090" s="6"/>
      <c r="H4090" s="6"/>
      <c r="I4090" s="6"/>
      <c r="J4090" s="6"/>
      <c r="K4090" s="6"/>
      <c r="L4090" s="6"/>
      <c r="M4090" s="6"/>
      <c r="N4090" s="6"/>
      <c r="O4090" s="7"/>
      <c r="P4090" s="6"/>
      <c r="Q4090" s="6"/>
      <c r="R4090" s="7"/>
      <c r="S4090" s="6"/>
      <c r="T4090" s="6"/>
      <c r="U4090" s="7"/>
      <c r="V4090" s="6"/>
      <c r="W4090" s="6"/>
      <c r="X4090" s="6"/>
      <c r="Y4090" s="6"/>
      <c r="Z4090" s="6"/>
      <c r="AA4090" s="7"/>
      <c r="AB4090" s="6"/>
      <c r="AC4090" s="6"/>
      <c r="AD4090" s="6"/>
      <c r="AE4090" s="12"/>
      <c r="AF4090" s="6"/>
      <c r="AG4090" s="12"/>
      <c r="AH4090" s="6"/>
      <c r="AI4090" s="6"/>
      <c r="AJ4090" s="12"/>
      <c r="AK4090" s="1"/>
      <c r="AL4090" s="12"/>
      <c r="AM4090" s="12"/>
      <c r="AN4090" s="1"/>
      <c r="AO4090" s="6"/>
    </row>
    <row r="4091" spans="1:41" ht="15" x14ac:dyDescent="0.25">
      <c r="A4091" s="1"/>
      <c r="B4091" s="1"/>
      <c r="C4091" s="1"/>
      <c r="D4091" s="1"/>
      <c r="E4091" s="6"/>
      <c r="F4091" s="1"/>
      <c r="G4091" s="6"/>
      <c r="H4091" s="6"/>
      <c r="I4091" s="6"/>
      <c r="J4091" s="6"/>
      <c r="K4091" s="6"/>
      <c r="L4091" s="6"/>
      <c r="M4091" s="6"/>
      <c r="N4091" s="6"/>
      <c r="O4091" s="7"/>
      <c r="P4091" s="12"/>
      <c r="Q4091" s="6"/>
      <c r="R4091" s="7"/>
      <c r="S4091" s="6"/>
      <c r="T4091" s="6"/>
      <c r="U4091" s="7"/>
      <c r="V4091" s="6"/>
      <c r="W4091" s="6"/>
      <c r="X4091" s="6"/>
      <c r="Y4091" s="6"/>
      <c r="Z4091" s="6"/>
      <c r="AA4091" s="7"/>
      <c r="AB4091" s="6"/>
      <c r="AC4091" s="6"/>
      <c r="AD4091" s="6"/>
      <c r="AE4091" s="12"/>
      <c r="AF4091" s="12"/>
      <c r="AG4091" s="12"/>
      <c r="AH4091" s="12"/>
      <c r="AI4091" s="6"/>
      <c r="AJ4091" s="12"/>
      <c r="AK4091" s="1"/>
      <c r="AL4091" s="12"/>
      <c r="AM4091" s="12"/>
      <c r="AN4091" s="1"/>
      <c r="AO4091" s="6"/>
    </row>
    <row r="4092" spans="1:41" ht="15" x14ac:dyDescent="0.25">
      <c r="A4092" s="1"/>
      <c r="B4092" s="1"/>
      <c r="C4092" s="1"/>
      <c r="D4092" s="1"/>
      <c r="E4092" s="6"/>
      <c r="F4092" s="1"/>
      <c r="G4092" s="6"/>
      <c r="H4092" s="6"/>
      <c r="I4092" s="6"/>
      <c r="J4092" s="6"/>
      <c r="K4092" s="6"/>
      <c r="L4092" s="6"/>
      <c r="M4092" s="6"/>
      <c r="N4092" s="6"/>
      <c r="O4092" s="7"/>
      <c r="P4092" s="6"/>
      <c r="Q4092" s="6"/>
      <c r="R4092" s="7"/>
      <c r="S4092" s="6"/>
      <c r="T4092" s="6"/>
      <c r="U4092" s="7"/>
      <c r="V4092" s="6"/>
      <c r="W4092" s="6"/>
      <c r="X4092" s="6"/>
      <c r="Y4092" s="6"/>
      <c r="Z4092" s="6"/>
      <c r="AA4092" s="7"/>
      <c r="AB4092" s="6"/>
      <c r="AC4092" s="6"/>
      <c r="AD4092" s="6"/>
      <c r="AE4092" s="12"/>
      <c r="AF4092" s="12"/>
      <c r="AG4092" s="12"/>
      <c r="AH4092" s="12"/>
      <c r="AI4092" s="6"/>
      <c r="AJ4092" s="12"/>
      <c r="AK4092" s="1"/>
      <c r="AL4092" s="12"/>
      <c r="AM4092" s="12"/>
      <c r="AN4092" s="1"/>
      <c r="AO4092" s="6"/>
    </row>
    <row r="4093" spans="1:41" ht="15" x14ac:dyDescent="0.25">
      <c r="A4093" s="1"/>
      <c r="B4093" s="1"/>
      <c r="C4093" s="1"/>
      <c r="D4093" s="1"/>
      <c r="E4093" s="6"/>
      <c r="F4093" s="1"/>
      <c r="G4093" s="6"/>
      <c r="H4093" s="6"/>
      <c r="I4093" s="6"/>
      <c r="J4093" s="6"/>
      <c r="K4093" s="6"/>
      <c r="L4093" s="6"/>
      <c r="M4093" s="6"/>
      <c r="N4093" s="6"/>
      <c r="O4093" s="7"/>
      <c r="P4093" s="12"/>
      <c r="Q4093" s="6"/>
      <c r="R4093" s="7"/>
      <c r="S4093" s="6"/>
      <c r="T4093" s="6"/>
      <c r="U4093" s="7"/>
      <c r="V4093" s="6"/>
      <c r="W4093" s="6"/>
      <c r="X4093" s="6"/>
      <c r="Y4093" s="6"/>
      <c r="Z4093" s="6"/>
      <c r="AA4093" s="7"/>
      <c r="AB4093" s="6"/>
      <c r="AC4093" s="6"/>
      <c r="AD4093" s="6"/>
      <c r="AE4093" s="12"/>
      <c r="AF4093" s="6"/>
      <c r="AG4093" s="12"/>
      <c r="AH4093" s="6"/>
      <c r="AI4093" s="6"/>
      <c r="AJ4093" s="12"/>
      <c r="AK4093" s="1"/>
      <c r="AL4093" s="12"/>
      <c r="AM4093" s="12"/>
      <c r="AN4093" s="1"/>
      <c r="AO4093" s="6"/>
    </row>
    <row r="4094" spans="1:41" ht="15" x14ac:dyDescent="0.25">
      <c r="A4094" s="1"/>
      <c r="B4094" s="1"/>
      <c r="C4094" s="1"/>
      <c r="D4094" s="1"/>
      <c r="E4094" s="6"/>
      <c r="F4094" s="1"/>
      <c r="G4094" s="6"/>
      <c r="H4094" s="6"/>
      <c r="I4094" s="6"/>
      <c r="J4094" s="6"/>
      <c r="K4094" s="6"/>
      <c r="L4094" s="6"/>
      <c r="M4094" s="6"/>
      <c r="N4094" s="6"/>
      <c r="O4094" s="7"/>
      <c r="P4094" s="12"/>
      <c r="Q4094" s="6"/>
      <c r="R4094" s="7"/>
      <c r="S4094" s="6"/>
      <c r="T4094" s="6"/>
      <c r="U4094" s="7"/>
      <c r="V4094" s="6"/>
      <c r="W4094" s="6"/>
      <c r="X4094" s="6"/>
      <c r="Y4094" s="6"/>
      <c r="Z4094" s="6"/>
      <c r="AA4094" s="7"/>
      <c r="AB4094" s="6"/>
      <c r="AC4094" s="6"/>
      <c r="AD4094" s="6"/>
      <c r="AE4094" s="12"/>
      <c r="AF4094" s="6"/>
      <c r="AG4094" s="12"/>
      <c r="AH4094" s="6"/>
      <c r="AI4094" s="6"/>
      <c r="AJ4094" s="12"/>
      <c r="AK4094" s="1"/>
      <c r="AL4094" s="12"/>
      <c r="AM4094" s="12"/>
      <c r="AN4094" s="1"/>
      <c r="AO4094" s="6"/>
    </row>
    <row r="4095" spans="1:41" ht="15" x14ac:dyDescent="0.25">
      <c r="A4095" s="1"/>
      <c r="B4095" s="1"/>
      <c r="C4095" s="1"/>
      <c r="D4095" s="1"/>
      <c r="E4095" s="6"/>
      <c r="F4095" s="1"/>
      <c r="G4095" s="6"/>
      <c r="H4095" s="6"/>
      <c r="I4095" s="6"/>
      <c r="J4095" s="6"/>
      <c r="K4095" s="6"/>
      <c r="L4095" s="6"/>
      <c r="M4095" s="6"/>
      <c r="N4095" s="6"/>
      <c r="O4095" s="7"/>
      <c r="P4095" s="6"/>
      <c r="Q4095" s="6"/>
      <c r="R4095" s="7"/>
      <c r="S4095" s="6"/>
      <c r="T4095" s="6"/>
      <c r="U4095" s="7"/>
      <c r="V4095" s="6"/>
      <c r="W4095" s="6"/>
      <c r="X4095" s="6"/>
      <c r="Y4095" s="6"/>
      <c r="Z4095" s="6"/>
      <c r="AA4095" s="7"/>
      <c r="AB4095" s="6"/>
      <c r="AC4095" s="6"/>
      <c r="AD4095" s="6"/>
      <c r="AE4095" s="12"/>
      <c r="AF4095" s="6"/>
      <c r="AG4095" s="12"/>
      <c r="AH4095" s="6"/>
      <c r="AI4095" s="6"/>
      <c r="AJ4095" s="12"/>
      <c r="AK4095" s="24"/>
      <c r="AL4095" s="25"/>
      <c r="AM4095" s="12"/>
      <c r="AN4095" s="1"/>
      <c r="AO4095" s="6"/>
    </row>
    <row r="4096" spans="1:41" ht="15" x14ac:dyDescent="0.25">
      <c r="A4096" s="1"/>
      <c r="B4096" s="1"/>
      <c r="C4096" s="1"/>
      <c r="D4096" s="1"/>
      <c r="E4096" s="6"/>
      <c r="F4096" s="1"/>
      <c r="G4096" s="6"/>
      <c r="H4096" s="6"/>
      <c r="I4096" s="6"/>
      <c r="J4096" s="6"/>
      <c r="K4096" s="6"/>
      <c r="L4096" s="6"/>
      <c r="M4096" s="6"/>
      <c r="N4096" s="6"/>
      <c r="O4096" s="7"/>
      <c r="P4096" s="6"/>
      <c r="Q4096" s="6"/>
      <c r="R4096" s="7"/>
      <c r="S4096" s="6"/>
      <c r="T4096" s="6"/>
      <c r="U4096" s="7"/>
      <c r="V4096" s="6"/>
      <c r="W4096" s="6"/>
      <c r="X4096" s="6"/>
      <c r="Y4096" s="6"/>
      <c r="Z4096" s="6"/>
      <c r="AA4096" s="7"/>
      <c r="AB4096" s="6"/>
      <c r="AC4096" s="6"/>
      <c r="AD4096" s="6"/>
      <c r="AE4096" s="12"/>
      <c r="AF4096" s="6"/>
      <c r="AG4096" s="12"/>
      <c r="AH4096" s="6"/>
      <c r="AI4096" s="6"/>
      <c r="AJ4096" s="12"/>
      <c r="AK4096" s="24"/>
      <c r="AL4096" s="25"/>
      <c r="AM4096" s="12"/>
      <c r="AN4096" s="1"/>
      <c r="AO4096" s="6"/>
    </row>
    <row r="4097" spans="1:41" ht="15" x14ac:dyDescent="0.25">
      <c r="A4097" s="1"/>
      <c r="B4097" s="1"/>
      <c r="C4097" s="1"/>
      <c r="D4097" s="1"/>
      <c r="E4097" s="6"/>
      <c r="F4097" s="1"/>
      <c r="G4097" s="6"/>
      <c r="H4097" s="6"/>
      <c r="I4097" s="6"/>
      <c r="J4097" s="6"/>
      <c r="K4097" s="12"/>
      <c r="L4097" s="12"/>
      <c r="M4097" s="6"/>
      <c r="N4097" s="6"/>
      <c r="O4097" s="7"/>
      <c r="P4097" s="6"/>
      <c r="Q4097" s="6"/>
      <c r="R4097" s="7"/>
      <c r="S4097" s="6"/>
      <c r="T4097" s="6"/>
      <c r="U4097" s="7"/>
      <c r="V4097" s="6"/>
      <c r="W4097" s="6"/>
      <c r="X4097" s="12"/>
      <c r="Y4097" s="6"/>
      <c r="Z4097" s="6"/>
      <c r="AA4097" s="7"/>
      <c r="AB4097" s="6"/>
      <c r="AC4097" s="6"/>
      <c r="AD4097" s="6"/>
      <c r="AE4097" s="12"/>
      <c r="AF4097" s="12"/>
      <c r="AG4097" s="12"/>
      <c r="AH4097" s="12"/>
      <c r="AI4097" s="6"/>
      <c r="AJ4097" s="12"/>
      <c r="AK4097" s="24"/>
      <c r="AL4097" s="25"/>
      <c r="AM4097" s="12"/>
      <c r="AN4097" s="1"/>
      <c r="AO4097" s="12"/>
    </row>
    <row r="4098" spans="1:41" ht="15" x14ac:dyDescent="0.25">
      <c r="A4098" s="1"/>
      <c r="B4098" s="1"/>
      <c r="C4098" s="1"/>
      <c r="D4098" s="1"/>
      <c r="E4098" s="6"/>
      <c r="F4098" s="1"/>
      <c r="G4098" s="6"/>
      <c r="H4098" s="6"/>
      <c r="I4098" s="6"/>
      <c r="J4098" s="6"/>
      <c r="K4098" s="12"/>
      <c r="L4098" s="12"/>
      <c r="M4098" s="6"/>
      <c r="N4098" s="6"/>
      <c r="O4098" s="7"/>
      <c r="P4098" s="6"/>
      <c r="Q4098" s="6"/>
      <c r="R4098" s="7"/>
      <c r="S4098" s="6"/>
      <c r="T4098" s="6"/>
      <c r="U4098" s="7"/>
      <c r="V4098" s="6"/>
      <c r="W4098" s="6"/>
      <c r="X4098" s="12"/>
      <c r="Y4098" s="6"/>
      <c r="Z4098" s="6"/>
      <c r="AA4098" s="7"/>
      <c r="AB4098" s="6"/>
      <c r="AC4098" s="6"/>
      <c r="AD4098" s="6"/>
      <c r="AE4098" s="12"/>
      <c r="AF4098" s="12"/>
      <c r="AG4098" s="12"/>
      <c r="AH4098" s="12"/>
      <c r="AI4098" s="6"/>
      <c r="AJ4098" s="12"/>
      <c r="AK4098" s="24"/>
      <c r="AL4098" s="25"/>
      <c r="AM4098" s="12"/>
      <c r="AN4098" s="1"/>
      <c r="AO4098" s="12"/>
    </row>
    <row r="4099" spans="1:41" ht="15" x14ac:dyDescent="0.25">
      <c r="A4099" s="1"/>
      <c r="B4099" s="1"/>
      <c r="C4099" s="1"/>
      <c r="D4099" s="1"/>
      <c r="E4099" s="6"/>
      <c r="F4099" s="1"/>
      <c r="G4099" s="6"/>
      <c r="H4099" s="6"/>
      <c r="I4099" s="6"/>
      <c r="J4099" s="6"/>
      <c r="K4099" s="6"/>
      <c r="L4099" s="6"/>
      <c r="M4099" s="6"/>
      <c r="N4099" s="6"/>
      <c r="O4099" s="7"/>
      <c r="P4099" s="6"/>
      <c r="Q4099" s="6"/>
      <c r="R4099" s="7"/>
      <c r="S4099" s="6"/>
      <c r="T4099" s="6"/>
      <c r="U4099" s="7"/>
      <c r="V4099" s="6"/>
      <c r="W4099" s="6"/>
      <c r="X4099" s="6"/>
      <c r="Y4099" s="6"/>
      <c r="Z4099" s="6"/>
      <c r="AA4099" s="7"/>
      <c r="AB4099" s="6"/>
      <c r="AC4099" s="6"/>
      <c r="AD4099" s="6"/>
      <c r="AE4099" s="12"/>
      <c r="AF4099" s="6"/>
      <c r="AG4099" s="12"/>
      <c r="AH4099" s="6"/>
      <c r="AI4099" s="6"/>
      <c r="AJ4099" s="12"/>
      <c r="AK4099" s="24"/>
      <c r="AL4099" s="25"/>
      <c r="AM4099" s="12"/>
      <c r="AN4099" s="1"/>
      <c r="AO4099" s="6"/>
    </row>
    <row r="4100" spans="1:41" ht="15" x14ac:dyDescent="0.25">
      <c r="A4100" s="1"/>
      <c r="B4100" s="1"/>
      <c r="C4100" s="1"/>
      <c r="D4100" s="1"/>
      <c r="E4100" s="6"/>
      <c r="F4100" s="1"/>
      <c r="G4100" s="6"/>
      <c r="H4100" s="6"/>
      <c r="I4100" s="6"/>
      <c r="J4100" s="6"/>
      <c r="K4100" s="6"/>
      <c r="L4100" s="6"/>
      <c r="M4100" s="6"/>
      <c r="N4100" s="6"/>
      <c r="O4100" s="7"/>
      <c r="P4100" s="6"/>
      <c r="Q4100" s="6"/>
      <c r="R4100" s="7"/>
      <c r="S4100" s="6"/>
      <c r="T4100" s="6"/>
      <c r="U4100" s="7"/>
      <c r="V4100" s="6"/>
      <c r="W4100" s="6"/>
      <c r="X4100" s="6"/>
      <c r="Y4100" s="6"/>
      <c r="Z4100" s="6"/>
      <c r="AA4100" s="7"/>
      <c r="AB4100" s="6"/>
      <c r="AC4100" s="6"/>
      <c r="AD4100" s="6"/>
      <c r="AE4100" s="12"/>
      <c r="AF4100" s="6"/>
      <c r="AG4100" s="12"/>
      <c r="AH4100" s="6"/>
      <c r="AI4100" s="6"/>
      <c r="AJ4100" s="12"/>
      <c r="AK4100" s="24"/>
      <c r="AL4100" s="25"/>
      <c r="AM4100" s="12"/>
      <c r="AN4100" s="1"/>
      <c r="AO4100" s="6"/>
    </row>
    <row r="4101" spans="1:41" ht="15" x14ac:dyDescent="0.25">
      <c r="A4101" s="1"/>
      <c r="B4101" s="1"/>
      <c r="C4101" s="1"/>
      <c r="D4101" s="1"/>
      <c r="E4101" s="6"/>
      <c r="F4101" s="1"/>
      <c r="G4101" s="6"/>
      <c r="H4101" s="6"/>
      <c r="I4101" s="6"/>
      <c r="J4101" s="6"/>
      <c r="K4101" s="6"/>
      <c r="L4101" s="6"/>
      <c r="M4101" s="6"/>
      <c r="N4101" s="6"/>
      <c r="O4101" s="7"/>
      <c r="P4101" s="6"/>
      <c r="Q4101" s="6"/>
      <c r="R4101" s="7"/>
      <c r="S4101" s="6"/>
      <c r="T4101" s="6"/>
      <c r="U4101" s="7"/>
      <c r="V4101" s="6"/>
      <c r="W4101" s="6"/>
      <c r="X4101" s="12"/>
      <c r="Y4101" s="6"/>
      <c r="Z4101" s="6"/>
      <c r="AA4101" s="7"/>
      <c r="AB4101" s="6"/>
      <c r="AC4101" s="6"/>
      <c r="AD4101" s="6"/>
      <c r="AE4101" s="12"/>
      <c r="AF4101" s="12"/>
      <c r="AG4101" s="12"/>
      <c r="AH4101" s="12"/>
      <c r="AI4101" s="6"/>
      <c r="AJ4101" s="12"/>
      <c r="AK4101" s="1"/>
      <c r="AL4101" s="12"/>
      <c r="AM4101" s="12"/>
      <c r="AN4101" s="1"/>
      <c r="AO4101" s="6"/>
    </row>
    <row r="4102" spans="1:41" ht="15" x14ac:dyDescent="0.25">
      <c r="A4102" s="1"/>
      <c r="B4102" s="1"/>
      <c r="C4102" s="1"/>
      <c r="D4102" s="1"/>
      <c r="E4102" s="6"/>
      <c r="F4102" s="1"/>
      <c r="G4102" s="6"/>
      <c r="H4102" s="6"/>
      <c r="I4102" s="6"/>
      <c r="J4102" s="6"/>
      <c r="K4102" s="6"/>
      <c r="L4102" s="6"/>
      <c r="M4102" s="6"/>
      <c r="N4102" s="6"/>
      <c r="O4102" s="7"/>
      <c r="P4102" s="12"/>
      <c r="Q4102" s="6"/>
      <c r="R4102" s="7"/>
      <c r="S4102" s="6"/>
      <c r="T4102" s="6"/>
      <c r="U4102" s="7"/>
      <c r="V4102" s="6"/>
      <c r="W4102" s="6"/>
      <c r="X4102" s="12"/>
      <c r="Y4102" s="6"/>
      <c r="Z4102" s="6"/>
      <c r="AA4102" s="7"/>
      <c r="AB4102" s="6"/>
      <c r="AC4102" s="6"/>
      <c r="AD4102" s="6"/>
      <c r="AE4102" s="12"/>
      <c r="AF4102" s="6"/>
      <c r="AG4102" s="12"/>
      <c r="AH4102" s="6"/>
      <c r="AI4102" s="6"/>
      <c r="AJ4102" s="12"/>
      <c r="AK4102" s="24"/>
      <c r="AL4102" s="25"/>
      <c r="AM4102" s="12"/>
      <c r="AN4102" s="1"/>
      <c r="AO4102" s="6"/>
    </row>
    <row r="4103" spans="1:41" ht="15" x14ac:dyDescent="0.25">
      <c r="A4103" s="1"/>
      <c r="B4103" s="1"/>
      <c r="C4103" s="1"/>
      <c r="D4103" s="1"/>
      <c r="E4103" s="6"/>
      <c r="F4103" s="1"/>
      <c r="G4103" s="6"/>
      <c r="H4103" s="6"/>
      <c r="I4103" s="6"/>
      <c r="J4103" s="6"/>
      <c r="K4103" s="6"/>
      <c r="L4103" s="6"/>
      <c r="M4103" s="6"/>
      <c r="N4103" s="6"/>
      <c r="O4103" s="7"/>
      <c r="P4103" s="12"/>
      <c r="Q4103" s="6"/>
      <c r="R4103" s="7"/>
      <c r="S4103" s="6"/>
      <c r="T4103" s="6"/>
      <c r="U4103" s="7"/>
      <c r="V4103" s="6"/>
      <c r="W4103" s="6"/>
      <c r="X4103" s="12"/>
      <c r="Y4103" s="6"/>
      <c r="Z4103" s="6"/>
      <c r="AA4103" s="7"/>
      <c r="AB4103" s="6"/>
      <c r="AC4103" s="6"/>
      <c r="AD4103" s="6"/>
      <c r="AE4103" s="12"/>
      <c r="AF4103" s="6"/>
      <c r="AG4103" s="12"/>
      <c r="AH4103" s="6"/>
      <c r="AI4103" s="6"/>
      <c r="AJ4103" s="12"/>
      <c r="AK4103" s="24"/>
      <c r="AL4103" s="25"/>
      <c r="AM4103" s="12"/>
      <c r="AN4103" s="1"/>
      <c r="AO4103" s="6"/>
    </row>
    <row r="4104" spans="1:41" ht="15" x14ac:dyDescent="0.25">
      <c r="A4104" s="1"/>
      <c r="B4104" s="1"/>
      <c r="C4104" s="1"/>
      <c r="D4104" s="1"/>
      <c r="E4104" s="6"/>
      <c r="F4104" s="1"/>
      <c r="G4104" s="6"/>
      <c r="H4104" s="6"/>
      <c r="I4104" s="6"/>
      <c r="J4104" s="6"/>
      <c r="K4104" s="6"/>
      <c r="L4104" s="6"/>
      <c r="M4104" s="6"/>
      <c r="N4104" s="6"/>
      <c r="O4104" s="7"/>
      <c r="P4104" s="6"/>
      <c r="Q4104" s="6"/>
      <c r="R4104" s="7"/>
      <c r="S4104" s="6"/>
      <c r="T4104" s="6"/>
      <c r="U4104" s="7"/>
      <c r="V4104" s="6"/>
      <c r="W4104" s="6"/>
      <c r="X4104" s="12"/>
      <c r="Y4104" s="6"/>
      <c r="Z4104" s="6"/>
      <c r="AA4104" s="7"/>
      <c r="AB4104" s="6"/>
      <c r="AC4104" s="6"/>
      <c r="AD4104" s="6"/>
      <c r="AE4104" s="12"/>
      <c r="AF4104" s="6"/>
      <c r="AG4104" s="12"/>
      <c r="AH4104" s="6"/>
      <c r="AI4104" s="6"/>
      <c r="AJ4104" s="12"/>
      <c r="AK4104" s="1"/>
      <c r="AL4104" s="12"/>
      <c r="AM4104" s="12"/>
      <c r="AN4104" s="1"/>
      <c r="AO4104" s="6"/>
    </row>
    <row r="4105" spans="1:41" ht="15" x14ac:dyDescent="0.25">
      <c r="A4105" s="1"/>
      <c r="B4105" s="1"/>
      <c r="C4105" s="1"/>
      <c r="D4105" s="1"/>
      <c r="E4105" s="6"/>
      <c r="F4105" s="1"/>
      <c r="G4105" s="6"/>
      <c r="H4105" s="6"/>
      <c r="I4105" s="6"/>
      <c r="J4105" s="6"/>
      <c r="K4105" s="6"/>
      <c r="L4105" s="6"/>
      <c r="M4105" s="6"/>
      <c r="N4105" s="6"/>
      <c r="O4105" s="7"/>
      <c r="P4105" s="6"/>
      <c r="Q4105" s="6"/>
      <c r="R4105" s="7"/>
      <c r="S4105" s="6"/>
      <c r="T4105" s="6"/>
      <c r="U4105" s="7"/>
      <c r="V4105" s="6"/>
      <c r="W4105" s="6"/>
      <c r="X4105" s="12"/>
      <c r="Y4105" s="6"/>
      <c r="Z4105" s="6"/>
      <c r="AA4105" s="7"/>
      <c r="AB4105" s="6"/>
      <c r="AC4105" s="6"/>
      <c r="AD4105" s="6"/>
      <c r="AE4105" s="12"/>
      <c r="AF4105" s="6"/>
      <c r="AG4105" s="12"/>
      <c r="AH4105" s="6"/>
      <c r="AI4105" s="6"/>
      <c r="AJ4105" s="12"/>
      <c r="AK4105" s="1"/>
      <c r="AL4105" s="12"/>
      <c r="AM4105" s="12"/>
      <c r="AN4105" s="1"/>
      <c r="AO4105" s="6"/>
    </row>
    <row r="4106" spans="1:41" ht="15" x14ac:dyDescent="0.25">
      <c r="A4106" s="1"/>
      <c r="B4106" s="1"/>
      <c r="C4106" s="1"/>
      <c r="D4106" s="1"/>
      <c r="E4106" s="6"/>
      <c r="F4106" s="1"/>
      <c r="G4106" s="6"/>
      <c r="H4106" s="6"/>
      <c r="I4106" s="6"/>
      <c r="J4106" s="6"/>
      <c r="K4106" s="6"/>
      <c r="L4106" s="6"/>
      <c r="M4106" s="6"/>
      <c r="N4106" s="6"/>
      <c r="O4106" s="7"/>
      <c r="P4106" s="6"/>
      <c r="Q4106" s="6"/>
      <c r="R4106" s="7"/>
      <c r="S4106" s="6"/>
      <c r="T4106" s="6"/>
      <c r="U4106" s="7"/>
      <c r="V4106" s="6"/>
      <c r="W4106" s="6"/>
      <c r="X4106" s="6"/>
      <c r="Y4106" s="6"/>
      <c r="Z4106" s="6"/>
      <c r="AA4106" s="7"/>
      <c r="AB4106" s="6"/>
      <c r="AC4106" s="6"/>
      <c r="AD4106" s="6"/>
      <c r="AE4106" s="12"/>
      <c r="AF4106" s="6"/>
      <c r="AG4106" s="12"/>
      <c r="AH4106" s="6"/>
      <c r="AI4106" s="6"/>
      <c r="AJ4106" s="12"/>
      <c r="AK4106" s="1"/>
      <c r="AL4106" s="12"/>
      <c r="AM4106" s="12"/>
      <c r="AN4106" s="1"/>
      <c r="AO4106" s="6"/>
    </row>
    <row r="4107" spans="1:41" ht="15" x14ac:dyDescent="0.25">
      <c r="A4107" s="1"/>
      <c r="B4107" s="1"/>
      <c r="C4107" s="1"/>
      <c r="D4107" s="1"/>
      <c r="E4107" s="6"/>
      <c r="F4107" s="1"/>
      <c r="G4107" s="6"/>
      <c r="H4107" s="6"/>
      <c r="I4107" s="6"/>
      <c r="J4107" s="6"/>
      <c r="K4107" s="6"/>
      <c r="L4107" s="6"/>
      <c r="M4107" s="6"/>
      <c r="N4107" s="6"/>
      <c r="O4107" s="7"/>
      <c r="P4107" s="6"/>
      <c r="Q4107" s="6"/>
      <c r="R4107" s="7"/>
      <c r="S4107" s="6"/>
      <c r="T4107" s="6"/>
      <c r="U4107" s="7"/>
      <c r="V4107" s="6"/>
      <c r="W4107" s="6"/>
      <c r="X4107" s="6"/>
      <c r="Y4107" s="6"/>
      <c r="Z4107" s="6"/>
      <c r="AA4107" s="7"/>
      <c r="AB4107" s="6"/>
      <c r="AC4107" s="6"/>
      <c r="AD4107" s="6"/>
      <c r="AE4107" s="12"/>
      <c r="AF4107" s="6"/>
      <c r="AG4107" s="12"/>
      <c r="AH4107" s="6"/>
      <c r="AI4107" s="6"/>
      <c r="AJ4107" s="12"/>
      <c r="AK4107" s="1"/>
      <c r="AL4107" s="12"/>
      <c r="AM4107" s="12"/>
      <c r="AN4107" s="1"/>
      <c r="AO4107" s="6"/>
    </row>
    <row r="4108" spans="1:41" ht="15" x14ac:dyDescent="0.25">
      <c r="A4108" s="1"/>
      <c r="B4108" s="1"/>
      <c r="C4108" s="1"/>
      <c r="D4108" s="1"/>
      <c r="E4108" s="6"/>
      <c r="F4108" s="1"/>
      <c r="G4108" s="6"/>
      <c r="H4108" s="6"/>
      <c r="I4108" s="6"/>
      <c r="J4108" s="6"/>
      <c r="K4108" s="6"/>
      <c r="L4108" s="6"/>
      <c r="M4108" s="6"/>
      <c r="N4108" s="6"/>
      <c r="O4108" s="7"/>
      <c r="P4108" s="6"/>
      <c r="Q4108" s="6"/>
      <c r="R4108" s="7"/>
      <c r="S4108" s="6"/>
      <c r="T4108" s="6"/>
      <c r="U4108" s="7"/>
      <c r="V4108" s="6"/>
      <c r="W4108" s="6"/>
      <c r="X4108" s="12"/>
      <c r="Y4108" s="6"/>
      <c r="Z4108" s="6"/>
      <c r="AA4108" s="7"/>
      <c r="AB4108" s="6"/>
      <c r="AC4108" s="6"/>
      <c r="AD4108" s="6"/>
      <c r="AE4108" s="12"/>
      <c r="AF4108" s="6"/>
      <c r="AG4108" s="12"/>
      <c r="AH4108" s="6"/>
      <c r="AI4108" s="6"/>
      <c r="AJ4108" s="12"/>
      <c r="AK4108" s="24"/>
      <c r="AL4108" s="25"/>
      <c r="AM4108" s="12"/>
      <c r="AN4108" s="1"/>
      <c r="AO4108" s="6"/>
    </row>
    <row r="4109" spans="1:41" ht="15" x14ac:dyDescent="0.25">
      <c r="A4109" s="1"/>
      <c r="B4109" s="1"/>
      <c r="C4109" s="1"/>
      <c r="D4109" s="1"/>
      <c r="E4109" s="6"/>
      <c r="F4109" s="1"/>
      <c r="G4109" s="6"/>
      <c r="H4109" s="6"/>
      <c r="I4109" s="6"/>
      <c r="J4109" s="6"/>
      <c r="K4109" s="6"/>
      <c r="L4109" s="6"/>
      <c r="M4109" s="6"/>
      <c r="N4109" s="6"/>
      <c r="O4109" s="7"/>
      <c r="P4109" s="6"/>
      <c r="Q4109" s="6"/>
      <c r="R4109" s="7"/>
      <c r="S4109" s="6"/>
      <c r="T4109" s="6"/>
      <c r="U4109" s="7"/>
      <c r="V4109" s="6"/>
      <c r="W4109" s="6"/>
      <c r="X4109" s="12"/>
      <c r="Y4109" s="6"/>
      <c r="Z4109" s="6"/>
      <c r="AA4109" s="7"/>
      <c r="AB4109" s="6"/>
      <c r="AC4109" s="6"/>
      <c r="AD4109" s="6"/>
      <c r="AE4109" s="12"/>
      <c r="AF4109" s="6"/>
      <c r="AG4109" s="12"/>
      <c r="AH4109" s="6"/>
      <c r="AI4109" s="6"/>
      <c r="AJ4109" s="12"/>
      <c r="AK4109" s="24"/>
      <c r="AL4109" s="25"/>
      <c r="AM4109" s="12"/>
      <c r="AN4109" s="1"/>
      <c r="AO4109" s="6"/>
    </row>
    <row r="4110" spans="1:41" ht="15" x14ac:dyDescent="0.25">
      <c r="A4110" s="1"/>
      <c r="B4110" s="1"/>
      <c r="C4110" s="1"/>
      <c r="D4110" s="1"/>
      <c r="E4110" s="6"/>
      <c r="F4110" s="1"/>
      <c r="G4110" s="6"/>
      <c r="H4110" s="6"/>
      <c r="I4110" s="6"/>
      <c r="J4110" s="6"/>
      <c r="K4110" s="6"/>
      <c r="L4110" s="6"/>
      <c r="M4110" s="6"/>
      <c r="N4110" s="6"/>
      <c r="O4110" s="7"/>
      <c r="P4110" s="6"/>
      <c r="Q4110" s="6"/>
      <c r="R4110" s="7"/>
      <c r="S4110" s="6"/>
      <c r="T4110" s="6"/>
      <c r="U4110" s="7"/>
      <c r="V4110" s="6"/>
      <c r="W4110" s="6"/>
      <c r="X4110" s="6"/>
      <c r="Y4110" s="6"/>
      <c r="Z4110" s="6"/>
      <c r="AA4110" s="7"/>
      <c r="AB4110" s="6"/>
      <c r="AC4110" s="6"/>
      <c r="AD4110" s="6"/>
      <c r="AE4110" s="12"/>
      <c r="AF4110" s="6"/>
      <c r="AG4110" s="12"/>
      <c r="AH4110" s="6"/>
      <c r="AI4110" s="6"/>
      <c r="AJ4110" s="12"/>
      <c r="AK4110" s="24"/>
      <c r="AL4110" s="25"/>
      <c r="AM4110" s="12"/>
      <c r="AN4110" s="1"/>
      <c r="AO4110" s="6"/>
    </row>
    <row r="4111" spans="1:41" ht="15" x14ac:dyDescent="0.25">
      <c r="A4111" s="1"/>
      <c r="B4111" s="1"/>
      <c r="C4111" s="1"/>
      <c r="D4111" s="1"/>
      <c r="E4111" s="6"/>
      <c r="F4111" s="1"/>
      <c r="G4111" s="6"/>
      <c r="H4111" s="6"/>
      <c r="I4111" s="6"/>
      <c r="J4111" s="6"/>
      <c r="K4111" s="6"/>
      <c r="L4111" s="6"/>
      <c r="M4111" s="6"/>
      <c r="N4111" s="6"/>
      <c r="O4111" s="7"/>
      <c r="P4111" s="6"/>
      <c r="Q4111" s="6"/>
      <c r="R4111" s="7"/>
      <c r="S4111" s="6"/>
      <c r="T4111" s="6"/>
      <c r="U4111" s="7"/>
      <c r="V4111" s="6"/>
      <c r="W4111" s="6"/>
      <c r="X4111" s="6"/>
      <c r="Y4111" s="6"/>
      <c r="Z4111" s="6"/>
      <c r="AA4111" s="7"/>
      <c r="AB4111" s="6"/>
      <c r="AC4111" s="6"/>
      <c r="AD4111" s="6"/>
      <c r="AE4111" s="12"/>
      <c r="AF4111" s="6"/>
      <c r="AG4111" s="12"/>
      <c r="AH4111" s="6"/>
      <c r="AI4111" s="6"/>
      <c r="AJ4111" s="12"/>
      <c r="AK4111" s="24"/>
      <c r="AL4111" s="25"/>
      <c r="AM4111" s="12"/>
      <c r="AN4111" s="1"/>
      <c r="AO4111" s="6"/>
    </row>
    <row r="4112" spans="1:41" ht="15" x14ac:dyDescent="0.25">
      <c r="A4112" s="1"/>
      <c r="B4112" s="1"/>
      <c r="C4112" s="1"/>
      <c r="D4112" s="1"/>
      <c r="E4112" s="6"/>
      <c r="F4112" s="1"/>
      <c r="G4112" s="6"/>
      <c r="H4112" s="6"/>
      <c r="I4112" s="6"/>
      <c r="J4112" s="6"/>
      <c r="K4112" s="6"/>
      <c r="L4112" s="6"/>
      <c r="M4112" s="6"/>
      <c r="N4112" s="6"/>
      <c r="O4112" s="7"/>
      <c r="P4112" s="6"/>
      <c r="Q4112" s="6"/>
      <c r="R4112" s="15"/>
      <c r="S4112" s="6"/>
      <c r="T4112" s="6"/>
      <c r="U4112" s="7"/>
      <c r="V4112" s="6"/>
      <c r="W4112" s="6"/>
      <c r="X4112" s="6"/>
      <c r="Y4112" s="6"/>
      <c r="Z4112" s="6"/>
      <c r="AA4112" s="7"/>
      <c r="AB4112" s="6"/>
      <c r="AC4112" s="6"/>
      <c r="AD4112" s="6"/>
      <c r="AE4112" s="12"/>
      <c r="AF4112" s="12"/>
      <c r="AG4112" s="12"/>
      <c r="AH4112" s="12"/>
      <c r="AI4112" s="6"/>
      <c r="AJ4112" s="12"/>
      <c r="AK4112" s="1"/>
      <c r="AL4112" s="12"/>
      <c r="AM4112" s="12"/>
      <c r="AN4112" s="1"/>
      <c r="AO4112" s="6"/>
    </row>
    <row r="4113" spans="1:41" ht="15" x14ac:dyDescent="0.25">
      <c r="A4113" s="1"/>
      <c r="B4113" s="1"/>
      <c r="C4113" s="1"/>
      <c r="D4113" s="1"/>
      <c r="E4113" s="6"/>
      <c r="F4113" s="1"/>
      <c r="G4113" s="6"/>
      <c r="H4113" s="6"/>
      <c r="I4113" s="6"/>
      <c r="J4113" s="6"/>
      <c r="K4113" s="6"/>
      <c r="L4113" s="6"/>
      <c r="M4113" s="6"/>
      <c r="N4113" s="6"/>
      <c r="O4113" s="7"/>
      <c r="P4113" s="6"/>
      <c r="Q4113" s="6"/>
      <c r="R4113" s="7"/>
      <c r="S4113" s="6"/>
      <c r="T4113" s="6"/>
      <c r="U4113" s="7"/>
      <c r="V4113" s="6"/>
      <c r="W4113" s="6"/>
      <c r="X4113" s="6"/>
      <c r="Y4113" s="6"/>
      <c r="Z4113" s="6"/>
      <c r="AA4113" s="7"/>
      <c r="AB4113" s="6"/>
      <c r="AC4113" s="6"/>
      <c r="AD4113" s="6"/>
      <c r="AE4113" s="12"/>
      <c r="AF4113" s="6"/>
      <c r="AG4113" s="12"/>
      <c r="AH4113" s="6"/>
      <c r="AI4113" s="6"/>
      <c r="AJ4113" s="12"/>
      <c r="AK4113" s="24"/>
      <c r="AL4113" s="25"/>
      <c r="AM4113" s="12"/>
      <c r="AN4113" s="1"/>
      <c r="AO4113" s="6"/>
    </row>
    <row r="4114" spans="1:41" ht="15" x14ac:dyDescent="0.25">
      <c r="A4114" s="1"/>
      <c r="B4114" s="1"/>
      <c r="C4114" s="1"/>
      <c r="D4114" s="1"/>
      <c r="E4114" s="6"/>
      <c r="F4114" s="1"/>
      <c r="G4114" s="6"/>
      <c r="H4114" s="6"/>
      <c r="I4114" s="6"/>
      <c r="J4114" s="6"/>
      <c r="K4114" s="6"/>
      <c r="L4114" s="6"/>
      <c r="M4114" s="6"/>
      <c r="N4114" s="6"/>
      <c r="O4114" s="7"/>
      <c r="P4114" s="6"/>
      <c r="Q4114" s="6"/>
      <c r="R4114" s="7"/>
      <c r="S4114" s="6"/>
      <c r="T4114" s="6"/>
      <c r="U4114" s="7"/>
      <c r="V4114" s="6"/>
      <c r="W4114" s="6"/>
      <c r="X4114" s="6"/>
      <c r="Y4114" s="6"/>
      <c r="Z4114" s="6"/>
      <c r="AA4114" s="7"/>
      <c r="AB4114" s="6"/>
      <c r="AC4114" s="6"/>
      <c r="AD4114" s="6"/>
      <c r="AE4114" s="12"/>
      <c r="AF4114" s="6"/>
      <c r="AG4114" s="12"/>
      <c r="AH4114" s="6"/>
      <c r="AI4114" s="6"/>
      <c r="AJ4114" s="12"/>
      <c r="AK4114" s="24"/>
      <c r="AL4114" s="25"/>
      <c r="AM4114" s="12"/>
      <c r="AN4114" s="1"/>
      <c r="AO4114" s="6"/>
    </row>
    <row r="4115" spans="1:41" ht="15" x14ac:dyDescent="0.25">
      <c r="A4115" s="1"/>
      <c r="B4115" s="1"/>
      <c r="C4115" s="1"/>
      <c r="D4115" s="1"/>
      <c r="E4115" s="6"/>
      <c r="F4115" s="1"/>
      <c r="G4115" s="6"/>
      <c r="H4115" s="6"/>
      <c r="I4115" s="6"/>
      <c r="J4115" s="6"/>
      <c r="K4115" s="6"/>
      <c r="L4115" s="6"/>
      <c r="M4115" s="6"/>
      <c r="N4115" s="6"/>
      <c r="O4115" s="7"/>
      <c r="P4115" s="6"/>
      <c r="Q4115" s="6"/>
      <c r="R4115" s="7"/>
      <c r="S4115" s="6"/>
      <c r="T4115" s="6"/>
      <c r="U4115" s="7"/>
      <c r="V4115" s="6"/>
      <c r="W4115" s="6"/>
      <c r="X4115" s="6"/>
      <c r="Y4115" s="6"/>
      <c r="Z4115" s="6"/>
      <c r="AA4115" s="7"/>
      <c r="AB4115" s="6"/>
      <c r="AC4115" s="6"/>
      <c r="AD4115" s="6"/>
      <c r="AE4115" s="12"/>
      <c r="AF4115" s="6"/>
      <c r="AG4115" s="12"/>
      <c r="AH4115" s="6"/>
      <c r="AI4115" s="6"/>
      <c r="AJ4115" s="12"/>
      <c r="AK4115" s="24"/>
      <c r="AL4115" s="25"/>
      <c r="AM4115" s="12"/>
      <c r="AN4115" s="1"/>
      <c r="AO4115" s="6"/>
    </row>
    <row r="4116" spans="1:41" ht="15" x14ac:dyDescent="0.25">
      <c r="A4116" s="1"/>
      <c r="B4116" s="1"/>
      <c r="C4116" s="1"/>
      <c r="D4116" s="1"/>
      <c r="E4116" s="6"/>
      <c r="F4116" s="1"/>
      <c r="G4116" s="6"/>
      <c r="H4116" s="6"/>
      <c r="I4116" s="6"/>
      <c r="J4116" s="6"/>
      <c r="K4116" s="6"/>
      <c r="L4116" s="6"/>
      <c r="M4116" s="6"/>
      <c r="N4116" s="6"/>
      <c r="O4116" s="7"/>
      <c r="P4116" s="6"/>
      <c r="Q4116" s="6"/>
      <c r="R4116" s="7"/>
      <c r="S4116" s="6"/>
      <c r="T4116" s="6"/>
      <c r="U4116" s="7"/>
      <c r="V4116" s="6"/>
      <c r="W4116" s="6"/>
      <c r="X4116" s="6"/>
      <c r="Y4116" s="6"/>
      <c r="Z4116" s="6"/>
      <c r="AA4116" s="7"/>
      <c r="AB4116" s="6"/>
      <c r="AC4116" s="6"/>
      <c r="AD4116" s="6"/>
      <c r="AE4116" s="12"/>
      <c r="AF4116" s="6"/>
      <c r="AG4116" s="12"/>
      <c r="AH4116" s="6"/>
      <c r="AI4116" s="6"/>
      <c r="AJ4116" s="12"/>
      <c r="AK4116" s="24"/>
      <c r="AL4116" s="25"/>
      <c r="AM4116" s="12"/>
      <c r="AN4116" s="1"/>
      <c r="AO4116" s="6"/>
    </row>
    <row r="4117" spans="1:41" ht="15" x14ac:dyDescent="0.25">
      <c r="A4117" s="1"/>
      <c r="B4117" s="1"/>
      <c r="C4117" s="1"/>
      <c r="D4117" s="1"/>
      <c r="E4117" s="6"/>
      <c r="F4117" s="1"/>
      <c r="G4117" s="6"/>
      <c r="H4117" s="6"/>
      <c r="I4117" s="6"/>
      <c r="J4117" s="6"/>
      <c r="K4117" s="6"/>
      <c r="L4117" s="6"/>
      <c r="M4117" s="6"/>
      <c r="N4117" s="6"/>
      <c r="O4117" s="7"/>
      <c r="P4117" s="12"/>
      <c r="Q4117" s="6"/>
      <c r="R4117" s="7"/>
      <c r="S4117" s="6"/>
      <c r="T4117" s="6"/>
      <c r="U4117" s="7"/>
      <c r="V4117" s="6"/>
      <c r="W4117" s="6"/>
      <c r="X4117" s="6"/>
      <c r="Y4117" s="6"/>
      <c r="Z4117" s="6"/>
      <c r="AA4117" s="7"/>
      <c r="AB4117" s="6"/>
      <c r="AC4117" s="6"/>
      <c r="AD4117" s="6"/>
      <c r="AE4117" s="12"/>
      <c r="AF4117" s="6"/>
      <c r="AG4117" s="12"/>
      <c r="AH4117" s="6"/>
      <c r="AI4117" s="6"/>
      <c r="AJ4117" s="12"/>
      <c r="AK4117" s="1"/>
      <c r="AL4117" s="12"/>
      <c r="AM4117" s="12"/>
      <c r="AN4117" s="1"/>
      <c r="AO4117" s="6"/>
    </row>
    <row r="4118" spans="1:41" ht="15" x14ac:dyDescent="0.25">
      <c r="A4118" s="1"/>
      <c r="B4118" s="1"/>
      <c r="C4118" s="1"/>
      <c r="D4118" s="1"/>
      <c r="E4118" s="6"/>
      <c r="F4118" s="1"/>
      <c r="G4118" s="6"/>
      <c r="H4118" s="6"/>
      <c r="I4118" s="6"/>
      <c r="J4118" s="6"/>
      <c r="K4118" s="6"/>
      <c r="L4118" s="6"/>
      <c r="M4118" s="6"/>
      <c r="N4118" s="6"/>
      <c r="O4118" s="7"/>
      <c r="P4118" s="12"/>
      <c r="Q4118" s="6"/>
      <c r="R4118" s="7"/>
      <c r="S4118" s="6"/>
      <c r="T4118" s="6"/>
      <c r="U4118" s="7"/>
      <c r="V4118" s="6"/>
      <c r="W4118" s="6"/>
      <c r="X4118" s="6"/>
      <c r="Y4118" s="6"/>
      <c r="Z4118" s="6"/>
      <c r="AA4118" s="7"/>
      <c r="AB4118" s="6"/>
      <c r="AC4118" s="6"/>
      <c r="AD4118" s="6"/>
      <c r="AE4118" s="12"/>
      <c r="AF4118" s="6"/>
      <c r="AG4118" s="12"/>
      <c r="AH4118" s="6"/>
      <c r="AI4118" s="6"/>
      <c r="AJ4118" s="12"/>
      <c r="AK4118" s="1"/>
      <c r="AL4118" s="12"/>
      <c r="AM4118" s="12"/>
      <c r="AN4118" s="1"/>
      <c r="AO4118" s="6"/>
    </row>
    <row r="4119" spans="1:41" ht="15" x14ac:dyDescent="0.25">
      <c r="A4119" s="1"/>
      <c r="B4119" s="1"/>
      <c r="C4119" s="1"/>
      <c r="D4119" s="1"/>
      <c r="E4119" s="6"/>
      <c r="F4119" s="1"/>
      <c r="G4119" s="6"/>
      <c r="H4119" s="6"/>
      <c r="I4119" s="6"/>
      <c r="J4119" s="6"/>
      <c r="K4119" s="6"/>
      <c r="L4119" s="6"/>
      <c r="M4119" s="6"/>
      <c r="N4119" s="6"/>
      <c r="O4119" s="7"/>
      <c r="P4119" s="6"/>
      <c r="Q4119" s="6"/>
      <c r="R4119" s="7"/>
      <c r="S4119" s="6"/>
      <c r="T4119" s="6"/>
      <c r="U4119" s="7"/>
      <c r="V4119" s="6"/>
      <c r="W4119" s="6"/>
      <c r="X4119" s="6"/>
      <c r="Y4119" s="6"/>
      <c r="Z4119" s="6"/>
      <c r="AA4119" s="7"/>
      <c r="AB4119" s="6"/>
      <c r="AC4119" s="6"/>
      <c r="AD4119" s="6"/>
      <c r="AE4119" s="12"/>
      <c r="AF4119" s="6"/>
      <c r="AG4119" s="12"/>
      <c r="AH4119" s="6"/>
      <c r="AI4119" s="6"/>
      <c r="AJ4119" s="12"/>
      <c r="AK4119" s="24"/>
      <c r="AL4119" s="25"/>
      <c r="AM4119" s="12"/>
      <c r="AN4119" s="1"/>
      <c r="AO4119" s="6"/>
    </row>
    <row r="4120" spans="1:41" ht="15" x14ac:dyDescent="0.25">
      <c r="A4120" s="1"/>
      <c r="B4120" s="1"/>
      <c r="C4120" s="1"/>
      <c r="D4120" s="1"/>
      <c r="E4120" s="6"/>
      <c r="F4120" s="1"/>
      <c r="G4120" s="6"/>
      <c r="H4120" s="6"/>
      <c r="I4120" s="6"/>
      <c r="J4120" s="6"/>
      <c r="K4120" s="6"/>
      <c r="L4120" s="6"/>
      <c r="M4120" s="6"/>
      <c r="N4120" s="6"/>
      <c r="O4120" s="7"/>
      <c r="P4120" s="6"/>
      <c r="Q4120" s="6"/>
      <c r="R4120" s="7"/>
      <c r="S4120" s="6"/>
      <c r="T4120" s="6"/>
      <c r="U4120" s="7"/>
      <c r="V4120" s="6"/>
      <c r="W4120" s="6"/>
      <c r="X4120" s="6"/>
      <c r="Y4120" s="6"/>
      <c r="Z4120" s="6"/>
      <c r="AA4120" s="7"/>
      <c r="AB4120" s="6"/>
      <c r="AC4120" s="6"/>
      <c r="AD4120" s="6"/>
      <c r="AE4120" s="12"/>
      <c r="AF4120" s="6"/>
      <c r="AG4120" s="12"/>
      <c r="AH4120" s="6"/>
      <c r="AI4120" s="6"/>
      <c r="AJ4120" s="12"/>
      <c r="AK4120" s="24"/>
      <c r="AL4120" s="25"/>
      <c r="AM4120" s="12"/>
      <c r="AN4120" s="1"/>
      <c r="AO4120" s="6"/>
    </row>
    <row r="4121" spans="1:41" ht="15" x14ac:dyDescent="0.25">
      <c r="A4121" s="1"/>
      <c r="B4121" s="1"/>
      <c r="C4121" s="1"/>
      <c r="D4121" s="1"/>
      <c r="E4121" s="6"/>
      <c r="F4121" s="1"/>
      <c r="G4121" s="6"/>
      <c r="H4121" s="6"/>
      <c r="I4121" s="6"/>
      <c r="J4121" s="6"/>
      <c r="K4121" s="6"/>
      <c r="L4121" s="6"/>
      <c r="M4121" s="6"/>
      <c r="N4121" s="6"/>
      <c r="O4121" s="7"/>
      <c r="P4121" s="12"/>
      <c r="Q4121" s="6"/>
      <c r="R4121" s="7"/>
      <c r="S4121" s="6"/>
      <c r="T4121" s="6"/>
      <c r="U4121" s="7"/>
      <c r="V4121" s="6"/>
      <c r="W4121" s="6"/>
      <c r="X4121" s="6"/>
      <c r="Y4121" s="6"/>
      <c r="Z4121" s="6"/>
      <c r="AA4121" s="7"/>
      <c r="AB4121" s="6"/>
      <c r="AC4121" s="6"/>
      <c r="AD4121" s="6"/>
      <c r="AE4121" s="12"/>
      <c r="AF4121" s="6"/>
      <c r="AG4121" s="12"/>
      <c r="AH4121" s="6"/>
      <c r="AI4121" s="6"/>
      <c r="AJ4121" s="12"/>
      <c r="AK4121" s="24"/>
      <c r="AL4121" s="25"/>
      <c r="AM4121" s="12"/>
      <c r="AN4121" s="1"/>
      <c r="AO4121" s="6"/>
    </row>
    <row r="4122" spans="1:41" ht="15" x14ac:dyDescent="0.25">
      <c r="A4122" s="1"/>
      <c r="B4122" s="1"/>
      <c r="C4122" s="1"/>
      <c r="D4122" s="1"/>
      <c r="E4122" s="6"/>
      <c r="F4122" s="1"/>
      <c r="G4122" s="6"/>
      <c r="H4122" s="6"/>
      <c r="I4122" s="6"/>
      <c r="J4122" s="6"/>
      <c r="K4122" s="6"/>
      <c r="L4122" s="6"/>
      <c r="M4122" s="6"/>
      <c r="N4122" s="6"/>
      <c r="O4122" s="7"/>
      <c r="P4122" s="12"/>
      <c r="Q4122" s="6"/>
      <c r="R4122" s="7"/>
      <c r="S4122" s="6"/>
      <c r="T4122" s="6"/>
      <c r="U4122" s="7"/>
      <c r="V4122" s="6"/>
      <c r="W4122" s="6"/>
      <c r="X4122" s="6"/>
      <c r="Y4122" s="6"/>
      <c r="Z4122" s="6"/>
      <c r="AA4122" s="7"/>
      <c r="AB4122" s="6"/>
      <c r="AC4122" s="6"/>
      <c r="AD4122" s="6"/>
      <c r="AE4122" s="12"/>
      <c r="AF4122" s="6"/>
      <c r="AG4122" s="12"/>
      <c r="AH4122" s="6"/>
      <c r="AI4122" s="6"/>
      <c r="AJ4122" s="12"/>
      <c r="AK4122" s="24"/>
      <c r="AL4122" s="25"/>
      <c r="AM4122" s="12"/>
      <c r="AN4122" s="1"/>
      <c r="AO4122" s="6"/>
    </row>
    <row r="4123" spans="1:41" ht="15" x14ac:dyDescent="0.25">
      <c r="A4123" s="1"/>
      <c r="B4123" s="1"/>
      <c r="C4123" s="1"/>
      <c r="D4123" s="1"/>
      <c r="E4123" s="6"/>
      <c r="F4123" s="1"/>
      <c r="G4123" s="6"/>
      <c r="H4123" s="6"/>
      <c r="I4123" s="6"/>
      <c r="J4123" s="6"/>
      <c r="K4123" s="6"/>
      <c r="L4123" s="6"/>
      <c r="M4123" s="6"/>
      <c r="N4123" s="6"/>
      <c r="O4123" s="7"/>
      <c r="P4123" s="6"/>
      <c r="Q4123" s="7"/>
      <c r="R4123" s="6"/>
      <c r="S4123" s="6"/>
      <c r="T4123" s="6"/>
      <c r="U4123" s="6"/>
      <c r="V4123" s="7"/>
      <c r="W4123" s="6"/>
      <c r="X4123" s="6"/>
      <c r="Y4123" s="6"/>
      <c r="Z4123" s="6"/>
      <c r="AA4123" s="24"/>
      <c r="AB4123" s="25"/>
      <c r="AC4123" s="12"/>
      <c r="AD4123" s="12"/>
      <c r="AE4123" s="12"/>
      <c r="AF4123" s="6"/>
      <c r="AG4123" s="12"/>
      <c r="AH4123" s="6"/>
      <c r="AI4123" s="6"/>
      <c r="AJ4123" s="12"/>
      <c r="AK4123" s="12"/>
      <c r="AL4123" s="12"/>
      <c r="AM4123" s="12"/>
      <c r="AN4123" s="1"/>
      <c r="AO4123" s="6"/>
    </row>
    <row r="4124" spans="1:41" ht="15" x14ac:dyDescent="0.25">
      <c r="A4124" s="1"/>
      <c r="B4124" s="1"/>
      <c r="C4124" s="1"/>
      <c r="D4124" s="1"/>
      <c r="E4124" s="6"/>
      <c r="F4124" s="1"/>
      <c r="G4124" s="6"/>
      <c r="H4124" s="6"/>
      <c r="I4124" s="6"/>
      <c r="J4124" s="6"/>
      <c r="K4124" s="6"/>
      <c r="L4124" s="6"/>
      <c r="M4124" s="6"/>
      <c r="N4124" s="6"/>
      <c r="O4124" s="7"/>
      <c r="P4124" s="6"/>
      <c r="Q4124" s="7"/>
      <c r="R4124" s="6"/>
      <c r="S4124" s="6"/>
      <c r="T4124" s="6"/>
      <c r="U4124" s="6"/>
      <c r="V4124" s="7"/>
      <c r="W4124" s="6"/>
      <c r="X4124" s="6"/>
      <c r="Y4124" s="6"/>
      <c r="Z4124" s="6"/>
      <c r="AA4124" s="24"/>
      <c r="AB4124" s="25"/>
      <c r="AC4124" s="12"/>
      <c r="AD4124" s="12"/>
      <c r="AE4124" s="12"/>
      <c r="AF4124" s="6"/>
      <c r="AG4124" s="12"/>
      <c r="AH4124" s="6"/>
      <c r="AI4124" s="6"/>
      <c r="AJ4124" s="12"/>
      <c r="AK4124" s="12"/>
      <c r="AL4124" s="12"/>
      <c r="AM4124" s="12"/>
      <c r="AN4124" s="1"/>
      <c r="AO4124" s="6"/>
    </row>
    <row r="4125" spans="1:41" ht="15" x14ac:dyDescent="0.25">
      <c r="A4125" s="1"/>
      <c r="B4125" s="1"/>
      <c r="C4125" s="1"/>
      <c r="D4125" s="1"/>
      <c r="E4125" s="6"/>
      <c r="F4125" s="1"/>
      <c r="G4125" s="6"/>
      <c r="H4125" s="6"/>
      <c r="I4125" s="6"/>
      <c r="J4125" s="6"/>
      <c r="K4125" s="6"/>
      <c r="L4125" s="6"/>
      <c r="M4125" s="6"/>
      <c r="N4125" s="6"/>
      <c r="O4125" s="7"/>
      <c r="P4125" s="6"/>
      <c r="Q4125" s="6"/>
      <c r="R4125" s="7"/>
      <c r="S4125" s="6"/>
      <c r="T4125" s="6"/>
      <c r="U4125" s="7"/>
      <c r="V4125" s="6"/>
      <c r="W4125" s="6"/>
      <c r="X4125" s="6"/>
      <c r="Y4125" s="6"/>
      <c r="Z4125" s="6"/>
      <c r="AA4125" s="7"/>
      <c r="AB4125" s="6"/>
      <c r="AC4125" s="6"/>
      <c r="AD4125" s="6"/>
      <c r="AE4125" s="12"/>
      <c r="AF4125" s="6"/>
      <c r="AG4125" s="12"/>
      <c r="AH4125" s="6"/>
      <c r="AI4125" s="6"/>
      <c r="AJ4125" s="12"/>
      <c r="AK4125" s="24"/>
      <c r="AL4125" s="25"/>
      <c r="AM4125" s="12"/>
      <c r="AN4125" s="1"/>
      <c r="AO4125" s="6"/>
    </row>
    <row r="4126" spans="1:41" ht="15" x14ac:dyDescent="0.25">
      <c r="A4126" s="1"/>
      <c r="B4126" s="1"/>
      <c r="C4126" s="1"/>
      <c r="D4126" s="1"/>
      <c r="E4126" s="6"/>
      <c r="F4126" s="1"/>
      <c r="G4126" s="6"/>
      <c r="H4126" s="6"/>
      <c r="I4126" s="6"/>
      <c r="J4126" s="6"/>
      <c r="K4126" s="6"/>
      <c r="L4126" s="6"/>
      <c r="M4126" s="6"/>
      <c r="N4126" s="6"/>
      <c r="O4126" s="7"/>
      <c r="P4126" s="6"/>
      <c r="Q4126" s="6"/>
      <c r="R4126" s="7"/>
      <c r="S4126" s="6"/>
      <c r="T4126" s="6"/>
      <c r="U4126" s="7"/>
      <c r="V4126" s="6"/>
      <c r="W4126" s="6"/>
      <c r="X4126" s="6"/>
      <c r="Y4126" s="6"/>
      <c r="Z4126" s="6"/>
      <c r="AA4126" s="7"/>
      <c r="AB4126" s="6"/>
      <c r="AC4126" s="6"/>
      <c r="AD4126" s="6"/>
      <c r="AE4126" s="12"/>
      <c r="AF4126" s="6"/>
      <c r="AG4126" s="12"/>
      <c r="AH4126" s="6"/>
      <c r="AI4126" s="6"/>
      <c r="AJ4126" s="12"/>
      <c r="AK4126" s="24"/>
      <c r="AL4126" s="25"/>
      <c r="AM4126" s="12"/>
      <c r="AN4126" s="1"/>
      <c r="AO4126" s="6"/>
    </row>
    <row r="4127" spans="1:41" ht="15" x14ac:dyDescent="0.25">
      <c r="A4127" s="1"/>
      <c r="B4127" s="1"/>
      <c r="C4127" s="1"/>
      <c r="D4127" s="1"/>
      <c r="E4127" s="6"/>
      <c r="F4127" s="1"/>
      <c r="G4127" s="6"/>
      <c r="H4127" s="6"/>
      <c r="I4127" s="6"/>
      <c r="J4127" s="6"/>
      <c r="K4127" s="6"/>
      <c r="L4127" s="6"/>
      <c r="M4127" s="6"/>
      <c r="N4127" s="6"/>
      <c r="O4127" s="7"/>
      <c r="P4127" s="6"/>
      <c r="Q4127" s="6"/>
      <c r="R4127" s="7"/>
      <c r="S4127" s="6"/>
      <c r="T4127" s="6"/>
      <c r="U4127" s="7"/>
      <c r="V4127" s="6"/>
      <c r="W4127" s="6"/>
      <c r="X4127" s="6"/>
      <c r="Y4127" s="6"/>
      <c r="Z4127" s="6"/>
      <c r="AA4127" s="7"/>
      <c r="AB4127" s="6"/>
      <c r="AC4127" s="6"/>
      <c r="AD4127" s="6"/>
      <c r="AE4127" s="12"/>
      <c r="AF4127" s="6"/>
      <c r="AG4127" s="12"/>
      <c r="AH4127" s="6"/>
      <c r="AI4127" s="6"/>
      <c r="AJ4127" s="12"/>
      <c r="AK4127" s="24"/>
      <c r="AL4127" s="25"/>
      <c r="AM4127" s="12"/>
      <c r="AN4127" s="1"/>
      <c r="AO4127" s="6"/>
    </row>
    <row r="4128" spans="1:41" ht="15" x14ac:dyDescent="0.25">
      <c r="A4128" s="1"/>
      <c r="B4128" s="1"/>
      <c r="C4128" s="1"/>
      <c r="D4128" s="1"/>
      <c r="E4128" s="6"/>
      <c r="F4128" s="1"/>
      <c r="G4128" s="6"/>
      <c r="H4128" s="6"/>
      <c r="I4128" s="6"/>
      <c r="J4128" s="6"/>
      <c r="K4128" s="6"/>
      <c r="L4128" s="6"/>
      <c r="M4128" s="6"/>
      <c r="N4128" s="6"/>
      <c r="O4128" s="7"/>
      <c r="P4128" s="6"/>
      <c r="Q4128" s="6"/>
      <c r="R4128" s="7"/>
      <c r="S4128" s="6"/>
      <c r="T4128" s="6"/>
      <c r="U4128" s="7"/>
      <c r="V4128" s="6"/>
      <c r="W4128" s="6"/>
      <c r="X4128" s="6"/>
      <c r="Y4128" s="6"/>
      <c r="Z4128" s="6"/>
      <c r="AA4128" s="7"/>
      <c r="AB4128" s="6"/>
      <c r="AC4128" s="6"/>
      <c r="AD4128" s="6"/>
      <c r="AE4128" s="12"/>
      <c r="AF4128" s="6"/>
      <c r="AG4128" s="12"/>
      <c r="AH4128" s="6"/>
      <c r="AI4128" s="6"/>
      <c r="AJ4128" s="12"/>
      <c r="AK4128" s="24"/>
      <c r="AL4128" s="25"/>
      <c r="AM4128" s="12"/>
      <c r="AN4128" s="1"/>
      <c r="AO4128" s="6"/>
    </row>
    <row r="4129" spans="1:41" ht="15" x14ac:dyDescent="0.25">
      <c r="A4129" s="1"/>
      <c r="B4129" s="1"/>
      <c r="C4129" s="1"/>
      <c r="D4129" s="1"/>
      <c r="E4129" s="6"/>
      <c r="F4129" s="1"/>
      <c r="G4129" s="6"/>
      <c r="H4129" s="6"/>
      <c r="I4129" s="6"/>
      <c r="J4129" s="6"/>
      <c r="K4129" s="6"/>
      <c r="L4129" s="6"/>
      <c r="M4129" s="6"/>
      <c r="N4129" s="6"/>
      <c r="O4129" s="7"/>
      <c r="P4129" s="6"/>
      <c r="Q4129" s="6"/>
      <c r="R4129" s="7"/>
      <c r="S4129" s="6"/>
      <c r="T4129" s="6"/>
      <c r="U4129" s="7"/>
      <c r="V4129" s="6"/>
      <c r="W4129" s="6"/>
      <c r="X4129" s="6"/>
      <c r="Y4129" s="6"/>
      <c r="Z4129" s="6"/>
      <c r="AA4129" s="7"/>
      <c r="AB4129" s="6"/>
      <c r="AC4129" s="6"/>
      <c r="AD4129" s="6"/>
      <c r="AE4129" s="12"/>
      <c r="AF4129" s="6"/>
      <c r="AG4129" s="12"/>
      <c r="AH4129" s="6"/>
      <c r="AI4129" s="6"/>
      <c r="AJ4129" s="12"/>
      <c r="AK4129" s="24"/>
      <c r="AL4129" s="25"/>
      <c r="AM4129" s="12"/>
      <c r="AN4129" s="1"/>
      <c r="AO4129" s="6"/>
    </row>
    <row r="4130" spans="1:41" ht="15" x14ac:dyDescent="0.25">
      <c r="A4130" s="1"/>
      <c r="B4130" s="1"/>
      <c r="C4130" s="1"/>
      <c r="D4130" s="1"/>
      <c r="E4130" s="6"/>
      <c r="F4130" s="1"/>
      <c r="G4130" s="6"/>
      <c r="H4130" s="6"/>
      <c r="I4130" s="6"/>
      <c r="J4130" s="6"/>
      <c r="K4130" s="6"/>
      <c r="L4130" s="6"/>
      <c r="M4130" s="6"/>
      <c r="N4130" s="6"/>
      <c r="O4130" s="7"/>
      <c r="P4130" s="6"/>
      <c r="Q4130" s="6"/>
      <c r="R4130" s="7"/>
      <c r="S4130" s="6"/>
      <c r="T4130" s="6"/>
      <c r="U4130" s="7"/>
      <c r="V4130" s="6"/>
      <c r="W4130" s="6"/>
      <c r="X4130" s="6"/>
      <c r="Y4130" s="6"/>
      <c r="Z4130" s="6"/>
      <c r="AA4130" s="7"/>
      <c r="AB4130" s="6"/>
      <c r="AC4130" s="6"/>
      <c r="AD4130" s="6"/>
      <c r="AE4130" s="12"/>
      <c r="AF4130" s="6"/>
      <c r="AG4130" s="12"/>
      <c r="AH4130" s="6"/>
      <c r="AI4130" s="6"/>
      <c r="AJ4130" s="12"/>
      <c r="AK4130" s="24"/>
      <c r="AL4130" s="25"/>
      <c r="AM4130" s="12"/>
      <c r="AN4130" s="1"/>
      <c r="AO4130" s="6"/>
    </row>
    <row r="4131" spans="1:41" ht="15" x14ac:dyDescent="0.25">
      <c r="A4131" s="1"/>
      <c r="B4131" s="1"/>
      <c r="C4131" s="1"/>
      <c r="D4131" s="1"/>
      <c r="E4131" s="6"/>
      <c r="F4131" s="1"/>
      <c r="G4131" s="6"/>
      <c r="H4131" s="6"/>
      <c r="I4131" s="6"/>
      <c r="J4131" s="6"/>
      <c r="K4131" s="6"/>
      <c r="L4131" s="6"/>
      <c r="M4131" s="6"/>
      <c r="N4131" s="6"/>
      <c r="O4131" s="7"/>
      <c r="P4131" s="12"/>
      <c r="Q4131" s="6"/>
      <c r="R4131" s="7"/>
      <c r="S4131" s="6"/>
      <c r="T4131" s="6"/>
      <c r="U4131" s="7"/>
      <c r="V4131" s="6"/>
      <c r="W4131" s="6"/>
      <c r="X4131" s="12"/>
      <c r="Y4131" s="6"/>
      <c r="Z4131" s="6"/>
      <c r="AA4131" s="7"/>
      <c r="AB4131" s="6"/>
      <c r="AC4131" s="6"/>
      <c r="AD4131" s="6"/>
      <c r="AE4131" s="12"/>
      <c r="AF4131" s="6"/>
      <c r="AG4131" s="12"/>
      <c r="AH4131" s="6"/>
      <c r="AI4131" s="6"/>
      <c r="AJ4131" s="12"/>
      <c r="AK4131" s="24"/>
      <c r="AL4131" s="25"/>
      <c r="AM4131" s="12"/>
      <c r="AN4131" s="1"/>
      <c r="AO4131" s="6"/>
    </row>
    <row r="4132" spans="1:41" ht="15" x14ac:dyDescent="0.25">
      <c r="A4132" s="1"/>
      <c r="B4132" s="1"/>
      <c r="C4132" s="1"/>
      <c r="D4132" s="1"/>
      <c r="E4132" s="6"/>
      <c r="F4132" s="1"/>
      <c r="G4132" s="6"/>
      <c r="H4132" s="6"/>
      <c r="I4132" s="6"/>
      <c r="J4132" s="6"/>
      <c r="K4132" s="6"/>
      <c r="L4132" s="6"/>
      <c r="M4132" s="6"/>
      <c r="N4132" s="6"/>
      <c r="O4132" s="7"/>
      <c r="P4132" s="12"/>
      <c r="Q4132" s="6"/>
      <c r="R4132" s="7"/>
      <c r="S4132" s="6"/>
      <c r="T4132" s="6"/>
      <c r="U4132" s="7"/>
      <c r="V4132" s="6"/>
      <c r="W4132" s="6"/>
      <c r="X4132" s="12"/>
      <c r="Y4132" s="6"/>
      <c r="Z4132" s="6"/>
      <c r="AA4132" s="7"/>
      <c r="AB4132" s="6"/>
      <c r="AC4132" s="6"/>
      <c r="AD4132" s="6"/>
      <c r="AE4132" s="12"/>
      <c r="AF4132" s="6"/>
      <c r="AG4132" s="12"/>
      <c r="AH4132" s="6"/>
      <c r="AI4132" s="6"/>
      <c r="AJ4132" s="12"/>
      <c r="AK4132" s="24"/>
      <c r="AL4132" s="25"/>
      <c r="AM4132" s="12"/>
      <c r="AN4132" s="1"/>
      <c r="AO4132" s="6"/>
    </row>
    <row r="4133" spans="1:41" ht="15" x14ac:dyDescent="0.25">
      <c r="A4133" s="1"/>
      <c r="B4133" s="1"/>
      <c r="C4133" s="1"/>
      <c r="D4133" s="1"/>
      <c r="E4133" s="6"/>
      <c r="F4133" s="1"/>
      <c r="G4133" s="6"/>
      <c r="H4133" s="6"/>
      <c r="I4133" s="6"/>
      <c r="J4133" s="6"/>
      <c r="K4133" s="6"/>
      <c r="L4133" s="6"/>
      <c r="M4133" s="6"/>
      <c r="N4133" s="6"/>
      <c r="O4133" s="7"/>
      <c r="P4133" s="6"/>
      <c r="Q4133" s="6"/>
      <c r="R4133" s="7"/>
      <c r="S4133" s="6"/>
      <c r="T4133" s="6"/>
      <c r="U4133" s="7"/>
      <c r="V4133" s="6"/>
      <c r="W4133" s="6"/>
      <c r="X4133" s="6"/>
      <c r="Y4133" s="6"/>
      <c r="Z4133" s="6"/>
      <c r="AA4133" s="7"/>
      <c r="AB4133" s="6"/>
      <c r="AC4133" s="6"/>
      <c r="AD4133" s="6"/>
      <c r="AE4133" s="12"/>
      <c r="AF4133" s="6"/>
      <c r="AG4133" s="12"/>
      <c r="AH4133" s="6"/>
      <c r="AI4133" s="6"/>
      <c r="AJ4133" s="12"/>
      <c r="AK4133" s="1"/>
      <c r="AL4133" s="12"/>
      <c r="AM4133" s="12"/>
      <c r="AN4133" s="1"/>
      <c r="AO4133" s="6"/>
    </row>
    <row r="4134" spans="1:41" ht="15" x14ac:dyDescent="0.25">
      <c r="A4134" s="1"/>
      <c r="B4134" s="1"/>
      <c r="C4134" s="1"/>
      <c r="D4134" s="1"/>
      <c r="E4134" s="6"/>
      <c r="F4134" s="1"/>
      <c r="G4134" s="6"/>
      <c r="H4134" s="6"/>
      <c r="I4134" s="6"/>
      <c r="J4134" s="6"/>
      <c r="K4134" s="6"/>
      <c r="L4134" s="6"/>
      <c r="M4134" s="6"/>
      <c r="N4134" s="6"/>
      <c r="O4134" s="7"/>
      <c r="P4134" s="6"/>
      <c r="Q4134" s="6"/>
      <c r="R4134" s="7"/>
      <c r="S4134" s="6"/>
      <c r="T4134" s="6"/>
      <c r="U4134" s="7"/>
      <c r="V4134" s="6"/>
      <c r="W4134" s="6"/>
      <c r="X4134" s="6"/>
      <c r="Y4134" s="6"/>
      <c r="Z4134" s="6"/>
      <c r="AA4134" s="7"/>
      <c r="AB4134" s="6"/>
      <c r="AC4134" s="6"/>
      <c r="AD4134" s="6"/>
      <c r="AE4134" s="12"/>
      <c r="AF4134" s="6"/>
      <c r="AG4134" s="12"/>
      <c r="AH4134" s="6"/>
      <c r="AI4134" s="6"/>
      <c r="AJ4134" s="12"/>
      <c r="AK4134" s="1"/>
      <c r="AL4134" s="12"/>
      <c r="AM4134" s="12"/>
      <c r="AN4134" s="1"/>
      <c r="AO4134" s="6"/>
    </row>
    <row r="4135" spans="1:41" ht="15" x14ac:dyDescent="0.25">
      <c r="A4135" s="1"/>
      <c r="B4135" s="1"/>
      <c r="C4135" s="1"/>
      <c r="D4135" s="1"/>
      <c r="E4135" s="6"/>
      <c r="F4135" s="1"/>
      <c r="G4135" s="6"/>
      <c r="H4135" s="6"/>
      <c r="I4135" s="6"/>
      <c r="J4135" s="6"/>
      <c r="K4135" s="6"/>
      <c r="L4135" s="6"/>
      <c r="M4135" s="6"/>
      <c r="N4135" s="6"/>
      <c r="O4135" s="7"/>
      <c r="P4135" s="6"/>
      <c r="Q4135" s="6"/>
      <c r="R4135" s="7"/>
      <c r="S4135" s="6"/>
      <c r="T4135" s="6"/>
      <c r="U4135" s="7"/>
      <c r="V4135" s="6"/>
      <c r="W4135" s="6"/>
      <c r="X4135" s="12"/>
      <c r="Y4135" s="6"/>
      <c r="Z4135" s="6"/>
      <c r="AA4135" s="7"/>
      <c r="AB4135" s="6"/>
      <c r="AC4135" s="6"/>
      <c r="AD4135" s="6"/>
      <c r="AE4135" s="12"/>
      <c r="AF4135" s="6"/>
      <c r="AG4135" s="12"/>
      <c r="AH4135" s="6"/>
      <c r="AI4135" s="6"/>
      <c r="AJ4135" s="12"/>
      <c r="AK4135" s="1"/>
      <c r="AL4135" s="12"/>
      <c r="AM4135" s="12"/>
      <c r="AN4135" s="1"/>
      <c r="AO4135" s="6"/>
    </row>
    <row r="4136" spans="1:41" ht="15" x14ac:dyDescent="0.25">
      <c r="A4136" s="1"/>
      <c r="B4136" s="1"/>
      <c r="C4136" s="1"/>
      <c r="D4136" s="1"/>
      <c r="E4136" s="6"/>
      <c r="F4136" s="1"/>
      <c r="G4136" s="6"/>
      <c r="H4136" s="6"/>
      <c r="I4136" s="6"/>
      <c r="J4136" s="6"/>
      <c r="K4136" s="6"/>
      <c r="L4136" s="6"/>
      <c r="M4136" s="6"/>
      <c r="N4136" s="6"/>
      <c r="O4136" s="7"/>
      <c r="P4136" s="6"/>
      <c r="Q4136" s="6"/>
      <c r="R4136" s="7"/>
      <c r="S4136" s="6"/>
      <c r="T4136" s="6"/>
      <c r="U4136" s="7"/>
      <c r="V4136" s="6"/>
      <c r="W4136" s="6"/>
      <c r="X4136" s="12"/>
      <c r="Y4136" s="6"/>
      <c r="Z4136" s="6"/>
      <c r="AA4136" s="7"/>
      <c r="AB4136" s="6"/>
      <c r="AC4136" s="6"/>
      <c r="AD4136" s="6"/>
      <c r="AE4136" s="12"/>
      <c r="AF4136" s="6"/>
      <c r="AG4136" s="12"/>
      <c r="AH4136" s="6"/>
      <c r="AI4136" s="6"/>
      <c r="AJ4136" s="12"/>
      <c r="AK4136" s="1"/>
      <c r="AL4136" s="12"/>
      <c r="AM4136" s="12"/>
      <c r="AN4136" s="1"/>
      <c r="AO4136" s="6"/>
    </row>
    <row r="4137" spans="1:41" ht="15" x14ac:dyDescent="0.25">
      <c r="A4137" s="1"/>
      <c r="B4137" s="1"/>
      <c r="C4137" s="1"/>
      <c r="D4137" s="1"/>
      <c r="E4137" s="6"/>
      <c r="F4137" s="1"/>
      <c r="G4137" s="6"/>
      <c r="H4137" s="6"/>
      <c r="I4137" s="6"/>
      <c r="J4137" s="6"/>
      <c r="K4137" s="6"/>
      <c r="L4137" s="6"/>
      <c r="M4137" s="6"/>
      <c r="N4137" s="6"/>
      <c r="O4137" s="7"/>
      <c r="P4137" s="6"/>
      <c r="Q4137" s="6"/>
      <c r="R4137" s="7"/>
      <c r="S4137" s="6"/>
      <c r="T4137" s="6"/>
      <c r="U4137" s="7"/>
      <c r="V4137" s="6"/>
      <c r="W4137" s="6"/>
      <c r="X4137" s="6"/>
      <c r="Y4137" s="6"/>
      <c r="Z4137" s="6"/>
      <c r="AA4137" s="7"/>
      <c r="AB4137" s="6"/>
      <c r="AC4137" s="6"/>
      <c r="AD4137" s="6"/>
      <c r="AE4137" s="12"/>
      <c r="AF4137" s="6"/>
      <c r="AG4137" s="12"/>
      <c r="AH4137" s="6"/>
      <c r="AI4137" s="6"/>
      <c r="AJ4137" s="12"/>
      <c r="AK4137" s="1"/>
      <c r="AL4137" s="12"/>
      <c r="AM4137" s="12"/>
      <c r="AN4137" s="1"/>
      <c r="AO4137" s="6"/>
    </row>
    <row r="4138" spans="1:41" ht="15" x14ac:dyDescent="0.25">
      <c r="A4138" s="1"/>
      <c r="B4138" s="1"/>
      <c r="C4138" s="1"/>
      <c r="D4138" s="1"/>
      <c r="E4138" s="6"/>
      <c r="F4138" s="1"/>
      <c r="G4138" s="6"/>
      <c r="H4138" s="6"/>
      <c r="I4138" s="6"/>
      <c r="J4138" s="6"/>
      <c r="K4138" s="6"/>
      <c r="L4138" s="6"/>
      <c r="M4138" s="6"/>
      <c r="N4138" s="6"/>
      <c r="O4138" s="7"/>
      <c r="P4138" s="6"/>
      <c r="Q4138" s="6"/>
      <c r="R4138" s="7"/>
      <c r="S4138" s="6"/>
      <c r="T4138" s="6"/>
      <c r="U4138" s="7"/>
      <c r="V4138" s="6"/>
      <c r="W4138" s="6"/>
      <c r="X4138" s="12"/>
      <c r="Y4138" s="6"/>
      <c r="Z4138" s="6"/>
      <c r="AA4138" s="7"/>
      <c r="AB4138" s="6"/>
      <c r="AC4138" s="6"/>
      <c r="AD4138" s="6"/>
      <c r="AE4138" s="12"/>
      <c r="AF4138" s="6"/>
      <c r="AG4138" s="12"/>
      <c r="AH4138" s="6"/>
      <c r="AI4138" s="6"/>
      <c r="AJ4138" s="12"/>
      <c r="AK4138" s="1"/>
      <c r="AL4138" s="12"/>
      <c r="AM4138" s="12"/>
      <c r="AN4138" s="1"/>
      <c r="AO4138" s="6"/>
    </row>
    <row r="4139" spans="1:41" ht="15" x14ac:dyDescent="0.25">
      <c r="A4139" s="1"/>
      <c r="B4139" s="1"/>
      <c r="C4139" s="1"/>
      <c r="D4139" s="1"/>
      <c r="E4139" s="6"/>
      <c r="F4139" s="1"/>
      <c r="G4139" s="6"/>
      <c r="H4139" s="6"/>
      <c r="I4139" s="6"/>
      <c r="J4139" s="6"/>
      <c r="K4139" s="6"/>
      <c r="L4139" s="6"/>
      <c r="M4139" s="6"/>
      <c r="N4139" s="6"/>
      <c r="O4139" s="7"/>
      <c r="P4139" s="6"/>
      <c r="Q4139" s="6"/>
      <c r="R4139" s="7"/>
      <c r="S4139" s="6"/>
      <c r="T4139" s="6"/>
      <c r="U4139" s="7"/>
      <c r="V4139" s="6"/>
      <c r="W4139" s="6"/>
      <c r="X4139" s="12"/>
      <c r="Y4139" s="6"/>
      <c r="Z4139" s="6"/>
      <c r="AA4139" s="7"/>
      <c r="AB4139" s="6"/>
      <c r="AC4139" s="6"/>
      <c r="AD4139" s="6"/>
      <c r="AE4139" s="12"/>
      <c r="AF4139" s="6"/>
      <c r="AG4139" s="12"/>
      <c r="AH4139" s="6"/>
      <c r="AI4139" s="6"/>
      <c r="AJ4139" s="12"/>
      <c r="AK4139" s="1"/>
      <c r="AL4139" s="12"/>
      <c r="AM4139" s="12"/>
      <c r="AN4139" s="1"/>
      <c r="AO4139" s="6"/>
    </row>
    <row r="4140" spans="1:41" ht="15" x14ac:dyDescent="0.25">
      <c r="A4140" s="1"/>
      <c r="B4140" s="1"/>
      <c r="C4140" s="1"/>
      <c r="D4140" s="1"/>
      <c r="E4140" s="6"/>
      <c r="F4140" s="1"/>
      <c r="G4140" s="6"/>
      <c r="H4140" s="6"/>
      <c r="I4140" s="6"/>
      <c r="J4140" s="6"/>
      <c r="K4140" s="6"/>
      <c r="L4140" s="6"/>
      <c r="M4140" s="6"/>
      <c r="N4140" s="6"/>
      <c r="O4140" s="7"/>
      <c r="P4140" s="6"/>
      <c r="Q4140" s="6"/>
      <c r="R4140" s="7"/>
      <c r="S4140" s="6"/>
      <c r="T4140" s="6"/>
      <c r="U4140" s="7"/>
      <c r="V4140" s="6"/>
      <c r="W4140" s="6"/>
      <c r="X4140" s="12"/>
      <c r="Y4140" s="6"/>
      <c r="Z4140" s="6"/>
      <c r="AA4140" s="7"/>
      <c r="AB4140" s="6"/>
      <c r="AC4140" s="6"/>
      <c r="AD4140" s="6"/>
      <c r="AE4140" s="12"/>
      <c r="AF4140" s="6"/>
      <c r="AG4140" s="12"/>
      <c r="AH4140" s="6"/>
      <c r="AI4140" s="6"/>
      <c r="AJ4140" s="12"/>
      <c r="AK4140" s="1"/>
      <c r="AL4140" s="12"/>
      <c r="AM4140" s="12"/>
      <c r="AN4140" s="1"/>
      <c r="AO4140" s="6"/>
    </row>
    <row r="4141" spans="1:41" ht="15" x14ac:dyDescent="0.25">
      <c r="A4141" s="1"/>
      <c r="B4141" s="1"/>
      <c r="C4141" s="1"/>
      <c r="D4141" s="1"/>
      <c r="E4141" s="6"/>
      <c r="F4141" s="1"/>
      <c r="G4141" s="6"/>
      <c r="H4141" s="6"/>
      <c r="I4141" s="6"/>
      <c r="J4141" s="6"/>
      <c r="K4141" s="6"/>
      <c r="L4141" s="6"/>
      <c r="M4141" s="6"/>
      <c r="N4141" s="6"/>
      <c r="O4141" s="7"/>
      <c r="P4141" s="6"/>
      <c r="Q4141" s="6"/>
      <c r="R4141" s="7"/>
      <c r="S4141" s="6"/>
      <c r="T4141" s="6"/>
      <c r="U4141" s="7"/>
      <c r="V4141" s="6"/>
      <c r="W4141" s="6"/>
      <c r="X4141" s="12"/>
      <c r="Y4141" s="6"/>
      <c r="Z4141" s="6"/>
      <c r="AA4141" s="7"/>
      <c r="AB4141" s="6"/>
      <c r="AC4141" s="6"/>
      <c r="AD4141" s="6"/>
      <c r="AE4141" s="12"/>
      <c r="AF4141" s="6"/>
      <c r="AG4141" s="12"/>
      <c r="AH4141" s="6"/>
      <c r="AI4141" s="6"/>
      <c r="AJ4141" s="12"/>
      <c r="AK4141" s="1"/>
      <c r="AL4141" s="12"/>
      <c r="AM4141" s="12"/>
      <c r="AN4141" s="1"/>
      <c r="AO4141" s="6"/>
    </row>
    <row r="4142" spans="1:41" ht="15" x14ac:dyDescent="0.25">
      <c r="A4142" s="1"/>
      <c r="B4142" s="1"/>
      <c r="C4142" s="1"/>
      <c r="D4142" s="1"/>
      <c r="E4142" s="6"/>
      <c r="F4142" s="1"/>
      <c r="G4142" s="6"/>
      <c r="H4142" s="6"/>
      <c r="I4142" s="6"/>
      <c r="J4142" s="6"/>
      <c r="K4142" s="6"/>
      <c r="L4142" s="6"/>
      <c r="M4142" s="6"/>
      <c r="N4142" s="6"/>
      <c r="O4142" s="7"/>
      <c r="P4142" s="6"/>
      <c r="Q4142" s="6"/>
      <c r="R4142" s="7"/>
      <c r="S4142" s="6"/>
      <c r="T4142" s="6"/>
      <c r="U4142" s="7"/>
      <c r="V4142" s="6"/>
      <c r="W4142" s="6"/>
      <c r="X4142" s="12"/>
      <c r="Y4142" s="6"/>
      <c r="Z4142" s="6"/>
      <c r="AA4142" s="7"/>
      <c r="AB4142" s="6"/>
      <c r="AC4142" s="6"/>
      <c r="AD4142" s="6"/>
      <c r="AE4142" s="12"/>
      <c r="AF4142" s="12"/>
      <c r="AG4142" s="12"/>
      <c r="AH4142" s="12"/>
      <c r="AI4142" s="6"/>
      <c r="AJ4142" s="12"/>
      <c r="AK4142" s="1"/>
      <c r="AL4142" s="12"/>
      <c r="AM4142" s="12"/>
      <c r="AN4142" s="1"/>
      <c r="AO4142" s="6"/>
    </row>
    <row r="4143" spans="1:41" ht="15" x14ac:dyDescent="0.25">
      <c r="A4143" s="1"/>
      <c r="B4143" s="1"/>
      <c r="C4143" s="1"/>
      <c r="D4143" s="1"/>
      <c r="E4143" s="6"/>
      <c r="F4143" s="1"/>
      <c r="G4143" s="6"/>
      <c r="H4143" s="6"/>
      <c r="I4143" s="6"/>
      <c r="J4143" s="6"/>
      <c r="K4143" s="6"/>
      <c r="L4143" s="6"/>
      <c r="M4143" s="6"/>
      <c r="N4143" s="6"/>
      <c r="O4143" s="7"/>
      <c r="P4143" s="6"/>
      <c r="Q4143" s="7"/>
      <c r="R4143" s="6"/>
      <c r="S4143" s="6"/>
      <c r="T4143" s="6"/>
      <c r="U4143" s="6"/>
      <c r="V4143" s="7"/>
      <c r="W4143" s="7"/>
      <c r="X4143" s="6"/>
      <c r="Y4143" s="6"/>
      <c r="Z4143" s="6"/>
      <c r="AA4143" s="1"/>
      <c r="AB4143" s="12"/>
      <c r="AC4143" s="12"/>
      <c r="AD4143" s="12"/>
      <c r="AE4143" s="12"/>
      <c r="AF4143" s="12"/>
      <c r="AG4143" s="12"/>
      <c r="AH4143" s="12"/>
      <c r="AI4143" s="6"/>
      <c r="AJ4143" s="12"/>
      <c r="AK4143" s="12"/>
      <c r="AL4143" s="12"/>
      <c r="AM4143" s="12"/>
      <c r="AN4143" s="1"/>
      <c r="AO4143" s="6"/>
    </row>
    <row r="4144" spans="1:41" ht="15" x14ac:dyDescent="0.25">
      <c r="A4144" s="1"/>
      <c r="B4144" s="1"/>
      <c r="C4144" s="1"/>
      <c r="D4144" s="1"/>
      <c r="E4144" s="6"/>
      <c r="F4144" s="1"/>
      <c r="G4144" s="6"/>
      <c r="H4144" s="6"/>
      <c r="I4144" s="6"/>
      <c r="J4144" s="6"/>
      <c r="K4144" s="6"/>
      <c r="L4144" s="6"/>
      <c r="M4144" s="6"/>
      <c r="N4144" s="6"/>
      <c r="O4144" s="7"/>
      <c r="P4144" s="6"/>
      <c r="Q4144" s="6"/>
      <c r="R4144" s="7"/>
      <c r="S4144" s="6"/>
      <c r="T4144" s="6"/>
      <c r="U4144" s="7"/>
      <c r="V4144" s="6"/>
      <c r="W4144" s="6"/>
      <c r="X4144" s="12"/>
      <c r="Y4144" s="6"/>
      <c r="Z4144" s="6"/>
      <c r="AA4144" s="7"/>
      <c r="AB4144" s="6"/>
      <c r="AC4144" s="6"/>
      <c r="AD4144" s="6"/>
      <c r="AE4144" s="12"/>
      <c r="AF4144" s="6"/>
      <c r="AG4144" s="12"/>
      <c r="AH4144" s="6"/>
      <c r="AI4144" s="6"/>
      <c r="AJ4144" s="12"/>
      <c r="AK4144" s="1"/>
      <c r="AL4144" s="12"/>
      <c r="AM4144" s="12"/>
      <c r="AN4144" s="1"/>
      <c r="AO4144" s="6"/>
    </row>
    <row r="4145" spans="1:41" ht="15" x14ac:dyDescent="0.25">
      <c r="A4145" s="1"/>
      <c r="B4145" s="1"/>
      <c r="C4145" s="1"/>
      <c r="D4145" s="1"/>
      <c r="E4145" s="6"/>
      <c r="F4145" s="1"/>
      <c r="G4145" s="6"/>
      <c r="H4145" s="6"/>
      <c r="I4145" s="6"/>
      <c r="J4145" s="6"/>
      <c r="K4145" s="6"/>
      <c r="L4145" s="6"/>
      <c r="M4145" s="6"/>
      <c r="N4145" s="6"/>
      <c r="O4145" s="7"/>
      <c r="P4145" s="6"/>
      <c r="Q4145" s="6"/>
      <c r="R4145" s="7"/>
      <c r="S4145" s="6"/>
      <c r="T4145" s="6"/>
      <c r="U4145" s="7"/>
      <c r="V4145" s="6"/>
      <c r="W4145" s="6"/>
      <c r="X4145" s="12"/>
      <c r="Y4145" s="6"/>
      <c r="Z4145" s="6"/>
      <c r="AA4145" s="7"/>
      <c r="AB4145" s="6"/>
      <c r="AC4145" s="6"/>
      <c r="AD4145" s="6"/>
      <c r="AE4145" s="12"/>
      <c r="AF4145" s="6"/>
      <c r="AG4145" s="12"/>
      <c r="AH4145" s="6"/>
      <c r="AI4145" s="6"/>
      <c r="AJ4145" s="12"/>
      <c r="AK4145" s="1"/>
      <c r="AL4145" s="12"/>
      <c r="AM4145" s="12"/>
      <c r="AN4145" s="1"/>
      <c r="AO4145" s="6"/>
    </row>
    <row r="4146" spans="1:41" ht="15" x14ac:dyDescent="0.25">
      <c r="A4146" s="1"/>
      <c r="B4146" s="1"/>
      <c r="C4146" s="1"/>
      <c r="D4146" s="1"/>
      <c r="E4146" s="6"/>
      <c r="F4146" s="1"/>
      <c r="G4146" s="6"/>
      <c r="H4146" s="6"/>
      <c r="I4146" s="6"/>
      <c r="J4146" s="6"/>
      <c r="K4146" s="6"/>
      <c r="L4146" s="6"/>
      <c r="M4146" s="6"/>
      <c r="N4146" s="6"/>
      <c r="O4146" s="7"/>
      <c r="P4146" s="6"/>
      <c r="Q4146" s="7"/>
      <c r="R4146" s="6"/>
      <c r="S4146" s="12"/>
      <c r="T4146" s="6"/>
      <c r="U4146" s="6"/>
      <c r="V4146" s="7"/>
      <c r="W4146" s="7"/>
      <c r="X4146" s="6"/>
      <c r="Y4146" s="6"/>
      <c r="Z4146" s="6"/>
      <c r="AA4146" s="24"/>
      <c r="AB4146" s="25"/>
      <c r="AC4146" s="12"/>
      <c r="AD4146" s="12"/>
      <c r="AE4146" s="12"/>
      <c r="AF4146" s="6"/>
      <c r="AG4146" s="12"/>
      <c r="AH4146" s="6"/>
      <c r="AI4146" s="6"/>
      <c r="AJ4146" s="12"/>
      <c r="AK4146" s="12"/>
      <c r="AL4146" s="12"/>
      <c r="AM4146" s="12"/>
      <c r="AN4146" s="1"/>
      <c r="AO4146" s="6"/>
    </row>
    <row r="4147" spans="1:41" ht="15" x14ac:dyDescent="0.25">
      <c r="A4147" s="1"/>
      <c r="B4147" s="1"/>
      <c r="C4147" s="1"/>
      <c r="D4147" s="1"/>
      <c r="E4147" s="6"/>
      <c r="F4147" s="1"/>
      <c r="G4147" s="6"/>
      <c r="H4147" s="6"/>
      <c r="I4147" s="6"/>
      <c r="J4147" s="6"/>
      <c r="K4147" s="6"/>
      <c r="L4147" s="6"/>
      <c r="M4147" s="6"/>
      <c r="N4147" s="6"/>
      <c r="O4147" s="7"/>
      <c r="P4147" s="6"/>
      <c r="Q4147" s="7"/>
      <c r="R4147" s="6"/>
      <c r="S4147" s="12"/>
      <c r="T4147" s="6"/>
      <c r="U4147" s="6"/>
      <c r="V4147" s="7"/>
      <c r="W4147" s="7"/>
      <c r="X4147" s="6"/>
      <c r="Y4147" s="6"/>
      <c r="Z4147" s="6"/>
      <c r="AA4147" s="24"/>
      <c r="AB4147" s="25"/>
      <c r="AC4147" s="12"/>
      <c r="AD4147" s="12"/>
      <c r="AE4147" s="12"/>
      <c r="AF4147" s="6"/>
      <c r="AG4147" s="12"/>
      <c r="AH4147" s="6"/>
      <c r="AI4147" s="6"/>
      <c r="AJ4147" s="12"/>
      <c r="AK4147" s="12"/>
      <c r="AL4147" s="12"/>
      <c r="AM4147" s="12"/>
      <c r="AN4147" s="1"/>
      <c r="AO4147" s="6"/>
    </row>
    <row r="4148" spans="1:41" ht="15" x14ac:dyDescent="0.25">
      <c r="A4148" s="1"/>
      <c r="B4148" s="1"/>
      <c r="C4148" s="1"/>
      <c r="D4148" s="1"/>
      <c r="E4148" s="6"/>
      <c r="F4148" s="1"/>
      <c r="G4148" s="6"/>
      <c r="H4148" s="6"/>
      <c r="I4148" s="6"/>
      <c r="J4148" s="6"/>
      <c r="K4148" s="12"/>
      <c r="L4148" s="12"/>
      <c r="M4148" s="6"/>
      <c r="N4148" s="6"/>
      <c r="O4148" s="7"/>
      <c r="P4148" s="6"/>
      <c r="Q4148" s="6"/>
      <c r="R4148" s="7"/>
      <c r="S4148" s="6"/>
      <c r="T4148" s="6"/>
      <c r="U4148" s="7"/>
      <c r="V4148" s="6"/>
      <c r="W4148" s="6"/>
      <c r="X4148" s="12"/>
      <c r="Y4148" s="6"/>
      <c r="Z4148" s="6"/>
      <c r="AA4148" s="7"/>
      <c r="AB4148" s="6"/>
      <c r="AC4148" s="6"/>
      <c r="AD4148" s="6"/>
      <c r="AE4148" s="12"/>
      <c r="AF4148" s="12"/>
      <c r="AG4148" s="12"/>
      <c r="AH4148" s="12"/>
      <c r="AI4148" s="6"/>
      <c r="AJ4148" s="12"/>
      <c r="AK4148" s="1"/>
      <c r="AL4148" s="12"/>
      <c r="AM4148" s="12"/>
      <c r="AN4148" s="1"/>
      <c r="AO4148" s="6"/>
    </row>
    <row r="4149" spans="1:41" ht="15" x14ac:dyDescent="0.25">
      <c r="A4149" s="1"/>
      <c r="B4149" s="1"/>
      <c r="C4149" s="1"/>
      <c r="D4149" s="1"/>
      <c r="E4149" s="6"/>
      <c r="F4149" s="1"/>
      <c r="G4149" s="6"/>
      <c r="H4149" s="6"/>
      <c r="I4149" s="6"/>
      <c r="J4149" s="6"/>
      <c r="K4149" s="6"/>
      <c r="L4149" s="6"/>
      <c r="M4149" s="6"/>
      <c r="N4149" s="6"/>
      <c r="O4149" s="7"/>
      <c r="P4149" s="6"/>
      <c r="Q4149" s="6"/>
      <c r="R4149" s="7"/>
      <c r="S4149" s="6"/>
      <c r="T4149" s="6"/>
      <c r="U4149" s="7"/>
      <c r="V4149" s="6"/>
      <c r="W4149" s="6"/>
      <c r="X4149" s="12"/>
      <c r="Y4149" s="6"/>
      <c r="Z4149" s="6"/>
      <c r="AA4149" s="7"/>
      <c r="AB4149" s="6"/>
      <c r="AC4149" s="6"/>
      <c r="AD4149" s="6"/>
      <c r="AE4149" s="12"/>
      <c r="AF4149" s="12"/>
      <c r="AG4149" s="12"/>
      <c r="AH4149" s="12"/>
      <c r="AI4149" s="6"/>
      <c r="AJ4149" s="12"/>
      <c r="AK4149" s="1"/>
      <c r="AL4149" s="12"/>
      <c r="AM4149" s="12"/>
      <c r="AN4149" s="1"/>
      <c r="AO4149" s="6"/>
    </row>
    <row r="4150" spans="1:41" ht="15" x14ac:dyDescent="0.25">
      <c r="A4150" s="1"/>
      <c r="B4150" s="1"/>
      <c r="C4150" s="1"/>
      <c r="D4150" s="1"/>
      <c r="E4150" s="6"/>
      <c r="F4150" s="1"/>
      <c r="G4150" s="6"/>
      <c r="H4150" s="6"/>
      <c r="I4150" s="6"/>
      <c r="J4150" s="6"/>
      <c r="K4150" s="6"/>
      <c r="L4150" s="6"/>
      <c r="M4150" s="6"/>
      <c r="N4150" s="6"/>
      <c r="O4150" s="7"/>
      <c r="P4150" s="6"/>
      <c r="Q4150" s="6"/>
      <c r="R4150" s="7"/>
      <c r="S4150" s="6"/>
      <c r="T4150" s="6"/>
      <c r="U4150" s="7"/>
      <c r="V4150" s="6"/>
      <c r="W4150" s="6"/>
      <c r="X4150" s="12"/>
      <c r="Y4150" s="6"/>
      <c r="Z4150" s="6"/>
      <c r="AA4150" s="7"/>
      <c r="AB4150" s="6"/>
      <c r="AC4150" s="6"/>
      <c r="AD4150" s="6"/>
      <c r="AE4150" s="12"/>
      <c r="AF4150" s="6"/>
      <c r="AG4150" s="12"/>
      <c r="AH4150" s="6"/>
      <c r="AI4150" s="6"/>
      <c r="AJ4150" s="12"/>
      <c r="AK4150" s="24"/>
      <c r="AL4150" s="25"/>
      <c r="AM4150" s="12"/>
      <c r="AN4150" s="1"/>
      <c r="AO4150" s="6"/>
    </row>
    <row r="4151" spans="1:41" ht="15" x14ac:dyDescent="0.25">
      <c r="A4151" s="1"/>
      <c r="B4151" s="1"/>
      <c r="C4151" s="1"/>
      <c r="D4151" s="1"/>
      <c r="E4151" s="6"/>
      <c r="F4151" s="1"/>
      <c r="G4151" s="6"/>
      <c r="H4151" s="6"/>
      <c r="I4151" s="6"/>
      <c r="J4151" s="6"/>
      <c r="K4151" s="6"/>
      <c r="L4151" s="6"/>
      <c r="M4151" s="6"/>
      <c r="N4151" s="6"/>
      <c r="O4151" s="7"/>
      <c r="P4151" s="6"/>
      <c r="Q4151" s="6"/>
      <c r="R4151" s="7"/>
      <c r="S4151" s="6"/>
      <c r="T4151" s="6"/>
      <c r="U4151" s="7"/>
      <c r="V4151" s="6"/>
      <c r="W4151" s="6"/>
      <c r="X4151" s="12"/>
      <c r="Y4151" s="6"/>
      <c r="Z4151" s="6"/>
      <c r="AA4151" s="7"/>
      <c r="AB4151" s="6"/>
      <c r="AC4151" s="6"/>
      <c r="AD4151" s="6"/>
      <c r="AE4151" s="12"/>
      <c r="AF4151" s="6"/>
      <c r="AG4151" s="12"/>
      <c r="AH4151" s="6"/>
      <c r="AI4151" s="6"/>
      <c r="AJ4151" s="12"/>
      <c r="AK4151" s="24"/>
      <c r="AL4151" s="25"/>
      <c r="AM4151" s="12"/>
      <c r="AN4151" s="1"/>
      <c r="AO4151" s="6"/>
    </row>
    <row r="4152" spans="1:41" ht="15" x14ac:dyDescent="0.25">
      <c r="A4152" s="1"/>
      <c r="B4152" s="1"/>
      <c r="C4152" s="1"/>
      <c r="D4152" s="1"/>
      <c r="E4152" s="6"/>
      <c r="F4152" s="1"/>
      <c r="G4152" s="6"/>
      <c r="H4152" s="6"/>
      <c r="I4152" s="6"/>
      <c r="J4152" s="6"/>
      <c r="K4152" s="6"/>
      <c r="L4152" s="6"/>
      <c r="M4152" s="6"/>
      <c r="N4152" s="6"/>
      <c r="O4152" s="7"/>
      <c r="P4152" s="12"/>
      <c r="Q4152" s="6"/>
      <c r="R4152" s="7"/>
      <c r="S4152" s="6"/>
      <c r="T4152" s="6"/>
      <c r="U4152" s="7"/>
      <c r="V4152" s="6"/>
      <c r="W4152" s="6"/>
      <c r="X4152" s="6"/>
      <c r="Y4152" s="6"/>
      <c r="Z4152" s="6"/>
      <c r="AA4152" s="7"/>
      <c r="AB4152" s="6"/>
      <c r="AC4152" s="6"/>
      <c r="AD4152" s="6"/>
      <c r="AE4152" s="12"/>
      <c r="AF4152" s="6"/>
      <c r="AG4152" s="12"/>
      <c r="AH4152" s="6"/>
      <c r="AI4152" s="6"/>
      <c r="AJ4152" s="12"/>
      <c r="AK4152" s="24"/>
      <c r="AL4152" s="25"/>
      <c r="AM4152" s="12"/>
      <c r="AN4152" s="1"/>
      <c r="AO4152" s="6"/>
    </row>
    <row r="4153" spans="1:41" ht="15" x14ac:dyDescent="0.25">
      <c r="A4153" s="1"/>
      <c r="B4153" s="1"/>
      <c r="C4153" s="1"/>
      <c r="D4153" s="1"/>
      <c r="E4153" s="6"/>
      <c r="F4153" s="1"/>
      <c r="G4153" s="6"/>
      <c r="H4153" s="6"/>
      <c r="I4153" s="6"/>
      <c r="J4153" s="6"/>
      <c r="K4153" s="6"/>
      <c r="L4153" s="6"/>
      <c r="M4153" s="6"/>
      <c r="N4153" s="6"/>
      <c r="O4153" s="7"/>
      <c r="P4153" s="12"/>
      <c r="Q4153" s="6"/>
      <c r="R4153" s="7"/>
      <c r="S4153" s="6"/>
      <c r="T4153" s="6"/>
      <c r="U4153" s="7"/>
      <c r="V4153" s="6"/>
      <c r="W4153" s="6"/>
      <c r="X4153" s="6"/>
      <c r="Y4153" s="6"/>
      <c r="Z4153" s="6"/>
      <c r="AA4153" s="7"/>
      <c r="AB4153" s="6"/>
      <c r="AC4153" s="6"/>
      <c r="AD4153" s="6"/>
      <c r="AE4153" s="12"/>
      <c r="AF4153" s="6"/>
      <c r="AG4153" s="12"/>
      <c r="AH4153" s="6"/>
      <c r="AI4153" s="6"/>
      <c r="AJ4153" s="12"/>
      <c r="AK4153" s="24"/>
      <c r="AL4153" s="25"/>
      <c r="AM4153" s="12"/>
      <c r="AN4153" s="1"/>
      <c r="AO4153" s="6"/>
    </row>
    <row r="4154" spans="1:41" ht="15" x14ac:dyDescent="0.25">
      <c r="A4154" s="1"/>
      <c r="B4154" s="1"/>
      <c r="C4154" s="1"/>
      <c r="D4154" s="1"/>
      <c r="E4154" s="6"/>
      <c r="F4154" s="1"/>
      <c r="G4154" s="6"/>
      <c r="H4154" s="6"/>
      <c r="I4154" s="6"/>
      <c r="J4154" s="6"/>
      <c r="K4154" s="6"/>
      <c r="L4154" s="6"/>
      <c r="M4154" s="6"/>
      <c r="N4154" s="6"/>
      <c r="O4154" s="7"/>
      <c r="P4154" s="6"/>
      <c r="Q4154" s="6"/>
      <c r="R4154" s="7"/>
      <c r="S4154" s="6"/>
      <c r="T4154" s="6"/>
      <c r="U4154" s="7"/>
      <c r="V4154" s="6"/>
      <c r="W4154" s="6"/>
      <c r="X4154" s="6"/>
      <c r="Y4154" s="6"/>
      <c r="Z4154" s="6"/>
      <c r="AA4154" s="7"/>
      <c r="AB4154" s="6"/>
      <c r="AC4154" s="6"/>
      <c r="AD4154" s="6"/>
      <c r="AE4154" s="12"/>
      <c r="AF4154" s="6"/>
      <c r="AG4154" s="12"/>
      <c r="AH4154" s="6"/>
      <c r="AI4154" s="6"/>
      <c r="AJ4154" s="12"/>
      <c r="AK4154" s="24"/>
      <c r="AL4154" s="25"/>
      <c r="AM4154" s="12"/>
      <c r="AN4154" s="1"/>
      <c r="AO4154" s="6"/>
    </row>
    <row r="4155" spans="1:41" ht="15" x14ac:dyDescent="0.25">
      <c r="A4155" s="1"/>
      <c r="B4155" s="1"/>
      <c r="C4155" s="1"/>
      <c r="D4155" s="1"/>
      <c r="E4155" s="6"/>
      <c r="F4155" s="1"/>
      <c r="G4155" s="6"/>
      <c r="H4155" s="6"/>
      <c r="I4155" s="6"/>
      <c r="J4155" s="6"/>
      <c r="K4155" s="6"/>
      <c r="L4155" s="6"/>
      <c r="M4155" s="6"/>
      <c r="N4155" s="6"/>
      <c r="O4155" s="7"/>
      <c r="P4155" s="6"/>
      <c r="Q4155" s="6"/>
      <c r="R4155" s="7"/>
      <c r="S4155" s="6"/>
      <c r="T4155" s="6"/>
      <c r="U4155" s="7"/>
      <c r="V4155" s="6"/>
      <c r="W4155" s="6"/>
      <c r="X4155" s="6"/>
      <c r="Y4155" s="6"/>
      <c r="Z4155" s="6"/>
      <c r="AA4155" s="7"/>
      <c r="AB4155" s="6"/>
      <c r="AC4155" s="6"/>
      <c r="AD4155" s="6"/>
      <c r="AE4155" s="12"/>
      <c r="AF4155" s="6"/>
      <c r="AG4155" s="12"/>
      <c r="AH4155" s="6"/>
      <c r="AI4155" s="6"/>
      <c r="AJ4155" s="12"/>
      <c r="AK4155" s="24"/>
      <c r="AL4155" s="25"/>
      <c r="AM4155" s="12"/>
      <c r="AN4155" s="1"/>
      <c r="AO4155" s="6"/>
    </row>
    <row r="4156" spans="1:41" ht="15" x14ac:dyDescent="0.25">
      <c r="A4156" s="1"/>
      <c r="B4156" s="1"/>
      <c r="C4156" s="1"/>
      <c r="D4156" s="1"/>
      <c r="E4156" s="6"/>
      <c r="F4156" s="1"/>
      <c r="G4156" s="6"/>
      <c r="H4156" s="6"/>
      <c r="I4156" s="6"/>
      <c r="J4156" s="6"/>
      <c r="K4156" s="6"/>
      <c r="L4156" s="6"/>
      <c r="M4156" s="6"/>
      <c r="N4156" s="6"/>
      <c r="O4156" s="7"/>
      <c r="P4156" s="12"/>
      <c r="Q4156" s="6"/>
      <c r="R4156" s="7"/>
      <c r="S4156" s="6"/>
      <c r="T4156" s="6"/>
      <c r="U4156" s="7"/>
      <c r="V4156" s="6"/>
      <c r="W4156" s="6"/>
      <c r="X4156" s="6"/>
      <c r="Y4156" s="6"/>
      <c r="Z4156" s="6"/>
      <c r="AA4156" s="7"/>
      <c r="AB4156" s="6"/>
      <c r="AC4156" s="6"/>
      <c r="AD4156" s="6"/>
      <c r="AE4156" s="12"/>
      <c r="AF4156" s="6"/>
      <c r="AG4156" s="12"/>
      <c r="AH4156" s="6"/>
      <c r="AI4156" s="6"/>
      <c r="AJ4156" s="12"/>
      <c r="AK4156" s="1"/>
      <c r="AL4156" s="12"/>
      <c r="AM4156" s="12"/>
      <c r="AN4156" s="1"/>
      <c r="AO4156" s="6"/>
    </row>
    <row r="4157" spans="1:41" ht="15" x14ac:dyDescent="0.25">
      <c r="A4157" s="1"/>
      <c r="B4157" s="1"/>
      <c r="C4157" s="1"/>
      <c r="D4157" s="1"/>
      <c r="E4157" s="6"/>
      <c r="F4157" s="1"/>
      <c r="G4157" s="6"/>
      <c r="H4157" s="6"/>
      <c r="I4157" s="6"/>
      <c r="J4157" s="6"/>
      <c r="K4157" s="6"/>
      <c r="L4157" s="6"/>
      <c r="M4157" s="6"/>
      <c r="N4157" s="6"/>
      <c r="O4157" s="7"/>
      <c r="P4157" s="12"/>
      <c r="Q4157" s="6"/>
      <c r="R4157" s="7"/>
      <c r="S4157" s="6"/>
      <c r="T4157" s="6"/>
      <c r="U4157" s="7"/>
      <c r="V4157" s="6"/>
      <c r="W4157" s="6"/>
      <c r="X4157" s="6"/>
      <c r="Y4157" s="6"/>
      <c r="Z4157" s="6"/>
      <c r="AA4157" s="7"/>
      <c r="AB4157" s="6"/>
      <c r="AC4157" s="6"/>
      <c r="AD4157" s="6"/>
      <c r="AE4157" s="12"/>
      <c r="AF4157" s="6"/>
      <c r="AG4157" s="12"/>
      <c r="AH4157" s="6"/>
      <c r="AI4157" s="6"/>
      <c r="AJ4157" s="12"/>
      <c r="AK4157" s="1"/>
      <c r="AL4157" s="12"/>
      <c r="AM4157" s="12"/>
      <c r="AN4157" s="1"/>
      <c r="AO4157" s="6"/>
    </row>
    <row r="4158" spans="1:41" ht="15" x14ac:dyDescent="0.25">
      <c r="A4158" s="1"/>
      <c r="B4158" s="1"/>
      <c r="C4158" s="1"/>
      <c r="D4158" s="1"/>
      <c r="E4158" s="6"/>
      <c r="F4158" s="1"/>
      <c r="G4158" s="6"/>
      <c r="H4158" s="6"/>
      <c r="I4158" s="6"/>
      <c r="J4158" s="6"/>
      <c r="K4158" s="6"/>
      <c r="L4158" s="6"/>
      <c r="M4158" s="6"/>
      <c r="N4158" s="6"/>
      <c r="O4158" s="7"/>
      <c r="P4158" s="6"/>
      <c r="Q4158" s="6"/>
      <c r="R4158" s="7"/>
      <c r="S4158" s="6"/>
      <c r="T4158" s="6"/>
      <c r="U4158" s="7"/>
      <c r="V4158" s="6"/>
      <c r="W4158" s="6"/>
      <c r="X4158" s="6"/>
      <c r="Y4158" s="6"/>
      <c r="Z4158" s="6"/>
      <c r="AA4158" s="7"/>
      <c r="AB4158" s="6"/>
      <c r="AC4158" s="6"/>
      <c r="AD4158" s="6"/>
      <c r="AE4158" s="12"/>
      <c r="AF4158" s="6"/>
      <c r="AG4158" s="12"/>
      <c r="AH4158" s="6"/>
      <c r="AI4158" s="6"/>
      <c r="AJ4158" s="12"/>
      <c r="AK4158" s="1"/>
      <c r="AL4158" s="12"/>
      <c r="AM4158" s="12"/>
      <c r="AN4158" s="1"/>
      <c r="AO4158" s="6"/>
    </row>
    <row r="4159" spans="1:41" ht="15" x14ac:dyDescent="0.25">
      <c r="A4159" s="1"/>
      <c r="B4159" s="1"/>
      <c r="C4159" s="1"/>
      <c r="D4159" s="1"/>
      <c r="E4159" s="6"/>
      <c r="F4159" s="1"/>
      <c r="G4159" s="6"/>
      <c r="H4159" s="6"/>
      <c r="I4159" s="6"/>
      <c r="J4159" s="6"/>
      <c r="K4159" s="6"/>
      <c r="L4159" s="6"/>
      <c r="M4159" s="6"/>
      <c r="N4159" s="6"/>
      <c r="O4159" s="7"/>
      <c r="P4159" s="6"/>
      <c r="Q4159" s="6"/>
      <c r="R4159" s="7"/>
      <c r="S4159" s="6"/>
      <c r="T4159" s="6"/>
      <c r="U4159" s="7"/>
      <c r="V4159" s="6"/>
      <c r="W4159" s="6"/>
      <c r="X4159" s="6"/>
      <c r="Y4159" s="6"/>
      <c r="Z4159" s="6"/>
      <c r="AA4159" s="7"/>
      <c r="AB4159" s="6"/>
      <c r="AC4159" s="6"/>
      <c r="AD4159" s="6"/>
      <c r="AE4159" s="12"/>
      <c r="AF4159" s="6"/>
      <c r="AG4159" s="12"/>
      <c r="AH4159" s="6"/>
      <c r="AI4159" s="6"/>
      <c r="AJ4159" s="12"/>
      <c r="AK4159" s="1"/>
      <c r="AL4159" s="12"/>
      <c r="AM4159" s="12"/>
      <c r="AN4159" s="1"/>
      <c r="AO4159" s="6"/>
    </row>
    <row r="4160" spans="1:41" ht="15" x14ac:dyDescent="0.25">
      <c r="A4160" s="1"/>
      <c r="B4160" s="1"/>
      <c r="C4160" s="1"/>
      <c r="D4160" s="1"/>
      <c r="E4160" s="6"/>
      <c r="F4160" s="1"/>
      <c r="G4160" s="6"/>
      <c r="H4160" s="6"/>
      <c r="I4160" s="6"/>
      <c r="J4160" s="6"/>
      <c r="K4160" s="6"/>
      <c r="L4160" s="6"/>
      <c r="M4160" s="6"/>
      <c r="N4160" s="6"/>
      <c r="O4160" s="7"/>
      <c r="P4160" s="6"/>
      <c r="Q4160" s="6"/>
      <c r="R4160" s="12"/>
      <c r="S4160" s="12"/>
      <c r="T4160" s="12"/>
      <c r="U4160" s="7"/>
      <c r="V4160" s="6"/>
      <c r="W4160" s="6"/>
      <c r="X4160" s="12"/>
      <c r="Y4160" s="6"/>
      <c r="Z4160" s="6"/>
      <c r="AA4160" s="7"/>
      <c r="AB4160" s="6"/>
      <c r="AC4160" s="6"/>
      <c r="AD4160" s="6"/>
      <c r="AE4160" s="12"/>
      <c r="AF4160" s="12"/>
      <c r="AG4160" s="12"/>
      <c r="AH4160" s="12"/>
      <c r="AI4160" s="6"/>
      <c r="AJ4160" s="12"/>
      <c r="AK4160" s="1"/>
      <c r="AL4160" s="12"/>
      <c r="AM4160" s="12"/>
      <c r="AN4160" s="1"/>
      <c r="AO4160" s="6"/>
    </row>
    <row r="4161" spans="1:41" ht="15" x14ac:dyDescent="0.25">
      <c r="A4161" s="1"/>
      <c r="B4161" s="1"/>
      <c r="C4161" s="1"/>
      <c r="D4161" s="1"/>
      <c r="E4161" s="6"/>
      <c r="F4161" s="1"/>
      <c r="G4161" s="6"/>
      <c r="H4161" s="6"/>
      <c r="I4161" s="6"/>
      <c r="J4161" s="6"/>
      <c r="K4161" s="6"/>
      <c r="L4161" s="6"/>
      <c r="M4161" s="6"/>
      <c r="N4161" s="6"/>
      <c r="O4161" s="7"/>
      <c r="P4161" s="6"/>
      <c r="Q4161" s="6"/>
      <c r="R4161" s="12"/>
      <c r="S4161" s="12"/>
      <c r="T4161" s="12"/>
      <c r="U4161" s="7"/>
      <c r="V4161" s="6"/>
      <c r="W4161" s="6"/>
      <c r="X4161" s="12"/>
      <c r="Y4161" s="6"/>
      <c r="Z4161" s="6"/>
      <c r="AA4161" s="7"/>
      <c r="AB4161" s="6"/>
      <c r="AC4161" s="6"/>
      <c r="AD4161" s="6"/>
      <c r="AE4161" s="12"/>
      <c r="AF4161" s="12"/>
      <c r="AG4161" s="12"/>
      <c r="AH4161" s="12"/>
      <c r="AI4161" s="6"/>
      <c r="AJ4161" s="12"/>
      <c r="AK4161" s="1"/>
      <c r="AL4161" s="12"/>
      <c r="AM4161" s="12"/>
      <c r="AN4161" s="1"/>
      <c r="AO4161" s="6"/>
    </row>
    <row r="4162" spans="1:41" ht="15" x14ac:dyDescent="0.25">
      <c r="A4162" s="1"/>
      <c r="B4162" s="1"/>
      <c r="C4162" s="1"/>
      <c r="D4162" s="1"/>
      <c r="E4162" s="6"/>
      <c r="F4162" s="1"/>
      <c r="G4162" s="6"/>
      <c r="H4162" s="6"/>
      <c r="I4162" s="6"/>
      <c r="J4162" s="6"/>
      <c r="K4162" s="12"/>
      <c r="L4162" s="6"/>
      <c r="M4162" s="6"/>
      <c r="N4162" s="6"/>
      <c r="O4162" s="7"/>
      <c r="P4162" s="6"/>
      <c r="Q4162" s="6"/>
      <c r="R4162" s="7"/>
      <c r="S4162" s="6"/>
      <c r="T4162" s="6"/>
      <c r="U4162" s="7"/>
      <c r="V4162" s="6"/>
      <c r="W4162" s="6"/>
      <c r="X4162" s="6"/>
      <c r="Y4162" s="6"/>
      <c r="Z4162" s="6"/>
      <c r="AA4162" s="7"/>
      <c r="AB4162" s="6"/>
      <c r="AC4162" s="6"/>
      <c r="AD4162" s="6"/>
      <c r="AE4162" s="12"/>
      <c r="AF4162" s="6"/>
      <c r="AG4162" s="12"/>
      <c r="AH4162" s="6"/>
      <c r="AI4162" s="6"/>
      <c r="AJ4162" s="12"/>
      <c r="AK4162" s="1"/>
      <c r="AL4162" s="12"/>
      <c r="AM4162" s="12"/>
      <c r="AN4162" s="1"/>
      <c r="AO4162" s="12"/>
    </row>
    <row r="4163" spans="1:41" ht="15" x14ac:dyDescent="0.25">
      <c r="A4163" s="1"/>
      <c r="B4163" s="1"/>
      <c r="C4163" s="1"/>
      <c r="D4163" s="1"/>
      <c r="E4163" s="6"/>
      <c r="F4163" s="1"/>
      <c r="G4163" s="6"/>
      <c r="H4163" s="6"/>
      <c r="I4163" s="6"/>
      <c r="J4163" s="6"/>
      <c r="K4163" s="12"/>
      <c r="L4163" s="6"/>
      <c r="M4163" s="6"/>
      <c r="N4163" s="6"/>
      <c r="O4163" s="7"/>
      <c r="P4163" s="6"/>
      <c r="Q4163" s="6"/>
      <c r="R4163" s="7"/>
      <c r="S4163" s="6"/>
      <c r="T4163" s="6"/>
      <c r="U4163" s="7"/>
      <c r="V4163" s="6"/>
      <c r="W4163" s="6"/>
      <c r="X4163" s="6"/>
      <c r="Y4163" s="6"/>
      <c r="Z4163" s="6"/>
      <c r="AA4163" s="7"/>
      <c r="AB4163" s="6"/>
      <c r="AC4163" s="6"/>
      <c r="AD4163" s="6"/>
      <c r="AE4163" s="12"/>
      <c r="AF4163" s="6"/>
      <c r="AG4163" s="12"/>
      <c r="AH4163" s="6"/>
      <c r="AI4163" s="6"/>
      <c r="AJ4163" s="12"/>
      <c r="AK4163" s="1"/>
      <c r="AL4163" s="12"/>
      <c r="AM4163" s="12"/>
      <c r="AN4163" s="1"/>
      <c r="AO4163" s="12"/>
    </row>
    <row r="4164" spans="1:41" ht="15" x14ac:dyDescent="0.25">
      <c r="A4164" s="1"/>
      <c r="B4164" s="1"/>
      <c r="C4164" s="1"/>
      <c r="D4164" s="1"/>
      <c r="E4164" s="6"/>
      <c r="F4164" s="1"/>
      <c r="G4164" s="6"/>
      <c r="H4164" s="6"/>
      <c r="I4164" s="6"/>
      <c r="J4164" s="6"/>
      <c r="K4164" s="6"/>
      <c r="L4164" s="6"/>
      <c r="M4164" s="6"/>
      <c r="N4164" s="6"/>
      <c r="O4164" s="7"/>
      <c r="P4164" s="12"/>
      <c r="Q4164" s="6"/>
      <c r="R4164" s="7"/>
      <c r="S4164" s="6"/>
      <c r="T4164" s="6"/>
      <c r="U4164" s="7"/>
      <c r="V4164" s="6"/>
      <c r="W4164" s="6"/>
      <c r="X4164" s="12"/>
      <c r="Y4164" s="6"/>
      <c r="Z4164" s="6"/>
      <c r="AA4164" s="7"/>
      <c r="AB4164" s="6"/>
      <c r="AC4164" s="6"/>
      <c r="AD4164" s="6"/>
      <c r="AE4164" s="12"/>
      <c r="AF4164" s="12"/>
      <c r="AG4164" s="12"/>
      <c r="AH4164" s="12"/>
      <c r="AI4164" s="6"/>
      <c r="AJ4164" s="12"/>
      <c r="AK4164" s="1"/>
      <c r="AL4164" s="12"/>
      <c r="AM4164" s="12"/>
      <c r="AN4164" s="1"/>
      <c r="AO4164" s="6"/>
    </row>
    <row r="4165" spans="1:41" ht="15" x14ac:dyDescent="0.25">
      <c r="A4165" s="1"/>
      <c r="B4165" s="1"/>
      <c r="C4165" s="1"/>
      <c r="D4165" s="1"/>
      <c r="E4165" s="6"/>
      <c r="F4165" s="1"/>
      <c r="G4165" s="6"/>
      <c r="H4165" s="6"/>
      <c r="I4165" s="6"/>
      <c r="J4165" s="6"/>
      <c r="K4165" s="6"/>
      <c r="L4165" s="6"/>
      <c r="M4165" s="6"/>
      <c r="N4165" s="6"/>
      <c r="O4165" s="7"/>
      <c r="P4165" s="12"/>
      <c r="Q4165" s="6"/>
      <c r="R4165" s="7"/>
      <c r="S4165" s="6"/>
      <c r="T4165" s="6"/>
      <c r="U4165" s="7"/>
      <c r="V4165" s="6"/>
      <c r="W4165" s="6"/>
      <c r="X4165" s="6"/>
      <c r="Y4165" s="6"/>
      <c r="Z4165" s="6"/>
      <c r="AA4165" s="7"/>
      <c r="AB4165" s="6"/>
      <c r="AC4165" s="6"/>
      <c r="AD4165" s="6"/>
      <c r="AE4165" s="12"/>
      <c r="AF4165" s="6"/>
      <c r="AG4165" s="12"/>
      <c r="AH4165" s="6"/>
      <c r="AI4165" s="6"/>
      <c r="AJ4165" s="12"/>
      <c r="AK4165" s="24"/>
      <c r="AL4165" s="25"/>
      <c r="AM4165" s="12"/>
      <c r="AN4165" s="1"/>
      <c r="AO4165" s="6"/>
    </row>
    <row r="4166" spans="1:41" ht="15" x14ac:dyDescent="0.25">
      <c r="A4166" s="1"/>
      <c r="B4166" s="1"/>
      <c r="C4166" s="1"/>
      <c r="D4166" s="1"/>
      <c r="E4166" s="6"/>
      <c r="F4166" s="1"/>
      <c r="G4166" s="6"/>
      <c r="H4166" s="6"/>
      <c r="I4166" s="6"/>
      <c r="J4166" s="6"/>
      <c r="K4166" s="6"/>
      <c r="L4166" s="6"/>
      <c r="M4166" s="6"/>
      <c r="N4166" s="6"/>
      <c r="O4166" s="7"/>
      <c r="P4166" s="12"/>
      <c r="Q4166" s="6"/>
      <c r="R4166" s="7"/>
      <c r="S4166" s="6"/>
      <c r="T4166" s="6"/>
      <c r="U4166" s="7"/>
      <c r="V4166" s="6"/>
      <c r="W4166" s="6"/>
      <c r="X4166" s="6"/>
      <c r="Y4166" s="6"/>
      <c r="Z4166" s="6"/>
      <c r="AA4166" s="7"/>
      <c r="AB4166" s="6"/>
      <c r="AC4166" s="6"/>
      <c r="AD4166" s="6"/>
      <c r="AE4166" s="12"/>
      <c r="AF4166" s="6"/>
      <c r="AG4166" s="12"/>
      <c r="AH4166" s="6"/>
      <c r="AI4166" s="6"/>
      <c r="AJ4166" s="12"/>
      <c r="AK4166" s="24"/>
      <c r="AL4166" s="25"/>
      <c r="AM4166" s="12"/>
      <c r="AN4166" s="1"/>
      <c r="AO4166" s="6"/>
    </row>
    <row r="4167" spans="1:41" ht="15" x14ac:dyDescent="0.25">
      <c r="A4167" s="1"/>
      <c r="B4167" s="1"/>
      <c r="C4167" s="1"/>
      <c r="D4167" s="1"/>
      <c r="E4167" s="6"/>
      <c r="F4167" s="1"/>
      <c r="G4167" s="6"/>
      <c r="H4167" s="6"/>
      <c r="I4167" s="6"/>
      <c r="J4167" s="6"/>
      <c r="K4167" s="6"/>
      <c r="L4167" s="6"/>
      <c r="M4167" s="6"/>
      <c r="N4167" s="6"/>
      <c r="O4167" s="7"/>
      <c r="P4167" s="6"/>
      <c r="Q4167" s="6"/>
      <c r="R4167" s="7"/>
      <c r="S4167" s="6"/>
      <c r="T4167" s="6"/>
      <c r="U4167" s="7"/>
      <c r="V4167" s="6"/>
      <c r="W4167" s="6"/>
      <c r="X4167" s="6"/>
      <c r="Y4167" s="6"/>
      <c r="Z4167" s="6"/>
      <c r="AA4167" s="7"/>
      <c r="AB4167" s="6"/>
      <c r="AC4167" s="6"/>
      <c r="AD4167" s="6"/>
      <c r="AE4167" s="12"/>
      <c r="AF4167" s="6"/>
      <c r="AG4167" s="12"/>
      <c r="AH4167" s="6"/>
      <c r="AI4167" s="6"/>
      <c r="AJ4167" s="12"/>
      <c r="AK4167" s="1"/>
      <c r="AL4167" s="12"/>
      <c r="AM4167" s="12"/>
      <c r="AN4167" s="1"/>
      <c r="AO4167" s="6"/>
    </row>
    <row r="4168" spans="1:41" ht="15" x14ac:dyDescent="0.25">
      <c r="A4168" s="1"/>
      <c r="B4168" s="1"/>
      <c r="C4168" s="1"/>
      <c r="D4168" s="1"/>
      <c r="E4168" s="6"/>
      <c r="F4168" s="1"/>
      <c r="G4168" s="6"/>
      <c r="H4168" s="6"/>
      <c r="I4168" s="6"/>
      <c r="J4168" s="6"/>
      <c r="K4168" s="6"/>
      <c r="L4168" s="6"/>
      <c r="M4168" s="6"/>
      <c r="N4168" s="6"/>
      <c r="O4168" s="7"/>
      <c r="P4168" s="6"/>
      <c r="Q4168" s="6"/>
      <c r="R4168" s="7"/>
      <c r="S4168" s="6"/>
      <c r="T4168" s="6"/>
      <c r="U4168" s="7"/>
      <c r="V4168" s="6"/>
      <c r="W4168" s="6"/>
      <c r="X4168" s="6"/>
      <c r="Y4168" s="6"/>
      <c r="Z4168" s="6"/>
      <c r="AA4168" s="7"/>
      <c r="AB4168" s="6"/>
      <c r="AC4168" s="6"/>
      <c r="AD4168" s="6"/>
      <c r="AE4168" s="12"/>
      <c r="AF4168" s="6"/>
      <c r="AG4168" s="12"/>
      <c r="AH4168" s="6"/>
      <c r="AI4168" s="6"/>
      <c r="AJ4168" s="12"/>
      <c r="AK4168" s="1"/>
      <c r="AL4168" s="12"/>
      <c r="AM4168" s="12"/>
      <c r="AN4168" s="1"/>
      <c r="AO4168" s="6"/>
    </row>
    <row r="4169" spans="1:41" ht="15" x14ac:dyDescent="0.25">
      <c r="A4169" s="1"/>
      <c r="B4169" s="1"/>
      <c r="C4169" s="1"/>
      <c r="D4169" s="1"/>
      <c r="E4169" s="6"/>
      <c r="F4169" s="1"/>
      <c r="G4169" s="6"/>
      <c r="H4169" s="6"/>
      <c r="I4169" s="6"/>
      <c r="J4169" s="6"/>
      <c r="K4169" s="6"/>
      <c r="L4169" s="6"/>
      <c r="M4169" s="6"/>
      <c r="N4169" s="6"/>
      <c r="O4169" s="7"/>
      <c r="P4169" s="6"/>
      <c r="Q4169" s="6"/>
      <c r="R4169" s="7"/>
      <c r="S4169" s="6"/>
      <c r="T4169" s="6"/>
      <c r="U4169" s="7"/>
      <c r="V4169" s="6"/>
      <c r="W4169" s="6"/>
      <c r="X4169" s="6"/>
      <c r="Y4169" s="6"/>
      <c r="Z4169" s="6"/>
      <c r="AA4169" s="7"/>
      <c r="AB4169" s="6"/>
      <c r="AC4169" s="6"/>
      <c r="AD4169" s="6"/>
      <c r="AE4169" s="12"/>
      <c r="AF4169" s="12"/>
      <c r="AG4169" s="12"/>
      <c r="AH4169" s="12"/>
      <c r="AI4169" s="6"/>
      <c r="AJ4169" s="12"/>
      <c r="AK4169" s="1"/>
      <c r="AL4169" s="12"/>
      <c r="AM4169" s="12"/>
      <c r="AN4169" s="1"/>
      <c r="AO4169" s="6"/>
    </row>
    <row r="4170" spans="1:41" ht="15" x14ac:dyDescent="0.25">
      <c r="A4170" s="1"/>
      <c r="B4170" s="1"/>
      <c r="C4170" s="1"/>
      <c r="D4170" s="1"/>
      <c r="E4170" s="6"/>
      <c r="F4170" s="1"/>
      <c r="G4170" s="6"/>
      <c r="H4170" s="6"/>
      <c r="I4170" s="6"/>
      <c r="J4170" s="6"/>
      <c r="K4170" s="6"/>
      <c r="L4170" s="6"/>
      <c r="M4170" s="6"/>
      <c r="N4170" s="6"/>
      <c r="O4170" s="7"/>
      <c r="P4170" s="6"/>
      <c r="Q4170" s="6"/>
      <c r="R4170" s="7"/>
      <c r="S4170" s="6"/>
      <c r="T4170" s="6"/>
      <c r="U4170" s="7"/>
      <c r="V4170" s="6"/>
      <c r="W4170" s="6"/>
      <c r="X4170" s="6"/>
      <c r="Y4170" s="6"/>
      <c r="Z4170" s="6"/>
      <c r="AA4170" s="7"/>
      <c r="AB4170" s="6"/>
      <c r="AC4170" s="6"/>
      <c r="AD4170" s="6"/>
      <c r="AE4170" s="12"/>
      <c r="AF4170" s="6"/>
      <c r="AG4170" s="12"/>
      <c r="AH4170" s="6"/>
      <c r="AI4170" s="6"/>
      <c r="AJ4170" s="12"/>
      <c r="AK4170" s="24"/>
      <c r="AL4170" s="25"/>
      <c r="AM4170" s="12"/>
      <c r="AN4170" s="1"/>
      <c r="AO4170" s="6"/>
    </row>
    <row r="4171" spans="1:41" ht="15" x14ac:dyDescent="0.25">
      <c r="A4171" s="1"/>
      <c r="B4171" s="1"/>
      <c r="C4171" s="1"/>
      <c r="D4171" s="1"/>
      <c r="E4171" s="6"/>
      <c r="F4171" s="1"/>
      <c r="G4171" s="6"/>
      <c r="H4171" s="6"/>
      <c r="I4171" s="6"/>
      <c r="J4171" s="6"/>
      <c r="K4171" s="6"/>
      <c r="L4171" s="6"/>
      <c r="M4171" s="6"/>
      <c r="N4171" s="6"/>
      <c r="O4171" s="7"/>
      <c r="P4171" s="6"/>
      <c r="Q4171" s="6"/>
      <c r="R4171" s="7"/>
      <c r="S4171" s="6"/>
      <c r="T4171" s="6"/>
      <c r="U4171" s="7"/>
      <c r="V4171" s="6"/>
      <c r="W4171" s="6"/>
      <c r="X4171" s="6"/>
      <c r="Y4171" s="6"/>
      <c r="Z4171" s="6"/>
      <c r="AA4171" s="7"/>
      <c r="AB4171" s="6"/>
      <c r="AC4171" s="6"/>
      <c r="AD4171" s="6"/>
      <c r="AE4171" s="12"/>
      <c r="AF4171" s="6"/>
      <c r="AG4171" s="12"/>
      <c r="AH4171" s="6"/>
      <c r="AI4171" s="6"/>
      <c r="AJ4171" s="12"/>
      <c r="AK4171" s="24"/>
      <c r="AL4171" s="25"/>
      <c r="AM4171" s="12"/>
      <c r="AN4171" s="1"/>
      <c r="AO4171" s="6"/>
    </row>
    <row r="4172" spans="1:41" ht="15" x14ac:dyDescent="0.25">
      <c r="A4172" s="1"/>
      <c r="B4172" s="1"/>
      <c r="C4172" s="1"/>
      <c r="D4172" s="1"/>
      <c r="E4172" s="6"/>
      <c r="F4172" s="1"/>
      <c r="G4172" s="6"/>
      <c r="H4172" s="6"/>
      <c r="I4172" s="6"/>
      <c r="J4172" s="6"/>
      <c r="K4172" s="6"/>
      <c r="L4172" s="6"/>
      <c r="M4172" s="6"/>
      <c r="N4172" s="6"/>
      <c r="O4172" s="7"/>
      <c r="P4172" s="6"/>
      <c r="Q4172" s="6"/>
      <c r="R4172" s="7"/>
      <c r="S4172" s="6"/>
      <c r="T4172" s="6"/>
      <c r="U4172" s="7"/>
      <c r="V4172" s="6"/>
      <c r="W4172" s="6"/>
      <c r="X4172" s="12"/>
      <c r="Y4172" s="6"/>
      <c r="Z4172" s="6"/>
      <c r="AA4172" s="7"/>
      <c r="AB4172" s="6"/>
      <c r="AC4172" s="6"/>
      <c r="AD4172" s="6"/>
      <c r="AE4172" s="12"/>
      <c r="AF4172" s="6"/>
      <c r="AG4172" s="12"/>
      <c r="AH4172" s="6"/>
      <c r="AI4172" s="6"/>
      <c r="AJ4172" s="12"/>
      <c r="AK4172" s="1"/>
      <c r="AL4172" s="12"/>
      <c r="AM4172" s="12"/>
      <c r="AN4172" s="1"/>
      <c r="AO4172" s="6"/>
    </row>
    <row r="4173" spans="1:41" ht="15" x14ac:dyDescent="0.25">
      <c r="A4173" s="1"/>
      <c r="B4173" s="1"/>
      <c r="C4173" s="1"/>
      <c r="D4173" s="1"/>
      <c r="E4173" s="6"/>
      <c r="F4173" s="1"/>
      <c r="G4173" s="6"/>
      <c r="H4173" s="6"/>
      <c r="I4173" s="6"/>
      <c r="J4173" s="6"/>
      <c r="K4173" s="6"/>
      <c r="L4173" s="6"/>
      <c r="M4173" s="6"/>
      <c r="N4173" s="6"/>
      <c r="O4173" s="7"/>
      <c r="P4173" s="6"/>
      <c r="Q4173" s="6"/>
      <c r="R4173" s="7"/>
      <c r="S4173" s="6"/>
      <c r="T4173" s="6"/>
      <c r="U4173" s="7"/>
      <c r="V4173" s="6"/>
      <c r="W4173" s="6"/>
      <c r="X4173" s="12"/>
      <c r="Y4173" s="6"/>
      <c r="Z4173" s="6"/>
      <c r="AA4173" s="7"/>
      <c r="AB4173" s="6"/>
      <c r="AC4173" s="6"/>
      <c r="AD4173" s="6"/>
      <c r="AE4173" s="12"/>
      <c r="AF4173" s="6"/>
      <c r="AG4173" s="12"/>
      <c r="AH4173" s="6"/>
      <c r="AI4173" s="6"/>
      <c r="AJ4173" s="12"/>
      <c r="AK4173" s="1"/>
      <c r="AL4173" s="12"/>
      <c r="AM4173" s="12"/>
      <c r="AN4173" s="1"/>
      <c r="AO4173" s="6"/>
    </row>
    <row r="4174" spans="1:41" ht="15" x14ac:dyDescent="0.25">
      <c r="A4174" s="1"/>
      <c r="B4174" s="1"/>
      <c r="C4174" s="1"/>
      <c r="D4174" s="1"/>
      <c r="E4174" s="6"/>
      <c r="F4174" s="1"/>
      <c r="G4174" s="6"/>
      <c r="H4174" s="6"/>
      <c r="I4174" s="6"/>
      <c r="J4174" s="6"/>
      <c r="K4174" s="12"/>
      <c r="L4174" s="12"/>
      <c r="M4174" s="6"/>
      <c r="N4174" s="6"/>
      <c r="O4174" s="7"/>
      <c r="P4174" s="6"/>
      <c r="Q4174" s="6"/>
      <c r="R4174" s="7"/>
      <c r="S4174" s="6"/>
      <c r="T4174" s="6"/>
      <c r="U4174" s="7"/>
      <c r="V4174" s="6"/>
      <c r="W4174" s="6"/>
      <c r="X4174" s="6"/>
      <c r="Y4174" s="6"/>
      <c r="Z4174" s="6"/>
      <c r="AA4174" s="7"/>
      <c r="AB4174" s="6"/>
      <c r="AC4174" s="6"/>
      <c r="AD4174" s="6"/>
      <c r="AE4174" s="12"/>
      <c r="AF4174" s="12"/>
      <c r="AG4174" s="12"/>
      <c r="AH4174" s="12"/>
      <c r="AI4174" s="6"/>
      <c r="AJ4174" s="12"/>
      <c r="AK4174" s="1"/>
      <c r="AL4174" s="12"/>
      <c r="AM4174" s="12"/>
      <c r="AN4174" s="1"/>
      <c r="AO4174" s="6"/>
    </row>
    <row r="4175" spans="1:41" ht="15" x14ac:dyDescent="0.25">
      <c r="A4175" s="1"/>
      <c r="B4175" s="1"/>
      <c r="C4175" s="1"/>
      <c r="D4175" s="1"/>
      <c r="E4175" s="6"/>
      <c r="F4175" s="1"/>
      <c r="G4175" s="6"/>
      <c r="H4175" s="6"/>
      <c r="I4175" s="6"/>
      <c r="J4175" s="6"/>
      <c r="K4175" s="6"/>
      <c r="L4175" s="6"/>
      <c r="M4175" s="6"/>
      <c r="N4175" s="6"/>
      <c r="O4175" s="7"/>
      <c r="P4175" s="6"/>
      <c r="Q4175" s="6"/>
      <c r="R4175" s="7"/>
      <c r="S4175" s="6"/>
      <c r="T4175" s="6"/>
      <c r="U4175" s="7"/>
      <c r="V4175" s="6"/>
      <c r="W4175" s="6"/>
      <c r="X4175" s="12"/>
      <c r="Y4175" s="6"/>
      <c r="Z4175" s="6"/>
      <c r="AA4175" s="7"/>
      <c r="AB4175" s="6"/>
      <c r="AC4175" s="6"/>
      <c r="AD4175" s="6"/>
      <c r="AE4175" s="12"/>
      <c r="AF4175" s="6"/>
      <c r="AG4175" s="12"/>
      <c r="AH4175" s="6"/>
      <c r="AI4175" s="6"/>
      <c r="AJ4175" s="12"/>
      <c r="AK4175" s="1"/>
      <c r="AL4175" s="12"/>
      <c r="AM4175" s="12"/>
      <c r="AN4175" s="1"/>
      <c r="AO4175" s="6"/>
    </row>
    <row r="4176" spans="1:41" ht="15" x14ac:dyDescent="0.25">
      <c r="A4176" s="1"/>
      <c r="B4176" s="1"/>
      <c r="C4176" s="1"/>
      <c r="D4176" s="1"/>
      <c r="E4176" s="6"/>
      <c r="F4176" s="1"/>
      <c r="G4176" s="6"/>
      <c r="H4176" s="6"/>
      <c r="I4176" s="6"/>
      <c r="J4176" s="6"/>
      <c r="K4176" s="6"/>
      <c r="L4176" s="6"/>
      <c r="M4176" s="6"/>
      <c r="N4176" s="6"/>
      <c r="O4176" s="7"/>
      <c r="P4176" s="6"/>
      <c r="Q4176" s="6"/>
      <c r="R4176" s="7"/>
      <c r="S4176" s="6"/>
      <c r="T4176" s="6"/>
      <c r="U4176" s="7"/>
      <c r="V4176" s="6"/>
      <c r="W4176" s="6"/>
      <c r="X4176" s="12"/>
      <c r="Y4176" s="6"/>
      <c r="Z4176" s="6"/>
      <c r="AA4176" s="7"/>
      <c r="AB4176" s="6"/>
      <c r="AC4176" s="6"/>
      <c r="AD4176" s="6"/>
      <c r="AE4176" s="12"/>
      <c r="AF4176" s="6"/>
      <c r="AG4176" s="12"/>
      <c r="AH4176" s="6"/>
      <c r="AI4176" s="6"/>
      <c r="AJ4176" s="12"/>
      <c r="AK4176" s="1"/>
      <c r="AL4176" s="12"/>
      <c r="AM4176" s="12"/>
      <c r="AN4176" s="1"/>
      <c r="AO4176" s="6"/>
    </row>
    <row r="4177" spans="1:41" ht="15" x14ac:dyDescent="0.25">
      <c r="A4177" s="1"/>
      <c r="B4177" s="1"/>
      <c r="C4177" s="1"/>
      <c r="D4177" s="1"/>
      <c r="E4177" s="6"/>
      <c r="F4177" s="1"/>
      <c r="G4177" s="6"/>
      <c r="H4177" s="6"/>
      <c r="I4177" s="6"/>
      <c r="J4177" s="6"/>
      <c r="K4177" s="6"/>
      <c r="L4177" s="6"/>
      <c r="M4177" s="6"/>
      <c r="N4177" s="6"/>
      <c r="O4177" s="7"/>
      <c r="P4177" s="6"/>
      <c r="Q4177" s="6"/>
      <c r="R4177" s="7"/>
      <c r="S4177" s="6"/>
      <c r="T4177" s="6"/>
      <c r="U4177" s="7"/>
      <c r="V4177" s="6"/>
      <c r="W4177" s="6"/>
      <c r="X4177" s="6"/>
      <c r="Y4177" s="6"/>
      <c r="Z4177" s="6"/>
      <c r="AA4177" s="7"/>
      <c r="AB4177" s="6"/>
      <c r="AC4177" s="6"/>
      <c r="AD4177" s="6"/>
      <c r="AE4177" s="12"/>
      <c r="AF4177" s="6"/>
      <c r="AG4177" s="12"/>
      <c r="AH4177" s="6"/>
      <c r="AI4177" s="6"/>
      <c r="AJ4177" s="12"/>
      <c r="AK4177" s="24"/>
      <c r="AL4177" s="25"/>
      <c r="AM4177" s="12"/>
      <c r="AN4177" s="1"/>
      <c r="AO4177" s="6"/>
    </row>
    <row r="4178" spans="1:41" ht="15" x14ac:dyDescent="0.25">
      <c r="A4178" s="1"/>
      <c r="B4178" s="1"/>
      <c r="C4178" s="1"/>
      <c r="D4178" s="1"/>
      <c r="E4178" s="6"/>
      <c r="F4178" s="1"/>
      <c r="G4178" s="6"/>
      <c r="H4178" s="6"/>
      <c r="I4178" s="6"/>
      <c r="J4178" s="6"/>
      <c r="K4178" s="6"/>
      <c r="L4178" s="6"/>
      <c r="M4178" s="6"/>
      <c r="N4178" s="6"/>
      <c r="O4178" s="7"/>
      <c r="P4178" s="6"/>
      <c r="Q4178" s="6"/>
      <c r="R4178" s="7"/>
      <c r="S4178" s="6"/>
      <c r="T4178" s="6"/>
      <c r="U4178" s="7"/>
      <c r="V4178" s="6"/>
      <c r="W4178" s="6"/>
      <c r="X4178" s="6"/>
      <c r="Y4178" s="6"/>
      <c r="Z4178" s="6"/>
      <c r="AA4178" s="7"/>
      <c r="AB4178" s="6"/>
      <c r="AC4178" s="6"/>
      <c r="AD4178" s="6"/>
      <c r="AE4178" s="12"/>
      <c r="AF4178" s="6"/>
      <c r="AG4178" s="12"/>
      <c r="AH4178" s="6"/>
      <c r="AI4178" s="6"/>
      <c r="AJ4178" s="12"/>
      <c r="AK4178" s="24"/>
      <c r="AL4178" s="25"/>
      <c r="AM4178" s="12"/>
      <c r="AN4178" s="1"/>
      <c r="AO4178" s="6"/>
    </row>
    <row r="4179" spans="1:41" ht="15" x14ac:dyDescent="0.25">
      <c r="A4179" s="1"/>
      <c r="B4179" s="1"/>
      <c r="C4179" s="1"/>
      <c r="D4179" s="1"/>
      <c r="E4179" s="6"/>
      <c r="F4179" s="1"/>
      <c r="G4179" s="6"/>
      <c r="H4179" s="6"/>
      <c r="I4179" s="6"/>
      <c r="J4179" s="6"/>
      <c r="K4179" s="12"/>
      <c r="L4179" s="12"/>
      <c r="M4179" s="6"/>
      <c r="N4179" s="6"/>
      <c r="O4179" s="7"/>
      <c r="P4179" s="6"/>
      <c r="Q4179" s="6"/>
      <c r="R4179" s="7"/>
      <c r="S4179" s="6"/>
      <c r="T4179" s="6"/>
      <c r="U4179" s="7"/>
      <c r="V4179" s="6"/>
      <c r="W4179" s="6"/>
      <c r="X4179" s="6"/>
      <c r="Y4179" s="6"/>
      <c r="Z4179" s="6"/>
      <c r="AA4179" s="7"/>
      <c r="AB4179" s="6"/>
      <c r="AC4179" s="6"/>
      <c r="AD4179" s="6"/>
      <c r="AE4179" s="12"/>
      <c r="AF4179" s="12"/>
      <c r="AG4179" s="12"/>
      <c r="AH4179" s="12"/>
      <c r="AI4179" s="6"/>
      <c r="AJ4179" s="12"/>
      <c r="AK4179" s="1"/>
      <c r="AL4179" s="12"/>
      <c r="AM4179" s="12"/>
      <c r="AN4179" s="1"/>
      <c r="AO4179" s="6"/>
    </row>
    <row r="4180" spans="1:41" ht="15" x14ac:dyDescent="0.25">
      <c r="A4180" s="1"/>
      <c r="B4180" s="1"/>
      <c r="C4180" s="1"/>
      <c r="D4180" s="1"/>
      <c r="E4180" s="6"/>
      <c r="F4180" s="1"/>
      <c r="G4180" s="6"/>
      <c r="H4180" s="6"/>
      <c r="I4180" s="6"/>
      <c r="J4180" s="6"/>
      <c r="K4180" s="6"/>
      <c r="L4180" s="6"/>
      <c r="M4180" s="6"/>
      <c r="N4180" s="6"/>
      <c r="O4180" s="7"/>
      <c r="P4180" s="6"/>
      <c r="Q4180" s="6"/>
      <c r="R4180" s="7"/>
      <c r="S4180" s="6"/>
      <c r="T4180" s="6"/>
      <c r="U4180" s="7"/>
      <c r="V4180" s="6"/>
      <c r="W4180" s="6"/>
      <c r="X4180" s="6"/>
      <c r="Y4180" s="6"/>
      <c r="Z4180" s="6"/>
      <c r="AA4180" s="7"/>
      <c r="AB4180" s="6"/>
      <c r="AC4180" s="6"/>
      <c r="AD4180" s="6"/>
      <c r="AE4180" s="12"/>
      <c r="AF4180" s="12"/>
      <c r="AG4180" s="12"/>
      <c r="AH4180" s="12"/>
      <c r="AI4180" s="6"/>
      <c r="AJ4180" s="12"/>
      <c r="AK4180" s="1"/>
      <c r="AL4180" s="12"/>
      <c r="AM4180" s="12"/>
      <c r="AN4180" s="1"/>
      <c r="AO4180" s="6"/>
    </row>
    <row r="4181" spans="1:41" ht="15" x14ac:dyDescent="0.25">
      <c r="A4181" s="1"/>
      <c r="B4181" s="1"/>
      <c r="C4181" s="1"/>
      <c r="D4181" s="1"/>
      <c r="E4181" s="6"/>
      <c r="F4181" s="1"/>
      <c r="G4181" s="6"/>
      <c r="H4181" s="6"/>
      <c r="I4181" s="6"/>
      <c r="J4181" s="6"/>
      <c r="K4181" s="6"/>
      <c r="L4181" s="6"/>
      <c r="M4181" s="6"/>
      <c r="N4181" s="6"/>
      <c r="O4181" s="7"/>
      <c r="P4181" s="6"/>
      <c r="Q4181" s="6"/>
      <c r="R4181" s="7"/>
      <c r="S4181" s="6"/>
      <c r="T4181" s="6"/>
      <c r="U4181" s="7"/>
      <c r="V4181" s="6"/>
      <c r="W4181" s="6"/>
      <c r="X4181" s="6"/>
      <c r="Y4181" s="6"/>
      <c r="Z4181" s="6"/>
      <c r="AA4181" s="7"/>
      <c r="AB4181" s="6"/>
      <c r="AC4181" s="6"/>
      <c r="AD4181" s="6"/>
      <c r="AE4181" s="12"/>
      <c r="AF4181" s="12"/>
      <c r="AG4181" s="12"/>
      <c r="AH4181" s="12"/>
      <c r="AI4181" s="6"/>
      <c r="AJ4181" s="12"/>
      <c r="AK4181" s="1"/>
      <c r="AL4181" s="12"/>
      <c r="AM4181" s="12"/>
      <c r="AN4181" s="1"/>
      <c r="AO4181" s="6"/>
    </row>
    <row r="4182" spans="1:41" ht="15" x14ac:dyDescent="0.25">
      <c r="A4182" s="1"/>
      <c r="B4182" s="1"/>
      <c r="C4182" s="1"/>
      <c r="D4182" s="1"/>
      <c r="E4182" s="6"/>
      <c r="F4182" s="1"/>
      <c r="G4182" s="6"/>
      <c r="H4182" s="6"/>
      <c r="I4182" s="6"/>
      <c r="J4182" s="6"/>
      <c r="K4182" s="6"/>
      <c r="L4182" s="6"/>
      <c r="M4182" s="6"/>
      <c r="N4182" s="6"/>
      <c r="O4182" s="7"/>
      <c r="P4182" s="6"/>
      <c r="Q4182" s="6"/>
      <c r="R4182" s="7"/>
      <c r="S4182" s="6"/>
      <c r="T4182" s="6"/>
      <c r="U4182" s="7"/>
      <c r="V4182" s="6"/>
      <c r="W4182" s="6"/>
      <c r="X4182" s="6"/>
      <c r="Y4182" s="6"/>
      <c r="Z4182" s="6"/>
      <c r="AA4182" s="7"/>
      <c r="AB4182" s="6"/>
      <c r="AC4182" s="6"/>
      <c r="AD4182" s="6"/>
      <c r="AE4182" s="12"/>
      <c r="AF4182" s="12"/>
      <c r="AG4182" s="12"/>
      <c r="AH4182" s="12"/>
      <c r="AI4182" s="6"/>
      <c r="AJ4182" s="12"/>
      <c r="AK4182" s="1"/>
      <c r="AL4182" s="12"/>
      <c r="AM4182" s="12"/>
      <c r="AN4182" s="1"/>
      <c r="AO4182" s="6"/>
    </row>
    <row r="4183" spans="1:41" ht="15" x14ac:dyDescent="0.25">
      <c r="A4183" s="1"/>
      <c r="B4183" s="1"/>
      <c r="C4183" s="1"/>
      <c r="D4183" s="1"/>
      <c r="E4183" s="6"/>
      <c r="F4183" s="1"/>
      <c r="G4183" s="6"/>
      <c r="H4183" s="6"/>
      <c r="I4183" s="6"/>
      <c r="J4183" s="6"/>
      <c r="K4183" s="6"/>
      <c r="L4183" s="6"/>
      <c r="M4183" s="6"/>
      <c r="N4183" s="6"/>
      <c r="O4183" s="7"/>
      <c r="P4183" s="6"/>
      <c r="Q4183" s="6"/>
      <c r="R4183" s="7"/>
      <c r="S4183" s="6"/>
      <c r="T4183" s="6"/>
      <c r="U4183" s="7"/>
      <c r="V4183" s="6"/>
      <c r="W4183" s="6"/>
      <c r="X4183" s="12"/>
      <c r="Y4183" s="6"/>
      <c r="Z4183" s="6"/>
      <c r="AA4183" s="7"/>
      <c r="AB4183" s="6"/>
      <c r="AC4183" s="6"/>
      <c r="AD4183" s="6"/>
      <c r="AE4183" s="12"/>
      <c r="AF4183" s="6"/>
      <c r="AG4183" s="12"/>
      <c r="AH4183" s="6"/>
      <c r="AI4183" s="6"/>
      <c r="AJ4183" s="12"/>
      <c r="AK4183" s="1"/>
      <c r="AL4183" s="12"/>
      <c r="AM4183" s="12"/>
      <c r="AN4183" s="1"/>
      <c r="AO4183" s="6"/>
    </row>
    <row r="4184" spans="1:41" ht="15" x14ac:dyDescent="0.25">
      <c r="A4184" s="1"/>
      <c r="B4184" s="1"/>
      <c r="C4184" s="1"/>
      <c r="D4184" s="1"/>
      <c r="E4184" s="6"/>
      <c r="F4184" s="1"/>
      <c r="G4184" s="6"/>
      <c r="H4184" s="6"/>
      <c r="I4184" s="6"/>
      <c r="J4184" s="6"/>
      <c r="K4184" s="6"/>
      <c r="L4184" s="6"/>
      <c r="M4184" s="6"/>
      <c r="N4184" s="6"/>
      <c r="O4184" s="7"/>
      <c r="P4184" s="6"/>
      <c r="Q4184" s="6"/>
      <c r="R4184" s="7"/>
      <c r="S4184" s="6"/>
      <c r="T4184" s="6"/>
      <c r="U4184" s="7"/>
      <c r="V4184" s="6"/>
      <c r="W4184" s="6"/>
      <c r="X4184" s="12"/>
      <c r="Y4184" s="6"/>
      <c r="Z4184" s="6"/>
      <c r="AA4184" s="7"/>
      <c r="AB4184" s="6"/>
      <c r="AC4184" s="6"/>
      <c r="AD4184" s="6"/>
      <c r="AE4184" s="12"/>
      <c r="AF4184" s="6"/>
      <c r="AG4184" s="12"/>
      <c r="AH4184" s="6"/>
      <c r="AI4184" s="6"/>
      <c r="AJ4184" s="12"/>
      <c r="AK4184" s="1"/>
      <c r="AL4184" s="12"/>
      <c r="AM4184" s="12"/>
      <c r="AN4184" s="1"/>
      <c r="AO4184" s="6"/>
    </row>
    <row r="4185" spans="1:41" ht="15" x14ac:dyDescent="0.25">
      <c r="A4185" s="1"/>
      <c r="B4185" s="1"/>
      <c r="C4185" s="1"/>
      <c r="D4185" s="1"/>
      <c r="E4185" s="6"/>
      <c r="F4185" s="1"/>
      <c r="G4185" s="6"/>
      <c r="H4185" s="6"/>
      <c r="I4185" s="6"/>
      <c r="J4185" s="6"/>
      <c r="K4185" s="6"/>
      <c r="L4185" s="6"/>
      <c r="M4185" s="6"/>
      <c r="N4185" s="6"/>
      <c r="O4185" s="7"/>
      <c r="P4185" s="6"/>
      <c r="Q4185" s="6"/>
      <c r="R4185" s="7"/>
      <c r="S4185" s="6"/>
      <c r="T4185" s="6"/>
      <c r="U4185" s="7"/>
      <c r="V4185" s="6"/>
      <c r="W4185" s="6"/>
      <c r="X4185" s="12"/>
      <c r="Y4185" s="6"/>
      <c r="Z4185" s="6"/>
      <c r="AA4185" s="7"/>
      <c r="AB4185" s="6"/>
      <c r="AC4185" s="6"/>
      <c r="AD4185" s="6"/>
      <c r="AE4185" s="12"/>
      <c r="AF4185" s="6"/>
      <c r="AG4185" s="12"/>
      <c r="AH4185" s="6"/>
      <c r="AI4185" s="6"/>
      <c r="AJ4185" s="12"/>
      <c r="AK4185" s="24"/>
      <c r="AL4185" s="25"/>
      <c r="AM4185" s="12"/>
      <c r="AN4185" s="1"/>
      <c r="AO4185" s="6"/>
    </row>
    <row r="4186" spans="1:41" ht="15" x14ac:dyDescent="0.25">
      <c r="A4186" s="1"/>
      <c r="B4186" s="1"/>
      <c r="C4186" s="1"/>
      <c r="D4186" s="1"/>
      <c r="E4186" s="6"/>
      <c r="F4186" s="1"/>
      <c r="G4186" s="6"/>
      <c r="H4186" s="6"/>
      <c r="I4186" s="6"/>
      <c r="J4186" s="6"/>
      <c r="K4186" s="6"/>
      <c r="L4186" s="6"/>
      <c r="M4186" s="6"/>
      <c r="N4186" s="6"/>
      <c r="O4186" s="7"/>
      <c r="P4186" s="6"/>
      <c r="Q4186" s="6"/>
      <c r="R4186" s="7"/>
      <c r="S4186" s="6"/>
      <c r="T4186" s="6"/>
      <c r="U4186" s="7"/>
      <c r="V4186" s="6"/>
      <c r="W4186" s="6"/>
      <c r="X4186" s="12"/>
      <c r="Y4186" s="6"/>
      <c r="Z4186" s="6"/>
      <c r="AA4186" s="7"/>
      <c r="AB4186" s="6"/>
      <c r="AC4186" s="6"/>
      <c r="AD4186" s="6"/>
      <c r="AE4186" s="12"/>
      <c r="AF4186" s="6"/>
      <c r="AG4186" s="12"/>
      <c r="AH4186" s="6"/>
      <c r="AI4186" s="6"/>
      <c r="AJ4186" s="12"/>
      <c r="AK4186" s="24"/>
      <c r="AL4186" s="25"/>
      <c r="AM4186" s="12"/>
      <c r="AN4186" s="1"/>
      <c r="AO4186" s="6"/>
    </row>
    <row r="4187" spans="1:41" ht="15" x14ac:dyDescent="0.25">
      <c r="A4187" s="1"/>
      <c r="B4187" s="1"/>
      <c r="C4187" s="1"/>
      <c r="D4187" s="1"/>
      <c r="E4187" s="6"/>
      <c r="F4187" s="1"/>
      <c r="G4187" s="6"/>
      <c r="H4187" s="6"/>
      <c r="I4187" s="6"/>
      <c r="J4187" s="6"/>
      <c r="K4187" s="6"/>
      <c r="L4187" s="6"/>
      <c r="M4187" s="6"/>
      <c r="N4187" s="6"/>
      <c r="O4187" s="7"/>
      <c r="P4187" s="6"/>
      <c r="Q4187" s="6"/>
      <c r="R4187" s="15"/>
      <c r="S4187" s="6"/>
      <c r="T4187" s="6"/>
      <c r="U4187" s="7"/>
      <c r="V4187" s="6"/>
      <c r="W4187" s="6"/>
      <c r="X4187" s="6"/>
      <c r="Y4187" s="6"/>
      <c r="Z4187" s="6"/>
      <c r="AA4187" s="7"/>
      <c r="AB4187" s="6"/>
      <c r="AC4187" s="6"/>
      <c r="AD4187" s="6"/>
      <c r="AE4187" s="12"/>
      <c r="AF4187" s="12"/>
      <c r="AG4187" s="12"/>
      <c r="AH4187" s="12"/>
      <c r="AI4187" s="6"/>
      <c r="AJ4187" s="12"/>
      <c r="AK4187" s="1"/>
      <c r="AL4187" s="12"/>
      <c r="AM4187" s="12"/>
      <c r="AN4187" s="1"/>
      <c r="AO4187" s="6"/>
    </row>
    <row r="4188" spans="1:41" ht="15" x14ac:dyDescent="0.25">
      <c r="A4188" s="1"/>
      <c r="B4188" s="1"/>
      <c r="C4188" s="1"/>
      <c r="D4188" s="1"/>
      <c r="E4188" s="6"/>
      <c r="F4188" s="1"/>
      <c r="G4188" s="6"/>
      <c r="H4188" s="6"/>
      <c r="I4188" s="6"/>
      <c r="J4188" s="6"/>
      <c r="K4188" s="6"/>
      <c r="L4188" s="6"/>
      <c r="M4188" s="6"/>
      <c r="N4188" s="6"/>
      <c r="O4188" s="7"/>
      <c r="P4188" s="6"/>
      <c r="Q4188" s="6"/>
      <c r="R4188" s="7"/>
      <c r="S4188" s="6"/>
      <c r="T4188" s="6"/>
      <c r="U4188" s="7"/>
      <c r="V4188" s="6"/>
      <c r="W4188" s="6"/>
      <c r="X4188" s="12"/>
      <c r="Y4188" s="6"/>
      <c r="Z4188" s="6"/>
      <c r="AA4188" s="7"/>
      <c r="AB4188" s="6"/>
      <c r="AC4188" s="6"/>
      <c r="AD4188" s="6"/>
      <c r="AE4188" s="12"/>
      <c r="AF4188" s="12"/>
      <c r="AG4188" s="12"/>
      <c r="AH4188" s="12"/>
      <c r="AI4188" s="6"/>
      <c r="AJ4188" s="12"/>
      <c r="AK4188" s="1"/>
      <c r="AL4188" s="12"/>
      <c r="AM4188" s="12"/>
      <c r="AN4188" s="1"/>
      <c r="AO4188" s="6"/>
    </row>
    <row r="4189" spans="1:41" ht="15" x14ac:dyDescent="0.25">
      <c r="A4189" s="1"/>
      <c r="B4189" s="1"/>
      <c r="C4189" s="1"/>
      <c r="D4189" s="1"/>
      <c r="E4189" s="6"/>
      <c r="F4189" s="1"/>
      <c r="G4189" s="6"/>
      <c r="H4189" s="6"/>
      <c r="I4189" s="6"/>
      <c r="J4189" s="6"/>
      <c r="K4189" s="6"/>
      <c r="L4189" s="6"/>
      <c r="M4189" s="6"/>
      <c r="N4189" s="6"/>
      <c r="O4189" s="7"/>
      <c r="P4189" s="6"/>
      <c r="Q4189" s="6"/>
      <c r="R4189" s="7"/>
      <c r="S4189" s="6"/>
      <c r="T4189" s="6"/>
      <c r="U4189" s="7"/>
      <c r="V4189" s="6"/>
      <c r="W4189" s="6"/>
      <c r="X4189" s="6"/>
      <c r="Y4189" s="6"/>
      <c r="Z4189" s="6"/>
      <c r="AA4189" s="7"/>
      <c r="AB4189" s="6"/>
      <c r="AC4189" s="6"/>
      <c r="AD4189" s="6"/>
      <c r="AE4189" s="12"/>
      <c r="AF4189" s="6"/>
      <c r="AG4189" s="12"/>
      <c r="AH4189" s="6"/>
      <c r="AI4189" s="6"/>
      <c r="AJ4189" s="12"/>
      <c r="AK4189" s="24"/>
      <c r="AL4189" s="25"/>
      <c r="AM4189" s="12"/>
      <c r="AN4189" s="1"/>
      <c r="AO4189" s="6"/>
    </row>
    <row r="4190" spans="1:41" ht="15" x14ac:dyDescent="0.25">
      <c r="A4190" s="1"/>
      <c r="B4190" s="1"/>
      <c r="C4190" s="1"/>
      <c r="D4190" s="1"/>
      <c r="E4190" s="6"/>
      <c r="F4190" s="1"/>
      <c r="G4190" s="6"/>
      <c r="H4190" s="6"/>
      <c r="I4190" s="6"/>
      <c r="J4190" s="6"/>
      <c r="K4190" s="6"/>
      <c r="L4190" s="6"/>
      <c r="M4190" s="6"/>
      <c r="N4190" s="6"/>
      <c r="O4190" s="7"/>
      <c r="P4190" s="6"/>
      <c r="Q4190" s="6"/>
      <c r="R4190" s="7"/>
      <c r="S4190" s="6"/>
      <c r="T4190" s="6"/>
      <c r="U4190" s="7"/>
      <c r="V4190" s="6"/>
      <c r="W4190" s="6"/>
      <c r="X4190" s="6"/>
      <c r="Y4190" s="6"/>
      <c r="Z4190" s="6"/>
      <c r="AA4190" s="7"/>
      <c r="AB4190" s="6"/>
      <c r="AC4190" s="6"/>
      <c r="AD4190" s="6"/>
      <c r="AE4190" s="12"/>
      <c r="AF4190" s="6"/>
      <c r="AG4190" s="12"/>
      <c r="AH4190" s="6"/>
      <c r="AI4190" s="6"/>
      <c r="AJ4190" s="12"/>
      <c r="AK4190" s="24"/>
      <c r="AL4190" s="25"/>
      <c r="AM4190" s="12"/>
      <c r="AN4190" s="1"/>
      <c r="AO4190" s="6"/>
    </row>
    <row r="4191" spans="1:41" ht="15" x14ac:dyDescent="0.25">
      <c r="A4191" s="1"/>
      <c r="B4191" s="1"/>
      <c r="C4191" s="1"/>
      <c r="D4191" s="1"/>
      <c r="E4191" s="6"/>
      <c r="F4191" s="1"/>
      <c r="G4191" s="6"/>
      <c r="H4191" s="6"/>
      <c r="I4191" s="6"/>
      <c r="J4191" s="6"/>
      <c r="K4191" s="6"/>
      <c r="L4191" s="6"/>
      <c r="M4191" s="6"/>
      <c r="N4191" s="6"/>
      <c r="O4191" s="7"/>
      <c r="P4191" s="6"/>
      <c r="Q4191" s="6"/>
      <c r="R4191" s="7"/>
      <c r="S4191" s="6"/>
      <c r="T4191" s="6"/>
      <c r="U4191" s="7"/>
      <c r="V4191" s="6"/>
      <c r="W4191" s="6"/>
      <c r="X4191" s="6"/>
      <c r="Y4191" s="6"/>
      <c r="Z4191" s="6"/>
      <c r="AA4191" s="7"/>
      <c r="AB4191" s="6"/>
      <c r="AC4191" s="6"/>
      <c r="AD4191" s="6"/>
      <c r="AE4191" s="12"/>
      <c r="AF4191" s="6"/>
      <c r="AG4191" s="12"/>
      <c r="AH4191" s="6"/>
      <c r="AI4191" s="6"/>
      <c r="AJ4191" s="12"/>
      <c r="AK4191" s="1"/>
      <c r="AL4191" s="12"/>
      <c r="AM4191" s="12"/>
      <c r="AN4191" s="1"/>
      <c r="AO4191" s="6"/>
    </row>
    <row r="4192" spans="1:41" ht="15" x14ac:dyDescent="0.25">
      <c r="A4192" s="1"/>
      <c r="B4192" s="1"/>
      <c r="C4192" s="1"/>
      <c r="D4192" s="1"/>
      <c r="E4192" s="6"/>
      <c r="F4192" s="1"/>
      <c r="G4192" s="6"/>
      <c r="H4192" s="6"/>
      <c r="I4192" s="6"/>
      <c r="J4192" s="6"/>
      <c r="K4192" s="6"/>
      <c r="L4192" s="6"/>
      <c r="M4192" s="6"/>
      <c r="N4192" s="6"/>
      <c r="O4192" s="7"/>
      <c r="P4192" s="6"/>
      <c r="Q4192" s="6"/>
      <c r="R4192" s="7"/>
      <c r="S4192" s="6"/>
      <c r="T4192" s="6"/>
      <c r="U4192" s="7"/>
      <c r="V4192" s="6"/>
      <c r="W4192" s="6"/>
      <c r="X4192" s="6"/>
      <c r="Y4192" s="6"/>
      <c r="Z4192" s="6"/>
      <c r="AA4192" s="7"/>
      <c r="AB4192" s="6"/>
      <c r="AC4192" s="6"/>
      <c r="AD4192" s="6"/>
      <c r="AE4192" s="12"/>
      <c r="AF4192" s="6"/>
      <c r="AG4192" s="12"/>
      <c r="AH4192" s="6"/>
      <c r="AI4192" s="6"/>
      <c r="AJ4192" s="12"/>
      <c r="AK4192" s="1"/>
      <c r="AL4192" s="12"/>
      <c r="AM4192" s="12"/>
      <c r="AN4192" s="1"/>
      <c r="AO4192" s="6"/>
    </row>
    <row r="4193" spans="1:41" ht="15" x14ac:dyDescent="0.25">
      <c r="A4193" s="1"/>
      <c r="B4193" s="1"/>
      <c r="C4193" s="1"/>
      <c r="D4193" s="1"/>
      <c r="E4193" s="6"/>
      <c r="F4193" s="1"/>
      <c r="G4193" s="6"/>
      <c r="H4193" s="6"/>
      <c r="I4193" s="6"/>
      <c r="J4193" s="6"/>
      <c r="K4193" s="6"/>
      <c r="L4193" s="6"/>
      <c r="M4193" s="6"/>
      <c r="N4193" s="6"/>
      <c r="O4193" s="7"/>
      <c r="P4193" s="6"/>
      <c r="Q4193" s="6"/>
      <c r="R4193" s="7"/>
      <c r="S4193" s="6"/>
      <c r="T4193" s="6"/>
      <c r="U4193" s="7"/>
      <c r="V4193" s="6"/>
      <c r="W4193" s="6"/>
      <c r="X4193" s="6"/>
      <c r="Y4193" s="6"/>
      <c r="Z4193" s="6"/>
      <c r="AA4193" s="7"/>
      <c r="AB4193" s="6"/>
      <c r="AC4193" s="6"/>
      <c r="AD4193" s="6"/>
      <c r="AE4193" s="12"/>
      <c r="AF4193" s="6"/>
      <c r="AG4193" s="12"/>
      <c r="AH4193" s="6"/>
      <c r="AI4193" s="6"/>
      <c r="AJ4193" s="12"/>
      <c r="AK4193" s="24"/>
      <c r="AL4193" s="25"/>
      <c r="AM4193" s="12"/>
      <c r="AN4193" s="1"/>
      <c r="AO4193" s="6"/>
    </row>
    <row r="4194" spans="1:41" ht="15" x14ac:dyDescent="0.25">
      <c r="A4194" s="1"/>
      <c r="B4194" s="1"/>
      <c r="C4194" s="1"/>
      <c r="D4194" s="1"/>
      <c r="E4194" s="6"/>
      <c r="F4194" s="1"/>
      <c r="G4194" s="6"/>
      <c r="H4194" s="6"/>
      <c r="I4194" s="6"/>
      <c r="J4194" s="6"/>
      <c r="K4194" s="6"/>
      <c r="L4194" s="6"/>
      <c r="M4194" s="6"/>
      <c r="N4194" s="6"/>
      <c r="O4194" s="7"/>
      <c r="P4194" s="6"/>
      <c r="Q4194" s="6"/>
      <c r="R4194" s="7"/>
      <c r="S4194" s="6"/>
      <c r="T4194" s="6"/>
      <c r="U4194" s="7"/>
      <c r="V4194" s="6"/>
      <c r="W4194" s="6"/>
      <c r="X4194" s="6"/>
      <c r="Y4194" s="6"/>
      <c r="Z4194" s="6"/>
      <c r="AA4194" s="7"/>
      <c r="AB4194" s="6"/>
      <c r="AC4194" s="6"/>
      <c r="AD4194" s="6"/>
      <c r="AE4194" s="12"/>
      <c r="AF4194" s="6"/>
      <c r="AG4194" s="12"/>
      <c r="AH4194" s="6"/>
      <c r="AI4194" s="6"/>
      <c r="AJ4194" s="12"/>
      <c r="AK4194" s="24"/>
      <c r="AL4194" s="25"/>
      <c r="AM4194" s="12"/>
      <c r="AN4194" s="1"/>
      <c r="AO4194" s="6"/>
    </row>
    <row r="4195" spans="1:41" ht="15" x14ac:dyDescent="0.25">
      <c r="A4195" s="1"/>
      <c r="B4195" s="1"/>
      <c r="C4195" s="1"/>
      <c r="D4195" s="1"/>
      <c r="E4195" s="6"/>
      <c r="F4195" s="1"/>
      <c r="G4195" s="6"/>
      <c r="H4195" s="6"/>
      <c r="I4195" s="6"/>
      <c r="J4195" s="6"/>
      <c r="K4195" s="6"/>
      <c r="L4195" s="6"/>
      <c r="M4195" s="6"/>
      <c r="N4195" s="6"/>
      <c r="O4195" s="7"/>
      <c r="P4195" s="6"/>
      <c r="Q4195" s="6"/>
      <c r="R4195" s="7"/>
      <c r="S4195" s="6"/>
      <c r="T4195" s="6"/>
      <c r="U4195" s="7"/>
      <c r="V4195" s="6"/>
      <c r="W4195" s="6"/>
      <c r="X4195" s="6"/>
      <c r="Y4195" s="6"/>
      <c r="Z4195" s="6"/>
      <c r="AA4195" s="7"/>
      <c r="AB4195" s="6"/>
      <c r="AC4195" s="6"/>
      <c r="AD4195" s="6"/>
      <c r="AE4195" s="12"/>
      <c r="AF4195" s="6"/>
      <c r="AG4195" s="12"/>
      <c r="AH4195" s="6"/>
      <c r="AI4195" s="6"/>
      <c r="AJ4195" s="12"/>
      <c r="AK4195" s="24"/>
      <c r="AL4195" s="25"/>
      <c r="AM4195" s="12"/>
      <c r="AN4195" s="1"/>
      <c r="AO4195" s="6"/>
    </row>
    <row r="4196" spans="1:41" ht="15" x14ac:dyDescent="0.25">
      <c r="A4196" s="1"/>
      <c r="B4196" s="1"/>
      <c r="C4196" s="1"/>
      <c r="D4196" s="1"/>
      <c r="E4196" s="6"/>
      <c r="F4196" s="1"/>
      <c r="G4196" s="6"/>
      <c r="H4196" s="6"/>
      <c r="I4196" s="6"/>
      <c r="J4196" s="6"/>
      <c r="K4196" s="6"/>
      <c r="L4196" s="6"/>
      <c r="M4196" s="6"/>
      <c r="N4196" s="6"/>
      <c r="O4196" s="7"/>
      <c r="P4196" s="6"/>
      <c r="Q4196" s="6"/>
      <c r="R4196" s="7"/>
      <c r="S4196" s="6"/>
      <c r="T4196" s="6"/>
      <c r="U4196" s="7"/>
      <c r="V4196" s="6"/>
      <c r="W4196" s="6"/>
      <c r="X4196" s="6"/>
      <c r="Y4196" s="6"/>
      <c r="Z4196" s="6"/>
      <c r="AA4196" s="7"/>
      <c r="AB4196" s="6"/>
      <c r="AC4196" s="6"/>
      <c r="AD4196" s="6"/>
      <c r="AE4196" s="12"/>
      <c r="AF4196" s="6"/>
      <c r="AG4196" s="12"/>
      <c r="AH4196" s="6"/>
      <c r="AI4196" s="6"/>
      <c r="AJ4196" s="12"/>
      <c r="AK4196" s="24"/>
      <c r="AL4196" s="25"/>
      <c r="AM4196" s="12"/>
      <c r="AN4196" s="1"/>
      <c r="AO4196" s="6"/>
    </row>
    <row r="4197" spans="1:41" ht="15" x14ac:dyDescent="0.25">
      <c r="A4197" s="1"/>
      <c r="B4197" s="1"/>
      <c r="C4197" s="1"/>
      <c r="D4197" s="1"/>
      <c r="E4197" s="6"/>
      <c r="F4197" s="1"/>
      <c r="G4197" s="6"/>
      <c r="H4197" s="6"/>
      <c r="I4197" s="6"/>
      <c r="J4197" s="6"/>
      <c r="K4197" s="12"/>
      <c r="L4197" s="6"/>
      <c r="M4197" s="6"/>
      <c r="N4197" s="6"/>
      <c r="O4197" s="7"/>
      <c r="P4197" s="12"/>
      <c r="Q4197" s="6"/>
      <c r="R4197" s="7"/>
      <c r="S4197" s="6"/>
      <c r="T4197" s="6"/>
      <c r="U4197" s="7"/>
      <c r="V4197" s="6"/>
      <c r="W4197" s="6"/>
      <c r="X4197" s="12"/>
      <c r="Y4197" s="6"/>
      <c r="Z4197" s="6"/>
      <c r="AA4197" s="7"/>
      <c r="AB4197" s="6"/>
      <c r="AC4197" s="6"/>
      <c r="AD4197" s="6"/>
      <c r="AE4197" s="12"/>
      <c r="AF4197" s="6"/>
      <c r="AG4197" s="12"/>
      <c r="AH4197" s="6"/>
      <c r="AI4197" s="6"/>
      <c r="AJ4197" s="12"/>
      <c r="AK4197" s="1"/>
      <c r="AL4197" s="12"/>
      <c r="AM4197" s="12"/>
      <c r="AN4197" s="1"/>
      <c r="AO4197" s="6"/>
    </row>
    <row r="4198" spans="1:41" ht="15" x14ac:dyDescent="0.25">
      <c r="A4198" s="1"/>
      <c r="B4198" s="1"/>
      <c r="C4198" s="1"/>
      <c r="D4198" s="1"/>
      <c r="E4198" s="6"/>
      <c r="F4198" s="1"/>
      <c r="G4198" s="6"/>
      <c r="H4198" s="6"/>
      <c r="I4198" s="6"/>
      <c r="J4198" s="6"/>
      <c r="K4198" s="6"/>
      <c r="L4198" s="6"/>
      <c r="M4198" s="6"/>
      <c r="N4198" s="6"/>
      <c r="O4198" s="7"/>
      <c r="P4198" s="6"/>
      <c r="Q4198" s="6"/>
      <c r="R4198" s="7"/>
      <c r="S4198" s="6"/>
      <c r="T4198" s="6"/>
      <c r="U4198" s="7"/>
      <c r="V4198" s="6"/>
      <c r="W4198" s="6"/>
      <c r="X4198" s="6"/>
      <c r="Y4198" s="6"/>
      <c r="Z4198" s="6"/>
      <c r="AA4198" s="7"/>
      <c r="AB4198" s="6"/>
      <c r="AC4198" s="6"/>
      <c r="AD4198" s="6"/>
      <c r="AE4198" s="12"/>
      <c r="AF4198" s="12"/>
      <c r="AG4198" s="12"/>
      <c r="AH4198" s="12"/>
      <c r="AI4198" s="6"/>
      <c r="AJ4198" s="12"/>
      <c r="AK4198" s="1"/>
      <c r="AL4198" s="12"/>
      <c r="AM4198" s="12"/>
      <c r="AN4198" s="1"/>
      <c r="AO4198" s="6"/>
    </row>
    <row r="4199" spans="1:41" ht="15" x14ac:dyDescent="0.25">
      <c r="A4199" s="1"/>
      <c r="B4199" s="1"/>
      <c r="C4199" s="1"/>
      <c r="D4199" s="1"/>
      <c r="E4199" s="6"/>
      <c r="F4199" s="1"/>
      <c r="G4199" s="6"/>
      <c r="H4199" s="6"/>
      <c r="I4199" s="6"/>
      <c r="J4199" s="6"/>
      <c r="K4199" s="6"/>
      <c r="L4199" s="6"/>
      <c r="M4199" s="6"/>
      <c r="N4199" s="6"/>
      <c r="O4199" s="7"/>
      <c r="P4199" s="6"/>
      <c r="Q4199" s="6"/>
      <c r="R4199" s="12"/>
      <c r="S4199" s="12"/>
      <c r="T4199" s="12"/>
      <c r="U4199" s="7"/>
      <c r="V4199" s="6"/>
      <c r="W4199" s="6"/>
      <c r="X4199" s="12"/>
      <c r="Y4199" s="6"/>
      <c r="Z4199" s="6"/>
      <c r="AA4199" s="7"/>
      <c r="AB4199" s="6"/>
      <c r="AC4199" s="6"/>
      <c r="AD4199" s="6"/>
      <c r="AE4199" s="12"/>
      <c r="AF4199" s="6"/>
      <c r="AG4199" s="12"/>
      <c r="AH4199" s="6"/>
      <c r="AI4199" s="6"/>
      <c r="AJ4199" s="12"/>
      <c r="AK4199" s="1"/>
      <c r="AL4199" s="12"/>
      <c r="AM4199" s="12"/>
      <c r="AN4199" s="1"/>
      <c r="AO4199" s="6"/>
    </row>
    <row r="4200" spans="1:41" ht="15" x14ac:dyDescent="0.25">
      <c r="A4200" s="1"/>
      <c r="B4200" s="1"/>
      <c r="C4200" s="1"/>
      <c r="D4200" s="1"/>
      <c r="E4200" s="6"/>
      <c r="F4200" s="1"/>
      <c r="G4200" s="6"/>
      <c r="H4200" s="6"/>
      <c r="I4200" s="6"/>
      <c r="J4200" s="6"/>
      <c r="K4200" s="6"/>
      <c r="L4200" s="6"/>
      <c r="M4200" s="6"/>
      <c r="N4200" s="6"/>
      <c r="O4200" s="7"/>
      <c r="P4200" s="6"/>
      <c r="Q4200" s="6"/>
      <c r="R4200" s="12"/>
      <c r="S4200" s="12"/>
      <c r="T4200" s="12"/>
      <c r="U4200" s="7"/>
      <c r="V4200" s="6"/>
      <c r="W4200" s="6"/>
      <c r="X4200" s="12"/>
      <c r="Y4200" s="6"/>
      <c r="Z4200" s="6"/>
      <c r="AA4200" s="7"/>
      <c r="AB4200" s="6"/>
      <c r="AC4200" s="6"/>
      <c r="AD4200" s="6"/>
      <c r="AE4200" s="12"/>
      <c r="AF4200" s="6"/>
      <c r="AG4200" s="12"/>
      <c r="AH4200" s="6"/>
      <c r="AI4200" s="6"/>
      <c r="AJ4200" s="12"/>
      <c r="AK4200" s="1"/>
      <c r="AL4200" s="12"/>
      <c r="AM4200" s="12"/>
      <c r="AN4200" s="1"/>
      <c r="AO4200" s="6"/>
    </row>
    <row r="4201" spans="1:41" ht="15" x14ac:dyDescent="0.25">
      <c r="A4201" s="1"/>
      <c r="B4201" s="1"/>
      <c r="C4201" s="1"/>
      <c r="D4201" s="1"/>
      <c r="E4201" s="6"/>
      <c r="F4201" s="1"/>
      <c r="G4201" s="6"/>
      <c r="H4201" s="6"/>
      <c r="I4201" s="6"/>
      <c r="J4201" s="6"/>
      <c r="K4201" s="12"/>
      <c r="L4201" s="12"/>
      <c r="M4201" s="6"/>
      <c r="N4201" s="6"/>
      <c r="O4201" s="7"/>
      <c r="P4201" s="6"/>
      <c r="Q4201" s="6"/>
      <c r="R4201" s="7"/>
      <c r="S4201" s="6"/>
      <c r="T4201" s="6"/>
      <c r="U4201" s="7"/>
      <c r="V4201" s="6"/>
      <c r="W4201" s="6"/>
      <c r="X4201" s="6"/>
      <c r="Y4201" s="6"/>
      <c r="Z4201" s="6"/>
      <c r="AA4201" s="7"/>
      <c r="AB4201" s="6"/>
      <c r="AC4201" s="6"/>
      <c r="AD4201" s="6"/>
      <c r="AE4201" s="12"/>
      <c r="AF4201" s="12"/>
      <c r="AG4201" s="12"/>
      <c r="AH4201" s="12"/>
      <c r="AI4201" s="6"/>
      <c r="AJ4201" s="12"/>
      <c r="AK4201" s="1"/>
      <c r="AL4201" s="12"/>
      <c r="AM4201" s="12"/>
      <c r="AN4201" s="1"/>
      <c r="AO4201" s="6"/>
    </row>
    <row r="4202" spans="1:41" ht="15" x14ac:dyDescent="0.25">
      <c r="A4202" s="1"/>
      <c r="B4202" s="1"/>
      <c r="C4202" s="1"/>
      <c r="D4202" s="1"/>
      <c r="E4202" s="6"/>
      <c r="F4202" s="1"/>
      <c r="G4202" s="6"/>
      <c r="H4202" s="6"/>
      <c r="I4202" s="6"/>
      <c r="J4202" s="6"/>
      <c r="K4202" s="12"/>
      <c r="L4202" s="12"/>
      <c r="M4202" s="6"/>
      <c r="N4202" s="6"/>
      <c r="O4202" s="7"/>
      <c r="P4202" s="6"/>
      <c r="Q4202" s="6"/>
      <c r="R4202" s="7"/>
      <c r="S4202" s="6"/>
      <c r="T4202" s="6"/>
      <c r="U4202" s="7"/>
      <c r="V4202" s="6"/>
      <c r="W4202" s="6"/>
      <c r="X4202" s="12"/>
      <c r="Y4202" s="6"/>
      <c r="Z4202" s="6"/>
      <c r="AA4202" s="7"/>
      <c r="AB4202" s="6"/>
      <c r="AC4202" s="6"/>
      <c r="AD4202" s="6"/>
      <c r="AE4202" s="12"/>
      <c r="AF4202" s="12"/>
      <c r="AG4202" s="12"/>
      <c r="AH4202" s="12"/>
      <c r="AI4202" s="6"/>
      <c r="AJ4202" s="12"/>
      <c r="AK4202" s="1"/>
      <c r="AL4202" s="12"/>
      <c r="AM4202" s="12"/>
      <c r="AN4202" s="1"/>
      <c r="AO4202" s="6"/>
    </row>
    <row r="4203" spans="1:41" ht="15" x14ac:dyDescent="0.25">
      <c r="A4203" s="1"/>
      <c r="B4203" s="1"/>
      <c r="C4203" s="1"/>
      <c r="D4203" s="1"/>
      <c r="E4203" s="6"/>
      <c r="F4203" s="1"/>
      <c r="G4203" s="6"/>
      <c r="H4203" s="6"/>
      <c r="I4203" s="6"/>
      <c r="J4203" s="6"/>
      <c r="K4203" s="6"/>
      <c r="L4203" s="6"/>
      <c r="M4203" s="6"/>
      <c r="N4203" s="6"/>
      <c r="O4203" s="7"/>
      <c r="P4203" s="6"/>
      <c r="Q4203" s="6"/>
      <c r="R4203" s="7"/>
      <c r="S4203" s="6"/>
      <c r="T4203" s="6"/>
      <c r="U4203" s="7"/>
      <c r="V4203" s="6"/>
      <c r="W4203" s="6"/>
      <c r="X4203" s="12"/>
      <c r="Y4203" s="6"/>
      <c r="Z4203" s="6"/>
      <c r="AA4203" s="7"/>
      <c r="AB4203" s="6"/>
      <c r="AC4203" s="6"/>
      <c r="AD4203" s="6"/>
      <c r="AE4203" s="12"/>
      <c r="AF4203" s="12"/>
      <c r="AG4203" s="12"/>
      <c r="AH4203" s="12"/>
      <c r="AI4203" s="6"/>
      <c r="AJ4203" s="12"/>
      <c r="AK4203" s="1"/>
      <c r="AL4203" s="12"/>
      <c r="AM4203" s="12"/>
      <c r="AN4203" s="1"/>
      <c r="AO4203" s="6"/>
    </row>
    <row r="4204" spans="1:41" ht="15" x14ac:dyDescent="0.25">
      <c r="A4204" s="1"/>
      <c r="B4204" s="1"/>
      <c r="C4204" s="1"/>
      <c r="D4204" s="1"/>
      <c r="E4204" s="6"/>
      <c r="F4204" s="1"/>
      <c r="G4204" s="6"/>
      <c r="H4204" s="6"/>
      <c r="I4204" s="6"/>
      <c r="J4204" s="6"/>
      <c r="K4204" s="6"/>
      <c r="L4204" s="6"/>
      <c r="M4204" s="6"/>
      <c r="N4204" s="6"/>
      <c r="O4204" s="7"/>
      <c r="P4204" s="6"/>
      <c r="Q4204" s="6"/>
      <c r="R4204" s="7"/>
      <c r="S4204" s="6"/>
      <c r="T4204" s="6"/>
      <c r="U4204" s="7"/>
      <c r="V4204" s="6"/>
      <c r="W4204" s="6"/>
      <c r="X4204" s="6"/>
      <c r="Y4204" s="6"/>
      <c r="Z4204" s="6"/>
      <c r="AA4204" s="7"/>
      <c r="AB4204" s="6"/>
      <c r="AC4204" s="6"/>
      <c r="AD4204" s="6"/>
      <c r="AE4204" s="12"/>
      <c r="AF4204" s="6"/>
      <c r="AG4204" s="12"/>
      <c r="AH4204" s="6"/>
      <c r="AI4204" s="6"/>
      <c r="AJ4204" s="12"/>
      <c r="AK4204" s="24"/>
      <c r="AL4204" s="25"/>
      <c r="AM4204" s="12"/>
      <c r="AN4204" s="1"/>
      <c r="AO4204" s="6"/>
    </row>
    <row r="4205" spans="1:41" ht="15" x14ac:dyDescent="0.25">
      <c r="A4205" s="1"/>
      <c r="B4205" s="1"/>
      <c r="C4205" s="1"/>
      <c r="D4205" s="1"/>
      <c r="E4205" s="6"/>
      <c r="F4205" s="1"/>
      <c r="G4205" s="6"/>
      <c r="H4205" s="6"/>
      <c r="I4205" s="6"/>
      <c r="J4205" s="6"/>
      <c r="K4205" s="6"/>
      <c r="L4205" s="6"/>
      <c r="M4205" s="6"/>
      <c r="N4205" s="6"/>
      <c r="O4205" s="7"/>
      <c r="P4205" s="6"/>
      <c r="Q4205" s="6"/>
      <c r="R4205" s="7"/>
      <c r="S4205" s="6"/>
      <c r="T4205" s="6"/>
      <c r="U4205" s="7"/>
      <c r="V4205" s="6"/>
      <c r="W4205" s="6"/>
      <c r="X4205" s="6"/>
      <c r="Y4205" s="6"/>
      <c r="Z4205" s="6"/>
      <c r="AA4205" s="7"/>
      <c r="AB4205" s="6"/>
      <c r="AC4205" s="6"/>
      <c r="AD4205" s="6"/>
      <c r="AE4205" s="12"/>
      <c r="AF4205" s="6"/>
      <c r="AG4205" s="12"/>
      <c r="AH4205" s="6"/>
      <c r="AI4205" s="6"/>
      <c r="AJ4205" s="12"/>
      <c r="AK4205" s="24"/>
      <c r="AL4205" s="25"/>
      <c r="AM4205" s="12"/>
      <c r="AN4205" s="1"/>
      <c r="AO4205" s="6"/>
    </row>
    <row r="4206" spans="1:41" ht="15" x14ac:dyDescent="0.25">
      <c r="A4206" s="1"/>
      <c r="B4206" s="1"/>
      <c r="C4206" s="1"/>
      <c r="D4206" s="1"/>
      <c r="E4206" s="6"/>
      <c r="F4206" s="1"/>
      <c r="G4206" s="6"/>
      <c r="H4206" s="6"/>
      <c r="I4206" s="6"/>
      <c r="J4206" s="6"/>
      <c r="K4206" s="6"/>
      <c r="L4206" s="6"/>
      <c r="M4206" s="6"/>
      <c r="N4206" s="6"/>
      <c r="O4206" s="7"/>
      <c r="P4206" s="6"/>
      <c r="Q4206" s="6"/>
      <c r="R4206" s="7"/>
      <c r="S4206" s="6"/>
      <c r="T4206" s="6"/>
      <c r="U4206" s="7"/>
      <c r="V4206" s="6"/>
      <c r="W4206" s="6"/>
      <c r="X4206" s="6"/>
      <c r="Y4206" s="6"/>
      <c r="Z4206" s="6"/>
      <c r="AA4206" s="7"/>
      <c r="AB4206" s="6"/>
      <c r="AC4206" s="6"/>
      <c r="AD4206" s="6"/>
      <c r="AE4206" s="12"/>
      <c r="AF4206" s="6"/>
      <c r="AG4206" s="12"/>
      <c r="AH4206" s="6"/>
      <c r="AI4206" s="6"/>
      <c r="AJ4206" s="12"/>
      <c r="AK4206" s="24"/>
      <c r="AL4206" s="25"/>
      <c r="AM4206" s="12"/>
      <c r="AN4206" s="1"/>
      <c r="AO4206" s="6"/>
    </row>
    <row r="4207" spans="1:41" ht="15" x14ac:dyDescent="0.25">
      <c r="A4207" s="1"/>
      <c r="B4207" s="1"/>
      <c r="C4207" s="1"/>
      <c r="D4207" s="1"/>
      <c r="E4207" s="6"/>
      <c r="F4207" s="1"/>
      <c r="G4207" s="6"/>
      <c r="H4207" s="6"/>
      <c r="I4207" s="6"/>
      <c r="J4207" s="6"/>
      <c r="K4207" s="6"/>
      <c r="L4207" s="6"/>
      <c r="M4207" s="6"/>
      <c r="N4207" s="6"/>
      <c r="O4207" s="7"/>
      <c r="P4207" s="6"/>
      <c r="Q4207" s="6"/>
      <c r="R4207" s="7"/>
      <c r="S4207" s="6"/>
      <c r="T4207" s="6"/>
      <c r="U4207" s="7"/>
      <c r="V4207" s="6"/>
      <c r="W4207" s="6"/>
      <c r="X4207" s="12"/>
      <c r="Y4207" s="6"/>
      <c r="Z4207" s="6"/>
      <c r="AA4207" s="7"/>
      <c r="AB4207" s="6"/>
      <c r="AC4207" s="6"/>
      <c r="AD4207" s="6"/>
      <c r="AE4207" s="12"/>
      <c r="AF4207" s="6"/>
      <c r="AG4207" s="12"/>
      <c r="AH4207" s="6"/>
      <c r="AI4207" s="6"/>
      <c r="AJ4207" s="12"/>
      <c r="AK4207" s="1"/>
      <c r="AL4207" s="12"/>
      <c r="AM4207" s="12"/>
      <c r="AN4207" s="1"/>
      <c r="AO4207" s="6"/>
    </row>
    <row r="4208" spans="1:41" ht="15" x14ac:dyDescent="0.25">
      <c r="A4208" s="1"/>
      <c r="B4208" s="1"/>
      <c r="C4208" s="1"/>
      <c r="D4208" s="1"/>
      <c r="E4208" s="6"/>
      <c r="F4208" s="1"/>
      <c r="G4208" s="6"/>
      <c r="H4208" s="6"/>
      <c r="I4208" s="6"/>
      <c r="J4208" s="6"/>
      <c r="K4208" s="6"/>
      <c r="L4208" s="6"/>
      <c r="M4208" s="6"/>
      <c r="N4208" s="6"/>
      <c r="O4208" s="7"/>
      <c r="P4208" s="6"/>
      <c r="Q4208" s="6"/>
      <c r="R4208" s="7"/>
      <c r="S4208" s="6"/>
      <c r="T4208" s="6"/>
      <c r="U4208" s="7"/>
      <c r="V4208" s="6"/>
      <c r="W4208" s="6"/>
      <c r="X4208" s="6"/>
      <c r="Y4208" s="6"/>
      <c r="Z4208" s="6"/>
      <c r="AA4208" s="7"/>
      <c r="AB4208" s="6"/>
      <c r="AC4208" s="6"/>
      <c r="AD4208" s="6"/>
      <c r="AE4208" s="12"/>
      <c r="AF4208" s="6"/>
      <c r="AG4208" s="12"/>
      <c r="AH4208" s="6"/>
      <c r="AI4208" s="6"/>
      <c r="AJ4208" s="12"/>
      <c r="AK4208" s="1"/>
      <c r="AL4208" s="12"/>
      <c r="AM4208" s="12"/>
      <c r="AN4208" s="1"/>
      <c r="AO4208" s="6"/>
    </row>
    <row r="4209" spans="1:41" ht="15" x14ac:dyDescent="0.25">
      <c r="A4209" s="1"/>
      <c r="B4209" s="1"/>
      <c r="C4209" s="1"/>
      <c r="D4209" s="1"/>
      <c r="E4209" s="6"/>
      <c r="F4209" s="1"/>
      <c r="G4209" s="6"/>
      <c r="H4209" s="6"/>
      <c r="I4209" s="6"/>
      <c r="J4209" s="6"/>
      <c r="K4209" s="6"/>
      <c r="L4209" s="6"/>
      <c r="M4209" s="6"/>
      <c r="N4209" s="6"/>
      <c r="O4209" s="7"/>
      <c r="P4209" s="6"/>
      <c r="Q4209" s="6"/>
      <c r="R4209" s="7"/>
      <c r="S4209" s="6"/>
      <c r="T4209" s="6"/>
      <c r="U4209" s="6"/>
      <c r="V4209" s="6"/>
      <c r="W4209" s="6"/>
      <c r="X4209" s="7"/>
      <c r="Y4209" s="6"/>
      <c r="Z4209" s="6"/>
      <c r="AA4209" s="7"/>
      <c r="AB4209" s="6"/>
      <c r="AC4209" s="6"/>
      <c r="AD4209" s="6"/>
      <c r="AE4209" s="12"/>
      <c r="AF4209" s="6"/>
      <c r="AG4209" s="12"/>
      <c r="AH4209" s="6"/>
      <c r="AI4209" s="6"/>
      <c r="AJ4209" s="12"/>
      <c r="AK4209" s="6"/>
      <c r="AL4209" s="12"/>
      <c r="AM4209" s="12"/>
      <c r="AN4209" s="1"/>
      <c r="AO4209" s="6"/>
    </row>
    <row r="4210" spans="1:41" ht="15" x14ac:dyDescent="0.25">
      <c r="A4210" s="1"/>
      <c r="B4210" s="1"/>
      <c r="C4210" s="1"/>
      <c r="D4210" s="1"/>
      <c r="E4210" s="6"/>
      <c r="F4210" s="1"/>
      <c r="G4210" s="6"/>
      <c r="H4210" s="6"/>
      <c r="I4210" s="6"/>
      <c r="J4210" s="6"/>
      <c r="K4210" s="6"/>
      <c r="L4210" s="6"/>
      <c r="M4210" s="6"/>
      <c r="N4210" s="6"/>
      <c r="O4210" s="7"/>
      <c r="P4210" s="6"/>
      <c r="Q4210" s="6"/>
      <c r="R4210" s="7"/>
      <c r="S4210" s="6"/>
      <c r="T4210" s="6"/>
      <c r="U4210" s="7"/>
      <c r="V4210" s="6"/>
      <c r="W4210" s="6"/>
      <c r="X4210" s="6"/>
      <c r="Y4210" s="6"/>
      <c r="Z4210" s="6"/>
      <c r="AA4210" s="7"/>
      <c r="AB4210" s="6"/>
      <c r="AC4210" s="6"/>
      <c r="AD4210" s="6"/>
      <c r="AE4210" s="12"/>
      <c r="AF4210" s="6"/>
      <c r="AG4210" s="12"/>
      <c r="AH4210" s="6"/>
      <c r="AI4210" s="6"/>
      <c r="AJ4210" s="12"/>
      <c r="AK4210" s="1"/>
      <c r="AL4210" s="12"/>
      <c r="AM4210" s="12"/>
      <c r="AN4210" s="1"/>
      <c r="AO4210" s="6"/>
    </row>
    <row r="4211" spans="1:41" ht="15" x14ac:dyDescent="0.25">
      <c r="A4211" s="1"/>
      <c r="B4211" s="1"/>
      <c r="C4211" s="1"/>
      <c r="D4211" s="1"/>
      <c r="E4211" s="6"/>
      <c r="F4211" s="1"/>
      <c r="G4211" s="6"/>
      <c r="H4211" s="6"/>
      <c r="I4211" s="6"/>
      <c r="J4211" s="6"/>
      <c r="K4211" s="6"/>
      <c r="L4211" s="6"/>
      <c r="M4211" s="6"/>
      <c r="N4211" s="6"/>
      <c r="O4211" s="7"/>
      <c r="P4211" s="6"/>
      <c r="Q4211" s="6"/>
      <c r="R4211" s="7"/>
      <c r="S4211" s="6"/>
      <c r="T4211" s="6"/>
      <c r="U4211" s="7"/>
      <c r="V4211" s="6"/>
      <c r="W4211" s="6"/>
      <c r="X4211" s="6"/>
      <c r="Y4211" s="6"/>
      <c r="Z4211" s="6"/>
      <c r="AA4211" s="7"/>
      <c r="AB4211" s="6"/>
      <c r="AC4211" s="6"/>
      <c r="AD4211" s="6"/>
      <c r="AE4211" s="12"/>
      <c r="AF4211" s="6"/>
      <c r="AG4211" s="12"/>
      <c r="AH4211" s="6"/>
      <c r="AI4211" s="6"/>
      <c r="AJ4211" s="12"/>
      <c r="AK4211" s="1"/>
      <c r="AL4211" s="12"/>
      <c r="AM4211" s="12"/>
      <c r="AN4211" s="1"/>
      <c r="AO4211" s="6"/>
    </row>
    <row r="4212" spans="1:41" ht="15" x14ac:dyDescent="0.25">
      <c r="A4212" s="1"/>
      <c r="B4212" s="1"/>
      <c r="C4212" s="1"/>
      <c r="D4212" s="1"/>
      <c r="E4212" s="6"/>
      <c r="F4212" s="1"/>
      <c r="G4212" s="6"/>
      <c r="H4212" s="6"/>
      <c r="I4212" s="6"/>
      <c r="J4212" s="6"/>
      <c r="K4212" s="6"/>
      <c r="L4212" s="6"/>
      <c r="M4212" s="6"/>
      <c r="N4212" s="6"/>
      <c r="O4212" s="7"/>
      <c r="P4212" s="6"/>
      <c r="Q4212" s="6"/>
      <c r="R4212" s="7"/>
      <c r="S4212" s="6"/>
      <c r="T4212" s="6"/>
      <c r="U4212" s="7"/>
      <c r="V4212" s="6"/>
      <c r="W4212" s="6"/>
      <c r="X4212" s="12"/>
      <c r="Y4212" s="6"/>
      <c r="Z4212" s="6"/>
      <c r="AA4212" s="7"/>
      <c r="AB4212" s="6"/>
      <c r="AC4212" s="6"/>
      <c r="AD4212" s="6"/>
      <c r="AE4212" s="12"/>
      <c r="AF4212" s="6"/>
      <c r="AG4212" s="12"/>
      <c r="AH4212" s="6"/>
      <c r="AI4212" s="6"/>
      <c r="AJ4212" s="12"/>
      <c r="AK4212" s="24"/>
      <c r="AL4212" s="25"/>
      <c r="AM4212" s="12"/>
      <c r="AN4212" s="1"/>
      <c r="AO4212" s="6"/>
    </row>
    <row r="4213" spans="1:41" ht="15" x14ac:dyDescent="0.25">
      <c r="A4213" s="1"/>
      <c r="B4213" s="1"/>
      <c r="C4213" s="1"/>
      <c r="D4213" s="1"/>
      <c r="E4213" s="6"/>
      <c r="F4213" s="1"/>
      <c r="G4213" s="6"/>
      <c r="H4213" s="6"/>
      <c r="I4213" s="6"/>
      <c r="J4213" s="6"/>
      <c r="K4213" s="6"/>
      <c r="L4213" s="6"/>
      <c r="M4213" s="6"/>
      <c r="N4213" s="6"/>
      <c r="O4213" s="7"/>
      <c r="P4213" s="6"/>
      <c r="Q4213" s="6"/>
      <c r="R4213" s="7"/>
      <c r="S4213" s="6"/>
      <c r="T4213" s="6"/>
      <c r="U4213" s="7"/>
      <c r="V4213" s="6"/>
      <c r="W4213" s="6"/>
      <c r="X4213" s="6"/>
      <c r="Y4213" s="6"/>
      <c r="Z4213" s="6"/>
      <c r="AA4213" s="7"/>
      <c r="AB4213" s="6"/>
      <c r="AC4213" s="6"/>
      <c r="AD4213" s="6"/>
      <c r="AE4213" s="12"/>
      <c r="AF4213" s="6"/>
      <c r="AG4213" s="12"/>
      <c r="AH4213" s="6"/>
      <c r="AI4213" s="6"/>
      <c r="AJ4213" s="12"/>
      <c r="AK4213" s="24"/>
      <c r="AL4213" s="25"/>
      <c r="AM4213" s="12"/>
      <c r="AN4213" s="1"/>
      <c r="AO4213" s="6"/>
    </row>
    <row r="4214" spans="1:41" ht="15" x14ac:dyDescent="0.25">
      <c r="A4214" s="1"/>
      <c r="B4214" s="1"/>
      <c r="C4214" s="1"/>
      <c r="D4214" s="1"/>
      <c r="E4214" s="6"/>
      <c r="F4214" s="1"/>
      <c r="G4214" s="6"/>
      <c r="H4214" s="6"/>
      <c r="I4214" s="6"/>
      <c r="J4214" s="6"/>
      <c r="K4214" s="6"/>
      <c r="L4214" s="6"/>
      <c r="M4214" s="6"/>
      <c r="N4214" s="6"/>
      <c r="O4214" s="7"/>
      <c r="P4214" s="6"/>
      <c r="Q4214" s="6"/>
      <c r="R4214" s="7"/>
      <c r="S4214" s="6"/>
      <c r="T4214" s="6"/>
      <c r="U4214" s="7"/>
      <c r="V4214" s="6"/>
      <c r="W4214" s="6"/>
      <c r="X4214" s="12"/>
      <c r="Y4214" s="6"/>
      <c r="Z4214" s="6"/>
      <c r="AA4214" s="7"/>
      <c r="AB4214" s="6"/>
      <c r="AC4214" s="6"/>
      <c r="AD4214" s="6"/>
      <c r="AE4214" s="12"/>
      <c r="AF4214" s="6"/>
      <c r="AG4214" s="12"/>
      <c r="AH4214" s="6"/>
      <c r="AI4214" s="6"/>
      <c r="AJ4214" s="12"/>
      <c r="AK4214" s="24"/>
      <c r="AL4214" s="25"/>
      <c r="AM4214" s="12"/>
      <c r="AN4214" s="1"/>
      <c r="AO4214" s="6"/>
    </row>
    <row r="4215" spans="1:41" ht="15" x14ac:dyDescent="0.25">
      <c r="A4215" s="1"/>
      <c r="B4215" s="1"/>
      <c r="C4215" s="1"/>
      <c r="D4215" s="1"/>
      <c r="E4215" s="6"/>
      <c r="F4215" s="1"/>
      <c r="G4215" s="6"/>
      <c r="H4215" s="6"/>
      <c r="I4215" s="6"/>
      <c r="J4215" s="6"/>
      <c r="K4215" s="6"/>
      <c r="L4215" s="6"/>
      <c r="M4215" s="6"/>
      <c r="N4215" s="6"/>
      <c r="O4215" s="7"/>
      <c r="P4215" s="6"/>
      <c r="Q4215" s="6"/>
      <c r="R4215" s="7"/>
      <c r="S4215" s="6"/>
      <c r="T4215" s="6"/>
      <c r="U4215" s="7"/>
      <c r="V4215" s="6"/>
      <c r="W4215" s="6"/>
      <c r="X4215" s="6"/>
      <c r="Y4215" s="6"/>
      <c r="Z4215" s="6"/>
      <c r="AA4215" s="7"/>
      <c r="AB4215" s="6"/>
      <c r="AC4215" s="6"/>
      <c r="AD4215" s="6"/>
      <c r="AE4215" s="12"/>
      <c r="AF4215" s="6"/>
      <c r="AG4215" s="12"/>
      <c r="AH4215" s="6"/>
      <c r="AI4215" s="6"/>
      <c r="AJ4215" s="12"/>
      <c r="AK4215" s="24"/>
      <c r="AL4215" s="25"/>
      <c r="AM4215" s="12"/>
      <c r="AN4215" s="1"/>
      <c r="AO4215" s="6"/>
    </row>
    <row r="4216" spans="1:41" ht="15" x14ac:dyDescent="0.25">
      <c r="A4216" s="1"/>
      <c r="B4216" s="1"/>
      <c r="C4216" s="1"/>
      <c r="D4216" s="1"/>
      <c r="E4216" s="6"/>
      <c r="F4216" s="1"/>
      <c r="G4216" s="6"/>
      <c r="H4216" s="6"/>
      <c r="I4216" s="6"/>
      <c r="J4216" s="6"/>
      <c r="K4216" s="6"/>
      <c r="L4216" s="6"/>
      <c r="M4216" s="6"/>
      <c r="N4216" s="6"/>
      <c r="O4216" s="7"/>
      <c r="P4216" s="6"/>
      <c r="Q4216" s="6"/>
      <c r="R4216" s="7"/>
      <c r="S4216" s="6"/>
      <c r="T4216" s="6"/>
      <c r="U4216" s="7"/>
      <c r="V4216" s="6"/>
      <c r="W4216" s="6"/>
      <c r="X4216" s="6"/>
      <c r="Y4216" s="6"/>
      <c r="Z4216" s="6"/>
      <c r="AA4216" s="7"/>
      <c r="AB4216" s="6"/>
      <c r="AC4216" s="6"/>
      <c r="AD4216" s="6"/>
      <c r="AE4216" s="12"/>
      <c r="AF4216" s="6"/>
      <c r="AG4216" s="12"/>
      <c r="AH4216" s="6"/>
      <c r="AI4216" s="6"/>
      <c r="AJ4216" s="12"/>
      <c r="AK4216" s="1"/>
      <c r="AL4216" s="12"/>
      <c r="AM4216" s="12"/>
      <c r="AN4216" s="1"/>
      <c r="AO4216" s="6"/>
    </row>
    <row r="4217" spans="1:41" ht="15" x14ac:dyDescent="0.25">
      <c r="A4217" s="1"/>
      <c r="B4217" s="1"/>
      <c r="C4217" s="1"/>
      <c r="D4217" s="1"/>
      <c r="E4217" s="6"/>
      <c r="F4217" s="1"/>
      <c r="G4217" s="6"/>
      <c r="H4217" s="6"/>
      <c r="I4217" s="6"/>
      <c r="J4217" s="6"/>
      <c r="K4217" s="6"/>
      <c r="L4217" s="6"/>
      <c r="M4217" s="6"/>
      <c r="N4217" s="6"/>
      <c r="O4217" s="7"/>
      <c r="P4217" s="6"/>
      <c r="Q4217" s="7"/>
      <c r="R4217" s="6"/>
      <c r="S4217" s="6"/>
      <c r="T4217" s="6"/>
      <c r="U4217" s="6"/>
      <c r="V4217" s="7"/>
      <c r="W4217" s="6"/>
      <c r="X4217" s="6"/>
      <c r="Y4217" s="6"/>
      <c r="Z4217" s="6"/>
      <c r="AA4217" s="24"/>
      <c r="AB4217" s="25"/>
      <c r="AC4217" s="12"/>
      <c r="AD4217" s="12"/>
      <c r="AE4217" s="12"/>
      <c r="AF4217" s="6"/>
      <c r="AG4217" s="12"/>
      <c r="AH4217" s="6"/>
      <c r="AI4217" s="6"/>
      <c r="AJ4217" s="12"/>
      <c r="AK4217" s="12"/>
      <c r="AL4217" s="12"/>
      <c r="AM4217" s="12"/>
      <c r="AN4217" s="1"/>
      <c r="AO4217" s="6"/>
    </row>
    <row r="4218" spans="1:41" ht="15" x14ac:dyDescent="0.25">
      <c r="A4218" s="1"/>
      <c r="B4218" s="1"/>
      <c r="C4218" s="1"/>
      <c r="D4218" s="1"/>
      <c r="E4218" s="6"/>
      <c r="F4218" s="1"/>
      <c r="G4218" s="6"/>
      <c r="H4218" s="6"/>
      <c r="I4218" s="6"/>
      <c r="J4218" s="6"/>
      <c r="K4218" s="6"/>
      <c r="L4218" s="6"/>
      <c r="M4218" s="6"/>
      <c r="N4218" s="6"/>
      <c r="O4218" s="7"/>
      <c r="P4218" s="6"/>
      <c r="Q4218" s="7"/>
      <c r="R4218" s="6"/>
      <c r="S4218" s="6"/>
      <c r="T4218" s="6"/>
      <c r="U4218" s="6"/>
      <c r="V4218" s="7"/>
      <c r="W4218" s="6"/>
      <c r="X4218" s="6"/>
      <c r="Y4218" s="6"/>
      <c r="Z4218" s="6"/>
      <c r="AA4218" s="24"/>
      <c r="AB4218" s="25"/>
      <c r="AC4218" s="12"/>
      <c r="AD4218" s="12"/>
      <c r="AE4218" s="12"/>
      <c r="AF4218" s="6"/>
      <c r="AG4218" s="12"/>
      <c r="AH4218" s="6"/>
      <c r="AI4218" s="6"/>
      <c r="AJ4218" s="12"/>
      <c r="AK4218" s="12"/>
      <c r="AL4218" s="12"/>
      <c r="AM4218" s="12"/>
      <c r="AN4218" s="1"/>
      <c r="AO4218" s="6"/>
    </row>
    <row r="4219" spans="1:41" ht="15" x14ac:dyDescent="0.25">
      <c r="A4219" s="1"/>
      <c r="B4219" s="1"/>
      <c r="C4219" s="1"/>
      <c r="D4219" s="1"/>
      <c r="E4219" s="6"/>
      <c r="F4219" s="1"/>
      <c r="G4219" s="6"/>
      <c r="H4219" s="6"/>
      <c r="I4219" s="6"/>
      <c r="J4219" s="6"/>
      <c r="K4219" s="6"/>
      <c r="L4219" s="6"/>
      <c r="M4219" s="6"/>
      <c r="N4219" s="6"/>
      <c r="O4219" s="7"/>
      <c r="P4219" s="6"/>
      <c r="Q4219" s="6"/>
      <c r="R4219" s="7"/>
      <c r="S4219" s="6"/>
      <c r="T4219" s="6"/>
      <c r="U4219" s="6"/>
      <c r="V4219" s="6"/>
      <c r="W4219" s="6"/>
      <c r="X4219" s="7"/>
      <c r="Y4219" s="6"/>
      <c r="Z4219" s="6"/>
      <c r="AA4219" s="7"/>
      <c r="AB4219" s="6"/>
      <c r="AC4219" s="6"/>
      <c r="AD4219" s="6"/>
      <c r="AE4219" s="12"/>
      <c r="AF4219" s="6"/>
      <c r="AG4219" s="12"/>
      <c r="AH4219" s="6"/>
      <c r="AI4219" s="6"/>
      <c r="AJ4219" s="12"/>
      <c r="AK4219" s="6"/>
      <c r="AL4219" s="12"/>
      <c r="AM4219" s="12"/>
      <c r="AN4219" s="1"/>
      <c r="AO4219" s="6"/>
    </row>
    <row r="4220" spans="1:41" ht="15" x14ac:dyDescent="0.25">
      <c r="A4220" s="1"/>
      <c r="B4220" s="1"/>
      <c r="C4220" s="1"/>
      <c r="D4220" s="1"/>
      <c r="E4220" s="6"/>
      <c r="F4220" s="1"/>
      <c r="G4220" s="6"/>
      <c r="H4220" s="6"/>
      <c r="I4220" s="6"/>
      <c r="J4220" s="6"/>
      <c r="K4220" s="6"/>
      <c r="L4220" s="6"/>
      <c r="M4220" s="6"/>
      <c r="N4220" s="6"/>
      <c r="O4220" s="7"/>
      <c r="P4220" s="6"/>
      <c r="Q4220" s="6"/>
      <c r="R4220" s="7"/>
      <c r="S4220" s="6"/>
      <c r="T4220" s="12"/>
      <c r="U4220" s="6"/>
      <c r="V4220" s="6"/>
      <c r="W4220" s="6"/>
      <c r="X4220" s="7"/>
      <c r="Y4220" s="6"/>
      <c r="Z4220" s="6"/>
      <c r="AA4220" s="7"/>
      <c r="AB4220" s="6"/>
      <c r="AC4220" s="6"/>
      <c r="AD4220" s="6"/>
      <c r="AE4220" s="12"/>
      <c r="AF4220" s="6"/>
      <c r="AG4220" s="12"/>
      <c r="AH4220" s="6"/>
      <c r="AI4220" s="6"/>
      <c r="AJ4220" s="12"/>
      <c r="AK4220" s="6"/>
      <c r="AL4220" s="12"/>
      <c r="AM4220" s="12"/>
      <c r="AN4220" s="1"/>
      <c r="AO4220" s="6"/>
    </row>
    <row r="4221" spans="1:41" ht="15" x14ac:dyDescent="0.25">
      <c r="A4221" s="1"/>
      <c r="B4221" s="1"/>
      <c r="C4221" s="1"/>
      <c r="D4221" s="1"/>
      <c r="E4221" s="6"/>
      <c r="F4221" s="1"/>
      <c r="G4221" s="6"/>
      <c r="H4221" s="6"/>
      <c r="I4221" s="6"/>
      <c r="J4221" s="6"/>
      <c r="K4221" s="6"/>
      <c r="L4221" s="6"/>
      <c r="M4221" s="6"/>
      <c r="N4221" s="6"/>
      <c r="O4221" s="7"/>
      <c r="P4221" s="6"/>
      <c r="Q4221" s="7"/>
      <c r="R4221" s="6"/>
      <c r="S4221" s="6"/>
      <c r="T4221" s="6"/>
      <c r="U4221" s="6"/>
      <c r="V4221" s="7"/>
      <c r="W4221" s="6"/>
      <c r="X4221" s="6"/>
      <c r="Y4221" s="6"/>
      <c r="Z4221" s="6"/>
      <c r="AA4221" s="24"/>
      <c r="AB4221" s="25"/>
      <c r="AC4221" s="12"/>
      <c r="AD4221" s="12"/>
      <c r="AE4221" s="12"/>
      <c r="AF4221" s="6"/>
      <c r="AG4221" s="12"/>
      <c r="AH4221" s="6"/>
      <c r="AI4221" s="6"/>
      <c r="AJ4221" s="12"/>
      <c r="AK4221" s="12"/>
      <c r="AL4221" s="12"/>
      <c r="AM4221" s="12"/>
      <c r="AN4221" s="1"/>
      <c r="AO4221" s="6"/>
    </row>
    <row r="4222" spans="1:41" ht="15" x14ac:dyDescent="0.25">
      <c r="A4222" s="1"/>
      <c r="B4222" s="1"/>
      <c r="C4222" s="1"/>
      <c r="D4222" s="1"/>
      <c r="E4222" s="6"/>
      <c r="F4222" s="1"/>
      <c r="G4222" s="6"/>
      <c r="H4222" s="6"/>
      <c r="I4222" s="6"/>
      <c r="J4222" s="6"/>
      <c r="K4222" s="6"/>
      <c r="L4222" s="6"/>
      <c r="M4222" s="6"/>
      <c r="N4222" s="6"/>
      <c r="O4222" s="7"/>
      <c r="P4222" s="6"/>
      <c r="Q4222" s="7"/>
      <c r="R4222" s="6"/>
      <c r="S4222" s="6"/>
      <c r="T4222" s="6"/>
      <c r="U4222" s="6"/>
      <c r="V4222" s="7"/>
      <c r="W4222" s="6"/>
      <c r="X4222" s="6"/>
      <c r="Y4222" s="6"/>
      <c r="Z4222" s="6"/>
      <c r="AA4222" s="1"/>
      <c r="AB4222" s="12"/>
      <c r="AC4222" s="12"/>
      <c r="AD4222" s="12"/>
      <c r="AE4222" s="12"/>
      <c r="AF4222" s="6"/>
      <c r="AG4222" s="12"/>
      <c r="AH4222" s="6"/>
      <c r="AI4222" s="6"/>
      <c r="AJ4222" s="12"/>
      <c r="AK4222" s="12"/>
      <c r="AL4222" s="12"/>
      <c r="AM4222" s="12"/>
      <c r="AN4222" s="1"/>
      <c r="AO4222" s="6"/>
    </row>
    <row r="4223" spans="1:41" ht="15" x14ac:dyDescent="0.25">
      <c r="A4223" s="1"/>
      <c r="B4223" s="1"/>
      <c r="C4223" s="1"/>
      <c r="D4223" s="1"/>
      <c r="E4223" s="6"/>
      <c r="F4223" s="1"/>
      <c r="G4223" s="6"/>
      <c r="H4223" s="6"/>
      <c r="I4223" s="6"/>
      <c r="J4223" s="6"/>
      <c r="K4223" s="6"/>
      <c r="L4223" s="6"/>
      <c r="M4223" s="6"/>
      <c r="N4223" s="6"/>
      <c r="O4223" s="7"/>
      <c r="P4223" s="12"/>
      <c r="Q4223" s="6"/>
      <c r="R4223" s="7"/>
      <c r="S4223" s="6"/>
      <c r="T4223" s="6"/>
      <c r="U4223" s="7"/>
      <c r="V4223" s="6"/>
      <c r="W4223" s="6"/>
      <c r="X4223" s="6"/>
      <c r="Y4223" s="6"/>
      <c r="Z4223" s="6"/>
      <c r="AA4223" s="7"/>
      <c r="AB4223" s="6"/>
      <c r="AC4223" s="6"/>
      <c r="AD4223" s="6"/>
      <c r="AE4223" s="12"/>
      <c r="AF4223" s="6"/>
      <c r="AG4223" s="12"/>
      <c r="AH4223" s="6"/>
      <c r="AI4223" s="6"/>
      <c r="AJ4223" s="12"/>
      <c r="AK4223" s="24"/>
      <c r="AL4223" s="25"/>
      <c r="AM4223" s="12"/>
      <c r="AN4223" s="1"/>
      <c r="AO4223" s="6"/>
    </row>
    <row r="4224" spans="1:41" ht="15" x14ac:dyDescent="0.25">
      <c r="A4224" s="1"/>
      <c r="B4224" s="1"/>
      <c r="C4224" s="1"/>
      <c r="D4224" s="1"/>
      <c r="E4224" s="6"/>
      <c r="F4224" s="1"/>
      <c r="G4224" s="6"/>
      <c r="H4224" s="6"/>
      <c r="I4224" s="6"/>
      <c r="J4224" s="6"/>
      <c r="K4224" s="6"/>
      <c r="L4224" s="6"/>
      <c r="M4224" s="6"/>
      <c r="N4224" s="6"/>
      <c r="O4224" s="7"/>
      <c r="P4224" s="6"/>
      <c r="Q4224" s="6"/>
      <c r="R4224" s="7"/>
      <c r="S4224" s="6"/>
      <c r="T4224" s="6"/>
      <c r="U4224" s="7"/>
      <c r="V4224" s="6"/>
      <c r="W4224" s="6"/>
      <c r="X4224" s="6"/>
      <c r="Y4224" s="6"/>
      <c r="Z4224" s="6"/>
      <c r="AA4224" s="7"/>
      <c r="AB4224" s="6"/>
      <c r="AC4224" s="6"/>
      <c r="AD4224" s="6"/>
      <c r="AE4224" s="12"/>
      <c r="AF4224" s="6"/>
      <c r="AG4224" s="12"/>
      <c r="AH4224" s="6"/>
      <c r="AI4224" s="6"/>
      <c r="AJ4224" s="12"/>
      <c r="AK4224" s="1"/>
      <c r="AL4224" s="12"/>
      <c r="AM4224" s="12"/>
      <c r="AN4224" s="1"/>
      <c r="AO4224" s="6"/>
    </row>
    <row r="4225" spans="1:41" ht="15" x14ac:dyDescent="0.25">
      <c r="A4225" s="1"/>
      <c r="B4225" s="1"/>
      <c r="C4225" s="1"/>
      <c r="D4225" s="1"/>
      <c r="E4225" s="6"/>
      <c r="F4225" s="1"/>
      <c r="G4225" s="6"/>
      <c r="H4225" s="6"/>
      <c r="I4225" s="6"/>
      <c r="J4225" s="6"/>
      <c r="K4225" s="6"/>
      <c r="L4225" s="6"/>
      <c r="M4225" s="6"/>
      <c r="N4225" s="6"/>
      <c r="O4225" s="7"/>
      <c r="P4225" s="6"/>
      <c r="Q4225" s="6"/>
      <c r="R4225" s="7"/>
      <c r="S4225" s="6"/>
      <c r="T4225" s="6"/>
      <c r="U4225" s="7"/>
      <c r="V4225" s="6"/>
      <c r="W4225" s="6"/>
      <c r="X4225" s="6"/>
      <c r="Y4225" s="6"/>
      <c r="Z4225" s="6"/>
      <c r="AA4225" s="7"/>
      <c r="AB4225" s="6"/>
      <c r="AC4225" s="6"/>
      <c r="AD4225" s="6"/>
      <c r="AE4225" s="12"/>
      <c r="AF4225" s="6"/>
      <c r="AG4225" s="12"/>
      <c r="AH4225" s="6"/>
      <c r="AI4225" s="6"/>
      <c r="AJ4225" s="12"/>
      <c r="AK4225" s="24"/>
      <c r="AL4225" s="25"/>
      <c r="AM4225" s="12"/>
      <c r="AN4225" s="1"/>
      <c r="AO4225" s="6"/>
    </row>
    <row r="4226" spans="1:41" ht="15" x14ac:dyDescent="0.25">
      <c r="A4226" s="1"/>
      <c r="B4226" s="1"/>
      <c r="C4226" s="1"/>
      <c r="D4226" s="1"/>
      <c r="E4226" s="6"/>
      <c r="F4226" s="1"/>
      <c r="G4226" s="6"/>
      <c r="H4226" s="6"/>
      <c r="I4226" s="6"/>
      <c r="J4226" s="6"/>
      <c r="K4226" s="12"/>
      <c r="L4226" s="12"/>
      <c r="M4226" s="6"/>
      <c r="N4226" s="6"/>
      <c r="O4226" s="7"/>
      <c r="P4226" s="6"/>
      <c r="Q4226" s="6"/>
      <c r="R4226" s="7"/>
      <c r="S4226" s="6"/>
      <c r="T4226" s="6"/>
      <c r="U4226" s="7"/>
      <c r="V4226" s="6"/>
      <c r="W4226" s="6"/>
      <c r="X4226" s="6"/>
      <c r="Y4226" s="6"/>
      <c r="Z4226" s="6"/>
      <c r="AA4226" s="7"/>
      <c r="AB4226" s="6"/>
      <c r="AC4226" s="6"/>
      <c r="AD4226" s="6"/>
      <c r="AE4226" s="12"/>
      <c r="AF4226" s="12"/>
      <c r="AG4226" s="12"/>
      <c r="AH4226" s="12"/>
      <c r="AI4226" s="6"/>
      <c r="AJ4226" s="12"/>
      <c r="AK4226" s="1"/>
      <c r="AL4226" s="12"/>
      <c r="AM4226" s="12"/>
      <c r="AN4226" s="1"/>
      <c r="AO4226" s="6"/>
    </row>
    <row r="4227" spans="1:41" ht="15" x14ac:dyDescent="0.25">
      <c r="A4227" s="1"/>
      <c r="B4227" s="1"/>
      <c r="C4227" s="1"/>
      <c r="D4227" s="1"/>
      <c r="E4227" s="6"/>
      <c r="F4227" s="1"/>
      <c r="G4227" s="6"/>
      <c r="H4227" s="6"/>
      <c r="I4227" s="6"/>
      <c r="J4227" s="6"/>
      <c r="K4227" s="6"/>
      <c r="L4227" s="6"/>
      <c r="M4227" s="6"/>
      <c r="N4227" s="6"/>
      <c r="O4227" s="7"/>
      <c r="P4227" s="6"/>
      <c r="Q4227" s="6"/>
      <c r="R4227" s="7"/>
      <c r="S4227" s="6"/>
      <c r="T4227" s="6"/>
      <c r="U4227" s="7"/>
      <c r="V4227" s="6"/>
      <c r="W4227" s="6"/>
      <c r="X4227" s="6"/>
      <c r="Y4227" s="6"/>
      <c r="Z4227" s="6"/>
      <c r="AA4227" s="7"/>
      <c r="AB4227" s="6"/>
      <c r="AC4227" s="6"/>
      <c r="AD4227" s="6"/>
      <c r="AE4227" s="12"/>
      <c r="AF4227" s="6"/>
      <c r="AG4227" s="12"/>
      <c r="AH4227" s="6"/>
      <c r="AI4227" s="6"/>
      <c r="AJ4227" s="12"/>
      <c r="AK4227" s="24"/>
      <c r="AL4227" s="25"/>
      <c r="AM4227" s="12"/>
      <c r="AN4227" s="1"/>
      <c r="AO4227" s="6"/>
    </row>
    <row r="4228" spans="1:41" ht="15" x14ac:dyDescent="0.25">
      <c r="A4228" s="1"/>
      <c r="B4228" s="1"/>
      <c r="C4228" s="1"/>
      <c r="D4228" s="1"/>
      <c r="E4228" s="6"/>
      <c r="F4228" s="1"/>
      <c r="G4228" s="6"/>
      <c r="H4228" s="6"/>
      <c r="I4228" s="6"/>
      <c r="J4228" s="6"/>
      <c r="K4228" s="6"/>
      <c r="L4228" s="6"/>
      <c r="M4228" s="6"/>
      <c r="N4228" s="6"/>
      <c r="O4228" s="7"/>
      <c r="P4228" s="6"/>
      <c r="Q4228" s="6"/>
      <c r="R4228" s="7"/>
      <c r="S4228" s="6"/>
      <c r="T4228" s="6"/>
      <c r="U4228" s="7"/>
      <c r="V4228" s="6"/>
      <c r="W4228" s="6"/>
      <c r="X4228" s="6"/>
      <c r="Y4228" s="6"/>
      <c r="Z4228" s="6"/>
      <c r="AA4228" s="7"/>
      <c r="AB4228" s="6"/>
      <c r="AC4228" s="6"/>
      <c r="AD4228" s="6"/>
      <c r="AE4228" s="12"/>
      <c r="AF4228" s="6"/>
      <c r="AG4228" s="12"/>
      <c r="AH4228" s="6"/>
      <c r="AI4228" s="6"/>
      <c r="AJ4228" s="12"/>
      <c r="AK4228" s="24"/>
      <c r="AL4228" s="25"/>
      <c r="AM4228" s="12"/>
      <c r="AN4228" s="1"/>
      <c r="AO4228" s="6"/>
    </row>
    <row r="4229" spans="1:41" ht="15" x14ac:dyDescent="0.25">
      <c r="A4229" s="1"/>
      <c r="B4229" s="1"/>
      <c r="C4229" s="1"/>
      <c r="D4229" s="1"/>
      <c r="E4229" s="6"/>
      <c r="F4229" s="1"/>
      <c r="G4229" s="6"/>
      <c r="H4229" s="6"/>
      <c r="I4229" s="6"/>
      <c r="J4229" s="6"/>
      <c r="K4229" s="6"/>
      <c r="L4229" s="6"/>
      <c r="M4229" s="6"/>
      <c r="N4229" s="6"/>
      <c r="O4229" s="7"/>
      <c r="P4229" s="12"/>
      <c r="Q4229" s="6"/>
      <c r="R4229" s="7"/>
      <c r="S4229" s="6"/>
      <c r="T4229" s="6"/>
      <c r="U4229" s="7"/>
      <c r="V4229" s="6"/>
      <c r="W4229" s="6"/>
      <c r="X4229" s="6"/>
      <c r="Y4229" s="6"/>
      <c r="Z4229" s="6"/>
      <c r="AA4229" s="7"/>
      <c r="AB4229" s="6"/>
      <c r="AC4229" s="6"/>
      <c r="AD4229" s="6"/>
      <c r="AE4229" s="12"/>
      <c r="AF4229" s="6"/>
      <c r="AG4229" s="12"/>
      <c r="AH4229" s="6"/>
      <c r="AI4229" s="6"/>
      <c r="AJ4229" s="12"/>
      <c r="AK4229" s="24"/>
      <c r="AL4229" s="25"/>
      <c r="AM4229" s="12"/>
      <c r="AN4229" s="1"/>
      <c r="AO4229" s="6"/>
    </row>
    <row r="4230" spans="1:41" ht="15" x14ac:dyDescent="0.25">
      <c r="A4230" s="1"/>
      <c r="B4230" s="1"/>
      <c r="C4230" s="1"/>
      <c r="D4230" s="1"/>
      <c r="E4230" s="6"/>
      <c r="F4230" s="1"/>
      <c r="G4230" s="6"/>
      <c r="H4230" s="6"/>
      <c r="I4230" s="6"/>
      <c r="J4230" s="6"/>
      <c r="K4230" s="6"/>
      <c r="L4230" s="6"/>
      <c r="M4230" s="6"/>
      <c r="N4230" s="6"/>
      <c r="O4230" s="7"/>
      <c r="P4230" s="6"/>
      <c r="Q4230" s="6"/>
      <c r="R4230" s="7"/>
      <c r="S4230" s="6"/>
      <c r="T4230" s="12"/>
      <c r="U4230" s="6"/>
      <c r="V4230" s="6"/>
      <c r="W4230" s="6"/>
      <c r="X4230" s="7"/>
      <c r="Y4230" s="6"/>
      <c r="Z4230" s="6"/>
      <c r="AA4230" s="7"/>
      <c r="AB4230" s="6"/>
      <c r="AC4230" s="6"/>
      <c r="AD4230" s="6"/>
      <c r="AE4230" s="12"/>
      <c r="AF4230" s="6"/>
      <c r="AG4230" s="12"/>
      <c r="AH4230" s="6"/>
      <c r="AI4230" s="6"/>
      <c r="AJ4230" s="12"/>
      <c r="AK4230" s="6"/>
      <c r="AL4230" s="12"/>
      <c r="AM4230" s="12"/>
      <c r="AN4230" s="1"/>
      <c r="AO4230" s="6"/>
    </row>
    <row r="4231" spans="1:41" ht="15" x14ac:dyDescent="0.25">
      <c r="A4231" s="1"/>
      <c r="B4231" s="1"/>
      <c r="C4231" s="1"/>
      <c r="D4231" s="1"/>
      <c r="E4231" s="6"/>
      <c r="F4231" s="1"/>
      <c r="G4231" s="6"/>
      <c r="H4231" s="6"/>
      <c r="I4231" s="6"/>
      <c r="J4231" s="6"/>
      <c r="K4231" s="6"/>
      <c r="L4231" s="6"/>
      <c r="M4231" s="6"/>
      <c r="N4231" s="6"/>
      <c r="O4231" s="7"/>
      <c r="P4231" s="6"/>
      <c r="Q4231" s="6"/>
      <c r="R4231" s="7"/>
      <c r="S4231" s="6"/>
      <c r="T4231" s="12"/>
      <c r="U4231" s="6"/>
      <c r="V4231" s="6"/>
      <c r="W4231" s="6"/>
      <c r="X4231" s="7"/>
      <c r="Y4231" s="6"/>
      <c r="Z4231" s="6"/>
      <c r="AA4231" s="7"/>
      <c r="AB4231" s="6"/>
      <c r="AC4231" s="6"/>
      <c r="AD4231" s="6"/>
      <c r="AE4231" s="12"/>
      <c r="AF4231" s="6"/>
      <c r="AG4231" s="12"/>
      <c r="AH4231" s="6"/>
      <c r="AI4231" s="6"/>
      <c r="AJ4231" s="12"/>
      <c r="AK4231" s="6"/>
      <c r="AL4231" s="12"/>
      <c r="AM4231" s="12"/>
      <c r="AN4231" s="1"/>
      <c r="AO4231" s="6"/>
    </row>
    <row r="4232" spans="1:41" ht="15" x14ac:dyDescent="0.25">
      <c r="A4232" s="1"/>
      <c r="B4232" s="1"/>
      <c r="C4232" s="1"/>
      <c r="D4232" s="1"/>
      <c r="E4232" s="6"/>
      <c r="F4232" s="1"/>
      <c r="G4232" s="6"/>
      <c r="H4232" s="6"/>
      <c r="I4232" s="6"/>
      <c r="J4232" s="6"/>
      <c r="K4232" s="6"/>
      <c r="L4232" s="6"/>
      <c r="M4232" s="6"/>
      <c r="N4232" s="6"/>
      <c r="O4232" s="7"/>
      <c r="P4232" s="6"/>
      <c r="Q4232" s="6"/>
      <c r="R4232" s="7"/>
      <c r="S4232" s="6"/>
      <c r="T4232" s="6"/>
      <c r="U4232" s="7"/>
      <c r="V4232" s="6"/>
      <c r="W4232" s="6"/>
      <c r="X4232" s="6"/>
      <c r="Y4232" s="6"/>
      <c r="Z4232" s="6"/>
      <c r="AA4232" s="7"/>
      <c r="AB4232" s="6"/>
      <c r="AC4232" s="6"/>
      <c r="AD4232" s="6"/>
      <c r="AE4232" s="12"/>
      <c r="AF4232" s="6"/>
      <c r="AG4232" s="12"/>
      <c r="AH4232" s="6"/>
      <c r="AI4232" s="6"/>
      <c r="AJ4232" s="12"/>
      <c r="AK4232" s="24"/>
      <c r="AL4232" s="25"/>
      <c r="AM4232" s="12"/>
      <c r="AN4232" s="1"/>
      <c r="AO4232" s="6"/>
    </row>
    <row r="4233" spans="1:41" ht="15" x14ac:dyDescent="0.25">
      <c r="A4233" s="1"/>
      <c r="B4233" s="1"/>
      <c r="C4233" s="1"/>
      <c r="D4233" s="1"/>
      <c r="E4233" s="6"/>
      <c r="F4233" s="1"/>
      <c r="G4233" s="6"/>
      <c r="H4233" s="6"/>
      <c r="I4233" s="6"/>
      <c r="J4233" s="6"/>
      <c r="K4233" s="6"/>
      <c r="L4233" s="6"/>
      <c r="M4233" s="6"/>
      <c r="N4233" s="6"/>
      <c r="O4233" s="7"/>
      <c r="P4233" s="6"/>
      <c r="Q4233" s="6"/>
      <c r="R4233" s="7"/>
      <c r="S4233" s="6"/>
      <c r="T4233" s="6"/>
      <c r="U4233" s="7"/>
      <c r="V4233" s="6"/>
      <c r="W4233" s="6"/>
      <c r="X4233" s="6"/>
      <c r="Y4233" s="6"/>
      <c r="Z4233" s="6"/>
      <c r="AA4233" s="7"/>
      <c r="AB4233" s="6"/>
      <c r="AC4233" s="6"/>
      <c r="AD4233" s="6"/>
      <c r="AE4233" s="12"/>
      <c r="AF4233" s="6"/>
      <c r="AG4233" s="12"/>
      <c r="AH4233" s="6"/>
      <c r="AI4233" s="6"/>
      <c r="AJ4233" s="12"/>
      <c r="AK4233" s="24"/>
      <c r="AL4233" s="25"/>
      <c r="AM4233" s="12"/>
      <c r="AN4233" s="1"/>
      <c r="AO4233" s="6"/>
    </row>
    <row r="4234" spans="1:41" ht="15" x14ac:dyDescent="0.25">
      <c r="A4234" s="1"/>
      <c r="B4234" s="1"/>
      <c r="C4234" s="1"/>
      <c r="D4234" s="1"/>
      <c r="E4234" s="6"/>
      <c r="F4234" s="1"/>
      <c r="G4234" s="6"/>
      <c r="H4234" s="6"/>
      <c r="I4234" s="6"/>
      <c r="J4234" s="6"/>
      <c r="K4234" s="6"/>
      <c r="L4234" s="6"/>
      <c r="M4234" s="6"/>
      <c r="N4234" s="6"/>
      <c r="O4234" s="7"/>
      <c r="P4234" s="6"/>
      <c r="Q4234" s="6"/>
      <c r="R4234" s="7"/>
      <c r="S4234" s="6"/>
      <c r="T4234" s="6"/>
      <c r="U4234" s="7"/>
      <c r="V4234" s="6"/>
      <c r="W4234" s="6"/>
      <c r="X4234" s="12"/>
      <c r="Y4234" s="6"/>
      <c r="Z4234" s="6"/>
      <c r="AA4234" s="7"/>
      <c r="AB4234" s="6"/>
      <c r="AC4234" s="6"/>
      <c r="AD4234" s="6"/>
      <c r="AE4234" s="12"/>
      <c r="AF4234" s="6"/>
      <c r="AG4234" s="12"/>
      <c r="AH4234" s="6"/>
      <c r="AI4234" s="6"/>
      <c r="AJ4234" s="12"/>
      <c r="AK4234" s="24"/>
      <c r="AL4234" s="25"/>
      <c r="AM4234" s="12"/>
      <c r="AN4234" s="1"/>
      <c r="AO4234" s="6"/>
    </row>
    <row r="4235" spans="1:41" ht="15" x14ac:dyDescent="0.25">
      <c r="A4235" s="1"/>
      <c r="B4235" s="1"/>
      <c r="C4235" s="1"/>
      <c r="D4235" s="1"/>
      <c r="E4235" s="6"/>
      <c r="F4235" s="1"/>
      <c r="G4235" s="6"/>
      <c r="H4235" s="6"/>
      <c r="I4235" s="6"/>
      <c r="J4235" s="6"/>
      <c r="K4235" s="6"/>
      <c r="L4235" s="6"/>
      <c r="M4235" s="6"/>
      <c r="N4235" s="6"/>
      <c r="O4235" s="7"/>
      <c r="P4235" s="6"/>
      <c r="Q4235" s="6"/>
      <c r="R4235" s="7"/>
      <c r="S4235" s="6"/>
      <c r="T4235" s="6"/>
      <c r="U4235" s="7"/>
      <c r="V4235" s="6"/>
      <c r="W4235" s="6"/>
      <c r="X4235" s="12"/>
      <c r="Y4235" s="6"/>
      <c r="Z4235" s="6"/>
      <c r="AA4235" s="7"/>
      <c r="AB4235" s="6"/>
      <c r="AC4235" s="6"/>
      <c r="AD4235" s="6"/>
      <c r="AE4235" s="12"/>
      <c r="AF4235" s="6"/>
      <c r="AG4235" s="12"/>
      <c r="AH4235" s="6"/>
      <c r="AI4235" s="6"/>
      <c r="AJ4235" s="12"/>
      <c r="AK4235" s="24"/>
      <c r="AL4235" s="25"/>
      <c r="AM4235" s="12"/>
      <c r="AN4235" s="1"/>
      <c r="AO4235" s="6"/>
    </row>
    <row r="4236" spans="1:41" ht="15" x14ac:dyDescent="0.25">
      <c r="A4236" s="1"/>
      <c r="B4236" s="1"/>
      <c r="C4236" s="1"/>
      <c r="D4236" s="1"/>
      <c r="E4236" s="6"/>
      <c r="F4236" s="1"/>
      <c r="G4236" s="6"/>
      <c r="H4236" s="6"/>
      <c r="I4236" s="6"/>
      <c r="J4236" s="6"/>
      <c r="K4236" s="6"/>
      <c r="L4236" s="6"/>
      <c r="M4236" s="6"/>
      <c r="N4236" s="6"/>
      <c r="O4236" s="7"/>
      <c r="P4236" s="12"/>
      <c r="Q4236" s="6"/>
      <c r="R4236" s="7"/>
      <c r="S4236" s="6"/>
      <c r="T4236" s="6"/>
      <c r="U4236" s="7"/>
      <c r="V4236" s="6"/>
      <c r="W4236" s="6"/>
      <c r="X4236" s="6"/>
      <c r="Y4236" s="6"/>
      <c r="Z4236" s="6"/>
      <c r="AA4236" s="7"/>
      <c r="AB4236" s="6"/>
      <c r="AC4236" s="6"/>
      <c r="AD4236" s="6"/>
      <c r="AE4236" s="12"/>
      <c r="AF4236" s="6"/>
      <c r="AG4236" s="12"/>
      <c r="AH4236" s="6"/>
      <c r="AI4236" s="6"/>
      <c r="AJ4236" s="12"/>
      <c r="AK4236" s="24"/>
      <c r="AL4236" s="25"/>
      <c r="AM4236" s="12"/>
      <c r="AN4236" s="1"/>
      <c r="AO4236" s="6"/>
    </row>
    <row r="4237" spans="1:41" ht="15" x14ac:dyDescent="0.25">
      <c r="A4237" s="1"/>
      <c r="B4237" s="1"/>
      <c r="C4237" s="1"/>
      <c r="D4237" s="1"/>
      <c r="E4237" s="6"/>
      <c r="F4237" s="1"/>
      <c r="G4237" s="6"/>
      <c r="H4237" s="6"/>
      <c r="I4237" s="6"/>
      <c r="J4237" s="6"/>
      <c r="K4237" s="6"/>
      <c r="L4237" s="6"/>
      <c r="M4237" s="6"/>
      <c r="N4237" s="6"/>
      <c r="O4237" s="7"/>
      <c r="P4237" s="12"/>
      <c r="Q4237" s="6"/>
      <c r="R4237" s="7"/>
      <c r="S4237" s="6"/>
      <c r="T4237" s="6"/>
      <c r="U4237" s="7"/>
      <c r="V4237" s="6"/>
      <c r="W4237" s="6"/>
      <c r="X4237" s="6"/>
      <c r="Y4237" s="6"/>
      <c r="Z4237" s="6"/>
      <c r="AA4237" s="7"/>
      <c r="AB4237" s="6"/>
      <c r="AC4237" s="6"/>
      <c r="AD4237" s="6"/>
      <c r="AE4237" s="12"/>
      <c r="AF4237" s="6"/>
      <c r="AG4237" s="12"/>
      <c r="AH4237" s="6"/>
      <c r="AI4237" s="6"/>
      <c r="AJ4237" s="12"/>
      <c r="AK4237" s="24"/>
      <c r="AL4237" s="25"/>
      <c r="AM4237" s="12"/>
      <c r="AN4237" s="1"/>
      <c r="AO4237" s="6"/>
    </row>
    <row r="4238" spans="1:41" ht="15" x14ac:dyDescent="0.25">
      <c r="A4238" s="1"/>
      <c r="B4238" s="1"/>
      <c r="C4238" s="1"/>
      <c r="D4238" s="1"/>
      <c r="E4238" s="6"/>
      <c r="F4238" s="1"/>
      <c r="G4238" s="6"/>
      <c r="H4238" s="6"/>
      <c r="I4238" s="6"/>
      <c r="J4238" s="6"/>
      <c r="K4238" s="6"/>
      <c r="L4238" s="6"/>
      <c r="M4238" s="6"/>
      <c r="N4238" s="6"/>
      <c r="O4238" s="7"/>
      <c r="P4238" s="6"/>
      <c r="Q4238" s="6"/>
      <c r="R4238" s="7"/>
      <c r="S4238" s="6"/>
      <c r="T4238" s="6"/>
      <c r="U4238" s="7"/>
      <c r="V4238" s="6"/>
      <c r="W4238" s="6"/>
      <c r="X4238" s="6"/>
      <c r="Y4238" s="6"/>
      <c r="Z4238" s="6"/>
      <c r="AA4238" s="7"/>
      <c r="AB4238" s="6"/>
      <c r="AC4238" s="6"/>
      <c r="AD4238" s="6"/>
      <c r="AE4238" s="12"/>
      <c r="AF4238" s="6"/>
      <c r="AG4238" s="12"/>
      <c r="AH4238" s="6"/>
      <c r="AI4238" s="6"/>
      <c r="AJ4238" s="12"/>
      <c r="AK4238" s="1"/>
      <c r="AL4238" s="12"/>
      <c r="AM4238" s="12"/>
      <c r="AN4238" s="1"/>
      <c r="AO4238" s="6"/>
    </row>
    <row r="4239" spans="1:41" ht="15" x14ac:dyDescent="0.25">
      <c r="A4239" s="1"/>
      <c r="B4239" s="1"/>
      <c r="C4239" s="1"/>
      <c r="D4239" s="1"/>
      <c r="E4239" s="6"/>
      <c r="F4239" s="1"/>
      <c r="G4239" s="6"/>
      <c r="H4239" s="6"/>
      <c r="I4239" s="6"/>
      <c r="J4239" s="6"/>
      <c r="K4239" s="6"/>
      <c r="L4239" s="6"/>
      <c r="M4239" s="6"/>
      <c r="N4239" s="6"/>
      <c r="O4239" s="7"/>
      <c r="P4239" s="6"/>
      <c r="Q4239" s="6"/>
      <c r="R4239" s="7"/>
      <c r="S4239" s="6"/>
      <c r="T4239" s="6"/>
      <c r="U4239" s="7"/>
      <c r="V4239" s="6"/>
      <c r="W4239" s="6"/>
      <c r="X4239" s="6"/>
      <c r="Y4239" s="6"/>
      <c r="Z4239" s="6"/>
      <c r="AA4239" s="7"/>
      <c r="AB4239" s="6"/>
      <c r="AC4239" s="6"/>
      <c r="AD4239" s="6"/>
      <c r="AE4239" s="12"/>
      <c r="AF4239" s="6"/>
      <c r="AG4239" s="12"/>
      <c r="AH4239" s="6"/>
      <c r="AI4239" s="6"/>
      <c r="AJ4239" s="12"/>
      <c r="AK4239" s="1"/>
      <c r="AL4239" s="12"/>
      <c r="AM4239" s="12"/>
      <c r="AN4239" s="1"/>
      <c r="AO4239" s="6"/>
    </row>
    <row r="4240" spans="1:41" ht="15" x14ac:dyDescent="0.25">
      <c r="A4240" s="1"/>
      <c r="B4240" s="1"/>
      <c r="C4240" s="1"/>
      <c r="D4240" s="1"/>
      <c r="E4240" s="6"/>
      <c r="F4240" s="1"/>
      <c r="G4240" s="6"/>
      <c r="H4240" s="6"/>
      <c r="I4240" s="6"/>
      <c r="J4240" s="6"/>
      <c r="K4240" s="12"/>
      <c r="L4240" s="12"/>
      <c r="M4240" s="6"/>
      <c r="N4240" s="6"/>
      <c r="O4240" s="7"/>
      <c r="P4240" s="12"/>
      <c r="Q4240" s="6"/>
      <c r="R4240" s="7"/>
      <c r="S4240" s="6"/>
      <c r="T4240" s="6"/>
      <c r="U4240" s="7"/>
      <c r="V4240" s="6"/>
      <c r="W4240" s="6"/>
      <c r="X4240" s="6"/>
      <c r="Y4240" s="6"/>
      <c r="Z4240" s="6"/>
      <c r="AA4240" s="7"/>
      <c r="AB4240" s="6"/>
      <c r="AC4240" s="6"/>
      <c r="AD4240" s="6"/>
      <c r="AE4240" s="12"/>
      <c r="AF4240" s="12"/>
      <c r="AG4240" s="12"/>
      <c r="AH4240" s="12"/>
      <c r="AI4240" s="6"/>
      <c r="AJ4240" s="12"/>
      <c r="AK4240" s="1"/>
      <c r="AL4240" s="12"/>
      <c r="AM4240" s="12"/>
      <c r="AN4240" s="1"/>
      <c r="AO4240" s="6"/>
    </row>
    <row r="4241" spans="1:41" ht="15" x14ac:dyDescent="0.25">
      <c r="A4241" s="1"/>
      <c r="B4241" s="1"/>
      <c r="C4241" s="1"/>
      <c r="D4241" s="1"/>
      <c r="E4241" s="6"/>
      <c r="F4241" s="1"/>
      <c r="G4241" s="6"/>
      <c r="H4241" s="6"/>
      <c r="I4241" s="6"/>
      <c r="J4241" s="6"/>
      <c r="K4241" s="6"/>
      <c r="L4241" s="6"/>
      <c r="M4241" s="6"/>
      <c r="N4241" s="6"/>
      <c r="O4241" s="7"/>
      <c r="P4241" s="6"/>
      <c r="Q4241" s="6"/>
      <c r="R4241" s="7"/>
      <c r="S4241" s="6"/>
      <c r="T4241" s="6"/>
      <c r="U4241" s="7"/>
      <c r="V4241" s="6"/>
      <c r="W4241" s="6"/>
      <c r="X4241" s="6"/>
      <c r="Y4241" s="6"/>
      <c r="Z4241" s="6"/>
      <c r="AA4241" s="7"/>
      <c r="AB4241" s="6"/>
      <c r="AC4241" s="6"/>
      <c r="AD4241" s="6"/>
      <c r="AE4241" s="12"/>
      <c r="AF4241" s="6"/>
      <c r="AG4241" s="12"/>
      <c r="AH4241" s="6"/>
      <c r="AI4241" s="6"/>
      <c r="AJ4241" s="12"/>
      <c r="AK4241" s="1"/>
      <c r="AL4241" s="12"/>
      <c r="AM4241" s="12"/>
      <c r="AN4241" s="1"/>
      <c r="AO4241" s="6"/>
    </row>
    <row r="4242" spans="1:41" ht="15" x14ac:dyDescent="0.25">
      <c r="A4242" s="1"/>
      <c r="B4242" s="1"/>
      <c r="C4242" s="1"/>
      <c r="D4242" s="1"/>
      <c r="E4242" s="6"/>
      <c r="F4242" s="1"/>
      <c r="G4242" s="6"/>
      <c r="H4242" s="6"/>
      <c r="I4242" s="6"/>
      <c r="J4242" s="6"/>
      <c r="K4242" s="6"/>
      <c r="L4242" s="6"/>
      <c r="M4242" s="6"/>
      <c r="N4242" s="6"/>
      <c r="O4242" s="7"/>
      <c r="P4242" s="6"/>
      <c r="Q4242" s="6"/>
      <c r="R4242" s="7"/>
      <c r="S4242" s="6"/>
      <c r="T4242" s="6"/>
      <c r="U4242" s="7"/>
      <c r="V4242" s="6"/>
      <c r="W4242" s="6"/>
      <c r="X4242" s="6"/>
      <c r="Y4242" s="6"/>
      <c r="Z4242" s="6"/>
      <c r="AA4242" s="7"/>
      <c r="AB4242" s="6"/>
      <c r="AC4242" s="6"/>
      <c r="AD4242" s="6"/>
      <c r="AE4242" s="12"/>
      <c r="AF4242" s="6"/>
      <c r="AG4242" s="12"/>
      <c r="AH4242" s="6"/>
      <c r="AI4242" s="6"/>
      <c r="AJ4242" s="12"/>
      <c r="AK4242" s="1"/>
      <c r="AL4242" s="12"/>
      <c r="AM4242" s="12"/>
      <c r="AN4242" s="1"/>
      <c r="AO4242" s="6"/>
    </row>
    <row r="4243" spans="1:41" ht="15" x14ac:dyDescent="0.25">
      <c r="A4243" s="1"/>
      <c r="B4243" s="1"/>
      <c r="C4243" s="1"/>
      <c r="D4243" s="1"/>
      <c r="E4243" s="6"/>
      <c r="F4243" s="1"/>
      <c r="G4243" s="6"/>
      <c r="H4243" s="6"/>
      <c r="I4243" s="6"/>
      <c r="J4243" s="6"/>
      <c r="K4243" s="6"/>
      <c r="L4243" s="6"/>
      <c r="M4243" s="6"/>
      <c r="N4243" s="6"/>
      <c r="O4243" s="7"/>
      <c r="P4243" s="6"/>
      <c r="Q4243" s="6"/>
      <c r="R4243" s="7"/>
      <c r="S4243" s="6"/>
      <c r="T4243" s="6"/>
      <c r="U4243" s="7"/>
      <c r="V4243" s="6"/>
      <c r="W4243" s="6"/>
      <c r="X4243" s="6"/>
      <c r="Y4243" s="6"/>
      <c r="Z4243" s="6"/>
      <c r="AA4243" s="7"/>
      <c r="AB4243" s="6"/>
      <c r="AC4243" s="6"/>
      <c r="AD4243" s="6"/>
      <c r="AE4243" s="12"/>
      <c r="AF4243" s="6"/>
      <c r="AG4243" s="12"/>
      <c r="AH4243" s="6"/>
      <c r="AI4243" s="6"/>
      <c r="AJ4243" s="12"/>
      <c r="AK4243" s="24"/>
      <c r="AL4243" s="25"/>
      <c r="AM4243" s="12"/>
      <c r="AN4243" s="1"/>
      <c r="AO4243" s="6"/>
    </row>
    <row r="4244" spans="1:41" ht="15" x14ac:dyDescent="0.25">
      <c r="A4244" s="1"/>
      <c r="B4244" s="1"/>
      <c r="C4244" s="1"/>
      <c r="D4244" s="1"/>
      <c r="E4244" s="6"/>
      <c r="F4244" s="1"/>
      <c r="G4244" s="6"/>
      <c r="H4244" s="6"/>
      <c r="I4244" s="6"/>
      <c r="J4244" s="6"/>
      <c r="K4244" s="6"/>
      <c r="L4244" s="6"/>
      <c r="M4244" s="6"/>
      <c r="N4244" s="6"/>
      <c r="O4244" s="7"/>
      <c r="P4244" s="6"/>
      <c r="Q4244" s="6"/>
      <c r="R4244" s="7"/>
      <c r="S4244" s="6"/>
      <c r="T4244" s="6"/>
      <c r="U4244" s="7"/>
      <c r="V4244" s="6"/>
      <c r="W4244" s="6"/>
      <c r="X4244" s="6"/>
      <c r="Y4244" s="6"/>
      <c r="Z4244" s="6"/>
      <c r="AA4244" s="7"/>
      <c r="AB4244" s="6"/>
      <c r="AC4244" s="6"/>
      <c r="AD4244" s="6"/>
      <c r="AE4244" s="12"/>
      <c r="AF4244" s="6"/>
      <c r="AG4244" s="12"/>
      <c r="AH4244" s="6"/>
      <c r="AI4244" s="6"/>
      <c r="AJ4244" s="12"/>
      <c r="AK4244" s="24"/>
      <c r="AL4244" s="25"/>
      <c r="AM4244" s="12"/>
      <c r="AN4244" s="1"/>
      <c r="AO4244" s="6"/>
    </row>
    <row r="4245" spans="1:41" ht="15" x14ac:dyDescent="0.25">
      <c r="A4245" s="1"/>
      <c r="B4245" s="1"/>
      <c r="C4245" s="1"/>
      <c r="D4245" s="1"/>
      <c r="E4245" s="6"/>
      <c r="F4245" s="1"/>
      <c r="G4245" s="6"/>
      <c r="H4245" s="6"/>
      <c r="I4245" s="6"/>
      <c r="J4245" s="6"/>
      <c r="K4245" s="6"/>
      <c r="L4245" s="6"/>
      <c r="M4245" s="6"/>
      <c r="N4245" s="6"/>
      <c r="O4245" s="7"/>
      <c r="P4245" s="6"/>
      <c r="Q4245" s="6"/>
      <c r="R4245" s="7"/>
      <c r="S4245" s="6"/>
      <c r="T4245" s="6"/>
      <c r="U4245" s="7"/>
      <c r="V4245" s="6"/>
      <c r="W4245" s="6"/>
      <c r="X4245" s="6"/>
      <c r="Y4245" s="6"/>
      <c r="Z4245" s="6"/>
      <c r="AA4245" s="7"/>
      <c r="AB4245" s="6"/>
      <c r="AC4245" s="6"/>
      <c r="AD4245" s="6"/>
      <c r="AE4245" s="12"/>
      <c r="AF4245" s="6"/>
      <c r="AG4245" s="12"/>
      <c r="AH4245" s="6"/>
      <c r="AI4245" s="6"/>
      <c r="AJ4245" s="12"/>
      <c r="AK4245" s="24"/>
      <c r="AL4245" s="25"/>
      <c r="AM4245" s="12"/>
      <c r="AN4245" s="1"/>
      <c r="AO4245" s="6"/>
    </row>
    <row r="4246" spans="1:41" ht="15" x14ac:dyDescent="0.25">
      <c r="A4246" s="1"/>
      <c r="B4246" s="1"/>
      <c r="C4246" s="1"/>
      <c r="D4246" s="1"/>
      <c r="E4246" s="6"/>
      <c r="F4246" s="1"/>
      <c r="G4246" s="6"/>
      <c r="H4246" s="6"/>
      <c r="I4246" s="6"/>
      <c r="J4246" s="6"/>
      <c r="K4246" s="6"/>
      <c r="L4246" s="6"/>
      <c r="M4246" s="6"/>
      <c r="N4246" s="6"/>
      <c r="O4246" s="7"/>
      <c r="P4246" s="6"/>
      <c r="Q4246" s="6"/>
      <c r="R4246" s="7"/>
      <c r="S4246" s="6"/>
      <c r="T4246" s="6"/>
      <c r="U4246" s="7"/>
      <c r="V4246" s="6"/>
      <c r="W4246" s="6"/>
      <c r="X4246" s="6"/>
      <c r="Y4246" s="6"/>
      <c r="Z4246" s="6"/>
      <c r="AA4246" s="7"/>
      <c r="AB4246" s="6"/>
      <c r="AC4246" s="6"/>
      <c r="AD4246" s="6"/>
      <c r="AE4246" s="12"/>
      <c r="AF4246" s="6"/>
      <c r="AG4246" s="12"/>
      <c r="AH4246" s="6"/>
      <c r="AI4246" s="6"/>
      <c r="AJ4246" s="12"/>
      <c r="AK4246" s="24"/>
      <c r="AL4246" s="25"/>
      <c r="AM4246" s="12"/>
      <c r="AN4246" s="1"/>
      <c r="AO4246" s="6"/>
    </row>
    <row r="4247" spans="1:41" ht="15" x14ac:dyDescent="0.25">
      <c r="A4247" s="1"/>
      <c r="B4247" s="1"/>
      <c r="C4247" s="1"/>
      <c r="D4247" s="1"/>
      <c r="E4247" s="6"/>
      <c r="F4247" s="1"/>
      <c r="G4247" s="6"/>
      <c r="H4247" s="6"/>
      <c r="I4247" s="6"/>
      <c r="J4247" s="6"/>
      <c r="K4247" s="6"/>
      <c r="L4247" s="6"/>
      <c r="M4247" s="6"/>
      <c r="N4247" s="6"/>
      <c r="O4247" s="7"/>
      <c r="P4247" s="6"/>
      <c r="Q4247" s="6"/>
      <c r="R4247" s="12"/>
      <c r="S4247" s="12"/>
      <c r="T4247" s="12"/>
      <c r="U4247" s="7"/>
      <c r="V4247" s="6"/>
      <c r="W4247" s="6"/>
      <c r="X4247" s="12"/>
      <c r="Y4247" s="6"/>
      <c r="Z4247" s="6"/>
      <c r="AA4247" s="7"/>
      <c r="AB4247" s="6"/>
      <c r="AC4247" s="6"/>
      <c r="AD4247" s="6"/>
      <c r="AE4247" s="12"/>
      <c r="AF4247" s="12"/>
      <c r="AG4247" s="12"/>
      <c r="AH4247" s="12"/>
      <c r="AI4247" s="6"/>
      <c r="AJ4247" s="12"/>
      <c r="AK4247" s="1"/>
      <c r="AL4247" s="12"/>
      <c r="AM4247" s="12"/>
      <c r="AN4247" s="1"/>
      <c r="AO4247" s="6"/>
    </row>
    <row r="4248" spans="1:41" ht="15" x14ac:dyDescent="0.25">
      <c r="A4248" s="1"/>
      <c r="B4248" s="1"/>
      <c r="C4248" s="1"/>
      <c r="D4248" s="1"/>
      <c r="E4248" s="6"/>
      <c r="F4248" s="1"/>
      <c r="G4248" s="6"/>
      <c r="H4248" s="6"/>
      <c r="I4248" s="6"/>
      <c r="J4248" s="6"/>
      <c r="K4248" s="6"/>
      <c r="L4248" s="6"/>
      <c r="M4248" s="6"/>
      <c r="N4248" s="6"/>
      <c r="O4248" s="7"/>
      <c r="P4248" s="6"/>
      <c r="Q4248" s="6"/>
      <c r="R4248" s="12"/>
      <c r="S4248" s="12"/>
      <c r="T4248" s="12"/>
      <c r="U4248" s="7"/>
      <c r="V4248" s="6"/>
      <c r="W4248" s="6"/>
      <c r="X4248" s="12"/>
      <c r="Y4248" s="6"/>
      <c r="Z4248" s="6"/>
      <c r="AA4248" s="7"/>
      <c r="AB4248" s="6"/>
      <c r="AC4248" s="6"/>
      <c r="AD4248" s="6"/>
      <c r="AE4248" s="12"/>
      <c r="AF4248" s="12"/>
      <c r="AG4248" s="12"/>
      <c r="AH4248" s="12"/>
      <c r="AI4248" s="6"/>
      <c r="AJ4248" s="12"/>
      <c r="AK4248" s="1"/>
      <c r="AL4248" s="12"/>
      <c r="AM4248" s="12"/>
      <c r="AN4248" s="1"/>
      <c r="AO4248" s="6"/>
    </row>
    <row r="4249" spans="1:41" ht="15" x14ac:dyDescent="0.25">
      <c r="A4249" s="1"/>
      <c r="B4249" s="1"/>
      <c r="C4249" s="1"/>
      <c r="D4249" s="1"/>
      <c r="E4249" s="6"/>
      <c r="F4249" s="1"/>
      <c r="G4249" s="6"/>
      <c r="H4249" s="6"/>
      <c r="I4249" s="6"/>
      <c r="J4249" s="6"/>
      <c r="K4249" s="6"/>
      <c r="L4249" s="6"/>
      <c r="M4249" s="6"/>
      <c r="N4249" s="6"/>
      <c r="O4249" s="7"/>
      <c r="P4249" s="6"/>
      <c r="Q4249" s="6"/>
      <c r="R4249" s="7"/>
      <c r="S4249" s="6"/>
      <c r="T4249" s="6"/>
      <c r="U4249" s="7"/>
      <c r="V4249" s="6"/>
      <c r="W4249" s="6"/>
      <c r="X4249" s="6"/>
      <c r="Y4249" s="6"/>
      <c r="Z4249" s="6"/>
      <c r="AA4249" s="7"/>
      <c r="AB4249" s="6"/>
      <c r="AC4249" s="6"/>
      <c r="AD4249" s="6"/>
      <c r="AE4249" s="12"/>
      <c r="AF4249" s="12"/>
      <c r="AG4249" s="12"/>
      <c r="AH4249" s="12"/>
      <c r="AI4249" s="6"/>
      <c r="AJ4249" s="12"/>
      <c r="AK4249" s="1"/>
      <c r="AL4249" s="12"/>
      <c r="AM4249" s="12"/>
      <c r="AN4249" s="1"/>
      <c r="AO4249" s="6"/>
    </row>
    <row r="4250" spans="1:41" ht="15" x14ac:dyDescent="0.25">
      <c r="A4250" s="1"/>
      <c r="B4250" s="1"/>
      <c r="C4250" s="1"/>
      <c r="D4250" s="1"/>
      <c r="E4250" s="6"/>
      <c r="F4250" s="1"/>
      <c r="G4250" s="6"/>
      <c r="H4250" s="6"/>
      <c r="I4250" s="6"/>
      <c r="J4250" s="6"/>
      <c r="K4250" s="6"/>
      <c r="L4250" s="6"/>
      <c r="M4250" s="6"/>
      <c r="N4250" s="6"/>
      <c r="O4250" s="7"/>
      <c r="P4250" s="6"/>
      <c r="Q4250" s="7"/>
      <c r="R4250" s="6"/>
      <c r="S4250" s="12"/>
      <c r="T4250" s="6"/>
      <c r="U4250" s="6"/>
      <c r="V4250" s="7"/>
      <c r="W4250" s="7"/>
      <c r="X4250" s="6"/>
      <c r="Y4250" s="6"/>
      <c r="Z4250" s="6"/>
      <c r="AA4250" s="1"/>
      <c r="AB4250" s="12"/>
      <c r="AC4250" s="12"/>
      <c r="AD4250" s="12"/>
      <c r="AE4250" s="12"/>
      <c r="AF4250" s="12"/>
      <c r="AG4250" s="12"/>
      <c r="AH4250" s="12"/>
      <c r="AI4250" s="6"/>
      <c r="AJ4250" s="12"/>
      <c r="AK4250" s="12"/>
      <c r="AL4250" s="12"/>
      <c r="AM4250" s="12"/>
      <c r="AN4250" s="1"/>
      <c r="AO4250" s="6"/>
    </row>
    <row r="4251" spans="1:41" ht="15" x14ac:dyDescent="0.25">
      <c r="A4251" s="1"/>
      <c r="B4251" s="1"/>
      <c r="C4251" s="1"/>
      <c r="D4251" s="1"/>
      <c r="E4251" s="6"/>
      <c r="F4251" s="1"/>
      <c r="G4251" s="6"/>
      <c r="H4251" s="6"/>
      <c r="I4251" s="6"/>
      <c r="J4251" s="6"/>
      <c r="K4251" s="6"/>
      <c r="L4251" s="6"/>
      <c r="M4251" s="6"/>
      <c r="N4251" s="6"/>
      <c r="O4251" s="7"/>
      <c r="P4251" s="6"/>
      <c r="Q4251" s="7"/>
      <c r="R4251" s="6"/>
      <c r="S4251" s="6"/>
      <c r="T4251" s="6"/>
      <c r="U4251" s="6"/>
      <c r="V4251" s="7"/>
      <c r="W4251" s="7"/>
      <c r="X4251" s="6"/>
      <c r="Y4251" s="6"/>
      <c r="Z4251" s="6"/>
      <c r="AA4251" s="1"/>
      <c r="AB4251" s="12"/>
      <c r="AC4251" s="12"/>
      <c r="AD4251" s="12"/>
      <c r="AE4251" s="12"/>
      <c r="AF4251" s="12"/>
      <c r="AG4251" s="12"/>
      <c r="AH4251" s="12"/>
      <c r="AI4251" s="6"/>
      <c r="AJ4251" s="12"/>
      <c r="AK4251" s="12"/>
      <c r="AL4251" s="12"/>
      <c r="AM4251" s="12"/>
      <c r="AN4251" s="1"/>
      <c r="AO4251" s="6"/>
    </row>
    <row r="4252" spans="1:41" ht="15" x14ac:dyDescent="0.25">
      <c r="A4252" s="1"/>
      <c r="B4252" s="1"/>
      <c r="C4252" s="1"/>
      <c r="D4252" s="1"/>
      <c r="E4252" s="6"/>
      <c r="F4252" s="1"/>
      <c r="G4252" s="6"/>
      <c r="H4252" s="6"/>
      <c r="I4252" s="6"/>
      <c r="J4252" s="6"/>
      <c r="K4252" s="6"/>
      <c r="L4252" s="6"/>
      <c r="M4252" s="6"/>
      <c r="N4252" s="6"/>
      <c r="O4252" s="7"/>
      <c r="P4252" s="6"/>
      <c r="Q4252" s="6"/>
      <c r="R4252" s="7"/>
      <c r="S4252" s="6"/>
      <c r="T4252" s="6"/>
      <c r="U4252" s="7"/>
      <c r="V4252" s="6"/>
      <c r="W4252" s="6"/>
      <c r="X4252" s="12"/>
      <c r="Y4252" s="6"/>
      <c r="Z4252" s="6"/>
      <c r="AA4252" s="7"/>
      <c r="AB4252" s="6"/>
      <c r="AC4252" s="6"/>
      <c r="AD4252" s="6"/>
      <c r="AE4252" s="12"/>
      <c r="AF4252" s="6"/>
      <c r="AG4252" s="12"/>
      <c r="AH4252" s="6"/>
      <c r="AI4252" s="6"/>
      <c r="AJ4252" s="12"/>
      <c r="AK4252" s="24"/>
      <c r="AL4252" s="25"/>
      <c r="AM4252" s="12"/>
      <c r="AN4252" s="1"/>
      <c r="AO4252" s="6"/>
    </row>
    <row r="4253" spans="1:41" ht="15" x14ac:dyDescent="0.25">
      <c r="A4253" s="1"/>
      <c r="B4253" s="1"/>
      <c r="C4253" s="1"/>
      <c r="D4253" s="1"/>
      <c r="E4253" s="6"/>
      <c r="F4253" s="1"/>
      <c r="G4253" s="6"/>
      <c r="H4253" s="6"/>
      <c r="I4253" s="6"/>
      <c r="J4253" s="6"/>
      <c r="K4253" s="6"/>
      <c r="L4253" s="6"/>
      <c r="M4253" s="6"/>
      <c r="N4253" s="6"/>
      <c r="O4253" s="7"/>
      <c r="P4253" s="6"/>
      <c r="Q4253" s="6"/>
      <c r="R4253" s="7"/>
      <c r="S4253" s="6"/>
      <c r="T4253" s="6"/>
      <c r="U4253" s="7"/>
      <c r="V4253" s="6"/>
      <c r="W4253" s="6"/>
      <c r="X4253" s="12"/>
      <c r="Y4253" s="6"/>
      <c r="Z4253" s="6"/>
      <c r="AA4253" s="7"/>
      <c r="AB4253" s="6"/>
      <c r="AC4253" s="6"/>
      <c r="AD4253" s="6"/>
      <c r="AE4253" s="12"/>
      <c r="AF4253" s="6"/>
      <c r="AG4253" s="12"/>
      <c r="AH4253" s="6"/>
      <c r="AI4253" s="6"/>
      <c r="AJ4253" s="12"/>
      <c r="AK4253" s="24"/>
      <c r="AL4253" s="25"/>
      <c r="AM4253" s="12"/>
      <c r="AN4253" s="1"/>
      <c r="AO4253" s="6"/>
    </row>
    <row r="4254" spans="1:41" ht="15" x14ac:dyDescent="0.25">
      <c r="A4254" s="1"/>
      <c r="B4254" s="1"/>
      <c r="C4254" s="1"/>
      <c r="D4254" s="1"/>
      <c r="E4254" s="6"/>
      <c r="F4254" s="1"/>
      <c r="G4254" s="6"/>
      <c r="H4254" s="6"/>
      <c r="I4254" s="6"/>
      <c r="J4254" s="6"/>
      <c r="K4254" s="6"/>
      <c r="L4254" s="6"/>
      <c r="M4254" s="6"/>
      <c r="N4254" s="6"/>
      <c r="O4254" s="7"/>
      <c r="P4254" s="6"/>
      <c r="Q4254" s="6"/>
      <c r="R4254" s="7"/>
      <c r="S4254" s="6"/>
      <c r="T4254" s="6"/>
      <c r="U4254" s="7"/>
      <c r="V4254" s="6"/>
      <c r="W4254" s="6"/>
      <c r="X4254" s="6"/>
      <c r="Y4254" s="6"/>
      <c r="Z4254" s="6"/>
      <c r="AA4254" s="7"/>
      <c r="AB4254" s="6"/>
      <c r="AC4254" s="6"/>
      <c r="AD4254" s="6"/>
      <c r="AE4254" s="12"/>
      <c r="AF4254" s="6"/>
      <c r="AG4254" s="12"/>
      <c r="AH4254" s="6"/>
      <c r="AI4254" s="6"/>
      <c r="AJ4254" s="12"/>
      <c r="AK4254" s="24"/>
      <c r="AL4254" s="25"/>
      <c r="AM4254" s="12"/>
      <c r="AN4254" s="1"/>
      <c r="AO4254" s="6"/>
    </row>
    <row r="4255" spans="1:41" ht="15" x14ac:dyDescent="0.25">
      <c r="A4255" s="1"/>
      <c r="B4255" s="1"/>
      <c r="C4255" s="1"/>
      <c r="D4255" s="1"/>
      <c r="E4255" s="6"/>
      <c r="F4255" s="1"/>
      <c r="G4255" s="6"/>
      <c r="H4255" s="6"/>
      <c r="I4255" s="6"/>
      <c r="J4255" s="6"/>
      <c r="K4255" s="6"/>
      <c r="L4255" s="6"/>
      <c r="M4255" s="6"/>
      <c r="N4255" s="6"/>
      <c r="O4255" s="7"/>
      <c r="P4255" s="6"/>
      <c r="Q4255" s="6"/>
      <c r="R4255" s="7"/>
      <c r="S4255" s="6"/>
      <c r="T4255" s="6"/>
      <c r="U4255" s="7"/>
      <c r="V4255" s="6"/>
      <c r="W4255" s="6"/>
      <c r="X4255" s="6"/>
      <c r="Y4255" s="6"/>
      <c r="Z4255" s="6"/>
      <c r="AA4255" s="7"/>
      <c r="AB4255" s="6"/>
      <c r="AC4255" s="6"/>
      <c r="AD4255" s="6"/>
      <c r="AE4255" s="12"/>
      <c r="AF4255" s="6"/>
      <c r="AG4255" s="12"/>
      <c r="AH4255" s="6"/>
      <c r="AI4255" s="6"/>
      <c r="AJ4255" s="12"/>
      <c r="AK4255" s="24"/>
      <c r="AL4255" s="25"/>
      <c r="AM4255" s="12"/>
      <c r="AN4255" s="1"/>
      <c r="AO4255" s="6"/>
    </row>
    <row r="4256" spans="1:41" ht="15" x14ac:dyDescent="0.25">
      <c r="A4256" s="1"/>
      <c r="B4256" s="1"/>
      <c r="C4256" s="1"/>
      <c r="D4256" s="1"/>
      <c r="E4256" s="6"/>
      <c r="F4256" s="1"/>
      <c r="G4256" s="6"/>
      <c r="H4256" s="6"/>
      <c r="I4256" s="6"/>
      <c r="J4256" s="6"/>
      <c r="K4256" s="6"/>
      <c r="L4256" s="6"/>
      <c r="M4256" s="6"/>
      <c r="N4256" s="6"/>
      <c r="O4256" s="7"/>
      <c r="P4256" s="6"/>
      <c r="Q4256" s="6"/>
      <c r="R4256" s="7"/>
      <c r="S4256" s="6"/>
      <c r="T4256" s="6"/>
      <c r="U4256" s="7"/>
      <c r="V4256" s="6"/>
      <c r="W4256" s="6"/>
      <c r="X4256" s="6"/>
      <c r="Y4256" s="6"/>
      <c r="Z4256" s="6"/>
      <c r="AA4256" s="7"/>
      <c r="AB4256" s="6"/>
      <c r="AC4256" s="6"/>
      <c r="AD4256" s="6"/>
      <c r="AE4256" s="12"/>
      <c r="AF4256" s="6"/>
      <c r="AG4256" s="12"/>
      <c r="AH4256" s="6"/>
      <c r="AI4256" s="6"/>
      <c r="AJ4256" s="12"/>
      <c r="AK4256" s="24"/>
      <c r="AL4256" s="25"/>
      <c r="AM4256" s="12"/>
      <c r="AN4256" s="1"/>
      <c r="AO4256" s="6"/>
    </row>
    <row r="4257" spans="1:41" ht="15" x14ac:dyDescent="0.25">
      <c r="A4257" s="1"/>
      <c r="B4257" s="1"/>
      <c r="C4257" s="1"/>
      <c r="D4257" s="1"/>
      <c r="E4257" s="6"/>
      <c r="F4257" s="1"/>
      <c r="G4257" s="6"/>
      <c r="H4257" s="6"/>
      <c r="I4257" s="6"/>
      <c r="J4257" s="6"/>
      <c r="K4257" s="6"/>
      <c r="L4257" s="6"/>
      <c r="M4257" s="6"/>
      <c r="N4257" s="6"/>
      <c r="O4257" s="7"/>
      <c r="P4257" s="6"/>
      <c r="Q4257" s="6"/>
      <c r="R4257" s="7"/>
      <c r="S4257" s="6"/>
      <c r="T4257" s="6"/>
      <c r="U4257" s="7"/>
      <c r="V4257" s="6"/>
      <c r="W4257" s="6"/>
      <c r="X4257" s="6"/>
      <c r="Y4257" s="6"/>
      <c r="Z4257" s="6"/>
      <c r="AA4257" s="7"/>
      <c r="AB4257" s="6"/>
      <c r="AC4257" s="6"/>
      <c r="AD4257" s="6"/>
      <c r="AE4257" s="12"/>
      <c r="AF4257" s="6"/>
      <c r="AG4257" s="12"/>
      <c r="AH4257" s="6"/>
      <c r="AI4257" s="6"/>
      <c r="AJ4257" s="12"/>
      <c r="AK4257" s="24"/>
      <c r="AL4257" s="25"/>
      <c r="AM4257" s="12"/>
      <c r="AN4257" s="1"/>
      <c r="AO4257" s="6"/>
    </row>
    <row r="4258" spans="1:41" ht="15" x14ac:dyDescent="0.25">
      <c r="A4258" s="1"/>
      <c r="B4258" s="1"/>
      <c r="C4258" s="1"/>
      <c r="D4258" s="1"/>
      <c r="E4258" s="6"/>
      <c r="F4258" s="1"/>
      <c r="G4258" s="6"/>
      <c r="H4258" s="6"/>
      <c r="I4258" s="6"/>
      <c r="J4258" s="6"/>
      <c r="K4258" s="6"/>
      <c r="L4258" s="6"/>
      <c r="M4258" s="6"/>
      <c r="N4258" s="6"/>
      <c r="O4258" s="7"/>
      <c r="P4258" s="6"/>
      <c r="Q4258" s="6"/>
      <c r="R4258" s="12"/>
      <c r="S4258" s="12"/>
      <c r="T4258" s="12"/>
      <c r="U4258" s="7"/>
      <c r="V4258" s="6"/>
      <c r="W4258" s="6"/>
      <c r="X4258" s="12"/>
      <c r="Y4258" s="6"/>
      <c r="Z4258" s="6"/>
      <c r="AA4258" s="7"/>
      <c r="AB4258" s="6"/>
      <c r="AC4258" s="6"/>
      <c r="AD4258" s="6"/>
      <c r="AE4258" s="12"/>
      <c r="AF4258" s="12"/>
      <c r="AG4258" s="12"/>
      <c r="AH4258" s="12"/>
      <c r="AI4258" s="6"/>
      <c r="AJ4258" s="12"/>
      <c r="AK4258" s="1"/>
      <c r="AL4258" s="12"/>
      <c r="AM4258" s="12"/>
      <c r="AN4258" s="1"/>
      <c r="AO4258" s="6"/>
    </row>
    <row r="4259" spans="1:41" ht="15" x14ac:dyDescent="0.25">
      <c r="A4259" s="1"/>
      <c r="B4259" s="1"/>
      <c r="C4259" s="1"/>
      <c r="D4259" s="1"/>
      <c r="E4259" s="6"/>
      <c r="F4259" s="1"/>
      <c r="G4259" s="6"/>
      <c r="H4259" s="6"/>
      <c r="I4259" s="6"/>
      <c r="J4259" s="6"/>
      <c r="K4259" s="6"/>
      <c r="L4259" s="6"/>
      <c r="M4259" s="6"/>
      <c r="N4259" s="6"/>
      <c r="O4259" s="7"/>
      <c r="P4259" s="6"/>
      <c r="Q4259" s="6"/>
      <c r="R4259" s="7"/>
      <c r="S4259" s="6"/>
      <c r="T4259" s="6"/>
      <c r="U4259" s="7"/>
      <c r="V4259" s="6"/>
      <c r="W4259" s="6"/>
      <c r="X4259" s="6"/>
      <c r="Y4259" s="6"/>
      <c r="Z4259" s="6"/>
      <c r="AA4259" s="7"/>
      <c r="AB4259" s="6"/>
      <c r="AC4259" s="6"/>
      <c r="AD4259" s="6"/>
      <c r="AE4259" s="12"/>
      <c r="AF4259" s="6"/>
      <c r="AG4259" s="12"/>
      <c r="AH4259" s="6"/>
      <c r="AI4259" s="6"/>
      <c r="AJ4259" s="12"/>
      <c r="AK4259" s="24"/>
      <c r="AL4259" s="25"/>
      <c r="AM4259" s="12"/>
      <c r="AN4259" s="1"/>
      <c r="AO4259" s="6"/>
    </row>
    <row r="4260" spans="1:41" ht="15" x14ac:dyDescent="0.25">
      <c r="A4260" s="1"/>
      <c r="B4260" s="1"/>
      <c r="C4260" s="1"/>
      <c r="D4260" s="1"/>
      <c r="E4260" s="6"/>
      <c r="F4260" s="1"/>
      <c r="G4260" s="6"/>
      <c r="H4260" s="6"/>
      <c r="I4260" s="6"/>
      <c r="J4260" s="6"/>
      <c r="K4260" s="6"/>
      <c r="L4260" s="6"/>
      <c r="M4260" s="6"/>
      <c r="N4260" s="6"/>
      <c r="O4260" s="7"/>
      <c r="P4260" s="6"/>
      <c r="Q4260" s="6"/>
      <c r="R4260" s="7"/>
      <c r="S4260" s="6"/>
      <c r="T4260" s="6"/>
      <c r="U4260" s="7"/>
      <c r="V4260" s="6"/>
      <c r="W4260" s="6"/>
      <c r="X4260" s="6"/>
      <c r="Y4260" s="6"/>
      <c r="Z4260" s="6"/>
      <c r="AA4260" s="7"/>
      <c r="AB4260" s="6"/>
      <c r="AC4260" s="6"/>
      <c r="AD4260" s="6"/>
      <c r="AE4260" s="12"/>
      <c r="AF4260" s="6"/>
      <c r="AG4260" s="12"/>
      <c r="AH4260" s="6"/>
      <c r="AI4260" s="6"/>
      <c r="AJ4260" s="12"/>
      <c r="AK4260" s="24"/>
      <c r="AL4260" s="25"/>
      <c r="AM4260" s="12"/>
      <c r="AN4260" s="1"/>
      <c r="AO4260" s="6"/>
    </row>
    <row r="4261" spans="1:41" ht="15" x14ac:dyDescent="0.25">
      <c r="A4261" s="1"/>
      <c r="B4261" s="1"/>
      <c r="C4261" s="1"/>
      <c r="D4261" s="1"/>
      <c r="E4261" s="6"/>
      <c r="F4261" s="1"/>
      <c r="G4261" s="6"/>
      <c r="H4261" s="6"/>
      <c r="I4261" s="6"/>
      <c r="J4261" s="6"/>
      <c r="K4261" s="6"/>
      <c r="L4261" s="6"/>
      <c r="M4261" s="6"/>
      <c r="N4261" s="6"/>
      <c r="O4261" s="7"/>
      <c r="P4261" s="6"/>
      <c r="Q4261" s="6"/>
      <c r="R4261" s="7"/>
      <c r="S4261" s="6"/>
      <c r="T4261" s="6"/>
      <c r="U4261" s="7"/>
      <c r="V4261" s="6"/>
      <c r="W4261" s="6"/>
      <c r="X4261" s="12"/>
      <c r="Y4261" s="6"/>
      <c r="Z4261" s="6"/>
      <c r="AA4261" s="7"/>
      <c r="AB4261" s="6"/>
      <c r="AC4261" s="6"/>
      <c r="AD4261" s="6"/>
      <c r="AE4261" s="12"/>
      <c r="AF4261" s="12"/>
      <c r="AG4261" s="12"/>
      <c r="AH4261" s="12"/>
      <c r="AI4261" s="6"/>
      <c r="AJ4261" s="12"/>
      <c r="AK4261" s="1"/>
      <c r="AL4261" s="12"/>
      <c r="AM4261" s="12"/>
      <c r="AN4261" s="1"/>
      <c r="AO4261" s="6"/>
    </row>
    <row r="4262" spans="1:41" ht="15" x14ac:dyDescent="0.25">
      <c r="A4262" s="1"/>
      <c r="B4262" s="1"/>
      <c r="C4262" s="1"/>
      <c r="D4262" s="1"/>
      <c r="E4262" s="6"/>
      <c r="F4262" s="1"/>
      <c r="G4262" s="6"/>
      <c r="H4262" s="6"/>
      <c r="I4262" s="6"/>
      <c r="J4262" s="6"/>
      <c r="K4262" s="6"/>
      <c r="L4262" s="6"/>
      <c r="M4262" s="6"/>
      <c r="N4262" s="6"/>
      <c r="O4262" s="7"/>
      <c r="P4262" s="6"/>
      <c r="Q4262" s="6"/>
      <c r="R4262" s="7"/>
      <c r="S4262" s="6"/>
      <c r="T4262" s="6"/>
      <c r="U4262" s="7"/>
      <c r="V4262" s="6"/>
      <c r="W4262" s="6"/>
      <c r="X4262" s="12"/>
      <c r="Y4262" s="6"/>
      <c r="Z4262" s="6"/>
      <c r="AA4262" s="7"/>
      <c r="AB4262" s="6"/>
      <c r="AC4262" s="6"/>
      <c r="AD4262" s="6"/>
      <c r="AE4262" s="12"/>
      <c r="AF4262" s="12"/>
      <c r="AG4262" s="12"/>
      <c r="AH4262" s="12"/>
      <c r="AI4262" s="6"/>
      <c r="AJ4262" s="12"/>
      <c r="AK4262" s="1"/>
      <c r="AL4262" s="12"/>
      <c r="AM4262" s="12"/>
      <c r="AN4262" s="1"/>
      <c r="AO4262" s="6"/>
    </row>
    <row r="4263" spans="1:41" ht="15" x14ac:dyDescent="0.25">
      <c r="A4263" s="1"/>
      <c r="B4263" s="1"/>
      <c r="C4263" s="1"/>
      <c r="D4263" s="1"/>
      <c r="E4263" s="6"/>
      <c r="F4263" s="1"/>
      <c r="G4263" s="6"/>
      <c r="H4263" s="6"/>
      <c r="I4263" s="6"/>
      <c r="J4263" s="6"/>
      <c r="K4263" s="6"/>
      <c r="L4263" s="6"/>
      <c r="M4263" s="6"/>
      <c r="N4263" s="6"/>
      <c r="O4263" s="7"/>
      <c r="P4263" s="6"/>
      <c r="Q4263" s="6"/>
      <c r="R4263" s="7"/>
      <c r="S4263" s="6"/>
      <c r="T4263" s="6"/>
      <c r="U4263" s="7"/>
      <c r="V4263" s="6"/>
      <c r="W4263" s="6"/>
      <c r="X4263" s="6"/>
      <c r="Y4263" s="6"/>
      <c r="Z4263" s="6"/>
      <c r="AA4263" s="7"/>
      <c r="AB4263" s="6"/>
      <c r="AC4263" s="6"/>
      <c r="AD4263" s="6"/>
      <c r="AE4263" s="12"/>
      <c r="AF4263" s="12"/>
      <c r="AG4263" s="12"/>
      <c r="AH4263" s="12"/>
      <c r="AI4263" s="6"/>
      <c r="AJ4263" s="12"/>
      <c r="AK4263" s="1"/>
      <c r="AL4263" s="12"/>
      <c r="AM4263" s="12"/>
      <c r="AN4263" s="1"/>
      <c r="AO4263" s="6"/>
    </row>
    <row r="4264" spans="1:41" ht="15" x14ac:dyDescent="0.25">
      <c r="A4264" s="1"/>
      <c r="B4264" s="1"/>
      <c r="C4264" s="1"/>
      <c r="D4264" s="1"/>
      <c r="E4264" s="6"/>
      <c r="F4264" s="1"/>
      <c r="G4264" s="6"/>
      <c r="H4264" s="6"/>
      <c r="I4264" s="6"/>
      <c r="J4264" s="6"/>
      <c r="K4264" s="6"/>
      <c r="L4264" s="6"/>
      <c r="M4264" s="6"/>
      <c r="N4264" s="6"/>
      <c r="O4264" s="7"/>
      <c r="P4264" s="6"/>
      <c r="Q4264" s="6"/>
      <c r="R4264" s="7"/>
      <c r="S4264" s="6"/>
      <c r="T4264" s="6"/>
      <c r="U4264" s="7"/>
      <c r="V4264" s="6"/>
      <c r="W4264" s="6"/>
      <c r="X4264" s="12"/>
      <c r="Y4264" s="6"/>
      <c r="Z4264" s="6"/>
      <c r="AA4264" s="7"/>
      <c r="AB4264" s="6"/>
      <c r="AC4264" s="6"/>
      <c r="AD4264" s="6"/>
      <c r="AE4264" s="12"/>
      <c r="AF4264" s="6"/>
      <c r="AG4264" s="12"/>
      <c r="AH4264" s="6"/>
      <c r="AI4264" s="6"/>
      <c r="AJ4264" s="12"/>
      <c r="AK4264" s="1"/>
      <c r="AL4264" s="12"/>
      <c r="AM4264" s="12"/>
      <c r="AN4264" s="1"/>
      <c r="AO4264" s="6"/>
    </row>
    <row r="4265" spans="1:41" ht="15" x14ac:dyDescent="0.25">
      <c r="A4265" s="1"/>
      <c r="B4265" s="1"/>
      <c r="C4265" s="1"/>
      <c r="D4265" s="1"/>
      <c r="E4265" s="6"/>
      <c r="F4265" s="1"/>
      <c r="G4265" s="6"/>
      <c r="H4265" s="6"/>
      <c r="I4265" s="6"/>
      <c r="J4265" s="6"/>
      <c r="K4265" s="6"/>
      <c r="L4265" s="6"/>
      <c r="M4265" s="6"/>
      <c r="N4265" s="6"/>
      <c r="O4265" s="7"/>
      <c r="P4265" s="6"/>
      <c r="Q4265" s="6"/>
      <c r="R4265" s="7"/>
      <c r="S4265" s="6"/>
      <c r="T4265" s="6"/>
      <c r="U4265" s="7"/>
      <c r="V4265" s="6"/>
      <c r="W4265" s="6"/>
      <c r="X4265" s="12"/>
      <c r="Y4265" s="6"/>
      <c r="Z4265" s="6"/>
      <c r="AA4265" s="7"/>
      <c r="AB4265" s="6"/>
      <c r="AC4265" s="6"/>
      <c r="AD4265" s="6"/>
      <c r="AE4265" s="12"/>
      <c r="AF4265" s="6"/>
      <c r="AG4265" s="12"/>
      <c r="AH4265" s="6"/>
      <c r="AI4265" s="6"/>
      <c r="AJ4265" s="12"/>
      <c r="AK4265" s="1"/>
      <c r="AL4265" s="12"/>
      <c r="AM4265" s="12"/>
      <c r="AN4265" s="1"/>
      <c r="AO4265" s="6"/>
    </row>
    <row r="4266" spans="1:41" ht="15" x14ac:dyDescent="0.25">
      <c r="A4266" s="1"/>
      <c r="B4266" s="1"/>
      <c r="C4266" s="1"/>
      <c r="D4266" s="1"/>
      <c r="E4266" s="6"/>
      <c r="F4266" s="1"/>
      <c r="G4266" s="6"/>
      <c r="H4266" s="6"/>
      <c r="I4266" s="6"/>
      <c r="J4266" s="6"/>
      <c r="K4266" s="6"/>
      <c r="L4266" s="6"/>
      <c r="M4266" s="6"/>
      <c r="N4266" s="6"/>
      <c r="O4266" s="7"/>
      <c r="P4266" s="6"/>
      <c r="Q4266" s="6"/>
      <c r="R4266" s="7"/>
      <c r="S4266" s="6"/>
      <c r="T4266" s="6"/>
      <c r="U4266" s="7"/>
      <c r="V4266" s="6"/>
      <c r="W4266" s="6"/>
      <c r="X4266" s="12"/>
      <c r="Y4266" s="6"/>
      <c r="Z4266" s="6"/>
      <c r="AA4266" s="7"/>
      <c r="AB4266" s="6"/>
      <c r="AC4266" s="6"/>
      <c r="AD4266" s="6"/>
      <c r="AE4266" s="12"/>
      <c r="AF4266" s="6"/>
      <c r="AG4266" s="12"/>
      <c r="AH4266" s="6"/>
      <c r="AI4266" s="6"/>
      <c r="AJ4266" s="12"/>
      <c r="AK4266" s="1"/>
      <c r="AL4266" s="12"/>
      <c r="AM4266" s="12"/>
      <c r="AN4266" s="1"/>
      <c r="AO4266" s="6"/>
    </row>
    <row r="4267" spans="1:41" ht="15" x14ac:dyDescent="0.25">
      <c r="A4267" s="1"/>
      <c r="B4267" s="1"/>
      <c r="C4267" s="1"/>
      <c r="D4267" s="1"/>
      <c r="E4267" s="6"/>
      <c r="F4267" s="1"/>
      <c r="G4267" s="6"/>
      <c r="H4267" s="6"/>
      <c r="I4267" s="6"/>
      <c r="J4267" s="6"/>
      <c r="K4267" s="6"/>
      <c r="L4267" s="6"/>
      <c r="M4267" s="6"/>
      <c r="N4267" s="6"/>
      <c r="O4267" s="7"/>
      <c r="P4267" s="6"/>
      <c r="Q4267" s="6"/>
      <c r="R4267" s="7"/>
      <c r="S4267" s="6"/>
      <c r="T4267" s="6"/>
      <c r="U4267" s="7"/>
      <c r="V4267" s="6"/>
      <c r="W4267" s="6"/>
      <c r="X4267" s="12"/>
      <c r="Y4267" s="6"/>
      <c r="Z4267" s="6"/>
      <c r="AA4267" s="7"/>
      <c r="AB4267" s="6"/>
      <c r="AC4267" s="6"/>
      <c r="AD4267" s="6"/>
      <c r="AE4267" s="12"/>
      <c r="AF4267" s="6"/>
      <c r="AG4267" s="12"/>
      <c r="AH4267" s="6"/>
      <c r="AI4267" s="6"/>
      <c r="AJ4267" s="12"/>
      <c r="AK4267" s="1"/>
      <c r="AL4267" s="12"/>
      <c r="AM4267" s="12"/>
      <c r="AN4267" s="1"/>
      <c r="AO4267" s="6"/>
    </row>
    <row r="4268" spans="1:41" ht="15" x14ac:dyDescent="0.25">
      <c r="A4268" s="1"/>
      <c r="B4268" s="1"/>
      <c r="C4268" s="1"/>
      <c r="D4268" s="1"/>
      <c r="E4268" s="6"/>
      <c r="F4268" s="1"/>
      <c r="G4268" s="6"/>
      <c r="H4268" s="6"/>
      <c r="I4268" s="6"/>
      <c r="J4268" s="6"/>
      <c r="K4268" s="6"/>
      <c r="L4268" s="6"/>
      <c r="M4268" s="6"/>
      <c r="N4268" s="6"/>
      <c r="O4268" s="7"/>
      <c r="P4268" s="6"/>
      <c r="Q4268" s="7"/>
      <c r="R4268" s="6"/>
      <c r="S4268" s="12"/>
      <c r="T4268" s="6"/>
      <c r="U4268" s="6"/>
      <c r="V4268" s="7"/>
      <c r="W4268" s="7"/>
      <c r="X4268" s="6"/>
      <c r="Y4268" s="6"/>
      <c r="Z4268" s="6"/>
      <c r="AA4268" s="1"/>
      <c r="AB4268" s="12"/>
      <c r="AC4268" s="12"/>
      <c r="AD4268" s="12"/>
      <c r="AE4268" s="12"/>
      <c r="AF4268" s="12"/>
      <c r="AG4268" s="12"/>
      <c r="AH4268" s="12"/>
      <c r="AI4268" s="6"/>
      <c r="AJ4268" s="12"/>
      <c r="AK4268" s="12"/>
      <c r="AL4268" s="12"/>
      <c r="AM4268" s="12"/>
      <c r="AN4268" s="1"/>
      <c r="AO4268" s="6"/>
    </row>
    <row r="4269" spans="1:41" ht="15" x14ac:dyDescent="0.25">
      <c r="A4269" s="1"/>
      <c r="B4269" s="1"/>
      <c r="C4269" s="1"/>
      <c r="D4269" s="1"/>
      <c r="E4269" s="6"/>
      <c r="F4269" s="1"/>
      <c r="G4269" s="6"/>
      <c r="H4269" s="6"/>
      <c r="I4269" s="6"/>
      <c r="J4269" s="6"/>
      <c r="K4269" s="6"/>
      <c r="L4269" s="6"/>
      <c r="M4269" s="6"/>
      <c r="N4269" s="6"/>
      <c r="O4269" s="7"/>
      <c r="P4269" s="6"/>
      <c r="Q4269" s="6"/>
      <c r="R4269" s="7"/>
      <c r="S4269" s="6"/>
      <c r="T4269" s="6"/>
      <c r="U4269" s="7"/>
      <c r="V4269" s="6"/>
      <c r="W4269" s="6"/>
      <c r="X4269" s="6"/>
      <c r="Y4269" s="6"/>
      <c r="Z4269" s="6"/>
      <c r="AA4269" s="7"/>
      <c r="AB4269" s="6"/>
      <c r="AC4269" s="6"/>
      <c r="AD4269" s="6"/>
      <c r="AE4269" s="12"/>
      <c r="AF4269" s="6"/>
      <c r="AG4269" s="12"/>
      <c r="AH4269" s="6"/>
      <c r="AI4269" s="6"/>
      <c r="AJ4269" s="12"/>
      <c r="AK4269" s="1"/>
      <c r="AL4269" s="12"/>
      <c r="AM4269" s="12"/>
      <c r="AN4269" s="1"/>
      <c r="AO4269" s="6"/>
    </row>
    <row r="4270" spans="1:41" ht="15" x14ac:dyDescent="0.25">
      <c r="A4270" s="1"/>
      <c r="B4270" s="1"/>
      <c r="C4270" s="1"/>
      <c r="D4270" s="1"/>
      <c r="E4270" s="6"/>
      <c r="F4270" s="1"/>
      <c r="G4270" s="6"/>
      <c r="H4270" s="6"/>
      <c r="I4270" s="6"/>
      <c r="J4270" s="6"/>
      <c r="K4270" s="6"/>
      <c r="L4270" s="6"/>
      <c r="M4270" s="6"/>
      <c r="N4270" s="6"/>
      <c r="O4270" s="7"/>
      <c r="P4270" s="6"/>
      <c r="Q4270" s="6"/>
      <c r="R4270" s="7"/>
      <c r="S4270" s="6"/>
      <c r="T4270" s="6"/>
      <c r="U4270" s="7"/>
      <c r="V4270" s="6"/>
      <c r="W4270" s="6"/>
      <c r="X4270" s="6"/>
      <c r="Y4270" s="6"/>
      <c r="Z4270" s="6"/>
      <c r="AA4270" s="7"/>
      <c r="AB4270" s="6"/>
      <c r="AC4270" s="6"/>
      <c r="AD4270" s="6"/>
      <c r="AE4270" s="12"/>
      <c r="AF4270" s="6"/>
      <c r="AG4270" s="12"/>
      <c r="AH4270" s="6"/>
      <c r="AI4270" s="6"/>
      <c r="AJ4270" s="12"/>
      <c r="AK4270" s="1"/>
      <c r="AL4270" s="12"/>
      <c r="AM4270" s="12"/>
      <c r="AN4270" s="1"/>
      <c r="AO4270" s="6"/>
    </row>
    <row r="4271" spans="1:41" ht="15" x14ac:dyDescent="0.25">
      <c r="A4271" s="1"/>
      <c r="B4271" s="1"/>
      <c r="C4271" s="1"/>
      <c r="D4271" s="1"/>
      <c r="E4271" s="6"/>
      <c r="F4271" s="1"/>
      <c r="G4271" s="6"/>
      <c r="H4271" s="6"/>
      <c r="I4271" s="6"/>
      <c r="J4271" s="6"/>
      <c r="K4271" s="6"/>
      <c r="L4271" s="6"/>
      <c r="M4271" s="6"/>
      <c r="N4271" s="6"/>
      <c r="O4271" s="7"/>
      <c r="P4271" s="6"/>
      <c r="Q4271" s="6"/>
      <c r="R4271" s="7"/>
      <c r="S4271" s="6"/>
      <c r="T4271" s="6"/>
      <c r="U4271" s="7"/>
      <c r="V4271" s="6"/>
      <c r="W4271" s="6"/>
      <c r="X4271" s="6"/>
      <c r="Y4271" s="6"/>
      <c r="Z4271" s="6"/>
      <c r="AA4271" s="7"/>
      <c r="AB4271" s="6"/>
      <c r="AC4271" s="6"/>
      <c r="AD4271" s="6"/>
      <c r="AE4271" s="12"/>
      <c r="AF4271" s="6"/>
      <c r="AG4271" s="12"/>
      <c r="AH4271" s="6"/>
      <c r="AI4271" s="6"/>
      <c r="AJ4271" s="12"/>
      <c r="AK4271" s="24"/>
      <c r="AL4271" s="25"/>
      <c r="AM4271" s="12"/>
      <c r="AN4271" s="1"/>
      <c r="AO4271" s="6"/>
    </row>
    <row r="4272" spans="1:41" ht="15" x14ac:dyDescent="0.25">
      <c r="A4272" s="1"/>
      <c r="B4272" s="1"/>
      <c r="C4272" s="1"/>
      <c r="D4272" s="1"/>
      <c r="E4272" s="6"/>
      <c r="F4272" s="1"/>
      <c r="G4272" s="6"/>
      <c r="H4272" s="6"/>
      <c r="I4272" s="6"/>
      <c r="J4272" s="6"/>
      <c r="K4272" s="6"/>
      <c r="L4272" s="6"/>
      <c r="M4272" s="6"/>
      <c r="N4272" s="6"/>
      <c r="O4272" s="7"/>
      <c r="P4272" s="6"/>
      <c r="Q4272" s="6"/>
      <c r="R4272" s="7"/>
      <c r="S4272" s="6"/>
      <c r="T4272" s="6"/>
      <c r="U4272" s="7"/>
      <c r="V4272" s="6"/>
      <c r="W4272" s="6"/>
      <c r="X4272" s="6"/>
      <c r="Y4272" s="6"/>
      <c r="Z4272" s="6"/>
      <c r="AA4272" s="7"/>
      <c r="AB4272" s="6"/>
      <c r="AC4272" s="6"/>
      <c r="AD4272" s="6"/>
      <c r="AE4272" s="12"/>
      <c r="AF4272" s="6"/>
      <c r="AG4272" s="12"/>
      <c r="AH4272" s="6"/>
      <c r="AI4272" s="6"/>
      <c r="AJ4272" s="12"/>
      <c r="AK4272" s="24"/>
      <c r="AL4272" s="25"/>
      <c r="AM4272" s="12"/>
      <c r="AN4272" s="1"/>
      <c r="AO4272" s="6"/>
    </row>
    <row r="4273" spans="1:41" ht="15" x14ac:dyDescent="0.25">
      <c r="A4273" s="1"/>
      <c r="B4273" s="1"/>
      <c r="C4273" s="1"/>
      <c r="D4273" s="1"/>
      <c r="E4273" s="6"/>
      <c r="F4273" s="1"/>
      <c r="G4273" s="6"/>
      <c r="H4273" s="6"/>
      <c r="I4273" s="6"/>
      <c r="J4273" s="6"/>
      <c r="K4273" s="6"/>
      <c r="L4273" s="6"/>
      <c r="M4273" s="6"/>
      <c r="N4273" s="6"/>
      <c r="O4273" s="7"/>
      <c r="P4273" s="6"/>
      <c r="Q4273" s="7"/>
      <c r="R4273" s="6"/>
      <c r="S4273" s="6"/>
      <c r="T4273" s="6"/>
      <c r="U4273" s="6"/>
      <c r="V4273" s="7"/>
      <c r="W4273" s="6"/>
      <c r="X4273" s="6"/>
      <c r="Y4273" s="6"/>
      <c r="Z4273" s="6"/>
      <c r="AA4273" s="24"/>
      <c r="AB4273" s="25"/>
      <c r="AC4273" s="12"/>
      <c r="AD4273" s="12"/>
      <c r="AE4273" s="12"/>
      <c r="AF4273" s="6"/>
      <c r="AG4273" s="12"/>
      <c r="AH4273" s="6"/>
      <c r="AI4273" s="6"/>
      <c r="AJ4273" s="12"/>
      <c r="AK4273" s="12"/>
      <c r="AL4273" s="12"/>
      <c r="AM4273" s="12"/>
      <c r="AN4273" s="1"/>
      <c r="AO4273" s="6"/>
    </row>
    <row r="4274" spans="1:41" ht="15" x14ac:dyDescent="0.25">
      <c r="A4274" s="1"/>
      <c r="B4274" s="1"/>
      <c r="C4274" s="1"/>
      <c r="D4274" s="1"/>
      <c r="E4274" s="6"/>
      <c r="F4274" s="1"/>
      <c r="G4274" s="6"/>
      <c r="H4274" s="6"/>
      <c r="I4274" s="6"/>
      <c r="J4274" s="6"/>
      <c r="K4274" s="6"/>
      <c r="L4274" s="6"/>
      <c r="M4274" s="6"/>
      <c r="N4274" s="6"/>
      <c r="O4274" s="7"/>
      <c r="P4274" s="6"/>
      <c r="Q4274" s="7"/>
      <c r="R4274" s="6"/>
      <c r="S4274" s="6"/>
      <c r="T4274" s="6"/>
      <c r="U4274" s="6"/>
      <c r="V4274" s="7"/>
      <c r="W4274" s="6"/>
      <c r="X4274" s="6"/>
      <c r="Y4274" s="6"/>
      <c r="Z4274" s="6"/>
      <c r="AA4274" s="24"/>
      <c r="AB4274" s="25"/>
      <c r="AC4274" s="12"/>
      <c r="AD4274" s="12"/>
      <c r="AE4274" s="12"/>
      <c r="AF4274" s="6"/>
      <c r="AG4274" s="12"/>
      <c r="AH4274" s="6"/>
      <c r="AI4274" s="6"/>
      <c r="AJ4274" s="12"/>
      <c r="AK4274" s="12"/>
      <c r="AL4274" s="12"/>
      <c r="AM4274" s="12"/>
      <c r="AN4274" s="1"/>
      <c r="AO4274" s="6"/>
    </row>
    <row r="4275" spans="1:41" ht="15" x14ac:dyDescent="0.25">
      <c r="A4275" s="1"/>
      <c r="B4275" s="1"/>
      <c r="C4275" s="1"/>
      <c r="D4275" s="1"/>
      <c r="E4275" s="6"/>
      <c r="F4275" s="1"/>
      <c r="G4275" s="6"/>
      <c r="H4275" s="6"/>
      <c r="I4275" s="6"/>
      <c r="J4275" s="6"/>
      <c r="K4275" s="12"/>
      <c r="L4275" s="12"/>
      <c r="M4275" s="6"/>
      <c r="N4275" s="6"/>
      <c r="O4275" s="7"/>
      <c r="P4275" s="6"/>
      <c r="Q4275" s="6"/>
      <c r="R4275" s="7"/>
      <c r="S4275" s="6"/>
      <c r="T4275" s="6"/>
      <c r="U4275" s="7"/>
      <c r="V4275" s="6"/>
      <c r="W4275" s="6"/>
      <c r="X4275" s="12"/>
      <c r="Y4275" s="6"/>
      <c r="Z4275" s="6"/>
      <c r="AA4275" s="7"/>
      <c r="AB4275" s="6"/>
      <c r="AC4275" s="6"/>
      <c r="AD4275" s="6"/>
      <c r="AE4275" s="12"/>
      <c r="AF4275" s="12"/>
      <c r="AG4275" s="12"/>
      <c r="AH4275" s="12"/>
      <c r="AI4275" s="6"/>
      <c r="AJ4275" s="12"/>
      <c r="AK4275" s="24"/>
      <c r="AL4275" s="25"/>
      <c r="AM4275" s="12"/>
      <c r="AN4275" s="1"/>
      <c r="AO4275" s="12"/>
    </row>
    <row r="4276" spans="1:41" ht="15" x14ac:dyDescent="0.25">
      <c r="A4276" s="1"/>
      <c r="B4276" s="1"/>
      <c r="C4276" s="1"/>
      <c r="D4276" s="1"/>
      <c r="E4276" s="6"/>
      <c r="F4276" s="1"/>
      <c r="G4276" s="6"/>
      <c r="H4276" s="6"/>
      <c r="I4276" s="6"/>
      <c r="J4276" s="6"/>
      <c r="K4276" s="12"/>
      <c r="L4276" s="12"/>
      <c r="M4276" s="6"/>
      <c r="N4276" s="6"/>
      <c r="O4276" s="7"/>
      <c r="P4276" s="6"/>
      <c r="Q4276" s="6"/>
      <c r="R4276" s="7"/>
      <c r="S4276" s="6"/>
      <c r="T4276" s="6"/>
      <c r="U4276" s="7"/>
      <c r="V4276" s="6"/>
      <c r="W4276" s="6"/>
      <c r="X4276" s="12"/>
      <c r="Y4276" s="6"/>
      <c r="Z4276" s="6"/>
      <c r="AA4276" s="7"/>
      <c r="AB4276" s="6"/>
      <c r="AC4276" s="6"/>
      <c r="AD4276" s="6"/>
      <c r="AE4276" s="12"/>
      <c r="AF4276" s="12"/>
      <c r="AG4276" s="12"/>
      <c r="AH4276" s="12"/>
      <c r="AI4276" s="6"/>
      <c r="AJ4276" s="12"/>
      <c r="AK4276" s="24"/>
      <c r="AL4276" s="25"/>
      <c r="AM4276" s="12"/>
      <c r="AN4276" s="1"/>
      <c r="AO4276" s="12"/>
    </row>
    <row r="4277" spans="1:41" ht="15" x14ac:dyDescent="0.25">
      <c r="A4277" s="1"/>
      <c r="B4277" s="1"/>
      <c r="C4277" s="1"/>
      <c r="D4277" s="1"/>
      <c r="E4277" s="6"/>
      <c r="F4277" s="1"/>
      <c r="G4277" s="6"/>
      <c r="H4277" s="6"/>
      <c r="I4277" s="6"/>
      <c r="J4277" s="6"/>
      <c r="K4277" s="6"/>
      <c r="L4277" s="6"/>
      <c r="M4277" s="6"/>
      <c r="N4277" s="6"/>
      <c r="O4277" s="7"/>
      <c r="P4277" s="6"/>
      <c r="Q4277" s="6"/>
      <c r="R4277" s="7"/>
      <c r="S4277" s="6"/>
      <c r="T4277" s="6"/>
      <c r="U4277" s="7"/>
      <c r="V4277" s="6"/>
      <c r="W4277" s="6"/>
      <c r="X4277" s="6"/>
      <c r="Y4277" s="6"/>
      <c r="Z4277" s="6"/>
      <c r="AA4277" s="7"/>
      <c r="AB4277" s="6"/>
      <c r="AC4277" s="6"/>
      <c r="AD4277" s="6"/>
      <c r="AE4277" s="12"/>
      <c r="AF4277" s="12"/>
      <c r="AG4277" s="12"/>
      <c r="AH4277" s="12"/>
      <c r="AI4277" s="6"/>
      <c r="AJ4277" s="12"/>
      <c r="AK4277" s="1"/>
      <c r="AL4277" s="12"/>
      <c r="AM4277" s="12"/>
      <c r="AN4277" s="1"/>
      <c r="AO4277" s="6"/>
    </row>
    <row r="4278" spans="1:41" ht="15" x14ac:dyDescent="0.25">
      <c r="A4278" s="1"/>
      <c r="B4278" s="1"/>
      <c r="C4278" s="1"/>
      <c r="D4278" s="1"/>
      <c r="E4278" s="6"/>
      <c r="F4278" s="1"/>
      <c r="G4278" s="6"/>
      <c r="H4278" s="6"/>
      <c r="I4278" s="6"/>
      <c r="J4278" s="6"/>
      <c r="K4278" s="6"/>
      <c r="L4278" s="6"/>
      <c r="M4278" s="6"/>
      <c r="N4278" s="6"/>
      <c r="O4278" s="7"/>
      <c r="P4278" s="12"/>
      <c r="Q4278" s="6"/>
      <c r="R4278" s="7"/>
      <c r="S4278" s="6"/>
      <c r="T4278" s="6"/>
      <c r="U4278" s="7"/>
      <c r="V4278" s="6"/>
      <c r="W4278" s="6"/>
      <c r="X4278" s="6"/>
      <c r="Y4278" s="6"/>
      <c r="Z4278" s="6"/>
      <c r="AA4278" s="7"/>
      <c r="AB4278" s="6"/>
      <c r="AC4278" s="6"/>
      <c r="AD4278" s="6"/>
      <c r="AE4278" s="12"/>
      <c r="AF4278" s="6"/>
      <c r="AG4278" s="12"/>
      <c r="AH4278" s="6"/>
      <c r="AI4278" s="6"/>
      <c r="AJ4278" s="12"/>
      <c r="AK4278" s="1"/>
      <c r="AL4278" s="12"/>
      <c r="AM4278" s="12"/>
      <c r="AN4278" s="1"/>
      <c r="AO4278" s="6"/>
    </row>
    <row r="4279" spans="1:41" ht="15" x14ac:dyDescent="0.25">
      <c r="A4279" s="1"/>
      <c r="B4279" s="1"/>
      <c r="C4279" s="1"/>
      <c r="D4279" s="1"/>
      <c r="E4279" s="6"/>
      <c r="F4279" s="1"/>
      <c r="G4279" s="6"/>
      <c r="H4279" s="6"/>
      <c r="I4279" s="6"/>
      <c r="J4279" s="6"/>
      <c r="K4279" s="6"/>
      <c r="L4279" s="6"/>
      <c r="M4279" s="6"/>
      <c r="N4279" s="6"/>
      <c r="O4279" s="7"/>
      <c r="P4279" s="12"/>
      <c r="Q4279" s="6"/>
      <c r="R4279" s="7"/>
      <c r="S4279" s="6"/>
      <c r="T4279" s="6"/>
      <c r="U4279" s="7"/>
      <c r="V4279" s="6"/>
      <c r="W4279" s="6"/>
      <c r="X4279" s="6"/>
      <c r="Y4279" s="6"/>
      <c r="Z4279" s="6"/>
      <c r="AA4279" s="7"/>
      <c r="AB4279" s="6"/>
      <c r="AC4279" s="6"/>
      <c r="AD4279" s="6"/>
      <c r="AE4279" s="12"/>
      <c r="AF4279" s="6"/>
      <c r="AG4279" s="12"/>
      <c r="AH4279" s="6"/>
      <c r="AI4279" s="6"/>
      <c r="AJ4279" s="12"/>
      <c r="AK4279" s="1"/>
      <c r="AL4279" s="12"/>
      <c r="AM4279" s="12"/>
      <c r="AN4279" s="1"/>
      <c r="AO4279" s="6"/>
    </row>
    <row r="4280" spans="1:41" ht="15" x14ac:dyDescent="0.25">
      <c r="A4280" s="1"/>
      <c r="B4280" s="1"/>
      <c r="C4280" s="1"/>
      <c r="D4280" s="1"/>
      <c r="E4280" s="6"/>
      <c r="F4280" s="1"/>
      <c r="G4280" s="6"/>
      <c r="H4280" s="6"/>
      <c r="I4280" s="6"/>
      <c r="J4280" s="6"/>
      <c r="K4280" s="6"/>
      <c r="L4280" s="6"/>
      <c r="M4280" s="6"/>
      <c r="N4280" s="6"/>
      <c r="O4280" s="7"/>
      <c r="P4280" s="6"/>
      <c r="Q4280" s="6"/>
      <c r="R4280" s="7"/>
      <c r="S4280" s="6"/>
      <c r="T4280" s="6"/>
      <c r="U4280" s="7"/>
      <c r="V4280" s="6"/>
      <c r="W4280" s="6"/>
      <c r="X4280" s="6"/>
      <c r="Y4280" s="6"/>
      <c r="Z4280" s="6"/>
      <c r="AA4280" s="7"/>
      <c r="AB4280" s="6"/>
      <c r="AC4280" s="6"/>
      <c r="AD4280" s="6"/>
      <c r="AE4280" s="12"/>
      <c r="AF4280" s="12"/>
      <c r="AG4280" s="12"/>
      <c r="AH4280" s="12"/>
      <c r="AI4280" s="6"/>
      <c r="AJ4280" s="12"/>
      <c r="AK4280" s="1"/>
      <c r="AL4280" s="12"/>
      <c r="AM4280" s="12"/>
      <c r="AN4280" s="1"/>
      <c r="AO4280" s="6"/>
    </row>
    <row r="4281" spans="1:41" ht="15" x14ac:dyDescent="0.25">
      <c r="A4281" s="1"/>
      <c r="B4281" s="1"/>
      <c r="C4281" s="1"/>
      <c r="D4281" s="1"/>
      <c r="E4281" s="6"/>
      <c r="F4281" s="1"/>
      <c r="G4281" s="6"/>
      <c r="H4281" s="6"/>
      <c r="I4281" s="6"/>
      <c r="J4281" s="6"/>
      <c r="K4281" s="6"/>
      <c r="L4281" s="6"/>
      <c r="M4281" s="6"/>
      <c r="N4281" s="6"/>
      <c r="O4281" s="7"/>
      <c r="P4281" s="6"/>
      <c r="Q4281" s="6"/>
      <c r="R4281" s="7"/>
      <c r="S4281" s="6"/>
      <c r="T4281" s="6"/>
      <c r="U4281" s="7"/>
      <c r="V4281" s="6"/>
      <c r="W4281" s="6"/>
      <c r="X4281" s="12"/>
      <c r="Y4281" s="6"/>
      <c r="Z4281" s="6"/>
      <c r="AA4281" s="7"/>
      <c r="AB4281" s="6"/>
      <c r="AC4281" s="6"/>
      <c r="AD4281" s="6"/>
      <c r="AE4281" s="12"/>
      <c r="AF4281" s="6"/>
      <c r="AG4281" s="12"/>
      <c r="AH4281" s="6"/>
      <c r="AI4281" s="6"/>
      <c r="AJ4281" s="12"/>
      <c r="AK4281" s="24"/>
      <c r="AL4281" s="25"/>
      <c r="AM4281" s="12"/>
      <c r="AN4281" s="1"/>
      <c r="AO4281" s="6"/>
    </row>
    <row r="4282" spans="1:41" ht="15" x14ac:dyDescent="0.25">
      <c r="A4282" s="1"/>
      <c r="B4282" s="1"/>
      <c r="C4282" s="1"/>
      <c r="D4282" s="1"/>
      <c r="E4282" s="6"/>
      <c r="F4282" s="1"/>
      <c r="G4282" s="6"/>
      <c r="H4282" s="6"/>
      <c r="I4282" s="6"/>
      <c r="J4282" s="6"/>
      <c r="K4282" s="6"/>
      <c r="L4282" s="6"/>
      <c r="M4282" s="6"/>
      <c r="N4282" s="6"/>
      <c r="O4282" s="7"/>
      <c r="P4282" s="6"/>
      <c r="Q4282" s="6"/>
      <c r="R4282" s="7"/>
      <c r="S4282" s="6"/>
      <c r="T4282" s="6"/>
      <c r="U4282" s="7"/>
      <c r="V4282" s="6"/>
      <c r="W4282" s="6"/>
      <c r="X4282" s="12"/>
      <c r="Y4282" s="6"/>
      <c r="Z4282" s="6"/>
      <c r="AA4282" s="7"/>
      <c r="AB4282" s="6"/>
      <c r="AC4282" s="6"/>
      <c r="AD4282" s="6"/>
      <c r="AE4282" s="12"/>
      <c r="AF4282" s="6"/>
      <c r="AG4282" s="12"/>
      <c r="AH4282" s="6"/>
      <c r="AI4282" s="6"/>
      <c r="AJ4282" s="12"/>
      <c r="AK4282" s="24"/>
      <c r="AL4282" s="25"/>
      <c r="AM4282" s="12"/>
      <c r="AN4282" s="1"/>
      <c r="AO4282" s="6"/>
    </row>
    <row r="4283" spans="1:41" ht="15" x14ac:dyDescent="0.25">
      <c r="A4283" s="1"/>
      <c r="B4283" s="1"/>
      <c r="C4283" s="1"/>
      <c r="D4283" s="1"/>
      <c r="E4283" s="6"/>
      <c r="F4283" s="1"/>
      <c r="G4283" s="6"/>
      <c r="H4283" s="6"/>
      <c r="I4283" s="6"/>
      <c r="J4283" s="6"/>
      <c r="K4283" s="6"/>
      <c r="L4283" s="6"/>
      <c r="M4283" s="6"/>
      <c r="N4283" s="6"/>
      <c r="O4283" s="7"/>
      <c r="P4283" s="12"/>
      <c r="Q4283" s="6"/>
      <c r="R4283" s="7"/>
      <c r="S4283" s="6"/>
      <c r="T4283" s="6"/>
      <c r="U4283" s="7"/>
      <c r="V4283" s="6"/>
      <c r="W4283" s="6"/>
      <c r="X4283" s="6"/>
      <c r="Y4283" s="6"/>
      <c r="Z4283" s="6"/>
      <c r="AA4283" s="7"/>
      <c r="AB4283" s="6"/>
      <c r="AC4283" s="6"/>
      <c r="AD4283" s="6"/>
      <c r="AE4283" s="12"/>
      <c r="AF4283" s="6"/>
      <c r="AG4283" s="12"/>
      <c r="AH4283" s="6"/>
      <c r="AI4283" s="6"/>
      <c r="AJ4283" s="12"/>
      <c r="AK4283" s="24"/>
      <c r="AL4283" s="25"/>
      <c r="AM4283" s="12"/>
      <c r="AN4283" s="1"/>
      <c r="AO4283" s="6"/>
    </row>
    <row r="4284" spans="1:41" ht="15" x14ac:dyDescent="0.25">
      <c r="A4284" s="1"/>
      <c r="B4284" s="1"/>
      <c r="C4284" s="1"/>
      <c r="D4284" s="1"/>
      <c r="E4284" s="6"/>
      <c r="F4284" s="1"/>
      <c r="G4284" s="6"/>
      <c r="H4284" s="6"/>
      <c r="I4284" s="6"/>
      <c r="J4284" s="6"/>
      <c r="K4284" s="6"/>
      <c r="L4284" s="6"/>
      <c r="M4284" s="6"/>
      <c r="N4284" s="6"/>
      <c r="O4284" s="7"/>
      <c r="P4284" s="12"/>
      <c r="Q4284" s="6"/>
      <c r="R4284" s="7"/>
      <c r="S4284" s="6"/>
      <c r="T4284" s="6"/>
      <c r="U4284" s="7"/>
      <c r="V4284" s="6"/>
      <c r="W4284" s="6"/>
      <c r="X4284" s="6"/>
      <c r="Y4284" s="6"/>
      <c r="Z4284" s="6"/>
      <c r="AA4284" s="7"/>
      <c r="AB4284" s="6"/>
      <c r="AC4284" s="6"/>
      <c r="AD4284" s="6"/>
      <c r="AE4284" s="12"/>
      <c r="AF4284" s="6"/>
      <c r="AG4284" s="12"/>
      <c r="AH4284" s="6"/>
      <c r="AI4284" s="6"/>
      <c r="AJ4284" s="12"/>
      <c r="AK4284" s="24"/>
      <c r="AL4284" s="25"/>
      <c r="AM4284" s="12"/>
      <c r="AN4284" s="1"/>
      <c r="AO4284" s="6"/>
    </row>
    <row r="4285" spans="1:41" ht="15" x14ac:dyDescent="0.25">
      <c r="A4285" s="1"/>
      <c r="B4285" s="1"/>
      <c r="C4285" s="1"/>
      <c r="D4285" s="1"/>
      <c r="E4285" s="6"/>
      <c r="F4285" s="1"/>
      <c r="G4285" s="6"/>
      <c r="H4285" s="6"/>
      <c r="I4285" s="6"/>
      <c r="J4285" s="6"/>
      <c r="K4285" s="6"/>
      <c r="L4285" s="6"/>
      <c r="M4285" s="6"/>
      <c r="N4285" s="6"/>
      <c r="O4285" s="7"/>
      <c r="P4285" s="6"/>
      <c r="Q4285" s="6"/>
      <c r="R4285" s="7"/>
      <c r="S4285" s="6"/>
      <c r="T4285" s="6"/>
      <c r="U4285" s="7"/>
      <c r="V4285" s="6"/>
      <c r="W4285" s="6"/>
      <c r="X4285" s="6"/>
      <c r="Y4285" s="6"/>
      <c r="Z4285" s="6"/>
      <c r="AA4285" s="7"/>
      <c r="AB4285" s="6"/>
      <c r="AC4285" s="6"/>
      <c r="AD4285" s="6"/>
      <c r="AE4285" s="12"/>
      <c r="AF4285" s="6"/>
      <c r="AG4285" s="12"/>
      <c r="AH4285" s="6"/>
      <c r="AI4285" s="6"/>
      <c r="AJ4285" s="12"/>
      <c r="AK4285" s="24"/>
      <c r="AL4285" s="25"/>
      <c r="AM4285" s="12"/>
      <c r="AN4285" s="1"/>
      <c r="AO4285" s="6"/>
    </row>
    <row r="4286" spans="1:41" ht="15" x14ac:dyDescent="0.25">
      <c r="A4286" s="1"/>
      <c r="B4286" s="1"/>
      <c r="C4286" s="1"/>
      <c r="D4286" s="1"/>
      <c r="E4286" s="6"/>
      <c r="F4286" s="1"/>
      <c r="G4286" s="6"/>
      <c r="H4286" s="6"/>
      <c r="I4286" s="6"/>
      <c r="J4286" s="6"/>
      <c r="K4286" s="6"/>
      <c r="L4286" s="6"/>
      <c r="M4286" s="6"/>
      <c r="N4286" s="6"/>
      <c r="O4286" s="7"/>
      <c r="P4286" s="6"/>
      <c r="Q4286" s="6"/>
      <c r="R4286" s="7"/>
      <c r="S4286" s="6"/>
      <c r="T4286" s="6"/>
      <c r="U4286" s="7"/>
      <c r="V4286" s="6"/>
      <c r="W4286" s="6"/>
      <c r="X4286" s="6"/>
      <c r="Y4286" s="6"/>
      <c r="Z4286" s="6"/>
      <c r="AA4286" s="7"/>
      <c r="AB4286" s="6"/>
      <c r="AC4286" s="6"/>
      <c r="AD4286" s="6"/>
      <c r="AE4286" s="12"/>
      <c r="AF4286" s="6"/>
      <c r="AG4286" s="12"/>
      <c r="AH4286" s="6"/>
      <c r="AI4286" s="6"/>
      <c r="AJ4286" s="12"/>
      <c r="AK4286" s="24"/>
      <c r="AL4286" s="25"/>
      <c r="AM4286" s="12"/>
      <c r="AN4286" s="1"/>
      <c r="AO4286" s="6"/>
    </row>
    <row r="4287" spans="1:41" ht="15" x14ac:dyDescent="0.25">
      <c r="A4287" s="1"/>
      <c r="B4287" s="1"/>
      <c r="C4287" s="1"/>
      <c r="D4287" s="1"/>
      <c r="E4287" s="6"/>
      <c r="F4287" s="1"/>
      <c r="G4287" s="6"/>
      <c r="H4287" s="6"/>
      <c r="I4287" s="6"/>
      <c r="J4287" s="6"/>
      <c r="K4287" s="6"/>
      <c r="L4287" s="6"/>
      <c r="M4287" s="6"/>
      <c r="N4287" s="6"/>
      <c r="O4287" s="7"/>
      <c r="P4287" s="6"/>
      <c r="Q4287" s="6"/>
      <c r="R4287" s="7"/>
      <c r="S4287" s="6"/>
      <c r="T4287" s="6"/>
      <c r="U4287" s="7"/>
      <c r="V4287" s="6"/>
      <c r="W4287" s="6"/>
      <c r="X4287" s="6"/>
      <c r="Y4287" s="6"/>
      <c r="Z4287" s="6"/>
      <c r="AA4287" s="7"/>
      <c r="AB4287" s="6"/>
      <c r="AC4287" s="6"/>
      <c r="AD4287" s="6"/>
      <c r="AE4287" s="12"/>
      <c r="AF4287" s="12"/>
      <c r="AG4287" s="12"/>
      <c r="AH4287" s="12"/>
      <c r="AI4287" s="6"/>
      <c r="AJ4287" s="12"/>
      <c r="AK4287" s="1"/>
      <c r="AL4287" s="12"/>
      <c r="AM4287" s="12"/>
      <c r="AN4287" s="1"/>
      <c r="AO4287" s="6"/>
    </row>
    <row r="4288" spans="1:41" ht="15" x14ac:dyDescent="0.25">
      <c r="A4288" s="1"/>
      <c r="B4288" s="1"/>
      <c r="C4288" s="1"/>
      <c r="D4288" s="1"/>
      <c r="E4288" s="6"/>
      <c r="F4288" s="1"/>
      <c r="G4288" s="6"/>
      <c r="H4288" s="6"/>
      <c r="I4288" s="6"/>
      <c r="J4288" s="6"/>
      <c r="K4288" s="6"/>
      <c r="L4288" s="6"/>
      <c r="M4288" s="6"/>
      <c r="N4288" s="6"/>
      <c r="O4288" s="7"/>
      <c r="P4288" s="6"/>
      <c r="Q4288" s="6"/>
      <c r="R4288" s="7"/>
      <c r="S4288" s="6"/>
      <c r="T4288" s="6"/>
      <c r="U4288" s="7"/>
      <c r="V4288" s="6"/>
      <c r="W4288" s="6"/>
      <c r="X4288" s="12"/>
      <c r="Y4288" s="6"/>
      <c r="Z4288" s="6"/>
      <c r="AA4288" s="7"/>
      <c r="AB4288" s="6"/>
      <c r="AC4288" s="6"/>
      <c r="AD4288" s="6"/>
      <c r="AE4288" s="12"/>
      <c r="AF4288" s="12"/>
      <c r="AG4288" s="12"/>
      <c r="AH4288" s="12"/>
      <c r="AI4288" s="6"/>
      <c r="AJ4288" s="12"/>
      <c r="AK4288" s="1"/>
      <c r="AL4288" s="12"/>
      <c r="AM4288" s="12"/>
      <c r="AN4288" s="1"/>
      <c r="AO4288" s="6"/>
    </row>
    <row r="4289" spans="1:41" ht="15" x14ac:dyDescent="0.25">
      <c r="A4289" s="1"/>
      <c r="B4289" s="1"/>
      <c r="C4289" s="1"/>
      <c r="D4289" s="1"/>
      <c r="E4289" s="6"/>
      <c r="F4289" s="1"/>
      <c r="G4289" s="6"/>
      <c r="H4289" s="6"/>
      <c r="I4289" s="6"/>
      <c r="J4289" s="6"/>
      <c r="K4289" s="6"/>
      <c r="L4289" s="6"/>
      <c r="M4289" s="6"/>
      <c r="N4289" s="6"/>
      <c r="O4289" s="7"/>
      <c r="P4289" s="12"/>
      <c r="Q4289" s="6"/>
      <c r="R4289" s="7"/>
      <c r="S4289" s="6"/>
      <c r="T4289" s="6"/>
      <c r="U4289" s="7"/>
      <c r="V4289" s="6"/>
      <c r="W4289" s="6"/>
      <c r="X4289" s="6"/>
      <c r="Y4289" s="6"/>
      <c r="Z4289" s="6"/>
      <c r="AA4289" s="7"/>
      <c r="AB4289" s="6"/>
      <c r="AC4289" s="6"/>
      <c r="AD4289" s="6"/>
      <c r="AE4289" s="12"/>
      <c r="AF4289" s="12"/>
      <c r="AG4289" s="12"/>
      <c r="AH4289" s="12"/>
      <c r="AI4289" s="6"/>
      <c r="AJ4289" s="12"/>
      <c r="AK4289" s="1"/>
      <c r="AL4289" s="12"/>
      <c r="AM4289" s="12"/>
      <c r="AN4289" s="1"/>
      <c r="AO4289" s="6"/>
    </row>
    <row r="4290" spans="1:41" ht="15" x14ac:dyDescent="0.25">
      <c r="A4290" s="1"/>
      <c r="B4290" s="1"/>
      <c r="C4290" s="1"/>
      <c r="D4290" s="1"/>
      <c r="E4290" s="6"/>
      <c r="F4290" s="1"/>
      <c r="G4290" s="6"/>
      <c r="H4290" s="6"/>
      <c r="I4290" s="6"/>
      <c r="J4290" s="6"/>
      <c r="K4290" s="12"/>
      <c r="L4290" s="12"/>
      <c r="M4290" s="6"/>
      <c r="N4290" s="6"/>
      <c r="O4290" s="7"/>
      <c r="P4290" s="6"/>
      <c r="Q4290" s="6"/>
      <c r="R4290" s="7"/>
      <c r="S4290" s="6"/>
      <c r="T4290" s="6"/>
      <c r="U4290" s="7"/>
      <c r="V4290" s="6"/>
      <c r="W4290" s="6"/>
      <c r="X4290" s="6"/>
      <c r="Y4290" s="6"/>
      <c r="Z4290" s="6"/>
      <c r="AA4290" s="7"/>
      <c r="AB4290" s="6"/>
      <c r="AC4290" s="6"/>
      <c r="AD4290" s="6"/>
      <c r="AE4290" s="12"/>
      <c r="AF4290" s="12"/>
      <c r="AG4290" s="12"/>
      <c r="AH4290" s="12"/>
      <c r="AI4290" s="6"/>
      <c r="AJ4290" s="12"/>
      <c r="AK4290" s="1"/>
      <c r="AL4290" s="12"/>
      <c r="AM4290" s="12"/>
      <c r="AN4290" s="1"/>
      <c r="AO4290" s="6"/>
    </row>
    <row r="4291" spans="1:41" ht="15" x14ac:dyDescent="0.25">
      <c r="A4291" s="1"/>
      <c r="B4291" s="1"/>
      <c r="C4291" s="1"/>
      <c r="D4291" s="1"/>
      <c r="E4291" s="6"/>
      <c r="F4291" s="1"/>
      <c r="G4291" s="6"/>
      <c r="H4291" s="6"/>
      <c r="I4291" s="6"/>
      <c r="J4291" s="6"/>
      <c r="K4291" s="6"/>
      <c r="L4291" s="6"/>
      <c r="M4291" s="6"/>
      <c r="N4291" s="6"/>
      <c r="O4291" s="7"/>
      <c r="P4291" s="6"/>
      <c r="Q4291" s="6"/>
      <c r="R4291" s="7"/>
      <c r="S4291" s="6"/>
      <c r="T4291" s="6"/>
      <c r="U4291" s="7"/>
      <c r="V4291" s="6"/>
      <c r="W4291" s="6"/>
      <c r="X4291" s="6"/>
      <c r="Y4291" s="6"/>
      <c r="Z4291" s="6"/>
      <c r="AA4291" s="7"/>
      <c r="AB4291" s="6"/>
      <c r="AC4291" s="6"/>
      <c r="AD4291" s="6"/>
      <c r="AE4291" s="12"/>
      <c r="AF4291" s="6"/>
      <c r="AG4291" s="12"/>
      <c r="AH4291" s="6"/>
      <c r="AI4291" s="6"/>
      <c r="AJ4291" s="12"/>
      <c r="AK4291" s="24"/>
      <c r="AL4291" s="25"/>
      <c r="AM4291" s="12"/>
      <c r="AN4291" s="1"/>
      <c r="AO4291" s="6"/>
    </row>
    <row r="4292" spans="1:41" ht="15" x14ac:dyDescent="0.25">
      <c r="A4292" s="1"/>
      <c r="B4292" s="1"/>
      <c r="C4292" s="1"/>
      <c r="D4292" s="1"/>
      <c r="E4292" s="6"/>
      <c r="F4292" s="1"/>
      <c r="G4292" s="6"/>
      <c r="H4292" s="6"/>
      <c r="I4292" s="6"/>
      <c r="J4292" s="6"/>
      <c r="K4292" s="6"/>
      <c r="L4292" s="6"/>
      <c r="M4292" s="6"/>
      <c r="N4292" s="6"/>
      <c r="O4292" s="7"/>
      <c r="P4292" s="6"/>
      <c r="Q4292" s="6"/>
      <c r="R4292" s="7"/>
      <c r="S4292" s="6"/>
      <c r="T4292" s="6"/>
      <c r="U4292" s="7"/>
      <c r="V4292" s="6"/>
      <c r="W4292" s="6"/>
      <c r="X4292" s="6"/>
      <c r="Y4292" s="6"/>
      <c r="Z4292" s="6"/>
      <c r="AA4292" s="7"/>
      <c r="AB4292" s="6"/>
      <c r="AC4292" s="6"/>
      <c r="AD4292" s="6"/>
      <c r="AE4292" s="12"/>
      <c r="AF4292" s="6"/>
      <c r="AG4292" s="12"/>
      <c r="AH4292" s="6"/>
      <c r="AI4292" s="6"/>
      <c r="AJ4292" s="12"/>
      <c r="AK4292" s="24"/>
      <c r="AL4292" s="25"/>
      <c r="AM4292" s="12"/>
      <c r="AN4292" s="1"/>
      <c r="AO4292" s="6"/>
    </row>
    <row r="4293" spans="1:41" ht="15" x14ac:dyDescent="0.25">
      <c r="A4293" s="1"/>
      <c r="B4293" s="1"/>
      <c r="C4293" s="1"/>
      <c r="D4293" s="1"/>
      <c r="E4293" s="6"/>
      <c r="F4293" s="1"/>
      <c r="G4293" s="6"/>
      <c r="H4293" s="6"/>
      <c r="I4293" s="6"/>
      <c r="J4293" s="6"/>
      <c r="K4293" s="6"/>
      <c r="L4293" s="6"/>
      <c r="M4293" s="6"/>
      <c r="N4293" s="6"/>
      <c r="O4293" s="7"/>
      <c r="P4293" s="6"/>
      <c r="Q4293" s="6"/>
      <c r="R4293" s="7"/>
      <c r="S4293" s="6"/>
      <c r="T4293" s="6"/>
      <c r="U4293" s="7"/>
      <c r="V4293" s="6"/>
      <c r="W4293" s="6"/>
      <c r="X4293" s="6"/>
      <c r="Y4293" s="6"/>
      <c r="Z4293" s="6"/>
      <c r="AA4293" s="7"/>
      <c r="AB4293" s="6"/>
      <c r="AC4293" s="6"/>
      <c r="AD4293" s="6"/>
      <c r="AE4293" s="12"/>
      <c r="AF4293" s="12"/>
      <c r="AG4293" s="12"/>
      <c r="AH4293" s="12"/>
      <c r="AI4293" s="6"/>
      <c r="AJ4293" s="12"/>
      <c r="AK4293" s="1"/>
      <c r="AL4293" s="12"/>
      <c r="AM4293" s="12"/>
      <c r="AN4293" s="1"/>
      <c r="AO4293" s="6"/>
    </row>
    <row r="4294" spans="1:41" ht="15" x14ac:dyDescent="0.25">
      <c r="A4294" s="1"/>
      <c r="B4294" s="1"/>
      <c r="C4294" s="1"/>
      <c r="D4294" s="1"/>
      <c r="E4294" s="6"/>
      <c r="F4294" s="1"/>
      <c r="G4294" s="6"/>
      <c r="H4294" s="6"/>
      <c r="I4294" s="6"/>
      <c r="J4294" s="6"/>
      <c r="K4294" s="6"/>
      <c r="L4294" s="6"/>
      <c r="M4294" s="6"/>
      <c r="N4294" s="6"/>
      <c r="O4294" s="7"/>
      <c r="P4294" s="6"/>
      <c r="Q4294" s="6"/>
      <c r="R4294" s="7"/>
      <c r="S4294" s="6"/>
      <c r="T4294" s="6"/>
      <c r="U4294" s="7"/>
      <c r="V4294" s="6"/>
      <c r="W4294" s="6"/>
      <c r="X4294" s="6"/>
      <c r="Y4294" s="6"/>
      <c r="Z4294" s="6"/>
      <c r="AA4294" s="7"/>
      <c r="AB4294" s="6"/>
      <c r="AC4294" s="6"/>
      <c r="AD4294" s="6"/>
      <c r="AE4294" s="12"/>
      <c r="AF4294" s="6"/>
      <c r="AG4294" s="12"/>
      <c r="AH4294" s="6"/>
      <c r="AI4294" s="6"/>
      <c r="AJ4294" s="12"/>
      <c r="AK4294" s="1"/>
      <c r="AL4294" s="12"/>
      <c r="AM4294" s="12"/>
      <c r="AN4294" s="1"/>
      <c r="AO4294" s="6"/>
    </row>
    <row r="4295" spans="1:41" ht="15" x14ac:dyDescent="0.25">
      <c r="A4295" s="1"/>
      <c r="B4295" s="1"/>
      <c r="C4295" s="1"/>
      <c r="D4295" s="1"/>
      <c r="E4295" s="6"/>
      <c r="F4295" s="1"/>
      <c r="G4295" s="6"/>
      <c r="H4295" s="6"/>
      <c r="I4295" s="6"/>
      <c r="J4295" s="6"/>
      <c r="K4295" s="6"/>
      <c r="L4295" s="6"/>
      <c r="M4295" s="6"/>
      <c r="N4295" s="6"/>
      <c r="O4295" s="7"/>
      <c r="P4295" s="6"/>
      <c r="Q4295" s="6"/>
      <c r="R4295" s="7"/>
      <c r="S4295" s="6"/>
      <c r="T4295" s="6"/>
      <c r="U4295" s="7"/>
      <c r="V4295" s="6"/>
      <c r="W4295" s="6"/>
      <c r="X4295" s="6"/>
      <c r="Y4295" s="6"/>
      <c r="Z4295" s="6"/>
      <c r="AA4295" s="7"/>
      <c r="AB4295" s="6"/>
      <c r="AC4295" s="6"/>
      <c r="AD4295" s="6"/>
      <c r="AE4295" s="12"/>
      <c r="AF4295" s="6"/>
      <c r="AG4295" s="12"/>
      <c r="AH4295" s="6"/>
      <c r="AI4295" s="6"/>
      <c r="AJ4295" s="12"/>
      <c r="AK4295" s="1"/>
      <c r="AL4295" s="12"/>
      <c r="AM4295" s="12"/>
      <c r="AN4295" s="1"/>
      <c r="AO4295" s="6"/>
    </row>
    <row r="4296" spans="1:41" ht="15" x14ac:dyDescent="0.25">
      <c r="A4296" s="1"/>
      <c r="B4296" s="1"/>
      <c r="C4296" s="1"/>
      <c r="D4296" s="1"/>
      <c r="E4296" s="6"/>
      <c r="F4296" s="1"/>
      <c r="G4296" s="6"/>
      <c r="H4296" s="6"/>
      <c r="I4296" s="6"/>
      <c r="J4296" s="6"/>
      <c r="K4296" s="6"/>
      <c r="L4296" s="6"/>
      <c r="M4296" s="6"/>
      <c r="N4296" s="6"/>
      <c r="O4296" s="7"/>
      <c r="P4296" s="6"/>
      <c r="Q4296" s="6"/>
      <c r="R4296" s="7"/>
      <c r="S4296" s="6"/>
      <c r="T4296" s="6"/>
      <c r="U4296" s="7"/>
      <c r="V4296" s="6"/>
      <c r="W4296" s="6"/>
      <c r="X4296" s="6"/>
      <c r="Y4296" s="6"/>
      <c r="Z4296" s="6"/>
      <c r="AA4296" s="7"/>
      <c r="AB4296" s="6"/>
      <c r="AC4296" s="6"/>
      <c r="AD4296" s="6"/>
      <c r="AE4296" s="12"/>
      <c r="AF4296" s="12"/>
      <c r="AG4296" s="12"/>
      <c r="AH4296" s="12"/>
      <c r="AI4296" s="6"/>
      <c r="AJ4296" s="12"/>
      <c r="AK4296" s="1"/>
      <c r="AL4296" s="12"/>
      <c r="AM4296" s="12"/>
      <c r="AN4296" s="1"/>
      <c r="AO4296" s="6"/>
    </row>
    <row r="4297" spans="1:41" ht="15" x14ac:dyDescent="0.25">
      <c r="A4297" s="1"/>
      <c r="B4297" s="1"/>
      <c r="C4297" s="1"/>
      <c r="D4297" s="1"/>
      <c r="E4297" s="6"/>
      <c r="F4297" s="1"/>
      <c r="G4297" s="6"/>
      <c r="H4297" s="6"/>
      <c r="I4297" s="6"/>
      <c r="J4297" s="6"/>
      <c r="K4297" s="6"/>
      <c r="L4297" s="6"/>
      <c r="M4297" s="6"/>
      <c r="N4297" s="6"/>
      <c r="O4297" s="7"/>
      <c r="P4297" s="6"/>
      <c r="Q4297" s="7"/>
      <c r="R4297" s="6"/>
      <c r="S4297" s="6"/>
      <c r="T4297" s="6"/>
      <c r="U4297" s="6"/>
      <c r="V4297" s="7"/>
      <c r="W4297" s="7"/>
      <c r="X4297" s="6"/>
      <c r="Y4297" s="6"/>
      <c r="Z4297" s="6"/>
      <c r="AA4297" s="1"/>
      <c r="AB4297" s="12"/>
      <c r="AC4297" s="12"/>
      <c r="AD4297" s="12"/>
      <c r="AE4297" s="12"/>
      <c r="AF4297" s="12"/>
      <c r="AG4297" s="12"/>
      <c r="AH4297" s="12"/>
      <c r="AI4297" s="6"/>
      <c r="AJ4297" s="12"/>
      <c r="AK4297" s="12"/>
      <c r="AL4297" s="12"/>
      <c r="AM4297" s="12"/>
      <c r="AN4297" s="1"/>
      <c r="AO4297" s="6"/>
    </row>
    <row r="4298" spans="1:41" ht="15" x14ac:dyDescent="0.25">
      <c r="A4298" s="1"/>
      <c r="B4298" s="1"/>
      <c r="C4298" s="1"/>
      <c r="D4298" s="1"/>
      <c r="E4298" s="6"/>
      <c r="F4298" s="1"/>
      <c r="G4298" s="6"/>
      <c r="H4298" s="6"/>
      <c r="I4298" s="6"/>
      <c r="J4298" s="6"/>
      <c r="K4298" s="6"/>
      <c r="L4298" s="6"/>
      <c r="M4298" s="6"/>
      <c r="N4298" s="6"/>
      <c r="O4298" s="7"/>
      <c r="P4298" s="6"/>
      <c r="Q4298" s="7"/>
      <c r="R4298" s="6"/>
      <c r="S4298" s="6"/>
      <c r="T4298" s="6"/>
      <c r="U4298" s="6"/>
      <c r="V4298" s="7"/>
      <c r="W4298" s="7"/>
      <c r="X4298" s="6"/>
      <c r="Y4298" s="6"/>
      <c r="Z4298" s="6"/>
      <c r="AA4298" s="1"/>
      <c r="AB4298" s="12"/>
      <c r="AC4298" s="12"/>
      <c r="AD4298" s="12"/>
      <c r="AE4298" s="12"/>
      <c r="AF4298" s="12"/>
      <c r="AG4298" s="12"/>
      <c r="AH4298" s="12"/>
      <c r="AI4298" s="6"/>
      <c r="AJ4298" s="12"/>
      <c r="AK4298" s="12"/>
      <c r="AL4298" s="12"/>
      <c r="AM4298" s="12"/>
      <c r="AN4298" s="1"/>
      <c r="AO4298" s="6"/>
    </row>
    <row r="4299" spans="1:41" ht="15" x14ac:dyDescent="0.25">
      <c r="A4299" s="1"/>
      <c r="B4299" s="1"/>
      <c r="C4299" s="1"/>
      <c r="D4299" s="1"/>
      <c r="E4299" s="6"/>
      <c r="F4299" s="1"/>
      <c r="G4299" s="6"/>
      <c r="H4299" s="6"/>
      <c r="I4299" s="6"/>
      <c r="J4299" s="6"/>
      <c r="K4299" s="6"/>
      <c r="L4299" s="6"/>
      <c r="M4299" s="6"/>
      <c r="N4299" s="6"/>
      <c r="O4299" s="7"/>
      <c r="P4299" s="6"/>
      <c r="Q4299" s="6"/>
      <c r="R4299" s="7"/>
      <c r="S4299" s="6"/>
      <c r="T4299" s="6"/>
      <c r="U4299" s="7"/>
      <c r="V4299" s="6"/>
      <c r="W4299" s="6"/>
      <c r="X4299" s="6"/>
      <c r="Y4299" s="6"/>
      <c r="Z4299" s="6"/>
      <c r="AA4299" s="7"/>
      <c r="AB4299" s="6"/>
      <c r="AC4299" s="6"/>
      <c r="AD4299" s="6"/>
      <c r="AE4299" s="12"/>
      <c r="AF4299" s="6"/>
      <c r="AG4299" s="12"/>
      <c r="AH4299" s="6"/>
      <c r="AI4299" s="6"/>
      <c r="AJ4299" s="12"/>
      <c r="AK4299" s="24"/>
      <c r="AL4299" s="25"/>
      <c r="AM4299" s="12"/>
      <c r="AN4299" s="1"/>
      <c r="AO4299" s="6"/>
    </row>
    <row r="4300" spans="1:41" ht="15" x14ac:dyDescent="0.25">
      <c r="A4300" s="1"/>
      <c r="B4300" s="1"/>
      <c r="C4300" s="1"/>
      <c r="D4300" s="1"/>
      <c r="E4300" s="6"/>
      <c r="F4300" s="1"/>
      <c r="G4300" s="6"/>
      <c r="H4300" s="6"/>
      <c r="I4300" s="6"/>
      <c r="J4300" s="6"/>
      <c r="K4300" s="6"/>
      <c r="L4300" s="6"/>
      <c r="M4300" s="6"/>
      <c r="N4300" s="6"/>
      <c r="O4300" s="7"/>
      <c r="P4300" s="6"/>
      <c r="Q4300" s="6"/>
      <c r="R4300" s="7"/>
      <c r="S4300" s="6"/>
      <c r="T4300" s="6"/>
      <c r="U4300" s="7"/>
      <c r="V4300" s="6"/>
      <c r="W4300" s="6"/>
      <c r="X4300" s="6"/>
      <c r="Y4300" s="6"/>
      <c r="Z4300" s="6"/>
      <c r="AA4300" s="7"/>
      <c r="AB4300" s="6"/>
      <c r="AC4300" s="6"/>
      <c r="AD4300" s="6"/>
      <c r="AE4300" s="12"/>
      <c r="AF4300" s="6"/>
      <c r="AG4300" s="12"/>
      <c r="AH4300" s="6"/>
      <c r="AI4300" s="6"/>
      <c r="AJ4300" s="12"/>
      <c r="AK4300" s="24"/>
      <c r="AL4300" s="25"/>
      <c r="AM4300" s="12"/>
      <c r="AN4300" s="1"/>
      <c r="AO4300" s="6"/>
    </row>
    <row r="4301" spans="1:41" ht="15" x14ac:dyDescent="0.25">
      <c r="A4301" s="1"/>
      <c r="B4301" s="1"/>
      <c r="C4301" s="1"/>
      <c r="D4301" s="1"/>
      <c r="E4301" s="6"/>
      <c r="F4301" s="1"/>
      <c r="G4301" s="6"/>
      <c r="H4301" s="6"/>
      <c r="I4301" s="6"/>
      <c r="J4301" s="6"/>
      <c r="K4301" s="6"/>
      <c r="L4301" s="6"/>
      <c r="M4301" s="6"/>
      <c r="N4301" s="6"/>
      <c r="O4301" s="7"/>
      <c r="P4301" s="6"/>
      <c r="Q4301" s="6"/>
      <c r="R4301" s="12"/>
      <c r="S4301" s="12"/>
      <c r="T4301" s="12"/>
      <c r="U4301" s="7"/>
      <c r="V4301" s="6"/>
      <c r="W4301" s="6"/>
      <c r="X4301" s="12"/>
      <c r="Y4301" s="6"/>
      <c r="Z4301" s="6"/>
      <c r="AA4301" s="7"/>
      <c r="AB4301" s="6"/>
      <c r="AC4301" s="6"/>
      <c r="AD4301" s="6"/>
      <c r="AE4301" s="12"/>
      <c r="AF4301" s="6"/>
      <c r="AG4301" s="12"/>
      <c r="AH4301" s="6"/>
      <c r="AI4301" s="6"/>
      <c r="AJ4301" s="12"/>
      <c r="AK4301" s="1"/>
      <c r="AL4301" s="12"/>
      <c r="AM4301" s="12"/>
      <c r="AN4301" s="1"/>
      <c r="AO4301" s="6"/>
    </row>
    <row r="4302" spans="1:41" ht="15" x14ac:dyDescent="0.25">
      <c r="A4302" s="1"/>
      <c r="B4302" s="1"/>
      <c r="C4302" s="1"/>
      <c r="D4302" s="1"/>
      <c r="E4302" s="6"/>
      <c r="F4302" s="1"/>
      <c r="G4302" s="6"/>
      <c r="H4302" s="6"/>
      <c r="I4302" s="6"/>
      <c r="J4302" s="6"/>
      <c r="K4302" s="6"/>
      <c r="L4302" s="6"/>
      <c r="M4302" s="6"/>
      <c r="N4302" s="6"/>
      <c r="O4302" s="7"/>
      <c r="P4302" s="6"/>
      <c r="Q4302" s="6"/>
      <c r="R4302" s="12"/>
      <c r="S4302" s="12"/>
      <c r="T4302" s="12"/>
      <c r="U4302" s="7"/>
      <c r="V4302" s="6"/>
      <c r="W4302" s="6"/>
      <c r="X4302" s="12"/>
      <c r="Y4302" s="6"/>
      <c r="Z4302" s="6"/>
      <c r="AA4302" s="7"/>
      <c r="AB4302" s="6"/>
      <c r="AC4302" s="6"/>
      <c r="AD4302" s="6"/>
      <c r="AE4302" s="12"/>
      <c r="AF4302" s="6"/>
      <c r="AG4302" s="12"/>
      <c r="AH4302" s="6"/>
      <c r="AI4302" s="6"/>
      <c r="AJ4302" s="12"/>
      <c r="AK4302" s="1"/>
      <c r="AL4302" s="12"/>
      <c r="AM4302" s="12"/>
      <c r="AN4302" s="1"/>
      <c r="AO4302" s="6"/>
    </row>
    <row r="4303" spans="1:41" ht="15" x14ac:dyDescent="0.25">
      <c r="A4303" s="1"/>
      <c r="B4303" s="1"/>
      <c r="C4303" s="1"/>
      <c r="D4303" s="1"/>
      <c r="E4303" s="6"/>
      <c r="F4303" s="1"/>
      <c r="G4303" s="6"/>
      <c r="H4303" s="6"/>
      <c r="I4303" s="6"/>
      <c r="J4303" s="6"/>
      <c r="K4303" s="6"/>
      <c r="L4303" s="6"/>
      <c r="M4303" s="6"/>
      <c r="N4303" s="6"/>
      <c r="O4303" s="7"/>
      <c r="P4303" s="6"/>
      <c r="Q4303" s="7"/>
      <c r="R4303" s="6"/>
      <c r="S4303" s="6"/>
      <c r="T4303" s="6"/>
      <c r="U4303" s="6"/>
      <c r="V4303" s="7"/>
      <c r="W4303" s="7"/>
      <c r="X4303" s="6"/>
      <c r="Y4303" s="6"/>
      <c r="Z4303" s="6"/>
      <c r="AA4303" s="1"/>
      <c r="AB4303" s="12"/>
      <c r="AC4303" s="12"/>
      <c r="AD4303" s="12"/>
      <c r="AE4303" s="12"/>
      <c r="AF4303" s="12"/>
      <c r="AG4303" s="12"/>
      <c r="AH4303" s="12"/>
      <c r="AI4303" s="6"/>
      <c r="AJ4303" s="12"/>
      <c r="AK4303" s="12"/>
      <c r="AL4303" s="12"/>
      <c r="AM4303" s="12"/>
      <c r="AN4303" s="1"/>
      <c r="AO4303" s="6"/>
    </row>
    <row r="4304" spans="1:41" ht="15" x14ac:dyDescent="0.25">
      <c r="A4304" s="1"/>
      <c r="B4304" s="1"/>
      <c r="C4304" s="1"/>
      <c r="D4304" s="1"/>
      <c r="E4304" s="6"/>
      <c r="F4304" s="1"/>
      <c r="G4304" s="6"/>
      <c r="H4304" s="6"/>
      <c r="I4304" s="6"/>
      <c r="J4304" s="6"/>
      <c r="K4304" s="6"/>
      <c r="L4304" s="6"/>
      <c r="M4304" s="6"/>
      <c r="N4304" s="6"/>
      <c r="O4304" s="7"/>
      <c r="P4304" s="6"/>
      <c r="Q4304" s="6"/>
      <c r="R4304" s="7"/>
      <c r="S4304" s="6"/>
      <c r="T4304" s="6"/>
      <c r="U4304" s="7"/>
      <c r="V4304" s="6"/>
      <c r="W4304" s="6"/>
      <c r="X4304" s="6"/>
      <c r="Y4304" s="6"/>
      <c r="Z4304" s="6"/>
      <c r="AA4304" s="7"/>
      <c r="AB4304" s="6"/>
      <c r="AC4304" s="6"/>
      <c r="AD4304" s="6"/>
      <c r="AE4304" s="12"/>
      <c r="AF4304" s="6"/>
      <c r="AG4304" s="12"/>
      <c r="AH4304" s="6"/>
      <c r="AI4304" s="6"/>
      <c r="AJ4304" s="12"/>
      <c r="AK4304" s="24"/>
      <c r="AL4304" s="25"/>
      <c r="AM4304" s="12"/>
      <c r="AN4304" s="1"/>
      <c r="AO4304" s="6"/>
    </row>
    <row r="4305" spans="1:41" ht="15" x14ac:dyDescent="0.25">
      <c r="A4305" s="1"/>
      <c r="B4305" s="1"/>
      <c r="C4305" s="1"/>
      <c r="D4305" s="1"/>
      <c r="E4305" s="6"/>
      <c r="F4305" s="1"/>
      <c r="G4305" s="6"/>
      <c r="H4305" s="6"/>
      <c r="I4305" s="6"/>
      <c r="J4305" s="6"/>
      <c r="K4305" s="6"/>
      <c r="L4305" s="6"/>
      <c r="M4305" s="6"/>
      <c r="N4305" s="6"/>
      <c r="O4305" s="7"/>
      <c r="P4305" s="6"/>
      <c r="Q4305" s="6"/>
      <c r="R4305" s="7"/>
      <c r="S4305" s="6"/>
      <c r="T4305" s="6"/>
      <c r="U4305" s="7"/>
      <c r="V4305" s="6"/>
      <c r="W4305" s="6"/>
      <c r="X4305" s="6"/>
      <c r="Y4305" s="6"/>
      <c r="Z4305" s="6"/>
      <c r="AA4305" s="7"/>
      <c r="AB4305" s="6"/>
      <c r="AC4305" s="6"/>
      <c r="AD4305" s="6"/>
      <c r="AE4305" s="12"/>
      <c r="AF4305" s="6"/>
      <c r="AG4305" s="12"/>
      <c r="AH4305" s="6"/>
      <c r="AI4305" s="6"/>
      <c r="AJ4305" s="12"/>
      <c r="AK4305" s="24"/>
      <c r="AL4305" s="25"/>
      <c r="AM4305" s="12"/>
      <c r="AN4305" s="1"/>
      <c r="AO4305" s="6"/>
    </row>
    <row r="4306" spans="1:41" ht="15" x14ac:dyDescent="0.25">
      <c r="A4306" s="1"/>
      <c r="B4306" s="1"/>
      <c r="C4306" s="1"/>
      <c r="D4306" s="1"/>
      <c r="E4306" s="6"/>
      <c r="F4306" s="1"/>
      <c r="G4306" s="6"/>
      <c r="H4306" s="6"/>
      <c r="I4306" s="6"/>
      <c r="J4306" s="6"/>
      <c r="K4306" s="6"/>
      <c r="L4306" s="6"/>
      <c r="M4306" s="6"/>
      <c r="N4306" s="6"/>
      <c r="O4306" s="7"/>
      <c r="P4306" s="6"/>
      <c r="Q4306" s="6"/>
      <c r="R4306" s="7"/>
      <c r="S4306" s="6"/>
      <c r="T4306" s="6"/>
      <c r="U4306" s="7"/>
      <c r="V4306" s="6"/>
      <c r="W4306" s="6"/>
      <c r="X4306" s="6"/>
      <c r="Y4306" s="6"/>
      <c r="Z4306" s="6"/>
      <c r="AA4306" s="7"/>
      <c r="AB4306" s="6"/>
      <c r="AC4306" s="6"/>
      <c r="AD4306" s="6"/>
      <c r="AE4306" s="12"/>
      <c r="AF4306" s="6"/>
      <c r="AG4306" s="12"/>
      <c r="AH4306" s="6"/>
      <c r="AI4306" s="6"/>
      <c r="AJ4306" s="12"/>
      <c r="AK4306" s="24"/>
      <c r="AL4306" s="25"/>
      <c r="AM4306" s="12"/>
      <c r="AN4306" s="1"/>
      <c r="AO4306" s="6"/>
    </row>
    <row r="4307" spans="1:41" ht="15" x14ac:dyDescent="0.25">
      <c r="A4307" s="1"/>
      <c r="B4307" s="1"/>
      <c r="C4307" s="1"/>
      <c r="D4307" s="1"/>
      <c r="E4307" s="6"/>
      <c r="F4307" s="1"/>
      <c r="G4307" s="6"/>
      <c r="H4307" s="6"/>
      <c r="I4307" s="6"/>
      <c r="J4307" s="6"/>
      <c r="K4307" s="6"/>
      <c r="L4307" s="6"/>
      <c r="M4307" s="6"/>
      <c r="N4307" s="6"/>
      <c r="O4307" s="7"/>
      <c r="P4307" s="6"/>
      <c r="Q4307" s="6"/>
      <c r="R4307" s="7"/>
      <c r="S4307" s="6"/>
      <c r="T4307" s="6"/>
      <c r="U4307" s="7"/>
      <c r="V4307" s="6"/>
      <c r="W4307" s="6"/>
      <c r="X4307" s="6"/>
      <c r="Y4307" s="6"/>
      <c r="Z4307" s="6"/>
      <c r="AA4307" s="7"/>
      <c r="AB4307" s="6"/>
      <c r="AC4307" s="6"/>
      <c r="AD4307" s="6"/>
      <c r="AE4307" s="12"/>
      <c r="AF4307" s="6"/>
      <c r="AG4307" s="12"/>
      <c r="AH4307" s="6"/>
      <c r="AI4307" s="6"/>
      <c r="AJ4307" s="12"/>
      <c r="AK4307" s="24"/>
      <c r="AL4307" s="25"/>
      <c r="AM4307" s="12"/>
      <c r="AN4307" s="1"/>
      <c r="AO4307" s="6"/>
    </row>
    <row r="4308" spans="1:41" ht="15" x14ac:dyDescent="0.25">
      <c r="A4308" s="1"/>
      <c r="B4308" s="1"/>
      <c r="C4308" s="1"/>
      <c r="D4308" s="1"/>
      <c r="E4308" s="6"/>
      <c r="F4308" s="1"/>
      <c r="G4308" s="6"/>
      <c r="H4308" s="6"/>
      <c r="I4308" s="6"/>
      <c r="J4308" s="6"/>
      <c r="K4308" s="6"/>
      <c r="L4308" s="6"/>
      <c r="M4308" s="6"/>
      <c r="N4308" s="6"/>
      <c r="O4308" s="7"/>
      <c r="P4308" s="6"/>
      <c r="Q4308" s="6"/>
      <c r="R4308" s="12"/>
      <c r="S4308" s="12"/>
      <c r="T4308" s="12"/>
      <c r="U4308" s="7"/>
      <c r="V4308" s="6"/>
      <c r="W4308" s="6"/>
      <c r="X4308" s="12"/>
      <c r="Y4308" s="6"/>
      <c r="Z4308" s="6"/>
      <c r="AA4308" s="7"/>
      <c r="AB4308" s="6"/>
      <c r="AC4308" s="6"/>
      <c r="AD4308" s="6"/>
      <c r="AE4308" s="12"/>
      <c r="AF4308" s="6"/>
      <c r="AG4308" s="12"/>
      <c r="AH4308" s="6"/>
      <c r="AI4308" s="6"/>
      <c r="AJ4308" s="12"/>
      <c r="AK4308" s="1"/>
      <c r="AL4308" s="12"/>
      <c r="AM4308" s="12"/>
      <c r="AN4308" s="1"/>
      <c r="AO4308" s="6"/>
    </row>
    <row r="4309" spans="1:41" ht="15" x14ac:dyDescent="0.25">
      <c r="A4309" s="1"/>
      <c r="B4309" s="1"/>
      <c r="C4309" s="1"/>
      <c r="D4309" s="1"/>
      <c r="E4309" s="6"/>
      <c r="F4309" s="1"/>
      <c r="G4309" s="6"/>
      <c r="H4309" s="6"/>
      <c r="I4309" s="6"/>
      <c r="J4309" s="6"/>
      <c r="K4309" s="6"/>
      <c r="L4309" s="6"/>
      <c r="M4309" s="6"/>
      <c r="N4309" s="6"/>
      <c r="O4309" s="7"/>
      <c r="P4309" s="6"/>
      <c r="Q4309" s="6"/>
      <c r="R4309" s="7"/>
      <c r="S4309" s="6"/>
      <c r="T4309" s="6"/>
      <c r="U4309" s="7"/>
      <c r="V4309" s="6"/>
      <c r="W4309" s="6"/>
      <c r="X4309" s="6"/>
      <c r="Y4309" s="6"/>
      <c r="Z4309" s="6"/>
      <c r="AA4309" s="7"/>
      <c r="AB4309" s="6"/>
      <c r="AC4309" s="6"/>
      <c r="AD4309" s="6"/>
      <c r="AE4309" s="12"/>
      <c r="AF4309" s="6"/>
      <c r="AG4309" s="12"/>
      <c r="AH4309" s="6"/>
      <c r="AI4309" s="6"/>
      <c r="AJ4309" s="12"/>
      <c r="AK4309" s="1"/>
      <c r="AL4309" s="12"/>
      <c r="AM4309" s="12"/>
      <c r="AN4309" s="1"/>
      <c r="AO4309" s="6"/>
    </row>
    <row r="4310" spans="1:41" ht="15" x14ac:dyDescent="0.25">
      <c r="A4310" s="1"/>
      <c r="B4310" s="1"/>
      <c r="C4310" s="1"/>
      <c r="D4310" s="1"/>
      <c r="E4310" s="6"/>
      <c r="F4310" s="1"/>
      <c r="G4310" s="6"/>
      <c r="H4310" s="6"/>
      <c r="I4310" s="6"/>
      <c r="J4310" s="6"/>
      <c r="K4310" s="6"/>
      <c r="L4310" s="6"/>
      <c r="M4310" s="6"/>
      <c r="N4310" s="6"/>
      <c r="O4310" s="7"/>
      <c r="P4310" s="6"/>
      <c r="Q4310" s="6"/>
      <c r="R4310" s="7"/>
      <c r="S4310" s="6"/>
      <c r="T4310" s="6"/>
      <c r="U4310" s="7"/>
      <c r="V4310" s="6"/>
      <c r="W4310" s="6"/>
      <c r="X4310" s="6"/>
      <c r="Y4310" s="6"/>
      <c r="Z4310" s="6"/>
      <c r="AA4310" s="7"/>
      <c r="AB4310" s="6"/>
      <c r="AC4310" s="6"/>
      <c r="AD4310" s="6"/>
      <c r="AE4310" s="12"/>
      <c r="AF4310" s="6"/>
      <c r="AG4310" s="12"/>
      <c r="AH4310" s="6"/>
      <c r="AI4310" s="6"/>
      <c r="AJ4310" s="12"/>
      <c r="AK4310" s="1"/>
      <c r="AL4310" s="12"/>
      <c r="AM4310" s="12"/>
      <c r="AN4310" s="1"/>
      <c r="AO4310" s="6"/>
    </row>
    <row r="4311" spans="1:41" ht="15" x14ac:dyDescent="0.25">
      <c r="A4311" s="1"/>
      <c r="B4311" s="1"/>
      <c r="C4311" s="1"/>
      <c r="D4311" s="1"/>
      <c r="E4311" s="6"/>
      <c r="F4311" s="1"/>
      <c r="G4311" s="6"/>
      <c r="H4311" s="6"/>
      <c r="I4311" s="6"/>
      <c r="J4311" s="6"/>
      <c r="K4311" s="6"/>
      <c r="L4311" s="6"/>
      <c r="M4311" s="6"/>
      <c r="N4311" s="6"/>
      <c r="O4311" s="7"/>
      <c r="P4311" s="6"/>
      <c r="Q4311" s="6"/>
      <c r="R4311" s="7"/>
      <c r="S4311" s="6"/>
      <c r="T4311" s="6"/>
      <c r="U4311" s="7"/>
      <c r="V4311" s="6"/>
      <c r="W4311" s="6"/>
      <c r="X4311" s="12"/>
      <c r="Y4311" s="6"/>
      <c r="Z4311" s="6"/>
      <c r="AA4311" s="7"/>
      <c r="AB4311" s="6"/>
      <c r="AC4311" s="6"/>
      <c r="AD4311" s="6"/>
      <c r="AE4311" s="12"/>
      <c r="AF4311" s="6"/>
      <c r="AG4311" s="12"/>
      <c r="AH4311" s="6"/>
      <c r="AI4311" s="6"/>
      <c r="AJ4311" s="12"/>
      <c r="AK4311" s="24"/>
      <c r="AL4311" s="25"/>
      <c r="AM4311" s="12"/>
      <c r="AN4311" s="1"/>
      <c r="AO4311" s="6"/>
    </row>
    <row r="4312" spans="1:41" ht="15" x14ac:dyDescent="0.25">
      <c r="A4312" s="1"/>
      <c r="B4312" s="1"/>
      <c r="C4312" s="1"/>
      <c r="D4312" s="1"/>
      <c r="E4312" s="6"/>
      <c r="F4312" s="1"/>
      <c r="G4312" s="6"/>
      <c r="H4312" s="6"/>
      <c r="I4312" s="6"/>
      <c r="J4312" s="6"/>
      <c r="K4312" s="6"/>
      <c r="L4312" s="6"/>
      <c r="M4312" s="6"/>
      <c r="N4312" s="6"/>
      <c r="O4312" s="7"/>
      <c r="P4312" s="6"/>
      <c r="Q4312" s="6"/>
      <c r="R4312" s="7"/>
      <c r="S4312" s="6"/>
      <c r="T4312" s="6"/>
      <c r="U4312" s="7"/>
      <c r="V4312" s="6"/>
      <c r="W4312" s="6"/>
      <c r="X4312" s="12"/>
      <c r="Y4312" s="6"/>
      <c r="Z4312" s="6"/>
      <c r="AA4312" s="7"/>
      <c r="AB4312" s="6"/>
      <c r="AC4312" s="6"/>
      <c r="AD4312" s="6"/>
      <c r="AE4312" s="12"/>
      <c r="AF4312" s="6"/>
      <c r="AG4312" s="12"/>
      <c r="AH4312" s="6"/>
      <c r="AI4312" s="6"/>
      <c r="AJ4312" s="12"/>
      <c r="AK4312" s="24"/>
      <c r="AL4312" s="25"/>
      <c r="AM4312" s="12"/>
      <c r="AN4312" s="1"/>
      <c r="AO4312" s="6"/>
    </row>
    <row r="4313" spans="1:41" ht="15" x14ac:dyDescent="0.25">
      <c r="A4313" s="1"/>
      <c r="B4313" s="1"/>
      <c r="C4313" s="1"/>
      <c r="D4313" s="1"/>
      <c r="E4313" s="6"/>
      <c r="F4313" s="1"/>
      <c r="G4313" s="6"/>
      <c r="H4313" s="6"/>
      <c r="I4313" s="6"/>
      <c r="J4313" s="6"/>
      <c r="K4313" s="6"/>
      <c r="L4313" s="6"/>
      <c r="M4313" s="6"/>
      <c r="N4313" s="6"/>
      <c r="O4313" s="7"/>
      <c r="P4313" s="6"/>
      <c r="Q4313" s="7"/>
      <c r="R4313" s="6"/>
      <c r="S4313" s="6"/>
      <c r="T4313" s="6"/>
      <c r="U4313" s="6"/>
      <c r="V4313" s="7"/>
      <c r="W4313" s="6"/>
      <c r="X4313" s="6"/>
      <c r="Y4313" s="6"/>
      <c r="Z4313" s="6"/>
      <c r="AA4313" s="1"/>
      <c r="AB4313" s="12"/>
      <c r="AC4313" s="12"/>
      <c r="AD4313" s="12"/>
      <c r="AE4313" s="12"/>
      <c r="AF4313" s="6"/>
      <c r="AG4313" s="12"/>
      <c r="AH4313" s="6"/>
      <c r="AI4313" s="6"/>
      <c r="AJ4313" s="12"/>
      <c r="AK4313" s="12"/>
      <c r="AL4313" s="12"/>
      <c r="AM4313" s="12"/>
      <c r="AN4313" s="1"/>
      <c r="AO4313" s="6"/>
    </row>
    <row r="4314" spans="1:41" ht="15" x14ac:dyDescent="0.25">
      <c r="A4314" s="1"/>
      <c r="B4314" s="1"/>
      <c r="C4314" s="1"/>
      <c r="D4314" s="1"/>
      <c r="E4314" s="6"/>
      <c r="F4314" s="1"/>
      <c r="G4314" s="6"/>
      <c r="H4314" s="6"/>
      <c r="I4314" s="6"/>
      <c r="J4314" s="6"/>
      <c r="K4314" s="6"/>
      <c r="L4314" s="6"/>
      <c r="M4314" s="6"/>
      <c r="N4314" s="6"/>
      <c r="O4314" s="7"/>
      <c r="P4314" s="6"/>
      <c r="Q4314" s="7"/>
      <c r="R4314" s="6"/>
      <c r="S4314" s="6"/>
      <c r="T4314" s="6"/>
      <c r="U4314" s="6"/>
      <c r="V4314" s="7"/>
      <c r="W4314" s="6"/>
      <c r="X4314" s="6"/>
      <c r="Y4314" s="6"/>
      <c r="Z4314" s="6"/>
      <c r="AA4314" s="1"/>
      <c r="AB4314" s="12"/>
      <c r="AC4314" s="12"/>
      <c r="AD4314" s="12"/>
      <c r="AE4314" s="12"/>
      <c r="AF4314" s="6"/>
      <c r="AG4314" s="12"/>
      <c r="AH4314" s="6"/>
      <c r="AI4314" s="6"/>
      <c r="AJ4314" s="12"/>
      <c r="AK4314" s="12"/>
      <c r="AL4314" s="12"/>
      <c r="AM4314" s="12"/>
      <c r="AN4314" s="1"/>
      <c r="AO4314" s="6"/>
    </row>
    <row r="4315" spans="1:41" ht="15" x14ac:dyDescent="0.25">
      <c r="A4315" s="1"/>
      <c r="B4315" s="1"/>
      <c r="C4315" s="1"/>
      <c r="D4315" s="1"/>
      <c r="E4315" s="6"/>
      <c r="F4315" s="1"/>
      <c r="G4315" s="6"/>
      <c r="H4315" s="6"/>
      <c r="I4315" s="6"/>
      <c r="J4315" s="6"/>
      <c r="K4315" s="6"/>
      <c r="L4315" s="6"/>
      <c r="M4315" s="6"/>
      <c r="N4315" s="6"/>
      <c r="O4315" s="7"/>
      <c r="P4315" s="6"/>
      <c r="Q4315" s="7"/>
      <c r="R4315" s="6"/>
      <c r="S4315" s="12"/>
      <c r="T4315" s="6"/>
      <c r="U4315" s="6"/>
      <c r="V4315" s="7"/>
      <c r="W4315" s="7"/>
      <c r="X4315" s="6"/>
      <c r="Y4315" s="6"/>
      <c r="Z4315" s="6"/>
      <c r="AA4315" s="1"/>
      <c r="AB4315" s="12"/>
      <c r="AC4315" s="12"/>
      <c r="AD4315" s="12"/>
      <c r="AE4315" s="12"/>
      <c r="AF4315" s="12"/>
      <c r="AG4315" s="12"/>
      <c r="AH4315" s="12"/>
      <c r="AI4315" s="6"/>
      <c r="AJ4315" s="12"/>
      <c r="AK4315" s="12"/>
      <c r="AL4315" s="12"/>
      <c r="AM4315" s="12"/>
      <c r="AN4315" s="1"/>
      <c r="AO4315" s="6"/>
    </row>
    <row r="4316" spans="1:41" ht="15" x14ac:dyDescent="0.25">
      <c r="A4316" s="1"/>
      <c r="B4316" s="1"/>
      <c r="C4316" s="1"/>
      <c r="D4316" s="1"/>
      <c r="E4316" s="6"/>
      <c r="F4316" s="1"/>
      <c r="G4316" s="6"/>
      <c r="H4316" s="6"/>
      <c r="I4316" s="6"/>
      <c r="J4316" s="6"/>
      <c r="K4316" s="6"/>
      <c r="L4316" s="6"/>
      <c r="M4316" s="6"/>
      <c r="N4316" s="6"/>
      <c r="O4316" s="7"/>
      <c r="P4316" s="6"/>
      <c r="Q4316" s="6"/>
      <c r="R4316" s="7"/>
      <c r="S4316" s="6"/>
      <c r="T4316" s="6"/>
      <c r="U4316" s="7"/>
      <c r="V4316" s="6"/>
      <c r="W4316" s="6"/>
      <c r="X4316" s="6"/>
      <c r="Y4316" s="6"/>
      <c r="Z4316" s="6"/>
      <c r="AA4316" s="7"/>
      <c r="AB4316" s="6"/>
      <c r="AC4316" s="6"/>
      <c r="AD4316" s="6"/>
      <c r="AE4316" s="12"/>
      <c r="AF4316" s="12"/>
      <c r="AG4316" s="12"/>
      <c r="AH4316" s="12"/>
      <c r="AI4316" s="6"/>
      <c r="AJ4316" s="12"/>
      <c r="AK4316" s="1"/>
      <c r="AL4316" s="12"/>
      <c r="AM4316" s="12"/>
      <c r="AN4316" s="1"/>
      <c r="AO4316" s="6"/>
    </row>
    <row r="4317" spans="1:41" ht="15" x14ac:dyDescent="0.25">
      <c r="A4317" s="1"/>
      <c r="B4317" s="1"/>
      <c r="C4317" s="1"/>
      <c r="D4317" s="1"/>
      <c r="E4317" s="6"/>
      <c r="F4317" s="1"/>
      <c r="G4317" s="6"/>
      <c r="H4317" s="6"/>
      <c r="I4317" s="6"/>
      <c r="J4317" s="6"/>
      <c r="K4317" s="6"/>
      <c r="L4317" s="6"/>
      <c r="M4317" s="6"/>
      <c r="N4317" s="6"/>
      <c r="O4317" s="7"/>
      <c r="P4317" s="6"/>
      <c r="Q4317" s="6"/>
      <c r="R4317" s="7"/>
      <c r="S4317" s="6"/>
      <c r="T4317" s="6"/>
      <c r="U4317" s="7"/>
      <c r="V4317" s="6"/>
      <c r="W4317" s="6"/>
      <c r="X4317" s="6"/>
      <c r="Y4317" s="6"/>
      <c r="Z4317" s="6"/>
      <c r="AA4317" s="7"/>
      <c r="AB4317" s="6"/>
      <c r="AC4317" s="6"/>
      <c r="AD4317" s="6"/>
      <c r="AE4317" s="12"/>
      <c r="AF4317" s="6"/>
      <c r="AG4317" s="12"/>
      <c r="AH4317" s="6"/>
      <c r="AI4317" s="6"/>
      <c r="AJ4317" s="12"/>
      <c r="AK4317" s="24"/>
      <c r="AL4317" s="25"/>
      <c r="AM4317" s="12"/>
      <c r="AN4317" s="1"/>
      <c r="AO4317" s="6"/>
    </row>
    <row r="4318" spans="1:41" ht="15" x14ac:dyDescent="0.25">
      <c r="A4318" s="1"/>
      <c r="B4318" s="1"/>
      <c r="C4318" s="1"/>
      <c r="D4318" s="1"/>
      <c r="E4318" s="6"/>
      <c r="F4318" s="1"/>
      <c r="G4318" s="6"/>
      <c r="H4318" s="6"/>
      <c r="I4318" s="6"/>
      <c r="J4318" s="6"/>
      <c r="K4318" s="6"/>
      <c r="L4318" s="6"/>
      <c r="M4318" s="6"/>
      <c r="N4318" s="6"/>
      <c r="O4318" s="7"/>
      <c r="P4318" s="6"/>
      <c r="Q4318" s="6"/>
      <c r="R4318" s="7"/>
      <c r="S4318" s="6"/>
      <c r="T4318" s="6"/>
      <c r="U4318" s="7"/>
      <c r="V4318" s="6"/>
      <c r="W4318" s="6"/>
      <c r="X4318" s="6"/>
      <c r="Y4318" s="6"/>
      <c r="Z4318" s="6"/>
      <c r="AA4318" s="7"/>
      <c r="AB4318" s="6"/>
      <c r="AC4318" s="6"/>
      <c r="AD4318" s="6"/>
      <c r="AE4318" s="12"/>
      <c r="AF4318" s="6"/>
      <c r="AG4318" s="12"/>
      <c r="AH4318" s="6"/>
      <c r="AI4318" s="6"/>
      <c r="AJ4318" s="12"/>
      <c r="AK4318" s="24"/>
      <c r="AL4318" s="25"/>
      <c r="AM4318" s="12"/>
      <c r="AN4318" s="1"/>
      <c r="AO4318" s="6"/>
    </row>
    <row r="4319" spans="1:41" ht="15" x14ac:dyDescent="0.25">
      <c r="A4319" s="1"/>
      <c r="B4319" s="1"/>
      <c r="C4319" s="1"/>
      <c r="D4319" s="1"/>
      <c r="E4319" s="6"/>
      <c r="F4319" s="1"/>
      <c r="G4319" s="6"/>
      <c r="H4319" s="6"/>
      <c r="I4319" s="6"/>
      <c r="J4319" s="6"/>
      <c r="K4319" s="6"/>
      <c r="L4319" s="6"/>
      <c r="M4319" s="6"/>
      <c r="N4319" s="6"/>
      <c r="O4319" s="7"/>
      <c r="P4319" s="12"/>
      <c r="Q4319" s="6"/>
      <c r="R4319" s="7"/>
      <c r="S4319" s="6"/>
      <c r="T4319" s="6"/>
      <c r="U4319" s="7"/>
      <c r="V4319" s="6"/>
      <c r="W4319" s="6"/>
      <c r="X4319" s="12"/>
      <c r="Y4319" s="6"/>
      <c r="Z4319" s="6"/>
      <c r="AA4319" s="7"/>
      <c r="AB4319" s="6"/>
      <c r="AC4319" s="6"/>
      <c r="AD4319" s="6"/>
      <c r="AE4319" s="12"/>
      <c r="AF4319" s="6"/>
      <c r="AG4319" s="12"/>
      <c r="AH4319" s="6"/>
      <c r="AI4319" s="6"/>
      <c r="AJ4319" s="12"/>
      <c r="AK4319" s="1"/>
      <c r="AL4319" s="12"/>
      <c r="AM4319" s="12"/>
      <c r="AN4319" s="1"/>
      <c r="AO4319" s="6"/>
    </row>
    <row r="4320" spans="1:41" ht="15" x14ac:dyDescent="0.25">
      <c r="A4320" s="1"/>
      <c r="B4320" s="1"/>
      <c r="C4320" s="1"/>
      <c r="D4320" s="1"/>
      <c r="E4320" s="6"/>
      <c r="F4320" s="1"/>
      <c r="G4320" s="6"/>
      <c r="H4320" s="6"/>
      <c r="I4320" s="6"/>
      <c r="J4320" s="6"/>
      <c r="K4320" s="6"/>
      <c r="L4320" s="6"/>
      <c r="M4320" s="6"/>
      <c r="N4320" s="6"/>
      <c r="O4320" s="7"/>
      <c r="P4320" s="12"/>
      <c r="Q4320" s="6"/>
      <c r="R4320" s="7"/>
      <c r="S4320" s="6"/>
      <c r="T4320" s="6"/>
      <c r="U4320" s="7"/>
      <c r="V4320" s="6"/>
      <c r="W4320" s="6"/>
      <c r="X4320" s="12"/>
      <c r="Y4320" s="6"/>
      <c r="Z4320" s="6"/>
      <c r="AA4320" s="7"/>
      <c r="AB4320" s="6"/>
      <c r="AC4320" s="6"/>
      <c r="AD4320" s="6"/>
      <c r="AE4320" s="12"/>
      <c r="AF4320" s="6"/>
      <c r="AG4320" s="12"/>
      <c r="AH4320" s="6"/>
      <c r="AI4320" s="6"/>
      <c r="AJ4320" s="12"/>
      <c r="AK4320" s="1"/>
      <c r="AL4320" s="12"/>
      <c r="AM4320" s="12"/>
      <c r="AN4320" s="1"/>
      <c r="AO4320" s="6"/>
    </row>
    <row r="4321" spans="1:41" ht="15" x14ac:dyDescent="0.25">
      <c r="A4321" s="1"/>
      <c r="B4321" s="1"/>
      <c r="C4321" s="1"/>
      <c r="D4321" s="1"/>
      <c r="E4321" s="6"/>
      <c r="F4321" s="1"/>
      <c r="G4321" s="6"/>
      <c r="H4321" s="6"/>
      <c r="I4321" s="6"/>
      <c r="J4321" s="6"/>
      <c r="K4321" s="6"/>
      <c r="L4321" s="6"/>
      <c r="M4321" s="6"/>
      <c r="N4321" s="6"/>
      <c r="O4321" s="7"/>
      <c r="P4321" s="12"/>
      <c r="Q4321" s="6"/>
      <c r="R4321" s="7"/>
      <c r="S4321" s="6"/>
      <c r="T4321" s="6"/>
      <c r="U4321" s="7"/>
      <c r="V4321" s="6"/>
      <c r="W4321" s="6"/>
      <c r="X4321" s="6"/>
      <c r="Y4321" s="6"/>
      <c r="Z4321" s="6"/>
      <c r="AA4321" s="7"/>
      <c r="AB4321" s="6"/>
      <c r="AC4321" s="6"/>
      <c r="AD4321" s="6"/>
      <c r="AE4321" s="12"/>
      <c r="AF4321" s="12"/>
      <c r="AG4321" s="12"/>
      <c r="AH4321" s="12"/>
      <c r="AI4321" s="6"/>
      <c r="AJ4321" s="12"/>
      <c r="AK4321" s="1"/>
      <c r="AL4321" s="12"/>
      <c r="AM4321" s="12"/>
      <c r="AN4321" s="1"/>
      <c r="AO4321" s="6"/>
    </row>
    <row r="4322" spans="1:41" ht="15" x14ac:dyDescent="0.25">
      <c r="A4322" s="1"/>
      <c r="B4322" s="1"/>
      <c r="C4322" s="1"/>
      <c r="D4322" s="1"/>
      <c r="E4322" s="6"/>
      <c r="F4322" s="1"/>
      <c r="G4322" s="6"/>
      <c r="H4322" s="6"/>
      <c r="I4322" s="6"/>
      <c r="J4322" s="6"/>
      <c r="K4322" s="6"/>
      <c r="L4322" s="6"/>
      <c r="M4322" s="6"/>
      <c r="N4322" s="6"/>
      <c r="O4322" s="7"/>
      <c r="P4322" s="6"/>
      <c r="Q4322" s="6"/>
      <c r="R4322" s="7"/>
      <c r="S4322" s="6"/>
      <c r="T4322" s="6"/>
      <c r="U4322" s="7"/>
      <c r="V4322" s="6"/>
      <c r="W4322" s="6"/>
      <c r="X4322" s="6"/>
      <c r="Y4322" s="6"/>
      <c r="Z4322" s="6"/>
      <c r="AA4322" s="7"/>
      <c r="AB4322" s="6"/>
      <c r="AC4322" s="6"/>
      <c r="AD4322" s="6"/>
      <c r="AE4322" s="12"/>
      <c r="AF4322" s="12"/>
      <c r="AG4322" s="12"/>
      <c r="AH4322" s="12"/>
      <c r="AI4322" s="6"/>
      <c r="AJ4322" s="12"/>
      <c r="AK4322" s="1"/>
      <c r="AL4322" s="12"/>
      <c r="AM4322" s="12"/>
      <c r="AN4322" s="1"/>
      <c r="AO4322" s="6"/>
    </row>
    <row r="4323" spans="1:41" ht="15" x14ac:dyDescent="0.25">
      <c r="A4323" s="1"/>
      <c r="B4323" s="1"/>
      <c r="C4323" s="1"/>
      <c r="D4323" s="1"/>
      <c r="E4323" s="6"/>
      <c r="F4323" s="1"/>
      <c r="G4323" s="6"/>
      <c r="H4323" s="6"/>
      <c r="I4323" s="6"/>
      <c r="J4323" s="6"/>
      <c r="K4323" s="6"/>
      <c r="L4323" s="6"/>
      <c r="M4323" s="6"/>
      <c r="N4323" s="6"/>
      <c r="O4323" s="7"/>
      <c r="P4323" s="12"/>
      <c r="Q4323" s="6"/>
      <c r="R4323" s="7"/>
      <c r="S4323" s="6"/>
      <c r="T4323" s="6"/>
      <c r="U4323" s="7"/>
      <c r="V4323" s="6"/>
      <c r="W4323" s="6"/>
      <c r="X4323" s="6"/>
      <c r="Y4323" s="6"/>
      <c r="Z4323" s="6"/>
      <c r="AA4323" s="7"/>
      <c r="AB4323" s="6"/>
      <c r="AC4323" s="6"/>
      <c r="AD4323" s="6"/>
      <c r="AE4323" s="12"/>
      <c r="AF4323" s="12"/>
      <c r="AG4323" s="12"/>
      <c r="AH4323" s="12"/>
      <c r="AI4323" s="6"/>
      <c r="AJ4323" s="12"/>
      <c r="AK4323" s="1"/>
      <c r="AL4323" s="12"/>
      <c r="AM4323" s="12"/>
      <c r="AN4323" s="1"/>
      <c r="AO4323" s="6"/>
    </row>
    <row r="4324" spans="1:41" ht="15" x14ac:dyDescent="0.25">
      <c r="A4324" s="1"/>
      <c r="B4324" s="1"/>
      <c r="C4324" s="1"/>
      <c r="D4324" s="1"/>
      <c r="E4324" s="6"/>
      <c r="F4324" s="1"/>
      <c r="G4324" s="6"/>
      <c r="H4324" s="6"/>
      <c r="I4324" s="6"/>
      <c r="J4324" s="6"/>
      <c r="K4324" s="6"/>
      <c r="L4324" s="6"/>
      <c r="M4324" s="6"/>
      <c r="N4324" s="6"/>
      <c r="O4324" s="7"/>
      <c r="P4324" s="6"/>
      <c r="Q4324" s="6"/>
      <c r="R4324" s="7"/>
      <c r="S4324" s="6"/>
      <c r="T4324" s="6"/>
      <c r="U4324" s="7"/>
      <c r="V4324" s="6"/>
      <c r="W4324" s="6"/>
      <c r="X4324" s="6"/>
      <c r="Y4324" s="6"/>
      <c r="Z4324" s="6"/>
      <c r="AA4324" s="7"/>
      <c r="AB4324" s="6"/>
      <c r="AC4324" s="6"/>
      <c r="AD4324" s="6"/>
      <c r="AE4324" s="12"/>
      <c r="AF4324" s="12"/>
      <c r="AG4324" s="12"/>
      <c r="AH4324" s="12"/>
      <c r="AI4324" s="6"/>
      <c r="AJ4324" s="12"/>
      <c r="AK4324" s="1"/>
      <c r="AL4324" s="12"/>
      <c r="AM4324" s="12"/>
      <c r="AN4324" s="1"/>
      <c r="AO4324" s="6"/>
    </row>
    <row r="4325" spans="1:41" ht="15" x14ac:dyDescent="0.25">
      <c r="A4325" s="1"/>
      <c r="B4325" s="1"/>
      <c r="C4325" s="1"/>
      <c r="D4325" s="1"/>
      <c r="E4325" s="6"/>
      <c r="F4325" s="1"/>
      <c r="G4325" s="6"/>
      <c r="H4325" s="6"/>
      <c r="I4325" s="6"/>
      <c r="J4325" s="6"/>
      <c r="K4325" s="6"/>
      <c r="L4325" s="6"/>
      <c r="M4325" s="6"/>
      <c r="N4325" s="6"/>
      <c r="O4325" s="7"/>
      <c r="P4325" s="6"/>
      <c r="Q4325" s="6"/>
      <c r="R4325" s="7"/>
      <c r="S4325" s="6"/>
      <c r="T4325" s="6"/>
      <c r="U4325" s="7"/>
      <c r="V4325" s="6"/>
      <c r="W4325" s="6"/>
      <c r="X4325" s="6"/>
      <c r="Y4325" s="6"/>
      <c r="Z4325" s="6"/>
      <c r="AA4325" s="7"/>
      <c r="AB4325" s="6"/>
      <c r="AC4325" s="6"/>
      <c r="AD4325" s="6"/>
      <c r="AE4325" s="12"/>
      <c r="AF4325" s="6"/>
      <c r="AG4325" s="12"/>
      <c r="AH4325" s="6"/>
      <c r="AI4325" s="6"/>
      <c r="AJ4325" s="12"/>
      <c r="AK4325" s="1"/>
      <c r="AL4325" s="12"/>
      <c r="AM4325" s="12"/>
      <c r="AN4325" s="1"/>
      <c r="AO4325" s="6"/>
    </row>
    <row r="4326" spans="1:41" ht="15" x14ac:dyDescent="0.25">
      <c r="A4326" s="1"/>
      <c r="B4326" s="1"/>
      <c r="C4326" s="1"/>
      <c r="D4326" s="1"/>
      <c r="E4326" s="6"/>
      <c r="F4326" s="1"/>
      <c r="G4326" s="6"/>
      <c r="H4326" s="6"/>
      <c r="I4326" s="6"/>
      <c r="J4326" s="6"/>
      <c r="K4326" s="6"/>
      <c r="L4326" s="6"/>
      <c r="M4326" s="6"/>
      <c r="N4326" s="6"/>
      <c r="O4326" s="7"/>
      <c r="P4326" s="6"/>
      <c r="Q4326" s="6"/>
      <c r="R4326" s="7"/>
      <c r="S4326" s="6"/>
      <c r="T4326" s="6"/>
      <c r="U4326" s="7"/>
      <c r="V4326" s="6"/>
      <c r="W4326" s="6"/>
      <c r="X4326" s="6"/>
      <c r="Y4326" s="6"/>
      <c r="Z4326" s="6"/>
      <c r="AA4326" s="7"/>
      <c r="AB4326" s="6"/>
      <c r="AC4326" s="6"/>
      <c r="AD4326" s="6"/>
      <c r="AE4326" s="12"/>
      <c r="AF4326" s="6"/>
      <c r="AG4326" s="12"/>
      <c r="AH4326" s="6"/>
      <c r="AI4326" s="6"/>
      <c r="AJ4326" s="12"/>
      <c r="AK4326" s="1"/>
      <c r="AL4326" s="12"/>
      <c r="AM4326" s="12"/>
      <c r="AN4326" s="1"/>
      <c r="AO4326" s="6"/>
    </row>
    <row r="4327" spans="1:41" ht="15" x14ac:dyDescent="0.25">
      <c r="A4327" s="1"/>
      <c r="B4327" s="1"/>
      <c r="C4327" s="1"/>
      <c r="D4327" s="1"/>
      <c r="E4327" s="6"/>
      <c r="F4327" s="1"/>
      <c r="G4327" s="6"/>
      <c r="H4327" s="6"/>
      <c r="I4327" s="6"/>
      <c r="J4327" s="6"/>
      <c r="K4327" s="6"/>
      <c r="L4327" s="6"/>
      <c r="M4327" s="6"/>
      <c r="N4327" s="6"/>
      <c r="O4327" s="7"/>
      <c r="P4327" s="6"/>
      <c r="Q4327" s="6"/>
      <c r="R4327" s="7"/>
      <c r="S4327" s="6"/>
      <c r="T4327" s="6"/>
      <c r="U4327" s="7"/>
      <c r="V4327" s="6"/>
      <c r="W4327" s="6"/>
      <c r="X4327" s="6"/>
      <c r="Y4327" s="6"/>
      <c r="Z4327" s="6"/>
      <c r="AA4327" s="7"/>
      <c r="AB4327" s="6"/>
      <c r="AC4327" s="6"/>
      <c r="AD4327" s="6"/>
      <c r="AE4327" s="12"/>
      <c r="AF4327" s="12"/>
      <c r="AG4327" s="12"/>
      <c r="AH4327" s="12"/>
      <c r="AI4327" s="6"/>
      <c r="AJ4327" s="12"/>
      <c r="AK4327" s="1"/>
      <c r="AL4327" s="12"/>
      <c r="AM4327" s="12"/>
      <c r="AN4327" s="1"/>
      <c r="AO4327" s="6"/>
    </row>
    <row r="4328" spans="1:41" ht="15" x14ac:dyDescent="0.25">
      <c r="A4328" s="1"/>
      <c r="B4328" s="1"/>
      <c r="C4328" s="1"/>
      <c r="D4328" s="1"/>
      <c r="E4328" s="6"/>
      <c r="F4328" s="1"/>
      <c r="G4328" s="6"/>
      <c r="H4328" s="6"/>
      <c r="I4328" s="6"/>
      <c r="J4328" s="6"/>
      <c r="K4328" s="6"/>
      <c r="L4328" s="6"/>
      <c r="M4328" s="6"/>
      <c r="N4328" s="6"/>
      <c r="O4328" s="7"/>
      <c r="P4328" s="6"/>
      <c r="Q4328" s="6"/>
      <c r="R4328" s="7"/>
      <c r="S4328" s="6"/>
      <c r="T4328" s="6"/>
      <c r="U4328" s="7"/>
      <c r="V4328" s="6"/>
      <c r="W4328" s="6"/>
      <c r="X4328" s="6"/>
      <c r="Y4328" s="6"/>
      <c r="Z4328" s="6"/>
      <c r="AA4328" s="7"/>
      <c r="AB4328" s="6"/>
      <c r="AC4328" s="6"/>
      <c r="AD4328" s="6"/>
      <c r="AE4328" s="12"/>
      <c r="AF4328" s="12"/>
      <c r="AG4328" s="12"/>
      <c r="AH4328" s="12"/>
      <c r="AI4328" s="6"/>
      <c r="AJ4328" s="12"/>
      <c r="AK4328" s="1"/>
      <c r="AL4328" s="12"/>
      <c r="AM4328" s="12"/>
      <c r="AN4328" s="1"/>
      <c r="AO4328" s="6"/>
    </row>
    <row r="4329" spans="1:41" ht="15" x14ac:dyDescent="0.25">
      <c r="A4329" s="1"/>
      <c r="B4329" s="1"/>
      <c r="C4329" s="1"/>
      <c r="D4329" s="1"/>
      <c r="E4329" s="6"/>
      <c r="F4329" s="1"/>
      <c r="G4329" s="6"/>
      <c r="H4329" s="6"/>
      <c r="I4329" s="6"/>
      <c r="J4329" s="6"/>
      <c r="K4329" s="6"/>
      <c r="L4329" s="6"/>
      <c r="M4329" s="6"/>
      <c r="N4329" s="6"/>
      <c r="O4329" s="7"/>
      <c r="P4329" s="6"/>
      <c r="Q4329" s="6"/>
      <c r="R4329" s="7"/>
      <c r="S4329" s="6"/>
      <c r="T4329" s="6"/>
      <c r="U4329" s="7"/>
      <c r="V4329" s="6"/>
      <c r="W4329" s="6"/>
      <c r="X4329" s="12"/>
      <c r="Y4329" s="6"/>
      <c r="Z4329" s="6"/>
      <c r="AA4329" s="7"/>
      <c r="AB4329" s="6"/>
      <c r="AC4329" s="6"/>
      <c r="AD4329" s="6"/>
      <c r="AE4329" s="12"/>
      <c r="AF4329" s="6"/>
      <c r="AG4329" s="12"/>
      <c r="AH4329" s="6"/>
      <c r="AI4329" s="6"/>
      <c r="AJ4329" s="12"/>
      <c r="AK4329" s="1"/>
      <c r="AL4329" s="12"/>
      <c r="AM4329" s="12"/>
      <c r="AN4329" s="1"/>
      <c r="AO4329" s="6"/>
    </row>
    <row r="4330" spans="1:41" ht="15" x14ac:dyDescent="0.25">
      <c r="A4330" s="1"/>
      <c r="B4330" s="1"/>
      <c r="C4330" s="1"/>
      <c r="D4330" s="1"/>
      <c r="E4330" s="6"/>
      <c r="F4330" s="1"/>
      <c r="G4330" s="6"/>
      <c r="H4330" s="6"/>
      <c r="I4330" s="6"/>
      <c r="J4330" s="6"/>
      <c r="K4330" s="6"/>
      <c r="L4330" s="6"/>
      <c r="M4330" s="6"/>
      <c r="N4330" s="6"/>
      <c r="O4330" s="7"/>
      <c r="P4330" s="6"/>
      <c r="Q4330" s="6"/>
      <c r="R4330" s="7"/>
      <c r="S4330" s="6"/>
      <c r="T4330" s="6"/>
      <c r="U4330" s="7"/>
      <c r="V4330" s="6"/>
      <c r="W4330" s="6"/>
      <c r="X4330" s="12"/>
      <c r="Y4330" s="6"/>
      <c r="Z4330" s="6"/>
      <c r="AA4330" s="7"/>
      <c r="AB4330" s="6"/>
      <c r="AC4330" s="6"/>
      <c r="AD4330" s="6"/>
      <c r="AE4330" s="12"/>
      <c r="AF4330" s="6"/>
      <c r="AG4330" s="12"/>
      <c r="AH4330" s="6"/>
      <c r="AI4330" s="6"/>
      <c r="AJ4330" s="12"/>
      <c r="AK4330" s="1"/>
      <c r="AL4330" s="12"/>
      <c r="AM4330" s="12"/>
      <c r="AN4330" s="1"/>
      <c r="AO4330" s="6"/>
    </row>
    <row r="4331" spans="1:41" ht="15" x14ac:dyDescent="0.25">
      <c r="A4331" s="1"/>
      <c r="B4331" s="1"/>
      <c r="C4331" s="1"/>
      <c r="D4331" s="1"/>
      <c r="E4331" s="6"/>
      <c r="F4331" s="1"/>
      <c r="G4331" s="6"/>
      <c r="H4331" s="6"/>
      <c r="I4331" s="6"/>
      <c r="J4331" s="6"/>
      <c r="K4331" s="6"/>
      <c r="L4331" s="6"/>
      <c r="M4331" s="6"/>
      <c r="N4331" s="6"/>
      <c r="O4331" s="7"/>
      <c r="P4331" s="6"/>
      <c r="Q4331" s="6"/>
      <c r="R4331" s="7"/>
      <c r="S4331" s="6"/>
      <c r="T4331" s="6"/>
      <c r="U4331" s="7"/>
      <c r="V4331" s="6"/>
      <c r="W4331" s="6"/>
      <c r="X4331" s="6"/>
      <c r="Y4331" s="6"/>
      <c r="Z4331" s="6"/>
      <c r="AA4331" s="7"/>
      <c r="AB4331" s="6"/>
      <c r="AC4331" s="6"/>
      <c r="AD4331" s="6"/>
      <c r="AE4331" s="12"/>
      <c r="AF4331" s="12"/>
      <c r="AG4331" s="12"/>
      <c r="AH4331" s="12"/>
      <c r="AI4331" s="6"/>
      <c r="AJ4331" s="12"/>
      <c r="AK4331" s="1"/>
      <c r="AL4331" s="12"/>
      <c r="AM4331" s="12"/>
      <c r="AN4331" s="1"/>
      <c r="AO4331" s="6"/>
    </row>
    <row r="4332" spans="1:41" ht="15" x14ac:dyDescent="0.25">
      <c r="A4332" s="1"/>
      <c r="B4332" s="1"/>
      <c r="C4332" s="1"/>
      <c r="D4332" s="1"/>
      <c r="E4332" s="6"/>
      <c r="F4332" s="1"/>
      <c r="G4332" s="6"/>
      <c r="H4332" s="6"/>
      <c r="I4332" s="6"/>
      <c r="J4332" s="6"/>
      <c r="K4332" s="6"/>
      <c r="L4332" s="6"/>
      <c r="M4332" s="6"/>
      <c r="N4332" s="6"/>
      <c r="O4332" s="7"/>
      <c r="P4332" s="6"/>
      <c r="Q4332" s="6"/>
      <c r="R4332" s="7"/>
      <c r="S4332" s="6"/>
      <c r="T4332" s="6"/>
      <c r="U4332" s="7"/>
      <c r="V4332" s="6"/>
      <c r="W4332" s="6"/>
      <c r="X4332" s="6"/>
      <c r="Y4332" s="6"/>
      <c r="Z4332" s="6"/>
      <c r="AA4332" s="7"/>
      <c r="AB4332" s="6"/>
      <c r="AC4332" s="6"/>
      <c r="AD4332" s="6"/>
      <c r="AE4332" s="12"/>
      <c r="AF4332" s="6"/>
      <c r="AG4332" s="12"/>
      <c r="AH4332" s="6"/>
      <c r="AI4332" s="6"/>
      <c r="AJ4332" s="12"/>
      <c r="AK4332" s="1"/>
      <c r="AL4332" s="12"/>
      <c r="AM4332" s="12"/>
      <c r="AN4332" s="1"/>
      <c r="AO4332" s="6"/>
    </row>
    <row r="4333" spans="1:41" ht="15" x14ac:dyDescent="0.25">
      <c r="A4333" s="1"/>
      <c r="B4333" s="1"/>
      <c r="C4333" s="1"/>
      <c r="D4333" s="1"/>
      <c r="E4333" s="6"/>
      <c r="F4333" s="1"/>
      <c r="G4333" s="6"/>
      <c r="H4333" s="6"/>
      <c r="I4333" s="6"/>
      <c r="J4333" s="6"/>
      <c r="K4333" s="6"/>
      <c r="L4333" s="6"/>
      <c r="M4333" s="6"/>
      <c r="N4333" s="6"/>
      <c r="O4333" s="7"/>
      <c r="P4333" s="6"/>
      <c r="Q4333" s="6"/>
      <c r="R4333" s="7"/>
      <c r="S4333" s="6"/>
      <c r="T4333" s="6"/>
      <c r="U4333" s="7"/>
      <c r="V4333" s="6"/>
      <c r="W4333" s="6"/>
      <c r="X4333" s="6"/>
      <c r="Y4333" s="6"/>
      <c r="Z4333" s="6"/>
      <c r="AA4333" s="7"/>
      <c r="AB4333" s="6"/>
      <c r="AC4333" s="6"/>
      <c r="AD4333" s="6"/>
      <c r="AE4333" s="12"/>
      <c r="AF4333" s="6"/>
      <c r="AG4333" s="12"/>
      <c r="AH4333" s="6"/>
      <c r="AI4333" s="6"/>
      <c r="AJ4333" s="12"/>
      <c r="AK4333" s="1"/>
      <c r="AL4333" s="12"/>
      <c r="AM4333" s="12"/>
      <c r="AN4333" s="1"/>
      <c r="AO4333" s="6"/>
    </row>
    <row r="4334" spans="1:41" ht="15" x14ac:dyDescent="0.25">
      <c r="A4334" s="1"/>
      <c r="B4334" s="1"/>
      <c r="C4334" s="1"/>
      <c r="D4334" s="1"/>
      <c r="E4334" s="6"/>
      <c r="F4334" s="1"/>
      <c r="G4334" s="6"/>
      <c r="H4334" s="6"/>
      <c r="I4334" s="6"/>
      <c r="J4334" s="6"/>
      <c r="K4334" s="6"/>
      <c r="L4334" s="6"/>
      <c r="M4334" s="6"/>
      <c r="N4334" s="6"/>
      <c r="O4334" s="7"/>
      <c r="P4334" s="6"/>
      <c r="Q4334" s="6"/>
      <c r="R4334" s="12"/>
      <c r="S4334" s="12"/>
      <c r="T4334" s="12"/>
      <c r="U4334" s="7"/>
      <c r="V4334" s="6"/>
      <c r="W4334" s="6"/>
      <c r="X4334" s="12"/>
      <c r="Y4334" s="6"/>
      <c r="Z4334" s="6"/>
      <c r="AA4334" s="7"/>
      <c r="AB4334" s="6"/>
      <c r="AC4334" s="6"/>
      <c r="AD4334" s="6"/>
      <c r="AE4334" s="12"/>
      <c r="AF4334" s="6"/>
      <c r="AG4334" s="12"/>
      <c r="AH4334" s="6"/>
      <c r="AI4334" s="6"/>
      <c r="AJ4334" s="12"/>
      <c r="AK4334" s="24"/>
      <c r="AL4334" s="25"/>
      <c r="AM4334" s="12"/>
      <c r="AN4334" s="1"/>
      <c r="AO4334" s="6"/>
    </row>
    <row r="4335" spans="1:41" ht="15" x14ac:dyDescent="0.25">
      <c r="A4335" s="1"/>
      <c r="B4335" s="1"/>
      <c r="C4335" s="1"/>
      <c r="D4335" s="1"/>
      <c r="E4335" s="6"/>
      <c r="F4335" s="1"/>
      <c r="G4335" s="6"/>
      <c r="H4335" s="6"/>
      <c r="I4335" s="6"/>
      <c r="J4335" s="6"/>
      <c r="K4335" s="6"/>
      <c r="L4335" s="6"/>
      <c r="M4335" s="6"/>
      <c r="N4335" s="6"/>
      <c r="O4335" s="7"/>
      <c r="P4335" s="6"/>
      <c r="Q4335" s="6"/>
      <c r="R4335" s="12"/>
      <c r="S4335" s="12"/>
      <c r="T4335" s="12"/>
      <c r="U4335" s="7"/>
      <c r="V4335" s="6"/>
      <c r="W4335" s="6"/>
      <c r="X4335" s="12"/>
      <c r="Y4335" s="6"/>
      <c r="Z4335" s="6"/>
      <c r="AA4335" s="7"/>
      <c r="AB4335" s="6"/>
      <c r="AC4335" s="6"/>
      <c r="AD4335" s="6"/>
      <c r="AE4335" s="12"/>
      <c r="AF4335" s="6"/>
      <c r="AG4335" s="12"/>
      <c r="AH4335" s="6"/>
      <c r="AI4335" s="6"/>
      <c r="AJ4335" s="12"/>
      <c r="AK4335" s="24"/>
      <c r="AL4335" s="25"/>
      <c r="AM4335" s="12"/>
      <c r="AN4335" s="1"/>
      <c r="AO4335" s="6"/>
    </row>
    <row r="4336" spans="1:41" ht="15" x14ac:dyDescent="0.25">
      <c r="A4336" s="1"/>
      <c r="B4336" s="1"/>
      <c r="C4336" s="1"/>
      <c r="D4336" s="1"/>
      <c r="E4336" s="6"/>
      <c r="F4336" s="1"/>
      <c r="G4336" s="6"/>
      <c r="H4336" s="6"/>
      <c r="I4336" s="6"/>
      <c r="J4336" s="6"/>
      <c r="K4336" s="6"/>
      <c r="L4336" s="6"/>
      <c r="M4336" s="6"/>
      <c r="N4336" s="6"/>
      <c r="O4336" s="7"/>
      <c r="P4336" s="6"/>
      <c r="Q4336" s="6"/>
      <c r="R4336" s="7"/>
      <c r="S4336" s="6"/>
      <c r="T4336" s="6"/>
      <c r="U4336" s="7"/>
      <c r="V4336" s="6"/>
      <c r="W4336" s="6"/>
      <c r="X4336" s="12"/>
      <c r="Y4336" s="6"/>
      <c r="Z4336" s="6"/>
      <c r="AA4336" s="7"/>
      <c r="AB4336" s="6"/>
      <c r="AC4336" s="6"/>
      <c r="AD4336" s="6"/>
      <c r="AE4336" s="12"/>
      <c r="AF4336" s="12"/>
      <c r="AG4336" s="12"/>
      <c r="AH4336" s="12"/>
      <c r="AI4336" s="6"/>
      <c r="AJ4336" s="12"/>
      <c r="AK4336" s="24"/>
      <c r="AL4336" s="25"/>
      <c r="AM4336" s="12"/>
      <c r="AN4336" s="1"/>
      <c r="AO4336" s="6"/>
    </row>
    <row r="4337" spans="1:41" ht="15" x14ac:dyDescent="0.25">
      <c r="A4337" s="1"/>
      <c r="B4337" s="1"/>
      <c r="C4337" s="1"/>
      <c r="D4337" s="1"/>
      <c r="E4337" s="6"/>
      <c r="F4337" s="1"/>
      <c r="G4337" s="6"/>
      <c r="H4337" s="6"/>
      <c r="I4337" s="6"/>
      <c r="J4337" s="6"/>
      <c r="K4337" s="6"/>
      <c r="L4337" s="6"/>
      <c r="M4337" s="6"/>
      <c r="N4337" s="6"/>
      <c r="O4337" s="7"/>
      <c r="P4337" s="6"/>
      <c r="Q4337" s="6"/>
      <c r="R4337" s="7"/>
      <c r="S4337" s="6"/>
      <c r="T4337" s="6"/>
      <c r="U4337" s="7"/>
      <c r="V4337" s="6"/>
      <c r="W4337" s="6"/>
      <c r="X4337" s="12"/>
      <c r="Y4337" s="6"/>
      <c r="Z4337" s="6"/>
      <c r="AA4337" s="7"/>
      <c r="AB4337" s="6"/>
      <c r="AC4337" s="6"/>
      <c r="AD4337" s="6"/>
      <c r="AE4337" s="12"/>
      <c r="AF4337" s="12"/>
      <c r="AG4337" s="12"/>
      <c r="AH4337" s="12"/>
      <c r="AI4337" s="6"/>
      <c r="AJ4337" s="12"/>
      <c r="AK4337" s="24"/>
      <c r="AL4337" s="25"/>
      <c r="AM4337" s="12"/>
      <c r="AN4337" s="1"/>
      <c r="AO4337" s="6"/>
    </row>
    <row r="4338" spans="1:41" ht="15" x14ac:dyDescent="0.25">
      <c r="A4338" s="1"/>
      <c r="B4338" s="1"/>
      <c r="C4338" s="1"/>
      <c r="D4338" s="1"/>
      <c r="E4338" s="6"/>
      <c r="F4338" s="1"/>
      <c r="G4338" s="6"/>
      <c r="H4338" s="6"/>
      <c r="I4338" s="6"/>
      <c r="J4338" s="6"/>
      <c r="K4338" s="6"/>
      <c r="L4338" s="6"/>
      <c r="M4338" s="6"/>
      <c r="N4338" s="6"/>
      <c r="O4338" s="7"/>
      <c r="P4338" s="6"/>
      <c r="Q4338" s="7"/>
      <c r="R4338" s="6"/>
      <c r="S4338" s="6"/>
      <c r="T4338" s="6"/>
      <c r="U4338" s="6"/>
      <c r="V4338" s="7"/>
      <c r="W4338" s="7"/>
      <c r="X4338" s="6"/>
      <c r="Y4338" s="6"/>
      <c r="Z4338" s="6"/>
      <c r="AA4338" s="1"/>
      <c r="AB4338" s="12"/>
      <c r="AC4338" s="12"/>
      <c r="AD4338" s="12"/>
      <c r="AE4338" s="12"/>
      <c r="AF4338" s="6"/>
      <c r="AG4338" s="12"/>
      <c r="AH4338" s="6"/>
      <c r="AI4338" s="6"/>
      <c r="AJ4338" s="12"/>
      <c r="AK4338" s="12"/>
      <c r="AL4338" s="12"/>
      <c r="AM4338" s="12"/>
      <c r="AN4338" s="1"/>
      <c r="AO4338" s="6"/>
    </row>
    <row r="4339" spans="1:41" ht="15" x14ac:dyDescent="0.25">
      <c r="A4339" s="1"/>
      <c r="B4339" s="1"/>
      <c r="C4339" s="1"/>
      <c r="D4339" s="1"/>
      <c r="E4339" s="6"/>
      <c r="F4339" s="1"/>
      <c r="G4339" s="6"/>
      <c r="H4339" s="6"/>
      <c r="I4339" s="6"/>
      <c r="J4339" s="6"/>
      <c r="K4339" s="6"/>
      <c r="L4339" s="6"/>
      <c r="M4339" s="6"/>
      <c r="N4339" s="6"/>
      <c r="O4339" s="7"/>
      <c r="P4339" s="6"/>
      <c r="Q4339" s="7"/>
      <c r="R4339" s="6"/>
      <c r="S4339" s="6"/>
      <c r="T4339" s="6"/>
      <c r="U4339" s="6"/>
      <c r="V4339" s="7"/>
      <c r="W4339" s="7"/>
      <c r="X4339" s="6"/>
      <c r="Y4339" s="6"/>
      <c r="Z4339" s="6"/>
      <c r="AA4339" s="1"/>
      <c r="AB4339" s="12"/>
      <c r="AC4339" s="12"/>
      <c r="AD4339" s="12"/>
      <c r="AE4339" s="12"/>
      <c r="AF4339" s="6"/>
      <c r="AG4339" s="12"/>
      <c r="AH4339" s="6"/>
      <c r="AI4339" s="6"/>
      <c r="AJ4339" s="12"/>
      <c r="AK4339" s="12"/>
      <c r="AL4339" s="12"/>
      <c r="AM4339" s="12"/>
      <c r="AN4339" s="1"/>
      <c r="AO4339" s="6"/>
    </row>
    <row r="4340" spans="1:41" ht="15" x14ac:dyDescent="0.25">
      <c r="A4340" s="1"/>
      <c r="B4340" s="1"/>
      <c r="C4340" s="1"/>
      <c r="D4340" s="1"/>
      <c r="E4340" s="6"/>
      <c r="F4340" s="1"/>
      <c r="G4340" s="6"/>
      <c r="H4340" s="6"/>
      <c r="I4340" s="6"/>
      <c r="J4340" s="6"/>
      <c r="K4340" s="12"/>
      <c r="L4340" s="12"/>
      <c r="M4340" s="6"/>
      <c r="N4340" s="6"/>
      <c r="O4340" s="7"/>
      <c r="P4340" s="6"/>
      <c r="Q4340" s="6"/>
      <c r="R4340" s="7"/>
      <c r="S4340" s="6"/>
      <c r="T4340" s="6"/>
      <c r="U4340" s="7"/>
      <c r="V4340" s="6"/>
      <c r="W4340" s="6"/>
      <c r="X4340" s="6"/>
      <c r="Y4340" s="6"/>
      <c r="Z4340" s="6"/>
      <c r="AA4340" s="7"/>
      <c r="AB4340" s="6"/>
      <c r="AC4340" s="6"/>
      <c r="AD4340" s="6"/>
      <c r="AE4340" s="12"/>
      <c r="AF4340" s="12"/>
      <c r="AG4340" s="12"/>
      <c r="AH4340" s="12"/>
      <c r="AI4340" s="6"/>
      <c r="AJ4340" s="12"/>
      <c r="AK4340" s="24"/>
      <c r="AL4340" s="25"/>
      <c r="AM4340" s="12"/>
      <c r="AN4340" s="1"/>
      <c r="AO4340" s="12"/>
    </row>
    <row r="4341" spans="1:41" ht="15" x14ac:dyDescent="0.25">
      <c r="A4341" s="1"/>
      <c r="B4341" s="1"/>
      <c r="C4341" s="1"/>
      <c r="D4341" s="1"/>
      <c r="E4341" s="6"/>
      <c r="F4341" s="1"/>
      <c r="G4341" s="6"/>
      <c r="H4341" s="6"/>
      <c r="I4341" s="6"/>
      <c r="J4341" s="6"/>
      <c r="K4341" s="12"/>
      <c r="L4341" s="12"/>
      <c r="M4341" s="6"/>
      <c r="N4341" s="6"/>
      <c r="O4341" s="7"/>
      <c r="P4341" s="6"/>
      <c r="Q4341" s="6"/>
      <c r="R4341" s="7"/>
      <c r="S4341" s="6"/>
      <c r="T4341" s="6"/>
      <c r="U4341" s="7"/>
      <c r="V4341" s="6"/>
      <c r="W4341" s="6"/>
      <c r="X4341" s="6"/>
      <c r="Y4341" s="6"/>
      <c r="Z4341" s="6"/>
      <c r="AA4341" s="7"/>
      <c r="AB4341" s="6"/>
      <c r="AC4341" s="6"/>
      <c r="AD4341" s="6"/>
      <c r="AE4341" s="12"/>
      <c r="AF4341" s="12"/>
      <c r="AG4341" s="12"/>
      <c r="AH4341" s="12"/>
      <c r="AI4341" s="6"/>
      <c r="AJ4341" s="12"/>
      <c r="AK4341" s="24"/>
      <c r="AL4341" s="25"/>
      <c r="AM4341" s="12"/>
      <c r="AN4341" s="1"/>
      <c r="AO4341" s="12"/>
    </row>
    <row r="4342" spans="1:41" ht="15" x14ac:dyDescent="0.25">
      <c r="A4342" s="1"/>
      <c r="B4342" s="1"/>
      <c r="C4342" s="1"/>
      <c r="D4342" s="1"/>
      <c r="E4342" s="6"/>
      <c r="F4342" s="1"/>
      <c r="G4342" s="6"/>
      <c r="H4342" s="6"/>
      <c r="I4342" s="6"/>
      <c r="J4342" s="6"/>
      <c r="K4342" s="6"/>
      <c r="L4342" s="6"/>
      <c r="M4342" s="6"/>
      <c r="N4342" s="6"/>
      <c r="O4342" s="7"/>
      <c r="P4342" s="6"/>
      <c r="Q4342" s="6"/>
      <c r="R4342" s="7"/>
      <c r="S4342" s="6"/>
      <c r="T4342" s="6"/>
      <c r="U4342" s="7"/>
      <c r="V4342" s="6"/>
      <c r="W4342" s="6"/>
      <c r="X4342" s="12"/>
      <c r="Y4342" s="6"/>
      <c r="Z4342" s="6"/>
      <c r="AA4342" s="7"/>
      <c r="AB4342" s="6"/>
      <c r="AC4342" s="6"/>
      <c r="AD4342" s="6"/>
      <c r="AE4342" s="12"/>
      <c r="AF4342" s="6"/>
      <c r="AG4342" s="12"/>
      <c r="AH4342" s="6"/>
      <c r="AI4342" s="6"/>
      <c r="AJ4342" s="12"/>
      <c r="AK4342" s="24"/>
      <c r="AL4342" s="25"/>
      <c r="AM4342" s="12"/>
      <c r="AN4342" s="1"/>
      <c r="AO4342" s="6"/>
    </row>
    <row r="4343" spans="1:41" ht="15" x14ac:dyDescent="0.25">
      <c r="A4343" s="1"/>
      <c r="B4343" s="1"/>
      <c r="C4343" s="1"/>
      <c r="D4343" s="1"/>
      <c r="E4343" s="6"/>
      <c r="F4343" s="1"/>
      <c r="G4343" s="6"/>
      <c r="H4343" s="6"/>
      <c r="I4343" s="6"/>
      <c r="J4343" s="6"/>
      <c r="K4343" s="6"/>
      <c r="L4343" s="6"/>
      <c r="M4343" s="6"/>
      <c r="N4343" s="6"/>
      <c r="O4343" s="7"/>
      <c r="P4343" s="6"/>
      <c r="Q4343" s="6"/>
      <c r="R4343" s="7"/>
      <c r="S4343" s="6"/>
      <c r="T4343" s="6"/>
      <c r="U4343" s="7"/>
      <c r="V4343" s="6"/>
      <c r="W4343" s="6"/>
      <c r="X4343" s="12"/>
      <c r="Y4343" s="6"/>
      <c r="Z4343" s="6"/>
      <c r="AA4343" s="7"/>
      <c r="AB4343" s="6"/>
      <c r="AC4343" s="6"/>
      <c r="AD4343" s="6"/>
      <c r="AE4343" s="12"/>
      <c r="AF4343" s="6"/>
      <c r="AG4343" s="12"/>
      <c r="AH4343" s="6"/>
      <c r="AI4343" s="6"/>
      <c r="AJ4343" s="12"/>
      <c r="AK4343" s="24"/>
      <c r="AL4343" s="25"/>
      <c r="AM4343" s="12"/>
      <c r="AN4343" s="1"/>
      <c r="AO4343" s="6"/>
    </row>
    <row r="4344" spans="1:41" ht="15" x14ac:dyDescent="0.25">
      <c r="A4344" s="1"/>
      <c r="B4344" s="1"/>
      <c r="C4344" s="1"/>
      <c r="D4344" s="1"/>
      <c r="E4344" s="6"/>
      <c r="F4344" s="1"/>
      <c r="G4344" s="6"/>
      <c r="H4344" s="6"/>
      <c r="I4344" s="6"/>
      <c r="J4344" s="6"/>
      <c r="K4344" s="6"/>
      <c r="L4344" s="6"/>
      <c r="M4344" s="6"/>
      <c r="N4344" s="6"/>
      <c r="O4344" s="7"/>
      <c r="P4344" s="6"/>
      <c r="Q4344" s="6"/>
      <c r="R4344" s="12"/>
      <c r="S4344" s="12"/>
      <c r="T4344" s="12"/>
      <c r="U4344" s="7"/>
      <c r="V4344" s="6"/>
      <c r="W4344" s="6"/>
      <c r="X4344" s="12"/>
      <c r="Y4344" s="6"/>
      <c r="Z4344" s="6"/>
      <c r="AA4344" s="7"/>
      <c r="AB4344" s="6"/>
      <c r="AC4344" s="6"/>
      <c r="AD4344" s="6"/>
      <c r="AE4344" s="12"/>
      <c r="AF4344" s="12"/>
      <c r="AG4344" s="12"/>
      <c r="AH4344" s="12"/>
      <c r="AI4344" s="6"/>
      <c r="AJ4344" s="12"/>
      <c r="AK4344" s="1"/>
      <c r="AL4344" s="12"/>
      <c r="AM4344" s="12"/>
      <c r="AN4344" s="1"/>
      <c r="AO4344" s="6"/>
    </row>
    <row r="4345" spans="1:41" ht="15" x14ac:dyDescent="0.25">
      <c r="A4345" s="1"/>
      <c r="B4345" s="1"/>
      <c r="C4345" s="1"/>
      <c r="D4345" s="1"/>
      <c r="E4345" s="6"/>
      <c r="F4345" s="1"/>
      <c r="G4345" s="6"/>
      <c r="H4345" s="6"/>
      <c r="I4345" s="6"/>
      <c r="J4345" s="6"/>
      <c r="K4345" s="12"/>
      <c r="L4345" s="6"/>
      <c r="M4345" s="6"/>
      <c r="N4345" s="6"/>
      <c r="O4345" s="7"/>
      <c r="P4345" s="12"/>
      <c r="Q4345" s="6"/>
      <c r="R4345" s="7"/>
      <c r="S4345" s="6"/>
      <c r="T4345" s="6"/>
      <c r="U4345" s="7"/>
      <c r="V4345" s="6"/>
      <c r="W4345" s="6"/>
      <c r="X4345" s="6"/>
      <c r="Y4345" s="6"/>
      <c r="Z4345" s="6"/>
      <c r="AA4345" s="7"/>
      <c r="AB4345" s="6"/>
      <c r="AC4345" s="6"/>
      <c r="AD4345" s="6"/>
      <c r="AE4345" s="12"/>
      <c r="AF4345" s="6"/>
      <c r="AG4345" s="12"/>
      <c r="AH4345" s="6"/>
      <c r="AI4345" s="6"/>
      <c r="AJ4345" s="12"/>
      <c r="AK4345" s="24"/>
      <c r="AL4345" s="25"/>
      <c r="AM4345" s="12"/>
      <c r="AN4345" s="1"/>
      <c r="AO4345" s="6"/>
    </row>
    <row r="4346" spans="1:41" ht="15" x14ac:dyDescent="0.25">
      <c r="A4346" s="1"/>
      <c r="B4346" s="1"/>
      <c r="C4346" s="1"/>
      <c r="D4346" s="1"/>
      <c r="E4346" s="6"/>
      <c r="F4346" s="1"/>
      <c r="G4346" s="6"/>
      <c r="H4346" s="6"/>
      <c r="I4346" s="6"/>
      <c r="J4346" s="6"/>
      <c r="K4346" s="12"/>
      <c r="L4346" s="6"/>
      <c r="M4346" s="6"/>
      <c r="N4346" s="6"/>
      <c r="O4346" s="7"/>
      <c r="P4346" s="12"/>
      <c r="Q4346" s="6"/>
      <c r="R4346" s="7"/>
      <c r="S4346" s="6"/>
      <c r="T4346" s="6"/>
      <c r="U4346" s="7"/>
      <c r="V4346" s="6"/>
      <c r="W4346" s="6"/>
      <c r="X4346" s="6"/>
      <c r="Y4346" s="6"/>
      <c r="Z4346" s="6"/>
      <c r="AA4346" s="7"/>
      <c r="AB4346" s="6"/>
      <c r="AC4346" s="6"/>
      <c r="AD4346" s="6"/>
      <c r="AE4346" s="12"/>
      <c r="AF4346" s="6"/>
      <c r="AG4346" s="12"/>
      <c r="AH4346" s="6"/>
      <c r="AI4346" s="6"/>
      <c r="AJ4346" s="12"/>
      <c r="AK4346" s="24"/>
      <c r="AL4346" s="25"/>
      <c r="AM4346" s="12"/>
      <c r="AN4346" s="1"/>
      <c r="AO4346" s="6"/>
    </row>
    <row r="4347" spans="1:41" ht="15" x14ac:dyDescent="0.25">
      <c r="A4347" s="1"/>
      <c r="B4347" s="1"/>
      <c r="C4347" s="1"/>
      <c r="D4347" s="1"/>
      <c r="E4347" s="6"/>
      <c r="F4347" s="1"/>
      <c r="G4347" s="6"/>
      <c r="H4347" s="6"/>
      <c r="I4347" s="6"/>
      <c r="J4347" s="6"/>
      <c r="K4347" s="6"/>
      <c r="L4347" s="6"/>
      <c r="M4347" s="6"/>
      <c r="N4347" s="6"/>
      <c r="O4347" s="7"/>
      <c r="P4347" s="6"/>
      <c r="Q4347" s="6"/>
      <c r="R4347" s="7"/>
      <c r="S4347" s="6"/>
      <c r="T4347" s="6"/>
      <c r="U4347" s="7"/>
      <c r="V4347" s="6"/>
      <c r="W4347" s="6"/>
      <c r="X4347" s="6"/>
      <c r="Y4347" s="6"/>
      <c r="Z4347" s="6"/>
      <c r="AA4347" s="7"/>
      <c r="AB4347" s="6"/>
      <c r="AC4347" s="6"/>
      <c r="AD4347" s="6"/>
      <c r="AE4347" s="12"/>
      <c r="AF4347" s="6"/>
      <c r="AG4347" s="12"/>
      <c r="AH4347" s="6"/>
      <c r="AI4347" s="6"/>
      <c r="AJ4347" s="12"/>
      <c r="AK4347" s="24"/>
      <c r="AL4347" s="25"/>
      <c r="AM4347" s="12"/>
      <c r="AN4347" s="1"/>
      <c r="AO4347" s="6"/>
    </row>
    <row r="4348" spans="1:41" ht="15" x14ac:dyDescent="0.25">
      <c r="A4348" s="1"/>
      <c r="B4348" s="1"/>
      <c r="C4348" s="1"/>
      <c r="D4348" s="1"/>
      <c r="E4348" s="6"/>
      <c r="F4348" s="1"/>
      <c r="G4348" s="6"/>
      <c r="H4348" s="6"/>
      <c r="I4348" s="6"/>
      <c r="J4348" s="6"/>
      <c r="K4348" s="6"/>
      <c r="L4348" s="6"/>
      <c r="M4348" s="6"/>
      <c r="N4348" s="6"/>
      <c r="O4348" s="7"/>
      <c r="P4348" s="6"/>
      <c r="Q4348" s="6"/>
      <c r="R4348" s="7"/>
      <c r="S4348" s="6"/>
      <c r="T4348" s="6"/>
      <c r="U4348" s="7"/>
      <c r="V4348" s="6"/>
      <c r="W4348" s="6"/>
      <c r="X4348" s="6"/>
      <c r="Y4348" s="6"/>
      <c r="Z4348" s="6"/>
      <c r="AA4348" s="7"/>
      <c r="AB4348" s="6"/>
      <c r="AC4348" s="6"/>
      <c r="AD4348" s="6"/>
      <c r="AE4348" s="12"/>
      <c r="AF4348" s="6"/>
      <c r="AG4348" s="12"/>
      <c r="AH4348" s="6"/>
      <c r="AI4348" s="6"/>
      <c r="AJ4348" s="12"/>
      <c r="AK4348" s="24"/>
      <c r="AL4348" s="25"/>
      <c r="AM4348" s="12"/>
      <c r="AN4348" s="1"/>
      <c r="AO4348" s="6"/>
    </row>
    <row r="4349" spans="1:41" ht="15" x14ac:dyDescent="0.25">
      <c r="A4349" s="1"/>
      <c r="B4349" s="1"/>
      <c r="C4349" s="1"/>
      <c r="D4349" s="1"/>
      <c r="E4349" s="6"/>
      <c r="F4349" s="1"/>
      <c r="G4349" s="6"/>
      <c r="H4349" s="6"/>
      <c r="I4349" s="6"/>
      <c r="J4349" s="6"/>
      <c r="K4349" s="6"/>
      <c r="L4349" s="6"/>
      <c r="M4349" s="6"/>
      <c r="N4349" s="6"/>
      <c r="O4349" s="7"/>
      <c r="P4349" s="6"/>
      <c r="Q4349" s="6"/>
      <c r="R4349" s="7"/>
      <c r="S4349" s="6"/>
      <c r="T4349" s="6"/>
      <c r="U4349" s="7"/>
      <c r="V4349" s="6"/>
      <c r="W4349" s="6"/>
      <c r="X4349" s="6"/>
      <c r="Y4349" s="6"/>
      <c r="Z4349" s="6"/>
      <c r="AA4349" s="7"/>
      <c r="AB4349" s="6"/>
      <c r="AC4349" s="6"/>
      <c r="AD4349" s="6"/>
      <c r="AE4349" s="12"/>
      <c r="AF4349" s="6"/>
      <c r="AG4349" s="12"/>
      <c r="AH4349" s="6"/>
      <c r="AI4349" s="6"/>
      <c r="AJ4349" s="12"/>
      <c r="AK4349" s="1"/>
      <c r="AL4349" s="12"/>
      <c r="AM4349" s="12"/>
      <c r="AN4349" s="1"/>
      <c r="AO4349" s="6"/>
    </row>
    <row r="4350" spans="1:41" ht="15" x14ac:dyDescent="0.25">
      <c r="A4350" s="1"/>
      <c r="B4350" s="1"/>
      <c r="C4350" s="1"/>
      <c r="D4350" s="1"/>
      <c r="E4350" s="6"/>
      <c r="F4350" s="1"/>
      <c r="G4350" s="6"/>
      <c r="H4350" s="6"/>
      <c r="I4350" s="6"/>
      <c r="J4350" s="6"/>
      <c r="K4350" s="6"/>
      <c r="L4350" s="6"/>
      <c r="M4350" s="6"/>
      <c r="N4350" s="6"/>
      <c r="O4350" s="7"/>
      <c r="P4350" s="6"/>
      <c r="Q4350" s="6"/>
      <c r="R4350" s="7"/>
      <c r="S4350" s="6"/>
      <c r="T4350" s="6"/>
      <c r="U4350" s="7"/>
      <c r="V4350" s="6"/>
      <c r="W4350" s="6"/>
      <c r="X4350" s="6"/>
      <c r="Y4350" s="6"/>
      <c r="Z4350" s="6"/>
      <c r="AA4350" s="7"/>
      <c r="AB4350" s="6"/>
      <c r="AC4350" s="6"/>
      <c r="AD4350" s="6"/>
      <c r="AE4350" s="12"/>
      <c r="AF4350" s="6"/>
      <c r="AG4350" s="12"/>
      <c r="AH4350" s="6"/>
      <c r="AI4350" s="6"/>
      <c r="AJ4350" s="12"/>
      <c r="AK4350" s="1"/>
      <c r="AL4350" s="12"/>
      <c r="AM4350" s="12"/>
      <c r="AN4350" s="1"/>
      <c r="AO4350" s="6"/>
    </row>
    <row r="4351" spans="1:41" ht="15" x14ac:dyDescent="0.25">
      <c r="A4351" s="1"/>
      <c r="B4351" s="1"/>
      <c r="C4351" s="1"/>
      <c r="D4351" s="1"/>
      <c r="E4351" s="6"/>
      <c r="F4351" s="1"/>
      <c r="G4351" s="6"/>
      <c r="H4351" s="6"/>
      <c r="I4351" s="6"/>
      <c r="J4351" s="6"/>
      <c r="K4351" s="6"/>
      <c r="L4351" s="6"/>
      <c r="M4351" s="6"/>
      <c r="N4351" s="6"/>
      <c r="O4351" s="7"/>
      <c r="P4351" s="6"/>
      <c r="Q4351" s="6"/>
      <c r="R4351" s="7"/>
      <c r="S4351" s="6"/>
      <c r="T4351" s="6"/>
      <c r="U4351" s="7"/>
      <c r="V4351" s="6"/>
      <c r="W4351" s="6"/>
      <c r="X4351" s="6"/>
      <c r="Y4351" s="6"/>
      <c r="Z4351" s="6"/>
      <c r="AA4351" s="7"/>
      <c r="AB4351" s="6"/>
      <c r="AC4351" s="6"/>
      <c r="AD4351" s="6"/>
      <c r="AE4351" s="12"/>
      <c r="AF4351" s="12"/>
      <c r="AG4351" s="12"/>
      <c r="AH4351" s="12"/>
      <c r="AI4351" s="6"/>
      <c r="AJ4351" s="12"/>
      <c r="AK4351" s="1"/>
      <c r="AL4351" s="12"/>
      <c r="AM4351" s="12"/>
      <c r="AN4351" s="1"/>
      <c r="AO4351" s="6"/>
    </row>
    <row r="4352" spans="1:41" ht="15" x14ac:dyDescent="0.25">
      <c r="A4352" s="1"/>
      <c r="B4352" s="1"/>
      <c r="C4352" s="1"/>
      <c r="D4352" s="1"/>
      <c r="E4352" s="6"/>
      <c r="F4352" s="1"/>
      <c r="G4352" s="6"/>
      <c r="H4352" s="6"/>
      <c r="I4352" s="6"/>
      <c r="J4352" s="6"/>
      <c r="K4352" s="6"/>
      <c r="L4352" s="6"/>
      <c r="M4352" s="6"/>
      <c r="N4352" s="6"/>
      <c r="O4352" s="7"/>
      <c r="P4352" s="6"/>
      <c r="Q4352" s="6"/>
      <c r="R4352" s="7"/>
      <c r="S4352" s="6"/>
      <c r="T4352" s="6"/>
      <c r="U4352" s="7"/>
      <c r="V4352" s="6"/>
      <c r="W4352" s="6"/>
      <c r="X4352" s="6"/>
      <c r="Y4352" s="6"/>
      <c r="Z4352" s="6"/>
      <c r="AA4352" s="7"/>
      <c r="AB4352" s="6"/>
      <c r="AC4352" s="6"/>
      <c r="AD4352" s="6"/>
      <c r="AE4352" s="12"/>
      <c r="AF4352" s="6"/>
      <c r="AG4352" s="12"/>
      <c r="AH4352" s="6"/>
      <c r="AI4352" s="6"/>
      <c r="AJ4352" s="12"/>
      <c r="AK4352" s="1"/>
      <c r="AL4352" s="12"/>
      <c r="AM4352" s="12"/>
      <c r="AN4352" s="1"/>
      <c r="AO4352" s="6"/>
    </row>
    <row r="4353" spans="1:41" ht="15" x14ac:dyDescent="0.25">
      <c r="A4353" s="1"/>
      <c r="B4353" s="1"/>
      <c r="C4353" s="1"/>
      <c r="D4353" s="1"/>
      <c r="E4353" s="6"/>
      <c r="F4353" s="1"/>
      <c r="G4353" s="6"/>
      <c r="H4353" s="6"/>
      <c r="I4353" s="6"/>
      <c r="J4353" s="6"/>
      <c r="K4353" s="6"/>
      <c r="L4353" s="6"/>
      <c r="M4353" s="6"/>
      <c r="N4353" s="6"/>
      <c r="O4353" s="7"/>
      <c r="P4353" s="6"/>
      <c r="Q4353" s="6"/>
      <c r="R4353" s="7"/>
      <c r="S4353" s="6"/>
      <c r="T4353" s="6"/>
      <c r="U4353" s="7"/>
      <c r="V4353" s="6"/>
      <c r="W4353" s="6"/>
      <c r="X4353" s="6"/>
      <c r="Y4353" s="6"/>
      <c r="Z4353" s="6"/>
      <c r="AA4353" s="7"/>
      <c r="AB4353" s="6"/>
      <c r="AC4353" s="6"/>
      <c r="AD4353" s="6"/>
      <c r="AE4353" s="12"/>
      <c r="AF4353" s="6"/>
      <c r="AG4353" s="12"/>
      <c r="AH4353" s="6"/>
      <c r="AI4353" s="6"/>
      <c r="AJ4353" s="12"/>
      <c r="AK4353" s="1"/>
      <c r="AL4353" s="12"/>
      <c r="AM4353" s="12"/>
      <c r="AN4353" s="1"/>
      <c r="AO4353" s="6"/>
    </row>
    <row r="4354" spans="1:41" ht="15" x14ac:dyDescent="0.25">
      <c r="A4354" s="1"/>
      <c r="B4354" s="1"/>
      <c r="C4354" s="1"/>
      <c r="D4354" s="1"/>
      <c r="E4354" s="6"/>
      <c r="F4354" s="1"/>
      <c r="G4354" s="6"/>
      <c r="H4354" s="6"/>
      <c r="I4354" s="6"/>
      <c r="J4354" s="6"/>
      <c r="K4354" s="6"/>
      <c r="L4354" s="6"/>
      <c r="M4354" s="6"/>
      <c r="N4354" s="6"/>
      <c r="O4354" s="7"/>
      <c r="P4354" s="6"/>
      <c r="Q4354" s="6"/>
      <c r="R4354" s="7"/>
      <c r="S4354" s="6"/>
      <c r="T4354" s="6"/>
      <c r="U4354" s="7"/>
      <c r="V4354" s="6"/>
      <c r="W4354" s="6"/>
      <c r="X4354" s="6"/>
      <c r="Y4354" s="6"/>
      <c r="Z4354" s="6"/>
      <c r="AA4354" s="7"/>
      <c r="AB4354" s="6"/>
      <c r="AC4354" s="6"/>
      <c r="AD4354" s="6"/>
      <c r="AE4354" s="12"/>
      <c r="AF4354" s="6"/>
      <c r="AG4354" s="12"/>
      <c r="AH4354" s="6"/>
      <c r="AI4354" s="6"/>
      <c r="AJ4354" s="12"/>
      <c r="AK4354" s="1"/>
      <c r="AL4354" s="12"/>
      <c r="AM4354" s="12"/>
      <c r="AN4354" s="1"/>
      <c r="AO4354" s="6"/>
    </row>
    <row r="4355" spans="1:41" ht="15" x14ac:dyDescent="0.25">
      <c r="A4355" s="1"/>
      <c r="B4355" s="1"/>
      <c r="C4355" s="1"/>
      <c r="D4355" s="1"/>
      <c r="E4355" s="6"/>
      <c r="F4355" s="1"/>
      <c r="G4355" s="6"/>
      <c r="H4355" s="6"/>
      <c r="I4355" s="6"/>
      <c r="J4355" s="6"/>
      <c r="K4355" s="6"/>
      <c r="L4355" s="6"/>
      <c r="M4355" s="6"/>
      <c r="N4355" s="6"/>
      <c r="O4355" s="7"/>
      <c r="P4355" s="6"/>
      <c r="Q4355" s="6"/>
      <c r="R4355" s="7"/>
      <c r="S4355" s="6"/>
      <c r="T4355" s="6"/>
      <c r="U4355" s="7"/>
      <c r="V4355" s="6"/>
      <c r="W4355" s="6"/>
      <c r="X4355" s="6"/>
      <c r="Y4355" s="6"/>
      <c r="Z4355" s="6"/>
      <c r="AA4355" s="7"/>
      <c r="AB4355" s="6"/>
      <c r="AC4355" s="6"/>
      <c r="AD4355" s="6"/>
      <c r="AE4355" s="12"/>
      <c r="AF4355" s="6"/>
      <c r="AG4355" s="12"/>
      <c r="AH4355" s="6"/>
      <c r="AI4355" s="6"/>
      <c r="AJ4355" s="12"/>
      <c r="AK4355" s="1"/>
      <c r="AL4355" s="12"/>
      <c r="AM4355" s="12"/>
      <c r="AN4355" s="1"/>
      <c r="AO4355" s="6"/>
    </row>
    <row r="4356" spans="1:41" ht="15" x14ac:dyDescent="0.25">
      <c r="A4356" s="1"/>
      <c r="B4356" s="1"/>
      <c r="C4356" s="1"/>
      <c r="D4356" s="1"/>
      <c r="E4356" s="6"/>
      <c r="F4356" s="1"/>
      <c r="G4356" s="6"/>
      <c r="H4356" s="6"/>
      <c r="I4356" s="6"/>
      <c r="J4356" s="6"/>
      <c r="K4356" s="6"/>
      <c r="L4356" s="6"/>
      <c r="M4356" s="6"/>
      <c r="N4356" s="6"/>
      <c r="O4356" s="7"/>
      <c r="P4356" s="6"/>
      <c r="Q4356" s="6"/>
      <c r="R4356" s="7"/>
      <c r="S4356" s="6"/>
      <c r="T4356" s="6"/>
      <c r="U4356" s="7"/>
      <c r="V4356" s="6"/>
      <c r="W4356" s="6"/>
      <c r="X4356" s="12"/>
      <c r="Y4356" s="6"/>
      <c r="Z4356" s="6"/>
      <c r="AA4356" s="7"/>
      <c r="AB4356" s="6"/>
      <c r="AC4356" s="6"/>
      <c r="AD4356" s="6"/>
      <c r="AE4356" s="12"/>
      <c r="AF4356" s="12"/>
      <c r="AG4356" s="12"/>
      <c r="AH4356" s="12"/>
      <c r="AI4356" s="6"/>
      <c r="AJ4356" s="12"/>
      <c r="AK4356" s="1"/>
      <c r="AL4356" s="12"/>
      <c r="AM4356" s="12"/>
      <c r="AN4356" s="1"/>
      <c r="AO4356" s="6"/>
    </row>
    <row r="4357" spans="1:41" ht="15" x14ac:dyDescent="0.25">
      <c r="A4357" s="1"/>
      <c r="B4357" s="1"/>
      <c r="C4357" s="1"/>
      <c r="D4357" s="1"/>
      <c r="E4357" s="6"/>
      <c r="F4357" s="1"/>
      <c r="G4357" s="6"/>
      <c r="H4357" s="6"/>
      <c r="I4357" s="6"/>
      <c r="J4357" s="6"/>
      <c r="K4357" s="6"/>
      <c r="L4357" s="6"/>
      <c r="M4357" s="6"/>
      <c r="N4357" s="6"/>
      <c r="O4357" s="7"/>
      <c r="P4357" s="6"/>
      <c r="Q4357" s="6"/>
      <c r="R4357" s="7"/>
      <c r="S4357" s="6"/>
      <c r="T4357" s="6"/>
      <c r="U4357" s="7"/>
      <c r="V4357" s="6"/>
      <c r="W4357" s="6"/>
      <c r="X4357" s="6"/>
      <c r="Y4357" s="6"/>
      <c r="Z4357" s="6"/>
      <c r="AA4357" s="7"/>
      <c r="AB4357" s="6"/>
      <c r="AC4357" s="6"/>
      <c r="AD4357" s="6"/>
      <c r="AE4357" s="12"/>
      <c r="AF4357" s="6"/>
      <c r="AG4357" s="12"/>
      <c r="AH4357" s="6"/>
      <c r="AI4357" s="6"/>
      <c r="AJ4357" s="12"/>
      <c r="AK4357" s="1"/>
      <c r="AL4357" s="12"/>
      <c r="AM4357" s="12"/>
      <c r="AN4357" s="1"/>
      <c r="AO4357" s="6"/>
    </row>
    <row r="4358" spans="1:41" ht="15" x14ac:dyDescent="0.25">
      <c r="A4358" s="1"/>
      <c r="B4358" s="1"/>
      <c r="C4358" s="1"/>
      <c r="D4358" s="1"/>
      <c r="E4358" s="6"/>
      <c r="F4358" s="1"/>
      <c r="G4358" s="6"/>
      <c r="H4358" s="6"/>
      <c r="I4358" s="6"/>
      <c r="J4358" s="6"/>
      <c r="K4358" s="6"/>
      <c r="L4358" s="6"/>
      <c r="M4358" s="6"/>
      <c r="N4358" s="6"/>
      <c r="O4358" s="7"/>
      <c r="P4358" s="6"/>
      <c r="Q4358" s="6"/>
      <c r="R4358" s="7"/>
      <c r="S4358" s="6"/>
      <c r="T4358" s="6"/>
      <c r="U4358" s="7"/>
      <c r="V4358" s="6"/>
      <c r="W4358" s="6"/>
      <c r="X4358" s="6"/>
      <c r="Y4358" s="6"/>
      <c r="Z4358" s="6"/>
      <c r="AA4358" s="7"/>
      <c r="AB4358" s="6"/>
      <c r="AC4358" s="6"/>
      <c r="AD4358" s="6"/>
      <c r="AE4358" s="12"/>
      <c r="AF4358" s="6"/>
      <c r="AG4358" s="12"/>
      <c r="AH4358" s="6"/>
      <c r="AI4358" s="6"/>
      <c r="AJ4358" s="12"/>
      <c r="AK4358" s="1"/>
      <c r="AL4358" s="12"/>
      <c r="AM4358" s="12"/>
      <c r="AN4358" s="1"/>
      <c r="AO4358" s="6"/>
    </row>
    <row r="4359" spans="1:41" ht="15" x14ac:dyDescent="0.25">
      <c r="A4359" s="1"/>
      <c r="B4359" s="1"/>
      <c r="C4359" s="1"/>
      <c r="D4359" s="1"/>
      <c r="E4359" s="6"/>
      <c r="F4359" s="1"/>
      <c r="G4359" s="6"/>
      <c r="H4359" s="6"/>
      <c r="I4359" s="6"/>
      <c r="J4359" s="6"/>
      <c r="K4359" s="6"/>
      <c r="L4359" s="6"/>
      <c r="M4359" s="6"/>
      <c r="N4359" s="6"/>
      <c r="O4359" s="7"/>
      <c r="P4359" s="6"/>
      <c r="Q4359" s="6"/>
      <c r="R4359" s="7"/>
      <c r="S4359" s="6"/>
      <c r="T4359" s="6"/>
      <c r="U4359" s="7"/>
      <c r="V4359" s="6"/>
      <c r="W4359" s="6"/>
      <c r="X4359" s="12"/>
      <c r="Y4359" s="6"/>
      <c r="Z4359" s="6"/>
      <c r="AA4359" s="7"/>
      <c r="AB4359" s="6"/>
      <c r="AC4359" s="6"/>
      <c r="AD4359" s="6"/>
      <c r="AE4359" s="12"/>
      <c r="AF4359" s="12"/>
      <c r="AG4359" s="12"/>
      <c r="AH4359" s="12"/>
      <c r="AI4359" s="6"/>
      <c r="AJ4359" s="12"/>
      <c r="AK4359" s="24"/>
      <c r="AL4359" s="25"/>
      <c r="AM4359" s="12"/>
      <c r="AN4359" s="1"/>
      <c r="AO4359" s="6"/>
    </row>
    <row r="4360" spans="1:41" ht="15" x14ac:dyDescent="0.25">
      <c r="A4360" s="1"/>
      <c r="B4360" s="1"/>
      <c r="C4360" s="1"/>
      <c r="D4360" s="1"/>
      <c r="E4360" s="6"/>
      <c r="F4360" s="1"/>
      <c r="G4360" s="6"/>
      <c r="H4360" s="6"/>
      <c r="I4360" s="6"/>
      <c r="J4360" s="6"/>
      <c r="K4360" s="6"/>
      <c r="L4360" s="6"/>
      <c r="M4360" s="6"/>
      <c r="N4360" s="6"/>
      <c r="O4360" s="7"/>
      <c r="P4360" s="6"/>
      <c r="Q4360" s="6"/>
      <c r="R4360" s="7"/>
      <c r="S4360" s="6"/>
      <c r="T4360" s="6"/>
      <c r="U4360" s="7"/>
      <c r="V4360" s="6"/>
      <c r="W4360" s="6"/>
      <c r="X4360" s="12"/>
      <c r="Y4360" s="6"/>
      <c r="Z4360" s="6"/>
      <c r="AA4360" s="7"/>
      <c r="AB4360" s="6"/>
      <c r="AC4360" s="6"/>
      <c r="AD4360" s="6"/>
      <c r="AE4360" s="12"/>
      <c r="AF4360" s="12"/>
      <c r="AG4360" s="12"/>
      <c r="AH4360" s="12"/>
      <c r="AI4360" s="6"/>
      <c r="AJ4360" s="12"/>
      <c r="AK4360" s="24"/>
      <c r="AL4360" s="25"/>
      <c r="AM4360" s="12"/>
      <c r="AN4360" s="1"/>
      <c r="AO4360" s="6"/>
    </row>
    <row r="4361" spans="1:41" ht="15" x14ac:dyDescent="0.25">
      <c r="A4361" s="1"/>
      <c r="B4361" s="1"/>
      <c r="C4361" s="1"/>
      <c r="D4361" s="1"/>
      <c r="E4361" s="6"/>
      <c r="F4361" s="1"/>
      <c r="G4361" s="6"/>
      <c r="H4361" s="6"/>
      <c r="I4361" s="6"/>
      <c r="J4361" s="6"/>
      <c r="K4361" s="6"/>
      <c r="L4361" s="6"/>
      <c r="M4361" s="6"/>
      <c r="N4361" s="6"/>
      <c r="O4361" s="7"/>
      <c r="P4361" s="6"/>
      <c r="Q4361" s="6"/>
      <c r="R4361" s="7"/>
      <c r="S4361" s="6"/>
      <c r="T4361" s="6"/>
      <c r="U4361" s="15"/>
      <c r="V4361" s="6"/>
      <c r="W4361" s="6"/>
      <c r="X4361" s="6"/>
      <c r="Y4361" s="6"/>
      <c r="Z4361" s="6"/>
      <c r="AA4361" s="7"/>
      <c r="AB4361" s="6"/>
      <c r="AC4361" s="6"/>
      <c r="AD4361" s="6"/>
      <c r="AE4361" s="12"/>
      <c r="AF4361" s="12"/>
      <c r="AG4361" s="12"/>
      <c r="AH4361" s="12"/>
      <c r="AI4361" s="6"/>
      <c r="AJ4361" s="12"/>
      <c r="AK4361" s="1"/>
      <c r="AL4361" s="12"/>
      <c r="AM4361" s="12"/>
      <c r="AN4361" s="1"/>
      <c r="AO4361" s="6"/>
    </row>
    <row r="4362" spans="1:41" ht="15" x14ac:dyDescent="0.25">
      <c r="A4362" s="1"/>
      <c r="B4362" s="1"/>
      <c r="C4362" s="1"/>
      <c r="D4362" s="1"/>
      <c r="E4362" s="6"/>
      <c r="F4362" s="1"/>
      <c r="G4362" s="6"/>
      <c r="H4362" s="6"/>
      <c r="I4362" s="6"/>
      <c r="J4362" s="6"/>
      <c r="K4362" s="12"/>
      <c r="L4362" s="12"/>
      <c r="M4362" s="6"/>
      <c r="N4362" s="6"/>
      <c r="O4362" s="7"/>
      <c r="P4362" s="12"/>
      <c r="Q4362" s="6"/>
      <c r="R4362" s="7"/>
      <c r="S4362" s="6"/>
      <c r="T4362" s="6"/>
      <c r="U4362" s="7"/>
      <c r="V4362" s="6"/>
      <c r="W4362" s="6"/>
      <c r="X4362" s="6"/>
      <c r="Y4362" s="6"/>
      <c r="Z4362" s="6"/>
      <c r="AA4362" s="7"/>
      <c r="AB4362" s="6"/>
      <c r="AC4362" s="6"/>
      <c r="AD4362" s="6"/>
      <c r="AE4362" s="12"/>
      <c r="AF4362" s="12"/>
      <c r="AG4362" s="12"/>
      <c r="AH4362" s="12"/>
      <c r="AI4362" s="6"/>
      <c r="AJ4362" s="12"/>
      <c r="AK4362" s="1"/>
      <c r="AL4362" s="12"/>
      <c r="AM4362" s="12"/>
      <c r="AN4362" s="1"/>
      <c r="AO4362" s="6"/>
    </row>
    <row r="4363" spans="1:41" ht="15" x14ac:dyDescent="0.25">
      <c r="A4363" s="1"/>
      <c r="B4363" s="1"/>
      <c r="C4363" s="1"/>
      <c r="D4363" s="1"/>
      <c r="E4363" s="6"/>
      <c r="F4363" s="1"/>
      <c r="G4363" s="6"/>
      <c r="H4363" s="6"/>
      <c r="I4363" s="6"/>
      <c r="J4363" s="6"/>
      <c r="K4363" s="6"/>
      <c r="L4363" s="6"/>
      <c r="M4363" s="6"/>
      <c r="N4363" s="6"/>
      <c r="O4363" s="7"/>
      <c r="P4363" s="6"/>
      <c r="Q4363" s="6"/>
      <c r="R4363" s="7"/>
      <c r="S4363" s="6"/>
      <c r="T4363" s="6"/>
      <c r="U4363" s="7"/>
      <c r="V4363" s="6"/>
      <c r="W4363" s="6"/>
      <c r="X4363" s="12"/>
      <c r="Y4363" s="6"/>
      <c r="Z4363" s="6"/>
      <c r="AA4363" s="7"/>
      <c r="AB4363" s="6"/>
      <c r="AC4363" s="6"/>
      <c r="AD4363" s="6"/>
      <c r="AE4363" s="12"/>
      <c r="AF4363" s="12"/>
      <c r="AG4363" s="12"/>
      <c r="AH4363" s="12"/>
      <c r="AI4363" s="6"/>
      <c r="AJ4363" s="12"/>
      <c r="AK4363" s="1"/>
      <c r="AL4363" s="12"/>
      <c r="AM4363" s="12"/>
      <c r="AN4363" s="1"/>
      <c r="AO4363" s="6"/>
    </row>
    <row r="4364" spans="1:41" ht="15" x14ac:dyDescent="0.25">
      <c r="A4364" s="1"/>
      <c r="B4364" s="1"/>
      <c r="C4364" s="1"/>
      <c r="D4364" s="1"/>
      <c r="E4364" s="6"/>
      <c r="F4364" s="1"/>
      <c r="G4364" s="6"/>
      <c r="H4364" s="6"/>
      <c r="I4364" s="6"/>
      <c r="J4364" s="6"/>
      <c r="K4364" s="6"/>
      <c r="L4364" s="6"/>
      <c r="M4364" s="6"/>
      <c r="N4364" s="6"/>
      <c r="O4364" s="7"/>
      <c r="P4364" s="6"/>
      <c r="Q4364" s="6"/>
      <c r="R4364" s="7"/>
      <c r="S4364" s="6"/>
      <c r="T4364" s="6"/>
      <c r="U4364" s="7"/>
      <c r="V4364" s="6"/>
      <c r="W4364" s="6"/>
      <c r="X4364" s="12"/>
      <c r="Y4364" s="6"/>
      <c r="Z4364" s="6"/>
      <c r="AA4364" s="7"/>
      <c r="AB4364" s="6"/>
      <c r="AC4364" s="6"/>
      <c r="AD4364" s="6"/>
      <c r="AE4364" s="12"/>
      <c r="AF4364" s="12"/>
      <c r="AG4364" s="12"/>
      <c r="AH4364" s="12"/>
      <c r="AI4364" s="6"/>
      <c r="AJ4364" s="12"/>
      <c r="AK4364" s="1"/>
      <c r="AL4364" s="12"/>
      <c r="AM4364" s="12"/>
      <c r="AN4364" s="1"/>
      <c r="AO4364" s="6"/>
    </row>
    <row r="4365" spans="1:41" ht="15" x14ac:dyDescent="0.25">
      <c r="A4365" s="1"/>
      <c r="B4365" s="1"/>
      <c r="C4365" s="1"/>
      <c r="D4365" s="1"/>
      <c r="E4365" s="6"/>
      <c r="F4365" s="1"/>
      <c r="G4365" s="6"/>
      <c r="H4365" s="6"/>
      <c r="I4365" s="6"/>
      <c r="J4365" s="6"/>
      <c r="K4365" s="6"/>
      <c r="L4365" s="6"/>
      <c r="M4365" s="6"/>
      <c r="N4365" s="6"/>
      <c r="O4365" s="7"/>
      <c r="P4365" s="6"/>
      <c r="Q4365" s="6"/>
      <c r="R4365" s="7"/>
      <c r="S4365" s="6"/>
      <c r="T4365" s="6"/>
      <c r="U4365" s="7"/>
      <c r="V4365" s="6"/>
      <c r="W4365" s="6"/>
      <c r="X4365" s="6"/>
      <c r="Y4365" s="6"/>
      <c r="Z4365" s="6"/>
      <c r="AA4365" s="7"/>
      <c r="AB4365" s="6"/>
      <c r="AC4365" s="6"/>
      <c r="AD4365" s="6"/>
      <c r="AE4365" s="12"/>
      <c r="AF4365" s="6"/>
      <c r="AG4365" s="12"/>
      <c r="AH4365" s="6"/>
      <c r="AI4365" s="6"/>
      <c r="AJ4365" s="12"/>
      <c r="AK4365" s="1"/>
      <c r="AL4365" s="12"/>
      <c r="AM4365" s="12"/>
      <c r="AN4365" s="1"/>
      <c r="AO4365" s="6"/>
    </row>
    <row r="4366" spans="1:41" ht="15" x14ac:dyDescent="0.25">
      <c r="A4366" s="1"/>
      <c r="B4366" s="1"/>
      <c r="C4366" s="1"/>
      <c r="D4366" s="1"/>
      <c r="E4366" s="6"/>
      <c r="F4366" s="1"/>
      <c r="G4366" s="6"/>
      <c r="H4366" s="6"/>
      <c r="I4366" s="6"/>
      <c r="J4366" s="6"/>
      <c r="K4366" s="6"/>
      <c r="L4366" s="6"/>
      <c r="M4366" s="6"/>
      <c r="N4366" s="6"/>
      <c r="O4366" s="7"/>
      <c r="P4366" s="6"/>
      <c r="Q4366" s="6"/>
      <c r="R4366" s="7"/>
      <c r="S4366" s="6"/>
      <c r="T4366" s="6"/>
      <c r="U4366" s="7"/>
      <c r="V4366" s="6"/>
      <c r="W4366" s="6"/>
      <c r="X4366" s="6"/>
      <c r="Y4366" s="6"/>
      <c r="Z4366" s="6"/>
      <c r="AA4366" s="7"/>
      <c r="AB4366" s="6"/>
      <c r="AC4366" s="6"/>
      <c r="AD4366" s="6"/>
      <c r="AE4366" s="12"/>
      <c r="AF4366" s="6"/>
      <c r="AG4366" s="12"/>
      <c r="AH4366" s="6"/>
      <c r="AI4366" s="6"/>
      <c r="AJ4366" s="12"/>
      <c r="AK4366" s="1"/>
      <c r="AL4366" s="12"/>
      <c r="AM4366" s="12"/>
      <c r="AN4366" s="1"/>
      <c r="AO4366" s="6"/>
    </row>
    <row r="4367" spans="1:41" ht="15" x14ac:dyDescent="0.25">
      <c r="A4367" s="1"/>
      <c r="B4367" s="1"/>
      <c r="C4367" s="1"/>
      <c r="D4367" s="1"/>
      <c r="E4367" s="6"/>
      <c r="F4367" s="1"/>
      <c r="G4367" s="6"/>
      <c r="H4367" s="6"/>
      <c r="I4367" s="6"/>
      <c r="J4367" s="6"/>
      <c r="K4367" s="6"/>
      <c r="L4367" s="6"/>
      <c r="M4367" s="6"/>
      <c r="N4367" s="6"/>
      <c r="O4367" s="7"/>
      <c r="P4367" s="6"/>
      <c r="Q4367" s="6"/>
      <c r="R4367" s="7"/>
      <c r="S4367" s="6"/>
      <c r="T4367" s="6"/>
      <c r="U4367" s="7"/>
      <c r="V4367" s="6"/>
      <c r="W4367" s="6"/>
      <c r="X4367" s="12"/>
      <c r="Y4367" s="6"/>
      <c r="Z4367" s="6"/>
      <c r="AA4367" s="7"/>
      <c r="AB4367" s="6"/>
      <c r="AC4367" s="6"/>
      <c r="AD4367" s="6"/>
      <c r="AE4367" s="12"/>
      <c r="AF4367" s="12"/>
      <c r="AG4367" s="12"/>
      <c r="AH4367" s="12"/>
      <c r="AI4367" s="6"/>
      <c r="AJ4367" s="12"/>
      <c r="AK4367" s="1"/>
      <c r="AL4367" s="12"/>
      <c r="AM4367" s="12"/>
      <c r="AN4367" s="1"/>
      <c r="AO4367" s="6"/>
    </row>
    <row r="4368" spans="1:41" ht="15" x14ac:dyDescent="0.25">
      <c r="A4368" s="1"/>
      <c r="B4368" s="1"/>
      <c r="C4368" s="1"/>
      <c r="D4368" s="1"/>
      <c r="E4368" s="6"/>
      <c r="F4368" s="1"/>
      <c r="G4368" s="6"/>
      <c r="H4368" s="6"/>
      <c r="I4368" s="6"/>
      <c r="J4368" s="6"/>
      <c r="K4368" s="12"/>
      <c r="L4368" s="12"/>
      <c r="M4368" s="6"/>
      <c r="N4368" s="6"/>
      <c r="O4368" s="7"/>
      <c r="P4368" s="6"/>
      <c r="Q4368" s="7"/>
      <c r="R4368" s="6"/>
      <c r="S4368" s="12"/>
      <c r="T4368" s="6"/>
      <c r="U4368" s="6"/>
      <c r="V4368" s="7"/>
      <c r="W4368" s="7"/>
      <c r="X4368" s="6"/>
      <c r="Y4368" s="6"/>
      <c r="Z4368" s="6"/>
      <c r="AA4368" s="1"/>
      <c r="AB4368" s="12"/>
      <c r="AC4368" s="12"/>
      <c r="AD4368" s="12"/>
      <c r="AE4368" s="12"/>
      <c r="AF4368" s="12"/>
      <c r="AG4368" s="12"/>
      <c r="AH4368" s="12"/>
      <c r="AI4368" s="6"/>
      <c r="AJ4368" s="12"/>
      <c r="AK4368" s="12"/>
      <c r="AL4368" s="12"/>
      <c r="AM4368" s="12"/>
      <c r="AN4368" s="1"/>
      <c r="AO4368" s="6"/>
    </row>
    <row r="4369" spans="1:41" ht="15" x14ac:dyDescent="0.25">
      <c r="A4369" s="1"/>
      <c r="B4369" s="1"/>
      <c r="C4369" s="1"/>
      <c r="D4369" s="1"/>
      <c r="E4369" s="6"/>
      <c r="F4369" s="1"/>
      <c r="G4369" s="6"/>
      <c r="H4369" s="6"/>
      <c r="I4369" s="6"/>
      <c r="J4369" s="6"/>
      <c r="K4369" s="6"/>
      <c r="L4369" s="6"/>
      <c r="M4369" s="6"/>
      <c r="N4369" s="6"/>
      <c r="O4369" s="7"/>
      <c r="P4369" s="6"/>
      <c r="Q4369" s="6"/>
      <c r="R4369" s="7"/>
      <c r="S4369" s="6"/>
      <c r="T4369" s="6"/>
      <c r="U4369" s="7"/>
      <c r="V4369" s="6"/>
      <c r="W4369" s="6"/>
      <c r="X4369" s="12"/>
      <c r="Y4369" s="6"/>
      <c r="Z4369" s="6"/>
      <c r="AA4369" s="7"/>
      <c r="AB4369" s="6"/>
      <c r="AC4369" s="6"/>
      <c r="AD4369" s="6"/>
      <c r="AE4369" s="12"/>
      <c r="AF4369" s="12"/>
      <c r="AG4369" s="12"/>
      <c r="AH4369" s="12"/>
      <c r="AI4369" s="6"/>
      <c r="AJ4369" s="12"/>
      <c r="AK4369" s="1"/>
      <c r="AL4369" s="12"/>
      <c r="AM4369" s="12"/>
      <c r="AN4369" s="1"/>
      <c r="AO4369" s="6"/>
    </row>
    <row r="4370" spans="1:41" ht="15" x14ac:dyDescent="0.25">
      <c r="A4370" s="1"/>
      <c r="B4370" s="1"/>
      <c r="C4370" s="1"/>
      <c r="D4370" s="1"/>
      <c r="E4370" s="6"/>
      <c r="F4370" s="1"/>
      <c r="G4370" s="6"/>
      <c r="H4370" s="6"/>
      <c r="I4370" s="6"/>
      <c r="J4370" s="6"/>
      <c r="K4370" s="6"/>
      <c r="L4370" s="6"/>
      <c r="M4370" s="6"/>
      <c r="N4370" s="6"/>
      <c r="O4370" s="7"/>
      <c r="P4370" s="6"/>
      <c r="Q4370" s="6"/>
      <c r="R4370" s="7"/>
      <c r="S4370" s="6"/>
      <c r="T4370" s="6"/>
      <c r="U4370" s="7"/>
      <c r="V4370" s="6"/>
      <c r="W4370" s="6"/>
      <c r="X4370" s="6"/>
      <c r="Y4370" s="6"/>
      <c r="Z4370" s="6"/>
      <c r="AA4370" s="7"/>
      <c r="AB4370" s="6"/>
      <c r="AC4370" s="6"/>
      <c r="AD4370" s="6"/>
      <c r="AE4370" s="12"/>
      <c r="AF4370" s="12"/>
      <c r="AG4370" s="12"/>
      <c r="AH4370" s="12"/>
      <c r="AI4370" s="6"/>
      <c r="AJ4370" s="12"/>
      <c r="AK4370" s="1"/>
      <c r="AL4370" s="12"/>
      <c r="AM4370" s="12"/>
      <c r="AN4370" s="1"/>
      <c r="AO4370" s="6"/>
    </row>
    <row r="4371" spans="1:41" ht="15" x14ac:dyDescent="0.25">
      <c r="A4371" s="1"/>
      <c r="B4371" s="1"/>
      <c r="C4371" s="1"/>
      <c r="D4371" s="1"/>
      <c r="E4371" s="6"/>
      <c r="F4371" s="1"/>
      <c r="G4371" s="6"/>
      <c r="H4371" s="6"/>
      <c r="I4371" s="6"/>
      <c r="J4371" s="6"/>
      <c r="K4371" s="6"/>
      <c r="L4371" s="6"/>
      <c r="M4371" s="6"/>
      <c r="N4371" s="6"/>
      <c r="O4371" s="7"/>
      <c r="P4371" s="6"/>
      <c r="Q4371" s="6"/>
      <c r="R4371" s="7"/>
      <c r="S4371" s="6"/>
      <c r="T4371" s="6"/>
      <c r="U4371" s="7"/>
      <c r="V4371" s="6"/>
      <c r="W4371" s="6"/>
      <c r="X4371" s="12"/>
      <c r="Y4371" s="6"/>
      <c r="Z4371" s="6"/>
      <c r="AA4371" s="7"/>
      <c r="AB4371" s="6"/>
      <c r="AC4371" s="6"/>
      <c r="AD4371" s="6"/>
      <c r="AE4371" s="12"/>
      <c r="AF4371" s="12"/>
      <c r="AG4371" s="12"/>
      <c r="AH4371" s="12"/>
      <c r="AI4371" s="6"/>
      <c r="AJ4371" s="12"/>
      <c r="AK4371" s="1"/>
      <c r="AL4371" s="12"/>
      <c r="AM4371" s="12"/>
      <c r="AN4371" s="1"/>
      <c r="AO4371" s="6"/>
    </row>
    <row r="4372" spans="1:41" ht="15" x14ac:dyDescent="0.25">
      <c r="A4372" s="1"/>
      <c r="B4372" s="1"/>
      <c r="C4372" s="1"/>
      <c r="D4372" s="1"/>
      <c r="E4372" s="6"/>
      <c r="F4372" s="1"/>
      <c r="G4372" s="6"/>
      <c r="H4372" s="6"/>
      <c r="I4372" s="6"/>
      <c r="J4372" s="6"/>
      <c r="K4372" s="6"/>
      <c r="L4372" s="6"/>
      <c r="M4372" s="6"/>
      <c r="N4372" s="6"/>
      <c r="O4372" s="7"/>
      <c r="P4372" s="6"/>
      <c r="Q4372" s="6"/>
      <c r="R4372" s="7"/>
      <c r="S4372" s="6"/>
      <c r="T4372" s="6"/>
      <c r="U4372" s="7"/>
      <c r="V4372" s="6"/>
      <c r="W4372" s="6"/>
      <c r="X4372" s="6"/>
      <c r="Y4372" s="6"/>
      <c r="Z4372" s="6"/>
      <c r="AA4372" s="7"/>
      <c r="AB4372" s="6"/>
      <c r="AC4372" s="6"/>
      <c r="AD4372" s="6"/>
      <c r="AE4372" s="12"/>
      <c r="AF4372" s="6"/>
      <c r="AG4372" s="12"/>
      <c r="AH4372" s="6"/>
      <c r="AI4372" s="6"/>
      <c r="AJ4372" s="12"/>
      <c r="AK4372" s="1"/>
      <c r="AL4372" s="12"/>
      <c r="AM4372" s="12"/>
      <c r="AN4372" s="1"/>
      <c r="AO4372" s="6"/>
    </row>
    <row r="4373" spans="1:41" ht="15" x14ac:dyDescent="0.25">
      <c r="A4373" s="1"/>
      <c r="B4373" s="1"/>
      <c r="C4373" s="1"/>
      <c r="D4373" s="1"/>
      <c r="E4373" s="6"/>
      <c r="F4373" s="1"/>
      <c r="G4373" s="6"/>
      <c r="H4373" s="6"/>
      <c r="I4373" s="6"/>
      <c r="J4373" s="6"/>
      <c r="K4373" s="6"/>
      <c r="L4373" s="6"/>
      <c r="M4373" s="6"/>
      <c r="N4373" s="6"/>
      <c r="O4373" s="7"/>
      <c r="P4373" s="6"/>
      <c r="Q4373" s="6"/>
      <c r="R4373" s="7"/>
      <c r="S4373" s="6"/>
      <c r="T4373" s="6"/>
      <c r="U4373" s="7"/>
      <c r="V4373" s="6"/>
      <c r="W4373" s="6"/>
      <c r="X4373" s="6"/>
      <c r="Y4373" s="6"/>
      <c r="Z4373" s="6"/>
      <c r="AA4373" s="7"/>
      <c r="AB4373" s="6"/>
      <c r="AC4373" s="6"/>
      <c r="AD4373" s="6"/>
      <c r="AE4373" s="12"/>
      <c r="AF4373" s="6"/>
      <c r="AG4373" s="12"/>
      <c r="AH4373" s="6"/>
      <c r="AI4373" s="6"/>
      <c r="AJ4373" s="12"/>
      <c r="AK4373" s="1"/>
      <c r="AL4373" s="12"/>
      <c r="AM4373" s="12"/>
      <c r="AN4373" s="1"/>
      <c r="AO4373" s="6"/>
    </row>
    <row r="4374" spans="1:41" ht="15" x14ac:dyDescent="0.25">
      <c r="A4374" s="1"/>
      <c r="B4374" s="1"/>
      <c r="C4374" s="1"/>
      <c r="D4374" s="1"/>
      <c r="E4374" s="6"/>
      <c r="F4374" s="1"/>
      <c r="G4374" s="6"/>
      <c r="H4374" s="6"/>
      <c r="I4374" s="6"/>
      <c r="J4374" s="6"/>
      <c r="K4374" s="6"/>
      <c r="L4374" s="6"/>
      <c r="M4374" s="6"/>
      <c r="N4374" s="6"/>
      <c r="O4374" s="7"/>
      <c r="P4374" s="6"/>
      <c r="Q4374" s="6"/>
      <c r="R4374" s="7"/>
      <c r="S4374" s="6"/>
      <c r="T4374" s="6"/>
      <c r="U4374" s="7"/>
      <c r="V4374" s="6"/>
      <c r="W4374" s="6"/>
      <c r="X4374" s="6"/>
      <c r="Y4374" s="6"/>
      <c r="Z4374" s="6"/>
      <c r="AA4374" s="7"/>
      <c r="AB4374" s="6"/>
      <c r="AC4374" s="6"/>
      <c r="AD4374" s="6"/>
      <c r="AE4374" s="12"/>
      <c r="AF4374" s="12"/>
      <c r="AG4374" s="12"/>
      <c r="AH4374" s="12"/>
      <c r="AI4374" s="6"/>
      <c r="AJ4374" s="12"/>
      <c r="AK4374" s="1"/>
      <c r="AL4374" s="12"/>
      <c r="AM4374" s="12"/>
      <c r="AN4374" s="1"/>
      <c r="AO4374" s="6"/>
    </row>
    <row r="4375" spans="1:41" ht="15" x14ac:dyDescent="0.25">
      <c r="A4375" s="1"/>
      <c r="B4375" s="1"/>
      <c r="C4375" s="1"/>
      <c r="D4375" s="1"/>
      <c r="E4375" s="6"/>
      <c r="F4375" s="1"/>
      <c r="G4375" s="6"/>
      <c r="H4375" s="6"/>
      <c r="I4375" s="6"/>
      <c r="J4375" s="6"/>
      <c r="K4375" s="6"/>
      <c r="L4375" s="6"/>
      <c r="M4375" s="6"/>
      <c r="N4375" s="6"/>
      <c r="O4375" s="7"/>
      <c r="P4375" s="6"/>
      <c r="Q4375" s="6"/>
      <c r="R4375" s="7"/>
      <c r="S4375" s="6"/>
      <c r="T4375" s="6"/>
      <c r="U4375" s="7"/>
      <c r="V4375" s="6"/>
      <c r="W4375" s="6"/>
      <c r="X4375" s="6"/>
      <c r="Y4375" s="6"/>
      <c r="Z4375" s="6"/>
      <c r="AA4375" s="7"/>
      <c r="AB4375" s="6"/>
      <c r="AC4375" s="6"/>
      <c r="AD4375" s="6"/>
      <c r="AE4375" s="12"/>
      <c r="AF4375" s="12"/>
      <c r="AG4375" s="12"/>
      <c r="AH4375" s="12"/>
      <c r="AI4375" s="6"/>
      <c r="AJ4375" s="12"/>
      <c r="AK4375" s="1"/>
      <c r="AL4375" s="12"/>
      <c r="AM4375" s="12"/>
      <c r="AN4375" s="1"/>
      <c r="AO4375" s="6"/>
    </row>
    <row r="4376" spans="1:41" ht="15" x14ac:dyDescent="0.25">
      <c r="A4376" s="1"/>
      <c r="B4376" s="1"/>
      <c r="C4376" s="1"/>
      <c r="D4376" s="1"/>
      <c r="E4376" s="6"/>
      <c r="F4376" s="1"/>
      <c r="G4376" s="6"/>
      <c r="H4376" s="6"/>
      <c r="I4376" s="6"/>
      <c r="J4376" s="6"/>
      <c r="K4376" s="6"/>
      <c r="L4376" s="6"/>
      <c r="M4376" s="6"/>
      <c r="N4376" s="6"/>
      <c r="O4376" s="7"/>
      <c r="P4376" s="12"/>
      <c r="Q4376" s="6"/>
      <c r="R4376" s="7"/>
      <c r="S4376" s="6"/>
      <c r="T4376" s="6"/>
      <c r="U4376" s="7"/>
      <c r="V4376" s="6"/>
      <c r="W4376" s="6"/>
      <c r="X4376" s="6"/>
      <c r="Y4376" s="6"/>
      <c r="Z4376" s="6"/>
      <c r="AA4376" s="7"/>
      <c r="AB4376" s="6"/>
      <c r="AC4376" s="6"/>
      <c r="AD4376" s="6"/>
      <c r="AE4376" s="12"/>
      <c r="AF4376" s="6"/>
      <c r="AG4376" s="12"/>
      <c r="AH4376" s="6"/>
      <c r="AI4376" s="6"/>
      <c r="AJ4376" s="12"/>
      <c r="AK4376" s="24"/>
      <c r="AL4376" s="25"/>
      <c r="AM4376" s="12"/>
      <c r="AN4376" s="1"/>
      <c r="AO4376" s="6"/>
    </row>
    <row r="4377" spans="1:41" ht="15" x14ac:dyDescent="0.25">
      <c r="A4377" s="1"/>
      <c r="B4377" s="1"/>
      <c r="C4377" s="1"/>
      <c r="D4377" s="1"/>
      <c r="E4377" s="6"/>
      <c r="F4377" s="1"/>
      <c r="G4377" s="6"/>
      <c r="H4377" s="6"/>
      <c r="I4377" s="6"/>
      <c r="J4377" s="6"/>
      <c r="K4377" s="6"/>
      <c r="L4377" s="6"/>
      <c r="M4377" s="6"/>
      <c r="N4377" s="6"/>
      <c r="O4377" s="7"/>
      <c r="P4377" s="12"/>
      <c r="Q4377" s="6"/>
      <c r="R4377" s="7"/>
      <c r="S4377" s="6"/>
      <c r="T4377" s="6"/>
      <c r="U4377" s="7"/>
      <c r="V4377" s="6"/>
      <c r="W4377" s="6"/>
      <c r="X4377" s="6"/>
      <c r="Y4377" s="6"/>
      <c r="Z4377" s="6"/>
      <c r="AA4377" s="7"/>
      <c r="AB4377" s="6"/>
      <c r="AC4377" s="6"/>
      <c r="AD4377" s="6"/>
      <c r="AE4377" s="12"/>
      <c r="AF4377" s="6"/>
      <c r="AG4377" s="12"/>
      <c r="AH4377" s="6"/>
      <c r="AI4377" s="6"/>
      <c r="AJ4377" s="12"/>
      <c r="AK4377" s="24"/>
      <c r="AL4377" s="25"/>
      <c r="AM4377" s="12"/>
      <c r="AN4377" s="1"/>
      <c r="AO4377" s="6"/>
    </row>
    <row r="4378" spans="1:41" ht="15" x14ac:dyDescent="0.25">
      <c r="A4378" s="1"/>
      <c r="B4378" s="1"/>
      <c r="C4378" s="1"/>
      <c r="D4378" s="1"/>
      <c r="E4378" s="6"/>
      <c r="F4378" s="1"/>
      <c r="G4378" s="6"/>
      <c r="H4378" s="6"/>
      <c r="I4378" s="6"/>
      <c r="J4378" s="6"/>
      <c r="K4378" s="6"/>
      <c r="L4378" s="6"/>
      <c r="M4378" s="6"/>
      <c r="N4378" s="6"/>
      <c r="O4378" s="7"/>
      <c r="P4378" s="6"/>
      <c r="Q4378" s="6"/>
      <c r="R4378" s="12"/>
      <c r="S4378" s="12"/>
      <c r="T4378" s="12"/>
      <c r="U4378" s="7"/>
      <c r="V4378" s="6"/>
      <c r="W4378" s="6"/>
      <c r="X4378" s="12"/>
      <c r="Y4378" s="6"/>
      <c r="Z4378" s="6"/>
      <c r="AA4378" s="7"/>
      <c r="AB4378" s="6"/>
      <c r="AC4378" s="6"/>
      <c r="AD4378" s="6"/>
      <c r="AE4378" s="12"/>
      <c r="AF4378" s="12"/>
      <c r="AG4378" s="12"/>
      <c r="AH4378" s="12"/>
      <c r="AI4378" s="6"/>
      <c r="AJ4378" s="12"/>
      <c r="AK4378" s="1"/>
      <c r="AL4378" s="12"/>
      <c r="AM4378" s="12"/>
      <c r="AN4378" s="1"/>
      <c r="AO4378" s="6"/>
    </row>
    <row r="4379" spans="1:41" ht="15" x14ac:dyDescent="0.25">
      <c r="A4379" s="1"/>
      <c r="B4379" s="1"/>
      <c r="C4379" s="1"/>
      <c r="D4379" s="1"/>
      <c r="E4379" s="6"/>
      <c r="F4379" s="1"/>
      <c r="G4379" s="6"/>
      <c r="H4379" s="6"/>
      <c r="I4379" s="6"/>
      <c r="J4379" s="6"/>
      <c r="K4379" s="6"/>
      <c r="L4379" s="6"/>
      <c r="M4379" s="6"/>
      <c r="N4379" s="6"/>
      <c r="O4379" s="7"/>
      <c r="P4379" s="6"/>
      <c r="Q4379" s="6"/>
      <c r="R4379" s="12"/>
      <c r="S4379" s="12"/>
      <c r="T4379" s="12"/>
      <c r="U4379" s="7"/>
      <c r="V4379" s="6"/>
      <c r="W4379" s="6"/>
      <c r="X4379" s="12"/>
      <c r="Y4379" s="6"/>
      <c r="Z4379" s="6"/>
      <c r="AA4379" s="7"/>
      <c r="AB4379" s="6"/>
      <c r="AC4379" s="6"/>
      <c r="AD4379" s="6"/>
      <c r="AE4379" s="12"/>
      <c r="AF4379" s="12"/>
      <c r="AG4379" s="12"/>
      <c r="AH4379" s="12"/>
      <c r="AI4379" s="6"/>
      <c r="AJ4379" s="12"/>
      <c r="AK4379" s="1"/>
      <c r="AL4379" s="12"/>
      <c r="AM4379" s="12"/>
      <c r="AN4379" s="1"/>
      <c r="AO4379" s="6"/>
    </row>
    <row r="4380" spans="1:41" ht="15" x14ac:dyDescent="0.25">
      <c r="A4380" s="1"/>
      <c r="B4380" s="1"/>
      <c r="C4380" s="1"/>
      <c r="D4380" s="1"/>
      <c r="E4380" s="6"/>
      <c r="F4380" s="1"/>
      <c r="G4380" s="6"/>
      <c r="H4380" s="6"/>
      <c r="I4380" s="6"/>
      <c r="J4380" s="6"/>
      <c r="K4380" s="6"/>
      <c r="L4380" s="6"/>
      <c r="M4380" s="6"/>
      <c r="N4380" s="6"/>
      <c r="O4380" s="7"/>
      <c r="P4380" s="6"/>
      <c r="Q4380" s="7"/>
      <c r="R4380" s="6"/>
      <c r="S4380" s="6"/>
      <c r="T4380" s="6"/>
      <c r="U4380" s="6"/>
      <c r="V4380" s="7"/>
      <c r="W4380" s="6"/>
      <c r="X4380" s="6"/>
      <c r="Y4380" s="6"/>
      <c r="Z4380" s="6"/>
      <c r="AA4380" s="1"/>
      <c r="AB4380" s="12"/>
      <c r="AC4380" s="12"/>
      <c r="AD4380" s="12"/>
      <c r="AE4380" s="12"/>
      <c r="AF4380" s="6"/>
      <c r="AG4380" s="12"/>
      <c r="AH4380" s="6"/>
      <c r="AI4380" s="6"/>
      <c r="AJ4380" s="12"/>
      <c r="AK4380" s="12"/>
      <c r="AL4380" s="12"/>
      <c r="AM4380" s="12"/>
      <c r="AN4380" s="1"/>
      <c r="AO4380" s="6"/>
    </row>
    <row r="4381" spans="1:41" ht="15" x14ac:dyDescent="0.25">
      <c r="A4381" s="1"/>
      <c r="B4381" s="1"/>
      <c r="C4381" s="1"/>
      <c r="D4381" s="1"/>
      <c r="E4381" s="6"/>
      <c r="F4381" s="1"/>
      <c r="G4381" s="6"/>
      <c r="H4381" s="6"/>
      <c r="I4381" s="6"/>
      <c r="J4381" s="6"/>
      <c r="K4381" s="6"/>
      <c r="L4381" s="6"/>
      <c r="M4381" s="6"/>
      <c r="N4381" s="6"/>
      <c r="O4381" s="7"/>
      <c r="P4381" s="6"/>
      <c r="Q4381" s="7"/>
      <c r="R4381" s="6"/>
      <c r="S4381" s="6"/>
      <c r="T4381" s="6"/>
      <c r="U4381" s="6"/>
      <c r="V4381" s="7"/>
      <c r="W4381" s="6"/>
      <c r="X4381" s="6"/>
      <c r="Y4381" s="6"/>
      <c r="Z4381" s="6"/>
      <c r="AA4381" s="1"/>
      <c r="AB4381" s="12"/>
      <c r="AC4381" s="12"/>
      <c r="AD4381" s="12"/>
      <c r="AE4381" s="12"/>
      <c r="AF4381" s="6"/>
      <c r="AG4381" s="12"/>
      <c r="AH4381" s="6"/>
      <c r="AI4381" s="6"/>
      <c r="AJ4381" s="12"/>
      <c r="AK4381" s="12"/>
      <c r="AL4381" s="12"/>
      <c r="AM4381" s="12"/>
      <c r="AN4381" s="1"/>
      <c r="AO4381" s="6"/>
    </row>
    <row r="4382" spans="1:41" ht="15" x14ac:dyDescent="0.25">
      <c r="A4382" s="1"/>
      <c r="B4382" s="1"/>
      <c r="C4382" s="1"/>
      <c r="D4382" s="1"/>
      <c r="E4382" s="6"/>
      <c r="F4382" s="1"/>
      <c r="G4382" s="6"/>
      <c r="H4382" s="6"/>
      <c r="I4382" s="6"/>
      <c r="J4382" s="6"/>
      <c r="K4382" s="6"/>
      <c r="L4382" s="6"/>
      <c r="M4382" s="6"/>
      <c r="N4382" s="6"/>
      <c r="O4382" s="7"/>
      <c r="P4382" s="6"/>
      <c r="Q4382" s="6"/>
      <c r="R4382" s="7"/>
      <c r="S4382" s="6"/>
      <c r="T4382" s="6"/>
      <c r="U4382" s="7"/>
      <c r="V4382" s="6"/>
      <c r="W4382" s="6"/>
      <c r="X4382" s="6"/>
      <c r="Y4382" s="6"/>
      <c r="Z4382" s="6"/>
      <c r="AA4382" s="7"/>
      <c r="AB4382" s="6"/>
      <c r="AC4382" s="6"/>
      <c r="AD4382" s="6"/>
      <c r="AE4382" s="12"/>
      <c r="AF4382" s="12"/>
      <c r="AG4382" s="12"/>
      <c r="AH4382" s="12"/>
      <c r="AI4382" s="6"/>
      <c r="AJ4382" s="12"/>
      <c r="AK4382" s="1"/>
      <c r="AL4382" s="12"/>
      <c r="AM4382" s="12"/>
      <c r="AN4382" s="1"/>
      <c r="AO4382" s="6"/>
    </row>
    <row r="4383" spans="1:41" ht="15" x14ac:dyDescent="0.25">
      <c r="A4383" s="1"/>
      <c r="B4383" s="1"/>
      <c r="C4383" s="1"/>
      <c r="D4383" s="1"/>
      <c r="E4383" s="6"/>
      <c r="F4383" s="1"/>
      <c r="G4383" s="6"/>
      <c r="H4383" s="6"/>
      <c r="I4383" s="6"/>
      <c r="J4383" s="6"/>
      <c r="K4383" s="6"/>
      <c r="L4383" s="6"/>
      <c r="M4383" s="6"/>
      <c r="N4383" s="6"/>
      <c r="O4383" s="7"/>
      <c r="P4383" s="12"/>
      <c r="Q4383" s="6"/>
      <c r="R4383" s="7"/>
      <c r="S4383" s="6"/>
      <c r="T4383" s="6"/>
      <c r="U4383" s="7"/>
      <c r="V4383" s="6"/>
      <c r="W4383" s="6"/>
      <c r="X4383" s="12"/>
      <c r="Y4383" s="6"/>
      <c r="Z4383" s="6"/>
      <c r="AA4383" s="7"/>
      <c r="AB4383" s="6"/>
      <c r="AC4383" s="6"/>
      <c r="AD4383" s="6"/>
      <c r="AE4383" s="12"/>
      <c r="AF4383" s="12"/>
      <c r="AG4383" s="12"/>
      <c r="AH4383" s="12"/>
      <c r="AI4383" s="6"/>
      <c r="AJ4383" s="12"/>
      <c r="AK4383" s="1"/>
      <c r="AL4383" s="12"/>
      <c r="AM4383" s="12"/>
      <c r="AN4383" s="1"/>
      <c r="AO4383" s="6"/>
    </row>
    <row r="4384" spans="1:41" ht="15" x14ac:dyDescent="0.25">
      <c r="A4384" s="1"/>
      <c r="B4384" s="1"/>
      <c r="C4384" s="1"/>
      <c r="D4384" s="1"/>
      <c r="E4384" s="6"/>
      <c r="F4384" s="1"/>
      <c r="G4384" s="6"/>
      <c r="H4384" s="6"/>
      <c r="I4384" s="6"/>
      <c r="J4384" s="6"/>
      <c r="K4384" s="6"/>
      <c r="L4384" s="6"/>
      <c r="M4384" s="6"/>
      <c r="N4384" s="6"/>
      <c r="O4384" s="7"/>
      <c r="P4384" s="12"/>
      <c r="Q4384" s="6"/>
      <c r="R4384" s="7"/>
      <c r="S4384" s="6"/>
      <c r="T4384" s="6"/>
      <c r="U4384" s="7"/>
      <c r="V4384" s="6"/>
      <c r="W4384" s="6"/>
      <c r="X4384" s="12"/>
      <c r="Y4384" s="6"/>
      <c r="Z4384" s="6"/>
      <c r="AA4384" s="7"/>
      <c r="AB4384" s="6"/>
      <c r="AC4384" s="6"/>
      <c r="AD4384" s="6"/>
      <c r="AE4384" s="12"/>
      <c r="AF4384" s="12"/>
      <c r="AG4384" s="12"/>
      <c r="AH4384" s="12"/>
      <c r="AI4384" s="6"/>
      <c r="AJ4384" s="12"/>
      <c r="AK4384" s="1"/>
      <c r="AL4384" s="12"/>
      <c r="AM4384" s="12"/>
      <c r="AN4384" s="1"/>
      <c r="AO4384" s="6"/>
    </row>
    <row r="4385" spans="1:41" ht="15" x14ac:dyDescent="0.25">
      <c r="A4385" s="1"/>
      <c r="B4385" s="1"/>
      <c r="C4385" s="1"/>
      <c r="D4385" s="1"/>
      <c r="E4385" s="6"/>
      <c r="F4385" s="1"/>
      <c r="G4385" s="6"/>
      <c r="H4385" s="6"/>
      <c r="I4385" s="6"/>
      <c r="J4385" s="6"/>
      <c r="K4385" s="12"/>
      <c r="L4385" s="12"/>
      <c r="M4385" s="6"/>
      <c r="N4385" s="6"/>
      <c r="O4385" s="7"/>
      <c r="P4385" s="6"/>
      <c r="Q4385" s="7"/>
      <c r="R4385" s="6"/>
      <c r="S4385" s="12"/>
      <c r="T4385" s="6"/>
      <c r="U4385" s="6"/>
      <c r="V4385" s="7"/>
      <c r="W4385" s="7"/>
      <c r="X4385" s="6"/>
      <c r="Y4385" s="6"/>
      <c r="Z4385" s="6"/>
      <c r="AA4385" s="1"/>
      <c r="AB4385" s="12"/>
      <c r="AC4385" s="12"/>
      <c r="AD4385" s="12"/>
      <c r="AE4385" s="12"/>
      <c r="AF4385" s="12"/>
      <c r="AG4385" s="12"/>
      <c r="AH4385" s="12"/>
      <c r="AI4385" s="6"/>
      <c r="AJ4385" s="12"/>
      <c r="AK4385" s="12"/>
      <c r="AL4385" s="12"/>
      <c r="AM4385" s="12"/>
      <c r="AN4385" s="1"/>
      <c r="AO4385" s="6"/>
    </row>
    <row r="4386" spans="1:41" ht="15" x14ac:dyDescent="0.25">
      <c r="A4386" s="1"/>
      <c r="B4386" s="1"/>
      <c r="C4386" s="1"/>
      <c r="D4386" s="1"/>
      <c r="E4386" s="6"/>
      <c r="F4386" s="1"/>
      <c r="G4386" s="6"/>
      <c r="H4386" s="6"/>
      <c r="I4386" s="6"/>
      <c r="J4386" s="6"/>
      <c r="K4386" s="6"/>
      <c r="L4386" s="6"/>
      <c r="M4386" s="6"/>
      <c r="N4386" s="6"/>
      <c r="O4386" s="7"/>
      <c r="P4386" s="6"/>
      <c r="Q4386" s="7"/>
      <c r="R4386" s="6"/>
      <c r="S4386" s="6"/>
      <c r="T4386" s="6"/>
      <c r="U4386" s="6"/>
      <c r="V4386" s="7"/>
      <c r="W4386" s="7"/>
      <c r="X4386" s="6"/>
      <c r="Y4386" s="6"/>
      <c r="Z4386" s="6"/>
      <c r="AA4386" s="1"/>
      <c r="AB4386" s="12"/>
      <c r="AC4386" s="12"/>
      <c r="AD4386" s="12"/>
      <c r="AE4386" s="12"/>
      <c r="AF4386" s="12"/>
      <c r="AG4386" s="12"/>
      <c r="AH4386" s="12"/>
      <c r="AI4386" s="6"/>
      <c r="AJ4386" s="12"/>
      <c r="AK4386" s="12"/>
      <c r="AL4386" s="12"/>
      <c r="AM4386" s="12"/>
      <c r="AN4386" s="1"/>
      <c r="AO4386" s="6"/>
    </row>
    <row r="4387" spans="1:41" ht="15" x14ac:dyDescent="0.25">
      <c r="A4387" s="1"/>
      <c r="B4387" s="1"/>
      <c r="C4387" s="1"/>
      <c r="D4387" s="1"/>
      <c r="E4387" s="6"/>
      <c r="F4387" s="1"/>
      <c r="G4387" s="6"/>
      <c r="H4387" s="6"/>
      <c r="I4387" s="6"/>
      <c r="J4387" s="6"/>
      <c r="K4387" s="6"/>
      <c r="L4387" s="6"/>
      <c r="M4387" s="6"/>
      <c r="N4387" s="6"/>
      <c r="O4387" s="7"/>
      <c r="P4387" s="6"/>
      <c r="Q4387" s="6"/>
      <c r="R4387" s="7"/>
      <c r="S4387" s="6"/>
      <c r="T4387" s="6"/>
      <c r="U4387" s="7"/>
      <c r="V4387" s="6"/>
      <c r="W4387" s="6"/>
      <c r="X4387" s="6"/>
      <c r="Y4387" s="6"/>
      <c r="Z4387" s="6"/>
      <c r="AA4387" s="7"/>
      <c r="AB4387" s="6"/>
      <c r="AC4387" s="6"/>
      <c r="AD4387" s="6"/>
      <c r="AE4387" s="12"/>
      <c r="AF4387" s="6"/>
      <c r="AG4387" s="12"/>
      <c r="AH4387" s="6"/>
      <c r="AI4387" s="6"/>
      <c r="AJ4387" s="12"/>
      <c r="AK4387" s="24"/>
      <c r="AL4387" s="25"/>
      <c r="AM4387" s="12"/>
      <c r="AN4387" s="1"/>
      <c r="AO4387" s="6"/>
    </row>
    <row r="4388" spans="1:41" ht="15" x14ac:dyDescent="0.25">
      <c r="A4388" s="1"/>
      <c r="B4388" s="1"/>
      <c r="C4388" s="1"/>
      <c r="D4388" s="1"/>
      <c r="E4388" s="6"/>
      <c r="F4388" s="1"/>
      <c r="G4388" s="6"/>
      <c r="H4388" s="6"/>
      <c r="I4388" s="6"/>
      <c r="J4388" s="6"/>
      <c r="K4388" s="6"/>
      <c r="L4388" s="6"/>
      <c r="M4388" s="6"/>
      <c r="N4388" s="6"/>
      <c r="O4388" s="7"/>
      <c r="P4388" s="6"/>
      <c r="Q4388" s="6"/>
      <c r="R4388" s="7"/>
      <c r="S4388" s="6"/>
      <c r="T4388" s="6"/>
      <c r="U4388" s="7"/>
      <c r="V4388" s="6"/>
      <c r="W4388" s="6"/>
      <c r="X4388" s="6"/>
      <c r="Y4388" s="6"/>
      <c r="Z4388" s="6"/>
      <c r="AA4388" s="7"/>
      <c r="AB4388" s="6"/>
      <c r="AC4388" s="6"/>
      <c r="AD4388" s="6"/>
      <c r="AE4388" s="12"/>
      <c r="AF4388" s="6"/>
      <c r="AG4388" s="12"/>
      <c r="AH4388" s="6"/>
      <c r="AI4388" s="6"/>
      <c r="AJ4388" s="12"/>
      <c r="AK4388" s="24"/>
      <c r="AL4388" s="25"/>
      <c r="AM4388" s="12"/>
      <c r="AN4388" s="1"/>
      <c r="AO4388" s="6"/>
    </row>
    <row r="4389" spans="1:41" ht="15" x14ac:dyDescent="0.25">
      <c r="A4389" s="1"/>
      <c r="B4389" s="1"/>
      <c r="C4389" s="1"/>
      <c r="D4389" s="1"/>
      <c r="E4389" s="6"/>
      <c r="F4389" s="1"/>
      <c r="G4389" s="6"/>
      <c r="H4389" s="6"/>
      <c r="I4389" s="6"/>
      <c r="J4389" s="6"/>
      <c r="K4389" s="6"/>
      <c r="L4389" s="6"/>
      <c r="M4389" s="6"/>
      <c r="N4389" s="6"/>
      <c r="O4389" s="7"/>
      <c r="P4389" s="6"/>
      <c r="Q4389" s="6"/>
      <c r="R4389" s="7"/>
      <c r="S4389" s="6"/>
      <c r="T4389" s="6"/>
      <c r="U4389" s="7"/>
      <c r="V4389" s="6"/>
      <c r="W4389" s="6"/>
      <c r="X4389" s="6"/>
      <c r="Y4389" s="6"/>
      <c r="Z4389" s="6"/>
      <c r="AA4389" s="7"/>
      <c r="AB4389" s="6"/>
      <c r="AC4389" s="6"/>
      <c r="AD4389" s="6"/>
      <c r="AE4389" s="12"/>
      <c r="AF4389" s="6"/>
      <c r="AG4389" s="12"/>
      <c r="AH4389" s="6"/>
      <c r="AI4389" s="6"/>
      <c r="AJ4389" s="12"/>
      <c r="AK4389" s="24"/>
      <c r="AL4389" s="25"/>
      <c r="AM4389" s="12"/>
      <c r="AN4389" s="1"/>
      <c r="AO4389" s="6"/>
    </row>
    <row r="4390" spans="1:41" ht="15" x14ac:dyDescent="0.25">
      <c r="A4390" s="1"/>
      <c r="B4390" s="1"/>
      <c r="C4390" s="1"/>
      <c r="D4390" s="1"/>
      <c r="E4390" s="6"/>
      <c r="F4390" s="1"/>
      <c r="G4390" s="6"/>
      <c r="H4390" s="6"/>
      <c r="I4390" s="6"/>
      <c r="J4390" s="6"/>
      <c r="K4390" s="6"/>
      <c r="L4390" s="6"/>
      <c r="M4390" s="6"/>
      <c r="N4390" s="6"/>
      <c r="O4390" s="7"/>
      <c r="P4390" s="6"/>
      <c r="Q4390" s="6"/>
      <c r="R4390" s="7"/>
      <c r="S4390" s="6"/>
      <c r="T4390" s="6"/>
      <c r="U4390" s="7"/>
      <c r="V4390" s="6"/>
      <c r="W4390" s="6"/>
      <c r="X4390" s="6"/>
      <c r="Y4390" s="6"/>
      <c r="Z4390" s="6"/>
      <c r="AA4390" s="7"/>
      <c r="AB4390" s="6"/>
      <c r="AC4390" s="6"/>
      <c r="AD4390" s="6"/>
      <c r="AE4390" s="12"/>
      <c r="AF4390" s="6"/>
      <c r="AG4390" s="12"/>
      <c r="AH4390" s="6"/>
      <c r="AI4390" s="6"/>
      <c r="AJ4390" s="12"/>
      <c r="AK4390" s="24"/>
      <c r="AL4390" s="25"/>
      <c r="AM4390" s="12"/>
      <c r="AN4390" s="1"/>
      <c r="AO4390" s="6"/>
    </row>
    <row r="4391" spans="1:41" ht="15" x14ac:dyDescent="0.25">
      <c r="A4391" s="1"/>
      <c r="B4391" s="1"/>
      <c r="C4391" s="1"/>
      <c r="D4391" s="1"/>
      <c r="E4391" s="6"/>
      <c r="F4391" s="1"/>
      <c r="G4391" s="6"/>
      <c r="H4391" s="6"/>
      <c r="I4391" s="6"/>
      <c r="J4391" s="6"/>
      <c r="K4391" s="6"/>
      <c r="L4391" s="6"/>
      <c r="M4391" s="6"/>
      <c r="N4391" s="6"/>
      <c r="O4391" s="7"/>
      <c r="P4391" s="6"/>
      <c r="Q4391" s="6"/>
      <c r="R4391" s="7"/>
      <c r="S4391" s="6"/>
      <c r="T4391" s="6"/>
      <c r="U4391" s="7"/>
      <c r="V4391" s="6"/>
      <c r="W4391" s="6"/>
      <c r="X4391" s="6"/>
      <c r="Y4391" s="6"/>
      <c r="Z4391" s="6"/>
      <c r="AA4391" s="7"/>
      <c r="AB4391" s="6"/>
      <c r="AC4391" s="6"/>
      <c r="AD4391" s="6"/>
      <c r="AE4391" s="12"/>
      <c r="AF4391" s="6"/>
      <c r="AG4391" s="12"/>
      <c r="AH4391" s="6"/>
      <c r="AI4391" s="6"/>
      <c r="AJ4391" s="12"/>
      <c r="AK4391" s="1"/>
      <c r="AL4391" s="12"/>
      <c r="AM4391" s="12"/>
      <c r="AN4391" s="1"/>
      <c r="AO4391" s="6"/>
    </row>
    <row r="4392" spans="1:41" ht="15" x14ac:dyDescent="0.25">
      <c r="A4392" s="1"/>
      <c r="B4392" s="1"/>
      <c r="C4392" s="1"/>
      <c r="D4392" s="1"/>
      <c r="E4392" s="6"/>
      <c r="F4392" s="1"/>
      <c r="G4392" s="6"/>
      <c r="H4392" s="6"/>
      <c r="I4392" s="6"/>
      <c r="J4392" s="6"/>
      <c r="K4392" s="6"/>
      <c r="L4392" s="6"/>
      <c r="M4392" s="6"/>
      <c r="N4392" s="6"/>
      <c r="O4392" s="7"/>
      <c r="P4392" s="6"/>
      <c r="Q4392" s="6"/>
      <c r="R4392" s="7"/>
      <c r="S4392" s="6"/>
      <c r="T4392" s="6"/>
      <c r="U4392" s="7"/>
      <c r="V4392" s="6"/>
      <c r="W4392" s="6"/>
      <c r="X4392" s="6"/>
      <c r="Y4392" s="6"/>
      <c r="Z4392" s="6"/>
      <c r="AA4392" s="7"/>
      <c r="AB4392" s="6"/>
      <c r="AC4392" s="6"/>
      <c r="AD4392" s="6"/>
      <c r="AE4392" s="12"/>
      <c r="AF4392" s="6"/>
      <c r="AG4392" s="12"/>
      <c r="AH4392" s="6"/>
      <c r="AI4392" s="6"/>
      <c r="AJ4392" s="12"/>
      <c r="AK4392" s="1"/>
      <c r="AL4392" s="12"/>
      <c r="AM4392" s="12"/>
      <c r="AN4392" s="1"/>
      <c r="AO4392" s="6"/>
    </row>
    <row r="4393" spans="1:41" ht="15" x14ac:dyDescent="0.25">
      <c r="A4393" s="1"/>
      <c r="B4393" s="1"/>
      <c r="C4393" s="1"/>
      <c r="D4393" s="1"/>
      <c r="E4393" s="6"/>
      <c r="F4393" s="1"/>
      <c r="G4393" s="6"/>
      <c r="H4393" s="6"/>
      <c r="I4393" s="6"/>
      <c r="J4393" s="6"/>
      <c r="K4393" s="12"/>
      <c r="L4393" s="12"/>
      <c r="M4393" s="6"/>
      <c r="N4393" s="6"/>
      <c r="O4393" s="7"/>
      <c r="P4393" s="12"/>
      <c r="Q4393" s="6"/>
      <c r="R4393" s="7"/>
      <c r="S4393" s="6"/>
      <c r="T4393" s="6"/>
      <c r="U4393" s="7"/>
      <c r="V4393" s="6"/>
      <c r="W4393" s="6"/>
      <c r="X4393" s="12"/>
      <c r="Y4393" s="6"/>
      <c r="Z4393" s="6"/>
      <c r="AA4393" s="7"/>
      <c r="AB4393" s="6"/>
      <c r="AC4393" s="6"/>
      <c r="AD4393" s="6"/>
      <c r="AE4393" s="12"/>
      <c r="AF4393" s="12"/>
      <c r="AG4393" s="12"/>
      <c r="AH4393" s="12"/>
      <c r="AI4393" s="6"/>
      <c r="AJ4393" s="12"/>
      <c r="AK4393" s="1"/>
      <c r="AL4393" s="12"/>
      <c r="AM4393" s="12"/>
      <c r="AN4393" s="1"/>
      <c r="AO4393" s="12"/>
    </row>
    <row r="4394" spans="1:41" ht="15" x14ac:dyDescent="0.25">
      <c r="A4394" s="1"/>
      <c r="B4394" s="1"/>
      <c r="C4394" s="1"/>
      <c r="D4394" s="1"/>
      <c r="E4394" s="6"/>
      <c r="F4394" s="1"/>
      <c r="G4394" s="6"/>
      <c r="H4394" s="6"/>
      <c r="I4394" s="6"/>
      <c r="J4394" s="6"/>
      <c r="K4394" s="12"/>
      <c r="L4394" s="12"/>
      <c r="M4394" s="6"/>
      <c r="N4394" s="6"/>
      <c r="O4394" s="7"/>
      <c r="P4394" s="6"/>
      <c r="Q4394" s="6"/>
      <c r="R4394" s="7"/>
      <c r="S4394" s="6"/>
      <c r="T4394" s="6"/>
      <c r="U4394" s="7"/>
      <c r="V4394" s="6"/>
      <c r="W4394" s="6"/>
      <c r="X4394" s="6"/>
      <c r="Y4394" s="6"/>
      <c r="Z4394" s="6"/>
      <c r="AA4394" s="7"/>
      <c r="AB4394" s="6"/>
      <c r="AC4394" s="6"/>
      <c r="AD4394" s="6"/>
      <c r="AE4394" s="12"/>
      <c r="AF4394" s="12"/>
      <c r="AG4394" s="12"/>
      <c r="AH4394" s="12"/>
      <c r="AI4394" s="6"/>
      <c r="AJ4394" s="12"/>
      <c r="AK4394" s="1"/>
      <c r="AL4394" s="12"/>
      <c r="AM4394" s="12"/>
      <c r="AN4394" s="1"/>
      <c r="AO4394" s="6"/>
    </row>
    <row r="4395" spans="1:41" ht="15" x14ac:dyDescent="0.25">
      <c r="A4395" s="1"/>
      <c r="B4395" s="1"/>
      <c r="C4395" s="1"/>
      <c r="D4395" s="1"/>
      <c r="E4395" s="6"/>
      <c r="F4395" s="1"/>
      <c r="G4395" s="6"/>
      <c r="H4395" s="6"/>
      <c r="I4395" s="6"/>
      <c r="J4395" s="6"/>
      <c r="K4395" s="6"/>
      <c r="L4395" s="6"/>
      <c r="M4395" s="6"/>
      <c r="N4395" s="6"/>
      <c r="O4395" s="7"/>
      <c r="P4395" s="6"/>
      <c r="Q4395" s="6"/>
      <c r="R4395" s="7"/>
      <c r="S4395" s="6"/>
      <c r="T4395" s="6"/>
      <c r="U4395" s="7"/>
      <c r="V4395" s="6"/>
      <c r="W4395" s="6"/>
      <c r="X4395" s="6"/>
      <c r="Y4395" s="6"/>
      <c r="Z4395" s="6"/>
      <c r="AA4395" s="7"/>
      <c r="AB4395" s="6"/>
      <c r="AC4395" s="6"/>
      <c r="AD4395" s="6"/>
      <c r="AE4395" s="12"/>
      <c r="AF4395" s="12"/>
      <c r="AG4395" s="12"/>
      <c r="AH4395" s="12"/>
      <c r="AI4395" s="6"/>
      <c r="AJ4395" s="12"/>
      <c r="AK4395" s="1"/>
      <c r="AL4395" s="12"/>
      <c r="AM4395" s="12"/>
      <c r="AN4395" s="1"/>
      <c r="AO4395" s="6"/>
    </row>
    <row r="4396" spans="1:41" ht="15" x14ac:dyDescent="0.25">
      <c r="A4396" s="1"/>
      <c r="B4396" s="1"/>
      <c r="C4396" s="1"/>
      <c r="D4396" s="1"/>
      <c r="E4396" s="6"/>
      <c r="F4396" s="1"/>
      <c r="G4396" s="6"/>
      <c r="H4396" s="6"/>
      <c r="I4396" s="6"/>
      <c r="J4396" s="6"/>
      <c r="K4396" s="6"/>
      <c r="L4396" s="6"/>
      <c r="M4396" s="6"/>
      <c r="N4396" s="6"/>
      <c r="O4396" s="7"/>
      <c r="P4396" s="6"/>
      <c r="Q4396" s="6"/>
      <c r="R4396" s="12"/>
      <c r="S4396" s="12"/>
      <c r="T4396" s="12"/>
      <c r="U4396" s="7"/>
      <c r="V4396" s="6"/>
      <c r="W4396" s="6"/>
      <c r="X4396" s="12"/>
      <c r="Y4396" s="6"/>
      <c r="Z4396" s="6"/>
      <c r="AA4396" s="7"/>
      <c r="AB4396" s="6"/>
      <c r="AC4396" s="6"/>
      <c r="AD4396" s="6"/>
      <c r="AE4396" s="12"/>
      <c r="AF4396" s="12"/>
      <c r="AG4396" s="12"/>
      <c r="AH4396" s="12"/>
      <c r="AI4396" s="6"/>
      <c r="AJ4396" s="12"/>
      <c r="AK4396" s="1"/>
      <c r="AL4396" s="12"/>
      <c r="AM4396" s="12"/>
      <c r="AN4396" s="1"/>
      <c r="AO4396" s="6"/>
    </row>
    <row r="4397" spans="1:41" ht="15" x14ac:dyDescent="0.25">
      <c r="A4397" s="1"/>
      <c r="B4397" s="1"/>
      <c r="C4397" s="1"/>
      <c r="D4397" s="1"/>
      <c r="E4397" s="6"/>
      <c r="F4397" s="1"/>
      <c r="G4397" s="6"/>
      <c r="H4397" s="6"/>
      <c r="I4397" s="6"/>
      <c r="J4397" s="6"/>
      <c r="K4397" s="6"/>
      <c r="L4397" s="6"/>
      <c r="M4397" s="6"/>
      <c r="N4397" s="6"/>
      <c r="O4397" s="7"/>
      <c r="P4397" s="6"/>
      <c r="Q4397" s="6"/>
      <c r="R4397" s="12"/>
      <c r="S4397" s="12"/>
      <c r="T4397" s="12"/>
      <c r="U4397" s="7"/>
      <c r="V4397" s="6"/>
      <c r="W4397" s="6"/>
      <c r="X4397" s="12"/>
      <c r="Y4397" s="6"/>
      <c r="Z4397" s="6"/>
      <c r="AA4397" s="7"/>
      <c r="AB4397" s="6"/>
      <c r="AC4397" s="6"/>
      <c r="AD4397" s="6"/>
      <c r="AE4397" s="12"/>
      <c r="AF4397" s="12"/>
      <c r="AG4397" s="12"/>
      <c r="AH4397" s="12"/>
      <c r="AI4397" s="6"/>
      <c r="AJ4397" s="12"/>
      <c r="AK4397" s="1"/>
      <c r="AL4397" s="12"/>
      <c r="AM4397" s="12"/>
      <c r="AN4397" s="1"/>
      <c r="AO4397" s="6"/>
    </row>
    <row r="4398" spans="1:41" ht="15" x14ac:dyDescent="0.25">
      <c r="A4398" s="1"/>
      <c r="B4398" s="1"/>
      <c r="C4398" s="1"/>
      <c r="D4398" s="1"/>
      <c r="E4398" s="6"/>
      <c r="F4398" s="1"/>
      <c r="G4398" s="6"/>
      <c r="H4398" s="6"/>
      <c r="I4398" s="6"/>
      <c r="J4398" s="6"/>
      <c r="K4398" s="6"/>
      <c r="L4398" s="6"/>
      <c r="M4398" s="6"/>
      <c r="N4398" s="6"/>
      <c r="O4398" s="7"/>
      <c r="P4398" s="6"/>
      <c r="Q4398" s="6"/>
      <c r="R4398" s="7"/>
      <c r="S4398" s="6"/>
      <c r="T4398" s="6"/>
      <c r="U4398" s="7"/>
      <c r="V4398" s="6"/>
      <c r="W4398" s="6"/>
      <c r="X4398" s="6"/>
      <c r="Y4398" s="6"/>
      <c r="Z4398" s="6"/>
      <c r="AA4398" s="7"/>
      <c r="AB4398" s="6"/>
      <c r="AC4398" s="6"/>
      <c r="AD4398" s="6"/>
      <c r="AE4398" s="12"/>
      <c r="AF4398" s="12"/>
      <c r="AG4398" s="12"/>
      <c r="AH4398" s="12"/>
      <c r="AI4398" s="6"/>
      <c r="AJ4398" s="12"/>
      <c r="AK4398" s="1"/>
      <c r="AL4398" s="12"/>
      <c r="AM4398" s="12"/>
      <c r="AN4398" s="1"/>
      <c r="AO4398" s="6"/>
    </row>
    <row r="4399" spans="1:41" ht="15" x14ac:dyDescent="0.25">
      <c r="A4399" s="1"/>
      <c r="B4399" s="1"/>
      <c r="C4399" s="1"/>
      <c r="D4399" s="1"/>
      <c r="E4399" s="6"/>
      <c r="F4399" s="1"/>
      <c r="G4399" s="6"/>
      <c r="H4399" s="6"/>
      <c r="I4399" s="6"/>
      <c r="J4399" s="6"/>
      <c r="K4399" s="6"/>
      <c r="L4399" s="6"/>
      <c r="M4399" s="6"/>
      <c r="N4399" s="6"/>
      <c r="O4399" s="7"/>
      <c r="P4399" s="12"/>
      <c r="Q4399" s="6"/>
      <c r="R4399" s="7"/>
      <c r="S4399" s="6"/>
      <c r="T4399" s="6"/>
      <c r="U4399" s="7"/>
      <c r="V4399" s="6"/>
      <c r="W4399" s="6"/>
      <c r="X4399" s="6"/>
      <c r="Y4399" s="6"/>
      <c r="Z4399" s="6"/>
      <c r="AA4399" s="7"/>
      <c r="AB4399" s="6"/>
      <c r="AC4399" s="6"/>
      <c r="AD4399" s="6"/>
      <c r="AE4399" s="12"/>
      <c r="AF4399" s="6"/>
      <c r="AG4399" s="12"/>
      <c r="AH4399" s="6"/>
      <c r="AI4399" s="6"/>
      <c r="AJ4399" s="12"/>
      <c r="AK4399" s="24"/>
      <c r="AL4399" s="25"/>
      <c r="AM4399" s="12"/>
      <c r="AN4399" s="1"/>
      <c r="AO4399" s="6"/>
    </row>
    <row r="4400" spans="1:41" ht="15" x14ac:dyDescent="0.25">
      <c r="A4400" s="1"/>
      <c r="B4400" s="1"/>
      <c r="C4400" s="1"/>
      <c r="D4400" s="1"/>
      <c r="E4400" s="6"/>
      <c r="F4400" s="1"/>
      <c r="G4400" s="6"/>
      <c r="H4400" s="6"/>
      <c r="I4400" s="6"/>
      <c r="J4400" s="6"/>
      <c r="K4400" s="6"/>
      <c r="L4400" s="6"/>
      <c r="M4400" s="6"/>
      <c r="N4400" s="6"/>
      <c r="O4400" s="7"/>
      <c r="P4400" s="12"/>
      <c r="Q4400" s="6"/>
      <c r="R4400" s="7"/>
      <c r="S4400" s="6"/>
      <c r="T4400" s="6"/>
      <c r="U4400" s="7"/>
      <c r="V4400" s="6"/>
      <c r="W4400" s="6"/>
      <c r="X4400" s="6"/>
      <c r="Y4400" s="6"/>
      <c r="Z4400" s="6"/>
      <c r="AA4400" s="7"/>
      <c r="AB4400" s="6"/>
      <c r="AC4400" s="6"/>
      <c r="AD4400" s="6"/>
      <c r="AE4400" s="12"/>
      <c r="AF4400" s="6"/>
      <c r="AG4400" s="12"/>
      <c r="AH4400" s="6"/>
      <c r="AI4400" s="6"/>
      <c r="AJ4400" s="12"/>
      <c r="AK4400" s="24"/>
      <c r="AL4400" s="25"/>
      <c r="AM4400" s="12"/>
      <c r="AN4400" s="1"/>
      <c r="AO4400" s="6"/>
    </row>
    <row r="4401" spans="1:41" ht="15" x14ac:dyDescent="0.25">
      <c r="A4401" s="1"/>
      <c r="B4401" s="1"/>
      <c r="C4401" s="1"/>
      <c r="D4401" s="1"/>
      <c r="E4401" s="6"/>
      <c r="F4401" s="1"/>
      <c r="G4401" s="6"/>
      <c r="H4401" s="6"/>
      <c r="I4401" s="6"/>
      <c r="J4401" s="6"/>
      <c r="K4401" s="6"/>
      <c r="L4401" s="6"/>
      <c r="M4401" s="6"/>
      <c r="N4401" s="6"/>
      <c r="O4401" s="7"/>
      <c r="P4401" s="6"/>
      <c r="Q4401" s="6"/>
      <c r="R4401" s="7"/>
      <c r="S4401" s="6"/>
      <c r="T4401" s="6"/>
      <c r="U4401" s="7"/>
      <c r="V4401" s="6"/>
      <c r="W4401" s="6"/>
      <c r="X4401" s="6"/>
      <c r="Y4401" s="6"/>
      <c r="Z4401" s="6"/>
      <c r="AA4401" s="7"/>
      <c r="AB4401" s="6"/>
      <c r="AC4401" s="6"/>
      <c r="AD4401" s="6"/>
      <c r="AE4401" s="12"/>
      <c r="AF4401" s="6"/>
      <c r="AG4401" s="12"/>
      <c r="AH4401" s="6"/>
      <c r="AI4401" s="6"/>
      <c r="AJ4401" s="12"/>
      <c r="AK4401" s="24"/>
      <c r="AL4401" s="25"/>
      <c r="AM4401" s="12"/>
      <c r="AN4401" s="1"/>
      <c r="AO4401" s="6"/>
    </row>
    <row r="4402" spans="1:41" ht="15" x14ac:dyDescent="0.25">
      <c r="A4402" s="1"/>
      <c r="B4402" s="1"/>
      <c r="C4402" s="1"/>
      <c r="D4402" s="1"/>
      <c r="E4402" s="6"/>
      <c r="F4402" s="1"/>
      <c r="G4402" s="6"/>
      <c r="H4402" s="6"/>
      <c r="I4402" s="6"/>
      <c r="J4402" s="6"/>
      <c r="K4402" s="6"/>
      <c r="L4402" s="6"/>
      <c r="M4402" s="6"/>
      <c r="N4402" s="6"/>
      <c r="O4402" s="7"/>
      <c r="P4402" s="6"/>
      <c r="Q4402" s="6"/>
      <c r="R4402" s="7"/>
      <c r="S4402" s="6"/>
      <c r="T4402" s="6"/>
      <c r="U4402" s="7"/>
      <c r="V4402" s="6"/>
      <c r="W4402" s="6"/>
      <c r="X4402" s="6"/>
      <c r="Y4402" s="6"/>
      <c r="Z4402" s="6"/>
      <c r="AA4402" s="7"/>
      <c r="AB4402" s="6"/>
      <c r="AC4402" s="6"/>
      <c r="AD4402" s="6"/>
      <c r="AE4402" s="12"/>
      <c r="AF4402" s="6"/>
      <c r="AG4402" s="12"/>
      <c r="AH4402" s="6"/>
      <c r="AI4402" s="6"/>
      <c r="AJ4402" s="12"/>
      <c r="AK4402" s="24"/>
      <c r="AL4402" s="25"/>
      <c r="AM4402" s="12"/>
      <c r="AN4402" s="1"/>
      <c r="AO4402" s="6"/>
    </row>
    <row r="4403" spans="1:41" ht="15" x14ac:dyDescent="0.25">
      <c r="A4403" s="1"/>
      <c r="B4403" s="1"/>
      <c r="C4403" s="1"/>
      <c r="D4403" s="1"/>
      <c r="E4403" s="6"/>
      <c r="F4403" s="1"/>
      <c r="G4403" s="6"/>
      <c r="H4403" s="6"/>
      <c r="I4403" s="6"/>
      <c r="J4403" s="6"/>
      <c r="K4403" s="6"/>
      <c r="L4403" s="6"/>
      <c r="M4403" s="6"/>
      <c r="N4403" s="6"/>
      <c r="O4403" s="7"/>
      <c r="P4403" s="6"/>
      <c r="Q4403" s="6"/>
      <c r="R4403" s="7"/>
      <c r="S4403" s="6"/>
      <c r="T4403" s="6"/>
      <c r="U4403" s="7"/>
      <c r="V4403" s="6"/>
      <c r="W4403" s="6"/>
      <c r="X4403" s="6"/>
      <c r="Y4403" s="6"/>
      <c r="Z4403" s="6"/>
      <c r="AA4403" s="7"/>
      <c r="AB4403" s="6"/>
      <c r="AC4403" s="6"/>
      <c r="AD4403" s="6"/>
      <c r="AE4403" s="12"/>
      <c r="AF4403" s="6"/>
      <c r="AG4403" s="12"/>
      <c r="AH4403" s="6"/>
      <c r="AI4403" s="6"/>
      <c r="AJ4403" s="12"/>
      <c r="AK4403" s="24"/>
      <c r="AL4403" s="25"/>
      <c r="AM4403" s="12"/>
      <c r="AN4403" s="1"/>
      <c r="AO4403" s="6"/>
    </row>
    <row r="4404" spans="1:41" ht="15" x14ac:dyDescent="0.25">
      <c r="A4404" s="1"/>
      <c r="B4404" s="1"/>
      <c r="C4404" s="1"/>
      <c r="D4404" s="1"/>
      <c r="E4404" s="6"/>
      <c r="F4404" s="1"/>
      <c r="G4404" s="6"/>
      <c r="H4404" s="6"/>
      <c r="I4404" s="6"/>
      <c r="J4404" s="6"/>
      <c r="K4404" s="6"/>
      <c r="L4404" s="6"/>
      <c r="M4404" s="6"/>
      <c r="N4404" s="6"/>
      <c r="O4404" s="7"/>
      <c r="P4404" s="6"/>
      <c r="Q4404" s="6"/>
      <c r="R4404" s="7"/>
      <c r="S4404" s="6"/>
      <c r="T4404" s="6"/>
      <c r="U4404" s="7"/>
      <c r="V4404" s="6"/>
      <c r="W4404" s="6"/>
      <c r="X4404" s="6"/>
      <c r="Y4404" s="6"/>
      <c r="Z4404" s="6"/>
      <c r="AA4404" s="7"/>
      <c r="AB4404" s="6"/>
      <c r="AC4404" s="6"/>
      <c r="AD4404" s="6"/>
      <c r="AE4404" s="12"/>
      <c r="AF4404" s="6"/>
      <c r="AG4404" s="12"/>
      <c r="AH4404" s="6"/>
      <c r="AI4404" s="6"/>
      <c r="AJ4404" s="12"/>
      <c r="AK4404" s="24"/>
      <c r="AL4404" s="25"/>
      <c r="AM4404" s="12"/>
      <c r="AN4404" s="1"/>
      <c r="AO4404" s="6"/>
    </row>
    <row r="4405" spans="1:41" ht="15" x14ac:dyDescent="0.25">
      <c r="A4405" s="1"/>
      <c r="B4405" s="1"/>
      <c r="C4405" s="1"/>
      <c r="D4405" s="1"/>
      <c r="E4405" s="6"/>
      <c r="F4405" s="1"/>
      <c r="G4405" s="6"/>
      <c r="H4405" s="6"/>
      <c r="I4405" s="6"/>
      <c r="J4405" s="6"/>
      <c r="K4405" s="6"/>
      <c r="L4405" s="6"/>
      <c r="M4405" s="6"/>
      <c r="N4405" s="6"/>
      <c r="O4405" s="7"/>
      <c r="P4405" s="6"/>
      <c r="Q4405" s="6"/>
      <c r="R4405" s="7"/>
      <c r="S4405" s="6"/>
      <c r="T4405" s="6"/>
      <c r="U4405" s="7"/>
      <c r="V4405" s="6"/>
      <c r="W4405" s="6"/>
      <c r="X4405" s="6"/>
      <c r="Y4405" s="6"/>
      <c r="Z4405" s="6"/>
      <c r="AA4405" s="7"/>
      <c r="AB4405" s="6"/>
      <c r="AC4405" s="6"/>
      <c r="AD4405" s="6"/>
      <c r="AE4405" s="12"/>
      <c r="AF4405" s="6"/>
      <c r="AG4405" s="12"/>
      <c r="AH4405" s="6"/>
      <c r="AI4405" s="6"/>
      <c r="AJ4405" s="12"/>
      <c r="AK4405" s="1"/>
      <c r="AL4405" s="12"/>
      <c r="AM4405" s="12"/>
      <c r="AN4405" s="1"/>
      <c r="AO4405" s="6"/>
    </row>
    <row r="4406" spans="1:41" ht="15" x14ac:dyDescent="0.25">
      <c r="A4406" s="1"/>
      <c r="B4406" s="1"/>
      <c r="C4406" s="1"/>
      <c r="D4406" s="1"/>
      <c r="E4406" s="6"/>
      <c r="F4406" s="1"/>
      <c r="G4406" s="6"/>
      <c r="H4406" s="6"/>
      <c r="I4406" s="6"/>
      <c r="J4406" s="6"/>
      <c r="K4406" s="6"/>
      <c r="L4406" s="6"/>
      <c r="M4406" s="6"/>
      <c r="N4406" s="6"/>
      <c r="O4406" s="7"/>
      <c r="P4406" s="6"/>
      <c r="Q4406" s="6"/>
      <c r="R4406" s="7"/>
      <c r="S4406" s="6"/>
      <c r="T4406" s="6"/>
      <c r="U4406" s="7"/>
      <c r="V4406" s="6"/>
      <c r="W4406" s="6"/>
      <c r="X4406" s="6"/>
      <c r="Y4406" s="6"/>
      <c r="Z4406" s="6"/>
      <c r="AA4406" s="7"/>
      <c r="AB4406" s="6"/>
      <c r="AC4406" s="6"/>
      <c r="AD4406" s="6"/>
      <c r="AE4406" s="12"/>
      <c r="AF4406" s="6"/>
      <c r="AG4406" s="12"/>
      <c r="AH4406" s="6"/>
      <c r="AI4406" s="6"/>
      <c r="AJ4406" s="12"/>
      <c r="AK4406" s="1"/>
      <c r="AL4406" s="12"/>
      <c r="AM4406" s="12"/>
      <c r="AN4406" s="1"/>
      <c r="AO4406" s="6"/>
    </row>
    <row r="4407" spans="1:41" ht="15" x14ac:dyDescent="0.25">
      <c r="A4407" s="1"/>
      <c r="B4407" s="1"/>
      <c r="C4407" s="1"/>
      <c r="D4407" s="1"/>
      <c r="E4407" s="6"/>
      <c r="F4407" s="1"/>
      <c r="G4407" s="6"/>
      <c r="H4407" s="6"/>
      <c r="I4407" s="6"/>
      <c r="J4407" s="6"/>
      <c r="K4407" s="6"/>
      <c r="L4407" s="6"/>
      <c r="M4407" s="6"/>
      <c r="N4407" s="6"/>
      <c r="O4407" s="7"/>
      <c r="P4407" s="6"/>
      <c r="Q4407" s="6"/>
      <c r="R4407" s="7"/>
      <c r="S4407" s="6"/>
      <c r="T4407" s="6"/>
      <c r="U4407" s="7"/>
      <c r="V4407" s="6"/>
      <c r="W4407" s="6"/>
      <c r="X4407" s="6"/>
      <c r="Y4407" s="6"/>
      <c r="Z4407" s="6"/>
      <c r="AA4407" s="7"/>
      <c r="AB4407" s="6"/>
      <c r="AC4407" s="6"/>
      <c r="AD4407" s="6"/>
      <c r="AE4407" s="12"/>
      <c r="AF4407" s="6"/>
      <c r="AG4407" s="12"/>
      <c r="AH4407" s="6"/>
      <c r="AI4407" s="6"/>
      <c r="AJ4407" s="12"/>
      <c r="AK4407" s="24"/>
      <c r="AL4407" s="25"/>
      <c r="AM4407" s="12"/>
      <c r="AN4407" s="1"/>
      <c r="AO4407" s="6"/>
    </row>
    <row r="4408" spans="1:41" ht="15" x14ac:dyDescent="0.25">
      <c r="A4408" s="1"/>
      <c r="B4408" s="1"/>
      <c r="C4408" s="1"/>
      <c r="D4408" s="1"/>
      <c r="E4408" s="6"/>
      <c r="F4408" s="1"/>
      <c r="G4408" s="6"/>
      <c r="H4408" s="6"/>
      <c r="I4408" s="6"/>
      <c r="J4408" s="6"/>
      <c r="K4408" s="6"/>
      <c r="L4408" s="6"/>
      <c r="M4408" s="6"/>
      <c r="N4408" s="6"/>
      <c r="O4408" s="7"/>
      <c r="P4408" s="6"/>
      <c r="Q4408" s="6"/>
      <c r="R4408" s="7"/>
      <c r="S4408" s="6"/>
      <c r="T4408" s="6"/>
      <c r="U4408" s="7"/>
      <c r="V4408" s="6"/>
      <c r="W4408" s="6"/>
      <c r="X4408" s="6"/>
      <c r="Y4408" s="6"/>
      <c r="Z4408" s="6"/>
      <c r="AA4408" s="7"/>
      <c r="AB4408" s="6"/>
      <c r="AC4408" s="6"/>
      <c r="AD4408" s="6"/>
      <c r="AE4408" s="12"/>
      <c r="AF4408" s="6"/>
      <c r="AG4408" s="12"/>
      <c r="AH4408" s="6"/>
      <c r="AI4408" s="6"/>
      <c r="AJ4408" s="12"/>
      <c r="AK4408" s="24"/>
      <c r="AL4408" s="25"/>
      <c r="AM4408" s="12"/>
      <c r="AN4408" s="1"/>
      <c r="AO4408" s="6"/>
    </row>
    <row r="4409" spans="1:41" ht="15" x14ac:dyDescent="0.25">
      <c r="A4409" s="1"/>
      <c r="B4409" s="1"/>
      <c r="C4409" s="1"/>
      <c r="D4409" s="1"/>
      <c r="E4409" s="6"/>
      <c r="F4409" s="1"/>
      <c r="G4409" s="6"/>
      <c r="H4409" s="6"/>
      <c r="I4409" s="6"/>
      <c r="J4409" s="6"/>
      <c r="K4409" s="6"/>
      <c r="L4409" s="6"/>
      <c r="M4409" s="6"/>
      <c r="N4409" s="6"/>
      <c r="O4409" s="7"/>
      <c r="P4409" s="6"/>
      <c r="Q4409" s="6"/>
      <c r="R4409" s="7"/>
      <c r="S4409" s="6"/>
      <c r="T4409" s="6"/>
      <c r="U4409" s="7"/>
      <c r="V4409" s="6"/>
      <c r="W4409" s="6"/>
      <c r="X4409" s="6"/>
      <c r="Y4409" s="6"/>
      <c r="Z4409" s="6"/>
      <c r="AA4409" s="7"/>
      <c r="AB4409" s="6"/>
      <c r="AC4409" s="6"/>
      <c r="AD4409" s="6"/>
      <c r="AE4409" s="12"/>
      <c r="AF4409" s="6"/>
      <c r="AG4409" s="12"/>
      <c r="AH4409" s="6"/>
      <c r="AI4409" s="6"/>
      <c r="AJ4409" s="12"/>
      <c r="AK4409" s="24"/>
      <c r="AL4409" s="25"/>
      <c r="AM4409" s="12"/>
      <c r="AN4409" s="1"/>
      <c r="AO4409" s="6"/>
    </row>
    <row r="4410" spans="1:41" ht="15" x14ac:dyDescent="0.25">
      <c r="A4410" s="1"/>
      <c r="B4410" s="1"/>
      <c r="C4410" s="1"/>
      <c r="D4410" s="1"/>
      <c r="E4410" s="6"/>
      <c r="F4410" s="1"/>
      <c r="G4410" s="6"/>
      <c r="H4410" s="6"/>
      <c r="I4410" s="6"/>
      <c r="J4410" s="6"/>
      <c r="K4410" s="6"/>
      <c r="L4410" s="6"/>
      <c r="M4410" s="6"/>
      <c r="N4410" s="6"/>
      <c r="O4410" s="7"/>
      <c r="P4410" s="6"/>
      <c r="Q4410" s="6"/>
      <c r="R4410" s="7"/>
      <c r="S4410" s="6"/>
      <c r="T4410" s="6"/>
      <c r="U4410" s="7"/>
      <c r="V4410" s="6"/>
      <c r="W4410" s="6"/>
      <c r="X4410" s="6"/>
      <c r="Y4410" s="6"/>
      <c r="Z4410" s="6"/>
      <c r="AA4410" s="7"/>
      <c r="AB4410" s="6"/>
      <c r="AC4410" s="6"/>
      <c r="AD4410" s="6"/>
      <c r="AE4410" s="12"/>
      <c r="AF4410" s="6"/>
      <c r="AG4410" s="12"/>
      <c r="AH4410" s="6"/>
      <c r="AI4410" s="6"/>
      <c r="AJ4410" s="12"/>
      <c r="AK4410" s="24"/>
      <c r="AL4410" s="25"/>
      <c r="AM4410" s="12"/>
      <c r="AN4410" s="1"/>
      <c r="AO4410" s="6"/>
    </row>
    <row r="4411" spans="1:41" ht="15" x14ac:dyDescent="0.25">
      <c r="A4411" s="1"/>
      <c r="B4411" s="1"/>
      <c r="C4411" s="1"/>
      <c r="D4411" s="1"/>
      <c r="E4411" s="6"/>
      <c r="F4411" s="1"/>
      <c r="G4411" s="6"/>
      <c r="H4411" s="6"/>
      <c r="I4411" s="6"/>
      <c r="J4411" s="6"/>
      <c r="K4411" s="6"/>
      <c r="L4411" s="6"/>
      <c r="M4411" s="6"/>
      <c r="N4411" s="6"/>
      <c r="O4411" s="7"/>
      <c r="P4411" s="6"/>
      <c r="Q4411" s="6"/>
      <c r="R4411" s="7"/>
      <c r="S4411" s="6"/>
      <c r="T4411" s="6"/>
      <c r="U4411" s="7"/>
      <c r="V4411" s="6"/>
      <c r="W4411" s="6"/>
      <c r="X4411" s="12"/>
      <c r="Y4411" s="6"/>
      <c r="Z4411" s="6"/>
      <c r="AA4411" s="7"/>
      <c r="AB4411" s="6"/>
      <c r="AC4411" s="6"/>
      <c r="AD4411" s="6"/>
      <c r="AE4411" s="12"/>
      <c r="AF4411" s="6"/>
      <c r="AG4411" s="12"/>
      <c r="AH4411" s="6"/>
      <c r="AI4411" s="6"/>
      <c r="AJ4411" s="12"/>
      <c r="AK4411" s="1"/>
      <c r="AL4411" s="12"/>
      <c r="AM4411" s="12"/>
      <c r="AN4411" s="1"/>
      <c r="AO4411" s="6"/>
    </row>
    <row r="4412" spans="1:41" ht="15" x14ac:dyDescent="0.25">
      <c r="A4412" s="1"/>
      <c r="B4412" s="1"/>
      <c r="C4412" s="1"/>
      <c r="D4412" s="1"/>
      <c r="E4412" s="6"/>
      <c r="F4412" s="1"/>
      <c r="G4412" s="6"/>
      <c r="H4412" s="6"/>
      <c r="I4412" s="6"/>
      <c r="J4412" s="6"/>
      <c r="K4412" s="6"/>
      <c r="L4412" s="6"/>
      <c r="M4412" s="6"/>
      <c r="N4412" s="6"/>
      <c r="O4412" s="7"/>
      <c r="P4412" s="6"/>
      <c r="Q4412" s="6"/>
      <c r="R4412" s="7"/>
      <c r="S4412" s="6"/>
      <c r="T4412" s="6"/>
      <c r="U4412" s="7"/>
      <c r="V4412" s="6"/>
      <c r="W4412" s="6"/>
      <c r="X4412" s="12"/>
      <c r="Y4412" s="6"/>
      <c r="Z4412" s="6"/>
      <c r="AA4412" s="7"/>
      <c r="AB4412" s="6"/>
      <c r="AC4412" s="6"/>
      <c r="AD4412" s="6"/>
      <c r="AE4412" s="12"/>
      <c r="AF4412" s="6"/>
      <c r="AG4412" s="12"/>
      <c r="AH4412" s="6"/>
      <c r="AI4412" s="6"/>
      <c r="AJ4412" s="12"/>
      <c r="AK4412" s="1"/>
      <c r="AL4412" s="12"/>
      <c r="AM4412" s="12"/>
      <c r="AN4412" s="1"/>
      <c r="AO4412" s="6"/>
    </row>
    <row r="4413" spans="1:41" ht="15" x14ac:dyDescent="0.25">
      <c r="A4413" s="1"/>
      <c r="B4413" s="1"/>
      <c r="C4413" s="1"/>
      <c r="D4413" s="1"/>
      <c r="E4413" s="6"/>
      <c r="F4413" s="1"/>
      <c r="G4413" s="6"/>
      <c r="H4413" s="6"/>
      <c r="I4413" s="6"/>
      <c r="J4413" s="6"/>
      <c r="K4413" s="6"/>
      <c r="L4413" s="6"/>
      <c r="M4413" s="6"/>
      <c r="N4413" s="6"/>
      <c r="O4413" s="7"/>
      <c r="P4413" s="12"/>
      <c r="Q4413" s="6"/>
      <c r="R4413" s="7"/>
      <c r="S4413" s="6"/>
      <c r="T4413" s="6"/>
      <c r="U4413" s="7"/>
      <c r="V4413" s="6"/>
      <c r="W4413" s="6"/>
      <c r="X4413" s="6"/>
      <c r="Y4413" s="6"/>
      <c r="Z4413" s="6"/>
      <c r="AA4413" s="7"/>
      <c r="AB4413" s="6"/>
      <c r="AC4413" s="6"/>
      <c r="AD4413" s="6"/>
      <c r="AE4413" s="12"/>
      <c r="AF4413" s="12"/>
      <c r="AG4413" s="12"/>
      <c r="AH4413" s="12"/>
      <c r="AI4413" s="6"/>
      <c r="AJ4413" s="12"/>
      <c r="AK4413" s="1"/>
      <c r="AL4413" s="12"/>
      <c r="AM4413" s="12"/>
      <c r="AN4413" s="1"/>
      <c r="AO4413" s="6"/>
    </row>
    <row r="4414" spans="1:41" ht="15" x14ac:dyDescent="0.25">
      <c r="A4414" s="1"/>
      <c r="B4414" s="1"/>
      <c r="C4414" s="1"/>
      <c r="D4414" s="1"/>
      <c r="E4414" s="6"/>
      <c r="F4414" s="1"/>
      <c r="G4414" s="6"/>
      <c r="H4414" s="6"/>
      <c r="I4414" s="6"/>
      <c r="J4414" s="6"/>
      <c r="K4414" s="6"/>
      <c r="L4414" s="6"/>
      <c r="M4414" s="6"/>
      <c r="N4414" s="6"/>
      <c r="O4414" s="7"/>
      <c r="P4414" s="6"/>
      <c r="Q4414" s="6"/>
      <c r="R4414" s="7"/>
      <c r="S4414" s="6"/>
      <c r="T4414" s="6"/>
      <c r="U4414" s="7"/>
      <c r="V4414" s="6"/>
      <c r="W4414" s="6"/>
      <c r="X4414" s="6"/>
      <c r="Y4414" s="6"/>
      <c r="Z4414" s="6"/>
      <c r="AA4414" s="7"/>
      <c r="AB4414" s="6"/>
      <c r="AC4414" s="6"/>
      <c r="AD4414" s="6"/>
      <c r="AE4414" s="12"/>
      <c r="AF4414" s="12"/>
      <c r="AG4414" s="12"/>
      <c r="AH4414" s="12"/>
      <c r="AI4414" s="6"/>
      <c r="AJ4414" s="12"/>
      <c r="AK4414" s="1"/>
      <c r="AL4414" s="12"/>
      <c r="AM4414" s="12"/>
      <c r="AN4414" s="1"/>
      <c r="AO4414" s="6"/>
    </row>
    <row r="4415" spans="1:41" ht="15" x14ac:dyDescent="0.25">
      <c r="A4415" s="1"/>
      <c r="B4415" s="1"/>
      <c r="C4415" s="1"/>
      <c r="D4415" s="1"/>
      <c r="E4415" s="6"/>
      <c r="F4415" s="1"/>
      <c r="G4415" s="6"/>
      <c r="H4415" s="6"/>
      <c r="I4415" s="6"/>
      <c r="J4415" s="6"/>
      <c r="K4415" s="6"/>
      <c r="L4415" s="6"/>
      <c r="M4415" s="6"/>
      <c r="N4415" s="6"/>
      <c r="O4415" s="7"/>
      <c r="P4415" s="6"/>
      <c r="Q4415" s="6"/>
      <c r="R4415" s="7"/>
      <c r="S4415" s="6"/>
      <c r="T4415" s="6"/>
      <c r="U4415" s="7"/>
      <c r="V4415" s="6"/>
      <c r="W4415" s="6"/>
      <c r="X4415" s="12"/>
      <c r="Y4415" s="6"/>
      <c r="Z4415" s="6"/>
      <c r="AA4415" s="7"/>
      <c r="AB4415" s="6"/>
      <c r="AC4415" s="6"/>
      <c r="AD4415" s="6"/>
      <c r="AE4415" s="12"/>
      <c r="AF4415" s="6"/>
      <c r="AG4415" s="12"/>
      <c r="AH4415" s="6"/>
      <c r="AI4415" s="6"/>
      <c r="AJ4415" s="12"/>
      <c r="AK4415" s="1"/>
      <c r="AL4415" s="12"/>
      <c r="AM4415" s="12"/>
      <c r="AN4415" s="1"/>
      <c r="AO4415" s="6"/>
    </row>
    <row r="4416" spans="1:41" ht="15" x14ac:dyDescent="0.25">
      <c r="A4416" s="1"/>
      <c r="B4416" s="1"/>
      <c r="C4416" s="1"/>
      <c r="D4416" s="1"/>
      <c r="E4416" s="6"/>
      <c r="F4416" s="1"/>
      <c r="G4416" s="6"/>
      <c r="H4416" s="6"/>
      <c r="I4416" s="6"/>
      <c r="J4416" s="6"/>
      <c r="K4416" s="6"/>
      <c r="L4416" s="6"/>
      <c r="M4416" s="6"/>
      <c r="N4416" s="6"/>
      <c r="O4416" s="7"/>
      <c r="P4416" s="6"/>
      <c r="Q4416" s="6"/>
      <c r="R4416" s="7"/>
      <c r="S4416" s="6"/>
      <c r="T4416" s="6"/>
      <c r="U4416" s="7"/>
      <c r="V4416" s="6"/>
      <c r="W4416" s="6"/>
      <c r="X4416" s="12"/>
      <c r="Y4416" s="6"/>
      <c r="Z4416" s="6"/>
      <c r="AA4416" s="7"/>
      <c r="AB4416" s="6"/>
      <c r="AC4416" s="6"/>
      <c r="AD4416" s="6"/>
      <c r="AE4416" s="12"/>
      <c r="AF4416" s="6"/>
      <c r="AG4416" s="12"/>
      <c r="AH4416" s="6"/>
      <c r="AI4416" s="6"/>
      <c r="AJ4416" s="12"/>
      <c r="AK4416" s="1"/>
      <c r="AL4416" s="12"/>
      <c r="AM4416" s="12"/>
      <c r="AN4416" s="1"/>
      <c r="AO4416" s="6"/>
    </row>
    <row r="4417" spans="1:41" ht="15" x14ac:dyDescent="0.25">
      <c r="A4417" s="1"/>
      <c r="B4417" s="1"/>
      <c r="C4417" s="1"/>
      <c r="D4417" s="1"/>
      <c r="E4417" s="6"/>
      <c r="F4417" s="1"/>
      <c r="G4417" s="6"/>
      <c r="H4417" s="6"/>
      <c r="I4417" s="6"/>
      <c r="J4417" s="6"/>
      <c r="K4417" s="6"/>
      <c r="L4417" s="6"/>
      <c r="M4417" s="6"/>
      <c r="N4417" s="6"/>
      <c r="O4417" s="7"/>
      <c r="P4417" s="6"/>
      <c r="Q4417" s="6"/>
      <c r="R4417" s="7"/>
      <c r="S4417" s="6"/>
      <c r="T4417" s="12"/>
      <c r="U4417" s="6"/>
      <c r="V4417" s="6"/>
      <c r="W4417" s="6"/>
      <c r="X4417" s="7"/>
      <c r="Y4417" s="6"/>
      <c r="Z4417" s="6"/>
      <c r="AA4417" s="7"/>
      <c r="AB4417" s="6"/>
      <c r="AC4417" s="6"/>
      <c r="AD4417" s="6"/>
      <c r="AE4417" s="12"/>
      <c r="AF4417" s="6"/>
      <c r="AG4417" s="12"/>
      <c r="AH4417" s="6"/>
      <c r="AI4417" s="6"/>
      <c r="AJ4417" s="12"/>
      <c r="AK4417" s="6"/>
      <c r="AL4417" s="12"/>
      <c r="AM4417" s="12"/>
      <c r="AN4417" s="1"/>
      <c r="AO4417" s="6"/>
    </row>
    <row r="4418" spans="1:41" ht="15" x14ac:dyDescent="0.25">
      <c r="A4418" s="1"/>
      <c r="B4418" s="1"/>
      <c r="C4418" s="1"/>
      <c r="D4418" s="1"/>
      <c r="E4418" s="6"/>
      <c r="F4418" s="1"/>
      <c r="G4418" s="6"/>
      <c r="H4418" s="6"/>
      <c r="I4418" s="6"/>
      <c r="J4418" s="6"/>
      <c r="K4418" s="6"/>
      <c r="L4418" s="6"/>
      <c r="M4418" s="6"/>
      <c r="N4418" s="6"/>
      <c r="O4418" s="7"/>
      <c r="P4418" s="6"/>
      <c r="Q4418" s="6"/>
      <c r="R4418" s="7"/>
      <c r="S4418" s="6"/>
      <c r="T4418" s="12"/>
      <c r="U4418" s="6"/>
      <c r="V4418" s="6"/>
      <c r="W4418" s="6"/>
      <c r="X4418" s="7"/>
      <c r="Y4418" s="6"/>
      <c r="Z4418" s="6"/>
      <c r="AA4418" s="7"/>
      <c r="AB4418" s="6"/>
      <c r="AC4418" s="6"/>
      <c r="AD4418" s="6"/>
      <c r="AE4418" s="12"/>
      <c r="AF4418" s="6"/>
      <c r="AG4418" s="12"/>
      <c r="AH4418" s="6"/>
      <c r="AI4418" s="6"/>
      <c r="AJ4418" s="12"/>
      <c r="AK4418" s="6"/>
      <c r="AL4418" s="12"/>
      <c r="AM4418" s="12"/>
      <c r="AN4418" s="1"/>
      <c r="AO4418" s="6"/>
    </row>
    <row r="4419" spans="1:41" ht="15" x14ac:dyDescent="0.25">
      <c r="A4419" s="1"/>
      <c r="B4419" s="1"/>
      <c r="C4419" s="1"/>
      <c r="D4419" s="1"/>
      <c r="E4419" s="6"/>
      <c r="F4419" s="1"/>
      <c r="G4419" s="6"/>
      <c r="H4419" s="6"/>
      <c r="I4419" s="6"/>
      <c r="J4419" s="6"/>
      <c r="K4419" s="6"/>
      <c r="L4419" s="6"/>
      <c r="M4419" s="6"/>
      <c r="N4419" s="6"/>
      <c r="O4419" s="7"/>
      <c r="P4419" s="6"/>
      <c r="Q4419" s="6"/>
      <c r="R4419" s="7"/>
      <c r="S4419" s="6"/>
      <c r="T4419" s="6"/>
      <c r="U4419" s="7"/>
      <c r="V4419" s="6"/>
      <c r="W4419" s="6"/>
      <c r="X4419" s="6"/>
      <c r="Y4419" s="6"/>
      <c r="Z4419" s="6"/>
      <c r="AA4419" s="7"/>
      <c r="AB4419" s="6"/>
      <c r="AC4419" s="6"/>
      <c r="AD4419" s="6"/>
      <c r="AE4419" s="12"/>
      <c r="AF4419" s="6"/>
      <c r="AG4419" s="12"/>
      <c r="AH4419" s="6"/>
      <c r="AI4419" s="6"/>
      <c r="AJ4419" s="12"/>
      <c r="AK4419" s="24"/>
      <c r="AL4419" s="25"/>
      <c r="AM4419" s="12"/>
      <c r="AN4419" s="1"/>
      <c r="AO4419" s="6"/>
    </row>
    <row r="4420" spans="1:41" ht="15" x14ac:dyDescent="0.25">
      <c r="A4420" s="1"/>
      <c r="B4420" s="1"/>
      <c r="C4420" s="1"/>
      <c r="D4420" s="1"/>
      <c r="E4420" s="6"/>
      <c r="F4420" s="1"/>
      <c r="G4420" s="6"/>
      <c r="H4420" s="6"/>
      <c r="I4420" s="6"/>
      <c r="J4420" s="6"/>
      <c r="K4420" s="6"/>
      <c r="L4420" s="6"/>
      <c r="M4420" s="6"/>
      <c r="N4420" s="6"/>
      <c r="O4420" s="7"/>
      <c r="P4420" s="6"/>
      <c r="Q4420" s="6"/>
      <c r="R4420" s="7"/>
      <c r="S4420" s="6"/>
      <c r="T4420" s="6"/>
      <c r="U4420" s="7"/>
      <c r="V4420" s="6"/>
      <c r="W4420" s="6"/>
      <c r="X4420" s="6"/>
      <c r="Y4420" s="6"/>
      <c r="Z4420" s="6"/>
      <c r="AA4420" s="7"/>
      <c r="AB4420" s="6"/>
      <c r="AC4420" s="6"/>
      <c r="AD4420" s="6"/>
      <c r="AE4420" s="12"/>
      <c r="AF4420" s="6"/>
      <c r="AG4420" s="12"/>
      <c r="AH4420" s="6"/>
      <c r="AI4420" s="6"/>
      <c r="AJ4420" s="12"/>
      <c r="AK4420" s="24"/>
      <c r="AL4420" s="25"/>
      <c r="AM4420" s="12"/>
      <c r="AN4420" s="1"/>
      <c r="AO4420" s="6"/>
    </row>
    <row r="4421" spans="1:41" ht="15" x14ac:dyDescent="0.25">
      <c r="A4421" s="1"/>
      <c r="B4421" s="1"/>
      <c r="C4421" s="1"/>
      <c r="D4421" s="1"/>
      <c r="E4421" s="6"/>
      <c r="F4421" s="1"/>
      <c r="G4421" s="6"/>
      <c r="H4421" s="6"/>
      <c r="I4421" s="6"/>
      <c r="J4421" s="6"/>
      <c r="K4421" s="6"/>
      <c r="L4421" s="6"/>
      <c r="M4421" s="6"/>
      <c r="N4421" s="6"/>
      <c r="O4421" s="7"/>
      <c r="P4421" s="6"/>
      <c r="Q4421" s="6"/>
      <c r="R4421" s="7"/>
      <c r="S4421" s="6"/>
      <c r="T4421" s="6"/>
      <c r="U4421" s="7"/>
      <c r="V4421" s="6"/>
      <c r="W4421" s="6"/>
      <c r="X4421" s="6"/>
      <c r="Y4421" s="6"/>
      <c r="Z4421" s="6"/>
      <c r="AA4421" s="7"/>
      <c r="AB4421" s="6"/>
      <c r="AC4421" s="6"/>
      <c r="AD4421" s="6"/>
      <c r="AE4421" s="12"/>
      <c r="AF4421" s="12"/>
      <c r="AG4421" s="12"/>
      <c r="AH4421" s="12"/>
      <c r="AI4421" s="6"/>
      <c r="AJ4421" s="12"/>
      <c r="AK4421" s="1"/>
      <c r="AL4421" s="12"/>
      <c r="AM4421" s="12"/>
      <c r="AN4421" s="1"/>
      <c r="AO4421" s="6"/>
    </row>
    <row r="4422" spans="1:41" ht="15" x14ac:dyDescent="0.25">
      <c r="A4422" s="1"/>
      <c r="B4422" s="1"/>
      <c r="C4422" s="1"/>
      <c r="D4422" s="1"/>
      <c r="E4422" s="6"/>
      <c r="F4422" s="1"/>
      <c r="G4422" s="6"/>
      <c r="H4422" s="6"/>
      <c r="I4422" s="6"/>
      <c r="J4422" s="6"/>
      <c r="K4422" s="6"/>
      <c r="L4422" s="6"/>
      <c r="M4422" s="6"/>
      <c r="N4422" s="6"/>
      <c r="O4422" s="7"/>
      <c r="P4422" s="6"/>
      <c r="Q4422" s="6"/>
      <c r="R4422" s="7"/>
      <c r="S4422" s="6"/>
      <c r="T4422" s="6"/>
      <c r="U4422" s="7"/>
      <c r="V4422" s="6"/>
      <c r="W4422" s="6"/>
      <c r="X4422" s="12"/>
      <c r="Y4422" s="6"/>
      <c r="Z4422" s="6"/>
      <c r="AA4422" s="7"/>
      <c r="AB4422" s="6"/>
      <c r="AC4422" s="6"/>
      <c r="AD4422" s="6"/>
      <c r="AE4422" s="12"/>
      <c r="AF4422" s="6"/>
      <c r="AG4422" s="12"/>
      <c r="AH4422" s="6"/>
      <c r="AI4422" s="6"/>
      <c r="AJ4422" s="12"/>
      <c r="AK4422" s="1"/>
      <c r="AL4422" s="12"/>
      <c r="AM4422" s="12"/>
      <c r="AN4422" s="1"/>
      <c r="AO4422" s="6"/>
    </row>
    <row r="4423" spans="1:41" ht="15" x14ac:dyDescent="0.25">
      <c r="A4423" s="1"/>
      <c r="B4423" s="1"/>
      <c r="C4423" s="1"/>
      <c r="D4423" s="1"/>
      <c r="E4423" s="6"/>
      <c r="F4423" s="1"/>
      <c r="G4423" s="6"/>
      <c r="H4423" s="6"/>
      <c r="I4423" s="6"/>
      <c r="J4423" s="6"/>
      <c r="K4423" s="6"/>
      <c r="L4423" s="6"/>
      <c r="M4423" s="6"/>
      <c r="N4423" s="6"/>
      <c r="O4423" s="7"/>
      <c r="P4423" s="6"/>
      <c r="Q4423" s="6"/>
      <c r="R4423" s="7"/>
      <c r="S4423" s="6"/>
      <c r="T4423" s="6"/>
      <c r="U4423" s="7"/>
      <c r="V4423" s="6"/>
      <c r="W4423" s="6"/>
      <c r="X4423" s="12"/>
      <c r="Y4423" s="6"/>
      <c r="Z4423" s="6"/>
      <c r="AA4423" s="7"/>
      <c r="AB4423" s="6"/>
      <c r="AC4423" s="6"/>
      <c r="AD4423" s="6"/>
      <c r="AE4423" s="12"/>
      <c r="AF4423" s="6"/>
      <c r="AG4423" s="12"/>
      <c r="AH4423" s="6"/>
      <c r="AI4423" s="6"/>
      <c r="AJ4423" s="12"/>
      <c r="AK4423" s="1"/>
      <c r="AL4423" s="12"/>
      <c r="AM4423" s="12"/>
      <c r="AN4423" s="1"/>
      <c r="AO4423" s="6"/>
    </row>
    <row r="4424" spans="1:41" ht="15" x14ac:dyDescent="0.25">
      <c r="A4424" s="1"/>
      <c r="B4424" s="1"/>
      <c r="C4424" s="1"/>
      <c r="D4424" s="1"/>
      <c r="E4424" s="6"/>
      <c r="F4424" s="1"/>
      <c r="G4424" s="6"/>
      <c r="H4424" s="6"/>
      <c r="I4424" s="6"/>
      <c r="J4424" s="6"/>
      <c r="K4424" s="6"/>
      <c r="L4424" s="6"/>
      <c r="M4424" s="6"/>
      <c r="N4424" s="6"/>
      <c r="O4424" s="7"/>
      <c r="P4424" s="6"/>
      <c r="Q4424" s="6"/>
      <c r="R4424" s="7"/>
      <c r="S4424" s="6"/>
      <c r="T4424" s="6"/>
      <c r="U4424" s="7"/>
      <c r="V4424" s="6"/>
      <c r="W4424" s="6"/>
      <c r="X4424" s="6"/>
      <c r="Y4424" s="6"/>
      <c r="Z4424" s="6"/>
      <c r="AA4424" s="7"/>
      <c r="AB4424" s="6"/>
      <c r="AC4424" s="6"/>
      <c r="AD4424" s="6"/>
      <c r="AE4424" s="12"/>
      <c r="AF4424" s="6"/>
      <c r="AG4424" s="12"/>
      <c r="AH4424" s="6"/>
      <c r="AI4424" s="6"/>
      <c r="AJ4424" s="12"/>
      <c r="AK4424" s="1"/>
      <c r="AL4424" s="12"/>
      <c r="AM4424" s="12"/>
      <c r="AN4424" s="1"/>
      <c r="AO4424" s="6"/>
    </row>
    <row r="4425" spans="1:41" ht="15" x14ac:dyDescent="0.25">
      <c r="A4425" s="1"/>
      <c r="B4425" s="1"/>
      <c r="C4425" s="1"/>
      <c r="D4425" s="1"/>
      <c r="E4425" s="6"/>
      <c r="F4425" s="1"/>
      <c r="G4425" s="6"/>
      <c r="H4425" s="6"/>
      <c r="I4425" s="6"/>
      <c r="J4425" s="6"/>
      <c r="K4425" s="6"/>
      <c r="L4425" s="6"/>
      <c r="M4425" s="6"/>
      <c r="N4425" s="6"/>
      <c r="O4425" s="7"/>
      <c r="P4425" s="6"/>
      <c r="Q4425" s="6"/>
      <c r="R4425" s="7"/>
      <c r="S4425" s="6"/>
      <c r="T4425" s="6"/>
      <c r="U4425" s="7"/>
      <c r="V4425" s="6"/>
      <c r="W4425" s="6"/>
      <c r="X4425" s="6"/>
      <c r="Y4425" s="6"/>
      <c r="Z4425" s="6"/>
      <c r="AA4425" s="7"/>
      <c r="AB4425" s="6"/>
      <c r="AC4425" s="6"/>
      <c r="AD4425" s="6"/>
      <c r="AE4425" s="12"/>
      <c r="AF4425" s="6"/>
      <c r="AG4425" s="12"/>
      <c r="AH4425" s="6"/>
      <c r="AI4425" s="6"/>
      <c r="AJ4425" s="12"/>
      <c r="AK4425" s="1"/>
      <c r="AL4425" s="12"/>
      <c r="AM4425" s="12"/>
      <c r="AN4425" s="1"/>
      <c r="AO4425" s="6"/>
    </row>
    <row r="4426" spans="1:41" ht="15" x14ac:dyDescent="0.25">
      <c r="A4426" s="1"/>
      <c r="B4426" s="1"/>
      <c r="C4426" s="1"/>
      <c r="D4426" s="1"/>
      <c r="E4426" s="6"/>
      <c r="F4426" s="1"/>
      <c r="G4426" s="6"/>
      <c r="H4426" s="6"/>
      <c r="I4426" s="6"/>
      <c r="J4426" s="6"/>
      <c r="K4426" s="6"/>
      <c r="L4426" s="6"/>
      <c r="M4426" s="6"/>
      <c r="N4426" s="6"/>
      <c r="O4426" s="7"/>
      <c r="P4426" s="6"/>
      <c r="Q4426" s="6"/>
      <c r="R4426" s="7"/>
      <c r="S4426" s="6"/>
      <c r="T4426" s="6"/>
      <c r="U4426" s="7"/>
      <c r="V4426" s="6"/>
      <c r="W4426" s="6"/>
      <c r="X4426" s="6"/>
      <c r="Y4426" s="6"/>
      <c r="Z4426" s="6"/>
      <c r="AA4426" s="7"/>
      <c r="AB4426" s="6"/>
      <c r="AC4426" s="6"/>
      <c r="AD4426" s="6"/>
      <c r="AE4426" s="12"/>
      <c r="AF4426" s="6"/>
      <c r="AG4426" s="12"/>
      <c r="AH4426" s="6"/>
      <c r="AI4426" s="6"/>
      <c r="AJ4426" s="12"/>
      <c r="AK4426" s="1"/>
      <c r="AL4426" s="12"/>
      <c r="AM4426" s="12"/>
      <c r="AN4426" s="1"/>
      <c r="AO4426" s="6"/>
    </row>
    <row r="4427" spans="1:41" ht="15" x14ac:dyDescent="0.25">
      <c r="A4427" s="1"/>
      <c r="B4427" s="1"/>
      <c r="C4427" s="1"/>
      <c r="D4427" s="1"/>
      <c r="E4427" s="6"/>
      <c r="F4427" s="1"/>
      <c r="G4427" s="6"/>
      <c r="H4427" s="6"/>
      <c r="I4427" s="6"/>
      <c r="J4427" s="6"/>
      <c r="K4427" s="6"/>
      <c r="L4427" s="6"/>
      <c r="M4427" s="6"/>
      <c r="N4427" s="6"/>
      <c r="O4427" s="7"/>
      <c r="P4427" s="6"/>
      <c r="Q4427" s="6"/>
      <c r="R4427" s="7"/>
      <c r="S4427" s="6"/>
      <c r="T4427" s="6"/>
      <c r="U4427" s="7"/>
      <c r="V4427" s="6"/>
      <c r="W4427" s="6"/>
      <c r="X4427" s="6"/>
      <c r="Y4427" s="6"/>
      <c r="Z4427" s="6"/>
      <c r="AA4427" s="7"/>
      <c r="AB4427" s="6"/>
      <c r="AC4427" s="6"/>
      <c r="AD4427" s="6"/>
      <c r="AE4427" s="12"/>
      <c r="AF4427" s="6"/>
      <c r="AG4427" s="12"/>
      <c r="AH4427" s="6"/>
      <c r="AI4427" s="6"/>
      <c r="AJ4427" s="12"/>
      <c r="AK4427" s="1"/>
      <c r="AL4427" s="12"/>
      <c r="AM4427" s="12"/>
      <c r="AN4427" s="1"/>
      <c r="AO4427" s="6"/>
    </row>
    <row r="4428" spans="1:41" ht="15" x14ac:dyDescent="0.25">
      <c r="A4428" s="1"/>
      <c r="B4428" s="1"/>
      <c r="C4428" s="1"/>
      <c r="D4428" s="1"/>
      <c r="E4428" s="6"/>
      <c r="F4428" s="1"/>
      <c r="G4428" s="6"/>
      <c r="H4428" s="6"/>
      <c r="I4428" s="6"/>
      <c r="J4428" s="6"/>
      <c r="K4428" s="6"/>
      <c r="L4428" s="6"/>
      <c r="M4428" s="6"/>
      <c r="N4428" s="6"/>
      <c r="O4428" s="7"/>
      <c r="P4428" s="6"/>
      <c r="Q4428" s="7"/>
      <c r="R4428" s="6"/>
      <c r="S4428" s="6"/>
      <c r="T4428" s="6"/>
      <c r="U4428" s="6"/>
      <c r="V4428" s="7"/>
      <c r="W4428" s="6"/>
      <c r="X4428" s="6"/>
      <c r="Y4428" s="6"/>
      <c r="Z4428" s="6"/>
      <c r="AA4428" s="24"/>
      <c r="AB4428" s="25"/>
      <c r="AC4428" s="12"/>
      <c r="AD4428" s="12"/>
      <c r="AE4428" s="12"/>
      <c r="AF4428" s="6"/>
      <c r="AG4428" s="12"/>
      <c r="AH4428" s="6"/>
      <c r="AI4428" s="6"/>
      <c r="AJ4428" s="12"/>
      <c r="AK4428" s="12"/>
      <c r="AL4428" s="12"/>
      <c r="AM4428" s="12"/>
      <c r="AN4428" s="1"/>
      <c r="AO4428" s="6"/>
    </row>
    <row r="4429" spans="1:41" ht="15" x14ac:dyDescent="0.25">
      <c r="A4429" s="1"/>
      <c r="B4429" s="1"/>
      <c r="C4429" s="1"/>
      <c r="D4429" s="1"/>
      <c r="E4429" s="6"/>
      <c r="F4429" s="1"/>
      <c r="G4429" s="6"/>
      <c r="H4429" s="6"/>
      <c r="I4429" s="6"/>
      <c r="J4429" s="6"/>
      <c r="K4429" s="6"/>
      <c r="L4429" s="6"/>
      <c r="M4429" s="6"/>
      <c r="N4429" s="6"/>
      <c r="O4429" s="7"/>
      <c r="P4429" s="6"/>
      <c r="Q4429" s="7"/>
      <c r="R4429" s="6"/>
      <c r="S4429" s="6"/>
      <c r="T4429" s="6"/>
      <c r="U4429" s="6"/>
      <c r="V4429" s="7"/>
      <c r="W4429" s="6"/>
      <c r="X4429" s="6"/>
      <c r="Y4429" s="6"/>
      <c r="Z4429" s="6"/>
      <c r="AA4429" s="24"/>
      <c r="AB4429" s="25"/>
      <c r="AC4429" s="12"/>
      <c r="AD4429" s="12"/>
      <c r="AE4429" s="12"/>
      <c r="AF4429" s="6"/>
      <c r="AG4429" s="12"/>
      <c r="AH4429" s="6"/>
      <c r="AI4429" s="6"/>
      <c r="AJ4429" s="12"/>
      <c r="AK4429" s="12"/>
      <c r="AL4429" s="12"/>
      <c r="AM4429" s="12"/>
      <c r="AN4429" s="1"/>
      <c r="AO4429" s="6"/>
    </row>
    <row r="4430" spans="1:41" ht="15" x14ac:dyDescent="0.25">
      <c r="A4430" s="1"/>
      <c r="B4430" s="1"/>
      <c r="C4430" s="1"/>
      <c r="D4430" s="1"/>
      <c r="E4430" s="6"/>
      <c r="F4430" s="1"/>
      <c r="G4430" s="6"/>
      <c r="H4430" s="6"/>
      <c r="I4430" s="6"/>
      <c r="J4430" s="6"/>
      <c r="K4430" s="6"/>
      <c r="L4430" s="6"/>
      <c r="M4430" s="6"/>
      <c r="N4430" s="6"/>
      <c r="O4430" s="7"/>
      <c r="P4430" s="6"/>
      <c r="Q4430" s="6"/>
      <c r="R4430" s="7"/>
      <c r="S4430" s="6"/>
      <c r="T4430" s="6"/>
      <c r="U4430" s="7"/>
      <c r="V4430" s="6"/>
      <c r="W4430" s="6"/>
      <c r="X4430" s="6"/>
      <c r="Y4430" s="6"/>
      <c r="Z4430" s="6"/>
      <c r="AA4430" s="7"/>
      <c r="AB4430" s="6"/>
      <c r="AC4430" s="6"/>
      <c r="AD4430" s="6"/>
      <c r="AE4430" s="12"/>
      <c r="AF4430" s="12"/>
      <c r="AG4430" s="12"/>
      <c r="AH4430" s="12"/>
      <c r="AI4430" s="6"/>
      <c r="AJ4430" s="12"/>
      <c r="AK4430" s="1"/>
      <c r="AL4430" s="12"/>
      <c r="AM4430" s="12"/>
      <c r="AN4430" s="1"/>
      <c r="AO4430" s="6"/>
    </row>
    <row r="4431" spans="1:41" ht="15" x14ac:dyDescent="0.25">
      <c r="A4431" s="1"/>
      <c r="B4431" s="1"/>
      <c r="C4431" s="1"/>
      <c r="D4431" s="1"/>
      <c r="E4431" s="6"/>
      <c r="F4431" s="1"/>
      <c r="G4431" s="6"/>
      <c r="H4431" s="6"/>
      <c r="I4431" s="6"/>
      <c r="J4431" s="6"/>
      <c r="K4431" s="12"/>
      <c r="L4431" s="6"/>
      <c r="M4431" s="6"/>
      <c r="N4431" s="6"/>
      <c r="O4431" s="7"/>
      <c r="P4431" s="6"/>
      <c r="Q4431" s="6"/>
      <c r="R4431" s="7"/>
      <c r="S4431" s="6"/>
      <c r="T4431" s="6"/>
      <c r="U4431" s="7"/>
      <c r="V4431" s="6"/>
      <c r="W4431" s="6"/>
      <c r="X4431" s="12"/>
      <c r="Y4431" s="6"/>
      <c r="Z4431" s="6"/>
      <c r="AA4431" s="7"/>
      <c r="AB4431" s="6"/>
      <c r="AC4431" s="6"/>
      <c r="AD4431" s="6"/>
      <c r="AE4431" s="12"/>
      <c r="AF4431" s="6"/>
      <c r="AG4431" s="12"/>
      <c r="AH4431" s="6"/>
      <c r="AI4431" s="6"/>
      <c r="AJ4431" s="12"/>
      <c r="AK4431" s="1"/>
      <c r="AL4431" s="12"/>
      <c r="AM4431" s="12"/>
      <c r="AN4431" s="1"/>
      <c r="AO4431" s="12"/>
    </row>
    <row r="4432" spans="1:41" ht="15" x14ac:dyDescent="0.25">
      <c r="A4432" s="1"/>
      <c r="B4432" s="1"/>
      <c r="C4432" s="1"/>
      <c r="D4432" s="1"/>
      <c r="E4432" s="6"/>
      <c r="F4432" s="1"/>
      <c r="G4432" s="6"/>
      <c r="H4432" s="6"/>
      <c r="I4432" s="6"/>
      <c r="J4432" s="6"/>
      <c r="K4432" s="12"/>
      <c r="L4432" s="6"/>
      <c r="M4432" s="6"/>
      <c r="N4432" s="6"/>
      <c r="O4432" s="7"/>
      <c r="P4432" s="6"/>
      <c r="Q4432" s="6"/>
      <c r="R4432" s="7"/>
      <c r="S4432" s="6"/>
      <c r="T4432" s="6"/>
      <c r="U4432" s="7"/>
      <c r="V4432" s="6"/>
      <c r="W4432" s="6"/>
      <c r="X4432" s="12"/>
      <c r="Y4432" s="6"/>
      <c r="Z4432" s="6"/>
      <c r="AA4432" s="7"/>
      <c r="AB4432" s="6"/>
      <c r="AC4432" s="6"/>
      <c r="AD4432" s="6"/>
      <c r="AE4432" s="12"/>
      <c r="AF4432" s="6"/>
      <c r="AG4432" s="12"/>
      <c r="AH4432" s="6"/>
      <c r="AI4432" s="6"/>
      <c r="AJ4432" s="12"/>
      <c r="AK4432" s="1"/>
      <c r="AL4432" s="12"/>
      <c r="AM4432" s="12"/>
      <c r="AN4432" s="1"/>
      <c r="AO4432" s="12"/>
    </row>
    <row r="4433" spans="1:41" ht="15" x14ac:dyDescent="0.25">
      <c r="A4433" s="1"/>
      <c r="B4433" s="1"/>
      <c r="C4433" s="1"/>
      <c r="D4433" s="1"/>
      <c r="E4433" s="6"/>
      <c r="F4433" s="1"/>
      <c r="G4433" s="6"/>
      <c r="H4433" s="6"/>
      <c r="I4433" s="6"/>
      <c r="J4433" s="6"/>
      <c r="K4433" s="6"/>
      <c r="L4433" s="6"/>
      <c r="M4433" s="6"/>
      <c r="N4433" s="6"/>
      <c r="O4433" s="7"/>
      <c r="P4433" s="6"/>
      <c r="Q4433" s="6"/>
      <c r="R4433" s="7"/>
      <c r="S4433" s="6"/>
      <c r="T4433" s="6"/>
      <c r="U4433" s="6"/>
      <c r="V4433" s="6"/>
      <c r="W4433" s="6"/>
      <c r="X4433" s="7"/>
      <c r="Y4433" s="6"/>
      <c r="Z4433" s="6"/>
      <c r="AA4433" s="7"/>
      <c r="AB4433" s="6"/>
      <c r="AC4433" s="6"/>
      <c r="AD4433" s="6"/>
      <c r="AE4433" s="12"/>
      <c r="AF4433" s="6"/>
      <c r="AG4433" s="12"/>
      <c r="AH4433" s="6"/>
      <c r="AI4433" s="6"/>
      <c r="AJ4433" s="12"/>
      <c r="AK4433" s="6"/>
      <c r="AL4433" s="12"/>
      <c r="AM4433" s="12"/>
      <c r="AN4433" s="1"/>
      <c r="AO4433" s="6"/>
    </row>
    <row r="4434" spans="1:41" ht="15" x14ac:dyDescent="0.25">
      <c r="A4434" s="1"/>
      <c r="B4434" s="1"/>
      <c r="C4434" s="1"/>
      <c r="D4434" s="1"/>
      <c r="E4434" s="6"/>
      <c r="F4434" s="1"/>
      <c r="G4434" s="6"/>
      <c r="H4434" s="6"/>
      <c r="I4434" s="6"/>
      <c r="J4434" s="6"/>
      <c r="K4434" s="6"/>
      <c r="L4434" s="6"/>
      <c r="M4434" s="6"/>
      <c r="N4434" s="6"/>
      <c r="O4434" s="7"/>
      <c r="P4434" s="6"/>
      <c r="Q4434" s="6"/>
      <c r="R4434" s="7"/>
      <c r="S4434" s="6"/>
      <c r="T4434" s="6"/>
      <c r="U4434" s="6"/>
      <c r="V4434" s="6"/>
      <c r="W4434" s="6"/>
      <c r="X4434" s="7"/>
      <c r="Y4434" s="6"/>
      <c r="Z4434" s="6"/>
      <c r="AA4434" s="7"/>
      <c r="AB4434" s="6"/>
      <c r="AC4434" s="6"/>
      <c r="AD4434" s="6"/>
      <c r="AE4434" s="12"/>
      <c r="AF4434" s="6"/>
      <c r="AG4434" s="12"/>
      <c r="AH4434" s="6"/>
      <c r="AI4434" s="6"/>
      <c r="AJ4434" s="12"/>
      <c r="AK4434" s="6"/>
      <c r="AL4434" s="12"/>
      <c r="AM4434" s="12"/>
      <c r="AN4434" s="1"/>
      <c r="AO4434" s="6"/>
    </row>
    <row r="4435" spans="1:41" ht="15" x14ac:dyDescent="0.25">
      <c r="A4435" s="1"/>
      <c r="B4435" s="1"/>
      <c r="C4435" s="1"/>
      <c r="D4435" s="1"/>
      <c r="E4435" s="6"/>
      <c r="F4435" s="1"/>
      <c r="G4435" s="6"/>
      <c r="H4435" s="6"/>
      <c r="I4435" s="6"/>
      <c r="J4435" s="6"/>
      <c r="K4435" s="12"/>
      <c r="L4435" s="12"/>
      <c r="M4435" s="6"/>
      <c r="N4435" s="6"/>
      <c r="O4435" s="7"/>
      <c r="P4435" s="6"/>
      <c r="Q4435" s="6"/>
      <c r="R4435" s="7"/>
      <c r="S4435" s="6"/>
      <c r="T4435" s="6"/>
      <c r="U4435" s="7"/>
      <c r="V4435" s="6"/>
      <c r="W4435" s="6"/>
      <c r="X4435" s="6"/>
      <c r="Y4435" s="6"/>
      <c r="Z4435" s="6"/>
      <c r="AA4435" s="7"/>
      <c r="AB4435" s="6"/>
      <c r="AC4435" s="6"/>
      <c r="AD4435" s="6"/>
      <c r="AE4435" s="12"/>
      <c r="AF4435" s="12"/>
      <c r="AG4435" s="12"/>
      <c r="AH4435" s="12"/>
      <c r="AI4435" s="6"/>
      <c r="AJ4435" s="12"/>
      <c r="AK4435" s="1"/>
      <c r="AL4435" s="12"/>
      <c r="AM4435" s="12"/>
      <c r="AN4435" s="1"/>
      <c r="AO4435" s="12"/>
    </row>
    <row r="4436" spans="1:41" ht="15" x14ac:dyDescent="0.25">
      <c r="A4436" s="1"/>
      <c r="B4436" s="1"/>
      <c r="C4436" s="1"/>
      <c r="D4436" s="1"/>
      <c r="E4436" s="6"/>
      <c r="F4436" s="1"/>
      <c r="G4436" s="6"/>
      <c r="H4436" s="6"/>
      <c r="I4436" s="6"/>
      <c r="J4436" s="6"/>
      <c r="K4436" s="12"/>
      <c r="L4436" s="12"/>
      <c r="M4436" s="6"/>
      <c r="N4436" s="6"/>
      <c r="O4436" s="7"/>
      <c r="P4436" s="6"/>
      <c r="Q4436" s="6"/>
      <c r="R4436" s="7"/>
      <c r="S4436" s="6"/>
      <c r="T4436" s="6"/>
      <c r="U4436" s="7"/>
      <c r="V4436" s="6"/>
      <c r="W4436" s="6"/>
      <c r="X4436" s="6"/>
      <c r="Y4436" s="6"/>
      <c r="Z4436" s="6"/>
      <c r="AA4436" s="7"/>
      <c r="AB4436" s="6"/>
      <c r="AC4436" s="6"/>
      <c r="AD4436" s="6"/>
      <c r="AE4436" s="12"/>
      <c r="AF4436" s="12"/>
      <c r="AG4436" s="12"/>
      <c r="AH4436" s="12"/>
      <c r="AI4436" s="6"/>
      <c r="AJ4436" s="12"/>
      <c r="AK4436" s="1"/>
      <c r="AL4436" s="12"/>
      <c r="AM4436" s="12"/>
      <c r="AN4436" s="1"/>
      <c r="AO4436" s="12"/>
    </row>
    <row r="4437" spans="1:41" ht="15" x14ac:dyDescent="0.25">
      <c r="A4437" s="1"/>
      <c r="B4437" s="1"/>
      <c r="C4437" s="1"/>
      <c r="D4437" s="1"/>
      <c r="E4437" s="6"/>
      <c r="F4437" s="1"/>
      <c r="G4437" s="6"/>
      <c r="H4437" s="6"/>
      <c r="I4437" s="6"/>
      <c r="J4437" s="6"/>
      <c r="K4437" s="6"/>
      <c r="L4437" s="6"/>
      <c r="M4437" s="6"/>
      <c r="N4437" s="6"/>
      <c r="O4437" s="7"/>
      <c r="P4437" s="6"/>
      <c r="Q4437" s="6"/>
      <c r="R4437" s="7"/>
      <c r="S4437" s="6"/>
      <c r="T4437" s="6"/>
      <c r="U4437" s="7"/>
      <c r="V4437" s="6"/>
      <c r="W4437" s="6"/>
      <c r="X4437" s="6"/>
      <c r="Y4437" s="6"/>
      <c r="Z4437" s="6"/>
      <c r="AA4437" s="7"/>
      <c r="AB4437" s="6"/>
      <c r="AC4437" s="6"/>
      <c r="AD4437" s="6"/>
      <c r="AE4437" s="12"/>
      <c r="AF4437" s="12"/>
      <c r="AG4437" s="12"/>
      <c r="AH4437" s="12"/>
      <c r="AI4437" s="6"/>
      <c r="AJ4437" s="12"/>
      <c r="AK4437" s="1"/>
      <c r="AL4437" s="12"/>
      <c r="AM4437" s="12"/>
      <c r="AN4437" s="1"/>
      <c r="AO4437" s="6"/>
    </row>
    <row r="4438" spans="1:41" ht="15" x14ac:dyDescent="0.25">
      <c r="A4438" s="1"/>
      <c r="B4438" s="1"/>
      <c r="C4438" s="1"/>
      <c r="D4438" s="1"/>
      <c r="E4438" s="6"/>
      <c r="F4438" s="1"/>
      <c r="G4438" s="6"/>
      <c r="H4438" s="6"/>
      <c r="I4438" s="6"/>
      <c r="J4438" s="6"/>
      <c r="K4438" s="6"/>
      <c r="L4438" s="6"/>
      <c r="M4438" s="6"/>
      <c r="N4438" s="6"/>
      <c r="O4438" s="7"/>
      <c r="P4438" s="6"/>
      <c r="Q4438" s="6"/>
      <c r="R4438" s="7"/>
      <c r="S4438" s="6"/>
      <c r="T4438" s="6"/>
      <c r="U4438" s="7"/>
      <c r="V4438" s="6"/>
      <c r="W4438" s="6"/>
      <c r="X4438" s="12"/>
      <c r="Y4438" s="6"/>
      <c r="Z4438" s="6"/>
      <c r="AA4438" s="7"/>
      <c r="AB4438" s="6"/>
      <c r="AC4438" s="6"/>
      <c r="AD4438" s="6"/>
      <c r="AE4438" s="12"/>
      <c r="AF4438" s="12"/>
      <c r="AG4438" s="12"/>
      <c r="AH4438" s="12"/>
      <c r="AI4438" s="6"/>
      <c r="AJ4438" s="12"/>
      <c r="AK4438" s="1"/>
      <c r="AL4438" s="12"/>
      <c r="AM4438" s="12"/>
      <c r="AN4438" s="1"/>
      <c r="AO4438" s="6"/>
    </row>
    <row r="4439" spans="1:41" ht="15" x14ac:dyDescent="0.25">
      <c r="A4439" s="1"/>
      <c r="B4439" s="1"/>
      <c r="C4439" s="1"/>
      <c r="D4439" s="1"/>
      <c r="E4439" s="6"/>
      <c r="F4439" s="1"/>
      <c r="G4439" s="6"/>
      <c r="H4439" s="6"/>
      <c r="I4439" s="6"/>
      <c r="J4439" s="6"/>
      <c r="K4439" s="6"/>
      <c r="L4439" s="6"/>
      <c r="M4439" s="6"/>
      <c r="N4439" s="6"/>
      <c r="O4439" s="7"/>
      <c r="P4439" s="6"/>
      <c r="Q4439" s="6"/>
      <c r="R4439" s="7"/>
      <c r="S4439" s="6"/>
      <c r="T4439" s="6"/>
      <c r="U4439" s="7"/>
      <c r="V4439" s="6"/>
      <c r="W4439" s="6"/>
      <c r="X4439" s="6"/>
      <c r="Y4439" s="6"/>
      <c r="Z4439" s="6"/>
      <c r="AA4439" s="7"/>
      <c r="AB4439" s="6"/>
      <c r="AC4439" s="6"/>
      <c r="AD4439" s="6"/>
      <c r="AE4439" s="12"/>
      <c r="AF4439" s="6"/>
      <c r="AG4439" s="12"/>
      <c r="AH4439" s="6"/>
      <c r="AI4439" s="6"/>
      <c r="AJ4439" s="12"/>
      <c r="AK4439" s="24"/>
      <c r="AL4439" s="25"/>
      <c r="AM4439" s="12"/>
      <c r="AN4439" s="1"/>
      <c r="AO4439" s="6"/>
    </row>
    <row r="4440" spans="1:41" ht="15" x14ac:dyDescent="0.25">
      <c r="A4440" s="1"/>
      <c r="B4440" s="1"/>
      <c r="C4440" s="1"/>
      <c r="D4440" s="1"/>
      <c r="E4440" s="6"/>
      <c r="F4440" s="1"/>
      <c r="G4440" s="6"/>
      <c r="H4440" s="6"/>
      <c r="I4440" s="6"/>
      <c r="J4440" s="6"/>
      <c r="K4440" s="6"/>
      <c r="L4440" s="6"/>
      <c r="M4440" s="6"/>
      <c r="N4440" s="6"/>
      <c r="O4440" s="7"/>
      <c r="P4440" s="6"/>
      <c r="Q4440" s="6"/>
      <c r="R4440" s="7"/>
      <c r="S4440" s="6"/>
      <c r="T4440" s="6"/>
      <c r="U4440" s="7"/>
      <c r="V4440" s="6"/>
      <c r="W4440" s="6"/>
      <c r="X4440" s="6"/>
      <c r="Y4440" s="6"/>
      <c r="Z4440" s="6"/>
      <c r="AA4440" s="7"/>
      <c r="AB4440" s="6"/>
      <c r="AC4440" s="6"/>
      <c r="AD4440" s="6"/>
      <c r="AE4440" s="12"/>
      <c r="AF4440" s="6"/>
      <c r="AG4440" s="12"/>
      <c r="AH4440" s="6"/>
      <c r="AI4440" s="6"/>
      <c r="AJ4440" s="12"/>
      <c r="AK4440" s="24"/>
      <c r="AL4440" s="25"/>
      <c r="AM4440" s="12"/>
      <c r="AN4440" s="1"/>
      <c r="AO4440" s="6"/>
    </row>
    <row r="4441" spans="1:41" ht="15" x14ac:dyDescent="0.25">
      <c r="A4441" s="1"/>
      <c r="B4441" s="1"/>
      <c r="C4441" s="1"/>
      <c r="D4441" s="1"/>
      <c r="E4441" s="6"/>
      <c r="F4441" s="1"/>
      <c r="G4441" s="6"/>
      <c r="H4441" s="6"/>
      <c r="I4441" s="6"/>
      <c r="J4441" s="6"/>
      <c r="K4441" s="6"/>
      <c r="L4441" s="6"/>
      <c r="M4441" s="6"/>
      <c r="N4441" s="6"/>
      <c r="O4441" s="7"/>
      <c r="P4441" s="6"/>
      <c r="Q4441" s="6"/>
      <c r="R4441" s="7"/>
      <c r="S4441" s="6"/>
      <c r="T4441" s="6"/>
      <c r="U4441" s="7"/>
      <c r="V4441" s="6"/>
      <c r="W4441" s="6"/>
      <c r="X4441" s="12"/>
      <c r="Y4441" s="6"/>
      <c r="Z4441" s="6"/>
      <c r="AA4441" s="7"/>
      <c r="AB4441" s="6"/>
      <c r="AC4441" s="6"/>
      <c r="AD4441" s="6"/>
      <c r="AE4441" s="12"/>
      <c r="AF4441" s="12"/>
      <c r="AG4441" s="12"/>
      <c r="AH4441" s="12"/>
      <c r="AI4441" s="6"/>
      <c r="AJ4441" s="12"/>
      <c r="AK4441" s="1"/>
      <c r="AL4441" s="12"/>
      <c r="AM4441" s="12"/>
      <c r="AN4441" s="1"/>
      <c r="AO4441" s="6"/>
    </row>
    <row r="4442" spans="1:41" ht="15" x14ac:dyDescent="0.25">
      <c r="A4442" s="1"/>
      <c r="B4442" s="1"/>
      <c r="C4442" s="1"/>
      <c r="D4442" s="1"/>
      <c r="E4442" s="6"/>
      <c r="F4442" s="1"/>
      <c r="G4442" s="6"/>
      <c r="H4442" s="6"/>
      <c r="I4442" s="6"/>
      <c r="J4442" s="6"/>
      <c r="K4442" s="6"/>
      <c r="L4442" s="6"/>
      <c r="M4442" s="6"/>
      <c r="N4442" s="6"/>
      <c r="O4442" s="7"/>
      <c r="P4442" s="6"/>
      <c r="Q4442" s="6"/>
      <c r="R4442" s="7"/>
      <c r="S4442" s="6"/>
      <c r="T4442" s="6"/>
      <c r="U4442" s="7"/>
      <c r="V4442" s="6"/>
      <c r="W4442" s="6"/>
      <c r="X4442" s="12"/>
      <c r="Y4442" s="6"/>
      <c r="Z4442" s="6"/>
      <c r="AA4442" s="7"/>
      <c r="AB4442" s="6"/>
      <c r="AC4442" s="6"/>
      <c r="AD4442" s="6"/>
      <c r="AE4442" s="12"/>
      <c r="AF4442" s="12"/>
      <c r="AG4442" s="12"/>
      <c r="AH4442" s="12"/>
      <c r="AI4442" s="6"/>
      <c r="AJ4442" s="12"/>
      <c r="AK4442" s="1"/>
      <c r="AL4442" s="12"/>
      <c r="AM4442" s="12"/>
      <c r="AN4442" s="1"/>
      <c r="AO4442" s="6"/>
    </row>
    <row r="4443" spans="1:41" ht="15" x14ac:dyDescent="0.25">
      <c r="A4443" s="1"/>
      <c r="B4443" s="1"/>
      <c r="C4443" s="1"/>
      <c r="D4443" s="1"/>
      <c r="E4443" s="6"/>
      <c r="F4443" s="1"/>
      <c r="G4443" s="6"/>
      <c r="H4443" s="6"/>
      <c r="I4443" s="6"/>
      <c r="J4443" s="6"/>
      <c r="K4443" s="6"/>
      <c r="L4443" s="6"/>
      <c r="M4443" s="6"/>
      <c r="N4443" s="6"/>
      <c r="O4443" s="7"/>
      <c r="P4443" s="6"/>
      <c r="Q4443" s="6"/>
      <c r="R4443" s="7"/>
      <c r="S4443" s="6"/>
      <c r="T4443" s="6"/>
      <c r="U4443" s="7"/>
      <c r="V4443" s="6"/>
      <c r="W4443" s="6"/>
      <c r="X4443" s="12"/>
      <c r="Y4443" s="6"/>
      <c r="Z4443" s="6"/>
      <c r="AA4443" s="7"/>
      <c r="AB4443" s="6"/>
      <c r="AC4443" s="6"/>
      <c r="AD4443" s="6"/>
      <c r="AE4443" s="12"/>
      <c r="AF4443" s="6"/>
      <c r="AG4443" s="12"/>
      <c r="AH4443" s="6"/>
      <c r="AI4443" s="6"/>
      <c r="AJ4443" s="12"/>
      <c r="AK4443" s="24"/>
      <c r="AL4443" s="25"/>
      <c r="AM4443" s="12"/>
      <c r="AN4443" s="1"/>
      <c r="AO4443" s="6"/>
    </row>
    <row r="4444" spans="1:41" ht="15" x14ac:dyDescent="0.25">
      <c r="A4444" s="1"/>
      <c r="B4444" s="1"/>
      <c r="C4444" s="1"/>
      <c r="D4444" s="1"/>
      <c r="E4444" s="6"/>
      <c r="F4444" s="1"/>
      <c r="G4444" s="6"/>
      <c r="H4444" s="6"/>
      <c r="I4444" s="6"/>
      <c r="J4444" s="6"/>
      <c r="K4444" s="6"/>
      <c r="L4444" s="6"/>
      <c r="M4444" s="6"/>
      <c r="N4444" s="6"/>
      <c r="O4444" s="7"/>
      <c r="P4444" s="6"/>
      <c r="Q4444" s="6"/>
      <c r="R4444" s="7"/>
      <c r="S4444" s="6"/>
      <c r="T4444" s="6"/>
      <c r="U4444" s="7"/>
      <c r="V4444" s="6"/>
      <c r="W4444" s="6"/>
      <c r="X4444" s="12"/>
      <c r="Y4444" s="6"/>
      <c r="Z4444" s="6"/>
      <c r="AA4444" s="7"/>
      <c r="AB4444" s="6"/>
      <c r="AC4444" s="6"/>
      <c r="AD4444" s="6"/>
      <c r="AE4444" s="12"/>
      <c r="AF4444" s="6"/>
      <c r="AG4444" s="12"/>
      <c r="AH4444" s="6"/>
      <c r="AI4444" s="6"/>
      <c r="AJ4444" s="12"/>
      <c r="AK4444" s="24"/>
      <c r="AL4444" s="25"/>
      <c r="AM4444" s="12"/>
      <c r="AN4444" s="1"/>
      <c r="AO4444" s="6"/>
    </row>
    <row r="4445" spans="1:41" ht="15" x14ac:dyDescent="0.25">
      <c r="A4445" s="1"/>
      <c r="B4445" s="1"/>
      <c r="C4445" s="1"/>
      <c r="D4445" s="1"/>
      <c r="E4445" s="6"/>
      <c r="F4445" s="1"/>
      <c r="G4445" s="6"/>
      <c r="H4445" s="6"/>
      <c r="I4445" s="6"/>
      <c r="J4445" s="6"/>
      <c r="K4445" s="6"/>
      <c r="L4445" s="6"/>
      <c r="M4445" s="6"/>
      <c r="N4445" s="6"/>
      <c r="O4445" s="7"/>
      <c r="P4445" s="6"/>
      <c r="Q4445" s="6"/>
      <c r="R4445" s="7"/>
      <c r="S4445" s="6"/>
      <c r="T4445" s="6"/>
      <c r="U4445" s="7"/>
      <c r="V4445" s="6"/>
      <c r="W4445" s="6"/>
      <c r="X4445" s="6"/>
      <c r="Y4445" s="6"/>
      <c r="Z4445" s="6"/>
      <c r="AA4445" s="7"/>
      <c r="AB4445" s="6"/>
      <c r="AC4445" s="6"/>
      <c r="AD4445" s="6"/>
      <c r="AE4445" s="12"/>
      <c r="AF4445" s="6"/>
      <c r="AG4445" s="12"/>
      <c r="AH4445" s="6"/>
      <c r="AI4445" s="6"/>
      <c r="AJ4445" s="12"/>
      <c r="AK4445" s="24"/>
      <c r="AL4445" s="25"/>
      <c r="AM4445" s="12"/>
      <c r="AN4445" s="1"/>
      <c r="AO4445" s="6"/>
    </row>
    <row r="4446" spans="1:41" ht="15" x14ac:dyDescent="0.25">
      <c r="A4446" s="1"/>
      <c r="B4446" s="1"/>
      <c r="C4446" s="1"/>
      <c r="D4446" s="1"/>
      <c r="E4446" s="6"/>
      <c r="F4446" s="1"/>
      <c r="G4446" s="6"/>
      <c r="H4446" s="6"/>
      <c r="I4446" s="6"/>
      <c r="J4446" s="6"/>
      <c r="K4446" s="6"/>
      <c r="L4446" s="6"/>
      <c r="M4446" s="6"/>
      <c r="N4446" s="6"/>
      <c r="O4446" s="7"/>
      <c r="P4446" s="6"/>
      <c r="Q4446" s="6"/>
      <c r="R4446" s="7"/>
      <c r="S4446" s="6"/>
      <c r="T4446" s="6"/>
      <c r="U4446" s="7"/>
      <c r="V4446" s="6"/>
      <c r="W4446" s="6"/>
      <c r="X4446" s="6"/>
      <c r="Y4446" s="6"/>
      <c r="Z4446" s="6"/>
      <c r="AA4446" s="7"/>
      <c r="AB4446" s="6"/>
      <c r="AC4446" s="6"/>
      <c r="AD4446" s="6"/>
      <c r="AE4446" s="12"/>
      <c r="AF4446" s="6"/>
      <c r="AG4446" s="12"/>
      <c r="AH4446" s="6"/>
      <c r="AI4446" s="6"/>
      <c r="AJ4446" s="12"/>
      <c r="AK4446" s="24"/>
      <c r="AL4446" s="25"/>
      <c r="AM4446" s="12"/>
      <c r="AN4446" s="1"/>
      <c r="AO4446" s="6"/>
    </row>
    <row r="4447" spans="1:41" ht="15" x14ac:dyDescent="0.25">
      <c r="A4447" s="1"/>
      <c r="B4447" s="1"/>
      <c r="C4447" s="1"/>
      <c r="D4447" s="1"/>
      <c r="E4447" s="6"/>
      <c r="F4447" s="1"/>
      <c r="G4447" s="6"/>
      <c r="H4447" s="6"/>
      <c r="I4447" s="6"/>
      <c r="J4447" s="6"/>
      <c r="K4447" s="6"/>
      <c r="L4447" s="6"/>
      <c r="M4447" s="6"/>
      <c r="N4447" s="6"/>
      <c r="O4447" s="7"/>
      <c r="P4447" s="6"/>
      <c r="Q4447" s="6"/>
      <c r="R4447" s="7"/>
      <c r="S4447" s="6"/>
      <c r="T4447" s="6"/>
      <c r="U4447" s="7"/>
      <c r="V4447" s="6"/>
      <c r="W4447" s="6"/>
      <c r="X4447" s="12"/>
      <c r="Y4447" s="6"/>
      <c r="Z4447" s="6"/>
      <c r="AA4447" s="7"/>
      <c r="AB4447" s="6"/>
      <c r="AC4447" s="6"/>
      <c r="AD4447" s="6"/>
      <c r="AE4447" s="12"/>
      <c r="AF4447" s="12"/>
      <c r="AG4447" s="12"/>
      <c r="AH4447" s="12"/>
      <c r="AI4447" s="6"/>
      <c r="AJ4447" s="12"/>
      <c r="AK4447" s="1"/>
      <c r="AL4447" s="12"/>
      <c r="AM4447" s="12"/>
      <c r="AN4447" s="1"/>
      <c r="AO4447" s="6"/>
    </row>
    <row r="4448" spans="1:41" ht="15" x14ac:dyDescent="0.25">
      <c r="A4448" s="1"/>
      <c r="B4448" s="1"/>
      <c r="C4448" s="1"/>
      <c r="D4448" s="1"/>
      <c r="E4448" s="6"/>
      <c r="F4448" s="1"/>
      <c r="G4448" s="6"/>
      <c r="H4448" s="6"/>
      <c r="I4448" s="6"/>
      <c r="J4448" s="6"/>
      <c r="K4448" s="6"/>
      <c r="L4448" s="6"/>
      <c r="M4448" s="6"/>
      <c r="N4448" s="6"/>
      <c r="O4448" s="7"/>
      <c r="P4448" s="6"/>
      <c r="Q4448" s="6"/>
      <c r="R4448" s="7"/>
      <c r="S4448" s="6"/>
      <c r="T4448" s="6"/>
      <c r="U4448" s="7"/>
      <c r="V4448" s="6"/>
      <c r="W4448" s="6"/>
      <c r="X4448" s="6"/>
      <c r="Y4448" s="6"/>
      <c r="Z4448" s="6"/>
      <c r="AA4448" s="7"/>
      <c r="AB4448" s="6"/>
      <c r="AC4448" s="6"/>
      <c r="AD4448" s="6"/>
      <c r="AE4448" s="12"/>
      <c r="AF4448" s="12"/>
      <c r="AG4448" s="12"/>
      <c r="AH4448" s="12"/>
      <c r="AI4448" s="6"/>
      <c r="AJ4448" s="12"/>
      <c r="AK4448" s="1"/>
      <c r="AL4448" s="12"/>
      <c r="AM4448" s="12"/>
      <c r="AN4448" s="1"/>
      <c r="AO4448" s="6"/>
    </row>
    <row r="4449" spans="1:41" ht="15" x14ac:dyDescent="0.25">
      <c r="A4449" s="1"/>
      <c r="B4449" s="1"/>
      <c r="C4449" s="1"/>
      <c r="D4449" s="1"/>
      <c r="E4449" s="6"/>
      <c r="F4449" s="1"/>
      <c r="G4449" s="6"/>
      <c r="H4449" s="6"/>
      <c r="I4449" s="6"/>
      <c r="J4449" s="6"/>
      <c r="K4449" s="6"/>
      <c r="L4449" s="6"/>
      <c r="M4449" s="6"/>
      <c r="N4449" s="6"/>
      <c r="O4449" s="7"/>
      <c r="P4449" s="6"/>
      <c r="Q4449" s="6"/>
      <c r="R4449" s="7"/>
      <c r="S4449" s="6"/>
      <c r="T4449" s="6"/>
      <c r="U4449" s="7"/>
      <c r="V4449" s="6"/>
      <c r="W4449" s="6"/>
      <c r="X4449" s="6"/>
      <c r="Y4449" s="6"/>
      <c r="Z4449" s="6"/>
      <c r="AA4449" s="7"/>
      <c r="AB4449" s="6"/>
      <c r="AC4449" s="6"/>
      <c r="AD4449" s="6"/>
      <c r="AE4449" s="12"/>
      <c r="AF4449" s="6"/>
      <c r="AG4449" s="12"/>
      <c r="AH4449" s="6"/>
      <c r="AI4449" s="6"/>
      <c r="AJ4449" s="12"/>
      <c r="AK4449" s="24"/>
      <c r="AL4449" s="25"/>
      <c r="AM4449" s="12"/>
      <c r="AN4449" s="1"/>
      <c r="AO4449" s="6"/>
    </row>
    <row r="4450" spans="1:41" ht="15" x14ac:dyDescent="0.25">
      <c r="A4450" s="1"/>
      <c r="B4450" s="1"/>
      <c r="C4450" s="1"/>
      <c r="D4450" s="1"/>
      <c r="E4450" s="6"/>
      <c r="F4450" s="1"/>
      <c r="G4450" s="6"/>
      <c r="H4450" s="6"/>
      <c r="I4450" s="6"/>
      <c r="J4450" s="6"/>
      <c r="K4450" s="6"/>
      <c r="L4450" s="6"/>
      <c r="M4450" s="6"/>
      <c r="N4450" s="6"/>
      <c r="O4450" s="7"/>
      <c r="P4450" s="6"/>
      <c r="Q4450" s="6"/>
      <c r="R4450" s="7"/>
      <c r="S4450" s="6"/>
      <c r="T4450" s="6"/>
      <c r="U4450" s="7"/>
      <c r="V4450" s="6"/>
      <c r="W4450" s="6"/>
      <c r="X4450" s="6"/>
      <c r="Y4450" s="6"/>
      <c r="Z4450" s="6"/>
      <c r="AA4450" s="7"/>
      <c r="AB4450" s="6"/>
      <c r="AC4450" s="6"/>
      <c r="AD4450" s="6"/>
      <c r="AE4450" s="12"/>
      <c r="AF4450" s="6"/>
      <c r="AG4450" s="12"/>
      <c r="AH4450" s="6"/>
      <c r="AI4450" s="6"/>
      <c r="AJ4450" s="12"/>
      <c r="AK4450" s="24"/>
      <c r="AL4450" s="25"/>
      <c r="AM4450" s="12"/>
      <c r="AN4450" s="1"/>
      <c r="AO4450" s="6"/>
    </row>
    <row r="4451" spans="1:41" ht="15" x14ac:dyDescent="0.25">
      <c r="A4451" s="1"/>
      <c r="B4451" s="1"/>
      <c r="C4451" s="1"/>
      <c r="D4451" s="1"/>
      <c r="E4451" s="6"/>
      <c r="F4451" s="1"/>
      <c r="G4451" s="6"/>
      <c r="H4451" s="6"/>
      <c r="I4451" s="6"/>
      <c r="J4451" s="6"/>
      <c r="K4451" s="6"/>
      <c r="L4451" s="6"/>
      <c r="M4451" s="6"/>
      <c r="N4451" s="6"/>
      <c r="O4451" s="7"/>
      <c r="P4451" s="6"/>
      <c r="Q4451" s="6"/>
      <c r="R4451" s="7"/>
      <c r="S4451" s="6"/>
      <c r="T4451" s="6"/>
      <c r="U4451" s="7"/>
      <c r="V4451" s="6"/>
      <c r="W4451" s="6"/>
      <c r="X4451" s="6"/>
      <c r="Y4451" s="6"/>
      <c r="Z4451" s="6"/>
      <c r="AA4451" s="7"/>
      <c r="AB4451" s="6"/>
      <c r="AC4451" s="6"/>
      <c r="AD4451" s="6"/>
      <c r="AE4451" s="12"/>
      <c r="AF4451" s="12"/>
      <c r="AG4451" s="12"/>
      <c r="AH4451" s="12"/>
      <c r="AI4451" s="6"/>
      <c r="AJ4451" s="12"/>
      <c r="AK4451" s="1"/>
      <c r="AL4451" s="12"/>
      <c r="AM4451" s="12"/>
      <c r="AN4451" s="1"/>
      <c r="AO4451" s="6"/>
    </row>
    <row r="4452" spans="1:41" ht="15" x14ac:dyDescent="0.25">
      <c r="A4452" s="1"/>
      <c r="B4452" s="1"/>
      <c r="C4452" s="1"/>
      <c r="D4452" s="1"/>
      <c r="E4452" s="6"/>
      <c r="F4452" s="1"/>
      <c r="G4452" s="6"/>
      <c r="H4452" s="6"/>
      <c r="I4452" s="6"/>
      <c r="J4452" s="6"/>
      <c r="K4452" s="6"/>
      <c r="L4452" s="6"/>
      <c r="M4452" s="6"/>
      <c r="N4452" s="6"/>
      <c r="O4452" s="7"/>
      <c r="P4452" s="12"/>
      <c r="Q4452" s="6"/>
      <c r="R4452" s="12"/>
      <c r="S4452" s="12"/>
      <c r="T4452" s="12"/>
      <c r="U4452" s="7"/>
      <c r="V4452" s="6"/>
      <c r="W4452" s="6"/>
      <c r="X4452" s="12"/>
      <c r="Y4452" s="6"/>
      <c r="Z4452" s="6"/>
      <c r="AA4452" s="7"/>
      <c r="AB4452" s="6"/>
      <c r="AC4452" s="6"/>
      <c r="AD4452" s="6"/>
      <c r="AE4452" s="12"/>
      <c r="AF4452" s="6"/>
      <c r="AG4452" s="12"/>
      <c r="AH4452" s="6"/>
      <c r="AI4452" s="6"/>
      <c r="AJ4452" s="12"/>
      <c r="AK4452" s="24"/>
      <c r="AL4452" s="25"/>
      <c r="AM4452" s="12"/>
      <c r="AN4452" s="1"/>
      <c r="AO4452" s="6"/>
    </row>
    <row r="4453" spans="1:41" ht="15" x14ac:dyDescent="0.25">
      <c r="A4453" s="1"/>
      <c r="B4453" s="1"/>
      <c r="C4453" s="1"/>
      <c r="D4453" s="1"/>
      <c r="E4453" s="6"/>
      <c r="F4453" s="1"/>
      <c r="G4453" s="6"/>
      <c r="H4453" s="6"/>
      <c r="I4453" s="6"/>
      <c r="J4453" s="6"/>
      <c r="K4453" s="6"/>
      <c r="L4453" s="6"/>
      <c r="M4453" s="6"/>
      <c r="N4453" s="6"/>
      <c r="O4453" s="7"/>
      <c r="P4453" s="12"/>
      <c r="Q4453" s="6"/>
      <c r="R4453" s="12"/>
      <c r="S4453" s="12"/>
      <c r="T4453" s="12"/>
      <c r="U4453" s="7"/>
      <c r="V4453" s="6"/>
      <c r="W4453" s="6"/>
      <c r="X4453" s="12"/>
      <c r="Y4453" s="6"/>
      <c r="Z4453" s="6"/>
      <c r="AA4453" s="7"/>
      <c r="AB4453" s="6"/>
      <c r="AC4453" s="6"/>
      <c r="AD4453" s="6"/>
      <c r="AE4453" s="12"/>
      <c r="AF4453" s="6"/>
      <c r="AG4453" s="12"/>
      <c r="AH4453" s="6"/>
      <c r="AI4453" s="6"/>
      <c r="AJ4453" s="12"/>
      <c r="AK4453" s="24"/>
      <c r="AL4453" s="25"/>
      <c r="AM4453" s="12"/>
      <c r="AN4453" s="1"/>
      <c r="AO4453" s="6"/>
    </row>
    <row r="4454" spans="1:41" ht="15" x14ac:dyDescent="0.25">
      <c r="A4454" s="1"/>
      <c r="B4454" s="1"/>
      <c r="C4454" s="1"/>
      <c r="D4454" s="1"/>
      <c r="E4454" s="6"/>
      <c r="F4454" s="1"/>
      <c r="G4454" s="6"/>
      <c r="H4454" s="6"/>
      <c r="I4454" s="6"/>
      <c r="J4454" s="6"/>
      <c r="K4454" s="6"/>
      <c r="L4454" s="6"/>
      <c r="M4454" s="6"/>
      <c r="N4454" s="6"/>
      <c r="O4454" s="7"/>
      <c r="P4454" s="6"/>
      <c r="Q4454" s="7"/>
      <c r="R4454" s="6"/>
      <c r="S4454" s="12"/>
      <c r="T4454" s="6"/>
      <c r="U4454" s="6"/>
      <c r="V4454" s="7"/>
      <c r="W4454" s="7"/>
      <c r="X4454" s="6"/>
      <c r="Y4454" s="6"/>
      <c r="Z4454" s="6"/>
      <c r="AA4454" s="1"/>
      <c r="AB4454" s="12"/>
      <c r="AC4454" s="12"/>
      <c r="AD4454" s="12"/>
      <c r="AE4454" s="12"/>
      <c r="AF4454" s="12"/>
      <c r="AG4454" s="12"/>
      <c r="AH4454" s="12"/>
      <c r="AI4454" s="6"/>
      <c r="AJ4454" s="12"/>
      <c r="AK4454" s="12"/>
      <c r="AL4454" s="12"/>
      <c r="AM4454" s="12"/>
      <c r="AN4454" s="1"/>
      <c r="AO4454" s="6"/>
    </row>
    <row r="4455" spans="1:41" ht="15" x14ac:dyDescent="0.25">
      <c r="A4455" s="1"/>
      <c r="B4455" s="1"/>
      <c r="C4455" s="1"/>
      <c r="D4455" s="1"/>
      <c r="E4455" s="6"/>
      <c r="F4455" s="1"/>
      <c r="G4455" s="6"/>
      <c r="H4455" s="6"/>
      <c r="I4455" s="6"/>
      <c r="J4455" s="6"/>
      <c r="K4455" s="12"/>
      <c r="L4455" s="12"/>
      <c r="M4455" s="6"/>
      <c r="N4455" s="6"/>
      <c r="O4455" s="7"/>
      <c r="P4455" s="6"/>
      <c r="Q4455" s="6"/>
      <c r="R4455" s="7"/>
      <c r="S4455" s="6"/>
      <c r="T4455" s="6"/>
      <c r="U4455" s="7"/>
      <c r="V4455" s="6"/>
      <c r="W4455" s="6"/>
      <c r="X4455" s="12"/>
      <c r="Y4455" s="6"/>
      <c r="Z4455" s="6"/>
      <c r="AA4455" s="7"/>
      <c r="AB4455" s="6"/>
      <c r="AC4455" s="6"/>
      <c r="AD4455" s="6"/>
      <c r="AE4455" s="12"/>
      <c r="AF4455" s="12"/>
      <c r="AG4455" s="12"/>
      <c r="AH4455" s="12"/>
      <c r="AI4455" s="6"/>
      <c r="AJ4455" s="12"/>
      <c r="AK4455" s="24"/>
      <c r="AL4455" s="25"/>
      <c r="AM4455" s="12"/>
      <c r="AN4455" s="1"/>
      <c r="AO4455" s="6"/>
    </row>
    <row r="4456" spans="1:41" ht="15" x14ac:dyDescent="0.25">
      <c r="A4456" s="1"/>
      <c r="B4456" s="1"/>
      <c r="C4456" s="1"/>
      <c r="D4456" s="1"/>
      <c r="E4456" s="6"/>
      <c r="F4456" s="1"/>
      <c r="G4456" s="6"/>
      <c r="H4456" s="6"/>
      <c r="I4456" s="6"/>
      <c r="J4456" s="6"/>
      <c r="K4456" s="12"/>
      <c r="L4456" s="12"/>
      <c r="M4456" s="6"/>
      <c r="N4456" s="6"/>
      <c r="O4456" s="7"/>
      <c r="P4456" s="6"/>
      <c r="Q4456" s="6"/>
      <c r="R4456" s="7"/>
      <c r="S4456" s="6"/>
      <c r="T4456" s="6"/>
      <c r="U4456" s="7"/>
      <c r="V4456" s="6"/>
      <c r="W4456" s="6"/>
      <c r="X4456" s="12"/>
      <c r="Y4456" s="6"/>
      <c r="Z4456" s="6"/>
      <c r="AA4456" s="7"/>
      <c r="AB4456" s="6"/>
      <c r="AC4456" s="6"/>
      <c r="AD4456" s="6"/>
      <c r="AE4456" s="12"/>
      <c r="AF4456" s="12"/>
      <c r="AG4456" s="12"/>
      <c r="AH4456" s="12"/>
      <c r="AI4456" s="6"/>
      <c r="AJ4456" s="12"/>
      <c r="AK4456" s="24"/>
      <c r="AL4456" s="25"/>
      <c r="AM4456" s="12"/>
      <c r="AN4456" s="1"/>
      <c r="AO4456" s="6"/>
    </row>
    <row r="4457" spans="1:41" ht="15" x14ac:dyDescent="0.25">
      <c r="A4457" s="1"/>
      <c r="B4457" s="1"/>
      <c r="C4457" s="1"/>
      <c r="D4457" s="1"/>
      <c r="E4457" s="6"/>
      <c r="F4457" s="1"/>
      <c r="G4457" s="6"/>
      <c r="H4457" s="6"/>
      <c r="I4457" s="6"/>
      <c r="J4457" s="6"/>
      <c r="K4457" s="6"/>
      <c r="L4457" s="6"/>
      <c r="M4457" s="6"/>
      <c r="N4457" s="6"/>
      <c r="O4457" s="7"/>
      <c r="P4457" s="6"/>
      <c r="Q4457" s="6"/>
      <c r="R4457" s="7"/>
      <c r="S4457" s="6"/>
      <c r="T4457" s="6"/>
      <c r="U4457" s="7"/>
      <c r="V4457" s="6"/>
      <c r="W4457" s="6"/>
      <c r="X4457" s="6"/>
      <c r="Y4457" s="6"/>
      <c r="Z4457" s="6"/>
      <c r="AA4457" s="7"/>
      <c r="AB4457" s="6"/>
      <c r="AC4457" s="6"/>
      <c r="AD4457" s="6"/>
      <c r="AE4457" s="12"/>
      <c r="AF4457" s="6"/>
      <c r="AG4457" s="12"/>
      <c r="AH4457" s="6"/>
      <c r="AI4457" s="6"/>
      <c r="AJ4457" s="12"/>
      <c r="AK4457" s="1"/>
      <c r="AL4457" s="12"/>
      <c r="AM4457" s="12"/>
      <c r="AN4457" s="1"/>
      <c r="AO4457" s="6"/>
    </row>
    <row r="4458" spans="1:41" ht="15" x14ac:dyDescent="0.25">
      <c r="A4458" s="1"/>
      <c r="B4458" s="1"/>
      <c r="C4458" s="1"/>
      <c r="D4458" s="1"/>
      <c r="E4458" s="6"/>
      <c r="F4458" s="1"/>
      <c r="G4458" s="6"/>
      <c r="H4458" s="6"/>
      <c r="I4458" s="6"/>
      <c r="J4458" s="6"/>
      <c r="K4458" s="6"/>
      <c r="L4458" s="6"/>
      <c r="M4458" s="6"/>
      <c r="N4458" s="6"/>
      <c r="O4458" s="7"/>
      <c r="P4458" s="6"/>
      <c r="Q4458" s="6"/>
      <c r="R4458" s="7"/>
      <c r="S4458" s="6"/>
      <c r="T4458" s="6"/>
      <c r="U4458" s="7"/>
      <c r="V4458" s="6"/>
      <c r="W4458" s="6"/>
      <c r="X4458" s="6"/>
      <c r="Y4458" s="6"/>
      <c r="Z4458" s="6"/>
      <c r="AA4458" s="7"/>
      <c r="AB4458" s="6"/>
      <c r="AC4458" s="6"/>
      <c r="AD4458" s="6"/>
      <c r="AE4458" s="12"/>
      <c r="AF4458" s="6"/>
      <c r="AG4458" s="12"/>
      <c r="AH4458" s="6"/>
      <c r="AI4458" s="6"/>
      <c r="AJ4458" s="12"/>
      <c r="AK4458" s="1"/>
      <c r="AL4458" s="12"/>
      <c r="AM4458" s="12"/>
      <c r="AN4458" s="1"/>
      <c r="AO4458" s="6"/>
    </row>
    <row r="4459" spans="1:41" ht="15" x14ac:dyDescent="0.25">
      <c r="A4459" s="1"/>
      <c r="B4459" s="1"/>
      <c r="C4459" s="1"/>
      <c r="D4459" s="1"/>
      <c r="E4459" s="6"/>
      <c r="F4459" s="1"/>
      <c r="G4459" s="6"/>
      <c r="H4459" s="6"/>
      <c r="I4459" s="6"/>
      <c r="J4459" s="6"/>
      <c r="K4459" s="12"/>
      <c r="L4459" s="12"/>
      <c r="M4459" s="6"/>
      <c r="N4459" s="6"/>
      <c r="O4459" s="7"/>
      <c r="P4459" s="6"/>
      <c r="Q4459" s="6"/>
      <c r="R4459" s="12"/>
      <c r="S4459" s="12"/>
      <c r="T4459" s="12"/>
      <c r="U4459" s="7"/>
      <c r="V4459" s="6"/>
      <c r="W4459" s="6"/>
      <c r="X4459" s="12"/>
      <c r="Y4459" s="6"/>
      <c r="Z4459" s="6"/>
      <c r="AA4459" s="7"/>
      <c r="AB4459" s="6"/>
      <c r="AC4459" s="6"/>
      <c r="AD4459" s="6"/>
      <c r="AE4459" s="12"/>
      <c r="AF4459" s="12"/>
      <c r="AG4459" s="12"/>
      <c r="AH4459" s="12"/>
      <c r="AI4459" s="6"/>
      <c r="AJ4459" s="12"/>
      <c r="AK4459" s="1"/>
      <c r="AL4459" s="12"/>
      <c r="AM4459" s="12"/>
      <c r="AN4459" s="1"/>
      <c r="AO4459" s="6"/>
    </row>
    <row r="4460" spans="1:41" ht="15" x14ac:dyDescent="0.25">
      <c r="A4460" s="1"/>
      <c r="B4460" s="1"/>
      <c r="C4460" s="1"/>
      <c r="D4460" s="1"/>
      <c r="E4460" s="6"/>
      <c r="F4460" s="1"/>
      <c r="G4460" s="6"/>
      <c r="H4460" s="6"/>
      <c r="I4460" s="6"/>
      <c r="J4460" s="6"/>
      <c r="K4460" s="12"/>
      <c r="L4460" s="12"/>
      <c r="M4460" s="6"/>
      <c r="N4460" s="6"/>
      <c r="O4460" s="7"/>
      <c r="P4460" s="6"/>
      <c r="Q4460" s="6"/>
      <c r="R4460" s="12"/>
      <c r="S4460" s="12"/>
      <c r="T4460" s="12"/>
      <c r="U4460" s="7"/>
      <c r="V4460" s="6"/>
      <c r="W4460" s="6"/>
      <c r="X4460" s="12"/>
      <c r="Y4460" s="6"/>
      <c r="Z4460" s="6"/>
      <c r="AA4460" s="7"/>
      <c r="AB4460" s="6"/>
      <c r="AC4460" s="6"/>
      <c r="AD4460" s="6"/>
      <c r="AE4460" s="12"/>
      <c r="AF4460" s="12"/>
      <c r="AG4460" s="12"/>
      <c r="AH4460" s="12"/>
      <c r="AI4460" s="6"/>
      <c r="AJ4460" s="12"/>
      <c r="AK4460" s="1"/>
      <c r="AL4460" s="12"/>
      <c r="AM4460" s="12"/>
      <c r="AN4460" s="1"/>
      <c r="AO4460" s="6"/>
    </row>
    <row r="4461" spans="1:41" ht="15" x14ac:dyDescent="0.25">
      <c r="A4461" s="1"/>
      <c r="B4461" s="1"/>
      <c r="C4461" s="1"/>
      <c r="D4461" s="1"/>
      <c r="E4461" s="6"/>
      <c r="F4461" s="1"/>
      <c r="G4461" s="6"/>
      <c r="H4461" s="6"/>
      <c r="I4461" s="6"/>
      <c r="J4461" s="6"/>
      <c r="K4461" s="6"/>
      <c r="L4461" s="6"/>
      <c r="M4461" s="6"/>
      <c r="N4461" s="6"/>
      <c r="O4461" s="7"/>
      <c r="P4461" s="6"/>
      <c r="Q4461" s="6"/>
      <c r="R4461" s="12"/>
      <c r="S4461" s="12"/>
      <c r="T4461" s="12"/>
      <c r="U4461" s="6"/>
      <c r="V4461" s="12"/>
      <c r="W4461" s="12"/>
      <c r="X4461" s="12"/>
      <c r="Y4461" s="12"/>
      <c r="Z4461" s="6"/>
      <c r="AA4461" s="7"/>
      <c r="AB4461" s="6"/>
      <c r="AC4461" s="6"/>
      <c r="AD4461" s="6"/>
      <c r="AE4461" s="12"/>
      <c r="AF4461" s="12"/>
      <c r="AG4461" s="12"/>
      <c r="AH4461" s="12"/>
      <c r="AI4461" s="6"/>
      <c r="AJ4461" s="12"/>
      <c r="AK4461" s="24"/>
      <c r="AL4461" s="25"/>
      <c r="AM4461" s="12"/>
      <c r="AN4461" s="1"/>
      <c r="AO4461" s="6"/>
    </row>
    <row r="4462" spans="1:41" ht="15" x14ac:dyDescent="0.25">
      <c r="A4462" s="1"/>
      <c r="B4462" s="1"/>
      <c r="C4462" s="1"/>
      <c r="D4462" s="1"/>
      <c r="E4462" s="6"/>
      <c r="F4462" s="1"/>
      <c r="G4462" s="6"/>
      <c r="H4462" s="6"/>
      <c r="I4462" s="6"/>
      <c r="J4462" s="6"/>
      <c r="K4462" s="6"/>
      <c r="L4462" s="6"/>
      <c r="M4462" s="6"/>
      <c r="N4462" s="6"/>
      <c r="O4462" s="7"/>
      <c r="P4462" s="6"/>
      <c r="Q4462" s="6"/>
      <c r="R4462" s="12"/>
      <c r="S4462" s="12"/>
      <c r="T4462" s="12"/>
      <c r="U4462" s="6"/>
      <c r="V4462" s="12"/>
      <c r="W4462" s="12"/>
      <c r="X4462" s="12"/>
      <c r="Y4462" s="12"/>
      <c r="Z4462" s="6"/>
      <c r="AA4462" s="7"/>
      <c r="AB4462" s="6"/>
      <c r="AC4462" s="6"/>
      <c r="AD4462" s="6"/>
      <c r="AE4462" s="12"/>
      <c r="AF4462" s="12"/>
      <c r="AG4462" s="12"/>
      <c r="AH4462" s="12"/>
      <c r="AI4462" s="6"/>
      <c r="AJ4462" s="12"/>
      <c r="AK4462" s="24"/>
      <c r="AL4462" s="25"/>
      <c r="AM4462" s="12"/>
      <c r="AN4462" s="1"/>
      <c r="AO4462" s="6"/>
    </row>
    <row r="4463" spans="1:41" ht="15" x14ac:dyDescent="0.25">
      <c r="A4463" s="1"/>
      <c r="B4463" s="1"/>
      <c r="C4463" s="1"/>
      <c r="D4463" s="1"/>
      <c r="E4463" s="6"/>
      <c r="F4463" s="1"/>
      <c r="G4463" s="6"/>
      <c r="H4463" s="6"/>
      <c r="I4463" s="6"/>
      <c r="J4463" s="6"/>
      <c r="K4463" s="6"/>
      <c r="L4463" s="6"/>
      <c r="M4463" s="6"/>
      <c r="N4463" s="6"/>
      <c r="O4463" s="7"/>
      <c r="P4463" s="6"/>
      <c r="Q4463" s="6"/>
      <c r="R4463" s="7"/>
      <c r="S4463" s="6"/>
      <c r="T4463" s="6"/>
      <c r="U4463" s="6"/>
      <c r="V4463" s="6"/>
      <c r="W4463" s="6"/>
      <c r="X4463" s="7"/>
      <c r="Y4463" s="6"/>
      <c r="Z4463" s="6"/>
      <c r="AA4463" s="7"/>
      <c r="AB4463" s="6"/>
      <c r="AC4463" s="6"/>
      <c r="AD4463" s="6"/>
      <c r="AE4463" s="12"/>
      <c r="AF4463" s="6"/>
      <c r="AG4463" s="12"/>
      <c r="AH4463" s="6"/>
      <c r="AI4463" s="6"/>
      <c r="AJ4463" s="12"/>
      <c r="AK4463" s="6"/>
      <c r="AL4463" s="12"/>
      <c r="AM4463" s="12"/>
      <c r="AN4463" s="1"/>
      <c r="AO4463" s="6"/>
    </row>
    <row r="4464" spans="1:41" ht="15" x14ac:dyDescent="0.25">
      <c r="A4464" s="1"/>
      <c r="B4464" s="1"/>
      <c r="C4464" s="1"/>
      <c r="D4464" s="1"/>
      <c r="E4464" s="6"/>
      <c r="F4464" s="1"/>
      <c r="G4464" s="6"/>
      <c r="H4464" s="6"/>
      <c r="I4464" s="6"/>
      <c r="J4464" s="6"/>
      <c r="K4464" s="6"/>
      <c r="L4464" s="6"/>
      <c r="M4464" s="6"/>
      <c r="N4464" s="6"/>
      <c r="O4464" s="7"/>
      <c r="P4464" s="6"/>
      <c r="Q4464" s="6"/>
      <c r="R4464" s="7"/>
      <c r="S4464" s="6"/>
      <c r="T4464" s="6"/>
      <c r="U4464" s="6"/>
      <c r="V4464" s="6"/>
      <c r="W4464" s="6"/>
      <c r="X4464" s="7"/>
      <c r="Y4464" s="6"/>
      <c r="Z4464" s="6"/>
      <c r="AA4464" s="7"/>
      <c r="AB4464" s="6"/>
      <c r="AC4464" s="6"/>
      <c r="AD4464" s="6"/>
      <c r="AE4464" s="12"/>
      <c r="AF4464" s="6"/>
      <c r="AG4464" s="12"/>
      <c r="AH4464" s="6"/>
      <c r="AI4464" s="6"/>
      <c r="AJ4464" s="12"/>
      <c r="AK4464" s="6"/>
      <c r="AL4464" s="12"/>
      <c r="AM4464" s="12"/>
      <c r="AN4464" s="1"/>
      <c r="AO4464" s="6"/>
    </row>
    <row r="4465" spans="1:41" ht="15" x14ac:dyDescent="0.25">
      <c r="A4465" s="1"/>
      <c r="B4465" s="1"/>
      <c r="C4465" s="1"/>
      <c r="D4465" s="1"/>
      <c r="E4465" s="6"/>
      <c r="F4465" s="1"/>
      <c r="G4465" s="6"/>
      <c r="H4465" s="6"/>
      <c r="I4465" s="6"/>
      <c r="J4465" s="6"/>
      <c r="K4465" s="6"/>
      <c r="L4465" s="6"/>
      <c r="M4465" s="6"/>
      <c r="N4465" s="6"/>
      <c r="O4465" s="7"/>
      <c r="P4465" s="6"/>
      <c r="Q4465" s="6"/>
      <c r="R4465" s="7"/>
      <c r="S4465" s="6"/>
      <c r="T4465" s="6"/>
      <c r="U4465" s="7"/>
      <c r="V4465" s="6"/>
      <c r="W4465" s="6"/>
      <c r="X4465" s="12"/>
      <c r="Y4465" s="6"/>
      <c r="Z4465" s="6"/>
      <c r="AA4465" s="7"/>
      <c r="AB4465" s="6"/>
      <c r="AC4465" s="6"/>
      <c r="AD4465" s="6"/>
      <c r="AE4465" s="12"/>
      <c r="AF4465" s="6"/>
      <c r="AG4465" s="12"/>
      <c r="AH4465" s="6"/>
      <c r="AI4465" s="6"/>
      <c r="AJ4465" s="12"/>
      <c r="AK4465" s="24"/>
      <c r="AL4465" s="25"/>
      <c r="AM4465" s="12"/>
      <c r="AN4465" s="1"/>
      <c r="AO4465" s="6"/>
    </row>
    <row r="4466" spans="1:41" ht="15" x14ac:dyDescent="0.25">
      <c r="A4466" s="1"/>
      <c r="B4466" s="1"/>
      <c r="C4466" s="1"/>
      <c r="D4466" s="1"/>
      <c r="E4466" s="6"/>
      <c r="F4466" s="1"/>
      <c r="G4466" s="6"/>
      <c r="H4466" s="6"/>
      <c r="I4466" s="6"/>
      <c r="J4466" s="6"/>
      <c r="K4466" s="6"/>
      <c r="L4466" s="6"/>
      <c r="M4466" s="6"/>
      <c r="N4466" s="6"/>
      <c r="O4466" s="7"/>
      <c r="P4466" s="6"/>
      <c r="Q4466" s="6"/>
      <c r="R4466" s="7"/>
      <c r="S4466" s="6"/>
      <c r="T4466" s="6"/>
      <c r="U4466" s="7"/>
      <c r="V4466" s="6"/>
      <c r="W4466" s="6"/>
      <c r="X4466" s="12"/>
      <c r="Y4466" s="6"/>
      <c r="Z4466" s="6"/>
      <c r="AA4466" s="7"/>
      <c r="AB4466" s="6"/>
      <c r="AC4466" s="6"/>
      <c r="AD4466" s="6"/>
      <c r="AE4466" s="12"/>
      <c r="AF4466" s="6"/>
      <c r="AG4466" s="12"/>
      <c r="AH4466" s="6"/>
      <c r="AI4466" s="6"/>
      <c r="AJ4466" s="12"/>
      <c r="AK4466" s="24"/>
      <c r="AL4466" s="25"/>
      <c r="AM4466" s="12"/>
      <c r="AN4466" s="1"/>
      <c r="AO4466" s="6"/>
    </row>
    <row r="4467" spans="1:41" ht="15" x14ac:dyDescent="0.25">
      <c r="A4467" s="1"/>
      <c r="B4467" s="1"/>
      <c r="C4467" s="1"/>
      <c r="D4467" s="1"/>
      <c r="E4467" s="6"/>
      <c r="F4467" s="1"/>
      <c r="G4467" s="6"/>
      <c r="H4467" s="6"/>
      <c r="I4467" s="6"/>
      <c r="J4467" s="6"/>
      <c r="K4467" s="6"/>
      <c r="L4467" s="6"/>
      <c r="M4467" s="6"/>
      <c r="N4467" s="6"/>
      <c r="O4467" s="7"/>
      <c r="P4467" s="6"/>
      <c r="Q4467" s="6"/>
      <c r="R4467" s="7"/>
      <c r="S4467" s="6"/>
      <c r="T4467" s="6"/>
      <c r="U4467" s="7"/>
      <c r="V4467" s="6"/>
      <c r="W4467" s="6"/>
      <c r="X4467" s="6"/>
      <c r="Y4467" s="6"/>
      <c r="Z4467" s="6"/>
      <c r="AA4467" s="7"/>
      <c r="AB4467" s="6"/>
      <c r="AC4467" s="6"/>
      <c r="AD4467" s="6"/>
      <c r="AE4467" s="12"/>
      <c r="AF4467" s="6"/>
      <c r="AG4467" s="12"/>
      <c r="AH4467" s="6"/>
      <c r="AI4467" s="6"/>
      <c r="AJ4467" s="12"/>
      <c r="AK4467" s="24"/>
      <c r="AL4467" s="25"/>
      <c r="AM4467" s="12"/>
      <c r="AN4467" s="1"/>
      <c r="AO4467" s="6"/>
    </row>
    <row r="4468" spans="1:41" ht="15" x14ac:dyDescent="0.25">
      <c r="A4468" s="1"/>
      <c r="B4468" s="1"/>
      <c r="C4468" s="1"/>
      <c r="D4468" s="1"/>
      <c r="E4468" s="6"/>
      <c r="F4468" s="1"/>
      <c r="G4468" s="6"/>
      <c r="H4468" s="6"/>
      <c r="I4468" s="6"/>
      <c r="J4468" s="6"/>
      <c r="K4468" s="6"/>
      <c r="L4468" s="6"/>
      <c r="M4468" s="6"/>
      <c r="N4468" s="6"/>
      <c r="O4468" s="7"/>
      <c r="P4468" s="6"/>
      <c r="Q4468" s="6"/>
      <c r="R4468" s="7"/>
      <c r="S4468" s="6"/>
      <c r="T4468" s="6"/>
      <c r="U4468" s="7"/>
      <c r="V4468" s="6"/>
      <c r="W4468" s="6"/>
      <c r="X4468" s="6"/>
      <c r="Y4468" s="6"/>
      <c r="Z4468" s="6"/>
      <c r="AA4468" s="7"/>
      <c r="AB4468" s="6"/>
      <c r="AC4468" s="6"/>
      <c r="AD4468" s="6"/>
      <c r="AE4468" s="12"/>
      <c r="AF4468" s="6"/>
      <c r="AG4468" s="12"/>
      <c r="AH4468" s="6"/>
      <c r="AI4468" s="6"/>
      <c r="AJ4468" s="12"/>
      <c r="AK4468" s="24"/>
      <c r="AL4468" s="25"/>
      <c r="AM4468" s="12"/>
      <c r="AN4468" s="1"/>
      <c r="AO4468" s="6"/>
    </row>
    <row r="4469" spans="1:41" ht="15" x14ac:dyDescent="0.25">
      <c r="A4469" s="1"/>
      <c r="B4469" s="1"/>
      <c r="C4469" s="1"/>
      <c r="D4469" s="1"/>
      <c r="E4469" s="6"/>
      <c r="F4469" s="1"/>
      <c r="G4469" s="6"/>
      <c r="H4469" s="6"/>
      <c r="I4469" s="6"/>
      <c r="J4469" s="6"/>
      <c r="K4469" s="6"/>
      <c r="L4469" s="6"/>
      <c r="M4469" s="6"/>
      <c r="N4469" s="6"/>
      <c r="O4469" s="7"/>
      <c r="P4469" s="6"/>
      <c r="Q4469" s="6"/>
      <c r="R4469" s="7"/>
      <c r="S4469" s="6"/>
      <c r="T4469" s="6"/>
      <c r="U4469" s="7"/>
      <c r="V4469" s="6"/>
      <c r="W4469" s="6"/>
      <c r="X4469" s="6"/>
      <c r="Y4469" s="6"/>
      <c r="Z4469" s="6"/>
      <c r="AA4469" s="7"/>
      <c r="AB4469" s="6"/>
      <c r="AC4469" s="6"/>
      <c r="AD4469" s="6"/>
      <c r="AE4469" s="12"/>
      <c r="AF4469" s="12"/>
      <c r="AG4469" s="12"/>
      <c r="AH4469" s="12"/>
      <c r="AI4469" s="6"/>
      <c r="AJ4469" s="12"/>
      <c r="AK4469" s="1"/>
      <c r="AL4469" s="12"/>
      <c r="AM4469" s="12"/>
      <c r="AN4469" s="1"/>
      <c r="AO4469" s="6"/>
    </row>
    <row r="4470" spans="1:41" ht="15" x14ac:dyDescent="0.25">
      <c r="A4470" s="1"/>
      <c r="B4470" s="1"/>
      <c r="C4470" s="1"/>
      <c r="D4470" s="1"/>
      <c r="E4470" s="6"/>
      <c r="F4470" s="1"/>
      <c r="G4470" s="6"/>
      <c r="H4470" s="6"/>
      <c r="I4470" s="6"/>
      <c r="J4470" s="6"/>
      <c r="K4470" s="12"/>
      <c r="L4470" s="12"/>
      <c r="M4470" s="6"/>
      <c r="N4470" s="6"/>
      <c r="O4470" s="15"/>
      <c r="P4470" s="6"/>
      <c r="Q4470" s="6"/>
      <c r="R4470" s="7"/>
      <c r="S4470" s="6"/>
      <c r="T4470" s="6"/>
      <c r="U4470" s="7"/>
      <c r="V4470" s="6"/>
      <c r="W4470" s="6"/>
      <c r="X4470" s="6"/>
      <c r="Y4470" s="6"/>
      <c r="Z4470" s="6"/>
      <c r="AA4470" s="7"/>
      <c r="AB4470" s="6"/>
      <c r="AC4470" s="6"/>
      <c r="AD4470" s="6"/>
      <c r="AE4470" s="12"/>
      <c r="AF4470" s="12"/>
      <c r="AG4470" s="12"/>
      <c r="AH4470" s="12"/>
      <c r="AI4470" s="6"/>
      <c r="AJ4470" s="12"/>
      <c r="AK4470" s="1"/>
      <c r="AL4470" s="12"/>
      <c r="AM4470" s="12"/>
      <c r="AN4470" s="1"/>
      <c r="AO4470" s="6"/>
    </row>
    <row r="4471" spans="1:41" ht="15" x14ac:dyDescent="0.25">
      <c r="A4471" s="1"/>
      <c r="B4471" s="1"/>
      <c r="C4471" s="1"/>
      <c r="D4471" s="1"/>
      <c r="E4471" s="6"/>
      <c r="F4471" s="1"/>
      <c r="G4471" s="6"/>
      <c r="H4471" s="6"/>
      <c r="I4471" s="6"/>
      <c r="J4471" s="6"/>
      <c r="K4471" s="6"/>
      <c r="L4471" s="6"/>
      <c r="M4471" s="6"/>
      <c r="N4471" s="6"/>
      <c r="O4471" s="7"/>
      <c r="P4471" s="6"/>
      <c r="Q4471" s="6"/>
      <c r="R4471" s="7"/>
      <c r="S4471" s="6"/>
      <c r="T4471" s="6"/>
      <c r="U4471" s="7"/>
      <c r="V4471" s="6"/>
      <c r="W4471" s="6"/>
      <c r="X4471" s="12"/>
      <c r="Y4471" s="6"/>
      <c r="Z4471" s="6"/>
      <c r="AA4471" s="7"/>
      <c r="AB4471" s="6"/>
      <c r="AC4471" s="6"/>
      <c r="AD4471" s="6"/>
      <c r="AE4471" s="12"/>
      <c r="AF4471" s="12"/>
      <c r="AG4471" s="12"/>
      <c r="AH4471" s="12"/>
      <c r="AI4471" s="6"/>
      <c r="AJ4471" s="12"/>
      <c r="AK4471" s="1"/>
      <c r="AL4471" s="12"/>
      <c r="AM4471" s="12"/>
      <c r="AN4471" s="1"/>
      <c r="AO4471" s="6"/>
    </row>
    <row r="4472" spans="1:41" ht="15" x14ac:dyDescent="0.25">
      <c r="A4472" s="1"/>
      <c r="B4472" s="1"/>
      <c r="C4472" s="1"/>
      <c r="D4472" s="1"/>
      <c r="E4472" s="6"/>
      <c r="F4472" s="1"/>
      <c r="G4472" s="6"/>
      <c r="H4472" s="6"/>
      <c r="I4472" s="6"/>
      <c r="J4472" s="6"/>
      <c r="K4472" s="12"/>
      <c r="L4472" s="12"/>
      <c r="M4472" s="6"/>
      <c r="N4472" s="6"/>
      <c r="O4472" s="7"/>
      <c r="P4472" s="6"/>
      <c r="Q4472" s="6"/>
      <c r="R4472" s="7"/>
      <c r="S4472" s="6"/>
      <c r="T4472" s="6"/>
      <c r="U4472" s="7"/>
      <c r="V4472" s="6"/>
      <c r="W4472" s="6"/>
      <c r="X4472" s="6"/>
      <c r="Y4472" s="6"/>
      <c r="Z4472" s="6"/>
      <c r="AA4472" s="7"/>
      <c r="AB4472" s="6"/>
      <c r="AC4472" s="6"/>
      <c r="AD4472" s="6"/>
      <c r="AE4472" s="12"/>
      <c r="AF4472" s="12"/>
      <c r="AG4472" s="12"/>
      <c r="AH4472" s="12"/>
      <c r="AI4472" s="6"/>
      <c r="AJ4472" s="12"/>
      <c r="AK4472" s="1"/>
      <c r="AL4472" s="12"/>
      <c r="AM4472" s="12"/>
      <c r="AN4472" s="1"/>
      <c r="AO4472" s="6"/>
    </row>
    <row r="4473" spans="1:41" ht="15" x14ac:dyDescent="0.25">
      <c r="A4473" s="1"/>
      <c r="B4473" s="1"/>
      <c r="C4473" s="1"/>
      <c r="D4473" s="1"/>
      <c r="E4473" s="6"/>
      <c r="F4473" s="1"/>
      <c r="G4473" s="6"/>
      <c r="H4473" s="6"/>
      <c r="I4473" s="6"/>
      <c r="J4473" s="6"/>
      <c r="K4473" s="6"/>
      <c r="L4473" s="6"/>
      <c r="M4473" s="6"/>
      <c r="N4473" s="6"/>
      <c r="O4473" s="7"/>
      <c r="P4473" s="6"/>
      <c r="Q4473" s="6"/>
      <c r="R4473" s="7"/>
      <c r="S4473" s="6"/>
      <c r="T4473" s="6"/>
      <c r="U4473" s="7"/>
      <c r="V4473" s="6"/>
      <c r="W4473" s="6"/>
      <c r="X4473" s="6"/>
      <c r="Y4473" s="6"/>
      <c r="Z4473" s="6"/>
      <c r="AA4473" s="7"/>
      <c r="AB4473" s="6"/>
      <c r="AC4473" s="6"/>
      <c r="AD4473" s="6"/>
      <c r="AE4473" s="12"/>
      <c r="AF4473" s="12"/>
      <c r="AG4473" s="12"/>
      <c r="AH4473" s="12"/>
      <c r="AI4473" s="6"/>
      <c r="AJ4473" s="12"/>
      <c r="AK4473" s="1"/>
      <c r="AL4473" s="12"/>
      <c r="AM4473" s="12"/>
      <c r="AN4473" s="1"/>
      <c r="AO4473" s="6"/>
    </row>
    <row r="4474" spans="1:41" ht="15" x14ac:dyDescent="0.25">
      <c r="A4474" s="1"/>
      <c r="B4474" s="1"/>
      <c r="C4474" s="1"/>
      <c r="D4474" s="1"/>
      <c r="E4474" s="6"/>
      <c r="F4474" s="1"/>
      <c r="G4474" s="6"/>
      <c r="H4474" s="6"/>
      <c r="I4474" s="6"/>
      <c r="J4474" s="6"/>
      <c r="K4474" s="6"/>
      <c r="L4474" s="6"/>
      <c r="M4474" s="6"/>
      <c r="N4474" s="6"/>
      <c r="O4474" s="7"/>
      <c r="P4474" s="6"/>
      <c r="Q4474" s="6"/>
      <c r="R4474" s="7"/>
      <c r="S4474" s="6"/>
      <c r="T4474" s="6"/>
      <c r="U4474" s="7"/>
      <c r="V4474" s="6"/>
      <c r="W4474" s="6"/>
      <c r="X4474" s="12"/>
      <c r="Y4474" s="6"/>
      <c r="Z4474" s="6"/>
      <c r="AA4474" s="7"/>
      <c r="AB4474" s="6"/>
      <c r="AC4474" s="6"/>
      <c r="AD4474" s="6"/>
      <c r="AE4474" s="12"/>
      <c r="AF4474" s="12"/>
      <c r="AG4474" s="12"/>
      <c r="AH4474" s="12"/>
      <c r="AI4474" s="6"/>
      <c r="AJ4474" s="12"/>
      <c r="AK4474" s="1"/>
      <c r="AL4474" s="12"/>
      <c r="AM4474" s="12"/>
      <c r="AN4474" s="1"/>
      <c r="AO4474" s="6"/>
    </row>
    <row r="4475" spans="1:41" ht="15" x14ac:dyDescent="0.25">
      <c r="A4475" s="1"/>
      <c r="B4475" s="1"/>
      <c r="C4475" s="1"/>
      <c r="D4475" s="1"/>
      <c r="E4475" s="6"/>
      <c r="F4475" s="1"/>
      <c r="G4475" s="6"/>
      <c r="H4475" s="6"/>
      <c r="I4475" s="6"/>
      <c r="J4475" s="6"/>
      <c r="K4475" s="6"/>
      <c r="L4475" s="6"/>
      <c r="M4475" s="6"/>
      <c r="N4475" s="6"/>
      <c r="O4475" s="7"/>
      <c r="P4475" s="6"/>
      <c r="Q4475" s="6"/>
      <c r="R4475" s="7"/>
      <c r="S4475" s="6"/>
      <c r="T4475" s="6"/>
      <c r="U4475" s="7"/>
      <c r="V4475" s="6"/>
      <c r="W4475" s="6"/>
      <c r="X4475" s="12"/>
      <c r="Y4475" s="6"/>
      <c r="Z4475" s="6"/>
      <c r="AA4475" s="7"/>
      <c r="AB4475" s="6"/>
      <c r="AC4475" s="6"/>
      <c r="AD4475" s="6"/>
      <c r="AE4475" s="12"/>
      <c r="AF4475" s="6"/>
      <c r="AG4475" s="12"/>
      <c r="AH4475" s="6"/>
      <c r="AI4475" s="6"/>
      <c r="AJ4475" s="12"/>
      <c r="AK4475" s="1"/>
      <c r="AL4475" s="12"/>
      <c r="AM4475" s="12"/>
      <c r="AN4475" s="1"/>
      <c r="AO4475" s="6"/>
    </row>
    <row r="4476" spans="1:41" ht="15" x14ac:dyDescent="0.25">
      <c r="A4476" s="1"/>
      <c r="B4476" s="1"/>
      <c r="C4476" s="1"/>
      <c r="D4476" s="1"/>
      <c r="E4476" s="6"/>
      <c r="F4476" s="1"/>
      <c r="G4476" s="6"/>
      <c r="H4476" s="6"/>
      <c r="I4476" s="6"/>
      <c r="J4476" s="6"/>
      <c r="K4476" s="6"/>
      <c r="L4476" s="6"/>
      <c r="M4476" s="6"/>
      <c r="N4476" s="6"/>
      <c r="O4476" s="7"/>
      <c r="P4476" s="6"/>
      <c r="Q4476" s="6"/>
      <c r="R4476" s="7"/>
      <c r="S4476" s="6"/>
      <c r="T4476" s="6"/>
      <c r="U4476" s="7"/>
      <c r="V4476" s="6"/>
      <c r="W4476" s="6"/>
      <c r="X4476" s="12"/>
      <c r="Y4476" s="6"/>
      <c r="Z4476" s="6"/>
      <c r="AA4476" s="7"/>
      <c r="AB4476" s="6"/>
      <c r="AC4476" s="6"/>
      <c r="AD4476" s="6"/>
      <c r="AE4476" s="12"/>
      <c r="AF4476" s="6"/>
      <c r="AG4476" s="12"/>
      <c r="AH4476" s="6"/>
      <c r="AI4476" s="6"/>
      <c r="AJ4476" s="12"/>
      <c r="AK4476" s="1"/>
      <c r="AL4476" s="12"/>
      <c r="AM4476" s="12"/>
      <c r="AN4476" s="1"/>
      <c r="AO4476" s="6"/>
    </row>
    <row r="4477" spans="1:41" ht="15" x14ac:dyDescent="0.25">
      <c r="A4477" s="1"/>
      <c r="B4477" s="1"/>
      <c r="C4477" s="1"/>
      <c r="D4477" s="1"/>
      <c r="E4477" s="6"/>
      <c r="F4477" s="1"/>
      <c r="G4477" s="6"/>
      <c r="H4477" s="6"/>
      <c r="I4477" s="6"/>
      <c r="J4477" s="6"/>
      <c r="K4477" s="6"/>
      <c r="L4477" s="6"/>
      <c r="M4477" s="6"/>
      <c r="N4477" s="6"/>
      <c r="O4477" s="7"/>
      <c r="P4477" s="6"/>
      <c r="Q4477" s="6"/>
      <c r="R4477" s="7"/>
      <c r="S4477" s="6"/>
      <c r="T4477" s="6"/>
      <c r="U4477" s="7"/>
      <c r="V4477" s="6"/>
      <c r="W4477" s="6"/>
      <c r="X4477" s="6"/>
      <c r="Y4477" s="6"/>
      <c r="Z4477" s="6"/>
      <c r="AA4477" s="7"/>
      <c r="AB4477" s="6"/>
      <c r="AC4477" s="6"/>
      <c r="AD4477" s="6"/>
      <c r="AE4477" s="12"/>
      <c r="AF4477" s="6"/>
      <c r="AG4477" s="12"/>
      <c r="AH4477" s="6"/>
      <c r="AI4477" s="6"/>
      <c r="AJ4477" s="12"/>
      <c r="AK4477" s="1"/>
      <c r="AL4477" s="12"/>
      <c r="AM4477" s="12"/>
      <c r="AN4477" s="1"/>
      <c r="AO4477" s="6"/>
    </row>
    <row r="4478" spans="1:41" ht="15" x14ac:dyDescent="0.25">
      <c r="A4478" s="1"/>
      <c r="B4478" s="1"/>
      <c r="C4478" s="1"/>
      <c r="D4478" s="1"/>
      <c r="E4478" s="6"/>
      <c r="F4478" s="1"/>
      <c r="G4478" s="6"/>
      <c r="H4478" s="6"/>
      <c r="I4478" s="6"/>
      <c r="J4478" s="6"/>
      <c r="K4478" s="6"/>
      <c r="L4478" s="6"/>
      <c r="M4478" s="6"/>
      <c r="N4478" s="6"/>
      <c r="O4478" s="7"/>
      <c r="P4478" s="6"/>
      <c r="Q4478" s="6"/>
      <c r="R4478" s="7"/>
      <c r="S4478" s="6"/>
      <c r="T4478" s="6"/>
      <c r="U4478" s="7"/>
      <c r="V4478" s="6"/>
      <c r="W4478" s="6"/>
      <c r="X4478" s="6"/>
      <c r="Y4478" s="6"/>
      <c r="Z4478" s="6"/>
      <c r="AA4478" s="7"/>
      <c r="AB4478" s="6"/>
      <c r="AC4478" s="6"/>
      <c r="AD4478" s="6"/>
      <c r="AE4478" s="12"/>
      <c r="AF4478" s="6"/>
      <c r="AG4478" s="12"/>
      <c r="AH4478" s="6"/>
      <c r="AI4478" s="6"/>
      <c r="AJ4478" s="12"/>
      <c r="AK4478" s="1"/>
      <c r="AL4478" s="12"/>
      <c r="AM4478" s="12"/>
      <c r="AN4478" s="1"/>
      <c r="AO4478" s="6"/>
    </row>
    <row r="4479" spans="1:41" ht="15" x14ac:dyDescent="0.25">
      <c r="A4479" s="1"/>
      <c r="B4479" s="1"/>
      <c r="C4479" s="1"/>
      <c r="D4479" s="1"/>
      <c r="E4479" s="6"/>
      <c r="F4479" s="1"/>
      <c r="G4479" s="6"/>
      <c r="H4479" s="6"/>
      <c r="I4479" s="6"/>
      <c r="J4479" s="6"/>
      <c r="K4479" s="12"/>
      <c r="L4479" s="12"/>
      <c r="M4479" s="6"/>
      <c r="N4479" s="6"/>
      <c r="O4479" s="7"/>
      <c r="P4479" s="6"/>
      <c r="Q4479" s="6"/>
      <c r="R4479" s="12"/>
      <c r="S4479" s="12"/>
      <c r="T4479" s="12"/>
      <c r="U4479" s="7"/>
      <c r="V4479" s="6"/>
      <c r="W4479" s="6"/>
      <c r="X4479" s="12"/>
      <c r="Y4479" s="6"/>
      <c r="Z4479" s="6"/>
      <c r="AA4479" s="7"/>
      <c r="AB4479" s="6"/>
      <c r="AC4479" s="6"/>
      <c r="AD4479" s="6"/>
      <c r="AE4479" s="12"/>
      <c r="AF4479" s="12"/>
      <c r="AG4479" s="12"/>
      <c r="AH4479" s="12"/>
      <c r="AI4479" s="6"/>
      <c r="AJ4479" s="12"/>
      <c r="AK4479" s="1"/>
      <c r="AL4479" s="12"/>
      <c r="AM4479" s="12"/>
      <c r="AN4479" s="1"/>
      <c r="AO4479" s="6"/>
    </row>
    <row r="4480" spans="1:41" ht="15" x14ac:dyDescent="0.25">
      <c r="A4480" s="1"/>
      <c r="B4480" s="1"/>
      <c r="C4480" s="1"/>
      <c r="D4480" s="1"/>
      <c r="E4480" s="6"/>
      <c r="F4480" s="1"/>
      <c r="G4480" s="6"/>
      <c r="H4480" s="6"/>
      <c r="I4480" s="6"/>
      <c r="J4480" s="6"/>
      <c r="K4480" s="6"/>
      <c r="L4480" s="6"/>
      <c r="M4480" s="6"/>
      <c r="N4480" s="6"/>
      <c r="O4480" s="7"/>
      <c r="P4480" s="6"/>
      <c r="Q4480" s="7"/>
      <c r="R4480" s="6"/>
      <c r="S4480" s="6"/>
      <c r="T4480" s="6"/>
      <c r="U4480" s="6"/>
      <c r="V4480" s="7"/>
      <c r="W4480" s="7"/>
      <c r="X4480" s="6"/>
      <c r="Y4480" s="6"/>
      <c r="Z4480" s="6"/>
      <c r="AA4480" s="1"/>
      <c r="AB4480" s="12"/>
      <c r="AC4480" s="12"/>
      <c r="AD4480" s="12"/>
      <c r="AE4480" s="12"/>
      <c r="AF4480" s="12"/>
      <c r="AG4480" s="12"/>
      <c r="AH4480" s="12"/>
      <c r="AI4480" s="6"/>
      <c r="AJ4480" s="12"/>
      <c r="AK4480" s="12"/>
      <c r="AL4480" s="12"/>
      <c r="AM4480" s="12"/>
      <c r="AN4480" s="1"/>
      <c r="AO4480" s="12"/>
    </row>
    <row r="4481" spans="1:41" ht="15" x14ac:dyDescent="0.25">
      <c r="A4481" s="1"/>
      <c r="B4481" s="1"/>
      <c r="C4481" s="1"/>
      <c r="D4481" s="1"/>
      <c r="E4481" s="6"/>
      <c r="F4481" s="1"/>
      <c r="G4481" s="6"/>
      <c r="H4481" s="6"/>
      <c r="I4481" s="6"/>
      <c r="J4481" s="6"/>
      <c r="K4481" s="6"/>
      <c r="L4481" s="6"/>
      <c r="M4481" s="6"/>
      <c r="N4481" s="6"/>
      <c r="O4481" s="7"/>
      <c r="P4481" s="6"/>
      <c r="Q4481" s="6"/>
      <c r="R4481" s="7"/>
      <c r="S4481" s="6"/>
      <c r="T4481" s="6"/>
      <c r="U4481" s="7"/>
      <c r="V4481" s="6"/>
      <c r="W4481" s="6"/>
      <c r="X4481" s="12"/>
      <c r="Y4481" s="6"/>
      <c r="Z4481" s="6"/>
      <c r="AA4481" s="7"/>
      <c r="AB4481" s="6"/>
      <c r="AC4481" s="6"/>
      <c r="AD4481" s="6"/>
      <c r="AE4481" s="12"/>
      <c r="AF4481" s="6"/>
      <c r="AG4481" s="12"/>
      <c r="AH4481" s="6"/>
      <c r="AI4481" s="6"/>
      <c r="AJ4481" s="12"/>
      <c r="AK4481" s="1"/>
      <c r="AL4481" s="12"/>
      <c r="AM4481" s="12"/>
      <c r="AN4481" s="1"/>
      <c r="AO4481" s="6"/>
    </row>
    <row r="4482" spans="1:41" ht="15" x14ac:dyDescent="0.25">
      <c r="A4482" s="1"/>
      <c r="B4482" s="1"/>
      <c r="C4482" s="1"/>
      <c r="D4482" s="1"/>
      <c r="E4482" s="6"/>
      <c r="F4482" s="1"/>
      <c r="G4482" s="6"/>
      <c r="H4482" s="6"/>
      <c r="I4482" s="6"/>
      <c r="J4482" s="6"/>
      <c r="K4482" s="6"/>
      <c r="L4482" s="6"/>
      <c r="M4482" s="6"/>
      <c r="N4482" s="6"/>
      <c r="O4482" s="7"/>
      <c r="P4482" s="6"/>
      <c r="Q4482" s="6"/>
      <c r="R4482" s="7"/>
      <c r="S4482" s="6"/>
      <c r="T4482" s="6"/>
      <c r="U4482" s="7"/>
      <c r="V4482" s="6"/>
      <c r="W4482" s="6"/>
      <c r="X4482" s="12"/>
      <c r="Y4482" s="6"/>
      <c r="Z4482" s="6"/>
      <c r="AA4482" s="7"/>
      <c r="AB4482" s="6"/>
      <c r="AC4482" s="6"/>
      <c r="AD4482" s="6"/>
      <c r="AE4482" s="12"/>
      <c r="AF4482" s="6"/>
      <c r="AG4482" s="12"/>
      <c r="AH4482" s="6"/>
      <c r="AI4482" s="6"/>
      <c r="AJ4482" s="12"/>
      <c r="AK4482" s="1"/>
      <c r="AL4482" s="12"/>
      <c r="AM4482" s="12"/>
      <c r="AN4482" s="1"/>
      <c r="AO4482" s="6"/>
    </row>
    <row r="4483" spans="1:41" ht="15" x14ac:dyDescent="0.25">
      <c r="A4483" s="1"/>
      <c r="B4483" s="1"/>
      <c r="C4483" s="1"/>
      <c r="D4483" s="1"/>
      <c r="E4483" s="6"/>
      <c r="F4483" s="1"/>
      <c r="G4483" s="6"/>
      <c r="H4483" s="6"/>
      <c r="I4483" s="6"/>
      <c r="J4483" s="6"/>
      <c r="K4483" s="6"/>
      <c r="L4483" s="6"/>
      <c r="M4483" s="6"/>
      <c r="N4483" s="6"/>
      <c r="O4483" s="7"/>
      <c r="P4483" s="6"/>
      <c r="Q4483" s="6"/>
      <c r="R4483" s="12"/>
      <c r="S4483" s="12"/>
      <c r="T4483" s="12"/>
      <c r="U4483" s="7"/>
      <c r="V4483" s="6"/>
      <c r="W4483" s="6"/>
      <c r="X4483" s="12"/>
      <c r="Y4483" s="6"/>
      <c r="Z4483" s="6"/>
      <c r="AA4483" s="7"/>
      <c r="AB4483" s="6"/>
      <c r="AC4483" s="6"/>
      <c r="AD4483" s="6"/>
      <c r="AE4483" s="12"/>
      <c r="AF4483" s="12"/>
      <c r="AG4483" s="12"/>
      <c r="AH4483" s="12"/>
      <c r="AI4483" s="6"/>
      <c r="AJ4483" s="12"/>
      <c r="AK4483" s="1"/>
      <c r="AL4483" s="12"/>
      <c r="AM4483" s="12"/>
      <c r="AN4483" s="1"/>
      <c r="AO4483" s="6"/>
    </row>
    <row r="4484" spans="1:41" ht="15" x14ac:dyDescent="0.25">
      <c r="A4484" s="1"/>
      <c r="B4484" s="1"/>
      <c r="C4484" s="1"/>
      <c r="D4484" s="1"/>
      <c r="E4484" s="6"/>
      <c r="F4484" s="1"/>
      <c r="G4484" s="6"/>
      <c r="H4484" s="6"/>
      <c r="I4484" s="6"/>
      <c r="J4484" s="6"/>
      <c r="K4484" s="6"/>
      <c r="L4484" s="6"/>
      <c r="M4484" s="6"/>
      <c r="N4484" s="6"/>
      <c r="O4484" s="7"/>
      <c r="P4484" s="6"/>
      <c r="Q4484" s="6"/>
      <c r="R4484" s="12"/>
      <c r="S4484" s="12"/>
      <c r="T4484" s="12"/>
      <c r="U4484" s="7"/>
      <c r="V4484" s="6"/>
      <c r="W4484" s="6"/>
      <c r="X4484" s="12"/>
      <c r="Y4484" s="6"/>
      <c r="Z4484" s="6"/>
      <c r="AA4484" s="7"/>
      <c r="AB4484" s="6"/>
      <c r="AC4484" s="6"/>
      <c r="AD4484" s="6"/>
      <c r="AE4484" s="12"/>
      <c r="AF4484" s="12"/>
      <c r="AG4484" s="12"/>
      <c r="AH4484" s="12"/>
      <c r="AI4484" s="6"/>
      <c r="AJ4484" s="12"/>
      <c r="AK4484" s="1"/>
      <c r="AL4484" s="12"/>
      <c r="AM4484" s="12"/>
      <c r="AN4484" s="1"/>
      <c r="AO4484" s="6"/>
    </row>
    <row r="4485" spans="1:41" ht="15" x14ac:dyDescent="0.25">
      <c r="A4485" s="1"/>
      <c r="B4485" s="1"/>
      <c r="C4485" s="1"/>
      <c r="D4485" s="1"/>
      <c r="E4485" s="6"/>
      <c r="F4485" s="1"/>
      <c r="G4485" s="6"/>
      <c r="H4485" s="6"/>
      <c r="I4485" s="6"/>
      <c r="J4485" s="6"/>
      <c r="K4485" s="6"/>
      <c r="L4485" s="6"/>
      <c r="M4485" s="6"/>
      <c r="N4485" s="6"/>
      <c r="O4485" s="7"/>
      <c r="P4485" s="12"/>
      <c r="Q4485" s="6"/>
      <c r="R4485" s="7"/>
      <c r="S4485" s="6"/>
      <c r="T4485" s="6"/>
      <c r="U4485" s="7"/>
      <c r="V4485" s="6"/>
      <c r="W4485" s="6"/>
      <c r="X4485" s="6"/>
      <c r="Y4485" s="6"/>
      <c r="Z4485" s="6"/>
      <c r="AA4485" s="7"/>
      <c r="AB4485" s="6"/>
      <c r="AC4485" s="6"/>
      <c r="AD4485" s="6"/>
      <c r="AE4485" s="12"/>
      <c r="AF4485" s="12"/>
      <c r="AG4485" s="12"/>
      <c r="AH4485" s="12"/>
      <c r="AI4485" s="6"/>
      <c r="AJ4485" s="12"/>
      <c r="AK4485" s="1"/>
      <c r="AL4485" s="12"/>
      <c r="AM4485" s="12"/>
      <c r="AN4485" s="1"/>
      <c r="AO4485" s="6"/>
    </row>
    <row r="4486" spans="1:41" ht="15" x14ac:dyDescent="0.25">
      <c r="A4486" s="1"/>
      <c r="B4486" s="1"/>
      <c r="C4486" s="1"/>
      <c r="D4486" s="1"/>
      <c r="E4486" s="6"/>
      <c r="F4486" s="1"/>
      <c r="G4486" s="6"/>
      <c r="H4486" s="6"/>
      <c r="I4486" s="6"/>
      <c r="J4486" s="6"/>
      <c r="K4486" s="6"/>
      <c r="L4486" s="6"/>
      <c r="M4486" s="6"/>
      <c r="N4486" s="6"/>
      <c r="O4486" s="7"/>
      <c r="P4486" s="6"/>
      <c r="Q4486" s="6"/>
      <c r="R4486" s="7"/>
      <c r="S4486" s="6"/>
      <c r="T4486" s="6"/>
      <c r="U4486" s="7"/>
      <c r="V4486" s="6"/>
      <c r="W4486" s="6"/>
      <c r="X4486" s="6"/>
      <c r="Y4486" s="6"/>
      <c r="Z4486" s="6"/>
      <c r="AA4486" s="7"/>
      <c r="AB4486" s="6"/>
      <c r="AC4486" s="6"/>
      <c r="AD4486" s="6"/>
      <c r="AE4486" s="12"/>
      <c r="AF4486" s="12"/>
      <c r="AG4486" s="12"/>
      <c r="AH4486" s="12"/>
      <c r="AI4486" s="6"/>
      <c r="AJ4486" s="12"/>
      <c r="AK4486" s="1"/>
      <c r="AL4486" s="12"/>
      <c r="AM4486" s="12"/>
      <c r="AN4486" s="1"/>
      <c r="AO4486" s="6"/>
    </row>
    <row r="4487" spans="1:41" ht="15" x14ac:dyDescent="0.25">
      <c r="A4487" s="1"/>
      <c r="B4487" s="1"/>
      <c r="C4487" s="1"/>
      <c r="D4487" s="1"/>
      <c r="E4487" s="6"/>
      <c r="F4487" s="1"/>
      <c r="G4487" s="6"/>
      <c r="H4487" s="6"/>
      <c r="I4487" s="6"/>
      <c r="J4487" s="6"/>
      <c r="K4487" s="6"/>
      <c r="L4487" s="6"/>
      <c r="M4487" s="6"/>
      <c r="N4487" s="6"/>
      <c r="O4487" s="7"/>
      <c r="P4487" s="6"/>
      <c r="Q4487" s="6"/>
      <c r="R4487" s="7"/>
      <c r="S4487" s="6"/>
      <c r="T4487" s="6"/>
      <c r="U4487" s="7"/>
      <c r="V4487" s="6"/>
      <c r="W4487" s="6"/>
      <c r="X4487" s="12"/>
      <c r="Y4487" s="6"/>
      <c r="Z4487" s="6"/>
      <c r="AA4487" s="7"/>
      <c r="AB4487" s="6"/>
      <c r="AC4487" s="6"/>
      <c r="AD4487" s="6"/>
      <c r="AE4487" s="12"/>
      <c r="AF4487" s="6"/>
      <c r="AG4487" s="12"/>
      <c r="AH4487" s="6"/>
      <c r="AI4487" s="6"/>
      <c r="AJ4487" s="12"/>
      <c r="AK4487" s="24"/>
      <c r="AL4487" s="25"/>
      <c r="AM4487" s="12"/>
      <c r="AN4487" s="1"/>
      <c r="AO4487" s="6"/>
    </row>
    <row r="4488" spans="1:41" ht="15" x14ac:dyDescent="0.25">
      <c r="A4488" s="1"/>
      <c r="B4488" s="1"/>
      <c r="C4488" s="1"/>
      <c r="D4488" s="1"/>
      <c r="E4488" s="6"/>
      <c r="F4488" s="1"/>
      <c r="G4488" s="6"/>
      <c r="H4488" s="6"/>
      <c r="I4488" s="6"/>
      <c r="J4488" s="6"/>
      <c r="K4488" s="6"/>
      <c r="L4488" s="6"/>
      <c r="M4488" s="6"/>
      <c r="N4488" s="6"/>
      <c r="O4488" s="7"/>
      <c r="P4488" s="6"/>
      <c r="Q4488" s="6"/>
      <c r="R4488" s="7"/>
      <c r="S4488" s="6"/>
      <c r="T4488" s="6"/>
      <c r="U4488" s="7"/>
      <c r="V4488" s="6"/>
      <c r="W4488" s="6"/>
      <c r="X4488" s="12"/>
      <c r="Y4488" s="6"/>
      <c r="Z4488" s="6"/>
      <c r="AA4488" s="7"/>
      <c r="AB4488" s="6"/>
      <c r="AC4488" s="6"/>
      <c r="AD4488" s="6"/>
      <c r="AE4488" s="12"/>
      <c r="AF4488" s="6"/>
      <c r="AG4488" s="12"/>
      <c r="AH4488" s="6"/>
      <c r="AI4488" s="6"/>
      <c r="AJ4488" s="12"/>
      <c r="AK4488" s="24"/>
      <c r="AL4488" s="25"/>
      <c r="AM4488" s="12"/>
      <c r="AN4488" s="1"/>
      <c r="AO4488" s="6"/>
    </row>
    <row r="4489" spans="1:41" ht="15" x14ac:dyDescent="0.25">
      <c r="A4489" s="1"/>
      <c r="B4489" s="1"/>
      <c r="C4489" s="1"/>
      <c r="D4489" s="1"/>
      <c r="E4489" s="6"/>
      <c r="F4489" s="1"/>
      <c r="G4489" s="6"/>
      <c r="H4489" s="6"/>
      <c r="I4489" s="6"/>
      <c r="J4489" s="6"/>
      <c r="K4489" s="6"/>
      <c r="L4489" s="6"/>
      <c r="M4489" s="6"/>
      <c r="N4489" s="6"/>
      <c r="O4489" s="7"/>
      <c r="P4489" s="12"/>
      <c r="Q4489" s="6"/>
      <c r="R4489" s="7"/>
      <c r="S4489" s="6"/>
      <c r="T4489" s="6"/>
      <c r="U4489" s="7"/>
      <c r="V4489" s="6"/>
      <c r="W4489" s="6"/>
      <c r="X4489" s="6"/>
      <c r="Y4489" s="6"/>
      <c r="Z4489" s="6"/>
      <c r="AA4489" s="7"/>
      <c r="AB4489" s="6"/>
      <c r="AC4489" s="6"/>
      <c r="AD4489" s="6"/>
      <c r="AE4489" s="12"/>
      <c r="AF4489" s="6"/>
      <c r="AG4489" s="12"/>
      <c r="AH4489" s="6"/>
      <c r="AI4489" s="6"/>
      <c r="AJ4489" s="12"/>
      <c r="AK4489" s="24"/>
      <c r="AL4489" s="25"/>
      <c r="AM4489" s="12"/>
      <c r="AN4489" s="1"/>
      <c r="AO4489" s="6"/>
    </row>
    <row r="4490" spans="1:41" ht="15" x14ac:dyDescent="0.25">
      <c r="A4490" s="1"/>
      <c r="B4490" s="1"/>
      <c r="C4490" s="1"/>
      <c r="D4490" s="1"/>
      <c r="E4490" s="6"/>
      <c r="F4490" s="1"/>
      <c r="G4490" s="6"/>
      <c r="H4490" s="6"/>
      <c r="I4490" s="6"/>
      <c r="J4490" s="6"/>
      <c r="K4490" s="6"/>
      <c r="L4490" s="6"/>
      <c r="M4490" s="6"/>
      <c r="N4490" s="6"/>
      <c r="O4490" s="7"/>
      <c r="P4490" s="12"/>
      <c r="Q4490" s="6"/>
      <c r="R4490" s="7"/>
      <c r="S4490" s="6"/>
      <c r="T4490" s="6"/>
      <c r="U4490" s="7"/>
      <c r="V4490" s="6"/>
      <c r="W4490" s="6"/>
      <c r="X4490" s="6"/>
      <c r="Y4490" s="6"/>
      <c r="Z4490" s="6"/>
      <c r="AA4490" s="7"/>
      <c r="AB4490" s="6"/>
      <c r="AC4490" s="6"/>
      <c r="AD4490" s="6"/>
      <c r="AE4490" s="12"/>
      <c r="AF4490" s="6"/>
      <c r="AG4490" s="12"/>
      <c r="AH4490" s="6"/>
      <c r="AI4490" s="6"/>
      <c r="AJ4490" s="12"/>
      <c r="AK4490" s="24"/>
      <c r="AL4490" s="25"/>
      <c r="AM4490" s="12"/>
      <c r="AN4490" s="1"/>
      <c r="AO4490" s="6"/>
    </row>
    <row r="4491" spans="1:41" ht="15" x14ac:dyDescent="0.25">
      <c r="A4491" s="1"/>
      <c r="B4491" s="1"/>
      <c r="C4491" s="1"/>
      <c r="D4491" s="1"/>
      <c r="E4491" s="6"/>
      <c r="F4491" s="1"/>
      <c r="G4491" s="6"/>
      <c r="H4491" s="6"/>
      <c r="I4491" s="6"/>
      <c r="J4491" s="6"/>
      <c r="K4491" s="6"/>
      <c r="L4491" s="6"/>
      <c r="M4491" s="6"/>
      <c r="N4491" s="6"/>
      <c r="O4491" s="7"/>
      <c r="P4491" s="6"/>
      <c r="Q4491" s="6"/>
      <c r="R4491" s="7"/>
      <c r="S4491" s="6"/>
      <c r="T4491" s="6"/>
      <c r="U4491" s="7"/>
      <c r="V4491" s="6"/>
      <c r="W4491" s="6"/>
      <c r="X4491" s="6"/>
      <c r="Y4491" s="6"/>
      <c r="Z4491" s="6"/>
      <c r="AA4491" s="7"/>
      <c r="AB4491" s="6"/>
      <c r="AC4491" s="6"/>
      <c r="AD4491" s="6"/>
      <c r="AE4491" s="12"/>
      <c r="AF4491" s="12"/>
      <c r="AG4491" s="12"/>
      <c r="AH4491" s="12"/>
      <c r="AI4491" s="6"/>
      <c r="AJ4491" s="12"/>
      <c r="AK4491" s="1"/>
      <c r="AL4491" s="12"/>
      <c r="AM4491" s="12"/>
      <c r="AN4491" s="1"/>
      <c r="AO4491" s="6"/>
    </row>
    <row r="4492" spans="1:41" ht="15" x14ac:dyDescent="0.25">
      <c r="A4492" s="1"/>
      <c r="B4492" s="1"/>
      <c r="C4492" s="1"/>
      <c r="D4492" s="1"/>
      <c r="E4492" s="6"/>
      <c r="F4492" s="1"/>
      <c r="G4492" s="6"/>
      <c r="H4492" s="6"/>
      <c r="I4492" s="6"/>
      <c r="J4492" s="6"/>
      <c r="K4492" s="12"/>
      <c r="L4492" s="6"/>
      <c r="M4492" s="6"/>
      <c r="N4492" s="6"/>
      <c r="O4492" s="7"/>
      <c r="P4492" s="6"/>
      <c r="Q4492" s="6"/>
      <c r="R4492" s="7"/>
      <c r="S4492" s="6"/>
      <c r="T4492" s="6"/>
      <c r="U4492" s="7"/>
      <c r="V4492" s="6"/>
      <c r="W4492" s="6"/>
      <c r="X4492" s="6"/>
      <c r="Y4492" s="6"/>
      <c r="Z4492" s="6"/>
      <c r="AA4492" s="7"/>
      <c r="AB4492" s="6"/>
      <c r="AC4492" s="6"/>
      <c r="AD4492" s="6"/>
      <c r="AE4492" s="12"/>
      <c r="AF4492" s="6"/>
      <c r="AG4492" s="12"/>
      <c r="AH4492" s="6"/>
      <c r="AI4492" s="6"/>
      <c r="AJ4492" s="12"/>
      <c r="AK4492" s="24"/>
      <c r="AL4492" s="25"/>
      <c r="AM4492" s="12"/>
      <c r="AN4492" s="1"/>
      <c r="AO4492" s="12"/>
    </row>
    <row r="4493" spans="1:41" ht="15" x14ac:dyDescent="0.25">
      <c r="A4493" s="1"/>
      <c r="B4493" s="1"/>
      <c r="C4493" s="1"/>
      <c r="D4493" s="1"/>
      <c r="E4493" s="6"/>
      <c r="F4493" s="1"/>
      <c r="G4493" s="6"/>
      <c r="H4493" s="6"/>
      <c r="I4493" s="6"/>
      <c r="J4493" s="6"/>
      <c r="K4493" s="12"/>
      <c r="L4493" s="6"/>
      <c r="M4493" s="6"/>
      <c r="N4493" s="6"/>
      <c r="O4493" s="7"/>
      <c r="P4493" s="6"/>
      <c r="Q4493" s="6"/>
      <c r="R4493" s="7"/>
      <c r="S4493" s="6"/>
      <c r="T4493" s="6"/>
      <c r="U4493" s="7"/>
      <c r="V4493" s="6"/>
      <c r="W4493" s="6"/>
      <c r="X4493" s="6"/>
      <c r="Y4493" s="6"/>
      <c r="Z4493" s="6"/>
      <c r="AA4493" s="7"/>
      <c r="AB4493" s="6"/>
      <c r="AC4493" s="6"/>
      <c r="AD4493" s="6"/>
      <c r="AE4493" s="12"/>
      <c r="AF4493" s="6"/>
      <c r="AG4493" s="12"/>
      <c r="AH4493" s="6"/>
      <c r="AI4493" s="6"/>
      <c r="AJ4493" s="12"/>
      <c r="AK4493" s="24"/>
      <c r="AL4493" s="25"/>
      <c r="AM4493" s="12"/>
      <c r="AN4493" s="1"/>
      <c r="AO4493" s="12"/>
    </row>
    <row r="4494" spans="1:41" ht="15" x14ac:dyDescent="0.25">
      <c r="A4494" s="1"/>
      <c r="B4494" s="1"/>
      <c r="C4494" s="1"/>
      <c r="D4494" s="1"/>
      <c r="E4494" s="6"/>
      <c r="F4494" s="1"/>
      <c r="G4494" s="6"/>
      <c r="H4494" s="6"/>
      <c r="I4494" s="6"/>
      <c r="J4494" s="6"/>
      <c r="K4494" s="6"/>
      <c r="L4494" s="6"/>
      <c r="M4494" s="6"/>
      <c r="N4494" s="6"/>
      <c r="O4494" s="7"/>
      <c r="P4494" s="6"/>
      <c r="Q4494" s="6"/>
      <c r="R4494" s="7"/>
      <c r="S4494" s="6"/>
      <c r="T4494" s="6"/>
      <c r="U4494" s="7"/>
      <c r="V4494" s="6"/>
      <c r="W4494" s="6"/>
      <c r="X4494" s="6"/>
      <c r="Y4494" s="6"/>
      <c r="Z4494" s="6"/>
      <c r="AA4494" s="7"/>
      <c r="AB4494" s="6"/>
      <c r="AC4494" s="6"/>
      <c r="AD4494" s="6"/>
      <c r="AE4494" s="12"/>
      <c r="AF4494" s="6"/>
      <c r="AG4494" s="12"/>
      <c r="AH4494" s="6"/>
      <c r="AI4494" s="6"/>
      <c r="AJ4494" s="12"/>
      <c r="AK4494" s="24"/>
      <c r="AL4494" s="25"/>
      <c r="AM4494" s="12"/>
      <c r="AN4494" s="1"/>
      <c r="AO4494" s="6"/>
    </row>
    <row r="4495" spans="1:41" ht="15" x14ac:dyDescent="0.25">
      <c r="A4495" s="1"/>
      <c r="B4495" s="1"/>
      <c r="C4495" s="1"/>
      <c r="D4495" s="1"/>
      <c r="E4495" s="6"/>
      <c r="F4495" s="1"/>
      <c r="G4495" s="6"/>
      <c r="H4495" s="6"/>
      <c r="I4495" s="6"/>
      <c r="J4495" s="6"/>
      <c r="K4495" s="6"/>
      <c r="L4495" s="6"/>
      <c r="M4495" s="6"/>
      <c r="N4495" s="6"/>
      <c r="O4495" s="7"/>
      <c r="P4495" s="6"/>
      <c r="Q4495" s="6"/>
      <c r="R4495" s="7"/>
      <c r="S4495" s="6"/>
      <c r="T4495" s="6"/>
      <c r="U4495" s="7"/>
      <c r="V4495" s="6"/>
      <c r="W4495" s="6"/>
      <c r="X4495" s="6"/>
      <c r="Y4495" s="6"/>
      <c r="Z4495" s="6"/>
      <c r="AA4495" s="7"/>
      <c r="AB4495" s="6"/>
      <c r="AC4495" s="6"/>
      <c r="AD4495" s="6"/>
      <c r="AE4495" s="12"/>
      <c r="AF4495" s="6"/>
      <c r="AG4495" s="12"/>
      <c r="AH4495" s="6"/>
      <c r="AI4495" s="6"/>
      <c r="AJ4495" s="12"/>
      <c r="AK4495" s="24"/>
      <c r="AL4495" s="25"/>
      <c r="AM4495" s="12"/>
      <c r="AN4495" s="1"/>
      <c r="AO4495" s="6"/>
    </row>
    <row r="4496" spans="1:41" ht="15" x14ac:dyDescent="0.25">
      <c r="A4496" s="1"/>
      <c r="B4496" s="1"/>
      <c r="C4496" s="1"/>
      <c r="D4496" s="1"/>
      <c r="E4496" s="6"/>
      <c r="F4496" s="1"/>
      <c r="G4496" s="6"/>
      <c r="H4496" s="6"/>
      <c r="I4496" s="6"/>
      <c r="J4496" s="6"/>
      <c r="K4496" s="6"/>
      <c r="L4496" s="6"/>
      <c r="M4496" s="6"/>
      <c r="N4496" s="6"/>
      <c r="O4496" s="7"/>
      <c r="P4496" s="12"/>
      <c r="Q4496" s="6"/>
      <c r="R4496" s="7"/>
      <c r="S4496" s="6"/>
      <c r="T4496" s="6"/>
      <c r="U4496" s="7"/>
      <c r="V4496" s="6"/>
      <c r="W4496" s="6"/>
      <c r="X4496" s="6"/>
      <c r="Y4496" s="6"/>
      <c r="Z4496" s="6"/>
      <c r="AA4496" s="7"/>
      <c r="AB4496" s="6"/>
      <c r="AC4496" s="6"/>
      <c r="AD4496" s="6"/>
      <c r="AE4496" s="12"/>
      <c r="AF4496" s="12"/>
      <c r="AG4496" s="12"/>
      <c r="AH4496" s="12"/>
      <c r="AI4496" s="6"/>
      <c r="AJ4496" s="12"/>
      <c r="AK4496" s="1"/>
      <c r="AL4496" s="12"/>
      <c r="AM4496" s="12"/>
      <c r="AN4496" s="1"/>
      <c r="AO4496" s="6"/>
    </row>
    <row r="4497" spans="1:41" ht="15" x14ac:dyDescent="0.25">
      <c r="A4497" s="1"/>
      <c r="B4497" s="1"/>
      <c r="C4497" s="1"/>
      <c r="D4497" s="1"/>
      <c r="E4497" s="6"/>
      <c r="F4497" s="1"/>
      <c r="G4497" s="6"/>
      <c r="H4497" s="6"/>
      <c r="I4497" s="6"/>
      <c r="J4497" s="6"/>
      <c r="K4497" s="6"/>
      <c r="L4497" s="6"/>
      <c r="M4497" s="6"/>
      <c r="N4497" s="6"/>
      <c r="O4497" s="7"/>
      <c r="P4497" s="6"/>
      <c r="Q4497" s="6"/>
      <c r="R4497" s="7"/>
      <c r="S4497" s="6"/>
      <c r="T4497" s="6"/>
      <c r="U4497" s="7"/>
      <c r="V4497" s="6"/>
      <c r="W4497" s="6"/>
      <c r="X4497" s="6"/>
      <c r="Y4497" s="6"/>
      <c r="Z4497" s="6"/>
      <c r="AA4497" s="7"/>
      <c r="AB4497" s="6"/>
      <c r="AC4497" s="6"/>
      <c r="AD4497" s="6"/>
      <c r="AE4497" s="12"/>
      <c r="AF4497" s="12"/>
      <c r="AG4497" s="12"/>
      <c r="AH4497" s="12"/>
      <c r="AI4497" s="6"/>
      <c r="AJ4497" s="12"/>
      <c r="AK4497" s="1"/>
      <c r="AL4497" s="12"/>
      <c r="AM4497" s="12"/>
      <c r="AN4497" s="1"/>
      <c r="AO4497" s="6"/>
    </row>
    <row r="4498" spans="1:41" ht="15" x14ac:dyDescent="0.25">
      <c r="A4498" s="1"/>
      <c r="B4498" s="1"/>
      <c r="C4498" s="1"/>
      <c r="D4498" s="1"/>
      <c r="E4498" s="6"/>
      <c r="F4498" s="1"/>
      <c r="G4498" s="6"/>
      <c r="H4498" s="6"/>
      <c r="I4498" s="6"/>
      <c r="J4498" s="6"/>
      <c r="K4498" s="6"/>
      <c r="L4498" s="6"/>
      <c r="M4498" s="6"/>
      <c r="N4498" s="6"/>
      <c r="O4498" s="7"/>
      <c r="P4498" s="6"/>
      <c r="Q4498" s="6"/>
      <c r="R4498" s="7"/>
      <c r="S4498" s="6"/>
      <c r="T4498" s="6"/>
      <c r="U4498" s="7"/>
      <c r="V4498" s="6"/>
      <c r="W4498" s="6"/>
      <c r="X4498" s="6"/>
      <c r="Y4498" s="6"/>
      <c r="Z4498" s="6"/>
      <c r="AA4498" s="7"/>
      <c r="AB4498" s="6"/>
      <c r="AC4498" s="6"/>
      <c r="AD4498" s="6"/>
      <c r="AE4498" s="12"/>
      <c r="AF4498" s="6"/>
      <c r="AG4498" s="12"/>
      <c r="AH4498" s="6"/>
      <c r="AI4498" s="6"/>
      <c r="AJ4498" s="12"/>
      <c r="AK4498" s="24"/>
      <c r="AL4498" s="25"/>
      <c r="AM4498" s="12"/>
      <c r="AN4498" s="1"/>
      <c r="AO4498" s="6"/>
    </row>
    <row r="4499" spans="1:41" ht="15" x14ac:dyDescent="0.25">
      <c r="A4499" s="1"/>
      <c r="B4499" s="1"/>
      <c r="C4499" s="1"/>
      <c r="D4499" s="1"/>
      <c r="E4499" s="6"/>
      <c r="F4499" s="1"/>
      <c r="G4499" s="6"/>
      <c r="H4499" s="6"/>
      <c r="I4499" s="6"/>
      <c r="J4499" s="6"/>
      <c r="K4499" s="6"/>
      <c r="L4499" s="6"/>
      <c r="M4499" s="6"/>
      <c r="N4499" s="6"/>
      <c r="O4499" s="7"/>
      <c r="P4499" s="6"/>
      <c r="Q4499" s="6"/>
      <c r="R4499" s="7"/>
      <c r="S4499" s="6"/>
      <c r="T4499" s="6"/>
      <c r="U4499" s="7"/>
      <c r="V4499" s="6"/>
      <c r="W4499" s="6"/>
      <c r="X4499" s="6"/>
      <c r="Y4499" s="6"/>
      <c r="Z4499" s="6"/>
      <c r="AA4499" s="7"/>
      <c r="AB4499" s="6"/>
      <c r="AC4499" s="6"/>
      <c r="AD4499" s="6"/>
      <c r="AE4499" s="12"/>
      <c r="AF4499" s="6"/>
      <c r="AG4499" s="12"/>
      <c r="AH4499" s="6"/>
      <c r="AI4499" s="6"/>
      <c r="AJ4499" s="12"/>
      <c r="AK4499" s="24"/>
      <c r="AL4499" s="25"/>
      <c r="AM4499" s="12"/>
      <c r="AN4499" s="1"/>
      <c r="AO4499" s="6"/>
    </row>
    <row r="4500" spans="1:41" ht="15" x14ac:dyDescent="0.25">
      <c r="A4500" s="1"/>
      <c r="B4500" s="1"/>
      <c r="C4500" s="1"/>
      <c r="D4500" s="1"/>
      <c r="E4500" s="6"/>
      <c r="F4500" s="1"/>
      <c r="G4500" s="6"/>
      <c r="H4500" s="6"/>
      <c r="I4500" s="6"/>
      <c r="J4500" s="6"/>
      <c r="K4500" s="6"/>
      <c r="L4500" s="6"/>
      <c r="M4500" s="6"/>
      <c r="N4500" s="6"/>
      <c r="O4500" s="7"/>
      <c r="P4500" s="6"/>
      <c r="Q4500" s="6"/>
      <c r="R4500" s="7"/>
      <c r="S4500" s="6"/>
      <c r="T4500" s="6"/>
      <c r="U4500" s="7"/>
      <c r="V4500" s="6"/>
      <c r="W4500" s="6"/>
      <c r="X4500" s="6"/>
      <c r="Y4500" s="6"/>
      <c r="Z4500" s="6"/>
      <c r="AA4500" s="7"/>
      <c r="AB4500" s="6"/>
      <c r="AC4500" s="6"/>
      <c r="AD4500" s="6"/>
      <c r="AE4500" s="12"/>
      <c r="AF4500" s="12"/>
      <c r="AG4500" s="12"/>
      <c r="AH4500" s="12"/>
      <c r="AI4500" s="6"/>
      <c r="AJ4500" s="12"/>
      <c r="AK4500" s="1"/>
      <c r="AL4500" s="12"/>
      <c r="AM4500" s="12"/>
      <c r="AN4500" s="1"/>
      <c r="AO4500" s="6"/>
    </row>
    <row r="4501" spans="1:41" ht="15" x14ac:dyDescent="0.25">
      <c r="A4501" s="1"/>
      <c r="B4501" s="1"/>
      <c r="C4501" s="1"/>
      <c r="D4501" s="1"/>
      <c r="E4501" s="6"/>
      <c r="F4501" s="1"/>
      <c r="G4501" s="6"/>
      <c r="H4501" s="6"/>
      <c r="I4501" s="6"/>
      <c r="J4501" s="6"/>
      <c r="K4501" s="6"/>
      <c r="L4501" s="6"/>
      <c r="M4501" s="6"/>
      <c r="N4501" s="6"/>
      <c r="O4501" s="7"/>
      <c r="P4501" s="12"/>
      <c r="Q4501" s="6"/>
      <c r="R4501" s="7"/>
      <c r="S4501" s="6"/>
      <c r="T4501" s="6"/>
      <c r="U4501" s="7"/>
      <c r="V4501" s="6"/>
      <c r="W4501" s="6"/>
      <c r="X4501" s="12"/>
      <c r="Y4501" s="6"/>
      <c r="Z4501" s="6"/>
      <c r="AA4501" s="7"/>
      <c r="AB4501" s="6"/>
      <c r="AC4501" s="6"/>
      <c r="AD4501" s="6"/>
      <c r="AE4501" s="12"/>
      <c r="AF4501" s="6"/>
      <c r="AG4501" s="12"/>
      <c r="AH4501" s="6"/>
      <c r="AI4501" s="6"/>
      <c r="AJ4501" s="12"/>
      <c r="AK4501" s="24"/>
      <c r="AL4501" s="25"/>
      <c r="AM4501" s="12"/>
      <c r="AN4501" s="1"/>
      <c r="AO4501" s="6"/>
    </row>
    <row r="4502" spans="1:41" ht="15" x14ac:dyDescent="0.25">
      <c r="A4502" s="1"/>
      <c r="B4502" s="1"/>
      <c r="C4502" s="1"/>
      <c r="D4502" s="1"/>
      <c r="E4502" s="6"/>
      <c r="F4502" s="1"/>
      <c r="G4502" s="6"/>
      <c r="H4502" s="6"/>
      <c r="I4502" s="6"/>
      <c r="J4502" s="6"/>
      <c r="K4502" s="6"/>
      <c r="L4502" s="6"/>
      <c r="M4502" s="6"/>
      <c r="N4502" s="6"/>
      <c r="O4502" s="7"/>
      <c r="P4502" s="12"/>
      <c r="Q4502" s="6"/>
      <c r="R4502" s="7"/>
      <c r="S4502" s="6"/>
      <c r="T4502" s="6"/>
      <c r="U4502" s="7"/>
      <c r="V4502" s="6"/>
      <c r="W4502" s="6"/>
      <c r="X4502" s="12"/>
      <c r="Y4502" s="6"/>
      <c r="Z4502" s="6"/>
      <c r="AA4502" s="7"/>
      <c r="AB4502" s="6"/>
      <c r="AC4502" s="6"/>
      <c r="AD4502" s="6"/>
      <c r="AE4502" s="12"/>
      <c r="AF4502" s="6"/>
      <c r="AG4502" s="12"/>
      <c r="AH4502" s="6"/>
      <c r="AI4502" s="6"/>
      <c r="AJ4502" s="12"/>
      <c r="AK4502" s="24"/>
      <c r="AL4502" s="25"/>
      <c r="AM4502" s="12"/>
      <c r="AN4502" s="1"/>
      <c r="AO4502" s="6"/>
    </row>
    <row r="4503" spans="1:41" ht="15" x14ac:dyDescent="0.25">
      <c r="A4503" s="1"/>
      <c r="B4503" s="1"/>
      <c r="C4503" s="1"/>
      <c r="D4503" s="1"/>
      <c r="E4503" s="6"/>
      <c r="F4503" s="1"/>
      <c r="G4503" s="6"/>
      <c r="H4503" s="6"/>
      <c r="I4503" s="6"/>
      <c r="J4503" s="6"/>
      <c r="K4503" s="6"/>
      <c r="L4503" s="6"/>
      <c r="M4503" s="6"/>
      <c r="N4503" s="6"/>
      <c r="O4503" s="7"/>
      <c r="P4503" s="12"/>
      <c r="Q4503" s="6"/>
      <c r="R4503" s="7"/>
      <c r="S4503" s="6"/>
      <c r="T4503" s="6"/>
      <c r="U4503" s="7"/>
      <c r="V4503" s="6"/>
      <c r="W4503" s="6"/>
      <c r="X4503" s="6"/>
      <c r="Y4503" s="6"/>
      <c r="Z4503" s="6"/>
      <c r="AA4503" s="7"/>
      <c r="AB4503" s="6"/>
      <c r="AC4503" s="6"/>
      <c r="AD4503" s="6"/>
      <c r="AE4503" s="12"/>
      <c r="AF4503" s="12"/>
      <c r="AG4503" s="12"/>
      <c r="AH4503" s="12"/>
      <c r="AI4503" s="6"/>
      <c r="AJ4503" s="12"/>
      <c r="AK4503" s="1"/>
      <c r="AL4503" s="12"/>
      <c r="AM4503" s="12"/>
      <c r="AN4503" s="1"/>
      <c r="AO4503" s="6"/>
    </row>
    <row r="4504" spans="1:41" ht="15" x14ac:dyDescent="0.25">
      <c r="A4504" s="1"/>
      <c r="B4504" s="1"/>
      <c r="C4504" s="1"/>
      <c r="D4504" s="1"/>
      <c r="E4504" s="6"/>
      <c r="F4504" s="1"/>
      <c r="G4504" s="6"/>
      <c r="H4504" s="6"/>
      <c r="I4504" s="6"/>
      <c r="J4504" s="6"/>
      <c r="K4504" s="6"/>
      <c r="L4504" s="6"/>
      <c r="M4504" s="6"/>
      <c r="N4504" s="6"/>
      <c r="O4504" s="7"/>
      <c r="P4504" s="6"/>
      <c r="Q4504" s="6"/>
      <c r="R4504" s="7"/>
      <c r="S4504" s="6"/>
      <c r="T4504" s="6"/>
      <c r="U4504" s="7"/>
      <c r="V4504" s="6"/>
      <c r="W4504" s="6"/>
      <c r="X4504" s="6"/>
      <c r="Y4504" s="6"/>
      <c r="Z4504" s="6"/>
      <c r="AA4504" s="7"/>
      <c r="AB4504" s="6"/>
      <c r="AC4504" s="6"/>
      <c r="AD4504" s="6"/>
      <c r="AE4504" s="12"/>
      <c r="AF4504" s="6"/>
      <c r="AG4504" s="12"/>
      <c r="AH4504" s="6"/>
      <c r="AI4504" s="6"/>
      <c r="AJ4504" s="12"/>
      <c r="AK4504" s="24"/>
      <c r="AL4504" s="25"/>
      <c r="AM4504" s="12"/>
      <c r="AN4504" s="1"/>
      <c r="AO4504" s="6"/>
    </row>
    <row r="4505" spans="1:41" ht="15" x14ac:dyDescent="0.25">
      <c r="A4505" s="1"/>
      <c r="B4505" s="1"/>
      <c r="C4505" s="1"/>
      <c r="D4505" s="1"/>
      <c r="E4505" s="6"/>
      <c r="F4505" s="1"/>
      <c r="G4505" s="6"/>
      <c r="H4505" s="6"/>
      <c r="I4505" s="6"/>
      <c r="J4505" s="6"/>
      <c r="K4505" s="6"/>
      <c r="L4505" s="6"/>
      <c r="M4505" s="6"/>
      <c r="N4505" s="6"/>
      <c r="O4505" s="7"/>
      <c r="P4505" s="6"/>
      <c r="Q4505" s="6"/>
      <c r="R4505" s="7"/>
      <c r="S4505" s="6"/>
      <c r="T4505" s="6"/>
      <c r="U4505" s="7"/>
      <c r="V4505" s="6"/>
      <c r="W4505" s="6"/>
      <c r="X4505" s="6"/>
      <c r="Y4505" s="6"/>
      <c r="Z4505" s="6"/>
      <c r="AA4505" s="7"/>
      <c r="AB4505" s="6"/>
      <c r="AC4505" s="6"/>
      <c r="AD4505" s="6"/>
      <c r="AE4505" s="12"/>
      <c r="AF4505" s="6"/>
      <c r="AG4505" s="12"/>
      <c r="AH4505" s="6"/>
      <c r="AI4505" s="6"/>
      <c r="AJ4505" s="12"/>
      <c r="AK4505" s="24"/>
      <c r="AL4505" s="25"/>
      <c r="AM4505" s="12"/>
      <c r="AN4505" s="1"/>
      <c r="AO4505" s="6"/>
    </row>
    <row r="4506" spans="1:41" ht="15" x14ac:dyDescent="0.25">
      <c r="A4506" s="1"/>
      <c r="B4506" s="1"/>
      <c r="C4506" s="1"/>
      <c r="D4506" s="1"/>
      <c r="E4506" s="6"/>
      <c r="F4506" s="1"/>
      <c r="G4506" s="6"/>
      <c r="H4506" s="6"/>
      <c r="I4506" s="6"/>
      <c r="J4506" s="6"/>
      <c r="K4506" s="12"/>
      <c r="L4506" s="12"/>
      <c r="M4506" s="6"/>
      <c r="N4506" s="6"/>
      <c r="O4506" s="7"/>
      <c r="P4506" s="6"/>
      <c r="Q4506" s="6"/>
      <c r="R4506" s="7"/>
      <c r="S4506" s="6"/>
      <c r="T4506" s="6"/>
      <c r="U4506" s="7"/>
      <c r="V4506" s="6"/>
      <c r="W4506" s="6"/>
      <c r="X4506" s="6"/>
      <c r="Y4506" s="6"/>
      <c r="Z4506" s="6"/>
      <c r="AA4506" s="7"/>
      <c r="AB4506" s="6"/>
      <c r="AC4506" s="6"/>
      <c r="AD4506" s="6"/>
      <c r="AE4506" s="12"/>
      <c r="AF4506" s="12"/>
      <c r="AG4506" s="12"/>
      <c r="AH4506" s="12"/>
      <c r="AI4506" s="6"/>
      <c r="AJ4506" s="12"/>
      <c r="AK4506" s="1"/>
      <c r="AL4506" s="12"/>
      <c r="AM4506" s="12"/>
      <c r="AN4506" s="1"/>
      <c r="AO4506" s="6"/>
    </row>
    <row r="4507" spans="1:41" ht="15" x14ac:dyDescent="0.25">
      <c r="A4507" s="1"/>
      <c r="B4507" s="1"/>
      <c r="C4507" s="1"/>
      <c r="D4507" s="1"/>
      <c r="E4507" s="6"/>
      <c r="F4507" s="1"/>
      <c r="G4507" s="6"/>
      <c r="H4507" s="6"/>
      <c r="I4507" s="6"/>
      <c r="J4507" s="6"/>
      <c r="K4507" s="6"/>
      <c r="L4507" s="6"/>
      <c r="M4507" s="6"/>
      <c r="N4507" s="6"/>
      <c r="O4507" s="7"/>
      <c r="P4507" s="6"/>
      <c r="Q4507" s="6"/>
      <c r="R4507" s="7"/>
      <c r="S4507" s="6"/>
      <c r="T4507" s="6"/>
      <c r="U4507" s="7"/>
      <c r="V4507" s="6"/>
      <c r="W4507" s="6"/>
      <c r="X4507" s="12"/>
      <c r="Y4507" s="6"/>
      <c r="Z4507" s="6"/>
      <c r="AA4507" s="7"/>
      <c r="AB4507" s="6"/>
      <c r="AC4507" s="6"/>
      <c r="AD4507" s="6"/>
      <c r="AE4507" s="12"/>
      <c r="AF4507" s="6"/>
      <c r="AG4507" s="12"/>
      <c r="AH4507" s="6"/>
      <c r="AI4507" s="6"/>
      <c r="AJ4507" s="12"/>
      <c r="AK4507" s="1"/>
      <c r="AL4507" s="12"/>
      <c r="AM4507" s="12"/>
      <c r="AN4507" s="1"/>
      <c r="AO4507" s="6"/>
    </row>
    <row r="4508" spans="1:41" ht="15" x14ac:dyDescent="0.25">
      <c r="A4508" s="1"/>
      <c r="B4508" s="1"/>
      <c r="C4508" s="1"/>
      <c r="D4508" s="1"/>
      <c r="E4508" s="6"/>
      <c r="F4508" s="1"/>
      <c r="G4508" s="6"/>
      <c r="H4508" s="6"/>
      <c r="I4508" s="6"/>
      <c r="J4508" s="6"/>
      <c r="K4508" s="6"/>
      <c r="L4508" s="6"/>
      <c r="M4508" s="6"/>
      <c r="N4508" s="6"/>
      <c r="O4508" s="7"/>
      <c r="P4508" s="6"/>
      <c r="Q4508" s="6"/>
      <c r="R4508" s="7"/>
      <c r="S4508" s="6"/>
      <c r="T4508" s="6"/>
      <c r="U4508" s="7"/>
      <c r="V4508" s="6"/>
      <c r="W4508" s="6"/>
      <c r="X4508" s="12"/>
      <c r="Y4508" s="6"/>
      <c r="Z4508" s="6"/>
      <c r="AA4508" s="7"/>
      <c r="AB4508" s="6"/>
      <c r="AC4508" s="6"/>
      <c r="AD4508" s="6"/>
      <c r="AE4508" s="12"/>
      <c r="AF4508" s="6"/>
      <c r="AG4508" s="12"/>
      <c r="AH4508" s="6"/>
      <c r="AI4508" s="6"/>
      <c r="AJ4508" s="12"/>
      <c r="AK4508" s="1"/>
      <c r="AL4508" s="12"/>
      <c r="AM4508" s="12"/>
      <c r="AN4508" s="1"/>
      <c r="AO4508" s="6"/>
    </row>
    <row r="4509" spans="1:41" ht="15" x14ac:dyDescent="0.25">
      <c r="A4509" s="1"/>
      <c r="B4509" s="1"/>
      <c r="C4509" s="1"/>
      <c r="D4509" s="1"/>
      <c r="E4509" s="6"/>
      <c r="F4509" s="1"/>
      <c r="G4509" s="6"/>
      <c r="H4509" s="6"/>
      <c r="I4509" s="6"/>
      <c r="J4509" s="6"/>
      <c r="K4509" s="6"/>
      <c r="L4509" s="6"/>
      <c r="M4509" s="6"/>
      <c r="N4509" s="6"/>
      <c r="O4509" s="7"/>
      <c r="P4509" s="6"/>
      <c r="Q4509" s="6"/>
      <c r="R4509" s="7"/>
      <c r="S4509" s="6"/>
      <c r="T4509" s="6"/>
      <c r="U4509" s="7"/>
      <c r="V4509" s="6"/>
      <c r="W4509" s="6"/>
      <c r="X4509" s="12"/>
      <c r="Y4509" s="6"/>
      <c r="Z4509" s="6"/>
      <c r="AA4509" s="7"/>
      <c r="AB4509" s="6"/>
      <c r="AC4509" s="6"/>
      <c r="AD4509" s="6"/>
      <c r="AE4509" s="12"/>
      <c r="AF4509" s="6"/>
      <c r="AG4509" s="12"/>
      <c r="AH4509" s="6"/>
      <c r="AI4509" s="6"/>
      <c r="AJ4509" s="12"/>
      <c r="AK4509" s="1"/>
      <c r="AL4509" s="12"/>
      <c r="AM4509" s="12"/>
      <c r="AN4509" s="1"/>
      <c r="AO4509" s="6"/>
    </row>
    <row r="4510" spans="1:41" ht="15" x14ac:dyDescent="0.25">
      <c r="A4510" s="1"/>
      <c r="B4510" s="1"/>
      <c r="C4510" s="1"/>
      <c r="D4510" s="1"/>
      <c r="E4510" s="6"/>
      <c r="F4510" s="1"/>
      <c r="G4510" s="6"/>
      <c r="H4510" s="6"/>
      <c r="I4510" s="6"/>
      <c r="J4510" s="6"/>
      <c r="K4510" s="6"/>
      <c r="L4510" s="6"/>
      <c r="M4510" s="6"/>
      <c r="N4510" s="6"/>
      <c r="O4510" s="7"/>
      <c r="P4510" s="6"/>
      <c r="Q4510" s="6"/>
      <c r="R4510" s="7"/>
      <c r="S4510" s="6"/>
      <c r="T4510" s="6"/>
      <c r="U4510" s="7"/>
      <c r="V4510" s="6"/>
      <c r="W4510" s="6"/>
      <c r="X4510" s="12"/>
      <c r="Y4510" s="6"/>
      <c r="Z4510" s="6"/>
      <c r="AA4510" s="7"/>
      <c r="AB4510" s="6"/>
      <c r="AC4510" s="6"/>
      <c r="AD4510" s="6"/>
      <c r="AE4510" s="12"/>
      <c r="AF4510" s="6"/>
      <c r="AG4510" s="12"/>
      <c r="AH4510" s="6"/>
      <c r="AI4510" s="6"/>
      <c r="AJ4510" s="12"/>
      <c r="AK4510" s="1"/>
      <c r="AL4510" s="12"/>
      <c r="AM4510" s="12"/>
      <c r="AN4510" s="1"/>
      <c r="AO4510" s="6"/>
    </row>
    <row r="4511" spans="1:41" ht="15" x14ac:dyDescent="0.25">
      <c r="A4511" s="1"/>
      <c r="B4511" s="1"/>
      <c r="C4511" s="1"/>
      <c r="D4511" s="1"/>
      <c r="E4511" s="6"/>
      <c r="F4511" s="1"/>
      <c r="G4511" s="6"/>
      <c r="H4511" s="6"/>
      <c r="I4511" s="6"/>
      <c r="J4511" s="6"/>
      <c r="K4511" s="6"/>
      <c r="L4511" s="6"/>
      <c r="M4511" s="6"/>
      <c r="N4511" s="6"/>
      <c r="O4511" s="7"/>
      <c r="P4511" s="6"/>
      <c r="Q4511" s="7"/>
      <c r="R4511" s="6"/>
      <c r="S4511" s="6"/>
      <c r="T4511" s="6"/>
      <c r="U4511" s="6"/>
      <c r="V4511" s="7"/>
      <c r="W4511" s="7"/>
      <c r="X4511" s="6"/>
      <c r="Y4511" s="6"/>
      <c r="Z4511" s="6"/>
      <c r="AA4511" s="1"/>
      <c r="AB4511" s="12"/>
      <c r="AC4511" s="12"/>
      <c r="AD4511" s="12"/>
      <c r="AE4511" s="12"/>
      <c r="AF4511" s="12"/>
      <c r="AG4511" s="12"/>
      <c r="AH4511" s="12"/>
      <c r="AI4511" s="6"/>
      <c r="AJ4511" s="12"/>
      <c r="AK4511" s="12"/>
      <c r="AL4511" s="12"/>
      <c r="AM4511" s="12"/>
      <c r="AN4511" s="1"/>
      <c r="AO4511" s="6"/>
    </row>
    <row r="4512" spans="1:41" ht="15" x14ac:dyDescent="0.25">
      <c r="A4512" s="1"/>
      <c r="B4512" s="1"/>
      <c r="C4512" s="1"/>
      <c r="D4512" s="1"/>
      <c r="E4512" s="6"/>
      <c r="F4512" s="1"/>
      <c r="G4512" s="6"/>
      <c r="H4512" s="6"/>
      <c r="I4512" s="6"/>
      <c r="J4512" s="6"/>
      <c r="K4512" s="6"/>
      <c r="L4512" s="6"/>
      <c r="M4512" s="6"/>
      <c r="N4512" s="6"/>
      <c r="O4512" s="7"/>
      <c r="P4512" s="6"/>
      <c r="Q4512" s="6"/>
      <c r="R4512" s="7"/>
      <c r="S4512" s="6"/>
      <c r="T4512" s="6"/>
      <c r="U4512" s="7"/>
      <c r="V4512" s="6"/>
      <c r="W4512" s="6"/>
      <c r="X4512" s="12"/>
      <c r="Y4512" s="6"/>
      <c r="Z4512" s="6"/>
      <c r="AA4512" s="7"/>
      <c r="AB4512" s="6"/>
      <c r="AC4512" s="6"/>
      <c r="AD4512" s="6"/>
      <c r="AE4512" s="12"/>
      <c r="AF4512" s="12"/>
      <c r="AG4512" s="12"/>
      <c r="AH4512" s="12"/>
      <c r="AI4512" s="6"/>
      <c r="AJ4512" s="12"/>
      <c r="AK4512" s="24"/>
      <c r="AL4512" s="25"/>
      <c r="AM4512" s="12"/>
      <c r="AN4512" s="1"/>
      <c r="AO4512" s="12"/>
    </row>
    <row r="4513" spans="1:41" ht="15" x14ac:dyDescent="0.25">
      <c r="A4513" s="1"/>
      <c r="B4513" s="1"/>
      <c r="C4513" s="1"/>
      <c r="D4513" s="1"/>
      <c r="E4513" s="6"/>
      <c r="F4513" s="1"/>
      <c r="G4513" s="6"/>
      <c r="H4513" s="6"/>
      <c r="I4513" s="6"/>
      <c r="J4513" s="6"/>
      <c r="K4513" s="6"/>
      <c r="L4513" s="6"/>
      <c r="M4513" s="6"/>
      <c r="N4513" s="6"/>
      <c r="O4513" s="7"/>
      <c r="P4513" s="6"/>
      <c r="Q4513" s="6"/>
      <c r="R4513" s="7"/>
      <c r="S4513" s="6"/>
      <c r="T4513" s="6"/>
      <c r="U4513" s="7"/>
      <c r="V4513" s="6"/>
      <c r="W4513" s="6"/>
      <c r="X4513" s="12"/>
      <c r="Y4513" s="6"/>
      <c r="Z4513" s="6"/>
      <c r="AA4513" s="7"/>
      <c r="AB4513" s="6"/>
      <c r="AC4513" s="6"/>
      <c r="AD4513" s="6"/>
      <c r="AE4513" s="12"/>
      <c r="AF4513" s="12"/>
      <c r="AG4513" s="12"/>
      <c r="AH4513" s="12"/>
      <c r="AI4513" s="6"/>
      <c r="AJ4513" s="12"/>
      <c r="AK4513" s="24"/>
      <c r="AL4513" s="25"/>
      <c r="AM4513" s="12"/>
      <c r="AN4513" s="1"/>
      <c r="AO4513" s="12"/>
    </row>
    <row r="4514" spans="1:41" ht="15" x14ac:dyDescent="0.25">
      <c r="A4514" s="1"/>
      <c r="B4514" s="1"/>
      <c r="C4514" s="1"/>
      <c r="D4514" s="1"/>
      <c r="E4514" s="6"/>
      <c r="F4514" s="1"/>
      <c r="G4514" s="6"/>
      <c r="H4514" s="6"/>
      <c r="I4514" s="6"/>
      <c r="J4514" s="6"/>
      <c r="K4514" s="6"/>
      <c r="L4514" s="6"/>
      <c r="M4514" s="6"/>
      <c r="N4514" s="6"/>
      <c r="O4514" s="7"/>
      <c r="P4514" s="12"/>
      <c r="Q4514" s="6"/>
      <c r="R4514" s="7"/>
      <c r="S4514" s="6"/>
      <c r="T4514" s="6"/>
      <c r="U4514" s="7"/>
      <c r="V4514" s="6"/>
      <c r="W4514" s="6"/>
      <c r="X4514" s="6"/>
      <c r="Y4514" s="6"/>
      <c r="Z4514" s="6"/>
      <c r="AA4514" s="7"/>
      <c r="AB4514" s="6"/>
      <c r="AC4514" s="6"/>
      <c r="AD4514" s="6"/>
      <c r="AE4514" s="12"/>
      <c r="AF4514" s="12"/>
      <c r="AG4514" s="12"/>
      <c r="AH4514" s="12"/>
      <c r="AI4514" s="6"/>
      <c r="AJ4514" s="12"/>
      <c r="AK4514" s="1"/>
      <c r="AL4514" s="12"/>
      <c r="AM4514" s="12"/>
      <c r="AN4514" s="1"/>
      <c r="AO4514" s="6"/>
    </row>
    <row r="4515" spans="1:41" ht="15" x14ac:dyDescent="0.25">
      <c r="A4515" s="1"/>
      <c r="B4515" s="1"/>
      <c r="C4515" s="1"/>
      <c r="D4515" s="1"/>
      <c r="E4515" s="6"/>
      <c r="F4515" s="1"/>
      <c r="G4515" s="6"/>
      <c r="H4515" s="6"/>
      <c r="I4515" s="6"/>
      <c r="J4515" s="6"/>
      <c r="K4515" s="6"/>
      <c r="L4515" s="6"/>
      <c r="M4515" s="6"/>
      <c r="N4515" s="6"/>
      <c r="O4515" s="7"/>
      <c r="P4515" s="6"/>
      <c r="Q4515" s="6"/>
      <c r="R4515" s="7"/>
      <c r="S4515" s="6"/>
      <c r="T4515" s="6"/>
      <c r="U4515" s="7"/>
      <c r="V4515" s="6"/>
      <c r="W4515" s="6"/>
      <c r="X4515" s="6"/>
      <c r="Y4515" s="6"/>
      <c r="Z4515" s="6"/>
      <c r="AA4515" s="7"/>
      <c r="AB4515" s="6"/>
      <c r="AC4515" s="6"/>
      <c r="AD4515" s="6"/>
      <c r="AE4515" s="12"/>
      <c r="AF4515" s="12"/>
      <c r="AG4515" s="12"/>
      <c r="AH4515" s="12"/>
      <c r="AI4515" s="6"/>
      <c r="AJ4515" s="12"/>
      <c r="AK4515" s="1"/>
      <c r="AL4515" s="12"/>
      <c r="AM4515" s="12"/>
      <c r="AN4515" s="1"/>
      <c r="AO4515" s="12"/>
    </row>
    <row r="4516" spans="1:41" ht="15" x14ac:dyDescent="0.25">
      <c r="A4516" s="1"/>
      <c r="B4516" s="1"/>
      <c r="C4516" s="1"/>
      <c r="D4516" s="1"/>
      <c r="E4516" s="6"/>
      <c r="F4516" s="1"/>
      <c r="G4516" s="6"/>
      <c r="H4516" s="6"/>
      <c r="I4516" s="6"/>
      <c r="J4516" s="6"/>
      <c r="K4516" s="6"/>
      <c r="L4516" s="6"/>
      <c r="M4516" s="6"/>
      <c r="N4516" s="6"/>
      <c r="O4516" s="7"/>
      <c r="P4516" s="6"/>
      <c r="Q4516" s="6"/>
      <c r="R4516" s="7"/>
      <c r="S4516" s="6"/>
      <c r="T4516" s="6"/>
      <c r="U4516" s="7"/>
      <c r="V4516" s="6"/>
      <c r="W4516" s="6"/>
      <c r="X4516" s="6"/>
      <c r="Y4516" s="6"/>
      <c r="Z4516" s="6"/>
      <c r="AA4516" s="7"/>
      <c r="AB4516" s="6"/>
      <c r="AC4516" s="6"/>
      <c r="AD4516" s="6"/>
      <c r="AE4516" s="12"/>
      <c r="AF4516" s="12"/>
      <c r="AG4516" s="12"/>
      <c r="AH4516" s="12"/>
      <c r="AI4516" s="6"/>
      <c r="AJ4516" s="12"/>
      <c r="AK4516" s="1"/>
      <c r="AL4516" s="12"/>
      <c r="AM4516" s="12"/>
      <c r="AN4516" s="1"/>
      <c r="AO4516" s="12"/>
    </row>
    <row r="4517" spans="1:41" ht="15" x14ac:dyDescent="0.25">
      <c r="A4517" s="1"/>
      <c r="B4517" s="1"/>
      <c r="C4517" s="1"/>
      <c r="D4517" s="1"/>
      <c r="E4517" s="6"/>
      <c r="F4517" s="1"/>
      <c r="G4517" s="6"/>
      <c r="H4517" s="6"/>
      <c r="I4517" s="6"/>
      <c r="J4517" s="6"/>
      <c r="K4517" s="6"/>
      <c r="L4517" s="6"/>
      <c r="M4517" s="6"/>
      <c r="N4517" s="6"/>
      <c r="O4517" s="7"/>
      <c r="P4517" s="6"/>
      <c r="Q4517" s="6"/>
      <c r="R4517" s="7"/>
      <c r="S4517" s="6"/>
      <c r="T4517" s="6"/>
      <c r="U4517" s="7"/>
      <c r="V4517" s="6"/>
      <c r="W4517" s="6"/>
      <c r="X4517" s="12"/>
      <c r="Y4517" s="6"/>
      <c r="Z4517" s="6"/>
      <c r="AA4517" s="7"/>
      <c r="AB4517" s="6"/>
      <c r="AC4517" s="6"/>
      <c r="AD4517" s="6"/>
      <c r="AE4517" s="12"/>
      <c r="AF4517" s="12"/>
      <c r="AG4517" s="12"/>
      <c r="AH4517" s="12"/>
      <c r="AI4517" s="6"/>
      <c r="AJ4517" s="12"/>
      <c r="AK4517" s="1"/>
      <c r="AL4517" s="12"/>
      <c r="AM4517" s="12"/>
      <c r="AN4517" s="1"/>
      <c r="AO4517" s="6"/>
    </row>
    <row r="4518" spans="1:41" ht="15" x14ac:dyDescent="0.25">
      <c r="A4518" s="1"/>
      <c r="B4518" s="1"/>
      <c r="C4518" s="1"/>
      <c r="D4518" s="1"/>
      <c r="E4518" s="6"/>
      <c r="F4518" s="1"/>
      <c r="G4518" s="6"/>
      <c r="H4518" s="6"/>
      <c r="I4518" s="6"/>
      <c r="J4518" s="6"/>
      <c r="K4518" s="6"/>
      <c r="L4518" s="6"/>
      <c r="M4518" s="6"/>
      <c r="N4518" s="6"/>
      <c r="O4518" s="7"/>
      <c r="P4518" s="6"/>
      <c r="Q4518" s="6"/>
      <c r="R4518" s="7"/>
      <c r="S4518" s="6"/>
      <c r="T4518" s="6"/>
      <c r="U4518" s="7"/>
      <c r="V4518" s="6"/>
      <c r="W4518" s="6"/>
      <c r="X4518" s="12"/>
      <c r="Y4518" s="6"/>
      <c r="Z4518" s="6"/>
      <c r="AA4518" s="7"/>
      <c r="AB4518" s="6"/>
      <c r="AC4518" s="6"/>
      <c r="AD4518" s="6"/>
      <c r="AE4518" s="12"/>
      <c r="AF4518" s="12"/>
      <c r="AG4518" s="12"/>
      <c r="AH4518" s="12"/>
      <c r="AI4518" s="6"/>
      <c r="AJ4518" s="12"/>
      <c r="AK4518" s="1"/>
      <c r="AL4518" s="12"/>
      <c r="AM4518" s="12"/>
      <c r="AN4518" s="1"/>
      <c r="AO4518" s="6"/>
    </row>
    <row r="4519" spans="1:41" ht="15" x14ac:dyDescent="0.25">
      <c r="A4519" s="1"/>
      <c r="B4519" s="1"/>
      <c r="C4519" s="1"/>
      <c r="D4519" s="1"/>
      <c r="E4519" s="6"/>
      <c r="F4519" s="1"/>
      <c r="G4519" s="6"/>
      <c r="H4519" s="6"/>
      <c r="I4519" s="6"/>
      <c r="J4519" s="6"/>
      <c r="K4519" s="6"/>
      <c r="L4519" s="6"/>
      <c r="M4519" s="6"/>
      <c r="N4519" s="6"/>
      <c r="O4519" s="7"/>
      <c r="P4519" s="6"/>
      <c r="Q4519" s="6"/>
      <c r="R4519" s="7"/>
      <c r="S4519" s="6"/>
      <c r="T4519" s="6"/>
      <c r="U4519" s="7"/>
      <c r="V4519" s="6"/>
      <c r="W4519" s="6"/>
      <c r="X4519" s="6"/>
      <c r="Y4519" s="6"/>
      <c r="Z4519" s="6"/>
      <c r="AA4519" s="7"/>
      <c r="AB4519" s="6"/>
      <c r="AC4519" s="6"/>
      <c r="AD4519" s="6"/>
      <c r="AE4519" s="12"/>
      <c r="AF4519" s="6"/>
      <c r="AG4519" s="12"/>
      <c r="AH4519" s="6"/>
      <c r="AI4519" s="6"/>
      <c r="AJ4519" s="12"/>
      <c r="AK4519" s="1"/>
      <c r="AL4519" s="12"/>
      <c r="AM4519" s="12"/>
      <c r="AN4519" s="1"/>
      <c r="AO4519" s="6"/>
    </row>
    <row r="4520" spans="1:41" ht="15" x14ac:dyDescent="0.25">
      <c r="A4520" s="1"/>
      <c r="B4520" s="1"/>
      <c r="C4520" s="1"/>
      <c r="D4520" s="1"/>
      <c r="E4520" s="6"/>
      <c r="F4520" s="1"/>
      <c r="G4520" s="6"/>
      <c r="H4520" s="6"/>
      <c r="I4520" s="6"/>
      <c r="J4520" s="6"/>
      <c r="K4520" s="6"/>
      <c r="L4520" s="6"/>
      <c r="M4520" s="6"/>
      <c r="N4520" s="6"/>
      <c r="O4520" s="7"/>
      <c r="P4520" s="6"/>
      <c r="Q4520" s="6"/>
      <c r="R4520" s="7"/>
      <c r="S4520" s="6"/>
      <c r="T4520" s="6"/>
      <c r="U4520" s="7"/>
      <c r="V4520" s="6"/>
      <c r="W4520" s="6"/>
      <c r="X4520" s="6"/>
      <c r="Y4520" s="6"/>
      <c r="Z4520" s="6"/>
      <c r="AA4520" s="7"/>
      <c r="AB4520" s="6"/>
      <c r="AC4520" s="6"/>
      <c r="AD4520" s="6"/>
      <c r="AE4520" s="12"/>
      <c r="AF4520" s="6"/>
      <c r="AG4520" s="12"/>
      <c r="AH4520" s="6"/>
      <c r="AI4520" s="6"/>
      <c r="AJ4520" s="12"/>
      <c r="AK4520" s="1"/>
      <c r="AL4520" s="12"/>
      <c r="AM4520" s="12"/>
      <c r="AN4520" s="1"/>
      <c r="AO4520" s="6"/>
    </row>
    <row r="4521" spans="1:41" ht="15" x14ac:dyDescent="0.25">
      <c r="A4521" s="1"/>
      <c r="B4521" s="1"/>
      <c r="C4521" s="1"/>
      <c r="D4521" s="1"/>
      <c r="E4521" s="6"/>
      <c r="F4521" s="1"/>
      <c r="G4521" s="6"/>
      <c r="H4521" s="6"/>
      <c r="I4521" s="6"/>
      <c r="J4521" s="6"/>
      <c r="K4521" s="6"/>
      <c r="L4521" s="6"/>
      <c r="M4521" s="6"/>
      <c r="N4521" s="6"/>
      <c r="O4521" s="7"/>
      <c r="P4521" s="6"/>
      <c r="Q4521" s="6"/>
      <c r="R4521" s="7"/>
      <c r="S4521" s="6"/>
      <c r="T4521" s="6"/>
      <c r="U4521" s="7"/>
      <c r="V4521" s="6"/>
      <c r="W4521" s="6"/>
      <c r="X4521" s="12"/>
      <c r="Y4521" s="6"/>
      <c r="Z4521" s="6"/>
      <c r="AA4521" s="7"/>
      <c r="AB4521" s="6"/>
      <c r="AC4521" s="6"/>
      <c r="AD4521" s="6"/>
      <c r="AE4521" s="12"/>
      <c r="AF4521" s="12"/>
      <c r="AG4521" s="12"/>
      <c r="AH4521" s="12"/>
      <c r="AI4521" s="6"/>
      <c r="AJ4521" s="12"/>
      <c r="AK4521" s="1"/>
      <c r="AL4521" s="12"/>
      <c r="AM4521" s="12"/>
      <c r="AN4521" s="1"/>
      <c r="AO4521" s="6"/>
    </row>
    <row r="4522" spans="1:41" ht="15" x14ac:dyDescent="0.25">
      <c r="A4522" s="1"/>
      <c r="B4522" s="1"/>
      <c r="C4522" s="1"/>
      <c r="D4522" s="1"/>
      <c r="E4522" s="6"/>
      <c r="F4522" s="1"/>
      <c r="G4522" s="6"/>
      <c r="H4522" s="6"/>
      <c r="I4522" s="6"/>
      <c r="J4522" s="6"/>
      <c r="K4522" s="6"/>
      <c r="L4522" s="6"/>
      <c r="M4522" s="6"/>
      <c r="N4522" s="6"/>
      <c r="O4522" s="12"/>
      <c r="P4522" s="12"/>
      <c r="Q4522" s="7"/>
      <c r="R4522" s="6"/>
      <c r="S4522" s="12"/>
      <c r="T4522" s="6"/>
      <c r="U4522" s="6"/>
      <c r="V4522" s="7"/>
      <c r="W4522" s="7"/>
      <c r="X4522" s="6"/>
      <c r="Y4522" s="6"/>
      <c r="Z4522" s="6"/>
      <c r="AA4522" s="1"/>
      <c r="AB4522" s="12"/>
      <c r="AC4522" s="12"/>
      <c r="AD4522" s="12"/>
      <c r="AE4522" s="12"/>
      <c r="AF4522" s="12"/>
      <c r="AG4522" s="12"/>
      <c r="AH4522" s="12"/>
      <c r="AI4522" s="6"/>
      <c r="AJ4522" s="12"/>
      <c r="AK4522" s="12"/>
      <c r="AL4522" s="12"/>
      <c r="AM4522" s="12"/>
      <c r="AN4522" s="1"/>
      <c r="AO4522" s="6"/>
    </row>
    <row r="4523" spans="1:41" ht="15" x14ac:dyDescent="0.25">
      <c r="A4523" s="1"/>
      <c r="B4523" s="1"/>
      <c r="C4523" s="1"/>
      <c r="D4523" s="1"/>
      <c r="E4523" s="6"/>
      <c r="F4523" s="1"/>
      <c r="G4523" s="6"/>
      <c r="H4523" s="6"/>
      <c r="I4523" s="6"/>
      <c r="J4523" s="6"/>
      <c r="K4523" s="6"/>
      <c r="L4523" s="6"/>
      <c r="M4523" s="6"/>
      <c r="N4523" s="6"/>
      <c r="O4523" s="12"/>
      <c r="P4523" s="12"/>
      <c r="Q4523" s="7"/>
      <c r="R4523" s="6"/>
      <c r="S4523" s="12"/>
      <c r="T4523" s="6"/>
      <c r="U4523" s="6"/>
      <c r="V4523" s="7"/>
      <c r="W4523" s="7"/>
      <c r="X4523" s="6"/>
      <c r="Y4523" s="6"/>
      <c r="Z4523" s="6"/>
      <c r="AA4523" s="1"/>
      <c r="AB4523" s="12"/>
      <c r="AC4523" s="12"/>
      <c r="AD4523" s="12"/>
      <c r="AE4523" s="12"/>
      <c r="AF4523" s="12"/>
      <c r="AG4523" s="12"/>
      <c r="AH4523" s="12"/>
      <c r="AI4523" s="6"/>
      <c r="AJ4523" s="12"/>
      <c r="AK4523" s="12"/>
      <c r="AL4523" s="12"/>
      <c r="AM4523" s="12"/>
      <c r="AN4523" s="1"/>
      <c r="AO4523" s="6"/>
    </row>
    <row r="4524" spans="1:41" ht="15" x14ac:dyDescent="0.25">
      <c r="A4524" s="1"/>
      <c r="B4524" s="1"/>
      <c r="C4524" s="1"/>
      <c r="D4524" s="1"/>
      <c r="E4524" s="6"/>
      <c r="F4524" s="1"/>
      <c r="G4524" s="6"/>
      <c r="H4524" s="6"/>
      <c r="I4524" s="6"/>
      <c r="J4524" s="6"/>
      <c r="K4524" s="6"/>
      <c r="L4524" s="6"/>
      <c r="M4524" s="6"/>
      <c r="N4524" s="6"/>
      <c r="O4524" s="7"/>
      <c r="P4524" s="6"/>
      <c r="Q4524" s="6"/>
      <c r="R4524" s="7"/>
      <c r="S4524" s="6"/>
      <c r="T4524" s="6"/>
      <c r="U4524" s="7"/>
      <c r="V4524" s="6"/>
      <c r="W4524" s="6"/>
      <c r="X4524" s="6"/>
      <c r="Y4524" s="6"/>
      <c r="Z4524" s="6"/>
      <c r="AA4524" s="7"/>
      <c r="AB4524" s="6"/>
      <c r="AC4524" s="6"/>
      <c r="AD4524" s="6"/>
      <c r="AE4524" s="12"/>
      <c r="AF4524" s="6"/>
      <c r="AG4524" s="12"/>
      <c r="AH4524" s="6"/>
      <c r="AI4524" s="6"/>
      <c r="AJ4524" s="12"/>
      <c r="AK4524" s="24"/>
      <c r="AL4524" s="25"/>
      <c r="AM4524" s="12"/>
      <c r="AN4524" s="1"/>
      <c r="AO4524" s="6"/>
    </row>
    <row r="4525" spans="1:41" ht="15" x14ac:dyDescent="0.25">
      <c r="A4525" s="1"/>
      <c r="B4525" s="1"/>
      <c r="C4525" s="1"/>
      <c r="D4525" s="1"/>
      <c r="E4525" s="6"/>
      <c r="F4525" s="1"/>
      <c r="G4525" s="6"/>
      <c r="H4525" s="6"/>
      <c r="I4525" s="6"/>
      <c r="J4525" s="6"/>
      <c r="K4525" s="6"/>
      <c r="L4525" s="6"/>
      <c r="M4525" s="6"/>
      <c r="N4525" s="6"/>
      <c r="O4525" s="7"/>
      <c r="P4525" s="6"/>
      <c r="Q4525" s="6"/>
      <c r="R4525" s="7"/>
      <c r="S4525" s="6"/>
      <c r="T4525" s="6"/>
      <c r="U4525" s="7"/>
      <c r="V4525" s="6"/>
      <c r="W4525" s="6"/>
      <c r="X4525" s="6"/>
      <c r="Y4525" s="6"/>
      <c r="Z4525" s="6"/>
      <c r="AA4525" s="7"/>
      <c r="AB4525" s="6"/>
      <c r="AC4525" s="6"/>
      <c r="AD4525" s="6"/>
      <c r="AE4525" s="12"/>
      <c r="AF4525" s="6"/>
      <c r="AG4525" s="12"/>
      <c r="AH4525" s="6"/>
      <c r="AI4525" s="6"/>
      <c r="AJ4525" s="12"/>
      <c r="AK4525" s="24"/>
      <c r="AL4525" s="25"/>
      <c r="AM4525" s="12"/>
      <c r="AN4525" s="1"/>
      <c r="AO4525" s="6"/>
    </row>
    <row r="4526" spans="1:41" ht="15" x14ac:dyDescent="0.25">
      <c r="A4526" s="1"/>
      <c r="B4526" s="1"/>
      <c r="C4526" s="1"/>
      <c r="D4526" s="1"/>
      <c r="E4526" s="6"/>
      <c r="F4526" s="1"/>
      <c r="G4526" s="6"/>
      <c r="H4526" s="6"/>
      <c r="I4526" s="6"/>
      <c r="J4526" s="6"/>
      <c r="K4526" s="6"/>
      <c r="L4526" s="6"/>
      <c r="M4526" s="6"/>
      <c r="N4526" s="6"/>
      <c r="O4526" s="7"/>
      <c r="P4526" s="6"/>
      <c r="Q4526" s="6"/>
      <c r="R4526" s="7"/>
      <c r="S4526" s="6"/>
      <c r="T4526" s="6"/>
      <c r="U4526" s="7"/>
      <c r="V4526" s="6"/>
      <c r="W4526" s="6"/>
      <c r="X4526" s="6"/>
      <c r="Y4526" s="6"/>
      <c r="Z4526" s="6"/>
      <c r="AA4526" s="7"/>
      <c r="AB4526" s="6"/>
      <c r="AC4526" s="6"/>
      <c r="AD4526" s="6"/>
      <c r="AE4526" s="12"/>
      <c r="AF4526" s="6"/>
      <c r="AG4526" s="12"/>
      <c r="AH4526" s="6"/>
      <c r="AI4526" s="6"/>
      <c r="AJ4526" s="12"/>
      <c r="AK4526" s="24"/>
      <c r="AL4526" s="25"/>
      <c r="AM4526" s="12"/>
      <c r="AN4526" s="1"/>
      <c r="AO4526" s="6"/>
    </row>
    <row r="4527" spans="1:41" ht="15" x14ac:dyDescent="0.25">
      <c r="A4527" s="1"/>
      <c r="B4527" s="1"/>
      <c r="C4527" s="1"/>
      <c r="D4527" s="1"/>
      <c r="E4527" s="6"/>
      <c r="F4527" s="1"/>
      <c r="G4527" s="6"/>
      <c r="H4527" s="6"/>
      <c r="I4527" s="6"/>
      <c r="J4527" s="6"/>
      <c r="K4527" s="6"/>
      <c r="L4527" s="6"/>
      <c r="M4527" s="6"/>
      <c r="N4527" s="6"/>
      <c r="O4527" s="7"/>
      <c r="P4527" s="6"/>
      <c r="Q4527" s="6"/>
      <c r="R4527" s="7"/>
      <c r="S4527" s="6"/>
      <c r="T4527" s="6"/>
      <c r="U4527" s="7"/>
      <c r="V4527" s="6"/>
      <c r="W4527" s="6"/>
      <c r="X4527" s="6"/>
      <c r="Y4527" s="6"/>
      <c r="Z4527" s="6"/>
      <c r="AA4527" s="7"/>
      <c r="AB4527" s="6"/>
      <c r="AC4527" s="6"/>
      <c r="AD4527" s="6"/>
      <c r="AE4527" s="12"/>
      <c r="AF4527" s="6"/>
      <c r="AG4527" s="12"/>
      <c r="AH4527" s="6"/>
      <c r="AI4527" s="6"/>
      <c r="AJ4527" s="12"/>
      <c r="AK4527" s="24"/>
      <c r="AL4527" s="25"/>
      <c r="AM4527" s="12"/>
      <c r="AN4527" s="1"/>
      <c r="AO4527" s="6"/>
    </row>
    <row r="4528" spans="1:41" ht="15" x14ac:dyDescent="0.25">
      <c r="A4528" s="1"/>
      <c r="B4528" s="1"/>
      <c r="C4528" s="1"/>
      <c r="D4528" s="1"/>
      <c r="E4528" s="6"/>
      <c r="F4528" s="1"/>
      <c r="G4528" s="6"/>
      <c r="H4528" s="6"/>
      <c r="I4528" s="6"/>
      <c r="J4528" s="6"/>
      <c r="K4528" s="12"/>
      <c r="L4528" s="12"/>
      <c r="M4528" s="6"/>
      <c r="N4528" s="6"/>
      <c r="O4528" s="7"/>
      <c r="P4528" s="6"/>
      <c r="Q4528" s="7"/>
      <c r="R4528" s="6"/>
      <c r="S4528" s="6"/>
      <c r="T4528" s="6"/>
      <c r="U4528" s="6"/>
      <c r="V4528" s="7"/>
      <c r="W4528" s="7"/>
      <c r="X4528" s="6"/>
      <c r="Y4528" s="6"/>
      <c r="Z4528" s="6"/>
      <c r="AA4528" s="1"/>
      <c r="AB4528" s="12"/>
      <c r="AC4528" s="12"/>
      <c r="AD4528" s="12"/>
      <c r="AE4528" s="12"/>
      <c r="AF4528" s="12"/>
      <c r="AG4528" s="12"/>
      <c r="AH4528" s="12"/>
      <c r="AI4528" s="6"/>
      <c r="AJ4528" s="12"/>
      <c r="AK4528" s="12"/>
      <c r="AL4528" s="12"/>
      <c r="AM4528" s="12"/>
      <c r="AN4528" s="1"/>
      <c r="AO4528" s="6"/>
    </row>
    <row r="4529" spans="1:41" ht="15" x14ac:dyDescent="0.25">
      <c r="A4529" s="1"/>
      <c r="B4529" s="1"/>
      <c r="C4529" s="1"/>
      <c r="D4529" s="1"/>
      <c r="E4529" s="6"/>
      <c r="F4529" s="1"/>
      <c r="G4529" s="6"/>
      <c r="H4529" s="6"/>
      <c r="I4529" s="6"/>
      <c r="J4529" s="6"/>
      <c r="K4529" s="6"/>
      <c r="L4529" s="6"/>
      <c r="M4529" s="6"/>
      <c r="N4529" s="6"/>
      <c r="O4529" s="7"/>
      <c r="P4529" s="6"/>
      <c r="Q4529" s="6"/>
      <c r="R4529" s="7"/>
      <c r="S4529" s="6"/>
      <c r="T4529" s="6"/>
      <c r="U4529" s="7"/>
      <c r="V4529" s="6"/>
      <c r="W4529" s="6"/>
      <c r="X4529" s="12"/>
      <c r="Y4529" s="6"/>
      <c r="Z4529" s="6"/>
      <c r="AA4529" s="7"/>
      <c r="AB4529" s="6"/>
      <c r="AC4529" s="6"/>
      <c r="AD4529" s="6"/>
      <c r="AE4529" s="12"/>
      <c r="AF4529" s="6"/>
      <c r="AG4529" s="12"/>
      <c r="AH4529" s="6"/>
      <c r="AI4529" s="6"/>
      <c r="AJ4529" s="12"/>
      <c r="AK4529" s="1"/>
      <c r="AL4529" s="12"/>
      <c r="AM4529" s="12"/>
      <c r="AN4529" s="1"/>
      <c r="AO4529" s="6"/>
    </row>
    <row r="4530" spans="1:41" ht="15" x14ac:dyDescent="0.25">
      <c r="A4530" s="1"/>
      <c r="B4530" s="1"/>
      <c r="C4530" s="1"/>
      <c r="D4530" s="1"/>
      <c r="E4530" s="6"/>
      <c r="F4530" s="1"/>
      <c r="G4530" s="6"/>
      <c r="H4530" s="6"/>
      <c r="I4530" s="6"/>
      <c r="J4530" s="6"/>
      <c r="K4530" s="6"/>
      <c r="L4530" s="6"/>
      <c r="M4530" s="6"/>
      <c r="N4530" s="6"/>
      <c r="O4530" s="7"/>
      <c r="P4530" s="6"/>
      <c r="Q4530" s="6"/>
      <c r="R4530" s="7"/>
      <c r="S4530" s="6"/>
      <c r="T4530" s="6"/>
      <c r="U4530" s="7"/>
      <c r="V4530" s="6"/>
      <c r="W4530" s="6"/>
      <c r="X4530" s="12"/>
      <c r="Y4530" s="6"/>
      <c r="Z4530" s="6"/>
      <c r="AA4530" s="7"/>
      <c r="AB4530" s="6"/>
      <c r="AC4530" s="6"/>
      <c r="AD4530" s="6"/>
      <c r="AE4530" s="12"/>
      <c r="AF4530" s="6"/>
      <c r="AG4530" s="12"/>
      <c r="AH4530" s="6"/>
      <c r="AI4530" s="6"/>
      <c r="AJ4530" s="12"/>
      <c r="AK4530" s="1"/>
      <c r="AL4530" s="12"/>
      <c r="AM4530" s="12"/>
      <c r="AN4530" s="1"/>
      <c r="AO4530" s="6"/>
    </row>
    <row r="4531" spans="1:41" ht="15" x14ac:dyDescent="0.25">
      <c r="A4531" s="1"/>
      <c r="B4531" s="1"/>
      <c r="C4531" s="1"/>
      <c r="D4531" s="1"/>
      <c r="E4531" s="6"/>
      <c r="F4531" s="1"/>
      <c r="G4531" s="6"/>
      <c r="H4531" s="6"/>
      <c r="I4531" s="6"/>
      <c r="J4531" s="6"/>
      <c r="K4531" s="6"/>
      <c r="L4531" s="6"/>
      <c r="M4531" s="6"/>
      <c r="N4531" s="6"/>
      <c r="O4531" s="7"/>
      <c r="P4531" s="6"/>
      <c r="Q4531" s="7"/>
      <c r="R4531" s="6"/>
      <c r="S4531" s="12"/>
      <c r="T4531" s="6"/>
      <c r="U4531" s="6"/>
      <c r="V4531" s="7"/>
      <c r="W4531" s="6"/>
      <c r="X4531" s="6"/>
      <c r="Y4531" s="6"/>
      <c r="Z4531" s="6"/>
      <c r="AA4531" s="1"/>
      <c r="AB4531" s="12"/>
      <c r="AC4531" s="12"/>
      <c r="AD4531" s="12"/>
      <c r="AE4531" s="12"/>
      <c r="AF4531" s="6"/>
      <c r="AG4531" s="12"/>
      <c r="AH4531" s="6"/>
      <c r="AI4531" s="6"/>
      <c r="AJ4531" s="12"/>
      <c r="AK4531" s="12"/>
      <c r="AL4531" s="12"/>
      <c r="AM4531" s="12"/>
      <c r="AN4531" s="1"/>
      <c r="AO4531" s="6"/>
    </row>
    <row r="4532" spans="1:41" ht="15" x14ac:dyDescent="0.25">
      <c r="A4532" s="1"/>
      <c r="B4532" s="1"/>
      <c r="C4532" s="1"/>
      <c r="D4532" s="1"/>
      <c r="E4532" s="6"/>
      <c r="F4532" s="1"/>
      <c r="G4532" s="6"/>
      <c r="H4532" s="6"/>
      <c r="I4532" s="6"/>
      <c r="J4532" s="6"/>
      <c r="K4532" s="6"/>
      <c r="L4532" s="6"/>
      <c r="M4532" s="6"/>
      <c r="N4532" s="6"/>
      <c r="O4532" s="7"/>
      <c r="P4532" s="6"/>
      <c r="Q4532" s="7"/>
      <c r="R4532" s="6"/>
      <c r="S4532" s="12"/>
      <c r="T4532" s="6"/>
      <c r="U4532" s="6"/>
      <c r="V4532" s="7"/>
      <c r="W4532" s="6"/>
      <c r="X4532" s="6"/>
      <c r="Y4532" s="6"/>
      <c r="Z4532" s="6"/>
      <c r="AA4532" s="1"/>
      <c r="AB4532" s="12"/>
      <c r="AC4532" s="12"/>
      <c r="AD4532" s="12"/>
      <c r="AE4532" s="12"/>
      <c r="AF4532" s="6"/>
      <c r="AG4532" s="12"/>
      <c r="AH4532" s="6"/>
      <c r="AI4532" s="6"/>
      <c r="AJ4532" s="12"/>
      <c r="AK4532" s="12"/>
      <c r="AL4532" s="12"/>
      <c r="AM4532" s="12"/>
      <c r="AN4532" s="1"/>
      <c r="AO4532" s="6"/>
    </row>
    <row r="4533" spans="1:41" ht="15" x14ac:dyDescent="0.25">
      <c r="A4533" s="1"/>
      <c r="B4533" s="1"/>
      <c r="C4533" s="1"/>
      <c r="D4533" s="1"/>
      <c r="E4533" s="6"/>
      <c r="F4533" s="1"/>
      <c r="G4533" s="6"/>
      <c r="H4533" s="6"/>
      <c r="I4533" s="6"/>
      <c r="J4533" s="6"/>
      <c r="K4533" s="6"/>
      <c r="L4533" s="6"/>
      <c r="M4533" s="6"/>
      <c r="N4533" s="6"/>
      <c r="O4533" s="7"/>
      <c r="P4533" s="6"/>
      <c r="Q4533" s="7"/>
      <c r="R4533" s="6"/>
      <c r="S4533" s="6"/>
      <c r="T4533" s="6"/>
      <c r="U4533" s="6"/>
      <c r="V4533" s="7"/>
      <c r="W4533" s="7"/>
      <c r="X4533" s="6"/>
      <c r="Y4533" s="6"/>
      <c r="Z4533" s="6"/>
      <c r="AA4533" s="1"/>
      <c r="AB4533" s="12"/>
      <c r="AC4533" s="12"/>
      <c r="AD4533" s="12"/>
      <c r="AE4533" s="12"/>
      <c r="AF4533" s="12"/>
      <c r="AG4533" s="12"/>
      <c r="AH4533" s="12"/>
      <c r="AI4533" s="6"/>
      <c r="AJ4533" s="12"/>
      <c r="AK4533" s="12"/>
      <c r="AL4533" s="12"/>
      <c r="AM4533" s="12"/>
      <c r="AN4533" s="1"/>
      <c r="AO4533" s="6"/>
    </row>
    <row r="4534" spans="1:41" ht="15" x14ac:dyDescent="0.25">
      <c r="A4534" s="1"/>
      <c r="B4534" s="1"/>
      <c r="C4534" s="1"/>
      <c r="D4534" s="1"/>
      <c r="E4534" s="6"/>
      <c r="F4534" s="1"/>
      <c r="G4534" s="6"/>
      <c r="H4534" s="6"/>
      <c r="I4534" s="6"/>
      <c r="J4534" s="6"/>
      <c r="K4534" s="6"/>
      <c r="L4534" s="6"/>
      <c r="M4534" s="6"/>
      <c r="N4534" s="6"/>
      <c r="O4534" s="7"/>
      <c r="P4534" s="6"/>
      <c r="Q4534" s="6"/>
      <c r="R4534" s="7"/>
      <c r="S4534" s="6"/>
      <c r="T4534" s="12"/>
      <c r="U4534" s="6"/>
      <c r="V4534" s="6"/>
      <c r="W4534" s="6"/>
      <c r="X4534" s="7"/>
      <c r="Y4534" s="6"/>
      <c r="Z4534" s="6"/>
      <c r="AA4534" s="7"/>
      <c r="AB4534" s="6"/>
      <c r="AC4534" s="6"/>
      <c r="AD4534" s="6"/>
      <c r="AE4534" s="12"/>
      <c r="AF4534" s="6"/>
      <c r="AG4534" s="12"/>
      <c r="AH4534" s="6"/>
      <c r="AI4534" s="6"/>
      <c r="AJ4534" s="12"/>
      <c r="AK4534" s="6"/>
      <c r="AL4534" s="12"/>
      <c r="AM4534" s="12"/>
      <c r="AN4534" s="1"/>
      <c r="AO4534" s="6"/>
    </row>
    <row r="4535" spans="1:41" ht="15" x14ac:dyDescent="0.25">
      <c r="A4535" s="1"/>
      <c r="B4535" s="1"/>
      <c r="C4535" s="1"/>
      <c r="D4535" s="1"/>
      <c r="E4535" s="6"/>
      <c r="F4535" s="1"/>
      <c r="G4535" s="6"/>
      <c r="H4535" s="6"/>
      <c r="I4535" s="6"/>
      <c r="J4535" s="6"/>
      <c r="K4535" s="6"/>
      <c r="L4535" s="6"/>
      <c r="M4535" s="6"/>
      <c r="N4535" s="6"/>
      <c r="O4535" s="7"/>
      <c r="P4535" s="6"/>
      <c r="Q4535" s="6"/>
      <c r="R4535" s="7"/>
      <c r="S4535" s="6"/>
      <c r="T4535" s="12"/>
      <c r="U4535" s="6"/>
      <c r="V4535" s="6"/>
      <c r="W4535" s="6"/>
      <c r="X4535" s="7"/>
      <c r="Y4535" s="6"/>
      <c r="Z4535" s="6"/>
      <c r="AA4535" s="7"/>
      <c r="AB4535" s="6"/>
      <c r="AC4535" s="6"/>
      <c r="AD4535" s="6"/>
      <c r="AE4535" s="12"/>
      <c r="AF4535" s="6"/>
      <c r="AG4535" s="12"/>
      <c r="AH4535" s="6"/>
      <c r="AI4535" s="6"/>
      <c r="AJ4535" s="12"/>
      <c r="AK4535" s="6"/>
      <c r="AL4535" s="12"/>
      <c r="AM4535" s="12"/>
      <c r="AN4535" s="1"/>
      <c r="AO4535" s="6"/>
    </row>
    <row r="4536" spans="1:41" ht="15" x14ac:dyDescent="0.25">
      <c r="A4536" s="1"/>
      <c r="B4536" s="1"/>
      <c r="C4536" s="1"/>
      <c r="D4536" s="1"/>
      <c r="E4536" s="6"/>
      <c r="F4536" s="1"/>
      <c r="G4536" s="6"/>
      <c r="H4536" s="6"/>
      <c r="I4536" s="6"/>
      <c r="J4536" s="6"/>
      <c r="K4536" s="6"/>
      <c r="L4536" s="6"/>
      <c r="M4536" s="6"/>
      <c r="N4536" s="6"/>
      <c r="O4536" s="7"/>
      <c r="P4536" s="6"/>
      <c r="Q4536" s="6"/>
      <c r="R4536" s="7"/>
      <c r="S4536" s="6"/>
      <c r="T4536" s="6"/>
      <c r="U4536" s="7"/>
      <c r="V4536" s="6"/>
      <c r="W4536" s="6"/>
      <c r="X4536" s="12"/>
      <c r="Y4536" s="6"/>
      <c r="Z4536" s="6"/>
      <c r="AA4536" s="7"/>
      <c r="AB4536" s="6"/>
      <c r="AC4536" s="6"/>
      <c r="AD4536" s="6"/>
      <c r="AE4536" s="12"/>
      <c r="AF4536" s="12"/>
      <c r="AG4536" s="12"/>
      <c r="AH4536" s="12"/>
      <c r="AI4536" s="6"/>
      <c r="AJ4536" s="12"/>
      <c r="AK4536" s="1"/>
      <c r="AL4536" s="12"/>
      <c r="AM4536" s="12"/>
      <c r="AN4536" s="1"/>
      <c r="AO4536" s="6"/>
    </row>
    <row r="4537" spans="1:41" ht="15" x14ac:dyDescent="0.25">
      <c r="A4537" s="1"/>
      <c r="B4537" s="1"/>
      <c r="C4537" s="1"/>
      <c r="D4537" s="1"/>
      <c r="E4537" s="6"/>
      <c r="F4537" s="1"/>
      <c r="G4537" s="6"/>
      <c r="H4537" s="6"/>
      <c r="I4537" s="6"/>
      <c r="J4537" s="6"/>
      <c r="K4537" s="6"/>
      <c r="L4537" s="6"/>
      <c r="M4537" s="6"/>
      <c r="N4537" s="6"/>
      <c r="O4537" s="7"/>
      <c r="P4537" s="6"/>
      <c r="Q4537" s="6"/>
      <c r="R4537" s="7"/>
      <c r="S4537" s="6"/>
      <c r="T4537" s="6"/>
      <c r="U4537" s="7"/>
      <c r="V4537" s="6"/>
      <c r="W4537" s="6"/>
      <c r="X4537" s="12"/>
      <c r="Y4537" s="6"/>
      <c r="Z4537" s="6"/>
      <c r="AA4537" s="7"/>
      <c r="AB4537" s="6"/>
      <c r="AC4537" s="6"/>
      <c r="AD4537" s="6"/>
      <c r="AE4537" s="12"/>
      <c r="AF4537" s="12"/>
      <c r="AG4537" s="12"/>
      <c r="AH4537" s="12"/>
      <c r="AI4537" s="6"/>
      <c r="AJ4537" s="12"/>
      <c r="AK4537" s="1"/>
      <c r="AL4537" s="12"/>
      <c r="AM4537" s="12"/>
      <c r="AN4537" s="1"/>
      <c r="AO4537" s="6"/>
    </row>
    <row r="4538" spans="1:41" ht="15" x14ac:dyDescent="0.25">
      <c r="A4538" s="1"/>
      <c r="B4538" s="1"/>
      <c r="C4538" s="1"/>
      <c r="D4538" s="1"/>
      <c r="E4538" s="6"/>
      <c r="F4538" s="1"/>
      <c r="G4538" s="6"/>
      <c r="H4538" s="6"/>
      <c r="I4538" s="6"/>
      <c r="J4538" s="6"/>
      <c r="K4538" s="6"/>
      <c r="L4538" s="6"/>
      <c r="M4538" s="6"/>
      <c r="N4538" s="6"/>
      <c r="O4538" s="7"/>
      <c r="P4538" s="6"/>
      <c r="Q4538" s="6"/>
      <c r="R4538" s="7"/>
      <c r="S4538" s="6"/>
      <c r="T4538" s="6"/>
      <c r="U4538" s="7"/>
      <c r="V4538" s="6"/>
      <c r="W4538" s="6"/>
      <c r="X4538" s="12"/>
      <c r="Y4538" s="6"/>
      <c r="Z4538" s="6"/>
      <c r="AA4538" s="7"/>
      <c r="AB4538" s="6"/>
      <c r="AC4538" s="6"/>
      <c r="AD4538" s="6"/>
      <c r="AE4538" s="12"/>
      <c r="AF4538" s="12"/>
      <c r="AG4538" s="12"/>
      <c r="AH4538" s="12"/>
      <c r="AI4538" s="6"/>
      <c r="AJ4538" s="12"/>
      <c r="AK4538" s="1"/>
      <c r="AL4538" s="12"/>
      <c r="AM4538" s="12"/>
      <c r="AN4538" s="1"/>
      <c r="AO4538" s="6"/>
    </row>
    <row r="4539" spans="1:41" ht="15" x14ac:dyDescent="0.25">
      <c r="A4539" s="1"/>
      <c r="B4539" s="1"/>
      <c r="C4539" s="1"/>
      <c r="D4539" s="1"/>
      <c r="E4539" s="6"/>
      <c r="F4539" s="1"/>
      <c r="G4539" s="6"/>
      <c r="H4539" s="6"/>
      <c r="I4539" s="6"/>
      <c r="J4539" s="6"/>
      <c r="K4539" s="6"/>
      <c r="L4539" s="6"/>
      <c r="M4539" s="6"/>
      <c r="N4539" s="6"/>
      <c r="O4539" s="7"/>
      <c r="P4539" s="6"/>
      <c r="Q4539" s="6"/>
      <c r="R4539" s="7"/>
      <c r="S4539" s="6"/>
      <c r="T4539" s="6"/>
      <c r="U4539" s="7"/>
      <c r="V4539" s="6"/>
      <c r="W4539" s="6"/>
      <c r="X4539" s="6"/>
      <c r="Y4539" s="6"/>
      <c r="Z4539" s="6"/>
      <c r="AA4539" s="7"/>
      <c r="AB4539" s="6"/>
      <c r="AC4539" s="6"/>
      <c r="AD4539" s="6"/>
      <c r="AE4539" s="12"/>
      <c r="AF4539" s="6"/>
      <c r="AG4539" s="12"/>
      <c r="AH4539" s="6"/>
      <c r="AI4539" s="6"/>
      <c r="AJ4539" s="12"/>
      <c r="AK4539" s="24"/>
      <c r="AL4539" s="25"/>
      <c r="AM4539" s="12"/>
      <c r="AN4539" s="1"/>
      <c r="AO4539" s="6"/>
    </row>
    <row r="4540" spans="1:41" ht="15" x14ac:dyDescent="0.25">
      <c r="A4540" s="1"/>
      <c r="B4540" s="1"/>
      <c r="C4540" s="1"/>
      <c r="D4540" s="1"/>
      <c r="E4540" s="6"/>
      <c r="F4540" s="1"/>
      <c r="G4540" s="6"/>
      <c r="H4540" s="6"/>
      <c r="I4540" s="6"/>
      <c r="J4540" s="6"/>
      <c r="K4540" s="6"/>
      <c r="L4540" s="6"/>
      <c r="M4540" s="6"/>
      <c r="N4540" s="6"/>
      <c r="O4540" s="7"/>
      <c r="P4540" s="6"/>
      <c r="Q4540" s="6"/>
      <c r="R4540" s="7"/>
      <c r="S4540" s="6"/>
      <c r="T4540" s="6"/>
      <c r="U4540" s="7"/>
      <c r="V4540" s="6"/>
      <c r="W4540" s="6"/>
      <c r="X4540" s="6"/>
      <c r="Y4540" s="6"/>
      <c r="Z4540" s="6"/>
      <c r="AA4540" s="7"/>
      <c r="AB4540" s="6"/>
      <c r="AC4540" s="6"/>
      <c r="AD4540" s="6"/>
      <c r="AE4540" s="12"/>
      <c r="AF4540" s="6"/>
      <c r="AG4540" s="12"/>
      <c r="AH4540" s="6"/>
      <c r="AI4540" s="6"/>
      <c r="AJ4540" s="12"/>
      <c r="AK4540" s="24"/>
      <c r="AL4540" s="25"/>
      <c r="AM4540" s="12"/>
      <c r="AN4540" s="1"/>
      <c r="AO4540" s="6"/>
    </row>
    <row r="4541" spans="1:41" ht="15" x14ac:dyDescent="0.25">
      <c r="A4541" s="1"/>
      <c r="B4541" s="1"/>
      <c r="C4541" s="1"/>
      <c r="D4541" s="1"/>
      <c r="E4541" s="6"/>
      <c r="F4541" s="1"/>
      <c r="G4541" s="6"/>
      <c r="H4541" s="6"/>
      <c r="I4541" s="6"/>
      <c r="J4541" s="6"/>
      <c r="K4541" s="6"/>
      <c r="L4541" s="6"/>
      <c r="M4541" s="6"/>
      <c r="N4541" s="6"/>
      <c r="O4541" s="7"/>
      <c r="P4541" s="6"/>
      <c r="Q4541" s="7"/>
      <c r="R4541" s="6"/>
      <c r="S4541" s="6"/>
      <c r="T4541" s="6"/>
      <c r="U4541" s="6"/>
      <c r="V4541" s="7"/>
      <c r="W4541" s="6"/>
      <c r="X4541" s="6"/>
      <c r="Y4541" s="6"/>
      <c r="Z4541" s="6"/>
      <c r="AA4541" s="24"/>
      <c r="AB4541" s="25"/>
      <c r="AC4541" s="12"/>
      <c r="AD4541" s="12"/>
      <c r="AE4541" s="12"/>
      <c r="AF4541" s="6"/>
      <c r="AG4541" s="12"/>
      <c r="AH4541" s="6"/>
      <c r="AI4541" s="6"/>
      <c r="AJ4541" s="12"/>
      <c r="AK4541" s="12"/>
      <c r="AL4541" s="12"/>
      <c r="AM4541" s="12"/>
      <c r="AN4541" s="1"/>
      <c r="AO4541" s="6"/>
    </row>
    <row r="4542" spans="1:41" ht="15" x14ac:dyDescent="0.25">
      <c r="A4542" s="1"/>
      <c r="B4542" s="1"/>
      <c r="C4542" s="1"/>
      <c r="D4542" s="1"/>
      <c r="E4542" s="6"/>
      <c r="F4542" s="1"/>
      <c r="G4542" s="6"/>
      <c r="H4542" s="6"/>
      <c r="I4542" s="6"/>
      <c r="J4542" s="6"/>
      <c r="K4542" s="6"/>
      <c r="L4542" s="6"/>
      <c r="M4542" s="6"/>
      <c r="N4542" s="6"/>
      <c r="O4542" s="7"/>
      <c r="P4542" s="6"/>
      <c r="Q4542" s="7"/>
      <c r="R4542" s="6"/>
      <c r="S4542" s="6"/>
      <c r="T4542" s="6"/>
      <c r="U4542" s="6"/>
      <c r="V4542" s="7"/>
      <c r="W4542" s="6"/>
      <c r="X4542" s="6"/>
      <c r="Y4542" s="6"/>
      <c r="Z4542" s="6"/>
      <c r="AA4542" s="24"/>
      <c r="AB4542" s="25"/>
      <c r="AC4542" s="12"/>
      <c r="AD4542" s="12"/>
      <c r="AE4542" s="12"/>
      <c r="AF4542" s="6"/>
      <c r="AG4542" s="12"/>
      <c r="AH4542" s="6"/>
      <c r="AI4542" s="6"/>
      <c r="AJ4542" s="12"/>
      <c r="AK4542" s="12"/>
      <c r="AL4542" s="12"/>
      <c r="AM4542" s="12"/>
      <c r="AN4542" s="1"/>
      <c r="AO4542" s="6"/>
    </row>
    <row r="4543" spans="1:41" ht="15" x14ac:dyDescent="0.25">
      <c r="A4543" s="1"/>
      <c r="B4543" s="1"/>
      <c r="C4543" s="1"/>
      <c r="D4543" s="1"/>
      <c r="E4543" s="6"/>
      <c r="F4543" s="1"/>
      <c r="G4543" s="6"/>
      <c r="H4543" s="6"/>
      <c r="I4543" s="6"/>
      <c r="J4543" s="6"/>
      <c r="K4543" s="6"/>
      <c r="L4543" s="6"/>
      <c r="M4543" s="6"/>
      <c r="N4543" s="6"/>
      <c r="O4543" s="7"/>
      <c r="P4543" s="6"/>
      <c r="Q4543" s="6"/>
      <c r="R4543" s="7"/>
      <c r="S4543" s="6"/>
      <c r="T4543" s="6"/>
      <c r="U4543" s="7"/>
      <c r="V4543" s="6"/>
      <c r="W4543" s="6"/>
      <c r="X4543" s="6"/>
      <c r="Y4543" s="6"/>
      <c r="Z4543" s="6"/>
      <c r="AA4543" s="7"/>
      <c r="AB4543" s="6"/>
      <c r="AC4543" s="6"/>
      <c r="AD4543" s="6"/>
      <c r="AE4543" s="12"/>
      <c r="AF4543" s="6"/>
      <c r="AG4543" s="12"/>
      <c r="AH4543" s="6"/>
      <c r="AI4543" s="6"/>
      <c r="AJ4543" s="12"/>
      <c r="AK4543" s="1"/>
      <c r="AL4543" s="12"/>
      <c r="AM4543" s="12"/>
      <c r="AN4543" s="1"/>
      <c r="AO4543" s="6"/>
    </row>
    <row r="4544" spans="1:41" ht="15" x14ac:dyDescent="0.25">
      <c r="A4544" s="1"/>
      <c r="B4544" s="1"/>
      <c r="C4544" s="1"/>
      <c r="D4544" s="1"/>
      <c r="E4544" s="6"/>
      <c r="F4544" s="1"/>
      <c r="G4544" s="6"/>
      <c r="H4544" s="6"/>
      <c r="I4544" s="6"/>
      <c r="J4544" s="6"/>
      <c r="K4544" s="6"/>
      <c r="L4544" s="6"/>
      <c r="M4544" s="6"/>
      <c r="N4544" s="6"/>
      <c r="O4544" s="7"/>
      <c r="P4544" s="6"/>
      <c r="Q4544" s="6"/>
      <c r="R4544" s="7"/>
      <c r="S4544" s="6"/>
      <c r="T4544" s="6"/>
      <c r="U4544" s="7"/>
      <c r="V4544" s="6"/>
      <c r="W4544" s="6"/>
      <c r="X4544" s="6"/>
      <c r="Y4544" s="6"/>
      <c r="Z4544" s="6"/>
      <c r="AA4544" s="7"/>
      <c r="AB4544" s="6"/>
      <c r="AC4544" s="6"/>
      <c r="AD4544" s="6"/>
      <c r="AE4544" s="12"/>
      <c r="AF4544" s="6"/>
      <c r="AG4544" s="12"/>
      <c r="AH4544" s="6"/>
      <c r="AI4544" s="6"/>
      <c r="AJ4544" s="12"/>
      <c r="AK4544" s="1"/>
      <c r="AL4544" s="12"/>
      <c r="AM4544" s="12"/>
      <c r="AN4544" s="1"/>
      <c r="AO4544" s="6"/>
    </row>
    <row r="4545" spans="1:41" ht="15" x14ac:dyDescent="0.25">
      <c r="A4545" s="1"/>
      <c r="B4545" s="1"/>
      <c r="C4545" s="1"/>
      <c r="D4545" s="1"/>
      <c r="E4545" s="6"/>
      <c r="F4545" s="1"/>
      <c r="G4545" s="6"/>
      <c r="H4545" s="6"/>
      <c r="I4545" s="6"/>
      <c r="J4545" s="6"/>
      <c r="K4545" s="6"/>
      <c r="L4545" s="6"/>
      <c r="M4545" s="6"/>
      <c r="N4545" s="6"/>
      <c r="O4545" s="7"/>
      <c r="P4545" s="6"/>
      <c r="Q4545" s="6"/>
      <c r="R4545" s="7"/>
      <c r="S4545" s="6"/>
      <c r="T4545" s="6"/>
      <c r="U4545" s="7"/>
      <c r="V4545" s="6"/>
      <c r="W4545" s="6"/>
      <c r="X4545" s="12"/>
      <c r="Y4545" s="6"/>
      <c r="Z4545" s="6"/>
      <c r="AA4545" s="7"/>
      <c r="AB4545" s="6"/>
      <c r="AC4545" s="6"/>
      <c r="AD4545" s="6"/>
      <c r="AE4545" s="12"/>
      <c r="AF4545" s="12"/>
      <c r="AG4545" s="12"/>
      <c r="AH4545" s="12"/>
      <c r="AI4545" s="6"/>
      <c r="AJ4545" s="12"/>
      <c r="AK4545" s="24"/>
      <c r="AL4545" s="25"/>
      <c r="AM4545" s="12"/>
      <c r="AN4545" s="1"/>
      <c r="AO4545" s="6"/>
    </row>
    <row r="4546" spans="1:41" ht="15" x14ac:dyDescent="0.25">
      <c r="A4546" s="1"/>
      <c r="B4546" s="1"/>
      <c r="C4546" s="1"/>
      <c r="D4546" s="1"/>
      <c r="E4546" s="6"/>
      <c r="F4546" s="1"/>
      <c r="G4546" s="6"/>
      <c r="H4546" s="6"/>
      <c r="I4546" s="6"/>
      <c r="J4546" s="6"/>
      <c r="K4546" s="6"/>
      <c r="L4546" s="6"/>
      <c r="M4546" s="6"/>
      <c r="N4546" s="6"/>
      <c r="O4546" s="7"/>
      <c r="P4546" s="6"/>
      <c r="Q4546" s="6"/>
      <c r="R4546" s="7"/>
      <c r="S4546" s="6"/>
      <c r="T4546" s="6"/>
      <c r="U4546" s="7"/>
      <c r="V4546" s="6"/>
      <c r="W4546" s="6"/>
      <c r="X4546" s="12"/>
      <c r="Y4546" s="6"/>
      <c r="Z4546" s="6"/>
      <c r="AA4546" s="7"/>
      <c r="AB4546" s="6"/>
      <c r="AC4546" s="6"/>
      <c r="AD4546" s="6"/>
      <c r="AE4546" s="12"/>
      <c r="AF4546" s="12"/>
      <c r="AG4546" s="12"/>
      <c r="AH4546" s="12"/>
      <c r="AI4546" s="6"/>
      <c r="AJ4546" s="12"/>
      <c r="AK4546" s="24"/>
      <c r="AL4546" s="25"/>
      <c r="AM4546" s="12"/>
      <c r="AN4546" s="1"/>
      <c r="AO4546" s="6"/>
    </row>
    <row r="4547" spans="1:41" ht="15" x14ac:dyDescent="0.25">
      <c r="A4547" s="1"/>
      <c r="B4547" s="1"/>
      <c r="C4547" s="1"/>
      <c r="D4547" s="1"/>
      <c r="E4547" s="6"/>
      <c r="F4547" s="1"/>
      <c r="G4547" s="6"/>
      <c r="H4547" s="6"/>
      <c r="I4547" s="6"/>
      <c r="J4547" s="6"/>
      <c r="K4547" s="6"/>
      <c r="L4547" s="6"/>
      <c r="M4547" s="6"/>
      <c r="N4547" s="6"/>
      <c r="O4547" s="7"/>
      <c r="P4547" s="6"/>
      <c r="Q4547" s="6"/>
      <c r="R4547" s="7"/>
      <c r="S4547" s="6"/>
      <c r="T4547" s="6"/>
      <c r="U4547" s="7"/>
      <c r="V4547" s="6"/>
      <c r="W4547" s="6"/>
      <c r="X4547" s="12"/>
      <c r="Y4547" s="6"/>
      <c r="Z4547" s="6"/>
      <c r="AA4547" s="7"/>
      <c r="AB4547" s="6"/>
      <c r="AC4547" s="6"/>
      <c r="AD4547" s="6"/>
      <c r="AE4547" s="12"/>
      <c r="AF4547" s="6"/>
      <c r="AG4547" s="12"/>
      <c r="AH4547" s="6"/>
      <c r="AI4547" s="6"/>
      <c r="AJ4547" s="12"/>
      <c r="AK4547" s="1"/>
      <c r="AL4547" s="12"/>
      <c r="AM4547" s="12"/>
      <c r="AN4547" s="1"/>
      <c r="AO4547" s="6"/>
    </row>
    <row r="4548" spans="1:41" ht="15" x14ac:dyDescent="0.25">
      <c r="A4548" s="1"/>
      <c r="B4548" s="1"/>
      <c r="C4548" s="1"/>
      <c r="D4548" s="1"/>
      <c r="E4548" s="6"/>
      <c r="F4548" s="1"/>
      <c r="G4548" s="6"/>
      <c r="H4548" s="6"/>
      <c r="I4548" s="6"/>
      <c r="J4548" s="6"/>
      <c r="K4548" s="6"/>
      <c r="L4548" s="6"/>
      <c r="M4548" s="6"/>
      <c r="N4548" s="6"/>
      <c r="O4548" s="7"/>
      <c r="P4548" s="6"/>
      <c r="Q4548" s="6"/>
      <c r="R4548" s="7"/>
      <c r="S4548" s="6"/>
      <c r="T4548" s="6"/>
      <c r="U4548" s="7"/>
      <c r="V4548" s="6"/>
      <c r="W4548" s="6"/>
      <c r="X4548" s="12"/>
      <c r="Y4548" s="6"/>
      <c r="Z4548" s="6"/>
      <c r="AA4548" s="7"/>
      <c r="AB4548" s="6"/>
      <c r="AC4548" s="6"/>
      <c r="AD4548" s="6"/>
      <c r="AE4548" s="12"/>
      <c r="AF4548" s="6"/>
      <c r="AG4548" s="12"/>
      <c r="AH4548" s="6"/>
      <c r="AI4548" s="6"/>
      <c r="AJ4548" s="12"/>
      <c r="AK4548" s="1"/>
      <c r="AL4548" s="12"/>
      <c r="AM4548" s="12"/>
      <c r="AN4548" s="1"/>
      <c r="AO4548" s="6"/>
    </row>
    <row r="4549" spans="1:41" ht="15" x14ac:dyDescent="0.25">
      <c r="A4549" s="1"/>
      <c r="B4549" s="1"/>
      <c r="C4549" s="1"/>
      <c r="D4549" s="1"/>
      <c r="E4549" s="6"/>
      <c r="F4549" s="1"/>
      <c r="G4549" s="6"/>
      <c r="H4549" s="6"/>
      <c r="I4549" s="6"/>
      <c r="J4549" s="6"/>
      <c r="K4549" s="6"/>
      <c r="L4549" s="6"/>
      <c r="M4549" s="6"/>
      <c r="N4549" s="6"/>
      <c r="O4549" s="7"/>
      <c r="P4549" s="6"/>
      <c r="Q4549" s="6"/>
      <c r="R4549" s="7"/>
      <c r="S4549" s="6"/>
      <c r="T4549" s="6"/>
      <c r="U4549" s="7"/>
      <c r="V4549" s="6"/>
      <c r="W4549" s="6"/>
      <c r="X4549" s="12"/>
      <c r="Y4549" s="6"/>
      <c r="Z4549" s="6"/>
      <c r="AA4549" s="7"/>
      <c r="AB4549" s="6"/>
      <c r="AC4549" s="6"/>
      <c r="AD4549" s="6"/>
      <c r="AE4549" s="12"/>
      <c r="AF4549" s="6"/>
      <c r="AG4549" s="12"/>
      <c r="AH4549" s="6"/>
      <c r="AI4549" s="6"/>
      <c r="AJ4549" s="12"/>
      <c r="AK4549" s="24"/>
      <c r="AL4549" s="25"/>
      <c r="AM4549" s="12"/>
      <c r="AN4549" s="1"/>
      <c r="AO4549" s="6"/>
    </row>
    <row r="4550" spans="1:41" ht="15" x14ac:dyDescent="0.25">
      <c r="A4550" s="1"/>
      <c r="B4550" s="1"/>
      <c r="C4550" s="1"/>
      <c r="D4550" s="1"/>
      <c r="E4550" s="6"/>
      <c r="F4550" s="1"/>
      <c r="G4550" s="6"/>
      <c r="H4550" s="6"/>
      <c r="I4550" s="6"/>
      <c r="J4550" s="6"/>
      <c r="K4550" s="6"/>
      <c r="L4550" s="6"/>
      <c r="M4550" s="6"/>
      <c r="N4550" s="6"/>
      <c r="O4550" s="7"/>
      <c r="P4550" s="6"/>
      <c r="Q4550" s="6"/>
      <c r="R4550" s="7"/>
      <c r="S4550" s="6"/>
      <c r="T4550" s="6"/>
      <c r="U4550" s="7"/>
      <c r="V4550" s="6"/>
      <c r="W4550" s="6"/>
      <c r="X4550" s="12"/>
      <c r="Y4550" s="6"/>
      <c r="Z4550" s="6"/>
      <c r="AA4550" s="7"/>
      <c r="AB4550" s="6"/>
      <c r="AC4550" s="6"/>
      <c r="AD4550" s="6"/>
      <c r="AE4550" s="12"/>
      <c r="AF4550" s="6"/>
      <c r="AG4550" s="12"/>
      <c r="AH4550" s="6"/>
      <c r="AI4550" s="6"/>
      <c r="AJ4550" s="12"/>
      <c r="AK4550" s="24"/>
      <c r="AL4550" s="25"/>
      <c r="AM4550" s="12"/>
      <c r="AN4550" s="1"/>
      <c r="AO4550" s="6"/>
    </row>
    <row r="4551" spans="1:41" ht="15" x14ac:dyDescent="0.25">
      <c r="A4551" s="1"/>
      <c r="B4551" s="1"/>
      <c r="C4551" s="1"/>
      <c r="D4551" s="1"/>
      <c r="E4551" s="6"/>
      <c r="F4551" s="1"/>
      <c r="G4551" s="6"/>
      <c r="H4551" s="6"/>
      <c r="I4551" s="6"/>
      <c r="J4551" s="6"/>
      <c r="K4551" s="6"/>
      <c r="L4551" s="6"/>
      <c r="M4551" s="6"/>
      <c r="N4551" s="6"/>
      <c r="O4551" s="7"/>
      <c r="P4551" s="6"/>
      <c r="Q4551" s="6"/>
      <c r="R4551" s="7"/>
      <c r="S4551" s="6"/>
      <c r="T4551" s="6"/>
      <c r="U4551" s="7"/>
      <c r="V4551" s="6"/>
      <c r="W4551" s="6"/>
      <c r="X4551" s="12"/>
      <c r="Y4551" s="6"/>
      <c r="Z4551" s="6"/>
      <c r="AA4551" s="7"/>
      <c r="AB4551" s="6"/>
      <c r="AC4551" s="6"/>
      <c r="AD4551" s="6"/>
      <c r="AE4551" s="12"/>
      <c r="AF4551" s="6"/>
      <c r="AG4551" s="12"/>
      <c r="AH4551" s="6"/>
      <c r="AI4551" s="6"/>
      <c r="AJ4551" s="12"/>
      <c r="AK4551" s="24"/>
      <c r="AL4551" s="25"/>
      <c r="AM4551" s="12"/>
      <c r="AN4551" s="1"/>
      <c r="AO4551" s="6"/>
    </row>
    <row r="4552" spans="1:41" ht="15" x14ac:dyDescent="0.25">
      <c r="A4552" s="1"/>
      <c r="B4552" s="1"/>
      <c r="C4552" s="1"/>
      <c r="D4552" s="1"/>
      <c r="E4552" s="6"/>
      <c r="F4552" s="1"/>
      <c r="G4552" s="6"/>
      <c r="H4552" s="6"/>
      <c r="I4552" s="6"/>
      <c r="J4552" s="6"/>
      <c r="K4552" s="6"/>
      <c r="L4552" s="6"/>
      <c r="M4552" s="6"/>
      <c r="N4552" s="6"/>
      <c r="O4552" s="7"/>
      <c r="P4552" s="6"/>
      <c r="Q4552" s="6"/>
      <c r="R4552" s="7"/>
      <c r="S4552" s="6"/>
      <c r="T4552" s="6"/>
      <c r="U4552" s="7"/>
      <c r="V4552" s="6"/>
      <c r="W4552" s="6"/>
      <c r="X4552" s="12"/>
      <c r="Y4552" s="6"/>
      <c r="Z4552" s="6"/>
      <c r="AA4552" s="7"/>
      <c r="AB4552" s="6"/>
      <c r="AC4552" s="6"/>
      <c r="AD4552" s="6"/>
      <c r="AE4552" s="12"/>
      <c r="AF4552" s="6"/>
      <c r="AG4552" s="12"/>
      <c r="AH4552" s="6"/>
      <c r="AI4552" s="6"/>
      <c r="AJ4552" s="12"/>
      <c r="AK4552" s="24"/>
      <c r="AL4552" s="25"/>
      <c r="AM4552" s="12"/>
      <c r="AN4552" s="1"/>
      <c r="AO4552" s="6"/>
    </row>
    <row r="4553" spans="1:41" ht="15" x14ac:dyDescent="0.25">
      <c r="A4553" s="1"/>
      <c r="B4553" s="1"/>
      <c r="C4553" s="1"/>
      <c r="D4553" s="1"/>
      <c r="E4553" s="6"/>
      <c r="F4553" s="1"/>
      <c r="G4553" s="6"/>
      <c r="H4553" s="6"/>
      <c r="I4553" s="6"/>
      <c r="J4553" s="6"/>
      <c r="K4553" s="6"/>
      <c r="L4553" s="6"/>
      <c r="M4553" s="6"/>
      <c r="N4553" s="6"/>
      <c r="O4553" s="7"/>
      <c r="P4553" s="6"/>
      <c r="Q4553" s="6"/>
      <c r="R4553" s="7"/>
      <c r="S4553" s="6"/>
      <c r="T4553" s="6"/>
      <c r="U4553" s="7"/>
      <c r="V4553" s="6"/>
      <c r="W4553" s="6"/>
      <c r="X4553" s="6"/>
      <c r="Y4553" s="6"/>
      <c r="Z4553" s="6"/>
      <c r="AA4553" s="7"/>
      <c r="AB4553" s="6"/>
      <c r="AC4553" s="6"/>
      <c r="AD4553" s="6"/>
      <c r="AE4553" s="12"/>
      <c r="AF4553" s="6"/>
      <c r="AG4553" s="12"/>
      <c r="AH4553" s="6"/>
      <c r="AI4553" s="6"/>
      <c r="AJ4553" s="12"/>
      <c r="AK4553" s="1"/>
      <c r="AL4553" s="12"/>
      <c r="AM4553" s="12"/>
      <c r="AN4553" s="1"/>
      <c r="AO4553" s="6"/>
    </row>
    <row r="4554" spans="1:41" ht="15" x14ac:dyDescent="0.25">
      <c r="A4554" s="1"/>
      <c r="B4554" s="1"/>
      <c r="C4554" s="1"/>
      <c r="D4554" s="1"/>
      <c r="E4554" s="6"/>
      <c r="F4554" s="1"/>
      <c r="G4554" s="6"/>
      <c r="H4554" s="6"/>
      <c r="I4554" s="6"/>
      <c r="J4554" s="6"/>
      <c r="K4554" s="6"/>
      <c r="L4554" s="6"/>
      <c r="M4554" s="6"/>
      <c r="N4554" s="6"/>
      <c r="O4554" s="7"/>
      <c r="P4554" s="6"/>
      <c r="Q4554" s="6"/>
      <c r="R4554" s="7"/>
      <c r="S4554" s="6"/>
      <c r="T4554" s="6"/>
      <c r="U4554" s="7"/>
      <c r="V4554" s="6"/>
      <c r="W4554" s="6"/>
      <c r="X4554" s="6"/>
      <c r="Y4554" s="6"/>
      <c r="Z4554" s="6"/>
      <c r="AA4554" s="7"/>
      <c r="AB4554" s="6"/>
      <c r="AC4554" s="6"/>
      <c r="AD4554" s="6"/>
      <c r="AE4554" s="12"/>
      <c r="AF4554" s="6"/>
      <c r="AG4554" s="12"/>
      <c r="AH4554" s="6"/>
      <c r="AI4554" s="6"/>
      <c r="AJ4554" s="12"/>
      <c r="AK4554" s="1"/>
      <c r="AL4554" s="12"/>
      <c r="AM4554" s="12"/>
      <c r="AN4554" s="1"/>
      <c r="AO4554" s="6"/>
    </row>
    <row r="4555" spans="1:41" ht="15" x14ac:dyDescent="0.25">
      <c r="A4555" s="1"/>
      <c r="B4555" s="1"/>
      <c r="C4555" s="1"/>
      <c r="D4555" s="1"/>
      <c r="E4555" s="6"/>
      <c r="F4555" s="1"/>
      <c r="G4555" s="6"/>
      <c r="H4555" s="6"/>
      <c r="I4555" s="6"/>
      <c r="J4555" s="6"/>
      <c r="K4555" s="12"/>
      <c r="L4555" s="12"/>
      <c r="M4555" s="6"/>
      <c r="N4555" s="6"/>
      <c r="O4555" s="7"/>
      <c r="P4555" s="6"/>
      <c r="Q4555" s="6"/>
      <c r="R4555" s="7"/>
      <c r="S4555" s="6"/>
      <c r="T4555" s="6"/>
      <c r="U4555" s="7"/>
      <c r="V4555" s="6"/>
      <c r="W4555" s="6"/>
      <c r="X4555" s="12"/>
      <c r="Y4555" s="6"/>
      <c r="Z4555" s="6"/>
      <c r="AA4555" s="7"/>
      <c r="AB4555" s="6"/>
      <c r="AC4555" s="6"/>
      <c r="AD4555" s="6"/>
      <c r="AE4555" s="12"/>
      <c r="AF4555" s="12"/>
      <c r="AG4555" s="12"/>
      <c r="AH4555" s="12"/>
      <c r="AI4555" s="6"/>
      <c r="AJ4555" s="12"/>
      <c r="AK4555" s="1"/>
      <c r="AL4555" s="12"/>
      <c r="AM4555" s="12"/>
      <c r="AN4555" s="1"/>
      <c r="AO4555" s="6"/>
    </row>
    <row r="4556" spans="1:41" ht="15" x14ac:dyDescent="0.25">
      <c r="A4556" s="1"/>
      <c r="B4556" s="1"/>
      <c r="C4556" s="1"/>
      <c r="D4556" s="1"/>
      <c r="E4556" s="6"/>
      <c r="F4556" s="1"/>
      <c r="G4556" s="6"/>
      <c r="H4556" s="6"/>
      <c r="I4556" s="6"/>
      <c r="J4556" s="6"/>
      <c r="K4556" s="6"/>
      <c r="L4556" s="6"/>
      <c r="M4556" s="6"/>
      <c r="N4556" s="6"/>
      <c r="O4556" s="7"/>
      <c r="P4556" s="6"/>
      <c r="Q4556" s="6"/>
      <c r="R4556" s="7"/>
      <c r="S4556" s="6"/>
      <c r="T4556" s="6"/>
      <c r="U4556" s="7"/>
      <c r="V4556" s="6"/>
      <c r="W4556" s="6"/>
      <c r="X4556" s="6"/>
      <c r="Y4556" s="6"/>
      <c r="Z4556" s="6"/>
      <c r="AA4556" s="7"/>
      <c r="AB4556" s="6"/>
      <c r="AC4556" s="6"/>
      <c r="AD4556" s="6"/>
      <c r="AE4556" s="12"/>
      <c r="AF4556" s="12"/>
      <c r="AG4556" s="12"/>
      <c r="AH4556" s="12"/>
      <c r="AI4556" s="6"/>
      <c r="AJ4556" s="12"/>
      <c r="AK4556" s="1"/>
      <c r="AL4556" s="12"/>
      <c r="AM4556" s="12"/>
      <c r="AN4556" s="1"/>
      <c r="AO4556" s="6"/>
    </row>
    <row r="4557" spans="1:41" ht="15" x14ac:dyDescent="0.25">
      <c r="A4557" s="1"/>
      <c r="B4557" s="1"/>
      <c r="C4557" s="1"/>
      <c r="D4557" s="1"/>
      <c r="E4557" s="6"/>
      <c r="F4557" s="1"/>
      <c r="G4557" s="6"/>
      <c r="H4557" s="6"/>
      <c r="I4557" s="6"/>
      <c r="J4557" s="6"/>
      <c r="K4557" s="6"/>
      <c r="L4557" s="6"/>
      <c r="M4557" s="6"/>
      <c r="N4557" s="6"/>
      <c r="O4557" s="7"/>
      <c r="P4557" s="6"/>
      <c r="Q4557" s="6"/>
      <c r="R4557" s="7"/>
      <c r="S4557" s="6"/>
      <c r="T4557" s="6"/>
      <c r="U4557" s="7"/>
      <c r="V4557" s="6"/>
      <c r="W4557" s="6"/>
      <c r="X4557" s="6"/>
      <c r="Y4557" s="6"/>
      <c r="Z4557" s="6"/>
      <c r="AA4557" s="7"/>
      <c r="AB4557" s="6"/>
      <c r="AC4557" s="6"/>
      <c r="AD4557" s="6"/>
      <c r="AE4557" s="12"/>
      <c r="AF4557" s="6"/>
      <c r="AG4557" s="12"/>
      <c r="AH4557" s="6"/>
      <c r="AI4557" s="6"/>
      <c r="AJ4557" s="12"/>
      <c r="AK4557" s="24"/>
      <c r="AL4557" s="25"/>
      <c r="AM4557" s="12"/>
      <c r="AN4557" s="1"/>
      <c r="AO4557" s="6"/>
    </row>
    <row r="4558" spans="1:41" ht="15" x14ac:dyDescent="0.25">
      <c r="A4558" s="1"/>
      <c r="B4558" s="1"/>
      <c r="C4558" s="1"/>
      <c r="D4558" s="1"/>
      <c r="E4558" s="6"/>
      <c r="F4558" s="1"/>
      <c r="G4558" s="6"/>
      <c r="H4558" s="6"/>
      <c r="I4558" s="6"/>
      <c r="J4558" s="6"/>
      <c r="K4558" s="6"/>
      <c r="L4558" s="6"/>
      <c r="M4558" s="6"/>
      <c r="N4558" s="6"/>
      <c r="O4558" s="7"/>
      <c r="P4558" s="6"/>
      <c r="Q4558" s="6"/>
      <c r="R4558" s="7"/>
      <c r="S4558" s="6"/>
      <c r="T4558" s="6"/>
      <c r="U4558" s="7"/>
      <c r="V4558" s="6"/>
      <c r="W4558" s="6"/>
      <c r="X4558" s="6"/>
      <c r="Y4558" s="6"/>
      <c r="Z4558" s="6"/>
      <c r="AA4558" s="7"/>
      <c r="AB4558" s="6"/>
      <c r="AC4558" s="6"/>
      <c r="AD4558" s="6"/>
      <c r="AE4558" s="12"/>
      <c r="AF4558" s="6"/>
      <c r="AG4558" s="12"/>
      <c r="AH4558" s="6"/>
      <c r="AI4558" s="6"/>
      <c r="AJ4558" s="12"/>
      <c r="AK4558" s="24"/>
      <c r="AL4558" s="25"/>
      <c r="AM4558" s="12"/>
      <c r="AN4558" s="1"/>
      <c r="AO4558" s="6"/>
    </row>
    <row r="4559" spans="1:41" ht="15" x14ac:dyDescent="0.25">
      <c r="A4559" s="1"/>
      <c r="B4559" s="1"/>
      <c r="C4559" s="1"/>
      <c r="D4559" s="1"/>
      <c r="E4559" s="6"/>
      <c r="F4559" s="1"/>
      <c r="G4559" s="6"/>
      <c r="H4559" s="6"/>
      <c r="I4559" s="6"/>
      <c r="J4559" s="6"/>
      <c r="K4559" s="12"/>
      <c r="L4559" s="12"/>
      <c r="M4559" s="6"/>
      <c r="N4559" s="6"/>
      <c r="O4559" s="7"/>
      <c r="P4559" s="6"/>
      <c r="Q4559" s="6"/>
      <c r="R4559" s="7"/>
      <c r="S4559" s="6"/>
      <c r="T4559" s="6"/>
      <c r="U4559" s="7"/>
      <c r="V4559" s="6"/>
      <c r="W4559" s="6"/>
      <c r="X4559" s="12"/>
      <c r="Y4559" s="6"/>
      <c r="Z4559" s="6"/>
      <c r="AA4559" s="7"/>
      <c r="AB4559" s="6"/>
      <c r="AC4559" s="6"/>
      <c r="AD4559" s="6"/>
      <c r="AE4559" s="12"/>
      <c r="AF4559" s="12"/>
      <c r="AG4559" s="12"/>
      <c r="AH4559" s="12"/>
      <c r="AI4559" s="6"/>
      <c r="AJ4559" s="12"/>
      <c r="AK4559" s="1"/>
      <c r="AL4559" s="12"/>
      <c r="AM4559" s="12"/>
      <c r="AN4559" s="1"/>
      <c r="AO4559" s="6"/>
    </row>
    <row r="4560" spans="1:41" ht="15" x14ac:dyDescent="0.25">
      <c r="A4560" s="1"/>
      <c r="B4560" s="1"/>
      <c r="C4560" s="1"/>
      <c r="D4560" s="1"/>
      <c r="E4560" s="6"/>
      <c r="F4560" s="1"/>
      <c r="G4560" s="6"/>
      <c r="H4560" s="6"/>
      <c r="I4560" s="6"/>
      <c r="J4560" s="6"/>
      <c r="K4560" s="12"/>
      <c r="L4560" s="12"/>
      <c r="M4560" s="6"/>
      <c r="N4560" s="6"/>
      <c r="O4560" s="7"/>
      <c r="P4560" s="6"/>
      <c r="Q4560" s="6"/>
      <c r="R4560" s="7"/>
      <c r="S4560" s="6"/>
      <c r="T4560" s="6"/>
      <c r="U4560" s="7"/>
      <c r="V4560" s="6"/>
      <c r="W4560" s="6"/>
      <c r="X4560" s="12"/>
      <c r="Y4560" s="6"/>
      <c r="Z4560" s="6"/>
      <c r="AA4560" s="7"/>
      <c r="AB4560" s="6"/>
      <c r="AC4560" s="6"/>
      <c r="AD4560" s="6"/>
      <c r="AE4560" s="12"/>
      <c r="AF4560" s="12"/>
      <c r="AG4560" s="12"/>
      <c r="AH4560" s="12"/>
      <c r="AI4560" s="6"/>
      <c r="AJ4560" s="12"/>
      <c r="AK4560" s="1"/>
      <c r="AL4560" s="12"/>
      <c r="AM4560" s="12"/>
      <c r="AN4560" s="1"/>
      <c r="AO4560" s="6"/>
    </row>
    <row r="4561" spans="1:41" ht="15" x14ac:dyDescent="0.25">
      <c r="A4561" s="1"/>
      <c r="B4561" s="1"/>
      <c r="C4561" s="1"/>
      <c r="D4561" s="1"/>
      <c r="E4561" s="6"/>
      <c r="F4561" s="1"/>
      <c r="G4561" s="6"/>
      <c r="H4561" s="6"/>
      <c r="I4561" s="6"/>
      <c r="J4561" s="6"/>
      <c r="K4561" s="6"/>
      <c r="L4561" s="6"/>
      <c r="M4561" s="6"/>
      <c r="N4561" s="6"/>
      <c r="O4561" s="7"/>
      <c r="P4561" s="6"/>
      <c r="Q4561" s="6"/>
      <c r="R4561" s="7"/>
      <c r="S4561" s="6"/>
      <c r="T4561" s="6"/>
      <c r="U4561" s="7"/>
      <c r="V4561" s="6"/>
      <c r="W4561" s="6"/>
      <c r="X4561" s="6"/>
      <c r="Y4561" s="6"/>
      <c r="Z4561" s="6"/>
      <c r="AA4561" s="7"/>
      <c r="AB4561" s="6"/>
      <c r="AC4561" s="6"/>
      <c r="AD4561" s="6"/>
      <c r="AE4561" s="12"/>
      <c r="AF4561" s="6"/>
      <c r="AG4561" s="12"/>
      <c r="AH4561" s="6"/>
      <c r="AI4561" s="6"/>
      <c r="AJ4561" s="12"/>
      <c r="AK4561" s="24"/>
      <c r="AL4561" s="25"/>
      <c r="AM4561" s="12"/>
      <c r="AN4561" s="1"/>
      <c r="AO4561" s="6"/>
    </row>
    <row r="4562" spans="1:41" ht="15" x14ac:dyDescent="0.25">
      <c r="A4562" s="1"/>
      <c r="B4562" s="1"/>
      <c r="C4562" s="1"/>
      <c r="D4562" s="1"/>
      <c r="E4562" s="6"/>
      <c r="F4562" s="1"/>
      <c r="G4562" s="6"/>
      <c r="H4562" s="6"/>
      <c r="I4562" s="6"/>
      <c r="J4562" s="6"/>
      <c r="K4562" s="6"/>
      <c r="L4562" s="6"/>
      <c r="M4562" s="6"/>
      <c r="N4562" s="6"/>
      <c r="O4562" s="7"/>
      <c r="P4562" s="6"/>
      <c r="Q4562" s="6"/>
      <c r="R4562" s="7"/>
      <c r="S4562" s="6"/>
      <c r="T4562" s="6"/>
      <c r="U4562" s="7"/>
      <c r="V4562" s="6"/>
      <c r="W4562" s="6"/>
      <c r="X4562" s="6"/>
      <c r="Y4562" s="6"/>
      <c r="Z4562" s="6"/>
      <c r="AA4562" s="7"/>
      <c r="AB4562" s="6"/>
      <c r="AC4562" s="6"/>
      <c r="AD4562" s="6"/>
      <c r="AE4562" s="12"/>
      <c r="AF4562" s="6"/>
      <c r="AG4562" s="12"/>
      <c r="AH4562" s="6"/>
      <c r="AI4562" s="6"/>
      <c r="AJ4562" s="12"/>
      <c r="AK4562" s="24"/>
      <c r="AL4562" s="25"/>
      <c r="AM4562" s="12"/>
      <c r="AN4562" s="1"/>
      <c r="AO4562" s="6"/>
    </row>
    <row r="4563" spans="1:41" ht="15" x14ac:dyDescent="0.25">
      <c r="A4563" s="1"/>
      <c r="B4563" s="1"/>
      <c r="C4563" s="1"/>
      <c r="D4563" s="1"/>
      <c r="E4563" s="6"/>
      <c r="F4563" s="1"/>
      <c r="G4563" s="6"/>
      <c r="H4563" s="6"/>
      <c r="I4563" s="6"/>
      <c r="J4563" s="6"/>
      <c r="K4563" s="6"/>
      <c r="L4563" s="6"/>
      <c r="M4563" s="6"/>
      <c r="N4563" s="6"/>
      <c r="O4563" s="7"/>
      <c r="P4563" s="6"/>
      <c r="Q4563" s="6"/>
      <c r="R4563" s="7"/>
      <c r="S4563" s="6"/>
      <c r="T4563" s="6"/>
      <c r="U4563" s="7"/>
      <c r="V4563" s="6"/>
      <c r="W4563" s="6"/>
      <c r="X4563" s="12"/>
      <c r="Y4563" s="6"/>
      <c r="Z4563" s="6"/>
      <c r="AA4563" s="7"/>
      <c r="AB4563" s="6"/>
      <c r="AC4563" s="6"/>
      <c r="AD4563" s="6"/>
      <c r="AE4563" s="12"/>
      <c r="AF4563" s="12"/>
      <c r="AG4563" s="12"/>
      <c r="AH4563" s="12"/>
      <c r="AI4563" s="6"/>
      <c r="AJ4563" s="12"/>
      <c r="AK4563" s="24"/>
      <c r="AL4563" s="25"/>
      <c r="AM4563" s="12"/>
      <c r="AN4563" s="1"/>
      <c r="AO4563" s="6"/>
    </row>
    <row r="4564" spans="1:41" ht="15" x14ac:dyDescent="0.25">
      <c r="A4564" s="1"/>
      <c r="B4564" s="1"/>
      <c r="C4564" s="1"/>
      <c r="D4564" s="1"/>
      <c r="E4564" s="6"/>
      <c r="F4564" s="1"/>
      <c r="G4564" s="6"/>
      <c r="H4564" s="6"/>
      <c r="I4564" s="6"/>
      <c r="J4564" s="6"/>
      <c r="K4564" s="6"/>
      <c r="L4564" s="6"/>
      <c r="M4564" s="6"/>
      <c r="N4564" s="6"/>
      <c r="O4564" s="7"/>
      <c r="P4564" s="6"/>
      <c r="Q4564" s="6"/>
      <c r="R4564" s="7"/>
      <c r="S4564" s="6"/>
      <c r="T4564" s="6"/>
      <c r="U4564" s="7"/>
      <c r="V4564" s="6"/>
      <c r="W4564" s="6"/>
      <c r="X4564" s="6"/>
      <c r="Y4564" s="6"/>
      <c r="Z4564" s="6"/>
      <c r="AA4564" s="7"/>
      <c r="AB4564" s="6"/>
      <c r="AC4564" s="6"/>
      <c r="AD4564" s="6"/>
      <c r="AE4564" s="12"/>
      <c r="AF4564" s="6"/>
      <c r="AG4564" s="12"/>
      <c r="AH4564" s="6"/>
      <c r="AI4564" s="6"/>
      <c r="AJ4564" s="12"/>
      <c r="AK4564" s="24"/>
      <c r="AL4564" s="25"/>
      <c r="AM4564" s="12"/>
      <c r="AN4564" s="1"/>
      <c r="AO4564" s="6"/>
    </row>
    <row r="4565" spans="1:41" ht="15" x14ac:dyDescent="0.25">
      <c r="A4565" s="1"/>
      <c r="B4565" s="1"/>
      <c r="C4565" s="1"/>
      <c r="D4565" s="1"/>
      <c r="E4565" s="6"/>
      <c r="F4565" s="1"/>
      <c r="G4565" s="6"/>
      <c r="H4565" s="6"/>
      <c r="I4565" s="6"/>
      <c r="J4565" s="6"/>
      <c r="K4565" s="6"/>
      <c r="L4565" s="6"/>
      <c r="M4565" s="6"/>
      <c r="N4565" s="6"/>
      <c r="O4565" s="7"/>
      <c r="P4565" s="6"/>
      <c r="Q4565" s="6"/>
      <c r="R4565" s="7"/>
      <c r="S4565" s="6"/>
      <c r="T4565" s="6"/>
      <c r="U4565" s="7"/>
      <c r="V4565" s="6"/>
      <c r="W4565" s="6"/>
      <c r="X4565" s="6"/>
      <c r="Y4565" s="6"/>
      <c r="Z4565" s="6"/>
      <c r="AA4565" s="7"/>
      <c r="AB4565" s="6"/>
      <c r="AC4565" s="6"/>
      <c r="AD4565" s="6"/>
      <c r="AE4565" s="12"/>
      <c r="AF4565" s="6"/>
      <c r="AG4565" s="12"/>
      <c r="AH4565" s="6"/>
      <c r="AI4565" s="6"/>
      <c r="AJ4565" s="12"/>
      <c r="AK4565" s="24"/>
      <c r="AL4565" s="25"/>
      <c r="AM4565" s="12"/>
      <c r="AN4565" s="1"/>
      <c r="AO4565" s="6"/>
    </row>
    <row r="4566" spans="1:41" ht="15" x14ac:dyDescent="0.25">
      <c r="A4566" s="1"/>
      <c r="B4566" s="1"/>
      <c r="C4566" s="1"/>
      <c r="D4566" s="1"/>
      <c r="E4566" s="6"/>
      <c r="F4566" s="1"/>
      <c r="G4566" s="6"/>
      <c r="H4566" s="6"/>
      <c r="I4566" s="6"/>
      <c r="J4566" s="6"/>
      <c r="K4566" s="6"/>
      <c r="L4566" s="6"/>
      <c r="M4566" s="6"/>
      <c r="N4566" s="6"/>
      <c r="O4566" s="7"/>
      <c r="P4566" s="6"/>
      <c r="Q4566" s="6"/>
      <c r="R4566" s="7"/>
      <c r="S4566" s="6"/>
      <c r="T4566" s="6"/>
      <c r="U4566" s="7"/>
      <c r="V4566" s="6"/>
      <c r="W4566" s="6"/>
      <c r="X4566" s="6"/>
      <c r="Y4566" s="6"/>
      <c r="Z4566" s="6"/>
      <c r="AA4566" s="7"/>
      <c r="AB4566" s="6"/>
      <c r="AC4566" s="6"/>
      <c r="AD4566" s="6"/>
      <c r="AE4566" s="12"/>
      <c r="AF4566" s="6"/>
      <c r="AG4566" s="12"/>
      <c r="AH4566" s="6"/>
      <c r="AI4566" s="6"/>
      <c r="AJ4566" s="12"/>
      <c r="AK4566" s="24"/>
      <c r="AL4566" s="25"/>
      <c r="AM4566" s="12"/>
      <c r="AN4566" s="1"/>
      <c r="AO4566" s="6"/>
    </row>
    <row r="4567" spans="1:41" ht="15" x14ac:dyDescent="0.25">
      <c r="A4567" s="1"/>
      <c r="B4567" s="1"/>
      <c r="C4567" s="1"/>
      <c r="D4567" s="1"/>
      <c r="E4567" s="6"/>
      <c r="F4567" s="1"/>
      <c r="G4567" s="6"/>
      <c r="H4567" s="6"/>
      <c r="I4567" s="6"/>
      <c r="J4567" s="6"/>
      <c r="K4567" s="6"/>
      <c r="L4567" s="6"/>
      <c r="M4567" s="6"/>
      <c r="N4567" s="6"/>
      <c r="O4567" s="7"/>
      <c r="P4567" s="6"/>
      <c r="Q4567" s="6"/>
      <c r="R4567" s="7"/>
      <c r="S4567" s="6"/>
      <c r="T4567" s="6"/>
      <c r="U4567" s="7"/>
      <c r="V4567" s="6"/>
      <c r="W4567" s="6"/>
      <c r="X4567" s="6"/>
      <c r="Y4567" s="6"/>
      <c r="Z4567" s="6"/>
      <c r="AA4567" s="7"/>
      <c r="AB4567" s="6"/>
      <c r="AC4567" s="6"/>
      <c r="AD4567" s="6"/>
      <c r="AE4567" s="12"/>
      <c r="AF4567" s="6"/>
      <c r="AG4567" s="12"/>
      <c r="AH4567" s="6"/>
      <c r="AI4567" s="6"/>
      <c r="AJ4567" s="12"/>
      <c r="AK4567" s="24"/>
      <c r="AL4567" s="25"/>
      <c r="AM4567" s="12"/>
      <c r="AN4567" s="1"/>
      <c r="AO4567" s="6"/>
    </row>
    <row r="4568" spans="1:41" ht="15" x14ac:dyDescent="0.25">
      <c r="A4568" s="1"/>
      <c r="B4568" s="1"/>
      <c r="C4568" s="1"/>
      <c r="D4568" s="1"/>
      <c r="E4568" s="6"/>
      <c r="F4568" s="1"/>
      <c r="G4568" s="6"/>
      <c r="H4568" s="6"/>
      <c r="I4568" s="6"/>
      <c r="J4568" s="6"/>
      <c r="K4568" s="6"/>
      <c r="L4568" s="6"/>
      <c r="M4568" s="6"/>
      <c r="N4568" s="6"/>
      <c r="O4568" s="7"/>
      <c r="P4568" s="6"/>
      <c r="Q4568" s="6"/>
      <c r="R4568" s="7"/>
      <c r="S4568" s="6"/>
      <c r="T4568" s="6"/>
      <c r="U4568" s="7"/>
      <c r="V4568" s="6"/>
      <c r="W4568" s="6"/>
      <c r="X4568" s="6"/>
      <c r="Y4568" s="6"/>
      <c r="Z4568" s="6"/>
      <c r="AA4568" s="7"/>
      <c r="AB4568" s="6"/>
      <c r="AC4568" s="6"/>
      <c r="AD4568" s="6"/>
      <c r="AE4568" s="12"/>
      <c r="AF4568" s="12"/>
      <c r="AG4568" s="12"/>
      <c r="AH4568" s="12"/>
      <c r="AI4568" s="6"/>
      <c r="AJ4568" s="12"/>
      <c r="AK4568" s="1"/>
      <c r="AL4568" s="12"/>
      <c r="AM4568" s="12"/>
      <c r="AN4568" s="1"/>
      <c r="AO4568" s="6"/>
    </row>
    <row r="4569" spans="1:41" ht="15" x14ac:dyDescent="0.25">
      <c r="A4569" s="1"/>
      <c r="B4569" s="1"/>
      <c r="C4569" s="1"/>
      <c r="D4569" s="1"/>
      <c r="E4569" s="6"/>
      <c r="F4569" s="1"/>
      <c r="G4569" s="6"/>
      <c r="H4569" s="6"/>
      <c r="I4569" s="6"/>
      <c r="J4569" s="6"/>
      <c r="K4569" s="6"/>
      <c r="L4569" s="6"/>
      <c r="M4569" s="6"/>
      <c r="N4569" s="6"/>
      <c r="O4569" s="7"/>
      <c r="P4569" s="6"/>
      <c r="Q4569" s="6"/>
      <c r="R4569" s="7"/>
      <c r="S4569" s="6"/>
      <c r="T4569" s="6"/>
      <c r="U4569" s="7"/>
      <c r="V4569" s="6"/>
      <c r="W4569" s="6"/>
      <c r="X4569" s="12"/>
      <c r="Y4569" s="6"/>
      <c r="Z4569" s="6"/>
      <c r="AA4569" s="7"/>
      <c r="AB4569" s="6"/>
      <c r="AC4569" s="6"/>
      <c r="AD4569" s="6"/>
      <c r="AE4569" s="12"/>
      <c r="AF4569" s="6"/>
      <c r="AG4569" s="12"/>
      <c r="AH4569" s="6"/>
      <c r="AI4569" s="6"/>
      <c r="AJ4569" s="12"/>
      <c r="AK4569" s="24"/>
      <c r="AL4569" s="25"/>
      <c r="AM4569" s="12"/>
      <c r="AN4569" s="1"/>
      <c r="AO4569" s="6"/>
    </row>
    <row r="4570" spans="1:41" ht="15" x14ac:dyDescent="0.25">
      <c r="A4570" s="1"/>
      <c r="B4570" s="1"/>
      <c r="C4570" s="1"/>
      <c r="D4570" s="1"/>
      <c r="E4570" s="6"/>
      <c r="F4570" s="1"/>
      <c r="G4570" s="6"/>
      <c r="H4570" s="6"/>
      <c r="I4570" s="6"/>
      <c r="J4570" s="6"/>
      <c r="K4570" s="6"/>
      <c r="L4570" s="6"/>
      <c r="M4570" s="6"/>
      <c r="N4570" s="6"/>
      <c r="O4570" s="7"/>
      <c r="P4570" s="6"/>
      <c r="Q4570" s="6"/>
      <c r="R4570" s="7"/>
      <c r="S4570" s="6"/>
      <c r="T4570" s="6"/>
      <c r="U4570" s="7"/>
      <c r="V4570" s="6"/>
      <c r="W4570" s="6"/>
      <c r="X4570" s="12"/>
      <c r="Y4570" s="6"/>
      <c r="Z4570" s="6"/>
      <c r="AA4570" s="7"/>
      <c r="AB4570" s="6"/>
      <c r="AC4570" s="6"/>
      <c r="AD4570" s="6"/>
      <c r="AE4570" s="12"/>
      <c r="AF4570" s="6"/>
      <c r="AG4570" s="12"/>
      <c r="AH4570" s="6"/>
      <c r="AI4570" s="6"/>
      <c r="AJ4570" s="12"/>
      <c r="AK4570" s="24"/>
      <c r="AL4570" s="25"/>
      <c r="AM4570" s="12"/>
      <c r="AN4570" s="1"/>
      <c r="AO4570" s="6"/>
    </row>
    <row r="4571" spans="1:41" ht="15" x14ac:dyDescent="0.25">
      <c r="A4571" s="1"/>
      <c r="B4571" s="1"/>
      <c r="C4571" s="1"/>
      <c r="D4571" s="1"/>
      <c r="E4571" s="6"/>
      <c r="F4571" s="1"/>
      <c r="G4571" s="6"/>
      <c r="H4571" s="6"/>
      <c r="I4571" s="6"/>
      <c r="J4571" s="6"/>
      <c r="K4571" s="6"/>
      <c r="L4571" s="6"/>
      <c r="M4571" s="6"/>
      <c r="N4571" s="6"/>
      <c r="O4571" s="7"/>
      <c r="P4571" s="6"/>
      <c r="Q4571" s="6"/>
      <c r="R4571" s="7"/>
      <c r="S4571" s="6"/>
      <c r="T4571" s="6"/>
      <c r="U4571" s="7"/>
      <c r="V4571" s="6"/>
      <c r="W4571" s="6"/>
      <c r="X4571" s="12"/>
      <c r="Y4571" s="6"/>
      <c r="Z4571" s="6"/>
      <c r="AA4571" s="7"/>
      <c r="AB4571" s="6"/>
      <c r="AC4571" s="6"/>
      <c r="AD4571" s="6"/>
      <c r="AE4571" s="12"/>
      <c r="AF4571" s="6"/>
      <c r="AG4571" s="12"/>
      <c r="AH4571" s="6"/>
      <c r="AI4571" s="6"/>
      <c r="AJ4571" s="12"/>
      <c r="AK4571" s="24"/>
      <c r="AL4571" s="25"/>
      <c r="AM4571" s="12"/>
      <c r="AN4571" s="1"/>
      <c r="AO4571" s="6"/>
    </row>
    <row r="4572" spans="1:41" ht="15" x14ac:dyDescent="0.25">
      <c r="A4572" s="1"/>
      <c r="B4572" s="1"/>
      <c r="C4572" s="1"/>
      <c r="D4572" s="1"/>
      <c r="E4572" s="6"/>
      <c r="F4572" s="1"/>
      <c r="G4572" s="6"/>
      <c r="H4572" s="6"/>
      <c r="I4572" s="6"/>
      <c r="J4572" s="6"/>
      <c r="K4572" s="6"/>
      <c r="L4572" s="6"/>
      <c r="M4572" s="6"/>
      <c r="N4572" s="6"/>
      <c r="O4572" s="7"/>
      <c r="P4572" s="6"/>
      <c r="Q4572" s="6"/>
      <c r="R4572" s="7"/>
      <c r="S4572" s="6"/>
      <c r="T4572" s="6"/>
      <c r="U4572" s="7"/>
      <c r="V4572" s="6"/>
      <c r="W4572" s="6"/>
      <c r="X4572" s="12"/>
      <c r="Y4572" s="6"/>
      <c r="Z4572" s="6"/>
      <c r="AA4572" s="7"/>
      <c r="AB4572" s="6"/>
      <c r="AC4572" s="6"/>
      <c r="AD4572" s="6"/>
      <c r="AE4572" s="12"/>
      <c r="AF4572" s="6"/>
      <c r="AG4572" s="12"/>
      <c r="AH4572" s="6"/>
      <c r="AI4572" s="6"/>
      <c r="AJ4572" s="12"/>
      <c r="AK4572" s="24"/>
      <c r="AL4572" s="25"/>
      <c r="AM4572" s="12"/>
      <c r="AN4572" s="1"/>
      <c r="AO4572" s="6"/>
    </row>
    <row r="4573" spans="1:41" ht="15" x14ac:dyDescent="0.25">
      <c r="A4573" s="1"/>
      <c r="B4573" s="1"/>
      <c r="C4573" s="1"/>
      <c r="D4573" s="1"/>
      <c r="E4573" s="6"/>
      <c r="F4573" s="1"/>
      <c r="G4573" s="6"/>
      <c r="H4573" s="6"/>
      <c r="I4573" s="6"/>
      <c r="J4573" s="6"/>
      <c r="K4573" s="6"/>
      <c r="L4573" s="6"/>
      <c r="M4573" s="6"/>
      <c r="N4573" s="6"/>
      <c r="O4573" s="7"/>
      <c r="P4573" s="6"/>
      <c r="Q4573" s="6"/>
      <c r="R4573" s="7"/>
      <c r="S4573" s="6"/>
      <c r="T4573" s="6"/>
      <c r="U4573" s="7"/>
      <c r="V4573" s="6"/>
      <c r="W4573" s="6"/>
      <c r="X4573" s="12"/>
      <c r="Y4573" s="6"/>
      <c r="Z4573" s="6"/>
      <c r="AA4573" s="7"/>
      <c r="AB4573" s="6"/>
      <c r="AC4573" s="6"/>
      <c r="AD4573" s="6"/>
      <c r="AE4573" s="12"/>
      <c r="AF4573" s="12"/>
      <c r="AG4573" s="12"/>
      <c r="AH4573" s="12"/>
      <c r="AI4573" s="6"/>
      <c r="AJ4573" s="12"/>
      <c r="AK4573" s="1"/>
      <c r="AL4573" s="12"/>
      <c r="AM4573" s="12"/>
      <c r="AN4573" s="1"/>
      <c r="AO4573" s="6"/>
    </row>
    <row r="4574" spans="1:41" ht="15" x14ac:dyDescent="0.25">
      <c r="A4574" s="1"/>
      <c r="B4574" s="1"/>
      <c r="C4574" s="1"/>
      <c r="D4574" s="1"/>
      <c r="E4574" s="6"/>
      <c r="F4574" s="1"/>
      <c r="G4574" s="6"/>
      <c r="H4574" s="6"/>
      <c r="I4574" s="6"/>
      <c r="J4574" s="6"/>
      <c r="K4574" s="6"/>
      <c r="L4574" s="6"/>
      <c r="M4574" s="6"/>
      <c r="N4574" s="6"/>
      <c r="O4574" s="7"/>
      <c r="P4574" s="6"/>
      <c r="Q4574" s="6"/>
      <c r="R4574" s="7"/>
      <c r="S4574" s="6"/>
      <c r="T4574" s="6"/>
      <c r="U4574" s="7"/>
      <c r="V4574" s="6"/>
      <c r="W4574" s="6"/>
      <c r="X4574" s="6"/>
      <c r="Y4574" s="6"/>
      <c r="Z4574" s="6"/>
      <c r="AA4574" s="7"/>
      <c r="AB4574" s="6"/>
      <c r="AC4574" s="6"/>
      <c r="AD4574" s="6"/>
      <c r="AE4574" s="12"/>
      <c r="AF4574" s="6"/>
      <c r="AG4574" s="12"/>
      <c r="AH4574" s="6"/>
      <c r="AI4574" s="6"/>
      <c r="AJ4574" s="12"/>
      <c r="AK4574" s="24"/>
      <c r="AL4574" s="25"/>
      <c r="AM4574" s="12"/>
      <c r="AN4574" s="1"/>
      <c r="AO4574" s="6"/>
    </row>
    <row r="4575" spans="1:41" ht="15" x14ac:dyDescent="0.25">
      <c r="A4575" s="1"/>
      <c r="B4575" s="1"/>
      <c r="C4575" s="1"/>
      <c r="D4575" s="1"/>
      <c r="E4575" s="6"/>
      <c r="F4575" s="1"/>
      <c r="G4575" s="6"/>
      <c r="H4575" s="6"/>
      <c r="I4575" s="6"/>
      <c r="J4575" s="6"/>
      <c r="K4575" s="6"/>
      <c r="L4575" s="6"/>
      <c r="M4575" s="6"/>
      <c r="N4575" s="6"/>
      <c r="O4575" s="7"/>
      <c r="P4575" s="6"/>
      <c r="Q4575" s="6"/>
      <c r="R4575" s="7"/>
      <c r="S4575" s="6"/>
      <c r="T4575" s="6"/>
      <c r="U4575" s="7"/>
      <c r="V4575" s="6"/>
      <c r="W4575" s="6"/>
      <c r="X4575" s="6"/>
      <c r="Y4575" s="6"/>
      <c r="Z4575" s="6"/>
      <c r="AA4575" s="7"/>
      <c r="AB4575" s="6"/>
      <c r="AC4575" s="6"/>
      <c r="AD4575" s="6"/>
      <c r="AE4575" s="12"/>
      <c r="AF4575" s="12"/>
      <c r="AG4575" s="12"/>
      <c r="AH4575" s="12"/>
      <c r="AI4575" s="6"/>
      <c r="AJ4575" s="12"/>
      <c r="AK4575" s="1"/>
      <c r="AL4575" s="12"/>
      <c r="AM4575" s="12"/>
      <c r="AN4575" s="1"/>
      <c r="AO4575" s="6"/>
    </row>
    <row r="4576" spans="1:41" ht="15" x14ac:dyDescent="0.25">
      <c r="A4576" s="1"/>
      <c r="B4576" s="1"/>
      <c r="C4576" s="1"/>
      <c r="D4576" s="1"/>
      <c r="E4576" s="6"/>
      <c r="F4576" s="1"/>
      <c r="G4576" s="6"/>
      <c r="H4576" s="6"/>
      <c r="I4576" s="6"/>
      <c r="J4576" s="6"/>
      <c r="K4576" s="6"/>
      <c r="L4576" s="6"/>
      <c r="M4576" s="6"/>
      <c r="N4576" s="6"/>
      <c r="O4576" s="7"/>
      <c r="P4576" s="6"/>
      <c r="Q4576" s="6"/>
      <c r="R4576" s="7"/>
      <c r="S4576" s="6"/>
      <c r="T4576" s="6"/>
      <c r="U4576" s="7"/>
      <c r="V4576" s="6"/>
      <c r="W4576" s="6"/>
      <c r="X4576" s="12"/>
      <c r="Y4576" s="6"/>
      <c r="Z4576" s="6"/>
      <c r="AA4576" s="7"/>
      <c r="AB4576" s="6"/>
      <c r="AC4576" s="6"/>
      <c r="AD4576" s="6"/>
      <c r="AE4576" s="12"/>
      <c r="AF4576" s="12"/>
      <c r="AG4576" s="12"/>
      <c r="AH4576" s="12"/>
      <c r="AI4576" s="6"/>
      <c r="AJ4576" s="12"/>
      <c r="AK4576" s="1"/>
      <c r="AL4576" s="12"/>
      <c r="AM4576" s="12"/>
      <c r="AN4576" s="1"/>
      <c r="AO4576" s="6"/>
    </row>
    <row r="4577" spans="1:41" ht="15" x14ac:dyDescent="0.25">
      <c r="A4577" s="1"/>
      <c r="B4577" s="1"/>
      <c r="C4577" s="1"/>
      <c r="D4577" s="1"/>
      <c r="E4577" s="6"/>
      <c r="F4577" s="1"/>
      <c r="G4577" s="6"/>
      <c r="H4577" s="6"/>
      <c r="I4577" s="6"/>
      <c r="J4577" s="6"/>
      <c r="K4577" s="6"/>
      <c r="L4577" s="6"/>
      <c r="M4577" s="6"/>
      <c r="N4577" s="6"/>
      <c r="O4577" s="7"/>
      <c r="P4577" s="6"/>
      <c r="Q4577" s="6"/>
      <c r="R4577" s="7"/>
      <c r="S4577" s="6"/>
      <c r="T4577" s="6"/>
      <c r="U4577" s="7"/>
      <c r="V4577" s="6"/>
      <c r="W4577" s="6"/>
      <c r="X4577" s="6"/>
      <c r="Y4577" s="6"/>
      <c r="Z4577" s="6"/>
      <c r="AA4577" s="7"/>
      <c r="AB4577" s="6"/>
      <c r="AC4577" s="6"/>
      <c r="AD4577" s="6"/>
      <c r="AE4577" s="12"/>
      <c r="AF4577" s="12"/>
      <c r="AG4577" s="12"/>
      <c r="AH4577" s="12"/>
      <c r="AI4577" s="6"/>
      <c r="AJ4577" s="12"/>
      <c r="AK4577" s="1"/>
      <c r="AL4577" s="12"/>
      <c r="AM4577" s="12"/>
      <c r="AN4577" s="1"/>
      <c r="AO4577" s="6"/>
    </row>
    <row r="4578" spans="1:41" ht="15" x14ac:dyDescent="0.25">
      <c r="A4578" s="1"/>
      <c r="B4578" s="1"/>
      <c r="C4578" s="1"/>
      <c r="D4578" s="1"/>
      <c r="E4578" s="6"/>
      <c r="F4578" s="1"/>
      <c r="G4578" s="6"/>
      <c r="H4578" s="6"/>
      <c r="I4578" s="6"/>
      <c r="J4578" s="6"/>
      <c r="K4578" s="6"/>
      <c r="L4578" s="6"/>
      <c r="M4578" s="6"/>
      <c r="N4578" s="6"/>
      <c r="O4578" s="7"/>
      <c r="P4578" s="6"/>
      <c r="Q4578" s="6"/>
      <c r="R4578" s="7"/>
      <c r="S4578" s="6"/>
      <c r="T4578" s="6"/>
      <c r="U4578" s="7"/>
      <c r="V4578" s="6"/>
      <c r="W4578" s="6"/>
      <c r="X4578" s="6"/>
      <c r="Y4578" s="6"/>
      <c r="Z4578" s="6"/>
      <c r="AA4578" s="7"/>
      <c r="AB4578" s="6"/>
      <c r="AC4578" s="6"/>
      <c r="AD4578" s="6"/>
      <c r="AE4578" s="12"/>
      <c r="AF4578" s="12"/>
      <c r="AG4578" s="12"/>
      <c r="AH4578" s="12"/>
      <c r="AI4578" s="6"/>
      <c r="AJ4578" s="12"/>
      <c r="AK4578" s="1"/>
      <c r="AL4578" s="12"/>
      <c r="AM4578" s="12"/>
      <c r="AN4578" s="1"/>
      <c r="AO4578" s="6"/>
    </row>
    <row r="4579" spans="1:41" ht="15" x14ac:dyDescent="0.25">
      <c r="A4579" s="1"/>
      <c r="B4579" s="1"/>
      <c r="C4579" s="1"/>
      <c r="D4579" s="1"/>
      <c r="E4579" s="6"/>
      <c r="F4579" s="1"/>
      <c r="G4579" s="6"/>
      <c r="H4579" s="6"/>
      <c r="I4579" s="6"/>
      <c r="J4579" s="6"/>
      <c r="K4579" s="6"/>
      <c r="L4579" s="6"/>
      <c r="M4579" s="6"/>
      <c r="N4579" s="6"/>
      <c r="O4579" s="7"/>
      <c r="P4579" s="6"/>
      <c r="Q4579" s="7"/>
      <c r="R4579" s="6"/>
      <c r="S4579" s="12"/>
      <c r="T4579" s="6"/>
      <c r="U4579" s="6"/>
      <c r="V4579" s="7"/>
      <c r="W4579" s="7"/>
      <c r="X4579" s="6"/>
      <c r="Y4579" s="6"/>
      <c r="Z4579" s="6"/>
      <c r="AA4579" s="1"/>
      <c r="AB4579" s="12"/>
      <c r="AC4579" s="12"/>
      <c r="AD4579" s="12"/>
      <c r="AE4579" s="12"/>
      <c r="AF4579" s="12"/>
      <c r="AG4579" s="12"/>
      <c r="AH4579" s="12"/>
      <c r="AI4579" s="6"/>
      <c r="AJ4579" s="12"/>
      <c r="AK4579" s="12"/>
      <c r="AL4579" s="12"/>
      <c r="AM4579" s="12"/>
      <c r="AN4579" s="1"/>
      <c r="AO4579" s="6"/>
    </row>
    <row r="4580" spans="1:41" ht="15" x14ac:dyDescent="0.25">
      <c r="A4580" s="1"/>
      <c r="B4580" s="1"/>
      <c r="C4580" s="1"/>
      <c r="D4580" s="1"/>
      <c r="E4580" s="6"/>
      <c r="F4580" s="1"/>
      <c r="G4580" s="6"/>
      <c r="H4580" s="6"/>
      <c r="I4580" s="6"/>
      <c r="J4580" s="6"/>
      <c r="K4580" s="12"/>
      <c r="L4580" s="12"/>
      <c r="M4580" s="6"/>
      <c r="N4580" s="6"/>
      <c r="O4580" s="7"/>
      <c r="P4580" s="6"/>
      <c r="Q4580" s="6"/>
      <c r="R4580" s="7"/>
      <c r="S4580" s="6"/>
      <c r="T4580" s="6"/>
      <c r="U4580" s="7"/>
      <c r="V4580" s="6"/>
      <c r="W4580" s="6"/>
      <c r="X4580" s="12"/>
      <c r="Y4580" s="6"/>
      <c r="Z4580" s="6"/>
      <c r="AA4580" s="7"/>
      <c r="AB4580" s="6"/>
      <c r="AC4580" s="6"/>
      <c r="AD4580" s="6"/>
      <c r="AE4580" s="12"/>
      <c r="AF4580" s="12"/>
      <c r="AG4580" s="12"/>
      <c r="AH4580" s="12"/>
      <c r="AI4580" s="6"/>
      <c r="AJ4580" s="12"/>
      <c r="AK4580" s="1"/>
      <c r="AL4580" s="12"/>
      <c r="AM4580" s="12"/>
      <c r="AN4580" s="1"/>
      <c r="AO4580" s="6"/>
    </row>
    <row r="4581" spans="1:41" ht="15" x14ac:dyDescent="0.25">
      <c r="A4581" s="1"/>
      <c r="B4581" s="1"/>
      <c r="C4581" s="1"/>
      <c r="D4581" s="1"/>
      <c r="E4581" s="6"/>
      <c r="F4581" s="1"/>
      <c r="G4581" s="6"/>
      <c r="H4581" s="6"/>
      <c r="I4581" s="6"/>
      <c r="J4581" s="6"/>
      <c r="K4581" s="6"/>
      <c r="L4581" s="6"/>
      <c r="M4581" s="6"/>
      <c r="N4581" s="6"/>
      <c r="O4581" s="7"/>
      <c r="P4581" s="6"/>
      <c r="Q4581" s="6"/>
      <c r="R4581" s="7"/>
      <c r="S4581" s="6"/>
      <c r="T4581" s="6"/>
      <c r="U4581" s="7"/>
      <c r="V4581" s="6"/>
      <c r="W4581" s="6"/>
      <c r="X4581" s="6"/>
      <c r="Y4581" s="6"/>
      <c r="Z4581" s="6"/>
      <c r="AA4581" s="7"/>
      <c r="AB4581" s="6"/>
      <c r="AC4581" s="6"/>
      <c r="AD4581" s="6"/>
      <c r="AE4581" s="12"/>
      <c r="AF4581" s="12"/>
      <c r="AG4581" s="12"/>
      <c r="AH4581" s="12"/>
      <c r="AI4581" s="6"/>
      <c r="AJ4581" s="12"/>
      <c r="AK4581" s="1"/>
      <c r="AL4581" s="12"/>
      <c r="AM4581" s="12"/>
      <c r="AN4581" s="1"/>
      <c r="AO4581" s="6"/>
    </row>
    <row r="4582" spans="1:41" ht="15" x14ac:dyDescent="0.25">
      <c r="A4582" s="1"/>
      <c r="B4582" s="1"/>
      <c r="C4582" s="1"/>
      <c r="D4582" s="1"/>
      <c r="E4582" s="6"/>
      <c r="F4582" s="1"/>
      <c r="G4582" s="6"/>
      <c r="H4582" s="6"/>
      <c r="I4582" s="6"/>
      <c r="J4582" s="6"/>
      <c r="K4582" s="6"/>
      <c r="L4582" s="6"/>
      <c r="M4582" s="6"/>
      <c r="N4582" s="6"/>
      <c r="O4582" s="7"/>
      <c r="P4582" s="6"/>
      <c r="Q4582" s="6"/>
      <c r="R4582" s="7"/>
      <c r="S4582" s="6"/>
      <c r="T4582" s="6"/>
      <c r="U4582" s="7"/>
      <c r="V4582" s="6"/>
      <c r="W4582" s="6"/>
      <c r="X4582" s="6"/>
      <c r="Y4582" s="6"/>
      <c r="Z4582" s="6"/>
      <c r="AA4582" s="7"/>
      <c r="AB4582" s="6"/>
      <c r="AC4582" s="6"/>
      <c r="AD4582" s="6"/>
      <c r="AE4582" s="12"/>
      <c r="AF4582" s="12"/>
      <c r="AG4582" s="12"/>
      <c r="AH4582" s="12"/>
      <c r="AI4582" s="6"/>
      <c r="AJ4582" s="12"/>
      <c r="AK4582" s="1"/>
      <c r="AL4582" s="12"/>
      <c r="AM4582" s="12"/>
      <c r="AN4582" s="1"/>
      <c r="AO4582" s="6"/>
    </row>
    <row r="4583" spans="1:41" ht="15" x14ac:dyDescent="0.25">
      <c r="A4583" s="1"/>
      <c r="B4583" s="1"/>
      <c r="C4583" s="1"/>
      <c r="D4583" s="1"/>
      <c r="E4583" s="6"/>
      <c r="F4583" s="1"/>
      <c r="G4583" s="6"/>
      <c r="H4583" s="6"/>
      <c r="I4583" s="6"/>
      <c r="J4583" s="6"/>
      <c r="K4583" s="6"/>
      <c r="L4583" s="6"/>
      <c r="M4583" s="6"/>
      <c r="N4583" s="6"/>
      <c r="O4583" s="7"/>
      <c r="P4583" s="12"/>
      <c r="Q4583" s="6"/>
      <c r="R4583" s="7"/>
      <c r="S4583" s="6"/>
      <c r="T4583" s="6"/>
      <c r="U4583" s="7"/>
      <c r="V4583" s="6"/>
      <c r="W4583" s="6"/>
      <c r="X4583" s="12"/>
      <c r="Y4583" s="6"/>
      <c r="Z4583" s="6"/>
      <c r="AA4583" s="7"/>
      <c r="AB4583" s="6"/>
      <c r="AC4583" s="6"/>
      <c r="AD4583" s="6"/>
      <c r="AE4583" s="12"/>
      <c r="AF4583" s="12"/>
      <c r="AG4583" s="12"/>
      <c r="AH4583" s="12"/>
      <c r="AI4583" s="6"/>
      <c r="AJ4583" s="12"/>
      <c r="AK4583" s="1"/>
      <c r="AL4583" s="12"/>
      <c r="AM4583" s="12"/>
      <c r="AN4583" s="1"/>
      <c r="AO4583" s="6"/>
    </row>
    <row r="4584" spans="1:41" ht="15" x14ac:dyDescent="0.25">
      <c r="A4584" s="1"/>
      <c r="B4584" s="1"/>
      <c r="C4584" s="1"/>
      <c r="D4584" s="1"/>
      <c r="E4584" s="6"/>
      <c r="F4584" s="1"/>
      <c r="G4584" s="6"/>
      <c r="H4584" s="6"/>
      <c r="I4584" s="6"/>
      <c r="J4584" s="6"/>
      <c r="K4584" s="6"/>
      <c r="L4584" s="6"/>
      <c r="M4584" s="6"/>
      <c r="N4584" s="6"/>
      <c r="O4584" s="7"/>
      <c r="P4584" s="12"/>
      <c r="Q4584" s="6"/>
      <c r="R4584" s="7"/>
      <c r="S4584" s="6"/>
      <c r="T4584" s="6"/>
      <c r="U4584" s="7"/>
      <c r="V4584" s="6"/>
      <c r="W4584" s="6"/>
      <c r="X4584" s="6"/>
      <c r="Y4584" s="6"/>
      <c r="Z4584" s="6"/>
      <c r="AA4584" s="7"/>
      <c r="AB4584" s="6"/>
      <c r="AC4584" s="6"/>
      <c r="AD4584" s="6"/>
      <c r="AE4584" s="12"/>
      <c r="AF4584" s="6"/>
      <c r="AG4584" s="12"/>
      <c r="AH4584" s="6"/>
      <c r="AI4584" s="6"/>
      <c r="AJ4584" s="12"/>
      <c r="AK4584" s="24"/>
      <c r="AL4584" s="25"/>
      <c r="AM4584" s="12"/>
      <c r="AN4584" s="1"/>
      <c r="AO4584" s="6"/>
    </row>
    <row r="4585" spans="1:41" ht="15" x14ac:dyDescent="0.25">
      <c r="A4585" s="1"/>
      <c r="B4585" s="1"/>
      <c r="C4585" s="1"/>
      <c r="D4585" s="1"/>
      <c r="E4585" s="6"/>
      <c r="F4585" s="1"/>
      <c r="G4585" s="6"/>
      <c r="H4585" s="6"/>
      <c r="I4585" s="6"/>
      <c r="J4585" s="6"/>
      <c r="K4585" s="6"/>
      <c r="L4585" s="6"/>
      <c r="M4585" s="6"/>
      <c r="N4585" s="6"/>
      <c r="O4585" s="7"/>
      <c r="P4585" s="12"/>
      <c r="Q4585" s="6"/>
      <c r="R4585" s="7"/>
      <c r="S4585" s="6"/>
      <c r="T4585" s="6"/>
      <c r="U4585" s="7"/>
      <c r="V4585" s="6"/>
      <c r="W4585" s="6"/>
      <c r="X4585" s="6"/>
      <c r="Y4585" s="6"/>
      <c r="Z4585" s="6"/>
      <c r="AA4585" s="7"/>
      <c r="AB4585" s="6"/>
      <c r="AC4585" s="6"/>
      <c r="AD4585" s="6"/>
      <c r="AE4585" s="12"/>
      <c r="AF4585" s="6"/>
      <c r="AG4585" s="12"/>
      <c r="AH4585" s="6"/>
      <c r="AI4585" s="6"/>
      <c r="AJ4585" s="12"/>
      <c r="AK4585" s="24"/>
      <c r="AL4585" s="25"/>
      <c r="AM4585" s="12"/>
      <c r="AN4585" s="1"/>
      <c r="AO4585" s="6"/>
    </row>
    <row r="4586" spans="1:41" ht="15" x14ac:dyDescent="0.25">
      <c r="A4586" s="1"/>
      <c r="B4586" s="1"/>
      <c r="C4586" s="1"/>
      <c r="D4586" s="1"/>
      <c r="E4586" s="6"/>
      <c r="F4586" s="1"/>
      <c r="G4586" s="6"/>
      <c r="H4586" s="6"/>
      <c r="I4586" s="6"/>
      <c r="J4586" s="6"/>
      <c r="K4586" s="12"/>
      <c r="L4586" s="12"/>
      <c r="M4586" s="6"/>
      <c r="N4586" s="6"/>
      <c r="O4586" s="7"/>
      <c r="P4586" s="6"/>
      <c r="Q4586" s="6"/>
      <c r="R4586" s="7"/>
      <c r="S4586" s="6"/>
      <c r="T4586" s="6"/>
      <c r="U4586" s="7"/>
      <c r="V4586" s="6"/>
      <c r="W4586" s="6"/>
      <c r="X4586" s="12"/>
      <c r="Y4586" s="6"/>
      <c r="Z4586" s="6"/>
      <c r="AA4586" s="7"/>
      <c r="AB4586" s="6"/>
      <c r="AC4586" s="6"/>
      <c r="AD4586" s="6"/>
      <c r="AE4586" s="12"/>
      <c r="AF4586" s="12"/>
      <c r="AG4586" s="12"/>
      <c r="AH4586" s="12"/>
      <c r="AI4586" s="6"/>
      <c r="AJ4586" s="12"/>
      <c r="AK4586" s="1"/>
      <c r="AL4586" s="12"/>
      <c r="AM4586" s="12"/>
      <c r="AN4586" s="1"/>
      <c r="AO4586" s="6"/>
    </row>
    <row r="4587" spans="1:41" ht="15" x14ac:dyDescent="0.25">
      <c r="A4587" s="1"/>
      <c r="B4587" s="1"/>
      <c r="C4587" s="1"/>
      <c r="D4587" s="1"/>
      <c r="E4587" s="6"/>
      <c r="F4587" s="1"/>
      <c r="G4587" s="6"/>
      <c r="H4587" s="6"/>
      <c r="I4587" s="6"/>
      <c r="J4587" s="6"/>
      <c r="K4587" s="6"/>
      <c r="L4587" s="6"/>
      <c r="M4587" s="6"/>
      <c r="N4587" s="6"/>
      <c r="O4587" s="7"/>
      <c r="P4587" s="6"/>
      <c r="Q4587" s="7"/>
      <c r="R4587" s="6"/>
      <c r="S4587" s="6"/>
      <c r="T4587" s="6"/>
      <c r="U4587" s="6"/>
      <c r="V4587" s="7"/>
      <c r="W4587" s="6"/>
      <c r="X4587" s="6"/>
      <c r="Y4587" s="6"/>
      <c r="Z4587" s="6"/>
      <c r="AA4587" s="1"/>
      <c r="AB4587" s="12"/>
      <c r="AC4587" s="12"/>
      <c r="AD4587" s="12"/>
      <c r="AE4587" s="12"/>
      <c r="AF4587" s="6"/>
      <c r="AG4587" s="12"/>
      <c r="AH4587" s="6"/>
      <c r="AI4587" s="6"/>
      <c r="AJ4587" s="12"/>
      <c r="AK4587" s="12"/>
      <c r="AL4587" s="12"/>
      <c r="AM4587" s="12"/>
      <c r="AN4587" s="1"/>
      <c r="AO4587" s="6"/>
    </row>
    <row r="4588" spans="1:41" ht="15" x14ac:dyDescent="0.25">
      <c r="A4588" s="1"/>
      <c r="B4588" s="1"/>
      <c r="C4588" s="1"/>
      <c r="D4588" s="1"/>
      <c r="E4588" s="6"/>
      <c r="F4588" s="1"/>
      <c r="G4588" s="6"/>
      <c r="H4588" s="6"/>
      <c r="I4588" s="6"/>
      <c r="J4588" s="6"/>
      <c r="K4588" s="6"/>
      <c r="L4588" s="6"/>
      <c r="M4588" s="6"/>
      <c r="N4588" s="6"/>
      <c r="O4588" s="7"/>
      <c r="P4588" s="6"/>
      <c r="Q4588" s="7"/>
      <c r="R4588" s="6"/>
      <c r="S4588" s="6"/>
      <c r="T4588" s="6"/>
      <c r="U4588" s="6"/>
      <c r="V4588" s="7"/>
      <c r="W4588" s="6"/>
      <c r="X4588" s="6"/>
      <c r="Y4588" s="6"/>
      <c r="Z4588" s="6"/>
      <c r="AA4588" s="1"/>
      <c r="AB4588" s="12"/>
      <c r="AC4588" s="12"/>
      <c r="AD4588" s="12"/>
      <c r="AE4588" s="12"/>
      <c r="AF4588" s="6"/>
      <c r="AG4588" s="12"/>
      <c r="AH4588" s="6"/>
      <c r="AI4588" s="6"/>
      <c r="AJ4588" s="12"/>
      <c r="AK4588" s="12"/>
      <c r="AL4588" s="12"/>
      <c r="AM4588" s="12"/>
      <c r="AN4588" s="1"/>
      <c r="AO4588" s="6"/>
    </row>
    <row r="4589" spans="1:41" ht="15" x14ac:dyDescent="0.25">
      <c r="A4589" s="1"/>
      <c r="B4589" s="1"/>
      <c r="C4589" s="1"/>
      <c r="D4589" s="1"/>
      <c r="E4589" s="6"/>
      <c r="F4589" s="1"/>
      <c r="G4589" s="6"/>
      <c r="H4589" s="6"/>
      <c r="I4589" s="6"/>
      <c r="J4589" s="6"/>
      <c r="K4589" s="6"/>
      <c r="L4589" s="6"/>
      <c r="M4589" s="6"/>
      <c r="N4589" s="6"/>
      <c r="O4589" s="7"/>
      <c r="P4589" s="6"/>
      <c r="Q4589" s="6"/>
      <c r="R4589" s="7"/>
      <c r="S4589" s="6"/>
      <c r="T4589" s="6"/>
      <c r="U4589" s="7"/>
      <c r="V4589" s="6"/>
      <c r="W4589" s="6"/>
      <c r="X4589" s="6"/>
      <c r="Y4589" s="6"/>
      <c r="Z4589" s="6"/>
      <c r="AA4589" s="7"/>
      <c r="AB4589" s="6"/>
      <c r="AC4589" s="6"/>
      <c r="AD4589" s="6"/>
      <c r="AE4589" s="12"/>
      <c r="AF4589" s="6"/>
      <c r="AG4589" s="12"/>
      <c r="AH4589" s="6"/>
      <c r="AI4589" s="6"/>
      <c r="AJ4589" s="12"/>
      <c r="AK4589" s="24"/>
      <c r="AL4589" s="25"/>
      <c r="AM4589" s="12"/>
      <c r="AN4589" s="1"/>
      <c r="AO4589" s="6"/>
    </row>
    <row r="4590" spans="1:41" ht="15" x14ac:dyDescent="0.25">
      <c r="A4590" s="1"/>
      <c r="B4590" s="1"/>
      <c r="C4590" s="1"/>
      <c r="D4590" s="1"/>
      <c r="E4590" s="6"/>
      <c r="F4590" s="1"/>
      <c r="G4590" s="6"/>
      <c r="H4590" s="6"/>
      <c r="I4590" s="6"/>
      <c r="J4590" s="6"/>
      <c r="K4590" s="6"/>
      <c r="L4590" s="6"/>
      <c r="M4590" s="6"/>
      <c r="N4590" s="6"/>
      <c r="O4590" s="7"/>
      <c r="P4590" s="6"/>
      <c r="Q4590" s="6"/>
      <c r="R4590" s="7"/>
      <c r="S4590" s="6"/>
      <c r="T4590" s="6"/>
      <c r="U4590" s="7"/>
      <c r="V4590" s="6"/>
      <c r="W4590" s="6"/>
      <c r="X4590" s="6"/>
      <c r="Y4590" s="6"/>
      <c r="Z4590" s="6"/>
      <c r="AA4590" s="7"/>
      <c r="AB4590" s="6"/>
      <c r="AC4590" s="6"/>
      <c r="AD4590" s="6"/>
      <c r="AE4590" s="12"/>
      <c r="AF4590" s="6"/>
      <c r="AG4590" s="12"/>
      <c r="AH4590" s="6"/>
      <c r="AI4590" s="6"/>
      <c r="AJ4590" s="12"/>
      <c r="AK4590" s="24"/>
      <c r="AL4590" s="25"/>
      <c r="AM4590" s="12"/>
      <c r="AN4590" s="1"/>
      <c r="AO4590" s="6"/>
    </row>
    <row r="4591" spans="1:41" ht="15" x14ac:dyDescent="0.25">
      <c r="A4591" s="1"/>
      <c r="B4591" s="1"/>
      <c r="C4591" s="1"/>
      <c r="D4591" s="1"/>
      <c r="E4591" s="6"/>
      <c r="F4591" s="1"/>
      <c r="G4591" s="6"/>
      <c r="H4591" s="6"/>
      <c r="I4591" s="6"/>
      <c r="J4591" s="6"/>
      <c r="K4591" s="6"/>
      <c r="L4591" s="6"/>
      <c r="M4591" s="6"/>
      <c r="N4591" s="6"/>
      <c r="O4591" s="7"/>
      <c r="P4591" s="6"/>
      <c r="Q4591" s="6"/>
      <c r="R4591" s="7"/>
      <c r="S4591" s="6"/>
      <c r="T4591" s="6"/>
      <c r="U4591" s="7"/>
      <c r="V4591" s="6"/>
      <c r="W4591" s="6"/>
      <c r="X4591" s="6"/>
      <c r="Y4591" s="6"/>
      <c r="Z4591" s="6"/>
      <c r="AA4591" s="7"/>
      <c r="AB4591" s="6"/>
      <c r="AC4591" s="6"/>
      <c r="AD4591" s="6"/>
      <c r="AE4591" s="12"/>
      <c r="AF4591" s="6"/>
      <c r="AG4591" s="12"/>
      <c r="AH4591" s="6"/>
      <c r="AI4591" s="6"/>
      <c r="AJ4591" s="12"/>
      <c r="AK4591" s="1"/>
      <c r="AL4591" s="12"/>
      <c r="AM4591" s="12"/>
      <c r="AN4591" s="1"/>
      <c r="AO4591" s="6"/>
    </row>
    <row r="4592" spans="1:41" ht="15" x14ac:dyDescent="0.25">
      <c r="A4592" s="1"/>
      <c r="B4592" s="1"/>
      <c r="C4592" s="1"/>
      <c r="D4592" s="1"/>
      <c r="E4592" s="6"/>
      <c r="F4592" s="1"/>
      <c r="G4592" s="6"/>
      <c r="H4592" s="6"/>
      <c r="I4592" s="6"/>
      <c r="J4592" s="6"/>
      <c r="K4592" s="6"/>
      <c r="L4592" s="6"/>
      <c r="M4592" s="6"/>
      <c r="N4592" s="6"/>
      <c r="O4592" s="7"/>
      <c r="P4592" s="6"/>
      <c r="Q4592" s="6"/>
      <c r="R4592" s="7"/>
      <c r="S4592" s="6"/>
      <c r="T4592" s="6"/>
      <c r="U4592" s="7"/>
      <c r="V4592" s="6"/>
      <c r="W4592" s="6"/>
      <c r="X4592" s="6"/>
      <c r="Y4592" s="6"/>
      <c r="Z4592" s="6"/>
      <c r="AA4592" s="7"/>
      <c r="AB4592" s="6"/>
      <c r="AC4592" s="6"/>
      <c r="AD4592" s="6"/>
      <c r="AE4592" s="12"/>
      <c r="AF4592" s="6"/>
      <c r="AG4592" s="12"/>
      <c r="AH4592" s="6"/>
      <c r="AI4592" s="6"/>
      <c r="AJ4592" s="12"/>
      <c r="AK4592" s="1"/>
      <c r="AL4592" s="12"/>
      <c r="AM4592" s="12"/>
      <c r="AN4592" s="1"/>
      <c r="AO4592" s="6"/>
    </row>
    <row r="4593" spans="1:41" ht="15" x14ac:dyDescent="0.25">
      <c r="A4593" s="1"/>
      <c r="B4593" s="1"/>
      <c r="C4593" s="1"/>
      <c r="D4593" s="1"/>
      <c r="E4593" s="6"/>
      <c r="F4593" s="1"/>
      <c r="G4593" s="6"/>
      <c r="H4593" s="6"/>
      <c r="I4593" s="6"/>
      <c r="J4593" s="6"/>
      <c r="K4593" s="6"/>
      <c r="L4593" s="6"/>
      <c r="M4593" s="6"/>
      <c r="N4593" s="6"/>
      <c r="O4593" s="7"/>
      <c r="P4593" s="6"/>
      <c r="Q4593" s="6"/>
      <c r="R4593" s="7"/>
      <c r="S4593" s="6"/>
      <c r="T4593" s="6"/>
      <c r="U4593" s="7"/>
      <c r="V4593" s="6"/>
      <c r="W4593" s="6"/>
      <c r="X4593" s="6"/>
      <c r="Y4593" s="6"/>
      <c r="Z4593" s="6"/>
      <c r="AA4593" s="7"/>
      <c r="AB4593" s="6"/>
      <c r="AC4593" s="6"/>
      <c r="AD4593" s="6"/>
      <c r="AE4593" s="12"/>
      <c r="AF4593" s="6"/>
      <c r="AG4593" s="12"/>
      <c r="AH4593" s="6"/>
      <c r="AI4593" s="6"/>
      <c r="AJ4593" s="12"/>
      <c r="AK4593" s="1"/>
      <c r="AL4593" s="12"/>
      <c r="AM4593" s="12"/>
      <c r="AN4593" s="1"/>
      <c r="AO4593" s="6"/>
    </row>
    <row r="4594" spans="1:41" ht="15" x14ac:dyDescent="0.25">
      <c r="A4594" s="1"/>
      <c r="B4594" s="1"/>
      <c r="C4594" s="1"/>
      <c r="D4594" s="1"/>
      <c r="E4594" s="6"/>
      <c r="F4594" s="1"/>
      <c r="G4594" s="6"/>
      <c r="H4594" s="6"/>
      <c r="I4594" s="6"/>
      <c r="J4594" s="6"/>
      <c r="K4594" s="6"/>
      <c r="L4594" s="6"/>
      <c r="M4594" s="6"/>
      <c r="N4594" s="6"/>
      <c r="O4594" s="7"/>
      <c r="P4594" s="6"/>
      <c r="Q4594" s="6"/>
      <c r="R4594" s="7"/>
      <c r="S4594" s="6"/>
      <c r="T4594" s="6"/>
      <c r="U4594" s="7"/>
      <c r="V4594" s="6"/>
      <c r="W4594" s="6"/>
      <c r="X4594" s="6"/>
      <c r="Y4594" s="6"/>
      <c r="Z4594" s="6"/>
      <c r="AA4594" s="7"/>
      <c r="AB4594" s="6"/>
      <c r="AC4594" s="6"/>
      <c r="AD4594" s="6"/>
      <c r="AE4594" s="12"/>
      <c r="AF4594" s="6"/>
      <c r="AG4594" s="12"/>
      <c r="AH4594" s="6"/>
      <c r="AI4594" s="6"/>
      <c r="AJ4594" s="12"/>
      <c r="AK4594" s="1"/>
      <c r="AL4594" s="12"/>
      <c r="AM4594" s="12"/>
      <c r="AN4594" s="1"/>
      <c r="AO4594" s="6"/>
    </row>
    <row r="4595" spans="1:41" ht="15" x14ac:dyDescent="0.25">
      <c r="A4595" s="1"/>
      <c r="B4595" s="1"/>
      <c r="C4595" s="1"/>
      <c r="D4595" s="1"/>
      <c r="E4595" s="6"/>
      <c r="F4595" s="1"/>
      <c r="G4595" s="6"/>
      <c r="H4595" s="6"/>
      <c r="I4595" s="6"/>
      <c r="J4595" s="6"/>
      <c r="K4595" s="6"/>
      <c r="L4595" s="6"/>
      <c r="M4595" s="6"/>
      <c r="N4595" s="6"/>
      <c r="O4595" s="7"/>
      <c r="P4595" s="6"/>
      <c r="Q4595" s="6"/>
      <c r="R4595" s="7"/>
      <c r="S4595" s="6"/>
      <c r="T4595" s="6"/>
      <c r="U4595" s="7"/>
      <c r="V4595" s="6"/>
      <c r="W4595" s="6"/>
      <c r="X4595" s="6"/>
      <c r="Y4595" s="6"/>
      <c r="Z4595" s="6"/>
      <c r="AA4595" s="7"/>
      <c r="AB4595" s="6"/>
      <c r="AC4595" s="6"/>
      <c r="AD4595" s="6"/>
      <c r="AE4595" s="12"/>
      <c r="AF4595" s="12"/>
      <c r="AG4595" s="12"/>
      <c r="AH4595" s="12"/>
      <c r="AI4595" s="6"/>
      <c r="AJ4595" s="12"/>
      <c r="AK4595" s="1"/>
      <c r="AL4595" s="12"/>
      <c r="AM4595" s="12"/>
      <c r="AN4595" s="1"/>
      <c r="AO4595" s="6"/>
    </row>
    <row r="4596" spans="1:41" ht="15" x14ac:dyDescent="0.25">
      <c r="A4596" s="1"/>
      <c r="B4596" s="1"/>
      <c r="C4596" s="1"/>
      <c r="D4596" s="1"/>
      <c r="E4596" s="6"/>
      <c r="F4596" s="1"/>
      <c r="G4596" s="6"/>
      <c r="H4596" s="6"/>
      <c r="I4596" s="6"/>
      <c r="J4596" s="6"/>
      <c r="K4596" s="6"/>
      <c r="L4596" s="6"/>
      <c r="M4596" s="6"/>
      <c r="N4596" s="6"/>
      <c r="O4596" s="7"/>
      <c r="P4596" s="6"/>
      <c r="Q4596" s="6"/>
      <c r="R4596" s="7"/>
      <c r="S4596" s="6"/>
      <c r="T4596" s="6"/>
      <c r="U4596" s="7"/>
      <c r="V4596" s="6"/>
      <c r="W4596" s="6"/>
      <c r="X4596" s="6"/>
      <c r="Y4596" s="6"/>
      <c r="Z4596" s="6"/>
      <c r="AA4596" s="7"/>
      <c r="AB4596" s="6"/>
      <c r="AC4596" s="6"/>
      <c r="AD4596" s="6"/>
      <c r="AE4596" s="12"/>
      <c r="AF4596" s="6"/>
      <c r="AG4596" s="12"/>
      <c r="AH4596" s="6"/>
      <c r="AI4596" s="6"/>
      <c r="AJ4596" s="12"/>
      <c r="AK4596" s="1"/>
      <c r="AL4596" s="12"/>
      <c r="AM4596" s="12"/>
      <c r="AN4596" s="1"/>
      <c r="AO4596" s="6"/>
    </row>
    <row r="4597" spans="1:41" ht="15" x14ac:dyDescent="0.25">
      <c r="A4597" s="1"/>
      <c r="B4597" s="1"/>
      <c r="C4597" s="1"/>
      <c r="D4597" s="1"/>
      <c r="E4597" s="6"/>
      <c r="F4597" s="1"/>
      <c r="G4597" s="6"/>
      <c r="H4597" s="6"/>
      <c r="I4597" s="6"/>
      <c r="J4597" s="6"/>
      <c r="K4597" s="6"/>
      <c r="L4597" s="6"/>
      <c r="M4597" s="6"/>
      <c r="N4597" s="6"/>
      <c r="O4597" s="7"/>
      <c r="P4597" s="6"/>
      <c r="Q4597" s="6"/>
      <c r="R4597" s="7"/>
      <c r="S4597" s="6"/>
      <c r="T4597" s="6"/>
      <c r="U4597" s="7"/>
      <c r="V4597" s="6"/>
      <c r="W4597" s="6"/>
      <c r="X4597" s="6"/>
      <c r="Y4597" s="6"/>
      <c r="Z4597" s="6"/>
      <c r="AA4597" s="7"/>
      <c r="AB4597" s="6"/>
      <c r="AC4597" s="6"/>
      <c r="AD4597" s="6"/>
      <c r="AE4597" s="12"/>
      <c r="AF4597" s="6"/>
      <c r="AG4597" s="12"/>
      <c r="AH4597" s="6"/>
      <c r="AI4597" s="6"/>
      <c r="AJ4597" s="12"/>
      <c r="AK4597" s="1"/>
      <c r="AL4597" s="12"/>
      <c r="AM4597" s="12"/>
      <c r="AN4597" s="1"/>
      <c r="AO4597" s="6"/>
    </row>
    <row r="4598" spans="1:41" ht="15" x14ac:dyDescent="0.25">
      <c r="A4598" s="1"/>
      <c r="B4598" s="1"/>
      <c r="C4598" s="1"/>
      <c r="D4598" s="1"/>
      <c r="E4598" s="6"/>
      <c r="F4598" s="1"/>
      <c r="G4598" s="6"/>
      <c r="H4598" s="6"/>
      <c r="I4598" s="6"/>
      <c r="J4598" s="6"/>
      <c r="K4598" s="6"/>
      <c r="L4598" s="6"/>
      <c r="M4598" s="6"/>
      <c r="N4598" s="6"/>
      <c r="O4598" s="7"/>
      <c r="P4598" s="6"/>
      <c r="Q4598" s="6"/>
      <c r="R4598" s="7"/>
      <c r="S4598" s="6"/>
      <c r="T4598" s="6"/>
      <c r="U4598" s="7"/>
      <c r="V4598" s="6"/>
      <c r="W4598" s="6"/>
      <c r="X4598" s="6"/>
      <c r="Y4598" s="6"/>
      <c r="Z4598" s="6"/>
      <c r="AA4598" s="15"/>
      <c r="AB4598" s="6"/>
      <c r="AC4598" s="6"/>
      <c r="AD4598" s="6"/>
      <c r="AE4598" s="12"/>
      <c r="AF4598" s="6"/>
      <c r="AG4598" s="12"/>
      <c r="AH4598" s="6"/>
      <c r="AI4598" s="6"/>
      <c r="AJ4598" s="12"/>
      <c r="AK4598" s="1"/>
      <c r="AL4598" s="12"/>
      <c r="AM4598" s="12"/>
      <c r="AN4598" s="1"/>
      <c r="AO4598" s="6"/>
    </row>
    <row r="4599" spans="1:41" ht="15" x14ac:dyDescent="0.25">
      <c r="A4599" s="1"/>
      <c r="B4599" s="1"/>
      <c r="C4599" s="1"/>
      <c r="D4599" s="1"/>
      <c r="E4599" s="6"/>
      <c r="F4599" s="1"/>
      <c r="G4599" s="6"/>
      <c r="H4599" s="6"/>
      <c r="I4599" s="6"/>
      <c r="J4599" s="6"/>
      <c r="K4599" s="6"/>
      <c r="L4599" s="6"/>
      <c r="M4599" s="6"/>
      <c r="N4599" s="6"/>
      <c r="O4599" s="7"/>
      <c r="P4599" s="6"/>
      <c r="Q4599" s="6"/>
      <c r="R4599" s="7"/>
      <c r="S4599" s="6"/>
      <c r="T4599" s="6"/>
      <c r="U4599" s="7"/>
      <c r="V4599" s="6"/>
      <c r="W4599" s="6"/>
      <c r="X4599" s="6"/>
      <c r="Y4599" s="6"/>
      <c r="Z4599" s="6"/>
      <c r="AA4599" s="15"/>
      <c r="AB4599" s="6"/>
      <c r="AC4599" s="6"/>
      <c r="AD4599" s="6"/>
      <c r="AE4599" s="12"/>
      <c r="AF4599" s="6"/>
      <c r="AG4599" s="12"/>
      <c r="AH4599" s="6"/>
      <c r="AI4599" s="6"/>
      <c r="AJ4599" s="12"/>
      <c r="AK4599" s="1"/>
      <c r="AL4599" s="12"/>
      <c r="AM4599" s="12"/>
      <c r="AN4599" s="1"/>
      <c r="AO4599" s="6"/>
    </row>
    <row r="4600" spans="1:41" ht="15" x14ac:dyDescent="0.25">
      <c r="A4600" s="1"/>
      <c r="B4600" s="1"/>
      <c r="C4600" s="1"/>
      <c r="D4600" s="1"/>
      <c r="E4600" s="6"/>
      <c r="F4600" s="1"/>
      <c r="G4600" s="6"/>
      <c r="H4600" s="6"/>
      <c r="I4600" s="6"/>
      <c r="J4600" s="6"/>
      <c r="K4600" s="12"/>
      <c r="L4600" s="12"/>
      <c r="M4600" s="6"/>
      <c r="N4600" s="6"/>
      <c r="O4600" s="7"/>
      <c r="P4600" s="12"/>
      <c r="Q4600" s="6"/>
      <c r="R4600" s="7"/>
      <c r="S4600" s="6"/>
      <c r="T4600" s="6"/>
      <c r="U4600" s="7"/>
      <c r="V4600" s="6"/>
      <c r="W4600" s="6"/>
      <c r="X4600" s="12"/>
      <c r="Y4600" s="6"/>
      <c r="Z4600" s="6"/>
      <c r="AA4600" s="7"/>
      <c r="AB4600" s="6"/>
      <c r="AC4600" s="6"/>
      <c r="AD4600" s="6"/>
      <c r="AE4600" s="12"/>
      <c r="AF4600" s="12"/>
      <c r="AG4600" s="12"/>
      <c r="AH4600" s="12"/>
      <c r="AI4600" s="6"/>
      <c r="AJ4600" s="12"/>
      <c r="AK4600" s="1"/>
      <c r="AL4600" s="12"/>
      <c r="AM4600" s="12"/>
      <c r="AN4600" s="1"/>
      <c r="AO4600" s="6"/>
    </row>
    <row r="4601" spans="1:41" ht="15" x14ac:dyDescent="0.25">
      <c r="A4601" s="1"/>
      <c r="B4601" s="1"/>
      <c r="C4601" s="1"/>
      <c r="D4601" s="1"/>
      <c r="E4601" s="6"/>
      <c r="F4601" s="1"/>
      <c r="G4601" s="6"/>
      <c r="H4601" s="6"/>
      <c r="I4601" s="6"/>
      <c r="J4601" s="6"/>
      <c r="K4601" s="6"/>
      <c r="L4601" s="6"/>
      <c r="M4601" s="6"/>
      <c r="N4601" s="6"/>
      <c r="O4601" s="7"/>
      <c r="P4601" s="12"/>
      <c r="Q4601" s="6"/>
      <c r="R4601" s="7"/>
      <c r="S4601" s="6"/>
      <c r="T4601" s="6"/>
      <c r="U4601" s="7"/>
      <c r="V4601" s="6"/>
      <c r="W4601" s="6"/>
      <c r="X4601" s="12"/>
      <c r="Y4601" s="6"/>
      <c r="Z4601" s="6"/>
      <c r="AA4601" s="7"/>
      <c r="AB4601" s="6"/>
      <c r="AC4601" s="6"/>
      <c r="AD4601" s="6"/>
      <c r="AE4601" s="12"/>
      <c r="AF4601" s="12"/>
      <c r="AG4601" s="12"/>
      <c r="AH4601" s="12"/>
      <c r="AI4601" s="6"/>
      <c r="AJ4601" s="12"/>
      <c r="AK4601" s="24"/>
      <c r="AL4601" s="25"/>
      <c r="AM4601" s="12"/>
      <c r="AN4601" s="1"/>
      <c r="AO4601" s="6"/>
    </row>
    <row r="4602" spans="1:41" ht="15" x14ac:dyDescent="0.25">
      <c r="A4602" s="1"/>
      <c r="B4602" s="1"/>
      <c r="C4602" s="1"/>
      <c r="D4602" s="1"/>
      <c r="E4602" s="6"/>
      <c r="F4602" s="1"/>
      <c r="G4602" s="6"/>
      <c r="H4602" s="6"/>
      <c r="I4602" s="6"/>
      <c r="J4602" s="6"/>
      <c r="K4602" s="12"/>
      <c r="L4602" s="12"/>
      <c r="M4602" s="6"/>
      <c r="N4602" s="6"/>
      <c r="O4602" s="7"/>
      <c r="P4602" s="6"/>
      <c r="Q4602" s="6"/>
      <c r="R4602" s="7"/>
      <c r="S4602" s="6"/>
      <c r="T4602" s="6"/>
      <c r="U4602" s="7"/>
      <c r="V4602" s="6"/>
      <c r="W4602" s="6"/>
      <c r="X4602" s="12"/>
      <c r="Y4602" s="6"/>
      <c r="Z4602" s="6"/>
      <c r="AA4602" s="7"/>
      <c r="AB4602" s="6"/>
      <c r="AC4602" s="6"/>
      <c r="AD4602" s="6"/>
      <c r="AE4602" s="12"/>
      <c r="AF4602" s="12"/>
      <c r="AG4602" s="12"/>
      <c r="AH4602" s="12"/>
      <c r="AI4602" s="6"/>
      <c r="AJ4602" s="12"/>
      <c r="AK4602" s="1"/>
      <c r="AL4602" s="12"/>
      <c r="AM4602" s="12"/>
      <c r="AN4602" s="1"/>
      <c r="AO4602" s="12"/>
    </row>
    <row r="4603" spans="1:41" ht="15" x14ac:dyDescent="0.25">
      <c r="A4603" s="1"/>
      <c r="B4603" s="1"/>
      <c r="C4603" s="1"/>
      <c r="D4603" s="1"/>
      <c r="E4603" s="6"/>
      <c r="F4603" s="1"/>
      <c r="G4603" s="6"/>
      <c r="H4603" s="6"/>
      <c r="I4603" s="6"/>
      <c r="J4603" s="6"/>
      <c r="K4603" s="12"/>
      <c r="L4603" s="12"/>
      <c r="M4603" s="6"/>
      <c r="N4603" s="6"/>
      <c r="O4603" s="7"/>
      <c r="P4603" s="6"/>
      <c r="Q4603" s="6"/>
      <c r="R4603" s="7"/>
      <c r="S4603" s="6"/>
      <c r="T4603" s="6"/>
      <c r="U4603" s="7"/>
      <c r="V4603" s="6"/>
      <c r="W4603" s="6"/>
      <c r="X4603" s="12"/>
      <c r="Y4603" s="6"/>
      <c r="Z4603" s="6"/>
      <c r="AA4603" s="7"/>
      <c r="AB4603" s="6"/>
      <c r="AC4603" s="6"/>
      <c r="AD4603" s="6"/>
      <c r="AE4603" s="12"/>
      <c r="AF4603" s="12"/>
      <c r="AG4603" s="12"/>
      <c r="AH4603" s="12"/>
      <c r="AI4603" s="6"/>
      <c r="AJ4603" s="12"/>
      <c r="AK4603" s="1"/>
      <c r="AL4603" s="12"/>
      <c r="AM4603" s="12"/>
      <c r="AN4603" s="1"/>
      <c r="AO4603" s="12"/>
    </row>
    <row r="4604" spans="1:41" ht="15" x14ac:dyDescent="0.25">
      <c r="A4604" s="1"/>
      <c r="B4604" s="1"/>
      <c r="C4604" s="1"/>
      <c r="D4604" s="1"/>
      <c r="E4604" s="6"/>
      <c r="F4604" s="1"/>
      <c r="G4604" s="6"/>
      <c r="H4604" s="6"/>
      <c r="I4604" s="6"/>
      <c r="J4604" s="6"/>
      <c r="K4604" s="6"/>
      <c r="L4604" s="6"/>
      <c r="M4604" s="6"/>
      <c r="N4604" s="6"/>
      <c r="O4604" s="7"/>
      <c r="P4604" s="6"/>
      <c r="Q4604" s="6"/>
      <c r="R4604" s="7"/>
      <c r="S4604" s="6"/>
      <c r="T4604" s="6"/>
      <c r="U4604" s="7"/>
      <c r="V4604" s="6"/>
      <c r="W4604" s="6"/>
      <c r="X4604" s="6"/>
      <c r="Y4604" s="6"/>
      <c r="Z4604" s="6"/>
      <c r="AA4604" s="7"/>
      <c r="AB4604" s="6"/>
      <c r="AC4604" s="6"/>
      <c r="AD4604" s="6"/>
      <c r="AE4604" s="12"/>
      <c r="AF4604" s="6"/>
      <c r="AG4604" s="12"/>
      <c r="AH4604" s="6"/>
      <c r="AI4604" s="6"/>
      <c r="AJ4604" s="12"/>
      <c r="AK4604" s="24"/>
      <c r="AL4604" s="25"/>
      <c r="AM4604" s="12"/>
      <c r="AN4604" s="1"/>
      <c r="AO4604" s="6"/>
    </row>
    <row r="4605" spans="1:41" ht="15" x14ac:dyDescent="0.25">
      <c r="A4605" s="1"/>
      <c r="B4605" s="1"/>
      <c r="C4605" s="1"/>
      <c r="D4605" s="1"/>
      <c r="E4605" s="6"/>
      <c r="F4605" s="1"/>
      <c r="G4605" s="6"/>
      <c r="H4605" s="6"/>
      <c r="I4605" s="6"/>
      <c r="J4605" s="6"/>
      <c r="K4605" s="6"/>
      <c r="L4605" s="6"/>
      <c r="M4605" s="6"/>
      <c r="N4605" s="6"/>
      <c r="O4605" s="7"/>
      <c r="P4605" s="6"/>
      <c r="Q4605" s="6"/>
      <c r="R4605" s="7"/>
      <c r="S4605" s="6"/>
      <c r="T4605" s="6"/>
      <c r="U4605" s="7"/>
      <c r="V4605" s="6"/>
      <c r="W4605" s="6"/>
      <c r="X4605" s="6"/>
      <c r="Y4605" s="6"/>
      <c r="Z4605" s="6"/>
      <c r="AA4605" s="7"/>
      <c r="AB4605" s="6"/>
      <c r="AC4605" s="6"/>
      <c r="AD4605" s="6"/>
      <c r="AE4605" s="12"/>
      <c r="AF4605" s="6"/>
      <c r="AG4605" s="12"/>
      <c r="AH4605" s="6"/>
      <c r="AI4605" s="6"/>
      <c r="AJ4605" s="12"/>
      <c r="AK4605" s="24"/>
      <c r="AL4605" s="25"/>
      <c r="AM4605" s="12"/>
      <c r="AN4605" s="1"/>
      <c r="AO4605" s="6"/>
    </row>
    <row r="4606" spans="1:41" ht="15" x14ac:dyDescent="0.25">
      <c r="A4606" s="1"/>
      <c r="B4606" s="1"/>
      <c r="C4606" s="1"/>
      <c r="D4606" s="1"/>
      <c r="E4606" s="6"/>
      <c r="F4606" s="1"/>
      <c r="G4606" s="6"/>
      <c r="H4606" s="6"/>
      <c r="I4606" s="6"/>
      <c r="J4606" s="6"/>
      <c r="K4606" s="6"/>
      <c r="L4606" s="6"/>
      <c r="M4606" s="6"/>
      <c r="N4606" s="6"/>
      <c r="O4606" s="7"/>
      <c r="P4606" s="6"/>
      <c r="Q4606" s="6"/>
      <c r="R4606" s="7"/>
      <c r="S4606" s="6"/>
      <c r="T4606" s="6"/>
      <c r="U4606" s="7"/>
      <c r="V4606" s="6"/>
      <c r="W4606" s="6"/>
      <c r="X4606" s="6"/>
      <c r="Y4606" s="6"/>
      <c r="Z4606" s="6"/>
      <c r="AA4606" s="7"/>
      <c r="AB4606" s="6"/>
      <c r="AC4606" s="6"/>
      <c r="AD4606" s="6"/>
      <c r="AE4606" s="12"/>
      <c r="AF4606" s="12"/>
      <c r="AG4606" s="12"/>
      <c r="AH4606" s="12"/>
      <c r="AI4606" s="6"/>
      <c r="AJ4606" s="12"/>
      <c r="AK4606" s="1"/>
      <c r="AL4606" s="12"/>
      <c r="AM4606" s="12"/>
      <c r="AN4606" s="1"/>
      <c r="AO4606" s="6"/>
    </row>
    <row r="4607" spans="1:41" ht="15" x14ac:dyDescent="0.25">
      <c r="A4607" s="1"/>
      <c r="B4607" s="1"/>
      <c r="C4607" s="1"/>
      <c r="D4607" s="1"/>
      <c r="E4607" s="6"/>
      <c r="F4607" s="1"/>
      <c r="G4607" s="6"/>
      <c r="H4607" s="6"/>
      <c r="I4607" s="6"/>
      <c r="J4607" s="6"/>
      <c r="K4607" s="6"/>
      <c r="L4607" s="6"/>
      <c r="M4607" s="6"/>
      <c r="N4607" s="6"/>
      <c r="O4607" s="7"/>
      <c r="P4607" s="12"/>
      <c r="Q4607" s="6"/>
      <c r="R4607" s="7"/>
      <c r="S4607" s="6"/>
      <c r="T4607" s="6"/>
      <c r="U4607" s="7"/>
      <c r="V4607" s="6"/>
      <c r="W4607" s="6"/>
      <c r="X4607" s="12"/>
      <c r="Y4607" s="6"/>
      <c r="Z4607" s="6"/>
      <c r="AA4607" s="7"/>
      <c r="AB4607" s="6"/>
      <c r="AC4607" s="6"/>
      <c r="AD4607" s="6"/>
      <c r="AE4607" s="12"/>
      <c r="AF4607" s="12"/>
      <c r="AG4607" s="12"/>
      <c r="AH4607" s="12"/>
      <c r="AI4607" s="6"/>
      <c r="AJ4607" s="12"/>
      <c r="AK4607" s="1"/>
      <c r="AL4607" s="12"/>
      <c r="AM4607" s="12"/>
      <c r="AN4607" s="1"/>
      <c r="AO4607" s="6"/>
    </row>
    <row r="4608" spans="1:41" ht="15" x14ac:dyDescent="0.25">
      <c r="A4608" s="1"/>
      <c r="B4608" s="1"/>
      <c r="C4608" s="1"/>
      <c r="D4608" s="1"/>
      <c r="E4608" s="6"/>
      <c r="F4608" s="1"/>
      <c r="G4608" s="6"/>
      <c r="H4608" s="6"/>
      <c r="I4608" s="6"/>
      <c r="J4608" s="6"/>
      <c r="K4608" s="6"/>
      <c r="L4608" s="6"/>
      <c r="M4608" s="6"/>
      <c r="N4608" s="6"/>
      <c r="O4608" s="7"/>
      <c r="P4608" s="6"/>
      <c r="Q4608" s="6"/>
      <c r="R4608" s="7"/>
      <c r="S4608" s="6"/>
      <c r="T4608" s="6"/>
      <c r="U4608" s="7"/>
      <c r="V4608" s="6"/>
      <c r="W4608" s="6"/>
      <c r="X4608" s="6"/>
      <c r="Y4608" s="6"/>
      <c r="Z4608" s="6"/>
      <c r="AA4608" s="7"/>
      <c r="AB4608" s="6"/>
      <c r="AC4608" s="6"/>
      <c r="AD4608" s="6"/>
      <c r="AE4608" s="12"/>
      <c r="AF4608" s="6"/>
      <c r="AG4608" s="12"/>
      <c r="AH4608" s="6"/>
      <c r="AI4608" s="6"/>
      <c r="AJ4608" s="12"/>
      <c r="AK4608" s="1"/>
      <c r="AL4608" s="12"/>
      <c r="AM4608" s="12"/>
      <c r="AN4608" s="1"/>
      <c r="AO4608" s="6"/>
    </row>
    <row r="4609" spans="1:41" ht="15" x14ac:dyDescent="0.25">
      <c r="A4609" s="1"/>
      <c r="B4609" s="1"/>
      <c r="C4609" s="1"/>
      <c r="D4609" s="1"/>
      <c r="E4609" s="6"/>
      <c r="F4609" s="1"/>
      <c r="G4609" s="6"/>
      <c r="H4609" s="6"/>
      <c r="I4609" s="6"/>
      <c r="J4609" s="6"/>
      <c r="K4609" s="6"/>
      <c r="L4609" s="6"/>
      <c r="M4609" s="6"/>
      <c r="N4609" s="6"/>
      <c r="O4609" s="7"/>
      <c r="P4609" s="6"/>
      <c r="Q4609" s="6"/>
      <c r="R4609" s="7"/>
      <c r="S4609" s="6"/>
      <c r="T4609" s="6"/>
      <c r="U4609" s="7"/>
      <c r="V4609" s="6"/>
      <c r="W4609" s="6"/>
      <c r="X4609" s="6"/>
      <c r="Y4609" s="6"/>
      <c r="Z4609" s="6"/>
      <c r="AA4609" s="7"/>
      <c r="AB4609" s="6"/>
      <c r="AC4609" s="6"/>
      <c r="AD4609" s="6"/>
      <c r="AE4609" s="12"/>
      <c r="AF4609" s="6"/>
      <c r="AG4609" s="12"/>
      <c r="AH4609" s="6"/>
      <c r="AI4609" s="6"/>
      <c r="AJ4609" s="12"/>
      <c r="AK4609" s="24"/>
      <c r="AL4609" s="25"/>
      <c r="AM4609" s="12"/>
      <c r="AN4609" s="1"/>
      <c r="AO4609" s="6"/>
    </row>
    <row r="4610" spans="1:41" ht="15" x14ac:dyDescent="0.25">
      <c r="A4610" s="1"/>
      <c r="B4610" s="1"/>
      <c r="C4610" s="1"/>
      <c r="D4610" s="1"/>
      <c r="E4610" s="6"/>
      <c r="F4610" s="1"/>
      <c r="G4610" s="6"/>
      <c r="H4610" s="6"/>
      <c r="I4610" s="6"/>
      <c r="J4610" s="6"/>
      <c r="K4610" s="6"/>
      <c r="L4610" s="6"/>
      <c r="M4610" s="6"/>
      <c r="N4610" s="6"/>
      <c r="O4610" s="7"/>
      <c r="P4610" s="6"/>
      <c r="Q4610" s="6"/>
      <c r="R4610" s="7"/>
      <c r="S4610" s="6"/>
      <c r="T4610" s="6"/>
      <c r="U4610" s="7"/>
      <c r="V4610" s="6"/>
      <c r="W4610" s="6"/>
      <c r="X4610" s="6"/>
      <c r="Y4610" s="6"/>
      <c r="Z4610" s="6"/>
      <c r="AA4610" s="7"/>
      <c r="AB4610" s="6"/>
      <c r="AC4610" s="6"/>
      <c r="AD4610" s="6"/>
      <c r="AE4610" s="12"/>
      <c r="AF4610" s="6"/>
      <c r="AG4610" s="12"/>
      <c r="AH4610" s="6"/>
      <c r="AI4610" s="6"/>
      <c r="AJ4610" s="12"/>
      <c r="AK4610" s="24"/>
      <c r="AL4610" s="25"/>
      <c r="AM4610" s="12"/>
      <c r="AN4610" s="1"/>
      <c r="AO4610" s="6"/>
    </row>
    <row r="4611" spans="1:41" ht="15" x14ac:dyDescent="0.25">
      <c r="A4611" s="1"/>
      <c r="B4611" s="1"/>
      <c r="C4611" s="1"/>
      <c r="D4611" s="1"/>
      <c r="E4611" s="6"/>
      <c r="F4611" s="1"/>
      <c r="G4611" s="6"/>
      <c r="H4611" s="6"/>
      <c r="I4611" s="6"/>
      <c r="J4611" s="6"/>
      <c r="K4611" s="6"/>
      <c r="L4611" s="6"/>
      <c r="M4611" s="6"/>
      <c r="N4611" s="6"/>
      <c r="O4611" s="7"/>
      <c r="P4611" s="6"/>
      <c r="Q4611" s="6"/>
      <c r="R4611" s="7"/>
      <c r="S4611" s="6"/>
      <c r="T4611" s="6"/>
      <c r="U4611" s="7"/>
      <c r="V4611" s="6"/>
      <c r="W4611" s="6"/>
      <c r="X4611" s="12"/>
      <c r="Y4611" s="6"/>
      <c r="Z4611" s="6"/>
      <c r="AA4611" s="7"/>
      <c r="AB4611" s="6"/>
      <c r="AC4611" s="6"/>
      <c r="AD4611" s="6"/>
      <c r="AE4611" s="12"/>
      <c r="AF4611" s="6"/>
      <c r="AG4611" s="12"/>
      <c r="AH4611" s="6"/>
      <c r="AI4611" s="6"/>
      <c r="AJ4611" s="12"/>
      <c r="AK4611" s="1"/>
      <c r="AL4611" s="12"/>
      <c r="AM4611" s="12"/>
      <c r="AN4611" s="1"/>
      <c r="AO4611" s="6"/>
    </row>
    <row r="4612" spans="1:41" ht="15" x14ac:dyDescent="0.25">
      <c r="A4612" s="1"/>
      <c r="B4612" s="1"/>
      <c r="C4612" s="1"/>
      <c r="D4612" s="1"/>
      <c r="E4612" s="6"/>
      <c r="F4612" s="1"/>
      <c r="G4612" s="6"/>
      <c r="H4612" s="6"/>
      <c r="I4612" s="6"/>
      <c r="J4612" s="6"/>
      <c r="K4612" s="6"/>
      <c r="L4612" s="6"/>
      <c r="M4612" s="6"/>
      <c r="N4612" s="6"/>
      <c r="O4612" s="7"/>
      <c r="P4612" s="6"/>
      <c r="Q4612" s="6"/>
      <c r="R4612" s="7"/>
      <c r="S4612" s="6"/>
      <c r="T4612" s="6"/>
      <c r="U4612" s="7"/>
      <c r="V4612" s="6"/>
      <c r="W4612" s="6"/>
      <c r="X4612" s="12"/>
      <c r="Y4612" s="6"/>
      <c r="Z4612" s="6"/>
      <c r="AA4612" s="7"/>
      <c r="AB4612" s="6"/>
      <c r="AC4612" s="6"/>
      <c r="AD4612" s="6"/>
      <c r="AE4612" s="12"/>
      <c r="AF4612" s="6"/>
      <c r="AG4612" s="12"/>
      <c r="AH4612" s="6"/>
      <c r="AI4612" s="6"/>
      <c r="AJ4612" s="12"/>
      <c r="AK4612" s="1"/>
      <c r="AL4612" s="12"/>
      <c r="AM4612" s="12"/>
      <c r="AN4612" s="1"/>
      <c r="AO4612" s="6"/>
    </row>
    <row r="4613" spans="1:41" ht="15" x14ac:dyDescent="0.25">
      <c r="A4613" s="1"/>
      <c r="B4613" s="1"/>
      <c r="C4613" s="1"/>
      <c r="D4613" s="1"/>
      <c r="E4613" s="6"/>
      <c r="F4613" s="1"/>
      <c r="G4613" s="6"/>
      <c r="H4613" s="6"/>
      <c r="I4613" s="6"/>
      <c r="J4613" s="6"/>
      <c r="K4613" s="6"/>
      <c r="L4613" s="6"/>
      <c r="M4613" s="6"/>
      <c r="N4613" s="6"/>
      <c r="O4613" s="7"/>
      <c r="P4613" s="6"/>
      <c r="Q4613" s="6"/>
      <c r="R4613" s="7"/>
      <c r="S4613" s="6"/>
      <c r="T4613" s="6"/>
      <c r="U4613" s="7"/>
      <c r="V4613" s="6"/>
      <c r="W4613" s="6"/>
      <c r="X4613" s="12"/>
      <c r="Y4613" s="6"/>
      <c r="Z4613" s="6"/>
      <c r="AA4613" s="7"/>
      <c r="AB4613" s="6"/>
      <c r="AC4613" s="6"/>
      <c r="AD4613" s="6"/>
      <c r="AE4613" s="12"/>
      <c r="AF4613" s="6"/>
      <c r="AG4613" s="12"/>
      <c r="AH4613" s="6"/>
      <c r="AI4613" s="6"/>
      <c r="AJ4613" s="12"/>
      <c r="AK4613" s="1"/>
      <c r="AL4613" s="12"/>
      <c r="AM4613" s="12"/>
      <c r="AN4613" s="1"/>
      <c r="AO4613" s="6"/>
    </row>
    <row r="4614" spans="1:41" ht="15" x14ac:dyDescent="0.25">
      <c r="A4614" s="1"/>
      <c r="B4614" s="1"/>
      <c r="C4614" s="1"/>
      <c r="D4614" s="1"/>
      <c r="E4614" s="6"/>
      <c r="F4614" s="1"/>
      <c r="G4614" s="6"/>
      <c r="H4614" s="6"/>
      <c r="I4614" s="6"/>
      <c r="J4614" s="6"/>
      <c r="K4614" s="6"/>
      <c r="L4614" s="6"/>
      <c r="M4614" s="6"/>
      <c r="N4614" s="6"/>
      <c r="O4614" s="7"/>
      <c r="P4614" s="6"/>
      <c r="Q4614" s="7"/>
      <c r="R4614" s="6"/>
      <c r="S4614" s="6"/>
      <c r="T4614" s="6"/>
      <c r="U4614" s="6"/>
      <c r="V4614" s="7"/>
      <c r="W4614" s="7"/>
      <c r="X4614" s="6"/>
      <c r="Y4614" s="6"/>
      <c r="Z4614" s="6"/>
      <c r="AA4614" s="1"/>
      <c r="AB4614" s="12"/>
      <c r="AC4614" s="12"/>
      <c r="AD4614" s="12"/>
      <c r="AE4614" s="12"/>
      <c r="AF4614" s="12"/>
      <c r="AG4614" s="12"/>
      <c r="AH4614" s="12"/>
      <c r="AI4614" s="6"/>
      <c r="AJ4614" s="12"/>
      <c r="AK4614" s="12"/>
      <c r="AL4614" s="12"/>
      <c r="AM4614" s="12"/>
      <c r="AN4614" s="1"/>
      <c r="AO4614" s="6"/>
    </row>
    <row r="4615" spans="1:41" ht="15" x14ac:dyDescent="0.25">
      <c r="A4615" s="1"/>
      <c r="B4615" s="1"/>
      <c r="C4615" s="1"/>
      <c r="D4615" s="1"/>
      <c r="E4615" s="6"/>
      <c r="F4615" s="1"/>
      <c r="G4615" s="6"/>
      <c r="H4615" s="6"/>
      <c r="I4615" s="6"/>
      <c r="J4615" s="6"/>
      <c r="K4615" s="6"/>
      <c r="L4615" s="6"/>
      <c r="M4615" s="6"/>
      <c r="N4615" s="6"/>
      <c r="O4615" s="7"/>
      <c r="P4615" s="6"/>
      <c r="Q4615" s="7"/>
      <c r="R4615" s="6"/>
      <c r="S4615" s="6"/>
      <c r="T4615" s="6"/>
      <c r="U4615" s="6"/>
      <c r="V4615" s="7"/>
      <c r="W4615" s="7"/>
      <c r="X4615" s="6"/>
      <c r="Y4615" s="6"/>
      <c r="Z4615" s="6"/>
      <c r="AA4615" s="1"/>
      <c r="AB4615" s="12"/>
      <c r="AC4615" s="12"/>
      <c r="AD4615" s="12"/>
      <c r="AE4615" s="12"/>
      <c r="AF4615" s="12"/>
      <c r="AG4615" s="12"/>
      <c r="AH4615" s="12"/>
      <c r="AI4615" s="6"/>
      <c r="AJ4615" s="12"/>
      <c r="AK4615" s="12"/>
      <c r="AL4615" s="12"/>
      <c r="AM4615" s="12"/>
      <c r="AN4615" s="1"/>
      <c r="AO4615" s="6"/>
    </row>
    <row r="4616" spans="1:41" ht="15" x14ac:dyDescent="0.25">
      <c r="A4616" s="1"/>
      <c r="B4616" s="1"/>
      <c r="C4616" s="1"/>
      <c r="D4616" s="1"/>
      <c r="E4616" s="6"/>
      <c r="F4616" s="1"/>
      <c r="G4616" s="6"/>
      <c r="H4616" s="6"/>
      <c r="I4616" s="6"/>
      <c r="J4616" s="6"/>
      <c r="K4616" s="6"/>
      <c r="L4616" s="6"/>
      <c r="M4616" s="6"/>
      <c r="N4616" s="6"/>
      <c r="O4616" s="7"/>
      <c r="P4616" s="12"/>
      <c r="Q4616" s="6"/>
      <c r="R4616" s="7"/>
      <c r="S4616" s="6"/>
      <c r="T4616" s="6"/>
      <c r="U4616" s="7"/>
      <c r="V4616" s="6"/>
      <c r="W4616" s="6"/>
      <c r="X4616" s="6"/>
      <c r="Y4616" s="6"/>
      <c r="Z4616" s="6"/>
      <c r="AA4616" s="7"/>
      <c r="AB4616" s="6"/>
      <c r="AC4616" s="6"/>
      <c r="AD4616" s="6"/>
      <c r="AE4616" s="12"/>
      <c r="AF4616" s="6"/>
      <c r="AG4616" s="12"/>
      <c r="AH4616" s="6"/>
      <c r="AI4616" s="6"/>
      <c r="AJ4616" s="12"/>
      <c r="AK4616" s="1"/>
      <c r="AL4616" s="12"/>
      <c r="AM4616" s="12"/>
      <c r="AN4616" s="1"/>
      <c r="AO4616" s="6"/>
    </row>
    <row r="4617" spans="1:41" ht="15" x14ac:dyDescent="0.25">
      <c r="A4617" s="1"/>
      <c r="B4617" s="1"/>
      <c r="C4617" s="1"/>
      <c r="D4617" s="1"/>
      <c r="E4617" s="6"/>
      <c r="F4617" s="1"/>
      <c r="G4617" s="6"/>
      <c r="H4617" s="6"/>
      <c r="I4617" s="6"/>
      <c r="J4617" s="6"/>
      <c r="K4617" s="6"/>
      <c r="L4617" s="6"/>
      <c r="M4617" s="6"/>
      <c r="N4617" s="6"/>
      <c r="O4617" s="7"/>
      <c r="P4617" s="6"/>
      <c r="Q4617" s="6"/>
      <c r="R4617" s="12"/>
      <c r="S4617" s="12"/>
      <c r="T4617" s="12"/>
      <c r="U4617" s="7"/>
      <c r="V4617" s="6"/>
      <c r="W4617" s="6"/>
      <c r="X4617" s="12"/>
      <c r="Y4617" s="6"/>
      <c r="Z4617" s="6"/>
      <c r="AA4617" s="7"/>
      <c r="AB4617" s="6"/>
      <c r="AC4617" s="6"/>
      <c r="AD4617" s="6"/>
      <c r="AE4617" s="12"/>
      <c r="AF4617" s="12"/>
      <c r="AG4617" s="12"/>
      <c r="AH4617" s="12"/>
      <c r="AI4617" s="6"/>
      <c r="AJ4617" s="12"/>
      <c r="AK4617" s="1"/>
      <c r="AL4617" s="12"/>
      <c r="AM4617" s="12"/>
      <c r="AN4617" s="1"/>
      <c r="AO4617" s="6"/>
    </row>
    <row r="4618" spans="1:41" ht="15" x14ac:dyDescent="0.25">
      <c r="A4618" s="1"/>
      <c r="B4618" s="1"/>
      <c r="C4618" s="1"/>
      <c r="D4618" s="1"/>
      <c r="E4618" s="6"/>
      <c r="F4618" s="1"/>
      <c r="G4618" s="6"/>
      <c r="H4618" s="6"/>
      <c r="I4618" s="6"/>
      <c r="J4618" s="6"/>
      <c r="K4618" s="6"/>
      <c r="L4618" s="6"/>
      <c r="M4618" s="6"/>
      <c r="N4618" s="6"/>
      <c r="O4618" s="7"/>
      <c r="P4618" s="6"/>
      <c r="Q4618" s="6"/>
      <c r="R4618" s="12"/>
      <c r="S4618" s="12"/>
      <c r="T4618" s="12"/>
      <c r="U4618" s="7"/>
      <c r="V4618" s="6"/>
      <c r="W4618" s="6"/>
      <c r="X4618" s="12"/>
      <c r="Y4618" s="6"/>
      <c r="Z4618" s="6"/>
      <c r="AA4618" s="7"/>
      <c r="AB4618" s="6"/>
      <c r="AC4618" s="6"/>
      <c r="AD4618" s="6"/>
      <c r="AE4618" s="12"/>
      <c r="AF4618" s="12"/>
      <c r="AG4618" s="12"/>
      <c r="AH4618" s="12"/>
      <c r="AI4618" s="6"/>
      <c r="AJ4618" s="12"/>
      <c r="AK4618" s="1"/>
      <c r="AL4618" s="12"/>
      <c r="AM4618" s="12"/>
      <c r="AN4618" s="1"/>
      <c r="AO4618" s="6"/>
    </row>
    <row r="4619" spans="1:41" ht="15" x14ac:dyDescent="0.25">
      <c r="A4619" s="1"/>
      <c r="B4619" s="1"/>
      <c r="C4619" s="1"/>
      <c r="D4619" s="1"/>
      <c r="E4619" s="6"/>
      <c r="F4619" s="1"/>
      <c r="G4619" s="6"/>
      <c r="H4619" s="6"/>
      <c r="I4619" s="6"/>
      <c r="J4619" s="6"/>
      <c r="K4619" s="12"/>
      <c r="L4619" s="12"/>
      <c r="M4619" s="6"/>
      <c r="N4619" s="6"/>
      <c r="O4619" s="7"/>
      <c r="P4619" s="6"/>
      <c r="Q4619" s="7"/>
      <c r="R4619" s="6"/>
      <c r="S4619" s="12"/>
      <c r="T4619" s="6"/>
      <c r="U4619" s="6"/>
      <c r="V4619" s="7"/>
      <c r="W4619" s="7"/>
      <c r="X4619" s="6"/>
      <c r="Y4619" s="6"/>
      <c r="Z4619" s="6"/>
      <c r="AA4619" s="1"/>
      <c r="AB4619" s="12"/>
      <c r="AC4619" s="12"/>
      <c r="AD4619" s="12"/>
      <c r="AE4619" s="12"/>
      <c r="AF4619" s="12"/>
      <c r="AG4619" s="12"/>
      <c r="AH4619" s="12"/>
      <c r="AI4619" s="6"/>
      <c r="AJ4619" s="12"/>
      <c r="AK4619" s="12"/>
      <c r="AL4619" s="12"/>
      <c r="AM4619" s="12"/>
      <c r="AN4619" s="1"/>
      <c r="AO4619" s="6"/>
    </row>
    <row r="4620" spans="1:41" ht="15" x14ac:dyDescent="0.25">
      <c r="A4620" s="1"/>
      <c r="B4620" s="1"/>
      <c r="C4620" s="1"/>
      <c r="D4620" s="1"/>
      <c r="E4620" s="6"/>
      <c r="F4620" s="1"/>
      <c r="G4620" s="6"/>
      <c r="H4620" s="6"/>
      <c r="I4620" s="6"/>
      <c r="J4620" s="6"/>
      <c r="K4620" s="6"/>
      <c r="L4620" s="6"/>
      <c r="M4620" s="6"/>
      <c r="N4620" s="6"/>
      <c r="O4620" s="7"/>
      <c r="P4620" s="12"/>
      <c r="Q4620" s="6"/>
      <c r="R4620" s="7"/>
      <c r="S4620" s="6"/>
      <c r="T4620" s="6"/>
      <c r="U4620" s="7"/>
      <c r="V4620" s="6"/>
      <c r="W4620" s="6"/>
      <c r="X4620" s="12"/>
      <c r="Y4620" s="6"/>
      <c r="Z4620" s="6"/>
      <c r="AA4620" s="7"/>
      <c r="AB4620" s="6"/>
      <c r="AC4620" s="6"/>
      <c r="AD4620" s="6"/>
      <c r="AE4620" s="12"/>
      <c r="AF4620" s="6"/>
      <c r="AG4620" s="12"/>
      <c r="AH4620" s="6"/>
      <c r="AI4620" s="6"/>
      <c r="AJ4620" s="12"/>
      <c r="AK4620" s="24"/>
      <c r="AL4620" s="25"/>
      <c r="AM4620" s="12"/>
      <c r="AN4620" s="1"/>
      <c r="AO4620" s="6"/>
    </row>
    <row r="4621" spans="1:41" ht="15" x14ac:dyDescent="0.25">
      <c r="A4621" s="1"/>
      <c r="B4621" s="1"/>
      <c r="C4621" s="1"/>
      <c r="D4621" s="1"/>
      <c r="E4621" s="6"/>
      <c r="F4621" s="1"/>
      <c r="G4621" s="6"/>
      <c r="H4621" s="6"/>
      <c r="I4621" s="6"/>
      <c r="J4621" s="6"/>
      <c r="K4621" s="6"/>
      <c r="L4621" s="6"/>
      <c r="M4621" s="6"/>
      <c r="N4621" s="6"/>
      <c r="O4621" s="7"/>
      <c r="P4621" s="6"/>
      <c r="Q4621" s="6"/>
      <c r="R4621" s="7"/>
      <c r="S4621" s="6"/>
      <c r="T4621" s="6"/>
      <c r="U4621" s="7"/>
      <c r="V4621" s="6"/>
      <c r="W4621" s="6"/>
      <c r="X4621" s="6"/>
      <c r="Y4621" s="6"/>
      <c r="Z4621" s="6"/>
      <c r="AA4621" s="7"/>
      <c r="AB4621" s="6"/>
      <c r="AC4621" s="6"/>
      <c r="AD4621" s="6"/>
      <c r="AE4621" s="12"/>
      <c r="AF4621" s="6"/>
      <c r="AG4621" s="12"/>
      <c r="AH4621" s="6"/>
      <c r="AI4621" s="6"/>
      <c r="AJ4621" s="12"/>
      <c r="AK4621" s="1"/>
      <c r="AL4621" s="12"/>
      <c r="AM4621" s="12"/>
      <c r="AN4621" s="1"/>
      <c r="AO4621" s="6"/>
    </row>
    <row r="4622" spans="1:41" ht="15" x14ac:dyDescent="0.25">
      <c r="A4622" s="1"/>
      <c r="B4622" s="1"/>
      <c r="C4622" s="1"/>
      <c r="D4622" s="1"/>
      <c r="E4622" s="6"/>
      <c r="F4622" s="1"/>
      <c r="G4622" s="6"/>
      <c r="H4622" s="6"/>
      <c r="I4622" s="6"/>
      <c r="J4622" s="6"/>
      <c r="K4622" s="6"/>
      <c r="L4622" s="6"/>
      <c r="M4622" s="6"/>
      <c r="N4622" s="6"/>
      <c r="O4622" s="7"/>
      <c r="P4622" s="6"/>
      <c r="Q4622" s="6"/>
      <c r="R4622" s="7"/>
      <c r="S4622" s="6"/>
      <c r="T4622" s="6"/>
      <c r="U4622" s="7"/>
      <c r="V4622" s="6"/>
      <c r="W4622" s="6"/>
      <c r="X4622" s="6"/>
      <c r="Y4622" s="6"/>
      <c r="Z4622" s="6"/>
      <c r="AA4622" s="7"/>
      <c r="AB4622" s="6"/>
      <c r="AC4622" s="6"/>
      <c r="AD4622" s="6"/>
      <c r="AE4622" s="12"/>
      <c r="AF4622" s="6"/>
      <c r="AG4622" s="12"/>
      <c r="AH4622" s="6"/>
      <c r="AI4622" s="6"/>
      <c r="AJ4622" s="12"/>
      <c r="AK4622" s="1"/>
      <c r="AL4622" s="12"/>
      <c r="AM4622" s="12"/>
      <c r="AN4622" s="1"/>
      <c r="AO4622" s="6"/>
    </row>
    <row r="4623" spans="1:41" ht="15" x14ac:dyDescent="0.25">
      <c r="A4623" s="1"/>
      <c r="B4623" s="1"/>
      <c r="C4623" s="1"/>
      <c r="D4623" s="1"/>
      <c r="E4623" s="6"/>
      <c r="F4623" s="1"/>
      <c r="G4623" s="6"/>
      <c r="H4623" s="6"/>
      <c r="I4623" s="6"/>
      <c r="J4623" s="6"/>
      <c r="K4623" s="6"/>
      <c r="L4623" s="6"/>
      <c r="M4623" s="6"/>
      <c r="N4623" s="6"/>
      <c r="O4623" s="7"/>
      <c r="P4623" s="6"/>
      <c r="Q4623" s="6"/>
      <c r="R4623" s="7"/>
      <c r="S4623" s="6"/>
      <c r="T4623" s="6"/>
      <c r="U4623" s="7"/>
      <c r="V4623" s="6"/>
      <c r="W4623" s="6"/>
      <c r="X4623" s="6"/>
      <c r="Y4623" s="6"/>
      <c r="Z4623" s="6"/>
      <c r="AA4623" s="7"/>
      <c r="AB4623" s="6"/>
      <c r="AC4623" s="6"/>
      <c r="AD4623" s="6"/>
      <c r="AE4623" s="12"/>
      <c r="AF4623" s="12"/>
      <c r="AG4623" s="12"/>
      <c r="AH4623" s="12"/>
      <c r="AI4623" s="6"/>
      <c r="AJ4623" s="12"/>
      <c r="AK4623" s="1"/>
      <c r="AL4623" s="12"/>
      <c r="AM4623" s="12"/>
      <c r="AN4623" s="1"/>
      <c r="AO4623" s="6"/>
    </row>
    <row r="4624" spans="1:41" ht="15" x14ac:dyDescent="0.25">
      <c r="A4624" s="1"/>
      <c r="B4624" s="1"/>
      <c r="C4624" s="1"/>
      <c r="D4624" s="1"/>
      <c r="E4624" s="6"/>
      <c r="F4624" s="1"/>
      <c r="G4624" s="6"/>
      <c r="H4624" s="6"/>
      <c r="I4624" s="6"/>
      <c r="J4624" s="6"/>
      <c r="K4624" s="6"/>
      <c r="L4624" s="6"/>
      <c r="M4624" s="6"/>
      <c r="N4624" s="6"/>
      <c r="O4624" s="7"/>
      <c r="P4624" s="12"/>
      <c r="Q4624" s="6"/>
      <c r="R4624" s="7"/>
      <c r="S4624" s="6"/>
      <c r="T4624" s="6"/>
      <c r="U4624" s="7"/>
      <c r="V4624" s="6"/>
      <c r="W4624" s="6"/>
      <c r="X4624" s="6"/>
      <c r="Y4624" s="6"/>
      <c r="Z4624" s="6"/>
      <c r="AA4624" s="7"/>
      <c r="AB4624" s="6"/>
      <c r="AC4624" s="6"/>
      <c r="AD4624" s="6"/>
      <c r="AE4624" s="12"/>
      <c r="AF4624" s="6"/>
      <c r="AG4624" s="12"/>
      <c r="AH4624" s="6"/>
      <c r="AI4624" s="6"/>
      <c r="AJ4624" s="12"/>
      <c r="AK4624" s="1"/>
      <c r="AL4624" s="12"/>
      <c r="AM4624" s="12"/>
      <c r="AN4624" s="1"/>
      <c r="AO4624" s="6"/>
    </row>
    <row r="4625" spans="1:41" ht="15" x14ac:dyDescent="0.25">
      <c r="A4625" s="1"/>
      <c r="B4625" s="1"/>
      <c r="C4625" s="1"/>
      <c r="D4625" s="1"/>
      <c r="E4625" s="6"/>
      <c r="F4625" s="1"/>
      <c r="G4625" s="6"/>
      <c r="H4625" s="6"/>
      <c r="I4625" s="6"/>
      <c r="J4625" s="6"/>
      <c r="K4625" s="6"/>
      <c r="L4625" s="6"/>
      <c r="M4625" s="6"/>
      <c r="N4625" s="6"/>
      <c r="O4625" s="7"/>
      <c r="P4625" s="12"/>
      <c r="Q4625" s="6"/>
      <c r="R4625" s="7"/>
      <c r="S4625" s="6"/>
      <c r="T4625" s="6"/>
      <c r="U4625" s="7"/>
      <c r="V4625" s="6"/>
      <c r="W4625" s="6"/>
      <c r="X4625" s="6"/>
      <c r="Y4625" s="6"/>
      <c r="Z4625" s="6"/>
      <c r="AA4625" s="7"/>
      <c r="AB4625" s="6"/>
      <c r="AC4625" s="6"/>
      <c r="AD4625" s="6"/>
      <c r="AE4625" s="12"/>
      <c r="AF4625" s="6"/>
      <c r="AG4625" s="12"/>
      <c r="AH4625" s="6"/>
      <c r="AI4625" s="6"/>
      <c r="AJ4625" s="12"/>
      <c r="AK4625" s="1"/>
      <c r="AL4625" s="12"/>
      <c r="AM4625" s="12"/>
      <c r="AN4625" s="1"/>
      <c r="AO4625" s="6"/>
    </row>
    <row r="4626" spans="1:41" ht="15" x14ac:dyDescent="0.25">
      <c r="A4626" s="1"/>
      <c r="B4626" s="1"/>
      <c r="C4626" s="1"/>
      <c r="D4626" s="1"/>
      <c r="E4626" s="6"/>
      <c r="F4626" s="1"/>
      <c r="G4626" s="6"/>
      <c r="H4626" s="6"/>
      <c r="I4626" s="6"/>
      <c r="J4626" s="6"/>
      <c r="K4626" s="6"/>
      <c r="L4626" s="6"/>
      <c r="M4626" s="6"/>
      <c r="N4626" s="6"/>
      <c r="O4626" s="7"/>
      <c r="P4626" s="6"/>
      <c r="Q4626" s="6"/>
      <c r="R4626" s="7"/>
      <c r="S4626" s="6"/>
      <c r="T4626" s="6"/>
      <c r="U4626" s="7"/>
      <c r="V4626" s="6"/>
      <c r="W4626" s="6"/>
      <c r="X4626" s="12"/>
      <c r="Y4626" s="6"/>
      <c r="Z4626" s="6"/>
      <c r="AA4626" s="7"/>
      <c r="AB4626" s="6"/>
      <c r="AC4626" s="6"/>
      <c r="AD4626" s="6"/>
      <c r="AE4626" s="12"/>
      <c r="AF4626" s="12"/>
      <c r="AG4626" s="12"/>
      <c r="AH4626" s="12"/>
      <c r="AI4626" s="6"/>
      <c r="AJ4626" s="12"/>
      <c r="AK4626" s="1"/>
      <c r="AL4626" s="12"/>
      <c r="AM4626" s="12"/>
      <c r="AN4626" s="1"/>
      <c r="AO4626" s="6"/>
    </row>
    <row r="4627" spans="1:41" ht="15" x14ac:dyDescent="0.25">
      <c r="A4627" s="1"/>
      <c r="B4627" s="1"/>
      <c r="C4627" s="1"/>
      <c r="D4627" s="1"/>
      <c r="E4627" s="6"/>
      <c r="F4627" s="1"/>
      <c r="G4627" s="6"/>
      <c r="H4627" s="6"/>
      <c r="I4627" s="6"/>
      <c r="J4627" s="6"/>
      <c r="K4627" s="6"/>
      <c r="L4627" s="6"/>
      <c r="M4627" s="6"/>
      <c r="N4627" s="6"/>
      <c r="O4627" s="7"/>
      <c r="P4627" s="6"/>
      <c r="Q4627" s="6"/>
      <c r="R4627" s="7"/>
      <c r="S4627" s="6"/>
      <c r="T4627" s="6"/>
      <c r="U4627" s="7"/>
      <c r="V4627" s="6"/>
      <c r="W4627" s="6"/>
      <c r="X4627" s="12"/>
      <c r="Y4627" s="6"/>
      <c r="Z4627" s="6"/>
      <c r="AA4627" s="7"/>
      <c r="AB4627" s="6"/>
      <c r="AC4627" s="6"/>
      <c r="AD4627" s="6"/>
      <c r="AE4627" s="12"/>
      <c r="AF4627" s="12"/>
      <c r="AG4627" s="12"/>
      <c r="AH4627" s="12"/>
      <c r="AI4627" s="6"/>
      <c r="AJ4627" s="12"/>
      <c r="AK4627" s="1"/>
      <c r="AL4627" s="12"/>
      <c r="AM4627" s="12"/>
      <c r="AN4627" s="1"/>
      <c r="AO4627" s="6"/>
    </row>
    <row r="4628" spans="1:41" ht="15" x14ac:dyDescent="0.25">
      <c r="A4628" s="1"/>
      <c r="B4628" s="1"/>
      <c r="C4628" s="1"/>
      <c r="D4628" s="1"/>
      <c r="E4628" s="6"/>
      <c r="F4628" s="1"/>
      <c r="G4628" s="6"/>
      <c r="H4628" s="6"/>
      <c r="I4628" s="6"/>
      <c r="J4628" s="6"/>
      <c r="K4628" s="6"/>
      <c r="L4628" s="6"/>
      <c r="M4628" s="6"/>
      <c r="N4628" s="6"/>
      <c r="O4628" s="7"/>
      <c r="P4628" s="6"/>
      <c r="Q4628" s="6"/>
      <c r="R4628" s="7"/>
      <c r="S4628" s="6"/>
      <c r="T4628" s="6"/>
      <c r="U4628" s="7"/>
      <c r="V4628" s="6"/>
      <c r="W4628" s="6"/>
      <c r="X4628" s="12"/>
      <c r="Y4628" s="6"/>
      <c r="Z4628" s="6"/>
      <c r="AA4628" s="7"/>
      <c r="AB4628" s="6"/>
      <c r="AC4628" s="6"/>
      <c r="AD4628" s="6"/>
      <c r="AE4628" s="12"/>
      <c r="AF4628" s="12"/>
      <c r="AG4628" s="12"/>
      <c r="AH4628" s="12"/>
      <c r="AI4628" s="6"/>
      <c r="AJ4628" s="12"/>
      <c r="AK4628" s="24"/>
      <c r="AL4628" s="25"/>
      <c r="AM4628" s="12"/>
      <c r="AN4628" s="1"/>
      <c r="AO4628" s="12"/>
    </row>
    <row r="4629" spans="1:41" ht="15" x14ac:dyDescent="0.25">
      <c r="A4629" s="1"/>
      <c r="B4629" s="1"/>
      <c r="C4629" s="1"/>
      <c r="D4629" s="1"/>
      <c r="E4629" s="6"/>
      <c r="F4629" s="1"/>
      <c r="G4629" s="6"/>
      <c r="H4629" s="6"/>
      <c r="I4629" s="6"/>
      <c r="J4629" s="6"/>
      <c r="K4629" s="6"/>
      <c r="L4629" s="6"/>
      <c r="M4629" s="6"/>
      <c r="N4629" s="6"/>
      <c r="O4629" s="7"/>
      <c r="P4629" s="6"/>
      <c r="Q4629" s="6"/>
      <c r="R4629" s="7"/>
      <c r="S4629" s="6"/>
      <c r="T4629" s="6"/>
      <c r="U4629" s="7"/>
      <c r="V4629" s="6"/>
      <c r="W4629" s="6"/>
      <c r="X4629" s="12"/>
      <c r="Y4629" s="6"/>
      <c r="Z4629" s="6"/>
      <c r="AA4629" s="7"/>
      <c r="AB4629" s="6"/>
      <c r="AC4629" s="6"/>
      <c r="AD4629" s="6"/>
      <c r="AE4629" s="12"/>
      <c r="AF4629" s="12"/>
      <c r="AG4629" s="12"/>
      <c r="AH4629" s="12"/>
      <c r="AI4629" s="6"/>
      <c r="AJ4629" s="12"/>
      <c r="AK4629" s="24"/>
      <c r="AL4629" s="25"/>
      <c r="AM4629" s="12"/>
      <c r="AN4629" s="1"/>
      <c r="AO4629" s="12"/>
    </row>
    <row r="4630" spans="1:41" ht="15" x14ac:dyDescent="0.25">
      <c r="A4630" s="1"/>
      <c r="B4630" s="1"/>
      <c r="C4630" s="1"/>
      <c r="D4630" s="1"/>
      <c r="E4630" s="6"/>
      <c r="F4630" s="1"/>
      <c r="G4630" s="6"/>
      <c r="H4630" s="6"/>
      <c r="I4630" s="6"/>
      <c r="J4630" s="6"/>
      <c r="K4630" s="6"/>
      <c r="L4630" s="6"/>
      <c r="M4630" s="6"/>
      <c r="N4630" s="6"/>
      <c r="O4630" s="7"/>
      <c r="P4630" s="12"/>
      <c r="Q4630" s="6"/>
      <c r="R4630" s="7"/>
      <c r="S4630" s="6"/>
      <c r="T4630" s="6"/>
      <c r="U4630" s="7"/>
      <c r="V4630" s="6"/>
      <c r="W4630" s="6"/>
      <c r="X4630" s="6"/>
      <c r="Y4630" s="6"/>
      <c r="Z4630" s="6"/>
      <c r="AA4630" s="7"/>
      <c r="AB4630" s="6"/>
      <c r="AC4630" s="6"/>
      <c r="AD4630" s="6"/>
      <c r="AE4630" s="12"/>
      <c r="AF4630" s="12"/>
      <c r="AG4630" s="12"/>
      <c r="AH4630" s="12"/>
      <c r="AI4630" s="6"/>
      <c r="AJ4630" s="12"/>
      <c r="AK4630" s="1"/>
      <c r="AL4630" s="12"/>
      <c r="AM4630" s="12"/>
      <c r="AN4630" s="1"/>
      <c r="AO4630" s="6"/>
    </row>
    <row r="4631" spans="1:41" ht="15" x14ac:dyDescent="0.25">
      <c r="A4631" s="1"/>
      <c r="B4631" s="1"/>
      <c r="C4631" s="1"/>
      <c r="D4631" s="1"/>
      <c r="E4631" s="6"/>
      <c r="F4631" s="1"/>
      <c r="G4631" s="6"/>
      <c r="H4631" s="6"/>
      <c r="I4631" s="6"/>
      <c r="J4631" s="6"/>
      <c r="K4631" s="12"/>
      <c r="L4631" s="12"/>
      <c r="M4631" s="6"/>
      <c r="N4631" s="6"/>
      <c r="O4631" s="7"/>
      <c r="P4631" s="6"/>
      <c r="Q4631" s="6"/>
      <c r="R4631" s="7"/>
      <c r="S4631" s="6"/>
      <c r="T4631" s="6"/>
      <c r="U4631" s="7"/>
      <c r="V4631" s="6"/>
      <c r="W4631" s="6"/>
      <c r="X4631" s="12"/>
      <c r="Y4631" s="6"/>
      <c r="Z4631" s="6"/>
      <c r="AA4631" s="7"/>
      <c r="AB4631" s="6"/>
      <c r="AC4631" s="6"/>
      <c r="AD4631" s="6"/>
      <c r="AE4631" s="12"/>
      <c r="AF4631" s="12"/>
      <c r="AG4631" s="12"/>
      <c r="AH4631" s="12"/>
      <c r="AI4631" s="6"/>
      <c r="AJ4631" s="12"/>
      <c r="AK4631" s="1"/>
      <c r="AL4631" s="12"/>
      <c r="AM4631" s="12"/>
      <c r="AN4631" s="1"/>
      <c r="AO4631" s="6"/>
    </row>
    <row r="4632" spans="1:41" ht="15" x14ac:dyDescent="0.25">
      <c r="A4632" s="1"/>
      <c r="B4632" s="1"/>
      <c r="C4632" s="1"/>
      <c r="D4632" s="1"/>
      <c r="E4632" s="6"/>
      <c r="F4632" s="1"/>
      <c r="G4632" s="6"/>
      <c r="H4632" s="6"/>
      <c r="I4632" s="6"/>
      <c r="J4632" s="6"/>
      <c r="K4632" s="6"/>
      <c r="L4632" s="6"/>
      <c r="M4632" s="6"/>
      <c r="N4632" s="6"/>
      <c r="O4632" s="7"/>
      <c r="P4632" s="6"/>
      <c r="Q4632" s="7"/>
      <c r="R4632" s="6"/>
      <c r="S4632" s="6"/>
      <c r="T4632" s="6"/>
      <c r="U4632" s="6"/>
      <c r="V4632" s="7"/>
      <c r="W4632" s="7"/>
      <c r="X4632" s="6"/>
      <c r="Y4632" s="6"/>
      <c r="Z4632" s="6"/>
      <c r="AA4632" s="1"/>
      <c r="AB4632" s="12"/>
      <c r="AC4632" s="12"/>
      <c r="AD4632" s="12"/>
      <c r="AE4632" s="12"/>
      <c r="AF4632" s="6"/>
      <c r="AG4632" s="12"/>
      <c r="AH4632" s="6"/>
      <c r="AI4632" s="6"/>
      <c r="AJ4632" s="12"/>
      <c r="AK4632" s="12"/>
      <c r="AL4632" s="12"/>
      <c r="AM4632" s="12"/>
      <c r="AN4632" s="1"/>
      <c r="AO4632" s="6"/>
    </row>
    <row r="4633" spans="1:41" ht="15" x14ac:dyDescent="0.25">
      <c r="A4633" s="1"/>
      <c r="B4633" s="1"/>
      <c r="C4633" s="1"/>
      <c r="D4633" s="1"/>
      <c r="E4633" s="6"/>
      <c r="F4633" s="1"/>
      <c r="G4633" s="6"/>
      <c r="H4633" s="6"/>
      <c r="I4633" s="6"/>
      <c r="J4633" s="6"/>
      <c r="K4633" s="6"/>
      <c r="L4633" s="6"/>
      <c r="M4633" s="6"/>
      <c r="N4633" s="6"/>
      <c r="O4633" s="7"/>
      <c r="P4633" s="12"/>
      <c r="Q4633" s="6"/>
      <c r="R4633" s="7"/>
      <c r="S4633" s="6"/>
      <c r="T4633" s="6"/>
      <c r="U4633" s="7"/>
      <c r="V4633" s="6"/>
      <c r="W4633" s="6"/>
      <c r="X4633" s="6"/>
      <c r="Y4633" s="6"/>
      <c r="Z4633" s="6"/>
      <c r="AA4633" s="7"/>
      <c r="AB4633" s="6"/>
      <c r="AC4633" s="6"/>
      <c r="AD4633" s="6"/>
      <c r="AE4633" s="12"/>
      <c r="AF4633" s="12"/>
      <c r="AG4633" s="12"/>
      <c r="AH4633" s="12"/>
      <c r="AI4633" s="6"/>
      <c r="AJ4633" s="12"/>
      <c r="AK4633" s="1"/>
      <c r="AL4633" s="12"/>
      <c r="AM4633" s="12"/>
      <c r="AN4633" s="1"/>
      <c r="AO4633" s="6"/>
    </row>
    <row r="4634" spans="1:41" ht="15" x14ac:dyDescent="0.25">
      <c r="A4634" s="1"/>
      <c r="B4634" s="1"/>
      <c r="C4634" s="1"/>
      <c r="D4634" s="1"/>
      <c r="E4634" s="6"/>
      <c r="F4634" s="1"/>
      <c r="G4634" s="6"/>
      <c r="H4634" s="6"/>
      <c r="I4634" s="6"/>
      <c r="J4634" s="6"/>
      <c r="K4634" s="6"/>
      <c r="L4634" s="6"/>
      <c r="M4634" s="6"/>
      <c r="N4634" s="6"/>
      <c r="O4634" s="7"/>
      <c r="P4634" s="6"/>
      <c r="Q4634" s="6"/>
      <c r="R4634" s="7"/>
      <c r="S4634" s="6"/>
      <c r="T4634" s="6"/>
      <c r="U4634" s="7"/>
      <c r="V4634" s="6"/>
      <c r="W4634" s="6"/>
      <c r="X4634" s="12"/>
      <c r="Y4634" s="6"/>
      <c r="Z4634" s="6"/>
      <c r="AA4634" s="7"/>
      <c r="AB4634" s="6"/>
      <c r="AC4634" s="6"/>
      <c r="AD4634" s="6"/>
      <c r="AE4634" s="12"/>
      <c r="AF4634" s="12"/>
      <c r="AG4634" s="12"/>
      <c r="AH4634" s="12"/>
      <c r="AI4634" s="6"/>
      <c r="AJ4634" s="12"/>
      <c r="AK4634" s="1"/>
      <c r="AL4634" s="12"/>
      <c r="AM4634" s="12"/>
      <c r="AN4634" s="1"/>
      <c r="AO4634" s="6"/>
    </row>
    <row r="4635" spans="1:41" ht="15" x14ac:dyDescent="0.25">
      <c r="A4635" s="1"/>
      <c r="B4635" s="1"/>
      <c r="C4635" s="1"/>
      <c r="D4635" s="1"/>
      <c r="E4635" s="6"/>
      <c r="F4635" s="1"/>
      <c r="G4635" s="6"/>
      <c r="H4635" s="6"/>
      <c r="I4635" s="6"/>
      <c r="J4635" s="6"/>
      <c r="K4635" s="6"/>
      <c r="L4635" s="6"/>
      <c r="M4635" s="6"/>
      <c r="N4635" s="6"/>
      <c r="O4635" s="7"/>
      <c r="P4635" s="6"/>
      <c r="Q4635" s="6"/>
      <c r="R4635" s="7"/>
      <c r="S4635" s="6"/>
      <c r="T4635" s="6"/>
      <c r="U4635" s="7"/>
      <c r="V4635" s="6"/>
      <c r="W4635" s="6"/>
      <c r="X4635" s="6"/>
      <c r="Y4635" s="6"/>
      <c r="Z4635" s="6"/>
      <c r="AA4635" s="7"/>
      <c r="AB4635" s="6"/>
      <c r="AC4635" s="6"/>
      <c r="AD4635" s="6"/>
      <c r="AE4635" s="12"/>
      <c r="AF4635" s="12"/>
      <c r="AG4635" s="12"/>
      <c r="AH4635" s="12"/>
      <c r="AI4635" s="6"/>
      <c r="AJ4635" s="12"/>
      <c r="AK4635" s="1"/>
      <c r="AL4635" s="12"/>
      <c r="AM4635" s="12"/>
      <c r="AN4635" s="1"/>
      <c r="AO4635" s="6"/>
    </row>
    <row r="4636" spans="1:41" ht="15" x14ac:dyDescent="0.25">
      <c r="A4636" s="1"/>
      <c r="B4636" s="1"/>
      <c r="C4636" s="1"/>
      <c r="D4636" s="1"/>
      <c r="E4636" s="6"/>
      <c r="F4636" s="1"/>
      <c r="G4636" s="6"/>
      <c r="H4636" s="6"/>
      <c r="I4636" s="6"/>
      <c r="J4636" s="6"/>
      <c r="K4636" s="6"/>
      <c r="L4636" s="6"/>
      <c r="M4636" s="6"/>
      <c r="N4636" s="6"/>
      <c r="O4636" s="7"/>
      <c r="P4636" s="6"/>
      <c r="Q4636" s="6"/>
      <c r="R4636" s="7"/>
      <c r="S4636" s="6"/>
      <c r="T4636" s="6"/>
      <c r="U4636" s="7"/>
      <c r="V4636" s="6"/>
      <c r="W4636" s="6"/>
      <c r="X4636" s="12"/>
      <c r="Y4636" s="6"/>
      <c r="Z4636" s="6"/>
      <c r="AA4636" s="7"/>
      <c r="AB4636" s="6"/>
      <c r="AC4636" s="6"/>
      <c r="AD4636" s="6"/>
      <c r="AE4636" s="12"/>
      <c r="AF4636" s="12"/>
      <c r="AG4636" s="12"/>
      <c r="AH4636" s="12"/>
      <c r="AI4636" s="6"/>
      <c r="AJ4636" s="12"/>
      <c r="AK4636" s="1"/>
      <c r="AL4636" s="12"/>
      <c r="AM4636" s="12"/>
      <c r="AN4636" s="1"/>
      <c r="AO4636" s="6"/>
    </row>
    <row r="4637" spans="1:41" ht="15" x14ac:dyDescent="0.25">
      <c r="A4637" s="1"/>
      <c r="B4637" s="1"/>
      <c r="C4637" s="1"/>
      <c r="D4637" s="1"/>
      <c r="E4637" s="6"/>
      <c r="F4637" s="1"/>
      <c r="G4637" s="6"/>
      <c r="H4637" s="6"/>
      <c r="I4637" s="6"/>
      <c r="J4637" s="6"/>
      <c r="K4637" s="12"/>
      <c r="L4637" s="12"/>
      <c r="M4637" s="6"/>
      <c r="N4637" s="6"/>
      <c r="O4637" s="7"/>
      <c r="P4637" s="6"/>
      <c r="Q4637" s="6"/>
      <c r="R4637" s="7"/>
      <c r="S4637" s="6"/>
      <c r="T4637" s="6"/>
      <c r="U4637" s="7"/>
      <c r="V4637" s="6"/>
      <c r="W4637" s="6"/>
      <c r="X4637" s="12"/>
      <c r="Y4637" s="6"/>
      <c r="Z4637" s="6"/>
      <c r="AA4637" s="7"/>
      <c r="AB4637" s="6"/>
      <c r="AC4637" s="6"/>
      <c r="AD4637" s="6"/>
      <c r="AE4637" s="12"/>
      <c r="AF4637" s="12"/>
      <c r="AG4637" s="12"/>
      <c r="AH4637" s="12"/>
      <c r="AI4637" s="6"/>
      <c r="AJ4637" s="12"/>
      <c r="AK4637" s="1"/>
      <c r="AL4637" s="12"/>
      <c r="AM4637" s="12"/>
      <c r="AN4637" s="1"/>
      <c r="AO4637" s="12"/>
    </row>
    <row r="4638" spans="1:41" ht="15" x14ac:dyDescent="0.25">
      <c r="A4638" s="1"/>
      <c r="B4638" s="1"/>
      <c r="C4638" s="1"/>
      <c r="D4638" s="1"/>
      <c r="E4638" s="6"/>
      <c r="F4638" s="1"/>
      <c r="G4638" s="6"/>
      <c r="H4638" s="6"/>
      <c r="I4638" s="6"/>
      <c r="J4638" s="6"/>
      <c r="K4638" s="12"/>
      <c r="L4638" s="12"/>
      <c r="M4638" s="6"/>
      <c r="N4638" s="6"/>
      <c r="O4638" s="7"/>
      <c r="P4638" s="6"/>
      <c r="Q4638" s="6"/>
      <c r="R4638" s="7"/>
      <c r="S4638" s="6"/>
      <c r="T4638" s="6"/>
      <c r="U4638" s="7"/>
      <c r="V4638" s="6"/>
      <c r="W4638" s="6"/>
      <c r="X4638" s="12"/>
      <c r="Y4638" s="6"/>
      <c r="Z4638" s="6"/>
      <c r="AA4638" s="7"/>
      <c r="AB4638" s="6"/>
      <c r="AC4638" s="6"/>
      <c r="AD4638" s="6"/>
      <c r="AE4638" s="12"/>
      <c r="AF4638" s="12"/>
      <c r="AG4638" s="12"/>
      <c r="AH4638" s="12"/>
      <c r="AI4638" s="6"/>
      <c r="AJ4638" s="12"/>
      <c r="AK4638" s="1"/>
      <c r="AL4638" s="12"/>
      <c r="AM4638" s="12"/>
      <c r="AN4638" s="1"/>
      <c r="AO4638" s="12"/>
    </row>
    <row r="4639" spans="1:41" ht="15" x14ac:dyDescent="0.25">
      <c r="A4639" s="1"/>
      <c r="B4639" s="1"/>
      <c r="C4639" s="1"/>
      <c r="D4639" s="1"/>
      <c r="E4639" s="6"/>
      <c r="F4639" s="1"/>
      <c r="G4639" s="6"/>
      <c r="H4639" s="6"/>
      <c r="I4639" s="6"/>
      <c r="J4639" s="6"/>
      <c r="K4639" s="6"/>
      <c r="L4639" s="6"/>
      <c r="M4639" s="6"/>
      <c r="N4639" s="6"/>
      <c r="O4639" s="7"/>
      <c r="P4639" s="6"/>
      <c r="Q4639" s="6"/>
      <c r="R4639" s="7"/>
      <c r="S4639" s="6"/>
      <c r="T4639" s="6"/>
      <c r="U4639" s="7"/>
      <c r="V4639" s="6"/>
      <c r="W4639" s="6"/>
      <c r="X4639" s="6"/>
      <c r="Y4639" s="6"/>
      <c r="Z4639" s="6"/>
      <c r="AA4639" s="7"/>
      <c r="AB4639" s="6"/>
      <c r="AC4639" s="6"/>
      <c r="AD4639" s="6"/>
      <c r="AE4639" s="12"/>
      <c r="AF4639" s="6"/>
      <c r="AG4639" s="12"/>
      <c r="AH4639" s="6"/>
      <c r="AI4639" s="6"/>
      <c r="AJ4639" s="12"/>
      <c r="AK4639" s="1"/>
      <c r="AL4639" s="12"/>
      <c r="AM4639" s="12"/>
      <c r="AN4639" s="1"/>
      <c r="AO4639" s="6"/>
    </row>
    <row r="4640" spans="1:41" ht="15" x14ac:dyDescent="0.25">
      <c r="A4640" s="1"/>
      <c r="B4640" s="1"/>
      <c r="C4640" s="1"/>
      <c r="D4640" s="1"/>
      <c r="E4640" s="6"/>
      <c r="F4640" s="1"/>
      <c r="G4640" s="6"/>
      <c r="H4640" s="6"/>
      <c r="I4640" s="6"/>
      <c r="J4640" s="6"/>
      <c r="K4640" s="6"/>
      <c r="L4640" s="6"/>
      <c r="M4640" s="6"/>
      <c r="N4640" s="6"/>
      <c r="O4640" s="7"/>
      <c r="P4640" s="6"/>
      <c r="Q4640" s="6"/>
      <c r="R4640" s="7"/>
      <c r="S4640" s="6"/>
      <c r="T4640" s="6"/>
      <c r="U4640" s="7"/>
      <c r="V4640" s="6"/>
      <c r="W4640" s="6"/>
      <c r="X4640" s="6"/>
      <c r="Y4640" s="6"/>
      <c r="Z4640" s="6"/>
      <c r="AA4640" s="7"/>
      <c r="AB4640" s="6"/>
      <c r="AC4640" s="6"/>
      <c r="AD4640" s="6"/>
      <c r="AE4640" s="12"/>
      <c r="AF4640" s="6"/>
      <c r="AG4640" s="12"/>
      <c r="AH4640" s="6"/>
      <c r="AI4640" s="6"/>
      <c r="AJ4640" s="12"/>
      <c r="AK4640" s="1"/>
      <c r="AL4640" s="12"/>
      <c r="AM4640" s="12"/>
      <c r="AN4640" s="1"/>
      <c r="AO4640" s="6"/>
    </row>
    <row r="4641" spans="1:41" ht="15" x14ac:dyDescent="0.25">
      <c r="A4641" s="1"/>
      <c r="B4641" s="1"/>
      <c r="C4641" s="1"/>
      <c r="D4641" s="1"/>
      <c r="E4641" s="6"/>
      <c r="F4641" s="1"/>
      <c r="G4641" s="6"/>
      <c r="H4641" s="6"/>
      <c r="I4641" s="6"/>
      <c r="J4641" s="6"/>
      <c r="K4641" s="6"/>
      <c r="L4641" s="6"/>
      <c r="M4641" s="6"/>
      <c r="N4641" s="6"/>
      <c r="O4641" s="7"/>
      <c r="P4641" s="6"/>
      <c r="Q4641" s="6"/>
      <c r="R4641" s="7"/>
      <c r="S4641" s="6"/>
      <c r="T4641" s="6"/>
      <c r="U4641" s="7"/>
      <c r="V4641" s="6"/>
      <c r="W4641" s="6"/>
      <c r="X4641" s="6"/>
      <c r="Y4641" s="6"/>
      <c r="Z4641" s="6"/>
      <c r="AA4641" s="7"/>
      <c r="AB4641" s="6"/>
      <c r="AC4641" s="6"/>
      <c r="AD4641" s="6"/>
      <c r="AE4641" s="12"/>
      <c r="AF4641" s="12"/>
      <c r="AG4641" s="12"/>
      <c r="AH4641" s="12"/>
      <c r="AI4641" s="6"/>
      <c r="AJ4641" s="12"/>
      <c r="AK4641" s="1"/>
      <c r="AL4641" s="12"/>
      <c r="AM4641" s="12"/>
      <c r="AN4641" s="1"/>
      <c r="AO4641" s="6"/>
    </row>
    <row r="4642" spans="1:41" ht="15" x14ac:dyDescent="0.25">
      <c r="A4642" s="1"/>
      <c r="B4642" s="1"/>
      <c r="C4642" s="1"/>
      <c r="D4642" s="1"/>
      <c r="E4642" s="6"/>
      <c r="F4642" s="1"/>
      <c r="G4642" s="6"/>
      <c r="H4642" s="6"/>
      <c r="I4642" s="6"/>
      <c r="J4642" s="6"/>
      <c r="K4642" s="6"/>
      <c r="L4642" s="6"/>
      <c r="M4642" s="6"/>
      <c r="N4642" s="6"/>
      <c r="O4642" s="7"/>
      <c r="P4642" s="6"/>
      <c r="Q4642" s="6"/>
      <c r="R4642" s="7"/>
      <c r="S4642" s="6"/>
      <c r="T4642" s="6"/>
      <c r="U4642" s="7"/>
      <c r="V4642" s="6"/>
      <c r="W4642" s="6"/>
      <c r="X4642" s="6"/>
      <c r="Y4642" s="6"/>
      <c r="Z4642" s="6"/>
      <c r="AA4642" s="7"/>
      <c r="AB4642" s="6"/>
      <c r="AC4642" s="6"/>
      <c r="AD4642" s="6"/>
      <c r="AE4642" s="12"/>
      <c r="AF4642" s="12"/>
      <c r="AG4642" s="12"/>
      <c r="AH4642" s="12"/>
      <c r="AI4642" s="6"/>
      <c r="AJ4642" s="12"/>
      <c r="AK4642" s="1"/>
      <c r="AL4642" s="12"/>
      <c r="AM4642" s="12"/>
      <c r="AN4642" s="1"/>
      <c r="AO4642" s="6"/>
    </row>
    <row r="4643" spans="1:41" ht="15" x14ac:dyDescent="0.25">
      <c r="A4643" s="1"/>
      <c r="B4643" s="1"/>
      <c r="C4643" s="1"/>
      <c r="D4643" s="1"/>
      <c r="E4643" s="6"/>
      <c r="F4643" s="1"/>
      <c r="G4643" s="6"/>
      <c r="H4643" s="6"/>
      <c r="I4643" s="6"/>
      <c r="J4643" s="6"/>
      <c r="K4643" s="6"/>
      <c r="L4643" s="6"/>
      <c r="M4643" s="6"/>
      <c r="N4643" s="6"/>
      <c r="O4643" s="7"/>
      <c r="P4643" s="6"/>
      <c r="Q4643" s="6"/>
      <c r="R4643" s="12"/>
      <c r="S4643" s="12"/>
      <c r="T4643" s="12"/>
      <c r="U4643" s="7"/>
      <c r="V4643" s="6"/>
      <c r="W4643" s="6"/>
      <c r="X4643" s="12"/>
      <c r="Y4643" s="6"/>
      <c r="Z4643" s="6"/>
      <c r="AA4643" s="7"/>
      <c r="AB4643" s="6"/>
      <c r="AC4643" s="6"/>
      <c r="AD4643" s="6"/>
      <c r="AE4643" s="12"/>
      <c r="AF4643" s="6"/>
      <c r="AG4643" s="12"/>
      <c r="AH4643" s="6"/>
      <c r="AI4643" s="6"/>
      <c r="AJ4643" s="12"/>
      <c r="AK4643" s="1"/>
      <c r="AL4643" s="12"/>
      <c r="AM4643" s="12"/>
      <c r="AN4643" s="1"/>
      <c r="AO4643" s="6"/>
    </row>
    <row r="4644" spans="1:41" ht="15" x14ac:dyDescent="0.25">
      <c r="A4644" s="1"/>
      <c r="B4644" s="1"/>
      <c r="C4644" s="1"/>
      <c r="D4644" s="1"/>
      <c r="E4644" s="6"/>
      <c r="F4644" s="1"/>
      <c r="G4644" s="6"/>
      <c r="H4644" s="6"/>
      <c r="I4644" s="6"/>
      <c r="J4644" s="6"/>
      <c r="K4644" s="6"/>
      <c r="L4644" s="6"/>
      <c r="M4644" s="6"/>
      <c r="N4644" s="6"/>
      <c r="O4644" s="7"/>
      <c r="P4644" s="6"/>
      <c r="Q4644" s="6"/>
      <c r="R4644" s="12"/>
      <c r="S4644" s="12"/>
      <c r="T4644" s="12"/>
      <c r="U4644" s="7"/>
      <c r="V4644" s="6"/>
      <c r="W4644" s="6"/>
      <c r="X4644" s="12"/>
      <c r="Y4644" s="6"/>
      <c r="Z4644" s="6"/>
      <c r="AA4644" s="7"/>
      <c r="AB4644" s="6"/>
      <c r="AC4644" s="6"/>
      <c r="AD4644" s="6"/>
      <c r="AE4644" s="12"/>
      <c r="AF4644" s="6"/>
      <c r="AG4644" s="12"/>
      <c r="AH4644" s="6"/>
      <c r="AI4644" s="6"/>
      <c r="AJ4644" s="12"/>
      <c r="AK4644" s="1"/>
      <c r="AL4644" s="12"/>
      <c r="AM4644" s="12"/>
      <c r="AN4644" s="1"/>
      <c r="AO4644" s="6"/>
    </row>
    <row r="4645" spans="1:41" ht="15" x14ac:dyDescent="0.25">
      <c r="A4645" s="1"/>
      <c r="B4645" s="1"/>
      <c r="C4645" s="1"/>
      <c r="D4645" s="1"/>
      <c r="E4645" s="6"/>
      <c r="F4645" s="1"/>
      <c r="G4645" s="6"/>
      <c r="H4645" s="6"/>
      <c r="I4645" s="6"/>
      <c r="J4645" s="6"/>
      <c r="K4645" s="6"/>
      <c r="L4645" s="6"/>
      <c r="M4645" s="6"/>
      <c r="N4645" s="6"/>
      <c r="O4645" s="15"/>
      <c r="P4645" s="6"/>
      <c r="Q4645" s="6"/>
      <c r="R4645" s="7"/>
      <c r="S4645" s="6"/>
      <c r="T4645" s="6"/>
      <c r="U4645" s="7"/>
      <c r="V4645" s="6"/>
      <c r="W4645" s="6"/>
      <c r="X4645" s="6"/>
      <c r="Y4645" s="6"/>
      <c r="Z4645" s="6"/>
      <c r="AA4645" s="7"/>
      <c r="AB4645" s="6"/>
      <c r="AC4645" s="6"/>
      <c r="AD4645" s="6"/>
      <c r="AE4645" s="12"/>
      <c r="AF4645" s="12"/>
      <c r="AG4645" s="12"/>
      <c r="AH4645" s="12"/>
      <c r="AI4645" s="6"/>
      <c r="AJ4645" s="12"/>
      <c r="AK4645" s="1"/>
      <c r="AL4645" s="12"/>
      <c r="AM4645" s="12"/>
      <c r="AN4645" s="1"/>
      <c r="AO4645" s="6"/>
    </row>
    <row r="4646" spans="1:41" ht="15" x14ac:dyDescent="0.25">
      <c r="A4646" s="1"/>
      <c r="B4646" s="1"/>
      <c r="C4646" s="1"/>
      <c r="D4646" s="1"/>
      <c r="E4646" s="6"/>
      <c r="F4646" s="1"/>
      <c r="G4646" s="6"/>
      <c r="H4646" s="6"/>
      <c r="I4646" s="6"/>
      <c r="J4646" s="6"/>
      <c r="K4646" s="6"/>
      <c r="L4646" s="6"/>
      <c r="M4646" s="6"/>
      <c r="N4646" s="6"/>
      <c r="O4646" s="7"/>
      <c r="P4646" s="6"/>
      <c r="Q4646" s="6"/>
      <c r="R4646" s="7"/>
      <c r="S4646" s="6"/>
      <c r="T4646" s="6"/>
      <c r="U4646" s="7"/>
      <c r="V4646" s="6"/>
      <c r="W4646" s="6"/>
      <c r="X4646" s="12"/>
      <c r="Y4646" s="6"/>
      <c r="Z4646" s="6"/>
      <c r="AA4646" s="7"/>
      <c r="AB4646" s="6"/>
      <c r="AC4646" s="6"/>
      <c r="AD4646" s="6"/>
      <c r="AE4646" s="12"/>
      <c r="AF4646" s="6"/>
      <c r="AG4646" s="12"/>
      <c r="AH4646" s="6"/>
      <c r="AI4646" s="6"/>
      <c r="AJ4646" s="12"/>
      <c r="AK4646" s="24"/>
      <c r="AL4646" s="25"/>
      <c r="AM4646" s="12"/>
      <c r="AN4646" s="1"/>
      <c r="AO4646" s="6"/>
    </row>
    <row r="4647" spans="1:41" ht="15" x14ac:dyDescent="0.25">
      <c r="A4647" s="1"/>
      <c r="B4647" s="1"/>
      <c r="C4647" s="1"/>
      <c r="D4647" s="1"/>
      <c r="E4647" s="6"/>
      <c r="F4647" s="1"/>
      <c r="G4647" s="6"/>
      <c r="H4647" s="6"/>
      <c r="I4647" s="6"/>
      <c r="J4647" s="6"/>
      <c r="K4647" s="6"/>
      <c r="L4647" s="6"/>
      <c r="M4647" s="6"/>
      <c r="N4647" s="6"/>
      <c r="O4647" s="7"/>
      <c r="P4647" s="6"/>
      <c r="Q4647" s="6"/>
      <c r="R4647" s="7"/>
      <c r="S4647" s="6"/>
      <c r="T4647" s="6"/>
      <c r="U4647" s="7"/>
      <c r="V4647" s="6"/>
      <c r="W4647" s="6"/>
      <c r="X4647" s="12"/>
      <c r="Y4647" s="6"/>
      <c r="Z4647" s="6"/>
      <c r="AA4647" s="7"/>
      <c r="AB4647" s="6"/>
      <c r="AC4647" s="6"/>
      <c r="AD4647" s="6"/>
      <c r="AE4647" s="12"/>
      <c r="AF4647" s="6"/>
      <c r="AG4647" s="12"/>
      <c r="AH4647" s="6"/>
      <c r="AI4647" s="6"/>
      <c r="AJ4647" s="12"/>
      <c r="AK4647" s="24"/>
      <c r="AL4647" s="25"/>
      <c r="AM4647" s="12"/>
      <c r="AN4647" s="1"/>
      <c r="AO4647" s="6"/>
    </row>
    <row r="4648" spans="1:41" ht="15" x14ac:dyDescent="0.25">
      <c r="A4648" s="1"/>
      <c r="B4648" s="1"/>
      <c r="C4648" s="1"/>
      <c r="D4648" s="1"/>
      <c r="E4648" s="6"/>
      <c r="F4648" s="1"/>
      <c r="G4648" s="6"/>
      <c r="H4648" s="6"/>
      <c r="I4648" s="6"/>
      <c r="J4648" s="6"/>
      <c r="K4648" s="6"/>
      <c r="L4648" s="6"/>
      <c r="M4648" s="6"/>
      <c r="N4648" s="6"/>
      <c r="O4648" s="7"/>
      <c r="P4648" s="6"/>
      <c r="Q4648" s="6"/>
      <c r="R4648" s="7"/>
      <c r="S4648" s="6"/>
      <c r="T4648" s="6"/>
      <c r="U4648" s="7"/>
      <c r="V4648" s="6"/>
      <c r="W4648" s="6"/>
      <c r="X4648" s="6"/>
      <c r="Y4648" s="6"/>
      <c r="Z4648" s="6"/>
      <c r="AA4648" s="7"/>
      <c r="AB4648" s="6"/>
      <c r="AC4648" s="6"/>
      <c r="AD4648" s="6"/>
      <c r="AE4648" s="12"/>
      <c r="AF4648" s="6"/>
      <c r="AG4648" s="12"/>
      <c r="AH4648" s="6"/>
      <c r="AI4648" s="6"/>
      <c r="AJ4648" s="12"/>
      <c r="AK4648" s="24"/>
      <c r="AL4648" s="25"/>
      <c r="AM4648" s="12"/>
      <c r="AN4648" s="1"/>
      <c r="AO4648" s="6"/>
    </row>
    <row r="4649" spans="1:41" ht="15" x14ac:dyDescent="0.25">
      <c r="A4649" s="1"/>
      <c r="B4649" s="1"/>
      <c r="C4649" s="1"/>
      <c r="D4649" s="1"/>
      <c r="E4649" s="6"/>
      <c r="F4649" s="1"/>
      <c r="G4649" s="6"/>
      <c r="H4649" s="6"/>
      <c r="I4649" s="6"/>
      <c r="J4649" s="6"/>
      <c r="K4649" s="6"/>
      <c r="L4649" s="6"/>
      <c r="M4649" s="6"/>
      <c r="N4649" s="6"/>
      <c r="O4649" s="7"/>
      <c r="P4649" s="6"/>
      <c r="Q4649" s="6"/>
      <c r="R4649" s="7"/>
      <c r="S4649" s="6"/>
      <c r="T4649" s="6"/>
      <c r="U4649" s="7"/>
      <c r="V4649" s="6"/>
      <c r="W4649" s="6"/>
      <c r="X4649" s="6"/>
      <c r="Y4649" s="6"/>
      <c r="Z4649" s="6"/>
      <c r="AA4649" s="7"/>
      <c r="AB4649" s="6"/>
      <c r="AC4649" s="6"/>
      <c r="AD4649" s="6"/>
      <c r="AE4649" s="12"/>
      <c r="AF4649" s="6"/>
      <c r="AG4649" s="12"/>
      <c r="AH4649" s="6"/>
      <c r="AI4649" s="6"/>
      <c r="AJ4649" s="12"/>
      <c r="AK4649" s="24"/>
      <c r="AL4649" s="25"/>
      <c r="AM4649" s="12"/>
      <c r="AN4649" s="1"/>
      <c r="AO4649" s="6"/>
    </row>
    <row r="4650" spans="1:41" ht="15" x14ac:dyDescent="0.25">
      <c r="A4650" s="1"/>
      <c r="B4650" s="1"/>
      <c r="C4650" s="1"/>
      <c r="D4650" s="1"/>
      <c r="E4650" s="6"/>
      <c r="F4650" s="1"/>
      <c r="G4650" s="6"/>
      <c r="H4650" s="6"/>
      <c r="I4650" s="6"/>
      <c r="J4650" s="6"/>
      <c r="K4650" s="6"/>
      <c r="L4650" s="6"/>
      <c r="M4650" s="6"/>
      <c r="N4650" s="6"/>
      <c r="O4650" s="7"/>
      <c r="P4650" s="6"/>
      <c r="Q4650" s="6"/>
      <c r="R4650" s="7"/>
      <c r="S4650" s="6"/>
      <c r="T4650" s="6"/>
      <c r="U4650" s="7"/>
      <c r="V4650" s="6"/>
      <c r="W4650" s="6"/>
      <c r="X4650" s="6"/>
      <c r="Y4650" s="6"/>
      <c r="Z4650" s="6"/>
      <c r="AA4650" s="7"/>
      <c r="AB4650" s="6"/>
      <c r="AC4650" s="6"/>
      <c r="AD4650" s="6"/>
      <c r="AE4650" s="12"/>
      <c r="AF4650" s="6"/>
      <c r="AG4650" s="12"/>
      <c r="AH4650" s="6"/>
      <c r="AI4650" s="6"/>
      <c r="AJ4650" s="12"/>
      <c r="AK4650" s="1"/>
      <c r="AL4650" s="12"/>
      <c r="AM4650" s="12"/>
      <c r="AN4650" s="1"/>
      <c r="AO4650" s="6"/>
    </row>
    <row r="4651" spans="1:41" ht="15" x14ac:dyDescent="0.25">
      <c r="A4651" s="1"/>
      <c r="B4651" s="1"/>
      <c r="C4651" s="1"/>
      <c r="D4651" s="1"/>
      <c r="E4651" s="6"/>
      <c r="F4651" s="1"/>
      <c r="G4651" s="6"/>
      <c r="H4651" s="6"/>
      <c r="I4651" s="6"/>
      <c r="J4651" s="6"/>
      <c r="K4651" s="6"/>
      <c r="L4651" s="6"/>
      <c r="M4651" s="6"/>
      <c r="N4651" s="6"/>
      <c r="O4651" s="7"/>
      <c r="P4651" s="6"/>
      <c r="Q4651" s="6"/>
      <c r="R4651" s="7"/>
      <c r="S4651" s="6"/>
      <c r="T4651" s="6"/>
      <c r="U4651" s="7"/>
      <c r="V4651" s="6"/>
      <c r="W4651" s="6"/>
      <c r="X4651" s="6"/>
      <c r="Y4651" s="6"/>
      <c r="Z4651" s="6"/>
      <c r="AA4651" s="7"/>
      <c r="AB4651" s="6"/>
      <c r="AC4651" s="6"/>
      <c r="AD4651" s="6"/>
      <c r="AE4651" s="12"/>
      <c r="AF4651" s="6"/>
      <c r="AG4651" s="12"/>
      <c r="AH4651" s="6"/>
      <c r="AI4651" s="6"/>
      <c r="AJ4651" s="12"/>
      <c r="AK4651" s="1"/>
      <c r="AL4651" s="12"/>
      <c r="AM4651" s="12"/>
      <c r="AN4651" s="1"/>
      <c r="AO4651" s="6"/>
    </row>
    <row r="4652" spans="1:41" ht="15" x14ac:dyDescent="0.25">
      <c r="A4652" s="1"/>
      <c r="B4652" s="1"/>
      <c r="C4652" s="1"/>
      <c r="D4652" s="1"/>
      <c r="E4652" s="6"/>
      <c r="F4652" s="1"/>
      <c r="G4652" s="6"/>
      <c r="H4652" s="6"/>
      <c r="I4652" s="6"/>
      <c r="J4652" s="6"/>
      <c r="K4652" s="6"/>
      <c r="L4652" s="6"/>
      <c r="M4652" s="6"/>
      <c r="N4652" s="6"/>
      <c r="O4652" s="7"/>
      <c r="P4652" s="6"/>
      <c r="Q4652" s="6"/>
      <c r="R4652" s="7"/>
      <c r="S4652" s="6"/>
      <c r="T4652" s="6"/>
      <c r="U4652" s="7"/>
      <c r="V4652" s="6"/>
      <c r="W4652" s="6"/>
      <c r="X4652" s="12"/>
      <c r="Y4652" s="6"/>
      <c r="Z4652" s="6"/>
      <c r="AA4652" s="7"/>
      <c r="AB4652" s="6"/>
      <c r="AC4652" s="6"/>
      <c r="AD4652" s="6"/>
      <c r="AE4652" s="12"/>
      <c r="AF4652" s="6"/>
      <c r="AG4652" s="12"/>
      <c r="AH4652" s="6"/>
      <c r="AI4652" s="6"/>
      <c r="AJ4652" s="12"/>
      <c r="AK4652" s="24"/>
      <c r="AL4652" s="25"/>
      <c r="AM4652" s="12"/>
      <c r="AN4652" s="1"/>
      <c r="AO4652" s="6"/>
    </row>
    <row r="4653" spans="1:41" ht="15" x14ac:dyDescent="0.25">
      <c r="A4653" s="1"/>
      <c r="B4653" s="1"/>
      <c r="C4653" s="1"/>
      <c r="D4653" s="1"/>
      <c r="E4653" s="6"/>
      <c r="F4653" s="1"/>
      <c r="G4653" s="6"/>
      <c r="H4653" s="6"/>
      <c r="I4653" s="6"/>
      <c r="J4653" s="6"/>
      <c r="K4653" s="6"/>
      <c r="L4653" s="6"/>
      <c r="M4653" s="6"/>
      <c r="N4653" s="6"/>
      <c r="O4653" s="7"/>
      <c r="P4653" s="6"/>
      <c r="Q4653" s="6"/>
      <c r="R4653" s="7"/>
      <c r="S4653" s="6"/>
      <c r="T4653" s="6"/>
      <c r="U4653" s="7"/>
      <c r="V4653" s="6"/>
      <c r="W4653" s="6"/>
      <c r="X4653" s="12"/>
      <c r="Y4653" s="6"/>
      <c r="Z4653" s="6"/>
      <c r="AA4653" s="7"/>
      <c r="AB4653" s="6"/>
      <c r="AC4653" s="6"/>
      <c r="AD4653" s="6"/>
      <c r="AE4653" s="12"/>
      <c r="AF4653" s="6"/>
      <c r="AG4653" s="12"/>
      <c r="AH4653" s="6"/>
      <c r="AI4653" s="6"/>
      <c r="AJ4653" s="12"/>
      <c r="AK4653" s="24"/>
      <c r="AL4653" s="25"/>
      <c r="AM4653" s="12"/>
      <c r="AN4653" s="1"/>
      <c r="AO4653" s="6"/>
    </row>
    <row r="4654" spans="1:41" ht="15" x14ac:dyDescent="0.25">
      <c r="A4654" s="1"/>
      <c r="B4654" s="1"/>
      <c r="C4654" s="1"/>
      <c r="D4654" s="1"/>
      <c r="E4654" s="6"/>
      <c r="F4654" s="1"/>
      <c r="G4654" s="6"/>
      <c r="H4654" s="6"/>
      <c r="I4654" s="6"/>
      <c r="J4654" s="6"/>
      <c r="K4654" s="12"/>
      <c r="L4654" s="12"/>
      <c r="M4654" s="6"/>
      <c r="N4654" s="6"/>
      <c r="O4654" s="7"/>
      <c r="P4654" s="6"/>
      <c r="Q4654" s="6"/>
      <c r="R4654" s="7"/>
      <c r="S4654" s="6"/>
      <c r="T4654" s="6"/>
      <c r="U4654" s="7"/>
      <c r="V4654" s="6"/>
      <c r="W4654" s="6"/>
      <c r="X4654" s="12"/>
      <c r="Y4654" s="6"/>
      <c r="Z4654" s="6"/>
      <c r="AA4654" s="7"/>
      <c r="AB4654" s="6"/>
      <c r="AC4654" s="6"/>
      <c r="AD4654" s="6"/>
      <c r="AE4654" s="12"/>
      <c r="AF4654" s="12"/>
      <c r="AG4654" s="12"/>
      <c r="AH4654" s="12"/>
      <c r="AI4654" s="6"/>
      <c r="AJ4654" s="12"/>
      <c r="AK4654" s="24"/>
      <c r="AL4654" s="25"/>
      <c r="AM4654" s="12"/>
      <c r="AN4654" s="1"/>
      <c r="AO4654" s="6"/>
    </row>
    <row r="4655" spans="1:41" ht="15" x14ac:dyDescent="0.25">
      <c r="A4655" s="1"/>
      <c r="B4655" s="1"/>
      <c r="C4655" s="1"/>
      <c r="D4655" s="1"/>
      <c r="E4655" s="6"/>
      <c r="F4655" s="1"/>
      <c r="G4655" s="6"/>
      <c r="H4655" s="6"/>
      <c r="I4655" s="6"/>
      <c r="J4655" s="6"/>
      <c r="K4655" s="12"/>
      <c r="L4655" s="12"/>
      <c r="M4655" s="6"/>
      <c r="N4655" s="6"/>
      <c r="O4655" s="7"/>
      <c r="P4655" s="6"/>
      <c r="Q4655" s="6"/>
      <c r="R4655" s="7"/>
      <c r="S4655" s="6"/>
      <c r="T4655" s="6"/>
      <c r="U4655" s="7"/>
      <c r="V4655" s="6"/>
      <c r="W4655" s="6"/>
      <c r="X4655" s="12"/>
      <c r="Y4655" s="6"/>
      <c r="Z4655" s="6"/>
      <c r="AA4655" s="7"/>
      <c r="AB4655" s="6"/>
      <c r="AC4655" s="6"/>
      <c r="AD4655" s="6"/>
      <c r="AE4655" s="12"/>
      <c r="AF4655" s="12"/>
      <c r="AG4655" s="12"/>
      <c r="AH4655" s="12"/>
      <c r="AI4655" s="6"/>
      <c r="AJ4655" s="12"/>
      <c r="AK4655" s="24"/>
      <c r="AL4655" s="25"/>
      <c r="AM4655" s="12"/>
      <c r="AN4655" s="1"/>
      <c r="AO4655" s="6"/>
    </row>
    <row r="4656" spans="1:41" ht="15" x14ac:dyDescent="0.25">
      <c r="A4656" s="1"/>
      <c r="B4656" s="1"/>
      <c r="C4656" s="1"/>
      <c r="D4656" s="1"/>
      <c r="E4656" s="6"/>
      <c r="F4656" s="1"/>
      <c r="G4656" s="6"/>
      <c r="H4656" s="6"/>
      <c r="I4656" s="6"/>
      <c r="J4656" s="6"/>
      <c r="K4656" s="6"/>
      <c r="L4656" s="6"/>
      <c r="M4656" s="6"/>
      <c r="N4656" s="6"/>
      <c r="O4656" s="7"/>
      <c r="P4656" s="6"/>
      <c r="Q4656" s="6"/>
      <c r="R4656" s="7"/>
      <c r="S4656" s="6"/>
      <c r="T4656" s="6"/>
      <c r="U4656" s="7"/>
      <c r="V4656" s="6"/>
      <c r="W4656" s="6"/>
      <c r="X4656" s="6"/>
      <c r="Y4656" s="6"/>
      <c r="Z4656" s="6"/>
      <c r="AA4656" s="7"/>
      <c r="AB4656" s="6"/>
      <c r="AC4656" s="6"/>
      <c r="AD4656" s="6"/>
      <c r="AE4656" s="12"/>
      <c r="AF4656" s="12"/>
      <c r="AG4656" s="12"/>
      <c r="AH4656" s="12"/>
      <c r="AI4656" s="6"/>
      <c r="AJ4656" s="12"/>
      <c r="AK4656" s="1"/>
      <c r="AL4656" s="12"/>
      <c r="AM4656" s="12"/>
      <c r="AN4656" s="1"/>
      <c r="AO4656" s="6"/>
    </row>
    <row r="4657" spans="1:41" ht="15" x14ac:dyDescent="0.25">
      <c r="A4657" s="1"/>
      <c r="B4657" s="1"/>
      <c r="C4657" s="1"/>
      <c r="D4657" s="1"/>
      <c r="E4657" s="6"/>
      <c r="F4657" s="1"/>
      <c r="G4657" s="6"/>
      <c r="H4657" s="6"/>
      <c r="I4657" s="6"/>
      <c r="J4657" s="6"/>
      <c r="K4657" s="6"/>
      <c r="L4657" s="6"/>
      <c r="M4657" s="6"/>
      <c r="N4657" s="6"/>
      <c r="O4657" s="7"/>
      <c r="P4657" s="6"/>
      <c r="Q4657" s="7"/>
      <c r="R4657" s="6"/>
      <c r="S4657" s="6"/>
      <c r="T4657" s="6"/>
      <c r="U4657" s="6"/>
      <c r="V4657" s="7"/>
      <c r="W4657" s="7"/>
      <c r="X4657" s="6"/>
      <c r="Y4657" s="6"/>
      <c r="Z4657" s="6"/>
      <c r="AA4657" s="1"/>
      <c r="AB4657" s="12"/>
      <c r="AC4657" s="12"/>
      <c r="AD4657" s="12"/>
      <c r="AE4657" s="12"/>
      <c r="AF4657" s="12"/>
      <c r="AG4657" s="12"/>
      <c r="AH4657" s="12"/>
      <c r="AI4657" s="6"/>
      <c r="AJ4657" s="12"/>
      <c r="AK4657" s="12"/>
      <c r="AL4657" s="12"/>
      <c r="AM4657" s="12"/>
      <c r="AN4657" s="1"/>
      <c r="AO4657" s="6"/>
    </row>
    <row r="4658" spans="1:41" ht="15" x14ac:dyDescent="0.25">
      <c r="A4658" s="1"/>
      <c r="B4658" s="1"/>
      <c r="C4658" s="1"/>
      <c r="D4658" s="1"/>
      <c r="E4658" s="6"/>
      <c r="F4658" s="1"/>
      <c r="G4658" s="6"/>
      <c r="H4658" s="6"/>
      <c r="I4658" s="6"/>
      <c r="J4658" s="6"/>
      <c r="K4658" s="6"/>
      <c r="L4658" s="6"/>
      <c r="M4658" s="6"/>
      <c r="N4658" s="6"/>
      <c r="O4658" s="7"/>
      <c r="P4658" s="6"/>
      <c r="Q4658" s="6"/>
      <c r="R4658" s="7"/>
      <c r="S4658" s="6"/>
      <c r="T4658" s="6"/>
      <c r="U4658" s="7"/>
      <c r="V4658" s="6"/>
      <c r="W4658" s="6"/>
      <c r="X4658" s="12"/>
      <c r="Y4658" s="6"/>
      <c r="Z4658" s="6"/>
      <c r="AA4658" s="7"/>
      <c r="AB4658" s="6"/>
      <c r="AC4658" s="6"/>
      <c r="AD4658" s="6"/>
      <c r="AE4658" s="12"/>
      <c r="AF4658" s="12"/>
      <c r="AG4658" s="12"/>
      <c r="AH4658" s="12"/>
      <c r="AI4658" s="6"/>
      <c r="AJ4658" s="12"/>
      <c r="AK4658" s="24"/>
      <c r="AL4658" s="25"/>
      <c r="AM4658" s="12"/>
      <c r="AN4658" s="1"/>
      <c r="AO4658" s="6"/>
    </row>
    <row r="4659" spans="1:41" ht="15" x14ac:dyDescent="0.25">
      <c r="A4659" s="1"/>
      <c r="B4659" s="1"/>
      <c r="C4659" s="1"/>
      <c r="D4659" s="1"/>
      <c r="E4659" s="6"/>
      <c r="F4659" s="1"/>
      <c r="G4659" s="6"/>
      <c r="H4659" s="6"/>
      <c r="I4659" s="6"/>
      <c r="J4659" s="6"/>
      <c r="K4659" s="6"/>
      <c r="L4659" s="6"/>
      <c r="M4659" s="6"/>
      <c r="N4659" s="6"/>
      <c r="O4659" s="7"/>
      <c r="P4659" s="6"/>
      <c r="Q4659" s="6"/>
      <c r="R4659" s="7"/>
      <c r="S4659" s="6"/>
      <c r="T4659" s="6"/>
      <c r="U4659" s="7"/>
      <c r="V4659" s="6"/>
      <c r="W4659" s="6"/>
      <c r="X4659" s="12"/>
      <c r="Y4659" s="6"/>
      <c r="Z4659" s="6"/>
      <c r="AA4659" s="7"/>
      <c r="AB4659" s="6"/>
      <c r="AC4659" s="6"/>
      <c r="AD4659" s="6"/>
      <c r="AE4659" s="12"/>
      <c r="AF4659" s="12"/>
      <c r="AG4659" s="12"/>
      <c r="AH4659" s="12"/>
      <c r="AI4659" s="6"/>
      <c r="AJ4659" s="12"/>
      <c r="AK4659" s="24"/>
      <c r="AL4659" s="25"/>
      <c r="AM4659" s="12"/>
      <c r="AN4659" s="1"/>
      <c r="AO4659" s="6"/>
    </row>
    <row r="4660" spans="1:41" ht="15" x14ac:dyDescent="0.25">
      <c r="A4660" s="1"/>
      <c r="B4660" s="1"/>
      <c r="C4660" s="1"/>
      <c r="D4660" s="1"/>
      <c r="E4660" s="6"/>
      <c r="F4660" s="1"/>
      <c r="G4660" s="6"/>
      <c r="H4660" s="6"/>
      <c r="I4660" s="6"/>
      <c r="J4660" s="6"/>
      <c r="K4660" s="6"/>
      <c r="L4660" s="6"/>
      <c r="M4660" s="6"/>
      <c r="N4660" s="6"/>
      <c r="O4660" s="7"/>
      <c r="P4660" s="6"/>
      <c r="Q4660" s="6"/>
      <c r="R4660" s="7"/>
      <c r="S4660" s="6"/>
      <c r="T4660" s="6"/>
      <c r="U4660" s="7"/>
      <c r="V4660" s="6"/>
      <c r="W4660" s="6"/>
      <c r="X4660" s="6"/>
      <c r="Y4660" s="6"/>
      <c r="Z4660" s="6"/>
      <c r="AA4660" s="7"/>
      <c r="AB4660" s="6"/>
      <c r="AC4660" s="6"/>
      <c r="AD4660" s="6"/>
      <c r="AE4660" s="12"/>
      <c r="AF4660" s="6"/>
      <c r="AG4660" s="12"/>
      <c r="AH4660" s="6"/>
      <c r="AI4660" s="6"/>
      <c r="AJ4660" s="12"/>
      <c r="AK4660" s="1"/>
      <c r="AL4660" s="12"/>
      <c r="AM4660" s="12"/>
      <c r="AN4660" s="1"/>
      <c r="AO4660" s="6"/>
    </row>
    <row r="4661" spans="1:41" ht="15" x14ac:dyDescent="0.25">
      <c r="A4661" s="1"/>
      <c r="B4661" s="1"/>
      <c r="C4661" s="1"/>
      <c r="D4661" s="1"/>
      <c r="E4661" s="6"/>
      <c r="F4661" s="1"/>
      <c r="G4661" s="6"/>
      <c r="H4661" s="6"/>
      <c r="I4661" s="6"/>
      <c r="J4661" s="6"/>
      <c r="K4661" s="6"/>
      <c r="L4661" s="6"/>
      <c r="M4661" s="6"/>
      <c r="N4661" s="6"/>
      <c r="O4661" s="7"/>
      <c r="P4661" s="6"/>
      <c r="Q4661" s="6"/>
      <c r="R4661" s="7"/>
      <c r="S4661" s="6"/>
      <c r="T4661" s="6"/>
      <c r="U4661" s="7"/>
      <c r="V4661" s="6"/>
      <c r="W4661" s="6"/>
      <c r="X4661" s="6"/>
      <c r="Y4661" s="6"/>
      <c r="Z4661" s="6"/>
      <c r="AA4661" s="7"/>
      <c r="AB4661" s="6"/>
      <c r="AC4661" s="6"/>
      <c r="AD4661" s="6"/>
      <c r="AE4661" s="12"/>
      <c r="AF4661" s="6"/>
      <c r="AG4661" s="12"/>
      <c r="AH4661" s="6"/>
      <c r="AI4661" s="6"/>
      <c r="AJ4661" s="12"/>
      <c r="AK4661" s="1"/>
      <c r="AL4661" s="12"/>
      <c r="AM4661" s="12"/>
      <c r="AN4661" s="1"/>
      <c r="AO4661" s="6"/>
    </row>
    <row r="4662" spans="1:41" ht="15" x14ac:dyDescent="0.25">
      <c r="A4662" s="1"/>
      <c r="B4662" s="1"/>
      <c r="C4662" s="1"/>
      <c r="D4662" s="1"/>
      <c r="E4662" s="6"/>
      <c r="F4662" s="1"/>
      <c r="G4662" s="6"/>
      <c r="H4662" s="6"/>
      <c r="I4662" s="6"/>
      <c r="J4662" s="6"/>
      <c r="K4662" s="6"/>
      <c r="L4662" s="6"/>
      <c r="M4662" s="6"/>
      <c r="N4662" s="6"/>
      <c r="O4662" s="7"/>
      <c r="P4662" s="12"/>
      <c r="Q4662" s="6"/>
      <c r="R4662" s="7"/>
      <c r="S4662" s="6"/>
      <c r="T4662" s="6"/>
      <c r="U4662" s="7"/>
      <c r="V4662" s="6"/>
      <c r="W4662" s="6"/>
      <c r="X4662" s="6"/>
      <c r="Y4662" s="6"/>
      <c r="Z4662" s="6"/>
      <c r="AA4662" s="15"/>
      <c r="AB4662" s="6"/>
      <c r="AC4662" s="6"/>
      <c r="AD4662" s="6"/>
      <c r="AE4662" s="12"/>
      <c r="AF4662" s="6"/>
      <c r="AG4662" s="12"/>
      <c r="AH4662" s="6"/>
      <c r="AI4662" s="6"/>
      <c r="AJ4662" s="12"/>
      <c r="AK4662" s="24"/>
      <c r="AL4662" s="25"/>
      <c r="AM4662" s="12"/>
      <c r="AN4662" s="1"/>
      <c r="AO4662" s="6"/>
    </row>
    <row r="4663" spans="1:41" ht="15" x14ac:dyDescent="0.25">
      <c r="A4663" s="1"/>
      <c r="B4663" s="1"/>
      <c r="C4663" s="1"/>
      <c r="D4663" s="1"/>
      <c r="E4663" s="6"/>
      <c r="F4663" s="1"/>
      <c r="G4663" s="6"/>
      <c r="H4663" s="6"/>
      <c r="I4663" s="6"/>
      <c r="J4663" s="6"/>
      <c r="K4663" s="6"/>
      <c r="L4663" s="6"/>
      <c r="M4663" s="6"/>
      <c r="N4663" s="6"/>
      <c r="O4663" s="7"/>
      <c r="P4663" s="12"/>
      <c r="Q4663" s="6"/>
      <c r="R4663" s="7"/>
      <c r="S4663" s="6"/>
      <c r="T4663" s="6"/>
      <c r="U4663" s="7"/>
      <c r="V4663" s="6"/>
      <c r="W4663" s="6"/>
      <c r="X4663" s="6"/>
      <c r="Y4663" s="6"/>
      <c r="Z4663" s="6"/>
      <c r="AA4663" s="15"/>
      <c r="AB4663" s="6"/>
      <c r="AC4663" s="6"/>
      <c r="AD4663" s="6"/>
      <c r="AE4663" s="12"/>
      <c r="AF4663" s="6"/>
      <c r="AG4663" s="12"/>
      <c r="AH4663" s="6"/>
      <c r="AI4663" s="6"/>
      <c r="AJ4663" s="12"/>
      <c r="AK4663" s="24"/>
      <c r="AL4663" s="25"/>
      <c r="AM4663" s="12"/>
      <c r="AN4663" s="1"/>
      <c r="AO4663" s="6"/>
    </row>
    <row r="4664" spans="1:41" ht="15" x14ac:dyDescent="0.25">
      <c r="A4664" s="1"/>
      <c r="B4664" s="1"/>
      <c r="C4664" s="1"/>
      <c r="D4664" s="1"/>
      <c r="E4664" s="6"/>
      <c r="F4664" s="1"/>
      <c r="G4664" s="6"/>
      <c r="H4664" s="6"/>
      <c r="I4664" s="6"/>
      <c r="J4664" s="6"/>
      <c r="K4664" s="6"/>
      <c r="L4664" s="6"/>
      <c r="M4664" s="6"/>
      <c r="N4664" s="6"/>
      <c r="O4664" s="7"/>
      <c r="P4664" s="6"/>
      <c r="Q4664" s="6"/>
      <c r="R4664" s="7"/>
      <c r="S4664" s="6"/>
      <c r="T4664" s="6"/>
      <c r="U4664" s="7"/>
      <c r="V4664" s="6"/>
      <c r="W4664" s="6"/>
      <c r="X4664" s="6"/>
      <c r="Y4664" s="6"/>
      <c r="Z4664" s="6"/>
      <c r="AA4664" s="7"/>
      <c r="AB4664" s="6"/>
      <c r="AC4664" s="6"/>
      <c r="AD4664" s="6"/>
      <c r="AE4664" s="12"/>
      <c r="AF4664" s="6"/>
      <c r="AG4664" s="12"/>
      <c r="AH4664" s="6"/>
      <c r="AI4664" s="6"/>
      <c r="AJ4664" s="12"/>
      <c r="AK4664" s="1"/>
      <c r="AL4664" s="12"/>
      <c r="AM4664" s="12"/>
      <c r="AN4664" s="1"/>
      <c r="AO4664" s="6"/>
    </row>
    <row r="4665" spans="1:41" ht="15" x14ac:dyDescent="0.25">
      <c r="A4665" s="1"/>
      <c r="B4665" s="1"/>
      <c r="C4665" s="1"/>
      <c r="D4665" s="1"/>
      <c r="E4665" s="6"/>
      <c r="F4665" s="1"/>
      <c r="G4665" s="6"/>
      <c r="H4665" s="6"/>
      <c r="I4665" s="6"/>
      <c r="J4665" s="6"/>
      <c r="K4665" s="6"/>
      <c r="L4665" s="6"/>
      <c r="M4665" s="6"/>
      <c r="N4665" s="6"/>
      <c r="O4665" s="7"/>
      <c r="P4665" s="6"/>
      <c r="Q4665" s="6"/>
      <c r="R4665" s="7"/>
      <c r="S4665" s="6"/>
      <c r="T4665" s="6"/>
      <c r="U4665" s="7"/>
      <c r="V4665" s="6"/>
      <c r="W4665" s="6"/>
      <c r="X4665" s="6"/>
      <c r="Y4665" s="6"/>
      <c r="Z4665" s="6"/>
      <c r="AA4665" s="7"/>
      <c r="AB4665" s="6"/>
      <c r="AC4665" s="6"/>
      <c r="AD4665" s="6"/>
      <c r="AE4665" s="12"/>
      <c r="AF4665" s="6"/>
      <c r="AG4665" s="12"/>
      <c r="AH4665" s="6"/>
      <c r="AI4665" s="6"/>
      <c r="AJ4665" s="12"/>
      <c r="AK4665" s="1"/>
      <c r="AL4665" s="12"/>
      <c r="AM4665" s="12"/>
      <c r="AN4665" s="1"/>
      <c r="AO4665" s="6"/>
    </row>
    <row r="4666" spans="1:41" ht="15" x14ac:dyDescent="0.25">
      <c r="A4666" s="1"/>
      <c r="B4666" s="1"/>
      <c r="C4666" s="1"/>
      <c r="D4666" s="1"/>
      <c r="E4666" s="6"/>
      <c r="F4666" s="1"/>
      <c r="G4666" s="6"/>
      <c r="H4666" s="6"/>
      <c r="I4666" s="6"/>
      <c r="J4666" s="6"/>
      <c r="K4666" s="6"/>
      <c r="L4666" s="6"/>
      <c r="M4666" s="6"/>
      <c r="N4666" s="6"/>
      <c r="O4666" s="7"/>
      <c r="P4666" s="6"/>
      <c r="Q4666" s="6"/>
      <c r="R4666" s="7"/>
      <c r="S4666" s="6"/>
      <c r="T4666" s="6"/>
      <c r="U4666" s="7"/>
      <c r="V4666" s="6"/>
      <c r="W4666" s="6"/>
      <c r="X4666" s="12"/>
      <c r="Y4666" s="6"/>
      <c r="Z4666" s="6"/>
      <c r="AA4666" s="7"/>
      <c r="AB4666" s="6"/>
      <c r="AC4666" s="6"/>
      <c r="AD4666" s="6"/>
      <c r="AE4666" s="12"/>
      <c r="AF4666" s="12"/>
      <c r="AG4666" s="12"/>
      <c r="AH4666" s="12"/>
      <c r="AI4666" s="6"/>
      <c r="AJ4666" s="12"/>
      <c r="AK4666" s="1"/>
      <c r="AL4666" s="12"/>
      <c r="AM4666" s="12"/>
      <c r="AN4666" s="1"/>
      <c r="AO4666" s="6"/>
    </row>
    <row r="4667" spans="1:41" ht="15" x14ac:dyDescent="0.25">
      <c r="A4667" s="1"/>
      <c r="B4667" s="1"/>
      <c r="C4667" s="1"/>
      <c r="D4667" s="1"/>
      <c r="E4667" s="6"/>
      <c r="F4667" s="1"/>
      <c r="G4667" s="6"/>
      <c r="H4667" s="6"/>
      <c r="I4667" s="6"/>
      <c r="J4667" s="6"/>
      <c r="K4667" s="6"/>
      <c r="L4667" s="6"/>
      <c r="M4667" s="6"/>
      <c r="N4667" s="6"/>
      <c r="O4667" s="7"/>
      <c r="P4667" s="6"/>
      <c r="Q4667" s="6"/>
      <c r="R4667" s="7"/>
      <c r="S4667" s="6"/>
      <c r="T4667" s="6"/>
      <c r="U4667" s="7"/>
      <c r="V4667" s="6"/>
      <c r="W4667" s="6"/>
      <c r="X4667" s="12"/>
      <c r="Y4667" s="6"/>
      <c r="Z4667" s="6"/>
      <c r="AA4667" s="7"/>
      <c r="AB4667" s="6"/>
      <c r="AC4667" s="6"/>
      <c r="AD4667" s="6"/>
      <c r="AE4667" s="12"/>
      <c r="AF4667" s="12"/>
      <c r="AG4667" s="12"/>
      <c r="AH4667" s="12"/>
      <c r="AI4667" s="6"/>
      <c r="AJ4667" s="12"/>
      <c r="AK4667" s="1"/>
      <c r="AL4667" s="12"/>
      <c r="AM4667" s="12"/>
      <c r="AN4667" s="1"/>
      <c r="AO4667" s="6"/>
    </row>
    <row r="4668" spans="1:41" ht="15" x14ac:dyDescent="0.25">
      <c r="A4668" s="1"/>
      <c r="B4668" s="1"/>
      <c r="C4668" s="1"/>
      <c r="D4668" s="1"/>
      <c r="E4668" s="6"/>
      <c r="F4668" s="1"/>
      <c r="G4668" s="6"/>
      <c r="H4668" s="6"/>
      <c r="I4668" s="6"/>
      <c r="J4668" s="6"/>
      <c r="K4668" s="6"/>
      <c r="L4668" s="6"/>
      <c r="M4668" s="6"/>
      <c r="N4668" s="6"/>
      <c r="O4668" s="7"/>
      <c r="P4668" s="6"/>
      <c r="Q4668" s="6"/>
      <c r="R4668" s="7"/>
      <c r="S4668" s="6"/>
      <c r="T4668" s="6"/>
      <c r="U4668" s="7"/>
      <c r="V4668" s="6"/>
      <c r="W4668" s="6"/>
      <c r="X4668" s="12"/>
      <c r="Y4668" s="6"/>
      <c r="Z4668" s="6"/>
      <c r="AA4668" s="7"/>
      <c r="AB4668" s="6"/>
      <c r="AC4668" s="6"/>
      <c r="AD4668" s="6"/>
      <c r="AE4668" s="12"/>
      <c r="AF4668" s="6"/>
      <c r="AG4668" s="12"/>
      <c r="AH4668" s="6"/>
      <c r="AI4668" s="6"/>
      <c r="AJ4668" s="12"/>
      <c r="AK4668" s="1"/>
      <c r="AL4668" s="12"/>
      <c r="AM4668" s="12"/>
      <c r="AN4668" s="1"/>
      <c r="AO4668" s="6"/>
    </row>
    <row r="4669" spans="1:41" ht="15" x14ac:dyDescent="0.25">
      <c r="A4669" s="1"/>
      <c r="B4669" s="1"/>
      <c r="C4669" s="1"/>
      <c r="D4669" s="1"/>
      <c r="E4669" s="6"/>
      <c r="F4669" s="1"/>
      <c r="G4669" s="6"/>
      <c r="H4669" s="6"/>
      <c r="I4669" s="6"/>
      <c r="J4669" s="6"/>
      <c r="K4669" s="6"/>
      <c r="L4669" s="6"/>
      <c r="M4669" s="6"/>
      <c r="N4669" s="6"/>
      <c r="O4669" s="7"/>
      <c r="P4669" s="6"/>
      <c r="Q4669" s="6"/>
      <c r="R4669" s="7"/>
      <c r="S4669" s="6"/>
      <c r="T4669" s="6"/>
      <c r="U4669" s="7"/>
      <c r="V4669" s="6"/>
      <c r="W4669" s="6"/>
      <c r="X4669" s="12"/>
      <c r="Y4669" s="6"/>
      <c r="Z4669" s="6"/>
      <c r="AA4669" s="7"/>
      <c r="AB4669" s="6"/>
      <c r="AC4669" s="6"/>
      <c r="AD4669" s="6"/>
      <c r="AE4669" s="12"/>
      <c r="AF4669" s="6"/>
      <c r="AG4669" s="12"/>
      <c r="AH4669" s="6"/>
      <c r="AI4669" s="6"/>
      <c r="AJ4669" s="12"/>
      <c r="AK4669" s="1"/>
      <c r="AL4669" s="12"/>
      <c r="AM4669" s="12"/>
      <c r="AN4669" s="1"/>
      <c r="AO4669" s="6"/>
    </row>
    <row r="4670" spans="1:41" ht="15" x14ac:dyDescent="0.25">
      <c r="A4670" s="1"/>
      <c r="B4670" s="1"/>
      <c r="C4670" s="1"/>
      <c r="D4670" s="1"/>
      <c r="E4670" s="6"/>
      <c r="F4670" s="1"/>
      <c r="G4670" s="6"/>
      <c r="H4670" s="6"/>
      <c r="I4670" s="6"/>
      <c r="J4670" s="6"/>
      <c r="K4670" s="6"/>
      <c r="L4670" s="6"/>
      <c r="M4670" s="6"/>
      <c r="N4670" s="6"/>
      <c r="O4670" s="7"/>
      <c r="P4670" s="6"/>
      <c r="Q4670" s="7"/>
      <c r="R4670" s="6"/>
      <c r="S4670" s="6"/>
      <c r="T4670" s="6"/>
      <c r="U4670" s="6"/>
      <c r="V4670" s="7"/>
      <c r="W4670" s="7"/>
      <c r="X4670" s="6"/>
      <c r="Y4670" s="6"/>
      <c r="Z4670" s="6"/>
      <c r="AA4670" s="1"/>
      <c r="AB4670" s="12"/>
      <c r="AC4670" s="12"/>
      <c r="AD4670" s="12"/>
      <c r="AE4670" s="12"/>
      <c r="AF4670" s="12"/>
      <c r="AG4670" s="12"/>
      <c r="AH4670" s="12"/>
      <c r="AI4670" s="6"/>
      <c r="AJ4670" s="12"/>
      <c r="AK4670" s="12"/>
      <c r="AL4670" s="12"/>
      <c r="AM4670" s="12"/>
      <c r="AN4670" s="1"/>
      <c r="AO4670" s="6"/>
    </row>
    <row r="4671" spans="1:41" ht="15" x14ac:dyDescent="0.25">
      <c r="A4671" s="1"/>
      <c r="B4671" s="1"/>
      <c r="C4671" s="1"/>
      <c r="D4671" s="1"/>
      <c r="E4671" s="6"/>
      <c r="F4671" s="1"/>
      <c r="G4671" s="6"/>
      <c r="H4671" s="6"/>
      <c r="I4671" s="6"/>
      <c r="J4671" s="6"/>
      <c r="K4671" s="6"/>
      <c r="L4671" s="6"/>
      <c r="M4671" s="6"/>
      <c r="N4671" s="6"/>
      <c r="O4671" s="7"/>
      <c r="P4671" s="6"/>
      <c r="Q4671" s="6"/>
      <c r="R4671" s="7"/>
      <c r="S4671" s="6"/>
      <c r="T4671" s="6"/>
      <c r="U4671" s="7"/>
      <c r="V4671" s="6"/>
      <c r="W4671" s="6"/>
      <c r="X4671" s="6"/>
      <c r="Y4671" s="6"/>
      <c r="Z4671" s="6"/>
      <c r="AA4671" s="7"/>
      <c r="AB4671" s="6"/>
      <c r="AC4671" s="6"/>
      <c r="AD4671" s="6"/>
      <c r="AE4671" s="12"/>
      <c r="AF4671" s="6"/>
      <c r="AG4671" s="12"/>
      <c r="AH4671" s="6"/>
      <c r="AI4671" s="6"/>
      <c r="AJ4671" s="12"/>
      <c r="AK4671" s="1"/>
      <c r="AL4671" s="12"/>
      <c r="AM4671" s="12"/>
      <c r="AN4671" s="1"/>
      <c r="AO4671" s="6"/>
    </row>
    <row r="4672" spans="1:41" ht="15" x14ac:dyDescent="0.25">
      <c r="A4672" s="1"/>
      <c r="B4672" s="1"/>
      <c r="C4672" s="1"/>
      <c r="D4672" s="1"/>
      <c r="E4672" s="6"/>
      <c r="F4672" s="1"/>
      <c r="G4672" s="6"/>
      <c r="H4672" s="6"/>
      <c r="I4672" s="6"/>
      <c r="J4672" s="6"/>
      <c r="K4672" s="6"/>
      <c r="L4672" s="6"/>
      <c r="M4672" s="6"/>
      <c r="N4672" s="6"/>
      <c r="O4672" s="7"/>
      <c r="P4672" s="6"/>
      <c r="Q4672" s="6"/>
      <c r="R4672" s="7"/>
      <c r="S4672" s="6"/>
      <c r="T4672" s="6"/>
      <c r="U4672" s="7"/>
      <c r="V4672" s="6"/>
      <c r="W4672" s="6"/>
      <c r="X4672" s="6"/>
      <c r="Y4672" s="6"/>
      <c r="Z4672" s="6"/>
      <c r="AA4672" s="7"/>
      <c r="AB4672" s="6"/>
      <c r="AC4672" s="6"/>
      <c r="AD4672" s="6"/>
      <c r="AE4672" s="12"/>
      <c r="AF4672" s="6"/>
      <c r="AG4672" s="12"/>
      <c r="AH4672" s="6"/>
      <c r="AI4672" s="6"/>
      <c r="AJ4672" s="12"/>
      <c r="AK4672" s="1"/>
      <c r="AL4672" s="12"/>
      <c r="AM4672" s="12"/>
      <c r="AN4672" s="1"/>
      <c r="AO4672" s="6"/>
    </row>
    <row r="4673" spans="1:41" ht="15" x14ac:dyDescent="0.25">
      <c r="A4673" s="1"/>
      <c r="B4673" s="1"/>
      <c r="C4673" s="1"/>
      <c r="D4673" s="1"/>
      <c r="E4673" s="6"/>
      <c r="F4673" s="1"/>
      <c r="G4673" s="6"/>
      <c r="H4673" s="6"/>
      <c r="I4673" s="6"/>
      <c r="J4673" s="6"/>
      <c r="K4673" s="6"/>
      <c r="L4673" s="6"/>
      <c r="M4673" s="6"/>
      <c r="N4673" s="6"/>
      <c r="O4673" s="7"/>
      <c r="P4673" s="12"/>
      <c r="Q4673" s="6"/>
      <c r="R4673" s="7"/>
      <c r="S4673" s="6"/>
      <c r="T4673" s="6"/>
      <c r="U4673" s="7"/>
      <c r="V4673" s="6"/>
      <c r="W4673" s="6"/>
      <c r="X4673" s="6"/>
      <c r="Y4673" s="6"/>
      <c r="Z4673" s="6"/>
      <c r="AA4673" s="7"/>
      <c r="AB4673" s="6"/>
      <c r="AC4673" s="6"/>
      <c r="AD4673" s="6"/>
      <c r="AE4673" s="12"/>
      <c r="AF4673" s="12"/>
      <c r="AG4673" s="12"/>
      <c r="AH4673" s="12"/>
      <c r="AI4673" s="6"/>
      <c r="AJ4673" s="12"/>
      <c r="AK4673" s="1"/>
      <c r="AL4673" s="12"/>
      <c r="AM4673" s="12"/>
      <c r="AN4673" s="1"/>
      <c r="AO4673" s="6"/>
    </row>
    <row r="4674" spans="1:41" ht="15" x14ac:dyDescent="0.25">
      <c r="A4674" s="1"/>
      <c r="B4674" s="1"/>
      <c r="C4674" s="1"/>
      <c r="D4674" s="1"/>
      <c r="E4674" s="6"/>
      <c r="F4674" s="1"/>
      <c r="G4674" s="6"/>
      <c r="H4674" s="6"/>
      <c r="I4674" s="6"/>
      <c r="J4674" s="6"/>
      <c r="K4674" s="6"/>
      <c r="L4674" s="6"/>
      <c r="M4674" s="6"/>
      <c r="N4674" s="6"/>
      <c r="O4674" s="7"/>
      <c r="P4674" s="6"/>
      <c r="Q4674" s="6"/>
      <c r="R4674" s="7"/>
      <c r="S4674" s="6"/>
      <c r="T4674" s="6"/>
      <c r="U4674" s="7"/>
      <c r="V4674" s="6"/>
      <c r="W4674" s="6"/>
      <c r="X4674" s="12"/>
      <c r="Y4674" s="6"/>
      <c r="Z4674" s="6"/>
      <c r="AA4674" s="7"/>
      <c r="AB4674" s="6"/>
      <c r="AC4674" s="6"/>
      <c r="AD4674" s="6"/>
      <c r="AE4674" s="12"/>
      <c r="AF4674" s="6"/>
      <c r="AG4674" s="12"/>
      <c r="AH4674" s="6"/>
      <c r="AI4674" s="6"/>
      <c r="AJ4674" s="12"/>
      <c r="AK4674" s="24"/>
      <c r="AL4674" s="25"/>
      <c r="AM4674" s="12"/>
      <c r="AN4674" s="1"/>
      <c r="AO4674" s="6"/>
    </row>
    <row r="4675" spans="1:41" ht="15" x14ac:dyDescent="0.25">
      <c r="A4675" s="1"/>
      <c r="B4675" s="1"/>
      <c r="C4675" s="1"/>
      <c r="D4675" s="1"/>
      <c r="E4675" s="6"/>
      <c r="F4675" s="1"/>
      <c r="G4675" s="6"/>
      <c r="H4675" s="6"/>
      <c r="I4675" s="6"/>
      <c r="J4675" s="6"/>
      <c r="K4675" s="6"/>
      <c r="L4675" s="6"/>
      <c r="M4675" s="6"/>
      <c r="N4675" s="6"/>
      <c r="O4675" s="7"/>
      <c r="P4675" s="6"/>
      <c r="Q4675" s="6"/>
      <c r="R4675" s="7"/>
      <c r="S4675" s="6"/>
      <c r="T4675" s="6"/>
      <c r="U4675" s="7"/>
      <c r="V4675" s="6"/>
      <c r="W4675" s="6"/>
      <c r="X4675" s="12"/>
      <c r="Y4675" s="6"/>
      <c r="Z4675" s="6"/>
      <c r="AA4675" s="7"/>
      <c r="AB4675" s="6"/>
      <c r="AC4675" s="6"/>
      <c r="AD4675" s="6"/>
      <c r="AE4675" s="12"/>
      <c r="AF4675" s="6"/>
      <c r="AG4675" s="12"/>
      <c r="AH4675" s="6"/>
      <c r="AI4675" s="6"/>
      <c r="AJ4675" s="12"/>
      <c r="AK4675" s="24"/>
      <c r="AL4675" s="25"/>
      <c r="AM4675" s="12"/>
      <c r="AN4675" s="1"/>
      <c r="AO4675" s="6"/>
    </row>
    <row r="4676" spans="1:41" ht="15" x14ac:dyDescent="0.25">
      <c r="A4676" s="1"/>
      <c r="B4676" s="1"/>
      <c r="C4676" s="1"/>
      <c r="D4676" s="1"/>
      <c r="E4676" s="6"/>
      <c r="F4676" s="1"/>
      <c r="G4676" s="6"/>
      <c r="H4676" s="6"/>
      <c r="I4676" s="6"/>
      <c r="J4676" s="6"/>
      <c r="K4676" s="6"/>
      <c r="L4676" s="6"/>
      <c r="M4676" s="6"/>
      <c r="N4676" s="6"/>
      <c r="O4676" s="7"/>
      <c r="P4676" s="6"/>
      <c r="Q4676" s="6"/>
      <c r="R4676" s="7"/>
      <c r="S4676" s="6"/>
      <c r="T4676" s="6"/>
      <c r="U4676" s="7"/>
      <c r="V4676" s="6"/>
      <c r="W4676" s="6"/>
      <c r="X4676" s="6"/>
      <c r="Y4676" s="6"/>
      <c r="Z4676" s="6"/>
      <c r="AA4676" s="7"/>
      <c r="AB4676" s="6"/>
      <c r="AC4676" s="6"/>
      <c r="AD4676" s="6"/>
      <c r="AE4676" s="12"/>
      <c r="AF4676" s="12"/>
      <c r="AG4676" s="12"/>
      <c r="AH4676" s="12"/>
      <c r="AI4676" s="6"/>
      <c r="AJ4676" s="12"/>
      <c r="AK4676" s="1"/>
      <c r="AL4676" s="12"/>
      <c r="AM4676" s="12"/>
      <c r="AN4676" s="1"/>
      <c r="AO4676" s="6"/>
    </row>
    <row r="4677" spans="1:41" ht="15" x14ac:dyDescent="0.25">
      <c r="A4677" s="1"/>
      <c r="B4677" s="1"/>
      <c r="C4677" s="1"/>
      <c r="D4677" s="1"/>
      <c r="E4677" s="6"/>
      <c r="F4677" s="1"/>
      <c r="G4677" s="6"/>
      <c r="H4677" s="6"/>
      <c r="I4677" s="6"/>
      <c r="J4677" s="6"/>
      <c r="K4677" s="6"/>
      <c r="L4677" s="6"/>
      <c r="M4677" s="6"/>
      <c r="N4677" s="6"/>
      <c r="O4677" s="7"/>
      <c r="P4677" s="12"/>
      <c r="Q4677" s="6"/>
      <c r="R4677" s="7"/>
      <c r="S4677" s="6"/>
      <c r="T4677" s="6"/>
      <c r="U4677" s="7"/>
      <c r="V4677" s="6"/>
      <c r="W4677" s="6"/>
      <c r="X4677" s="12"/>
      <c r="Y4677" s="6"/>
      <c r="Z4677" s="6"/>
      <c r="AA4677" s="7"/>
      <c r="AB4677" s="6"/>
      <c r="AC4677" s="6"/>
      <c r="AD4677" s="6"/>
      <c r="AE4677" s="12"/>
      <c r="AF4677" s="6"/>
      <c r="AG4677" s="12"/>
      <c r="AH4677" s="6"/>
      <c r="AI4677" s="6"/>
      <c r="AJ4677" s="12"/>
      <c r="AK4677" s="1"/>
      <c r="AL4677" s="12"/>
      <c r="AM4677" s="12"/>
      <c r="AN4677" s="1"/>
      <c r="AO4677" s="6"/>
    </row>
    <row r="4678" spans="1:41" ht="15" x14ac:dyDescent="0.25">
      <c r="A4678" s="1"/>
      <c r="B4678" s="1"/>
      <c r="C4678" s="1"/>
      <c r="D4678" s="1"/>
      <c r="E4678" s="6"/>
      <c r="F4678" s="1"/>
      <c r="G4678" s="6"/>
      <c r="H4678" s="6"/>
      <c r="I4678" s="6"/>
      <c r="J4678" s="6"/>
      <c r="K4678" s="6"/>
      <c r="L4678" s="6"/>
      <c r="M4678" s="6"/>
      <c r="N4678" s="6"/>
      <c r="O4678" s="7"/>
      <c r="P4678" s="12"/>
      <c r="Q4678" s="6"/>
      <c r="R4678" s="7"/>
      <c r="S4678" s="6"/>
      <c r="T4678" s="6"/>
      <c r="U4678" s="7"/>
      <c r="V4678" s="6"/>
      <c r="W4678" s="6"/>
      <c r="X4678" s="12"/>
      <c r="Y4678" s="6"/>
      <c r="Z4678" s="6"/>
      <c r="AA4678" s="7"/>
      <c r="AB4678" s="6"/>
      <c r="AC4678" s="6"/>
      <c r="AD4678" s="6"/>
      <c r="AE4678" s="12"/>
      <c r="AF4678" s="6"/>
      <c r="AG4678" s="12"/>
      <c r="AH4678" s="6"/>
      <c r="AI4678" s="6"/>
      <c r="AJ4678" s="12"/>
      <c r="AK4678" s="1"/>
      <c r="AL4678" s="12"/>
      <c r="AM4678" s="12"/>
      <c r="AN4678" s="1"/>
      <c r="AO4678" s="6"/>
    </row>
    <row r="4679" spans="1:41" ht="15" x14ac:dyDescent="0.25">
      <c r="A4679" s="1"/>
      <c r="B4679" s="1"/>
      <c r="C4679" s="1"/>
      <c r="D4679" s="1"/>
      <c r="E4679" s="6"/>
      <c r="F4679" s="1"/>
      <c r="G4679" s="6"/>
      <c r="H4679" s="6"/>
      <c r="I4679" s="6"/>
      <c r="J4679" s="6"/>
      <c r="K4679" s="6"/>
      <c r="L4679" s="6"/>
      <c r="M4679" s="6"/>
      <c r="N4679" s="6"/>
      <c r="O4679" s="7"/>
      <c r="P4679" s="6"/>
      <c r="Q4679" s="7"/>
      <c r="R4679" s="6"/>
      <c r="S4679" s="6"/>
      <c r="T4679" s="6"/>
      <c r="U4679" s="6"/>
      <c r="V4679" s="7"/>
      <c r="W4679" s="7"/>
      <c r="X4679" s="6"/>
      <c r="Y4679" s="6"/>
      <c r="Z4679" s="6"/>
      <c r="AA4679" s="1"/>
      <c r="AB4679" s="12"/>
      <c r="AC4679" s="12"/>
      <c r="AD4679" s="12"/>
      <c r="AE4679" s="12"/>
      <c r="AF4679" s="6"/>
      <c r="AG4679" s="12"/>
      <c r="AH4679" s="6"/>
      <c r="AI4679" s="6"/>
      <c r="AJ4679" s="12"/>
      <c r="AK4679" s="12"/>
      <c r="AL4679" s="12"/>
      <c r="AM4679" s="12"/>
      <c r="AN4679" s="1"/>
      <c r="AO4679" s="6"/>
    </row>
    <row r="4680" spans="1:41" ht="15" x14ac:dyDescent="0.25">
      <c r="A4680" s="1"/>
      <c r="B4680" s="1"/>
      <c r="C4680" s="1"/>
      <c r="D4680" s="1"/>
      <c r="E4680" s="6"/>
      <c r="F4680" s="1"/>
      <c r="G4680" s="6"/>
      <c r="H4680" s="6"/>
      <c r="I4680" s="6"/>
      <c r="J4680" s="6"/>
      <c r="K4680" s="6"/>
      <c r="L4680" s="6"/>
      <c r="M4680" s="6"/>
      <c r="N4680" s="6"/>
      <c r="O4680" s="7"/>
      <c r="P4680" s="6"/>
      <c r="Q4680" s="7"/>
      <c r="R4680" s="6"/>
      <c r="S4680" s="6"/>
      <c r="T4680" s="6"/>
      <c r="U4680" s="6"/>
      <c r="V4680" s="7"/>
      <c r="W4680" s="7"/>
      <c r="X4680" s="6"/>
      <c r="Y4680" s="6"/>
      <c r="Z4680" s="6"/>
      <c r="AA4680" s="1"/>
      <c r="AB4680" s="12"/>
      <c r="AC4680" s="12"/>
      <c r="AD4680" s="12"/>
      <c r="AE4680" s="12"/>
      <c r="AF4680" s="6"/>
      <c r="AG4680" s="12"/>
      <c r="AH4680" s="6"/>
      <c r="AI4680" s="6"/>
      <c r="AJ4680" s="12"/>
      <c r="AK4680" s="12"/>
      <c r="AL4680" s="12"/>
      <c r="AM4680" s="12"/>
      <c r="AN4680" s="1"/>
      <c r="AO4680" s="6"/>
    </row>
    <row r="4681" spans="1:41" ht="15" x14ac:dyDescent="0.25">
      <c r="A4681" s="1"/>
      <c r="B4681" s="1"/>
      <c r="C4681" s="1"/>
      <c r="D4681" s="1"/>
      <c r="E4681" s="6"/>
      <c r="F4681" s="1"/>
      <c r="G4681" s="6"/>
      <c r="H4681" s="6"/>
      <c r="I4681" s="6"/>
      <c r="J4681" s="6"/>
      <c r="K4681" s="6"/>
      <c r="L4681" s="6"/>
      <c r="M4681" s="6"/>
      <c r="N4681" s="6"/>
      <c r="O4681" s="7"/>
      <c r="P4681" s="6"/>
      <c r="Q4681" s="7"/>
      <c r="R4681" s="6"/>
      <c r="S4681" s="6"/>
      <c r="T4681" s="6"/>
      <c r="U4681" s="6"/>
      <c r="V4681" s="7"/>
      <c r="W4681" s="7"/>
      <c r="X4681" s="6"/>
      <c r="Y4681" s="6"/>
      <c r="Z4681" s="6"/>
      <c r="AA4681" s="1"/>
      <c r="AB4681" s="12"/>
      <c r="AC4681" s="12"/>
      <c r="AD4681" s="12"/>
      <c r="AE4681" s="12"/>
      <c r="AF4681" s="12"/>
      <c r="AG4681" s="12"/>
      <c r="AH4681" s="12"/>
      <c r="AI4681" s="6"/>
      <c r="AJ4681" s="12"/>
      <c r="AK4681" s="12"/>
      <c r="AL4681" s="12"/>
      <c r="AM4681" s="12"/>
      <c r="AN4681" s="1"/>
      <c r="AO4681" s="6"/>
    </row>
    <row r="4682" spans="1:41" ht="15" x14ac:dyDescent="0.25">
      <c r="A4682" s="1"/>
      <c r="B4682" s="1"/>
      <c r="C4682" s="1"/>
      <c r="D4682" s="1"/>
      <c r="E4682" s="6"/>
      <c r="F4682" s="1"/>
      <c r="G4682" s="6"/>
      <c r="H4682" s="6"/>
      <c r="I4682" s="6"/>
      <c r="J4682" s="6"/>
      <c r="K4682" s="6"/>
      <c r="L4682" s="6"/>
      <c r="M4682" s="6"/>
      <c r="N4682" s="6"/>
      <c r="O4682" s="7"/>
      <c r="P4682" s="6"/>
      <c r="Q4682" s="6"/>
      <c r="R4682" s="7"/>
      <c r="S4682" s="6"/>
      <c r="T4682" s="6"/>
      <c r="U4682" s="7"/>
      <c r="V4682" s="6"/>
      <c r="W4682" s="6"/>
      <c r="X4682" s="12"/>
      <c r="Y4682" s="6"/>
      <c r="Z4682" s="6"/>
      <c r="AA4682" s="7"/>
      <c r="AB4682" s="6"/>
      <c r="AC4682" s="6"/>
      <c r="AD4682" s="6"/>
      <c r="AE4682" s="12"/>
      <c r="AF4682" s="6"/>
      <c r="AG4682" s="12"/>
      <c r="AH4682" s="6"/>
      <c r="AI4682" s="6"/>
      <c r="AJ4682" s="12"/>
      <c r="AK4682" s="24"/>
      <c r="AL4682" s="25"/>
      <c r="AM4682" s="12"/>
      <c r="AN4682" s="1"/>
      <c r="AO4682" s="6"/>
    </row>
    <row r="4683" spans="1:41" ht="15" x14ac:dyDescent="0.25">
      <c r="A4683" s="1"/>
      <c r="B4683" s="1"/>
      <c r="C4683" s="1"/>
      <c r="D4683" s="1"/>
      <c r="E4683" s="6"/>
      <c r="F4683" s="1"/>
      <c r="G4683" s="6"/>
      <c r="H4683" s="6"/>
      <c r="I4683" s="6"/>
      <c r="J4683" s="6"/>
      <c r="K4683" s="6"/>
      <c r="L4683" s="6"/>
      <c r="M4683" s="6"/>
      <c r="N4683" s="6"/>
      <c r="O4683" s="7"/>
      <c r="P4683" s="6"/>
      <c r="Q4683" s="6"/>
      <c r="R4683" s="7"/>
      <c r="S4683" s="6"/>
      <c r="T4683" s="6"/>
      <c r="U4683" s="7"/>
      <c r="V4683" s="6"/>
      <c r="W4683" s="6"/>
      <c r="X4683" s="12"/>
      <c r="Y4683" s="6"/>
      <c r="Z4683" s="6"/>
      <c r="AA4683" s="7"/>
      <c r="AB4683" s="6"/>
      <c r="AC4683" s="6"/>
      <c r="AD4683" s="6"/>
      <c r="AE4683" s="12"/>
      <c r="AF4683" s="6"/>
      <c r="AG4683" s="12"/>
      <c r="AH4683" s="6"/>
      <c r="AI4683" s="6"/>
      <c r="AJ4683" s="12"/>
      <c r="AK4683" s="24"/>
      <c r="AL4683" s="25"/>
      <c r="AM4683" s="12"/>
      <c r="AN4683" s="1"/>
      <c r="AO4683" s="6"/>
    </row>
    <row r="4684" spans="1:41" ht="15" x14ac:dyDescent="0.25">
      <c r="A4684" s="1"/>
      <c r="B4684" s="1"/>
      <c r="C4684" s="1"/>
      <c r="D4684" s="1"/>
      <c r="E4684" s="6"/>
      <c r="F4684" s="1"/>
      <c r="G4684" s="6"/>
      <c r="H4684" s="6"/>
      <c r="I4684" s="6"/>
      <c r="J4684" s="6"/>
      <c r="K4684" s="6"/>
      <c r="L4684" s="6"/>
      <c r="M4684" s="6"/>
      <c r="N4684" s="6"/>
      <c r="O4684" s="7"/>
      <c r="P4684" s="6"/>
      <c r="Q4684" s="6"/>
      <c r="R4684" s="7"/>
      <c r="S4684" s="6"/>
      <c r="T4684" s="6"/>
      <c r="U4684" s="7"/>
      <c r="V4684" s="6"/>
      <c r="W4684" s="6"/>
      <c r="X4684" s="12"/>
      <c r="Y4684" s="6"/>
      <c r="Z4684" s="6"/>
      <c r="AA4684" s="7"/>
      <c r="AB4684" s="6"/>
      <c r="AC4684" s="6"/>
      <c r="AD4684" s="6"/>
      <c r="AE4684" s="12"/>
      <c r="AF4684" s="6"/>
      <c r="AG4684" s="12"/>
      <c r="AH4684" s="6"/>
      <c r="AI4684" s="6"/>
      <c r="AJ4684" s="12"/>
      <c r="AK4684" s="24"/>
      <c r="AL4684" s="25"/>
      <c r="AM4684" s="12"/>
      <c r="AN4684" s="1"/>
      <c r="AO4684" s="6"/>
    </row>
    <row r="4685" spans="1:41" ht="15" x14ac:dyDescent="0.25">
      <c r="A4685" s="1"/>
      <c r="B4685" s="1"/>
      <c r="C4685" s="1"/>
      <c r="D4685" s="1"/>
      <c r="E4685" s="6"/>
      <c r="F4685" s="1"/>
      <c r="G4685" s="6"/>
      <c r="H4685" s="6"/>
      <c r="I4685" s="6"/>
      <c r="J4685" s="6"/>
      <c r="K4685" s="6"/>
      <c r="L4685" s="6"/>
      <c r="M4685" s="6"/>
      <c r="N4685" s="6"/>
      <c r="O4685" s="7"/>
      <c r="P4685" s="6"/>
      <c r="Q4685" s="6"/>
      <c r="R4685" s="7"/>
      <c r="S4685" s="6"/>
      <c r="T4685" s="6"/>
      <c r="U4685" s="7"/>
      <c r="V4685" s="6"/>
      <c r="W4685" s="6"/>
      <c r="X4685" s="12"/>
      <c r="Y4685" s="6"/>
      <c r="Z4685" s="6"/>
      <c r="AA4685" s="7"/>
      <c r="AB4685" s="6"/>
      <c r="AC4685" s="6"/>
      <c r="AD4685" s="6"/>
      <c r="AE4685" s="12"/>
      <c r="AF4685" s="6"/>
      <c r="AG4685" s="12"/>
      <c r="AH4685" s="6"/>
      <c r="AI4685" s="6"/>
      <c r="AJ4685" s="12"/>
      <c r="AK4685" s="24"/>
      <c r="AL4685" s="25"/>
      <c r="AM4685" s="12"/>
      <c r="AN4685" s="1"/>
      <c r="AO4685" s="6"/>
    </row>
    <row r="4686" spans="1:41" ht="15" x14ac:dyDescent="0.25">
      <c r="A4686" s="1"/>
      <c r="B4686" s="1"/>
      <c r="C4686" s="1"/>
      <c r="D4686" s="1"/>
      <c r="E4686" s="6"/>
      <c r="F4686" s="1"/>
      <c r="G4686" s="6"/>
      <c r="H4686" s="6"/>
      <c r="I4686" s="6"/>
      <c r="J4686" s="6"/>
      <c r="K4686" s="6"/>
      <c r="L4686" s="6"/>
      <c r="M4686" s="6"/>
      <c r="N4686" s="6"/>
      <c r="O4686" s="7"/>
      <c r="P4686" s="6"/>
      <c r="Q4686" s="6"/>
      <c r="R4686" s="15"/>
      <c r="S4686" s="6"/>
      <c r="T4686" s="6"/>
      <c r="U4686" s="15"/>
      <c r="V4686" s="6"/>
      <c r="W4686" s="6"/>
      <c r="X4686" s="6"/>
      <c r="Y4686" s="12"/>
      <c r="Z4686" s="6"/>
      <c r="AA4686" s="7"/>
      <c r="AB4686" s="6"/>
      <c r="AC4686" s="6"/>
      <c r="AD4686" s="6"/>
      <c r="AE4686" s="12"/>
      <c r="AF4686" s="12"/>
      <c r="AG4686" s="12"/>
      <c r="AH4686" s="12"/>
      <c r="AI4686" s="6"/>
      <c r="AJ4686" s="12"/>
      <c r="AK4686" s="1"/>
      <c r="AL4686" s="12"/>
      <c r="AM4686" s="12"/>
      <c r="AN4686" s="1"/>
      <c r="AO4686" s="6"/>
    </row>
    <row r="4687" spans="1:41" ht="15" x14ac:dyDescent="0.25">
      <c r="A4687" s="1"/>
      <c r="B4687" s="1"/>
      <c r="C4687" s="1"/>
      <c r="D4687" s="1"/>
      <c r="E4687" s="6"/>
      <c r="F4687" s="1"/>
      <c r="G4687" s="6"/>
      <c r="H4687" s="6"/>
      <c r="I4687" s="6"/>
      <c r="J4687" s="6"/>
      <c r="K4687" s="6"/>
      <c r="L4687" s="6"/>
      <c r="M4687" s="6"/>
      <c r="N4687" s="6"/>
      <c r="O4687" s="7"/>
      <c r="P4687" s="6"/>
      <c r="Q4687" s="6"/>
      <c r="R4687" s="7"/>
      <c r="S4687" s="6"/>
      <c r="T4687" s="6"/>
      <c r="U4687" s="7"/>
      <c r="V4687" s="6"/>
      <c r="W4687" s="6"/>
      <c r="X4687" s="12"/>
      <c r="Y4687" s="6"/>
      <c r="Z4687" s="6"/>
      <c r="AA4687" s="7"/>
      <c r="AB4687" s="6"/>
      <c r="AC4687" s="6"/>
      <c r="AD4687" s="6"/>
      <c r="AE4687" s="12"/>
      <c r="AF4687" s="12"/>
      <c r="AG4687" s="12"/>
      <c r="AH4687" s="12"/>
      <c r="AI4687" s="6"/>
      <c r="AJ4687" s="12"/>
      <c r="AK4687" s="1"/>
      <c r="AL4687" s="12"/>
      <c r="AM4687" s="12"/>
      <c r="AN4687" s="1"/>
      <c r="AO4687" s="6"/>
    </row>
    <row r="4688" spans="1:41" ht="15" x14ac:dyDescent="0.25">
      <c r="A4688" s="1"/>
      <c r="B4688" s="1"/>
      <c r="C4688" s="1"/>
      <c r="D4688" s="1"/>
      <c r="E4688" s="6"/>
      <c r="F4688" s="1"/>
      <c r="G4688" s="6"/>
      <c r="H4688" s="6"/>
      <c r="I4688" s="6"/>
      <c r="J4688" s="6"/>
      <c r="K4688" s="6"/>
      <c r="L4688" s="6"/>
      <c r="M4688" s="6"/>
      <c r="N4688" s="6"/>
      <c r="O4688" s="7"/>
      <c r="P4688" s="6"/>
      <c r="Q4688" s="6"/>
      <c r="R4688" s="7"/>
      <c r="S4688" s="6"/>
      <c r="T4688" s="6"/>
      <c r="U4688" s="7"/>
      <c r="V4688" s="6"/>
      <c r="W4688" s="6"/>
      <c r="X4688" s="12"/>
      <c r="Y4688" s="6"/>
      <c r="Z4688" s="6"/>
      <c r="AA4688" s="7"/>
      <c r="AB4688" s="6"/>
      <c r="AC4688" s="6"/>
      <c r="AD4688" s="6"/>
      <c r="AE4688" s="12"/>
      <c r="AF4688" s="12"/>
      <c r="AG4688" s="12"/>
      <c r="AH4688" s="12"/>
      <c r="AI4688" s="6"/>
      <c r="AJ4688" s="12"/>
      <c r="AK4688" s="1"/>
      <c r="AL4688" s="12"/>
      <c r="AM4688" s="12"/>
      <c r="AN4688" s="1"/>
      <c r="AO4688" s="6"/>
    </row>
    <row r="4689" spans="1:41" ht="15" x14ac:dyDescent="0.25">
      <c r="A4689" s="1"/>
      <c r="B4689" s="1"/>
      <c r="C4689" s="1"/>
      <c r="D4689" s="1"/>
      <c r="E4689" s="6"/>
      <c r="F4689" s="1"/>
      <c r="G4689" s="6"/>
      <c r="H4689" s="6"/>
      <c r="I4689" s="6"/>
      <c r="J4689" s="6"/>
      <c r="K4689" s="6"/>
      <c r="L4689" s="6"/>
      <c r="M4689" s="6"/>
      <c r="N4689" s="6"/>
      <c r="O4689" s="7"/>
      <c r="P4689" s="6"/>
      <c r="Q4689" s="6"/>
      <c r="R4689" s="7"/>
      <c r="S4689" s="6"/>
      <c r="T4689" s="6"/>
      <c r="U4689" s="7"/>
      <c r="V4689" s="6"/>
      <c r="W4689" s="6"/>
      <c r="X4689" s="6"/>
      <c r="Y4689" s="6"/>
      <c r="Z4689" s="6"/>
      <c r="AA4689" s="7"/>
      <c r="AB4689" s="6"/>
      <c r="AC4689" s="6"/>
      <c r="AD4689" s="6"/>
      <c r="AE4689" s="12"/>
      <c r="AF4689" s="12"/>
      <c r="AG4689" s="12"/>
      <c r="AH4689" s="12"/>
      <c r="AI4689" s="6"/>
      <c r="AJ4689" s="12"/>
      <c r="AK4689" s="1"/>
      <c r="AL4689" s="12"/>
      <c r="AM4689" s="12"/>
      <c r="AN4689" s="1"/>
      <c r="AO4689" s="6"/>
    </row>
    <row r="4690" spans="1:41" ht="15" x14ac:dyDescent="0.25">
      <c r="A4690" s="1"/>
      <c r="B4690" s="1"/>
      <c r="C4690" s="1"/>
      <c r="D4690" s="1"/>
      <c r="E4690" s="6"/>
      <c r="F4690" s="1"/>
      <c r="G4690" s="6"/>
      <c r="H4690" s="6"/>
      <c r="I4690" s="6"/>
      <c r="J4690" s="6"/>
      <c r="K4690" s="6"/>
      <c r="L4690" s="6"/>
      <c r="M4690" s="6"/>
      <c r="N4690" s="6"/>
      <c r="O4690" s="7"/>
      <c r="P4690" s="6"/>
      <c r="Q4690" s="6"/>
      <c r="R4690" s="7"/>
      <c r="S4690" s="6"/>
      <c r="T4690" s="6"/>
      <c r="U4690" s="7"/>
      <c r="V4690" s="6"/>
      <c r="W4690" s="6"/>
      <c r="X4690" s="12"/>
      <c r="Y4690" s="6"/>
      <c r="Z4690" s="6"/>
      <c r="AA4690" s="7"/>
      <c r="AB4690" s="6"/>
      <c r="AC4690" s="6"/>
      <c r="AD4690" s="6"/>
      <c r="AE4690" s="12"/>
      <c r="AF4690" s="12"/>
      <c r="AG4690" s="12"/>
      <c r="AH4690" s="12"/>
      <c r="AI4690" s="6"/>
      <c r="AJ4690" s="12"/>
      <c r="AK4690" s="1"/>
      <c r="AL4690" s="12"/>
      <c r="AM4690" s="12"/>
      <c r="AN4690" s="1"/>
      <c r="AO4690" s="6"/>
    </row>
    <row r="4691" spans="1:41" ht="15" x14ac:dyDescent="0.25">
      <c r="A4691" s="1"/>
      <c r="B4691" s="1"/>
      <c r="C4691" s="1"/>
      <c r="D4691" s="1"/>
      <c r="E4691" s="6"/>
      <c r="F4691" s="1"/>
      <c r="G4691" s="6"/>
      <c r="H4691" s="6"/>
      <c r="I4691" s="6"/>
      <c r="J4691" s="6"/>
      <c r="K4691" s="6"/>
      <c r="L4691" s="6"/>
      <c r="M4691" s="6"/>
      <c r="N4691" s="6"/>
      <c r="O4691" s="7"/>
      <c r="P4691" s="6"/>
      <c r="Q4691" s="6"/>
      <c r="R4691" s="7"/>
      <c r="S4691" s="6"/>
      <c r="T4691" s="6"/>
      <c r="U4691" s="7"/>
      <c r="V4691" s="6"/>
      <c r="W4691" s="6"/>
      <c r="X4691" s="12"/>
      <c r="Y4691" s="6"/>
      <c r="Z4691" s="6"/>
      <c r="AA4691" s="7"/>
      <c r="AB4691" s="6"/>
      <c r="AC4691" s="6"/>
      <c r="AD4691" s="6"/>
      <c r="AE4691" s="12"/>
      <c r="AF4691" s="12"/>
      <c r="AG4691" s="12"/>
      <c r="AH4691" s="12"/>
      <c r="AI4691" s="6"/>
      <c r="AJ4691" s="12"/>
      <c r="AK4691" s="1"/>
      <c r="AL4691" s="12"/>
      <c r="AM4691" s="12"/>
      <c r="AN4691" s="1"/>
      <c r="AO4691" s="6"/>
    </row>
    <row r="4692" spans="1:41" ht="15" x14ac:dyDescent="0.25">
      <c r="A4692" s="1"/>
      <c r="B4692" s="1"/>
      <c r="C4692" s="1"/>
      <c r="D4692" s="1"/>
      <c r="E4692" s="6"/>
      <c r="F4692" s="1"/>
      <c r="G4692" s="6"/>
      <c r="H4692" s="6"/>
      <c r="I4692" s="6"/>
      <c r="J4692" s="6"/>
      <c r="K4692" s="12"/>
      <c r="L4692" s="12"/>
      <c r="M4692" s="6"/>
      <c r="N4692" s="6"/>
      <c r="O4692" s="7"/>
      <c r="P4692" s="6"/>
      <c r="Q4692" s="6"/>
      <c r="R4692" s="7"/>
      <c r="S4692" s="6"/>
      <c r="T4692" s="6"/>
      <c r="U4692" s="7"/>
      <c r="V4692" s="6"/>
      <c r="W4692" s="6"/>
      <c r="X4692" s="12"/>
      <c r="Y4692" s="6"/>
      <c r="Z4692" s="6"/>
      <c r="AA4692" s="7"/>
      <c r="AB4692" s="6"/>
      <c r="AC4692" s="6"/>
      <c r="AD4692" s="6"/>
      <c r="AE4692" s="12"/>
      <c r="AF4692" s="12"/>
      <c r="AG4692" s="12"/>
      <c r="AH4692" s="12"/>
      <c r="AI4692" s="6"/>
      <c r="AJ4692" s="12"/>
      <c r="AK4692" s="1"/>
      <c r="AL4692" s="12"/>
      <c r="AM4692" s="12"/>
      <c r="AN4692" s="1"/>
      <c r="AO4692" s="12"/>
    </row>
    <row r="4693" spans="1:41" ht="15" x14ac:dyDescent="0.25">
      <c r="A4693" s="1"/>
      <c r="B4693" s="1"/>
      <c r="C4693" s="1"/>
      <c r="D4693" s="1"/>
      <c r="E4693" s="6"/>
      <c r="F4693" s="1"/>
      <c r="G4693" s="6"/>
      <c r="H4693" s="6"/>
      <c r="I4693" s="6"/>
      <c r="J4693" s="6"/>
      <c r="K4693" s="12"/>
      <c r="L4693" s="12"/>
      <c r="M4693" s="6"/>
      <c r="N4693" s="6"/>
      <c r="O4693" s="7"/>
      <c r="P4693" s="6"/>
      <c r="Q4693" s="6"/>
      <c r="R4693" s="7"/>
      <c r="S4693" s="6"/>
      <c r="T4693" s="6"/>
      <c r="U4693" s="7"/>
      <c r="V4693" s="6"/>
      <c r="W4693" s="6"/>
      <c r="X4693" s="12"/>
      <c r="Y4693" s="6"/>
      <c r="Z4693" s="6"/>
      <c r="AA4693" s="7"/>
      <c r="AB4693" s="6"/>
      <c r="AC4693" s="6"/>
      <c r="AD4693" s="6"/>
      <c r="AE4693" s="12"/>
      <c r="AF4693" s="12"/>
      <c r="AG4693" s="12"/>
      <c r="AH4693" s="12"/>
      <c r="AI4693" s="6"/>
      <c r="AJ4693" s="12"/>
      <c r="AK4693" s="1"/>
      <c r="AL4693" s="12"/>
      <c r="AM4693" s="12"/>
      <c r="AN4693" s="1"/>
      <c r="AO4693" s="12"/>
    </row>
    <row r="4694" spans="1:41" ht="15" x14ac:dyDescent="0.25">
      <c r="A4694" s="1"/>
      <c r="B4694" s="1"/>
      <c r="C4694" s="1"/>
      <c r="D4694" s="1"/>
      <c r="E4694" s="6"/>
      <c r="F4694" s="1"/>
      <c r="G4694" s="6"/>
      <c r="H4694" s="6"/>
      <c r="I4694" s="6"/>
      <c r="J4694" s="6"/>
      <c r="K4694" s="6"/>
      <c r="L4694" s="6"/>
      <c r="M4694" s="6"/>
      <c r="N4694" s="6"/>
      <c r="O4694" s="7"/>
      <c r="P4694" s="6"/>
      <c r="Q4694" s="6"/>
      <c r="R4694" s="7"/>
      <c r="S4694" s="6"/>
      <c r="T4694" s="6"/>
      <c r="U4694" s="7"/>
      <c r="V4694" s="6"/>
      <c r="W4694" s="6"/>
      <c r="X4694" s="12"/>
      <c r="Y4694" s="6"/>
      <c r="Z4694" s="6"/>
      <c r="AA4694" s="7"/>
      <c r="AB4694" s="6"/>
      <c r="AC4694" s="6"/>
      <c r="AD4694" s="6"/>
      <c r="AE4694" s="12"/>
      <c r="AF4694" s="6"/>
      <c r="AG4694" s="12"/>
      <c r="AH4694" s="6"/>
      <c r="AI4694" s="6"/>
      <c r="AJ4694" s="12"/>
      <c r="AK4694" s="24"/>
      <c r="AL4694" s="25"/>
      <c r="AM4694" s="12"/>
      <c r="AN4694" s="1"/>
      <c r="AO4694" s="6"/>
    </row>
    <row r="4695" spans="1:41" ht="15" x14ac:dyDescent="0.25">
      <c r="A4695" s="1"/>
      <c r="B4695" s="1"/>
      <c r="C4695" s="1"/>
      <c r="D4695" s="1"/>
      <c r="E4695" s="6"/>
      <c r="F4695" s="1"/>
      <c r="G4695" s="6"/>
      <c r="H4695" s="6"/>
      <c r="I4695" s="6"/>
      <c r="J4695" s="6"/>
      <c r="K4695" s="6"/>
      <c r="L4695" s="6"/>
      <c r="M4695" s="6"/>
      <c r="N4695" s="6"/>
      <c r="O4695" s="7"/>
      <c r="P4695" s="6"/>
      <c r="Q4695" s="6"/>
      <c r="R4695" s="7"/>
      <c r="S4695" s="6"/>
      <c r="T4695" s="6"/>
      <c r="U4695" s="7"/>
      <c r="V4695" s="6"/>
      <c r="W4695" s="6"/>
      <c r="X4695" s="12"/>
      <c r="Y4695" s="6"/>
      <c r="Z4695" s="6"/>
      <c r="AA4695" s="7"/>
      <c r="AB4695" s="6"/>
      <c r="AC4695" s="6"/>
      <c r="AD4695" s="6"/>
      <c r="AE4695" s="12"/>
      <c r="AF4695" s="6"/>
      <c r="AG4695" s="12"/>
      <c r="AH4695" s="6"/>
      <c r="AI4695" s="6"/>
      <c r="AJ4695" s="12"/>
      <c r="AK4695" s="24"/>
      <c r="AL4695" s="25"/>
      <c r="AM4695" s="12"/>
      <c r="AN4695" s="1"/>
      <c r="AO4695" s="6"/>
    </row>
    <row r="4696" spans="1:41" ht="15" x14ac:dyDescent="0.25">
      <c r="A4696" s="1"/>
      <c r="B4696" s="1"/>
      <c r="C4696" s="1"/>
      <c r="D4696" s="1"/>
      <c r="E4696" s="6"/>
      <c r="F4696" s="1"/>
      <c r="G4696" s="6"/>
      <c r="H4696" s="6"/>
      <c r="I4696" s="6"/>
      <c r="J4696" s="6"/>
      <c r="K4696" s="6"/>
      <c r="L4696" s="6"/>
      <c r="M4696" s="6"/>
      <c r="N4696" s="6"/>
      <c r="O4696" s="7"/>
      <c r="P4696" s="6"/>
      <c r="Q4696" s="6"/>
      <c r="R4696" s="7"/>
      <c r="S4696" s="6"/>
      <c r="T4696" s="6"/>
      <c r="U4696" s="7"/>
      <c r="V4696" s="6"/>
      <c r="W4696" s="6"/>
      <c r="X4696" s="12"/>
      <c r="Y4696" s="6"/>
      <c r="Z4696" s="6"/>
      <c r="AA4696" s="7"/>
      <c r="AB4696" s="6"/>
      <c r="AC4696" s="6"/>
      <c r="AD4696" s="6"/>
      <c r="AE4696" s="12"/>
      <c r="AF4696" s="6"/>
      <c r="AG4696" s="12"/>
      <c r="AH4696" s="6"/>
      <c r="AI4696" s="6"/>
      <c r="AJ4696" s="12"/>
      <c r="AK4696" s="24"/>
      <c r="AL4696" s="25"/>
      <c r="AM4696" s="12"/>
      <c r="AN4696" s="1"/>
      <c r="AO4696" s="6"/>
    </row>
    <row r="4697" spans="1:41" ht="15" x14ac:dyDescent="0.25">
      <c r="A4697" s="1"/>
      <c r="B4697" s="1"/>
      <c r="C4697" s="1"/>
      <c r="D4697" s="1"/>
      <c r="E4697" s="6"/>
      <c r="F4697" s="1"/>
      <c r="G4697" s="6"/>
      <c r="H4697" s="6"/>
      <c r="I4697" s="6"/>
      <c r="J4697" s="6"/>
      <c r="K4697" s="6"/>
      <c r="L4697" s="6"/>
      <c r="M4697" s="6"/>
      <c r="N4697" s="6"/>
      <c r="O4697" s="7"/>
      <c r="P4697" s="6"/>
      <c r="Q4697" s="6"/>
      <c r="R4697" s="7"/>
      <c r="S4697" s="6"/>
      <c r="T4697" s="6"/>
      <c r="U4697" s="7"/>
      <c r="V4697" s="6"/>
      <c r="W4697" s="6"/>
      <c r="X4697" s="12"/>
      <c r="Y4697" s="6"/>
      <c r="Z4697" s="6"/>
      <c r="AA4697" s="7"/>
      <c r="AB4697" s="6"/>
      <c r="AC4697" s="6"/>
      <c r="AD4697" s="6"/>
      <c r="AE4697" s="12"/>
      <c r="AF4697" s="6"/>
      <c r="AG4697" s="12"/>
      <c r="AH4697" s="6"/>
      <c r="AI4697" s="6"/>
      <c r="AJ4697" s="12"/>
      <c r="AK4697" s="24"/>
      <c r="AL4697" s="25"/>
      <c r="AM4697" s="12"/>
      <c r="AN4697" s="1"/>
      <c r="AO4697" s="6"/>
    </row>
    <row r="4698" spans="1:41" ht="15" x14ac:dyDescent="0.25">
      <c r="A4698" s="1"/>
      <c r="B4698" s="1"/>
      <c r="C4698" s="1"/>
      <c r="D4698" s="1"/>
      <c r="E4698" s="6"/>
      <c r="F4698" s="1"/>
      <c r="G4698" s="6"/>
      <c r="H4698" s="6"/>
      <c r="I4698" s="6"/>
      <c r="J4698" s="6"/>
      <c r="K4698" s="6"/>
      <c r="L4698" s="6"/>
      <c r="M4698" s="6"/>
      <c r="N4698" s="6"/>
      <c r="O4698" s="7"/>
      <c r="P4698" s="6"/>
      <c r="Q4698" s="6"/>
      <c r="R4698" s="7"/>
      <c r="S4698" s="6"/>
      <c r="T4698" s="6"/>
      <c r="U4698" s="7"/>
      <c r="V4698" s="6"/>
      <c r="W4698" s="6"/>
      <c r="X4698" s="6"/>
      <c r="Y4698" s="6"/>
      <c r="Z4698" s="6"/>
      <c r="AA4698" s="7"/>
      <c r="AB4698" s="6"/>
      <c r="AC4698" s="6"/>
      <c r="AD4698" s="6"/>
      <c r="AE4698" s="12"/>
      <c r="AF4698" s="12"/>
      <c r="AG4698" s="12"/>
      <c r="AH4698" s="12"/>
      <c r="AI4698" s="6"/>
      <c r="AJ4698" s="12"/>
      <c r="AK4698" s="1"/>
      <c r="AL4698" s="12"/>
      <c r="AM4698" s="12"/>
      <c r="AN4698" s="1"/>
      <c r="AO4698" s="6"/>
    </row>
    <row r="4699" spans="1:41" ht="15" x14ac:dyDescent="0.25">
      <c r="A4699" s="1"/>
      <c r="B4699" s="1"/>
      <c r="C4699" s="1"/>
      <c r="D4699" s="1"/>
      <c r="E4699" s="6"/>
      <c r="F4699" s="1"/>
      <c r="G4699" s="6"/>
      <c r="H4699" s="6"/>
      <c r="I4699" s="6"/>
      <c r="J4699" s="6"/>
      <c r="K4699" s="6"/>
      <c r="L4699" s="6"/>
      <c r="M4699" s="6"/>
      <c r="N4699" s="6"/>
      <c r="O4699" s="7"/>
      <c r="P4699" s="6"/>
      <c r="Q4699" s="6"/>
      <c r="R4699" s="7"/>
      <c r="S4699" s="6"/>
      <c r="T4699" s="6"/>
      <c r="U4699" s="7"/>
      <c r="V4699" s="6"/>
      <c r="W4699" s="6"/>
      <c r="X4699" s="6"/>
      <c r="Y4699" s="6"/>
      <c r="Z4699" s="6"/>
      <c r="AA4699" s="7"/>
      <c r="AB4699" s="6"/>
      <c r="AC4699" s="6"/>
      <c r="AD4699" s="6"/>
      <c r="AE4699" s="12"/>
      <c r="AF4699" s="6"/>
      <c r="AG4699" s="12"/>
      <c r="AH4699" s="6"/>
      <c r="AI4699" s="6"/>
      <c r="AJ4699" s="12"/>
      <c r="AK4699" s="24"/>
      <c r="AL4699" s="25"/>
      <c r="AM4699" s="12"/>
      <c r="AN4699" s="1"/>
      <c r="AO4699" s="6"/>
    </row>
    <row r="4700" spans="1:41" ht="15" x14ac:dyDescent="0.25">
      <c r="A4700" s="1"/>
      <c r="B4700" s="1"/>
      <c r="C4700" s="1"/>
      <c r="D4700" s="1"/>
      <c r="E4700" s="6"/>
      <c r="F4700" s="1"/>
      <c r="G4700" s="6"/>
      <c r="H4700" s="6"/>
      <c r="I4700" s="6"/>
      <c r="J4700" s="6"/>
      <c r="K4700" s="6"/>
      <c r="L4700" s="6"/>
      <c r="M4700" s="6"/>
      <c r="N4700" s="6"/>
      <c r="O4700" s="7"/>
      <c r="P4700" s="6"/>
      <c r="Q4700" s="6"/>
      <c r="R4700" s="7"/>
      <c r="S4700" s="6"/>
      <c r="T4700" s="6"/>
      <c r="U4700" s="7"/>
      <c r="V4700" s="6"/>
      <c r="W4700" s="6"/>
      <c r="X4700" s="6"/>
      <c r="Y4700" s="6"/>
      <c r="Z4700" s="6"/>
      <c r="AA4700" s="7"/>
      <c r="AB4700" s="6"/>
      <c r="AC4700" s="6"/>
      <c r="AD4700" s="6"/>
      <c r="AE4700" s="12"/>
      <c r="AF4700" s="6"/>
      <c r="AG4700" s="12"/>
      <c r="AH4700" s="6"/>
      <c r="AI4700" s="6"/>
      <c r="AJ4700" s="12"/>
      <c r="AK4700" s="24"/>
      <c r="AL4700" s="25"/>
      <c r="AM4700" s="12"/>
      <c r="AN4700" s="1"/>
      <c r="AO4700" s="6"/>
    </row>
    <row r="4701" spans="1:41" ht="15" x14ac:dyDescent="0.25">
      <c r="A4701" s="1"/>
      <c r="B4701" s="1"/>
      <c r="C4701" s="1"/>
      <c r="D4701" s="1"/>
      <c r="E4701" s="6"/>
      <c r="F4701" s="1"/>
      <c r="G4701" s="6"/>
      <c r="H4701" s="6"/>
      <c r="I4701" s="6"/>
      <c r="J4701" s="6"/>
      <c r="K4701" s="6"/>
      <c r="L4701" s="6"/>
      <c r="M4701" s="6"/>
      <c r="N4701" s="6"/>
      <c r="O4701" s="7"/>
      <c r="P4701" s="6"/>
      <c r="Q4701" s="6"/>
      <c r="R4701" s="7"/>
      <c r="S4701" s="6"/>
      <c r="T4701" s="6"/>
      <c r="U4701" s="7"/>
      <c r="V4701" s="6"/>
      <c r="W4701" s="6"/>
      <c r="X4701" s="12"/>
      <c r="Y4701" s="6"/>
      <c r="Z4701" s="6"/>
      <c r="AA4701" s="7"/>
      <c r="AB4701" s="6"/>
      <c r="AC4701" s="6"/>
      <c r="AD4701" s="6"/>
      <c r="AE4701" s="12"/>
      <c r="AF4701" s="6"/>
      <c r="AG4701" s="12"/>
      <c r="AH4701" s="6"/>
      <c r="AI4701" s="6"/>
      <c r="AJ4701" s="12"/>
      <c r="AK4701" s="24"/>
      <c r="AL4701" s="25"/>
      <c r="AM4701" s="12"/>
      <c r="AN4701" s="1"/>
      <c r="AO4701" s="6"/>
    </row>
    <row r="4702" spans="1:41" ht="15" x14ac:dyDescent="0.25">
      <c r="A4702" s="1"/>
      <c r="B4702" s="1"/>
      <c r="C4702" s="1"/>
      <c r="D4702" s="1"/>
      <c r="E4702" s="6"/>
      <c r="F4702" s="1"/>
      <c r="G4702" s="6"/>
      <c r="H4702" s="6"/>
      <c r="I4702" s="6"/>
      <c r="J4702" s="6"/>
      <c r="K4702" s="6"/>
      <c r="L4702" s="6"/>
      <c r="M4702" s="6"/>
      <c r="N4702" s="6"/>
      <c r="O4702" s="7"/>
      <c r="P4702" s="6"/>
      <c r="Q4702" s="6"/>
      <c r="R4702" s="7"/>
      <c r="S4702" s="6"/>
      <c r="T4702" s="6"/>
      <c r="U4702" s="7"/>
      <c r="V4702" s="6"/>
      <c r="W4702" s="6"/>
      <c r="X4702" s="12"/>
      <c r="Y4702" s="6"/>
      <c r="Z4702" s="6"/>
      <c r="AA4702" s="7"/>
      <c r="AB4702" s="6"/>
      <c r="AC4702" s="6"/>
      <c r="AD4702" s="6"/>
      <c r="AE4702" s="12"/>
      <c r="AF4702" s="6"/>
      <c r="AG4702" s="12"/>
      <c r="AH4702" s="6"/>
      <c r="AI4702" s="6"/>
      <c r="AJ4702" s="12"/>
      <c r="AK4702" s="24"/>
      <c r="AL4702" s="25"/>
      <c r="AM4702" s="12"/>
      <c r="AN4702" s="1"/>
      <c r="AO4702" s="6"/>
    </row>
    <row r="4703" spans="1:41" ht="15" x14ac:dyDescent="0.25">
      <c r="A4703" s="1"/>
      <c r="B4703" s="1"/>
      <c r="C4703" s="1"/>
      <c r="D4703" s="1"/>
      <c r="E4703" s="6"/>
      <c r="F4703" s="1"/>
      <c r="G4703" s="6"/>
      <c r="H4703" s="6"/>
      <c r="I4703" s="6"/>
      <c r="J4703" s="6"/>
      <c r="K4703" s="6"/>
      <c r="L4703" s="6"/>
      <c r="M4703" s="6"/>
      <c r="N4703" s="6"/>
      <c r="O4703" s="7"/>
      <c r="P4703" s="6"/>
      <c r="Q4703" s="6"/>
      <c r="R4703" s="7"/>
      <c r="S4703" s="6"/>
      <c r="T4703" s="6"/>
      <c r="U4703" s="7"/>
      <c r="V4703" s="6"/>
      <c r="W4703" s="6"/>
      <c r="X4703" s="6"/>
      <c r="Y4703" s="6"/>
      <c r="Z4703" s="6"/>
      <c r="AA4703" s="7"/>
      <c r="AB4703" s="6"/>
      <c r="AC4703" s="6"/>
      <c r="AD4703" s="6"/>
      <c r="AE4703" s="12"/>
      <c r="AF4703" s="6"/>
      <c r="AG4703" s="12"/>
      <c r="AH4703" s="6"/>
      <c r="AI4703" s="6"/>
      <c r="AJ4703" s="12"/>
      <c r="AK4703" s="1"/>
      <c r="AL4703" s="12"/>
      <c r="AM4703" s="12"/>
      <c r="AN4703" s="1"/>
      <c r="AO4703" s="6"/>
    </row>
    <row r="4704" spans="1:41" ht="15" x14ac:dyDescent="0.25">
      <c r="A4704" s="1"/>
      <c r="B4704" s="1"/>
      <c r="C4704" s="1"/>
      <c r="D4704" s="1"/>
      <c r="E4704" s="6"/>
      <c r="F4704" s="1"/>
      <c r="G4704" s="6"/>
      <c r="H4704" s="6"/>
      <c r="I4704" s="6"/>
      <c r="J4704" s="6"/>
      <c r="K4704" s="6"/>
      <c r="L4704" s="6"/>
      <c r="M4704" s="6"/>
      <c r="N4704" s="6"/>
      <c r="O4704" s="7"/>
      <c r="P4704" s="6"/>
      <c r="Q4704" s="6"/>
      <c r="R4704" s="7"/>
      <c r="S4704" s="6"/>
      <c r="T4704" s="6"/>
      <c r="U4704" s="7"/>
      <c r="V4704" s="6"/>
      <c r="W4704" s="6"/>
      <c r="X4704" s="6"/>
      <c r="Y4704" s="6"/>
      <c r="Z4704" s="6"/>
      <c r="AA4704" s="7"/>
      <c r="AB4704" s="6"/>
      <c r="AC4704" s="6"/>
      <c r="AD4704" s="6"/>
      <c r="AE4704" s="12"/>
      <c r="AF4704" s="6"/>
      <c r="AG4704" s="12"/>
      <c r="AH4704" s="6"/>
      <c r="AI4704" s="6"/>
      <c r="AJ4704" s="12"/>
      <c r="AK4704" s="1"/>
      <c r="AL4704" s="12"/>
      <c r="AM4704" s="12"/>
      <c r="AN4704" s="1"/>
      <c r="AO4704" s="6"/>
    </row>
    <row r="4705" spans="1:41" ht="15" x14ac:dyDescent="0.25">
      <c r="A4705" s="1"/>
      <c r="B4705" s="1"/>
      <c r="C4705" s="1"/>
      <c r="D4705" s="1"/>
      <c r="E4705" s="6"/>
      <c r="F4705" s="1"/>
      <c r="G4705" s="6"/>
      <c r="H4705" s="6"/>
      <c r="I4705" s="6"/>
      <c r="J4705" s="6"/>
      <c r="K4705" s="6"/>
      <c r="L4705" s="6"/>
      <c r="M4705" s="6"/>
      <c r="N4705" s="6"/>
      <c r="O4705" s="7"/>
      <c r="P4705" s="6"/>
      <c r="Q4705" s="6"/>
      <c r="R4705" s="7"/>
      <c r="S4705" s="6"/>
      <c r="T4705" s="6"/>
      <c r="U4705" s="7"/>
      <c r="V4705" s="6"/>
      <c r="W4705" s="6"/>
      <c r="X4705" s="12"/>
      <c r="Y4705" s="6"/>
      <c r="Z4705" s="6"/>
      <c r="AA4705" s="7"/>
      <c r="AB4705" s="6"/>
      <c r="AC4705" s="6"/>
      <c r="AD4705" s="6"/>
      <c r="AE4705" s="12"/>
      <c r="AF4705" s="12"/>
      <c r="AG4705" s="12"/>
      <c r="AH4705" s="12"/>
      <c r="AI4705" s="6"/>
      <c r="AJ4705" s="12"/>
      <c r="AK4705" s="1"/>
      <c r="AL4705" s="12"/>
      <c r="AM4705" s="12"/>
      <c r="AN4705" s="1"/>
      <c r="AO4705" s="6"/>
    </row>
    <row r="4706" spans="1:41" ht="15" x14ac:dyDescent="0.25">
      <c r="A4706" s="1"/>
      <c r="B4706" s="1"/>
      <c r="C4706" s="1"/>
      <c r="D4706" s="1"/>
      <c r="E4706" s="6"/>
      <c r="F4706" s="1"/>
      <c r="G4706" s="6"/>
      <c r="H4706" s="6"/>
      <c r="I4706" s="6"/>
      <c r="J4706" s="6"/>
      <c r="K4706" s="6"/>
      <c r="L4706" s="6"/>
      <c r="M4706" s="6"/>
      <c r="N4706" s="6"/>
      <c r="O4706" s="7"/>
      <c r="P4706" s="6"/>
      <c r="Q4706" s="6"/>
      <c r="R4706" s="7"/>
      <c r="S4706" s="6"/>
      <c r="T4706" s="6"/>
      <c r="U4706" s="7"/>
      <c r="V4706" s="6"/>
      <c r="W4706" s="6"/>
      <c r="X4706" s="12"/>
      <c r="Y4706" s="6"/>
      <c r="Z4706" s="6"/>
      <c r="AA4706" s="7"/>
      <c r="AB4706" s="6"/>
      <c r="AC4706" s="6"/>
      <c r="AD4706" s="6"/>
      <c r="AE4706" s="12"/>
      <c r="AF4706" s="12"/>
      <c r="AG4706" s="12"/>
      <c r="AH4706" s="12"/>
      <c r="AI4706" s="6"/>
      <c r="AJ4706" s="12"/>
      <c r="AK4706" s="1"/>
      <c r="AL4706" s="12"/>
      <c r="AM4706" s="12"/>
      <c r="AN4706" s="1"/>
      <c r="AO4706" s="6"/>
    </row>
    <row r="4707" spans="1:41" ht="15" x14ac:dyDescent="0.25">
      <c r="A4707" s="1"/>
      <c r="B4707" s="1"/>
      <c r="C4707" s="1"/>
      <c r="D4707" s="1"/>
      <c r="E4707" s="6"/>
      <c r="F4707" s="1"/>
      <c r="G4707" s="6"/>
      <c r="H4707" s="6"/>
      <c r="I4707" s="6"/>
      <c r="J4707" s="6"/>
      <c r="K4707" s="6"/>
      <c r="L4707" s="6"/>
      <c r="M4707" s="6"/>
      <c r="N4707" s="6"/>
      <c r="O4707" s="7"/>
      <c r="P4707" s="6"/>
      <c r="Q4707" s="6"/>
      <c r="R4707" s="7"/>
      <c r="S4707" s="6"/>
      <c r="T4707" s="6"/>
      <c r="U4707" s="7"/>
      <c r="V4707" s="6"/>
      <c r="W4707" s="6"/>
      <c r="X4707" s="12"/>
      <c r="Y4707" s="6"/>
      <c r="Z4707" s="6"/>
      <c r="AA4707" s="7"/>
      <c r="AB4707" s="6"/>
      <c r="AC4707" s="6"/>
      <c r="AD4707" s="6"/>
      <c r="AE4707" s="12"/>
      <c r="AF4707" s="6"/>
      <c r="AG4707" s="12"/>
      <c r="AH4707" s="6"/>
      <c r="AI4707" s="6"/>
      <c r="AJ4707" s="12"/>
      <c r="AK4707" s="1"/>
      <c r="AL4707" s="12"/>
      <c r="AM4707" s="12"/>
      <c r="AN4707" s="1"/>
      <c r="AO4707" s="6"/>
    </row>
    <row r="4708" spans="1:41" ht="15" x14ac:dyDescent="0.25">
      <c r="A4708" s="1"/>
      <c r="B4708" s="1"/>
      <c r="C4708" s="1"/>
      <c r="D4708" s="1"/>
      <c r="E4708" s="6"/>
      <c r="F4708" s="1"/>
      <c r="G4708" s="6"/>
      <c r="H4708" s="6"/>
      <c r="I4708" s="6"/>
      <c r="J4708" s="6"/>
      <c r="K4708" s="6"/>
      <c r="L4708" s="6"/>
      <c r="M4708" s="6"/>
      <c r="N4708" s="6"/>
      <c r="O4708" s="7"/>
      <c r="P4708" s="6"/>
      <c r="Q4708" s="6"/>
      <c r="R4708" s="7"/>
      <c r="S4708" s="6"/>
      <c r="T4708" s="6"/>
      <c r="U4708" s="7"/>
      <c r="V4708" s="6"/>
      <c r="W4708" s="6"/>
      <c r="X4708" s="12"/>
      <c r="Y4708" s="6"/>
      <c r="Z4708" s="6"/>
      <c r="AA4708" s="7"/>
      <c r="AB4708" s="6"/>
      <c r="AC4708" s="6"/>
      <c r="AD4708" s="6"/>
      <c r="AE4708" s="12"/>
      <c r="AF4708" s="6"/>
      <c r="AG4708" s="12"/>
      <c r="AH4708" s="6"/>
      <c r="AI4708" s="6"/>
      <c r="AJ4708" s="12"/>
      <c r="AK4708" s="1"/>
      <c r="AL4708" s="12"/>
      <c r="AM4708" s="12"/>
      <c r="AN4708" s="1"/>
      <c r="AO4708" s="6"/>
    </row>
    <row r="4709" spans="1:41" ht="15" x14ac:dyDescent="0.25">
      <c r="A4709" s="1"/>
      <c r="B4709" s="1"/>
      <c r="C4709" s="1"/>
      <c r="D4709" s="1"/>
      <c r="E4709" s="6"/>
      <c r="F4709" s="1"/>
      <c r="G4709" s="6"/>
      <c r="H4709" s="6"/>
      <c r="I4709" s="6"/>
      <c r="J4709" s="6"/>
      <c r="K4709" s="6"/>
      <c r="L4709" s="6"/>
      <c r="M4709" s="6"/>
      <c r="N4709" s="6"/>
      <c r="O4709" s="7"/>
      <c r="P4709" s="6"/>
      <c r="Q4709" s="7"/>
      <c r="R4709" s="6"/>
      <c r="S4709" s="6"/>
      <c r="T4709" s="6"/>
      <c r="U4709" s="6"/>
      <c r="V4709" s="7"/>
      <c r="W4709" s="7"/>
      <c r="X4709" s="6"/>
      <c r="Y4709" s="6"/>
      <c r="Z4709" s="6"/>
      <c r="AA4709" s="1"/>
      <c r="AB4709" s="12"/>
      <c r="AC4709" s="12"/>
      <c r="AD4709" s="12"/>
      <c r="AE4709" s="12"/>
      <c r="AF4709" s="12"/>
      <c r="AG4709" s="12"/>
      <c r="AH4709" s="12"/>
      <c r="AI4709" s="6"/>
      <c r="AJ4709" s="12"/>
      <c r="AK4709" s="12"/>
      <c r="AL4709" s="12"/>
      <c r="AM4709" s="12"/>
      <c r="AN4709" s="1"/>
      <c r="AO4709" s="6"/>
    </row>
    <row r="4710" spans="1:41" ht="15" x14ac:dyDescent="0.25">
      <c r="A4710" s="1"/>
      <c r="B4710" s="1"/>
      <c r="C4710" s="1"/>
      <c r="D4710" s="1"/>
      <c r="E4710" s="6"/>
      <c r="F4710" s="1"/>
      <c r="G4710" s="6"/>
      <c r="H4710" s="6"/>
      <c r="I4710" s="6"/>
      <c r="J4710" s="6"/>
      <c r="K4710" s="6"/>
      <c r="L4710" s="6"/>
      <c r="M4710" s="6"/>
      <c r="N4710" s="6"/>
      <c r="O4710" s="7"/>
      <c r="P4710" s="6"/>
      <c r="Q4710" s="6"/>
      <c r="R4710" s="7"/>
      <c r="S4710" s="6"/>
      <c r="T4710" s="6"/>
      <c r="U4710" s="7"/>
      <c r="V4710" s="6"/>
      <c r="W4710" s="6"/>
      <c r="X4710" s="6"/>
      <c r="Y4710" s="6"/>
      <c r="Z4710" s="6"/>
      <c r="AA4710" s="7"/>
      <c r="AB4710" s="6"/>
      <c r="AC4710" s="6"/>
      <c r="AD4710" s="6"/>
      <c r="AE4710" s="12"/>
      <c r="AF4710" s="12"/>
      <c r="AG4710" s="12"/>
      <c r="AH4710" s="12"/>
      <c r="AI4710" s="6"/>
      <c r="AJ4710" s="12"/>
      <c r="AK4710" s="1"/>
      <c r="AL4710" s="12"/>
      <c r="AM4710" s="12"/>
      <c r="AN4710" s="1"/>
      <c r="AO4710" s="6"/>
    </row>
    <row r="4711" spans="1:41" ht="15" x14ac:dyDescent="0.25">
      <c r="A4711" s="1"/>
      <c r="B4711" s="1"/>
      <c r="C4711" s="1"/>
      <c r="D4711" s="1"/>
      <c r="E4711" s="6"/>
      <c r="F4711" s="1"/>
      <c r="G4711" s="6"/>
      <c r="H4711" s="6"/>
      <c r="I4711" s="6"/>
      <c r="J4711" s="6"/>
      <c r="K4711" s="6"/>
      <c r="L4711" s="6"/>
      <c r="M4711" s="6"/>
      <c r="N4711" s="6"/>
      <c r="O4711" s="7"/>
      <c r="P4711" s="6"/>
      <c r="Q4711" s="6"/>
      <c r="R4711" s="7"/>
      <c r="S4711" s="6"/>
      <c r="T4711" s="6"/>
      <c r="U4711" s="7"/>
      <c r="V4711" s="6"/>
      <c r="W4711" s="6"/>
      <c r="X4711" s="12"/>
      <c r="Y4711" s="6"/>
      <c r="Z4711" s="6"/>
      <c r="AA4711" s="7"/>
      <c r="AB4711" s="6"/>
      <c r="AC4711" s="6"/>
      <c r="AD4711" s="6"/>
      <c r="AE4711" s="12"/>
      <c r="AF4711" s="12"/>
      <c r="AG4711" s="12"/>
      <c r="AH4711" s="12"/>
      <c r="AI4711" s="6"/>
      <c r="AJ4711" s="12"/>
      <c r="AK4711" s="1"/>
      <c r="AL4711" s="12"/>
      <c r="AM4711" s="12"/>
      <c r="AN4711" s="1"/>
      <c r="AO4711" s="6"/>
    </row>
    <row r="4712" spans="1:41" ht="15" x14ac:dyDescent="0.25">
      <c r="A4712" s="1"/>
      <c r="B4712" s="1"/>
      <c r="C4712" s="1"/>
      <c r="D4712" s="1"/>
      <c r="E4712" s="6"/>
      <c r="F4712" s="1"/>
      <c r="G4712" s="6"/>
      <c r="H4712" s="6"/>
      <c r="I4712" s="6"/>
      <c r="J4712" s="6"/>
      <c r="K4712" s="6"/>
      <c r="L4712" s="6"/>
      <c r="M4712" s="6"/>
      <c r="N4712" s="6"/>
      <c r="O4712" s="7"/>
      <c r="P4712" s="6"/>
      <c r="Q4712" s="6"/>
      <c r="R4712" s="7"/>
      <c r="S4712" s="6"/>
      <c r="T4712" s="6"/>
      <c r="U4712" s="7"/>
      <c r="V4712" s="6"/>
      <c r="W4712" s="6"/>
      <c r="X4712" s="12"/>
      <c r="Y4712" s="6"/>
      <c r="Z4712" s="6"/>
      <c r="AA4712" s="7"/>
      <c r="AB4712" s="6"/>
      <c r="AC4712" s="6"/>
      <c r="AD4712" s="6"/>
      <c r="AE4712" s="12"/>
      <c r="AF4712" s="12"/>
      <c r="AG4712" s="12"/>
      <c r="AH4712" s="12"/>
      <c r="AI4712" s="6"/>
      <c r="AJ4712" s="12"/>
      <c r="AK4712" s="1"/>
      <c r="AL4712" s="12"/>
      <c r="AM4712" s="12"/>
      <c r="AN4712" s="1"/>
      <c r="AO4712" s="6"/>
    </row>
    <row r="4713" spans="1:41" ht="15" x14ac:dyDescent="0.25">
      <c r="A4713" s="1"/>
      <c r="B4713" s="1"/>
      <c r="C4713" s="1"/>
      <c r="D4713" s="1"/>
      <c r="E4713" s="6"/>
      <c r="F4713" s="1"/>
      <c r="G4713" s="6"/>
      <c r="H4713" s="6"/>
      <c r="I4713" s="6"/>
      <c r="J4713" s="6"/>
      <c r="K4713" s="6"/>
      <c r="L4713" s="6"/>
      <c r="M4713" s="6"/>
      <c r="N4713" s="6"/>
      <c r="O4713" s="7"/>
      <c r="P4713" s="6"/>
      <c r="Q4713" s="6"/>
      <c r="R4713" s="7"/>
      <c r="S4713" s="6"/>
      <c r="T4713" s="6"/>
      <c r="U4713" s="7"/>
      <c r="V4713" s="6"/>
      <c r="W4713" s="6"/>
      <c r="X4713" s="6"/>
      <c r="Y4713" s="6"/>
      <c r="Z4713" s="6"/>
      <c r="AA4713" s="7"/>
      <c r="AB4713" s="6"/>
      <c r="AC4713" s="6"/>
      <c r="AD4713" s="6"/>
      <c r="AE4713" s="12"/>
      <c r="AF4713" s="6"/>
      <c r="AG4713" s="12"/>
      <c r="AH4713" s="6"/>
      <c r="AI4713" s="6"/>
      <c r="AJ4713" s="12"/>
      <c r="AK4713" s="24"/>
      <c r="AL4713" s="25"/>
      <c r="AM4713" s="12"/>
      <c r="AN4713" s="1"/>
      <c r="AO4713" s="6"/>
    </row>
    <row r="4714" spans="1:41" ht="15" x14ac:dyDescent="0.25">
      <c r="A4714" s="1"/>
      <c r="B4714" s="1"/>
      <c r="C4714" s="1"/>
      <c r="D4714" s="1"/>
      <c r="E4714" s="6"/>
      <c r="F4714" s="1"/>
      <c r="G4714" s="6"/>
      <c r="H4714" s="6"/>
      <c r="I4714" s="6"/>
      <c r="J4714" s="6"/>
      <c r="K4714" s="6"/>
      <c r="L4714" s="6"/>
      <c r="M4714" s="6"/>
      <c r="N4714" s="6"/>
      <c r="O4714" s="7"/>
      <c r="P4714" s="6"/>
      <c r="Q4714" s="6"/>
      <c r="R4714" s="7"/>
      <c r="S4714" s="6"/>
      <c r="T4714" s="6"/>
      <c r="U4714" s="7"/>
      <c r="V4714" s="6"/>
      <c r="W4714" s="6"/>
      <c r="X4714" s="6"/>
      <c r="Y4714" s="6"/>
      <c r="Z4714" s="6"/>
      <c r="AA4714" s="7"/>
      <c r="AB4714" s="6"/>
      <c r="AC4714" s="6"/>
      <c r="AD4714" s="6"/>
      <c r="AE4714" s="12"/>
      <c r="AF4714" s="6"/>
      <c r="AG4714" s="12"/>
      <c r="AH4714" s="6"/>
      <c r="AI4714" s="6"/>
      <c r="AJ4714" s="12"/>
      <c r="AK4714" s="24"/>
      <c r="AL4714" s="25"/>
      <c r="AM4714" s="12"/>
      <c r="AN4714" s="1"/>
      <c r="AO4714" s="6"/>
    </row>
    <row r="4715" spans="1:41" ht="15" x14ac:dyDescent="0.25">
      <c r="A4715" s="1"/>
      <c r="B4715" s="1"/>
      <c r="C4715" s="1"/>
      <c r="D4715" s="1"/>
      <c r="E4715" s="6"/>
      <c r="F4715" s="1"/>
      <c r="G4715" s="6"/>
      <c r="H4715" s="6"/>
      <c r="I4715" s="6"/>
      <c r="J4715" s="6"/>
      <c r="K4715" s="6"/>
      <c r="L4715" s="6"/>
      <c r="M4715" s="6"/>
      <c r="N4715" s="6"/>
      <c r="O4715" s="7"/>
      <c r="P4715" s="6"/>
      <c r="Q4715" s="6"/>
      <c r="R4715" s="7"/>
      <c r="S4715" s="6"/>
      <c r="T4715" s="6"/>
      <c r="U4715" s="7"/>
      <c r="V4715" s="6"/>
      <c r="W4715" s="6"/>
      <c r="X4715" s="6"/>
      <c r="Y4715" s="6"/>
      <c r="Z4715" s="6"/>
      <c r="AA4715" s="7"/>
      <c r="AB4715" s="6"/>
      <c r="AC4715" s="6"/>
      <c r="AD4715" s="6"/>
      <c r="AE4715" s="12"/>
      <c r="AF4715" s="12"/>
      <c r="AG4715" s="12"/>
      <c r="AH4715" s="12"/>
      <c r="AI4715" s="6"/>
      <c r="AJ4715" s="12"/>
      <c r="AK4715" s="1"/>
      <c r="AL4715" s="12"/>
      <c r="AM4715" s="12"/>
      <c r="AN4715" s="1"/>
      <c r="AO4715" s="6"/>
    </row>
    <row r="4716" spans="1:41" ht="15" x14ac:dyDescent="0.25">
      <c r="A4716" s="1"/>
      <c r="B4716" s="1"/>
      <c r="C4716" s="1"/>
      <c r="D4716" s="1"/>
      <c r="E4716" s="6"/>
      <c r="F4716" s="1"/>
      <c r="G4716" s="6"/>
      <c r="H4716" s="6"/>
      <c r="I4716" s="6"/>
      <c r="J4716" s="6"/>
      <c r="K4716" s="6"/>
      <c r="L4716" s="6"/>
      <c r="M4716" s="6"/>
      <c r="N4716" s="6"/>
      <c r="O4716" s="7"/>
      <c r="P4716" s="6"/>
      <c r="Q4716" s="6"/>
      <c r="R4716" s="7"/>
      <c r="S4716" s="6"/>
      <c r="T4716" s="6"/>
      <c r="U4716" s="7"/>
      <c r="V4716" s="6"/>
      <c r="W4716" s="6"/>
      <c r="X4716" s="12"/>
      <c r="Y4716" s="6"/>
      <c r="Z4716" s="6"/>
      <c r="AA4716" s="7"/>
      <c r="AB4716" s="6"/>
      <c r="AC4716" s="6"/>
      <c r="AD4716" s="6"/>
      <c r="AE4716" s="12"/>
      <c r="AF4716" s="6"/>
      <c r="AG4716" s="12"/>
      <c r="AH4716" s="6"/>
      <c r="AI4716" s="6"/>
      <c r="AJ4716" s="12"/>
      <c r="AK4716" s="24"/>
      <c r="AL4716" s="25"/>
      <c r="AM4716" s="12"/>
      <c r="AN4716" s="1"/>
      <c r="AO4716" s="6"/>
    </row>
    <row r="4717" spans="1:41" ht="15" x14ac:dyDescent="0.25">
      <c r="A4717" s="1"/>
      <c r="B4717" s="1"/>
      <c r="C4717" s="1"/>
      <c r="D4717" s="1"/>
      <c r="E4717" s="6"/>
      <c r="F4717" s="1"/>
      <c r="G4717" s="6"/>
      <c r="H4717" s="6"/>
      <c r="I4717" s="6"/>
      <c r="J4717" s="6"/>
      <c r="K4717" s="6"/>
      <c r="L4717" s="6"/>
      <c r="M4717" s="6"/>
      <c r="N4717" s="6"/>
      <c r="O4717" s="7"/>
      <c r="P4717" s="6"/>
      <c r="Q4717" s="6"/>
      <c r="R4717" s="7"/>
      <c r="S4717" s="6"/>
      <c r="T4717" s="6"/>
      <c r="U4717" s="7"/>
      <c r="V4717" s="6"/>
      <c r="W4717" s="6"/>
      <c r="X4717" s="12"/>
      <c r="Y4717" s="6"/>
      <c r="Z4717" s="6"/>
      <c r="AA4717" s="7"/>
      <c r="AB4717" s="6"/>
      <c r="AC4717" s="6"/>
      <c r="AD4717" s="6"/>
      <c r="AE4717" s="12"/>
      <c r="AF4717" s="6"/>
      <c r="AG4717" s="12"/>
      <c r="AH4717" s="6"/>
      <c r="AI4717" s="6"/>
      <c r="AJ4717" s="12"/>
      <c r="AK4717" s="24"/>
      <c r="AL4717" s="25"/>
      <c r="AM4717" s="12"/>
      <c r="AN4717" s="1"/>
      <c r="AO4717" s="6"/>
    </row>
    <row r="4718" spans="1:41" ht="15" x14ac:dyDescent="0.25">
      <c r="A4718" s="1"/>
      <c r="B4718" s="1"/>
      <c r="C4718" s="1"/>
      <c r="D4718" s="1"/>
      <c r="E4718" s="6"/>
      <c r="F4718" s="1"/>
      <c r="G4718" s="6"/>
      <c r="H4718" s="6"/>
      <c r="I4718" s="6"/>
      <c r="J4718" s="6"/>
      <c r="K4718" s="6"/>
      <c r="L4718" s="6"/>
      <c r="M4718" s="6"/>
      <c r="N4718" s="6"/>
      <c r="O4718" s="7"/>
      <c r="P4718" s="6"/>
      <c r="Q4718" s="6"/>
      <c r="R4718" s="7"/>
      <c r="S4718" s="6"/>
      <c r="T4718" s="6"/>
      <c r="U4718" s="7"/>
      <c r="V4718" s="6"/>
      <c r="W4718" s="6"/>
      <c r="X4718" s="6"/>
      <c r="Y4718" s="6"/>
      <c r="Z4718" s="6"/>
      <c r="AA4718" s="7"/>
      <c r="AB4718" s="6"/>
      <c r="AC4718" s="6"/>
      <c r="AD4718" s="6"/>
      <c r="AE4718" s="12"/>
      <c r="AF4718" s="6"/>
      <c r="AG4718" s="12"/>
      <c r="AH4718" s="6"/>
      <c r="AI4718" s="6"/>
      <c r="AJ4718" s="12"/>
      <c r="AK4718" s="1"/>
      <c r="AL4718" s="12"/>
      <c r="AM4718" s="12"/>
      <c r="AN4718" s="1"/>
      <c r="AO4718" s="6"/>
    </row>
    <row r="4719" spans="1:41" ht="15" x14ac:dyDescent="0.25">
      <c r="A4719" s="1"/>
      <c r="B4719" s="1"/>
      <c r="C4719" s="1"/>
      <c r="D4719" s="1"/>
      <c r="E4719" s="6"/>
      <c r="F4719" s="1"/>
      <c r="G4719" s="6"/>
      <c r="H4719" s="6"/>
      <c r="I4719" s="6"/>
      <c r="J4719" s="6"/>
      <c r="K4719" s="6"/>
      <c r="L4719" s="6"/>
      <c r="M4719" s="6"/>
      <c r="N4719" s="6"/>
      <c r="O4719" s="7"/>
      <c r="P4719" s="6"/>
      <c r="Q4719" s="6"/>
      <c r="R4719" s="7"/>
      <c r="S4719" s="6"/>
      <c r="T4719" s="6"/>
      <c r="U4719" s="7"/>
      <c r="V4719" s="6"/>
      <c r="W4719" s="6"/>
      <c r="X4719" s="6"/>
      <c r="Y4719" s="6"/>
      <c r="Z4719" s="6"/>
      <c r="AA4719" s="7"/>
      <c r="AB4719" s="6"/>
      <c r="AC4719" s="6"/>
      <c r="AD4719" s="6"/>
      <c r="AE4719" s="12"/>
      <c r="AF4719" s="6"/>
      <c r="AG4719" s="12"/>
      <c r="AH4719" s="6"/>
      <c r="AI4719" s="6"/>
      <c r="AJ4719" s="12"/>
      <c r="AK4719" s="1"/>
      <c r="AL4719" s="12"/>
      <c r="AM4719" s="12"/>
      <c r="AN4719" s="1"/>
      <c r="AO4719" s="6"/>
    </row>
    <row r="4720" spans="1:41" ht="15" x14ac:dyDescent="0.25">
      <c r="A4720" s="1"/>
      <c r="B4720" s="1"/>
      <c r="C4720" s="1"/>
      <c r="D4720" s="1"/>
      <c r="E4720" s="6"/>
      <c r="F4720" s="1"/>
      <c r="G4720" s="6"/>
      <c r="H4720" s="6"/>
      <c r="I4720" s="6"/>
      <c r="J4720" s="6"/>
      <c r="K4720" s="6"/>
      <c r="L4720" s="6"/>
      <c r="M4720" s="6"/>
      <c r="N4720" s="6"/>
      <c r="O4720" s="7"/>
      <c r="P4720" s="6"/>
      <c r="Q4720" s="6"/>
      <c r="R4720" s="7"/>
      <c r="S4720" s="6"/>
      <c r="T4720" s="6"/>
      <c r="U4720" s="7"/>
      <c r="V4720" s="6"/>
      <c r="W4720" s="6"/>
      <c r="X4720" s="6"/>
      <c r="Y4720" s="6"/>
      <c r="Z4720" s="6"/>
      <c r="AA4720" s="7"/>
      <c r="AB4720" s="6"/>
      <c r="AC4720" s="6"/>
      <c r="AD4720" s="6"/>
      <c r="AE4720" s="12"/>
      <c r="AF4720" s="12"/>
      <c r="AG4720" s="12"/>
      <c r="AH4720" s="12"/>
      <c r="AI4720" s="6"/>
      <c r="AJ4720" s="12"/>
      <c r="AK4720" s="1"/>
      <c r="AL4720" s="12"/>
      <c r="AM4720" s="12"/>
      <c r="AN4720" s="1"/>
      <c r="AO4720" s="6"/>
    </row>
    <row r="4721" spans="1:41" ht="15" x14ac:dyDescent="0.25">
      <c r="A4721" s="1"/>
      <c r="B4721" s="1"/>
      <c r="C4721" s="1"/>
      <c r="D4721" s="1"/>
      <c r="E4721" s="6"/>
      <c r="F4721" s="1"/>
      <c r="G4721" s="6"/>
      <c r="H4721" s="6"/>
      <c r="I4721" s="6"/>
      <c r="J4721" s="6"/>
      <c r="K4721" s="6"/>
      <c r="L4721" s="6"/>
      <c r="M4721" s="6"/>
      <c r="N4721" s="6"/>
      <c r="O4721" s="7"/>
      <c r="P4721" s="6"/>
      <c r="Q4721" s="6"/>
      <c r="R4721" s="7"/>
      <c r="S4721" s="6"/>
      <c r="T4721" s="6"/>
      <c r="U4721" s="7"/>
      <c r="V4721" s="6"/>
      <c r="W4721" s="6"/>
      <c r="X4721" s="6"/>
      <c r="Y4721" s="6"/>
      <c r="Z4721" s="6"/>
      <c r="AA4721" s="7"/>
      <c r="AB4721" s="6"/>
      <c r="AC4721" s="6"/>
      <c r="AD4721" s="6"/>
      <c r="AE4721" s="12"/>
      <c r="AF4721" s="6"/>
      <c r="AG4721" s="12"/>
      <c r="AH4721" s="6"/>
      <c r="AI4721" s="6"/>
      <c r="AJ4721" s="12"/>
      <c r="AK4721" s="24"/>
      <c r="AL4721" s="25"/>
      <c r="AM4721" s="12"/>
      <c r="AN4721" s="1"/>
      <c r="AO4721" s="6"/>
    </row>
    <row r="4722" spans="1:41" ht="15" x14ac:dyDescent="0.25">
      <c r="A4722" s="1"/>
      <c r="B4722" s="1"/>
      <c r="C4722" s="1"/>
      <c r="D4722" s="1"/>
      <c r="E4722" s="6"/>
      <c r="F4722" s="1"/>
      <c r="G4722" s="6"/>
      <c r="H4722" s="6"/>
      <c r="I4722" s="6"/>
      <c r="J4722" s="6"/>
      <c r="K4722" s="6"/>
      <c r="L4722" s="6"/>
      <c r="M4722" s="6"/>
      <c r="N4722" s="6"/>
      <c r="O4722" s="7"/>
      <c r="P4722" s="6"/>
      <c r="Q4722" s="6"/>
      <c r="R4722" s="7"/>
      <c r="S4722" s="6"/>
      <c r="T4722" s="6"/>
      <c r="U4722" s="7"/>
      <c r="V4722" s="6"/>
      <c r="W4722" s="6"/>
      <c r="X4722" s="6"/>
      <c r="Y4722" s="6"/>
      <c r="Z4722" s="6"/>
      <c r="AA4722" s="7"/>
      <c r="AB4722" s="6"/>
      <c r="AC4722" s="6"/>
      <c r="AD4722" s="6"/>
      <c r="AE4722" s="12"/>
      <c r="AF4722" s="6"/>
      <c r="AG4722" s="12"/>
      <c r="AH4722" s="6"/>
      <c r="AI4722" s="6"/>
      <c r="AJ4722" s="12"/>
      <c r="AK4722" s="24"/>
      <c r="AL4722" s="25"/>
      <c r="AM4722" s="12"/>
      <c r="AN4722" s="1"/>
      <c r="AO4722" s="6"/>
    </row>
    <row r="4723" spans="1:41" ht="15" x14ac:dyDescent="0.25">
      <c r="A4723" s="1"/>
      <c r="B4723" s="1"/>
      <c r="C4723" s="1"/>
      <c r="D4723" s="1"/>
      <c r="E4723" s="6"/>
      <c r="F4723" s="1"/>
      <c r="G4723" s="6"/>
      <c r="H4723" s="6"/>
      <c r="I4723" s="6"/>
      <c r="J4723" s="6"/>
      <c r="K4723" s="6"/>
      <c r="L4723" s="6"/>
      <c r="M4723" s="6"/>
      <c r="N4723" s="6"/>
      <c r="O4723" s="7"/>
      <c r="P4723" s="6"/>
      <c r="Q4723" s="6"/>
      <c r="R4723" s="7"/>
      <c r="S4723" s="6"/>
      <c r="T4723" s="6"/>
      <c r="U4723" s="7"/>
      <c r="V4723" s="6"/>
      <c r="W4723" s="6"/>
      <c r="X4723" s="6"/>
      <c r="Y4723" s="6"/>
      <c r="Z4723" s="6"/>
      <c r="AA4723" s="7"/>
      <c r="AB4723" s="6"/>
      <c r="AC4723" s="6"/>
      <c r="AD4723" s="6"/>
      <c r="AE4723" s="12"/>
      <c r="AF4723" s="12"/>
      <c r="AG4723" s="12"/>
      <c r="AH4723" s="12"/>
      <c r="AI4723" s="6"/>
      <c r="AJ4723" s="12"/>
      <c r="AK4723" s="1"/>
      <c r="AL4723" s="12"/>
      <c r="AM4723" s="12"/>
      <c r="AN4723" s="1"/>
      <c r="AO4723" s="6"/>
    </row>
    <row r="4724" spans="1:41" ht="15" x14ac:dyDescent="0.25">
      <c r="A4724" s="1"/>
      <c r="B4724" s="1"/>
      <c r="C4724" s="1"/>
      <c r="D4724" s="1"/>
      <c r="E4724" s="6"/>
      <c r="F4724" s="1"/>
      <c r="G4724" s="6"/>
      <c r="H4724" s="6"/>
      <c r="I4724" s="6"/>
      <c r="J4724" s="6"/>
      <c r="K4724" s="6"/>
      <c r="L4724" s="6"/>
      <c r="M4724" s="6"/>
      <c r="N4724" s="6"/>
      <c r="O4724" s="7"/>
      <c r="P4724" s="6"/>
      <c r="Q4724" s="6"/>
      <c r="R4724" s="7"/>
      <c r="S4724" s="6"/>
      <c r="T4724" s="6"/>
      <c r="U4724" s="7"/>
      <c r="V4724" s="6"/>
      <c r="W4724" s="6"/>
      <c r="X4724" s="6"/>
      <c r="Y4724" s="6"/>
      <c r="Z4724" s="6"/>
      <c r="AA4724" s="7"/>
      <c r="AB4724" s="6"/>
      <c r="AC4724" s="6"/>
      <c r="AD4724" s="6"/>
      <c r="AE4724" s="12"/>
      <c r="AF4724" s="12"/>
      <c r="AG4724" s="12"/>
      <c r="AH4724" s="12"/>
      <c r="AI4724" s="6"/>
      <c r="AJ4724" s="12"/>
      <c r="AK4724" s="1"/>
      <c r="AL4724" s="12"/>
      <c r="AM4724" s="12"/>
      <c r="AN4724" s="1"/>
      <c r="AO4724" s="6"/>
    </row>
    <row r="4725" spans="1:41" ht="15" x14ac:dyDescent="0.25">
      <c r="A4725" s="1"/>
      <c r="B4725" s="1"/>
      <c r="C4725" s="1"/>
      <c r="D4725" s="1"/>
      <c r="E4725" s="6"/>
      <c r="F4725" s="1"/>
      <c r="G4725" s="6"/>
      <c r="H4725" s="6"/>
      <c r="I4725" s="6"/>
      <c r="J4725" s="6"/>
      <c r="K4725" s="6"/>
      <c r="L4725" s="6"/>
      <c r="M4725" s="6"/>
      <c r="N4725" s="6"/>
      <c r="O4725" s="7"/>
      <c r="P4725" s="6"/>
      <c r="Q4725" s="6"/>
      <c r="R4725" s="7"/>
      <c r="S4725" s="6"/>
      <c r="T4725" s="6"/>
      <c r="U4725" s="7"/>
      <c r="V4725" s="6"/>
      <c r="W4725" s="6"/>
      <c r="X4725" s="6"/>
      <c r="Y4725" s="6"/>
      <c r="Z4725" s="6"/>
      <c r="AA4725" s="7"/>
      <c r="AB4725" s="6"/>
      <c r="AC4725" s="6"/>
      <c r="AD4725" s="6"/>
      <c r="AE4725" s="12"/>
      <c r="AF4725" s="12"/>
      <c r="AG4725" s="12"/>
      <c r="AH4725" s="12"/>
      <c r="AI4725" s="6"/>
      <c r="AJ4725" s="12"/>
      <c r="AK4725" s="1"/>
      <c r="AL4725" s="12"/>
      <c r="AM4725" s="12"/>
      <c r="AN4725" s="1"/>
      <c r="AO4725" s="6"/>
    </row>
    <row r="4726" spans="1:41" ht="15" x14ac:dyDescent="0.25">
      <c r="A4726" s="1"/>
      <c r="B4726" s="1"/>
      <c r="C4726" s="1"/>
      <c r="D4726" s="1"/>
      <c r="E4726" s="6"/>
      <c r="F4726" s="1"/>
      <c r="G4726" s="6"/>
      <c r="H4726" s="6"/>
      <c r="I4726" s="6"/>
      <c r="J4726" s="6"/>
      <c r="K4726" s="6"/>
      <c r="L4726" s="6"/>
      <c r="M4726" s="6"/>
      <c r="N4726" s="6"/>
      <c r="O4726" s="7"/>
      <c r="P4726" s="6"/>
      <c r="Q4726" s="7"/>
      <c r="R4726" s="6"/>
      <c r="S4726" s="12"/>
      <c r="T4726" s="6"/>
      <c r="U4726" s="6"/>
      <c r="V4726" s="7"/>
      <c r="W4726" s="7"/>
      <c r="X4726" s="6"/>
      <c r="Y4726" s="6"/>
      <c r="Z4726" s="6"/>
      <c r="AA4726" s="1"/>
      <c r="AB4726" s="12"/>
      <c r="AC4726" s="12"/>
      <c r="AD4726" s="12"/>
      <c r="AE4726" s="12"/>
      <c r="AF4726" s="12"/>
      <c r="AG4726" s="12"/>
      <c r="AH4726" s="12"/>
      <c r="AI4726" s="6"/>
      <c r="AJ4726" s="12"/>
      <c r="AK4726" s="12"/>
      <c r="AL4726" s="12"/>
      <c r="AM4726" s="12"/>
      <c r="AN4726" s="1"/>
      <c r="AO4726" s="6"/>
    </row>
    <row r="4727" spans="1:41" ht="15" x14ac:dyDescent="0.25">
      <c r="A4727" s="1"/>
      <c r="B4727" s="1"/>
      <c r="C4727" s="1"/>
      <c r="D4727" s="1"/>
      <c r="E4727" s="6"/>
      <c r="F4727" s="1"/>
      <c r="G4727" s="6"/>
      <c r="H4727" s="6"/>
      <c r="I4727" s="6"/>
      <c r="J4727" s="6"/>
      <c r="K4727" s="6"/>
      <c r="L4727" s="6"/>
      <c r="M4727" s="6"/>
      <c r="N4727" s="6"/>
      <c r="O4727" s="7"/>
      <c r="P4727" s="6"/>
      <c r="Q4727" s="6"/>
      <c r="R4727" s="7"/>
      <c r="S4727" s="6"/>
      <c r="T4727" s="6"/>
      <c r="U4727" s="7"/>
      <c r="V4727" s="6"/>
      <c r="W4727" s="6"/>
      <c r="X4727" s="6"/>
      <c r="Y4727" s="6"/>
      <c r="Z4727" s="6"/>
      <c r="AA4727" s="7"/>
      <c r="AB4727" s="6"/>
      <c r="AC4727" s="6"/>
      <c r="AD4727" s="6"/>
      <c r="AE4727" s="12"/>
      <c r="AF4727" s="12"/>
      <c r="AG4727" s="12"/>
      <c r="AH4727" s="12"/>
      <c r="AI4727" s="6"/>
      <c r="AJ4727" s="12"/>
      <c r="AK4727" s="1"/>
      <c r="AL4727" s="12"/>
      <c r="AM4727" s="12"/>
      <c r="AN4727" s="1"/>
      <c r="AO4727" s="6"/>
    </row>
    <row r="4728" spans="1:41" ht="15" x14ac:dyDescent="0.25">
      <c r="A4728" s="1"/>
      <c r="B4728" s="1"/>
      <c r="C4728" s="1"/>
      <c r="D4728" s="1"/>
      <c r="E4728" s="6"/>
      <c r="F4728" s="1"/>
      <c r="G4728" s="6"/>
      <c r="H4728" s="6"/>
      <c r="I4728" s="6"/>
      <c r="J4728" s="6"/>
      <c r="K4728" s="6"/>
      <c r="L4728" s="6"/>
      <c r="M4728" s="6"/>
      <c r="N4728" s="6"/>
      <c r="O4728" s="7"/>
      <c r="P4728" s="6"/>
      <c r="Q4728" s="6"/>
      <c r="R4728" s="7"/>
      <c r="S4728" s="6"/>
      <c r="T4728" s="6"/>
      <c r="U4728" s="7"/>
      <c r="V4728" s="6"/>
      <c r="W4728" s="6"/>
      <c r="X4728" s="6"/>
      <c r="Y4728" s="6"/>
      <c r="Z4728" s="6"/>
      <c r="AA4728" s="7"/>
      <c r="AB4728" s="6"/>
      <c r="AC4728" s="6"/>
      <c r="AD4728" s="6"/>
      <c r="AE4728" s="12"/>
      <c r="AF4728" s="6"/>
      <c r="AG4728" s="12"/>
      <c r="AH4728" s="6"/>
      <c r="AI4728" s="6"/>
      <c r="AJ4728" s="12"/>
      <c r="AK4728" s="24"/>
      <c r="AL4728" s="25"/>
      <c r="AM4728" s="12"/>
      <c r="AN4728" s="1"/>
      <c r="AO4728" s="6"/>
    </row>
    <row r="4729" spans="1:41" ht="15" x14ac:dyDescent="0.25">
      <c r="A4729" s="1"/>
      <c r="B4729" s="1"/>
      <c r="C4729" s="1"/>
      <c r="D4729" s="1"/>
      <c r="E4729" s="6"/>
      <c r="F4729" s="1"/>
      <c r="G4729" s="6"/>
      <c r="H4729" s="6"/>
      <c r="I4729" s="6"/>
      <c r="J4729" s="6"/>
      <c r="K4729" s="6"/>
      <c r="L4729" s="6"/>
      <c r="M4729" s="6"/>
      <c r="N4729" s="6"/>
      <c r="O4729" s="7"/>
      <c r="P4729" s="6"/>
      <c r="Q4729" s="6"/>
      <c r="R4729" s="7"/>
      <c r="S4729" s="6"/>
      <c r="T4729" s="6"/>
      <c r="U4729" s="7"/>
      <c r="V4729" s="6"/>
      <c r="W4729" s="6"/>
      <c r="X4729" s="6"/>
      <c r="Y4729" s="6"/>
      <c r="Z4729" s="6"/>
      <c r="AA4729" s="7"/>
      <c r="AB4729" s="6"/>
      <c r="AC4729" s="6"/>
      <c r="AD4729" s="6"/>
      <c r="AE4729" s="12"/>
      <c r="AF4729" s="6"/>
      <c r="AG4729" s="12"/>
      <c r="AH4729" s="6"/>
      <c r="AI4729" s="6"/>
      <c r="AJ4729" s="12"/>
      <c r="AK4729" s="24"/>
      <c r="AL4729" s="25"/>
      <c r="AM4729" s="12"/>
      <c r="AN4729" s="1"/>
      <c r="AO4729" s="6"/>
    </row>
    <row r="4730" spans="1:41" ht="15" x14ac:dyDescent="0.25">
      <c r="A4730" s="1"/>
      <c r="B4730" s="1"/>
      <c r="C4730" s="1"/>
      <c r="D4730" s="1"/>
      <c r="E4730" s="6"/>
      <c r="F4730" s="1"/>
      <c r="G4730" s="6"/>
      <c r="H4730" s="6"/>
      <c r="I4730" s="6"/>
      <c r="J4730" s="6"/>
      <c r="K4730" s="6"/>
      <c r="L4730" s="6"/>
      <c r="M4730" s="6"/>
      <c r="N4730" s="6"/>
      <c r="O4730" s="7"/>
      <c r="P4730" s="12"/>
      <c r="Q4730" s="6"/>
      <c r="R4730" s="7"/>
      <c r="S4730" s="6"/>
      <c r="T4730" s="6"/>
      <c r="U4730" s="7"/>
      <c r="V4730" s="6"/>
      <c r="W4730" s="6"/>
      <c r="X4730" s="12"/>
      <c r="Y4730" s="6"/>
      <c r="Z4730" s="6"/>
      <c r="AA4730" s="7"/>
      <c r="AB4730" s="6"/>
      <c r="AC4730" s="6"/>
      <c r="AD4730" s="6"/>
      <c r="AE4730" s="12"/>
      <c r="AF4730" s="12"/>
      <c r="AG4730" s="12"/>
      <c r="AH4730" s="12"/>
      <c r="AI4730" s="6"/>
      <c r="AJ4730" s="12"/>
      <c r="AK4730" s="1"/>
      <c r="AL4730" s="12"/>
      <c r="AM4730" s="12"/>
      <c r="AN4730" s="1"/>
      <c r="AO4730" s="6"/>
    </row>
    <row r="4731" spans="1:41" ht="15" x14ac:dyDescent="0.25">
      <c r="A4731" s="1"/>
      <c r="B4731" s="1"/>
      <c r="C4731" s="1"/>
      <c r="D4731" s="1"/>
      <c r="E4731" s="6"/>
      <c r="F4731" s="1"/>
      <c r="G4731" s="6"/>
      <c r="H4731" s="6"/>
      <c r="I4731" s="6"/>
      <c r="J4731" s="6"/>
      <c r="K4731" s="6"/>
      <c r="L4731" s="6"/>
      <c r="M4731" s="6"/>
      <c r="N4731" s="6"/>
      <c r="O4731" s="7"/>
      <c r="P4731" s="6"/>
      <c r="Q4731" s="6"/>
      <c r="R4731" s="7"/>
      <c r="S4731" s="6"/>
      <c r="T4731" s="6"/>
      <c r="U4731" s="7"/>
      <c r="V4731" s="6"/>
      <c r="W4731" s="6"/>
      <c r="X4731" s="12"/>
      <c r="Y4731" s="6"/>
      <c r="Z4731" s="6"/>
      <c r="AA4731" s="7"/>
      <c r="AB4731" s="6"/>
      <c r="AC4731" s="6"/>
      <c r="AD4731" s="6"/>
      <c r="AE4731" s="12"/>
      <c r="AF4731" s="12"/>
      <c r="AG4731" s="12"/>
      <c r="AH4731" s="12"/>
      <c r="AI4731" s="6"/>
      <c r="AJ4731" s="12"/>
      <c r="AK4731" s="1"/>
      <c r="AL4731" s="12"/>
      <c r="AM4731" s="12"/>
      <c r="AN4731" s="1"/>
      <c r="AO4731" s="6"/>
    </row>
    <row r="4732" spans="1:41" ht="15" x14ac:dyDescent="0.25">
      <c r="A4732" s="1"/>
      <c r="B4732" s="1"/>
      <c r="C4732" s="1"/>
      <c r="D4732" s="1"/>
      <c r="E4732" s="6"/>
      <c r="F4732" s="1"/>
      <c r="G4732" s="6"/>
      <c r="H4732" s="6"/>
      <c r="I4732" s="6"/>
      <c r="J4732" s="6"/>
      <c r="K4732" s="6"/>
      <c r="L4732" s="6"/>
      <c r="M4732" s="6"/>
      <c r="N4732" s="6"/>
      <c r="O4732" s="7"/>
      <c r="P4732" s="6"/>
      <c r="Q4732" s="6"/>
      <c r="R4732" s="7"/>
      <c r="S4732" s="6"/>
      <c r="T4732" s="6"/>
      <c r="U4732" s="7"/>
      <c r="V4732" s="6"/>
      <c r="W4732" s="6"/>
      <c r="X4732" s="6"/>
      <c r="Y4732" s="6"/>
      <c r="Z4732" s="6"/>
      <c r="AA4732" s="7"/>
      <c r="AB4732" s="6"/>
      <c r="AC4732" s="6"/>
      <c r="AD4732" s="6"/>
      <c r="AE4732" s="12"/>
      <c r="AF4732" s="6"/>
      <c r="AG4732" s="12"/>
      <c r="AH4732" s="6"/>
      <c r="AI4732" s="6"/>
      <c r="AJ4732" s="12"/>
      <c r="AK4732" s="24"/>
      <c r="AL4732" s="25"/>
      <c r="AM4732" s="12"/>
      <c r="AN4732" s="1"/>
      <c r="AO4732" s="12"/>
    </row>
    <row r="4733" spans="1:41" ht="15" x14ac:dyDescent="0.25">
      <c r="A4733" s="1"/>
      <c r="B4733" s="1"/>
      <c r="C4733" s="1"/>
      <c r="D4733" s="1"/>
      <c r="E4733" s="6"/>
      <c r="F4733" s="1"/>
      <c r="G4733" s="6"/>
      <c r="H4733" s="6"/>
      <c r="I4733" s="6"/>
      <c r="J4733" s="6"/>
      <c r="K4733" s="6"/>
      <c r="L4733" s="6"/>
      <c r="M4733" s="6"/>
      <c r="N4733" s="6"/>
      <c r="O4733" s="7"/>
      <c r="P4733" s="6"/>
      <c r="Q4733" s="6"/>
      <c r="R4733" s="7"/>
      <c r="S4733" s="6"/>
      <c r="T4733" s="6"/>
      <c r="U4733" s="7"/>
      <c r="V4733" s="6"/>
      <c r="W4733" s="6"/>
      <c r="X4733" s="6"/>
      <c r="Y4733" s="6"/>
      <c r="Z4733" s="6"/>
      <c r="AA4733" s="7"/>
      <c r="AB4733" s="6"/>
      <c r="AC4733" s="6"/>
      <c r="AD4733" s="6"/>
      <c r="AE4733" s="12"/>
      <c r="AF4733" s="6"/>
      <c r="AG4733" s="12"/>
      <c r="AH4733" s="6"/>
      <c r="AI4733" s="6"/>
      <c r="AJ4733" s="12"/>
      <c r="AK4733" s="24"/>
      <c r="AL4733" s="25"/>
      <c r="AM4733" s="12"/>
      <c r="AN4733" s="1"/>
      <c r="AO4733" s="12"/>
    </row>
    <row r="4734" spans="1:41" ht="15" x14ac:dyDescent="0.25">
      <c r="A4734" s="1"/>
      <c r="B4734" s="1"/>
      <c r="C4734" s="1"/>
      <c r="D4734" s="1"/>
      <c r="E4734" s="6"/>
      <c r="F4734" s="1"/>
      <c r="G4734" s="6"/>
      <c r="H4734" s="6"/>
      <c r="I4734" s="6"/>
      <c r="J4734" s="6"/>
      <c r="K4734" s="6"/>
      <c r="L4734" s="6"/>
      <c r="M4734" s="6"/>
      <c r="N4734" s="6"/>
      <c r="O4734" s="7"/>
      <c r="P4734" s="6"/>
      <c r="Q4734" s="7"/>
      <c r="R4734" s="6"/>
      <c r="S4734" s="12"/>
      <c r="T4734" s="6"/>
      <c r="U4734" s="6"/>
      <c r="V4734" s="7"/>
      <c r="W4734" s="7"/>
      <c r="X4734" s="6"/>
      <c r="Y4734" s="6"/>
      <c r="Z4734" s="6"/>
      <c r="AA4734" s="1"/>
      <c r="AB4734" s="12"/>
      <c r="AC4734" s="12"/>
      <c r="AD4734" s="12"/>
      <c r="AE4734" s="12"/>
      <c r="AF4734" s="12"/>
      <c r="AG4734" s="12"/>
      <c r="AH4734" s="12"/>
      <c r="AI4734" s="6"/>
      <c r="AJ4734" s="12"/>
      <c r="AK4734" s="12"/>
      <c r="AL4734" s="12"/>
      <c r="AM4734" s="12"/>
      <c r="AN4734" s="1"/>
      <c r="AO4734" s="6"/>
    </row>
    <row r="4735" spans="1:41" ht="15" x14ac:dyDescent="0.25">
      <c r="A4735" s="1"/>
      <c r="B4735" s="1"/>
      <c r="C4735" s="1"/>
      <c r="D4735" s="1"/>
      <c r="E4735" s="6"/>
      <c r="F4735" s="1"/>
      <c r="G4735" s="6"/>
      <c r="H4735" s="6"/>
      <c r="I4735" s="6"/>
      <c r="J4735" s="6"/>
      <c r="K4735" s="6"/>
      <c r="L4735" s="6"/>
      <c r="M4735" s="6"/>
      <c r="N4735" s="6"/>
      <c r="O4735" s="7"/>
      <c r="P4735" s="6"/>
      <c r="Q4735" s="6"/>
      <c r="R4735" s="7"/>
      <c r="S4735" s="6"/>
      <c r="T4735" s="6"/>
      <c r="U4735" s="7"/>
      <c r="V4735" s="6"/>
      <c r="W4735" s="6"/>
      <c r="X4735" s="12"/>
      <c r="Y4735" s="6"/>
      <c r="Z4735" s="6"/>
      <c r="AA4735" s="7"/>
      <c r="AB4735" s="6"/>
      <c r="AC4735" s="6"/>
      <c r="AD4735" s="6"/>
      <c r="AE4735" s="12"/>
      <c r="AF4735" s="6"/>
      <c r="AG4735" s="12"/>
      <c r="AH4735" s="6"/>
      <c r="AI4735" s="6"/>
      <c r="AJ4735" s="12"/>
      <c r="AK4735" s="1"/>
      <c r="AL4735" s="12"/>
      <c r="AM4735" s="12"/>
      <c r="AN4735" s="1"/>
      <c r="AO4735" s="6"/>
    </row>
    <row r="4736" spans="1:41" ht="15" x14ac:dyDescent="0.25">
      <c r="A4736" s="1"/>
      <c r="B4736" s="1"/>
      <c r="C4736" s="1"/>
      <c r="D4736" s="1"/>
      <c r="E4736" s="6"/>
      <c r="F4736" s="1"/>
      <c r="G4736" s="6"/>
      <c r="H4736" s="6"/>
      <c r="I4736" s="6"/>
      <c r="J4736" s="6"/>
      <c r="K4736" s="6"/>
      <c r="L4736" s="6"/>
      <c r="M4736" s="6"/>
      <c r="N4736" s="6"/>
      <c r="O4736" s="7"/>
      <c r="P4736" s="6"/>
      <c r="Q4736" s="6"/>
      <c r="R4736" s="7"/>
      <c r="S4736" s="6"/>
      <c r="T4736" s="6"/>
      <c r="U4736" s="7"/>
      <c r="V4736" s="6"/>
      <c r="W4736" s="6"/>
      <c r="X4736" s="12"/>
      <c r="Y4736" s="6"/>
      <c r="Z4736" s="6"/>
      <c r="AA4736" s="7"/>
      <c r="AB4736" s="6"/>
      <c r="AC4736" s="6"/>
      <c r="AD4736" s="6"/>
      <c r="AE4736" s="12"/>
      <c r="AF4736" s="6"/>
      <c r="AG4736" s="12"/>
      <c r="AH4736" s="6"/>
      <c r="AI4736" s="6"/>
      <c r="AJ4736" s="12"/>
      <c r="AK4736" s="1"/>
      <c r="AL4736" s="12"/>
      <c r="AM4736" s="12"/>
      <c r="AN4736" s="1"/>
      <c r="AO4736" s="6"/>
    </row>
    <row r="4737" spans="1:41" ht="15" x14ac:dyDescent="0.25">
      <c r="A4737" s="1"/>
      <c r="B4737" s="1"/>
      <c r="C4737" s="1"/>
      <c r="D4737" s="1"/>
      <c r="E4737" s="6"/>
      <c r="F4737" s="1"/>
      <c r="G4737" s="6"/>
      <c r="H4737" s="6"/>
      <c r="I4737" s="6"/>
      <c r="J4737" s="6"/>
      <c r="K4737" s="6"/>
      <c r="L4737" s="6"/>
      <c r="M4737" s="6"/>
      <c r="N4737" s="6"/>
      <c r="O4737" s="7"/>
      <c r="P4737" s="6"/>
      <c r="Q4737" s="6"/>
      <c r="R4737" s="7"/>
      <c r="S4737" s="6"/>
      <c r="T4737" s="6"/>
      <c r="U4737" s="7"/>
      <c r="V4737" s="6"/>
      <c r="W4737" s="6"/>
      <c r="X4737" s="12"/>
      <c r="Y4737" s="6"/>
      <c r="Z4737" s="6"/>
      <c r="AA4737" s="7"/>
      <c r="AB4737" s="6"/>
      <c r="AC4737" s="6"/>
      <c r="AD4737" s="6"/>
      <c r="AE4737" s="12"/>
      <c r="AF4737" s="6"/>
      <c r="AG4737" s="12"/>
      <c r="AH4737" s="6"/>
      <c r="AI4737" s="6"/>
      <c r="AJ4737" s="12"/>
      <c r="AK4737" s="24"/>
      <c r="AL4737" s="25"/>
      <c r="AM4737" s="12"/>
      <c r="AN4737" s="1"/>
      <c r="AO4737" s="6"/>
    </row>
    <row r="4738" spans="1:41" ht="15" x14ac:dyDescent="0.25">
      <c r="A4738" s="1"/>
      <c r="B4738" s="1"/>
      <c r="C4738" s="1"/>
      <c r="D4738" s="1"/>
      <c r="E4738" s="6"/>
      <c r="F4738" s="1"/>
      <c r="G4738" s="6"/>
      <c r="H4738" s="6"/>
      <c r="I4738" s="6"/>
      <c r="J4738" s="6"/>
      <c r="K4738" s="6"/>
      <c r="L4738" s="6"/>
      <c r="M4738" s="6"/>
      <c r="N4738" s="6"/>
      <c r="O4738" s="7"/>
      <c r="P4738" s="6"/>
      <c r="Q4738" s="6"/>
      <c r="R4738" s="7"/>
      <c r="S4738" s="6"/>
      <c r="T4738" s="6"/>
      <c r="U4738" s="7"/>
      <c r="V4738" s="6"/>
      <c r="W4738" s="6"/>
      <c r="X4738" s="12"/>
      <c r="Y4738" s="6"/>
      <c r="Z4738" s="6"/>
      <c r="AA4738" s="7"/>
      <c r="AB4738" s="6"/>
      <c r="AC4738" s="6"/>
      <c r="AD4738" s="6"/>
      <c r="AE4738" s="12"/>
      <c r="AF4738" s="6"/>
      <c r="AG4738" s="12"/>
      <c r="AH4738" s="6"/>
      <c r="AI4738" s="6"/>
      <c r="AJ4738" s="12"/>
      <c r="AK4738" s="24"/>
      <c r="AL4738" s="25"/>
      <c r="AM4738" s="12"/>
      <c r="AN4738" s="1"/>
      <c r="AO4738" s="6"/>
    </row>
    <row r="4739" spans="1:41" ht="15" x14ac:dyDescent="0.25">
      <c r="A4739" s="1"/>
      <c r="B4739" s="1"/>
      <c r="C4739" s="1"/>
      <c r="D4739" s="1"/>
      <c r="E4739" s="6"/>
      <c r="F4739" s="1"/>
      <c r="G4739" s="6"/>
      <c r="H4739" s="6"/>
      <c r="I4739" s="6"/>
      <c r="J4739" s="6"/>
      <c r="K4739" s="12"/>
      <c r="L4739" s="12"/>
      <c r="M4739" s="6"/>
      <c r="N4739" s="6"/>
      <c r="O4739" s="7"/>
      <c r="P4739" s="6"/>
      <c r="Q4739" s="6"/>
      <c r="R4739" s="7"/>
      <c r="S4739" s="6"/>
      <c r="T4739" s="6"/>
      <c r="U4739" s="7"/>
      <c r="V4739" s="6"/>
      <c r="W4739" s="6"/>
      <c r="X4739" s="12"/>
      <c r="Y4739" s="6"/>
      <c r="Z4739" s="6"/>
      <c r="AA4739" s="7"/>
      <c r="AB4739" s="6"/>
      <c r="AC4739" s="6"/>
      <c r="AD4739" s="6"/>
      <c r="AE4739" s="12"/>
      <c r="AF4739" s="12"/>
      <c r="AG4739" s="12"/>
      <c r="AH4739" s="12"/>
      <c r="AI4739" s="6"/>
      <c r="AJ4739" s="12"/>
      <c r="AK4739" s="24"/>
      <c r="AL4739" s="25"/>
      <c r="AM4739" s="12"/>
      <c r="AN4739" s="1"/>
      <c r="AO4739" s="6"/>
    </row>
    <row r="4740" spans="1:41" ht="15" x14ac:dyDescent="0.25">
      <c r="A4740" s="1"/>
      <c r="B4740" s="1"/>
      <c r="C4740" s="1"/>
      <c r="D4740" s="1"/>
      <c r="E4740" s="6"/>
      <c r="F4740" s="1"/>
      <c r="G4740" s="6"/>
      <c r="H4740" s="6"/>
      <c r="I4740" s="6"/>
      <c r="J4740" s="6"/>
      <c r="K4740" s="12"/>
      <c r="L4740" s="12"/>
      <c r="M4740" s="6"/>
      <c r="N4740" s="6"/>
      <c r="O4740" s="7"/>
      <c r="P4740" s="6"/>
      <c r="Q4740" s="6"/>
      <c r="R4740" s="7"/>
      <c r="S4740" s="6"/>
      <c r="T4740" s="6"/>
      <c r="U4740" s="7"/>
      <c r="V4740" s="6"/>
      <c r="W4740" s="6"/>
      <c r="X4740" s="12"/>
      <c r="Y4740" s="6"/>
      <c r="Z4740" s="6"/>
      <c r="AA4740" s="7"/>
      <c r="AB4740" s="6"/>
      <c r="AC4740" s="6"/>
      <c r="AD4740" s="6"/>
      <c r="AE4740" s="12"/>
      <c r="AF4740" s="12"/>
      <c r="AG4740" s="12"/>
      <c r="AH4740" s="12"/>
      <c r="AI4740" s="6"/>
      <c r="AJ4740" s="12"/>
      <c r="AK4740" s="24"/>
      <c r="AL4740" s="25"/>
      <c r="AM4740" s="12"/>
      <c r="AN4740" s="1"/>
      <c r="AO4740" s="6"/>
    </row>
    <row r="4741" spans="1:41" ht="15" x14ac:dyDescent="0.25">
      <c r="A4741" s="1"/>
      <c r="B4741" s="1"/>
      <c r="C4741" s="1"/>
      <c r="D4741" s="1"/>
      <c r="E4741" s="6"/>
      <c r="F4741" s="1"/>
      <c r="G4741" s="6"/>
      <c r="H4741" s="6"/>
      <c r="I4741" s="6"/>
      <c r="J4741" s="6"/>
      <c r="K4741" s="6"/>
      <c r="L4741" s="6"/>
      <c r="M4741" s="6"/>
      <c r="N4741" s="6"/>
      <c r="O4741" s="7"/>
      <c r="P4741" s="6"/>
      <c r="Q4741" s="7"/>
      <c r="R4741" s="6"/>
      <c r="S4741" s="6"/>
      <c r="T4741" s="6"/>
      <c r="U4741" s="6"/>
      <c r="V4741" s="7"/>
      <c r="W4741" s="7"/>
      <c r="X4741" s="6"/>
      <c r="Y4741" s="6"/>
      <c r="Z4741" s="6"/>
      <c r="AA4741" s="1"/>
      <c r="AB4741" s="12"/>
      <c r="AC4741" s="12"/>
      <c r="AD4741" s="12"/>
      <c r="AE4741" s="12"/>
      <c r="AF4741" s="12"/>
      <c r="AG4741" s="12"/>
      <c r="AH4741" s="12"/>
      <c r="AI4741" s="6"/>
      <c r="AJ4741" s="12"/>
      <c r="AK4741" s="12"/>
      <c r="AL4741" s="12"/>
      <c r="AM4741" s="12"/>
      <c r="AN4741" s="1"/>
      <c r="AO4741" s="6"/>
    </row>
    <row r="4742" spans="1:41" ht="15" x14ac:dyDescent="0.25">
      <c r="A4742" s="1"/>
      <c r="B4742" s="1"/>
      <c r="C4742" s="1"/>
      <c r="D4742" s="1"/>
      <c r="E4742" s="6"/>
      <c r="F4742" s="1"/>
      <c r="G4742" s="6"/>
      <c r="H4742" s="6"/>
      <c r="I4742" s="6"/>
      <c r="J4742" s="6"/>
      <c r="K4742" s="6"/>
      <c r="L4742" s="6"/>
      <c r="M4742" s="6"/>
      <c r="N4742" s="6"/>
      <c r="O4742" s="7"/>
      <c r="P4742" s="6"/>
      <c r="Q4742" s="6"/>
      <c r="R4742" s="7"/>
      <c r="S4742" s="6"/>
      <c r="T4742" s="6"/>
      <c r="U4742" s="7"/>
      <c r="V4742" s="6"/>
      <c r="W4742" s="6"/>
      <c r="X4742" s="6"/>
      <c r="Y4742" s="6"/>
      <c r="Z4742" s="6"/>
      <c r="AA4742" s="7"/>
      <c r="AB4742" s="6"/>
      <c r="AC4742" s="6"/>
      <c r="AD4742" s="6"/>
      <c r="AE4742" s="12"/>
      <c r="AF4742" s="12"/>
      <c r="AG4742" s="12"/>
      <c r="AH4742" s="12"/>
      <c r="AI4742" s="6"/>
      <c r="AJ4742" s="12"/>
      <c r="AK4742" s="1"/>
      <c r="AL4742" s="12"/>
      <c r="AM4742" s="12"/>
      <c r="AN4742" s="1"/>
      <c r="AO4742" s="6"/>
    </row>
    <row r="4743" spans="1:41" ht="15" x14ac:dyDescent="0.25">
      <c r="A4743" s="1"/>
      <c r="B4743" s="1"/>
      <c r="C4743" s="1"/>
      <c r="D4743" s="1"/>
      <c r="E4743" s="6"/>
      <c r="F4743" s="1"/>
      <c r="G4743" s="6"/>
      <c r="H4743" s="6"/>
      <c r="I4743" s="6"/>
      <c r="J4743" s="6"/>
      <c r="K4743" s="6"/>
      <c r="L4743" s="6"/>
      <c r="M4743" s="6"/>
      <c r="N4743" s="6"/>
      <c r="O4743" s="7"/>
      <c r="P4743" s="6"/>
      <c r="Q4743" s="6"/>
      <c r="R4743" s="7"/>
      <c r="S4743" s="6"/>
      <c r="T4743" s="6"/>
      <c r="U4743" s="7"/>
      <c r="V4743" s="6"/>
      <c r="W4743" s="6"/>
      <c r="X4743" s="6"/>
      <c r="Y4743" s="6"/>
      <c r="Z4743" s="6"/>
      <c r="AA4743" s="7"/>
      <c r="AB4743" s="6"/>
      <c r="AC4743" s="6"/>
      <c r="AD4743" s="6"/>
      <c r="AE4743" s="12"/>
      <c r="AF4743" s="12"/>
      <c r="AG4743" s="12"/>
      <c r="AH4743" s="12"/>
      <c r="AI4743" s="6"/>
      <c r="AJ4743" s="12"/>
      <c r="AK4743" s="1"/>
      <c r="AL4743" s="12"/>
      <c r="AM4743" s="12"/>
      <c r="AN4743" s="1"/>
      <c r="AO4743" s="6"/>
    </row>
    <row r="4744" spans="1:41" ht="15" x14ac:dyDescent="0.25">
      <c r="A4744" s="1"/>
      <c r="B4744" s="1"/>
      <c r="C4744" s="1"/>
      <c r="D4744" s="1"/>
      <c r="E4744" s="6"/>
      <c r="F4744" s="1"/>
      <c r="G4744" s="6"/>
      <c r="H4744" s="6"/>
      <c r="I4744" s="6"/>
      <c r="J4744" s="6"/>
      <c r="K4744" s="6"/>
      <c r="L4744" s="6"/>
      <c r="M4744" s="6"/>
      <c r="N4744" s="6"/>
      <c r="O4744" s="7"/>
      <c r="P4744" s="6"/>
      <c r="Q4744" s="6"/>
      <c r="R4744" s="12"/>
      <c r="S4744" s="12"/>
      <c r="T4744" s="12"/>
      <c r="U4744" s="7"/>
      <c r="V4744" s="6"/>
      <c r="W4744" s="6"/>
      <c r="X4744" s="12"/>
      <c r="Y4744" s="6"/>
      <c r="Z4744" s="6"/>
      <c r="AA4744" s="7"/>
      <c r="AB4744" s="6"/>
      <c r="AC4744" s="6"/>
      <c r="AD4744" s="6"/>
      <c r="AE4744" s="12"/>
      <c r="AF4744" s="6"/>
      <c r="AG4744" s="12"/>
      <c r="AH4744" s="6"/>
      <c r="AI4744" s="6"/>
      <c r="AJ4744" s="12"/>
      <c r="AK4744" s="1"/>
      <c r="AL4744" s="12"/>
      <c r="AM4744" s="12"/>
      <c r="AN4744" s="1"/>
      <c r="AO4744" s="6"/>
    </row>
    <row r="4745" spans="1:41" ht="15" x14ac:dyDescent="0.25">
      <c r="A4745" s="1"/>
      <c r="B4745" s="1"/>
      <c r="C4745" s="1"/>
      <c r="D4745" s="1"/>
      <c r="E4745" s="6"/>
      <c r="F4745" s="1"/>
      <c r="G4745" s="6"/>
      <c r="H4745" s="6"/>
      <c r="I4745" s="6"/>
      <c r="J4745" s="6"/>
      <c r="K4745" s="6"/>
      <c r="L4745" s="6"/>
      <c r="M4745" s="6"/>
      <c r="N4745" s="6"/>
      <c r="O4745" s="7"/>
      <c r="P4745" s="6"/>
      <c r="Q4745" s="6"/>
      <c r="R4745" s="12"/>
      <c r="S4745" s="12"/>
      <c r="T4745" s="12"/>
      <c r="U4745" s="7"/>
      <c r="V4745" s="6"/>
      <c r="W4745" s="6"/>
      <c r="X4745" s="12"/>
      <c r="Y4745" s="6"/>
      <c r="Z4745" s="6"/>
      <c r="AA4745" s="7"/>
      <c r="AB4745" s="6"/>
      <c r="AC4745" s="6"/>
      <c r="AD4745" s="6"/>
      <c r="AE4745" s="12"/>
      <c r="AF4745" s="6"/>
      <c r="AG4745" s="12"/>
      <c r="AH4745" s="6"/>
      <c r="AI4745" s="6"/>
      <c r="AJ4745" s="12"/>
      <c r="AK4745" s="1"/>
      <c r="AL4745" s="12"/>
      <c r="AM4745" s="12"/>
      <c r="AN4745" s="1"/>
      <c r="AO4745" s="6"/>
    </row>
    <row r="4746" spans="1:41" ht="15" x14ac:dyDescent="0.25">
      <c r="A4746" s="1"/>
      <c r="B4746" s="1"/>
      <c r="C4746" s="1"/>
      <c r="D4746" s="1"/>
      <c r="E4746" s="6"/>
      <c r="F4746" s="1"/>
      <c r="G4746" s="6"/>
      <c r="H4746" s="6"/>
      <c r="I4746" s="6"/>
      <c r="J4746" s="6"/>
      <c r="K4746" s="6"/>
      <c r="L4746" s="6"/>
      <c r="M4746" s="6"/>
      <c r="N4746" s="6"/>
      <c r="O4746" s="7"/>
      <c r="P4746" s="6"/>
      <c r="Q4746" s="6"/>
      <c r="R4746" s="7"/>
      <c r="S4746" s="6"/>
      <c r="T4746" s="6"/>
      <c r="U4746" s="7"/>
      <c r="V4746" s="6"/>
      <c r="W4746" s="6"/>
      <c r="X4746" s="6"/>
      <c r="Y4746" s="6"/>
      <c r="Z4746" s="6"/>
      <c r="AA4746" s="7"/>
      <c r="AB4746" s="6"/>
      <c r="AC4746" s="6"/>
      <c r="AD4746" s="6"/>
      <c r="AE4746" s="12"/>
      <c r="AF4746" s="6"/>
      <c r="AG4746" s="12"/>
      <c r="AH4746" s="6"/>
      <c r="AI4746" s="6"/>
      <c r="AJ4746" s="12"/>
      <c r="AK4746" s="1"/>
      <c r="AL4746" s="12"/>
      <c r="AM4746" s="12"/>
      <c r="AN4746" s="1"/>
      <c r="AO4746" s="6"/>
    </row>
    <row r="4747" spans="1:41" ht="15" x14ac:dyDescent="0.25">
      <c r="A4747" s="1"/>
      <c r="B4747" s="1"/>
      <c r="C4747" s="1"/>
      <c r="D4747" s="1"/>
      <c r="E4747" s="6"/>
      <c r="F4747" s="1"/>
      <c r="G4747" s="6"/>
      <c r="H4747" s="6"/>
      <c r="I4747" s="6"/>
      <c r="J4747" s="6"/>
      <c r="K4747" s="6"/>
      <c r="L4747" s="6"/>
      <c r="M4747" s="6"/>
      <c r="N4747" s="6"/>
      <c r="O4747" s="7"/>
      <c r="P4747" s="6"/>
      <c r="Q4747" s="6"/>
      <c r="R4747" s="7"/>
      <c r="S4747" s="6"/>
      <c r="T4747" s="6"/>
      <c r="U4747" s="7"/>
      <c r="V4747" s="6"/>
      <c r="W4747" s="6"/>
      <c r="X4747" s="6"/>
      <c r="Y4747" s="6"/>
      <c r="Z4747" s="6"/>
      <c r="AA4747" s="7"/>
      <c r="AB4747" s="6"/>
      <c r="AC4747" s="6"/>
      <c r="AD4747" s="6"/>
      <c r="AE4747" s="12"/>
      <c r="AF4747" s="6"/>
      <c r="AG4747" s="12"/>
      <c r="AH4747" s="6"/>
      <c r="AI4747" s="6"/>
      <c r="AJ4747" s="12"/>
      <c r="AK4747" s="1"/>
      <c r="AL4747" s="12"/>
      <c r="AM4747" s="12"/>
      <c r="AN4747" s="1"/>
      <c r="AO4747" s="6"/>
    </row>
    <row r="4748" spans="1:41" ht="15" x14ac:dyDescent="0.25">
      <c r="A4748" s="1"/>
      <c r="B4748" s="1"/>
      <c r="C4748" s="1"/>
      <c r="D4748" s="1"/>
      <c r="E4748" s="6"/>
      <c r="F4748" s="1"/>
      <c r="G4748" s="6"/>
      <c r="H4748" s="6"/>
      <c r="I4748" s="6"/>
      <c r="J4748" s="6"/>
      <c r="K4748" s="6"/>
      <c r="L4748" s="6"/>
      <c r="M4748" s="6"/>
      <c r="N4748" s="6"/>
      <c r="O4748" s="7"/>
      <c r="P4748" s="6"/>
      <c r="Q4748" s="6"/>
      <c r="R4748" s="7"/>
      <c r="S4748" s="6"/>
      <c r="T4748" s="6"/>
      <c r="U4748" s="7"/>
      <c r="V4748" s="6"/>
      <c r="W4748" s="6"/>
      <c r="X4748" s="12"/>
      <c r="Y4748" s="6"/>
      <c r="Z4748" s="6"/>
      <c r="AA4748" s="7"/>
      <c r="AB4748" s="6"/>
      <c r="AC4748" s="6"/>
      <c r="AD4748" s="6"/>
      <c r="AE4748" s="12"/>
      <c r="AF4748" s="6"/>
      <c r="AG4748" s="12"/>
      <c r="AH4748" s="6"/>
      <c r="AI4748" s="6"/>
      <c r="AJ4748" s="12"/>
      <c r="AK4748" s="1"/>
      <c r="AL4748" s="12"/>
      <c r="AM4748" s="12"/>
      <c r="AN4748" s="1"/>
      <c r="AO4748" s="6"/>
    </row>
    <row r="4749" spans="1:41" ht="15" x14ac:dyDescent="0.25">
      <c r="A4749" s="1"/>
      <c r="B4749" s="1"/>
      <c r="C4749" s="1"/>
      <c r="D4749" s="1"/>
      <c r="E4749" s="6"/>
      <c r="F4749" s="1"/>
      <c r="G4749" s="6"/>
      <c r="H4749" s="6"/>
      <c r="I4749" s="6"/>
      <c r="J4749" s="6"/>
      <c r="K4749" s="6"/>
      <c r="L4749" s="6"/>
      <c r="M4749" s="6"/>
      <c r="N4749" s="6"/>
      <c r="O4749" s="7"/>
      <c r="P4749" s="6"/>
      <c r="Q4749" s="6"/>
      <c r="R4749" s="7"/>
      <c r="S4749" s="6"/>
      <c r="T4749" s="6"/>
      <c r="U4749" s="7"/>
      <c r="V4749" s="6"/>
      <c r="W4749" s="6"/>
      <c r="X4749" s="12"/>
      <c r="Y4749" s="6"/>
      <c r="Z4749" s="6"/>
      <c r="AA4749" s="7"/>
      <c r="AB4749" s="6"/>
      <c r="AC4749" s="6"/>
      <c r="AD4749" s="6"/>
      <c r="AE4749" s="12"/>
      <c r="AF4749" s="6"/>
      <c r="AG4749" s="12"/>
      <c r="AH4749" s="6"/>
      <c r="AI4749" s="6"/>
      <c r="AJ4749" s="12"/>
      <c r="AK4749" s="1"/>
      <c r="AL4749" s="12"/>
      <c r="AM4749" s="12"/>
      <c r="AN4749" s="1"/>
      <c r="AO4749" s="6"/>
    </row>
    <row r="4750" spans="1:41" ht="15" x14ac:dyDescent="0.25">
      <c r="A4750" s="1"/>
      <c r="B4750" s="1"/>
      <c r="C4750" s="1"/>
      <c r="D4750" s="1"/>
      <c r="E4750" s="6"/>
      <c r="F4750" s="1"/>
      <c r="G4750" s="6"/>
      <c r="H4750" s="6"/>
      <c r="I4750" s="6"/>
      <c r="J4750" s="6"/>
      <c r="K4750" s="6"/>
      <c r="L4750" s="6"/>
      <c r="M4750" s="6"/>
      <c r="N4750" s="6"/>
      <c r="O4750" s="7"/>
      <c r="P4750" s="6"/>
      <c r="Q4750" s="6"/>
      <c r="R4750" s="7"/>
      <c r="S4750" s="6"/>
      <c r="T4750" s="6"/>
      <c r="U4750" s="7"/>
      <c r="V4750" s="6"/>
      <c r="W4750" s="6"/>
      <c r="X4750" s="12"/>
      <c r="Y4750" s="6"/>
      <c r="Z4750" s="6"/>
      <c r="AA4750" s="7"/>
      <c r="AB4750" s="6"/>
      <c r="AC4750" s="6"/>
      <c r="AD4750" s="6"/>
      <c r="AE4750" s="12"/>
      <c r="AF4750" s="12"/>
      <c r="AG4750" s="12"/>
      <c r="AH4750" s="12"/>
      <c r="AI4750" s="6"/>
      <c r="AJ4750" s="12"/>
      <c r="AK4750" s="24"/>
      <c r="AL4750" s="25"/>
      <c r="AM4750" s="12"/>
      <c r="AN4750" s="1"/>
      <c r="AO4750" s="6"/>
    </row>
    <row r="4751" spans="1:41" ht="15" x14ac:dyDescent="0.25">
      <c r="A4751" s="1"/>
      <c r="B4751" s="1"/>
      <c r="C4751" s="1"/>
      <c r="D4751" s="1"/>
      <c r="E4751" s="6"/>
      <c r="F4751" s="1"/>
      <c r="G4751" s="6"/>
      <c r="H4751" s="6"/>
      <c r="I4751" s="6"/>
      <c r="J4751" s="6"/>
      <c r="K4751" s="6"/>
      <c r="L4751" s="6"/>
      <c r="M4751" s="6"/>
      <c r="N4751" s="6"/>
      <c r="O4751" s="7"/>
      <c r="P4751" s="6"/>
      <c r="Q4751" s="6"/>
      <c r="R4751" s="7"/>
      <c r="S4751" s="6"/>
      <c r="T4751" s="6"/>
      <c r="U4751" s="7"/>
      <c r="V4751" s="6"/>
      <c r="W4751" s="6"/>
      <c r="X4751" s="12"/>
      <c r="Y4751" s="6"/>
      <c r="Z4751" s="6"/>
      <c r="AA4751" s="7"/>
      <c r="AB4751" s="6"/>
      <c r="AC4751" s="6"/>
      <c r="AD4751" s="6"/>
      <c r="AE4751" s="12"/>
      <c r="AF4751" s="12"/>
      <c r="AG4751" s="12"/>
      <c r="AH4751" s="12"/>
      <c r="AI4751" s="6"/>
      <c r="AJ4751" s="12"/>
      <c r="AK4751" s="24"/>
      <c r="AL4751" s="25"/>
      <c r="AM4751" s="12"/>
      <c r="AN4751" s="1"/>
      <c r="AO4751" s="6"/>
    </row>
    <row r="4752" spans="1:41" ht="15" x14ac:dyDescent="0.25">
      <c r="A4752" s="1"/>
      <c r="B4752" s="1"/>
      <c r="C4752" s="1"/>
      <c r="D4752" s="1"/>
      <c r="E4752" s="6"/>
      <c r="F4752" s="1"/>
      <c r="G4752" s="6"/>
      <c r="H4752" s="6"/>
      <c r="I4752" s="6"/>
      <c r="J4752" s="6"/>
      <c r="K4752" s="6"/>
      <c r="L4752" s="6"/>
      <c r="M4752" s="6"/>
      <c r="N4752" s="6"/>
      <c r="O4752" s="7"/>
      <c r="P4752" s="6"/>
      <c r="Q4752" s="6"/>
      <c r="R4752" s="7"/>
      <c r="S4752" s="6"/>
      <c r="T4752" s="6"/>
      <c r="U4752" s="7"/>
      <c r="V4752" s="6"/>
      <c r="W4752" s="6"/>
      <c r="X4752" s="12"/>
      <c r="Y4752" s="6"/>
      <c r="Z4752" s="6"/>
      <c r="AA4752" s="7"/>
      <c r="AB4752" s="6"/>
      <c r="AC4752" s="6"/>
      <c r="AD4752" s="6"/>
      <c r="AE4752" s="12"/>
      <c r="AF4752" s="12"/>
      <c r="AG4752" s="12"/>
      <c r="AH4752" s="12"/>
      <c r="AI4752" s="6"/>
      <c r="AJ4752" s="12"/>
      <c r="AK4752" s="1"/>
      <c r="AL4752" s="12"/>
      <c r="AM4752" s="12"/>
      <c r="AN4752" s="1"/>
      <c r="AO4752" s="6"/>
    </row>
    <row r="4753" spans="1:41" ht="15" x14ac:dyDescent="0.25">
      <c r="A4753" s="1"/>
      <c r="B4753" s="1"/>
      <c r="C4753" s="1"/>
      <c r="D4753" s="1"/>
      <c r="E4753" s="6"/>
      <c r="F4753" s="1"/>
      <c r="G4753" s="6"/>
      <c r="H4753" s="6"/>
      <c r="I4753" s="6"/>
      <c r="J4753" s="6"/>
      <c r="K4753" s="6"/>
      <c r="L4753" s="6"/>
      <c r="M4753" s="6"/>
      <c r="N4753" s="6"/>
      <c r="O4753" s="7"/>
      <c r="P4753" s="6"/>
      <c r="Q4753" s="6"/>
      <c r="R4753" s="7"/>
      <c r="S4753" s="6"/>
      <c r="T4753" s="6"/>
      <c r="U4753" s="7"/>
      <c r="V4753" s="6"/>
      <c r="W4753" s="6"/>
      <c r="X4753" s="6"/>
      <c r="Y4753" s="6"/>
      <c r="Z4753" s="6"/>
      <c r="AA4753" s="7"/>
      <c r="AB4753" s="6"/>
      <c r="AC4753" s="6"/>
      <c r="AD4753" s="6"/>
      <c r="AE4753" s="12"/>
      <c r="AF4753" s="6"/>
      <c r="AG4753" s="12"/>
      <c r="AH4753" s="6"/>
      <c r="AI4753" s="6"/>
      <c r="AJ4753" s="12"/>
      <c r="AK4753" s="24"/>
      <c r="AL4753" s="25"/>
      <c r="AM4753" s="12"/>
      <c r="AN4753" s="1"/>
      <c r="AO4753" s="6"/>
    </row>
    <row r="4754" spans="1:41" ht="15" x14ac:dyDescent="0.25">
      <c r="A4754" s="1"/>
      <c r="B4754" s="1"/>
      <c r="C4754" s="1"/>
      <c r="D4754" s="1"/>
      <c r="E4754" s="6"/>
      <c r="F4754" s="1"/>
      <c r="G4754" s="6"/>
      <c r="H4754" s="6"/>
      <c r="I4754" s="6"/>
      <c r="J4754" s="6"/>
      <c r="K4754" s="6"/>
      <c r="L4754" s="6"/>
      <c r="M4754" s="6"/>
      <c r="N4754" s="6"/>
      <c r="O4754" s="7"/>
      <c r="P4754" s="6"/>
      <c r="Q4754" s="6"/>
      <c r="R4754" s="7"/>
      <c r="S4754" s="6"/>
      <c r="T4754" s="6"/>
      <c r="U4754" s="7"/>
      <c r="V4754" s="6"/>
      <c r="W4754" s="6"/>
      <c r="X4754" s="6"/>
      <c r="Y4754" s="6"/>
      <c r="Z4754" s="6"/>
      <c r="AA4754" s="7"/>
      <c r="AB4754" s="6"/>
      <c r="AC4754" s="6"/>
      <c r="AD4754" s="6"/>
      <c r="AE4754" s="12"/>
      <c r="AF4754" s="6"/>
      <c r="AG4754" s="12"/>
      <c r="AH4754" s="6"/>
      <c r="AI4754" s="6"/>
      <c r="AJ4754" s="12"/>
      <c r="AK4754" s="24"/>
      <c r="AL4754" s="25"/>
      <c r="AM4754" s="12"/>
      <c r="AN4754" s="1"/>
      <c r="AO4754" s="6"/>
    </row>
    <row r="4755" spans="1:41" ht="15" x14ac:dyDescent="0.25">
      <c r="A4755" s="1"/>
      <c r="B4755" s="1"/>
      <c r="C4755" s="1"/>
      <c r="D4755" s="1"/>
      <c r="E4755" s="6"/>
      <c r="F4755" s="1"/>
      <c r="G4755" s="6"/>
      <c r="H4755" s="6"/>
      <c r="I4755" s="6"/>
      <c r="J4755" s="6"/>
      <c r="K4755" s="6"/>
      <c r="L4755" s="6"/>
      <c r="M4755" s="6"/>
      <c r="N4755" s="6"/>
      <c r="O4755" s="7"/>
      <c r="P4755" s="6"/>
      <c r="Q4755" s="6"/>
      <c r="R4755" s="7"/>
      <c r="S4755" s="6"/>
      <c r="T4755" s="6"/>
      <c r="U4755" s="7"/>
      <c r="V4755" s="6"/>
      <c r="W4755" s="6"/>
      <c r="X4755" s="12"/>
      <c r="Y4755" s="6"/>
      <c r="Z4755" s="6"/>
      <c r="AA4755" s="7"/>
      <c r="AB4755" s="6"/>
      <c r="AC4755" s="6"/>
      <c r="AD4755" s="6"/>
      <c r="AE4755" s="12"/>
      <c r="AF4755" s="12"/>
      <c r="AG4755" s="12"/>
      <c r="AH4755" s="12"/>
      <c r="AI4755" s="6"/>
      <c r="AJ4755" s="12"/>
      <c r="AK4755" s="24"/>
      <c r="AL4755" s="25"/>
      <c r="AM4755" s="12"/>
      <c r="AN4755" s="1"/>
      <c r="AO4755" s="6"/>
    </row>
    <row r="4756" spans="1:41" ht="15" x14ac:dyDescent="0.25">
      <c r="A4756" s="1"/>
      <c r="B4756" s="1"/>
      <c r="C4756" s="1"/>
      <c r="D4756" s="1"/>
      <c r="E4756" s="6"/>
      <c r="F4756" s="1"/>
      <c r="G4756" s="6"/>
      <c r="H4756" s="6"/>
      <c r="I4756" s="6"/>
      <c r="J4756" s="6"/>
      <c r="K4756" s="6"/>
      <c r="L4756" s="6"/>
      <c r="M4756" s="6"/>
      <c r="N4756" s="6"/>
      <c r="O4756" s="7"/>
      <c r="P4756" s="6"/>
      <c r="Q4756" s="6"/>
      <c r="R4756" s="7"/>
      <c r="S4756" s="6"/>
      <c r="T4756" s="6"/>
      <c r="U4756" s="7"/>
      <c r="V4756" s="6"/>
      <c r="W4756" s="6"/>
      <c r="X4756" s="12"/>
      <c r="Y4756" s="6"/>
      <c r="Z4756" s="6"/>
      <c r="AA4756" s="7"/>
      <c r="AB4756" s="6"/>
      <c r="AC4756" s="6"/>
      <c r="AD4756" s="6"/>
      <c r="AE4756" s="12"/>
      <c r="AF4756" s="12"/>
      <c r="AG4756" s="12"/>
      <c r="AH4756" s="12"/>
      <c r="AI4756" s="6"/>
      <c r="AJ4756" s="12"/>
      <c r="AK4756" s="24"/>
      <c r="AL4756" s="25"/>
      <c r="AM4756" s="12"/>
      <c r="AN4756" s="1"/>
      <c r="AO4756" s="6"/>
    </row>
    <row r="4757" spans="1:41" ht="15" x14ac:dyDescent="0.25">
      <c r="A4757" s="1"/>
      <c r="B4757" s="1"/>
      <c r="C4757" s="1"/>
      <c r="D4757" s="1"/>
      <c r="E4757" s="6"/>
      <c r="F4757" s="1"/>
      <c r="G4757" s="6"/>
      <c r="H4757" s="6"/>
      <c r="I4757" s="6"/>
      <c r="J4757" s="6"/>
      <c r="K4757" s="6"/>
      <c r="L4757" s="6"/>
      <c r="M4757" s="6"/>
      <c r="N4757" s="6"/>
      <c r="O4757" s="7"/>
      <c r="P4757" s="6"/>
      <c r="Q4757" s="6"/>
      <c r="R4757" s="7"/>
      <c r="S4757" s="6"/>
      <c r="T4757" s="6"/>
      <c r="U4757" s="7"/>
      <c r="V4757" s="6"/>
      <c r="W4757" s="6"/>
      <c r="X4757" s="6"/>
      <c r="Y4757" s="6"/>
      <c r="Z4757" s="6"/>
      <c r="AA4757" s="7"/>
      <c r="AB4757" s="6"/>
      <c r="AC4757" s="6"/>
      <c r="AD4757" s="6"/>
      <c r="AE4757" s="12"/>
      <c r="AF4757" s="12"/>
      <c r="AG4757" s="12"/>
      <c r="AH4757" s="12"/>
      <c r="AI4757" s="6"/>
      <c r="AJ4757" s="12"/>
      <c r="AK4757" s="1"/>
      <c r="AL4757" s="12"/>
      <c r="AM4757" s="12"/>
      <c r="AN4757" s="1"/>
      <c r="AO4757" s="6"/>
    </row>
    <row r="4758" spans="1:41" ht="15" x14ac:dyDescent="0.25">
      <c r="A4758" s="1"/>
      <c r="B4758" s="1"/>
      <c r="C4758" s="1"/>
      <c r="D4758" s="1"/>
      <c r="E4758" s="6"/>
      <c r="F4758" s="1"/>
      <c r="G4758" s="6"/>
      <c r="H4758" s="6"/>
      <c r="I4758" s="6"/>
      <c r="J4758" s="6"/>
      <c r="K4758" s="6"/>
      <c r="L4758" s="6"/>
      <c r="M4758" s="6"/>
      <c r="N4758" s="6"/>
      <c r="O4758" s="7"/>
      <c r="P4758" s="6"/>
      <c r="Q4758" s="6"/>
      <c r="R4758" s="15"/>
      <c r="S4758" s="6"/>
      <c r="T4758" s="6"/>
      <c r="U4758" s="7"/>
      <c r="V4758" s="6"/>
      <c r="W4758" s="6"/>
      <c r="X4758" s="6"/>
      <c r="Y4758" s="6"/>
      <c r="Z4758" s="6"/>
      <c r="AA4758" s="7"/>
      <c r="AB4758" s="6"/>
      <c r="AC4758" s="6"/>
      <c r="AD4758" s="6"/>
      <c r="AE4758" s="12"/>
      <c r="AF4758" s="12"/>
      <c r="AG4758" s="12"/>
      <c r="AH4758" s="12"/>
      <c r="AI4758" s="6"/>
      <c r="AJ4758" s="12"/>
      <c r="AK4758" s="1"/>
      <c r="AL4758" s="12"/>
      <c r="AM4758" s="12"/>
      <c r="AN4758" s="1"/>
      <c r="AO4758" s="6"/>
    </row>
    <row r="4759" spans="1:41" ht="15" x14ac:dyDescent="0.25">
      <c r="A4759" s="1"/>
      <c r="B4759" s="1"/>
      <c r="C4759" s="1"/>
      <c r="D4759" s="1"/>
      <c r="E4759" s="6"/>
      <c r="F4759" s="1"/>
      <c r="G4759" s="6"/>
      <c r="H4759" s="6"/>
      <c r="I4759" s="6"/>
      <c r="J4759" s="6"/>
      <c r="K4759" s="6"/>
      <c r="L4759" s="6"/>
      <c r="M4759" s="6"/>
      <c r="N4759" s="6"/>
      <c r="O4759" s="7"/>
      <c r="P4759" s="6"/>
      <c r="Q4759" s="6"/>
      <c r="R4759" s="12"/>
      <c r="S4759" s="12"/>
      <c r="T4759" s="12"/>
      <c r="U4759" s="6"/>
      <c r="V4759" s="12"/>
      <c r="W4759" s="12"/>
      <c r="X4759" s="12"/>
      <c r="Y4759" s="6"/>
      <c r="Z4759" s="6"/>
      <c r="AA4759" s="7"/>
      <c r="AB4759" s="6"/>
      <c r="AC4759" s="6"/>
      <c r="AD4759" s="6"/>
      <c r="AE4759" s="12"/>
      <c r="AF4759" s="12"/>
      <c r="AG4759" s="12"/>
      <c r="AH4759" s="12"/>
      <c r="AI4759" s="6"/>
      <c r="AJ4759" s="12"/>
      <c r="AK4759" s="1"/>
      <c r="AL4759" s="12"/>
      <c r="AM4759" s="12"/>
      <c r="AN4759" s="1"/>
      <c r="AO4759" s="6"/>
    </row>
    <row r="4760" spans="1:41" ht="15" x14ac:dyDescent="0.25">
      <c r="A4760" s="1"/>
      <c r="B4760" s="1"/>
      <c r="C4760" s="1"/>
      <c r="D4760" s="1"/>
      <c r="E4760" s="6"/>
      <c r="F4760" s="1"/>
      <c r="G4760" s="6"/>
      <c r="H4760" s="6"/>
      <c r="I4760" s="6"/>
      <c r="J4760" s="6"/>
      <c r="K4760" s="6"/>
      <c r="L4760" s="6"/>
      <c r="M4760" s="6"/>
      <c r="N4760" s="6"/>
      <c r="O4760" s="7"/>
      <c r="P4760" s="6"/>
      <c r="Q4760" s="6"/>
      <c r="R4760" s="12"/>
      <c r="S4760" s="12"/>
      <c r="T4760" s="12"/>
      <c r="U4760" s="6"/>
      <c r="V4760" s="12"/>
      <c r="W4760" s="12"/>
      <c r="X4760" s="12"/>
      <c r="Y4760" s="6"/>
      <c r="Z4760" s="6"/>
      <c r="AA4760" s="7"/>
      <c r="AB4760" s="6"/>
      <c r="AC4760" s="6"/>
      <c r="AD4760" s="6"/>
      <c r="AE4760" s="12"/>
      <c r="AF4760" s="12"/>
      <c r="AG4760" s="12"/>
      <c r="AH4760" s="12"/>
      <c r="AI4760" s="6"/>
      <c r="AJ4760" s="12"/>
      <c r="AK4760" s="1"/>
      <c r="AL4760" s="12"/>
      <c r="AM4760" s="12"/>
      <c r="AN4760" s="1"/>
      <c r="AO4760" s="6"/>
    </row>
    <row r="4761" spans="1:41" ht="15" x14ac:dyDescent="0.25">
      <c r="A4761" s="1"/>
      <c r="B4761" s="1"/>
      <c r="C4761" s="1"/>
      <c r="D4761" s="1"/>
      <c r="E4761" s="6"/>
      <c r="F4761" s="1"/>
      <c r="G4761" s="6"/>
      <c r="H4761" s="6"/>
      <c r="I4761" s="6"/>
      <c r="J4761" s="6"/>
      <c r="K4761" s="6"/>
      <c r="L4761" s="6"/>
      <c r="M4761" s="6"/>
      <c r="N4761" s="6"/>
      <c r="O4761" s="7"/>
      <c r="P4761" s="6"/>
      <c r="Q4761" s="6"/>
      <c r="R4761" s="7"/>
      <c r="S4761" s="6"/>
      <c r="T4761" s="6"/>
      <c r="U4761" s="7"/>
      <c r="V4761" s="6"/>
      <c r="W4761" s="6"/>
      <c r="X4761" s="12"/>
      <c r="Y4761" s="6"/>
      <c r="Z4761" s="6"/>
      <c r="AA4761" s="7"/>
      <c r="AB4761" s="6"/>
      <c r="AC4761" s="6"/>
      <c r="AD4761" s="6"/>
      <c r="AE4761" s="12"/>
      <c r="AF4761" s="12"/>
      <c r="AG4761" s="12"/>
      <c r="AH4761" s="12"/>
      <c r="AI4761" s="6"/>
      <c r="AJ4761" s="12"/>
      <c r="AK4761" s="1"/>
      <c r="AL4761" s="12"/>
      <c r="AM4761" s="12"/>
      <c r="AN4761" s="1"/>
      <c r="AO4761" s="6"/>
    </row>
    <row r="4762" spans="1:41" ht="15" x14ac:dyDescent="0.25">
      <c r="A4762" s="1"/>
      <c r="B4762" s="1"/>
      <c r="C4762" s="1"/>
      <c r="D4762" s="1"/>
      <c r="E4762" s="6"/>
      <c r="F4762" s="1"/>
      <c r="G4762" s="6"/>
      <c r="H4762" s="6"/>
      <c r="I4762" s="6"/>
      <c r="J4762" s="6"/>
      <c r="K4762" s="6"/>
      <c r="L4762" s="6"/>
      <c r="M4762" s="6"/>
      <c r="N4762" s="6"/>
      <c r="O4762" s="7"/>
      <c r="P4762" s="6"/>
      <c r="Q4762" s="6"/>
      <c r="R4762" s="7"/>
      <c r="S4762" s="6"/>
      <c r="T4762" s="6"/>
      <c r="U4762" s="7"/>
      <c r="V4762" s="6"/>
      <c r="W4762" s="6"/>
      <c r="X4762" s="6"/>
      <c r="Y4762" s="6"/>
      <c r="Z4762" s="6"/>
      <c r="AA4762" s="7"/>
      <c r="AB4762" s="6"/>
      <c r="AC4762" s="6"/>
      <c r="AD4762" s="6"/>
      <c r="AE4762" s="12"/>
      <c r="AF4762" s="12"/>
      <c r="AG4762" s="12"/>
      <c r="AH4762" s="12"/>
      <c r="AI4762" s="6"/>
      <c r="AJ4762" s="12"/>
      <c r="AK4762" s="1"/>
      <c r="AL4762" s="12"/>
      <c r="AM4762" s="12"/>
      <c r="AN4762" s="1"/>
      <c r="AO4762" s="6"/>
    </row>
    <row r="4763" spans="1:41" ht="15" x14ac:dyDescent="0.25">
      <c r="A4763" s="1"/>
      <c r="B4763" s="1"/>
      <c r="C4763" s="1"/>
      <c r="D4763" s="1"/>
      <c r="E4763" s="6"/>
      <c r="F4763" s="1"/>
      <c r="G4763" s="6"/>
      <c r="H4763" s="6"/>
      <c r="I4763" s="6"/>
      <c r="J4763" s="6"/>
      <c r="K4763" s="6"/>
      <c r="L4763" s="6"/>
      <c r="M4763" s="6"/>
      <c r="N4763" s="6"/>
      <c r="O4763" s="7"/>
      <c r="P4763" s="6"/>
      <c r="Q4763" s="6"/>
      <c r="R4763" s="7"/>
      <c r="S4763" s="6"/>
      <c r="T4763" s="6"/>
      <c r="U4763" s="7"/>
      <c r="V4763" s="6"/>
      <c r="W4763" s="6"/>
      <c r="X4763" s="12"/>
      <c r="Y4763" s="6"/>
      <c r="Z4763" s="6"/>
      <c r="AA4763" s="7"/>
      <c r="AB4763" s="6"/>
      <c r="AC4763" s="6"/>
      <c r="AD4763" s="6"/>
      <c r="AE4763" s="12"/>
      <c r="AF4763" s="12"/>
      <c r="AG4763" s="12"/>
      <c r="AH4763" s="12"/>
      <c r="AI4763" s="6"/>
      <c r="AJ4763" s="12"/>
      <c r="AK4763" s="1"/>
      <c r="AL4763" s="12"/>
      <c r="AM4763" s="12"/>
      <c r="AN4763" s="1"/>
      <c r="AO4763" s="12"/>
    </row>
    <row r="4764" spans="1:41" ht="15" x14ac:dyDescent="0.25">
      <c r="A4764" s="1"/>
      <c r="B4764" s="1"/>
      <c r="C4764" s="1"/>
      <c r="D4764" s="1"/>
      <c r="E4764" s="6"/>
      <c r="F4764" s="1"/>
      <c r="G4764" s="6"/>
      <c r="H4764" s="6"/>
      <c r="I4764" s="6"/>
      <c r="J4764" s="6"/>
      <c r="K4764" s="6"/>
      <c r="L4764" s="6"/>
      <c r="M4764" s="6"/>
      <c r="N4764" s="6"/>
      <c r="O4764" s="7"/>
      <c r="P4764" s="6"/>
      <c r="Q4764" s="6"/>
      <c r="R4764" s="7"/>
      <c r="S4764" s="6"/>
      <c r="T4764" s="6"/>
      <c r="U4764" s="7"/>
      <c r="V4764" s="6"/>
      <c r="W4764" s="6"/>
      <c r="X4764" s="12"/>
      <c r="Y4764" s="6"/>
      <c r="Z4764" s="6"/>
      <c r="AA4764" s="7"/>
      <c r="AB4764" s="6"/>
      <c r="AC4764" s="6"/>
      <c r="AD4764" s="6"/>
      <c r="AE4764" s="12"/>
      <c r="AF4764" s="12"/>
      <c r="AG4764" s="12"/>
      <c r="AH4764" s="12"/>
      <c r="AI4764" s="6"/>
      <c r="AJ4764" s="12"/>
      <c r="AK4764" s="1"/>
      <c r="AL4764" s="12"/>
      <c r="AM4764" s="12"/>
      <c r="AN4764" s="1"/>
      <c r="AO4764" s="12"/>
    </row>
    <row r="4765" spans="1:41" ht="15" x14ac:dyDescent="0.25">
      <c r="A4765" s="1"/>
      <c r="B4765" s="1"/>
      <c r="C4765" s="1"/>
      <c r="D4765" s="1"/>
      <c r="E4765" s="6"/>
      <c r="F4765" s="1"/>
      <c r="G4765" s="6"/>
      <c r="H4765" s="6"/>
      <c r="I4765" s="6"/>
      <c r="J4765" s="6"/>
      <c r="K4765" s="12"/>
      <c r="L4765" s="12"/>
      <c r="M4765" s="6"/>
      <c r="N4765" s="6"/>
      <c r="O4765" s="7"/>
      <c r="P4765" s="6"/>
      <c r="Q4765" s="6"/>
      <c r="R4765" s="7"/>
      <c r="S4765" s="6"/>
      <c r="T4765" s="6"/>
      <c r="U4765" s="7"/>
      <c r="V4765" s="6"/>
      <c r="W4765" s="6"/>
      <c r="X4765" s="12"/>
      <c r="Y4765" s="6"/>
      <c r="Z4765" s="6"/>
      <c r="AA4765" s="7"/>
      <c r="AB4765" s="6"/>
      <c r="AC4765" s="6"/>
      <c r="AD4765" s="6"/>
      <c r="AE4765" s="12"/>
      <c r="AF4765" s="12"/>
      <c r="AG4765" s="12"/>
      <c r="AH4765" s="12"/>
      <c r="AI4765" s="6"/>
      <c r="AJ4765" s="12"/>
      <c r="AK4765" s="1"/>
      <c r="AL4765" s="12"/>
      <c r="AM4765" s="12"/>
      <c r="AN4765" s="1"/>
      <c r="AO4765" s="6"/>
    </row>
    <row r="4766" spans="1:41" ht="15" x14ac:dyDescent="0.25">
      <c r="A4766" s="1"/>
      <c r="B4766" s="1"/>
      <c r="C4766" s="1"/>
      <c r="D4766" s="1"/>
      <c r="E4766" s="6"/>
      <c r="F4766" s="1"/>
      <c r="G4766" s="6"/>
      <c r="H4766" s="6"/>
      <c r="I4766" s="6"/>
      <c r="J4766" s="6"/>
      <c r="K4766" s="6"/>
      <c r="L4766" s="6"/>
      <c r="M4766" s="6"/>
      <c r="N4766" s="6"/>
      <c r="O4766" s="7"/>
      <c r="P4766" s="6"/>
      <c r="Q4766" s="6"/>
      <c r="R4766" s="7"/>
      <c r="S4766" s="6"/>
      <c r="T4766" s="6"/>
      <c r="U4766" s="7"/>
      <c r="V4766" s="6"/>
      <c r="W4766" s="6"/>
      <c r="X4766" s="12"/>
      <c r="Y4766" s="6"/>
      <c r="Z4766" s="6"/>
      <c r="AA4766" s="7"/>
      <c r="AB4766" s="6"/>
      <c r="AC4766" s="6"/>
      <c r="AD4766" s="6"/>
      <c r="AE4766" s="12"/>
      <c r="AF4766" s="12"/>
      <c r="AG4766" s="12"/>
      <c r="AH4766" s="12"/>
      <c r="AI4766" s="6"/>
      <c r="AJ4766" s="12"/>
      <c r="AK4766" s="1"/>
      <c r="AL4766" s="12"/>
      <c r="AM4766" s="12"/>
      <c r="AN4766" s="1"/>
      <c r="AO4766" s="6"/>
    </row>
    <row r="4767" spans="1:41" ht="15" x14ac:dyDescent="0.25">
      <c r="A4767" s="1"/>
      <c r="B4767" s="1"/>
      <c r="C4767" s="1"/>
      <c r="D4767" s="1"/>
      <c r="E4767" s="6"/>
      <c r="F4767" s="1"/>
      <c r="G4767" s="6"/>
      <c r="H4767" s="6"/>
      <c r="I4767" s="6"/>
      <c r="J4767" s="6"/>
      <c r="K4767" s="6"/>
      <c r="L4767" s="6"/>
      <c r="M4767" s="6"/>
      <c r="N4767" s="6"/>
      <c r="O4767" s="7"/>
      <c r="P4767" s="6"/>
      <c r="Q4767" s="6"/>
      <c r="R4767" s="7"/>
      <c r="S4767" s="6"/>
      <c r="T4767" s="6"/>
      <c r="U4767" s="7"/>
      <c r="V4767" s="6"/>
      <c r="W4767" s="6"/>
      <c r="X4767" s="6"/>
      <c r="Y4767" s="6"/>
      <c r="Z4767" s="6"/>
      <c r="AA4767" s="7"/>
      <c r="AB4767" s="6"/>
      <c r="AC4767" s="6"/>
      <c r="AD4767" s="6"/>
      <c r="AE4767" s="12"/>
      <c r="AF4767" s="12"/>
      <c r="AG4767" s="12"/>
      <c r="AH4767" s="12"/>
      <c r="AI4767" s="6"/>
      <c r="AJ4767" s="12"/>
      <c r="AK4767" s="1"/>
      <c r="AL4767" s="12"/>
      <c r="AM4767" s="12"/>
      <c r="AN4767" s="1"/>
      <c r="AO4767" s="6"/>
    </row>
    <row r="4768" spans="1:41" ht="15" x14ac:dyDescent="0.25">
      <c r="A4768" s="1"/>
      <c r="B4768" s="1"/>
      <c r="C4768" s="1"/>
      <c r="D4768" s="1"/>
      <c r="E4768" s="6"/>
      <c r="F4768" s="1"/>
      <c r="G4768" s="6"/>
      <c r="H4768" s="6"/>
      <c r="I4768" s="6"/>
      <c r="J4768" s="6"/>
      <c r="K4768" s="6"/>
      <c r="L4768" s="6"/>
      <c r="M4768" s="6"/>
      <c r="N4768" s="6"/>
      <c r="O4768" s="7"/>
      <c r="P4768" s="6"/>
      <c r="Q4768" s="6"/>
      <c r="R4768" s="7"/>
      <c r="S4768" s="6"/>
      <c r="T4768" s="6"/>
      <c r="U4768" s="7"/>
      <c r="V4768" s="6"/>
      <c r="W4768" s="6"/>
      <c r="X4768" s="12"/>
      <c r="Y4768" s="6"/>
      <c r="Z4768" s="6"/>
      <c r="AA4768" s="7"/>
      <c r="AB4768" s="6"/>
      <c r="AC4768" s="6"/>
      <c r="AD4768" s="6"/>
      <c r="AE4768" s="12"/>
      <c r="AF4768" s="12"/>
      <c r="AG4768" s="12"/>
      <c r="AH4768" s="12"/>
      <c r="AI4768" s="6"/>
      <c r="AJ4768" s="12"/>
      <c r="AK4768" s="1"/>
      <c r="AL4768" s="12"/>
      <c r="AM4768" s="12"/>
      <c r="AN4768" s="1"/>
      <c r="AO4768" s="6"/>
    </row>
    <row r="4769" spans="1:41" ht="15" x14ac:dyDescent="0.25">
      <c r="A4769" s="1"/>
      <c r="B4769" s="1"/>
      <c r="C4769" s="1"/>
      <c r="D4769" s="1"/>
      <c r="E4769" s="6"/>
      <c r="F4769" s="1"/>
      <c r="G4769" s="6"/>
      <c r="H4769" s="6"/>
      <c r="I4769" s="6"/>
      <c r="J4769" s="6"/>
      <c r="K4769" s="6"/>
      <c r="L4769" s="6"/>
      <c r="M4769" s="6"/>
      <c r="N4769" s="6"/>
      <c r="O4769" s="7"/>
      <c r="P4769" s="6"/>
      <c r="Q4769" s="6"/>
      <c r="R4769" s="7"/>
      <c r="S4769" s="6"/>
      <c r="T4769" s="6"/>
      <c r="U4769" s="7"/>
      <c r="V4769" s="6"/>
      <c r="W4769" s="6"/>
      <c r="X4769" s="12"/>
      <c r="Y4769" s="6"/>
      <c r="Z4769" s="6"/>
      <c r="AA4769" s="7"/>
      <c r="AB4769" s="6"/>
      <c r="AC4769" s="6"/>
      <c r="AD4769" s="6"/>
      <c r="AE4769" s="12"/>
      <c r="AF4769" s="12"/>
      <c r="AG4769" s="12"/>
      <c r="AH4769" s="12"/>
      <c r="AI4769" s="6"/>
      <c r="AJ4769" s="12"/>
      <c r="AK4769" s="1"/>
      <c r="AL4769" s="12"/>
      <c r="AM4769" s="12"/>
      <c r="AN4769" s="1"/>
      <c r="AO4769" s="6"/>
    </row>
    <row r="4770" spans="1:41" ht="15" x14ac:dyDescent="0.25">
      <c r="A4770" s="1"/>
      <c r="B4770" s="1"/>
      <c r="C4770" s="1"/>
      <c r="D4770" s="1"/>
      <c r="E4770" s="6"/>
      <c r="F4770" s="1"/>
      <c r="G4770" s="6"/>
      <c r="H4770" s="6"/>
      <c r="I4770" s="6"/>
      <c r="J4770" s="6"/>
      <c r="K4770" s="6"/>
      <c r="L4770" s="6"/>
      <c r="M4770" s="6"/>
      <c r="N4770" s="6"/>
      <c r="O4770" s="7"/>
      <c r="P4770" s="6"/>
      <c r="Q4770" s="6"/>
      <c r="R4770" s="7"/>
      <c r="S4770" s="6"/>
      <c r="T4770" s="6"/>
      <c r="U4770" s="7"/>
      <c r="V4770" s="6"/>
      <c r="W4770" s="6"/>
      <c r="X4770" s="6"/>
      <c r="Y4770" s="6"/>
      <c r="Z4770" s="6"/>
      <c r="AA4770" s="7"/>
      <c r="AB4770" s="6"/>
      <c r="AC4770" s="6"/>
      <c r="AD4770" s="6"/>
      <c r="AE4770" s="12"/>
      <c r="AF4770" s="12"/>
      <c r="AG4770" s="12"/>
      <c r="AH4770" s="12"/>
      <c r="AI4770" s="6"/>
      <c r="AJ4770" s="12"/>
      <c r="AK4770" s="1"/>
      <c r="AL4770" s="12"/>
      <c r="AM4770" s="12"/>
      <c r="AN4770" s="1"/>
      <c r="AO4770" s="6"/>
    </row>
    <row r="4771" spans="1:41" ht="15" x14ac:dyDescent="0.25">
      <c r="A4771" s="1"/>
      <c r="B4771" s="1"/>
      <c r="C4771" s="1"/>
      <c r="D4771" s="1"/>
      <c r="E4771" s="6"/>
      <c r="F4771" s="1"/>
      <c r="G4771" s="6"/>
      <c r="H4771" s="6"/>
      <c r="I4771" s="6"/>
      <c r="J4771" s="6"/>
      <c r="K4771" s="6"/>
      <c r="L4771" s="6"/>
      <c r="M4771" s="6"/>
      <c r="N4771" s="6"/>
      <c r="O4771" s="7"/>
      <c r="P4771" s="6"/>
      <c r="Q4771" s="6"/>
      <c r="R4771" s="7"/>
      <c r="S4771" s="6"/>
      <c r="T4771" s="6"/>
      <c r="U4771" s="7"/>
      <c r="V4771" s="6"/>
      <c r="W4771" s="6"/>
      <c r="X4771" s="6"/>
      <c r="Y4771" s="6"/>
      <c r="Z4771" s="6"/>
      <c r="AA4771" s="7"/>
      <c r="AB4771" s="6"/>
      <c r="AC4771" s="6"/>
      <c r="AD4771" s="6"/>
      <c r="AE4771" s="12"/>
      <c r="AF4771" s="12"/>
      <c r="AG4771" s="12"/>
      <c r="AH4771" s="12"/>
      <c r="AI4771" s="6"/>
      <c r="AJ4771" s="12"/>
      <c r="AK4771" s="1"/>
      <c r="AL4771" s="12"/>
      <c r="AM4771" s="12"/>
      <c r="AN4771" s="1"/>
      <c r="AO4771" s="6"/>
    </row>
    <row r="4772" spans="1:41" ht="15" x14ac:dyDescent="0.25">
      <c r="A4772" s="1"/>
      <c r="B4772" s="1"/>
      <c r="C4772" s="1"/>
      <c r="D4772" s="1"/>
      <c r="E4772" s="6"/>
      <c r="F4772" s="1"/>
      <c r="G4772" s="6"/>
      <c r="H4772" s="6"/>
      <c r="I4772" s="6"/>
      <c r="J4772" s="6"/>
      <c r="K4772" s="6"/>
      <c r="L4772" s="6"/>
      <c r="M4772" s="6"/>
      <c r="N4772" s="6"/>
      <c r="O4772" s="7"/>
      <c r="P4772" s="6"/>
      <c r="Q4772" s="6"/>
      <c r="R4772" s="7"/>
      <c r="S4772" s="6"/>
      <c r="T4772" s="6"/>
      <c r="U4772" s="7"/>
      <c r="V4772" s="6"/>
      <c r="W4772" s="6"/>
      <c r="X4772" s="6"/>
      <c r="Y4772" s="6"/>
      <c r="Z4772" s="6"/>
      <c r="AA4772" s="7"/>
      <c r="AB4772" s="6"/>
      <c r="AC4772" s="6"/>
      <c r="AD4772" s="6"/>
      <c r="AE4772" s="12"/>
      <c r="AF4772" s="12"/>
      <c r="AG4772" s="12"/>
      <c r="AH4772" s="12"/>
      <c r="AI4772" s="6"/>
      <c r="AJ4772" s="12"/>
      <c r="AK4772" s="1"/>
      <c r="AL4772" s="12"/>
      <c r="AM4772" s="12"/>
      <c r="AN4772" s="1"/>
      <c r="AO4772" s="6"/>
    </row>
    <row r="4773" spans="1:41" ht="15" x14ac:dyDescent="0.25">
      <c r="A4773" s="1"/>
      <c r="B4773" s="1"/>
      <c r="C4773" s="1"/>
      <c r="D4773" s="1"/>
      <c r="E4773" s="6"/>
      <c r="F4773" s="1"/>
      <c r="G4773" s="6"/>
      <c r="H4773" s="6"/>
      <c r="I4773" s="6"/>
      <c r="J4773" s="6"/>
      <c r="K4773" s="12"/>
      <c r="L4773" s="12"/>
      <c r="M4773" s="6"/>
      <c r="N4773" s="6"/>
      <c r="O4773" s="7"/>
      <c r="P4773" s="12"/>
      <c r="Q4773" s="6"/>
      <c r="R4773" s="7"/>
      <c r="S4773" s="6"/>
      <c r="T4773" s="6"/>
      <c r="U4773" s="7"/>
      <c r="V4773" s="6"/>
      <c r="W4773" s="6"/>
      <c r="X4773" s="12"/>
      <c r="Y4773" s="6"/>
      <c r="Z4773" s="6"/>
      <c r="AA4773" s="7"/>
      <c r="AB4773" s="6"/>
      <c r="AC4773" s="6"/>
      <c r="AD4773" s="6"/>
      <c r="AE4773" s="12"/>
      <c r="AF4773" s="12"/>
      <c r="AG4773" s="12"/>
      <c r="AH4773" s="12"/>
      <c r="AI4773" s="6"/>
      <c r="AJ4773" s="12"/>
      <c r="AK4773" s="1"/>
      <c r="AL4773" s="12"/>
      <c r="AM4773" s="12"/>
      <c r="AN4773" s="1"/>
      <c r="AO4773" s="6"/>
    </row>
    <row r="4774" spans="1:41" ht="15" x14ac:dyDescent="0.25">
      <c r="A4774" s="1"/>
      <c r="B4774" s="1"/>
      <c r="C4774" s="1"/>
      <c r="D4774" s="1"/>
      <c r="E4774" s="6"/>
      <c r="F4774" s="1"/>
      <c r="G4774" s="6"/>
      <c r="H4774" s="6"/>
      <c r="I4774" s="6"/>
      <c r="J4774" s="6"/>
      <c r="K4774" s="12"/>
      <c r="L4774" s="12"/>
      <c r="M4774" s="6"/>
      <c r="N4774" s="6"/>
      <c r="O4774" s="7"/>
      <c r="P4774" s="12"/>
      <c r="Q4774" s="6"/>
      <c r="R4774" s="7"/>
      <c r="S4774" s="6"/>
      <c r="T4774" s="6"/>
      <c r="U4774" s="7"/>
      <c r="V4774" s="6"/>
      <c r="W4774" s="6"/>
      <c r="X4774" s="12"/>
      <c r="Y4774" s="6"/>
      <c r="Z4774" s="6"/>
      <c r="AA4774" s="7"/>
      <c r="AB4774" s="6"/>
      <c r="AC4774" s="6"/>
      <c r="AD4774" s="6"/>
      <c r="AE4774" s="12"/>
      <c r="AF4774" s="12"/>
      <c r="AG4774" s="12"/>
      <c r="AH4774" s="12"/>
      <c r="AI4774" s="6"/>
      <c r="AJ4774" s="12"/>
      <c r="AK4774" s="1"/>
      <c r="AL4774" s="12"/>
      <c r="AM4774" s="12"/>
      <c r="AN4774" s="1"/>
      <c r="AO4774" s="6"/>
    </row>
    <row r="4775" spans="1:41" ht="15" x14ac:dyDescent="0.25">
      <c r="A4775" s="1"/>
      <c r="B4775" s="1"/>
      <c r="C4775" s="1"/>
      <c r="D4775" s="1"/>
      <c r="E4775" s="6"/>
      <c r="F4775" s="1"/>
      <c r="G4775" s="6"/>
      <c r="H4775" s="6"/>
      <c r="I4775" s="6"/>
      <c r="J4775" s="6"/>
      <c r="K4775" s="6"/>
      <c r="L4775" s="6"/>
      <c r="M4775" s="6"/>
      <c r="N4775" s="6"/>
      <c r="O4775" s="7"/>
      <c r="P4775" s="6"/>
      <c r="Q4775" s="6"/>
      <c r="R4775" s="15"/>
      <c r="S4775" s="6"/>
      <c r="T4775" s="6"/>
      <c r="U4775" s="7"/>
      <c r="V4775" s="6"/>
      <c r="W4775" s="6"/>
      <c r="X4775" s="6"/>
      <c r="Y4775" s="6"/>
      <c r="Z4775" s="6"/>
      <c r="AA4775" s="7"/>
      <c r="AB4775" s="6"/>
      <c r="AC4775" s="6"/>
      <c r="AD4775" s="6"/>
      <c r="AE4775" s="12"/>
      <c r="AF4775" s="12"/>
      <c r="AG4775" s="12"/>
      <c r="AH4775" s="12"/>
      <c r="AI4775" s="6"/>
      <c r="AJ4775" s="12"/>
      <c r="AK4775" s="1"/>
      <c r="AL4775" s="12"/>
      <c r="AM4775" s="12"/>
      <c r="AN4775" s="1"/>
      <c r="AO4775" s="6"/>
    </row>
    <row r="4776" spans="1:41" ht="15" x14ac:dyDescent="0.25">
      <c r="A4776" s="1"/>
      <c r="B4776" s="1"/>
      <c r="C4776" s="1"/>
      <c r="D4776" s="1"/>
      <c r="E4776" s="6"/>
      <c r="F4776" s="1"/>
      <c r="G4776" s="6"/>
      <c r="H4776" s="6"/>
      <c r="I4776" s="6"/>
      <c r="J4776" s="6"/>
      <c r="K4776" s="6"/>
      <c r="L4776" s="6"/>
      <c r="M4776" s="6"/>
      <c r="N4776" s="6"/>
      <c r="O4776" s="7"/>
      <c r="P4776" s="6"/>
      <c r="Q4776" s="6"/>
      <c r="R4776" s="7"/>
      <c r="S4776" s="6"/>
      <c r="T4776" s="6"/>
      <c r="U4776" s="7"/>
      <c r="V4776" s="6"/>
      <c r="W4776" s="6"/>
      <c r="X4776" s="12"/>
      <c r="Y4776" s="6"/>
      <c r="Z4776" s="6"/>
      <c r="AA4776" s="7"/>
      <c r="AB4776" s="6"/>
      <c r="AC4776" s="6"/>
      <c r="AD4776" s="6"/>
      <c r="AE4776" s="12"/>
      <c r="AF4776" s="6"/>
      <c r="AG4776" s="12"/>
      <c r="AH4776" s="6"/>
      <c r="AI4776" s="6"/>
      <c r="AJ4776" s="12"/>
      <c r="AK4776" s="1"/>
      <c r="AL4776" s="12"/>
      <c r="AM4776" s="12"/>
      <c r="AN4776" s="1"/>
      <c r="AO4776" s="6"/>
    </row>
    <row r="4777" spans="1:41" ht="15" x14ac:dyDescent="0.25">
      <c r="A4777" s="1"/>
      <c r="B4777" s="1"/>
      <c r="C4777" s="1"/>
      <c r="D4777" s="1"/>
      <c r="E4777" s="6"/>
      <c r="F4777" s="1"/>
      <c r="G4777" s="6"/>
      <c r="H4777" s="6"/>
      <c r="I4777" s="6"/>
      <c r="J4777" s="6"/>
      <c r="K4777" s="6"/>
      <c r="L4777" s="6"/>
      <c r="M4777" s="6"/>
      <c r="N4777" s="6"/>
      <c r="O4777" s="7"/>
      <c r="P4777" s="6"/>
      <c r="Q4777" s="6"/>
      <c r="R4777" s="7"/>
      <c r="S4777" s="6"/>
      <c r="T4777" s="6"/>
      <c r="U4777" s="7"/>
      <c r="V4777" s="6"/>
      <c r="W4777" s="6"/>
      <c r="X4777" s="12"/>
      <c r="Y4777" s="6"/>
      <c r="Z4777" s="6"/>
      <c r="AA4777" s="7"/>
      <c r="AB4777" s="6"/>
      <c r="AC4777" s="6"/>
      <c r="AD4777" s="6"/>
      <c r="AE4777" s="12"/>
      <c r="AF4777" s="6"/>
      <c r="AG4777" s="12"/>
      <c r="AH4777" s="6"/>
      <c r="AI4777" s="6"/>
      <c r="AJ4777" s="12"/>
      <c r="AK4777" s="1"/>
      <c r="AL4777" s="12"/>
      <c r="AM4777" s="12"/>
      <c r="AN4777" s="1"/>
      <c r="AO4777" s="6"/>
    </row>
    <row r="4778" spans="1:41" ht="15" x14ac:dyDescent="0.25">
      <c r="A4778" s="1"/>
      <c r="B4778" s="1"/>
      <c r="C4778" s="1"/>
      <c r="D4778" s="1"/>
      <c r="E4778" s="6"/>
      <c r="F4778" s="1"/>
      <c r="G4778" s="6"/>
      <c r="H4778" s="6"/>
      <c r="I4778" s="6"/>
      <c r="J4778" s="6"/>
      <c r="K4778" s="6"/>
      <c r="L4778" s="6"/>
      <c r="M4778" s="6"/>
      <c r="N4778" s="6"/>
      <c r="O4778" s="7"/>
      <c r="P4778" s="6"/>
      <c r="Q4778" s="6"/>
      <c r="R4778" s="12"/>
      <c r="S4778" s="12"/>
      <c r="T4778" s="12"/>
      <c r="U4778" s="7"/>
      <c r="V4778" s="6"/>
      <c r="W4778" s="6"/>
      <c r="X4778" s="12"/>
      <c r="Y4778" s="6"/>
      <c r="Z4778" s="6"/>
      <c r="AA4778" s="7"/>
      <c r="AB4778" s="6"/>
      <c r="AC4778" s="6"/>
      <c r="AD4778" s="6"/>
      <c r="AE4778" s="12"/>
      <c r="AF4778" s="12"/>
      <c r="AG4778" s="12"/>
      <c r="AH4778" s="12"/>
      <c r="AI4778" s="6"/>
      <c r="AJ4778" s="12"/>
      <c r="AK4778" s="1"/>
      <c r="AL4778" s="12"/>
      <c r="AM4778" s="12"/>
      <c r="AN4778" s="1"/>
      <c r="AO4778" s="6"/>
    </row>
    <row r="4779" spans="1:41" ht="15" x14ac:dyDescent="0.25">
      <c r="A4779" s="1"/>
      <c r="B4779" s="1"/>
      <c r="C4779" s="1"/>
      <c r="D4779" s="1"/>
      <c r="E4779" s="6"/>
      <c r="F4779" s="1"/>
      <c r="G4779" s="6"/>
      <c r="H4779" s="6"/>
      <c r="I4779" s="6"/>
      <c r="J4779" s="6"/>
      <c r="K4779" s="6"/>
      <c r="L4779" s="6"/>
      <c r="M4779" s="6"/>
      <c r="N4779" s="6"/>
      <c r="O4779" s="7"/>
      <c r="P4779" s="6"/>
      <c r="Q4779" s="6"/>
      <c r="R4779" s="12"/>
      <c r="S4779" s="12"/>
      <c r="T4779" s="12"/>
      <c r="U4779" s="7"/>
      <c r="V4779" s="6"/>
      <c r="W4779" s="6"/>
      <c r="X4779" s="12"/>
      <c r="Y4779" s="6"/>
      <c r="Z4779" s="6"/>
      <c r="AA4779" s="7"/>
      <c r="AB4779" s="6"/>
      <c r="AC4779" s="6"/>
      <c r="AD4779" s="6"/>
      <c r="AE4779" s="12"/>
      <c r="AF4779" s="12"/>
      <c r="AG4779" s="12"/>
      <c r="AH4779" s="12"/>
      <c r="AI4779" s="6"/>
      <c r="AJ4779" s="12"/>
      <c r="AK4779" s="1"/>
      <c r="AL4779" s="12"/>
      <c r="AM4779" s="12"/>
      <c r="AN4779" s="1"/>
      <c r="AO4779" s="6"/>
    </row>
    <row r="4780" spans="1:41" ht="15" x14ac:dyDescent="0.25">
      <c r="A4780" s="1"/>
      <c r="B4780" s="1"/>
      <c r="C4780" s="1"/>
      <c r="D4780" s="1"/>
      <c r="E4780" s="6"/>
      <c r="F4780" s="1"/>
      <c r="G4780" s="6"/>
      <c r="H4780" s="6"/>
      <c r="I4780" s="6"/>
      <c r="J4780" s="6"/>
      <c r="K4780" s="6"/>
      <c r="L4780" s="6"/>
      <c r="M4780" s="6"/>
      <c r="N4780" s="6"/>
      <c r="O4780" s="7"/>
      <c r="P4780" s="6"/>
      <c r="Q4780" s="7"/>
      <c r="R4780" s="6"/>
      <c r="S4780" s="6"/>
      <c r="T4780" s="6"/>
      <c r="U4780" s="6"/>
      <c r="V4780" s="7"/>
      <c r="W4780" s="6"/>
      <c r="X4780" s="6"/>
      <c r="Y4780" s="6"/>
      <c r="Z4780" s="6"/>
      <c r="AA4780" s="24"/>
      <c r="AB4780" s="25"/>
      <c r="AC4780" s="12"/>
      <c r="AD4780" s="12"/>
      <c r="AE4780" s="12"/>
      <c r="AF4780" s="6"/>
      <c r="AG4780" s="12"/>
      <c r="AH4780" s="6"/>
      <c r="AI4780" s="6"/>
      <c r="AJ4780" s="12"/>
      <c r="AK4780" s="12"/>
      <c r="AL4780" s="12"/>
      <c r="AM4780" s="12"/>
      <c r="AN4780" s="1"/>
      <c r="AO4780" s="6"/>
    </row>
    <row r="4781" spans="1:41" ht="15" x14ac:dyDescent="0.25">
      <c r="A4781" s="1"/>
      <c r="B4781" s="1"/>
      <c r="C4781" s="1"/>
      <c r="D4781" s="1"/>
      <c r="E4781" s="6"/>
      <c r="F4781" s="1"/>
      <c r="G4781" s="6"/>
      <c r="H4781" s="6"/>
      <c r="I4781" s="6"/>
      <c r="J4781" s="6"/>
      <c r="K4781" s="6"/>
      <c r="L4781" s="6"/>
      <c r="M4781" s="6"/>
      <c r="N4781" s="6"/>
      <c r="O4781" s="7"/>
      <c r="P4781" s="6"/>
      <c r="Q4781" s="7"/>
      <c r="R4781" s="6"/>
      <c r="S4781" s="6"/>
      <c r="T4781" s="6"/>
      <c r="U4781" s="6"/>
      <c r="V4781" s="7"/>
      <c r="W4781" s="6"/>
      <c r="X4781" s="6"/>
      <c r="Y4781" s="6"/>
      <c r="Z4781" s="6"/>
      <c r="AA4781" s="24"/>
      <c r="AB4781" s="25"/>
      <c r="AC4781" s="12"/>
      <c r="AD4781" s="12"/>
      <c r="AE4781" s="12"/>
      <c r="AF4781" s="6"/>
      <c r="AG4781" s="12"/>
      <c r="AH4781" s="6"/>
      <c r="AI4781" s="6"/>
      <c r="AJ4781" s="12"/>
      <c r="AK4781" s="12"/>
      <c r="AL4781" s="12"/>
      <c r="AM4781" s="12"/>
      <c r="AN4781" s="1"/>
      <c r="AO4781" s="6"/>
    </row>
    <row r="4782" spans="1:41" ht="15" x14ac:dyDescent="0.25">
      <c r="A4782" s="1"/>
      <c r="B4782" s="1"/>
      <c r="C4782" s="1"/>
      <c r="D4782" s="1"/>
      <c r="E4782" s="6"/>
      <c r="F4782" s="1"/>
      <c r="G4782" s="6"/>
      <c r="H4782" s="6"/>
      <c r="I4782" s="6"/>
      <c r="J4782" s="6"/>
      <c r="K4782" s="6"/>
      <c r="L4782" s="6"/>
      <c r="M4782" s="6"/>
      <c r="N4782" s="6"/>
      <c r="O4782" s="7"/>
      <c r="P4782" s="6"/>
      <c r="Q4782" s="6"/>
      <c r="R4782" s="7"/>
      <c r="S4782" s="6"/>
      <c r="T4782" s="6"/>
      <c r="U4782" s="7"/>
      <c r="V4782" s="6"/>
      <c r="W4782" s="6"/>
      <c r="X4782" s="6"/>
      <c r="Y4782" s="6"/>
      <c r="Z4782" s="6"/>
      <c r="AA4782" s="7"/>
      <c r="AB4782" s="6"/>
      <c r="AC4782" s="6"/>
      <c r="AD4782" s="6"/>
      <c r="AE4782" s="12"/>
      <c r="AF4782" s="6"/>
      <c r="AG4782" s="12"/>
      <c r="AH4782" s="6"/>
      <c r="AI4782" s="6"/>
      <c r="AJ4782" s="12"/>
      <c r="AK4782" s="1"/>
      <c r="AL4782" s="12"/>
      <c r="AM4782" s="12"/>
      <c r="AN4782" s="1"/>
      <c r="AO4782" s="6"/>
    </row>
    <row r="4783" spans="1:41" ht="15" x14ac:dyDescent="0.25">
      <c r="A4783" s="1"/>
      <c r="B4783" s="1"/>
      <c r="C4783" s="1"/>
      <c r="D4783" s="1"/>
      <c r="E4783" s="6"/>
      <c r="F4783" s="1"/>
      <c r="G4783" s="6"/>
      <c r="H4783" s="6"/>
      <c r="I4783" s="6"/>
      <c r="J4783" s="6"/>
      <c r="K4783" s="6"/>
      <c r="L4783" s="6"/>
      <c r="M4783" s="6"/>
      <c r="N4783" s="6"/>
      <c r="O4783" s="7"/>
      <c r="P4783" s="6"/>
      <c r="Q4783" s="6"/>
      <c r="R4783" s="7"/>
      <c r="S4783" s="6"/>
      <c r="T4783" s="6"/>
      <c r="U4783" s="7"/>
      <c r="V4783" s="6"/>
      <c r="W4783" s="6"/>
      <c r="X4783" s="12"/>
      <c r="Y4783" s="6"/>
      <c r="Z4783" s="6"/>
      <c r="AA4783" s="7"/>
      <c r="AB4783" s="6"/>
      <c r="AC4783" s="6"/>
      <c r="AD4783" s="6"/>
      <c r="AE4783" s="12"/>
      <c r="AF4783" s="6"/>
      <c r="AG4783" s="12"/>
      <c r="AH4783" s="6"/>
      <c r="AI4783" s="6"/>
      <c r="AJ4783" s="12"/>
      <c r="AK4783" s="1"/>
      <c r="AL4783" s="12"/>
      <c r="AM4783" s="12"/>
      <c r="AN4783" s="1"/>
      <c r="AO4783" s="6"/>
    </row>
    <row r="4784" spans="1:41" ht="15" x14ac:dyDescent="0.25">
      <c r="A4784" s="1"/>
      <c r="B4784" s="1"/>
      <c r="C4784" s="1"/>
      <c r="D4784" s="1"/>
      <c r="E4784" s="6"/>
      <c r="F4784" s="1"/>
      <c r="G4784" s="6"/>
      <c r="H4784" s="6"/>
      <c r="I4784" s="6"/>
      <c r="J4784" s="6"/>
      <c r="K4784" s="6"/>
      <c r="L4784" s="6"/>
      <c r="M4784" s="6"/>
      <c r="N4784" s="6"/>
      <c r="O4784" s="7"/>
      <c r="P4784" s="12"/>
      <c r="Q4784" s="6"/>
      <c r="R4784" s="7"/>
      <c r="S4784" s="6"/>
      <c r="T4784" s="6"/>
      <c r="U4784" s="7"/>
      <c r="V4784" s="6"/>
      <c r="W4784" s="6"/>
      <c r="X4784" s="6"/>
      <c r="Y4784" s="6"/>
      <c r="Z4784" s="6"/>
      <c r="AA4784" s="7"/>
      <c r="AB4784" s="6"/>
      <c r="AC4784" s="6"/>
      <c r="AD4784" s="6"/>
      <c r="AE4784" s="12"/>
      <c r="AF4784" s="12"/>
      <c r="AG4784" s="12"/>
      <c r="AH4784" s="12"/>
      <c r="AI4784" s="6"/>
      <c r="AJ4784" s="12"/>
      <c r="AK4784" s="1"/>
      <c r="AL4784" s="12"/>
      <c r="AM4784" s="12"/>
      <c r="AN4784" s="1"/>
      <c r="AO4784" s="6"/>
    </row>
    <row r="4785" spans="1:41" ht="15" x14ac:dyDescent="0.25">
      <c r="A4785" s="1"/>
      <c r="B4785" s="1"/>
      <c r="C4785" s="1"/>
      <c r="D4785" s="1"/>
      <c r="E4785" s="6"/>
      <c r="F4785" s="1"/>
      <c r="G4785" s="6"/>
      <c r="H4785" s="6"/>
      <c r="I4785" s="6"/>
      <c r="J4785" s="6"/>
      <c r="K4785" s="6"/>
      <c r="L4785" s="6"/>
      <c r="M4785" s="6"/>
      <c r="N4785" s="6"/>
      <c r="O4785" s="7"/>
      <c r="P4785" s="6"/>
      <c r="Q4785" s="7"/>
      <c r="R4785" s="6"/>
      <c r="S4785" s="12"/>
      <c r="T4785" s="6"/>
      <c r="U4785" s="6"/>
      <c r="V4785" s="7"/>
      <c r="W4785" s="7"/>
      <c r="X4785" s="6"/>
      <c r="Y4785" s="6"/>
      <c r="Z4785" s="6"/>
      <c r="AA4785" s="1"/>
      <c r="AB4785" s="12"/>
      <c r="AC4785" s="12"/>
      <c r="AD4785" s="12"/>
      <c r="AE4785" s="12"/>
      <c r="AF4785" s="12"/>
      <c r="AG4785" s="12"/>
      <c r="AH4785" s="12"/>
      <c r="AI4785" s="6"/>
      <c r="AJ4785" s="12"/>
      <c r="AK4785" s="12"/>
      <c r="AL4785" s="12"/>
      <c r="AM4785" s="12"/>
      <c r="AN4785" s="1"/>
      <c r="AO4785" s="6"/>
    </row>
    <row r="4786" spans="1:41" ht="15" x14ac:dyDescent="0.25">
      <c r="A4786" s="1"/>
      <c r="B4786" s="1"/>
      <c r="C4786" s="1"/>
      <c r="D4786" s="1"/>
      <c r="E4786" s="6"/>
      <c r="F4786" s="1"/>
      <c r="G4786" s="6"/>
      <c r="H4786" s="6"/>
      <c r="I4786" s="6"/>
      <c r="J4786" s="6"/>
      <c r="K4786" s="6"/>
      <c r="L4786" s="6"/>
      <c r="M4786" s="6"/>
      <c r="N4786" s="6"/>
      <c r="O4786" s="7"/>
      <c r="P4786" s="12"/>
      <c r="Q4786" s="6"/>
      <c r="R4786" s="7"/>
      <c r="S4786" s="6"/>
      <c r="T4786" s="6"/>
      <c r="U4786" s="7"/>
      <c r="V4786" s="6"/>
      <c r="W4786" s="6"/>
      <c r="X4786" s="6"/>
      <c r="Y4786" s="6"/>
      <c r="Z4786" s="6"/>
      <c r="AA4786" s="7"/>
      <c r="AB4786" s="6"/>
      <c r="AC4786" s="6"/>
      <c r="AD4786" s="6"/>
      <c r="AE4786" s="12"/>
      <c r="AF4786" s="6"/>
      <c r="AG4786" s="12"/>
      <c r="AH4786" s="6"/>
      <c r="AI4786" s="6"/>
      <c r="AJ4786" s="12"/>
      <c r="AK4786" s="24"/>
      <c r="AL4786" s="25"/>
      <c r="AM4786" s="12"/>
      <c r="AN4786" s="1"/>
      <c r="AO4786" s="6"/>
    </row>
    <row r="4787" spans="1:41" ht="15" x14ac:dyDescent="0.25">
      <c r="A4787" s="1"/>
      <c r="B4787" s="1"/>
      <c r="C4787" s="1"/>
      <c r="D4787" s="1"/>
      <c r="E4787" s="6"/>
      <c r="F4787" s="1"/>
      <c r="G4787" s="6"/>
      <c r="H4787" s="6"/>
      <c r="I4787" s="6"/>
      <c r="J4787" s="6"/>
      <c r="K4787" s="6"/>
      <c r="L4787" s="6"/>
      <c r="M4787" s="6"/>
      <c r="N4787" s="6"/>
      <c r="O4787" s="7"/>
      <c r="P4787" s="12"/>
      <c r="Q4787" s="6"/>
      <c r="R4787" s="7"/>
      <c r="S4787" s="6"/>
      <c r="T4787" s="6"/>
      <c r="U4787" s="7"/>
      <c r="V4787" s="6"/>
      <c r="W4787" s="6"/>
      <c r="X4787" s="6"/>
      <c r="Y4787" s="6"/>
      <c r="Z4787" s="6"/>
      <c r="AA4787" s="7"/>
      <c r="AB4787" s="6"/>
      <c r="AC4787" s="6"/>
      <c r="AD4787" s="6"/>
      <c r="AE4787" s="12"/>
      <c r="AF4787" s="6"/>
      <c r="AG4787" s="12"/>
      <c r="AH4787" s="6"/>
      <c r="AI4787" s="6"/>
      <c r="AJ4787" s="12"/>
      <c r="AK4787" s="24"/>
      <c r="AL4787" s="25"/>
      <c r="AM4787" s="12"/>
      <c r="AN4787" s="1"/>
      <c r="AO4787" s="6"/>
    </row>
    <row r="4788" spans="1:41" ht="15" x14ac:dyDescent="0.25">
      <c r="A4788" s="1"/>
      <c r="B4788" s="1"/>
      <c r="C4788" s="1"/>
      <c r="D4788" s="1"/>
      <c r="E4788" s="6"/>
      <c r="F4788" s="1"/>
      <c r="G4788" s="6"/>
      <c r="H4788" s="6"/>
      <c r="I4788" s="6"/>
      <c r="J4788" s="6"/>
      <c r="K4788" s="6"/>
      <c r="L4788" s="6"/>
      <c r="M4788" s="6"/>
      <c r="N4788" s="6"/>
      <c r="O4788" s="7"/>
      <c r="P4788" s="6"/>
      <c r="Q4788" s="6"/>
      <c r="R4788" s="7"/>
      <c r="S4788" s="6"/>
      <c r="T4788" s="6"/>
      <c r="U4788" s="7"/>
      <c r="V4788" s="6"/>
      <c r="W4788" s="6"/>
      <c r="X4788" s="6"/>
      <c r="Y4788" s="6"/>
      <c r="Z4788" s="6"/>
      <c r="AA4788" s="7"/>
      <c r="AB4788" s="6"/>
      <c r="AC4788" s="6"/>
      <c r="AD4788" s="6"/>
      <c r="AE4788" s="12"/>
      <c r="AF4788" s="6"/>
      <c r="AG4788" s="12"/>
      <c r="AH4788" s="6"/>
      <c r="AI4788" s="6"/>
      <c r="AJ4788" s="12"/>
      <c r="AK4788" s="1"/>
      <c r="AL4788" s="12"/>
      <c r="AM4788" s="12"/>
      <c r="AN4788" s="1"/>
      <c r="AO4788" s="6"/>
    </row>
    <row r="4789" spans="1:41" ht="15" x14ac:dyDescent="0.25">
      <c r="A4789" s="1"/>
      <c r="B4789" s="1"/>
      <c r="C4789" s="1"/>
      <c r="D4789" s="1"/>
      <c r="E4789" s="6"/>
      <c r="F4789" s="1"/>
      <c r="G4789" s="6"/>
      <c r="H4789" s="6"/>
      <c r="I4789" s="6"/>
      <c r="J4789" s="6"/>
      <c r="K4789" s="6"/>
      <c r="L4789" s="6"/>
      <c r="M4789" s="6"/>
      <c r="N4789" s="6"/>
      <c r="O4789" s="7"/>
      <c r="P4789" s="6"/>
      <c r="Q4789" s="6"/>
      <c r="R4789" s="7"/>
      <c r="S4789" s="6"/>
      <c r="T4789" s="6"/>
      <c r="U4789" s="7"/>
      <c r="V4789" s="6"/>
      <c r="W4789" s="6"/>
      <c r="X4789" s="6"/>
      <c r="Y4789" s="6"/>
      <c r="Z4789" s="6"/>
      <c r="AA4789" s="7"/>
      <c r="AB4789" s="6"/>
      <c r="AC4789" s="6"/>
      <c r="AD4789" s="6"/>
      <c r="AE4789" s="12"/>
      <c r="AF4789" s="6"/>
      <c r="AG4789" s="12"/>
      <c r="AH4789" s="6"/>
      <c r="AI4789" s="6"/>
      <c r="AJ4789" s="12"/>
      <c r="AK4789" s="1"/>
      <c r="AL4789" s="12"/>
      <c r="AM4789" s="12"/>
      <c r="AN4789" s="1"/>
      <c r="AO4789" s="6"/>
    </row>
    <row r="4790" spans="1:41" ht="15" x14ac:dyDescent="0.25">
      <c r="A4790" s="1"/>
      <c r="B4790" s="1"/>
      <c r="C4790" s="1"/>
      <c r="D4790" s="1"/>
      <c r="E4790" s="6"/>
      <c r="F4790" s="1"/>
      <c r="G4790" s="6"/>
      <c r="H4790" s="6"/>
      <c r="I4790" s="6"/>
      <c r="J4790" s="6"/>
      <c r="K4790" s="6"/>
      <c r="L4790" s="6"/>
      <c r="M4790" s="6"/>
      <c r="N4790" s="6"/>
      <c r="O4790" s="7"/>
      <c r="P4790" s="6"/>
      <c r="Q4790" s="6"/>
      <c r="R4790" s="7"/>
      <c r="S4790" s="6"/>
      <c r="T4790" s="6"/>
      <c r="U4790" s="7"/>
      <c r="V4790" s="6"/>
      <c r="W4790" s="6"/>
      <c r="X4790" s="12"/>
      <c r="Y4790" s="6"/>
      <c r="Z4790" s="6"/>
      <c r="AA4790" s="7"/>
      <c r="AB4790" s="6"/>
      <c r="AC4790" s="6"/>
      <c r="AD4790" s="6"/>
      <c r="AE4790" s="12"/>
      <c r="AF4790" s="12"/>
      <c r="AG4790" s="12"/>
      <c r="AH4790" s="12"/>
      <c r="AI4790" s="6"/>
      <c r="AJ4790" s="12"/>
      <c r="AK4790" s="1"/>
      <c r="AL4790" s="12"/>
      <c r="AM4790" s="12"/>
      <c r="AN4790" s="1"/>
      <c r="AO4790" s="6"/>
    </row>
    <row r="4791" spans="1:41" ht="15" x14ac:dyDescent="0.25">
      <c r="A4791" s="1"/>
      <c r="B4791" s="1"/>
      <c r="C4791" s="1"/>
      <c r="D4791" s="1"/>
      <c r="E4791" s="6"/>
      <c r="F4791" s="1"/>
      <c r="G4791" s="6"/>
      <c r="H4791" s="6"/>
      <c r="I4791" s="6"/>
      <c r="J4791" s="6"/>
      <c r="K4791" s="12"/>
      <c r="L4791" s="12"/>
      <c r="M4791" s="6"/>
      <c r="N4791" s="6"/>
      <c r="O4791" s="7"/>
      <c r="P4791" s="12"/>
      <c r="Q4791" s="6"/>
      <c r="R4791" s="7"/>
      <c r="S4791" s="6"/>
      <c r="T4791" s="6"/>
      <c r="U4791" s="7"/>
      <c r="V4791" s="6"/>
      <c r="W4791" s="6"/>
      <c r="X4791" s="12"/>
      <c r="Y4791" s="6"/>
      <c r="Z4791" s="6"/>
      <c r="AA4791" s="7"/>
      <c r="AB4791" s="6"/>
      <c r="AC4791" s="6"/>
      <c r="AD4791" s="6"/>
      <c r="AE4791" s="12"/>
      <c r="AF4791" s="12"/>
      <c r="AG4791" s="12"/>
      <c r="AH4791" s="12"/>
      <c r="AI4791" s="6"/>
      <c r="AJ4791" s="12"/>
      <c r="AK4791" s="1"/>
      <c r="AL4791" s="12"/>
      <c r="AM4791" s="12"/>
      <c r="AN4791" s="1"/>
      <c r="AO4791" s="12"/>
    </row>
    <row r="4792" spans="1:41" ht="15" x14ac:dyDescent="0.25">
      <c r="A4792" s="1"/>
      <c r="B4792" s="1"/>
      <c r="C4792" s="1"/>
      <c r="D4792" s="1"/>
      <c r="E4792" s="6"/>
      <c r="F4792" s="1"/>
      <c r="G4792" s="6"/>
      <c r="H4792" s="6"/>
      <c r="I4792" s="6"/>
      <c r="J4792" s="6"/>
      <c r="K4792" s="12"/>
      <c r="L4792" s="12"/>
      <c r="M4792" s="6"/>
      <c r="N4792" s="6"/>
      <c r="O4792" s="7"/>
      <c r="P4792" s="12"/>
      <c r="Q4792" s="6"/>
      <c r="R4792" s="7"/>
      <c r="S4792" s="6"/>
      <c r="T4792" s="6"/>
      <c r="U4792" s="7"/>
      <c r="V4792" s="6"/>
      <c r="W4792" s="6"/>
      <c r="X4792" s="12"/>
      <c r="Y4792" s="6"/>
      <c r="Z4792" s="6"/>
      <c r="AA4792" s="7"/>
      <c r="AB4792" s="6"/>
      <c r="AC4792" s="6"/>
      <c r="AD4792" s="6"/>
      <c r="AE4792" s="12"/>
      <c r="AF4792" s="12"/>
      <c r="AG4792" s="12"/>
      <c r="AH4792" s="12"/>
      <c r="AI4792" s="6"/>
      <c r="AJ4792" s="12"/>
      <c r="AK4792" s="1"/>
      <c r="AL4792" s="12"/>
      <c r="AM4792" s="12"/>
      <c r="AN4792" s="1"/>
      <c r="AO4792" s="12"/>
    </row>
    <row r="4793" spans="1:41" ht="15" x14ac:dyDescent="0.25">
      <c r="A4793" s="1"/>
      <c r="B4793" s="1"/>
      <c r="C4793" s="1"/>
      <c r="D4793" s="1"/>
      <c r="E4793" s="6"/>
      <c r="F4793" s="1"/>
      <c r="G4793" s="6"/>
      <c r="H4793" s="6"/>
      <c r="I4793" s="6"/>
      <c r="J4793" s="6"/>
      <c r="K4793" s="12"/>
      <c r="L4793" s="12"/>
      <c r="M4793" s="6"/>
      <c r="N4793" s="6"/>
      <c r="O4793" s="7"/>
      <c r="P4793" s="6"/>
      <c r="Q4793" s="6"/>
      <c r="R4793" s="7"/>
      <c r="S4793" s="6"/>
      <c r="T4793" s="6"/>
      <c r="U4793" s="7"/>
      <c r="V4793" s="6"/>
      <c r="W4793" s="6"/>
      <c r="X4793" s="6"/>
      <c r="Y4793" s="6"/>
      <c r="Z4793" s="6"/>
      <c r="AA4793" s="7"/>
      <c r="AB4793" s="6"/>
      <c r="AC4793" s="6"/>
      <c r="AD4793" s="6"/>
      <c r="AE4793" s="12"/>
      <c r="AF4793" s="12"/>
      <c r="AG4793" s="12"/>
      <c r="AH4793" s="12"/>
      <c r="AI4793" s="6"/>
      <c r="AJ4793" s="12"/>
      <c r="AK4793" s="1"/>
      <c r="AL4793" s="12"/>
      <c r="AM4793" s="12"/>
      <c r="AN4793" s="1"/>
      <c r="AO4793" s="6"/>
    </row>
    <row r="4794" spans="1:41" ht="15" x14ac:dyDescent="0.25">
      <c r="A4794" s="1"/>
      <c r="B4794" s="1"/>
      <c r="C4794" s="1"/>
      <c r="D4794" s="1"/>
      <c r="E4794" s="6"/>
      <c r="F4794" s="1"/>
      <c r="G4794" s="6"/>
      <c r="H4794" s="6"/>
      <c r="I4794" s="6"/>
      <c r="J4794" s="6"/>
      <c r="K4794" s="6"/>
      <c r="L4794" s="6"/>
      <c r="M4794" s="6"/>
      <c r="N4794" s="6"/>
      <c r="O4794" s="7"/>
      <c r="P4794" s="6"/>
      <c r="Q4794" s="6"/>
      <c r="R4794" s="7"/>
      <c r="S4794" s="6"/>
      <c r="T4794" s="6"/>
      <c r="U4794" s="7"/>
      <c r="V4794" s="6"/>
      <c r="W4794" s="6"/>
      <c r="X4794" s="12"/>
      <c r="Y4794" s="6"/>
      <c r="Z4794" s="6"/>
      <c r="AA4794" s="7"/>
      <c r="AB4794" s="6"/>
      <c r="AC4794" s="6"/>
      <c r="AD4794" s="6"/>
      <c r="AE4794" s="12"/>
      <c r="AF4794" s="6"/>
      <c r="AG4794" s="12"/>
      <c r="AH4794" s="6"/>
      <c r="AI4794" s="6"/>
      <c r="AJ4794" s="12"/>
      <c r="AK4794" s="1"/>
      <c r="AL4794" s="12"/>
      <c r="AM4794" s="12"/>
      <c r="AN4794" s="1"/>
      <c r="AO4794" s="6"/>
    </row>
    <row r="4795" spans="1:41" ht="15" x14ac:dyDescent="0.25">
      <c r="A4795" s="1"/>
      <c r="B4795" s="1"/>
      <c r="C4795" s="1"/>
      <c r="D4795" s="1"/>
      <c r="E4795" s="6"/>
      <c r="F4795" s="1"/>
      <c r="G4795" s="6"/>
      <c r="H4795" s="6"/>
      <c r="I4795" s="6"/>
      <c r="J4795" s="6"/>
      <c r="K4795" s="6"/>
      <c r="L4795" s="6"/>
      <c r="M4795" s="6"/>
      <c r="N4795" s="6"/>
      <c r="O4795" s="7"/>
      <c r="P4795" s="6"/>
      <c r="Q4795" s="6"/>
      <c r="R4795" s="7"/>
      <c r="S4795" s="6"/>
      <c r="T4795" s="6"/>
      <c r="U4795" s="7"/>
      <c r="V4795" s="6"/>
      <c r="W4795" s="6"/>
      <c r="X4795" s="12"/>
      <c r="Y4795" s="6"/>
      <c r="Z4795" s="6"/>
      <c r="AA4795" s="7"/>
      <c r="AB4795" s="6"/>
      <c r="AC4795" s="6"/>
      <c r="AD4795" s="6"/>
      <c r="AE4795" s="12"/>
      <c r="AF4795" s="6"/>
      <c r="AG4795" s="12"/>
      <c r="AH4795" s="6"/>
      <c r="AI4795" s="6"/>
      <c r="AJ4795" s="12"/>
      <c r="AK4795" s="1"/>
      <c r="AL4795" s="12"/>
      <c r="AM4795" s="12"/>
      <c r="AN4795" s="1"/>
      <c r="AO4795" s="6"/>
    </row>
    <row r="4796" spans="1:41" ht="15" x14ac:dyDescent="0.25">
      <c r="A4796" s="1"/>
      <c r="B4796" s="1"/>
      <c r="C4796" s="1"/>
      <c r="D4796" s="1"/>
      <c r="E4796" s="6"/>
      <c r="F4796" s="1"/>
      <c r="G4796" s="6"/>
      <c r="H4796" s="6"/>
      <c r="I4796" s="6"/>
      <c r="J4796" s="6"/>
      <c r="K4796" s="6"/>
      <c r="L4796" s="6"/>
      <c r="M4796" s="6"/>
      <c r="N4796" s="6"/>
      <c r="O4796" s="7"/>
      <c r="P4796" s="6"/>
      <c r="Q4796" s="6"/>
      <c r="R4796" s="7"/>
      <c r="S4796" s="6"/>
      <c r="T4796" s="6"/>
      <c r="U4796" s="7"/>
      <c r="V4796" s="6"/>
      <c r="W4796" s="6"/>
      <c r="X4796" s="6"/>
      <c r="Y4796" s="6"/>
      <c r="Z4796" s="6"/>
      <c r="AA4796" s="7"/>
      <c r="AB4796" s="6"/>
      <c r="AC4796" s="6"/>
      <c r="AD4796" s="6"/>
      <c r="AE4796" s="12"/>
      <c r="AF4796" s="6"/>
      <c r="AG4796" s="12"/>
      <c r="AH4796" s="6"/>
      <c r="AI4796" s="6"/>
      <c r="AJ4796" s="12"/>
      <c r="AK4796" s="1"/>
      <c r="AL4796" s="12"/>
      <c r="AM4796" s="12"/>
      <c r="AN4796" s="1"/>
      <c r="AO4796" s="6"/>
    </row>
    <row r="4797" spans="1:41" ht="15" x14ac:dyDescent="0.25">
      <c r="A4797" s="1"/>
      <c r="B4797" s="1"/>
      <c r="C4797" s="1"/>
      <c r="D4797" s="1"/>
      <c r="E4797" s="6"/>
      <c r="F4797" s="1"/>
      <c r="G4797" s="6"/>
      <c r="H4797" s="6"/>
      <c r="I4797" s="6"/>
      <c r="J4797" s="6"/>
      <c r="K4797" s="6"/>
      <c r="L4797" s="6"/>
      <c r="M4797" s="6"/>
      <c r="N4797" s="6"/>
      <c r="O4797" s="7"/>
      <c r="P4797" s="6"/>
      <c r="Q4797" s="6"/>
      <c r="R4797" s="7"/>
      <c r="S4797" s="6"/>
      <c r="T4797" s="6"/>
      <c r="U4797" s="7"/>
      <c r="V4797" s="6"/>
      <c r="W4797" s="6"/>
      <c r="X4797" s="6"/>
      <c r="Y4797" s="6"/>
      <c r="Z4797" s="6"/>
      <c r="AA4797" s="7"/>
      <c r="AB4797" s="6"/>
      <c r="AC4797" s="6"/>
      <c r="AD4797" s="6"/>
      <c r="AE4797" s="12"/>
      <c r="AF4797" s="6"/>
      <c r="AG4797" s="12"/>
      <c r="AH4797" s="6"/>
      <c r="AI4797" s="6"/>
      <c r="AJ4797" s="12"/>
      <c r="AK4797" s="1"/>
      <c r="AL4797" s="12"/>
      <c r="AM4797" s="12"/>
      <c r="AN4797" s="1"/>
      <c r="AO4797" s="6"/>
    </row>
    <row r="4798" spans="1:41" ht="15" x14ac:dyDescent="0.25">
      <c r="A4798" s="1"/>
      <c r="B4798" s="1"/>
      <c r="C4798" s="1"/>
      <c r="D4798" s="1"/>
      <c r="E4798" s="6"/>
      <c r="F4798" s="1"/>
      <c r="G4798" s="6"/>
      <c r="H4798" s="6"/>
      <c r="I4798" s="6"/>
      <c r="J4798" s="6"/>
      <c r="K4798" s="6"/>
      <c r="L4798" s="6"/>
      <c r="M4798" s="6"/>
      <c r="N4798" s="6"/>
      <c r="O4798" s="7"/>
      <c r="P4798" s="6"/>
      <c r="Q4798" s="6"/>
      <c r="R4798" s="7"/>
      <c r="S4798" s="6"/>
      <c r="T4798" s="6"/>
      <c r="U4798" s="7"/>
      <c r="V4798" s="6"/>
      <c r="W4798" s="6"/>
      <c r="X4798" s="12"/>
      <c r="Y4798" s="6"/>
      <c r="Z4798" s="6"/>
      <c r="AA4798" s="7"/>
      <c r="AB4798" s="6"/>
      <c r="AC4798" s="6"/>
      <c r="AD4798" s="6"/>
      <c r="AE4798" s="12"/>
      <c r="AF4798" s="12"/>
      <c r="AG4798" s="12"/>
      <c r="AH4798" s="12"/>
      <c r="AI4798" s="6"/>
      <c r="AJ4798" s="12"/>
      <c r="AK4798" s="1"/>
      <c r="AL4798" s="12"/>
      <c r="AM4798" s="12"/>
      <c r="AN4798" s="1"/>
      <c r="AO4798" s="6"/>
    </row>
    <row r="4799" spans="1:41" ht="15" x14ac:dyDescent="0.25">
      <c r="A4799" s="1"/>
      <c r="B4799" s="1"/>
      <c r="C4799" s="1"/>
      <c r="D4799" s="1"/>
      <c r="E4799" s="6"/>
      <c r="F4799" s="1"/>
      <c r="G4799" s="6"/>
      <c r="H4799" s="6"/>
      <c r="I4799" s="6"/>
      <c r="J4799" s="6"/>
      <c r="K4799" s="12"/>
      <c r="L4799" s="6"/>
      <c r="M4799" s="6"/>
      <c r="N4799" s="6"/>
      <c r="O4799" s="7"/>
      <c r="P4799" s="6"/>
      <c r="Q4799" s="6"/>
      <c r="R4799" s="7"/>
      <c r="S4799" s="6"/>
      <c r="T4799" s="6"/>
      <c r="U4799" s="7"/>
      <c r="V4799" s="6"/>
      <c r="W4799" s="6"/>
      <c r="X4799" s="12"/>
      <c r="Y4799" s="6"/>
      <c r="Z4799" s="6"/>
      <c r="AA4799" s="7"/>
      <c r="AB4799" s="6"/>
      <c r="AC4799" s="6"/>
      <c r="AD4799" s="6"/>
      <c r="AE4799" s="12"/>
      <c r="AF4799" s="6"/>
      <c r="AG4799" s="12"/>
      <c r="AH4799" s="6"/>
      <c r="AI4799" s="6"/>
      <c r="AJ4799" s="12"/>
      <c r="AK4799" s="1"/>
      <c r="AL4799" s="12"/>
      <c r="AM4799" s="12"/>
      <c r="AN4799" s="1"/>
      <c r="AO4799" s="6"/>
    </row>
    <row r="4800" spans="1:41" ht="15" x14ac:dyDescent="0.25">
      <c r="A4800" s="1"/>
      <c r="B4800" s="1"/>
      <c r="C4800" s="1"/>
      <c r="D4800" s="1"/>
      <c r="E4800" s="6"/>
      <c r="F4800" s="1"/>
      <c r="G4800" s="6"/>
      <c r="H4800" s="6"/>
      <c r="I4800" s="6"/>
      <c r="J4800" s="6"/>
      <c r="K4800" s="6"/>
      <c r="L4800" s="6"/>
      <c r="M4800" s="6"/>
      <c r="N4800" s="6"/>
      <c r="O4800" s="7"/>
      <c r="P4800" s="6"/>
      <c r="Q4800" s="6"/>
      <c r="R4800" s="7"/>
      <c r="S4800" s="6"/>
      <c r="T4800" s="6"/>
      <c r="U4800" s="7"/>
      <c r="V4800" s="6"/>
      <c r="W4800" s="6"/>
      <c r="X4800" s="6"/>
      <c r="Y4800" s="6"/>
      <c r="Z4800" s="6"/>
      <c r="AA4800" s="7"/>
      <c r="AB4800" s="6"/>
      <c r="AC4800" s="6"/>
      <c r="AD4800" s="6"/>
      <c r="AE4800" s="12"/>
      <c r="AF4800" s="12"/>
      <c r="AG4800" s="12"/>
      <c r="AH4800" s="12"/>
      <c r="AI4800" s="6"/>
      <c r="AJ4800" s="12"/>
      <c r="AK4800" s="1"/>
      <c r="AL4800" s="12"/>
      <c r="AM4800" s="12"/>
      <c r="AN4800" s="1"/>
      <c r="AO4800" s="6"/>
    </row>
    <row r="4801" spans="1:41" ht="15" x14ac:dyDescent="0.25">
      <c r="A4801" s="1"/>
      <c r="B4801" s="1"/>
      <c r="C4801" s="1"/>
      <c r="D4801" s="1"/>
      <c r="E4801" s="6"/>
      <c r="F4801" s="1"/>
      <c r="G4801" s="6"/>
      <c r="H4801" s="6"/>
      <c r="I4801" s="6"/>
      <c r="J4801" s="6"/>
      <c r="K4801" s="6"/>
      <c r="L4801" s="6"/>
      <c r="M4801" s="6"/>
      <c r="N4801" s="6"/>
      <c r="O4801" s="7"/>
      <c r="P4801" s="12"/>
      <c r="Q4801" s="6"/>
      <c r="R4801" s="7"/>
      <c r="S4801" s="6"/>
      <c r="T4801" s="6"/>
      <c r="U4801" s="7"/>
      <c r="V4801" s="6"/>
      <c r="W4801" s="6"/>
      <c r="X4801" s="6"/>
      <c r="Y4801" s="6"/>
      <c r="Z4801" s="6"/>
      <c r="AA4801" s="7"/>
      <c r="AB4801" s="6"/>
      <c r="AC4801" s="6"/>
      <c r="AD4801" s="6"/>
      <c r="AE4801" s="12"/>
      <c r="AF4801" s="6"/>
      <c r="AG4801" s="12"/>
      <c r="AH4801" s="6"/>
      <c r="AI4801" s="6"/>
      <c r="AJ4801" s="12"/>
      <c r="AK4801" s="1"/>
      <c r="AL4801" s="12"/>
      <c r="AM4801" s="12"/>
      <c r="AN4801" s="1"/>
      <c r="AO4801" s="6"/>
    </row>
    <row r="4802" spans="1:41" ht="15" x14ac:dyDescent="0.25">
      <c r="A4802" s="1"/>
      <c r="B4802" s="1"/>
      <c r="C4802" s="1"/>
      <c r="D4802" s="1"/>
      <c r="E4802" s="6"/>
      <c r="F4802" s="1"/>
      <c r="G4802" s="6"/>
      <c r="H4802" s="6"/>
      <c r="I4802" s="6"/>
      <c r="J4802" s="6"/>
      <c r="K4802" s="6"/>
      <c r="L4802" s="6"/>
      <c r="M4802" s="6"/>
      <c r="N4802" s="6"/>
      <c r="O4802" s="7"/>
      <c r="P4802" s="12"/>
      <c r="Q4802" s="6"/>
      <c r="R4802" s="7"/>
      <c r="S4802" s="6"/>
      <c r="T4802" s="6"/>
      <c r="U4802" s="7"/>
      <c r="V4802" s="6"/>
      <c r="W4802" s="6"/>
      <c r="X4802" s="6"/>
      <c r="Y4802" s="6"/>
      <c r="Z4802" s="6"/>
      <c r="AA4802" s="7"/>
      <c r="AB4802" s="6"/>
      <c r="AC4802" s="6"/>
      <c r="AD4802" s="6"/>
      <c r="AE4802" s="12"/>
      <c r="AF4802" s="6"/>
      <c r="AG4802" s="12"/>
      <c r="AH4802" s="6"/>
      <c r="AI4802" s="6"/>
      <c r="AJ4802" s="12"/>
      <c r="AK4802" s="1"/>
      <c r="AL4802" s="12"/>
      <c r="AM4802" s="12"/>
      <c r="AN4802" s="1"/>
      <c r="AO4802" s="6"/>
    </row>
    <row r="4803" spans="1:41" ht="15" x14ac:dyDescent="0.25">
      <c r="A4803" s="1"/>
      <c r="B4803" s="1"/>
      <c r="C4803" s="1"/>
      <c r="D4803" s="1"/>
      <c r="E4803" s="6"/>
      <c r="F4803" s="1"/>
      <c r="G4803" s="6"/>
      <c r="H4803" s="6"/>
      <c r="I4803" s="6"/>
      <c r="J4803" s="6"/>
      <c r="K4803" s="6"/>
      <c r="L4803" s="6"/>
      <c r="M4803" s="6"/>
      <c r="N4803" s="6"/>
      <c r="O4803" s="7"/>
      <c r="P4803" s="6"/>
      <c r="Q4803" s="6"/>
      <c r="R4803" s="7"/>
      <c r="S4803" s="6"/>
      <c r="T4803" s="6"/>
      <c r="U4803" s="7"/>
      <c r="V4803" s="6"/>
      <c r="W4803" s="6"/>
      <c r="X4803" s="6"/>
      <c r="Y4803" s="6"/>
      <c r="Z4803" s="6"/>
      <c r="AA4803" s="7"/>
      <c r="AB4803" s="6"/>
      <c r="AC4803" s="6"/>
      <c r="AD4803" s="6"/>
      <c r="AE4803" s="12"/>
      <c r="AF4803" s="12"/>
      <c r="AG4803" s="12"/>
      <c r="AH4803" s="12"/>
      <c r="AI4803" s="6"/>
      <c r="AJ4803" s="12"/>
      <c r="AK4803" s="1"/>
      <c r="AL4803" s="12"/>
      <c r="AM4803" s="12"/>
      <c r="AN4803" s="1"/>
      <c r="AO4803" s="6"/>
    </row>
    <row r="4804" spans="1:41" ht="15" x14ac:dyDescent="0.25">
      <c r="A4804" s="1"/>
      <c r="B4804" s="1"/>
      <c r="C4804" s="1"/>
      <c r="D4804" s="1"/>
      <c r="E4804" s="6"/>
      <c r="F4804" s="1"/>
      <c r="G4804" s="6"/>
      <c r="H4804" s="6"/>
      <c r="I4804" s="6"/>
      <c r="J4804" s="6"/>
      <c r="K4804" s="6"/>
      <c r="L4804" s="6"/>
      <c r="M4804" s="6"/>
      <c r="N4804" s="6"/>
      <c r="O4804" s="7"/>
      <c r="P4804" s="6"/>
      <c r="Q4804" s="6"/>
      <c r="R4804" s="7"/>
      <c r="S4804" s="6"/>
      <c r="T4804" s="6"/>
      <c r="U4804" s="7"/>
      <c r="V4804" s="6"/>
      <c r="W4804" s="6"/>
      <c r="X4804" s="6"/>
      <c r="Y4804" s="6"/>
      <c r="Z4804" s="6"/>
      <c r="AA4804" s="7"/>
      <c r="AB4804" s="6"/>
      <c r="AC4804" s="6"/>
      <c r="AD4804" s="6"/>
      <c r="AE4804" s="12"/>
      <c r="AF4804" s="12"/>
      <c r="AG4804" s="12"/>
      <c r="AH4804" s="12"/>
      <c r="AI4804" s="6"/>
      <c r="AJ4804" s="12"/>
      <c r="AK4804" s="1"/>
      <c r="AL4804" s="12"/>
      <c r="AM4804" s="12"/>
      <c r="AN4804" s="1"/>
      <c r="AO4804" s="6"/>
    </row>
    <row r="4805" spans="1:41" ht="15" x14ac:dyDescent="0.25">
      <c r="A4805" s="1"/>
      <c r="B4805" s="1"/>
      <c r="C4805" s="1"/>
      <c r="D4805" s="1"/>
      <c r="E4805" s="6"/>
      <c r="F4805" s="1"/>
      <c r="G4805" s="6"/>
      <c r="H4805" s="6"/>
      <c r="I4805" s="6"/>
      <c r="J4805" s="6"/>
      <c r="K4805" s="6"/>
      <c r="L4805" s="6"/>
      <c r="M4805" s="6"/>
      <c r="N4805" s="6"/>
      <c r="O4805" s="7"/>
      <c r="P4805" s="6"/>
      <c r="Q4805" s="6"/>
      <c r="R4805" s="12"/>
      <c r="S4805" s="12"/>
      <c r="T4805" s="12"/>
      <c r="U4805" s="7"/>
      <c r="V4805" s="6"/>
      <c r="W4805" s="6"/>
      <c r="X4805" s="12"/>
      <c r="Y4805" s="6"/>
      <c r="Z4805" s="6"/>
      <c r="AA4805" s="7"/>
      <c r="AB4805" s="6"/>
      <c r="AC4805" s="6"/>
      <c r="AD4805" s="6"/>
      <c r="AE4805" s="12"/>
      <c r="AF4805" s="12"/>
      <c r="AG4805" s="12"/>
      <c r="AH4805" s="12"/>
      <c r="AI4805" s="6"/>
      <c r="AJ4805" s="12"/>
      <c r="AK4805" s="1"/>
      <c r="AL4805" s="12"/>
      <c r="AM4805" s="12"/>
      <c r="AN4805" s="1"/>
      <c r="AO4805" s="6"/>
    </row>
    <row r="4806" spans="1:41" ht="15" x14ac:dyDescent="0.25">
      <c r="A4806" s="1"/>
      <c r="B4806" s="1"/>
      <c r="C4806" s="1"/>
      <c r="D4806" s="1"/>
      <c r="E4806" s="6"/>
      <c r="F4806" s="1"/>
      <c r="G4806" s="6"/>
      <c r="H4806" s="6"/>
      <c r="I4806" s="6"/>
      <c r="J4806" s="6"/>
      <c r="K4806" s="6"/>
      <c r="L4806" s="6"/>
      <c r="M4806" s="6"/>
      <c r="N4806" s="6"/>
      <c r="O4806" s="7"/>
      <c r="P4806" s="6"/>
      <c r="Q4806" s="6"/>
      <c r="R4806" s="7"/>
      <c r="S4806" s="6"/>
      <c r="T4806" s="6"/>
      <c r="U4806" s="7"/>
      <c r="V4806" s="6"/>
      <c r="W4806" s="6"/>
      <c r="X4806" s="6"/>
      <c r="Y4806" s="6"/>
      <c r="Z4806" s="6"/>
      <c r="AA4806" s="7"/>
      <c r="AB4806" s="6"/>
      <c r="AC4806" s="6"/>
      <c r="AD4806" s="6"/>
      <c r="AE4806" s="12"/>
      <c r="AF4806" s="12"/>
      <c r="AG4806" s="12"/>
      <c r="AH4806" s="12"/>
      <c r="AI4806" s="6"/>
      <c r="AJ4806" s="12"/>
      <c r="AK4806" s="1"/>
      <c r="AL4806" s="12"/>
      <c r="AM4806" s="12"/>
      <c r="AN4806" s="1"/>
      <c r="AO4806" s="6"/>
    </row>
    <row r="4807" spans="1:41" ht="15" x14ac:dyDescent="0.25">
      <c r="A4807" s="1"/>
      <c r="B4807" s="1"/>
      <c r="C4807" s="1"/>
      <c r="D4807" s="1"/>
      <c r="E4807" s="6"/>
      <c r="F4807" s="1"/>
      <c r="G4807" s="6"/>
      <c r="H4807" s="6"/>
      <c r="I4807" s="6"/>
      <c r="J4807" s="6"/>
      <c r="K4807" s="6"/>
      <c r="L4807" s="6"/>
      <c r="M4807" s="6"/>
      <c r="N4807" s="6"/>
      <c r="O4807" s="7"/>
      <c r="P4807" s="6"/>
      <c r="Q4807" s="6"/>
      <c r="R4807" s="7"/>
      <c r="S4807" s="6"/>
      <c r="T4807" s="6"/>
      <c r="U4807" s="7"/>
      <c r="V4807" s="6"/>
      <c r="W4807" s="6"/>
      <c r="X4807" s="6"/>
      <c r="Y4807" s="6"/>
      <c r="Z4807" s="6"/>
      <c r="AA4807" s="7"/>
      <c r="AB4807" s="6"/>
      <c r="AC4807" s="6"/>
      <c r="AD4807" s="6"/>
      <c r="AE4807" s="12"/>
      <c r="AF4807" s="6"/>
      <c r="AG4807" s="12"/>
      <c r="AH4807" s="6"/>
      <c r="AI4807" s="6"/>
      <c r="AJ4807" s="12"/>
      <c r="AK4807" s="1"/>
      <c r="AL4807" s="12"/>
      <c r="AM4807" s="12"/>
      <c r="AN4807" s="1"/>
      <c r="AO4807" s="6"/>
    </row>
    <row r="4808" spans="1:41" ht="15" x14ac:dyDescent="0.25">
      <c r="A4808" s="1"/>
      <c r="B4808" s="1"/>
      <c r="C4808" s="1"/>
      <c r="D4808" s="1"/>
      <c r="E4808" s="6"/>
      <c r="F4808" s="1"/>
      <c r="G4808" s="6"/>
      <c r="H4808" s="6"/>
      <c r="I4808" s="6"/>
      <c r="J4808" s="6"/>
      <c r="K4808" s="6"/>
      <c r="L4808" s="6"/>
      <c r="M4808" s="6"/>
      <c r="N4808" s="6"/>
      <c r="O4808" s="7"/>
      <c r="P4808" s="6"/>
      <c r="Q4808" s="6"/>
      <c r="R4808" s="7"/>
      <c r="S4808" s="6"/>
      <c r="T4808" s="6"/>
      <c r="U4808" s="7"/>
      <c r="V4808" s="6"/>
      <c r="W4808" s="6"/>
      <c r="X4808" s="6"/>
      <c r="Y4808" s="6"/>
      <c r="Z4808" s="6"/>
      <c r="AA4808" s="7"/>
      <c r="AB4808" s="6"/>
      <c r="AC4808" s="6"/>
      <c r="AD4808" s="6"/>
      <c r="AE4808" s="12"/>
      <c r="AF4808" s="6"/>
      <c r="AG4808" s="12"/>
      <c r="AH4808" s="6"/>
      <c r="AI4808" s="6"/>
      <c r="AJ4808" s="12"/>
      <c r="AK4808" s="1"/>
      <c r="AL4808" s="12"/>
      <c r="AM4808" s="12"/>
      <c r="AN4808" s="1"/>
      <c r="AO4808" s="6"/>
    </row>
    <row r="4809" spans="1:41" ht="15" x14ac:dyDescent="0.25">
      <c r="A4809" s="1"/>
      <c r="B4809" s="1"/>
      <c r="C4809" s="1"/>
      <c r="D4809" s="1"/>
      <c r="E4809" s="6"/>
      <c r="F4809" s="1"/>
      <c r="G4809" s="6"/>
      <c r="H4809" s="6"/>
      <c r="I4809" s="6"/>
      <c r="J4809" s="6"/>
      <c r="K4809" s="6"/>
      <c r="L4809" s="6"/>
      <c r="M4809" s="6"/>
      <c r="N4809" s="6"/>
      <c r="O4809" s="7"/>
      <c r="P4809" s="6"/>
      <c r="Q4809" s="6"/>
      <c r="R4809" s="7"/>
      <c r="S4809" s="6"/>
      <c r="T4809" s="6"/>
      <c r="U4809" s="7"/>
      <c r="V4809" s="6"/>
      <c r="W4809" s="6"/>
      <c r="X4809" s="6"/>
      <c r="Y4809" s="6"/>
      <c r="Z4809" s="6"/>
      <c r="AA4809" s="7"/>
      <c r="AB4809" s="6"/>
      <c r="AC4809" s="6"/>
      <c r="AD4809" s="6"/>
      <c r="AE4809" s="12"/>
      <c r="AF4809" s="6"/>
      <c r="AG4809" s="12"/>
      <c r="AH4809" s="6"/>
      <c r="AI4809" s="6"/>
      <c r="AJ4809" s="12"/>
      <c r="AK4809" s="1"/>
      <c r="AL4809" s="12"/>
      <c r="AM4809" s="12"/>
      <c r="AN4809" s="1"/>
      <c r="AO4809" s="6"/>
    </row>
    <row r="4810" spans="1:41" ht="15" x14ac:dyDescent="0.25">
      <c r="A4810" s="1"/>
      <c r="B4810" s="1"/>
      <c r="C4810" s="1"/>
      <c r="D4810" s="1"/>
      <c r="E4810" s="6"/>
      <c r="F4810" s="1"/>
      <c r="G4810" s="6"/>
      <c r="H4810" s="6"/>
      <c r="I4810" s="6"/>
      <c r="J4810" s="6"/>
      <c r="K4810" s="6"/>
      <c r="L4810" s="6"/>
      <c r="M4810" s="6"/>
      <c r="N4810" s="6"/>
      <c r="O4810" s="7"/>
      <c r="P4810" s="6"/>
      <c r="Q4810" s="6"/>
      <c r="R4810" s="12"/>
      <c r="S4810" s="12"/>
      <c r="T4810" s="12"/>
      <c r="U4810" s="7"/>
      <c r="V4810" s="6"/>
      <c r="W4810" s="6"/>
      <c r="X4810" s="12"/>
      <c r="Y4810" s="6"/>
      <c r="Z4810" s="6"/>
      <c r="AA4810" s="7"/>
      <c r="AB4810" s="6"/>
      <c r="AC4810" s="6"/>
      <c r="AD4810" s="6"/>
      <c r="AE4810" s="12"/>
      <c r="AF4810" s="6"/>
      <c r="AG4810" s="12"/>
      <c r="AH4810" s="6"/>
      <c r="AI4810" s="6"/>
      <c r="AJ4810" s="12"/>
      <c r="AK4810" s="24"/>
      <c r="AL4810" s="25"/>
      <c r="AM4810" s="12"/>
      <c r="AN4810" s="1"/>
      <c r="AO4810" s="6"/>
    </row>
    <row r="4811" spans="1:41" ht="15" x14ac:dyDescent="0.25">
      <c r="A4811" s="1"/>
      <c r="B4811" s="1"/>
      <c r="C4811" s="1"/>
      <c r="D4811" s="1"/>
      <c r="E4811" s="6"/>
      <c r="F4811" s="1"/>
      <c r="G4811" s="6"/>
      <c r="H4811" s="6"/>
      <c r="I4811" s="6"/>
      <c r="J4811" s="6"/>
      <c r="K4811" s="6"/>
      <c r="L4811" s="6"/>
      <c r="M4811" s="6"/>
      <c r="N4811" s="6"/>
      <c r="O4811" s="7"/>
      <c r="P4811" s="6"/>
      <c r="Q4811" s="6"/>
      <c r="R4811" s="12"/>
      <c r="S4811" s="12"/>
      <c r="T4811" s="12"/>
      <c r="U4811" s="7"/>
      <c r="V4811" s="6"/>
      <c r="W4811" s="6"/>
      <c r="X4811" s="12"/>
      <c r="Y4811" s="6"/>
      <c r="Z4811" s="6"/>
      <c r="AA4811" s="7"/>
      <c r="AB4811" s="6"/>
      <c r="AC4811" s="6"/>
      <c r="AD4811" s="6"/>
      <c r="AE4811" s="12"/>
      <c r="AF4811" s="6"/>
      <c r="AG4811" s="12"/>
      <c r="AH4811" s="6"/>
      <c r="AI4811" s="6"/>
      <c r="AJ4811" s="12"/>
      <c r="AK4811" s="24"/>
      <c r="AL4811" s="25"/>
      <c r="AM4811" s="12"/>
      <c r="AN4811" s="1"/>
      <c r="AO4811" s="6"/>
    </row>
    <row r="4812" spans="1:41" ht="15" x14ac:dyDescent="0.25">
      <c r="A4812" s="1"/>
      <c r="B4812" s="1"/>
      <c r="C4812" s="1"/>
      <c r="D4812" s="1"/>
      <c r="E4812" s="6"/>
      <c r="F4812" s="1"/>
      <c r="G4812" s="6"/>
      <c r="H4812" s="6"/>
      <c r="I4812" s="6"/>
      <c r="J4812" s="6"/>
      <c r="K4812" s="6"/>
      <c r="L4812" s="6"/>
      <c r="M4812" s="6"/>
      <c r="N4812" s="6"/>
      <c r="O4812" s="7"/>
      <c r="P4812" s="6"/>
      <c r="Q4812" s="6"/>
      <c r="R4812" s="7"/>
      <c r="S4812" s="6"/>
      <c r="T4812" s="6"/>
      <c r="U4812" s="7"/>
      <c r="V4812" s="6"/>
      <c r="W4812" s="6"/>
      <c r="X4812" s="6"/>
      <c r="Y4812" s="6"/>
      <c r="Z4812" s="6"/>
      <c r="AA4812" s="7"/>
      <c r="AB4812" s="6"/>
      <c r="AC4812" s="6"/>
      <c r="AD4812" s="6"/>
      <c r="AE4812" s="12"/>
      <c r="AF4812" s="12"/>
      <c r="AG4812" s="12"/>
      <c r="AH4812" s="12"/>
      <c r="AI4812" s="6"/>
      <c r="AJ4812" s="12"/>
      <c r="AK4812" s="1"/>
      <c r="AL4812" s="12"/>
      <c r="AM4812" s="12"/>
      <c r="AN4812" s="1"/>
      <c r="AO4812" s="6"/>
    </row>
    <row r="4813" spans="1:41" ht="15" x14ac:dyDescent="0.25">
      <c r="A4813" s="1"/>
      <c r="B4813" s="1"/>
      <c r="C4813" s="1"/>
      <c r="D4813" s="1"/>
      <c r="E4813" s="6"/>
      <c r="F4813" s="1"/>
      <c r="G4813" s="6"/>
      <c r="H4813" s="6"/>
      <c r="I4813" s="6"/>
      <c r="J4813" s="6"/>
      <c r="K4813" s="6"/>
      <c r="L4813" s="6"/>
      <c r="M4813" s="6"/>
      <c r="N4813" s="6"/>
      <c r="O4813" s="7"/>
      <c r="P4813" s="6"/>
      <c r="Q4813" s="6"/>
      <c r="R4813" s="7"/>
      <c r="S4813" s="6"/>
      <c r="T4813" s="6"/>
      <c r="U4813" s="7"/>
      <c r="V4813" s="6"/>
      <c r="W4813" s="6"/>
      <c r="X4813" s="12"/>
      <c r="Y4813" s="6"/>
      <c r="Z4813" s="6"/>
      <c r="AA4813" s="7"/>
      <c r="AB4813" s="6"/>
      <c r="AC4813" s="6"/>
      <c r="AD4813" s="6"/>
      <c r="AE4813" s="12"/>
      <c r="AF4813" s="12"/>
      <c r="AG4813" s="12"/>
      <c r="AH4813" s="12"/>
      <c r="AI4813" s="6"/>
      <c r="AJ4813" s="12"/>
      <c r="AK4813" s="1"/>
      <c r="AL4813" s="12"/>
      <c r="AM4813" s="12"/>
      <c r="AN4813" s="1"/>
      <c r="AO4813" s="6"/>
    </row>
    <row r="4814" spans="1:41" ht="15" x14ac:dyDescent="0.25">
      <c r="A4814" s="1"/>
      <c r="B4814" s="1"/>
      <c r="C4814" s="1"/>
      <c r="D4814" s="1"/>
      <c r="E4814" s="6"/>
      <c r="F4814" s="1"/>
      <c r="G4814" s="6"/>
      <c r="H4814" s="6"/>
      <c r="I4814" s="6"/>
      <c r="J4814" s="6"/>
      <c r="K4814" s="6"/>
      <c r="L4814" s="6"/>
      <c r="M4814" s="6"/>
      <c r="N4814" s="6"/>
      <c r="O4814" s="7"/>
      <c r="P4814" s="6"/>
      <c r="Q4814" s="7"/>
      <c r="R4814" s="6"/>
      <c r="S4814" s="12"/>
      <c r="T4814" s="6"/>
      <c r="U4814" s="6"/>
      <c r="V4814" s="7"/>
      <c r="W4814" s="7"/>
      <c r="X4814" s="6"/>
      <c r="Y4814" s="6"/>
      <c r="Z4814" s="6"/>
      <c r="AA4814" s="1"/>
      <c r="AB4814" s="12"/>
      <c r="AC4814" s="12"/>
      <c r="AD4814" s="12"/>
      <c r="AE4814" s="12"/>
      <c r="AF4814" s="12"/>
      <c r="AG4814" s="12"/>
      <c r="AH4814" s="12"/>
      <c r="AI4814" s="6"/>
      <c r="AJ4814" s="12"/>
      <c r="AK4814" s="12"/>
      <c r="AL4814" s="12"/>
      <c r="AM4814" s="12"/>
      <c r="AN4814" s="1"/>
      <c r="AO4814" s="6"/>
    </row>
    <row r="4815" spans="1:41" ht="15" x14ac:dyDescent="0.25">
      <c r="A4815" s="1"/>
      <c r="B4815" s="1"/>
      <c r="C4815" s="1"/>
      <c r="D4815" s="1"/>
      <c r="E4815" s="6"/>
      <c r="F4815" s="1"/>
      <c r="G4815" s="6"/>
      <c r="H4815" s="6"/>
      <c r="I4815" s="6"/>
      <c r="J4815" s="6"/>
      <c r="K4815" s="6"/>
      <c r="L4815" s="6"/>
      <c r="M4815" s="6"/>
      <c r="N4815" s="6"/>
      <c r="O4815" s="7"/>
      <c r="P4815" s="6"/>
      <c r="Q4815" s="7"/>
      <c r="R4815" s="6"/>
      <c r="S4815" s="6"/>
      <c r="T4815" s="6"/>
      <c r="U4815" s="6"/>
      <c r="V4815" s="7"/>
      <c r="W4815" s="7"/>
      <c r="X4815" s="6"/>
      <c r="Y4815" s="6"/>
      <c r="Z4815" s="6"/>
      <c r="AA4815" s="1"/>
      <c r="AB4815" s="12"/>
      <c r="AC4815" s="12"/>
      <c r="AD4815" s="12"/>
      <c r="AE4815" s="12"/>
      <c r="AF4815" s="12"/>
      <c r="AG4815" s="12"/>
      <c r="AH4815" s="12"/>
      <c r="AI4815" s="6"/>
      <c r="AJ4815" s="12"/>
      <c r="AK4815" s="12"/>
      <c r="AL4815" s="12"/>
      <c r="AM4815" s="12"/>
      <c r="AN4815" s="1"/>
      <c r="AO4815" s="6"/>
    </row>
    <row r="4816" spans="1:41" ht="15" x14ac:dyDescent="0.25">
      <c r="A4816" s="1"/>
      <c r="B4816" s="1"/>
      <c r="C4816" s="1"/>
      <c r="D4816" s="1"/>
      <c r="E4816" s="6"/>
      <c r="F4816" s="1"/>
      <c r="G4816" s="6"/>
      <c r="H4816" s="6"/>
      <c r="I4816" s="6"/>
      <c r="J4816" s="6"/>
      <c r="K4816" s="6"/>
      <c r="L4816" s="6"/>
      <c r="M4816" s="6"/>
      <c r="N4816" s="6"/>
      <c r="O4816" s="7"/>
      <c r="P4816" s="6"/>
      <c r="Q4816" s="6"/>
      <c r="R4816" s="7"/>
      <c r="S4816" s="6"/>
      <c r="T4816" s="6"/>
      <c r="U4816" s="7"/>
      <c r="V4816" s="6"/>
      <c r="W4816" s="6"/>
      <c r="X4816" s="12"/>
      <c r="Y4816" s="6"/>
      <c r="Z4816" s="6"/>
      <c r="AA4816" s="7"/>
      <c r="AB4816" s="6"/>
      <c r="AC4816" s="6"/>
      <c r="AD4816" s="6"/>
      <c r="AE4816" s="12"/>
      <c r="AF4816" s="6"/>
      <c r="AG4816" s="12"/>
      <c r="AH4816" s="6"/>
      <c r="AI4816" s="6"/>
      <c r="AJ4816" s="12"/>
      <c r="AK4816" s="24"/>
      <c r="AL4816" s="25"/>
      <c r="AM4816" s="12"/>
      <c r="AN4816" s="1"/>
      <c r="AO4816" s="6"/>
    </row>
    <row r="4817" spans="1:41" ht="15" x14ac:dyDescent="0.25">
      <c r="A4817" s="1"/>
      <c r="B4817" s="1"/>
      <c r="C4817" s="1"/>
      <c r="D4817" s="1"/>
      <c r="E4817" s="6"/>
      <c r="F4817" s="1"/>
      <c r="G4817" s="6"/>
      <c r="H4817" s="6"/>
      <c r="I4817" s="6"/>
      <c r="J4817" s="6"/>
      <c r="K4817" s="6"/>
      <c r="L4817" s="6"/>
      <c r="M4817" s="6"/>
      <c r="N4817" s="6"/>
      <c r="O4817" s="7"/>
      <c r="P4817" s="6"/>
      <c r="Q4817" s="6"/>
      <c r="R4817" s="7"/>
      <c r="S4817" s="6"/>
      <c r="T4817" s="6"/>
      <c r="U4817" s="7"/>
      <c r="V4817" s="6"/>
      <c r="W4817" s="6"/>
      <c r="X4817" s="12"/>
      <c r="Y4817" s="6"/>
      <c r="Z4817" s="6"/>
      <c r="AA4817" s="7"/>
      <c r="AB4817" s="6"/>
      <c r="AC4817" s="6"/>
      <c r="AD4817" s="6"/>
      <c r="AE4817" s="12"/>
      <c r="AF4817" s="6"/>
      <c r="AG4817" s="12"/>
      <c r="AH4817" s="6"/>
      <c r="AI4817" s="6"/>
      <c r="AJ4817" s="12"/>
      <c r="AK4817" s="24"/>
      <c r="AL4817" s="25"/>
      <c r="AM4817" s="12"/>
      <c r="AN4817" s="1"/>
      <c r="AO4817" s="6"/>
    </row>
    <row r="4818" spans="1:41" ht="15" x14ac:dyDescent="0.25">
      <c r="A4818" s="1"/>
      <c r="B4818" s="1"/>
      <c r="C4818" s="1"/>
      <c r="D4818" s="1"/>
      <c r="E4818" s="6"/>
      <c r="F4818" s="1"/>
      <c r="G4818" s="6"/>
      <c r="H4818" s="6"/>
      <c r="I4818" s="6"/>
      <c r="J4818" s="6"/>
      <c r="K4818" s="6"/>
      <c r="L4818" s="6"/>
      <c r="M4818" s="6"/>
      <c r="N4818" s="6"/>
      <c r="O4818" s="7"/>
      <c r="P4818" s="6"/>
      <c r="Q4818" s="7"/>
      <c r="R4818" s="6"/>
      <c r="S4818" s="6"/>
      <c r="T4818" s="6"/>
      <c r="U4818" s="6"/>
      <c r="V4818" s="7"/>
      <c r="W4818" s="7"/>
      <c r="X4818" s="6"/>
      <c r="Y4818" s="6"/>
      <c r="Z4818" s="6"/>
      <c r="AA4818" s="1"/>
      <c r="AB4818" s="12"/>
      <c r="AC4818" s="12"/>
      <c r="AD4818" s="12"/>
      <c r="AE4818" s="12"/>
      <c r="AF4818" s="12"/>
      <c r="AG4818" s="12"/>
      <c r="AH4818" s="12"/>
      <c r="AI4818" s="6"/>
      <c r="AJ4818" s="12"/>
      <c r="AK4818" s="12"/>
      <c r="AL4818" s="12"/>
      <c r="AM4818" s="12"/>
      <c r="AN4818" s="1"/>
      <c r="AO4818" s="6"/>
    </row>
    <row r="4819" spans="1:41" ht="15" x14ac:dyDescent="0.25">
      <c r="A4819" s="1"/>
      <c r="B4819" s="1"/>
      <c r="C4819" s="1"/>
      <c r="D4819" s="1"/>
      <c r="E4819" s="6"/>
      <c r="F4819" s="1"/>
      <c r="G4819" s="6"/>
      <c r="H4819" s="6"/>
      <c r="I4819" s="6"/>
      <c r="J4819" s="6"/>
      <c r="K4819" s="6"/>
      <c r="L4819" s="6"/>
      <c r="M4819" s="6"/>
      <c r="N4819" s="6"/>
      <c r="O4819" s="7"/>
      <c r="P4819" s="6"/>
      <c r="Q4819" s="6"/>
      <c r="R4819" s="7"/>
      <c r="S4819" s="6"/>
      <c r="T4819" s="6"/>
      <c r="U4819" s="7"/>
      <c r="V4819" s="6"/>
      <c r="W4819" s="6"/>
      <c r="X4819" s="12"/>
      <c r="Y4819" s="6"/>
      <c r="Z4819" s="6"/>
      <c r="AA4819" s="7"/>
      <c r="AB4819" s="6"/>
      <c r="AC4819" s="6"/>
      <c r="AD4819" s="6"/>
      <c r="AE4819" s="12"/>
      <c r="AF4819" s="12"/>
      <c r="AG4819" s="12"/>
      <c r="AH4819" s="12"/>
      <c r="AI4819" s="6"/>
      <c r="AJ4819" s="12"/>
      <c r="AK4819" s="1"/>
      <c r="AL4819" s="12"/>
      <c r="AM4819" s="12"/>
      <c r="AN4819" s="1"/>
      <c r="AO4819" s="6"/>
    </row>
    <row r="4820" spans="1:41" ht="15" x14ac:dyDescent="0.25">
      <c r="A4820" s="1"/>
      <c r="B4820" s="1"/>
      <c r="C4820" s="1"/>
      <c r="D4820" s="1"/>
      <c r="E4820" s="6"/>
      <c r="F4820" s="1"/>
      <c r="G4820" s="6"/>
      <c r="H4820" s="6"/>
      <c r="I4820" s="6"/>
      <c r="J4820" s="6"/>
      <c r="K4820" s="6"/>
      <c r="L4820" s="6"/>
      <c r="M4820" s="6"/>
      <c r="N4820" s="6"/>
      <c r="O4820" s="7"/>
      <c r="P4820" s="6"/>
      <c r="Q4820" s="6"/>
      <c r="R4820" s="7"/>
      <c r="S4820" s="6"/>
      <c r="T4820" s="6"/>
      <c r="U4820" s="7"/>
      <c r="V4820" s="6"/>
      <c r="W4820" s="6"/>
      <c r="X4820" s="12"/>
      <c r="Y4820" s="6"/>
      <c r="Z4820" s="6"/>
      <c r="AA4820" s="7"/>
      <c r="AB4820" s="6"/>
      <c r="AC4820" s="6"/>
      <c r="AD4820" s="6"/>
      <c r="AE4820" s="12"/>
      <c r="AF4820" s="12"/>
      <c r="AG4820" s="12"/>
      <c r="AH4820" s="12"/>
      <c r="AI4820" s="6"/>
      <c r="AJ4820" s="12"/>
      <c r="AK4820" s="1"/>
      <c r="AL4820" s="12"/>
      <c r="AM4820" s="12"/>
      <c r="AN4820" s="1"/>
      <c r="AO4820" s="6"/>
    </row>
    <row r="4821" spans="1:41" ht="15" x14ac:dyDescent="0.25">
      <c r="A4821" s="1"/>
      <c r="B4821" s="1"/>
      <c r="C4821" s="1"/>
      <c r="D4821" s="1"/>
      <c r="E4821" s="6"/>
      <c r="F4821" s="1"/>
      <c r="G4821" s="6"/>
      <c r="H4821" s="6"/>
      <c r="I4821" s="6"/>
      <c r="J4821" s="6"/>
      <c r="K4821" s="6"/>
      <c r="L4821" s="6"/>
      <c r="M4821" s="6"/>
      <c r="N4821" s="6"/>
      <c r="O4821" s="7"/>
      <c r="P4821" s="6"/>
      <c r="Q4821" s="6"/>
      <c r="R4821" s="15"/>
      <c r="S4821" s="6"/>
      <c r="T4821" s="6"/>
      <c r="U4821" s="15"/>
      <c r="V4821" s="6"/>
      <c r="W4821" s="6"/>
      <c r="X4821" s="6"/>
      <c r="Y4821" s="6"/>
      <c r="Z4821" s="6"/>
      <c r="AA4821" s="7"/>
      <c r="AB4821" s="6"/>
      <c r="AC4821" s="6"/>
      <c r="AD4821" s="6"/>
      <c r="AE4821" s="12"/>
      <c r="AF4821" s="6"/>
      <c r="AG4821" s="12"/>
      <c r="AH4821" s="6"/>
      <c r="AI4821" s="6"/>
      <c r="AJ4821" s="12"/>
      <c r="AK4821" s="24"/>
      <c r="AL4821" s="25"/>
      <c r="AM4821" s="12"/>
      <c r="AN4821" s="1"/>
      <c r="AO4821" s="6"/>
    </row>
    <row r="4822" spans="1:41" ht="15" x14ac:dyDescent="0.25">
      <c r="A4822" s="1"/>
      <c r="B4822" s="1"/>
      <c r="C4822" s="1"/>
      <c r="D4822" s="1"/>
      <c r="E4822" s="6"/>
      <c r="F4822" s="1"/>
      <c r="G4822" s="6"/>
      <c r="H4822" s="6"/>
      <c r="I4822" s="6"/>
      <c r="J4822" s="6"/>
      <c r="K4822" s="6"/>
      <c r="L4822" s="6"/>
      <c r="M4822" s="6"/>
      <c r="N4822" s="6"/>
      <c r="O4822" s="7"/>
      <c r="P4822" s="6"/>
      <c r="Q4822" s="6"/>
      <c r="R4822" s="7"/>
      <c r="S4822" s="6"/>
      <c r="T4822" s="6"/>
      <c r="U4822" s="7"/>
      <c r="V4822" s="6"/>
      <c r="W4822" s="6"/>
      <c r="X4822" s="6"/>
      <c r="Y4822" s="6"/>
      <c r="Z4822" s="6"/>
      <c r="AA4822" s="7"/>
      <c r="AB4822" s="6"/>
      <c r="AC4822" s="6"/>
      <c r="AD4822" s="6"/>
      <c r="AE4822" s="12"/>
      <c r="AF4822" s="6"/>
      <c r="AG4822" s="12"/>
      <c r="AH4822" s="6"/>
      <c r="AI4822" s="6"/>
      <c r="AJ4822" s="12"/>
      <c r="AK4822" s="24"/>
      <c r="AL4822" s="25"/>
      <c r="AM4822" s="12"/>
      <c r="AN4822" s="1"/>
      <c r="AO4822" s="6"/>
    </row>
    <row r="4823" spans="1:41" ht="15" x14ac:dyDescent="0.25">
      <c r="A4823" s="1"/>
      <c r="B4823" s="1"/>
      <c r="C4823" s="1"/>
      <c r="D4823" s="1"/>
      <c r="E4823" s="6"/>
      <c r="F4823" s="1"/>
      <c r="G4823" s="6"/>
      <c r="H4823" s="6"/>
      <c r="I4823" s="6"/>
      <c r="J4823" s="6"/>
      <c r="K4823" s="6"/>
      <c r="L4823" s="6"/>
      <c r="M4823" s="6"/>
      <c r="N4823" s="6"/>
      <c r="O4823" s="7"/>
      <c r="P4823" s="6"/>
      <c r="Q4823" s="6"/>
      <c r="R4823" s="7"/>
      <c r="S4823" s="6"/>
      <c r="T4823" s="6"/>
      <c r="U4823" s="7"/>
      <c r="V4823" s="6"/>
      <c r="W4823" s="6"/>
      <c r="X4823" s="12"/>
      <c r="Y4823" s="6"/>
      <c r="Z4823" s="6"/>
      <c r="AA4823" s="7"/>
      <c r="AB4823" s="6"/>
      <c r="AC4823" s="6"/>
      <c r="AD4823" s="6"/>
      <c r="AE4823" s="12"/>
      <c r="AF4823" s="12"/>
      <c r="AG4823" s="12"/>
      <c r="AH4823" s="12"/>
      <c r="AI4823" s="6"/>
      <c r="AJ4823" s="12"/>
      <c r="AK4823" s="1"/>
      <c r="AL4823" s="12"/>
      <c r="AM4823" s="12"/>
      <c r="AN4823" s="1"/>
      <c r="AO4823" s="6"/>
    </row>
    <row r="4824" spans="1:41" ht="15" x14ac:dyDescent="0.25">
      <c r="A4824" s="1"/>
      <c r="B4824" s="1"/>
      <c r="C4824" s="1"/>
      <c r="D4824" s="1"/>
      <c r="E4824" s="6"/>
      <c r="F4824" s="1"/>
      <c r="G4824" s="6"/>
      <c r="H4824" s="6"/>
      <c r="I4824" s="6"/>
      <c r="J4824" s="6"/>
      <c r="K4824" s="6"/>
      <c r="L4824" s="6"/>
      <c r="M4824" s="6"/>
      <c r="N4824" s="6"/>
      <c r="O4824" s="7"/>
      <c r="P4824" s="6"/>
      <c r="Q4824" s="6"/>
      <c r="R4824" s="7"/>
      <c r="S4824" s="6"/>
      <c r="T4824" s="6"/>
      <c r="U4824" s="7"/>
      <c r="V4824" s="6"/>
      <c r="W4824" s="6"/>
      <c r="X4824" s="6"/>
      <c r="Y4824" s="6"/>
      <c r="Z4824" s="6"/>
      <c r="AA4824" s="7"/>
      <c r="AB4824" s="6"/>
      <c r="AC4824" s="6"/>
      <c r="AD4824" s="6"/>
      <c r="AE4824" s="12"/>
      <c r="AF4824" s="12"/>
      <c r="AG4824" s="12"/>
      <c r="AH4824" s="12"/>
      <c r="AI4824" s="6"/>
      <c r="AJ4824" s="12"/>
      <c r="AK4824" s="1"/>
      <c r="AL4824" s="12"/>
      <c r="AM4824" s="12"/>
      <c r="AN4824" s="1"/>
      <c r="AO4824" s="6"/>
    </row>
    <row r="4825" spans="1:41" ht="15" x14ac:dyDescent="0.25">
      <c r="A4825" s="1"/>
      <c r="B4825" s="1"/>
      <c r="C4825" s="1"/>
      <c r="D4825" s="1"/>
      <c r="E4825" s="6"/>
      <c r="F4825" s="1"/>
      <c r="G4825" s="6"/>
      <c r="H4825" s="6"/>
      <c r="I4825" s="6"/>
      <c r="J4825" s="6"/>
      <c r="K4825" s="6"/>
      <c r="L4825" s="6"/>
      <c r="M4825" s="6"/>
      <c r="N4825" s="6"/>
      <c r="O4825" s="7"/>
      <c r="P4825" s="12"/>
      <c r="Q4825" s="6"/>
      <c r="R4825" s="7"/>
      <c r="S4825" s="6"/>
      <c r="T4825" s="6"/>
      <c r="U4825" s="7"/>
      <c r="V4825" s="6"/>
      <c r="W4825" s="6"/>
      <c r="X4825" s="6"/>
      <c r="Y4825" s="6"/>
      <c r="Z4825" s="6"/>
      <c r="AA4825" s="7"/>
      <c r="AB4825" s="6"/>
      <c r="AC4825" s="6"/>
      <c r="AD4825" s="6"/>
      <c r="AE4825" s="12"/>
      <c r="AF4825" s="12"/>
      <c r="AG4825" s="12"/>
      <c r="AH4825" s="12"/>
      <c r="AI4825" s="6"/>
      <c r="AJ4825" s="12"/>
      <c r="AK4825" s="1"/>
      <c r="AL4825" s="12"/>
      <c r="AM4825" s="12"/>
      <c r="AN4825" s="1"/>
      <c r="AO4825" s="6"/>
    </row>
    <row r="4826" spans="1:41" ht="15" x14ac:dyDescent="0.25">
      <c r="A4826" s="1"/>
      <c r="B4826" s="1"/>
      <c r="C4826" s="1"/>
      <c r="D4826" s="1"/>
      <c r="E4826" s="6"/>
      <c r="F4826" s="1"/>
      <c r="G4826" s="6"/>
      <c r="H4826" s="6"/>
      <c r="I4826" s="6"/>
      <c r="J4826" s="6"/>
      <c r="K4826" s="6"/>
      <c r="L4826" s="6"/>
      <c r="M4826" s="6"/>
      <c r="N4826" s="6"/>
      <c r="O4826" s="7"/>
      <c r="P4826" s="6"/>
      <c r="Q4826" s="6"/>
      <c r="R4826" s="7"/>
      <c r="S4826" s="6"/>
      <c r="T4826" s="6"/>
      <c r="U4826" s="7"/>
      <c r="V4826" s="6"/>
      <c r="W4826" s="6"/>
      <c r="X4826" s="12"/>
      <c r="Y4826" s="6"/>
      <c r="Z4826" s="6"/>
      <c r="AA4826" s="7"/>
      <c r="AB4826" s="6"/>
      <c r="AC4826" s="6"/>
      <c r="AD4826" s="6"/>
      <c r="AE4826" s="12"/>
      <c r="AF4826" s="12"/>
      <c r="AG4826" s="12"/>
      <c r="AH4826" s="12"/>
      <c r="AI4826" s="6"/>
      <c r="AJ4826" s="12"/>
      <c r="AK4826" s="1"/>
      <c r="AL4826" s="12"/>
      <c r="AM4826" s="12"/>
      <c r="AN4826" s="1"/>
      <c r="AO4826" s="6"/>
    </row>
    <row r="4827" spans="1:41" ht="15" x14ac:dyDescent="0.25">
      <c r="A4827" s="1"/>
      <c r="B4827" s="1"/>
      <c r="C4827" s="1"/>
      <c r="D4827" s="1"/>
      <c r="E4827" s="6"/>
      <c r="F4827" s="1"/>
      <c r="G4827" s="6"/>
      <c r="H4827" s="6"/>
      <c r="I4827" s="6"/>
      <c r="J4827" s="6"/>
      <c r="K4827" s="6"/>
      <c r="L4827" s="6"/>
      <c r="M4827" s="6"/>
      <c r="N4827" s="6"/>
      <c r="O4827" s="7"/>
      <c r="P4827" s="6"/>
      <c r="Q4827" s="6"/>
      <c r="R4827" s="7"/>
      <c r="S4827" s="6"/>
      <c r="T4827" s="6"/>
      <c r="U4827" s="7"/>
      <c r="V4827" s="6"/>
      <c r="W4827" s="6"/>
      <c r="X4827" s="6"/>
      <c r="Y4827" s="6"/>
      <c r="Z4827" s="6"/>
      <c r="AA4827" s="7"/>
      <c r="AB4827" s="6"/>
      <c r="AC4827" s="6"/>
      <c r="AD4827" s="6"/>
      <c r="AE4827" s="12"/>
      <c r="AF4827" s="6"/>
      <c r="AG4827" s="12"/>
      <c r="AH4827" s="6"/>
      <c r="AI4827" s="6"/>
      <c r="AJ4827" s="12"/>
      <c r="AK4827" s="1"/>
      <c r="AL4827" s="12"/>
      <c r="AM4827" s="12"/>
      <c r="AN4827" s="1"/>
      <c r="AO4827" s="6"/>
    </row>
    <row r="4828" spans="1:41" ht="15" x14ac:dyDescent="0.25">
      <c r="A4828" s="1"/>
      <c r="B4828" s="1"/>
      <c r="C4828" s="1"/>
      <c r="D4828" s="1"/>
      <c r="E4828" s="6"/>
      <c r="F4828" s="1"/>
      <c r="G4828" s="6"/>
      <c r="H4828" s="6"/>
      <c r="I4828" s="6"/>
      <c r="J4828" s="6"/>
      <c r="K4828" s="6"/>
      <c r="L4828" s="6"/>
      <c r="M4828" s="6"/>
      <c r="N4828" s="6"/>
      <c r="O4828" s="7"/>
      <c r="P4828" s="6"/>
      <c r="Q4828" s="6"/>
      <c r="R4828" s="7"/>
      <c r="S4828" s="6"/>
      <c r="T4828" s="6"/>
      <c r="U4828" s="7"/>
      <c r="V4828" s="6"/>
      <c r="W4828" s="6"/>
      <c r="X4828" s="6"/>
      <c r="Y4828" s="6"/>
      <c r="Z4828" s="6"/>
      <c r="AA4828" s="7"/>
      <c r="AB4828" s="6"/>
      <c r="AC4828" s="6"/>
      <c r="AD4828" s="6"/>
      <c r="AE4828" s="12"/>
      <c r="AF4828" s="6"/>
      <c r="AG4828" s="12"/>
      <c r="AH4828" s="6"/>
      <c r="AI4828" s="6"/>
      <c r="AJ4828" s="12"/>
      <c r="AK4828" s="1"/>
      <c r="AL4828" s="12"/>
      <c r="AM4828" s="12"/>
      <c r="AN4828" s="1"/>
      <c r="AO4828" s="6"/>
    </row>
    <row r="4829" spans="1:41" ht="15" x14ac:dyDescent="0.25">
      <c r="A4829" s="1"/>
      <c r="B4829" s="1"/>
      <c r="C4829" s="1"/>
      <c r="D4829" s="1"/>
      <c r="E4829" s="6"/>
      <c r="F4829" s="1"/>
      <c r="G4829" s="6"/>
      <c r="H4829" s="6"/>
      <c r="I4829" s="6"/>
      <c r="J4829" s="6"/>
      <c r="K4829" s="6"/>
      <c r="L4829" s="6"/>
      <c r="M4829" s="6"/>
      <c r="N4829" s="6"/>
      <c r="O4829" s="7"/>
      <c r="P4829" s="6"/>
      <c r="Q4829" s="7"/>
      <c r="R4829" s="6"/>
      <c r="S4829" s="6"/>
      <c r="T4829" s="6"/>
      <c r="U4829" s="6"/>
      <c r="V4829" s="7"/>
      <c r="W4829" s="6"/>
      <c r="X4829" s="6"/>
      <c r="Y4829" s="6"/>
      <c r="Z4829" s="6"/>
      <c r="AA4829" s="1"/>
      <c r="AB4829" s="12"/>
      <c r="AC4829" s="12"/>
      <c r="AD4829" s="12"/>
      <c r="AE4829" s="12"/>
      <c r="AF4829" s="6"/>
      <c r="AG4829" s="12"/>
      <c r="AH4829" s="6"/>
      <c r="AI4829" s="6"/>
      <c r="AJ4829" s="12"/>
      <c r="AK4829" s="12"/>
      <c r="AL4829" s="12"/>
      <c r="AM4829" s="12"/>
      <c r="AN4829" s="1"/>
      <c r="AO4829" s="6"/>
    </row>
    <row r="4830" spans="1:41" ht="15" x14ac:dyDescent="0.25">
      <c r="A4830" s="1"/>
      <c r="B4830" s="1"/>
      <c r="C4830" s="1"/>
      <c r="D4830" s="1"/>
      <c r="E4830" s="6"/>
      <c r="F4830" s="1"/>
      <c r="G4830" s="6"/>
      <c r="H4830" s="6"/>
      <c r="I4830" s="6"/>
      <c r="J4830" s="6"/>
      <c r="K4830" s="6"/>
      <c r="L4830" s="6"/>
      <c r="M4830" s="6"/>
      <c r="N4830" s="6"/>
      <c r="O4830" s="7"/>
      <c r="P4830" s="6"/>
      <c r="Q4830" s="7"/>
      <c r="R4830" s="6"/>
      <c r="S4830" s="6"/>
      <c r="T4830" s="6"/>
      <c r="U4830" s="6"/>
      <c r="V4830" s="7"/>
      <c r="W4830" s="6"/>
      <c r="X4830" s="6"/>
      <c r="Y4830" s="6"/>
      <c r="Z4830" s="6"/>
      <c r="AA4830" s="1"/>
      <c r="AB4830" s="12"/>
      <c r="AC4830" s="12"/>
      <c r="AD4830" s="12"/>
      <c r="AE4830" s="12"/>
      <c r="AF4830" s="6"/>
      <c r="AG4830" s="12"/>
      <c r="AH4830" s="6"/>
      <c r="AI4830" s="6"/>
      <c r="AJ4830" s="12"/>
      <c r="AK4830" s="12"/>
      <c r="AL4830" s="12"/>
      <c r="AM4830" s="12"/>
      <c r="AN4830" s="1"/>
      <c r="AO4830" s="6"/>
    </row>
    <row r="4831" spans="1:41" ht="15" x14ac:dyDescent="0.25">
      <c r="A4831" s="1"/>
      <c r="B4831" s="1"/>
      <c r="C4831" s="1"/>
      <c r="D4831" s="1"/>
      <c r="E4831" s="6"/>
      <c r="F4831" s="1"/>
      <c r="G4831" s="6"/>
      <c r="H4831" s="6"/>
      <c r="I4831" s="6"/>
      <c r="J4831" s="6"/>
      <c r="K4831" s="6"/>
      <c r="L4831" s="6"/>
      <c r="M4831" s="6"/>
      <c r="N4831" s="6"/>
      <c r="O4831" s="7"/>
      <c r="P4831" s="6"/>
      <c r="Q4831" s="6"/>
      <c r="R4831" s="7"/>
      <c r="S4831" s="6"/>
      <c r="T4831" s="6"/>
      <c r="U4831" s="7"/>
      <c r="V4831" s="6"/>
      <c r="W4831" s="6"/>
      <c r="X4831" s="6"/>
      <c r="Y4831" s="6"/>
      <c r="Z4831" s="6"/>
      <c r="AA4831" s="7"/>
      <c r="AB4831" s="6"/>
      <c r="AC4831" s="6"/>
      <c r="AD4831" s="6"/>
      <c r="AE4831" s="12"/>
      <c r="AF4831" s="6"/>
      <c r="AG4831" s="12"/>
      <c r="AH4831" s="6"/>
      <c r="AI4831" s="6"/>
      <c r="AJ4831" s="12"/>
      <c r="AK4831" s="24"/>
      <c r="AL4831" s="25"/>
      <c r="AM4831" s="12"/>
      <c r="AN4831" s="1"/>
      <c r="AO4831" s="6"/>
    </row>
    <row r="4832" spans="1:41" ht="15" x14ac:dyDescent="0.25">
      <c r="A4832" s="1"/>
      <c r="B4832" s="1"/>
      <c r="C4832" s="1"/>
      <c r="D4832" s="1"/>
      <c r="E4832" s="6"/>
      <c r="F4832" s="1"/>
      <c r="G4832" s="6"/>
      <c r="H4832" s="6"/>
      <c r="I4832" s="6"/>
      <c r="J4832" s="6"/>
      <c r="K4832" s="6"/>
      <c r="L4832" s="6"/>
      <c r="M4832" s="6"/>
      <c r="N4832" s="6"/>
      <c r="O4832" s="7"/>
      <c r="P4832" s="6"/>
      <c r="Q4832" s="6"/>
      <c r="R4832" s="7"/>
      <c r="S4832" s="6"/>
      <c r="T4832" s="6"/>
      <c r="U4832" s="7"/>
      <c r="V4832" s="6"/>
      <c r="W4832" s="6"/>
      <c r="X4832" s="6"/>
      <c r="Y4832" s="6"/>
      <c r="Z4832" s="6"/>
      <c r="AA4832" s="7"/>
      <c r="AB4832" s="6"/>
      <c r="AC4832" s="6"/>
      <c r="AD4832" s="6"/>
      <c r="AE4832" s="12"/>
      <c r="AF4832" s="6"/>
      <c r="AG4832" s="12"/>
      <c r="AH4832" s="6"/>
      <c r="AI4832" s="6"/>
      <c r="AJ4832" s="12"/>
      <c r="AK4832" s="24"/>
      <c r="AL4832" s="25"/>
      <c r="AM4832" s="12"/>
      <c r="AN4832" s="1"/>
      <c r="AO4832" s="6"/>
    </row>
    <row r="4833" spans="1:41" ht="15" x14ac:dyDescent="0.25">
      <c r="A4833" s="1"/>
      <c r="B4833" s="1"/>
      <c r="C4833" s="1"/>
      <c r="D4833" s="1"/>
      <c r="E4833" s="6"/>
      <c r="F4833" s="1"/>
      <c r="G4833" s="6"/>
      <c r="H4833" s="6"/>
      <c r="I4833" s="6"/>
      <c r="J4833" s="6"/>
      <c r="K4833" s="6"/>
      <c r="L4833" s="6"/>
      <c r="M4833" s="6"/>
      <c r="N4833" s="6"/>
      <c r="O4833" s="7"/>
      <c r="P4833" s="6"/>
      <c r="Q4833" s="6"/>
      <c r="R4833" s="7"/>
      <c r="S4833" s="6"/>
      <c r="T4833" s="6"/>
      <c r="U4833" s="7"/>
      <c r="V4833" s="6"/>
      <c r="W4833" s="6"/>
      <c r="X4833" s="6"/>
      <c r="Y4833" s="6"/>
      <c r="Z4833" s="6"/>
      <c r="AA4833" s="7"/>
      <c r="AB4833" s="6"/>
      <c r="AC4833" s="6"/>
      <c r="AD4833" s="6"/>
      <c r="AE4833" s="12"/>
      <c r="AF4833" s="6"/>
      <c r="AG4833" s="12"/>
      <c r="AH4833" s="6"/>
      <c r="AI4833" s="6"/>
      <c r="AJ4833" s="12"/>
      <c r="AK4833" s="24"/>
      <c r="AL4833" s="25"/>
      <c r="AM4833" s="12"/>
      <c r="AN4833" s="1"/>
      <c r="AO4833" s="6"/>
    </row>
    <row r="4834" spans="1:41" ht="15" x14ac:dyDescent="0.25">
      <c r="A4834" s="1"/>
      <c r="B4834" s="1"/>
      <c r="C4834" s="1"/>
      <c r="D4834" s="1"/>
      <c r="E4834" s="6"/>
      <c r="F4834" s="1"/>
      <c r="G4834" s="6"/>
      <c r="H4834" s="6"/>
      <c r="I4834" s="6"/>
      <c r="J4834" s="6"/>
      <c r="K4834" s="6"/>
      <c r="L4834" s="6"/>
      <c r="M4834" s="6"/>
      <c r="N4834" s="6"/>
      <c r="O4834" s="7"/>
      <c r="P4834" s="6"/>
      <c r="Q4834" s="6"/>
      <c r="R4834" s="7"/>
      <c r="S4834" s="6"/>
      <c r="T4834" s="6"/>
      <c r="U4834" s="7"/>
      <c r="V4834" s="6"/>
      <c r="W4834" s="6"/>
      <c r="X4834" s="6"/>
      <c r="Y4834" s="6"/>
      <c r="Z4834" s="6"/>
      <c r="AA4834" s="7"/>
      <c r="AB4834" s="6"/>
      <c r="AC4834" s="6"/>
      <c r="AD4834" s="6"/>
      <c r="AE4834" s="12"/>
      <c r="AF4834" s="6"/>
      <c r="AG4834" s="12"/>
      <c r="AH4834" s="6"/>
      <c r="AI4834" s="6"/>
      <c r="AJ4834" s="12"/>
      <c r="AK4834" s="24"/>
      <c r="AL4834" s="25"/>
      <c r="AM4834" s="12"/>
      <c r="AN4834" s="1"/>
      <c r="AO4834" s="6"/>
    </row>
    <row r="4835" spans="1:41" ht="15" x14ac:dyDescent="0.25">
      <c r="A4835" s="1"/>
      <c r="B4835" s="1"/>
      <c r="C4835" s="1"/>
      <c r="D4835" s="1"/>
      <c r="E4835" s="6"/>
      <c r="F4835" s="1"/>
      <c r="G4835" s="6"/>
      <c r="H4835" s="6"/>
      <c r="I4835" s="6"/>
      <c r="J4835" s="6"/>
      <c r="K4835" s="6"/>
      <c r="L4835" s="6"/>
      <c r="M4835" s="6"/>
      <c r="N4835" s="6"/>
      <c r="O4835" s="7"/>
      <c r="P4835" s="12"/>
      <c r="Q4835" s="6"/>
      <c r="R4835" s="7"/>
      <c r="S4835" s="6"/>
      <c r="T4835" s="6"/>
      <c r="U4835" s="7"/>
      <c r="V4835" s="6"/>
      <c r="W4835" s="6"/>
      <c r="X4835" s="6"/>
      <c r="Y4835" s="6"/>
      <c r="Z4835" s="6"/>
      <c r="AA4835" s="7"/>
      <c r="AB4835" s="6"/>
      <c r="AC4835" s="6"/>
      <c r="AD4835" s="6"/>
      <c r="AE4835" s="12"/>
      <c r="AF4835" s="12"/>
      <c r="AG4835" s="12"/>
      <c r="AH4835" s="12"/>
      <c r="AI4835" s="6"/>
      <c r="AJ4835" s="12"/>
      <c r="AK4835" s="1"/>
      <c r="AL4835" s="12"/>
      <c r="AM4835" s="12"/>
      <c r="AN4835" s="1"/>
      <c r="AO4835" s="6"/>
    </row>
    <row r="4836" spans="1:41" ht="15" x14ac:dyDescent="0.25">
      <c r="A4836" s="1"/>
      <c r="B4836" s="1"/>
      <c r="C4836" s="1"/>
      <c r="D4836" s="1"/>
      <c r="E4836" s="6"/>
      <c r="F4836" s="1"/>
      <c r="G4836" s="6"/>
      <c r="H4836" s="6"/>
      <c r="I4836" s="6"/>
      <c r="J4836" s="6"/>
      <c r="K4836" s="6"/>
      <c r="L4836" s="6"/>
      <c r="M4836" s="6"/>
      <c r="N4836" s="6"/>
      <c r="O4836" s="7"/>
      <c r="P4836" s="12"/>
      <c r="Q4836" s="6"/>
      <c r="R4836" s="7"/>
      <c r="S4836" s="6"/>
      <c r="T4836" s="6"/>
      <c r="U4836" s="7"/>
      <c r="V4836" s="6"/>
      <c r="W4836" s="6"/>
      <c r="X4836" s="12"/>
      <c r="Y4836" s="6"/>
      <c r="Z4836" s="6"/>
      <c r="AA4836" s="7"/>
      <c r="AB4836" s="6"/>
      <c r="AC4836" s="6"/>
      <c r="AD4836" s="6"/>
      <c r="AE4836" s="12"/>
      <c r="AF4836" s="12"/>
      <c r="AG4836" s="12"/>
      <c r="AH4836" s="12"/>
      <c r="AI4836" s="6"/>
      <c r="AJ4836" s="12"/>
      <c r="AK4836" s="1"/>
      <c r="AL4836" s="12"/>
      <c r="AM4836" s="12"/>
      <c r="AN4836" s="1"/>
      <c r="AO4836" s="6"/>
    </row>
    <row r="4837" spans="1:41" ht="15" x14ac:dyDescent="0.25">
      <c r="A4837" s="1"/>
      <c r="B4837" s="1"/>
      <c r="C4837" s="1"/>
      <c r="D4837" s="1"/>
      <c r="E4837" s="6"/>
      <c r="F4837" s="1"/>
      <c r="G4837" s="6"/>
      <c r="H4837" s="6"/>
      <c r="I4837" s="6"/>
      <c r="J4837" s="6"/>
      <c r="K4837" s="6"/>
      <c r="L4837" s="6"/>
      <c r="M4837" s="6"/>
      <c r="N4837" s="6"/>
      <c r="O4837" s="7"/>
      <c r="P4837" s="6"/>
      <c r="Q4837" s="6"/>
      <c r="R4837" s="7"/>
      <c r="S4837" s="6"/>
      <c r="T4837" s="6"/>
      <c r="U4837" s="7"/>
      <c r="V4837" s="6"/>
      <c r="W4837" s="6"/>
      <c r="X4837" s="6"/>
      <c r="Y4837" s="6"/>
      <c r="Z4837" s="6"/>
      <c r="AA4837" s="7"/>
      <c r="AB4837" s="6"/>
      <c r="AC4837" s="6"/>
      <c r="AD4837" s="6"/>
      <c r="AE4837" s="12"/>
      <c r="AF4837" s="6"/>
      <c r="AG4837" s="12"/>
      <c r="AH4837" s="6"/>
      <c r="AI4837" s="6"/>
      <c r="AJ4837" s="12"/>
      <c r="AK4837" s="24"/>
      <c r="AL4837" s="25"/>
      <c r="AM4837" s="12"/>
      <c r="AN4837" s="1"/>
      <c r="AO4837" s="6"/>
    </row>
    <row r="4838" spans="1:41" ht="15" x14ac:dyDescent="0.25">
      <c r="A4838" s="1"/>
      <c r="B4838" s="1"/>
      <c r="C4838" s="1"/>
      <c r="D4838" s="1"/>
      <c r="E4838" s="6"/>
      <c r="F4838" s="1"/>
      <c r="G4838" s="6"/>
      <c r="H4838" s="6"/>
      <c r="I4838" s="6"/>
      <c r="J4838" s="6"/>
      <c r="K4838" s="6"/>
      <c r="L4838" s="6"/>
      <c r="M4838" s="6"/>
      <c r="N4838" s="6"/>
      <c r="O4838" s="7"/>
      <c r="P4838" s="6"/>
      <c r="Q4838" s="6"/>
      <c r="R4838" s="7"/>
      <c r="S4838" s="6"/>
      <c r="T4838" s="6"/>
      <c r="U4838" s="7"/>
      <c r="V4838" s="6"/>
      <c r="W4838" s="6"/>
      <c r="X4838" s="6"/>
      <c r="Y4838" s="6"/>
      <c r="Z4838" s="6"/>
      <c r="AA4838" s="7"/>
      <c r="AB4838" s="6"/>
      <c r="AC4838" s="6"/>
      <c r="AD4838" s="6"/>
      <c r="AE4838" s="12"/>
      <c r="AF4838" s="6"/>
      <c r="AG4838" s="12"/>
      <c r="AH4838" s="6"/>
      <c r="AI4838" s="6"/>
      <c r="AJ4838" s="12"/>
      <c r="AK4838" s="24"/>
      <c r="AL4838" s="25"/>
      <c r="AM4838" s="12"/>
      <c r="AN4838" s="1"/>
      <c r="AO4838" s="6"/>
    </row>
    <row r="4839" spans="1:41" ht="15" x14ac:dyDescent="0.25">
      <c r="A4839" s="1"/>
      <c r="B4839" s="1"/>
      <c r="C4839" s="1"/>
      <c r="D4839" s="1"/>
      <c r="E4839" s="6"/>
      <c r="F4839" s="1"/>
      <c r="G4839" s="6"/>
      <c r="H4839" s="6"/>
      <c r="I4839" s="6"/>
      <c r="J4839" s="6"/>
      <c r="K4839" s="6"/>
      <c r="L4839" s="6"/>
      <c r="M4839" s="6"/>
      <c r="N4839" s="6"/>
      <c r="O4839" s="7"/>
      <c r="P4839" s="6"/>
      <c r="Q4839" s="6"/>
      <c r="R4839" s="7"/>
      <c r="S4839" s="6"/>
      <c r="T4839" s="6"/>
      <c r="U4839" s="7"/>
      <c r="V4839" s="6"/>
      <c r="W4839" s="6"/>
      <c r="X4839" s="6"/>
      <c r="Y4839" s="6"/>
      <c r="Z4839" s="6"/>
      <c r="AA4839" s="7"/>
      <c r="AB4839" s="6"/>
      <c r="AC4839" s="6"/>
      <c r="AD4839" s="6"/>
      <c r="AE4839" s="12"/>
      <c r="AF4839" s="6"/>
      <c r="AG4839" s="12"/>
      <c r="AH4839" s="6"/>
      <c r="AI4839" s="6"/>
      <c r="AJ4839" s="12"/>
      <c r="AK4839" s="1"/>
      <c r="AL4839" s="12"/>
      <c r="AM4839" s="12"/>
      <c r="AN4839" s="1"/>
      <c r="AO4839" s="6"/>
    </row>
    <row r="4840" spans="1:41" ht="15" x14ac:dyDescent="0.25">
      <c r="A4840" s="1"/>
      <c r="B4840" s="1"/>
      <c r="C4840" s="1"/>
      <c r="D4840" s="1"/>
      <c r="E4840" s="6"/>
      <c r="F4840" s="1"/>
      <c r="G4840" s="6"/>
      <c r="H4840" s="6"/>
      <c r="I4840" s="6"/>
      <c r="J4840" s="6"/>
      <c r="K4840" s="6"/>
      <c r="L4840" s="6"/>
      <c r="M4840" s="6"/>
      <c r="N4840" s="6"/>
      <c r="O4840" s="7"/>
      <c r="P4840" s="6"/>
      <c r="Q4840" s="6"/>
      <c r="R4840" s="7"/>
      <c r="S4840" s="6"/>
      <c r="T4840" s="6"/>
      <c r="U4840" s="7"/>
      <c r="V4840" s="6"/>
      <c r="W4840" s="6"/>
      <c r="X4840" s="6"/>
      <c r="Y4840" s="6"/>
      <c r="Z4840" s="6"/>
      <c r="AA4840" s="7"/>
      <c r="AB4840" s="6"/>
      <c r="AC4840" s="6"/>
      <c r="AD4840" s="6"/>
      <c r="AE4840" s="12"/>
      <c r="AF4840" s="6"/>
      <c r="AG4840" s="12"/>
      <c r="AH4840" s="6"/>
      <c r="AI4840" s="6"/>
      <c r="AJ4840" s="12"/>
      <c r="AK4840" s="1"/>
      <c r="AL4840" s="12"/>
      <c r="AM4840" s="12"/>
      <c r="AN4840" s="1"/>
      <c r="AO4840" s="6"/>
    </row>
    <row r="4841" spans="1:41" ht="15" x14ac:dyDescent="0.25">
      <c r="A4841" s="1"/>
      <c r="B4841" s="1"/>
      <c r="C4841" s="1"/>
      <c r="D4841" s="1"/>
      <c r="E4841" s="6"/>
      <c r="F4841" s="1"/>
      <c r="G4841" s="6"/>
      <c r="H4841" s="6"/>
      <c r="I4841" s="6"/>
      <c r="J4841" s="6"/>
      <c r="K4841" s="6"/>
      <c r="L4841" s="6"/>
      <c r="M4841" s="6"/>
      <c r="N4841" s="6"/>
      <c r="O4841" s="7"/>
      <c r="P4841" s="6"/>
      <c r="Q4841" s="7"/>
      <c r="R4841" s="6"/>
      <c r="S4841" s="6"/>
      <c r="T4841" s="6"/>
      <c r="U4841" s="6"/>
      <c r="V4841" s="7"/>
      <c r="W4841" s="6"/>
      <c r="X4841" s="6"/>
      <c r="Y4841" s="6"/>
      <c r="Z4841" s="6"/>
      <c r="AA4841" s="1"/>
      <c r="AB4841" s="12"/>
      <c r="AC4841" s="12"/>
      <c r="AD4841" s="12"/>
      <c r="AE4841" s="12"/>
      <c r="AF4841" s="6"/>
      <c r="AG4841" s="12"/>
      <c r="AH4841" s="6"/>
      <c r="AI4841" s="6"/>
      <c r="AJ4841" s="12"/>
      <c r="AK4841" s="12"/>
      <c r="AL4841" s="12"/>
      <c r="AM4841" s="12"/>
      <c r="AN4841" s="1"/>
      <c r="AO4841" s="6"/>
    </row>
    <row r="4842" spans="1:41" ht="15" x14ac:dyDescent="0.25">
      <c r="A4842" s="1"/>
      <c r="B4842" s="1"/>
      <c r="C4842" s="1"/>
      <c r="D4842" s="1"/>
      <c r="E4842" s="6"/>
      <c r="F4842" s="1"/>
      <c r="G4842" s="6"/>
      <c r="H4842" s="6"/>
      <c r="I4842" s="6"/>
      <c r="J4842" s="6"/>
      <c r="K4842" s="6"/>
      <c r="L4842" s="6"/>
      <c r="M4842" s="6"/>
      <c r="N4842" s="6"/>
      <c r="O4842" s="7"/>
      <c r="P4842" s="6"/>
      <c r="Q4842" s="7"/>
      <c r="R4842" s="6"/>
      <c r="S4842" s="6"/>
      <c r="T4842" s="6"/>
      <c r="U4842" s="6"/>
      <c r="V4842" s="7"/>
      <c r="W4842" s="6"/>
      <c r="X4842" s="6"/>
      <c r="Y4842" s="6"/>
      <c r="Z4842" s="6"/>
      <c r="AA4842" s="1"/>
      <c r="AB4842" s="12"/>
      <c r="AC4842" s="12"/>
      <c r="AD4842" s="12"/>
      <c r="AE4842" s="12"/>
      <c r="AF4842" s="6"/>
      <c r="AG4842" s="12"/>
      <c r="AH4842" s="6"/>
      <c r="AI4842" s="6"/>
      <c r="AJ4842" s="12"/>
      <c r="AK4842" s="12"/>
      <c r="AL4842" s="12"/>
      <c r="AM4842" s="12"/>
      <c r="AN4842" s="1"/>
      <c r="AO4842" s="6"/>
    </row>
    <row r="4843" spans="1:41" ht="15" x14ac:dyDescent="0.25">
      <c r="A4843" s="1"/>
      <c r="B4843" s="1"/>
      <c r="C4843" s="1"/>
      <c r="D4843" s="1"/>
      <c r="E4843" s="6"/>
      <c r="F4843" s="1"/>
      <c r="G4843" s="6"/>
      <c r="H4843" s="6"/>
      <c r="I4843" s="6"/>
      <c r="J4843" s="6"/>
      <c r="K4843" s="6"/>
      <c r="L4843" s="6"/>
      <c r="M4843" s="6"/>
      <c r="N4843" s="6"/>
      <c r="O4843" s="7"/>
      <c r="P4843" s="6"/>
      <c r="Q4843" s="6"/>
      <c r="R4843" s="7"/>
      <c r="S4843" s="6"/>
      <c r="T4843" s="6"/>
      <c r="U4843" s="7"/>
      <c r="V4843" s="6"/>
      <c r="W4843" s="6"/>
      <c r="X4843" s="6"/>
      <c r="Y4843" s="6"/>
      <c r="Z4843" s="6"/>
      <c r="AA4843" s="7"/>
      <c r="AB4843" s="6"/>
      <c r="AC4843" s="6"/>
      <c r="AD4843" s="6"/>
      <c r="AE4843" s="12"/>
      <c r="AF4843" s="6"/>
      <c r="AG4843" s="12"/>
      <c r="AH4843" s="6"/>
      <c r="AI4843" s="6"/>
      <c r="AJ4843" s="12"/>
      <c r="AK4843" s="24"/>
      <c r="AL4843" s="25"/>
      <c r="AM4843" s="12"/>
      <c r="AN4843" s="1"/>
      <c r="AO4843" s="6"/>
    </row>
    <row r="4844" spans="1:41" ht="15" x14ac:dyDescent="0.25">
      <c r="A4844" s="1"/>
      <c r="B4844" s="1"/>
      <c r="C4844" s="1"/>
      <c r="D4844" s="1"/>
      <c r="E4844" s="6"/>
      <c r="F4844" s="1"/>
      <c r="G4844" s="6"/>
      <c r="H4844" s="6"/>
      <c r="I4844" s="6"/>
      <c r="J4844" s="6"/>
      <c r="K4844" s="6"/>
      <c r="L4844" s="6"/>
      <c r="M4844" s="6"/>
      <c r="N4844" s="6"/>
      <c r="O4844" s="7"/>
      <c r="P4844" s="6"/>
      <c r="Q4844" s="6"/>
      <c r="R4844" s="7"/>
      <c r="S4844" s="6"/>
      <c r="T4844" s="6"/>
      <c r="U4844" s="7"/>
      <c r="V4844" s="6"/>
      <c r="W4844" s="6"/>
      <c r="X4844" s="6"/>
      <c r="Y4844" s="6"/>
      <c r="Z4844" s="6"/>
      <c r="AA4844" s="7"/>
      <c r="AB4844" s="6"/>
      <c r="AC4844" s="6"/>
      <c r="AD4844" s="6"/>
      <c r="AE4844" s="12"/>
      <c r="AF4844" s="6"/>
      <c r="AG4844" s="12"/>
      <c r="AH4844" s="6"/>
      <c r="AI4844" s="6"/>
      <c r="AJ4844" s="12"/>
      <c r="AK4844" s="24"/>
      <c r="AL4844" s="25"/>
      <c r="AM4844" s="12"/>
      <c r="AN4844" s="1"/>
      <c r="AO4844" s="6"/>
    </row>
    <row r="4845" spans="1:41" ht="15" x14ac:dyDescent="0.25">
      <c r="A4845" s="1"/>
      <c r="B4845" s="1"/>
      <c r="C4845" s="1"/>
      <c r="D4845" s="1"/>
      <c r="E4845" s="6"/>
      <c r="F4845" s="1"/>
      <c r="G4845" s="6"/>
      <c r="H4845" s="6"/>
      <c r="I4845" s="6"/>
      <c r="J4845" s="6"/>
      <c r="K4845" s="6"/>
      <c r="L4845" s="6"/>
      <c r="M4845" s="6"/>
      <c r="N4845" s="6"/>
      <c r="O4845" s="7"/>
      <c r="P4845" s="6"/>
      <c r="Q4845" s="6"/>
      <c r="R4845" s="7"/>
      <c r="S4845" s="6"/>
      <c r="T4845" s="6"/>
      <c r="U4845" s="7"/>
      <c r="V4845" s="6"/>
      <c r="W4845" s="6"/>
      <c r="X4845" s="6"/>
      <c r="Y4845" s="6"/>
      <c r="Z4845" s="6"/>
      <c r="AA4845" s="7"/>
      <c r="AB4845" s="6"/>
      <c r="AC4845" s="6"/>
      <c r="AD4845" s="6"/>
      <c r="AE4845" s="12"/>
      <c r="AF4845" s="12"/>
      <c r="AG4845" s="12"/>
      <c r="AH4845" s="12"/>
      <c r="AI4845" s="6"/>
      <c r="AJ4845" s="12"/>
      <c r="AK4845" s="1"/>
      <c r="AL4845" s="12"/>
      <c r="AM4845" s="12"/>
      <c r="AN4845" s="1"/>
      <c r="AO4845" s="6"/>
    </row>
    <row r="4846" spans="1:41" ht="15" x14ac:dyDescent="0.25">
      <c r="A4846" s="1"/>
      <c r="B4846" s="1"/>
      <c r="C4846" s="1"/>
      <c r="D4846" s="1"/>
      <c r="E4846" s="6"/>
      <c r="F4846" s="1"/>
      <c r="G4846" s="6"/>
      <c r="H4846" s="6"/>
      <c r="I4846" s="6"/>
      <c r="J4846" s="6"/>
      <c r="K4846" s="6"/>
      <c r="L4846" s="6"/>
      <c r="M4846" s="6"/>
      <c r="N4846" s="6"/>
      <c r="O4846" s="7"/>
      <c r="P4846" s="12"/>
      <c r="Q4846" s="6"/>
      <c r="R4846" s="7"/>
      <c r="S4846" s="6"/>
      <c r="T4846" s="6"/>
      <c r="U4846" s="7"/>
      <c r="V4846" s="6"/>
      <c r="W4846" s="6"/>
      <c r="X4846" s="6"/>
      <c r="Y4846" s="6"/>
      <c r="Z4846" s="6"/>
      <c r="AA4846" s="7"/>
      <c r="AB4846" s="6"/>
      <c r="AC4846" s="6"/>
      <c r="AD4846" s="6"/>
      <c r="AE4846" s="12"/>
      <c r="AF4846" s="6"/>
      <c r="AG4846" s="12"/>
      <c r="AH4846" s="6"/>
      <c r="AI4846" s="6"/>
      <c r="AJ4846" s="12"/>
      <c r="AK4846" s="1"/>
      <c r="AL4846" s="12"/>
      <c r="AM4846" s="12"/>
      <c r="AN4846" s="1"/>
      <c r="AO4846" s="6"/>
    </row>
    <row r="4847" spans="1:41" ht="15" x14ac:dyDescent="0.25">
      <c r="A4847" s="1"/>
      <c r="B4847" s="1"/>
      <c r="C4847" s="1"/>
      <c r="D4847" s="1"/>
      <c r="E4847" s="6"/>
      <c r="F4847" s="1"/>
      <c r="G4847" s="6"/>
      <c r="H4847" s="6"/>
      <c r="I4847" s="6"/>
      <c r="J4847" s="6"/>
      <c r="K4847" s="6"/>
      <c r="L4847" s="6"/>
      <c r="M4847" s="6"/>
      <c r="N4847" s="6"/>
      <c r="O4847" s="7"/>
      <c r="P4847" s="12"/>
      <c r="Q4847" s="6"/>
      <c r="R4847" s="7"/>
      <c r="S4847" s="6"/>
      <c r="T4847" s="6"/>
      <c r="U4847" s="7"/>
      <c r="V4847" s="6"/>
      <c r="W4847" s="6"/>
      <c r="X4847" s="6"/>
      <c r="Y4847" s="6"/>
      <c r="Z4847" s="6"/>
      <c r="AA4847" s="7"/>
      <c r="AB4847" s="6"/>
      <c r="AC4847" s="6"/>
      <c r="AD4847" s="6"/>
      <c r="AE4847" s="12"/>
      <c r="AF4847" s="6"/>
      <c r="AG4847" s="12"/>
      <c r="AH4847" s="6"/>
      <c r="AI4847" s="6"/>
      <c r="AJ4847" s="12"/>
      <c r="AK4847" s="1"/>
      <c r="AL4847" s="12"/>
      <c r="AM4847" s="12"/>
      <c r="AN4847" s="1"/>
      <c r="AO4847" s="6"/>
    </row>
    <row r="4848" spans="1:41" ht="15" x14ac:dyDescent="0.25">
      <c r="A4848" s="1"/>
      <c r="B4848" s="1"/>
      <c r="C4848" s="1"/>
      <c r="D4848" s="1"/>
      <c r="E4848" s="6"/>
      <c r="F4848" s="1"/>
      <c r="G4848" s="6"/>
      <c r="H4848" s="6"/>
      <c r="I4848" s="6"/>
      <c r="J4848" s="6"/>
      <c r="K4848" s="6"/>
      <c r="L4848" s="6"/>
      <c r="M4848" s="6"/>
      <c r="N4848" s="6"/>
      <c r="O4848" s="7"/>
      <c r="P4848" s="6"/>
      <c r="Q4848" s="6"/>
      <c r="R4848" s="7"/>
      <c r="S4848" s="6"/>
      <c r="T4848" s="6"/>
      <c r="U4848" s="7"/>
      <c r="V4848" s="6"/>
      <c r="W4848" s="6"/>
      <c r="X4848" s="6"/>
      <c r="Y4848" s="6"/>
      <c r="Z4848" s="6"/>
      <c r="AA4848" s="7"/>
      <c r="AB4848" s="6"/>
      <c r="AC4848" s="6"/>
      <c r="AD4848" s="6"/>
      <c r="AE4848" s="12"/>
      <c r="AF4848" s="12"/>
      <c r="AG4848" s="12"/>
      <c r="AH4848" s="12"/>
      <c r="AI4848" s="6"/>
      <c r="AJ4848" s="12"/>
      <c r="AK4848" s="1"/>
      <c r="AL4848" s="12"/>
      <c r="AM4848" s="12"/>
      <c r="AN4848" s="1"/>
      <c r="AO4848" s="6"/>
    </row>
    <row r="4849" spans="1:41" ht="15" x14ac:dyDescent="0.25">
      <c r="A4849" s="1"/>
      <c r="B4849" s="1"/>
      <c r="C4849" s="1"/>
      <c r="D4849" s="1"/>
      <c r="E4849" s="6"/>
      <c r="F4849" s="1"/>
      <c r="G4849" s="6"/>
      <c r="H4849" s="6"/>
      <c r="I4849" s="6"/>
      <c r="J4849" s="6"/>
      <c r="K4849" s="6"/>
      <c r="L4849" s="6"/>
      <c r="M4849" s="6"/>
      <c r="N4849" s="6"/>
      <c r="O4849" s="7"/>
      <c r="P4849" s="6"/>
      <c r="Q4849" s="6"/>
      <c r="R4849" s="7"/>
      <c r="S4849" s="6"/>
      <c r="T4849" s="6"/>
      <c r="U4849" s="7"/>
      <c r="V4849" s="6"/>
      <c r="W4849" s="6"/>
      <c r="X4849" s="6"/>
      <c r="Y4849" s="6"/>
      <c r="Z4849" s="6"/>
      <c r="AA4849" s="7"/>
      <c r="AB4849" s="6"/>
      <c r="AC4849" s="6"/>
      <c r="AD4849" s="6"/>
      <c r="AE4849" s="12"/>
      <c r="AF4849" s="6"/>
      <c r="AG4849" s="12"/>
      <c r="AH4849" s="6"/>
      <c r="AI4849" s="6"/>
      <c r="AJ4849" s="12"/>
      <c r="AK4849" s="24"/>
      <c r="AL4849" s="25"/>
      <c r="AM4849" s="12"/>
      <c r="AN4849" s="1"/>
      <c r="AO4849" s="6"/>
    </row>
    <row r="4850" spans="1:41" ht="15" x14ac:dyDescent="0.25">
      <c r="A4850" s="1"/>
      <c r="B4850" s="1"/>
      <c r="C4850" s="1"/>
      <c r="D4850" s="1"/>
      <c r="E4850" s="6"/>
      <c r="F4850" s="1"/>
      <c r="G4850" s="6"/>
      <c r="H4850" s="6"/>
      <c r="I4850" s="6"/>
      <c r="J4850" s="6"/>
      <c r="K4850" s="6"/>
      <c r="L4850" s="6"/>
      <c r="M4850" s="6"/>
      <c r="N4850" s="6"/>
      <c r="O4850" s="7"/>
      <c r="P4850" s="6"/>
      <c r="Q4850" s="6"/>
      <c r="R4850" s="7"/>
      <c r="S4850" s="6"/>
      <c r="T4850" s="6"/>
      <c r="U4850" s="7"/>
      <c r="V4850" s="6"/>
      <c r="W4850" s="6"/>
      <c r="X4850" s="6"/>
      <c r="Y4850" s="6"/>
      <c r="Z4850" s="6"/>
      <c r="AA4850" s="7"/>
      <c r="AB4850" s="6"/>
      <c r="AC4850" s="6"/>
      <c r="AD4850" s="6"/>
      <c r="AE4850" s="12"/>
      <c r="AF4850" s="6"/>
      <c r="AG4850" s="12"/>
      <c r="AH4850" s="6"/>
      <c r="AI4850" s="6"/>
      <c r="AJ4850" s="12"/>
      <c r="AK4850" s="24"/>
      <c r="AL4850" s="25"/>
      <c r="AM4850" s="12"/>
      <c r="AN4850" s="1"/>
      <c r="AO4850" s="6"/>
    </row>
    <row r="4851" spans="1:41" ht="15" x14ac:dyDescent="0.25">
      <c r="A4851" s="1"/>
      <c r="B4851" s="1"/>
      <c r="C4851" s="1"/>
      <c r="D4851" s="1"/>
      <c r="E4851" s="6"/>
      <c r="F4851" s="1"/>
      <c r="G4851" s="6"/>
      <c r="H4851" s="6"/>
      <c r="I4851" s="6"/>
      <c r="J4851" s="6"/>
      <c r="K4851" s="6"/>
      <c r="L4851" s="6"/>
      <c r="M4851" s="6"/>
      <c r="N4851" s="6"/>
      <c r="O4851" s="7"/>
      <c r="P4851" s="12"/>
      <c r="Q4851" s="6"/>
      <c r="R4851" s="7"/>
      <c r="S4851" s="6"/>
      <c r="T4851" s="6"/>
      <c r="U4851" s="7"/>
      <c r="V4851" s="6"/>
      <c r="W4851" s="6"/>
      <c r="X4851" s="12"/>
      <c r="Y4851" s="6"/>
      <c r="Z4851" s="6"/>
      <c r="AA4851" s="7"/>
      <c r="AB4851" s="6"/>
      <c r="AC4851" s="6"/>
      <c r="AD4851" s="6"/>
      <c r="AE4851" s="12"/>
      <c r="AF4851" s="12"/>
      <c r="AG4851" s="12"/>
      <c r="AH4851" s="12"/>
      <c r="AI4851" s="6"/>
      <c r="AJ4851" s="12"/>
      <c r="AK4851" s="1"/>
      <c r="AL4851" s="12"/>
      <c r="AM4851" s="12"/>
      <c r="AN4851" s="1"/>
      <c r="AO4851" s="6"/>
    </row>
    <row r="4852" spans="1:41" ht="15" x14ac:dyDescent="0.25">
      <c r="A4852" s="1"/>
      <c r="B4852" s="1"/>
      <c r="C4852" s="1"/>
      <c r="D4852" s="1"/>
      <c r="E4852" s="6"/>
      <c r="F4852" s="1"/>
      <c r="G4852" s="6"/>
      <c r="H4852" s="6"/>
      <c r="I4852" s="6"/>
      <c r="J4852" s="6"/>
      <c r="K4852" s="6"/>
      <c r="L4852" s="6"/>
      <c r="M4852" s="6"/>
      <c r="N4852" s="6"/>
      <c r="O4852" s="7"/>
      <c r="P4852" s="6"/>
      <c r="Q4852" s="6"/>
      <c r="R4852" s="12"/>
      <c r="S4852" s="12"/>
      <c r="T4852" s="12"/>
      <c r="U4852" s="7"/>
      <c r="V4852" s="6"/>
      <c r="W4852" s="6"/>
      <c r="X4852" s="12"/>
      <c r="Y4852" s="6"/>
      <c r="Z4852" s="6"/>
      <c r="AA4852" s="7"/>
      <c r="AB4852" s="6"/>
      <c r="AC4852" s="6"/>
      <c r="AD4852" s="6"/>
      <c r="AE4852" s="12"/>
      <c r="AF4852" s="6"/>
      <c r="AG4852" s="12"/>
      <c r="AH4852" s="6"/>
      <c r="AI4852" s="6"/>
      <c r="AJ4852" s="12"/>
      <c r="AK4852" s="1"/>
      <c r="AL4852" s="12"/>
      <c r="AM4852" s="12"/>
      <c r="AN4852" s="1"/>
      <c r="AO4852" s="6"/>
    </row>
    <row r="4853" spans="1:41" ht="15" x14ac:dyDescent="0.25">
      <c r="A4853" s="1"/>
      <c r="B4853" s="1"/>
      <c r="C4853" s="1"/>
      <c r="D4853" s="1"/>
      <c r="E4853" s="6"/>
      <c r="F4853" s="1"/>
      <c r="G4853" s="6"/>
      <c r="H4853" s="6"/>
      <c r="I4853" s="6"/>
      <c r="J4853" s="6"/>
      <c r="K4853" s="6"/>
      <c r="L4853" s="6"/>
      <c r="M4853" s="6"/>
      <c r="N4853" s="6"/>
      <c r="O4853" s="7"/>
      <c r="P4853" s="6"/>
      <c r="Q4853" s="6"/>
      <c r="R4853" s="12"/>
      <c r="S4853" s="12"/>
      <c r="T4853" s="12"/>
      <c r="U4853" s="7"/>
      <c r="V4853" s="6"/>
      <c r="W4853" s="6"/>
      <c r="X4853" s="12"/>
      <c r="Y4853" s="6"/>
      <c r="Z4853" s="6"/>
      <c r="AA4853" s="7"/>
      <c r="AB4853" s="6"/>
      <c r="AC4853" s="6"/>
      <c r="AD4853" s="6"/>
      <c r="AE4853" s="12"/>
      <c r="AF4853" s="6"/>
      <c r="AG4853" s="12"/>
      <c r="AH4853" s="6"/>
      <c r="AI4853" s="6"/>
      <c r="AJ4853" s="12"/>
      <c r="AK4853" s="1"/>
      <c r="AL4853" s="12"/>
      <c r="AM4853" s="12"/>
      <c r="AN4853" s="1"/>
      <c r="AO4853" s="6"/>
    </row>
    <row r="4854" spans="1:41" ht="15" x14ac:dyDescent="0.25">
      <c r="A4854" s="1"/>
      <c r="B4854" s="1"/>
      <c r="C4854" s="1"/>
      <c r="D4854" s="1"/>
      <c r="E4854" s="6"/>
      <c r="F4854" s="1"/>
      <c r="G4854" s="6"/>
      <c r="H4854" s="6"/>
      <c r="I4854" s="6"/>
      <c r="J4854" s="6"/>
      <c r="K4854" s="6"/>
      <c r="L4854" s="6"/>
      <c r="M4854" s="6"/>
      <c r="N4854" s="6"/>
      <c r="O4854" s="7"/>
      <c r="P4854" s="6"/>
      <c r="Q4854" s="6"/>
      <c r="R4854" s="7"/>
      <c r="S4854" s="6"/>
      <c r="T4854" s="6"/>
      <c r="U4854" s="7"/>
      <c r="V4854" s="6"/>
      <c r="W4854" s="6"/>
      <c r="X4854" s="6"/>
      <c r="Y4854" s="6"/>
      <c r="Z4854" s="6"/>
      <c r="AA4854" s="7"/>
      <c r="AB4854" s="6"/>
      <c r="AC4854" s="6"/>
      <c r="AD4854" s="6"/>
      <c r="AE4854" s="12"/>
      <c r="AF4854" s="6"/>
      <c r="AG4854" s="12"/>
      <c r="AH4854" s="6"/>
      <c r="AI4854" s="6"/>
      <c r="AJ4854" s="12"/>
      <c r="AK4854" s="24"/>
      <c r="AL4854" s="25"/>
      <c r="AM4854" s="12"/>
      <c r="AN4854" s="1"/>
      <c r="AO4854" s="6"/>
    </row>
    <row r="4855" spans="1:41" ht="15" x14ac:dyDescent="0.25">
      <c r="A4855" s="1"/>
      <c r="B4855" s="1"/>
      <c r="C4855" s="1"/>
      <c r="D4855" s="1"/>
      <c r="E4855" s="6"/>
      <c r="F4855" s="1"/>
      <c r="G4855" s="6"/>
      <c r="H4855" s="6"/>
      <c r="I4855" s="6"/>
      <c r="J4855" s="6"/>
      <c r="K4855" s="6"/>
      <c r="L4855" s="6"/>
      <c r="M4855" s="6"/>
      <c r="N4855" s="6"/>
      <c r="O4855" s="7"/>
      <c r="P4855" s="6"/>
      <c r="Q4855" s="6"/>
      <c r="R4855" s="7"/>
      <c r="S4855" s="6"/>
      <c r="T4855" s="6"/>
      <c r="U4855" s="7"/>
      <c r="V4855" s="6"/>
      <c r="W4855" s="6"/>
      <c r="X4855" s="6"/>
      <c r="Y4855" s="6"/>
      <c r="Z4855" s="6"/>
      <c r="AA4855" s="7"/>
      <c r="AB4855" s="6"/>
      <c r="AC4855" s="6"/>
      <c r="AD4855" s="6"/>
      <c r="AE4855" s="12"/>
      <c r="AF4855" s="6"/>
      <c r="AG4855" s="12"/>
      <c r="AH4855" s="6"/>
      <c r="AI4855" s="6"/>
      <c r="AJ4855" s="12"/>
      <c r="AK4855" s="24"/>
      <c r="AL4855" s="25"/>
      <c r="AM4855" s="12"/>
      <c r="AN4855" s="1"/>
      <c r="AO4855" s="6"/>
    </row>
    <row r="4856" spans="1:41" ht="15" x14ac:dyDescent="0.25">
      <c r="A4856" s="1"/>
      <c r="B4856" s="1"/>
      <c r="C4856" s="1"/>
      <c r="D4856" s="1"/>
      <c r="E4856" s="6"/>
      <c r="F4856" s="1"/>
      <c r="G4856" s="6"/>
      <c r="H4856" s="6"/>
      <c r="I4856" s="6"/>
      <c r="J4856" s="6"/>
      <c r="K4856" s="6"/>
      <c r="L4856" s="6"/>
      <c r="M4856" s="6"/>
      <c r="N4856" s="6"/>
      <c r="O4856" s="7"/>
      <c r="P4856" s="6"/>
      <c r="Q4856" s="6"/>
      <c r="R4856" s="7"/>
      <c r="S4856" s="6"/>
      <c r="T4856" s="6"/>
      <c r="U4856" s="7"/>
      <c r="V4856" s="6"/>
      <c r="W4856" s="6"/>
      <c r="X4856" s="6"/>
      <c r="Y4856" s="6"/>
      <c r="Z4856" s="6"/>
      <c r="AA4856" s="7"/>
      <c r="AB4856" s="6"/>
      <c r="AC4856" s="6"/>
      <c r="AD4856" s="6"/>
      <c r="AE4856" s="12"/>
      <c r="AF4856" s="12"/>
      <c r="AG4856" s="12"/>
      <c r="AH4856" s="12"/>
      <c r="AI4856" s="6"/>
      <c r="AJ4856" s="12"/>
      <c r="AK4856" s="1"/>
      <c r="AL4856" s="12"/>
      <c r="AM4856" s="12"/>
      <c r="AN4856" s="1"/>
      <c r="AO4856" s="6"/>
    </row>
    <row r="4857" spans="1:41" ht="15" x14ac:dyDescent="0.25">
      <c r="A4857" s="1"/>
      <c r="B4857" s="1"/>
      <c r="C4857" s="1"/>
      <c r="D4857" s="1"/>
      <c r="E4857" s="6"/>
      <c r="F4857" s="1"/>
      <c r="G4857" s="6"/>
      <c r="H4857" s="6"/>
      <c r="I4857" s="6"/>
      <c r="J4857" s="6"/>
      <c r="K4857" s="6"/>
      <c r="L4857" s="6"/>
      <c r="M4857" s="6"/>
      <c r="N4857" s="6"/>
      <c r="O4857" s="7"/>
      <c r="P4857" s="6"/>
      <c r="Q4857" s="6"/>
      <c r="R4857" s="7"/>
      <c r="S4857" s="6"/>
      <c r="T4857" s="6"/>
      <c r="U4857" s="7"/>
      <c r="V4857" s="6"/>
      <c r="W4857" s="6"/>
      <c r="X4857" s="6"/>
      <c r="Y4857" s="6"/>
      <c r="Z4857" s="6"/>
      <c r="AA4857" s="7"/>
      <c r="AB4857" s="6"/>
      <c r="AC4857" s="6"/>
      <c r="AD4857" s="6"/>
      <c r="AE4857" s="12"/>
      <c r="AF4857" s="6"/>
      <c r="AG4857" s="12"/>
      <c r="AH4857" s="6"/>
      <c r="AI4857" s="6"/>
      <c r="AJ4857" s="12"/>
      <c r="AK4857" s="1"/>
      <c r="AL4857" s="12"/>
      <c r="AM4857" s="12"/>
      <c r="AN4857" s="1"/>
      <c r="AO4857" s="6"/>
    </row>
    <row r="4858" spans="1:41" ht="15" x14ac:dyDescent="0.25">
      <c r="A4858" s="1"/>
      <c r="B4858" s="1"/>
      <c r="C4858" s="1"/>
      <c r="D4858" s="1"/>
      <c r="E4858" s="6"/>
      <c r="F4858" s="1"/>
      <c r="G4858" s="6"/>
      <c r="H4858" s="6"/>
      <c r="I4858" s="6"/>
      <c r="J4858" s="6"/>
      <c r="K4858" s="6"/>
      <c r="L4858" s="6"/>
      <c r="M4858" s="6"/>
      <c r="N4858" s="6"/>
      <c r="O4858" s="7"/>
      <c r="P4858" s="6"/>
      <c r="Q4858" s="6"/>
      <c r="R4858" s="7"/>
      <c r="S4858" s="6"/>
      <c r="T4858" s="6"/>
      <c r="U4858" s="7"/>
      <c r="V4858" s="6"/>
      <c r="W4858" s="6"/>
      <c r="X4858" s="6"/>
      <c r="Y4858" s="6"/>
      <c r="Z4858" s="6"/>
      <c r="AA4858" s="7"/>
      <c r="AB4858" s="6"/>
      <c r="AC4858" s="6"/>
      <c r="AD4858" s="6"/>
      <c r="AE4858" s="12"/>
      <c r="AF4858" s="6"/>
      <c r="AG4858" s="12"/>
      <c r="AH4858" s="6"/>
      <c r="AI4858" s="6"/>
      <c r="AJ4858" s="12"/>
      <c r="AK4858" s="1"/>
      <c r="AL4858" s="12"/>
      <c r="AM4858" s="12"/>
      <c r="AN4858" s="1"/>
      <c r="AO4858" s="6"/>
    </row>
    <row r="4859" spans="1:41" ht="15" x14ac:dyDescent="0.25">
      <c r="A4859" s="1"/>
      <c r="B4859" s="1"/>
      <c r="C4859" s="1"/>
      <c r="D4859" s="1"/>
      <c r="E4859" s="6"/>
      <c r="F4859" s="1"/>
      <c r="G4859" s="6"/>
      <c r="H4859" s="6"/>
      <c r="I4859" s="6"/>
      <c r="J4859" s="6"/>
      <c r="K4859" s="6"/>
      <c r="L4859" s="6"/>
      <c r="M4859" s="6"/>
      <c r="N4859" s="6"/>
      <c r="O4859" s="7"/>
      <c r="P4859" s="12"/>
      <c r="Q4859" s="6"/>
      <c r="R4859" s="7"/>
      <c r="S4859" s="6"/>
      <c r="T4859" s="6"/>
      <c r="U4859" s="7"/>
      <c r="V4859" s="6"/>
      <c r="W4859" s="6"/>
      <c r="X4859" s="6"/>
      <c r="Y4859" s="6"/>
      <c r="Z4859" s="6"/>
      <c r="AA4859" s="7"/>
      <c r="AB4859" s="6"/>
      <c r="AC4859" s="6"/>
      <c r="AD4859" s="6"/>
      <c r="AE4859" s="12"/>
      <c r="AF4859" s="6"/>
      <c r="AG4859" s="12"/>
      <c r="AH4859" s="6"/>
      <c r="AI4859" s="6"/>
      <c r="AJ4859" s="12"/>
      <c r="AK4859" s="24"/>
      <c r="AL4859" s="25"/>
      <c r="AM4859" s="12"/>
      <c r="AN4859" s="1"/>
      <c r="AO4859" s="6"/>
    </row>
    <row r="4860" spans="1:41" ht="15" x14ac:dyDescent="0.25">
      <c r="A4860" s="1"/>
      <c r="B4860" s="1"/>
      <c r="C4860" s="1"/>
      <c r="D4860" s="1"/>
      <c r="E4860" s="6"/>
      <c r="F4860" s="1"/>
      <c r="G4860" s="6"/>
      <c r="H4860" s="6"/>
      <c r="I4860" s="6"/>
      <c r="J4860" s="6"/>
      <c r="K4860" s="6"/>
      <c r="L4860" s="6"/>
      <c r="M4860" s="6"/>
      <c r="N4860" s="6"/>
      <c r="O4860" s="7"/>
      <c r="P4860" s="12"/>
      <c r="Q4860" s="6"/>
      <c r="R4860" s="7"/>
      <c r="S4860" s="6"/>
      <c r="T4860" s="6"/>
      <c r="U4860" s="7"/>
      <c r="V4860" s="6"/>
      <c r="W4860" s="6"/>
      <c r="X4860" s="6"/>
      <c r="Y4860" s="6"/>
      <c r="Z4860" s="6"/>
      <c r="AA4860" s="7"/>
      <c r="AB4860" s="6"/>
      <c r="AC4860" s="6"/>
      <c r="AD4860" s="6"/>
      <c r="AE4860" s="12"/>
      <c r="AF4860" s="6"/>
      <c r="AG4860" s="12"/>
      <c r="AH4860" s="6"/>
      <c r="AI4860" s="6"/>
      <c r="AJ4860" s="12"/>
      <c r="AK4860" s="24"/>
      <c r="AL4860" s="25"/>
      <c r="AM4860" s="12"/>
      <c r="AN4860" s="1"/>
      <c r="AO4860" s="6"/>
    </row>
    <row r="4861" spans="1:41" ht="15" x14ac:dyDescent="0.25">
      <c r="A4861" s="1"/>
      <c r="B4861" s="1"/>
      <c r="C4861" s="1"/>
      <c r="D4861" s="1"/>
      <c r="E4861" s="6"/>
      <c r="F4861" s="1"/>
      <c r="G4861" s="6"/>
      <c r="H4861" s="6"/>
      <c r="I4861" s="6"/>
      <c r="J4861" s="6"/>
      <c r="K4861" s="6"/>
      <c r="L4861" s="6"/>
      <c r="M4861" s="6"/>
      <c r="N4861" s="6"/>
      <c r="O4861" s="7"/>
      <c r="P4861" s="6"/>
      <c r="Q4861" s="6"/>
      <c r="R4861" s="7"/>
      <c r="S4861" s="6"/>
      <c r="T4861" s="6"/>
      <c r="U4861" s="7"/>
      <c r="V4861" s="6"/>
      <c r="W4861" s="6"/>
      <c r="X4861" s="6"/>
      <c r="Y4861" s="6"/>
      <c r="Z4861" s="6"/>
      <c r="AA4861" s="7"/>
      <c r="AB4861" s="6"/>
      <c r="AC4861" s="6"/>
      <c r="AD4861" s="6"/>
      <c r="AE4861" s="12"/>
      <c r="AF4861" s="12"/>
      <c r="AG4861" s="12"/>
      <c r="AH4861" s="12"/>
      <c r="AI4861" s="6"/>
      <c r="AJ4861" s="12"/>
      <c r="AK4861" s="1"/>
      <c r="AL4861" s="12"/>
      <c r="AM4861" s="12"/>
      <c r="AN4861" s="1"/>
      <c r="AO4861" s="6"/>
    </row>
    <row r="4862" spans="1:41" ht="15" x14ac:dyDescent="0.25">
      <c r="A4862" s="1"/>
      <c r="B4862" s="1"/>
      <c r="C4862" s="1"/>
      <c r="D4862" s="1"/>
      <c r="E4862" s="6"/>
      <c r="F4862" s="1"/>
      <c r="G4862" s="6"/>
      <c r="H4862" s="6"/>
      <c r="I4862" s="6"/>
      <c r="J4862" s="6"/>
      <c r="K4862" s="6"/>
      <c r="L4862" s="6"/>
      <c r="M4862" s="6"/>
      <c r="N4862" s="6"/>
      <c r="O4862" s="7"/>
      <c r="P4862" s="12"/>
      <c r="Q4862" s="6"/>
      <c r="R4862" s="7"/>
      <c r="S4862" s="6"/>
      <c r="T4862" s="6"/>
      <c r="U4862" s="7"/>
      <c r="V4862" s="6"/>
      <c r="W4862" s="6"/>
      <c r="X4862" s="12"/>
      <c r="Y4862" s="6"/>
      <c r="Z4862" s="6"/>
      <c r="AA4862" s="7"/>
      <c r="AB4862" s="6"/>
      <c r="AC4862" s="6"/>
      <c r="AD4862" s="6"/>
      <c r="AE4862" s="12"/>
      <c r="AF4862" s="6"/>
      <c r="AG4862" s="12"/>
      <c r="AH4862" s="6"/>
      <c r="AI4862" s="6"/>
      <c r="AJ4862" s="12"/>
      <c r="AK4862" s="1"/>
      <c r="AL4862" s="12"/>
      <c r="AM4862" s="12"/>
      <c r="AN4862" s="1"/>
      <c r="AO4862" s="6"/>
    </row>
    <row r="4863" spans="1:41" ht="15" x14ac:dyDescent="0.25">
      <c r="A4863" s="1"/>
      <c r="B4863" s="1"/>
      <c r="C4863" s="1"/>
      <c r="D4863" s="1"/>
      <c r="E4863" s="6"/>
      <c r="F4863" s="1"/>
      <c r="G4863" s="6"/>
      <c r="H4863" s="6"/>
      <c r="I4863" s="6"/>
      <c r="J4863" s="6"/>
      <c r="K4863" s="6"/>
      <c r="L4863" s="6"/>
      <c r="M4863" s="6"/>
      <c r="N4863" s="6"/>
      <c r="O4863" s="7"/>
      <c r="P4863" s="6"/>
      <c r="Q4863" s="7"/>
      <c r="R4863" s="6"/>
      <c r="S4863" s="6"/>
      <c r="T4863" s="6"/>
      <c r="U4863" s="6"/>
      <c r="V4863" s="7"/>
      <c r="W4863" s="7"/>
      <c r="X4863" s="6"/>
      <c r="Y4863" s="6"/>
      <c r="Z4863" s="6"/>
      <c r="AA4863" s="1"/>
      <c r="AB4863" s="12"/>
      <c r="AC4863" s="12"/>
      <c r="AD4863" s="12"/>
      <c r="AE4863" s="12"/>
      <c r="AF4863" s="12"/>
      <c r="AG4863" s="12"/>
      <c r="AH4863" s="12"/>
      <c r="AI4863" s="6"/>
      <c r="AJ4863" s="12"/>
      <c r="AK4863" s="12"/>
      <c r="AL4863" s="12"/>
      <c r="AM4863" s="12"/>
      <c r="AN4863" s="1"/>
      <c r="AO4863" s="6"/>
    </row>
    <row r="4864" spans="1:41" ht="15" x14ac:dyDescent="0.25">
      <c r="A4864" s="1"/>
      <c r="B4864" s="1"/>
      <c r="C4864" s="1"/>
      <c r="D4864" s="1"/>
      <c r="E4864" s="6"/>
      <c r="F4864" s="1"/>
      <c r="G4864" s="6"/>
      <c r="H4864" s="6"/>
      <c r="I4864" s="6"/>
      <c r="J4864" s="6"/>
      <c r="K4864" s="6"/>
      <c r="L4864" s="6"/>
      <c r="M4864" s="6"/>
      <c r="N4864" s="6"/>
      <c r="O4864" s="7"/>
      <c r="P4864" s="6"/>
      <c r="Q4864" s="7"/>
      <c r="R4864" s="6"/>
      <c r="S4864" s="12"/>
      <c r="T4864" s="6"/>
      <c r="U4864" s="6"/>
      <c r="V4864" s="7"/>
      <c r="W4864" s="7"/>
      <c r="X4864" s="6"/>
      <c r="Y4864" s="6"/>
      <c r="Z4864" s="6"/>
      <c r="AA4864" s="24"/>
      <c r="AB4864" s="25"/>
      <c r="AC4864" s="12"/>
      <c r="AD4864" s="12"/>
      <c r="AE4864" s="12"/>
      <c r="AF4864" s="6"/>
      <c r="AG4864" s="12"/>
      <c r="AH4864" s="6"/>
      <c r="AI4864" s="6"/>
      <c r="AJ4864" s="12"/>
      <c r="AK4864" s="12"/>
      <c r="AL4864" s="12"/>
      <c r="AM4864" s="12"/>
      <c r="AN4864" s="1"/>
      <c r="AO4864" s="6"/>
    </row>
    <row r="4865" spans="1:41" ht="15" x14ac:dyDescent="0.25">
      <c r="A4865" s="1"/>
      <c r="B4865" s="1"/>
      <c r="C4865" s="1"/>
      <c r="D4865" s="1"/>
      <c r="E4865" s="6"/>
      <c r="F4865" s="1"/>
      <c r="G4865" s="6"/>
      <c r="H4865" s="6"/>
      <c r="I4865" s="6"/>
      <c r="J4865" s="6"/>
      <c r="K4865" s="6"/>
      <c r="L4865" s="6"/>
      <c r="M4865" s="6"/>
      <c r="N4865" s="6"/>
      <c r="O4865" s="7"/>
      <c r="P4865" s="6"/>
      <c r="Q4865" s="7"/>
      <c r="R4865" s="6"/>
      <c r="S4865" s="12"/>
      <c r="T4865" s="6"/>
      <c r="U4865" s="6"/>
      <c r="V4865" s="7"/>
      <c r="W4865" s="7"/>
      <c r="X4865" s="6"/>
      <c r="Y4865" s="6"/>
      <c r="Z4865" s="6"/>
      <c r="AA4865" s="24"/>
      <c r="AB4865" s="25"/>
      <c r="AC4865" s="12"/>
      <c r="AD4865" s="12"/>
      <c r="AE4865" s="12"/>
      <c r="AF4865" s="6"/>
      <c r="AG4865" s="12"/>
      <c r="AH4865" s="6"/>
      <c r="AI4865" s="6"/>
      <c r="AJ4865" s="12"/>
      <c r="AK4865" s="12"/>
      <c r="AL4865" s="12"/>
      <c r="AM4865" s="12"/>
      <c r="AN4865" s="1"/>
      <c r="AO4865" s="6"/>
    </row>
    <row r="4866" spans="1:41" ht="15" x14ac:dyDescent="0.25">
      <c r="A4866" s="1"/>
      <c r="B4866" s="1"/>
      <c r="C4866" s="1"/>
      <c r="D4866" s="1"/>
      <c r="E4866" s="6"/>
      <c r="F4866" s="1"/>
      <c r="G4866" s="6"/>
      <c r="H4866" s="6"/>
      <c r="I4866" s="6"/>
      <c r="J4866" s="6"/>
      <c r="K4866" s="6"/>
      <c r="L4866" s="6"/>
      <c r="M4866" s="6"/>
      <c r="N4866" s="6"/>
      <c r="O4866" s="7"/>
      <c r="P4866" s="12"/>
      <c r="Q4866" s="6"/>
      <c r="R4866" s="7"/>
      <c r="S4866" s="6"/>
      <c r="T4866" s="6"/>
      <c r="U4866" s="7"/>
      <c r="V4866" s="6"/>
      <c r="W4866" s="6"/>
      <c r="X4866" s="6"/>
      <c r="Y4866" s="6"/>
      <c r="Z4866" s="6"/>
      <c r="AA4866" s="7"/>
      <c r="AB4866" s="6"/>
      <c r="AC4866" s="6"/>
      <c r="AD4866" s="6"/>
      <c r="AE4866" s="12"/>
      <c r="AF4866" s="12"/>
      <c r="AG4866" s="12"/>
      <c r="AH4866" s="12"/>
      <c r="AI4866" s="6"/>
      <c r="AJ4866" s="12"/>
      <c r="AK4866" s="1"/>
      <c r="AL4866" s="12"/>
      <c r="AM4866" s="12"/>
      <c r="AN4866" s="1"/>
      <c r="AO4866" s="6"/>
    </row>
    <row r="4867" spans="1:41" ht="15" x14ac:dyDescent="0.25">
      <c r="A4867" s="1"/>
      <c r="B4867" s="1"/>
      <c r="C4867" s="1"/>
      <c r="D4867" s="1"/>
      <c r="E4867" s="6"/>
      <c r="F4867" s="1"/>
      <c r="G4867" s="6"/>
      <c r="H4867" s="6"/>
      <c r="I4867" s="6"/>
      <c r="J4867" s="6"/>
      <c r="K4867" s="6"/>
      <c r="L4867" s="6"/>
      <c r="M4867" s="6"/>
      <c r="N4867" s="6"/>
      <c r="O4867" s="7"/>
      <c r="P4867" s="6"/>
      <c r="Q4867" s="6"/>
      <c r="R4867" s="7"/>
      <c r="S4867" s="6"/>
      <c r="T4867" s="6"/>
      <c r="U4867" s="7"/>
      <c r="V4867" s="6"/>
      <c r="W4867" s="6"/>
      <c r="X4867" s="12"/>
      <c r="Y4867" s="6"/>
      <c r="Z4867" s="6"/>
      <c r="AA4867" s="7"/>
      <c r="AB4867" s="6"/>
      <c r="AC4867" s="6"/>
      <c r="AD4867" s="6"/>
      <c r="AE4867" s="12"/>
      <c r="AF4867" s="6"/>
      <c r="AG4867" s="12"/>
      <c r="AH4867" s="6"/>
      <c r="AI4867" s="6"/>
      <c r="AJ4867" s="12"/>
      <c r="AK4867" s="24"/>
      <c r="AL4867" s="25"/>
      <c r="AM4867" s="12"/>
      <c r="AN4867" s="1"/>
      <c r="AO4867" s="6"/>
    </row>
    <row r="4868" spans="1:41" ht="15" x14ac:dyDescent="0.25">
      <c r="A4868" s="1"/>
      <c r="B4868" s="1"/>
      <c r="C4868" s="1"/>
      <c r="D4868" s="1"/>
      <c r="E4868" s="6"/>
      <c r="F4868" s="1"/>
      <c r="G4868" s="6"/>
      <c r="H4868" s="6"/>
      <c r="I4868" s="6"/>
      <c r="J4868" s="6"/>
      <c r="K4868" s="6"/>
      <c r="L4868" s="6"/>
      <c r="M4868" s="6"/>
      <c r="N4868" s="6"/>
      <c r="O4868" s="7"/>
      <c r="P4868" s="6"/>
      <c r="Q4868" s="6"/>
      <c r="R4868" s="7"/>
      <c r="S4868" s="6"/>
      <c r="T4868" s="6"/>
      <c r="U4868" s="7"/>
      <c r="V4868" s="6"/>
      <c r="W4868" s="6"/>
      <c r="X4868" s="12"/>
      <c r="Y4868" s="6"/>
      <c r="Z4868" s="6"/>
      <c r="AA4868" s="7"/>
      <c r="AB4868" s="6"/>
      <c r="AC4868" s="6"/>
      <c r="AD4868" s="6"/>
      <c r="AE4868" s="12"/>
      <c r="AF4868" s="6"/>
      <c r="AG4868" s="12"/>
      <c r="AH4868" s="6"/>
      <c r="AI4868" s="6"/>
      <c r="AJ4868" s="12"/>
      <c r="AK4868" s="24"/>
      <c r="AL4868" s="25"/>
      <c r="AM4868" s="12"/>
      <c r="AN4868" s="1"/>
      <c r="AO4868" s="6"/>
    </row>
    <row r="4869" spans="1:41" ht="15" x14ac:dyDescent="0.25">
      <c r="A4869" s="1"/>
      <c r="B4869" s="1"/>
      <c r="C4869" s="1"/>
      <c r="D4869" s="1"/>
      <c r="E4869" s="6"/>
      <c r="F4869" s="1"/>
      <c r="G4869" s="6"/>
      <c r="H4869" s="6"/>
      <c r="I4869" s="6"/>
      <c r="J4869" s="6"/>
      <c r="K4869" s="6"/>
      <c r="L4869" s="6"/>
      <c r="M4869" s="6"/>
      <c r="N4869" s="6"/>
      <c r="O4869" s="7"/>
      <c r="P4869" s="6"/>
      <c r="Q4869" s="6"/>
      <c r="R4869" s="7"/>
      <c r="S4869" s="6"/>
      <c r="T4869" s="6"/>
      <c r="U4869" s="7"/>
      <c r="V4869" s="6"/>
      <c r="W4869" s="6"/>
      <c r="X4869" s="12"/>
      <c r="Y4869" s="6"/>
      <c r="Z4869" s="6"/>
      <c r="AA4869" s="7"/>
      <c r="AB4869" s="6"/>
      <c r="AC4869" s="6"/>
      <c r="AD4869" s="6"/>
      <c r="AE4869" s="12"/>
      <c r="AF4869" s="6"/>
      <c r="AG4869" s="12"/>
      <c r="AH4869" s="6"/>
      <c r="AI4869" s="6"/>
      <c r="AJ4869" s="12"/>
      <c r="AK4869" s="24"/>
      <c r="AL4869" s="25"/>
      <c r="AM4869" s="12"/>
      <c r="AN4869" s="1"/>
      <c r="AO4869" s="6"/>
    </row>
    <row r="4870" spans="1:41" ht="15" x14ac:dyDescent="0.25">
      <c r="A4870" s="1"/>
      <c r="B4870" s="1"/>
      <c r="C4870" s="1"/>
      <c r="D4870" s="1"/>
      <c r="E4870" s="6"/>
      <c r="F4870" s="1"/>
      <c r="G4870" s="6"/>
      <c r="H4870" s="6"/>
      <c r="I4870" s="6"/>
      <c r="J4870" s="6"/>
      <c r="K4870" s="6"/>
      <c r="L4870" s="6"/>
      <c r="M4870" s="6"/>
      <c r="N4870" s="6"/>
      <c r="O4870" s="7"/>
      <c r="P4870" s="6"/>
      <c r="Q4870" s="6"/>
      <c r="R4870" s="7"/>
      <c r="S4870" s="6"/>
      <c r="T4870" s="6"/>
      <c r="U4870" s="7"/>
      <c r="V4870" s="6"/>
      <c r="W4870" s="6"/>
      <c r="X4870" s="12"/>
      <c r="Y4870" s="6"/>
      <c r="Z4870" s="6"/>
      <c r="AA4870" s="7"/>
      <c r="AB4870" s="6"/>
      <c r="AC4870" s="6"/>
      <c r="AD4870" s="6"/>
      <c r="AE4870" s="12"/>
      <c r="AF4870" s="6"/>
      <c r="AG4870" s="12"/>
      <c r="AH4870" s="6"/>
      <c r="AI4870" s="6"/>
      <c r="AJ4870" s="12"/>
      <c r="AK4870" s="24"/>
      <c r="AL4870" s="25"/>
      <c r="AM4870" s="12"/>
      <c r="AN4870" s="1"/>
      <c r="AO4870" s="6"/>
    </row>
    <row r="4871" spans="1:41" ht="15" x14ac:dyDescent="0.25">
      <c r="A4871" s="1"/>
      <c r="B4871" s="1"/>
      <c r="C4871" s="1"/>
      <c r="D4871" s="1"/>
      <c r="E4871" s="6"/>
      <c r="F4871" s="1"/>
      <c r="G4871" s="6"/>
      <c r="H4871" s="6"/>
      <c r="I4871" s="6"/>
      <c r="J4871" s="6"/>
      <c r="K4871" s="12"/>
      <c r="L4871" s="12"/>
      <c r="M4871" s="6"/>
      <c r="N4871" s="6"/>
      <c r="O4871" s="7"/>
      <c r="P4871" s="6"/>
      <c r="Q4871" s="6"/>
      <c r="R4871" s="12"/>
      <c r="S4871" s="12"/>
      <c r="T4871" s="12"/>
      <c r="U4871" s="7"/>
      <c r="V4871" s="6"/>
      <c r="W4871" s="6"/>
      <c r="X4871" s="12"/>
      <c r="Y4871" s="6"/>
      <c r="Z4871" s="6"/>
      <c r="AA4871" s="7"/>
      <c r="AB4871" s="6"/>
      <c r="AC4871" s="6"/>
      <c r="AD4871" s="6"/>
      <c r="AE4871" s="12"/>
      <c r="AF4871" s="12"/>
      <c r="AG4871" s="12"/>
      <c r="AH4871" s="12"/>
      <c r="AI4871" s="6"/>
      <c r="AJ4871" s="12"/>
      <c r="AK4871" s="1"/>
      <c r="AL4871" s="12"/>
      <c r="AM4871" s="12"/>
      <c r="AN4871" s="1"/>
      <c r="AO4871" s="6"/>
    </row>
    <row r="4872" spans="1:41" ht="15" x14ac:dyDescent="0.25">
      <c r="A4872" s="1"/>
      <c r="B4872" s="1"/>
      <c r="C4872" s="1"/>
      <c r="D4872" s="1"/>
      <c r="E4872" s="6"/>
      <c r="F4872" s="1"/>
      <c r="G4872" s="6"/>
      <c r="H4872" s="6"/>
      <c r="I4872" s="6"/>
      <c r="J4872" s="6"/>
      <c r="K4872" s="12"/>
      <c r="L4872" s="12"/>
      <c r="M4872" s="6"/>
      <c r="N4872" s="6"/>
      <c r="O4872" s="7"/>
      <c r="P4872" s="6"/>
      <c r="Q4872" s="6"/>
      <c r="R4872" s="12"/>
      <c r="S4872" s="12"/>
      <c r="T4872" s="12"/>
      <c r="U4872" s="7"/>
      <c r="V4872" s="6"/>
      <c r="W4872" s="6"/>
      <c r="X4872" s="12"/>
      <c r="Y4872" s="6"/>
      <c r="Z4872" s="6"/>
      <c r="AA4872" s="7"/>
      <c r="AB4872" s="6"/>
      <c r="AC4872" s="6"/>
      <c r="AD4872" s="6"/>
      <c r="AE4872" s="12"/>
      <c r="AF4872" s="12"/>
      <c r="AG4872" s="12"/>
      <c r="AH4872" s="12"/>
      <c r="AI4872" s="6"/>
      <c r="AJ4872" s="12"/>
      <c r="AK4872" s="1"/>
      <c r="AL4872" s="12"/>
      <c r="AM4872" s="12"/>
      <c r="AN4872" s="1"/>
      <c r="AO4872" s="6"/>
    </row>
    <row r="4873" spans="1:41" ht="15" x14ac:dyDescent="0.25">
      <c r="A4873" s="1"/>
      <c r="B4873" s="1"/>
      <c r="C4873" s="1"/>
      <c r="D4873" s="1"/>
      <c r="E4873" s="6"/>
      <c r="F4873" s="1"/>
      <c r="G4873" s="6"/>
      <c r="H4873" s="6"/>
      <c r="I4873" s="6"/>
      <c r="J4873" s="6"/>
      <c r="K4873" s="6"/>
      <c r="L4873" s="6"/>
      <c r="M4873" s="6"/>
      <c r="N4873" s="6"/>
      <c r="O4873" s="7"/>
      <c r="P4873" s="6"/>
      <c r="Q4873" s="6"/>
      <c r="R4873" s="7"/>
      <c r="S4873" s="6"/>
      <c r="T4873" s="6"/>
      <c r="U4873" s="7"/>
      <c r="V4873" s="6"/>
      <c r="W4873" s="6"/>
      <c r="X4873" s="12"/>
      <c r="Y4873" s="6"/>
      <c r="Z4873" s="6"/>
      <c r="AA4873" s="7"/>
      <c r="AB4873" s="6"/>
      <c r="AC4873" s="6"/>
      <c r="AD4873" s="6"/>
      <c r="AE4873" s="12"/>
      <c r="AF4873" s="12"/>
      <c r="AG4873" s="12"/>
      <c r="AH4873" s="12"/>
      <c r="AI4873" s="6"/>
      <c r="AJ4873" s="12"/>
      <c r="AK4873" s="1"/>
      <c r="AL4873" s="12"/>
      <c r="AM4873" s="12"/>
      <c r="AN4873" s="1"/>
      <c r="AO4873" s="6"/>
    </row>
    <row r="4874" spans="1:41" ht="15" x14ac:dyDescent="0.25">
      <c r="A4874" s="1"/>
      <c r="B4874" s="1"/>
      <c r="C4874" s="1"/>
      <c r="D4874" s="1"/>
      <c r="E4874" s="6"/>
      <c r="F4874" s="1"/>
      <c r="G4874" s="6"/>
      <c r="H4874" s="6"/>
      <c r="I4874" s="6"/>
      <c r="J4874" s="6"/>
      <c r="K4874" s="6"/>
      <c r="L4874" s="6"/>
      <c r="M4874" s="6"/>
      <c r="N4874" s="6"/>
      <c r="O4874" s="7"/>
      <c r="P4874" s="6"/>
      <c r="Q4874" s="6"/>
      <c r="R4874" s="7"/>
      <c r="S4874" s="6"/>
      <c r="T4874" s="6"/>
      <c r="U4874" s="7"/>
      <c r="V4874" s="6"/>
      <c r="W4874" s="6"/>
      <c r="X4874" s="12"/>
      <c r="Y4874" s="6"/>
      <c r="Z4874" s="6"/>
      <c r="AA4874" s="7"/>
      <c r="AB4874" s="6"/>
      <c r="AC4874" s="6"/>
      <c r="AD4874" s="6"/>
      <c r="AE4874" s="12"/>
      <c r="AF4874" s="12"/>
      <c r="AG4874" s="12"/>
      <c r="AH4874" s="12"/>
      <c r="AI4874" s="6"/>
      <c r="AJ4874" s="12"/>
      <c r="AK4874" s="1"/>
      <c r="AL4874" s="12"/>
      <c r="AM4874" s="12"/>
      <c r="AN4874" s="1"/>
      <c r="AO4874" s="6"/>
    </row>
    <row r="4875" spans="1:41" ht="15" x14ac:dyDescent="0.25">
      <c r="A4875" s="1"/>
      <c r="B4875" s="1"/>
      <c r="C4875" s="1"/>
      <c r="D4875" s="1"/>
      <c r="E4875" s="6"/>
      <c r="F4875" s="1"/>
      <c r="G4875" s="6"/>
      <c r="H4875" s="6"/>
      <c r="I4875" s="6"/>
      <c r="J4875" s="6"/>
      <c r="K4875" s="6"/>
      <c r="L4875" s="6"/>
      <c r="M4875" s="6"/>
      <c r="N4875" s="6"/>
      <c r="O4875" s="7"/>
      <c r="P4875" s="6"/>
      <c r="Q4875" s="6"/>
      <c r="R4875" s="7"/>
      <c r="S4875" s="6"/>
      <c r="T4875" s="6"/>
      <c r="U4875" s="7"/>
      <c r="V4875" s="6"/>
      <c r="W4875" s="6"/>
      <c r="X4875" s="12"/>
      <c r="Y4875" s="6"/>
      <c r="Z4875" s="6"/>
      <c r="AA4875" s="7"/>
      <c r="AB4875" s="6"/>
      <c r="AC4875" s="6"/>
      <c r="AD4875" s="6"/>
      <c r="AE4875" s="12"/>
      <c r="AF4875" s="12"/>
      <c r="AG4875" s="12"/>
      <c r="AH4875" s="12"/>
      <c r="AI4875" s="6"/>
      <c r="AJ4875" s="12"/>
      <c r="AK4875" s="1"/>
      <c r="AL4875" s="12"/>
      <c r="AM4875" s="12"/>
      <c r="AN4875" s="1"/>
      <c r="AO4875" s="6"/>
    </row>
    <row r="4876" spans="1:41" ht="15" x14ac:dyDescent="0.25">
      <c r="A4876" s="1"/>
      <c r="B4876" s="1"/>
      <c r="C4876" s="1"/>
      <c r="D4876" s="1"/>
      <c r="E4876" s="6"/>
      <c r="F4876" s="1"/>
      <c r="G4876" s="6"/>
      <c r="H4876" s="6"/>
      <c r="I4876" s="6"/>
      <c r="J4876" s="6"/>
      <c r="K4876" s="6"/>
      <c r="L4876" s="6"/>
      <c r="M4876" s="6"/>
      <c r="N4876" s="6"/>
      <c r="O4876" s="7"/>
      <c r="P4876" s="6"/>
      <c r="Q4876" s="6"/>
      <c r="R4876" s="7"/>
      <c r="S4876" s="6"/>
      <c r="T4876" s="6"/>
      <c r="U4876" s="7"/>
      <c r="V4876" s="6"/>
      <c r="W4876" s="6"/>
      <c r="X4876" s="6"/>
      <c r="Y4876" s="6"/>
      <c r="Z4876" s="6"/>
      <c r="AA4876" s="7"/>
      <c r="AB4876" s="6"/>
      <c r="AC4876" s="6"/>
      <c r="AD4876" s="6"/>
      <c r="AE4876" s="12"/>
      <c r="AF4876" s="12"/>
      <c r="AG4876" s="12"/>
      <c r="AH4876" s="12"/>
      <c r="AI4876" s="6"/>
      <c r="AJ4876" s="12"/>
      <c r="AK4876" s="1"/>
      <c r="AL4876" s="12"/>
      <c r="AM4876" s="12"/>
      <c r="AN4876" s="1"/>
      <c r="AO4876" s="6"/>
    </row>
    <row r="4877" spans="1:41" ht="15" x14ac:dyDescent="0.25">
      <c r="A4877" s="1"/>
      <c r="B4877" s="1"/>
      <c r="C4877" s="1"/>
      <c r="D4877" s="1"/>
      <c r="E4877" s="6"/>
      <c r="F4877" s="1"/>
      <c r="G4877" s="6"/>
      <c r="H4877" s="6"/>
      <c r="I4877" s="6"/>
      <c r="J4877" s="6"/>
      <c r="K4877" s="6"/>
      <c r="L4877" s="6"/>
      <c r="M4877" s="6"/>
      <c r="N4877" s="6"/>
      <c r="O4877" s="7"/>
      <c r="P4877" s="6"/>
      <c r="Q4877" s="6"/>
      <c r="R4877" s="7"/>
      <c r="S4877" s="6"/>
      <c r="T4877" s="6"/>
      <c r="U4877" s="7"/>
      <c r="V4877" s="6"/>
      <c r="W4877" s="6"/>
      <c r="X4877" s="6"/>
      <c r="Y4877" s="6"/>
      <c r="Z4877" s="6"/>
      <c r="AA4877" s="7"/>
      <c r="AB4877" s="6"/>
      <c r="AC4877" s="6"/>
      <c r="AD4877" s="6"/>
      <c r="AE4877" s="12"/>
      <c r="AF4877" s="12"/>
      <c r="AG4877" s="12"/>
      <c r="AH4877" s="12"/>
      <c r="AI4877" s="6"/>
      <c r="AJ4877" s="12"/>
      <c r="AK4877" s="1"/>
      <c r="AL4877" s="12"/>
      <c r="AM4877" s="12"/>
      <c r="AN4877" s="1"/>
      <c r="AO4877" s="6"/>
    </row>
    <row r="4878" spans="1:41" ht="15" x14ac:dyDescent="0.25">
      <c r="A4878" s="1"/>
      <c r="B4878" s="1"/>
      <c r="C4878" s="1"/>
      <c r="D4878" s="1"/>
      <c r="E4878" s="6"/>
      <c r="F4878" s="1"/>
      <c r="G4878" s="6"/>
      <c r="H4878" s="6"/>
      <c r="I4878" s="6"/>
      <c r="J4878" s="6"/>
      <c r="K4878" s="6"/>
      <c r="L4878" s="6"/>
      <c r="M4878" s="6"/>
      <c r="N4878" s="6"/>
      <c r="O4878" s="7"/>
      <c r="P4878" s="6"/>
      <c r="Q4878" s="6"/>
      <c r="R4878" s="7"/>
      <c r="S4878" s="6"/>
      <c r="T4878" s="6"/>
      <c r="U4878" s="7"/>
      <c r="V4878" s="6"/>
      <c r="W4878" s="6"/>
      <c r="X4878" s="6"/>
      <c r="Y4878" s="6"/>
      <c r="Z4878" s="6"/>
      <c r="AA4878" s="7"/>
      <c r="AB4878" s="6"/>
      <c r="AC4878" s="6"/>
      <c r="AD4878" s="6"/>
      <c r="AE4878" s="12"/>
      <c r="AF4878" s="6"/>
      <c r="AG4878" s="12"/>
      <c r="AH4878" s="6"/>
      <c r="AI4878" s="6"/>
      <c r="AJ4878" s="12"/>
      <c r="AK4878" s="24"/>
      <c r="AL4878" s="25"/>
      <c r="AM4878" s="12"/>
      <c r="AN4878" s="1"/>
      <c r="AO4878" s="6"/>
    </row>
    <row r="4879" spans="1:41" ht="15" x14ac:dyDescent="0.25">
      <c r="A4879" s="1"/>
      <c r="B4879" s="1"/>
      <c r="C4879" s="1"/>
      <c r="D4879" s="1"/>
      <c r="E4879" s="6"/>
      <c r="F4879" s="1"/>
      <c r="G4879" s="6"/>
      <c r="H4879" s="6"/>
      <c r="I4879" s="6"/>
      <c r="J4879" s="6"/>
      <c r="K4879" s="6"/>
      <c r="L4879" s="6"/>
      <c r="M4879" s="6"/>
      <c r="N4879" s="6"/>
      <c r="O4879" s="7"/>
      <c r="P4879" s="6"/>
      <c r="Q4879" s="6"/>
      <c r="R4879" s="7"/>
      <c r="S4879" s="6"/>
      <c r="T4879" s="6"/>
      <c r="U4879" s="7"/>
      <c r="V4879" s="6"/>
      <c r="W4879" s="6"/>
      <c r="X4879" s="6"/>
      <c r="Y4879" s="6"/>
      <c r="Z4879" s="6"/>
      <c r="AA4879" s="7"/>
      <c r="AB4879" s="6"/>
      <c r="AC4879" s="6"/>
      <c r="AD4879" s="6"/>
      <c r="AE4879" s="12"/>
      <c r="AF4879" s="6"/>
      <c r="AG4879" s="12"/>
      <c r="AH4879" s="6"/>
      <c r="AI4879" s="6"/>
      <c r="AJ4879" s="12"/>
      <c r="AK4879" s="24"/>
      <c r="AL4879" s="25"/>
      <c r="AM4879" s="12"/>
      <c r="AN4879" s="1"/>
      <c r="AO4879" s="6"/>
    </row>
    <row r="4880" spans="1:41" ht="15" x14ac:dyDescent="0.25">
      <c r="A4880" s="1"/>
      <c r="B4880" s="1"/>
      <c r="C4880" s="1"/>
      <c r="D4880" s="1"/>
      <c r="E4880" s="6"/>
      <c r="F4880" s="1"/>
      <c r="G4880" s="6"/>
      <c r="H4880" s="6"/>
      <c r="I4880" s="6"/>
      <c r="J4880" s="6"/>
      <c r="K4880" s="6"/>
      <c r="L4880" s="6"/>
      <c r="M4880" s="6"/>
      <c r="N4880" s="6"/>
      <c r="O4880" s="7"/>
      <c r="P4880" s="6"/>
      <c r="Q4880" s="6"/>
      <c r="R4880" s="7"/>
      <c r="S4880" s="6"/>
      <c r="T4880" s="6"/>
      <c r="U4880" s="7"/>
      <c r="V4880" s="6"/>
      <c r="W4880" s="6"/>
      <c r="X4880" s="6"/>
      <c r="Y4880" s="6"/>
      <c r="Z4880" s="6"/>
      <c r="AA4880" s="7"/>
      <c r="AB4880" s="6"/>
      <c r="AC4880" s="6"/>
      <c r="AD4880" s="6"/>
      <c r="AE4880" s="12"/>
      <c r="AF4880" s="6"/>
      <c r="AG4880" s="12"/>
      <c r="AH4880" s="6"/>
      <c r="AI4880" s="6"/>
      <c r="AJ4880" s="12"/>
      <c r="AK4880" s="1"/>
      <c r="AL4880" s="12"/>
      <c r="AM4880" s="12"/>
      <c r="AN4880" s="1"/>
      <c r="AO4880" s="6"/>
    </row>
    <row r="4881" spans="1:41" ht="15" x14ac:dyDescent="0.25">
      <c r="A4881" s="1"/>
      <c r="B4881" s="1"/>
      <c r="C4881" s="1"/>
      <c r="D4881" s="1"/>
      <c r="E4881" s="6"/>
      <c r="F4881" s="1"/>
      <c r="G4881" s="6"/>
      <c r="H4881" s="6"/>
      <c r="I4881" s="6"/>
      <c r="J4881" s="6"/>
      <c r="K4881" s="6"/>
      <c r="L4881" s="6"/>
      <c r="M4881" s="6"/>
      <c r="N4881" s="6"/>
      <c r="O4881" s="7"/>
      <c r="P4881" s="6"/>
      <c r="Q4881" s="6"/>
      <c r="R4881" s="7"/>
      <c r="S4881" s="6"/>
      <c r="T4881" s="6"/>
      <c r="U4881" s="7"/>
      <c r="V4881" s="6"/>
      <c r="W4881" s="6"/>
      <c r="X4881" s="6"/>
      <c r="Y4881" s="6"/>
      <c r="Z4881" s="6"/>
      <c r="AA4881" s="7"/>
      <c r="AB4881" s="6"/>
      <c r="AC4881" s="6"/>
      <c r="AD4881" s="6"/>
      <c r="AE4881" s="12"/>
      <c r="AF4881" s="6"/>
      <c r="AG4881" s="12"/>
      <c r="AH4881" s="6"/>
      <c r="AI4881" s="6"/>
      <c r="AJ4881" s="12"/>
      <c r="AK4881" s="1"/>
      <c r="AL4881" s="12"/>
      <c r="AM4881" s="12"/>
      <c r="AN4881" s="1"/>
      <c r="AO4881" s="6"/>
    </row>
    <row r="4882" spans="1:41" ht="15" x14ac:dyDescent="0.25">
      <c r="A4882" s="1"/>
      <c r="B4882" s="1"/>
      <c r="C4882" s="1"/>
      <c r="D4882" s="1"/>
      <c r="E4882" s="6"/>
      <c r="F4882" s="1"/>
      <c r="G4882" s="6"/>
      <c r="H4882" s="6"/>
      <c r="I4882" s="6"/>
      <c r="J4882" s="6"/>
      <c r="K4882" s="12"/>
      <c r="L4882" s="12"/>
      <c r="M4882" s="6"/>
      <c r="N4882" s="6"/>
      <c r="O4882" s="7"/>
      <c r="P4882" s="6"/>
      <c r="Q4882" s="6"/>
      <c r="R4882" s="7"/>
      <c r="S4882" s="6"/>
      <c r="T4882" s="6"/>
      <c r="U4882" s="7"/>
      <c r="V4882" s="6"/>
      <c r="W4882" s="6"/>
      <c r="X4882" s="6"/>
      <c r="Y4882" s="6"/>
      <c r="Z4882" s="6"/>
      <c r="AA4882" s="7"/>
      <c r="AB4882" s="6"/>
      <c r="AC4882" s="6"/>
      <c r="AD4882" s="6"/>
      <c r="AE4882" s="12"/>
      <c r="AF4882" s="12"/>
      <c r="AG4882" s="12"/>
      <c r="AH4882" s="12"/>
      <c r="AI4882" s="6"/>
      <c r="AJ4882" s="12"/>
      <c r="AK4882" s="1"/>
      <c r="AL4882" s="12"/>
      <c r="AM4882" s="12"/>
      <c r="AN4882" s="1"/>
      <c r="AO4882" s="6"/>
    </row>
    <row r="4883" spans="1:41" ht="15" x14ac:dyDescent="0.25">
      <c r="A4883" s="1"/>
      <c r="B4883" s="1"/>
      <c r="C4883" s="1"/>
      <c r="D4883" s="1"/>
      <c r="E4883" s="6"/>
      <c r="F4883" s="1"/>
      <c r="G4883" s="6"/>
      <c r="H4883" s="6"/>
      <c r="I4883" s="6"/>
      <c r="J4883" s="6"/>
      <c r="K4883" s="6"/>
      <c r="L4883" s="6"/>
      <c r="M4883" s="6"/>
      <c r="N4883" s="6"/>
      <c r="O4883" s="7"/>
      <c r="P4883" s="6"/>
      <c r="Q4883" s="6"/>
      <c r="R4883" s="7"/>
      <c r="S4883" s="6"/>
      <c r="T4883" s="6"/>
      <c r="U4883" s="7"/>
      <c r="V4883" s="6"/>
      <c r="W4883" s="6"/>
      <c r="X4883" s="12"/>
      <c r="Y4883" s="6"/>
      <c r="Z4883" s="6"/>
      <c r="AA4883" s="7"/>
      <c r="AB4883" s="6"/>
      <c r="AC4883" s="6"/>
      <c r="AD4883" s="6"/>
      <c r="AE4883" s="12"/>
      <c r="AF4883" s="12"/>
      <c r="AG4883" s="12"/>
      <c r="AH4883" s="12"/>
      <c r="AI4883" s="6"/>
      <c r="AJ4883" s="12"/>
      <c r="AK4883" s="1"/>
      <c r="AL4883" s="12"/>
      <c r="AM4883" s="12"/>
      <c r="AN4883" s="1"/>
      <c r="AO4883" s="6"/>
    </row>
    <row r="4884" spans="1:41" ht="15" x14ac:dyDescent="0.25">
      <c r="A4884" s="1"/>
      <c r="B4884" s="1"/>
      <c r="C4884" s="1"/>
      <c r="D4884" s="1"/>
      <c r="E4884" s="6"/>
      <c r="F4884" s="1"/>
      <c r="G4884" s="6"/>
      <c r="H4884" s="6"/>
      <c r="I4884" s="6"/>
      <c r="J4884" s="6"/>
      <c r="K4884" s="6"/>
      <c r="L4884" s="6"/>
      <c r="M4884" s="6"/>
      <c r="N4884" s="6"/>
      <c r="O4884" s="7"/>
      <c r="P4884" s="6"/>
      <c r="Q4884" s="6"/>
      <c r="R4884" s="7"/>
      <c r="S4884" s="6"/>
      <c r="T4884" s="6"/>
      <c r="U4884" s="7"/>
      <c r="V4884" s="6"/>
      <c r="W4884" s="6"/>
      <c r="X4884" s="12"/>
      <c r="Y4884" s="6"/>
      <c r="Z4884" s="6"/>
      <c r="AA4884" s="7"/>
      <c r="AB4884" s="6"/>
      <c r="AC4884" s="6"/>
      <c r="AD4884" s="6"/>
      <c r="AE4884" s="12"/>
      <c r="AF4884" s="12"/>
      <c r="AG4884" s="12"/>
      <c r="AH4884" s="12"/>
      <c r="AI4884" s="6"/>
      <c r="AJ4884" s="12"/>
      <c r="AK4884" s="1"/>
      <c r="AL4884" s="12"/>
      <c r="AM4884" s="12"/>
      <c r="AN4884" s="1"/>
      <c r="AO4884" s="6"/>
    </row>
    <row r="4885" spans="1:41" ht="15" x14ac:dyDescent="0.25">
      <c r="A4885" s="1"/>
      <c r="B4885" s="1"/>
      <c r="C4885" s="1"/>
      <c r="D4885" s="1"/>
      <c r="E4885" s="6"/>
      <c r="F4885" s="1"/>
      <c r="G4885" s="6"/>
      <c r="H4885" s="6"/>
      <c r="I4885" s="6"/>
      <c r="J4885" s="6"/>
      <c r="K4885" s="6"/>
      <c r="L4885" s="6"/>
      <c r="M4885" s="6"/>
      <c r="N4885" s="6"/>
      <c r="O4885" s="7"/>
      <c r="P4885" s="6"/>
      <c r="Q4885" s="6"/>
      <c r="R4885" s="7"/>
      <c r="S4885" s="6"/>
      <c r="T4885" s="6"/>
      <c r="U4885" s="7"/>
      <c r="V4885" s="6"/>
      <c r="W4885" s="6"/>
      <c r="X4885" s="12"/>
      <c r="Y4885" s="6"/>
      <c r="Z4885" s="6"/>
      <c r="AA4885" s="7"/>
      <c r="AB4885" s="6"/>
      <c r="AC4885" s="6"/>
      <c r="AD4885" s="6"/>
      <c r="AE4885" s="12"/>
      <c r="AF4885" s="6"/>
      <c r="AG4885" s="12"/>
      <c r="AH4885" s="6"/>
      <c r="AI4885" s="6"/>
      <c r="AJ4885" s="12"/>
      <c r="AK4885" s="24"/>
      <c r="AL4885" s="25"/>
      <c r="AM4885" s="12"/>
      <c r="AN4885" s="1"/>
      <c r="AO4885" s="6"/>
    </row>
    <row r="4886" spans="1:41" ht="15" x14ac:dyDescent="0.25">
      <c r="A4886" s="1"/>
      <c r="B4886" s="1"/>
      <c r="C4886" s="1"/>
      <c r="D4886" s="1"/>
      <c r="E4886" s="6"/>
      <c r="F4886" s="1"/>
      <c r="G4886" s="6"/>
      <c r="H4886" s="6"/>
      <c r="I4886" s="6"/>
      <c r="J4886" s="6"/>
      <c r="K4886" s="6"/>
      <c r="L4886" s="6"/>
      <c r="M4886" s="6"/>
      <c r="N4886" s="6"/>
      <c r="O4886" s="7"/>
      <c r="P4886" s="6"/>
      <c r="Q4886" s="6"/>
      <c r="R4886" s="7"/>
      <c r="S4886" s="6"/>
      <c r="T4886" s="6"/>
      <c r="U4886" s="7"/>
      <c r="V4886" s="6"/>
      <c r="W4886" s="6"/>
      <c r="X4886" s="12"/>
      <c r="Y4886" s="6"/>
      <c r="Z4886" s="6"/>
      <c r="AA4886" s="7"/>
      <c r="AB4886" s="6"/>
      <c r="AC4886" s="6"/>
      <c r="AD4886" s="6"/>
      <c r="AE4886" s="12"/>
      <c r="AF4886" s="6"/>
      <c r="AG4886" s="12"/>
      <c r="AH4886" s="6"/>
      <c r="AI4886" s="6"/>
      <c r="AJ4886" s="12"/>
      <c r="AK4886" s="24"/>
      <c r="AL4886" s="25"/>
      <c r="AM4886" s="12"/>
      <c r="AN4886" s="1"/>
      <c r="AO4886" s="6"/>
    </row>
    <row r="4887" spans="1:41" ht="15" x14ac:dyDescent="0.25">
      <c r="A4887" s="1"/>
      <c r="B4887" s="1"/>
      <c r="C4887" s="1"/>
      <c r="D4887" s="1"/>
      <c r="E4887" s="6"/>
      <c r="F4887" s="1"/>
      <c r="G4887" s="6"/>
      <c r="H4887" s="6"/>
      <c r="I4887" s="6"/>
      <c r="J4887" s="6"/>
      <c r="K4887" s="6"/>
      <c r="L4887" s="6"/>
      <c r="M4887" s="6"/>
      <c r="N4887" s="6"/>
      <c r="O4887" s="7"/>
      <c r="P4887" s="6"/>
      <c r="Q4887" s="6"/>
      <c r="R4887" s="12"/>
      <c r="S4887" s="12"/>
      <c r="T4887" s="12"/>
      <c r="U4887" s="7"/>
      <c r="V4887" s="6"/>
      <c r="W4887" s="6"/>
      <c r="X4887" s="12"/>
      <c r="Y4887" s="6"/>
      <c r="Z4887" s="6"/>
      <c r="AA4887" s="7"/>
      <c r="AB4887" s="6"/>
      <c r="AC4887" s="6"/>
      <c r="AD4887" s="6"/>
      <c r="AE4887" s="12"/>
      <c r="AF4887" s="12"/>
      <c r="AG4887" s="12"/>
      <c r="AH4887" s="12"/>
      <c r="AI4887" s="6"/>
      <c r="AJ4887" s="12"/>
      <c r="AK4887" s="1"/>
      <c r="AL4887" s="12"/>
      <c r="AM4887" s="12"/>
      <c r="AN4887" s="1"/>
      <c r="AO4887" s="6"/>
    </row>
    <row r="4888" spans="1:41" ht="15" x14ac:dyDescent="0.25">
      <c r="A4888" s="1"/>
      <c r="B4888" s="1"/>
      <c r="C4888" s="1"/>
      <c r="D4888" s="1"/>
      <c r="E4888" s="6"/>
      <c r="F4888" s="1"/>
      <c r="G4888" s="6"/>
      <c r="H4888" s="6"/>
      <c r="I4888" s="6"/>
      <c r="J4888" s="6"/>
      <c r="K4888" s="6"/>
      <c r="L4888" s="6"/>
      <c r="M4888" s="6"/>
      <c r="N4888" s="6"/>
      <c r="O4888" s="7"/>
      <c r="P4888" s="6"/>
      <c r="Q4888" s="6"/>
      <c r="R4888" s="12"/>
      <c r="S4888" s="12"/>
      <c r="T4888" s="12"/>
      <c r="U4888" s="7"/>
      <c r="V4888" s="6"/>
      <c r="W4888" s="6"/>
      <c r="X4888" s="12"/>
      <c r="Y4888" s="6"/>
      <c r="Z4888" s="6"/>
      <c r="AA4888" s="7"/>
      <c r="AB4888" s="6"/>
      <c r="AC4888" s="6"/>
      <c r="AD4888" s="6"/>
      <c r="AE4888" s="12"/>
      <c r="AF4888" s="12"/>
      <c r="AG4888" s="12"/>
      <c r="AH4888" s="12"/>
      <c r="AI4888" s="6"/>
      <c r="AJ4888" s="12"/>
      <c r="AK4888" s="1"/>
      <c r="AL4888" s="12"/>
      <c r="AM4888" s="12"/>
      <c r="AN4888" s="1"/>
      <c r="AO4888" s="6"/>
    </row>
    <row r="4889" spans="1:41" ht="15" x14ac:dyDescent="0.25">
      <c r="A4889" s="1"/>
      <c r="B4889" s="1"/>
      <c r="C4889" s="1"/>
      <c r="D4889" s="1"/>
      <c r="E4889" s="6"/>
      <c r="F4889" s="1"/>
      <c r="G4889" s="6"/>
      <c r="H4889" s="6"/>
      <c r="I4889" s="6"/>
      <c r="J4889" s="6"/>
      <c r="K4889" s="6"/>
      <c r="L4889" s="6"/>
      <c r="M4889" s="6"/>
      <c r="N4889" s="6"/>
      <c r="O4889" s="7"/>
      <c r="P4889" s="6"/>
      <c r="Q4889" s="6"/>
      <c r="R4889" s="7"/>
      <c r="S4889" s="6"/>
      <c r="T4889" s="6"/>
      <c r="U4889" s="7"/>
      <c r="V4889" s="6"/>
      <c r="W4889" s="6"/>
      <c r="X4889" s="12"/>
      <c r="Y4889" s="6"/>
      <c r="Z4889" s="6"/>
      <c r="AA4889" s="7"/>
      <c r="AB4889" s="6"/>
      <c r="AC4889" s="6"/>
      <c r="AD4889" s="6"/>
      <c r="AE4889" s="12"/>
      <c r="AF4889" s="12"/>
      <c r="AG4889" s="12"/>
      <c r="AH4889" s="12"/>
      <c r="AI4889" s="6"/>
      <c r="AJ4889" s="12"/>
      <c r="AK4889" s="24"/>
      <c r="AL4889" s="25"/>
      <c r="AM4889" s="12"/>
      <c r="AN4889" s="1"/>
      <c r="AO4889" s="6"/>
    </row>
    <row r="4890" spans="1:41" ht="15" x14ac:dyDescent="0.25">
      <c r="A4890" s="1"/>
      <c r="B4890" s="1"/>
      <c r="C4890" s="1"/>
      <c r="D4890" s="1"/>
      <c r="E4890" s="6"/>
      <c r="F4890" s="1"/>
      <c r="G4890" s="6"/>
      <c r="H4890" s="6"/>
      <c r="I4890" s="6"/>
      <c r="J4890" s="6"/>
      <c r="K4890" s="6"/>
      <c r="L4890" s="6"/>
      <c r="M4890" s="6"/>
      <c r="N4890" s="6"/>
      <c r="O4890" s="7"/>
      <c r="P4890" s="6"/>
      <c r="Q4890" s="6"/>
      <c r="R4890" s="7"/>
      <c r="S4890" s="6"/>
      <c r="T4890" s="6"/>
      <c r="U4890" s="7"/>
      <c r="V4890" s="6"/>
      <c r="W4890" s="6"/>
      <c r="X4890" s="12"/>
      <c r="Y4890" s="6"/>
      <c r="Z4890" s="6"/>
      <c r="AA4890" s="7"/>
      <c r="AB4890" s="6"/>
      <c r="AC4890" s="6"/>
      <c r="AD4890" s="6"/>
      <c r="AE4890" s="12"/>
      <c r="AF4890" s="12"/>
      <c r="AG4890" s="12"/>
      <c r="AH4890" s="12"/>
      <c r="AI4890" s="6"/>
      <c r="AJ4890" s="12"/>
      <c r="AK4890" s="24"/>
      <c r="AL4890" s="25"/>
      <c r="AM4890" s="12"/>
      <c r="AN4890" s="1"/>
      <c r="AO4890" s="6"/>
    </row>
    <row r="4891" spans="1:41" ht="15" x14ac:dyDescent="0.25">
      <c r="A4891" s="1"/>
      <c r="B4891" s="1"/>
      <c r="C4891" s="1"/>
      <c r="D4891" s="1"/>
      <c r="E4891" s="6"/>
      <c r="F4891" s="1"/>
      <c r="G4891" s="6"/>
      <c r="H4891" s="6"/>
      <c r="I4891" s="6"/>
      <c r="J4891" s="6"/>
      <c r="K4891" s="6"/>
      <c r="L4891" s="6"/>
      <c r="M4891" s="6"/>
      <c r="N4891" s="6"/>
      <c r="O4891" s="7"/>
      <c r="P4891" s="6"/>
      <c r="Q4891" s="6"/>
      <c r="R4891" s="7"/>
      <c r="S4891" s="6"/>
      <c r="T4891" s="6"/>
      <c r="U4891" s="7"/>
      <c r="V4891" s="6"/>
      <c r="W4891" s="6"/>
      <c r="X4891" s="6"/>
      <c r="Y4891" s="6"/>
      <c r="Z4891" s="6"/>
      <c r="AA4891" s="7"/>
      <c r="AB4891" s="6"/>
      <c r="AC4891" s="6"/>
      <c r="AD4891" s="6"/>
      <c r="AE4891" s="12"/>
      <c r="AF4891" s="6"/>
      <c r="AG4891" s="12"/>
      <c r="AH4891" s="6"/>
      <c r="AI4891" s="6"/>
      <c r="AJ4891" s="12"/>
      <c r="AK4891" s="1"/>
      <c r="AL4891" s="12"/>
      <c r="AM4891" s="12"/>
      <c r="AN4891" s="1"/>
      <c r="AO4891" s="6"/>
    </row>
    <row r="4892" spans="1:41" ht="15" x14ac:dyDescent="0.25">
      <c r="A4892" s="1"/>
      <c r="B4892" s="1"/>
      <c r="C4892" s="1"/>
      <c r="D4892" s="1"/>
      <c r="E4892" s="6"/>
      <c r="F4892" s="1"/>
      <c r="G4892" s="6"/>
      <c r="H4892" s="6"/>
      <c r="I4892" s="6"/>
      <c r="J4892" s="6"/>
      <c r="K4892" s="6"/>
      <c r="L4892" s="6"/>
      <c r="M4892" s="6"/>
      <c r="N4892" s="6"/>
      <c r="O4892" s="7"/>
      <c r="P4892" s="6"/>
      <c r="Q4892" s="6"/>
      <c r="R4892" s="7"/>
      <c r="S4892" s="6"/>
      <c r="T4892" s="6"/>
      <c r="U4892" s="7"/>
      <c r="V4892" s="6"/>
      <c r="W4892" s="6"/>
      <c r="X4892" s="6"/>
      <c r="Y4892" s="6"/>
      <c r="Z4892" s="6"/>
      <c r="AA4892" s="7"/>
      <c r="AB4892" s="6"/>
      <c r="AC4892" s="6"/>
      <c r="AD4892" s="6"/>
      <c r="AE4892" s="12"/>
      <c r="AF4892" s="6"/>
      <c r="AG4892" s="12"/>
      <c r="AH4892" s="6"/>
      <c r="AI4892" s="6"/>
      <c r="AJ4892" s="12"/>
      <c r="AK4892" s="1"/>
      <c r="AL4892" s="12"/>
      <c r="AM4892" s="12"/>
      <c r="AN4892" s="1"/>
      <c r="AO4892" s="6"/>
    </row>
    <row r="4893" spans="1:41" ht="15" x14ac:dyDescent="0.25">
      <c r="A4893" s="1"/>
      <c r="B4893" s="1"/>
      <c r="C4893" s="1"/>
      <c r="D4893" s="1"/>
      <c r="E4893" s="6"/>
      <c r="F4893" s="1"/>
      <c r="G4893" s="6"/>
      <c r="H4893" s="6"/>
      <c r="I4893" s="6"/>
      <c r="J4893" s="6"/>
      <c r="K4893" s="6"/>
      <c r="L4893" s="6"/>
      <c r="M4893" s="6"/>
      <c r="N4893" s="6"/>
      <c r="O4893" s="7"/>
      <c r="P4893" s="6"/>
      <c r="Q4893" s="6"/>
      <c r="R4893" s="7"/>
      <c r="S4893" s="6"/>
      <c r="T4893" s="6"/>
      <c r="U4893" s="7"/>
      <c r="V4893" s="6"/>
      <c r="W4893" s="6"/>
      <c r="X4893" s="6"/>
      <c r="Y4893" s="6"/>
      <c r="Z4893" s="6"/>
      <c r="AA4893" s="7"/>
      <c r="AB4893" s="6"/>
      <c r="AC4893" s="6"/>
      <c r="AD4893" s="6"/>
      <c r="AE4893" s="12"/>
      <c r="AF4893" s="6"/>
      <c r="AG4893" s="12"/>
      <c r="AH4893" s="6"/>
      <c r="AI4893" s="6"/>
      <c r="AJ4893" s="12"/>
      <c r="AK4893" s="24"/>
      <c r="AL4893" s="25"/>
      <c r="AM4893" s="12"/>
      <c r="AN4893" s="1"/>
      <c r="AO4893" s="6"/>
    </row>
    <row r="4894" spans="1:41" ht="15" x14ac:dyDescent="0.25">
      <c r="A4894" s="1"/>
      <c r="B4894" s="1"/>
      <c r="C4894" s="1"/>
      <c r="D4894" s="1"/>
      <c r="E4894" s="6"/>
      <c r="F4894" s="1"/>
      <c r="G4894" s="6"/>
      <c r="H4894" s="6"/>
      <c r="I4894" s="6"/>
      <c r="J4894" s="6"/>
      <c r="K4894" s="6"/>
      <c r="L4894" s="6"/>
      <c r="M4894" s="6"/>
      <c r="N4894" s="6"/>
      <c r="O4894" s="7"/>
      <c r="P4894" s="6"/>
      <c r="Q4894" s="6"/>
      <c r="R4894" s="7"/>
      <c r="S4894" s="6"/>
      <c r="T4894" s="6"/>
      <c r="U4894" s="7"/>
      <c r="V4894" s="6"/>
      <c r="W4894" s="6"/>
      <c r="X4894" s="6"/>
      <c r="Y4894" s="6"/>
      <c r="Z4894" s="6"/>
      <c r="AA4894" s="7"/>
      <c r="AB4894" s="6"/>
      <c r="AC4894" s="6"/>
      <c r="AD4894" s="6"/>
      <c r="AE4894" s="12"/>
      <c r="AF4894" s="6"/>
      <c r="AG4894" s="12"/>
      <c r="AH4894" s="6"/>
      <c r="AI4894" s="6"/>
      <c r="AJ4894" s="12"/>
      <c r="AK4894" s="24"/>
      <c r="AL4894" s="25"/>
      <c r="AM4894" s="12"/>
      <c r="AN4894" s="1"/>
      <c r="AO4894" s="6"/>
    </row>
    <row r="4895" spans="1:41" ht="15" x14ac:dyDescent="0.25">
      <c r="A4895" s="1"/>
      <c r="B4895" s="1"/>
      <c r="C4895" s="1"/>
      <c r="D4895" s="1"/>
      <c r="E4895" s="6"/>
      <c r="F4895" s="1"/>
      <c r="G4895" s="6"/>
      <c r="H4895" s="6"/>
      <c r="I4895" s="6"/>
      <c r="J4895" s="6"/>
      <c r="K4895" s="6"/>
      <c r="L4895" s="6"/>
      <c r="M4895" s="6"/>
      <c r="N4895" s="6"/>
      <c r="O4895" s="7"/>
      <c r="P4895" s="12"/>
      <c r="Q4895" s="6"/>
      <c r="R4895" s="7"/>
      <c r="S4895" s="6"/>
      <c r="T4895" s="6"/>
      <c r="U4895" s="7"/>
      <c r="V4895" s="6"/>
      <c r="W4895" s="6"/>
      <c r="X4895" s="6"/>
      <c r="Y4895" s="6"/>
      <c r="Z4895" s="6"/>
      <c r="AA4895" s="7"/>
      <c r="AB4895" s="6"/>
      <c r="AC4895" s="6"/>
      <c r="AD4895" s="6"/>
      <c r="AE4895" s="12"/>
      <c r="AF4895" s="12"/>
      <c r="AG4895" s="12"/>
      <c r="AH4895" s="12"/>
      <c r="AI4895" s="6"/>
      <c r="AJ4895" s="12"/>
      <c r="AK4895" s="1"/>
      <c r="AL4895" s="12"/>
      <c r="AM4895" s="12"/>
      <c r="AN4895" s="1"/>
      <c r="AO4895" s="6"/>
    </row>
    <row r="4896" spans="1:41" ht="15" x14ac:dyDescent="0.25">
      <c r="A4896" s="1"/>
      <c r="B4896" s="1"/>
      <c r="C4896" s="1"/>
      <c r="D4896" s="1"/>
      <c r="E4896" s="6"/>
      <c r="F4896" s="1"/>
      <c r="G4896" s="6"/>
      <c r="H4896" s="6"/>
      <c r="I4896" s="6"/>
      <c r="J4896" s="6"/>
      <c r="K4896" s="6"/>
      <c r="L4896" s="6"/>
      <c r="M4896" s="6"/>
      <c r="N4896" s="6"/>
      <c r="O4896" s="7"/>
      <c r="P4896" s="6"/>
      <c r="Q4896" s="7"/>
      <c r="R4896" s="6"/>
      <c r="S4896" s="6"/>
      <c r="T4896" s="6"/>
      <c r="U4896" s="6"/>
      <c r="V4896" s="7"/>
      <c r="W4896" s="6"/>
      <c r="X4896" s="6"/>
      <c r="Y4896" s="6"/>
      <c r="Z4896" s="6"/>
      <c r="AA4896" s="1"/>
      <c r="AB4896" s="12"/>
      <c r="AC4896" s="12"/>
      <c r="AD4896" s="12"/>
      <c r="AE4896" s="12"/>
      <c r="AF4896" s="6"/>
      <c r="AG4896" s="12"/>
      <c r="AH4896" s="6"/>
      <c r="AI4896" s="6"/>
      <c r="AJ4896" s="12"/>
      <c r="AK4896" s="12"/>
      <c r="AL4896" s="12"/>
      <c r="AM4896" s="12"/>
      <c r="AN4896" s="1"/>
      <c r="AO4896" s="6"/>
    </row>
    <row r="4897" spans="1:41" ht="15" x14ac:dyDescent="0.25">
      <c r="A4897" s="1"/>
      <c r="B4897" s="1"/>
      <c r="C4897" s="1"/>
      <c r="D4897" s="1"/>
      <c r="E4897" s="6"/>
      <c r="F4897" s="1"/>
      <c r="G4897" s="6"/>
      <c r="H4897" s="6"/>
      <c r="I4897" s="6"/>
      <c r="J4897" s="6"/>
      <c r="K4897" s="6"/>
      <c r="L4897" s="6"/>
      <c r="M4897" s="6"/>
      <c r="N4897" s="6"/>
      <c r="O4897" s="7"/>
      <c r="P4897" s="6"/>
      <c r="Q4897" s="6"/>
      <c r="R4897" s="7"/>
      <c r="S4897" s="6"/>
      <c r="T4897" s="6"/>
      <c r="U4897" s="7"/>
      <c r="V4897" s="6"/>
      <c r="W4897" s="6"/>
      <c r="X4897" s="6"/>
      <c r="Y4897" s="6"/>
      <c r="Z4897" s="6"/>
      <c r="AA4897" s="7"/>
      <c r="AB4897" s="6"/>
      <c r="AC4897" s="6"/>
      <c r="AD4897" s="6"/>
      <c r="AE4897" s="12"/>
      <c r="AF4897" s="6"/>
      <c r="AG4897" s="12"/>
      <c r="AH4897" s="6"/>
      <c r="AI4897" s="6"/>
      <c r="AJ4897" s="12"/>
      <c r="AK4897" s="1"/>
      <c r="AL4897" s="12"/>
      <c r="AM4897" s="12"/>
      <c r="AN4897" s="1"/>
      <c r="AO4897" s="6"/>
    </row>
    <row r="4898" spans="1:41" ht="15" x14ac:dyDescent="0.25">
      <c r="A4898" s="1"/>
      <c r="B4898" s="1"/>
      <c r="C4898" s="1"/>
      <c r="D4898" s="1"/>
      <c r="E4898" s="6"/>
      <c r="F4898" s="1"/>
      <c r="G4898" s="6"/>
      <c r="H4898" s="6"/>
      <c r="I4898" s="6"/>
      <c r="J4898" s="6"/>
      <c r="K4898" s="6"/>
      <c r="L4898" s="6"/>
      <c r="M4898" s="6"/>
      <c r="N4898" s="6"/>
      <c r="O4898" s="7"/>
      <c r="P4898" s="6"/>
      <c r="Q4898" s="6"/>
      <c r="R4898" s="7"/>
      <c r="S4898" s="6"/>
      <c r="T4898" s="6"/>
      <c r="U4898" s="7"/>
      <c r="V4898" s="6"/>
      <c r="W4898" s="6"/>
      <c r="X4898" s="6"/>
      <c r="Y4898" s="6"/>
      <c r="Z4898" s="6"/>
      <c r="AA4898" s="7"/>
      <c r="AB4898" s="6"/>
      <c r="AC4898" s="6"/>
      <c r="AD4898" s="6"/>
      <c r="AE4898" s="12"/>
      <c r="AF4898" s="6"/>
      <c r="AG4898" s="12"/>
      <c r="AH4898" s="6"/>
      <c r="AI4898" s="6"/>
      <c r="AJ4898" s="12"/>
      <c r="AK4898" s="1"/>
      <c r="AL4898" s="12"/>
      <c r="AM4898" s="12"/>
      <c r="AN4898" s="1"/>
      <c r="AO4898" s="6"/>
    </row>
    <row r="4899" spans="1:41" ht="15" x14ac:dyDescent="0.25">
      <c r="A4899" s="1"/>
      <c r="B4899" s="1"/>
      <c r="C4899" s="1"/>
      <c r="D4899" s="1"/>
      <c r="E4899" s="6"/>
      <c r="F4899" s="1"/>
      <c r="G4899" s="6"/>
      <c r="H4899" s="6"/>
      <c r="I4899" s="6"/>
      <c r="J4899" s="6"/>
      <c r="K4899" s="6"/>
      <c r="L4899" s="6"/>
      <c r="M4899" s="6"/>
      <c r="N4899" s="6"/>
      <c r="O4899" s="7"/>
      <c r="P4899" s="6"/>
      <c r="Q4899" s="6"/>
      <c r="R4899" s="7"/>
      <c r="S4899" s="6"/>
      <c r="T4899" s="6"/>
      <c r="U4899" s="7"/>
      <c r="V4899" s="6"/>
      <c r="W4899" s="6"/>
      <c r="X4899" s="6"/>
      <c r="Y4899" s="6"/>
      <c r="Z4899" s="6"/>
      <c r="AA4899" s="7"/>
      <c r="AB4899" s="6"/>
      <c r="AC4899" s="6"/>
      <c r="AD4899" s="6"/>
      <c r="AE4899" s="12"/>
      <c r="AF4899" s="12"/>
      <c r="AG4899" s="12"/>
      <c r="AH4899" s="12"/>
      <c r="AI4899" s="6"/>
      <c r="AJ4899" s="12"/>
      <c r="AK4899" s="1"/>
      <c r="AL4899" s="12"/>
      <c r="AM4899" s="12"/>
      <c r="AN4899" s="1"/>
      <c r="AO4899" s="6"/>
    </row>
    <row r="4900" spans="1:41" ht="15" x14ac:dyDescent="0.25">
      <c r="A4900" s="1"/>
      <c r="B4900" s="1"/>
      <c r="C4900" s="1"/>
      <c r="D4900" s="1"/>
      <c r="E4900" s="6"/>
      <c r="F4900" s="1"/>
      <c r="G4900" s="6"/>
      <c r="H4900" s="6"/>
      <c r="I4900" s="6"/>
      <c r="J4900" s="6"/>
      <c r="K4900" s="6"/>
      <c r="L4900" s="6"/>
      <c r="M4900" s="6"/>
      <c r="N4900" s="6"/>
      <c r="O4900" s="7"/>
      <c r="P4900" s="6"/>
      <c r="Q4900" s="7"/>
      <c r="R4900" s="6"/>
      <c r="S4900" s="6"/>
      <c r="T4900" s="6"/>
      <c r="U4900" s="6"/>
      <c r="V4900" s="7"/>
      <c r="W4900" s="7"/>
      <c r="X4900" s="6"/>
      <c r="Y4900" s="6"/>
      <c r="Z4900" s="6"/>
      <c r="AA4900" s="1"/>
      <c r="AB4900" s="12"/>
      <c r="AC4900" s="12"/>
      <c r="AD4900" s="12"/>
      <c r="AE4900" s="12"/>
      <c r="AF4900" s="12"/>
      <c r="AG4900" s="12"/>
      <c r="AH4900" s="12"/>
      <c r="AI4900" s="6"/>
      <c r="AJ4900" s="12"/>
      <c r="AK4900" s="12"/>
      <c r="AL4900" s="12"/>
      <c r="AM4900" s="12"/>
      <c r="AN4900" s="1"/>
      <c r="AO4900" s="6"/>
    </row>
    <row r="4901" spans="1:41" ht="15" x14ac:dyDescent="0.25">
      <c r="A4901" s="1"/>
      <c r="B4901" s="1"/>
      <c r="C4901" s="1"/>
      <c r="D4901" s="1"/>
      <c r="E4901" s="6"/>
      <c r="F4901" s="1"/>
      <c r="G4901" s="6"/>
      <c r="H4901" s="6"/>
      <c r="I4901" s="6"/>
      <c r="J4901" s="6"/>
      <c r="K4901" s="6"/>
      <c r="L4901" s="6"/>
      <c r="M4901" s="6"/>
      <c r="N4901" s="6"/>
      <c r="O4901" s="7"/>
      <c r="P4901" s="6"/>
      <c r="Q4901" s="6"/>
      <c r="R4901" s="7"/>
      <c r="S4901" s="6"/>
      <c r="T4901" s="6"/>
      <c r="U4901" s="7"/>
      <c r="V4901" s="6"/>
      <c r="W4901" s="6"/>
      <c r="X4901" s="6"/>
      <c r="Y4901" s="6"/>
      <c r="Z4901" s="6"/>
      <c r="AA4901" s="7"/>
      <c r="AB4901" s="6"/>
      <c r="AC4901" s="6"/>
      <c r="AD4901" s="6"/>
      <c r="AE4901" s="12"/>
      <c r="AF4901" s="6"/>
      <c r="AG4901" s="12"/>
      <c r="AH4901" s="6"/>
      <c r="AI4901" s="6"/>
      <c r="AJ4901" s="12"/>
      <c r="AK4901" s="24"/>
      <c r="AL4901" s="25"/>
      <c r="AM4901" s="12"/>
      <c r="AN4901" s="1"/>
      <c r="AO4901" s="6"/>
    </row>
    <row r="4902" spans="1:41" ht="15" x14ac:dyDescent="0.25">
      <c r="A4902" s="1"/>
      <c r="B4902" s="1"/>
      <c r="C4902" s="1"/>
      <c r="D4902" s="1"/>
      <c r="E4902" s="6"/>
      <c r="F4902" s="1"/>
      <c r="G4902" s="6"/>
      <c r="H4902" s="6"/>
      <c r="I4902" s="6"/>
      <c r="J4902" s="6"/>
      <c r="K4902" s="6"/>
      <c r="L4902" s="6"/>
      <c r="M4902" s="6"/>
      <c r="N4902" s="6"/>
      <c r="O4902" s="7"/>
      <c r="P4902" s="6"/>
      <c r="Q4902" s="6"/>
      <c r="R4902" s="7"/>
      <c r="S4902" s="6"/>
      <c r="T4902" s="6"/>
      <c r="U4902" s="7"/>
      <c r="V4902" s="6"/>
      <c r="W4902" s="6"/>
      <c r="X4902" s="6"/>
      <c r="Y4902" s="6"/>
      <c r="Z4902" s="6"/>
      <c r="AA4902" s="7"/>
      <c r="AB4902" s="6"/>
      <c r="AC4902" s="6"/>
      <c r="AD4902" s="6"/>
      <c r="AE4902" s="12"/>
      <c r="AF4902" s="6"/>
      <c r="AG4902" s="12"/>
      <c r="AH4902" s="6"/>
      <c r="AI4902" s="6"/>
      <c r="AJ4902" s="12"/>
      <c r="AK4902" s="24"/>
      <c r="AL4902" s="25"/>
      <c r="AM4902" s="12"/>
      <c r="AN4902" s="1"/>
      <c r="AO4902" s="6"/>
    </row>
    <row r="4903" spans="1:41" ht="15" x14ac:dyDescent="0.25">
      <c r="A4903" s="1"/>
      <c r="B4903" s="1"/>
      <c r="C4903" s="1"/>
      <c r="D4903" s="1"/>
      <c r="E4903" s="6"/>
      <c r="F4903" s="1"/>
      <c r="G4903" s="6"/>
      <c r="H4903" s="6"/>
      <c r="I4903" s="6"/>
      <c r="J4903" s="6"/>
      <c r="K4903" s="6"/>
      <c r="L4903" s="6"/>
      <c r="M4903" s="6"/>
      <c r="N4903" s="6"/>
      <c r="O4903" s="7"/>
      <c r="P4903" s="12"/>
      <c r="Q4903" s="6"/>
      <c r="R4903" s="7"/>
      <c r="S4903" s="6"/>
      <c r="T4903" s="6"/>
      <c r="U4903" s="7"/>
      <c r="V4903" s="6"/>
      <c r="W4903" s="6"/>
      <c r="X4903" s="12"/>
      <c r="Y4903" s="6"/>
      <c r="Z4903" s="6"/>
      <c r="AA4903" s="7"/>
      <c r="AB4903" s="6"/>
      <c r="AC4903" s="6"/>
      <c r="AD4903" s="6"/>
      <c r="AE4903" s="12"/>
      <c r="AF4903" s="6"/>
      <c r="AG4903" s="12"/>
      <c r="AH4903" s="6"/>
      <c r="AI4903" s="6"/>
      <c r="AJ4903" s="12"/>
      <c r="AK4903" s="24"/>
      <c r="AL4903" s="25"/>
      <c r="AM4903" s="12"/>
      <c r="AN4903" s="1"/>
      <c r="AO4903" s="6"/>
    </row>
    <row r="4904" spans="1:41" ht="15" x14ac:dyDescent="0.25">
      <c r="A4904" s="1"/>
      <c r="B4904" s="1"/>
      <c r="C4904" s="1"/>
      <c r="D4904" s="1"/>
      <c r="E4904" s="6"/>
      <c r="F4904" s="1"/>
      <c r="G4904" s="6"/>
      <c r="H4904" s="6"/>
      <c r="I4904" s="6"/>
      <c r="J4904" s="6"/>
      <c r="K4904" s="6"/>
      <c r="L4904" s="6"/>
      <c r="M4904" s="6"/>
      <c r="N4904" s="6"/>
      <c r="O4904" s="7"/>
      <c r="P4904" s="12"/>
      <c r="Q4904" s="6"/>
      <c r="R4904" s="7"/>
      <c r="S4904" s="6"/>
      <c r="T4904" s="6"/>
      <c r="U4904" s="7"/>
      <c r="V4904" s="6"/>
      <c r="W4904" s="6"/>
      <c r="X4904" s="12"/>
      <c r="Y4904" s="6"/>
      <c r="Z4904" s="6"/>
      <c r="AA4904" s="7"/>
      <c r="AB4904" s="6"/>
      <c r="AC4904" s="6"/>
      <c r="AD4904" s="6"/>
      <c r="AE4904" s="12"/>
      <c r="AF4904" s="6"/>
      <c r="AG4904" s="12"/>
      <c r="AH4904" s="6"/>
      <c r="AI4904" s="6"/>
      <c r="AJ4904" s="12"/>
      <c r="AK4904" s="24"/>
      <c r="AL4904" s="25"/>
      <c r="AM4904" s="12"/>
      <c r="AN4904" s="1"/>
      <c r="AO4904" s="6"/>
    </row>
    <row r="4905" spans="1:41" ht="15" x14ac:dyDescent="0.25">
      <c r="A4905" s="1"/>
      <c r="B4905" s="1"/>
      <c r="C4905" s="1"/>
      <c r="D4905" s="1"/>
      <c r="E4905" s="6"/>
      <c r="F4905" s="1"/>
      <c r="G4905" s="6"/>
      <c r="H4905" s="6"/>
      <c r="I4905" s="6"/>
      <c r="J4905" s="6"/>
      <c r="K4905" s="6"/>
      <c r="L4905" s="6"/>
      <c r="M4905" s="6"/>
      <c r="N4905" s="6"/>
      <c r="O4905" s="7"/>
      <c r="P4905" s="6"/>
      <c r="Q4905" s="6"/>
      <c r="R4905" s="7"/>
      <c r="S4905" s="6"/>
      <c r="T4905" s="6"/>
      <c r="U4905" s="7"/>
      <c r="V4905" s="6"/>
      <c r="W4905" s="6"/>
      <c r="X4905" s="6"/>
      <c r="Y4905" s="6"/>
      <c r="Z4905" s="6"/>
      <c r="AA4905" s="7"/>
      <c r="AB4905" s="6"/>
      <c r="AC4905" s="6"/>
      <c r="AD4905" s="6"/>
      <c r="AE4905" s="12"/>
      <c r="AF4905" s="6"/>
      <c r="AG4905" s="12"/>
      <c r="AH4905" s="6"/>
      <c r="AI4905" s="6"/>
      <c r="AJ4905" s="12"/>
      <c r="AK4905" s="24"/>
      <c r="AL4905" s="25"/>
      <c r="AM4905" s="12"/>
      <c r="AN4905" s="1"/>
      <c r="AO4905" s="6"/>
    </row>
    <row r="4906" spans="1:41" ht="15" x14ac:dyDescent="0.25">
      <c r="A4906" s="1"/>
      <c r="B4906" s="1"/>
      <c r="C4906" s="1"/>
      <c r="D4906" s="1"/>
      <c r="E4906" s="6"/>
      <c r="F4906" s="1"/>
      <c r="G4906" s="6"/>
      <c r="H4906" s="6"/>
      <c r="I4906" s="6"/>
      <c r="J4906" s="6"/>
      <c r="K4906" s="6"/>
      <c r="L4906" s="6"/>
      <c r="M4906" s="6"/>
      <c r="N4906" s="6"/>
      <c r="O4906" s="7"/>
      <c r="P4906" s="6"/>
      <c r="Q4906" s="6"/>
      <c r="R4906" s="7"/>
      <c r="S4906" s="6"/>
      <c r="T4906" s="6"/>
      <c r="U4906" s="7"/>
      <c r="V4906" s="6"/>
      <c r="W4906" s="6"/>
      <c r="X4906" s="6"/>
      <c r="Y4906" s="6"/>
      <c r="Z4906" s="6"/>
      <c r="AA4906" s="7"/>
      <c r="AB4906" s="6"/>
      <c r="AC4906" s="6"/>
      <c r="AD4906" s="6"/>
      <c r="AE4906" s="12"/>
      <c r="AF4906" s="6"/>
      <c r="AG4906" s="12"/>
      <c r="AH4906" s="6"/>
      <c r="AI4906" s="6"/>
      <c r="AJ4906" s="12"/>
      <c r="AK4906" s="24"/>
      <c r="AL4906" s="25"/>
      <c r="AM4906" s="12"/>
      <c r="AN4906" s="1"/>
      <c r="AO4906" s="6"/>
    </row>
    <row r="4907" spans="1:41" ht="15" x14ac:dyDescent="0.25">
      <c r="A4907" s="1"/>
      <c r="B4907" s="1"/>
      <c r="C4907" s="1"/>
      <c r="D4907" s="1"/>
      <c r="E4907" s="6"/>
      <c r="F4907" s="1"/>
      <c r="G4907" s="6"/>
      <c r="H4907" s="6"/>
      <c r="I4907" s="6"/>
      <c r="J4907" s="6"/>
      <c r="K4907" s="6"/>
      <c r="L4907" s="6"/>
      <c r="M4907" s="6"/>
      <c r="N4907" s="6"/>
      <c r="O4907" s="7"/>
      <c r="P4907" s="6"/>
      <c r="Q4907" s="6"/>
      <c r="R4907" s="7"/>
      <c r="S4907" s="6"/>
      <c r="T4907" s="6"/>
      <c r="U4907" s="7"/>
      <c r="V4907" s="6"/>
      <c r="W4907" s="6"/>
      <c r="X4907" s="12"/>
      <c r="Y4907" s="6"/>
      <c r="Z4907" s="6"/>
      <c r="AA4907" s="7"/>
      <c r="AB4907" s="6"/>
      <c r="AC4907" s="6"/>
      <c r="AD4907" s="6"/>
      <c r="AE4907" s="12"/>
      <c r="AF4907" s="6"/>
      <c r="AG4907" s="12"/>
      <c r="AH4907" s="6"/>
      <c r="AI4907" s="6"/>
      <c r="AJ4907" s="12"/>
      <c r="AK4907" s="24"/>
      <c r="AL4907" s="25"/>
      <c r="AM4907" s="12"/>
      <c r="AN4907" s="1"/>
      <c r="AO4907" s="6"/>
    </row>
    <row r="4908" spans="1:41" ht="15" x14ac:dyDescent="0.25">
      <c r="A4908" s="1"/>
      <c r="B4908" s="1"/>
      <c r="C4908" s="1"/>
      <c r="D4908" s="1"/>
      <c r="E4908" s="6"/>
      <c r="F4908" s="1"/>
      <c r="G4908" s="6"/>
      <c r="H4908" s="6"/>
      <c r="I4908" s="6"/>
      <c r="J4908" s="6"/>
      <c r="K4908" s="6"/>
      <c r="L4908" s="6"/>
      <c r="M4908" s="6"/>
      <c r="N4908" s="6"/>
      <c r="O4908" s="7"/>
      <c r="P4908" s="6"/>
      <c r="Q4908" s="6"/>
      <c r="R4908" s="7"/>
      <c r="S4908" s="6"/>
      <c r="T4908" s="6"/>
      <c r="U4908" s="7"/>
      <c r="V4908" s="6"/>
      <c r="W4908" s="6"/>
      <c r="X4908" s="12"/>
      <c r="Y4908" s="6"/>
      <c r="Z4908" s="6"/>
      <c r="AA4908" s="7"/>
      <c r="AB4908" s="6"/>
      <c r="AC4908" s="6"/>
      <c r="AD4908" s="6"/>
      <c r="AE4908" s="12"/>
      <c r="AF4908" s="6"/>
      <c r="AG4908" s="12"/>
      <c r="AH4908" s="6"/>
      <c r="AI4908" s="6"/>
      <c r="AJ4908" s="12"/>
      <c r="AK4908" s="24"/>
      <c r="AL4908" s="25"/>
      <c r="AM4908" s="12"/>
      <c r="AN4908" s="1"/>
      <c r="AO4908" s="6"/>
    </row>
    <row r="4909" spans="1:41" ht="15" x14ac:dyDescent="0.25">
      <c r="A4909" s="1"/>
      <c r="B4909" s="1"/>
      <c r="C4909" s="1"/>
      <c r="D4909" s="1"/>
      <c r="E4909" s="6"/>
      <c r="F4909" s="1"/>
      <c r="G4909" s="6"/>
      <c r="H4909" s="6"/>
      <c r="I4909" s="6"/>
      <c r="J4909" s="6"/>
      <c r="K4909" s="6"/>
      <c r="L4909" s="6"/>
      <c r="M4909" s="6"/>
      <c r="N4909" s="6"/>
      <c r="O4909" s="7"/>
      <c r="P4909" s="6"/>
      <c r="Q4909" s="6"/>
      <c r="R4909" s="7"/>
      <c r="S4909" s="6"/>
      <c r="T4909" s="6"/>
      <c r="U4909" s="7"/>
      <c r="V4909" s="6"/>
      <c r="W4909" s="6"/>
      <c r="X4909" s="6"/>
      <c r="Y4909" s="6"/>
      <c r="Z4909" s="6"/>
      <c r="AA4909" s="7"/>
      <c r="AB4909" s="6"/>
      <c r="AC4909" s="6"/>
      <c r="AD4909" s="6"/>
      <c r="AE4909" s="12"/>
      <c r="AF4909" s="12"/>
      <c r="AG4909" s="12"/>
      <c r="AH4909" s="12"/>
      <c r="AI4909" s="6"/>
      <c r="AJ4909" s="12"/>
      <c r="AK4909" s="1"/>
      <c r="AL4909" s="12"/>
      <c r="AM4909" s="12"/>
      <c r="AN4909" s="1"/>
      <c r="AO4909" s="6"/>
    </row>
    <row r="4910" spans="1:41" ht="15" x14ac:dyDescent="0.25">
      <c r="A4910" s="1"/>
      <c r="B4910" s="1"/>
      <c r="C4910" s="1"/>
      <c r="D4910" s="1"/>
      <c r="E4910" s="6"/>
      <c r="F4910" s="1"/>
      <c r="G4910" s="6"/>
      <c r="H4910" s="6"/>
      <c r="I4910" s="6"/>
      <c r="J4910" s="6"/>
      <c r="K4910" s="12"/>
      <c r="L4910" s="6"/>
      <c r="M4910" s="6"/>
      <c r="N4910" s="6"/>
      <c r="O4910" s="7"/>
      <c r="P4910" s="6"/>
      <c r="Q4910" s="6"/>
      <c r="R4910" s="7"/>
      <c r="S4910" s="6"/>
      <c r="T4910" s="6"/>
      <c r="U4910" s="7"/>
      <c r="V4910" s="6"/>
      <c r="W4910" s="6"/>
      <c r="X4910" s="12"/>
      <c r="Y4910" s="6"/>
      <c r="Z4910" s="6"/>
      <c r="AA4910" s="7"/>
      <c r="AB4910" s="6"/>
      <c r="AC4910" s="6"/>
      <c r="AD4910" s="6"/>
      <c r="AE4910" s="12"/>
      <c r="AF4910" s="6"/>
      <c r="AG4910" s="12"/>
      <c r="AH4910" s="6"/>
      <c r="AI4910" s="6"/>
      <c r="AJ4910" s="12"/>
      <c r="AK4910" s="1"/>
      <c r="AL4910" s="12"/>
      <c r="AM4910" s="12"/>
      <c r="AN4910" s="1"/>
      <c r="AO4910" s="6"/>
    </row>
    <row r="4911" spans="1:41" ht="15" x14ac:dyDescent="0.25">
      <c r="A4911" s="1"/>
      <c r="B4911" s="1"/>
      <c r="C4911" s="1"/>
      <c r="D4911" s="1"/>
      <c r="E4911" s="6"/>
      <c r="F4911" s="1"/>
      <c r="G4911" s="6"/>
      <c r="H4911" s="6"/>
      <c r="I4911" s="6"/>
      <c r="J4911" s="6"/>
      <c r="K4911" s="12"/>
      <c r="L4911" s="6"/>
      <c r="M4911" s="6"/>
      <c r="N4911" s="6"/>
      <c r="O4911" s="7"/>
      <c r="P4911" s="6"/>
      <c r="Q4911" s="6"/>
      <c r="R4911" s="7"/>
      <c r="S4911" s="6"/>
      <c r="T4911" s="6"/>
      <c r="U4911" s="7"/>
      <c r="V4911" s="6"/>
      <c r="W4911" s="6"/>
      <c r="X4911" s="12"/>
      <c r="Y4911" s="6"/>
      <c r="Z4911" s="6"/>
      <c r="AA4911" s="7"/>
      <c r="AB4911" s="6"/>
      <c r="AC4911" s="6"/>
      <c r="AD4911" s="6"/>
      <c r="AE4911" s="12"/>
      <c r="AF4911" s="6"/>
      <c r="AG4911" s="12"/>
      <c r="AH4911" s="6"/>
      <c r="AI4911" s="6"/>
      <c r="AJ4911" s="12"/>
      <c r="AK4911" s="1"/>
      <c r="AL4911" s="12"/>
      <c r="AM4911" s="12"/>
      <c r="AN4911" s="1"/>
      <c r="AO4911" s="6"/>
    </row>
    <row r="4912" spans="1:41" ht="15" x14ac:dyDescent="0.25">
      <c r="A4912" s="1"/>
      <c r="B4912" s="1"/>
      <c r="C4912" s="1"/>
      <c r="D4912" s="1"/>
      <c r="E4912" s="6"/>
      <c r="F4912" s="1"/>
      <c r="G4912" s="6"/>
      <c r="H4912" s="6"/>
      <c r="I4912" s="6"/>
      <c r="J4912" s="6"/>
      <c r="K4912" s="6"/>
      <c r="L4912" s="6"/>
      <c r="M4912" s="6"/>
      <c r="N4912" s="6"/>
      <c r="O4912" s="7"/>
      <c r="P4912" s="6"/>
      <c r="Q4912" s="7"/>
      <c r="R4912" s="6"/>
      <c r="S4912" s="6"/>
      <c r="T4912" s="6"/>
      <c r="U4912" s="6"/>
      <c r="V4912" s="7"/>
      <c r="W4912" s="7"/>
      <c r="X4912" s="6"/>
      <c r="Y4912" s="6"/>
      <c r="Z4912" s="6"/>
      <c r="AA4912" s="1"/>
      <c r="AB4912" s="12"/>
      <c r="AC4912" s="12"/>
      <c r="AD4912" s="12"/>
      <c r="AE4912" s="12"/>
      <c r="AF4912" s="12"/>
      <c r="AG4912" s="12"/>
      <c r="AH4912" s="12"/>
      <c r="AI4912" s="6"/>
      <c r="AJ4912" s="12"/>
      <c r="AK4912" s="12"/>
      <c r="AL4912" s="12"/>
      <c r="AM4912" s="12"/>
      <c r="AN4912" s="1"/>
      <c r="AO4912" s="6"/>
    </row>
    <row r="4913" spans="1:41" ht="15" x14ac:dyDescent="0.25">
      <c r="A4913" s="1"/>
      <c r="B4913" s="1"/>
      <c r="C4913" s="1"/>
      <c r="D4913" s="1"/>
      <c r="E4913" s="6"/>
      <c r="F4913" s="1"/>
      <c r="G4913" s="6"/>
      <c r="H4913" s="6"/>
      <c r="I4913" s="6"/>
      <c r="J4913" s="6"/>
      <c r="K4913" s="6"/>
      <c r="L4913" s="6"/>
      <c r="M4913" s="6"/>
      <c r="N4913" s="6"/>
      <c r="O4913" s="7"/>
      <c r="P4913" s="6"/>
      <c r="Q4913" s="6"/>
      <c r="R4913" s="7"/>
      <c r="S4913" s="6"/>
      <c r="T4913" s="6"/>
      <c r="U4913" s="7"/>
      <c r="V4913" s="6"/>
      <c r="W4913" s="6"/>
      <c r="X4913" s="12"/>
      <c r="Y4913" s="6"/>
      <c r="Z4913" s="6"/>
      <c r="AA4913" s="7"/>
      <c r="AB4913" s="6"/>
      <c r="AC4913" s="6"/>
      <c r="AD4913" s="6"/>
      <c r="AE4913" s="12"/>
      <c r="AF4913" s="12"/>
      <c r="AG4913" s="12"/>
      <c r="AH4913" s="12"/>
      <c r="AI4913" s="6"/>
      <c r="AJ4913" s="12"/>
      <c r="AK4913" s="1"/>
      <c r="AL4913" s="12"/>
      <c r="AM4913" s="12"/>
      <c r="AN4913" s="1"/>
      <c r="AO4913" s="6"/>
    </row>
    <row r="4914" spans="1:41" ht="15" x14ac:dyDescent="0.25">
      <c r="A4914" s="1"/>
      <c r="B4914" s="1"/>
      <c r="C4914" s="1"/>
      <c r="D4914" s="1"/>
      <c r="E4914" s="6"/>
      <c r="F4914" s="1"/>
      <c r="G4914" s="6"/>
      <c r="H4914" s="6"/>
      <c r="I4914" s="6"/>
      <c r="J4914" s="6"/>
      <c r="K4914" s="6"/>
      <c r="L4914" s="6"/>
      <c r="M4914" s="6"/>
      <c r="N4914" s="6"/>
      <c r="O4914" s="7"/>
      <c r="P4914" s="6"/>
      <c r="Q4914" s="6"/>
      <c r="R4914" s="7"/>
      <c r="S4914" s="6"/>
      <c r="T4914" s="6"/>
      <c r="U4914" s="7"/>
      <c r="V4914" s="6"/>
      <c r="W4914" s="6"/>
      <c r="X4914" s="12"/>
      <c r="Y4914" s="6"/>
      <c r="Z4914" s="6"/>
      <c r="AA4914" s="7"/>
      <c r="AB4914" s="6"/>
      <c r="AC4914" s="6"/>
      <c r="AD4914" s="6"/>
      <c r="AE4914" s="12"/>
      <c r="AF4914" s="12"/>
      <c r="AG4914" s="12"/>
      <c r="AH4914" s="12"/>
      <c r="AI4914" s="6"/>
      <c r="AJ4914" s="12"/>
      <c r="AK4914" s="1"/>
      <c r="AL4914" s="12"/>
      <c r="AM4914" s="12"/>
      <c r="AN4914" s="1"/>
      <c r="AO4914" s="6"/>
    </row>
    <row r="4915" spans="1:41" ht="15" x14ac:dyDescent="0.25">
      <c r="A4915" s="1"/>
      <c r="B4915" s="1"/>
      <c r="C4915" s="1"/>
      <c r="D4915" s="1"/>
      <c r="E4915" s="6"/>
      <c r="F4915" s="1"/>
      <c r="G4915" s="6"/>
      <c r="H4915" s="6"/>
      <c r="I4915" s="6"/>
      <c r="J4915" s="6"/>
      <c r="K4915" s="6"/>
      <c r="L4915" s="6"/>
      <c r="M4915" s="6"/>
      <c r="N4915" s="6"/>
      <c r="O4915" s="7"/>
      <c r="P4915" s="6"/>
      <c r="Q4915" s="6"/>
      <c r="R4915" s="12"/>
      <c r="S4915" s="12"/>
      <c r="T4915" s="12"/>
      <c r="U4915" s="7"/>
      <c r="V4915" s="6"/>
      <c r="W4915" s="6"/>
      <c r="X4915" s="12"/>
      <c r="Y4915" s="6"/>
      <c r="Z4915" s="6"/>
      <c r="AA4915" s="7"/>
      <c r="AB4915" s="6"/>
      <c r="AC4915" s="6"/>
      <c r="AD4915" s="6"/>
      <c r="AE4915" s="12"/>
      <c r="AF4915" s="12"/>
      <c r="AG4915" s="12"/>
      <c r="AH4915" s="12"/>
      <c r="AI4915" s="6"/>
      <c r="AJ4915" s="12"/>
      <c r="AK4915" s="1"/>
      <c r="AL4915" s="12"/>
      <c r="AM4915" s="12"/>
      <c r="AN4915" s="1"/>
      <c r="AO4915" s="6"/>
    </row>
    <row r="4916" spans="1:41" ht="15" x14ac:dyDescent="0.25">
      <c r="A4916" s="1"/>
      <c r="B4916" s="1"/>
      <c r="C4916" s="1"/>
      <c r="D4916" s="1"/>
      <c r="E4916" s="6"/>
      <c r="F4916" s="1"/>
      <c r="G4916" s="6"/>
      <c r="H4916" s="6"/>
      <c r="I4916" s="6"/>
      <c r="J4916" s="6"/>
      <c r="K4916" s="6"/>
      <c r="L4916" s="6"/>
      <c r="M4916" s="6"/>
      <c r="N4916" s="6"/>
      <c r="O4916" s="7"/>
      <c r="P4916" s="6"/>
      <c r="Q4916" s="6"/>
      <c r="R4916" s="7"/>
      <c r="S4916" s="6"/>
      <c r="T4916" s="6"/>
      <c r="U4916" s="7"/>
      <c r="V4916" s="6"/>
      <c r="W4916" s="6"/>
      <c r="X4916" s="6"/>
      <c r="Y4916" s="6"/>
      <c r="Z4916" s="6"/>
      <c r="AA4916" s="7"/>
      <c r="AB4916" s="6"/>
      <c r="AC4916" s="6"/>
      <c r="AD4916" s="6"/>
      <c r="AE4916" s="12"/>
      <c r="AF4916" s="12"/>
      <c r="AG4916" s="12"/>
      <c r="AH4916" s="12"/>
      <c r="AI4916" s="6"/>
      <c r="AJ4916" s="12"/>
      <c r="AK4916" s="1"/>
      <c r="AL4916" s="12"/>
      <c r="AM4916" s="12"/>
      <c r="AN4916" s="1"/>
      <c r="AO4916" s="6"/>
    </row>
    <row r="4917" spans="1:41" ht="15" x14ac:dyDescent="0.25">
      <c r="A4917" s="1"/>
      <c r="B4917" s="1"/>
      <c r="C4917" s="1"/>
      <c r="D4917" s="1"/>
      <c r="E4917" s="6"/>
      <c r="F4917" s="1"/>
      <c r="G4917" s="6"/>
      <c r="H4917" s="6"/>
      <c r="I4917" s="6"/>
      <c r="J4917" s="6"/>
      <c r="K4917" s="6"/>
      <c r="L4917" s="6"/>
      <c r="M4917" s="6"/>
      <c r="N4917" s="6"/>
      <c r="O4917" s="7"/>
      <c r="P4917" s="6"/>
      <c r="Q4917" s="7"/>
      <c r="R4917" s="6"/>
      <c r="S4917" s="12"/>
      <c r="T4917" s="6"/>
      <c r="U4917" s="6"/>
      <c r="V4917" s="7"/>
      <c r="W4917" s="7"/>
      <c r="X4917" s="6"/>
      <c r="Y4917" s="6"/>
      <c r="Z4917" s="6"/>
      <c r="AA4917" s="1"/>
      <c r="AB4917" s="12"/>
      <c r="AC4917" s="12"/>
      <c r="AD4917" s="12"/>
      <c r="AE4917" s="12"/>
      <c r="AF4917" s="12"/>
      <c r="AG4917" s="12"/>
      <c r="AH4917" s="12"/>
      <c r="AI4917" s="6"/>
      <c r="AJ4917" s="12"/>
      <c r="AK4917" s="12"/>
      <c r="AL4917" s="12"/>
      <c r="AM4917" s="12"/>
      <c r="AN4917" s="1"/>
      <c r="AO4917" s="6"/>
    </row>
    <row r="4918" spans="1:41" ht="15" x14ac:dyDescent="0.25">
      <c r="A4918" s="1"/>
      <c r="B4918" s="1"/>
      <c r="C4918" s="1"/>
      <c r="D4918" s="1"/>
      <c r="E4918" s="6"/>
      <c r="F4918" s="1"/>
      <c r="G4918" s="6"/>
      <c r="H4918" s="6"/>
      <c r="I4918" s="6"/>
      <c r="J4918" s="6"/>
      <c r="K4918" s="6"/>
      <c r="L4918" s="6"/>
      <c r="M4918" s="6"/>
      <c r="N4918" s="6"/>
      <c r="O4918" s="7"/>
      <c r="P4918" s="6"/>
      <c r="Q4918" s="6"/>
      <c r="R4918" s="7"/>
      <c r="S4918" s="6"/>
      <c r="T4918" s="6"/>
      <c r="U4918" s="7"/>
      <c r="V4918" s="6"/>
      <c r="W4918" s="6"/>
      <c r="X4918" s="12"/>
      <c r="Y4918" s="6"/>
      <c r="Z4918" s="6"/>
      <c r="AA4918" s="7"/>
      <c r="AB4918" s="6"/>
      <c r="AC4918" s="6"/>
      <c r="AD4918" s="6"/>
      <c r="AE4918" s="12"/>
      <c r="AF4918" s="12"/>
      <c r="AG4918" s="12"/>
      <c r="AH4918" s="12"/>
      <c r="AI4918" s="6"/>
      <c r="AJ4918" s="12"/>
      <c r="AK4918" s="24"/>
      <c r="AL4918" s="25"/>
      <c r="AM4918" s="12"/>
      <c r="AN4918" s="1"/>
      <c r="AO4918" s="6"/>
    </row>
    <row r="4919" spans="1:41" ht="15" x14ac:dyDescent="0.25">
      <c r="A4919" s="1"/>
      <c r="B4919" s="1"/>
      <c r="C4919" s="1"/>
      <c r="D4919" s="1"/>
      <c r="E4919" s="6"/>
      <c r="F4919" s="1"/>
      <c r="G4919" s="6"/>
      <c r="H4919" s="6"/>
      <c r="I4919" s="6"/>
      <c r="J4919" s="6"/>
      <c r="K4919" s="6"/>
      <c r="L4919" s="6"/>
      <c r="M4919" s="6"/>
      <c r="N4919" s="6"/>
      <c r="O4919" s="7"/>
      <c r="P4919" s="6"/>
      <c r="Q4919" s="6"/>
      <c r="R4919" s="7"/>
      <c r="S4919" s="6"/>
      <c r="T4919" s="6"/>
      <c r="U4919" s="7"/>
      <c r="V4919" s="6"/>
      <c r="W4919" s="6"/>
      <c r="X4919" s="12"/>
      <c r="Y4919" s="6"/>
      <c r="Z4919" s="6"/>
      <c r="AA4919" s="7"/>
      <c r="AB4919" s="6"/>
      <c r="AC4919" s="6"/>
      <c r="AD4919" s="6"/>
      <c r="AE4919" s="12"/>
      <c r="AF4919" s="12"/>
      <c r="AG4919" s="12"/>
      <c r="AH4919" s="12"/>
      <c r="AI4919" s="6"/>
      <c r="AJ4919" s="12"/>
      <c r="AK4919" s="24"/>
      <c r="AL4919" s="25"/>
      <c r="AM4919" s="12"/>
      <c r="AN4919" s="1"/>
      <c r="AO4919" s="6"/>
    </row>
    <row r="4920" spans="1:41" ht="15" x14ac:dyDescent="0.25">
      <c r="A4920" s="1"/>
      <c r="B4920" s="1"/>
      <c r="C4920" s="1"/>
      <c r="D4920" s="1"/>
      <c r="E4920" s="6"/>
      <c r="F4920" s="1"/>
      <c r="G4920" s="6"/>
      <c r="H4920" s="6"/>
      <c r="I4920" s="6"/>
      <c r="J4920" s="6"/>
      <c r="K4920" s="6"/>
      <c r="L4920" s="6"/>
      <c r="M4920" s="6"/>
      <c r="N4920" s="6"/>
      <c r="O4920" s="7"/>
      <c r="P4920" s="6"/>
      <c r="Q4920" s="6"/>
      <c r="R4920" s="7"/>
      <c r="S4920" s="6"/>
      <c r="T4920" s="6"/>
      <c r="U4920" s="7"/>
      <c r="V4920" s="6"/>
      <c r="W4920" s="6"/>
      <c r="X4920" s="12"/>
      <c r="Y4920" s="6"/>
      <c r="Z4920" s="6"/>
      <c r="AA4920" s="7"/>
      <c r="AB4920" s="6"/>
      <c r="AC4920" s="6"/>
      <c r="AD4920" s="6"/>
      <c r="AE4920" s="12"/>
      <c r="AF4920" s="6"/>
      <c r="AG4920" s="12"/>
      <c r="AH4920" s="6"/>
      <c r="AI4920" s="6"/>
      <c r="AJ4920" s="12"/>
      <c r="AK4920" s="1"/>
      <c r="AL4920" s="12"/>
      <c r="AM4920" s="12"/>
      <c r="AN4920" s="1"/>
      <c r="AO4920" s="6"/>
    </row>
    <row r="4921" spans="1:41" ht="15" x14ac:dyDescent="0.25">
      <c r="A4921" s="1"/>
      <c r="B4921" s="1"/>
      <c r="C4921" s="1"/>
      <c r="D4921" s="1"/>
      <c r="E4921" s="6"/>
      <c r="F4921" s="1"/>
      <c r="G4921" s="6"/>
      <c r="H4921" s="6"/>
      <c r="I4921" s="6"/>
      <c r="J4921" s="6"/>
      <c r="K4921" s="6"/>
      <c r="L4921" s="6"/>
      <c r="M4921" s="6"/>
      <c r="N4921" s="6"/>
      <c r="O4921" s="7"/>
      <c r="P4921" s="6"/>
      <c r="Q4921" s="6"/>
      <c r="R4921" s="7"/>
      <c r="S4921" s="6"/>
      <c r="T4921" s="6"/>
      <c r="U4921" s="7"/>
      <c r="V4921" s="6"/>
      <c r="W4921" s="6"/>
      <c r="X4921" s="12"/>
      <c r="Y4921" s="6"/>
      <c r="Z4921" s="6"/>
      <c r="AA4921" s="7"/>
      <c r="AB4921" s="6"/>
      <c r="AC4921" s="6"/>
      <c r="AD4921" s="6"/>
      <c r="AE4921" s="12"/>
      <c r="AF4921" s="6"/>
      <c r="AG4921" s="12"/>
      <c r="AH4921" s="6"/>
      <c r="AI4921" s="6"/>
      <c r="AJ4921" s="12"/>
      <c r="AK4921" s="1"/>
      <c r="AL4921" s="12"/>
      <c r="AM4921" s="12"/>
      <c r="AN4921" s="1"/>
      <c r="AO4921" s="6"/>
    </row>
    <row r="4922" spans="1:41" ht="15" x14ac:dyDescent="0.25">
      <c r="A4922" s="1"/>
      <c r="B4922" s="1"/>
      <c r="C4922" s="1"/>
      <c r="D4922" s="1"/>
      <c r="E4922" s="6"/>
      <c r="F4922" s="1"/>
      <c r="G4922" s="6"/>
      <c r="H4922" s="6"/>
      <c r="I4922" s="6"/>
      <c r="J4922" s="6"/>
      <c r="K4922" s="12"/>
      <c r="L4922" s="12"/>
      <c r="M4922" s="6"/>
      <c r="N4922" s="6"/>
      <c r="O4922" s="7"/>
      <c r="P4922" s="6"/>
      <c r="Q4922" s="6"/>
      <c r="R4922" s="7"/>
      <c r="S4922" s="6"/>
      <c r="T4922" s="6"/>
      <c r="U4922" s="7"/>
      <c r="V4922" s="6"/>
      <c r="W4922" s="6"/>
      <c r="X4922" s="12"/>
      <c r="Y4922" s="6"/>
      <c r="Z4922" s="6"/>
      <c r="AA4922" s="7"/>
      <c r="AB4922" s="6"/>
      <c r="AC4922" s="6"/>
      <c r="AD4922" s="6"/>
      <c r="AE4922" s="12"/>
      <c r="AF4922" s="12"/>
      <c r="AG4922" s="12"/>
      <c r="AH4922" s="12"/>
      <c r="AI4922" s="6"/>
      <c r="AJ4922" s="12"/>
      <c r="AK4922" s="1"/>
      <c r="AL4922" s="12"/>
      <c r="AM4922" s="12"/>
      <c r="AN4922" s="1"/>
      <c r="AO4922" s="12"/>
    </row>
    <row r="4923" spans="1:41" ht="15" x14ac:dyDescent="0.25">
      <c r="A4923" s="1"/>
      <c r="B4923" s="1"/>
      <c r="C4923" s="1"/>
      <c r="D4923" s="1"/>
      <c r="E4923" s="6"/>
      <c r="F4923" s="1"/>
      <c r="G4923" s="6"/>
      <c r="H4923" s="6"/>
      <c r="I4923" s="6"/>
      <c r="J4923" s="6"/>
      <c r="K4923" s="12"/>
      <c r="L4923" s="12"/>
      <c r="M4923" s="6"/>
      <c r="N4923" s="6"/>
      <c r="O4923" s="7"/>
      <c r="P4923" s="6"/>
      <c r="Q4923" s="6"/>
      <c r="R4923" s="7"/>
      <c r="S4923" s="6"/>
      <c r="T4923" s="6"/>
      <c r="U4923" s="7"/>
      <c r="V4923" s="6"/>
      <c r="W4923" s="6"/>
      <c r="X4923" s="12"/>
      <c r="Y4923" s="6"/>
      <c r="Z4923" s="6"/>
      <c r="AA4923" s="7"/>
      <c r="AB4923" s="6"/>
      <c r="AC4923" s="6"/>
      <c r="AD4923" s="6"/>
      <c r="AE4923" s="12"/>
      <c r="AF4923" s="12"/>
      <c r="AG4923" s="12"/>
      <c r="AH4923" s="12"/>
      <c r="AI4923" s="6"/>
      <c r="AJ4923" s="12"/>
      <c r="AK4923" s="1"/>
      <c r="AL4923" s="12"/>
      <c r="AM4923" s="12"/>
      <c r="AN4923" s="1"/>
      <c r="AO4923" s="12"/>
    </row>
    <row r="4924" spans="1:41" ht="15" x14ac:dyDescent="0.25">
      <c r="A4924" s="1"/>
      <c r="B4924" s="1"/>
      <c r="C4924" s="1"/>
      <c r="D4924" s="1"/>
      <c r="E4924" s="6"/>
      <c r="F4924" s="1"/>
      <c r="G4924" s="6"/>
      <c r="H4924" s="6"/>
      <c r="I4924" s="6"/>
      <c r="J4924" s="6"/>
      <c r="K4924" s="6"/>
      <c r="L4924" s="6"/>
      <c r="M4924" s="6"/>
      <c r="N4924" s="6"/>
      <c r="O4924" s="7"/>
      <c r="P4924" s="6"/>
      <c r="Q4924" s="6"/>
      <c r="R4924" s="7"/>
      <c r="S4924" s="6"/>
      <c r="T4924" s="6"/>
      <c r="U4924" s="7"/>
      <c r="V4924" s="6"/>
      <c r="W4924" s="6"/>
      <c r="X4924" s="12"/>
      <c r="Y4924" s="6"/>
      <c r="Z4924" s="6"/>
      <c r="AA4924" s="7"/>
      <c r="AB4924" s="6"/>
      <c r="AC4924" s="6"/>
      <c r="AD4924" s="6"/>
      <c r="AE4924" s="12"/>
      <c r="AF4924" s="6"/>
      <c r="AG4924" s="12"/>
      <c r="AH4924" s="6"/>
      <c r="AI4924" s="6"/>
      <c r="AJ4924" s="12"/>
      <c r="AK4924" s="24"/>
      <c r="AL4924" s="25"/>
      <c r="AM4924" s="12"/>
      <c r="AN4924" s="1"/>
      <c r="AO4924" s="6"/>
    </row>
    <row r="4925" spans="1:41" ht="15" x14ac:dyDescent="0.25">
      <c r="A4925" s="1"/>
      <c r="B4925" s="1"/>
      <c r="C4925" s="1"/>
      <c r="D4925" s="1"/>
      <c r="E4925" s="6"/>
      <c r="F4925" s="1"/>
      <c r="G4925" s="6"/>
      <c r="H4925" s="6"/>
      <c r="I4925" s="6"/>
      <c r="J4925" s="6"/>
      <c r="K4925" s="6"/>
      <c r="L4925" s="6"/>
      <c r="M4925" s="6"/>
      <c r="N4925" s="6"/>
      <c r="O4925" s="7"/>
      <c r="P4925" s="6"/>
      <c r="Q4925" s="6"/>
      <c r="R4925" s="7"/>
      <c r="S4925" s="6"/>
      <c r="T4925" s="6"/>
      <c r="U4925" s="7"/>
      <c r="V4925" s="6"/>
      <c r="W4925" s="6"/>
      <c r="X4925" s="12"/>
      <c r="Y4925" s="6"/>
      <c r="Z4925" s="6"/>
      <c r="AA4925" s="7"/>
      <c r="AB4925" s="6"/>
      <c r="AC4925" s="6"/>
      <c r="AD4925" s="6"/>
      <c r="AE4925" s="12"/>
      <c r="AF4925" s="6"/>
      <c r="AG4925" s="12"/>
      <c r="AH4925" s="6"/>
      <c r="AI4925" s="6"/>
      <c r="AJ4925" s="12"/>
      <c r="AK4925" s="24"/>
      <c r="AL4925" s="25"/>
      <c r="AM4925" s="12"/>
      <c r="AN4925" s="1"/>
      <c r="AO4925" s="6"/>
    </row>
    <row r="4926" spans="1:41" ht="15" x14ac:dyDescent="0.25">
      <c r="A4926" s="1"/>
      <c r="B4926" s="1"/>
      <c r="C4926" s="1"/>
      <c r="D4926" s="1"/>
      <c r="E4926" s="6"/>
      <c r="F4926" s="1"/>
      <c r="G4926" s="6"/>
      <c r="H4926" s="6"/>
      <c r="I4926" s="6"/>
      <c r="J4926" s="6"/>
      <c r="K4926" s="6"/>
      <c r="L4926" s="6"/>
      <c r="M4926" s="6"/>
      <c r="N4926" s="6"/>
      <c r="O4926" s="7"/>
      <c r="P4926" s="6"/>
      <c r="Q4926" s="6"/>
      <c r="R4926" s="7"/>
      <c r="S4926" s="6"/>
      <c r="T4926" s="6"/>
      <c r="U4926" s="7"/>
      <c r="V4926" s="6"/>
      <c r="W4926" s="6"/>
      <c r="X4926" s="12"/>
      <c r="Y4926" s="6"/>
      <c r="Z4926" s="6"/>
      <c r="AA4926" s="7"/>
      <c r="AB4926" s="6"/>
      <c r="AC4926" s="6"/>
      <c r="AD4926" s="6"/>
      <c r="AE4926" s="12"/>
      <c r="AF4926" s="6"/>
      <c r="AG4926" s="12"/>
      <c r="AH4926" s="6"/>
      <c r="AI4926" s="6"/>
      <c r="AJ4926" s="12"/>
      <c r="AK4926" s="1"/>
      <c r="AL4926" s="12"/>
      <c r="AM4926" s="12"/>
      <c r="AN4926" s="1"/>
      <c r="AO4926" s="6"/>
    </row>
    <row r="4927" spans="1:41" ht="15" x14ac:dyDescent="0.25">
      <c r="A4927" s="1"/>
      <c r="B4927" s="1"/>
      <c r="C4927" s="1"/>
      <c r="D4927" s="1"/>
      <c r="E4927" s="6"/>
      <c r="F4927" s="1"/>
      <c r="G4927" s="6"/>
      <c r="H4927" s="6"/>
      <c r="I4927" s="6"/>
      <c r="J4927" s="6"/>
      <c r="K4927" s="6"/>
      <c r="L4927" s="6"/>
      <c r="M4927" s="6"/>
      <c r="N4927" s="6"/>
      <c r="O4927" s="7"/>
      <c r="P4927" s="6"/>
      <c r="Q4927" s="6"/>
      <c r="R4927" s="7"/>
      <c r="S4927" s="6"/>
      <c r="T4927" s="6"/>
      <c r="U4927" s="7"/>
      <c r="V4927" s="6"/>
      <c r="W4927" s="6"/>
      <c r="X4927" s="12"/>
      <c r="Y4927" s="6"/>
      <c r="Z4927" s="6"/>
      <c r="AA4927" s="7"/>
      <c r="AB4927" s="6"/>
      <c r="AC4927" s="6"/>
      <c r="AD4927" s="6"/>
      <c r="AE4927" s="12"/>
      <c r="AF4927" s="6"/>
      <c r="AG4927" s="12"/>
      <c r="AH4927" s="6"/>
      <c r="AI4927" s="6"/>
      <c r="AJ4927" s="12"/>
      <c r="AK4927" s="1"/>
      <c r="AL4927" s="12"/>
      <c r="AM4927" s="12"/>
      <c r="AN4927" s="1"/>
      <c r="AO4927" s="6"/>
    </row>
    <row r="4928" spans="1:41" ht="15" x14ac:dyDescent="0.25">
      <c r="A4928" s="1"/>
      <c r="B4928" s="1"/>
      <c r="C4928" s="1"/>
      <c r="D4928" s="1"/>
      <c r="E4928" s="6"/>
      <c r="F4928" s="1"/>
      <c r="G4928" s="6"/>
      <c r="H4928" s="6"/>
      <c r="I4928" s="6"/>
      <c r="J4928" s="6"/>
      <c r="K4928" s="6"/>
      <c r="L4928" s="6"/>
      <c r="M4928" s="6"/>
      <c r="N4928" s="6"/>
      <c r="O4928" s="7"/>
      <c r="P4928" s="6"/>
      <c r="Q4928" s="6"/>
      <c r="R4928" s="7"/>
      <c r="S4928" s="6"/>
      <c r="T4928" s="6"/>
      <c r="U4928" s="6"/>
      <c r="V4928" s="6"/>
      <c r="W4928" s="6"/>
      <c r="X4928" s="7"/>
      <c r="Y4928" s="6"/>
      <c r="Z4928" s="6"/>
      <c r="AA4928" s="7"/>
      <c r="AB4928" s="6"/>
      <c r="AC4928" s="6"/>
      <c r="AD4928" s="6"/>
      <c r="AE4928" s="12"/>
      <c r="AF4928" s="6"/>
      <c r="AG4928" s="12"/>
      <c r="AH4928" s="6"/>
      <c r="AI4928" s="6"/>
      <c r="AJ4928" s="12"/>
      <c r="AK4928" s="6"/>
      <c r="AL4928" s="12"/>
      <c r="AM4928" s="12"/>
      <c r="AN4928" s="1"/>
      <c r="AO4928" s="6"/>
    </row>
    <row r="4929" spans="1:41" ht="15" x14ac:dyDescent="0.25">
      <c r="A4929" s="1"/>
      <c r="B4929" s="1"/>
      <c r="C4929" s="1"/>
      <c r="D4929" s="1"/>
      <c r="E4929" s="6"/>
      <c r="F4929" s="1"/>
      <c r="G4929" s="6"/>
      <c r="H4929" s="6"/>
      <c r="I4929" s="6"/>
      <c r="J4929" s="6"/>
      <c r="K4929" s="6"/>
      <c r="L4929" s="6"/>
      <c r="M4929" s="6"/>
      <c r="N4929" s="6"/>
      <c r="O4929" s="7"/>
      <c r="P4929" s="6"/>
      <c r="Q4929" s="6"/>
      <c r="R4929" s="7"/>
      <c r="S4929" s="6"/>
      <c r="T4929" s="6"/>
      <c r="U4929" s="6"/>
      <c r="V4929" s="6"/>
      <c r="W4929" s="6"/>
      <c r="X4929" s="7"/>
      <c r="Y4929" s="6"/>
      <c r="Z4929" s="6"/>
      <c r="AA4929" s="7"/>
      <c r="AB4929" s="6"/>
      <c r="AC4929" s="6"/>
      <c r="AD4929" s="6"/>
      <c r="AE4929" s="12"/>
      <c r="AF4929" s="6"/>
      <c r="AG4929" s="12"/>
      <c r="AH4929" s="6"/>
      <c r="AI4929" s="6"/>
      <c r="AJ4929" s="12"/>
      <c r="AK4929" s="6"/>
      <c r="AL4929" s="12"/>
      <c r="AM4929" s="12"/>
      <c r="AN4929" s="1"/>
      <c r="AO4929" s="6"/>
    </row>
    <row r="4930" spans="1:41" ht="15" x14ac:dyDescent="0.25">
      <c r="A4930" s="1"/>
      <c r="B4930" s="1"/>
      <c r="C4930" s="1"/>
      <c r="D4930" s="1"/>
      <c r="E4930" s="6"/>
      <c r="F4930" s="1"/>
      <c r="G4930" s="6"/>
      <c r="H4930" s="6"/>
      <c r="I4930" s="6"/>
      <c r="J4930" s="6"/>
      <c r="K4930" s="6"/>
      <c r="L4930" s="6"/>
      <c r="M4930" s="6"/>
      <c r="N4930" s="6"/>
      <c r="O4930" s="7"/>
      <c r="P4930" s="6"/>
      <c r="Q4930" s="6"/>
      <c r="R4930" s="7"/>
      <c r="S4930" s="6"/>
      <c r="T4930" s="6"/>
      <c r="U4930" s="7"/>
      <c r="V4930" s="6"/>
      <c r="W4930" s="6"/>
      <c r="X4930" s="6"/>
      <c r="Y4930" s="6"/>
      <c r="Z4930" s="6"/>
      <c r="AA4930" s="7"/>
      <c r="AB4930" s="6"/>
      <c r="AC4930" s="6"/>
      <c r="AD4930" s="6"/>
      <c r="AE4930" s="12"/>
      <c r="AF4930" s="12"/>
      <c r="AG4930" s="12"/>
      <c r="AH4930" s="12"/>
      <c r="AI4930" s="6"/>
      <c r="AJ4930" s="12"/>
      <c r="AK4930" s="1"/>
      <c r="AL4930" s="12"/>
      <c r="AM4930" s="12"/>
      <c r="AN4930" s="1"/>
      <c r="AO4930" s="6"/>
    </row>
    <row r="4931" spans="1:41" ht="15" x14ac:dyDescent="0.25">
      <c r="A4931" s="1"/>
      <c r="B4931" s="1"/>
      <c r="C4931" s="1"/>
      <c r="D4931" s="1"/>
      <c r="E4931" s="6"/>
      <c r="F4931" s="1"/>
      <c r="G4931" s="6"/>
      <c r="H4931" s="6"/>
      <c r="I4931" s="6"/>
      <c r="J4931" s="6"/>
      <c r="K4931" s="6"/>
      <c r="L4931" s="6"/>
      <c r="M4931" s="6"/>
      <c r="N4931" s="6"/>
      <c r="O4931" s="7"/>
      <c r="P4931" s="6"/>
      <c r="Q4931" s="7"/>
      <c r="R4931" s="6"/>
      <c r="S4931" s="12"/>
      <c r="T4931" s="6"/>
      <c r="U4931" s="6"/>
      <c r="V4931" s="7"/>
      <c r="W4931" s="7"/>
      <c r="X4931" s="6"/>
      <c r="Y4931" s="6"/>
      <c r="Z4931" s="6"/>
      <c r="AA4931" s="1"/>
      <c r="AB4931" s="12"/>
      <c r="AC4931" s="12"/>
      <c r="AD4931" s="12"/>
      <c r="AE4931" s="12"/>
      <c r="AF4931" s="12"/>
      <c r="AG4931" s="12"/>
      <c r="AH4931" s="12"/>
      <c r="AI4931" s="6"/>
      <c r="AJ4931" s="12"/>
      <c r="AK4931" s="12"/>
      <c r="AL4931" s="12"/>
      <c r="AM4931" s="12"/>
      <c r="AN4931" s="1"/>
      <c r="AO4931" s="6"/>
    </row>
    <row r="4932" spans="1:41" ht="15" x14ac:dyDescent="0.25">
      <c r="A4932" s="1"/>
      <c r="B4932" s="1"/>
      <c r="C4932" s="1"/>
      <c r="D4932" s="1"/>
      <c r="E4932" s="6"/>
      <c r="F4932" s="1"/>
      <c r="G4932" s="6"/>
      <c r="H4932" s="6"/>
      <c r="I4932" s="6"/>
      <c r="J4932" s="6"/>
      <c r="K4932" s="12"/>
      <c r="L4932" s="12"/>
      <c r="M4932" s="6"/>
      <c r="N4932" s="6"/>
      <c r="O4932" s="7"/>
      <c r="P4932" s="6"/>
      <c r="Q4932" s="6"/>
      <c r="R4932" s="7"/>
      <c r="S4932" s="6"/>
      <c r="T4932" s="6"/>
      <c r="U4932" s="7"/>
      <c r="V4932" s="6"/>
      <c r="W4932" s="6"/>
      <c r="X4932" s="6"/>
      <c r="Y4932" s="6"/>
      <c r="Z4932" s="6"/>
      <c r="AA4932" s="7"/>
      <c r="AB4932" s="6"/>
      <c r="AC4932" s="6"/>
      <c r="AD4932" s="6"/>
      <c r="AE4932" s="12"/>
      <c r="AF4932" s="12"/>
      <c r="AG4932" s="12"/>
      <c r="AH4932" s="12"/>
      <c r="AI4932" s="6"/>
      <c r="AJ4932" s="12"/>
      <c r="AK4932" s="1"/>
      <c r="AL4932" s="12"/>
      <c r="AM4932" s="12"/>
      <c r="AN4932" s="1"/>
      <c r="AO4932" s="6"/>
    </row>
    <row r="4933" spans="1:41" ht="15" x14ac:dyDescent="0.25">
      <c r="A4933" s="1"/>
      <c r="B4933" s="1"/>
      <c r="C4933" s="1"/>
      <c r="D4933" s="1"/>
      <c r="E4933" s="6"/>
      <c r="F4933" s="1"/>
      <c r="G4933" s="6"/>
      <c r="H4933" s="6"/>
      <c r="I4933" s="6"/>
      <c r="J4933" s="6"/>
      <c r="K4933" s="12"/>
      <c r="L4933" s="12"/>
      <c r="M4933" s="6"/>
      <c r="N4933" s="6"/>
      <c r="O4933" s="7"/>
      <c r="P4933" s="6"/>
      <c r="Q4933" s="6"/>
      <c r="R4933" s="7"/>
      <c r="S4933" s="6"/>
      <c r="T4933" s="6"/>
      <c r="U4933" s="7"/>
      <c r="V4933" s="6"/>
      <c r="W4933" s="6"/>
      <c r="X4933" s="12"/>
      <c r="Y4933" s="6"/>
      <c r="Z4933" s="6"/>
      <c r="AA4933" s="7"/>
      <c r="AB4933" s="6"/>
      <c r="AC4933" s="6"/>
      <c r="AD4933" s="6"/>
      <c r="AE4933" s="12"/>
      <c r="AF4933" s="12"/>
      <c r="AG4933" s="12"/>
      <c r="AH4933" s="12"/>
      <c r="AI4933" s="6"/>
      <c r="AJ4933" s="12"/>
      <c r="AK4933" s="1"/>
      <c r="AL4933" s="12"/>
      <c r="AM4933" s="12"/>
      <c r="AN4933" s="1"/>
      <c r="AO4933" s="6"/>
    </row>
    <row r="4934" spans="1:41" ht="15" x14ac:dyDescent="0.25">
      <c r="A4934" s="1"/>
      <c r="B4934" s="1"/>
      <c r="C4934" s="1"/>
      <c r="D4934" s="1"/>
      <c r="E4934" s="6"/>
      <c r="F4934" s="1"/>
      <c r="G4934" s="6"/>
      <c r="H4934" s="6"/>
      <c r="I4934" s="6"/>
      <c r="J4934" s="6"/>
      <c r="K4934" s="12"/>
      <c r="L4934" s="12"/>
      <c r="M4934" s="6"/>
      <c r="N4934" s="6"/>
      <c r="O4934" s="7"/>
      <c r="P4934" s="6"/>
      <c r="Q4934" s="6"/>
      <c r="R4934" s="7"/>
      <c r="S4934" s="6"/>
      <c r="T4934" s="6"/>
      <c r="U4934" s="7"/>
      <c r="V4934" s="6"/>
      <c r="W4934" s="6"/>
      <c r="X4934" s="12"/>
      <c r="Y4934" s="6"/>
      <c r="Z4934" s="6"/>
      <c r="AA4934" s="7"/>
      <c r="AB4934" s="6"/>
      <c r="AC4934" s="6"/>
      <c r="AD4934" s="6"/>
      <c r="AE4934" s="12"/>
      <c r="AF4934" s="12"/>
      <c r="AG4934" s="12"/>
      <c r="AH4934" s="12"/>
      <c r="AI4934" s="6"/>
      <c r="AJ4934" s="12"/>
      <c r="AK4934" s="1"/>
      <c r="AL4934" s="12"/>
      <c r="AM4934" s="12"/>
      <c r="AN4934" s="1"/>
      <c r="AO4934" s="6"/>
    </row>
    <row r="4935" spans="1:41" ht="15" x14ac:dyDescent="0.25">
      <c r="A4935" s="1"/>
      <c r="B4935" s="1"/>
      <c r="C4935" s="1"/>
      <c r="D4935" s="1"/>
      <c r="E4935" s="6"/>
      <c r="F4935" s="1"/>
      <c r="G4935" s="6"/>
      <c r="H4935" s="6"/>
      <c r="I4935" s="6"/>
      <c r="J4935" s="6"/>
      <c r="K4935" s="6"/>
      <c r="L4935" s="6"/>
      <c r="M4935" s="6"/>
      <c r="N4935" s="6"/>
      <c r="O4935" s="7"/>
      <c r="P4935" s="6"/>
      <c r="Q4935" s="6"/>
      <c r="R4935" s="7"/>
      <c r="S4935" s="6"/>
      <c r="T4935" s="6"/>
      <c r="U4935" s="7"/>
      <c r="V4935" s="6"/>
      <c r="W4935" s="6"/>
      <c r="X4935" s="6"/>
      <c r="Y4935" s="6"/>
      <c r="Z4935" s="6"/>
      <c r="AA4935" s="7"/>
      <c r="AB4935" s="6"/>
      <c r="AC4935" s="6"/>
      <c r="AD4935" s="6"/>
      <c r="AE4935" s="12"/>
      <c r="AF4935" s="6"/>
      <c r="AG4935" s="12"/>
      <c r="AH4935" s="6"/>
      <c r="AI4935" s="6"/>
      <c r="AJ4935" s="12"/>
      <c r="AK4935" s="1"/>
      <c r="AL4935" s="12"/>
      <c r="AM4935" s="12"/>
      <c r="AN4935" s="1"/>
      <c r="AO4935" s="6"/>
    </row>
    <row r="4936" spans="1:41" ht="15" x14ac:dyDescent="0.25">
      <c r="A4936" s="1"/>
      <c r="B4936" s="1"/>
      <c r="C4936" s="1"/>
      <c r="D4936" s="1"/>
      <c r="E4936" s="6"/>
      <c r="F4936" s="1"/>
      <c r="G4936" s="6"/>
      <c r="H4936" s="6"/>
      <c r="I4936" s="6"/>
      <c r="J4936" s="6"/>
      <c r="K4936" s="6"/>
      <c r="L4936" s="6"/>
      <c r="M4936" s="6"/>
      <c r="N4936" s="6"/>
      <c r="O4936" s="7"/>
      <c r="P4936" s="6"/>
      <c r="Q4936" s="6"/>
      <c r="R4936" s="7"/>
      <c r="S4936" s="6"/>
      <c r="T4936" s="6"/>
      <c r="U4936" s="7"/>
      <c r="V4936" s="6"/>
      <c r="W4936" s="6"/>
      <c r="X4936" s="6"/>
      <c r="Y4936" s="6"/>
      <c r="Z4936" s="6"/>
      <c r="AA4936" s="7"/>
      <c r="AB4936" s="6"/>
      <c r="AC4936" s="6"/>
      <c r="AD4936" s="6"/>
      <c r="AE4936" s="12"/>
      <c r="AF4936" s="6"/>
      <c r="AG4936" s="12"/>
      <c r="AH4936" s="6"/>
      <c r="AI4936" s="6"/>
      <c r="AJ4936" s="12"/>
      <c r="AK4936" s="1"/>
      <c r="AL4936" s="12"/>
      <c r="AM4936" s="12"/>
      <c r="AN4936" s="1"/>
      <c r="AO4936" s="6"/>
    </row>
    <row r="4937" spans="1:41" ht="15" x14ac:dyDescent="0.25">
      <c r="A4937" s="1"/>
      <c r="B4937" s="1"/>
      <c r="C4937" s="1"/>
      <c r="D4937" s="1"/>
      <c r="E4937" s="6"/>
      <c r="F4937" s="1"/>
      <c r="G4937" s="6"/>
      <c r="H4937" s="6"/>
      <c r="I4937" s="6"/>
      <c r="J4937" s="6"/>
      <c r="K4937" s="6"/>
      <c r="L4937" s="6"/>
      <c r="M4937" s="6"/>
      <c r="N4937" s="6"/>
      <c r="O4937" s="7"/>
      <c r="P4937" s="6"/>
      <c r="Q4937" s="7"/>
      <c r="R4937" s="6"/>
      <c r="S4937" s="12"/>
      <c r="T4937" s="6"/>
      <c r="U4937" s="6"/>
      <c r="V4937" s="7"/>
      <c r="W4937" s="7"/>
      <c r="X4937" s="6"/>
      <c r="Y4937" s="6"/>
      <c r="Z4937" s="6"/>
      <c r="AA4937" s="1"/>
      <c r="AB4937" s="12"/>
      <c r="AC4937" s="12"/>
      <c r="AD4937" s="12"/>
      <c r="AE4937" s="12"/>
      <c r="AF4937" s="12"/>
      <c r="AG4937" s="12"/>
      <c r="AH4937" s="12"/>
      <c r="AI4937" s="6"/>
      <c r="AJ4937" s="12"/>
      <c r="AK4937" s="12"/>
      <c r="AL4937" s="12"/>
      <c r="AM4937" s="12"/>
      <c r="AN4937" s="1"/>
      <c r="AO4937" s="6"/>
    </row>
    <row r="4938" spans="1:41" ht="15" x14ac:dyDescent="0.25">
      <c r="A4938" s="1"/>
      <c r="B4938" s="1"/>
      <c r="C4938" s="1"/>
      <c r="D4938" s="1"/>
      <c r="E4938" s="6"/>
      <c r="F4938" s="1"/>
      <c r="G4938" s="6"/>
      <c r="H4938" s="6"/>
      <c r="I4938" s="6"/>
      <c r="J4938" s="6"/>
      <c r="K4938" s="12"/>
      <c r="L4938" s="12"/>
      <c r="M4938" s="6"/>
      <c r="N4938" s="6"/>
      <c r="O4938" s="7"/>
      <c r="P4938" s="6"/>
      <c r="Q4938" s="6"/>
      <c r="R4938" s="7"/>
      <c r="S4938" s="6"/>
      <c r="T4938" s="6"/>
      <c r="U4938" s="7"/>
      <c r="V4938" s="6"/>
      <c r="W4938" s="6"/>
      <c r="X4938" s="6"/>
      <c r="Y4938" s="6"/>
      <c r="Z4938" s="6"/>
      <c r="AA4938" s="7"/>
      <c r="AB4938" s="6"/>
      <c r="AC4938" s="6"/>
      <c r="AD4938" s="6"/>
      <c r="AE4938" s="12"/>
      <c r="AF4938" s="12"/>
      <c r="AG4938" s="12"/>
      <c r="AH4938" s="12"/>
      <c r="AI4938" s="6"/>
      <c r="AJ4938" s="12"/>
      <c r="AK4938" s="1"/>
      <c r="AL4938" s="12"/>
      <c r="AM4938" s="12"/>
      <c r="AN4938" s="1"/>
      <c r="AO4938" s="6"/>
    </row>
    <row r="4939" spans="1:41" ht="15" x14ac:dyDescent="0.25">
      <c r="A4939" s="1"/>
      <c r="B4939" s="1"/>
      <c r="C4939" s="1"/>
      <c r="D4939" s="1"/>
      <c r="E4939" s="6"/>
      <c r="F4939" s="1"/>
      <c r="G4939" s="6"/>
      <c r="H4939" s="6"/>
      <c r="I4939" s="6"/>
      <c r="J4939" s="6"/>
      <c r="K4939" s="6"/>
      <c r="L4939" s="6"/>
      <c r="M4939" s="6"/>
      <c r="N4939" s="6"/>
      <c r="O4939" s="7"/>
      <c r="P4939" s="6"/>
      <c r="Q4939" s="6"/>
      <c r="R4939" s="7"/>
      <c r="S4939" s="6"/>
      <c r="T4939" s="6"/>
      <c r="U4939" s="7"/>
      <c r="V4939" s="6"/>
      <c r="W4939" s="6"/>
      <c r="X4939" s="6"/>
      <c r="Y4939" s="6"/>
      <c r="Z4939" s="6"/>
      <c r="AA4939" s="7"/>
      <c r="AB4939" s="6"/>
      <c r="AC4939" s="6"/>
      <c r="AD4939" s="6"/>
      <c r="AE4939" s="12"/>
      <c r="AF4939" s="12"/>
      <c r="AG4939" s="12"/>
      <c r="AH4939" s="12"/>
      <c r="AI4939" s="6"/>
      <c r="AJ4939" s="12"/>
      <c r="AK4939" s="1"/>
      <c r="AL4939" s="12"/>
      <c r="AM4939" s="12"/>
      <c r="AN4939" s="1"/>
      <c r="AO4939" s="6"/>
    </row>
    <row r="4940" spans="1:41" ht="15" x14ac:dyDescent="0.25">
      <c r="A4940" s="1"/>
      <c r="B4940" s="1"/>
      <c r="C4940" s="1"/>
      <c r="D4940" s="1"/>
      <c r="E4940" s="6"/>
      <c r="F4940" s="1"/>
      <c r="G4940" s="6"/>
      <c r="H4940" s="6"/>
      <c r="I4940" s="6"/>
      <c r="J4940" s="6"/>
      <c r="K4940" s="6"/>
      <c r="L4940" s="6"/>
      <c r="M4940" s="6"/>
      <c r="N4940" s="6"/>
      <c r="O4940" s="7"/>
      <c r="P4940" s="6"/>
      <c r="Q4940" s="6"/>
      <c r="R4940" s="12"/>
      <c r="S4940" s="12"/>
      <c r="T4940" s="12"/>
      <c r="U4940" s="7"/>
      <c r="V4940" s="6"/>
      <c r="W4940" s="6"/>
      <c r="X4940" s="12"/>
      <c r="Y4940" s="6"/>
      <c r="Z4940" s="6"/>
      <c r="AA4940" s="7"/>
      <c r="AB4940" s="6"/>
      <c r="AC4940" s="6"/>
      <c r="AD4940" s="6"/>
      <c r="AE4940" s="12"/>
      <c r="AF4940" s="12"/>
      <c r="AG4940" s="12"/>
      <c r="AH4940" s="12"/>
      <c r="AI4940" s="6"/>
      <c r="AJ4940" s="12"/>
      <c r="AK4940" s="1"/>
      <c r="AL4940" s="12"/>
      <c r="AM4940" s="12"/>
      <c r="AN4940" s="1"/>
      <c r="AO4940" s="6"/>
    </row>
    <row r="4941" spans="1:41" ht="15" x14ac:dyDescent="0.25">
      <c r="A4941" s="1"/>
      <c r="B4941" s="1"/>
      <c r="C4941" s="1"/>
      <c r="D4941" s="1"/>
      <c r="E4941" s="6"/>
      <c r="F4941" s="1"/>
      <c r="G4941" s="6"/>
      <c r="H4941" s="6"/>
      <c r="I4941" s="6"/>
      <c r="J4941" s="6"/>
      <c r="K4941" s="6"/>
      <c r="L4941" s="6"/>
      <c r="M4941" s="6"/>
      <c r="N4941" s="6"/>
      <c r="O4941" s="7"/>
      <c r="P4941" s="6"/>
      <c r="Q4941" s="6"/>
      <c r="R4941" s="12"/>
      <c r="S4941" s="12"/>
      <c r="T4941" s="12"/>
      <c r="U4941" s="7"/>
      <c r="V4941" s="6"/>
      <c r="W4941" s="6"/>
      <c r="X4941" s="12"/>
      <c r="Y4941" s="6"/>
      <c r="Z4941" s="6"/>
      <c r="AA4941" s="7"/>
      <c r="AB4941" s="6"/>
      <c r="AC4941" s="6"/>
      <c r="AD4941" s="6"/>
      <c r="AE4941" s="12"/>
      <c r="AF4941" s="12"/>
      <c r="AG4941" s="12"/>
      <c r="AH4941" s="12"/>
      <c r="AI4941" s="6"/>
      <c r="AJ4941" s="12"/>
      <c r="AK4941" s="1"/>
      <c r="AL4941" s="12"/>
      <c r="AM4941" s="12"/>
      <c r="AN4941" s="1"/>
      <c r="AO4941" s="6"/>
    </row>
    <row r="4942" spans="1:41" ht="15" x14ac:dyDescent="0.25">
      <c r="A4942" s="1"/>
      <c r="B4942" s="1"/>
      <c r="C4942" s="1"/>
      <c r="D4942" s="1"/>
      <c r="E4942" s="6"/>
      <c r="F4942" s="1"/>
      <c r="G4942" s="6"/>
      <c r="H4942" s="6"/>
      <c r="I4942" s="6"/>
      <c r="J4942" s="6"/>
      <c r="K4942" s="6"/>
      <c r="L4942" s="6"/>
      <c r="M4942" s="6"/>
      <c r="N4942" s="6"/>
      <c r="O4942" s="7"/>
      <c r="P4942" s="6"/>
      <c r="Q4942" s="6"/>
      <c r="R4942" s="7"/>
      <c r="S4942" s="6"/>
      <c r="T4942" s="6"/>
      <c r="U4942" s="7"/>
      <c r="V4942" s="6"/>
      <c r="W4942" s="6"/>
      <c r="X4942" s="12"/>
      <c r="Y4942" s="6"/>
      <c r="Z4942" s="6"/>
      <c r="AA4942" s="7"/>
      <c r="AB4942" s="6"/>
      <c r="AC4942" s="6"/>
      <c r="AD4942" s="6"/>
      <c r="AE4942" s="12"/>
      <c r="AF4942" s="6"/>
      <c r="AG4942" s="12"/>
      <c r="AH4942" s="6"/>
      <c r="AI4942" s="6"/>
      <c r="AJ4942" s="12"/>
      <c r="AK4942" s="1"/>
      <c r="AL4942" s="12"/>
      <c r="AM4942" s="12"/>
      <c r="AN4942" s="1"/>
      <c r="AO4942" s="6"/>
    </row>
    <row r="4943" spans="1:41" ht="15" x14ac:dyDescent="0.25">
      <c r="A4943" s="1"/>
      <c r="B4943" s="1"/>
      <c r="C4943" s="1"/>
      <c r="D4943" s="1"/>
      <c r="E4943" s="6"/>
      <c r="F4943" s="1"/>
      <c r="G4943" s="6"/>
      <c r="H4943" s="6"/>
      <c r="I4943" s="6"/>
      <c r="J4943" s="6"/>
      <c r="K4943" s="6"/>
      <c r="L4943" s="6"/>
      <c r="M4943" s="6"/>
      <c r="N4943" s="6"/>
      <c r="O4943" s="7"/>
      <c r="P4943" s="6"/>
      <c r="Q4943" s="6"/>
      <c r="R4943" s="7"/>
      <c r="S4943" s="6"/>
      <c r="T4943" s="6"/>
      <c r="U4943" s="7"/>
      <c r="V4943" s="6"/>
      <c r="W4943" s="6"/>
      <c r="X4943" s="12"/>
      <c r="Y4943" s="6"/>
      <c r="Z4943" s="6"/>
      <c r="AA4943" s="7"/>
      <c r="AB4943" s="6"/>
      <c r="AC4943" s="6"/>
      <c r="AD4943" s="6"/>
      <c r="AE4943" s="12"/>
      <c r="AF4943" s="6"/>
      <c r="AG4943" s="12"/>
      <c r="AH4943" s="6"/>
      <c r="AI4943" s="6"/>
      <c r="AJ4943" s="12"/>
      <c r="AK4943" s="1"/>
      <c r="AL4943" s="12"/>
      <c r="AM4943" s="12"/>
      <c r="AN4943" s="1"/>
      <c r="AO4943" s="6"/>
    </row>
    <row r="4944" spans="1:41" ht="15" x14ac:dyDescent="0.25">
      <c r="A4944" s="1"/>
      <c r="B4944" s="1"/>
      <c r="C4944" s="1"/>
      <c r="D4944" s="1"/>
      <c r="E4944" s="6"/>
      <c r="F4944" s="1"/>
      <c r="G4944" s="6"/>
      <c r="H4944" s="6"/>
      <c r="I4944" s="6"/>
      <c r="J4944" s="6"/>
      <c r="K4944" s="6"/>
      <c r="L4944" s="6"/>
      <c r="M4944" s="6"/>
      <c r="N4944" s="6"/>
      <c r="O4944" s="7"/>
      <c r="P4944" s="6"/>
      <c r="Q4944" s="6"/>
      <c r="R4944" s="7"/>
      <c r="S4944" s="6"/>
      <c r="T4944" s="6"/>
      <c r="U4944" s="7"/>
      <c r="V4944" s="6"/>
      <c r="W4944" s="6"/>
      <c r="X4944" s="6"/>
      <c r="Y4944" s="6"/>
      <c r="Z4944" s="6"/>
      <c r="AA4944" s="7"/>
      <c r="AB4944" s="6"/>
      <c r="AC4944" s="6"/>
      <c r="AD4944" s="6"/>
      <c r="AE4944" s="12"/>
      <c r="AF4944" s="6"/>
      <c r="AG4944" s="12"/>
      <c r="AH4944" s="6"/>
      <c r="AI4944" s="6"/>
      <c r="AJ4944" s="12"/>
      <c r="AK4944" s="1"/>
      <c r="AL4944" s="12"/>
      <c r="AM4944" s="12"/>
      <c r="AN4944" s="1"/>
      <c r="AO4944" s="6"/>
    </row>
    <row r="4945" spans="1:41" ht="15" x14ac:dyDescent="0.25">
      <c r="A4945" s="1"/>
      <c r="B4945" s="1"/>
      <c r="C4945" s="1"/>
      <c r="D4945" s="1"/>
      <c r="E4945" s="6"/>
      <c r="F4945" s="1"/>
      <c r="G4945" s="6"/>
      <c r="H4945" s="6"/>
      <c r="I4945" s="6"/>
      <c r="J4945" s="6"/>
      <c r="K4945" s="12"/>
      <c r="L4945" s="6"/>
      <c r="M4945" s="6"/>
      <c r="N4945" s="6"/>
      <c r="O4945" s="7"/>
      <c r="P4945" s="6"/>
      <c r="Q4945" s="6"/>
      <c r="R4945" s="7"/>
      <c r="S4945" s="6"/>
      <c r="T4945" s="6"/>
      <c r="U4945" s="7"/>
      <c r="V4945" s="6"/>
      <c r="W4945" s="6"/>
      <c r="X4945" s="12"/>
      <c r="Y4945" s="6"/>
      <c r="Z4945" s="6"/>
      <c r="AA4945" s="7"/>
      <c r="AB4945" s="6"/>
      <c r="AC4945" s="6"/>
      <c r="AD4945" s="6"/>
      <c r="AE4945" s="12"/>
      <c r="AF4945" s="6"/>
      <c r="AG4945" s="12"/>
      <c r="AH4945" s="6"/>
      <c r="AI4945" s="6"/>
      <c r="AJ4945" s="12"/>
      <c r="AK4945" s="1"/>
      <c r="AL4945" s="12"/>
      <c r="AM4945" s="12"/>
      <c r="AN4945" s="1"/>
      <c r="AO4945" s="6"/>
    </row>
    <row r="4946" spans="1:41" ht="15" x14ac:dyDescent="0.25">
      <c r="A4946" s="1"/>
      <c r="B4946" s="1"/>
      <c r="C4946" s="1"/>
      <c r="D4946" s="1"/>
      <c r="E4946" s="6"/>
      <c r="F4946" s="1"/>
      <c r="G4946" s="6"/>
      <c r="H4946" s="6"/>
      <c r="I4946" s="6"/>
      <c r="J4946" s="6"/>
      <c r="K4946" s="12"/>
      <c r="L4946" s="6"/>
      <c r="M4946" s="6"/>
      <c r="N4946" s="6"/>
      <c r="O4946" s="7"/>
      <c r="P4946" s="6"/>
      <c r="Q4946" s="6"/>
      <c r="R4946" s="7"/>
      <c r="S4946" s="6"/>
      <c r="T4946" s="6"/>
      <c r="U4946" s="7"/>
      <c r="V4946" s="6"/>
      <c r="W4946" s="6"/>
      <c r="X4946" s="12"/>
      <c r="Y4946" s="6"/>
      <c r="Z4946" s="6"/>
      <c r="AA4946" s="7"/>
      <c r="AB4946" s="6"/>
      <c r="AC4946" s="6"/>
      <c r="AD4946" s="6"/>
      <c r="AE4946" s="12"/>
      <c r="AF4946" s="6"/>
      <c r="AG4946" s="12"/>
      <c r="AH4946" s="6"/>
      <c r="AI4946" s="6"/>
      <c r="AJ4946" s="12"/>
      <c r="AK4946" s="1"/>
      <c r="AL4946" s="12"/>
      <c r="AM4946" s="12"/>
      <c r="AN4946" s="1"/>
      <c r="AO4946" s="6"/>
    </row>
    <row r="4947" spans="1:41" ht="15" x14ac:dyDescent="0.25">
      <c r="A4947" s="1"/>
      <c r="B4947" s="1"/>
      <c r="C4947" s="1"/>
      <c r="D4947" s="1"/>
      <c r="E4947" s="6"/>
      <c r="F4947" s="1"/>
      <c r="G4947" s="6"/>
      <c r="H4947" s="6"/>
      <c r="I4947" s="6"/>
      <c r="J4947" s="6"/>
      <c r="K4947" s="6"/>
      <c r="L4947" s="6"/>
      <c r="M4947" s="6"/>
      <c r="N4947" s="6"/>
      <c r="O4947" s="7"/>
      <c r="P4947" s="6"/>
      <c r="Q4947" s="6"/>
      <c r="R4947" s="7"/>
      <c r="S4947" s="6"/>
      <c r="T4947" s="6"/>
      <c r="U4947" s="7"/>
      <c r="V4947" s="6"/>
      <c r="W4947" s="6"/>
      <c r="X4947" s="6"/>
      <c r="Y4947" s="6"/>
      <c r="Z4947" s="6"/>
      <c r="AA4947" s="7"/>
      <c r="AB4947" s="6"/>
      <c r="AC4947" s="6"/>
      <c r="AD4947" s="6"/>
      <c r="AE4947" s="12"/>
      <c r="AF4947" s="6"/>
      <c r="AG4947" s="12"/>
      <c r="AH4947" s="6"/>
      <c r="AI4947" s="6"/>
      <c r="AJ4947" s="12"/>
      <c r="AK4947" s="1"/>
      <c r="AL4947" s="12"/>
      <c r="AM4947" s="12"/>
      <c r="AN4947" s="1"/>
      <c r="AO4947" s="6"/>
    </row>
    <row r="4948" spans="1:41" ht="15" x14ac:dyDescent="0.25">
      <c r="A4948" s="1"/>
      <c r="B4948" s="1"/>
      <c r="C4948" s="1"/>
      <c r="D4948" s="1"/>
      <c r="E4948" s="6"/>
      <c r="F4948" s="1"/>
      <c r="G4948" s="6"/>
      <c r="H4948" s="6"/>
      <c r="I4948" s="6"/>
      <c r="J4948" s="6"/>
      <c r="K4948" s="6"/>
      <c r="L4948" s="6"/>
      <c r="M4948" s="6"/>
      <c r="N4948" s="6"/>
      <c r="O4948" s="7"/>
      <c r="P4948" s="6"/>
      <c r="Q4948" s="6"/>
      <c r="R4948" s="7"/>
      <c r="S4948" s="6"/>
      <c r="T4948" s="6"/>
      <c r="U4948" s="7"/>
      <c r="V4948" s="6"/>
      <c r="W4948" s="6"/>
      <c r="X4948" s="6"/>
      <c r="Y4948" s="6"/>
      <c r="Z4948" s="6"/>
      <c r="AA4948" s="7"/>
      <c r="AB4948" s="6"/>
      <c r="AC4948" s="6"/>
      <c r="AD4948" s="6"/>
      <c r="AE4948" s="12"/>
      <c r="AF4948" s="6"/>
      <c r="AG4948" s="12"/>
      <c r="AH4948" s="6"/>
      <c r="AI4948" s="6"/>
      <c r="AJ4948" s="12"/>
      <c r="AK4948" s="1"/>
      <c r="AL4948" s="12"/>
      <c r="AM4948" s="12"/>
      <c r="AN4948" s="1"/>
      <c r="AO4948" s="6"/>
    </row>
    <row r="4949" spans="1:41" ht="15" x14ac:dyDescent="0.25">
      <c r="A4949" s="1"/>
      <c r="B4949" s="1"/>
      <c r="C4949" s="1"/>
      <c r="D4949" s="1"/>
      <c r="E4949" s="6"/>
      <c r="F4949" s="1"/>
      <c r="G4949" s="6"/>
      <c r="H4949" s="6"/>
      <c r="I4949" s="6"/>
      <c r="J4949" s="6"/>
      <c r="K4949" s="6"/>
      <c r="L4949" s="6"/>
      <c r="M4949" s="6"/>
      <c r="N4949" s="6"/>
      <c r="O4949" s="7"/>
      <c r="P4949" s="6"/>
      <c r="Q4949" s="6"/>
      <c r="R4949" s="7"/>
      <c r="S4949" s="6"/>
      <c r="T4949" s="6"/>
      <c r="U4949" s="7"/>
      <c r="V4949" s="6"/>
      <c r="W4949" s="6"/>
      <c r="X4949" s="6"/>
      <c r="Y4949" s="6"/>
      <c r="Z4949" s="6"/>
      <c r="AA4949" s="7"/>
      <c r="AB4949" s="6"/>
      <c r="AC4949" s="6"/>
      <c r="AD4949" s="6"/>
      <c r="AE4949" s="12"/>
      <c r="AF4949" s="6"/>
      <c r="AG4949" s="12"/>
      <c r="AH4949" s="6"/>
      <c r="AI4949" s="6"/>
      <c r="AJ4949" s="12"/>
      <c r="AK4949" s="24"/>
      <c r="AL4949" s="25"/>
      <c r="AM4949" s="12"/>
      <c r="AN4949" s="1"/>
      <c r="AO4949" s="6"/>
    </row>
    <row r="4950" spans="1:41" ht="15" x14ac:dyDescent="0.25">
      <c r="A4950" s="1"/>
      <c r="B4950" s="1"/>
      <c r="C4950" s="1"/>
      <c r="D4950" s="1"/>
      <c r="E4950" s="6"/>
      <c r="F4950" s="1"/>
      <c r="G4950" s="6"/>
      <c r="H4950" s="6"/>
      <c r="I4950" s="6"/>
      <c r="J4950" s="6"/>
      <c r="K4950" s="6"/>
      <c r="L4950" s="6"/>
      <c r="M4950" s="6"/>
      <c r="N4950" s="6"/>
      <c r="O4950" s="7"/>
      <c r="P4950" s="6"/>
      <c r="Q4950" s="6"/>
      <c r="R4950" s="7"/>
      <c r="S4950" s="6"/>
      <c r="T4950" s="6"/>
      <c r="U4950" s="7"/>
      <c r="V4950" s="6"/>
      <c r="W4950" s="6"/>
      <c r="X4950" s="6"/>
      <c r="Y4950" s="6"/>
      <c r="Z4950" s="6"/>
      <c r="AA4950" s="7"/>
      <c r="AB4950" s="6"/>
      <c r="AC4950" s="6"/>
      <c r="AD4950" s="6"/>
      <c r="AE4950" s="12"/>
      <c r="AF4950" s="6"/>
      <c r="AG4950" s="12"/>
      <c r="AH4950" s="6"/>
      <c r="AI4950" s="6"/>
      <c r="AJ4950" s="12"/>
      <c r="AK4950" s="24"/>
      <c r="AL4950" s="25"/>
      <c r="AM4950" s="12"/>
      <c r="AN4950" s="1"/>
      <c r="AO4950" s="6"/>
    </row>
    <row r="4951" spans="1:41" ht="15" x14ac:dyDescent="0.25">
      <c r="A4951" s="1"/>
      <c r="B4951" s="1"/>
      <c r="C4951" s="1"/>
      <c r="D4951" s="1"/>
      <c r="E4951" s="6"/>
      <c r="F4951" s="1"/>
      <c r="G4951" s="6"/>
      <c r="H4951" s="6"/>
      <c r="I4951" s="6"/>
      <c r="J4951" s="6"/>
      <c r="K4951" s="6"/>
      <c r="L4951" s="6"/>
      <c r="M4951" s="6"/>
      <c r="N4951" s="6"/>
      <c r="O4951" s="7"/>
      <c r="P4951" s="6"/>
      <c r="Q4951" s="6"/>
      <c r="R4951" s="7"/>
      <c r="S4951" s="6"/>
      <c r="T4951" s="6"/>
      <c r="U4951" s="7"/>
      <c r="V4951" s="6"/>
      <c r="W4951" s="6"/>
      <c r="X4951" s="12"/>
      <c r="Y4951" s="6"/>
      <c r="Z4951" s="6"/>
      <c r="AA4951" s="7"/>
      <c r="AB4951" s="6"/>
      <c r="AC4951" s="6"/>
      <c r="AD4951" s="6"/>
      <c r="AE4951" s="12"/>
      <c r="AF4951" s="6"/>
      <c r="AG4951" s="12"/>
      <c r="AH4951" s="6"/>
      <c r="AI4951" s="6"/>
      <c r="AJ4951" s="12"/>
      <c r="AK4951" s="24"/>
      <c r="AL4951" s="25"/>
      <c r="AM4951" s="12"/>
      <c r="AN4951" s="1"/>
      <c r="AO4951" s="6"/>
    </row>
    <row r="4952" spans="1:41" ht="15" x14ac:dyDescent="0.25">
      <c r="A4952" s="1"/>
      <c r="B4952" s="1"/>
      <c r="C4952" s="1"/>
      <c r="D4952" s="1"/>
      <c r="E4952" s="6"/>
      <c r="F4952" s="1"/>
      <c r="G4952" s="6"/>
      <c r="H4952" s="6"/>
      <c r="I4952" s="6"/>
      <c r="J4952" s="6"/>
      <c r="K4952" s="6"/>
      <c r="L4952" s="6"/>
      <c r="M4952" s="6"/>
      <c r="N4952" s="6"/>
      <c r="O4952" s="7"/>
      <c r="P4952" s="6"/>
      <c r="Q4952" s="6"/>
      <c r="R4952" s="7"/>
      <c r="S4952" s="6"/>
      <c r="T4952" s="6"/>
      <c r="U4952" s="7"/>
      <c r="V4952" s="6"/>
      <c r="W4952" s="6"/>
      <c r="X4952" s="12"/>
      <c r="Y4952" s="6"/>
      <c r="Z4952" s="6"/>
      <c r="AA4952" s="7"/>
      <c r="AB4952" s="6"/>
      <c r="AC4952" s="6"/>
      <c r="AD4952" s="6"/>
      <c r="AE4952" s="12"/>
      <c r="AF4952" s="6"/>
      <c r="AG4952" s="12"/>
      <c r="AH4952" s="6"/>
      <c r="AI4952" s="6"/>
      <c r="AJ4952" s="12"/>
      <c r="AK4952" s="24"/>
      <c r="AL4952" s="25"/>
      <c r="AM4952" s="12"/>
      <c r="AN4952" s="1"/>
      <c r="AO4952" s="6"/>
    </row>
    <row r="4953" spans="1:41" ht="15" x14ac:dyDescent="0.25">
      <c r="A4953" s="1"/>
      <c r="B4953" s="1"/>
      <c r="C4953" s="1"/>
      <c r="D4953" s="1"/>
      <c r="E4953" s="6"/>
      <c r="F4953" s="1"/>
      <c r="G4953" s="6"/>
      <c r="H4953" s="6"/>
      <c r="I4953" s="6"/>
      <c r="J4953" s="6"/>
      <c r="K4953" s="6"/>
      <c r="L4953" s="6"/>
      <c r="M4953" s="6"/>
      <c r="N4953" s="6"/>
      <c r="O4953" s="7"/>
      <c r="P4953" s="6"/>
      <c r="Q4953" s="6"/>
      <c r="R4953" s="7"/>
      <c r="S4953" s="6"/>
      <c r="T4953" s="6"/>
      <c r="U4953" s="7"/>
      <c r="V4953" s="6"/>
      <c r="W4953" s="6"/>
      <c r="X4953" s="6"/>
      <c r="Y4953" s="6"/>
      <c r="Z4953" s="6"/>
      <c r="AA4953" s="7"/>
      <c r="AB4953" s="6"/>
      <c r="AC4953" s="6"/>
      <c r="AD4953" s="6"/>
      <c r="AE4953" s="12"/>
      <c r="AF4953" s="6"/>
      <c r="AG4953" s="12"/>
      <c r="AH4953" s="6"/>
      <c r="AI4953" s="6"/>
      <c r="AJ4953" s="12"/>
      <c r="AK4953" s="1"/>
      <c r="AL4953" s="12"/>
      <c r="AM4953" s="12"/>
      <c r="AN4953" s="1"/>
      <c r="AO4953" s="6"/>
    </row>
    <row r="4954" spans="1:41" ht="15" x14ac:dyDescent="0.25">
      <c r="A4954" s="1"/>
      <c r="B4954" s="1"/>
      <c r="C4954" s="1"/>
      <c r="D4954" s="1"/>
      <c r="E4954" s="6"/>
      <c r="F4954" s="1"/>
      <c r="G4954" s="6"/>
      <c r="H4954" s="6"/>
      <c r="I4954" s="6"/>
      <c r="J4954" s="6"/>
      <c r="K4954" s="6"/>
      <c r="L4954" s="6"/>
      <c r="M4954" s="6"/>
      <c r="N4954" s="6"/>
      <c r="O4954" s="7"/>
      <c r="P4954" s="6"/>
      <c r="Q4954" s="6"/>
      <c r="R4954" s="7"/>
      <c r="S4954" s="6"/>
      <c r="T4954" s="6"/>
      <c r="U4954" s="7"/>
      <c r="V4954" s="6"/>
      <c r="W4954" s="6"/>
      <c r="X4954" s="6"/>
      <c r="Y4954" s="6"/>
      <c r="Z4954" s="6"/>
      <c r="AA4954" s="7"/>
      <c r="AB4954" s="6"/>
      <c r="AC4954" s="6"/>
      <c r="AD4954" s="6"/>
      <c r="AE4954" s="12"/>
      <c r="AF4954" s="6"/>
      <c r="AG4954" s="12"/>
      <c r="AH4954" s="6"/>
      <c r="AI4954" s="6"/>
      <c r="AJ4954" s="12"/>
      <c r="AK4954" s="1"/>
      <c r="AL4954" s="12"/>
      <c r="AM4954" s="12"/>
      <c r="AN4954" s="1"/>
      <c r="AO4954" s="6"/>
    </row>
    <row r="4955" spans="1:41" ht="15" x14ac:dyDescent="0.25">
      <c r="A4955" s="1"/>
      <c r="B4955" s="1"/>
      <c r="C4955" s="1"/>
      <c r="D4955" s="1"/>
      <c r="E4955" s="6"/>
      <c r="F4955" s="1"/>
      <c r="G4955" s="6"/>
      <c r="H4955" s="6"/>
      <c r="I4955" s="6"/>
      <c r="J4955" s="6"/>
      <c r="K4955" s="6"/>
      <c r="L4955" s="6"/>
      <c r="M4955" s="6"/>
      <c r="N4955" s="6"/>
      <c r="O4955" s="7"/>
      <c r="P4955" s="6"/>
      <c r="Q4955" s="6"/>
      <c r="R4955" s="7"/>
      <c r="S4955" s="6"/>
      <c r="T4955" s="6"/>
      <c r="U4955" s="7"/>
      <c r="V4955" s="6"/>
      <c r="W4955" s="6"/>
      <c r="X4955" s="12"/>
      <c r="Y4955" s="6"/>
      <c r="Z4955" s="6"/>
      <c r="AA4955" s="7"/>
      <c r="AB4955" s="6"/>
      <c r="AC4955" s="6"/>
      <c r="AD4955" s="6"/>
      <c r="AE4955" s="12"/>
      <c r="AF4955" s="12"/>
      <c r="AG4955" s="12"/>
      <c r="AH4955" s="12"/>
      <c r="AI4955" s="6"/>
      <c r="AJ4955" s="12"/>
      <c r="AK4955" s="24"/>
      <c r="AL4955" s="25"/>
      <c r="AM4955" s="12"/>
      <c r="AN4955" s="1"/>
      <c r="AO4955" s="6"/>
    </row>
    <row r="4956" spans="1:41" ht="15" x14ac:dyDescent="0.25">
      <c r="A4956" s="1"/>
      <c r="B4956" s="1"/>
      <c r="C4956" s="1"/>
      <c r="D4956" s="1"/>
      <c r="E4956" s="6"/>
      <c r="F4956" s="1"/>
      <c r="G4956" s="6"/>
      <c r="H4956" s="6"/>
      <c r="I4956" s="6"/>
      <c r="J4956" s="6"/>
      <c r="K4956" s="6"/>
      <c r="L4956" s="6"/>
      <c r="M4956" s="6"/>
      <c r="N4956" s="6"/>
      <c r="O4956" s="7"/>
      <c r="P4956" s="6"/>
      <c r="Q4956" s="6"/>
      <c r="R4956" s="7"/>
      <c r="S4956" s="6"/>
      <c r="T4956" s="6"/>
      <c r="U4956" s="7"/>
      <c r="V4956" s="6"/>
      <c r="W4956" s="6"/>
      <c r="X4956" s="12"/>
      <c r="Y4956" s="6"/>
      <c r="Z4956" s="6"/>
      <c r="AA4956" s="7"/>
      <c r="AB4956" s="6"/>
      <c r="AC4956" s="6"/>
      <c r="AD4956" s="6"/>
      <c r="AE4956" s="12"/>
      <c r="AF4956" s="12"/>
      <c r="AG4956" s="12"/>
      <c r="AH4956" s="12"/>
      <c r="AI4956" s="6"/>
      <c r="AJ4956" s="12"/>
      <c r="AK4956" s="24"/>
      <c r="AL4956" s="25"/>
      <c r="AM4956" s="12"/>
      <c r="AN4956" s="1"/>
      <c r="AO4956" s="6"/>
    </row>
    <row r="4957" spans="1:41" ht="15" x14ac:dyDescent="0.25">
      <c r="A4957" s="1"/>
      <c r="B4957" s="1"/>
      <c r="C4957" s="1"/>
      <c r="D4957" s="1"/>
      <c r="E4957" s="6"/>
      <c r="F4957" s="1"/>
      <c r="G4957" s="6"/>
      <c r="H4957" s="6"/>
      <c r="I4957" s="6"/>
      <c r="J4957" s="6"/>
      <c r="K4957" s="12"/>
      <c r="L4957" s="6"/>
      <c r="M4957" s="6"/>
      <c r="N4957" s="6"/>
      <c r="O4957" s="7"/>
      <c r="P4957" s="6"/>
      <c r="Q4957" s="6"/>
      <c r="R4957" s="7"/>
      <c r="S4957" s="6"/>
      <c r="T4957" s="6"/>
      <c r="U4957" s="7"/>
      <c r="V4957" s="6"/>
      <c r="W4957" s="6"/>
      <c r="X4957" s="6"/>
      <c r="Y4957" s="6"/>
      <c r="Z4957" s="6"/>
      <c r="AA4957" s="7"/>
      <c r="AB4957" s="6"/>
      <c r="AC4957" s="6"/>
      <c r="AD4957" s="6"/>
      <c r="AE4957" s="12"/>
      <c r="AF4957" s="6"/>
      <c r="AG4957" s="12"/>
      <c r="AH4957" s="6"/>
      <c r="AI4957" s="6"/>
      <c r="AJ4957" s="12"/>
      <c r="AK4957" s="24"/>
      <c r="AL4957" s="25"/>
      <c r="AM4957" s="12"/>
      <c r="AN4957" s="1"/>
      <c r="AO4957" s="6"/>
    </row>
    <row r="4958" spans="1:41" ht="15" x14ac:dyDescent="0.25">
      <c r="A4958" s="1"/>
      <c r="B4958" s="1"/>
      <c r="C4958" s="1"/>
      <c r="D4958" s="1"/>
      <c r="E4958" s="6"/>
      <c r="F4958" s="1"/>
      <c r="G4958" s="6"/>
      <c r="H4958" s="6"/>
      <c r="I4958" s="6"/>
      <c r="J4958" s="6"/>
      <c r="K4958" s="12"/>
      <c r="L4958" s="6"/>
      <c r="M4958" s="6"/>
      <c r="N4958" s="6"/>
      <c r="O4958" s="7"/>
      <c r="P4958" s="6"/>
      <c r="Q4958" s="6"/>
      <c r="R4958" s="7"/>
      <c r="S4958" s="6"/>
      <c r="T4958" s="6"/>
      <c r="U4958" s="7"/>
      <c r="V4958" s="6"/>
      <c r="W4958" s="6"/>
      <c r="X4958" s="6"/>
      <c r="Y4958" s="6"/>
      <c r="Z4958" s="6"/>
      <c r="AA4958" s="7"/>
      <c r="AB4958" s="6"/>
      <c r="AC4958" s="6"/>
      <c r="AD4958" s="6"/>
      <c r="AE4958" s="12"/>
      <c r="AF4958" s="6"/>
      <c r="AG4958" s="12"/>
      <c r="AH4958" s="6"/>
      <c r="AI4958" s="6"/>
      <c r="AJ4958" s="12"/>
      <c r="AK4958" s="24"/>
      <c r="AL4958" s="25"/>
      <c r="AM4958" s="12"/>
      <c r="AN4958" s="1"/>
      <c r="AO4958" s="6"/>
    </row>
    <row r="4959" spans="1:41" ht="15" x14ac:dyDescent="0.25">
      <c r="A4959" s="1"/>
      <c r="B4959" s="1"/>
      <c r="C4959" s="1"/>
      <c r="D4959" s="1"/>
      <c r="E4959" s="6"/>
      <c r="F4959" s="1"/>
      <c r="G4959" s="6"/>
      <c r="H4959" s="6"/>
      <c r="I4959" s="6"/>
      <c r="J4959" s="6"/>
      <c r="K4959" s="6"/>
      <c r="L4959" s="6"/>
      <c r="M4959" s="6"/>
      <c r="N4959" s="6"/>
      <c r="O4959" s="7"/>
      <c r="P4959" s="12"/>
      <c r="Q4959" s="6"/>
      <c r="R4959" s="7"/>
      <c r="S4959" s="6"/>
      <c r="T4959" s="6"/>
      <c r="U4959" s="7"/>
      <c r="V4959" s="6"/>
      <c r="W4959" s="6"/>
      <c r="X4959" s="6"/>
      <c r="Y4959" s="6"/>
      <c r="Z4959" s="6"/>
      <c r="AA4959" s="7"/>
      <c r="AB4959" s="6"/>
      <c r="AC4959" s="6"/>
      <c r="AD4959" s="6"/>
      <c r="AE4959" s="12"/>
      <c r="AF4959" s="12"/>
      <c r="AG4959" s="12"/>
      <c r="AH4959" s="12"/>
      <c r="AI4959" s="6"/>
      <c r="AJ4959" s="12"/>
      <c r="AK4959" s="1"/>
      <c r="AL4959" s="12"/>
      <c r="AM4959" s="12"/>
      <c r="AN4959" s="1"/>
      <c r="AO4959" s="6"/>
    </row>
    <row r="4960" spans="1:41" ht="15" x14ac:dyDescent="0.25">
      <c r="A4960" s="1"/>
      <c r="B4960" s="1"/>
      <c r="C4960" s="1"/>
      <c r="D4960" s="1"/>
      <c r="E4960" s="6"/>
      <c r="F4960" s="1"/>
      <c r="G4960" s="6"/>
      <c r="H4960" s="6"/>
      <c r="I4960" s="6"/>
      <c r="J4960" s="6"/>
      <c r="K4960" s="6"/>
      <c r="L4960" s="6"/>
      <c r="M4960" s="6"/>
      <c r="N4960" s="6"/>
      <c r="O4960" s="7"/>
      <c r="P4960" s="12"/>
      <c r="Q4960" s="6"/>
      <c r="R4960" s="7"/>
      <c r="S4960" s="6"/>
      <c r="T4960" s="6"/>
      <c r="U4960" s="7"/>
      <c r="V4960" s="6"/>
      <c r="W4960" s="6"/>
      <c r="X4960" s="6"/>
      <c r="Y4960" s="6"/>
      <c r="Z4960" s="6"/>
      <c r="AA4960" s="7"/>
      <c r="AB4960" s="6"/>
      <c r="AC4960" s="6"/>
      <c r="AD4960" s="6"/>
      <c r="AE4960" s="12"/>
      <c r="AF4960" s="12"/>
      <c r="AG4960" s="12"/>
      <c r="AH4960" s="12"/>
      <c r="AI4960" s="6"/>
      <c r="AJ4960" s="12"/>
      <c r="AK4960" s="1"/>
      <c r="AL4960" s="12"/>
      <c r="AM4960" s="12"/>
      <c r="AN4960" s="1"/>
      <c r="AO4960" s="6"/>
    </row>
    <row r="4961" spans="1:41" ht="15" x14ac:dyDescent="0.25">
      <c r="A4961" s="1"/>
      <c r="B4961" s="1"/>
      <c r="C4961" s="1"/>
      <c r="D4961" s="1"/>
      <c r="E4961" s="6"/>
      <c r="F4961" s="1"/>
      <c r="G4961" s="6"/>
      <c r="H4961" s="6"/>
      <c r="I4961" s="6"/>
      <c r="J4961" s="6"/>
      <c r="K4961" s="6"/>
      <c r="L4961" s="6"/>
      <c r="M4961" s="6"/>
      <c r="N4961" s="6"/>
      <c r="O4961" s="7"/>
      <c r="P4961" s="6"/>
      <c r="Q4961" s="6"/>
      <c r="R4961" s="7"/>
      <c r="S4961" s="6"/>
      <c r="T4961" s="6"/>
      <c r="U4961" s="7"/>
      <c r="V4961" s="6"/>
      <c r="W4961" s="6"/>
      <c r="X4961" s="6"/>
      <c r="Y4961" s="6"/>
      <c r="Z4961" s="6"/>
      <c r="AA4961" s="7"/>
      <c r="AB4961" s="6"/>
      <c r="AC4961" s="6"/>
      <c r="AD4961" s="6"/>
      <c r="AE4961" s="12"/>
      <c r="AF4961" s="6"/>
      <c r="AG4961" s="12"/>
      <c r="AH4961" s="6"/>
      <c r="AI4961" s="6"/>
      <c r="AJ4961" s="12"/>
      <c r="AK4961" s="24"/>
      <c r="AL4961" s="25"/>
      <c r="AM4961" s="12"/>
      <c r="AN4961" s="1"/>
      <c r="AO4961" s="6"/>
    </row>
    <row r="4962" spans="1:41" ht="15" x14ac:dyDescent="0.25">
      <c r="A4962" s="1"/>
      <c r="B4962" s="1"/>
      <c r="C4962" s="1"/>
      <c r="D4962" s="1"/>
      <c r="E4962" s="6"/>
      <c r="F4962" s="1"/>
      <c r="G4962" s="6"/>
      <c r="H4962" s="6"/>
      <c r="I4962" s="6"/>
      <c r="J4962" s="6"/>
      <c r="K4962" s="6"/>
      <c r="L4962" s="6"/>
      <c r="M4962" s="6"/>
      <c r="N4962" s="6"/>
      <c r="O4962" s="7"/>
      <c r="P4962" s="6"/>
      <c r="Q4962" s="6"/>
      <c r="R4962" s="7"/>
      <c r="S4962" s="6"/>
      <c r="T4962" s="6"/>
      <c r="U4962" s="7"/>
      <c r="V4962" s="6"/>
      <c r="W4962" s="6"/>
      <c r="X4962" s="6"/>
      <c r="Y4962" s="6"/>
      <c r="Z4962" s="6"/>
      <c r="AA4962" s="7"/>
      <c r="AB4962" s="6"/>
      <c r="AC4962" s="6"/>
      <c r="AD4962" s="6"/>
      <c r="AE4962" s="12"/>
      <c r="AF4962" s="6"/>
      <c r="AG4962" s="12"/>
      <c r="AH4962" s="6"/>
      <c r="AI4962" s="6"/>
      <c r="AJ4962" s="12"/>
      <c r="AK4962" s="24"/>
      <c r="AL4962" s="25"/>
      <c r="AM4962" s="12"/>
      <c r="AN4962" s="1"/>
      <c r="AO4962" s="6"/>
    </row>
    <row r="4963" spans="1:41" ht="15" x14ac:dyDescent="0.25">
      <c r="A4963" s="1"/>
      <c r="B4963" s="1"/>
      <c r="C4963" s="1"/>
      <c r="D4963" s="1"/>
      <c r="E4963" s="6"/>
      <c r="F4963" s="1"/>
      <c r="G4963" s="6"/>
      <c r="H4963" s="6"/>
      <c r="I4963" s="6"/>
      <c r="J4963" s="6"/>
      <c r="K4963" s="6"/>
      <c r="L4963" s="6"/>
      <c r="M4963" s="6"/>
      <c r="N4963" s="6"/>
      <c r="O4963" s="7"/>
      <c r="P4963" s="6"/>
      <c r="Q4963" s="6"/>
      <c r="R4963" s="7"/>
      <c r="S4963" s="6"/>
      <c r="T4963" s="6"/>
      <c r="U4963" s="7"/>
      <c r="V4963" s="6"/>
      <c r="W4963" s="6"/>
      <c r="X4963" s="6"/>
      <c r="Y4963" s="6"/>
      <c r="Z4963" s="6"/>
      <c r="AA4963" s="7"/>
      <c r="AB4963" s="6"/>
      <c r="AC4963" s="6"/>
      <c r="AD4963" s="6"/>
      <c r="AE4963" s="12"/>
      <c r="AF4963" s="12"/>
      <c r="AG4963" s="12"/>
      <c r="AH4963" s="12"/>
      <c r="AI4963" s="6"/>
      <c r="AJ4963" s="12"/>
      <c r="AK4963" s="1"/>
      <c r="AL4963" s="12"/>
      <c r="AM4963" s="12"/>
      <c r="AN4963" s="1"/>
      <c r="AO4963" s="6"/>
    </row>
    <row r="4964" spans="1:41" ht="15" x14ac:dyDescent="0.25">
      <c r="A4964" s="1"/>
      <c r="B4964" s="1"/>
      <c r="C4964" s="1"/>
      <c r="D4964" s="1"/>
      <c r="E4964" s="6"/>
      <c r="F4964" s="1"/>
      <c r="G4964" s="6"/>
      <c r="H4964" s="6"/>
      <c r="I4964" s="6"/>
      <c r="J4964" s="6"/>
      <c r="K4964" s="6"/>
      <c r="L4964" s="6"/>
      <c r="M4964" s="6"/>
      <c r="N4964" s="6"/>
      <c r="O4964" s="7"/>
      <c r="P4964" s="12"/>
      <c r="Q4964" s="6"/>
      <c r="R4964" s="7"/>
      <c r="S4964" s="6"/>
      <c r="T4964" s="6"/>
      <c r="U4964" s="7"/>
      <c r="V4964" s="6"/>
      <c r="W4964" s="6"/>
      <c r="X4964" s="6"/>
      <c r="Y4964" s="6"/>
      <c r="Z4964" s="6"/>
      <c r="AA4964" s="7"/>
      <c r="AB4964" s="6"/>
      <c r="AC4964" s="6"/>
      <c r="AD4964" s="6"/>
      <c r="AE4964" s="12"/>
      <c r="AF4964" s="12"/>
      <c r="AG4964" s="12"/>
      <c r="AH4964" s="12"/>
      <c r="AI4964" s="6"/>
      <c r="AJ4964" s="12"/>
      <c r="AK4964" s="1"/>
      <c r="AL4964" s="12"/>
      <c r="AM4964" s="12"/>
      <c r="AN4964" s="1"/>
      <c r="AO4964" s="6"/>
    </row>
    <row r="4965" spans="1:41" ht="15" x14ac:dyDescent="0.25">
      <c r="A4965" s="1"/>
      <c r="B4965" s="1"/>
      <c r="C4965" s="1"/>
      <c r="D4965" s="1"/>
      <c r="E4965" s="6"/>
      <c r="F4965" s="1"/>
      <c r="G4965" s="6"/>
      <c r="H4965" s="6"/>
      <c r="I4965" s="6"/>
      <c r="J4965" s="6"/>
      <c r="K4965" s="6"/>
      <c r="L4965" s="6"/>
      <c r="M4965" s="6"/>
      <c r="N4965" s="6"/>
      <c r="O4965" s="7"/>
      <c r="P4965" s="12"/>
      <c r="Q4965" s="6"/>
      <c r="R4965" s="7"/>
      <c r="S4965" s="6"/>
      <c r="T4965" s="6"/>
      <c r="U4965" s="7"/>
      <c r="V4965" s="6"/>
      <c r="W4965" s="6"/>
      <c r="X4965" s="6"/>
      <c r="Y4965" s="6"/>
      <c r="Z4965" s="6"/>
      <c r="AA4965" s="7"/>
      <c r="AB4965" s="6"/>
      <c r="AC4965" s="6"/>
      <c r="AD4965" s="6"/>
      <c r="AE4965" s="12"/>
      <c r="AF4965" s="6"/>
      <c r="AG4965" s="12"/>
      <c r="AH4965" s="6"/>
      <c r="AI4965" s="6"/>
      <c r="AJ4965" s="12"/>
      <c r="AK4965" s="24"/>
      <c r="AL4965" s="25"/>
      <c r="AM4965" s="12"/>
      <c r="AN4965" s="1"/>
      <c r="AO4965" s="6"/>
    </row>
    <row r="4966" spans="1:41" ht="15" x14ac:dyDescent="0.25">
      <c r="A4966" s="1"/>
      <c r="B4966" s="1"/>
      <c r="C4966" s="1"/>
      <c r="D4966" s="1"/>
      <c r="E4966" s="6"/>
      <c r="F4966" s="1"/>
      <c r="G4966" s="6"/>
      <c r="H4966" s="6"/>
      <c r="I4966" s="6"/>
      <c r="J4966" s="6"/>
      <c r="K4966" s="6"/>
      <c r="L4966" s="6"/>
      <c r="M4966" s="6"/>
      <c r="N4966" s="6"/>
      <c r="O4966" s="7"/>
      <c r="P4966" s="12"/>
      <c r="Q4966" s="6"/>
      <c r="R4966" s="7"/>
      <c r="S4966" s="6"/>
      <c r="T4966" s="6"/>
      <c r="U4966" s="7"/>
      <c r="V4966" s="6"/>
      <c r="W4966" s="6"/>
      <c r="X4966" s="6"/>
      <c r="Y4966" s="6"/>
      <c r="Z4966" s="6"/>
      <c r="AA4966" s="7"/>
      <c r="AB4966" s="6"/>
      <c r="AC4966" s="6"/>
      <c r="AD4966" s="6"/>
      <c r="AE4966" s="12"/>
      <c r="AF4966" s="6"/>
      <c r="AG4966" s="12"/>
      <c r="AH4966" s="6"/>
      <c r="AI4966" s="6"/>
      <c r="AJ4966" s="12"/>
      <c r="AK4966" s="24"/>
      <c r="AL4966" s="25"/>
      <c r="AM4966" s="12"/>
      <c r="AN4966" s="1"/>
      <c r="AO4966" s="6"/>
    </row>
    <row r="4967" spans="1:41" ht="15" x14ac:dyDescent="0.25">
      <c r="A4967" s="1"/>
      <c r="B4967" s="1"/>
      <c r="C4967" s="1"/>
      <c r="D4967" s="1"/>
      <c r="E4967" s="6"/>
      <c r="F4967" s="1"/>
      <c r="G4967" s="6"/>
      <c r="H4967" s="6"/>
      <c r="I4967" s="6"/>
      <c r="J4967" s="6"/>
      <c r="K4967" s="6"/>
      <c r="L4967" s="6"/>
      <c r="M4967" s="6"/>
      <c r="N4967" s="6"/>
      <c r="O4967" s="7"/>
      <c r="P4967" s="12"/>
      <c r="Q4967" s="6"/>
      <c r="R4967" s="7"/>
      <c r="S4967" s="6"/>
      <c r="T4967" s="6"/>
      <c r="U4967" s="7"/>
      <c r="V4967" s="6"/>
      <c r="W4967" s="6"/>
      <c r="X4967" s="12"/>
      <c r="Y4967" s="6"/>
      <c r="Z4967" s="6"/>
      <c r="AA4967" s="7"/>
      <c r="AB4967" s="6"/>
      <c r="AC4967" s="6"/>
      <c r="AD4967" s="6"/>
      <c r="AE4967" s="12"/>
      <c r="AF4967" s="6"/>
      <c r="AG4967" s="12"/>
      <c r="AH4967" s="6"/>
      <c r="AI4967" s="6"/>
      <c r="AJ4967" s="12"/>
      <c r="AK4967" s="24"/>
      <c r="AL4967" s="25"/>
      <c r="AM4967" s="12"/>
      <c r="AN4967" s="1"/>
      <c r="AO4967" s="6"/>
    </row>
    <row r="4968" spans="1:41" ht="15" x14ac:dyDescent="0.25">
      <c r="A4968" s="1"/>
      <c r="B4968" s="1"/>
      <c r="C4968" s="1"/>
      <c r="D4968" s="1"/>
      <c r="E4968" s="6"/>
      <c r="F4968" s="1"/>
      <c r="G4968" s="6"/>
      <c r="H4968" s="6"/>
      <c r="I4968" s="6"/>
      <c r="J4968" s="6"/>
      <c r="K4968" s="6"/>
      <c r="L4968" s="6"/>
      <c r="M4968" s="6"/>
      <c r="N4968" s="6"/>
      <c r="O4968" s="7"/>
      <c r="P4968" s="12"/>
      <c r="Q4968" s="6"/>
      <c r="R4968" s="7"/>
      <c r="S4968" s="6"/>
      <c r="T4968" s="6"/>
      <c r="U4968" s="7"/>
      <c r="V4968" s="6"/>
      <c r="W4968" s="6"/>
      <c r="X4968" s="12"/>
      <c r="Y4968" s="6"/>
      <c r="Z4968" s="6"/>
      <c r="AA4968" s="7"/>
      <c r="AB4968" s="6"/>
      <c r="AC4968" s="6"/>
      <c r="AD4968" s="6"/>
      <c r="AE4968" s="12"/>
      <c r="AF4968" s="6"/>
      <c r="AG4968" s="12"/>
      <c r="AH4968" s="6"/>
      <c r="AI4968" s="6"/>
      <c r="AJ4968" s="12"/>
      <c r="AK4968" s="24"/>
      <c r="AL4968" s="25"/>
      <c r="AM4968" s="12"/>
      <c r="AN4968" s="1"/>
      <c r="AO4968" s="6"/>
    </row>
    <row r="4969" spans="1:41" ht="15" x14ac:dyDescent="0.25">
      <c r="A4969" s="1"/>
      <c r="B4969" s="1"/>
      <c r="C4969" s="1"/>
      <c r="D4969" s="1"/>
      <c r="E4969" s="6"/>
      <c r="F4969" s="1"/>
      <c r="G4969" s="6"/>
      <c r="H4969" s="6"/>
      <c r="I4969" s="6"/>
      <c r="J4969" s="6"/>
      <c r="K4969" s="6"/>
      <c r="L4969" s="6"/>
      <c r="M4969" s="6"/>
      <c r="N4969" s="6"/>
      <c r="O4969" s="7"/>
      <c r="P4969" s="6"/>
      <c r="Q4969" s="6"/>
      <c r="R4969" s="7"/>
      <c r="S4969" s="6"/>
      <c r="T4969" s="6"/>
      <c r="U4969" s="7"/>
      <c r="V4969" s="6"/>
      <c r="W4969" s="6"/>
      <c r="X4969" s="6"/>
      <c r="Y4969" s="6"/>
      <c r="Z4969" s="6"/>
      <c r="AA4969" s="7"/>
      <c r="AB4969" s="6"/>
      <c r="AC4969" s="6"/>
      <c r="AD4969" s="6"/>
      <c r="AE4969" s="12"/>
      <c r="AF4969" s="12"/>
      <c r="AG4969" s="12"/>
      <c r="AH4969" s="12"/>
      <c r="AI4969" s="6"/>
      <c r="AJ4969" s="12"/>
      <c r="AK4969" s="1"/>
      <c r="AL4969" s="12"/>
      <c r="AM4969" s="12"/>
      <c r="AN4969" s="1"/>
      <c r="AO4969" s="6"/>
    </row>
    <row r="4970" spans="1:41" ht="15" x14ac:dyDescent="0.25">
      <c r="A4970" s="1"/>
      <c r="B4970" s="1"/>
      <c r="C4970" s="1"/>
      <c r="D4970" s="1"/>
      <c r="E4970" s="6"/>
      <c r="F4970" s="1"/>
      <c r="G4970" s="6"/>
      <c r="H4970" s="6"/>
      <c r="I4970" s="6"/>
      <c r="J4970" s="6"/>
      <c r="K4970" s="6"/>
      <c r="L4970" s="6"/>
      <c r="M4970" s="6"/>
      <c r="N4970" s="6"/>
      <c r="O4970" s="7"/>
      <c r="P4970" s="6"/>
      <c r="Q4970" s="6"/>
      <c r="R4970" s="7"/>
      <c r="S4970" s="6"/>
      <c r="T4970" s="6"/>
      <c r="U4970" s="7"/>
      <c r="V4970" s="6"/>
      <c r="W4970" s="6"/>
      <c r="X4970" s="6"/>
      <c r="Y4970" s="6"/>
      <c r="Z4970" s="6"/>
      <c r="AA4970" s="7"/>
      <c r="AB4970" s="6"/>
      <c r="AC4970" s="6"/>
      <c r="AD4970" s="6"/>
      <c r="AE4970" s="12"/>
      <c r="AF4970" s="6"/>
      <c r="AG4970" s="12"/>
      <c r="AH4970" s="6"/>
      <c r="AI4970" s="6"/>
      <c r="AJ4970" s="12"/>
      <c r="AK4970" s="1"/>
      <c r="AL4970" s="12"/>
      <c r="AM4970" s="12"/>
      <c r="AN4970" s="1"/>
      <c r="AO4970" s="6"/>
    </row>
    <row r="4971" spans="1:41" ht="15" x14ac:dyDescent="0.25">
      <c r="A4971" s="1"/>
      <c r="B4971" s="1"/>
      <c r="C4971" s="1"/>
      <c r="D4971" s="1"/>
      <c r="E4971" s="6"/>
      <c r="F4971" s="1"/>
      <c r="G4971" s="6"/>
      <c r="H4971" s="6"/>
      <c r="I4971" s="6"/>
      <c r="J4971" s="6"/>
      <c r="K4971" s="6"/>
      <c r="L4971" s="6"/>
      <c r="M4971" s="6"/>
      <c r="N4971" s="6"/>
      <c r="O4971" s="7"/>
      <c r="P4971" s="6"/>
      <c r="Q4971" s="6"/>
      <c r="R4971" s="7"/>
      <c r="S4971" s="6"/>
      <c r="T4971" s="6"/>
      <c r="U4971" s="7"/>
      <c r="V4971" s="6"/>
      <c r="W4971" s="6"/>
      <c r="X4971" s="6"/>
      <c r="Y4971" s="6"/>
      <c r="Z4971" s="6"/>
      <c r="AA4971" s="7"/>
      <c r="AB4971" s="6"/>
      <c r="AC4971" s="6"/>
      <c r="AD4971" s="6"/>
      <c r="AE4971" s="12"/>
      <c r="AF4971" s="6"/>
      <c r="AG4971" s="12"/>
      <c r="AH4971" s="6"/>
      <c r="AI4971" s="6"/>
      <c r="AJ4971" s="12"/>
      <c r="AK4971" s="1"/>
      <c r="AL4971" s="12"/>
      <c r="AM4971" s="12"/>
      <c r="AN4971" s="1"/>
      <c r="AO4971" s="6"/>
    </row>
    <row r="4972" spans="1:41" ht="15" x14ac:dyDescent="0.25">
      <c r="A4972" s="1"/>
      <c r="B4972" s="1"/>
      <c r="C4972" s="1"/>
      <c r="D4972" s="1"/>
      <c r="E4972" s="6"/>
      <c r="F4972" s="1"/>
      <c r="G4972" s="6"/>
      <c r="H4972" s="6"/>
      <c r="I4972" s="6"/>
      <c r="J4972" s="6"/>
      <c r="K4972" s="12"/>
      <c r="L4972" s="12"/>
      <c r="M4972" s="6"/>
      <c r="N4972" s="6"/>
      <c r="O4972" s="7"/>
      <c r="P4972" s="12"/>
      <c r="Q4972" s="6"/>
      <c r="R4972" s="7"/>
      <c r="S4972" s="6"/>
      <c r="T4972" s="6"/>
      <c r="U4972" s="7"/>
      <c r="V4972" s="6"/>
      <c r="W4972" s="6"/>
      <c r="X4972" s="6"/>
      <c r="Y4972" s="6"/>
      <c r="Z4972" s="6"/>
      <c r="AA4972" s="7"/>
      <c r="AB4972" s="6"/>
      <c r="AC4972" s="6"/>
      <c r="AD4972" s="6"/>
      <c r="AE4972" s="12"/>
      <c r="AF4972" s="12"/>
      <c r="AG4972" s="12"/>
      <c r="AH4972" s="12"/>
      <c r="AI4972" s="6"/>
      <c r="AJ4972" s="12"/>
      <c r="AK4972" s="1"/>
      <c r="AL4972" s="12"/>
      <c r="AM4972" s="12"/>
      <c r="AN4972" s="1"/>
      <c r="AO4972" s="12"/>
    </row>
    <row r="4973" spans="1:41" ht="15" x14ac:dyDescent="0.25">
      <c r="A4973" s="1"/>
      <c r="B4973" s="1"/>
      <c r="C4973" s="1"/>
      <c r="D4973" s="1"/>
      <c r="E4973" s="6"/>
      <c r="F4973" s="1"/>
      <c r="G4973" s="6"/>
      <c r="H4973" s="6"/>
      <c r="I4973" s="6"/>
      <c r="J4973" s="6"/>
      <c r="K4973" s="6"/>
      <c r="L4973" s="6"/>
      <c r="M4973" s="6"/>
      <c r="N4973" s="6"/>
      <c r="O4973" s="7"/>
      <c r="P4973" s="6"/>
      <c r="Q4973" s="6"/>
      <c r="R4973" s="12"/>
      <c r="S4973" s="12"/>
      <c r="T4973" s="12"/>
      <c r="U4973" s="7"/>
      <c r="V4973" s="6"/>
      <c r="W4973" s="6"/>
      <c r="X4973" s="12"/>
      <c r="Y4973" s="6"/>
      <c r="Z4973" s="6"/>
      <c r="AA4973" s="7"/>
      <c r="AB4973" s="6"/>
      <c r="AC4973" s="6"/>
      <c r="AD4973" s="6"/>
      <c r="AE4973" s="12"/>
      <c r="AF4973" s="6"/>
      <c r="AG4973" s="12"/>
      <c r="AH4973" s="6"/>
      <c r="AI4973" s="6"/>
      <c r="AJ4973" s="12"/>
      <c r="AK4973" s="24"/>
      <c r="AL4973" s="25"/>
      <c r="AM4973" s="12"/>
      <c r="AN4973" s="1"/>
      <c r="AO4973" s="6"/>
    </row>
    <row r="4974" spans="1:41" ht="15" x14ac:dyDescent="0.25">
      <c r="A4974" s="1"/>
      <c r="B4974" s="1"/>
      <c r="C4974" s="1"/>
      <c r="D4974" s="1"/>
      <c r="E4974" s="6"/>
      <c r="F4974" s="1"/>
      <c r="G4974" s="6"/>
      <c r="H4974" s="6"/>
      <c r="I4974" s="6"/>
      <c r="J4974" s="6"/>
      <c r="K4974" s="6"/>
      <c r="L4974" s="6"/>
      <c r="M4974" s="6"/>
      <c r="N4974" s="6"/>
      <c r="O4974" s="7"/>
      <c r="P4974" s="6"/>
      <c r="Q4974" s="6"/>
      <c r="R4974" s="7"/>
      <c r="S4974" s="6"/>
      <c r="T4974" s="6"/>
      <c r="U4974" s="7"/>
      <c r="V4974" s="6"/>
      <c r="W4974" s="6"/>
      <c r="X4974" s="6"/>
      <c r="Y4974" s="6"/>
      <c r="Z4974" s="6"/>
      <c r="AA4974" s="7"/>
      <c r="AB4974" s="6"/>
      <c r="AC4974" s="6"/>
      <c r="AD4974" s="6"/>
      <c r="AE4974" s="12"/>
      <c r="AF4974" s="6"/>
      <c r="AG4974" s="12"/>
      <c r="AH4974" s="6"/>
      <c r="AI4974" s="6"/>
      <c r="AJ4974" s="12"/>
      <c r="AK4974" s="24"/>
      <c r="AL4974" s="25"/>
      <c r="AM4974" s="12"/>
      <c r="AN4974" s="1"/>
      <c r="AO4974" s="6"/>
    </row>
    <row r="4975" spans="1:41" ht="15" x14ac:dyDescent="0.25">
      <c r="A4975" s="1"/>
      <c r="B4975" s="1"/>
      <c r="C4975" s="1"/>
      <c r="D4975" s="1"/>
      <c r="E4975" s="6"/>
      <c r="F4975" s="1"/>
      <c r="G4975" s="6"/>
      <c r="H4975" s="6"/>
      <c r="I4975" s="6"/>
      <c r="J4975" s="6"/>
      <c r="K4975" s="6"/>
      <c r="L4975" s="6"/>
      <c r="M4975" s="6"/>
      <c r="N4975" s="6"/>
      <c r="O4975" s="7"/>
      <c r="P4975" s="6"/>
      <c r="Q4975" s="6"/>
      <c r="R4975" s="7"/>
      <c r="S4975" s="6"/>
      <c r="T4975" s="6"/>
      <c r="U4975" s="7"/>
      <c r="V4975" s="6"/>
      <c r="W4975" s="6"/>
      <c r="X4975" s="6"/>
      <c r="Y4975" s="6"/>
      <c r="Z4975" s="6"/>
      <c r="AA4975" s="7"/>
      <c r="AB4975" s="6"/>
      <c r="AC4975" s="6"/>
      <c r="AD4975" s="6"/>
      <c r="AE4975" s="12"/>
      <c r="AF4975" s="6"/>
      <c r="AG4975" s="12"/>
      <c r="AH4975" s="6"/>
      <c r="AI4975" s="6"/>
      <c r="AJ4975" s="12"/>
      <c r="AK4975" s="24"/>
      <c r="AL4975" s="25"/>
      <c r="AM4975" s="12"/>
      <c r="AN4975" s="1"/>
      <c r="AO4975" s="6"/>
    </row>
    <row r="4976" spans="1:41" ht="15" x14ac:dyDescent="0.25">
      <c r="A4976" s="1"/>
      <c r="B4976" s="1"/>
      <c r="C4976" s="1"/>
      <c r="D4976" s="1"/>
      <c r="E4976" s="6"/>
      <c r="F4976" s="1"/>
      <c r="G4976" s="6"/>
      <c r="H4976" s="6"/>
      <c r="I4976" s="6"/>
      <c r="J4976" s="6"/>
      <c r="K4976" s="6"/>
      <c r="L4976" s="6"/>
      <c r="M4976" s="6"/>
      <c r="N4976" s="6"/>
      <c r="O4976" s="7"/>
      <c r="P4976" s="6"/>
      <c r="Q4976" s="6"/>
      <c r="R4976" s="7"/>
      <c r="S4976" s="6"/>
      <c r="T4976" s="6"/>
      <c r="U4976" s="7"/>
      <c r="V4976" s="6"/>
      <c r="W4976" s="6"/>
      <c r="X4976" s="6"/>
      <c r="Y4976" s="6"/>
      <c r="Z4976" s="6"/>
      <c r="AA4976" s="7"/>
      <c r="AB4976" s="6"/>
      <c r="AC4976" s="6"/>
      <c r="AD4976" s="6"/>
      <c r="AE4976" s="12"/>
      <c r="AF4976" s="6"/>
      <c r="AG4976" s="12"/>
      <c r="AH4976" s="6"/>
      <c r="AI4976" s="6"/>
      <c r="AJ4976" s="12"/>
      <c r="AK4976" s="1"/>
      <c r="AL4976" s="12"/>
      <c r="AM4976" s="12"/>
      <c r="AN4976" s="1"/>
      <c r="AO4976" s="6"/>
    </row>
    <row r="4977" spans="1:41" ht="15" x14ac:dyDescent="0.25">
      <c r="A4977" s="1"/>
      <c r="B4977" s="1"/>
      <c r="C4977" s="1"/>
      <c r="D4977" s="1"/>
      <c r="E4977" s="6"/>
      <c r="F4977" s="1"/>
      <c r="G4977" s="6"/>
      <c r="H4977" s="6"/>
      <c r="I4977" s="6"/>
      <c r="J4977" s="6"/>
      <c r="K4977" s="6"/>
      <c r="L4977" s="6"/>
      <c r="M4977" s="6"/>
      <c r="N4977" s="6"/>
      <c r="O4977" s="7"/>
      <c r="P4977" s="6"/>
      <c r="Q4977" s="6"/>
      <c r="R4977" s="7"/>
      <c r="S4977" s="6"/>
      <c r="T4977" s="6"/>
      <c r="U4977" s="7"/>
      <c r="V4977" s="6"/>
      <c r="W4977" s="6"/>
      <c r="X4977" s="6"/>
      <c r="Y4977" s="6"/>
      <c r="Z4977" s="6"/>
      <c r="AA4977" s="7"/>
      <c r="AB4977" s="6"/>
      <c r="AC4977" s="6"/>
      <c r="AD4977" s="6"/>
      <c r="AE4977" s="12"/>
      <c r="AF4977" s="6"/>
      <c r="AG4977" s="12"/>
      <c r="AH4977" s="6"/>
      <c r="AI4977" s="6"/>
      <c r="AJ4977" s="12"/>
      <c r="AK4977" s="1"/>
      <c r="AL4977" s="12"/>
      <c r="AM4977" s="12"/>
      <c r="AN4977" s="1"/>
      <c r="AO4977" s="6"/>
    </row>
    <row r="4978" spans="1:41" ht="15" x14ac:dyDescent="0.25">
      <c r="A4978" s="1"/>
      <c r="B4978" s="1"/>
      <c r="C4978" s="1"/>
      <c r="D4978" s="1"/>
      <c r="E4978" s="6"/>
      <c r="F4978" s="1"/>
      <c r="G4978" s="6"/>
      <c r="H4978" s="6"/>
      <c r="I4978" s="6"/>
      <c r="J4978" s="6"/>
      <c r="K4978" s="6"/>
      <c r="L4978" s="6"/>
      <c r="M4978" s="6"/>
      <c r="N4978" s="6"/>
      <c r="O4978" s="7"/>
      <c r="P4978" s="6"/>
      <c r="Q4978" s="7"/>
      <c r="R4978" s="6"/>
      <c r="S4978" s="6"/>
      <c r="T4978" s="6"/>
      <c r="U4978" s="6"/>
      <c r="V4978" s="7"/>
      <c r="W4978" s="7"/>
      <c r="X4978" s="6"/>
      <c r="Y4978" s="6"/>
      <c r="Z4978" s="6"/>
      <c r="AA4978" s="1"/>
      <c r="AB4978" s="12"/>
      <c r="AC4978" s="12"/>
      <c r="AD4978" s="12"/>
      <c r="AE4978" s="12"/>
      <c r="AF4978" s="12"/>
      <c r="AG4978" s="12"/>
      <c r="AH4978" s="12"/>
      <c r="AI4978" s="6"/>
      <c r="AJ4978" s="12"/>
      <c r="AK4978" s="12"/>
      <c r="AL4978" s="12"/>
      <c r="AM4978" s="12"/>
      <c r="AN4978" s="1"/>
      <c r="AO4978" s="6"/>
    </row>
    <row r="4979" spans="1:41" ht="15" x14ac:dyDescent="0.25">
      <c r="A4979" s="1"/>
      <c r="B4979" s="1"/>
      <c r="C4979" s="1"/>
      <c r="D4979" s="1"/>
      <c r="E4979" s="6"/>
      <c r="F4979" s="1"/>
      <c r="G4979" s="6"/>
      <c r="H4979" s="6"/>
      <c r="I4979" s="6"/>
      <c r="J4979" s="6"/>
      <c r="K4979" s="6"/>
      <c r="L4979" s="6"/>
      <c r="M4979" s="6"/>
      <c r="N4979" s="6"/>
      <c r="O4979" s="7"/>
      <c r="P4979" s="6"/>
      <c r="Q4979" s="6"/>
      <c r="R4979" s="7"/>
      <c r="S4979" s="6"/>
      <c r="T4979" s="6"/>
      <c r="U4979" s="7"/>
      <c r="V4979" s="6"/>
      <c r="W4979" s="6"/>
      <c r="X4979" s="12"/>
      <c r="Y4979" s="6"/>
      <c r="Z4979" s="6"/>
      <c r="AA4979" s="7"/>
      <c r="AB4979" s="6"/>
      <c r="AC4979" s="6"/>
      <c r="AD4979" s="6"/>
      <c r="AE4979" s="12"/>
      <c r="AF4979" s="12"/>
      <c r="AG4979" s="12"/>
      <c r="AH4979" s="12"/>
      <c r="AI4979" s="6"/>
      <c r="AJ4979" s="12"/>
      <c r="AK4979" s="1"/>
      <c r="AL4979" s="12"/>
      <c r="AM4979" s="12"/>
      <c r="AN4979" s="1"/>
      <c r="AO4979" s="6"/>
    </row>
    <row r="4980" spans="1:41" ht="15" x14ac:dyDescent="0.25">
      <c r="A4980" s="1"/>
      <c r="B4980" s="1"/>
      <c r="C4980" s="1"/>
      <c r="D4980" s="1"/>
      <c r="E4980" s="6"/>
      <c r="F4980" s="1"/>
      <c r="G4980" s="6"/>
      <c r="H4980" s="6"/>
      <c r="I4980" s="6"/>
      <c r="J4980" s="6"/>
      <c r="K4980" s="6"/>
      <c r="L4980" s="6"/>
      <c r="M4980" s="6"/>
      <c r="N4980" s="6"/>
      <c r="O4980" s="7"/>
      <c r="P4980" s="12"/>
      <c r="Q4980" s="6"/>
      <c r="R4980" s="7"/>
      <c r="S4980" s="6"/>
      <c r="T4980" s="6"/>
      <c r="U4980" s="7"/>
      <c r="V4980" s="6"/>
      <c r="W4980" s="6"/>
      <c r="X4980" s="12"/>
      <c r="Y4980" s="6"/>
      <c r="Z4980" s="6"/>
      <c r="AA4980" s="7"/>
      <c r="AB4980" s="6"/>
      <c r="AC4980" s="6"/>
      <c r="AD4980" s="6"/>
      <c r="AE4980" s="12"/>
      <c r="AF4980" s="6"/>
      <c r="AG4980" s="12"/>
      <c r="AH4980" s="6"/>
      <c r="AI4980" s="6"/>
      <c r="AJ4980" s="12"/>
      <c r="AK4980" s="1"/>
      <c r="AL4980" s="12"/>
      <c r="AM4980" s="12"/>
      <c r="AN4980" s="1"/>
      <c r="AO4980" s="6"/>
    </row>
    <row r="4981" spans="1:41" ht="15" x14ac:dyDescent="0.25">
      <c r="A4981" s="1"/>
      <c r="B4981" s="1"/>
      <c r="C4981" s="1"/>
      <c r="D4981" s="1"/>
      <c r="E4981" s="6"/>
      <c r="F4981" s="1"/>
      <c r="G4981" s="6"/>
      <c r="H4981" s="6"/>
      <c r="I4981" s="6"/>
      <c r="J4981" s="6"/>
      <c r="K4981" s="6"/>
      <c r="L4981" s="6"/>
      <c r="M4981" s="6"/>
      <c r="N4981" s="6"/>
      <c r="O4981" s="7"/>
      <c r="P4981" s="12"/>
      <c r="Q4981" s="6"/>
      <c r="R4981" s="7"/>
      <c r="S4981" s="6"/>
      <c r="T4981" s="6"/>
      <c r="U4981" s="7"/>
      <c r="V4981" s="6"/>
      <c r="W4981" s="6"/>
      <c r="X4981" s="12"/>
      <c r="Y4981" s="6"/>
      <c r="Z4981" s="6"/>
      <c r="AA4981" s="7"/>
      <c r="AB4981" s="6"/>
      <c r="AC4981" s="6"/>
      <c r="AD4981" s="6"/>
      <c r="AE4981" s="12"/>
      <c r="AF4981" s="6"/>
      <c r="AG4981" s="12"/>
      <c r="AH4981" s="6"/>
      <c r="AI4981" s="6"/>
      <c r="AJ4981" s="12"/>
      <c r="AK4981" s="1"/>
      <c r="AL4981" s="12"/>
      <c r="AM4981" s="12"/>
      <c r="AN4981" s="1"/>
      <c r="AO4981" s="6"/>
    </row>
    <row r="4982" spans="1:41" ht="15" x14ac:dyDescent="0.25">
      <c r="A4982" s="1"/>
      <c r="B4982" s="1"/>
      <c r="C4982" s="1"/>
      <c r="D4982" s="1"/>
      <c r="E4982" s="6"/>
      <c r="F4982" s="1"/>
      <c r="G4982" s="6"/>
      <c r="H4982" s="6"/>
      <c r="I4982" s="6"/>
      <c r="J4982" s="6"/>
      <c r="K4982" s="6"/>
      <c r="L4982" s="6"/>
      <c r="M4982" s="6"/>
      <c r="N4982" s="6"/>
      <c r="O4982" s="7"/>
      <c r="P4982" s="6"/>
      <c r="Q4982" s="6"/>
      <c r="R4982" s="7"/>
      <c r="S4982" s="6"/>
      <c r="T4982" s="6"/>
      <c r="U4982" s="7"/>
      <c r="V4982" s="6"/>
      <c r="W4982" s="6"/>
      <c r="X4982" s="12"/>
      <c r="Y4982" s="6"/>
      <c r="Z4982" s="6"/>
      <c r="AA4982" s="7"/>
      <c r="AB4982" s="6"/>
      <c r="AC4982" s="6"/>
      <c r="AD4982" s="6"/>
      <c r="AE4982" s="12"/>
      <c r="AF4982" s="6"/>
      <c r="AG4982" s="12"/>
      <c r="AH4982" s="6"/>
      <c r="AI4982" s="6"/>
      <c r="AJ4982" s="12"/>
      <c r="AK4982" s="1"/>
      <c r="AL4982" s="12"/>
      <c r="AM4982" s="12"/>
      <c r="AN4982" s="1"/>
      <c r="AO4982" s="6"/>
    </row>
    <row r="4983" spans="1:41" ht="15" x14ac:dyDescent="0.25">
      <c r="A4983" s="1"/>
      <c r="B4983" s="1"/>
      <c r="C4983" s="1"/>
      <c r="D4983" s="1"/>
      <c r="E4983" s="6"/>
      <c r="F4983" s="1"/>
      <c r="G4983" s="6"/>
      <c r="H4983" s="6"/>
      <c r="I4983" s="6"/>
      <c r="J4983" s="6"/>
      <c r="K4983" s="6"/>
      <c r="L4983" s="6"/>
      <c r="M4983" s="6"/>
      <c r="N4983" s="6"/>
      <c r="O4983" s="7"/>
      <c r="P4983" s="6"/>
      <c r="Q4983" s="6"/>
      <c r="R4983" s="7"/>
      <c r="S4983" s="6"/>
      <c r="T4983" s="6"/>
      <c r="U4983" s="7"/>
      <c r="V4983" s="6"/>
      <c r="W4983" s="6"/>
      <c r="X4983" s="12"/>
      <c r="Y4983" s="6"/>
      <c r="Z4983" s="6"/>
      <c r="AA4983" s="7"/>
      <c r="AB4983" s="6"/>
      <c r="AC4983" s="6"/>
      <c r="AD4983" s="6"/>
      <c r="AE4983" s="12"/>
      <c r="AF4983" s="6"/>
      <c r="AG4983" s="12"/>
      <c r="AH4983" s="6"/>
      <c r="AI4983" s="6"/>
      <c r="AJ4983" s="12"/>
      <c r="AK4983" s="1"/>
      <c r="AL4983" s="12"/>
      <c r="AM4983" s="12"/>
      <c r="AN4983" s="1"/>
      <c r="AO4983" s="6"/>
    </row>
    <row r="4984" spans="1:41" ht="15" x14ac:dyDescent="0.25">
      <c r="A4984" s="1"/>
      <c r="B4984" s="1"/>
      <c r="C4984" s="1"/>
      <c r="D4984" s="1"/>
      <c r="E4984" s="6"/>
      <c r="F4984" s="1"/>
      <c r="G4984" s="6"/>
      <c r="H4984" s="6"/>
      <c r="I4984" s="6"/>
      <c r="J4984" s="6"/>
      <c r="K4984" s="6"/>
      <c r="L4984" s="6"/>
      <c r="M4984" s="6"/>
      <c r="N4984" s="6"/>
      <c r="O4984" s="7"/>
      <c r="P4984" s="6"/>
      <c r="Q4984" s="6"/>
      <c r="R4984" s="7"/>
      <c r="S4984" s="6"/>
      <c r="T4984" s="6"/>
      <c r="U4984" s="7"/>
      <c r="V4984" s="6"/>
      <c r="W4984" s="6"/>
      <c r="X4984" s="6"/>
      <c r="Y4984" s="6"/>
      <c r="Z4984" s="6"/>
      <c r="AA4984" s="7"/>
      <c r="AB4984" s="6"/>
      <c r="AC4984" s="6"/>
      <c r="AD4984" s="6"/>
      <c r="AE4984" s="12"/>
      <c r="AF4984" s="6"/>
      <c r="AG4984" s="12"/>
      <c r="AH4984" s="6"/>
      <c r="AI4984" s="6"/>
      <c r="AJ4984" s="12"/>
      <c r="AK4984" s="1"/>
      <c r="AL4984" s="12"/>
      <c r="AM4984" s="12"/>
      <c r="AN4984" s="1"/>
      <c r="AO4984" s="6"/>
    </row>
    <row r="4985" spans="1:41" ht="15" x14ac:dyDescent="0.25">
      <c r="A4985" s="1"/>
      <c r="B4985" s="1"/>
      <c r="C4985" s="1"/>
      <c r="D4985" s="1"/>
      <c r="E4985" s="6"/>
      <c r="F4985" s="1"/>
      <c r="G4985" s="6"/>
      <c r="H4985" s="6"/>
      <c r="I4985" s="6"/>
      <c r="J4985" s="6"/>
      <c r="K4985" s="6"/>
      <c r="L4985" s="6"/>
      <c r="M4985" s="6"/>
      <c r="N4985" s="6"/>
      <c r="O4985" s="7"/>
      <c r="P4985" s="6"/>
      <c r="Q4985" s="6"/>
      <c r="R4985" s="7"/>
      <c r="S4985" s="6"/>
      <c r="T4985" s="6"/>
      <c r="U4985" s="7"/>
      <c r="V4985" s="6"/>
      <c r="W4985" s="6"/>
      <c r="X4985" s="6"/>
      <c r="Y4985" s="6"/>
      <c r="Z4985" s="6"/>
      <c r="AA4985" s="7"/>
      <c r="AB4985" s="6"/>
      <c r="AC4985" s="6"/>
      <c r="AD4985" s="6"/>
      <c r="AE4985" s="12"/>
      <c r="AF4985" s="6"/>
      <c r="AG4985" s="12"/>
      <c r="AH4985" s="6"/>
      <c r="AI4985" s="6"/>
      <c r="AJ4985" s="12"/>
      <c r="AK4985" s="1"/>
      <c r="AL4985" s="12"/>
      <c r="AM4985" s="12"/>
      <c r="AN4985" s="1"/>
      <c r="AO4985" s="6"/>
    </row>
    <row r="4986" spans="1:41" ht="15" x14ac:dyDescent="0.25">
      <c r="A4986" s="1"/>
      <c r="B4986" s="1"/>
      <c r="C4986" s="1"/>
      <c r="D4986" s="1"/>
      <c r="E4986" s="6"/>
      <c r="F4986" s="1"/>
      <c r="G4986" s="6"/>
      <c r="H4986" s="6"/>
      <c r="I4986" s="6"/>
      <c r="J4986" s="6"/>
      <c r="K4986" s="6"/>
      <c r="L4986" s="6"/>
      <c r="M4986" s="6"/>
      <c r="N4986" s="6"/>
      <c r="O4986" s="7"/>
      <c r="P4986" s="6"/>
      <c r="Q4986" s="6"/>
      <c r="R4986" s="7"/>
      <c r="S4986" s="6"/>
      <c r="T4986" s="6"/>
      <c r="U4986" s="7"/>
      <c r="V4986" s="6"/>
      <c r="W4986" s="6"/>
      <c r="X4986" s="6"/>
      <c r="Y4986" s="6"/>
      <c r="Z4986" s="6"/>
      <c r="AA4986" s="7"/>
      <c r="AB4986" s="6"/>
      <c r="AC4986" s="6"/>
      <c r="AD4986" s="6"/>
      <c r="AE4986" s="12"/>
      <c r="AF4986" s="6"/>
      <c r="AG4986" s="12"/>
      <c r="AH4986" s="6"/>
      <c r="AI4986" s="6"/>
      <c r="AJ4986" s="12"/>
      <c r="AK4986" s="24"/>
      <c r="AL4986" s="25"/>
      <c r="AM4986" s="12"/>
      <c r="AN4986" s="1"/>
      <c r="AO4986" s="6"/>
    </row>
    <row r="4987" spans="1:41" ht="15" x14ac:dyDescent="0.25">
      <c r="A4987" s="1"/>
      <c r="B4987" s="1"/>
      <c r="C4987" s="1"/>
      <c r="D4987" s="1"/>
      <c r="E4987" s="6"/>
      <c r="F4987" s="1"/>
      <c r="G4987" s="6"/>
      <c r="H4987" s="6"/>
      <c r="I4987" s="6"/>
      <c r="J4987" s="6"/>
      <c r="K4987" s="6"/>
      <c r="L4987" s="6"/>
      <c r="M4987" s="6"/>
      <c r="N4987" s="6"/>
      <c r="O4987" s="7"/>
      <c r="P4987" s="6"/>
      <c r="Q4987" s="6"/>
      <c r="R4987" s="7"/>
      <c r="S4987" s="6"/>
      <c r="T4987" s="6"/>
      <c r="U4987" s="7"/>
      <c r="V4987" s="6"/>
      <c r="W4987" s="6"/>
      <c r="X4987" s="6"/>
      <c r="Y4987" s="6"/>
      <c r="Z4987" s="6"/>
      <c r="AA4987" s="7"/>
      <c r="AB4987" s="6"/>
      <c r="AC4987" s="6"/>
      <c r="AD4987" s="6"/>
      <c r="AE4987" s="12"/>
      <c r="AF4987" s="6"/>
      <c r="AG4987" s="12"/>
      <c r="AH4987" s="6"/>
      <c r="AI4987" s="6"/>
      <c r="AJ4987" s="12"/>
      <c r="AK4987" s="24"/>
      <c r="AL4987" s="25"/>
      <c r="AM4987" s="12"/>
      <c r="AN4987" s="1"/>
      <c r="AO4987" s="6"/>
    </row>
    <row r="4988" spans="1:41" ht="15" x14ac:dyDescent="0.25">
      <c r="A4988" s="1"/>
      <c r="B4988" s="1"/>
      <c r="C4988" s="1"/>
      <c r="D4988" s="1"/>
      <c r="E4988" s="6"/>
      <c r="F4988" s="1"/>
      <c r="G4988" s="6"/>
      <c r="H4988" s="6"/>
      <c r="I4988" s="6"/>
      <c r="J4988" s="6"/>
      <c r="K4988" s="6"/>
      <c r="L4988" s="6"/>
      <c r="M4988" s="6"/>
      <c r="N4988" s="6"/>
      <c r="O4988" s="7"/>
      <c r="P4988" s="6"/>
      <c r="Q4988" s="6"/>
      <c r="R4988" s="7"/>
      <c r="S4988" s="6"/>
      <c r="T4988" s="6"/>
      <c r="U4988" s="7"/>
      <c r="V4988" s="6"/>
      <c r="W4988" s="6"/>
      <c r="X4988" s="6"/>
      <c r="Y4988" s="6"/>
      <c r="Z4988" s="6"/>
      <c r="AA4988" s="7"/>
      <c r="AB4988" s="6"/>
      <c r="AC4988" s="6"/>
      <c r="AD4988" s="6"/>
      <c r="AE4988" s="12"/>
      <c r="AF4988" s="6"/>
      <c r="AG4988" s="12"/>
      <c r="AH4988" s="6"/>
      <c r="AI4988" s="6"/>
      <c r="AJ4988" s="12"/>
      <c r="AK4988" s="24"/>
      <c r="AL4988" s="25"/>
      <c r="AM4988" s="12"/>
      <c r="AN4988" s="1"/>
      <c r="AO4988" s="6"/>
    </row>
    <row r="4989" spans="1:41" ht="15" x14ac:dyDescent="0.25">
      <c r="A4989" s="1"/>
      <c r="B4989" s="1"/>
      <c r="C4989" s="1"/>
      <c r="D4989" s="1"/>
      <c r="E4989" s="6"/>
      <c r="F4989" s="1"/>
      <c r="G4989" s="6"/>
      <c r="H4989" s="6"/>
      <c r="I4989" s="6"/>
      <c r="J4989" s="6"/>
      <c r="K4989" s="6"/>
      <c r="L4989" s="6"/>
      <c r="M4989" s="6"/>
      <c r="N4989" s="6"/>
      <c r="O4989" s="7"/>
      <c r="P4989" s="6"/>
      <c r="Q4989" s="6"/>
      <c r="R4989" s="7"/>
      <c r="S4989" s="6"/>
      <c r="T4989" s="6"/>
      <c r="U4989" s="7"/>
      <c r="V4989" s="6"/>
      <c r="W4989" s="6"/>
      <c r="X4989" s="6"/>
      <c r="Y4989" s="6"/>
      <c r="Z4989" s="6"/>
      <c r="AA4989" s="7"/>
      <c r="AB4989" s="6"/>
      <c r="AC4989" s="6"/>
      <c r="AD4989" s="6"/>
      <c r="AE4989" s="12"/>
      <c r="AF4989" s="6"/>
      <c r="AG4989" s="12"/>
      <c r="AH4989" s="6"/>
      <c r="AI4989" s="6"/>
      <c r="AJ4989" s="12"/>
      <c r="AK4989" s="24"/>
      <c r="AL4989" s="25"/>
      <c r="AM4989" s="12"/>
      <c r="AN4989" s="1"/>
      <c r="AO4989" s="6"/>
    </row>
    <row r="4990" spans="1:41" ht="15" x14ac:dyDescent="0.25">
      <c r="A4990" s="1"/>
      <c r="B4990" s="1"/>
      <c r="C4990" s="1"/>
      <c r="D4990" s="1"/>
      <c r="E4990" s="6"/>
      <c r="F4990" s="1"/>
      <c r="G4990" s="6"/>
      <c r="H4990" s="6"/>
      <c r="I4990" s="6"/>
      <c r="J4990" s="6"/>
      <c r="K4990" s="6"/>
      <c r="L4990" s="6"/>
      <c r="M4990" s="6"/>
      <c r="N4990" s="6"/>
      <c r="O4990" s="7"/>
      <c r="P4990" s="6"/>
      <c r="Q4990" s="6"/>
      <c r="R4990" s="7"/>
      <c r="S4990" s="6"/>
      <c r="T4990" s="6"/>
      <c r="U4990" s="7"/>
      <c r="V4990" s="6"/>
      <c r="W4990" s="6"/>
      <c r="X4990" s="6"/>
      <c r="Y4990" s="6"/>
      <c r="Z4990" s="6"/>
      <c r="AA4990" s="7"/>
      <c r="AB4990" s="6"/>
      <c r="AC4990" s="6"/>
      <c r="AD4990" s="6"/>
      <c r="AE4990" s="12"/>
      <c r="AF4990" s="6"/>
      <c r="AG4990" s="12"/>
      <c r="AH4990" s="6"/>
      <c r="AI4990" s="6"/>
      <c r="AJ4990" s="12"/>
      <c r="AK4990" s="24"/>
      <c r="AL4990" s="25"/>
      <c r="AM4990" s="12"/>
      <c r="AN4990" s="1"/>
      <c r="AO4990" s="6"/>
    </row>
    <row r="4991" spans="1:41" ht="15" x14ac:dyDescent="0.25">
      <c r="A4991" s="1"/>
      <c r="B4991" s="1"/>
      <c r="C4991" s="1"/>
      <c r="D4991" s="1"/>
      <c r="E4991" s="6"/>
      <c r="F4991" s="1"/>
      <c r="G4991" s="6"/>
      <c r="H4991" s="6"/>
      <c r="I4991" s="6"/>
      <c r="J4991" s="6"/>
      <c r="K4991" s="6"/>
      <c r="L4991" s="6"/>
      <c r="M4991" s="6"/>
      <c r="N4991" s="6"/>
      <c r="O4991" s="7"/>
      <c r="P4991" s="6"/>
      <c r="Q4991" s="6"/>
      <c r="R4991" s="7"/>
      <c r="S4991" s="6"/>
      <c r="T4991" s="6"/>
      <c r="U4991" s="7"/>
      <c r="V4991" s="6"/>
      <c r="W4991" s="6"/>
      <c r="X4991" s="6"/>
      <c r="Y4991" s="6"/>
      <c r="Z4991" s="6"/>
      <c r="AA4991" s="7"/>
      <c r="AB4991" s="6"/>
      <c r="AC4991" s="6"/>
      <c r="AD4991" s="6"/>
      <c r="AE4991" s="12"/>
      <c r="AF4991" s="6"/>
      <c r="AG4991" s="12"/>
      <c r="AH4991" s="6"/>
      <c r="AI4991" s="6"/>
      <c r="AJ4991" s="12"/>
      <c r="AK4991" s="24"/>
      <c r="AL4991" s="25"/>
      <c r="AM4991" s="12"/>
      <c r="AN4991" s="1"/>
      <c r="AO4991" s="6"/>
    </row>
  </sheetData>
  <mergeCells count="1648">
    <mergeCell ref="AK4786:AL4786"/>
    <mergeCell ref="AK4787:AL4787"/>
    <mergeCell ref="AK4114:AL4114"/>
    <mergeCell ref="AK4115:AL4115"/>
    <mergeCell ref="AK4116:AL4116"/>
    <mergeCell ref="AK4119:AL4119"/>
    <mergeCell ref="AK4120:AL4120"/>
    <mergeCell ref="AK4121:AL4121"/>
    <mergeCell ref="AK4122:AL4122"/>
    <mergeCell ref="AK4079:AL4079"/>
    <mergeCell ref="AK4080:AL4080"/>
    <mergeCell ref="AK4087:AL4087"/>
    <mergeCell ref="AK4088:AL4088"/>
    <mergeCell ref="AK4095:AL4095"/>
    <mergeCell ref="AK4096:AL4096"/>
    <mergeCell ref="AK4097:AL4097"/>
    <mergeCell ref="AK4098:AL4098"/>
    <mergeCell ref="AK4099:AL4099"/>
    <mergeCell ref="AK4100:AL4100"/>
    <mergeCell ref="AK4102:AL4102"/>
    <mergeCell ref="AK4103:AL4103"/>
    <mergeCell ref="AK4108:AL4108"/>
    <mergeCell ref="AK4109:AL4109"/>
    <mergeCell ref="AK4110:AL4110"/>
    <mergeCell ref="AK4111:AL4111"/>
    <mergeCell ref="AK4113:AL4113"/>
    <mergeCell ref="AK4025:AL4025"/>
    <mergeCell ref="AK4037:AL4037"/>
    <mergeCell ref="AK4038:AL4038"/>
    <mergeCell ref="AK4044:AL4044"/>
    <mergeCell ref="AK4045:AL4045"/>
    <mergeCell ref="AK4047:AL4047"/>
    <mergeCell ref="AK4048:AL4048"/>
    <mergeCell ref="AK4049:AL4049"/>
    <mergeCell ref="AK4050:AL4050"/>
    <mergeCell ref="AK4052:AL4052"/>
    <mergeCell ref="AK4053:AL4053"/>
    <mergeCell ref="AK4054:AL4054"/>
    <mergeCell ref="AK4055:AL4055"/>
    <mergeCell ref="AK4060:AL4060"/>
    <mergeCell ref="AK4061:AL4061"/>
    <mergeCell ref="AK4073:AL4073"/>
    <mergeCell ref="AK4074:AL4074"/>
    <mergeCell ref="AK3961:AL3961"/>
    <mergeCell ref="AK3962:AL3962"/>
    <mergeCell ref="AK3985:AL3985"/>
    <mergeCell ref="AK3986:AL3986"/>
    <mergeCell ref="AK3988:AL3988"/>
    <mergeCell ref="AK3989:AL3989"/>
    <mergeCell ref="AK3995:AL3995"/>
    <mergeCell ref="AK3996:AL3996"/>
    <mergeCell ref="AK4002:AL4002"/>
    <mergeCell ref="AK4003:AL4003"/>
    <mergeCell ref="AK4004:AL4004"/>
    <mergeCell ref="AK4005:AL4005"/>
    <mergeCell ref="AK4017:AL4017"/>
    <mergeCell ref="AK4018:AL4018"/>
    <mergeCell ref="AK4022:AL4022"/>
    <mergeCell ref="AK4023:AL4023"/>
    <mergeCell ref="AK4024:AL4024"/>
    <mergeCell ref="AK3973:AL3973"/>
    <mergeCell ref="AK3975:AL3975"/>
    <mergeCell ref="AK3976:AL3976"/>
    <mergeCell ref="AK3977:AL3977"/>
    <mergeCell ref="AK3978:AL3978"/>
    <mergeCell ref="AK3979:AL3979"/>
    <mergeCell ref="AK3980:AL3980"/>
    <mergeCell ref="AK3862:AL3862"/>
    <mergeCell ref="AK3863:AL3863"/>
    <mergeCell ref="AK3868:AL3868"/>
    <mergeCell ref="AK3869:AL3869"/>
    <mergeCell ref="AK3874:AL3874"/>
    <mergeCell ref="AK3875:AL3875"/>
    <mergeCell ref="AK3876:AL3876"/>
    <mergeCell ref="AK3877:AL3877"/>
    <mergeCell ref="AK3879:AL3879"/>
    <mergeCell ref="AK3880:AL3880"/>
    <mergeCell ref="AK3885:AL3885"/>
    <mergeCell ref="AK3886:AL3886"/>
    <mergeCell ref="AK3891:AL3891"/>
    <mergeCell ref="AK3892:AL3892"/>
    <mergeCell ref="AK3900:AL3900"/>
    <mergeCell ref="AK3901:AL3901"/>
    <mergeCell ref="AK3906:AL3906"/>
    <mergeCell ref="AK3907:AL3907"/>
    <mergeCell ref="AK3913:AL3913"/>
    <mergeCell ref="AK3914:AL3914"/>
    <mergeCell ref="AK3919:AL3919"/>
    <mergeCell ref="AK3920:AL3920"/>
    <mergeCell ref="AK3921:AL3921"/>
    <mergeCell ref="AK3922:AL3922"/>
    <mergeCell ref="AK3923:AL3923"/>
    <mergeCell ref="AK3814:AL3814"/>
    <mergeCell ref="AK3815:AL3815"/>
    <mergeCell ref="AK3828:AL3828"/>
    <mergeCell ref="AK3829:AL3829"/>
    <mergeCell ref="AK3834:AL3834"/>
    <mergeCell ref="AK3835:AL3835"/>
    <mergeCell ref="AK3850:AL3850"/>
    <mergeCell ref="AK3851:AL3851"/>
    <mergeCell ref="AK3858:AL3858"/>
    <mergeCell ref="AK3859:AL3859"/>
    <mergeCell ref="AK3963:AL3963"/>
    <mergeCell ref="AK3964:AL3964"/>
    <mergeCell ref="AK3965:AL3965"/>
    <mergeCell ref="AK3966:AL3966"/>
    <mergeCell ref="AK3969:AL3969"/>
    <mergeCell ref="AK3970:AL3970"/>
    <mergeCell ref="AK3972:AL3972"/>
    <mergeCell ref="AK3924:AL3924"/>
    <mergeCell ref="AK3925:AL3925"/>
    <mergeCell ref="AK3926:AL3926"/>
    <mergeCell ref="AK3939:AL3939"/>
    <mergeCell ref="AK3940:AL3940"/>
    <mergeCell ref="AK3944:AL3944"/>
    <mergeCell ref="AK3945:AL3945"/>
    <mergeCell ref="AK3947:AL3947"/>
    <mergeCell ref="AK3948:AL3948"/>
    <mergeCell ref="AK3953:AL3953"/>
    <mergeCell ref="AK3954:AL3954"/>
    <mergeCell ref="AK3955:AL3955"/>
    <mergeCell ref="AK3956:AL3956"/>
    <mergeCell ref="AK3959:AL3959"/>
    <mergeCell ref="AK3960:AL3960"/>
    <mergeCell ref="AK3735:AL3735"/>
    <mergeCell ref="AK3736:AL3736"/>
    <mergeCell ref="AK3740:AL3740"/>
    <mergeCell ref="AK3741:AL3741"/>
    <mergeCell ref="AK3742:AL3742"/>
    <mergeCell ref="AK3743:AL3743"/>
    <mergeCell ref="AK3745:AL3745"/>
    <mergeCell ref="AK3746:AL3746"/>
    <mergeCell ref="AK3751:AL3751"/>
    <mergeCell ref="AK3752:AL3752"/>
    <mergeCell ref="AK3785:AL3785"/>
    <mergeCell ref="AK3786:AL3786"/>
    <mergeCell ref="AK3787:AL3787"/>
    <mergeCell ref="AK3788:AL3788"/>
    <mergeCell ref="AK3795:AL3795"/>
    <mergeCell ref="AK3796:AL3796"/>
    <mergeCell ref="AK3806:AL3806"/>
    <mergeCell ref="AK3696:AL3696"/>
    <mergeCell ref="AK3700:AL3700"/>
    <mergeCell ref="AK3701:AL3701"/>
    <mergeCell ref="AK3705:AL3705"/>
    <mergeCell ref="AK3706:AL3706"/>
    <mergeCell ref="AK3714:AL3714"/>
    <mergeCell ref="AK3715:AL3715"/>
    <mergeCell ref="AK3716:AL3716"/>
    <mergeCell ref="AK3717:AL3717"/>
    <mergeCell ref="AK3727:AL3727"/>
    <mergeCell ref="AK3728:AL3728"/>
    <mergeCell ref="AK3729:AL3729"/>
    <mergeCell ref="AK3730:AL3730"/>
    <mergeCell ref="AK3731:AL3731"/>
    <mergeCell ref="AK3732:AL3732"/>
    <mergeCell ref="AK3733:AL3733"/>
    <mergeCell ref="AK3734:AL3734"/>
    <mergeCell ref="AK3639:AL3639"/>
    <mergeCell ref="AK3640:AL3640"/>
    <mergeCell ref="AK3643:AL3643"/>
    <mergeCell ref="AK3644:AL3644"/>
    <mergeCell ref="AK3648:AL3648"/>
    <mergeCell ref="AK3649:AL3649"/>
    <mergeCell ref="AK3662:AL3662"/>
    <mergeCell ref="AK3663:AL3663"/>
    <mergeCell ref="AK3668:AL3668"/>
    <mergeCell ref="AK3669:AL3669"/>
    <mergeCell ref="AK3674:AL3674"/>
    <mergeCell ref="AK3675:AL3675"/>
    <mergeCell ref="AK3679:AL3679"/>
    <mergeCell ref="AK3680:AL3680"/>
    <mergeCell ref="AK3689:AL3689"/>
    <mergeCell ref="AK3690:AL3690"/>
    <mergeCell ref="AK3695:AL3695"/>
    <mergeCell ref="AK3580:AL3580"/>
    <mergeCell ref="AK3591:AL3591"/>
    <mergeCell ref="AK3596:AL3596"/>
    <mergeCell ref="AK3597:AL3597"/>
    <mergeCell ref="AK3601:AL3601"/>
    <mergeCell ref="AK3602:AL3602"/>
    <mergeCell ref="AK3606:AL3606"/>
    <mergeCell ref="AK3607:AL3607"/>
    <mergeCell ref="AK3612:AL3612"/>
    <mergeCell ref="AK3615:AL3615"/>
    <mergeCell ref="AK3619:AL3619"/>
    <mergeCell ref="AK3621:AL3621"/>
    <mergeCell ref="AK3622:AL3622"/>
    <mergeCell ref="AK3630:AL3630"/>
    <mergeCell ref="AK3633:AL3633"/>
    <mergeCell ref="AK3635:AL3635"/>
    <mergeCell ref="AK3636:AL3636"/>
    <mergeCell ref="AK3523:AL3523"/>
    <mergeCell ref="AK3528:AL3528"/>
    <mergeCell ref="AK3529:AL3529"/>
    <mergeCell ref="AK3534:AL3534"/>
    <mergeCell ref="AK3535:AL3535"/>
    <mergeCell ref="AK3538:AL3538"/>
    <mergeCell ref="AK3541:AL3541"/>
    <mergeCell ref="AK3544:AL3544"/>
    <mergeCell ref="AK3545:AL3545"/>
    <mergeCell ref="AK3551:AL3551"/>
    <mergeCell ref="AK3557:AL3557"/>
    <mergeCell ref="AK3558:AL3558"/>
    <mergeCell ref="AK3561:AL3561"/>
    <mergeCell ref="AK3566:AL3566"/>
    <mergeCell ref="AK3567:AL3567"/>
    <mergeCell ref="AK3572:AL3572"/>
    <mergeCell ref="AK3573:AL3573"/>
    <mergeCell ref="AK3381:AL3381"/>
    <mergeCell ref="AK3388:AL3388"/>
    <mergeCell ref="AK3389:AL3389"/>
    <mergeCell ref="AK3390:AL3390"/>
    <mergeCell ref="AK3396:AL3396"/>
    <mergeCell ref="AK3404:AL3404"/>
    <mergeCell ref="AK3410:AL3410"/>
    <mergeCell ref="AK3473:AL3473"/>
    <mergeCell ref="AK3477:AL3477"/>
    <mergeCell ref="AK3484:AL3484"/>
    <mergeCell ref="AK3485:AL3485"/>
    <mergeCell ref="AK3486:AL3486"/>
    <mergeCell ref="AK3493:AL3493"/>
    <mergeCell ref="AK3495:AL3495"/>
    <mergeCell ref="AK3508:AL3508"/>
    <mergeCell ref="AK3511:AL3511"/>
    <mergeCell ref="AK3519:AL3519"/>
    <mergeCell ref="AK3334:AL3334"/>
    <mergeCell ref="AK3340:AL3340"/>
    <mergeCell ref="AK3343:AL3343"/>
    <mergeCell ref="AK3349:AL3349"/>
    <mergeCell ref="AK3355:AL3355"/>
    <mergeCell ref="AK3357:AL3357"/>
    <mergeCell ref="AK3362:AL3362"/>
    <mergeCell ref="AK3364:AL3364"/>
    <mergeCell ref="AK3366:AL3366"/>
    <mergeCell ref="AK3368:AL3368"/>
    <mergeCell ref="AK3369:AL3369"/>
    <mergeCell ref="AK3371:AL3371"/>
    <mergeCell ref="AK3372:AL3372"/>
    <mergeCell ref="AK3375:AL3375"/>
    <mergeCell ref="AK3378:AL3378"/>
    <mergeCell ref="AK3379:AL3379"/>
    <mergeCell ref="AK3380:AL3380"/>
    <mergeCell ref="AK3431:AL3431"/>
    <mergeCell ref="AK3432:AL3432"/>
    <mergeCell ref="AK3434:AL3434"/>
    <mergeCell ref="AK3439:AL3439"/>
    <mergeCell ref="AK3441:AL3441"/>
    <mergeCell ref="AK3442:AL3442"/>
    <mergeCell ref="AK3443:AL3443"/>
    <mergeCell ref="AK3444:AL3444"/>
    <mergeCell ref="AK3450:AL3450"/>
    <mergeCell ref="AK3452:AL3452"/>
    <mergeCell ref="AK3455:AL3455"/>
    <mergeCell ref="AK3456:AL3456"/>
    <mergeCell ref="AK3458:AL3458"/>
    <mergeCell ref="AK3466:AL3466"/>
    <mergeCell ref="AK3255:AL3255"/>
    <mergeCell ref="AK3256:AL3256"/>
    <mergeCell ref="AK3259:AL3259"/>
    <mergeCell ref="AK3266:AL3266"/>
    <mergeCell ref="AK3271:AL3271"/>
    <mergeCell ref="AK3277:AL3277"/>
    <mergeCell ref="AK3291:AL3291"/>
    <mergeCell ref="AK3295:AL3295"/>
    <mergeCell ref="AK3301:AL3301"/>
    <mergeCell ref="AK3302:AL3302"/>
    <mergeCell ref="AK3303:AL3303"/>
    <mergeCell ref="AK3309:AL3309"/>
    <mergeCell ref="AK3314:AL3314"/>
    <mergeCell ref="AK3317:AL3317"/>
    <mergeCell ref="AK3318:AL3318"/>
    <mergeCell ref="AK3321:AL3321"/>
    <mergeCell ref="AK3327:AL3327"/>
    <mergeCell ref="AK3331:AL3331"/>
    <mergeCell ref="AK1909:AL1909"/>
    <mergeCell ref="AK1917:AL1917"/>
    <mergeCell ref="AK2363:AL2363"/>
    <mergeCell ref="AK2365:AL2365"/>
    <mergeCell ref="AK2366:AL2366"/>
    <mergeCell ref="AK2368:AL2368"/>
    <mergeCell ref="AK2495:AL2495"/>
    <mergeCell ref="AK1897:AL1897"/>
    <mergeCell ref="AK1899:AL1899"/>
    <mergeCell ref="AK1901:AL1901"/>
    <mergeCell ref="AK1902:AL1902"/>
    <mergeCell ref="AK1904:AL1904"/>
    <mergeCell ref="AK1905:AL1905"/>
    <mergeCell ref="AK1908:AL1908"/>
    <mergeCell ref="AA1736:AB1736"/>
    <mergeCell ref="AA1800:AB1800"/>
    <mergeCell ref="AA1896:AB1896"/>
    <mergeCell ref="AA1898:AB1898"/>
    <mergeCell ref="AA1913:AB1913"/>
    <mergeCell ref="AA2038:AB2038"/>
    <mergeCell ref="AA2040:AB2040"/>
    <mergeCell ref="AA2047:AB2047"/>
    <mergeCell ref="AA2201:AB2201"/>
    <mergeCell ref="AA2274:AB2274"/>
    <mergeCell ref="AA2311:AB2311"/>
    <mergeCell ref="AA2317:AB2317"/>
    <mergeCell ref="AA2358:AB2358"/>
    <mergeCell ref="AA2362:AB2362"/>
    <mergeCell ref="AK3845:AL3845"/>
    <mergeCell ref="AK3846:AL3846"/>
    <mergeCell ref="AK3185:AL3185"/>
    <mergeCell ref="AK3769:AL3769"/>
    <mergeCell ref="AK3770:AL3770"/>
    <mergeCell ref="AK3772:AL3772"/>
    <mergeCell ref="AK3773:AL3773"/>
    <mergeCell ref="AK3775:AL3775"/>
    <mergeCell ref="AK3776:AL3776"/>
    <mergeCell ref="AK1470:AL1470"/>
    <mergeCell ref="AK1474:AL1474"/>
    <mergeCell ref="AK1475:AL1475"/>
    <mergeCell ref="AK1482:AL1482"/>
    <mergeCell ref="AK1488:AL1488"/>
    <mergeCell ref="AK1496:AL1496"/>
    <mergeCell ref="AK1500:AL1500"/>
    <mergeCell ref="AA1538:AB1538"/>
    <mergeCell ref="AA1540:AB1540"/>
    <mergeCell ref="AA1568:AB1568"/>
    <mergeCell ref="AK1502:AL1502"/>
    <mergeCell ref="AK1507:AL1507"/>
    <mergeCell ref="AK1508:AL1508"/>
    <mergeCell ref="AK1510:AL1510"/>
    <mergeCell ref="AK1513:AL1513"/>
    <mergeCell ref="AK1516:AL1516"/>
    <mergeCell ref="AK1524:AL1524"/>
    <mergeCell ref="AK1580:AL1580"/>
    <mergeCell ref="AK1581:AL1581"/>
    <mergeCell ref="AK1590:AL1590"/>
    <mergeCell ref="AK1592:AL1592"/>
    <mergeCell ref="AK1597:AL1597"/>
    <mergeCell ref="AK1598:AL1598"/>
    <mergeCell ref="AA1354:AB1354"/>
    <mergeCell ref="AK1432:AL1432"/>
    <mergeCell ref="AK1433:AL1433"/>
    <mergeCell ref="AK1434:AL1434"/>
    <mergeCell ref="AK1439:AL1439"/>
    <mergeCell ref="AK1440:AL1440"/>
    <mergeCell ref="AK1443:AL1443"/>
    <mergeCell ref="AK1444:AL1444"/>
    <mergeCell ref="AK1445:AL1445"/>
    <mergeCell ref="AK1449:AL1449"/>
    <mergeCell ref="AK1450:AL1450"/>
    <mergeCell ref="AK1458:AL1458"/>
    <mergeCell ref="AK1460:AL1460"/>
    <mergeCell ref="AK1467:AL1467"/>
    <mergeCell ref="AK1468:AL1468"/>
    <mergeCell ref="AK3778:AL3778"/>
    <mergeCell ref="AK3779:AL3779"/>
    <mergeCell ref="AK1600:AL1600"/>
    <mergeCell ref="AA1618:AB1618"/>
    <mergeCell ref="AA1637:AB1637"/>
    <mergeCell ref="AA1645:AB1645"/>
    <mergeCell ref="AA1683:AB1683"/>
    <mergeCell ref="AA1689:AB1689"/>
    <mergeCell ref="AA1697:AB1697"/>
    <mergeCell ref="AA1729:AB1729"/>
    <mergeCell ref="AK1602:AL1602"/>
    <mergeCell ref="AK1603:AL1603"/>
    <mergeCell ref="AK1604:AL1604"/>
    <mergeCell ref="AK1606:AL1606"/>
    <mergeCell ref="AK1608:AL1608"/>
    <mergeCell ref="AK1609:AL1609"/>
    <mergeCell ref="AK1610:AL1610"/>
    <mergeCell ref="AK1287:AL1287"/>
    <mergeCell ref="AK1288:AL1288"/>
    <mergeCell ref="AK1289:AL1289"/>
    <mergeCell ref="AK1291:AL1291"/>
    <mergeCell ref="AA1293:AB1293"/>
    <mergeCell ref="AK1294:AL1294"/>
    <mergeCell ref="AK1273:AL1273"/>
    <mergeCell ref="AK1275:AL1275"/>
    <mergeCell ref="AK1280:AL1280"/>
    <mergeCell ref="AK1281:AL1281"/>
    <mergeCell ref="AK1283:AL1283"/>
    <mergeCell ref="AK1284:AL1284"/>
    <mergeCell ref="AK1285:AL1285"/>
    <mergeCell ref="AK1332:AL1332"/>
    <mergeCell ref="AA1334:AB1334"/>
    <mergeCell ref="AA1335:AB1335"/>
    <mergeCell ref="AA1342:AB1342"/>
    <mergeCell ref="AK1206:AL1206"/>
    <mergeCell ref="AK1214:AL1214"/>
    <mergeCell ref="AA1220:AB1220"/>
    <mergeCell ref="AK1223:AL1223"/>
    <mergeCell ref="AK1170:AL1170"/>
    <mergeCell ref="AK1171:AL1171"/>
    <mergeCell ref="AK1177:AL1177"/>
    <mergeCell ref="AK1179:AL1179"/>
    <mergeCell ref="AK1182:AL1182"/>
    <mergeCell ref="AK1183:AL1183"/>
    <mergeCell ref="AK1189:AL1189"/>
    <mergeCell ref="AK1264:AL1264"/>
    <mergeCell ref="AA1269:AB1269"/>
    <mergeCell ref="AK1231:AL1231"/>
    <mergeCell ref="AK1232:AL1232"/>
    <mergeCell ref="AK1236:AL1236"/>
    <mergeCell ref="AK1237:AL1237"/>
    <mergeCell ref="AK1241:AL1241"/>
    <mergeCell ref="AK1247:AL1247"/>
    <mergeCell ref="AK1256:AL1256"/>
    <mergeCell ref="AK1114:AL1114"/>
    <mergeCell ref="AK1120:AL1120"/>
    <mergeCell ref="AK1121:AL1121"/>
    <mergeCell ref="AK1124:AL1124"/>
    <mergeCell ref="AK1125:AL1125"/>
    <mergeCell ref="AK1128:AL1128"/>
    <mergeCell ref="AK1149:AL1149"/>
    <mergeCell ref="AK1151:AL1151"/>
    <mergeCell ref="AK1153:AL1153"/>
    <mergeCell ref="AK1158:AL1158"/>
    <mergeCell ref="AK1161:AL1161"/>
    <mergeCell ref="AK1163:AL1163"/>
    <mergeCell ref="AK1167:AL1167"/>
    <mergeCell ref="AK1168:AL1168"/>
    <mergeCell ref="AK1190:AL1190"/>
    <mergeCell ref="AK1197:AL1197"/>
    <mergeCell ref="AK1203:AL1203"/>
    <mergeCell ref="AK1029:AL1029"/>
    <mergeCell ref="AK1033:AL1033"/>
    <mergeCell ref="AK1034:AL1034"/>
    <mergeCell ref="AK1043:AL1043"/>
    <mergeCell ref="AK1045:AL1045"/>
    <mergeCell ref="AK1049:AL1049"/>
    <mergeCell ref="AK1052:AL1052"/>
    <mergeCell ref="AK1054:AL1054"/>
    <mergeCell ref="AK1061:AL1061"/>
    <mergeCell ref="AK1068:AL1068"/>
    <mergeCell ref="AA1070:AB1070"/>
    <mergeCell ref="AK1097:AL1097"/>
    <mergeCell ref="AK1104:AL1104"/>
    <mergeCell ref="AK1105:AL1105"/>
    <mergeCell ref="AK1106:AL1106"/>
    <mergeCell ref="AA1107:AB1107"/>
    <mergeCell ref="AK1071:AL1071"/>
    <mergeCell ref="AK1075:AL1075"/>
    <mergeCell ref="AK1076:AL1076"/>
    <mergeCell ref="AK1079:AL1079"/>
    <mergeCell ref="AK1092:AL1092"/>
    <mergeCell ref="AK1093:AL1093"/>
    <mergeCell ref="AK1096:AL1096"/>
    <mergeCell ref="AK970:AL970"/>
    <mergeCell ref="AK981:AL981"/>
    <mergeCell ref="AK988:AL988"/>
    <mergeCell ref="AK989:AL989"/>
    <mergeCell ref="AK990:AL990"/>
    <mergeCell ref="AK991:AL991"/>
    <mergeCell ref="AK992:AL992"/>
    <mergeCell ref="AK994:AL994"/>
    <mergeCell ref="AK1002:AL1002"/>
    <mergeCell ref="AK1003:AL1003"/>
    <mergeCell ref="AK1005:AL1005"/>
    <mergeCell ref="AA1016:AB1016"/>
    <mergeCell ref="AK1020:AL1020"/>
    <mergeCell ref="AK1024:AL1024"/>
    <mergeCell ref="AK1025:AL1025"/>
    <mergeCell ref="AK1027:AL1027"/>
    <mergeCell ref="AK1028:AL1028"/>
    <mergeCell ref="AK882:AL882"/>
    <mergeCell ref="AK883:AL883"/>
    <mergeCell ref="AK885:AL885"/>
    <mergeCell ref="AK903:AL903"/>
    <mergeCell ref="AK904:AL904"/>
    <mergeCell ref="AK906:AL906"/>
    <mergeCell ref="AA907:AB907"/>
    <mergeCell ref="AA911:AB911"/>
    <mergeCell ref="AK914:AL914"/>
    <mergeCell ref="AK915:AL915"/>
    <mergeCell ref="AK917:AL917"/>
    <mergeCell ref="AK922:AL922"/>
    <mergeCell ref="AK925:AL925"/>
    <mergeCell ref="AK933:AL933"/>
    <mergeCell ref="AK937:AL937"/>
    <mergeCell ref="AK938:AL938"/>
    <mergeCell ref="AK940:AL940"/>
    <mergeCell ref="AK941:AL941"/>
    <mergeCell ref="AA942:AB942"/>
    <mergeCell ref="AK943:AL943"/>
    <mergeCell ref="AK945:AL945"/>
    <mergeCell ref="AK956:AL956"/>
    <mergeCell ref="AK963:AL963"/>
    <mergeCell ref="AK965:AL965"/>
    <mergeCell ref="AK969:AL969"/>
    <mergeCell ref="AA977:AB977"/>
    <mergeCell ref="AK855:AL855"/>
    <mergeCell ref="AK857:AL857"/>
    <mergeCell ref="AK858:AL858"/>
    <mergeCell ref="AK859:AL859"/>
    <mergeCell ref="AA861:AB861"/>
    <mergeCell ref="AA873:AB873"/>
    <mergeCell ref="AK834:AL834"/>
    <mergeCell ref="AK835:AL835"/>
    <mergeCell ref="AK839:AL839"/>
    <mergeCell ref="AK840:AL840"/>
    <mergeCell ref="AK844:AL844"/>
    <mergeCell ref="AK848:AL848"/>
    <mergeCell ref="AK850:AL850"/>
    <mergeCell ref="AK887:AL887"/>
    <mergeCell ref="AK888:AL888"/>
    <mergeCell ref="AK893:AL893"/>
    <mergeCell ref="AK894:AL894"/>
    <mergeCell ref="AA895:AB895"/>
    <mergeCell ref="AK896:AL896"/>
    <mergeCell ref="AK868:AL868"/>
    <mergeCell ref="AK874:AL874"/>
    <mergeCell ref="AK875:AL875"/>
    <mergeCell ref="AK880:AL880"/>
    <mergeCell ref="AA2915:AB2915"/>
    <mergeCell ref="AA2916:AB2916"/>
    <mergeCell ref="AA2938:AB2938"/>
    <mergeCell ref="AA2997:AB2997"/>
    <mergeCell ref="AA3024:AB3024"/>
    <mergeCell ref="AA3079:AB3079"/>
    <mergeCell ref="AA3139:AB3139"/>
    <mergeCell ref="AA3184:AB3184"/>
    <mergeCell ref="AA3194:AB3194"/>
    <mergeCell ref="AA3200:AB3200"/>
    <mergeCell ref="AA3347:AB3347"/>
    <mergeCell ref="AA3399:AB3399"/>
    <mergeCell ref="AA3400:AB3400"/>
    <mergeCell ref="AA3497:AB3497"/>
    <mergeCell ref="AA3578:AB3578"/>
    <mergeCell ref="AA3595:AB3595"/>
    <mergeCell ref="AA3645:AB3645"/>
    <mergeCell ref="AA2438:AB2438"/>
    <mergeCell ref="AA2479:AB2479"/>
    <mergeCell ref="AA2494:AB2494"/>
    <mergeCell ref="AA2536:AB2536"/>
    <mergeCell ref="AA2537:AB2537"/>
    <mergeCell ref="AA2538:AB2538"/>
    <mergeCell ref="AA2540:AB2540"/>
    <mergeCell ref="AA2549:AB2549"/>
    <mergeCell ref="AA2551:AB2551"/>
    <mergeCell ref="AA2654:AB2654"/>
    <mergeCell ref="AA2667:AB2667"/>
    <mergeCell ref="AA2680:AB2680"/>
    <mergeCell ref="AA2697:AB2697"/>
    <mergeCell ref="AA2738:AB2738"/>
    <mergeCell ref="AA2779:AB2779"/>
    <mergeCell ref="AA2794:AB2794"/>
    <mergeCell ref="AA2900:AB2900"/>
    <mergeCell ref="AA4123:AB4123"/>
    <mergeCell ref="AA4124:AB4124"/>
    <mergeCell ref="AA4146:AB4146"/>
    <mergeCell ref="AA4147:AB4147"/>
    <mergeCell ref="AA4217:AB4217"/>
    <mergeCell ref="AA4542:AB4542"/>
    <mergeCell ref="AA4780:AB4780"/>
    <mergeCell ref="AA4781:AB4781"/>
    <mergeCell ref="AA4864:AB4864"/>
    <mergeCell ref="AA4865:AB4865"/>
    <mergeCell ref="AA4218:AB4218"/>
    <mergeCell ref="AA4221:AB4221"/>
    <mergeCell ref="AA4273:AB4273"/>
    <mergeCell ref="AA4274:AB4274"/>
    <mergeCell ref="AA4428:AB4428"/>
    <mergeCell ref="AA4429:AB4429"/>
    <mergeCell ref="AA4541:AB4541"/>
    <mergeCell ref="AK3025:AL3025"/>
    <mergeCell ref="AK3027:AL3027"/>
    <mergeCell ref="AK3032:AL3032"/>
    <mergeCell ref="AK3036:AL3036"/>
    <mergeCell ref="AK3043:AL3043"/>
    <mergeCell ref="AK3044:AL3044"/>
    <mergeCell ref="AK3046:AL3046"/>
    <mergeCell ref="AK3048:AL3048"/>
    <mergeCell ref="AK3205:AL3205"/>
    <mergeCell ref="AK3211:AL3211"/>
    <mergeCell ref="AK3221:AL3221"/>
    <mergeCell ref="AK3233:AL3233"/>
    <mergeCell ref="AK3237:AL3237"/>
    <mergeCell ref="AK3246:AL3246"/>
    <mergeCell ref="AK3248:AL3248"/>
    <mergeCell ref="AA3917:AB3917"/>
    <mergeCell ref="AA3918:AB3918"/>
    <mergeCell ref="AA3646:AB3646"/>
    <mergeCell ref="AA3691:AB3691"/>
    <mergeCell ref="AA3692:AB3692"/>
    <mergeCell ref="AA3766:AB3766"/>
    <mergeCell ref="AA3767:AB3767"/>
    <mergeCell ref="AA3831:AB3831"/>
    <mergeCell ref="AA3832:AB3832"/>
    <mergeCell ref="AA3839:AB3839"/>
    <mergeCell ref="AA3840:AB3840"/>
    <mergeCell ref="AA3843:AB3843"/>
    <mergeCell ref="AA3844:AB3844"/>
    <mergeCell ref="AA3902:AB3902"/>
    <mergeCell ref="AA3903:AB3903"/>
    <mergeCell ref="AA3915:AB3915"/>
    <mergeCell ref="AA3916:AB3916"/>
    <mergeCell ref="AK3154:AL3154"/>
    <mergeCell ref="AK3155:AL3155"/>
    <mergeCell ref="AK3156:AL3156"/>
    <mergeCell ref="AK3163:AL3163"/>
    <mergeCell ref="AK3164:AL3164"/>
    <mergeCell ref="AK3166:AL3166"/>
    <mergeCell ref="AK3167:AL3167"/>
    <mergeCell ref="AK3172:AL3172"/>
    <mergeCell ref="AK3176:AL3176"/>
    <mergeCell ref="AK3177:AL3177"/>
    <mergeCell ref="AK3189:AL3189"/>
    <mergeCell ref="AK3190:AL3190"/>
    <mergeCell ref="AK3197:AL3197"/>
    <mergeCell ref="AK2906:AL2906"/>
    <mergeCell ref="AK2907:AL2907"/>
    <mergeCell ref="AK2908:AL2908"/>
    <mergeCell ref="AK2909:AL2909"/>
    <mergeCell ref="AK2911:AL2911"/>
    <mergeCell ref="AK2917:AL2917"/>
    <mergeCell ref="AK2920:AL2920"/>
    <mergeCell ref="AK2921:AL2921"/>
    <mergeCell ref="AK2922:AL2922"/>
    <mergeCell ref="AK2925:AL2925"/>
    <mergeCell ref="AK2926:AL2926"/>
    <mergeCell ref="AK2931:AL2931"/>
    <mergeCell ref="AK2935:AL2935"/>
    <mergeCell ref="AK2943:AL2943"/>
    <mergeCell ref="AK2946:AL2946"/>
    <mergeCell ref="AK2947:AL2947"/>
    <mergeCell ref="AK2956:AL2956"/>
    <mergeCell ref="AK2958:AL2958"/>
    <mergeCell ref="AK2960:AL2960"/>
    <mergeCell ref="AK3089:AL3089"/>
    <mergeCell ref="AK3093:AL3093"/>
    <mergeCell ref="AK3100:AL3100"/>
    <mergeCell ref="AK3101:AL3101"/>
    <mergeCell ref="AK3112:AL3112"/>
    <mergeCell ref="AK3113:AL3113"/>
    <mergeCell ref="AK3115:AL3115"/>
    <mergeCell ref="AK3117:AL3117"/>
    <mergeCell ref="AK3122:AL3122"/>
    <mergeCell ref="AK3123:AL3123"/>
    <mergeCell ref="AK3127:AL3127"/>
    <mergeCell ref="AK3128:AL3128"/>
    <mergeCell ref="AK3131:AL3131"/>
    <mergeCell ref="AK3134:AL3134"/>
    <mergeCell ref="AK3138:AL3138"/>
    <mergeCell ref="AK3149:AL3149"/>
    <mergeCell ref="AK3153:AL3153"/>
    <mergeCell ref="AK2886:AL2886"/>
    <mergeCell ref="AK2889:AL2889"/>
    <mergeCell ref="AK2898:AL2898"/>
    <mergeCell ref="AK2901:AL2901"/>
    <mergeCell ref="AK2905:AL2905"/>
    <mergeCell ref="AK3050:AL3050"/>
    <mergeCell ref="AK3051:AL3051"/>
    <mergeCell ref="AK3061:AL3061"/>
    <mergeCell ref="AK3062:AL3062"/>
    <mergeCell ref="AK3063:AL3063"/>
    <mergeCell ref="AK3065:AL3065"/>
    <mergeCell ref="AK3067:AL3067"/>
    <mergeCell ref="AK3068:AL3068"/>
    <mergeCell ref="AK3072:AL3072"/>
    <mergeCell ref="AK3073:AL3073"/>
    <mergeCell ref="AK3078:AL3078"/>
    <mergeCell ref="AK3081:AL3081"/>
    <mergeCell ref="AK2963:AL2963"/>
    <mergeCell ref="AK2964:AL2964"/>
    <mergeCell ref="AK2971:AL2971"/>
    <mergeCell ref="AK2972:AL2972"/>
    <mergeCell ref="AK2976:AL2976"/>
    <mergeCell ref="AK2978:AL2978"/>
    <mergeCell ref="AK2980:AL2980"/>
    <mergeCell ref="AK2983:AL2983"/>
    <mergeCell ref="AK2985:AL2985"/>
    <mergeCell ref="AK2987:AL2987"/>
    <mergeCell ref="AK2989:AL2989"/>
    <mergeCell ref="AK3000:AL3000"/>
    <mergeCell ref="AK3001:AL3001"/>
    <mergeCell ref="AK3006:AL3006"/>
    <mergeCell ref="AK3023:AL3023"/>
    <mergeCell ref="AK2827:AL2827"/>
    <mergeCell ref="AK2835:AL2835"/>
    <mergeCell ref="AK2836:AL2836"/>
    <mergeCell ref="AK2839:AL2839"/>
    <mergeCell ref="AK2840:AL2840"/>
    <mergeCell ref="AK2842:AL2842"/>
    <mergeCell ref="AK2843:AL2843"/>
    <mergeCell ref="AK2844:AL2844"/>
    <mergeCell ref="AK2853:AL2853"/>
    <mergeCell ref="AK2854:AL2854"/>
    <mergeCell ref="AK2857:AL2857"/>
    <mergeCell ref="AK2861:AL2861"/>
    <mergeCell ref="AK2864:AL2864"/>
    <mergeCell ref="AK2868:AL2868"/>
    <mergeCell ref="AK2870:AL2870"/>
    <mergeCell ref="AK2877:AL2877"/>
    <mergeCell ref="AK2879:AL2879"/>
    <mergeCell ref="AK2767:AL2767"/>
    <mergeCell ref="AK2769:AL2769"/>
    <mergeCell ref="AK2773:AL2773"/>
    <mergeCell ref="AK2775:AL2775"/>
    <mergeCell ref="AK2776:AL2776"/>
    <mergeCell ref="AK2778:AL2778"/>
    <mergeCell ref="AK2791:AL2791"/>
    <mergeCell ref="AK2797:AL2797"/>
    <mergeCell ref="AK2801:AL2801"/>
    <mergeCell ref="AK2802:AL2802"/>
    <mergeCell ref="AK2804:AL2804"/>
    <mergeCell ref="AK2817:AL2817"/>
    <mergeCell ref="AK2818:AL2818"/>
    <mergeCell ref="AK2820:AL2820"/>
    <mergeCell ref="AK2821:AL2821"/>
    <mergeCell ref="AK2822:AL2822"/>
    <mergeCell ref="AK2824:AL2824"/>
    <mergeCell ref="AK2732:AL2732"/>
    <mergeCell ref="AK2734:AL2734"/>
    <mergeCell ref="AK2735:AL2735"/>
    <mergeCell ref="AK2741:AL2741"/>
    <mergeCell ref="AK2743:AL2743"/>
    <mergeCell ref="AK2745:AL2745"/>
    <mergeCell ref="AK2748:AL2748"/>
    <mergeCell ref="AK2750:AL2750"/>
    <mergeCell ref="AK2754:AL2754"/>
    <mergeCell ref="AK2755:AL2755"/>
    <mergeCell ref="AK2757:AL2757"/>
    <mergeCell ref="AK2758:AL2758"/>
    <mergeCell ref="AK2759:AL2759"/>
    <mergeCell ref="AK2760:AL2760"/>
    <mergeCell ref="AK2761:AL2761"/>
    <mergeCell ref="AK2762:AL2762"/>
    <mergeCell ref="AK2763:AL2763"/>
    <mergeCell ref="AK2727:AL2727"/>
    <mergeCell ref="AK2728:AL2728"/>
    <mergeCell ref="AK2465:AL2465"/>
    <mergeCell ref="AK2467:AL2467"/>
    <mergeCell ref="AK2470:AL2470"/>
    <mergeCell ref="AK2473:AL2473"/>
    <mergeCell ref="AK2477:AL2477"/>
    <mergeCell ref="AK2478:AL2478"/>
    <mergeCell ref="AK2482:AL2482"/>
    <mergeCell ref="AK2484:AL2484"/>
    <mergeCell ref="AK2486:AL2486"/>
    <mergeCell ref="AK2488:AL2488"/>
    <mergeCell ref="AK2499:AL2499"/>
    <mergeCell ref="AK2502:AL2502"/>
    <mergeCell ref="AK2503:AL2503"/>
    <mergeCell ref="AK2507:AL2507"/>
    <mergeCell ref="AK2509:AL2509"/>
    <mergeCell ref="AK2512:AL2512"/>
    <mergeCell ref="AK2513:AL2513"/>
    <mergeCell ref="AK2514:AL2514"/>
    <mergeCell ref="AK2517:AL2517"/>
    <mergeCell ref="AK2522:AL2522"/>
    <mergeCell ref="AK2527:AL2527"/>
    <mergeCell ref="AK2528:AL2528"/>
    <mergeCell ref="AK2533:AL2533"/>
    <mergeCell ref="AK2534:AL2534"/>
    <mergeCell ref="AK2535:AL2535"/>
    <mergeCell ref="AK2545:AL2545"/>
    <mergeCell ref="AK2548:AL2548"/>
    <mergeCell ref="AK2550:AL2550"/>
    <mergeCell ref="AK2552:AL2552"/>
    <mergeCell ref="AK2553:AL2553"/>
    <mergeCell ref="AK2647:AL2647"/>
    <mergeCell ref="AK2648:AL2648"/>
    <mergeCell ref="AK2651:AL2651"/>
    <mergeCell ref="AK2656:AL2656"/>
    <mergeCell ref="AK2664:AL2664"/>
    <mergeCell ref="AK2671:AL2671"/>
    <mergeCell ref="AK2677:AL2677"/>
    <mergeCell ref="AK2683:AL2683"/>
    <mergeCell ref="AK2688:AL2688"/>
    <mergeCell ref="AK2691:AL2691"/>
    <mergeCell ref="AK2693:AL2693"/>
    <mergeCell ref="AK2698:AL2698"/>
    <mergeCell ref="AK2699:AL2699"/>
    <mergeCell ref="AK2702:AL2702"/>
    <mergeCell ref="AK2713:AL2713"/>
    <mergeCell ref="AK2721:AL2721"/>
    <mergeCell ref="AK2723:AL2723"/>
    <mergeCell ref="AK2045:AL2045"/>
    <mergeCell ref="AK2109:AL2109"/>
    <mergeCell ref="AK2110:AL2110"/>
    <mergeCell ref="AK2114:AL2114"/>
    <mergeCell ref="AK2117:AL2117"/>
    <mergeCell ref="AK2118:AL2118"/>
    <mergeCell ref="AK2121:AL2121"/>
    <mergeCell ref="AK2123:AL2123"/>
    <mergeCell ref="AK2614:AL2614"/>
    <mergeCell ref="AK2616:AL2616"/>
    <mergeCell ref="AK2617:AL2617"/>
    <mergeCell ref="AK2621:AL2621"/>
    <mergeCell ref="AK2623:AL2623"/>
    <mergeCell ref="AK2626:AL2626"/>
    <mergeCell ref="AK2627:AL2627"/>
    <mergeCell ref="AK2628:AL2628"/>
    <mergeCell ref="AK2630:AL2630"/>
    <mergeCell ref="AK2554:AL2554"/>
    <mergeCell ref="AK2560:AL2560"/>
    <mergeCell ref="AK2563:AL2563"/>
    <mergeCell ref="AK2568:AL2568"/>
    <mergeCell ref="AK2571:AL2571"/>
    <mergeCell ref="AK2572:AL2572"/>
    <mergeCell ref="AK2574:AL2574"/>
    <mergeCell ref="AK2591:AL2591"/>
    <mergeCell ref="AK2592:AL2592"/>
    <mergeCell ref="AK2594:AL2594"/>
    <mergeCell ref="AK2603:AL2603"/>
    <mergeCell ref="AK2604:AL2604"/>
    <mergeCell ref="AK2089:AL2089"/>
    <mergeCell ref="AK2092:AL2092"/>
    <mergeCell ref="AK2100:AL2100"/>
    <mergeCell ref="AK2101:AL2101"/>
    <mergeCell ref="AK2102:AL2102"/>
    <mergeCell ref="AK2104:AL2104"/>
    <mergeCell ref="AK1868:AL1868"/>
    <mergeCell ref="AK1870:AL1870"/>
    <mergeCell ref="AK1875:AL1875"/>
    <mergeCell ref="AK1880:AL1880"/>
    <mergeCell ref="AK1926:AL1926"/>
    <mergeCell ref="AK1928:AL1928"/>
    <mergeCell ref="AK1929:AL1929"/>
    <mergeCell ref="AK1930:AL1930"/>
    <mergeCell ref="AK1932:AL1932"/>
    <mergeCell ref="AK1933:AL1933"/>
    <mergeCell ref="AK1934:AL1934"/>
    <mergeCell ref="AK1935:AL1935"/>
    <mergeCell ref="AK1944:AL1944"/>
    <mergeCell ref="AK1945:AL1945"/>
    <mergeCell ref="AK1946:AL1946"/>
    <mergeCell ref="AK1949:AL1949"/>
    <mergeCell ref="AK1950:AL1950"/>
    <mergeCell ref="AK1951:AL1951"/>
    <mergeCell ref="AK1955:AL1955"/>
    <mergeCell ref="AK1962:AL1962"/>
    <mergeCell ref="AK1964:AL1964"/>
    <mergeCell ref="AK1971:AL1971"/>
    <mergeCell ref="AK1973:AL1973"/>
    <mergeCell ref="AK1979:AL1979"/>
    <mergeCell ref="AK1980:AL1980"/>
    <mergeCell ref="AK1981:AL1981"/>
    <mergeCell ref="AK1840:AL1840"/>
    <mergeCell ref="AK1843:AL1843"/>
    <mergeCell ref="AK1844:AL1844"/>
    <mergeCell ref="AK1848:AL1848"/>
    <mergeCell ref="AK1849:AL1849"/>
    <mergeCell ref="AK1850:AL1850"/>
    <mergeCell ref="AK1853:AL1853"/>
    <mergeCell ref="AK1863:AL1863"/>
    <mergeCell ref="AK1865:AL1865"/>
    <mergeCell ref="AK2066:AL2066"/>
    <mergeCell ref="AK2067:AL2067"/>
    <mergeCell ref="AK2070:AL2070"/>
    <mergeCell ref="AK2071:AL2071"/>
    <mergeCell ref="AK2080:AL2080"/>
    <mergeCell ref="AK2086:AL2086"/>
    <mergeCell ref="AK2087:AL2087"/>
    <mergeCell ref="AK2088:AL2088"/>
    <mergeCell ref="AK1982:AL1982"/>
    <mergeCell ref="AK1986:AL1986"/>
    <mergeCell ref="AK1988:AL1988"/>
    <mergeCell ref="AK1990:AL1990"/>
    <mergeCell ref="AK1991:AL1991"/>
    <mergeCell ref="AK1995:AL1995"/>
    <mergeCell ref="AK1996:AL1996"/>
    <mergeCell ref="AK1998:AL1998"/>
    <mergeCell ref="AK2004:AL2004"/>
    <mergeCell ref="AK2007:AL2007"/>
    <mergeCell ref="AK2013:AL2013"/>
    <mergeCell ref="AK2023:AL2023"/>
    <mergeCell ref="AK2035:AL2035"/>
    <mergeCell ref="AK2039:AL2039"/>
    <mergeCell ref="AK2044:AL2044"/>
    <mergeCell ref="AK1763:AL1763"/>
    <mergeCell ref="AK1770:AL1770"/>
    <mergeCell ref="AK1771:AL1771"/>
    <mergeCell ref="AK1773:AL1773"/>
    <mergeCell ref="AK1774:AL1774"/>
    <mergeCell ref="AK1777:AL1777"/>
    <mergeCell ref="AK1781:AL1781"/>
    <mergeCell ref="AK1787:AL1787"/>
    <mergeCell ref="AK1788:AL1788"/>
    <mergeCell ref="AK1792:AL1792"/>
    <mergeCell ref="AK1796:AL1796"/>
    <mergeCell ref="AK1804:AL1804"/>
    <mergeCell ref="AK1812:AL1812"/>
    <mergeCell ref="AK1813:AL1813"/>
    <mergeCell ref="AK1822:AL1822"/>
    <mergeCell ref="AK1838:AL1838"/>
    <mergeCell ref="AK1839:AL1839"/>
    <mergeCell ref="AK1720:AL1720"/>
    <mergeCell ref="AK1722:AL1722"/>
    <mergeCell ref="AK1723:AL1723"/>
    <mergeCell ref="AK1727:AL1727"/>
    <mergeCell ref="AK1728:AL1728"/>
    <mergeCell ref="AK1732:AL1732"/>
    <mergeCell ref="AK1737:AL1737"/>
    <mergeCell ref="AK1740:AL1740"/>
    <mergeCell ref="AK1744:AL1744"/>
    <mergeCell ref="AK1748:AL1748"/>
    <mergeCell ref="AK1749:AL1749"/>
    <mergeCell ref="AK1752:AL1752"/>
    <mergeCell ref="AK1753:AL1753"/>
    <mergeCell ref="AK1754:AL1754"/>
    <mergeCell ref="AK1758:AL1758"/>
    <mergeCell ref="AK1761:AL1761"/>
    <mergeCell ref="AK1762:AL1762"/>
    <mergeCell ref="AK1426:AL1426"/>
    <mergeCell ref="AK1427:AL1427"/>
    <mergeCell ref="AK1428:AL1428"/>
    <mergeCell ref="AK1430:AL1430"/>
    <mergeCell ref="AK1661:AL1661"/>
    <mergeCell ref="AK1668:AL1668"/>
    <mergeCell ref="AK1670:AL1670"/>
    <mergeCell ref="AK1671:AL1671"/>
    <mergeCell ref="AK1677:AL1677"/>
    <mergeCell ref="AK1680:AL1680"/>
    <mergeCell ref="AK1681:AL1681"/>
    <mergeCell ref="AK1688:AL1688"/>
    <mergeCell ref="AK1694:AL1694"/>
    <mergeCell ref="AK1701:AL1701"/>
    <mergeCell ref="AK1704:AL1704"/>
    <mergeCell ref="AK1707:AL1707"/>
    <mergeCell ref="AK1716:AL1716"/>
    <mergeCell ref="AK1384:AL1384"/>
    <mergeCell ref="AK1385:AL1385"/>
    <mergeCell ref="AK1387:AL1387"/>
    <mergeCell ref="AK1388:AL1388"/>
    <mergeCell ref="AK1391:AL1391"/>
    <mergeCell ref="AK1393:AL1393"/>
    <mergeCell ref="AK1394:AL1394"/>
    <mergeCell ref="AK1395:AL1395"/>
    <mergeCell ref="AK1396:AL1396"/>
    <mergeCell ref="AK1402:AL1402"/>
    <mergeCell ref="AK1406:AL1406"/>
    <mergeCell ref="AK1407:AL1407"/>
    <mergeCell ref="AK1408:AL1408"/>
    <mergeCell ref="AK1409:AL1409"/>
    <mergeCell ref="AK1413:AL1413"/>
    <mergeCell ref="AK1422:AL1422"/>
    <mergeCell ref="AK1424:AL1424"/>
    <mergeCell ref="AK1312:AL1312"/>
    <mergeCell ref="AK1321:AL1321"/>
    <mergeCell ref="AK1331:AL1331"/>
    <mergeCell ref="AK1339:AL1339"/>
    <mergeCell ref="AK1344:AL1344"/>
    <mergeCell ref="AK1347:AL1347"/>
    <mergeCell ref="AK1348:AL1348"/>
    <mergeCell ref="AK1358:AL1358"/>
    <mergeCell ref="AK1362:AL1362"/>
    <mergeCell ref="AK1365:AL1365"/>
    <mergeCell ref="AK1367:AL1367"/>
    <mergeCell ref="AK1375:AL1375"/>
    <mergeCell ref="AK1376:AL1376"/>
    <mergeCell ref="AK1377:AL1377"/>
    <mergeCell ref="AK1379:AL1379"/>
    <mergeCell ref="AK1380:AL1380"/>
    <mergeCell ref="AK1381:AL1381"/>
    <mergeCell ref="AK2396:AL2396"/>
    <mergeCell ref="AK2397:AL2397"/>
    <mergeCell ref="AK2398:AL2398"/>
    <mergeCell ref="AK2405:AL2405"/>
    <mergeCell ref="AK2406:AL2406"/>
    <mergeCell ref="AK2415:AL2415"/>
    <mergeCell ref="AK2416:AL2416"/>
    <mergeCell ref="AK2418:AL2418"/>
    <mergeCell ref="AK2424:AL2424"/>
    <mergeCell ref="AK2436:AL2436"/>
    <mergeCell ref="AK2437:AL2437"/>
    <mergeCell ref="AK2439:AL2439"/>
    <mergeCell ref="AK2441:AL2441"/>
    <mergeCell ref="AK2442:AL2442"/>
    <mergeCell ref="AK2445:AL2445"/>
    <mergeCell ref="AK1534:AL1534"/>
    <mergeCell ref="AK1535:AL1535"/>
    <mergeCell ref="AK1541:AL1541"/>
    <mergeCell ref="AK1544:AL1544"/>
    <mergeCell ref="AK1547:AL1547"/>
    <mergeCell ref="AK1553:AL1553"/>
    <mergeCell ref="AK1555:AL1555"/>
    <mergeCell ref="AK1556:AL1556"/>
    <mergeCell ref="AK1557:AL1557"/>
    <mergeCell ref="AK1558:AL1558"/>
    <mergeCell ref="AK1559:AL1559"/>
    <mergeCell ref="AK1560:AL1560"/>
    <mergeCell ref="AK1561:AL1561"/>
    <mergeCell ref="AK1577:AL1577"/>
    <mergeCell ref="AK1614:AL1614"/>
    <mergeCell ref="AK1616:AL1616"/>
    <mergeCell ref="AK1617:AL1617"/>
    <mergeCell ref="AK2334:AL2334"/>
    <mergeCell ref="AK2336:AL2336"/>
    <mergeCell ref="AK2337:AL2337"/>
    <mergeCell ref="AK2338:AL2338"/>
    <mergeCell ref="AK2345:AL2345"/>
    <mergeCell ref="AK2349:AL2349"/>
    <mergeCell ref="AK2350:AL2350"/>
    <mergeCell ref="AK2372:AL2372"/>
    <mergeCell ref="AK2374:AL2374"/>
    <mergeCell ref="AK2375:AL2375"/>
    <mergeCell ref="AK2377:AL2377"/>
    <mergeCell ref="AK2378:AL2378"/>
    <mergeCell ref="AK2381:AL2381"/>
    <mergeCell ref="AK2385:AL2385"/>
    <mergeCell ref="AK2386:AL2386"/>
    <mergeCell ref="AK2390:AL2390"/>
    <mergeCell ref="AK2394:AL2394"/>
    <mergeCell ref="AK2301:AL2301"/>
    <mergeCell ref="AK2302:AL2302"/>
    <mergeCell ref="AK2303:AL2303"/>
    <mergeCell ref="AK2304:AL2304"/>
    <mergeCell ref="AK2305:AL2305"/>
    <mergeCell ref="AK2306:AL2306"/>
    <mergeCell ref="AK2307:AL2307"/>
    <mergeCell ref="AK2308:AL2308"/>
    <mergeCell ref="AK2309:AL2309"/>
    <mergeCell ref="AK2310:AL2310"/>
    <mergeCell ref="AK2315:AL2315"/>
    <mergeCell ref="AK2319:AL2319"/>
    <mergeCell ref="AK2320:AL2320"/>
    <mergeCell ref="AK2323:AL2323"/>
    <mergeCell ref="AK2326:AL2326"/>
    <mergeCell ref="AK2329:AL2329"/>
    <mergeCell ref="AK2332:AL2332"/>
    <mergeCell ref="AK2252:AL2252"/>
    <mergeCell ref="AK2253:AL2253"/>
    <mergeCell ref="AK2257:AL2257"/>
    <mergeCell ref="AK2258:AL2258"/>
    <mergeCell ref="AK2260:AL2260"/>
    <mergeCell ref="AK2264:AL2264"/>
    <mergeCell ref="AK2265:AL2265"/>
    <mergeCell ref="AK2269:AL2269"/>
    <mergeCell ref="AK2272:AL2272"/>
    <mergeCell ref="AK2273:AL2273"/>
    <mergeCell ref="AK2277:AL2277"/>
    <mergeCell ref="AK2280:AL2280"/>
    <mergeCell ref="AK2284:AL2284"/>
    <mergeCell ref="AK2285:AL2285"/>
    <mergeCell ref="AK2287:AL2287"/>
    <mergeCell ref="AK2288:AL2288"/>
    <mergeCell ref="AK2296:AL2296"/>
    <mergeCell ref="AK2198:AL2198"/>
    <mergeCell ref="AK2203:AL2203"/>
    <mergeCell ref="AK2207:AL2207"/>
    <mergeCell ref="AK2212:AL2212"/>
    <mergeCell ref="AK2213:AL2213"/>
    <mergeCell ref="AK2215:AL2215"/>
    <mergeCell ref="AK2218:AL2218"/>
    <mergeCell ref="AK2222:AL2222"/>
    <mergeCell ref="AK2226:AL2226"/>
    <mergeCell ref="AK2229:AL2229"/>
    <mergeCell ref="AK2231:AL2231"/>
    <mergeCell ref="AK2236:AL2236"/>
    <mergeCell ref="AK2237:AL2237"/>
    <mergeCell ref="AK2241:AL2241"/>
    <mergeCell ref="AK2244:AL2244"/>
    <mergeCell ref="AK2245:AL2245"/>
    <mergeCell ref="AK2246:AL2246"/>
    <mergeCell ref="AK788:AL788"/>
    <mergeCell ref="AK790:AL790"/>
    <mergeCell ref="AK2128:AL2128"/>
    <mergeCell ref="AK2138:AL2138"/>
    <mergeCell ref="AK2140:AL2140"/>
    <mergeCell ref="AK2151:AL2151"/>
    <mergeCell ref="AK2166:AL2166"/>
    <mergeCell ref="AK2167:AL2167"/>
    <mergeCell ref="AK2169:AL2169"/>
    <mergeCell ref="AK2171:AL2171"/>
    <mergeCell ref="AK2176:AL2176"/>
    <mergeCell ref="AK2178:AL2178"/>
    <mergeCell ref="AK2179:AL2179"/>
    <mergeCell ref="AK2182:AL2182"/>
    <mergeCell ref="AK2183:AL2183"/>
    <mergeCell ref="AK2190:AL2190"/>
    <mergeCell ref="AK2195:AL2195"/>
    <mergeCell ref="AK1619:AL1619"/>
    <mergeCell ref="AK1621:AL1621"/>
    <mergeCell ref="AK1630:AL1630"/>
    <mergeCell ref="AK1632:AL1632"/>
    <mergeCell ref="AK1633:AL1633"/>
    <mergeCell ref="AK1634:AL1634"/>
    <mergeCell ref="AK1638:AL1638"/>
    <mergeCell ref="AK1649:AL1649"/>
    <mergeCell ref="AK1650:AL1650"/>
    <mergeCell ref="AK1651:AL1651"/>
    <mergeCell ref="AK1658:AL1658"/>
    <mergeCell ref="AK1304:AL1304"/>
    <mergeCell ref="AK1307:AL1307"/>
    <mergeCell ref="AK1308:AL1308"/>
    <mergeCell ref="AK1311:AL1311"/>
    <mergeCell ref="AK714:AL714"/>
    <mergeCell ref="AK716:AL716"/>
    <mergeCell ref="AK723:AL723"/>
    <mergeCell ref="AK725:AL725"/>
    <mergeCell ref="AK727:AL727"/>
    <mergeCell ref="AK731:AL731"/>
    <mergeCell ref="AK737:AL737"/>
    <mergeCell ref="AK747:AL747"/>
    <mergeCell ref="AK748:AL748"/>
    <mergeCell ref="AK750:AL750"/>
    <mergeCell ref="AK752:AL752"/>
    <mergeCell ref="AK755:AL755"/>
    <mergeCell ref="AK756:AL756"/>
    <mergeCell ref="AK769:AL769"/>
    <mergeCell ref="AK772:AL772"/>
    <mergeCell ref="AK773:AL773"/>
    <mergeCell ref="AK781:AL781"/>
    <mergeCell ref="AK616:AL616"/>
    <mergeCell ref="AK617:AL617"/>
    <mergeCell ref="AK619:AL619"/>
    <mergeCell ref="AK620:AL620"/>
    <mergeCell ref="AK625:AL625"/>
    <mergeCell ref="AK627:AL627"/>
    <mergeCell ref="AK630:AL630"/>
    <mergeCell ref="AK631:AL631"/>
    <mergeCell ref="AK637:AL637"/>
    <mergeCell ref="AK638:AL638"/>
    <mergeCell ref="AK640:AL640"/>
    <mergeCell ref="AK643:AL643"/>
    <mergeCell ref="AK658:AL658"/>
    <mergeCell ref="AK665:AL665"/>
    <mergeCell ref="AK666:AL666"/>
    <mergeCell ref="AK667:AL667"/>
    <mergeCell ref="AK674:AL674"/>
    <mergeCell ref="AK646:AL646"/>
    <mergeCell ref="AK647:AL647"/>
    <mergeCell ref="AA676:AB676"/>
    <mergeCell ref="AA685:AB685"/>
    <mergeCell ref="AA721:AB721"/>
    <mergeCell ref="AA759:AB759"/>
    <mergeCell ref="AA762:AB762"/>
    <mergeCell ref="AA763:AB763"/>
    <mergeCell ref="AK811:AL811"/>
    <mergeCell ref="AK816:AL816"/>
    <mergeCell ref="AK819:AL819"/>
    <mergeCell ref="AK821:AL821"/>
    <mergeCell ref="AA824:AB824"/>
    <mergeCell ref="AA836:AB836"/>
    <mergeCell ref="AK792:AL792"/>
    <mergeCell ref="AK793:AL793"/>
    <mergeCell ref="AK797:AL797"/>
    <mergeCell ref="AK798:AL798"/>
    <mergeCell ref="AK799:AL799"/>
    <mergeCell ref="AK808:AL808"/>
    <mergeCell ref="AK810:AL810"/>
    <mergeCell ref="AK678:AL678"/>
    <mergeCell ref="AK680:AL680"/>
    <mergeCell ref="AK681:AL681"/>
    <mergeCell ref="AK686:AL686"/>
    <mergeCell ref="AK693:AL693"/>
    <mergeCell ref="AK694:AL694"/>
    <mergeCell ref="AK697:AL697"/>
    <mergeCell ref="AK698:AL698"/>
    <mergeCell ref="AK701:AL701"/>
    <mergeCell ref="AK706:AL706"/>
    <mergeCell ref="AK713:AL713"/>
    <mergeCell ref="AK552:AL552"/>
    <mergeCell ref="AK553:AL553"/>
    <mergeCell ref="AK555:AL555"/>
    <mergeCell ref="AK557:AL557"/>
    <mergeCell ref="AK564:AL564"/>
    <mergeCell ref="AK565:AL565"/>
    <mergeCell ref="AK571:AL571"/>
    <mergeCell ref="AK574:AL574"/>
    <mergeCell ref="AK575:AL575"/>
    <mergeCell ref="AK576:AL576"/>
    <mergeCell ref="AK577:AL577"/>
    <mergeCell ref="AK592:AL592"/>
    <mergeCell ref="AK595:AL595"/>
    <mergeCell ref="AK597:AL597"/>
    <mergeCell ref="AK598:AL598"/>
    <mergeCell ref="AA607:AB607"/>
    <mergeCell ref="AA613:AB613"/>
    <mergeCell ref="AK603:AL603"/>
    <mergeCell ref="AK608:AL608"/>
    <mergeCell ref="AK484:AL484"/>
    <mergeCell ref="AK485:AL485"/>
    <mergeCell ref="AK489:AL489"/>
    <mergeCell ref="AK491:AL491"/>
    <mergeCell ref="AK501:AL501"/>
    <mergeCell ref="AK503:AL503"/>
    <mergeCell ref="AK504:AL504"/>
    <mergeCell ref="AK506:AL506"/>
    <mergeCell ref="AK513:AL513"/>
    <mergeCell ref="AK516:AL516"/>
    <mergeCell ref="AK524:AL524"/>
    <mergeCell ref="AK525:AL525"/>
    <mergeCell ref="AK537:AL537"/>
    <mergeCell ref="AK541:AL541"/>
    <mergeCell ref="AA546:AB546"/>
    <mergeCell ref="AK547:AL547"/>
    <mergeCell ref="AK550:AL550"/>
    <mergeCell ref="AK403:AL403"/>
    <mergeCell ref="AK449:AL449"/>
    <mergeCell ref="AK451:AL451"/>
    <mergeCell ref="AK456:AL456"/>
    <mergeCell ref="AK457:AL457"/>
    <mergeCell ref="AK461:AL461"/>
    <mergeCell ref="AK464:AL464"/>
    <mergeCell ref="AK465:AL465"/>
    <mergeCell ref="AK466:AL466"/>
    <mergeCell ref="AK469:AL469"/>
    <mergeCell ref="AK470:AL470"/>
    <mergeCell ref="AK475:AL475"/>
    <mergeCell ref="AK476:AL476"/>
    <mergeCell ref="AK477:AL477"/>
    <mergeCell ref="AK480:AL480"/>
    <mergeCell ref="AK481:AL481"/>
    <mergeCell ref="AK482:AL482"/>
    <mergeCell ref="AK351:AL351"/>
    <mergeCell ref="AK354:AL354"/>
    <mergeCell ref="AK360:AL360"/>
    <mergeCell ref="AK362:AL362"/>
    <mergeCell ref="AK367:AL367"/>
    <mergeCell ref="AK368:AL368"/>
    <mergeCell ref="AK370:AL370"/>
    <mergeCell ref="AK371:AL371"/>
    <mergeCell ref="AK377:AL377"/>
    <mergeCell ref="AK380:AL380"/>
    <mergeCell ref="AK389:AL389"/>
    <mergeCell ref="AK390:AL390"/>
    <mergeCell ref="AK392:AL392"/>
    <mergeCell ref="AK394:AL394"/>
    <mergeCell ref="AK400:AL400"/>
    <mergeCell ref="AK401:AL401"/>
    <mergeCell ref="AK402:AL402"/>
    <mergeCell ref="AK291:AL291"/>
    <mergeCell ref="AK292:AL292"/>
    <mergeCell ref="AK294:AL294"/>
    <mergeCell ref="AK297:AL297"/>
    <mergeCell ref="AK303:AL303"/>
    <mergeCell ref="AK312:AL312"/>
    <mergeCell ref="AK315:AL315"/>
    <mergeCell ref="AK325:AL325"/>
    <mergeCell ref="AK326:AL326"/>
    <mergeCell ref="AK329:AL329"/>
    <mergeCell ref="AK336:AL336"/>
    <mergeCell ref="AK338:AL338"/>
    <mergeCell ref="AK339:AL339"/>
    <mergeCell ref="AK342:AL342"/>
    <mergeCell ref="AK343:AL343"/>
    <mergeCell ref="AK347:AL347"/>
    <mergeCell ref="AK348:AL348"/>
    <mergeCell ref="AK271:AL271"/>
    <mergeCell ref="AK273:AL273"/>
    <mergeCell ref="AA313:AB313"/>
    <mergeCell ref="AA320:AB320"/>
    <mergeCell ref="AA433:AB433"/>
    <mergeCell ref="AA467:AB467"/>
    <mergeCell ref="AA468:AB468"/>
    <mergeCell ref="AA471:AB471"/>
    <mergeCell ref="AA472:AB472"/>
    <mergeCell ref="AK322:AL322"/>
    <mergeCell ref="AK323:AL323"/>
    <mergeCell ref="AK408:AL408"/>
    <mergeCell ref="AK409:AL409"/>
    <mergeCell ref="AK411:AL411"/>
    <mergeCell ref="AK413:AL413"/>
    <mergeCell ref="AK417:AL417"/>
    <mergeCell ref="AK419:AL419"/>
    <mergeCell ref="AK421:AL421"/>
    <mergeCell ref="AK425:AL425"/>
    <mergeCell ref="AK426:AL426"/>
    <mergeCell ref="AK430:AL430"/>
    <mergeCell ref="AK434:AL434"/>
    <mergeCell ref="AK435:AL435"/>
    <mergeCell ref="AK441:AL441"/>
    <mergeCell ref="AK444:AL444"/>
    <mergeCell ref="AK279:AL279"/>
    <mergeCell ref="AK280:AL280"/>
    <mergeCell ref="AK281:AL281"/>
    <mergeCell ref="AK282:AL282"/>
    <mergeCell ref="AK284:AL284"/>
    <mergeCell ref="AK288:AL288"/>
    <mergeCell ref="AK290:AL290"/>
    <mergeCell ref="AK208:AL208"/>
    <mergeCell ref="AK211:AL211"/>
    <mergeCell ref="AK220:AL220"/>
    <mergeCell ref="AK224:AL224"/>
    <mergeCell ref="AK225:AL225"/>
    <mergeCell ref="AK228:AL228"/>
    <mergeCell ref="AK238:AL238"/>
    <mergeCell ref="AK239:AL239"/>
    <mergeCell ref="AK244:AL244"/>
    <mergeCell ref="AA245:AB245"/>
    <mergeCell ref="AK247:AL247"/>
    <mergeCell ref="AA253:AB253"/>
    <mergeCell ref="AK249:AL249"/>
    <mergeCell ref="AK255:AL255"/>
    <mergeCell ref="AK261:AL261"/>
    <mergeCell ref="AK265:AL265"/>
    <mergeCell ref="AK270:AL270"/>
    <mergeCell ref="AK145:AL145"/>
    <mergeCell ref="AK151:AL151"/>
    <mergeCell ref="AK152:AL152"/>
    <mergeCell ref="AK154:AL154"/>
    <mergeCell ref="AK155:AL155"/>
    <mergeCell ref="AK162:AL162"/>
    <mergeCell ref="AK169:AL169"/>
    <mergeCell ref="AK171:AL171"/>
    <mergeCell ref="AK173:AL173"/>
    <mergeCell ref="AK177:AL177"/>
    <mergeCell ref="AK178:AL178"/>
    <mergeCell ref="AK191:AL191"/>
    <mergeCell ref="AK194:AL194"/>
    <mergeCell ref="AA200:AB200"/>
    <mergeCell ref="AK201:AL201"/>
    <mergeCell ref="AK203:AL203"/>
    <mergeCell ref="AK204:AL204"/>
    <mergeCell ref="AK72:AL72"/>
    <mergeCell ref="AK77:AL77"/>
    <mergeCell ref="AK78:AL78"/>
    <mergeCell ref="AK79:AL79"/>
    <mergeCell ref="AK106:AL106"/>
    <mergeCell ref="AK107:AL107"/>
    <mergeCell ref="AK113:AL113"/>
    <mergeCell ref="AK114:AL114"/>
    <mergeCell ref="AK116:AL116"/>
    <mergeCell ref="AK119:AL119"/>
    <mergeCell ref="AK122:AL122"/>
    <mergeCell ref="AK127:AL127"/>
    <mergeCell ref="AK129:AL129"/>
    <mergeCell ref="AK131:AL131"/>
    <mergeCell ref="AK132:AL132"/>
    <mergeCell ref="AK137:AL137"/>
    <mergeCell ref="AK139:AL139"/>
    <mergeCell ref="AK4740:AL4740"/>
    <mergeCell ref="AK2:AL2"/>
    <mergeCell ref="AA3:AB3"/>
    <mergeCell ref="AK7:AL7"/>
    <mergeCell ref="AK10:AL10"/>
    <mergeCell ref="AK13:AL13"/>
    <mergeCell ref="AK16:AL16"/>
    <mergeCell ref="AK18:AL18"/>
    <mergeCell ref="AK19:AL19"/>
    <mergeCell ref="AA20:AB20"/>
    <mergeCell ref="AK25:AL25"/>
    <mergeCell ref="AK28:AL28"/>
    <mergeCell ref="AK29:AL29"/>
    <mergeCell ref="AK30:AL30"/>
    <mergeCell ref="AK31:AL31"/>
    <mergeCell ref="AK32:AL32"/>
    <mergeCell ref="AK33:AL33"/>
    <mergeCell ref="AK46:AL46"/>
    <mergeCell ref="AK48:AL48"/>
    <mergeCell ref="AK53:AL53"/>
    <mergeCell ref="AK55:AL55"/>
    <mergeCell ref="AK57:AL57"/>
    <mergeCell ref="AK80:AL80"/>
    <mergeCell ref="AK81:AL81"/>
    <mergeCell ref="AK89:AL89"/>
    <mergeCell ref="AK90:AL90"/>
    <mergeCell ref="AA95:AB95"/>
    <mergeCell ref="AA97:AB97"/>
    <mergeCell ref="AA99:AB99"/>
    <mergeCell ref="AK61:AL61"/>
    <mergeCell ref="AK63:AL63"/>
    <mergeCell ref="AK65:AL65"/>
    <mergeCell ref="AK4699:AL4699"/>
    <mergeCell ref="AK4700:AL4700"/>
    <mergeCell ref="AK4701:AL4701"/>
    <mergeCell ref="AK4702:AL4702"/>
    <mergeCell ref="AK4713:AL4713"/>
    <mergeCell ref="AK4714:AL4714"/>
    <mergeCell ref="AK4716:AL4716"/>
    <mergeCell ref="AK4717:AL4717"/>
    <mergeCell ref="AK4721:AL4721"/>
    <mergeCell ref="AK4722:AL4722"/>
    <mergeCell ref="AK4728:AL4728"/>
    <mergeCell ref="AK4729:AL4729"/>
    <mergeCell ref="AK4732:AL4732"/>
    <mergeCell ref="AK4733:AL4733"/>
    <mergeCell ref="AK4737:AL4737"/>
    <mergeCell ref="AK4738:AL4738"/>
    <mergeCell ref="AK4739:AL4739"/>
    <mergeCell ref="AK4490:AL4490"/>
    <mergeCell ref="AK4492:AL4492"/>
    <mergeCell ref="AK4493:AL4493"/>
    <mergeCell ref="AK4494:AL4494"/>
    <mergeCell ref="AK4495:AL4495"/>
    <mergeCell ref="AK4498:AL4498"/>
    <mergeCell ref="AK4499:AL4499"/>
    <mergeCell ref="AK4674:AL4674"/>
    <mergeCell ref="AK4675:AL4675"/>
    <mergeCell ref="AK4682:AL4682"/>
    <mergeCell ref="AK4683:AL4683"/>
    <mergeCell ref="AK4684:AL4684"/>
    <mergeCell ref="AK4685:AL4685"/>
    <mergeCell ref="AK4694:AL4694"/>
    <mergeCell ref="AK4695:AL4695"/>
    <mergeCell ref="AK4696:AL4696"/>
    <mergeCell ref="AK4697:AL4697"/>
    <mergeCell ref="AK4445:AL4445"/>
    <mergeCell ref="AK4446:AL4446"/>
    <mergeCell ref="AK4449:AL4449"/>
    <mergeCell ref="AK4450:AL4450"/>
    <mergeCell ref="AK4452:AL4452"/>
    <mergeCell ref="AK4453:AL4453"/>
    <mergeCell ref="AK4455:AL4455"/>
    <mergeCell ref="AK4456:AL4456"/>
    <mergeCell ref="AK4461:AL4461"/>
    <mergeCell ref="AK4462:AL4462"/>
    <mergeCell ref="AK4465:AL4465"/>
    <mergeCell ref="AK4466:AL4466"/>
    <mergeCell ref="AK4467:AL4467"/>
    <mergeCell ref="AK4468:AL4468"/>
    <mergeCell ref="AK4487:AL4487"/>
    <mergeCell ref="AK4488:AL4488"/>
    <mergeCell ref="AK4489:AL4489"/>
    <mergeCell ref="AK4390:AL4390"/>
    <mergeCell ref="AK4399:AL4399"/>
    <mergeCell ref="AK4400:AL4400"/>
    <mergeCell ref="AK4401:AL4401"/>
    <mergeCell ref="AK4402:AL4402"/>
    <mergeCell ref="AK4403:AL4403"/>
    <mergeCell ref="AK4404:AL4404"/>
    <mergeCell ref="AK4407:AL4407"/>
    <mergeCell ref="AK4408:AL4408"/>
    <mergeCell ref="AK4409:AL4409"/>
    <mergeCell ref="AK4410:AL4410"/>
    <mergeCell ref="AK4419:AL4419"/>
    <mergeCell ref="AK4420:AL4420"/>
    <mergeCell ref="AK4439:AL4439"/>
    <mergeCell ref="AK4440:AL4440"/>
    <mergeCell ref="AK4443:AL4443"/>
    <mergeCell ref="AK4444:AL4444"/>
    <mergeCell ref="AK4232:AL4232"/>
    <mergeCell ref="AK4233:AL4233"/>
    <mergeCell ref="AK4340:AL4340"/>
    <mergeCell ref="AK4341:AL4341"/>
    <mergeCell ref="AK4342:AL4342"/>
    <mergeCell ref="AK4343:AL4343"/>
    <mergeCell ref="AK4345:AL4345"/>
    <mergeCell ref="AK4346:AL4346"/>
    <mergeCell ref="AK4347:AL4347"/>
    <mergeCell ref="AK4348:AL4348"/>
    <mergeCell ref="AK4359:AL4359"/>
    <mergeCell ref="AK4360:AL4360"/>
    <mergeCell ref="AK4376:AL4376"/>
    <mergeCell ref="AK4377:AL4377"/>
    <mergeCell ref="AK4387:AL4387"/>
    <mergeCell ref="AK4388:AL4388"/>
    <mergeCell ref="AK4389:AL4389"/>
    <mergeCell ref="AK4190:AL4190"/>
    <mergeCell ref="AK4193:AL4193"/>
    <mergeCell ref="AK4194:AL4194"/>
    <mergeCell ref="AK4195:AL4195"/>
    <mergeCell ref="AK4196:AL4196"/>
    <mergeCell ref="AK4204:AL4204"/>
    <mergeCell ref="AK4205:AL4205"/>
    <mergeCell ref="AK4206:AL4206"/>
    <mergeCell ref="AK4212:AL4212"/>
    <mergeCell ref="AK4213:AL4213"/>
    <mergeCell ref="AK4214:AL4214"/>
    <mergeCell ref="AK4215:AL4215"/>
    <mergeCell ref="AK4223:AL4223"/>
    <mergeCell ref="AK4225:AL4225"/>
    <mergeCell ref="AK4227:AL4227"/>
    <mergeCell ref="AK4228:AL4228"/>
    <mergeCell ref="AK4229:AL4229"/>
    <mergeCell ref="AK4307:AL4307"/>
    <mergeCell ref="AK4311:AL4311"/>
    <mergeCell ref="AK4312:AL4312"/>
    <mergeCell ref="AK4317:AL4317"/>
    <mergeCell ref="AK4318:AL4318"/>
    <mergeCell ref="AK4334:AL4334"/>
    <mergeCell ref="AK4335:AL4335"/>
    <mergeCell ref="AK4336:AL4336"/>
    <mergeCell ref="AK4337:AL4337"/>
    <mergeCell ref="AK4125:AL4125"/>
    <mergeCell ref="AK4126:AL4126"/>
    <mergeCell ref="AK4127:AL4127"/>
    <mergeCell ref="AK4128:AL4128"/>
    <mergeCell ref="AK4129:AL4129"/>
    <mergeCell ref="AK4130:AL4130"/>
    <mergeCell ref="AK4131:AL4131"/>
    <mergeCell ref="AK4132:AL4132"/>
    <mergeCell ref="AK4150:AL4150"/>
    <mergeCell ref="AK4151:AL4151"/>
    <mergeCell ref="AK4152:AL4152"/>
    <mergeCell ref="AK4153:AL4153"/>
    <mergeCell ref="AK4154:AL4154"/>
    <mergeCell ref="AK4155:AL4155"/>
    <mergeCell ref="AK4165:AL4165"/>
    <mergeCell ref="AK4166:AL4166"/>
    <mergeCell ref="AK4170:AL4170"/>
    <mergeCell ref="AK4171:AL4171"/>
    <mergeCell ref="AK4177:AL4177"/>
    <mergeCell ref="AK4178:AL4178"/>
    <mergeCell ref="AK4185:AL4185"/>
    <mergeCell ref="AK4186:AL4186"/>
    <mergeCell ref="AK4189:AL4189"/>
    <mergeCell ref="AK4271:AL4271"/>
    <mergeCell ref="AK4272:AL4272"/>
    <mergeCell ref="AK4275:AL4275"/>
    <mergeCell ref="AK4276:AL4276"/>
    <mergeCell ref="AK4281:AL4281"/>
    <mergeCell ref="AK4282:AL4282"/>
    <mergeCell ref="AK4283:AL4283"/>
    <mergeCell ref="AK4284:AL4284"/>
    <mergeCell ref="AK4285:AL4285"/>
    <mergeCell ref="AK4286:AL4286"/>
    <mergeCell ref="AK4291:AL4291"/>
    <mergeCell ref="AK4292:AL4292"/>
    <mergeCell ref="AK4299:AL4299"/>
    <mergeCell ref="AK4300:AL4300"/>
    <mergeCell ref="AK4304:AL4304"/>
    <mergeCell ref="AK4305:AL4305"/>
    <mergeCell ref="AK4306:AL4306"/>
    <mergeCell ref="AK4903:AL4903"/>
    <mergeCell ref="AK4904:AL4904"/>
    <mergeCell ref="AK4905:AL4905"/>
    <mergeCell ref="AK4906:AL4906"/>
    <mergeCell ref="AK4907:AL4907"/>
    <mergeCell ref="AK4908:AL4908"/>
    <mergeCell ref="AK4918:AL4918"/>
    <mergeCell ref="AK4919:AL4919"/>
    <mergeCell ref="AK4924:AL4924"/>
    <mergeCell ref="AK4925:AL4925"/>
    <mergeCell ref="AK4949:AL4949"/>
    <mergeCell ref="AK4950:AL4950"/>
    <mergeCell ref="AK4951:AL4951"/>
    <mergeCell ref="AK4952:AL4952"/>
    <mergeCell ref="AK4955:AL4955"/>
    <mergeCell ref="AK4956:AL4956"/>
    <mergeCell ref="AK4234:AL4234"/>
    <mergeCell ref="AK4235:AL4235"/>
    <mergeCell ref="AK4236:AL4236"/>
    <mergeCell ref="AK4237:AL4237"/>
    <mergeCell ref="AK4243:AL4243"/>
    <mergeCell ref="AK4244:AL4244"/>
    <mergeCell ref="AK4245:AL4245"/>
    <mergeCell ref="AK4246:AL4246"/>
    <mergeCell ref="AK4252:AL4252"/>
    <mergeCell ref="AK4253:AL4253"/>
    <mergeCell ref="AK4254:AL4254"/>
    <mergeCell ref="AK4255:AL4255"/>
    <mergeCell ref="AK4256:AL4256"/>
    <mergeCell ref="AK4257:AL4257"/>
    <mergeCell ref="AK4259:AL4259"/>
    <mergeCell ref="AK4260:AL4260"/>
    <mergeCell ref="AK4962:AL4962"/>
    <mergeCell ref="AK4965:AL4965"/>
    <mergeCell ref="AK4966:AL4966"/>
    <mergeCell ref="AK4967:AL4967"/>
    <mergeCell ref="AK4989:AL4989"/>
    <mergeCell ref="AK4990:AL4990"/>
    <mergeCell ref="AK4991:AL4991"/>
    <mergeCell ref="AK4968:AL4968"/>
    <mergeCell ref="AK4973:AL4973"/>
    <mergeCell ref="AK4974:AL4974"/>
    <mergeCell ref="AK4975:AL4975"/>
    <mergeCell ref="AK4986:AL4986"/>
    <mergeCell ref="AK4987:AL4987"/>
    <mergeCell ref="AK4988:AL4988"/>
    <mergeCell ref="AK4811:AL4811"/>
    <mergeCell ref="AK4816:AL4816"/>
    <mergeCell ref="AK4817:AL4817"/>
    <mergeCell ref="AK4821:AL4821"/>
    <mergeCell ref="AK4822:AL4822"/>
    <mergeCell ref="AK4831:AL4831"/>
    <mergeCell ref="AK4832:AL4832"/>
    <mergeCell ref="AK4833:AL4833"/>
    <mergeCell ref="AK4834:AL4834"/>
    <mergeCell ref="AK4837:AL4837"/>
    <mergeCell ref="AK4838:AL4838"/>
    <mergeCell ref="AK4843:AL4843"/>
    <mergeCell ref="AK4844:AL4844"/>
    <mergeCell ref="AK4849:AL4849"/>
    <mergeCell ref="AK4850:AL4850"/>
    <mergeCell ref="AK4854:AL4854"/>
    <mergeCell ref="AK4855:AL4855"/>
    <mergeCell ref="AK4859:AL4859"/>
    <mergeCell ref="AK4590:AL4590"/>
    <mergeCell ref="AK4601:AL4601"/>
    <mergeCell ref="AK4604:AL4604"/>
    <mergeCell ref="AK4605:AL4605"/>
    <mergeCell ref="AK4609:AL4609"/>
    <mergeCell ref="AK4610:AL4610"/>
    <mergeCell ref="AK4620:AL4620"/>
    <mergeCell ref="AK4750:AL4750"/>
    <mergeCell ref="AK4751:AL4751"/>
    <mergeCell ref="AK4753:AL4753"/>
    <mergeCell ref="AK4754:AL4754"/>
    <mergeCell ref="AK4755:AL4755"/>
    <mergeCell ref="AK4756:AL4756"/>
    <mergeCell ref="AK4810:AL4810"/>
    <mergeCell ref="AK4957:AL4957"/>
    <mergeCell ref="AK4958:AL4958"/>
    <mergeCell ref="AK4961:AL4961"/>
    <mergeCell ref="AK4860:AL4860"/>
    <mergeCell ref="AK4867:AL4867"/>
    <mergeCell ref="AK4868:AL4868"/>
    <mergeCell ref="AK4869:AL4869"/>
    <mergeCell ref="AK4870:AL4870"/>
    <mergeCell ref="AK4878:AL4878"/>
    <mergeCell ref="AK4879:AL4879"/>
    <mergeCell ref="AK4885:AL4885"/>
    <mergeCell ref="AK4886:AL4886"/>
    <mergeCell ref="AK4889:AL4889"/>
    <mergeCell ref="AK4890:AL4890"/>
    <mergeCell ref="AK4893:AL4893"/>
    <mergeCell ref="AK4894:AL4894"/>
    <mergeCell ref="AK4901:AL4901"/>
    <mergeCell ref="AK4902:AL4902"/>
    <mergeCell ref="AK4557:AL4557"/>
    <mergeCell ref="AK4558:AL4558"/>
    <mergeCell ref="AK4561:AL4561"/>
    <mergeCell ref="AK4562:AL4562"/>
    <mergeCell ref="AK4563:AL4563"/>
    <mergeCell ref="AK4564:AL4564"/>
    <mergeCell ref="AK4565:AL4565"/>
    <mergeCell ref="AK4566:AL4566"/>
    <mergeCell ref="AK4567:AL4567"/>
    <mergeCell ref="AK4569:AL4569"/>
    <mergeCell ref="AK4570:AL4570"/>
    <mergeCell ref="AK4571:AL4571"/>
    <mergeCell ref="AK4572:AL4572"/>
    <mergeCell ref="AK4574:AL4574"/>
    <mergeCell ref="AK4584:AL4584"/>
    <mergeCell ref="AK4585:AL4585"/>
    <mergeCell ref="AK4589:AL4589"/>
    <mergeCell ref="AK4628:AL4628"/>
    <mergeCell ref="AK4629:AL4629"/>
    <mergeCell ref="AK4646:AL4646"/>
    <mergeCell ref="AK4647:AL4647"/>
    <mergeCell ref="AK4648:AL4648"/>
    <mergeCell ref="AK4649:AL4649"/>
    <mergeCell ref="AK4652:AL4652"/>
    <mergeCell ref="AK4653:AL4653"/>
    <mergeCell ref="AK4654:AL4654"/>
    <mergeCell ref="AK4655:AL4655"/>
    <mergeCell ref="AK4658:AL4658"/>
    <mergeCell ref="AK4659:AL4659"/>
    <mergeCell ref="AK4662:AL4662"/>
    <mergeCell ref="AK4663:AL4663"/>
    <mergeCell ref="AK4501:AL4501"/>
    <mergeCell ref="AK4502:AL4502"/>
    <mergeCell ref="AK4504:AL4504"/>
    <mergeCell ref="AK4505:AL4505"/>
    <mergeCell ref="AK4512:AL4512"/>
    <mergeCell ref="AK4513:AL4513"/>
    <mergeCell ref="AK4524:AL4524"/>
    <mergeCell ref="AK4525:AL4525"/>
    <mergeCell ref="AK4526:AL4526"/>
    <mergeCell ref="AK4527:AL4527"/>
    <mergeCell ref="AK4539:AL4539"/>
    <mergeCell ref="AK4540:AL4540"/>
    <mergeCell ref="AK4545:AL4545"/>
    <mergeCell ref="AK4546:AL4546"/>
    <mergeCell ref="AK4549:AL4549"/>
    <mergeCell ref="AK4550:AL4550"/>
    <mergeCell ref="AK4551:AL4551"/>
    <mergeCell ref="AK4552:AL45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Industry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11</cp:lastModifiedBy>
  <dcterms:modified xsi:type="dcterms:W3CDTF">2026-02-11T06:34:51Z</dcterms:modified>
</cp:coreProperties>
</file>